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3.xml" ContentType="application/vnd.openxmlformats-officedocument.spreadsheetml.comments+xml"/>
  <Override PartName="/xl/drawings/drawing8.xml" ContentType="application/vnd.openxmlformats-officedocument.drawing+xml"/>
  <Override PartName="/xl/comments4.xml" ContentType="application/vnd.openxmlformats-officedocument.spreadsheetml.comments+xml"/>
  <Override PartName="/xl/drawings/drawing9.xml" ContentType="application/vnd.openxmlformats-officedocument.drawing+xml"/>
  <Override PartName="/xl/comments5.xml" ContentType="application/vnd.openxmlformats-officedocument.spreadsheetml.comments+xml"/>
  <Override PartName="/xl/drawings/drawing10.xml" ContentType="application/vnd.openxmlformats-officedocument.drawing+xml"/>
  <Override PartName="/xl/tables/table1.xml" ContentType="application/vnd.openxmlformats-officedocument.spreadsheetml.table+xml"/>
  <Override PartName="/xl/drawings/drawing11.xml" ContentType="application/vnd.openxmlformats-officedocument.drawing+xml"/>
  <Override PartName="/xl/tables/table2.xml" ContentType="application/vnd.openxmlformats-officedocument.spreadsheetml.table+xml"/>
  <Override PartName="/xl/drawings/drawing1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3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14.xml" ContentType="application/vnd.openxmlformats-officedocument.drawing+xml"/>
  <Override PartName="/xl/tables/table7.xml" ContentType="application/vnd.openxmlformats-officedocument.spreadsheetml.table+xml"/>
  <Override PartName="/xl/comments6.xml" ContentType="application/vnd.openxmlformats-officedocument.spreadsheetml.comments+xml"/>
  <Override PartName="/xl/drawings/drawing15.xml" ContentType="application/vnd.openxmlformats-officedocument.drawing+xml"/>
  <Override PartName="/xl/tables/table8.xml" ContentType="application/vnd.openxmlformats-officedocument.spreadsheetml.table+xml"/>
  <Override PartName="/xl/comments7.xml" ContentType="application/vnd.openxmlformats-officedocument.spreadsheetml.comments+xml"/>
  <Override PartName="/xl/drawings/drawing16.xml" ContentType="application/vnd.openxmlformats-officedocument.drawing+xml"/>
  <Override PartName="/xl/tables/table9.xml" ContentType="application/vnd.openxmlformats-officedocument.spreadsheetml.table+xml"/>
  <Override PartName="/xl/drawings/drawing17.xml" ContentType="application/vnd.openxmlformats-officedocument.drawing+xml"/>
  <Override PartName="/xl/tables/table10.xml" ContentType="application/vnd.openxmlformats-officedocument.spreadsheetml.table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 codeName="{DD97A8EA-9A9A-E61F-A557-7D5A7D7259CE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https://eskom-my.sharepoint.com/personal/phaahlc_eskom_co_za/Documents/Tariff tools/TCT/202627/TCT 202526 vs 202627/Updated/"/>
    </mc:Choice>
  </mc:AlternateContent>
  <xr:revisionPtr revIDLastSave="0" documentId="8_{86A80414-35E3-4FB3-8B19-5A2F344B0752}" xr6:coauthVersionLast="47" xr6:coauthVersionMax="47" xr10:uidLastSave="{00000000-0000-0000-0000-000000000000}"/>
  <bookViews>
    <workbookView xWindow="-108" yWindow="-108" windowWidth="23256" windowHeight="12456" tabRatio="870" xr2:uid="{00000000-000D-0000-FFFF-FFFF00000000}"/>
  </bookViews>
  <sheets>
    <sheet name="Inputs" sheetId="1" r:id="rId1"/>
    <sheet name="Bill Comparison" sheetId="15" r:id="rId2"/>
    <sheet name="Monthly Comparison" sheetId="40" r:id="rId3"/>
    <sheet name="Tariff Comparison" sheetId="32" r:id="rId4"/>
    <sheet name="HOURLY DATA" sheetId="50" r:id="rId5"/>
    <sheet name="METADATA" sheetId="51" state="hidden" r:id="rId6"/>
    <sheet name="Workings High" sheetId="30" state="hidden" r:id="rId7"/>
    <sheet name="Workings Low" sheetId="31" state="hidden" r:id="rId8"/>
    <sheet name="Rates Table" sheetId="29" state="hidden" r:id="rId9"/>
    <sheet name="Rates SPU - New" sheetId="26" state="hidden" r:id="rId10"/>
    <sheet name="Rates SPU - Current" sheetId="27" state="hidden" r:id="rId11"/>
    <sheet name="Rates LPU Other - New" sheetId="25" state="hidden" r:id="rId12"/>
    <sheet name="Rates LPU Other - Current" sheetId="24" state="hidden" r:id="rId13"/>
    <sheet name="Rates LPU by Voltage - New" sheetId="20" state="hidden" r:id="rId14"/>
    <sheet name="Rates LPU by Voltage - Current" sheetId="23" state="hidden" r:id="rId15"/>
    <sheet name="Rates LPU Energy - New" sheetId="19" state="hidden" r:id="rId16"/>
    <sheet name="Rates LPU Energy - Current" sheetId="12" state="hidden" r:id="rId17"/>
    <sheet name="Mapping" sheetId="37" state="hidden" r:id="rId18"/>
    <sheet name="Lists" sheetId="2" state="hidden" r:id="rId19"/>
    <sheet name="Notes on updates" sheetId="39" state="hidden" r:id="rId20"/>
  </sheets>
  <definedNames>
    <definedName name="_xlnm._FilterDatabase" localSheetId="1" hidden="1">'Bill Comparison'!$A$18:$I$112</definedName>
    <definedName name="_xlnm._FilterDatabase" localSheetId="4" hidden="1">'HOURLY DATA'!$B$3:$Z$8763</definedName>
    <definedName name="_xlnm._FilterDatabase" localSheetId="14" hidden="1">'Rates LPU by Voltage - Current'!$C$50:$M$57</definedName>
    <definedName name="_xlnm._FilterDatabase" localSheetId="13" hidden="1">'Rates LPU by Voltage - New'!$C$49:$M$56</definedName>
    <definedName name="_xlnm._FilterDatabase" localSheetId="16" hidden="1">'Rates LPU Energy - Current'!$C$121:$U$152</definedName>
    <definedName name="_xlnm._FilterDatabase" localSheetId="15" hidden="1">'Rates LPU Energy - New'!$C$121:$S$152</definedName>
    <definedName name="_xlnm._FilterDatabase" localSheetId="12" hidden="1">'Rates LPU Other - Current'!#REF!</definedName>
    <definedName name="_xlnm._FilterDatabase" localSheetId="11" hidden="1">'Rates LPU Other - New'!#REF!</definedName>
    <definedName name="_xlnm._FilterDatabase" localSheetId="10" hidden="1">'Rates SPU - Current'!#REF!</definedName>
    <definedName name="_xlnm._FilterDatabase" localSheetId="9" hidden="1">'Rates SPU - New'!#REF!</definedName>
    <definedName name="_xleta.IF" hidden="1" xlm="1">#NAME?</definedName>
    <definedName name="Account_Number">Inputs!$G$9</definedName>
    <definedName name="allvoltages">#REF!</definedName>
    <definedName name="allzones">#REF!</definedName>
    <definedName name="Annual_Total_Energy">Inputs!$M$58</definedName>
    <definedName name="Annual_Total_Energy_Exist_TOU">Inputs!$M$97</definedName>
    <definedName name="Annual_Total_Energy_New_TOU">Inputs!$M$139</definedName>
    <definedName name="Base_Tariff_ID">Lists!$M$17:$M$32</definedName>
    <definedName name="Base_Tariff_List">Lists!$J$17:$J$32</definedName>
    <definedName name="Base_Tariff_Type">Lists!$K$17:$K$32</definedName>
    <definedName name="Block_1_Upper">'Bill Comparison'!$E$121</definedName>
    <definedName name="Block1_max_HL20A">Lists!$M$40</definedName>
    <definedName name="Block1_max_HL60A">Lists!$M$41</definedName>
    <definedName name="Block1_max_HP">Lists!$M$42</definedName>
    <definedName name="CA_pw">"TCTF14"</definedName>
    <definedName name="Capacity_List">OFFSET(Lists!$O$29,0,0,Capacity_List_Count,1)</definedName>
    <definedName name="Capacity_List_Count">Lists!$P$36</definedName>
    <definedName name="Capacity_LPU_List">Lists!$O$21:$O$26</definedName>
    <definedName name="Capacity_SPU_List">Lists!$O$11:$O$15</definedName>
    <definedName name="Compare_Long_Type">OFFSET(Lists!$N$82,0,0,Lists!$J$95,1)</definedName>
    <definedName name="Compare_Tariff_List">Lists!$J$82:$J$95</definedName>
    <definedName name="Current_Period">Lists!$L$9</definedName>
    <definedName name="CurrRate_EDC_H">'Rates Table'!$E$29</definedName>
    <definedName name="CurrRate_EDC_L">'Rates Table'!$E$44</definedName>
    <definedName name="CurrRate_kWh_H_nontou">'Rates Table'!$E$26</definedName>
    <definedName name="CurrRate_kWh_L_nontou">'Rates Table'!$E$41</definedName>
    <definedName name="CurrRate_kWh_O_high">'Rates Table'!$E$24</definedName>
    <definedName name="CurrRate_kWh_O_low">'Rates Table'!$E$39</definedName>
    <definedName name="CurrRate_kWh_P_high">'Rates Table'!$E$22</definedName>
    <definedName name="CurrRate_kWh_P_low">'Rates Table'!$E$37</definedName>
    <definedName name="CurrRate_kWh_S_high">'Rates Table'!$E$23</definedName>
    <definedName name="CurrRate_kWh_S_low">'Rates Table'!$E$38</definedName>
    <definedName name="Customer_Category_List">Lists!$O$7:$O$8</definedName>
    <definedName name="Customer_Name">Inputs!$G$8</definedName>
    <definedName name="Days">365</definedName>
    <definedName name="Delivery_ID">Inputs!$G$10</definedName>
    <definedName name="Dropdown_Category">Lists!$C$7</definedName>
    <definedName name="Dropdown_Compare_1">'Tariff Comparison'!$H$6</definedName>
    <definedName name="Dropdown_Compare_2">'Tariff Comparison'!$L$6</definedName>
    <definedName name="Dropdown_Compare_3">'Tariff Comparison'!$P$6</definedName>
    <definedName name="Dropdown_Compare_4">'Tariff Comparison'!$T$6</definedName>
    <definedName name="Dropdown_Customer">Lists!$C$8</definedName>
    <definedName name="Dropdown_Supply">Lists!$C$9</definedName>
    <definedName name="Dropdown_Tariff">Lists!$C$10</definedName>
    <definedName name="Dropdown_Voltage">Lists!$C$12</definedName>
    <definedName name="Dropdown_Zone">Lists!$C$13</definedName>
    <definedName name="Factor">1000</definedName>
    <definedName name="Full_Tariff_ID">Lists!$G$17:$G$55</definedName>
    <definedName name="Full_Tariff_List">Lists!$B$17:$B$55</definedName>
    <definedName name="Full_Tariff_Type">Lists!$E$17:$E$55</definedName>
    <definedName name="High_Block_1">'Bill Comparison'!$D$121</definedName>
    <definedName name="High_Block_2">'Bill Comparison'!$D$122</definedName>
    <definedName name="High_Days">'Bill Comparison'!$H$16</definedName>
    <definedName name="High_Demand">'Bill Comparison'!$H$10</definedName>
    <definedName name="High_Demand_Exist_TOU">'Bill Comparison'!$J$10</definedName>
    <definedName name="High_Demand_New_TOU">'Bill Comparison'!$I$10</definedName>
    <definedName name="High_Excess_RE">'Bill Comparison'!$H$15</definedName>
    <definedName name="High_Excess_RE_Exist_TOU">'Bill Comparison'!$J$15</definedName>
    <definedName name="High_Excess_RE_New_TOU">'Bill Comparison'!$I$15</definedName>
    <definedName name="High_Months">Inputs!$Q$56</definedName>
    <definedName name="High_OffPeak">'Bill Comparison'!$H$13</definedName>
    <definedName name="High_OffPeak_Exist_TOU">'Bill Comparison'!$J$13</definedName>
    <definedName name="High_OffPeak_New_TOU">'Bill Comparison'!$I$13</definedName>
    <definedName name="High_Peak">'Bill Comparison'!$H$11</definedName>
    <definedName name="High_Peak_Exist_TOU">'Bill Comparison'!$J$11</definedName>
    <definedName name="High_Peak_New_TOU">'Bill Comparison'!$I$11</definedName>
    <definedName name="High_Standard">'Bill Comparison'!$H$12</definedName>
    <definedName name="High_Standard_Exist_TOU">'Bill Comparison'!$J$12</definedName>
    <definedName name="High_Standard_New_TOU">'Bill Comparison'!$I$12</definedName>
    <definedName name="High_Total_Costs_Current">'Workings High'!$F$50:$AR$50</definedName>
    <definedName name="High_Total_Costs_ExVAT_Current">'Workings High'!$F$47:$AR$47</definedName>
    <definedName name="High_Total_Costs_ExVAT_New">'Workings High'!$AU$47:$CF$47</definedName>
    <definedName name="High_Total_Costs_New">'Workings High'!$AU$50:$CF$50</definedName>
    <definedName name="High_Total_Energy">'Bill Comparison'!$H$14</definedName>
    <definedName name="High_Total_Energy_Exist_TOU">'Bill Comparison'!$J$14</definedName>
    <definedName name="High_Total_Energy_New_TOU">'Bill Comparison'!$I$14</definedName>
    <definedName name="High_Utilised_Capacity">'Bill Comparison'!$H$9</definedName>
    <definedName name="High_Utilised_Capacity_Exist_TOU">'Bill Comparison'!$J$9</definedName>
    <definedName name="High_Utilised_Capacity_New_TOU">'Bill Comparison'!$I$9</definedName>
    <definedName name="Inp_ForecastPeriod">#REF!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40933.4382638889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List_Seasons">Lists!$D$108:$D$119</definedName>
    <definedName name="Low_Block_1">'Bill Comparison'!$O$121</definedName>
    <definedName name="Low_Block_2">'Bill Comparison'!$O$122</definedName>
    <definedName name="Low_Days">'Bill Comparison'!$S$16</definedName>
    <definedName name="Low_Demand">'Bill Comparison'!$S$10</definedName>
    <definedName name="Low_Demand_Exist_TOU">'Bill Comparison'!$U$10</definedName>
    <definedName name="Low_Demand_New_TOU">'Bill Comparison'!$T$10</definedName>
    <definedName name="Low_Excess_RE">'Bill Comparison'!$S$15</definedName>
    <definedName name="Low_Excess_RE_Exist_TOU">'Bill Comparison'!$U$15</definedName>
    <definedName name="Low_Excess_RE_New_TOU">'Bill Comparison'!$T$15</definedName>
    <definedName name="Low_Months">Inputs!$Q$55</definedName>
    <definedName name="Low_OffPeak">'Bill Comparison'!$S$13</definedName>
    <definedName name="Low_OffPeak_Exist_TOU">'Bill Comparison'!$U$13</definedName>
    <definedName name="Low_OffPeak_New_TOU">'Bill Comparison'!$T$13</definedName>
    <definedName name="Low_Peak">'Bill Comparison'!$S$11</definedName>
    <definedName name="Low_Peak_Exist_TOU">'Bill Comparison'!$U$11</definedName>
    <definedName name="Low_Peak_New_TOU">'Bill Comparison'!$T$11</definedName>
    <definedName name="Low_Standard">'Bill Comparison'!$S$12</definedName>
    <definedName name="Low_Standard_Exist_TOU">'Bill Comparison'!$U$12</definedName>
    <definedName name="Low_Standard_New_TOU">'Bill Comparison'!$T$12</definedName>
    <definedName name="Low_Total_Costs_Current">'Workings Low'!$F$50:$AR$50</definedName>
    <definedName name="Low_Total_Costs_ExVAT_Current">'Workings Low'!$F$47:$AR$47</definedName>
    <definedName name="Low_Total_Costs_ExVAT_New">'Workings Low'!$AU$47:$CF$47</definedName>
    <definedName name="Low_Total_Costs_New">'Workings Low'!$AU$50:$CF$50</definedName>
    <definedName name="Low_Total_Energy">'Bill Comparison'!$S$14</definedName>
    <definedName name="Low_Total_Energy_Exist_TOU">'Bill Comparison'!$U$14</definedName>
    <definedName name="Low_Total_Energy_New_TOU">'Bill Comparison'!$T$14</definedName>
    <definedName name="Low_Utilised_Capacity">'Bill Comparison'!$S$9</definedName>
    <definedName name="Low_Utilised_Capacity_Exist_TOU">'Bill Comparison'!$U$9</definedName>
    <definedName name="Low_Utilised_Capacity_New_TOU">'Bill Comparison'!$T$9</definedName>
    <definedName name="LPU_Inputs">Inputs!$B$31:$N$59</definedName>
    <definedName name="Matrix_Category_Map">Mapping!$F$22:$G$23</definedName>
    <definedName name="Matrix_Model_Category">Mapping!$F$22:$F$23</definedName>
    <definedName name="Matrix_Model_Tariffs">Mapping!$B$8:$B$46</definedName>
    <definedName name="Matrix_Model_Transmission">Mapping!$F$8:$F$12</definedName>
    <definedName name="Matrix_Model_Voltage">Mapping!$F$16:$F$19</definedName>
    <definedName name="Matrix_Tariff_Map">Mapping!$B$8:$C$46</definedName>
    <definedName name="Matrix_Transmission_Map">Mapping!$F$8:$G$12</definedName>
    <definedName name="Matrix_Voltage_Map">Mapping!$F$16:$G$19</definedName>
    <definedName name="Months">12</definedName>
    <definedName name="Municipality_Period">Lists!$L$8</definedName>
    <definedName name="New_Period">Lists!$L$10</definedName>
    <definedName name="NewRate_EDC_H">'Rates Table'!$AT$29</definedName>
    <definedName name="NewRate_EDC_L">'Rates Table'!$AT$44</definedName>
    <definedName name="NewRate_kWh_H_nontou">'Rates Table'!$AT$26</definedName>
    <definedName name="NewRate_kWh_L_nontou">'Rates Table'!$AT$41</definedName>
    <definedName name="NewRate_kWh_O_high">'Rates Table'!$AT$24</definedName>
    <definedName name="NewRate_kWh_O_low">'Rates Table'!$AT$39</definedName>
    <definedName name="NewRate_kWh_P_high">'Rates Table'!$AT$22</definedName>
    <definedName name="NewRate_kWh_P_low">'Rates Table'!$AT$37</definedName>
    <definedName name="NewRate_kWh_S_high">'Rates Table'!$AT$23</definedName>
    <definedName name="NewRate_kWh_S_low">'Rates Table'!$AT$38</definedName>
    <definedName name="Period">Lists!$L$7</definedName>
    <definedName name="PODs">Inputs!$H$11</definedName>
    <definedName name="_xlnm.Print_Area" localSheetId="1">'Bill Comparison'!$B$6:$T$63</definedName>
    <definedName name="_xlnm.Print_Area" localSheetId="2">'Monthly Comparison'!$B$2:$R$118</definedName>
    <definedName name="_xlnm.Print_Area" localSheetId="3">'Tariff Comparison'!$C$4:$S$32</definedName>
    <definedName name="_xlnm.Print_Titles" localSheetId="1">'Bill Comparison'!$1:$5</definedName>
    <definedName name="RURAL">METADATA!$F$33:$F$34</definedName>
    <definedName name="Selected_Base_Tariff">Lists!$D$10</definedName>
    <definedName name="Selected_Compare_Tariff_ID">Lists!$K$104</definedName>
    <definedName name="Selected_Customer_Category_ID">Lists!$E$8</definedName>
    <definedName name="Selected_Supply_Size">Lists!$D$9</definedName>
    <definedName name="Selected_Supply_Size_ID">Lists!$E$9</definedName>
    <definedName name="Selected_Supply_Voltage">Lists!$D$12</definedName>
    <definedName name="Selected_Tariff_Category">Lists!$D$7</definedName>
    <definedName name="Selected_Tariff_Category_ID">Lists!$E$7</definedName>
    <definedName name="Selected_Tariff_ID">Lists!$E$10</definedName>
    <definedName name="Selected_Tariff_Type">Lists!$D$11</definedName>
    <definedName name="Selected_Tariff_Type_ID">Lists!$E$11</definedName>
    <definedName name="Selected_Transmission">Lists!$D$13</definedName>
    <definedName name="Semi_Annual_Months">6</definedName>
    <definedName name="SPU_Selections">Lists!$J$58:$N$71</definedName>
    <definedName name="Supply_Tariff_List">OFFSET(Lists!$B$58,0,0,Supply_Tariff_List_Count,1)</definedName>
    <definedName name="Supply_Tariff_List_Count">Lists!$B$78</definedName>
    <definedName name="Table_1">'Rates Table'!$E$68</definedName>
    <definedName name="Table_Months">Lists!$B$108:$D$119</definedName>
    <definedName name="Table_Report">'Bill Comparison'!$A$18:$I$112</definedName>
    <definedName name="Tariff_Category_List">Lists!$L$35:$L$36</definedName>
    <definedName name="Toggle_TOU">Lists!$E$14</definedName>
    <definedName name="TOU_High_Days">Inputs!$E$56</definedName>
    <definedName name="TOU_High_Demand">Inputs!$J$56</definedName>
    <definedName name="TOU_High_Demand_Exist_TOU">Inputs!$J$95</definedName>
    <definedName name="TOU_High_Demand_New_TOU">Inputs!$J$137</definedName>
    <definedName name="TOU_High_Excess_RE">Inputs!$L$56</definedName>
    <definedName name="TOU_High_Excess_RE_Exist_TOU">Inputs!$L$95</definedName>
    <definedName name="TOU_High_Excess_RE_New_TOU">Inputs!$L$137</definedName>
    <definedName name="TOU_High_OffPeak">Inputs!$I$56</definedName>
    <definedName name="TOU_High_OffPeak_Exist_TOU">Inputs!$I$95</definedName>
    <definedName name="TOU_High_OffPeak_New_TOU">Inputs!$I$137</definedName>
    <definedName name="TOU_High_Peak">Inputs!$G$56</definedName>
    <definedName name="TOU_High_Peak_Exist_TOU">Inputs!$G$95</definedName>
    <definedName name="TOU_High_Peak_New_TOU">Inputs!$G$137</definedName>
    <definedName name="TOU_High_Standard">Inputs!$H$56</definedName>
    <definedName name="TOU_High_Standard_Exist_TOU">Inputs!$H$95</definedName>
    <definedName name="TOU_High_Standard_New_TOU">Inputs!$H$137</definedName>
    <definedName name="TOU_High_Total_Energy">Inputs!$M$56</definedName>
    <definedName name="TOU_High_Total_Energy_Exist_TOU">Inputs!$M$95</definedName>
    <definedName name="TOU_High_Total_Energy_New_TOU">Inputs!$M$137</definedName>
    <definedName name="TOU_High_UC">Inputs!$K$56</definedName>
    <definedName name="TOU_High_UC_Exist_TOU">Inputs!$K$95</definedName>
    <definedName name="TOU_High_UC_New_TOU">Inputs!$K$137</definedName>
    <definedName name="TOU_indicator">Lists!$F$10</definedName>
    <definedName name="TOU_indicator_RTP">Lists!$G$10</definedName>
    <definedName name="TOU_Low_Days">Inputs!$E$55</definedName>
    <definedName name="TOU_Low_Demand">Inputs!$J$55</definedName>
    <definedName name="TOU_Low_Demand_Exist_TOU">Inputs!$J$94</definedName>
    <definedName name="TOU_Low_Demand_New_TOU">Inputs!$J$136</definedName>
    <definedName name="TOU_Low_Excess_RE">Inputs!$L$55</definedName>
    <definedName name="TOU_Low_Excess_RE_Exist_TOU">Inputs!$L$94</definedName>
    <definedName name="TOU_Low_Excess_RE_New_TOU">Inputs!$L$136</definedName>
    <definedName name="TOU_Low_OffPeak">Inputs!$I$55</definedName>
    <definedName name="TOU_Low_OffPeak_Exist_TOU">Inputs!$I$94</definedName>
    <definedName name="TOU_Low_OffPeak_New_TOU">Inputs!$I$136</definedName>
    <definedName name="TOU_Low_Peak">Inputs!$G$55</definedName>
    <definedName name="TOU_Low_Peak_Exist_TOU">Inputs!$G$94</definedName>
    <definedName name="TOU_Low_Peak_New_TOU">Inputs!$G$136</definedName>
    <definedName name="TOU_Low_Standard">Inputs!$H$55</definedName>
    <definedName name="TOU_Low_Standard_Exist_TOU">Inputs!$H$94</definedName>
    <definedName name="TOU_Low_Standard_New_TOU">Inputs!$H$136</definedName>
    <definedName name="TOU_Low_Total_Energy">Inputs!$M$55</definedName>
    <definedName name="TOU_Low_Total_Energy_Exist_TOU">Inputs!$M$94</definedName>
    <definedName name="TOU_Low_Total_Energy_New_TOU">Inputs!$M$136</definedName>
    <definedName name="TOU_Low_UC">Inputs!$K$55</definedName>
    <definedName name="TOU_Low_UC_Exist_TOU">Inputs!$K$94</definedName>
    <definedName name="TOU_Low_UC_New_TOU">Inputs!$K$136</definedName>
    <definedName name="TOU_Period">Lists!$L$7</definedName>
    <definedName name="TOU_periods">#REF!</definedName>
    <definedName name="TOU_Total_days">Inputs!$E$58</definedName>
    <definedName name="Transmission_List">OFFSET(Lists!$B$98,0,0,Transmission_List_Count,1)</definedName>
    <definedName name="Transmission_List_Count">Lists!$B$103</definedName>
    <definedName name="URBAN">METADATA!$E$33:$E$36</definedName>
    <definedName name="VAT">Lists!$L$12</definedName>
    <definedName name="Voltage_List">OFFSET(Lists!$B$90,0,0,Voltage_List_Count,1)</definedName>
    <definedName name="Voltage_List_Count">Lists!$B$95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" i="1" l="1"/>
  <c r="AR7" i="30" l="1"/>
  <c r="BV43" i="29" l="1"/>
  <c r="BM43" i="29"/>
  <c r="BV42" i="29"/>
  <c r="BM42" i="29"/>
  <c r="BV28" i="29"/>
  <c r="BM28" i="29"/>
  <c r="BV27" i="29"/>
  <c r="BM27" i="29"/>
  <c r="AG43" i="29"/>
  <c r="AG42" i="29"/>
  <c r="AG28" i="29"/>
  <c r="AG27" i="29"/>
  <c r="H71" i="12"/>
  <c r="H72" i="12"/>
  <c r="H73" i="12"/>
  <c r="H74" i="12"/>
  <c r="H75" i="12"/>
  <c r="H76" i="12"/>
  <c r="H77" i="12"/>
  <c r="H78" i="12"/>
  <c r="H79" i="12"/>
  <c r="H80" i="12"/>
  <c r="H81" i="12"/>
  <c r="H82" i="12"/>
  <c r="H83" i="12"/>
  <c r="H84" i="12"/>
  <c r="H85" i="12"/>
  <c r="H86" i="12"/>
  <c r="AG8" i="29" l="1"/>
  <c r="AG50" i="29" s="1"/>
  <c r="AH8" i="29"/>
  <c r="AH50" i="29" s="1"/>
  <c r="AI8" i="29"/>
  <c r="AI50" i="29" s="1"/>
  <c r="AJ8" i="29"/>
  <c r="AJ50" i="29" s="1"/>
  <c r="AK8" i="29"/>
  <c r="AK20" i="29" s="1"/>
  <c r="AJ20" i="29" l="1"/>
  <c r="AI20" i="29"/>
  <c r="AH20" i="29"/>
  <c r="AG20" i="29"/>
  <c r="AK35" i="29"/>
  <c r="AJ35" i="29"/>
  <c r="AH35" i="29"/>
  <c r="AG35" i="29"/>
  <c r="AI35" i="29"/>
  <c r="AK50" i="29"/>
  <c r="H66" i="2" l="1"/>
  <c r="G66" i="2"/>
  <c r="F66" i="2"/>
  <c r="E66" i="2"/>
  <c r="D66" i="2"/>
  <c r="C66" i="2"/>
  <c r="H65" i="2"/>
  <c r="G65" i="2"/>
  <c r="F65" i="2"/>
  <c r="E65" i="2"/>
  <c r="D65" i="2"/>
  <c r="C65" i="2"/>
  <c r="H64" i="2"/>
  <c r="G64" i="2"/>
  <c r="F64" i="2"/>
  <c r="E64" i="2"/>
  <c r="D64" i="2"/>
  <c r="C64" i="2"/>
  <c r="H63" i="2"/>
  <c r="G63" i="2"/>
  <c r="F63" i="2"/>
  <c r="E63" i="2"/>
  <c r="D63" i="2"/>
  <c r="C63" i="2"/>
  <c r="Y7" i="30" l="1"/>
  <c r="Z7" i="30" s="1"/>
  <c r="AA7" i="30" s="1"/>
  <c r="AB7" i="30" s="1"/>
  <c r="AC7" i="30" s="1"/>
  <c r="AD7" i="30" s="1"/>
  <c r="AE7" i="30" s="1"/>
  <c r="AF7" i="30" s="1"/>
  <c r="AG7" i="30" s="1"/>
  <c r="AH7" i="30" s="1"/>
  <c r="AI7" i="30" s="1"/>
  <c r="AJ7" i="30" s="1"/>
  <c r="AK7" i="30" s="1"/>
  <c r="AL7" i="30" s="1"/>
  <c r="AM7" i="30" s="1"/>
  <c r="AN7" i="30" s="1"/>
  <c r="AO7" i="30" s="1"/>
  <c r="AP7" i="30" s="1"/>
  <c r="AQ7" i="30" s="1"/>
  <c r="X7" i="30"/>
  <c r="CF56" i="31" l="1"/>
  <c r="CE56" i="31"/>
  <c r="CD56" i="31"/>
  <c r="CC56" i="31"/>
  <c r="CB56" i="31"/>
  <c r="CA56" i="31"/>
  <c r="BZ56" i="31"/>
  <c r="BY56" i="31"/>
  <c r="BX56" i="31"/>
  <c r="BW56" i="31"/>
  <c r="BV56" i="31"/>
  <c r="BU56" i="31"/>
  <c r="BT56" i="31"/>
  <c r="BS56" i="31"/>
  <c r="BR56" i="31"/>
  <c r="BQ56" i="31"/>
  <c r="BP56" i="31"/>
  <c r="BO56" i="31"/>
  <c r="BN56" i="31"/>
  <c r="BM56" i="31"/>
  <c r="BL56" i="31"/>
  <c r="BK56" i="31"/>
  <c r="BJ56" i="31"/>
  <c r="BI56" i="31"/>
  <c r="BH56" i="31"/>
  <c r="BG56" i="31"/>
  <c r="BF56" i="31"/>
  <c r="BE56" i="31"/>
  <c r="BD56" i="31"/>
  <c r="BC56" i="31"/>
  <c r="BB56" i="31"/>
  <c r="BA56" i="31"/>
  <c r="AZ56" i="31"/>
  <c r="AY56" i="31"/>
  <c r="AX56" i="31"/>
  <c r="AW56" i="31"/>
  <c r="AV56" i="31"/>
  <c r="AU56" i="31"/>
  <c r="AR56" i="30"/>
  <c r="X7" i="31"/>
  <c r="Y7" i="31" s="1"/>
  <c r="Z7" i="31" s="1"/>
  <c r="AA7" i="31" s="1"/>
  <c r="AB7" i="31" s="1"/>
  <c r="AC7" i="31" s="1"/>
  <c r="AD7" i="31" s="1"/>
  <c r="AE7" i="31" s="1"/>
  <c r="AF7" i="31" s="1"/>
  <c r="AG7" i="31" s="1"/>
  <c r="AH7" i="31" s="1"/>
  <c r="AI7" i="31" s="1"/>
  <c r="AJ7" i="31" s="1"/>
  <c r="AK7" i="31" s="1"/>
  <c r="AL7" i="31" s="1"/>
  <c r="AM7" i="31" s="1"/>
  <c r="AN7" i="31" s="1"/>
  <c r="AO7" i="31" s="1"/>
  <c r="AP7" i="31" s="1"/>
  <c r="AQ7" i="31" s="1"/>
  <c r="AR7" i="31" s="1"/>
  <c r="AR8" i="29"/>
  <c r="AR35" i="29" s="1"/>
  <c r="F55" i="2"/>
  <c r="E55" i="2" s="1"/>
  <c r="F54" i="2"/>
  <c r="E54" i="2" s="1"/>
  <c r="F53" i="2"/>
  <c r="E53" i="2" s="1"/>
  <c r="F52" i="2"/>
  <c r="E52" i="2" s="1"/>
  <c r="F51" i="2"/>
  <c r="E51" i="2" s="1"/>
  <c r="F50" i="2"/>
  <c r="E50" i="2" s="1"/>
  <c r="F49" i="2"/>
  <c r="E49" i="2" s="1"/>
  <c r="F48" i="2"/>
  <c r="E48" i="2" s="1"/>
  <c r="F47" i="2"/>
  <c r="E47" i="2"/>
  <c r="F46" i="2"/>
  <c r="E46" i="2" s="1"/>
  <c r="F45" i="2"/>
  <c r="E45" i="2" s="1"/>
  <c r="F44" i="2"/>
  <c r="E44" i="2" s="1"/>
  <c r="F43" i="2"/>
  <c r="E43" i="2" s="1"/>
  <c r="F42" i="2"/>
  <c r="E42" i="2" s="1"/>
  <c r="F41" i="2"/>
  <c r="E41" i="2" s="1"/>
  <c r="F40" i="2"/>
  <c r="E40" i="2"/>
  <c r="F39" i="2"/>
  <c r="E39" i="2"/>
  <c r="F38" i="2"/>
  <c r="E38" i="2" s="1"/>
  <c r="B38" i="2"/>
  <c r="F37" i="2"/>
  <c r="E37" i="2" s="1"/>
  <c r="B37" i="2"/>
  <c r="F36" i="2"/>
  <c r="E36" i="2" s="1"/>
  <c r="B36" i="2"/>
  <c r="AR6" i="30" l="1"/>
  <c r="AR56" i="31"/>
  <c r="AR6" i="31"/>
  <c r="AR20" i="29"/>
  <c r="AR50" i="29"/>
  <c r="H62" i="2" l="1"/>
  <c r="M4" i="50" l="1"/>
  <c r="N4" i="50" l="1"/>
  <c r="D27" i="50" l="1"/>
  <c r="D26" i="50"/>
  <c r="D25" i="50"/>
  <c r="D24" i="50"/>
  <c r="D23" i="50"/>
  <c r="D22" i="50"/>
  <c r="D21" i="50"/>
  <c r="D20" i="50"/>
  <c r="D19" i="50"/>
  <c r="D18" i="50"/>
  <c r="D17" i="50"/>
  <c r="D16" i="50"/>
  <c r="D15" i="50"/>
  <c r="D14" i="50"/>
  <c r="D13" i="50"/>
  <c r="D12" i="50"/>
  <c r="D11" i="50"/>
  <c r="D10" i="50"/>
  <c r="D9" i="50"/>
  <c r="D8" i="50"/>
  <c r="D7" i="50"/>
  <c r="D6" i="50"/>
  <c r="D5" i="50"/>
  <c r="D4" i="50"/>
  <c r="E36" i="51"/>
  <c r="E35" i="51"/>
  <c r="N8763" i="50"/>
  <c r="M8763" i="50"/>
  <c r="N8762" i="50"/>
  <c r="M8762" i="50"/>
  <c r="N8761" i="50"/>
  <c r="M8761" i="50"/>
  <c r="N8760" i="50"/>
  <c r="M8760" i="50"/>
  <c r="N8759" i="50"/>
  <c r="M8759" i="50"/>
  <c r="N8758" i="50"/>
  <c r="M8758" i="50"/>
  <c r="N8757" i="50"/>
  <c r="M8757" i="50"/>
  <c r="N8756" i="50"/>
  <c r="M8756" i="50"/>
  <c r="N8755" i="50"/>
  <c r="M8755" i="50"/>
  <c r="N8754" i="50"/>
  <c r="M8754" i="50"/>
  <c r="N8753" i="50"/>
  <c r="M8753" i="50"/>
  <c r="N8752" i="50"/>
  <c r="M8752" i="50"/>
  <c r="N8751" i="50"/>
  <c r="M8751" i="50"/>
  <c r="N8750" i="50"/>
  <c r="M8750" i="50"/>
  <c r="N8749" i="50"/>
  <c r="M8749" i="50"/>
  <c r="N8748" i="50"/>
  <c r="M8748" i="50"/>
  <c r="N8747" i="50"/>
  <c r="M8747" i="50"/>
  <c r="N8746" i="50"/>
  <c r="M8746" i="50"/>
  <c r="N8745" i="50"/>
  <c r="M8745" i="50"/>
  <c r="N8744" i="50"/>
  <c r="M8744" i="50"/>
  <c r="N8743" i="50"/>
  <c r="M8743" i="50"/>
  <c r="N8742" i="50"/>
  <c r="M8742" i="50"/>
  <c r="N8741" i="50"/>
  <c r="M8741" i="50"/>
  <c r="N8740" i="50"/>
  <c r="M8740" i="50"/>
  <c r="N8739" i="50"/>
  <c r="M8739" i="50"/>
  <c r="N8738" i="50"/>
  <c r="M8738" i="50"/>
  <c r="N8737" i="50"/>
  <c r="M8737" i="50"/>
  <c r="N8736" i="50"/>
  <c r="M8736" i="50"/>
  <c r="N8735" i="50"/>
  <c r="M8735" i="50"/>
  <c r="N8734" i="50"/>
  <c r="M8734" i="50"/>
  <c r="N8733" i="50"/>
  <c r="M8733" i="50"/>
  <c r="N8732" i="50"/>
  <c r="M8732" i="50"/>
  <c r="N8731" i="50"/>
  <c r="M8731" i="50"/>
  <c r="N8730" i="50"/>
  <c r="M8730" i="50"/>
  <c r="N8729" i="50"/>
  <c r="M8729" i="50"/>
  <c r="N8728" i="50"/>
  <c r="M8728" i="50"/>
  <c r="N8727" i="50"/>
  <c r="M8727" i="50"/>
  <c r="N8726" i="50"/>
  <c r="M8726" i="50"/>
  <c r="N8725" i="50"/>
  <c r="M8725" i="50"/>
  <c r="N8724" i="50"/>
  <c r="M8724" i="50"/>
  <c r="N8723" i="50"/>
  <c r="M8723" i="50"/>
  <c r="N8722" i="50"/>
  <c r="M8722" i="50"/>
  <c r="N8721" i="50"/>
  <c r="M8721" i="50"/>
  <c r="N8720" i="50"/>
  <c r="M8720" i="50"/>
  <c r="N8719" i="50"/>
  <c r="M8719" i="50"/>
  <c r="N8718" i="50"/>
  <c r="M8718" i="50"/>
  <c r="N8717" i="50"/>
  <c r="M8717" i="50"/>
  <c r="N8716" i="50"/>
  <c r="M8716" i="50"/>
  <c r="N8715" i="50"/>
  <c r="M8715" i="50"/>
  <c r="N8714" i="50"/>
  <c r="M8714" i="50"/>
  <c r="N8713" i="50"/>
  <c r="M8713" i="50"/>
  <c r="N8712" i="50"/>
  <c r="M8712" i="50"/>
  <c r="N8711" i="50"/>
  <c r="M8711" i="50"/>
  <c r="N8710" i="50"/>
  <c r="M8710" i="50"/>
  <c r="N8709" i="50"/>
  <c r="M8709" i="50"/>
  <c r="N8708" i="50"/>
  <c r="M8708" i="50"/>
  <c r="N8707" i="50"/>
  <c r="M8707" i="50"/>
  <c r="N8706" i="50"/>
  <c r="M8706" i="50"/>
  <c r="N8705" i="50"/>
  <c r="M8705" i="50"/>
  <c r="N8704" i="50"/>
  <c r="M8704" i="50"/>
  <c r="N8703" i="50"/>
  <c r="M8703" i="50"/>
  <c r="N8702" i="50"/>
  <c r="M8702" i="50"/>
  <c r="N8701" i="50"/>
  <c r="M8701" i="50"/>
  <c r="N8700" i="50"/>
  <c r="M8700" i="50"/>
  <c r="N8699" i="50"/>
  <c r="M8699" i="50"/>
  <c r="N8698" i="50"/>
  <c r="M8698" i="50"/>
  <c r="N8697" i="50"/>
  <c r="M8697" i="50"/>
  <c r="N8696" i="50"/>
  <c r="M8696" i="50"/>
  <c r="N8695" i="50"/>
  <c r="M8695" i="50"/>
  <c r="N8694" i="50"/>
  <c r="M8694" i="50"/>
  <c r="N8693" i="50"/>
  <c r="M8693" i="50"/>
  <c r="N8692" i="50"/>
  <c r="M8692" i="50"/>
  <c r="N8691" i="50"/>
  <c r="M8691" i="50"/>
  <c r="N8690" i="50"/>
  <c r="M8690" i="50"/>
  <c r="N8689" i="50"/>
  <c r="M8689" i="50"/>
  <c r="N8688" i="50"/>
  <c r="M8688" i="50"/>
  <c r="N8687" i="50"/>
  <c r="M8687" i="50"/>
  <c r="N8686" i="50"/>
  <c r="M8686" i="50"/>
  <c r="N8685" i="50"/>
  <c r="M8685" i="50"/>
  <c r="N8684" i="50"/>
  <c r="M8684" i="50"/>
  <c r="N8683" i="50"/>
  <c r="M8683" i="50"/>
  <c r="N8682" i="50"/>
  <c r="M8682" i="50"/>
  <c r="N8681" i="50"/>
  <c r="M8681" i="50"/>
  <c r="N8680" i="50"/>
  <c r="M8680" i="50"/>
  <c r="N8679" i="50"/>
  <c r="M8679" i="50"/>
  <c r="N8678" i="50"/>
  <c r="M8678" i="50"/>
  <c r="N8677" i="50"/>
  <c r="M8677" i="50"/>
  <c r="N8676" i="50"/>
  <c r="M8676" i="50"/>
  <c r="N8675" i="50"/>
  <c r="M8675" i="50"/>
  <c r="N8674" i="50"/>
  <c r="M8674" i="50"/>
  <c r="N8673" i="50"/>
  <c r="M8673" i="50"/>
  <c r="N8672" i="50"/>
  <c r="M8672" i="50"/>
  <c r="N8671" i="50"/>
  <c r="M8671" i="50"/>
  <c r="N8670" i="50"/>
  <c r="M8670" i="50"/>
  <c r="N8669" i="50"/>
  <c r="M8669" i="50"/>
  <c r="N8668" i="50"/>
  <c r="M8668" i="50"/>
  <c r="N8667" i="50"/>
  <c r="M8667" i="50"/>
  <c r="N8666" i="50"/>
  <c r="M8666" i="50"/>
  <c r="N8665" i="50"/>
  <c r="M8665" i="50"/>
  <c r="N8664" i="50"/>
  <c r="M8664" i="50"/>
  <c r="N8663" i="50"/>
  <c r="M8663" i="50"/>
  <c r="N8662" i="50"/>
  <c r="M8662" i="50"/>
  <c r="N8661" i="50"/>
  <c r="M8661" i="50"/>
  <c r="N8660" i="50"/>
  <c r="M8660" i="50"/>
  <c r="N8659" i="50"/>
  <c r="M8659" i="50"/>
  <c r="N8658" i="50"/>
  <c r="M8658" i="50"/>
  <c r="N8657" i="50"/>
  <c r="M8657" i="50"/>
  <c r="N8656" i="50"/>
  <c r="M8656" i="50"/>
  <c r="N8655" i="50"/>
  <c r="M8655" i="50"/>
  <c r="N8654" i="50"/>
  <c r="M8654" i="50"/>
  <c r="N8653" i="50"/>
  <c r="M8653" i="50"/>
  <c r="N8652" i="50"/>
  <c r="M8652" i="50"/>
  <c r="N8651" i="50"/>
  <c r="M8651" i="50"/>
  <c r="N8650" i="50"/>
  <c r="M8650" i="50"/>
  <c r="N8649" i="50"/>
  <c r="M8649" i="50"/>
  <c r="N8648" i="50"/>
  <c r="M8648" i="50"/>
  <c r="N8647" i="50"/>
  <c r="M8647" i="50"/>
  <c r="N8646" i="50"/>
  <c r="M8646" i="50"/>
  <c r="N8645" i="50"/>
  <c r="M8645" i="50"/>
  <c r="N8644" i="50"/>
  <c r="M8644" i="50"/>
  <c r="N8643" i="50"/>
  <c r="M8643" i="50"/>
  <c r="N8642" i="50"/>
  <c r="M8642" i="50"/>
  <c r="N8641" i="50"/>
  <c r="M8641" i="50"/>
  <c r="N8640" i="50"/>
  <c r="M8640" i="50"/>
  <c r="N8639" i="50"/>
  <c r="M8639" i="50"/>
  <c r="N8638" i="50"/>
  <c r="M8638" i="50"/>
  <c r="N8637" i="50"/>
  <c r="M8637" i="50"/>
  <c r="N8636" i="50"/>
  <c r="M8636" i="50"/>
  <c r="N8635" i="50"/>
  <c r="M8635" i="50"/>
  <c r="N8634" i="50"/>
  <c r="M8634" i="50"/>
  <c r="N8633" i="50"/>
  <c r="M8633" i="50"/>
  <c r="N8632" i="50"/>
  <c r="M8632" i="50"/>
  <c r="N8631" i="50"/>
  <c r="M8631" i="50"/>
  <c r="N8630" i="50"/>
  <c r="M8630" i="50"/>
  <c r="N8629" i="50"/>
  <c r="M8629" i="50"/>
  <c r="N8628" i="50"/>
  <c r="M8628" i="50"/>
  <c r="N8627" i="50"/>
  <c r="M8627" i="50"/>
  <c r="N8626" i="50"/>
  <c r="M8626" i="50"/>
  <c r="N8625" i="50"/>
  <c r="M8625" i="50"/>
  <c r="N8624" i="50"/>
  <c r="M8624" i="50"/>
  <c r="N8623" i="50"/>
  <c r="M8623" i="50"/>
  <c r="N8622" i="50"/>
  <c r="M8622" i="50"/>
  <c r="N8621" i="50"/>
  <c r="M8621" i="50"/>
  <c r="N8620" i="50"/>
  <c r="M8620" i="50"/>
  <c r="N8619" i="50"/>
  <c r="M8619" i="50"/>
  <c r="N8618" i="50"/>
  <c r="M8618" i="50"/>
  <c r="N8617" i="50"/>
  <c r="M8617" i="50"/>
  <c r="N8616" i="50"/>
  <c r="M8616" i="50"/>
  <c r="N8615" i="50"/>
  <c r="M8615" i="50"/>
  <c r="N8614" i="50"/>
  <c r="M8614" i="50"/>
  <c r="N8613" i="50"/>
  <c r="M8613" i="50"/>
  <c r="N8612" i="50"/>
  <c r="M8612" i="50"/>
  <c r="N8611" i="50"/>
  <c r="M8611" i="50"/>
  <c r="N8610" i="50"/>
  <c r="M8610" i="50"/>
  <c r="N8609" i="50"/>
  <c r="M8609" i="50"/>
  <c r="N8608" i="50"/>
  <c r="M8608" i="50"/>
  <c r="N8607" i="50"/>
  <c r="M8607" i="50"/>
  <c r="N8606" i="50"/>
  <c r="M8606" i="50"/>
  <c r="N8605" i="50"/>
  <c r="M8605" i="50"/>
  <c r="N8604" i="50"/>
  <c r="M8604" i="50"/>
  <c r="N8603" i="50"/>
  <c r="M8603" i="50"/>
  <c r="N8602" i="50"/>
  <c r="M8602" i="50"/>
  <c r="N8601" i="50"/>
  <c r="M8601" i="50"/>
  <c r="N8600" i="50"/>
  <c r="M8600" i="50"/>
  <c r="N8599" i="50"/>
  <c r="M8599" i="50"/>
  <c r="N8598" i="50"/>
  <c r="M8598" i="50"/>
  <c r="N8597" i="50"/>
  <c r="M8597" i="50"/>
  <c r="N8596" i="50"/>
  <c r="M8596" i="50"/>
  <c r="N8595" i="50"/>
  <c r="M8595" i="50"/>
  <c r="N8594" i="50"/>
  <c r="M8594" i="50"/>
  <c r="N8593" i="50"/>
  <c r="M8593" i="50"/>
  <c r="N8592" i="50"/>
  <c r="M8592" i="50"/>
  <c r="N8591" i="50"/>
  <c r="M8591" i="50"/>
  <c r="N8590" i="50"/>
  <c r="M8590" i="50"/>
  <c r="N8589" i="50"/>
  <c r="M8589" i="50"/>
  <c r="N8588" i="50"/>
  <c r="M8588" i="50"/>
  <c r="N8587" i="50"/>
  <c r="M8587" i="50"/>
  <c r="N8586" i="50"/>
  <c r="M8586" i="50"/>
  <c r="N8585" i="50"/>
  <c r="M8585" i="50"/>
  <c r="N8584" i="50"/>
  <c r="M8584" i="50"/>
  <c r="N8583" i="50"/>
  <c r="M8583" i="50"/>
  <c r="N8582" i="50"/>
  <c r="M8582" i="50"/>
  <c r="N8581" i="50"/>
  <c r="M8581" i="50"/>
  <c r="N8580" i="50"/>
  <c r="M8580" i="50"/>
  <c r="N8579" i="50"/>
  <c r="M8579" i="50"/>
  <c r="N8578" i="50"/>
  <c r="M8578" i="50"/>
  <c r="N8577" i="50"/>
  <c r="M8577" i="50"/>
  <c r="N8576" i="50"/>
  <c r="M8576" i="50"/>
  <c r="N8575" i="50"/>
  <c r="M8575" i="50"/>
  <c r="N8574" i="50"/>
  <c r="M8574" i="50"/>
  <c r="N8573" i="50"/>
  <c r="M8573" i="50"/>
  <c r="N8572" i="50"/>
  <c r="M8572" i="50"/>
  <c r="N8571" i="50"/>
  <c r="M8571" i="50"/>
  <c r="N8570" i="50"/>
  <c r="M8570" i="50"/>
  <c r="N8569" i="50"/>
  <c r="M8569" i="50"/>
  <c r="N8568" i="50"/>
  <c r="M8568" i="50"/>
  <c r="N8567" i="50"/>
  <c r="M8567" i="50"/>
  <c r="N8566" i="50"/>
  <c r="M8566" i="50"/>
  <c r="N8565" i="50"/>
  <c r="M8565" i="50"/>
  <c r="N8564" i="50"/>
  <c r="M8564" i="50"/>
  <c r="N8563" i="50"/>
  <c r="M8563" i="50"/>
  <c r="N8562" i="50"/>
  <c r="M8562" i="50"/>
  <c r="N8561" i="50"/>
  <c r="M8561" i="50"/>
  <c r="N8560" i="50"/>
  <c r="M8560" i="50"/>
  <c r="N8559" i="50"/>
  <c r="M8559" i="50"/>
  <c r="N8558" i="50"/>
  <c r="M8558" i="50"/>
  <c r="N8557" i="50"/>
  <c r="M8557" i="50"/>
  <c r="N8556" i="50"/>
  <c r="M8556" i="50"/>
  <c r="N8555" i="50"/>
  <c r="M8555" i="50"/>
  <c r="N8554" i="50"/>
  <c r="M8554" i="50"/>
  <c r="N8553" i="50"/>
  <c r="M8553" i="50"/>
  <c r="N8552" i="50"/>
  <c r="M8552" i="50"/>
  <c r="N8551" i="50"/>
  <c r="M8551" i="50"/>
  <c r="N8550" i="50"/>
  <c r="M8550" i="50"/>
  <c r="N8549" i="50"/>
  <c r="M8549" i="50"/>
  <c r="N8548" i="50"/>
  <c r="M8548" i="50"/>
  <c r="N8547" i="50"/>
  <c r="M8547" i="50"/>
  <c r="N8546" i="50"/>
  <c r="M8546" i="50"/>
  <c r="N8545" i="50"/>
  <c r="M8545" i="50"/>
  <c r="N8544" i="50"/>
  <c r="M8544" i="50"/>
  <c r="N8543" i="50"/>
  <c r="M8543" i="50"/>
  <c r="N8542" i="50"/>
  <c r="M8542" i="50"/>
  <c r="N8541" i="50"/>
  <c r="M8541" i="50"/>
  <c r="N8540" i="50"/>
  <c r="M8540" i="50"/>
  <c r="N8539" i="50"/>
  <c r="M8539" i="50"/>
  <c r="N8538" i="50"/>
  <c r="M8538" i="50"/>
  <c r="N8537" i="50"/>
  <c r="M8537" i="50"/>
  <c r="N8536" i="50"/>
  <c r="M8536" i="50"/>
  <c r="N8535" i="50"/>
  <c r="M8535" i="50"/>
  <c r="N8534" i="50"/>
  <c r="M8534" i="50"/>
  <c r="N8533" i="50"/>
  <c r="M8533" i="50"/>
  <c r="N8532" i="50"/>
  <c r="M8532" i="50"/>
  <c r="N8531" i="50"/>
  <c r="M8531" i="50"/>
  <c r="N8530" i="50"/>
  <c r="M8530" i="50"/>
  <c r="N8529" i="50"/>
  <c r="M8529" i="50"/>
  <c r="N8528" i="50"/>
  <c r="M8528" i="50"/>
  <c r="N8527" i="50"/>
  <c r="M8527" i="50"/>
  <c r="N8526" i="50"/>
  <c r="M8526" i="50"/>
  <c r="N8525" i="50"/>
  <c r="M8525" i="50"/>
  <c r="N8524" i="50"/>
  <c r="M8524" i="50"/>
  <c r="N8523" i="50"/>
  <c r="M8523" i="50"/>
  <c r="N8522" i="50"/>
  <c r="M8522" i="50"/>
  <c r="N8521" i="50"/>
  <c r="M8521" i="50"/>
  <c r="N8520" i="50"/>
  <c r="M8520" i="50"/>
  <c r="N8519" i="50"/>
  <c r="M8519" i="50"/>
  <c r="N8518" i="50"/>
  <c r="M8518" i="50"/>
  <c r="N8517" i="50"/>
  <c r="M8517" i="50"/>
  <c r="N8516" i="50"/>
  <c r="M8516" i="50"/>
  <c r="N8515" i="50"/>
  <c r="M8515" i="50"/>
  <c r="N8514" i="50"/>
  <c r="M8514" i="50"/>
  <c r="N8513" i="50"/>
  <c r="M8513" i="50"/>
  <c r="N8512" i="50"/>
  <c r="M8512" i="50"/>
  <c r="N8511" i="50"/>
  <c r="M8511" i="50"/>
  <c r="N8510" i="50"/>
  <c r="M8510" i="50"/>
  <c r="N8509" i="50"/>
  <c r="M8509" i="50"/>
  <c r="N8508" i="50"/>
  <c r="M8508" i="50"/>
  <c r="N8507" i="50"/>
  <c r="M8507" i="50"/>
  <c r="N8506" i="50"/>
  <c r="M8506" i="50"/>
  <c r="N8505" i="50"/>
  <c r="M8505" i="50"/>
  <c r="N8504" i="50"/>
  <c r="M8504" i="50"/>
  <c r="N8503" i="50"/>
  <c r="M8503" i="50"/>
  <c r="N8502" i="50"/>
  <c r="M8502" i="50"/>
  <c r="N8501" i="50"/>
  <c r="M8501" i="50"/>
  <c r="N8500" i="50"/>
  <c r="M8500" i="50"/>
  <c r="N8499" i="50"/>
  <c r="M8499" i="50"/>
  <c r="N8498" i="50"/>
  <c r="M8498" i="50"/>
  <c r="N8497" i="50"/>
  <c r="M8497" i="50"/>
  <c r="N8496" i="50"/>
  <c r="M8496" i="50"/>
  <c r="N8495" i="50"/>
  <c r="M8495" i="50"/>
  <c r="N8494" i="50"/>
  <c r="M8494" i="50"/>
  <c r="N8493" i="50"/>
  <c r="M8493" i="50"/>
  <c r="N8492" i="50"/>
  <c r="M8492" i="50"/>
  <c r="N8491" i="50"/>
  <c r="M8491" i="50"/>
  <c r="N8490" i="50"/>
  <c r="M8490" i="50"/>
  <c r="N8489" i="50"/>
  <c r="M8489" i="50"/>
  <c r="N8488" i="50"/>
  <c r="M8488" i="50"/>
  <c r="N8487" i="50"/>
  <c r="M8487" i="50"/>
  <c r="N8486" i="50"/>
  <c r="M8486" i="50"/>
  <c r="N8485" i="50"/>
  <c r="M8485" i="50"/>
  <c r="N8484" i="50"/>
  <c r="M8484" i="50"/>
  <c r="N8483" i="50"/>
  <c r="M8483" i="50"/>
  <c r="N8482" i="50"/>
  <c r="M8482" i="50"/>
  <c r="N8481" i="50"/>
  <c r="M8481" i="50"/>
  <c r="N8480" i="50"/>
  <c r="M8480" i="50"/>
  <c r="N8479" i="50"/>
  <c r="M8479" i="50"/>
  <c r="N8478" i="50"/>
  <c r="M8478" i="50"/>
  <c r="N8477" i="50"/>
  <c r="M8477" i="50"/>
  <c r="N8476" i="50"/>
  <c r="M8476" i="50"/>
  <c r="N8475" i="50"/>
  <c r="M8475" i="50"/>
  <c r="N8474" i="50"/>
  <c r="M8474" i="50"/>
  <c r="N8473" i="50"/>
  <c r="M8473" i="50"/>
  <c r="N8472" i="50"/>
  <c r="M8472" i="50"/>
  <c r="N8471" i="50"/>
  <c r="M8471" i="50"/>
  <c r="N8470" i="50"/>
  <c r="M8470" i="50"/>
  <c r="N8469" i="50"/>
  <c r="M8469" i="50"/>
  <c r="N8468" i="50"/>
  <c r="M8468" i="50"/>
  <c r="N8467" i="50"/>
  <c r="M8467" i="50"/>
  <c r="N8466" i="50"/>
  <c r="M8466" i="50"/>
  <c r="N8465" i="50"/>
  <c r="M8465" i="50"/>
  <c r="N8464" i="50"/>
  <c r="M8464" i="50"/>
  <c r="N8463" i="50"/>
  <c r="M8463" i="50"/>
  <c r="N8462" i="50"/>
  <c r="M8462" i="50"/>
  <c r="N8461" i="50"/>
  <c r="M8461" i="50"/>
  <c r="N8460" i="50"/>
  <c r="M8460" i="50"/>
  <c r="N8459" i="50"/>
  <c r="M8459" i="50"/>
  <c r="N8458" i="50"/>
  <c r="M8458" i="50"/>
  <c r="N8457" i="50"/>
  <c r="M8457" i="50"/>
  <c r="N8456" i="50"/>
  <c r="M8456" i="50"/>
  <c r="N8455" i="50"/>
  <c r="M8455" i="50"/>
  <c r="N8454" i="50"/>
  <c r="M8454" i="50"/>
  <c r="N8453" i="50"/>
  <c r="M8453" i="50"/>
  <c r="N8452" i="50"/>
  <c r="M8452" i="50"/>
  <c r="N8451" i="50"/>
  <c r="M8451" i="50"/>
  <c r="N8450" i="50"/>
  <c r="M8450" i="50"/>
  <c r="N8449" i="50"/>
  <c r="M8449" i="50"/>
  <c r="N8448" i="50"/>
  <c r="M8448" i="50"/>
  <c r="N8447" i="50"/>
  <c r="M8447" i="50"/>
  <c r="N8446" i="50"/>
  <c r="M8446" i="50"/>
  <c r="N8445" i="50"/>
  <c r="M8445" i="50"/>
  <c r="N8444" i="50"/>
  <c r="M8444" i="50"/>
  <c r="N8443" i="50"/>
  <c r="M8443" i="50"/>
  <c r="N8442" i="50"/>
  <c r="M8442" i="50"/>
  <c r="N8441" i="50"/>
  <c r="M8441" i="50"/>
  <c r="N8440" i="50"/>
  <c r="M8440" i="50"/>
  <c r="N8439" i="50"/>
  <c r="M8439" i="50"/>
  <c r="N8438" i="50"/>
  <c r="M8438" i="50"/>
  <c r="N8437" i="50"/>
  <c r="M8437" i="50"/>
  <c r="N8436" i="50"/>
  <c r="M8436" i="50"/>
  <c r="N8435" i="50"/>
  <c r="M8435" i="50"/>
  <c r="N8434" i="50"/>
  <c r="M8434" i="50"/>
  <c r="N8433" i="50"/>
  <c r="M8433" i="50"/>
  <c r="N8432" i="50"/>
  <c r="M8432" i="50"/>
  <c r="N8431" i="50"/>
  <c r="M8431" i="50"/>
  <c r="N8430" i="50"/>
  <c r="M8430" i="50"/>
  <c r="N8429" i="50"/>
  <c r="M8429" i="50"/>
  <c r="N8428" i="50"/>
  <c r="M8428" i="50"/>
  <c r="N8427" i="50"/>
  <c r="M8427" i="50"/>
  <c r="N8426" i="50"/>
  <c r="M8426" i="50"/>
  <c r="N8425" i="50"/>
  <c r="M8425" i="50"/>
  <c r="N8424" i="50"/>
  <c r="M8424" i="50"/>
  <c r="N8423" i="50"/>
  <c r="M8423" i="50"/>
  <c r="N8422" i="50"/>
  <c r="M8422" i="50"/>
  <c r="N8421" i="50"/>
  <c r="M8421" i="50"/>
  <c r="N8420" i="50"/>
  <c r="M8420" i="50"/>
  <c r="N8419" i="50"/>
  <c r="M8419" i="50"/>
  <c r="N8418" i="50"/>
  <c r="M8418" i="50"/>
  <c r="N8417" i="50"/>
  <c r="M8417" i="50"/>
  <c r="N8416" i="50"/>
  <c r="M8416" i="50"/>
  <c r="N8415" i="50"/>
  <c r="M8415" i="50"/>
  <c r="N8414" i="50"/>
  <c r="M8414" i="50"/>
  <c r="N8413" i="50"/>
  <c r="M8413" i="50"/>
  <c r="N8412" i="50"/>
  <c r="M8412" i="50"/>
  <c r="N8411" i="50"/>
  <c r="M8411" i="50"/>
  <c r="N8410" i="50"/>
  <c r="M8410" i="50"/>
  <c r="N8409" i="50"/>
  <c r="M8409" i="50"/>
  <c r="N8408" i="50"/>
  <c r="M8408" i="50"/>
  <c r="N8407" i="50"/>
  <c r="M8407" i="50"/>
  <c r="N8406" i="50"/>
  <c r="M8406" i="50"/>
  <c r="N8405" i="50"/>
  <c r="M8405" i="50"/>
  <c r="N8404" i="50"/>
  <c r="M8404" i="50"/>
  <c r="N8403" i="50"/>
  <c r="M8403" i="50"/>
  <c r="N8402" i="50"/>
  <c r="M8402" i="50"/>
  <c r="N8401" i="50"/>
  <c r="M8401" i="50"/>
  <c r="N8400" i="50"/>
  <c r="M8400" i="50"/>
  <c r="N8399" i="50"/>
  <c r="M8399" i="50"/>
  <c r="N8398" i="50"/>
  <c r="M8398" i="50"/>
  <c r="N8397" i="50"/>
  <c r="M8397" i="50"/>
  <c r="N8396" i="50"/>
  <c r="M8396" i="50"/>
  <c r="N8395" i="50"/>
  <c r="M8395" i="50"/>
  <c r="N8394" i="50"/>
  <c r="M8394" i="50"/>
  <c r="N8393" i="50"/>
  <c r="M8393" i="50"/>
  <c r="N8392" i="50"/>
  <c r="M8392" i="50"/>
  <c r="N8391" i="50"/>
  <c r="M8391" i="50"/>
  <c r="N8390" i="50"/>
  <c r="M8390" i="50"/>
  <c r="N8389" i="50"/>
  <c r="M8389" i="50"/>
  <c r="N8388" i="50"/>
  <c r="M8388" i="50"/>
  <c r="N8387" i="50"/>
  <c r="M8387" i="50"/>
  <c r="N8386" i="50"/>
  <c r="M8386" i="50"/>
  <c r="N8385" i="50"/>
  <c r="M8385" i="50"/>
  <c r="N8384" i="50"/>
  <c r="M8384" i="50"/>
  <c r="N8383" i="50"/>
  <c r="M8383" i="50"/>
  <c r="N8382" i="50"/>
  <c r="M8382" i="50"/>
  <c r="N8381" i="50"/>
  <c r="M8381" i="50"/>
  <c r="N8380" i="50"/>
  <c r="M8380" i="50"/>
  <c r="N8379" i="50"/>
  <c r="M8379" i="50"/>
  <c r="N8378" i="50"/>
  <c r="M8378" i="50"/>
  <c r="N8377" i="50"/>
  <c r="M8377" i="50"/>
  <c r="N8376" i="50"/>
  <c r="M8376" i="50"/>
  <c r="N8375" i="50"/>
  <c r="M8375" i="50"/>
  <c r="N8374" i="50"/>
  <c r="M8374" i="50"/>
  <c r="N8373" i="50"/>
  <c r="M8373" i="50"/>
  <c r="N8372" i="50"/>
  <c r="M8372" i="50"/>
  <c r="N8371" i="50"/>
  <c r="M8371" i="50"/>
  <c r="N8370" i="50"/>
  <c r="M8370" i="50"/>
  <c r="N8369" i="50"/>
  <c r="M8369" i="50"/>
  <c r="N8368" i="50"/>
  <c r="M8368" i="50"/>
  <c r="N8367" i="50"/>
  <c r="M8367" i="50"/>
  <c r="N8366" i="50"/>
  <c r="M8366" i="50"/>
  <c r="N8365" i="50"/>
  <c r="M8365" i="50"/>
  <c r="N8364" i="50"/>
  <c r="M8364" i="50"/>
  <c r="N8363" i="50"/>
  <c r="M8363" i="50"/>
  <c r="N8362" i="50"/>
  <c r="M8362" i="50"/>
  <c r="N8361" i="50"/>
  <c r="M8361" i="50"/>
  <c r="N8360" i="50"/>
  <c r="M8360" i="50"/>
  <c r="N8359" i="50"/>
  <c r="M8359" i="50"/>
  <c r="N8358" i="50"/>
  <c r="M8358" i="50"/>
  <c r="N8357" i="50"/>
  <c r="M8357" i="50"/>
  <c r="N8356" i="50"/>
  <c r="M8356" i="50"/>
  <c r="N8355" i="50"/>
  <c r="M8355" i="50"/>
  <c r="N8354" i="50"/>
  <c r="M8354" i="50"/>
  <c r="N8353" i="50"/>
  <c r="M8353" i="50"/>
  <c r="N8352" i="50"/>
  <c r="M8352" i="50"/>
  <c r="N8351" i="50"/>
  <c r="M8351" i="50"/>
  <c r="N8350" i="50"/>
  <c r="M8350" i="50"/>
  <c r="N8349" i="50"/>
  <c r="M8349" i="50"/>
  <c r="N8348" i="50"/>
  <c r="M8348" i="50"/>
  <c r="N8347" i="50"/>
  <c r="M8347" i="50"/>
  <c r="N8346" i="50"/>
  <c r="M8346" i="50"/>
  <c r="N8345" i="50"/>
  <c r="M8345" i="50"/>
  <c r="N8344" i="50"/>
  <c r="M8344" i="50"/>
  <c r="N8343" i="50"/>
  <c r="M8343" i="50"/>
  <c r="N8342" i="50"/>
  <c r="M8342" i="50"/>
  <c r="N8341" i="50"/>
  <c r="M8341" i="50"/>
  <c r="N8340" i="50"/>
  <c r="M8340" i="50"/>
  <c r="N8339" i="50"/>
  <c r="M8339" i="50"/>
  <c r="N8338" i="50"/>
  <c r="M8338" i="50"/>
  <c r="N8337" i="50"/>
  <c r="M8337" i="50"/>
  <c r="N8336" i="50"/>
  <c r="M8336" i="50"/>
  <c r="N8335" i="50"/>
  <c r="M8335" i="50"/>
  <c r="N8334" i="50"/>
  <c r="M8334" i="50"/>
  <c r="N8333" i="50"/>
  <c r="M8333" i="50"/>
  <c r="N8332" i="50"/>
  <c r="M8332" i="50"/>
  <c r="N8331" i="50"/>
  <c r="M8331" i="50"/>
  <c r="N8330" i="50"/>
  <c r="M8330" i="50"/>
  <c r="N8329" i="50"/>
  <c r="M8329" i="50"/>
  <c r="N8328" i="50"/>
  <c r="M8328" i="50"/>
  <c r="N8327" i="50"/>
  <c r="M8327" i="50"/>
  <c r="N8326" i="50"/>
  <c r="M8326" i="50"/>
  <c r="N8325" i="50"/>
  <c r="M8325" i="50"/>
  <c r="N8324" i="50"/>
  <c r="M8324" i="50"/>
  <c r="N8323" i="50"/>
  <c r="M8323" i="50"/>
  <c r="N8322" i="50"/>
  <c r="M8322" i="50"/>
  <c r="N8321" i="50"/>
  <c r="M8321" i="50"/>
  <c r="N8320" i="50"/>
  <c r="M8320" i="50"/>
  <c r="N8319" i="50"/>
  <c r="M8319" i="50"/>
  <c r="N8318" i="50"/>
  <c r="M8318" i="50"/>
  <c r="N8317" i="50"/>
  <c r="M8317" i="50"/>
  <c r="N8316" i="50"/>
  <c r="M8316" i="50"/>
  <c r="N8315" i="50"/>
  <c r="M8315" i="50"/>
  <c r="N8314" i="50"/>
  <c r="M8314" i="50"/>
  <c r="N8313" i="50"/>
  <c r="M8313" i="50"/>
  <c r="N8312" i="50"/>
  <c r="M8312" i="50"/>
  <c r="N8311" i="50"/>
  <c r="M8311" i="50"/>
  <c r="N8310" i="50"/>
  <c r="M8310" i="50"/>
  <c r="N8309" i="50"/>
  <c r="M8309" i="50"/>
  <c r="N8308" i="50"/>
  <c r="M8308" i="50"/>
  <c r="N8307" i="50"/>
  <c r="M8307" i="50"/>
  <c r="N8306" i="50"/>
  <c r="M8306" i="50"/>
  <c r="N8305" i="50"/>
  <c r="M8305" i="50"/>
  <c r="N8304" i="50"/>
  <c r="M8304" i="50"/>
  <c r="N8303" i="50"/>
  <c r="M8303" i="50"/>
  <c r="N8302" i="50"/>
  <c r="M8302" i="50"/>
  <c r="N8301" i="50"/>
  <c r="M8301" i="50"/>
  <c r="N8300" i="50"/>
  <c r="M8300" i="50"/>
  <c r="N8299" i="50"/>
  <c r="M8299" i="50"/>
  <c r="N8298" i="50"/>
  <c r="M8298" i="50"/>
  <c r="N8297" i="50"/>
  <c r="M8297" i="50"/>
  <c r="N8296" i="50"/>
  <c r="M8296" i="50"/>
  <c r="N8295" i="50"/>
  <c r="M8295" i="50"/>
  <c r="N8294" i="50"/>
  <c r="M8294" i="50"/>
  <c r="N8293" i="50"/>
  <c r="M8293" i="50"/>
  <c r="N8292" i="50"/>
  <c r="M8292" i="50"/>
  <c r="N8291" i="50"/>
  <c r="M8291" i="50"/>
  <c r="N8290" i="50"/>
  <c r="M8290" i="50"/>
  <c r="N8289" i="50"/>
  <c r="M8289" i="50"/>
  <c r="N8288" i="50"/>
  <c r="M8288" i="50"/>
  <c r="N8287" i="50"/>
  <c r="M8287" i="50"/>
  <c r="N8286" i="50"/>
  <c r="M8286" i="50"/>
  <c r="N8285" i="50"/>
  <c r="M8285" i="50"/>
  <c r="N8284" i="50"/>
  <c r="M8284" i="50"/>
  <c r="N8283" i="50"/>
  <c r="M8283" i="50"/>
  <c r="N8282" i="50"/>
  <c r="M8282" i="50"/>
  <c r="N8281" i="50"/>
  <c r="M8281" i="50"/>
  <c r="N8280" i="50"/>
  <c r="M8280" i="50"/>
  <c r="N8279" i="50"/>
  <c r="M8279" i="50"/>
  <c r="N8278" i="50"/>
  <c r="M8278" i="50"/>
  <c r="N8277" i="50"/>
  <c r="M8277" i="50"/>
  <c r="N8276" i="50"/>
  <c r="M8276" i="50"/>
  <c r="N8275" i="50"/>
  <c r="M8275" i="50"/>
  <c r="N8274" i="50"/>
  <c r="M8274" i="50"/>
  <c r="N8273" i="50"/>
  <c r="M8273" i="50"/>
  <c r="N8272" i="50"/>
  <c r="M8272" i="50"/>
  <c r="N8271" i="50"/>
  <c r="M8271" i="50"/>
  <c r="N8270" i="50"/>
  <c r="M8270" i="50"/>
  <c r="N8269" i="50"/>
  <c r="M8269" i="50"/>
  <c r="N8268" i="50"/>
  <c r="M8268" i="50"/>
  <c r="N8267" i="50"/>
  <c r="M8267" i="50"/>
  <c r="N8266" i="50"/>
  <c r="M8266" i="50"/>
  <c r="N8265" i="50"/>
  <c r="M8265" i="50"/>
  <c r="N8264" i="50"/>
  <c r="M8264" i="50"/>
  <c r="N8263" i="50"/>
  <c r="M8263" i="50"/>
  <c r="N8262" i="50"/>
  <c r="M8262" i="50"/>
  <c r="N8261" i="50"/>
  <c r="M8261" i="50"/>
  <c r="N8260" i="50"/>
  <c r="M8260" i="50"/>
  <c r="N8259" i="50"/>
  <c r="M8259" i="50"/>
  <c r="N8258" i="50"/>
  <c r="M8258" i="50"/>
  <c r="N8257" i="50"/>
  <c r="M8257" i="50"/>
  <c r="N8256" i="50"/>
  <c r="M8256" i="50"/>
  <c r="N8255" i="50"/>
  <c r="M8255" i="50"/>
  <c r="N8254" i="50"/>
  <c r="M8254" i="50"/>
  <c r="N8253" i="50"/>
  <c r="M8253" i="50"/>
  <c r="N8252" i="50"/>
  <c r="M8252" i="50"/>
  <c r="N8251" i="50"/>
  <c r="M8251" i="50"/>
  <c r="N8250" i="50"/>
  <c r="M8250" i="50"/>
  <c r="N8249" i="50"/>
  <c r="M8249" i="50"/>
  <c r="N8248" i="50"/>
  <c r="M8248" i="50"/>
  <c r="N8247" i="50"/>
  <c r="M8247" i="50"/>
  <c r="N8246" i="50"/>
  <c r="M8246" i="50"/>
  <c r="N8245" i="50"/>
  <c r="M8245" i="50"/>
  <c r="N8244" i="50"/>
  <c r="M8244" i="50"/>
  <c r="N8243" i="50"/>
  <c r="M8243" i="50"/>
  <c r="N8242" i="50"/>
  <c r="M8242" i="50"/>
  <c r="N8241" i="50"/>
  <c r="M8241" i="50"/>
  <c r="N8240" i="50"/>
  <c r="M8240" i="50"/>
  <c r="N8239" i="50"/>
  <c r="M8239" i="50"/>
  <c r="N8238" i="50"/>
  <c r="M8238" i="50"/>
  <c r="N8237" i="50"/>
  <c r="M8237" i="50"/>
  <c r="N8236" i="50"/>
  <c r="M8236" i="50"/>
  <c r="N8235" i="50"/>
  <c r="M8235" i="50"/>
  <c r="N8234" i="50"/>
  <c r="M8234" i="50"/>
  <c r="N8233" i="50"/>
  <c r="M8233" i="50"/>
  <c r="N8232" i="50"/>
  <c r="M8232" i="50"/>
  <c r="N8231" i="50"/>
  <c r="M8231" i="50"/>
  <c r="N8230" i="50"/>
  <c r="M8230" i="50"/>
  <c r="N8229" i="50"/>
  <c r="M8229" i="50"/>
  <c r="N8228" i="50"/>
  <c r="M8228" i="50"/>
  <c r="N8227" i="50"/>
  <c r="M8227" i="50"/>
  <c r="N8226" i="50"/>
  <c r="M8226" i="50"/>
  <c r="N8225" i="50"/>
  <c r="M8225" i="50"/>
  <c r="N8224" i="50"/>
  <c r="M8224" i="50"/>
  <c r="N8223" i="50"/>
  <c r="M8223" i="50"/>
  <c r="N8222" i="50"/>
  <c r="M8222" i="50"/>
  <c r="N8221" i="50"/>
  <c r="M8221" i="50"/>
  <c r="N8220" i="50"/>
  <c r="M8220" i="50"/>
  <c r="N8219" i="50"/>
  <c r="M8219" i="50"/>
  <c r="N8218" i="50"/>
  <c r="M8218" i="50"/>
  <c r="N8217" i="50"/>
  <c r="M8217" i="50"/>
  <c r="N8216" i="50"/>
  <c r="M8216" i="50"/>
  <c r="N8215" i="50"/>
  <c r="M8215" i="50"/>
  <c r="N8214" i="50"/>
  <c r="M8214" i="50"/>
  <c r="N8213" i="50"/>
  <c r="M8213" i="50"/>
  <c r="N8212" i="50"/>
  <c r="M8212" i="50"/>
  <c r="N8211" i="50"/>
  <c r="M8211" i="50"/>
  <c r="N8210" i="50"/>
  <c r="M8210" i="50"/>
  <c r="N8209" i="50"/>
  <c r="M8209" i="50"/>
  <c r="N8208" i="50"/>
  <c r="M8208" i="50"/>
  <c r="N8207" i="50"/>
  <c r="M8207" i="50"/>
  <c r="N8206" i="50"/>
  <c r="M8206" i="50"/>
  <c r="N8205" i="50"/>
  <c r="M8205" i="50"/>
  <c r="N8204" i="50"/>
  <c r="M8204" i="50"/>
  <c r="N8203" i="50"/>
  <c r="M8203" i="50"/>
  <c r="N8202" i="50"/>
  <c r="M8202" i="50"/>
  <c r="N8201" i="50"/>
  <c r="M8201" i="50"/>
  <c r="N8200" i="50"/>
  <c r="M8200" i="50"/>
  <c r="N8199" i="50"/>
  <c r="M8199" i="50"/>
  <c r="N8198" i="50"/>
  <c r="M8198" i="50"/>
  <c r="N8197" i="50"/>
  <c r="M8197" i="50"/>
  <c r="N8196" i="50"/>
  <c r="M8196" i="50"/>
  <c r="N8195" i="50"/>
  <c r="M8195" i="50"/>
  <c r="N8194" i="50"/>
  <c r="M8194" i="50"/>
  <c r="N8193" i="50"/>
  <c r="M8193" i="50"/>
  <c r="N8192" i="50"/>
  <c r="M8192" i="50"/>
  <c r="N8191" i="50"/>
  <c r="M8191" i="50"/>
  <c r="N8190" i="50"/>
  <c r="M8190" i="50"/>
  <c r="N8189" i="50"/>
  <c r="M8189" i="50"/>
  <c r="N8188" i="50"/>
  <c r="M8188" i="50"/>
  <c r="N8187" i="50"/>
  <c r="M8187" i="50"/>
  <c r="N8186" i="50"/>
  <c r="M8186" i="50"/>
  <c r="N8185" i="50"/>
  <c r="M8185" i="50"/>
  <c r="N8184" i="50"/>
  <c r="M8184" i="50"/>
  <c r="N8183" i="50"/>
  <c r="M8183" i="50"/>
  <c r="N8182" i="50"/>
  <c r="M8182" i="50"/>
  <c r="N8181" i="50"/>
  <c r="M8181" i="50"/>
  <c r="N8180" i="50"/>
  <c r="M8180" i="50"/>
  <c r="N8179" i="50"/>
  <c r="M8179" i="50"/>
  <c r="N8178" i="50"/>
  <c r="M8178" i="50"/>
  <c r="N8177" i="50"/>
  <c r="M8177" i="50"/>
  <c r="N8176" i="50"/>
  <c r="M8176" i="50"/>
  <c r="N8175" i="50"/>
  <c r="M8175" i="50"/>
  <c r="N8174" i="50"/>
  <c r="M8174" i="50"/>
  <c r="N8173" i="50"/>
  <c r="M8173" i="50"/>
  <c r="N8172" i="50"/>
  <c r="M8172" i="50"/>
  <c r="N8171" i="50"/>
  <c r="M8171" i="50"/>
  <c r="N8170" i="50"/>
  <c r="M8170" i="50"/>
  <c r="N8169" i="50"/>
  <c r="M8169" i="50"/>
  <c r="N8168" i="50"/>
  <c r="M8168" i="50"/>
  <c r="N8167" i="50"/>
  <c r="M8167" i="50"/>
  <c r="N8166" i="50"/>
  <c r="M8166" i="50"/>
  <c r="N8165" i="50"/>
  <c r="M8165" i="50"/>
  <c r="N8164" i="50"/>
  <c r="M8164" i="50"/>
  <c r="N8163" i="50"/>
  <c r="M8163" i="50"/>
  <c r="N8162" i="50"/>
  <c r="M8162" i="50"/>
  <c r="N8161" i="50"/>
  <c r="M8161" i="50"/>
  <c r="N8160" i="50"/>
  <c r="M8160" i="50"/>
  <c r="N8159" i="50"/>
  <c r="M8159" i="50"/>
  <c r="N8158" i="50"/>
  <c r="M8158" i="50"/>
  <c r="N8157" i="50"/>
  <c r="M8157" i="50"/>
  <c r="N8156" i="50"/>
  <c r="M8156" i="50"/>
  <c r="N8155" i="50"/>
  <c r="M8155" i="50"/>
  <c r="N8154" i="50"/>
  <c r="M8154" i="50"/>
  <c r="N8153" i="50"/>
  <c r="M8153" i="50"/>
  <c r="N8152" i="50"/>
  <c r="M8152" i="50"/>
  <c r="N8151" i="50"/>
  <c r="M8151" i="50"/>
  <c r="N8150" i="50"/>
  <c r="M8150" i="50"/>
  <c r="N8149" i="50"/>
  <c r="M8149" i="50"/>
  <c r="N8148" i="50"/>
  <c r="M8148" i="50"/>
  <c r="N8147" i="50"/>
  <c r="M8147" i="50"/>
  <c r="N8146" i="50"/>
  <c r="M8146" i="50"/>
  <c r="N8145" i="50"/>
  <c r="M8145" i="50"/>
  <c r="N8144" i="50"/>
  <c r="M8144" i="50"/>
  <c r="N8143" i="50"/>
  <c r="M8143" i="50"/>
  <c r="N8142" i="50"/>
  <c r="M8142" i="50"/>
  <c r="N8141" i="50"/>
  <c r="M8141" i="50"/>
  <c r="N8140" i="50"/>
  <c r="M8140" i="50"/>
  <c r="N8139" i="50"/>
  <c r="M8139" i="50"/>
  <c r="N8138" i="50"/>
  <c r="M8138" i="50"/>
  <c r="N8137" i="50"/>
  <c r="M8137" i="50"/>
  <c r="N8136" i="50"/>
  <c r="M8136" i="50"/>
  <c r="N8135" i="50"/>
  <c r="M8135" i="50"/>
  <c r="N8134" i="50"/>
  <c r="M8134" i="50"/>
  <c r="N8133" i="50"/>
  <c r="M8133" i="50"/>
  <c r="N8132" i="50"/>
  <c r="M8132" i="50"/>
  <c r="N8131" i="50"/>
  <c r="M8131" i="50"/>
  <c r="N8130" i="50"/>
  <c r="M8130" i="50"/>
  <c r="N8129" i="50"/>
  <c r="M8129" i="50"/>
  <c r="N8128" i="50"/>
  <c r="M8128" i="50"/>
  <c r="N8127" i="50"/>
  <c r="M8127" i="50"/>
  <c r="N8126" i="50"/>
  <c r="M8126" i="50"/>
  <c r="N8125" i="50"/>
  <c r="M8125" i="50"/>
  <c r="N8124" i="50"/>
  <c r="M8124" i="50"/>
  <c r="N8123" i="50"/>
  <c r="M8123" i="50"/>
  <c r="N8122" i="50"/>
  <c r="M8122" i="50"/>
  <c r="N8121" i="50"/>
  <c r="M8121" i="50"/>
  <c r="N8120" i="50"/>
  <c r="M8120" i="50"/>
  <c r="N8119" i="50"/>
  <c r="M8119" i="50"/>
  <c r="N8118" i="50"/>
  <c r="M8118" i="50"/>
  <c r="N8117" i="50"/>
  <c r="M8117" i="50"/>
  <c r="N8116" i="50"/>
  <c r="M8116" i="50"/>
  <c r="N8115" i="50"/>
  <c r="M8115" i="50"/>
  <c r="N8114" i="50"/>
  <c r="M8114" i="50"/>
  <c r="N8113" i="50"/>
  <c r="M8113" i="50"/>
  <c r="N8112" i="50"/>
  <c r="M8112" i="50"/>
  <c r="N8111" i="50"/>
  <c r="M8111" i="50"/>
  <c r="N8110" i="50"/>
  <c r="M8110" i="50"/>
  <c r="N8109" i="50"/>
  <c r="M8109" i="50"/>
  <c r="N8108" i="50"/>
  <c r="M8108" i="50"/>
  <c r="N8107" i="50"/>
  <c r="M8107" i="50"/>
  <c r="N8106" i="50"/>
  <c r="M8106" i="50"/>
  <c r="N8105" i="50"/>
  <c r="M8105" i="50"/>
  <c r="N8104" i="50"/>
  <c r="M8104" i="50"/>
  <c r="N8103" i="50"/>
  <c r="M8103" i="50"/>
  <c r="N8102" i="50"/>
  <c r="M8102" i="50"/>
  <c r="N8101" i="50"/>
  <c r="M8101" i="50"/>
  <c r="N8100" i="50"/>
  <c r="M8100" i="50"/>
  <c r="N8099" i="50"/>
  <c r="M8099" i="50"/>
  <c r="N8098" i="50"/>
  <c r="M8098" i="50"/>
  <c r="N8097" i="50"/>
  <c r="M8097" i="50"/>
  <c r="N8096" i="50"/>
  <c r="M8096" i="50"/>
  <c r="N8095" i="50"/>
  <c r="M8095" i="50"/>
  <c r="N8094" i="50"/>
  <c r="M8094" i="50"/>
  <c r="N8093" i="50"/>
  <c r="M8093" i="50"/>
  <c r="N8092" i="50"/>
  <c r="M8092" i="50"/>
  <c r="N8091" i="50"/>
  <c r="M8091" i="50"/>
  <c r="N8090" i="50"/>
  <c r="M8090" i="50"/>
  <c r="N8089" i="50"/>
  <c r="M8089" i="50"/>
  <c r="N8088" i="50"/>
  <c r="M8088" i="50"/>
  <c r="N8087" i="50"/>
  <c r="M8087" i="50"/>
  <c r="N8086" i="50"/>
  <c r="M8086" i="50"/>
  <c r="N8085" i="50"/>
  <c r="M8085" i="50"/>
  <c r="N8084" i="50"/>
  <c r="M8084" i="50"/>
  <c r="N8083" i="50"/>
  <c r="M8083" i="50"/>
  <c r="N8082" i="50"/>
  <c r="M8082" i="50"/>
  <c r="N8081" i="50"/>
  <c r="M8081" i="50"/>
  <c r="N8080" i="50"/>
  <c r="M8080" i="50"/>
  <c r="N8079" i="50"/>
  <c r="M8079" i="50"/>
  <c r="N8078" i="50"/>
  <c r="M8078" i="50"/>
  <c r="N8077" i="50"/>
  <c r="M8077" i="50"/>
  <c r="N8076" i="50"/>
  <c r="M8076" i="50"/>
  <c r="N8075" i="50"/>
  <c r="M8075" i="50"/>
  <c r="N8074" i="50"/>
  <c r="M8074" i="50"/>
  <c r="N8073" i="50"/>
  <c r="M8073" i="50"/>
  <c r="N8072" i="50"/>
  <c r="M8072" i="50"/>
  <c r="N8071" i="50"/>
  <c r="M8071" i="50"/>
  <c r="N8070" i="50"/>
  <c r="M8070" i="50"/>
  <c r="N8069" i="50"/>
  <c r="M8069" i="50"/>
  <c r="N8068" i="50"/>
  <c r="M8068" i="50"/>
  <c r="N8067" i="50"/>
  <c r="M8067" i="50"/>
  <c r="N8066" i="50"/>
  <c r="M8066" i="50"/>
  <c r="N8065" i="50"/>
  <c r="M8065" i="50"/>
  <c r="N8064" i="50"/>
  <c r="M8064" i="50"/>
  <c r="N8063" i="50"/>
  <c r="M8063" i="50"/>
  <c r="N8062" i="50"/>
  <c r="M8062" i="50"/>
  <c r="N8061" i="50"/>
  <c r="M8061" i="50"/>
  <c r="N8060" i="50"/>
  <c r="M8060" i="50"/>
  <c r="N8059" i="50"/>
  <c r="M8059" i="50"/>
  <c r="N8058" i="50"/>
  <c r="M8058" i="50"/>
  <c r="N8057" i="50"/>
  <c r="M8057" i="50"/>
  <c r="N8056" i="50"/>
  <c r="M8056" i="50"/>
  <c r="N8055" i="50"/>
  <c r="M8055" i="50"/>
  <c r="N8054" i="50"/>
  <c r="M8054" i="50"/>
  <c r="N8053" i="50"/>
  <c r="M8053" i="50"/>
  <c r="N8052" i="50"/>
  <c r="M8052" i="50"/>
  <c r="N8051" i="50"/>
  <c r="M8051" i="50"/>
  <c r="N8050" i="50"/>
  <c r="M8050" i="50"/>
  <c r="N8049" i="50"/>
  <c r="M8049" i="50"/>
  <c r="N8048" i="50"/>
  <c r="M8048" i="50"/>
  <c r="N8047" i="50"/>
  <c r="M8047" i="50"/>
  <c r="N8046" i="50"/>
  <c r="M8046" i="50"/>
  <c r="N8045" i="50"/>
  <c r="M8045" i="50"/>
  <c r="N8044" i="50"/>
  <c r="M8044" i="50"/>
  <c r="N8043" i="50"/>
  <c r="M8043" i="50"/>
  <c r="N8042" i="50"/>
  <c r="M8042" i="50"/>
  <c r="N8041" i="50"/>
  <c r="M8041" i="50"/>
  <c r="N8040" i="50"/>
  <c r="M8040" i="50"/>
  <c r="N8039" i="50"/>
  <c r="M8039" i="50"/>
  <c r="N8038" i="50"/>
  <c r="M8038" i="50"/>
  <c r="N8037" i="50"/>
  <c r="M8037" i="50"/>
  <c r="N8036" i="50"/>
  <c r="M8036" i="50"/>
  <c r="N8035" i="50"/>
  <c r="M8035" i="50"/>
  <c r="N8034" i="50"/>
  <c r="M8034" i="50"/>
  <c r="N8033" i="50"/>
  <c r="M8033" i="50"/>
  <c r="N8032" i="50"/>
  <c r="M8032" i="50"/>
  <c r="N8031" i="50"/>
  <c r="M8031" i="50"/>
  <c r="N8030" i="50"/>
  <c r="M8030" i="50"/>
  <c r="N8029" i="50"/>
  <c r="M8029" i="50"/>
  <c r="N8028" i="50"/>
  <c r="M8028" i="50"/>
  <c r="N8027" i="50"/>
  <c r="M8027" i="50"/>
  <c r="N8026" i="50"/>
  <c r="M8026" i="50"/>
  <c r="N8025" i="50"/>
  <c r="M8025" i="50"/>
  <c r="N8024" i="50"/>
  <c r="M8024" i="50"/>
  <c r="N8023" i="50"/>
  <c r="M8023" i="50"/>
  <c r="N8022" i="50"/>
  <c r="M8022" i="50"/>
  <c r="N8021" i="50"/>
  <c r="M8021" i="50"/>
  <c r="N8020" i="50"/>
  <c r="M8020" i="50"/>
  <c r="N8019" i="50"/>
  <c r="M8019" i="50"/>
  <c r="N8018" i="50"/>
  <c r="M8018" i="50"/>
  <c r="N8017" i="50"/>
  <c r="M8017" i="50"/>
  <c r="N8016" i="50"/>
  <c r="M8016" i="50"/>
  <c r="N8015" i="50"/>
  <c r="M8015" i="50"/>
  <c r="N8014" i="50"/>
  <c r="M8014" i="50"/>
  <c r="N8013" i="50"/>
  <c r="M8013" i="50"/>
  <c r="N8012" i="50"/>
  <c r="M8012" i="50"/>
  <c r="N8011" i="50"/>
  <c r="M8011" i="50"/>
  <c r="N8010" i="50"/>
  <c r="M8010" i="50"/>
  <c r="N8009" i="50"/>
  <c r="M8009" i="50"/>
  <c r="N8008" i="50"/>
  <c r="M8008" i="50"/>
  <c r="N8007" i="50"/>
  <c r="M8007" i="50"/>
  <c r="N8006" i="50"/>
  <c r="M8006" i="50"/>
  <c r="N8005" i="50"/>
  <c r="M8005" i="50"/>
  <c r="N8004" i="50"/>
  <c r="M8004" i="50"/>
  <c r="N8003" i="50"/>
  <c r="M8003" i="50"/>
  <c r="N8002" i="50"/>
  <c r="M8002" i="50"/>
  <c r="N8001" i="50"/>
  <c r="M8001" i="50"/>
  <c r="N8000" i="50"/>
  <c r="M8000" i="50"/>
  <c r="N7999" i="50"/>
  <c r="M7999" i="50"/>
  <c r="N7998" i="50"/>
  <c r="M7998" i="50"/>
  <c r="N7997" i="50"/>
  <c r="M7997" i="50"/>
  <c r="N7996" i="50"/>
  <c r="M7996" i="50"/>
  <c r="N7995" i="50"/>
  <c r="M7995" i="50"/>
  <c r="N7994" i="50"/>
  <c r="M7994" i="50"/>
  <c r="N7993" i="50"/>
  <c r="M7993" i="50"/>
  <c r="N7992" i="50"/>
  <c r="M7992" i="50"/>
  <c r="N7991" i="50"/>
  <c r="M7991" i="50"/>
  <c r="N7990" i="50"/>
  <c r="M7990" i="50"/>
  <c r="N7989" i="50"/>
  <c r="M7989" i="50"/>
  <c r="N7988" i="50"/>
  <c r="M7988" i="50"/>
  <c r="N7987" i="50"/>
  <c r="M7987" i="50"/>
  <c r="N7986" i="50"/>
  <c r="M7986" i="50"/>
  <c r="N7985" i="50"/>
  <c r="M7985" i="50"/>
  <c r="N7984" i="50"/>
  <c r="M7984" i="50"/>
  <c r="N7983" i="50"/>
  <c r="M7983" i="50"/>
  <c r="N7982" i="50"/>
  <c r="M7982" i="50"/>
  <c r="N7981" i="50"/>
  <c r="M7981" i="50"/>
  <c r="N7980" i="50"/>
  <c r="M7980" i="50"/>
  <c r="N7979" i="50"/>
  <c r="M7979" i="50"/>
  <c r="N7978" i="50"/>
  <c r="M7978" i="50"/>
  <c r="N7977" i="50"/>
  <c r="M7977" i="50"/>
  <c r="N7976" i="50"/>
  <c r="M7976" i="50"/>
  <c r="N7975" i="50"/>
  <c r="M7975" i="50"/>
  <c r="N7974" i="50"/>
  <c r="M7974" i="50"/>
  <c r="N7973" i="50"/>
  <c r="M7973" i="50"/>
  <c r="N7972" i="50"/>
  <c r="M7972" i="50"/>
  <c r="N7971" i="50"/>
  <c r="M7971" i="50"/>
  <c r="N7970" i="50"/>
  <c r="M7970" i="50"/>
  <c r="N7969" i="50"/>
  <c r="M7969" i="50"/>
  <c r="N7968" i="50"/>
  <c r="M7968" i="50"/>
  <c r="N7967" i="50"/>
  <c r="M7967" i="50"/>
  <c r="N7966" i="50"/>
  <c r="M7966" i="50"/>
  <c r="N7965" i="50"/>
  <c r="M7965" i="50"/>
  <c r="N7964" i="50"/>
  <c r="M7964" i="50"/>
  <c r="N7963" i="50"/>
  <c r="M7963" i="50"/>
  <c r="N7962" i="50"/>
  <c r="M7962" i="50"/>
  <c r="N7961" i="50"/>
  <c r="M7961" i="50"/>
  <c r="N7960" i="50"/>
  <c r="M7960" i="50"/>
  <c r="N7959" i="50"/>
  <c r="M7959" i="50"/>
  <c r="N7958" i="50"/>
  <c r="M7958" i="50"/>
  <c r="N7957" i="50"/>
  <c r="M7957" i="50"/>
  <c r="N7956" i="50"/>
  <c r="M7956" i="50"/>
  <c r="N7955" i="50"/>
  <c r="M7955" i="50"/>
  <c r="N7954" i="50"/>
  <c r="M7954" i="50"/>
  <c r="N7953" i="50"/>
  <c r="M7953" i="50"/>
  <c r="N7952" i="50"/>
  <c r="M7952" i="50"/>
  <c r="N7951" i="50"/>
  <c r="M7951" i="50"/>
  <c r="N7950" i="50"/>
  <c r="M7950" i="50"/>
  <c r="N7949" i="50"/>
  <c r="M7949" i="50"/>
  <c r="N7948" i="50"/>
  <c r="M7948" i="50"/>
  <c r="N7947" i="50"/>
  <c r="M7947" i="50"/>
  <c r="N7946" i="50"/>
  <c r="M7946" i="50"/>
  <c r="N7945" i="50"/>
  <c r="M7945" i="50"/>
  <c r="N7944" i="50"/>
  <c r="M7944" i="50"/>
  <c r="N7943" i="50"/>
  <c r="M7943" i="50"/>
  <c r="N7942" i="50"/>
  <c r="M7942" i="50"/>
  <c r="N7941" i="50"/>
  <c r="M7941" i="50"/>
  <c r="N7940" i="50"/>
  <c r="M7940" i="50"/>
  <c r="N7939" i="50"/>
  <c r="M7939" i="50"/>
  <c r="N7938" i="50"/>
  <c r="M7938" i="50"/>
  <c r="N7937" i="50"/>
  <c r="M7937" i="50"/>
  <c r="N7936" i="50"/>
  <c r="M7936" i="50"/>
  <c r="N7935" i="50"/>
  <c r="M7935" i="50"/>
  <c r="N7934" i="50"/>
  <c r="M7934" i="50"/>
  <c r="N7933" i="50"/>
  <c r="M7933" i="50"/>
  <c r="N7932" i="50"/>
  <c r="M7932" i="50"/>
  <c r="N7931" i="50"/>
  <c r="M7931" i="50"/>
  <c r="N7930" i="50"/>
  <c r="M7930" i="50"/>
  <c r="N7929" i="50"/>
  <c r="M7929" i="50"/>
  <c r="N7928" i="50"/>
  <c r="M7928" i="50"/>
  <c r="N7927" i="50"/>
  <c r="M7927" i="50"/>
  <c r="N7926" i="50"/>
  <c r="M7926" i="50"/>
  <c r="N7925" i="50"/>
  <c r="M7925" i="50"/>
  <c r="N7924" i="50"/>
  <c r="M7924" i="50"/>
  <c r="N7923" i="50"/>
  <c r="M7923" i="50"/>
  <c r="N7922" i="50"/>
  <c r="M7922" i="50"/>
  <c r="N7921" i="50"/>
  <c r="M7921" i="50"/>
  <c r="N7920" i="50"/>
  <c r="M7920" i="50"/>
  <c r="N7919" i="50"/>
  <c r="M7919" i="50"/>
  <c r="N7918" i="50"/>
  <c r="M7918" i="50"/>
  <c r="N7917" i="50"/>
  <c r="M7917" i="50"/>
  <c r="N7916" i="50"/>
  <c r="M7916" i="50"/>
  <c r="N7915" i="50"/>
  <c r="M7915" i="50"/>
  <c r="N7914" i="50"/>
  <c r="M7914" i="50"/>
  <c r="N7913" i="50"/>
  <c r="M7913" i="50"/>
  <c r="N7912" i="50"/>
  <c r="M7912" i="50"/>
  <c r="N7911" i="50"/>
  <c r="M7911" i="50"/>
  <c r="N7910" i="50"/>
  <c r="M7910" i="50"/>
  <c r="N7909" i="50"/>
  <c r="M7909" i="50"/>
  <c r="N7908" i="50"/>
  <c r="M7908" i="50"/>
  <c r="N7907" i="50"/>
  <c r="M7907" i="50"/>
  <c r="N7906" i="50"/>
  <c r="M7906" i="50"/>
  <c r="N7905" i="50"/>
  <c r="M7905" i="50"/>
  <c r="N7904" i="50"/>
  <c r="M7904" i="50"/>
  <c r="N7903" i="50"/>
  <c r="M7903" i="50"/>
  <c r="N7902" i="50"/>
  <c r="M7902" i="50"/>
  <c r="N7901" i="50"/>
  <c r="M7901" i="50"/>
  <c r="N7900" i="50"/>
  <c r="M7900" i="50"/>
  <c r="N7899" i="50"/>
  <c r="M7899" i="50"/>
  <c r="N7898" i="50"/>
  <c r="M7898" i="50"/>
  <c r="N7897" i="50"/>
  <c r="M7897" i="50"/>
  <c r="N7896" i="50"/>
  <c r="M7896" i="50"/>
  <c r="N7895" i="50"/>
  <c r="M7895" i="50"/>
  <c r="N7894" i="50"/>
  <c r="M7894" i="50"/>
  <c r="N7893" i="50"/>
  <c r="M7893" i="50"/>
  <c r="N7892" i="50"/>
  <c r="M7892" i="50"/>
  <c r="N7891" i="50"/>
  <c r="M7891" i="50"/>
  <c r="N7890" i="50"/>
  <c r="M7890" i="50"/>
  <c r="N7889" i="50"/>
  <c r="M7889" i="50"/>
  <c r="N7888" i="50"/>
  <c r="M7888" i="50"/>
  <c r="N7887" i="50"/>
  <c r="M7887" i="50"/>
  <c r="N7886" i="50"/>
  <c r="M7886" i="50"/>
  <c r="N7885" i="50"/>
  <c r="M7885" i="50"/>
  <c r="N7884" i="50"/>
  <c r="M7884" i="50"/>
  <c r="N7883" i="50"/>
  <c r="M7883" i="50"/>
  <c r="N7882" i="50"/>
  <c r="M7882" i="50"/>
  <c r="N7881" i="50"/>
  <c r="M7881" i="50"/>
  <c r="N7880" i="50"/>
  <c r="M7880" i="50"/>
  <c r="N7879" i="50"/>
  <c r="M7879" i="50"/>
  <c r="N7878" i="50"/>
  <c r="M7878" i="50"/>
  <c r="N7877" i="50"/>
  <c r="M7877" i="50"/>
  <c r="N7876" i="50"/>
  <c r="M7876" i="50"/>
  <c r="N7875" i="50"/>
  <c r="M7875" i="50"/>
  <c r="N7874" i="50"/>
  <c r="M7874" i="50"/>
  <c r="N7873" i="50"/>
  <c r="M7873" i="50"/>
  <c r="N7872" i="50"/>
  <c r="M7872" i="50"/>
  <c r="N7871" i="50"/>
  <c r="M7871" i="50"/>
  <c r="N7870" i="50"/>
  <c r="M7870" i="50"/>
  <c r="N7869" i="50"/>
  <c r="M7869" i="50"/>
  <c r="N7868" i="50"/>
  <c r="M7868" i="50"/>
  <c r="N7867" i="50"/>
  <c r="M7867" i="50"/>
  <c r="N7866" i="50"/>
  <c r="M7866" i="50"/>
  <c r="N7865" i="50"/>
  <c r="M7865" i="50"/>
  <c r="N7864" i="50"/>
  <c r="M7864" i="50"/>
  <c r="N7863" i="50"/>
  <c r="M7863" i="50"/>
  <c r="N7862" i="50"/>
  <c r="M7862" i="50"/>
  <c r="N7861" i="50"/>
  <c r="M7861" i="50"/>
  <c r="N7860" i="50"/>
  <c r="M7860" i="50"/>
  <c r="N7859" i="50"/>
  <c r="M7859" i="50"/>
  <c r="N7858" i="50"/>
  <c r="M7858" i="50"/>
  <c r="N7857" i="50"/>
  <c r="M7857" i="50"/>
  <c r="N7856" i="50"/>
  <c r="M7856" i="50"/>
  <c r="N7855" i="50"/>
  <c r="M7855" i="50"/>
  <c r="N7854" i="50"/>
  <c r="M7854" i="50"/>
  <c r="N7853" i="50"/>
  <c r="M7853" i="50"/>
  <c r="N7852" i="50"/>
  <c r="M7852" i="50"/>
  <c r="N7851" i="50"/>
  <c r="M7851" i="50"/>
  <c r="N7850" i="50"/>
  <c r="M7850" i="50"/>
  <c r="N7849" i="50"/>
  <c r="M7849" i="50"/>
  <c r="N7848" i="50"/>
  <c r="M7848" i="50"/>
  <c r="N7847" i="50"/>
  <c r="M7847" i="50"/>
  <c r="N7846" i="50"/>
  <c r="M7846" i="50"/>
  <c r="N7845" i="50"/>
  <c r="M7845" i="50"/>
  <c r="N7844" i="50"/>
  <c r="M7844" i="50"/>
  <c r="N7843" i="50"/>
  <c r="M7843" i="50"/>
  <c r="N7842" i="50"/>
  <c r="M7842" i="50"/>
  <c r="N7841" i="50"/>
  <c r="M7841" i="50"/>
  <c r="N7840" i="50"/>
  <c r="M7840" i="50"/>
  <c r="N7839" i="50"/>
  <c r="M7839" i="50"/>
  <c r="N7838" i="50"/>
  <c r="M7838" i="50"/>
  <c r="N7837" i="50"/>
  <c r="M7837" i="50"/>
  <c r="N7836" i="50"/>
  <c r="M7836" i="50"/>
  <c r="N7835" i="50"/>
  <c r="M7835" i="50"/>
  <c r="N7834" i="50"/>
  <c r="M7834" i="50"/>
  <c r="N7833" i="50"/>
  <c r="M7833" i="50"/>
  <c r="N7832" i="50"/>
  <c r="M7832" i="50"/>
  <c r="N7831" i="50"/>
  <c r="M7831" i="50"/>
  <c r="N7830" i="50"/>
  <c r="M7830" i="50"/>
  <c r="N7829" i="50"/>
  <c r="M7829" i="50"/>
  <c r="N7828" i="50"/>
  <c r="M7828" i="50"/>
  <c r="N7827" i="50"/>
  <c r="M7827" i="50"/>
  <c r="N7826" i="50"/>
  <c r="M7826" i="50"/>
  <c r="N7825" i="50"/>
  <c r="M7825" i="50"/>
  <c r="N7824" i="50"/>
  <c r="M7824" i="50"/>
  <c r="N7823" i="50"/>
  <c r="M7823" i="50"/>
  <c r="N7822" i="50"/>
  <c r="M7822" i="50"/>
  <c r="N7821" i="50"/>
  <c r="M7821" i="50"/>
  <c r="N7820" i="50"/>
  <c r="M7820" i="50"/>
  <c r="N7819" i="50"/>
  <c r="M7819" i="50"/>
  <c r="N7818" i="50"/>
  <c r="M7818" i="50"/>
  <c r="N7817" i="50"/>
  <c r="M7817" i="50"/>
  <c r="N7816" i="50"/>
  <c r="M7816" i="50"/>
  <c r="N7815" i="50"/>
  <c r="M7815" i="50"/>
  <c r="N7814" i="50"/>
  <c r="M7814" i="50"/>
  <c r="N7813" i="50"/>
  <c r="M7813" i="50"/>
  <c r="N7812" i="50"/>
  <c r="M7812" i="50"/>
  <c r="N7811" i="50"/>
  <c r="M7811" i="50"/>
  <c r="N7810" i="50"/>
  <c r="M7810" i="50"/>
  <c r="N7809" i="50"/>
  <c r="M7809" i="50"/>
  <c r="N7808" i="50"/>
  <c r="M7808" i="50"/>
  <c r="N7807" i="50"/>
  <c r="M7807" i="50"/>
  <c r="N7806" i="50"/>
  <c r="M7806" i="50"/>
  <c r="N7805" i="50"/>
  <c r="M7805" i="50"/>
  <c r="N7804" i="50"/>
  <c r="M7804" i="50"/>
  <c r="N7803" i="50"/>
  <c r="M7803" i="50"/>
  <c r="N7802" i="50"/>
  <c r="M7802" i="50"/>
  <c r="N7801" i="50"/>
  <c r="M7801" i="50"/>
  <c r="N7800" i="50"/>
  <c r="M7800" i="50"/>
  <c r="N7799" i="50"/>
  <c r="M7799" i="50"/>
  <c r="N7798" i="50"/>
  <c r="M7798" i="50"/>
  <c r="N7797" i="50"/>
  <c r="M7797" i="50"/>
  <c r="N7796" i="50"/>
  <c r="M7796" i="50"/>
  <c r="N7795" i="50"/>
  <c r="M7795" i="50"/>
  <c r="N7794" i="50"/>
  <c r="M7794" i="50"/>
  <c r="N7793" i="50"/>
  <c r="M7793" i="50"/>
  <c r="N7792" i="50"/>
  <c r="M7792" i="50"/>
  <c r="N7791" i="50"/>
  <c r="M7791" i="50"/>
  <c r="N7790" i="50"/>
  <c r="M7790" i="50"/>
  <c r="N7789" i="50"/>
  <c r="M7789" i="50"/>
  <c r="N7788" i="50"/>
  <c r="M7788" i="50"/>
  <c r="N7787" i="50"/>
  <c r="M7787" i="50"/>
  <c r="N7786" i="50"/>
  <c r="M7786" i="50"/>
  <c r="N7785" i="50"/>
  <c r="M7785" i="50"/>
  <c r="N7784" i="50"/>
  <c r="M7784" i="50"/>
  <c r="N7783" i="50"/>
  <c r="M7783" i="50"/>
  <c r="N7782" i="50"/>
  <c r="M7782" i="50"/>
  <c r="N7781" i="50"/>
  <c r="M7781" i="50"/>
  <c r="N7780" i="50"/>
  <c r="M7780" i="50"/>
  <c r="N7779" i="50"/>
  <c r="M7779" i="50"/>
  <c r="N7778" i="50"/>
  <c r="M7778" i="50"/>
  <c r="N7777" i="50"/>
  <c r="M7777" i="50"/>
  <c r="N7776" i="50"/>
  <c r="M7776" i="50"/>
  <c r="N7775" i="50"/>
  <c r="M7775" i="50"/>
  <c r="N7774" i="50"/>
  <c r="M7774" i="50"/>
  <c r="N7773" i="50"/>
  <c r="M7773" i="50"/>
  <c r="N7772" i="50"/>
  <c r="M7772" i="50"/>
  <c r="N7771" i="50"/>
  <c r="M7771" i="50"/>
  <c r="N7770" i="50"/>
  <c r="M7770" i="50"/>
  <c r="N7769" i="50"/>
  <c r="M7769" i="50"/>
  <c r="N7768" i="50"/>
  <c r="M7768" i="50"/>
  <c r="N7767" i="50"/>
  <c r="M7767" i="50"/>
  <c r="N7766" i="50"/>
  <c r="M7766" i="50"/>
  <c r="N7765" i="50"/>
  <c r="M7765" i="50"/>
  <c r="N7764" i="50"/>
  <c r="M7764" i="50"/>
  <c r="N7763" i="50"/>
  <c r="M7763" i="50"/>
  <c r="N7762" i="50"/>
  <c r="M7762" i="50"/>
  <c r="N7761" i="50"/>
  <c r="M7761" i="50"/>
  <c r="N7760" i="50"/>
  <c r="M7760" i="50"/>
  <c r="N7759" i="50"/>
  <c r="M7759" i="50"/>
  <c r="N7758" i="50"/>
  <c r="M7758" i="50"/>
  <c r="N7757" i="50"/>
  <c r="M7757" i="50"/>
  <c r="N7756" i="50"/>
  <c r="M7756" i="50"/>
  <c r="N7755" i="50"/>
  <c r="M7755" i="50"/>
  <c r="N7754" i="50"/>
  <c r="M7754" i="50"/>
  <c r="N7753" i="50"/>
  <c r="M7753" i="50"/>
  <c r="N7752" i="50"/>
  <c r="M7752" i="50"/>
  <c r="N7751" i="50"/>
  <c r="M7751" i="50"/>
  <c r="N7750" i="50"/>
  <c r="M7750" i="50"/>
  <c r="N7749" i="50"/>
  <c r="M7749" i="50"/>
  <c r="N7748" i="50"/>
  <c r="M7748" i="50"/>
  <c r="N7747" i="50"/>
  <c r="M7747" i="50"/>
  <c r="N7746" i="50"/>
  <c r="M7746" i="50"/>
  <c r="N7745" i="50"/>
  <c r="M7745" i="50"/>
  <c r="N7744" i="50"/>
  <c r="M7744" i="50"/>
  <c r="N7743" i="50"/>
  <c r="M7743" i="50"/>
  <c r="N7742" i="50"/>
  <c r="M7742" i="50"/>
  <c r="N7741" i="50"/>
  <c r="M7741" i="50"/>
  <c r="N7740" i="50"/>
  <c r="M7740" i="50"/>
  <c r="N7739" i="50"/>
  <c r="M7739" i="50"/>
  <c r="N7738" i="50"/>
  <c r="M7738" i="50"/>
  <c r="N7737" i="50"/>
  <c r="M7737" i="50"/>
  <c r="N7736" i="50"/>
  <c r="M7736" i="50"/>
  <c r="N7735" i="50"/>
  <c r="M7735" i="50"/>
  <c r="N7734" i="50"/>
  <c r="M7734" i="50"/>
  <c r="N7733" i="50"/>
  <c r="M7733" i="50"/>
  <c r="N7732" i="50"/>
  <c r="M7732" i="50"/>
  <c r="N7731" i="50"/>
  <c r="M7731" i="50"/>
  <c r="N7730" i="50"/>
  <c r="M7730" i="50"/>
  <c r="N7729" i="50"/>
  <c r="M7729" i="50"/>
  <c r="N7728" i="50"/>
  <c r="M7728" i="50"/>
  <c r="N7727" i="50"/>
  <c r="M7727" i="50"/>
  <c r="N7726" i="50"/>
  <c r="M7726" i="50"/>
  <c r="N7725" i="50"/>
  <c r="M7725" i="50"/>
  <c r="N7724" i="50"/>
  <c r="M7724" i="50"/>
  <c r="N7723" i="50"/>
  <c r="M7723" i="50"/>
  <c r="N7722" i="50"/>
  <c r="M7722" i="50"/>
  <c r="N7721" i="50"/>
  <c r="M7721" i="50"/>
  <c r="N7720" i="50"/>
  <c r="M7720" i="50"/>
  <c r="N7719" i="50"/>
  <c r="M7719" i="50"/>
  <c r="N7718" i="50"/>
  <c r="M7718" i="50"/>
  <c r="N7717" i="50"/>
  <c r="M7717" i="50"/>
  <c r="N7716" i="50"/>
  <c r="M7716" i="50"/>
  <c r="N7715" i="50"/>
  <c r="M7715" i="50"/>
  <c r="N7714" i="50"/>
  <c r="M7714" i="50"/>
  <c r="N7713" i="50"/>
  <c r="M7713" i="50"/>
  <c r="N7712" i="50"/>
  <c r="M7712" i="50"/>
  <c r="N7711" i="50"/>
  <c r="M7711" i="50"/>
  <c r="N7710" i="50"/>
  <c r="M7710" i="50"/>
  <c r="N7709" i="50"/>
  <c r="M7709" i="50"/>
  <c r="N7708" i="50"/>
  <c r="M7708" i="50"/>
  <c r="N7707" i="50"/>
  <c r="M7707" i="50"/>
  <c r="N7706" i="50"/>
  <c r="M7706" i="50"/>
  <c r="N7705" i="50"/>
  <c r="M7705" i="50"/>
  <c r="N7704" i="50"/>
  <c r="M7704" i="50"/>
  <c r="N7703" i="50"/>
  <c r="M7703" i="50"/>
  <c r="N7702" i="50"/>
  <c r="M7702" i="50"/>
  <c r="N7701" i="50"/>
  <c r="M7701" i="50"/>
  <c r="N7700" i="50"/>
  <c r="M7700" i="50"/>
  <c r="N7699" i="50"/>
  <c r="M7699" i="50"/>
  <c r="N7698" i="50"/>
  <c r="M7698" i="50"/>
  <c r="N7697" i="50"/>
  <c r="M7697" i="50"/>
  <c r="N7696" i="50"/>
  <c r="M7696" i="50"/>
  <c r="N7695" i="50"/>
  <c r="M7695" i="50"/>
  <c r="N7694" i="50"/>
  <c r="M7694" i="50"/>
  <c r="N7693" i="50"/>
  <c r="M7693" i="50"/>
  <c r="N7692" i="50"/>
  <c r="M7692" i="50"/>
  <c r="N7691" i="50"/>
  <c r="M7691" i="50"/>
  <c r="N7690" i="50"/>
  <c r="M7690" i="50"/>
  <c r="N7689" i="50"/>
  <c r="M7689" i="50"/>
  <c r="N7688" i="50"/>
  <c r="M7688" i="50"/>
  <c r="N7687" i="50"/>
  <c r="M7687" i="50"/>
  <c r="N7686" i="50"/>
  <c r="M7686" i="50"/>
  <c r="N7685" i="50"/>
  <c r="M7685" i="50"/>
  <c r="N7684" i="50"/>
  <c r="M7684" i="50"/>
  <c r="N7683" i="50"/>
  <c r="M7683" i="50"/>
  <c r="N7682" i="50"/>
  <c r="M7682" i="50"/>
  <c r="N7681" i="50"/>
  <c r="M7681" i="50"/>
  <c r="N7680" i="50"/>
  <c r="M7680" i="50"/>
  <c r="N7679" i="50"/>
  <c r="M7679" i="50"/>
  <c r="N7678" i="50"/>
  <c r="M7678" i="50"/>
  <c r="N7677" i="50"/>
  <c r="M7677" i="50"/>
  <c r="N7676" i="50"/>
  <c r="M7676" i="50"/>
  <c r="N7675" i="50"/>
  <c r="M7675" i="50"/>
  <c r="N7674" i="50"/>
  <c r="M7674" i="50"/>
  <c r="N7673" i="50"/>
  <c r="M7673" i="50"/>
  <c r="N7672" i="50"/>
  <c r="M7672" i="50"/>
  <c r="N7671" i="50"/>
  <c r="M7671" i="50"/>
  <c r="N7670" i="50"/>
  <c r="M7670" i="50"/>
  <c r="N7669" i="50"/>
  <c r="M7669" i="50"/>
  <c r="N7668" i="50"/>
  <c r="M7668" i="50"/>
  <c r="N7667" i="50"/>
  <c r="M7667" i="50"/>
  <c r="N7666" i="50"/>
  <c r="M7666" i="50"/>
  <c r="N7665" i="50"/>
  <c r="M7665" i="50"/>
  <c r="N7664" i="50"/>
  <c r="M7664" i="50"/>
  <c r="N7663" i="50"/>
  <c r="M7663" i="50"/>
  <c r="N7662" i="50"/>
  <c r="M7662" i="50"/>
  <c r="N7661" i="50"/>
  <c r="M7661" i="50"/>
  <c r="N7660" i="50"/>
  <c r="M7660" i="50"/>
  <c r="N7659" i="50"/>
  <c r="M7659" i="50"/>
  <c r="N7658" i="50"/>
  <c r="M7658" i="50"/>
  <c r="N7657" i="50"/>
  <c r="M7657" i="50"/>
  <c r="N7656" i="50"/>
  <c r="M7656" i="50"/>
  <c r="N7655" i="50"/>
  <c r="M7655" i="50"/>
  <c r="N7654" i="50"/>
  <c r="M7654" i="50"/>
  <c r="N7653" i="50"/>
  <c r="M7653" i="50"/>
  <c r="N7652" i="50"/>
  <c r="M7652" i="50"/>
  <c r="N7651" i="50"/>
  <c r="M7651" i="50"/>
  <c r="N7650" i="50"/>
  <c r="M7650" i="50"/>
  <c r="N7649" i="50"/>
  <c r="M7649" i="50"/>
  <c r="N7648" i="50"/>
  <c r="M7648" i="50"/>
  <c r="N7647" i="50"/>
  <c r="M7647" i="50"/>
  <c r="N7646" i="50"/>
  <c r="M7646" i="50"/>
  <c r="N7645" i="50"/>
  <c r="M7645" i="50"/>
  <c r="N7644" i="50"/>
  <c r="M7644" i="50"/>
  <c r="N7643" i="50"/>
  <c r="M7643" i="50"/>
  <c r="N7642" i="50"/>
  <c r="M7642" i="50"/>
  <c r="N7641" i="50"/>
  <c r="M7641" i="50"/>
  <c r="N7640" i="50"/>
  <c r="M7640" i="50"/>
  <c r="N7639" i="50"/>
  <c r="M7639" i="50"/>
  <c r="N7638" i="50"/>
  <c r="M7638" i="50"/>
  <c r="N7637" i="50"/>
  <c r="M7637" i="50"/>
  <c r="N7636" i="50"/>
  <c r="M7636" i="50"/>
  <c r="N7635" i="50"/>
  <c r="M7635" i="50"/>
  <c r="N7634" i="50"/>
  <c r="M7634" i="50"/>
  <c r="N7633" i="50"/>
  <c r="M7633" i="50"/>
  <c r="N7632" i="50"/>
  <c r="M7632" i="50"/>
  <c r="N7631" i="50"/>
  <c r="M7631" i="50"/>
  <c r="N7630" i="50"/>
  <c r="M7630" i="50"/>
  <c r="N7629" i="50"/>
  <c r="M7629" i="50"/>
  <c r="N7628" i="50"/>
  <c r="M7628" i="50"/>
  <c r="N7627" i="50"/>
  <c r="M7627" i="50"/>
  <c r="N7626" i="50"/>
  <c r="M7626" i="50"/>
  <c r="N7625" i="50"/>
  <c r="M7625" i="50"/>
  <c r="N7624" i="50"/>
  <c r="M7624" i="50"/>
  <c r="N7623" i="50"/>
  <c r="M7623" i="50"/>
  <c r="N7622" i="50"/>
  <c r="M7622" i="50"/>
  <c r="N7621" i="50"/>
  <c r="M7621" i="50"/>
  <c r="N7620" i="50"/>
  <c r="M7620" i="50"/>
  <c r="N7619" i="50"/>
  <c r="M7619" i="50"/>
  <c r="N7618" i="50"/>
  <c r="M7618" i="50"/>
  <c r="N7617" i="50"/>
  <c r="M7617" i="50"/>
  <c r="N7616" i="50"/>
  <c r="M7616" i="50"/>
  <c r="N7615" i="50"/>
  <c r="M7615" i="50"/>
  <c r="N7614" i="50"/>
  <c r="M7614" i="50"/>
  <c r="N7613" i="50"/>
  <c r="M7613" i="50"/>
  <c r="N7612" i="50"/>
  <c r="M7612" i="50"/>
  <c r="N7611" i="50"/>
  <c r="M7611" i="50"/>
  <c r="N7610" i="50"/>
  <c r="M7610" i="50"/>
  <c r="N7609" i="50"/>
  <c r="M7609" i="50"/>
  <c r="N7608" i="50"/>
  <c r="M7608" i="50"/>
  <c r="N7607" i="50"/>
  <c r="M7607" i="50"/>
  <c r="N7606" i="50"/>
  <c r="M7606" i="50"/>
  <c r="N7605" i="50"/>
  <c r="M7605" i="50"/>
  <c r="N7604" i="50"/>
  <c r="M7604" i="50"/>
  <c r="N7603" i="50"/>
  <c r="M7603" i="50"/>
  <c r="N7602" i="50"/>
  <c r="M7602" i="50"/>
  <c r="N7601" i="50"/>
  <c r="M7601" i="50"/>
  <c r="N7600" i="50"/>
  <c r="M7600" i="50"/>
  <c r="N7599" i="50"/>
  <c r="M7599" i="50"/>
  <c r="N7598" i="50"/>
  <c r="M7598" i="50"/>
  <c r="N7597" i="50"/>
  <c r="M7597" i="50"/>
  <c r="N7596" i="50"/>
  <c r="M7596" i="50"/>
  <c r="N7595" i="50"/>
  <c r="M7595" i="50"/>
  <c r="N7594" i="50"/>
  <c r="M7594" i="50"/>
  <c r="N7593" i="50"/>
  <c r="M7593" i="50"/>
  <c r="N7592" i="50"/>
  <c r="M7592" i="50"/>
  <c r="N7591" i="50"/>
  <c r="M7591" i="50"/>
  <c r="N7590" i="50"/>
  <c r="M7590" i="50"/>
  <c r="N7589" i="50"/>
  <c r="M7589" i="50"/>
  <c r="N7588" i="50"/>
  <c r="M7588" i="50"/>
  <c r="N7587" i="50"/>
  <c r="M7587" i="50"/>
  <c r="N7586" i="50"/>
  <c r="M7586" i="50"/>
  <c r="N7585" i="50"/>
  <c r="M7585" i="50"/>
  <c r="N7584" i="50"/>
  <c r="M7584" i="50"/>
  <c r="N7583" i="50"/>
  <c r="M7583" i="50"/>
  <c r="N7582" i="50"/>
  <c r="M7582" i="50"/>
  <c r="N7581" i="50"/>
  <c r="M7581" i="50"/>
  <c r="N7580" i="50"/>
  <c r="M7580" i="50"/>
  <c r="N7579" i="50"/>
  <c r="M7579" i="50"/>
  <c r="N7578" i="50"/>
  <c r="M7578" i="50"/>
  <c r="N7577" i="50"/>
  <c r="M7577" i="50"/>
  <c r="N7576" i="50"/>
  <c r="M7576" i="50"/>
  <c r="N7575" i="50"/>
  <c r="M7575" i="50"/>
  <c r="N7574" i="50"/>
  <c r="M7574" i="50"/>
  <c r="N7573" i="50"/>
  <c r="M7573" i="50"/>
  <c r="N7572" i="50"/>
  <c r="M7572" i="50"/>
  <c r="N7571" i="50"/>
  <c r="M7571" i="50"/>
  <c r="N7570" i="50"/>
  <c r="M7570" i="50"/>
  <c r="N7569" i="50"/>
  <c r="M7569" i="50"/>
  <c r="N7568" i="50"/>
  <c r="M7568" i="50"/>
  <c r="N7567" i="50"/>
  <c r="M7567" i="50"/>
  <c r="N7566" i="50"/>
  <c r="M7566" i="50"/>
  <c r="N7565" i="50"/>
  <c r="M7565" i="50"/>
  <c r="N7564" i="50"/>
  <c r="M7564" i="50"/>
  <c r="N7563" i="50"/>
  <c r="M7563" i="50"/>
  <c r="N7562" i="50"/>
  <c r="M7562" i="50"/>
  <c r="N7561" i="50"/>
  <c r="M7561" i="50"/>
  <c r="N7560" i="50"/>
  <c r="M7560" i="50"/>
  <c r="N7559" i="50"/>
  <c r="M7559" i="50"/>
  <c r="N7558" i="50"/>
  <c r="M7558" i="50"/>
  <c r="N7557" i="50"/>
  <c r="M7557" i="50"/>
  <c r="N7556" i="50"/>
  <c r="M7556" i="50"/>
  <c r="N7555" i="50"/>
  <c r="M7555" i="50"/>
  <c r="N7554" i="50"/>
  <c r="M7554" i="50"/>
  <c r="N7553" i="50"/>
  <c r="M7553" i="50"/>
  <c r="N7552" i="50"/>
  <c r="M7552" i="50"/>
  <c r="N7551" i="50"/>
  <c r="M7551" i="50"/>
  <c r="N7550" i="50"/>
  <c r="M7550" i="50"/>
  <c r="N7549" i="50"/>
  <c r="M7549" i="50"/>
  <c r="N7548" i="50"/>
  <c r="M7548" i="50"/>
  <c r="N7547" i="50"/>
  <c r="M7547" i="50"/>
  <c r="N7546" i="50"/>
  <c r="M7546" i="50"/>
  <c r="N7545" i="50"/>
  <c r="M7545" i="50"/>
  <c r="N7544" i="50"/>
  <c r="M7544" i="50"/>
  <c r="N7543" i="50"/>
  <c r="M7543" i="50"/>
  <c r="N7542" i="50"/>
  <c r="M7542" i="50"/>
  <c r="N7541" i="50"/>
  <c r="M7541" i="50"/>
  <c r="N7540" i="50"/>
  <c r="M7540" i="50"/>
  <c r="N7539" i="50"/>
  <c r="M7539" i="50"/>
  <c r="N7538" i="50"/>
  <c r="M7538" i="50"/>
  <c r="N7537" i="50"/>
  <c r="M7537" i="50"/>
  <c r="N7536" i="50"/>
  <c r="M7536" i="50"/>
  <c r="N7535" i="50"/>
  <c r="M7535" i="50"/>
  <c r="N7534" i="50"/>
  <c r="M7534" i="50"/>
  <c r="N7533" i="50"/>
  <c r="M7533" i="50"/>
  <c r="N7532" i="50"/>
  <c r="M7532" i="50"/>
  <c r="N7531" i="50"/>
  <c r="M7531" i="50"/>
  <c r="N7530" i="50"/>
  <c r="M7530" i="50"/>
  <c r="N7529" i="50"/>
  <c r="M7529" i="50"/>
  <c r="N7528" i="50"/>
  <c r="M7528" i="50"/>
  <c r="N7527" i="50"/>
  <c r="M7527" i="50"/>
  <c r="N7526" i="50"/>
  <c r="M7526" i="50"/>
  <c r="N7525" i="50"/>
  <c r="M7525" i="50"/>
  <c r="N7524" i="50"/>
  <c r="M7524" i="50"/>
  <c r="N7523" i="50"/>
  <c r="M7523" i="50"/>
  <c r="N7522" i="50"/>
  <c r="M7522" i="50"/>
  <c r="N7521" i="50"/>
  <c r="M7521" i="50"/>
  <c r="N7520" i="50"/>
  <c r="M7520" i="50"/>
  <c r="N7519" i="50"/>
  <c r="M7519" i="50"/>
  <c r="N7518" i="50"/>
  <c r="M7518" i="50"/>
  <c r="N7517" i="50"/>
  <c r="M7517" i="50"/>
  <c r="N7516" i="50"/>
  <c r="M7516" i="50"/>
  <c r="N7515" i="50"/>
  <c r="M7515" i="50"/>
  <c r="N7514" i="50"/>
  <c r="M7514" i="50"/>
  <c r="N7513" i="50"/>
  <c r="M7513" i="50"/>
  <c r="N7512" i="50"/>
  <c r="M7512" i="50"/>
  <c r="N7511" i="50"/>
  <c r="M7511" i="50"/>
  <c r="N7510" i="50"/>
  <c r="M7510" i="50"/>
  <c r="N7509" i="50"/>
  <c r="M7509" i="50"/>
  <c r="N7508" i="50"/>
  <c r="M7508" i="50"/>
  <c r="N7507" i="50"/>
  <c r="M7507" i="50"/>
  <c r="N7506" i="50"/>
  <c r="M7506" i="50"/>
  <c r="N7505" i="50"/>
  <c r="M7505" i="50"/>
  <c r="N7504" i="50"/>
  <c r="M7504" i="50"/>
  <c r="N7503" i="50"/>
  <c r="M7503" i="50"/>
  <c r="N7502" i="50"/>
  <c r="M7502" i="50"/>
  <c r="N7501" i="50"/>
  <c r="M7501" i="50"/>
  <c r="N7500" i="50"/>
  <c r="M7500" i="50"/>
  <c r="N7499" i="50"/>
  <c r="M7499" i="50"/>
  <c r="N7498" i="50"/>
  <c r="M7498" i="50"/>
  <c r="N7497" i="50"/>
  <c r="M7497" i="50"/>
  <c r="N7496" i="50"/>
  <c r="M7496" i="50"/>
  <c r="N7495" i="50"/>
  <c r="M7495" i="50"/>
  <c r="N7494" i="50"/>
  <c r="M7494" i="50"/>
  <c r="N7493" i="50"/>
  <c r="M7493" i="50"/>
  <c r="N7492" i="50"/>
  <c r="M7492" i="50"/>
  <c r="N7491" i="50"/>
  <c r="M7491" i="50"/>
  <c r="N7490" i="50"/>
  <c r="M7490" i="50"/>
  <c r="N7489" i="50"/>
  <c r="M7489" i="50"/>
  <c r="N7488" i="50"/>
  <c r="M7488" i="50"/>
  <c r="N7487" i="50"/>
  <c r="M7487" i="50"/>
  <c r="N7486" i="50"/>
  <c r="M7486" i="50"/>
  <c r="N7485" i="50"/>
  <c r="M7485" i="50"/>
  <c r="N7484" i="50"/>
  <c r="M7484" i="50"/>
  <c r="N7483" i="50"/>
  <c r="M7483" i="50"/>
  <c r="N7482" i="50"/>
  <c r="M7482" i="50"/>
  <c r="N7481" i="50"/>
  <c r="M7481" i="50"/>
  <c r="N7480" i="50"/>
  <c r="M7480" i="50"/>
  <c r="N7479" i="50"/>
  <c r="M7479" i="50"/>
  <c r="N7478" i="50"/>
  <c r="M7478" i="50"/>
  <c r="N7477" i="50"/>
  <c r="M7477" i="50"/>
  <c r="N7476" i="50"/>
  <c r="M7476" i="50"/>
  <c r="N7475" i="50"/>
  <c r="M7475" i="50"/>
  <c r="N7474" i="50"/>
  <c r="M7474" i="50"/>
  <c r="N7473" i="50"/>
  <c r="M7473" i="50"/>
  <c r="N7472" i="50"/>
  <c r="M7472" i="50"/>
  <c r="N7471" i="50"/>
  <c r="M7471" i="50"/>
  <c r="N7470" i="50"/>
  <c r="M7470" i="50"/>
  <c r="N7469" i="50"/>
  <c r="M7469" i="50"/>
  <c r="N7468" i="50"/>
  <c r="M7468" i="50"/>
  <c r="N7467" i="50"/>
  <c r="M7467" i="50"/>
  <c r="N7466" i="50"/>
  <c r="M7466" i="50"/>
  <c r="N7465" i="50"/>
  <c r="M7465" i="50"/>
  <c r="N7464" i="50"/>
  <c r="M7464" i="50"/>
  <c r="N7463" i="50"/>
  <c r="M7463" i="50"/>
  <c r="N7462" i="50"/>
  <c r="M7462" i="50"/>
  <c r="N7461" i="50"/>
  <c r="M7461" i="50"/>
  <c r="N7460" i="50"/>
  <c r="M7460" i="50"/>
  <c r="N7459" i="50"/>
  <c r="M7459" i="50"/>
  <c r="N7458" i="50"/>
  <c r="M7458" i="50"/>
  <c r="N7457" i="50"/>
  <c r="M7457" i="50"/>
  <c r="N7456" i="50"/>
  <c r="M7456" i="50"/>
  <c r="N7455" i="50"/>
  <c r="M7455" i="50"/>
  <c r="N7454" i="50"/>
  <c r="M7454" i="50"/>
  <c r="N7453" i="50"/>
  <c r="M7453" i="50"/>
  <c r="N7452" i="50"/>
  <c r="M7452" i="50"/>
  <c r="N7451" i="50"/>
  <c r="M7451" i="50"/>
  <c r="N7450" i="50"/>
  <c r="M7450" i="50"/>
  <c r="N7449" i="50"/>
  <c r="M7449" i="50"/>
  <c r="N7448" i="50"/>
  <c r="M7448" i="50"/>
  <c r="N7447" i="50"/>
  <c r="M7447" i="50"/>
  <c r="N7446" i="50"/>
  <c r="M7446" i="50"/>
  <c r="N7445" i="50"/>
  <c r="M7445" i="50"/>
  <c r="N7444" i="50"/>
  <c r="M7444" i="50"/>
  <c r="N7443" i="50"/>
  <c r="M7443" i="50"/>
  <c r="N7442" i="50"/>
  <c r="M7442" i="50"/>
  <c r="N7441" i="50"/>
  <c r="M7441" i="50"/>
  <c r="N7440" i="50"/>
  <c r="M7440" i="50"/>
  <c r="N7439" i="50"/>
  <c r="M7439" i="50"/>
  <c r="N7438" i="50"/>
  <c r="M7438" i="50"/>
  <c r="N7437" i="50"/>
  <c r="M7437" i="50"/>
  <c r="N7436" i="50"/>
  <c r="M7436" i="50"/>
  <c r="N7435" i="50"/>
  <c r="M7435" i="50"/>
  <c r="N7434" i="50"/>
  <c r="M7434" i="50"/>
  <c r="N7433" i="50"/>
  <c r="M7433" i="50"/>
  <c r="N7432" i="50"/>
  <c r="M7432" i="50"/>
  <c r="N7431" i="50"/>
  <c r="M7431" i="50"/>
  <c r="N7430" i="50"/>
  <c r="M7430" i="50"/>
  <c r="N7429" i="50"/>
  <c r="M7429" i="50"/>
  <c r="N7428" i="50"/>
  <c r="M7428" i="50"/>
  <c r="N7427" i="50"/>
  <c r="M7427" i="50"/>
  <c r="N7426" i="50"/>
  <c r="M7426" i="50"/>
  <c r="N7425" i="50"/>
  <c r="M7425" i="50"/>
  <c r="N7424" i="50"/>
  <c r="M7424" i="50"/>
  <c r="N7423" i="50"/>
  <c r="M7423" i="50"/>
  <c r="N7422" i="50"/>
  <c r="M7422" i="50"/>
  <c r="N7421" i="50"/>
  <c r="M7421" i="50"/>
  <c r="N7420" i="50"/>
  <c r="M7420" i="50"/>
  <c r="N7419" i="50"/>
  <c r="M7419" i="50"/>
  <c r="N7418" i="50"/>
  <c r="M7418" i="50"/>
  <c r="N7417" i="50"/>
  <c r="M7417" i="50"/>
  <c r="N7416" i="50"/>
  <c r="M7416" i="50"/>
  <c r="N7415" i="50"/>
  <c r="M7415" i="50"/>
  <c r="N7414" i="50"/>
  <c r="M7414" i="50"/>
  <c r="N7413" i="50"/>
  <c r="M7413" i="50"/>
  <c r="N7412" i="50"/>
  <c r="M7412" i="50"/>
  <c r="N7411" i="50"/>
  <c r="M7411" i="50"/>
  <c r="N7410" i="50"/>
  <c r="M7410" i="50"/>
  <c r="N7409" i="50"/>
  <c r="M7409" i="50"/>
  <c r="N7408" i="50"/>
  <c r="M7408" i="50"/>
  <c r="N7407" i="50"/>
  <c r="M7407" i="50"/>
  <c r="N7406" i="50"/>
  <c r="M7406" i="50"/>
  <c r="N7405" i="50"/>
  <c r="M7405" i="50"/>
  <c r="N7404" i="50"/>
  <c r="M7404" i="50"/>
  <c r="N7403" i="50"/>
  <c r="M7403" i="50"/>
  <c r="N7402" i="50"/>
  <c r="M7402" i="50"/>
  <c r="N7401" i="50"/>
  <c r="M7401" i="50"/>
  <c r="N7400" i="50"/>
  <c r="M7400" i="50"/>
  <c r="N7399" i="50"/>
  <c r="M7399" i="50"/>
  <c r="N7398" i="50"/>
  <c r="M7398" i="50"/>
  <c r="N7397" i="50"/>
  <c r="M7397" i="50"/>
  <c r="N7396" i="50"/>
  <c r="M7396" i="50"/>
  <c r="N7395" i="50"/>
  <c r="M7395" i="50"/>
  <c r="N7394" i="50"/>
  <c r="M7394" i="50"/>
  <c r="N7393" i="50"/>
  <c r="M7393" i="50"/>
  <c r="N7392" i="50"/>
  <c r="M7392" i="50"/>
  <c r="N7391" i="50"/>
  <c r="M7391" i="50"/>
  <c r="N7390" i="50"/>
  <c r="M7390" i="50"/>
  <c r="N7389" i="50"/>
  <c r="M7389" i="50"/>
  <c r="N7388" i="50"/>
  <c r="M7388" i="50"/>
  <c r="N7387" i="50"/>
  <c r="M7387" i="50"/>
  <c r="N7386" i="50"/>
  <c r="M7386" i="50"/>
  <c r="N7385" i="50"/>
  <c r="M7385" i="50"/>
  <c r="N7384" i="50"/>
  <c r="M7384" i="50"/>
  <c r="N7383" i="50"/>
  <c r="M7383" i="50"/>
  <c r="N7382" i="50"/>
  <c r="M7382" i="50"/>
  <c r="N7381" i="50"/>
  <c r="M7381" i="50"/>
  <c r="N7380" i="50"/>
  <c r="M7380" i="50"/>
  <c r="N7379" i="50"/>
  <c r="M7379" i="50"/>
  <c r="N7378" i="50"/>
  <c r="M7378" i="50"/>
  <c r="N7377" i="50"/>
  <c r="M7377" i="50"/>
  <c r="N7376" i="50"/>
  <c r="M7376" i="50"/>
  <c r="N7375" i="50"/>
  <c r="M7375" i="50"/>
  <c r="N7374" i="50"/>
  <c r="M7374" i="50"/>
  <c r="N7373" i="50"/>
  <c r="M7373" i="50"/>
  <c r="N7372" i="50"/>
  <c r="M7372" i="50"/>
  <c r="N7371" i="50"/>
  <c r="M7371" i="50"/>
  <c r="N7370" i="50"/>
  <c r="M7370" i="50"/>
  <c r="N7369" i="50"/>
  <c r="M7369" i="50"/>
  <c r="N7368" i="50"/>
  <c r="M7368" i="50"/>
  <c r="N7367" i="50"/>
  <c r="M7367" i="50"/>
  <c r="N7366" i="50"/>
  <c r="M7366" i="50"/>
  <c r="N7365" i="50"/>
  <c r="M7365" i="50"/>
  <c r="N7364" i="50"/>
  <c r="M7364" i="50"/>
  <c r="N7363" i="50"/>
  <c r="M7363" i="50"/>
  <c r="N7362" i="50"/>
  <c r="M7362" i="50"/>
  <c r="N7361" i="50"/>
  <c r="M7361" i="50"/>
  <c r="N7360" i="50"/>
  <c r="M7360" i="50"/>
  <c r="N7359" i="50"/>
  <c r="M7359" i="50"/>
  <c r="N7358" i="50"/>
  <c r="M7358" i="50"/>
  <c r="N7357" i="50"/>
  <c r="M7357" i="50"/>
  <c r="N7356" i="50"/>
  <c r="M7356" i="50"/>
  <c r="N7355" i="50"/>
  <c r="M7355" i="50"/>
  <c r="N7354" i="50"/>
  <c r="M7354" i="50"/>
  <c r="N7353" i="50"/>
  <c r="M7353" i="50"/>
  <c r="N7352" i="50"/>
  <c r="M7352" i="50"/>
  <c r="N7351" i="50"/>
  <c r="M7351" i="50"/>
  <c r="N7350" i="50"/>
  <c r="M7350" i="50"/>
  <c r="N7349" i="50"/>
  <c r="M7349" i="50"/>
  <c r="N7348" i="50"/>
  <c r="M7348" i="50"/>
  <c r="N7347" i="50"/>
  <c r="M7347" i="50"/>
  <c r="N7346" i="50"/>
  <c r="M7346" i="50"/>
  <c r="N7345" i="50"/>
  <c r="M7345" i="50"/>
  <c r="N7344" i="50"/>
  <c r="M7344" i="50"/>
  <c r="N7343" i="50"/>
  <c r="M7343" i="50"/>
  <c r="N7342" i="50"/>
  <c r="M7342" i="50"/>
  <c r="N7341" i="50"/>
  <c r="M7341" i="50"/>
  <c r="N7340" i="50"/>
  <c r="M7340" i="50"/>
  <c r="N7339" i="50"/>
  <c r="M7339" i="50"/>
  <c r="N7338" i="50"/>
  <c r="M7338" i="50"/>
  <c r="N7337" i="50"/>
  <c r="M7337" i="50"/>
  <c r="N7336" i="50"/>
  <c r="M7336" i="50"/>
  <c r="N7335" i="50"/>
  <c r="M7335" i="50"/>
  <c r="N7334" i="50"/>
  <c r="M7334" i="50"/>
  <c r="N7333" i="50"/>
  <c r="M7333" i="50"/>
  <c r="N7332" i="50"/>
  <c r="M7332" i="50"/>
  <c r="N7331" i="50"/>
  <c r="M7331" i="50"/>
  <c r="N7330" i="50"/>
  <c r="M7330" i="50"/>
  <c r="N7329" i="50"/>
  <c r="M7329" i="50"/>
  <c r="N7328" i="50"/>
  <c r="M7328" i="50"/>
  <c r="N7327" i="50"/>
  <c r="M7327" i="50"/>
  <c r="N7326" i="50"/>
  <c r="M7326" i="50"/>
  <c r="N7325" i="50"/>
  <c r="M7325" i="50"/>
  <c r="N7324" i="50"/>
  <c r="M7324" i="50"/>
  <c r="N7323" i="50"/>
  <c r="M7323" i="50"/>
  <c r="N7322" i="50"/>
  <c r="M7322" i="50"/>
  <c r="N7321" i="50"/>
  <c r="M7321" i="50"/>
  <c r="N7320" i="50"/>
  <c r="M7320" i="50"/>
  <c r="N7319" i="50"/>
  <c r="M7319" i="50"/>
  <c r="N7318" i="50"/>
  <c r="M7318" i="50"/>
  <c r="N7317" i="50"/>
  <c r="M7317" i="50"/>
  <c r="N7316" i="50"/>
  <c r="M7316" i="50"/>
  <c r="N7315" i="50"/>
  <c r="M7315" i="50"/>
  <c r="N7314" i="50"/>
  <c r="M7314" i="50"/>
  <c r="N7313" i="50"/>
  <c r="M7313" i="50"/>
  <c r="N7312" i="50"/>
  <c r="M7312" i="50"/>
  <c r="N7311" i="50"/>
  <c r="M7311" i="50"/>
  <c r="N7310" i="50"/>
  <c r="M7310" i="50"/>
  <c r="N7309" i="50"/>
  <c r="M7309" i="50"/>
  <c r="N7308" i="50"/>
  <c r="M7308" i="50"/>
  <c r="N7307" i="50"/>
  <c r="M7307" i="50"/>
  <c r="N7306" i="50"/>
  <c r="M7306" i="50"/>
  <c r="N7305" i="50"/>
  <c r="M7305" i="50"/>
  <c r="N7304" i="50"/>
  <c r="M7304" i="50"/>
  <c r="N7303" i="50"/>
  <c r="M7303" i="50"/>
  <c r="N7302" i="50"/>
  <c r="M7302" i="50"/>
  <c r="N7301" i="50"/>
  <c r="M7301" i="50"/>
  <c r="N7300" i="50"/>
  <c r="M7300" i="50"/>
  <c r="N7299" i="50"/>
  <c r="M7299" i="50"/>
  <c r="N7298" i="50"/>
  <c r="M7298" i="50"/>
  <c r="N7297" i="50"/>
  <c r="M7297" i="50"/>
  <c r="N7296" i="50"/>
  <c r="M7296" i="50"/>
  <c r="N7295" i="50"/>
  <c r="M7295" i="50"/>
  <c r="N7294" i="50"/>
  <c r="M7294" i="50"/>
  <c r="N7293" i="50"/>
  <c r="M7293" i="50"/>
  <c r="N7292" i="50"/>
  <c r="M7292" i="50"/>
  <c r="N7291" i="50"/>
  <c r="M7291" i="50"/>
  <c r="N7290" i="50"/>
  <c r="M7290" i="50"/>
  <c r="N7289" i="50"/>
  <c r="M7289" i="50"/>
  <c r="N7288" i="50"/>
  <c r="M7288" i="50"/>
  <c r="N7287" i="50"/>
  <c r="M7287" i="50"/>
  <c r="N7286" i="50"/>
  <c r="M7286" i="50"/>
  <c r="N7285" i="50"/>
  <c r="M7285" i="50"/>
  <c r="N7284" i="50"/>
  <c r="M7284" i="50"/>
  <c r="N7283" i="50"/>
  <c r="M7283" i="50"/>
  <c r="N7282" i="50"/>
  <c r="M7282" i="50"/>
  <c r="N7281" i="50"/>
  <c r="M7281" i="50"/>
  <c r="N7280" i="50"/>
  <c r="M7280" i="50"/>
  <c r="N7279" i="50"/>
  <c r="M7279" i="50"/>
  <c r="N7278" i="50"/>
  <c r="M7278" i="50"/>
  <c r="N7277" i="50"/>
  <c r="M7277" i="50"/>
  <c r="N7276" i="50"/>
  <c r="M7276" i="50"/>
  <c r="N7275" i="50"/>
  <c r="M7275" i="50"/>
  <c r="N7274" i="50"/>
  <c r="M7274" i="50"/>
  <c r="N7273" i="50"/>
  <c r="M7273" i="50"/>
  <c r="N7272" i="50"/>
  <c r="M7272" i="50"/>
  <c r="N7271" i="50"/>
  <c r="M7271" i="50"/>
  <c r="N7270" i="50"/>
  <c r="M7270" i="50"/>
  <c r="N7269" i="50"/>
  <c r="M7269" i="50"/>
  <c r="N7268" i="50"/>
  <c r="M7268" i="50"/>
  <c r="N7267" i="50"/>
  <c r="M7267" i="50"/>
  <c r="N7266" i="50"/>
  <c r="M7266" i="50"/>
  <c r="N7265" i="50"/>
  <c r="M7265" i="50"/>
  <c r="N7264" i="50"/>
  <c r="M7264" i="50"/>
  <c r="N7263" i="50"/>
  <c r="M7263" i="50"/>
  <c r="N7262" i="50"/>
  <c r="M7262" i="50"/>
  <c r="N7261" i="50"/>
  <c r="M7261" i="50"/>
  <c r="N7260" i="50"/>
  <c r="M7260" i="50"/>
  <c r="N7259" i="50"/>
  <c r="M7259" i="50"/>
  <c r="N7258" i="50"/>
  <c r="M7258" i="50"/>
  <c r="N7257" i="50"/>
  <c r="M7257" i="50"/>
  <c r="N7256" i="50"/>
  <c r="M7256" i="50"/>
  <c r="N7255" i="50"/>
  <c r="M7255" i="50"/>
  <c r="N7254" i="50"/>
  <c r="M7254" i="50"/>
  <c r="N7253" i="50"/>
  <c r="M7253" i="50"/>
  <c r="N7252" i="50"/>
  <c r="M7252" i="50"/>
  <c r="N7251" i="50"/>
  <c r="M7251" i="50"/>
  <c r="N7250" i="50"/>
  <c r="M7250" i="50"/>
  <c r="N7249" i="50"/>
  <c r="M7249" i="50"/>
  <c r="N7248" i="50"/>
  <c r="M7248" i="50"/>
  <c r="N7247" i="50"/>
  <c r="M7247" i="50"/>
  <c r="N7246" i="50"/>
  <c r="M7246" i="50"/>
  <c r="N7245" i="50"/>
  <c r="M7245" i="50"/>
  <c r="N7244" i="50"/>
  <c r="M7244" i="50"/>
  <c r="N7243" i="50"/>
  <c r="M7243" i="50"/>
  <c r="N7242" i="50"/>
  <c r="M7242" i="50"/>
  <c r="N7241" i="50"/>
  <c r="M7241" i="50"/>
  <c r="N7240" i="50"/>
  <c r="M7240" i="50"/>
  <c r="N7239" i="50"/>
  <c r="M7239" i="50"/>
  <c r="N7238" i="50"/>
  <c r="M7238" i="50"/>
  <c r="N7237" i="50"/>
  <c r="M7237" i="50"/>
  <c r="N7236" i="50"/>
  <c r="M7236" i="50"/>
  <c r="N7235" i="50"/>
  <c r="M7235" i="50"/>
  <c r="N7234" i="50"/>
  <c r="M7234" i="50"/>
  <c r="N7233" i="50"/>
  <c r="M7233" i="50"/>
  <c r="N7232" i="50"/>
  <c r="M7232" i="50"/>
  <c r="N7231" i="50"/>
  <c r="M7231" i="50"/>
  <c r="N7230" i="50"/>
  <c r="M7230" i="50"/>
  <c r="N7229" i="50"/>
  <c r="M7229" i="50"/>
  <c r="N7228" i="50"/>
  <c r="M7228" i="50"/>
  <c r="N7227" i="50"/>
  <c r="M7227" i="50"/>
  <c r="N7226" i="50"/>
  <c r="M7226" i="50"/>
  <c r="N7225" i="50"/>
  <c r="M7225" i="50"/>
  <c r="N7224" i="50"/>
  <c r="M7224" i="50"/>
  <c r="N7223" i="50"/>
  <c r="M7223" i="50"/>
  <c r="N7222" i="50"/>
  <c r="M7222" i="50"/>
  <c r="N7221" i="50"/>
  <c r="M7221" i="50"/>
  <c r="N7220" i="50"/>
  <c r="M7220" i="50"/>
  <c r="N7219" i="50"/>
  <c r="M7219" i="50"/>
  <c r="N7218" i="50"/>
  <c r="M7218" i="50"/>
  <c r="N7217" i="50"/>
  <c r="M7217" i="50"/>
  <c r="N7216" i="50"/>
  <c r="M7216" i="50"/>
  <c r="N7215" i="50"/>
  <c r="M7215" i="50"/>
  <c r="N7214" i="50"/>
  <c r="M7214" i="50"/>
  <c r="N7213" i="50"/>
  <c r="M7213" i="50"/>
  <c r="N7212" i="50"/>
  <c r="M7212" i="50"/>
  <c r="N7211" i="50"/>
  <c r="M7211" i="50"/>
  <c r="N7210" i="50"/>
  <c r="M7210" i="50"/>
  <c r="N7209" i="50"/>
  <c r="M7209" i="50"/>
  <c r="N7208" i="50"/>
  <c r="M7208" i="50"/>
  <c r="N7207" i="50"/>
  <c r="M7207" i="50"/>
  <c r="N7206" i="50"/>
  <c r="M7206" i="50"/>
  <c r="N7205" i="50"/>
  <c r="M7205" i="50"/>
  <c r="N7204" i="50"/>
  <c r="M7204" i="50"/>
  <c r="N7203" i="50"/>
  <c r="M7203" i="50"/>
  <c r="N7202" i="50"/>
  <c r="M7202" i="50"/>
  <c r="N7201" i="50"/>
  <c r="M7201" i="50"/>
  <c r="N7200" i="50"/>
  <c r="M7200" i="50"/>
  <c r="N7199" i="50"/>
  <c r="M7199" i="50"/>
  <c r="N7198" i="50"/>
  <c r="M7198" i="50"/>
  <c r="N7197" i="50"/>
  <c r="M7197" i="50"/>
  <c r="N7196" i="50"/>
  <c r="M7196" i="50"/>
  <c r="N7195" i="50"/>
  <c r="M7195" i="50"/>
  <c r="N7194" i="50"/>
  <c r="M7194" i="50"/>
  <c r="N7193" i="50"/>
  <c r="M7193" i="50"/>
  <c r="N7192" i="50"/>
  <c r="M7192" i="50"/>
  <c r="N7191" i="50"/>
  <c r="M7191" i="50"/>
  <c r="N7190" i="50"/>
  <c r="M7190" i="50"/>
  <c r="N7189" i="50"/>
  <c r="M7189" i="50"/>
  <c r="N7188" i="50"/>
  <c r="M7188" i="50"/>
  <c r="N7187" i="50"/>
  <c r="M7187" i="50"/>
  <c r="N7186" i="50"/>
  <c r="M7186" i="50"/>
  <c r="N7185" i="50"/>
  <c r="M7185" i="50"/>
  <c r="N7184" i="50"/>
  <c r="M7184" i="50"/>
  <c r="N7183" i="50"/>
  <c r="M7183" i="50"/>
  <c r="N7182" i="50"/>
  <c r="M7182" i="50"/>
  <c r="N7181" i="50"/>
  <c r="M7181" i="50"/>
  <c r="N7180" i="50"/>
  <c r="M7180" i="50"/>
  <c r="N7179" i="50"/>
  <c r="M7179" i="50"/>
  <c r="N7178" i="50"/>
  <c r="M7178" i="50"/>
  <c r="N7177" i="50"/>
  <c r="M7177" i="50"/>
  <c r="N7176" i="50"/>
  <c r="M7176" i="50"/>
  <c r="N7175" i="50"/>
  <c r="M7175" i="50"/>
  <c r="N7174" i="50"/>
  <c r="M7174" i="50"/>
  <c r="N7173" i="50"/>
  <c r="M7173" i="50"/>
  <c r="N7172" i="50"/>
  <c r="M7172" i="50"/>
  <c r="N7171" i="50"/>
  <c r="M7171" i="50"/>
  <c r="N7170" i="50"/>
  <c r="M7170" i="50"/>
  <c r="N7169" i="50"/>
  <c r="M7169" i="50"/>
  <c r="N7168" i="50"/>
  <c r="M7168" i="50"/>
  <c r="N7167" i="50"/>
  <c r="M7167" i="50"/>
  <c r="N7166" i="50"/>
  <c r="M7166" i="50"/>
  <c r="N7165" i="50"/>
  <c r="M7165" i="50"/>
  <c r="N7164" i="50"/>
  <c r="M7164" i="50"/>
  <c r="N7163" i="50"/>
  <c r="M7163" i="50"/>
  <c r="N7162" i="50"/>
  <c r="M7162" i="50"/>
  <c r="N7161" i="50"/>
  <c r="M7161" i="50"/>
  <c r="N7160" i="50"/>
  <c r="M7160" i="50"/>
  <c r="N7159" i="50"/>
  <c r="M7159" i="50"/>
  <c r="N7158" i="50"/>
  <c r="M7158" i="50"/>
  <c r="N7157" i="50"/>
  <c r="M7157" i="50"/>
  <c r="N7156" i="50"/>
  <c r="M7156" i="50"/>
  <c r="N7155" i="50"/>
  <c r="M7155" i="50"/>
  <c r="N7154" i="50"/>
  <c r="M7154" i="50"/>
  <c r="N7153" i="50"/>
  <c r="M7153" i="50"/>
  <c r="N7152" i="50"/>
  <c r="M7152" i="50"/>
  <c r="N7151" i="50"/>
  <c r="M7151" i="50"/>
  <c r="N7150" i="50"/>
  <c r="M7150" i="50"/>
  <c r="N7149" i="50"/>
  <c r="M7149" i="50"/>
  <c r="N7148" i="50"/>
  <c r="M7148" i="50"/>
  <c r="N7147" i="50"/>
  <c r="M7147" i="50"/>
  <c r="N7146" i="50"/>
  <c r="M7146" i="50"/>
  <c r="N7145" i="50"/>
  <c r="M7145" i="50"/>
  <c r="N7144" i="50"/>
  <c r="M7144" i="50"/>
  <c r="N7143" i="50"/>
  <c r="M7143" i="50"/>
  <c r="N7142" i="50"/>
  <c r="M7142" i="50"/>
  <c r="N7141" i="50"/>
  <c r="M7141" i="50"/>
  <c r="N7140" i="50"/>
  <c r="M7140" i="50"/>
  <c r="N7139" i="50"/>
  <c r="M7139" i="50"/>
  <c r="N7138" i="50"/>
  <c r="M7138" i="50"/>
  <c r="N7137" i="50"/>
  <c r="M7137" i="50"/>
  <c r="N7136" i="50"/>
  <c r="M7136" i="50"/>
  <c r="N7135" i="50"/>
  <c r="M7135" i="50"/>
  <c r="N7134" i="50"/>
  <c r="M7134" i="50"/>
  <c r="N7133" i="50"/>
  <c r="M7133" i="50"/>
  <c r="N7132" i="50"/>
  <c r="M7132" i="50"/>
  <c r="N7131" i="50"/>
  <c r="M7131" i="50"/>
  <c r="N7130" i="50"/>
  <c r="M7130" i="50"/>
  <c r="N7129" i="50"/>
  <c r="M7129" i="50"/>
  <c r="N7128" i="50"/>
  <c r="M7128" i="50"/>
  <c r="N7127" i="50"/>
  <c r="M7127" i="50"/>
  <c r="N7126" i="50"/>
  <c r="M7126" i="50"/>
  <c r="N7125" i="50"/>
  <c r="M7125" i="50"/>
  <c r="N7124" i="50"/>
  <c r="M7124" i="50"/>
  <c r="N7123" i="50"/>
  <c r="M7123" i="50"/>
  <c r="N7122" i="50"/>
  <c r="M7122" i="50"/>
  <c r="N7121" i="50"/>
  <c r="M7121" i="50"/>
  <c r="N7120" i="50"/>
  <c r="M7120" i="50"/>
  <c r="N7119" i="50"/>
  <c r="M7119" i="50"/>
  <c r="N7118" i="50"/>
  <c r="M7118" i="50"/>
  <c r="N7117" i="50"/>
  <c r="M7117" i="50"/>
  <c r="N7116" i="50"/>
  <c r="M7116" i="50"/>
  <c r="N7115" i="50"/>
  <c r="M7115" i="50"/>
  <c r="N7114" i="50"/>
  <c r="M7114" i="50"/>
  <c r="N7113" i="50"/>
  <c r="M7113" i="50"/>
  <c r="N7112" i="50"/>
  <c r="M7112" i="50"/>
  <c r="N7111" i="50"/>
  <c r="M7111" i="50"/>
  <c r="N7110" i="50"/>
  <c r="M7110" i="50"/>
  <c r="N7109" i="50"/>
  <c r="M7109" i="50"/>
  <c r="N7108" i="50"/>
  <c r="M7108" i="50"/>
  <c r="N7107" i="50"/>
  <c r="M7107" i="50"/>
  <c r="N7106" i="50"/>
  <c r="M7106" i="50"/>
  <c r="N7105" i="50"/>
  <c r="M7105" i="50"/>
  <c r="N7104" i="50"/>
  <c r="M7104" i="50"/>
  <c r="N7103" i="50"/>
  <c r="M7103" i="50"/>
  <c r="N7102" i="50"/>
  <c r="M7102" i="50"/>
  <c r="N7101" i="50"/>
  <c r="M7101" i="50"/>
  <c r="N7100" i="50"/>
  <c r="M7100" i="50"/>
  <c r="N7099" i="50"/>
  <c r="M7099" i="50"/>
  <c r="N7098" i="50"/>
  <c r="M7098" i="50"/>
  <c r="N7097" i="50"/>
  <c r="M7097" i="50"/>
  <c r="N7096" i="50"/>
  <c r="M7096" i="50"/>
  <c r="N7095" i="50"/>
  <c r="M7095" i="50"/>
  <c r="N7094" i="50"/>
  <c r="M7094" i="50"/>
  <c r="N7093" i="50"/>
  <c r="M7093" i="50"/>
  <c r="N7092" i="50"/>
  <c r="M7092" i="50"/>
  <c r="N7091" i="50"/>
  <c r="M7091" i="50"/>
  <c r="N7090" i="50"/>
  <c r="M7090" i="50"/>
  <c r="N7089" i="50"/>
  <c r="M7089" i="50"/>
  <c r="N7088" i="50"/>
  <c r="M7088" i="50"/>
  <c r="N7087" i="50"/>
  <c r="M7087" i="50"/>
  <c r="N7086" i="50"/>
  <c r="M7086" i="50"/>
  <c r="N7085" i="50"/>
  <c r="M7085" i="50"/>
  <c r="N7084" i="50"/>
  <c r="M7084" i="50"/>
  <c r="N7083" i="50"/>
  <c r="M7083" i="50"/>
  <c r="N7082" i="50"/>
  <c r="M7082" i="50"/>
  <c r="N7081" i="50"/>
  <c r="M7081" i="50"/>
  <c r="N7080" i="50"/>
  <c r="M7080" i="50"/>
  <c r="N7079" i="50"/>
  <c r="M7079" i="50"/>
  <c r="N7078" i="50"/>
  <c r="M7078" i="50"/>
  <c r="N7077" i="50"/>
  <c r="M7077" i="50"/>
  <c r="N7076" i="50"/>
  <c r="M7076" i="50"/>
  <c r="N7075" i="50"/>
  <c r="M7075" i="50"/>
  <c r="N7074" i="50"/>
  <c r="M7074" i="50"/>
  <c r="N7073" i="50"/>
  <c r="M7073" i="50"/>
  <c r="N7072" i="50"/>
  <c r="M7072" i="50"/>
  <c r="N7071" i="50"/>
  <c r="M7071" i="50"/>
  <c r="N7070" i="50"/>
  <c r="M7070" i="50"/>
  <c r="N7069" i="50"/>
  <c r="M7069" i="50"/>
  <c r="N7068" i="50"/>
  <c r="M7068" i="50"/>
  <c r="N7067" i="50"/>
  <c r="M7067" i="50"/>
  <c r="N7066" i="50"/>
  <c r="M7066" i="50"/>
  <c r="N7065" i="50"/>
  <c r="M7065" i="50"/>
  <c r="N7064" i="50"/>
  <c r="M7064" i="50"/>
  <c r="N7063" i="50"/>
  <c r="M7063" i="50"/>
  <c r="N7062" i="50"/>
  <c r="M7062" i="50"/>
  <c r="N7061" i="50"/>
  <c r="M7061" i="50"/>
  <c r="N7060" i="50"/>
  <c r="M7060" i="50"/>
  <c r="N7059" i="50"/>
  <c r="M7059" i="50"/>
  <c r="N7058" i="50"/>
  <c r="M7058" i="50"/>
  <c r="N7057" i="50"/>
  <c r="M7057" i="50"/>
  <c r="N7056" i="50"/>
  <c r="M7056" i="50"/>
  <c r="N7055" i="50"/>
  <c r="M7055" i="50"/>
  <c r="N7054" i="50"/>
  <c r="M7054" i="50"/>
  <c r="N7053" i="50"/>
  <c r="M7053" i="50"/>
  <c r="N7052" i="50"/>
  <c r="M7052" i="50"/>
  <c r="N7051" i="50"/>
  <c r="M7051" i="50"/>
  <c r="N7050" i="50"/>
  <c r="M7050" i="50"/>
  <c r="N7049" i="50"/>
  <c r="M7049" i="50"/>
  <c r="N7048" i="50"/>
  <c r="M7048" i="50"/>
  <c r="N7047" i="50"/>
  <c r="M7047" i="50"/>
  <c r="N7046" i="50"/>
  <c r="M7046" i="50"/>
  <c r="N7045" i="50"/>
  <c r="M7045" i="50"/>
  <c r="N7044" i="50"/>
  <c r="M7044" i="50"/>
  <c r="N7043" i="50"/>
  <c r="M7043" i="50"/>
  <c r="N7042" i="50"/>
  <c r="M7042" i="50"/>
  <c r="N7041" i="50"/>
  <c r="M7041" i="50"/>
  <c r="N7040" i="50"/>
  <c r="M7040" i="50"/>
  <c r="N7039" i="50"/>
  <c r="M7039" i="50"/>
  <c r="N7038" i="50"/>
  <c r="M7038" i="50"/>
  <c r="N7037" i="50"/>
  <c r="M7037" i="50"/>
  <c r="N7036" i="50"/>
  <c r="M7036" i="50"/>
  <c r="N7035" i="50"/>
  <c r="M7035" i="50"/>
  <c r="N7034" i="50"/>
  <c r="M7034" i="50"/>
  <c r="N7033" i="50"/>
  <c r="M7033" i="50"/>
  <c r="N7032" i="50"/>
  <c r="M7032" i="50"/>
  <c r="N7031" i="50"/>
  <c r="M7031" i="50"/>
  <c r="N7030" i="50"/>
  <c r="M7030" i="50"/>
  <c r="N7029" i="50"/>
  <c r="M7029" i="50"/>
  <c r="N7028" i="50"/>
  <c r="M7028" i="50"/>
  <c r="N7027" i="50"/>
  <c r="M7027" i="50"/>
  <c r="N7026" i="50"/>
  <c r="M7026" i="50"/>
  <c r="N7025" i="50"/>
  <c r="M7025" i="50"/>
  <c r="N7024" i="50"/>
  <c r="M7024" i="50"/>
  <c r="N7023" i="50"/>
  <c r="M7023" i="50"/>
  <c r="N7022" i="50"/>
  <c r="M7022" i="50"/>
  <c r="N7021" i="50"/>
  <c r="M7021" i="50"/>
  <c r="N7020" i="50"/>
  <c r="M7020" i="50"/>
  <c r="N7019" i="50"/>
  <c r="M7019" i="50"/>
  <c r="N7018" i="50"/>
  <c r="M7018" i="50"/>
  <c r="N7017" i="50"/>
  <c r="M7017" i="50"/>
  <c r="N7016" i="50"/>
  <c r="M7016" i="50"/>
  <c r="N7015" i="50"/>
  <c r="M7015" i="50"/>
  <c r="N7014" i="50"/>
  <c r="M7014" i="50"/>
  <c r="N7013" i="50"/>
  <c r="M7013" i="50"/>
  <c r="N7012" i="50"/>
  <c r="M7012" i="50"/>
  <c r="N7011" i="50"/>
  <c r="M7011" i="50"/>
  <c r="N7010" i="50"/>
  <c r="M7010" i="50"/>
  <c r="N7009" i="50"/>
  <c r="M7009" i="50"/>
  <c r="N7008" i="50"/>
  <c r="M7008" i="50"/>
  <c r="N7007" i="50"/>
  <c r="M7007" i="50"/>
  <c r="N7006" i="50"/>
  <c r="M7006" i="50"/>
  <c r="N7005" i="50"/>
  <c r="M7005" i="50"/>
  <c r="N7004" i="50"/>
  <c r="M7004" i="50"/>
  <c r="N7003" i="50"/>
  <c r="M7003" i="50"/>
  <c r="N7002" i="50"/>
  <c r="M7002" i="50"/>
  <c r="N7001" i="50"/>
  <c r="M7001" i="50"/>
  <c r="N7000" i="50"/>
  <c r="M7000" i="50"/>
  <c r="N6999" i="50"/>
  <c r="M6999" i="50"/>
  <c r="N6998" i="50"/>
  <c r="M6998" i="50"/>
  <c r="N6997" i="50"/>
  <c r="M6997" i="50"/>
  <c r="N6996" i="50"/>
  <c r="M6996" i="50"/>
  <c r="N6995" i="50"/>
  <c r="M6995" i="50"/>
  <c r="N6994" i="50"/>
  <c r="M6994" i="50"/>
  <c r="N6993" i="50"/>
  <c r="M6993" i="50"/>
  <c r="N6992" i="50"/>
  <c r="M6992" i="50"/>
  <c r="N6991" i="50"/>
  <c r="M6991" i="50"/>
  <c r="N6990" i="50"/>
  <c r="M6990" i="50"/>
  <c r="N6989" i="50"/>
  <c r="M6989" i="50"/>
  <c r="N6988" i="50"/>
  <c r="M6988" i="50"/>
  <c r="N6987" i="50"/>
  <c r="M6987" i="50"/>
  <c r="N6986" i="50"/>
  <c r="M6986" i="50"/>
  <c r="N6985" i="50"/>
  <c r="M6985" i="50"/>
  <c r="N6984" i="50"/>
  <c r="M6984" i="50"/>
  <c r="N6983" i="50"/>
  <c r="M6983" i="50"/>
  <c r="N6982" i="50"/>
  <c r="M6982" i="50"/>
  <c r="N6981" i="50"/>
  <c r="M6981" i="50"/>
  <c r="N6980" i="50"/>
  <c r="M6980" i="50"/>
  <c r="N6979" i="50"/>
  <c r="M6979" i="50"/>
  <c r="N6978" i="50"/>
  <c r="M6978" i="50"/>
  <c r="N6977" i="50"/>
  <c r="M6977" i="50"/>
  <c r="N6976" i="50"/>
  <c r="M6976" i="50"/>
  <c r="N6975" i="50"/>
  <c r="M6975" i="50"/>
  <c r="N6974" i="50"/>
  <c r="M6974" i="50"/>
  <c r="N6973" i="50"/>
  <c r="M6973" i="50"/>
  <c r="N6972" i="50"/>
  <c r="M6972" i="50"/>
  <c r="N6971" i="50"/>
  <c r="M6971" i="50"/>
  <c r="N6970" i="50"/>
  <c r="M6970" i="50"/>
  <c r="N6969" i="50"/>
  <c r="M6969" i="50"/>
  <c r="N6968" i="50"/>
  <c r="M6968" i="50"/>
  <c r="N6967" i="50"/>
  <c r="M6967" i="50"/>
  <c r="N6966" i="50"/>
  <c r="M6966" i="50"/>
  <c r="N6965" i="50"/>
  <c r="M6965" i="50"/>
  <c r="N6964" i="50"/>
  <c r="M6964" i="50"/>
  <c r="N6963" i="50"/>
  <c r="M6963" i="50"/>
  <c r="N6962" i="50"/>
  <c r="M6962" i="50"/>
  <c r="N6961" i="50"/>
  <c r="M6961" i="50"/>
  <c r="N6960" i="50"/>
  <c r="M6960" i="50"/>
  <c r="N6959" i="50"/>
  <c r="M6959" i="50"/>
  <c r="N6958" i="50"/>
  <c r="M6958" i="50"/>
  <c r="N6957" i="50"/>
  <c r="M6957" i="50"/>
  <c r="N6956" i="50"/>
  <c r="M6956" i="50"/>
  <c r="N6955" i="50"/>
  <c r="M6955" i="50"/>
  <c r="N6954" i="50"/>
  <c r="M6954" i="50"/>
  <c r="N6953" i="50"/>
  <c r="M6953" i="50"/>
  <c r="N6952" i="50"/>
  <c r="M6952" i="50"/>
  <c r="N6951" i="50"/>
  <c r="M6951" i="50"/>
  <c r="N6950" i="50"/>
  <c r="M6950" i="50"/>
  <c r="N6949" i="50"/>
  <c r="M6949" i="50"/>
  <c r="N6948" i="50"/>
  <c r="M6948" i="50"/>
  <c r="N6947" i="50"/>
  <c r="M6947" i="50"/>
  <c r="N6946" i="50"/>
  <c r="M6946" i="50"/>
  <c r="N6945" i="50"/>
  <c r="M6945" i="50"/>
  <c r="N6944" i="50"/>
  <c r="M6944" i="50"/>
  <c r="N6943" i="50"/>
  <c r="M6943" i="50"/>
  <c r="N6942" i="50"/>
  <c r="M6942" i="50"/>
  <c r="N6941" i="50"/>
  <c r="M6941" i="50"/>
  <c r="N6940" i="50"/>
  <c r="M6940" i="50"/>
  <c r="N6939" i="50"/>
  <c r="M6939" i="50"/>
  <c r="N6938" i="50"/>
  <c r="M6938" i="50"/>
  <c r="N6937" i="50"/>
  <c r="M6937" i="50"/>
  <c r="N6936" i="50"/>
  <c r="M6936" i="50"/>
  <c r="N6935" i="50"/>
  <c r="M6935" i="50"/>
  <c r="N6934" i="50"/>
  <c r="M6934" i="50"/>
  <c r="N6933" i="50"/>
  <c r="M6933" i="50"/>
  <c r="N6932" i="50"/>
  <c r="M6932" i="50"/>
  <c r="N6931" i="50"/>
  <c r="M6931" i="50"/>
  <c r="N6930" i="50"/>
  <c r="M6930" i="50"/>
  <c r="N6929" i="50"/>
  <c r="M6929" i="50"/>
  <c r="N6928" i="50"/>
  <c r="M6928" i="50"/>
  <c r="N6927" i="50"/>
  <c r="M6927" i="50"/>
  <c r="N6926" i="50"/>
  <c r="M6926" i="50"/>
  <c r="N6925" i="50"/>
  <c r="M6925" i="50"/>
  <c r="N6924" i="50"/>
  <c r="M6924" i="50"/>
  <c r="N6923" i="50"/>
  <c r="M6923" i="50"/>
  <c r="N6922" i="50"/>
  <c r="M6922" i="50"/>
  <c r="N6921" i="50"/>
  <c r="M6921" i="50"/>
  <c r="N6920" i="50"/>
  <c r="M6920" i="50"/>
  <c r="N6919" i="50"/>
  <c r="M6919" i="50"/>
  <c r="N6918" i="50"/>
  <c r="M6918" i="50"/>
  <c r="N6917" i="50"/>
  <c r="M6917" i="50"/>
  <c r="N6916" i="50"/>
  <c r="M6916" i="50"/>
  <c r="N6915" i="50"/>
  <c r="M6915" i="50"/>
  <c r="N6914" i="50"/>
  <c r="M6914" i="50"/>
  <c r="N6913" i="50"/>
  <c r="M6913" i="50"/>
  <c r="N6912" i="50"/>
  <c r="M6912" i="50"/>
  <c r="N6911" i="50"/>
  <c r="M6911" i="50"/>
  <c r="N6910" i="50"/>
  <c r="M6910" i="50"/>
  <c r="N6909" i="50"/>
  <c r="M6909" i="50"/>
  <c r="N6908" i="50"/>
  <c r="M6908" i="50"/>
  <c r="N6907" i="50"/>
  <c r="M6907" i="50"/>
  <c r="N6906" i="50"/>
  <c r="M6906" i="50"/>
  <c r="N6905" i="50"/>
  <c r="M6905" i="50"/>
  <c r="N6904" i="50"/>
  <c r="M6904" i="50"/>
  <c r="N6903" i="50"/>
  <c r="M6903" i="50"/>
  <c r="N6902" i="50"/>
  <c r="M6902" i="50"/>
  <c r="N6901" i="50"/>
  <c r="M6901" i="50"/>
  <c r="N6900" i="50"/>
  <c r="M6900" i="50"/>
  <c r="N6899" i="50"/>
  <c r="M6899" i="50"/>
  <c r="N6898" i="50"/>
  <c r="M6898" i="50"/>
  <c r="N6897" i="50"/>
  <c r="M6897" i="50"/>
  <c r="N6896" i="50"/>
  <c r="M6896" i="50"/>
  <c r="N6895" i="50"/>
  <c r="M6895" i="50"/>
  <c r="N6894" i="50"/>
  <c r="M6894" i="50"/>
  <c r="N6893" i="50"/>
  <c r="M6893" i="50"/>
  <c r="N6892" i="50"/>
  <c r="M6892" i="50"/>
  <c r="N6891" i="50"/>
  <c r="M6891" i="50"/>
  <c r="N6890" i="50"/>
  <c r="M6890" i="50"/>
  <c r="N6889" i="50"/>
  <c r="M6889" i="50"/>
  <c r="N6888" i="50"/>
  <c r="M6888" i="50"/>
  <c r="N6887" i="50"/>
  <c r="M6887" i="50"/>
  <c r="N6886" i="50"/>
  <c r="M6886" i="50"/>
  <c r="N6885" i="50"/>
  <c r="M6885" i="50"/>
  <c r="N6884" i="50"/>
  <c r="M6884" i="50"/>
  <c r="N6883" i="50"/>
  <c r="M6883" i="50"/>
  <c r="N6882" i="50"/>
  <c r="M6882" i="50"/>
  <c r="N6881" i="50"/>
  <c r="M6881" i="50"/>
  <c r="N6880" i="50"/>
  <c r="M6880" i="50"/>
  <c r="N6879" i="50"/>
  <c r="M6879" i="50"/>
  <c r="N6878" i="50"/>
  <c r="M6878" i="50"/>
  <c r="N6877" i="50"/>
  <c r="M6877" i="50"/>
  <c r="N6876" i="50"/>
  <c r="M6876" i="50"/>
  <c r="N6875" i="50"/>
  <c r="M6875" i="50"/>
  <c r="N6874" i="50"/>
  <c r="M6874" i="50"/>
  <c r="N6873" i="50"/>
  <c r="M6873" i="50"/>
  <c r="N6872" i="50"/>
  <c r="M6872" i="50"/>
  <c r="N6871" i="50"/>
  <c r="M6871" i="50"/>
  <c r="N6870" i="50"/>
  <c r="M6870" i="50"/>
  <c r="N6869" i="50"/>
  <c r="M6869" i="50"/>
  <c r="N6868" i="50"/>
  <c r="M6868" i="50"/>
  <c r="N6867" i="50"/>
  <c r="M6867" i="50"/>
  <c r="N6866" i="50"/>
  <c r="M6866" i="50"/>
  <c r="N6865" i="50"/>
  <c r="M6865" i="50"/>
  <c r="N6864" i="50"/>
  <c r="M6864" i="50"/>
  <c r="N6863" i="50"/>
  <c r="M6863" i="50"/>
  <c r="N6862" i="50"/>
  <c r="M6862" i="50"/>
  <c r="N6861" i="50"/>
  <c r="M6861" i="50"/>
  <c r="N6860" i="50"/>
  <c r="M6860" i="50"/>
  <c r="N6859" i="50"/>
  <c r="M6859" i="50"/>
  <c r="N6858" i="50"/>
  <c r="M6858" i="50"/>
  <c r="N6857" i="50"/>
  <c r="M6857" i="50"/>
  <c r="N6856" i="50"/>
  <c r="M6856" i="50"/>
  <c r="N6855" i="50"/>
  <c r="M6855" i="50"/>
  <c r="N6854" i="50"/>
  <c r="M6854" i="50"/>
  <c r="N6853" i="50"/>
  <c r="M6853" i="50"/>
  <c r="N6852" i="50"/>
  <c r="M6852" i="50"/>
  <c r="N6851" i="50"/>
  <c r="M6851" i="50"/>
  <c r="N6850" i="50"/>
  <c r="M6850" i="50"/>
  <c r="N6849" i="50"/>
  <c r="M6849" i="50"/>
  <c r="N6848" i="50"/>
  <c r="M6848" i="50"/>
  <c r="N6847" i="50"/>
  <c r="M6847" i="50"/>
  <c r="N6846" i="50"/>
  <c r="M6846" i="50"/>
  <c r="N6845" i="50"/>
  <c r="M6845" i="50"/>
  <c r="N6844" i="50"/>
  <c r="M6844" i="50"/>
  <c r="N6843" i="50"/>
  <c r="M6843" i="50"/>
  <c r="N6842" i="50"/>
  <c r="M6842" i="50"/>
  <c r="N6841" i="50"/>
  <c r="M6841" i="50"/>
  <c r="N6840" i="50"/>
  <c r="M6840" i="50"/>
  <c r="N6839" i="50"/>
  <c r="M6839" i="50"/>
  <c r="N6838" i="50"/>
  <c r="M6838" i="50"/>
  <c r="N6837" i="50"/>
  <c r="M6837" i="50"/>
  <c r="N6836" i="50"/>
  <c r="M6836" i="50"/>
  <c r="N6835" i="50"/>
  <c r="M6835" i="50"/>
  <c r="N6834" i="50"/>
  <c r="M6834" i="50"/>
  <c r="N6833" i="50"/>
  <c r="M6833" i="50"/>
  <c r="N6832" i="50"/>
  <c r="M6832" i="50"/>
  <c r="N6831" i="50"/>
  <c r="M6831" i="50"/>
  <c r="N6830" i="50"/>
  <c r="M6830" i="50"/>
  <c r="N6829" i="50"/>
  <c r="M6829" i="50"/>
  <c r="N6828" i="50"/>
  <c r="M6828" i="50"/>
  <c r="N6827" i="50"/>
  <c r="M6827" i="50"/>
  <c r="N6826" i="50"/>
  <c r="M6826" i="50"/>
  <c r="N6825" i="50"/>
  <c r="M6825" i="50"/>
  <c r="N6824" i="50"/>
  <c r="M6824" i="50"/>
  <c r="N6823" i="50"/>
  <c r="M6823" i="50"/>
  <c r="N6822" i="50"/>
  <c r="M6822" i="50"/>
  <c r="N6821" i="50"/>
  <c r="M6821" i="50"/>
  <c r="N6820" i="50"/>
  <c r="M6820" i="50"/>
  <c r="N6819" i="50"/>
  <c r="M6819" i="50"/>
  <c r="N6818" i="50"/>
  <c r="M6818" i="50"/>
  <c r="N6817" i="50"/>
  <c r="M6817" i="50"/>
  <c r="N6816" i="50"/>
  <c r="M6816" i="50"/>
  <c r="N6815" i="50"/>
  <c r="M6815" i="50"/>
  <c r="N6814" i="50"/>
  <c r="M6814" i="50"/>
  <c r="N6813" i="50"/>
  <c r="M6813" i="50"/>
  <c r="N6812" i="50"/>
  <c r="M6812" i="50"/>
  <c r="N6811" i="50"/>
  <c r="M6811" i="50"/>
  <c r="N6810" i="50"/>
  <c r="M6810" i="50"/>
  <c r="N6809" i="50"/>
  <c r="M6809" i="50"/>
  <c r="N6808" i="50"/>
  <c r="M6808" i="50"/>
  <c r="N6807" i="50"/>
  <c r="M6807" i="50"/>
  <c r="N6806" i="50"/>
  <c r="M6806" i="50"/>
  <c r="N6805" i="50"/>
  <c r="M6805" i="50"/>
  <c r="N6804" i="50"/>
  <c r="M6804" i="50"/>
  <c r="N6803" i="50"/>
  <c r="M6803" i="50"/>
  <c r="N6802" i="50"/>
  <c r="M6802" i="50"/>
  <c r="N6801" i="50"/>
  <c r="M6801" i="50"/>
  <c r="N6800" i="50"/>
  <c r="M6800" i="50"/>
  <c r="N6799" i="50"/>
  <c r="M6799" i="50"/>
  <c r="N6798" i="50"/>
  <c r="M6798" i="50"/>
  <c r="N6797" i="50"/>
  <c r="M6797" i="50"/>
  <c r="N6796" i="50"/>
  <c r="M6796" i="50"/>
  <c r="N6795" i="50"/>
  <c r="M6795" i="50"/>
  <c r="N6794" i="50"/>
  <c r="M6794" i="50"/>
  <c r="N6793" i="50"/>
  <c r="M6793" i="50"/>
  <c r="N6792" i="50"/>
  <c r="M6792" i="50"/>
  <c r="N6791" i="50"/>
  <c r="M6791" i="50"/>
  <c r="N6790" i="50"/>
  <c r="M6790" i="50"/>
  <c r="N6789" i="50"/>
  <c r="M6789" i="50"/>
  <c r="N6788" i="50"/>
  <c r="M6788" i="50"/>
  <c r="N6787" i="50"/>
  <c r="M6787" i="50"/>
  <c r="N6786" i="50"/>
  <c r="M6786" i="50"/>
  <c r="N6785" i="50"/>
  <c r="M6785" i="50"/>
  <c r="N6784" i="50"/>
  <c r="M6784" i="50"/>
  <c r="N6783" i="50"/>
  <c r="M6783" i="50"/>
  <c r="N6782" i="50"/>
  <c r="M6782" i="50"/>
  <c r="N6781" i="50"/>
  <c r="M6781" i="50"/>
  <c r="N6780" i="50"/>
  <c r="M6780" i="50"/>
  <c r="N6779" i="50"/>
  <c r="M6779" i="50"/>
  <c r="N6778" i="50"/>
  <c r="M6778" i="50"/>
  <c r="N6777" i="50"/>
  <c r="M6777" i="50"/>
  <c r="N6776" i="50"/>
  <c r="M6776" i="50"/>
  <c r="N6775" i="50"/>
  <c r="M6775" i="50"/>
  <c r="N6774" i="50"/>
  <c r="M6774" i="50"/>
  <c r="N6773" i="50"/>
  <c r="M6773" i="50"/>
  <c r="N6772" i="50"/>
  <c r="M6772" i="50"/>
  <c r="N6771" i="50"/>
  <c r="M6771" i="50"/>
  <c r="N6770" i="50"/>
  <c r="M6770" i="50"/>
  <c r="N6769" i="50"/>
  <c r="M6769" i="50"/>
  <c r="N6768" i="50"/>
  <c r="M6768" i="50"/>
  <c r="N6767" i="50"/>
  <c r="M6767" i="50"/>
  <c r="N6766" i="50"/>
  <c r="M6766" i="50"/>
  <c r="N6765" i="50"/>
  <c r="M6765" i="50"/>
  <c r="N6764" i="50"/>
  <c r="M6764" i="50"/>
  <c r="N6763" i="50"/>
  <c r="M6763" i="50"/>
  <c r="N6762" i="50"/>
  <c r="M6762" i="50"/>
  <c r="N6761" i="50"/>
  <c r="M6761" i="50"/>
  <c r="N6760" i="50"/>
  <c r="M6760" i="50"/>
  <c r="N6759" i="50"/>
  <c r="M6759" i="50"/>
  <c r="N6758" i="50"/>
  <c r="M6758" i="50"/>
  <c r="N6757" i="50"/>
  <c r="M6757" i="50"/>
  <c r="N6756" i="50"/>
  <c r="M6756" i="50"/>
  <c r="N6755" i="50"/>
  <c r="M6755" i="50"/>
  <c r="N6754" i="50"/>
  <c r="M6754" i="50"/>
  <c r="N6753" i="50"/>
  <c r="M6753" i="50"/>
  <c r="N6752" i="50"/>
  <c r="M6752" i="50"/>
  <c r="N6751" i="50"/>
  <c r="M6751" i="50"/>
  <c r="N6750" i="50"/>
  <c r="M6750" i="50"/>
  <c r="N6749" i="50"/>
  <c r="M6749" i="50"/>
  <c r="N6748" i="50"/>
  <c r="M6748" i="50"/>
  <c r="N6747" i="50"/>
  <c r="M6747" i="50"/>
  <c r="N6746" i="50"/>
  <c r="M6746" i="50"/>
  <c r="N6745" i="50"/>
  <c r="M6745" i="50"/>
  <c r="N6744" i="50"/>
  <c r="M6744" i="50"/>
  <c r="N6743" i="50"/>
  <c r="M6743" i="50"/>
  <c r="N6742" i="50"/>
  <c r="M6742" i="50"/>
  <c r="N6741" i="50"/>
  <c r="M6741" i="50"/>
  <c r="N6740" i="50"/>
  <c r="M6740" i="50"/>
  <c r="N6739" i="50"/>
  <c r="M6739" i="50"/>
  <c r="N6738" i="50"/>
  <c r="M6738" i="50"/>
  <c r="N6737" i="50"/>
  <c r="M6737" i="50"/>
  <c r="N6736" i="50"/>
  <c r="M6736" i="50"/>
  <c r="N6735" i="50"/>
  <c r="M6735" i="50"/>
  <c r="N6734" i="50"/>
  <c r="M6734" i="50"/>
  <c r="N6733" i="50"/>
  <c r="M6733" i="50"/>
  <c r="N6732" i="50"/>
  <c r="M6732" i="50"/>
  <c r="N6731" i="50"/>
  <c r="M6731" i="50"/>
  <c r="N6730" i="50"/>
  <c r="M6730" i="50"/>
  <c r="N6729" i="50"/>
  <c r="M6729" i="50"/>
  <c r="N6728" i="50"/>
  <c r="M6728" i="50"/>
  <c r="N6727" i="50"/>
  <c r="M6727" i="50"/>
  <c r="N6726" i="50"/>
  <c r="M6726" i="50"/>
  <c r="N6725" i="50"/>
  <c r="M6725" i="50"/>
  <c r="N6724" i="50"/>
  <c r="M6724" i="50"/>
  <c r="N6723" i="50"/>
  <c r="M6723" i="50"/>
  <c r="N6722" i="50"/>
  <c r="M6722" i="50"/>
  <c r="N6721" i="50"/>
  <c r="M6721" i="50"/>
  <c r="N6720" i="50"/>
  <c r="M6720" i="50"/>
  <c r="N6719" i="50"/>
  <c r="M6719" i="50"/>
  <c r="N6718" i="50"/>
  <c r="M6718" i="50"/>
  <c r="N6717" i="50"/>
  <c r="M6717" i="50"/>
  <c r="N6716" i="50"/>
  <c r="M6716" i="50"/>
  <c r="N6715" i="50"/>
  <c r="M6715" i="50"/>
  <c r="N6714" i="50"/>
  <c r="M6714" i="50"/>
  <c r="N6713" i="50"/>
  <c r="M6713" i="50"/>
  <c r="N6712" i="50"/>
  <c r="M6712" i="50"/>
  <c r="N6711" i="50"/>
  <c r="M6711" i="50"/>
  <c r="N6710" i="50"/>
  <c r="M6710" i="50"/>
  <c r="N6709" i="50"/>
  <c r="M6709" i="50"/>
  <c r="N6708" i="50"/>
  <c r="M6708" i="50"/>
  <c r="N6707" i="50"/>
  <c r="M6707" i="50"/>
  <c r="N6706" i="50"/>
  <c r="M6706" i="50"/>
  <c r="N6705" i="50"/>
  <c r="M6705" i="50"/>
  <c r="N6704" i="50"/>
  <c r="M6704" i="50"/>
  <c r="N6703" i="50"/>
  <c r="M6703" i="50"/>
  <c r="N6702" i="50"/>
  <c r="M6702" i="50"/>
  <c r="N6701" i="50"/>
  <c r="M6701" i="50"/>
  <c r="N6700" i="50"/>
  <c r="M6700" i="50"/>
  <c r="N6699" i="50"/>
  <c r="M6699" i="50"/>
  <c r="N6698" i="50"/>
  <c r="M6698" i="50"/>
  <c r="N6697" i="50"/>
  <c r="M6697" i="50"/>
  <c r="N6696" i="50"/>
  <c r="M6696" i="50"/>
  <c r="N6695" i="50"/>
  <c r="M6695" i="50"/>
  <c r="N6694" i="50"/>
  <c r="M6694" i="50"/>
  <c r="N6693" i="50"/>
  <c r="M6693" i="50"/>
  <c r="N6692" i="50"/>
  <c r="M6692" i="50"/>
  <c r="N6691" i="50"/>
  <c r="M6691" i="50"/>
  <c r="N6690" i="50"/>
  <c r="M6690" i="50"/>
  <c r="N6689" i="50"/>
  <c r="M6689" i="50"/>
  <c r="N6688" i="50"/>
  <c r="M6688" i="50"/>
  <c r="N6687" i="50"/>
  <c r="M6687" i="50"/>
  <c r="N6686" i="50"/>
  <c r="M6686" i="50"/>
  <c r="N6685" i="50"/>
  <c r="M6685" i="50"/>
  <c r="N6684" i="50"/>
  <c r="M6684" i="50"/>
  <c r="N6683" i="50"/>
  <c r="M6683" i="50"/>
  <c r="N6682" i="50"/>
  <c r="M6682" i="50"/>
  <c r="N6681" i="50"/>
  <c r="M6681" i="50"/>
  <c r="N6680" i="50"/>
  <c r="M6680" i="50"/>
  <c r="N6679" i="50"/>
  <c r="M6679" i="50"/>
  <c r="N6678" i="50"/>
  <c r="M6678" i="50"/>
  <c r="N6677" i="50"/>
  <c r="M6677" i="50"/>
  <c r="N6676" i="50"/>
  <c r="M6676" i="50"/>
  <c r="N6675" i="50"/>
  <c r="M6675" i="50"/>
  <c r="N6674" i="50"/>
  <c r="M6674" i="50"/>
  <c r="N6673" i="50"/>
  <c r="M6673" i="50"/>
  <c r="N6672" i="50"/>
  <c r="M6672" i="50"/>
  <c r="N6671" i="50"/>
  <c r="M6671" i="50"/>
  <c r="N6670" i="50"/>
  <c r="M6670" i="50"/>
  <c r="N6669" i="50"/>
  <c r="M6669" i="50"/>
  <c r="N6668" i="50"/>
  <c r="M6668" i="50"/>
  <c r="N6667" i="50"/>
  <c r="M6667" i="50"/>
  <c r="N6666" i="50"/>
  <c r="M6666" i="50"/>
  <c r="N6665" i="50"/>
  <c r="M6665" i="50"/>
  <c r="N6664" i="50"/>
  <c r="M6664" i="50"/>
  <c r="N6663" i="50"/>
  <c r="M6663" i="50"/>
  <c r="N6662" i="50"/>
  <c r="M6662" i="50"/>
  <c r="N6661" i="50"/>
  <c r="M6661" i="50"/>
  <c r="N6660" i="50"/>
  <c r="M6660" i="50"/>
  <c r="N6659" i="50"/>
  <c r="M6659" i="50"/>
  <c r="N6658" i="50"/>
  <c r="M6658" i="50"/>
  <c r="N6657" i="50"/>
  <c r="M6657" i="50"/>
  <c r="N6656" i="50"/>
  <c r="M6656" i="50"/>
  <c r="N6655" i="50"/>
  <c r="M6655" i="50"/>
  <c r="N6654" i="50"/>
  <c r="M6654" i="50"/>
  <c r="N6653" i="50"/>
  <c r="M6653" i="50"/>
  <c r="N6652" i="50"/>
  <c r="M6652" i="50"/>
  <c r="N6651" i="50"/>
  <c r="M6651" i="50"/>
  <c r="N6650" i="50"/>
  <c r="M6650" i="50"/>
  <c r="N6649" i="50"/>
  <c r="M6649" i="50"/>
  <c r="N6648" i="50"/>
  <c r="M6648" i="50"/>
  <c r="N6647" i="50"/>
  <c r="M6647" i="50"/>
  <c r="N6646" i="50"/>
  <c r="M6646" i="50"/>
  <c r="N6645" i="50"/>
  <c r="M6645" i="50"/>
  <c r="N6644" i="50"/>
  <c r="M6644" i="50"/>
  <c r="N6643" i="50"/>
  <c r="M6643" i="50"/>
  <c r="N6642" i="50"/>
  <c r="M6642" i="50"/>
  <c r="N6641" i="50"/>
  <c r="M6641" i="50"/>
  <c r="N6640" i="50"/>
  <c r="M6640" i="50"/>
  <c r="N6639" i="50"/>
  <c r="M6639" i="50"/>
  <c r="N6638" i="50"/>
  <c r="M6638" i="50"/>
  <c r="N6637" i="50"/>
  <c r="M6637" i="50"/>
  <c r="N6636" i="50"/>
  <c r="M6636" i="50"/>
  <c r="N6635" i="50"/>
  <c r="M6635" i="50"/>
  <c r="N6634" i="50"/>
  <c r="M6634" i="50"/>
  <c r="N6633" i="50"/>
  <c r="M6633" i="50"/>
  <c r="N6632" i="50"/>
  <c r="M6632" i="50"/>
  <c r="N6631" i="50"/>
  <c r="M6631" i="50"/>
  <c r="N6630" i="50"/>
  <c r="M6630" i="50"/>
  <c r="N6629" i="50"/>
  <c r="M6629" i="50"/>
  <c r="N6628" i="50"/>
  <c r="M6628" i="50"/>
  <c r="N6627" i="50"/>
  <c r="M6627" i="50"/>
  <c r="N6626" i="50"/>
  <c r="M6626" i="50"/>
  <c r="N6625" i="50"/>
  <c r="M6625" i="50"/>
  <c r="N6624" i="50"/>
  <c r="M6624" i="50"/>
  <c r="N6623" i="50"/>
  <c r="M6623" i="50"/>
  <c r="N6622" i="50"/>
  <c r="M6622" i="50"/>
  <c r="N6621" i="50"/>
  <c r="M6621" i="50"/>
  <c r="N6620" i="50"/>
  <c r="M6620" i="50"/>
  <c r="N6619" i="50"/>
  <c r="M6619" i="50"/>
  <c r="N6618" i="50"/>
  <c r="M6618" i="50"/>
  <c r="N6617" i="50"/>
  <c r="M6617" i="50"/>
  <c r="N6616" i="50"/>
  <c r="M6616" i="50"/>
  <c r="N6615" i="50"/>
  <c r="M6615" i="50"/>
  <c r="N6614" i="50"/>
  <c r="M6614" i="50"/>
  <c r="N6613" i="50"/>
  <c r="M6613" i="50"/>
  <c r="N6612" i="50"/>
  <c r="M6612" i="50"/>
  <c r="N6611" i="50"/>
  <c r="M6611" i="50"/>
  <c r="N6610" i="50"/>
  <c r="M6610" i="50"/>
  <c r="N6609" i="50"/>
  <c r="M6609" i="50"/>
  <c r="N6608" i="50"/>
  <c r="M6608" i="50"/>
  <c r="N6607" i="50"/>
  <c r="M6607" i="50"/>
  <c r="N6606" i="50"/>
  <c r="M6606" i="50"/>
  <c r="N6605" i="50"/>
  <c r="M6605" i="50"/>
  <c r="N6604" i="50"/>
  <c r="M6604" i="50"/>
  <c r="N6603" i="50"/>
  <c r="M6603" i="50"/>
  <c r="N6602" i="50"/>
  <c r="M6602" i="50"/>
  <c r="N6601" i="50"/>
  <c r="M6601" i="50"/>
  <c r="N6600" i="50"/>
  <c r="M6600" i="50"/>
  <c r="N6599" i="50"/>
  <c r="M6599" i="50"/>
  <c r="N6598" i="50"/>
  <c r="M6598" i="50"/>
  <c r="N6597" i="50"/>
  <c r="M6597" i="50"/>
  <c r="N6596" i="50"/>
  <c r="M6596" i="50"/>
  <c r="N6595" i="50"/>
  <c r="M6595" i="50"/>
  <c r="N6594" i="50"/>
  <c r="M6594" i="50"/>
  <c r="N6593" i="50"/>
  <c r="M6593" i="50"/>
  <c r="N6592" i="50"/>
  <c r="M6592" i="50"/>
  <c r="N6591" i="50"/>
  <c r="M6591" i="50"/>
  <c r="N6590" i="50"/>
  <c r="M6590" i="50"/>
  <c r="N6589" i="50"/>
  <c r="M6589" i="50"/>
  <c r="N6588" i="50"/>
  <c r="M6588" i="50"/>
  <c r="N6587" i="50"/>
  <c r="M6587" i="50"/>
  <c r="N6586" i="50"/>
  <c r="M6586" i="50"/>
  <c r="N6585" i="50"/>
  <c r="M6585" i="50"/>
  <c r="N6584" i="50"/>
  <c r="M6584" i="50"/>
  <c r="N6583" i="50"/>
  <c r="M6583" i="50"/>
  <c r="N6582" i="50"/>
  <c r="M6582" i="50"/>
  <c r="N6581" i="50"/>
  <c r="M6581" i="50"/>
  <c r="N6580" i="50"/>
  <c r="M6580" i="50"/>
  <c r="N6579" i="50"/>
  <c r="M6579" i="50"/>
  <c r="N6578" i="50"/>
  <c r="M6578" i="50"/>
  <c r="N6577" i="50"/>
  <c r="M6577" i="50"/>
  <c r="N6576" i="50"/>
  <c r="M6576" i="50"/>
  <c r="N6575" i="50"/>
  <c r="M6575" i="50"/>
  <c r="N6574" i="50"/>
  <c r="M6574" i="50"/>
  <c r="N6573" i="50"/>
  <c r="M6573" i="50"/>
  <c r="N6572" i="50"/>
  <c r="M6572" i="50"/>
  <c r="N6571" i="50"/>
  <c r="M6571" i="50"/>
  <c r="N6570" i="50"/>
  <c r="M6570" i="50"/>
  <c r="N6569" i="50"/>
  <c r="M6569" i="50"/>
  <c r="N6568" i="50"/>
  <c r="M6568" i="50"/>
  <c r="N6567" i="50"/>
  <c r="M6567" i="50"/>
  <c r="N6566" i="50"/>
  <c r="M6566" i="50"/>
  <c r="N6565" i="50"/>
  <c r="M6565" i="50"/>
  <c r="N6564" i="50"/>
  <c r="M6564" i="50"/>
  <c r="N6563" i="50"/>
  <c r="M6563" i="50"/>
  <c r="N6562" i="50"/>
  <c r="M6562" i="50"/>
  <c r="N6561" i="50"/>
  <c r="M6561" i="50"/>
  <c r="N6560" i="50"/>
  <c r="M6560" i="50"/>
  <c r="N6559" i="50"/>
  <c r="M6559" i="50"/>
  <c r="N6558" i="50"/>
  <c r="M6558" i="50"/>
  <c r="N6557" i="50"/>
  <c r="M6557" i="50"/>
  <c r="N6556" i="50"/>
  <c r="M6556" i="50"/>
  <c r="N6555" i="50"/>
  <c r="M6555" i="50"/>
  <c r="N6554" i="50"/>
  <c r="M6554" i="50"/>
  <c r="N6553" i="50"/>
  <c r="M6553" i="50"/>
  <c r="N6552" i="50"/>
  <c r="M6552" i="50"/>
  <c r="N6551" i="50"/>
  <c r="M6551" i="50"/>
  <c r="N6550" i="50"/>
  <c r="M6550" i="50"/>
  <c r="N6549" i="50"/>
  <c r="M6549" i="50"/>
  <c r="N6548" i="50"/>
  <c r="M6548" i="50"/>
  <c r="N6547" i="50"/>
  <c r="M6547" i="50"/>
  <c r="N6546" i="50"/>
  <c r="M6546" i="50"/>
  <c r="N6545" i="50"/>
  <c r="M6545" i="50"/>
  <c r="N6544" i="50"/>
  <c r="M6544" i="50"/>
  <c r="N6543" i="50"/>
  <c r="M6543" i="50"/>
  <c r="N6542" i="50"/>
  <c r="M6542" i="50"/>
  <c r="N6541" i="50"/>
  <c r="M6541" i="50"/>
  <c r="N6540" i="50"/>
  <c r="M6540" i="50"/>
  <c r="N6539" i="50"/>
  <c r="M6539" i="50"/>
  <c r="N6538" i="50"/>
  <c r="M6538" i="50"/>
  <c r="N6537" i="50"/>
  <c r="M6537" i="50"/>
  <c r="N6536" i="50"/>
  <c r="M6536" i="50"/>
  <c r="N6535" i="50"/>
  <c r="M6535" i="50"/>
  <c r="N6534" i="50"/>
  <c r="M6534" i="50"/>
  <c r="N6533" i="50"/>
  <c r="M6533" i="50"/>
  <c r="N6532" i="50"/>
  <c r="M6532" i="50"/>
  <c r="N6531" i="50"/>
  <c r="M6531" i="50"/>
  <c r="N6530" i="50"/>
  <c r="M6530" i="50"/>
  <c r="N6529" i="50"/>
  <c r="M6529" i="50"/>
  <c r="N6528" i="50"/>
  <c r="M6528" i="50"/>
  <c r="N6527" i="50"/>
  <c r="M6527" i="50"/>
  <c r="N6526" i="50"/>
  <c r="M6526" i="50"/>
  <c r="N6525" i="50"/>
  <c r="M6525" i="50"/>
  <c r="N6524" i="50"/>
  <c r="M6524" i="50"/>
  <c r="N6523" i="50"/>
  <c r="M6523" i="50"/>
  <c r="N6522" i="50"/>
  <c r="M6522" i="50"/>
  <c r="N6521" i="50"/>
  <c r="M6521" i="50"/>
  <c r="N6520" i="50"/>
  <c r="M6520" i="50"/>
  <c r="N6519" i="50"/>
  <c r="M6519" i="50"/>
  <c r="N6518" i="50"/>
  <c r="M6518" i="50"/>
  <c r="N6517" i="50"/>
  <c r="M6517" i="50"/>
  <c r="N6516" i="50"/>
  <c r="M6516" i="50"/>
  <c r="N6515" i="50"/>
  <c r="M6515" i="50"/>
  <c r="N6514" i="50"/>
  <c r="M6514" i="50"/>
  <c r="N6513" i="50"/>
  <c r="M6513" i="50"/>
  <c r="N6512" i="50"/>
  <c r="M6512" i="50"/>
  <c r="N6511" i="50"/>
  <c r="M6511" i="50"/>
  <c r="N6510" i="50"/>
  <c r="M6510" i="50"/>
  <c r="N6509" i="50"/>
  <c r="M6509" i="50"/>
  <c r="N6508" i="50"/>
  <c r="M6508" i="50"/>
  <c r="N6507" i="50"/>
  <c r="M6507" i="50"/>
  <c r="N6506" i="50"/>
  <c r="M6506" i="50"/>
  <c r="N6505" i="50"/>
  <c r="M6505" i="50"/>
  <c r="N6504" i="50"/>
  <c r="M6504" i="50"/>
  <c r="N6503" i="50"/>
  <c r="M6503" i="50"/>
  <c r="N6502" i="50"/>
  <c r="M6502" i="50"/>
  <c r="N6501" i="50"/>
  <c r="M6501" i="50"/>
  <c r="N6500" i="50"/>
  <c r="M6500" i="50"/>
  <c r="N6499" i="50"/>
  <c r="M6499" i="50"/>
  <c r="N6498" i="50"/>
  <c r="M6498" i="50"/>
  <c r="N6497" i="50"/>
  <c r="M6497" i="50"/>
  <c r="N6496" i="50"/>
  <c r="M6496" i="50"/>
  <c r="N6495" i="50"/>
  <c r="M6495" i="50"/>
  <c r="N6494" i="50"/>
  <c r="M6494" i="50"/>
  <c r="N6493" i="50"/>
  <c r="M6493" i="50"/>
  <c r="N6492" i="50"/>
  <c r="M6492" i="50"/>
  <c r="N6491" i="50"/>
  <c r="M6491" i="50"/>
  <c r="N6490" i="50"/>
  <c r="M6490" i="50"/>
  <c r="N6489" i="50"/>
  <c r="M6489" i="50"/>
  <c r="N6488" i="50"/>
  <c r="M6488" i="50"/>
  <c r="N6487" i="50"/>
  <c r="M6487" i="50"/>
  <c r="N6486" i="50"/>
  <c r="M6486" i="50"/>
  <c r="N6485" i="50"/>
  <c r="M6485" i="50"/>
  <c r="N6484" i="50"/>
  <c r="M6484" i="50"/>
  <c r="N6483" i="50"/>
  <c r="M6483" i="50"/>
  <c r="N6482" i="50"/>
  <c r="M6482" i="50"/>
  <c r="N6481" i="50"/>
  <c r="M6481" i="50"/>
  <c r="N6480" i="50"/>
  <c r="M6480" i="50"/>
  <c r="N6479" i="50"/>
  <c r="M6479" i="50"/>
  <c r="N6478" i="50"/>
  <c r="M6478" i="50"/>
  <c r="N6477" i="50"/>
  <c r="M6477" i="50"/>
  <c r="N6476" i="50"/>
  <c r="M6476" i="50"/>
  <c r="N6475" i="50"/>
  <c r="M6475" i="50"/>
  <c r="N6474" i="50"/>
  <c r="M6474" i="50"/>
  <c r="N6473" i="50"/>
  <c r="M6473" i="50"/>
  <c r="N6472" i="50"/>
  <c r="M6472" i="50"/>
  <c r="N6471" i="50"/>
  <c r="M6471" i="50"/>
  <c r="N6470" i="50"/>
  <c r="M6470" i="50"/>
  <c r="N6469" i="50"/>
  <c r="M6469" i="50"/>
  <c r="N6468" i="50"/>
  <c r="M6468" i="50"/>
  <c r="N6467" i="50"/>
  <c r="M6467" i="50"/>
  <c r="N6466" i="50"/>
  <c r="M6466" i="50"/>
  <c r="N6465" i="50"/>
  <c r="M6465" i="50"/>
  <c r="N6464" i="50"/>
  <c r="M6464" i="50"/>
  <c r="N6463" i="50"/>
  <c r="M6463" i="50"/>
  <c r="N6462" i="50"/>
  <c r="M6462" i="50"/>
  <c r="N6461" i="50"/>
  <c r="M6461" i="50"/>
  <c r="N6460" i="50"/>
  <c r="M6460" i="50"/>
  <c r="N6459" i="50"/>
  <c r="M6459" i="50"/>
  <c r="N6458" i="50"/>
  <c r="M6458" i="50"/>
  <c r="N6457" i="50"/>
  <c r="M6457" i="50"/>
  <c r="N6456" i="50"/>
  <c r="M6456" i="50"/>
  <c r="N6455" i="50"/>
  <c r="M6455" i="50"/>
  <c r="N6454" i="50"/>
  <c r="M6454" i="50"/>
  <c r="N6453" i="50"/>
  <c r="M6453" i="50"/>
  <c r="N6452" i="50"/>
  <c r="M6452" i="50"/>
  <c r="N6451" i="50"/>
  <c r="M6451" i="50"/>
  <c r="N6450" i="50"/>
  <c r="M6450" i="50"/>
  <c r="N6449" i="50"/>
  <c r="M6449" i="50"/>
  <c r="N6448" i="50"/>
  <c r="M6448" i="50"/>
  <c r="N6447" i="50"/>
  <c r="M6447" i="50"/>
  <c r="N6446" i="50"/>
  <c r="M6446" i="50"/>
  <c r="N6445" i="50"/>
  <c r="M6445" i="50"/>
  <c r="N6444" i="50"/>
  <c r="M6444" i="50"/>
  <c r="N6443" i="50"/>
  <c r="M6443" i="50"/>
  <c r="N6442" i="50"/>
  <c r="M6442" i="50"/>
  <c r="N6441" i="50"/>
  <c r="M6441" i="50"/>
  <c r="N6440" i="50"/>
  <c r="M6440" i="50"/>
  <c r="N6439" i="50"/>
  <c r="M6439" i="50"/>
  <c r="N6438" i="50"/>
  <c r="M6438" i="50"/>
  <c r="N6437" i="50"/>
  <c r="M6437" i="50"/>
  <c r="N6436" i="50"/>
  <c r="M6436" i="50"/>
  <c r="N6435" i="50"/>
  <c r="M6435" i="50"/>
  <c r="N6434" i="50"/>
  <c r="M6434" i="50"/>
  <c r="N6433" i="50"/>
  <c r="M6433" i="50"/>
  <c r="N6432" i="50"/>
  <c r="M6432" i="50"/>
  <c r="N6431" i="50"/>
  <c r="M6431" i="50"/>
  <c r="N6430" i="50"/>
  <c r="M6430" i="50"/>
  <c r="N6429" i="50"/>
  <c r="M6429" i="50"/>
  <c r="N6428" i="50"/>
  <c r="M6428" i="50"/>
  <c r="N6427" i="50"/>
  <c r="M6427" i="50"/>
  <c r="N6426" i="50"/>
  <c r="M6426" i="50"/>
  <c r="N6425" i="50"/>
  <c r="M6425" i="50"/>
  <c r="N6424" i="50"/>
  <c r="M6424" i="50"/>
  <c r="N6423" i="50"/>
  <c r="M6423" i="50"/>
  <c r="N6422" i="50"/>
  <c r="M6422" i="50"/>
  <c r="N6421" i="50"/>
  <c r="M6421" i="50"/>
  <c r="N6420" i="50"/>
  <c r="M6420" i="50"/>
  <c r="N6419" i="50"/>
  <c r="M6419" i="50"/>
  <c r="N6418" i="50"/>
  <c r="M6418" i="50"/>
  <c r="N6417" i="50"/>
  <c r="M6417" i="50"/>
  <c r="N6416" i="50"/>
  <c r="M6416" i="50"/>
  <c r="N6415" i="50"/>
  <c r="M6415" i="50"/>
  <c r="N6414" i="50"/>
  <c r="M6414" i="50"/>
  <c r="N6413" i="50"/>
  <c r="M6413" i="50"/>
  <c r="N6412" i="50"/>
  <c r="M6412" i="50"/>
  <c r="N6411" i="50"/>
  <c r="M6411" i="50"/>
  <c r="N6410" i="50"/>
  <c r="M6410" i="50"/>
  <c r="N6409" i="50"/>
  <c r="M6409" i="50"/>
  <c r="N6408" i="50"/>
  <c r="M6408" i="50"/>
  <c r="N6407" i="50"/>
  <c r="M6407" i="50"/>
  <c r="N6406" i="50"/>
  <c r="M6406" i="50"/>
  <c r="N6405" i="50"/>
  <c r="M6405" i="50"/>
  <c r="N6404" i="50"/>
  <c r="M6404" i="50"/>
  <c r="N6403" i="50"/>
  <c r="M6403" i="50"/>
  <c r="N6402" i="50"/>
  <c r="M6402" i="50"/>
  <c r="N6401" i="50"/>
  <c r="M6401" i="50"/>
  <c r="N6400" i="50"/>
  <c r="M6400" i="50"/>
  <c r="N6399" i="50"/>
  <c r="M6399" i="50"/>
  <c r="N6398" i="50"/>
  <c r="M6398" i="50"/>
  <c r="N6397" i="50"/>
  <c r="M6397" i="50"/>
  <c r="N6396" i="50"/>
  <c r="M6396" i="50"/>
  <c r="N6395" i="50"/>
  <c r="M6395" i="50"/>
  <c r="N6394" i="50"/>
  <c r="M6394" i="50"/>
  <c r="N6393" i="50"/>
  <c r="M6393" i="50"/>
  <c r="N6392" i="50"/>
  <c r="M6392" i="50"/>
  <c r="N6391" i="50"/>
  <c r="M6391" i="50"/>
  <c r="N6390" i="50"/>
  <c r="M6390" i="50"/>
  <c r="N6389" i="50"/>
  <c r="M6389" i="50"/>
  <c r="N6388" i="50"/>
  <c r="M6388" i="50"/>
  <c r="N6387" i="50"/>
  <c r="M6387" i="50"/>
  <c r="N6386" i="50"/>
  <c r="M6386" i="50"/>
  <c r="N6385" i="50"/>
  <c r="M6385" i="50"/>
  <c r="N6384" i="50"/>
  <c r="M6384" i="50"/>
  <c r="N6383" i="50"/>
  <c r="M6383" i="50"/>
  <c r="N6382" i="50"/>
  <c r="M6382" i="50"/>
  <c r="N6381" i="50"/>
  <c r="M6381" i="50"/>
  <c r="N6380" i="50"/>
  <c r="M6380" i="50"/>
  <c r="N6379" i="50"/>
  <c r="M6379" i="50"/>
  <c r="N6378" i="50"/>
  <c r="M6378" i="50"/>
  <c r="N6377" i="50"/>
  <c r="M6377" i="50"/>
  <c r="N6376" i="50"/>
  <c r="M6376" i="50"/>
  <c r="N6375" i="50"/>
  <c r="M6375" i="50"/>
  <c r="N6374" i="50"/>
  <c r="M6374" i="50"/>
  <c r="N6373" i="50"/>
  <c r="M6373" i="50"/>
  <c r="N6372" i="50"/>
  <c r="M6372" i="50"/>
  <c r="N6371" i="50"/>
  <c r="M6371" i="50"/>
  <c r="N6370" i="50"/>
  <c r="M6370" i="50"/>
  <c r="N6369" i="50"/>
  <c r="M6369" i="50"/>
  <c r="N6368" i="50"/>
  <c r="M6368" i="50"/>
  <c r="N6367" i="50"/>
  <c r="M6367" i="50"/>
  <c r="N6366" i="50"/>
  <c r="M6366" i="50"/>
  <c r="N6365" i="50"/>
  <c r="M6365" i="50"/>
  <c r="N6364" i="50"/>
  <c r="M6364" i="50"/>
  <c r="N6363" i="50"/>
  <c r="M6363" i="50"/>
  <c r="N6362" i="50"/>
  <c r="M6362" i="50"/>
  <c r="N6361" i="50"/>
  <c r="M6361" i="50"/>
  <c r="N6360" i="50"/>
  <c r="M6360" i="50"/>
  <c r="N6359" i="50"/>
  <c r="M6359" i="50"/>
  <c r="N6358" i="50"/>
  <c r="M6358" i="50"/>
  <c r="N6357" i="50"/>
  <c r="M6357" i="50"/>
  <c r="N6356" i="50"/>
  <c r="M6356" i="50"/>
  <c r="N6355" i="50"/>
  <c r="M6355" i="50"/>
  <c r="N6354" i="50"/>
  <c r="M6354" i="50"/>
  <c r="N6353" i="50"/>
  <c r="M6353" i="50"/>
  <c r="N6352" i="50"/>
  <c r="M6352" i="50"/>
  <c r="N6351" i="50"/>
  <c r="M6351" i="50"/>
  <c r="N6350" i="50"/>
  <c r="M6350" i="50"/>
  <c r="N6349" i="50"/>
  <c r="M6349" i="50"/>
  <c r="N6348" i="50"/>
  <c r="M6348" i="50"/>
  <c r="N6347" i="50"/>
  <c r="M6347" i="50"/>
  <c r="N6346" i="50"/>
  <c r="M6346" i="50"/>
  <c r="N6345" i="50"/>
  <c r="M6345" i="50"/>
  <c r="N6344" i="50"/>
  <c r="M6344" i="50"/>
  <c r="N6343" i="50"/>
  <c r="M6343" i="50"/>
  <c r="N6342" i="50"/>
  <c r="M6342" i="50"/>
  <c r="N6341" i="50"/>
  <c r="M6341" i="50"/>
  <c r="N6340" i="50"/>
  <c r="M6340" i="50"/>
  <c r="N6339" i="50"/>
  <c r="M6339" i="50"/>
  <c r="N6338" i="50"/>
  <c r="M6338" i="50"/>
  <c r="N6337" i="50"/>
  <c r="M6337" i="50"/>
  <c r="N6336" i="50"/>
  <c r="M6336" i="50"/>
  <c r="N6335" i="50"/>
  <c r="M6335" i="50"/>
  <c r="N6334" i="50"/>
  <c r="M6334" i="50"/>
  <c r="N6333" i="50"/>
  <c r="M6333" i="50"/>
  <c r="N6332" i="50"/>
  <c r="M6332" i="50"/>
  <c r="N6331" i="50"/>
  <c r="M6331" i="50"/>
  <c r="N6330" i="50"/>
  <c r="M6330" i="50"/>
  <c r="N6329" i="50"/>
  <c r="M6329" i="50"/>
  <c r="N6328" i="50"/>
  <c r="M6328" i="50"/>
  <c r="N6327" i="50"/>
  <c r="M6327" i="50"/>
  <c r="N6326" i="50"/>
  <c r="M6326" i="50"/>
  <c r="N6325" i="50"/>
  <c r="M6325" i="50"/>
  <c r="N6324" i="50"/>
  <c r="M6324" i="50"/>
  <c r="N6323" i="50"/>
  <c r="M6323" i="50"/>
  <c r="N6322" i="50"/>
  <c r="M6322" i="50"/>
  <c r="N6321" i="50"/>
  <c r="M6321" i="50"/>
  <c r="N6320" i="50"/>
  <c r="M6320" i="50"/>
  <c r="N6319" i="50"/>
  <c r="M6319" i="50"/>
  <c r="N6318" i="50"/>
  <c r="M6318" i="50"/>
  <c r="N6317" i="50"/>
  <c r="M6317" i="50"/>
  <c r="N6316" i="50"/>
  <c r="M6316" i="50"/>
  <c r="N6315" i="50"/>
  <c r="M6315" i="50"/>
  <c r="N6314" i="50"/>
  <c r="M6314" i="50"/>
  <c r="N6313" i="50"/>
  <c r="M6313" i="50"/>
  <c r="N6312" i="50"/>
  <c r="M6312" i="50"/>
  <c r="N6311" i="50"/>
  <c r="M6311" i="50"/>
  <c r="N6310" i="50"/>
  <c r="M6310" i="50"/>
  <c r="N6309" i="50"/>
  <c r="M6309" i="50"/>
  <c r="N6308" i="50"/>
  <c r="M6308" i="50"/>
  <c r="N6307" i="50"/>
  <c r="M6307" i="50"/>
  <c r="N6306" i="50"/>
  <c r="M6306" i="50"/>
  <c r="N6305" i="50"/>
  <c r="M6305" i="50"/>
  <c r="N6304" i="50"/>
  <c r="M6304" i="50"/>
  <c r="N6303" i="50"/>
  <c r="M6303" i="50"/>
  <c r="N6302" i="50"/>
  <c r="M6302" i="50"/>
  <c r="N6301" i="50"/>
  <c r="M6301" i="50"/>
  <c r="N6300" i="50"/>
  <c r="M6300" i="50"/>
  <c r="N6299" i="50"/>
  <c r="M6299" i="50"/>
  <c r="N6298" i="50"/>
  <c r="M6298" i="50"/>
  <c r="N6297" i="50"/>
  <c r="M6297" i="50"/>
  <c r="N6296" i="50"/>
  <c r="M6296" i="50"/>
  <c r="N6295" i="50"/>
  <c r="M6295" i="50"/>
  <c r="N6294" i="50"/>
  <c r="M6294" i="50"/>
  <c r="N6293" i="50"/>
  <c r="M6293" i="50"/>
  <c r="N6292" i="50"/>
  <c r="M6292" i="50"/>
  <c r="N6291" i="50"/>
  <c r="M6291" i="50"/>
  <c r="N6290" i="50"/>
  <c r="M6290" i="50"/>
  <c r="N6289" i="50"/>
  <c r="M6289" i="50"/>
  <c r="N6288" i="50"/>
  <c r="M6288" i="50"/>
  <c r="N6287" i="50"/>
  <c r="M6287" i="50"/>
  <c r="N6286" i="50"/>
  <c r="M6286" i="50"/>
  <c r="N6285" i="50"/>
  <c r="M6285" i="50"/>
  <c r="N6284" i="50"/>
  <c r="M6284" i="50"/>
  <c r="N6283" i="50"/>
  <c r="M6283" i="50"/>
  <c r="N6282" i="50"/>
  <c r="M6282" i="50"/>
  <c r="N6281" i="50"/>
  <c r="M6281" i="50"/>
  <c r="N6280" i="50"/>
  <c r="M6280" i="50"/>
  <c r="N6279" i="50"/>
  <c r="M6279" i="50"/>
  <c r="N6278" i="50"/>
  <c r="M6278" i="50"/>
  <c r="N6277" i="50"/>
  <c r="M6277" i="50"/>
  <c r="N6276" i="50"/>
  <c r="M6276" i="50"/>
  <c r="N6275" i="50"/>
  <c r="M6275" i="50"/>
  <c r="N6274" i="50"/>
  <c r="M6274" i="50"/>
  <c r="N6273" i="50"/>
  <c r="M6273" i="50"/>
  <c r="N6272" i="50"/>
  <c r="M6272" i="50"/>
  <c r="N6271" i="50"/>
  <c r="M6271" i="50"/>
  <c r="N6270" i="50"/>
  <c r="M6270" i="50"/>
  <c r="N6269" i="50"/>
  <c r="M6269" i="50"/>
  <c r="N6268" i="50"/>
  <c r="M6268" i="50"/>
  <c r="N6267" i="50"/>
  <c r="M6267" i="50"/>
  <c r="N6266" i="50"/>
  <c r="M6266" i="50"/>
  <c r="N6265" i="50"/>
  <c r="M6265" i="50"/>
  <c r="N6264" i="50"/>
  <c r="M6264" i="50"/>
  <c r="N6263" i="50"/>
  <c r="M6263" i="50"/>
  <c r="N6262" i="50"/>
  <c r="M6262" i="50"/>
  <c r="N6261" i="50"/>
  <c r="M6261" i="50"/>
  <c r="N6260" i="50"/>
  <c r="M6260" i="50"/>
  <c r="N6259" i="50"/>
  <c r="M6259" i="50"/>
  <c r="N6258" i="50"/>
  <c r="M6258" i="50"/>
  <c r="N6257" i="50"/>
  <c r="M6257" i="50"/>
  <c r="N6256" i="50"/>
  <c r="M6256" i="50"/>
  <c r="N6255" i="50"/>
  <c r="M6255" i="50"/>
  <c r="N6254" i="50"/>
  <c r="M6254" i="50"/>
  <c r="N6253" i="50"/>
  <c r="M6253" i="50"/>
  <c r="N6252" i="50"/>
  <c r="M6252" i="50"/>
  <c r="N6251" i="50"/>
  <c r="M6251" i="50"/>
  <c r="N6250" i="50"/>
  <c r="M6250" i="50"/>
  <c r="N6249" i="50"/>
  <c r="M6249" i="50"/>
  <c r="N6248" i="50"/>
  <c r="M6248" i="50"/>
  <c r="N6247" i="50"/>
  <c r="M6247" i="50"/>
  <c r="N6246" i="50"/>
  <c r="M6246" i="50"/>
  <c r="N6245" i="50"/>
  <c r="M6245" i="50"/>
  <c r="N6244" i="50"/>
  <c r="M6244" i="50"/>
  <c r="N6243" i="50"/>
  <c r="M6243" i="50"/>
  <c r="N6242" i="50"/>
  <c r="M6242" i="50"/>
  <c r="N6241" i="50"/>
  <c r="M6241" i="50"/>
  <c r="N6240" i="50"/>
  <c r="M6240" i="50"/>
  <c r="N6239" i="50"/>
  <c r="M6239" i="50"/>
  <c r="N6238" i="50"/>
  <c r="M6238" i="50"/>
  <c r="N6237" i="50"/>
  <c r="M6237" i="50"/>
  <c r="N6236" i="50"/>
  <c r="M6236" i="50"/>
  <c r="N6235" i="50"/>
  <c r="M6235" i="50"/>
  <c r="N6234" i="50"/>
  <c r="M6234" i="50"/>
  <c r="N6233" i="50"/>
  <c r="M6233" i="50"/>
  <c r="N6232" i="50"/>
  <c r="M6232" i="50"/>
  <c r="N6231" i="50"/>
  <c r="M6231" i="50"/>
  <c r="N6230" i="50"/>
  <c r="M6230" i="50"/>
  <c r="N6229" i="50"/>
  <c r="M6229" i="50"/>
  <c r="N6228" i="50"/>
  <c r="M6228" i="50"/>
  <c r="N6227" i="50"/>
  <c r="M6227" i="50"/>
  <c r="N6226" i="50"/>
  <c r="M6226" i="50"/>
  <c r="N6225" i="50"/>
  <c r="M6225" i="50"/>
  <c r="N6224" i="50"/>
  <c r="M6224" i="50"/>
  <c r="N6223" i="50"/>
  <c r="M6223" i="50"/>
  <c r="N6222" i="50"/>
  <c r="M6222" i="50"/>
  <c r="N6221" i="50"/>
  <c r="M6221" i="50"/>
  <c r="N6220" i="50"/>
  <c r="M6220" i="50"/>
  <c r="N6219" i="50"/>
  <c r="M6219" i="50"/>
  <c r="N6218" i="50"/>
  <c r="M6218" i="50"/>
  <c r="N6217" i="50"/>
  <c r="M6217" i="50"/>
  <c r="N6216" i="50"/>
  <c r="M6216" i="50"/>
  <c r="N6215" i="50"/>
  <c r="M6215" i="50"/>
  <c r="N6214" i="50"/>
  <c r="M6214" i="50"/>
  <c r="N6213" i="50"/>
  <c r="M6213" i="50"/>
  <c r="N6212" i="50"/>
  <c r="M6212" i="50"/>
  <c r="N6211" i="50"/>
  <c r="M6211" i="50"/>
  <c r="N6210" i="50"/>
  <c r="M6210" i="50"/>
  <c r="N6209" i="50"/>
  <c r="M6209" i="50"/>
  <c r="N6208" i="50"/>
  <c r="M6208" i="50"/>
  <c r="N6207" i="50"/>
  <c r="M6207" i="50"/>
  <c r="N6206" i="50"/>
  <c r="M6206" i="50"/>
  <c r="N6205" i="50"/>
  <c r="M6205" i="50"/>
  <c r="N6204" i="50"/>
  <c r="M6204" i="50"/>
  <c r="N6203" i="50"/>
  <c r="M6203" i="50"/>
  <c r="N6202" i="50"/>
  <c r="M6202" i="50"/>
  <c r="N6201" i="50"/>
  <c r="M6201" i="50"/>
  <c r="N6200" i="50"/>
  <c r="M6200" i="50"/>
  <c r="N6199" i="50"/>
  <c r="M6199" i="50"/>
  <c r="N6198" i="50"/>
  <c r="M6198" i="50"/>
  <c r="N6197" i="50"/>
  <c r="M6197" i="50"/>
  <c r="N6196" i="50"/>
  <c r="M6196" i="50"/>
  <c r="N6195" i="50"/>
  <c r="M6195" i="50"/>
  <c r="N6194" i="50"/>
  <c r="M6194" i="50"/>
  <c r="N6193" i="50"/>
  <c r="M6193" i="50"/>
  <c r="N6192" i="50"/>
  <c r="M6192" i="50"/>
  <c r="N6191" i="50"/>
  <c r="M6191" i="50"/>
  <c r="N6190" i="50"/>
  <c r="M6190" i="50"/>
  <c r="N6189" i="50"/>
  <c r="M6189" i="50"/>
  <c r="N6188" i="50"/>
  <c r="M6188" i="50"/>
  <c r="N6187" i="50"/>
  <c r="M6187" i="50"/>
  <c r="N6186" i="50"/>
  <c r="M6186" i="50"/>
  <c r="N6185" i="50"/>
  <c r="M6185" i="50"/>
  <c r="N6184" i="50"/>
  <c r="M6184" i="50"/>
  <c r="N6183" i="50"/>
  <c r="M6183" i="50"/>
  <c r="N6182" i="50"/>
  <c r="M6182" i="50"/>
  <c r="N6181" i="50"/>
  <c r="M6181" i="50"/>
  <c r="N6180" i="50"/>
  <c r="M6180" i="50"/>
  <c r="N6179" i="50"/>
  <c r="M6179" i="50"/>
  <c r="N6178" i="50"/>
  <c r="M6178" i="50"/>
  <c r="N6177" i="50"/>
  <c r="M6177" i="50"/>
  <c r="N6176" i="50"/>
  <c r="M6176" i="50"/>
  <c r="N6175" i="50"/>
  <c r="M6175" i="50"/>
  <c r="N6174" i="50"/>
  <c r="M6174" i="50"/>
  <c r="N6173" i="50"/>
  <c r="M6173" i="50"/>
  <c r="N6172" i="50"/>
  <c r="M6172" i="50"/>
  <c r="N6171" i="50"/>
  <c r="M6171" i="50"/>
  <c r="N6170" i="50"/>
  <c r="M6170" i="50"/>
  <c r="N6169" i="50"/>
  <c r="M6169" i="50"/>
  <c r="N6168" i="50"/>
  <c r="M6168" i="50"/>
  <c r="N6167" i="50"/>
  <c r="M6167" i="50"/>
  <c r="N6166" i="50"/>
  <c r="M6166" i="50"/>
  <c r="N6165" i="50"/>
  <c r="M6165" i="50"/>
  <c r="N6164" i="50"/>
  <c r="M6164" i="50"/>
  <c r="N6163" i="50"/>
  <c r="M6163" i="50"/>
  <c r="N6162" i="50"/>
  <c r="M6162" i="50"/>
  <c r="N6161" i="50"/>
  <c r="M6161" i="50"/>
  <c r="N6160" i="50"/>
  <c r="M6160" i="50"/>
  <c r="N6159" i="50"/>
  <c r="M6159" i="50"/>
  <c r="N6158" i="50"/>
  <c r="M6158" i="50"/>
  <c r="N6157" i="50"/>
  <c r="M6157" i="50"/>
  <c r="N6156" i="50"/>
  <c r="M6156" i="50"/>
  <c r="N6155" i="50"/>
  <c r="M6155" i="50"/>
  <c r="N6154" i="50"/>
  <c r="M6154" i="50"/>
  <c r="N6153" i="50"/>
  <c r="M6153" i="50"/>
  <c r="N6152" i="50"/>
  <c r="M6152" i="50"/>
  <c r="N6151" i="50"/>
  <c r="M6151" i="50"/>
  <c r="N6150" i="50"/>
  <c r="M6150" i="50"/>
  <c r="N6149" i="50"/>
  <c r="M6149" i="50"/>
  <c r="N6148" i="50"/>
  <c r="M6148" i="50"/>
  <c r="N6147" i="50"/>
  <c r="M6147" i="50"/>
  <c r="N6146" i="50"/>
  <c r="M6146" i="50"/>
  <c r="N6145" i="50"/>
  <c r="M6145" i="50"/>
  <c r="N6144" i="50"/>
  <c r="M6144" i="50"/>
  <c r="N6143" i="50"/>
  <c r="M6143" i="50"/>
  <c r="N6142" i="50"/>
  <c r="M6142" i="50"/>
  <c r="N6141" i="50"/>
  <c r="M6141" i="50"/>
  <c r="N6140" i="50"/>
  <c r="M6140" i="50"/>
  <c r="N6139" i="50"/>
  <c r="M6139" i="50"/>
  <c r="N6138" i="50"/>
  <c r="M6138" i="50"/>
  <c r="N6137" i="50"/>
  <c r="M6137" i="50"/>
  <c r="N6136" i="50"/>
  <c r="M6136" i="50"/>
  <c r="N6135" i="50"/>
  <c r="M6135" i="50"/>
  <c r="N6134" i="50"/>
  <c r="M6134" i="50"/>
  <c r="N6133" i="50"/>
  <c r="M6133" i="50"/>
  <c r="N6132" i="50"/>
  <c r="M6132" i="50"/>
  <c r="N6131" i="50"/>
  <c r="M6131" i="50"/>
  <c r="N6130" i="50"/>
  <c r="M6130" i="50"/>
  <c r="N6129" i="50"/>
  <c r="M6129" i="50"/>
  <c r="N6128" i="50"/>
  <c r="M6128" i="50"/>
  <c r="N6127" i="50"/>
  <c r="M6127" i="50"/>
  <c r="N6126" i="50"/>
  <c r="M6126" i="50"/>
  <c r="N6125" i="50"/>
  <c r="M6125" i="50"/>
  <c r="N6124" i="50"/>
  <c r="M6124" i="50"/>
  <c r="N6123" i="50"/>
  <c r="M6123" i="50"/>
  <c r="N6122" i="50"/>
  <c r="M6122" i="50"/>
  <c r="N6121" i="50"/>
  <c r="M6121" i="50"/>
  <c r="N6120" i="50"/>
  <c r="M6120" i="50"/>
  <c r="N6119" i="50"/>
  <c r="M6119" i="50"/>
  <c r="N6118" i="50"/>
  <c r="M6118" i="50"/>
  <c r="N6117" i="50"/>
  <c r="M6117" i="50"/>
  <c r="N6116" i="50"/>
  <c r="M6116" i="50"/>
  <c r="N6115" i="50"/>
  <c r="M6115" i="50"/>
  <c r="N6114" i="50"/>
  <c r="M6114" i="50"/>
  <c r="N6113" i="50"/>
  <c r="M6113" i="50"/>
  <c r="N6112" i="50"/>
  <c r="M6112" i="50"/>
  <c r="N6111" i="50"/>
  <c r="M6111" i="50"/>
  <c r="N6110" i="50"/>
  <c r="M6110" i="50"/>
  <c r="N6109" i="50"/>
  <c r="M6109" i="50"/>
  <c r="N6108" i="50"/>
  <c r="M6108" i="50"/>
  <c r="N6107" i="50"/>
  <c r="M6107" i="50"/>
  <c r="N6106" i="50"/>
  <c r="M6106" i="50"/>
  <c r="N6105" i="50"/>
  <c r="M6105" i="50"/>
  <c r="N6104" i="50"/>
  <c r="M6104" i="50"/>
  <c r="N6103" i="50"/>
  <c r="M6103" i="50"/>
  <c r="N6102" i="50"/>
  <c r="M6102" i="50"/>
  <c r="N6101" i="50"/>
  <c r="M6101" i="50"/>
  <c r="N6100" i="50"/>
  <c r="M6100" i="50"/>
  <c r="N6099" i="50"/>
  <c r="M6099" i="50"/>
  <c r="N6098" i="50"/>
  <c r="M6098" i="50"/>
  <c r="N6097" i="50"/>
  <c r="M6097" i="50"/>
  <c r="N6096" i="50"/>
  <c r="M6096" i="50"/>
  <c r="N6095" i="50"/>
  <c r="M6095" i="50"/>
  <c r="N6094" i="50"/>
  <c r="M6094" i="50"/>
  <c r="N6093" i="50"/>
  <c r="M6093" i="50"/>
  <c r="N6092" i="50"/>
  <c r="M6092" i="50"/>
  <c r="N6091" i="50"/>
  <c r="M6091" i="50"/>
  <c r="N6090" i="50"/>
  <c r="M6090" i="50"/>
  <c r="N6089" i="50"/>
  <c r="M6089" i="50"/>
  <c r="N6088" i="50"/>
  <c r="M6088" i="50"/>
  <c r="N6087" i="50"/>
  <c r="M6087" i="50"/>
  <c r="N6086" i="50"/>
  <c r="M6086" i="50"/>
  <c r="N6085" i="50"/>
  <c r="M6085" i="50"/>
  <c r="N6084" i="50"/>
  <c r="M6084" i="50"/>
  <c r="N6083" i="50"/>
  <c r="M6083" i="50"/>
  <c r="N6082" i="50"/>
  <c r="M6082" i="50"/>
  <c r="N6081" i="50"/>
  <c r="M6081" i="50"/>
  <c r="N6080" i="50"/>
  <c r="M6080" i="50"/>
  <c r="N6079" i="50"/>
  <c r="M6079" i="50"/>
  <c r="N6078" i="50"/>
  <c r="M6078" i="50"/>
  <c r="N6077" i="50"/>
  <c r="M6077" i="50"/>
  <c r="N6076" i="50"/>
  <c r="M6076" i="50"/>
  <c r="N6075" i="50"/>
  <c r="M6075" i="50"/>
  <c r="N6074" i="50"/>
  <c r="M6074" i="50"/>
  <c r="N6073" i="50"/>
  <c r="M6073" i="50"/>
  <c r="N6072" i="50"/>
  <c r="M6072" i="50"/>
  <c r="N6071" i="50"/>
  <c r="M6071" i="50"/>
  <c r="N6070" i="50"/>
  <c r="M6070" i="50"/>
  <c r="N6069" i="50"/>
  <c r="M6069" i="50"/>
  <c r="N6068" i="50"/>
  <c r="M6068" i="50"/>
  <c r="N6067" i="50"/>
  <c r="M6067" i="50"/>
  <c r="N6066" i="50"/>
  <c r="M6066" i="50"/>
  <c r="N6065" i="50"/>
  <c r="M6065" i="50"/>
  <c r="N6064" i="50"/>
  <c r="M6064" i="50"/>
  <c r="N6063" i="50"/>
  <c r="M6063" i="50"/>
  <c r="N6062" i="50"/>
  <c r="M6062" i="50"/>
  <c r="N6061" i="50"/>
  <c r="M6061" i="50"/>
  <c r="N6060" i="50"/>
  <c r="M6060" i="50"/>
  <c r="N6059" i="50"/>
  <c r="M6059" i="50"/>
  <c r="N6058" i="50"/>
  <c r="M6058" i="50"/>
  <c r="N6057" i="50"/>
  <c r="M6057" i="50"/>
  <c r="N6056" i="50"/>
  <c r="M6056" i="50"/>
  <c r="N6055" i="50"/>
  <c r="M6055" i="50"/>
  <c r="N6054" i="50"/>
  <c r="M6054" i="50"/>
  <c r="N6053" i="50"/>
  <c r="M6053" i="50"/>
  <c r="N6052" i="50"/>
  <c r="M6052" i="50"/>
  <c r="N6051" i="50"/>
  <c r="M6051" i="50"/>
  <c r="N6050" i="50"/>
  <c r="M6050" i="50"/>
  <c r="N6049" i="50"/>
  <c r="M6049" i="50"/>
  <c r="N6048" i="50"/>
  <c r="M6048" i="50"/>
  <c r="N6047" i="50"/>
  <c r="M6047" i="50"/>
  <c r="N6046" i="50"/>
  <c r="M6046" i="50"/>
  <c r="N6045" i="50"/>
  <c r="M6045" i="50"/>
  <c r="N6044" i="50"/>
  <c r="M6044" i="50"/>
  <c r="N6043" i="50"/>
  <c r="M6043" i="50"/>
  <c r="N6042" i="50"/>
  <c r="M6042" i="50"/>
  <c r="N6041" i="50"/>
  <c r="M6041" i="50"/>
  <c r="N6040" i="50"/>
  <c r="M6040" i="50"/>
  <c r="N6039" i="50"/>
  <c r="M6039" i="50"/>
  <c r="N6038" i="50"/>
  <c r="M6038" i="50"/>
  <c r="N6037" i="50"/>
  <c r="M6037" i="50"/>
  <c r="N6036" i="50"/>
  <c r="M6036" i="50"/>
  <c r="N6035" i="50"/>
  <c r="M6035" i="50"/>
  <c r="N6034" i="50"/>
  <c r="M6034" i="50"/>
  <c r="N6033" i="50"/>
  <c r="M6033" i="50"/>
  <c r="N6032" i="50"/>
  <c r="M6032" i="50"/>
  <c r="N6031" i="50"/>
  <c r="M6031" i="50"/>
  <c r="N6030" i="50"/>
  <c r="M6030" i="50"/>
  <c r="N6029" i="50"/>
  <c r="M6029" i="50"/>
  <c r="N6028" i="50"/>
  <c r="M6028" i="50"/>
  <c r="N6027" i="50"/>
  <c r="M6027" i="50"/>
  <c r="N6026" i="50"/>
  <c r="M6026" i="50"/>
  <c r="N6025" i="50"/>
  <c r="M6025" i="50"/>
  <c r="N6024" i="50"/>
  <c r="M6024" i="50"/>
  <c r="N6023" i="50"/>
  <c r="M6023" i="50"/>
  <c r="N6022" i="50"/>
  <c r="M6022" i="50"/>
  <c r="N6021" i="50"/>
  <c r="M6021" i="50"/>
  <c r="N6020" i="50"/>
  <c r="M6020" i="50"/>
  <c r="N6019" i="50"/>
  <c r="M6019" i="50"/>
  <c r="N6018" i="50"/>
  <c r="M6018" i="50"/>
  <c r="N6017" i="50"/>
  <c r="M6017" i="50"/>
  <c r="N6016" i="50"/>
  <c r="M6016" i="50"/>
  <c r="N6015" i="50"/>
  <c r="M6015" i="50"/>
  <c r="N6014" i="50"/>
  <c r="M6014" i="50"/>
  <c r="N6013" i="50"/>
  <c r="M6013" i="50"/>
  <c r="N6012" i="50"/>
  <c r="M6012" i="50"/>
  <c r="N6011" i="50"/>
  <c r="M6011" i="50"/>
  <c r="N6010" i="50"/>
  <c r="M6010" i="50"/>
  <c r="N6009" i="50"/>
  <c r="M6009" i="50"/>
  <c r="N6008" i="50"/>
  <c r="M6008" i="50"/>
  <c r="N6007" i="50"/>
  <c r="M6007" i="50"/>
  <c r="N6006" i="50"/>
  <c r="M6006" i="50"/>
  <c r="N6005" i="50"/>
  <c r="M6005" i="50"/>
  <c r="N6004" i="50"/>
  <c r="M6004" i="50"/>
  <c r="N6003" i="50"/>
  <c r="M6003" i="50"/>
  <c r="N6002" i="50"/>
  <c r="M6002" i="50"/>
  <c r="N6001" i="50"/>
  <c r="M6001" i="50"/>
  <c r="N6000" i="50"/>
  <c r="M6000" i="50"/>
  <c r="N5999" i="50"/>
  <c r="M5999" i="50"/>
  <c r="N5998" i="50"/>
  <c r="M5998" i="50"/>
  <c r="N5997" i="50"/>
  <c r="M5997" i="50"/>
  <c r="N5996" i="50"/>
  <c r="M5996" i="50"/>
  <c r="N5995" i="50"/>
  <c r="M5995" i="50"/>
  <c r="N5994" i="50"/>
  <c r="M5994" i="50"/>
  <c r="N5993" i="50"/>
  <c r="M5993" i="50"/>
  <c r="N5992" i="50"/>
  <c r="M5992" i="50"/>
  <c r="N5991" i="50"/>
  <c r="M5991" i="50"/>
  <c r="N5990" i="50"/>
  <c r="M5990" i="50"/>
  <c r="N5989" i="50"/>
  <c r="M5989" i="50"/>
  <c r="N5988" i="50"/>
  <c r="M5988" i="50"/>
  <c r="N5987" i="50"/>
  <c r="M5987" i="50"/>
  <c r="N5986" i="50"/>
  <c r="M5986" i="50"/>
  <c r="N5985" i="50"/>
  <c r="M5985" i="50"/>
  <c r="N5984" i="50"/>
  <c r="M5984" i="50"/>
  <c r="N5983" i="50"/>
  <c r="M5983" i="50"/>
  <c r="N5982" i="50"/>
  <c r="M5982" i="50"/>
  <c r="N5981" i="50"/>
  <c r="M5981" i="50"/>
  <c r="N5980" i="50"/>
  <c r="M5980" i="50"/>
  <c r="N5979" i="50"/>
  <c r="M5979" i="50"/>
  <c r="N5978" i="50"/>
  <c r="M5978" i="50"/>
  <c r="N5977" i="50"/>
  <c r="M5977" i="50"/>
  <c r="N5976" i="50"/>
  <c r="M5976" i="50"/>
  <c r="N5975" i="50"/>
  <c r="M5975" i="50"/>
  <c r="N5974" i="50"/>
  <c r="M5974" i="50"/>
  <c r="N5973" i="50"/>
  <c r="M5973" i="50"/>
  <c r="N5972" i="50"/>
  <c r="M5972" i="50"/>
  <c r="N5971" i="50"/>
  <c r="M5971" i="50"/>
  <c r="N5970" i="50"/>
  <c r="M5970" i="50"/>
  <c r="N5969" i="50"/>
  <c r="M5969" i="50"/>
  <c r="N5968" i="50"/>
  <c r="M5968" i="50"/>
  <c r="N5967" i="50"/>
  <c r="M5967" i="50"/>
  <c r="N5966" i="50"/>
  <c r="M5966" i="50"/>
  <c r="N5965" i="50"/>
  <c r="M5965" i="50"/>
  <c r="N5964" i="50"/>
  <c r="M5964" i="50"/>
  <c r="N5963" i="50"/>
  <c r="M5963" i="50"/>
  <c r="N5962" i="50"/>
  <c r="M5962" i="50"/>
  <c r="N5961" i="50"/>
  <c r="M5961" i="50"/>
  <c r="N5960" i="50"/>
  <c r="M5960" i="50"/>
  <c r="N5959" i="50"/>
  <c r="M5959" i="50"/>
  <c r="N5958" i="50"/>
  <c r="M5958" i="50"/>
  <c r="N5957" i="50"/>
  <c r="M5957" i="50"/>
  <c r="N5956" i="50"/>
  <c r="M5956" i="50"/>
  <c r="N5955" i="50"/>
  <c r="M5955" i="50"/>
  <c r="N5954" i="50"/>
  <c r="M5954" i="50"/>
  <c r="N5953" i="50"/>
  <c r="M5953" i="50"/>
  <c r="N5952" i="50"/>
  <c r="M5952" i="50"/>
  <c r="N5951" i="50"/>
  <c r="M5951" i="50"/>
  <c r="N5950" i="50"/>
  <c r="M5950" i="50"/>
  <c r="N5949" i="50"/>
  <c r="M5949" i="50"/>
  <c r="N5948" i="50"/>
  <c r="M5948" i="50"/>
  <c r="N5947" i="50"/>
  <c r="M5947" i="50"/>
  <c r="N5946" i="50"/>
  <c r="M5946" i="50"/>
  <c r="N5945" i="50"/>
  <c r="M5945" i="50"/>
  <c r="N5944" i="50"/>
  <c r="M5944" i="50"/>
  <c r="N5943" i="50"/>
  <c r="M5943" i="50"/>
  <c r="N5942" i="50"/>
  <c r="M5942" i="50"/>
  <c r="N5941" i="50"/>
  <c r="M5941" i="50"/>
  <c r="N5940" i="50"/>
  <c r="M5940" i="50"/>
  <c r="N5939" i="50"/>
  <c r="M5939" i="50"/>
  <c r="N5938" i="50"/>
  <c r="M5938" i="50"/>
  <c r="N5937" i="50"/>
  <c r="M5937" i="50"/>
  <c r="N5936" i="50"/>
  <c r="M5936" i="50"/>
  <c r="N5935" i="50"/>
  <c r="M5935" i="50"/>
  <c r="N5934" i="50"/>
  <c r="M5934" i="50"/>
  <c r="N5933" i="50"/>
  <c r="M5933" i="50"/>
  <c r="N5932" i="50"/>
  <c r="M5932" i="50"/>
  <c r="N5931" i="50"/>
  <c r="M5931" i="50"/>
  <c r="N5930" i="50"/>
  <c r="M5930" i="50"/>
  <c r="N5929" i="50"/>
  <c r="M5929" i="50"/>
  <c r="N5928" i="50"/>
  <c r="M5928" i="50"/>
  <c r="N5927" i="50"/>
  <c r="M5927" i="50"/>
  <c r="N5926" i="50"/>
  <c r="M5926" i="50"/>
  <c r="N5925" i="50"/>
  <c r="M5925" i="50"/>
  <c r="N5924" i="50"/>
  <c r="M5924" i="50"/>
  <c r="N5923" i="50"/>
  <c r="M5923" i="50"/>
  <c r="N5922" i="50"/>
  <c r="M5922" i="50"/>
  <c r="N5921" i="50"/>
  <c r="M5921" i="50"/>
  <c r="N5920" i="50"/>
  <c r="M5920" i="50"/>
  <c r="N5919" i="50"/>
  <c r="M5919" i="50"/>
  <c r="N5918" i="50"/>
  <c r="M5918" i="50"/>
  <c r="N5917" i="50"/>
  <c r="M5917" i="50"/>
  <c r="N5916" i="50"/>
  <c r="M5916" i="50"/>
  <c r="N5915" i="50"/>
  <c r="M5915" i="50"/>
  <c r="N5914" i="50"/>
  <c r="M5914" i="50"/>
  <c r="N5913" i="50"/>
  <c r="M5913" i="50"/>
  <c r="N5912" i="50"/>
  <c r="M5912" i="50"/>
  <c r="N5911" i="50"/>
  <c r="M5911" i="50"/>
  <c r="N5910" i="50"/>
  <c r="M5910" i="50"/>
  <c r="N5909" i="50"/>
  <c r="M5909" i="50"/>
  <c r="N5908" i="50"/>
  <c r="M5908" i="50"/>
  <c r="N5907" i="50"/>
  <c r="M5907" i="50"/>
  <c r="N5906" i="50"/>
  <c r="M5906" i="50"/>
  <c r="N5905" i="50"/>
  <c r="M5905" i="50"/>
  <c r="N5904" i="50"/>
  <c r="M5904" i="50"/>
  <c r="N5903" i="50"/>
  <c r="M5903" i="50"/>
  <c r="N5902" i="50"/>
  <c r="M5902" i="50"/>
  <c r="N5901" i="50"/>
  <c r="M5901" i="50"/>
  <c r="N5900" i="50"/>
  <c r="M5900" i="50"/>
  <c r="N5899" i="50"/>
  <c r="M5899" i="50"/>
  <c r="N5898" i="50"/>
  <c r="M5898" i="50"/>
  <c r="N5897" i="50"/>
  <c r="M5897" i="50"/>
  <c r="N5896" i="50"/>
  <c r="M5896" i="50"/>
  <c r="N5895" i="50"/>
  <c r="M5895" i="50"/>
  <c r="N5894" i="50"/>
  <c r="M5894" i="50"/>
  <c r="N5893" i="50"/>
  <c r="M5893" i="50"/>
  <c r="N5892" i="50"/>
  <c r="M5892" i="50"/>
  <c r="N5891" i="50"/>
  <c r="M5891" i="50"/>
  <c r="N5890" i="50"/>
  <c r="M5890" i="50"/>
  <c r="N5889" i="50"/>
  <c r="M5889" i="50"/>
  <c r="N5888" i="50"/>
  <c r="M5888" i="50"/>
  <c r="N5887" i="50"/>
  <c r="M5887" i="50"/>
  <c r="N5886" i="50"/>
  <c r="M5886" i="50"/>
  <c r="N5885" i="50"/>
  <c r="M5885" i="50"/>
  <c r="N5884" i="50"/>
  <c r="M5884" i="50"/>
  <c r="N5883" i="50"/>
  <c r="M5883" i="50"/>
  <c r="N5882" i="50"/>
  <c r="M5882" i="50"/>
  <c r="N5881" i="50"/>
  <c r="M5881" i="50"/>
  <c r="N5880" i="50"/>
  <c r="M5880" i="50"/>
  <c r="N5879" i="50"/>
  <c r="M5879" i="50"/>
  <c r="N5878" i="50"/>
  <c r="M5878" i="50"/>
  <c r="N5877" i="50"/>
  <c r="M5877" i="50"/>
  <c r="N5876" i="50"/>
  <c r="M5876" i="50"/>
  <c r="N5875" i="50"/>
  <c r="M5875" i="50"/>
  <c r="N5874" i="50"/>
  <c r="M5874" i="50"/>
  <c r="N5873" i="50"/>
  <c r="M5873" i="50"/>
  <c r="N5872" i="50"/>
  <c r="M5872" i="50"/>
  <c r="N5871" i="50"/>
  <c r="M5871" i="50"/>
  <c r="N5870" i="50"/>
  <c r="M5870" i="50"/>
  <c r="N5869" i="50"/>
  <c r="M5869" i="50"/>
  <c r="N5868" i="50"/>
  <c r="M5868" i="50"/>
  <c r="N5867" i="50"/>
  <c r="M5867" i="50"/>
  <c r="N5866" i="50"/>
  <c r="M5866" i="50"/>
  <c r="N5865" i="50"/>
  <c r="M5865" i="50"/>
  <c r="N5864" i="50"/>
  <c r="M5864" i="50"/>
  <c r="N5863" i="50"/>
  <c r="M5863" i="50"/>
  <c r="N5862" i="50"/>
  <c r="M5862" i="50"/>
  <c r="N5861" i="50"/>
  <c r="M5861" i="50"/>
  <c r="N5860" i="50"/>
  <c r="M5860" i="50"/>
  <c r="N5859" i="50"/>
  <c r="M5859" i="50"/>
  <c r="N5858" i="50"/>
  <c r="M5858" i="50"/>
  <c r="N5857" i="50"/>
  <c r="M5857" i="50"/>
  <c r="N5856" i="50"/>
  <c r="M5856" i="50"/>
  <c r="N5855" i="50"/>
  <c r="M5855" i="50"/>
  <c r="N5854" i="50"/>
  <c r="M5854" i="50"/>
  <c r="N5853" i="50"/>
  <c r="M5853" i="50"/>
  <c r="N5852" i="50"/>
  <c r="M5852" i="50"/>
  <c r="N5851" i="50"/>
  <c r="M5851" i="50"/>
  <c r="N5850" i="50"/>
  <c r="M5850" i="50"/>
  <c r="N5849" i="50"/>
  <c r="M5849" i="50"/>
  <c r="N5848" i="50"/>
  <c r="M5848" i="50"/>
  <c r="N5847" i="50"/>
  <c r="M5847" i="50"/>
  <c r="N5846" i="50"/>
  <c r="M5846" i="50"/>
  <c r="N5845" i="50"/>
  <c r="M5845" i="50"/>
  <c r="N5844" i="50"/>
  <c r="M5844" i="50"/>
  <c r="N5843" i="50"/>
  <c r="M5843" i="50"/>
  <c r="N5842" i="50"/>
  <c r="M5842" i="50"/>
  <c r="N5841" i="50"/>
  <c r="M5841" i="50"/>
  <c r="N5840" i="50"/>
  <c r="M5840" i="50"/>
  <c r="N5839" i="50"/>
  <c r="M5839" i="50"/>
  <c r="N5838" i="50"/>
  <c r="M5838" i="50"/>
  <c r="N5837" i="50"/>
  <c r="M5837" i="50"/>
  <c r="N5836" i="50"/>
  <c r="M5836" i="50"/>
  <c r="N5835" i="50"/>
  <c r="M5835" i="50"/>
  <c r="N5834" i="50"/>
  <c r="M5834" i="50"/>
  <c r="N5833" i="50"/>
  <c r="M5833" i="50"/>
  <c r="N5832" i="50"/>
  <c r="M5832" i="50"/>
  <c r="N5831" i="50"/>
  <c r="M5831" i="50"/>
  <c r="N5830" i="50"/>
  <c r="M5830" i="50"/>
  <c r="N5829" i="50"/>
  <c r="M5829" i="50"/>
  <c r="N5828" i="50"/>
  <c r="M5828" i="50"/>
  <c r="N5827" i="50"/>
  <c r="M5827" i="50"/>
  <c r="N5826" i="50"/>
  <c r="M5826" i="50"/>
  <c r="N5825" i="50"/>
  <c r="M5825" i="50"/>
  <c r="N5824" i="50"/>
  <c r="M5824" i="50"/>
  <c r="N5823" i="50"/>
  <c r="M5823" i="50"/>
  <c r="N5822" i="50"/>
  <c r="M5822" i="50"/>
  <c r="N5821" i="50"/>
  <c r="M5821" i="50"/>
  <c r="N5820" i="50"/>
  <c r="M5820" i="50"/>
  <c r="N5819" i="50"/>
  <c r="M5819" i="50"/>
  <c r="N5818" i="50"/>
  <c r="M5818" i="50"/>
  <c r="N5817" i="50"/>
  <c r="M5817" i="50"/>
  <c r="N5816" i="50"/>
  <c r="M5816" i="50"/>
  <c r="N5815" i="50"/>
  <c r="M5815" i="50"/>
  <c r="N5814" i="50"/>
  <c r="M5814" i="50"/>
  <c r="N5813" i="50"/>
  <c r="M5813" i="50"/>
  <c r="N5812" i="50"/>
  <c r="M5812" i="50"/>
  <c r="N5811" i="50"/>
  <c r="M5811" i="50"/>
  <c r="N5810" i="50"/>
  <c r="M5810" i="50"/>
  <c r="N5809" i="50"/>
  <c r="M5809" i="50"/>
  <c r="N5808" i="50"/>
  <c r="M5808" i="50"/>
  <c r="N5807" i="50"/>
  <c r="M5807" i="50"/>
  <c r="N5806" i="50"/>
  <c r="M5806" i="50"/>
  <c r="N5805" i="50"/>
  <c r="M5805" i="50"/>
  <c r="N5804" i="50"/>
  <c r="M5804" i="50"/>
  <c r="N5803" i="50"/>
  <c r="M5803" i="50"/>
  <c r="N5802" i="50"/>
  <c r="M5802" i="50"/>
  <c r="N5801" i="50"/>
  <c r="M5801" i="50"/>
  <c r="N5800" i="50"/>
  <c r="M5800" i="50"/>
  <c r="N5799" i="50"/>
  <c r="M5799" i="50"/>
  <c r="N5798" i="50"/>
  <c r="M5798" i="50"/>
  <c r="N5797" i="50"/>
  <c r="M5797" i="50"/>
  <c r="N5796" i="50"/>
  <c r="M5796" i="50"/>
  <c r="N5795" i="50"/>
  <c r="M5795" i="50"/>
  <c r="N5794" i="50"/>
  <c r="M5794" i="50"/>
  <c r="N5793" i="50"/>
  <c r="M5793" i="50"/>
  <c r="N5792" i="50"/>
  <c r="M5792" i="50"/>
  <c r="N5791" i="50"/>
  <c r="M5791" i="50"/>
  <c r="N5790" i="50"/>
  <c r="M5790" i="50"/>
  <c r="N5789" i="50"/>
  <c r="M5789" i="50"/>
  <c r="N5788" i="50"/>
  <c r="M5788" i="50"/>
  <c r="N5787" i="50"/>
  <c r="M5787" i="50"/>
  <c r="N5786" i="50"/>
  <c r="M5786" i="50"/>
  <c r="N5785" i="50"/>
  <c r="M5785" i="50"/>
  <c r="N5784" i="50"/>
  <c r="M5784" i="50"/>
  <c r="N5783" i="50"/>
  <c r="M5783" i="50"/>
  <c r="N5782" i="50"/>
  <c r="M5782" i="50"/>
  <c r="N5781" i="50"/>
  <c r="M5781" i="50"/>
  <c r="N5780" i="50"/>
  <c r="M5780" i="50"/>
  <c r="N5779" i="50"/>
  <c r="M5779" i="50"/>
  <c r="N5778" i="50"/>
  <c r="M5778" i="50"/>
  <c r="N5777" i="50"/>
  <c r="M5777" i="50"/>
  <c r="N5776" i="50"/>
  <c r="M5776" i="50"/>
  <c r="N5775" i="50"/>
  <c r="M5775" i="50"/>
  <c r="N5774" i="50"/>
  <c r="M5774" i="50"/>
  <c r="N5773" i="50"/>
  <c r="M5773" i="50"/>
  <c r="N5772" i="50"/>
  <c r="M5772" i="50"/>
  <c r="N5771" i="50"/>
  <c r="M5771" i="50"/>
  <c r="N5770" i="50"/>
  <c r="M5770" i="50"/>
  <c r="N5769" i="50"/>
  <c r="M5769" i="50"/>
  <c r="N5768" i="50"/>
  <c r="M5768" i="50"/>
  <c r="N5767" i="50"/>
  <c r="M5767" i="50"/>
  <c r="N5766" i="50"/>
  <c r="M5766" i="50"/>
  <c r="N5765" i="50"/>
  <c r="M5765" i="50"/>
  <c r="N5764" i="50"/>
  <c r="M5764" i="50"/>
  <c r="N5763" i="50"/>
  <c r="M5763" i="50"/>
  <c r="N5762" i="50"/>
  <c r="M5762" i="50"/>
  <c r="N5761" i="50"/>
  <c r="M5761" i="50"/>
  <c r="N5760" i="50"/>
  <c r="M5760" i="50"/>
  <c r="N5759" i="50"/>
  <c r="M5759" i="50"/>
  <c r="N5758" i="50"/>
  <c r="M5758" i="50"/>
  <c r="N5757" i="50"/>
  <c r="M5757" i="50"/>
  <c r="N5756" i="50"/>
  <c r="M5756" i="50"/>
  <c r="N5755" i="50"/>
  <c r="M5755" i="50"/>
  <c r="N5754" i="50"/>
  <c r="M5754" i="50"/>
  <c r="N5753" i="50"/>
  <c r="M5753" i="50"/>
  <c r="N5752" i="50"/>
  <c r="M5752" i="50"/>
  <c r="N5751" i="50"/>
  <c r="M5751" i="50"/>
  <c r="N5750" i="50"/>
  <c r="M5750" i="50"/>
  <c r="N5749" i="50"/>
  <c r="M5749" i="50"/>
  <c r="N5748" i="50"/>
  <c r="M5748" i="50"/>
  <c r="N5747" i="50"/>
  <c r="M5747" i="50"/>
  <c r="N5746" i="50"/>
  <c r="M5746" i="50"/>
  <c r="N5745" i="50"/>
  <c r="M5745" i="50"/>
  <c r="N5744" i="50"/>
  <c r="M5744" i="50"/>
  <c r="N5743" i="50"/>
  <c r="M5743" i="50"/>
  <c r="N5742" i="50"/>
  <c r="M5742" i="50"/>
  <c r="N5741" i="50"/>
  <c r="M5741" i="50"/>
  <c r="N5740" i="50"/>
  <c r="M5740" i="50"/>
  <c r="N5739" i="50"/>
  <c r="M5739" i="50"/>
  <c r="N5738" i="50"/>
  <c r="M5738" i="50"/>
  <c r="N5737" i="50"/>
  <c r="M5737" i="50"/>
  <c r="N5736" i="50"/>
  <c r="M5736" i="50"/>
  <c r="N5735" i="50"/>
  <c r="M5735" i="50"/>
  <c r="N5734" i="50"/>
  <c r="M5734" i="50"/>
  <c r="N5733" i="50"/>
  <c r="M5733" i="50"/>
  <c r="N5732" i="50"/>
  <c r="M5732" i="50"/>
  <c r="N5731" i="50"/>
  <c r="M5731" i="50"/>
  <c r="N5730" i="50"/>
  <c r="M5730" i="50"/>
  <c r="N5729" i="50"/>
  <c r="M5729" i="50"/>
  <c r="N5728" i="50"/>
  <c r="M5728" i="50"/>
  <c r="N5727" i="50"/>
  <c r="M5727" i="50"/>
  <c r="N5726" i="50"/>
  <c r="M5726" i="50"/>
  <c r="N5725" i="50"/>
  <c r="M5725" i="50"/>
  <c r="N5724" i="50"/>
  <c r="M5724" i="50"/>
  <c r="N5723" i="50"/>
  <c r="M5723" i="50"/>
  <c r="N5722" i="50"/>
  <c r="M5722" i="50"/>
  <c r="N5721" i="50"/>
  <c r="M5721" i="50"/>
  <c r="N5720" i="50"/>
  <c r="M5720" i="50"/>
  <c r="N5719" i="50"/>
  <c r="M5719" i="50"/>
  <c r="N5718" i="50"/>
  <c r="M5718" i="50"/>
  <c r="N5717" i="50"/>
  <c r="M5717" i="50"/>
  <c r="N5716" i="50"/>
  <c r="M5716" i="50"/>
  <c r="N5715" i="50"/>
  <c r="M5715" i="50"/>
  <c r="N5714" i="50"/>
  <c r="M5714" i="50"/>
  <c r="N5713" i="50"/>
  <c r="M5713" i="50"/>
  <c r="N5712" i="50"/>
  <c r="M5712" i="50"/>
  <c r="N5711" i="50"/>
  <c r="M5711" i="50"/>
  <c r="N5710" i="50"/>
  <c r="M5710" i="50"/>
  <c r="N5709" i="50"/>
  <c r="M5709" i="50"/>
  <c r="N5708" i="50"/>
  <c r="M5708" i="50"/>
  <c r="N5707" i="50"/>
  <c r="M5707" i="50"/>
  <c r="N5706" i="50"/>
  <c r="M5706" i="50"/>
  <c r="N5705" i="50"/>
  <c r="M5705" i="50"/>
  <c r="N5704" i="50"/>
  <c r="M5704" i="50"/>
  <c r="N5703" i="50"/>
  <c r="M5703" i="50"/>
  <c r="N5702" i="50"/>
  <c r="M5702" i="50"/>
  <c r="N5701" i="50"/>
  <c r="M5701" i="50"/>
  <c r="N5700" i="50"/>
  <c r="M5700" i="50"/>
  <c r="N5699" i="50"/>
  <c r="M5699" i="50"/>
  <c r="N5698" i="50"/>
  <c r="M5698" i="50"/>
  <c r="N5697" i="50"/>
  <c r="M5697" i="50"/>
  <c r="N5696" i="50"/>
  <c r="M5696" i="50"/>
  <c r="N5695" i="50"/>
  <c r="M5695" i="50"/>
  <c r="N5694" i="50"/>
  <c r="M5694" i="50"/>
  <c r="N5693" i="50"/>
  <c r="M5693" i="50"/>
  <c r="N5692" i="50"/>
  <c r="M5692" i="50"/>
  <c r="N5691" i="50"/>
  <c r="M5691" i="50"/>
  <c r="N5690" i="50"/>
  <c r="M5690" i="50"/>
  <c r="N5689" i="50"/>
  <c r="M5689" i="50"/>
  <c r="N5688" i="50"/>
  <c r="M5688" i="50"/>
  <c r="N5687" i="50"/>
  <c r="M5687" i="50"/>
  <c r="N5686" i="50"/>
  <c r="M5686" i="50"/>
  <c r="N5685" i="50"/>
  <c r="M5685" i="50"/>
  <c r="N5684" i="50"/>
  <c r="M5684" i="50"/>
  <c r="N5683" i="50"/>
  <c r="M5683" i="50"/>
  <c r="N5682" i="50"/>
  <c r="M5682" i="50"/>
  <c r="N5681" i="50"/>
  <c r="M5681" i="50"/>
  <c r="N5680" i="50"/>
  <c r="M5680" i="50"/>
  <c r="N5679" i="50"/>
  <c r="M5679" i="50"/>
  <c r="N5678" i="50"/>
  <c r="M5678" i="50"/>
  <c r="N5677" i="50"/>
  <c r="M5677" i="50"/>
  <c r="N5676" i="50"/>
  <c r="M5676" i="50"/>
  <c r="N5675" i="50"/>
  <c r="M5675" i="50"/>
  <c r="N5674" i="50"/>
  <c r="M5674" i="50"/>
  <c r="N5673" i="50"/>
  <c r="M5673" i="50"/>
  <c r="N5672" i="50"/>
  <c r="M5672" i="50"/>
  <c r="N5671" i="50"/>
  <c r="M5671" i="50"/>
  <c r="N5670" i="50"/>
  <c r="M5670" i="50"/>
  <c r="N5669" i="50"/>
  <c r="M5669" i="50"/>
  <c r="N5668" i="50"/>
  <c r="M5668" i="50"/>
  <c r="N5667" i="50"/>
  <c r="M5667" i="50"/>
  <c r="N5666" i="50"/>
  <c r="M5666" i="50"/>
  <c r="N5665" i="50"/>
  <c r="M5665" i="50"/>
  <c r="N5664" i="50"/>
  <c r="M5664" i="50"/>
  <c r="N5663" i="50"/>
  <c r="M5663" i="50"/>
  <c r="N5662" i="50"/>
  <c r="M5662" i="50"/>
  <c r="N5661" i="50"/>
  <c r="M5661" i="50"/>
  <c r="N5660" i="50"/>
  <c r="M5660" i="50"/>
  <c r="N5659" i="50"/>
  <c r="M5659" i="50"/>
  <c r="N5658" i="50"/>
  <c r="M5658" i="50"/>
  <c r="N5657" i="50"/>
  <c r="M5657" i="50"/>
  <c r="N5656" i="50"/>
  <c r="M5656" i="50"/>
  <c r="N5655" i="50"/>
  <c r="M5655" i="50"/>
  <c r="N5654" i="50"/>
  <c r="M5654" i="50"/>
  <c r="N5653" i="50"/>
  <c r="M5653" i="50"/>
  <c r="N5652" i="50"/>
  <c r="M5652" i="50"/>
  <c r="N5651" i="50"/>
  <c r="M5651" i="50"/>
  <c r="N5650" i="50"/>
  <c r="M5650" i="50"/>
  <c r="N5649" i="50"/>
  <c r="M5649" i="50"/>
  <c r="N5648" i="50"/>
  <c r="M5648" i="50"/>
  <c r="N5647" i="50"/>
  <c r="M5647" i="50"/>
  <c r="N5646" i="50"/>
  <c r="M5646" i="50"/>
  <c r="N5645" i="50"/>
  <c r="M5645" i="50"/>
  <c r="N5644" i="50"/>
  <c r="M5644" i="50"/>
  <c r="N5643" i="50"/>
  <c r="M5643" i="50"/>
  <c r="N5642" i="50"/>
  <c r="M5642" i="50"/>
  <c r="N5641" i="50"/>
  <c r="M5641" i="50"/>
  <c r="N5640" i="50"/>
  <c r="M5640" i="50"/>
  <c r="N5639" i="50"/>
  <c r="M5639" i="50"/>
  <c r="N5638" i="50"/>
  <c r="M5638" i="50"/>
  <c r="N5637" i="50"/>
  <c r="M5637" i="50"/>
  <c r="N5636" i="50"/>
  <c r="M5636" i="50"/>
  <c r="N5635" i="50"/>
  <c r="M5635" i="50"/>
  <c r="N5634" i="50"/>
  <c r="M5634" i="50"/>
  <c r="N5633" i="50"/>
  <c r="M5633" i="50"/>
  <c r="N5632" i="50"/>
  <c r="M5632" i="50"/>
  <c r="N5631" i="50"/>
  <c r="M5631" i="50"/>
  <c r="N5630" i="50"/>
  <c r="M5630" i="50"/>
  <c r="N5629" i="50"/>
  <c r="M5629" i="50"/>
  <c r="N5628" i="50"/>
  <c r="M5628" i="50"/>
  <c r="N5627" i="50"/>
  <c r="M5627" i="50"/>
  <c r="N5626" i="50"/>
  <c r="M5626" i="50"/>
  <c r="N5625" i="50"/>
  <c r="M5625" i="50"/>
  <c r="N5624" i="50"/>
  <c r="M5624" i="50"/>
  <c r="N5623" i="50"/>
  <c r="M5623" i="50"/>
  <c r="N5622" i="50"/>
  <c r="M5622" i="50"/>
  <c r="N5621" i="50"/>
  <c r="M5621" i="50"/>
  <c r="N5620" i="50"/>
  <c r="M5620" i="50"/>
  <c r="N5619" i="50"/>
  <c r="M5619" i="50"/>
  <c r="N5618" i="50"/>
  <c r="M5618" i="50"/>
  <c r="N5617" i="50"/>
  <c r="M5617" i="50"/>
  <c r="N5616" i="50"/>
  <c r="M5616" i="50"/>
  <c r="N5615" i="50"/>
  <c r="M5615" i="50"/>
  <c r="N5614" i="50"/>
  <c r="M5614" i="50"/>
  <c r="N5613" i="50"/>
  <c r="M5613" i="50"/>
  <c r="N5612" i="50"/>
  <c r="M5612" i="50"/>
  <c r="N5611" i="50"/>
  <c r="M5611" i="50"/>
  <c r="N5610" i="50"/>
  <c r="M5610" i="50"/>
  <c r="N5609" i="50"/>
  <c r="M5609" i="50"/>
  <c r="N5608" i="50"/>
  <c r="M5608" i="50"/>
  <c r="N5607" i="50"/>
  <c r="M5607" i="50"/>
  <c r="N5606" i="50"/>
  <c r="M5606" i="50"/>
  <c r="N5605" i="50"/>
  <c r="M5605" i="50"/>
  <c r="N5604" i="50"/>
  <c r="M5604" i="50"/>
  <c r="N5603" i="50"/>
  <c r="M5603" i="50"/>
  <c r="N5602" i="50"/>
  <c r="M5602" i="50"/>
  <c r="N5601" i="50"/>
  <c r="M5601" i="50"/>
  <c r="N5600" i="50"/>
  <c r="M5600" i="50"/>
  <c r="N5599" i="50"/>
  <c r="M5599" i="50"/>
  <c r="N5598" i="50"/>
  <c r="M5598" i="50"/>
  <c r="N5597" i="50"/>
  <c r="M5597" i="50"/>
  <c r="N5596" i="50"/>
  <c r="M5596" i="50"/>
  <c r="N5595" i="50"/>
  <c r="M5595" i="50"/>
  <c r="N5594" i="50"/>
  <c r="M5594" i="50"/>
  <c r="N5593" i="50"/>
  <c r="M5593" i="50"/>
  <c r="N5592" i="50"/>
  <c r="M5592" i="50"/>
  <c r="N5591" i="50"/>
  <c r="M5591" i="50"/>
  <c r="N5590" i="50"/>
  <c r="M5590" i="50"/>
  <c r="N5589" i="50"/>
  <c r="M5589" i="50"/>
  <c r="N5588" i="50"/>
  <c r="M5588" i="50"/>
  <c r="N5587" i="50"/>
  <c r="M5587" i="50"/>
  <c r="N5586" i="50"/>
  <c r="M5586" i="50"/>
  <c r="N5585" i="50"/>
  <c r="M5585" i="50"/>
  <c r="N5584" i="50"/>
  <c r="M5584" i="50"/>
  <c r="N5583" i="50"/>
  <c r="M5583" i="50"/>
  <c r="N5582" i="50"/>
  <c r="M5582" i="50"/>
  <c r="N5581" i="50"/>
  <c r="M5581" i="50"/>
  <c r="N5580" i="50"/>
  <c r="M5580" i="50"/>
  <c r="N5579" i="50"/>
  <c r="M5579" i="50"/>
  <c r="N5578" i="50"/>
  <c r="M5578" i="50"/>
  <c r="N5577" i="50"/>
  <c r="M5577" i="50"/>
  <c r="N5576" i="50"/>
  <c r="M5576" i="50"/>
  <c r="N5575" i="50"/>
  <c r="M5575" i="50"/>
  <c r="N5574" i="50"/>
  <c r="M5574" i="50"/>
  <c r="N5573" i="50"/>
  <c r="M5573" i="50"/>
  <c r="N5572" i="50"/>
  <c r="M5572" i="50"/>
  <c r="N5571" i="50"/>
  <c r="M5571" i="50"/>
  <c r="N5570" i="50"/>
  <c r="M5570" i="50"/>
  <c r="N5569" i="50"/>
  <c r="M5569" i="50"/>
  <c r="N5568" i="50"/>
  <c r="M5568" i="50"/>
  <c r="N5567" i="50"/>
  <c r="M5567" i="50"/>
  <c r="N5566" i="50"/>
  <c r="M5566" i="50"/>
  <c r="N5565" i="50"/>
  <c r="M5565" i="50"/>
  <c r="N5564" i="50"/>
  <c r="M5564" i="50"/>
  <c r="N5563" i="50"/>
  <c r="M5563" i="50"/>
  <c r="N5562" i="50"/>
  <c r="M5562" i="50"/>
  <c r="N5561" i="50"/>
  <c r="M5561" i="50"/>
  <c r="N5560" i="50"/>
  <c r="M5560" i="50"/>
  <c r="N5559" i="50"/>
  <c r="M5559" i="50"/>
  <c r="N5558" i="50"/>
  <c r="M5558" i="50"/>
  <c r="N5557" i="50"/>
  <c r="M5557" i="50"/>
  <c r="N5556" i="50"/>
  <c r="M5556" i="50"/>
  <c r="N5555" i="50"/>
  <c r="M5555" i="50"/>
  <c r="N5554" i="50"/>
  <c r="M5554" i="50"/>
  <c r="N5553" i="50"/>
  <c r="M5553" i="50"/>
  <c r="N5552" i="50"/>
  <c r="M5552" i="50"/>
  <c r="N5551" i="50"/>
  <c r="M5551" i="50"/>
  <c r="N5550" i="50"/>
  <c r="M5550" i="50"/>
  <c r="N5549" i="50"/>
  <c r="M5549" i="50"/>
  <c r="N5548" i="50"/>
  <c r="M5548" i="50"/>
  <c r="N5547" i="50"/>
  <c r="M5547" i="50"/>
  <c r="N5546" i="50"/>
  <c r="M5546" i="50"/>
  <c r="N5545" i="50"/>
  <c r="M5545" i="50"/>
  <c r="N5544" i="50"/>
  <c r="M5544" i="50"/>
  <c r="N5543" i="50"/>
  <c r="M5543" i="50"/>
  <c r="N5542" i="50"/>
  <c r="M5542" i="50"/>
  <c r="N5541" i="50"/>
  <c r="M5541" i="50"/>
  <c r="N5540" i="50"/>
  <c r="M5540" i="50"/>
  <c r="N5539" i="50"/>
  <c r="M5539" i="50"/>
  <c r="N5538" i="50"/>
  <c r="M5538" i="50"/>
  <c r="N5537" i="50"/>
  <c r="M5537" i="50"/>
  <c r="N5536" i="50"/>
  <c r="M5536" i="50"/>
  <c r="N5535" i="50"/>
  <c r="M5535" i="50"/>
  <c r="N5534" i="50"/>
  <c r="M5534" i="50"/>
  <c r="N5533" i="50"/>
  <c r="M5533" i="50"/>
  <c r="N5532" i="50"/>
  <c r="M5532" i="50"/>
  <c r="N5531" i="50"/>
  <c r="M5531" i="50"/>
  <c r="N5530" i="50"/>
  <c r="M5530" i="50"/>
  <c r="N5529" i="50"/>
  <c r="M5529" i="50"/>
  <c r="N5528" i="50"/>
  <c r="M5528" i="50"/>
  <c r="N5527" i="50"/>
  <c r="M5527" i="50"/>
  <c r="N5526" i="50"/>
  <c r="M5526" i="50"/>
  <c r="N5525" i="50"/>
  <c r="M5525" i="50"/>
  <c r="N5524" i="50"/>
  <c r="M5524" i="50"/>
  <c r="N5523" i="50"/>
  <c r="M5523" i="50"/>
  <c r="N5522" i="50"/>
  <c r="M5522" i="50"/>
  <c r="N5521" i="50"/>
  <c r="M5521" i="50"/>
  <c r="N5520" i="50"/>
  <c r="M5520" i="50"/>
  <c r="N5519" i="50"/>
  <c r="M5519" i="50"/>
  <c r="N5518" i="50"/>
  <c r="M5518" i="50"/>
  <c r="N5517" i="50"/>
  <c r="M5517" i="50"/>
  <c r="N5516" i="50"/>
  <c r="M5516" i="50"/>
  <c r="N5515" i="50"/>
  <c r="M5515" i="50"/>
  <c r="N5514" i="50"/>
  <c r="M5514" i="50"/>
  <c r="N5513" i="50"/>
  <c r="M5513" i="50"/>
  <c r="N5512" i="50"/>
  <c r="M5512" i="50"/>
  <c r="N5511" i="50"/>
  <c r="M5511" i="50"/>
  <c r="N5510" i="50"/>
  <c r="M5510" i="50"/>
  <c r="N5509" i="50"/>
  <c r="M5509" i="50"/>
  <c r="N5508" i="50"/>
  <c r="M5508" i="50"/>
  <c r="N5507" i="50"/>
  <c r="M5507" i="50"/>
  <c r="N5506" i="50"/>
  <c r="M5506" i="50"/>
  <c r="N5505" i="50"/>
  <c r="M5505" i="50"/>
  <c r="N5504" i="50"/>
  <c r="M5504" i="50"/>
  <c r="N5503" i="50"/>
  <c r="M5503" i="50"/>
  <c r="N5502" i="50"/>
  <c r="M5502" i="50"/>
  <c r="N5501" i="50"/>
  <c r="M5501" i="50"/>
  <c r="N5500" i="50"/>
  <c r="M5500" i="50"/>
  <c r="N5499" i="50"/>
  <c r="M5499" i="50"/>
  <c r="N5498" i="50"/>
  <c r="M5498" i="50"/>
  <c r="N5497" i="50"/>
  <c r="M5497" i="50"/>
  <c r="N5496" i="50"/>
  <c r="M5496" i="50"/>
  <c r="N5495" i="50"/>
  <c r="M5495" i="50"/>
  <c r="N5494" i="50"/>
  <c r="M5494" i="50"/>
  <c r="N5493" i="50"/>
  <c r="M5493" i="50"/>
  <c r="N5492" i="50"/>
  <c r="M5492" i="50"/>
  <c r="N5491" i="50"/>
  <c r="M5491" i="50"/>
  <c r="N5490" i="50"/>
  <c r="M5490" i="50"/>
  <c r="N5489" i="50"/>
  <c r="M5489" i="50"/>
  <c r="N5488" i="50"/>
  <c r="M5488" i="50"/>
  <c r="N5487" i="50"/>
  <c r="M5487" i="50"/>
  <c r="N5486" i="50"/>
  <c r="M5486" i="50"/>
  <c r="N5485" i="50"/>
  <c r="M5485" i="50"/>
  <c r="N5484" i="50"/>
  <c r="M5484" i="50"/>
  <c r="N5483" i="50"/>
  <c r="M5483" i="50"/>
  <c r="N5482" i="50"/>
  <c r="M5482" i="50"/>
  <c r="N5481" i="50"/>
  <c r="M5481" i="50"/>
  <c r="N5480" i="50"/>
  <c r="M5480" i="50"/>
  <c r="N5479" i="50"/>
  <c r="M5479" i="50"/>
  <c r="N5478" i="50"/>
  <c r="M5478" i="50"/>
  <c r="N5477" i="50"/>
  <c r="M5477" i="50"/>
  <c r="N5476" i="50"/>
  <c r="M5476" i="50"/>
  <c r="N5475" i="50"/>
  <c r="M5475" i="50"/>
  <c r="N5474" i="50"/>
  <c r="M5474" i="50"/>
  <c r="N5473" i="50"/>
  <c r="M5473" i="50"/>
  <c r="N5472" i="50"/>
  <c r="M5472" i="50"/>
  <c r="N5471" i="50"/>
  <c r="M5471" i="50"/>
  <c r="N5470" i="50"/>
  <c r="M5470" i="50"/>
  <c r="N5469" i="50"/>
  <c r="M5469" i="50"/>
  <c r="N5468" i="50"/>
  <c r="M5468" i="50"/>
  <c r="N5467" i="50"/>
  <c r="M5467" i="50"/>
  <c r="N5466" i="50"/>
  <c r="M5466" i="50"/>
  <c r="N5465" i="50"/>
  <c r="M5465" i="50"/>
  <c r="N5464" i="50"/>
  <c r="M5464" i="50"/>
  <c r="N5463" i="50"/>
  <c r="M5463" i="50"/>
  <c r="N5462" i="50"/>
  <c r="M5462" i="50"/>
  <c r="N5461" i="50"/>
  <c r="M5461" i="50"/>
  <c r="N5460" i="50"/>
  <c r="M5460" i="50"/>
  <c r="N5459" i="50"/>
  <c r="M5459" i="50"/>
  <c r="N5458" i="50"/>
  <c r="M5458" i="50"/>
  <c r="N5457" i="50"/>
  <c r="M5457" i="50"/>
  <c r="N5456" i="50"/>
  <c r="M5456" i="50"/>
  <c r="N5455" i="50"/>
  <c r="M5455" i="50"/>
  <c r="N5454" i="50"/>
  <c r="M5454" i="50"/>
  <c r="N5453" i="50"/>
  <c r="M5453" i="50"/>
  <c r="N5452" i="50"/>
  <c r="M5452" i="50"/>
  <c r="N5451" i="50"/>
  <c r="M5451" i="50"/>
  <c r="N5450" i="50"/>
  <c r="M5450" i="50"/>
  <c r="N5449" i="50"/>
  <c r="M5449" i="50"/>
  <c r="N5448" i="50"/>
  <c r="M5448" i="50"/>
  <c r="N5447" i="50"/>
  <c r="M5447" i="50"/>
  <c r="N5446" i="50"/>
  <c r="M5446" i="50"/>
  <c r="N5445" i="50"/>
  <c r="M5445" i="50"/>
  <c r="N5444" i="50"/>
  <c r="M5444" i="50"/>
  <c r="N5443" i="50"/>
  <c r="M5443" i="50"/>
  <c r="N5442" i="50"/>
  <c r="M5442" i="50"/>
  <c r="N5441" i="50"/>
  <c r="M5441" i="50"/>
  <c r="N5440" i="50"/>
  <c r="M5440" i="50"/>
  <c r="N5439" i="50"/>
  <c r="M5439" i="50"/>
  <c r="N5438" i="50"/>
  <c r="M5438" i="50"/>
  <c r="N5437" i="50"/>
  <c r="M5437" i="50"/>
  <c r="N5436" i="50"/>
  <c r="M5436" i="50"/>
  <c r="N5435" i="50"/>
  <c r="M5435" i="50"/>
  <c r="N5434" i="50"/>
  <c r="M5434" i="50"/>
  <c r="N5433" i="50"/>
  <c r="M5433" i="50"/>
  <c r="N5432" i="50"/>
  <c r="M5432" i="50"/>
  <c r="N5431" i="50"/>
  <c r="M5431" i="50"/>
  <c r="N5430" i="50"/>
  <c r="M5430" i="50"/>
  <c r="N5429" i="50"/>
  <c r="M5429" i="50"/>
  <c r="N5428" i="50"/>
  <c r="M5428" i="50"/>
  <c r="N5427" i="50"/>
  <c r="M5427" i="50"/>
  <c r="N5426" i="50"/>
  <c r="M5426" i="50"/>
  <c r="N5425" i="50"/>
  <c r="M5425" i="50"/>
  <c r="N5424" i="50"/>
  <c r="M5424" i="50"/>
  <c r="N5423" i="50"/>
  <c r="M5423" i="50"/>
  <c r="N5422" i="50"/>
  <c r="M5422" i="50"/>
  <c r="N5421" i="50"/>
  <c r="M5421" i="50"/>
  <c r="N5420" i="50"/>
  <c r="M5420" i="50"/>
  <c r="N5419" i="50"/>
  <c r="M5419" i="50"/>
  <c r="N5418" i="50"/>
  <c r="M5418" i="50"/>
  <c r="N5417" i="50"/>
  <c r="M5417" i="50"/>
  <c r="N5416" i="50"/>
  <c r="M5416" i="50"/>
  <c r="N5415" i="50"/>
  <c r="M5415" i="50"/>
  <c r="N5414" i="50"/>
  <c r="M5414" i="50"/>
  <c r="N5413" i="50"/>
  <c r="M5413" i="50"/>
  <c r="N5412" i="50"/>
  <c r="M5412" i="50"/>
  <c r="N5411" i="50"/>
  <c r="M5411" i="50"/>
  <c r="N5410" i="50"/>
  <c r="M5410" i="50"/>
  <c r="N5409" i="50"/>
  <c r="M5409" i="50"/>
  <c r="N5408" i="50"/>
  <c r="M5408" i="50"/>
  <c r="N5407" i="50"/>
  <c r="M5407" i="50"/>
  <c r="N5406" i="50"/>
  <c r="M5406" i="50"/>
  <c r="N5405" i="50"/>
  <c r="M5405" i="50"/>
  <c r="N5404" i="50"/>
  <c r="M5404" i="50"/>
  <c r="N5403" i="50"/>
  <c r="M5403" i="50"/>
  <c r="N5402" i="50"/>
  <c r="M5402" i="50"/>
  <c r="N5401" i="50"/>
  <c r="M5401" i="50"/>
  <c r="N5400" i="50"/>
  <c r="M5400" i="50"/>
  <c r="N5399" i="50"/>
  <c r="M5399" i="50"/>
  <c r="N5398" i="50"/>
  <c r="M5398" i="50"/>
  <c r="N5397" i="50"/>
  <c r="M5397" i="50"/>
  <c r="N5396" i="50"/>
  <c r="M5396" i="50"/>
  <c r="N5395" i="50"/>
  <c r="M5395" i="50"/>
  <c r="N5394" i="50"/>
  <c r="M5394" i="50"/>
  <c r="N5393" i="50"/>
  <c r="M5393" i="50"/>
  <c r="N5392" i="50"/>
  <c r="M5392" i="50"/>
  <c r="N5391" i="50"/>
  <c r="M5391" i="50"/>
  <c r="N5390" i="50"/>
  <c r="M5390" i="50"/>
  <c r="N5389" i="50"/>
  <c r="M5389" i="50"/>
  <c r="N5388" i="50"/>
  <c r="M5388" i="50"/>
  <c r="N5387" i="50"/>
  <c r="M5387" i="50"/>
  <c r="N5386" i="50"/>
  <c r="M5386" i="50"/>
  <c r="N5385" i="50"/>
  <c r="M5385" i="50"/>
  <c r="N5384" i="50"/>
  <c r="M5384" i="50"/>
  <c r="N5383" i="50"/>
  <c r="M5383" i="50"/>
  <c r="N5382" i="50"/>
  <c r="M5382" i="50"/>
  <c r="N5381" i="50"/>
  <c r="M5381" i="50"/>
  <c r="N5380" i="50"/>
  <c r="M5380" i="50"/>
  <c r="N5379" i="50"/>
  <c r="M5379" i="50"/>
  <c r="N5378" i="50"/>
  <c r="M5378" i="50"/>
  <c r="N5377" i="50"/>
  <c r="M5377" i="50"/>
  <c r="N5376" i="50"/>
  <c r="M5376" i="50"/>
  <c r="N5375" i="50"/>
  <c r="M5375" i="50"/>
  <c r="N5374" i="50"/>
  <c r="M5374" i="50"/>
  <c r="N5373" i="50"/>
  <c r="M5373" i="50"/>
  <c r="N5372" i="50"/>
  <c r="M5372" i="50"/>
  <c r="N5371" i="50"/>
  <c r="M5371" i="50"/>
  <c r="N5370" i="50"/>
  <c r="M5370" i="50"/>
  <c r="N5369" i="50"/>
  <c r="M5369" i="50"/>
  <c r="N5368" i="50"/>
  <c r="M5368" i="50"/>
  <c r="N5367" i="50"/>
  <c r="M5367" i="50"/>
  <c r="N5366" i="50"/>
  <c r="M5366" i="50"/>
  <c r="N5365" i="50"/>
  <c r="M5365" i="50"/>
  <c r="N5364" i="50"/>
  <c r="M5364" i="50"/>
  <c r="N5363" i="50"/>
  <c r="M5363" i="50"/>
  <c r="N5362" i="50"/>
  <c r="M5362" i="50"/>
  <c r="N5361" i="50"/>
  <c r="M5361" i="50"/>
  <c r="N5360" i="50"/>
  <c r="M5360" i="50"/>
  <c r="N5359" i="50"/>
  <c r="M5359" i="50"/>
  <c r="N5358" i="50"/>
  <c r="M5358" i="50"/>
  <c r="N5357" i="50"/>
  <c r="M5357" i="50"/>
  <c r="N5356" i="50"/>
  <c r="M5356" i="50"/>
  <c r="N5355" i="50"/>
  <c r="M5355" i="50"/>
  <c r="N5354" i="50"/>
  <c r="M5354" i="50"/>
  <c r="N5353" i="50"/>
  <c r="M5353" i="50"/>
  <c r="N5352" i="50"/>
  <c r="M5352" i="50"/>
  <c r="N5351" i="50"/>
  <c r="M5351" i="50"/>
  <c r="N5350" i="50"/>
  <c r="M5350" i="50"/>
  <c r="N5349" i="50"/>
  <c r="M5349" i="50"/>
  <c r="N5348" i="50"/>
  <c r="M5348" i="50"/>
  <c r="N5347" i="50"/>
  <c r="M5347" i="50"/>
  <c r="N5346" i="50"/>
  <c r="M5346" i="50"/>
  <c r="N5345" i="50"/>
  <c r="M5345" i="50"/>
  <c r="N5344" i="50"/>
  <c r="M5344" i="50"/>
  <c r="N5343" i="50"/>
  <c r="M5343" i="50"/>
  <c r="N5342" i="50"/>
  <c r="M5342" i="50"/>
  <c r="N5341" i="50"/>
  <c r="M5341" i="50"/>
  <c r="N5340" i="50"/>
  <c r="M5340" i="50"/>
  <c r="N5339" i="50"/>
  <c r="M5339" i="50"/>
  <c r="N5338" i="50"/>
  <c r="M5338" i="50"/>
  <c r="N5337" i="50"/>
  <c r="M5337" i="50"/>
  <c r="N5336" i="50"/>
  <c r="M5336" i="50"/>
  <c r="N5335" i="50"/>
  <c r="M5335" i="50"/>
  <c r="N5334" i="50"/>
  <c r="M5334" i="50"/>
  <c r="N5333" i="50"/>
  <c r="M5333" i="50"/>
  <c r="N5332" i="50"/>
  <c r="M5332" i="50"/>
  <c r="N5331" i="50"/>
  <c r="M5331" i="50"/>
  <c r="N5330" i="50"/>
  <c r="M5330" i="50"/>
  <c r="N5329" i="50"/>
  <c r="M5329" i="50"/>
  <c r="N5328" i="50"/>
  <c r="M5328" i="50"/>
  <c r="N5327" i="50"/>
  <c r="M5327" i="50"/>
  <c r="N5326" i="50"/>
  <c r="M5326" i="50"/>
  <c r="N5325" i="50"/>
  <c r="M5325" i="50"/>
  <c r="N5324" i="50"/>
  <c r="M5324" i="50"/>
  <c r="N5323" i="50"/>
  <c r="M5323" i="50"/>
  <c r="N5322" i="50"/>
  <c r="M5322" i="50"/>
  <c r="N5321" i="50"/>
  <c r="M5321" i="50"/>
  <c r="N5320" i="50"/>
  <c r="M5320" i="50"/>
  <c r="N5319" i="50"/>
  <c r="M5319" i="50"/>
  <c r="N5318" i="50"/>
  <c r="M5318" i="50"/>
  <c r="N5317" i="50"/>
  <c r="M5317" i="50"/>
  <c r="N5316" i="50"/>
  <c r="M5316" i="50"/>
  <c r="N5315" i="50"/>
  <c r="M5315" i="50"/>
  <c r="N5314" i="50"/>
  <c r="M5314" i="50"/>
  <c r="N5313" i="50"/>
  <c r="M5313" i="50"/>
  <c r="N5312" i="50"/>
  <c r="M5312" i="50"/>
  <c r="N5311" i="50"/>
  <c r="M5311" i="50"/>
  <c r="N5310" i="50"/>
  <c r="M5310" i="50"/>
  <c r="N5309" i="50"/>
  <c r="M5309" i="50"/>
  <c r="N5308" i="50"/>
  <c r="M5308" i="50"/>
  <c r="N5307" i="50"/>
  <c r="M5307" i="50"/>
  <c r="N5306" i="50"/>
  <c r="M5306" i="50"/>
  <c r="N5305" i="50"/>
  <c r="M5305" i="50"/>
  <c r="N5304" i="50"/>
  <c r="M5304" i="50"/>
  <c r="N5303" i="50"/>
  <c r="M5303" i="50"/>
  <c r="N5302" i="50"/>
  <c r="M5302" i="50"/>
  <c r="N5301" i="50"/>
  <c r="M5301" i="50"/>
  <c r="N5300" i="50"/>
  <c r="M5300" i="50"/>
  <c r="N5299" i="50"/>
  <c r="M5299" i="50"/>
  <c r="N5298" i="50"/>
  <c r="M5298" i="50"/>
  <c r="N5297" i="50"/>
  <c r="M5297" i="50"/>
  <c r="N5296" i="50"/>
  <c r="M5296" i="50"/>
  <c r="N5295" i="50"/>
  <c r="M5295" i="50"/>
  <c r="N5294" i="50"/>
  <c r="M5294" i="50"/>
  <c r="N5293" i="50"/>
  <c r="M5293" i="50"/>
  <c r="N5292" i="50"/>
  <c r="M5292" i="50"/>
  <c r="N5291" i="50"/>
  <c r="M5291" i="50"/>
  <c r="N5290" i="50"/>
  <c r="M5290" i="50"/>
  <c r="N5289" i="50"/>
  <c r="M5289" i="50"/>
  <c r="N5288" i="50"/>
  <c r="M5288" i="50"/>
  <c r="N5287" i="50"/>
  <c r="M5287" i="50"/>
  <c r="N5286" i="50"/>
  <c r="M5286" i="50"/>
  <c r="N5285" i="50"/>
  <c r="M5285" i="50"/>
  <c r="N5284" i="50"/>
  <c r="M5284" i="50"/>
  <c r="N5283" i="50"/>
  <c r="M5283" i="50"/>
  <c r="N5282" i="50"/>
  <c r="M5282" i="50"/>
  <c r="N5281" i="50"/>
  <c r="M5281" i="50"/>
  <c r="N5280" i="50"/>
  <c r="M5280" i="50"/>
  <c r="N5279" i="50"/>
  <c r="M5279" i="50"/>
  <c r="N5278" i="50"/>
  <c r="M5278" i="50"/>
  <c r="N5277" i="50"/>
  <c r="M5277" i="50"/>
  <c r="N5276" i="50"/>
  <c r="M5276" i="50"/>
  <c r="N5275" i="50"/>
  <c r="M5275" i="50"/>
  <c r="N5274" i="50"/>
  <c r="M5274" i="50"/>
  <c r="N5273" i="50"/>
  <c r="M5273" i="50"/>
  <c r="N5272" i="50"/>
  <c r="M5272" i="50"/>
  <c r="N5271" i="50"/>
  <c r="M5271" i="50"/>
  <c r="N5270" i="50"/>
  <c r="M5270" i="50"/>
  <c r="N5269" i="50"/>
  <c r="M5269" i="50"/>
  <c r="N5268" i="50"/>
  <c r="M5268" i="50"/>
  <c r="N5267" i="50"/>
  <c r="M5267" i="50"/>
  <c r="N5266" i="50"/>
  <c r="M5266" i="50"/>
  <c r="N5265" i="50"/>
  <c r="M5265" i="50"/>
  <c r="N5264" i="50"/>
  <c r="M5264" i="50"/>
  <c r="N5263" i="50"/>
  <c r="M5263" i="50"/>
  <c r="N5262" i="50"/>
  <c r="M5262" i="50"/>
  <c r="N5261" i="50"/>
  <c r="M5261" i="50"/>
  <c r="N5260" i="50"/>
  <c r="M5260" i="50"/>
  <c r="N5259" i="50"/>
  <c r="M5259" i="50"/>
  <c r="N5258" i="50"/>
  <c r="M5258" i="50"/>
  <c r="N5257" i="50"/>
  <c r="M5257" i="50"/>
  <c r="N5256" i="50"/>
  <c r="M5256" i="50"/>
  <c r="N5255" i="50"/>
  <c r="M5255" i="50"/>
  <c r="N5254" i="50"/>
  <c r="M5254" i="50"/>
  <c r="N5253" i="50"/>
  <c r="M5253" i="50"/>
  <c r="N5252" i="50"/>
  <c r="M5252" i="50"/>
  <c r="N5251" i="50"/>
  <c r="M5251" i="50"/>
  <c r="N5250" i="50"/>
  <c r="M5250" i="50"/>
  <c r="N5249" i="50"/>
  <c r="M5249" i="50"/>
  <c r="N5248" i="50"/>
  <c r="M5248" i="50"/>
  <c r="N5247" i="50"/>
  <c r="M5247" i="50"/>
  <c r="N5246" i="50"/>
  <c r="M5246" i="50"/>
  <c r="N5245" i="50"/>
  <c r="M5245" i="50"/>
  <c r="N5244" i="50"/>
  <c r="M5244" i="50"/>
  <c r="N5243" i="50"/>
  <c r="M5243" i="50"/>
  <c r="N5242" i="50"/>
  <c r="M5242" i="50"/>
  <c r="N5241" i="50"/>
  <c r="M5241" i="50"/>
  <c r="N5240" i="50"/>
  <c r="M5240" i="50"/>
  <c r="N5239" i="50"/>
  <c r="M5239" i="50"/>
  <c r="N5238" i="50"/>
  <c r="M5238" i="50"/>
  <c r="N5237" i="50"/>
  <c r="M5237" i="50"/>
  <c r="N5236" i="50"/>
  <c r="M5236" i="50"/>
  <c r="N5235" i="50"/>
  <c r="M5235" i="50"/>
  <c r="N5234" i="50"/>
  <c r="M5234" i="50"/>
  <c r="N5233" i="50"/>
  <c r="M5233" i="50"/>
  <c r="N5232" i="50"/>
  <c r="M5232" i="50"/>
  <c r="N5231" i="50"/>
  <c r="M5231" i="50"/>
  <c r="N5230" i="50"/>
  <c r="M5230" i="50"/>
  <c r="N5229" i="50"/>
  <c r="M5229" i="50"/>
  <c r="N5228" i="50"/>
  <c r="M5228" i="50"/>
  <c r="N5227" i="50"/>
  <c r="M5227" i="50"/>
  <c r="N5226" i="50"/>
  <c r="M5226" i="50"/>
  <c r="N5225" i="50"/>
  <c r="M5225" i="50"/>
  <c r="N5224" i="50"/>
  <c r="M5224" i="50"/>
  <c r="N5223" i="50"/>
  <c r="M5223" i="50"/>
  <c r="N5222" i="50"/>
  <c r="M5222" i="50"/>
  <c r="N5221" i="50"/>
  <c r="M5221" i="50"/>
  <c r="N5220" i="50"/>
  <c r="M5220" i="50"/>
  <c r="N5219" i="50"/>
  <c r="M5219" i="50"/>
  <c r="N5218" i="50"/>
  <c r="M5218" i="50"/>
  <c r="N5217" i="50"/>
  <c r="M5217" i="50"/>
  <c r="N5216" i="50"/>
  <c r="M5216" i="50"/>
  <c r="N5215" i="50"/>
  <c r="M5215" i="50"/>
  <c r="N5214" i="50"/>
  <c r="M5214" i="50"/>
  <c r="N5213" i="50"/>
  <c r="M5213" i="50"/>
  <c r="N5212" i="50"/>
  <c r="M5212" i="50"/>
  <c r="N5211" i="50"/>
  <c r="M5211" i="50"/>
  <c r="N5210" i="50"/>
  <c r="M5210" i="50"/>
  <c r="N5209" i="50"/>
  <c r="M5209" i="50"/>
  <c r="N5208" i="50"/>
  <c r="M5208" i="50"/>
  <c r="N5207" i="50"/>
  <c r="M5207" i="50"/>
  <c r="N5206" i="50"/>
  <c r="M5206" i="50"/>
  <c r="N5205" i="50"/>
  <c r="M5205" i="50"/>
  <c r="N5204" i="50"/>
  <c r="M5204" i="50"/>
  <c r="N5203" i="50"/>
  <c r="M5203" i="50"/>
  <c r="N5202" i="50"/>
  <c r="M5202" i="50"/>
  <c r="N5201" i="50"/>
  <c r="M5201" i="50"/>
  <c r="N5200" i="50"/>
  <c r="M5200" i="50"/>
  <c r="N5199" i="50"/>
  <c r="M5199" i="50"/>
  <c r="N5198" i="50"/>
  <c r="M5198" i="50"/>
  <c r="N5197" i="50"/>
  <c r="M5197" i="50"/>
  <c r="N5196" i="50"/>
  <c r="M5196" i="50"/>
  <c r="N5195" i="50"/>
  <c r="M5195" i="50"/>
  <c r="N5194" i="50"/>
  <c r="M5194" i="50"/>
  <c r="N5193" i="50"/>
  <c r="M5193" i="50"/>
  <c r="N5192" i="50"/>
  <c r="M5192" i="50"/>
  <c r="N5191" i="50"/>
  <c r="M5191" i="50"/>
  <c r="N5190" i="50"/>
  <c r="M5190" i="50"/>
  <c r="N5189" i="50"/>
  <c r="M5189" i="50"/>
  <c r="N5188" i="50"/>
  <c r="M5188" i="50"/>
  <c r="N5187" i="50"/>
  <c r="M5187" i="50"/>
  <c r="N5186" i="50"/>
  <c r="M5186" i="50"/>
  <c r="N5185" i="50"/>
  <c r="M5185" i="50"/>
  <c r="N5184" i="50"/>
  <c r="M5184" i="50"/>
  <c r="N5183" i="50"/>
  <c r="M5183" i="50"/>
  <c r="N5182" i="50"/>
  <c r="M5182" i="50"/>
  <c r="N5181" i="50"/>
  <c r="M5181" i="50"/>
  <c r="N5180" i="50"/>
  <c r="M5180" i="50"/>
  <c r="N5179" i="50"/>
  <c r="M5179" i="50"/>
  <c r="N5178" i="50"/>
  <c r="M5178" i="50"/>
  <c r="N5177" i="50"/>
  <c r="M5177" i="50"/>
  <c r="N5176" i="50"/>
  <c r="M5176" i="50"/>
  <c r="N5175" i="50"/>
  <c r="M5175" i="50"/>
  <c r="N5174" i="50"/>
  <c r="M5174" i="50"/>
  <c r="N5173" i="50"/>
  <c r="M5173" i="50"/>
  <c r="N5172" i="50"/>
  <c r="M5172" i="50"/>
  <c r="N5171" i="50"/>
  <c r="M5171" i="50"/>
  <c r="N5170" i="50"/>
  <c r="M5170" i="50"/>
  <c r="N5169" i="50"/>
  <c r="M5169" i="50"/>
  <c r="N5168" i="50"/>
  <c r="M5168" i="50"/>
  <c r="N5167" i="50"/>
  <c r="M5167" i="50"/>
  <c r="N5166" i="50"/>
  <c r="M5166" i="50"/>
  <c r="N5165" i="50"/>
  <c r="M5165" i="50"/>
  <c r="N5164" i="50"/>
  <c r="M5164" i="50"/>
  <c r="N5163" i="50"/>
  <c r="M5163" i="50"/>
  <c r="N5162" i="50"/>
  <c r="M5162" i="50"/>
  <c r="N5161" i="50"/>
  <c r="M5161" i="50"/>
  <c r="N5160" i="50"/>
  <c r="M5160" i="50"/>
  <c r="N5159" i="50"/>
  <c r="M5159" i="50"/>
  <c r="N5158" i="50"/>
  <c r="M5158" i="50"/>
  <c r="N5157" i="50"/>
  <c r="M5157" i="50"/>
  <c r="N5156" i="50"/>
  <c r="M5156" i="50"/>
  <c r="N5155" i="50"/>
  <c r="M5155" i="50"/>
  <c r="N5154" i="50"/>
  <c r="M5154" i="50"/>
  <c r="N5153" i="50"/>
  <c r="M5153" i="50"/>
  <c r="N5152" i="50"/>
  <c r="M5152" i="50"/>
  <c r="N5151" i="50"/>
  <c r="M5151" i="50"/>
  <c r="N5150" i="50"/>
  <c r="M5150" i="50"/>
  <c r="N5149" i="50"/>
  <c r="M5149" i="50"/>
  <c r="N5148" i="50"/>
  <c r="M5148" i="50"/>
  <c r="N5147" i="50"/>
  <c r="M5147" i="50"/>
  <c r="N5146" i="50"/>
  <c r="M5146" i="50"/>
  <c r="N5145" i="50"/>
  <c r="M5145" i="50"/>
  <c r="N5144" i="50"/>
  <c r="M5144" i="50"/>
  <c r="N5143" i="50"/>
  <c r="M5143" i="50"/>
  <c r="N5142" i="50"/>
  <c r="M5142" i="50"/>
  <c r="N5141" i="50"/>
  <c r="M5141" i="50"/>
  <c r="N5140" i="50"/>
  <c r="M5140" i="50"/>
  <c r="N5139" i="50"/>
  <c r="M5139" i="50"/>
  <c r="N5138" i="50"/>
  <c r="M5138" i="50"/>
  <c r="N5137" i="50"/>
  <c r="M5137" i="50"/>
  <c r="N5136" i="50"/>
  <c r="M5136" i="50"/>
  <c r="N5135" i="50"/>
  <c r="M5135" i="50"/>
  <c r="N5134" i="50"/>
  <c r="M5134" i="50"/>
  <c r="N5133" i="50"/>
  <c r="M5133" i="50"/>
  <c r="N5132" i="50"/>
  <c r="M5132" i="50"/>
  <c r="N5131" i="50"/>
  <c r="M5131" i="50"/>
  <c r="N5130" i="50"/>
  <c r="M5130" i="50"/>
  <c r="N5129" i="50"/>
  <c r="M5129" i="50"/>
  <c r="N5128" i="50"/>
  <c r="M5128" i="50"/>
  <c r="N5127" i="50"/>
  <c r="M5127" i="50"/>
  <c r="N5126" i="50"/>
  <c r="M5126" i="50"/>
  <c r="N5125" i="50"/>
  <c r="M5125" i="50"/>
  <c r="N5124" i="50"/>
  <c r="M5124" i="50"/>
  <c r="N5123" i="50"/>
  <c r="M5123" i="50"/>
  <c r="N5122" i="50"/>
  <c r="M5122" i="50"/>
  <c r="N5121" i="50"/>
  <c r="M5121" i="50"/>
  <c r="N5120" i="50"/>
  <c r="M5120" i="50"/>
  <c r="N5119" i="50"/>
  <c r="M5119" i="50"/>
  <c r="N5118" i="50"/>
  <c r="M5118" i="50"/>
  <c r="N5117" i="50"/>
  <c r="M5117" i="50"/>
  <c r="N5116" i="50"/>
  <c r="M5116" i="50"/>
  <c r="N5115" i="50"/>
  <c r="M5115" i="50"/>
  <c r="N5114" i="50"/>
  <c r="M5114" i="50"/>
  <c r="N5113" i="50"/>
  <c r="M5113" i="50"/>
  <c r="N5112" i="50"/>
  <c r="M5112" i="50"/>
  <c r="N5111" i="50"/>
  <c r="M5111" i="50"/>
  <c r="N5110" i="50"/>
  <c r="M5110" i="50"/>
  <c r="N5109" i="50"/>
  <c r="M5109" i="50"/>
  <c r="N5108" i="50"/>
  <c r="M5108" i="50"/>
  <c r="N5107" i="50"/>
  <c r="M5107" i="50"/>
  <c r="N5106" i="50"/>
  <c r="M5106" i="50"/>
  <c r="N5105" i="50"/>
  <c r="M5105" i="50"/>
  <c r="N5104" i="50"/>
  <c r="M5104" i="50"/>
  <c r="N5103" i="50"/>
  <c r="M5103" i="50"/>
  <c r="N5102" i="50"/>
  <c r="M5102" i="50"/>
  <c r="N5101" i="50"/>
  <c r="M5101" i="50"/>
  <c r="N5100" i="50"/>
  <c r="M5100" i="50"/>
  <c r="N5099" i="50"/>
  <c r="M5099" i="50"/>
  <c r="N5098" i="50"/>
  <c r="M5098" i="50"/>
  <c r="N5097" i="50"/>
  <c r="M5097" i="50"/>
  <c r="N5096" i="50"/>
  <c r="M5096" i="50"/>
  <c r="N5095" i="50"/>
  <c r="M5095" i="50"/>
  <c r="N5094" i="50"/>
  <c r="M5094" i="50"/>
  <c r="N5093" i="50"/>
  <c r="M5093" i="50"/>
  <c r="N5092" i="50"/>
  <c r="M5092" i="50"/>
  <c r="N5091" i="50"/>
  <c r="M5091" i="50"/>
  <c r="N5090" i="50"/>
  <c r="M5090" i="50"/>
  <c r="N5089" i="50"/>
  <c r="M5089" i="50"/>
  <c r="N5088" i="50"/>
  <c r="M5088" i="50"/>
  <c r="N5087" i="50"/>
  <c r="M5087" i="50"/>
  <c r="N5086" i="50"/>
  <c r="M5086" i="50"/>
  <c r="N5085" i="50"/>
  <c r="M5085" i="50"/>
  <c r="N5084" i="50"/>
  <c r="M5084" i="50"/>
  <c r="N5083" i="50"/>
  <c r="M5083" i="50"/>
  <c r="N5082" i="50"/>
  <c r="M5082" i="50"/>
  <c r="N5081" i="50"/>
  <c r="M5081" i="50"/>
  <c r="N5080" i="50"/>
  <c r="M5080" i="50"/>
  <c r="N5079" i="50"/>
  <c r="M5079" i="50"/>
  <c r="N5078" i="50"/>
  <c r="M5078" i="50"/>
  <c r="N5077" i="50"/>
  <c r="M5077" i="50"/>
  <c r="N5076" i="50"/>
  <c r="M5076" i="50"/>
  <c r="N5075" i="50"/>
  <c r="M5075" i="50"/>
  <c r="N5074" i="50"/>
  <c r="M5074" i="50"/>
  <c r="N5073" i="50"/>
  <c r="M5073" i="50"/>
  <c r="N5072" i="50"/>
  <c r="M5072" i="50"/>
  <c r="N5071" i="50"/>
  <c r="M5071" i="50"/>
  <c r="N5070" i="50"/>
  <c r="M5070" i="50"/>
  <c r="N5069" i="50"/>
  <c r="M5069" i="50"/>
  <c r="N5068" i="50"/>
  <c r="M5068" i="50"/>
  <c r="N5067" i="50"/>
  <c r="M5067" i="50"/>
  <c r="N5066" i="50"/>
  <c r="M5066" i="50"/>
  <c r="N5065" i="50"/>
  <c r="M5065" i="50"/>
  <c r="N5064" i="50"/>
  <c r="M5064" i="50"/>
  <c r="N5063" i="50"/>
  <c r="M5063" i="50"/>
  <c r="N5062" i="50"/>
  <c r="M5062" i="50"/>
  <c r="N5061" i="50"/>
  <c r="M5061" i="50"/>
  <c r="N5060" i="50"/>
  <c r="M5060" i="50"/>
  <c r="N5059" i="50"/>
  <c r="M5059" i="50"/>
  <c r="N5058" i="50"/>
  <c r="M5058" i="50"/>
  <c r="N5057" i="50"/>
  <c r="M5057" i="50"/>
  <c r="N5056" i="50"/>
  <c r="M5056" i="50"/>
  <c r="N5055" i="50"/>
  <c r="M5055" i="50"/>
  <c r="N5054" i="50"/>
  <c r="M5054" i="50"/>
  <c r="N5053" i="50"/>
  <c r="M5053" i="50"/>
  <c r="N5052" i="50"/>
  <c r="M5052" i="50"/>
  <c r="N5051" i="50"/>
  <c r="M5051" i="50"/>
  <c r="N5050" i="50"/>
  <c r="M5050" i="50"/>
  <c r="N5049" i="50"/>
  <c r="M5049" i="50"/>
  <c r="N5048" i="50"/>
  <c r="M5048" i="50"/>
  <c r="N5047" i="50"/>
  <c r="M5047" i="50"/>
  <c r="N5046" i="50"/>
  <c r="M5046" i="50"/>
  <c r="N5045" i="50"/>
  <c r="M5045" i="50"/>
  <c r="N5044" i="50"/>
  <c r="M5044" i="50"/>
  <c r="N5043" i="50"/>
  <c r="M5043" i="50"/>
  <c r="N5042" i="50"/>
  <c r="M5042" i="50"/>
  <c r="N5041" i="50"/>
  <c r="M5041" i="50"/>
  <c r="N5040" i="50"/>
  <c r="M5040" i="50"/>
  <c r="N5039" i="50"/>
  <c r="M5039" i="50"/>
  <c r="N5038" i="50"/>
  <c r="M5038" i="50"/>
  <c r="N5037" i="50"/>
  <c r="M5037" i="50"/>
  <c r="N5036" i="50"/>
  <c r="M5036" i="50"/>
  <c r="N5035" i="50"/>
  <c r="M5035" i="50"/>
  <c r="N5034" i="50"/>
  <c r="M5034" i="50"/>
  <c r="N5033" i="50"/>
  <c r="M5033" i="50"/>
  <c r="N5032" i="50"/>
  <c r="M5032" i="50"/>
  <c r="N5031" i="50"/>
  <c r="M5031" i="50"/>
  <c r="N5030" i="50"/>
  <c r="M5030" i="50"/>
  <c r="N5029" i="50"/>
  <c r="M5029" i="50"/>
  <c r="N5028" i="50"/>
  <c r="M5028" i="50"/>
  <c r="N5027" i="50"/>
  <c r="M5027" i="50"/>
  <c r="N5026" i="50"/>
  <c r="M5026" i="50"/>
  <c r="N5025" i="50"/>
  <c r="M5025" i="50"/>
  <c r="N5024" i="50"/>
  <c r="M5024" i="50"/>
  <c r="N5023" i="50"/>
  <c r="M5023" i="50"/>
  <c r="N5022" i="50"/>
  <c r="M5022" i="50"/>
  <c r="N5021" i="50"/>
  <c r="M5021" i="50"/>
  <c r="N5020" i="50"/>
  <c r="M5020" i="50"/>
  <c r="N5019" i="50"/>
  <c r="M5019" i="50"/>
  <c r="N5018" i="50"/>
  <c r="M5018" i="50"/>
  <c r="N5017" i="50"/>
  <c r="M5017" i="50"/>
  <c r="N5016" i="50"/>
  <c r="M5016" i="50"/>
  <c r="N5015" i="50"/>
  <c r="M5015" i="50"/>
  <c r="N5014" i="50"/>
  <c r="M5014" i="50"/>
  <c r="N5013" i="50"/>
  <c r="M5013" i="50"/>
  <c r="N5012" i="50"/>
  <c r="M5012" i="50"/>
  <c r="N5011" i="50"/>
  <c r="M5011" i="50"/>
  <c r="N5010" i="50"/>
  <c r="M5010" i="50"/>
  <c r="N5009" i="50"/>
  <c r="M5009" i="50"/>
  <c r="N5008" i="50"/>
  <c r="M5008" i="50"/>
  <c r="N5007" i="50"/>
  <c r="M5007" i="50"/>
  <c r="N5006" i="50"/>
  <c r="M5006" i="50"/>
  <c r="N5005" i="50"/>
  <c r="M5005" i="50"/>
  <c r="N5004" i="50"/>
  <c r="M5004" i="50"/>
  <c r="N5003" i="50"/>
  <c r="M5003" i="50"/>
  <c r="N5002" i="50"/>
  <c r="M5002" i="50"/>
  <c r="N5001" i="50"/>
  <c r="M5001" i="50"/>
  <c r="N5000" i="50"/>
  <c r="M5000" i="50"/>
  <c r="N4999" i="50"/>
  <c r="M4999" i="50"/>
  <c r="N4998" i="50"/>
  <c r="M4998" i="50"/>
  <c r="N4997" i="50"/>
  <c r="M4997" i="50"/>
  <c r="N4996" i="50"/>
  <c r="M4996" i="50"/>
  <c r="N4995" i="50"/>
  <c r="M4995" i="50"/>
  <c r="N4994" i="50"/>
  <c r="M4994" i="50"/>
  <c r="N4993" i="50"/>
  <c r="M4993" i="50"/>
  <c r="N4992" i="50"/>
  <c r="M4992" i="50"/>
  <c r="N4991" i="50"/>
  <c r="M4991" i="50"/>
  <c r="N4990" i="50"/>
  <c r="M4990" i="50"/>
  <c r="N4989" i="50"/>
  <c r="M4989" i="50"/>
  <c r="N4988" i="50"/>
  <c r="M4988" i="50"/>
  <c r="N4987" i="50"/>
  <c r="M4987" i="50"/>
  <c r="N4986" i="50"/>
  <c r="M4986" i="50"/>
  <c r="N4985" i="50"/>
  <c r="M4985" i="50"/>
  <c r="N4984" i="50"/>
  <c r="M4984" i="50"/>
  <c r="N4983" i="50"/>
  <c r="M4983" i="50"/>
  <c r="N4982" i="50"/>
  <c r="M4982" i="50"/>
  <c r="N4981" i="50"/>
  <c r="M4981" i="50"/>
  <c r="N4980" i="50"/>
  <c r="M4980" i="50"/>
  <c r="N4979" i="50"/>
  <c r="M4979" i="50"/>
  <c r="N4978" i="50"/>
  <c r="M4978" i="50"/>
  <c r="N4977" i="50"/>
  <c r="M4977" i="50"/>
  <c r="N4976" i="50"/>
  <c r="M4976" i="50"/>
  <c r="N4975" i="50"/>
  <c r="M4975" i="50"/>
  <c r="N4974" i="50"/>
  <c r="M4974" i="50"/>
  <c r="N4973" i="50"/>
  <c r="M4973" i="50"/>
  <c r="N4972" i="50"/>
  <c r="M4972" i="50"/>
  <c r="N4971" i="50"/>
  <c r="M4971" i="50"/>
  <c r="N4970" i="50"/>
  <c r="M4970" i="50"/>
  <c r="N4969" i="50"/>
  <c r="M4969" i="50"/>
  <c r="N4968" i="50"/>
  <c r="M4968" i="50"/>
  <c r="N4967" i="50"/>
  <c r="M4967" i="50"/>
  <c r="N4966" i="50"/>
  <c r="M4966" i="50"/>
  <c r="N4965" i="50"/>
  <c r="M4965" i="50"/>
  <c r="N4964" i="50"/>
  <c r="M4964" i="50"/>
  <c r="N4963" i="50"/>
  <c r="M4963" i="50"/>
  <c r="N4962" i="50"/>
  <c r="M4962" i="50"/>
  <c r="N4961" i="50"/>
  <c r="M4961" i="50"/>
  <c r="N4960" i="50"/>
  <c r="M4960" i="50"/>
  <c r="N4959" i="50"/>
  <c r="M4959" i="50"/>
  <c r="N4958" i="50"/>
  <c r="M4958" i="50"/>
  <c r="N4957" i="50"/>
  <c r="M4957" i="50"/>
  <c r="N4956" i="50"/>
  <c r="M4956" i="50"/>
  <c r="N4955" i="50"/>
  <c r="M4955" i="50"/>
  <c r="N4954" i="50"/>
  <c r="M4954" i="50"/>
  <c r="N4953" i="50"/>
  <c r="M4953" i="50"/>
  <c r="N4952" i="50"/>
  <c r="M4952" i="50"/>
  <c r="N4951" i="50"/>
  <c r="M4951" i="50"/>
  <c r="N4950" i="50"/>
  <c r="M4950" i="50"/>
  <c r="N4949" i="50"/>
  <c r="M4949" i="50"/>
  <c r="N4948" i="50"/>
  <c r="M4948" i="50"/>
  <c r="N4947" i="50"/>
  <c r="M4947" i="50"/>
  <c r="N4946" i="50"/>
  <c r="M4946" i="50"/>
  <c r="N4945" i="50"/>
  <c r="M4945" i="50"/>
  <c r="N4944" i="50"/>
  <c r="M4944" i="50"/>
  <c r="N4943" i="50"/>
  <c r="M4943" i="50"/>
  <c r="N4942" i="50"/>
  <c r="M4942" i="50"/>
  <c r="N4941" i="50"/>
  <c r="M4941" i="50"/>
  <c r="N4940" i="50"/>
  <c r="M4940" i="50"/>
  <c r="N4939" i="50"/>
  <c r="M4939" i="50"/>
  <c r="N4938" i="50"/>
  <c r="M4938" i="50"/>
  <c r="N4937" i="50"/>
  <c r="M4937" i="50"/>
  <c r="N4936" i="50"/>
  <c r="M4936" i="50"/>
  <c r="N4935" i="50"/>
  <c r="M4935" i="50"/>
  <c r="N4934" i="50"/>
  <c r="M4934" i="50"/>
  <c r="N4933" i="50"/>
  <c r="M4933" i="50"/>
  <c r="N4932" i="50"/>
  <c r="M4932" i="50"/>
  <c r="N4931" i="50"/>
  <c r="M4931" i="50"/>
  <c r="N4930" i="50"/>
  <c r="M4930" i="50"/>
  <c r="N4929" i="50"/>
  <c r="M4929" i="50"/>
  <c r="N4928" i="50"/>
  <c r="M4928" i="50"/>
  <c r="N4927" i="50"/>
  <c r="M4927" i="50"/>
  <c r="N4926" i="50"/>
  <c r="M4926" i="50"/>
  <c r="N4925" i="50"/>
  <c r="M4925" i="50"/>
  <c r="N4924" i="50"/>
  <c r="M4924" i="50"/>
  <c r="N4923" i="50"/>
  <c r="M4923" i="50"/>
  <c r="N4922" i="50"/>
  <c r="M4922" i="50"/>
  <c r="N4921" i="50"/>
  <c r="M4921" i="50"/>
  <c r="N4920" i="50"/>
  <c r="M4920" i="50"/>
  <c r="N4919" i="50"/>
  <c r="M4919" i="50"/>
  <c r="N4918" i="50"/>
  <c r="M4918" i="50"/>
  <c r="N4917" i="50"/>
  <c r="M4917" i="50"/>
  <c r="N4916" i="50"/>
  <c r="M4916" i="50"/>
  <c r="N4915" i="50"/>
  <c r="M4915" i="50"/>
  <c r="N4914" i="50"/>
  <c r="M4914" i="50"/>
  <c r="N4913" i="50"/>
  <c r="M4913" i="50"/>
  <c r="N4912" i="50"/>
  <c r="M4912" i="50"/>
  <c r="N4911" i="50"/>
  <c r="M4911" i="50"/>
  <c r="N4910" i="50"/>
  <c r="M4910" i="50"/>
  <c r="N4909" i="50"/>
  <c r="M4909" i="50"/>
  <c r="N4908" i="50"/>
  <c r="M4908" i="50"/>
  <c r="N4907" i="50"/>
  <c r="M4907" i="50"/>
  <c r="N4906" i="50"/>
  <c r="M4906" i="50"/>
  <c r="N4905" i="50"/>
  <c r="M4905" i="50"/>
  <c r="N4904" i="50"/>
  <c r="M4904" i="50"/>
  <c r="N4903" i="50"/>
  <c r="M4903" i="50"/>
  <c r="N4902" i="50"/>
  <c r="M4902" i="50"/>
  <c r="N4901" i="50"/>
  <c r="M4901" i="50"/>
  <c r="N4900" i="50"/>
  <c r="M4900" i="50"/>
  <c r="N4899" i="50"/>
  <c r="M4899" i="50"/>
  <c r="N4898" i="50"/>
  <c r="M4898" i="50"/>
  <c r="N4897" i="50"/>
  <c r="M4897" i="50"/>
  <c r="N4896" i="50"/>
  <c r="M4896" i="50"/>
  <c r="N4895" i="50"/>
  <c r="M4895" i="50"/>
  <c r="N4894" i="50"/>
  <c r="M4894" i="50"/>
  <c r="N4893" i="50"/>
  <c r="M4893" i="50"/>
  <c r="N4892" i="50"/>
  <c r="M4892" i="50"/>
  <c r="N4891" i="50"/>
  <c r="M4891" i="50"/>
  <c r="N4890" i="50"/>
  <c r="M4890" i="50"/>
  <c r="N4889" i="50"/>
  <c r="M4889" i="50"/>
  <c r="N4888" i="50"/>
  <c r="M4888" i="50"/>
  <c r="N4887" i="50"/>
  <c r="M4887" i="50"/>
  <c r="N4886" i="50"/>
  <c r="M4886" i="50"/>
  <c r="N4885" i="50"/>
  <c r="M4885" i="50"/>
  <c r="N4884" i="50"/>
  <c r="M4884" i="50"/>
  <c r="N4883" i="50"/>
  <c r="M4883" i="50"/>
  <c r="N4882" i="50"/>
  <c r="M4882" i="50"/>
  <c r="N4881" i="50"/>
  <c r="M4881" i="50"/>
  <c r="N4880" i="50"/>
  <c r="M4880" i="50"/>
  <c r="N4879" i="50"/>
  <c r="M4879" i="50"/>
  <c r="N4878" i="50"/>
  <c r="M4878" i="50"/>
  <c r="N4877" i="50"/>
  <c r="M4877" i="50"/>
  <c r="N4876" i="50"/>
  <c r="M4876" i="50"/>
  <c r="N4875" i="50"/>
  <c r="M4875" i="50"/>
  <c r="N4874" i="50"/>
  <c r="M4874" i="50"/>
  <c r="N4873" i="50"/>
  <c r="M4873" i="50"/>
  <c r="N4872" i="50"/>
  <c r="M4872" i="50"/>
  <c r="N4871" i="50"/>
  <c r="M4871" i="50"/>
  <c r="N4870" i="50"/>
  <c r="M4870" i="50"/>
  <c r="N4869" i="50"/>
  <c r="M4869" i="50"/>
  <c r="N4868" i="50"/>
  <c r="M4868" i="50"/>
  <c r="N4867" i="50"/>
  <c r="M4867" i="50"/>
  <c r="N4866" i="50"/>
  <c r="M4866" i="50"/>
  <c r="N4865" i="50"/>
  <c r="M4865" i="50"/>
  <c r="N4864" i="50"/>
  <c r="M4864" i="50"/>
  <c r="N4863" i="50"/>
  <c r="M4863" i="50"/>
  <c r="N4862" i="50"/>
  <c r="M4862" i="50"/>
  <c r="N4861" i="50"/>
  <c r="M4861" i="50"/>
  <c r="N4860" i="50"/>
  <c r="M4860" i="50"/>
  <c r="N4859" i="50"/>
  <c r="M4859" i="50"/>
  <c r="N4858" i="50"/>
  <c r="M4858" i="50"/>
  <c r="N4857" i="50"/>
  <c r="M4857" i="50"/>
  <c r="N4856" i="50"/>
  <c r="M4856" i="50"/>
  <c r="N4855" i="50"/>
  <c r="M4855" i="50"/>
  <c r="N4854" i="50"/>
  <c r="M4854" i="50"/>
  <c r="N4853" i="50"/>
  <c r="M4853" i="50"/>
  <c r="N4852" i="50"/>
  <c r="M4852" i="50"/>
  <c r="N4851" i="50"/>
  <c r="M4851" i="50"/>
  <c r="N4850" i="50"/>
  <c r="M4850" i="50"/>
  <c r="N4849" i="50"/>
  <c r="M4849" i="50"/>
  <c r="N4848" i="50"/>
  <c r="M4848" i="50"/>
  <c r="N4847" i="50"/>
  <c r="M4847" i="50"/>
  <c r="N4846" i="50"/>
  <c r="M4846" i="50"/>
  <c r="N4845" i="50"/>
  <c r="M4845" i="50"/>
  <c r="N4844" i="50"/>
  <c r="M4844" i="50"/>
  <c r="N4843" i="50"/>
  <c r="M4843" i="50"/>
  <c r="N4842" i="50"/>
  <c r="M4842" i="50"/>
  <c r="N4841" i="50"/>
  <c r="M4841" i="50"/>
  <c r="N4840" i="50"/>
  <c r="M4840" i="50"/>
  <c r="N4839" i="50"/>
  <c r="M4839" i="50"/>
  <c r="N4838" i="50"/>
  <c r="M4838" i="50"/>
  <c r="N4837" i="50"/>
  <c r="M4837" i="50"/>
  <c r="N4836" i="50"/>
  <c r="M4836" i="50"/>
  <c r="N4835" i="50"/>
  <c r="M4835" i="50"/>
  <c r="N4834" i="50"/>
  <c r="M4834" i="50"/>
  <c r="N4833" i="50"/>
  <c r="M4833" i="50"/>
  <c r="N4832" i="50"/>
  <c r="M4832" i="50"/>
  <c r="N4831" i="50"/>
  <c r="M4831" i="50"/>
  <c r="N4830" i="50"/>
  <c r="M4830" i="50"/>
  <c r="N4829" i="50"/>
  <c r="M4829" i="50"/>
  <c r="N4828" i="50"/>
  <c r="M4828" i="50"/>
  <c r="N4827" i="50"/>
  <c r="M4827" i="50"/>
  <c r="N4826" i="50"/>
  <c r="M4826" i="50"/>
  <c r="N4825" i="50"/>
  <c r="M4825" i="50"/>
  <c r="N4824" i="50"/>
  <c r="M4824" i="50"/>
  <c r="N4823" i="50"/>
  <c r="M4823" i="50"/>
  <c r="N4822" i="50"/>
  <c r="M4822" i="50"/>
  <c r="N4821" i="50"/>
  <c r="M4821" i="50"/>
  <c r="N4820" i="50"/>
  <c r="M4820" i="50"/>
  <c r="N4819" i="50"/>
  <c r="M4819" i="50"/>
  <c r="N4818" i="50"/>
  <c r="M4818" i="50"/>
  <c r="N4817" i="50"/>
  <c r="M4817" i="50"/>
  <c r="N4816" i="50"/>
  <c r="M4816" i="50"/>
  <c r="N4815" i="50"/>
  <c r="M4815" i="50"/>
  <c r="N4814" i="50"/>
  <c r="M4814" i="50"/>
  <c r="N4813" i="50"/>
  <c r="M4813" i="50"/>
  <c r="N4812" i="50"/>
  <c r="M4812" i="50"/>
  <c r="N4811" i="50"/>
  <c r="M4811" i="50"/>
  <c r="N4810" i="50"/>
  <c r="M4810" i="50"/>
  <c r="N4809" i="50"/>
  <c r="M4809" i="50"/>
  <c r="N4808" i="50"/>
  <c r="M4808" i="50"/>
  <c r="N4807" i="50"/>
  <c r="M4807" i="50"/>
  <c r="N4806" i="50"/>
  <c r="M4806" i="50"/>
  <c r="N4805" i="50"/>
  <c r="M4805" i="50"/>
  <c r="N4804" i="50"/>
  <c r="M4804" i="50"/>
  <c r="N4803" i="50"/>
  <c r="M4803" i="50"/>
  <c r="N4802" i="50"/>
  <c r="M4802" i="50"/>
  <c r="N4801" i="50"/>
  <c r="M4801" i="50"/>
  <c r="N4800" i="50"/>
  <c r="M4800" i="50"/>
  <c r="N4799" i="50"/>
  <c r="M4799" i="50"/>
  <c r="N4798" i="50"/>
  <c r="M4798" i="50"/>
  <c r="N4797" i="50"/>
  <c r="M4797" i="50"/>
  <c r="N4796" i="50"/>
  <c r="M4796" i="50"/>
  <c r="N4795" i="50"/>
  <c r="M4795" i="50"/>
  <c r="N4794" i="50"/>
  <c r="M4794" i="50"/>
  <c r="N4793" i="50"/>
  <c r="M4793" i="50"/>
  <c r="N4792" i="50"/>
  <c r="M4792" i="50"/>
  <c r="N4791" i="50"/>
  <c r="M4791" i="50"/>
  <c r="N4790" i="50"/>
  <c r="M4790" i="50"/>
  <c r="N4789" i="50"/>
  <c r="M4789" i="50"/>
  <c r="N4788" i="50"/>
  <c r="M4788" i="50"/>
  <c r="N4787" i="50"/>
  <c r="M4787" i="50"/>
  <c r="N4786" i="50"/>
  <c r="M4786" i="50"/>
  <c r="N4785" i="50"/>
  <c r="M4785" i="50"/>
  <c r="N4784" i="50"/>
  <c r="M4784" i="50"/>
  <c r="N4783" i="50"/>
  <c r="M4783" i="50"/>
  <c r="N4782" i="50"/>
  <c r="M4782" i="50"/>
  <c r="N4781" i="50"/>
  <c r="M4781" i="50"/>
  <c r="N4780" i="50"/>
  <c r="M4780" i="50"/>
  <c r="N4779" i="50"/>
  <c r="M4779" i="50"/>
  <c r="N4778" i="50"/>
  <c r="M4778" i="50"/>
  <c r="N4777" i="50"/>
  <c r="M4777" i="50"/>
  <c r="N4776" i="50"/>
  <c r="M4776" i="50"/>
  <c r="N4775" i="50"/>
  <c r="M4775" i="50"/>
  <c r="N4774" i="50"/>
  <c r="M4774" i="50"/>
  <c r="N4773" i="50"/>
  <c r="M4773" i="50"/>
  <c r="N4772" i="50"/>
  <c r="M4772" i="50"/>
  <c r="N4771" i="50"/>
  <c r="M4771" i="50"/>
  <c r="N4770" i="50"/>
  <c r="M4770" i="50"/>
  <c r="N4769" i="50"/>
  <c r="M4769" i="50"/>
  <c r="N4768" i="50"/>
  <c r="M4768" i="50"/>
  <c r="N4767" i="50"/>
  <c r="M4767" i="50"/>
  <c r="N4766" i="50"/>
  <c r="M4766" i="50"/>
  <c r="N4765" i="50"/>
  <c r="M4765" i="50"/>
  <c r="N4764" i="50"/>
  <c r="M4764" i="50"/>
  <c r="N4763" i="50"/>
  <c r="M4763" i="50"/>
  <c r="N4762" i="50"/>
  <c r="M4762" i="50"/>
  <c r="N4761" i="50"/>
  <c r="M4761" i="50"/>
  <c r="N4760" i="50"/>
  <c r="M4760" i="50"/>
  <c r="N4759" i="50"/>
  <c r="M4759" i="50"/>
  <c r="N4758" i="50"/>
  <c r="M4758" i="50"/>
  <c r="N4757" i="50"/>
  <c r="M4757" i="50"/>
  <c r="N4756" i="50"/>
  <c r="M4756" i="50"/>
  <c r="N4755" i="50"/>
  <c r="M4755" i="50"/>
  <c r="N4754" i="50"/>
  <c r="M4754" i="50"/>
  <c r="N4753" i="50"/>
  <c r="M4753" i="50"/>
  <c r="N4752" i="50"/>
  <c r="M4752" i="50"/>
  <c r="N4751" i="50"/>
  <c r="M4751" i="50"/>
  <c r="N4750" i="50"/>
  <c r="M4750" i="50"/>
  <c r="N4749" i="50"/>
  <c r="M4749" i="50"/>
  <c r="N4748" i="50"/>
  <c r="M4748" i="50"/>
  <c r="N4747" i="50"/>
  <c r="M4747" i="50"/>
  <c r="N4746" i="50"/>
  <c r="M4746" i="50"/>
  <c r="N4745" i="50"/>
  <c r="M4745" i="50"/>
  <c r="N4744" i="50"/>
  <c r="M4744" i="50"/>
  <c r="N4743" i="50"/>
  <c r="M4743" i="50"/>
  <c r="N4742" i="50"/>
  <c r="M4742" i="50"/>
  <c r="N4741" i="50"/>
  <c r="M4741" i="50"/>
  <c r="N4740" i="50"/>
  <c r="M4740" i="50"/>
  <c r="N4739" i="50"/>
  <c r="M4739" i="50"/>
  <c r="N4738" i="50"/>
  <c r="M4738" i="50"/>
  <c r="N4737" i="50"/>
  <c r="M4737" i="50"/>
  <c r="N4736" i="50"/>
  <c r="M4736" i="50"/>
  <c r="N4735" i="50"/>
  <c r="M4735" i="50"/>
  <c r="N4734" i="50"/>
  <c r="M4734" i="50"/>
  <c r="N4733" i="50"/>
  <c r="M4733" i="50"/>
  <c r="N4732" i="50"/>
  <c r="M4732" i="50"/>
  <c r="N4731" i="50"/>
  <c r="M4731" i="50"/>
  <c r="N4730" i="50"/>
  <c r="M4730" i="50"/>
  <c r="N4729" i="50"/>
  <c r="M4729" i="50"/>
  <c r="N4728" i="50"/>
  <c r="M4728" i="50"/>
  <c r="N4727" i="50"/>
  <c r="M4727" i="50"/>
  <c r="N4726" i="50"/>
  <c r="M4726" i="50"/>
  <c r="N4725" i="50"/>
  <c r="M4725" i="50"/>
  <c r="N4724" i="50"/>
  <c r="M4724" i="50"/>
  <c r="N4723" i="50"/>
  <c r="M4723" i="50"/>
  <c r="N4722" i="50"/>
  <c r="M4722" i="50"/>
  <c r="N4721" i="50"/>
  <c r="M4721" i="50"/>
  <c r="N4720" i="50"/>
  <c r="M4720" i="50"/>
  <c r="N4719" i="50"/>
  <c r="M4719" i="50"/>
  <c r="N4718" i="50"/>
  <c r="M4718" i="50"/>
  <c r="N4717" i="50"/>
  <c r="M4717" i="50"/>
  <c r="N4716" i="50"/>
  <c r="M4716" i="50"/>
  <c r="N4715" i="50"/>
  <c r="M4715" i="50"/>
  <c r="N4714" i="50"/>
  <c r="M4714" i="50"/>
  <c r="N4713" i="50"/>
  <c r="M4713" i="50"/>
  <c r="N4712" i="50"/>
  <c r="M4712" i="50"/>
  <c r="N4711" i="50"/>
  <c r="M4711" i="50"/>
  <c r="N4710" i="50"/>
  <c r="M4710" i="50"/>
  <c r="N4709" i="50"/>
  <c r="M4709" i="50"/>
  <c r="N4708" i="50"/>
  <c r="M4708" i="50"/>
  <c r="N4707" i="50"/>
  <c r="M4707" i="50"/>
  <c r="N4706" i="50"/>
  <c r="M4706" i="50"/>
  <c r="N4705" i="50"/>
  <c r="M4705" i="50"/>
  <c r="N4704" i="50"/>
  <c r="M4704" i="50"/>
  <c r="N4703" i="50"/>
  <c r="M4703" i="50"/>
  <c r="N4702" i="50"/>
  <c r="M4702" i="50"/>
  <c r="N4701" i="50"/>
  <c r="M4701" i="50"/>
  <c r="N4700" i="50"/>
  <c r="M4700" i="50"/>
  <c r="N4699" i="50"/>
  <c r="M4699" i="50"/>
  <c r="N4698" i="50"/>
  <c r="M4698" i="50"/>
  <c r="N4697" i="50"/>
  <c r="M4697" i="50"/>
  <c r="N4696" i="50"/>
  <c r="M4696" i="50"/>
  <c r="N4695" i="50"/>
  <c r="M4695" i="50"/>
  <c r="N4694" i="50"/>
  <c r="M4694" i="50"/>
  <c r="N4693" i="50"/>
  <c r="M4693" i="50"/>
  <c r="N4692" i="50"/>
  <c r="M4692" i="50"/>
  <c r="N4691" i="50"/>
  <c r="M4691" i="50"/>
  <c r="N4690" i="50"/>
  <c r="M4690" i="50"/>
  <c r="N4689" i="50"/>
  <c r="M4689" i="50"/>
  <c r="N4688" i="50"/>
  <c r="M4688" i="50"/>
  <c r="N4687" i="50"/>
  <c r="M4687" i="50"/>
  <c r="N4686" i="50"/>
  <c r="M4686" i="50"/>
  <c r="N4685" i="50"/>
  <c r="M4685" i="50"/>
  <c r="N4684" i="50"/>
  <c r="M4684" i="50"/>
  <c r="N4683" i="50"/>
  <c r="M4683" i="50"/>
  <c r="N4682" i="50"/>
  <c r="M4682" i="50"/>
  <c r="N4681" i="50"/>
  <c r="M4681" i="50"/>
  <c r="N4680" i="50"/>
  <c r="M4680" i="50"/>
  <c r="N4679" i="50"/>
  <c r="M4679" i="50"/>
  <c r="N4678" i="50"/>
  <c r="M4678" i="50"/>
  <c r="N4677" i="50"/>
  <c r="M4677" i="50"/>
  <c r="N4676" i="50"/>
  <c r="M4676" i="50"/>
  <c r="N4675" i="50"/>
  <c r="M4675" i="50"/>
  <c r="N4674" i="50"/>
  <c r="M4674" i="50"/>
  <c r="N4673" i="50"/>
  <c r="M4673" i="50"/>
  <c r="N4672" i="50"/>
  <c r="M4672" i="50"/>
  <c r="N4671" i="50"/>
  <c r="M4671" i="50"/>
  <c r="N4670" i="50"/>
  <c r="M4670" i="50"/>
  <c r="N4669" i="50"/>
  <c r="M4669" i="50"/>
  <c r="N4668" i="50"/>
  <c r="M4668" i="50"/>
  <c r="N4667" i="50"/>
  <c r="M4667" i="50"/>
  <c r="N4666" i="50"/>
  <c r="M4666" i="50"/>
  <c r="N4665" i="50"/>
  <c r="M4665" i="50"/>
  <c r="N4664" i="50"/>
  <c r="M4664" i="50"/>
  <c r="N4663" i="50"/>
  <c r="M4663" i="50"/>
  <c r="N4662" i="50"/>
  <c r="M4662" i="50"/>
  <c r="N4661" i="50"/>
  <c r="M4661" i="50"/>
  <c r="N4660" i="50"/>
  <c r="M4660" i="50"/>
  <c r="N4659" i="50"/>
  <c r="M4659" i="50"/>
  <c r="N4658" i="50"/>
  <c r="M4658" i="50"/>
  <c r="N4657" i="50"/>
  <c r="M4657" i="50"/>
  <c r="N4656" i="50"/>
  <c r="M4656" i="50"/>
  <c r="N4655" i="50"/>
  <c r="M4655" i="50"/>
  <c r="N4654" i="50"/>
  <c r="M4654" i="50"/>
  <c r="N4653" i="50"/>
  <c r="M4653" i="50"/>
  <c r="N4652" i="50"/>
  <c r="M4652" i="50"/>
  <c r="N4651" i="50"/>
  <c r="M4651" i="50"/>
  <c r="N4650" i="50"/>
  <c r="M4650" i="50"/>
  <c r="N4649" i="50"/>
  <c r="M4649" i="50"/>
  <c r="N4648" i="50"/>
  <c r="M4648" i="50"/>
  <c r="N4647" i="50"/>
  <c r="M4647" i="50"/>
  <c r="N4646" i="50"/>
  <c r="M4646" i="50"/>
  <c r="N4645" i="50"/>
  <c r="M4645" i="50"/>
  <c r="N4644" i="50"/>
  <c r="M4644" i="50"/>
  <c r="N4643" i="50"/>
  <c r="M4643" i="50"/>
  <c r="N4642" i="50"/>
  <c r="M4642" i="50"/>
  <c r="N4641" i="50"/>
  <c r="M4641" i="50"/>
  <c r="N4640" i="50"/>
  <c r="M4640" i="50"/>
  <c r="N4639" i="50"/>
  <c r="M4639" i="50"/>
  <c r="N4638" i="50"/>
  <c r="M4638" i="50"/>
  <c r="N4637" i="50"/>
  <c r="M4637" i="50"/>
  <c r="N4636" i="50"/>
  <c r="M4636" i="50"/>
  <c r="N4635" i="50"/>
  <c r="M4635" i="50"/>
  <c r="N4634" i="50"/>
  <c r="M4634" i="50"/>
  <c r="N4633" i="50"/>
  <c r="M4633" i="50"/>
  <c r="N4632" i="50"/>
  <c r="M4632" i="50"/>
  <c r="N4631" i="50"/>
  <c r="M4631" i="50"/>
  <c r="N4630" i="50"/>
  <c r="M4630" i="50"/>
  <c r="N4629" i="50"/>
  <c r="M4629" i="50"/>
  <c r="N4628" i="50"/>
  <c r="M4628" i="50"/>
  <c r="N4627" i="50"/>
  <c r="M4627" i="50"/>
  <c r="N4626" i="50"/>
  <c r="M4626" i="50"/>
  <c r="N4625" i="50"/>
  <c r="M4625" i="50"/>
  <c r="N4624" i="50"/>
  <c r="M4624" i="50"/>
  <c r="N4623" i="50"/>
  <c r="M4623" i="50"/>
  <c r="N4622" i="50"/>
  <c r="M4622" i="50"/>
  <c r="N4621" i="50"/>
  <c r="M4621" i="50"/>
  <c r="N4620" i="50"/>
  <c r="M4620" i="50"/>
  <c r="N4619" i="50"/>
  <c r="M4619" i="50"/>
  <c r="N4618" i="50"/>
  <c r="M4618" i="50"/>
  <c r="N4617" i="50"/>
  <c r="M4617" i="50"/>
  <c r="N4616" i="50"/>
  <c r="M4616" i="50"/>
  <c r="N4615" i="50"/>
  <c r="M4615" i="50"/>
  <c r="N4614" i="50"/>
  <c r="M4614" i="50"/>
  <c r="N4613" i="50"/>
  <c r="M4613" i="50"/>
  <c r="N4612" i="50"/>
  <c r="M4612" i="50"/>
  <c r="N4611" i="50"/>
  <c r="M4611" i="50"/>
  <c r="N4610" i="50"/>
  <c r="M4610" i="50"/>
  <c r="N4609" i="50"/>
  <c r="M4609" i="50"/>
  <c r="N4608" i="50"/>
  <c r="M4608" i="50"/>
  <c r="N4607" i="50"/>
  <c r="M4607" i="50"/>
  <c r="N4606" i="50"/>
  <c r="M4606" i="50"/>
  <c r="N4605" i="50"/>
  <c r="M4605" i="50"/>
  <c r="N4604" i="50"/>
  <c r="M4604" i="50"/>
  <c r="N4603" i="50"/>
  <c r="M4603" i="50"/>
  <c r="N4602" i="50"/>
  <c r="M4602" i="50"/>
  <c r="N4601" i="50"/>
  <c r="M4601" i="50"/>
  <c r="N4600" i="50"/>
  <c r="M4600" i="50"/>
  <c r="N4599" i="50"/>
  <c r="M4599" i="50"/>
  <c r="N4598" i="50"/>
  <c r="M4598" i="50"/>
  <c r="N4597" i="50"/>
  <c r="M4597" i="50"/>
  <c r="N4596" i="50"/>
  <c r="M4596" i="50"/>
  <c r="N4595" i="50"/>
  <c r="M4595" i="50"/>
  <c r="N4594" i="50"/>
  <c r="M4594" i="50"/>
  <c r="N4593" i="50"/>
  <c r="M4593" i="50"/>
  <c r="N4592" i="50"/>
  <c r="M4592" i="50"/>
  <c r="N4591" i="50"/>
  <c r="M4591" i="50"/>
  <c r="N4590" i="50"/>
  <c r="M4590" i="50"/>
  <c r="N4589" i="50"/>
  <c r="M4589" i="50"/>
  <c r="N4588" i="50"/>
  <c r="M4588" i="50"/>
  <c r="N4587" i="50"/>
  <c r="M4587" i="50"/>
  <c r="N4586" i="50"/>
  <c r="M4586" i="50"/>
  <c r="N4585" i="50"/>
  <c r="M4585" i="50"/>
  <c r="N4584" i="50"/>
  <c r="M4584" i="50"/>
  <c r="N4583" i="50"/>
  <c r="M4583" i="50"/>
  <c r="N4582" i="50"/>
  <c r="M4582" i="50"/>
  <c r="N4581" i="50"/>
  <c r="M4581" i="50"/>
  <c r="N4580" i="50"/>
  <c r="M4580" i="50"/>
  <c r="N4579" i="50"/>
  <c r="M4579" i="50"/>
  <c r="N4578" i="50"/>
  <c r="M4578" i="50"/>
  <c r="N4577" i="50"/>
  <c r="M4577" i="50"/>
  <c r="N4576" i="50"/>
  <c r="M4576" i="50"/>
  <c r="N4575" i="50"/>
  <c r="M4575" i="50"/>
  <c r="N4574" i="50"/>
  <c r="M4574" i="50"/>
  <c r="N4573" i="50"/>
  <c r="M4573" i="50"/>
  <c r="N4572" i="50"/>
  <c r="M4572" i="50"/>
  <c r="N4571" i="50"/>
  <c r="M4571" i="50"/>
  <c r="N4570" i="50"/>
  <c r="M4570" i="50"/>
  <c r="N4569" i="50"/>
  <c r="M4569" i="50"/>
  <c r="N4568" i="50"/>
  <c r="M4568" i="50"/>
  <c r="N4567" i="50"/>
  <c r="M4567" i="50"/>
  <c r="N4566" i="50"/>
  <c r="M4566" i="50"/>
  <c r="N4565" i="50"/>
  <c r="M4565" i="50"/>
  <c r="N4564" i="50"/>
  <c r="M4564" i="50"/>
  <c r="N4563" i="50"/>
  <c r="M4563" i="50"/>
  <c r="N4562" i="50"/>
  <c r="M4562" i="50"/>
  <c r="N4561" i="50"/>
  <c r="M4561" i="50"/>
  <c r="N4560" i="50"/>
  <c r="M4560" i="50"/>
  <c r="N4559" i="50"/>
  <c r="M4559" i="50"/>
  <c r="N4558" i="50"/>
  <c r="M4558" i="50"/>
  <c r="N4557" i="50"/>
  <c r="M4557" i="50"/>
  <c r="N4556" i="50"/>
  <c r="M4556" i="50"/>
  <c r="N4555" i="50"/>
  <c r="M4555" i="50"/>
  <c r="N4554" i="50"/>
  <c r="M4554" i="50"/>
  <c r="N4553" i="50"/>
  <c r="M4553" i="50"/>
  <c r="N4552" i="50"/>
  <c r="M4552" i="50"/>
  <c r="N4551" i="50"/>
  <c r="M4551" i="50"/>
  <c r="N4550" i="50"/>
  <c r="M4550" i="50"/>
  <c r="N4549" i="50"/>
  <c r="M4549" i="50"/>
  <c r="N4548" i="50"/>
  <c r="M4548" i="50"/>
  <c r="N4547" i="50"/>
  <c r="M4547" i="50"/>
  <c r="N4546" i="50"/>
  <c r="M4546" i="50"/>
  <c r="N4545" i="50"/>
  <c r="M4545" i="50"/>
  <c r="N4544" i="50"/>
  <c r="M4544" i="50"/>
  <c r="N4543" i="50"/>
  <c r="M4543" i="50"/>
  <c r="N4542" i="50"/>
  <c r="M4542" i="50"/>
  <c r="N4541" i="50"/>
  <c r="M4541" i="50"/>
  <c r="N4540" i="50"/>
  <c r="M4540" i="50"/>
  <c r="N4539" i="50"/>
  <c r="M4539" i="50"/>
  <c r="N4538" i="50"/>
  <c r="M4538" i="50"/>
  <c r="N4537" i="50"/>
  <c r="M4537" i="50"/>
  <c r="N4536" i="50"/>
  <c r="M4536" i="50"/>
  <c r="N4535" i="50"/>
  <c r="M4535" i="50"/>
  <c r="N4534" i="50"/>
  <c r="M4534" i="50"/>
  <c r="N4533" i="50"/>
  <c r="M4533" i="50"/>
  <c r="N4532" i="50"/>
  <c r="M4532" i="50"/>
  <c r="N4531" i="50"/>
  <c r="M4531" i="50"/>
  <c r="N4530" i="50"/>
  <c r="M4530" i="50"/>
  <c r="N4529" i="50"/>
  <c r="M4529" i="50"/>
  <c r="N4528" i="50"/>
  <c r="M4528" i="50"/>
  <c r="N4527" i="50"/>
  <c r="M4527" i="50"/>
  <c r="N4526" i="50"/>
  <c r="M4526" i="50"/>
  <c r="N4525" i="50"/>
  <c r="M4525" i="50"/>
  <c r="N4524" i="50"/>
  <c r="M4524" i="50"/>
  <c r="N4523" i="50"/>
  <c r="M4523" i="50"/>
  <c r="N4522" i="50"/>
  <c r="M4522" i="50"/>
  <c r="N4521" i="50"/>
  <c r="M4521" i="50"/>
  <c r="N4520" i="50"/>
  <c r="M4520" i="50"/>
  <c r="N4519" i="50"/>
  <c r="M4519" i="50"/>
  <c r="N4518" i="50"/>
  <c r="M4518" i="50"/>
  <c r="N4517" i="50"/>
  <c r="M4517" i="50"/>
  <c r="N4516" i="50"/>
  <c r="M4516" i="50"/>
  <c r="N4515" i="50"/>
  <c r="M4515" i="50"/>
  <c r="N4514" i="50"/>
  <c r="M4514" i="50"/>
  <c r="N4513" i="50"/>
  <c r="M4513" i="50"/>
  <c r="N4512" i="50"/>
  <c r="M4512" i="50"/>
  <c r="N4511" i="50"/>
  <c r="M4511" i="50"/>
  <c r="N4510" i="50"/>
  <c r="M4510" i="50"/>
  <c r="N4509" i="50"/>
  <c r="M4509" i="50"/>
  <c r="N4508" i="50"/>
  <c r="M4508" i="50"/>
  <c r="N4507" i="50"/>
  <c r="M4507" i="50"/>
  <c r="N4506" i="50"/>
  <c r="M4506" i="50"/>
  <c r="N4505" i="50"/>
  <c r="M4505" i="50"/>
  <c r="N4504" i="50"/>
  <c r="M4504" i="50"/>
  <c r="N4503" i="50"/>
  <c r="M4503" i="50"/>
  <c r="N4502" i="50"/>
  <c r="M4502" i="50"/>
  <c r="N4501" i="50"/>
  <c r="M4501" i="50"/>
  <c r="N4500" i="50"/>
  <c r="M4500" i="50"/>
  <c r="N4499" i="50"/>
  <c r="M4499" i="50"/>
  <c r="N4498" i="50"/>
  <c r="M4498" i="50"/>
  <c r="N4497" i="50"/>
  <c r="M4497" i="50"/>
  <c r="N4496" i="50"/>
  <c r="M4496" i="50"/>
  <c r="N4495" i="50"/>
  <c r="M4495" i="50"/>
  <c r="N4494" i="50"/>
  <c r="M4494" i="50"/>
  <c r="N4493" i="50"/>
  <c r="M4493" i="50"/>
  <c r="N4492" i="50"/>
  <c r="M4492" i="50"/>
  <c r="N4491" i="50"/>
  <c r="M4491" i="50"/>
  <c r="N4490" i="50"/>
  <c r="M4490" i="50"/>
  <c r="N4489" i="50"/>
  <c r="M4489" i="50"/>
  <c r="N4488" i="50"/>
  <c r="M4488" i="50"/>
  <c r="N4487" i="50"/>
  <c r="M4487" i="50"/>
  <c r="N4486" i="50"/>
  <c r="M4486" i="50"/>
  <c r="N4485" i="50"/>
  <c r="M4485" i="50"/>
  <c r="N4484" i="50"/>
  <c r="M4484" i="50"/>
  <c r="N4483" i="50"/>
  <c r="M4483" i="50"/>
  <c r="N4482" i="50"/>
  <c r="M4482" i="50"/>
  <c r="N4481" i="50"/>
  <c r="M4481" i="50"/>
  <c r="N4480" i="50"/>
  <c r="M4480" i="50"/>
  <c r="N4479" i="50"/>
  <c r="M4479" i="50"/>
  <c r="N4478" i="50"/>
  <c r="M4478" i="50"/>
  <c r="N4477" i="50"/>
  <c r="M4477" i="50"/>
  <c r="N4476" i="50"/>
  <c r="M4476" i="50"/>
  <c r="N4475" i="50"/>
  <c r="M4475" i="50"/>
  <c r="N4474" i="50"/>
  <c r="M4474" i="50"/>
  <c r="N4473" i="50"/>
  <c r="M4473" i="50"/>
  <c r="N4472" i="50"/>
  <c r="M4472" i="50"/>
  <c r="N4471" i="50"/>
  <c r="M4471" i="50"/>
  <c r="N4470" i="50"/>
  <c r="M4470" i="50"/>
  <c r="N4469" i="50"/>
  <c r="M4469" i="50"/>
  <c r="N4468" i="50"/>
  <c r="M4468" i="50"/>
  <c r="N4467" i="50"/>
  <c r="M4467" i="50"/>
  <c r="N4466" i="50"/>
  <c r="M4466" i="50"/>
  <c r="N4465" i="50"/>
  <c r="M4465" i="50"/>
  <c r="N4464" i="50"/>
  <c r="M4464" i="50"/>
  <c r="N4463" i="50"/>
  <c r="M4463" i="50"/>
  <c r="N4462" i="50"/>
  <c r="M4462" i="50"/>
  <c r="N4461" i="50"/>
  <c r="M4461" i="50"/>
  <c r="N4460" i="50"/>
  <c r="M4460" i="50"/>
  <c r="N4459" i="50"/>
  <c r="M4459" i="50"/>
  <c r="N4458" i="50"/>
  <c r="M4458" i="50"/>
  <c r="N4457" i="50"/>
  <c r="M4457" i="50"/>
  <c r="N4456" i="50"/>
  <c r="M4456" i="50"/>
  <c r="N4455" i="50"/>
  <c r="M4455" i="50"/>
  <c r="N4454" i="50"/>
  <c r="M4454" i="50"/>
  <c r="N4453" i="50"/>
  <c r="M4453" i="50"/>
  <c r="N4452" i="50"/>
  <c r="M4452" i="50"/>
  <c r="N4451" i="50"/>
  <c r="M4451" i="50"/>
  <c r="N4450" i="50"/>
  <c r="M4450" i="50"/>
  <c r="N4449" i="50"/>
  <c r="M4449" i="50"/>
  <c r="N4448" i="50"/>
  <c r="M4448" i="50"/>
  <c r="N4447" i="50"/>
  <c r="M4447" i="50"/>
  <c r="N4446" i="50"/>
  <c r="M4446" i="50"/>
  <c r="N4445" i="50"/>
  <c r="M4445" i="50"/>
  <c r="N4444" i="50"/>
  <c r="M4444" i="50"/>
  <c r="N4443" i="50"/>
  <c r="M4443" i="50"/>
  <c r="N4442" i="50"/>
  <c r="M4442" i="50"/>
  <c r="N4441" i="50"/>
  <c r="M4441" i="50"/>
  <c r="N4440" i="50"/>
  <c r="M4440" i="50"/>
  <c r="N4439" i="50"/>
  <c r="M4439" i="50"/>
  <c r="N4438" i="50"/>
  <c r="M4438" i="50"/>
  <c r="N4437" i="50"/>
  <c r="M4437" i="50"/>
  <c r="N4436" i="50"/>
  <c r="M4436" i="50"/>
  <c r="N4435" i="50"/>
  <c r="M4435" i="50"/>
  <c r="N4434" i="50"/>
  <c r="M4434" i="50"/>
  <c r="N4433" i="50"/>
  <c r="M4433" i="50"/>
  <c r="N4432" i="50"/>
  <c r="M4432" i="50"/>
  <c r="N4431" i="50"/>
  <c r="M4431" i="50"/>
  <c r="N4430" i="50"/>
  <c r="M4430" i="50"/>
  <c r="N4429" i="50"/>
  <c r="M4429" i="50"/>
  <c r="N4428" i="50"/>
  <c r="M4428" i="50"/>
  <c r="N4427" i="50"/>
  <c r="M4427" i="50"/>
  <c r="N4426" i="50"/>
  <c r="M4426" i="50"/>
  <c r="N4425" i="50"/>
  <c r="M4425" i="50"/>
  <c r="N4424" i="50"/>
  <c r="M4424" i="50"/>
  <c r="N4423" i="50"/>
  <c r="M4423" i="50"/>
  <c r="N4422" i="50"/>
  <c r="M4422" i="50"/>
  <c r="N4421" i="50"/>
  <c r="M4421" i="50"/>
  <c r="N4420" i="50"/>
  <c r="M4420" i="50"/>
  <c r="N4419" i="50"/>
  <c r="M4419" i="50"/>
  <c r="N4418" i="50"/>
  <c r="M4418" i="50"/>
  <c r="N4417" i="50"/>
  <c r="M4417" i="50"/>
  <c r="N4416" i="50"/>
  <c r="M4416" i="50"/>
  <c r="N4415" i="50"/>
  <c r="M4415" i="50"/>
  <c r="N4414" i="50"/>
  <c r="M4414" i="50"/>
  <c r="N4413" i="50"/>
  <c r="M4413" i="50"/>
  <c r="N4412" i="50"/>
  <c r="M4412" i="50"/>
  <c r="N4411" i="50"/>
  <c r="M4411" i="50"/>
  <c r="N4410" i="50"/>
  <c r="M4410" i="50"/>
  <c r="N4409" i="50"/>
  <c r="M4409" i="50"/>
  <c r="N4408" i="50"/>
  <c r="M4408" i="50"/>
  <c r="N4407" i="50"/>
  <c r="M4407" i="50"/>
  <c r="N4406" i="50"/>
  <c r="M4406" i="50"/>
  <c r="N4405" i="50"/>
  <c r="M4405" i="50"/>
  <c r="N4404" i="50"/>
  <c r="M4404" i="50"/>
  <c r="N4403" i="50"/>
  <c r="M4403" i="50"/>
  <c r="N4402" i="50"/>
  <c r="M4402" i="50"/>
  <c r="N4401" i="50"/>
  <c r="M4401" i="50"/>
  <c r="N4400" i="50"/>
  <c r="M4400" i="50"/>
  <c r="N4399" i="50"/>
  <c r="M4399" i="50"/>
  <c r="N4398" i="50"/>
  <c r="M4398" i="50"/>
  <c r="N4397" i="50"/>
  <c r="M4397" i="50"/>
  <c r="N4396" i="50"/>
  <c r="M4396" i="50"/>
  <c r="N4395" i="50"/>
  <c r="M4395" i="50"/>
  <c r="N4394" i="50"/>
  <c r="M4394" i="50"/>
  <c r="N4393" i="50"/>
  <c r="M4393" i="50"/>
  <c r="N4392" i="50"/>
  <c r="M4392" i="50"/>
  <c r="N4391" i="50"/>
  <c r="M4391" i="50"/>
  <c r="N4390" i="50"/>
  <c r="M4390" i="50"/>
  <c r="N4389" i="50"/>
  <c r="M4389" i="50"/>
  <c r="N4388" i="50"/>
  <c r="M4388" i="50"/>
  <c r="N4387" i="50"/>
  <c r="M4387" i="50"/>
  <c r="N4386" i="50"/>
  <c r="M4386" i="50"/>
  <c r="N4385" i="50"/>
  <c r="M4385" i="50"/>
  <c r="N4384" i="50"/>
  <c r="M4384" i="50"/>
  <c r="N4383" i="50"/>
  <c r="M4383" i="50"/>
  <c r="N4382" i="50"/>
  <c r="M4382" i="50"/>
  <c r="N4381" i="50"/>
  <c r="M4381" i="50"/>
  <c r="N4380" i="50"/>
  <c r="M4380" i="50"/>
  <c r="N4379" i="50"/>
  <c r="M4379" i="50"/>
  <c r="N4378" i="50"/>
  <c r="M4378" i="50"/>
  <c r="N4377" i="50"/>
  <c r="M4377" i="50"/>
  <c r="N4376" i="50"/>
  <c r="M4376" i="50"/>
  <c r="N4375" i="50"/>
  <c r="M4375" i="50"/>
  <c r="N4374" i="50"/>
  <c r="M4374" i="50"/>
  <c r="N4373" i="50"/>
  <c r="M4373" i="50"/>
  <c r="N4372" i="50"/>
  <c r="M4372" i="50"/>
  <c r="N4371" i="50"/>
  <c r="M4371" i="50"/>
  <c r="N4370" i="50"/>
  <c r="M4370" i="50"/>
  <c r="N4369" i="50"/>
  <c r="M4369" i="50"/>
  <c r="N4368" i="50"/>
  <c r="M4368" i="50"/>
  <c r="N4367" i="50"/>
  <c r="M4367" i="50"/>
  <c r="N4366" i="50"/>
  <c r="M4366" i="50"/>
  <c r="N4365" i="50"/>
  <c r="M4365" i="50"/>
  <c r="N4364" i="50"/>
  <c r="M4364" i="50"/>
  <c r="N4363" i="50"/>
  <c r="M4363" i="50"/>
  <c r="N4362" i="50"/>
  <c r="M4362" i="50"/>
  <c r="N4361" i="50"/>
  <c r="M4361" i="50"/>
  <c r="N4360" i="50"/>
  <c r="M4360" i="50"/>
  <c r="N4359" i="50"/>
  <c r="M4359" i="50"/>
  <c r="N4358" i="50"/>
  <c r="M4358" i="50"/>
  <c r="N4357" i="50"/>
  <c r="M4357" i="50"/>
  <c r="N4356" i="50"/>
  <c r="M4356" i="50"/>
  <c r="N4355" i="50"/>
  <c r="M4355" i="50"/>
  <c r="N4354" i="50"/>
  <c r="M4354" i="50"/>
  <c r="N4353" i="50"/>
  <c r="M4353" i="50"/>
  <c r="N4352" i="50"/>
  <c r="M4352" i="50"/>
  <c r="N4351" i="50"/>
  <c r="M4351" i="50"/>
  <c r="N4350" i="50"/>
  <c r="M4350" i="50"/>
  <c r="N4349" i="50"/>
  <c r="M4349" i="50"/>
  <c r="N4348" i="50"/>
  <c r="M4348" i="50"/>
  <c r="N4347" i="50"/>
  <c r="M4347" i="50"/>
  <c r="N4346" i="50"/>
  <c r="M4346" i="50"/>
  <c r="N4345" i="50"/>
  <c r="M4345" i="50"/>
  <c r="N4344" i="50"/>
  <c r="M4344" i="50"/>
  <c r="N4343" i="50"/>
  <c r="M4343" i="50"/>
  <c r="N4342" i="50"/>
  <c r="M4342" i="50"/>
  <c r="N4341" i="50"/>
  <c r="M4341" i="50"/>
  <c r="N4340" i="50"/>
  <c r="M4340" i="50"/>
  <c r="N4339" i="50"/>
  <c r="M4339" i="50"/>
  <c r="N4338" i="50"/>
  <c r="M4338" i="50"/>
  <c r="N4337" i="50"/>
  <c r="M4337" i="50"/>
  <c r="N4336" i="50"/>
  <c r="M4336" i="50"/>
  <c r="N4335" i="50"/>
  <c r="M4335" i="50"/>
  <c r="N4334" i="50"/>
  <c r="M4334" i="50"/>
  <c r="N4333" i="50"/>
  <c r="M4333" i="50"/>
  <c r="N4332" i="50"/>
  <c r="M4332" i="50"/>
  <c r="N4331" i="50"/>
  <c r="M4331" i="50"/>
  <c r="N4330" i="50"/>
  <c r="M4330" i="50"/>
  <c r="N4329" i="50"/>
  <c r="M4329" i="50"/>
  <c r="N4328" i="50"/>
  <c r="M4328" i="50"/>
  <c r="N4327" i="50"/>
  <c r="M4327" i="50"/>
  <c r="N4326" i="50"/>
  <c r="M4326" i="50"/>
  <c r="N4325" i="50"/>
  <c r="M4325" i="50"/>
  <c r="N4324" i="50"/>
  <c r="M4324" i="50"/>
  <c r="N4323" i="50"/>
  <c r="M4323" i="50"/>
  <c r="N4322" i="50"/>
  <c r="M4322" i="50"/>
  <c r="N4321" i="50"/>
  <c r="M4321" i="50"/>
  <c r="N4320" i="50"/>
  <c r="M4320" i="50"/>
  <c r="N4319" i="50"/>
  <c r="M4319" i="50"/>
  <c r="N4318" i="50"/>
  <c r="M4318" i="50"/>
  <c r="N4317" i="50"/>
  <c r="M4317" i="50"/>
  <c r="N4316" i="50"/>
  <c r="M4316" i="50"/>
  <c r="N4315" i="50"/>
  <c r="M4315" i="50"/>
  <c r="N4314" i="50"/>
  <c r="M4314" i="50"/>
  <c r="N4313" i="50"/>
  <c r="M4313" i="50"/>
  <c r="N4312" i="50"/>
  <c r="M4312" i="50"/>
  <c r="N4311" i="50"/>
  <c r="M4311" i="50"/>
  <c r="N4310" i="50"/>
  <c r="M4310" i="50"/>
  <c r="N4309" i="50"/>
  <c r="M4309" i="50"/>
  <c r="N4308" i="50"/>
  <c r="M4308" i="50"/>
  <c r="N4307" i="50"/>
  <c r="M4307" i="50"/>
  <c r="N4306" i="50"/>
  <c r="M4306" i="50"/>
  <c r="N4305" i="50"/>
  <c r="M4305" i="50"/>
  <c r="N4304" i="50"/>
  <c r="M4304" i="50"/>
  <c r="N4303" i="50"/>
  <c r="M4303" i="50"/>
  <c r="N4302" i="50"/>
  <c r="M4302" i="50"/>
  <c r="N4301" i="50"/>
  <c r="M4301" i="50"/>
  <c r="N4300" i="50"/>
  <c r="M4300" i="50"/>
  <c r="N4299" i="50"/>
  <c r="M4299" i="50"/>
  <c r="N4298" i="50"/>
  <c r="M4298" i="50"/>
  <c r="N4297" i="50"/>
  <c r="M4297" i="50"/>
  <c r="N4296" i="50"/>
  <c r="M4296" i="50"/>
  <c r="N4295" i="50"/>
  <c r="M4295" i="50"/>
  <c r="N4294" i="50"/>
  <c r="M4294" i="50"/>
  <c r="N4293" i="50"/>
  <c r="M4293" i="50"/>
  <c r="N4292" i="50"/>
  <c r="M4292" i="50"/>
  <c r="N4291" i="50"/>
  <c r="M4291" i="50"/>
  <c r="N4290" i="50"/>
  <c r="M4290" i="50"/>
  <c r="N4289" i="50"/>
  <c r="M4289" i="50"/>
  <c r="N4288" i="50"/>
  <c r="M4288" i="50"/>
  <c r="N4287" i="50"/>
  <c r="M4287" i="50"/>
  <c r="N4286" i="50"/>
  <c r="M4286" i="50"/>
  <c r="N4285" i="50"/>
  <c r="M4285" i="50"/>
  <c r="N4284" i="50"/>
  <c r="M4284" i="50"/>
  <c r="N4283" i="50"/>
  <c r="M4283" i="50"/>
  <c r="N4282" i="50"/>
  <c r="M4282" i="50"/>
  <c r="N4281" i="50"/>
  <c r="M4281" i="50"/>
  <c r="N4280" i="50"/>
  <c r="M4280" i="50"/>
  <c r="N4279" i="50"/>
  <c r="M4279" i="50"/>
  <c r="N4278" i="50"/>
  <c r="M4278" i="50"/>
  <c r="N4277" i="50"/>
  <c r="M4277" i="50"/>
  <c r="N4276" i="50"/>
  <c r="M4276" i="50"/>
  <c r="N4275" i="50"/>
  <c r="M4275" i="50"/>
  <c r="N4274" i="50"/>
  <c r="M4274" i="50"/>
  <c r="N4273" i="50"/>
  <c r="M4273" i="50"/>
  <c r="N4272" i="50"/>
  <c r="M4272" i="50"/>
  <c r="N4271" i="50"/>
  <c r="M4271" i="50"/>
  <c r="N4270" i="50"/>
  <c r="M4270" i="50"/>
  <c r="N4269" i="50"/>
  <c r="M4269" i="50"/>
  <c r="N4268" i="50"/>
  <c r="M4268" i="50"/>
  <c r="N4267" i="50"/>
  <c r="M4267" i="50"/>
  <c r="N4266" i="50"/>
  <c r="M4266" i="50"/>
  <c r="N4265" i="50"/>
  <c r="M4265" i="50"/>
  <c r="N4264" i="50"/>
  <c r="M4264" i="50"/>
  <c r="N4263" i="50"/>
  <c r="M4263" i="50"/>
  <c r="N4262" i="50"/>
  <c r="M4262" i="50"/>
  <c r="N4261" i="50"/>
  <c r="M4261" i="50"/>
  <c r="N4260" i="50"/>
  <c r="M4260" i="50"/>
  <c r="N4259" i="50"/>
  <c r="M4259" i="50"/>
  <c r="N4258" i="50"/>
  <c r="M4258" i="50"/>
  <c r="N4257" i="50"/>
  <c r="M4257" i="50"/>
  <c r="N4256" i="50"/>
  <c r="M4256" i="50"/>
  <c r="N4255" i="50"/>
  <c r="M4255" i="50"/>
  <c r="N4254" i="50"/>
  <c r="M4254" i="50"/>
  <c r="N4253" i="50"/>
  <c r="M4253" i="50"/>
  <c r="N4252" i="50"/>
  <c r="M4252" i="50"/>
  <c r="N4251" i="50"/>
  <c r="M4251" i="50"/>
  <c r="N4250" i="50"/>
  <c r="M4250" i="50"/>
  <c r="N4249" i="50"/>
  <c r="M4249" i="50"/>
  <c r="N4248" i="50"/>
  <c r="M4248" i="50"/>
  <c r="N4247" i="50"/>
  <c r="M4247" i="50"/>
  <c r="N4246" i="50"/>
  <c r="M4246" i="50"/>
  <c r="N4245" i="50"/>
  <c r="M4245" i="50"/>
  <c r="N4244" i="50"/>
  <c r="M4244" i="50"/>
  <c r="N4243" i="50"/>
  <c r="M4243" i="50"/>
  <c r="N4242" i="50"/>
  <c r="M4242" i="50"/>
  <c r="N4241" i="50"/>
  <c r="M4241" i="50"/>
  <c r="N4240" i="50"/>
  <c r="M4240" i="50"/>
  <c r="N4239" i="50"/>
  <c r="M4239" i="50"/>
  <c r="N4238" i="50"/>
  <c r="M4238" i="50"/>
  <c r="N4237" i="50"/>
  <c r="M4237" i="50"/>
  <c r="N4236" i="50"/>
  <c r="M4236" i="50"/>
  <c r="N4235" i="50"/>
  <c r="M4235" i="50"/>
  <c r="N4234" i="50"/>
  <c r="M4234" i="50"/>
  <c r="N4233" i="50"/>
  <c r="M4233" i="50"/>
  <c r="N4232" i="50"/>
  <c r="M4232" i="50"/>
  <c r="N4231" i="50"/>
  <c r="M4231" i="50"/>
  <c r="N4230" i="50"/>
  <c r="M4230" i="50"/>
  <c r="N4229" i="50"/>
  <c r="M4229" i="50"/>
  <c r="N4228" i="50"/>
  <c r="M4228" i="50"/>
  <c r="N4227" i="50"/>
  <c r="M4227" i="50"/>
  <c r="N4226" i="50"/>
  <c r="M4226" i="50"/>
  <c r="N4225" i="50"/>
  <c r="M4225" i="50"/>
  <c r="N4224" i="50"/>
  <c r="M4224" i="50"/>
  <c r="N4223" i="50"/>
  <c r="M4223" i="50"/>
  <c r="N4222" i="50"/>
  <c r="M4222" i="50"/>
  <c r="N4221" i="50"/>
  <c r="M4221" i="50"/>
  <c r="N4220" i="50"/>
  <c r="M4220" i="50"/>
  <c r="N4219" i="50"/>
  <c r="M4219" i="50"/>
  <c r="N4218" i="50"/>
  <c r="M4218" i="50"/>
  <c r="N4217" i="50"/>
  <c r="M4217" i="50"/>
  <c r="N4216" i="50"/>
  <c r="M4216" i="50"/>
  <c r="N4215" i="50"/>
  <c r="M4215" i="50"/>
  <c r="N4214" i="50"/>
  <c r="M4214" i="50"/>
  <c r="N4213" i="50"/>
  <c r="M4213" i="50"/>
  <c r="N4212" i="50"/>
  <c r="M4212" i="50"/>
  <c r="N4211" i="50"/>
  <c r="M4211" i="50"/>
  <c r="N4210" i="50"/>
  <c r="M4210" i="50"/>
  <c r="N4209" i="50"/>
  <c r="M4209" i="50"/>
  <c r="N4208" i="50"/>
  <c r="M4208" i="50"/>
  <c r="N4207" i="50"/>
  <c r="M4207" i="50"/>
  <c r="N4206" i="50"/>
  <c r="M4206" i="50"/>
  <c r="N4205" i="50"/>
  <c r="M4205" i="50"/>
  <c r="N4204" i="50"/>
  <c r="M4204" i="50"/>
  <c r="N4203" i="50"/>
  <c r="M4203" i="50"/>
  <c r="N4202" i="50"/>
  <c r="M4202" i="50"/>
  <c r="N4201" i="50"/>
  <c r="M4201" i="50"/>
  <c r="N4200" i="50"/>
  <c r="M4200" i="50"/>
  <c r="N4199" i="50"/>
  <c r="M4199" i="50"/>
  <c r="N4198" i="50"/>
  <c r="M4198" i="50"/>
  <c r="N4197" i="50"/>
  <c r="M4197" i="50"/>
  <c r="N4196" i="50"/>
  <c r="M4196" i="50"/>
  <c r="N4195" i="50"/>
  <c r="M4195" i="50"/>
  <c r="N4194" i="50"/>
  <c r="M4194" i="50"/>
  <c r="N4193" i="50"/>
  <c r="M4193" i="50"/>
  <c r="N4192" i="50"/>
  <c r="M4192" i="50"/>
  <c r="N4191" i="50"/>
  <c r="M4191" i="50"/>
  <c r="N4190" i="50"/>
  <c r="M4190" i="50"/>
  <c r="N4189" i="50"/>
  <c r="M4189" i="50"/>
  <c r="N4188" i="50"/>
  <c r="M4188" i="50"/>
  <c r="N4187" i="50"/>
  <c r="M4187" i="50"/>
  <c r="N4186" i="50"/>
  <c r="M4186" i="50"/>
  <c r="N4185" i="50"/>
  <c r="M4185" i="50"/>
  <c r="N4184" i="50"/>
  <c r="M4184" i="50"/>
  <c r="N4183" i="50"/>
  <c r="M4183" i="50"/>
  <c r="N4182" i="50"/>
  <c r="M4182" i="50"/>
  <c r="N4181" i="50"/>
  <c r="M4181" i="50"/>
  <c r="N4180" i="50"/>
  <c r="M4180" i="50"/>
  <c r="N4179" i="50"/>
  <c r="M4179" i="50"/>
  <c r="N4178" i="50"/>
  <c r="M4178" i="50"/>
  <c r="N4177" i="50"/>
  <c r="M4177" i="50"/>
  <c r="N4176" i="50"/>
  <c r="M4176" i="50"/>
  <c r="N4175" i="50"/>
  <c r="M4175" i="50"/>
  <c r="N4174" i="50"/>
  <c r="M4174" i="50"/>
  <c r="N4173" i="50"/>
  <c r="M4173" i="50"/>
  <c r="N4172" i="50"/>
  <c r="M4172" i="50"/>
  <c r="N4171" i="50"/>
  <c r="M4171" i="50"/>
  <c r="N4170" i="50"/>
  <c r="M4170" i="50"/>
  <c r="N4169" i="50"/>
  <c r="M4169" i="50"/>
  <c r="N4168" i="50"/>
  <c r="M4168" i="50"/>
  <c r="N4167" i="50"/>
  <c r="M4167" i="50"/>
  <c r="N4166" i="50"/>
  <c r="M4166" i="50"/>
  <c r="N4165" i="50"/>
  <c r="M4165" i="50"/>
  <c r="N4164" i="50"/>
  <c r="M4164" i="50"/>
  <c r="N4163" i="50"/>
  <c r="M4163" i="50"/>
  <c r="N4162" i="50"/>
  <c r="M4162" i="50"/>
  <c r="N4161" i="50"/>
  <c r="M4161" i="50"/>
  <c r="N4160" i="50"/>
  <c r="M4160" i="50"/>
  <c r="N4159" i="50"/>
  <c r="M4159" i="50"/>
  <c r="N4158" i="50"/>
  <c r="M4158" i="50"/>
  <c r="N4157" i="50"/>
  <c r="M4157" i="50"/>
  <c r="N4156" i="50"/>
  <c r="M4156" i="50"/>
  <c r="N4155" i="50"/>
  <c r="M4155" i="50"/>
  <c r="N4154" i="50"/>
  <c r="M4154" i="50"/>
  <c r="N4153" i="50"/>
  <c r="M4153" i="50"/>
  <c r="N4152" i="50"/>
  <c r="M4152" i="50"/>
  <c r="N4151" i="50"/>
  <c r="M4151" i="50"/>
  <c r="N4150" i="50"/>
  <c r="M4150" i="50"/>
  <c r="N4149" i="50"/>
  <c r="M4149" i="50"/>
  <c r="N4148" i="50"/>
  <c r="M4148" i="50"/>
  <c r="N4147" i="50"/>
  <c r="M4147" i="50"/>
  <c r="N4146" i="50"/>
  <c r="M4146" i="50"/>
  <c r="N4145" i="50"/>
  <c r="M4145" i="50"/>
  <c r="N4144" i="50"/>
  <c r="M4144" i="50"/>
  <c r="N4143" i="50"/>
  <c r="M4143" i="50"/>
  <c r="N4142" i="50"/>
  <c r="M4142" i="50"/>
  <c r="N4141" i="50"/>
  <c r="M4141" i="50"/>
  <c r="N4140" i="50"/>
  <c r="M4140" i="50"/>
  <c r="N4139" i="50"/>
  <c r="M4139" i="50"/>
  <c r="N4138" i="50"/>
  <c r="M4138" i="50"/>
  <c r="N4137" i="50"/>
  <c r="M4137" i="50"/>
  <c r="N4136" i="50"/>
  <c r="M4136" i="50"/>
  <c r="N4135" i="50"/>
  <c r="M4135" i="50"/>
  <c r="N4134" i="50"/>
  <c r="M4134" i="50"/>
  <c r="N4133" i="50"/>
  <c r="M4133" i="50"/>
  <c r="N4132" i="50"/>
  <c r="M4132" i="50"/>
  <c r="N4131" i="50"/>
  <c r="M4131" i="50"/>
  <c r="N4130" i="50"/>
  <c r="M4130" i="50"/>
  <c r="N4129" i="50"/>
  <c r="M4129" i="50"/>
  <c r="N4128" i="50"/>
  <c r="M4128" i="50"/>
  <c r="N4127" i="50"/>
  <c r="M4127" i="50"/>
  <c r="N4126" i="50"/>
  <c r="M4126" i="50"/>
  <c r="N4125" i="50"/>
  <c r="M4125" i="50"/>
  <c r="N4124" i="50"/>
  <c r="M4124" i="50"/>
  <c r="N4123" i="50"/>
  <c r="M4123" i="50"/>
  <c r="N4122" i="50"/>
  <c r="M4122" i="50"/>
  <c r="N4121" i="50"/>
  <c r="M4121" i="50"/>
  <c r="N4120" i="50"/>
  <c r="M4120" i="50"/>
  <c r="N4119" i="50"/>
  <c r="M4119" i="50"/>
  <c r="N4118" i="50"/>
  <c r="M4118" i="50"/>
  <c r="N4117" i="50"/>
  <c r="M4117" i="50"/>
  <c r="N4116" i="50"/>
  <c r="M4116" i="50"/>
  <c r="N4115" i="50"/>
  <c r="M4115" i="50"/>
  <c r="N4114" i="50"/>
  <c r="M4114" i="50"/>
  <c r="N4113" i="50"/>
  <c r="M4113" i="50"/>
  <c r="N4112" i="50"/>
  <c r="M4112" i="50"/>
  <c r="N4111" i="50"/>
  <c r="M4111" i="50"/>
  <c r="N4110" i="50"/>
  <c r="M4110" i="50"/>
  <c r="N4109" i="50"/>
  <c r="M4109" i="50"/>
  <c r="N4108" i="50"/>
  <c r="M4108" i="50"/>
  <c r="N4107" i="50"/>
  <c r="M4107" i="50"/>
  <c r="N4106" i="50"/>
  <c r="M4106" i="50"/>
  <c r="N4105" i="50"/>
  <c r="M4105" i="50"/>
  <c r="N4104" i="50"/>
  <c r="M4104" i="50"/>
  <c r="N4103" i="50"/>
  <c r="M4103" i="50"/>
  <c r="N4102" i="50"/>
  <c r="M4102" i="50"/>
  <c r="N4101" i="50"/>
  <c r="M4101" i="50"/>
  <c r="N4100" i="50"/>
  <c r="M4100" i="50"/>
  <c r="N4099" i="50"/>
  <c r="M4099" i="50"/>
  <c r="N4098" i="50"/>
  <c r="M4098" i="50"/>
  <c r="N4097" i="50"/>
  <c r="M4097" i="50"/>
  <c r="N4096" i="50"/>
  <c r="M4096" i="50"/>
  <c r="N4095" i="50"/>
  <c r="M4095" i="50"/>
  <c r="N4094" i="50"/>
  <c r="M4094" i="50"/>
  <c r="N4093" i="50"/>
  <c r="M4093" i="50"/>
  <c r="N4092" i="50"/>
  <c r="M4092" i="50"/>
  <c r="N4091" i="50"/>
  <c r="M4091" i="50"/>
  <c r="N4090" i="50"/>
  <c r="M4090" i="50"/>
  <c r="N4089" i="50"/>
  <c r="M4089" i="50"/>
  <c r="N4088" i="50"/>
  <c r="M4088" i="50"/>
  <c r="N4087" i="50"/>
  <c r="M4087" i="50"/>
  <c r="N4086" i="50"/>
  <c r="M4086" i="50"/>
  <c r="N4085" i="50"/>
  <c r="M4085" i="50"/>
  <c r="N4084" i="50"/>
  <c r="M4084" i="50"/>
  <c r="N4083" i="50"/>
  <c r="M4083" i="50"/>
  <c r="N4082" i="50"/>
  <c r="M4082" i="50"/>
  <c r="N4081" i="50"/>
  <c r="M4081" i="50"/>
  <c r="N4080" i="50"/>
  <c r="M4080" i="50"/>
  <c r="N4079" i="50"/>
  <c r="M4079" i="50"/>
  <c r="N4078" i="50"/>
  <c r="M4078" i="50"/>
  <c r="N4077" i="50"/>
  <c r="M4077" i="50"/>
  <c r="N4076" i="50"/>
  <c r="M4076" i="50"/>
  <c r="N4075" i="50"/>
  <c r="M4075" i="50"/>
  <c r="N4074" i="50"/>
  <c r="M4074" i="50"/>
  <c r="N4073" i="50"/>
  <c r="M4073" i="50"/>
  <c r="N4072" i="50"/>
  <c r="M4072" i="50"/>
  <c r="N4071" i="50"/>
  <c r="M4071" i="50"/>
  <c r="N4070" i="50"/>
  <c r="M4070" i="50"/>
  <c r="N4069" i="50"/>
  <c r="M4069" i="50"/>
  <c r="N4068" i="50"/>
  <c r="M4068" i="50"/>
  <c r="N4067" i="50"/>
  <c r="M4067" i="50"/>
  <c r="N4066" i="50"/>
  <c r="M4066" i="50"/>
  <c r="N4065" i="50"/>
  <c r="M4065" i="50"/>
  <c r="N4064" i="50"/>
  <c r="M4064" i="50"/>
  <c r="N4063" i="50"/>
  <c r="M4063" i="50"/>
  <c r="N4062" i="50"/>
  <c r="M4062" i="50"/>
  <c r="N4061" i="50"/>
  <c r="M4061" i="50"/>
  <c r="N4060" i="50"/>
  <c r="M4060" i="50"/>
  <c r="N4059" i="50"/>
  <c r="M4059" i="50"/>
  <c r="N4058" i="50"/>
  <c r="M4058" i="50"/>
  <c r="N4057" i="50"/>
  <c r="M4057" i="50"/>
  <c r="N4056" i="50"/>
  <c r="M4056" i="50"/>
  <c r="N4055" i="50"/>
  <c r="M4055" i="50"/>
  <c r="N4054" i="50"/>
  <c r="M4054" i="50"/>
  <c r="N4053" i="50"/>
  <c r="M4053" i="50"/>
  <c r="N4052" i="50"/>
  <c r="M4052" i="50"/>
  <c r="N4051" i="50"/>
  <c r="M4051" i="50"/>
  <c r="N4050" i="50"/>
  <c r="M4050" i="50"/>
  <c r="N4049" i="50"/>
  <c r="M4049" i="50"/>
  <c r="N4048" i="50"/>
  <c r="M4048" i="50"/>
  <c r="N4047" i="50"/>
  <c r="M4047" i="50"/>
  <c r="N4046" i="50"/>
  <c r="M4046" i="50"/>
  <c r="N4045" i="50"/>
  <c r="M4045" i="50"/>
  <c r="N4044" i="50"/>
  <c r="M4044" i="50"/>
  <c r="N4043" i="50"/>
  <c r="M4043" i="50"/>
  <c r="N4042" i="50"/>
  <c r="M4042" i="50"/>
  <c r="N4041" i="50"/>
  <c r="M4041" i="50"/>
  <c r="N4040" i="50"/>
  <c r="M4040" i="50"/>
  <c r="N4039" i="50"/>
  <c r="M4039" i="50"/>
  <c r="N4038" i="50"/>
  <c r="M4038" i="50"/>
  <c r="N4037" i="50"/>
  <c r="M4037" i="50"/>
  <c r="N4036" i="50"/>
  <c r="M4036" i="50"/>
  <c r="N4035" i="50"/>
  <c r="M4035" i="50"/>
  <c r="N4034" i="50"/>
  <c r="M4034" i="50"/>
  <c r="N4033" i="50"/>
  <c r="M4033" i="50"/>
  <c r="N4032" i="50"/>
  <c r="M4032" i="50"/>
  <c r="N4031" i="50"/>
  <c r="M4031" i="50"/>
  <c r="N4030" i="50"/>
  <c r="M4030" i="50"/>
  <c r="N4029" i="50"/>
  <c r="M4029" i="50"/>
  <c r="N4028" i="50"/>
  <c r="M4028" i="50"/>
  <c r="N4027" i="50"/>
  <c r="M4027" i="50"/>
  <c r="N4026" i="50"/>
  <c r="M4026" i="50"/>
  <c r="N4025" i="50"/>
  <c r="M4025" i="50"/>
  <c r="N4024" i="50"/>
  <c r="M4024" i="50"/>
  <c r="N4023" i="50"/>
  <c r="M4023" i="50"/>
  <c r="N4022" i="50"/>
  <c r="M4022" i="50"/>
  <c r="N4021" i="50"/>
  <c r="M4021" i="50"/>
  <c r="N4020" i="50"/>
  <c r="M4020" i="50"/>
  <c r="N4019" i="50"/>
  <c r="M4019" i="50"/>
  <c r="N4018" i="50"/>
  <c r="M4018" i="50"/>
  <c r="N4017" i="50"/>
  <c r="M4017" i="50"/>
  <c r="N4016" i="50"/>
  <c r="M4016" i="50"/>
  <c r="N4015" i="50"/>
  <c r="M4015" i="50"/>
  <c r="N4014" i="50"/>
  <c r="M4014" i="50"/>
  <c r="N4013" i="50"/>
  <c r="M4013" i="50"/>
  <c r="N4012" i="50"/>
  <c r="M4012" i="50"/>
  <c r="N4011" i="50"/>
  <c r="M4011" i="50"/>
  <c r="N4010" i="50"/>
  <c r="M4010" i="50"/>
  <c r="N4009" i="50"/>
  <c r="M4009" i="50"/>
  <c r="N4008" i="50"/>
  <c r="M4008" i="50"/>
  <c r="N4007" i="50"/>
  <c r="M4007" i="50"/>
  <c r="N4006" i="50"/>
  <c r="M4006" i="50"/>
  <c r="N4005" i="50"/>
  <c r="M4005" i="50"/>
  <c r="N4004" i="50"/>
  <c r="M4004" i="50"/>
  <c r="N4003" i="50"/>
  <c r="M4003" i="50"/>
  <c r="N4002" i="50"/>
  <c r="M4002" i="50"/>
  <c r="N4001" i="50"/>
  <c r="M4001" i="50"/>
  <c r="N4000" i="50"/>
  <c r="M4000" i="50"/>
  <c r="N3999" i="50"/>
  <c r="M3999" i="50"/>
  <c r="N3998" i="50"/>
  <c r="M3998" i="50"/>
  <c r="N3997" i="50"/>
  <c r="M3997" i="50"/>
  <c r="N3996" i="50"/>
  <c r="M3996" i="50"/>
  <c r="N3995" i="50"/>
  <c r="M3995" i="50"/>
  <c r="N3994" i="50"/>
  <c r="M3994" i="50"/>
  <c r="N3993" i="50"/>
  <c r="M3993" i="50"/>
  <c r="N3992" i="50"/>
  <c r="M3992" i="50"/>
  <c r="N3991" i="50"/>
  <c r="M3991" i="50"/>
  <c r="N3990" i="50"/>
  <c r="M3990" i="50"/>
  <c r="N3989" i="50"/>
  <c r="M3989" i="50"/>
  <c r="N3988" i="50"/>
  <c r="M3988" i="50"/>
  <c r="N3987" i="50"/>
  <c r="M3987" i="50"/>
  <c r="N3986" i="50"/>
  <c r="M3986" i="50"/>
  <c r="N3985" i="50"/>
  <c r="M3985" i="50"/>
  <c r="N3984" i="50"/>
  <c r="M3984" i="50"/>
  <c r="N3983" i="50"/>
  <c r="M3983" i="50"/>
  <c r="N3982" i="50"/>
  <c r="M3982" i="50"/>
  <c r="N3981" i="50"/>
  <c r="M3981" i="50"/>
  <c r="N3980" i="50"/>
  <c r="M3980" i="50"/>
  <c r="N3979" i="50"/>
  <c r="M3979" i="50"/>
  <c r="N3978" i="50"/>
  <c r="M3978" i="50"/>
  <c r="N3977" i="50"/>
  <c r="M3977" i="50"/>
  <c r="N3976" i="50"/>
  <c r="M3976" i="50"/>
  <c r="N3975" i="50"/>
  <c r="M3975" i="50"/>
  <c r="N3974" i="50"/>
  <c r="M3974" i="50"/>
  <c r="N3973" i="50"/>
  <c r="M3973" i="50"/>
  <c r="N3972" i="50"/>
  <c r="M3972" i="50"/>
  <c r="N3971" i="50"/>
  <c r="M3971" i="50"/>
  <c r="N3970" i="50"/>
  <c r="M3970" i="50"/>
  <c r="N3969" i="50"/>
  <c r="M3969" i="50"/>
  <c r="N3968" i="50"/>
  <c r="M3968" i="50"/>
  <c r="N3967" i="50"/>
  <c r="M3967" i="50"/>
  <c r="N3966" i="50"/>
  <c r="M3966" i="50"/>
  <c r="N3965" i="50"/>
  <c r="M3965" i="50"/>
  <c r="N3964" i="50"/>
  <c r="M3964" i="50"/>
  <c r="N3963" i="50"/>
  <c r="M3963" i="50"/>
  <c r="N3962" i="50"/>
  <c r="M3962" i="50"/>
  <c r="N3961" i="50"/>
  <c r="M3961" i="50"/>
  <c r="N3960" i="50"/>
  <c r="M3960" i="50"/>
  <c r="N3959" i="50"/>
  <c r="M3959" i="50"/>
  <c r="N3958" i="50"/>
  <c r="M3958" i="50"/>
  <c r="N3957" i="50"/>
  <c r="M3957" i="50"/>
  <c r="N3956" i="50"/>
  <c r="M3956" i="50"/>
  <c r="N3955" i="50"/>
  <c r="M3955" i="50"/>
  <c r="N3954" i="50"/>
  <c r="M3954" i="50"/>
  <c r="N3953" i="50"/>
  <c r="M3953" i="50"/>
  <c r="N3952" i="50"/>
  <c r="M3952" i="50"/>
  <c r="N3951" i="50"/>
  <c r="M3951" i="50"/>
  <c r="N3950" i="50"/>
  <c r="M3950" i="50"/>
  <c r="N3949" i="50"/>
  <c r="M3949" i="50"/>
  <c r="N3948" i="50"/>
  <c r="M3948" i="50"/>
  <c r="N3947" i="50"/>
  <c r="M3947" i="50"/>
  <c r="N3946" i="50"/>
  <c r="M3946" i="50"/>
  <c r="N3945" i="50"/>
  <c r="M3945" i="50"/>
  <c r="N3944" i="50"/>
  <c r="M3944" i="50"/>
  <c r="N3943" i="50"/>
  <c r="M3943" i="50"/>
  <c r="N3942" i="50"/>
  <c r="M3942" i="50"/>
  <c r="N3941" i="50"/>
  <c r="M3941" i="50"/>
  <c r="N3940" i="50"/>
  <c r="M3940" i="50"/>
  <c r="N3939" i="50"/>
  <c r="M3939" i="50"/>
  <c r="N3938" i="50"/>
  <c r="M3938" i="50"/>
  <c r="N3937" i="50"/>
  <c r="M3937" i="50"/>
  <c r="N3936" i="50"/>
  <c r="M3936" i="50"/>
  <c r="N3935" i="50"/>
  <c r="M3935" i="50"/>
  <c r="N3934" i="50"/>
  <c r="M3934" i="50"/>
  <c r="N3933" i="50"/>
  <c r="M3933" i="50"/>
  <c r="N3932" i="50"/>
  <c r="M3932" i="50"/>
  <c r="N3931" i="50"/>
  <c r="M3931" i="50"/>
  <c r="N3930" i="50"/>
  <c r="M3930" i="50"/>
  <c r="N3929" i="50"/>
  <c r="M3929" i="50"/>
  <c r="N3928" i="50"/>
  <c r="M3928" i="50"/>
  <c r="N3927" i="50"/>
  <c r="M3927" i="50"/>
  <c r="N3926" i="50"/>
  <c r="M3926" i="50"/>
  <c r="N3925" i="50"/>
  <c r="M3925" i="50"/>
  <c r="N3924" i="50"/>
  <c r="M3924" i="50"/>
  <c r="N3923" i="50"/>
  <c r="M3923" i="50"/>
  <c r="N3922" i="50"/>
  <c r="M3922" i="50"/>
  <c r="N3921" i="50"/>
  <c r="M3921" i="50"/>
  <c r="N3920" i="50"/>
  <c r="M3920" i="50"/>
  <c r="N3919" i="50"/>
  <c r="M3919" i="50"/>
  <c r="N3918" i="50"/>
  <c r="M3918" i="50"/>
  <c r="N3917" i="50"/>
  <c r="M3917" i="50"/>
  <c r="N3916" i="50"/>
  <c r="M3916" i="50"/>
  <c r="N3915" i="50"/>
  <c r="M3915" i="50"/>
  <c r="N3914" i="50"/>
  <c r="M3914" i="50"/>
  <c r="N3913" i="50"/>
  <c r="M3913" i="50"/>
  <c r="N3912" i="50"/>
  <c r="M3912" i="50"/>
  <c r="N3911" i="50"/>
  <c r="M3911" i="50"/>
  <c r="N3910" i="50"/>
  <c r="M3910" i="50"/>
  <c r="N3909" i="50"/>
  <c r="M3909" i="50"/>
  <c r="N3908" i="50"/>
  <c r="M3908" i="50"/>
  <c r="N3907" i="50"/>
  <c r="M3907" i="50"/>
  <c r="N3906" i="50"/>
  <c r="M3906" i="50"/>
  <c r="N3905" i="50"/>
  <c r="M3905" i="50"/>
  <c r="N3904" i="50"/>
  <c r="M3904" i="50"/>
  <c r="N3903" i="50"/>
  <c r="M3903" i="50"/>
  <c r="N3902" i="50"/>
  <c r="M3902" i="50"/>
  <c r="N3901" i="50"/>
  <c r="M3901" i="50"/>
  <c r="N3900" i="50"/>
  <c r="M3900" i="50"/>
  <c r="N3899" i="50"/>
  <c r="M3899" i="50"/>
  <c r="N3898" i="50"/>
  <c r="M3898" i="50"/>
  <c r="N3897" i="50"/>
  <c r="M3897" i="50"/>
  <c r="N3896" i="50"/>
  <c r="M3896" i="50"/>
  <c r="N3895" i="50"/>
  <c r="M3895" i="50"/>
  <c r="N3894" i="50"/>
  <c r="M3894" i="50"/>
  <c r="N3893" i="50"/>
  <c r="M3893" i="50"/>
  <c r="N3892" i="50"/>
  <c r="M3892" i="50"/>
  <c r="N3891" i="50"/>
  <c r="M3891" i="50"/>
  <c r="N3890" i="50"/>
  <c r="M3890" i="50"/>
  <c r="N3889" i="50"/>
  <c r="M3889" i="50"/>
  <c r="N3888" i="50"/>
  <c r="M3888" i="50"/>
  <c r="N3887" i="50"/>
  <c r="M3887" i="50"/>
  <c r="N3886" i="50"/>
  <c r="M3886" i="50"/>
  <c r="N3885" i="50"/>
  <c r="M3885" i="50"/>
  <c r="N3884" i="50"/>
  <c r="M3884" i="50"/>
  <c r="N3883" i="50"/>
  <c r="M3883" i="50"/>
  <c r="N3882" i="50"/>
  <c r="M3882" i="50"/>
  <c r="N3881" i="50"/>
  <c r="M3881" i="50"/>
  <c r="N3880" i="50"/>
  <c r="M3880" i="50"/>
  <c r="N3879" i="50"/>
  <c r="M3879" i="50"/>
  <c r="N3878" i="50"/>
  <c r="M3878" i="50"/>
  <c r="N3877" i="50"/>
  <c r="M3877" i="50"/>
  <c r="N3876" i="50"/>
  <c r="M3876" i="50"/>
  <c r="N3875" i="50"/>
  <c r="M3875" i="50"/>
  <c r="N3874" i="50"/>
  <c r="M3874" i="50"/>
  <c r="N3873" i="50"/>
  <c r="M3873" i="50"/>
  <c r="N3872" i="50"/>
  <c r="M3872" i="50"/>
  <c r="N3871" i="50"/>
  <c r="M3871" i="50"/>
  <c r="N3870" i="50"/>
  <c r="M3870" i="50"/>
  <c r="N3869" i="50"/>
  <c r="M3869" i="50"/>
  <c r="N3868" i="50"/>
  <c r="M3868" i="50"/>
  <c r="N3867" i="50"/>
  <c r="M3867" i="50"/>
  <c r="N3866" i="50"/>
  <c r="M3866" i="50"/>
  <c r="N3865" i="50"/>
  <c r="M3865" i="50"/>
  <c r="N3864" i="50"/>
  <c r="M3864" i="50"/>
  <c r="N3863" i="50"/>
  <c r="M3863" i="50"/>
  <c r="N3862" i="50"/>
  <c r="M3862" i="50"/>
  <c r="N3861" i="50"/>
  <c r="M3861" i="50"/>
  <c r="N3860" i="50"/>
  <c r="M3860" i="50"/>
  <c r="N3859" i="50"/>
  <c r="M3859" i="50"/>
  <c r="N3858" i="50"/>
  <c r="M3858" i="50"/>
  <c r="N3857" i="50"/>
  <c r="M3857" i="50"/>
  <c r="N3856" i="50"/>
  <c r="M3856" i="50"/>
  <c r="N3855" i="50"/>
  <c r="M3855" i="50"/>
  <c r="N3854" i="50"/>
  <c r="M3854" i="50"/>
  <c r="N3853" i="50"/>
  <c r="M3853" i="50"/>
  <c r="N3852" i="50"/>
  <c r="M3852" i="50"/>
  <c r="N3851" i="50"/>
  <c r="M3851" i="50"/>
  <c r="N3850" i="50"/>
  <c r="M3850" i="50"/>
  <c r="N3849" i="50"/>
  <c r="M3849" i="50"/>
  <c r="N3848" i="50"/>
  <c r="M3848" i="50"/>
  <c r="N3847" i="50"/>
  <c r="M3847" i="50"/>
  <c r="N3846" i="50"/>
  <c r="M3846" i="50"/>
  <c r="N3845" i="50"/>
  <c r="M3845" i="50"/>
  <c r="N3844" i="50"/>
  <c r="M3844" i="50"/>
  <c r="N3843" i="50"/>
  <c r="M3843" i="50"/>
  <c r="N3842" i="50"/>
  <c r="M3842" i="50"/>
  <c r="N3841" i="50"/>
  <c r="M3841" i="50"/>
  <c r="N3840" i="50"/>
  <c r="M3840" i="50"/>
  <c r="N3839" i="50"/>
  <c r="M3839" i="50"/>
  <c r="N3838" i="50"/>
  <c r="M3838" i="50"/>
  <c r="N3837" i="50"/>
  <c r="M3837" i="50"/>
  <c r="N3836" i="50"/>
  <c r="M3836" i="50"/>
  <c r="N3835" i="50"/>
  <c r="M3835" i="50"/>
  <c r="N3834" i="50"/>
  <c r="M3834" i="50"/>
  <c r="N3833" i="50"/>
  <c r="M3833" i="50"/>
  <c r="N3832" i="50"/>
  <c r="M3832" i="50"/>
  <c r="N3831" i="50"/>
  <c r="M3831" i="50"/>
  <c r="N3830" i="50"/>
  <c r="M3830" i="50"/>
  <c r="N3829" i="50"/>
  <c r="M3829" i="50"/>
  <c r="N3828" i="50"/>
  <c r="M3828" i="50"/>
  <c r="N3827" i="50"/>
  <c r="M3827" i="50"/>
  <c r="N3826" i="50"/>
  <c r="M3826" i="50"/>
  <c r="N3825" i="50"/>
  <c r="M3825" i="50"/>
  <c r="N3824" i="50"/>
  <c r="M3824" i="50"/>
  <c r="N3823" i="50"/>
  <c r="M3823" i="50"/>
  <c r="N3822" i="50"/>
  <c r="M3822" i="50"/>
  <c r="N3821" i="50"/>
  <c r="M3821" i="50"/>
  <c r="N3820" i="50"/>
  <c r="M3820" i="50"/>
  <c r="N3819" i="50"/>
  <c r="M3819" i="50"/>
  <c r="N3818" i="50"/>
  <c r="M3818" i="50"/>
  <c r="N3817" i="50"/>
  <c r="M3817" i="50"/>
  <c r="N3816" i="50"/>
  <c r="M3816" i="50"/>
  <c r="N3815" i="50"/>
  <c r="M3815" i="50"/>
  <c r="N3814" i="50"/>
  <c r="M3814" i="50"/>
  <c r="N3813" i="50"/>
  <c r="M3813" i="50"/>
  <c r="N3812" i="50"/>
  <c r="M3812" i="50"/>
  <c r="N3811" i="50"/>
  <c r="M3811" i="50"/>
  <c r="N3810" i="50"/>
  <c r="M3810" i="50"/>
  <c r="N3809" i="50"/>
  <c r="M3809" i="50"/>
  <c r="N3808" i="50"/>
  <c r="M3808" i="50"/>
  <c r="N3807" i="50"/>
  <c r="M3807" i="50"/>
  <c r="N3806" i="50"/>
  <c r="M3806" i="50"/>
  <c r="N3805" i="50"/>
  <c r="M3805" i="50"/>
  <c r="N3804" i="50"/>
  <c r="M3804" i="50"/>
  <c r="N3803" i="50"/>
  <c r="M3803" i="50"/>
  <c r="N3802" i="50"/>
  <c r="M3802" i="50"/>
  <c r="N3801" i="50"/>
  <c r="M3801" i="50"/>
  <c r="N3800" i="50"/>
  <c r="M3800" i="50"/>
  <c r="N3799" i="50"/>
  <c r="M3799" i="50"/>
  <c r="N3798" i="50"/>
  <c r="M3798" i="50"/>
  <c r="N3797" i="50"/>
  <c r="M3797" i="50"/>
  <c r="N3796" i="50"/>
  <c r="M3796" i="50"/>
  <c r="N3795" i="50"/>
  <c r="M3795" i="50"/>
  <c r="N3794" i="50"/>
  <c r="M3794" i="50"/>
  <c r="N3793" i="50"/>
  <c r="M3793" i="50"/>
  <c r="N3792" i="50"/>
  <c r="M3792" i="50"/>
  <c r="N3791" i="50"/>
  <c r="M3791" i="50"/>
  <c r="N3790" i="50"/>
  <c r="M3790" i="50"/>
  <c r="N3789" i="50"/>
  <c r="M3789" i="50"/>
  <c r="N3788" i="50"/>
  <c r="M3788" i="50"/>
  <c r="N3787" i="50"/>
  <c r="M3787" i="50"/>
  <c r="N3786" i="50"/>
  <c r="M3786" i="50"/>
  <c r="N3785" i="50"/>
  <c r="M3785" i="50"/>
  <c r="N3784" i="50"/>
  <c r="M3784" i="50"/>
  <c r="N3783" i="50"/>
  <c r="M3783" i="50"/>
  <c r="N3782" i="50"/>
  <c r="M3782" i="50"/>
  <c r="N3781" i="50"/>
  <c r="M3781" i="50"/>
  <c r="N3780" i="50"/>
  <c r="M3780" i="50"/>
  <c r="N3779" i="50"/>
  <c r="M3779" i="50"/>
  <c r="N3778" i="50"/>
  <c r="M3778" i="50"/>
  <c r="N3777" i="50"/>
  <c r="M3777" i="50"/>
  <c r="N3776" i="50"/>
  <c r="M3776" i="50"/>
  <c r="N3775" i="50"/>
  <c r="M3775" i="50"/>
  <c r="N3774" i="50"/>
  <c r="M3774" i="50"/>
  <c r="N3773" i="50"/>
  <c r="M3773" i="50"/>
  <c r="N3772" i="50"/>
  <c r="M3772" i="50"/>
  <c r="N3771" i="50"/>
  <c r="M3771" i="50"/>
  <c r="N3770" i="50"/>
  <c r="M3770" i="50"/>
  <c r="N3769" i="50"/>
  <c r="M3769" i="50"/>
  <c r="N3768" i="50"/>
  <c r="M3768" i="50"/>
  <c r="N3767" i="50"/>
  <c r="M3767" i="50"/>
  <c r="N3766" i="50"/>
  <c r="M3766" i="50"/>
  <c r="N3765" i="50"/>
  <c r="M3765" i="50"/>
  <c r="N3764" i="50"/>
  <c r="M3764" i="50"/>
  <c r="N3763" i="50"/>
  <c r="M3763" i="50"/>
  <c r="N3762" i="50"/>
  <c r="M3762" i="50"/>
  <c r="N3761" i="50"/>
  <c r="M3761" i="50"/>
  <c r="N3760" i="50"/>
  <c r="M3760" i="50"/>
  <c r="N3759" i="50"/>
  <c r="M3759" i="50"/>
  <c r="N3758" i="50"/>
  <c r="M3758" i="50"/>
  <c r="N3757" i="50"/>
  <c r="M3757" i="50"/>
  <c r="N3756" i="50"/>
  <c r="M3756" i="50"/>
  <c r="N3755" i="50"/>
  <c r="M3755" i="50"/>
  <c r="N3754" i="50"/>
  <c r="M3754" i="50"/>
  <c r="N3753" i="50"/>
  <c r="M3753" i="50"/>
  <c r="N3752" i="50"/>
  <c r="M3752" i="50"/>
  <c r="N3751" i="50"/>
  <c r="M3751" i="50"/>
  <c r="N3750" i="50"/>
  <c r="M3750" i="50"/>
  <c r="N3749" i="50"/>
  <c r="M3749" i="50"/>
  <c r="N3748" i="50"/>
  <c r="M3748" i="50"/>
  <c r="N3747" i="50"/>
  <c r="M3747" i="50"/>
  <c r="N3746" i="50"/>
  <c r="M3746" i="50"/>
  <c r="N3745" i="50"/>
  <c r="M3745" i="50"/>
  <c r="N3744" i="50"/>
  <c r="M3744" i="50"/>
  <c r="N3743" i="50"/>
  <c r="M3743" i="50"/>
  <c r="N3742" i="50"/>
  <c r="M3742" i="50"/>
  <c r="N3741" i="50"/>
  <c r="M3741" i="50"/>
  <c r="N3740" i="50"/>
  <c r="M3740" i="50"/>
  <c r="N3739" i="50"/>
  <c r="M3739" i="50"/>
  <c r="N3738" i="50"/>
  <c r="M3738" i="50"/>
  <c r="N3737" i="50"/>
  <c r="M3737" i="50"/>
  <c r="N3736" i="50"/>
  <c r="M3736" i="50"/>
  <c r="N3735" i="50"/>
  <c r="M3735" i="50"/>
  <c r="N3734" i="50"/>
  <c r="M3734" i="50"/>
  <c r="N3733" i="50"/>
  <c r="M3733" i="50"/>
  <c r="N3732" i="50"/>
  <c r="M3732" i="50"/>
  <c r="N3731" i="50"/>
  <c r="M3731" i="50"/>
  <c r="N3730" i="50"/>
  <c r="M3730" i="50"/>
  <c r="N3729" i="50"/>
  <c r="M3729" i="50"/>
  <c r="N3728" i="50"/>
  <c r="M3728" i="50"/>
  <c r="N3727" i="50"/>
  <c r="M3727" i="50"/>
  <c r="N3726" i="50"/>
  <c r="M3726" i="50"/>
  <c r="N3725" i="50"/>
  <c r="M3725" i="50"/>
  <c r="N3724" i="50"/>
  <c r="M3724" i="50"/>
  <c r="N3723" i="50"/>
  <c r="M3723" i="50"/>
  <c r="N3722" i="50"/>
  <c r="M3722" i="50"/>
  <c r="N3721" i="50"/>
  <c r="M3721" i="50"/>
  <c r="N3720" i="50"/>
  <c r="M3720" i="50"/>
  <c r="N3719" i="50"/>
  <c r="M3719" i="50"/>
  <c r="N3718" i="50"/>
  <c r="M3718" i="50"/>
  <c r="N3717" i="50"/>
  <c r="M3717" i="50"/>
  <c r="N3716" i="50"/>
  <c r="M3716" i="50"/>
  <c r="N3715" i="50"/>
  <c r="M3715" i="50"/>
  <c r="N3714" i="50"/>
  <c r="M3714" i="50"/>
  <c r="N3713" i="50"/>
  <c r="M3713" i="50"/>
  <c r="N3712" i="50"/>
  <c r="M3712" i="50"/>
  <c r="N3711" i="50"/>
  <c r="M3711" i="50"/>
  <c r="N3710" i="50"/>
  <c r="M3710" i="50"/>
  <c r="N3709" i="50"/>
  <c r="M3709" i="50"/>
  <c r="N3708" i="50"/>
  <c r="M3708" i="50"/>
  <c r="N3707" i="50"/>
  <c r="M3707" i="50"/>
  <c r="N3706" i="50"/>
  <c r="M3706" i="50"/>
  <c r="N3705" i="50"/>
  <c r="M3705" i="50"/>
  <c r="N3704" i="50"/>
  <c r="M3704" i="50"/>
  <c r="N3703" i="50"/>
  <c r="M3703" i="50"/>
  <c r="N3702" i="50"/>
  <c r="M3702" i="50"/>
  <c r="N3701" i="50"/>
  <c r="M3701" i="50"/>
  <c r="N3700" i="50"/>
  <c r="M3700" i="50"/>
  <c r="N3699" i="50"/>
  <c r="M3699" i="50"/>
  <c r="N3698" i="50"/>
  <c r="M3698" i="50"/>
  <c r="N3697" i="50"/>
  <c r="M3697" i="50"/>
  <c r="N3696" i="50"/>
  <c r="M3696" i="50"/>
  <c r="N3695" i="50"/>
  <c r="M3695" i="50"/>
  <c r="N3694" i="50"/>
  <c r="M3694" i="50"/>
  <c r="N3693" i="50"/>
  <c r="M3693" i="50"/>
  <c r="N3692" i="50"/>
  <c r="M3692" i="50"/>
  <c r="N3691" i="50"/>
  <c r="M3691" i="50"/>
  <c r="N3690" i="50"/>
  <c r="M3690" i="50"/>
  <c r="N3689" i="50"/>
  <c r="M3689" i="50"/>
  <c r="N3688" i="50"/>
  <c r="M3688" i="50"/>
  <c r="N3687" i="50"/>
  <c r="M3687" i="50"/>
  <c r="N3686" i="50"/>
  <c r="M3686" i="50"/>
  <c r="N3685" i="50"/>
  <c r="M3685" i="50"/>
  <c r="N3684" i="50"/>
  <c r="M3684" i="50"/>
  <c r="N3683" i="50"/>
  <c r="M3683" i="50"/>
  <c r="N3682" i="50"/>
  <c r="M3682" i="50"/>
  <c r="N3681" i="50"/>
  <c r="M3681" i="50"/>
  <c r="N3680" i="50"/>
  <c r="M3680" i="50"/>
  <c r="N3679" i="50"/>
  <c r="M3679" i="50"/>
  <c r="N3678" i="50"/>
  <c r="M3678" i="50"/>
  <c r="N3677" i="50"/>
  <c r="M3677" i="50"/>
  <c r="N3676" i="50"/>
  <c r="M3676" i="50"/>
  <c r="N3675" i="50"/>
  <c r="M3675" i="50"/>
  <c r="N3674" i="50"/>
  <c r="M3674" i="50"/>
  <c r="N3673" i="50"/>
  <c r="M3673" i="50"/>
  <c r="N3672" i="50"/>
  <c r="M3672" i="50"/>
  <c r="N3671" i="50"/>
  <c r="M3671" i="50"/>
  <c r="N3670" i="50"/>
  <c r="M3670" i="50"/>
  <c r="N3669" i="50"/>
  <c r="M3669" i="50"/>
  <c r="N3668" i="50"/>
  <c r="M3668" i="50"/>
  <c r="N3667" i="50"/>
  <c r="M3667" i="50"/>
  <c r="N3666" i="50"/>
  <c r="M3666" i="50"/>
  <c r="N3665" i="50"/>
  <c r="M3665" i="50"/>
  <c r="N3664" i="50"/>
  <c r="M3664" i="50"/>
  <c r="N3663" i="50"/>
  <c r="M3663" i="50"/>
  <c r="N3662" i="50"/>
  <c r="M3662" i="50"/>
  <c r="N3661" i="50"/>
  <c r="M3661" i="50"/>
  <c r="N3660" i="50"/>
  <c r="M3660" i="50"/>
  <c r="N3659" i="50"/>
  <c r="M3659" i="50"/>
  <c r="N3658" i="50"/>
  <c r="M3658" i="50"/>
  <c r="N3657" i="50"/>
  <c r="M3657" i="50"/>
  <c r="N3656" i="50"/>
  <c r="M3656" i="50"/>
  <c r="N3655" i="50"/>
  <c r="M3655" i="50"/>
  <c r="N3654" i="50"/>
  <c r="M3654" i="50"/>
  <c r="N3653" i="50"/>
  <c r="M3653" i="50"/>
  <c r="N3652" i="50"/>
  <c r="M3652" i="50"/>
  <c r="N3651" i="50"/>
  <c r="M3651" i="50"/>
  <c r="N3650" i="50"/>
  <c r="M3650" i="50"/>
  <c r="N3649" i="50"/>
  <c r="M3649" i="50"/>
  <c r="N3648" i="50"/>
  <c r="M3648" i="50"/>
  <c r="N3647" i="50"/>
  <c r="M3647" i="50"/>
  <c r="N3646" i="50"/>
  <c r="M3646" i="50"/>
  <c r="N3645" i="50"/>
  <c r="M3645" i="50"/>
  <c r="N3644" i="50"/>
  <c r="M3644" i="50"/>
  <c r="N3643" i="50"/>
  <c r="M3643" i="50"/>
  <c r="N3642" i="50"/>
  <c r="M3642" i="50"/>
  <c r="N3641" i="50"/>
  <c r="M3641" i="50"/>
  <c r="N3640" i="50"/>
  <c r="M3640" i="50"/>
  <c r="N3639" i="50"/>
  <c r="M3639" i="50"/>
  <c r="N3638" i="50"/>
  <c r="M3638" i="50"/>
  <c r="N3637" i="50"/>
  <c r="M3637" i="50"/>
  <c r="N3636" i="50"/>
  <c r="M3636" i="50"/>
  <c r="N3635" i="50"/>
  <c r="M3635" i="50"/>
  <c r="N3634" i="50"/>
  <c r="M3634" i="50"/>
  <c r="N3633" i="50"/>
  <c r="M3633" i="50"/>
  <c r="N3632" i="50"/>
  <c r="M3632" i="50"/>
  <c r="N3631" i="50"/>
  <c r="M3631" i="50"/>
  <c r="N3630" i="50"/>
  <c r="M3630" i="50"/>
  <c r="N3629" i="50"/>
  <c r="M3629" i="50"/>
  <c r="N3628" i="50"/>
  <c r="M3628" i="50"/>
  <c r="N3627" i="50"/>
  <c r="M3627" i="50"/>
  <c r="N3626" i="50"/>
  <c r="M3626" i="50"/>
  <c r="N3625" i="50"/>
  <c r="M3625" i="50"/>
  <c r="N3624" i="50"/>
  <c r="M3624" i="50"/>
  <c r="N3623" i="50"/>
  <c r="M3623" i="50"/>
  <c r="N3622" i="50"/>
  <c r="M3622" i="50"/>
  <c r="N3621" i="50"/>
  <c r="M3621" i="50"/>
  <c r="N3620" i="50"/>
  <c r="M3620" i="50"/>
  <c r="N3619" i="50"/>
  <c r="M3619" i="50"/>
  <c r="N3618" i="50"/>
  <c r="M3618" i="50"/>
  <c r="N3617" i="50"/>
  <c r="M3617" i="50"/>
  <c r="N3616" i="50"/>
  <c r="M3616" i="50"/>
  <c r="N3615" i="50"/>
  <c r="M3615" i="50"/>
  <c r="N3614" i="50"/>
  <c r="M3614" i="50"/>
  <c r="N3613" i="50"/>
  <c r="M3613" i="50"/>
  <c r="N3612" i="50"/>
  <c r="M3612" i="50"/>
  <c r="N3611" i="50"/>
  <c r="M3611" i="50"/>
  <c r="N3610" i="50"/>
  <c r="M3610" i="50"/>
  <c r="N3609" i="50"/>
  <c r="M3609" i="50"/>
  <c r="N3608" i="50"/>
  <c r="M3608" i="50"/>
  <c r="N3607" i="50"/>
  <c r="M3607" i="50"/>
  <c r="N3606" i="50"/>
  <c r="M3606" i="50"/>
  <c r="N3605" i="50"/>
  <c r="M3605" i="50"/>
  <c r="N3604" i="50"/>
  <c r="M3604" i="50"/>
  <c r="N3603" i="50"/>
  <c r="M3603" i="50"/>
  <c r="N3602" i="50"/>
  <c r="M3602" i="50"/>
  <c r="N3601" i="50"/>
  <c r="M3601" i="50"/>
  <c r="N3600" i="50"/>
  <c r="M3600" i="50"/>
  <c r="N3599" i="50"/>
  <c r="M3599" i="50"/>
  <c r="N3598" i="50"/>
  <c r="M3598" i="50"/>
  <c r="N3597" i="50"/>
  <c r="M3597" i="50"/>
  <c r="N3596" i="50"/>
  <c r="M3596" i="50"/>
  <c r="N3595" i="50"/>
  <c r="M3595" i="50"/>
  <c r="N3594" i="50"/>
  <c r="M3594" i="50"/>
  <c r="N3593" i="50"/>
  <c r="M3593" i="50"/>
  <c r="N3592" i="50"/>
  <c r="M3592" i="50"/>
  <c r="N3591" i="50"/>
  <c r="M3591" i="50"/>
  <c r="N3590" i="50"/>
  <c r="M3590" i="50"/>
  <c r="N3589" i="50"/>
  <c r="M3589" i="50"/>
  <c r="N3588" i="50"/>
  <c r="M3588" i="50"/>
  <c r="N3587" i="50"/>
  <c r="M3587" i="50"/>
  <c r="N3586" i="50"/>
  <c r="M3586" i="50"/>
  <c r="N3585" i="50"/>
  <c r="M3585" i="50"/>
  <c r="N3584" i="50"/>
  <c r="M3584" i="50"/>
  <c r="N3583" i="50"/>
  <c r="M3583" i="50"/>
  <c r="N3582" i="50"/>
  <c r="M3582" i="50"/>
  <c r="N3581" i="50"/>
  <c r="M3581" i="50"/>
  <c r="N3580" i="50"/>
  <c r="M3580" i="50"/>
  <c r="N3579" i="50"/>
  <c r="M3579" i="50"/>
  <c r="N3578" i="50"/>
  <c r="M3578" i="50"/>
  <c r="N3577" i="50"/>
  <c r="M3577" i="50"/>
  <c r="N3576" i="50"/>
  <c r="M3576" i="50"/>
  <c r="N3575" i="50"/>
  <c r="M3575" i="50"/>
  <c r="N3574" i="50"/>
  <c r="M3574" i="50"/>
  <c r="N3573" i="50"/>
  <c r="M3573" i="50"/>
  <c r="N3572" i="50"/>
  <c r="M3572" i="50"/>
  <c r="N3571" i="50"/>
  <c r="M3571" i="50"/>
  <c r="N3570" i="50"/>
  <c r="M3570" i="50"/>
  <c r="N3569" i="50"/>
  <c r="M3569" i="50"/>
  <c r="N3568" i="50"/>
  <c r="M3568" i="50"/>
  <c r="N3567" i="50"/>
  <c r="M3567" i="50"/>
  <c r="N3566" i="50"/>
  <c r="M3566" i="50"/>
  <c r="N3565" i="50"/>
  <c r="M3565" i="50"/>
  <c r="N3564" i="50"/>
  <c r="M3564" i="50"/>
  <c r="N3563" i="50"/>
  <c r="M3563" i="50"/>
  <c r="N3562" i="50"/>
  <c r="M3562" i="50"/>
  <c r="N3561" i="50"/>
  <c r="M3561" i="50"/>
  <c r="N3560" i="50"/>
  <c r="M3560" i="50"/>
  <c r="N3559" i="50"/>
  <c r="M3559" i="50"/>
  <c r="N3558" i="50"/>
  <c r="M3558" i="50"/>
  <c r="N3557" i="50"/>
  <c r="M3557" i="50"/>
  <c r="N3556" i="50"/>
  <c r="M3556" i="50"/>
  <c r="N3555" i="50"/>
  <c r="M3555" i="50"/>
  <c r="N3554" i="50"/>
  <c r="M3554" i="50"/>
  <c r="N3553" i="50"/>
  <c r="M3553" i="50"/>
  <c r="N3552" i="50"/>
  <c r="M3552" i="50"/>
  <c r="N3551" i="50"/>
  <c r="M3551" i="50"/>
  <c r="N3550" i="50"/>
  <c r="M3550" i="50"/>
  <c r="N3549" i="50"/>
  <c r="M3549" i="50"/>
  <c r="N3548" i="50"/>
  <c r="M3548" i="50"/>
  <c r="N3547" i="50"/>
  <c r="M3547" i="50"/>
  <c r="N3546" i="50"/>
  <c r="M3546" i="50"/>
  <c r="N3545" i="50"/>
  <c r="M3545" i="50"/>
  <c r="N3544" i="50"/>
  <c r="M3544" i="50"/>
  <c r="N3543" i="50"/>
  <c r="M3543" i="50"/>
  <c r="N3542" i="50"/>
  <c r="M3542" i="50"/>
  <c r="N3541" i="50"/>
  <c r="M3541" i="50"/>
  <c r="N3540" i="50"/>
  <c r="M3540" i="50"/>
  <c r="N3539" i="50"/>
  <c r="M3539" i="50"/>
  <c r="N3538" i="50"/>
  <c r="M3538" i="50"/>
  <c r="N3537" i="50"/>
  <c r="M3537" i="50"/>
  <c r="N3536" i="50"/>
  <c r="M3536" i="50"/>
  <c r="N3535" i="50"/>
  <c r="M3535" i="50"/>
  <c r="N3534" i="50"/>
  <c r="M3534" i="50"/>
  <c r="N3533" i="50"/>
  <c r="M3533" i="50"/>
  <c r="N3532" i="50"/>
  <c r="M3532" i="50"/>
  <c r="N3531" i="50"/>
  <c r="M3531" i="50"/>
  <c r="N3530" i="50"/>
  <c r="M3530" i="50"/>
  <c r="N3529" i="50"/>
  <c r="M3529" i="50"/>
  <c r="N3528" i="50"/>
  <c r="M3528" i="50"/>
  <c r="N3527" i="50"/>
  <c r="M3527" i="50"/>
  <c r="N3526" i="50"/>
  <c r="M3526" i="50"/>
  <c r="N3525" i="50"/>
  <c r="M3525" i="50"/>
  <c r="N3524" i="50"/>
  <c r="M3524" i="50"/>
  <c r="N3523" i="50"/>
  <c r="M3523" i="50"/>
  <c r="N3522" i="50"/>
  <c r="M3522" i="50"/>
  <c r="N3521" i="50"/>
  <c r="M3521" i="50"/>
  <c r="N3520" i="50"/>
  <c r="M3520" i="50"/>
  <c r="N3519" i="50"/>
  <c r="M3519" i="50"/>
  <c r="N3518" i="50"/>
  <c r="M3518" i="50"/>
  <c r="N3517" i="50"/>
  <c r="M3517" i="50"/>
  <c r="N3516" i="50"/>
  <c r="M3516" i="50"/>
  <c r="N3515" i="50"/>
  <c r="M3515" i="50"/>
  <c r="N3514" i="50"/>
  <c r="M3514" i="50"/>
  <c r="N3513" i="50"/>
  <c r="M3513" i="50"/>
  <c r="N3512" i="50"/>
  <c r="M3512" i="50"/>
  <c r="N3511" i="50"/>
  <c r="M3511" i="50"/>
  <c r="N3510" i="50"/>
  <c r="M3510" i="50"/>
  <c r="N3509" i="50"/>
  <c r="M3509" i="50"/>
  <c r="N3508" i="50"/>
  <c r="M3508" i="50"/>
  <c r="N3507" i="50"/>
  <c r="M3507" i="50"/>
  <c r="N3506" i="50"/>
  <c r="M3506" i="50"/>
  <c r="N3505" i="50"/>
  <c r="M3505" i="50"/>
  <c r="N3504" i="50"/>
  <c r="M3504" i="50"/>
  <c r="N3503" i="50"/>
  <c r="M3503" i="50"/>
  <c r="N3502" i="50"/>
  <c r="M3502" i="50"/>
  <c r="N3501" i="50"/>
  <c r="M3501" i="50"/>
  <c r="N3500" i="50"/>
  <c r="M3500" i="50"/>
  <c r="N3499" i="50"/>
  <c r="M3499" i="50"/>
  <c r="N3498" i="50"/>
  <c r="M3498" i="50"/>
  <c r="N3497" i="50"/>
  <c r="M3497" i="50"/>
  <c r="N3496" i="50"/>
  <c r="M3496" i="50"/>
  <c r="N3495" i="50"/>
  <c r="M3495" i="50"/>
  <c r="N3494" i="50"/>
  <c r="M3494" i="50"/>
  <c r="N3493" i="50"/>
  <c r="M3493" i="50"/>
  <c r="N3492" i="50"/>
  <c r="M3492" i="50"/>
  <c r="N3491" i="50"/>
  <c r="M3491" i="50"/>
  <c r="N3490" i="50"/>
  <c r="M3490" i="50"/>
  <c r="N3489" i="50"/>
  <c r="M3489" i="50"/>
  <c r="N3488" i="50"/>
  <c r="M3488" i="50"/>
  <c r="N3487" i="50"/>
  <c r="M3487" i="50"/>
  <c r="N3486" i="50"/>
  <c r="M3486" i="50"/>
  <c r="N3485" i="50"/>
  <c r="M3485" i="50"/>
  <c r="N3484" i="50"/>
  <c r="M3484" i="50"/>
  <c r="N3483" i="50"/>
  <c r="M3483" i="50"/>
  <c r="N3482" i="50"/>
  <c r="M3482" i="50"/>
  <c r="N3481" i="50"/>
  <c r="M3481" i="50"/>
  <c r="N3480" i="50"/>
  <c r="M3480" i="50"/>
  <c r="N3479" i="50"/>
  <c r="M3479" i="50"/>
  <c r="N3478" i="50"/>
  <c r="M3478" i="50"/>
  <c r="N3477" i="50"/>
  <c r="M3477" i="50"/>
  <c r="N3476" i="50"/>
  <c r="M3476" i="50"/>
  <c r="N3475" i="50"/>
  <c r="M3475" i="50"/>
  <c r="N3474" i="50"/>
  <c r="M3474" i="50"/>
  <c r="N3473" i="50"/>
  <c r="M3473" i="50"/>
  <c r="N3472" i="50"/>
  <c r="M3472" i="50"/>
  <c r="N3471" i="50"/>
  <c r="M3471" i="50"/>
  <c r="N3470" i="50"/>
  <c r="M3470" i="50"/>
  <c r="N3469" i="50"/>
  <c r="M3469" i="50"/>
  <c r="N3468" i="50"/>
  <c r="M3468" i="50"/>
  <c r="N3467" i="50"/>
  <c r="M3467" i="50"/>
  <c r="N3466" i="50"/>
  <c r="M3466" i="50"/>
  <c r="N3465" i="50"/>
  <c r="M3465" i="50"/>
  <c r="N3464" i="50"/>
  <c r="M3464" i="50"/>
  <c r="N3463" i="50"/>
  <c r="M3463" i="50"/>
  <c r="N3462" i="50"/>
  <c r="M3462" i="50"/>
  <c r="N3461" i="50"/>
  <c r="M3461" i="50"/>
  <c r="N3460" i="50"/>
  <c r="M3460" i="50"/>
  <c r="N3459" i="50"/>
  <c r="M3459" i="50"/>
  <c r="N3458" i="50"/>
  <c r="M3458" i="50"/>
  <c r="N3457" i="50"/>
  <c r="M3457" i="50"/>
  <c r="N3456" i="50"/>
  <c r="M3456" i="50"/>
  <c r="N3455" i="50"/>
  <c r="M3455" i="50"/>
  <c r="N3454" i="50"/>
  <c r="M3454" i="50"/>
  <c r="N3453" i="50"/>
  <c r="M3453" i="50"/>
  <c r="N3452" i="50"/>
  <c r="M3452" i="50"/>
  <c r="N3451" i="50"/>
  <c r="M3451" i="50"/>
  <c r="N3450" i="50"/>
  <c r="M3450" i="50"/>
  <c r="N3449" i="50"/>
  <c r="M3449" i="50"/>
  <c r="N3448" i="50"/>
  <c r="M3448" i="50"/>
  <c r="N3447" i="50"/>
  <c r="M3447" i="50"/>
  <c r="N3446" i="50"/>
  <c r="M3446" i="50"/>
  <c r="N3445" i="50"/>
  <c r="M3445" i="50"/>
  <c r="N3444" i="50"/>
  <c r="M3444" i="50"/>
  <c r="N3443" i="50"/>
  <c r="M3443" i="50"/>
  <c r="N3442" i="50"/>
  <c r="M3442" i="50"/>
  <c r="N3441" i="50"/>
  <c r="M3441" i="50"/>
  <c r="N3440" i="50"/>
  <c r="M3440" i="50"/>
  <c r="N3439" i="50"/>
  <c r="M3439" i="50"/>
  <c r="N3438" i="50"/>
  <c r="M3438" i="50"/>
  <c r="N3437" i="50"/>
  <c r="M3437" i="50"/>
  <c r="N3436" i="50"/>
  <c r="M3436" i="50"/>
  <c r="N3435" i="50"/>
  <c r="M3435" i="50"/>
  <c r="N3434" i="50"/>
  <c r="M3434" i="50"/>
  <c r="N3433" i="50"/>
  <c r="M3433" i="50"/>
  <c r="N3432" i="50"/>
  <c r="M3432" i="50"/>
  <c r="N3431" i="50"/>
  <c r="M3431" i="50"/>
  <c r="N3430" i="50"/>
  <c r="M3430" i="50"/>
  <c r="N3429" i="50"/>
  <c r="M3429" i="50"/>
  <c r="N3428" i="50"/>
  <c r="M3428" i="50"/>
  <c r="N3427" i="50"/>
  <c r="M3427" i="50"/>
  <c r="N3426" i="50"/>
  <c r="M3426" i="50"/>
  <c r="N3425" i="50"/>
  <c r="M3425" i="50"/>
  <c r="N3424" i="50"/>
  <c r="M3424" i="50"/>
  <c r="N3423" i="50"/>
  <c r="M3423" i="50"/>
  <c r="N3422" i="50"/>
  <c r="M3422" i="50"/>
  <c r="N3421" i="50"/>
  <c r="M3421" i="50"/>
  <c r="N3420" i="50"/>
  <c r="M3420" i="50"/>
  <c r="N3419" i="50"/>
  <c r="M3419" i="50"/>
  <c r="N3418" i="50"/>
  <c r="M3418" i="50"/>
  <c r="N3417" i="50"/>
  <c r="M3417" i="50"/>
  <c r="N3416" i="50"/>
  <c r="M3416" i="50"/>
  <c r="N3415" i="50"/>
  <c r="M3415" i="50"/>
  <c r="N3414" i="50"/>
  <c r="M3414" i="50"/>
  <c r="N3413" i="50"/>
  <c r="M3413" i="50"/>
  <c r="N3412" i="50"/>
  <c r="M3412" i="50"/>
  <c r="N3411" i="50"/>
  <c r="M3411" i="50"/>
  <c r="N3410" i="50"/>
  <c r="M3410" i="50"/>
  <c r="N3409" i="50"/>
  <c r="M3409" i="50"/>
  <c r="N3408" i="50"/>
  <c r="M3408" i="50"/>
  <c r="N3407" i="50"/>
  <c r="M3407" i="50"/>
  <c r="N3406" i="50"/>
  <c r="M3406" i="50"/>
  <c r="N3405" i="50"/>
  <c r="M3405" i="50"/>
  <c r="N3404" i="50"/>
  <c r="M3404" i="50"/>
  <c r="N3403" i="50"/>
  <c r="M3403" i="50"/>
  <c r="N3402" i="50"/>
  <c r="M3402" i="50"/>
  <c r="N3401" i="50"/>
  <c r="M3401" i="50"/>
  <c r="N3400" i="50"/>
  <c r="M3400" i="50"/>
  <c r="N3399" i="50"/>
  <c r="M3399" i="50"/>
  <c r="N3398" i="50"/>
  <c r="M3398" i="50"/>
  <c r="N3397" i="50"/>
  <c r="M3397" i="50"/>
  <c r="N3396" i="50"/>
  <c r="M3396" i="50"/>
  <c r="N3395" i="50"/>
  <c r="M3395" i="50"/>
  <c r="N3394" i="50"/>
  <c r="M3394" i="50"/>
  <c r="N3393" i="50"/>
  <c r="M3393" i="50"/>
  <c r="N3392" i="50"/>
  <c r="M3392" i="50"/>
  <c r="N3391" i="50"/>
  <c r="M3391" i="50"/>
  <c r="N3390" i="50"/>
  <c r="M3390" i="50"/>
  <c r="N3389" i="50"/>
  <c r="M3389" i="50"/>
  <c r="N3388" i="50"/>
  <c r="M3388" i="50"/>
  <c r="N3387" i="50"/>
  <c r="M3387" i="50"/>
  <c r="N3386" i="50"/>
  <c r="M3386" i="50"/>
  <c r="N3385" i="50"/>
  <c r="M3385" i="50"/>
  <c r="N3384" i="50"/>
  <c r="M3384" i="50"/>
  <c r="N3383" i="50"/>
  <c r="M3383" i="50"/>
  <c r="N3382" i="50"/>
  <c r="M3382" i="50"/>
  <c r="N3381" i="50"/>
  <c r="M3381" i="50"/>
  <c r="N3380" i="50"/>
  <c r="M3380" i="50"/>
  <c r="N3379" i="50"/>
  <c r="M3379" i="50"/>
  <c r="N3378" i="50"/>
  <c r="M3378" i="50"/>
  <c r="N3377" i="50"/>
  <c r="M3377" i="50"/>
  <c r="N3376" i="50"/>
  <c r="M3376" i="50"/>
  <c r="N3375" i="50"/>
  <c r="M3375" i="50"/>
  <c r="N3374" i="50"/>
  <c r="M3374" i="50"/>
  <c r="N3373" i="50"/>
  <c r="M3373" i="50"/>
  <c r="N3372" i="50"/>
  <c r="M3372" i="50"/>
  <c r="N3371" i="50"/>
  <c r="M3371" i="50"/>
  <c r="N3370" i="50"/>
  <c r="M3370" i="50"/>
  <c r="N3369" i="50"/>
  <c r="M3369" i="50"/>
  <c r="N3368" i="50"/>
  <c r="M3368" i="50"/>
  <c r="N3367" i="50"/>
  <c r="M3367" i="50"/>
  <c r="N3366" i="50"/>
  <c r="M3366" i="50"/>
  <c r="N3365" i="50"/>
  <c r="M3365" i="50"/>
  <c r="N3364" i="50"/>
  <c r="M3364" i="50"/>
  <c r="N3363" i="50"/>
  <c r="M3363" i="50"/>
  <c r="N3362" i="50"/>
  <c r="M3362" i="50"/>
  <c r="N3361" i="50"/>
  <c r="M3361" i="50"/>
  <c r="N3360" i="50"/>
  <c r="M3360" i="50"/>
  <c r="N3359" i="50"/>
  <c r="M3359" i="50"/>
  <c r="N3358" i="50"/>
  <c r="M3358" i="50"/>
  <c r="N3357" i="50"/>
  <c r="M3357" i="50"/>
  <c r="N3356" i="50"/>
  <c r="M3356" i="50"/>
  <c r="N3355" i="50"/>
  <c r="M3355" i="50"/>
  <c r="N3354" i="50"/>
  <c r="M3354" i="50"/>
  <c r="N3353" i="50"/>
  <c r="M3353" i="50"/>
  <c r="N3352" i="50"/>
  <c r="M3352" i="50"/>
  <c r="N3351" i="50"/>
  <c r="M3351" i="50"/>
  <c r="N3350" i="50"/>
  <c r="M3350" i="50"/>
  <c r="N3349" i="50"/>
  <c r="M3349" i="50"/>
  <c r="N3348" i="50"/>
  <c r="M3348" i="50"/>
  <c r="N3347" i="50"/>
  <c r="M3347" i="50"/>
  <c r="N3346" i="50"/>
  <c r="M3346" i="50"/>
  <c r="N3345" i="50"/>
  <c r="M3345" i="50"/>
  <c r="N3344" i="50"/>
  <c r="M3344" i="50"/>
  <c r="N3343" i="50"/>
  <c r="M3343" i="50"/>
  <c r="N3342" i="50"/>
  <c r="M3342" i="50"/>
  <c r="N3341" i="50"/>
  <c r="M3341" i="50"/>
  <c r="N3340" i="50"/>
  <c r="M3340" i="50"/>
  <c r="N3339" i="50"/>
  <c r="M3339" i="50"/>
  <c r="N3338" i="50"/>
  <c r="M3338" i="50"/>
  <c r="N3337" i="50"/>
  <c r="M3337" i="50"/>
  <c r="N3336" i="50"/>
  <c r="M3336" i="50"/>
  <c r="N3335" i="50"/>
  <c r="M3335" i="50"/>
  <c r="N3334" i="50"/>
  <c r="M3334" i="50"/>
  <c r="N3333" i="50"/>
  <c r="M3333" i="50"/>
  <c r="N3332" i="50"/>
  <c r="M3332" i="50"/>
  <c r="N3331" i="50"/>
  <c r="M3331" i="50"/>
  <c r="N3330" i="50"/>
  <c r="M3330" i="50"/>
  <c r="N3329" i="50"/>
  <c r="M3329" i="50"/>
  <c r="N3328" i="50"/>
  <c r="M3328" i="50"/>
  <c r="N3327" i="50"/>
  <c r="M3327" i="50"/>
  <c r="N3326" i="50"/>
  <c r="M3326" i="50"/>
  <c r="N3325" i="50"/>
  <c r="M3325" i="50"/>
  <c r="N3324" i="50"/>
  <c r="M3324" i="50"/>
  <c r="N3323" i="50"/>
  <c r="M3323" i="50"/>
  <c r="N3322" i="50"/>
  <c r="M3322" i="50"/>
  <c r="N3321" i="50"/>
  <c r="M3321" i="50"/>
  <c r="N3320" i="50"/>
  <c r="M3320" i="50"/>
  <c r="N3319" i="50"/>
  <c r="M3319" i="50"/>
  <c r="N3318" i="50"/>
  <c r="M3318" i="50"/>
  <c r="N3317" i="50"/>
  <c r="M3317" i="50"/>
  <c r="N3316" i="50"/>
  <c r="M3316" i="50"/>
  <c r="N3315" i="50"/>
  <c r="M3315" i="50"/>
  <c r="N3314" i="50"/>
  <c r="M3314" i="50"/>
  <c r="N3313" i="50"/>
  <c r="M3313" i="50"/>
  <c r="N3312" i="50"/>
  <c r="M3312" i="50"/>
  <c r="N3311" i="50"/>
  <c r="M3311" i="50"/>
  <c r="N3310" i="50"/>
  <c r="M3310" i="50"/>
  <c r="N3309" i="50"/>
  <c r="M3309" i="50"/>
  <c r="N3308" i="50"/>
  <c r="M3308" i="50"/>
  <c r="N3307" i="50"/>
  <c r="M3307" i="50"/>
  <c r="N3306" i="50"/>
  <c r="M3306" i="50"/>
  <c r="N3305" i="50"/>
  <c r="M3305" i="50"/>
  <c r="N3304" i="50"/>
  <c r="M3304" i="50"/>
  <c r="N3303" i="50"/>
  <c r="M3303" i="50"/>
  <c r="N3302" i="50"/>
  <c r="M3302" i="50"/>
  <c r="N3301" i="50"/>
  <c r="M3301" i="50"/>
  <c r="N3300" i="50"/>
  <c r="M3300" i="50"/>
  <c r="N3299" i="50"/>
  <c r="M3299" i="50"/>
  <c r="N3298" i="50"/>
  <c r="M3298" i="50"/>
  <c r="N3297" i="50"/>
  <c r="M3297" i="50"/>
  <c r="N3296" i="50"/>
  <c r="M3296" i="50"/>
  <c r="N3295" i="50"/>
  <c r="M3295" i="50"/>
  <c r="N3294" i="50"/>
  <c r="M3294" i="50"/>
  <c r="N3293" i="50"/>
  <c r="M3293" i="50"/>
  <c r="N3292" i="50"/>
  <c r="M3292" i="50"/>
  <c r="N3291" i="50"/>
  <c r="M3291" i="50"/>
  <c r="N3290" i="50"/>
  <c r="M3290" i="50"/>
  <c r="N3289" i="50"/>
  <c r="M3289" i="50"/>
  <c r="N3288" i="50"/>
  <c r="M3288" i="50"/>
  <c r="N3287" i="50"/>
  <c r="M3287" i="50"/>
  <c r="N3286" i="50"/>
  <c r="M3286" i="50"/>
  <c r="N3285" i="50"/>
  <c r="M3285" i="50"/>
  <c r="N3284" i="50"/>
  <c r="M3284" i="50"/>
  <c r="N3283" i="50"/>
  <c r="M3283" i="50"/>
  <c r="N3282" i="50"/>
  <c r="M3282" i="50"/>
  <c r="N3281" i="50"/>
  <c r="M3281" i="50"/>
  <c r="N3280" i="50"/>
  <c r="M3280" i="50"/>
  <c r="N3279" i="50"/>
  <c r="M3279" i="50"/>
  <c r="N3278" i="50"/>
  <c r="M3278" i="50"/>
  <c r="N3277" i="50"/>
  <c r="M3277" i="50"/>
  <c r="N3276" i="50"/>
  <c r="M3276" i="50"/>
  <c r="N3275" i="50"/>
  <c r="M3275" i="50"/>
  <c r="N3274" i="50"/>
  <c r="M3274" i="50"/>
  <c r="N3273" i="50"/>
  <c r="M3273" i="50"/>
  <c r="N3272" i="50"/>
  <c r="M3272" i="50"/>
  <c r="N3271" i="50"/>
  <c r="M3271" i="50"/>
  <c r="N3270" i="50"/>
  <c r="M3270" i="50"/>
  <c r="N3269" i="50"/>
  <c r="M3269" i="50"/>
  <c r="N3268" i="50"/>
  <c r="M3268" i="50"/>
  <c r="N3267" i="50"/>
  <c r="M3267" i="50"/>
  <c r="N3266" i="50"/>
  <c r="M3266" i="50"/>
  <c r="N3265" i="50"/>
  <c r="M3265" i="50"/>
  <c r="N3264" i="50"/>
  <c r="M3264" i="50"/>
  <c r="N3263" i="50"/>
  <c r="M3263" i="50"/>
  <c r="N3262" i="50"/>
  <c r="M3262" i="50"/>
  <c r="N3261" i="50"/>
  <c r="M3261" i="50"/>
  <c r="N3260" i="50"/>
  <c r="M3260" i="50"/>
  <c r="N3259" i="50"/>
  <c r="M3259" i="50"/>
  <c r="N3258" i="50"/>
  <c r="M3258" i="50"/>
  <c r="N3257" i="50"/>
  <c r="M3257" i="50"/>
  <c r="N3256" i="50"/>
  <c r="M3256" i="50"/>
  <c r="N3255" i="50"/>
  <c r="M3255" i="50"/>
  <c r="N3254" i="50"/>
  <c r="M3254" i="50"/>
  <c r="N3253" i="50"/>
  <c r="M3253" i="50"/>
  <c r="N3252" i="50"/>
  <c r="M3252" i="50"/>
  <c r="N3251" i="50"/>
  <c r="M3251" i="50"/>
  <c r="N3250" i="50"/>
  <c r="M3250" i="50"/>
  <c r="N3249" i="50"/>
  <c r="M3249" i="50"/>
  <c r="N3248" i="50"/>
  <c r="M3248" i="50"/>
  <c r="N3247" i="50"/>
  <c r="M3247" i="50"/>
  <c r="N3246" i="50"/>
  <c r="M3246" i="50"/>
  <c r="N3245" i="50"/>
  <c r="M3245" i="50"/>
  <c r="N3244" i="50"/>
  <c r="M3244" i="50"/>
  <c r="N3243" i="50"/>
  <c r="M3243" i="50"/>
  <c r="N3242" i="50"/>
  <c r="M3242" i="50"/>
  <c r="N3241" i="50"/>
  <c r="M3241" i="50"/>
  <c r="N3240" i="50"/>
  <c r="M3240" i="50"/>
  <c r="N3239" i="50"/>
  <c r="M3239" i="50"/>
  <c r="N3238" i="50"/>
  <c r="M3238" i="50"/>
  <c r="N3237" i="50"/>
  <c r="M3237" i="50"/>
  <c r="N3236" i="50"/>
  <c r="M3236" i="50"/>
  <c r="N3235" i="50"/>
  <c r="M3235" i="50"/>
  <c r="N3234" i="50"/>
  <c r="M3234" i="50"/>
  <c r="N3233" i="50"/>
  <c r="M3233" i="50"/>
  <c r="N3232" i="50"/>
  <c r="M3232" i="50"/>
  <c r="N3231" i="50"/>
  <c r="M3231" i="50"/>
  <c r="N3230" i="50"/>
  <c r="M3230" i="50"/>
  <c r="N3229" i="50"/>
  <c r="M3229" i="50"/>
  <c r="N3228" i="50"/>
  <c r="M3228" i="50"/>
  <c r="N3227" i="50"/>
  <c r="M3227" i="50"/>
  <c r="N3226" i="50"/>
  <c r="M3226" i="50"/>
  <c r="N3225" i="50"/>
  <c r="M3225" i="50"/>
  <c r="N3224" i="50"/>
  <c r="M3224" i="50"/>
  <c r="N3223" i="50"/>
  <c r="M3223" i="50"/>
  <c r="N3222" i="50"/>
  <c r="M3222" i="50"/>
  <c r="N3221" i="50"/>
  <c r="M3221" i="50"/>
  <c r="N3220" i="50"/>
  <c r="M3220" i="50"/>
  <c r="N3219" i="50"/>
  <c r="M3219" i="50"/>
  <c r="N3218" i="50"/>
  <c r="M3218" i="50"/>
  <c r="N3217" i="50"/>
  <c r="M3217" i="50"/>
  <c r="N3216" i="50"/>
  <c r="M3216" i="50"/>
  <c r="N3215" i="50"/>
  <c r="M3215" i="50"/>
  <c r="N3214" i="50"/>
  <c r="M3214" i="50"/>
  <c r="N3213" i="50"/>
  <c r="M3213" i="50"/>
  <c r="N3212" i="50"/>
  <c r="M3212" i="50"/>
  <c r="N3211" i="50"/>
  <c r="M3211" i="50"/>
  <c r="N3210" i="50"/>
  <c r="M3210" i="50"/>
  <c r="N3209" i="50"/>
  <c r="M3209" i="50"/>
  <c r="N3208" i="50"/>
  <c r="M3208" i="50"/>
  <c r="N3207" i="50"/>
  <c r="M3207" i="50"/>
  <c r="N3206" i="50"/>
  <c r="M3206" i="50"/>
  <c r="N3205" i="50"/>
  <c r="M3205" i="50"/>
  <c r="N3204" i="50"/>
  <c r="M3204" i="50"/>
  <c r="N3203" i="50"/>
  <c r="M3203" i="50"/>
  <c r="N3202" i="50"/>
  <c r="M3202" i="50"/>
  <c r="N3201" i="50"/>
  <c r="M3201" i="50"/>
  <c r="N3200" i="50"/>
  <c r="M3200" i="50"/>
  <c r="N3199" i="50"/>
  <c r="M3199" i="50"/>
  <c r="N3198" i="50"/>
  <c r="M3198" i="50"/>
  <c r="N3197" i="50"/>
  <c r="M3197" i="50"/>
  <c r="N3196" i="50"/>
  <c r="M3196" i="50"/>
  <c r="N3195" i="50"/>
  <c r="M3195" i="50"/>
  <c r="N3194" i="50"/>
  <c r="M3194" i="50"/>
  <c r="N3193" i="50"/>
  <c r="M3193" i="50"/>
  <c r="N3192" i="50"/>
  <c r="M3192" i="50"/>
  <c r="N3191" i="50"/>
  <c r="M3191" i="50"/>
  <c r="N3190" i="50"/>
  <c r="M3190" i="50"/>
  <c r="N3189" i="50"/>
  <c r="M3189" i="50"/>
  <c r="N3188" i="50"/>
  <c r="M3188" i="50"/>
  <c r="N3187" i="50"/>
  <c r="M3187" i="50"/>
  <c r="N3186" i="50"/>
  <c r="M3186" i="50"/>
  <c r="N3185" i="50"/>
  <c r="M3185" i="50"/>
  <c r="N3184" i="50"/>
  <c r="M3184" i="50"/>
  <c r="N3183" i="50"/>
  <c r="M3183" i="50"/>
  <c r="N3182" i="50"/>
  <c r="M3182" i="50"/>
  <c r="N3181" i="50"/>
  <c r="M3181" i="50"/>
  <c r="N3180" i="50"/>
  <c r="M3180" i="50"/>
  <c r="N3179" i="50"/>
  <c r="M3179" i="50"/>
  <c r="N3178" i="50"/>
  <c r="M3178" i="50"/>
  <c r="N3177" i="50"/>
  <c r="M3177" i="50"/>
  <c r="N3176" i="50"/>
  <c r="M3176" i="50"/>
  <c r="N3175" i="50"/>
  <c r="M3175" i="50"/>
  <c r="N3174" i="50"/>
  <c r="M3174" i="50"/>
  <c r="N3173" i="50"/>
  <c r="M3173" i="50"/>
  <c r="N3172" i="50"/>
  <c r="M3172" i="50"/>
  <c r="N3171" i="50"/>
  <c r="M3171" i="50"/>
  <c r="N3170" i="50"/>
  <c r="M3170" i="50"/>
  <c r="N3169" i="50"/>
  <c r="M3169" i="50"/>
  <c r="N3168" i="50"/>
  <c r="M3168" i="50"/>
  <c r="N3167" i="50"/>
  <c r="M3167" i="50"/>
  <c r="N3166" i="50"/>
  <c r="M3166" i="50"/>
  <c r="N3165" i="50"/>
  <c r="M3165" i="50"/>
  <c r="N3164" i="50"/>
  <c r="M3164" i="50"/>
  <c r="N3163" i="50"/>
  <c r="M3163" i="50"/>
  <c r="N3162" i="50"/>
  <c r="M3162" i="50"/>
  <c r="N3161" i="50"/>
  <c r="M3161" i="50"/>
  <c r="N3160" i="50"/>
  <c r="M3160" i="50"/>
  <c r="N3159" i="50"/>
  <c r="M3159" i="50"/>
  <c r="N3158" i="50"/>
  <c r="M3158" i="50"/>
  <c r="N3157" i="50"/>
  <c r="M3157" i="50"/>
  <c r="N3156" i="50"/>
  <c r="M3156" i="50"/>
  <c r="N3155" i="50"/>
  <c r="M3155" i="50"/>
  <c r="N3154" i="50"/>
  <c r="M3154" i="50"/>
  <c r="N3153" i="50"/>
  <c r="M3153" i="50"/>
  <c r="N3152" i="50"/>
  <c r="M3152" i="50"/>
  <c r="N3151" i="50"/>
  <c r="M3151" i="50"/>
  <c r="N3150" i="50"/>
  <c r="M3150" i="50"/>
  <c r="N3149" i="50"/>
  <c r="M3149" i="50"/>
  <c r="N3148" i="50"/>
  <c r="M3148" i="50"/>
  <c r="N3147" i="50"/>
  <c r="M3147" i="50"/>
  <c r="N3146" i="50"/>
  <c r="M3146" i="50"/>
  <c r="N3145" i="50"/>
  <c r="M3145" i="50"/>
  <c r="N3144" i="50"/>
  <c r="M3144" i="50"/>
  <c r="N3143" i="50"/>
  <c r="M3143" i="50"/>
  <c r="N3142" i="50"/>
  <c r="M3142" i="50"/>
  <c r="N3141" i="50"/>
  <c r="M3141" i="50"/>
  <c r="N3140" i="50"/>
  <c r="M3140" i="50"/>
  <c r="N3139" i="50"/>
  <c r="M3139" i="50"/>
  <c r="N3138" i="50"/>
  <c r="M3138" i="50"/>
  <c r="N3137" i="50"/>
  <c r="M3137" i="50"/>
  <c r="N3136" i="50"/>
  <c r="M3136" i="50"/>
  <c r="N3135" i="50"/>
  <c r="M3135" i="50"/>
  <c r="N3134" i="50"/>
  <c r="M3134" i="50"/>
  <c r="N3133" i="50"/>
  <c r="M3133" i="50"/>
  <c r="N3132" i="50"/>
  <c r="M3132" i="50"/>
  <c r="N3131" i="50"/>
  <c r="M3131" i="50"/>
  <c r="N3130" i="50"/>
  <c r="M3130" i="50"/>
  <c r="N3129" i="50"/>
  <c r="M3129" i="50"/>
  <c r="N3128" i="50"/>
  <c r="M3128" i="50"/>
  <c r="N3127" i="50"/>
  <c r="M3127" i="50"/>
  <c r="N3126" i="50"/>
  <c r="M3126" i="50"/>
  <c r="N3125" i="50"/>
  <c r="M3125" i="50"/>
  <c r="N3124" i="50"/>
  <c r="M3124" i="50"/>
  <c r="N3123" i="50"/>
  <c r="M3123" i="50"/>
  <c r="N3122" i="50"/>
  <c r="M3122" i="50"/>
  <c r="N3121" i="50"/>
  <c r="M3121" i="50"/>
  <c r="N3120" i="50"/>
  <c r="M3120" i="50"/>
  <c r="N3119" i="50"/>
  <c r="M3119" i="50"/>
  <c r="N3118" i="50"/>
  <c r="M3118" i="50"/>
  <c r="N3117" i="50"/>
  <c r="M3117" i="50"/>
  <c r="N3116" i="50"/>
  <c r="M3116" i="50"/>
  <c r="N3115" i="50"/>
  <c r="M3115" i="50"/>
  <c r="N3114" i="50"/>
  <c r="M3114" i="50"/>
  <c r="N3113" i="50"/>
  <c r="M3113" i="50"/>
  <c r="N3112" i="50"/>
  <c r="M3112" i="50"/>
  <c r="N3111" i="50"/>
  <c r="M3111" i="50"/>
  <c r="N3110" i="50"/>
  <c r="M3110" i="50"/>
  <c r="N3109" i="50"/>
  <c r="M3109" i="50"/>
  <c r="N3108" i="50"/>
  <c r="M3108" i="50"/>
  <c r="N3107" i="50"/>
  <c r="M3107" i="50"/>
  <c r="N3106" i="50"/>
  <c r="M3106" i="50"/>
  <c r="N3105" i="50"/>
  <c r="M3105" i="50"/>
  <c r="N3104" i="50"/>
  <c r="M3104" i="50"/>
  <c r="N3103" i="50"/>
  <c r="M3103" i="50"/>
  <c r="N3102" i="50"/>
  <c r="M3102" i="50"/>
  <c r="N3101" i="50"/>
  <c r="M3101" i="50"/>
  <c r="N3100" i="50"/>
  <c r="M3100" i="50"/>
  <c r="N3099" i="50"/>
  <c r="M3099" i="50"/>
  <c r="N3098" i="50"/>
  <c r="M3098" i="50"/>
  <c r="N3097" i="50"/>
  <c r="M3097" i="50"/>
  <c r="N3096" i="50"/>
  <c r="M3096" i="50"/>
  <c r="N3095" i="50"/>
  <c r="M3095" i="50"/>
  <c r="N3094" i="50"/>
  <c r="M3094" i="50"/>
  <c r="N3093" i="50"/>
  <c r="M3093" i="50"/>
  <c r="N3092" i="50"/>
  <c r="M3092" i="50"/>
  <c r="N3091" i="50"/>
  <c r="M3091" i="50"/>
  <c r="N3090" i="50"/>
  <c r="M3090" i="50"/>
  <c r="N3089" i="50"/>
  <c r="M3089" i="50"/>
  <c r="N3088" i="50"/>
  <c r="M3088" i="50"/>
  <c r="N3087" i="50"/>
  <c r="M3087" i="50"/>
  <c r="N3086" i="50"/>
  <c r="M3086" i="50"/>
  <c r="N3085" i="50"/>
  <c r="M3085" i="50"/>
  <c r="N3084" i="50"/>
  <c r="M3084" i="50"/>
  <c r="N3083" i="50"/>
  <c r="M3083" i="50"/>
  <c r="N3082" i="50"/>
  <c r="M3082" i="50"/>
  <c r="N3081" i="50"/>
  <c r="M3081" i="50"/>
  <c r="N3080" i="50"/>
  <c r="M3080" i="50"/>
  <c r="N3079" i="50"/>
  <c r="M3079" i="50"/>
  <c r="N3078" i="50"/>
  <c r="M3078" i="50"/>
  <c r="N3077" i="50"/>
  <c r="M3077" i="50"/>
  <c r="N3076" i="50"/>
  <c r="M3076" i="50"/>
  <c r="N3075" i="50"/>
  <c r="M3075" i="50"/>
  <c r="N3074" i="50"/>
  <c r="M3074" i="50"/>
  <c r="N3073" i="50"/>
  <c r="M3073" i="50"/>
  <c r="N3072" i="50"/>
  <c r="M3072" i="50"/>
  <c r="N3071" i="50"/>
  <c r="M3071" i="50"/>
  <c r="N3070" i="50"/>
  <c r="M3070" i="50"/>
  <c r="N3069" i="50"/>
  <c r="M3069" i="50"/>
  <c r="N3068" i="50"/>
  <c r="M3068" i="50"/>
  <c r="N3067" i="50"/>
  <c r="M3067" i="50"/>
  <c r="N3066" i="50"/>
  <c r="M3066" i="50"/>
  <c r="N3065" i="50"/>
  <c r="M3065" i="50"/>
  <c r="N3064" i="50"/>
  <c r="M3064" i="50"/>
  <c r="N3063" i="50"/>
  <c r="M3063" i="50"/>
  <c r="N3062" i="50"/>
  <c r="M3062" i="50"/>
  <c r="N3061" i="50"/>
  <c r="M3061" i="50"/>
  <c r="N3060" i="50"/>
  <c r="M3060" i="50"/>
  <c r="N3059" i="50"/>
  <c r="M3059" i="50"/>
  <c r="N3058" i="50"/>
  <c r="M3058" i="50"/>
  <c r="N3057" i="50"/>
  <c r="M3057" i="50"/>
  <c r="N3056" i="50"/>
  <c r="M3056" i="50"/>
  <c r="N3055" i="50"/>
  <c r="M3055" i="50"/>
  <c r="N3054" i="50"/>
  <c r="M3054" i="50"/>
  <c r="N3053" i="50"/>
  <c r="M3053" i="50"/>
  <c r="N3052" i="50"/>
  <c r="M3052" i="50"/>
  <c r="N3051" i="50"/>
  <c r="M3051" i="50"/>
  <c r="N3050" i="50"/>
  <c r="M3050" i="50"/>
  <c r="N3049" i="50"/>
  <c r="M3049" i="50"/>
  <c r="N3048" i="50"/>
  <c r="M3048" i="50"/>
  <c r="N3047" i="50"/>
  <c r="M3047" i="50"/>
  <c r="N3046" i="50"/>
  <c r="M3046" i="50"/>
  <c r="N3045" i="50"/>
  <c r="M3045" i="50"/>
  <c r="N3044" i="50"/>
  <c r="M3044" i="50"/>
  <c r="N3043" i="50"/>
  <c r="M3043" i="50"/>
  <c r="N3042" i="50"/>
  <c r="M3042" i="50"/>
  <c r="N3041" i="50"/>
  <c r="M3041" i="50"/>
  <c r="N3040" i="50"/>
  <c r="M3040" i="50"/>
  <c r="N3039" i="50"/>
  <c r="M3039" i="50"/>
  <c r="N3038" i="50"/>
  <c r="M3038" i="50"/>
  <c r="N3037" i="50"/>
  <c r="M3037" i="50"/>
  <c r="N3036" i="50"/>
  <c r="M3036" i="50"/>
  <c r="N3035" i="50"/>
  <c r="M3035" i="50"/>
  <c r="N3034" i="50"/>
  <c r="M3034" i="50"/>
  <c r="N3033" i="50"/>
  <c r="M3033" i="50"/>
  <c r="N3032" i="50"/>
  <c r="M3032" i="50"/>
  <c r="N3031" i="50"/>
  <c r="M3031" i="50"/>
  <c r="N3030" i="50"/>
  <c r="M3030" i="50"/>
  <c r="N3029" i="50"/>
  <c r="M3029" i="50"/>
  <c r="N3028" i="50"/>
  <c r="M3028" i="50"/>
  <c r="N3027" i="50"/>
  <c r="M3027" i="50"/>
  <c r="N3026" i="50"/>
  <c r="M3026" i="50"/>
  <c r="N3025" i="50"/>
  <c r="M3025" i="50"/>
  <c r="N3024" i="50"/>
  <c r="M3024" i="50"/>
  <c r="N3023" i="50"/>
  <c r="M3023" i="50"/>
  <c r="N3022" i="50"/>
  <c r="M3022" i="50"/>
  <c r="N3021" i="50"/>
  <c r="M3021" i="50"/>
  <c r="N3020" i="50"/>
  <c r="M3020" i="50"/>
  <c r="N3019" i="50"/>
  <c r="M3019" i="50"/>
  <c r="N3018" i="50"/>
  <c r="M3018" i="50"/>
  <c r="N3017" i="50"/>
  <c r="M3017" i="50"/>
  <c r="N3016" i="50"/>
  <c r="M3016" i="50"/>
  <c r="N3015" i="50"/>
  <c r="M3015" i="50"/>
  <c r="N3014" i="50"/>
  <c r="M3014" i="50"/>
  <c r="N3013" i="50"/>
  <c r="M3013" i="50"/>
  <c r="N3012" i="50"/>
  <c r="M3012" i="50"/>
  <c r="N3011" i="50"/>
  <c r="M3011" i="50"/>
  <c r="N3010" i="50"/>
  <c r="M3010" i="50"/>
  <c r="N3009" i="50"/>
  <c r="M3009" i="50"/>
  <c r="N3008" i="50"/>
  <c r="M3008" i="50"/>
  <c r="N3007" i="50"/>
  <c r="M3007" i="50"/>
  <c r="N3006" i="50"/>
  <c r="M3006" i="50"/>
  <c r="N3005" i="50"/>
  <c r="M3005" i="50"/>
  <c r="N3004" i="50"/>
  <c r="M3004" i="50"/>
  <c r="N3003" i="50"/>
  <c r="M3003" i="50"/>
  <c r="N3002" i="50"/>
  <c r="M3002" i="50"/>
  <c r="N3001" i="50"/>
  <c r="M3001" i="50"/>
  <c r="N3000" i="50"/>
  <c r="M3000" i="50"/>
  <c r="N2999" i="50"/>
  <c r="M2999" i="50"/>
  <c r="N2998" i="50"/>
  <c r="M2998" i="50"/>
  <c r="N2997" i="50"/>
  <c r="M2997" i="50"/>
  <c r="N2996" i="50"/>
  <c r="M2996" i="50"/>
  <c r="N2995" i="50"/>
  <c r="M2995" i="50"/>
  <c r="N2994" i="50"/>
  <c r="M2994" i="50"/>
  <c r="N2993" i="50"/>
  <c r="M2993" i="50"/>
  <c r="N2992" i="50"/>
  <c r="M2992" i="50"/>
  <c r="N2991" i="50"/>
  <c r="M2991" i="50"/>
  <c r="N2990" i="50"/>
  <c r="M2990" i="50"/>
  <c r="N2989" i="50"/>
  <c r="M2989" i="50"/>
  <c r="N2988" i="50"/>
  <c r="M2988" i="50"/>
  <c r="N2987" i="50"/>
  <c r="M2987" i="50"/>
  <c r="N2986" i="50"/>
  <c r="M2986" i="50"/>
  <c r="N2985" i="50"/>
  <c r="M2985" i="50"/>
  <c r="N2984" i="50"/>
  <c r="M2984" i="50"/>
  <c r="N2983" i="50"/>
  <c r="M2983" i="50"/>
  <c r="N2982" i="50"/>
  <c r="M2982" i="50"/>
  <c r="N2981" i="50"/>
  <c r="M2981" i="50"/>
  <c r="N2980" i="50"/>
  <c r="M2980" i="50"/>
  <c r="N2979" i="50"/>
  <c r="M2979" i="50"/>
  <c r="N2978" i="50"/>
  <c r="M2978" i="50"/>
  <c r="N2977" i="50"/>
  <c r="M2977" i="50"/>
  <c r="N2976" i="50"/>
  <c r="M2976" i="50"/>
  <c r="N2975" i="50"/>
  <c r="M2975" i="50"/>
  <c r="N2974" i="50"/>
  <c r="M2974" i="50"/>
  <c r="N2973" i="50"/>
  <c r="M2973" i="50"/>
  <c r="N2972" i="50"/>
  <c r="M2972" i="50"/>
  <c r="N2971" i="50"/>
  <c r="M2971" i="50"/>
  <c r="N2970" i="50"/>
  <c r="M2970" i="50"/>
  <c r="N2969" i="50"/>
  <c r="M2969" i="50"/>
  <c r="N2968" i="50"/>
  <c r="M2968" i="50"/>
  <c r="N2967" i="50"/>
  <c r="M2967" i="50"/>
  <c r="N2966" i="50"/>
  <c r="M2966" i="50"/>
  <c r="N2965" i="50"/>
  <c r="M2965" i="50"/>
  <c r="N2964" i="50"/>
  <c r="M2964" i="50"/>
  <c r="N2963" i="50"/>
  <c r="M2963" i="50"/>
  <c r="N2962" i="50"/>
  <c r="M2962" i="50"/>
  <c r="N2961" i="50"/>
  <c r="M2961" i="50"/>
  <c r="N2960" i="50"/>
  <c r="M2960" i="50"/>
  <c r="N2959" i="50"/>
  <c r="M2959" i="50"/>
  <c r="N2958" i="50"/>
  <c r="M2958" i="50"/>
  <c r="N2957" i="50"/>
  <c r="M2957" i="50"/>
  <c r="N2956" i="50"/>
  <c r="M2956" i="50"/>
  <c r="N2955" i="50"/>
  <c r="M2955" i="50"/>
  <c r="N2954" i="50"/>
  <c r="M2954" i="50"/>
  <c r="N2953" i="50"/>
  <c r="M2953" i="50"/>
  <c r="N2952" i="50"/>
  <c r="M2952" i="50"/>
  <c r="N2951" i="50"/>
  <c r="M2951" i="50"/>
  <c r="N2950" i="50"/>
  <c r="M2950" i="50"/>
  <c r="N2949" i="50"/>
  <c r="M2949" i="50"/>
  <c r="N2948" i="50"/>
  <c r="M2948" i="50"/>
  <c r="N2947" i="50"/>
  <c r="M2947" i="50"/>
  <c r="N2946" i="50"/>
  <c r="M2946" i="50"/>
  <c r="N2945" i="50"/>
  <c r="M2945" i="50"/>
  <c r="N2944" i="50"/>
  <c r="M2944" i="50"/>
  <c r="N2943" i="50"/>
  <c r="M2943" i="50"/>
  <c r="N2942" i="50"/>
  <c r="M2942" i="50"/>
  <c r="N2941" i="50"/>
  <c r="M2941" i="50"/>
  <c r="N2940" i="50"/>
  <c r="M2940" i="50"/>
  <c r="N2939" i="50"/>
  <c r="M2939" i="50"/>
  <c r="N2938" i="50"/>
  <c r="M2938" i="50"/>
  <c r="N2937" i="50"/>
  <c r="M2937" i="50"/>
  <c r="N2936" i="50"/>
  <c r="M2936" i="50"/>
  <c r="N2935" i="50"/>
  <c r="M2935" i="50"/>
  <c r="N2934" i="50"/>
  <c r="M2934" i="50"/>
  <c r="N2933" i="50"/>
  <c r="M2933" i="50"/>
  <c r="N2932" i="50"/>
  <c r="M2932" i="50"/>
  <c r="N2931" i="50"/>
  <c r="M2931" i="50"/>
  <c r="N2930" i="50"/>
  <c r="M2930" i="50"/>
  <c r="N2929" i="50"/>
  <c r="M2929" i="50"/>
  <c r="N2928" i="50"/>
  <c r="M2928" i="50"/>
  <c r="N2927" i="50"/>
  <c r="M2927" i="50"/>
  <c r="N2926" i="50"/>
  <c r="M2926" i="50"/>
  <c r="N2925" i="50"/>
  <c r="M2925" i="50"/>
  <c r="N2924" i="50"/>
  <c r="M2924" i="50"/>
  <c r="N2923" i="50"/>
  <c r="M2923" i="50"/>
  <c r="N2922" i="50"/>
  <c r="M2922" i="50"/>
  <c r="N2921" i="50"/>
  <c r="M2921" i="50"/>
  <c r="N2920" i="50"/>
  <c r="M2920" i="50"/>
  <c r="N2919" i="50"/>
  <c r="M2919" i="50"/>
  <c r="N2918" i="50"/>
  <c r="M2918" i="50"/>
  <c r="N2917" i="50"/>
  <c r="M2917" i="50"/>
  <c r="N2916" i="50"/>
  <c r="M2916" i="50"/>
  <c r="N2915" i="50"/>
  <c r="M2915" i="50"/>
  <c r="N2914" i="50"/>
  <c r="M2914" i="50"/>
  <c r="N2913" i="50"/>
  <c r="M2913" i="50"/>
  <c r="N2912" i="50"/>
  <c r="M2912" i="50"/>
  <c r="N2911" i="50"/>
  <c r="M2911" i="50"/>
  <c r="N2910" i="50"/>
  <c r="M2910" i="50"/>
  <c r="N2909" i="50"/>
  <c r="M2909" i="50"/>
  <c r="N2908" i="50"/>
  <c r="M2908" i="50"/>
  <c r="N2907" i="50"/>
  <c r="M2907" i="50"/>
  <c r="N2906" i="50"/>
  <c r="M2906" i="50"/>
  <c r="N2905" i="50"/>
  <c r="M2905" i="50"/>
  <c r="N2904" i="50"/>
  <c r="M2904" i="50"/>
  <c r="N2903" i="50"/>
  <c r="M2903" i="50"/>
  <c r="N2902" i="50"/>
  <c r="M2902" i="50"/>
  <c r="N2901" i="50"/>
  <c r="M2901" i="50"/>
  <c r="N2900" i="50"/>
  <c r="M2900" i="50"/>
  <c r="N2899" i="50"/>
  <c r="M2899" i="50"/>
  <c r="N2898" i="50"/>
  <c r="M2898" i="50"/>
  <c r="N2897" i="50"/>
  <c r="M2897" i="50"/>
  <c r="N2896" i="50"/>
  <c r="M2896" i="50"/>
  <c r="N2895" i="50"/>
  <c r="M2895" i="50"/>
  <c r="N2894" i="50"/>
  <c r="M2894" i="50"/>
  <c r="N2893" i="50"/>
  <c r="M2893" i="50"/>
  <c r="N2892" i="50"/>
  <c r="M2892" i="50"/>
  <c r="N2891" i="50"/>
  <c r="M2891" i="50"/>
  <c r="N2890" i="50"/>
  <c r="M2890" i="50"/>
  <c r="N2889" i="50"/>
  <c r="M2889" i="50"/>
  <c r="N2888" i="50"/>
  <c r="M2888" i="50"/>
  <c r="N2887" i="50"/>
  <c r="M2887" i="50"/>
  <c r="N2886" i="50"/>
  <c r="M2886" i="50"/>
  <c r="N2885" i="50"/>
  <c r="M2885" i="50"/>
  <c r="N2884" i="50"/>
  <c r="M2884" i="50"/>
  <c r="N2883" i="50"/>
  <c r="M2883" i="50"/>
  <c r="N2882" i="50"/>
  <c r="M2882" i="50"/>
  <c r="N2881" i="50"/>
  <c r="M2881" i="50"/>
  <c r="N2880" i="50"/>
  <c r="M2880" i="50"/>
  <c r="N2879" i="50"/>
  <c r="M2879" i="50"/>
  <c r="N2878" i="50"/>
  <c r="M2878" i="50"/>
  <c r="N2877" i="50"/>
  <c r="M2877" i="50"/>
  <c r="N2876" i="50"/>
  <c r="M2876" i="50"/>
  <c r="N2875" i="50"/>
  <c r="M2875" i="50"/>
  <c r="N2874" i="50"/>
  <c r="M2874" i="50"/>
  <c r="N2873" i="50"/>
  <c r="M2873" i="50"/>
  <c r="N2872" i="50"/>
  <c r="M2872" i="50"/>
  <c r="N2871" i="50"/>
  <c r="M2871" i="50"/>
  <c r="N2870" i="50"/>
  <c r="M2870" i="50"/>
  <c r="N2869" i="50"/>
  <c r="M2869" i="50"/>
  <c r="N2868" i="50"/>
  <c r="M2868" i="50"/>
  <c r="N2867" i="50"/>
  <c r="M2867" i="50"/>
  <c r="N2866" i="50"/>
  <c r="M2866" i="50"/>
  <c r="N2865" i="50"/>
  <c r="M2865" i="50"/>
  <c r="N2864" i="50"/>
  <c r="M2864" i="50"/>
  <c r="N2863" i="50"/>
  <c r="M2863" i="50"/>
  <c r="N2862" i="50"/>
  <c r="M2862" i="50"/>
  <c r="N2861" i="50"/>
  <c r="M2861" i="50"/>
  <c r="N2860" i="50"/>
  <c r="M2860" i="50"/>
  <c r="N2859" i="50"/>
  <c r="M2859" i="50"/>
  <c r="N2858" i="50"/>
  <c r="M2858" i="50"/>
  <c r="N2857" i="50"/>
  <c r="M2857" i="50"/>
  <c r="N2856" i="50"/>
  <c r="M2856" i="50"/>
  <c r="N2855" i="50"/>
  <c r="M2855" i="50"/>
  <c r="N2854" i="50"/>
  <c r="M2854" i="50"/>
  <c r="N2853" i="50"/>
  <c r="M2853" i="50"/>
  <c r="N2852" i="50"/>
  <c r="M2852" i="50"/>
  <c r="N2851" i="50"/>
  <c r="M2851" i="50"/>
  <c r="N2850" i="50"/>
  <c r="M2850" i="50"/>
  <c r="N2849" i="50"/>
  <c r="M2849" i="50"/>
  <c r="N2848" i="50"/>
  <c r="M2848" i="50"/>
  <c r="N2847" i="50"/>
  <c r="M2847" i="50"/>
  <c r="N2846" i="50"/>
  <c r="M2846" i="50"/>
  <c r="N2845" i="50"/>
  <c r="M2845" i="50"/>
  <c r="N2844" i="50"/>
  <c r="M2844" i="50"/>
  <c r="N2843" i="50"/>
  <c r="M2843" i="50"/>
  <c r="N2842" i="50"/>
  <c r="M2842" i="50"/>
  <c r="N2841" i="50"/>
  <c r="M2841" i="50"/>
  <c r="N2840" i="50"/>
  <c r="M2840" i="50"/>
  <c r="N2839" i="50"/>
  <c r="M2839" i="50"/>
  <c r="N2838" i="50"/>
  <c r="M2838" i="50"/>
  <c r="N2837" i="50"/>
  <c r="M2837" i="50"/>
  <c r="N2836" i="50"/>
  <c r="M2836" i="50"/>
  <c r="N2835" i="50"/>
  <c r="M2835" i="50"/>
  <c r="N2834" i="50"/>
  <c r="M2834" i="50"/>
  <c r="N2833" i="50"/>
  <c r="M2833" i="50"/>
  <c r="N2832" i="50"/>
  <c r="M2832" i="50"/>
  <c r="N2831" i="50"/>
  <c r="M2831" i="50"/>
  <c r="N2830" i="50"/>
  <c r="M2830" i="50"/>
  <c r="N2829" i="50"/>
  <c r="M2829" i="50"/>
  <c r="N2828" i="50"/>
  <c r="M2828" i="50"/>
  <c r="N2827" i="50"/>
  <c r="M2827" i="50"/>
  <c r="N2826" i="50"/>
  <c r="M2826" i="50"/>
  <c r="N2825" i="50"/>
  <c r="M2825" i="50"/>
  <c r="N2824" i="50"/>
  <c r="M2824" i="50"/>
  <c r="N2823" i="50"/>
  <c r="M2823" i="50"/>
  <c r="N2822" i="50"/>
  <c r="M2822" i="50"/>
  <c r="N2821" i="50"/>
  <c r="M2821" i="50"/>
  <c r="N2820" i="50"/>
  <c r="M2820" i="50"/>
  <c r="N2819" i="50"/>
  <c r="M2819" i="50"/>
  <c r="N2818" i="50"/>
  <c r="M2818" i="50"/>
  <c r="N2817" i="50"/>
  <c r="M2817" i="50"/>
  <c r="N2816" i="50"/>
  <c r="M2816" i="50"/>
  <c r="N2815" i="50"/>
  <c r="M2815" i="50"/>
  <c r="N2814" i="50"/>
  <c r="M2814" i="50"/>
  <c r="N2813" i="50"/>
  <c r="M2813" i="50"/>
  <c r="N2812" i="50"/>
  <c r="M2812" i="50"/>
  <c r="N2811" i="50"/>
  <c r="M2811" i="50"/>
  <c r="N2810" i="50"/>
  <c r="M2810" i="50"/>
  <c r="N2809" i="50"/>
  <c r="M2809" i="50"/>
  <c r="N2808" i="50"/>
  <c r="M2808" i="50"/>
  <c r="N2807" i="50"/>
  <c r="M2807" i="50"/>
  <c r="N2806" i="50"/>
  <c r="M2806" i="50"/>
  <c r="N2805" i="50"/>
  <c r="M2805" i="50"/>
  <c r="N2804" i="50"/>
  <c r="M2804" i="50"/>
  <c r="N2803" i="50"/>
  <c r="M2803" i="50"/>
  <c r="N2802" i="50"/>
  <c r="M2802" i="50"/>
  <c r="N2801" i="50"/>
  <c r="M2801" i="50"/>
  <c r="N2800" i="50"/>
  <c r="M2800" i="50"/>
  <c r="N2799" i="50"/>
  <c r="M2799" i="50"/>
  <c r="N2798" i="50"/>
  <c r="M2798" i="50"/>
  <c r="N2797" i="50"/>
  <c r="M2797" i="50"/>
  <c r="N2796" i="50"/>
  <c r="M2796" i="50"/>
  <c r="N2795" i="50"/>
  <c r="M2795" i="50"/>
  <c r="N2794" i="50"/>
  <c r="M2794" i="50"/>
  <c r="N2793" i="50"/>
  <c r="M2793" i="50"/>
  <c r="N2792" i="50"/>
  <c r="M2792" i="50"/>
  <c r="N2791" i="50"/>
  <c r="M2791" i="50"/>
  <c r="N2790" i="50"/>
  <c r="M2790" i="50"/>
  <c r="N2789" i="50"/>
  <c r="M2789" i="50"/>
  <c r="N2788" i="50"/>
  <c r="M2788" i="50"/>
  <c r="N2787" i="50"/>
  <c r="M2787" i="50"/>
  <c r="N2786" i="50"/>
  <c r="M2786" i="50"/>
  <c r="N2785" i="50"/>
  <c r="M2785" i="50"/>
  <c r="N2784" i="50"/>
  <c r="M2784" i="50"/>
  <c r="N2783" i="50"/>
  <c r="M2783" i="50"/>
  <c r="N2782" i="50"/>
  <c r="M2782" i="50"/>
  <c r="N2781" i="50"/>
  <c r="M2781" i="50"/>
  <c r="N2780" i="50"/>
  <c r="M2780" i="50"/>
  <c r="N2779" i="50"/>
  <c r="M2779" i="50"/>
  <c r="N2778" i="50"/>
  <c r="M2778" i="50"/>
  <c r="N2777" i="50"/>
  <c r="M2777" i="50"/>
  <c r="N2776" i="50"/>
  <c r="M2776" i="50"/>
  <c r="N2775" i="50"/>
  <c r="M2775" i="50"/>
  <c r="N2774" i="50"/>
  <c r="M2774" i="50"/>
  <c r="N2773" i="50"/>
  <c r="M2773" i="50"/>
  <c r="N2772" i="50"/>
  <c r="M2772" i="50"/>
  <c r="N2771" i="50"/>
  <c r="M2771" i="50"/>
  <c r="N2770" i="50"/>
  <c r="M2770" i="50"/>
  <c r="N2769" i="50"/>
  <c r="M2769" i="50"/>
  <c r="N2768" i="50"/>
  <c r="M2768" i="50"/>
  <c r="N2767" i="50"/>
  <c r="M2767" i="50"/>
  <c r="N2766" i="50"/>
  <c r="M2766" i="50"/>
  <c r="N2765" i="50"/>
  <c r="M2765" i="50"/>
  <c r="N2764" i="50"/>
  <c r="M2764" i="50"/>
  <c r="N2763" i="50"/>
  <c r="M2763" i="50"/>
  <c r="N2762" i="50"/>
  <c r="M2762" i="50"/>
  <c r="N2761" i="50"/>
  <c r="M2761" i="50"/>
  <c r="N2760" i="50"/>
  <c r="M2760" i="50"/>
  <c r="N2759" i="50"/>
  <c r="M2759" i="50"/>
  <c r="N2758" i="50"/>
  <c r="M2758" i="50"/>
  <c r="N2757" i="50"/>
  <c r="M2757" i="50"/>
  <c r="N2756" i="50"/>
  <c r="M2756" i="50"/>
  <c r="N2755" i="50"/>
  <c r="M2755" i="50"/>
  <c r="N2754" i="50"/>
  <c r="M2754" i="50"/>
  <c r="N2753" i="50"/>
  <c r="M2753" i="50"/>
  <c r="N2752" i="50"/>
  <c r="M2752" i="50"/>
  <c r="N2751" i="50"/>
  <c r="M2751" i="50"/>
  <c r="N2750" i="50"/>
  <c r="M2750" i="50"/>
  <c r="N2749" i="50"/>
  <c r="M2749" i="50"/>
  <c r="N2748" i="50"/>
  <c r="M2748" i="50"/>
  <c r="N2747" i="50"/>
  <c r="M2747" i="50"/>
  <c r="N2746" i="50"/>
  <c r="M2746" i="50"/>
  <c r="N2745" i="50"/>
  <c r="M2745" i="50"/>
  <c r="N2744" i="50"/>
  <c r="M2744" i="50"/>
  <c r="N2743" i="50"/>
  <c r="M2743" i="50"/>
  <c r="N2742" i="50"/>
  <c r="M2742" i="50"/>
  <c r="N2741" i="50"/>
  <c r="M2741" i="50"/>
  <c r="N2740" i="50"/>
  <c r="M2740" i="50"/>
  <c r="N2739" i="50"/>
  <c r="M2739" i="50"/>
  <c r="N2738" i="50"/>
  <c r="M2738" i="50"/>
  <c r="N2737" i="50"/>
  <c r="M2737" i="50"/>
  <c r="N2736" i="50"/>
  <c r="M2736" i="50"/>
  <c r="N2735" i="50"/>
  <c r="M2735" i="50"/>
  <c r="N2734" i="50"/>
  <c r="M2734" i="50"/>
  <c r="N2733" i="50"/>
  <c r="M2733" i="50"/>
  <c r="N2732" i="50"/>
  <c r="M2732" i="50"/>
  <c r="N2731" i="50"/>
  <c r="M2731" i="50"/>
  <c r="N2730" i="50"/>
  <c r="M2730" i="50"/>
  <c r="N2729" i="50"/>
  <c r="M2729" i="50"/>
  <c r="N2728" i="50"/>
  <c r="M2728" i="50"/>
  <c r="N2727" i="50"/>
  <c r="M2727" i="50"/>
  <c r="N2726" i="50"/>
  <c r="M2726" i="50"/>
  <c r="N2725" i="50"/>
  <c r="M2725" i="50"/>
  <c r="N2724" i="50"/>
  <c r="M2724" i="50"/>
  <c r="N2723" i="50"/>
  <c r="M2723" i="50"/>
  <c r="N2722" i="50"/>
  <c r="M2722" i="50"/>
  <c r="N2721" i="50"/>
  <c r="M2721" i="50"/>
  <c r="N2720" i="50"/>
  <c r="M2720" i="50"/>
  <c r="N2719" i="50"/>
  <c r="M2719" i="50"/>
  <c r="N2718" i="50"/>
  <c r="M2718" i="50"/>
  <c r="N2717" i="50"/>
  <c r="M2717" i="50"/>
  <c r="N2716" i="50"/>
  <c r="M2716" i="50"/>
  <c r="N2715" i="50"/>
  <c r="M2715" i="50"/>
  <c r="N2714" i="50"/>
  <c r="M2714" i="50"/>
  <c r="N2713" i="50"/>
  <c r="M2713" i="50"/>
  <c r="N2712" i="50"/>
  <c r="M2712" i="50"/>
  <c r="N2711" i="50"/>
  <c r="M2711" i="50"/>
  <c r="N2710" i="50"/>
  <c r="M2710" i="50"/>
  <c r="N2709" i="50"/>
  <c r="M2709" i="50"/>
  <c r="N2708" i="50"/>
  <c r="M2708" i="50"/>
  <c r="N2707" i="50"/>
  <c r="M2707" i="50"/>
  <c r="N2706" i="50"/>
  <c r="M2706" i="50"/>
  <c r="N2705" i="50"/>
  <c r="M2705" i="50"/>
  <c r="N2704" i="50"/>
  <c r="M2704" i="50"/>
  <c r="N2703" i="50"/>
  <c r="M2703" i="50"/>
  <c r="N2702" i="50"/>
  <c r="M2702" i="50"/>
  <c r="N2701" i="50"/>
  <c r="M2701" i="50"/>
  <c r="N2700" i="50"/>
  <c r="M2700" i="50"/>
  <c r="N2699" i="50"/>
  <c r="M2699" i="50"/>
  <c r="N2698" i="50"/>
  <c r="M2698" i="50"/>
  <c r="N2697" i="50"/>
  <c r="M2697" i="50"/>
  <c r="N2696" i="50"/>
  <c r="M2696" i="50"/>
  <c r="N2695" i="50"/>
  <c r="M2695" i="50"/>
  <c r="N2694" i="50"/>
  <c r="M2694" i="50"/>
  <c r="N2693" i="50"/>
  <c r="M2693" i="50"/>
  <c r="N2692" i="50"/>
  <c r="M2692" i="50"/>
  <c r="N2691" i="50"/>
  <c r="M2691" i="50"/>
  <c r="N2690" i="50"/>
  <c r="M2690" i="50"/>
  <c r="N2689" i="50"/>
  <c r="M2689" i="50"/>
  <c r="N2688" i="50"/>
  <c r="M2688" i="50"/>
  <c r="N2687" i="50"/>
  <c r="M2687" i="50"/>
  <c r="N2686" i="50"/>
  <c r="M2686" i="50"/>
  <c r="N2685" i="50"/>
  <c r="M2685" i="50"/>
  <c r="N2684" i="50"/>
  <c r="M2684" i="50"/>
  <c r="N2683" i="50"/>
  <c r="M2683" i="50"/>
  <c r="N2682" i="50"/>
  <c r="M2682" i="50"/>
  <c r="N2681" i="50"/>
  <c r="M2681" i="50"/>
  <c r="N2680" i="50"/>
  <c r="M2680" i="50"/>
  <c r="N2679" i="50"/>
  <c r="M2679" i="50"/>
  <c r="N2678" i="50"/>
  <c r="M2678" i="50"/>
  <c r="N2677" i="50"/>
  <c r="M2677" i="50"/>
  <c r="N2676" i="50"/>
  <c r="M2676" i="50"/>
  <c r="N2675" i="50"/>
  <c r="M2675" i="50"/>
  <c r="N2674" i="50"/>
  <c r="M2674" i="50"/>
  <c r="N2673" i="50"/>
  <c r="M2673" i="50"/>
  <c r="N2672" i="50"/>
  <c r="M2672" i="50"/>
  <c r="N2671" i="50"/>
  <c r="M2671" i="50"/>
  <c r="N2670" i="50"/>
  <c r="M2670" i="50"/>
  <c r="N2669" i="50"/>
  <c r="M2669" i="50"/>
  <c r="N2668" i="50"/>
  <c r="M2668" i="50"/>
  <c r="N2667" i="50"/>
  <c r="M2667" i="50"/>
  <c r="N2666" i="50"/>
  <c r="M2666" i="50"/>
  <c r="N2665" i="50"/>
  <c r="M2665" i="50"/>
  <c r="N2664" i="50"/>
  <c r="M2664" i="50"/>
  <c r="N2663" i="50"/>
  <c r="M2663" i="50"/>
  <c r="N2662" i="50"/>
  <c r="M2662" i="50"/>
  <c r="N2661" i="50"/>
  <c r="M2661" i="50"/>
  <c r="N2660" i="50"/>
  <c r="M2660" i="50"/>
  <c r="N2659" i="50"/>
  <c r="M2659" i="50"/>
  <c r="N2658" i="50"/>
  <c r="M2658" i="50"/>
  <c r="N2657" i="50"/>
  <c r="M2657" i="50"/>
  <c r="N2656" i="50"/>
  <c r="M2656" i="50"/>
  <c r="N2655" i="50"/>
  <c r="M2655" i="50"/>
  <c r="N2654" i="50"/>
  <c r="M2654" i="50"/>
  <c r="N2653" i="50"/>
  <c r="M2653" i="50"/>
  <c r="N2652" i="50"/>
  <c r="M2652" i="50"/>
  <c r="N2651" i="50"/>
  <c r="M2651" i="50"/>
  <c r="N2650" i="50"/>
  <c r="M2650" i="50"/>
  <c r="N2649" i="50"/>
  <c r="M2649" i="50"/>
  <c r="N2648" i="50"/>
  <c r="M2648" i="50"/>
  <c r="N2647" i="50"/>
  <c r="M2647" i="50"/>
  <c r="N2646" i="50"/>
  <c r="M2646" i="50"/>
  <c r="N2645" i="50"/>
  <c r="M2645" i="50"/>
  <c r="N2644" i="50"/>
  <c r="M2644" i="50"/>
  <c r="N2643" i="50"/>
  <c r="M2643" i="50"/>
  <c r="N2642" i="50"/>
  <c r="M2642" i="50"/>
  <c r="N2641" i="50"/>
  <c r="M2641" i="50"/>
  <c r="N2640" i="50"/>
  <c r="M2640" i="50"/>
  <c r="N2639" i="50"/>
  <c r="M2639" i="50"/>
  <c r="N2638" i="50"/>
  <c r="M2638" i="50"/>
  <c r="N2637" i="50"/>
  <c r="M2637" i="50"/>
  <c r="N2636" i="50"/>
  <c r="M2636" i="50"/>
  <c r="N2635" i="50"/>
  <c r="M2635" i="50"/>
  <c r="N2634" i="50"/>
  <c r="M2634" i="50"/>
  <c r="N2633" i="50"/>
  <c r="M2633" i="50"/>
  <c r="N2632" i="50"/>
  <c r="M2632" i="50"/>
  <c r="N2631" i="50"/>
  <c r="M2631" i="50"/>
  <c r="N2630" i="50"/>
  <c r="M2630" i="50"/>
  <c r="N2629" i="50"/>
  <c r="M2629" i="50"/>
  <c r="N2628" i="50"/>
  <c r="M2628" i="50"/>
  <c r="N2627" i="50"/>
  <c r="M2627" i="50"/>
  <c r="N2626" i="50"/>
  <c r="M2626" i="50"/>
  <c r="N2625" i="50"/>
  <c r="M2625" i="50"/>
  <c r="N2624" i="50"/>
  <c r="M2624" i="50"/>
  <c r="N2623" i="50"/>
  <c r="M2623" i="50"/>
  <c r="N2622" i="50"/>
  <c r="M2622" i="50"/>
  <c r="N2621" i="50"/>
  <c r="M2621" i="50"/>
  <c r="N2620" i="50"/>
  <c r="M2620" i="50"/>
  <c r="N2619" i="50"/>
  <c r="M2619" i="50"/>
  <c r="N2618" i="50"/>
  <c r="M2618" i="50"/>
  <c r="N2617" i="50"/>
  <c r="M2617" i="50"/>
  <c r="N2616" i="50"/>
  <c r="M2616" i="50"/>
  <c r="N2615" i="50"/>
  <c r="M2615" i="50"/>
  <c r="N2614" i="50"/>
  <c r="M2614" i="50"/>
  <c r="N2613" i="50"/>
  <c r="M2613" i="50"/>
  <c r="N2612" i="50"/>
  <c r="M2612" i="50"/>
  <c r="N2611" i="50"/>
  <c r="M2611" i="50"/>
  <c r="N2610" i="50"/>
  <c r="M2610" i="50"/>
  <c r="N2609" i="50"/>
  <c r="M2609" i="50"/>
  <c r="N2608" i="50"/>
  <c r="M2608" i="50"/>
  <c r="N2607" i="50"/>
  <c r="M2607" i="50"/>
  <c r="N2606" i="50"/>
  <c r="M2606" i="50"/>
  <c r="N2605" i="50"/>
  <c r="M2605" i="50"/>
  <c r="N2604" i="50"/>
  <c r="M2604" i="50"/>
  <c r="N2603" i="50"/>
  <c r="M2603" i="50"/>
  <c r="N2602" i="50"/>
  <c r="M2602" i="50"/>
  <c r="N2601" i="50"/>
  <c r="M2601" i="50"/>
  <c r="N2600" i="50"/>
  <c r="M2600" i="50"/>
  <c r="N2599" i="50"/>
  <c r="M2599" i="50"/>
  <c r="N2598" i="50"/>
  <c r="M2598" i="50"/>
  <c r="N2597" i="50"/>
  <c r="M2597" i="50"/>
  <c r="N2596" i="50"/>
  <c r="M2596" i="50"/>
  <c r="N2595" i="50"/>
  <c r="M2595" i="50"/>
  <c r="N2594" i="50"/>
  <c r="M2594" i="50"/>
  <c r="N2593" i="50"/>
  <c r="M2593" i="50"/>
  <c r="N2592" i="50"/>
  <c r="M2592" i="50"/>
  <c r="N2591" i="50"/>
  <c r="M2591" i="50"/>
  <c r="N2590" i="50"/>
  <c r="M2590" i="50"/>
  <c r="N2589" i="50"/>
  <c r="M2589" i="50"/>
  <c r="N2588" i="50"/>
  <c r="M2588" i="50"/>
  <c r="N2587" i="50"/>
  <c r="M2587" i="50"/>
  <c r="N2586" i="50"/>
  <c r="M2586" i="50"/>
  <c r="N2585" i="50"/>
  <c r="M2585" i="50"/>
  <c r="N2584" i="50"/>
  <c r="M2584" i="50"/>
  <c r="N2583" i="50"/>
  <c r="M2583" i="50"/>
  <c r="N2582" i="50"/>
  <c r="M2582" i="50"/>
  <c r="N2581" i="50"/>
  <c r="M2581" i="50"/>
  <c r="N2580" i="50"/>
  <c r="M2580" i="50"/>
  <c r="N2579" i="50"/>
  <c r="M2579" i="50"/>
  <c r="N2578" i="50"/>
  <c r="M2578" i="50"/>
  <c r="N2577" i="50"/>
  <c r="M2577" i="50"/>
  <c r="N2576" i="50"/>
  <c r="M2576" i="50"/>
  <c r="N2575" i="50"/>
  <c r="M2575" i="50"/>
  <c r="N2574" i="50"/>
  <c r="M2574" i="50"/>
  <c r="N2573" i="50"/>
  <c r="M2573" i="50"/>
  <c r="N2572" i="50"/>
  <c r="M2572" i="50"/>
  <c r="N2571" i="50"/>
  <c r="M2571" i="50"/>
  <c r="N2570" i="50"/>
  <c r="M2570" i="50"/>
  <c r="N2569" i="50"/>
  <c r="M2569" i="50"/>
  <c r="N2568" i="50"/>
  <c r="M2568" i="50"/>
  <c r="N2567" i="50"/>
  <c r="M2567" i="50"/>
  <c r="N2566" i="50"/>
  <c r="M2566" i="50"/>
  <c r="N2565" i="50"/>
  <c r="M2565" i="50"/>
  <c r="N2564" i="50"/>
  <c r="M2564" i="50"/>
  <c r="N2563" i="50"/>
  <c r="M2563" i="50"/>
  <c r="N2562" i="50"/>
  <c r="M2562" i="50"/>
  <c r="N2561" i="50"/>
  <c r="M2561" i="50"/>
  <c r="N2560" i="50"/>
  <c r="M2560" i="50"/>
  <c r="N2559" i="50"/>
  <c r="M2559" i="50"/>
  <c r="N2558" i="50"/>
  <c r="M2558" i="50"/>
  <c r="N2557" i="50"/>
  <c r="M2557" i="50"/>
  <c r="N2556" i="50"/>
  <c r="M2556" i="50"/>
  <c r="N2555" i="50"/>
  <c r="M2555" i="50"/>
  <c r="N2554" i="50"/>
  <c r="M2554" i="50"/>
  <c r="N2553" i="50"/>
  <c r="M2553" i="50"/>
  <c r="N2552" i="50"/>
  <c r="M2552" i="50"/>
  <c r="N2551" i="50"/>
  <c r="M2551" i="50"/>
  <c r="N2550" i="50"/>
  <c r="M2550" i="50"/>
  <c r="N2549" i="50"/>
  <c r="M2549" i="50"/>
  <c r="N2548" i="50"/>
  <c r="M2548" i="50"/>
  <c r="N2547" i="50"/>
  <c r="M2547" i="50"/>
  <c r="N2546" i="50"/>
  <c r="M2546" i="50"/>
  <c r="N2545" i="50"/>
  <c r="M2545" i="50"/>
  <c r="N2544" i="50"/>
  <c r="M2544" i="50"/>
  <c r="N2543" i="50"/>
  <c r="M2543" i="50"/>
  <c r="N2542" i="50"/>
  <c r="M2542" i="50"/>
  <c r="N2541" i="50"/>
  <c r="M2541" i="50"/>
  <c r="N2540" i="50"/>
  <c r="M2540" i="50"/>
  <c r="N2539" i="50"/>
  <c r="M2539" i="50"/>
  <c r="N2538" i="50"/>
  <c r="M2538" i="50"/>
  <c r="N2537" i="50"/>
  <c r="M2537" i="50"/>
  <c r="N2536" i="50"/>
  <c r="M2536" i="50"/>
  <c r="N2535" i="50"/>
  <c r="M2535" i="50"/>
  <c r="N2534" i="50"/>
  <c r="M2534" i="50"/>
  <c r="N2533" i="50"/>
  <c r="M2533" i="50"/>
  <c r="N2532" i="50"/>
  <c r="M2532" i="50"/>
  <c r="N2531" i="50"/>
  <c r="M2531" i="50"/>
  <c r="N2530" i="50"/>
  <c r="M2530" i="50"/>
  <c r="N2529" i="50"/>
  <c r="M2529" i="50"/>
  <c r="N2528" i="50"/>
  <c r="M2528" i="50"/>
  <c r="N2527" i="50"/>
  <c r="M2527" i="50"/>
  <c r="N2526" i="50"/>
  <c r="M2526" i="50"/>
  <c r="N2525" i="50"/>
  <c r="M2525" i="50"/>
  <c r="N2524" i="50"/>
  <c r="M2524" i="50"/>
  <c r="N2523" i="50"/>
  <c r="M2523" i="50"/>
  <c r="N2522" i="50"/>
  <c r="M2522" i="50"/>
  <c r="N2521" i="50"/>
  <c r="M2521" i="50"/>
  <c r="N2520" i="50"/>
  <c r="M2520" i="50"/>
  <c r="N2519" i="50"/>
  <c r="M2519" i="50"/>
  <c r="N2518" i="50"/>
  <c r="M2518" i="50"/>
  <c r="N2517" i="50"/>
  <c r="M2517" i="50"/>
  <c r="N2516" i="50"/>
  <c r="M2516" i="50"/>
  <c r="N2515" i="50"/>
  <c r="M2515" i="50"/>
  <c r="N2514" i="50"/>
  <c r="M2514" i="50"/>
  <c r="N2513" i="50"/>
  <c r="M2513" i="50"/>
  <c r="N2512" i="50"/>
  <c r="M2512" i="50"/>
  <c r="N2511" i="50"/>
  <c r="M2511" i="50"/>
  <c r="N2510" i="50"/>
  <c r="M2510" i="50"/>
  <c r="N2509" i="50"/>
  <c r="M2509" i="50"/>
  <c r="N2508" i="50"/>
  <c r="M2508" i="50"/>
  <c r="N2507" i="50"/>
  <c r="M2507" i="50"/>
  <c r="N2506" i="50"/>
  <c r="M2506" i="50"/>
  <c r="N2505" i="50"/>
  <c r="M2505" i="50"/>
  <c r="N2504" i="50"/>
  <c r="M2504" i="50"/>
  <c r="N2503" i="50"/>
  <c r="M2503" i="50"/>
  <c r="N2502" i="50"/>
  <c r="M2502" i="50"/>
  <c r="N2501" i="50"/>
  <c r="M2501" i="50"/>
  <c r="N2500" i="50"/>
  <c r="M2500" i="50"/>
  <c r="N2499" i="50"/>
  <c r="M2499" i="50"/>
  <c r="N2498" i="50"/>
  <c r="M2498" i="50"/>
  <c r="N2497" i="50"/>
  <c r="M2497" i="50"/>
  <c r="N2496" i="50"/>
  <c r="M2496" i="50"/>
  <c r="N2495" i="50"/>
  <c r="M2495" i="50"/>
  <c r="N2494" i="50"/>
  <c r="M2494" i="50"/>
  <c r="N2493" i="50"/>
  <c r="M2493" i="50"/>
  <c r="N2492" i="50"/>
  <c r="M2492" i="50"/>
  <c r="N2491" i="50"/>
  <c r="M2491" i="50"/>
  <c r="N2490" i="50"/>
  <c r="M2490" i="50"/>
  <c r="N2489" i="50"/>
  <c r="M2489" i="50"/>
  <c r="N2488" i="50"/>
  <c r="M2488" i="50"/>
  <c r="N2487" i="50"/>
  <c r="M2487" i="50"/>
  <c r="N2486" i="50"/>
  <c r="M2486" i="50"/>
  <c r="N2485" i="50"/>
  <c r="M2485" i="50"/>
  <c r="N2484" i="50"/>
  <c r="M2484" i="50"/>
  <c r="N2483" i="50"/>
  <c r="M2483" i="50"/>
  <c r="N2482" i="50"/>
  <c r="M2482" i="50"/>
  <c r="N2481" i="50"/>
  <c r="M2481" i="50"/>
  <c r="N2480" i="50"/>
  <c r="M2480" i="50"/>
  <c r="N2479" i="50"/>
  <c r="M2479" i="50"/>
  <c r="N2478" i="50"/>
  <c r="M2478" i="50"/>
  <c r="N2477" i="50"/>
  <c r="M2477" i="50"/>
  <c r="N2476" i="50"/>
  <c r="M2476" i="50"/>
  <c r="N2475" i="50"/>
  <c r="M2475" i="50"/>
  <c r="N2474" i="50"/>
  <c r="M2474" i="50"/>
  <c r="N2473" i="50"/>
  <c r="M2473" i="50"/>
  <c r="N2472" i="50"/>
  <c r="M2472" i="50"/>
  <c r="N2471" i="50"/>
  <c r="M2471" i="50"/>
  <c r="N2470" i="50"/>
  <c r="M2470" i="50"/>
  <c r="N2469" i="50"/>
  <c r="M2469" i="50"/>
  <c r="N2468" i="50"/>
  <c r="M2468" i="50"/>
  <c r="N2467" i="50"/>
  <c r="M2467" i="50"/>
  <c r="N2466" i="50"/>
  <c r="M2466" i="50"/>
  <c r="N2465" i="50"/>
  <c r="M2465" i="50"/>
  <c r="N2464" i="50"/>
  <c r="M2464" i="50"/>
  <c r="N2463" i="50"/>
  <c r="M2463" i="50"/>
  <c r="N2462" i="50"/>
  <c r="M2462" i="50"/>
  <c r="N2461" i="50"/>
  <c r="M2461" i="50"/>
  <c r="N2460" i="50"/>
  <c r="M2460" i="50"/>
  <c r="N2459" i="50"/>
  <c r="M2459" i="50"/>
  <c r="N2458" i="50"/>
  <c r="M2458" i="50"/>
  <c r="N2457" i="50"/>
  <c r="M2457" i="50"/>
  <c r="N2456" i="50"/>
  <c r="M2456" i="50"/>
  <c r="N2455" i="50"/>
  <c r="M2455" i="50"/>
  <c r="N2454" i="50"/>
  <c r="M2454" i="50"/>
  <c r="N2453" i="50"/>
  <c r="M2453" i="50"/>
  <c r="N2452" i="50"/>
  <c r="M2452" i="50"/>
  <c r="N2451" i="50"/>
  <c r="M2451" i="50"/>
  <c r="N2450" i="50"/>
  <c r="M2450" i="50"/>
  <c r="N2449" i="50"/>
  <c r="M2449" i="50"/>
  <c r="N2448" i="50"/>
  <c r="M2448" i="50"/>
  <c r="N2447" i="50"/>
  <c r="M2447" i="50"/>
  <c r="N2446" i="50"/>
  <c r="M2446" i="50"/>
  <c r="N2445" i="50"/>
  <c r="M2445" i="50"/>
  <c r="N2444" i="50"/>
  <c r="M2444" i="50"/>
  <c r="N2443" i="50"/>
  <c r="M2443" i="50"/>
  <c r="N2442" i="50"/>
  <c r="M2442" i="50"/>
  <c r="N2441" i="50"/>
  <c r="M2441" i="50"/>
  <c r="N2440" i="50"/>
  <c r="M2440" i="50"/>
  <c r="N2439" i="50"/>
  <c r="M2439" i="50"/>
  <c r="N2438" i="50"/>
  <c r="M2438" i="50"/>
  <c r="N2437" i="50"/>
  <c r="M2437" i="50"/>
  <c r="N2436" i="50"/>
  <c r="M2436" i="50"/>
  <c r="N2435" i="50"/>
  <c r="M2435" i="50"/>
  <c r="N2434" i="50"/>
  <c r="M2434" i="50"/>
  <c r="N2433" i="50"/>
  <c r="M2433" i="50"/>
  <c r="N2432" i="50"/>
  <c r="M2432" i="50"/>
  <c r="N2431" i="50"/>
  <c r="M2431" i="50"/>
  <c r="N2430" i="50"/>
  <c r="M2430" i="50"/>
  <c r="N2429" i="50"/>
  <c r="M2429" i="50"/>
  <c r="N2428" i="50"/>
  <c r="M2428" i="50"/>
  <c r="N2427" i="50"/>
  <c r="M2427" i="50"/>
  <c r="N2426" i="50"/>
  <c r="M2426" i="50"/>
  <c r="N2425" i="50"/>
  <c r="M2425" i="50"/>
  <c r="N2424" i="50"/>
  <c r="M2424" i="50"/>
  <c r="N2423" i="50"/>
  <c r="M2423" i="50"/>
  <c r="N2422" i="50"/>
  <c r="M2422" i="50"/>
  <c r="N2421" i="50"/>
  <c r="M2421" i="50"/>
  <c r="N2420" i="50"/>
  <c r="M2420" i="50"/>
  <c r="N2419" i="50"/>
  <c r="M2419" i="50"/>
  <c r="N2418" i="50"/>
  <c r="M2418" i="50"/>
  <c r="N2417" i="50"/>
  <c r="M2417" i="50"/>
  <c r="N2416" i="50"/>
  <c r="M2416" i="50"/>
  <c r="N2415" i="50"/>
  <c r="M2415" i="50"/>
  <c r="N2414" i="50"/>
  <c r="M2414" i="50"/>
  <c r="N2413" i="50"/>
  <c r="M2413" i="50"/>
  <c r="N2412" i="50"/>
  <c r="M2412" i="50"/>
  <c r="N2411" i="50"/>
  <c r="M2411" i="50"/>
  <c r="N2410" i="50"/>
  <c r="M2410" i="50"/>
  <c r="N2409" i="50"/>
  <c r="M2409" i="50"/>
  <c r="N2408" i="50"/>
  <c r="M2408" i="50"/>
  <c r="N2407" i="50"/>
  <c r="M2407" i="50"/>
  <c r="N2406" i="50"/>
  <c r="M2406" i="50"/>
  <c r="N2405" i="50"/>
  <c r="M2405" i="50"/>
  <c r="N2404" i="50"/>
  <c r="M2404" i="50"/>
  <c r="N2403" i="50"/>
  <c r="M2403" i="50"/>
  <c r="N2402" i="50"/>
  <c r="M2402" i="50"/>
  <c r="N2401" i="50"/>
  <c r="M2401" i="50"/>
  <c r="N2400" i="50"/>
  <c r="M2400" i="50"/>
  <c r="N2399" i="50"/>
  <c r="M2399" i="50"/>
  <c r="N2398" i="50"/>
  <c r="M2398" i="50"/>
  <c r="N2397" i="50"/>
  <c r="M2397" i="50"/>
  <c r="N2396" i="50"/>
  <c r="M2396" i="50"/>
  <c r="N2395" i="50"/>
  <c r="M2395" i="50"/>
  <c r="N2394" i="50"/>
  <c r="M2394" i="50"/>
  <c r="N2393" i="50"/>
  <c r="M2393" i="50"/>
  <c r="N2392" i="50"/>
  <c r="M2392" i="50"/>
  <c r="N2391" i="50"/>
  <c r="M2391" i="50"/>
  <c r="N2390" i="50"/>
  <c r="M2390" i="50"/>
  <c r="N2389" i="50"/>
  <c r="M2389" i="50"/>
  <c r="N2388" i="50"/>
  <c r="M2388" i="50"/>
  <c r="N2387" i="50"/>
  <c r="M2387" i="50"/>
  <c r="N2386" i="50"/>
  <c r="M2386" i="50"/>
  <c r="N2385" i="50"/>
  <c r="M2385" i="50"/>
  <c r="N2384" i="50"/>
  <c r="M2384" i="50"/>
  <c r="N2383" i="50"/>
  <c r="M2383" i="50"/>
  <c r="N2382" i="50"/>
  <c r="M2382" i="50"/>
  <c r="N2381" i="50"/>
  <c r="M2381" i="50"/>
  <c r="N2380" i="50"/>
  <c r="M2380" i="50"/>
  <c r="N2379" i="50"/>
  <c r="M2379" i="50"/>
  <c r="N2378" i="50"/>
  <c r="M2378" i="50"/>
  <c r="N2377" i="50"/>
  <c r="M2377" i="50"/>
  <c r="N2376" i="50"/>
  <c r="M2376" i="50"/>
  <c r="N2375" i="50"/>
  <c r="M2375" i="50"/>
  <c r="N2374" i="50"/>
  <c r="M2374" i="50"/>
  <c r="N2373" i="50"/>
  <c r="M2373" i="50"/>
  <c r="N2372" i="50"/>
  <c r="M2372" i="50"/>
  <c r="N2371" i="50"/>
  <c r="M2371" i="50"/>
  <c r="N2370" i="50"/>
  <c r="M2370" i="50"/>
  <c r="N2369" i="50"/>
  <c r="M2369" i="50"/>
  <c r="N2368" i="50"/>
  <c r="M2368" i="50"/>
  <c r="N2367" i="50"/>
  <c r="M2367" i="50"/>
  <c r="N2366" i="50"/>
  <c r="M2366" i="50"/>
  <c r="N2365" i="50"/>
  <c r="M2365" i="50"/>
  <c r="N2364" i="50"/>
  <c r="M2364" i="50"/>
  <c r="N2363" i="50"/>
  <c r="M2363" i="50"/>
  <c r="N2362" i="50"/>
  <c r="M2362" i="50"/>
  <c r="N2361" i="50"/>
  <c r="M2361" i="50"/>
  <c r="N2360" i="50"/>
  <c r="M2360" i="50"/>
  <c r="N2359" i="50"/>
  <c r="M2359" i="50"/>
  <c r="N2358" i="50"/>
  <c r="M2358" i="50"/>
  <c r="N2357" i="50"/>
  <c r="M2357" i="50"/>
  <c r="N2356" i="50"/>
  <c r="M2356" i="50"/>
  <c r="N2355" i="50"/>
  <c r="M2355" i="50"/>
  <c r="N2354" i="50"/>
  <c r="M2354" i="50"/>
  <c r="N2353" i="50"/>
  <c r="M2353" i="50"/>
  <c r="N2352" i="50"/>
  <c r="M2352" i="50"/>
  <c r="N2351" i="50"/>
  <c r="M2351" i="50"/>
  <c r="N2350" i="50"/>
  <c r="M2350" i="50"/>
  <c r="N2349" i="50"/>
  <c r="M2349" i="50"/>
  <c r="N2348" i="50"/>
  <c r="M2348" i="50"/>
  <c r="N2347" i="50"/>
  <c r="M2347" i="50"/>
  <c r="N2346" i="50"/>
  <c r="M2346" i="50"/>
  <c r="N2345" i="50"/>
  <c r="M2345" i="50"/>
  <c r="N2344" i="50"/>
  <c r="M2344" i="50"/>
  <c r="N2343" i="50"/>
  <c r="M2343" i="50"/>
  <c r="N2342" i="50"/>
  <c r="M2342" i="50"/>
  <c r="N2341" i="50"/>
  <c r="M2341" i="50"/>
  <c r="N2340" i="50"/>
  <c r="M2340" i="50"/>
  <c r="N2339" i="50"/>
  <c r="M2339" i="50"/>
  <c r="N2338" i="50"/>
  <c r="M2338" i="50"/>
  <c r="N2337" i="50"/>
  <c r="M2337" i="50"/>
  <c r="N2336" i="50"/>
  <c r="M2336" i="50"/>
  <c r="N2335" i="50"/>
  <c r="M2335" i="50"/>
  <c r="N2334" i="50"/>
  <c r="M2334" i="50"/>
  <c r="N2333" i="50"/>
  <c r="M2333" i="50"/>
  <c r="N2332" i="50"/>
  <c r="M2332" i="50"/>
  <c r="N2331" i="50"/>
  <c r="M2331" i="50"/>
  <c r="N2330" i="50"/>
  <c r="M2330" i="50"/>
  <c r="N2329" i="50"/>
  <c r="M2329" i="50"/>
  <c r="N2328" i="50"/>
  <c r="M2328" i="50"/>
  <c r="N2327" i="50"/>
  <c r="M2327" i="50"/>
  <c r="N2326" i="50"/>
  <c r="M2326" i="50"/>
  <c r="N2325" i="50"/>
  <c r="M2325" i="50"/>
  <c r="N2324" i="50"/>
  <c r="M2324" i="50"/>
  <c r="N2323" i="50"/>
  <c r="M2323" i="50"/>
  <c r="N2322" i="50"/>
  <c r="M2322" i="50"/>
  <c r="N2321" i="50"/>
  <c r="M2321" i="50"/>
  <c r="N2320" i="50"/>
  <c r="M2320" i="50"/>
  <c r="N2319" i="50"/>
  <c r="M2319" i="50"/>
  <c r="N2318" i="50"/>
  <c r="M2318" i="50"/>
  <c r="N2317" i="50"/>
  <c r="M2317" i="50"/>
  <c r="N2316" i="50"/>
  <c r="M2316" i="50"/>
  <c r="N2315" i="50"/>
  <c r="M2315" i="50"/>
  <c r="N2314" i="50"/>
  <c r="M2314" i="50"/>
  <c r="N2313" i="50"/>
  <c r="M2313" i="50"/>
  <c r="N2312" i="50"/>
  <c r="M2312" i="50"/>
  <c r="N2311" i="50"/>
  <c r="M2311" i="50"/>
  <c r="N2310" i="50"/>
  <c r="M2310" i="50"/>
  <c r="N2309" i="50"/>
  <c r="M2309" i="50"/>
  <c r="N2308" i="50"/>
  <c r="M2308" i="50"/>
  <c r="N2307" i="50"/>
  <c r="M2307" i="50"/>
  <c r="N2306" i="50"/>
  <c r="M2306" i="50"/>
  <c r="N2305" i="50"/>
  <c r="M2305" i="50"/>
  <c r="N2304" i="50"/>
  <c r="M2304" i="50"/>
  <c r="N2303" i="50"/>
  <c r="M2303" i="50"/>
  <c r="N2302" i="50"/>
  <c r="M2302" i="50"/>
  <c r="N2301" i="50"/>
  <c r="M2301" i="50"/>
  <c r="N2300" i="50"/>
  <c r="M2300" i="50"/>
  <c r="N2299" i="50"/>
  <c r="M2299" i="50"/>
  <c r="N2298" i="50"/>
  <c r="M2298" i="50"/>
  <c r="N2297" i="50"/>
  <c r="M2297" i="50"/>
  <c r="N2296" i="50"/>
  <c r="M2296" i="50"/>
  <c r="N2295" i="50"/>
  <c r="M2295" i="50"/>
  <c r="N2294" i="50"/>
  <c r="M2294" i="50"/>
  <c r="N2293" i="50"/>
  <c r="M2293" i="50"/>
  <c r="N2292" i="50"/>
  <c r="M2292" i="50"/>
  <c r="N2291" i="50"/>
  <c r="M2291" i="50"/>
  <c r="N2290" i="50"/>
  <c r="M2290" i="50"/>
  <c r="N2289" i="50"/>
  <c r="M2289" i="50"/>
  <c r="N2288" i="50"/>
  <c r="M2288" i="50"/>
  <c r="N2287" i="50"/>
  <c r="M2287" i="50"/>
  <c r="N2286" i="50"/>
  <c r="M2286" i="50"/>
  <c r="N2285" i="50"/>
  <c r="M2285" i="50"/>
  <c r="N2284" i="50"/>
  <c r="M2284" i="50"/>
  <c r="N2283" i="50"/>
  <c r="M2283" i="50"/>
  <c r="N2282" i="50"/>
  <c r="M2282" i="50"/>
  <c r="N2281" i="50"/>
  <c r="M2281" i="50"/>
  <c r="N2280" i="50"/>
  <c r="M2280" i="50"/>
  <c r="N2279" i="50"/>
  <c r="M2279" i="50"/>
  <c r="N2278" i="50"/>
  <c r="M2278" i="50"/>
  <c r="N2277" i="50"/>
  <c r="M2277" i="50"/>
  <c r="N2276" i="50"/>
  <c r="M2276" i="50"/>
  <c r="N2275" i="50"/>
  <c r="M2275" i="50"/>
  <c r="N2274" i="50"/>
  <c r="M2274" i="50"/>
  <c r="N2273" i="50"/>
  <c r="M2273" i="50"/>
  <c r="N2272" i="50"/>
  <c r="M2272" i="50"/>
  <c r="N2271" i="50"/>
  <c r="M2271" i="50"/>
  <c r="N2270" i="50"/>
  <c r="M2270" i="50"/>
  <c r="N2269" i="50"/>
  <c r="M2269" i="50"/>
  <c r="N2268" i="50"/>
  <c r="M2268" i="50"/>
  <c r="N2267" i="50"/>
  <c r="M2267" i="50"/>
  <c r="N2266" i="50"/>
  <c r="M2266" i="50"/>
  <c r="N2265" i="50"/>
  <c r="M2265" i="50"/>
  <c r="N2264" i="50"/>
  <c r="M2264" i="50"/>
  <c r="N2263" i="50"/>
  <c r="M2263" i="50"/>
  <c r="N2262" i="50"/>
  <c r="M2262" i="50"/>
  <c r="N2261" i="50"/>
  <c r="M2261" i="50"/>
  <c r="N2260" i="50"/>
  <c r="M2260" i="50"/>
  <c r="N2259" i="50"/>
  <c r="M2259" i="50"/>
  <c r="N2258" i="50"/>
  <c r="M2258" i="50"/>
  <c r="N2257" i="50"/>
  <c r="M2257" i="50"/>
  <c r="N2256" i="50"/>
  <c r="M2256" i="50"/>
  <c r="N2255" i="50"/>
  <c r="M2255" i="50"/>
  <c r="N2254" i="50"/>
  <c r="M2254" i="50"/>
  <c r="N2253" i="50"/>
  <c r="M2253" i="50"/>
  <c r="N2252" i="50"/>
  <c r="M2252" i="50"/>
  <c r="N2251" i="50"/>
  <c r="M2251" i="50"/>
  <c r="N2250" i="50"/>
  <c r="M2250" i="50"/>
  <c r="N2249" i="50"/>
  <c r="M2249" i="50"/>
  <c r="N2248" i="50"/>
  <c r="M2248" i="50"/>
  <c r="N2247" i="50"/>
  <c r="M2247" i="50"/>
  <c r="N2246" i="50"/>
  <c r="M2246" i="50"/>
  <c r="N2245" i="50"/>
  <c r="M2245" i="50"/>
  <c r="N2244" i="50"/>
  <c r="M2244" i="50"/>
  <c r="N2243" i="50"/>
  <c r="M2243" i="50"/>
  <c r="N2242" i="50"/>
  <c r="M2242" i="50"/>
  <c r="N2241" i="50"/>
  <c r="M2241" i="50"/>
  <c r="N2240" i="50"/>
  <c r="M2240" i="50"/>
  <c r="N2239" i="50"/>
  <c r="M2239" i="50"/>
  <c r="N2238" i="50"/>
  <c r="M2238" i="50"/>
  <c r="N2237" i="50"/>
  <c r="M2237" i="50"/>
  <c r="N2236" i="50"/>
  <c r="M2236" i="50"/>
  <c r="N2235" i="50"/>
  <c r="M2235" i="50"/>
  <c r="N2234" i="50"/>
  <c r="M2234" i="50"/>
  <c r="N2233" i="50"/>
  <c r="M2233" i="50"/>
  <c r="N2232" i="50"/>
  <c r="M2232" i="50"/>
  <c r="N2231" i="50"/>
  <c r="M2231" i="50"/>
  <c r="N2230" i="50"/>
  <c r="M2230" i="50"/>
  <c r="N2229" i="50"/>
  <c r="M2229" i="50"/>
  <c r="N2228" i="50"/>
  <c r="M2228" i="50"/>
  <c r="N2227" i="50"/>
  <c r="M2227" i="50"/>
  <c r="N2226" i="50"/>
  <c r="M2226" i="50"/>
  <c r="N2225" i="50"/>
  <c r="M2225" i="50"/>
  <c r="N2224" i="50"/>
  <c r="M2224" i="50"/>
  <c r="N2223" i="50"/>
  <c r="M2223" i="50"/>
  <c r="N2222" i="50"/>
  <c r="M2222" i="50"/>
  <c r="N2221" i="50"/>
  <c r="M2221" i="50"/>
  <c r="N2220" i="50"/>
  <c r="M2220" i="50"/>
  <c r="N2219" i="50"/>
  <c r="M2219" i="50"/>
  <c r="N2218" i="50"/>
  <c r="M2218" i="50"/>
  <c r="N2217" i="50"/>
  <c r="M2217" i="50"/>
  <c r="N2216" i="50"/>
  <c r="M2216" i="50"/>
  <c r="N2215" i="50"/>
  <c r="M2215" i="50"/>
  <c r="N2214" i="50"/>
  <c r="M2214" i="50"/>
  <c r="N2213" i="50"/>
  <c r="M2213" i="50"/>
  <c r="N2212" i="50"/>
  <c r="M2212" i="50"/>
  <c r="N2211" i="50"/>
  <c r="M2211" i="50"/>
  <c r="N2210" i="50"/>
  <c r="M2210" i="50"/>
  <c r="N2209" i="50"/>
  <c r="M2209" i="50"/>
  <c r="N2208" i="50"/>
  <c r="M2208" i="50"/>
  <c r="N2207" i="50"/>
  <c r="M2207" i="50"/>
  <c r="N2206" i="50"/>
  <c r="M2206" i="50"/>
  <c r="N2205" i="50"/>
  <c r="M2205" i="50"/>
  <c r="N2204" i="50"/>
  <c r="M2204" i="50"/>
  <c r="N2203" i="50"/>
  <c r="M2203" i="50"/>
  <c r="N2202" i="50"/>
  <c r="M2202" i="50"/>
  <c r="N2201" i="50"/>
  <c r="M2201" i="50"/>
  <c r="N2200" i="50"/>
  <c r="M2200" i="50"/>
  <c r="N2199" i="50"/>
  <c r="M2199" i="50"/>
  <c r="N2198" i="50"/>
  <c r="M2198" i="50"/>
  <c r="N2197" i="50"/>
  <c r="M2197" i="50"/>
  <c r="N2196" i="50"/>
  <c r="M2196" i="50"/>
  <c r="N2195" i="50"/>
  <c r="M2195" i="50"/>
  <c r="N2194" i="50"/>
  <c r="M2194" i="50"/>
  <c r="N2193" i="50"/>
  <c r="M2193" i="50"/>
  <c r="N2192" i="50"/>
  <c r="M2192" i="50"/>
  <c r="N2191" i="50"/>
  <c r="M2191" i="50"/>
  <c r="N2190" i="50"/>
  <c r="M2190" i="50"/>
  <c r="N2189" i="50"/>
  <c r="M2189" i="50"/>
  <c r="N2188" i="50"/>
  <c r="M2188" i="50"/>
  <c r="N2187" i="50"/>
  <c r="M2187" i="50"/>
  <c r="N2186" i="50"/>
  <c r="M2186" i="50"/>
  <c r="N2185" i="50"/>
  <c r="M2185" i="50"/>
  <c r="N2184" i="50"/>
  <c r="M2184" i="50"/>
  <c r="N2183" i="50"/>
  <c r="M2183" i="50"/>
  <c r="N2182" i="50"/>
  <c r="M2182" i="50"/>
  <c r="N2181" i="50"/>
  <c r="M2181" i="50"/>
  <c r="N2180" i="50"/>
  <c r="M2180" i="50"/>
  <c r="N2179" i="50"/>
  <c r="M2179" i="50"/>
  <c r="N2178" i="50"/>
  <c r="M2178" i="50"/>
  <c r="N2177" i="50"/>
  <c r="M2177" i="50"/>
  <c r="N2176" i="50"/>
  <c r="M2176" i="50"/>
  <c r="N2175" i="50"/>
  <c r="M2175" i="50"/>
  <c r="N2174" i="50"/>
  <c r="M2174" i="50"/>
  <c r="N2173" i="50"/>
  <c r="M2173" i="50"/>
  <c r="N2172" i="50"/>
  <c r="M2172" i="50"/>
  <c r="N2171" i="50"/>
  <c r="M2171" i="50"/>
  <c r="N2170" i="50"/>
  <c r="M2170" i="50"/>
  <c r="N2169" i="50"/>
  <c r="M2169" i="50"/>
  <c r="N2168" i="50"/>
  <c r="M2168" i="50"/>
  <c r="N2167" i="50"/>
  <c r="M2167" i="50"/>
  <c r="N2166" i="50"/>
  <c r="M2166" i="50"/>
  <c r="N2165" i="50"/>
  <c r="M2165" i="50"/>
  <c r="N2164" i="50"/>
  <c r="M2164" i="50"/>
  <c r="N2163" i="50"/>
  <c r="M2163" i="50"/>
  <c r="N2162" i="50"/>
  <c r="M2162" i="50"/>
  <c r="N2161" i="50"/>
  <c r="M2161" i="50"/>
  <c r="N2160" i="50"/>
  <c r="M2160" i="50"/>
  <c r="N2159" i="50"/>
  <c r="M2159" i="50"/>
  <c r="N2158" i="50"/>
  <c r="M2158" i="50"/>
  <c r="N2157" i="50"/>
  <c r="M2157" i="50"/>
  <c r="N2156" i="50"/>
  <c r="M2156" i="50"/>
  <c r="N2155" i="50"/>
  <c r="M2155" i="50"/>
  <c r="N2154" i="50"/>
  <c r="M2154" i="50"/>
  <c r="N2153" i="50"/>
  <c r="M2153" i="50"/>
  <c r="N2152" i="50"/>
  <c r="M2152" i="50"/>
  <c r="N2151" i="50"/>
  <c r="M2151" i="50"/>
  <c r="N2150" i="50"/>
  <c r="M2150" i="50"/>
  <c r="N2149" i="50"/>
  <c r="M2149" i="50"/>
  <c r="N2148" i="50"/>
  <c r="M2148" i="50"/>
  <c r="N2147" i="50"/>
  <c r="M2147" i="50"/>
  <c r="N2146" i="50"/>
  <c r="M2146" i="50"/>
  <c r="N2145" i="50"/>
  <c r="M2145" i="50"/>
  <c r="N2144" i="50"/>
  <c r="M2144" i="50"/>
  <c r="N2143" i="50"/>
  <c r="M2143" i="50"/>
  <c r="N2142" i="50"/>
  <c r="M2142" i="50"/>
  <c r="N2141" i="50"/>
  <c r="M2141" i="50"/>
  <c r="N2140" i="50"/>
  <c r="M2140" i="50"/>
  <c r="N2139" i="50"/>
  <c r="M2139" i="50"/>
  <c r="N2138" i="50"/>
  <c r="M2138" i="50"/>
  <c r="N2137" i="50"/>
  <c r="M2137" i="50"/>
  <c r="N2136" i="50"/>
  <c r="M2136" i="50"/>
  <c r="N2135" i="50"/>
  <c r="M2135" i="50"/>
  <c r="N2134" i="50"/>
  <c r="M2134" i="50"/>
  <c r="N2133" i="50"/>
  <c r="M2133" i="50"/>
  <c r="N2132" i="50"/>
  <c r="M2132" i="50"/>
  <c r="N2131" i="50"/>
  <c r="M2131" i="50"/>
  <c r="N2130" i="50"/>
  <c r="M2130" i="50"/>
  <c r="N2129" i="50"/>
  <c r="M2129" i="50"/>
  <c r="N2128" i="50"/>
  <c r="M2128" i="50"/>
  <c r="N2127" i="50"/>
  <c r="M2127" i="50"/>
  <c r="N2126" i="50"/>
  <c r="M2126" i="50"/>
  <c r="N2125" i="50"/>
  <c r="M2125" i="50"/>
  <c r="N2124" i="50"/>
  <c r="M2124" i="50"/>
  <c r="N2123" i="50"/>
  <c r="M2123" i="50"/>
  <c r="N2122" i="50"/>
  <c r="M2122" i="50"/>
  <c r="N2121" i="50"/>
  <c r="M2121" i="50"/>
  <c r="N2120" i="50"/>
  <c r="M2120" i="50"/>
  <c r="N2119" i="50"/>
  <c r="M2119" i="50"/>
  <c r="N2118" i="50"/>
  <c r="M2118" i="50"/>
  <c r="N2117" i="50"/>
  <c r="M2117" i="50"/>
  <c r="N2116" i="50"/>
  <c r="M2116" i="50"/>
  <c r="N2115" i="50"/>
  <c r="M2115" i="50"/>
  <c r="N2114" i="50"/>
  <c r="M2114" i="50"/>
  <c r="N2113" i="50"/>
  <c r="M2113" i="50"/>
  <c r="N2112" i="50"/>
  <c r="M2112" i="50"/>
  <c r="N2111" i="50"/>
  <c r="M2111" i="50"/>
  <c r="N2110" i="50"/>
  <c r="M2110" i="50"/>
  <c r="N2109" i="50"/>
  <c r="M2109" i="50"/>
  <c r="N2108" i="50"/>
  <c r="M2108" i="50"/>
  <c r="N2107" i="50"/>
  <c r="M2107" i="50"/>
  <c r="N2106" i="50"/>
  <c r="M2106" i="50"/>
  <c r="N2105" i="50"/>
  <c r="M2105" i="50"/>
  <c r="N2104" i="50"/>
  <c r="M2104" i="50"/>
  <c r="N2103" i="50"/>
  <c r="M2103" i="50"/>
  <c r="N2102" i="50"/>
  <c r="M2102" i="50"/>
  <c r="N2101" i="50"/>
  <c r="M2101" i="50"/>
  <c r="N2100" i="50"/>
  <c r="M2100" i="50"/>
  <c r="N2099" i="50"/>
  <c r="M2099" i="50"/>
  <c r="N2098" i="50"/>
  <c r="M2098" i="50"/>
  <c r="N2097" i="50"/>
  <c r="M2097" i="50"/>
  <c r="N2096" i="50"/>
  <c r="M2096" i="50"/>
  <c r="N2095" i="50"/>
  <c r="M2095" i="50"/>
  <c r="N2094" i="50"/>
  <c r="M2094" i="50"/>
  <c r="N2093" i="50"/>
  <c r="M2093" i="50"/>
  <c r="N2092" i="50"/>
  <c r="M2092" i="50"/>
  <c r="N2091" i="50"/>
  <c r="M2091" i="50"/>
  <c r="N2090" i="50"/>
  <c r="M2090" i="50"/>
  <c r="N2089" i="50"/>
  <c r="M2089" i="50"/>
  <c r="N2088" i="50"/>
  <c r="M2088" i="50"/>
  <c r="N2087" i="50"/>
  <c r="M2087" i="50"/>
  <c r="N2086" i="50"/>
  <c r="M2086" i="50"/>
  <c r="N2085" i="50"/>
  <c r="M2085" i="50"/>
  <c r="N2084" i="50"/>
  <c r="M2084" i="50"/>
  <c r="N2083" i="50"/>
  <c r="M2083" i="50"/>
  <c r="N2082" i="50"/>
  <c r="M2082" i="50"/>
  <c r="N2081" i="50"/>
  <c r="M2081" i="50"/>
  <c r="N2080" i="50"/>
  <c r="M2080" i="50"/>
  <c r="N2079" i="50"/>
  <c r="M2079" i="50"/>
  <c r="N2078" i="50"/>
  <c r="M2078" i="50"/>
  <c r="N2077" i="50"/>
  <c r="M2077" i="50"/>
  <c r="N2076" i="50"/>
  <c r="M2076" i="50"/>
  <c r="N2075" i="50"/>
  <c r="M2075" i="50"/>
  <c r="N2074" i="50"/>
  <c r="M2074" i="50"/>
  <c r="N2073" i="50"/>
  <c r="M2073" i="50"/>
  <c r="N2072" i="50"/>
  <c r="M2072" i="50"/>
  <c r="N2071" i="50"/>
  <c r="M2071" i="50"/>
  <c r="N2070" i="50"/>
  <c r="M2070" i="50"/>
  <c r="N2069" i="50"/>
  <c r="M2069" i="50"/>
  <c r="N2068" i="50"/>
  <c r="M2068" i="50"/>
  <c r="N2067" i="50"/>
  <c r="M2067" i="50"/>
  <c r="N2066" i="50"/>
  <c r="M2066" i="50"/>
  <c r="N2065" i="50"/>
  <c r="M2065" i="50"/>
  <c r="N2064" i="50"/>
  <c r="M2064" i="50"/>
  <c r="N2063" i="50"/>
  <c r="M2063" i="50"/>
  <c r="N2062" i="50"/>
  <c r="M2062" i="50"/>
  <c r="N2061" i="50"/>
  <c r="M2061" i="50"/>
  <c r="N2060" i="50"/>
  <c r="M2060" i="50"/>
  <c r="N2059" i="50"/>
  <c r="M2059" i="50"/>
  <c r="N2058" i="50"/>
  <c r="M2058" i="50"/>
  <c r="N2057" i="50"/>
  <c r="M2057" i="50"/>
  <c r="N2056" i="50"/>
  <c r="M2056" i="50"/>
  <c r="N2055" i="50"/>
  <c r="M2055" i="50"/>
  <c r="N2054" i="50"/>
  <c r="M2054" i="50"/>
  <c r="N2053" i="50"/>
  <c r="M2053" i="50"/>
  <c r="N2052" i="50"/>
  <c r="M2052" i="50"/>
  <c r="N2051" i="50"/>
  <c r="M2051" i="50"/>
  <c r="N2050" i="50"/>
  <c r="M2050" i="50"/>
  <c r="N2049" i="50"/>
  <c r="M2049" i="50"/>
  <c r="N2048" i="50"/>
  <c r="M2048" i="50"/>
  <c r="N2047" i="50"/>
  <c r="M2047" i="50"/>
  <c r="N2046" i="50"/>
  <c r="M2046" i="50"/>
  <c r="N2045" i="50"/>
  <c r="M2045" i="50"/>
  <c r="N2044" i="50"/>
  <c r="M2044" i="50"/>
  <c r="N2043" i="50"/>
  <c r="M2043" i="50"/>
  <c r="N2042" i="50"/>
  <c r="M2042" i="50"/>
  <c r="N2041" i="50"/>
  <c r="M2041" i="50"/>
  <c r="N2040" i="50"/>
  <c r="M2040" i="50"/>
  <c r="N2039" i="50"/>
  <c r="M2039" i="50"/>
  <c r="N2038" i="50"/>
  <c r="M2038" i="50"/>
  <c r="N2037" i="50"/>
  <c r="M2037" i="50"/>
  <c r="N2036" i="50"/>
  <c r="M2036" i="50"/>
  <c r="N2035" i="50"/>
  <c r="M2035" i="50"/>
  <c r="N2034" i="50"/>
  <c r="M2034" i="50"/>
  <c r="N2033" i="50"/>
  <c r="M2033" i="50"/>
  <c r="N2032" i="50"/>
  <c r="M2032" i="50"/>
  <c r="N2031" i="50"/>
  <c r="M2031" i="50"/>
  <c r="N2030" i="50"/>
  <c r="M2030" i="50"/>
  <c r="N2029" i="50"/>
  <c r="M2029" i="50"/>
  <c r="N2028" i="50"/>
  <c r="M2028" i="50"/>
  <c r="N2027" i="50"/>
  <c r="M2027" i="50"/>
  <c r="N2026" i="50"/>
  <c r="M2026" i="50"/>
  <c r="N2025" i="50"/>
  <c r="M2025" i="50"/>
  <c r="N2024" i="50"/>
  <c r="M2024" i="50"/>
  <c r="N2023" i="50"/>
  <c r="M2023" i="50"/>
  <c r="N2022" i="50"/>
  <c r="M2022" i="50"/>
  <c r="N2021" i="50"/>
  <c r="M2021" i="50"/>
  <c r="N2020" i="50"/>
  <c r="M2020" i="50"/>
  <c r="N2019" i="50"/>
  <c r="M2019" i="50"/>
  <c r="N2018" i="50"/>
  <c r="M2018" i="50"/>
  <c r="N2017" i="50"/>
  <c r="M2017" i="50"/>
  <c r="N2016" i="50"/>
  <c r="M2016" i="50"/>
  <c r="N2015" i="50"/>
  <c r="M2015" i="50"/>
  <c r="N2014" i="50"/>
  <c r="M2014" i="50"/>
  <c r="N2013" i="50"/>
  <c r="M2013" i="50"/>
  <c r="N2012" i="50"/>
  <c r="M2012" i="50"/>
  <c r="N2011" i="50"/>
  <c r="M2011" i="50"/>
  <c r="N2010" i="50"/>
  <c r="M2010" i="50"/>
  <c r="N2009" i="50"/>
  <c r="M2009" i="50"/>
  <c r="N2008" i="50"/>
  <c r="M2008" i="50"/>
  <c r="N2007" i="50"/>
  <c r="M2007" i="50"/>
  <c r="N2006" i="50"/>
  <c r="M2006" i="50"/>
  <c r="N2005" i="50"/>
  <c r="M2005" i="50"/>
  <c r="N2004" i="50"/>
  <c r="M2004" i="50"/>
  <c r="N2003" i="50"/>
  <c r="M2003" i="50"/>
  <c r="N2002" i="50"/>
  <c r="M2002" i="50"/>
  <c r="N2001" i="50"/>
  <c r="M2001" i="50"/>
  <c r="N2000" i="50"/>
  <c r="M2000" i="50"/>
  <c r="N1999" i="50"/>
  <c r="M1999" i="50"/>
  <c r="N1998" i="50"/>
  <c r="M1998" i="50"/>
  <c r="N1997" i="50"/>
  <c r="M1997" i="50"/>
  <c r="N1996" i="50"/>
  <c r="M1996" i="50"/>
  <c r="N1995" i="50"/>
  <c r="M1995" i="50"/>
  <c r="N1994" i="50"/>
  <c r="M1994" i="50"/>
  <c r="N1993" i="50"/>
  <c r="M1993" i="50"/>
  <c r="N1992" i="50"/>
  <c r="M1992" i="50"/>
  <c r="N1991" i="50"/>
  <c r="M1991" i="50"/>
  <c r="N1990" i="50"/>
  <c r="M1990" i="50"/>
  <c r="N1989" i="50"/>
  <c r="M1989" i="50"/>
  <c r="N1988" i="50"/>
  <c r="M1988" i="50"/>
  <c r="N1987" i="50"/>
  <c r="M1987" i="50"/>
  <c r="N1986" i="50"/>
  <c r="M1986" i="50"/>
  <c r="N1985" i="50"/>
  <c r="M1985" i="50"/>
  <c r="N1984" i="50"/>
  <c r="M1984" i="50"/>
  <c r="N1983" i="50"/>
  <c r="M1983" i="50"/>
  <c r="N1982" i="50"/>
  <c r="M1982" i="50"/>
  <c r="N1981" i="50"/>
  <c r="M1981" i="50"/>
  <c r="N1980" i="50"/>
  <c r="M1980" i="50"/>
  <c r="N1979" i="50"/>
  <c r="M1979" i="50"/>
  <c r="N1978" i="50"/>
  <c r="M1978" i="50"/>
  <c r="N1977" i="50"/>
  <c r="M1977" i="50"/>
  <c r="N1976" i="50"/>
  <c r="M1976" i="50"/>
  <c r="N1975" i="50"/>
  <c r="M1975" i="50"/>
  <c r="N1974" i="50"/>
  <c r="M1974" i="50"/>
  <c r="N1973" i="50"/>
  <c r="M1973" i="50"/>
  <c r="N1972" i="50"/>
  <c r="M1972" i="50"/>
  <c r="N1971" i="50"/>
  <c r="M1971" i="50"/>
  <c r="N1970" i="50"/>
  <c r="M1970" i="50"/>
  <c r="N1969" i="50"/>
  <c r="M1969" i="50"/>
  <c r="N1968" i="50"/>
  <c r="M1968" i="50"/>
  <c r="N1967" i="50"/>
  <c r="M1967" i="50"/>
  <c r="N1966" i="50"/>
  <c r="M1966" i="50"/>
  <c r="N1965" i="50"/>
  <c r="M1965" i="50"/>
  <c r="N1964" i="50"/>
  <c r="M1964" i="50"/>
  <c r="N1963" i="50"/>
  <c r="M1963" i="50"/>
  <c r="N1962" i="50"/>
  <c r="M1962" i="50"/>
  <c r="N1961" i="50"/>
  <c r="M1961" i="50"/>
  <c r="N1960" i="50"/>
  <c r="M1960" i="50"/>
  <c r="N1959" i="50"/>
  <c r="M1959" i="50"/>
  <c r="N1958" i="50"/>
  <c r="M1958" i="50"/>
  <c r="N1957" i="50"/>
  <c r="M1957" i="50"/>
  <c r="N1956" i="50"/>
  <c r="M1956" i="50"/>
  <c r="N1955" i="50"/>
  <c r="M1955" i="50"/>
  <c r="N1954" i="50"/>
  <c r="M1954" i="50"/>
  <c r="N1953" i="50"/>
  <c r="M1953" i="50"/>
  <c r="N1952" i="50"/>
  <c r="M1952" i="50"/>
  <c r="N1951" i="50"/>
  <c r="M1951" i="50"/>
  <c r="N1950" i="50"/>
  <c r="M1950" i="50"/>
  <c r="N1949" i="50"/>
  <c r="M1949" i="50"/>
  <c r="N1948" i="50"/>
  <c r="M1948" i="50"/>
  <c r="N1947" i="50"/>
  <c r="M1947" i="50"/>
  <c r="N1946" i="50"/>
  <c r="M1946" i="50"/>
  <c r="N1945" i="50"/>
  <c r="M1945" i="50"/>
  <c r="N1944" i="50"/>
  <c r="M1944" i="50"/>
  <c r="N1943" i="50"/>
  <c r="M1943" i="50"/>
  <c r="N1942" i="50"/>
  <c r="M1942" i="50"/>
  <c r="N1941" i="50"/>
  <c r="M1941" i="50"/>
  <c r="N1940" i="50"/>
  <c r="M1940" i="50"/>
  <c r="N1939" i="50"/>
  <c r="M1939" i="50"/>
  <c r="N1938" i="50"/>
  <c r="M1938" i="50"/>
  <c r="N1937" i="50"/>
  <c r="M1937" i="50"/>
  <c r="N1936" i="50"/>
  <c r="M1936" i="50"/>
  <c r="N1935" i="50"/>
  <c r="M1935" i="50"/>
  <c r="N1934" i="50"/>
  <c r="M1934" i="50"/>
  <c r="N1933" i="50"/>
  <c r="M1933" i="50"/>
  <c r="N1932" i="50"/>
  <c r="M1932" i="50"/>
  <c r="N1931" i="50"/>
  <c r="M1931" i="50"/>
  <c r="N1930" i="50"/>
  <c r="M1930" i="50"/>
  <c r="N1929" i="50"/>
  <c r="M1929" i="50"/>
  <c r="N1928" i="50"/>
  <c r="M1928" i="50"/>
  <c r="N1927" i="50"/>
  <c r="M1927" i="50"/>
  <c r="N1926" i="50"/>
  <c r="M1926" i="50"/>
  <c r="N1925" i="50"/>
  <c r="M1925" i="50"/>
  <c r="N1924" i="50"/>
  <c r="M1924" i="50"/>
  <c r="N1923" i="50"/>
  <c r="M1923" i="50"/>
  <c r="N1922" i="50"/>
  <c r="M1922" i="50"/>
  <c r="N1921" i="50"/>
  <c r="M1921" i="50"/>
  <c r="N1920" i="50"/>
  <c r="M1920" i="50"/>
  <c r="N1919" i="50"/>
  <c r="M1919" i="50"/>
  <c r="N1918" i="50"/>
  <c r="M1918" i="50"/>
  <c r="N1917" i="50"/>
  <c r="M1917" i="50"/>
  <c r="N1916" i="50"/>
  <c r="M1916" i="50"/>
  <c r="N1915" i="50"/>
  <c r="M1915" i="50"/>
  <c r="N1914" i="50"/>
  <c r="M1914" i="50"/>
  <c r="N1913" i="50"/>
  <c r="M1913" i="50"/>
  <c r="N1912" i="50"/>
  <c r="M1912" i="50"/>
  <c r="N1911" i="50"/>
  <c r="M1911" i="50"/>
  <c r="N1910" i="50"/>
  <c r="M1910" i="50"/>
  <c r="N1909" i="50"/>
  <c r="M1909" i="50"/>
  <c r="N1908" i="50"/>
  <c r="M1908" i="50"/>
  <c r="N1907" i="50"/>
  <c r="M1907" i="50"/>
  <c r="N1906" i="50"/>
  <c r="M1906" i="50"/>
  <c r="N1905" i="50"/>
  <c r="M1905" i="50"/>
  <c r="N1904" i="50"/>
  <c r="M1904" i="50"/>
  <c r="N1903" i="50"/>
  <c r="M1903" i="50"/>
  <c r="N1902" i="50"/>
  <c r="M1902" i="50"/>
  <c r="N1901" i="50"/>
  <c r="M1901" i="50"/>
  <c r="N1900" i="50"/>
  <c r="M1900" i="50"/>
  <c r="N1899" i="50"/>
  <c r="M1899" i="50"/>
  <c r="N1898" i="50"/>
  <c r="M1898" i="50"/>
  <c r="N1897" i="50"/>
  <c r="M1897" i="50"/>
  <c r="N1896" i="50"/>
  <c r="M1896" i="50"/>
  <c r="N1895" i="50"/>
  <c r="M1895" i="50"/>
  <c r="N1894" i="50"/>
  <c r="M1894" i="50"/>
  <c r="N1893" i="50"/>
  <c r="M1893" i="50"/>
  <c r="N1892" i="50"/>
  <c r="M1892" i="50"/>
  <c r="N1891" i="50"/>
  <c r="M1891" i="50"/>
  <c r="N1890" i="50"/>
  <c r="M1890" i="50"/>
  <c r="N1889" i="50"/>
  <c r="M1889" i="50"/>
  <c r="N1888" i="50"/>
  <c r="M1888" i="50"/>
  <c r="N1887" i="50"/>
  <c r="M1887" i="50"/>
  <c r="N1886" i="50"/>
  <c r="M1886" i="50"/>
  <c r="N1885" i="50"/>
  <c r="M1885" i="50"/>
  <c r="N1884" i="50"/>
  <c r="M1884" i="50"/>
  <c r="N1883" i="50"/>
  <c r="M1883" i="50"/>
  <c r="N1882" i="50"/>
  <c r="M1882" i="50"/>
  <c r="N1881" i="50"/>
  <c r="M1881" i="50"/>
  <c r="N1880" i="50"/>
  <c r="M1880" i="50"/>
  <c r="N1879" i="50"/>
  <c r="M1879" i="50"/>
  <c r="N1878" i="50"/>
  <c r="M1878" i="50"/>
  <c r="N1877" i="50"/>
  <c r="M1877" i="50"/>
  <c r="N1876" i="50"/>
  <c r="M1876" i="50"/>
  <c r="N1875" i="50"/>
  <c r="M1875" i="50"/>
  <c r="N1874" i="50"/>
  <c r="M1874" i="50"/>
  <c r="N1873" i="50"/>
  <c r="M1873" i="50"/>
  <c r="N1872" i="50"/>
  <c r="M1872" i="50"/>
  <c r="N1871" i="50"/>
  <c r="M1871" i="50"/>
  <c r="N1870" i="50"/>
  <c r="M1870" i="50"/>
  <c r="N1869" i="50"/>
  <c r="M1869" i="50"/>
  <c r="N1868" i="50"/>
  <c r="M1868" i="50"/>
  <c r="N1867" i="50"/>
  <c r="M1867" i="50"/>
  <c r="N1866" i="50"/>
  <c r="M1866" i="50"/>
  <c r="N1865" i="50"/>
  <c r="M1865" i="50"/>
  <c r="N1864" i="50"/>
  <c r="M1864" i="50"/>
  <c r="N1863" i="50"/>
  <c r="M1863" i="50"/>
  <c r="N1862" i="50"/>
  <c r="M1862" i="50"/>
  <c r="N1861" i="50"/>
  <c r="M1861" i="50"/>
  <c r="N1860" i="50"/>
  <c r="M1860" i="50"/>
  <c r="N1859" i="50"/>
  <c r="M1859" i="50"/>
  <c r="N1858" i="50"/>
  <c r="M1858" i="50"/>
  <c r="N1857" i="50"/>
  <c r="M1857" i="50"/>
  <c r="N1856" i="50"/>
  <c r="M1856" i="50"/>
  <c r="N1855" i="50"/>
  <c r="M1855" i="50"/>
  <c r="N1854" i="50"/>
  <c r="M1854" i="50"/>
  <c r="N1853" i="50"/>
  <c r="M1853" i="50"/>
  <c r="N1852" i="50"/>
  <c r="M1852" i="50"/>
  <c r="N1851" i="50"/>
  <c r="M1851" i="50"/>
  <c r="N1850" i="50"/>
  <c r="M1850" i="50"/>
  <c r="N1849" i="50"/>
  <c r="M1849" i="50"/>
  <c r="N1848" i="50"/>
  <c r="M1848" i="50"/>
  <c r="N1847" i="50"/>
  <c r="M1847" i="50"/>
  <c r="N1846" i="50"/>
  <c r="M1846" i="50"/>
  <c r="N1845" i="50"/>
  <c r="M1845" i="50"/>
  <c r="N1844" i="50"/>
  <c r="M1844" i="50"/>
  <c r="N1843" i="50"/>
  <c r="M1843" i="50"/>
  <c r="N1842" i="50"/>
  <c r="M1842" i="50"/>
  <c r="N1841" i="50"/>
  <c r="M1841" i="50"/>
  <c r="N1840" i="50"/>
  <c r="M1840" i="50"/>
  <c r="N1839" i="50"/>
  <c r="M1839" i="50"/>
  <c r="N1838" i="50"/>
  <c r="M1838" i="50"/>
  <c r="N1837" i="50"/>
  <c r="M1837" i="50"/>
  <c r="N1836" i="50"/>
  <c r="M1836" i="50"/>
  <c r="N1835" i="50"/>
  <c r="M1835" i="50"/>
  <c r="N1834" i="50"/>
  <c r="M1834" i="50"/>
  <c r="N1833" i="50"/>
  <c r="M1833" i="50"/>
  <c r="N1832" i="50"/>
  <c r="M1832" i="50"/>
  <c r="N1831" i="50"/>
  <c r="M1831" i="50"/>
  <c r="N1830" i="50"/>
  <c r="M1830" i="50"/>
  <c r="N1829" i="50"/>
  <c r="M1829" i="50"/>
  <c r="N1828" i="50"/>
  <c r="M1828" i="50"/>
  <c r="N1827" i="50"/>
  <c r="M1827" i="50"/>
  <c r="N1826" i="50"/>
  <c r="M1826" i="50"/>
  <c r="N1825" i="50"/>
  <c r="M1825" i="50"/>
  <c r="N1824" i="50"/>
  <c r="M1824" i="50"/>
  <c r="N1823" i="50"/>
  <c r="M1823" i="50"/>
  <c r="N1822" i="50"/>
  <c r="M1822" i="50"/>
  <c r="N1821" i="50"/>
  <c r="M1821" i="50"/>
  <c r="N1820" i="50"/>
  <c r="M1820" i="50"/>
  <c r="N1819" i="50"/>
  <c r="M1819" i="50"/>
  <c r="N1818" i="50"/>
  <c r="M1818" i="50"/>
  <c r="N1817" i="50"/>
  <c r="M1817" i="50"/>
  <c r="N1816" i="50"/>
  <c r="M1816" i="50"/>
  <c r="N1815" i="50"/>
  <c r="M1815" i="50"/>
  <c r="N1814" i="50"/>
  <c r="M1814" i="50"/>
  <c r="N1813" i="50"/>
  <c r="M1813" i="50"/>
  <c r="N1812" i="50"/>
  <c r="M1812" i="50"/>
  <c r="N1811" i="50"/>
  <c r="M1811" i="50"/>
  <c r="N1810" i="50"/>
  <c r="M1810" i="50"/>
  <c r="N1809" i="50"/>
  <c r="M1809" i="50"/>
  <c r="N1808" i="50"/>
  <c r="M1808" i="50"/>
  <c r="N1807" i="50"/>
  <c r="M1807" i="50"/>
  <c r="N1806" i="50"/>
  <c r="M1806" i="50"/>
  <c r="N1805" i="50"/>
  <c r="M1805" i="50"/>
  <c r="N1804" i="50"/>
  <c r="M1804" i="50"/>
  <c r="N1803" i="50"/>
  <c r="M1803" i="50"/>
  <c r="N1802" i="50"/>
  <c r="M1802" i="50"/>
  <c r="N1801" i="50"/>
  <c r="M1801" i="50"/>
  <c r="N1800" i="50"/>
  <c r="M1800" i="50"/>
  <c r="N1799" i="50"/>
  <c r="M1799" i="50"/>
  <c r="N1798" i="50"/>
  <c r="M1798" i="50"/>
  <c r="N1797" i="50"/>
  <c r="M1797" i="50"/>
  <c r="N1796" i="50"/>
  <c r="M1796" i="50"/>
  <c r="N1795" i="50"/>
  <c r="M1795" i="50"/>
  <c r="N1794" i="50"/>
  <c r="M1794" i="50"/>
  <c r="N1793" i="50"/>
  <c r="M1793" i="50"/>
  <c r="N1792" i="50"/>
  <c r="M1792" i="50"/>
  <c r="N1791" i="50"/>
  <c r="M1791" i="50"/>
  <c r="N1790" i="50"/>
  <c r="M1790" i="50"/>
  <c r="N1789" i="50"/>
  <c r="M1789" i="50"/>
  <c r="N1788" i="50"/>
  <c r="M1788" i="50"/>
  <c r="N1787" i="50"/>
  <c r="M1787" i="50"/>
  <c r="N1786" i="50"/>
  <c r="M1786" i="50"/>
  <c r="N1785" i="50"/>
  <c r="M1785" i="50"/>
  <c r="N1784" i="50"/>
  <c r="M1784" i="50"/>
  <c r="N1783" i="50"/>
  <c r="M1783" i="50"/>
  <c r="N1782" i="50"/>
  <c r="M1782" i="50"/>
  <c r="N1781" i="50"/>
  <c r="M1781" i="50"/>
  <c r="N1780" i="50"/>
  <c r="M1780" i="50"/>
  <c r="N1779" i="50"/>
  <c r="M1779" i="50"/>
  <c r="N1778" i="50"/>
  <c r="M1778" i="50"/>
  <c r="N1777" i="50"/>
  <c r="M1777" i="50"/>
  <c r="N1776" i="50"/>
  <c r="M1776" i="50"/>
  <c r="N1775" i="50"/>
  <c r="M1775" i="50"/>
  <c r="N1774" i="50"/>
  <c r="M1774" i="50"/>
  <c r="N1773" i="50"/>
  <c r="M1773" i="50"/>
  <c r="N1772" i="50"/>
  <c r="M1772" i="50"/>
  <c r="N1771" i="50"/>
  <c r="M1771" i="50"/>
  <c r="N1770" i="50"/>
  <c r="M1770" i="50"/>
  <c r="N1769" i="50"/>
  <c r="M1769" i="50"/>
  <c r="N1768" i="50"/>
  <c r="M1768" i="50"/>
  <c r="N1767" i="50"/>
  <c r="M1767" i="50"/>
  <c r="N1766" i="50"/>
  <c r="M1766" i="50"/>
  <c r="N1765" i="50"/>
  <c r="M1765" i="50"/>
  <c r="N1764" i="50"/>
  <c r="M1764" i="50"/>
  <c r="N1763" i="50"/>
  <c r="M1763" i="50"/>
  <c r="N1762" i="50"/>
  <c r="M1762" i="50"/>
  <c r="N1761" i="50"/>
  <c r="M1761" i="50"/>
  <c r="N1760" i="50"/>
  <c r="M1760" i="50"/>
  <c r="N1759" i="50"/>
  <c r="M1759" i="50"/>
  <c r="N1758" i="50"/>
  <c r="M1758" i="50"/>
  <c r="N1757" i="50"/>
  <c r="M1757" i="50"/>
  <c r="N1756" i="50"/>
  <c r="M1756" i="50"/>
  <c r="N1755" i="50"/>
  <c r="M1755" i="50"/>
  <c r="N1754" i="50"/>
  <c r="M1754" i="50"/>
  <c r="N1753" i="50"/>
  <c r="M1753" i="50"/>
  <c r="N1752" i="50"/>
  <c r="M1752" i="50"/>
  <c r="N1751" i="50"/>
  <c r="M1751" i="50"/>
  <c r="N1750" i="50"/>
  <c r="M1750" i="50"/>
  <c r="N1749" i="50"/>
  <c r="M1749" i="50"/>
  <c r="N1748" i="50"/>
  <c r="M1748" i="50"/>
  <c r="N1747" i="50"/>
  <c r="M1747" i="50"/>
  <c r="N1746" i="50"/>
  <c r="M1746" i="50"/>
  <c r="N1745" i="50"/>
  <c r="M1745" i="50"/>
  <c r="N1744" i="50"/>
  <c r="M1744" i="50"/>
  <c r="N1743" i="50"/>
  <c r="M1743" i="50"/>
  <c r="N1742" i="50"/>
  <c r="M1742" i="50"/>
  <c r="N1741" i="50"/>
  <c r="M1741" i="50"/>
  <c r="N1740" i="50"/>
  <c r="M1740" i="50"/>
  <c r="N1739" i="50"/>
  <c r="M1739" i="50"/>
  <c r="N1738" i="50"/>
  <c r="M1738" i="50"/>
  <c r="N1737" i="50"/>
  <c r="M1737" i="50"/>
  <c r="N1736" i="50"/>
  <c r="M1736" i="50"/>
  <c r="N1735" i="50"/>
  <c r="M1735" i="50"/>
  <c r="N1734" i="50"/>
  <c r="M1734" i="50"/>
  <c r="N1733" i="50"/>
  <c r="M1733" i="50"/>
  <c r="N1732" i="50"/>
  <c r="M1732" i="50"/>
  <c r="N1731" i="50"/>
  <c r="M1731" i="50"/>
  <c r="N1730" i="50"/>
  <c r="M1730" i="50"/>
  <c r="N1729" i="50"/>
  <c r="M1729" i="50"/>
  <c r="N1728" i="50"/>
  <c r="M1728" i="50"/>
  <c r="N1727" i="50"/>
  <c r="M1727" i="50"/>
  <c r="N1726" i="50"/>
  <c r="M1726" i="50"/>
  <c r="N1725" i="50"/>
  <c r="M1725" i="50"/>
  <c r="N1724" i="50"/>
  <c r="M1724" i="50"/>
  <c r="N1723" i="50"/>
  <c r="M1723" i="50"/>
  <c r="N1722" i="50"/>
  <c r="M1722" i="50"/>
  <c r="N1721" i="50"/>
  <c r="M1721" i="50"/>
  <c r="N1720" i="50"/>
  <c r="M1720" i="50"/>
  <c r="N1719" i="50"/>
  <c r="M1719" i="50"/>
  <c r="N1718" i="50"/>
  <c r="M1718" i="50"/>
  <c r="N1717" i="50"/>
  <c r="M1717" i="50"/>
  <c r="N1716" i="50"/>
  <c r="M1716" i="50"/>
  <c r="N1715" i="50"/>
  <c r="M1715" i="50"/>
  <c r="N1714" i="50"/>
  <c r="M1714" i="50"/>
  <c r="N1713" i="50"/>
  <c r="M1713" i="50"/>
  <c r="N1712" i="50"/>
  <c r="M1712" i="50"/>
  <c r="N1711" i="50"/>
  <c r="M1711" i="50"/>
  <c r="N1710" i="50"/>
  <c r="M1710" i="50"/>
  <c r="N1709" i="50"/>
  <c r="M1709" i="50"/>
  <c r="N1708" i="50"/>
  <c r="M1708" i="50"/>
  <c r="N1707" i="50"/>
  <c r="M1707" i="50"/>
  <c r="N1706" i="50"/>
  <c r="M1706" i="50"/>
  <c r="N1705" i="50"/>
  <c r="M1705" i="50"/>
  <c r="N1704" i="50"/>
  <c r="M1704" i="50"/>
  <c r="N1703" i="50"/>
  <c r="M1703" i="50"/>
  <c r="N1702" i="50"/>
  <c r="M1702" i="50"/>
  <c r="N1701" i="50"/>
  <c r="M1701" i="50"/>
  <c r="N1700" i="50"/>
  <c r="M1700" i="50"/>
  <c r="N1699" i="50"/>
  <c r="M1699" i="50"/>
  <c r="N1698" i="50"/>
  <c r="M1698" i="50"/>
  <c r="N1697" i="50"/>
  <c r="M1697" i="50"/>
  <c r="N1696" i="50"/>
  <c r="M1696" i="50"/>
  <c r="N1695" i="50"/>
  <c r="M1695" i="50"/>
  <c r="N1694" i="50"/>
  <c r="M1694" i="50"/>
  <c r="N1693" i="50"/>
  <c r="M1693" i="50"/>
  <c r="N1692" i="50"/>
  <c r="M1692" i="50"/>
  <c r="N1691" i="50"/>
  <c r="M1691" i="50"/>
  <c r="N1690" i="50"/>
  <c r="M1690" i="50"/>
  <c r="N1689" i="50"/>
  <c r="M1689" i="50"/>
  <c r="N1688" i="50"/>
  <c r="M1688" i="50"/>
  <c r="N1687" i="50"/>
  <c r="M1687" i="50"/>
  <c r="N1686" i="50"/>
  <c r="M1686" i="50"/>
  <c r="N1685" i="50"/>
  <c r="M1685" i="50"/>
  <c r="N1684" i="50"/>
  <c r="M1684" i="50"/>
  <c r="N1683" i="50"/>
  <c r="M1683" i="50"/>
  <c r="N1682" i="50"/>
  <c r="M1682" i="50"/>
  <c r="N1681" i="50"/>
  <c r="M1681" i="50"/>
  <c r="N1680" i="50"/>
  <c r="M1680" i="50"/>
  <c r="N1679" i="50"/>
  <c r="M1679" i="50"/>
  <c r="N1678" i="50"/>
  <c r="M1678" i="50"/>
  <c r="N1677" i="50"/>
  <c r="M1677" i="50"/>
  <c r="N1676" i="50"/>
  <c r="M1676" i="50"/>
  <c r="N1675" i="50"/>
  <c r="M1675" i="50"/>
  <c r="N1674" i="50"/>
  <c r="M1674" i="50"/>
  <c r="N1673" i="50"/>
  <c r="M1673" i="50"/>
  <c r="N1672" i="50"/>
  <c r="M1672" i="50"/>
  <c r="N1671" i="50"/>
  <c r="M1671" i="50"/>
  <c r="N1670" i="50"/>
  <c r="M1670" i="50"/>
  <c r="N1669" i="50"/>
  <c r="M1669" i="50"/>
  <c r="N1668" i="50"/>
  <c r="M1668" i="50"/>
  <c r="N1667" i="50"/>
  <c r="M1667" i="50"/>
  <c r="N1666" i="50"/>
  <c r="M1666" i="50"/>
  <c r="N1665" i="50"/>
  <c r="M1665" i="50"/>
  <c r="N1664" i="50"/>
  <c r="M1664" i="50"/>
  <c r="N1663" i="50"/>
  <c r="M1663" i="50"/>
  <c r="N1662" i="50"/>
  <c r="M1662" i="50"/>
  <c r="N1661" i="50"/>
  <c r="M1661" i="50"/>
  <c r="N1660" i="50"/>
  <c r="M1660" i="50"/>
  <c r="N1659" i="50"/>
  <c r="M1659" i="50"/>
  <c r="N1658" i="50"/>
  <c r="M1658" i="50"/>
  <c r="N1657" i="50"/>
  <c r="M1657" i="50"/>
  <c r="N1656" i="50"/>
  <c r="M1656" i="50"/>
  <c r="N1655" i="50"/>
  <c r="M1655" i="50"/>
  <c r="N1654" i="50"/>
  <c r="M1654" i="50"/>
  <c r="N1653" i="50"/>
  <c r="M1653" i="50"/>
  <c r="N1652" i="50"/>
  <c r="M1652" i="50"/>
  <c r="N1651" i="50"/>
  <c r="M1651" i="50"/>
  <c r="N1650" i="50"/>
  <c r="M1650" i="50"/>
  <c r="N1649" i="50"/>
  <c r="M1649" i="50"/>
  <c r="N1648" i="50"/>
  <c r="M1648" i="50"/>
  <c r="N1647" i="50"/>
  <c r="M1647" i="50"/>
  <c r="N1646" i="50"/>
  <c r="M1646" i="50"/>
  <c r="N1645" i="50"/>
  <c r="M1645" i="50"/>
  <c r="N1644" i="50"/>
  <c r="M1644" i="50"/>
  <c r="N1643" i="50"/>
  <c r="M1643" i="50"/>
  <c r="N1642" i="50"/>
  <c r="M1642" i="50"/>
  <c r="N1641" i="50"/>
  <c r="M1641" i="50"/>
  <c r="N1640" i="50"/>
  <c r="M1640" i="50"/>
  <c r="N1639" i="50"/>
  <c r="M1639" i="50"/>
  <c r="N1638" i="50"/>
  <c r="M1638" i="50"/>
  <c r="N1637" i="50"/>
  <c r="M1637" i="50"/>
  <c r="N1636" i="50"/>
  <c r="M1636" i="50"/>
  <c r="N1635" i="50"/>
  <c r="M1635" i="50"/>
  <c r="N1634" i="50"/>
  <c r="M1634" i="50"/>
  <c r="N1633" i="50"/>
  <c r="M1633" i="50"/>
  <c r="N1632" i="50"/>
  <c r="M1632" i="50"/>
  <c r="N1631" i="50"/>
  <c r="M1631" i="50"/>
  <c r="N1630" i="50"/>
  <c r="M1630" i="50"/>
  <c r="N1629" i="50"/>
  <c r="M1629" i="50"/>
  <c r="N1628" i="50"/>
  <c r="M1628" i="50"/>
  <c r="N1627" i="50"/>
  <c r="M1627" i="50"/>
  <c r="N1626" i="50"/>
  <c r="M1626" i="50"/>
  <c r="N1625" i="50"/>
  <c r="M1625" i="50"/>
  <c r="N1624" i="50"/>
  <c r="M1624" i="50"/>
  <c r="N1623" i="50"/>
  <c r="M1623" i="50"/>
  <c r="N1622" i="50"/>
  <c r="M1622" i="50"/>
  <c r="N1621" i="50"/>
  <c r="M1621" i="50"/>
  <c r="N1620" i="50"/>
  <c r="M1620" i="50"/>
  <c r="N1619" i="50"/>
  <c r="M1619" i="50"/>
  <c r="N1618" i="50"/>
  <c r="M1618" i="50"/>
  <c r="N1617" i="50"/>
  <c r="M1617" i="50"/>
  <c r="N1616" i="50"/>
  <c r="M1616" i="50"/>
  <c r="N1615" i="50"/>
  <c r="M1615" i="50"/>
  <c r="N1614" i="50"/>
  <c r="M1614" i="50"/>
  <c r="N1613" i="50"/>
  <c r="M1613" i="50"/>
  <c r="N1612" i="50"/>
  <c r="M1612" i="50"/>
  <c r="N1611" i="50"/>
  <c r="M1611" i="50"/>
  <c r="N1610" i="50"/>
  <c r="M1610" i="50"/>
  <c r="N1609" i="50"/>
  <c r="M1609" i="50"/>
  <c r="N1608" i="50"/>
  <c r="M1608" i="50"/>
  <c r="N1607" i="50"/>
  <c r="M1607" i="50"/>
  <c r="N1606" i="50"/>
  <c r="M1606" i="50"/>
  <c r="N1605" i="50"/>
  <c r="M1605" i="50"/>
  <c r="N1604" i="50"/>
  <c r="M1604" i="50"/>
  <c r="N1603" i="50"/>
  <c r="M1603" i="50"/>
  <c r="N1602" i="50"/>
  <c r="M1602" i="50"/>
  <c r="N1601" i="50"/>
  <c r="M1601" i="50"/>
  <c r="N1600" i="50"/>
  <c r="M1600" i="50"/>
  <c r="N1599" i="50"/>
  <c r="M1599" i="50"/>
  <c r="N1598" i="50"/>
  <c r="M1598" i="50"/>
  <c r="N1597" i="50"/>
  <c r="M1597" i="50"/>
  <c r="N1596" i="50"/>
  <c r="M1596" i="50"/>
  <c r="N1595" i="50"/>
  <c r="M1595" i="50"/>
  <c r="N1594" i="50"/>
  <c r="M1594" i="50"/>
  <c r="N1593" i="50"/>
  <c r="M1593" i="50"/>
  <c r="N1592" i="50"/>
  <c r="M1592" i="50"/>
  <c r="N1591" i="50"/>
  <c r="M1591" i="50"/>
  <c r="N1590" i="50"/>
  <c r="M1590" i="50"/>
  <c r="N1589" i="50"/>
  <c r="M1589" i="50"/>
  <c r="N1588" i="50"/>
  <c r="M1588" i="50"/>
  <c r="N1587" i="50"/>
  <c r="M1587" i="50"/>
  <c r="N1586" i="50"/>
  <c r="M1586" i="50"/>
  <c r="N1585" i="50"/>
  <c r="M1585" i="50"/>
  <c r="N1584" i="50"/>
  <c r="M1584" i="50"/>
  <c r="N1583" i="50"/>
  <c r="M1583" i="50"/>
  <c r="N1582" i="50"/>
  <c r="M1582" i="50"/>
  <c r="N1581" i="50"/>
  <c r="M1581" i="50"/>
  <c r="N1580" i="50"/>
  <c r="M1580" i="50"/>
  <c r="N1579" i="50"/>
  <c r="M1579" i="50"/>
  <c r="N1578" i="50"/>
  <c r="M1578" i="50"/>
  <c r="N1577" i="50"/>
  <c r="M1577" i="50"/>
  <c r="N1576" i="50"/>
  <c r="M1576" i="50"/>
  <c r="N1575" i="50"/>
  <c r="M1575" i="50"/>
  <c r="N1574" i="50"/>
  <c r="M1574" i="50"/>
  <c r="N1573" i="50"/>
  <c r="M1573" i="50"/>
  <c r="N1572" i="50"/>
  <c r="M1572" i="50"/>
  <c r="N1571" i="50"/>
  <c r="M1571" i="50"/>
  <c r="N1570" i="50"/>
  <c r="M1570" i="50"/>
  <c r="N1569" i="50"/>
  <c r="M1569" i="50"/>
  <c r="N1568" i="50"/>
  <c r="M1568" i="50"/>
  <c r="N1567" i="50"/>
  <c r="M1567" i="50"/>
  <c r="N1566" i="50"/>
  <c r="M1566" i="50"/>
  <c r="N1565" i="50"/>
  <c r="M1565" i="50"/>
  <c r="N1564" i="50"/>
  <c r="M1564" i="50"/>
  <c r="N1563" i="50"/>
  <c r="M1563" i="50"/>
  <c r="N1562" i="50"/>
  <c r="M1562" i="50"/>
  <c r="N1561" i="50"/>
  <c r="M1561" i="50"/>
  <c r="N1560" i="50"/>
  <c r="M1560" i="50"/>
  <c r="N1559" i="50"/>
  <c r="M1559" i="50"/>
  <c r="N1558" i="50"/>
  <c r="M1558" i="50"/>
  <c r="N1557" i="50"/>
  <c r="M1557" i="50"/>
  <c r="N1556" i="50"/>
  <c r="M1556" i="50"/>
  <c r="N1555" i="50"/>
  <c r="M1555" i="50"/>
  <c r="N1554" i="50"/>
  <c r="M1554" i="50"/>
  <c r="N1553" i="50"/>
  <c r="M1553" i="50"/>
  <c r="N1552" i="50"/>
  <c r="M1552" i="50"/>
  <c r="N1551" i="50"/>
  <c r="M1551" i="50"/>
  <c r="N1550" i="50"/>
  <c r="M1550" i="50"/>
  <c r="N1549" i="50"/>
  <c r="M1549" i="50"/>
  <c r="N1548" i="50"/>
  <c r="M1548" i="50"/>
  <c r="N1547" i="50"/>
  <c r="M1547" i="50"/>
  <c r="N1546" i="50"/>
  <c r="M1546" i="50"/>
  <c r="N1545" i="50"/>
  <c r="M1545" i="50"/>
  <c r="N1544" i="50"/>
  <c r="M1544" i="50"/>
  <c r="N1543" i="50"/>
  <c r="M1543" i="50"/>
  <c r="N1542" i="50"/>
  <c r="M1542" i="50"/>
  <c r="N1541" i="50"/>
  <c r="M1541" i="50"/>
  <c r="N1540" i="50"/>
  <c r="M1540" i="50"/>
  <c r="N1539" i="50"/>
  <c r="M1539" i="50"/>
  <c r="N1538" i="50"/>
  <c r="M1538" i="50"/>
  <c r="N1537" i="50"/>
  <c r="M1537" i="50"/>
  <c r="N1536" i="50"/>
  <c r="M1536" i="50"/>
  <c r="N1535" i="50"/>
  <c r="M1535" i="50"/>
  <c r="N1534" i="50"/>
  <c r="M1534" i="50"/>
  <c r="N1533" i="50"/>
  <c r="M1533" i="50"/>
  <c r="N1532" i="50"/>
  <c r="M1532" i="50"/>
  <c r="N1531" i="50"/>
  <c r="M1531" i="50"/>
  <c r="N1530" i="50"/>
  <c r="M1530" i="50"/>
  <c r="N1529" i="50"/>
  <c r="M1529" i="50"/>
  <c r="N1528" i="50"/>
  <c r="M1528" i="50"/>
  <c r="N1527" i="50"/>
  <c r="M1527" i="50"/>
  <c r="N1526" i="50"/>
  <c r="M1526" i="50"/>
  <c r="N1525" i="50"/>
  <c r="M1525" i="50"/>
  <c r="N1524" i="50"/>
  <c r="M1524" i="50"/>
  <c r="N1523" i="50"/>
  <c r="M1523" i="50"/>
  <c r="N1522" i="50"/>
  <c r="M1522" i="50"/>
  <c r="N1521" i="50"/>
  <c r="M1521" i="50"/>
  <c r="N1520" i="50"/>
  <c r="M1520" i="50"/>
  <c r="N1519" i="50"/>
  <c r="M1519" i="50"/>
  <c r="N1518" i="50"/>
  <c r="M1518" i="50"/>
  <c r="N1517" i="50"/>
  <c r="M1517" i="50"/>
  <c r="N1516" i="50"/>
  <c r="M1516" i="50"/>
  <c r="N1515" i="50"/>
  <c r="M1515" i="50"/>
  <c r="N1514" i="50"/>
  <c r="M1514" i="50"/>
  <c r="N1513" i="50"/>
  <c r="M1513" i="50"/>
  <c r="N1512" i="50"/>
  <c r="M1512" i="50"/>
  <c r="N1511" i="50"/>
  <c r="M1511" i="50"/>
  <c r="N1510" i="50"/>
  <c r="M1510" i="50"/>
  <c r="N1509" i="50"/>
  <c r="M1509" i="50"/>
  <c r="N1508" i="50"/>
  <c r="M1508" i="50"/>
  <c r="N1507" i="50"/>
  <c r="M1507" i="50"/>
  <c r="N1506" i="50"/>
  <c r="M1506" i="50"/>
  <c r="N1505" i="50"/>
  <c r="M1505" i="50"/>
  <c r="N1504" i="50"/>
  <c r="M1504" i="50"/>
  <c r="N1503" i="50"/>
  <c r="M1503" i="50"/>
  <c r="N1502" i="50"/>
  <c r="M1502" i="50"/>
  <c r="N1501" i="50"/>
  <c r="M1501" i="50"/>
  <c r="N1500" i="50"/>
  <c r="M1500" i="50"/>
  <c r="N1499" i="50"/>
  <c r="M1499" i="50"/>
  <c r="N1498" i="50"/>
  <c r="M1498" i="50"/>
  <c r="N1497" i="50"/>
  <c r="M1497" i="50"/>
  <c r="N1496" i="50"/>
  <c r="M1496" i="50"/>
  <c r="N1495" i="50"/>
  <c r="M1495" i="50"/>
  <c r="N1494" i="50"/>
  <c r="M1494" i="50"/>
  <c r="N1493" i="50"/>
  <c r="M1493" i="50"/>
  <c r="N1492" i="50"/>
  <c r="M1492" i="50"/>
  <c r="N1491" i="50"/>
  <c r="M1491" i="50"/>
  <c r="N1490" i="50"/>
  <c r="M1490" i="50"/>
  <c r="N1489" i="50"/>
  <c r="M1489" i="50"/>
  <c r="N1488" i="50"/>
  <c r="M1488" i="50"/>
  <c r="N1487" i="50"/>
  <c r="M1487" i="50"/>
  <c r="N1486" i="50"/>
  <c r="M1486" i="50"/>
  <c r="N1485" i="50"/>
  <c r="M1485" i="50"/>
  <c r="N1484" i="50"/>
  <c r="M1484" i="50"/>
  <c r="N1483" i="50"/>
  <c r="M1483" i="50"/>
  <c r="N1482" i="50"/>
  <c r="M1482" i="50"/>
  <c r="N1481" i="50"/>
  <c r="M1481" i="50"/>
  <c r="N1480" i="50"/>
  <c r="M1480" i="50"/>
  <c r="N1479" i="50"/>
  <c r="M1479" i="50"/>
  <c r="N1478" i="50"/>
  <c r="M1478" i="50"/>
  <c r="N1477" i="50"/>
  <c r="M1477" i="50"/>
  <c r="N1476" i="50"/>
  <c r="M1476" i="50"/>
  <c r="N1475" i="50"/>
  <c r="M1475" i="50"/>
  <c r="N1474" i="50"/>
  <c r="M1474" i="50"/>
  <c r="N1473" i="50"/>
  <c r="M1473" i="50"/>
  <c r="N1472" i="50"/>
  <c r="M1472" i="50"/>
  <c r="N1471" i="50"/>
  <c r="M1471" i="50"/>
  <c r="N1470" i="50"/>
  <c r="M1470" i="50"/>
  <c r="N1469" i="50"/>
  <c r="M1469" i="50"/>
  <c r="N1468" i="50"/>
  <c r="M1468" i="50"/>
  <c r="N1467" i="50"/>
  <c r="M1467" i="50"/>
  <c r="N1466" i="50"/>
  <c r="M1466" i="50"/>
  <c r="N1465" i="50"/>
  <c r="M1465" i="50"/>
  <c r="N1464" i="50"/>
  <c r="M1464" i="50"/>
  <c r="N1463" i="50"/>
  <c r="M1463" i="50"/>
  <c r="N1462" i="50"/>
  <c r="M1462" i="50"/>
  <c r="N1461" i="50"/>
  <c r="M1461" i="50"/>
  <c r="N1460" i="50"/>
  <c r="M1460" i="50"/>
  <c r="N1459" i="50"/>
  <c r="M1459" i="50"/>
  <c r="N1458" i="50"/>
  <c r="M1458" i="50"/>
  <c r="N1457" i="50"/>
  <c r="M1457" i="50"/>
  <c r="N1456" i="50"/>
  <c r="M1456" i="50"/>
  <c r="N1455" i="50"/>
  <c r="M1455" i="50"/>
  <c r="N1454" i="50"/>
  <c r="M1454" i="50"/>
  <c r="N1453" i="50"/>
  <c r="M1453" i="50"/>
  <c r="N1452" i="50"/>
  <c r="M1452" i="50"/>
  <c r="N1451" i="50"/>
  <c r="M1451" i="50"/>
  <c r="N1450" i="50"/>
  <c r="M1450" i="50"/>
  <c r="N1449" i="50"/>
  <c r="M1449" i="50"/>
  <c r="N1448" i="50"/>
  <c r="M1448" i="50"/>
  <c r="N1447" i="50"/>
  <c r="M1447" i="50"/>
  <c r="N1446" i="50"/>
  <c r="M1446" i="50"/>
  <c r="N1445" i="50"/>
  <c r="M1445" i="50"/>
  <c r="N1444" i="50"/>
  <c r="M1444" i="50"/>
  <c r="N1443" i="50"/>
  <c r="M1443" i="50"/>
  <c r="N1442" i="50"/>
  <c r="M1442" i="50"/>
  <c r="N1441" i="50"/>
  <c r="M1441" i="50"/>
  <c r="N1440" i="50"/>
  <c r="M1440" i="50"/>
  <c r="N1439" i="50"/>
  <c r="M1439" i="50"/>
  <c r="N1438" i="50"/>
  <c r="M1438" i="50"/>
  <c r="N1437" i="50"/>
  <c r="M1437" i="50"/>
  <c r="N1436" i="50"/>
  <c r="M1436" i="50"/>
  <c r="N1435" i="50"/>
  <c r="M1435" i="50"/>
  <c r="N1434" i="50"/>
  <c r="M1434" i="50"/>
  <c r="N1433" i="50"/>
  <c r="M1433" i="50"/>
  <c r="N1432" i="50"/>
  <c r="M1432" i="50"/>
  <c r="N1431" i="50"/>
  <c r="M1431" i="50"/>
  <c r="N1430" i="50"/>
  <c r="M1430" i="50"/>
  <c r="N1429" i="50"/>
  <c r="M1429" i="50"/>
  <c r="N1428" i="50"/>
  <c r="M1428" i="50"/>
  <c r="N1427" i="50"/>
  <c r="M1427" i="50"/>
  <c r="N1426" i="50"/>
  <c r="M1426" i="50"/>
  <c r="N1425" i="50"/>
  <c r="M1425" i="50"/>
  <c r="N1424" i="50"/>
  <c r="M1424" i="50"/>
  <c r="N1423" i="50"/>
  <c r="M1423" i="50"/>
  <c r="N1422" i="50"/>
  <c r="M1422" i="50"/>
  <c r="N1421" i="50"/>
  <c r="M1421" i="50"/>
  <c r="N1420" i="50"/>
  <c r="M1420" i="50"/>
  <c r="N1419" i="50"/>
  <c r="M1419" i="50"/>
  <c r="N1418" i="50"/>
  <c r="M1418" i="50"/>
  <c r="N1417" i="50"/>
  <c r="M1417" i="50"/>
  <c r="N1416" i="50"/>
  <c r="M1416" i="50"/>
  <c r="N1415" i="50"/>
  <c r="M1415" i="50"/>
  <c r="N1414" i="50"/>
  <c r="M1414" i="50"/>
  <c r="N1413" i="50"/>
  <c r="M1413" i="50"/>
  <c r="N1412" i="50"/>
  <c r="M1412" i="50"/>
  <c r="N1411" i="50"/>
  <c r="M1411" i="50"/>
  <c r="N1410" i="50"/>
  <c r="M1410" i="50"/>
  <c r="N1409" i="50"/>
  <c r="M1409" i="50"/>
  <c r="N1408" i="50"/>
  <c r="M1408" i="50"/>
  <c r="N1407" i="50"/>
  <c r="M1407" i="50"/>
  <c r="N1406" i="50"/>
  <c r="M1406" i="50"/>
  <c r="N1405" i="50"/>
  <c r="M1405" i="50"/>
  <c r="N1404" i="50"/>
  <c r="M1404" i="50"/>
  <c r="N1403" i="50"/>
  <c r="M1403" i="50"/>
  <c r="N1402" i="50"/>
  <c r="M1402" i="50"/>
  <c r="N1401" i="50"/>
  <c r="M1401" i="50"/>
  <c r="N1400" i="50"/>
  <c r="M1400" i="50"/>
  <c r="N1399" i="50"/>
  <c r="M1399" i="50"/>
  <c r="N1398" i="50"/>
  <c r="M1398" i="50"/>
  <c r="N1397" i="50"/>
  <c r="M1397" i="50"/>
  <c r="N1396" i="50"/>
  <c r="M1396" i="50"/>
  <c r="N1395" i="50"/>
  <c r="M1395" i="50"/>
  <c r="N1394" i="50"/>
  <c r="M1394" i="50"/>
  <c r="N1393" i="50"/>
  <c r="M1393" i="50"/>
  <c r="N1392" i="50"/>
  <c r="M1392" i="50"/>
  <c r="N1391" i="50"/>
  <c r="M1391" i="50"/>
  <c r="N1390" i="50"/>
  <c r="M1390" i="50"/>
  <c r="N1389" i="50"/>
  <c r="M1389" i="50"/>
  <c r="N1388" i="50"/>
  <c r="M1388" i="50"/>
  <c r="N1387" i="50"/>
  <c r="M1387" i="50"/>
  <c r="N1386" i="50"/>
  <c r="M1386" i="50"/>
  <c r="N1385" i="50"/>
  <c r="M1385" i="50"/>
  <c r="N1384" i="50"/>
  <c r="M1384" i="50"/>
  <c r="N1383" i="50"/>
  <c r="M1383" i="50"/>
  <c r="N1382" i="50"/>
  <c r="M1382" i="50"/>
  <c r="N1381" i="50"/>
  <c r="M1381" i="50"/>
  <c r="N1380" i="50"/>
  <c r="M1380" i="50"/>
  <c r="N1379" i="50"/>
  <c r="M1379" i="50"/>
  <c r="N1378" i="50"/>
  <c r="M1378" i="50"/>
  <c r="N1377" i="50"/>
  <c r="M1377" i="50"/>
  <c r="N1376" i="50"/>
  <c r="M1376" i="50"/>
  <c r="N1375" i="50"/>
  <c r="M1375" i="50"/>
  <c r="N1374" i="50"/>
  <c r="M1374" i="50"/>
  <c r="N1373" i="50"/>
  <c r="M1373" i="50"/>
  <c r="N1372" i="50"/>
  <c r="M1372" i="50"/>
  <c r="N1371" i="50"/>
  <c r="M1371" i="50"/>
  <c r="N1370" i="50"/>
  <c r="M1370" i="50"/>
  <c r="N1369" i="50"/>
  <c r="M1369" i="50"/>
  <c r="N1368" i="50"/>
  <c r="M1368" i="50"/>
  <c r="N1367" i="50"/>
  <c r="M1367" i="50"/>
  <c r="N1366" i="50"/>
  <c r="M1366" i="50"/>
  <c r="N1365" i="50"/>
  <c r="M1365" i="50"/>
  <c r="N1364" i="50"/>
  <c r="M1364" i="50"/>
  <c r="N1363" i="50"/>
  <c r="M1363" i="50"/>
  <c r="N1362" i="50"/>
  <c r="M1362" i="50"/>
  <c r="N1361" i="50"/>
  <c r="M1361" i="50"/>
  <c r="N1360" i="50"/>
  <c r="M1360" i="50"/>
  <c r="N1359" i="50"/>
  <c r="M1359" i="50"/>
  <c r="N1358" i="50"/>
  <c r="M1358" i="50"/>
  <c r="N1357" i="50"/>
  <c r="M1357" i="50"/>
  <c r="N1356" i="50"/>
  <c r="M1356" i="50"/>
  <c r="N1355" i="50"/>
  <c r="M1355" i="50"/>
  <c r="N1354" i="50"/>
  <c r="M1354" i="50"/>
  <c r="N1353" i="50"/>
  <c r="M1353" i="50"/>
  <c r="N1352" i="50"/>
  <c r="M1352" i="50"/>
  <c r="N1351" i="50"/>
  <c r="M1351" i="50"/>
  <c r="N1350" i="50"/>
  <c r="M1350" i="50"/>
  <c r="N1349" i="50"/>
  <c r="M1349" i="50"/>
  <c r="N1348" i="50"/>
  <c r="M1348" i="50"/>
  <c r="N1347" i="50"/>
  <c r="M1347" i="50"/>
  <c r="N1346" i="50"/>
  <c r="M1346" i="50"/>
  <c r="N1345" i="50"/>
  <c r="M1345" i="50"/>
  <c r="N1344" i="50"/>
  <c r="M1344" i="50"/>
  <c r="N1343" i="50"/>
  <c r="M1343" i="50"/>
  <c r="N1342" i="50"/>
  <c r="M1342" i="50"/>
  <c r="N1341" i="50"/>
  <c r="M1341" i="50"/>
  <c r="N1340" i="50"/>
  <c r="M1340" i="50"/>
  <c r="N1339" i="50"/>
  <c r="M1339" i="50"/>
  <c r="N1338" i="50"/>
  <c r="M1338" i="50"/>
  <c r="N1337" i="50"/>
  <c r="M1337" i="50"/>
  <c r="N1336" i="50"/>
  <c r="M1336" i="50"/>
  <c r="N1335" i="50"/>
  <c r="M1335" i="50"/>
  <c r="N1334" i="50"/>
  <c r="M1334" i="50"/>
  <c r="N1333" i="50"/>
  <c r="M1333" i="50"/>
  <c r="N1332" i="50"/>
  <c r="M1332" i="50"/>
  <c r="N1331" i="50"/>
  <c r="M1331" i="50"/>
  <c r="N1330" i="50"/>
  <c r="M1330" i="50"/>
  <c r="N1329" i="50"/>
  <c r="M1329" i="50"/>
  <c r="N1328" i="50"/>
  <c r="M1328" i="50"/>
  <c r="N1327" i="50"/>
  <c r="M1327" i="50"/>
  <c r="N1326" i="50"/>
  <c r="M1326" i="50"/>
  <c r="N1325" i="50"/>
  <c r="M1325" i="50"/>
  <c r="N1324" i="50"/>
  <c r="M1324" i="50"/>
  <c r="N1323" i="50"/>
  <c r="M1323" i="50"/>
  <c r="N1322" i="50"/>
  <c r="M1322" i="50"/>
  <c r="N1321" i="50"/>
  <c r="M1321" i="50"/>
  <c r="N1320" i="50"/>
  <c r="M1320" i="50"/>
  <c r="N1319" i="50"/>
  <c r="M1319" i="50"/>
  <c r="N1318" i="50"/>
  <c r="M1318" i="50"/>
  <c r="N1317" i="50"/>
  <c r="M1317" i="50"/>
  <c r="N1316" i="50"/>
  <c r="M1316" i="50"/>
  <c r="N1315" i="50"/>
  <c r="M1315" i="50"/>
  <c r="N1314" i="50"/>
  <c r="M1314" i="50"/>
  <c r="N1313" i="50"/>
  <c r="M1313" i="50"/>
  <c r="N1312" i="50"/>
  <c r="M1312" i="50"/>
  <c r="N1311" i="50"/>
  <c r="M1311" i="50"/>
  <c r="N1310" i="50"/>
  <c r="M1310" i="50"/>
  <c r="N1309" i="50"/>
  <c r="M1309" i="50"/>
  <c r="N1308" i="50"/>
  <c r="M1308" i="50"/>
  <c r="N1307" i="50"/>
  <c r="M1307" i="50"/>
  <c r="N1306" i="50"/>
  <c r="M1306" i="50"/>
  <c r="N1305" i="50"/>
  <c r="M1305" i="50"/>
  <c r="N1304" i="50"/>
  <c r="M1304" i="50"/>
  <c r="N1303" i="50"/>
  <c r="M1303" i="50"/>
  <c r="N1302" i="50"/>
  <c r="M1302" i="50"/>
  <c r="N1301" i="50"/>
  <c r="M1301" i="50"/>
  <c r="N1300" i="50"/>
  <c r="M1300" i="50"/>
  <c r="N1299" i="50"/>
  <c r="M1299" i="50"/>
  <c r="N1298" i="50"/>
  <c r="M1298" i="50"/>
  <c r="N1297" i="50"/>
  <c r="M1297" i="50"/>
  <c r="N1296" i="50"/>
  <c r="M1296" i="50"/>
  <c r="N1295" i="50"/>
  <c r="M1295" i="50"/>
  <c r="N1294" i="50"/>
  <c r="M1294" i="50"/>
  <c r="N1293" i="50"/>
  <c r="M1293" i="50"/>
  <c r="N1292" i="50"/>
  <c r="M1292" i="50"/>
  <c r="N1291" i="50"/>
  <c r="M1291" i="50"/>
  <c r="N1290" i="50"/>
  <c r="M1290" i="50"/>
  <c r="N1289" i="50"/>
  <c r="M1289" i="50"/>
  <c r="N1288" i="50"/>
  <c r="M1288" i="50"/>
  <c r="N1287" i="50"/>
  <c r="M1287" i="50"/>
  <c r="N1286" i="50"/>
  <c r="M1286" i="50"/>
  <c r="N1285" i="50"/>
  <c r="M1285" i="50"/>
  <c r="N1284" i="50"/>
  <c r="M1284" i="50"/>
  <c r="N1283" i="50"/>
  <c r="M1283" i="50"/>
  <c r="N1282" i="50"/>
  <c r="M1282" i="50"/>
  <c r="N1281" i="50"/>
  <c r="M1281" i="50"/>
  <c r="N1280" i="50"/>
  <c r="M1280" i="50"/>
  <c r="N1279" i="50"/>
  <c r="M1279" i="50"/>
  <c r="N1278" i="50"/>
  <c r="M1278" i="50"/>
  <c r="N1277" i="50"/>
  <c r="M1277" i="50"/>
  <c r="N1276" i="50"/>
  <c r="M1276" i="50"/>
  <c r="N1275" i="50"/>
  <c r="M1275" i="50"/>
  <c r="N1274" i="50"/>
  <c r="M1274" i="50"/>
  <c r="N1273" i="50"/>
  <c r="M1273" i="50"/>
  <c r="N1272" i="50"/>
  <c r="M1272" i="50"/>
  <c r="N1271" i="50"/>
  <c r="M1271" i="50"/>
  <c r="N1270" i="50"/>
  <c r="M1270" i="50"/>
  <c r="N1269" i="50"/>
  <c r="M1269" i="50"/>
  <c r="N1268" i="50"/>
  <c r="M1268" i="50"/>
  <c r="N1267" i="50"/>
  <c r="M1267" i="50"/>
  <c r="N1266" i="50"/>
  <c r="M1266" i="50"/>
  <c r="N1265" i="50"/>
  <c r="M1265" i="50"/>
  <c r="N1264" i="50"/>
  <c r="M1264" i="50"/>
  <c r="N1263" i="50"/>
  <c r="M1263" i="50"/>
  <c r="N1262" i="50"/>
  <c r="M1262" i="50"/>
  <c r="N1261" i="50"/>
  <c r="M1261" i="50"/>
  <c r="N1260" i="50"/>
  <c r="M1260" i="50"/>
  <c r="N1259" i="50"/>
  <c r="M1259" i="50"/>
  <c r="N1258" i="50"/>
  <c r="M1258" i="50"/>
  <c r="N1257" i="50"/>
  <c r="M1257" i="50"/>
  <c r="N1256" i="50"/>
  <c r="M1256" i="50"/>
  <c r="N1255" i="50"/>
  <c r="M1255" i="50"/>
  <c r="N1254" i="50"/>
  <c r="M1254" i="50"/>
  <c r="N1253" i="50"/>
  <c r="M1253" i="50"/>
  <c r="N1252" i="50"/>
  <c r="M1252" i="50"/>
  <c r="N1251" i="50"/>
  <c r="M1251" i="50"/>
  <c r="N1250" i="50"/>
  <c r="M1250" i="50"/>
  <c r="N1249" i="50"/>
  <c r="M1249" i="50"/>
  <c r="N1248" i="50"/>
  <c r="M1248" i="50"/>
  <c r="N1247" i="50"/>
  <c r="M1247" i="50"/>
  <c r="N1246" i="50"/>
  <c r="M1246" i="50"/>
  <c r="N1245" i="50"/>
  <c r="M1245" i="50"/>
  <c r="N1244" i="50"/>
  <c r="M1244" i="50"/>
  <c r="N1243" i="50"/>
  <c r="M1243" i="50"/>
  <c r="N1242" i="50"/>
  <c r="M1242" i="50"/>
  <c r="N1241" i="50"/>
  <c r="M1241" i="50"/>
  <c r="N1240" i="50"/>
  <c r="M1240" i="50"/>
  <c r="N1239" i="50"/>
  <c r="M1239" i="50"/>
  <c r="N1238" i="50"/>
  <c r="M1238" i="50"/>
  <c r="N1237" i="50"/>
  <c r="M1237" i="50"/>
  <c r="N1236" i="50"/>
  <c r="M1236" i="50"/>
  <c r="N1235" i="50"/>
  <c r="M1235" i="50"/>
  <c r="N1234" i="50"/>
  <c r="M1234" i="50"/>
  <c r="N1233" i="50"/>
  <c r="M1233" i="50"/>
  <c r="N1232" i="50"/>
  <c r="M1232" i="50"/>
  <c r="N1231" i="50"/>
  <c r="M1231" i="50"/>
  <c r="N1230" i="50"/>
  <c r="M1230" i="50"/>
  <c r="N1229" i="50"/>
  <c r="M1229" i="50"/>
  <c r="N1228" i="50"/>
  <c r="M1228" i="50"/>
  <c r="N1227" i="50"/>
  <c r="M1227" i="50"/>
  <c r="N1226" i="50"/>
  <c r="M1226" i="50"/>
  <c r="N1225" i="50"/>
  <c r="M1225" i="50"/>
  <c r="N1224" i="50"/>
  <c r="M1224" i="50"/>
  <c r="N1223" i="50"/>
  <c r="M1223" i="50"/>
  <c r="N1222" i="50"/>
  <c r="M1222" i="50"/>
  <c r="N1221" i="50"/>
  <c r="M1221" i="50"/>
  <c r="N1220" i="50"/>
  <c r="M1220" i="50"/>
  <c r="N1219" i="50"/>
  <c r="M1219" i="50"/>
  <c r="N1218" i="50"/>
  <c r="M1218" i="50"/>
  <c r="N1217" i="50"/>
  <c r="M1217" i="50"/>
  <c r="N1216" i="50"/>
  <c r="M1216" i="50"/>
  <c r="N1215" i="50"/>
  <c r="M1215" i="50"/>
  <c r="N1214" i="50"/>
  <c r="M1214" i="50"/>
  <c r="N1213" i="50"/>
  <c r="M1213" i="50"/>
  <c r="N1212" i="50"/>
  <c r="M1212" i="50"/>
  <c r="N1211" i="50"/>
  <c r="M1211" i="50"/>
  <c r="N1210" i="50"/>
  <c r="M1210" i="50"/>
  <c r="N1209" i="50"/>
  <c r="M1209" i="50"/>
  <c r="N1208" i="50"/>
  <c r="M1208" i="50"/>
  <c r="N1207" i="50"/>
  <c r="M1207" i="50"/>
  <c r="N1206" i="50"/>
  <c r="M1206" i="50"/>
  <c r="N1205" i="50"/>
  <c r="M1205" i="50"/>
  <c r="N1204" i="50"/>
  <c r="M1204" i="50"/>
  <c r="N1203" i="50"/>
  <c r="M1203" i="50"/>
  <c r="N1202" i="50"/>
  <c r="M1202" i="50"/>
  <c r="N1201" i="50"/>
  <c r="M1201" i="50"/>
  <c r="N1200" i="50"/>
  <c r="M1200" i="50"/>
  <c r="N1199" i="50"/>
  <c r="M1199" i="50"/>
  <c r="N1198" i="50"/>
  <c r="M1198" i="50"/>
  <c r="N1197" i="50"/>
  <c r="M1197" i="50"/>
  <c r="N1196" i="50"/>
  <c r="M1196" i="50"/>
  <c r="N1195" i="50"/>
  <c r="M1195" i="50"/>
  <c r="N1194" i="50"/>
  <c r="M1194" i="50"/>
  <c r="N1193" i="50"/>
  <c r="M1193" i="50"/>
  <c r="N1192" i="50"/>
  <c r="M1192" i="50"/>
  <c r="N1191" i="50"/>
  <c r="M1191" i="50"/>
  <c r="N1190" i="50"/>
  <c r="M1190" i="50"/>
  <c r="N1189" i="50"/>
  <c r="M1189" i="50"/>
  <c r="N1188" i="50"/>
  <c r="M1188" i="50"/>
  <c r="N1187" i="50"/>
  <c r="M1187" i="50"/>
  <c r="N1186" i="50"/>
  <c r="M1186" i="50"/>
  <c r="N1185" i="50"/>
  <c r="M1185" i="50"/>
  <c r="N1184" i="50"/>
  <c r="M1184" i="50"/>
  <c r="N1183" i="50"/>
  <c r="M1183" i="50"/>
  <c r="N1182" i="50"/>
  <c r="M1182" i="50"/>
  <c r="N1181" i="50"/>
  <c r="M1181" i="50"/>
  <c r="N1180" i="50"/>
  <c r="M1180" i="50"/>
  <c r="N1179" i="50"/>
  <c r="M1179" i="50"/>
  <c r="N1178" i="50"/>
  <c r="M1178" i="50"/>
  <c r="N1177" i="50"/>
  <c r="M1177" i="50"/>
  <c r="N1176" i="50"/>
  <c r="M1176" i="50"/>
  <c r="N1175" i="50"/>
  <c r="M1175" i="50"/>
  <c r="N1174" i="50"/>
  <c r="M1174" i="50"/>
  <c r="N1173" i="50"/>
  <c r="M1173" i="50"/>
  <c r="N1172" i="50"/>
  <c r="M1172" i="50"/>
  <c r="N1171" i="50"/>
  <c r="M1171" i="50"/>
  <c r="N1170" i="50"/>
  <c r="M1170" i="50"/>
  <c r="N1169" i="50"/>
  <c r="M1169" i="50"/>
  <c r="N1168" i="50"/>
  <c r="M1168" i="50"/>
  <c r="N1167" i="50"/>
  <c r="M1167" i="50"/>
  <c r="N1166" i="50"/>
  <c r="M1166" i="50"/>
  <c r="N1165" i="50"/>
  <c r="M1165" i="50"/>
  <c r="N1164" i="50"/>
  <c r="M1164" i="50"/>
  <c r="N1163" i="50"/>
  <c r="M1163" i="50"/>
  <c r="N1162" i="50"/>
  <c r="M1162" i="50"/>
  <c r="N1161" i="50"/>
  <c r="M1161" i="50"/>
  <c r="N1160" i="50"/>
  <c r="M1160" i="50"/>
  <c r="N1159" i="50"/>
  <c r="M1159" i="50"/>
  <c r="N1158" i="50"/>
  <c r="M1158" i="50"/>
  <c r="N1157" i="50"/>
  <c r="M1157" i="50"/>
  <c r="N1156" i="50"/>
  <c r="M1156" i="50"/>
  <c r="N1155" i="50"/>
  <c r="M1155" i="50"/>
  <c r="N1154" i="50"/>
  <c r="M1154" i="50"/>
  <c r="N1153" i="50"/>
  <c r="M1153" i="50"/>
  <c r="N1152" i="50"/>
  <c r="M1152" i="50"/>
  <c r="N1151" i="50"/>
  <c r="M1151" i="50"/>
  <c r="N1150" i="50"/>
  <c r="M1150" i="50"/>
  <c r="N1149" i="50"/>
  <c r="M1149" i="50"/>
  <c r="N1148" i="50"/>
  <c r="M1148" i="50"/>
  <c r="N1147" i="50"/>
  <c r="M1147" i="50"/>
  <c r="N1146" i="50"/>
  <c r="M1146" i="50"/>
  <c r="N1145" i="50"/>
  <c r="M1145" i="50"/>
  <c r="N1144" i="50"/>
  <c r="M1144" i="50"/>
  <c r="N1143" i="50"/>
  <c r="M1143" i="50"/>
  <c r="N1142" i="50"/>
  <c r="M1142" i="50"/>
  <c r="N1141" i="50"/>
  <c r="M1141" i="50"/>
  <c r="N1140" i="50"/>
  <c r="M1140" i="50"/>
  <c r="N1139" i="50"/>
  <c r="M1139" i="50"/>
  <c r="N1138" i="50"/>
  <c r="M1138" i="50"/>
  <c r="N1137" i="50"/>
  <c r="M1137" i="50"/>
  <c r="N1136" i="50"/>
  <c r="M1136" i="50"/>
  <c r="N1135" i="50"/>
  <c r="M1135" i="50"/>
  <c r="N1134" i="50"/>
  <c r="M1134" i="50"/>
  <c r="N1133" i="50"/>
  <c r="M1133" i="50"/>
  <c r="N1132" i="50"/>
  <c r="M1132" i="50"/>
  <c r="N1131" i="50"/>
  <c r="M1131" i="50"/>
  <c r="N1130" i="50"/>
  <c r="M1130" i="50"/>
  <c r="N1129" i="50"/>
  <c r="M1129" i="50"/>
  <c r="N1128" i="50"/>
  <c r="M1128" i="50"/>
  <c r="N1127" i="50"/>
  <c r="M1127" i="50"/>
  <c r="N1126" i="50"/>
  <c r="M1126" i="50"/>
  <c r="N1125" i="50"/>
  <c r="M1125" i="50"/>
  <c r="N1124" i="50"/>
  <c r="M1124" i="50"/>
  <c r="N1123" i="50"/>
  <c r="M1123" i="50"/>
  <c r="N1122" i="50"/>
  <c r="M1122" i="50"/>
  <c r="N1121" i="50"/>
  <c r="M1121" i="50"/>
  <c r="N1120" i="50"/>
  <c r="M1120" i="50"/>
  <c r="N1119" i="50"/>
  <c r="M1119" i="50"/>
  <c r="N1118" i="50"/>
  <c r="M1118" i="50"/>
  <c r="N1117" i="50"/>
  <c r="M1117" i="50"/>
  <c r="N1116" i="50"/>
  <c r="M1116" i="50"/>
  <c r="N1115" i="50"/>
  <c r="M1115" i="50"/>
  <c r="N1114" i="50"/>
  <c r="M1114" i="50"/>
  <c r="N1113" i="50"/>
  <c r="M1113" i="50"/>
  <c r="N1112" i="50"/>
  <c r="M1112" i="50"/>
  <c r="N1111" i="50"/>
  <c r="M1111" i="50"/>
  <c r="N1110" i="50"/>
  <c r="M1110" i="50"/>
  <c r="N1109" i="50"/>
  <c r="M1109" i="50"/>
  <c r="N1108" i="50"/>
  <c r="M1108" i="50"/>
  <c r="N1107" i="50"/>
  <c r="M1107" i="50"/>
  <c r="N1106" i="50"/>
  <c r="M1106" i="50"/>
  <c r="N1105" i="50"/>
  <c r="M1105" i="50"/>
  <c r="N1104" i="50"/>
  <c r="M1104" i="50"/>
  <c r="N1103" i="50"/>
  <c r="M1103" i="50"/>
  <c r="N1102" i="50"/>
  <c r="M1102" i="50"/>
  <c r="N1101" i="50"/>
  <c r="M1101" i="50"/>
  <c r="N1100" i="50"/>
  <c r="M1100" i="50"/>
  <c r="N1099" i="50"/>
  <c r="M1099" i="50"/>
  <c r="N1098" i="50"/>
  <c r="M1098" i="50"/>
  <c r="N1097" i="50"/>
  <c r="M1097" i="50"/>
  <c r="N1096" i="50"/>
  <c r="M1096" i="50"/>
  <c r="N1095" i="50"/>
  <c r="M1095" i="50"/>
  <c r="N1094" i="50"/>
  <c r="M1094" i="50"/>
  <c r="N1093" i="50"/>
  <c r="M1093" i="50"/>
  <c r="N1092" i="50"/>
  <c r="M1092" i="50"/>
  <c r="N1091" i="50"/>
  <c r="M1091" i="50"/>
  <c r="N1090" i="50"/>
  <c r="M1090" i="50"/>
  <c r="N1089" i="50"/>
  <c r="M1089" i="50"/>
  <c r="N1088" i="50"/>
  <c r="M1088" i="50"/>
  <c r="N1087" i="50"/>
  <c r="M1087" i="50"/>
  <c r="N1086" i="50"/>
  <c r="M1086" i="50"/>
  <c r="N1085" i="50"/>
  <c r="M1085" i="50"/>
  <c r="N1084" i="50"/>
  <c r="M1084" i="50"/>
  <c r="N1083" i="50"/>
  <c r="M1083" i="50"/>
  <c r="N1082" i="50"/>
  <c r="M1082" i="50"/>
  <c r="N1081" i="50"/>
  <c r="M1081" i="50"/>
  <c r="N1080" i="50"/>
  <c r="M1080" i="50"/>
  <c r="N1079" i="50"/>
  <c r="M1079" i="50"/>
  <c r="N1078" i="50"/>
  <c r="M1078" i="50"/>
  <c r="N1077" i="50"/>
  <c r="M1077" i="50"/>
  <c r="N1076" i="50"/>
  <c r="M1076" i="50"/>
  <c r="N1075" i="50"/>
  <c r="M1075" i="50"/>
  <c r="N1074" i="50"/>
  <c r="M1074" i="50"/>
  <c r="N1073" i="50"/>
  <c r="M1073" i="50"/>
  <c r="N1072" i="50"/>
  <c r="M1072" i="50"/>
  <c r="N1071" i="50"/>
  <c r="M1071" i="50"/>
  <c r="N1070" i="50"/>
  <c r="M1070" i="50"/>
  <c r="N1069" i="50"/>
  <c r="M1069" i="50"/>
  <c r="N1068" i="50"/>
  <c r="M1068" i="50"/>
  <c r="N1067" i="50"/>
  <c r="M1067" i="50"/>
  <c r="N1066" i="50"/>
  <c r="M1066" i="50"/>
  <c r="N1065" i="50"/>
  <c r="M1065" i="50"/>
  <c r="N1064" i="50"/>
  <c r="M1064" i="50"/>
  <c r="N1063" i="50"/>
  <c r="M1063" i="50"/>
  <c r="N1062" i="50"/>
  <c r="M1062" i="50"/>
  <c r="N1061" i="50"/>
  <c r="M1061" i="50"/>
  <c r="N1060" i="50"/>
  <c r="M1060" i="50"/>
  <c r="N1059" i="50"/>
  <c r="M1059" i="50"/>
  <c r="N1058" i="50"/>
  <c r="M1058" i="50"/>
  <c r="N1057" i="50"/>
  <c r="M1057" i="50"/>
  <c r="N1056" i="50"/>
  <c r="M1056" i="50"/>
  <c r="N1055" i="50"/>
  <c r="M1055" i="50"/>
  <c r="N1054" i="50"/>
  <c r="M1054" i="50"/>
  <c r="N1053" i="50"/>
  <c r="M1053" i="50"/>
  <c r="N1052" i="50"/>
  <c r="M1052" i="50"/>
  <c r="N1051" i="50"/>
  <c r="M1051" i="50"/>
  <c r="N1050" i="50"/>
  <c r="M1050" i="50"/>
  <c r="N1049" i="50"/>
  <c r="M1049" i="50"/>
  <c r="N1048" i="50"/>
  <c r="M1048" i="50"/>
  <c r="N1047" i="50"/>
  <c r="M1047" i="50"/>
  <c r="N1046" i="50"/>
  <c r="M1046" i="50"/>
  <c r="N1045" i="50"/>
  <c r="M1045" i="50"/>
  <c r="N1044" i="50"/>
  <c r="M1044" i="50"/>
  <c r="N1043" i="50"/>
  <c r="M1043" i="50"/>
  <c r="N1042" i="50"/>
  <c r="M1042" i="50"/>
  <c r="N1041" i="50"/>
  <c r="M1041" i="50"/>
  <c r="N1040" i="50"/>
  <c r="M1040" i="50"/>
  <c r="N1039" i="50"/>
  <c r="M1039" i="50"/>
  <c r="N1038" i="50"/>
  <c r="M1038" i="50"/>
  <c r="N1037" i="50"/>
  <c r="M1037" i="50"/>
  <c r="N1036" i="50"/>
  <c r="M1036" i="50"/>
  <c r="N1035" i="50"/>
  <c r="M1035" i="50"/>
  <c r="N1034" i="50"/>
  <c r="M1034" i="50"/>
  <c r="N1033" i="50"/>
  <c r="M1033" i="50"/>
  <c r="N1032" i="50"/>
  <c r="M1032" i="50"/>
  <c r="N1031" i="50"/>
  <c r="M1031" i="50"/>
  <c r="N1030" i="50"/>
  <c r="M1030" i="50"/>
  <c r="N1029" i="50"/>
  <c r="M1029" i="50"/>
  <c r="N1028" i="50"/>
  <c r="M1028" i="50"/>
  <c r="N1027" i="50"/>
  <c r="M1027" i="50"/>
  <c r="N1026" i="50"/>
  <c r="M1026" i="50"/>
  <c r="N1025" i="50"/>
  <c r="M1025" i="50"/>
  <c r="N1024" i="50"/>
  <c r="M1024" i="50"/>
  <c r="N1023" i="50"/>
  <c r="M1023" i="50"/>
  <c r="N1022" i="50"/>
  <c r="M1022" i="50"/>
  <c r="N1021" i="50"/>
  <c r="M1021" i="50"/>
  <c r="N1020" i="50"/>
  <c r="M1020" i="50"/>
  <c r="N1019" i="50"/>
  <c r="M1019" i="50"/>
  <c r="N1018" i="50"/>
  <c r="M1018" i="50"/>
  <c r="N1017" i="50"/>
  <c r="M1017" i="50"/>
  <c r="N1016" i="50"/>
  <c r="M1016" i="50"/>
  <c r="N1015" i="50"/>
  <c r="M1015" i="50"/>
  <c r="N1014" i="50"/>
  <c r="M1014" i="50"/>
  <c r="N1013" i="50"/>
  <c r="M1013" i="50"/>
  <c r="N1012" i="50"/>
  <c r="M1012" i="50"/>
  <c r="N1011" i="50"/>
  <c r="M1011" i="50"/>
  <c r="N1010" i="50"/>
  <c r="M1010" i="50"/>
  <c r="N1009" i="50"/>
  <c r="M1009" i="50"/>
  <c r="N1008" i="50"/>
  <c r="M1008" i="50"/>
  <c r="N1007" i="50"/>
  <c r="M1007" i="50"/>
  <c r="N1006" i="50"/>
  <c r="M1006" i="50"/>
  <c r="N1005" i="50"/>
  <c r="M1005" i="50"/>
  <c r="N1004" i="50"/>
  <c r="M1004" i="50"/>
  <c r="N1003" i="50"/>
  <c r="M1003" i="50"/>
  <c r="N1002" i="50"/>
  <c r="M1002" i="50"/>
  <c r="N1001" i="50"/>
  <c r="M1001" i="50"/>
  <c r="N1000" i="50"/>
  <c r="M1000" i="50"/>
  <c r="N999" i="50"/>
  <c r="M999" i="50"/>
  <c r="N998" i="50"/>
  <c r="M998" i="50"/>
  <c r="N997" i="50"/>
  <c r="M997" i="50"/>
  <c r="N996" i="50"/>
  <c r="M996" i="50"/>
  <c r="N995" i="50"/>
  <c r="M995" i="50"/>
  <c r="N994" i="50"/>
  <c r="M994" i="50"/>
  <c r="N993" i="50"/>
  <c r="M993" i="50"/>
  <c r="N992" i="50"/>
  <c r="M992" i="50"/>
  <c r="N991" i="50"/>
  <c r="M991" i="50"/>
  <c r="N990" i="50"/>
  <c r="M990" i="50"/>
  <c r="N989" i="50"/>
  <c r="M989" i="50"/>
  <c r="N988" i="50"/>
  <c r="M988" i="50"/>
  <c r="N987" i="50"/>
  <c r="M987" i="50"/>
  <c r="N986" i="50"/>
  <c r="M986" i="50"/>
  <c r="N985" i="50"/>
  <c r="M985" i="50"/>
  <c r="N984" i="50"/>
  <c r="M984" i="50"/>
  <c r="N983" i="50"/>
  <c r="M983" i="50"/>
  <c r="N982" i="50"/>
  <c r="M982" i="50"/>
  <c r="N981" i="50"/>
  <c r="M981" i="50"/>
  <c r="N980" i="50"/>
  <c r="M980" i="50"/>
  <c r="N979" i="50"/>
  <c r="M979" i="50"/>
  <c r="N978" i="50"/>
  <c r="M978" i="50"/>
  <c r="N977" i="50"/>
  <c r="M977" i="50"/>
  <c r="N976" i="50"/>
  <c r="M976" i="50"/>
  <c r="N975" i="50"/>
  <c r="M975" i="50"/>
  <c r="N974" i="50"/>
  <c r="M974" i="50"/>
  <c r="N973" i="50"/>
  <c r="M973" i="50"/>
  <c r="N972" i="50"/>
  <c r="M972" i="50"/>
  <c r="N971" i="50"/>
  <c r="M971" i="50"/>
  <c r="N970" i="50"/>
  <c r="M970" i="50"/>
  <c r="N969" i="50"/>
  <c r="M969" i="50"/>
  <c r="N968" i="50"/>
  <c r="M968" i="50"/>
  <c r="N967" i="50"/>
  <c r="M967" i="50"/>
  <c r="N966" i="50"/>
  <c r="M966" i="50"/>
  <c r="N965" i="50"/>
  <c r="M965" i="50"/>
  <c r="N964" i="50"/>
  <c r="M964" i="50"/>
  <c r="N963" i="50"/>
  <c r="M963" i="50"/>
  <c r="N962" i="50"/>
  <c r="M962" i="50"/>
  <c r="N961" i="50"/>
  <c r="M961" i="50"/>
  <c r="N960" i="50"/>
  <c r="M960" i="50"/>
  <c r="N959" i="50"/>
  <c r="M959" i="50"/>
  <c r="N958" i="50"/>
  <c r="M958" i="50"/>
  <c r="N957" i="50"/>
  <c r="M957" i="50"/>
  <c r="N956" i="50"/>
  <c r="M956" i="50"/>
  <c r="N955" i="50"/>
  <c r="M955" i="50"/>
  <c r="N954" i="50"/>
  <c r="M954" i="50"/>
  <c r="N953" i="50"/>
  <c r="M953" i="50"/>
  <c r="N952" i="50"/>
  <c r="M952" i="50"/>
  <c r="N951" i="50"/>
  <c r="M951" i="50"/>
  <c r="N950" i="50"/>
  <c r="M950" i="50"/>
  <c r="N949" i="50"/>
  <c r="M949" i="50"/>
  <c r="N948" i="50"/>
  <c r="M948" i="50"/>
  <c r="N947" i="50"/>
  <c r="M947" i="50"/>
  <c r="N946" i="50"/>
  <c r="M946" i="50"/>
  <c r="N945" i="50"/>
  <c r="M945" i="50"/>
  <c r="N944" i="50"/>
  <c r="M944" i="50"/>
  <c r="N943" i="50"/>
  <c r="M943" i="50"/>
  <c r="N942" i="50"/>
  <c r="M942" i="50"/>
  <c r="N941" i="50"/>
  <c r="M941" i="50"/>
  <c r="N940" i="50"/>
  <c r="M940" i="50"/>
  <c r="N939" i="50"/>
  <c r="M939" i="50"/>
  <c r="N938" i="50"/>
  <c r="M938" i="50"/>
  <c r="N937" i="50"/>
  <c r="M937" i="50"/>
  <c r="N936" i="50"/>
  <c r="M936" i="50"/>
  <c r="N935" i="50"/>
  <c r="M935" i="50"/>
  <c r="N934" i="50"/>
  <c r="M934" i="50"/>
  <c r="N933" i="50"/>
  <c r="M933" i="50"/>
  <c r="N932" i="50"/>
  <c r="M932" i="50"/>
  <c r="N931" i="50"/>
  <c r="M931" i="50"/>
  <c r="N930" i="50"/>
  <c r="M930" i="50"/>
  <c r="N929" i="50"/>
  <c r="M929" i="50"/>
  <c r="N928" i="50"/>
  <c r="M928" i="50"/>
  <c r="N927" i="50"/>
  <c r="M927" i="50"/>
  <c r="N926" i="50"/>
  <c r="M926" i="50"/>
  <c r="N925" i="50"/>
  <c r="M925" i="50"/>
  <c r="N924" i="50"/>
  <c r="M924" i="50"/>
  <c r="N923" i="50"/>
  <c r="M923" i="50"/>
  <c r="N922" i="50"/>
  <c r="M922" i="50"/>
  <c r="N921" i="50"/>
  <c r="M921" i="50"/>
  <c r="N920" i="50"/>
  <c r="M920" i="50"/>
  <c r="N919" i="50"/>
  <c r="M919" i="50"/>
  <c r="N918" i="50"/>
  <c r="M918" i="50"/>
  <c r="N917" i="50"/>
  <c r="M917" i="50"/>
  <c r="N916" i="50"/>
  <c r="M916" i="50"/>
  <c r="N915" i="50"/>
  <c r="M915" i="50"/>
  <c r="N914" i="50"/>
  <c r="M914" i="50"/>
  <c r="N913" i="50"/>
  <c r="M913" i="50"/>
  <c r="N912" i="50"/>
  <c r="M912" i="50"/>
  <c r="N911" i="50"/>
  <c r="M911" i="50"/>
  <c r="N910" i="50"/>
  <c r="M910" i="50"/>
  <c r="N909" i="50"/>
  <c r="M909" i="50"/>
  <c r="N908" i="50"/>
  <c r="M908" i="50"/>
  <c r="N907" i="50"/>
  <c r="M907" i="50"/>
  <c r="N906" i="50"/>
  <c r="M906" i="50"/>
  <c r="N905" i="50"/>
  <c r="M905" i="50"/>
  <c r="N904" i="50"/>
  <c r="M904" i="50"/>
  <c r="N903" i="50"/>
  <c r="M903" i="50"/>
  <c r="N902" i="50"/>
  <c r="M902" i="50"/>
  <c r="N901" i="50"/>
  <c r="M901" i="50"/>
  <c r="N900" i="50"/>
  <c r="M900" i="50"/>
  <c r="N899" i="50"/>
  <c r="M899" i="50"/>
  <c r="N898" i="50"/>
  <c r="M898" i="50"/>
  <c r="N897" i="50"/>
  <c r="M897" i="50"/>
  <c r="N896" i="50"/>
  <c r="M896" i="50"/>
  <c r="N895" i="50"/>
  <c r="M895" i="50"/>
  <c r="N894" i="50"/>
  <c r="M894" i="50"/>
  <c r="N893" i="50"/>
  <c r="M893" i="50"/>
  <c r="N892" i="50"/>
  <c r="M892" i="50"/>
  <c r="N891" i="50"/>
  <c r="M891" i="50"/>
  <c r="N890" i="50"/>
  <c r="M890" i="50"/>
  <c r="N889" i="50"/>
  <c r="M889" i="50"/>
  <c r="N888" i="50"/>
  <c r="M888" i="50"/>
  <c r="N887" i="50"/>
  <c r="M887" i="50"/>
  <c r="N886" i="50"/>
  <c r="M886" i="50"/>
  <c r="N885" i="50"/>
  <c r="M885" i="50"/>
  <c r="N884" i="50"/>
  <c r="M884" i="50"/>
  <c r="N883" i="50"/>
  <c r="M883" i="50"/>
  <c r="N882" i="50"/>
  <c r="M882" i="50"/>
  <c r="N881" i="50"/>
  <c r="M881" i="50"/>
  <c r="N880" i="50"/>
  <c r="M880" i="50"/>
  <c r="N879" i="50"/>
  <c r="M879" i="50"/>
  <c r="N878" i="50"/>
  <c r="M878" i="50"/>
  <c r="N877" i="50"/>
  <c r="M877" i="50"/>
  <c r="N876" i="50"/>
  <c r="M876" i="50"/>
  <c r="N875" i="50"/>
  <c r="M875" i="50"/>
  <c r="N874" i="50"/>
  <c r="M874" i="50"/>
  <c r="N873" i="50"/>
  <c r="M873" i="50"/>
  <c r="N872" i="50"/>
  <c r="M872" i="50"/>
  <c r="N871" i="50"/>
  <c r="M871" i="50"/>
  <c r="N870" i="50"/>
  <c r="M870" i="50"/>
  <c r="N869" i="50"/>
  <c r="M869" i="50"/>
  <c r="N868" i="50"/>
  <c r="M868" i="50"/>
  <c r="N867" i="50"/>
  <c r="M867" i="50"/>
  <c r="N866" i="50"/>
  <c r="M866" i="50"/>
  <c r="N865" i="50"/>
  <c r="M865" i="50"/>
  <c r="N864" i="50"/>
  <c r="M864" i="50"/>
  <c r="N863" i="50"/>
  <c r="M863" i="50"/>
  <c r="N862" i="50"/>
  <c r="M862" i="50"/>
  <c r="N861" i="50"/>
  <c r="M861" i="50"/>
  <c r="N860" i="50"/>
  <c r="M860" i="50"/>
  <c r="N859" i="50"/>
  <c r="M859" i="50"/>
  <c r="N858" i="50"/>
  <c r="M858" i="50"/>
  <c r="N857" i="50"/>
  <c r="M857" i="50"/>
  <c r="N856" i="50"/>
  <c r="M856" i="50"/>
  <c r="N855" i="50"/>
  <c r="M855" i="50"/>
  <c r="N854" i="50"/>
  <c r="M854" i="50"/>
  <c r="N853" i="50"/>
  <c r="M853" i="50"/>
  <c r="N852" i="50"/>
  <c r="M852" i="50"/>
  <c r="N851" i="50"/>
  <c r="M851" i="50"/>
  <c r="N850" i="50"/>
  <c r="M850" i="50"/>
  <c r="N849" i="50"/>
  <c r="M849" i="50"/>
  <c r="N848" i="50"/>
  <c r="M848" i="50"/>
  <c r="N847" i="50"/>
  <c r="M847" i="50"/>
  <c r="N846" i="50"/>
  <c r="M846" i="50"/>
  <c r="N845" i="50"/>
  <c r="M845" i="50"/>
  <c r="N844" i="50"/>
  <c r="M844" i="50"/>
  <c r="N843" i="50"/>
  <c r="M843" i="50"/>
  <c r="N842" i="50"/>
  <c r="M842" i="50"/>
  <c r="N841" i="50"/>
  <c r="M841" i="50"/>
  <c r="N840" i="50"/>
  <c r="M840" i="50"/>
  <c r="N839" i="50"/>
  <c r="M839" i="50"/>
  <c r="N838" i="50"/>
  <c r="M838" i="50"/>
  <c r="N837" i="50"/>
  <c r="M837" i="50"/>
  <c r="N836" i="50"/>
  <c r="M836" i="50"/>
  <c r="N835" i="50"/>
  <c r="M835" i="50"/>
  <c r="N834" i="50"/>
  <c r="M834" i="50"/>
  <c r="N833" i="50"/>
  <c r="M833" i="50"/>
  <c r="N832" i="50"/>
  <c r="M832" i="50"/>
  <c r="N831" i="50"/>
  <c r="M831" i="50"/>
  <c r="N830" i="50"/>
  <c r="M830" i="50"/>
  <c r="N829" i="50"/>
  <c r="M829" i="50"/>
  <c r="N828" i="50"/>
  <c r="M828" i="50"/>
  <c r="N827" i="50"/>
  <c r="M827" i="50"/>
  <c r="N826" i="50"/>
  <c r="M826" i="50"/>
  <c r="N825" i="50"/>
  <c r="M825" i="50"/>
  <c r="N824" i="50"/>
  <c r="M824" i="50"/>
  <c r="N823" i="50"/>
  <c r="M823" i="50"/>
  <c r="N822" i="50"/>
  <c r="M822" i="50"/>
  <c r="N821" i="50"/>
  <c r="M821" i="50"/>
  <c r="N820" i="50"/>
  <c r="M820" i="50"/>
  <c r="N819" i="50"/>
  <c r="M819" i="50"/>
  <c r="N818" i="50"/>
  <c r="M818" i="50"/>
  <c r="N817" i="50"/>
  <c r="M817" i="50"/>
  <c r="N816" i="50"/>
  <c r="M816" i="50"/>
  <c r="N815" i="50"/>
  <c r="M815" i="50"/>
  <c r="N814" i="50"/>
  <c r="M814" i="50"/>
  <c r="N813" i="50"/>
  <c r="M813" i="50"/>
  <c r="N812" i="50"/>
  <c r="M812" i="50"/>
  <c r="N811" i="50"/>
  <c r="M811" i="50"/>
  <c r="N810" i="50"/>
  <c r="M810" i="50"/>
  <c r="N809" i="50"/>
  <c r="M809" i="50"/>
  <c r="N808" i="50"/>
  <c r="M808" i="50"/>
  <c r="N807" i="50"/>
  <c r="M807" i="50"/>
  <c r="N806" i="50"/>
  <c r="M806" i="50"/>
  <c r="N805" i="50"/>
  <c r="M805" i="50"/>
  <c r="N804" i="50"/>
  <c r="M804" i="50"/>
  <c r="N803" i="50"/>
  <c r="M803" i="50"/>
  <c r="N802" i="50"/>
  <c r="M802" i="50"/>
  <c r="N801" i="50"/>
  <c r="M801" i="50"/>
  <c r="N800" i="50"/>
  <c r="M800" i="50"/>
  <c r="N799" i="50"/>
  <c r="M799" i="50"/>
  <c r="N798" i="50"/>
  <c r="M798" i="50"/>
  <c r="N797" i="50"/>
  <c r="M797" i="50"/>
  <c r="N796" i="50"/>
  <c r="M796" i="50"/>
  <c r="N795" i="50"/>
  <c r="M795" i="50"/>
  <c r="N794" i="50"/>
  <c r="M794" i="50"/>
  <c r="N793" i="50"/>
  <c r="M793" i="50"/>
  <c r="N792" i="50"/>
  <c r="M792" i="50"/>
  <c r="N791" i="50"/>
  <c r="M791" i="50"/>
  <c r="N790" i="50"/>
  <c r="M790" i="50"/>
  <c r="N789" i="50"/>
  <c r="M789" i="50"/>
  <c r="N788" i="50"/>
  <c r="M788" i="50"/>
  <c r="N787" i="50"/>
  <c r="M787" i="50"/>
  <c r="N786" i="50"/>
  <c r="M786" i="50"/>
  <c r="N785" i="50"/>
  <c r="M785" i="50"/>
  <c r="N784" i="50"/>
  <c r="M784" i="50"/>
  <c r="N783" i="50"/>
  <c r="M783" i="50"/>
  <c r="N782" i="50"/>
  <c r="M782" i="50"/>
  <c r="N781" i="50"/>
  <c r="M781" i="50"/>
  <c r="N780" i="50"/>
  <c r="M780" i="50"/>
  <c r="N779" i="50"/>
  <c r="M779" i="50"/>
  <c r="N778" i="50"/>
  <c r="M778" i="50"/>
  <c r="N777" i="50"/>
  <c r="M777" i="50"/>
  <c r="N776" i="50"/>
  <c r="M776" i="50"/>
  <c r="N775" i="50"/>
  <c r="M775" i="50"/>
  <c r="N774" i="50"/>
  <c r="M774" i="50"/>
  <c r="N773" i="50"/>
  <c r="M773" i="50"/>
  <c r="N772" i="50"/>
  <c r="M772" i="50"/>
  <c r="N771" i="50"/>
  <c r="M771" i="50"/>
  <c r="N770" i="50"/>
  <c r="M770" i="50"/>
  <c r="N769" i="50"/>
  <c r="M769" i="50"/>
  <c r="N768" i="50"/>
  <c r="M768" i="50"/>
  <c r="N767" i="50"/>
  <c r="M767" i="50"/>
  <c r="N766" i="50"/>
  <c r="M766" i="50"/>
  <c r="N765" i="50"/>
  <c r="M765" i="50"/>
  <c r="N764" i="50"/>
  <c r="M764" i="50"/>
  <c r="N763" i="50"/>
  <c r="M763" i="50"/>
  <c r="N762" i="50"/>
  <c r="M762" i="50"/>
  <c r="N761" i="50"/>
  <c r="M761" i="50"/>
  <c r="N760" i="50"/>
  <c r="M760" i="50"/>
  <c r="N759" i="50"/>
  <c r="M759" i="50"/>
  <c r="N758" i="50"/>
  <c r="M758" i="50"/>
  <c r="N757" i="50"/>
  <c r="M757" i="50"/>
  <c r="N756" i="50"/>
  <c r="M756" i="50"/>
  <c r="N755" i="50"/>
  <c r="M755" i="50"/>
  <c r="N754" i="50"/>
  <c r="M754" i="50"/>
  <c r="N753" i="50"/>
  <c r="M753" i="50"/>
  <c r="N752" i="50"/>
  <c r="M752" i="50"/>
  <c r="N751" i="50"/>
  <c r="M751" i="50"/>
  <c r="N750" i="50"/>
  <c r="M750" i="50"/>
  <c r="N749" i="50"/>
  <c r="M749" i="50"/>
  <c r="N748" i="50"/>
  <c r="M748" i="50"/>
  <c r="N747" i="50"/>
  <c r="M747" i="50"/>
  <c r="N746" i="50"/>
  <c r="M746" i="50"/>
  <c r="N745" i="50"/>
  <c r="M745" i="50"/>
  <c r="N744" i="50"/>
  <c r="M744" i="50"/>
  <c r="N743" i="50"/>
  <c r="M743" i="50"/>
  <c r="N742" i="50"/>
  <c r="M742" i="50"/>
  <c r="N741" i="50"/>
  <c r="M741" i="50"/>
  <c r="N740" i="50"/>
  <c r="M740" i="50"/>
  <c r="N739" i="50"/>
  <c r="M739" i="50"/>
  <c r="N738" i="50"/>
  <c r="M738" i="50"/>
  <c r="N737" i="50"/>
  <c r="M737" i="50"/>
  <c r="N736" i="50"/>
  <c r="M736" i="50"/>
  <c r="N735" i="50"/>
  <c r="M735" i="50"/>
  <c r="N734" i="50"/>
  <c r="M734" i="50"/>
  <c r="N733" i="50"/>
  <c r="M733" i="50"/>
  <c r="N732" i="50"/>
  <c r="M732" i="50"/>
  <c r="N731" i="50"/>
  <c r="M731" i="50"/>
  <c r="N730" i="50"/>
  <c r="M730" i="50"/>
  <c r="N729" i="50"/>
  <c r="M729" i="50"/>
  <c r="N728" i="50"/>
  <c r="M728" i="50"/>
  <c r="N727" i="50"/>
  <c r="M727" i="50"/>
  <c r="N726" i="50"/>
  <c r="M726" i="50"/>
  <c r="N725" i="50"/>
  <c r="M725" i="50"/>
  <c r="N724" i="50"/>
  <c r="M724" i="50"/>
  <c r="N723" i="50"/>
  <c r="M723" i="50"/>
  <c r="N722" i="50"/>
  <c r="M722" i="50"/>
  <c r="N721" i="50"/>
  <c r="M721" i="50"/>
  <c r="N720" i="50"/>
  <c r="M720" i="50"/>
  <c r="N719" i="50"/>
  <c r="M719" i="50"/>
  <c r="N718" i="50"/>
  <c r="M718" i="50"/>
  <c r="N717" i="50"/>
  <c r="M717" i="50"/>
  <c r="N716" i="50"/>
  <c r="M716" i="50"/>
  <c r="N715" i="50"/>
  <c r="M715" i="50"/>
  <c r="N714" i="50"/>
  <c r="M714" i="50"/>
  <c r="N713" i="50"/>
  <c r="M713" i="50"/>
  <c r="N712" i="50"/>
  <c r="M712" i="50"/>
  <c r="N711" i="50"/>
  <c r="M711" i="50"/>
  <c r="N710" i="50"/>
  <c r="M710" i="50"/>
  <c r="N709" i="50"/>
  <c r="M709" i="50"/>
  <c r="N708" i="50"/>
  <c r="M708" i="50"/>
  <c r="N707" i="50"/>
  <c r="M707" i="50"/>
  <c r="N706" i="50"/>
  <c r="M706" i="50"/>
  <c r="N705" i="50"/>
  <c r="M705" i="50"/>
  <c r="N704" i="50"/>
  <c r="M704" i="50"/>
  <c r="N703" i="50"/>
  <c r="M703" i="50"/>
  <c r="N702" i="50"/>
  <c r="M702" i="50"/>
  <c r="N701" i="50"/>
  <c r="M701" i="50"/>
  <c r="N700" i="50"/>
  <c r="M700" i="50"/>
  <c r="N699" i="50"/>
  <c r="M699" i="50"/>
  <c r="N698" i="50"/>
  <c r="M698" i="50"/>
  <c r="N697" i="50"/>
  <c r="M697" i="50"/>
  <c r="N696" i="50"/>
  <c r="M696" i="50"/>
  <c r="N695" i="50"/>
  <c r="M695" i="50"/>
  <c r="N694" i="50"/>
  <c r="M694" i="50"/>
  <c r="N693" i="50"/>
  <c r="M693" i="50"/>
  <c r="N692" i="50"/>
  <c r="M692" i="50"/>
  <c r="N691" i="50"/>
  <c r="M691" i="50"/>
  <c r="N690" i="50"/>
  <c r="M690" i="50"/>
  <c r="N689" i="50"/>
  <c r="M689" i="50"/>
  <c r="N688" i="50"/>
  <c r="M688" i="50"/>
  <c r="N687" i="50"/>
  <c r="M687" i="50"/>
  <c r="N686" i="50"/>
  <c r="M686" i="50"/>
  <c r="N685" i="50"/>
  <c r="M685" i="50"/>
  <c r="N684" i="50"/>
  <c r="M684" i="50"/>
  <c r="N683" i="50"/>
  <c r="M683" i="50"/>
  <c r="N682" i="50"/>
  <c r="M682" i="50"/>
  <c r="N681" i="50"/>
  <c r="M681" i="50"/>
  <c r="N680" i="50"/>
  <c r="M680" i="50"/>
  <c r="N679" i="50"/>
  <c r="M679" i="50"/>
  <c r="N678" i="50"/>
  <c r="M678" i="50"/>
  <c r="N677" i="50"/>
  <c r="M677" i="50"/>
  <c r="N676" i="50"/>
  <c r="M676" i="50"/>
  <c r="N675" i="50"/>
  <c r="M675" i="50"/>
  <c r="N674" i="50"/>
  <c r="M674" i="50"/>
  <c r="N673" i="50"/>
  <c r="M673" i="50"/>
  <c r="N672" i="50"/>
  <c r="M672" i="50"/>
  <c r="N671" i="50"/>
  <c r="M671" i="50"/>
  <c r="N670" i="50"/>
  <c r="M670" i="50"/>
  <c r="N669" i="50"/>
  <c r="M669" i="50"/>
  <c r="N668" i="50"/>
  <c r="M668" i="50"/>
  <c r="N667" i="50"/>
  <c r="M667" i="50"/>
  <c r="N666" i="50"/>
  <c r="M666" i="50"/>
  <c r="N665" i="50"/>
  <c r="M665" i="50"/>
  <c r="N664" i="50"/>
  <c r="M664" i="50"/>
  <c r="N663" i="50"/>
  <c r="M663" i="50"/>
  <c r="N662" i="50"/>
  <c r="M662" i="50"/>
  <c r="N661" i="50"/>
  <c r="M661" i="50"/>
  <c r="N660" i="50"/>
  <c r="M660" i="50"/>
  <c r="N659" i="50"/>
  <c r="M659" i="50"/>
  <c r="N658" i="50"/>
  <c r="M658" i="50"/>
  <c r="N657" i="50"/>
  <c r="M657" i="50"/>
  <c r="N656" i="50"/>
  <c r="M656" i="50"/>
  <c r="N655" i="50"/>
  <c r="M655" i="50"/>
  <c r="N654" i="50"/>
  <c r="M654" i="50"/>
  <c r="N653" i="50"/>
  <c r="M653" i="50"/>
  <c r="N652" i="50"/>
  <c r="M652" i="50"/>
  <c r="N651" i="50"/>
  <c r="M651" i="50"/>
  <c r="N650" i="50"/>
  <c r="M650" i="50"/>
  <c r="N649" i="50"/>
  <c r="M649" i="50"/>
  <c r="N648" i="50"/>
  <c r="M648" i="50"/>
  <c r="N647" i="50"/>
  <c r="M647" i="50"/>
  <c r="N646" i="50"/>
  <c r="M646" i="50"/>
  <c r="N645" i="50"/>
  <c r="M645" i="50"/>
  <c r="N644" i="50"/>
  <c r="M644" i="50"/>
  <c r="N643" i="50"/>
  <c r="M643" i="50"/>
  <c r="N642" i="50"/>
  <c r="M642" i="50"/>
  <c r="N641" i="50"/>
  <c r="M641" i="50"/>
  <c r="N640" i="50"/>
  <c r="M640" i="50"/>
  <c r="N639" i="50"/>
  <c r="M639" i="50"/>
  <c r="N638" i="50"/>
  <c r="M638" i="50"/>
  <c r="N637" i="50"/>
  <c r="M637" i="50"/>
  <c r="N636" i="50"/>
  <c r="M636" i="50"/>
  <c r="N635" i="50"/>
  <c r="M635" i="50"/>
  <c r="N634" i="50"/>
  <c r="M634" i="50"/>
  <c r="N633" i="50"/>
  <c r="M633" i="50"/>
  <c r="N632" i="50"/>
  <c r="M632" i="50"/>
  <c r="N631" i="50"/>
  <c r="M631" i="50"/>
  <c r="N630" i="50"/>
  <c r="M630" i="50"/>
  <c r="N629" i="50"/>
  <c r="M629" i="50"/>
  <c r="N628" i="50"/>
  <c r="M628" i="50"/>
  <c r="N627" i="50"/>
  <c r="M627" i="50"/>
  <c r="N626" i="50"/>
  <c r="M626" i="50"/>
  <c r="N625" i="50"/>
  <c r="M625" i="50"/>
  <c r="N624" i="50"/>
  <c r="M624" i="50"/>
  <c r="N623" i="50"/>
  <c r="M623" i="50"/>
  <c r="N622" i="50"/>
  <c r="M622" i="50"/>
  <c r="N621" i="50"/>
  <c r="M621" i="50"/>
  <c r="N620" i="50"/>
  <c r="M620" i="50"/>
  <c r="N619" i="50"/>
  <c r="M619" i="50"/>
  <c r="N618" i="50"/>
  <c r="M618" i="50"/>
  <c r="N617" i="50"/>
  <c r="M617" i="50"/>
  <c r="N616" i="50"/>
  <c r="M616" i="50"/>
  <c r="N615" i="50"/>
  <c r="M615" i="50"/>
  <c r="N614" i="50"/>
  <c r="M614" i="50"/>
  <c r="N613" i="50"/>
  <c r="M613" i="50"/>
  <c r="N612" i="50"/>
  <c r="M612" i="50"/>
  <c r="N611" i="50"/>
  <c r="M611" i="50"/>
  <c r="N610" i="50"/>
  <c r="M610" i="50"/>
  <c r="N609" i="50"/>
  <c r="M609" i="50"/>
  <c r="N608" i="50"/>
  <c r="M608" i="50"/>
  <c r="N607" i="50"/>
  <c r="M607" i="50"/>
  <c r="N606" i="50"/>
  <c r="M606" i="50"/>
  <c r="N605" i="50"/>
  <c r="M605" i="50"/>
  <c r="N604" i="50"/>
  <c r="M604" i="50"/>
  <c r="N603" i="50"/>
  <c r="M603" i="50"/>
  <c r="N602" i="50"/>
  <c r="M602" i="50"/>
  <c r="N601" i="50"/>
  <c r="M601" i="50"/>
  <c r="N600" i="50"/>
  <c r="M600" i="50"/>
  <c r="N599" i="50"/>
  <c r="M599" i="50"/>
  <c r="N598" i="50"/>
  <c r="M598" i="50"/>
  <c r="N597" i="50"/>
  <c r="M597" i="50"/>
  <c r="N596" i="50"/>
  <c r="M596" i="50"/>
  <c r="N595" i="50"/>
  <c r="M595" i="50"/>
  <c r="N594" i="50"/>
  <c r="M594" i="50"/>
  <c r="N593" i="50"/>
  <c r="M593" i="50"/>
  <c r="N592" i="50"/>
  <c r="M592" i="50"/>
  <c r="N591" i="50"/>
  <c r="M591" i="50"/>
  <c r="N590" i="50"/>
  <c r="M590" i="50"/>
  <c r="N589" i="50"/>
  <c r="M589" i="50"/>
  <c r="N588" i="50"/>
  <c r="M588" i="50"/>
  <c r="N587" i="50"/>
  <c r="M587" i="50"/>
  <c r="N586" i="50"/>
  <c r="M586" i="50"/>
  <c r="N585" i="50"/>
  <c r="M585" i="50"/>
  <c r="N584" i="50"/>
  <c r="M584" i="50"/>
  <c r="N583" i="50"/>
  <c r="M583" i="50"/>
  <c r="N582" i="50"/>
  <c r="M582" i="50"/>
  <c r="N581" i="50"/>
  <c r="M581" i="50"/>
  <c r="N580" i="50"/>
  <c r="M580" i="50"/>
  <c r="N579" i="50"/>
  <c r="M579" i="50"/>
  <c r="N578" i="50"/>
  <c r="M578" i="50"/>
  <c r="N577" i="50"/>
  <c r="M577" i="50"/>
  <c r="N576" i="50"/>
  <c r="M576" i="50"/>
  <c r="N575" i="50"/>
  <c r="M575" i="50"/>
  <c r="N574" i="50"/>
  <c r="M574" i="50"/>
  <c r="N573" i="50"/>
  <c r="M573" i="50"/>
  <c r="N572" i="50"/>
  <c r="M572" i="50"/>
  <c r="N571" i="50"/>
  <c r="M571" i="50"/>
  <c r="N570" i="50"/>
  <c r="M570" i="50"/>
  <c r="N569" i="50"/>
  <c r="M569" i="50"/>
  <c r="N568" i="50"/>
  <c r="M568" i="50"/>
  <c r="N567" i="50"/>
  <c r="M567" i="50"/>
  <c r="N566" i="50"/>
  <c r="M566" i="50"/>
  <c r="N565" i="50"/>
  <c r="M565" i="50"/>
  <c r="N564" i="50"/>
  <c r="M564" i="50"/>
  <c r="N563" i="50"/>
  <c r="M563" i="50"/>
  <c r="N562" i="50"/>
  <c r="M562" i="50"/>
  <c r="N561" i="50"/>
  <c r="M561" i="50"/>
  <c r="N560" i="50"/>
  <c r="M560" i="50"/>
  <c r="N559" i="50"/>
  <c r="M559" i="50"/>
  <c r="N558" i="50"/>
  <c r="M558" i="50"/>
  <c r="N557" i="50"/>
  <c r="M557" i="50"/>
  <c r="N556" i="50"/>
  <c r="M556" i="50"/>
  <c r="N555" i="50"/>
  <c r="M555" i="50"/>
  <c r="N554" i="50"/>
  <c r="M554" i="50"/>
  <c r="N553" i="50"/>
  <c r="M553" i="50"/>
  <c r="N552" i="50"/>
  <c r="M552" i="50"/>
  <c r="N551" i="50"/>
  <c r="M551" i="50"/>
  <c r="N550" i="50"/>
  <c r="M550" i="50"/>
  <c r="N549" i="50"/>
  <c r="M549" i="50"/>
  <c r="N548" i="50"/>
  <c r="M548" i="50"/>
  <c r="N547" i="50"/>
  <c r="M547" i="50"/>
  <c r="N546" i="50"/>
  <c r="M546" i="50"/>
  <c r="N545" i="50"/>
  <c r="M545" i="50"/>
  <c r="N544" i="50"/>
  <c r="M544" i="50"/>
  <c r="N543" i="50"/>
  <c r="M543" i="50"/>
  <c r="N542" i="50"/>
  <c r="M542" i="50"/>
  <c r="N541" i="50"/>
  <c r="M541" i="50"/>
  <c r="N540" i="50"/>
  <c r="M540" i="50"/>
  <c r="N539" i="50"/>
  <c r="M539" i="50"/>
  <c r="N538" i="50"/>
  <c r="M538" i="50"/>
  <c r="N537" i="50"/>
  <c r="M537" i="50"/>
  <c r="N536" i="50"/>
  <c r="M536" i="50"/>
  <c r="N535" i="50"/>
  <c r="M535" i="50"/>
  <c r="N534" i="50"/>
  <c r="M534" i="50"/>
  <c r="N533" i="50"/>
  <c r="M533" i="50"/>
  <c r="N532" i="50"/>
  <c r="M532" i="50"/>
  <c r="N531" i="50"/>
  <c r="M531" i="50"/>
  <c r="N530" i="50"/>
  <c r="M530" i="50"/>
  <c r="N529" i="50"/>
  <c r="M529" i="50"/>
  <c r="N528" i="50"/>
  <c r="M528" i="50"/>
  <c r="N527" i="50"/>
  <c r="M527" i="50"/>
  <c r="N526" i="50"/>
  <c r="M526" i="50"/>
  <c r="N525" i="50"/>
  <c r="M525" i="50"/>
  <c r="N524" i="50"/>
  <c r="M524" i="50"/>
  <c r="N523" i="50"/>
  <c r="M523" i="50"/>
  <c r="N522" i="50"/>
  <c r="M522" i="50"/>
  <c r="N521" i="50"/>
  <c r="M521" i="50"/>
  <c r="N520" i="50"/>
  <c r="M520" i="50"/>
  <c r="N519" i="50"/>
  <c r="M519" i="50"/>
  <c r="N518" i="50"/>
  <c r="M518" i="50"/>
  <c r="N517" i="50"/>
  <c r="M517" i="50"/>
  <c r="N516" i="50"/>
  <c r="M516" i="50"/>
  <c r="N515" i="50"/>
  <c r="M515" i="50"/>
  <c r="N514" i="50"/>
  <c r="M514" i="50"/>
  <c r="N513" i="50"/>
  <c r="M513" i="50"/>
  <c r="N512" i="50"/>
  <c r="M512" i="50"/>
  <c r="N511" i="50"/>
  <c r="M511" i="50"/>
  <c r="N510" i="50"/>
  <c r="M510" i="50"/>
  <c r="N509" i="50"/>
  <c r="M509" i="50"/>
  <c r="N508" i="50"/>
  <c r="M508" i="50"/>
  <c r="N507" i="50"/>
  <c r="M507" i="50"/>
  <c r="N506" i="50"/>
  <c r="M506" i="50"/>
  <c r="N505" i="50"/>
  <c r="M505" i="50"/>
  <c r="N504" i="50"/>
  <c r="M504" i="50"/>
  <c r="N503" i="50"/>
  <c r="M503" i="50"/>
  <c r="N502" i="50"/>
  <c r="M502" i="50"/>
  <c r="N501" i="50"/>
  <c r="M501" i="50"/>
  <c r="N500" i="50"/>
  <c r="M500" i="50"/>
  <c r="N499" i="50"/>
  <c r="M499" i="50"/>
  <c r="N498" i="50"/>
  <c r="M498" i="50"/>
  <c r="N497" i="50"/>
  <c r="M497" i="50"/>
  <c r="N496" i="50"/>
  <c r="M496" i="50"/>
  <c r="N495" i="50"/>
  <c r="M495" i="50"/>
  <c r="N494" i="50"/>
  <c r="M494" i="50"/>
  <c r="N493" i="50"/>
  <c r="M493" i="50"/>
  <c r="N492" i="50"/>
  <c r="M492" i="50"/>
  <c r="N491" i="50"/>
  <c r="M491" i="50"/>
  <c r="N490" i="50"/>
  <c r="M490" i="50"/>
  <c r="N489" i="50"/>
  <c r="M489" i="50"/>
  <c r="N488" i="50"/>
  <c r="M488" i="50"/>
  <c r="N487" i="50"/>
  <c r="M487" i="50"/>
  <c r="N486" i="50"/>
  <c r="M486" i="50"/>
  <c r="N485" i="50"/>
  <c r="M485" i="50"/>
  <c r="N484" i="50"/>
  <c r="M484" i="50"/>
  <c r="N483" i="50"/>
  <c r="M483" i="50"/>
  <c r="N482" i="50"/>
  <c r="M482" i="50"/>
  <c r="N481" i="50"/>
  <c r="M481" i="50"/>
  <c r="N480" i="50"/>
  <c r="M480" i="50"/>
  <c r="N479" i="50"/>
  <c r="M479" i="50"/>
  <c r="N478" i="50"/>
  <c r="M478" i="50"/>
  <c r="N477" i="50"/>
  <c r="M477" i="50"/>
  <c r="N476" i="50"/>
  <c r="M476" i="50"/>
  <c r="N475" i="50"/>
  <c r="M475" i="50"/>
  <c r="N474" i="50"/>
  <c r="M474" i="50"/>
  <c r="N473" i="50"/>
  <c r="M473" i="50"/>
  <c r="N472" i="50"/>
  <c r="M472" i="50"/>
  <c r="N471" i="50"/>
  <c r="M471" i="50"/>
  <c r="N470" i="50"/>
  <c r="M470" i="50"/>
  <c r="N469" i="50"/>
  <c r="M469" i="50"/>
  <c r="N468" i="50"/>
  <c r="M468" i="50"/>
  <c r="N467" i="50"/>
  <c r="M467" i="50"/>
  <c r="N466" i="50"/>
  <c r="M466" i="50"/>
  <c r="N465" i="50"/>
  <c r="M465" i="50"/>
  <c r="N464" i="50"/>
  <c r="M464" i="50"/>
  <c r="N463" i="50"/>
  <c r="M463" i="50"/>
  <c r="N462" i="50"/>
  <c r="M462" i="50"/>
  <c r="N461" i="50"/>
  <c r="M461" i="50"/>
  <c r="N460" i="50"/>
  <c r="M460" i="50"/>
  <c r="N459" i="50"/>
  <c r="M459" i="50"/>
  <c r="N458" i="50"/>
  <c r="M458" i="50"/>
  <c r="N457" i="50"/>
  <c r="M457" i="50"/>
  <c r="N456" i="50"/>
  <c r="M456" i="50"/>
  <c r="N455" i="50"/>
  <c r="M455" i="50"/>
  <c r="N454" i="50"/>
  <c r="M454" i="50"/>
  <c r="N453" i="50"/>
  <c r="M453" i="50"/>
  <c r="N452" i="50"/>
  <c r="M452" i="50"/>
  <c r="N451" i="50"/>
  <c r="M451" i="50"/>
  <c r="N450" i="50"/>
  <c r="M450" i="50"/>
  <c r="N449" i="50"/>
  <c r="M449" i="50"/>
  <c r="N448" i="50"/>
  <c r="M448" i="50"/>
  <c r="N447" i="50"/>
  <c r="M447" i="50"/>
  <c r="N446" i="50"/>
  <c r="M446" i="50"/>
  <c r="N445" i="50"/>
  <c r="M445" i="50"/>
  <c r="N444" i="50"/>
  <c r="M444" i="50"/>
  <c r="N443" i="50"/>
  <c r="M443" i="50"/>
  <c r="N442" i="50"/>
  <c r="M442" i="50"/>
  <c r="N441" i="50"/>
  <c r="M441" i="50"/>
  <c r="N440" i="50"/>
  <c r="M440" i="50"/>
  <c r="N439" i="50"/>
  <c r="M439" i="50"/>
  <c r="N438" i="50"/>
  <c r="M438" i="50"/>
  <c r="N437" i="50"/>
  <c r="M437" i="50"/>
  <c r="N436" i="50"/>
  <c r="M436" i="50"/>
  <c r="N435" i="50"/>
  <c r="M435" i="50"/>
  <c r="N434" i="50"/>
  <c r="M434" i="50"/>
  <c r="N433" i="50"/>
  <c r="M433" i="50"/>
  <c r="N432" i="50"/>
  <c r="M432" i="50"/>
  <c r="N431" i="50"/>
  <c r="M431" i="50"/>
  <c r="N430" i="50"/>
  <c r="M430" i="50"/>
  <c r="N429" i="50"/>
  <c r="M429" i="50"/>
  <c r="N428" i="50"/>
  <c r="M428" i="50"/>
  <c r="N427" i="50"/>
  <c r="M427" i="50"/>
  <c r="N426" i="50"/>
  <c r="M426" i="50"/>
  <c r="N425" i="50"/>
  <c r="M425" i="50"/>
  <c r="N424" i="50"/>
  <c r="M424" i="50"/>
  <c r="N423" i="50"/>
  <c r="M423" i="50"/>
  <c r="N422" i="50"/>
  <c r="M422" i="50"/>
  <c r="N421" i="50"/>
  <c r="M421" i="50"/>
  <c r="N420" i="50"/>
  <c r="M420" i="50"/>
  <c r="N419" i="50"/>
  <c r="M419" i="50"/>
  <c r="N418" i="50"/>
  <c r="M418" i="50"/>
  <c r="N417" i="50"/>
  <c r="M417" i="50"/>
  <c r="N416" i="50"/>
  <c r="M416" i="50"/>
  <c r="N415" i="50"/>
  <c r="M415" i="50"/>
  <c r="N414" i="50"/>
  <c r="M414" i="50"/>
  <c r="N413" i="50"/>
  <c r="M413" i="50"/>
  <c r="N412" i="50"/>
  <c r="M412" i="50"/>
  <c r="N411" i="50"/>
  <c r="M411" i="50"/>
  <c r="N410" i="50"/>
  <c r="M410" i="50"/>
  <c r="N409" i="50"/>
  <c r="M409" i="50"/>
  <c r="N408" i="50"/>
  <c r="M408" i="50"/>
  <c r="N407" i="50"/>
  <c r="M407" i="50"/>
  <c r="N406" i="50"/>
  <c r="M406" i="50"/>
  <c r="N405" i="50"/>
  <c r="M405" i="50"/>
  <c r="N404" i="50"/>
  <c r="M404" i="50"/>
  <c r="N403" i="50"/>
  <c r="M403" i="50"/>
  <c r="N402" i="50"/>
  <c r="M402" i="50"/>
  <c r="N401" i="50"/>
  <c r="M401" i="50"/>
  <c r="N400" i="50"/>
  <c r="M400" i="50"/>
  <c r="N399" i="50"/>
  <c r="M399" i="50"/>
  <c r="N398" i="50"/>
  <c r="M398" i="50"/>
  <c r="N397" i="50"/>
  <c r="M397" i="50"/>
  <c r="N396" i="50"/>
  <c r="M396" i="50"/>
  <c r="N395" i="50"/>
  <c r="M395" i="50"/>
  <c r="N394" i="50"/>
  <c r="M394" i="50"/>
  <c r="N393" i="50"/>
  <c r="M393" i="50"/>
  <c r="N392" i="50"/>
  <c r="M392" i="50"/>
  <c r="N391" i="50"/>
  <c r="M391" i="50"/>
  <c r="N390" i="50"/>
  <c r="M390" i="50"/>
  <c r="N389" i="50"/>
  <c r="M389" i="50"/>
  <c r="N388" i="50"/>
  <c r="M388" i="50"/>
  <c r="N387" i="50"/>
  <c r="M387" i="50"/>
  <c r="N386" i="50"/>
  <c r="M386" i="50"/>
  <c r="N385" i="50"/>
  <c r="M385" i="50"/>
  <c r="N384" i="50"/>
  <c r="M384" i="50"/>
  <c r="N383" i="50"/>
  <c r="M383" i="50"/>
  <c r="N382" i="50"/>
  <c r="M382" i="50"/>
  <c r="N381" i="50"/>
  <c r="M381" i="50"/>
  <c r="N380" i="50"/>
  <c r="M380" i="50"/>
  <c r="N379" i="50"/>
  <c r="M379" i="50"/>
  <c r="N378" i="50"/>
  <c r="M378" i="50"/>
  <c r="N377" i="50"/>
  <c r="M377" i="50"/>
  <c r="N376" i="50"/>
  <c r="M376" i="50"/>
  <c r="N375" i="50"/>
  <c r="M375" i="50"/>
  <c r="N374" i="50"/>
  <c r="M374" i="50"/>
  <c r="N373" i="50"/>
  <c r="M373" i="50"/>
  <c r="N372" i="50"/>
  <c r="M372" i="50"/>
  <c r="N371" i="50"/>
  <c r="M371" i="50"/>
  <c r="N370" i="50"/>
  <c r="M370" i="50"/>
  <c r="N369" i="50"/>
  <c r="M369" i="50"/>
  <c r="N368" i="50"/>
  <c r="M368" i="50"/>
  <c r="N367" i="50"/>
  <c r="M367" i="50"/>
  <c r="N366" i="50"/>
  <c r="M366" i="50"/>
  <c r="N365" i="50"/>
  <c r="M365" i="50"/>
  <c r="N364" i="50"/>
  <c r="M364" i="50"/>
  <c r="N363" i="50"/>
  <c r="M363" i="50"/>
  <c r="N362" i="50"/>
  <c r="M362" i="50"/>
  <c r="N361" i="50"/>
  <c r="M361" i="50"/>
  <c r="N360" i="50"/>
  <c r="M360" i="50"/>
  <c r="N359" i="50"/>
  <c r="M359" i="50"/>
  <c r="N358" i="50"/>
  <c r="M358" i="50"/>
  <c r="N357" i="50"/>
  <c r="M357" i="50"/>
  <c r="N356" i="50"/>
  <c r="M356" i="50"/>
  <c r="N355" i="50"/>
  <c r="M355" i="50"/>
  <c r="N354" i="50"/>
  <c r="M354" i="50"/>
  <c r="N353" i="50"/>
  <c r="M353" i="50"/>
  <c r="N352" i="50"/>
  <c r="M352" i="50"/>
  <c r="N351" i="50"/>
  <c r="M351" i="50"/>
  <c r="N350" i="50"/>
  <c r="M350" i="50"/>
  <c r="N349" i="50"/>
  <c r="M349" i="50"/>
  <c r="N348" i="50"/>
  <c r="M348" i="50"/>
  <c r="N347" i="50"/>
  <c r="M347" i="50"/>
  <c r="N346" i="50"/>
  <c r="M346" i="50"/>
  <c r="N345" i="50"/>
  <c r="M345" i="50"/>
  <c r="N344" i="50"/>
  <c r="M344" i="50"/>
  <c r="N343" i="50"/>
  <c r="M343" i="50"/>
  <c r="N342" i="50"/>
  <c r="M342" i="50"/>
  <c r="N341" i="50"/>
  <c r="M341" i="50"/>
  <c r="N340" i="50"/>
  <c r="M340" i="50"/>
  <c r="N339" i="50"/>
  <c r="M339" i="50"/>
  <c r="N338" i="50"/>
  <c r="M338" i="50"/>
  <c r="N337" i="50"/>
  <c r="M337" i="50"/>
  <c r="N336" i="50"/>
  <c r="M336" i="50"/>
  <c r="N335" i="50"/>
  <c r="M335" i="50"/>
  <c r="N334" i="50"/>
  <c r="M334" i="50"/>
  <c r="N333" i="50"/>
  <c r="M333" i="50"/>
  <c r="N332" i="50"/>
  <c r="M332" i="50"/>
  <c r="N331" i="50"/>
  <c r="M331" i="50"/>
  <c r="N330" i="50"/>
  <c r="M330" i="50"/>
  <c r="N329" i="50"/>
  <c r="M329" i="50"/>
  <c r="N328" i="50"/>
  <c r="M328" i="50"/>
  <c r="N327" i="50"/>
  <c r="M327" i="50"/>
  <c r="N326" i="50"/>
  <c r="M326" i="50"/>
  <c r="N325" i="50"/>
  <c r="M325" i="50"/>
  <c r="N324" i="50"/>
  <c r="M324" i="50"/>
  <c r="N323" i="50"/>
  <c r="M323" i="50"/>
  <c r="N322" i="50"/>
  <c r="M322" i="50"/>
  <c r="N321" i="50"/>
  <c r="M321" i="50"/>
  <c r="N320" i="50"/>
  <c r="M320" i="50"/>
  <c r="N319" i="50"/>
  <c r="M319" i="50"/>
  <c r="N318" i="50"/>
  <c r="M318" i="50"/>
  <c r="N317" i="50"/>
  <c r="M317" i="50"/>
  <c r="N316" i="50"/>
  <c r="M316" i="50"/>
  <c r="N315" i="50"/>
  <c r="M315" i="50"/>
  <c r="N314" i="50"/>
  <c r="M314" i="50"/>
  <c r="N313" i="50"/>
  <c r="M313" i="50"/>
  <c r="N312" i="50"/>
  <c r="M312" i="50"/>
  <c r="N311" i="50"/>
  <c r="M311" i="50"/>
  <c r="N310" i="50"/>
  <c r="M310" i="50"/>
  <c r="N309" i="50"/>
  <c r="M309" i="50"/>
  <c r="N308" i="50"/>
  <c r="M308" i="50"/>
  <c r="N307" i="50"/>
  <c r="M307" i="50"/>
  <c r="N306" i="50"/>
  <c r="M306" i="50"/>
  <c r="N305" i="50"/>
  <c r="M305" i="50"/>
  <c r="N304" i="50"/>
  <c r="M304" i="50"/>
  <c r="N303" i="50"/>
  <c r="M303" i="50"/>
  <c r="N302" i="50"/>
  <c r="M302" i="50"/>
  <c r="N301" i="50"/>
  <c r="M301" i="50"/>
  <c r="N300" i="50"/>
  <c r="M300" i="50"/>
  <c r="N299" i="50"/>
  <c r="M299" i="50"/>
  <c r="N298" i="50"/>
  <c r="M298" i="50"/>
  <c r="N297" i="50"/>
  <c r="M297" i="50"/>
  <c r="N296" i="50"/>
  <c r="M296" i="50"/>
  <c r="N295" i="50"/>
  <c r="M295" i="50"/>
  <c r="N294" i="50"/>
  <c r="M294" i="50"/>
  <c r="N293" i="50"/>
  <c r="M293" i="50"/>
  <c r="N292" i="50"/>
  <c r="M292" i="50"/>
  <c r="N291" i="50"/>
  <c r="M291" i="50"/>
  <c r="N290" i="50"/>
  <c r="M290" i="50"/>
  <c r="N289" i="50"/>
  <c r="M289" i="50"/>
  <c r="N288" i="50"/>
  <c r="M288" i="50"/>
  <c r="N287" i="50"/>
  <c r="M287" i="50"/>
  <c r="N286" i="50"/>
  <c r="M286" i="50"/>
  <c r="N285" i="50"/>
  <c r="M285" i="50"/>
  <c r="N284" i="50"/>
  <c r="M284" i="50"/>
  <c r="N283" i="50"/>
  <c r="M283" i="50"/>
  <c r="N282" i="50"/>
  <c r="M282" i="50"/>
  <c r="N281" i="50"/>
  <c r="M281" i="50"/>
  <c r="N280" i="50"/>
  <c r="M280" i="50"/>
  <c r="N279" i="50"/>
  <c r="M279" i="50"/>
  <c r="N278" i="50"/>
  <c r="M278" i="50"/>
  <c r="N277" i="50"/>
  <c r="M277" i="50"/>
  <c r="N276" i="50"/>
  <c r="M276" i="50"/>
  <c r="N275" i="50"/>
  <c r="M275" i="50"/>
  <c r="N274" i="50"/>
  <c r="M274" i="50"/>
  <c r="N273" i="50"/>
  <c r="M273" i="50"/>
  <c r="N272" i="50"/>
  <c r="M272" i="50"/>
  <c r="N271" i="50"/>
  <c r="M271" i="50"/>
  <c r="N270" i="50"/>
  <c r="M270" i="50"/>
  <c r="N269" i="50"/>
  <c r="M269" i="50"/>
  <c r="N268" i="50"/>
  <c r="M268" i="50"/>
  <c r="N267" i="50"/>
  <c r="M267" i="50"/>
  <c r="N266" i="50"/>
  <c r="M266" i="50"/>
  <c r="N265" i="50"/>
  <c r="M265" i="50"/>
  <c r="N264" i="50"/>
  <c r="M264" i="50"/>
  <c r="N263" i="50"/>
  <c r="M263" i="50"/>
  <c r="N262" i="50"/>
  <c r="M262" i="50"/>
  <c r="N261" i="50"/>
  <c r="M261" i="50"/>
  <c r="N260" i="50"/>
  <c r="M260" i="50"/>
  <c r="N259" i="50"/>
  <c r="M259" i="50"/>
  <c r="N258" i="50"/>
  <c r="M258" i="50"/>
  <c r="N257" i="50"/>
  <c r="M257" i="50"/>
  <c r="N256" i="50"/>
  <c r="M256" i="50"/>
  <c r="N255" i="50"/>
  <c r="M255" i="50"/>
  <c r="N254" i="50"/>
  <c r="M254" i="50"/>
  <c r="N253" i="50"/>
  <c r="M253" i="50"/>
  <c r="N252" i="50"/>
  <c r="M252" i="50"/>
  <c r="N251" i="50"/>
  <c r="M251" i="50"/>
  <c r="N250" i="50"/>
  <c r="M250" i="50"/>
  <c r="N249" i="50"/>
  <c r="M249" i="50"/>
  <c r="N248" i="50"/>
  <c r="M248" i="50"/>
  <c r="N247" i="50"/>
  <c r="M247" i="50"/>
  <c r="N246" i="50"/>
  <c r="M246" i="50"/>
  <c r="N245" i="50"/>
  <c r="M245" i="50"/>
  <c r="N244" i="50"/>
  <c r="M244" i="50"/>
  <c r="N243" i="50"/>
  <c r="M243" i="50"/>
  <c r="N242" i="50"/>
  <c r="M242" i="50"/>
  <c r="N241" i="50"/>
  <c r="M241" i="50"/>
  <c r="N240" i="50"/>
  <c r="M240" i="50"/>
  <c r="N239" i="50"/>
  <c r="M239" i="50"/>
  <c r="N238" i="50"/>
  <c r="M238" i="50"/>
  <c r="N237" i="50"/>
  <c r="M237" i="50"/>
  <c r="N236" i="50"/>
  <c r="M236" i="50"/>
  <c r="N235" i="50"/>
  <c r="M235" i="50"/>
  <c r="N234" i="50"/>
  <c r="M234" i="50"/>
  <c r="N233" i="50"/>
  <c r="M233" i="50"/>
  <c r="N232" i="50"/>
  <c r="M232" i="50"/>
  <c r="N231" i="50"/>
  <c r="M231" i="50"/>
  <c r="N230" i="50"/>
  <c r="M230" i="50"/>
  <c r="N229" i="50"/>
  <c r="M229" i="50"/>
  <c r="N228" i="50"/>
  <c r="M228" i="50"/>
  <c r="N227" i="50"/>
  <c r="M227" i="50"/>
  <c r="N226" i="50"/>
  <c r="M226" i="50"/>
  <c r="N225" i="50"/>
  <c r="M225" i="50"/>
  <c r="N224" i="50"/>
  <c r="M224" i="50"/>
  <c r="N223" i="50"/>
  <c r="M223" i="50"/>
  <c r="N222" i="50"/>
  <c r="M222" i="50"/>
  <c r="N221" i="50"/>
  <c r="M221" i="50"/>
  <c r="N220" i="50"/>
  <c r="M220" i="50"/>
  <c r="N219" i="50"/>
  <c r="M219" i="50"/>
  <c r="N218" i="50"/>
  <c r="M218" i="50"/>
  <c r="N217" i="50"/>
  <c r="M217" i="50"/>
  <c r="N216" i="50"/>
  <c r="M216" i="50"/>
  <c r="N215" i="50"/>
  <c r="M215" i="50"/>
  <c r="N214" i="50"/>
  <c r="M214" i="50"/>
  <c r="N213" i="50"/>
  <c r="M213" i="50"/>
  <c r="N212" i="50"/>
  <c r="M212" i="50"/>
  <c r="N211" i="50"/>
  <c r="M211" i="50"/>
  <c r="N210" i="50"/>
  <c r="M210" i="50"/>
  <c r="N209" i="50"/>
  <c r="M209" i="50"/>
  <c r="N208" i="50"/>
  <c r="M208" i="50"/>
  <c r="N207" i="50"/>
  <c r="M207" i="50"/>
  <c r="N206" i="50"/>
  <c r="M206" i="50"/>
  <c r="N205" i="50"/>
  <c r="M205" i="50"/>
  <c r="N204" i="50"/>
  <c r="M204" i="50"/>
  <c r="N203" i="50"/>
  <c r="M203" i="50"/>
  <c r="N202" i="50"/>
  <c r="M202" i="50"/>
  <c r="N201" i="50"/>
  <c r="M201" i="50"/>
  <c r="N200" i="50"/>
  <c r="M200" i="50"/>
  <c r="N199" i="50"/>
  <c r="M199" i="50"/>
  <c r="N198" i="50"/>
  <c r="M198" i="50"/>
  <c r="N197" i="50"/>
  <c r="M197" i="50"/>
  <c r="N196" i="50"/>
  <c r="M196" i="50"/>
  <c r="N195" i="50"/>
  <c r="M195" i="50"/>
  <c r="N194" i="50"/>
  <c r="M194" i="50"/>
  <c r="N193" i="50"/>
  <c r="M193" i="50"/>
  <c r="N192" i="50"/>
  <c r="M192" i="50"/>
  <c r="N191" i="50"/>
  <c r="M191" i="50"/>
  <c r="N190" i="50"/>
  <c r="M190" i="50"/>
  <c r="N189" i="50"/>
  <c r="M189" i="50"/>
  <c r="N188" i="50"/>
  <c r="M188" i="50"/>
  <c r="N187" i="50"/>
  <c r="M187" i="50"/>
  <c r="N186" i="50"/>
  <c r="M186" i="50"/>
  <c r="N185" i="50"/>
  <c r="M185" i="50"/>
  <c r="N184" i="50"/>
  <c r="M184" i="50"/>
  <c r="N183" i="50"/>
  <c r="M183" i="50"/>
  <c r="N182" i="50"/>
  <c r="M182" i="50"/>
  <c r="N181" i="50"/>
  <c r="M181" i="50"/>
  <c r="N180" i="50"/>
  <c r="M180" i="50"/>
  <c r="N179" i="50"/>
  <c r="M179" i="50"/>
  <c r="N178" i="50"/>
  <c r="M178" i="50"/>
  <c r="N177" i="50"/>
  <c r="M177" i="50"/>
  <c r="N176" i="50"/>
  <c r="M176" i="50"/>
  <c r="N175" i="50"/>
  <c r="M175" i="50"/>
  <c r="N174" i="50"/>
  <c r="M174" i="50"/>
  <c r="N173" i="50"/>
  <c r="M173" i="50"/>
  <c r="N172" i="50"/>
  <c r="M172" i="50"/>
  <c r="N171" i="50"/>
  <c r="M171" i="50"/>
  <c r="N170" i="50"/>
  <c r="M170" i="50"/>
  <c r="N169" i="50"/>
  <c r="M169" i="50"/>
  <c r="N168" i="50"/>
  <c r="M168" i="50"/>
  <c r="N167" i="50"/>
  <c r="M167" i="50"/>
  <c r="N166" i="50"/>
  <c r="M166" i="50"/>
  <c r="N165" i="50"/>
  <c r="M165" i="50"/>
  <c r="N164" i="50"/>
  <c r="M164" i="50"/>
  <c r="N163" i="50"/>
  <c r="M163" i="50"/>
  <c r="N162" i="50"/>
  <c r="M162" i="50"/>
  <c r="N161" i="50"/>
  <c r="M161" i="50"/>
  <c r="N160" i="50"/>
  <c r="M160" i="50"/>
  <c r="N159" i="50"/>
  <c r="M159" i="50"/>
  <c r="N158" i="50"/>
  <c r="M158" i="50"/>
  <c r="N157" i="50"/>
  <c r="M157" i="50"/>
  <c r="N156" i="50"/>
  <c r="M156" i="50"/>
  <c r="N155" i="50"/>
  <c r="M155" i="50"/>
  <c r="N154" i="50"/>
  <c r="M154" i="50"/>
  <c r="N153" i="50"/>
  <c r="M153" i="50"/>
  <c r="N152" i="50"/>
  <c r="M152" i="50"/>
  <c r="N151" i="50"/>
  <c r="M151" i="50"/>
  <c r="N150" i="50"/>
  <c r="M150" i="50"/>
  <c r="N149" i="50"/>
  <c r="M149" i="50"/>
  <c r="N148" i="50"/>
  <c r="M148" i="50"/>
  <c r="N147" i="50"/>
  <c r="M147" i="50"/>
  <c r="N146" i="50"/>
  <c r="M146" i="50"/>
  <c r="N145" i="50"/>
  <c r="M145" i="50"/>
  <c r="N144" i="50"/>
  <c r="M144" i="50"/>
  <c r="N143" i="50"/>
  <c r="M143" i="50"/>
  <c r="N142" i="50"/>
  <c r="M142" i="50"/>
  <c r="N141" i="50"/>
  <c r="M141" i="50"/>
  <c r="N140" i="50"/>
  <c r="M140" i="50"/>
  <c r="N139" i="50"/>
  <c r="M139" i="50"/>
  <c r="N138" i="50"/>
  <c r="M138" i="50"/>
  <c r="N137" i="50"/>
  <c r="M137" i="50"/>
  <c r="N136" i="50"/>
  <c r="M136" i="50"/>
  <c r="N135" i="50"/>
  <c r="M135" i="50"/>
  <c r="N134" i="50"/>
  <c r="M134" i="50"/>
  <c r="N133" i="50"/>
  <c r="M133" i="50"/>
  <c r="N132" i="50"/>
  <c r="M132" i="50"/>
  <c r="N131" i="50"/>
  <c r="M131" i="50"/>
  <c r="N130" i="50"/>
  <c r="M130" i="50"/>
  <c r="N129" i="50"/>
  <c r="M129" i="50"/>
  <c r="N128" i="50"/>
  <c r="M128" i="50"/>
  <c r="N127" i="50"/>
  <c r="M127" i="50"/>
  <c r="N126" i="50"/>
  <c r="M126" i="50"/>
  <c r="N125" i="50"/>
  <c r="M125" i="50"/>
  <c r="N124" i="50"/>
  <c r="M124" i="50"/>
  <c r="N123" i="50"/>
  <c r="M123" i="50"/>
  <c r="N122" i="50"/>
  <c r="M122" i="50"/>
  <c r="N121" i="50"/>
  <c r="M121" i="50"/>
  <c r="N120" i="50"/>
  <c r="M120" i="50"/>
  <c r="N119" i="50"/>
  <c r="M119" i="50"/>
  <c r="N118" i="50"/>
  <c r="M118" i="50"/>
  <c r="N117" i="50"/>
  <c r="M117" i="50"/>
  <c r="N116" i="50"/>
  <c r="M116" i="50"/>
  <c r="N115" i="50"/>
  <c r="M115" i="50"/>
  <c r="N114" i="50"/>
  <c r="M114" i="50"/>
  <c r="N113" i="50"/>
  <c r="M113" i="50"/>
  <c r="N112" i="50"/>
  <c r="M112" i="50"/>
  <c r="N111" i="50"/>
  <c r="M111" i="50"/>
  <c r="N110" i="50"/>
  <c r="M110" i="50"/>
  <c r="N109" i="50"/>
  <c r="M109" i="50"/>
  <c r="N108" i="50"/>
  <c r="M108" i="50"/>
  <c r="N107" i="50"/>
  <c r="M107" i="50"/>
  <c r="N106" i="50"/>
  <c r="M106" i="50"/>
  <c r="N105" i="50"/>
  <c r="M105" i="50"/>
  <c r="N104" i="50"/>
  <c r="M104" i="50"/>
  <c r="N103" i="50"/>
  <c r="M103" i="50"/>
  <c r="N102" i="50"/>
  <c r="M102" i="50"/>
  <c r="N101" i="50"/>
  <c r="M101" i="50"/>
  <c r="N100" i="50"/>
  <c r="M100" i="50"/>
  <c r="N99" i="50"/>
  <c r="M99" i="50"/>
  <c r="N98" i="50"/>
  <c r="M98" i="50"/>
  <c r="N97" i="50"/>
  <c r="M97" i="50"/>
  <c r="N96" i="50"/>
  <c r="M96" i="50"/>
  <c r="N95" i="50"/>
  <c r="M95" i="50"/>
  <c r="N94" i="50"/>
  <c r="M94" i="50"/>
  <c r="N93" i="50"/>
  <c r="M93" i="50"/>
  <c r="N92" i="50"/>
  <c r="M92" i="50"/>
  <c r="N91" i="50"/>
  <c r="M91" i="50"/>
  <c r="N90" i="50"/>
  <c r="M90" i="50"/>
  <c r="N89" i="50"/>
  <c r="M89" i="50"/>
  <c r="N88" i="50"/>
  <c r="M88" i="50"/>
  <c r="N87" i="50"/>
  <c r="M87" i="50"/>
  <c r="N86" i="50"/>
  <c r="M86" i="50"/>
  <c r="N85" i="50"/>
  <c r="M85" i="50"/>
  <c r="N84" i="50"/>
  <c r="M84" i="50"/>
  <c r="N83" i="50"/>
  <c r="M83" i="50"/>
  <c r="N82" i="50"/>
  <c r="M82" i="50"/>
  <c r="N81" i="50"/>
  <c r="M81" i="50"/>
  <c r="N80" i="50"/>
  <c r="M80" i="50"/>
  <c r="N79" i="50"/>
  <c r="M79" i="50"/>
  <c r="N78" i="50"/>
  <c r="M78" i="50"/>
  <c r="N77" i="50"/>
  <c r="M77" i="50"/>
  <c r="N76" i="50"/>
  <c r="M76" i="50"/>
  <c r="N75" i="50"/>
  <c r="M75" i="50"/>
  <c r="N74" i="50"/>
  <c r="M74" i="50"/>
  <c r="N73" i="50"/>
  <c r="M73" i="50"/>
  <c r="N72" i="50"/>
  <c r="M72" i="50"/>
  <c r="N71" i="50"/>
  <c r="M71" i="50"/>
  <c r="N70" i="50"/>
  <c r="M70" i="50"/>
  <c r="N69" i="50"/>
  <c r="M69" i="50"/>
  <c r="N68" i="50"/>
  <c r="M68" i="50"/>
  <c r="N67" i="50"/>
  <c r="M67" i="50"/>
  <c r="N66" i="50"/>
  <c r="M66" i="50"/>
  <c r="N65" i="50"/>
  <c r="M65" i="50"/>
  <c r="N64" i="50"/>
  <c r="M64" i="50"/>
  <c r="N63" i="50"/>
  <c r="M63" i="50"/>
  <c r="N62" i="50"/>
  <c r="M62" i="50"/>
  <c r="N61" i="50"/>
  <c r="M61" i="50"/>
  <c r="N60" i="50"/>
  <c r="M60" i="50"/>
  <c r="N59" i="50"/>
  <c r="M59" i="50"/>
  <c r="N58" i="50"/>
  <c r="M58" i="50"/>
  <c r="N57" i="50"/>
  <c r="M57" i="50"/>
  <c r="N56" i="50"/>
  <c r="M56" i="50"/>
  <c r="N55" i="50"/>
  <c r="M55" i="50"/>
  <c r="N54" i="50"/>
  <c r="M54" i="50"/>
  <c r="N53" i="50"/>
  <c r="M53" i="50"/>
  <c r="N52" i="50"/>
  <c r="M52" i="50"/>
  <c r="N51" i="50"/>
  <c r="M51" i="50"/>
  <c r="B51" i="50"/>
  <c r="D51" i="50" s="1"/>
  <c r="N50" i="50"/>
  <c r="M50" i="50"/>
  <c r="B50" i="50"/>
  <c r="B74" i="50" s="1"/>
  <c r="B98" i="50" s="1"/>
  <c r="D98" i="50" s="1"/>
  <c r="N49" i="50"/>
  <c r="M49" i="50"/>
  <c r="B49" i="50"/>
  <c r="B73" i="50" s="1"/>
  <c r="B97" i="50" s="1"/>
  <c r="D97" i="50" s="1"/>
  <c r="N48" i="50"/>
  <c r="M48" i="50"/>
  <c r="B48" i="50"/>
  <c r="B72" i="50" s="1"/>
  <c r="D72" i="50" s="1"/>
  <c r="N47" i="50"/>
  <c r="M47" i="50"/>
  <c r="B47" i="50"/>
  <c r="B71" i="50" s="1"/>
  <c r="D71" i="50" s="1"/>
  <c r="N46" i="50"/>
  <c r="M46" i="50"/>
  <c r="B46" i="50"/>
  <c r="E46" i="50" s="1"/>
  <c r="N45" i="50"/>
  <c r="M45" i="50"/>
  <c r="B45" i="50"/>
  <c r="E45" i="50" s="1"/>
  <c r="N44" i="50"/>
  <c r="M44" i="50"/>
  <c r="B44" i="50"/>
  <c r="E44" i="50" s="1"/>
  <c r="N43" i="50"/>
  <c r="M43" i="50"/>
  <c r="B43" i="50"/>
  <c r="D43" i="50" s="1"/>
  <c r="N42" i="50"/>
  <c r="M42" i="50"/>
  <c r="B42" i="50"/>
  <c r="E42" i="50" s="1"/>
  <c r="N41" i="50"/>
  <c r="M41" i="50"/>
  <c r="B41" i="50"/>
  <c r="E41" i="50" s="1"/>
  <c r="N40" i="50"/>
  <c r="M40" i="50"/>
  <c r="B40" i="50"/>
  <c r="E40" i="50" s="1"/>
  <c r="N39" i="50"/>
  <c r="M39" i="50"/>
  <c r="B39" i="50"/>
  <c r="B63" i="50" s="1"/>
  <c r="D63" i="50" s="1"/>
  <c r="N38" i="50"/>
  <c r="M38" i="50"/>
  <c r="B38" i="50"/>
  <c r="E38" i="50" s="1"/>
  <c r="N37" i="50"/>
  <c r="M37" i="50"/>
  <c r="B37" i="50"/>
  <c r="B61" i="50" s="1"/>
  <c r="D61" i="50" s="1"/>
  <c r="N36" i="50"/>
  <c r="M36" i="50"/>
  <c r="B36" i="50"/>
  <c r="D36" i="50" s="1"/>
  <c r="N35" i="50"/>
  <c r="M35" i="50"/>
  <c r="B35" i="50"/>
  <c r="B59" i="50" s="1"/>
  <c r="D59" i="50" s="1"/>
  <c r="N34" i="50"/>
  <c r="M34" i="50"/>
  <c r="B34" i="50"/>
  <c r="B58" i="50" s="1"/>
  <c r="B82" i="50" s="1"/>
  <c r="D82" i="50" s="1"/>
  <c r="N33" i="50"/>
  <c r="M33" i="50"/>
  <c r="B33" i="50"/>
  <c r="B57" i="50" s="1"/>
  <c r="B81" i="50" s="1"/>
  <c r="D81" i="50" s="1"/>
  <c r="N32" i="50"/>
  <c r="M32" i="50"/>
  <c r="B32" i="50"/>
  <c r="B56" i="50" s="1"/>
  <c r="N31" i="50"/>
  <c r="M31" i="50"/>
  <c r="B31" i="50"/>
  <c r="D31" i="50" s="1"/>
  <c r="N30" i="50"/>
  <c r="M30" i="50"/>
  <c r="B30" i="50"/>
  <c r="B54" i="50" s="1"/>
  <c r="D54" i="50" s="1"/>
  <c r="N29" i="50"/>
  <c r="M29" i="50"/>
  <c r="B29" i="50"/>
  <c r="E29" i="50" s="1"/>
  <c r="N28" i="50"/>
  <c r="M28" i="50"/>
  <c r="B28" i="50"/>
  <c r="B52" i="50" s="1"/>
  <c r="D52" i="50" s="1"/>
  <c r="N27" i="50"/>
  <c r="M27" i="50"/>
  <c r="E27" i="50"/>
  <c r="V27" i="50" s="1"/>
  <c r="N26" i="50"/>
  <c r="M26" i="50"/>
  <c r="E26" i="50"/>
  <c r="N25" i="50"/>
  <c r="M25" i="50"/>
  <c r="E25" i="50"/>
  <c r="U25" i="50" s="1"/>
  <c r="N24" i="50"/>
  <c r="M24" i="50"/>
  <c r="E24" i="50"/>
  <c r="V24" i="50" s="1"/>
  <c r="N23" i="50"/>
  <c r="M23" i="50"/>
  <c r="E23" i="50"/>
  <c r="N22" i="50"/>
  <c r="M22" i="50"/>
  <c r="E22" i="50"/>
  <c r="V22" i="50" s="1"/>
  <c r="N21" i="50"/>
  <c r="M21" i="50"/>
  <c r="E21" i="50"/>
  <c r="U21" i="50" s="1"/>
  <c r="N20" i="50"/>
  <c r="M20" i="50"/>
  <c r="E20" i="50"/>
  <c r="G20" i="50" s="1"/>
  <c r="N19" i="50"/>
  <c r="M19" i="50"/>
  <c r="E19" i="50"/>
  <c r="N18" i="50"/>
  <c r="M18" i="50"/>
  <c r="E18" i="50"/>
  <c r="G18" i="50" s="1"/>
  <c r="N17" i="50"/>
  <c r="M17" i="50"/>
  <c r="E17" i="50"/>
  <c r="G17" i="50" s="1"/>
  <c r="N16" i="50"/>
  <c r="M16" i="50"/>
  <c r="E16" i="50"/>
  <c r="N15" i="50"/>
  <c r="M15" i="50"/>
  <c r="E15" i="50"/>
  <c r="N14" i="50"/>
  <c r="M14" i="50"/>
  <c r="E14" i="50"/>
  <c r="N13" i="50"/>
  <c r="M13" i="50"/>
  <c r="E13" i="50"/>
  <c r="N12" i="50"/>
  <c r="M12" i="50"/>
  <c r="E12" i="50"/>
  <c r="N11" i="50"/>
  <c r="M11" i="50"/>
  <c r="E11" i="50"/>
  <c r="V11" i="50" s="1"/>
  <c r="N10" i="50"/>
  <c r="M10" i="50"/>
  <c r="E10" i="50"/>
  <c r="N9" i="50"/>
  <c r="M9" i="50"/>
  <c r="E9" i="50"/>
  <c r="G9" i="50" s="1"/>
  <c r="N8" i="50"/>
  <c r="M8" i="50"/>
  <c r="E8" i="50"/>
  <c r="V8" i="50" s="1"/>
  <c r="N7" i="50"/>
  <c r="M7" i="50"/>
  <c r="E7" i="50"/>
  <c r="V7" i="50" s="1"/>
  <c r="N6" i="50"/>
  <c r="M6" i="50"/>
  <c r="E6" i="50"/>
  <c r="V6" i="50" s="1"/>
  <c r="N5" i="50"/>
  <c r="M5" i="50"/>
  <c r="E5" i="50"/>
  <c r="V5" i="50" s="1"/>
  <c r="E4" i="50"/>
  <c r="G4" i="50" s="1"/>
  <c r="V16" i="50" l="1"/>
  <c r="V15" i="50"/>
  <c r="U12" i="50"/>
  <c r="V13" i="50"/>
  <c r="E51" i="50"/>
  <c r="F51" i="50" s="1"/>
  <c r="E31" i="50"/>
  <c r="U31" i="50" s="1"/>
  <c r="E32" i="50"/>
  <c r="V23" i="50"/>
  <c r="E33" i="50"/>
  <c r="F6" i="50"/>
  <c r="V21" i="50"/>
  <c r="U9" i="50"/>
  <c r="V10" i="50"/>
  <c r="G25" i="50"/>
  <c r="B66" i="50"/>
  <c r="B90" i="50" s="1"/>
  <c r="D90" i="50" s="1"/>
  <c r="D32" i="50"/>
  <c r="U16" i="50"/>
  <c r="D41" i="50"/>
  <c r="F41" i="50" s="1"/>
  <c r="D57" i="50"/>
  <c r="E37" i="50"/>
  <c r="E56" i="50"/>
  <c r="D56" i="50"/>
  <c r="G6" i="50"/>
  <c r="G11" i="50"/>
  <c r="F22" i="50"/>
  <c r="V26" i="50"/>
  <c r="D38" i="50"/>
  <c r="D48" i="50"/>
  <c r="D73" i="50"/>
  <c r="E43" i="50"/>
  <c r="G43" i="50" s="1"/>
  <c r="E48" i="50"/>
  <c r="B60" i="50"/>
  <c r="U6" i="50"/>
  <c r="U11" i="50"/>
  <c r="V17" i="50"/>
  <c r="G22" i="50"/>
  <c r="G27" i="50"/>
  <c r="D42" i="50"/>
  <c r="V42" i="50" s="1"/>
  <c r="G16" i="50"/>
  <c r="B75" i="50"/>
  <c r="D75" i="50" s="1"/>
  <c r="F17" i="50"/>
  <c r="U22" i="50"/>
  <c r="U27" i="50"/>
  <c r="D33" i="50"/>
  <c r="D58" i="50"/>
  <c r="G7" i="50"/>
  <c r="G12" i="50"/>
  <c r="D49" i="50"/>
  <c r="D74" i="50"/>
  <c r="F7" i="50"/>
  <c r="V18" i="50"/>
  <c r="G23" i="50"/>
  <c r="D28" i="50"/>
  <c r="E49" i="50"/>
  <c r="B55" i="50"/>
  <c r="E55" i="50" s="1"/>
  <c r="U7" i="50"/>
  <c r="F18" i="50"/>
  <c r="F23" i="50"/>
  <c r="D34" i="50"/>
  <c r="D39" i="50"/>
  <c r="D44" i="50"/>
  <c r="G44" i="50" s="1"/>
  <c r="F13" i="50"/>
  <c r="U23" i="50"/>
  <c r="D29" i="50"/>
  <c r="V29" i="50" s="1"/>
  <c r="D50" i="50"/>
  <c r="V4" i="50"/>
  <c r="G13" i="50"/>
  <c r="V19" i="50"/>
  <c r="D45" i="50"/>
  <c r="V45" i="50" s="1"/>
  <c r="E36" i="50"/>
  <c r="F8" i="50"/>
  <c r="U13" i="50"/>
  <c r="V20" i="50"/>
  <c r="D35" i="50"/>
  <c r="G8" i="50"/>
  <c r="F24" i="50"/>
  <c r="D40" i="50"/>
  <c r="G40" i="50" s="1"/>
  <c r="F5" i="50"/>
  <c r="U8" i="50"/>
  <c r="V14" i="50"/>
  <c r="G24" i="50"/>
  <c r="G5" i="50"/>
  <c r="U15" i="50"/>
  <c r="F21" i="50"/>
  <c r="U24" i="50"/>
  <c r="D30" i="50"/>
  <c r="D37" i="50"/>
  <c r="U5" i="50"/>
  <c r="F9" i="50"/>
  <c r="F15" i="50"/>
  <c r="G21" i="50"/>
  <c r="D46" i="50"/>
  <c r="F25" i="50"/>
  <c r="D47" i="50"/>
  <c r="V12" i="50"/>
  <c r="F19" i="50"/>
  <c r="V9" i="50"/>
  <c r="F16" i="50"/>
  <c r="G19" i="50"/>
  <c r="V25" i="50"/>
  <c r="G51" i="50"/>
  <c r="U19" i="50"/>
  <c r="F10" i="50"/>
  <c r="F26" i="50"/>
  <c r="F42" i="50"/>
  <c r="G10" i="50"/>
  <c r="G26" i="50"/>
  <c r="G42" i="50"/>
  <c r="F4" i="50"/>
  <c r="U10" i="50"/>
  <c r="F20" i="50"/>
  <c r="U26" i="50"/>
  <c r="U4" i="50"/>
  <c r="F14" i="50"/>
  <c r="U20" i="50"/>
  <c r="F11" i="50"/>
  <c r="G14" i="50"/>
  <c r="U17" i="50"/>
  <c r="F27" i="50"/>
  <c r="U14" i="50"/>
  <c r="F12" i="50"/>
  <c r="G15" i="50"/>
  <c r="U18" i="50"/>
  <c r="B83" i="50"/>
  <c r="D83" i="50" s="1"/>
  <c r="E59" i="50"/>
  <c r="B95" i="50"/>
  <c r="D95" i="50" s="1"/>
  <c r="E71" i="50"/>
  <c r="B87" i="50"/>
  <c r="D87" i="50" s="1"/>
  <c r="E63" i="50"/>
  <c r="E52" i="50"/>
  <c r="B76" i="50"/>
  <c r="D76" i="50" s="1"/>
  <c r="E72" i="50"/>
  <c r="B96" i="50"/>
  <c r="D96" i="50" s="1"/>
  <c r="B78" i="50"/>
  <c r="D78" i="50" s="1"/>
  <c r="E54" i="50"/>
  <c r="B85" i="50"/>
  <c r="D85" i="50" s="1"/>
  <c r="E61" i="50"/>
  <c r="B106" i="50"/>
  <c r="D106" i="50" s="1"/>
  <c r="E82" i="50"/>
  <c r="B105" i="50"/>
  <c r="D105" i="50" s="1"/>
  <c r="E47" i="50"/>
  <c r="B121" i="50"/>
  <c r="D121" i="50" s="1"/>
  <c r="E58" i="50"/>
  <c r="B62" i="50"/>
  <c r="D62" i="50" s="1"/>
  <c r="B64" i="50"/>
  <c r="D64" i="50" s="1"/>
  <c r="B68" i="50"/>
  <c r="D68" i="50" s="1"/>
  <c r="B70" i="50"/>
  <c r="D70" i="50" s="1"/>
  <c r="E74" i="50"/>
  <c r="E81" i="50"/>
  <c r="E35" i="50"/>
  <c r="B53" i="50"/>
  <c r="D53" i="50" s="1"/>
  <c r="E28" i="50"/>
  <c r="E30" i="50"/>
  <c r="B67" i="50"/>
  <c r="D67" i="50" s="1"/>
  <c r="E75" i="50"/>
  <c r="E39" i="50"/>
  <c r="E57" i="50"/>
  <c r="B65" i="50"/>
  <c r="D65" i="50" s="1"/>
  <c r="B122" i="50"/>
  <c r="D122" i="50" s="1"/>
  <c r="E98" i="50"/>
  <c r="B69" i="50"/>
  <c r="D69" i="50" s="1"/>
  <c r="E97" i="50"/>
  <c r="E73" i="50"/>
  <c r="E34" i="50"/>
  <c r="E50" i="50"/>
  <c r="B80" i="50"/>
  <c r="D80" i="50" s="1"/>
  <c r="B114" i="50" l="1"/>
  <c r="D114" i="50" s="1"/>
  <c r="E90" i="50"/>
  <c r="E66" i="50"/>
  <c r="D66" i="50"/>
  <c r="G66" i="50" s="1"/>
  <c r="U42" i="50"/>
  <c r="U40" i="50"/>
  <c r="U29" i="50"/>
  <c r="U33" i="50"/>
  <c r="V32" i="50"/>
  <c r="F40" i="50"/>
  <c r="U32" i="50"/>
  <c r="F32" i="50"/>
  <c r="U49" i="50"/>
  <c r="V51" i="50"/>
  <c r="U51" i="50"/>
  <c r="V33" i="50"/>
  <c r="F37" i="50"/>
  <c r="B99" i="50"/>
  <c r="D99" i="50" s="1"/>
  <c r="G29" i="50"/>
  <c r="V44" i="50"/>
  <c r="G32" i="50"/>
  <c r="G31" i="50"/>
  <c r="F43" i="50"/>
  <c r="U45" i="50"/>
  <c r="G41" i="50"/>
  <c r="F29" i="50"/>
  <c r="F31" i="50"/>
  <c r="G33" i="50"/>
  <c r="G45" i="50"/>
  <c r="V31" i="50"/>
  <c r="V41" i="50"/>
  <c r="F44" i="50"/>
  <c r="U41" i="50"/>
  <c r="V40" i="50"/>
  <c r="F33" i="50"/>
  <c r="V75" i="50"/>
  <c r="U75" i="50"/>
  <c r="F75" i="50"/>
  <c r="U58" i="50"/>
  <c r="G58" i="50"/>
  <c r="F58" i="50"/>
  <c r="G30" i="50"/>
  <c r="F30" i="50"/>
  <c r="U30" i="50"/>
  <c r="V47" i="50"/>
  <c r="F47" i="50"/>
  <c r="G47" i="50"/>
  <c r="V59" i="50"/>
  <c r="U59" i="50"/>
  <c r="F59" i="50"/>
  <c r="G59" i="50"/>
  <c r="V38" i="50"/>
  <c r="U38" i="50"/>
  <c r="G38" i="50"/>
  <c r="F38" i="50"/>
  <c r="G50" i="50"/>
  <c r="F50" i="50"/>
  <c r="U50" i="50"/>
  <c r="U28" i="50"/>
  <c r="V28" i="50"/>
  <c r="F28" i="50"/>
  <c r="V71" i="50"/>
  <c r="U71" i="50"/>
  <c r="F71" i="50"/>
  <c r="G71" i="50"/>
  <c r="G82" i="50"/>
  <c r="F82" i="50"/>
  <c r="V82" i="50"/>
  <c r="U82" i="50"/>
  <c r="V39" i="50"/>
  <c r="U39" i="50"/>
  <c r="F39" i="50"/>
  <c r="G34" i="50"/>
  <c r="F34" i="50"/>
  <c r="U34" i="50"/>
  <c r="G35" i="50"/>
  <c r="F35" i="50"/>
  <c r="U35" i="50"/>
  <c r="V61" i="50"/>
  <c r="U61" i="50"/>
  <c r="G61" i="50"/>
  <c r="F61" i="50"/>
  <c r="U73" i="50"/>
  <c r="G73" i="50"/>
  <c r="V73" i="50"/>
  <c r="G90" i="50"/>
  <c r="F90" i="50"/>
  <c r="U90" i="50"/>
  <c r="V90" i="50"/>
  <c r="V54" i="50"/>
  <c r="U54" i="50"/>
  <c r="G54" i="50"/>
  <c r="F54" i="50"/>
  <c r="G81" i="50"/>
  <c r="F81" i="50"/>
  <c r="V81" i="50"/>
  <c r="U81" i="50"/>
  <c r="G98" i="50"/>
  <c r="F98" i="50"/>
  <c r="V98" i="50"/>
  <c r="U98" i="50"/>
  <c r="F74" i="50"/>
  <c r="U74" i="50"/>
  <c r="G74" i="50"/>
  <c r="G72" i="50"/>
  <c r="F72" i="50"/>
  <c r="V72" i="50"/>
  <c r="U72" i="50"/>
  <c r="F63" i="50"/>
  <c r="V63" i="50"/>
  <c r="G63" i="50"/>
  <c r="U63" i="50"/>
  <c r="U48" i="50"/>
  <c r="F48" i="50"/>
  <c r="F66" i="50"/>
  <c r="G97" i="50"/>
  <c r="F97" i="50"/>
  <c r="V97" i="50"/>
  <c r="U97" i="50"/>
  <c r="U57" i="50"/>
  <c r="G57" i="50"/>
  <c r="V57" i="50"/>
  <c r="F57" i="50"/>
  <c r="G52" i="50"/>
  <c r="F52" i="50"/>
  <c r="U52" i="50"/>
  <c r="V52" i="50"/>
  <c r="G36" i="50"/>
  <c r="V36" i="50"/>
  <c r="F36" i="50"/>
  <c r="U36" i="50"/>
  <c r="V46" i="50"/>
  <c r="F46" i="50"/>
  <c r="G46" i="50"/>
  <c r="U46" i="50"/>
  <c r="V66" i="50"/>
  <c r="B79" i="50"/>
  <c r="D55" i="50"/>
  <c r="G55" i="50" s="1"/>
  <c r="G75" i="50"/>
  <c r="G49" i="50"/>
  <c r="F49" i="50"/>
  <c r="G28" i="50"/>
  <c r="U37" i="50"/>
  <c r="V37" i="50"/>
  <c r="V50" i="50"/>
  <c r="V74" i="50"/>
  <c r="V30" i="50"/>
  <c r="V49" i="50"/>
  <c r="G37" i="50"/>
  <c r="F45" i="50"/>
  <c r="V35" i="50"/>
  <c r="B84" i="50"/>
  <c r="D60" i="50"/>
  <c r="E60" i="50"/>
  <c r="V48" i="50"/>
  <c r="G48" i="50"/>
  <c r="U56" i="50"/>
  <c r="G56" i="50"/>
  <c r="F56" i="50"/>
  <c r="V56" i="50"/>
  <c r="G39" i="50"/>
  <c r="V58" i="50"/>
  <c r="V43" i="50"/>
  <c r="U43" i="50"/>
  <c r="U44" i="50"/>
  <c r="U47" i="50"/>
  <c r="V34" i="50"/>
  <c r="F73" i="50"/>
  <c r="B146" i="50"/>
  <c r="D146" i="50" s="1"/>
  <c r="E122" i="50"/>
  <c r="V122" i="50" s="1"/>
  <c r="B145" i="50"/>
  <c r="D145" i="50" s="1"/>
  <c r="E121" i="50"/>
  <c r="B130" i="50"/>
  <c r="D130" i="50" s="1"/>
  <c r="E106" i="50"/>
  <c r="V106" i="50" s="1"/>
  <c r="B104" i="50"/>
  <c r="D104" i="50" s="1"/>
  <c r="E80" i="50"/>
  <c r="U80" i="50" s="1"/>
  <c r="B89" i="50"/>
  <c r="D89" i="50" s="1"/>
  <c r="E65" i="50"/>
  <c r="V65" i="50" s="1"/>
  <c r="B77" i="50"/>
  <c r="D77" i="50" s="1"/>
  <c r="E53" i="50"/>
  <c r="B100" i="50"/>
  <c r="D100" i="50" s="1"/>
  <c r="E76" i="50"/>
  <c r="B120" i="50"/>
  <c r="D120" i="50" s="1"/>
  <c r="E96" i="50"/>
  <c r="B129" i="50"/>
  <c r="D129" i="50" s="1"/>
  <c r="E105" i="50"/>
  <c r="F105" i="50" s="1"/>
  <c r="B109" i="50"/>
  <c r="D109" i="50" s="1"/>
  <c r="E85" i="50"/>
  <c r="B111" i="50"/>
  <c r="D111" i="50" s="1"/>
  <c r="E87" i="50"/>
  <c r="B91" i="50"/>
  <c r="D91" i="50" s="1"/>
  <c r="E67" i="50"/>
  <c r="B138" i="50"/>
  <c r="D138" i="50" s="1"/>
  <c r="E114" i="50"/>
  <c r="B102" i="50"/>
  <c r="D102" i="50" s="1"/>
  <c r="E78" i="50"/>
  <c r="V78" i="50" s="1"/>
  <c r="E95" i="50"/>
  <c r="B119" i="50"/>
  <c r="D119" i="50" s="1"/>
  <c r="B92" i="50"/>
  <c r="D92" i="50" s="1"/>
  <c r="E68" i="50"/>
  <c r="B94" i="50"/>
  <c r="D94" i="50" s="1"/>
  <c r="E70" i="50"/>
  <c r="B93" i="50"/>
  <c r="D93" i="50" s="1"/>
  <c r="E69" i="50"/>
  <c r="B88" i="50"/>
  <c r="D88" i="50" s="1"/>
  <c r="E64" i="50"/>
  <c r="U64" i="50" s="1"/>
  <c r="B86" i="50"/>
  <c r="D86" i="50" s="1"/>
  <c r="E62" i="50"/>
  <c r="B107" i="50"/>
  <c r="D107" i="50" s="1"/>
  <c r="E83" i="50"/>
  <c r="V83" i="50" s="1"/>
  <c r="F160" i="2"/>
  <c r="E160" i="2" s="1"/>
  <c r="F159" i="2"/>
  <c r="E159" i="2" s="1"/>
  <c r="V114" i="50" l="1"/>
  <c r="U66" i="50"/>
  <c r="E99" i="50"/>
  <c r="V99" i="50" s="1"/>
  <c r="B123" i="50"/>
  <c r="D123" i="50" s="1"/>
  <c r="G60" i="50"/>
  <c r="D79" i="50"/>
  <c r="E79" i="50"/>
  <c r="B103" i="50"/>
  <c r="F53" i="50"/>
  <c r="U53" i="50"/>
  <c r="G53" i="50"/>
  <c r="V53" i="50"/>
  <c r="D84" i="50"/>
  <c r="E84" i="50"/>
  <c r="B108" i="50"/>
  <c r="U60" i="50"/>
  <c r="F60" i="50"/>
  <c r="V60" i="50"/>
  <c r="V96" i="50"/>
  <c r="G96" i="50"/>
  <c r="F96" i="50"/>
  <c r="G114" i="50"/>
  <c r="F114" i="50"/>
  <c r="U114" i="50"/>
  <c r="U121" i="50"/>
  <c r="G121" i="50"/>
  <c r="V121" i="50"/>
  <c r="F99" i="50"/>
  <c r="G99" i="50"/>
  <c r="U99" i="50"/>
  <c r="G68" i="50"/>
  <c r="F68" i="50"/>
  <c r="U68" i="50"/>
  <c r="V68" i="50"/>
  <c r="U76" i="50"/>
  <c r="F76" i="50"/>
  <c r="V76" i="50"/>
  <c r="V95" i="50"/>
  <c r="F95" i="50"/>
  <c r="G95" i="50"/>
  <c r="U67" i="50"/>
  <c r="G67" i="50"/>
  <c r="F67" i="50"/>
  <c r="V87" i="50"/>
  <c r="U87" i="50"/>
  <c r="F87" i="50"/>
  <c r="G65" i="50"/>
  <c r="F65" i="50"/>
  <c r="U65" i="50"/>
  <c r="U95" i="50"/>
  <c r="U62" i="50"/>
  <c r="F62" i="50"/>
  <c r="G62" i="50"/>
  <c r="F55" i="50"/>
  <c r="V62" i="50"/>
  <c r="F121" i="50"/>
  <c r="V64" i="50"/>
  <c r="G64" i="50"/>
  <c r="F64" i="50"/>
  <c r="F85" i="50"/>
  <c r="V85" i="50"/>
  <c r="U85" i="50"/>
  <c r="G85" i="50"/>
  <c r="V80" i="50"/>
  <c r="G80" i="50"/>
  <c r="F80" i="50"/>
  <c r="U55" i="50"/>
  <c r="V67" i="50"/>
  <c r="F83" i="50"/>
  <c r="U83" i="50"/>
  <c r="G83" i="50"/>
  <c r="V55" i="50"/>
  <c r="F69" i="50"/>
  <c r="G69" i="50"/>
  <c r="V69" i="50"/>
  <c r="U69" i="50"/>
  <c r="U105" i="50"/>
  <c r="G105" i="50"/>
  <c r="V105" i="50"/>
  <c r="G106" i="50"/>
  <c r="F106" i="50"/>
  <c r="U106" i="50"/>
  <c r="G76" i="50"/>
  <c r="U96" i="50"/>
  <c r="G122" i="50"/>
  <c r="F122" i="50"/>
  <c r="U122" i="50"/>
  <c r="U78" i="50"/>
  <c r="F78" i="50"/>
  <c r="G78" i="50"/>
  <c r="V70" i="50"/>
  <c r="U70" i="50"/>
  <c r="G70" i="50"/>
  <c r="F70" i="50"/>
  <c r="G87" i="50"/>
  <c r="B118" i="50"/>
  <c r="D118" i="50" s="1"/>
  <c r="E94" i="50"/>
  <c r="V94" i="50" s="1"/>
  <c r="E91" i="50"/>
  <c r="G91" i="50" s="1"/>
  <c r="B115" i="50"/>
  <c r="D115" i="50" s="1"/>
  <c r="E77" i="50"/>
  <c r="B101" i="50"/>
  <c r="D101" i="50" s="1"/>
  <c r="B169" i="50"/>
  <c r="D169" i="50" s="1"/>
  <c r="E145" i="50"/>
  <c r="V145" i="50" s="1"/>
  <c r="B113" i="50"/>
  <c r="D113" i="50" s="1"/>
  <c r="E89" i="50"/>
  <c r="F89" i="50" s="1"/>
  <c r="E111" i="50"/>
  <c r="U111" i="50" s="1"/>
  <c r="B135" i="50"/>
  <c r="D135" i="50" s="1"/>
  <c r="B153" i="50"/>
  <c r="D153" i="50" s="1"/>
  <c r="E129" i="50"/>
  <c r="B170" i="50"/>
  <c r="D170" i="50" s="1"/>
  <c r="E146" i="50"/>
  <c r="E86" i="50"/>
  <c r="B110" i="50"/>
  <c r="D110" i="50" s="1"/>
  <c r="E88" i="50"/>
  <c r="B112" i="50"/>
  <c r="D112" i="50" s="1"/>
  <c r="E107" i="50"/>
  <c r="B131" i="50"/>
  <c r="D131" i="50" s="1"/>
  <c r="E109" i="50"/>
  <c r="B133" i="50"/>
  <c r="D133" i="50" s="1"/>
  <c r="B143" i="50"/>
  <c r="D143" i="50" s="1"/>
  <c r="E119" i="50"/>
  <c r="G119" i="50" s="1"/>
  <c r="E100" i="50"/>
  <c r="V100" i="50" s="1"/>
  <c r="B124" i="50"/>
  <c r="D124" i="50" s="1"/>
  <c r="E102" i="50"/>
  <c r="B126" i="50"/>
  <c r="D126" i="50" s="1"/>
  <c r="E104" i="50"/>
  <c r="B128" i="50"/>
  <c r="D128" i="50" s="1"/>
  <c r="E123" i="50"/>
  <c r="G123" i="50" s="1"/>
  <c r="B147" i="50"/>
  <c r="D147" i="50" s="1"/>
  <c r="B154" i="50"/>
  <c r="D154" i="50" s="1"/>
  <c r="E130" i="50"/>
  <c r="V130" i="50" s="1"/>
  <c r="B116" i="50"/>
  <c r="D116" i="50" s="1"/>
  <c r="E92" i="50"/>
  <c r="G92" i="50" s="1"/>
  <c r="E120" i="50"/>
  <c r="B144" i="50"/>
  <c r="D144" i="50" s="1"/>
  <c r="E93" i="50"/>
  <c r="B117" i="50"/>
  <c r="D117" i="50" s="1"/>
  <c r="B162" i="50"/>
  <c r="D162" i="50" s="1"/>
  <c r="E138" i="50"/>
  <c r="U94" i="50" l="1"/>
  <c r="F94" i="50"/>
  <c r="G94" i="50"/>
  <c r="D108" i="50"/>
  <c r="B132" i="50"/>
  <c r="E108" i="50"/>
  <c r="V107" i="50"/>
  <c r="U107" i="50"/>
  <c r="F107" i="50"/>
  <c r="V86" i="50"/>
  <c r="U86" i="50"/>
  <c r="G86" i="50"/>
  <c r="F86" i="50"/>
  <c r="G84" i="50"/>
  <c r="F84" i="50"/>
  <c r="U84" i="50"/>
  <c r="G138" i="50"/>
  <c r="F138" i="50"/>
  <c r="U138" i="50"/>
  <c r="F146" i="50"/>
  <c r="G146" i="50"/>
  <c r="U146" i="50"/>
  <c r="V138" i="50"/>
  <c r="V84" i="50"/>
  <c r="G100" i="50"/>
  <c r="F100" i="50"/>
  <c r="U100" i="50"/>
  <c r="G104" i="50"/>
  <c r="F104" i="50"/>
  <c r="V104" i="50"/>
  <c r="U104" i="50"/>
  <c r="V119" i="50"/>
  <c r="U119" i="50"/>
  <c r="F119" i="50"/>
  <c r="G129" i="50"/>
  <c r="F129" i="50"/>
  <c r="U129" i="50"/>
  <c r="V129" i="50"/>
  <c r="V102" i="50"/>
  <c r="U102" i="50"/>
  <c r="G102" i="50"/>
  <c r="F102" i="50"/>
  <c r="V123" i="50"/>
  <c r="U123" i="50"/>
  <c r="F123" i="50"/>
  <c r="V120" i="50"/>
  <c r="F120" i="50"/>
  <c r="U120" i="50"/>
  <c r="G120" i="50"/>
  <c r="V111" i="50"/>
  <c r="F111" i="50"/>
  <c r="G111" i="50"/>
  <c r="D103" i="50"/>
  <c r="B127" i="50"/>
  <c r="E103" i="50"/>
  <c r="V77" i="50"/>
  <c r="U77" i="50"/>
  <c r="G77" i="50"/>
  <c r="F77" i="50"/>
  <c r="U93" i="50"/>
  <c r="G93" i="50"/>
  <c r="F93" i="50"/>
  <c r="V93" i="50"/>
  <c r="U89" i="50"/>
  <c r="G89" i="50"/>
  <c r="V89" i="50"/>
  <c r="V79" i="50"/>
  <c r="F79" i="50"/>
  <c r="G79" i="50"/>
  <c r="G107" i="50"/>
  <c r="G109" i="50"/>
  <c r="F109" i="50"/>
  <c r="U109" i="50"/>
  <c r="V109" i="50"/>
  <c r="U79" i="50"/>
  <c r="V91" i="50"/>
  <c r="U91" i="50"/>
  <c r="F91" i="50"/>
  <c r="G130" i="50"/>
  <c r="F130" i="50"/>
  <c r="U130" i="50"/>
  <c r="G145" i="50"/>
  <c r="F145" i="50"/>
  <c r="U145" i="50"/>
  <c r="F88" i="50"/>
  <c r="G88" i="50"/>
  <c r="U88" i="50"/>
  <c r="V88" i="50"/>
  <c r="U92" i="50"/>
  <c r="V92" i="50"/>
  <c r="F92" i="50"/>
  <c r="V146" i="50"/>
  <c r="E143" i="50"/>
  <c r="U143" i="50" s="1"/>
  <c r="B167" i="50"/>
  <c r="D167" i="50" s="1"/>
  <c r="B193" i="50"/>
  <c r="D193" i="50" s="1"/>
  <c r="E169" i="50"/>
  <c r="F169" i="50" s="1"/>
  <c r="B168" i="50"/>
  <c r="D168" i="50" s="1"/>
  <c r="E144" i="50"/>
  <c r="B178" i="50"/>
  <c r="D178" i="50" s="1"/>
  <c r="E154" i="50"/>
  <c r="V154" i="50" s="1"/>
  <c r="B194" i="50"/>
  <c r="D194" i="50" s="1"/>
  <c r="E170" i="50"/>
  <c r="V170" i="50" s="1"/>
  <c r="B171" i="50"/>
  <c r="D171" i="50" s="1"/>
  <c r="E147" i="50"/>
  <c r="B177" i="50"/>
  <c r="D177" i="50" s="1"/>
  <c r="E153" i="50"/>
  <c r="B136" i="50"/>
  <c r="D136" i="50" s="1"/>
  <c r="E112" i="50"/>
  <c r="B159" i="50"/>
  <c r="D159" i="50" s="1"/>
  <c r="E135" i="50"/>
  <c r="G135" i="50" s="1"/>
  <c r="B155" i="50"/>
  <c r="D155" i="50" s="1"/>
  <c r="E131" i="50"/>
  <c r="B125" i="50"/>
  <c r="D125" i="50" s="1"/>
  <c r="E101" i="50"/>
  <c r="B150" i="50"/>
  <c r="D150" i="50" s="1"/>
  <c r="E126" i="50"/>
  <c r="B134" i="50"/>
  <c r="D134" i="50" s="1"/>
  <c r="E110" i="50"/>
  <c r="B139" i="50"/>
  <c r="D139" i="50" s="1"/>
  <c r="E115" i="50"/>
  <c r="E116" i="50"/>
  <c r="V116" i="50" s="1"/>
  <c r="B140" i="50"/>
  <c r="D140" i="50" s="1"/>
  <c r="B148" i="50"/>
  <c r="D148" i="50" s="1"/>
  <c r="E124" i="50"/>
  <c r="G124" i="50" s="1"/>
  <c r="B157" i="50"/>
  <c r="D157" i="50" s="1"/>
  <c r="E133" i="50"/>
  <c r="B186" i="50"/>
  <c r="D186" i="50" s="1"/>
  <c r="E162" i="50"/>
  <c r="B152" i="50"/>
  <c r="D152" i="50" s="1"/>
  <c r="E128" i="50"/>
  <c r="U128" i="50" s="1"/>
  <c r="B141" i="50"/>
  <c r="D141" i="50" s="1"/>
  <c r="E117" i="50"/>
  <c r="B137" i="50"/>
  <c r="D137" i="50" s="1"/>
  <c r="E113" i="50"/>
  <c r="E118" i="50"/>
  <c r="B142" i="50"/>
  <c r="D142" i="50" s="1"/>
  <c r="AQ8" i="29"/>
  <c r="AQ35" i="29" s="1"/>
  <c r="AP8" i="29"/>
  <c r="AP35" i="29" s="1"/>
  <c r="G84" i="23"/>
  <c r="G83" i="23"/>
  <c r="G82" i="23"/>
  <c r="G81" i="23"/>
  <c r="G83" i="20"/>
  <c r="G82" i="20"/>
  <c r="G81" i="20"/>
  <c r="G80" i="20"/>
  <c r="G76" i="20"/>
  <c r="G22" i="25"/>
  <c r="G21" i="25"/>
  <c r="G22" i="24"/>
  <c r="G21" i="24"/>
  <c r="G79" i="23"/>
  <c r="G77" i="23"/>
  <c r="F251" i="12"/>
  <c r="F240" i="12" s="1"/>
  <c r="E251" i="12"/>
  <c r="F250" i="12"/>
  <c r="E250" i="12"/>
  <c r="F249" i="12"/>
  <c r="E249" i="12"/>
  <c r="F248" i="12"/>
  <c r="E248" i="12"/>
  <c r="F247" i="12"/>
  <c r="E247" i="12"/>
  <c r="F246" i="12"/>
  <c r="E246" i="12"/>
  <c r="F245" i="12"/>
  <c r="E245" i="12"/>
  <c r="F244" i="12"/>
  <c r="E244" i="12"/>
  <c r="F243" i="12"/>
  <c r="E243" i="12"/>
  <c r="F242" i="12"/>
  <c r="E242" i="12"/>
  <c r="F241" i="12"/>
  <c r="G241" i="12" s="1"/>
  <c r="E241" i="12"/>
  <c r="F239" i="12"/>
  <c r="E239" i="12"/>
  <c r="F238" i="12"/>
  <c r="E238" i="12"/>
  <c r="F237" i="12"/>
  <c r="E237" i="12"/>
  <c r="F236" i="12"/>
  <c r="E236" i="12"/>
  <c r="G235" i="12"/>
  <c r="G234" i="12"/>
  <c r="G233" i="12"/>
  <c r="G232" i="12"/>
  <c r="G231" i="12"/>
  <c r="G230" i="12"/>
  <c r="G229" i="12"/>
  <c r="G228" i="12"/>
  <c r="G227" i="12"/>
  <c r="G226" i="12"/>
  <c r="G225" i="12"/>
  <c r="G223" i="12"/>
  <c r="G222" i="12"/>
  <c r="G221" i="12"/>
  <c r="G220" i="12"/>
  <c r="G103" i="50" l="1"/>
  <c r="V118" i="50"/>
  <c r="U118" i="50"/>
  <c r="G118" i="50"/>
  <c r="F118" i="50"/>
  <c r="U115" i="50"/>
  <c r="F115" i="50"/>
  <c r="G115" i="50"/>
  <c r="G113" i="50"/>
  <c r="F113" i="50"/>
  <c r="U113" i="50"/>
  <c r="V115" i="50"/>
  <c r="V117" i="50"/>
  <c r="U117" i="50"/>
  <c r="G117" i="50"/>
  <c r="F117" i="50"/>
  <c r="U110" i="50"/>
  <c r="F110" i="50"/>
  <c r="G110" i="50"/>
  <c r="U147" i="50"/>
  <c r="F147" i="50"/>
  <c r="G147" i="50"/>
  <c r="V128" i="50"/>
  <c r="G128" i="50"/>
  <c r="F128" i="50"/>
  <c r="G126" i="50"/>
  <c r="U126" i="50"/>
  <c r="F126" i="50"/>
  <c r="U170" i="50"/>
  <c r="G170" i="50"/>
  <c r="F170" i="50"/>
  <c r="V113" i="50"/>
  <c r="U108" i="50"/>
  <c r="V108" i="50"/>
  <c r="F108" i="50"/>
  <c r="D132" i="50"/>
  <c r="B156" i="50"/>
  <c r="E132" i="50"/>
  <c r="F162" i="50"/>
  <c r="G162" i="50"/>
  <c r="U162" i="50"/>
  <c r="V101" i="50"/>
  <c r="U101" i="50"/>
  <c r="G101" i="50"/>
  <c r="F101" i="50"/>
  <c r="G154" i="50"/>
  <c r="F154" i="50"/>
  <c r="U154" i="50"/>
  <c r="G108" i="50"/>
  <c r="D127" i="50"/>
  <c r="E127" i="50"/>
  <c r="B151" i="50"/>
  <c r="V133" i="50"/>
  <c r="U133" i="50"/>
  <c r="G133" i="50"/>
  <c r="F133" i="50"/>
  <c r="U131" i="50"/>
  <c r="F131" i="50"/>
  <c r="G131" i="50"/>
  <c r="V144" i="50"/>
  <c r="G144" i="50"/>
  <c r="F144" i="50"/>
  <c r="G116" i="50"/>
  <c r="F116" i="50"/>
  <c r="U116" i="50"/>
  <c r="U144" i="50"/>
  <c r="V131" i="50"/>
  <c r="U153" i="50"/>
  <c r="G153" i="50"/>
  <c r="V153" i="50"/>
  <c r="U124" i="50"/>
  <c r="V124" i="50"/>
  <c r="F124" i="50"/>
  <c r="U135" i="50"/>
  <c r="V135" i="50"/>
  <c r="F135" i="50"/>
  <c r="U169" i="50"/>
  <c r="G169" i="50"/>
  <c r="V169" i="50"/>
  <c r="V110" i="50"/>
  <c r="V162" i="50"/>
  <c r="V126" i="50"/>
  <c r="V112" i="50"/>
  <c r="G112" i="50"/>
  <c r="F112" i="50"/>
  <c r="V143" i="50"/>
  <c r="F143" i="50"/>
  <c r="G143" i="50"/>
  <c r="U112" i="50"/>
  <c r="V103" i="50"/>
  <c r="U103" i="50"/>
  <c r="F103" i="50"/>
  <c r="F153" i="50"/>
  <c r="V147" i="50"/>
  <c r="B191" i="50"/>
  <c r="D191" i="50" s="1"/>
  <c r="E167" i="50"/>
  <c r="E159" i="50"/>
  <c r="U159" i="50" s="1"/>
  <c r="B183" i="50"/>
  <c r="D183" i="50" s="1"/>
  <c r="B201" i="50"/>
  <c r="D201" i="50" s="1"/>
  <c r="E177" i="50"/>
  <c r="V177" i="50" s="1"/>
  <c r="E152" i="50"/>
  <c r="B176" i="50"/>
  <c r="D176" i="50" s="1"/>
  <c r="E136" i="50"/>
  <c r="B160" i="50"/>
  <c r="D160" i="50" s="1"/>
  <c r="B218" i="50"/>
  <c r="D218" i="50" s="1"/>
  <c r="E194" i="50"/>
  <c r="E141" i="50"/>
  <c r="B165" i="50"/>
  <c r="D165" i="50" s="1"/>
  <c r="E134" i="50"/>
  <c r="B158" i="50"/>
  <c r="D158" i="50" s="1"/>
  <c r="B164" i="50"/>
  <c r="D164" i="50" s="1"/>
  <c r="E140" i="50"/>
  <c r="G140" i="50" s="1"/>
  <c r="E171" i="50"/>
  <c r="G171" i="50" s="1"/>
  <c r="B195" i="50"/>
  <c r="D195" i="50" s="1"/>
  <c r="B210" i="50"/>
  <c r="D210" i="50" s="1"/>
  <c r="E186" i="50"/>
  <c r="V186" i="50" s="1"/>
  <c r="B202" i="50"/>
  <c r="D202" i="50" s="1"/>
  <c r="E178" i="50"/>
  <c r="V178" i="50" s="1"/>
  <c r="B166" i="50"/>
  <c r="D166" i="50" s="1"/>
  <c r="E142" i="50"/>
  <c r="V142" i="50" s="1"/>
  <c r="E168" i="50"/>
  <c r="B192" i="50"/>
  <c r="D192" i="50" s="1"/>
  <c r="E139" i="50"/>
  <c r="B163" i="50"/>
  <c r="D163" i="50" s="1"/>
  <c r="E125" i="50"/>
  <c r="B149" i="50"/>
  <c r="D149" i="50" s="1"/>
  <c r="E150" i="50"/>
  <c r="B174" i="50"/>
  <c r="D174" i="50" s="1"/>
  <c r="B161" i="50"/>
  <c r="D161" i="50" s="1"/>
  <c r="E137" i="50"/>
  <c r="F137" i="50" s="1"/>
  <c r="E148" i="50"/>
  <c r="B172" i="50"/>
  <c r="D172" i="50" s="1"/>
  <c r="B217" i="50"/>
  <c r="D217" i="50" s="1"/>
  <c r="E193" i="50"/>
  <c r="E157" i="50"/>
  <c r="B181" i="50"/>
  <c r="D181" i="50" s="1"/>
  <c r="E155" i="50"/>
  <c r="G155" i="50" s="1"/>
  <c r="B179" i="50"/>
  <c r="D179" i="50" s="1"/>
  <c r="AQ20" i="29"/>
  <c r="AQ50" i="29"/>
  <c r="AP50" i="29"/>
  <c r="AP20" i="29"/>
  <c r="G78" i="20"/>
  <c r="G77" i="20"/>
  <c r="G237" i="12"/>
  <c r="G247" i="12"/>
  <c r="G245" i="12"/>
  <c r="G224" i="12"/>
  <c r="G236" i="12"/>
  <c r="G249" i="12"/>
  <c r="G244" i="12"/>
  <c r="E240" i="12"/>
  <c r="G239" i="12"/>
  <c r="G80" i="23"/>
  <c r="G78" i="23"/>
  <c r="G243" i="12"/>
  <c r="G251" i="12"/>
  <c r="G242" i="12"/>
  <c r="G250" i="12"/>
  <c r="G240" i="12"/>
  <c r="G248" i="12"/>
  <c r="G238" i="12"/>
  <c r="G246" i="12"/>
  <c r="V134" i="50" l="1"/>
  <c r="U134" i="50"/>
  <c r="G134" i="50"/>
  <c r="F134" i="50"/>
  <c r="U167" i="50"/>
  <c r="F167" i="50"/>
  <c r="V167" i="50"/>
  <c r="V168" i="50"/>
  <c r="U168" i="50"/>
  <c r="G168" i="50"/>
  <c r="F141" i="50"/>
  <c r="G141" i="50"/>
  <c r="V141" i="50"/>
  <c r="U141" i="50"/>
  <c r="F168" i="50"/>
  <c r="G132" i="50"/>
  <c r="F132" i="50"/>
  <c r="U132" i="50"/>
  <c r="G142" i="50"/>
  <c r="U142" i="50"/>
  <c r="F142" i="50"/>
  <c r="D156" i="50"/>
  <c r="B180" i="50"/>
  <c r="E156" i="50"/>
  <c r="V139" i="50"/>
  <c r="U139" i="50"/>
  <c r="F139" i="50"/>
  <c r="F157" i="50"/>
  <c r="V157" i="50"/>
  <c r="U157" i="50"/>
  <c r="G157" i="50"/>
  <c r="F194" i="50"/>
  <c r="G194" i="50"/>
  <c r="U194" i="50"/>
  <c r="D151" i="50"/>
  <c r="B175" i="50"/>
  <c r="E151" i="50"/>
  <c r="V132" i="50"/>
  <c r="G193" i="50"/>
  <c r="F193" i="50"/>
  <c r="U193" i="50"/>
  <c r="G178" i="50"/>
  <c r="F178" i="50"/>
  <c r="U178" i="50"/>
  <c r="V127" i="50"/>
  <c r="F127" i="50"/>
  <c r="G127" i="50"/>
  <c r="V194" i="50"/>
  <c r="V155" i="50"/>
  <c r="U155" i="50"/>
  <c r="F155" i="50"/>
  <c r="U127" i="50"/>
  <c r="U186" i="50"/>
  <c r="G186" i="50"/>
  <c r="F186" i="50"/>
  <c r="V136" i="50"/>
  <c r="U136" i="50"/>
  <c r="G136" i="50"/>
  <c r="F136" i="50"/>
  <c r="G148" i="50"/>
  <c r="U148" i="50"/>
  <c r="F148" i="50"/>
  <c r="V193" i="50"/>
  <c r="F125" i="50"/>
  <c r="U125" i="50"/>
  <c r="G125" i="50"/>
  <c r="V125" i="50"/>
  <c r="U137" i="50"/>
  <c r="G137" i="50"/>
  <c r="V137" i="50"/>
  <c r="V152" i="50"/>
  <c r="U152" i="50"/>
  <c r="G152" i="50"/>
  <c r="F152" i="50"/>
  <c r="G139" i="50"/>
  <c r="G167" i="50"/>
  <c r="V171" i="50"/>
  <c r="U171" i="50"/>
  <c r="F171" i="50"/>
  <c r="G177" i="50"/>
  <c r="F177" i="50"/>
  <c r="U177" i="50"/>
  <c r="V148" i="50"/>
  <c r="V150" i="50"/>
  <c r="U150" i="50"/>
  <c r="G150" i="50"/>
  <c r="F150" i="50"/>
  <c r="U140" i="50"/>
  <c r="F140" i="50"/>
  <c r="V140" i="50"/>
  <c r="V159" i="50"/>
  <c r="F159" i="50"/>
  <c r="G159" i="50"/>
  <c r="B198" i="50"/>
  <c r="D198" i="50" s="1"/>
  <c r="E174" i="50"/>
  <c r="V174" i="50" s="1"/>
  <c r="B226" i="50"/>
  <c r="D226" i="50" s="1"/>
  <c r="E202" i="50"/>
  <c r="V202" i="50" s="1"/>
  <c r="E164" i="50"/>
  <c r="B188" i="50"/>
  <c r="D188" i="50" s="1"/>
  <c r="B196" i="50"/>
  <c r="D196" i="50" s="1"/>
  <c r="E172" i="50"/>
  <c r="G172" i="50" s="1"/>
  <c r="B187" i="50"/>
  <c r="D187" i="50" s="1"/>
  <c r="E163" i="50"/>
  <c r="B205" i="50"/>
  <c r="D205" i="50" s="1"/>
  <c r="E181" i="50"/>
  <c r="B234" i="50"/>
  <c r="D234" i="50" s="1"/>
  <c r="E210" i="50"/>
  <c r="V210" i="50" s="1"/>
  <c r="B219" i="50"/>
  <c r="D219" i="50" s="1"/>
  <c r="E195" i="50"/>
  <c r="V195" i="50" s="1"/>
  <c r="B207" i="50"/>
  <c r="D207" i="50" s="1"/>
  <c r="E183" i="50"/>
  <c r="G183" i="50" s="1"/>
  <c r="B242" i="50"/>
  <c r="D242" i="50" s="1"/>
  <c r="E218" i="50"/>
  <c r="V218" i="50" s="1"/>
  <c r="B241" i="50"/>
  <c r="D241" i="50" s="1"/>
  <c r="E217" i="50"/>
  <c r="B184" i="50"/>
  <c r="D184" i="50" s="1"/>
  <c r="E160" i="50"/>
  <c r="B216" i="50"/>
  <c r="D216" i="50" s="1"/>
  <c r="E192" i="50"/>
  <c r="E166" i="50"/>
  <c r="B190" i="50"/>
  <c r="D190" i="50" s="1"/>
  <c r="B182" i="50"/>
  <c r="D182" i="50" s="1"/>
  <c r="E158" i="50"/>
  <c r="V158" i="50" s="1"/>
  <c r="E191" i="50"/>
  <c r="U191" i="50" s="1"/>
  <c r="B215" i="50"/>
  <c r="D215" i="50" s="1"/>
  <c r="B185" i="50"/>
  <c r="D185" i="50" s="1"/>
  <c r="E161" i="50"/>
  <c r="V161" i="50" s="1"/>
  <c r="B173" i="50"/>
  <c r="D173" i="50" s="1"/>
  <c r="E149" i="50"/>
  <c r="B225" i="50"/>
  <c r="D225" i="50" s="1"/>
  <c r="E201" i="50"/>
  <c r="B189" i="50"/>
  <c r="D189" i="50" s="1"/>
  <c r="E165" i="50"/>
  <c r="B203" i="50"/>
  <c r="D203" i="50" s="1"/>
  <c r="E179" i="50"/>
  <c r="V179" i="50" s="1"/>
  <c r="B200" i="50"/>
  <c r="D200" i="50" s="1"/>
  <c r="E176" i="50"/>
  <c r="U176" i="50" s="1"/>
  <c r="G79" i="20"/>
  <c r="U163" i="50" l="1"/>
  <c r="F163" i="50"/>
  <c r="G163" i="50"/>
  <c r="V160" i="50"/>
  <c r="G160" i="50"/>
  <c r="F160" i="50"/>
  <c r="U160" i="50"/>
  <c r="U172" i="50"/>
  <c r="F172" i="50"/>
  <c r="V172" i="50"/>
  <c r="U156" i="50"/>
  <c r="F156" i="50"/>
  <c r="V156" i="50"/>
  <c r="V181" i="50"/>
  <c r="U181" i="50"/>
  <c r="G181" i="50"/>
  <c r="F181" i="50"/>
  <c r="V192" i="50"/>
  <c r="G192" i="50"/>
  <c r="F192" i="50"/>
  <c r="U201" i="50"/>
  <c r="G201" i="50"/>
  <c r="V201" i="50"/>
  <c r="U217" i="50"/>
  <c r="G217" i="50"/>
  <c r="V217" i="50"/>
  <c r="F201" i="50"/>
  <c r="F217" i="50"/>
  <c r="D180" i="50"/>
  <c r="E180" i="50"/>
  <c r="B204" i="50"/>
  <c r="V149" i="50"/>
  <c r="U149" i="50"/>
  <c r="G149" i="50"/>
  <c r="F149" i="50"/>
  <c r="G156" i="50"/>
  <c r="U218" i="50"/>
  <c r="G218" i="50"/>
  <c r="F218" i="50"/>
  <c r="F151" i="50"/>
  <c r="U151" i="50"/>
  <c r="V151" i="50"/>
  <c r="G161" i="50"/>
  <c r="F161" i="50"/>
  <c r="U161" i="50"/>
  <c r="G164" i="50"/>
  <c r="F164" i="50"/>
  <c r="U164" i="50"/>
  <c r="D175" i="50"/>
  <c r="E175" i="50"/>
  <c r="B199" i="50"/>
  <c r="U192" i="50"/>
  <c r="F183" i="50"/>
  <c r="U183" i="50"/>
  <c r="V183" i="50"/>
  <c r="U202" i="50"/>
  <c r="G202" i="50"/>
  <c r="F202" i="50"/>
  <c r="G151" i="50"/>
  <c r="V165" i="50"/>
  <c r="U165" i="50"/>
  <c r="G165" i="50"/>
  <c r="F165" i="50"/>
  <c r="V164" i="50"/>
  <c r="V176" i="50"/>
  <c r="G176" i="50"/>
  <c r="F176" i="50"/>
  <c r="V191" i="50"/>
  <c r="F191" i="50"/>
  <c r="G191" i="50"/>
  <c r="G195" i="50"/>
  <c r="U195" i="50"/>
  <c r="F195" i="50"/>
  <c r="V166" i="50"/>
  <c r="U166" i="50"/>
  <c r="G166" i="50"/>
  <c r="F166" i="50"/>
  <c r="F158" i="50"/>
  <c r="G158" i="50"/>
  <c r="U158" i="50"/>
  <c r="G179" i="50"/>
  <c r="U179" i="50"/>
  <c r="F179" i="50"/>
  <c r="G210" i="50"/>
  <c r="F210" i="50"/>
  <c r="U210" i="50"/>
  <c r="F174" i="50"/>
  <c r="G174" i="50"/>
  <c r="U174" i="50"/>
  <c r="V163" i="50"/>
  <c r="E203" i="50"/>
  <c r="G203" i="50" s="1"/>
  <c r="B227" i="50"/>
  <c r="D227" i="50" s="1"/>
  <c r="E184" i="50"/>
  <c r="F184" i="50" s="1"/>
  <c r="B208" i="50"/>
  <c r="D208" i="50" s="1"/>
  <c r="E219" i="50"/>
  <c r="G219" i="50" s="1"/>
  <c r="B243" i="50"/>
  <c r="D243" i="50" s="1"/>
  <c r="E196" i="50"/>
  <c r="V196" i="50" s="1"/>
  <c r="B220" i="50"/>
  <c r="D220" i="50" s="1"/>
  <c r="B249" i="50"/>
  <c r="D249" i="50" s="1"/>
  <c r="E225" i="50"/>
  <c r="V225" i="50" s="1"/>
  <c r="E189" i="50"/>
  <c r="B213" i="50"/>
  <c r="D213" i="50" s="1"/>
  <c r="B265" i="50"/>
  <c r="D265" i="50" s="1"/>
  <c r="E241" i="50"/>
  <c r="V241" i="50" s="1"/>
  <c r="B258" i="50"/>
  <c r="D258" i="50" s="1"/>
  <c r="E234" i="50"/>
  <c r="E200" i="50"/>
  <c r="F200" i="50" s="1"/>
  <c r="B224" i="50"/>
  <c r="D224" i="50" s="1"/>
  <c r="B212" i="50"/>
  <c r="D212" i="50" s="1"/>
  <c r="E188" i="50"/>
  <c r="G188" i="50" s="1"/>
  <c r="E173" i="50"/>
  <c r="B197" i="50"/>
  <c r="D197" i="50" s="1"/>
  <c r="E182" i="50"/>
  <c r="B206" i="50"/>
  <c r="D206" i="50" s="1"/>
  <c r="B266" i="50"/>
  <c r="D266" i="50" s="1"/>
  <c r="E242" i="50"/>
  <c r="V242" i="50" s="1"/>
  <c r="E187" i="50"/>
  <c r="B211" i="50"/>
  <c r="D211" i="50" s="1"/>
  <c r="E198" i="50"/>
  <c r="B222" i="50"/>
  <c r="D222" i="50" s="1"/>
  <c r="B209" i="50"/>
  <c r="D209" i="50" s="1"/>
  <c r="E185" i="50"/>
  <c r="F185" i="50" s="1"/>
  <c r="B214" i="50"/>
  <c r="D214" i="50" s="1"/>
  <c r="E190" i="50"/>
  <c r="E216" i="50"/>
  <c r="B240" i="50"/>
  <c r="D240" i="50" s="1"/>
  <c r="B250" i="50"/>
  <c r="D250" i="50" s="1"/>
  <c r="E226" i="50"/>
  <c r="V226" i="50" s="1"/>
  <c r="B239" i="50"/>
  <c r="D239" i="50" s="1"/>
  <c r="E215" i="50"/>
  <c r="G215" i="50" s="1"/>
  <c r="E207" i="50"/>
  <c r="U207" i="50" s="1"/>
  <c r="B231" i="50"/>
  <c r="D231" i="50" s="1"/>
  <c r="E205" i="50"/>
  <c r="B229" i="50"/>
  <c r="D229" i="50" s="1"/>
  <c r="V203" i="50" l="1"/>
  <c r="U203" i="50"/>
  <c r="F203" i="50"/>
  <c r="D199" i="50"/>
  <c r="B223" i="50"/>
  <c r="E199" i="50"/>
  <c r="V200" i="50"/>
  <c r="U200" i="50"/>
  <c r="G200" i="50"/>
  <c r="V175" i="50"/>
  <c r="F175" i="50"/>
  <c r="G175" i="50"/>
  <c r="V198" i="50"/>
  <c r="U198" i="50"/>
  <c r="G198" i="50"/>
  <c r="F198" i="50"/>
  <c r="U175" i="50"/>
  <c r="V184" i="50"/>
  <c r="U184" i="50"/>
  <c r="G184" i="50"/>
  <c r="G234" i="50"/>
  <c r="U234" i="50"/>
  <c r="F234" i="50"/>
  <c r="V187" i="50"/>
  <c r="U187" i="50"/>
  <c r="F187" i="50"/>
  <c r="F189" i="50"/>
  <c r="V189" i="50"/>
  <c r="U189" i="50"/>
  <c r="G189" i="50"/>
  <c r="G187" i="50"/>
  <c r="G241" i="50"/>
  <c r="F241" i="50"/>
  <c r="U241" i="50"/>
  <c r="G225" i="50"/>
  <c r="F225" i="50"/>
  <c r="U225" i="50"/>
  <c r="G242" i="50"/>
  <c r="F242" i="50"/>
  <c r="U242" i="50"/>
  <c r="D204" i="50"/>
  <c r="B228" i="50"/>
  <c r="E204" i="50"/>
  <c r="V182" i="50"/>
  <c r="U182" i="50"/>
  <c r="G182" i="50"/>
  <c r="F182" i="50"/>
  <c r="G180" i="50"/>
  <c r="F180" i="50"/>
  <c r="U180" i="50"/>
  <c r="V219" i="50"/>
  <c r="U219" i="50"/>
  <c r="F219" i="50"/>
  <c r="U185" i="50"/>
  <c r="G185" i="50"/>
  <c r="V185" i="50"/>
  <c r="V205" i="50"/>
  <c r="F205" i="50"/>
  <c r="U205" i="50"/>
  <c r="G205" i="50"/>
  <c r="V180" i="50"/>
  <c r="F215" i="50"/>
  <c r="U215" i="50"/>
  <c r="V215" i="50"/>
  <c r="G196" i="50"/>
  <c r="F196" i="50"/>
  <c r="U196" i="50"/>
  <c r="F190" i="50"/>
  <c r="U190" i="50"/>
  <c r="G190" i="50"/>
  <c r="V207" i="50"/>
  <c r="F207" i="50"/>
  <c r="G207" i="50"/>
  <c r="F226" i="50"/>
  <c r="G226" i="50"/>
  <c r="U226" i="50"/>
  <c r="V216" i="50"/>
  <c r="U216" i="50"/>
  <c r="G216" i="50"/>
  <c r="V173" i="50"/>
  <c r="F173" i="50"/>
  <c r="U173" i="50"/>
  <c r="G173" i="50"/>
  <c r="U188" i="50"/>
  <c r="F188" i="50"/>
  <c r="V188" i="50"/>
  <c r="V234" i="50"/>
  <c r="V190" i="50"/>
  <c r="F216" i="50"/>
  <c r="E239" i="50"/>
  <c r="U239" i="50" s="1"/>
  <c r="B263" i="50"/>
  <c r="D263" i="50" s="1"/>
  <c r="B290" i="50"/>
  <c r="D290" i="50" s="1"/>
  <c r="E266" i="50"/>
  <c r="V266" i="50" s="1"/>
  <c r="B230" i="50"/>
  <c r="D230" i="50" s="1"/>
  <c r="E206" i="50"/>
  <c r="V206" i="50" s="1"/>
  <c r="B282" i="50"/>
  <c r="D282" i="50" s="1"/>
  <c r="E258" i="50"/>
  <c r="B273" i="50"/>
  <c r="D273" i="50" s="1"/>
  <c r="E249" i="50"/>
  <c r="F249" i="50" s="1"/>
  <c r="B267" i="50"/>
  <c r="D267" i="50" s="1"/>
  <c r="E243" i="50"/>
  <c r="V243" i="50" s="1"/>
  <c r="B274" i="50"/>
  <c r="D274" i="50" s="1"/>
  <c r="E250" i="50"/>
  <c r="V250" i="50" s="1"/>
  <c r="B264" i="50"/>
  <c r="D264" i="50" s="1"/>
  <c r="E240" i="50"/>
  <c r="U240" i="50" s="1"/>
  <c r="E214" i="50"/>
  <c r="B238" i="50"/>
  <c r="D238" i="50" s="1"/>
  <c r="B244" i="50"/>
  <c r="D244" i="50" s="1"/>
  <c r="E220" i="50"/>
  <c r="G220" i="50" s="1"/>
  <c r="B289" i="50"/>
  <c r="D289" i="50" s="1"/>
  <c r="E265" i="50"/>
  <c r="F265" i="50" s="1"/>
  <c r="B232" i="50"/>
  <c r="D232" i="50" s="1"/>
  <c r="E208" i="50"/>
  <c r="U208" i="50" s="1"/>
  <c r="B233" i="50"/>
  <c r="D233" i="50" s="1"/>
  <c r="E209" i="50"/>
  <c r="V209" i="50" s="1"/>
  <c r="B237" i="50"/>
  <c r="D237" i="50" s="1"/>
  <c r="E213" i="50"/>
  <c r="B253" i="50"/>
  <c r="D253" i="50" s="1"/>
  <c r="E229" i="50"/>
  <c r="B246" i="50"/>
  <c r="D246" i="50" s="1"/>
  <c r="E222" i="50"/>
  <c r="V222" i="50" s="1"/>
  <c r="E212" i="50"/>
  <c r="V212" i="50" s="1"/>
  <c r="B236" i="50"/>
  <c r="D236" i="50" s="1"/>
  <c r="B251" i="50"/>
  <c r="D251" i="50" s="1"/>
  <c r="E227" i="50"/>
  <c r="B255" i="50"/>
  <c r="D255" i="50" s="1"/>
  <c r="E231" i="50"/>
  <c r="G231" i="50" s="1"/>
  <c r="B248" i="50"/>
  <c r="D248" i="50" s="1"/>
  <c r="E224" i="50"/>
  <c r="U224" i="50" s="1"/>
  <c r="B221" i="50"/>
  <c r="D221" i="50" s="1"/>
  <c r="E197" i="50"/>
  <c r="B235" i="50"/>
  <c r="D235" i="50" s="1"/>
  <c r="E211" i="50"/>
  <c r="V211" i="50" s="1"/>
  <c r="F251" i="19"/>
  <c r="F240" i="19" s="1"/>
  <c r="E251" i="19"/>
  <c r="F250" i="19"/>
  <c r="E250" i="19"/>
  <c r="F249" i="19"/>
  <c r="E249" i="19"/>
  <c r="F248" i="19"/>
  <c r="E248" i="19"/>
  <c r="F247" i="19"/>
  <c r="E247" i="19"/>
  <c r="F246" i="19"/>
  <c r="E246" i="19"/>
  <c r="G246" i="19" s="1"/>
  <c r="F245" i="19"/>
  <c r="E245" i="19"/>
  <c r="F244" i="19"/>
  <c r="E244" i="19"/>
  <c r="F243" i="19"/>
  <c r="E243" i="19"/>
  <c r="F242" i="19"/>
  <c r="E242" i="19"/>
  <c r="F241" i="19"/>
  <c r="E241" i="19"/>
  <c r="F239" i="19"/>
  <c r="E239" i="19"/>
  <c r="G239" i="19" s="1"/>
  <c r="F238" i="19"/>
  <c r="E238" i="19"/>
  <c r="F237" i="19"/>
  <c r="E237" i="19"/>
  <c r="G237" i="19" s="1"/>
  <c r="F236" i="19"/>
  <c r="E236" i="19"/>
  <c r="G221" i="19"/>
  <c r="G220" i="19"/>
  <c r="G222" i="50" l="1"/>
  <c r="F222" i="50"/>
  <c r="U222" i="50"/>
  <c r="V214" i="50"/>
  <c r="U214" i="50"/>
  <c r="G214" i="50"/>
  <c r="F214" i="50"/>
  <c r="V239" i="50"/>
  <c r="F239" i="50"/>
  <c r="G239" i="50"/>
  <c r="V229" i="50"/>
  <c r="U229" i="50"/>
  <c r="G229" i="50"/>
  <c r="F229" i="50"/>
  <c r="V240" i="50"/>
  <c r="G240" i="50"/>
  <c r="F240" i="50"/>
  <c r="G212" i="50"/>
  <c r="F212" i="50"/>
  <c r="U212" i="50"/>
  <c r="V213" i="50"/>
  <c r="U213" i="50"/>
  <c r="G213" i="50"/>
  <c r="F213" i="50"/>
  <c r="G250" i="50"/>
  <c r="F250" i="50"/>
  <c r="U250" i="50"/>
  <c r="U199" i="50"/>
  <c r="F199" i="50"/>
  <c r="V199" i="50"/>
  <c r="V224" i="50"/>
  <c r="G224" i="50"/>
  <c r="F224" i="50"/>
  <c r="G209" i="50"/>
  <c r="F209" i="50"/>
  <c r="U209" i="50"/>
  <c r="F243" i="50"/>
  <c r="U243" i="50"/>
  <c r="G243" i="50"/>
  <c r="U204" i="50"/>
  <c r="F204" i="50"/>
  <c r="V204" i="50"/>
  <c r="D223" i="50"/>
  <c r="B247" i="50"/>
  <c r="E223" i="50"/>
  <c r="D228" i="50"/>
  <c r="E228" i="50"/>
  <c r="B252" i="50"/>
  <c r="G199" i="50"/>
  <c r="U220" i="50"/>
  <c r="V220" i="50"/>
  <c r="F220" i="50"/>
  <c r="U231" i="50"/>
  <c r="F231" i="50"/>
  <c r="V231" i="50"/>
  <c r="U249" i="50"/>
  <c r="G249" i="50"/>
  <c r="V249" i="50"/>
  <c r="G204" i="50"/>
  <c r="G266" i="50"/>
  <c r="F266" i="50"/>
  <c r="U266" i="50"/>
  <c r="V197" i="50"/>
  <c r="U197" i="50"/>
  <c r="G197" i="50"/>
  <c r="F197" i="50"/>
  <c r="F227" i="50"/>
  <c r="G227" i="50"/>
  <c r="U227" i="50"/>
  <c r="V208" i="50"/>
  <c r="G208" i="50"/>
  <c r="F208" i="50"/>
  <c r="F258" i="50"/>
  <c r="G258" i="50"/>
  <c r="U258" i="50"/>
  <c r="F211" i="50"/>
  <c r="G211" i="50"/>
  <c r="U211" i="50"/>
  <c r="V282" i="50"/>
  <c r="V258" i="50"/>
  <c r="U265" i="50"/>
  <c r="G265" i="50"/>
  <c r="V265" i="50"/>
  <c r="G206" i="50"/>
  <c r="F206" i="50"/>
  <c r="U206" i="50"/>
  <c r="V227" i="50"/>
  <c r="B262" i="50"/>
  <c r="D262" i="50" s="1"/>
  <c r="E238" i="50"/>
  <c r="E235" i="50"/>
  <c r="G235" i="50" s="1"/>
  <c r="B259" i="50"/>
  <c r="D259" i="50" s="1"/>
  <c r="B260" i="50"/>
  <c r="D260" i="50" s="1"/>
  <c r="E236" i="50"/>
  <c r="E232" i="50"/>
  <c r="B256" i="50"/>
  <c r="D256" i="50" s="1"/>
  <c r="B306" i="50"/>
  <c r="D306" i="50" s="1"/>
  <c r="E282" i="50"/>
  <c r="E246" i="50"/>
  <c r="B270" i="50"/>
  <c r="D270" i="50" s="1"/>
  <c r="B313" i="50"/>
  <c r="D313" i="50" s="1"/>
  <c r="E289" i="50"/>
  <c r="E230" i="50"/>
  <c r="B254" i="50"/>
  <c r="D254" i="50" s="1"/>
  <c r="E253" i="50"/>
  <c r="B277" i="50"/>
  <c r="D277" i="50" s="1"/>
  <c r="E264" i="50"/>
  <c r="F264" i="50" s="1"/>
  <c r="B288" i="50"/>
  <c r="D288" i="50" s="1"/>
  <c r="E255" i="50"/>
  <c r="U255" i="50" s="1"/>
  <c r="B279" i="50"/>
  <c r="D279" i="50" s="1"/>
  <c r="B314" i="50"/>
  <c r="D314" i="50" s="1"/>
  <c r="E290" i="50"/>
  <c r="E221" i="50"/>
  <c r="B245" i="50"/>
  <c r="D245" i="50" s="1"/>
  <c r="E237" i="50"/>
  <c r="B261" i="50"/>
  <c r="D261" i="50" s="1"/>
  <c r="B298" i="50"/>
  <c r="D298" i="50" s="1"/>
  <c r="E274" i="50"/>
  <c r="E251" i="50"/>
  <c r="G251" i="50" s="1"/>
  <c r="B275" i="50"/>
  <c r="D275" i="50" s="1"/>
  <c r="B257" i="50"/>
  <c r="D257" i="50" s="1"/>
  <c r="E233" i="50"/>
  <c r="E248" i="50"/>
  <c r="B272" i="50"/>
  <c r="D272" i="50" s="1"/>
  <c r="E244" i="50"/>
  <c r="V244" i="50" s="1"/>
  <c r="B268" i="50"/>
  <c r="D268" i="50" s="1"/>
  <c r="E267" i="50"/>
  <c r="G267" i="50" s="1"/>
  <c r="B291" i="50"/>
  <c r="D291" i="50" s="1"/>
  <c r="B287" i="50"/>
  <c r="D287" i="50" s="1"/>
  <c r="E263" i="50"/>
  <c r="G263" i="50" s="1"/>
  <c r="B297" i="50"/>
  <c r="D297" i="50" s="1"/>
  <c r="E273" i="50"/>
  <c r="V273" i="50" s="1"/>
  <c r="G236" i="19"/>
  <c r="G245" i="19"/>
  <c r="G244" i="19"/>
  <c r="G242" i="19"/>
  <c r="G250" i="19"/>
  <c r="G251" i="19"/>
  <c r="G238" i="19"/>
  <c r="G243" i="19"/>
  <c r="G241" i="19"/>
  <c r="G247" i="19"/>
  <c r="G248" i="19"/>
  <c r="G249" i="19"/>
  <c r="G224" i="19"/>
  <c r="E240" i="19"/>
  <c r="G222" i="19"/>
  <c r="V232" i="50" l="1"/>
  <c r="U232" i="50"/>
  <c r="G232" i="50"/>
  <c r="F232" i="50"/>
  <c r="V235" i="50"/>
  <c r="U235" i="50"/>
  <c r="F235" i="50"/>
  <c r="U233" i="50"/>
  <c r="G233" i="50"/>
  <c r="V233" i="50"/>
  <c r="G238" i="50"/>
  <c r="F238" i="50"/>
  <c r="U238" i="50"/>
  <c r="D252" i="50"/>
  <c r="E252" i="50"/>
  <c r="B276" i="50"/>
  <c r="U236" i="50"/>
  <c r="F236" i="50"/>
  <c r="V236" i="50"/>
  <c r="F253" i="50"/>
  <c r="V253" i="50"/>
  <c r="U253" i="50"/>
  <c r="G253" i="50"/>
  <c r="G228" i="50"/>
  <c r="F228" i="50"/>
  <c r="U228" i="50"/>
  <c r="F290" i="50"/>
  <c r="G290" i="50"/>
  <c r="U290" i="50"/>
  <c r="V228" i="50"/>
  <c r="G273" i="50"/>
  <c r="F273" i="50"/>
  <c r="U273" i="50"/>
  <c r="V251" i="50"/>
  <c r="U251" i="50"/>
  <c r="F251" i="50"/>
  <c r="V230" i="50"/>
  <c r="U230" i="50"/>
  <c r="G230" i="50"/>
  <c r="F230" i="50"/>
  <c r="G236" i="50"/>
  <c r="V255" i="50"/>
  <c r="F255" i="50"/>
  <c r="G255" i="50"/>
  <c r="G274" i="50"/>
  <c r="F274" i="50"/>
  <c r="U274" i="50"/>
  <c r="G289" i="50"/>
  <c r="F289" i="50"/>
  <c r="U289" i="50"/>
  <c r="F233" i="50"/>
  <c r="V289" i="50"/>
  <c r="V290" i="50"/>
  <c r="V248" i="50"/>
  <c r="U248" i="50"/>
  <c r="G248" i="50"/>
  <c r="U263" i="50"/>
  <c r="F263" i="50"/>
  <c r="V263" i="50"/>
  <c r="F248" i="50"/>
  <c r="V238" i="50"/>
  <c r="F221" i="50"/>
  <c r="V221" i="50"/>
  <c r="U221" i="50"/>
  <c r="G221" i="50"/>
  <c r="V264" i="50"/>
  <c r="U264" i="50"/>
  <c r="G264" i="50"/>
  <c r="V223" i="50"/>
  <c r="F223" i="50"/>
  <c r="G223" i="50"/>
  <c r="V267" i="50"/>
  <c r="U267" i="50"/>
  <c r="F267" i="50"/>
  <c r="G244" i="50"/>
  <c r="F244" i="50"/>
  <c r="U244" i="50"/>
  <c r="V237" i="50"/>
  <c r="F237" i="50"/>
  <c r="U237" i="50"/>
  <c r="G237" i="50"/>
  <c r="V246" i="50"/>
  <c r="U246" i="50"/>
  <c r="G246" i="50"/>
  <c r="F246" i="50"/>
  <c r="D247" i="50"/>
  <c r="B271" i="50"/>
  <c r="E247" i="50"/>
  <c r="G282" i="50"/>
  <c r="U282" i="50"/>
  <c r="F282" i="50"/>
  <c r="U223" i="50"/>
  <c r="V274" i="50"/>
  <c r="B338" i="50"/>
  <c r="D338" i="50" s="1"/>
  <c r="E314" i="50"/>
  <c r="V314" i="50" s="1"/>
  <c r="B292" i="50"/>
  <c r="D292" i="50" s="1"/>
  <c r="E268" i="50"/>
  <c r="G268" i="50" s="1"/>
  <c r="B303" i="50"/>
  <c r="D303" i="50" s="1"/>
  <c r="E279" i="50"/>
  <c r="B330" i="50"/>
  <c r="D330" i="50" s="1"/>
  <c r="E306" i="50"/>
  <c r="V306" i="50" s="1"/>
  <c r="B280" i="50"/>
  <c r="D280" i="50" s="1"/>
  <c r="E256" i="50"/>
  <c r="U256" i="50" s="1"/>
  <c r="B299" i="50"/>
  <c r="D299" i="50" s="1"/>
  <c r="E275" i="50"/>
  <c r="B322" i="50"/>
  <c r="D322" i="50" s="1"/>
  <c r="E298" i="50"/>
  <c r="B285" i="50"/>
  <c r="D285" i="50" s="1"/>
  <c r="E261" i="50"/>
  <c r="B312" i="50"/>
  <c r="D312" i="50" s="1"/>
  <c r="E288" i="50"/>
  <c r="U288" i="50" s="1"/>
  <c r="B281" i="50"/>
  <c r="D281" i="50" s="1"/>
  <c r="E257" i="50"/>
  <c r="V257" i="50" s="1"/>
  <c r="E262" i="50"/>
  <c r="B286" i="50"/>
  <c r="D286" i="50" s="1"/>
  <c r="B337" i="50"/>
  <c r="D337" i="50" s="1"/>
  <c r="E313" i="50"/>
  <c r="F313" i="50" s="1"/>
  <c r="B301" i="50"/>
  <c r="D301" i="50" s="1"/>
  <c r="E277" i="50"/>
  <c r="B296" i="50"/>
  <c r="D296" i="50" s="1"/>
  <c r="E272" i="50"/>
  <c r="U272" i="50" s="1"/>
  <c r="E287" i="50"/>
  <c r="U287" i="50" s="1"/>
  <c r="B311" i="50"/>
  <c r="D311" i="50" s="1"/>
  <c r="B321" i="50"/>
  <c r="D321" i="50" s="1"/>
  <c r="E297" i="50"/>
  <c r="F297" i="50" s="1"/>
  <c r="B269" i="50"/>
  <c r="D269" i="50" s="1"/>
  <c r="E245" i="50"/>
  <c r="E260" i="50"/>
  <c r="V260" i="50" s="1"/>
  <c r="B284" i="50"/>
  <c r="D284" i="50" s="1"/>
  <c r="B294" i="50"/>
  <c r="D294" i="50" s="1"/>
  <c r="E270" i="50"/>
  <c r="B283" i="50"/>
  <c r="D283" i="50" s="1"/>
  <c r="E259" i="50"/>
  <c r="V259" i="50" s="1"/>
  <c r="B315" i="50"/>
  <c r="D315" i="50" s="1"/>
  <c r="E291" i="50"/>
  <c r="V291" i="50" s="1"/>
  <c r="B278" i="50"/>
  <c r="D278" i="50" s="1"/>
  <c r="E254" i="50"/>
  <c r="V254" i="50" s="1"/>
  <c r="G240" i="19"/>
  <c r="G223" i="19"/>
  <c r="G247" i="50" l="1"/>
  <c r="V261" i="50"/>
  <c r="U261" i="50"/>
  <c r="G261" i="50"/>
  <c r="F261" i="50"/>
  <c r="U298" i="50"/>
  <c r="G298" i="50"/>
  <c r="F298" i="50"/>
  <c r="G275" i="50"/>
  <c r="F275" i="50"/>
  <c r="U275" i="50"/>
  <c r="U254" i="50"/>
  <c r="G254" i="50"/>
  <c r="F254" i="50"/>
  <c r="V272" i="50"/>
  <c r="G272" i="50"/>
  <c r="F272" i="50"/>
  <c r="U270" i="50"/>
  <c r="G270" i="50"/>
  <c r="F270" i="50"/>
  <c r="V277" i="50"/>
  <c r="U277" i="50"/>
  <c r="G277" i="50"/>
  <c r="F277" i="50"/>
  <c r="V256" i="50"/>
  <c r="G256" i="50"/>
  <c r="F256" i="50"/>
  <c r="D276" i="50"/>
  <c r="E276" i="50"/>
  <c r="B300" i="50"/>
  <c r="G259" i="50"/>
  <c r="F259" i="50"/>
  <c r="U259" i="50"/>
  <c r="U247" i="50"/>
  <c r="V247" i="50"/>
  <c r="F247" i="50"/>
  <c r="V298" i="50"/>
  <c r="V275" i="50"/>
  <c r="U252" i="50"/>
  <c r="V252" i="50"/>
  <c r="F252" i="50"/>
  <c r="U313" i="50"/>
  <c r="G313" i="50"/>
  <c r="V313" i="50"/>
  <c r="F306" i="50"/>
  <c r="G306" i="50"/>
  <c r="U306" i="50"/>
  <c r="D271" i="50"/>
  <c r="E271" i="50"/>
  <c r="B295" i="50"/>
  <c r="G252" i="50"/>
  <c r="G291" i="50"/>
  <c r="F291" i="50"/>
  <c r="U291" i="50"/>
  <c r="F279" i="50"/>
  <c r="U279" i="50"/>
  <c r="V279" i="50"/>
  <c r="V287" i="50"/>
  <c r="F287" i="50"/>
  <c r="G287" i="50"/>
  <c r="G260" i="50"/>
  <c r="F260" i="50"/>
  <c r="U260" i="50"/>
  <c r="V262" i="50"/>
  <c r="U262" i="50"/>
  <c r="G262" i="50"/>
  <c r="F262" i="50"/>
  <c r="G279" i="50"/>
  <c r="V245" i="50"/>
  <c r="U245" i="50"/>
  <c r="G245" i="50"/>
  <c r="F245" i="50"/>
  <c r="G257" i="50"/>
  <c r="F257" i="50"/>
  <c r="U257" i="50"/>
  <c r="U268" i="50"/>
  <c r="V268" i="50"/>
  <c r="F268" i="50"/>
  <c r="V270" i="50"/>
  <c r="U297" i="50"/>
  <c r="G297" i="50"/>
  <c r="V297" i="50"/>
  <c r="V288" i="50"/>
  <c r="G288" i="50"/>
  <c r="F288" i="50"/>
  <c r="U314" i="50"/>
  <c r="F314" i="50"/>
  <c r="G314" i="50"/>
  <c r="E315" i="50"/>
  <c r="G315" i="50" s="1"/>
  <c r="B339" i="50"/>
  <c r="D339" i="50" s="1"/>
  <c r="E303" i="50"/>
  <c r="B327" i="50"/>
  <c r="D327" i="50" s="1"/>
  <c r="B345" i="50"/>
  <c r="D345" i="50" s="1"/>
  <c r="E321" i="50"/>
  <c r="V321" i="50" s="1"/>
  <c r="E285" i="50"/>
  <c r="B309" i="50"/>
  <c r="D309" i="50" s="1"/>
  <c r="E283" i="50"/>
  <c r="G283" i="50" s="1"/>
  <c r="B307" i="50"/>
  <c r="D307" i="50" s="1"/>
  <c r="E269" i="50"/>
  <c r="B293" i="50"/>
  <c r="D293" i="50" s="1"/>
  <c r="E296" i="50"/>
  <c r="F296" i="50" s="1"/>
  <c r="B320" i="50"/>
  <c r="D320" i="50" s="1"/>
  <c r="E299" i="50"/>
  <c r="G299" i="50" s="1"/>
  <c r="B323" i="50"/>
  <c r="D323" i="50" s="1"/>
  <c r="E292" i="50"/>
  <c r="B316" i="50"/>
  <c r="D316" i="50" s="1"/>
  <c r="E294" i="50"/>
  <c r="B318" i="50"/>
  <c r="D318" i="50" s="1"/>
  <c r="B335" i="50"/>
  <c r="D335" i="50" s="1"/>
  <c r="E311" i="50"/>
  <c r="B310" i="50"/>
  <c r="D310" i="50" s="1"/>
  <c r="E286" i="50"/>
  <c r="V286" i="50" s="1"/>
  <c r="E280" i="50"/>
  <c r="F280" i="50" s="1"/>
  <c r="B304" i="50"/>
  <c r="D304" i="50" s="1"/>
  <c r="E301" i="50"/>
  <c r="B325" i="50"/>
  <c r="D325" i="50" s="1"/>
  <c r="B346" i="50"/>
  <c r="D346" i="50" s="1"/>
  <c r="E322" i="50"/>
  <c r="V322" i="50" s="1"/>
  <c r="E278" i="50"/>
  <c r="B302" i="50"/>
  <c r="D302" i="50" s="1"/>
  <c r="B361" i="50"/>
  <c r="D361" i="50" s="1"/>
  <c r="E337" i="50"/>
  <c r="B354" i="50"/>
  <c r="D354" i="50" s="1"/>
  <c r="E330" i="50"/>
  <c r="V330" i="50" s="1"/>
  <c r="B308" i="50"/>
  <c r="D308" i="50" s="1"/>
  <c r="E284" i="50"/>
  <c r="G284" i="50" s="1"/>
  <c r="B305" i="50"/>
  <c r="D305" i="50" s="1"/>
  <c r="E281" i="50"/>
  <c r="F281" i="50" s="1"/>
  <c r="E312" i="50"/>
  <c r="F312" i="50" s="1"/>
  <c r="B336" i="50"/>
  <c r="D336" i="50" s="1"/>
  <c r="B362" i="50"/>
  <c r="D362" i="50" s="1"/>
  <c r="E338" i="50"/>
  <c r="V338" i="50" s="1"/>
  <c r="F285" i="50" l="1"/>
  <c r="V285" i="50"/>
  <c r="U285" i="50"/>
  <c r="G285" i="50"/>
  <c r="V294" i="50"/>
  <c r="U294" i="50"/>
  <c r="G294" i="50"/>
  <c r="F294" i="50"/>
  <c r="V303" i="50"/>
  <c r="F303" i="50"/>
  <c r="G303" i="50"/>
  <c r="U303" i="50"/>
  <c r="F330" i="50"/>
  <c r="U330" i="50"/>
  <c r="G330" i="50"/>
  <c r="G292" i="50"/>
  <c r="F292" i="50"/>
  <c r="U292" i="50"/>
  <c r="V315" i="50"/>
  <c r="U315" i="50"/>
  <c r="F315" i="50"/>
  <c r="G321" i="50"/>
  <c r="F321" i="50"/>
  <c r="U321" i="50"/>
  <c r="D300" i="50"/>
  <c r="E300" i="50"/>
  <c r="B324" i="50"/>
  <c r="V299" i="50"/>
  <c r="U299" i="50"/>
  <c r="F299" i="50"/>
  <c r="U311" i="50"/>
  <c r="F311" i="50"/>
  <c r="V311" i="50"/>
  <c r="G322" i="50"/>
  <c r="F322" i="50"/>
  <c r="U322" i="50"/>
  <c r="D295" i="50"/>
  <c r="B319" i="50"/>
  <c r="E295" i="50"/>
  <c r="U284" i="50"/>
  <c r="V284" i="50"/>
  <c r="F284" i="50"/>
  <c r="G276" i="50"/>
  <c r="U276" i="50"/>
  <c r="F276" i="50"/>
  <c r="G338" i="50"/>
  <c r="F338" i="50"/>
  <c r="U338" i="50"/>
  <c r="V271" i="50"/>
  <c r="F271" i="50"/>
  <c r="G271" i="50"/>
  <c r="V276" i="50"/>
  <c r="U281" i="50"/>
  <c r="G281" i="50"/>
  <c r="V281" i="50"/>
  <c r="U271" i="50"/>
  <c r="G286" i="50"/>
  <c r="F286" i="50"/>
  <c r="U286" i="50"/>
  <c r="G337" i="50"/>
  <c r="F337" i="50"/>
  <c r="U337" i="50"/>
  <c r="V312" i="50"/>
  <c r="U312" i="50"/>
  <c r="G312" i="50"/>
  <c r="V269" i="50"/>
  <c r="F269" i="50"/>
  <c r="U269" i="50"/>
  <c r="G269" i="50"/>
  <c r="V337" i="50"/>
  <c r="G311" i="50"/>
  <c r="V278" i="50"/>
  <c r="U278" i="50"/>
  <c r="G278" i="50"/>
  <c r="F278" i="50"/>
  <c r="V296" i="50"/>
  <c r="U296" i="50"/>
  <c r="G296" i="50"/>
  <c r="F301" i="50"/>
  <c r="V301" i="50"/>
  <c r="U301" i="50"/>
  <c r="G301" i="50"/>
  <c r="V280" i="50"/>
  <c r="U280" i="50"/>
  <c r="G280" i="50"/>
  <c r="V283" i="50"/>
  <c r="U283" i="50"/>
  <c r="F283" i="50"/>
  <c r="V292" i="50"/>
  <c r="E335" i="50"/>
  <c r="U335" i="50" s="1"/>
  <c r="B359" i="50"/>
  <c r="D359" i="50" s="1"/>
  <c r="B331" i="50"/>
  <c r="D331" i="50" s="1"/>
  <c r="E307" i="50"/>
  <c r="V307" i="50" s="1"/>
  <c r="B342" i="50"/>
  <c r="D342" i="50" s="1"/>
  <c r="E318" i="50"/>
  <c r="V318" i="50" s="1"/>
  <c r="B340" i="50"/>
  <c r="D340" i="50" s="1"/>
  <c r="E316" i="50"/>
  <c r="G316" i="50" s="1"/>
  <c r="B329" i="50"/>
  <c r="D329" i="50" s="1"/>
  <c r="E305" i="50"/>
  <c r="B326" i="50"/>
  <c r="D326" i="50" s="1"/>
  <c r="E302" i="50"/>
  <c r="B347" i="50"/>
  <c r="D347" i="50" s="1"/>
  <c r="E323" i="50"/>
  <c r="V323" i="50" s="1"/>
  <c r="B333" i="50"/>
  <c r="D333" i="50" s="1"/>
  <c r="E309" i="50"/>
  <c r="B385" i="50"/>
  <c r="D385" i="50" s="1"/>
  <c r="E361" i="50"/>
  <c r="F361" i="50" s="1"/>
  <c r="B370" i="50"/>
  <c r="D370" i="50" s="1"/>
  <c r="E346" i="50"/>
  <c r="V346" i="50" s="1"/>
  <c r="B328" i="50"/>
  <c r="D328" i="50" s="1"/>
  <c r="E304" i="50"/>
  <c r="U304" i="50" s="1"/>
  <c r="B349" i="50"/>
  <c r="D349" i="50" s="1"/>
  <c r="E325" i="50"/>
  <c r="B344" i="50"/>
  <c r="D344" i="50" s="1"/>
  <c r="E320" i="50"/>
  <c r="B369" i="50"/>
  <c r="D369" i="50" s="1"/>
  <c r="E345" i="50"/>
  <c r="E308" i="50"/>
  <c r="V308" i="50" s="1"/>
  <c r="B332" i="50"/>
  <c r="D332" i="50" s="1"/>
  <c r="B378" i="50"/>
  <c r="D378" i="50" s="1"/>
  <c r="E354" i="50"/>
  <c r="B363" i="50"/>
  <c r="D363" i="50" s="1"/>
  <c r="E339" i="50"/>
  <c r="V339" i="50" s="1"/>
  <c r="B386" i="50"/>
  <c r="D386" i="50" s="1"/>
  <c r="E362" i="50"/>
  <c r="V362" i="50" s="1"/>
  <c r="B360" i="50"/>
  <c r="D360" i="50" s="1"/>
  <c r="E336" i="50"/>
  <c r="E310" i="50"/>
  <c r="B334" i="50"/>
  <c r="D334" i="50" s="1"/>
  <c r="B317" i="50"/>
  <c r="D317" i="50" s="1"/>
  <c r="E293" i="50"/>
  <c r="B351" i="50"/>
  <c r="D351" i="50" s="1"/>
  <c r="E327" i="50"/>
  <c r="G225" i="19"/>
  <c r="V309" i="50" l="1"/>
  <c r="U309" i="50"/>
  <c r="G309" i="50"/>
  <c r="F309" i="50"/>
  <c r="V327" i="50"/>
  <c r="U327" i="50"/>
  <c r="F327" i="50"/>
  <c r="G308" i="50"/>
  <c r="F308" i="50"/>
  <c r="U308" i="50"/>
  <c r="F302" i="50"/>
  <c r="G302" i="50"/>
  <c r="U302" i="50"/>
  <c r="D324" i="50"/>
  <c r="E324" i="50"/>
  <c r="B348" i="50"/>
  <c r="V336" i="50"/>
  <c r="G336" i="50"/>
  <c r="F336" i="50"/>
  <c r="U300" i="50"/>
  <c r="V300" i="50"/>
  <c r="F300" i="50"/>
  <c r="G327" i="50"/>
  <c r="G354" i="50"/>
  <c r="F354" i="50"/>
  <c r="U354" i="50"/>
  <c r="G345" i="50"/>
  <c r="U345" i="50"/>
  <c r="V345" i="50"/>
  <c r="V310" i="50"/>
  <c r="U310" i="50"/>
  <c r="G310" i="50"/>
  <c r="F310" i="50"/>
  <c r="U295" i="50"/>
  <c r="F295" i="50"/>
  <c r="V295" i="50"/>
  <c r="G300" i="50"/>
  <c r="V293" i="50"/>
  <c r="U293" i="50"/>
  <c r="G293" i="50"/>
  <c r="F293" i="50"/>
  <c r="G305" i="50"/>
  <c r="F305" i="50"/>
  <c r="U305" i="50"/>
  <c r="F325" i="50"/>
  <c r="V325" i="50"/>
  <c r="U325" i="50"/>
  <c r="G325" i="50"/>
  <c r="G362" i="50"/>
  <c r="F362" i="50"/>
  <c r="U362" i="50"/>
  <c r="V304" i="50"/>
  <c r="G304" i="50"/>
  <c r="F304" i="50"/>
  <c r="U318" i="50"/>
  <c r="F318" i="50"/>
  <c r="G318" i="50"/>
  <c r="U336" i="50"/>
  <c r="D319" i="50"/>
  <c r="B343" i="50"/>
  <c r="E319" i="50"/>
  <c r="F345" i="50"/>
  <c r="U361" i="50"/>
  <c r="G361" i="50"/>
  <c r="V361" i="50"/>
  <c r="V320" i="50"/>
  <c r="G320" i="50"/>
  <c r="F320" i="50"/>
  <c r="U316" i="50"/>
  <c r="F316" i="50"/>
  <c r="V316" i="50"/>
  <c r="G295" i="50"/>
  <c r="V302" i="50"/>
  <c r="V335" i="50"/>
  <c r="F335" i="50"/>
  <c r="G335" i="50"/>
  <c r="U323" i="50"/>
  <c r="G323" i="50"/>
  <c r="F323" i="50"/>
  <c r="F339" i="50"/>
  <c r="U339" i="50"/>
  <c r="G339" i="50"/>
  <c r="G346" i="50"/>
  <c r="F346" i="50"/>
  <c r="U346" i="50"/>
  <c r="G307" i="50"/>
  <c r="F307" i="50"/>
  <c r="U307" i="50"/>
  <c r="V305" i="50"/>
  <c r="U320" i="50"/>
  <c r="V354" i="50"/>
  <c r="B394" i="50"/>
  <c r="D394" i="50" s="1"/>
  <c r="E370" i="50"/>
  <c r="E326" i="50"/>
  <c r="B350" i="50"/>
  <c r="D350" i="50" s="1"/>
  <c r="B409" i="50"/>
  <c r="D409" i="50" s="1"/>
  <c r="E385" i="50"/>
  <c r="V385" i="50" s="1"/>
  <c r="B393" i="50"/>
  <c r="D393" i="50" s="1"/>
  <c r="E369" i="50"/>
  <c r="V369" i="50" s="1"/>
  <c r="E331" i="50"/>
  <c r="B355" i="50"/>
  <c r="D355" i="50" s="1"/>
  <c r="E351" i="50"/>
  <c r="B375" i="50"/>
  <c r="D375" i="50" s="1"/>
  <c r="B383" i="50"/>
  <c r="D383" i="50" s="1"/>
  <c r="E359" i="50"/>
  <c r="G359" i="50" s="1"/>
  <c r="B402" i="50"/>
  <c r="D402" i="50" s="1"/>
  <c r="E378" i="50"/>
  <c r="E333" i="50"/>
  <c r="B357" i="50"/>
  <c r="D357" i="50" s="1"/>
  <c r="B353" i="50"/>
  <c r="D353" i="50" s="1"/>
  <c r="E329" i="50"/>
  <c r="F329" i="50" s="1"/>
  <c r="E317" i="50"/>
  <c r="B341" i="50"/>
  <c r="D341" i="50" s="1"/>
  <c r="B410" i="50"/>
  <c r="D410" i="50" s="1"/>
  <c r="E386" i="50"/>
  <c r="V386" i="50" s="1"/>
  <c r="E347" i="50"/>
  <c r="G347" i="50" s="1"/>
  <c r="B371" i="50"/>
  <c r="D371" i="50" s="1"/>
  <c r="E349" i="50"/>
  <c r="B373" i="50"/>
  <c r="D373" i="50" s="1"/>
  <c r="E340" i="50"/>
  <c r="V340" i="50" s="1"/>
  <c r="B364" i="50"/>
  <c r="D364" i="50" s="1"/>
  <c r="B356" i="50"/>
  <c r="D356" i="50" s="1"/>
  <c r="E332" i="50"/>
  <c r="E344" i="50"/>
  <c r="F344" i="50" s="1"/>
  <c r="B368" i="50"/>
  <c r="D368" i="50" s="1"/>
  <c r="E363" i="50"/>
  <c r="B387" i="50"/>
  <c r="D387" i="50" s="1"/>
  <c r="E328" i="50"/>
  <c r="F328" i="50" s="1"/>
  <c r="B352" i="50"/>
  <c r="D352" i="50" s="1"/>
  <c r="E342" i="50"/>
  <c r="B366" i="50"/>
  <c r="D366" i="50" s="1"/>
  <c r="B358" i="50"/>
  <c r="D358" i="50" s="1"/>
  <c r="E334" i="50"/>
  <c r="V334" i="50" s="1"/>
  <c r="E360" i="50"/>
  <c r="F360" i="50" s="1"/>
  <c r="B384" i="50"/>
  <c r="D384" i="50" s="1"/>
  <c r="G226" i="19"/>
  <c r="G370" i="50" l="1"/>
  <c r="F370" i="50"/>
  <c r="U370" i="50"/>
  <c r="U332" i="50"/>
  <c r="F332" i="50"/>
  <c r="V332" i="50"/>
  <c r="G378" i="50"/>
  <c r="F378" i="50"/>
  <c r="U378" i="50"/>
  <c r="V378" i="50"/>
  <c r="U334" i="50"/>
  <c r="F334" i="50"/>
  <c r="G334" i="50"/>
  <c r="F319" i="50"/>
  <c r="V319" i="50"/>
  <c r="G319" i="50"/>
  <c r="V349" i="50"/>
  <c r="U349" i="50"/>
  <c r="G349" i="50"/>
  <c r="F349" i="50"/>
  <c r="D343" i="50"/>
  <c r="B367" i="50"/>
  <c r="E343" i="50"/>
  <c r="D348" i="50"/>
  <c r="B372" i="50"/>
  <c r="E348" i="50"/>
  <c r="V347" i="50"/>
  <c r="U347" i="50"/>
  <c r="F347" i="50"/>
  <c r="U319" i="50"/>
  <c r="G324" i="50"/>
  <c r="F324" i="50"/>
  <c r="U324" i="50"/>
  <c r="V342" i="50"/>
  <c r="U342" i="50"/>
  <c r="G342" i="50"/>
  <c r="F342" i="50"/>
  <c r="V324" i="50"/>
  <c r="V326" i="50"/>
  <c r="U326" i="50"/>
  <c r="G326" i="50"/>
  <c r="F326" i="50"/>
  <c r="V360" i="50"/>
  <c r="U360" i="50"/>
  <c r="G360" i="50"/>
  <c r="V328" i="50"/>
  <c r="U328" i="50"/>
  <c r="G328" i="50"/>
  <c r="V331" i="50"/>
  <c r="U331" i="50"/>
  <c r="F331" i="50"/>
  <c r="G331" i="50"/>
  <c r="V333" i="50"/>
  <c r="U333" i="50"/>
  <c r="G333" i="50"/>
  <c r="F333" i="50"/>
  <c r="G386" i="50"/>
  <c r="F386" i="50"/>
  <c r="U386" i="50"/>
  <c r="G369" i="50"/>
  <c r="F369" i="50"/>
  <c r="U369" i="50"/>
  <c r="G332" i="50"/>
  <c r="U329" i="50"/>
  <c r="G329" i="50"/>
  <c r="V329" i="50"/>
  <c r="G340" i="50"/>
  <c r="F340" i="50"/>
  <c r="U340" i="50"/>
  <c r="V351" i="50"/>
  <c r="F351" i="50"/>
  <c r="G351" i="50"/>
  <c r="V363" i="50"/>
  <c r="U363" i="50"/>
  <c r="F363" i="50"/>
  <c r="V359" i="50"/>
  <c r="U359" i="50"/>
  <c r="F359" i="50"/>
  <c r="G385" i="50"/>
  <c r="F385" i="50"/>
  <c r="U385" i="50"/>
  <c r="G363" i="50"/>
  <c r="V344" i="50"/>
  <c r="U344" i="50"/>
  <c r="G344" i="50"/>
  <c r="V317" i="50"/>
  <c r="U317" i="50"/>
  <c r="G317" i="50"/>
  <c r="F317" i="50"/>
  <c r="V370" i="50"/>
  <c r="U351" i="50"/>
  <c r="B417" i="50"/>
  <c r="D417" i="50" s="1"/>
  <c r="E393" i="50"/>
  <c r="F393" i="50" s="1"/>
  <c r="B411" i="50"/>
  <c r="D411" i="50" s="1"/>
  <c r="E387" i="50"/>
  <c r="V387" i="50" s="1"/>
  <c r="B395" i="50"/>
  <c r="D395" i="50" s="1"/>
  <c r="E371" i="50"/>
  <c r="V371" i="50" s="1"/>
  <c r="B397" i="50"/>
  <c r="D397" i="50" s="1"/>
  <c r="E373" i="50"/>
  <c r="B365" i="50"/>
  <c r="D365" i="50" s="1"/>
  <c r="E341" i="50"/>
  <c r="E356" i="50"/>
  <c r="B380" i="50"/>
  <c r="D380" i="50" s="1"/>
  <c r="B377" i="50"/>
  <c r="D377" i="50" s="1"/>
  <c r="E353" i="50"/>
  <c r="V353" i="50" s="1"/>
  <c r="B381" i="50"/>
  <c r="D381" i="50" s="1"/>
  <c r="E357" i="50"/>
  <c r="B376" i="50"/>
  <c r="D376" i="50" s="1"/>
  <c r="E352" i="50"/>
  <c r="B399" i="50"/>
  <c r="D399" i="50" s="1"/>
  <c r="E375" i="50"/>
  <c r="G375" i="50" s="1"/>
  <c r="B374" i="50"/>
  <c r="D374" i="50" s="1"/>
  <c r="E350" i="50"/>
  <c r="V350" i="50" s="1"/>
  <c r="B433" i="50"/>
  <c r="D433" i="50" s="1"/>
  <c r="E409" i="50"/>
  <c r="F409" i="50" s="1"/>
  <c r="B390" i="50"/>
  <c r="D390" i="50" s="1"/>
  <c r="E366" i="50"/>
  <c r="B426" i="50"/>
  <c r="D426" i="50" s="1"/>
  <c r="E402" i="50"/>
  <c r="V402" i="50" s="1"/>
  <c r="B388" i="50"/>
  <c r="D388" i="50" s="1"/>
  <c r="E364" i="50"/>
  <c r="B418" i="50"/>
  <c r="D418" i="50" s="1"/>
  <c r="E394" i="50"/>
  <c r="B408" i="50"/>
  <c r="D408" i="50" s="1"/>
  <c r="E384" i="50"/>
  <c r="U384" i="50" s="1"/>
  <c r="E358" i="50"/>
  <c r="B382" i="50"/>
  <c r="D382" i="50" s="1"/>
  <c r="E383" i="50"/>
  <c r="B407" i="50"/>
  <c r="D407" i="50" s="1"/>
  <c r="B379" i="50"/>
  <c r="D379" i="50" s="1"/>
  <c r="E355" i="50"/>
  <c r="V355" i="50" s="1"/>
  <c r="B434" i="50"/>
  <c r="D434" i="50" s="1"/>
  <c r="E410" i="50"/>
  <c r="V410" i="50" s="1"/>
  <c r="B392" i="50"/>
  <c r="D392" i="50" s="1"/>
  <c r="E368" i="50"/>
  <c r="U368" i="50" s="1"/>
  <c r="G227" i="19"/>
  <c r="G348" i="50" l="1"/>
  <c r="G343" i="50"/>
  <c r="G394" i="50"/>
  <c r="F394" i="50"/>
  <c r="U394" i="50"/>
  <c r="U364" i="50"/>
  <c r="V364" i="50"/>
  <c r="F364" i="50"/>
  <c r="G353" i="50"/>
  <c r="F353" i="50"/>
  <c r="U353" i="50"/>
  <c r="D367" i="50"/>
  <c r="E367" i="50"/>
  <c r="B391" i="50"/>
  <c r="U366" i="50"/>
  <c r="F366" i="50"/>
  <c r="G366" i="50"/>
  <c r="G364" i="50"/>
  <c r="G410" i="50"/>
  <c r="F410" i="50"/>
  <c r="U410" i="50"/>
  <c r="G356" i="50"/>
  <c r="F356" i="50"/>
  <c r="U356" i="50"/>
  <c r="V366" i="50"/>
  <c r="V356" i="50"/>
  <c r="G402" i="50"/>
  <c r="F402" i="50"/>
  <c r="U402" i="50"/>
  <c r="F341" i="50"/>
  <c r="V341" i="50"/>
  <c r="U341" i="50"/>
  <c r="G341" i="50"/>
  <c r="F355" i="50"/>
  <c r="G355" i="50"/>
  <c r="U355" i="50"/>
  <c r="F357" i="50"/>
  <c r="V357" i="50"/>
  <c r="U357" i="50"/>
  <c r="G357" i="50"/>
  <c r="V383" i="50"/>
  <c r="F383" i="50"/>
  <c r="G383" i="50"/>
  <c r="V343" i="50"/>
  <c r="U343" i="50"/>
  <c r="F343" i="50"/>
  <c r="V368" i="50"/>
  <c r="G368" i="50"/>
  <c r="F368" i="50"/>
  <c r="U409" i="50"/>
  <c r="G409" i="50"/>
  <c r="V409" i="50"/>
  <c r="V394" i="50"/>
  <c r="U393" i="50"/>
  <c r="G393" i="50"/>
  <c r="V393" i="50"/>
  <c r="U350" i="50"/>
  <c r="F350" i="50"/>
  <c r="G350" i="50"/>
  <c r="U371" i="50"/>
  <c r="F371" i="50"/>
  <c r="G371" i="50"/>
  <c r="U383" i="50"/>
  <c r="V352" i="50"/>
  <c r="G352" i="50"/>
  <c r="F352" i="50"/>
  <c r="V358" i="50"/>
  <c r="U358" i="50"/>
  <c r="G358" i="50"/>
  <c r="F358" i="50"/>
  <c r="U348" i="50"/>
  <c r="V348" i="50"/>
  <c r="F348" i="50"/>
  <c r="U352" i="50"/>
  <c r="V373" i="50"/>
  <c r="G373" i="50"/>
  <c r="F373" i="50"/>
  <c r="U373" i="50"/>
  <c r="V384" i="50"/>
  <c r="G384" i="50"/>
  <c r="F384" i="50"/>
  <c r="V375" i="50"/>
  <c r="U375" i="50"/>
  <c r="F375" i="50"/>
  <c r="U387" i="50"/>
  <c r="F387" i="50"/>
  <c r="G387" i="50"/>
  <c r="D372" i="50"/>
  <c r="E372" i="50"/>
  <c r="B396" i="50"/>
  <c r="E395" i="50"/>
  <c r="B419" i="50"/>
  <c r="D419" i="50" s="1"/>
  <c r="E392" i="50"/>
  <c r="B416" i="50"/>
  <c r="D416" i="50" s="1"/>
  <c r="E376" i="50"/>
  <c r="B400" i="50"/>
  <c r="D400" i="50" s="1"/>
  <c r="E365" i="50"/>
  <c r="B389" i="50"/>
  <c r="D389" i="50" s="1"/>
  <c r="E408" i="50"/>
  <c r="F408" i="50" s="1"/>
  <c r="B432" i="50"/>
  <c r="D432" i="50" s="1"/>
  <c r="B401" i="50"/>
  <c r="D401" i="50" s="1"/>
  <c r="E377" i="50"/>
  <c r="F377" i="50" s="1"/>
  <c r="E399" i="50"/>
  <c r="B423" i="50"/>
  <c r="D423" i="50" s="1"/>
  <c r="B450" i="50"/>
  <c r="D450" i="50" s="1"/>
  <c r="E426" i="50"/>
  <c r="E397" i="50"/>
  <c r="B421" i="50"/>
  <c r="D421" i="50" s="1"/>
  <c r="E411" i="50"/>
  <c r="G411" i="50" s="1"/>
  <c r="B435" i="50"/>
  <c r="D435" i="50" s="1"/>
  <c r="B406" i="50"/>
  <c r="D406" i="50" s="1"/>
  <c r="E382" i="50"/>
  <c r="V382" i="50" s="1"/>
  <c r="B457" i="50"/>
  <c r="D457" i="50" s="1"/>
  <c r="E433" i="50"/>
  <c r="V433" i="50" s="1"/>
  <c r="E381" i="50"/>
  <c r="B405" i="50"/>
  <c r="D405" i="50" s="1"/>
  <c r="B404" i="50"/>
  <c r="D404" i="50" s="1"/>
  <c r="E380" i="50"/>
  <c r="B441" i="50"/>
  <c r="D441" i="50" s="1"/>
  <c r="E417" i="50"/>
  <c r="V417" i="50" s="1"/>
  <c r="B458" i="50"/>
  <c r="D458" i="50" s="1"/>
  <c r="E434" i="50"/>
  <c r="V434" i="50" s="1"/>
  <c r="E379" i="50"/>
  <c r="B403" i="50"/>
  <c r="D403" i="50" s="1"/>
  <c r="E390" i="50"/>
  <c r="B414" i="50"/>
  <c r="D414" i="50" s="1"/>
  <c r="B431" i="50"/>
  <c r="D431" i="50" s="1"/>
  <c r="E407" i="50"/>
  <c r="G407" i="50" s="1"/>
  <c r="E374" i="50"/>
  <c r="B398" i="50"/>
  <c r="D398" i="50" s="1"/>
  <c r="B442" i="50"/>
  <c r="D442" i="50" s="1"/>
  <c r="E418" i="50"/>
  <c r="E388" i="50"/>
  <c r="V388" i="50" s="1"/>
  <c r="B412" i="50"/>
  <c r="D412" i="50" s="1"/>
  <c r="G228" i="19"/>
  <c r="U367" i="50" l="1"/>
  <c r="V397" i="50"/>
  <c r="U397" i="50"/>
  <c r="G397" i="50"/>
  <c r="F397" i="50"/>
  <c r="G392" i="50"/>
  <c r="V392" i="50"/>
  <c r="U392" i="50"/>
  <c r="V379" i="50"/>
  <c r="U379" i="50"/>
  <c r="F379" i="50"/>
  <c r="U426" i="50"/>
  <c r="G426" i="50"/>
  <c r="F426" i="50"/>
  <c r="V395" i="50"/>
  <c r="U395" i="50"/>
  <c r="F395" i="50"/>
  <c r="D396" i="50"/>
  <c r="B420" i="50"/>
  <c r="E396" i="50"/>
  <c r="V426" i="50"/>
  <c r="U372" i="50"/>
  <c r="G372" i="50"/>
  <c r="F372" i="50"/>
  <c r="U380" i="50"/>
  <c r="V380" i="50"/>
  <c r="F380" i="50"/>
  <c r="U377" i="50"/>
  <c r="G377" i="50"/>
  <c r="V377" i="50"/>
  <c r="V372" i="50"/>
  <c r="G379" i="50"/>
  <c r="V399" i="50"/>
  <c r="F399" i="50"/>
  <c r="G399" i="50"/>
  <c r="V411" i="50"/>
  <c r="U411" i="50"/>
  <c r="F411" i="50"/>
  <c r="G434" i="50"/>
  <c r="F434" i="50"/>
  <c r="U434" i="50"/>
  <c r="U388" i="50"/>
  <c r="G388" i="50"/>
  <c r="F388" i="50"/>
  <c r="G380" i="50"/>
  <c r="U399" i="50"/>
  <c r="G417" i="50"/>
  <c r="F417" i="50"/>
  <c r="U417" i="50"/>
  <c r="G418" i="50"/>
  <c r="F418" i="50"/>
  <c r="U418" i="50"/>
  <c r="V374" i="50"/>
  <c r="U374" i="50"/>
  <c r="G374" i="50"/>
  <c r="F374" i="50"/>
  <c r="V381" i="50"/>
  <c r="U381" i="50"/>
  <c r="G381" i="50"/>
  <c r="F381" i="50"/>
  <c r="V408" i="50"/>
  <c r="U408" i="50"/>
  <c r="G408" i="50"/>
  <c r="G395" i="50"/>
  <c r="V418" i="50"/>
  <c r="V365" i="50"/>
  <c r="U365" i="50"/>
  <c r="G365" i="50"/>
  <c r="F365" i="50"/>
  <c r="G433" i="50"/>
  <c r="F433" i="50"/>
  <c r="U433" i="50"/>
  <c r="G382" i="50"/>
  <c r="U382" i="50"/>
  <c r="F382" i="50"/>
  <c r="F392" i="50"/>
  <c r="D391" i="50"/>
  <c r="E391" i="50"/>
  <c r="B415" i="50"/>
  <c r="V407" i="50"/>
  <c r="U407" i="50"/>
  <c r="F407" i="50"/>
  <c r="V390" i="50"/>
  <c r="U390" i="50"/>
  <c r="G390" i="50"/>
  <c r="F390" i="50"/>
  <c r="U376" i="50"/>
  <c r="G376" i="50"/>
  <c r="V376" i="50"/>
  <c r="F376" i="50"/>
  <c r="V367" i="50"/>
  <c r="F367" i="50"/>
  <c r="G367" i="50"/>
  <c r="B425" i="50"/>
  <c r="D425" i="50" s="1"/>
  <c r="E401" i="50"/>
  <c r="V401" i="50" s="1"/>
  <c r="B438" i="50"/>
  <c r="D438" i="50" s="1"/>
  <c r="E414" i="50"/>
  <c r="V414" i="50" s="1"/>
  <c r="B424" i="50"/>
  <c r="D424" i="50" s="1"/>
  <c r="E400" i="50"/>
  <c r="U400" i="50" s="1"/>
  <c r="B436" i="50"/>
  <c r="D436" i="50" s="1"/>
  <c r="E412" i="50"/>
  <c r="B445" i="50"/>
  <c r="D445" i="50" s="1"/>
  <c r="E421" i="50"/>
  <c r="B456" i="50"/>
  <c r="D456" i="50" s="1"/>
  <c r="E432" i="50"/>
  <c r="B427" i="50"/>
  <c r="D427" i="50" s="1"/>
  <c r="E403" i="50"/>
  <c r="B474" i="50"/>
  <c r="D474" i="50" s="1"/>
  <c r="E450" i="50"/>
  <c r="B482" i="50"/>
  <c r="D482" i="50" s="1"/>
  <c r="E458" i="50"/>
  <c r="B466" i="50"/>
  <c r="D466" i="50" s="1"/>
  <c r="E442" i="50"/>
  <c r="V442" i="50" s="1"/>
  <c r="E404" i="50"/>
  <c r="V404" i="50" s="1"/>
  <c r="B428" i="50"/>
  <c r="D428" i="50" s="1"/>
  <c r="B422" i="50"/>
  <c r="D422" i="50" s="1"/>
  <c r="E398" i="50"/>
  <c r="B465" i="50"/>
  <c r="D465" i="50" s="1"/>
  <c r="E441" i="50"/>
  <c r="F441" i="50" s="1"/>
  <c r="B429" i="50"/>
  <c r="D429" i="50" s="1"/>
  <c r="E405" i="50"/>
  <c r="E406" i="50"/>
  <c r="B430" i="50"/>
  <c r="D430" i="50" s="1"/>
  <c r="B440" i="50"/>
  <c r="D440" i="50" s="1"/>
  <c r="E416" i="50"/>
  <c r="U416" i="50" s="1"/>
  <c r="B459" i="50"/>
  <c r="D459" i="50" s="1"/>
  <c r="E435" i="50"/>
  <c r="E431" i="50"/>
  <c r="U431" i="50" s="1"/>
  <c r="B455" i="50"/>
  <c r="D455" i="50" s="1"/>
  <c r="B447" i="50"/>
  <c r="D447" i="50" s="1"/>
  <c r="E423" i="50"/>
  <c r="G423" i="50" s="1"/>
  <c r="B413" i="50"/>
  <c r="D413" i="50" s="1"/>
  <c r="E389" i="50"/>
  <c r="B443" i="50"/>
  <c r="D443" i="50" s="1"/>
  <c r="E419" i="50"/>
  <c r="V419" i="50" s="1"/>
  <c r="B481" i="50"/>
  <c r="D481" i="50" s="1"/>
  <c r="E457" i="50"/>
  <c r="G457" i="50" s="1"/>
  <c r="G229" i="19"/>
  <c r="D415" i="50" l="1"/>
  <c r="E415" i="50"/>
  <c r="B439" i="50"/>
  <c r="V391" i="50"/>
  <c r="U391" i="50"/>
  <c r="F391" i="50"/>
  <c r="V458" i="50"/>
  <c r="U458" i="50"/>
  <c r="G458" i="50"/>
  <c r="F458" i="50"/>
  <c r="V457" i="50"/>
  <c r="U457" i="50"/>
  <c r="F457" i="50"/>
  <c r="G391" i="50"/>
  <c r="G401" i="50"/>
  <c r="F401" i="50"/>
  <c r="U401" i="50"/>
  <c r="U403" i="50"/>
  <c r="F403" i="50"/>
  <c r="G403" i="50"/>
  <c r="U441" i="50"/>
  <c r="G441" i="50"/>
  <c r="V441" i="50"/>
  <c r="V432" i="50"/>
  <c r="G432" i="50"/>
  <c r="F432" i="50"/>
  <c r="V403" i="50"/>
  <c r="U396" i="50"/>
  <c r="F396" i="50"/>
  <c r="V396" i="50"/>
  <c r="D420" i="50"/>
  <c r="E420" i="50"/>
  <c r="B444" i="50"/>
  <c r="G435" i="50"/>
  <c r="U435" i="50"/>
  <c r="F435" i="50"/>
  <c r="G450" i="50"/>
  <c r="F450" i="50"/>
  <c r="V450" i="50"/>
  <c r="U450" i="50"/>
  <c r="V389" i="50"/>
  <c r="U389" i="50"/>
  <c r="G389" i="50"/>
  <c r="F389" i="50"/>
  <c r="V421" i="50"/>
  <c r="U421" i="50"/>
  <c r="G421" i="50"/>
  <c r="F421" i="50"/>
  <c r="G396" i="50"/>
  <c r="G398" i="50"/>
  <c r="U398" i="50"/>
  <c r="F398" i="50"/>
  <c r="U432" i="50"/>
  <c r="V416" i="50"/>
  <c r="G416" i="50"/>
  <c r="F416" i="50"/>
  <c r="U412" i="50"/>
  <c r="F412" i="50"/>
  <c r="V412" i="50"/>
  <c r="V398" i="50"/>
  <c r="G412" i="50"/>
  <c r="G414" i="50"/>
  <c r="U414" i="50"/>
  <c r="F414" i="50"/>
  <c r="V405" i="50"/>
  <c r="U405" i="50"/>
  <c r="G405" i="50"/>
  <c r="F405" i="50"/>
  <c r="V423" i="50"/>
  <c r="U423" i="50"/>
  <c r="F423" i="50"/>
  <c r="G404" i="50"/>
  <c r="U404" i="50"/>
  <c r="F404" i="50"/>
  <c r="V435" i="50"/>
  <c r="U419" i="50"/>
  <c r="F419" i="50"/>
  <c r="G419" i="50"/>
  <c r="U442" i="50"/>
  <c r="G442" i="50"/>
  <c r="F442" i="50"/>
  <c r="V400" i="50"/>
  <c r="G400" i="50"/>
  <c r="F400" i="50"/>
  <c r="V406" i="50"/>
  <c r="U406" i="50"/>
  <c r="G406" i="50"/>
  <c r="F406" i="50"/>
  <c r="V431" i="50"/>
  <c r="F431" i="50"/>
  <c r="G431" i="50"/>
  <c r="B490" i="50"/>
  <c r="D490" i="50" s="1"/>
  <c r="E466" i="50"/>
  <c r="E413" i="50"/>
  <c r="B437" i="50"/>
  <c r="D437" i="50" s="1"/>
  <c r="B479" i="50"/>
  <c r="D479" i="50" s="1"/>
  <c r="E455" i="50"/>
  <c r="V455" i="50" s="1"/>
  <c r="B454" i="50"/>
  <c r="D454" i="50" s="1"/>
  <c r="E430" i="50"/>
  <c r="V430" i="50" s="1"/>
  <c r="E456" i="50"/>
  <c r="B480" i="50"/>
  <c r="D480" i="50" s="1"/>
  <c r="E429" i="50"/>
  <c r="B453" i="50"/>
  <c r="D453" i="50" s="1"/>
  <c r="E424" i="50"/>
  <c r="F424" i="50" s="1"/>
  <c r="B448" i="50"/>
  <c r="D448" i="50" s="1"/>
  <c r="B506" i="50"/>
  <c r="D506" i="50" s="1"/>
  <c r="E482" i="50"/>
  <c r="F482" i="50" s="1"/>
  <c r="E447" i="50"/>
  <c r="B471" i="50"/>
  <c r="D471" i="50" s="1"/>
  <c r="B498" i="50"/>
  <c r="D498" i="50" s="1"/>
  <c r="E474" i="50"/>
  <c r="B489" i="50"/>
  <c r="D489" i="50" s="1"/>
  <c r="E465" i="50"/>
  <c r="B452" i="50"/>
  <c r="D452" i="50" s="1"/>
  <c r="E428" i="50"/>
  <c r="E438" i="50"/>
  <c r="B462" i="50"/>
  <c r="D462" i="50" s="1"/>
  <c r="E443" i="50"/>
  <c r="G443" i="50" s="1"/>
  <c r="B467" i="50"/>
  <c r="D467" i="50" s="1"/>
  <c r="E422" i="50"/>
  <c r="B446" i="50"/>
  <c r="D446" i="50" s="1"/>
  <c r="E445" i="50"/>
  <c r="B469" i="50"/>
  <c r="D469" i="50" s="1"/>
  <c r="E459" i="50"/>
  <c r="G459" i="50" s="1"/>
  <c r="B483" i="50"/>
  <c r="D483" i="50" s="1"/>
  <c r="E427" i="50"/>
  <c r="B451" i="50"/>
  <c r="D451" i="50" s="1"/>
  <c r="E436" i="50"/>
  <c r="V436" i="50" s="1"/>
  <c r="B460" i="50"/>
  <c r="D460" i="50" s="1"/>
  <c r="B449" i="50"/>
  <c r="D449" i="50" s="1"/>
  <c r="E425" i="50"/>
  <c r="F425" i="50" s="1"/>
  <c r="B505" i="50"/>
  <c r="D505" i="50" s="1"/>
  <c r="E481" i="50"/>
  <c r="E440" i="50"/>
  <c r="B464" i="50"/>
  <c r="D464" i="50" s="1"/>
  <c r="G230" i="19"/>
  <c r="V427" i="50" l="1"/>
  <c r="U427" i="50"/>
  <c r="F427" i="50"/>
  <c r="V474" i="50"/>
  <c r="U474" i="50"/>
  <c r="G474" i="50"/>
  <c r="F474" i="50"/>
  <c r="U466" i="50"/>
  <c r="G466" i="50"/>
  <c r="V466" i="50"/>
  <c r="V440" i="50"/>
  <c r="U440" i="50"/>
  <c r="G440" i="50"/>
  <c r="V424" i="50"/>
  <c r="U424" i="50"/>
  <c r="G424" i="50"/>
  <c r="F466" i="50"/>
  <c r="V459" i="50"/>
  <c r="U459" i="50"/>
  <c r="F459" i="50"/>
  <c r="U413" i="50"/>
  <c r="G413" i="50"/>
  <c r="F413" i="50"/>
  <c r="V413" i="50"/>
  <c r="G429" i="50"/>
  <c r="F429" i="50"/>
  <c r="U429" i="50"/>
  <c r="V429" i="50"/>
  <c r="D444" i="50"/>
  <c r="B468" i="50"/>
  <c r="E444" i="50"/>
  <c r="V447" i="50"/>
  <c r="F447" i="50"/>
  <c r="G447" i="50"/>
  <c r="V422" i="50"/>
  <c r="U422" i="50"/>
  <c r="G422" i="50"/>
  <c r="F422" i="50"/>
  <c r="U420" i="50"/>
  <c r="G420" i="50"/>
  <c r="F420" i="50"/>
  <c r="U481" i="50"/>
  <c r="F481" i="50"/>
  <c r="V481" i="50"/>
  <c r="G481" i="50"/>
  <c r="V456" i="50"/>
  <c r="G456" i="50"/>
  <c r="U456" i="50"/>
  <c r="V420" i="50"/>
  <c r="U428" i="50"/>
  <c r="F428" i="50"/>
  <c r="V428" i="50"/>
  <c r="G430" i="50"/>
  <c r="U430" i="50"/>
  <c r="F430" i="50"/>
  <c r="F456" i="50"/>
  <c r="D439" i="50"/>
  <c r="E439" i="50"/>
  <c r="B463" i="50"/>
  <c r="G455" i="50"/>
  <c r="U455" i="50"/>
  <c r="F455" i="50"/>
  <c r="U482" i="50"/>
  <c r="G482" i="50"/>
  <c r="V482" i="50"/>
  <c r="V443" i="50"/>
  <c r="U443" i="50"/>
  <c r="F443" i="50"/>
  <c r="V438" i="50"/>
  <c r="U438" i="50"/>
  <c r="G438" i="50"/>
  <c r="F438" i="50"/>
  <c r="U436" i="50"/>
  <c r="G436" i="50"/>
  <c r="F436" i="50"/>
  <c r="G427" i="50"/>
  <c r="V415" i="50"/>
  <c r="F415" i="50"/>
  <c r="G415" i="50"/>
  <c r="F445" i="50"/>
  <c r="V445" i="50"/>
  <c r="U445" i="50"/>
  <c r="G445" i="50"/>
  <c r="U425" i="50"/>
  <c r="G425" i="50"/>
  <c r="V425" i="50"/>
  <c r="U465" i="50"/>
  <c r="F465" i="50"/>
  <c r="V465" i="50"/>
  <c r="G465" i="50"/>
  <c r="U447" i="50"/>
  <c r="G428" i="50"/>
  <c r="F440" i="50"/>
  <c r="U415" i="50"/>
  <c r="B513" i="50"/>
  <c r="D513" i="50" s="1"/>
  <c r="E489" i="50"/>
  <c r="G489" i="50" s="1"/>
  <c r="E479" i="50"/>
  <c r="V479" i="50" s="1"/>
  <c r="B503" i="50"/>
  <c r="D503" i="50" s="1"/>
  <c r="B461" i="50"/>
  <c r="D461" i="50" s="1"/>
  <c r="E437" i="50"/>
  <c r="B530" i="50"/>
  <c r="D530" i="50" s="1"/>
  <c r="E506" i="50"/>
  <c r="B472" i="50"/>
  <c r="D472" i="50" s="1"/>
  <c r="E448" i="50"/>
  <c r="U448" i="50" s="1"/>
  <c r="B491" i="50"/>
  <c r="D491" i="50" s="1"/>
  <c r="E467" i="50"/>
  <c r="U467" i="50" s="1"/>
  <c r="E454" i="50"/>
  <c r="V454" i="50" s="1"/>
  <c r="B478" i="50"/>
  <c r="D478" i="50" s="1"/>
  <c r="B507" i="50"/>
  <c r="D507" i="50" s="1"/>
  <c r="E483" i="50"/>
  <c r="U483" i="50" s="1"/>
  <c r="B529" i="50"/>
  <c r="D529" i="50" s="1"/>
  <c r="E505" i="50"/>
  <c r="G505" i="50" s="1"/>
  <c r="B486" i="50"/>
  <c r="D486" i="50" s="1"/>
  <c r="E462" i="50"/>
  <c r="B477" i="50"/>
  <c r="D477" i="50" s="1"/>
  <c r="E453" i="50"/>
  <c r="B488" i="50"/>
  <c r="D488" i="50" s="1"/>
  <c r="E464" i="50"/>
  <c r="G464" i="50" s="1"/>
  <c r="B475" i="50"/>
  <c r="D475" i="50" s="1"/>
  <c r="E451" i="50"/>
  <c r="B473" i="50"/>
  <c r="D473" i="50" s="1"/>
  <c r="E449" i="50"/>
  <c r="B484" i="50"/>
  <c r="D484" i="50" s="1"/>
  <c r="E460" i="50"/>
  <c r="B493" i="50"/>
  <c r="D493" i="50" s="1"/>
  <c r="E469" i="50"/>
  <c r="B522" i="50"/>
  <c r="D522" i="50" s="1"/>
  <c r="E498" i="50"/>
  <c r="F498" i="50" s="1"/>
  <c r="B495" i="50"/>
  <c r="D495" i="50" s="1"/>
  <c r="E471" i="50"/>
  <c r="V471" i="50" s="1"/>
  <c r="B504" i="50"/>
  <c r="D504" i="50" s="1"/>
  <c r="E480" i="50"/>
  <c r="G480" i="50" s="1"/>
  <c r="B470" i="50"/>
  <c r="D470" i="50" s="1"/>
  <c r="E446" i="50"/>
  <c r="E452" i="50"/>
  <c r="U452" i="50" s="1"/>
  <c r="B476" i="50"/>
  <c r="D476" i="50" s="1"/>
  <c r="B514" i="50"/>
  <c r="D514" i="50" s="1"/>
  <c r="E490" i="50"/>
  <c r="G231" i="19"/>
  <c r="V469" i="50" l="1"/>
  <c r="U469" i="50"/>
  <c r="G469" i="50"/>
  <c r="F469" i="50"/>
  <c r="G449" i="50"/>
  <c r="F449" i="50"/>
  <c r="U449" i="50"/>
  <c r="V449" i="50"/>
  <c r="V490" i="50"/>
  <c r="U490" i="50"/>
  <c r="G490" i="50"/>
  <c r="F490" i="50"/>
  <c r="U505" i="50"/>
  <c r="V505" i="50"/>
  <c r="F505" i="50"/>
  <c r="V467" i="50"/>
  <c r="G467" i="50"/>
  <c r="F467" i="50"/>
  <c r="F460" i="50"/>
  <c r="G460" i="50"/>
  <c r="U460" i="50"/>
  <c r="F446" i="50"/>
  <c r="U446" i="50"/>
  <c r="G446" i="50"/>
  <c r="V451" i="50"/>
  <c r="G451" i="50"/>
  <c r="F451" i="50"/>
  <c r="V448" i="50"/>
  <c r="G448" i="50"/>
  <c r="F448" i="50"/>
  <c r="V446" i="50"/>
  <c r="F464" i="50"/>
  <c r="U464" i="50"/>
  <c r="V464" i="50"/>
  <c r="V506" i="50"/>
  <c r="U506" i="50"/>
  <c r="G506" i="50"/>
  <c r="F506" i="50"/>
  <c r="U451" i="50"/>
  <c r="D463" i="50"/>
  <c r="B487" i="50"/>
  <c r="E463" i="50"/>
  <c r="U439" i="50"/>
  <c r="F439" i="50"/>
  <c r="V439" i="50"/>
  <c r="V452" i="50"/>
  <c r="G452" i="50"/>
  <c r="F452" i="50"/>
  <c r="U471" i="50"/>
  <c r="G471" i="50"/>
  <c r="F471" i="50"/>
  <c r="V453" i="50"/>
  <c r="U453" i="50"/>
  <c r="G453" i="50"/>
  <c r="F453" i="50"/>
  <c r="V437" i="50"/>
  <c r="U437" i="50"/>
  <c r="G437" i="50"/>
  <c r="F437" i="50"/>
  <c r="V460" i="50"/>
  <c r="G439" i="50"/>
  <c r="U444" i="50"/>
  <c r="F444" i="50"/>
  <c r="V444" i="50"/>
  <c r="U489" i="50"/>
  <c r="F489" i="50"/>
  <c r="V489" i="50"/>
  <c r="F454" i="50"/>
  <c r="U454" i="50"/>
  <c r="G454" i="50"/>
  <c r="U498" i="50"/>
  <c r="G498" i="50"/>
  <c r="V498" i="50"/>
  <c r="V462" i="50"/>
  <c r="G462" i="50"/>
  <c r="U462" i="50"/>
  <c r="F462" i="50"/>
  <c r="D468" i="50"/>
  <c r="E468" i="50"/>
  <c r="B492" i="50"/>
  <c r="V483" i="50"/>
  <c r="G483" i="50"/>
  <c r="F483" i="50"/>
  <c r="V480" i="50"/>
  <c r="F480" i="50"/>
  <c r="U480" i="50"/>
  <c r="U479" i="50"/>
  <c r="G479" i="50"/>
  <c r="F479" i="50"/>
  <c r="G444" i="50"/>
  <c r="E493" i="50"/>
  <c r="B517" i="50"/>
  <c r="D517" i="50" s="1"/>
  <c r="B553" i="50"/>
  <c r="D553" i="50" s="1"/>
  <c r="E529" i="50"/>
  <c r="E491" i="50"/>
  <c r="B515" i="50"/>
  <c r="D515" i="50" s="1"/>
  <c r="E477" i="50"/>
  <c r="F477" i="50" s="1"/>
  <c r="B501" i="50"/>
  <c r="D501" i="50" s="1"/>
  <c r="E504" i="50"/>
  <c r="F504" i="50" s="1"/>
  <c r="B528" i="50"/>
  <c r="D528" i="50" s="1"/>
  <c r="E484" i="50"/>
  <c r="B508" i="50"/>
  <c r="D508" i="50" s="1"/>
  <c r="B527" i="50"/>
  <c r="D527" i="50" s="1"/>
  <c r="E503" i="50"/>
  <c r="V503" i="50" s="1"/>
  <c r="E475" i="50"/>
  <c r="B499" i="50"/>
  <c r="D499" i="50" s="1"/>
  <c r="E472" i="50"/>
  <c r="B496" i="50"/>
  <c r="D496" i="50" s="1"/>
  <c r="B497" i="50"/>
  <c r="D497" i="50" s="1"/>
  <c r="E473" i="50"/>
  <c r="E486" i="50"/>
  <c r="B510" i="50"/>
  <c r="D510" i="50" s="1"/>
  <c r="E495" i="50"/>
  <c r="V495" i="50" s="1"/>
  <c r="B519" i="50"/>
  <c r="D519" i="50" s="1"/>
  <c r="E488" i="50"/>
  <c r="B512" i="50"/>
  <c r="D512" i="50" s="1"/>
  <c r="B554" i="50"/>
  <c r="D554" i="50" s="1"/>
  <c r="E530" i="50"/>
  <c r="B538" i="50"/>
  <c r="D538" i="50" s="1"/>
  <c r="E514" i="50"/>
  <c r="B500" i="50"/>
  <c r="D500" i="50" s="1"/>
  <c r="E476" i="50"/>
  <c r="U476" i="50" s="1"/>
  <c r="E470" i="50"/>
  <c r="B494" i="50"/>
  <c r="D494" i="50" s="1"/>
  <c r="B537" i="50"/>
  <c r="D537" i="50" s="1"/>
  <c r="E513" i="50"/>
  <c r="B546" i="50"/>
  <c r="D546" i="50" s="1"/>
  <c r="E522" i="50"/>
  <c r="E461" i="50"/>
  <c r="F461" i="50" s="1"/>
  <c r="B485" i="50"/>
  <c r="D485" i="50" s="1"/>
  <c r="E507" i="50"/>
  <c r="G507" i="50" s="1"/>
  <c r="B531" i="50"/>
  <c r="D531" i="50" s="1"/>
  <c r="B502" i="50"/>
  <c r="D502" i="50" s="1"/>
  <c r="E478" i="50"/>
  <c r="G232" i="19"/>
  <c r="U468" i="50" l="1"/>
  <c r="U473" i="50"/>
  <c r="F473" i="50"/>
  <c r="V473" i="50"/>
  <c r="G493" i="50"/>
  <c r="U493" i="50"/>
  <c r="V493" i="50"/>
  <c r="G486" i="50"/>
  <c r="V486" i="50"/>
  <c r="F486" i="50"/>
  <c r="U486" i="50"/>
  <c r="V463" i="50"/>
  <c r="U463" i="50"/>
  <c r="G463" i="50"/>
  <c r="F463" i="50"/>
  <c r="U529" i="50"/>
  <c r="V529" i="50"/>
  <c r="G529" i="50"/>
  <c r="F529" i="50"/>
  <c r="V475" i="50"/>
  <c r="U475" i="50"/>
  <c r="F475" i="50"/>
  <c r="U530" i="50"/>
  <c r="G530" i="50"/>
  <c r="V530" i="50"/>
  <c r="U503" i="50"/>
  <c r="F503" i="50"/>
  <c r="G503" i="50"/>
  <c r="U513" i="50"/>
  <c r="V513" i="50"/>
  <c r="G513" i="50"/>
  <c r="F513" i="50"/>
  <c r="U514" i="50"/>
  <c r="G514" i="50"/>
  <c r="V514" i="50"/>
  <c r="G475" i="50"/>
  <c r="V491" i="50"/>
  <c r="U491" i="50"/>
  <c r="F491" i="50"/>
  <c r="G478" i="50"/>
  <c r="U478" i="50"/>
  <c r="F478" i="50"/>
  <c r="V478" i="50"/>
  <c r="F468" i="50"/>
  <c r="G468" i="50"/>
  <c r="V468" i="50"/>
  <c r="G472" i="50"/>
  <c r="U472" i="50"/>
  <c r="V472" i="50"/>
  <c r="V488" i="50"/>
  <c r="G488" i="50"/>
  <c r="U488" i="50"/>
  <c r="V484" i="50"/>
  <c r="F484" i="50"/>
  <c r="G484" i="50"/>
  <c r="G491" i="50"/>
  <c r="F514" i="50"/>
  <c r="G473" i="50"/>
  <c r="V522" i="50"/>
  <c r="U522" i="50"/>
  <c r="G522" i="50"/>
  <c r="F522" i="50"/>
  <c r="D492" i="50"/>
  <c r="B516" i="50"/>
  <c r="E492" i="50"/>
  <c r="D487" i="50"/>
  <c r="B511" i="50"/>
  <c r="E487" i="50"/>
  <c r="V470" i="50"/>
  <c r="F470" i="50"/>
  <c r="U470" i="50"/>
  <c r="G470" i="50"/>
  <c r="V504" i="50"/>
  <c r="G504" i="50"/>
  <c r="U504" i="50"/>
  <c r="U484" i="50"/>
  <c r="F530" i="50"/>
  <c r="F472" i="50"/>
  <c r="G476" i="50"/>
  <c r="F476" i="50"/>
  <c r="V476" i="50"/>
  <c r="V507" i="50"/>
  <c r="U507" i="50"/>
  <c r="F507" i="50"/>
  <c r="U461" i="50"/>
  <c r="G461" i="50"/>
  <c r="V461" i="50"/>
  <c r="F488" i="50"/>
  <c r="U495" i="50"/>
  <c r="G495" i="50"/>
  <c r="F495" i="50"/>
  <c r="G477" i="50"/>
  <c r="V477" i="50"/>
  <c r="U477" i="50"/>
  <c r="F493" i="50"/>
  <c r="B541" i="50"/>
  <c r="D541" i="50" s="1"/>
  <c r="E517" i="50"/>
  <c r="B562" i="50"/>
  <c r="D562" i="50" s="1"/>
  <c r="E538" i="50"/>
  <c r="B534" i="50"/>
  <c r="D534" i="50" s="1"/>
  <c r="E510" i="50"/>
  <c r="B539" i="50"/>
  <c r="D539" i="50" s="1"/>
  <c r="E515" i="50"/>
  <c r="B561" i="50"/>
  <c r="D561" i="50" s="1"/>
  <c r="E537" i="50"/>
  <c r="B523" i="50"/>
  <c r="D523" i="50" s="1"/>
  <c r="E499" i="50"/>
  <c r="U499" i="50" s="1"/>
  <c r="B532" i="50"/>
  <c r="D532" i="50" s="1"/>
  <c r="E508" i="50"/>
  <c r="U508" i="50" s="1"/>
  <c r="B570" i="50"/>
  <c r="D570" i="50" s="1"/>
  <c r="E546" i="50"/>
  <c r="B521" i="50"/>
  <c r="D521" i="50" s="1"/>
  <c r="E497" i="50"/>
  <c r="B578" i="50"/>
  <c r="D578" i="50" s="1"/>
  <c r="E554" i="50"/>
  <c r="B552" i="50"/>
  <c r="D552" i="50" s="1"/>
  <c r="E528" i="50"/>
  <c r="B518" i="50"/>
  <c r="D518" i="50" s="1"/>
  <c r="E494" i="50"/>
  <c r="B536" i="50"/>
  <c r="D536" i="50" s="1"/>
  <c r="E512" i="50"/>
  <c r="B555" i="50"/>
  <c r="D555" i="50" s="1"/>
  <c r="E531" i="50"/>
  <c r="U531" i="50" s="1"/>
  <c r="B543" i="50"/>
  <c r="D543" i="50" s="1"/>
  <c r="E519" i="50"/>
  <c r="B525" i="50"/>
  <c r="D525" i="50" s="1"/>
  <c r="E501" i="50"/>
  <c r="B520" i="50"/>
  <c r="D520" i="50" s="1"/>
  <c r="E496" i="50"/>
  <c r="G496" i="50" s="1"/>
  <c r="E527" i="50"/>
  <c r="V527" i="50" s="1"/>
  <c r="B551" i="50"/>
  <c r="D551" i="50" s="1"/>
  <c r="B509" i="50"/>
  <c r="D509" i="50" s="1"/>
  <c r="E485" i="50"/>
  <c r="E502" i="50"/>
  <c r="B526" i="50"/>
  <c r="D526" i="50" s="1"/>
  <c r="E500" i="50"/>
  <c r="U500" i="50" s="1"/>
  <c r="B524" i="50"/>
  <c r="D524" i="50" s="1"/>
  <c r="B577" i="50"/>
  <c r="D577" i="50" s="1"/>
  <c r="E553" i="50"/>
  <c r="G233" i="19"/>
  <c r="U487" i="50" l="1"/>
  <c r="G487" i="50"/>
  <c r="F487" i="50"/>
  <c r="U497" i="50"/>
  <c r="V497" i="50"/>
  <c r="G497" i="50"/>
  <c r="F497" i="50"/>
  <c r="U553" i="50"/>
  <c r="V553" i="50"/>
  <c r="F553" i="50"/>
  <c r="D511" i="50"/>
  <c r="E511" i="50"/>
  <c r="B535" i="50"/>
  <c r="V499" i="50"/>
  <c r="G499" i="50"/>
  <c r="F499" i="50"/>
  <c r="V487" i="50"/>
  <c r="G492" i="50"/>
  <c r="F492" i="50"/>
  <c r="V492" i="50"/>
  <c r="V512" i="50"/>
  <c r="F512" i="50"/>
  <c r="U512" i="50"/>
  <c r="U537" i="50"/>
  <c r="V537" i="50"/>
  <c r="F537" i="50"/>
  <c r="D516" i="50"/>
  <c r="B540" i="50"/>
  <c r="E516" i="50"/>
  <c r="U546" i="50"/>
  <c r="G546" i="50"/>
  <c r="V546" i="50"/>
  <c r="U492" i="50"/>
  <c r="F519" i="50"/>
  <c r="G519" i="50"/>
  <c r="U519" i="50"/>
  <c r="V485" i="50"/>
  <c r="U485" i="50"/>
  <c r="G485" i="50"/>
  <c r="F485" i="50"/>
  <c r="V515" i="50"/>
  <c r="G515" i="50"/>
  <c r="F515" i="50"/>
  <c r="G537" i="50"/>
  <c r="V500" i="50"/>
  <c r="F500" i="50"/>
  <c r="G500" i="50"/>
  <c r="U528" i="50"/>
  <c r="F528" i="50"/>
  <c r="V528" i="50"/>
  <c r="G510" i="50"/>
  <c r="U510" i="50"/>
  <c r="F510" i="50"/>
  <c r="V510" i="50"/>
  <c r="U501" i="50"/>
  <c r="G501" i="50"/>
  <c r="F501" i="50"/>
  <c r="V501" i="50"/>
  <c r="G494" i="50"/>
  <c r="U494" i="50"/>
  <c r="F494" i="50"/>
  <c r="V494" i="50"/>
  <c r="G527" i="50"/>
  <c r="F527" i="50"/>
  <c r="U527" i="50"/>
  <c r="G512" i="50"/>
  <c r="V517" i="50"/>
  <c r="U517" i="50"/>
  <c r="G517" i="50"/>
  <c r="F517" i="50"/>
  <c r="G531" i="50"/>
  <c r="F531" i="50"/>
  <c r="V531" i="50"/>
  <c r="V496" i="50"/>
  <c r="F496" i="50"/>
  <c r="U496" i="50"/>
  <c r="V554" i="50"/>
  <c r="U554" i="50"/>
  <c r="G554" i="50"/>
  <c r="F554" i="50"/>
  <c r="U538" i="50"/>
  <c r="G538" i="50"/>
  <c r="F538" i="50"/>
  <c r="V538" i="50"/>
  <c r="V519" i="50"/>
  <c r="F546" i="50"/>
  <c r="G553" i="50"/>
  <c r="V508" i="50"/>
  <c r="G508" i="50"/>
  <c r="F508" i="50"/>
  <c r="G502" i="50"/>
  <c r="V502" i="50"/>
  <c r="F502" i="50"/>
  <c r="U502" i="50"/>
  <c r="F520" i="50"/>
  <c r="F578" i="50"/>
  <c r="G528" i="50"/>
  <c r="U515" i="50"/>
  <c r="E555" i="50"/>
  <c r="G555" i="50" s="1"/>
  <c r="B579" i="50"/>
  <c r="D579" i="50" s="1"/>
  <c r="B602" i="50"/>
  <c r="D602" i="50" s="1"/>
  <c r="E578" i="50"/>
  <c r="E520" i="50"/>
  <c r="B544" i="50"/>
  <c r="D544" i="50" s="1"/>
  <c r="B586" i="50"/>
  <c r="D586" i="50" s="1"/>
  <c r="E562" i="50"/>
  <c r="F562" i="50" s="1"/>
  <c r="B575" i="50"/>
  <c r="D575" i="50" s="1"/>
  <c r="E551" i="50"/>
  <c r="V551" i="50" s="1"/>
  <c r="B594" i="50"/>
  <c r="D594" i="50" s="1"/>
  <c r="E570" i="50"/>
  <c r="E539" i="50"/>
  <c r="B563" i="50"/>
  <c r="D563" i="50" s="1"/>
  <c r="E525" i="50"/>
  <c r="B549" i="50"/>
  <c r="D549" i="50" s="1"/>
  <c r="E536" i="50"/>
  <c r="F536" i="50" s="1"/>
  <c r="B560" i="50"/>
  <c r="D560" i="50" s="1"/>
  <c r="E541" i="50"/>
  <c r="F541" i="50" s="1"/>
  <c r="B565" i="50"/>
  <c r="D565" i="50" s="1"/>
  <c r="B585" i="50"/>
  <c r="D585" i="50" s="1"/>
  <c r="E561" i="50"/>
  <c r="E532" i="50"/>
  <c r="U532" i="50" s="1"/>
  <c r="B556" i="50"/>
  <c r="D556" i="50" s="1"/>
  <c r="E534" i="50"/>
  <c r="B558" i="50"/>
  <c r="D558" i="50" s="1"/>
  <c r="E518" i="50"/>
  <c r="B542" i="50"/>
  <c r="D542" i="50" s="1"/>
  <c r="B545" i="50"/>
  <c r="D545" i="50" s="1"/>
  <c r="E521" i="50"/>
  <c r="B550" i="50"/>
  <c r="D550" i="50" s="1"/>
  <c r="E526" i="50"/>
  <c r="E523" i="50"/>
  <c r="G523" i="50" s="1"/>
  <c r="B547" i="50"/>
  <c r="D547" i="50" s="1"/>
  <c r="E552" i="50"/>
  <c r="F552" i="50" s="1"/>
  <c r="B576" i="50"/>
  <c r="D576" i="50" s="1"/>
  <c r="B601" i="50"/>
  <c r="D601" i="50" s="1"/>
  <c r="E577" i="50"/>
  <c r="B548" i="50"/>
  <c r="D548" i="50" s="1"/>
  <c r="E524" i="50"/>
  <c r="U524" i="50" s="1"/>
  <c r="E509" i="50"/>
  <c r="B533" i="50"/>
  <c r="D533" i="50" s="1"/>
  <c r="E543" i="50"/>
  <c r="B567" i="50"/>
  <c r="D567" i="50" s="1"/>
  <c r="G234" i="19"/>
  <c r="G235" i="19"/>
  <c r="G525" i="50" l="1"/>
  <c r="V525" i="50"/>
  <c r="U525" i="50"/>
  <c r="U511" i="50"/>
  <c r="F511" i="50"/>
  <c r="G511" i="50"/>
  <c r="D540" i="50"/>
  <c r="E540" i="50"/>
  <c r="B564" i="50"/>
  <c r="G509" i="50"/>
  <c r="U509" i="50"/>
  <c r="V509" i="50"/>
  <c r="V511" i="50"/>
  <c r="G518" i="50"/>
  <c r="U518" i="50"/>
  <c r="V518" i="50"/>
  <c r="F518" i="50"/>
  <c r="U543" i="50"/>
  <c r="G543" i="50"/>
  <c r="F543" i="50"/>
  <c r="V534" i="50"/>
  <c r="F534" i="50"/>
  <c r="U534" i="50"/>
  <c r="G534" i="50"/>
  <c r="U562" i="50"/>
  <c r="G562" i="50"/>
  <c r="V562" i="50"/>
  <c r="V539" i="50"/>
  <c r="U539" i="50"/>
  <c r="F539" i="50"/>
  <c r="G552" i="50"/>
  <c r="V552" i="50"/>
  <c r="U552" i="50"/>
  <c r="G539" i="50"/>
  <c r="V570" i="50"/>
  <c r="U570" i="50"/>
  <c r="G570" i="50"/>
  <c r="F570" i="50"/>
  <c r="G532" i="50"/>
  <c r="F532" i="50"/>
  <c r="V532" i="50"/>
  <c r="U561" i="50"/>
  <c r="V561" i="50"/>
  <c r="F561" i="50"/>
  <c r="G561" i="50"/>
  <c r="F509" i="50"/>
  <c r="V543" i="50"/>
  <c r="U521" i="50"/>
  <c r="V521" i="50"/>
  <c r="F521" i="50"/>
  <c r="D535" i="50"/>
  <c r="B559" i="50"/>
  <c r="E535" i="50"/>
  <c r="U551" i="50"/>
  <c r="G551" i="50"/>
  <c r="F551" i="50"/>
  <c r="U520" i="50"/>
  <c r="V520" i="50"/>
  <c r="G520" i="50"/>
  <c r="F524" i="50"/>
  <c r="V524" i="50"/>
  <c r="G524" i="50"/>
  <c r="F526" i="50"/>
  <c r="V526" i="50"/>
  <c r="G526" i="50"/>
  <c r="U526" i="50"/>
  <c r="U578" i="50"/>
  <c r="G578" i="50"/>
  <c r="V578" i="50"/>
  <c r="G521" i="50"/>
  <c r="G541" i="50"/>
  <c r="V541" i="50"/>
  <c r="U541" i="50"/>
  <c r="V516" i="50"/>
  <c r="F516" i="50"/>
  <c r="G516" i="50"/>
  <c r="U577" i="50"/>
  <c r="G577" i="50"/>
  <c r="F577" i="50"/>
  <c r="V577" i="50"/>
  <c r="F525" i="50"/>
  <c r="U516" i="50"/>
  <c r="F523" i="50"/>
  <c r="V523" i="50"/>
  <c r="U523" i="50"/>
  <c r="U536" i="50"/>
  <c r="V536" i="50"/>
  <c r="G536" i="50"/>
  <c r="V555" i="50"/>
  <c r="U555" i="50"/>
  <c r="F555" i="50"/>
  <c r="B582" i="50"/>
  <c r="D582" i="50" s="1"/>
  <c r="E558" i="50"/>
  <c r="B571" i="50"/>
  <c r="D571" i="50" s="1"/>
  <c r="E547" i="50"/>
  <c r="U547" i="50" s="1"/>
  <c r="E548" i="50"/>
  <c r="B572" i="50"/>
  <c r="D572" i="50" s="1"/>
  <c r="E575" i="50"/>
  <c r="V575" i="50" s="1"/>
  <c r="B599" i="50"/>
  <c r="D599" i="50" s="1"/>
  <c r="B609" i="50"/>
  <c r="D609" i="50" s="1"/>
  <c r="E585" i="50"/>
  <c r="G585" i="50" s="1"/>
  <c r="B626" i="50"/>
  <c r="D626" i="50" s="1"/>
  <c r="E602" i="50"/>
  <c r="B580" i="50"/>
  <c r="D580" i="50" s="1"/>
  <c r="E556" i="50"/>
  <c r="B603" i="50"/>
  <c r="D603" i="50" s="1"/>
  <c r="E579" i="50"/>
  <c r="B600" i="50"/>
  <c r="D600" i="50" s="1"/>
  <c r="E576" i="50"/>
  <c r="G576" i="50" s="1"/>
  <c r="B589" i="50"/>
  <c r="D589" i="50" s="1"/>
  <c r="E565" i="50"/>
  <c r="B610" i="50"/>
  <c r="D610" i="50" s="1"/>
  <c r="E586" i="50"/>
  <c r="B587" i="50"/>
  <c r="D587" i="50" s="1"/>
  <c r="E563" i="50"/>
  <c r="U563" i="50" s="1"/>
  <c r="B568" i="50"/>
  <c r="D568" i="50" s="1"/>
  <c r="E544" i="50"/>
  <c r="B591" i="50"/>
  <c r="D591" i="50" s="1"/>
  <c r="E567" i="50"/>
  <c r="E550" i="50"/>
  <c r="B574" i="50"/>
  <c r="D574" i="50" s="1"/>
  <c r="B584" i="50"/>
  <c r="D584" i="50" s="1"/>
  <c r="E560" i="50"/>
  <c r="B618" i="50"/>
  <c r="D618" i="50" s="1"/>
  <c r="E594" i="50"/>
  <c r="G594" i="50" s="1"/>
  <c r="B569" i="50"/>
  <c r="D569" i="50" s="1"/>
  <c r="E545" i="50"/>
  <c r="B573" i="50"/>
  <c r="D573" i="50" s="1"/>
  <c r="E549" i="50"/>
  <c r="B625" i="50"/>
  <c r="D625" i="50" s="1"/>
  <c r="E601" i="50"/>
  <c r="G601" i="50" s="1"/>
  <c r="B557" i="50"/>
  <c r="D557" i="50" s="1"/>
  <c r="E533" i="50"/>
  <c r="B566" i="50"/>
  <c r="D566" i="50" s="1"/>
  <c r="E542" i="50"/>
  <c r="F158" i="2"/>
  <c r="E158" i="2" s="1"/>
  <c r="F157" i="2"/>
  <c r="E157" i="2" s="1"/>
  <c r="F156" i="2"/>
  <c r="E156" i="2" s="1"/>
  <c r="F155" i="2"/>
  <c r="E155" i="2" s="1"/>
  <c r="F154" i="2"/>
  <c r="E154" i="2" s="1"/>
  <c r="F153" i="2"/>
  <c r="E153" i="2" s="1"/>
  <c r="F152" i="2"/>
  <c r="E152" i="2" s="1"/>
  <c r="F151" i="2"/>
  <c r="E151" i="2" s="1"/>
  <c r="F150" i="2"/>
  <c r="E150" i="2" s="1"/>
  <c r="F149" i="2"/>
  <c r="E149" i="2" s="1"/>
  <c r="F148" i="2"/>
  <c r="E148" i="2" s="1"/>
  <c r="F147" i="2"/>
  <c r="E147" i="2" s="1"/>
  <c r="F146" i="2"/>
  <c r="E146" i="2" s="1"/>
  <c r="F145" i="2"/>
  <c r="E145" i="2" s="1"/>
  <c r="F144" i="2"/>
  <c r="E144" i="2" s="1"/>
  <c r="B144" i="2"/>
  <c r="F143" i="2"/>
  <c r="E143" i="2" s="1"/>
  <c r="B143" i="2"/>
  <c r="F142" i="2"/>
  <c r="E142" i="2" s="1"/>
  <c r="B142" i="2"/>
  <c r="F141" i="2"/>
  <c r="E141" i="2" s="1"/>
  <c r="B141" i="2"/>
  <c r="F140" i="2"/>
  <c r="E140" i="2" s="1"/>
  <c r="B140" i="2"/>
  <c r="F139" i="2"/>
  <c r="E139" i="2" s="1"/>
  <c r="B139" i="2"/>
  <c r="F138" i="2"/>
  <c r="E138" i="2" s="1"/>
  <c r="B138" i="2"/>
  <c r="F137" i="2"/>
  <c r="E137" i="2" s="1"/>
  <c r="B137" i="2"/>
  <c r="F136" i="2"/>
  <c r="E136" i="2" s="1"/>
  <c r="B136" i="2"/>
  <c r="F135" i="2"/>
  <c r="E135" i="2" s="1"/>
  <c r="B135" i="2"/>
  <c r="F134" i="2"/>
  <c r="E134" i="2" s="1"/>
  <c r="B134" i="2"/>
  <c r="F133" i="2"/>
  <c r="E133" i="2" s="1"/>
  <c r="B133" i="2"/>
  <c r="F132" i="2"/>
  <c r="E132" i="2" s="1"/>
  <c r="B132" i="2"/>
  <c r="F131" i="2"/>
  <c r="E131" i="2" s="1"/>
  <c r="B131" i="2"/>
  <c r="F130" i="2"/>
  <c r="E130" i="2" s="1"/>
  <c r="B130" i="2"/>
  <c r="F129" i="2"/>
  <c r="E129" i="2" s="1"/>
  <c r="B129" i="2"/>
  <c r="F128" i="2"/>
  <c r="E128" i="2" s="1"/>
  <c r="B128" i="2"/>
  <c r="F127" i="2"/>
  <c r="E127" i="2" s="1"/>
  <c r="B127" i="2"/>
  <c r="F126" i="2"/>
  <c r="E126" i="2" s="1"/>
  <c r="B126" i="2"/>
  <c r="F125" i="2"/>
  <c r="E125" i="2" s="1"/>
  <c r="B125" i="2"/>
  <c r="F124" i="2"/>
  <c r="E124" i="2" s="1"/>
  <c r="B124" i="2"/>
  <c r="F123" i="2"/>
  <c r="E123" i="2" s="1"/>
  <c r="B123" i="2"/>
  <c r="F548" i="50" l="1"/>
  <c r="V548" i="50"/>
  <c r="G548" i="50"/>
  <c r="U545" i="50"/>
  <c r="V545" i="50"/>
  <c r="G545" i="50"/>
  <c r="F545" i="50"/>
  <c r="U565" i="50"/>
  <c r="G565" i="50"/>
  <c r="F565" i="50"/>
  <c r="V565" i="50"/>
  <c r="F560" i="50"/>
  <c r="V560" i="50"/>
  <c r="U560" i="50"/>
  <c r="V579" i="50"/>
  <c r="G579" i="50"/>
  <c r="F579" i="50"/>
  <c r="V558" i="50"/>
  <c r="U558" i="50"/>
  <c r="F558" i="50"/>
  <c r="G558" i="50"/>
  <c r="U579" i="50"/>
  <c r="G560" i="50"/>
  <c r="G535" i="50"/>
  <c r="F535" i="50"/>
  <c r="U535" i="50"/>
  <c r="D564" i="50"/>
  <c r="E564" i="50"/>
  <c r="B588" i="50"/>
  <c r="G556" i="50"/>
  <c r="F556" i="50"/>
  <c r="V556" i="50"/>
  <c r="D559" i="50"/>
  <c r="B583" i="50"/>
  <c r="E559" i="50"/>
  <c r="G540" i="50"/>
  <c r="F540" i="50"/>
  <c r="V540" i="50"/>
  <c r="V550" i="50"/>
  <c r="U550" i="50"/>
  <c r="F550" i="50"/>
  <c r="G550" i="50"/>
  <c r="V535" i="50"/>
  <c r="U540" i="50"/>
  <c r="F576" i="50"/>
  <c r="V576" i="50"/>
  <c r="U576" i="50"/>
  <c r="U542" i="50"/>
  <c r="V542" i="50"/>
  <c r="F542" i="50"/>
  <c r="G542" i="50"/>
  <c r="U567" i="50"/>
  <c r="G567" i="50"/>
  <c r="F567" i="50"/>
  <c r="U548" i="50"/>
  <c r="V533" i="50"/>
  <c r="U533" i="50"/>
  <c r="G533" i="50"/>
  <c r="F533" i="50"/>
  <c r="F544" i="50"/>
  <c r="V544" i="50"/>
  <c r="U544" i="50"/>
  <c r="V602" i="50"/>
  <c r="U602" i="50"/>
  <c r="G602" i="50"/>
  <c r="F602" i="50"/>
  <c r="V594" i="50"/>
  <c r="U594" i="50"/>
  <c r="F594" i="50"/>
  <c r="U601" i="50"/>
  <c r="F601" i="50"/>
  <c r="V601" i="50"/>
  <c r="V563" i="50"/>
  <c r="G563" i="50"/>
  <c r="F563" i="50"/>
  <c r="U585" i="50"/>
  <c r="F585" i="50"/>
  <c r="V585" i="50"/>
  <c r="V547" i="50"/>
  <c r="G547" i="50"/>
  <c r="F547" i="50"/>
  <c r="G544" i="50"/>
  <c r="V549" i="50"/>
  <c r="U549" i="50"/>
  <c r="G549" i="50"/>
  <c r="F549" i="50"/>
  <c r="G586" i="50"/>
  <c r="F586" i="50"/>
  <c r="V586" i="50"/>
  <c r="U586" i="50"/>
  <c r="U556" i="50"/>
  <c r="U575" i="50"/>
  <c r="G575" i="50"/>
  <c r="F575" i="50"/>
  <c r="V567" i="50"/>
  <c r="B633" i="50"/>
  <c r="D633" i="50" s="1"/>
  <c r="E609" i="50"/>
  <c r="E566" i="50"/>
  <c r="B590" i="50"/>
  <c r="D590" i="50" s="1"/>
  <c r="E591" i="50"/>
  <c r="B615" i="50"/>
  <c r="D615" i="50" s="1"/>
  <c r="E582" i="50"/>
  <c r="B606" i="50"/>
  <c r="D606" i="50" s="1"/>
  <c r="E557" i="50"/>
  <c r="F557" i="50" s="1"/>
  <c r="B581" i="50"/>
  <c r="D581" i="50" s="1"/>
  <c r="B642" i="50"/>
  <c r="D642" i="50" s="1"/>
  <c r="E618" i="50"/>
  <c r="E600" i="50"/>
  <c r="B624" i="50"/>
  <c r="D624" i="50" s="1"/>
  <c r="E571" i="50"/>
  <c r="B595" i="50"/>
  <c r="D595" i="50" s="1"/>
  <c r="E584" i="50"/>
  <c r="F584" i="50" s="1"/>
  <c r="B608" i="50"/>
  <c r="D608" i="50" s="1"/>
  <c r="B649" i="50"/>
  <c r="D649" i="50" s="1"/>
  <c r="E625" i="50"/>
  <c r="E603" i="50"/>
  <c r="G603" i="50" s="1"/>
  <c r="B627" i="50"/>
  <c r="D627" i="50" s="1"/>
  <c r="B596" i="50"/>
  <c r="D596" i="50" s="1"/>
  <c r="E572" i="50"/>
  <c r="U572" i="50" s="1"/>
  <c r="E568" i="50"/>
  <c r="F568" i="50" s="1"/>
  <c r="B592" i="50"/>
  <c r="D592" i="50" s="1"/>
  <c r="B623" i="50"/>
  <c r="D623" i="50" s="1"/>
  <c r="E599" i="50"/>
  <c r="E573" i="50"/>
  <c r="F573" i="50" s="1"/>
  <c r="B597" i="50"/>
  <c r="D597" i="50" s="1"/>
  <c r="B634" i="50"/>
  <c r="D634" i="50" s="1"/>
  <c r="E610" i="50"/>
  <c r="G610" i="50" s="1"/>
  <c r="E587" i="50"/>
  <c r="G587" i="50" s="1"/>
  <c r="B611" i="50"/>
  <c r="D611" i="50" s="1"/>
  <c r="B593" i="50"/>
  <c r="D593" i="50" s="1"/>
  <c r="E569" i="50"/>
  <c r="G569" i="50" s="1"/>
  <c r="B598" i="50"/>
  <c r="D598" i="50" s="1"/>
  <c r="E574" i="50"/>
  <c r="B650" i="50"/>
  <c r="D650" i="50" s="1"/>
  <c r="E626" i="50"/>
  <c r="G626" i="50" s="1"/>
  <c r="E589" i="50"/>
  <c r="B613" i="50"/>
  <c r="D613" i="50" s="1"/>
  <c r="E580" i="50"/>
  <c r="U580" i="50" s="1"/>
  <c r="B604" i="50"/>
  <c r="D604" i="50" s="1"/>
  <c r="D7" i="2"/>
  <c r="D13" i="23" s="1"/>
  <c r="P137" i="1"/>
  <c r="P136" i="1"/>
  <c r="M134" i="1"/>
  <c r="L134" i="1"/>
  <c r="K134" i="1"/>
  <c r="J134" i="1"/>
  <c r="I134" i="1"/>
  <c r="H134" i="1"/>
  <c r="G134" i="1"/>
  <c r="F609" i="50" l="1"/>
  <c r="U609" i="50"/>
  <c r="V609" i="50"/>
  <c r="G609" i="50"/>
  <c r="F564" i="50"/>
  <c r="V564" i="50"/>
  <c r="G564" i="50"/>
  <c r="V571" i="50"/>
  <c r="U571" i="50"/>
  <c r="F571" i="50"/>
  <c r="G571" i="50"/>
  <c r="U566" i="50"/>
  <c r="V566" i="50"/>
  <c r="F566" i="50"/>
  <c r="G566" i="50"/>
  <c r="U599" i="50"/>
  <c r="V599" i="50"/>
  <c r="F599" i="50"/>
  <c r="G599" i="50"/>
  <c r="G600" i="50"/>
  <c r="U600" i="50"/>
  <c r="V600" i="50"/>
  <c r="F600" i="50"/>
  <c r="V618" i="50"/>
  <c r="U618" i="50"/>
  <c r="G618" i="50"/>
  <c r="F618" i="50"/>
  <c r="F580" i="50"/>
  <c r="V580" i="50"/>
  <c r="G580" i="50"/>
  <c r="G568" i="50"/>
  <c r="V568" i="50"/>
  <c r="U568" i="50"/>
  <c r="U564" i="50"/>
  <c r="G572" i="50"/>
  <c r="V572" i="50"/>
  <c r="F572" i="50"/>
  <c r="G557" i="50"/>
  <c r="V557" i="50"/>
  <c r="U557" i="50"/>
  <c r="U559" i="50"/>
  <c r="G559" i="50"/>
  <c r="F559" i="50"/>
  <c r="D583" i="50"/>
  <c r="B607" i="50"/>
  <c r="E583" i="50"/>
  <c r="G589" i="50"/>
  <c r="V589" i="50"/>
  <c r="U589" i="50"/>
  <c r="U582" i="50"/>
  <c r="V582" i="50"/>
  <c r="F582" i="50"/>
  <c r="G582" i="50"/>
  <c r="V559" i="50"/>
  <c r="F610" i="50"/>
  <c r="U610" i="50"/>
  <c r="V610" i="50"/>
  <c r="V626" i="50"/>
  <c r="U626" i="50"/>
  <c r="F626" i="50"/>
  <c r="U625" i="50"/>
  <c r="V625" i="50"/>
  <c r="G625" i="50"/>
  <c r="F625" i="50"/>
  <c r="G573" i="50"/>
  <c r="V573" i="50"/>
  <c r="U573" i="50"/>
  <c r="U603" i="50"/>
  <c r="F603" i="50"/>
  <c r="V603" i="50"/>
  <c r="U569" i="50"/>
  <c r="F569" i="50"/>
  <c r="V569" i="50"/>
  <c r="F589" i="50"/>
  <c r="G584" i="50"/>
  <c r="U584" i="50"/>
  <c r="V584" i="50"/>
  <c r="V574" i="50"/>
  <c r="U574" i="50"/>
  <c r="F574" i="50"/>
  <c r="G574" i="50"/>
  <c r="V587" i="50"/>
  <c r="U587" i="50"/>
  <c r="F587" i="50"/>
  <c r="U591" i="50"/>
  <c r="V591" i="50"/>
  <c r="G591" i="50"/>
  <c r="F591" i="50"/>
  <c r="D588" i="50"/>
  <c r="B612" i="50"/>
  <c r="E588" i="50"/>
  <c r="B673" i="50"/>
  <c r="D673" i="50" s="1"/>
  <c r="E649" i="50"/>
  <c r="B630" i="50"/>
  <c r="D630" i="50" s="1"/>
  <c r="E606" i="50"/>
  <c r="E623" i="50"/>
  <c r="B647" i="50"/>
  <c r="D647" i="50" s="1"/>
  <c r="B632" i="50"/>
  <c r="D632" i="50" s="1"/>
  <c r="E608" i="50"/>
  <c r="B658" i="50"/>
  <c r="D658" i="50" s="1"/>
  <c r="E634" i="50"/>
  <c r="B635" i="50"/>
  <c r="D635" i="50" s="1"/>
  <c r="E611" i="50"/>
  <c r="U611" i="50" s="1"/>
  <c r="B616" i="50"/>
  <c r="D616" i="50" s="1"/>
  <c r="E592" i="50"/>
  <c r="G592" i="50" s="1"/>
  <c r="B628" i="50"/>
  <c r="D628" i="50" s="1"/>
  <c r="E604" i="50"/>
  <c r="U604" i="50" s="1"/>
  <c r="B674" i="50"/>
  <c r="D674" i="50" s="1"/>
  <c r="E650" i="50"/>
  <c r="B621" i="50"/>
  <c r="D621" i="50" s="1"/>
  <c r="E597" i="50"/>
  <c r="B619" i="50"/>
  <c r="D619" i="50" s="1"/>
  <c r="E595" i="50"/>
  <c r="E596" i="50"/>
  <c r="B620" i="50"/>
  <c r="D620" i="50" s="1"/>
  <c r="B648" i="50"/>
  <c r="D648" i="50" s="1"/>
  <c r="E624" i="50"/>
  <c r="B651" i="50"/>
  <c r="D651" i="50" s="1"/>
  <c r="E627" i="50"/>
  <c r="E598" i="50"/>
  <c r="B622" i="50"/>
  <c r="D622" i="50" s="1"/>
  <c r="B639" i="50"/>
  <c r="D639" i="50" s="1"/>
  <c r="E615" i="50"/>
  <c r="B666" i="50"/>
  <c r="D666" i="50" s="1"/>
  <c r="E642" i="50"/>
  <c r="B617" i="50"/>
  <c r="D617" i="50" s="1"/>
  <c r="E593" i="50"/>
  <c r="B605" i="50"/>
  <c r="D605" i="50" s="1"/>
  <c r="E581" i="50"/>
  <c r="B614" i="50"/>
  <c r="D614" i="50" s="1"/>
  <c r="E590" i="50"/>
  <c r="B657" i="50"/>
  <c r="D657" i="50" s="1"/>
  <c r="E633" i="50"/>
  <c r="G633" i="50" s="1"/>
  <c r="B637" i="50"/>
  <c r="D637" i="50" s="1"/>
  <c r="E613" i="50"/>
  <c r="D15" i="19"/>
  <c r="D15" i="23"/>
  <c r="D16" i="19"/>
  <c r="D16" i="23"/>
  <c r="D16" i="20"/>
  <c r="D16" i="12"/>
  <c r="D15" i="12"/>
  <c r="D15" i="20"/>
  <c r="G92" i="1"/>
  <c r="H92" i="1"/>
  <c r="I92" i="1"/>
  <c r="J92" i="1"/>
  <c r="K92" i="1"/>
  <c r="L92" i="1"/>
  <c r="M92" i="1"/>
  <c r="P94" i="1"/>
  <c r="P95" i="1"/>
  <c r="V581" i="50" l="1"/>
  <c r="U581" i="50"/>
  <c r="G581" i="50"/>
  <c r="F581" i="50"/>
  <c r="V634" i="50"/>
  <c r="U634" i="50"/>
  <c r="G634" i="50"/>
  <c r="F634" i="50"/>
  <c r="V596" i="50"/>
  <c r="G596" i="50"/>
  <c r="F596" i="50"/>
  <c r="U593" i="50"/>
  <c r="F593" i="50"/>
  <c r="V593" i="50"/>
  <c r="G593" i="50"/>
  <c r="V595" i="50"/>
  <c r="G595" i="50"/>
  <c r="F595" i="50"/>
  <c r="U608" i="50"/>
  <c r="V608" i="50"/>
  <c r="G608" i="50"/>
  <c r="F608" i="50"/>
  <c r="U642" i="50"/>
  <c r="F642" i="50"/>
  <c r="V642" i="50"/>
  <c r="V597" i="50"/>
  <c r="U597" i="50"/>
  <c r="G597" i="50"/>
  <c r="F597" i="50"/>
  <c r="U596" i="50"/>
  <c r="U624" i="50"/>
  <c r="V624" i="50"/>
  <c r="F624" i="50"/>
  <c r="G624" i="50"/>
  <c r="U623" i="50"/>
  <c r="G623" i="50"/>
  <c r="V623" i="50"/>
  <c r="F623" i="50"/>
  <c r="U615" i="50"/>
  <c r="F615" i="50"/>
  <c r="V615" i="50"/>
  <c r="G615" i="50"/>
  <c r="V650" i="50"/>
  <c r="U650" i="50"/>
  <c r="G650" i="50"/>
  <c r="F650" i="50"/>
  <c r="V606" i="50"/>
  <c r="U606" i="50"/>
  <c r="F606" i="50"/>
  <c r="G606" i="50"/>
  <c r="F590" i="50"/>
  <c r="V590" i="50"/>
  <c r="U590" i="50"/>
  <c r="G590" i="50"/>
  <c r="V611" i="50"/>
  <c r="G611" i="50"/>
  <c r="F611" i="50"/>
  <c r="V604" i="50"/>
  <c r="G604" i="50"/>
  <c r="F604" i="50"/>
  <c r="F649" i="50"/>
  <c r="G649" i="50"/>
  <c r="U649" i="50"/>
  <c r="V649" i="50"/>
  <c r="U598" i="50"/>
  <c r="G598" i="50"/>
  <c r="V598" i="50"/>
  <c r="F598" i="50"/>
  <c r="U583" i="50"/>
  <c r="G583" i="50"/>
  <c r="F583" i="50"/>
  <c r="G642" i="50"/>
  <c r="V613" i="50"/>
  <c r="U613" i="50"/>
  <c r="G613" i="50"/>
  <c r="F613" i="50"/>
  <c r="F627" i="50"/>
  <c r="V627" i="50"/>
  <c r="G627" i="50"/>
  <c r="V588" i="50"/>
  <c r="F588" i="50"/>
  <c r="G588" i="50"/>
  <c r="D607" i="50"/>
  <c r="E607" i="50"/>
  <c r="B631" i="50"/>
  <c r="D612" i="50"/>
  <c r="E612" i="50"/>
  <c r="B636" i="50"/>
  <c r="V583" i="50"/>
  <c r="F633" i="50"/>
  <c r="U633" i="50"/>
  <c r="V633" i="50"/>
  <c r="V592" i="50"/>
  <c r="U592" i="50"/>
  <c r="F592" i="50"/>
  <c r="U588" i="50"/>
  <c r="U627" i="50"/>
  <c r="U595" i="50"/>
  <c r="B681" i="50"/>
  <c r="D681" i="50" s="1"/>
  <c r="E657" i="50"/>
  <c r="E635" i="50"/>
  <c r="B659" i="50"/>
  <c r="D659" i="50" s="1"/>
  <c r="E628" i="50"/>
  <c r="U628" i="50" s="1"/>
  <c r="B652" i="50"/>
  <c r="D652" i="50" s="1"/>
  <c r="B698" i="50"/>
  <c r="D698" i="50" s="1"/>
  <c r="E674" i="50"/>
  <c r="G674" i="50" s="1"/>
  <c r="E614" i="50"/>
  <c r="B638" i="50"/>
  <c r="D638" i="50" s="1"/>
  <c r="E630" i="50"/>
  <c r="B654" i="50"/>
  <c r="D654" i="50" s="1"/>
  <c r="B690" i="50"/>
  <c r="D690" i="50" s="1"/>
  <c r="E666" i="50"/>
  <c r="E621" i="50"/>
  <c r="B645" i="50"/>
  <c r="D645" i="50" s="1"/>
  <c r="E605" i="50"/>
  <c r="B629" i="50"/>
  <c r="D629" i="50" s="1"/>
  <c r="B682" i="50"/>
  <c r="D682" i="50" s="1"/>
  <c r="E658" i="50"/>
  <c r="G658" i="50" s="1"/>
  <c r="B697" i="50"/>
  <c r="D697" i="50" s="1"/>
  <c r="E673" i="50"/>
  <c r="E639" i="50"/>
  <c r="B663" i="50"/>
  <c r="D663" i="50" s="1"/>
  <c r="E648" i="50"/>
  <c r="B672" i="50"/>
  <c r="D672" i="50" s="1"/>
  <c r="B641" i="50"/>
  <c r="D641" i="50" s="1"/>
  <c r="E617" i="50"/>
  <c r="G617" i="50" s="1"/>
  <c r="B644" i="50"/>
  <c r="D644" i="50" s="1"/>
  <c r="E620" i="50"/>
  <c r="E619" i="50"/>
  <c r="B643" i="50"/>
  <c r="D643" i="50" s="1"/>
  <c r="E632" i="50"/>
  <c r="B656" i="50"/>
  <c r="D656" i="50" s="1"/>
  <c r="B671" i="50"/>
  <c r="D671" i="50" s="1"/>
  <c r="E647" i="50"/>
  <c r="B646" i="50"/>
  <c r="D646" i="50" s="1"/>
  <c r="E622" i="50"/>
  <c r="E616" i="50"/>
  <c r="B640" i="50"/>
  <c r="D640" i="50" s="1"/>
  <c r="E637" i="50"/>
  <c r="B661" i="50"/>
  <c r="D661" i="50" s="1"/>
  <c r="E651" i="50"/>
  <c r="G651" i="50" s="1"/>
  <c r="B675" i="50"/>
  <c r="D675" i="50" s="1"/>
  <c r="V612" i="50" l="1"/>
  <c r="G612" i="50"/>
  <c r="F612" i="50"/>
  <c r="U612" i="50"/>
  <c r="U632" i="50"/>
  <c r="G632" i="50"/>
  <c r="V632" i="50"/>
  <c r="F632" i="50"/>
  <c r="V605" i="50"/>
  <c r="U605" i="50"/>
  <c r="G605" i="50"/>
  <c r="F605" i="50"/>
  <c r="V635" i="50"/>
  <c r="U635" i="50"/>
  <c r="F635" i="50"/>
  <c r="U657" i="50"/>
  <c r="F657" i="50"/>
  <c r="V657" i="50"/>
  <c r="G657" i="50"/>
  <c r="V619" i="50"/>
  <c r="U619" i="50"/>
  <c r="F619" i="50"/>
  <c r="V621" i="50"/>
  <c r="G621" i="50"/>
  <c r="U621" i="50"/>
  <c r="F621" i="50"/>
  <c r="U607" i="50"/>
  <c r="V607" i="50"/>
  <c r="F607" i="50"/>
  <c r="G607" i="50"/>
  <c r="G619" i="50"/>
  <c r="F620" i="50"/>
  <c r="V620" i="50"/>
  <c r="G620" i="50"/>
  <c r="V658" i="50"/>
  <c r="U658" i="50"/>
  <c r="F658" i="50"/>
  <c r="V666" i="50"/>
  <c r="U666" i="50"/>
  <c r="G666" i="50"/>
  <c r="F666" i="50"/>
  <c r="G637" i="50"/>
  <c r="U637" i="50"/>
  <c r="F637" i="50"/>
  <c r="V637" i="50"/>
  <c r="U675" i="50"/>
  <c r="U617" i="50"/>
  <c r="V617" i="50"/>
  <c r="F617" i="50"/>
  <c r="U620" i="50"/>
  <c r="D631" i="50"/>
  <c r="B655" i="50"/>
  <c r="E631" i="50"/>
  <c r="U648" i="50"/>
  <c r="V648" i="50"/>
  <c r="F648" i="50"/>
  <c r="G648" i="50"/>
  <c r="U630" i="50"/>
  <c r="G630" i="50"/>
  <c r="V630" i="50"/>
  <c r="F630" i="50"/>
  <c r="V622" i="50"/>
  <c r="U622" i="50"/>
  <c r="G622" i="50"/>
  <c r="F622" i="50"/>
  <c r="D636" i="50"/>
  <c r="E636" i="50"/>
  <c r="B660" i="50"/>
  <c r="U616" i="50"/>
  <c r="V616" i="50"/>
  <c r="F616" i="50"/>
  <c r="G616" i="50"/>
  <c r="U639" i="50"/>
  <c r="G639" i="50"/>
  <c r="V639" i="50"/>
  <c r="F639" i="50"/>
  <c r="U614" i="50"/>
  <c r="G614" i="50"/>
  <c r="V614" i="50"/>
  <c r="F614" i="50"/>
  <c r="V651" i="50"/>
  <c r="U651" i="50"/>
  <c r="F651" i="50"/>
  <c r="U673" i="50"/>
  <c r="F673" i="50"/>
  <c r="V673" i="50"/>
  <c r="G673" i="50"/>
  <c r="V674" i="50"/>
  <c r="U674" i="50"/>
  <c r="F674" i="50"/>
  <c r="V628" i="50"/>
  <c r="G628" i="50"/>
  <c r="F628" i="50"/>
  <c r="U647" i="50"/>
  <c r="F647" i="50"/>
  <c r="V647" i="50"/>
  <c r="G647" i="50"/>
  <c r="G635" i="50"/>
  <c r="B721" i="50"/>
  <c r="D721" i="50" s="1"/>
  <c r="E697" i="50"/>
  <c r="E671" i="50"/>
  <c r="B695" i="50"/>
  <c r="D695" i="50" s="1"/>
  <c r="E644" i="50"/>
  <c r="B668" i="50"/>
  <c r="D668" i="50" s="1"/>
  <c r="B665" i="50"/>
  <c r="D665" i="50" s="1"/>
  <c r="E641" i="50"/>
  <c r="B706" i="50"/>
  <c r="D706" i="50" s="1"/>
  <c r="E682" i="50"/>
  <c r="B714" i="50"/>
  <c r="D714" i="50" s="1"/>
  <c r="E690" i="50"/>
  <c r="G690" i="50" s="1"/>
  <c r="B662" i="50"/>
  <c r="D662" i="50" s="1"/>
  <c r="E638" i="50"/>
  <c r="B699" i="50"/>
  <c r="D699" i="50" s="1"/>
  <c r="E675" i="50"/>
  <c r="B696" i="50"/>
  <c r="D696" i="50" s="1"/>
  <c r="E672" i="50"/>
  <c r="B678" i="50"/>
  <c r="D678" i="50" s="1"/>
  <c r="E654" i="50"/>
  <c r="B683" i="50"/>
  <c r="D683" i="50" s="1"/>
  <c r="E659" i="50"/>
  <c r="E646" i="50"/>
  <c r="B670" i="50"/>
  <c r="D670" i="50" s="1"/>
  <c r="B680" i="50"/>
  <c r="D680" i="50" s="1"/>
  <c r="E656" i="50"/>
  <c r="B687" i="50"/>
  <c r="D687" i="50" s="1"/>
  <c r="E663" i="50"/>
  <c r="B685" i="50"/>
  <c r="D685" i="50" s="1"/>
  <c r="E661" i="50"/>
  <c r="B722" i="50"/>
  <c r="D722" i="50" s="1"/>
  <c r="E698" i="50"/>
  <c r="B667" i="50"/>
  <c r="D667" i="50" s="1"/>
  <c r="E643" i="50"/>
  <c r="B669" i="50"/>
  <c r="D669" i="50" s="1"/>
  <c r="E645" i="50"/>
  <c r="B664" i="50"/>
  <c r="D664" i="50" s="1"/>
  <c r="E640" i="50"/>
  <c r="B653" i="50"/>
  <c r="D653" i="50" s="1"/>
  <c r="E629" i="50"/>
  <c r="B705" i="50"/>
  <c r="D705" i="50" s="1"/>
  <c r="E681" i="50"/>
  <c r="B676" i="50"/>
  <c r="D676" i="50" s="1"/>
  <c r="E652" i="50"/>
  <c r="U652" i="50" s="1"/>
  <c r="U636" i="50" l="1"/>
  <c r="F656" i="50"/>
  <c r="U656" i="50"/>
  <c r="V656" i="50"/>
  <c r="G656" i="50"/>
  <c r="G646" i="50"/>
  <c r="V646" i="50"/>
  <c r="U646" i="50"/>
  <c r="F646" i="50"/>
  <c r="V663" i="50"/>
  <c r="U663" i="50"/>
  <c r="F663" i="50"/>
  <c r="G663" i="50"/>
  <c r="V659" i="50"/>
  <c r="F659" i="50"/>
  <c r="G659" i="50"/>
  <c r="F690" i="50"/>
  <c r="U690" i="50"/>
  <c r="V690" i="50"/>
  <c r="U640" i="50"/>
  <c r="F640" i="50"/>
  <c r="V640" i="50"/>
  <c r="G640" i="50"/>
  <c r="V645" i="50"/>
  <c r="U645" i="50"/>
  <c r="G645" i="50"/>
  <c r="F645" i="50"/>
  <c r="G643" i="50"/>
  <c r="F643" i="50"/>
  <c r="V643" i="50"/>
  <c r="V644" i="50"/>
  <c r="G644" i="50"/>
  <c r="F644" i="50"/>
  <c r="V629" i="50"/>
  <c r="U629" i="50"/>
  <c r="G629" i="50"/>
  <c r="F629" i="50"/>
  <c r="V698" i="50"/>
  <c r="U698" i="50"/>
  <c r="G698" i="50"/>
  <c r="F698" i="50"/>
  <c r="V654" i="50"/>
  <c r="G654" i="50"/>
  <c r="U654" i="50"/>
  <c r="F654" i="50"/>
  <c r="U671" i="50"/>
  <c r="V671" i="50"/>
  <c r="F671" i="50"/>
  <c r="G671" i="50"/>
  <c r="U672" i="50"/>
  <c r="V672" i="50"/>
  <c r="G672" i="50"/>
  <c r="F672" i="50"/>
  <c r="V682" i="50"/>
  <c r="U682" i="50"/>
  <c r="G682" i="50"/>
  <c r="F682" i="50"/>
  <c r="U641" i="50"/>
  <c r="F641" i="50"/>
  <c r="V641" i="50"/>
  <c r="G641" i="50"/>
  <c r="D660" i="50"/>
  <c r="E660" i="50"/>
  <c r="B684" i="50"/>
  <c r="D655" i="50"/>
  <c r="E655" i="50"/>
  <c r="B679" i="50"/>
  <c r="V697" i="50"/>
  <c r="G697" i="50"/>
  <c r="U697" i="50"/>
  <c r="F697" i="50"/>
  <c r="U631" i="50"/>
  <c r="G631" i="50"/>
  <c r="F631" i="50"/>
  <c r="V631" i="50"/>
  <c r="V652" i="50"/>
  <c r="G652" i="50"/>
  <c r="F652" i="50"/>
  <c r="V661" i="50"/>
  <c r="U661" i="50"/>
  <c r="G661" i="50"/>
  <c r="F661" i="50"/>
  <c r="V675" i="50"/>
  <c r="G675" i="50"/>
  <c r="F675" i="50"/>
  <c r="V636" i="50"/>
  <c r="G636" i="50"/>
  <c r="F636" i="50"/>
  <c r="U681" i="50"/>
  <c r="F681" i="50"/>
  <c r="V681" i="50"/>
  <c r="G681" i="50"/>
  <c r="V638" i="50"/>
  <c r="G638" i="50"/>
  <c r="U638" i="50"/>
  <c r="F638" i="50"/>
  <c r="U643" i="50"/>
  <c r="U644" i="50"/>
  <c r="U659" i="50"/>
  <c r="B689" i="50"/>
  <c r="D689" i="50" s="1"/>
  <c r="E665" i="50"/>
  <c r="E722" i="50"/>
  <c r="B746" i="50"/>
  <c r="D746" i="50" s="1"/>
  <c r="E687" i="50"/>
  <c r="B711" i="50"/>
  <c r="D711" i="50" s="1"/>
  <c r="E683" i="50"/>
  <c r="B707" i="50"/>
  <c r="D707" i="50" s="1"/>
  <c r="E699" i="50"/>
  <c r="G699" i="50" s="1"/>
  <c r="B723" i="50"/>
  <c r="D723" i="50" s="1"/>
  <c r="B745" i="50"/>
  <c r="D745" i="50" s="1"/>
  <c r="E721" i="50"/>
  <c r="E653" i="50"/>
  <c r="U653" i="50" s="1"/>
  <c r="B677" i="50"/>
  <c r="D677" i="50" s="1"/>
  <c r="E678" i="50"/>
  <c r="B702" i="50"/>
  <c r="D702" i="50" s="1"/>
  <c r="B729" i="50"/>
  <c r="D729" i="50" s="1"/>
  <c r="E705" i="50"/>
  <c r="E667" i="50"/>
  <c r="G667" i="50" s="1"/>
  <c r="B691" i="50"/>
  <c r="D691" i="50" s="1"/>
  <c r="E662" i="50"/>
  <c r="B686" i="50"/>
  <c r="D686" i="50" s="1"/>
  <c r="E685" i="50"/>
  <c r="B709" i="50"/>
  <c r="D709" i="50" s="1"/>
  <c r="E664" i="50"/>
  <c r="B688" i="50"/>
  <c r="D688" i="50" s="1"/>
  <c r="E696" i="50"/>
  <c r="B720" i="50"/>
  <c r="D720" i="50" s="1"/>
  <c r="B692" i="50"/>
  <c r="D692" i="50" s="1"/>
  <c r="E668" i="50"/>
  <c r="B694" i="50"/>
  <c r="D694" i="50" s="1"/>
  <c r="E670" i="50"/>
  <c r="B738" i="50"/>
  <c r="D738" i="50" s="1"/>
  <c r="E714" i="50"/>
  <c r="E676" i="50"/>
  <c r="U676" i="50" s="1"/>
  <c r="B700" i="50"/>
  <c r="D700" i="50" s="1"/>
  <c r="E669" i="50"/>
  <c r="U669" i="50" s="1"/>
  <c r="B693" i="50"/>
  <c r="D693" i="50" s="1"/>
  <c r="B719" i="50"/>
  <c r="D719" i="50" s="1"/>
  <c r="E695" i="50"/>
  <c r="E680" i="50"/>
  <c r="B704" i="50"/>
  <c r="D704" i="50" s="1"/>
  <c r="E706" i="50"/>
  <c r="B730" i="50"/>
  <c r="D730" i="50" s="1"/>
  <c r="U660" i="50" l="1"/>
  <c r="V722" i="50"/>
  <c r="U722" i="50"/>
  <c r="F722" i="50"/>
  <c r="U665" i="50"/>
  <c r="F665" i="50"/>
  <c r="V665" i="50"/>
  <c r="G665" i="50"/>
  <c r="G678" i="50"/>
  <c r="V678" i="50"/>
  <c r="U678" i="50"/>
  <c r="F678" i="50"/>
  <c r="U706" i="50"/>
  <c r="F706" i="50"/>
  <c r="V706" i="50"/>
  <c r="U721" i="50"/>
  <c r="F721" i="50"/>
  <c r="V721" i="50"/>
  <c r="G721" i="50"/>
  <c r="G706" i="50"/>
  <c r="U696" i="50"/>
  <c r="G696" i="50"/>
  <c r="V696" i="50"/>
  <c r="F696" i="50"/>
  <c r="D679" i="50"/>
  <c r="B703" i="50"/>
  <c r="E679" i="50"/>
  <c r="U655" i="50"/>
  <c r="G655" i="50"/>
  <c r="V655" i="50"/>
  <c r="F655" i="50"/>
  <c r="V670" i="50"/>
  <c r="U670" i="50"/>
  <c r="G670" i="50"/>
  <c r="F670" i="50"/>
  <c r="G664" i="50"/>
  <c r="U664" i="50"/>
  <c r="V664" i="50"/>
  <c r="F664" i="50"/>
  <c r="D684" i="50"/>
  <c r="B708" i="50"/>
  <c r="E684" i="50"/>
  <c r="V668" i="50"/>
  <c r="G668" i="50"/>
  <c r="F668" i="50"/>
  <c r="V685" i="50"/>
  <c r="G685" i="50"/>
  <c r="F685" i="50"/>
  <c r="V699" i="50"/>
  <c r="U699" i="50"/>
  <c r="F699" i="50"/>
  <c r="V660" i="50"/>
  <c r="G660" i="50"/>
  <c r="F660" i="50"/>
  <c r="U680" i="50"/>
  <c r="G680" i="50"/>
  <c r="V680" i="50"/>
  <c r="F680" i="50"/>
  <c r="V669" i="50"/>
  <c r="G669" i="50"/>
  <c r="F669" i="50"/>
  <c r="G662" i="50"/>
  <c r="V662" i="50"/>
  <c r="U662" i="50"/>
  <c r="F662" i="50"/>
  <c r="V683" i="50"/>
  <c r="U683" i="50"/>
  <c r="F683" i="50"/>
  <c r="G722" i="50"/>
  <c r="G683" i="50"/>
  <c r="F705" i="50"/>
  <c r="U705" i="50"/>
  <c r="V705" i="50"/>
  <c r="G705" i="50"/>
  <c r="V653" i="50"/>
  <c r="G653" i="50"/>
  <c r="F653" i="50"/>
  <c r="G714" i="50"/>
  <c r="F714" i="50"/>
  <c r="V714" i="50"/>
  <c r="U714" i="50"/>
  <c r="V695" i="50"/>
  <c r="U695" i="50"/>
  <c r="G695" i="50"/>
  <c r="F695" i="50"/>
  <c r="V676" i="50"/>
  <c r="G676" i="50"/>
  <c r="F676" i="50"/>
  <c r="V667" i="50"/>
  <c r="U667" i="50"/>
  <c r="F667" i="50"/>
  <c r="G687" i="50"/>
  <c r="V687" i="50"/>
  <c r="F687" i="50"/>
  <c r="U687" i="50"/>
  <c r="U685" i="50"/>
  <c r="U668" i="50"/>
  <c r="B726" i="50"/>
  <c r="D726" i="50" s="1"/>
  <c r="E702" i="50"/>
  <c r="E694" i="50"/>
  <c r="B718" i="50"/>
  <c r="D718" i="50" s="1"/>
  <c r="B715" i="50"/>
  <c r="D715" i="50" s="1"/>
  <c r="E691" i="50"/>
  <c r="B733" i="50"/>
  <c r="D733" i="50" s="1"/>
  <c r="E709" i="50"/>
  <c r="E692" i="50"/>
  <c r="U692" i="50" s="1"/>
  <c r="B716" i="50"/>
  <c r="D716" i="50" s="1"/>
  <c r="B735" i="50"/>
  <c r="D735" i="50" s="1"/>
  <c r="E711" i="50"/>
  <c r="B754" i="50"/>
  <c r="D754" i="50" s="1"/>
  <c r="E730" i="50"/>
  <c r="B701" i="50"/>
  <c r="D701" i="50" s="1"/>
  <c r="E677" i="50"/>
  <c r="B770" i="50"/>
  <c r="D770" i="50" s="1"/>
  <c r="E746" i="50"/>
  <c r="B744" i="50"/>
  <c r="D744" i="50" s="1"/>
  <c r="E720" i="50"/>
  <c r="B753" i="50"/>
  <c r="D753" i="50" s="1"/>
  <c r="E729" i="50"/>
  <c r="E738" i="50"/>
  <c r="G738" i="50" s="1"/>
  <c r="B762" i="50"/>
  <c r="D762" i="50" s="1"/>
  <c r="B710" i="50"/>
  <c r="D710" i="50" s="1"/>
  <c r="E686" i="50"/>
  <c r="B769" i="50"/>
  <c r="D769" i="50" s="1"/>
  <c r="E745" i="50"/>
  <c r="B731" i="50"/>
  <c r="D731" i="50" s="1"/>
  <c r="E707" i="50"/>
  <c r="U707" i="50" s="1"/>
  <c r="E719" i="50"/>
  <c r="B743" i="50"/>
  <c r="D743" i="50" s="1"/>
  <c r="B728" i="50"/>
  <c r="D728" i="50" s="1"/>
  <c r="E704" i="50"/>
  <c r="B717" i="50"/>
  <c r="D717" i="50" s="1"/>
  <c r="E693" i="50"/>
  <c r="B747" i="50"/>
  <c r="D747" i="50" s="1"/>
  <c r="E723" i="50"/>
  <c r="U723" i="50" s="1"/>
  <c r="B724" i="50"/>
  <c r="D724" i="50" s="1"/>
  <c r="E700" i="50"/>
  <c r="B712" i="50"/>
  <c r="D712" i="50" s="1"/>
  <c r="E688" i="50"/>
  <c r="B713" i="50"/>
  <c r="D713" i="50" s="1"/>
  <c r="E689" i="50"/>
  <c r="U729" i="50" l="1"/>
  <c r="F729" i="50"/>
  <c r="G729" i="50"/>
  <c r="V729" i="50"/>
  <c r="V691" i="50"/>
  <c r="G691" i="50"/>
  <c r="F691" i="50"/>
  <c r="V709" i="50"/>
  <c r="U709" i="50"/>
  <c r="G709" i="50"/>
  <c r="F709" i="50"/>
  <c r="U720" i="50"/>
  <c r="V720" i="50"/>
  <c r="G720" i="50"/>
  <c r="F720" i="50"/>
  <c r="V694" i="50"/>
  <c r="U694" i="50"/>
  <c r="F694" i="50"/>
  <c r="G694" i="50"/>
  <c r="V684" i="50"/>
  <c r="G684" i="50"/>
  <c r="F684" i="50"/>
  <c r="U704" i="50"/>
  <c r="V704" i="50"/>
  <c r="G704" i="50"/>
  <c r="F704" i="50"/>
  <c r="V746" i="50"/>
  <c r="U746" i="50"/>
  <c r="G746" i="50"/>
  <c r="F746" i="50"/>
  <c r="D708" i="50"/>
  <c r="E708" i="50"/>
  <c r="B732" i="50"/>
  <c r="G679" i="50"/>
  <c r="F679" i="50"/>
  <c r="V679" i="50"/>
  <c r="U679" i="50"/>
  <c r="U684" i="50"/>
  <c r="D703" i="50"/>
  <c r="E703" i="50"/>
  <c r="B727" i="50"/>
  <c r="V677" i="50"/>
  <c r="U677" i="50"/>
  <c r="G677" i="50"/>
  <c r="F677" i="50"/>
  <c r="V702" i="50"/>
  <c r="G702" i="50"/>
  <c r="U702" i="50"/>
  <c r="F702" i="50"/>
  <c r="U719" i="50"/>
  <c r="V719" i="50"/>
  <c r="F719" i="50"/>
  <c r="G719" i="50"/>
  <c r="V707" i="50"/>
  <c r="G707" i="50"/>
  <c r="F707" i="50"/>
  <c r="G730" i="50"/>
  <c r="F730" i="50"/>
  <c r="V730" i="50"/>
  <c r="U730" i="50"/>
  <c r="V693" i="50"/>
  <c r="U693" i="50"/>
  <c r="G693" i="50"/>
  <c r="F693" i="50"/>
  <c r="U688" i="50"/>
  <c r="V688" i="50"/>
  <c r="G688" i="50"/>
  <c r="F688" i="50"/>
  <c r="U711" i="50"/>
  <c r="G711" i="50"/>
  <c r="F711" i="50"/>
  <c r="V711" i="50"/>
  <c r="V689" i="50"/>
  <c r="G689" i="50"/>
  <c r="U689" i="50"/>
  <c r="F689" i="50"/>
  <c r="V723" i="50"/>
  <c r="G723" i="50"/>
  <c r="F723" i="50"/>
  <c r="V700" i="50"/>
  <c r="G700" i="50"/>
  <c r="F700" i="50"/>
  <c r="G686" i="50"/>
  <c r="U686" i="50"/>
  <c r="F686" i="50"/>
  <c r="V686" i="50"/>
  <c r="U691" i="50"/>
  <c r="V738" i="50"/>
  <c r="F738" i="50"/>
  <c r="U738" i="50"/>
  <c r="U745" i="50"/>
  <c r="V745" i="50"/>
  <c r="G745" i="50"/>
  <c r="F745" i="50"/>
  <c r="V692" i="50"/>
  <c r="F692" i="50"/>
  <c r="G692" i="50"/>
  <c r="U700" i="50"/>
  <c r="E717" i="50"/>
  <c r="B741" i="50"/>
  <c r="D741" i="50" s="1"/>
  <c r="E735" i="50"/>
  <c r="B759" i="50"/>
  <c r="D759" i="50" s="1"/>
  <c r="E715" i="50"/>
  <c r="G715" i="50" s="1"/>
  <c r="B739" i="50"/>
  <c r="D739" i="50" s="1"/>
  <c r="E733" i="50"/>
  <c r="B757" i="50"/>
  <c r="D757" i="50" s="1"/>
  <c r="B742" i="50"/>
  <c r="D742" i="50" s="1"/>
  <c r="E718" i="50"/>
  <c r="E731" i="50"/>
  <c r="B755" i="50"/>
  <c r="D755" i="50" s="1"/>
  <c r="B740" i="50"/>
  <c r="D740" i="50" s="1"/>
  <c r="E716" i="50"/>
  <c r="U716" i="50" s="1"/>
  <c r="E701" i="50"/>
  <c r="B725" i="50"/>
  <c r="D725" i="50" s="1"/>
  <c r="E712" i="50"/>
  <c r="B736" i="50"/>
  <c r="D736" i="50" s="1"/>
  <c r="B752" i="50"/>
  <c r="D752" i="50" s="1"/>
  <c r="E728" i="50"/>
  <c r="B793" i="50"/>
  <c r="D793" i="50" s="1"/>
  <c r="E769" i="50"/>
  <c r="E770" i="50"/>
  <c r="G770" i="50" s="1"/>
  <c r="B794" i="50"/>
  <c r="D794" i="50" s="1"/>
  <c r="B771" i="50"/>
  <c r="D771" i="50" s="1"/>
  <c r="E747" i="50"/>
  <c r="B777" i="50"/>
  <c r="D777" i="50" s="1"/>
  <c r="E753" i="50"/>
  <c r="E754" i="50"/>
  <c r="G754" i="50" s="1"/>
  <c r="B778" i="50"/>
  <c r="D778" i="50" s="1"/>
  <c r="B737" i="50"/>
  <c r="D737" i="50" s="1"/>
  <c r="E713" i="50"/>
  <c r="E710" i="50"/>
  <c r="B734" i="50"/>
  <c r="D734" i="50" s="1"/>
  <c r="B767" i="50"/>
  <c r="D767" i="50" s="1"/>
  <c r="E743" i="50"/>
  <c r="B786" i="50"/>
  <c r="D786" i="50" s="1"/>
  <c r="E762" i="50"/>
  <c r="B768" i="50"/>
  <c r="D768" i="50" s="1"/>
  <c r="E744" i="50"/>
  <c r="E724" i="50"/>
  <c r="U724" i="50" s="1"/>
  <c r="B748" i="50"/>
  <c r="D748" i="50" s="1"/>
  <c r="E726" i="50"/>
  <c r="B750" i="50"/>
  <c r="D750" i="50" s="1"/>
  <c r="U713" i="50" l="1"/>
  <c r="V713" i="50"/>
  <c r="G713" i="50"/>
  <c r="F713" i="50"/>
  <c r="G712" i="50"/>
  <c r="V712" i="50"/>
  <c r="F712" i="50"/>
  <c r="U712" i="50"/>
  <c r="V717" i="50"/>
  <c r="G717" i="50"/>
  <c r="F717" i="50"/>
  <c r="D727" i="50"/>
  <c r="B751" i="50"/>
  <c r="E727" i="50"/>
  <c r="V710" i="50"/>
  <c r="U710" i="50"/>
  <c r="F710" i="50"/>
  <c r="G710" i="50"/>
  <c r="V701" i="50"/>
  <c r="G701" i="50"/>
  <c r="F701" i="50"/>
  <c r="U703" i="50"/>
  <c r="G703" i="50"/>
  <c r="V703" i="50"/>
  <c r="F703" i="50"/>
  <c r="G726" i="50"/>
  <c r="V726" i="50"/>
  <c r="U726" i="50"/>
  <c r="F726" i="50"/>
  <c r="U747" i="50"/>
  <c r="F747" i="50"/>
  <c r="V747" i="50"/>
  <c r="V731" i="50"/>
  <c r="U731" i="50"/>
  <c r="F731" i="50"/>
  <c r="V716" i="50"/>
  <c r="G716" i="50"/>
  <c r="F716" i="50"/>
  <c r="U744" i="50"/>
  <c r="G744" i="50"/>
  <c r="F744" i="50"/>
  <c r="V744" i="50"/>
  <c r="U718" i="50"/>
  <c r="F718" i="50"/>
  <c r="V718" i="50"/>
  <c r="G718" i="50"/>
  <c r="G731" i="50"/>
  <c r="G728" i="50"/>
  <c r="U728" i="50"/>
  <c r="V728" i="50"/>
  <c r="F728" i="50"/>
  <c r="G735" i="50"/>
  <c r="V735" i="50"/>
  <c r="F735" i="50"/>
  <c r="U735" i="50"/>
  <c r="V753" i="50"/>
  <c r="G753" i="50"/>
  <c r="U753" i="50"/>
  <c r="F753" i="50"/>
  <c r="U770" i="50"/>
  <c r="F770" i="50"/>
  <c r="V770" i="50"/>
  <c r="G747" i="50"/>
  <c r="F769" i="50"/>
  <c r="V769" i="50"/>
  <c r="G769" i="50"/>
  <c r="U769" i="50"/>
  <c r="V733" i="50"/>
  <c r="G733" i="50"/>
  <c r="F733" i="50"/>
  <c r="U717" i="50"/>
  <c r="D732" i="50"/>
  <c r="B756" i="50"/>
  <c r="E732" i="50"/>
  <c r="F754" i="50"/>
  <c r="U754" i="50"/>
  <c r="V754" i="50"/>
  <c r="U701" i="50"/>
  <c r="V724" i="50"/>
  <c r="G724" i="50"/>
  <c r="F724" i="50"/>
  <c r="V762" i="50"/>
  <c r="U762" i="50"/>
  <c r="G762" i="50"/>
  <c r="F762" i="50"/>
  <c r="F743" i="50"/>
  <c r="V743" i="50"/>
  <c r="U743" i="50"/>
  <c r="G743" i="50"/>
  <c r="F708" i="50"/>
  <c r="V708" i="50"/>
  <c r="G708" i="50"/>
  <c r="V715" i="50"/>
  <c r="U715" i="50"/>
  <c r="F715" i="50"/>
  <c r="U708" i="50"/>
  <c r="U733" i="50"/>
  <c r="B779" i="50"/>
  <c r="D779" i="50" s="1"/>
  <c r="E755" i="50"/>
  <c r="E742" i="50"/>
  <c r="B766" i="50"/>
  <c r="D766" i="50" s="1"/>
  <c r="B749" i="50"/>
  <c r="D749" i="50" s="1"/>
  <c r="E725" i="50"/>
  <c r="B781" i="50"/>
  <c r="D781" i="50" s="1"/>
  <c r="E757" i="50"/>
  <c r="B801" i="50"/>
  <c r="D801" i="50" s="1"/>
  <c r="E777" i="50"/>
  <c r="B792" i="50"/>
  <c r="D792" i="50" s="1"/>
  <c r="E768" i="50"/>
  <c r="B758" i="50"/>
  <c r="D758" i="50" s="1"/>
  <c r="E734" i="50"/>
  <c r="E793" i="50"/>
  <c r="V793" i="50" s="1"/>
  <c r="B817" i="50"/>
  <c r="D817" i="50" s="1"/>
  <c r="E759" i="50"/>
  <c r="B783" i="50"/>
  <c r="D783" i="50" s="1"/>
  <c r="E752" i="50"/>
  <c r="B776" i="50"/>
  <c r="D776" i="50" s="1"/>
  <c r="B795" i="50"/>
  <c r="D795" i="50" s="1"/>
  <c r="E771" i="50"/>
  <c r="E750" i="50"/>
  <c r="B774" i="50"/>
  <c r="D774" i="50" s="1"/>
  <c r="B818" i="50"/>
  <c r="D818" i="50" s="1"/>
  <c r="E794" i="50"/>
  <c r="B765" i="50"/>
  <c r="D765" i="50" s="1"/>
  <c r="E741" i="50"/>
  <c r="E786" i="50"/>
  <c r="B810" i="50"/>
  <c r="D810" i="50" s="1"/>
  <c r="B802" i="50"/>
  <c r="D802" i="50" s="1"/>
  <c r="E778" i="50"/>
  <c r="B761" i="50"/>
  <c r="D761" i="50" s="1"/>
  <c r="E737" i="50"/>
  <c r="B763" i="50"/>
  <c r="D763" i="50" s="1"/>
  <c r="E739" i="50"/>
  <c r="U739" i="50" s="1"/>
  <c r="B772" i="50"/>
  <c r="D772" i="50" s="1"/>
  <c r="E748" i="50"/>
  <c r="U748" i="50" s="1"/>
  <c r="E767" i="50"/>
  <c r="B791" i="50"/>
  <c r="D791" i="50" s="1"/>
  <c r="B760" i="50"/>
  <c r="D760" i="50" s="1"/>
  <c r="E736" i="50"/>
  <c r="E740" i="50"/>
  <c r="U740" i="50" s="1"/>
  <c r="B764" i="50"/>
  <c r="D764" i="50" s="1"/>
  <c r="V732" i="50" l="1"/>
  <c r="G732" i="50"/>
  <c r="F732" i="50"/>
  <c r="U727" i="50"/>
  <c r="G727" i="50"/>
  <c r="F727" i="50"/>
  <c r="V727" i="50"/>
  <c r="V750" i="50"/>
  <c r="F750" i="50"/>
  <c r="G750" i="50"/>
  <c r="U750" i="50"/>
  <c r="V771" i="50"/>
  <c r="G771" i="50"/>
  <c r="F771" i="50"/>
  <c r="V725" i="50"/>
  <c r="U725" i="50"/>
  <c r="G725" i="50"/>
  <c r="F725" i="50"/>
  <c r="D756" i="50"/>
  <c r="E756" i="50"/>
  <c r="B780" i="50"/>
  <c r="D751" i="50"/>
  <c r="E751" i="50"/>
  <c r="B775" i="50"/>
  <c r="U732" i="50"/>
  <c r="V739" i="50"/>
  <c r="G739" i="50"/>
  <c r="F739" i="50"/>
  <c r="U752" i="50"/>
  <c r="V752" i="50"/>
  <c r="G752" i="50"/>
  <c r="F752" i="50"/>
  <c r="G742" i="50"/>
  <c r="V742" i="50"/>
  <c r="U742" i="50"/>
  <c r="F742" i="50"/>
  <c r="V755" i="50"/>
  <c r="G755" i="50"/>
  <c r="F755" i="50"/>
  <c r="U759" i="50"/>
  <c r="G759" i="50"/>
  <c r="F759" i="50"/>
  <c r="V759" i="50"/>
  <c r="V778" i="50"/>
  <c r="U778" i="50"/>
  <c r="G778" i="50"/>
  <c r="F778" i="50"/>
  <c r="V740" i="50"/>
  <c r="G740" i="50"/>
  <c r="F740" i="50"/>
  <c r="U793" i="50"/>
  <c r="F793" i="50"/>
  <c r="G793" i="50"/>
  <c r="V734" i="50"/>
  <c r="G734" i="50"/>
  <c r="U734" i="50"/>
  <c r="F734" i="50"/>
  <c r="V757" i="50"/>
  <c r="U757" i="50"/>
  <c r="G757" i="50"/>
  <c r="F757" i="50"/>
  <c r="U786" i="50"/>
  <c r="V786" i="50"/>
  <c r="G786" i="50"/>
  <c r="F786" i="50"/>
  <c r="V768" i="50"/>
  <c r="G768" i="50"/>
  <c r="F768" i="50"/>
  <c r="U768" i="50"/>
  <c r="U737" i="50"/>
  <c r="F737" i="50"/>
  <c r="V737" i="50"/>
  <c r="G737" i="50"/>
  <c r="V736" i="50"/>
  <c r="G736" i="50"/>
  <c r="F736" i="50"/>
  <c r="U736" i="50"/>
  <c r="F741" i="50"/>
  <c r="V741" i="50"/>
  <c r="U741" i="50"/>
  <c r="G741" i="50"/>
  <c r="U767" i="50"/>
  <c r="G767" i="50"/>
  <c r="V767" i="50"/>
  <c r="F767" i="50"/>
  <c r="U771" i="50"/>
  <c r="V748" i="50"/>
  <c r="G748" i="50"/>
  <c r="F748" i="50"/>
  <c r="V794" i="50"/>
  <c r="U794" i="50"/>
  <c r="G794" i="50"/>
  <c r="F794" i="50"/>
  <c r="F777" i="50"/>
  <c r="G777" i="50"/>
  <c r="U777" i="50"/>
  <c r="V777" i="50"/>
  <c r="U755" i="50"/>
  <c r="E795" i="50"/>
  <c r="B819" i="50"/>
  <c r="D819" i="50" s="1"/>
  <c r="E758" i="50"/>
  <c r="B782" i="50"/>
  <c r="D782" i="50" s="1"/>
  <c r="B805" i="50"/>
  <c r="D805" i="50" s="1"/>
  <c r="E781" i="50"/>
  <c r="B790" i="50"/>
  <c r="D790" i="50" s="1"/>
  <c r="E766" i="50"/>
  <c r="B796" i="50"/>
  <c r="D796" i="50" s="1"/>
  <c r="E772" i="50"/>
  <c r="U772" i="50" s="1"/>
  <c r="E818" i="50"/>
  <c r="B842" i="50"/>
  <c r="D842" i="50" s="1"/>
  <c r="B816" i="50"/>
  <c r="D816" i="50" s="1"/>
  <c r="E792" i="50"/>
  <c r="B788" i="50"/>
  <c r="D788" i="50" s="1"/>
  <c r="E764" i="50"/>
  <c r="U764" i="50" s="1"/>
  <c r="B789" i="50"/>
  <c r="D789" i="50" s="1"/>
  <c r="E765" i="50"/>
  <c r="B784" i="50"/>
  <c r="D784" i="50" s="1"/>
  <c r="E760" i="50"/>
  <c r="B787" i="50"/>
  <c r="D787" i="50" s="1"/>
  <c r="E763" i="50"/>
  <c r="E802" i="50"/>
  <c r="B826" i="50"/>
  <c r="D826" i="50" s="1"/>
  <c r="B800" i="50"/>
  <c r="D800" i="50" s="1"/>
  <c r="E776" i="50"/>
  <c r="B798" i="50"/>
  <c r="D798" i="50" s="1"/>
  <c r="E774" i="50"/>
  <c r="E749" i="50"/>
  <c r="U749" i="50" s="1"/>
  <c r="B773" i="50"/>
  <c r="D773" i="50" s="1"/>
  <c r="B825" i="50"/>
  <c r="D825" i="50" s="1"/>
  <c r="E801" i="50"/>
  <c r="E779" i="50"/>
  <c r="B803" i="50"/>
  <c r="D803" i="50" s="1"/>
  <c r="E761" i="50"/>
  <c r="B785" i="50"/>
  <c r="D785" i="50" s="1"/>
  <c r="B834" i="50"/>
  <c r="D834" i="50" s="1"/>
  <c r="E810" i="50"/>
  <c r="B841" i="50"/>
  <c r="D841" i="50" s="1"/>
  <c r="E817" i="50"/>
  <c r="E791" i="50"/>
  <c r="B815" i="50"/>
  <c r="D815" i="50" s="1"/>
  <c r="B807" i="50"/>
  <c r="D807" i="50" s="1"/>
  <c r="E783" i="50"/>
  <c r="V801" i="50" l="1"/>
  <c r="G801" i="50"/>
  <c r="F801" i="50"/>
  <c r="U801" i="50"/>
  <c r="V765" i="50"/>
  <c r="G765" i="50"/>
  <c r="F765" i="50"/>
  <c r="U760" i="50"/>
  <c r="G760" i="50"/>
  <c r="V760" i="50"/>
  <c r="F760" i="50"/>
  <c r="G758" i="50"/>
  <c r="V758" i="50"/>
  <c r="U758" i="50"/>
  <c r="F758" i="50"/>
  <c r="V764" i="50"/>
  <c r="G764" i="50"/>
  <c r="F764" i="50"/>
  <c r="U765" i="50"/>
  <c r="G781" i="50"/>
  <c r="V781" i="50"/>
  <c r="F781" i="50"/>
  <c r="V795" i="50"/>
  <c r="U795" i="50"/>
  <c r="F795" i="50"/>
  <c r="G795" i="50"/>
  <c r="G792" i="50"/>
  <c r="V792" i="50"/>
  <c r="F792" i="50"/>
  <c r="U792" i="50"/>
  <c r="D775" i="50"/>
  <c r="E775" i="50"/>
  <c r="B799" i="50"/>
  <c r="G751" i="50"/>
  <c r="V751" i="50"/>
  <c r="U751" i="50"/>
  <c r="F751" i="50"/>
  <c r="U783" i="50"/>
  <c r="V783" i="50"/>
  <c r="G783" i="50"/>
  <c r="F783" i="50"/>
  <c r="G791" i="50"/>
  <c r="F791" i="50"/>
  <c r="V791" i="50"/>
  <c r="U791" i="50"/>
  <c r="V818" i="50"/>
  <c r="U818" i="50"/>
  <c r="G818" i="50"/>
  <c r="F818" i="50"/>
  <c r="D780" i="50"/>
  <c r="B804" i="50"/>
  <c r="E780" i="50"/>
  <c r="V776" i="50"/>
  <c r="F776" i="50"/>
  <c r="U776" i="50"/>
  <c r="G776" i="50"/>
  <c r="V756" i="50"/>
  <c r="G756" i="50"/>
  <c r="F756" i="50"/>
  <c r="U756" i="50"/>
  <c r="V779" i="50"/>
  <c r="U779" i="50"/>
  <c r="F779" i="50"/>
  <c r="V810" i="50"/>
  <c r="U810" i="50"/>
  <c r="G810" i="50"/>
  <c r="F810" i="50"/>
  <c r="V772" i="50"/>
  <c r="G772" i="50"/>
  <c r="F772" i="50"/>
  <c r="U817" i="50"/>
  <c r="V817" i="50"/>
  <c r="G817" i="50"/>
  <c r="F817" i="50"/>
  <c r="V749" i="50"/>
  <c r="G749" i="50"/>
  <c r="F749" i="50"/>
  <c r="U763" i="50"/>
  <c r="F763" i="50"/>
  <c r="V763" i="50"/>
  <c r="G766" i="50"/>
  <c r="U766" i="50"/>
  <c r="F766" i="50"/>
  <c r="V766" i="50"/>
  <c r="U781" i="50"/>
  <c r="G774" i="50"/>
  <c r="F774" i="50"/>
  <c r="V774" i="50"/>
  <c r="U774" i="50"/>
  <c r="V802" i="50"/>
  <c r="F802" i="50"/>
  <c r="U802" i="50"/>
  <c r="G802" i="50"/>
  <c r="U761" i="50"/>
  <c r="V761" i="50"/>
  <c r="G761" i="50"/>
  <c r="F761" i="50"/>
  <c r="G779" i="50"/>
  <c r="G763" i="50"/>
  <c r="B820" i="50"/>
  <c r="D820" i="50" s="1"/>
  <c r="E796" i="50"/>
  <c r="E816" i="50"/>
  <c r="V816" i="50" s="1"/>
  <c r="B840" i="50"/>
  <c r="D840" i="50" s="1"/>
  <c r="B814" i="50"/>
  <c r="D814" i="50" s="1"/>
  <c r="E790" i="50"/>
  <c r="B806" i="50"/>
  <c r="D806" i="50" s="1"/>
  <c r="E782" i="50"/>
  <c r="E800" i="50"/>
  <c r="V800" i="50" s="1"/>
  <c r="B824" i="50"/>
  <c r="D824" i="50" s="1"/>
  <c r="B808" i="50"/>
  <c r="D808" i="50" s="1"/>
  <c r="E784" i="50"/>
  <c r="B829" i="50"/>
  <c r="D829" i="50" s="1"/>
  <c r="E805" i="50"/>
  <c r="B850" i="50"/>
  <c r="D850" i="50" s="1"/>
  <c r="E826" i="50"/>
  <c r="B843" i="50"/>
  <c r="D843" i="50" s="1"/>
  <c r="E819" i="50"/>
  <c r="U819" i="50" s="1"/>
  <c r="B866" i="50"/>
  <c r="D866" i="50" s="1"/>
  <c r="E842" i="50"/>
  <c r="E841" i="50"/>
  <c r="B865" i="50"/>
  <c r="D865" i="50" s="1"/>
  <c r="E825" i="50"/>
  <c r="V825" i="50" s="1"/>
  <c r="B849" i="50"/>
  <c r="D849" i="50" s="1"/>
  <c r="B813" i="50"/>
  <c r="D813" i="50" s="1"/>
  <c r="E789" i="50"/>
  <c r="E807" i="50"/>
  <c r="B831" i="50"/>
  <c r="D831" i="50" s="1"/>
  <c r="B797" i="50"/>
  <c r="D797" i="50" s="1"/>
  <c r="E773" i="50"/>
  <c r="B839" i="50"/>
  <c r="D839" i="50" s="1"/>
  <c r="E815" i="50"/>
  <c r="B822" i="50"/>
  <c r="D822" i="50" s="1"/>
  <c r="E798" i="50"/>
  <c r="U798" i="50" s="1"/>
  <c r="B811" i="50"/>
  <c r="D811" i="50" s="1"/>
  <c r="E787" i="50"/>
  <c r="U787" i="50" s="1"/>
  <c r="B809" i="50"/>
  <c r="D809" i="50" s="1"/>
  <c r="E785" i="50"/>
  <c r="B827" i="50"/>
  <c r="D827" i="50" s="1"/>
  <c r="E803" i="50"/>
  <c r="U803" i="50" s="1"/>
  <c r="E834" i="50"/>
  <c r="B858" i="50"/>
  <c r="D858" i="50" s="1"/>
  <c r="E788" i="50"/>
  <c r="B812" i="50"/>
  <c r="D812" i="50" s="1"/>
  <c r="U815" i="50" l="1"/>
  <c r="V815" i="50"/>
  <c r="G815" i="50"/>
  <c r="F815" i="50"/>
  <c r="F826" i="50"/>
  <c r="V826" i="50"/>
  <c r="U826" i="50"/>
  <c r="G826" i="50"/>
  <c r="V805" i="50"/>
  <c r="U805" i="50"/>
  <c r="G805" i="50"/>
  <c r="F805" i="50"/>
  <c r="U784" i="50"/>
  <c r="V784" i="50"/>
  <c r="G784" i="50"/>
  <c r="F784" i="50"/>
  <c r="G807" i="50"/>
  <c r="F807" i="50"/>
  <c r="V807" i="50"/>
  <c r="U807" i="50"/>
  <c r="V796" i="50"/>
  <c r="G796" i="50"/>
  <c r="F796" i="50"/>
  <c r="U800" i="50"/>
  <c r="F800" i="50"/>
  <c r="G800" i="50"/>
  <c r="V834" i="50"/>
  <c r="F834" i="50"/>
  <c r="U834" i="50"/>
  <c r="G834" i="50"/>
  <c r="V782" i="50"/>
  <c r="G782" i="50"/>
  <c r="U782" i="50"/>
  <c r="F782" i="50"/>
  <c r="V788" i="50"/>
  <c r="G788" i="50"/>
  <c r="F788" i="50"/>
  <c r="U785" i="50"/>
  <c r="V785" i="50"/>
  <c r="G785" i="50"/>
  <c r="F785" i="50"/>
  <c r="V780" i="50"/>
  <c r="G780" i="50"/>
  <c r="F780" i="50"/>
  <c r="V773" i="50"/>
  <c r="U773" i="50"/>
  <c r="G773" i="50"/>
  <c r="F773" i="50"/>
  <c r="F841" i="50"/>
  <c r="U841" i="50"/>
  <c r="G841" i="50"/>
  <c r="U788" i="50"/>
  <c r="D804" i="50"/>
  <c r="E804" i="50"/>
  <c r="B828" i="50"/>
  <c r="U825" i="50"/>
  <c r="F825" i="50"/>
  <c r="G825" i="50"/>
  <c r="G787" i="50"/>
  <c r="F787" i="50"/>
  <c r="V787" i="50"/>
  <c r="U780" i="50"/>
  <c r="V803" i="50"/>
  <c r="G803" i="50"/>
  <c r="F803" i="50"/>
  <c r="V790" i="50"/>
  <c r="U790" i="50"/>
  <c r="G790" i="50"/>
  <c r="F790" i="50"/>
  <c r="U842" i="50"/>
  <c r="G842" i="50"/>
  <c r="F842" i="50"/>
  <c r="V842" i="50"/>
  <c r="U816" i="50"/>
  <c r="F816" i="50"/>
  <c r="G816" i="50"/>
  <c r="V841" i="50"/>
  <c r="U796" i="50"/>
  <c r="D799" i="50"/>
  <c r="B823" i="50"/>
  <c r="E799" i="50"/>
  <c r="V789" i="50"/>
  <c r="U789" i="50"/>
  <c r="G789" i="50"/>
  <c r="F789" i="50"/>
  <c r="V798" i="50"/>
  <c r="G798" i="50"/>
  <c r="F798" i="50"/>
  <c r="V819" i="50"/>
  <c r="G819" i="50"/>
  <c r="F819" i="50"/>
  <c r="U775" i="50"/>
  <c r="G775" i="50"/>
  <c r="F775" i="50"/>
  <c r="V775" i="50"/>
  <c r="B838" i="50"/>
  <c r="D838" i="50" s="1"/>
  <c r="E814" i="50"/>
  <c r="U814" i="50" s="1"/>
  <c r="B864" i="50"/>
  <c r="D864" i="50" s="1"/>
  <c r="E840" i="50"/>
  <c r="E827" i="50"/>
  <c r="B851" i="50"/>
  <c r="D851" i="50" s="1"/>
  <c r="B846" i="50"/>
  <c r="D846" i="50" s="1"/>
  <c r="E822" i="50"/>
  <c r="B837" i="50"/>
  <c r="D837" i="50" s="1"/>
  <c r="E813" i="50"/>
  <c r="U813" i="50" s="1"/>
  <c r="E843" i="50"/>
  <c r="B867" i="50"/>
  <c r="D867" i="50" s="1"/>
  <c r="B873" i="50"/>
  <c r="D873" i="50" s="1"/>
  <c r="E849" i="50"/>
  <c r="E866" i="50"/>
  <c r="B890" i="50"/>
  <c r="D890" i="50" s="1"/>
  <c r="B853" i="50"/>
  <c r="D853" i="50" s="1"/>
  <c r="E829" i="50"/>
  <c r="U829" i="50" s="1"/>
  <c r="E850" i="50"/>
  <c r="B874" i="50"/>
  <c r="D874" i="50" s="1"/>
  <c r="B836" i="50"/>
  <c r="D836" i="50" s="1"/>
  <c r="E812" i="50"/>
  <c r="B889" i="50"/>
  <c r="D889" i="50" s="1"/>
  <c r="E865" i="50"/>
  <c r="B832" i="50"/>
  <c r="D832" i="50" s="1"/>
  <c r="E808" i="50"/>
  <c r="E809" i="50"/>
  <c r="V809" i="50" s="1"/>
  <c r="B833" i="50"/>
  <c r="D833" i="50" s="1"/>
  <c r="B848" i="50"/>
  <c r="D848" i="50" s="1"/>
  <c r="E824" i="50"/>
  <c r="E839" i="50"/>
  <c r="B863" i="50"/>
  <c r="D863" i="50" s="1"/>
  <c r="E820" i="50"/>
  <c r="B844" i="50"/>
  <c r="D844" i="50" s="1"/>
  <c r="B821" i="50"/>
  <c r="D821" i="50" s="1"/>
  <c r="E797" i="50"/>
  <c r="U797" i="50" s="1"/>
  <c r="E811" i="50"/>
  <c r="G811" i="50" s="1"/>
  <c r="B835" i="50"/>
  <c r="D835" i="50" s="1"/>
  <c r="B882" i="50"/>
  <c r="D882" i="50" s="1"/>
  <c r="E858" i="50"/>
  <c r="B855" i="50"/>
  <c r="D855" i="50" s="1"/>
  <c r="E831" i="50"/>
  <c r="B830" i="50"/>
  <c r="D830" i="50" s="1"/>
  <c r="E806" i="50"/>
  <c r="V827" i="50" l="1"/>
  <c r="U827" i="50"/>
  <c r="F827" i="50"/>
  <c r="U804" i="50"/>
  <c r="V812" i="50"/>
  <c r="G812" i="50"/>
  <c r="F812" i="50"/>
  <c r="U840" i="50"/>
  <c r="G840" i="50"/>
  <c r="V840" i="50"/>
  <c r="F840" i="50"/>
  <c r="F850" i="50"/>
  <c r="U850" i="50"/>
  <c r="G850" i="50"/>
  <c r="V850" i="50"/>
  <c r="D828" i="50"/>
  <c r="E828" i="50"/>
  <c r="B852" i="50"/>
  <c r="V829" i="50"/>
  <c r="G829" i="50"/>
  <c r="F829" i="50"/>
  <c r="V814" i="50"/>
  <c r="G814" i="50"/>
  <c r="F814" i="50"/>
  <c r="U799" i="50"/>
  <c r="V799" i="50"/>
  <c r="G799" i="50"/>
  <c r="F799" i="50"/>
  <c r="V806" i="50"/>
  <c r="U806" i="50"/>
  <c r="G806" i="50"/>
  <c r="F806" i="50"/>
  <c r="U812" i="50"/>
  <c r="G839" i="50"/>
  <c r="F839" i="50"/>
  <c r="V839" i="50"/>
  <c r="U839" i="50"/>
  <c r="V866" i="50"/>
  <c r="F866" i="50"/>
  <c r="U866" i="50"/>
  <c r="G866" i="50"/>
  <c r="G824" i="50"/>
  <c r="V824" i="50"/>
  <c r="F824" i="50"/>
  <c r="U824" i="50"/>
  <c r="V849" i="50"/>
  <c r="G849" i="50"/>
  <c r="F849" i="50"/>
  <c r="U849" i="50"/>
  <c r="G827" i="50"/>
  <c r="V820" i="50"/>
  <c r="G820" i="50"/>
  <c r="F820" i="50"/>
  <c r="V797" i="50"/>
  <c r="G797" i="50"/>
  <c r="F797" i="50"/>
  <c r="U820" i="50"/>
  <c r="D823" i="50"/>
  <c r="B847" i="50"/>
  <c r="E823" i="50"/>
  <c r="F831" i="50"/>
  <c r="V831" i="50"/>
  <c r="G831" i="50"/>
  <c r="U831" i="50"/>
  <c r="F809" i="50"/>
  <c r="U809" i="50"/>
  <c r="G809" i="50"/>
  <c r="V843" i="50"/>
  <c r="U843" i="50"/>
  <c r="F843" i="50"/>
  <c r="G843" i="50"/>
  <c r="V858" i="50"/>
  <c r="U858" i="50"/>
  <c r="G858" i="50"/>
  <c r="F858" i="50"/>
  <c r="U808" i="50"/>
  <c r="G808" i="50"/>
  <c r="V808" i="50"/>
  <c r="F808" i="50"/>
  <c r="G813" i="50"/>
  <c r="V813" i="50"/>
  <c r="F813" i="50"/>
  <c r="V804" i="50"/>
  <c r="G804" i="50"/>
  <c r="F804" i="50"/>
  <c r="V811" i="50"/>
  <c r="U811" i="50"/>
  <c r="F811" i="50"/>
  <c r="U865" i="50"/>
  <c r="V865" i="50"/>
  <c r="G865" i="50"/>
  <c r="F865" i="50"/>
  <c r="F822" i="50"/>
  <c r="U822" i="50"/>
  <c r="G822" i="50"/>
  <c r="V822" i="50"/>
  <c r="E873" i="50"/>
  <c r="B897" i="50"/>
  <c r="D897" i="50" s="1"/>
  <c r="B857" i="50"/>
  <c r="D857" i="50" s="1"/>
  <c r="E833" i="50"/>
  <c r="B898" i="50"/>
  <c r="D898" i="50" s="1"/>
  <c r="E874" i="50"/>
  <c r="B891" i="50"/>
  <c r="D891" i="50" s="1"/>
  <c r="E867" i="50"/>
  <c r="U867" i="50" s="1"/>
  <c r="E882" i="50"/>
  <c r="U882" i="50" s="1"/>
  <c r="B906" i="50"/>
  <c r="D906" i="50" s="1"/>
  <c r="B862" i="50"/>
  <c r="D862" i="50" s="1"/>
  <c r="E838" i="50"/>
  <c r="E848" i="50"/>
  <c r="B872" i="50"/>
  <c r="D872" i="50" s="1"/>
  <c r="E832" i="50"/>
  <c r="V832" i="50" s="1"/>
  <c r="B856" i="50"/>
  <c r="D856" i="50" s="1"/>
  <c r="E864" i="50"/>
  <c r="B888" i="50"/>
  <c r="D888" i="50" s="1"/>
  <c r="B868" i="50"/>
  <c r="D868" i="50" s="1"/>
  <c r="E844" i="50"/>
  <c r="B859" i="50"/>
  <c r="D859" i="50" s="1"/>
  <c r="E835" i="50"/>
  <c r="B854" i="50"/>
  <c r="D854" i="50" s="1"/>
  <c r="E830" i="50"/>
  <c r="U830" i="50" s="1"/>
  <c r="E889" i="50"/>
  <c r="B913" i="50"/>
  <c r="D913" i="50" s="1"/>
  <c r="B877" i="50"/>
  <c r="D877" i="50" s="1"/>
  <c r="E853" i="50"/>
  <c r="B861" i="50"/>
  <c r="D861" i="50" s="1"/>
  <c r="E837" i="50"/>
  <c r="B887" i="50"/>
  <c r="D887" i="50" s="1"/>
  <c r="E863" i="50"/>
  <c r="B914" i="50"/>
  <c r="D914" i="50" s="1"/>
  <c r="E890" i="50"/>
  <c r="E855" i="50"/>
  <c r="B879" i="50"/>
  <c r="D879" i="50" s="1"/>
  <c r="E836" i="50"/>
  <c r="B860" i="50"/>
  <c r="D860" i="50" s="1"/>
  <c r="B870" i="50"/>
  <c r="D870" i="50" s="1"/>
  <c r="E846" i="50"/>
  <c r="B845" i="50"/>
  <c r="D845" i="50" s="1"/>
  <c r="E821" i="50"/>
  <c r="B875" i="50"/>
  <c r="D875" i="50" s="1"/>
  <c r="E851" i="50"/>
  <c r="V836" i="50" l="1"/>
  <c r="G836" i="50"/>
  <c r="F836" i="50"/>
  <c r="U863" i="50"/>
  <c r="G863" i="50"/>
  <c r="F863" i="50"/>
  <c r="V863" i="50"/>
  <c r="U832" i="50"/>
  <c r="F832" i="50"/>
  <c r="G832" i="50"/>
  <c r="F873" i="50"/>
  <c r="U873" i="50"/>
  <c r="G873" i="50"/>
  <c r="G853" i="50"/>
  <c r="F853" i="50"/>
  <c r="V853" i="50"/>
  <c r="U853" i="50"/>
  <c r="V873" i="50"/>
  <c r="V833" i="50"/>
  <c r="G833" i="50"/>
  <c r="U833" i="50"/>
  <c r="F833" i="50"/>
  <c r="U848" i="50"/>
  <c r="F848" i="50"/>
  <c r="G848" i="50"/>
  <c r="V844" i="50"/>
  <c r="G844" i="50"/>
  <c r="F844" i="50"/>
  <c r="V837" i="50"/>
  <c r="U837" i="50"/>
  <c r="F837" i="50"/>
  <c r="G837" i="50"/>
  <c r="V821" i="50"/>
  <c r="U821" i="50"/>
  <c r="G821" i="50"/>
  <c r="F821" i="50"/>
  <c r="V838" i="50"/>
  <c r="U838" i="50"/>
  <c r="G838" i="50"/>
  <c r="F838" i="50"/>
  <c r="V851" i="50"/>
  <c r="G851" i="50"/>
  <c r="F851" i="50"/>
  <c r="F889" i="50"/>
  <c r="G889" i="50"/>
  <c r="U889" i="50"/>
  <c r="V890" i="50"/>
  <c r="U890" i="50"/>
  <c r="G890" i="50"/>
  <c r="F890" i="50"/>
  <c r="U864" i="50"/>
  <c r="F864" i="50"/>
  <c r="G864" i="50"/>
  <c r="V846" i="50"/>
  <c r="G846" i="50"/>
  <c r="F846" i="50"/>
  <c r="V882" i="50"/>
  <c r="F882" i="50"/>
  <c r="G882" i="50"/>
  <c r="U844" i="50"/>
  <c r="V889" i="50"/>
  <c r="G830" i="50"/>
  <c r="V830" i="50"/>
  <c r="F830" i="50"/>
  <c r="V867" i="50"/>
  <c r="G867" i="50"/>
  <c r="F867" i="50"/>
  <c r="D852" i="50"/>
  <c r="B876" i="50"/>
  <c r="E852" i="50"/>
  <c r="V828" i="50"/>
  <c r="G828" i="50"/>
  <c r="F828" i="50"/>
  <c r="V835" i="50"/>
  <c r="G835" i="50"/>
  <c r="F835" i="50"/>
  <c r="V874" i="50"/>
  <c r="U874" i="50"/>
  <c r="G874" i="50"/>
  <c r="F874" i="50"/>
  <c r="U835" i="50"/>
  <c r="V823" i="50"/>
  <c r="U823" i="50"/>
  <c r="G823" i="50"/>
  <c r="F823" i="50"/>
  <c r="U828" i="50"/>
  <c r="F855" i="50"/>
  <c r="V855" i="50"/>
  <c r="U855" i="50"/>
  <c r="G855" i="50"/>
  <c r="V848" i="50"/>
  <c r="D847" i="50"/>
  <c r="E847" i="50"/>
  <c r="B871" i="50"/>
  <c r="V864" i="50"/>
  <c r="U836" i="50"/>
  <c r="U851" i="50"/>
  <c r="U846" i="50"/>
  <c r="E898" i="50"/>
  <c r="U898" i="50" s="1"/>
  <c r="B922" i="50"/>
  <c r="D922" i="50" s="1"/>
  <c r="B885" i="50"/>
  <c r="D885" i="50" s="1"/>
  <c r="E861" i="50"/>
  <c r="U861" i="50" s="1"/>
  <c r="B869" i="50"/>
  <c r="D869" i="50" s="1"/>
  <c r="E845" i="50"/>
  <c r="U845" i="50" s="1"/>
  <c r="E914" i="50"/>
  <c r="B938" i="50"/>
  <c r="D938" i="50" s="1"/>
  <c r="E868" i="50"/>
  <c r="U868" i="50" s="1"/>
  <c r="B892" i="50"/>
  <c r="D892" i="50" s="1"/>
  <c r="B880" i="50"/>
  <c r="D880" i="50" s="1"/>
  <c r="E856" i="50"/>
  <c r="B886" i="50"/>
  <c r="D886" i="50" s="1"/>
  <c r="E862" i="50"/>
  <c r="E857" i="50"/>
  <c r="B881" i="50"/>
  <c r="D881" i="50" s="1"/>
  <c r="B901" i="50"/>
  <c r="D901" i="50" s="1"/>
  <c r="E877" i="50"/>
  <c r="U877" i="50" s="1"/>
  <c r="E859" i="50"/>
  <c r="G859" i="50" s="1"/>
  <c r="B883" i="50"/>
  <c r="D883" i="50" s="1"/>
  <c r="B930" i="50"/>
  <c r="D930" i="50" s="1"/>
  <c r="E906" i="50"/>
  <c r="B937" i="50"/>
  <c r="D937" i="50" s="1"/>
  <c r="E913" i="50"/>
  <c r="B894" i="50"/>
  <c r="D894" i="50" s="1"/>
  <c r="E870" i="50"/>
  <c r="B884" i="50"/>
  <c r="D884" i="50" s="1"/>
  <c r="E860" i="50"/>
  <c r="E875" i="50"/>
  <c r="B899" i="50"/>
  <c r="D899" i="50" s="1"/>
  <c r="B912" i="50"/>
  <c r="D912" i="50" s="1"/>
  <c r="E888" i="50"/>
  <c r="B896" i="50"/>
  <c r="D896" i="50" s="1"/>
  <c r="E872" i="50"/>
  <c r="B903" i="50"/>
  <c r="D903" i="50" s="1"/>
  <c r="E879" i="50"/>
  <c r="E887" i="50"/>
  <c r="B911" i="50"/>
  <c r="D911" i="50" s="1"/>
  <c r="B921" i="50"/>
  <c r="D921" i="50" s="1"/>
  <c r="E897" i="50"/>
  <c r="V897" i="50" s="1"/>
  <c r="B878" i="50"/>
  <c r="D878" i="50" s="1"/>
  <c r="E854" i="50"/>
  <c r="E891" i="50"/>
  <c r="G891" i="50" s="1"/>
  <c r="B915" i="50"/>
  <c r="D915" i="50" s="1"/>
  <c r="F857" i="50" l="1"/>
  <c r="G857" i="50"/>
  <c r="U857" i="50"/>
  <c r="V862" i="50"/>
  <c r="G862" i="50"/>
  <c r="F862" i="50"/>
  <c r="V857" i="50"/>
  <c r="D876" i="50"/>
  <c r="E876" i="50"/>
  <c r="B900" i="50"/>
  <c r="U852" i="50"/>
  <c r="V875" i="50"/>
  <c r="U875" i="50"/>
  <c r="F875" i="50"/>
  <c r="V856" i="50"/>
  <c r="F856" i="50"/>
  <c r="G856" i="50"/>
  <c r="U856" i="50"/>
  <c r="V870" i="50"/>
  <c r="U870" i="50"/>
  <c r="G870" i="50"/>
  <c r="F870" i="50"/>
  <c r="D871" i="50"/>
  <c r="B895" i="50"/>
  <c r="E871" i="50"/>
  <c r="V868" i="50"/>
  <c r="G868" i="50"/>
  <c r="F868" i="50"/>
  <c r="U847" i="50"/>
  <c r="G847" i="50"/>
  <c r="F847" i="50"/>
  <c r="V847" i="50"/>
  <c r="V860" i="50"/>
  <c r="G860" i="50"/>
  <c r="F860" i="50"/>
  <c r="U879" i="50"/>
  <c r="V879" i="50"/>
  <c r="G879" i="50"/>
  <c r="F879" i="50"/>
  <c r="U913" i="50"/>
  <c r="G913" i="50"/>
  <c r="F913" i="50"/>
  <c r="V913" i="50"/>
  <c r="G875" i="50"/>
  <c r="V914" i="50"/>
  <c r="F914" i="50"/>
  <c r="G914" i="50"/>
  <c r="V852" i="50"/>
  <c r="G852" i="50"/>
  <c r="F852" i="50"/>
  <c r="G872" i="50"/>
  <c r="U872" i="50"/>
  <c r="V872" i="50"/>
  <c r="F872" i="50"/>
  <c r="V906" i="50"/>
  <c r="U906" i="50"/>
  <c r="G906" i="50"/>
  <c r="F906" i="50"/>
  <c r="V845" i="50"/>
  <c r="G845" i="50"/>
  <c r="F845" i="50"/>
  <c r="U860" i="50"/>
  <c r="U914" i="50"/>
  <c r="V861" i="50"/>
  <c r="G861" i="50"/>
  <c r="F861" i="50"/>
  <c r="U862" i="50"/>
  <c r="U897" i="50"/>
  <c r="F897" i="50"/>
  <c r="G897" i="50"/>
  <c r="V859" i="50"/>
  <c r="U859" i="50"/>
  <c r="F859" i="50"/>
  <c r="V891" i="50"/>
  <c r="U891" i="50"/>
  <c r="F891" i="50"/>
  <c r="U888" i="50"/>
  <c r="V888" i="50"/>
  <c r="G888" i="50"/>
  <c r="F888" i="50"/>
  <c r="V877" i="50"/>
  <c r="G877" i="50"/>
  <c r="F877" i="50"/>
  <c r="U854" i="50"/>
  <c r="G854" i="50"/>
  <c r="F854" i="50"/>
  <c r="V854" i="50"/>
  <c r="F887" i="50"/>
  <c r="V887" i="50"/>
  <c r="U887" i="50"/>
  <c r="G887" i="50"/>
  <c r="V898" i="50"/>
  <c r="F898" i="50"/>
  <c r="G898" i="50"/>
  <c r="E884" i="50"/>
  <c r="B908" i="50"/>
  <c r="D908" i="50" s="1"/>
  <c r="B946" i="50"/>
  <c r="D946" i="50" s="1"/>
  <c r="E922" i="50"/>
  <c r="E903" i="50"/>
  <c r="B927" i="50"/>
  <c r="D927" i="50" s="1"/>
  <c r="E921" i="50"/>
  <c r="V921" i="50" s="1"/>
  <c r="B945" i="50"/>
  <c r="D945" i="50" s="1"/>
  <c r="E912" i="50"/>
  <c r="V912" i="50" s="1"/>
  <c r="B936" i="50"/>
  <c r="D936" i="50" s="1"/>
  <c r="B962" i="50"/>
  <c r="D962" i="50" s="1"/>
  <c r="E938" i="50"/>
  <c r="B910" i="50"/>
  <c r="D910" i="50" s="1"/>
  <c r="E886" i="50"/>
  <c r="E937" i="50"/>
  <c r="B961" i="50"/>
  <c r="D961" i="50" s="1"/>
  <c r="B923" i="50"/>
  <c r="D923" i="50" s="1"/>
  <c r="E899" i="50"/>
  <c r="E880" i="50"/>
  <c r="V880" i="50" s="1"/>
  <c r="B904" i="50"/>
  <c r="D904" i="50" s="1"/>
  <c r="B893" i="50"/>
  <c r="D893" i="50" s="1"/>
  <c r="E869" i="50"/>
  <c r="E896" i="50"/>
  <c r="B920" i="50"/>
  <c r="D920" i="50" s="1"/>
  <c r="E930" i="50"/>
  <c r="B954" i="50"/>
  <c r="D954" i="50" s="1"/>
  <c r="B916" i="50"/>
  <c r="D916" i="50" s="1"/>
  <c r="E892" i="50"/>
  <c r="U892" i="50" s="1"/>
  <c r="B907" i="50"/>
  <c r="D907" i="50" s="1"/>
  <c r="E883" i="50"/>
  <c r="B902" i="50"/>
  <c r="D902" i="50" s="1"/>
  <c r="E878" i="50"/>
  <c r="B918" i="50"/>
  <c r="D918" i="50" s="1"/>
  <c r="E894" i="50"/>
  <c r="U894" i="50" s="1"/>
  <c r="B939" i="50"/>
  <c r="D939" i="50" s="1"/>
  <c r="E915" i="50"/>
  <c r="U915" i="50" s="1"/>
  <c r="B935" i="50"/>
  <c r="D935" i="50" s="1"/>
  <c r="E911" i="50"/>
  <c r="B925" i="50"/>
  <c r="D925" i="50" s="1"/>
  <c r="E901" i="50"/>
  <c r="B905" i="50"/>
  <c r="D905" i="50" s="1"/>
  <c r="E881" i="50"/>
  <c r="V881" i="50" s="1"/>
  <c r="B909" i="50"/>
  <c r="D909" i="50" s="1"/>
  <c r="E885" i="50"/>
  <c r="V883" i="50" l="1"/>
  <c r="G883" i="50"/>
  <c r="F883" i="50"/>
  <c r="V884" i="50"/>
  <c r="G884" i="50"/>
  <c r="F884" i="50"/>
  <c r="U884" i="50"/>
  <c r="G871" i="50"/>
  <c r="F871" i="50"/>
  <c r="V871" i="50"/>
  <c r="U871" i="50"/>
  <c r="D895" i="50"/>
  <c r="B919" i="50"/>
  <c r="E895" i="50"/>
  <c r="D900" i="50"/>
  <c r="E900" i="50"/>
  <c r="B924" i="50"/>
  <c r="U883" i="50"/>
  <c r="V876" i="50"/>
  <c r="G876" i="50"/>
  <c r="F876" i="50"/>
  <c r="V930" i="50"/>
  <c r="F930" i="50"/>
  <c r="G930" i="50"/>
  <c r="U876" i="50"/>
  <c r="V878" i="50"/>
  <c r="G878" i="50"/>
  <c r="F878" i="50"/>
  <c r="V885" i="50"/>
  <c r="U885" i="50"/>
  <c r="G885" i="50"/>
  <c r="F885" i="50"/>
  <c r="V901" i="50"/>
  <c r="U901" i="50"/>
  <c r="G901" i="50"/>
  <c r="F901" i="50"/>
  <c r="U878" i="50"/>
  <c r="U930" i="50"/>
  <c r="F937" i="50"/>
  <c r="U937" i="50"/>
  <c r="G937" i="50"/>
  <c r="U896" i="50"/>
  <c r="G896" i="50"/>
  <c r="F896" i="50"/>
  <c r="U912" i="50"/>
  <c r="G912" i="50"/>
  <c r="F912" i="50"/>
  <c r="V896" i="50"/>
  <c r="V869" i="50"/>
  <c r="U869" i="50"/>
  <c r="G869" i="50"/>
  <c r="F869" i="50"/>
  <c r="U881" i="50"/>
  <c r="F881" i="50"/>
  <c r="G881" i="50"/>
  <c r="F921" i="50"/>
  <c r="U921" i="50"/>
  <c r="G921" i="50"/>
  <c r="F892" i="50"/>
  <c r="V892" i="50"/>
  <c r="G892" i="50"/>
  <c r="G915" i="50"/>
  <c r="F915" i="50"/>
  <c r="V915" i="50"/>
  <c r="V922" i="50"/>
  <c r="U922" i="50"/>
  <c r="G922" i="50"/>
  <c r="F922" i="50"/>
  <c r="U880" i="50"/>
  <c r="G880" i="50"/>
  <c r="F880" i="50"/>
  <c r="V886" i="50"/>
  <c r="U886" i="50"/>
  <c r="G886" i="50"/>
  <c r="F886" i="50"/>
  <c r="V911" i="50"/>
  <c r="U911" i="50"/>
  <c r="G911" i="50"/>
  <c r="F911" i="50"/>
  <c r="V894" i="50"/>
  <c r="G894" i="50"/>
  <c r="F894" i="50"/>
  <c r="V899" i="50"/>
  <c r="G899" i="50"/>
  <c r="F899" i="50"/>
  <c r="G938" i="50"/>
  <c r="F938" i="50"/>
  <c r="V938" i="50"/>
  <c r="U938" i="50"/>
  <c r="F903" i="50"/>
  <c r="V903" i="50"/>
  <c r="U903" i="50"/>
  <c r="G903" i="50"/>
  <c r="V937" i="50"/>
  <c r="U899" i="50"/>
  <c r="E905" i="50"/>
  <c r="B929" i="50"/>
  <c r="D929" i="50" s="1"/>
  <c r="B942" i="50"/>
  <c r="D942" i="50" s="1"/>
  <c r="E918" i="50"/>
  <c r="V918" i="50" s="1"/>
  <c r="B985" i="50"/>
  <c r="D985" i="50" s="1"/>
  <c r="E961" i="50"/>
  <c r="V961" i="50" s="1"/>
  <c r="B969" i="50"/>
  <c r="D969" i="50" s="1"/>
  <c r="E945" i="50"/>
  <c r="V945" i="50" s="1"/>
  <c r="B951" i="50"/>
  <c r="D951" i="50" s="1"/>
  <c r="E927" i="50"/>
  <c r="B926" i="50"/>
  <c r="D926" i="50" s="1"/>
  <c r="E902" i="50"/>
  <c r="E962" i="50"/>
  <c r="U962" i="50" s="1"/>
  <c r="B986" i="50"/>
  <c r="D986" i="50" s="1"/>
  <c r="E916" i="50"/>
  <c r="U916" i="50" s="1"/>
  <c r="B940" i="50"/>
  <c r="D940" i="50" s="1"/>
  <c r="B928" i="50"/>
  <c r="D928" i="50" s="1"/>
  <c r="E904" i="50"/>
  <c r="E907" i="50"/>
  <c r="G907" i="50" s="1"/>
  <c r="B931" i="50"/>
  <c r="D931" i="50" s="1"/>
  <c r="B978" i="50"/>
  <c r="D978" i="50" s="1"/>
  <c r="E954" i="50"/>
  <c r="B949" i="50"/>
  <c r="D949" i="50" s="1"/>
  <c r="E925" i="50"/>
  <c r="E946" i="50"/>
  <c r="U946" i="50" s="1"/>
  <c r="B970" i="50"/>
  <c r="D970" i="50" s="1"/>
  <c r="E923" i="50"/>
  <c r="B947" i="50"/>
  <c r="D947" i="50" s="1"/>
  <c r="B932" i="50"/>
  <c r="D932" i="50" s="1"/>
  <c r="E908" i="50"/>
  <c r="B933" i="50"/>
  <c r="D933" i="50" s="1"/>
  <c r="E909" i="50"/>
  <c r="U909" i="50" s="1"/>
  <c r="E939" i="50"/>
  <c r="G939" i="50" s="1"/>
  <c r="B963" i="50"/>
  <c r="D963" i="50" s="1"/>
  <c r="B944" i="50"/>
  <c r="D944" i="50" s="1"/>
  <c r="E920" i="50"/>
  <c r="B934" i="50"/>
  <c r="D934" i="50" s="1"/>
  <c r="E910" i="50"/>
  <c r="U910" i="50" s="1"/>
  <c r="E935" i="50"/>
  <c r="B959" i="50"/>
  <c r="D959" i="50" s="1"/>
  <c r="B960" i="50"/>
  <c r="D960" i="50" s="1"/>
  <c r="E936" i="50"/>
  <c r="B917" i="50"/>
  <c r="D917" i="50" s="1"/>
  <c r="E893" i="50"/>
  <c r="U900" i="50" l="1"/>
  <c r="V908" i="50"/>
  <c r="G908" i="50"/>
  <c r="F908" i="50"/>
  <c r="V962" i="50"/>
  <c r="F962" i="50"/>
  <c r="G962" i="50"/>
  <c r="F905" i="50"/>
  <c r="U905" i="50"/>
  <c r="G905" i="50"/>
  <c r="G902" i="50"/>
  <c r="F902" i="50"/>
  <c r="U902" i="50"/>
  <c r="V893" i="50"/>
  <c r="G893" i="50"/>
  <c r="F893" i="50"/>
  <c r="V923" i="50"/>
  <c r="U923" i="50"/>
  <c r="F923" i="50"/>
  <c r="V916" i="50"/>
  <c r="G916" i="50"/>
  <c r="F916" i="50"/>
  <c r="V927" i="50"/>
  <c r="U927" i="50"/>
  <c r="G927" i="50"/>
  <c r="F927" i="50"/>
  <c r="V905" i="50"/>
  <c r="V946" i="50"/>
  <c r="F946" i="50"/>
  <c r="G946" i="50"/>
  <c r="V910" i="50"/>
  <c r="G910" i="50"/>
  <c r="F910" i="50"/>
  <c r="V925" i="50"/>
  <c r="G925" i="50"/>
  <c r="F925" i="50"/>
  <c r="G923" i="50"/>
  <c r="V902" i="50"/>
  <c r="V954" i="50"/>
  <c r="U954" i="50"/>
  <c r="G954" i="50"/>
  <c r="F954" i="50"/>
  <c r="U945" i="50"/>
  <c r="G945" i="50"/>
  <c r="F945" i="50"/>
  <c r="U961" i="50"/>
  <c r="G961" i="50"/>
  <c r="F961" i="50"/>
  <c r="D924" i="50"/>
  <c r="B948" i="50"/>
  <c r="E924" i="50"/>
  <c r="U936" i="50"/>
  <c r="G936" i="50"/>
  <c r="F936" i="50"/>
  <c r="V936" i="50"/>
  <c r="V907" i="50"/>
  <c r="U907" i="50"/>
  <c r="F907" i="50"/>
  <c r="V900" i="50"/>
  <c r="G900" i="50"/>
  <c r="F900" i="50"/>
  <c r="U908" i="50"/>
  <c r="G918" i="50"/>
  <c r="F918" i="50"/>
  <c r="U918" i="50"/>
  <c r="F920" i="50"/>
  <c r="U920" i="50"/>
  <c r="V920" i="50"/>
  <c r="G920" i="50"/>
  <c r="V895" i="50"/>
  <c r="G895" i="50"/>
  <c r="F895" i="50"/>
  <c r="U895" i="50"/>
  <c r="F935" i="50"/>
  <c r="V935" i="50"/>
  <c r="U935" i="50"/>
  <c r="G935" i="50"/>
  <c r="V904" i="50"/>
  <c r="G904" i="50"/>
  <c r="U904" i="50"/>
  <c r="F904" i="50"/>
  <c r="V939" i="50"/>
  <c r="U939" i="50"/>
  <c r="F939" i="50"/>
  <c r="V909" i="50"/>
  <c r="G909" i="50"/>
  <c r="F909" i="50"/>
  <c r="U925" i="50"/>
  <c r="U893" i="50"/>
  <c r="D919" i="50"/>
  <c r="B943" i="50"/>
  <c r="E919" i="50"/>
  <c r="B957" i="50"/>
  <c r="D957" i="50" s="1"/>
  <c r="E933" i="50"/>
  <c r="B994" i="50"/>
  <c r="D994" i="50" s="1"/>
  <c r="E970" i="50"/>
  <c r="E978" i="50"/>
  <c r="B1002" i="50"/>
  <c r="D1002" i="50" s="1"/>
  <c r="B955" i="50"/>
  <c r="D955" i="50" s="1"/>
  <c r="E931" i="50"/>
  <c r="B1010" i="50"/>
  <c r="D1010" i="50" s="1"/>
  <c r="E986" i="50"/>
  <c r="B950" i="50"/>
  <c r="D950" i="50" s="1"/>
  <c r="E926" i="50"/>
  <c r="E969" i="50"/>
  <c r="B993" i="50"/>
  <c r="D993" i="50" s="1"/>
  <c r="E928" i="50"/>
  <c r="V928" i="50" s="1"/>
  <c r="B952" i="50"/>
  <c r="D952" i="50" s="1"/>
  <c r="E951" i="50"/>
  <c r="B975" i="50"/>
  <c r="D975" i="50" s="1"/>
  <c r="B941" i="50"/>
  <c r="D941" i="50" s="1"/>
  <c r="E917" i="50"/>
  <c r="B964" i="50"/>
  <c r="D964" i="50" s="1"/>
  <c r="E940" i="50"/>
  <c r="U940" i="50" s="1"/>
  <c r="E985" i="50"/>
  <c r="B1009" i="50"/>
  <c r="D1009" i="50" s="1"/>
  <c r="E932" i="50"/>
  <c r="B956" i="50"/>
  <c r="D956" i="50" s="1"/>
  <c r="B973" i="50"/>
  <c r="D973" i="50" s="1"/>
  <c r="E949" i="50"/>
  <c r="B966" i="50"/>
  <c r="D966" i="50" s="1"/>
  <c r="E942" i="50"/>
  <c r="E960" i="50"/>
  <c r="B984" i="50"/>
  <c r="D984" i="50" s="1"/>
  <c r="E944" i="50"/>
  <c r="V944" i="50" s="1"/>
  <c r="B968" i="50"/>
  <c r="D968" i="50" s="1"/>
  <c r="B953" i="50"/>
  <c r="D953" i="50" s="1"/>
  <c r="E929" i="50"/>
  <c r="V929" i="50" s="1"/>
  <c r="B983" i="50"/>
  <c r="D983" i="50" s="1"/>
  <c r="E959" i="50"/>
  <c r="V959" i="50" s="1"/>
  <c r="B958" i="50"/>
  <c r="D958" i="50" s="1"/>
  <c r="E934" i="50"/>
  <c r="V934" i="50" s="1"/>
  <c r="B987" i="50"/>
  <c r="D987" i="50" s="1"/>
  <c r="E963" i="50"/>
  <c r="U963" i="50" s="1"/>
  <c r="B971" i="50"/>
  <c r="D971" i="50" s="1"/>
  <c r="E947" i="50"/>
  <c r="U947" i="50" s="1"/>
  <c r="F951" i="50" l="1"/>
  <c r="V951" i="50"/>
  <c r="U951" i="50"/>
  <c r="G951" i="50"/>
  <c r="V942" i="50"/>
  <c r="G942" i="50"/>
  <c r="F942" i="50"/>
  <c r="V933" i="50"/>
  <c r="U933" i="50"/>
  <c r="G933" i="50"/>
  <c r="F933" i="50"/>
  <c r="U928" i="50"/>
  <c r="G928" i="50"/>
  <c r="F928" i="50"/>
  <c r="V970" i="50"/>
  <c r="U970" i="50"/>
  <c r="G970" i="50"/>
  <c r="F970" i="50"/>
  <c r="V949" i="50"/>
  <c r="U949" i="50"/>
  <c r="G949" i="50"/>
  <c r="F949" i="50"/>
  <c r="F919" i="50"/>
  <c r="V919" i="50"/>
  <c r="U919" i="50"/>
  <c r="G919" i="50"/>
  <c r="V978" i="50"/>
  <c r="F978" i="50"/>
  <c r="G978" i="50"/>
  <c r="V924" i="50"/>
  <c r="G924" i="50"/>
  <c r="F924" i="50"/>
  <c r="V963" i="50"/>
  <c r="G963" i="50"/>
  <c r="F963" i="50"/>
  <c r="V926" i="50"/>
  <c r="G926" i="50"/>
  <c r="F926" i="50"/>
  <c r="D948" i="50"/>
  <c r="E948" i="50"/>
  <c r="B972" i="50"/>
  <c r="U960" i="50"/>
  <c r="G960" i="50"/>
  <c r="F960" i="50"/>
  <c r="V960" i="50"/>
  <c r="U924" i="50"/>
  <c r="F932" i="50"/>
  <c r="G932" i="50"/>
  <c r="V932" i="50"/>
  <c r="V986" i="50"/>
  <c r="U986" i="50"/>
  <c r="G986" i="50"/>
  <c r="F986" i="50"/>
  <c r="U926" i="50"/>
  <c r="U944" i="50"/>
  <c r="F944" i="50"/>
  <c r="G944" i="50"/>
  <c r="F985" i="50"/>
  <c r="U985" i="50"/>
  <c r="G985" i="50"/>
  <c r="U932" i="50"/>
  <c r="G959" i="50"/>
  <c r="F959" i="50"/>
  <c r="U959" i="50"/>
  <c r="V931" i="50"/>
  <c r="G931" i="50"/>
  <c r="F931" i="50"/>
  <c r="V947" i="50"/>
  <c r="G947" i="50"/>
  <c r="F947" i="50"/>
  <c r="U978" i="50"/>
  <c r="G934" i="50"/>
  <c r="F934" i="50"/>
  <c r="U934" i="50"/>
  <c r="V940" i="50"/>
  <c r="G940" i="50"/>
  <c r="F940" i="50"/>
  <c r="U931" i="50"/>
  <c r="F969" i="50"/>
  <c r="U969" i="50"/>
  <c r="G969" i="50"/>
  <c r="D943" i="50"/>
  <c r="E943" i="50"/>
  <c r="B967" i="50"/>
  <c r="U929" i="50"/>
  <c r="G929" i="50"/>
  <c r="F929" i="50"/>
  <c r="V917" i="50"/>
  <c r="U917" i="50"/>
  <c r="G917" i="50"/>
  <c r="F917" i="50"/>
  <c r="U942" i="50"/>
  <c r="V985" i="50"/>
  <c r="V969" i="50"/>
  <c r="B976" i="50"/>
  <c r="D976" i="50" s="1"/>
  <c r="E952" i="50"/>
  <c r="E1010" i="50"/>
  <c r="U1010" i="50" s="1"/>
  <c r="B1034" i="50"/>
  <c r="D1034" i="50" s="1"/>
  <c r="B981" i="50"/>
  <c r="D981" i="50" s="1"/>
  <c r="E957" i="50"/>
  <c r="U957" i="50" s="1"/>
  <c r="B1017" i="50"/>
  <c r="D1017" i="50" s="1"/>
  <c r="E993" i="50"/>
  <c r="V993" i="50" s="1"/>
  <c r="E987" i="50"/>
  <c r="B1011" i="50"/>
  <c r="D1011" i="50" s="1"/>
  <c r="B1033" i="50"/>
  <c r="D1033" i="50" s="1"/>
  <c r="E1009" i="50"/>
  <c r="E994" i="50"/>
  <c r="U994" i="50" s="1"/>
  <c r="B1018" i="50"/>
  <c r="D1018" i="50" s="1"/>
  <c r="B982" i="50"/>
  <c r="D982" i="50" s="1"/>
  <c r="E958" i="50"/>
  <c r="B974" i="50"/>
  <c r="D974" i="50" s="1"/>
  <c r="E950" i="50"/>
  <c r="B965" i="50"/>
  <c r="D965" i="50" s="1"/>
  <c r="E941" i="50"/>
  <c r="U941" i="50" s="1"/>
  <c r="B1008" i="50"/>
  <c r="D1008" i="50" s="1"/>
  <c r="E984" i="50"/>
  <c r="B997" i="50"/>
  <c r="D997" i="50" s="1"/>
  <c r="E973" i="50"/>
  <c r="U973" i="50" s="1"/>
  <c r="E964" i="50"/>
  <c r="U964" i="50" s="1"/>
  <c r="B988" i="50"/>
  <c r="D988" i="50" s="1"/>
  <c r="E955" i="50"/>
  <c r="G955" i="50" s="1"/>
  <c r="B979" i="50"/>
  <c r="D979" i="50" s="1"/>
  <c r="E983" i="50"/>
  <c r="B1007" i="50"/>
  <c r="D1007" i="50" s="1"/>
  <c r="B990" i="50"/>
  <c r="D990" i="50" s="1"/>
  <c r="E966" i="50"/>
  <c r="V966" i="50" s="1"/>
  <c r="B980" i="50"/>
  <c r="D980" i="50" s="1"/>
  <c r="E956" i="50"/>
  <c r="U956" i="50" s="1"/>
  <c r="B1026" i="50"/>
  <c r="D1026" i="50" s="1"/>
  <c r="E1002" i="50"/>
  <c r="E971" i="50"/>
  <c r="B995" i="50"/>
  <c r="D995" i="50" s="1"/>
  <c r="E953" i="50"/>
  <c r="B977" i="50"/>
  <c r="D977" i="50" s="1"/>
  <c r="B999" i="50"/>
  <c r="D999" i="50" s="1"/>
  <c r="E975" i="50"/>
  <c r="V975" i="50" s="1"/>
  <c r="B992" i="50"/>
  <c r="D992" i="50" s="1"/>
  <c r="E968" i="50"/>
  <c r="V943" i="50" l="1"/>
  <c r="U983" i="50"/>
  <c r="G983" i="50"/>
  <c r="V983" i="50"/>
  <c r="D972" i="50"/>
  <c r="B996" i="50"/>
  <c r="E972" i="50"/>
  <c r="V948" i="50"/>
  <c r="G948" i="50"/>
  <c r="F948" i="50"/>
  <c r="U1009" i="50"/>
  <c r="G1009" i="50"/>
  <c r="F1009" i="50"/>
  <c r="U948" i="50"/>
  <c r="V968" i="50"/>
  <c r="U968" i="50"/>
  <c r="G968" i="50"/>
  <c r="F968" i="50"/>
  <c r="V1009" i="50"/>
  <c r="F953" i="50"/>
  <c r="U953" i="50"/>
  <c r="G953" i="50"/>
  <c r="V987" i="50"/>
  <c r="U987" i="50"/>
  <c r="F987" i="50"/>
  <c r="V953" i="50"/>
  <c r="G975" i="50"/>
  <c r="F975" i="50"/>
  <c r="U975" i="50"/>
  <c r="U993" i="50"/>
  <c r="F993" i="50"/>
  <c r="G993" i="50"/>
  <c r="V971" i="50"/>
  <c r="U971" i="50"/>
  <c r="F971" i="50"/>
  <c r="V957" i="50"/>
  <c r="G957" i="50"/>
  <c r="F957" i="50"/>
  <c r="V964" i="50"/>
  <c r="G964" i="50"/>
  <c r="F964" i="50"/>
  <c r="V941" i="50"/>
  <c r="G941" i="50"/>
  <c r="F941" i="50"/>
  <c r="F983" i="50"/>
  <c r="G971" i="50"/>
  <c r="V956" i="50"/>
  <c r="G956" i="50"/>
  <c r="F956" i="50"/>
  <c r="G950" i="50"/>
  <c r="F950" i="50"/>
  <c r="U950" i="50"/>
  <c r="G987" i="50"/>
  <c r="V955" i="50"/>
  <c r="U955" i="50"/>
  <c r="F955" i="50"/>
  <c r="V984" i="50"/>
  <c r="U984" i="50"/>
  <c r="G984" i="50"/>
  <c r="F984" i="50"/>
  <c r="V1010" i="50"/>
  <c r="F1010" i="50"/>
  <c r="G1010" i="50"/>
  <c r="D967" i="50"/>
  <c r="B991" i="50"/>
  <c r="E967" i="50"/>
  <c r="V950" i="50"/>
  <c r="V973" i="50"/>
  <c r="G973" i="50"/>
  <c r="F973" i="50"/>
  <c r="V1002" i="50"/>
  <c r="U1002" i="50"/>
  <c r="G1002" i="50"/>
  <c r="F1002" i="50"/>
  <c r="U966" i="50"/>
  <c r="G966" i="50"/>
  <c r="F966" i="50"/>
  <c r="V958" i="50"/>
  <c r="G958" i="50"/>
  <c r="F958" i="50"/>
  <c r="V952" i="50"/>
  <c r="U952" i="50"/>
  <c r="G952" i="50"/>
  <c r="F952" i="50"/>
  <c r="G943" i="50"/>
  <c r="F943" i="50"/>
  <c r="U943" i="50"/>
  <c r="U958" i="50"/>
  <c r="V994" i="50"/>
  <c r="F994" i="50"/>
  <c r="G994" i="50"/>
  <c r="E1017" i="50"/>
  <c r="B1041" i="50"/>
  <c r="D1041" i="50" s="1"/>
  <c r="B1006" i="50"/>
  <c r="D1006" i="50" s="1"/>
  <c r="E982" i="50"/>
  <c r="V982" i="50" s="1"/>
  <c r="B1005" i="50"/>
  <c r="D1005" i="50" s="1"/>
  <c r="E981" i="50"/>
  <c r="E999" i="50"/>
  <c r="F999" i="50" s="1"/>
  <c r="B1023" i="50"/>
  <c r="D1023" i="50" s="1"/>
  <c r="B1058" i="50"/>
  <c r="D1058" i="50" s="1"/>
  <c r="E1034" i="50"/>
  <c r="B1003" i="50"/>
  <c r="D1003" i="50" s="1"/>
  <c r="E979" i="50"/>
  <c r="E1033" i="50"/>
  <c r="B1057" i="50"/>
  <c r="D1057" i="50" s="1"/>
  <c r="B1001" i="50"/>
  <c r="D1001" i="50" s="1"/>
  <c r="E977" i="50"/>
  <c r="V977" i="50" s="1"/>
  <c r="E1026" i="50"/>
  <c r="B1050" i="50"/>
  <c r="D1050" i="50" s="1"/>
  <c r="B1035" i="50"/>
  <c r="D1035" i="50" s="1"/>
  <c r="E1011" i="50"/>
  <c r="U1011" i="50" s="1"/>
  <c r="B1031" i="50"/>
  <c r="D1031" i="50" s="1"/>
  <c r="E1007" i="50"/>
  <c r="B1012" i="50"/>
  <c r="D1012" i="50" s="1"/>
  <c r="E988" i="50"/>
  <c r="E1008" i="50"/>
  <c r="B1032" i="50"/>
  <c r="D1032" i="50" s="1"/>
  <c r="B989" i="50"/>
  <c r="D989" i="50" s="1"/>
  <c r="E965" i="50"/>
  <c r="E976" i="50"/>
  <c r="V976" i="50" s="1"/>
  <c r="B1000" i="50"/>
  <c r="D1000" i="50" s="1"/>
  <c r="B1019" i="50"/>
  <c r="D1019" i="50" s="1"/>
  <c r="E995" i="50"/>
  <c r="E980" i="50"/>
  <c r="B1004" i="50"/>
  <c r="D1004" i="50" s="1"/>
  <c r="B998" i="50"/>
  <c r="D998" i="50" s="1"/>
  <c r="E974" i="50"/>
  <c r="U974" i="50" s="1"/>
  <c r="B1042" i="50"/>
  <c r="D1042" i="50" s="1"/>
  <c r="E1018" i="50"/>
  <c r="E992" i="50"/>
  <c r="V992" i="50" s="1"/>
  <c r="B1016" i="50"/>
  <c r="D1016" i="50" s="1"/>
  <c r="B1021" i="50"/>
  <c r="D1021" i="50" s="1"/>
  <c r="E997" i="50"/>
  <c r="B1014" i="50"/>
  <c r="D1014" i="50" s="1"/>
  <c r="E990" i="50"/>
  <c r="U990" i="50" s="1"/>
  <c r="V995" i="50" l="1"/>
  <c r="G995" i="50"/>
  <c r="F995" i="50"/>
  <c r="G967" i="50"/>
  <c r="V967" i="50"/>
  <c r="U967" i="50"/>
  <c r="F1033" i="50"/>
  <c r="U1033" i="50"/>
  <c r="G1033" i="50"/>
  <c r="F1017" i="50"/>
  <c r="G1017" i="50"/>
  <c r="U1017" i="50"/>
  <c r="D991" i="50"/>
  <c r="E991" i="50"/>
  <c r="B1015" i="50"/>
  <c r="G965" i="50"/>
  <c r="F965" i="50"/>
  <c r="V965" i="50"/>
  <c r="U965" i="50"/>
  <c r="F967" i="50"/>
  <c r="V1026" i="50"/>
  <c r="F1026" i="50"/>
  <c r="G1026" i="50"/>
  <c r="V979" i="50"/>
  <c r="G979" i="50"/>
  <c r="F979" i="50"/>
  <c r="U976" i="50"/>
  <c r="F976" i="50"/>
  <c r="G976" i="50"/>
  <c r="U1008" i="50"/>
  <c r="G1008" i="50"/>
  <c r="F1008" i="50"/>
  <c r="V972" i="50"/>
  <c r="G972" i="50"/>
  <c r="F972" i="50"/>
  <c r="V980" i="50"/>
  <c r="G980" i="50"/>
  <c r="F980" i="50"/>
  <c r="V990" i="50"/>
  <c r="G990" i="50"/>
  <c r="F990" i="50"/>
  <c r="U995" i="50"/>
  <c r="G988" i="50"/>
  <c r="F988" i="50"/>
  <c r="V988" i="50"/>
  <c r="V1034" i="50"/>
  <c r="U1034" i="50"/>
  <c r="G1034" i="50"/>
  <c r="F1034" i="50"/>
  <c r="U988" i="50"/>
  <c r="D996" i="50"/>
  <c r="E996" i="50"/>
  <c r="B1020" i="50"/>
  <c r="U992" i="50"/>
  <c r="F992" i="50"/>
  <c r="G992" i="50"/>
  <c r="U980" i="50"/>
  <c r="V1017" i="50"/>
  <c r="U972" i="50"/>
  <c r="U977" i="50"/>
  <c r="G977" i="50"/>
  <c r="F977" i="50"/>
  <c r="F1018" i="50"/>
  <c r="U1018" i="50"/>
  <c r="G1018" i="50"/>
  <c r="V1018" i="50"/>
  <c r="G1007" i="50"/>
  <c r="U1007" i="50"/>
  <c r="F1007" i="50"/>
  <c r="V1008" i="50"/>
  <c r="V1033" i="50"/>
  <c r="U979" i="50"/>
  <c r="U999" i="50"/>
  <c r="G999" i="50"/>
  <c r="V999" i="50"/>
  <c r="U1026" i="50"/>
  <c r="U982" i="50"/>
  <c r="G982" i="50"/>
  <c r="F982" i="50"/>
  <c r="V981" i="50"/>
  <c r="U981" i="50"/>
  <c r="G981" i="50"/>
  <c r="F981" i="50"/>
  <c r="V974" i="50"/>
  <c r="G974" i="50"/>
  <c r="F974" i="50"/>
  <c r="V997" i="50"/>
  <c r="U997" i="50"/>
  <c r="G997" i="50"/>
  <c r="F997" i="50"/>
  <c r="V1011" i="50"/>
  <c r="G1011" i="50"/>
  <c r="F1011" i="50"/>
  <c r="V1007" i="50"/>
  <c r="B1047" i="50"/>
  <c r="D1047" i="50" s="1"/>
  <c r="E1023" i="50"/>
  <c r="V1023" i="50" s="1"/>
  <c r="B1065" i="50"/>
  <c r="D1065" i="50" s="1"/>
  <c r="E1041" i="50"/>
  <c r="V1041" i="50" s="1"/>
  <c r="B1040" i="50"/>
  <c r="D1040" i="50" s="1"/>
  <c r="E1016" i="50"/>
  <c r="V1016" i="50" s="1"/>
  <c r="B1022" i="50"/>
  <c r="D1022" i="50" s="1"/>
  <c r="E998" i="50"/>
  <c r="B1013" i="50"/>
  <c r="D1013" i="50" s="1"/>
  <c r="E989" i="50"/>
  <c r="E1035" i="50"/>
  <c r="B1059" i="50"/>
  <c r="D1059" i="50" s="1"/>
  <c r="B1081" i="50"/>
  <c r="D1081" i="50" s="1"/>
  <c r="E1057" i="50"/>
  <c r="V1057" i="50" s="1"/>
  <c r="B1029" i="50"/>
  <c r="D1029" i="50" s="1"/>
  <c r="E1005" i="50"/>
  <c r="U1005" i="50" s="1"/>
  <c r="B1028" i="50"/>
  <c r="D1028" i="50" s="1"/>
  <c r="E1004" i="50"/>
  <c r="B1056" i="50"/>
  <c r="D1056" i="50" s="1"/>
  <c r="E1032" i="50"/>
  <c r="B1030" i="50"/>
  <c r="D1030" i="50" s="1"/>
  <c r="E1006" i="50"/>
  <c r="E1003" i="50"/>
  <c r="G1003" i="50" s="1"/>
  <c r="B1027" i="50"/>
  <c r="D1027" i="50" s="1"/>
  <c r="E1001" i="50"/>
  <c r="B1025" i="50"/>
  <c r="D1025" i="50" s="1"/>
  <c r="B1074" i="50"/>
  <c r="D1074" i="50" s="1"/>
  <c r="E1050" i="50"/>
  <c r="B1045" i="50"/>
  <c r="D1045" i="50" s="1"/>
  <c r="E1021" i="50"/>
  <c r="U1021" i="50" s="1"/>
  <c r="E1019" i="50"/>
  <c r="B1043" i="50"/>
  <c r="D1043" i="50" s="1"/>
  <c r="E1012" i="50"/>
  <c r="U1012" i="50" s="1"/>
  <c r="B1036" i="50"/>
  <c r="D1036" i="50" s="1"/>
  <c r="E1058" i="50"/>
  <c r="U1058" i="50" s="1"/>
  <c r="B1082" i="50"/>
  <c r="D1082" i="50" s="1"/>
  <c r="B1024" i="50"/>
  <c r="D1024" i="50" s="1"/>
  <c r="E1000" i="50"/>
  <c r="V1000" i="50" s="1"/>
  <c r="B1038" i="50"/>
  <c r="D1038" i="50" s="1"/>
  <c r="E1014" i="50"/>
  <c r="V1014" i="50" s="1"/>
  <c r="E1042" i="50"/>
  <c r="U1042" i="50" s="1"/>
  <c r="B1066" i="50"/>
  <c r="D1066" i="50" s="1"/>
  <c r="E1031" i="50"/>
  <c r="F1031" i="50" s="1"/>
  <c r="B1055" i="50"/>
  <c r="D1055" i="50" s="1"/>
  <c r="V1035" i="50" l="1"/>
  <c r="U1035" i="50"/>
  <c r="F1035" i="50"/>
  <c r="V991" i="50"/>
  <c r="V989" i="50"/>
  <c r="G989" i="50"/>
  <c r="F989" i="50"/>
  <c r="F1001" i="50"/>
  <c r="U1001" i="50"/>
  <c r="G1001" i="50"/>
  <c r="D1015" i="50"/>
  <c r="B1039" i="50"/>
  <c r="E1015" i="50"/>
  <c r="U998" i="50"/>
  <c r="G998" i="50"/>
  <c r="F998" i="50"/>
  <c r="V1003" i="50"/>
  <c r="U1003" i="50"/>
  <c r="F1003" i="50"/>
  <c r="V1001" i="50"/>
  <c r="V1006" i="50"/>
  <c r="G1006" i="50"/>
  <c r="F1006" i="50"/>
  <c r="G1016" i="50"/>
  <c r="F1016" i="50"/>
  <c r="U1016" i="50"/>
  <c r="D1020" i="50"/>
  <c r="E1020" i="50"/>
  <c r="B1044" i="50"/>
  <c r="U989" i="50"/>
  <c r="G991" i="50"/>
  <c r="F991" i="50"/>
  <c r="U991" i="50"/>
  <c r="V1058" i="50"/>
  <c r="F1058" i="50"/>
  <c r="G1058" i="50"/>
  <c r="G1035" i="50"/>
  <c r="V996" i="50"/>
  <c r="G996" i="50"/>
  <c r="F996" i="50"/>
  <c r="U1041" i="50"/>
  <c r="G1041" i="50"/>
  <c r="F1041" i="50"/>
  <c r="V998" i="50"/>
  <c r="U996" i="50"/>
  <c r="G1032" i="50"/>
  <c r="F1032" i="50"/>
  <c r="U1032" i="50"/>
  <c r="V1004" i="50"/>
  <c r="G1004" i="50"/>
  <c r="F1004" i="50"/>
  <c r="F1023" i="50"/>
  <c r="U1023" i="50"/>
  <c r="G1023" i="50"/>
  <c r="V1012" i="50"/>
  <c r="G1012" i="50"/>
  <c r="F1012" i="50"/>
  <c r="U1006" i="50"/>
  <c r="G1005" i="50"/>
  <c r="V1005" i="50"/>
  <c r="F1005" i="50"/>
  <c r="V1032" i="50"/>
  <c r="V1050" i="50"/>
  <c r="U1050" i="50"/>
  <c r="G1050" i="50"/>
  <c r="F1050" i="50"/>
  <c r="V1031" i="50"/>
  <c r="G1031" i="50"/>
  <c r="U1031" i="50"/>
  <c r="V1019" i="50"/>
  <c r="U1019" i="50"/>
  <c r="F1019" i="50"/>
  <c r="U1004" i="50"/>
  <c r="G1019" i="50"/>
  <c r="V1042" i="50"/>
  <c r="F1042" i="50"/>
  <c r="G1042" i="50"/>
  <c r="U1014" i="50"/>
  <c r="F1014" i="50"/>
  <c r="G1014" i="50"/>
  <c r="F1000" i="50"/>
  <c r="U1000" i="50"/>
  <c r="G1000" i="50"/>
  <c r="V1021" i="50"/>
  <c r="G1021" i="50"/>
  <c r="F1021" i="50"/>
  <c r="U1057" i="50"/>
  <c r="F1057" i="50"/>
  <c r="G1057" i="50"/>
  <c r="B1051" i="50"/>
  <c r="D1051" i="50" s="1"/>
  <c r="E1027" i="50"/>
  <c r="B1079" i="50"/>
  <c r="D1079" i="50" s="1"/>
  <c r="E1055" i="50"/>
  <c r="E1024" i="50"/>
  <c r="V1024" i="50" s="1"/>
  <c r="B1048" i="50"/>
  <c r="D1048" i="50" s="1"/>
  <c r="B1083" i="50"/>
  <c r="D1083" i="50" s="1"/>
  <c r="E1059" i="50"/>
  <c r="U1059" i="50" s="1"/>
  <c r="E1047" i="50"/>
  <c r="F1047" i="50" s="1"/>
  <c r="B1071" i="50"/>
  <c r="D1071" i="50" s="1"/>
  <c r="E1074" i="50"/>
  <c r="B1098" i="50"/>
  <c r="D1098" i="50" s="1"/>
  <c r="B1060" i="50"/>
  <c r="D1060" i="50" s="1"/>
  <c r="E1036" i="50"/>
  <c r="E1081" i="50"/>
  <c r="V1081" i="50" s="1"/>
  <c r="B1105" i="50"/>
  <c r="D1105" i="50" s="1"/>
  <c r="B1037" i="50"/>
  <c r="D1037" i="50" s="1"/>
  <c r="E1013" i="50"/>
  <c r="B1062" i="50"/>
  <c r="D1062" i="50" s="1"/>
  <c r="E1038" i="50"/>
  <c r="B1067" i="50"/>
  <c r="D1067" i="50" s="1"/>
  <c r="E1043" i="50"/>
  <c r="U1043" i="50" s="1"/>
  <c r="E1056" i="50"/>
  <c r="V1056" i="50" s="1"/>
  <c r="B1080" i="50"/>
  <c r="D1080" i="50" s="1"/>
  <c r="B1046" i="50"/>
  <c r="D1046" i="50" s="1"/>
  <c r="E1022" i="50"/>
  <c r="U1022" i="50" s="1"/>
  <c r="E1028" i="50"/>
  <c r="B1052" i="50"/>
  <c r="D1052" i="50" s="1"/>
  <c r="B1090" i="50"/>
  <c r="D1090" i="50" s="1"/>
  <c r="E1066" i="50"/>
  <c r="B1069" i="50"/>
  <c r="D1069" i="50" s="1"/>
  <c r="E1045" i="50"/>
  <c r="B1049" i="50"/>
  <c r="D1049" i="50" s="1"/>
  <c r="E1025" i="50"/>
  <c r="B1054" i="50"/>
  <c r="D1054" i="50" s="1"/>
  <c r="E1030" i="50"/>
  <c r="V1030" i="50" s="1"/>
  <c r="B1053" i="50"/>
  <c r="D1053" i="50" s="1"/>
  <c r="E1029" i="50"/>
  <c r="E1040" i="50"/>
  <c r="V1040" i="50" s="1"/>
  <c r="B1064" i="50"/>
  <c r="D1064" i="50" s="1"/>
  <c r="E1065" i="50"/>
  <c r="V1065" i="50" s="1"/>
  <c r="B1089" i="50"/>
  <c r="D1089" i="50" s="1"/>
  <c r="B1106" i="50"/>
  <c r="D1106" i="50" s="1"/>
  <c r="E1082" i="50"/>
  <c r="F1015" i="50" l="1"/>
  <c r="V1013" i="50"/>
  <c r="U1013" i="50"/>
  <c r="G1013" i="50"/>
  <c r="F1013" i="50"/>
  <c r="U1055" i="50"/>
  <c r="F1055" i="50"/>
  <c r="G1055" i="50"/>
  <c r="D1039" i="50"/>
  <c r="E1039" i="50"/>
  <c r="B1063" i="50"/>
  <c r="V1027" i="50"/>
  <c r="G1027" i="50"/>
  <c r="F1027" i="50"/>
  <c r="U1025" i="50"/>
  <c r="G1025" i="50"/>
  <c r="F1025" i="50"/>
  <c r="F1081" i="50"/>
  <c r="U1081" i="50"/>
  <c r="G1081" i="50"/>
  <c r="G1028" i="50"/>
  <c r="F1028" i="50"/>
  <c r="V1028" i="50"/>
  <c r="V1082" i="50"/>
  <c r="U1082" i="50"/>
  <c r="G1082" i="50"/>
  <c r="F1082" i="50"/>
  <c r="V1074" i="50"/>
  <c r="F1074" i="50"/>
  <c r="G1074" i="50"/>
  <c r="V1066" i="50"/>
  <c r="U1066" i="50"/>
  <c r="G1066" i="50"/>
  <c r="F1066" i="50"/>
  <c r="U1040" i="50"/>
  <c r="G1040" i="50"/>
  <c r="F1040" i="50"/>
  <c r="V1025" i="50"/>
  <c r="V1036" i="50"/>
  <c r="G1036" i="50"/>
  <c r="F1036" i="50"/>
  <c r="G1022" i="50"/>
  <c r="V1022" i="50"/>
  <c r="F1022" i="50"/>
  <c r="V1029" i="50"/>
  <c r="U1029" i="50"/>
  <c r="G1029" i="50"/>
  <c r="F1029" i="50"/>
  <c r="U1036" i="50"/>
  <c r="U1028" i="50"/>
  <c r="F1045" i="50"/>
  <c r="V1045" i="50"/>
  <c r="U1045" i="50"/>
  <c r="G1045" i="50"/>
  <c r="F1065" i="50"/>
  <c r="U1065" i="50"/>
  <c r="G1065" i="50"/>
  <c r="G1047" i="50"/>
  <c r="V1047" i="50"/>
  <c r="U1047" i="50"/>
  <c r="D1044" i="50"/>
  <c r="B1068" i="50"/>
  <c r="E1044" i="50"/>
  <c r="U1024" i="50"/>
  <c r="G1024" i="50"/>
  <c r="F1024" i="50"/>
  <c r="U1056" i="50"/>
  <c r="G1056" i="50"/>
  <c r="F1056" i="50"/>
  <c r="G1030" i="50"/>
  <c r="F1030" i="50"/>
  <c r="U1030" i="50"/>
  <c r="V1043" i="50"/>
  <c r="G1043" i="50"/>
  <c r="F1043" i="50"/>
  <c r="V1059" i="50"/>
  <c r="G1059" i="50"/>
  <c r="F1059" i="50"/>
  <c r="V1055" i="50"/>
  <c r="V1020" i="50"/>
  <c r="G1020" i="50"/>
  <c r="F1020" i="50"/>
  <c r="U1074" i="50"/>
  <c r="V1038" i="50"/>
  <c r="G1038" i="50"/>
  <c r="F1038" i="50"/>
  <c r="U1027" i="50"/>
  <c r="U1020" i="50"/>
  <c r="V1015" i="50"/>
  <c r="U1015" i="50"/>
  <c r="G1015" i="50"/>
  <c r="U1038" i="50"/>
  <c r="E1049" i="50"/>
  <c r="B1073" i="50"/>
  <c r="D1073" i="50" s="1"/>
  <c r="B1070" i="50"/>
  <c r="D1070" i="50" s="1"/>
  <c r="E1046" i="50"/>
  <c r="V1046" i="50" s="1"/>
  <c r="B1086" i="50"/>
  <c r="D1086" i="50" s="1"/>
  <c r="E1062" i="50"/>
  <c r="V1062" i="50" s="1"/>
  <c r="E1090" i="50"/>
  <c r="B1114" i="50"/>
  <c r="D1114" i="50" s="1"/>
  <c r="B1122" i="50"/>
  <c r="D1122" i="50" s="1"/>
  <c r="E1098" i="50"/>
  <c r="B1113" i="50"/>
  <c r="D1113" i="50" s="1"/>
  <c r="E1089" i="50"/>
  <c r="B1076" i="50"/>
  <c r="D1076" i="50" s="1"/>
  <c r="E1052" i="50"/>
  <c r="E1079" i="50"/>
  <c r="F1079" i="50" s="1"/>
  <c r="B1103" i="50"/>
  <c r="D1103" i="50" s="1"/>
  <c r="B1129" i="50"/>
  <c r="D1129" i="50" s="1"/>
  <c r="E1105" i="50"/>
  <c r="V1105" i="50" s="1"/>
  <c r="B1093" i="50"/>
  <c r="D1093" i="50" s="1"/>
  <c r="E1069" i="50"/>
  <c r="U1069" i="50" s="1"/>
  <c r="B1061" i="50"/>
  <c r="D1061" i="50" s="1"/>
  <c r="E1037" i="50"/>
  <c r="B1104" i="50"/>
  <c r="D1104" i="50" s="1"/>
  <c r="E1080" i="50"/>
  <c r="V1080" i="50" s="1"/>
  <c r="B1095" i="50"/>
  <c r="D1095" i="50" s="1"/>
  <c r="E1071" i="50"/>
  <c r="V1071" i="50" s="1"/>
  <c r="E1106" i="50"/>
  <c r="U1106" i="50" s="1"/>
  <c r="B1130" i="50"/>
  <c r="D1130" i="50" s="1"/>
  <c r="E1060" i="50"/>
  <c r="U1060" i="50" s="1"/>
  <c r="B1084" i="50"/>
  <c r="D1084" i="50" s="1"/>
  <c r="E1083" i="50"/>
  <c r="G1083" i="50" s="1"/>
  <c r="B1107" i="50"/>
  <c r="D1107" i="50" s="1"/>
  <c r="B1088" i="50"/>
  <c r="D1088" i="50" s="1"/>
  <c r="E1064" i="50"/>
  <c r="V1064" i="50" s="1"/>
  <c r="B1078" i="50"/>
  <c r="D1078" i="50" s="1"/>
  <c r="E1054" i="50"/>
  <c r="E1067" i="50"/>
  <c r="B1091" i="50"/>
  <c r="D1091" i="50" s="1"/>
  <c r="B1077" i="50"/>
  <c r="D1077" i="50" s="1"/>
  <c r="E1053" i="50"/>
  <c r="U1053" i="50" s="1"/>
  <c r="B1072" i="50"/>
  <c r="D1072" i="50" s="1"/>
  <c r="E1048" i="50"/>
  <c r="V1048" i="50" s="1"/>
  <c r="E1051" i="50"/>
  <c r="G1051" i="50" s="1"/>
  <c r="B1075" i="50"/>
  <c r="D1075" i="50" s="1"/>
  <c r="U1044" i="50" l="1"/>
  <c r="U1071" i="50"/>
  <c r="F1071" i="50"/>
  <c r="G1071" i="50"/>
  <c r="V1052" i="50"/>
  <c r="G1052" i="50"/>
  <c r="F1052" i="50"/>
  <c r="V1044" i="50"/>
  <c r="G1044" i="50"/>
  <c r="F1044" i="50"/>
  <c r="D1063" i="50"/>
  <c r="E1063" i="50"/>
  <c r="B1087" i="50"/>
  <c r="V1106" i="50"/>
  <c r="F1106" i="50"/>
  <c r="G1106" i="50"/>
  <c r="D1068" i="50"/>
  <c r="B1092" i="50"/>
  <c r="E1068" i="50"/>
  <c r="U1052" i="50"/>
  <c r="U1039" i="50"/>
  <c r="F1039" i="50"/>
  <c r="G1039" i="50"/>
  <c r="U1089" i="50"/>
  <c r="G1089" i="50"/>
  <c r="F1089" i="50"/>
  <c r="V1039" i="50"/>
  <c r="G1048" i="50"/>
  <c r="F1048" i="50"/>
  <c r="U1048" i="50"/>
  <c r="V1037" i="50"/>
  <c r="G1037" i="50"/>
  <c r="F1037" i="50"/>
  <c r="V1098" i="50"/>
  <c r="U1098" i="50"/>
  <c r="G1098" i="50"/>
  <c r="F1098" i="50"/>
  <c r="U1037" i="50"/>
  <c r="V1067" i="50"/>
  <c r="U1067" i="50"/>
  <c r="F1067" i="50"/>
  <c r="G1067" i="50"/>
  <c r="V1054" i="50"/>
  <c r="G1054" i="50"/>
  <c r="F1054" i="50"/>
  <c r="V1069" i="50"/>
  <c r="G1069" i="50"/>
  <c r="F1069" i="50"/>
  <c r="U1054" i="50"/>
  <c r="V1090" i="50"/>
  <c r="F1090" i="50"/>
  <c r="G1090" i="50"/>
  <c r="U1051" i="50"/>
  <c r="F1051" i="50"/>
  <c r="V1051" i="50"/>
  <c r="V1053" i="50"/>
  <c r="G1053" i="50"/>
  <c r="F1053" i="50"/>
  <c r="G1062" i="50"/>
  <c r="F1062" i="50"/>
  <c r="U1062" i="50"/>
  <c r="U1090" i="50"/>
  <c r="G1064" i="50"/>
  <c r="F1064" i="50"/>
  <c r="U1064" i="50"/>
  <c r="U1105" i="50"/>
  <c r="G1105" i="50"/>
  <c r="F1105" i="50"/>
  <c r="G1046" i="50"/>
  <c r="F1046" i="50"/>
  <c r="U1046" i="50"/>
  <c r="V1089" i="50"/>
  <c r="G1080" i="50"/>
  <c r="F1080" i="50"/>
  <c r="U1080" i="50"/>
  <c r="V1083" i="50"/>
  <c r="U1083" i="50"/>
  <c r="F1083" i="50"/>
  <c r="V1060" i="50"/>
  <c r="G1060" i="50"/>
  <c r="F1060" i="50"/>
  <c r="G1079" i="50"/>
  <c r="U1079" i="50"/>
  <c r="V1079" i="50"/>
  <c r="F1049" i="50"/>
  <c r="U1049" i="50"/>
  <c r="G1049" i="50"/>
  <c r="V1049" i="50"/>
  <c r="E1088" i="50"/>
  <c r="B1112" i="50"/>
  <c r="D1112" i="50" s="1"/>
  <c r="B1108" i="50"/>
  <c r="D1108" i="50" s="1"/>
  <c r="E1084" i="50"/>
  <c r="U1084" i="50" s="1"/>
  <c r="B1127" i="50"/>
  <c r="D1127" i="50" s="1"/>
  <c r="E1103" i="50"/>
  <c r="V1103" i="50" s="1"/>
  <c r="E1122" i="50"/>
  <c r="U1122" i="50" s="1"/>
  <c r="B1146" i="50"/>
  <c r="D1146" i="50" s="1"/>
  <c r="E1095" i="50"/>
  <c r="F1095" i="50" s="1"/>
  <c r="B1119" i="50"/>
  <c r="D1119" i="50" s="1"/>
  <c r="B1110" i="50"/>
  <c r="D1110" i="50" s="1"/>
  <c r="E1086" i="50"/>
  <c r="U1086" i="50" s="1"/>
  <c r="E1129" i="50"/>
  <c r="B1153" i="50"/>
  <c r="D1153" i="50" s="1"/>
  <c r="B1099" i="50"/>
  <c r="D1099" i="50" s="1"/>
  <c r="E1075" i="50"/>
  <c r="B1154" i="50"/>
  <c r="D1154" i="50" s="1"/>
  <c r="E1130" i="50"/>
  <c r="B1138" i="50"/>
  <c r="D1138" i="50" s="1"/>
  <c r="E1114" i="50"/>
  <c r="B1094" i="50"/>
  <c r="D1094" i="50" s="1"/>
  <c r="E1070" i="50"/>
  <c r="U1070" i="50" s="1"/>
  <c r="E1076" i="50"/>
  <c r="B1100" i="50"/>
  <c r="D1100" i="50" s="1"/>
  <c r="B1097" i="50"/>
  <c r="D1097" i="50" s="1"/>
  <c r="E1073" i="50"/>
  <c r="V1073" i="50" s="1"/>
  <c r="B1102" i="50"/>
  <c r="D1102" i="50" s="1"/>
  <c r="E1078" i="50"/>
  <c r="B1101" i="50"/>
  <c r="D1101" i="50" s="1"/>
  <c r="E1077" i="50"/>
  <c r="E1104" i="50"/>
  <c r="V1104" i="50" s="1"/>
  <c r="B1128" i="50"/>
  <c r="D1128" i="50" s="1"/>
  <c r="E1113" i="50"/>
  <c r="V1113" i="50" s="1"/>
  <c r="B1137" i="50"/>
  <c r="D1137" i="50" s="1"/>
  <c r="E1072" i="50"/>
  <c r="V1072" i="50" s="1"/>
  <c r="B1096" i="50"/>
  <c r="D1096" i="50" s="1"/>
  <c r="B1115" i="50"/>
  <c r="D1115" i="50" s="1"/>
  <c r="E1091" i="50"/>
  <c r="B1117" i="50"/>
  <c r="D1117" i="50" s="1"/>
  <c r="E1093" i="50"/>
  <c r="B1131" i="50"/>
  <c r="D1131" i="50" s="1"/>
  <c r="E1107" i="50"/>
  <c r="U1107" i="50" s="1"/>
  <c r="B1085" i="50"/>
  <c r="D1085" i="50" s="1"/>
  <c r="E1061" i="50"/>
  <c r="V1130" i="50" l="1"/>
  <c r="U1130" i="50"/>
  <c r="G1130" i="50"/>
  <c r="F1130" i="50"/>
  <c r="F1113" i="50"/>
  <c r="U1113" i="50"/>
  <c r="G1113" i="50"/>
  <c r="V1075" i="50"/>
  <c r="G1075" i="50"/>
  <c r="F1075" i="50"/>
  <c r="V1084" i="50"/>
  <c r="G1084" i="50"/>
  <c r="F1084" i="50"/>
  <c r="D1087" i="50"/>
  <c r="B1111" i="50"/>
  <c r="E1087" i="50"/>
  <c r="G1063" i="50"/>
  <c r="U1063" i="50"/>
  <c r="V1063" i="50"/>
  <c r="V1077" i="50"/>
  <c r="U1077" i="50"/>
  <c r="G1077" i="50"/>
  <c r="F1077" i="50"/>
  <c r="U1075" i="50"/>
  <c r="F1063" i="50"/>
  <c r="F1129" i="50"/>
  <c r="G1129" i="50"/>
  <c r="U1129" i="50"/>
  <c r="U1088" i="50"/>
  <c r="G1088" i="50"/>
  <c r="F1088" i="50"/>
  <c r="V1088" i="50"/>
  <c r="V1114" i="50"/>
  <c r="U1114" i="50"/>
  <c r="G1114" i="50"/>
  <c r="F1114" i="50"/>
  <c r="V1086" i="50"/>
  <c r="G1086" i="50"/>
  <c r="F1086" i="50"/>
  <c r="V1061" i="50"/>
  <c r="U1061" i="50"/>
  <c r="G1061" i="50"/>
  <c r="F1061" i="50"/>
  <c r="U1103" i="50"/>
  <c r="F1103" i="50"/>
  <c r="G1103" i="50"/>
  <c r="G1078" i="50"/>
  <c r="F1078" i="50"/>
  <c r="U1078" i="50"/>
  <c r="V1095" i="50"/>
  <c r="G1095" i="50"/>
  <c r="U1095" i="50"/>
  <c r="V1129" i="50"/>
  <c r="F1068" i="50"/>
  <c r="V1068" i="50"/>
  <c r="G1068" i="50"/>
  <c r="U1073" i="50"/>
  <c r="F1073" i="50"/>
  <c r="G1073" i="50"/>
  <c r="V1076" i="50"/>
  <c r="G1076" i="50"/>
  <c r="F1076" i="50"/>
  <c r="D1092" i="50"/>
  <c r="B1116" i="50"/>
  <c r="E1092" i="50"/>
  <c r="U1072" i="50"/>
  <c r="G1072" i="50"/>
  <c r="F1072" i="50"/>
  <c r="U1104" i="50"/>
  <c r="F1104" i="50"/>
  <c r="G1104" i="50"/>
  <c r="V1107" i="50"/>
  <c r="G1107" i="50"/>
  <c r="F1107" i="50"/>
  <c r="V1093" i="50"/>
  <c r="U1093" i="50"/>
  <c r="G1093" i="50"/>
  <c r="F1093" i="50"/>
  <c r="G1091" i="50"/>
  <c r="F1091" i="50"/>
  <c r="V1091" i="50"/>
  <c r="V1070" i="50"/>
  <c r="G1070" i="50"/>
  <c r="F1070" i="50"/>
  <c r="V1078" i="50"/>
  <c r="U1091" i="50"/>
  <c r="U1068" i="50"/>
  <c r="V1122" i="50"/>
  <c r="F1122" i="50"/>
  <c r="G1122" i="50"/>
  <c r="U1076" i="50"/>
  <c r="B1161" i="50"/>
  <c r="D1161" i="50" s="1"/>
  <c r="E1137" i="50"/>
  <c r="B1118" i="50"/>
  <c r="D1118" i="50" s="1"/>
  <c r="E1094" i="50"/>
  <c r="V1094" i="50" s="1"/>
  <c r="E1108" i="50"/>
  <c r="B1132" i="50"/>
  <c r="D1132" i="50" s="1"/>
  <c r="E1099" i="50"/>
  <c r="B1123" i="50"/>
  <c r="D1123" i="50" s="1"/>
  <c r="B1136" i="50"/>
  <c r="D1136" i="50" s="1"/>
  <c r="E1112" i="50"/>
  <c r="V1112" i="50" s="1"/>
  <c r="E1138" i="50"/>
  <c r="B1162" i="50"/>
  <c r="D1162" i="50" s="1"/>
  <c r="B1120" i="50"/>
  <c r="D1120" i="50" s="1"/>
  <c r="E1096" i="50"/>
  <c r="E1131" i="50"/>
  <c r="G1131" i="50" s="1"/>
  <c r="B1155" i="50"/>
  <c r="D1155" i="50" s="1"/>
  <c r="B1177" i="50"/>
  <c r="D1177" i="50" s="1"/>
  <c r="E1153" i="50"/>
  <c r="V1153" i="50" s="1"/>
  <c r="B1152" i="50"/>
  <c r="D1152" i="50" s="1"/>
  <c r="E1128" i="50"/>
  <c r="V1128" i="50" s="1"/>
  <c r="B1126" i="50"/>
  <c r="D1126" i="50" s="1"/>
  <c r="E1102" i="50"/>
  <c r="U1102" i="50" s="1"/>
  <c r="B1109" i="50"/>
  <c r="D1109" i="50" s="1"/>
  <c r="E1085" i="50"/>
  <c r="U1085" i="50" s="1"/>
  <c r="B1141" i="50"/>
  <c r="D1141" i="50" s="1"/>
  <c r="E1117" i="50"/>
  <c r="E1097" i="50"/>
  <c r="B1121" i="50"/>
  <c r="D1121" i="50" s="1"/>
  <c r="E1154" i="50"/>
  <c r="U1154" i="50" s="1"/>
  <c r="B1178" i="50"/>
  <c r="D1178" i="50" s="1"/>
  <c r="B1170" i="50"/>
  <c r="D1170" i="50" s="1"/>
  <c r="E1146" i="50"/>
  <c r="E1115" i="50"/>
  <c r="G1115" i="50" s="1"/>
  <c r="B1139" i="50"/>
  <c r="D1139" i="50" s="1"/>
  <c r="B1124" i="50"/>
  <c r="D1124" i="50" s="1"/>
  <c r="E1100" i="50"/>
  <c r="B1134" i="50"/>
  <c r="D1134" i="50" s="1"/>
  <c r="E1110" i="50"/>
  <c r="E1127" i="50"/>
  <c r="F1127" i="50" s="1"/>
  <c r="B1151" i="50"/>
  <c r="D1151" i="50" s="1"/>
  <c r="B1125" i="50"/>
  <c r="D1125" i="50" s="1"/>
  <c r="E1101" i="50"/>
  <c r="B1143" i="50"/>
  <c r="D1143" i="50" s="1"/>
  <c r="E1119" i="50"/>
  <c r="U1092" i="50" l="1"/>
  <c r="G1096" i="50"/>
  <c r="F1096" i="50"/>
  <c r="U1096" i="50"/>
  <c r="F1097" i="50"/>
  <c r="U1097" i="50"/>
  <c r="G1097" i="50"/>
  <c r="V1097" i="50"/>
  <c r="V1101" i="50"/>
  <c r="G1101" i="50"/>
  <c r="F1101" i="50"/>
  <c r="V1117" i="50"/>
  <c r="G1117" i="50"/>
  <c r="F1117" i="50"/>
  <c r="U1117" i="50"/>
  <c r="V1138" i="50"/>
  <c r="F1138" i="50"/>
  <c r="G1138" i="50"/>
  <c r="V1102" i="50"/>
  <c r="G1102" i="50"/>
  <c r="F1102" i="50"/>
  <c r="U1101" i="50"/>
  <c r="U1119" i="50"/>
  <c r="F1119" i="50"/>
  <c r="G1119" i="50"/>
  <c r="V1099" i="50"/>
  <c r="U1099" i="50"/>
  <c r="F1099" i="50"/>
  <c r="U1127" i="50"/>
  <c r="V1127" i="50"/>
  <c r="G1127" i="50"/>
  <c r="G1128" i="50"/>
  <c r="F1128" i="50"/>
  <c r="U1128" i="50"/>
  <c r="V1119" i="50"/>
  <c r="U1138" i="50"/>
  <c r="V1108" i="50"/>
  <c r="G1108" i="50"/>
  <c r="F1108" i="50"/>
  <c r="U1108" i="50"/>
  <c r="V1085" i="50"/>
  <c r="G1085" i="50"/>
  <c r="F1085" i="50"/>
  <c r="U1153" i="50"/>
  <c r="F1153" i="50"/>
  <c r="G1153" i="50"/>
  <c r="U1094" i="50"/>
  <c r="G1094" i="50"/>
  <c r="F1094" i="50"/>
  <c r="G1099" i="50"/>
  <c r="V1100" i="50"/>
  <c r="G1100" i="50"/>
  <c r="F1100" i="50"/>
  <c r="U1087" i="50"/>
  <c r="F1087" i="50"/>
  <c r="G1087" i="50"/>
  <c r="G1112" i="50"/>
  <c r="F1112" i="50"/>
  <c r="U1112" i="50"/>
  <c r="U1110" i="50"/>
  <c r="G1110" i="50"/>
  <c r="F1110" i="50"/>
  <c r="U1137" i="50"/>
  <c r="F1137" i="50"/>
  <c r="G1137" i="50"/>
  <c r="V1092" i="50"/>
  <c r="G1092" i="50"/>
  <c r="F1092" i="50"/>
  <c r="U1100" i="50"/>
  <c r="D1111" i="50"/>
  <c r="E1111" i="50"/>
  <c r="B1135" i="50"/>
  <c r="V1154" i="50"/>
  <c r="F1154" i="50"/>
  <c r="G1154" i="50"/>
  <c r="V1115" i="50"/>
  <c r="U1115" i="50"/>
  <c r="F1115" i="50"/>
  <c r="V1146" i="50"/>
  <c r="U1146" i="50"/>
  <c r="G1146" i="50"/>
  <c r="F1146" i="50"/>
  <c r="V1131" i="50"/>
  <c r="U1131" i="50"/>
  <c r="F1131" i="50"/>
  <c r="D1116" i="50"/>
  <c r="B1140" i="50"/>
  <c r="E1116" i="50"/>
  <c r="V1110" i="50"/>
  <c r="V1096" i="50"/>
  <c r="V1087" i="50"/>
  <c r="V1137" i="50"/>
  <c r="E1120" i="50"/>
  <c r="B1144" i="50"/>
  <c r="D1144" i="50" s="1"/>
  <c r="B1186" i="50"/>
  <c r="D1186" i="50" s="1"/>
  <c r="E1162" i="50"/>
  <c r="E1170" i="50"/>
  <c r="B1194" i="50"/>
  <c r="D1194" i="50" s="1"/>
  <c r="E1161" i="50"/>
  <c r="V1161" i="50" s="1"/>
  <c r="B1185" i="50"/>
  <c r="D1185" i="50" s="1"/>
  <c r="B1147" i="50"/>
  <c r="D1147" i="50" s="1"/>
  <c r="E1123" i="50"/>
  <c r="U1123" i="50" s="1"/>
  <c r="E1124" i="50"/>
  <c r="U1124" i="50" s="1"/>
  <c r="B1148" i="50"/>
  <c r="D1148" i="50" s="1"/>
  <c r="B1179" i="50"/>
  <c r="D1179" i="50" s="1"/>
  <c r="E1155" i="50"/>
  <c r="U1155" i="50" s="1"/>
  <c r="E1177" i="50"/>
  <c r="B1201" i="50"/>
  <c r="D1201" i="50" s="1"/>
  <c r="B1150" i="50"/>
  <c r="D1150" i="50" s="1"/>
  <c r="E1126" i="50"/>
  <c r="B1156" i="50"/>
  <c r="D1156" i="50" s="1"/>
  <c r="E1132" i="50"/>
  <c r="B1202" i="50"/>
  <c r="D1202" i="50" s="1"/>
  <c r="E1178" i="50"/>
  <c r="E1152" i="50"/>
  <c r="V1152" i="50" s="1"/>
  <c r="B1176" i="50"/>
  <c r="D1176" i="50" s="1"/>
  <c r="E1143" i="50"/>
  <c r="B1167" i="50"/>
  <c r="D1167" i="50" s="1"/>
  <c r="B1145" i="50"/>
  <c r="D1145" i="50" s="1"/>
  <c r="E1121" i="50"/>
  <c r="E1136" i="50"/>
  <c r="B1160" i="50"/>
  <c r="D1160" i="50" s="1"/>
  <c r="B1158" i="50"/>
  <c r="D1158" i="50" s="1"/>
  <c r="E1134" i="50"/>
  <c r="U1134" i="50" s="1"/>
  <c r="B1149" i="50"/>
  <c r="D1149" i="50" s="1"/>
  <c r="E1125" i="50"/>
  <c r="B1175" i="50"/>
  <c r="D1175" i="50" s="1"/>
  <c r="E1151" i="50"/>
  <c r="V1151" i="50" s="1"/>
  <c r="B1163" i="50"/>
  <c r="D1163" i="50" s="1"/>
  <c r="E1139" i="50"/>
  <c r="U1139" i="50" s="1"/>
  <c r="B1133" i="50"/>
  <c r="D1133" i="50" s="1"/>
  <c r="E1109" i="50"/>
  <c r="B1142" i="50"/>
  <c r="D1142" i="50" s="1"/>
  <c r="E1118" i="50"/>
  <c r="U1118" i="50" s="1"/>
  <c r="B1165" i="50"/>
  <c r="D1165" i="50" s="1"/>
  <c r="E1141" i="50"/>
  <c r="U1116" i="50" l="1"/>
  <c r="U1126" i="50"/>
  <c r="G1126" i="50"/>
  <c r="F1126" i="50"/>
  <c r="V1126" i="50"/>
  <c r="U1120" i="50"/>
  <c r="F1120" i="50"/>
  <c r="G1120" i="50"/>
  <c r="V1125" i="50"/>
  <c r="U1125" i="50"/>
  <c r="G1125" i="50"/>
  <c r="F1125" i="50"/>
  <c r="V1132" i="50"/>
  <c r="G1132" i="50"/>
  <c r="F1132" i="50"/>
  <c r="F1177" i="50"/>
  <c r="U1177" i="50"/>
  <c r="G1177" i="50"/>
  <c r="V1177" i="50"/>
  <c r="U1132" i="50"/>
  <c r="V1120" i="50"/>
  <c r="V1118" i="50"/>
  <c r="G1118" i="50"/>
  <c r="F1118" i="50"/>
  <c r="V1109" i="50"/>
  <c r="U1109" i="50"/>
  <c r="G1109" i="50"/>
  <c r="F1109" i="50"/>
  <c r="F1116" i="50"/>
  <c r="V1116" i="50"/>
  <c r="G1116" i="50"/>
  <c r="U1162" i="50"/>
  <c r="G1162" i="50"/>
  <c r="F1162" i="50"/>
  <c r="V1162" i="50"/>
  <c r="U1136" i="50"/>
  <c r="G1136" i="50"/>
  <c r="F1136" i="50"/>
  <c r="V1124" i="50"/>
  <c r="G1124" i="50"/>
  <c r="F1124" i="50"/>
  <c r="D1140" i="50"/>
  <c r="B1164" i="50"/>
  <c r="E1140" i="50"/>
  <c r="V1123" i="50"/>
  <c r="G1123" i="50"/>
  <c r="F1123" i="50"/>
  <c r="V1155" i="50"/>
  <c r="G1155" i="50"/>
  <c r="F1155" i="50"/>
  <c r="U1143" i="50"/>
  <c r="V1143" i="50"/>
  <c r="G1143" i="50"/>
  <c r="V1136" i="50"/>
  <c r="F1143" i="50"/>
  <c r="V1141" i="50"/>
  <c r="U1141" i="50"/>
  <c r="G1141" i="50"/>
  <c r="F1141" i="50"/>
  <c r="D1135" i="50"/>
  <c r="E1135" i="50"/>
  <c r="B1159" i="50"/>
  <c r="V1134" i="50"/>
  <c r="G1134" i="50"/>
  <c r="F1134" i="50"/>
  <c r="U1121" i="50"/>
  <c r="F1121" i="50"/>
  <c r="G1121" i="50"/>
  <c r="G1139" i="50"/>
  <c r="F1139" i="50"/>
  <c r="V1139" i="50"/>
  <c r="U1152" i="50"/>
  <c r="G1152" i="50"/>
  <c r="F1152" i="50"/>
  <c r="U1111" i="50"/>
  <c r="V1111" i="50"/>
  <c r="G1111" i="50"/>
  <c r="F1161" i="50"/>
  <c r="U1161" i="50"/>
  <c r="G1161" i="50"/>
  <c r="V1178" i="50"/>
  <c r="U1178" i="50"/>
  <c r="G1178" i="50"/>
  <c r="F1178" i="50"/>
  <c r="F1111" i="50"/>
  <c r="F1151" i="50"/>
  <c r="U1151" i="50"/>
  <c r="G1151" i="50"/>
  <c r="V1170" i="50"/>
  <c r="F1170" i="50"/>
  <c r="G1170" i="50"/>
  <c r="U1170" i="50"/>
  <c r="V1121" i="50"/>
  <c r="E1179" i="50"/>
  <c r="G1179" i="50" s="1"/>
  <c r="B1203" i="50"/>
  <c r="D1203" i="50" s="1"/>
  <c r="B1157" i="50"/>
  <c r="D1157" i="50" s="1"/>
  <c r="E1133" i="50"/>
  <c r="E1175" i="50"/>
  <c r="F1175" i="50" s="1"/>
  <c r="B1199" i="50"/>
  <c r="D1199" i="50" s="1"/>
  <c r="E1156" i="50"/>
  <c r="B1180" i="50"/>
  <c r="D1180" i="50" s="1"/>
  <c r="E1186" i="50"/>
  <c r="B1210" i="50"/>
  <c r="D1210" i="50" s="1"/>
  <c r="E1145" i="50"/>
  <c r="V1145" i="50" s="1"/>
  <c r="B1169" i="50"/>
  <c r="D1169" i="50" s="1"/>
  <c r="B1191" i="50"/>
  <c r="D1191" i="50" s="1"/>
  <c r="E1167" i="50"/>
  <c r="V1167" i="50" s="1"/>
  <c r="B1200" i="50"/>
  <c r="D1200" i="50" s="1"/>
  <c r="E1176" i="50"/>
  <c r="V1176" i="50" s="1"/>
  <c r="B1172" i="50"/>
  <c r="D1172" i="50" s="1"/>
  <c r="E1148" i="50"/>
  <c r="B1209" i="50"/>
  <c r="D1209" i="50" s="1"/>
  <c r="E1185" i="50"/>
  <c r="V1185" i="50" s="1"/>
  <c r="B1189" i="50"/>
  <c r="D1189" i="50" s="1"/>
  <c r="E1165" i="50"/>
  <c r="B1166" i="50"/>
  <c r="D1166" i="50" s="1"/>
  <c r="E1142" i="50"/>
  <c r="V1142" i="50" s="1"/>
  <c r="B1168" i="50"/>
  <c r="D1168" i="50" s="1"/>
  <c r="E1144" i="50"/>
  <c r="V1144" i="50" s="1"/>
  <c r="B1184" i="50"/>
  <c r="D1184" i="50" s="1"/>
  <c r="E1160" i="50"/>
  <c r="E1163" i="50"/>
  <c r="G1163" i="50" s="1"/>
  <c r="B1187" i="50"/>
  <c r="D1187" i="50" s="1"/>
  <c r="B1174" i="50"/>
  <c r="D1174" i="50" s="1"/>
  <c r="E1150" i="50"/>
  <c r="U1150" i="50" s="1"/>
  <c r="E1147" i="50"/>
  <c r="B1171" i="50"/>
  <c r="D1171" i="50" s="1"/>
  <c r="B1218" i="50"/>
  <c r="D1218" i="50" s="1"/>
  <c r="E1194" i="50"/>
  <c r="B1173" i="50"/>
  <c r="D1173" i="50" s="1"/>
  <c r="E1149" i="50"/>
  <c r="U1149" i="50" s="1"/>
  <c r="B1225" i="50"/>
  <c r="D1225" i="50" s="1"/>
  <c r="E1201" i="50"/>
  <c r="E1202" i="50"/>
  <c r="B1226" i="50"/>
  <c r="D1226" i="50" s="1"/>
  <c r="B1182" i="50"/>
  <c r="D1182" i="50" s="1"/>
  <c r="E1158" i="50"/>
  <c r="V1158" i="50" s="1"/>
  <c r="F1202" i="50" l="1"/>
  <c r="V1202" i="50"/>
  <c r="G1202" i="50"/>
  <c r="U1135" i="50"/>
  <c r="G1135" i="50"/>
  <c r="F1135" i="50"/>
  <c r="V1135" i="50"/>
  <c r="V1186" i="50"/>
  <c r="F1186" i="50"/>
  <c r="G1186" i="50"/>
  <c r="U1202" i="50"/>
  <c r="U1201" i="50"/>
  <c r="G1201" i="50"/>
  <c r="F1201" i="50"/>
  <c r="F1156" i="50"/>
  <c r="V1156" i="50"/>
  <c r="G1156" i="50"/>
  <c r="F1145" i="50"/>
  <c r="G1145" i="50"/>
  <c r="U1145" i="50"/>
  <c r="V1165" i="50"/>
  <c r="G1165" i="50"/>
  <c r="F1165" i="50"/>
  <c r="U1165" i="50"/>
  <c r="D1159" i="50"/>
  <c r="E1159" i="50"/>
  <c r="B1183" i="50"/>
  <c r="V1148" i="50"/>
  <c r="G1148" i="50"/>
  <c r="F1148" i="50"/>
  <c r="V1140" i="50"/>
  <c r="G1140" i="50"/>
  <c r="F1140" i="50"/>
  <c r="U1156" i="50"/>
  <c r="V1149" i="50"/>
  <c r="G1149" i="50"/>
  <c r="F1149" i="50"/>
  <c r="V1147" i="50"/>
  <c r="U1147" i="50"/>
  <c r="F1147" i="50"/>
  <c r="U1175" i="50"/>
  <c r="V1175" i="50"/>
  <c r="G1175" i="50"/>
  <c r="D1164" i="50"/>
  <c r="B1188" i="50"/>
  <c r="E1164" i="50"/>
  <c r="U1148" i="50"/>
  <c r="U1142" i="50"/>
  <c r="F1142" i="50"/>
  <c r="G1142" i="50"/>
  <c r="F1176" i="50"/>
  <c r="U1176" i="50"/>
  <c r="G1176" i="50"/>
  <c r="V1133" i="50"/>
  <c r="G1133" i="50"/>
  <c r="F1133" i="50"/>
  <c r="U1140" i="50"/>
  <c r="V1150" i="50"/>
  <c r="G1150" i="50"/>
  <c r="F1150" i="50"/>
  <c r="G1147" i="50"/>
  <c r="U1185" i="50"/>
  <c r="G1185" i="50"/>
  <c r="F1185" i="50"/>
  <c r="G1167" i="50"/>
  <c r="F1167" i="50"/>
  <c r="U1167" i="50"/>
  <c r="V1194" i="50"/>
  <c r="U1194" i="50"/>
  <c r="G1194" i="50"/>
  <c r="F1194" i="50"/>
  <c r="V1163" i="50"/>
  <c r="U1163" i="50"/>
  <c r="F1163" i="50"/>
  <c r="F1179" i="50"/>
  <c r="V1179" i="50"/>
  <c r="U1179" i="50"/>
  <c r="V1201" i="50"/>
  <c r="U1144" i="50"/>
  <c r="G1144" i="50"/>
  <c r="F1144" i="50"/>
  <c r="G1158" i="50"/>
  <c r="F1158" i="50"/>
  <c r="U1158" i="50"/>
  <c r="F1160" i="50"/>
  <c r="U1160" i="50"/>
  <c r="G1160" i="50"/>
  <c r="U1133" i="50"/>
  <c r="V1160" i="50"/>
  <c r="U1186" i="50"/>
  <c r="E1172" i="50"/>
  <c r="U1172" i="50" s="1"/>
  <c r="B1196" i="50"/>
  <c r="D1196" i="50" s="1"/>
  <c r="B1197" i="50"/>
  <c r="D1197" i="50" s="1"/>
  <c r="E1173" i="50"/>
  <c r="B1213" i="50"/>
  <c r="D1213" i="50" s="1"/>
  <c r="E1189" i="50"/>
  <c r="B1234" i="50"/>
  <c r="D1234" i="50" s="1"/>
  <c r="E1210" i="50"/>
  <c r="B1223" i="50"/>
  <c r="D1223" i="50" s="1"/>
  <c r="E1199" i="50"/>
  <c r="B1198" i="50"/>
  <c r="D1198" i="50" s="1"/>
  <c r="E1174" i="50"/>
  <c r="B1204" i="50"/>
  <c r="D1204" i="50" s="1"/>
  <c r="E1180" i="50"/>
  <c r="U1180" i="50" s="1"/>
  <c r="E1209" i="50"/>
  <c r="V1209" i="50" s="1"/>
  <c r="B1233" i="50"/>
  <c r="D1233" i="50" s="1"/>
  <c r="B1181" i="50"/>
  <c r="D1181" i="50" s="1"/>
  <c r="E1157" i="50"/>
  <c r="E1200" i="50"/>
  <c r="B1224" i="50"/>
  <c r="D1224" i="50" s="1"/>
  <c r="B1211" i="50"/>
  <c r="D1211" i="50" s="1"/>
  <c r="E1187" i="50"/>
  <c r="U1187" i="50" s="1"/>
  <c r="B1227" i="50"/>
  <c r="D1227" i="50" s="1"/>
  <c r="E1203" i="50"/>
  <c r="U1203" i="50" s="1"/>
  <c r="B1190" i="50"/>
  <c r="D1190" i="50" s="1"/>
  <c r="E1166" i="50"/>
  <c r="E1184" i="50"/>
  <c r="V1184" i="50" s="1"/>
  <c r="B1208" i="50"/>
  <c r="D1208" i="50" s="1"/>
  <c r="E1191" i="50"/>
  <c r="B1215" i="50"/>
  <c r="D1215" i="50" s="1"/>
  <c r="E1225" i="50"/>
  <c r="V1225" i="50" s="1"/>
  <c r="B1249" i="50"/>
  <c r="D1249" i="50" s="1"/>
  <c r="B1193" i="50"/>
  <c r="D1193" i="50" s="1"/>
  <c r="E1169" i="50"/>
  <c r="V1169" i="50" s="1"/>
  <c r="E1168" i="50"/>
  <c r="V1168" i="50" s="1"/>
  <c r="B1192" i="50"/>
  <c r="D1192" i="50" s="1"/>
  <c r="B1206" i="50"/>
  <c r="D1206" i="50" s="1"/>
  <c r="E1182" i="50"/>
  <c r="U1182" i="50" s="1"/>
  <c r="E1218" i="50"/>
  <c r="U1218" i="50" s="1"/>
  <c r="B1242" i="50"/>
  <c r="D1242" i="50" s="1"/>
  <c r="B1250" i="50"/>
  <c r="D1250" i="50" s="1"/>
  <c r="E1226" i="50"/>
  <c r="B1195" i="50"/>
  <c r="D1195" i="50" s="1"/>
  <c r="E1171" i="50"/>
  <c r="U1171" i="50" s="1"/>
  <c r="U1200" i="50" l="1"/>
  <c r="G1200" i="50"/>
  <c r="F1200" i="50"/>
  <c r="U1159" i="50"/>
  <c r="V1159" i="50"/>
  <c r="G1159" i="50"/>
  <c r="V1157" i="50"/>
  <c r="U1157" i="50"/>
  <c r="G1157" i="50"/>
  <c r="F1157" i="50"/>
  <c r="F1159" i="50"/>
  <c r="V1172" i="50"/>
  <c r="G1172" i="50"/>
  <c r="F1172" i="50"/>
  <c r="F1225" i="50"/>
  <c r="U1225" i="50"/>
  <c r="G1225" i="50"/>
  <c r="F1209" i="50"/>
  <c r="U1209" i="50"/>
  <c r="G1209" i="50"/>
  <c r="V1173" i="50"/>
  <c r="U1173" i="50"/>
  <c r="G1173" i="50"/>
  <c r="F1173" i="50"/>
  <c r="V1171" i="50"/>
  <c r="G1171" i="50"/>
  <c r="F1171" i="50"/>
  <c r="G1191" i="50"/>
  <c r="V1191" i="50"/>
  <c r="U1191" i="50"/>
  <c r="F1191" i="50"/>
  <c r="G1174" i="50"/>
  <c r="F1174" i="50"/>
  <c r="U1174" i="50"/>
  <c r="U1169" i="50"/>
  <c r="F1169" i="50"/>
  <c r="G1169" i="50"/>
  <c r="D1183" i="50"/>
  <c r="B1207" i="50"/>
  <c r="E1183" i="50"/>
  <c r="V1226" i="50"/>
  <c r="U1226" i="50"/>
  <c r="G1226" i="50"/>
  <c r="F1226" i="50"/>
  <c r="G1199" i="50"/>
  <c r="F1199" i="50"/>
  <c r="U1199" i="50"/>
  <c r="V1200" i="50"/>
  <c r="V1164" i="50"/>
  <c r="G1164" i="50"/>
  <c r="F1164" i="50"/>
  <c r="V1180" i="50"/>
  <c r="G1180" i="50"/>
  <c r="F1180" i="50"/>
  <c r="V1166" i="50"/>
  <c r="G1166" i="50"/>
  <c r="F1166" i="50"/>
  <c r="D1188" i="50"/>
  <c r="E1188" i="50"/>
  <c r="B1212" i="50"/>
  <c r="V1199" i="50"/>
  <c r="V1203" i="50"/>
  <c r="G1203" i="50"/>
  <c r="F1203" i="50"/>
  <c r="V1210" i="50"/>
  <c r="U1210" i="50"/>
  <c r="G1210" i="50"/>
  <c r="F1210" i="50"/>
  <c r="U1164" i="50"/>
  <c r="U1168" i="50"/>
  <c r="G1168" i="50"/>
  <c r="F1168" i="50"/>
  <c r="U1184" i="50"/>
  <c r="G1184" i="50"/>
  <c r="F1184" i="50"/>
  <c r="V1218" i="50"/>
  <c r="F1218" i="50"/>
  <c r="G1218" i="50"/>
  <c r="G1227" i="50"/>
  <c r="V1182" i="50"/>
  <c r="G1182" i="50"/>
  <c r="F1182" i="50"/>
  <c r="V1187" i="50"/>
  <c r="G1187" i="50"/>
  <c r="F1187" i="50"/>
  <c r="U1189" i="50"/>
  <c r="G1189" i="50"/>
  <c r="F1189" i="50"/>
  <c r="V1189" i="50"/>
  <c r="V1174" i="50"/>
  <c r="U1166" i="50"/>
  <c r="E1195" i="50"/>
  <c r="B1219" i="50"/>
  <c r="D1219" i="50" s="1"/>
  <c r="B1230" i="50"/>
  <c r="D1230" i="50" s="1"/>
  <c r="E1206" i="50"/>
  <c r="V1206" i="50" s="1"/>
  <c r="E1211" i="50"/>
  <c r="B1235" i="50"/>
  <c r="D1235" i="50" s="1"/>
  <c r="E1204" i="50"/>
  <c r="B1228" i="50"/>
  <c r="D1228" i="50" s="1"/>
  <c r="B1220" i="50"/>
  <c r="D1220" i="50" s="1"/>
  <c r="E1196" i="50"/>
  <c r="U1196" i="50" s="1"/>
  <c r="B1232" i="50"/>
  <c r="D1232" i="50" s="1"/>
  <c r="E1208" i="50"/>
  <c r="V1208" i="50" s="1"/>
  <c r="B1248" i="50"/>
  <c r="D1248" i="50" s="1"/>
  <c r="E1224" i="50"/>
  <c r="B1273" i="50"/>
  <c r="D1273" i="50" s="1"/>
  <c r="E1249" i="50"/>
  <c r="E1234" i="50"/>
  <c r="B1258" i="50"/>
  <c r="D1258" i="50" s="1"/>
  <c r="B1239" i="50"/>
  <c r="D1239" i="50" s="1"/>
  <c r="E1215" i="50"/>
  <c r="V1215" i="50" s="1"/>
  <c r="B1214" i="50"/>
  <c r="D1214" i="50" s="1"/>
  <c r="E1190" i="50"/>
  <c r="V1190" i="50" s="1"/>
  <c r="B1257" i="50"/>
  <c r="D1257" i="50" s="1"/>
  <c r="E1233" i="50"/>
  <c r="B1237" i="50"/>
  <c r="D1237" i="50" s="1"/>
  <c r="E1213" i="50"/>
  <c r="E1227" i="50"/>
  <c r="B1251" i="50"/>
  <c r="D1251" i="50" s="1"/>
  <c r="E1193" i="50"/>
  <c r="V1193" i="50" s="1"/>
  <c r="B1217" i="50"/>
  <c r="D1217" i="50" s="1"/>
  <c r="B1205" i="50"/>
  <c r="D1205" i="50" s="1"/>
  <c r="E1181" i="50"/>
  <c r="U1181" i="50" s="1"/>
  <c r="B1266" i="50"/>
  <c r="D1266" i="50" s="1"/>
  <c r="E1242" i="50"/>
  <c r="B1222" i="50"/>
  <c r="D1222" i="50" s="1"/>
  <c r="E1198" i="50"/>
  <c r="B1221" i="50"/>
  <c r="D1221" i="50" s="1"/>
  <c r="E1197" i="50"/>
  <c r="U1197" i="50" s="1"/>
  <c r="E1250" i="50"/>
  <c r="B1274" i="50"/>
  <c r="D1274" i="50" s="1"/>
  <c r="B1216" i="50"/>
  <c r="D1216" i="50" s="1"/>
  <c r="E1192" i="50"/>
  <c r="E1223" i="50"/>
  <c r="F1223" i="50" s="1"/>
  <c r="B1247" i="50"/>
  <c r="D1247" i="50" s="1"/>
  <c r="F1224" i="50" l="1"/>
  <c r="U1224" i="50"/>
  <c r="G1224" i="50"/>
  <c r="V1227" i="50"/>
  <c r="U1227" i="50"/>
  <c r="F1227" i="50"/>
  <c r="D1212" i="50"/>
  <c r="B1236" i="50"/>
  <c r="E1212" i="50"/>
  <c r="V1188" i="50"/>
  <c r="G1188" i="50"/>
  <c r="F1188" i="50"/>
  <c r="U1188" i="50"/>
  <c r="U1249" i="50"/>
  <c r="F1249" i="50"/>
  <c r="G1249" i="50"/>
  <c r="F1192" i="50"/>
  <c r="U1192" i="50"/>
  <c r="G1192" i="50"/>
  <c r="U1233" i="50"/>
  <c r="G1233" i="50"/>
  <c r="F1233" i="50"/>
  <c r="V1196" i="50"/>
  <c r="G1196" i="50"/>
  <c r="F1196" i="50"/>
  <c r="V1224" i="50"/>
  <c r="V1213" i="50"/>
  <c r="G1213" i="50"/>
  <c r="F1213" i="50"/>
  <c r="V1195" i="50"/>
  <c r="U1195" i="50"/>
  <c r="F1195" i="50"/>
  <c r="F1208" i="50"/>
  <c r="U1208" i="50"/>
  <c r="G1208" i="50"/>
  <c r="V1204" i="50"/>
  <c r="G1204" i="50"/>
  <c r="F1204" i="50"/>
  <c r="G1183" i="50"/>
  <c r="F1183" i="50"/>
  <c r="U1183" i="50"/>
  <c r="U1204" i="50"/>
  <c r="V1198" i="50"/>
  <c r="G1198" i="50"/>
  <c r="F1198" i="50"/>
  <c r="D1207" i="50"/>
  <c r="E1207" i="50"/>
  <c r="B1231" i="50"/>
  <c r="G1223" i="50"/>
  <c r="V1223" i="50"/>
  <c r="U1223" i="50"/>
  <c r="V1211" i="50"/>
  <c r="U1211" i="50"/>
  <c r="F1211" i="50"/>
  <c r="V1183" i="50"/>
  <c r="V1234" i="50"/>
  <c r="F1234" i="50"/>
  <c r="G1234" i="50"/>
  <c r="G1206" i="50"/>
  <c r="F1206" i="50"/>
  <c r="U1206" i="50"/>
  <c r="V1249" i="50"/>
  <c r="U1213" i="50"/>
  <c r="V1197" i="50"/>
  <c r="G1197" i="50"/>
  <c r="F1197" i="50"/>
  <c r="G1215" i="50"/>
  <c r="F1215" i="50"/>
  <c r="U1215" i="50"/>
  <c r="G1211" i="50"/>
  <c r="U1198" i="50"/>
  <c r="G1195" i="50"/>
  <c r="V1233" i="50"/>
  <c r="F1193" i="50"/>
  <c r="U1193" i="50"/>
  <c r="G1193" i="50"/>
  <c r="V1250" i="50"/>
  <c r="F1250" i="50"/>
  <c r="G1250" i="50"/>
  <c r="G1190" i="50"/>
  <c r="F1190" i="50"/>
  <c r="U1190" i="50"/>
  <c r="G1242" i="50"/>
  <c r="F1242" i="50"/>
  <c r="V1242" i="50"/>
  <c r="U1242" i="50"/>
  <c r="V1181" i="50"/>
  <c r="G1181" i="50"/>
  <c r="F1181" i="50"/>
  <c r="U1234" i="50"/>
  <c r="U1250" i="50"/>
  <c r="V1192" i="50"/>
  <c r="E1216" i="50"/>
  <c r="B1240" i="50"/>
  <c r="D1240" i="50" s="1"/>
  <c r="B1282" i="50"/>
  <c r="D1282" i="50" s="1"/>
  <c r="E1258" i="50"/>
  <c r="B1261" i="50"/>
  <c r="D1261" i="50" s="1"/>
  <c r="E1237" i="50"/>
  <c r="E1220" i="50"/>
  <c r="U1220" i="50" s="1"/>
  <c r="B1244" i="50"/>
  <c r="D1244" i="50" s="1"/>
  <c r="B1252" i="50"/>
  <c r="D1252" i="50" s="1"/>
  <c r="E1228" i="50"/>
  <c r="E1257" i="50"/>
  <c r="V1257" i="50" s="1"/>
  <c r="B1281" i="50"/>
  <c r="D1281" i="50" s="1"/>
  <c r="B1259" i="50"/>
  <c r="D1259" i="50" s="1"/>
  <c r="E1235" i="50"/>
  <c r="U1235" i="50" s="1"/>
  <c r="B1241" i="50"/>
  <c r="D1241" i="50" s="1"/>
  <c r="E1217" i="50"/>
  <c r="B1245" i="50"/>
  <c r="D1245" i="50" s="1"/>
  <c r="E1221" i="50"/>
  <c r="B1246" i="50"/>
  <c r="D1246" i="50" s="1"/>
  <c r="E1222" i="50"/>
  <c r="V1222" i="50" s="1"/>
  <c r="E1248" i="50"/>
  <c r="V1248" i="50" s="1"/>
  <c r="B1272" i="50"/>
  <c r="D1272" i="50" s="1"/>
  <c r="E1239" i="50"/>
  <c r="B1263" i="50"/>
  <c r="D1263" i="50" s="1"/>
  <c r="B1271" i="50"/>
  <c r="D1271" i="50" s="1"/>
  <c r="E1247" i="50"/>
  <c r="B1298" i="50"/>
  <c r="D1298" i="50" s="1"/>
  <c r="E1274" i="50"/>
  <c r="E1273" i="50"/>
  <c r="B1297" i="50"/>
  <c r="D1297" i="50" s="1"/>
  <c r="B1275" i="50"/>
  <c r="D1275" i="50" s="1"/>
  <c r="E1251" i="50"/>
  <c r="U1251" i="50" s="1"/>
  <c r="E1266" i="50"/>
  <c r="U1266" i="50" s="1"/>
  <c r="B1290" i="50"/>
  <c r="D1290" i="50" s="1"/>
  <c r="E1232" i="50"/>
  <c r="B1256" i="50"/>
  <c r="D1256" i="50" s="1"/>
  <c r="B1254" i="50"/>
  <c r="D1254" i="50" s="1"/>
  <c r="E1230" i="50"/>
  <c r="B1238" i="50"/>
  <c r="D1238" i="50" s="1"/>
  <c r="E1214" i="50"/>
  <c r="U1214" i="50" s="1"/>
  <c r="B1243" i="50"/>
  <c r="D1243" i="50" s="1"/>
  <c r="E1219" i="50"/>
  <c r="B1229" i="50"/>
  <c r="D1229" i="50" s="1"/>
  <c r="E1205" i="50"/>
  <c r="F1207" i="50" l="1"/>
  <c r="V1230" i="50"/>
  <c r="G1230" i="50"/>
  <c r="F1230" i="50"/>
  <c r="U1216" i="50"/>
  <c r="G1216" i="50"/>
  <c r="F1216" i="50"/>
  <c r="V1258" i="50"/>
  <c r="U1258" i="50"/>
  <c r="G1258" i="50"/>
  <c r="F1258" i="50"/>
  <c r="F1273" i="50"/>
  <c r="G1273" i="50"/>
  <c r="U1273" i="50"/>
  <c r="V1235" i="50"/>
  <c r="G1235" i="50"/>
  <c r="F1235" i="50"/>
  <c r="V1212" i="50"/>
  <c r="G1212" i="50"/>
  <c r="F1212" i="50"/>
  <c r="F1219" i="50"/>
  <c r="V1219" i="50"/>
  <c r="G1219" i="50"/>
  <c r="V1274" i="50"/>
  <c r="U1274" i="50"/>
  <c r="G1274" i="50"/>
  <c r="F1274" i="50"/>
  <c r="V1216" i="50"/>
  <c r="D1236" i="50"/>
  <c r="E1236" i="50"/>
  <c r="B1260" i="50"/>
  <c r="V1205" i="50"/>
  <c r="U1205" i="50"/>
  <c r="G1205" i="50"/>
  <c r="F1205" i="50"/>
  <c r="F1257" i="50"/>
  <c r="G1257" i="50"/>
  <c r="U1257" i="50"/>
  <c r="U1219" i="50"/>
  <c r="U1212" i="50"/>
  <c r="U1217" i="50"/>
  <c r="G1217" i="50"/>
  <c r="F1217" i="50"/>
  <c r="G1247" i="50"/>
  <c r="F1247" i="50"/>
  <c r="U1247" i="50"/>
  <c r="D1231" i="50"/>
  <c r="E1231" i="50"/>
  <c r="B1255" i="50"/>
  <c r="V1214" i="50"/>
  <c r="G1214" i="50"/>
  <c r="F1214" i="50"/>
  <c r="V1228" i="50"/>
  <c r="G1228" i="50"/>
  <c r="F1228" i="50"/>
  <c r="G1207" i="50"/>
  <c r="V1207" i="50"/>
  <c r="U1207" i="50"/>
  <c r="U1239" i="50"/>
  <c r="G1239" i="50"/>
  <c r="V1239" i="50"/>
  <c r="V1237" i="50"/>
  <c r="U1237" i="50"/>
  <c r="G1237" i="50"/>
  <c r="F1237" i="50"/>
  <c r="U1230" i="50"/>
  <c r="V1220" i="50"/>
  <c r="G1220" i="50"/>
  <c r="F1220" i="50"/>
  <c r="U1232" i="50"/>
  <c r="F1232" i="50"/>
  <c r="G1232" i="50"/>
  <c r="U1248" i="50"/>
  <c r="F1248" i="50"/>
  <c r="G1248" i="50"/>
  <c r="F1239" i="50"/>
  <c r="V1232" i="50"/>
  <c r="U1228" i="50"/>
  <c r="V1266" i="50"/>
  <c r="F1266" i="50"/>
  <c r="G1266" i="50"/>
  <c r="V1273" i="50"/>
  <c r="U1222" i="50"/>
  <c r="G1222" i="50"/>
  <c r="F1222" i="50"/>
  <c r="V1251" i="50"/>
  <c r="G1251" i="50"/>
  <c r="F1251" i="50"/>
  <c r="V1221" i="50"/>
  <c r="U1221" i="50"/>
  <c r="G1221" i="50"/>
  <c r="F1221" i="50"/>
  <c r="V1217" i="50"/>
  <c r="V1247" i="50"/>
  <c r="B1321" i="50"/>
  <c r="D1321" i="50" s="1"/>
  <c r="E1297" i="50"/>
  <c r="B1280" i="50"/>
  <c r="D1280" i="50" s="1"/>
  <c r="E1256" i="50"/>
  <c r="V1256" i="50" s="1"/>
  <c r="E1271" i="50"/>
  <c r="B1295" i="50"/>
  <c r="D1295" i="50" s="1"/>
  <c r="E1243" i="50"/>
  <c r="G1243" i="50" s="1"/>
  <c r="B1267" i="50"/>
  <c r="D1267" i="50" s="1"/>
  <c r="B1287" i="50"/>
  <c r="D1287" i="50" s="1"/>
  <c r="E1263" i="50"/>
  <c r="V1263" i="50" s="1"/>
  <c r="B1268" i="50"/>
  <c r="D1268" i="50" s="1"/>
  <c r="E1244" i="50"/>
  <c r="U1244" i="50" s="1"/>
  <c r="B1314" i="50"/>
  <c r="D1314" i="50" s="1"/>
  <c r="E1290" i="50"/>
  <c r="E1241" i="50"/>
  <c r="V1241" i="50" s="1"/>
  <c r="B1265" i="50"/>
  <c r="D1265" i="50" s="1"/>
  <c r="B1262" i="50"/>
  <c r="D1262" i="50" s="1"/>
  <c r="E1238" i="50"/>
  <c r="B1270" i="50"/>
  <c r="D1270" i="50" s="1"/>
  <c r="E1246" i="50"/>
  <c r="E1282" i="50"/>
  <c r="B1306" i="50"/>
  <c r="D1306" i="50" s="1"/>
  <c r="E1275" i="50"/>
  <c r="G1275" i="50" s="1"/>
  <c r="B1299" i="50"/>
  <c r="D1299" i="50" s="1"/>
  <c r="B1296" i="50"/>
  <c r="D1296" i="50" s="1"/>
  <c r="E1272" i="50"/>
  <c r="B1269" i="50"/>
  <c r="D1269" i="50" s="1"/>
  <c r="E1245" i="50"/>
  <c r="U1245" i="50" s="1"/>
  <c r="B1253" i="50"/>
  <c r="D1253" i="50" s="1"/>
  <c r="E1229" i="50"/>
  <c r="E1298" i="50"/>
  <c r="U1298" i="50" s="1"/>
  <c r="B1322" i="50"/>
  <c r="D1322" i="50" s="1"/>
  <c r="B1264" i="50"/>
  <c r="D1264" i="50" s="1"/>
  <c r="E1240" i="50"/>
  <c r="E1252" i="50"/>
  <c r="U1252" i="50" s="1"/>
  <c r="B1276" i="50"/>
  <c r="D1276" i="50" s="1"/>
  <c r="E1259" i="50"/>
  <c r="B1283" i="50"/>
  <c r="D1283" i="50" s="1"/>
  <c r="B1285" i="50"/>
  <c r="D1285" i="50" s="1"/>
  <c r="E1261" i="50"/>
  <c r="U1261" i="50" s="1"/>
  <c r="B1278" i="50"/>
  <c r="D1278" i="50" s="1"/>
  <c r="E1254" i="50"/>
  <c r="B1305" i="50"/>
  <c r="D1305" i="50" s="1"/>
  <c r="E1281" i="50"/>
  <c r="V1281" i="50" s="1"/>
  <c r="U1254" i="50" l="1"/>
  <c r="G1254" i="50"/>
  <c r="F1254" i="50"/>
  <c r="G1272" i="50"/>
  <c r="F1272" i="50"/>
  <c r="U1272" i="50"/>
  <c r="V1271" i="50"/>
  <c r="U1271" i="50"/>
  <c r="G1271" i="50"/>
  <c r="D1255" i="50"/>
  <c r="B1279" i="50"/>
  <c r="E1255" i="50"/>
  <c r="V1246" i="50"/>
  <c r="G1246" i="50"/>
  <c r="F1246" i="50"/>
  <c r="G1231" i="50"/>
  <c r="F1231" i="50"/>
  <c r="U1231" i="50"/>
  <c r="V1275" i="50"/>
  <c r="U1275" i="50"/>
  <c r="F1275" i="50"/>
  <c r="V1231" i="50"/>
  <c r="G1263" i="50"/>
  <c r="U1263" i="50"/>
  <c r="F1263" i="50"/>
  <c r="V1282" i="50"/>
  <c r="F1282" i="50"/>
  <c r="G1282" i="50"/>
  <c r="F1256" i="50"/>
  <c r="U1256" i="50"/>
  <c r="G1256" i="50"/>
  <c r="V1272" i="50"/>
  <c r="V1261" i="50"/>
  <c r="G1261" i="50"/>
  <c r="F1261" i="50"/>
  <c r="U1259" i="50"/>
  <c r="F1259" i="50"/>
  <c r="V1259" i="50"/>
  <c r="V1298" i="50"/>
  <c r="F1298" i="50"/>
  <c r="G1298" i="50"/>
  <c r="U1282" i="50"/>
  <c r="F1240" i="50"/>
  <c r="U1240" i="50"/>
  <c r="G1240" i="50"/>
  <c r="V1229" i="50"/>
  <c r="G1229" i="50"/>
  <c r="F1229" i="50"/>
  <c r="U1297" i="50"/>
  <c r="G1297" i="50"/>
  <c r="F1297" i="50"/>
  <c r="U1246" i="50"/>
  <c r="G1259" i="50"/>
  <c r="V1240" i="50"/>
  <c r="V1243" i="50"/>
  <c r="U1243" i="50"/>
  <c r="F1243" i="50"/>
  <c r="U1238" i="50"/>
  <c r="G1238" i="50"/>
  <c r="F1238" i="50"/>
  <c r="F1241" i="50"/>
  <c r="U1241" i="50"/>
  <c r="G1241" i="50"/>
  <c r="D1260" i="50"/>
  <c r="E1260" i="50"/>
  <c r="B1284" i="50"/>
  <c r="U1229" i="50"/>
  <c r="V1245" i="50"/>
  <c r="G1245" i="50"/>
  <c r="F1245" i="50"/>
  <c r="U1281" i="50"/>
  <c r="G1281" i="50"/>
  <c r="F1281" i="50"/>
  <c r="V1290" i="50"/>
  <c r="U1290" i="50"/>
  <c r="G1290" i="50"/>
  <c r="F1290" i="50"/>
  <c r="V1254" i="50"/>
  <c r="F1271" i="50"/>
  <c r="V1236" i="50"/>
  <c r="G1236" i="50"/>
  <c r="F1236" i="50"/>
  <c r="V1297" i="50"/>
  <c r="V1244" i="50"/>
  <c r="G1244" i="50"/>
  <c r="F1244" i="50"/>
  <c r="V1252" i="50"/>
  <c r="G1252" i="50"/>
  <c r="F1252" i="50"/>
  <c r="V1238" i="50"/>
  <c r="U1236" i="50"/>
  <c r="B1291" i="50"/>
  <c r="D1291" i="50" s="1"/>
  <c r="E1267" i="50"/>
  <c r="B1346" i="50"/>
  <c r="D1346" i="50" s="1"/>
  <c r="E1322" i="50"/>
  <c r="B1323" i="50"/>
  <c r="D1323" i="50" s="1"/>
  <c r="E1299" i="50"/>
  <c r="U1299" i="50" s="1"/>
  <c r="B1289" i="50"/>
  <c r="D1289" i="50" s="1"/>
  <c r="E1265" i="50"/>
  <c r="V1265" i="50" s="1"/>
  <c r="B1277" i="50"/>
  <c r="D1277" i="50" s="1"/>
  <c r="E1253" i="50"/>
  <c r="E1305" i="50"/>
  <c r="V1305" i="50" s="1"/>
  <c r="B1329" i="50"/>
  <c r="D1329" i="50" s="1"/>
  <c r="B1300" i="50"/>
  <c r="D1300" i="50" s="1"/>
  <c r="E1276" i="50"/>
  <c r="B1330" i="50"/>
  <c r="D1330" i="50" s="1"/>
  <c r="E1306" i="50"/>
  <c r="B1319" i="50"/>
  <c r="D1319" i="50" s="1"/>
  <c r="E1295" i="50"/>
  <c r="E1280" i="50"/>
  <c r="B1304" i="50"/>
  <c r="D1304" i="50" s="1"/>
  <c r="B1307" i="50"/>
  <c r="D1307" i="50" s="1"/>
  <c r="E1283" i="50"/>
  <c r="E1264" i="50"/>
  <c r="B1288" i="50"/>
  <c r="D1288" i="50" s="1"/>
  <c r="B1309" i="50"/>
  <c r="D1309" i="50" s="1"/>
  <c r="E1285" i="50"/>
  <c r="E1296" i="50"/>
  <c r="B1320" i="50"/>
  <c r="D1320" i="50" s="1"/>
  <c r="B1302" i="50"/>
  <c r="D1302" i="50" s="1"/>
  <c r="E1278" i="50"/>
  <c r="B1293" i="50"/>
  <c r="D1293" i="50" s="1"/>
  <c r="E1269" i="50"/>
  <c r="B1286" i="50"/>
  <c r="D1286" i="50" s="1"/>
  <c r="E1262" i="50"/>
  <c r="U1262" i="50" s="1"/>
  <c r="E1287" i="50"/>
  <c r="F1287" i="50" s="1"/>
  <c r="B1311" i="50"/>
  <c r="D1311" i="50" s="1"/>
  <c r="B1294" i="50"/>
  <c r="D1294" i="50" s="1"/>
  <c r="E1270" i="50"/>
  <c r="V1270" i="50" s="1"/>
  <c r="E1268" i="50"/>
  <c r="U1268" i="50" s="1"/>
  <c r="B1292" i="50"/>
  <c r="D1292" i="50" s="1"/>
  <c r="E1314" i="50"/>
  <c r="U1314" i="50" s="1"/>
  <c r="B1338" i="50"/>
  <c r="D1338" i="50" s="1"/>
  <c r="E1321" i="50"/>
  <c r="V1321" i="50" s="1"/>
  <c r="B1345" i="50"/>
  <c r="D1345" i="50" s="1"/>
  <c r="F1255" i="50" l="1"/>
  <c r="D1279" i="50"/>
  <c r="B1303" i="50"/>
  <c r="E1279" i="50"/>
  <c r="V1306" i="50"/>
  <c r="U1306" i="50"/>
  <c r="G1306" i="50"/>
  <c r="F1306" i="50"/>
  <c r="V1267" i="50"/>
  <c r="G1267" i="50"/>
  <c r="F1267" i="50"/>
  <c r="D1284" i="50"/>
  <c r="E1284" i="50"/>
  <c r="B1308" i="50"/>
  <c r="V1260" i="50"/>
  <c r="G1260" i="50"/>
  <c r="F1260" i="50"/>
  <c r="U1260" i="50"/>
  <c r="V1276" i="50"/>
  <c r="G1276" i="50"/>
  <c r="F1276" i="50"/>
  <c r="U1295" i="50"/>
  <c r="F1295" i="50"/>
  <c r="G1295" i="50"/>
  <c r="V1295" i="50"/>
  <c r="V1322" i="50"/>
  <c r="U1322" i="50"/>
  <c r="G1322" i="50"/>
  <c r="F1322" i="50"/>
  <c r="V1278" i="50"/>
  <c r="G1278" i="50"/>
  <c r="F1278" i="50"/>
  <c r="F1305" i="50"/>
  <c r="U1305" i="50"/>
  <c r="G1305" i="50"/>
  <c r="U1276" i="50"/>
  <c r="G1269" i="50"/>
  <c r="F1269" i="50"/>
  <c r="V1269" i="50"/>
  <c r="U1269" i="50"/>
  <c r="V1253" i="50"/>
  <c r="U1253" i="50"/>
  <c r="G1253" i="50"/>
  <c r="F1253" i="50"/>
  <c r="U1267" i="50"/>
  <c r="V1314" i="50"/>
  <c r="F1314" i="50"/>
  <c r="G1314" i="50"/>
  <c r="U1264" i="50"/>
  <c r="G1264" i="50"/>
  <c r="F1264" i="50"/>
  <c r="U1278" i="50"/>
  <c r="V1262" i="50"/>
  <c r="G1262" i="50"/>
  <c r="F1262" i="50"/>
  <c r="F1321" i="50"/>
  <c r="U1321" i="50"/>
  <c r="G1321" i="50"/>
  <c r="V1283" i="50"/>
  <c r="G1283" i="50"/>
  <c r="F1283" i="50"/>
  <c r="U1265" i="50"/>
  <c r="G1265" i="50"/>
  <c r="F1265" i="50"/>
  <c r="V1264" i="50"/>
  <c r="V1285" i="50"/>
  <c r="U1285" i="50"/>
  <c r="G1285" i="50"/>
  <c r="F1285" i="50"/>
  <c r="U1270" i="50"/>
  <c r="F1270" i="50"/>
  <c r="G1270" i="50"/>
  <c r="V1299" i="50"/>
  <c r="G1299" i="50"/>
  <c r="F1299" i="50"/>
  <c r="U1283" i="50"/>
  <c r="U1296" i="50"/>
  <c r="G1296" i="50"/>
  <c r="F1296" i="50"/>
  <c r="V1268" i="50"/>
  <c r="G1268" i="50"/>
  <c r="F1268" i="50"/>
  <c r="V1287" i="50"/>
  <c r="G1287" i="50"/>
  <c r="U1287" i="50"/>
  <c r="U1280" i="50"/>
  <c r="G1280" i="50"/>
  <c r="F1280" i="50"/>
  <c r="V1280" i="50"/>
  <c r="U1255" i="50"/>
  <c r="G1255" i="50"/>
  <c r="V1255" i="50"/>
  <c r="V1296" i="50"/>
  <c r="B1317" i="50"/>
  <c r="D1317" i="50" s="1"/>
  <c r="E1293" i="50"/>
  <c r="U1293" i="50" s="1"/>
  <c r="B1344" i="50"/>
  <c r="D1344" i="50" s="1"/>
  <c r="E1320" i="50"/>
  <c r="V1320" i="50" s="1"/>
  <c r="E1330" i="50"/>
  <c r="U1330" i="50" s="1"/>
  <c r="B1354" i="50"/>
  <c r="D1354" i="50" s="1"/>
  <c r="B1333" i="50"/>
  <c r="D1333" i="50" s="1"/>
  <c r="E1309" i="50"/>
  <c r="U1309" i="50" s="1"/>
  <c r="B1312" i="50"/>
  <c r="D1312" i="50" s="1"/>
  <c r="E1288" i="50"/>
  <c r="E1319" i="50"/>
  <c r="B1343" i="50"/>
  <c r="D1343" i="50" s="1"/>
  <c r="B1326" i="50"/>
  <c r="D1326" i="50" s="1"/>
  <c r="E1302" i="50"/>
  <c r="E1289" i="50"/>
  <c r="V1289" i="50" s="1"/>
  <c r="B1313" i="50"/>
  <c r="D1313" i="50" s="1"/>
  <c r="E1323" i="50"/>
  <c r="G1323" i="50" s="1"/>
  <c r="B1347" i="50"/>
  <c r="D1347" i="50" s="1"/>
  <c r="B1318" i="50"/>
  <c r="D1318" i="50" s="1"/>
  <c r="E1294" i="50"/>
  <c r="E1307" i="50"/>
  <c r="B1331" i="50"/>
  <c r="D1331" i="50" s="1"/>
  <c r="B1316" i="50"/>
  <c r="D1316" i="50" s="1"/>
  <c r="E1292" i="50"/>
  <c r="B1328" i="50"/>
  <c r="D1328" i="50" s="1"/>
  <c r="E1304" i="50"/>
  <c r="V1304" i="50" s="1"/>
  <c r="B1310" i="50"/>
  <c r="D1310" i="50" s="1"/>
  <c r="E1286" i="50"/>
  <c r="E1346" i="50"/>
  <c r="B1370" i="50"/>
  <c r="D1370" i="50" s="1"/>
  <c r="E1300" i="50"/>
  <c r="U1300" i="50" s="1"/>
  <c r="B1324" i="50"/>
  <c r="D1324" i="50" s="1"/>
  <c r="B1369" i="50"/>
  <c r="D1369" i="50" s="1"/>
  <c r="E1345" i="50"/>
  <c r="V1345" i="50" s="1"/>
  <c r="B1353" i="50"/>
  <c r="D1353" i="50" s="1"/>
  <c r="E1329" i="50"/>
  <c r="V1329" i="50" s="1"/>
  <c r="B1362" i="50"/>
  <c r="D1362" i="50" s="1"/>
  <c r="E1338" i="50"/>
  <c r="B1335" i="50"/>
  <c r="D1335" i="50" s="1"/>
  <c r="E1311" i="50"/>
  <c r="V1311" i="50" s="1"/>
  <c r="B1301" i="50"/>
  <c r="D1301" i="50" s="1"/>
  <c r="E1277" i="50"/>
  <c r="U1277" i="50" s="1"/>
  <c r="E1291" i="50"/>
  <c r="B1315" i="50"/>
  <c r="D1315" i="50" s="1"/>
  <c r="V1291" i="50" l="1"/>
  <c r="U1291" i="50"/>
  <c r="F1291" i="50"/>
  <c r="G1302" i="50"/>
  <c r="F1302" i="50"/>
  <c r="U1302" i="50"/>
  <c r="G1291" i="50"/>
  <c r="D1308" i="50"/>
  <c r="B1332" i="50"/>
  <c r="E1308" i="50"/>
  <c r="V1277" i="50"/>
  <c r="G1277" i="50"/>
  <c r="F1277" i="50"/>
  <c r="G1319" i="50"/>
  <c r="U1319" i="50"/>
  <c r="V1319" i="50"/>
  <c r="V1284" i="50"/>
  <c r="G1284" i="50"/>
  <c r="F1284" i="50"/>
  <c r="G1286" i="50"/>
  <c r="F1286" i="50"/>
  <c r="U1286" i="50"/>
  <c r="F1292" i="50"/>
  <c r="G1292" i="50"/>
  <c r="V1292" i="50"/>
  <c r="U1288" i="50"/>
  <c r="G1288" i="50"/>
  <c r="F1288" i="50"/>
  <c r="U1284" i="50"/>
  <c r="V1286" i="50"/>
  <c r="V1338" i="50"/>
  <c r="U1338" i="50"/>
  <c r="G1338" i="50"/>
  <c r="F1338" i="50"/>
  <c r="V1346" i="50"/>
  <c r="F1346" i="50"/>
  <c r="G1346" i="50"/>
  <c r="U1304" i="50"/>
  <c r="G1304" i="50"/>
  <c r="F1304" i="50"/>
  <c r="V1307" i="50"/>
  <c r="U1307" i="50"/>
  <c r="F1307" i="50"/>
  <c r="V1294" i="50"/>
  <c r="G1294" i="50"/>
  <c r="F1294" i="50"/>
  <c r="U1292" i="50"/>
  <c r="U1329" i="50"/>
  <c r="F1329" i="50"/>
  <c r="G1329" i="50"/>
  <c r="V1330" i="50"/>
  <c r="F1330" i="50"/>
  <c r="G1330" i="50"/>
  <c r="U1320" i="50"/>
  <c r="G1320" i="50"/>
  <c r="F1320" i="50"/>
  <c r="U1311" i="50"/>
  <c r="F1311" i="50"/>
  <c r="G1311" i="50"/>
  <c r="V1323" i="50"/>
  <c r="U1323" i="50"/>
  <c r="F1323" i="50"/>
  <c r="G1307" i="50"/>
  <c r="V1293" i="50"/>
  <c r="G1293" i="50"/>
  <c r="F1293" i="50"/>
  <c r="U1294" i="50"/>
  <c r="U1346" i="50"/>
  <c r="F1319" i="50"/>
  <c r="V1302" i="50"/>
  <c r="F1279" i="50"/>
  <c r="U1279" i="50"/>
  <c r="G1279" i="50"/>
  <c r="V1300" i="50"/>
  <c r="G1300" i="50"/>
  <c r="F1300" i="50"/>
  <c r="F1289" i="50"/>
  <c r="U1289" i="50"/>
  <c r="G1289" i="50"/>
  <c r="D1303" i="50"/>
  <c r="E1303" i="50"/>
  <c r="B1327" i="50"/>
  <c r="V1309" i="50"/>
  <c r="G1309" i="50"/>
  <c r="F1309" i="50"/>
  <c r="U1345" i="50"/>
  <c r="G1345" i="50"/>
  <c r="F1345" i="50"/>
  <c r="V1288" i="50"/>
  <c r="V1279" i="50"/>
  <c r="B1357" i="50"/>
  <c r="D1357" i="50" s="1"/>
  <c r="E1333" i="50"/>
  <c r="E1316" i="50"/>
  <c r="U1316" i="50" s="1"/>
  <c r="B1340" i="50"/>
  <c r="D1340" i="50" s="1"/>
  <c r="E1312" i="50"/>
  <c r="B1336" i="50"/>
  <c r="D1336" i="50" s="1"/>
  <c r="B1378" i="50"/>
  <c r="D1378" i="50" s="1"/>
  <c r="E1354" i="50"/>
  <c r="B1394" i="50"/>
  <c r="D1394" i="50" s="1"/>
  <c r="E1370" i="50"/>
  <c r="B1355" i="50"/>
  <c r="D1355" i="50" s="1"/>
  <c r="E1331" i="50"/>
  <c r="U1331" i="50" s="1"/>
  <c r="B1350" i="50"/>
  <c r="D1350" i="50" s="1"/>
  <c r="E1326" i="50"/>
  <c r="B1367" i="50"/>
  <c r="D1367" i="50" s="1"/>
  <c r="E1343" i="50"/>
  <c r="B1348" i="50"/>
  <c r="D1348" i="50" s="1"/>
  <c r="E1324" i="50"/>
  <c r="B1342" i="50"/>
  <c r="D1342" i="50" s="1"/>
  <c r="E1318" i="50"/>
  <c r="V1318" i="50" s="1"/>
  <c r="E1335" i="50"/>
  <c r="F1335" i="50" s="1"/>
  <c r="B1359" i="50"/>
  <c r="D1359" i="50" s="1"/>
  <c r="E1362" i="50"/>
  <c r="U1362" i="50" s="1"/>
  <c r="B1386" i="50"/>
  <c r="D1386" i="50" s="1"/>
  <c r="B1371" i="50"/>
  <c r="D1371" i="50" s="1"/>
  <c r="E1347" i="50"/>
  <c r="U1347" i="50" s="1"/>
  <c r="E1353" i="50"/>
  <c r="B1377" i="50"/>
  <c r="D1377" i="50" s="1"/>
  <c r="E1369" i="50"/>
  <c r="V1369" i="50" s="1"/>
  <c r="B1393" i="50"/>
  <c r="D1393" i="50" s="1"/>
  <c r="B1339" i="50"/>
  <c r="D1339" i="50" s="1"/>
  <c r="E1315" i="50"/>
  <c r="U1315" i="50" s="1"/>
  <c r="B1325" i="50"/>
  <c r="D1325" i="50" s="1"/>
  <c r="E1301" i="50"/>
  <c r="E1328" i="50"/>
  <c r="B1352" i="50"/>
  <c r="D1352" i="50" s="1"/>
  <c r="E1344" i="50"/>
  <c r="V1344" i="50" s="1"/>
  <c r="B1368" i="50"/>
  <c r="D1368" i="50" s="1"/>
  <c r="B1334" i="50"/>
  <c r="D1334" i="50" s="1"/>
  <c r="E1310" i="50"/>
  <c r="B1337" i="50"/>
  <c r="D1337" i="50" s="1"/>
  <c r="E1313" i="50"/>
  <c r="V1313" i="50" s="1"/>
  <c r="B1341" i="50"/>
  <c r="D1341" i="50" s="1"/>
  <c r="E1317" i="50"/>
  <c r="F1303" i="50" l="1"/>
  <c r="U1312" i="50"/>
  <c r="G1312" i="50"/>
  <c r="F1312" i="50"/>
  <c r="V1316" i="50"/>
  <c r="G1316" i="50"/>
  <c r="F1316" i="50"/>
  <c r="U1328" i="50"/>
  <c r="G1328" i="50"/>
  <c r="F1328" i="50"/>
  <c r="U1343" i="50"/>
  <c r="F1343" i="50"/>
  <c r="G1343" i="50"/>
  <c r="V1333" i="50"/>
  <c r="U1333" i="50"/>
  <c r="G1333" i="50"/>
  <c r="F1333" i="50"/>
  <c r="V1324" i="50"/>
  <c r="G1324" i="50"/>
  <c r="F1324" i="50"/>
  <c r="U1324" i="50"/>
  <c r="V1308" i="50"/>
  <c r="G1308" i="50"/>
  <c r="F1308" i="50"/>
  <c r="V1326" i="50"/>
  <c r="G1326" i="50"/>
  <c r="F1326" i="50"/>
  <c r="D1332" i="50"/>
  <c r="B1356" i="50"/>
  <c r="E1332" i="50"/>
  <c r="F1369" i="50"/>
  <c r="U1369" i="50"/>
  <c r="G1369" i="50"/>
  <c r="V1328" i="50"/>
  <c r="U1308" i="50"/>
  <c r="V1317" i="50"/>
  <c r="U1317" i="50"/>
  <c r="G1317" i="50"/>
  <c r="F1317" i="50"/>
  <c r="U1313" i="50"/>
  <c r="F1313" i="50"/>
  <c r="G1313" i="50"/>
  <c r="V1343" i="50"/>
  <c r="V1301" i="50"/>
  <c r="U1301" i="50"/>
  <c r="G1301" i="50"/>
  <c r="F1301" i="50"/>
  <c r="F1353" i="50"/>
  <c r="U1353" i="50"/>
  <c r="G1353" i="50"/>
  <c r="V1310" i="50"/>
  <c r="G1310" i="50"/>
  <c r="F1310" i="50"/>
  <c r="V1347" i="50"/>
  <c r="G1347" i="50"/>
  <c r="F1347" i="50"/>
  <c r="V1331" i="50"/>
  <c r="G1331" i="50"/>
  <c r="F1331" i="50"/>
  <c r="U1326" i="50"/>
  <c r="V1370" i="50"/>
  <c r="U1370" i="50"/>
  <c r="G1370" i="50"/>
  <c r="F1370" i="50"/>
  <c r="U1310" i="50"/>
  <c r="V1362" i="50"/>
  <c r="F1362" i="50"/>
  <c r="G1362" i="50"/>
  <c r="V1353" i="50"/>
  <c r="F1315" i="50"/>
  <c r="V1315" i="50"/>
  <c r="G1315" i="50"/>
  <c r="G1354" i="50"/>
  <c r="F1354" i="50"/>
  <c r="V1354" i="50"/>
  <c r="U1354" i="50"/>
  <c r="U1344" i="50"/>
  <c r="G1344" i="50"/>
  <c r="F1344" i="50"/>
  <c r="G1335" i="50"/>
  <c r="U1335" i="50"/>
  <c r="V1335" i="50"/>
  <c r="D1327" i="50"/>
  <c r="B1351" i="50"/>
  <c r="E1327" i="50"/>
  <c r="G1318" i="50"/>
  <c r="F1318" i="50"/>
  <c r="U1318" i="50"/>
  <c r="V1336" i="50"/>
  <c r="G1303" i="50"/>
  <c r="V1303" i="50"/>
  <c r="U1303" i="50"/>
  <c r="V1312" i="50"/>
  <c r="B1410" i="50"/>
  <c r="D1410" i="50" s="1"/>
  <c r="E1386" i="50"/>
  <c r="E1378" i="50"/>
  <c r="B1402" i="50"/>
  <c r="D1402" i="50" s="1"/>
  <c r="B1360" i="50"/>
  <c r="D1360" i="50" s="1"/>
  <c r="E1336" i="50"/>
  <c r="B1383" i="50"/>
  <c r="D1383" i="50" s="1"/>
  <c r="E1359" i="50"/>
  <c r="V1359" i="50" s="1"/>
  <c r="B1365" i="50"/>
  <c r="D1365" i="50" s="1"/>
  <c r="E1341" i="50"/>
  <c r="B1364" i="50"/>
  <c r="D1364" i="50" s="1"/>
  <c r="E1340" i="50"/>
  <c r="B1392" i="50"/>
  <c r="D1392" i="50" s="1"/>
  <c r="E1368" i="50"/>
  <c r="B1349" i="50"/>
  <c r="D1349" i="50" s="1"/>
  <c r="E1325" i="50"/>
  <c r="B1417" i="50"/>
  <c r="D1417" i="50" s="1"/>
  <c r="E1393" i="50"/>
  <c r="G1393" i="50" s="1"/>
  <c r="E1355" i="50"/>
  <c r="G1355" i="50" s="1"/>
  <c r="B1379" i="50"/>
  <c r="D1379" i="50" s="1"/>
  <c r="B1366" i="50"/>
  <c r="D1366" i="50" s="1"/>
  <c r="E1342" i="50"/>
  <c r="E1371" i="50"/>
  <c r="B1395" i="50"/>
  <c r="D1395" i="50" s="1"/>
  <c r="B1374" i="50"/>
  <c r="D1374" i="50" s="1"/>
  <c r="E1350" i="50"/>
  <c r="B1358" i="50"/>
  <c r="D1358" i="50" s="1"/>
  <c r="E1334" i="50"/>
  <c r="V1334" i="50" s="1"/>
  <c r="E1339" i="50"/>
  <c r="B1363" i="50"/>
  <c r="D1363" i="50" s="1"/>
  <c r="B1401" i="50"/>
  <c r="D1401" i="50" s="1"/>
  <c r="E1377" i="50"/>
  <c r="V1377" i="50" s="1"/>
  <c r="E1367" i="50"/>
  <c r="B1391" i="50"/>
  <c r="D1391" i="50" s="1"/>
  <c r="E1394" i="50"/>
  <c r="B1418" i="50"/>
  <c r="D1418" i="50" s="1"/>
  <c r="B1381" i="50"/>
  <c r="D1381" i="50" s="1"/>
  <c r="E1357" i="50"/>
  <c r="U1357" i="50" s="1"/>
  <c r="E1348" i="50"/>
  <c r="U1348" i="50" s="1"/>
  <c r="B1372" i="50"/>
  <c r="D1372" i="50" s="1"/>
  <c r="E1337" i="50"/>
  <c r="V1337" i="50" s="1"/>
  <c r="B1361" i="50"/>
  <c r="D1361" i="50" s="1"/>
  <c r="B1376" i="50"/>
  <c r="D1376" i="50" s="1"/>
  <c r="E1352" i="50"/>
  <c r="V1327" i="50" l="1"/>
  <c r="D1356" i="50"/>
  <c r="E1356" i="50"/>
  <c r="B1380" i="50"/>
  <c r="G1325" i="50"/>
  <c r="V1325" i="50"/>
  <c r="F1325" i="50"/>
  <c r="U1368" i="50"/>
  <c r="G1368" i="50"/>
  <c r="F1368" i="50"/>
  <c r="U1332" i="50"/>
  <c r="V1340" i="50"/>
  <c r="G1340" i="50"/>
  <c r="F1340" i="50"/>
  <c r="U1367" i="50"/>
  <c r="V1367" i="50"/>
  <c r="G1367" i="50"/>
  <c r="U1352" i="50"/>
  <c r="G1352" i="50"/>
  <c r="F1352" i="50"/>
  <c r="G1334" i="50"/>
  <c r="F1334" i="50"/>
  <c r="U1334" i="50"/>
  <c r="V1341" i="50"/>
  <c r="G1341" i="50"/>
  <c r="F1341" i="50"/>
  <c r="U1359" i="50"/>
  <c r="F1359" i="50"/>
  <c r="G1359" i="50"/>
  <c r="V1352" i="50"/>
  <c r="V1339" i="50"/>
  <c r="U1339" i="50"/>
  <c r="F1339" i="50"/>
  <c r="V1371" i="50"/>
  <c r="U1371" i="50"/>
  <c r="F1371" i="50"/>
  <c r="U1341" i="50"/>
  <c r="F1367" i="50"/>
  <c r="U1340" i="50"/>
  <c r="U1350" i="50"/>
  <c r="G1350" i="50"/>
  <c r="F1350" i="50"/>
  <c r="V1342" i="50"/>
  <c r="G1342" i="50"/>
  <c r="F1342" i="50"/>
  <c r="U1336" i="50"/>
  <c r="G1336" i="50"/>
  <c r="F1336" i="50"/>
  <c r="U1327" i="50"/>
  <c r="F1327" i="50"/>
  <c r="G1327" i="50"/>
  <c r="V1368" i="50"/>
  <c r="F1337" i="50"/>
  <c r="U1337" i="50"/>
  <c r="G1337" i="50"/>
  <c r="F1348" i="50"/>
  <c r="V1348" i="50"/>
  <c r="G1348" i="50"/>
  <c r="V1394" i="50"/>
  <c r="U1394" i="50"/>
  <c r="G1394" i="50"/>
  <c r="F1394" i="50"/>
  <c r="D1351" i="50"/>
  <c r="E1351" i="50"/>
  <c r="B1375" i="50"/>
  <c r="G1371" i="50"/>
  <c r="G1339" i="50"/>
  <c r="U1377" i="50"/>
  <c r="F1377" i="50"/>
  <c r="G1377" i="50"/>
  <c r="U1325" i="50"/>
  <c r="V1350" i="50"/>
  <c r="V1357" i="50"/>
  <c r="G1357" i="50"/>
  <c r="F1357" i="50"/>
  <c r="V1355" i="50"/>
  <c r="U1355" i="50"/>
  <c r="F1355" i="50"/>
  <c r="V1378" i="50"/>
  <c r="F1378" i="50"/>
  <c r="G1378" i="50"/>
  <c r="U1378" i="50"/>
  <c r="V1332" i="50"/>
  <c r="G1332" i="50"/>
  <c r="F1332" i="50"/>
  <c r="V1393" i="50"/>
  <c r="F1393" i="50"/>
  <c r="U1393" i="50"/>
  <c r="V1386" i="50"/>
  <c r="U1386" i="50"/>
  <c r="G1386" i="50"/>
  <c r="F1386" i="50"/>
  <c r="U1342" i="50"/>
  <c r="B1426" i="50"/>
  <c r="D1426" i="50" s="1"/>
  <c r="E1402" i="50"/>
  <c r="B1398" i="50"/>
  <c r="D1398" i="50" s="1"/>
  <c r="E1374" i="50"/>
  <c r="E1364" i="50"/>
  <c r="U1364" i="50" s="1"/>
  <c r="B1388" i="50"/>
  <c r="D1388" i="50" s="1"/>
  <c r="B1396" i="50"/>
  <c r="D1396" i="50" s="1"/>
  <c r="E1372" i="50"/>
  <c r="U1372" i="50" s="1"/>
  <c r="B1415" i="50"/>
  <c r="D1415" i="50" s="1"/>
  <c r="E1391" i="50"/>
  <c r="E1383" i="50"/>
  <c r="B1407" i="50"/>
  <c r="D1407" i="50" s="1"/>
  <c r="E1417" i="50"/>
  <c r="V1417" i="50" s="1"/>
  <c r="B1441" i="50"/>
  <c r="D1441" i="50" s="1"/>
  <c r="B1382" i="50"/>
  <c r="D1382" i="50" s="1"/>
  <c r="E1358" i="50"/>
  <c r="U1358" i="50" s="1"/>
  <c r="B1390" i="50"/>
  <c r="D1390" i="50" s="1"/>
  <c r="E1366" i="50"/>
  <c r="V1366" i="50" s="1"/>
  <c r="B1373" i="50"/>
  <c r="D1373" i="50" s="1"/>
  <c r="E1349" i="50"/>
  <c r="B1419" i="50"/>
  <c r="D1419" i="50" s="1"/>
  <c r="E1395" i="50"/>
  <c r="E1410" i="50"/>
  <c r="B1434" i="50"/>
  <c r="D1434" i="50" s="1"/>
  <c r="B1405" i="50"/>
  <c r="D1405" i="50" s="1"/>
  <c r="E1381" i="50"/>
  <c r="E1392" i="50"/>
  <c r="V1392" i="50" s="1"/>
  <c r="B1416" i="50"/>
  <c r="D1416" i="50" s="1"/>
  <c r="E1360" i="50"/>
  <c r="B1384" i="50"/>
  <c r="D1384" i="50" s="1"/>
  <c r="E1376" i="50"/>
  <c r="V1376" i="50" s="1"/>
  <c r="B1400" i="50"/>
  <c r="D1400" i="50" s="1"/>
  <c r="E1401" i="50"/>
  <c r="B1425" i="50"/>
  <c r="D1425" i="50" s="1"/>
  <c r="B1403" i="50"/>
  <c r="D1403" i="50" s="1"/>
  <c r="E1379" i="50"/>
  <c r="B1389" i="50"/>
  <c r="D1389" i="50" s="1"/>
  <c r="E1365" i="50"/>
  <c r="B1385" i="50"/>
  <c r="D1385" i="50" s="1"/>
  <c r="E1361" i="50"/>
  <c r="V1361" i="50" s="1"/>
  <c r="B1442" i="50"/>
  <c r="D1442" i="50" s="1"/>
  <c r="E1418" i="50"/>
  <c r="U1418" i="50" s="1"/>
  <c r="B1387" i="50"/>
  <c r="D1387" i="50" s="1"/>
  <c r="E1363" i="50"/>
  <c r="U1363" i="50" s="1"/>
  <c r="F1351" i="50" l="1"/>
  <c r="U1383" i="50"/>
  <c r="V1383" i="50"/>
  <c r="G1383" i="50"/>
  <c r="V1402" i="50"/>
  <c r="F1402" i="50"/>
  <c r="G1402" i="50"/>
  <c r="U1391" i="50"/>
  <c r="G1391" i="50"/>
  <c r="F1391" i="50"/>
  <c r="D1375" i="50"/>
  <c r="B1399" i="50"/>
  <c r="E1375" i="50"/>
  <c r="V1363" i="50"/>
  <c r="G1363" i="50"/>
  <c r="F1363" i="50"/>
  <c r="V1351" i="50"/>
  <c r="G1351" i="50"/>
  <c r="U1351" i="50"/>
  <c r="F1383" i="50"/>
  <c r="G1417" i="50"/>
  <c r="F1417" i="50"/>
  <c r="U1417" i="50"/>
  <c r="V1365" i="50"/>
  <c r="U1365" i="50"/>
  <c r="G1365" i="50"/>
  <c r="F1365" i="50"/>
  <c r="U1360" i="50"/>
  <c r="F1360" i="50"/>
  <c r="G1360" i="50"/>
  <c r="F1381" i="50"/>
  <c r="V1381" i="50"/>
  <c r="U1381" i="50"/>
  <c r="G1381" i="50"/>
  <c r="V1395" i="50"/>
  <c r="F1395" i="50"/>
  <c r="U1395" i="50"/>
  <c r="V1360" i="50"/>
  <c r="V1418" i="50"/>
  <c r="G1418" i="50"/>
  <c r="F1418" i="50"/>
  <c r="V1379" i="50"/>
  <c r="G1379" i="50"/>
  <c r="F1379" i="50"/>
  <c r="V1349" i="50"/>
  <c r="U1349" i="50"/>
  <c r="G1349" i="50"/>
  <c r="F1349" i="50"/>
  <c r="V1391" i="50"/>
  <c r="V1364" i="50"/>
  <c r="G1364" i="50"/>
  <c r="F1364" i="50"/>
  <c r="G1395" i="50"/>
  <c r="U1392" i="50"/>
  <c r="G1392" i="50"/>
  <c r="F1392" i="50"/>
  <c r="U1366" i="50"/>
  <c r="G1366" i="50"/>
  <c r="F1366" i="50"/>
  <c r="D1380" i="50"/>
  <c r="B1404" i="50"/>
  <c r="E1380" i="50"/>
  <c r="V1410" i="50"/>
  <c r="U1410" i="50"/>
  <c r="G1410" i="50"/>
  <c r="F1410" i="50"/>
  <c r="G1401" i="50"/>
  <c r="U1401" i="50"/>
  <c r="F1401" i="50"/>
  <c r="U1402" i="50"/>
  <c r="V1356" i="50"/>
  <c r="G1356" i="50"/>
  <c r="F1356" i="50"/>
  <c r="U1361" i="50"/>
  <c r="G1361" i="50"/>
  <c r="F1361" i="50"/>
  <c r="V1358" i="50"/>
  <c r="G1358" i="50"/>
  <c r="F1358" i="50"/>
  <c r="V1374" i="50"/>
  <c r="G1374" i="50"/>
  <c r="F1374" i="50"/>
  <c r="U1379" i="50"/>
  <c r="U1356" i="50"/>
  <c r="V1372" i="50"/>
  <c r="G1372" i="50"/>
  <c r="F1372" i="50"/>
  <c r="U1376" i="50"/>
  <c r="F1376" i="50"/>
  <c r="G1376" i="50"/>
  <c r="U1374" i="50"/>
  <c r="V1401" i="50"/>
  <c r="B1406" i="50"/>
  <c r="D1406" i="50" s="1"/>
  <c r="E1382" i="50"/>
  <c r="B1458" i="50"/>
  <c r="D1458" i="50" s="1"/>
  <c r="E1434" i="50"/>
  <c r="B1397" i="50"/>
  <c r="D1397" i="50" s="1"/>
  <c r="E1373" i="50"/>
  <c r="U1373" i="50" s="1"/>
  <c r="B1465" i="50"/>
  <c r="D1465" i="50" s="1"/>
  <c r="E1441" i="50"/>
  <c r="B1412" i="50"/>
  <c r="D1412" i="50" s="1"/>
  <c r="E1388" i="50"/>
  <c r="B1414" i="50"/>
  <c r="D1414" i="50" s="1"/>
  <c r="E1390" i="50"/>
  <c r="U1390" i="50" s="1"/>
  <c r="B1408" i="50"/>
  <c r="D1408" i="50" s="1"/>
  <c r="E1384" i="50"/>
  <c r="B1449" i="50"/>
  <c r="D1449" i="50" s="1"/>
  <c r="E1425" i="50"/>
  <c r="G1425" i="50" s="1"/>
  <c r="E1419" i="50"/>
  <c r="B1443" i="50"/>
  <c r="D1443" i="50" s="1"/>
  <c r="E1403" i="50"/>
  <c r="B1427" i="50"/>
  <c r="D1427" i="50" s="1"/>
  <c r="B1440" i="50"/>
  <c r="D1440" i="50" s="1"/>
  <c r="E1416" i="50"/>
  <c r="G1416" i="50" s="1"/>
  <c r="B1422" i="50"/>
  <c r="D1422" i="50" s="1"/>
  <c r="E1398" i="50"/>
  <c r="U1398" i="50" s="1"/>
  <c r="E1385" i="50"/>
  <c r="V1385" i="50" s="1"/>
  <c r="B1409" i="50"/>
  <c r="D1409" i="50" s="1"/>
  <c r="B1424" i="50"/>
  <c r="D1424" i="50" s="1"/>
  <c r="E1400" i="50"/>
  <c r="B1429" i="50"/>
  <c r="D1429" i="50" s="1"/>
  <c r="E1405" i="50"/>
  <c r="E1415" i="50"/>
  <c r="V1415" i="50" s="1"/>
  <c r="B1439" i="50"/>
  <c r="D1439" i="50" s="1"/>
  <c r="B1413" i="50"/>
  <c r="D1413" i="50" s="1"/>
  <c r="E1389" i="50"/>
  <c r="U1389" i="50" s="1"/>
  <c r="E1387" i="50"/>
  <c r="G1387" i="50" s="1"/>
  <c r="B1411" i="50"/>
  <c r="D1411" i="50" s="1"/>
  <c r="E1442" i="50"/>
  <c r="B1466" i="50"/>
  <c r="D1466" i="50" s="1"/>
  <c r="B1431" i="50"/>
  <c r="D1431" i="50" s="1"/>
  <c r="E1407" i="50"/>
  <c r="E1396" i="50"/>
  <c r="U1396" i="50" s="1"/>
  <c r="B1420" i="50"/>
  <c r="D1420" i="50" s="1"/>
  <c r="E1426" i="50"/>
  <c r="B1450" i="50"/>
  <c r="D1450" i="50" s="1"/>
  <c r="V1419" i="50" l="1"/>
  <c r="U1419" i="50"/>
  <c r="G1419" i="50"/>
  <c r="F1419" i="50"/>
  <c r="U1375" i="50"/>
  <c r="F1375" i="50"/>
  <c r="G1375" i="50"/>
  <c r="U1425" i="50"/>
  <c r="F1425" i="50"/>
  <c r="V1425" i="50"/>
  <c r="U1382" i="50"/>
  <c r="G1382" i="50"/>
  <c r="F1382" i="50"/>
  <c r="D1399" i="50"/>
  <c r="E1399" i="50"/>
  <c r="B1423" i="50"/>
  <c r="V1375" i="50"/>
  <c r="U1384" i="50"/>
  <c r="G1384" i="50"/>
  <c r="F1384" i="50"/>
  <c r="V1390" i="50"/>
  <c r="G1390" i="50"/>
  <c r="F1390" i="50"/>
  <c r="F1426" i="50"/>
  <c r="V1426" i="50"/>
  <c r="U1426" i="50"/>
  <c r="G1426" i="50"/>
  <c r="F1385" i="50"/>
  <c r="G1385" i="50"/>
  <c r="U1385" i="50"/>
  <c r="V1382" i="50"/>
  <c r="V1400" i="50"/>
  <c r="U1400" i="50"/>
  <c r="F1400" i="50"/>
  <c r="V1407" i="50"/>
  <c r="G1407" i="50"/>
  <c r="F1407" i="50"/>
  <c r="V1388" i="50"/>
  <c r="G1388" i="50"/>
  <c r="F1388" i="50"/>
  <c r="G1400" i="50"/>
  <c r="V1441" i="50"/>
  <c r="U1441" i="50"/>
  <c r="F1441" i="50"/>
  <c r="V1380" i="50"/>
  <c r="G1380" i="50"/>
  <c r="F1380" i="50"/>
  <c r="U1388" i="50"/>
  <c r="V1434" i="50"/>
  <c r="U1434" i="50"/>
  <c r="G1434" i="50"/>
  <c r="F1434" i="50"/>
  <c r="D1404" i="50"/>
  <c r="B1428" i="50"/>
  <c r="E1404" i="50"/>
  <c r="V1405" i="50"/>
  <c r="U1405" i="50"/>
  <c r="G1405" i="50"/>
  <c r="F1405" i="50"/>
  <c r="V1396" i="50"/>
  <c r="G1396" i="50"/>
  <c r="F1396" i="50"/>
  <c r="V1416" i="50"/>
  <c r="F1416" i="50"/>
  <c r="U1416" i="50"/>
  <c r="V1384" i="50"/>
  <c r="U1380" i="50"/>
  <c r="G1442" i="50"/>
  <c r="F1442" i="50"/>
  <c r="V1442" i="50"/>
  <c r="U1442" i="50"/>
  <c r="F1387" i="50"/>
  <c r="V1387" i="50"/>
  <c r="U1387" i="50"/>
  <c r="V1403" i="50"/>
  <c r="U1403" i="50"/>
  <c r="G1403" i="50"/>
  <c r="F1403" i="50"/>
  <c r="U1407" i="50"/>
  <c r="U1415" i="50"/>
  <c r="F1415" i="50"/>
  <c r="G1415" i="50"/>
  <c r="F1398" i="50"/>
  <c r="V1398" i="50"/>
  <c r="G1398" i="50"/>
  <c r="V1389" i="50"/>
  <c r="G1389" i="50"/>
  <c r="F1389" i="50"/>
  <c r="V1373" i="50"/>
  <c r="G1373" i="50"/>
  <c r="F1373" i="50"/>
  <c r="G1441" i="50"/>
  <c r="B1435" i="50"/>
  <c r="D1435" i="50" s="1"/>
  <c r="E1411" i="50"/>
  <c r="B1446" i="50"/>
  <c r="D1446" i="50" s="1"/>
  <c r="E1422" i="50"/>
  <c r="U1422" i="50" s="1"/>
  <c r="E1412" i="50"/>
  <c r="B1436" i="50"/>
  <c r="D1436" i="50" s="1"/>
  <c r="E1458" i="50"/>
  <c r="B1482" i="50"/>
  <c r="D1482" i="50" s="1"/>
  <c r="B1421" i="50"/>
  <c r="D1421" i="50" s="1"/>
  <c r="E1397" i="50"/>
  <c r="F1397" i="50" s="1"/>
  <c r="E1424" i="50"/>
  <c r="F1424" i="50" s="1"/>
  <c r="B1448" i="50"/>
  <c r="D1448" i="50" s="1"/>
  <c r="B1467" i="50"/>
  <c r="D1467" i="50" s="1"/>
  <c r="E1443" i="50"/>
  <c r="E1440" i="50"/>
  <c r="B1464" i="50"/>
  <c r="D1464" i="50" s="1"/>
  <c r="E1465" i="50"/>
  <c r="V1465" i="50" s="1"/>
  <c r="B1489" i="50"/>
  <c r="D1489" i="50" s="1"/>
  <c r="B1430" i="50"/>
  <c r="D1430" i="50" s="1"/>
  <c r="E1406" i="50"/>
  <c r="B1490" i="50"/>
  <c r="D1490" i="50" s="1"/>
  <c r="E1466" i="50"/>
  <c r="B1474" i="50"/>
  <c r="D1474" i="50" s="1"/>
  <c r="E1450" i="50"/>
  <c r="B1437" i="50"/>
  <c r="D1437" i="50" s="1"/>
  <c r="E1413" i="50"/>
  <c r="B1451" i="50"/>
  <c r="D1451" i="50" s="1"/>
  <c r="E1427" i="50"/>
  <c r="G1427" i="50" s="1"/>
  <c r="E1431" i="50"/>
  <c r="B1455" i="50"/>
  <c r="D1455" i="50" s="1"/>
  <c r="B1463" i="50"/>
  <c r="D1463" i="50" s="1"/>
  <c r="E1439" i="50"/>
  <c r="V1439" i="50" s="1"/>
  <c r="E1408" i="50"/>
  <c r="B1432" i="50"/>
  <c r="D1432" i="50" s="1"/>
  <c r="B1444" i="50"/>
  <c r="D1444" i="50" s="1"/>
  <c r="E1420" i="50"/>
  <c r="E1449" i="50"/>
  <c r="B1473" i="50"/>
  <c r="D1473" i="50" s="1"/>
  <c r="B1438" i="50"/>
  <c r="D1438" i="50" s="1"/>
  <c r="E1414" i="50"/>
  <c r="U1414" i="50" s="1"/>
  <c r="B1453" i="50"/>
  <c r="D1453" i="50" s="1"/>
  <c r="E1429" i="50"/>
  <c r="F1429" i="50" s="1"/>
  <c r="B1433" i="50"/>
  <c r="D1433" i="50" s="1"/>
  <c r="E1409" i="50"/>
  <c r="G1409" i="50" s="1"/>
  <c r="V1399" i="50" l="1"/>
  <c r="V1440" i="50"/>
  <c r="U1440" i="50"/>
  <c r="G1440" i="50"/>
  <c r="U1431" i="50"/>
  <c r="F1431" i="50"/>
  <c r="G1431" i="50"/>
  <c r="F1443" i="50"/>
  <c r="V1443" i="50"/>
  <c r="U1443" i="50"/>
  <c r="V1427" i="50"/>
  <c r="F1427" i="50"/>
  <c r="U1427" i="50"/>
  <c r="G1443" i="50"/>
  <c r="V1411" i="50"/>
  <c r="F1411" i="50"/>
  <c r="U1411" i="50"/>
  <c r="V1450" i="50"/>
  <c r="U1450" i="50"/>
  <c r="G1450" i="50"/>
  <c r="F1450" i="50"/>
  <c r="U1413" i="50"/>
  <c r="G1413" i="50"/>
  <c r="V1413" i="50"/>
  <c r="F1466" i="50"/>
  <c r="V1466" i="50"/>
  <c r="U1466" i="50"/>
  <c r="G1466" i="50"/>
  <c r="G1411" i="50"/>
  <c r="U1397" i="50"/>
  <c r="G1397" i="50"/>
  <c r="V1397" i="50"/>
  <c r="V1458" i="50"/>
  <c r="U1458" i="50"/>
  <c r="G1458" i="50"/>
  <c r="F1458" i="50"/>
  <c r="F1440" i="50"/>
  <c r="U1424" i="50"/>
  <c r="G1424" i="50"/>
  <c r="V1424" i="50"/>
  <c r="U1406" i="50"/>
  <c r="G1406" i="50"/>
  <c r="V1406" i="50"/>
  <c r="F1406" i="50"/>
  <c r="F1413" i="50"/>
  <c r="V1429" i="50"/>
  <c r="U1429" i="50"/>
  <c r="G1429" i="50"/>
  <c r="U1449" i="50"/>
  <c r="F1449" i="50"/>
  <c r="G1449" i="50"/>
  <c r="F1409" i="50"/>
  <c r="V1409" i="50"/>
  <c r="U1409" i="50"/>
  <c r="U1420" i="50"/>
  <c r="G1420" i="50"/>
  <c r="F1420" i="50"/>
  <c r="V1420" i="50"/>
  <c r="V1449" i="50"/>
  <c r="U1408" i="50"/>
  <c r="V1408" i="50"/>
  <c r="G1408" i="50"/>
  <c r="U1465" i="50"/>
  <c r="F1465" i="50"/>
  <c r="G1465" i="50"/>
  <c r="V1412" i="50"/>
  <c r="F1412" i="50"/>
  <c r="G1412" i="50"/>
  <c r="V1431" i="50"/>
  <c r="F1404" i="50"/>
  <c r="V1404" i="50"/>
  <c r="U1404" i="50"/>
  <c r="G1404" i="50"/>
  <c r="D1423" i="50"/>
  <c r="E1423" i="50"/>
  <c r="B1447" i="50"/>
  <c r="G1414" i="50"/>
  <c r="F1414" i="50"/>
  <c r="V1414" i="50"/>
  <c r="G1439" i="50"/>
  <c r="F1439" i="50"/>
  <c r="U1439" i="50"/>
  <c r="V1422" i="50"/>
  <c r="F1422" i="50"/>
  <c r="G1422" i="50"/>
  <c r="F1408" i="50"/>
  <c r="D1428" i="50"/>
  <c r="E1428" i="50"/>
  <c r="B1452" i="50"/>
  <c r="U1412" i="50"/>
  <c r="F1399" i="50"/>
  <c r="U1399" i="50"/>
  <c r="G1399" i="50"/>
  <c r="E1444" i="50"/>
  <c r="B1468" i="50"/>
  <c r="D1468" i="50" s="1"/>
  <c r="E1451" i="50"/>
  <c r="B1475" i="50"/>
  <c r="D1475" i="50" s="1"/>
  <c r="B1488" i="50"/>
  <c r="D1488" i="50" s="1"/>
  <c r="E1464" i="50"/>
  <c r="G1464" i="50" s="1"/>
  <c r="B1456" i="50"/>
  <c r="D1456" i="50" s="1"/>
  <c r="E1432" i="50"/>
  <c r="G1432" i="50" s="1"/>
  <c r="B1460" i="50"/>
  <c r="D1460" i="50" s="1"/>
  <c r="E1436" i="50"/>
  <c r="B1461" i="50"/>
  <c r="D1461" i="50" s="1"/>
  <c r="E1437" i="50"/>
  <c r="B1445" i="50"/>
  <c r="D1445" i="50" s="1"/>
  <c r="E1421" i="50"/>
  <c r="E1467" i="50"/>
  <c r="B1491" i="50"/>
  <c r="D1491" i="50" s="1"/>
  <c r="E1474" i="50"/>
  <c r="B1498" i="50"/>
  <c r="D1498" i="50" s="1"/>
  <c r="B1477" i="50"/>
  <c r="D1477" i="50" s="1"/>
  <c r="E1453" i="50"/>
  <c r="B1479" i="50"/>
  <c r="D1479" i="50" s="1"/>
  <c r="E1455" i="50"/>
  <c r="V1455" i="50" s="1"/>
  <c r="E1490" i="50"/>
  <c r="B1514" i="50"/>
  <c r="D1514" i="50" s="1"/>
  <c r="B1462" i="50"/>
  <c r="D1462" i="50" s="1"/>
  <c r="E1438" i="50"/>
  <c r="B1472" i="50"/>
  <c r="D1472" i="50" s="1"/>
  <c r="E1448" i="50"/>
  <c r="B1470" i="50"/>
  <c r="D1470" i="50" s="1"/>
  <c r="E1446" i="50"/>
  <c r="U1446" i="50" s="1"/>
  <c r="E1463" i="50"/>
  <c r="V1463" i="50" s="1"/>
  <c r="B1487" i="50"/>
  <c r="D1487" i="50" s="1"/>
  <c r="B1497" i="50"/>
  <c r="D1497" i="50" s="1"/>
  <c r="E1473" i="50"/>
  <c r="G1473" i="50" s="1"/>
  <c r="B1506" i="50"/>
  <c r="D1506" i="50" s="1"/>
  <c r="E1482" i="50"/>
  <c r="E1433" i="50"/>
  <c r="V1433" i="50" s="1"/>
  <c r="B1457" i="50"/>
  <c r="D1457" i="50" s="1"/>
  <c r="B1454" i="50"/>
  <c r="D1454" i="50" s="1"/>
  <c r="E1430" i="50"/>
  <c r="U1430" i="50" s="1"/>
  <c r="B1513" i="50"/>
  <c r="D1513" i="50" s="1"/>
  <c r="E1489" i="50"/>
  <c r="G1489" i="50" s="1"/>
  <c r="E1435" i="50"/>
  <c r="B1459" i="50"/>
  <c r="D1459" i="50" s="1"/>
  <c r="V1474" i="50" l="1"/>
  <c r="U1474" i="50"/>
  <c r="G1474" i="50"/>
  <c r="F1474" i="50"/>
  <c r="G1463" i="50"/>
  <c r="F1463" i="50"/>
  <c r="U1463" i="50"/>
  <c r="V1467" i="50"/>
  <c r="U1467" i="50"/>
  <c r="G1467" i="50"/>
  <c r="F1467" i="50"/>
  <c r="V1451" i="50"/>
  <c r="U1451" i="50"/>
  <c r="G1451" i="50"/>
  <c r="F1451" i="50"/>
  <c r="G1444" i="50"/>
  <c r="F1444" i="50"/>
  <c r="V1444" i="50"/>
  <c r="U1464" i="50"/>
  <c r="V1464" i="50"/>
  <c r="F1464" i="50"/>
  <c r="U1448" i="50"/>
  <c r="V1448" i="50"/>
  <c r="F1448" i="50"/>
  <c r="V1421" i="50"/>
  <c r="U1421" i="50"/>
  <c r="G1421" i="50"/>
  <c r="F1421" i="50"/>
  <c r="G1448" i="50"/>
  <c r="G1453" i="50"/>
  <c r="F1453" i="50"/>
  <c r="V1453" i="50"/>
  <c r="U1453" i="50"/>
  <c r="V1438" i="50"/>
  <c r="F1438" i="50"/>
  <c r="G1438" i="50"/>
  <c r="U1438" i="50"/>
  <c r="V1437" i="50"/>
  <c r="U1437" i="50"/>
  <c r="F1437" i="50"/>
  <c r="G1437" i="50"/>
  <c r="D1447" i="50"/>
  <c r="E1447" i="50"/>
  <c r="B1471" i="50"/>
  <c r="U1489" i="50"/>
  <c r="F1489" i="50"/>
  <c r="V1489" i="50"/>
  <c r="V1430" i="50"/>
  <c r="G1430" i="50"/>
  <c r="F1430" i="50"/>
  <c r="G1436" i="50"/>
  <c r="F1436" i="50"/>
  <c r="U1436" i="50"/>
  <c r="D1452" i="50"/>
  <c r="B1476" i="50"/>
  <c r="E1452" i="50"/>
  <c r="V1423" i="50"/>
  <c r="G1423" i="50"/>
  <c r="F1423" i="50"/>
  <c r="U1444" i="50"/>
  <c r="F1482" i="50"/>
  <c r="V1482" i="50"/>
  <c r="U1482" i="50"/>
  <c r="G1482" i="50"/>
  <c r="V1490" i="50"/>
  <c r="U1490" i="50"/>
  <c r="G1490" i="50"/>
  <c r="F1490" i="50"/>
  <c r="G1428" i="50"/>
  <c r="F1428" i="50"/>
  <c r="V1428" i="50"/>
  <c r="U1423" i="50"/>
  <c r="V1446" i="50"/>
  <c r="G1446" i="50"/>
  <c r="F1446" i="50"/>
  <c r="U1455" i="50"/>
  <c r="G1455" i="50"/>
  <c r="F1455" i="50"/>
  <c r="U1432" i="50"/>
  <c r="F1432" i="50"/>
  <c r="V1432" i="50"/>
  <c r="U1428" i="50"/>
  <c r="V1473" i="50"/>
  <c r="U1473" i="50"/>
  <c r="F1473" i="50"/>
  <c r="V1435" i="50"/>
  <c r="U1435" i="50"/>
  <c r="G1435" i="50"/>
  <c r="F1435" i="50"/>
  <c r="U1433" i="50"/>
  <c r="G1433" i="50"/>
  <c r="F1433" i="50"/>
  <c r="V1436" i="50"/>
  <c r="B1521" i="50"/>
  <c r="D1521" i="50" s="1"/>
  <c r="E1497" i="50"/>
  <c r="B1486" i="50"/>
  <c r="D1486" i="50" s="1"/>
  <c r="E1462" i="50"/>
  <c r="B1522" i="50"/>
  <c r="D1522" i="50" s="1"/>
  <c r="E1498" i="50"/>
  <c r="E1456" i="50"/>
  <c r="B1480" i="50"/>
  <c r="D1480" i="50" s="1"/>
  <c r="B1478" i="50"/>
  <c r="D1478" i="50" s="1"/>
  <c r="E1454" i="50"/>
  <c r="B1537" i="50"/>
  <c r="D1537" i="50" s="1"/>
  <c r="E1513" i="50"/>
  <c r="B1511" i="50"/>
  <c r="D1511" i="50" s="1"/>
  <c r="E1487" i="50"/>
  <c r="U1487" i="50" s="1"/>
  <c r="B1515" i="50"/>
  <c r="D1515" i="50" s="1"/>
  <c r="E1491" i="50"/>
  <c r="E1460" i="50"/>
  <c r="U1460" i="50" s="1"/>
  <c r="B1484" i="50"/>
  <c r="D1484" i="50" s="1"/>
  <c r="B1469" i="50"/>
  <c r="D1469" i="50" s="1"/>
  <c r="E1445" i="50"/>
  <c r="F1445" i="50" s="1"/>
  <c r="E1488" i="50"/>
  <c r="B1512" i="50"/>
  <c r="D1512" i="50" s="1"/>
  <c r="B1530" i="50"/>
  <c r="D1530" i="50" s="1"/>
  <c r="E1506" i="50"/>
  <c r="B1499" i="50"/>
  <c r="D1499" i="50" s="1"/>
  <c r="E1475" i="50"/>
  <c r="V1475" i="50" s="1"/>
  <c r="B1494" i="50"/>
  <c r="D1494" i="50" s="1"/>
  <c r="E1470" i="50"/>
  <c r="B1503" i="50"/>
  <c r="D1503" i="50" s="1"/>
  <c r="E1479" i="50"/>
  <c r="B1483" i="50"/>
  <c r="D1483" i="50" s="1"/>
  <c r="E1459" i="50"/>
  <c r="B1485" i="50"/>
  <c r="D1485" i="50" s="1"/>
  <c r="E1461" i="50"/>
  <c r="F1461" i="50" s="1"/>
  <c r="B1501" i="50"/>
  <c r="D1501" i="50" s="1"/>
  <c r="E1477" i="50"/>
  <c r="B1492" i="50"/>
  <c r="D1492" i="50" s="1"/>
  <c r="E1468" i="50"/>
  <c r="B1481" i="50"/>
  <c r="D1481" i="50" s="1"/>
  <c r="E1457" i="50"/>
  <c r="E1472" i="50"/>
  <c r="B1496" i="50"/>
  <c r="D1496" i="50" s="1"/>
  <c r="B1538" i="50"/>
  <c r="D1538" i="50" s="1"/>
  <c r="E1514" i="50"/>
  <c r="G1488" i="50" l="1"/>
  <c r="F1488" i="50"/>
  <c r="V1488" i="50"/>
  <c r="U1488" i="50"/>
  <c r="G1456" i="50"/>
  <c r="V1456" i="50"/>
  <c r="F1456" i="50"/>
  <c r="U1456" i="50"/>
  <c r="U1452" i="50"/>
  <c r="G1452" i="50"/>
  <c r="V1452" i="50"/>
  <c r="D1476" i="50"/>
  <c r="E1476" i="50"/>
  <c r="B1500" i="50"/>
  <c r="V1447" i="50"/>
  <c r="F1452" i="50"/>
  <c r="G1462" i="50"/>
  <c r="F1462" i="50"/>
  <c r="V1462" i="50"/>
  <c r="U1462" i="50"/>
  <c r="V1477" i="50"/>
  <c r="U1477" i="50"/>
  <c r="G1477" i="50"/>
  <c r="V1460" i="50"/>
  <c r="G1460" i="50"/>
  <c r="F1460" i="50"/>
  <c r="D1471" i="50"/>
  <c r="E1471" i="50"/>
  <c r="B1495" i="50"/>
  <c r="V1445" i="50"/>
  <c r="G1445" i="50"/>
  <c r="U1445" i="50"/>
  <c r="V1491" i="50"/>
  <c r="G1491" i="50"/>
  <c r="F1491" i="50"/>
  <c r="U1491" i="50"/>
  <c r="G1497" i="50"/>
  <c r="U1497" i="50"/>
  <c r="V1497" i="50"/>
  <c r="F1497" i="50"/>
  <c r="G1461" i="50"/>
  <c r="V1461" i="50"/>
  <c r="U1461" i="50"/>
  <c r="G1479" i="50"/>
  <c r="U1479" i="50"/>
  <c r="F1479" i="50"/>
  <c r="G1487" i="50"/>
  <c r="V1487" i="50"/>
  <c r="F1487" i="50"/>
  <c r="F1457" i="50"/>
  <c r="V1457" i="50"/>
  <c r="U1457" i="50"/>
  <c r="V1479" i="50"/>
  <c r="V1459" i="50"/>
  <c r="F1459" i="50"/>
  <c r="U1459" i="50"/>
  <c r="G1459" i="50"/>
  <c r="U1513" i="50"/>
  <c r="G1513" i="50"/>
  <c r="V1513" i="50"/>
  <c r="F1513" i="50"/>
  <c r="V1506" i="50"/>
  <c r="U1506" i="50"/>
  <c r="G1506" i="50"/>
  <c r="F1506" i="50"/>
  <c r="F1447" i="50"/>
  <c r="U1447" i="50"/>
  <c r="G1447" i="50"/>
  <c r="V1498" i="50"/>
  <c r="U1498" i="50"/>
  <c r="G1498" i="50"/>
  <c r="F1498" i="50"/>
  <c r="V1514" i="50"/>
  <c r="U1514" i="50"/>
  <c r="G1514" i="50"/>
  <c r="F1514" i="50"/>
  <c r="G1454" i="50"/>
  <c r="V1454" i="50"/>
  <c r="F1454" i="50"/>
  <c r="U1454" i="50"/>
  <c r="U1468" i="50"/>
  <c r="G1468" i="50"/>
  <c r="F1468" i="50"/>
  <c r="U1470" i="50"/>
  <c r="G1470" i="50"/>
  <c r="V1470" i="50"/>
  <c r="F1470" i="50"/>
  <c r="F1475" i="50"/>
  <c r="U1475" i="50"/>
  <c r="G1475" i="50"/>
  <c r="U1472" i="50"/>
  <c r="G1472" i="50"/>
  <c r="F1472" i="50"/>
  <c r="V1472" i="50"/>
  <c r="G1457" i="50"/>
  <c r="V1468" i="50"/>
  <c r="F1477" i="50"/>
  <c r="B1493" i="50"/>
  <c r="D1493" i="50" s="1"/>
  <c r="E1469" i="50"/>
  <c r="B1527" i="50"/>
  <c r="D1527" i="50" s="1"/>
  <c r="E1503" i="50"/>
  <c r="U1503" i="50" s="1"/>
  <c r="B1554" i="50"/>
  <c r="D1554" i="50" s="1"/>
  <c r="E1530" i="50"/>
  <c r="B1509" i="50"/>
  <c r="D1509" i="50" s="1"/>
  <c r="E1485" i="50"/>
  <c r="B1525" i="50"/>
  <c r="D1525" i="50" s="1"/>
  <c r="E1501" i="50"/>
  <c r="B1518" i="50"/>
  <c r="D1518" i="50" s="1"/>
  <c r="E1494" i="50"/>
  <c r="B1539" i="50"/>
  <c r="D1539" i="50" s="1"/>
  <c r="E1515" i="50"/>
  <c r="B1502" i="50"/>
  <c r="D1502" i="50" s="1"/>
  <c r="E1478" i="50"/>
  <c r="E1499" i="50"/>
  <c r="B1523" i="50"/>
  <c r="D1523" i="50" s="1"/>
  <c r="B1504" i="50"/>
  <c r="D1504" i="50" s="1"/>
  <c r="E1480" i="50"/>
  <c r="E1511" i="50"/>
  <c r="B1535" i="50"/>
  <c r="D1535" i="50" s="1"/>
  <c r="E1483" i="50"/>
  <c r="U1483" i="50" s="1"/>
  <c r="B1507" i="50"/>
  <c r="D1507" i="50" s="1"/>
  <c r="B1536" i="50"/>
  <c r="D1536" i="50" s="1"/>
  <c r="E1512" i="50"/>
  <c r="G1512" i="50" s="1"/>
  <c r="B1561" i="50"/>
  <c r="D1561" i="50" s="1"/>
  <c r="E1537" i="50"/>
  <c r="B1510" i="50"/>
  <c r="D1510" i="50" s="1"/>
  <c r="E1486" i="50"/>
  <c r="B1546" i="50"/>
  <c r="D1546" i="50" s="1"/>
  <c r="E1522" i="50"/>
  <c r="B1516" i="50"/>
  <c r="D1516" i="50" s="1"/>
  <c r="E1492" i="50"/>
  <c r="U1492" i="50" s="1"/>
  <c r="B1520" i="50"/>
  <c r="D1520" i="50" s="1"/>
  <c r="E1496" i="50"/>
  <c r="G1496" i="50" s="1"/>
  <c r="B1508" i="50"/>
  <c r="D1508" i="50" s="1"/>
  <c r="E1484" i="50"/>
  <c r="B1562" i="50"/>
  <c r="D1562" i="50" s="1"/>
  <c r="E1538" i="50"/>
  <c r="B1505" i="50"/>
  <c r="D1505" i="50" s="1"/>
  <c r="E1481" i="50"/>
  <c r="B1545" i="50"/>
  <c r="D1545" i="50" s="1"/>
  <c r="E1521" i="50"/>
  <c r="G1521" i="50" s="1"/>
  <c r="F1515" i="50" l="1"/>
  <c r="V1515" i="50"/>
  <c r="U1515" i="50"/>
  <c r="G1515" i="50"/>
  <c r="G1476" i="50"/>
  <c r="F1476" i="50"/>
  <c r="V1476" i="50"/>
  <c r="V1521" i="50"/>
  <c r="U1521" i="50"/>
  <c r="F1521" i="50"/>
  <c r="V1537" i="50"/>
  <c r="U1537" i="50"/>
  <c r="F1537" i="50"/>
  <c r="U1476" i="50"/>
  <c r="D1495" i="50"/>
  <c r="V1495" i="50" s="1"/>
  <c r="B1519" i="50"/>
  <c r="E1495" i="50"/>
  <c r="U1486" i="50"/>
  <c r="G1486" i="50"/>
  <c r="V1486" i="50"/>
  <c r="F1486" i="50"/>
  <c r="V1471" i="50"/>
  <c r="U1471" i="50"/>
  <c r="G1471" i="50"/>
  <c r="F1471" i="50"/>
  <c r="G1538" i="50"/>
  <c r="F1538" i="50"/>
  <c r="V1538" i="50"/>
  <c r="U1538" i="50"/>
  <c r="V1501" i="50"/>
  <c r="U1501" i="50"/>
  <c r="G1501" i="50"/>
  <c r="F1501" i="50"/>
  <c r="V1469" i="50"/>
  <c r="U1469" i="50"/>
  <c r="G1469" i="50"/>
  <c r="F1469" i="50"/>
  <c r="V1483" i="50"/>
  <c r="G1483" i="50"/>
  <c r="F1483" i="50"/>
  <c r="G1478" i="50"/>
  <c r="F1478" i="50"/>
  <c r="U1478" i="50"/>
  <c r="V1512" i="50"/>
  <c r="U1512" i="50"/>
  <c r="F1512" i="50"/>
  <c r="D1500" i="50"/>
  <c r="B1524" i="50"/>
  <c r="E1500" i="50"/>
  <c r="G1494" i="50"/>
  <c r="F1494" i="50"/>
  <c r="U1494" i="50"/>
  <c r="F1511" i="50"/>
  <c r="V1511" i="50"/>
  <c r="G1511" i="50"/>
  <c r="U1511" i="50"/>
  <c r="G1537" i="50"/>
  <c r="V1503" i="50"/>
  <c r="G1503" i="50"/>
  <c r="F1503" i="50"/>
  <c r="V1484" i="50"/>
  <c r="U1484" i="50"/>
  <c r="F1484" i="50"/>
  <c r="V1480" i="50"/>
  <c r="U1480" i="50"/>
  <c r="F1480" i="50"/>
  <c r="V1485" i="50"/>
  <c r="U1485" i="50"/>
  <c r="G1485" i="50"/>
  <c r="F1485" i="50"/>
  <c r="V1478" i="50"/>
  <c r="V1522" i="50"/>
  <c r="U1522" i="50"/>
  <c r="G1522" i="50"/>
  <c r="F1522" i="50"/>
  <c r="U1481" i="50"/>
  <c r="G1481" i="50"/>
  <c r="V1481" i="50"/>
  <c r="F1481" i="50"/>
  <c r="F1496" i="50"/>
  <c r="U1496" i="50"/>
  <c r="V1496" i="50"/>
  <c r="V1492" i="50"/>
  <c r="G1492" i="50"/>
  <c r="F1492" i="50"/>
  <c r="V1530" i="50"/>
  <c r="U1530" i="50"/>
  <c r="G1530" i="50"/>
  <c r="F1530" i="50"/>
  <c r="V1494" i="50"/>
  <c r="G1484" i="50"/>
  <c r="G1499" i="50"/>
  <c r="F1499" i="50"/>
  <c r="U1499" i="50"/>
  <c r="V1499" i="50"/>
  <c r="G1480" i="50"/>
  <c r="B1559" i="50"/>
  <c r="D1559" i="50" s="1"/>
  <c r="E1535" i="50"/>
  <c r="B1534" i="50"/>
  <c r="D1534" i="50" s="1"/>
  <c r="E1510" i="50"/>
  <c r="B1526" i="50"/>
  <c r="D1526" i="50" s="1"/>
  <c r="E1502" i="50"/>
  <c r="E1527" i="50"/>
  <c r="B1551" i="50"/>
  <c r="D1551" i="50" s="1"/>
  <c r="E1516" i="50"/>
  <c r="B1540" i="50"/>
  <c r="D1540" i="50" s="1"/>
  <c r="B1578" i="50"/>
  <c r="D1578" i="50" s="1"/>
  <c r="E1554" i="50"/>
  <c r="B1569" i="50"/>
  <c r="D1569" i="50" s="1"/>
  <c r="E1545" i="50"/>
  <c r="B1585" i="50"/>
  <c r="D1585" i="50" s="1"/>
  <c r="E1561" i="50"/>
  <c r="E1507" i="50"/>
  <c r="B1531" i="50"/>
  <c r="D1531" i="50" s="1"/>
  <c r="B1517" i="50"/>
  <c r="D1517" i="50" s="1"/>
  <c r="E1493" i="50"/>
  <c r="B1532" i="50"/>
  <c r="D1532" i="50" s="1"/>
  <c r="E1508" i="50"/>
  <c r="V1508" i="50" s="1"/>
  <c r="E1539" i="50"/>
  <c r="B1563" i="50"/>
  <c r="D1563" i="50" s="1"/>
  <c r="B1586" i="50"/>
  <c r="D1586" i="50" s="1"/>
  <c r="E1562" i="50"/>
  <c r="B1570" i="50"/>
  <c r="D1570" i="50" s="1"/>
  <c r="E1546" i="50"/>
  <c r="E1520" i="50"/>
  <c r="B1544" i="50"/>
  <c r="D1544" i="50" s="1"/>
  <c r="B1529" i="50"/>
  <c r="D1529" i="50" s="1"/>
  <c r="E1505" i="50"/>
  <c r="E1536" i="50"/>
  <c r="B1560" i="50"/>
  <c r="D1560" i="50" s="1"/>
  <c r="E1518" i="50"/>
  <c r="B1542" i="50"/>
  <c r="D1542" i="50" s="1"/>
  <c r="E1509" i="50"/>
  <c r="B1533" i="50"/>
  <c r="D1533" i="50" s="1"/>
  <c r="E1504" i="50"/>
  <c r="B1528" i="50"/>
  <c r="D1528" i="50" s="1"/>
  <c r="B1547" i="50"/>
  <c r="D1547" i="50" s="1"/>
  <c r="E1523" i="50"/>
  <c r="E1525" i="50"/>
  <c r="F1525" i="50" s="1"/>
  <c r="B1549" i="50"/>
  <c r="D1549" i="50" s="1"/>
  <c r="U1509" i="50" l="1"/>
  <c r="V1509" i="50"/>
  <c r="G1509" i="50"/>
  <c r="G1536" i="50"/>
  <c r="F1536" i="50"/>
  <c r="U1536" i="50"/>
  <c r="V1536" i="50"/>
  <c r="G1510" i="50"/>
  <c r="F1510" i="50"/>
  <c r="U1510" i="50"/>
  <c r="U1493" i="50"/>
  <c r="G1493" i="50"/>
  <c r="V1493" i="50"/>
  <c r="V1507" i="50"/>
  <c r="F1507" i="50"/>
  <c r="U1507" i="50"/>
  <c r="G1507" i="50"/>
  <c r="V1510" i="50"/>
  <c r="G1502" i="50"/>
  <c r="V1502" i="50"/>
  <c r="F1502" i="50"/>
  <c r="U1502" i="50"/>
  <c r="G1535" i="50"/>
  <c r="F1535" i="50"/>
  <c r="V1535" i="50"/>
  <c r="V1505" i="50"/>
  <c r="U1505" i="50"/>
  <c r="F1505" i="50"/>
  <c r="V1520" i="50"/>
  <c r="G1520" i="50"/>
  <c r="U1520" i="50"/>
  <c r="F1520" i="50"/>
  <c r="G1505" i="50"/>
  <c r="V1546" i="50"/>
  <c r="U1546" i="50"/>
  <c r="G1546" i="50"/>
  <c r="F1546" i="50"/>
  <c r="G1545" i="50"/>
  <c r="V1545" i="50"/>
  <c r="F1545" i="50"/>
  <c r="U1545" i="50"/>
  <c r="V1525" i="50"/>
  <c r="U1525" i="50"/>
  <c r="G1525" i="50"/>
  <c r="F1518" i="50"/>
  <c r="U1518" i="50"/>
  <c r="G1518" i="50"/>
  <c r="V1518" i="50"/>
  <c r="F1509" i="50"/>
  <c r="F1523" i="50"/>
  <c r="U1523" i="50"/>
  <c r="G1523" i="50"/>
  <c r="V1523" i="50"/>
  <c r="V1562" i="50"/>
  <c r="U1562" i="50"/>
  <c r="G1562" i="50"/>
  <c r="F1562" i="50"/>
  <c r="V1554" i="50"/>
  <c r="U1554" i="50"/>
  <c r="G1554" i="50"/>
  <c r="F1554" i="50"/>
  <c r="G1561" i="50"/>
  <c r="V1561" i="50"/>
  <c r="U1561" i="50"/>
  <c r="F1561" i="50"/>
  <c r="V1500" i="50"/>
  <c r="U1500" i="50"/>
  <c r="F1500" i="50"/>
  <c r="F1493" i="50"/>
  <c r="D1524" i="50"/>
  <c r="B1548" i="50"/>
  <c r="E1524" i="50"/>
  <c r="V1504" i="50"/>
  <c r="U1504" i="50"/>
  <c r="G1504" i="50"/>
  <c r="F1504" i="50"/>
  <c r="V1539" i="50"/>
  <c r="F1539" i="50"/>
  <c r="U1539" i="50"/>
  <c r="G1539" i="50"/>
  <c r="U1516" i="50"/>
  <c r="F1516" i="50"/>
  <c r="V1516" i="50"/>
  <c r="G1516" i="50"/>
  <c r="G1500" i="50"/>
  <c r="G1508" i="50"/>
  <c r="U1508" i="50"/>
  <c r="F1508" i="50"/>
  <c r="U1535" i="50"/>
  <c r="G1495" i="50"/>
  <c r="F1495" i="50"/>
  <c r="U1495" i="50"/>
  <c r="F1527" i="50"/>
  <c r="V1527" i="50"/>
  <c r="G1527" i="50"/>
  <c r="U1527" i="50"/>
  <c r="D1519" i="50"/>
  <c r="B1543" i="50"/>
  <c r="E1519" i="50"/>
  <c r="B1553" i="50"/>
  <c r="D1553" i="50" s="1"/>
  <c r="E1529" i="50"/>
  <c r="B1557" i="50"/>
  <c r="D1557" i="50" s="1"/>
  <c r="E1533" i="50"/>
  <c r="B1568" i="50"/>
  <c r="D1568" i="50" s="1"/>
  <c r="E1544" i="50"/>
  <c r="B1575" i="50"/>
  <c r="D1575" i="50" s="1"/>
  <c r="E1551" i="50"/>
  <c r="U1551" i="50" s="1"/>
  <c r="B1555" i="50"/>
  <c r="D1555" i="50" s="1"/>
  <c r="E1531" i="50"/>
  <c r="E1532" i="50"/>
  <c r="G1532" i="50" s="1"/>
  <c r="B1556" i="50"/>
  <c r="D1556" i="50" s="1"/>
  <c r="B1566" i="50"/>
  <c r="D1566" i="50" s="1"/>
  <c r="E1542" i="50"/>
  <c r="V1542" i="50" s="1"/>
  <c r="E1534" i="50"/>
  <c r="B1558" i="50"/>
  <c r="D1558" i="50" s="1"/>
  <c r="B1602" i="50"/>
  <c r="D1602" i="50" s="1"/>
  <c r="E1578" i="50"/>
  <c r="B1594" i="50"/>
  <c r="D1594" i="50" s="1"/>
  <c r="E1570" i="50"/>
  <c r="B1609" i="50"/>
  <c r="D1609" i="50" s="1"/>
  <c r="E1585" i="50"/>
  <c r="B1610" i="50"/>
  <c r="D1610" i="50" s="1"/>
  <c r="E1586" i="50"/>
  <c r="B1552" i="50"/>
  <c r="D1552" i="50" s="1"/>
  <c r="E1528" i="50"/>
  <c r="G1528" i="50" s="1"/>
  <c r="B1587" i="50"/>
  <c r="D1587" i="50" s="1"/>
  <c r="E1563" i="50"/>
  <c r="B1541" i="50"/>
  <c r="D1541" i="50" s="1"/>
  <c r="E1517" i="50"/>
  <c r="B1550" i="50"/>
  <c r="D1550" i="50" s="1"/>
  <c r="E1526" i="50"/>
  <c r="V1526" i="50" s="1"/>
  <c r="B1584" i="50"/>
  <c r="D1584" i="50" s="1"/>
  <c r="E1560" i="50"/>
  <c r="B1571" i="50"/>
  <c r="D1571" i="50" s="1"/>
  <c r="E1547" i="50"/>
  <c r="B1573" i="50"/>
  <c r="D1573" i="50" s="1"/>
  <c r="E1549" i="50"/>
  <c r="B1593" i="50"/>
  <c r="D1593" i="50" s="1"/>
  <c r="E1569" i="50"/>
  <c r="G1569" i="50" s="1"/>
  <c r="B1564" i="50"/>
  <c r="D1564" i="50" s="1"/>
  <c r="E1540" i="50"/>
  <c r="E1559" i="50"/>
  <c r="B1583" i="50"/>
  <c r="D1583" i="50" s="1"/>
  <c r="F1560" i="50" l="1"/>
  <c r="G1560" i="50"/>
  <c r="V1560" i="50"/>
  <c r="U1560" i="50"/>
  <c r="G1578" i="50"/>
  <c r="F1578" i="50"/>
  <c r="V1578" i="50"/>
  <c r="U1578" i="50"/>
  <c r="V1533" i="50"/>
  <c r="U1533" i="50"/>
  <c r="G1533" i="50"/>
  <c r="F1533" i="50"/>
  <c r="U1529" i="50"/>
  <c r="G1529" i="50"/>
  <c r="V1529" i="50"/>
  <c r="F1529" i="50"/>
  <c r="V1524" i="50"/>
  <c r="G1524" i="50"/>
  <c r="U1524" i="50"/>
  <c r="F1524" i="50"/>
  <c r="G1534" i="50"/>
  <c r="U1534" i="50"/>
  <c r="V1534" i="50"/>
  <c r="F1534" i="50"/>
  <c r="D1548" i="50"/>
  <c r="B1572" i="50"/>
  <c r="E1548" i="50"/>
  <c r="F1570" i="50"/>
  <c r="V1570" i="50"/>
  <c r="U1570" i="50"/>
  <c r="G1570" i="50"/>
  <c r="F1519" i="50"/>
  <c r="V1519" i="50"/>
  <c r="G1519" i="50"/>
  <c r="G1526" i="50"/>
  <c r="F1526" i="50"/>
  <c r="U1526" i="50"/>
  <c r="F1559" i="50"/>
  <c r="V1559" i="50"/>
  <c r="U1559" i="50"/>
  <c r="G1559" i="50"/>
  <c r="D1543" i="50"/>
  <c r="B1567" i="50"/>
  <c r="E1543" i="50"/>
  <c r="G1540" i="50"/>
  <c r="V1540" i="50"/>
  <c r="U1540" i="50"/>
  <c r="F1540" i="50"/>
  <c r="V1563" i="50"/>
  <c r="U1563" i="50"/>
  <c r="G1563" i="50"/>
  <c r="F1563" i="50"/>
  <c r="U1519" i="50"/>
  <c r="G1542" i="50"/>
  <c r="F1542" i="50"/>
  <c r="U1542" i="50"/>
  <c r="F1528" i="50"/>
  <c r="V1528" i="50"/>
  <c r="U1528" i="50"/>
  <c r="V1517" i="50"/>
  <c r="U1517" i="50"/>
  <c r="G1517" i="50"/>
  <c r="F1517" i="50"/>
  <c r="V1569" i="50"/>
  <c r="U1569" i="50"/>
  <c r="F1569" i="50"/>
  <c r="F1532" i="50"/>
  <c r="V1532" i="50"/>
  <c r="U1532" i="50"/>
  <c r="V1544" i="50"/>
  <c r="F1544" i="50"/>
  <c r="U1544" i="50"/>
  <c r="G1544" i="50"/>
  <c r="G1549" i="50"/>
  <c r="F1549" i="50"/>
  <c r="V1549" i="50"/>
  <c r="U1549" i="50"/>
  <c r="U1586" i="50"/>
  <c r="G1586" i="50"/>
  <c r="F1586" i="50"/>
  <c r="V1586" i="50"/>
  <c r="V1531" i="50"/>
  <c r="U1531" i="50"/>
  <c r="G1531" i="50"/>
  <c r="F1531" i="50"/>
  <c r="V1547" i="50"/>
  <c r="U1547" i="50"/>
  <c r="G1547" i="50"/>
  <c r="F1547" i="50"/>
  <c r="V1585" i="50"/>
  <c r="U1585" i="50"/>
  <c r="F1585" i="50"/>
  <c r="V1551" i="50"/>
  <c r="G1551" i="50"/>
  <c r="F1551" i="50"/>
  <c r="G1585" i="50"/>
  <c r="B1618" i="50"/>
  <c r="D1618" i="50" s="1"/>
  <c r="E1594" i="50"/>
  <c r="E1571" i="50"/>
  <c r="B1595" i="50"/>
  <c r="D1595" i="50" s="1"/>
  <c r="E1541" i="50"/>
  <c r="F1541" i="50" s="1"/>
  <c r="B1565" i="50"/>
  <c r="D1565" i="50" s="1"/>
  <c r="E1566" i="50"/>
  <c r="V1566" i="50" s="1"/>
  <c r="B1590" i="50"/>
  <c r="D1590" i="50" s="1"/>
  <c r="E1587" i="50"/>
  <c r="B1611" i="50"/>
  <c r="D1611" i="50" s="1"/>
  <c r="B1626" i="50"/>
  <c r="D1626" i="50" s="1"/>
  <c r="E1602" i="50"/>
  <c r="E1575" i="50"/>
  <c r="B1599" i="50"/>
  <c r="D1599" i="50" s="1"/>
  <c r="B1634" i="50"/>
  <c r="D1634" i="50" s="1"/>
  <c r="E1610" i="50"/>
  <c r="B1607" i="50"/>
  <c r="D1607" i="50" s="1"/>
  <c r="E1583" i="50"/>
  <c r="B1617" i="50"/>
  <c r="D1617" i="50" s="1"/>
  <c r="E1593" i="50"/>
  <c r="E1584" i="50"/>
  <c r="G1584" i="50" s="1"/>
  <c r="B1608" i="50"/>
  <c r="D1608" i="50" s="1"/>
  <c r="E1552" i="50"/>
  <c r="B1576" i="50"/>
  <c r="D1576" i="50" s="1"/>
  <c r="B1582" i="50"/>
  <c r="D1582" i="50" s="1"/>
  <c r="E1558" i="50"/>
  <c r="V1558" i="50" s="1"/>
  <c r="E1568" i="50"/>
  <c r="G1568" i="50" s="1"/>
  <c r="B1592" i="50"/>
  <c r="D1592" i="50" s="1"/>
  <c r="E1557" i="50"/>
  <c r="B1581" i="50"/>
  <c r="D1581" i="50" s="1"/>
  <c r="E1573" i="50"/>
  <c r="B1597" i="50"/>
  <c r="D1597" i="50" s="1"/>
  <c r="E1564" i="50"/>
  <c r="B1588" i="50"/>
  <c r="D1588" i="50" s="1"/>
  <c r="B1633" i="50"/>
  <c r="D1633" i="50" s="1"/>
  <c r="E1609" i="50"/>
  <c r="B1580" i="50"/>
  <c r="D1580" i="50" s="1"/>
  <c r="E1556" i="50"/>
  <c r="B1577" i="50"/>
  <c r="D1577" i="50" s="1"/>
  <c r="E1553" i="50"/>
  <c r="G1553" i="50" s="1"/>
  <c r="E1550" i="50"/>
  <c r="V1550" i="50" s="1"/>
  <c r="B1574" i="50"/>
  <c r="D1574" i="50" s="1"/>
  <c r="E1555" i="50"/>
  <c r="B1579" i="50"/>
  <c r="D1579" i="50" s="1"/>
  <c r="U1593" i="50" l="1"/>
  <c r="F1593" i="50"/>
  <c r="V1593" i="50"/>
  <c r="G1593" i="50"/>
  <c r="V1583" i="50"/>
  <c r="G1583" i="50"/>
  <c r="F1583" i="50"/>
  <c r="D1572" i="50"/>
  <c r="B1596" i="50"/>
  <c r="E1572" i="50"/>
  <c r="V1609" i="50"/>
  <c r="U1609" i="50"/>
  <c r="G1609" i="50"/>
  <c r="F1609" i="50"/>
  <c r="U1564" i="50"/>
  <c r="F1564" i="50"/>
  <c r="V1564" i="50"/>
  <c r="G1564" i="50"/>
  <c r="V1541" i="50"/>
  <c r="U1541" i="50"/>
  <c r="G1541" i="50"/>
  <c r="G1548" i="50"/>
  <c r="U1548" i="50"/>
  <c r="V1548" i="50"/>
  <c r="F1548" i="50"/>
  <c r="F1610" i="50"/>
  <c r="V1610" i="50"/>
  <c r="U1610" i="50"/>
  <c r="G1610" i="50"/>
  <c r="U1583" i="50"/>
  <c r="V1571" i="50"/>
  <c r="U1571" i="50"/>
  <c r="G1571" i="50"/>
  <c r="F1571" i="50"/>
  <c r="G1594" i="50"/>
  <c r="F1594" i="50"/>
  <c r="V1594" i="50"/>
  <c r="U1594" i="50"/>
  <c r="V1557" i="50"/>
  <c r="U1557" i="50"/>
  <c r="G1557" i="50"/>
  <c r="F1557" i="50"/>
  <c r="F1575" i="50"/>
  <c r="V1575" i="50"/>
  <c r="U1575" i="50"/>
  <c r="G1575" i="50"/>
  <c r="U1602" i="50"/>
  <c r="G1602" i="50"/>
  <c r="F1602" i="50"/>
  <c r="V1602" i="50"/>
  <c r="U1555" i="50"/>
  <c r="G1555" i="50"/>
  <c r="F1555" i="50"/>
  <c r="V1555" i="50"/>
  <c r="V1568" i="50"/>
  <c r="U1568" i="50"/>
  <c r="F1568" i="50"/>
  <c r="G1558" i="50"/>
  <c r="F1558" i="50"/>
  <c r="U1558" i="50"/>
  <c r="U1566" i="50"/>
  <c r="G1566" i="50"/>
  <c r="F1566" i="50"/>
  <c r="G1573" i="50"/>
  <c r="F1573" i="50"/>
  <c r="V1573" i="50"/>
  <c r="U1573" i="50"/>
  <c r="V1553" i="50"/>
  <c r="U1553" i="50"/>
  <c r="F1553" i="50"/>
  <c r="V1587" i="50"/>
  <c r="U1587" i="50"/>
  <c r="G1587" i="50"/>
  <c r="F1587" i="50"/>
  <c r="U1550" i="50"/>
  <c r="G1550" i="50"/>
  <c r="F1550" i="50"/>
  <c r="V1552" i="50"/>
  <c r="U1552" i="50"/>
  <c r="G1552" i="50"/>
  <c r="F1552" i="50"/>
  <c r="V1556" i="50"/>
  <c r="U1556" i="50"/>
  <c r="G1556" i="50"/>
  <c r="F1556" i="50"/>
  <c r="F1543" i="50"/>
  <c r="U1543" i="50"/>
  <c r="G1543" i="50"/>
  <c r="V1543" i="50"/>
  <c r="V1584" i="50"/>
  <c r="U1584" i="50"/>
  <c r="F1584" i="50"/>
  <c r="D1567" i="50"/>
  <c r="B1591" i="50"/>
  <c r="E1567" i="50"/>
  <c r="B1641" i="50"/>
  <c r="D1641" i="50" s="1"/>
  <c r="E1617" i="50"/>
  <c r="G1617" i="50" s="1"/>
  <c r="B1635" i="50"/>
  <c r="D1635" i="50" s="1"/>
  <c r="E1611" i="50"/>
  <c r="B1612" i="50"/>
  <c r="D1612" i="50" s="1"/>
  <c r="E1588" i="50"/>
  <c r="B1614" i="50"/>
  <c r="D1614" i="50" s="1"/>
  <c r="E1590" i="50"/>
  <c r="V1590" i="50" s="1"/>
  <c r="B1616" i="50"/>
  <c r="D1616" i="50" s="1"/>
  <c r="E1592" i="50"/>
  <c r="B1657" i="50"/>
  <c r="D1657" i="50" s="1"/>
  <c r="E1633" i="50"/>
  <c r="G1633" i="50" s="1"/>
  <c r="E1582" i="50"/>
  <c r="V1582" i="50" s="1"/>
  <c r="B1606" i="50"/>
  <c r="D1606" i="50" s="1"/>
  <c r="E1607" i="50"/>
  <c r="B1631" i="50"/>
  <c r="D1631" i="50" s="1"/>
  <c r="B1621" i="50"/>
  <c r="D1621" i="50" s="1"/>
  <c r="E1597" i="50"/>
  <c r="B1589" i="50"/>
  <c r="D1589" i="50" s="1"/>
  <c r="E1565" i="50"/>
  <c r="B1642" i="50"/>
  <c r="D1642" i="50" s="1"/>
  <c r="E1618" i="50"/>
  <c r="B1603" i="50"/>
  <c r="D1603" i="50" s="1"/>
  <c r="E1579" i="50"/>
  <c r="B1601" i="50"/>
  <c r="D1601" i="50" s="1"/>
  <c r="E1577" i="50"/>
  <c r="B1658" i="50"/>
  <c r="D1658" i="50" s="1"/>
  <c r="E1634" i="50"/>
  <c r="B1605" i="50"/>
  <c r="D1605" i="50" s="1"/>
  <c r="E1581" i="50"/>
  <c r="B1600" i="50"/>
  <c r="D1600" i="50" s="1"/>
  <c r="E1576" i="50"/>
  <c r="B1650" i="50"/>
  <c r="D1650" i="50" s="1"/>
  <c r="E1626" i="50"/>
  <c r="B1619" i="50"/>
  <c r="D1619" i="50" s="1"/>
  <c r="E1595" i="50"/>
  <c r="B1632" i="50"/>
  <c r="D1632" i="50" s="1"/>
  <c r="E1608" i="50"/>
  <c r="B1623" i="50"/>
  <c r="D1623" i="50" s="1"/>
  <c r="E1599" i="50"/>
  <c r="U1599" i="50" s="1"/>
  <c r="B1598" i="50"/>
  <c r="D1598" i="50" s="1"/>
  <c r="E1574" i="50"/>
  <c r="V1574" i="50" s="1"/>
  <c r="E1580" i="50"/>
  <c r="B1604" i="50"/>
  <c r="D1604" i="50" s="1"/>
  <c r="U1618" i="50" l="1"/>
  <c r="G1618" i="50"/>
  <c r="F1618" i="50"/>
  <c r="V1618" i="50"/>
  <c r="G1590" i="50"/>
  <c r="F1590" i="50"/>
  <c r="U1590" i="50"/>
  <c r="V1579" i="50"/>
  <c r="U1579" i="50"/>
  <c r="G1579" i="50"/>
  <c r="F1579" i="50"/>
  <c r="V1565" i="50"/>
  <c r="U1565" i="50"/>
  <c r="G1565" i="50"/>
  <c r="F1565" i="50"/>
  <c r="V1588" i="50"/>
  <c r="U1588" i="50"/>
  <c r="G1588" i="50"/>
  <c r="F1588" i="50"/>
  <c r="U1572" i="50"/>
  <c r="G1572" i="50"/>
  <c r="F1572" i="50"/>
  <c r="V1572" i="50"/>
  <c r="V1597" i="50"/>
  <c r="U1597" i="50"/>
  <c r="G1597" i="50"/>
  <c r="F1597" i="50"/>
  <c r="V1611" i="50"/>
  <c r="U1611" i="50"/>
  <c r="G1611" i="50"/>
  <c r="F1611" i="50"/>
  <c r="D1596" i="50"/>
  <c r="E1596" i="50"/>
  <c r="B1620" i="50"/>
  <c r="V1599" i="50"/>
  <c r="G1599" i="50"/>
  <c r="F1599" i="50"/>
  <c r="F1576" i="50"/>
  <c r="U1576" i="50"/>
  <c r="G1576" i="50"/>
  <c r="V1576" i="50"/>
  <c r="V1617" i="50"/>
  <c r="U1617" i="50"/>
  <c r="F1617" i="50"/>
  <c r="F1626" i="50"/>
  <c r="V1626" i="50"/>
  <c r="U1626" i="50"/>
  <c r="G1626" i="50"/>
  <c r="V1581" i="50"/>
  <c r="U1581" i="50"/>
  <c r="G1581" i="50"/>
  <c r="F1581" i="50"/>
  <c r="V1567" i="50"/>
  <c r="G1567" i="50"/>
  <c r="F1567" i="50"/>
  <c r="U1608" i="50"/>
  <c r="G1608" i="50"/>
  <c r="F1608" i="50"/>
  <c r="V1608" i="50"/>
  <c r="V1607" i="50"/>
  <c r="U1607" i="50"/>
  <c r="G1607" i="50"/>
  <c r="F1607" i="50"/>
  <c r="D1591" i="50"/>
  <c r="E1591" i="50"/>
  <c r="B1615" i="50"/>
  <c r="V1592" i="50"/>
  <c r="U1592" i="50"/>
  <c r="F1592" i="50"/>
  <c r="G1592" i="50"/>
  <c r="G1634" i="50"/>
  <c r="F1634" i="50"/>
  <c r="V1634" i="50"/>
  <c r="U1634" i="50"/>
  <c r="U1567" i="50"/>
  <c r="V1595" i="50"/>
  <c r="U1595" i="50"/>
  <c r="G1595" i="50"/>
  <c r="F1595" i="50"/>
  <c r="F1580" i="50"/>
  <c r="V1580" i="50"/>
  <c r="G1580" i="50"/>
  <c r="U1580" i="50"/>
  <c r="G1582" i="50"/>
  <c r="U1582" i="50"/>
  <c r="F1582" i="50"/>
  <c r="G1574" i="50"/>
  <c r="F1574" i="50"/>
  <c r="U1574" i="50"/>
  <c r="G1577" i="50"/>
  <c r="V1577" i="50"/>
  <c r="U1577" i="50"/>
  <c r="F1577" i="50"/>
  <c r="V1633" i="50"/>
  <c r="U1633" i="50"/>
  <c r="F1633" i="50"/>
  <c r="B1682" i="50"/>
  <c r="D1682" i="50" s="1"/>
  <c r="E1658" i="50"/>
  <c r="B1666" i="50"/>
  <c r="D1666" i="50" s="1"/>
  <c r="E1642" i="50"/>
  <c r="E1619" i="50"/>
  <c r="U1619" i="50" s="1"/>
  <c r="B1643" i="50"/>
  <c r="D1643" i="50" s="1"/>
  <c r="E1589" i="50"/>
  <c r="B1613" i="50"/>
  <c r="D1613" i="50" s="1"/>
  <c r="E1635" i="50"/>
  <c r="B1659" i="50"/>
  <c r="D1659" i="50" s="1"/>
  <c r="B1625" i="50"/>
  <c r="D1625" i="50" s="1"/>
  <c r="E1601" i="50"/>
  <c r="G1601" i="50" s="1"/>
  <c r="E1598" i="50"/>
  <c r="V1598" i="50" s="1"/>
  <c r="B1622" i="50"/>
  <c r="D1622" i="50" s="1"/>
  <c r="B1674" i="50"/>
  <c r="D1674" i="50" s="1"/>
  <c r="E1650" i="50"/>
  <c r="E1621" i="50"/>
  <c r="B1645" i="50"/>
  <c r="D1645" i="50" s="1"/>
  <c r="B1681" i="50"/>
  <c r="D1681" i="50" s="1"/>
  <c r="E1657" i="50"/>
  <c r="B1628" i="50"/>
  <c r="D1628" i="50" s="1"/>
  <c r="E1604" i="50"/>
  <c r="E1605" i="50"/>
  <c r="B1629" i="50"/>
  <c r="D1629" i="50" s="1"/>
  <c r="E1632" i="50"/>
  <c r="G1632" i="50" s="1"/>
  <c r="B1656" i="50"/>
  <c r="D1656" i="50" s="1"/>
  <c r="E1600" i="50"/>
  <c r="B1624" i="50"/>
  <c r="D1624" i="50" s="1"/>
  <c r="E1603" i="50"/>
  <c r="U1603" i="50" s="1"/>
  <c r="B1627" i="50"/>
  <c r="D1627" i="50" s="1"/>
  <c r="E1616" i="50"/>
  <c r="G1616" i="50" s="1"/>
  <c r="B1640" i="50"/>
  <c r="D1640" i="50" s="1"/>
  <c r="B1665" i="50"/>
  <c r="D1665" i="50" s="1"/>
  <c r="E1641" i="50"/>
  <c r="B1655" i="50"/>
  <c r="D1655" i="50" s="1"/>
  <c r="E1631" i="50"/>
  <c r="U1631" i="50" s="1"/>
  <c r="E1612" i="50"/>
  <c r="B1636" i="50"/>
  <c r="D1636" i="50" s="1"/>
  <c r="E1614" i="50"/>
  <c r="V1614" i="50" s="1"/>
  <c r="B1638" i="50"/>
  <c r="D1638" i="50" s="1"/>
  <c r="E1623" i="50"/>
  <c r="B1647" i="50"/>
  <c r="D1647" i="50" s="1"/>
  <c r="B1630" i="50"/>
  <c r="D1630" i="50" s="1"/>
  <c r="E1606" i="50"/>
  <c r="V1658" i="50" l="1"/>
  <c r="U1658" i="50"/>
  <c r="G1658" i="50"/>
  <c r="F1658" i="50"/>
  <c r="V1603" i="50"/>
  <c r="F1603" i="50"/>
  <c r="G1603" i="50"/>
  <c r="G1598" i="50"/>
  <c r="U1598" i="50"/>
  <c r="F1598" i="50"/>
  <c r="V1601" i="50"/>
  <c r="U1601" i="50"/>
  <c r="F1601" i="50"/>
  <c r="D1615" i="50"/>
  <c r="B1639" i="50"/>
  <c r="E1615" i="50"/>
  <c r="V1621" i="50"/>
  <c r="U1621" i="50"/>
  <c r="F1621" i="50"/>
  <c r="V1600" i="50"/>
  <c r="U1600" i="50"/>
  <c r="F1600" i="50"/>
  <c r="U1591" i="50"/>
  <c r="G1591" i="50"/>
  <c r="F1591" i="50"/>
  <c r="V1591" i="50"/>
  <c r="V1616" i="50"/>
  <c r="U1616" i="50"/>
  <c r="F1616" i="50"/>
  <c r="G1606" i="50"/>
  <c r="F1606" i="50"/>
  <c r="U1606" i="50"/>
  <c r="G1614" i="50"/>
  <c r="U1614" i="50"/>
  <c r="F1614" i="50"/>
  <c r="V1632" i="50"/>
  <c r="U1632" i="50"/>
  <c r="F1632" i="50"/>
  <c r="V1635" i="50"/>
  <c r="F1635" i="50"/>
  <c r="G1635" i="50"/>
  <c r="V1606" i="50"/>
  <c r="U1635" i="50"/>
  <c r="G1600" i="50"/>
  <c r="G1621" i="50"/>
  <c r="V1650" i="50"/>
  <c r="U1650" i="50"/>
  <c r="G1650" i="50"/>
  <c r="F1650" i="50"/>
  <c r="V1623" i="50"/>
  <c r="U1623" i="50"/>
  <c r="F1623" i="50"/>
  <c r="G1623" i="50"/>
  <c r="F1612" i="50"/>
  <c r="V1612" i="50"/>
  <c r="U1612" i="50"/>
  <c r="G1612" i="50"/>
  <c r="V1605" i="50"/>
  <c r="U1605" i="50"/>
  <c r="F1605" i="50"/>
  <c r="V1589" i="50"/>
  <c r="U1589" i="50"/>
  <c r="G1589" i="50"/>
  <c r="F1589" i="50"/>
  <c r="D1620" i="50"/>
  <c r="B1644" i="50"/>
  <c r="E1620" i="50"/>
  <c r="V1604" i="50"/>
  <c r="F1604" i="50"/>
  <c r="G1604" i="50"/>
  <c r="F1596" i="50"/>
  <c r="V1596" i="50"/>
  <c r="G1596" i="50"/>
  <c r="U1596" i="50"/>
  <c r="V1631" i="50"/>
  <c r="G1631" i="50"/>
  <c r="F1631" i="50"/>
  <c r="V1619" i="50"/>
  <c r="F1619" i="50"/>
  <c r="G1619" i="50"/>
  <c r="G1605" i="50"/>
  <c r="V1641" i="50"/>
  <c r="U1641" i="50"/>
  <c r="G1641" i="50"/>
  <c r="F1641" i="50"/>
  <c r="V1657" i="50"/>
  <c r="U1657" i="50"/>
  <c r="G1657" i="50"/>
  <c r="F1657" i="50"/>
  <c r="V1642" i="50"/>
  <c r="U1642" i="50"/>
  <c r="G1642" i="50"/>
  <c r="F1642" i="50"/>
  <c r="U1604" i="50"/>
  <c r="B1683" i="50"/>
  <c r="D1683" i="50" s="1"/>
  <c r="E1659" i="50"/>
  <c r="B1651" i="50"/>
  <c r="D1651" i="50" s="1"/>
  <c r="E1627" i="50"/>
  <c r="B1705" i="50"/>
  <c r="D1705" i="50" s="1"/>
  <c r="E1681" i="50"/>
  <c r="B1637" i="50"/>
  <c r="D1637" i="50" s="1"/>
  <c r="E1613" i="50"/>
  <c r="B1669" i="50"/>
  <c r="D1669" i="50" s="1"/>
  <c r="E1645" i="50"/>
  <c r="B1648" i="50"/>
  <c r="D1648" i="50" s="1"/>
  <c r="E1624" i="50"/>
  <c r="B1690" i="50"/>
  <c r="D1690" i="50" s="1"/>
  <c r="E1666" i="50"/>
  <c r="B1667" i="50"/>
  <c r="D1667" i="50" s="1"/>
  <c r="E1643" i="50"/>
  <c r="E1655" i="50"/>
  <c r="B1679" i="50"/>
  <c r="D1679" i="50" s="1"/>
  <c r="B1680" i="50"/>
  <c r="D1680" i="50" s="1"/>
  <c r="E1656" i="50"/>
  <c r="B1653" i="50"/>
  <c r="D1653" i="50" s="1"/>
  <c r="E1629" i="50"/>
  <c r="B1698" i="50"/>
  <c r="D1698" i="50" s="1"/>
  <c r="E1674" i="50"/>
  <c r="B1689" i="50"/>
  <c r="D1689" i="50" s="1"/>
  <c r="E1665" i="50"/>
  <c r="B1646" i="50"/>
  <c r="D1646" i="50" s="1"/>
  <c r="E1622" i="50"/>
  <c r="V1622" i="50" s="1"/>
  <c r="B1706" i="50"/>
  <c r="D1706" i="50" s="1"/>
  <c r="E1682" i="50"/>
  <c r="B1660" i="50"/>
  <c r="D1660" i="50" s="1"/>
  <c r="E1636" i="50"/>
  <c r="U1636" i="50" s="1"/>
  <c r="B1649" i="50"/>
  <c r="D1649" i="50" s="1"/>
  <c r="E1625" i="50"/>
  <c r="B1662" i="50"/>
  <c r="D1662" i="50" s="1"/>
  <c r="E1638" i="50"/>
  <c r="B1664" i="50"/>
  <c r="D1664" i="50" s="1"/>
  <c r="E1640" i="50"/>
  <c r="E1628" i="50"/>
  <c r="B1652" i="50"/>
  <c r="D1652" i="50" s="1"/>
  <c r="E1630" i="50"/>
  <c r="B1654" i="50"/>
  <c r="D1654" i="50" s="1"/>
  <c r="B1671" i="50"/>
  <c r="D1671" i="50" s="1"/>
  <c r="E1647" i="50"/>
  <c r="U1647" i="50" s="1"/>
  <c r="D1639" i="50" l="1"/>
  <c r="B1663" i="50"/>
  <c r="E1639" i="50"/>
  <c r="G1638" i="50"/>
  <c r="F1638" i="50"/>
  <c r="U1638" i="50"/>
  <c r="V1629" i="50"/>
  <c r="U1629" i="50"/>
  <c r="G1629" i="50"/>
  <c r="F1629" i="50"/>
  <c r="V1613" i="50"/>
  <c r="U1613" i="50"/>
  <c r="G1613" i="50"/>
  <c r="F1613" i="50"/>
  <c r="V1665" i="50"/>
  <c r="U1665" i="50"/>
  <c r="F1665" i="50"/>
  <c r="U1615" i="50"/>
  <c r="V1674" i="50"/>
  <c r="U1674" i="50"/>
  <c r="G1674" i="50"/>
  <c r="F1674" i="50"/>
  <c r="V1625" i="50"/>
  <c r="U1625" i="50"/>
  <c r="G1625" i="50"/>
  <c r="F1625" i="50"/>
  <c r="V1656" i="50"/>
  <c r="U1656" i="50"/>
  <c r="G1656" i="50"/>
  <c r="F1656" i="50"/>
  <c r="V1681" i="50"/>
  <c r="U1681" i="50"/>
  <c r="F1681" i="50"/>
  <c r="V1640" i="50"/>
  <c r="U1640" i="50"/>
  <c r="G1640" i="50"/>
  <c r="F1640" i="50"/>
  <c r="V1627" i="50"/>
  <c r="U1627" i="50"/>
  <c r="G1627" i="50"/>
  <c r="F1627" i="50"/>
  <c r="F1628" i="50"/>
  <c r="V1628" i="50"/>
  <c r="U1628" i="50"/>
  <c r="G1628" i="50"/>
  <c r="V1655" i="50"/>
  <c r="U1655" i="50"/>
  <c r="G1655" i="50"/>
  <c r="F1655" i="50"/>
  <c r="V1636" i="50"/>
  <c r="F1636" i="50"/>
  <c r="G1636" i="50"/>
  <c r="V1643" i="50"/>
  <c r="U1643" i="50"/>
  <c r="G1643" i="50"/>
  <c r="F1643" i="50"/>
  <c r="V1659" i="50"/>
  <c r="U1659" i="50"/>
  <c r="G1659" i="50"/>
  <c r="F1659" i="50"/>
  <c r="V1615" i="50"/>
  <c r="G1615" i="50"/>
  <c r="F1615" i="50"/>
  <c r="V1638" i="50"/>
  <c r="V1620" i="50"/>
  <c r="F1620" i="50"/>
  <c r="G1620" i="50"/>
  <c r="V1647" i="50"/>
  <c r="G1647" i="50"/>
  <c r="F1647" i="50"/>
  <c r="V1682" i="50"/>
  <c r="U1682" i="50"/>
  <c r="G1682" i="50"/>
  <c r="F1682" i="50"/>
  <c r="V1666" i="50"/>
  <c r="U1666" i="50"/>
  <c r="G1666" i="50"/>
  <c r="F1666" i="50"/>
  <c r="G1681" i="50"/>
  <c r="D1644" i="50"/>
  <c r="E1644" i="50"/>
  <c r="B1668" i="50"/>
  <c r="U1645" i="50"/>
  <c r="G1645" i="50"/>
  <c r="F1645" i="50"/>
  <c r="V1645" i="50"/>
  <c r="G1665" i="50"/>
  <c r="U1620" i="50"/>
  <c r="G1622" i="50"/>
  <c r="F1622" i="50"/>
  <c r="U1622" i="50"/>
  <c r="F1624" i="50"/>
  <c r="V1624" i="50"/>
  <c r="U1624" i="50"/>
  <c r="G1624" i="50"/>
  <c r="U1630" i="50"/>
  <c r="G1630" i="50"/>
  <c r="F1630" i="50"/>
  <c r="V1630" i="50"/>
  <c r="E1637" i="50"/>
  <c r="G1637" i="50" s="1"/>
  <c r="B1661" i="50"/>
  <c r="D1661" i="50" s="1"/>
  <c r="B1722" i="50"/>
  <c r="D1722" i="50" s="1"/>
  <c r="E1698" i="50"/>
  <c r="E1646" i="50"/>
  <c r="V1646" i="50" s="1"/>
  <c r="B1670" i="50"/>
  <c r="D1670" i="50" s="1"/>
  <c r="E1680" i="50"/>
  <c r="G1680" i="50" s="1"/>
  <c r="B1704" i="50"/>
  <c r="D1704" i="50" s="1"/>
  <c r="E1648" i="50"/>
  <c r="B1672" i="50"/>
  <c r="D1672" i="50" s="1"/>
  <c r="B1673" i="50"/>
  <c r="D1673" i="50" s="1"/>
  <c r="E1649" i="50"/>
  <c r="B1703" i="50"/>
  <c r="D1703" i="50" s="1"/>
  <c r="E1679" i="50"/>
  <c r="E1667" i="50"/>
  <c r="U1667" i="50" s="1"/>
  <c r="B1691" i="50"/>
  <c r="D1691" i="50" s="1"/>
  <c r="E1660" i="50"/>
  <c r="B1684" i="50"/>
  <c r="D1684" i="50" s="1"/>
  <c r="B1729" i="50"/>
  <c r="D1729" i="50" s="1"/>
  <c r="E1705" i="50"/>
  <c r="E1671" i="50"/>
  <c r="B1695" i="50"/>
  <c r="D1695" i="50" s="1"/>
  <c r="E1662" i="50"/>
  <c r="B1686" i="50"/>
  <c r="D1686" i="50" s="1"/>
  <c r="E1653" i="50"/>
  <c r="B1677" i="50"/>
  <c r="D1677" i="50" s="1"/>
  <c r="B1676" i="50"/>
  <c r="D1676" i="50" s="1"/>
  <c r="E1652" i="50"/>
  <c r="U1652" i="50" s="1"/>
  <c r="B1678" i="50"/>
  <c r="D1678" i="50" s="1"/>
  <c r="E1654" i="50"/>
  <c r="V1654" i="50" s="1"/>
  <c r="E1669" i="50"/>
  <c r="B1693" i="50"/>
  <c r="D1693" i="50" s="1"/>
  <c r="E1683" i="50"/>
  <c r="U1683" i="50" s="1"/>
  <c r="B1707" i="50"/>
  <c r="D1707" i="50" s="1"/>
  <c r="E1664" i="50"/>
  <c r="B1688" i="50"/>
  <c r="D1688" i="50" s="1"/>
  <c r="B1713" i="50"/>
  <c r="D1713" i="50" s="1"/>
  <c r="E1689" i="50"/>
  <c r="E1651" i="50"/>
  <c r="U1651" i="50" s="1"/>
  <c r="B1675" i="50"/>
  <c r="D1675" i="50" s="1"/>
  <c r="B1730" i="50"/>
  <c r="D1730" i="50" s="1"/>
  <c r="E1706" i="50"/>
  <c r="B1714" i="50"/>
  <c r="D1714" i="50" s="1"/>
  <c r="E1690" i="50"/>
  <c r="V1653" i="50" l="1"/>
  <c r="U1653" i="50"/>
  <c r="F1653" i="50"/>
  <c r="V1689" i="50"/>
  <c r="U1689" i="50"/>
  <c r="G1689" i="50"/>
  <c r="F1689" i="50"/>
  <c r="D1668" i="50"/>
  <c r="B1692" i="50"/>
  <c r="E1668" i="50"/>
  <c r="V1648" i="50"/>
  <c r="U1648" i="50"/>
  <c r="F1648" i="50"/>
  <c r="F1644" i="50"/>
  <c r="V1644" i="50"/>
  <c r="U1644" i="50"/>
  <c r="G1644" i="50"/>
  <c r="V1706" i="50"/>
  <c r="U1706" i="50"/>
  <c r="G1706" i="50"/>
  <c r="F1706" i="50"/>
  <c r="V1664" i="50"/>
  <c r="U1664" i="50"/>
  <c r="F1664" i="50"/>
  <c r="V1705" i="50"/>
  <c r="U1705" i="50"/>
  <c r="G1705" i="50"/>
  <c r="F1705" i="50"/>
  <c r="V1679" i="50"/>
  <c r="G1679" i="50"/>
  <c r="F1679" i="50"/>
  <c r="U1662" i="50"/>
  <c r="G1662" i="50"/>
  <c r="F1662" i="50"/>
  <c r="U1646" i="50"/>
  <c r="G1646" i="50"/>
  <c r="F1646" i="50"/>
  <c r="U1679" i="50"/>
  <c r="V1649" i="50"/>
  <c r="U1649" i="50"/>
  <c r="F1649" i="50"/>
  <c r="V1651" i="50"/>
  <c r="G1651" i="50"/>
  <c r="F1651" i="50"/>
  <c r="V1698" i="50"/>
  <c r="U1698" i="50"/>
  <c r="G1698" i="50"/>
  <c r="F1698" i="50"/>
  <c r="V1680" i="50"/>
  <c r="U1680" i="50"/>
  <c r="F1680" i="50"/>
  <c r="V1669" i="50"/>
  <c r="U1669" i="50"/>
  <c r="F1669" i="50"/>
  <c r="G1653" i="50"/>
  <c r="V1652" i="50"/>
  <c r="F1652" i="50"/>
  <c r="G1652" i="50"/>
  <c r="V1671" i="50"/>
  <c r="U1671" i="50"/>
  <c r="G1671" i="50"/>
  <c r="F1671" i="50"/>
  <c r="V1683" i="50"/>
  <c r="G1683" i="50"/>
  <c r="F1683" i="50"/>
  <c r="V1662" i="50"/>
  <c r="G1664" i="50"/>
  <c r="U1660" i="50"/>
  <c r="G1660" i="50"/>
  <c r="F1660" i="50"/>
  <c r="V1660" i="50"/>
  <c r="V1637" i="50"/>
  <c r="U1637" i="50"/>
  <c r="F1637" i="50"/>
  <c r="V1639" i="50"/>
  <c r="U1639" i="50"/>
  <c r="G1639" i="50"/>
  <c r="F1639" i="50"/>
  <c r="D1663" i="50"/>
  <c r="B1687" i="50"/>
  <c r="E1663" i="50"/>
  <c r="V1690" i="50"/>
  <c r="U1690" i="50"/>
  <c r="G1690" i="50"/>
  <c r="F1690" i="50"/>
  <c r="G1654" i="50"/>
  <c r="F1654" i="50"/>
  <c r="U1654" i="50"/>
  <c r="G1649" i="50"/>
  <c r="V1667" i="50"/>
  <c r="G1667" i="50"/>
  <c r="F1667" i="50"/>
  <c r="G1648" i="50"/>
  <c r="G1669" i="50"/>
  <c r="E1676" i="50"/>
  <c r="B1700" i="50"/>
  <c r="D1700" i="50" s="1"/>
  <c r="B1710" i="50"/>
  <c r="D1710" i="50" s="1"/>
  <c r="E1686" i="50"/>
  <c r="E1703" i="50"/>
  <c r="B1727" i="50"/>
  <c r="D1727" i="50" s="1"/>
  <c r="B1717" i="50"/>
  <c r="D1717" i="50" s="1"/>
  <c r="E1693" i="50"/>
  <c r="B1719" i="50"/>
  <c r="D1719" i="50" s="1"/>
  <c r="E1695" i="50"/>
  <c r="U1695" i="50" s="1"/>
  <c r="B1715" i="50"/>
  <c r="D1715" i="50" s="1"/>
  <c r="E1691" i="50"/>
  <c r="B1746" i="50"/>
  <c r="D1746" i="50" s="1"/>
  <c r="E1722" i="50"/>
  <c r="B1685" i="50"/>
  <c r="D1685" i="50" s="1"/>
  <c r="E1661" i="50"/>
  <c r="B1754" i="50"/>
  <c r="D1754" i="50" s="1"/>
  <c r="E1730" i="50"/>
  <c r="B1737" i="50"/>
  <c r="D1737" i="50" s="1"/>
  <c r="E1713" i="50"/>
  <c r="B1712" i="50"/>
  <c r="D1712" i="50" s="1"/>
  <c r="E1688" i="50"/>
  <c r="B1753" i="50"/>
  <c r="D1753" i="50" s="1"/>
  <c r="E1729" i="50"/>
  <c r="G1729" i="50" s="1"/>
  <c r="B1697" i="50"/>
  <c r="D1697" i="50" s="1"/>
  <c r="E1673" i="50"/>
  <c r="B1696" i="50"/>
  <c r="D1696" i="50" s="1"/>
  <c r="E1672" i="50"/>
  <c r="B1701" i="50"/>
  <c r="D1701" i="50" s="1"/>
  <c r="E1677" i="50"/>
  <c r="B1731" i="50"/>
  <c r="D1731" i="50" s="1"/>
  <c r="E1707" i="50"/>
  <c r="B1699" i="50"/>
  <c r="D1699" i="50" s="1"/>
  <c r="E1675" i="50"/>
  <c r="B1728" i="50"/>
  <c r="D1728" i="50" s="1"/>
  <c r="E1704" i="50"/>
  <c r="U1704" i="50" s="1"/>
  <c r="B1708" i="50"/>
  <c r="D1708" i="50" s="1"/>
  <c r="E1684" i="50"/>
  <c r="U1684" i="50" s="1"/>
  <c r="B1738" i="50"/>
  <c r="D1738" i="50" s="1"/>
  <c r="E1714" i="50"/>
  <c r="E1678" i="50"/>
  <c r="B1702" i="50"/>
  <c r="D1702" i="50" s="1"/>
  <c r="B1694" i="50"/>
  <c r="D1694" i="50" s="1"/>
  <c r="E1670" i="50"/>
  <c r="V1675" i="50" l="1"/>
  <c r="U1675" i="50"/>
  <c r="G1675" i="50"/>
  <c r="F1675" i="50"/>
  <c r="U1703" i="50"/>
  <c r="G1703" i="50"/>
  <c r="F1703" i="50"/>
  <c r="V1713" i="50"/>
  <c r="U1713" i="50"/>
  <c r="F1713" i="50"/>
  <c r="G1686" i="50"/>
  <c r="F1686" i="50"/>
  <c r="U1686" i="50"/>
  <c r="G1713" i="50"/>
  <c r="V1668" i="50"/>
  <c r="F1668" i="50"/>
  <c r="G1668" i="50"/>
  <c r="V1663" i="50"/>
  <c r="G1663" i="50"/>
  <c r="F1663" i="50"/>
  <c r="D1692" i="50"/>
  <c r="E1692" i="50"/>
  <c r="B1716" i="50"/>
  <c r="U1676" i="50"/>
  <c r="G1676" i="50"/>
  <c r="F1676" i="50"/>
  <c r="V1676" i="50"/>
  <c r="D1687" i="50"/>
  <c r="E1687" i="50"/>
  <c r="B1711" i="50"/>
  <c r="U1668" i="50"/>
  <c r="F1693" i="50"/>
  <c r="V1693" i="50"/>
  <c r="U1693" i="50"/>
  <c r="G1693" i="50"/>
  <c r="V1707" i="50"/>
  <c r="U1707" i="50"/>
  <c r="G1707" i="50"/>
  <c r="F1707" i="50"/>
  <c r="G1670" i="50"/>
  <c r="F1670" i="50"/>
  <c r="U1670" i="50"/>
  <c r="G1661" i="50"/>
  <c r="F1661" i="50"/>
  <c r="V1661" i="50"/>
  <c r="U1661" i="50"/>
  <c r="U1663" i="50"/>
  <c r="V1686" i="50"/>
  <c r="V1688" i="50"/>
  <c r="G1688" i="50"/>
  <c r="F1688" i="50"/>
  <c r="G1677" i="50"/>
  <c r="F1677" i="50"/>
  <c r="V1677" i="50"/>
  <c r="U1677" i="50"/>
  <c r="V1722" i="50"/>
  <c r="U1722" i="50"/>
  <c r="G1722" i="50"/>
  <c r="F1722" i="50"/>
  <c r="U1678" i="50"/>
  <c r="G1678" i="50"/>
  <c r="F1678" i="50"/>
  <c r="U1688" i="50"/>
  <c r="V1704" i="50"/>
  <c r="F1704" i="50"/>
  <c r="G1704" i="50"/>
  <c r="F1672" i="50"/>
  <c r="V1672" i="50"/>
  <c r="U1672" i="50"/>
  <c r="G1672" i="50"/>
  <c r="V1673" i="50"/>
  <c r="U1673" i="50"/>
  <c r="G1673" i="50"/>
  <c r="F1673" i="50"/>
  <c r="V1691" i="50"/>
  <c r="U1691" i="50"/>
  <c r="G1691" i="50"/>
  <c r="F1691" i="50"/>
  <c r="V1703" i="50"/>
  <c r="V1730" i="50"/>
  <c r="U1730" i="50"/>
  <c r="G1730" i="50"/>
  <c r="F1730" i="50"/>
  <c r="V1714" i="50"/>
  <c r="U1714" i="50"/>
  <c r="G1714" i="50"/>
  <c r="F1714" i="50"/>
  <c r="V1678" i="50"/>
  <c r="V1670" i="50"/>
  <c r="V1729" i="50"/>
  <c r="U1729" i="50"/>
  <c r="F1729" i="50"/>
  <c r="V1684" i="50"/>
  <c r="G1684" i="50"/>
  <c r="F1684" i="50"/>
  <c r="V1695" i="50"/>
  <c r="G1695" i="50"/>
  <c r="F1695" i="50"/>
  <c r="E1717" i="50"/>
  <c r="G1717" i="50" s="1"/>
  <c r="B1741" i="50"/>
  <c r="D1741" i="50" s="1"/>
  <c r="B1726" i="50"/>
  <c r="D1726" i="50" s="1"/>
  <c r="E1702" i="50"/>
  <c r="V1702" i="50" s="1"/>
  <c r="E1701" i="50"/>
  <c r="B1725" i="50"/>
  <c r="D1725" i="50" s="1"/>
  <c r="B1721" i="50"/>
  <c r="D1721" i="50" s="1"/>
  <c r="E1697" i="50"/>
  <c r="E1699" i="50"/>
  <c r="B1723" i="50"/>
  <c r="D1723" i="50" s="1"/>
  <c r="B1770" i="50"/>
  <c r="D1770" i="50" s="1"/>
  <c r="E1746" i="50"/>
  <c r="B1751" i="50"/>
  <c r="D1751" i="50" s="1"/>
  <c r="E1727" i="50"/>
  <c r="U1727" i="50" s="1"/>
  <c r="B1762" i="50"/>
  <c r="D1762" i="50" s="1"/>
  <c r="E1738" i="50"/>
  <c r="B1761" i="50"/>
  <c r="D1761" i="50" s="1"/>
  <c r="E1737" i="50"/>
  <c r="E1715" i="50"/>
  <c r="B1739" i="50"/>
  <c r="D1739" i="50" s="1"/>
  <c r="E1694" i="50"/>
  <c r="V1694" i="50" s="1"/>
  <c r="B1718" i="50"/>
  <c r="D1718" i="50" s="1"/>
  <c r="E1708" i="50"/>
  <c r="B1732" i="50"/>
  <c r="D1732" i="50" s="1"/>
  <c r="B1777" i="50"/>
  <c r="D1777" i="50" s="1"/>
  <c r="E1753" i="50"/>
  <c r="B1778" i="50"/>
  <c r="D1778" i="50" s="1"/>
  <c r="E1754" i="50"/>
  <c r="E1719" i="50"/>
  <c r="V1719" i="50" s="1"/>
  <c r="B1743" i="50"/>
  <c r="D1743" i="50" s="1"/>
  <c r="E1710" i="50"/>
  <c r="V1710" i="50" s="1"/>
  <c r="B1734" i="50"/>
  <c r="D1734" i="50" s="1"/>
  <c r="B1724" i="50"/>
  <c r="D1724" i="50" s="1"/>
  <c r="E1700" i="50"/>
  <c r="E1728" i="50"/>
  <c r="B1752" i="50"/>
  <c r="D1752" i="50" s="1"/>
  <c r="E1696" i="50"/>
  <c r="G1696" i="50" s="1"/>
  <c r="B1720" i="50"/>
  <c r="D1720" i="50" s="1"/>
  <c r="E1712" i="50"/>
  <c r="G1712" i="50" s="1"/>
  <c r="B1736" i="50"/>
  <c r="D1736" i="50" s="1"/>
  <c r="E1685" i="50"/>
  <c r="G1685" i="50" s="1"/>
  <c r="B1709" i="50"/>
  <c r="D1709" i="50" s="1"/>
  <c r="E1731" i="50"/>
  <c r="U1731" i="50" s="1"/>
  <c r="B1755" i="50"/>
  <c r="D1755" i="50" s="1"/>
  <c r="V1753" i="50" l="1"/>
  <c r="U1753" i="50"/>
  <c r="G1753" i="50"/>
  <c r="F1753" i="50"/>
  <c r="V1699" i="50"/>
  <c r="F1699" i="50"/>
  <c r="G1699" i="50"/>
  <c r="U1697" i="50"/>
  <c r="F1697" i="50"/>
  <c r="V1697" i="50"/>
  <c r="F1708" i="50"/>
  <c r="V1708" i="50"/>
  <c r="U1708" i="50"/>
  <c r="G1708" i="50"/>
  <c r="U1694" i="50"/>
  <c r="G1694" i="50"/>
  <c r="F1694" i="50"/>
  <c r="V1701" i="50"/>
  <c r="U1701" i="50"/>
  <c r="F1701" i="50"/>
  <c r="G1701" i="50"/>
  <c r="U1699" i="50"/>
  <c r="D1716" i="50"/>
  <c r="B1740" i="50"/>
  <c r="E1716" i="50"/>
  <c r="V1692" i="50"/>
  <c r="U1692" i="50"/>
  <c r="F1692" i="50"/>
  <c r="G1692" i="50"/>
  <c r="V1696" i="50"/>
  <c r="U1696" i="50"/>
  <c r="F1696" i="50"/>
  <c r="V1700" i="50"/>
  <c r="G1700" i="50"/>
  <c r="F1700" i="50"/>
  <c r="V1737" i="50"/>
  <c r="U1737" i="50"/>
  <c r="G1737" i="50"/>
  <c r="F1737" i="50"/>
  <c r="V1717" i="50"/>
  <c r="U1717" i="50"/>
  <c r="F1717" i="50"/>
  <c r="V1715" i="50"/>
  <c r="G1715" i="50"/>
  <c r="F1715" i="50"/>
  <c r="V1738" i="50"/>
  <c r="U1738" i="50"/>
  <c r="G1738" i="50"/>
  <c r="F1738" i="50"/>
  <c r="U1715" i="50"/>
  <c r="V1685" i="50"/>
  <c r="U1685" i="50"/>
  <c r="F1685" i="50"/>
  <c r="V1712" i="50"/>
  <c r="U1712" i="50"/>
  <c r="F1712" i="50"/>
  <c r="V1728" i="50"/>
  <c r="U1728" i="50"/>
  <c r="F1728" i="50"/>
  <c r="U1710" i="50"/>
  <c r="G1710" i="50"/>
  <c r="F1710" i="50"/>
  <c r="G1697" i="50"/>
  <c r="U1700" i="50"/>
  <c r="V1727" i="50"/>
  <c r="G1727" i="50"/>
  <c r="F1727" i="50"/>
  <c r="G1728" i="50"/>
  <c r="G1702" i="50"/>
  <c r="F1702" i="50"/>
  <c r="U1702" i="50"/>
  <c r="U1719" i="50"/>
  <c r="G1719" i="50"/>
  <c r="F1719" i="50"/>
  <c r="V1746" i="50"/>
  <c r="U1746" i="50"/>
  <c r="G1746" i="50"/>
  <c r="F1746" i="50"/>
  <c r="D1711" i="50"/>
  <c r="B1735" i="50"/>
  <c r="E1711" i="50"/>
  <c r="V1754" i="50"/>
  <c r="U1754" i="50"/>
  <c r="G1754" i="50"/>
  <c r="F1754" i="50"/>
  <c r="V1731" i="50"/>
  <c r="G1731" i="50"/>
  <c r="F1731" i="50"/>
  <c r="V1687" i="50"/>
  <c r="U1687" i="50"/>
  <c r="G1687" i="50"/>
  <c r="F1687" i="50"/>
  <c r="B1779" i="50"/>
  <c r="D1779" i="50" s="1"/>
  <c r="E1755" i="50"/>
  <c r="B1745" i="50"/>
  <c r="D1745" i="50" s="1"/>
  <c r="E1721" i="50"/>
  <c r="E1724" i="50"/>
  <c r="B1748" i="50"/>
  <c r="D1748" i="50" s="1"/>
  <c r="B1767" i="50"/>
  <c r="D1767" i="50" s="1"/>
  <c r="E1743" i="50"/>
  <c r="B1749" i="50"/>
  <c r="D1749" i="50" s="1"/>
  <c r="E1725" i="50"/>
  <c r="B1794" i="50"/>
  <c r="D1794" i="50" s="1"/>
  <c r="E1770" i="50"/>
  <c r="E1751" i="50"/>
  <c r="V1751" i="50" s="1"/>
  <c r="B1775" i="50"/>
  <c r="D1775" i="50" s="1"/>
  <c r="B1747" i="50"/>
  <c r="D1747" i="50" s="1"/>
  <c r="E1723" i="50"/>
  <c r="B1763" i="50"/>
  <c r="D1763" i="50" s="1"/>
  <c r="E1739" i="50"/>
  <c r="B1744" i="50"/>
  <c r="D1744" i="50" s="1"/>
  <c r="E1720" i="50"/>
  <c r="U1720" i="50" s="1"/>
  <c r="B1802" i="50"/>
  <c r="D1802" i="50" s="1"/>
  <c r="E1778" i="50"/>
  <c r="E1726" i="50"/>
  <c r="B1750" i="50"/>
  <c r="D1750" i="50" s="1"/>
  <c r="B1786" i="50"/>
  <c r="D1786" i="50" s="1"/>
  <c r="E1762" i="50"/>
  <c r="B1765" i="50"/>
  <c r="D1765" i="50" s="1"/>
  <c r="E1741" i="50"/>
  <c r="B1733" i="50"/>
  <c r="D1733" i="50" s="1"/>
  <c r="E1709" i="50"/>
  <c r="B1776" i="50"/>
  <c r="D1776" i="50" s="1"/>
  <c r="E1752" i="50"/>
  <c r="B1801" i="50"/>
  <c r="D1801" i="50" s="1"/>
  <c r="E1777" i="50"/>
  <c r="G1777" i="50" s="1"/>
  <c r="B1785" i="50"/>
  <c r="D1785" i="50" s="1"/>
  <c r="E1761" i="50"/>
  <c r="G1761" i="50" s="1"/>
  <c r="B1742" i="50"/>
  <c r="D1742" i="50" s="1"/>
  <c r="E1718" i="50"/>
  <c r="B1758" i="50"/>
  <c r="D1758" i="50" s="1"/>
  <c r="E1734" i="50"/>
  <c r="B1756" i="50"/>
  <c r="D1756" i="50" s="1"/>
  <c r="E1732" i="50"/>
  <c r="U1732" i="50" s="1"/>
  <c r="B1760" i="50"/>
  <c r="D1760" i="50" s="1"/>
  <c r="E1736" i="50"/>
  <c r="U1736" i="50" s="1"/>
  <c r="U1716" i="50" l="1"/>
  <c r="U1711" i="50"/>
  <c r="U1726" i="50"/>
  <c r="G1726" i="50"/>
  <c r="F1726" i="50"/>
  <c r="V1726" i="50"/>
  <c r="V1778" i="50"/>
  <c r="U1778" i="50"/>
  <c r="G1778" i="50"/>
  <c r="F1778" i="50"/>
  <c r="V1724" i="50"/>
  <c r="U1724" i="50"/>
  <c r="G1724" i="50"/>
  <c r="F1724" i="50"/>
  <c r="V1711" i="50"/>
  <c r="G1711" i="50"/>
  <c r="F1711" i="50"/>
  <c r="V1716" i="50"/>
  <c r="G1716" i="50"/>
  <c r="F1716" i="50"/>
  <c r="G1718" i="50"/>
  <c r="F1718" i="50"/>
  <c r="U1718" i="50"/>
  <c r="V1777" i="50"/>
  <c r="U1777" i="50"/>
  <c r="F1777" i="50"/>
  <c r="V1720" i="50"/>
  <c r="F1720" i="50"/>
  <c r="G1720" i="50"/>
  <c r="V1721" i="50"/>
  <c r="U1721" i="50"/>
  <c r="G1721" i="50"/>
  <c r="F1721" i="50"/>
  <c r="D1735" i="50"/>
  <c r="E1735" i="50"/>
  <c r="B1759" i="50"/>
  <c r="D1740" i="50"/>
  <c r="E1740" i="50"/>
  <c r="B1764" i="50"/>
  <c r="U1739" i="50"/>
  <c r="G1739" i="50"/>
  <c r="F1739" i="50"/>
  <c r="V1739" i="50"/>
  <c r="G1755" i="50"/>
  <c r="F1755" i="50"/>
  <c r="U1755" i="50"/>
  <c r="V1755" i="50"/>
  <c r="V1752" i="50"/>
  <c r="F1752" i="50"/>
  <c r="G1752" i="50"/>
  <c r="U1752" i="50"/>
  <c r="V1761" i="50"/>
  <c r="U1761" i="50"/>
  <c r="F1761" i="50"/>
  <c r="V1709" i="50"/>
  <c r="U1709" i="50"/>
  <c r="G1709" i="50"/>
  <c r="F1709" i="50"/>
  <c r="V1723" i="50"/>
  <c r="U1723" i="50"/>
  <c r="G1723" i="50"/>
  <c r="F1723" i="50"/>
  <c r="V1743" i="50"/>
  <c r="G1743" i="50"/>
  <c r="F1743" i="50"/>
  <c r="V1736" i="50"/>
  <c r="F1736" i="50"/>
  <c r="G1736" i="50"/>
  <c r="V1732" i="50"/>
  <c r="G1732" i="50"/>
  <c r="F1732" i="50"/>
  <c r="V1741" i="50"/>
  <c r="U1741" i="50"/>
  <c r="G1741" i="50"/>
  <c r="F1741" i="50"/>
  <c r="U1751" i="50"/>
  <c r="F1751" i="50"/>
  <c r="G1751" i="50"/>
  <c r="G1734" i="50"/>
  <c r="F1734" i="50"/>
  <c r="U1734" i="50"/>
  <c r="V1762" i="50"/>
  <c r="U1762" i="50"/>
  <c r="G1762" i="50"/>
  <c r="F1762" i="50"/>
  <c r="V1770" i="50"/>
  <c r="U1770" i="50"/>
  <c r="G1770" i="50"/>
  <c r="F1770" i="50"/>
  <c r="V1734" i="50"/>
  <c r="V1725" i="50"/>
  <c r="U1725" i="50"/>
  <c r="G1725" i="50"/>
  <c r="F1725" i="50"/>
  <c r="U1743" i="50"/>
  <c r="V1718" i="50"/>
  <c r="B1826" i="50"/>
  <c r="D1826" i="50" s="1"/>
  <c r="E1802" i="50"/>
  <c r="E1758" i="50"/>
  <c r="V1758" i="50" s="1"/>
  <c r="B1782" i="50"/>
  <c r="D1782" i="50" s="1"/>
  <c r="E1733" i="50"/>
  <c r="G1733" i="50" s="1"/>
  <c r="B1757" i="50"/>
  <c r="D1757" i="50" s="1"/>
  <c r="E1763" i="50"/>
  <c r="U1763" i="50" s="1"/>
  <c r="B1787" i="50"/>
  <c r="D1787" i="50" s="1"/>
  <c r="B1810" i="50"/>
  <c r="D1810" i="50" s="1"/>
  <c r="E1786" i="50"/>
  <c r="E1744" i="50"/>
  <c r="B1768" i="50"/>
  <c r="D1768" i="50" s="1"/>
  <c r="B1809" i="50"/>
  <c r="D1809" i="50" s="1"/>
  <c r="E1785" i="50"/>
  <c r="E1767" i="50"/>
  <c r="B1791" i="50"/>
  <c r="D1791" i="50" s="1"/>
  <c r="B1772" i="50"/>
  <c r="D1772" i="50" s="1"/>
  <c r="E1748" i="50"/>
  <c r="U1748" i="50" s="1"/>
  <c r="E1779" i="50"/>
  <c r="U1779" i="50" s="1"/>
  <c r="B1803" i="50"/>
  <c r="D1803" i="50" s="1"/>
  <c r="B1825" i="50"/>
  <c r="D1825" i="50" s="1"/>
  <c r="E1801" i="50"/>
  <c r="B1774" i="50"/>
  <c r="D1774" i="50" s="1"/>
  <c r="E1750" i="50"/>
  <c r="B1818" i="50"/>
  <c r="D1818" i="50" s="1"/>
  <c r="E1794" i="50"/>
  <c r="E1765" i="50"/>
  <c r="G1765" i="50" s="1"/>
  <c r="B1789" i="50"/>
  <c r="D1789" i="50" s="1"/>
  <c r="E1776" i="50"/>
  <c r="B1800" i="50"/>
  <c r="D1800" i="50" s="1"/>
  <c r="E1756" i="50"/>
  <c r="B1780" i="50"/>
  <c r="D1780" i="50" s="1"/>
  <c r="E1742" i="50"/>
  <c r="V1742" i="50" s="1"/>
  <c r="B1766" i="50"/>
  <c r="D1766" i="50" s="1"/>
  <c r="E1747" i="50"/>
  <c r="U1747" i="50" s="1"/>
  <c r="B1771" i="50"/>
  <c r="D1771" i="50" s="1"/>
  <c r="E1760" i="50"/>
  <c r="V1760" i="50" s="1"/>
  <c r="B1784" i="50"/>
  <c r="D1784" i="50" s="1"/>
  <c r="B1799" i="50"/>
  <c r="D1799" i="50" s="1"/>
  <c r="E1775" i="50"/>
  <c r="E1749" i="50"/>
  <c r="G1749" i="50" s="1"/>
  <c r="B1773" i="50"/>
  <c r="D1773" i="50" s="1"/>
  <c r="B1769" i="50"/>
  <c r="D1769" i="50" s="1"/>
  <c r="E1745" i="50"/>
  <c r="G1745" i="50" s="1"/>
  <c r="U1776" i="50" l="1"/>
  <c r="G1776" i="50"/>
  <c r="F1776" i="50"/>
  <c r="V1802" i="50"/>
  <c r="U1802" i="50"/>
  <c r="G1802" i="50"/>
  <c r="F1802" i="50"/>
  <c r="V1794" i="50"/>
  <c r="U1794" i="50"/>
  <c r="G1794" i="50"/>
  <c r="F1794" i="50"/>
  <c r="V1785" i="50"/>
  <c r="U1785" i="50"/>
  <c r="G1785" i="50"/>
  <c r="F1785" i="50"/>
  <c r="F1756" i="50"/>
  <c r="V1756" i="50"/>
  <c r="G1756" i="50"/>
  <c r="U1756" i="50"/>
  <c r="U1775" i="50"/>
  <c r="G1775" i="50"/>
  <c r="F1775" i="50"/>
  <c r="V1775" i="50"/>
  <c r="G1750" i="50"/>
  <c r="F1750" i="50"/>
  <c r="U1750" i="50"/>
  <c r="G1767" i="50"/>
  <c r="U1767" i="50"/>
  <c r="F1767" i="50"/>
  <c r="U1744" i="50"/>
  <c r="V1744" i="50"/>
  <c r="F1744" i="50"/>
  <c r="D1764" i="50"/>
  <c r="E1764" i="50"/>
  <c r="B1788" i="50"/>
  <c r="U1749" i="50"/>
  <c r="V1749" i="50"/>
  <c r="F1749" i="50"/>
  <c r="V1801" i="50"/>
  <c r="U1801" i="50"/>
  <c r="G1801" i="50"/>
  <c r="F1801" i="50"/>
  <c r="V1786" i="50"/>
  <c r="U1786" i="50"/>
  <c r="G1786" i="50"/>
  <c r="F1786" i="50"/>
  <c r="V1776" i="50"/>
  <c r="V1740" i="50"/>
  <c r="U1740" i="50"/>
  <c r="F1740" i="50"/>
  <c r="G1740" i="50"/>
  <c r="U1760" i="50"/>
  <c r="F1760" i="50"/>
  <c r="G1760" i="50"/>
  <c r="G1744" i="50"/>
  <c r="U1758" i="50"/>
  <c r="G1758" i="50"/>
  <c r="F1758" i="50"/>
  <c r="V1765" i="50"/>
  <c r="U1765" i="50"/>
  <c r="F1765" i="50"/>
  <c r="D1759" i="50"/>
  <c r="E1759" i="50"/>
  <c r="B1783" i="50"/>
  <c r="V1767" i="50"/>
  <c r="V1779" i="50"/>
  <c r="F1779" i="50"/>
  <c r="G1779" i="50"/>
  <c r="V1763" i="50"/>
  <c r="F1763" i="50"/>
  <c r="G1763" i="50"/>
  <c r="U1735" i="50"/>
  <c r="F1735" i="50"/>
  <c r="G1735" i="50"/>
  <c r="V1745" i="50"/>
  <c r="U1745" i="50"/>
  <c r="F1745" i="50"/>
  <c r="V1747" i="50"/>
  <c r="F1747" i="50"/>
  <c r="G1747" i="50"/>
  <c r="V1748" i="50"/>
  <c r="G1748" i="50"/>
  <c r="F1748" i="50"/>
  <c r="V1735" i="50"/>
  <c r="U1742" i="50"/>
  <c r="G1742" i="50"/>
  <c r="F1742" i="50"/>
  <c r="V1733" i="50"/>
  <c r="U1733" i="50"/>
  <c r="F1733" i="50"/>
  <c r="V1750" i="50"/>
  <c r="B1842" i="50"/>
  <c r="D1842" i="50" s="1"/>
  <c r="E1818" i="50"/>
  <c r="E1772" i="50"/>
  <c r="B1796" i="50"/>
  <c r="D1796" i="50" s="1"/>
  <c r="B1804" i="50"/>
  <c r="D1804" i="50" s="1"/>
  <c r="E1780" i="50"/>
  <c r="B1806" i="50"/>
  <c r="D1806" i="50" s="1"/>
  <c r="E1782" i="50"/>
  <c r="B1795" i="50"/>
  <c r="D1795" i="50" s="1"/>
  <c r="E1771" i="50"/>
  <c r="E1774" i="50"/>
  <c r="B1798" i="50"/>
  <c r="D1798" i="50" s="1"/>
  <c r="B1815" i="50"/>
  <c r="D1815" i="50" s="1"/>
  <c r="E1791" i="50"/>
  <c r="B1833" i="50"/>
  <c r="D1833" i="50" s="1"/>
  <c r="E1809" i="50"/>
  <c r="G1809" i="50" s="1"/>
  <c r="B1792" i="50"/>
  <c r="D1792" i="50" s="1"/>
  <c r="E1768" i="50"/>
  <c r="U1768" i="50" s="1"/>
  <c r="E1799" i="50"/>
  <c r="V1799" i="50" s="1"/>
  <c r="B1823" i="50"/>
  <c r="D1823" i="50" s="1"/>
  <c r="B1824" i="50"/>
  <c r="D1824" i="50" s="1"/>
  <c r="E1800" i="50"/>
  <c r="B1849" i="50"/>
  <c r="D1849" i="50" s="1"/>
  <c r="E1825" i="50"/>
  <c r="G1825" i="50" s="1"/>
  <c r="B1834" i="50"/>
  <c r="D1834" i="50" s="1"/>
  <c r="E1810" i="50"/>
  <c r="B1850" i="50"/>
  <c r="D1850" i="50" s="1"/>
  <c r="E1826" i="50"/>
  <c r="B1797" i="50"/>
  <c r="D1797" i="50" s="1"/>
  <c r="E1773" i="50"/>
  <c r="B1813" i="50"/>
  <c r="D1813" i="50" s="1"/>
  <c r="E1789" i="50"/>
  <c r="B1827" i="50"/>
  <c r="D1827" i="50" s="1"/>
  <c r="E1803" i="50"/>
  <c r="B1790" i="50"/>
  <c r="D1790" i="50" s="1"/>
  <c r="E1766" i="50"/>
  <c r="V1766" i="50" s="1"/>
  <c r="B1793" i="50"/>
  <c r="D1793" i="50" s="1"/>
  <c r="E1769" i="50"/>
  <c r="B1811" i="50"/>
  <c r="D1811" i="50" s="1"/>
  <c r="E1787" i="50"/>
  <c r="B1808" i="50"/>
  <c r="D1808" i="50" s="1"/>
  <c r="E1784" i="50"/>
  <c r="U1784" i="50" s="1"/>
  <c r="B1781" i="50"/>
  <c r="D1781" i="50" s="1"/>
  <c r="E1757" i="50"/>
  <c r="F1771" i="50" l="1"/>
  <c r="V1771" i="50"/>
  <c r="U1771" i="50"/>
  <c r="G1771" i="50"/>
  <c r="U1774" i="50"/>
  <c r="G1774" i="50"/>
  <c r="F1774" i="50"/>
  <c r="G1782" i="50"/>
  <c r="F1782" i="50"/>
  <c r="U1782" i="50"/>
  <c r="V1780" i="50"/>
  <c r="F1780" i="50"/>
  <c r="G1780" i="50"/>
  <c r="V1769" i="50"/>
  <c r="U1769" i="50"/>
  <c r="G1769" i="50"/>
  <c r="F1769" i="50"/>
  <c r="V1803" i="50"/>
  <c r="U1803" i="50"/>
  <c r="G1803" i="50"/>
  <c r="F1803" i="50"/>
  <c r="V1772" i="50"/>
  <c r="F1772" i="50"/>
  <c r="G1772" i="50"/>
  <c r="U1772" i="50"/>
  <c r="V1800" i="50"/>
  <c r="G1800" i="50"/>
  <c r="F1800" i="50"/>
  <c r="V1768" i="50"/>
  <c r="G1768" i="50"/>
  <c r="F1768" i="50"/>
  <c r="V1789" i="50"/>
  <c r="U1789" i="50"/>
  <c r="G1789" i="50"/>
  <c r="F1789" i="50"/>
  <c r="G1818" i="50"/>
  <c r="F1818" i="50"/>
  <c r="V1818" i="50"/>
  <c r="U1818" i="50"/>
  <c r="D1783" i="50"/>
  <c r="B1807" i="50"/>
  <c r="E1783" i="50"/>
  <c r="D1788" i="50"/>
  <c r="B1812" i="50"/>
  <c r="E1788" i="50"/>
  <c r="G1766" i="50"/>
  <c r="F1766" i="50"/>
  <c r="U1766" i="50"/>
  <c r="V1759" i="50"/>
  <c r="G1759" i="50"/>
  <c r="F1759" i="50"/>
  <c r="V1764" i="50"/>
  <c r="F1764" i="50"/>
  <c r="G1764" i="50"/>
  <c r="V1825" i="50"/>
  <c r="U1825" i="50"/>
  <c r="F1825" i="50"/>
  <c r="V1757" i="50"/>
  <c r="U1757" i="50"/>
  <c r="G1757" i="50"/>
  <c r="F1757" i="50"/>
  <c r="V1809" i="50"/>
  <c r="U1809" i="50"/>
  <c r="F1809" i="50"/>
  <c r="U1759" i="50"/>
  <c r="U1764" i="50"/>
  <c r="V1782" i="50"/>
  <c r="F1799" i="50"/>
  <c r="G1799" i="50"/>
  <c r="U1799" i="50"/>
  <c r="V1773" i="50"/>
  <c r="U1773" i="50"/>
  <c r="G1773" i="50"/>
  <c r="F1773" i="50"/>
  <c r="V1784" i="50"/>
  <c r="G1784" i="50"/>
  <c r="F1784" i="50"/>
  <c r="U1826" i="50"/>
  <c r="G1826" i="50"/>
  <c r="F1826" i="50"/>
  <c r="V1826" i="50"/>
  <c r="G1791" i="50"/>
  <c r="F1791" i="50"/>
  <c r="V1791" i="50"/>
  <c r="U1791" i="50"/>
  <c r="U1780" i="50"/>
  <c r="V1787" i="50"/>
  <c r="U1787" i="50"/>
  <c r="G1787" i="50"/>
  <c r="F1787" i="50"/>
  <c r="V1810" i="50"/>
  <c r="U1810" i="50"/>
  <c r="G1810" i="50"/>
  <c r="F1810" i="50"/>
  <c r="V1774" i="50"/>
  <c r="U1800" i="50"/>
  <c r="E1790" i="50"/>
  <c r="V1790" i="50" s="1"/>
  <c r="B1814" i="50"/>
  <c r="D1814" i="50" s="1"/>
  <c r="E1804" i="50"/>
  <c r="B1828" i="50"/>
  <c r="D1828" i="50" s="1"/>
  <c r="B1857" i="50"/>
  <c r="D1857" i="50" s="1"/>
  <c r="E1833" i="50"/>
  <c r="B1873" i="50"/>
  <c r="D1873" i="50" s="1"/>
  <c r="E1849" i="50"/>
  <c r="B1858" i="50"/>
  <c r="D1858" i="50" s="1"/>
  <c r="E1834" i="50"/>
  <c r="E1815" i="50"/>
  <c r="B1839" i="50"/>
  <c r="D1839" i="50" s="1"/>
  <c r="B1822" i="50"/>
  <c r="D1822" i="50" s="1"/>
  <c r="E1798" i="50"/>
  <c r="E1827" i="50"/>
  <c r="U1827" i="50" s="1"/>
  <c r="B1851" i="50"/>
  <c r="D1851" i="50" s="1"/>
  <c r="E1813" i="50"/>
  <c r="G1813" i="50" s="1"/>
  <c r="B1837" i="50"/>
  <c r="D1837" i="50" s="1"/>
  <c r="E1795" i="50"/>
  <c r="U1795" i="50" s="1"/>
  <c r="B1819" i="50"/>
  <c r="D1819" i="50" s="1"/>
  <c r="E1792" i="50"/>
  <c r="B1816" i="50"/>
  <c r="D1816" i="50" s="1"/>
  <c r="E1781" i="50"/>
  <c r="G1781" i="50" s="1"/>
  <c r="B1805" i="50"/>
  <c r="D1805" i="50" s="1"/>
  <c r="E1797" i="50"/>
  <c r="B1821" i="50"/>
  <c r="D1821" i="50" s="1"/>
  <c r="E1806" i="50"/>
  <c r="V1806" i="50" s="1"/>
  <c r="B1830" i="50"/>
  <c r="D1830" i="50" s="1"/>
  <c r="B1820" i="50"/>
  <c r="D1820" i="50" s="1"/>
  <c r="E1796" i="50"/>
  <c r="U1796" i="50" s="1"/>
  <c r="B1847" i="50"/>
  <c r="D1847" i="50" s="1"/>
  <c r="E1823" i="50"/>
  <c r="E1811" i="50"/>
  <c r="B1835" i="50"/>
  <c r="D1835" i="50" s="1"/>
  <c r="E1808" i="50"/>
  <c r="B1832" i="50"/>
  <c r="D1832" i="50" s="1"/>
  <c r="B1817" i="50"/>
  <c r="D1817" i="50" s="1"/>
  <c r="E1793" i="50"/>
  <c r="G1793" i="50" s="1"/>
  <c r="B1874" i="50"/>
  <c r="D1874" i="50" s="1"/>
  <c r="E1850" i="50"/>
  <c r="E1824" i="50"/>
  <c r="B1848" i="50"/>
  <c r="D1848" i="50" s="1"/>
  <c r="B1866" i="50"/>
  <c r="D1866" i="50" s="1"/>
  <c r="E1842" i="50"/>
  <c r="U1842" i="50" s="1"/>
  <c r="V1783" i="50" l="1"/>
  <c r="U1824" i="50"/>
  <c r="G1824" i="50"/>
  <c r="F1824" i="50"/>
  <c r="G1850" i="50"/>
  <c r="F1850" i="50"/>
  <c r="U1850" i="50"/>
  <c r="U1781" i="50"/>
  <c r="V1781" i="50"/>
  <c r="F1781" i="50"/>
  <c r="U1815" i="50"/>
  <c r="F1815" i="50"/>
  <c r="G1815" i="50"/>
  <c r="V1797" i="50"/>
  <c r="U1797" i="50"/>
  <c r="F1797" i="50"/>
  <c r="V1834" i="50"/>
  <c r="U1834" i="50"/>
  <c r="G1834" i="50"/>
  <c r="F1834" i="50"/>
  <c r="U1792" i="50"/>
  <c r="G1792" i="50"/>
  <c r="F1792" i="50"/>
  <c r="V1792" i="50"/>
  <c r="V1824" i="50"/>
  <c r="V1849" i="50"/>
  <c r="U1849" i="50"/>
  <c r="F1849" i="50"/>
  <c r="V1795" i="50"/>
  <c r="G1795" i="50"/>
  <c r="F1795" i="50"/>
  <c r="V1833" i="50"/>
  <c r="U1833" i="50"/>
  <c r="G1833" i="50"/>
  <c r="F1833" i="50"/>
  <c r="U1808" i="50"/>
  <c r="G1808" i="50"/>
  <c r="F1808" i="50"/>
  <c r="V1811" i="50"/>
  <c r="F1811" i="50"/>
  <c r="G1811" i="50"/>
  <c r="V1815" i="50"/>
  <c r="D1807" i="50"/>
  <c r="B1831" i="50"/>
  <c r="E1807" i="50"/>
  <c r="V1793" i="50"/>
  <c r="U1793" i="50"/>
  <c r="F1793" i="50"/>
  <c r="V1808" i="50"/>
  <c r="G1797" i="50"/>
  <c r="F1804" i="50"/>
  <c r="G1804" i="50"/>
  <c r="U1804" i="50"/>
  <c r="G1849" i="50"/>
  <c r="V1823" i="50"/>
  <c r="U1823" i="50"/>
  <c r="G1823" i="50"/>
  <c r="F1823" i="50"/>
  <c r="V1796" i="50"/>
  <c r="F1796" i="50"/>
  <c r="G1796" i="50"/>
  <c r="V1850" i="50"/>
  <c r="U1790" i="50"/>
  <c r="G1790" i="50"/>
  <c r="F1790" i="50"/>
  <c r="F1788" i="50"/>
  <c r="V1788" i="50"/>
  <c r="U1788" i="50"/>
  <c r="G1788" i="50"/>
  <c r="V1813" i="50"/>
  <c r="U1813" i="50"/>
  <c r="F1813" i="50"/>
  <c r="V1842" i="50"/>
  <c r="F1842" i="50"/>
  <c r="G1842" i="50"/>
  <c r="V1804" i="50"/>
  <c r="D1812" i="50"/>
  <c r="B1836" i="50"/>
  <c r="E1812" i="50"/>
  <c r="V1827" i="50"/>
  <c r="F1827" i="50"/>
  <c r="G1827" i="50"/>
  <c r="U1806" i="50"/>
  <c r="G1806" i="50"/>
  <c r="F1806" i="50"/>
  <c r="G1798" i="50"/>
  <c r="F1798" i="50"/>
  <c r="U1798" i="50"/>
  <c r="V1798" i="50"/>
  <c r="F1783" i="50"/>
  <c r="G1783" i="50"/>
  <c r="U1783" i="50"/>
  <c r="U1811" i="50"/>
  <c r="B1875" i="50"/>
  <c r="D1875" i="50" s="1"/>
  <c r="E1851" i="50"/>
  <c r="V1851" i="50" s="1"/>
  <c r="B1840" i="50"/>
  <c r="D1840" i="50" s="1"/>
  <c r="E1816" i="50"/>
  <c r="U1816" i="50" s="1"/>
  <c r="E1847" i="50"/>
  <c r="V1847" i="50" s="1"/>
  <c r="B1871" i="50"/>
  <c r="D1871" i="50" s="1"/>
  <c r="B1852" i="50"/>
  <c r="D1852" i="50" s="1"/>
  <c r="E1828" i="50"/>
  <c r="U1828" i="50" s="1"/>
  <c r="E1820" i="50"/>
  <c r="V1820" i="50" s="1"/>
  <c r="B1844" i="50"/>
  <c r="D1844" i="50" s="1"/>
  <c r="B1898" i="50"/>
  <c r="D1898" i="50" s="1"/>
  <c r="E1874" i="50"/>
  <c r="V1874" i="50" s="1"/>
  <c r="B1856" i="50"/>
  <c r="D1856" i="50" s="1"/>
  <c r="E1832" i="50"/>
  <c r="B1854" i="50"/>
  <c r="D1854" i="50" s="1"/>
  <c r="E1830" i="50"/>
  <c r="B1843" i="50"/>
  <c r="D1843" i="50" s="1"/>
  <c r="E1819" i="50"/>
  <c r="B1881" i="50"/>
  <c r="D1881" i="50" s="1"/>
  <c r="E1857" i="50"/>
  <c r="U1857" i="50" s="1"/>
  <c r="E1873" i="50"/>
  <c r="B1897" i="50"/>
  <c r="D1897" i="50" s="1"/>
  <c r="B1863" i="50"/>
  <c r="D1863" i="50" s="1"/>
  <c r="E1839" i="50"/>
  <c r="V1839" i="50" s="1"/>
  <c r="B1872" i="50"/>
  <c r="D1872" i="50" s="1"/>
  <c r="E1848" i="50"/>
  <c r="B1841" i="50"/>
  <c r="D1841" i="50" s="1"/>
  <c r="E1817" i="50"/>
  <c r="B1859" i="50"/>
  <c r="D1859" i="50" s="1"/>
  <c r="E1835" i="50"/>
  <c r="B1845" i="50"/>
  <c r="D1845" i="50" s="1"/>
  <c r="E1821" i="50"/>
  <c r="E1822" i="50"/>
  <c r="V1822" i="50" s="1"/>
  <c r="B1846" i="50"/>
  <c r="D1846" i="50" s="1"/>
  <c r="B1838" i="50"/>
  <c r="D1838" i="50" s="1"/>
  <c r="E1814" i="50"/>
  <c r="V1814" i="50" s="1"/>
  <c r="E1866" i="50"/>
  <c r="B1890" i="50"/>
  <c r="D1890" i="50" s="1"/>
  <c r="B1829" i="50"/>
  <c r="D1829" i="50" s="1"/>
  <c r="E1805" i="50"/>
  <c r="B1861" i="50"/>
  <c r="D1861" i="50" s="1"/>
  <c r="E1837" i="50"/>
  <c r="V1837" i="50" s="1"/>
  <c r="B1882" i="50"/>
  <c r="D1882" i="50" s="1"/>
  <c r="E1858" i="50"/>
  <c r="U1858" i="50" s="1"/>
  <c r="V1819" i="50" l="1"/>
  <c r="U1819" i="50"/>
  <c r="G1819" i="50"/>
  <c r="F1819" i="50"/>
  <c r="D1831" i="50"/>
  <c r="E1831" i="50"/>
  <c r="B1855" i="50"/>
  <c r="G1830" i="50"/>
  <c r="F1830" i="50"/>
  <c r="U1830" i="50"/>
  <c r="V1812" i="50"/>
  <c r="F1812" i="50"/>
  <c r="G1812" i="50"/>
  <c r="V1835" i="50"/>
  <c r="U1835" i="50"/>
  <c r="G1835" i="50"/>
  <c r="F1835" i="50"/>
  <c r="V1832" i="50"/>
  <c r="F1832" i="50"/>
  <c r="G1832" i="50"/>
  <c r="D1836" i="50"/>
  <c r="E1836" i="50"/>
  <c r="B1860" i="50"/>
  <c r="U1832" i="50"/>
  <c r="G1822" i="50"/>
  <c r="U1822" i="50"/>
  <c r="F1822" i="50"/>
  <c r="U1812" i="50"/>
  <c r="U1874" i="50"/>
  <c r="F1874" i="50"/>
  <c r="G1874" i="50"/>
  <c r="V1805" i="50"/>
  <c r="U1805" i="50"/>
  <c r="G1805" i="50"/>
  <c r="F1805" i="50"/>
  <c r="F1848" i="50"/>
  <c r="V1848" i="50"/>
  <c r="U1848" i="50"/>
  <c r="V1830" i="50"/>
  <c r="F1820" i="50"/>
  <c r="U1820" i="50"/>
  <c r="G1820" i="50"/>
  <c r="V1821" i="50"/>
  <c r="U1821" i="50"/>
  <c r="G1821" i="50"/>
  <c r="F1821" i="50"/>
  <c r="U1839" i="50"/>
  <c r="G1839" i="50"/>
  <c r="F1839" i="50"/>
  <c r="V1828" i="50"/>
  <c r="G1828" i="50"/>
  <c r="F1828" i="50"/>
  <c r="V1858" i="50"/>
  <c r="G1858" i="50"/>
  <c r="F1858" i="50"/>
  <c r="G1866" i="50"/>
  <c r="F1866" i="50"/>
  <c r="V1866" i="50"/>
  <c r="U1866" i="50"/>
  <c r="F1851" i="50"/>
  <c r="U1851" i="50"/>
  <c r="G1851" i="50"/>
  <c r="V1817" i="50"/>
  <c r="U1817" i="50"/>
  <c r="G1817" i="50"/>
  <c r="F1817" i="50"/>
  <c r="G1814" i="50"/>
  <c r="F1814" i="50"/>
  <c r="U1814" i="50"/>
  <c r="G1848" i="50"/>
  <c r="V1873" i="50"/>
  <c r="U1873" i="50"/>
  <c r="G1873" i="50"/>
  <c r="F1873" i="50"/>
  <c r="U1847" i="50"/>
  <c r="G1847" i="50"/>
  <c r="F1847" i="50"/>
  <c r="U1837" i="50"/>
  <c r="F1837" i="50"/>
  <c r="G1837" i="50"/>
  <c r="V1857" i="50"/>
  <c r="G1857" i="50"/>
  <c r="F1857" i="50"/>
  <c r="V1816" i="50"/>
  <c r="F1816" i="50"/>
  <c r="G1816" i="50"/>
  <c r="V1807" i="50"/>
  <c r="U1807" i="50"/>
  <c r="G1807" i="50"/>
  <c r="F1807" i="50"/>
  <c r="E1861" i="50"/>
  <c r="B1885" i="50"/>
  <c r="D1885" i="50" s="1"/>
  <c r="E1840" i="50"/>
  <c r="B1864" i="50"/>
  <c r="D1864" i="50" s="1"/>
  <c r="E1854" i="50"/>
  <c r="B1878" i="50"/>
  <c r="D1878" i="50" s="1"/>
  <c r="E1852" i="50"/>
  <c r="U1852" i="50" s="1"/>
  <c r="B1876" i="50"/>
  <c r="D1876" i="50" s="1"/>
  <c r="B1865" i="50"/>
  <c r="D1865" i="50" s="1"/>
  <c r="E1841" i="50"/>
  <c r="E1829" i="50"/>
  <c r="G1829" i="50" s="1"/>
  <c r="B1853" i="50"/>
  <c r="D1853" i="50" s="1"/>
  <c r="B1896" i="50"/>
  <c r="D1896" i="50" s="1"/>
  <c r="E1872" i="50"/>
  <c r="V1872" i="50" s="1"/>
  <c r="E1875" i="50"/>
  <c r="B1899" i="50"/>
  <c r="D1899" i="50" s="1"/>
  <c r="B1905" i="50"/>
  <c r="D1905" i="50" s="1"/>
  <c r="E1881" i="50"/>
  <c r="E1856" i="50"/>
  <c r="B1880" i="50"/>
  <c r="D1880" i="50" s="1"/>
  <c r="E1882" i="50"/>
  <c r="V1882" i="50" s="1"/>
  <c r="B1906" i="50"/>
  <c r="D1906" i="50" s="1"/>
  <c r="E1898" i="50"/>
  <c r="F1898" i="50" s="1"/>
  <c r="B1922" i="50"/>
  <c r="D1922" i="50" s="1"/>
  <c r="B1870" i="50"/>
  <c r="D1870" i="50" s="1"/>
  <c r="E1846" i="50"/>
  <c r="F1846" i="50" s="1"/>
  <c r="E1845" i="50"/>
  <c r="B1869" i="50"/>
  <c r="D1869" i="50" s="1"/>
  <c r="B1887" i="50"/>
  <c r="D1887" i="50" s="1"/>
  <c r="E1863" i="50"/>
  <c r="E1843" i="50"/>
  <c r="B1867" i="50"/>
  <c r="D1867" i="50" s="1"/>
  <c r="B1914" i="50"/>
  <c r="D1914" i="50" s="1"/>
  <c r="E1890" i="50"/>
  <c r="B1921" i="50"/>
  <c r="D1921" i="50" s="1"/>
  <c r="E1897" i="50"/>
  <c r="B1895" i="50"/>
  <c r="D1895" i="50" s="1"/>
  <c r="E1871" i="50"/>
  <c r="E1838" i="50"/>
  <c r="G1838" i="50" s="1"/>
  <c r="B1862" i="50"/>
  <c r="D1862" i="50" s="1"/>
  <c r="E1859" i="50"/>
  <c r="B1883" i="50"/>
  <c r="D1883" i="50" s="1"/>
  <c r="B1868" i="50"/>
  <c r="D1868" i="50" s="1"/>
  <c r="E1844" i="50"/>
  <c r="V1897" i="50" l="1"/>
  <c r="U1897" i="50"/>
  <c r="F1897" i="50"/>
  <c r="G1897" i="50"/>
  <c r="G1854" i="50"/>
  <c r="F1854" i="50"/>
  <c r="V1854" i="50"/>
  <c r="U1854" i="50"/>
  <c r="F1890" i="50"/>
  <c r="U1890" i="50"/>
  <c r="G1890" i="50"/>
  <c r="V1856" i="50"/>
  <c r="U1856" i="50"/>
  <c r="G1856" i="50"/>
  <c r="F1856" i="50"/>
  <c r="G1840" i="50"/>
  <c r="F1840" i="50"/>
  <c r="U1840" i="50"/>
  <c r="U1882" i="50"/>
  <c r="G1882" i="50"/>
  <c r="F1882" i="50"/>
  <c r="F1861" i="50"/>
  <c r="U1861" i="50"/>
  <c r="G1861" i="50"/>
  <c r="V1881" i="50"/>
  <c r="U1881" i="50"/>
  <c r="F1881" i="50"/>
  <c r="V1843" i="50"/>
  <c r="U1843" i="50"/>
  <c r="G1843" i="50"/>
  <c r="F1843" i="50"/>
  <c r="F1863" i="50"/>
  <c r="G1863" i="50"/>
  <c r="U1863" i="50"/>
  <c r="D1860" i="50"/>
  <c r="E1860" i="50"/>
  <c r="B1884" i="50"/>
  <c r="D1855" i="50"/>
  <c r="B1879" i="50"/>
  <c r="E1855" i="50"/>
  <c r="V1875" i="50"/>
  <c r="U1875" i="50"/>
  <c r="G1875" i="50"/>
  <c r="F1875" i="50"/>
  <c r="F1836" i="50"/>
  <c r="V1836" i="50"/>
  <c r="G1836" i="50"/>
  <c r="U1831" i="50"/>
  <c r="F1831" i="50"/>
  <c r="G1831" i="50"/>
  <c r="V1844" i="50"/>
  <c r="U1844" i="50"/>
  <c r="G1844" i="50"/>
  <c r="F1844" i="50"/>
  <c r="U1872" i="50"/>
  <c r="G1872" i="50"/>
  <c r="F1872" i="50"/>
  <c r="G1881" i="50"/>
  <c r="V1890" i="50"/>
  <c r="U1836" i="50"/>
  <c r="V1831" i="50"/>
  <c r="V1845" i="50"/>
  <c r="U1845" i="50"/>
  <c r="G1845" i="50"/>
  <c r="F1845" i="50"/>
  <c r="V1840" i="50"/>
  <c r="V1863" i="50"/>
  <c r="G1846" i="50"/>
  <c r="U1846" i="50"/>
  <c r="V1846" i="50"/>
  <c r="F1859" i="50"/>
  <c r="V1859" i="50"/>
  <c r="U1859" i="50"/>
  <c r="G1859" i="50"/>
  <c r="V1829" i="50"/>
  <c r="U1829" i="50"/>
  <c r="F1829" i="50"/>
  <c r="U1871" i="50"/>
  <c r="G1871" i="50"/>
  <c r="F1871" i="50"/>
  <c r="U1841" i="50"/>
  <c r="F1841" i="50"/>
  <c r="G1841" i="50"/>
  <c r="V1841" i="50"/>
  <c r="V1852" i="50"/>
  <c r="F1852" i="50"/>
  <c r="G1852" i="50"/>
  <c r="U1838" i="50"/>
  <c r="F1838" i="50"/>
  <c r="V1838" i="50"/>
  <c r="V1898" i="50"/>
  <c r="U1898" i="50"/>
  <c r="G1898" i="50"/>
  <c r="V1871" i="50"/>
  <c r="V1861" i="50"/>
  <c r="B1920" i="50"/>
  <c r="D1920" i="50" s="1"/>
  <c r="E1896" i="50"/>
  <c r="V1896" i="50" s="1"/>
  <c r="B1907" i="50"/>
  <c r="D1907" i="50" s="1"/>
  <c r="E1883" i="50"/>
  <c r="B1919" i="50"/>
  <c r="D1919" i="50" s="1"/>
  <c r="E1895" i="50"/>
  <c r="U1895" i="50" s="1"/>
  <c r="B1877" i="50"/>
  <c r="D1877" i="50" s="1"/>
  <c r="E1853" i="50"/>
  <c r="V1853" i="50" s="1"/>
  <c r="E1870" i="50"/>
  <c r="B1894" i="50"/>
  <c r="D1894" i="50" s="1"/>
  <c r="B1886" i="50"/>
  <c r="D1886" i="50" s="1"/>
  <c r="E1862" i="50"/>
  <c r="F1862" i="50" s="1"/>
  <c r="B1945" i="50"/>
  <c r="D1945" i="50" s="1"/>
  <c r="E1921" i="50"/>
  <c r="B1946" i="50"/>
  <c r="D1946" i="50" s="1"/>
  <c r="E1922" i="50"/>
  <c r="G1922" i="50" s="1"/>
  <c r="E1864" i="50"/>
  <c r="B1888" i="50"/>
  <c r="D1888" i="50" s="1"/>
  <c r="B1929" i="50"/>
  <c r="D1929" i="50" s="1"/>
  <c r="E1905" i="50"/>
  <c r="F1905" i="50" s="1"/>
  <c r="B1889" i="50"/>
  <c r="D1889" i="50" s="1"/>
  <c r="E1865" i="50"/>
  <c r="G1865" i="50" s="1"/>
  <c r="B1938" i="50"/>
  <c r="D1938" i="50" s="1"/>
  <c r="E1914" i="50"/>
  <c r="G1914" i="50" s="1"/>
  <c r="B1923" i="50"/>
  <c r="D1923" i="50" s="1"/>
  <c r="E1899" i="50"/>
  <c r="B1891" i="50"/>
  <c r="D1891" i="50" s="1"/>
  <c r="E1867" i="50"/>
  <c r="U1867" i="50" s="1"/>
  <c r="E1885" i="50"/>
  <c r="U1885" i="50" s="1"/>
  <c r="B1909" i="50"/>
  <c r="D1909" i="50" s="1"/>
  <c r="E1880" i="50"/>
  <c r="B1904" i="50"/>
  <c r="D1904" i="50" s="1"/>
  <c r="B1930" i="50"/>
  <c r="D1930" i="50" s="1"/>
  <c r="E1906" i="50"/>
  <c r="G1906" i="50" s="1"/>
  <c r="B1900" i="50"/>
  <c r="D1900" i="50" s="1"/>
  <c r="E1876" i="50"/>
  <c r="E1868" i="50"/>
  <c r="U1868" i="50" s="1"/>
  <c r="B1892" i="50"/>
  <c r="D1892" i="50" s="1"/>
  <c r="E1887" i="50"/>
  <c r="V1887" i="50" s="1"/>
  <c r="B1911" i="50"/>
  <c r="D1911" i="50" s="1"/>
  <c r="B1893" i="50"/>
  <c r="D1893" i="50" s="1"/>
  <c r="E1869" i="50"/>
  <c r="U1869" i="50" s="1"/>
  <c r="B1902" i="50"/>
  <c r="D1902" i="50" s="1"/>
  <c r="E1878" i="50"/>
  <c r="U1855" i="50" l="1"/>
  <c r="G1855" i="50"/>
  <c r="F1855" i="50"/>
  <c r="D1879" i="50"/>
  <c r="B1903" i="50"/>
  <c r="E1879" i="50"/>
  <c r="U1899" i="50"/>
  <c r="G1899" i="50"/>
  <c r="F1899" i="50"/>
  <c r="V1855" i="50"/>
  <c r="G1887" i="50"/>
  <c r="F1887" i="50"/>
  <c r="U1887" i="50"/>
  <c r="D1884" i="50"/>
  <c r="B1908" i="50"/>
  <c r="E1884" i="50"/>
  <c r="G1860" i="50"/>
  <c r="F1860" i="50"/>
  <c r="U1860" i="50"/>
  <c r="V1921" i="50"/>
  <c r="F1921" i="50"/>
  <c r="G1921" i="50"/>
  <c r="G1870" i="50"/>
  <c r="F1870" i="50"/>
  <c r="V1870" i="50"/>
  <c r="U1870" i="50"/>
  <c r="V1860" i="50"/>
  <c r="V1885" i="50"/>
  <c r="F1885" i="50"/>
  <c r="G1885" i="50"/>
  <c r="V1876" i="50"/>
  <c r="U1876" i="50"/>
  <c r="G1876" i="50"/>
  <c r="F1876" i="50"/>
  <c r="F1853" i="50"/>
  <c r="G1853" i="50"/>
  <c r="U1853" i="50"/>
  <c r="V1899" i="50"/>
  <c r="V1914" i="50"/>
  <c r="U1914" i="50"/>
  <c r="F1914" i="50"/>
  <c r="V1862" i="50"/>
  <c r="G1862" i="50"/>
  <c r="U1862" i="50"/>
  <c r="G1868" i="50"/>
  <c r="V1868" i="50"/>
  <c r="F1868" i="50"/>
  <c r="U1905" i="50"/>
  <c r="G1905" i="50"/>
  <c r="V1905" i="50"/>
  <c r="V1895" i="50"/>
  <c r="F1895" i="50"/>
  <c r="G1895" i="50"/>
  <c r="U1921" i="50"/>
  <c r="U1878" i="50"/>
  <c r="V1878" i="50"/>
  <c r="G1878" i="50"/>
  <c r="F1878" i="50"/>
  <c r="V1869" i="50"/>
  <c r="F1869" i="50"/>
  <c r="G1869" i="50"/>
  <c r="V1865" i="50"/>
  <c r="U1865" i="50"/>
  <c r="F1865" i="50"/>
  <c r="G1883" i="50"/>
  <c r="F1883" i="50"/>
  <c r="V1883" i="50"/>
  <c r="U1883" i="50"/>
  <c r="V1906" i="50"/>
  <c r="U1906" i="50"/>
  <c r="F1906" i="50"/>
  <c r="V1864" i="50"/>
  <c r="U1864" i="50"/>
  <c r="G1864" i="50"/>
  <c r="F1864" i="50"/>
  <c r="V1922" i="50"/>
  <c r="U1922" i="50"/>
  <c r="F1922" i="50"/>
  <c r="U1896" i="50"/>
  <c r="F1896" i="50"/>
  <c r="G1896" i="50"/>
  <c r="V1867" i="50"/>
  <c r="F1867" i="50"/>
  <c r="G1867" i="50"/>
  <c r="G1880" i="50"/>
  <c r="F1880" i="50"/>
  <c r="V1880" i="50"/>
  <c r="U1880" i="50"/>
  <c r="B1931" i="50"/>
  <c r="D1931" i="50" s="1"/>
  <c r="E1907" i="50"/>
  <c r="B1916" i="50"/>
  <c r="D1916" i="50" s="1"/>
  <c r="E1892" i="50"/>
  <c r="V1892" i="50" s="1"/>
  <c r="B1954" i="50"/>
  <c r="D1954" i="50" s="1"/>
  <c r="E1930" i="50"/>
  <c r="B1915" i="50"/>
  <c r="D1915" i="50" s="1"/>
  <c r="E1891" i="50"/>
  <c r="B1953" i="50"/>
  <c r="D1953" i="50" s="1"/>
  <c r="E1929" i="50"/>
  <c r="G1929" i="50" s="1"/>
  <c r="E1886" i="50"/>
  <c r="G1886" i="50" s="1"/>
  <c r="B1910" i="50"/>
  <c r="D1910" i="50" s="1"/>
  <c r="B1944" i="50"/>
  <c r="D1944" i="50" s="1"/>
  <c r="E1920" i="50"/>
  <c r="B1947" i="50"/>
  <c r="D1947" i="50" s="1"/>
  <c r="E1923" i="50"/>
  <c r="B1928" i="50"/>
  <c r="D1928" i="50" s="1"/>
  <c r="E1904" i="50"/>
  <c r="V1904" i="50" s="1"/>
  <c r="E1894" i="50"/>
  <c r="B1918" i="50"/>
  <c r="D1918" i="50" s="1"/>
  <c r="B1926" i="50"/>
  <c r="D1926" i="50" s="1"/>
  <c r="E1902" i="50"/>
  <c r="U1902" i="50" s="1"/>
  <c r="B1935" i="50"/>
  <c r="D1935" i="50" s="1"/>
  <c r="E1911" i="50"/>
  <c r="V1911" i="50" s="1"/>
  <c r="B1924" i="50"/>
  <c r="D1924" i="50" s="1"/>
  <c r="E1900" i="50"/>
  <c r="E1877" i="50"/>
  <c r="U1877" i="50" s="1"/>
  <c r="B1901" i="50"/>
  <c r="D1901" i="50" s="1"/>
  <c r="B1962" i="50"/>
  <c r="D1962" i="50" s="1"/>
  <c r="E1938" i="50"/>
  <c r="G1938" i="50" s="1"/>
  <c r="B1970" i="50"/>
  <c r="D1970" i="50" s="1"/>
  <c r="E1946" i="50"/>
  <c r="B1917" i="50"/>
  <c r="D1917" i="50" s="1"/>
  <c r="E1893" i="50"/>
  <c r="B1933" i="50"/>
  <c r="D1933" i="50" s="1"/>
  <c r="E1909" i="50"/>
  <c r="U1909" i="50" s="1"/>
  <c r="B1969" i="50"/>
  <c r="D1969" i="50" s="1"/>
  <c r="E1945" i="50"/>
  <c r="E1919" i="50"/>
  <c r="B1943" i="50"/>
  <c r="D1943" i="50" s="1"/>
  <c r="E1889" i="50"/>
  <c r="U1889" i="50" s="1"/>
  <c r="B1913" i="50"/>
  <c r="D1913" i="50" s="1"/>
  <c r="B1912" i="50"/>
  <c r="D1912" i="50" s="1"/>
  <c r="E1888" i="50"/>
  <c r="U1884" i="50" l="1"/>
  <c r="V1891" i="50"/>
  <c r="U1891" i="50"/>
  <c r="G1891" i="50"/>
  <c r="F1891" i="50"/>
  <c r="V1907" i="50"/>
  <c r="U1907" i="50"/>
  <c r="G1907" i="50"/>
  <c r="F1907" i="50"/>
  <c r="V1909" i="50"/>
  <c r="F1909" i="50"/>
  <c r="G1909" i="50"/>
  <c r="V1946" i="50"/>
  <c r="U1946" i="50"/>
  <c r="G1946" i="50"/>
  <c r="F1946" i="50"/>
  <c r="G1920" i="50"/>
  <c r="F1920" i="50"/>
  <c r="U1920" i="50"/>
  <c r="V1920" i="50"/>
  <c r="V1879" i="50"/>
  <c r="F1879" i="50"/>
  <c r="G1879" i="50"/>
  <c r="V1894" i="50"/>
  <c r="G1894" i="50"/>
  <c r="U1894" i="50"/>
  <c r="V1877" i="50"/>
  <c r="F1877" i="50"/>
  <c r="G1877" i="50"/>
  <c r="D1903" i="50"/>
  <c r="E1903" i="50"/>
  <c r="B1927" i="50"/>
  <c r="F1904" i="50"/>
  <c r="G1904" i="50"/>
  <c r="U1904" i="50"/>
  <c r="G1923" i="50"/>
  <c r="F1923" i="50"/>
  <c r="V1923" i="50"/>
  <c r="U1923" i="50"/>
  <c r="V1900" i="50"/>
  <c r="G1900" i="50"/>
  <c r="F1900" i="50"/>
  <c r="U1879" i="50"/>
  <c r="U1892" i="50"/>
  <c r="G1892" i="50"/>
  <c r="F1892" i="50"/>
  <c r="U1888" i="50"/>
  <c r="G1888" i="50"/>
  <c r="F1888" i="50"/>
  <c r="V1888" i="50"/>
  <c r="V1889" i="50"/>
  <c r="G1889" i="50"/>
  <c r="F1889" i="50"/>
  <c r="F1911" i="50"/>
  <c r="G1911" i="50"/>
  <c r="U1911" i="50"/>
  <c r="F1894" i="50"/>
  <c r="G1930" i="50"/>
  <c r="F1930" i="50"/>
  <c r="U1930" i="50"/>
  <c r="U1938" i="50"/>
  <c r="F1938" i="50"/>
  <c r="V1938" i="50"/>
  <c r="V1919" i="50"/>
  <c r="F1919" i="50"/>
  <c r="G1919" i="50"/>
  <c r="U1919" i="50"/>
  <c r="V1886" i="50"/>
  <c r="U1886" i="50"/>
  <c r="F1886" i="50"/>
  <c r="U1900" i="50"/>
  <c r="V1930" i="50"/>
  <c r="V1884" i="50"/>
  <c r="F1884" i="50"/>
  <c r="G1884" i="50"/>
  <c r="V1893" i="50"/>
  <c r="F1893" i="50"/>
  <c r="U1893" i="50"/>
  <c r="G1893" i="50"/>
  <c r="U1945" i="50"/>
  <c r="F1945" i="50"/>
  <c r="V1945" i="50"/>
  <c r="V1902" i="50"/>
  <c r="F1902" i="50"/>
  <c r="G1902" i="50"/>
  <c r="V1929" i="50"/>
  <c r="U1929" i="50"/>
  <c r="F1929" i="50"/>
  <c r="G1945" i="50"/>
  <c r="D1908" i="50"/>
  <c r="E1908" i="50"/>
  <c r="B1932" i="50"/>
  <c r="E1915" i="50"/>
  <c r="B1939" i="50"/>
  <c r="D1939" i="50" s="1"/>
  <c r="E1935" i="50"/>
  <c r="B1959" i="50"/>
  <c r="D1959" i="50" s="1"/>
  <c r="E1926" i="50"/>
  <c r="B1950" i="50"/>
  <c r="D1950" i="50" s="1"/>
  <c r="B1978" i="50"/>
  <c r="D1978" i="50" s="1"/>
  <c r="E1954" i="50"/>
  <c r="G1954" i="50" s="1"/>
  <c r="B1994" i="50"/>
  <c r="D1994" i="50" s="1"/>
  <c r="E1970" i="50"/>
  <c r="B1942" i="50"/>
  <c r="D1942" i="50" s="1"/>
  <c r="E1918" i="50"/>
  <c r="V1918" i="50" s="1"/>
  <c r="B1940" i="50"/>
  <c r="D1940" i="50" s="1"/>
  <c r="E1916" i="50"/>
  <c r="E1944" i="50"/>
  <c r="B1968" i="50"/>
  <c r="D1968" i="50" s="1"/>
  <c r="B1993" i="50"/>
  <c r="D1993" i="50" s="1"/>
  <c r="E1969" i="50"/>
  <c r="B1986" i="50"/>
  <c r="D1986" i="50" s="1"/>
  <c r="E1962" i="50"/>
  <c r="V1962" i="50" s="1"/>
  <c r="E1947" i="50"/>
  <c r="U1947" i="50" s="1"/>
  <c r="B1971" i="50"/>
  <c r="D1971" i="50" s="1"/>
  <c r="E1910" i="50"/>
  <c r="B1934" i="50"/>
  <c r="D1934" i="50" s="1"/>
  <c r="E1931" i="50"/>
  <c r="B1955" i="50"/>
  <c r="D1955" i="50" s="1"/>
  <c r="E1917" i="50"/>
  <c r="B1941" i="50"/>
  <c r="D1941" i="50" s="1"/>
  <c r="B1967" i="50"/>
  <c r="D1967" i="50" s="1"/>
  <c r="E1943" i="50"/>
  <c r="V1943" i="50" s="1"/>
  <c r="E1924" i="50"/>
  <c r="B1948" i="50"/>
  <c r="D1948" i="50" s="1"/>
  <c r="E1928" i="50"/>
  <c r="B1952" i="50"/>
  <c r="D1952" i="50" s="1"/>
  <c r="E1901" i="50"/>
  <c r="U1901" i="50" s="1"/>
  <c r="B1925" i="50"/>
  <c r="D1925" i="50" s="1"/>
  <c r="E1933" i="50"/>
  <c r="B1957" i="50"/>
  <c r="D1957" i="50" s="1"/>
  <c r="E1912" i="50"/>
  <c r="V1912" i="50" s="1"/>
  <c r="B1936" i="50"/>
  <c r="D1936" i="50" s="1"/>
  <c r="B1937" i="50"/>
  <c r="D1937" i="50" s="1"/>
  <c r="E1913" i="50"/>
  <c r="G1913" i="50" s="1"/>
  <c r="B1977" i="50"/>
  <c r="D1977" i="50" s="1"/>
  <c r="E1953" i="50"/>
  <c r="V1916" i="50" l="1"/>
  <c r="G1916" i="50"/>
  <c r="F1916" i="50"/>
  <c r="U1924" i="50"/>
  <c r="G1924" i="50"/>
  <c r="F1924" i="50"/>
  <c r="D1932" i="50"/>
  <c r="B1956" i="50"/>
  <c r="E1932" i="50"/>
  <c r="V1908" i="50"/>
  <c r="F1908" i="50"/>
  <c r="G1908" i="50"/>
  <c r="U1944" i="50"/>
  <c r="F1944" i="50"/>
  <c r="V1944" i="50"/>
  <c r="G1944" i="50"/>
  <c r="F1918" i="50"/>
  <c r="G1918" i="50"/>
  <c r="U1918" i="50"/>
  <c r="U1908" i="50"/>
  <c r="V1970" i="50"/>
  <c r="U1970" i="50"/>
  <c r="F1970" i="50"/>
  <c r="D1927" i="50"/>
  <c r="B1951" i="50"/>
  <c r="E1927" i="50"/>
  <c r="U1916" i="50"/>
  <c r="V1913" i="50"/>
  <c r="U1913" i="50"/>
  <c r="F1913" i="50"/>
  <c r="G1910" i="50"/>
  <c r="U1910" i="50"/>
  <c r="V1910" i="50"/>
  <c r="F1910" i="50"/>
  <c r="G1903" i="50"/>
  <c r="U1903" i="50"/>
  <c r="V1903" i="50"/>
  <c r="F1903" i="50"/>
  <c r="F1931" i="50"/>
  <c r="G1931" i="50"/>
  <c r="V1931" i="50"/>
  <c r="V1954" i="50"/>
  <c r="U1954" i="50"/>
  <c r="F1954" i="50"/>
  <c r="G1915" i="50"/>
  <c r="F1915" i="50"/>
  <c r="U1915" i="50"/>
  <c r="F1917" i="50"/>
  <c r="V1917" i="50"/>
  <c r="U1917" i="50"/>
  <c r="G1917" i="50"/>
  <c r="V1933" i="50"/>
  <c r="U1933" i="50"/>
  <c r="G1933" i="50"/>
  <c r="F1933" i="50"/>
  <c r="V1915" i="50"/>
  <c r="V1924" i="50"/>
  <c r="U1953" i="50"/>
  <c r="G1953" i="50"/>
  <c r="F1953" i="50"/>
  <c r="F1947" i="50"/>
  <c r="V1947" i="50"/>
  <c r="G1947" i="50"/>
  <c r="V1901" i="50"/>
  <c r="G1901" i="50"/>
  <c r="F1901" i="50"/>
  <c r="U1926" i="50"/>
  <c r="G1926" i="50"/>
  <c r="V1926" i="50"/>
  <c r="V1953" i="50"/>
  <c r="U1943" i="50"/>
  <c r="G1943" i="50"/>
  <c r="F1943" i="50"/>
  <c r="V1969" i="50"/>
  <c r="G1969" i="50"/>
  <c r="F1969" i="50"/>
  <c r="F1926" i="50"/>
  <c r="U1912" i="50"/>
  <c r="G1912" i="50"/>
  <c r="F1912" i="50"/>
  <c r="U1962" i="50"/>
  <c r="G1962" i="50"/>
  <c r="F1962" i="50"/>
  <c r="U1928" i="50"/>
  <c r="F1928" i="50"/>
  <c r="V1928" i="50"/>
  <c r="G1928" i="50"/>
  <c r="U1935" i="50"/>
  <c r="G1935" i="50"/>
  <c r="V1935" i="50"/>
  <c r="F1935" i="50"/>
  <c r="G1970" i="50"/>
  <c r="U1931" i="50"/>
  <c r="U1969" i="50"/>
  <c r="B1958" i="50"/>
  <c r="D1958" i="50" s="1"/>
  <c r="E1934" i="50"/>
  <c r="B2002" i="50"/>
  <c r="D2002" i="50" s="1"/>
  <c r="E1978" i="50"/>
  <c r="B1995" i="50"/>
  <c r="D1995" i="50" s="1"/>
  <c r="E1971" i="50"/>
  <c r="B1965" i="50"/>
  <c r="D1965" i="50" s="1"/>
  <c r="E1941" i="50"/>
  <c r="B1974" i="50"/>
  <c r="D1974" i="50" s="1"/>
  <c r="E1950" i="50"/>
  <c r="V1950" i="50" s="1"/>
  <c r="B2001" i="50"/>
  <c r="D2001" i="50" s="1"/>
  <c r="E1977" i="50"/>
  <c r="B1981" i="50"/>
  <c r="D1981" i="50" s="1"/>
  <c r="E1957" i="50"/>
  <c r="E1942" i="50"/>
  <c r="B1966" i="50"/>
  <c r="D1966" i="50" s="1"/>
  <c r="B1992" i="50"/>
  <c r="D1992" i="50" s="1"/>
  <c r="E1968" i="50"/>
  <c r="B1983" i="50"/>
  <c r="D1983" i="50" s="1"/>
  <c r="E1959" i="50"/>
  <c r="B2018" i="50"/>
  <c r="D2018" i="50" s="1"/>
  <c r="E1994" i="50"/>
  <c r="V1994" i="50" s="1"/>
  <c r="B1949" i="50"/>
  <c r="D1949" i="50" s="1"/>
  <c r="E1925" i="50"/>
  <c r="B2017" i="50"/>
  <c r="D2017" i="50" s="1"/>
  <c r="E1993" i="50"/>
  <c r="B1972" i="50"/>
  <c r="D1972" i="50" s="1"/>
  <c r="E1948" i="50"/>
  <c r="B2010" i="50"/>
  <c r="D2010" i="50" s="1"/>
  <c r="E1986" i="50"/>
  <c r="G1986" i="50" s="1"/>
  <c r="B1963" i="50"/>
  <c r="D1963" i="50" s="1"/>
  <c r="E1939" i="50"/>
  <c r="B1961" i="50"/>
  <c r="D1961" i="50" s="1"/>
  <c r="E1937" i="50"/>
  <c r="V1937" i="50" s="1"/>
  <c r="B1960" i="50"/>
  <c r="D1960" i="50" s="1"/>
  <c r="E1936" i="50"/>
  <c r="U1936" i="50" s="1"/>
  <c r="B1976" i="50"/>
  <c r="D1976" i="50" s="1"/>
  <c r="E1952" i="50"/>
  <c r="E1967" i="50"/>
  <c r="B1991" i="50"/>
  <c r="D1991" i="50" s="1"/>
  <c r="B1979" i="50"/>
  <c r="D1979" i="50" s="1"/>
  <c r="E1955" i="50"/>
  <c r="E1940" i="50"/>
  <c r="B1964" i="50"/>
  <c r="D1964" i="50" s="1"/>
  <c r="V1978" i="50" l="1"/>
  <c r="U1978" i="50"/>
  <c r="G1978" i="50"/>
  <c r="F1978" i="50"/>
  <c r="V1927" i="50"/>
  <c r="U1927" i="50"/>
  <c r="G1927" i="50"/>
  <c r="F1927" i="50"/>
  <c r="G1968" i="50"/>
  <c r="F1968" i="50"/>
  <c r="U1968" i="50"/>
  <c r="D1951" i="50"/>
  <c r="E1951" i="50"/>
  <c r="B1975" i="50"/>
  <c r="U1934" i="50"/>
  <c r="G1934" i="50"/>
  <c r="F1934" i="50"/>
  <c r="V1942" i="50"/>
  <c r="U1942" i="50"/>
  <c r="G1942" i="50"/>
  <c r="V1968" i="50"/>
  <c r="U1957" i="50"/>
  <c r="F1957" i="50"/>
  <c r="V1957" i="50"/>
  <c r="G1957" i="50"/>
  <c r="V1932" i="50"/>
  <c r="G1932" i="50"/>
  <c r="F1932" i="50"/>
  <c r="V1939" i="50"/>
  <c r="U1939" i="50"/>
  <c r="G1939" i="50"/>
  <c r="F1939" i="50"/>
  <c r="D1956" i="50"/>
  <c r="E1956" i="50"/>
  <c r="B1980" i="50"/>
  <c r="V1955" i="50"/>
  <c r="U1955" i="50"/>
  <c r="G1955" i="50"/>
  <c r="F1955" i="50"/>
  <c r="V1993" i="50"/>
  <c r="U1993" i="50"/>
  <c r="F1993" i="50"/>
  <c r="V1977" i="50"/>
  <c r="U1977" i="50"/>
  <c r="F1977" i="50"/>
  <c r="G1977" i="50"/>
  <c r="V1934" i="50"/>
  <c r="U1932" i="50"/>
  <c r="F1942" i="50"/>
  <c r="V1925" i="50"/>
  <c r="G1925" i="50"/>
  <c r="U1925" i="50"/>
  <c r="F1925" i="50"/>
  <c r="G1950" i="50"/>
  <c r="U1950" i="50"/>
  <c r="F1950" i="50"/>
  <c r="V1940" i="50"/>
  <c r="U1940" i="50"/>
  <c r="G1940" i="50"/>
  <c r="F1940" i="50"/>
  <c r="F1937" i="50"/>
  <c r="G1937" i="50"/>
  <c r="U1937" i="50"/>
  <c r="V1952" i="50"/>
  <c r="U1952" i="50"/>
  <c r="G1952" i="50"/>
  <c r="F1952" i="50"/>
  <c r="G1994" i="50"/>
  <c r="F1994" i="50"/>
  <c r="U1994" i="50"/>
  <c r="V1941" i="50"/>
  <c r="U1941" i="50"/>
  <c r="F1941" i="50"/>
  <c r="G1941" i="50"/>
  <c r="V1986" i="50"/>
  <c r="U1986" i="50"/>
  <c r="F1986" i="50"/>
  <c r="G1993" i="50"/>
  <c r="V1948" i="50"/>
  <c r="G1948" i="50"/>
  <c r="F1948" i="50"/>
  <c r="G1967" i="50"/>
  <c r="U1967" i="50"/>
  <c r="F1967" i="50"/>
  <c r="V1967" i="50"/>
  <c r="V1936" i="50"/>
  <c r="G1936" i="50"/>
  <c r="F1936" i="50"/>
  <c r="V1959" i="50"/>
  <c r="U1959" i="50"/>
  <c r="G1959" i="50"/>
  <c r="F1959" i="50"/>
  <c r="V1971" i="50"/>
  <c r="U1971" i="50"/>
  <c r="G1971" i="50"/>
  <c r="F1971" i="50"/>
  <c r="U1948" i="50"/>
  <c r="B1990" i="50"/>
  <c r="D1990" i="50" s="1"/>
  <c r="E1966" i="50"/>
  <c r="B2015" i="50"/>
  <c r="D2015" i="50" s="1"/>
  <c r="E1991" i="50"/>
  <c r="E1995" i="50"/>
  <c r="U1995" i="50" s="1"/>
  <c r="B2019" i="50"/>
  <c r="D2019" i="50" s="1"/>
  <c r="E1963" i="50"/>
  <c r="U1963" i="50" s="1"/>
  <c r="B1987" i="50"/>
  <c r="D1987" i="50" s="1"/>
  <c r="E1949" i="50"/>
  <c r="B1973" i="50"/>
  <c r="D1973" i="50" s="1"/>
  <c r="B2026" i="50"/>
  <c r="E2002" i="50"/>
  <c r="G2002" i="50" s="1"/>
  <c r="E1972" i="50"/>
  <c r="B1996" i="50"/>
  <c r="D1996" i="50" s="1"/>
  <c r="E1981" i="50"/>
  <c r="B2005" i="50"/>
  <c r="D2005" i="50" s="1"/>
  <c r="E1976" i="50"/>
  <c r="B2000" i="50"/>
  <c r="D2000" i="50" s="1"/>
  <c r="B2042" i="50"/>
  <c r="D2042" i="50" s="1"/>
  <c r="E2018" i="50"/>
  <c r="G2018" i="50" s="1"/>
  <c r="E1965" i="50"/>
  <c r="V1965" i="50" s="1"/>
  <c r="B1989" i="50"/>
  <c r="D1989" i="50" s="1"/>
  <c r="E1979" i="50"/>
  <c r="B2003" i="50"/>
  <c r="D2003" i="50" s="1"/>
  <c r="B2041" i="50"/>
  <c r="D2041" i="50" s="1"/>
  <c r="E2017" i="50"/>
  <c r="E1992" i="50"/>
  <c r="B2016" i="50"/>
  <c r="D2016" i="50" s="1"/>
  <c r="B2025" i="50"/>
  <c r="E2001" i="50"/>
  <c r="V2001" i="50" s="1"/>
  <c r="E1983" i="50"/>
  <c r="B2007" i="50"/>
  <c r="D2007" i="50" s="1"/>
  <c r="E1974" i="50"/>
  <c r="F1974" i="50" s="1"/>
  <c r="B1998" i="50"/>
  <c r="D1998" i="50" s="1"/>
  <c r="B2034" i="50"/>
  <c r="D2034" i="50" s="1"/>
  <c r="E2010" i="50"/>
  <c r="E1958" i="50"/>
  <c r="F1958" i="50" s="1"/>
  <c r="B1982" i="50"/>
  <c r="D1982" i="50" s="1"/>
  <c r="E1960" i="50"/>
  <c r="B1984" i="50"/>
  <c r="D1984" i="50" s="1"/>
  <c r="B1985" i="50"/>
  <c r="D1985" i="50" s="1"/>
  <c r="E1961" i="50"/>
  <c r="B1988" i="50"/>
  <c r="D1988" i="50" s="1"/>
  <c r="E1964" i="50"/>
  <c r="U1964" i="50" s="1"/>
  <c r="D2026" i="50" l="1"/>
  <c r="B2050" i="50"/>
  <c r="D2025" i="50"/>
  <c r="B2048" i="50"/>
  <c r="U1992" i="50"/>
  <c r="F1992" i="50"/>
  <c r="V1992" i="50"/>
  <c r="G1992" i="50"/>
  <c r="V1972" i="50"/>
  <c r="U1972" i="50"/>
  <c r="G1972" i="50"/>
  <c r="F1972" i="50"/>
  <c r="V1981" i="50"/>
  <c r="G1981" i="50"/>
  <c r="F1981" i="50"/>
  <c r="U2017" i="50"/>
  <c r="G2017" i="50"/>
  <c r="F2017" i="50"/>
  <c r="V2002" i="50"/>
  <c r="U2002" i="50"/>
  <c r="F2002" i="50"/>
  <c r="V1960" i="50"/>
  <c r="F1960" i="50"/>
  <c r="G1960" i="50"/>
  <c r="U1960" i="50"/>
  <c r="D1975" i="50"/>
  <c r="E1975" i="50"/>
  <c r="B1999" i="50"/>
  <c r="V1961" i="50"/>
  <c r="U1961" i="50"/>
  <c r="F1961" i="50"/>
  <c r="V1964" i="50"/>
  <c r="G1964" i="50"/>
  <c r="F1964" i="50"/>
  <c r="F1979" i="50"/>
  <c r="G1979" i="50"/>
  <c r="V1979" i="50"/>
  <c r="U1949" i="50"/>
  <c r="G1949" i="50"/>
  <c r="F1949" i="50"/>
  <c r="U2010" i="50"/>
  <c r="G2010" i="50"/>
  <c r="F2010" i="50"/>
  <c r="V2010" i="50"/>
  <c r="V2017" i="50"/>
  <c r="D1980" i="50"/>
  <c r="E1980" i="50"/>
  <c r="B2004" i="50"/>
  <c r="V1958" i="50"/>
  <c r="U1958" i="50"/>
  <c r="G1958" i="50"/>
  <c r="G1963" i="50"/>
  <c r="F1963" i="50"/>
  <c r="V1963" i="50"/>
  <c r="U1979" i="50"/>
  <c r="G1956" i="50"/>
  <c r="F1956" i="50"/>
  <c r="U1956" i="50"/>
  <c r="G1951" i="50"/>
  <c r="U1951" i="50"/>
  <c r="V1951" i="50"/>
  <c r="F1951" i="50"/>
  <c r="V1949" i="50"/>
  <c r="G1961" i="50"/>
  <c r="V1956" i="50"/>
  <c r="U1974" i="50"/>
  <c r="G1974" i="50"/>
  <c r="V1974" i="50"/>
  <c r="U1965" i="50"/>
  <c r="G1965" i="50"/>
  <c r="F1965" i="50"/>
  <c r="V1995" i="50"/>
  <c r="G1995" i="50"/>
  <c r="F1995" i="50"/>
  <c r="U1981" i="50"/>
  <c r="F2001" i="50"/>
  <c r="G2001" i="50"/>
  <c r="U2001" i="50"/>
  <c r="V2018" i="50"/>
  <c r="U2018" i="50"/>
  <c r="F2018" i="50"/>
  <c r="V1983" i="50"/>
  <c r="F1983" i="50"/>
  <c r="G1983" i="50"/>
  <c r="U1983" i="50"/>
  <c r="F1966" i="50"/>
  <c r="G1966" i="50"/>
  <c r="U1966" i="50"/>
  <c r="F1991" i="50"/>
  <c r="V1991" i="50"/>
  <c r="U1991" i="50"/>
  <c r="G1991" i="50"/>
  <c r="V1976" i="50"/>
  <c r="G1976" i="50"/>
  <c r="F1976" i="50"/>
  <c r="U1976" i="50"/>
  <c r="V1966" i="50"/>
  <c r="B2027" i="50"/>
  <c r="D2027" i="50" s="1"/>
  <c r="E2003" i="50"/>
  <c r="B2029" i="50"/>
  <c r="D2029" i="50" s="1"/>
  <c r="E2005" i="50"/>
  <c r="E2015" i="50"/>
  <c r="B2039" i="50"/>
  <c r="D2039" i="50" s="1"/>
  <c r="B2022" i="50"/>
  <c r="D2022" i="50" s="1"/>
  <c r="E1998" i="50"/>
  <c r="V1998" i="50" s="1"/>
  <c r="B2065" i="50"/>
  <c r="D2065" i="50" s="1"/>
  <c r="E2041" i="50"/>
  <c r="G2041" i="50" s="1"/>
  <c r="B2013" i="50"/>
  <c r="D2013" i="50" s="1"/>
  <c r="E1989" i="50"/>
  <c r="D2050" i="50"/>
  <c r="E2026" i="50"/>
  <c r="E1988" i="50"/>
  <c r="V1988" i="50" s="1"/>
  <c r="B2012" i="50"/>
  <c r="D2012" i="50" s="1"/>
  <c r="B2009" i="50"/>
  <c r="D2009" i="50" s="1"/>
  <c r="E1985" i="50"/>
  <c r="U1985" i="50" s="1"/>
  <c r="B1997" i="50"/>
  <c r="D1997" i="50" s="1"/>
  <c r="E1973" i="50"/>
  <c r="B2020" i="50"/>
  <c r="D2020" i="50" s="1"/>
  <c r="E1996" i="50"/>
  <c r="U1996" i="50" s="1"/>
  <c r="E1990" i="50"/>
  <c r="F1990" i="50" s="1"/>
  <c r="B2014" i="50"/>
  <c r="D2014" i="50" s="1"/>
  <c r="B2058" i="50"/>
  <c r="D2058" i="50" s="1"/>
  <c r="E2034" i="50"/>
  <c r="B2066" i="50"/>
  <c r="D2066" i="50" s="1"/>
  <c r="E2042" i="50"/>
  <c r="B2011" i="50"/>
  <c r="D2011" i="50" s="1"/>
  <c r="E1987" i="50"/>
  <c r="B2006" i="50"/>
  <c r="D2006" i="50" s="1"/>
  <c r="E1982" i="50"/>
  <c r="B2049" i="50"/>
  <c r="D2049" i="50" s="1"/>
  <c r="E2025" i="50"/>
  <c r="B2024" i="50"/>
  <c r="D2024" i="50" s="1"/>
  <c r="E2000" i="50"/>
  <c r="U2000" i="50" s="1"/>
  <c r="B2031" i="50"/>
  <c r="D2031" i="50" s="1"/>
  <c r="E2007" i="50"/>
  <c r="V2007" i="50" s="1"/>
  <c r="B2008" i="50"/>
  <c r="D2008" i="50" s="1"/>
  <c r="E1984" i="50"/>
  <c r="V1984" i="50" s="1"/>
  <c r="B2040" i="50"/>
  <c r="D2040" i="50" s="1"/>
  <c r="E2016" i="50"/>
  <c r="G2016" i="50" s="1"/>
  <c r="B2043" i="50"/>
  <c r="D2043" i="50" s="1"/>
  <c r="E2019" i="50"/>
  <c r="U2005" i="50" l="1"/>
  <c r="F2005" i="50"/>
  <c r="G2005" i="50"/>
  <c r="V2005" i="50"/>
  <c r="F1982" i="50"/>
  <c r="G1982" i="50"/>
  <c r="U1982" i="50"/>
  <c r="F1980" i="50"/>
  <c r="G1980" i="50"/>
  <c r="V1980" i="50"/>
  <c r="U1980" i="50"/>
  <c r="V2003" i="50"/>
  <c r="U2003" i="50"/>
  <c r="G2003" i="50"/>
  <c r="F2003" i="50"/>
  <c r="U1988" i="50"/>
  <c r="G1988" i="50"/>
  <c r="F1988" i="50"/>
  <c r="D1999" i="50"/>
  <c r="E1999" i="50"/>
  <c r="B2023" i="50"/>
  <c r="F2025" i="50"/>
  <c r="V2025" i="50"/>
  <c r="U2025" i="50"/>
  <c r="D2004" i="50"/>
  <c r="E2004" i="50"/>
  <c r="B2028" i="50"/>
  <c r="U2026" i="50"/>
  <c r="G2026" i="50"/>
  <c r="F2026" i="50"/>
  <c r="V2026" i="50"/>
  <c r="G1975" i="50"/>
  <c r="F1975" i="50"/>
  <c r="U1975" i="50"/>
  <c r="V1975" i="50"/>
  <c r="V1982" i="50"/>
  <c r="V2019" i="50"/>
  <c r="U2019" i="50"/>
  <c r="G2019" i="50"/>
  <c r="F2019" i="50"/>
  <c r="V2034" i="50"/>
  <c r="U2034" i="50"/>
  <c r="F2034" i="50"/>
  <c r="V1989" i="50"/>
  <c r="G1989" i="50"/>
  <c r="U1989" i="50"/>
  <c r="F1989" i="50"/>
  <c r="V2042" i="50"/>
  <c r="U2042" i="50"/>
  <c r="G2042" i="50"/>
  <c r="F2042" i="50"/>
  <c r="U2041" i="50"/>
  <c r="V2041" i="50"/>
  <c r="F2041" i="50"/>
  <c r="V1987" i="50"/>
  <c r="U1987" i="50"/>
  <c r="G1987" i="50"/>
  <c r="F1987" i="50"/>
  <c r="U2007" i="50"/>
  <c r="G2007" i="50"/>
  <c r="F2007" i="50"/>
  <c r="F1996" i="50"/>
  <c r="V1996" i="50"/>
  <c r="G1996" i="50"/>
  <c r="G1998" i="50"/>
  <c r="F1998" i="50"/>
  <c r="U1998" i="50"/>
  <c r="G2025" i="50"/>
  <c r="G2034" i="50"/>
  <c r="V1985" i="50"/>
  <c r="F1985" i="50"/>
  <c r="G1985" i="50"/>
  <c r="U1990" i="50"/>
  <c r="G1990" i="50"/>
  <c r="V1990" i="50"/>
  <c r="F2016" i="50"/>
  <c r="V2016" i="50"/>
  <c r="U2016" i="50"/>
  <c r="V2000" i="50"/>
  <c r="G2000" i="50"/>
  <c r="F2000" i="50"/>
  <c r="V1973" i="50"/>
  <c r="G1973" i="50"/>
  <c r="U1973" i="50"/>
  <c r="F1973" i="50"/>
  <c r="U1984" i="50"/>
  <c r="F1984" i="50"/>
  <c r="G1984" i="50"/>
  <c r="U2015" i="50"/>
  <c r="G2015" i="50"/>
  <c r="V2015" i="50"/>
  <c r="F2015" i="50"/>
  <c r="E2031" i="50"/>
  <c r="B2055" i="50"/>
  <c r="D2055" i="50" s="1"/>
  <c r="E2011" i="50"/>
  <c r="B2035" i="50"/>
  <c r="D2035" i="50" s="1"/>
  <c r="B2033" i="50"/>
  <c r="D2033" i="50" s="1"/>
  <c r="E2009" i="50"/>
  <c r="G2009" i="50" s="1"/>
  <c r="B2036" i="50"/>
  <c r="D2036" i="50" s="1"/>
  <c r="E2012" i="50"/>
  <c r="U2012" i="50" s="1"/>
  <c r="E2013" i="50"/>
  <c r="F2013" i="50" s="1"/>
  <c r="B2037" i="50"/>
  <c r="D2037" i="50" s="1"/>
  <c r="E2029" i="50"/>
  <c r="B2053" i="50"/>
  <c r="D2053" i="50" s="1"/>
  <c r="E2006" i="50"/>
  <c r="F2006" i="50" s="1"/>
  <c r="B2030" i="50"/>
  <c r="D2030" i="50" s="1"/>
  <c r="B2090" i="50"/>
  <c r="D2090" i="50" s="1"/>
  <c r="E2066" i="50"/>
  <c r="E1997" i="50"/>
  <c r="B2021" i="50"/>
  <c r="D2021" i="50" s="1"/>
  <c r="E2040" i="50"/>
  <c r="B2064" i="50"/>
  <c r="D2064" i="50" s="1"/>
  <c r="E2020" i="50"/>
  <c r="B2044" i="50"/>
  <c r="D2044" i="50" s="1"/>
  <c r="E2008" i="50"/>
  <c r="B2032" i="50"/>
  <c r="D2032" i="50" s="1"/>
  <c r="B2089" i="50"/>
  <c r="D2089" i="50" s="1"/>
  <c r="E2065" i="50"/>
  <c r="B2063" i="50"/>
  <c r="D2063" i="50" s="1"/>
  <c r="E2039" i="50"/>
  <c r="E2043" i="50"/>
  <c r="U2043" i="50" s="1"/>
  <c r="B2067" i="50"/>
  <c r="D2067" i="50" s="1"/>
  <c r="E2024" i="50"/>
  <c r="D2048" i="50"/>
  <c r="B2074" i="50"/>
  <c r="D2074" i="50" s="1"/>
  <c r="E2050" i="50"/>
  <c r="E2022" i="50"/>
  <c r="B2046" i="50"/>
  <c r="D2046" i="50" s="1"/>
  <c r="E2027" i="50"/>
  <c r="U2027" i="50" s="1"/>
  <c r="B2051" i="50"/>
  <c r="D2051" i="50" s="1"/>
  <c r="B2073" i="50"/>
  <c r="D2073" i="50" s="1"/>
  <c r="E2049" i="50"/>
  <c r="V2049" i="50" s="1"/>
  <c r="B2082" i="50"/>
  <c r="D2082" i="50" s="1"/>
  <c r="E2058" i="50"/>
  <c r="B2038" i="50"/>
  <c r="D2038" i="50" s="1"/>
  <c r="E2014" i="50"/>
  <c r="V2014" i="50" s="1"/>
  <c r="F2020" i="50" l="1"/>
  <c r="G2020" i="50"/>
  <c r="U2020" i="50"/>
  <c r="G2011" i="50"/>
  <c r="F2011" i="50"/>
  <c r="V2011" i="50"/>
  <c r="V2004" i="50"/>
  <c r="U2004" i="50"/>
  <c r="G2004" i="50"/>
  <c r="F2004" i="50"/>
  <c r="V2031" i="50"/>
  <c r="F2031" i="50"/>
  <c r="G2031" i="50"/>
  <c r="U2031" i="50"/>
  <c r="V2050" i="50"/>
  <c r="U2050" i="50"/>
  <c r="F2050" i="50"/>
  <c r="V2066" i="50"/>
  <c r="U2066" i="50"/>
  <c r="F2066" i="50"/>
  <c r="G2022" i="50"/>
  <c r="V2022" i="50"/>
  <c r="F2022" i="50"/>
  <c r="U2022" i="50"/>
  <c r="V1997" i="50"/>
  <c r="U1997" i="50"/>
  <c r="G1997" i="50"/>
  <c r="F1997" i="50"/>
  <c r="D2023" i="50"/>
  <c r="E2023" i="50"/>
  <c r="B2047" i="50"/>
  <c r="F2024" i="50"/>
  <c r="V2024" i="50"/>
  <c r="G2024" i="50"/>
  <c r="U2024" i="50"/>
  <c r="G2006" i="50"/>
  <c r="V2006" i="50"/>
  <c r="U2006" i="50"/>
  <c r="V2020" i="50"/>
  <c r="G2050" i="50"/>
  <c r="U1999" i="50"/>
  <c r="G1999" i="50"/>
  <c r="V1999" i="50"/>
  <c r="F1999" i="50"/>
  <c r="V2058" i="50"/>
  <c r="U2058" i="50"/>
  <c r="G2058" i="50"/>
  <c r="F2058" i="50"/>
  <c r="G2066" i="50"/>
  <c r="V2039" i="50"/>
  <c r="F2039" i="50"/>
  <c r="G2039" i="50"/>
  <c r="U2029" i="50"/>
  <c r="V2029" i="50"/>
  <c r="G2029" i="50"/>
  <c r="D2028" i="50"/>
  <c r="E2028" i="50"/>
  <c r="B2052" i="50"/>
  <c r="V2065" i="50"/>
  <c r="U2065" i="50"/>
  <c r="G2065" i="50"/>
  <c r="F2065" i="50"/>
  <c r="V2043" i="50"/>
  <c r="F2043" i="50"/>
  <c r="G2043" i="50"/>
  <c r="G2013" i="50"/>
  <c r="U2013" i="50"/>
  <c r="V2013" i="50"/>
  <c r="F2029" i="50"/>
  <c r="F2014" i="50"/>
  <c r="U2014" i="50"/>
  <c r="G2014" i="50"/>
  <c r="V2012" i="50"/>
  <c r="G2012" i="50"/>
  <c r="F2012" i="50"/>
  <c r="U2039" i="50"/>
  <c r="V2040" i="50"/>
  <c r="G2040" i="50"/>
  <c r="U2040" i="50"/>
  <c r="F2040" i="50"/>
  <c r="F2027" i="50"/>
  <c r="G2027" i="50"/>
  <c r="V2027" i="50"/>
  <c r="U2008" i="50"/>
  <c r="F2008" i="50"/>
  <c r="V2008" i="50"/>
  <c r="G2008" i="50"/>
  <c r="U2011" i="50"/>
  <c r="U2049" i="50"/>
  <c r="G2049" i="50"/>
  <c r="F2049" i="50"/>
  <c r="V2009" i="50"/>
  <c r="U2009" i="50"/>
  <c r="F2009" i="50"/>
  <c r="B2045" i="50"/>
  <c r="D2045" i="50" s="1"/>
  <c r="E2021" i="50"/>
  <c r="B2061" i="50"/>
  <c r="D2061" i="50" s="1"/>
  <c r="E2037" i="50"/>
  <c r="B2075" i="50"/>
  <c r="D2075" i="50" s="1"/>
  <c r="E2051" i="50"/>
  <c r="B2098" i="50"/>
  <c r="D2098" i="50" s="1"/>
  <c r="E2074" i="50"/>
  <c r="B2072" i="50"/>
  <c r="D2072" i="50" s="1"/>
  <c r="E2048" i="50"/>
  <c r="G2048" i="50" s="1"/>
  <c r="E2036" i="50"/>
  <c r="B2060" i="50"/>
  <c r="D2060" i="50" s="1"/>
  <c r="B2070" i="50"/>
  <c r="D2070" i="50" s="1"/>
  <c r="E2046" i="50"/>
  <c r="V2046" i="50" s="1"/>
  <c r="E2038" i="50"/>
  <c r="B2062" i="50"/>
  <c r="D2062" i="50" s="1"/>
  <c r="B2091" i="50"/>
  <c r="D2091" i="50" s="1"/>
  <c r="E2067" i="50"/>
  <c r="B2057" i="50"/>
  <c r="D2057" i="50" s="1"/>
  <c r="E2033" i="50"/>
  <c r="B2113" i="50"/>
  <c r="D2113" i="50" s="1"/>
  <c r="E2089" i="50"/>
  <c r="G2089" i="50" s="1"/>
  <c r="B2114" i="50"/>
  <c r="D2114" i="50" s="1"/>
  <c r="E2090" i="50"/>
  <c r="B2059" i="50"/>
  <c r="D2059" i="50" s="1"/>
  <c r="E2035" i="50"/>
  <c r="B2068" i="50"/>
  <c r="D2068" i="50" s="1"/>
  <c r="E2044" i="50"/>
  <c r="B2054" i="50"/>
  <c r="D2054" i="50" s="1"/>
  <c r="E2030" i="50"/>
  <c r="V2030" i="50" s="1"/>
  <c r="B2106" i="50"/>
  <c r="D2106" i="50" s="1"/>
  <c r="E2082" i="50"/>
  <c r="B2056" i="50"/>
  <c r="D2056" i="50" s="1"/>
  <c r="E2032" i="50"/>
  <c r="G2032" i="50" s="1"/>
  <c r="E2063" i="50"/>
  <c r="B2087" i="50"/>
  <c r="D2087" i="50" s="1"/>
  <c r="B2079" i="50"/>
  <c r="D2079" i="50" s="1"/>
  <c r="E2055" i="50"/>
  <c r="G2055" i="50" s="1"/>
  <c r="B2097" i="50"/>
  <c r="D2097" i="50" s="1"/>
  <c r="E2073" i="50"/>
  <c r="G2073" i="50" s="1"/>
  <c r="B2088" i="50"/>
  <c r="D2088" i="50" s="1"/>
  <c r="E2064" i="50"/>
  <c r="B2077" i="50"/>
  <c r="D2077" i="50" s="1"/>
  <c r="E2053" i="50"/>
  <c r="U2023" i="50" l="1"/>
  <c r="V2032" i="50"/>
  <c r="U2032" i="50"/>
  <c r="F2032" i="50"/>
  <c r="V2033" i="50"/>
  <c r="F2033" i="50"/>
  <c r="G2033" i="50"/>
  <c r="V2051" i="50"/>
  <c r="U2051" i="50"/>
  <c r="G2051" i="50"/>
  <c r="F2051" i="50"/>
  <c r="D2052" i="50"/>
  <c r="E2052" i="50"/>
  <c r="B2076" i="50"/>
  <c r="V2028" i="50"/>
  <c r="G2028" i="50"/>
  <c r="F2028" i="50"/>
  <c r="V2082" i="50"/>
  <c r="U2082" i="50"/>
  <c r="F2082" i="50"/>
  <c r="V2067" i="50"/>
  <c r="F2067" i="50"/>
  <c r="U2067" i="50"/>
  <c r="G2067" i="50"/>
  <c r="V2037" i="50"/>
  <c r="G2037" i="50"/>
  <c r="U2037" i="50"/>
  <c r="F2037" i="50"/>
  <c r="U2028" i="50"/>
  <c r="U2033" i="50"/>
  <c r="V2074" i="50"/>
  <c r="U2074" i="50"/>
  <c r="G2074" i="50"/>
  <c r="F2074" i="50"/>
  <c r="V2038" i="50"/>
  <c r="F2038" i="50"/>
  <c r="U2038" i="50"/>
  <c r="G2038" i="50"/>
  <c r="G2053" i="50"/>
  <c r="V2053" i="50"/>
  <c r="U2053" i="50"/>
  <c r="F2053" i="50"/>
  <c r="V2044" i="50"/>
  <c r="G2044" i="50"/>
  <c r="F2044" i="50"/>
  <c r="U2046" i="50"/>
  <c r="G2046" i="50"/>
  <c r="F2046" i="50"/>
  <c r="G2082" i="50"/>
  <c r="U2063" i="50"/>
  <c r="G2063" i="50"/>
  <c r="F2063" i="50"/>
  <c r="V2063" i="50"/>
  <c r="G2064" i="50"/>
  <c r="V2064" i="50"/>
  <c r="U2064" i="50"/>
  <c r="F2064" i="50"/>
  <c r="V2035" i="50"/>
  <c r="U2035" i="50"/>
  <c r="G2035" i="50"/>
  <c r="F2035" i="50"/>
  <c r="F2036" i="50"/>
  <c r="U2036" i="50"/>
  <c r="G2036" i="50"/>
  <c r="V2036" i="50"/>
  <c r="U2044" i="50"/>
  <c r="F2030" i="50"/>
  <c r="U2030" i="50"/>
  <c r="G2030" i="50"/>
  <c r="V2090" i="50"/>
  <c r="U2090" i="50"/>
  <c r="G2090" i="50"/>
  <c r="F2090" i="50"/>
  <c r="V2055" i="50"/>
  <c r="U2055" i="50"/>
  <c r="F2055" i="50"/>
  <c r="V2089" i="50"/>
  <c r="U2089" i="50"/>
  <c r="F2089" i="50"/>
  <c r="F2048" i="50"/>
  <c r="V2048" i="50"/>
  <c r="U2048" i="50"/>
  <c r="D2047" i="50"/>
  <c r="E2047" i="50"/>
  <c r="B2071" i="50"/>
  <c r="V2021" i="50"/>
  <c r="F2021" i="50"/>
  <c r="G2021" i="50"/>
  <c r="U2021" i="50"/>
  <c r="F2073" i="50"/>
  <c r="V2073" i="50"/>
  <c r="U2073" i="50"/>
  <c r="V2023" i="50"/>
  <c r="G2023" i="50"/>
  <c r="F2023" i="50"/>
  <c r="B2086" i="50"/>
  <c r="D2086" i="50" s="1"/>
  <c r="E2062" i="50"/>
  <c r="E2068" i="50"/>
  <c r="B2092" i="50"/>
  <c r="D2092" i="50" s="1"/>
  <c r="B2122" i="50"/>
  <c r="D2122" i="50" s="1"/>
  <c r="E2098" i="50"/>
  <c r="E2091" i="50"/>
  <c r="U2091" i="50" s="1"/>
  <c r="B2115" i="50"/>
  <c r="D2115" i="50" s="1"/>
  <c r="E2088" i="50"/>
  <c r="B2112" i="50"/>
  <c r="D2112" i="50" s="1"/>
  <c r="B2121" i="50"/>
  <c r="D2121" i="50" s="1"/>
  <c r="E2097" i="50"/>
  <c r="B2111" i="50"/>
  <c r="D2111" i="50" s="1"/>
  <c r="E2087" i="50"/>
  <c r="B2081" i="50"/>
  <c r="D2081" i="50" s="1"/>
  <c r="E2057" i="50"/>
  <c r="G2057" i="50" s="1"/>
  <c r="E2061" i="50"/>
  <c r="F2061" i="50" s="1"/>
  <c r="B2085" i="50"/>
  <c r="D2085" i="50" s="1"/>
  <c r="E2059" i="50"/>
  <c r="U2059" i="50" s="1"/>
  <c r="B2083" i="50"/>
  <c r="D2083" i="50" s="1"/>
  <c r="E2075" i="50"/>
  <c r="U2075" i="50" s="1"/>
  <c r="B2099" i="50"/>
  <c r="D2099" i="50" s="1"/>
  <c r="E2070" i="50"/>
  <c r="B2094" i="50"/>
  <c r="D2094" i="50" s="1"/>
  <c r="E2045" i="50"/>
  <c r="F2045" i="50" s="1"/>
  <c r="B2069" i="50"/>
  <c r="D2069" i="50" s="1"/>
  <c r="E2056" i="50"/>
  <c r="B2080" i="50"/>
  <c r="D2080" i="50" s="1"/>
  <c r="B2130" i="50"/>
  <c r="D2130" i="50" s="1"/>
  <c r="E2106" i="50"/>
  <c r="B2138" i="50"/>
  <c r="D2138" i="50" s="1"/>
  <c r="E2114" i="50"/>
  <c r="E2077" i="50"/>
  <c r="B2101" i="50"/>
  <c r="D2101" i="50" s="1"/>
  <c r="E2079" i="50"/>
  <c r="B2103" i="50"/>
  <c r="D2103" i="50" s="1"/>
  <c r="E2054" i="50"/>
  <c r="B2078" i="50"/>
  <c r="D2078" i="50" s="1"/>
  <c r="B2137" i="50"/>
  <c r="D2137" i="50" s="1"/>
  <c r="E2113" i="50"/>
  <c r="F2113" i="50" s="1"/>
  <c r="B2084" i="50"/>
  <c r="D2084" i="50" s="1"/>
  <c r="E2060" i="50"/>
  <c r="E2072" i="50"/>
  <c r="B2096" i="50"/>
  <c r="D2096" i="50" s="1"/>
  <c r="U2114" i="50" l="1"/>
  <c r="F2114" i="50"/>
  <c r="V2114" i="50"/>
  <c r="U2068" i="50"/>
  <c r="F2068" i="50"/>
  <c r="V2068" i="50"/>
  <c r="U2087" i="50"/>
  <c r="G2087" i="50"/>
  <c r="F2087" i="50"/>
  <c r="V2087" i="50"/>
  <c r="U2062" i="50"/>
  <c r="G2062" i="50"/>
  <c r="F2062" i="50"/>
  <c r="D2076" i="50"/>
  <c r="B2100" i="50"/>
  <c r="E2076" i="50"/>
  <c r="U2052" i="50"/>
  <c r="G2052" i="50"/>
  <c r="F2052" i="50"/>
  <c r="V2097" i="50"/>
  <c r="U2097" i="50"/>
  <c r="G2097" i="50"/>
  <c r="G2068" i="50"/>
  <c r="V2052" i="50"/>
  <c r="V2060" i="50"/>
  <c r="G2060" i="50"/>
  <c r="F2060" i="50"/>
  <c r="F2088" i="50"/>
  <c r="U2088" i="50"/>
  <c r="V2088" i="50"/>
  <c r="G2088" i="50"/>
  <c r="U2047" i="50"/>
  <c r="V2047" i="50"/>
  <c r="F2047" i="50"/>
  <c r="G2047" i="50"/>
  <c r="D2071" i="50"/>
  <c r="E2071" i="50"/>
  <c r="B2095" i="50"/>
  <c r="F2091" i="50"/>
  <c r="V2091" i="50"/>
  <c r="G2091" i="50"/>
  <c r="V2061" i="50"/>
  <c r="U2061" i="50"/>
  <c r="G2061" i="50"/>
  <c r="F2072" i="50"/>
  <c r="V2072" i="50"/>
  <c r="G2072" i="50"/>
  <c r="U2072" i="50"/>
  <c r="V2098" i="50"/>
  <c r="U2098" i="50"/>
  <c r="F2098" i="50"/>
  <c r="V2057" i="50"/>
  <c r="U2057" i="50"/>
  <c r="F2057" i="50"/>
  <c r="V2113" i="50"/>
  <c r="U2113" i="50"/>
  <c r="G2113" i="50"/>
  <c r="F2075" i="50"/>
  <c r="G2075" i="50"/>
  <c r="V2075" i="50"/>
  <c r="G2098" i="50"/>
  <c r="U2060" i="50"/>
  <c r="U2056" i="50"/>
  <c r="F2056" i="50"/>
  <c r="V2056" i="50"/>
  <c r="G2056" i="50"/>
  <c r="G2114" i="50"/>
  <c r="F2077" i="50"/>
  <c r="G2077" i="50"/>
  <c r="V2077" i="50"/>
  <c r="U2077" i="50"/>
  <c r="V2070" i="50"/>
  <c r="F2070" i="50"/>
  <c r="U2070" i="50"/>
  <c r="G2070" i="50"/>
  <c r="U2054" i="50"/>
  <c r="G2054" i="50"/>
  <c r="V2054" i="50"/>
  <c r="F2054" i="50"/>
  <c r="U2079" i="50"/>
  <c r="G2079" i="50"/>
  <c r="V2079" i="50"/>
  <c r="F2079" i="50"/>
  <c r="V2059" i="50"/>
  <c r="G2059" i="50"/>
  <c r="F2059" i="50"/>
  <c r="F2097" i="50"/>
  <c r="V2062" i="50"/>
  <c r="V2106" i="50"/>
  <c r="U2106" i="50"/>
  <c r="G2106" i="50"/>
  <c r="F2106" i="50"/>
  <c r="V2045" i="50"/>
  <c r="U2045" i="50"/>
  <c r="G2045" i="50"/>
  <c r="B2139" i="50"/>
  <c r="D2139" i="50" s="1"/>
  <c r="E2115" i="50"/>
  <c r="B2116" i="50"/>
  <c r="D2116" i="50" s="1"/>
  <c r="E2092" i="50"/>
  <c r="U2092" i="50" s="1"/>
  <c r="B2161" i="50"/>
  <c r="D2161" i="50" s="1"/>
  <c r="E2137" i="50"/>
  <c r="B2109" i="50"/>
  <c r="D2109" i="50" s="1"/>
  <c r="E2085" i="50"/>
  <c r="E2111" i="50"/>
  <c r="B2135" i="50"/>
  <c r="D2135" i="50" s="1"/>
  <c r="B2107" i="50"/>
  <c r="D2107" i="50" s="1"/>
  <c r="E2083" i="50"/>
  <c r="B2145" i="50"/>
  <c r="D2145" i="50" s="1"/>
  <c r="E2121" i="50"/>
  <c r="B2146" i="50"/>
  <c r="D2146" i="50" s="1"/>
  <c r="E2122" i="50"/>
  <c r="B2120" i="50"/>
  <c r="D2120" i="50" s="1"/>
  <c r="E2096" i="50"/>
  <c r="G2096" i="50" s="1"/>
  <c r="B2127" i="50"/>
  <c r="D2127" i="50" s="1"/>
  <c r="E2103" i="50"/>
  <c r="B2162" i="50"/>
  <c r="D2162" i="50" s="1"/>
  <c r="E2138" i="50"/>
  <c r="B2123" i="50"/>
  <c r="D2123" i="50" s="1"/>
  <c r="E2099" i="50"/>
  <c r="B2125" i="50"/>
  <c r="D2125" i="50" s="1"/>
  <c r="E2101" i="50"/>
  <c r="B2154" i="50"/>
  <c r="D2154" i="50" s="1"/>
  <c r="E2130" i="50"/>
  <c r="G2130" i="50" s="1"/>
  <c r="E2086" i="50"/>
  <c r="B2110" i="50"/>
  <c r="D2110" i="50" s="1"/>
  <c r="B2104" i="50"/>
  <c r="D2104" i="50" s="1"/>
  <c r="E2080" i="50"/>
  <c r="B2105" i="50"/>
  <c r="D2105" i="50" s="1"/>
  <c r="E2081" i="50"/>
  <c r="F2081" i="50" s="1"/>
  <c r="E2084" i="50"/>
  <c r="B2108" i="50"/>
  <c r="D2108" i="50" s="1"/>
  <c r="B2118" i="50"/>
  <c r="D2118" i="50" s="1"/>
  <c r="E2094" i="50"/>
  <c r="V2094" i="50" s="1"/>
  <c r="B2102" i="50"/>
  <c r="D2102" i="50" s="1"/>
  <c r="E2078" i="50"/>
  <c r="V2078" i="50" s="1"/>
  <c r="B2093" i="50"/>
  <c r="D2093" i="50" s="1"/>
  <c r="E2069" i="50"/>
  <c r="B2136" i="50"/>
  <c r="D2136" i="50" s="1"/>
  <c r="E2112" i="50"/>
  <c r="G2112" i="50" s="1"/>
  <c r="U2076" i="50" l="1"/>
  <c r="V2085" i="50"/>
  <c r="G2085" i="50"/>
  <c r="U2085" i="50"/>
  <c r="F2085" i="50"/>
  <c r="F2103" i="50"/>
  <c r="U2103" i="50"/>
  <c r="G2103" i="50"/>
  <c r="V2103" i="50"/>
  <c r="U2137" i="50"/>
  <c r="V2137" i="50"/>
  <c r="G2137" i="50"/>
  <c r="F2137" i="50"/>
  <c r="V2111" i="50"/>
  <c r="F2111" i="50"/>
  <c r="U2111" i="50"/>
  <c r="G2111" i="50"/>
  <c r="V2080" i="50"/>
  <c r="U2080" i="50"/>
  <c r="F2080" i="50"/>
  <c r="V2096" i="50"/>
  <c r="F2096" i="50"/>
  <c r="U2096" i="50"/>
  <c r="V2092" i="50"/>
  <c r="G2092" i="50"/>
  <c r="F2092" i="50"/>
  <c r="G2138" i="50"/>
  <c r="F2138" i="50"/>
  <c r="V2138" i="50"/>
  <c r="U2138" i="50"/>
  <c r="D2095" i="50"/>
  <c r="B2119" i="50"/>
  <c r="E2095" i="50"/>
  <c r="V2122" i="50"/>
  <c r="U2122" i="50"/>
  <c r="G2122" i="50"/>
  <c r="F2122" i="50"/>
  <c r="V2115" i="50"/>
  <c r="U2115" i="50"/>
  <c r="G2115" i="50"/>
  <c r="F2115" i="50"/>
  <c r="F2071" i="50"/>
  <c r="G2071" i="50"/>
  <c r="V2071" i="50"/>
  <c r="V2084" i="50"/>
  <c r="U2084" i="50"/>
  <c r="G2084" i="50"/>
  <c r="F2084" i="50"/>
  <c r="U2071" i="50"/>
  <c r="U2086" i="50"/>
  <c r="G2086" i="50"/>
  <c r="V2086" i="50"/>
  <c r="F2086" i="50"/>
  <c r="V2112" i="50"/>
  <c r="U2112" i="50"/>
  <c r="F2112" i="50"/>
  <c r="V2130" i="50"/>
  <c r="U2130" i="50"/>
  <c r="F2130" i="50"/>
  <c r="G2121" i="50"/>
  <c r="V2121" i="50"/>
  <c r="F2121" i="50"/>
  <c r="U2121" i="50"/>
  <c r="V2081" i="50"/>
  <c r="U2081" i="50"/>
  <c r="G2081" i="50"/>
  <c r="G2101" i="50"/>
  <c r="V2101" i="50"/>
  <c r="U2101" i="50"/>
  <c r="F2101" i="50"/>
  <c r="V2083" i="50"/>
  <c r="U2083" i="50"/>
  <c r="G2083" i="50"/>
  <c r="F2083" i="50"/>
  <c r="D2100" i="50"/>
  <c r="E2100" i="50"/>
  <c r="B2124" i="50"/>
  <c r="V2069" i="50"/>
  <c r="G2069" i="50"/>
  <c r="U2069" i="50"/>
  <c r="F2069" i="50"/>
  <c r="G2080" i="50"/>
  <c r="G2078" i="50"/>
  <c r="F2078" i="50"/>
  <c r="U2078" i="50"/>
  <c r="V2099" i="50"/>
  <c r="U2099" i="50"/>
  <c r="G2099" i="50"/>
  <c r="F2099" i="50"/>
  <c r="V2076" i="50"/>
  <c r="G2076" i="50"/>
  <c r="F2076" i="50"/>
  <c r="U2094" i="50"/>
  <c r="G2094" i="50"/>
  <c r="F2094" i="50"/>
  <c r="E2104" i="50"/>
  <c r="B2128" i="50"/>
  <c r="D2128" i="50" s="1"/>
  <c r="E2107" i="50"/>
  <c r="B2131" i="50"/>
  <c r="D2131" i="50" s="1"/>
  <c r="B2159" i="50"/>
  <c r="D2159" i="50" s="1"/>
  <c r="E2135" i="50"/>
  <c r="B2186" i="50"/>
  <c r="D2186" i="50" s="1"/>
  <c r="E2162" i="50"/>
  <c r="E2127" i="50"/>
  <c r="B2151" i="50"/>
  <c r="D2151" i="50" s="1"/>
  <c r="B2178" i="50"/>
  <c r="D2178" i="50" s="1"/>
  <c r="E2154" i="50"/>
  <c r="E2109" i="50"/>
  <c r="B2133" i="50"/>
  <c r="D2133" i="50" s="1"/>
  <c r="E2102" i="50"/>
  <c r="B2126" i="50"/>
  <c r="D2126" i="50" s="1"/>
  <c r="E2120" i="50"/>
  <c r="B2144" i="50"/>
  <c r="D2144" i="50" s="1"/>
  <c r="B2134" i="50"/>
  <c r="D2134" i="50" s="1"/>
  <c r="E2110" i="50"/>
  <c r="E2125" i="50"/>
  <c r="B2149" i="50"/>
  <c r="D2149" i="50" s="1"/>
  <c r="B2185" i="50"/>
  <c r="D2185" i="50" s="1"/>
  <c r="E2161" i="50"/>
  <c r="F2161" i="50" s="1"/>
  <c r="B2169" i="50"/>
  <c r="D2169" i="50" s="1"/>
  <c r="E2145" i="50"/>
  <c r="F2145" i="50" s="1"/>
  <c r="B2170" i="50"/>
  <c r="D2170" i="50" s="1"/>
  <c r="E2146" i="50"/>
  <c r="G2146" i="50" s="1"/>
  <c r="B2132" i="50"/>
  <c r="D2132" i="50" s="1"/>
  <c r="E2108" i="50"/>
  <c r="B2129" i="50"/>
  <c r="D2129" i="50" s="1"/>
  <c r="E2105" i="50"/>
  <c r="G2105" i="50" s="1"/>
  <c r="E2123" i="50"/>
  <c r="B2147" i="50"/>
  <c r="D2147" i="50" s="1"/>
  <c r="E2116" i="50"/>
  <c r="B2140" i="50"/>
  <c r="D2140" i="50" s="1"/>
  <c r="E2093" i="50"/>
  <c r="B2117" i="50"/>
  <c r="D2117" i="50" s="1"/>
  <c r="E2118" i="50"/>
  <c r="B2142" i="50"/>
  <c r="D2142" i="50" s="1"/>
  <c r="E2136" i="50"/>
  <c r="B2160" i="50"/>
  <c r="D2160" i="50" s="1"/>
  <c r="E2139" i="50"/>
  <c r="B2163" i="50"/>
  <c r="D2163" i="50" s="1"/>
  <c r="U2110" i="50" l="1"/>
  <c r="G2110" i="50"/>
  <c r="F2110" i="50"/>
  <c r="V2107" i="50"/>
  <c r="G2107" i="50"/>
  <c r="F2107" i="50"/>
  <c r="V2120" i="50"/>
  <c r="G2120" i="50"/>
  <c r="U2120" i="50"/>
  <c r="F2120" i="50"/>
  <c r="U2104" i="50"/>
  <c r="F2104" i="50"/>
  <c r="V2104" i="50"/>
  <c r="G2104" i="50"/>
  <c r="F2135" i="50"/>
  <c r="V2135" i="50"/>
  <c r="U2135" i="50"/>
  <c r="G2135" i="50"/>
  <c r="V2139" i="50"/>
  <c r="G2139" i="50"/>
  <c r="F2139" i="50"/>
  <c r="G2125" i="50"/>
  <c r="V2125" i="50"/>
  <c r="U2125" i="50"/>
  <c r="F2125" i="50"/>
  <c r="G2108" i="50"/>
  <c r="F2108" i="50"/>
  <c r="V2108" i="50"/>
  <c r="U2107" i="50"/>
  <c r="F2123" i="50"/>
  <c r="G2123" i="50"/>
  <c r="V2123" i="50"/>
  <c r="U2109" i="50"/>
  <c r="F2109" i="50"/>
  <c r="V2109" i="50"/>
  <c r="G2109" i="50"/>
  <c r="V2110" i="50"/>
  <c r="V2116" i="50"/>
  <c r="G2116" i="50"/>
  <c r="U2116" i="50"/>
  <c r="F2116" i="50"/>
  <c r="U2154" i="50"/>
  <c r="G2154" i="50"/>
  <c r="F2154" i="50"/>
  <c r="V2154" i="50"/>
  <c r="U2136" i="50"/>
  <c r="F2136" i="50"/>
  <c r="V2136" i="50"/>
  <c r="G2136" i="50"/>
  <c r="U2139" i="50"/>
  <c r="V2145" i="50"/>
  <c r="U2145" i="50"/>
  <c r="G2145" i="50"/>
  <c r="U2108" i="50"/>
  <c r="V2105" i="50"/>
  <c r="F2105" i="50"/>
  <c r="U2105" i="50"/>
  <c r="G2102" i="50"/>
  <c r="V2102" i="50"/>
  <c r="F2102" i="50"/>
  <c r="U2102" i="50"/>
  <c r="U2118" i="50"/>
  <c r="G2118" i="50"/>
  <c r="F2118" i="50"/>
  <c r="G2127" i="50"/>
  <c r="U2127" i="50"/>
  <c r="F2127" i="50"/>
  <c r="V2127" i="50"/>
  <c r="U2123" i="50"/>
  <c r="D2124" i="50"/>
  <c r="E2124" i="50"/>
  <c r="B2148" i="50"/>
  <c r="U2095" i="50"/>
  <c r="G2095" i="50"/>
  <c r="V2095" i="50"/>
  <c r="F2095" i="50"/>
  <c r="V2146" i="50"/>
  <c r="U2146" i="50"/>
  <c r="F2146" i="50"/>
  <c r="V2161" i="50"/>
  <c r="U2161" i="50"/>
  <c r="G2161" i="50"/>
  <c r="V2162" i="50"/>
  <c r="U2162" i="50"/>
  <c r="F2162" i="50"/>
  <c r="G2162" i="50"/>
  <c r="V2100" i="50"/>
  <c r="G2100" i="50"/>
  <c r="F2100" i="50"/>
  <c r="U2100" i="50"/>
  <c r="D2119" i="50"/>
  <c r="B2143" i="50"/>
  <c r="E2119" i="50"/>
  <c r="V2118" i="50"/>
  <c r="U2093" i="50"/>
  <c r="G2093" i="50"/>
  <c r="F2093" i="50"/>
  <c r="V2093" i="50"/>
  <c r="E2132" i="50"/>
  <c r="B2156" i="50"/>
  <c r="D2156" i="50" s="1"/>
  <c r="B2168" i="50"/>
  <c r="D2168" i="50" s="1"/>
  <c r="E2144" i="50"/>
  <c r="B2173" i="50"/>
  <c r="D2173" i="50" s="1"/>
  <c r="E2149" i="50"/>
  <c r="B2202" i="50"/>
  <c r="D2202" i="50" s="1"/>
  <c r="E2178" i="50"/>
  <c r="G2178" i="50" s="1"/>
  <c r="B2166" i="50"/>
  <c r="D2166" i="50" s="1"/>
  <c r="E2142" i="50"/>
  <c r="V2142" i="50" s="1"/>
  <c r="B2171" i="50"/>
  <c r="D2171" i="50" s="1"/>
  <c r="E2147" i="50"/>
  <c r="E2159" i="50"/>
  <c r="B2183" i="50"/>
  <c r="D2183" i="50" s="1"/>
  <c r="B2193" i="50"/>
  <c r="D2193" i="50" s="1"/>
  <c r="E2169" i="50"/>
  <c r="B2155" i="50"/>
  <c r="D2155" i="50" s="1"/>
  <c r="E2131" i="50"/>
  <c r="B2187" i="50"/>
  <c r="D2187" i="50" s="1"/>
  <c r="E2163" i="50"/>
  <c r="B2194" i="50"/>
  <c r="D2194" i="50" s="1"/>
  <c r="E2170" i="50"/>
  <c r="E2134" i="50"/>
  <c r="V2134" i="50" s="1"/>
  <c r="B2158" i="50"/>
  <c r="D2158" i="50" s="1"/>
  <c r="B2150" i="50"/>
  <c r="D2150" i="50" s="1"/>
  <c r="E2126" i="50"/>
  <c r="V2126" i="50" s="1"/>
  <c r="B2164" i="50"/>
  <c r="D2164" i="50" s="1"/>
  <c r="E2140" i="50"/>
  <c r="B2153" i="50"/>
  <c r="D2153" i="50" s="1"/>
  <c r="E2129" i="50"/>
  <c r="F2129" i="50" s="1"/>
  <c r="B2184" i="50"/>
  <c r="D2184" i="50" s="1"/>
  <c r="E2160" i="50"/>
  <c r="G2160" i="50" s="1"/>
  <c r="B2141" i="50"/>
  <c r="D2141" i="50" s="1"/>
  <c r="E2117" i="50"/>
  <c r="B2209" i="50"/>
  <c r="D2209" i="50" s="1"/>
  <c r="E2185" i="50"/>
  <c r="B2175" i="50"/>
  <c r="D2175" i="50" s="1"/>
  <c r="E2151" i="50"/>
  <c r="B2152" i="50"/>
  <c r="D2152" i="50" s="1"/>
  <c r="E2128" i="50"/>
  <c r="G2128" i="50" s="1"/>
  <c r="B2210" i="50"/>
  <c r="D2210" i="50" s="1"/>
  <c r="E2186" i="50"/>
  <c r="B2157" i="50"/>
  <c r="D2157" i="50" s="1"/>
  <c r="E2133" i="50"/>
  <c r="V2144" i="50" l="1"/>
  <c r="U2144" i="50"/>
  <c r="F2144" i="50"/>
  <c r="V2132" i="50"/>
  <c r="U2132" i="50"/>
  <c r="G2132" i="50"/>
  <c r="F2132" i="50"/>
  <c r="U2169" i="50"/>
  <c r="V2169" i="50"/>
  <c r="G2169" i="50"/>
  <c r="F2169" i="50"/>
  <c r="G2131" i="50"/>
  <c r="F2131" i="50"/>
  <c r="V2131" i="50"/>
  <c r="U2131" i="50"/>
  <c r="G2133" i="50"/>
  <c r="U2133" i="50"/>
  <c r="F2133" i="50"/>
  <c r="V2133" i="50"/>
  <c r="G2159" i="50"/>
  <c r="V2159" i="50"/>
  <c r="U2159" i="50"/>
  <c r="F2159" i="50"/>
  <c r="G2144" i="50"/>
  <c r="U2124" i="50"/>
  <c r="V2160" i="50"/>
  <c r="F2160" i="50"/>
  <c r="U2160" i="50"/>
  <c r="V2140" i="50"/>
  <c r="G2140" i="50"/>
  <c r="F2140" i="50"/>
  <c r="V2147" i="50"/>
  <c r="U2147" i="50"/>
  <c r="G2147" i="50"/>
  <c r="F2147" i="50"/>
  <c r="V2119" i="50"/>
  <c r="F2119" i="50"/>
  <c r="U2119" i="50"/>
  <c r="G2119" i="50"/>
  <c r="G2185" i="50"/>
  <c r="F2185" i="50"/>
  <c r="V2185" i="50"/>
  <c r="U2185" i="50"/>
  <c r="G2126" i="50"/>
  <c r="F2126" i="50"/>
  <c r="U2126" i="50"/>
  <c r="U2142" i="50"/>
  <c r="G2142" i="50"/>
  <c r="F2142" i="50"/>
  <c r="D2143" i="50"/>
  <c r="B2167" i="50"/>
  <c r="E2143" i="50"/>
  <c r="V2124" i="50"/>
  <c r="G2124" i="50"/>
  <c r="F2124" i="50"/>
  <c r="V2163" i="50"/>
  <c r="U2163" i="50"/>
  <c r="G2163" i="50"/>
  <c r="F2163" i="50"/>
  <c r="V2186" i="50"/>
  <c r="U2186" i="50"/>
  <c r="G2186" i="50"/>
  <c r="F2186" i="50"/>
  <c r="V2128" i="50"/>
  <c r="F2128" i="50"/>
  <c r="U2128" i="50"/>
  <c r="V2178" i="50"/>
  <c r="U2178" i="50"/>
  <c r="F2178" i="50"/>
  <c r="U2140" i="50"/>
  <c r="V2129" i="50"/>
  <c r="U2129" i="50"/>
  <c r="G2129" i="50"/>
  <c r="U2134" i="50"/>
  <c r="G2134" i="50"/>
  <c r="F2134" i="50"/>
  <c r="U2117" i="50"/>
  <c r="F2117" i="50"/>
  <c r="V2117" i="50"/>
  <c r="G2117" i="50"/>
  <c r="F2151" i="50"/>
  <c r="U2151" i="50"/>
  <c r="G2151" i="50"/>
  <c r="V2151" i="50"/>
  <c r="V2170" i="50"/>
  <c r="U2170" i="50"/>
  <c r="G2170" i="50"/>
  <c r="F2170" i="50"/>
  <c r="V2149" i="50"/>
  <c r="G2149" i="50"/>
  <c r="U2149" i="50"/>
  <c r="F2149" i="50"/>
  <c r="D2148" i="50"/>
  <c r="B2172" i="50"/>
  <c r="E2148" i="50"/>
  <c r="E2175" i="50"/>
  <c r="B2199" i="50"/>
  <c r="D2199" i="50" s="1"/>
  <c r="B2217" i="50"/>
  <c r="D2217" i="50" s="1"/>
  <c r="E2193" i="50"/>
  <c r="F2193" i="50" s="1"/>
  <c r="E2150" i="50"/>
  <c r="V2150" i="50" s="1"/>
  <c r="B2174" i="50"/>
  <c r="D2174" i="50" s="1"/>
  <c r="B2233" i="50"/>
  <c r="D2233" i="50" s="1"/>
  <c r="E2209" i="50"/>
  <c r="F2209" i="50" s="1"/>
  <c r="B2177" i="50"/>
  <c r="D2177" i="50" s="1"/>
  <c r="E2153" i="50"/>
  <c r="B2182" i="50"/>
  <c r="D2182" i="50" s="1"/>
  <c r="E2158" i="50"/>
  <c r="V2158" i="50" s="1"/>
  <c r="E2171" i="50"/>
  <c r="B2195" i="50"/>
  <c r="D2195" i="50" s="1"/>
  <c r="B2207" i="50"/>
  <c r="D2207" i="50" s="1"/>
  <c r="E2183" i="50"/>
  <c r="E2166" i="50"/>
  <c r="V2166" i="50" s="1"/>
  <c r="B2190" i="50"/>
  <c r="D2190" i="50" s="1"/>
  <c r="E2157" i="50"/>
  <c r="B2181" i="50"/>
  <c r="D2181" i="50" s="1"/>
  <c r="E2164" i="50"/>
  <c r="B2188" i="50"/>
  <c r="D2188" i="50" s="1"/>
  <c r="E2168" i="50"/>
  <c r="B2192" i="50"/>
  <c r="D2192" i="50" s="1"/>
  <c r="B2218" i="50"/>
  <c r="D2218" i="50" s="1"/>
  <c r="E2194" i="50"/>
  <c r="B2180" i="50"/>
  <c r="D2180" i="50" s="1"/>
  <c r="E2156" i="50"/>
  <c r="E2152" i="50"/>
  <c r="B2176" i="50"/>
  <c r="D2176" i="50" s="1"/>
  <c r="B2234" i="50"/>
  <c r="D2234" i="50" s="1"/>
  <c r="E2210" i="50"/>
  <c r="G2210" i="50" s="1"/>
  <c r="E2141" i="50"/>
  <c r="B2165" i="50"/>
  <c r="D2165" i="50" s="1"/>
  <c r="E2187" i="50"/>
  <c r="B2211" i="50"/>
  <c r="D2211" i="50" s="1"/>
  <c r="E2173" i="50"/>
  <c r="B2197" i="50"/>
  <c r="D2197" i="50" s="1"/>
  <c r="E2184" i="50"/>
  <c r="B2208" i="50"/>
  <c r="D2208" i="50" s="1"/>
  <c r="B2226" i="50"/>
  <c r="D2226" i="50" s="1"/>
  <c r="E2202" i="50"/>
  <c r="E2155" i="50"/>
  <c r="B2179" i="50"/>
  <c r="D2179" i="50" s="1"/>
  <c r="G2141" i="50" l="1"/>
  <c r="U2141" i="50"/>
  <c r="F2141" i="50"/>
  <c r="V2141" i="50"/>
  <c r="U2150" i="50"/>
  <c r="G2150" i="50"/>
  <c r="F2150" i="50"/>
  <c r="V2193" i="50"/>
  <c r="U2193" i="50"/>
  <c r="G2193" i="50"/>
  <c r="F2157" i="50"/>
  <c r="U2157" i="50"/>
  <c r="V2157" i="50"/>
  <c r="G2157" i="50"/>
  <c r="V2209" i="50"/>
  <c r="U2209" i="50"/>
  <c r="G2209" i="50"/>
  <c r="V2187" i="50"/>
  <c r="F2187" i="50"/>
  <c r="G2187" i="50"/>
  <c r="U2152" i="50"/>
  <c r="V2152" i="50"/>
  <c r="F2152" i="50"/>
  <c r="G2152" i="50"/>
  <c r="G2175" i="50"/>
  <c r="V2175" i="50"/>
  <c r="U2175" i="50"/>
  <c r="F2175" i="50"/>
  <c r="U2148" i="50"/>
  <c r="V2148" i="50"/>
  <c r="G2148" i="50"/>
  <c r="F2148" i="50"/>
  <c r="V2143" i="50"/>
  <c r="U2143" i="50"/>
  <c r="F2143" i="50"/>
  <c r="G2143" i="50"/>
  <c r="F2183" i="50"/>
  <c r="V2183" i="50"/>
  <c r="U2183" i="50"/>
  <c r="G2183" i="50"/>
  <c r="U2155" i="50"/>
  <c r="G2155" i="50"/>
  <c r="F2155" i="50"/>
  <c r="V2155" i="50"/>
  <c r="D2172" i="50"/>
  <c r="E2172" i="50"/>
  <c r="B2196" i="50"/>
  <c r="D2167" i="50"/>
  <c r="B2191" i="50"/>
  <c r="E2167" i="50"/>
  <c r="U2166" i="50"/>
  <c r="G2166" i="50"/>
  <c r="F2166" i="50"/>
  <c r="U2194" i="50"/>
  <c r="F2194" i="50"/>
  <c r="V2194" i="50"/>
  <c r="G2171" i="50"/>
  <c r="V2171" i="50"/>
  <c r="U2171" i="50"/>
  <c r="F2171" i="50"/>
  <c r="V2202" i="50"/>
  <c r="U2202" i="50"/>
  <c r="G2202" i="50"/>
  <c r="F2202" i="50"/>
  <c r="U2158" i="50"/>
  <c r="G2158" i="50"/>
  <c r="F2158" i="50"/>
  <c r="V2156" i="50"/>
  <c r="G2156" i="50"/>
  <c r="F2156" i="50"/>
  <c r="U2184" i="50"/>
  <c r="F2184" i="50"/>
  <c r="V2184" i="50"/>
  <c r="G2184" i="50"/>
  <c r="G2194" i="50"/>
  <c r="V2210" i="50"/>
  <c r="U2210" i="50"/>
  <c r="F2210" i="50"/>
  <c r="V2153" i="50"/>
  <c r="U2153" i="50"/>
  <c r="G2153" i="50"/>
  <c r="F2153" i="50"/>
  <c r="U2156" i="50"/>
  <c r="V2164" i="50"/>
  <c r="U2164" i="50"/>
  <c r="G2164" i="50"/>
  <c r="F2164" i="50"/>
  <c r="U2173" i="50"/>
  <c r="G2173" i="50"/>
  <c r="F2173" i="50"/>
  <c r="V2173" i="50"/>
  <c r="U2168" i="50"/>
  <c r="V2168" i="50"/>
  <c r="G2168" i="50"/>
  <c r="F2168" i="50"/>
  <c r="U2187" i="50"/>
  <c r="B2205" i="50"/>
  <c r="D2205" i="50" s="1"/>
  <c r="E2181" i="50"/>
  <c r="U2181" i="50" s="1"/>
  <c r="B2189" i="50"/>
  <c r="D2189" i="50" s="1"/>
  <c r="E2165" i="50"/>
  <c r="B2198" i="50"/>
  <c r="D2198" i="50" s="1"/>
  <c r="E2174" i="50"/>
  <c r="E2182" i="50"/>
  <c r="B2206" i="50"/>
  <c r="D2206" i="50" s="1"/>
  <c r="B2216" i="50"/>
  <c r="D2216" i="50" s="1"/>
  <c r="E2192" i="50"/>
  <c r="G2192" i="50" s="1"/>
  <c r="E2180" i="50"/>
  <c r="B2204" i="50"/>
  <c r="D2204" i="50" s="1"/>
  <c r="B2201" i="50"/>
  <c r="D2201" i="50" s="1"/>
  <c r="E2177" i="50"/>
  <c r="F2177" i="50" s="1"/>
  <c r="B2235" i="50"/>
  <c r="D2235" i="50" s="1"/>
  <c r="E2211" i="50"/>
  <c r="B2258" i="50"/>
  <c r="D2258" i="50" s="1"/>
  <c r="E2234" i="50"/>
  <c r="B2221" i="50"/>
  <c r="D2221" i="50" s="1"/>
  <c r="E2197" i="50"/>
  <c r="U2197" i="50" s="1"/>
  <c r="B2214" i="50"/>
  <c r="D2214" i="50" s="1"/>
  <c r="E2190" i="50"/>
  <c r="B2257" i="50"/>
  <c r="D2257" i="50" s="1"/>
  <c r="E2233" i="50"/>
  <c r="G2233" i="50" s="1"/>
  <c r="B2232" i="50"/>
  <c r="D2232" i="50" s="1"/>
  <c r="E2208" i="50"/>
  <c r="G2208" i="50" s="1"/>
  <c r="B2212" i="50"/>
  <c r="D2212" i="50" s="1"/>
  <c r="E2188" i="50"/>
  <c r="B2250" i="50"/>
  <c r="D2250" i="50" s="1"/>
  <c r="E2226" i="50"/>
  <c r="B2200" i="50"/>
  <c r="D2200" i="50" s="1"/>
  <c r="E2176" i="50"/>
  <c r="G2176" i="50" s="1"/>
  <c r="B2242" i="50"/>
  <c r="D2242" i="50" s="1"/>
  <c r="E2218" i="50"/>
  <c r="B2223" i="50"/>
  <c r="D2223" i="50" s="1"/>
  <c r="E2199" i="50"/>
  <c r="E2207" i="50"/>
  <c r="B2231" i="50"/>
  <c r="D2231" i="50" s="1"/>
  <c r="B2203" i="50"/>
  <c r="D2203" i="50" s="1"/>
  <c r="E2179" i="50"/>
  <c r="B2219" i="50"/>
  <c r="D2219" i="50" s="1"/>
  <c r="E2195" i="50"/>
  <c r="B2241" i="50"/>
  <c r="D2241" i="50" s="1"/>
  <c r="E2217" i="50"/>
  <c r="G2217" i="50" s="1"/>
  <c r="V2226" i="50" l="1"/>
  <c r="U2226" i="50"/>
  <c r="F2226" i="50"/>
  <c r="G2188" i="50"/>
  <c r="F2188" i="50"/>
  <c r="V2188" i="50"/>
  <c r="V2180" i="50"/>
  <c r="F2180" i="50"/>
  <c r="G2180" i="50"/>
  <c r="U2180" i="50"/>
  <c r="F2208" i="50"/>
  <c r="V2208" i="50"/>
  <c r="U2208" i="50"/>
  <c r="V2195" i="50"/>
  <c r="U2195" i="50"/>
  <c r="G2195" i="50"/>
  <c r="F2195" i="50"/>
  <c r="G2182" i="50"/>
  <c r="U2182" i="50"/>
  <c r="F2182" i="50"/>
  <c r="G2167" i="50"/>
  <c r="F2167" i="50"/>
  <c r="V2167" i="50"/>
  <c r="U2167" i="50"/>
  <c r="U2190" i="50"/>
  <c r="G2190" i="50"/>
  <c r="F2190" i="50"/>
  <c r="U2174" i="50"/>
  <c r="G2174" i="50"/>
  <c r="F2174" i="50"/>
  <c r="D2191" i="50"/>
  <c r="E2191" i="50"/>
  <c r="B2215" i="50"/>
  <c r="V2190" i="50"/>
  <c r="V2176" i="50"/>
  <c r="U2176" i="50"/>
  <c r="F2176" i="50"/>
  <c r="V2207" i="50"/>
  <c r="U2207" i="50"/>
  <c r="G2207" i="50"/>
  <c r="F2207" i="50"/>
  <c r="V2211" i="50"/>
  <c r="U2211" i="50"/>
  <c r="G2211" i="50"/>
  <c r="F2211" i="50"/>
  <c r="U2199" i="50"/>
  <c r="G2199" i="50"/>
  <c r="F2199" i="50"/>
  <c r="V2199" i="50"/>
  <c r="V2197" i="50"/>
  <c r="G2197" i="50"/>
  <c r="F2197" i="50"/>
  <c r="V2165" i="50"/>
  <c r="G2165" i="50"/>
  <c r="F2165" i="50"/>
  <c r="G2226" i="50"/>
  <c r="V2182" i="50"/>
  <c r="D2196" i="50"/>
  <c r="E2196" i="50"/>
  <c r="B2220" i="50"/>
  <c r="V2172" i="50"/>
  <c r="G2172" i="50"/>
  <c r="F2172" i="50"/>
  <c r="U2177" i="50"/>
  <c r="G2177" i="50"/>
  <c r="V2177" i="50"/>
  <c r="V2233" i="50"/>
  <c r="U2233" i="50"/>
  <c r="F2233" i="50"/>
  <c r="V2218" i="50"/>
  <c r="U2218" i="50"/>
  <c r="G2218" i="50"/>
  <c r="F2218" i="50"/>
  <c r="F2234" i="50"/>
  <c r="V2234" i="50"/>
  <c r="U2234" i="50"/>
  <c r="G2234" i="50"/>
  <c r="V2181" i="50"/>
  <c r="G2181" i="50"/>
  <c r="F2181" i="50"/>
  <c r="U2172" i="50"/>
  <c r="V2174" i="50"/>
  <c r="V2217" i="50"/>
  <c r="U2217" i="50"/>
  <c r="F2217" i="50"/>
  <c r="U2188" i="50"/>
  <c r="V2192" i="50"/>
  <c r="F2192" i="50"/>
  <c r="U2192" i="50"/>
  <c r="V2179" i="50"/>
  <c r="U2179" i="50"/>
  <c r="G2179" i="50"/>
  <c r="F2179" i="50"/>
  <c r="U2165" i="50"/>
  <c r="E2189" i="50"/>
  <c r="B2213" i="50"/>
  <c r="D2213" i="50" s="1"/>
  <c r="B2255" i="50"/>
  <c r="D2255" i="50" s="1"/>
  <c r="E2231" i="50"/>
  <c r="E2242" i="50"/>
  <c r="G2242" i="50" s="1"/>
  <c r="B2266" i="50"/>
  <c r="D2266" i="50" s="1"/>
  <c r="E2232" i="50"/>
  <c r="B2256" i="50"/>
  <c r="D2256" i="50" s="1"/>
  <c r="B2282" i="50"/>
  <c r="D2282" i="50" s="1"/>
  <c r="E2258" i="50"/>
  <c r="G2258" i="50" s="1"/>
  <c r="E2216" i="50"/>
  <c r="B2240" i="50"/>
  <c r="D2240" i="50" s="1"/>
  <c r="E2205" i="50"/>
  <c r="B2229" i="50"/>
  <c r="D2229" i="50" s="1"/>
  <c r="E2212" i="50"/>
  <c r="B2236" i="50"/>
  <c r="D2236" i="50" s="1"/>
  <c r="E2200" i="50"/>
  <c r="B2224" i="50"/>
  <c r="D2224" i="50" s="1"/>
  <c r="B2281" i="50"/>
  <c r="D2281" i="50" s="1"/>
  <c r="E2257" i="50"/>
  <c r="E2235" i="50"/>
  <c r="U2235" i="50" s="1"/>
  <c r="B2259" i="50"/>
  <c r="D2259" i="50" s="1"/>
  <c r="B2274" i="50"/>
  <c r="D2274" i="50" s="1"/>
  <c r="E2250" i="50"/>
  <c r="E2214" i="50"/>
  <c r="B2238" i="50"/>
  <c r="D2238" i="50" s="1"/>
  <c r="E2198" i="50"/>
  <c r="V2198" i="50" s="1"/>
  <c r="B2222" i="50"/>
  <c r="D2222" i="50" s="1"/>
  <c r="E2203" i="50"/>
  <c r="B2227" i="50"/>
  <c r="D2227" i="50" s="1"/>
  <c r="B2228" i="50"/>
  <c r="D2228" i="50" s="1"/>
  <c r="E2204" i="50"/>
  <c r="U2204" i="50" s="1"/>
  <c r="E2223" i="50"/>
  <c r="B2247" i="50"/>
  <c r="D2247" i="50" s="1"/>
  <c r="E2221" i="50"/>
  <c r="B2245" i="50"/>
  <c r="D2245" i="50" s="1"/>
  <c r="B2225" i="50"/>
  <c r="D2225" i="50" s="1"/>
  <c r="E2201" i="50"/>
  <c r="B2230" i="50"/>
  <c r="D2230" i="50" s="1"/>
  <c r="E2206" i="50"/>
  <c r="V2206" i="50" s="1"/>
  <c r="B2265" i="50"/>
  <c r="D2265" i="50" s="1"/>
  <c r="E2241" i="50"/>
  <c r="F2241" i="50" s="1"/>
  <c r="E2219" i="50"/>
  <c r="U2219" i="50" s="1"/>
  <c r="B2243" i="50"/>
  <c r="D2243" i="50" s="1"/>
  <c r="U2200" i="50" l="1"/>
  <c r="V2200" i="50"/>
  <c r="G2200" i="50"/>
  <c r="F2200" i="50"/>
  <c r="V2231" i="50"/>
  <c r="F2231" i="50"/>
  <c r="U2231" i="50"/>
  <c r="G2231" i="50"/>
  <c r="V2212" i="50"/>
  <c r="U2212" i="50"/>
  <c r="G2212" i="50"/>
  <c r="F2212" i="50"/>
  <c r="G2189" i="50"/>
  <c r="V2189" i="50"/>
  <c r="U2189" i="50"/>
  <c r="F2189" i="50"/>
  <c r="F2205" i="50"/>
  <c r="G2205" i="50"/>
  <c r="V2205" i="50"/>
  <c r="U2205" i="50"/>
  <c r="V2241" i="50"/>
  <c r="U2241" i="50"/>
  <c r="G2241" i="50"/>
  <c r="U2214" i="50"/>
  <c r="G2214" i="50"/>
  <c r="F2214" i="50"/>
  <c r="G2216" i="50"/>
  <c r="V2216" i="50"/>
  <c r="F2216" i="50"/>
  <c r="U2216" i="50"/>
  <c r="V2214" i="50"/>
  <c r="V2257" i="50"/>
  <c r="U2257" i="50"/>
  <c r="G2257" i="50"/>
  <c r="V2203" i="50"/>
  <c r="F2203" i="50"/>
  <c r="G2203" i="50"/>
  <c r="F2250" i="50"/>
  <c r="V2250" i="50"/>
  <c r="U2250" i="50"/>
  <c r="G2250" i="50"/>
  <c r="V2258" i="50"/>
  <c r="U2258" i="50"/>
  <c r="F2258" i="50"/>
  <c r="D2215" i="50"/>
  <c r="B2239" i="50"/>
  <c r="E2215" i="50"/>
  <c r="V2223" i="50"/>
  <c r="U2223" i="50"/>
  <c r="G2223" i="50"/>
  <c r="F2223" i="50"/>
  <c r="V2191" i="50"/>
  <c r="U2191" i="50"/>
  <c r="G2191" i="50"/>
  <c r="F2191" i="50"/>
  <c r="U2198" i="50"/>
  <c r="G2198" i="50"/>
  <c r="F2198" i="50"/>
  <c r="V2201" i="50"/>
  <c r="U2201" i="50"/>
  <c r="F2201" i="50"/>
  <c r="F2257" i="50"/>
  <c r="U2203" i="50"/>
  <c r="G2201" i="50"/>
  <c r="U2206" i="50"/>
  <c r="G2206" i="50"/>
  <c r="F2206" i="50"/>
  <c r="U2232" i="50"/>
  <c r="G2232" i="50"/>
  <c r="F2232" i="50"/>
  <c r="V2232" i="50"/>
  <c r="D2220" i="50"/>
  <c r="E2220" i="50"/>
  <c r="B2244" i="50"/>
  <c r="V2204" i="50"/>
  <c r="G2204" i="50"/>
  <c r="F2204" i="50"/>
  <c r="V2219" i="50"/>
  <c r="F2219" i="50"/>
  <c r="G2219" i="50"/>
  <c r="F2196" i="50"/>
  <c r="V2196" i="50"/>
  <c r="U2196" i="50"/>
  <c r="G2196" i="50"/>
  <c r="G2221" i="50"/>
  <c r="U2221" i="50"/>
  <c r="F2221" i="50"/>
  <c r="V2221" i="50"/>
  <c r="V2235" i="50"/>
  <c r="F2235" i="50"/>
  <c r="G2235" i="50"/>
  <c r="V2242" i="50"/>
  <c r="U2242" i="50"/>
  <c r="F2242" i="50"/>
  <c r="B2305" i="50"/>
  <c r="D2305" i="50" s="1"/>
  <c r="E2281" i="50"/>
  <c r="B2260" i="50"/>
  <c r="D2260" i="50" s="1"/>
  <c r="E2236" i="50"/>
  <c r="B2280" i="50"/>
  <c r="D2280" i="50" s="1"/>
  <c r="E2256" i="50"/>
  <c r="B2248" i="50"/>
  <c r="D2248" i="50" s="1"/>
  <c r="E2224" i="50"/>
  <c r="G2224" i="50" s="1"/>
  <c r="B2298" i="50"/>
  <c r="D2298" i="50" s="1"/>
  <c r="E2274" i="50"/>
  <c r="E2228" i="50"/>
  <c r="B2252" i="50"/>
  <c r="D2252" i="50" s="1"/>
  <c r="B2253" i="50"/>
  <c r="D2253" i="50" s="1"/>
  <c r="E2229" i="50"/>
  <c r="E2266" i="50"/>
  <c r="B2290" i="50"/>
  <c r="D2290" i="50" s="1"/>
  <c r="B2251" i="50"/>
  <c r="D2251" i="50" s="1"/>
  <c r="E2227" i="50"/>
  <c r="E2282" i="50"/>
  <c r="B2306" i="50"/>
  <c r="D2306" i="50" s="1"/>
  <c r="E2240" i="50"/>
  <c r="B2264" i="50"/>
  <c r="D2264" i="50" s="1"/>
  <c r="B2249" i="50"/>
  <c r="D2249" i="50" s="1"/>
  <c r="E2225" i="50"/>
  <c r="F2225" i="50" s="1"/>
  <c r="B2267" i="50"/>
  <c r="D2267" i="50" s="1"/>
  <c r="E2243" i="50"/>
  <c r="B2269" i="50"/>
  <c r="D2269" i="50" s="1"/>
  <c r="E2245" i="50"/>
  <c r="U2245" i="50" s="1"/>
  <c r="B2246" i="50"/>
  <c r="D2246" i="50" s="1"/>
  <c r="E2222" i="50"/>
  <c r="V2222" i="50" s="1"/>
  <c r="B2283" i="50"/>
  <c r="D2283" i="50" s="1"/>
  <c r="E2259" i="50"/>
  <c r="E2255" i="50"/>
  <c r="B2279" i="50"/>
  <c r="D2279" i="50" s="1"/>
  <c r="B2237" i="50"/>
  <c r="D2237" i="50" s="1"/>
  <c r="E2213" i="50"/>
  <c r="U2213" i="50" s="1"/>
  <c r="E2230" i="50"/>
  <c r="V2230" i="50" s="1"/>
  <c r="B2254" i="50"/>
  <c r="D2254" i="50" s="1"/>
  <c r="B2289" i="50"/>
  <c r="D2289" i="50" s="1"/>
  <c r="E2265" i="50"/>
  <c r="G2265" i="50" s="1"/>
  <c r="B2271" i="50"/>
  <c r="D2271" i="50" s="1"/>
  <c r="E2247" i="50"/>
  <c r="B2262" i="50"/>
  <c r="D2262" i="50" s="1"/>
  <c r="E2238" i="50"/>
  <c r="V2238" i="50" s="1"/>
  <c r="V2236" i="50" l="1"/>
  <c r="G2236" i="50"/>
  <c r="F2236" i="50"/>
  <c r="V2282" i="50"/>
  <c r="U2282" i="50"/>
  <c r="G2282" i="50"/>
  <c r="F2282" i="50"/>
  <c r="U2255" i="50"/>
  <c r="V2255" i="50"/>
  <c r="G2255" i="50"/>
  <c r="F2255" i="50"/>
  <c r="U2227" i="50"/>
  <c r="G2227" i="50"/>
  <c r="F2227" i="50"/>
  <c r="V2227" i="50"/>
  <c r="V2281" i="50"/>
  <c r="U2281" i="50"/>
  <c r="F2281" i="50"/>
  <c r="V2256" i="50"/>
  <c r="U2256" i="50"/>
  <c r="F2256" i="50"/>
  <c r="G2256" i="50"/>
  <c r="V2266" i="50"/>
  <c r="U2266" i="50"/>
  <c r="G2266" i="50"/>
  <c r="F2266" i="50"/>
  <c r="V2245" i="50"/>
  <c r="G2245" i="50"/>
  <c r="F2245" i="50"/>
  <c r="V2243" i="50"/>
  <c r="U2243" i="50"/>
  <c r="G2243" i="50"/>
  <c r="F2243" i="50"/>
  <c r="V2229" i="50"/>
  <c r="G2229" i="50"/>
  <c r="F2229" i="50"/>
  <c r="G2281" i="50"/>
  <c r="U2236" i="50"/>
  <c r="G2222" i="50"/>
  <c r="F2222" i="50"/>
  <c r="U2222" i="50"/>
  <c r="F2247" i="50"/>
  <c r="V2247" i="50"/>
  <c r="U2247" i="50"/>
  <c r="G2247" i="50"/>
  <c r="U2228" i="50"/>
  <c r="G2228" i="50"/>
  <c r="V2228" i="50"/>
  <c r="F2228" i="50"/>
  <c r="G2259" i="50"/>
  <c r="F2259" i="50"/>
  <c r="V2259" i="50"/>
  <c r="U2259" i="50"/>
  <c r="V2274" i="50"/>
  <c r="U2274" i="50"/>
  <c r="F2274" i="50"/>
  <c r="D2244" i="50"/>
  <c r="B2268" i="50"/>
  <c r="E2244" i="50"/>
  <c r="U2230" i="50"/>
  <c r="G2230" i="50"/>
  <c r="F2230" i="50"/>
  <c r="G2240" i="50"/>
  <c r="U2240" i="50"/>
  <c r="F2240" i="50"/>
  <c r="V2240" i="50"/>
  <c r="V2220" i="50"/>
  <c r="G2220" i="50"/>
  <c r="F2220" i="50"/>
  <c r="G2215" i="50"/>
  <c r="F2215" i="50"/>
  <c r="V2215" i="50"/>
  <c r="U2215" i="50"/>
  <c r="G2238" i="50"/>
  <c r="F2238" i="50"/>
  <c r="U2238" i="50"/>
  <c r="V2225" i="50"/>
  <c r="U2225" i="50"/>
  <c r="G2225" i="50"/>
  <c r="V2213" i="50"/>
  <c r="G2213" i="50"/>
  <c r="F2213" i="50"/>
  <c r="F2224" i="50"/>
  <c r="U2224" i="50"/>
  <c r="V2224" i="50"/>
  <c r="U2220" i="50"/>
  <c r="D2239" i="50"/>
  <c r="B2263" i="50"/>
  <c r="E2239" i="50"/>
  <c r="U2229" i="50"/>
  <c r="V2265" i="50"/>
  <c r="U2265" i="50"/>
  <c r="F2265" i="50"/>
  <c r="G2274" i="50"/>
  <c r="B2277" i="50"/>
  <c r="D2277" i="50" s="1"/>
  <c r="E2253" i="50"/>
  <c r="F2253" i="50" s="1"/>
  <c r="E2280" i="50"/>
  <c r="V2280" i="50" s="1"/>
  <c r="B2304" i="50"/>
  <c r="D2304" i="50" s="1"/>
  <c r="B2293" i="50"/>
  <c r="D2293" i="50" s="1"/>
  <c r="E2269" i="50"/>
  <c r="F2269" i="50" s="1"/>
  <c r="B2276" i="50"/>
  <c r="D2276" i="50" s="1"/>
  <c r="E2252" i="50"/>
  <c r="B2284" i="50"/>
  <c r="D2284" i="50" s="1"/>
  <c r="E2260" i="50"/>
  <c r="E2254" i="50"/>
  <c r="V2254" i="50" s="1"/>
  <c r="B2278" i="50"/>
  <c r="D2278" i="50" s="1"/>
  <c r="B2291" i="50"/>
  <c r="D2291" i="50" s="1"/>
  <c r="E2267" i="50"/>
  <c r="B2330" i="50"/>
  <c r="D2330" i="50" s="1"/>
  <c r="E2306" i="50"/>
  <c r="B2273" i="50"/>
  <c r="D2273" i="50" s="1"/>
  <c r="E2249" i="50"/>
  <c r="G2249" i="50" s="1"/>
  <c r="E2305" i="50"/>
  <c r="F2305" i="50" s="1"/>
  <c r="B2329" i="50"/>
  <c r="D2329" i="50" s="1"/>
  <c r="B2288" i="50"/>
  <c r="D2288" i="50" s="1"/>
  <c r="E2264" i="50"/>
  <c r="V2264" i="50" s="1"/>
  <c r="B2275" i="50"/>
  <c r="D2275" i="50" s="1"/>
  <c r="E2251" i="50"/>
  <c r="U2251" i="50" s="1"/>
  <c r="B2307" i="50"/>
  <c r="D2307" i="50" s="1"/>
  <c r="E2283" i="50"/>
  <c r="B2286" i="50"/>
  <c r="D2286" i="50" s="1"/>
  <c r="E2262" i="50"/>
  <c r="E2271" i="50"/>
  <c r="B2295" i="50"/>
  <c r="D2295" i="50" s="1"/>
  <c r="B2314" i="50"/>
  <c r="D2314" i="50" s="1"/>
  <c r="E2290" i="50"/>
  <c r="G2290" i="50" s="1"/>
  <c r="B2261" i="50"/>
  <c r="D2261" i="50" s="1"/>
  <c r="E2237" i="50"/>
  <c r="F2237" i="50" s="1"/>
  <c r="E2248" i="50"/>
  <c r="V2248" i="50" s="1"/>
  <c r="B2272" i="50"/>
  <c r="D2272" i="50" s="1"/>
  <c r="E2289" i="50"/>
  <c r="B2313" i="50"/>
  <c r="D2313" i="50" s="1"/>
  <c r="B2303" i="50"/>
  <c r="D2303" i="50" s="1"/>
  <c r="E2279" i="50"/>
  <c r="B2270" i="50"/>
  <c r="D2270" i="50" s="1"/>
  <c r="E2246" i="50"/>
  <c r="E2298" i="50"/>
  <c r="B2322" i="50"/>
  <c r="D2322" i="50" s="1"/>
  <c r="U2262" i="50" l="1"/>
  <c r="G2262" i="50"/>
  <c r="F2262" i="50"/>
  <c r="V2267" i="50"/>
  <c r="F2267" i="50"/>
  <c r="G2267" i="50"/>
  <c r="U2267" i="50"/>
  <c r="V2306" i="50"/>
  <c r="U2306" i="50"/>
  <c r="F2306" i="50"/>
  <c r="U2271" i="50"/>
  <c r="V2271" i="50"/>
  <c r="G2271" i="50"/>
  <c r="F2271" i="50"/>
  <c r="V2283" i="50"/>
  <c r="F2283" i="50"/>
  <c r="G2283" i="50"/>
  <c r="G2254" i="50"/>
  <c r="F2254" i="50"/>
  <c r="U2254" i="50"/>
  <c r="U2283" i="50"/>
  <c r="U2246" i="50"/>
  <c r="G2246" i="50"/>
  <c r="F2246" i="50"/>
  <c r="V2252" i="50"/>
  <c r="G2252" i="50"/>
  <c r="F2252" i="50"/>
  <c r="V2262" i="50"/>
  <c r="V2246" i="50"/>
  <c r="G2306" i="50"/>
  <c r="U2239" i="50"/>
  <c r="G2239" i="50"/>
  <c r="V2239" i="50"/>
  <c r="F2239" i="50"/>
  <c r="U2244" i="50"/>
  <c r="V2244" i="50"/>
  <c r="G2244" i="50"/>
  <c r="F2244" i="50"/>
  <c r="V2289" i="50"/>
  <c r="U2289" i="50"/>
  <c r="G2289" i="50"/>
  <c r="U2248" i="50"/>
  <c r="G2248" i="50"/>
  <c r="F2248" i="50"/>
  <c r="U2269" i="50"/>
  <c r="G2269" i="50"/>
  <c r="V2269" i="50"/>
  <c r="D2263" i="50"/>
  <c r="B2287" i="50"/>
  <c r="E2263" i="50"/>
  <c r="D2268" i="50"/>
  <c r="E2268" i="50"/>
  <c r="B2292" i="50"/>
  <c r="U2264" i="50"/>
  <c r="G2264" i="50"/>
  <c r="F2264" i="50"/>
  <c r="U2252" i="50"/>
  <c r="F2298" i="50"/>
  <c r="V2298" i="50"/>
  <c r="U2298" i="50"/>
  <c r="G2298" i="50"/>
  <c r="F2279" i="50"/>
  <c r="V2279" i="50"/>
  <c r="U2279" i="50"/>
  <c r="G2279" i="50"/>
  <c r="F2260" i="50"/>
  <c r="V2260" i="50"/>
  <c r="U2260" i="50"/>
  <c r="G2260" i="50"/>
  <c r="U2237" i="50"/>
  <c r="G2237" i="50"/>
  <c r="V2237" i="50"/>
  <c r="V2305" i="50"/>
  <c r="U2305" i="50"/>
  <c r="G2305" i="50"/>
  <c r="U2280" i="50"/>
  <c r="G2280" i="50"/>
  <c r="F2280" i="50"/>
  <c r="V2249" i="50"/>
  <c r="U2249" i="50"/>
  <c r="F2249" i="50"/>
  <c r="U2253" i="50"/>
  <c r="G2253" i="50"/>
  <c r="V2253" i="50"/>
  <c r="V2251" i="50"/>
  <c r="F2251" i="50"/>
  <c r="G2251" i="50"/>
  <c r="V2290" i="50"/>
  <c r="U2290" i="50"/>
  <c r="F2290" i="50"/>
  <c r="F2289" i="50"/>
  <c r="B2317" i="50"/>
  <c r="D2317" i="50" s="1"/>
  <c r="E2293" i="50"/>
  <c r="B2328" i="50"/>
  <c r="D2328" i="50" s="1"/>
  <c r="E2304" i="50"/>
  <c r="E2303" i="50"/>
  <c r="B2327" i="50"/>
  <c r="D2327" i="50" s="1"/>
  <c r="B2312" i="50"/>
  <c r="D2312" i="50" s="1"/>
  <c r="E2288" i="50"/>
  <c r="E2291" i="50"/>
  <c r="B2315" i="50"/>
  <c r="D2315" i="50" s="1"/>
  <c r="B2302" i="50"/>
  <c r="D2302" i="50" s="1"/>
  <c r="E2278" i="50"/>
  <c r="V2278" i="50" s="1"/>
  <c r="B2299" i="50"/>
  <c r="D2299" i="50" s="1"/>
  <c r="E2275" i="50"/>
  <c r="B2301" i="50"/>
  <c r="D2301" i="50" s="1"/>
  <c r="E2277" i="50"/>
  <c r="B2285" i="50"/>
  <c r="D2285" i="50" s="1"/>
  <c r="E2261" i="50"/>
  <c r="B2346" i="50"/>
  <c r="D2346" i="50" s="1"/>
  <c r="E2322" i="50"/>
  <c r="G2322" i="50" s="1"/>
  <c r="B2319" i="50"/>
  <c r="D2319" i="50" s="1"/>
  <c r="E2295" i="50"/>
  <c r="B2296" i="50"/>
  <c r="D2296" i="50" s="1"/>
  <c r="E2272" i="50"/>
  <c r="B2353" i="50"/>
  <c r="D2353" i="50" s="1"/>
  <c r="E2329" i="50"/>
  <c r="G2329" i="50" s="1"/>
  <c r="E2330" i="50"/>
  <c r="B2354" i="50"/>
  <c r="D2354" i="50" s="1"/>
  <c r="E2307" i="50"/>
  <c r="B2331" i="50"/>
  <c r="D2331" i="50" s="1"/>
  <c r="B2294" i="50"/>
  <c r="D2294" i="50" s="1"/>
  <c r="E2270" i="50"/>
  <c r="V2270" i="50" s="1"/>
  <c r="B2310" i="50"/>
  <c r="D2310" i="50" s="1"/>
  <c r="E2286" i="50"/>
  <c r="V2286" i="50" s="1"/>
  <c r="B2300" i="50"/>
  <c r="D2300" i="50" s="1"/>
  <c r="E2276" i="50"/>
  <c r="B2337" i="50"/>
  <c r="D2337" i="50" s="1"/>
  <c r="E2313" i="50"/>
  <c r="E2314" i="50"/>
  <c r="B2338" i="50"/>
  <c r="D2338" i="50" s="1"/>
  <c r="B2297" i="50"/>
  <c r="D2297" i="50" s="1"/>
  <c r="E2273" i="50"/>
  <c r="F2273" i="50" s="1"/>
  <c r="E2284" i="50"/>
  <c r="U2284" i="50" s="1"/>
  <c r="B2308" i="50"/>
  <c r="D2308" i="50" s="1"/>
  <c r="V2313" i="50" l="1"/>
  <c r="U2313" i="50"/>
  <c r="F2313" i="50"/>
  <c r="G2288" i="50"/>
  <c r="V2288" i="50"/>
  <c r="F2288" i="50"/>
  <c r="U2288" i="50"/>
  <c r="F2303" i="50"/>
  <c r="G2303" i="50"/>
  <c r="U2303" i="50"/>
  <c r="G2313" i="50"/>
  <c r="U2304" i="50"/>
  <c r="G2304" i="50"/>
  <c r="V2304" i="50"/>
  <c r="F2304" i="50"/>
  <c r="D2292" i="50"/>
  <c r="B2316" i="50"/>
  <c r="E2292" i="50"/>
  <c r="V2268" i="50"/>
  <c r="G2268" i="50"/>
  <c r="F2268" i="50"/>
  <c r="V2261" i="50"/>
  <c r="G2261" i="50"/>
  <c r="F2261" i="50"/>
  <c r="V2293" i="50"/>
  <c r="G2293" i="50"/>
  <c r="F2293" i="50"/>
  <c r="U2268" i="50"/>
  <c r="F2263" i="50"/>
  <c r="V2263" i="50"/>
  <c r="U2263" i="50"/>
  <c r="G2263" i="50"/>
  <c r="V2277" i="50"/>
  <c r="G2277" i="50"/>
  <c r="F2277" i="50"/>
  <c r="D2287" i="50"/>
  <c r="E2287" i="50"/>
  <c r="B2311" i="50"/>
  <c r="F2270" i="50"/>
  <c r="U2270" i="50"/>
  <c r="G2270" i="50"/>
  <c r="U2307" i="50"/>
  <c r="G2307" i="50"/>
  <c r="F2307" i="50"/>
  <c r="V2307" i="50"/>
  <c r="U2277" i="50"/>
  <c r="F2286" i="50"/>
  <c r="U2286" i="50"/>
  <c r="G2286" i="50"/>
  <c r="U2275" i="50"/>
  <c r="G2275" i="50"/>
  <c r="F2275" i="50"/>
  <c r="V2275" i="50"/>
  <c r="V2303" i="50"/>
  <c r="V2272" i="50"/>
  <c r="U2272" i="50"/>
  <c r="G2272" i="50"/>
  <c r="F2272" i="50"/>
  <c r="G2295" i="50"/>
  <c r="F2295" i="50"/>
  <c r="V2295" i="50"/>
  <c r="U2295" i="50"/>
  <c r="U2278" i="50"/>
  <c r="G2278" i="50"/>
  <c r="F2278" i="50"/>
  <c r="U2276" i="50"/>
  <c r="G2276" i="50"/>
  <c r="F2276" i="50"/>
  <c r="V2276" i="50"/>
  <c r="G2330" i="50"/>
  <c r="U2330" i="50"/>
  <c r="V2330" i="50"/>
  <c r="U2261" i="50"/>
  <c r="V2284" i="50"/>
  <c r="G2284" i="50"/>
  <c r="F2284" i="50"/>
  <c r="V2329" i="50"/>
  <c r="U2329" i="50"/>
  <c r="F2329" i="50"/>
  <c r="V2322" i="50"/>
  <c r="U2322" i="50"/>
  <c r="F2322" i="50"/>
  <c r="V2273" i="50"/>
  <c r="U2273" i="50"/>
  <c r="G2273" i="50"/>
  <c r="V2314" i="50"/>
  <c r="U2314" i="50"/>
  <c r="G2314" i="50"/>
  <c r="F2314" i="50"/>
  <c r="U2291" i="50"/>
  <c r="G2291" i="50"/>
  <c r="F2291" i="50"/>
  <c r="V2291" i="50"/>
  <c r="U2293" i="50"/>
  <c r="F2330" i="50"/>
  <c r="E2337" i="50"/>
  <c r="B2361" i="50"/>
  <c r="D2361" i="50" s="1"/>
  <c r="B2325" i="50"/>
  <c r="D2325" i="50" s="1"/>
  <c r="E2301" i="50"/>
  <c r="F2301" i="50" s="1"/>
  <c r="B2318" i="50"/>
  <c r="D2318" i="50" s="1"/>
  <c r="E2294" i="50"/>
  <c r="B2362" i="50"/>
  <c r="D2362" i="50" s="1"/>
  <c r="E2338" i="50"/>
  <c r="U2338" i="50" s="1"/>
  <c r="B2355" i="50"/>
  <c r="D2355" i="50" s="1"/>
  <c r="E2331" i="50"/>
  <c r="B2323" i="50"/>
  <c r="D2323" i="50" s="1"/>
  <c r="E2299" i="50"/>
  <c r="U2299" i="50" s="1"/>
  <c r="E2300" i="50"/>
  <c r="B2324" i="50"/>
  <c r="D2324" i="50" s="1"/>
  <c r="B2339" i="50"/>
  <c r="D2339" i="50" s="1"/>
  <c r="E2315" i="50"/>
  <c r="U2315" i="50" s="1"/>
  <c r="B2351" i="50"/>
  <c r="D2351" i="50" s="1"/>
  <c r="E2327" i="50"/>
  <c r="B2332" i="50"/>
  <c r="D2332" i="50" s="1"/>
  <c r="E2308" i="50"/>
  <c r="E2319" i="50"/>
  <c r="V2319" i="50" s="1"/>
  <c r="B2343" i="50"/>
  <c r="D2343" i="50" s="1"/>
  <c r="E2312" i="50"/>
  <c r="V2312" i="50" s="1"/>
  <c r="B2336" i="50"/>
  <c r="D2336" i="50" s="1"/>
  <c r="B2378" i="50"/>
  <c r="D2378" i="50" s="1"/>
  <c r="E2354" i="50"/>
  <c r="E2353" i="50"/>
  <c r="B2377" i="50"/>
  <c r="D2377" i="50" s="1"/>
  <c r="B2321" i="50"/>
  <c r="D2321" i="50" s="1"/>
  <c r="E2297" i="50"/>
  <c r="G2297" i="50" s="1"/>
  <c r="B2334" i="50"/>
  <c r="D2334" i="50" s="1"/>
  <c r="E2310" i="50"/>
  <c r="V2310" i="50" s="1"/>
  <c r="E2346" i="50"/>
  <c r="V2346" i="50" s="1"/>
  <c r="B2370" i="50"/>
  <c r="D2370" i="50" s="1"/>
  <c r="B2326" i="50"/>
  <c r="D2326" i="50" s="1"/>
  <c r="E2302" i="50"/>
  <c r="E2328" i="50"/>
  <c r="B2352" i="50"/>
  <c r="D2352" i="50" s="1"/>
  <c r="E2296" i="50"/>
  <c r="B2320" i="50"/>
  <c r="D2320" i="50" s="1"/>
  <c r="B2341" i="50"/>
  <c r="D2341" i="50" s="1"/>
  <c r="E2317" i="50"/>
  <c r="B2309" i="50"/>
  <c r="D2309" i="50" s="1"/>
  <c r="E2285" i="50"/>
  <c r="F2285" i="50" s="1"/>
  <c r="D2311" i="50" l="1"/>
  <c r="B2335" i="50"/>
  <c r="E2311" i="50"/>
  <c r="F2287" i="50"/>
  <c r="G2287" i="50"/>
  <c r="U2287" i="50"/>
  <c r="V2287" i="50"/>
  <c r="U2296" i="50"/>
  <c r="G2296" i="50"/>
  <c r="F2296" i="50"/>
  <c r="U2328" i="50"/>
  <c r="G2328" i="50"/>
  <c r="F2328" i="50"/>
  <c r="G2302" i="50"/>
  <c r="F2302" i="50"/>
  <c r="U2302" i="50"/>
  <c r="F2319" i="50"/>
  <c r="G2319" i="50"/>
  <c r="U2319" i="50"/>
  <c r="V2302" i="50"/>
  <c r="V2296" i="50"/>
  <c r="G2353" i="50"/>
  <c r="F2353" i="50"/>
  <c r="U2353" i="50"/>
  <c r="U2294" i="50"/>
  <c r="G2294" i="50"/>
  <c r="F2294" i="50"/>
  <c r="V2353" i="50"/>
  <c r="U2312" i="50"/>
  <c r="G2312" i="50"/>
  <c r="F2312" i="50"/>
  <c r="V2338" i="50"/>
  <c r="F2338" i="50"/>
  <c r="G2338" i="50"/>
  <c r="G2346" i="50"/>
  <c r="F2346" i="50"/>
  <c r="U2346" i="50"/>
  <c r="V2328" i="50"/>
  <c r="U2317" i="50"/>
  <c r="G2317" i="50"/>
  <c r="V2317" i="50"/>
  <c r="V2308" i="50"/>
  <c r="U2308" i="50"/>
  <c r="G2308" i="50"/>
  <c r="F2308" i="50"/>
  <c r="U2301" i="50"/>
  <c r="G2301" i="50"/>
  <c r="V2301" i="50"/>
  <c r="V2292" i="50"/>
  <c r="U2292" i="50"/>
  <c r="G2292" i="50"/>
  <c r="F2292" i="50"/>
  <c r="D2316" i="50"/>
  <c r="E2316" i="50"/>
  <c r="B2340" i="50"/>
  <c r="U2310" i="50"/>
  <c r="G2310" i="50"/>
  <c r="F2310" i="50"/>
  <c r="V2297" i="50"/>
  <c r="U2297" i="50"/>
  <c r="F2297" i="50"/>
  <c r="F2327" i="50"/>
  <c r="V2327" i="50"/>
  <c r="U2327" i="50"/>
  <c r="G2327" i="50"/>
  <c r="V2294" i="50"/>
  <c r="F2317" i="50"/>
  <c r="V2300" i="50"/>
  <c r="G2300" i="50"/>
  <c r="F2300" i="50"/>
  <c r="V2337" i="50"/>
  <c r="U2337" i="50"/>
  <c r="G2337" i="50"/>
  <c r="F2337" i="50"/>
  <c r="G2354" i="50"/>
  <c r="F2354" i="50"/>
  <c r="V2354" i="50"/>
  <c r="U2354" i="50"/>
  <c r="V2299" i="50"/>
  <c r="F2299" i="50"/>
  <c r="G2299" i="50"/>
  <c r="U2331" i="50"/>
  <c r="G2331" i="50"/>
  <c r="F2331" i="50"/>
  <c r="V2331" i="50"/>
  <c r="U2285" i="50"/>
  <c r="G2285" i="50"/>
  <c r="V2285" i="50"/>
  <c r="V2315" i="50"/>
  <c r="F2315" i="50"/>
  <c r="G2315" i="50"/>
  <c r="U2300" i="50"/>
  <c r="E2378" i="50"/>
  <c r="B2402" i="50"/>
  <c r="D2402" i="50" s="1"/>
  <c r="B2342" i="50"/>
  <c r="D2342" i="50" s="1"/>
  <c r="E2318" i="50"/>
  <c r="B2367" i="50"/>
  <c r="D2367" i="50" s="1"/>
  <c r="E2343" i="50"/>
  <c r="V2343" i="50" s="1"/>
  <c r="B2365" i="50"/>
  <c r="D2365" i="50" s="1"/>
  <c r="E2341" i="50"/>
  <c r="U2341" i="50" s="1"/>
  <c r="B2358" i="50"/>
  <c r="D2358" i="50" s="1"/>
  <c r="E2334" i="50"/>
  <c r="E2323" i="50"/>
  <c r="B2347" i="50"/>
  <c r="D2347" i="50" s="1"/>
  <c r="B2349" i="50"/>
  <c r="D2349" i="50" s="1"/>
  <c r="E2325" i="50"/>
  <c r="U2325" i="50" s="1"/>
  <c r="B2385" i="50"/>
  <c r="D2385" i="50" s="1"/>
  <c r="E2361" i="50"/>
  <c r="G2361" i="50" s="1"/>
  <c r="E2321" i="50"/>
  <c r="B2345" i="50"/>
  <c r="D2345" i="50" s="1"/>
  <c r="E2355" i="50"/>
  <c r="B2379" i="50"/>
  <c r="D2379" i="50" s="1"/>
  <c r="B2376" i="50"/>
  <c r="D2376" i="50" s="1"/>
  <c r="E2352" i="50"/>
  <c r="B2360" i="50"/>
  <c r="D2360" i="50" s="1"/>
  <c r="E2336" i="50"/>
  <c r="G2336" i="50" s="1"/>
  <c r="B2344" i="50"/>
  <c r="D2344" i="50" s="1"/>
  <c r="E2320" i="50"/>
  <c r="B2333" i="50"/>
  <c r="D2333" i="50" s="1"/>
  <c r="E2309" i="50"/>
  <c r="E2339" i="50"/>
  <c r="B2363" i="50"/>
  <c r="D2363" i="50" s="1"/>
  <c r="E2362" i="50"/>
  <c r="B2386" i="50"/>
  <c r="D2386" i="50" s="1"/>
  <c r="B2348" i="50"/>
  <c r="D2348" i="50" s="1"/>
  <c r="E2324" i="50"/>
  <c r="B2401" i="50"/>
  <c r="D2401" i="50" s="1"/>
  <c r="E2377" i="50"/>
  <c r="G2377" i="50" s="1"/>
  <c r="E2332" i="50"/>
  <c r="U2332" i="50" s="1"/>
  <c r="B2356" i="50"/>
  <c r="D2356" i="50" s="1"/>
  <c r="B2350" i="50"/>
  <c r="D2350" i="50" s="1"/>
  <c r="E2326" i="50"/>
  <c r="V2326" i="50" s="1"/>
  <c r="B2394" i="50"/>
  <c r="D2394" i="50" s="1"/>
  <c r="E2370" i="50"/>
  <c r="G2370" i="50" s="1"/>
  <c r="E2351" i="50"/>
  <c r="B2375" i="50"/>
  <c r="D2375" i="50" s="1"/>
  <c r="V2321" i="50" l="1"/>
  <c r="U2321" i="50"/>
  <c r="G2321" i="50"/>
  <c r="V2316" i="50"/>
  <c r="G2316" i="50"/>
  <c r="F2316" i="50"/>
  <c r="F2318" i="50"/>
  <c r="U2318" i="50"/>
  <c r="G2318" i="50"/>
  <c r="U2316" i="50"/>
  <c r="F2362" i="50"/>
  <c r="V2362" i="50"/>
  <c r="U2362" i="50"/>
  <c r="G2362" i="50"/>
  <c r="V2339" i="50"/>
  <c r="U2339" i="50"/>
  <c r="G2339" i="50"/>
  <c r="F2339" i="50"/>
  <c r="U2378" i="50"/>
  <c r="G2378" i="50"/>
  <c r="V2378" i="50"/>
  <c r="V2309" i="50"/>
  <c r="G2309" i="50"/>
  <c r="F2309" i="50"/>
  <c r="V2325" i="50"/>
  <c r="G2325" i="50"/>
  <c r="F2325" i="50"/>
  <c r="F2378" i="50"/>
  <c r="V2370" i="50"/>
  <c r="F2370" i="50"/>
  <c r="U2370" i="50"/>
  <c r="V2320" i="50"/>
  <c r="U2320" i="50"/>
  <c r="G2320" i="50"/>
  <c r="F2320" i="50"/>
  <c r="V2318" i="50"/>
  <c r="F2323" i="50"/>
  <c r="V2323" i="50"/>
  <c r="U2323" i="50"/>
  <c r="G2323" i="50"/>
  <c r="V2336" i="50"/>
  <c r="U2336" i="50"/>
  <c r="F2336" i="50"/>
  <c r="V2334" i="50"/>
  <c r="U2334" i="50"/>
  <c r="G2334" i="50"/>
  <c r="F2334" i="50"/>
  <c r="U2309" i="50"/>
  <c r="D2340" i="50"/>
  <c r="B2364" i="50"/>
  <c r="E2340" i="50"/>
  <c r="V2324" i="50"/>
  <c r="U2324" i="50"/>
  <c r="G2324" i="50"/>
  <c r="F2324" i="50"/>
  <c r="G2351" i="50"/>
  <c r="V2351" i="50"/>
  <c r="F2351" i="50"/>
  <c r="U2351" i="50"/>
  <c r="F2332" i="50"/>
  <c r="G2332" i="50"/>
  <c r="V2332" i="50"/>
  <c r="F2311" i="50"/>
  <c r="V2311" i="50"/>
  <c r="U2311" i="50"/>
  <c r="G2311" i="50"/>
  <c r="V2361" i="50"/>
  <c r="U2361" i="50"/>
  <c r="F2361" i="50"/>
  <c r="U2352" i="50"/>
  <c r="G2352" i="50"/>
  <c r="F2352" i="50"/>
  <c r="F2377" i="50"/>
  <c r="U2377" i="50"/>
  <c r="V2377" i="50"/>
  <c r="U2343" i="50"/>
  <c r="G2343" i="50"/>
  <c r="F2343" i="50"/>
  <c r="F2321" i="50"/>
  <c r="D2335" i="50"/>
  <c r="B2359" i="50"/>
  <c r="E2335" i="50"/>
  <c r="U2326" i="50"/>
  <c r="G2326" i="50"/>
  <c r="F2326" i="50"/>
  <c r="V2341" i="50"/>
  <c r="G2341" i="50"/>
  <c r="F2341" i="50"/>
  <c r="V2355" i="50"/>
  <c r="U2355" i="50"/>
  <c r="G2355" i="50"/>
  <c r="F2355" i="50"/>
  <c r="V2352" i="50"/>
  <c r="B2387" i="50"/>
  <c r="D2387" i="50" s="1"/>
  <c r="E2363" i="50"/>
  <c r="V2363" i="50" s="1"/>
  <c r="E2367" i="50"/>
  <c r="B2391" i="50"/>
  <c r="D2391" i="50" s="1"/>
  <c r="B2369" i="50"/>
  <c r="D2369" i="50" s="1"/>
  <c r="E2345" i="50"/>
  <c r="B2403" i="50"/>
  <c r="D2403" i="50" s="1"/>
  <c r="E2379" i="50"/>
  <c r="E2385" i="50"/>
  <c r="V2385" i="50" s="1"/>
  <c r="B2409" i="50"/>
  <c r="D2409" i="50" s="1"/>
  <c r="B2380" i="50"/>
  <c r="D2380" i="50" s="1"/>
  <c r="E2356" i="50"/>
  <c r="B2357" i="50"/>
  <c r="D2357" i="50" s="1"/>
  <c r="E2333" i="50"/>
  <c r="B2399" i="50"/>
  <c r="D2399" i="50" s="1"/>
  <c r="E2375" i="50"/>
  <c r="V2375" i="50" s="1"/>
  <c r="B2374" i="50"/>
  <c r="D2374" i="50" s="1"/>
  <c r="E2350" i="50"/>
  <c r="V2350" i="50" s="1"/>
  <c r="E2360" i="50"/>
  <c r="V2360" i="50" s="1"/>
  <c r="B2384" i="50"/>
  <c r="D2384" i="50" s="1"/>
  <c r="B2366" i="50"/>
  <c r="D2366" i="50" s="1"/>
  <c r="E2342" i="50"/>
  <c r="F2342" i="50" s="1"/>
  <c r="E2344" i="50"/>
  <c r="B2368" i="50"/>
  <c r="D2368" i="50" s="1"/>
  <c r="B2426" i="50"/>
  <c r="D2426" i="50" s="1"/>
  <c r="E2402" i="50"/>
  <c r="G2402" i="50" s="1"/>
  <c r="E2401" i="50"/>
  <c r="B2425" i="50"/>
  <c r="D2425" i="50" s="1"/>
  <c r="E2376" i="50"/>
  <c r="B2400" i="50"/>
  <c r="D2400" i="50" s="1"/>
  <c r="B2382" i="50"/>
  <c r="D2382" i="50" s="1"/>
  <c r="E2358" i="50"/>
  <c r="F2358" i="50" s="1"/>
  <c r="E2394" i="50"/>
  <c r="F2394" i="50" s="1"/>
  <c r="B2418" i="50"/>
  <c r="D2418" i="50" s="1"/>
  <c r="E2348" i="50"/>
  <c r="U2348" i="50" s="1"/>
  <c r="B2372" i="50"/>
  <c r="D2372" i="50" s="1"/>
  <c r="B2373" i="50"/>
  <c r="D2373" i="50" s="1"/>
  <c r="E2349" i="50"/>
  <c r="B2410" i="50"/>
  <c r="D2410" i="50" s="1"/>
  <c r="E2386" i="50"/>
  <c r="B2389" i="50"/>
  <c r="D2389" i="50" s="1"/>
  <c r="E2365" i="50"/>
  <c r="F2365" i="50" s="1"/>
  <c r="B2371" i="50"/>
  <c r="D2371" i="50" s="1"/>
  <c r="E2347" i="50"/>
  <c r="U2376" i="50" l="1"/>
  <c r="G2376" i="50"/>
  <c r="F2376" i="50"/>
  <c r="V2376" i="50"/>
  <c r="V2335" i="50"/>
  <c r="V2367" i="50"/>
  <c r="U2367" i="50"/>
  <c r="F2367" i="50"/>
  <c r="G2367" i="50"/>
  <c r="V2401" i="50"/>
  <c r="U2401" i="50"/>
  <c r="F2401" i="50"/>
  <c r="U2363" i="50"/>
  <c r="F2363" i="50"/>
  <c r="G2363" i="50"/>
  <c r="V2402" i="50"/>
  <c r="U2402" i="50"/>
  <c r="F2402" i="50"/>
  <c r="V2333" i="50"/>
  <c r="U2333" i="50"/>
  <c r="G2333" i="50"/>
  <c r="F2333" i="50"/>
  <c r="U2340" i="50"/>
  <c r="G2340" i="50"/>
  <c r="V2340" i="50"/>
  <c r="D2364" i="50"/>
  <c r="E2364" i="50"/>
  <c r="B2388" i="50"/>
  <c r="V2356" i="50"/>
  <c r="G2356" i="50"/>
  <c r="F2356" i="50"/>
  <c r="F2340" i="50"/>
  <c r="F2344" i="50"/>
  <c r="V2344" i="50"/>
  <c r="U2344" i="50"/>
  <c r="G2344" i="50"/>
  <c r="G2401" i="50"/>
  <c r="V2349" i="50"/>
  <c r="G2349" i="50"/>
  <c r="F2349" i="50"/>
  <c r="V2342" i="50"/>
  <c r="G2342" i="50"/>
  <c r="U2342" i="50"/>
  <c r="V2347" i="50"/>
  <c r="G2347" i="50"/>
  <c r="F2347" i="50"/>
  <c r="U2347" i="50"/>
  <c r="U2385" i="50"/>
  <c r="F2385" i="50"/>
  <c r="G2385" i="50"/>
  <c r="V2386" i="50"/>
  <c r="F2386" i="50"/>
  <c r="U2386" i="50"/>
  <c r="V2379" i="50"/>
  <c r="U2379" i="50"/>
  <c r="G2379" i="50"/>
  <c r="F2379" i="50"/>
  <c r="G2360" i="50"/>
  <c r="F2360" i="50"/>
  <c r="U2360" i="50"/>
  <c r="U2350" i="50"/>
  <c r="G2350" i="50"/>
  <c r="F2350" i="50"/>
  <c r="F2345" i="50"/>
  <c r="V2345" i="50"/>
  <c r="U2345" i="50"/>
  <c r="U2356" i="50"/>
  <c r="U2365" i="50"/>
  <c r="G2365" i="50"/>
  <c r="V2365" i="50"/>
  <c r="V2394" i="50"/>
  <c r="G2394" i="50"/>
  <c r="U2394" i="50"/>
  <c r="U2349" i="50"/>
  <c r="G2335" i="50"/>
  <c r="F2335" i="50"/>
  <c r="U2335" i="50"/>
  <c r="D2359" i="50"/>
  <c r="E2359" i="50"/>
  <c r="B2383" i="50"/>
  <c r="V2348" i="50"/>
  <c r="G2348" i="50"/>
  <c r="F2348" i="50"/>
  <c r="U2358" i="50"/>
  <c r="G2358" i="50"/>
  <c r="V2358" i="50"/>
  <c r="U2375" i="50"/>
  <c r="G2375" i="50"/>
  <c r="F2375" i="50"/>
  <c r="G2386" i="50"/>
  <c r="G2345" i="50"/>
  <c r="E2403" i="50"/>
  <c r="B2427" i="50"/>
  <c r="D2427" i="50" s="1"/>
  <c r="B2449" i="50"/>
  <c r="D2449" i="50" s="1"/>
  <c r="E2425" i="50"/>
  <c r="B2390" i="50"/>
  <c r="D2390" i="50" s="1"/>
  <c r="E2366" i="50"/>
  <c r="V2366" i="50" s="1"/>
  <c r="B2408" i="50"/>
  <c r="D2408" i="50" s="1"/>
  <c r="E2384" i="50"/>
  <c r="E2399" i="50"/>
  <c r="B2423" i="50"/>
  <c r="D2423" i="50" s="1"/>
  <c r="B2396" i="50"/>
  <c r="D2396" i="50" s="1"/>
  <c r="E2372" i="50"/>
  <c r="F2372" i="50" s="1"/>
  <c r="B2424" i="50"/>
  <c r="D2424" i="50" s="1"/>
  <c r="E2400" i="50"/>
  <c r="E2426" i="50"/>
  <c r="B2450" i="50"/>
  <c r="D2450" i="50" s="1"/>
  <c r="B2433" i="50"/>
  <c r="D2433" i="50" s="1"/>
  <c r="E2409" i="50"/>
  <c r="G2409" i="50" s="1"/>
  <c r="E2369" i="50"/>
  <c r="B2393" i="50"/>
  <c r="D2393" i="50" s="1"/>
  <c r="B2392" i="50"/>
  <c r="D2392" i="50" s="1"/>
  <c r="E2368" i="50"/>
  <c r="E2380" i="50"/>
  <c r="U2380" i="50" s="1"/>
  <c r="B2404" i="50"/>
  <c r="D2404" i="50" s="1"/>
  <c r="B2397" i="50"/>
  <c r="D2397" i="50" s="1"/>
  <c r="E2373" i="50"/>
  <c r="B2442" i="50"/>
  <c r="D2442" i="50" s="1"/>
  <c r="E2418" i="50"/>
  <c r="G2418" i="50" s="1"/>
  <c r="B2406" i="50"/>
  <c r="D2406" i="50" s="1"/>
  <c r="E2382" i="50"/>
  <c r="E2410" i="50"/>
  <c r="F2410" i="50" s="1"/>
  <c r="B2434" i="50"/>
  <c r="D2434" i="50" s="1"/>
  <c r="B2413" i="50"/>
  <c r="D2413" i="50" s="1"/>
  <c r="E2389" i="50"/>
  <c r="B2398" i="50"/>
  <c r="D2398" i="50" s="1"/>
  <c r="E2374" i="50"/>
  <c r="F2374" i="50" s="1"/>
  <c r="B2381" i="50"/>
  <c r="D2381" i="50" s="1"/>
  <c r="E2357" i="50"/>
  <c r="U2357" i="50" s="1"/>
  <c r="E2371" i="50"/>
  <c r="B2395" i="50"/>
  <c r="D2395" i="50" s="1"/>
  <c r="B2415" i="50"/>
  <c r="D2415" i="50" s="1"/>
  <c r="E2391" i="50"/>
  <c r="E2387" i="50"/>
  <c r="B2411" i="50"/>
  <c r="D2411" i="50" s="1"/>
  <c r="D2383" i="50" l="1"/>
  <c r="B2407" i="50"/>
  <c r="E2383" i="50"/>
  <c r="F2364" i="50"/>
  <c r="V2364" i="50"/>
  <c r="G2364" i="50"/>
  <c r="V2410" i="50"/>
  <c r="G2410" i="50"/>
  <c r="U2410" i="50"/>
  <c r="F2403" i="50"/>
  <c r="V2403" i="50"/>
  <c r="U2403" i="50"/>
  <c r="G2403" i="50"/>
  <c r="U2359" i="50"/>
  <c r="G2359" i="50"/>
  <c r="F2359" i="50"/>
  <c r="U2364" i="50"/>
  <c r="V2426" i="50"/>
  <c r="G2426" i="50"/>
  <c r="U2426" i="50"/>
  <c r="G2400" i="50"/>
  <c r="F2400" i="50"/>
  <c r="V2400" i="50"/>
  <c r="V2359" i="50"/>
  <c r="V2382" i="50"/>
  <c r="G2382" i="50"/>
  <c r="F2382" i="50"/>
  <c r="F2426" i="50"/>
  <c r="D2388" i="50"/>
  <c r="B2412" i="50"/>
  <c r="E2388" i="50"/>
  <c r="U2382" i="50"/>
  <c r="V2391" i="50"/>
  <c r="U2391" i="50"/>
  <c r="G2391" i="50"/>
  <c r="F2391" i="50"/>
  <c r="V2373" i="50"/>
  <c r="G2373" i="50"/>
  <c r="F2373" i="50"/>
  <c r="G2387" i="50"/>
  <c r="F2387" i="50"/>
  <c r="V2387" i="50"/>
  <c r="U2387" i="50"/>
  <c r="U2373" i="50"/>
  <c r="V2389" i="50"/>
  <c r="G2389" i="50"/>
  <c r="F2389" i="50"/>
  <c r="U2389" i="50"/>
  <c r="V2425" i="50"/>
  <c r="U2425" i="50"/>
  <c r="F2425" i="50"/>
  <c r="V2371" i="50"/>
  <c r="U2371" i="50"/>
  <c r="G2371" i="50"/>
  <c r="F2371" i="50"/>
  <c r="V2380" i="50"/>
  <c r="G2380" i="50"/>
  <c r="F2380" i="50"/>
  <c r="U2399" i="50"/>
  <c r="G2399" i="50"/>
  <c r="V2399" i="50"/>
  <c r="F2399" i="50"/>
  <c r="F2418" i="50"/>
  <c r="U2418" i="50"/>
  <c r="V2418" i="50"/>
  <c r="G2425" i="50"/>
  <c r="U2368" i="50"/>
  <c r="G2368" i="50"/>
  <c r="F2368" i="50"/>
  <c r="F2384" i="50"/>
  <c r="U2384" i="50"/>
  <c r="V2384" i="50"/>
  <c r="G2384" i="50"/>
  <c r="V2357" i="50"/>
  <c r="G2357" i="50"/>
  <c r="F2357" i="50"/>
  <c r="V2374" i="50"/>
  <c r="G2374" i="50"/>
  <c r="U2374" i="50"/>
  <c r="U2366" i="50"/>
  <c r="G2366" i="50"/>
  <c r="F2366" i="50"/>
  <c r="V2368" i="50"/>
  <c r="V2409" i="50"/>
  <c r="U2409" i="50"/>
  <c r="F2409" i="50"/>
  <c r="U2372" i="50"/>
  <c r="G2372" i="50"/>
  <c r="V2372" i="50"/>
  <c r="F2369" i="50"/>
  <c r="V2369" i="50"/>
  <c r="U2369" i="50"/>
  <c r="G2369" i="50"/>
  <c r="U2400" i="50"/>
  <c r="E2392" i="50"/>
  <c r="B2416" i="50"/>
  <c r="D2416" i="50" s="1"/>
  <c r="E2424" i="50"/>
  <c r="V2424" i="50" s="1"/>
  <c r="B2448" i="50"/>
  <c r="D2448" i="50" s="1"/>
  <c r="E2408" i="50"/>
  <c r="V2408" i="50" s="1"/>
  <c r="B2432" i="50"/>
  <c r="D2432" i="50" s="1"/>
  <c r="B2437" i="50"/>
  <c r="D2437" i="50" s="1"/>
  <c r="E2413" i="50"/>
  <c r="B2417" i="50"/>
  <c r="D2417" i="50" s="1"/>
  <c r="E2393" i="50"/>
  <c r="G2393" i="50" s="1"/>
  <c r="B2435" i="50"/>
  <c r="D2435" i="50" s="1"/>
  <c r="E2411" i="50"/>
  <c r="B2405" i="50"/>
  <c r="D2405" i="50" s="1"/>
  <c r="E2381" i="50"/>
  <c r="E2442" i="50"/>
  <c r="B2466" i="50"/>
  <c r="D2466" i="50" s="1"/>
  <c r="E2396" i="50"/>
  <c r="U2396" i="50" s="1"/>
  <c r="B2420" i="50"/>
  <c r="D2420" i="50" s="1"/>
  <c r="B2447" i="50"/>
  <c r="D2447" i="50" s="1"/>
  <c r="E2423" i="50"/>
  <c r="B2414" i="50"/>
  <c r="D2414" i="50" s="1"/>
  <c r="E2390" i="50"/>
  <c r="F2390" i="50" s="1"/>
  <c r="E2415" i="50"/>
  <c r="B2439" i="50"/>
  <c r="D2439" i="50" s="1"/>
  <c r="B2419" i="50"/>
  <c r="D2419" i="50" s="1"/>
  <c r="E2395" i="50"/>
  <c r="B2421" i="50"/>
  <c r="D2421" i="50" s="1"/>
  <c r="E2397" i="50"/>
  <c r="E2433" i="50"/>
  <c r="B2457" i="50"/>
  <c r="D2457" i="50" s="1"/>
  <c r="E2449" i="50"/>
  <c r="B2473" i="50"/>
  <c r="D2473" i="50" s="1"/>
  <c r="B2422" i="50"/>
  <c r="D2422" i="50" s="1"/>
  <c r="E2398" i="50"/>
  <c r="F2398" i="50" s="1"/>
  <c r="B2458" i="50"/>
  <c r="D2458" i="50" s="1"/>
  <c r="E2434" i="50"/>
  <c r="B2428" i="50"/>
  <c r="D2428" i="50" s="1"/>
  <c r="E2404" i="50"/>
  <c r="V2404" i="50" s="1"/>
  <c r="B2474" i="50"/>
  <c r="D2474" i="50" s="1"/>
  <c r="E2450" i="50"/>
  <c r="B2451" i="50"/>
  <c r="D2451" i="50" s="1"/>
  <c r="E2427" i="50"/>
  <c r="B2430" i="50"/>
  <c r="D2430" i="50" s="1"/>
  <c r="E2406" i="50"/>
  <c r="V2442" i="50" l="1"/>
  <c r="U2442" i="50"/>
  <c r="G2442" i="50"/>
  <c r="V2411" i="50"/>
  <c r="G2411" i="50"/>
  <c r="F2411" i="50"/>
  <c r="U2411" i="50"/>
  <c r="V2449" i="50"/>
  <c r="G2449" i="50"/>
  <c r="F2449" i="50"/>
  <c r="V2381" i="50"/>
  <c r="F2381" i="50"/>
  <c r="U2381" i="50"/>
  <c r="U2427" i="50"/>
  <c r="G2427" i="50"/>
  <c r="F2427" i="50"/>
  <c r="V2397" i="50"/>
  <c r="F2397" i="50"/>
  <c r="U2397" i="50"/>
  <c r="U2392" i="50"/>
  <c r="F2392" i="50"/>
  <c r="G2392" i="50"/>
  <c r="V2395" i="50"/>
  <c r="U2395" i="50"/>
  <c r="G2395" i="50"/>
  <c r="F2395" i="50"/>
  <c r="U2393" i="50"/>
  <c r="F2393" i="50"/>
  <c r="V2393" i="50"/>
  <c r="V2415" i="50"/>
  <c r="F2415" i="50"/>
  <c r="U2415" i="50"/>
  <c r="G2415" i="50"/>
  <c r="F2442" i="50"/>
  <c r="V2390" i="50"/>
  <c r="U2390" i="50"/>
  <c r="G2390" i="50"/>
  <c r="V2392" i="50"/>
  <c r="F2406" i="50"/>
  <c r="V2406" i="50"/>
  <c r="U2406" i="50"/>
  <c r="G2406" i="50"/>
  <c r="V2413" i="50"/>
  <c r="U2413" i="50"/>
  <c r="F2413" i="50"/>
  <c r="U2408" i="50"/>
  <c r="F2408" i="50"/>
  <c r="G2408" i="50"/>
  <c r="G2381" i="50"/>
  <c r="U2383" i="50"/>
  <c r="V2383" i="50"/>
  <c r="F2383" i="50"/>
  <c r="G2383" i="50"/>
  <c r="V2433" i="50"/>
  <c r="F2433" i="50"/>
  <c r="G2433" i="50"/>
  <c r="V2423" i="50"/>
  <c r="U2423" i="50"/>
  <c r="G2423" i="50"/>
  <c r="F2423" i="50"/>
  <c r="U2433" i="50"/>
  <c r="G2413" i="50"/>
  <c r="D2407" i="50"/>
  <c r="B2431" i="50"/>
  <c r="E2407" i="50"/>
  <c r="U2388" i="50"/>
  <c r="G2388" i="50"/>
  <c r="F2388" i="50"/>
  <c r="V2450" i="50"/>
  <c r="U2450" i="50"/>
  <c r="G2450" i="50"/>
  <c r="F2450" i="50"/>
  <c r="U2434" i="50"/>
  <c r="F2434" i="50"/>
  <c r="V2434" i="50"/>
  <c r="U2398" i="50"/>
  <c r="G2398" i="50"/>
  <c r="V2398" i="50"/>
  <c r="V2396" i="50"/>
  <c r="G2396" i="50"/>
  <c r="F2396" i="50"/>
  <c r="U2424" i="50"/>
  <c r="G2424" i="50"/>
  <c r="F2424" i="50"/>
  <c r="U2449" i="50"/>
  <c r="G2397" i="50"/>
  <c r="D2412" i="50"/>
  <c r="E2412" i="50"/>
  <c r="B2436" i="50"/>
  <c r="V2427" i="50"/>
  <c r="U2404" i="50"/>
  <c r="G2404" i="50"/>
  <c r="F2404" i="50"/>
  <c r="V2388" i="50"/>
  <c r="G2434" i="50"/>
  <c r="B2438" i="50"/>
  <c r="D2438" i="50" s="1"/>
  <c r="E2414" i="50"/>
  <c r="B2429" i="50"/>
  <c r="D2429" i="50" s="1"/>
  <c r="E2405" i="50"/>
  <c r="U2405" i="50" s="1"/>
  <c r="B2456" i="50"/>
  <c r="D2456" i="50" s="1"/>
  <c r="E2432" i="50"/>
  <c r="U2432" i="50" s="1"/>
  <c r="B2445" i="50"/>
  <c r="D2445" i="50" s="1"/>
  <c r="E2421" i="50"/>
  <c r="E2447" i="50"/>
  <c r="B2471" i="50"/>
  <c r="D2471" i="50" s="1"/>
  <c r="B2444" i="50"/>
  <c r="D2444" i="50" s="1"/>
  <c r="E2420" i="50"/>
  <c r="G2420" i="50" s="1"/>
  <c r="E2419" i="50"/>
  <c r="B2443" i="50"/>
  <c r="D2443" i="50" s="1"/>
  <c r="B2497" i="50"/>
  <c r="D2497" i="50" s="1"/>
  <c r="E2473" i="50"/>
  <c r="E2435" i="50"/>
  <c r="B2459" i="50"/>
  <c r="D2459" i="50" s="1"/>
  <c r="E2428" i="50"/>
  <c r="U2428" i="50" s="1"/>
  <c r="B2452" i="50"/>
  <c r="D2452" i="50" s="1"/>
  <c r="B2472" i="50"/>
  <c r="D2472" i="50" s="1"/>
  <c r="E2448" i="50"/>
  <c r="U2448" i="50" s="1"/>
  <c r="B2481" i="50"/>
  <c r="D2481" i="50" s="1"/>
  <c r="E2457" i="50"/>
  <c r="G2457" i="50" s="1"/>
  <c r="E2417" i="50"/>
  <c r="B2441" i="50"/>
  <c r="D2441" i="50" s="1"/>
  <c r="E2451" i="50"/>
  <c r="B2475" i="50"/>
  <c r="D2475" i="50" s="1"/>
  <c r="B2454" i="50"/>
  <c r="D2454" i="50" s="1"/>
  <c r="E2430" i="50"/>
  <c r="B2463" i="50"/>
  <c r="D2463" i="50" s="1"/>
  <c r="E2439" i="50"/>
  <c r="B2490" i="50"/>
  <c r="D2490" i="50" s="1"/>
  <c r="E2466" i="50"/>
  <c r="B2440" i="50"/>
  <c r="D2440" i="50" s="1"/>
  <c r="E2416" i="50"/>
  <c r="U2416" i="50" s="1"/>
  <c r="B2446" i="50"/>
  <c r="D2446" i="50" s="1"/>
  <c r="E2422" i="50"/>
  <c r="F2422" i="50" s="1"/>
  <c r="E2474" i="50"/>
  <c r="B2498" i="50"/>
  <c r="D2498" i="50" s="1"/>
  <c r="E2458" i="50"/>
  <c r="B2482" i="50"/>
  <c r="D2482" i="50" s="1"/>
  <c r="B2461" i="50"/>
  <c r="D2461" i="50" s="1"/>
  <c r="E2437" i="50"/>
  <c r="U2414" i="50" l="1"/>
  <c r="G2414" i="50"/>
  <c r="F2414" i="50"/>
  <c r="V2435" i="50"/>
  <c r="U2435" i="50"/>
  <c r="G2435" i="50"/>
  <c r="F2435" i="50"/>
  <c r="F2430" i="50"/>
  <c r="U2430" i="50"/>
  <c r="G2430" i="50"/>
  <c r="F2473" i="50"/>
  <c r="V2473" i="50"/>
  <c r="U2473" i="50"/>
  <c r="U2451" i="50"/>
  <c r="G2451" i="50"/>
  <c r="F2451" i="50"/>
  <c r="V2451" i="50"/>
  <c r="F2419" i="50"/>
  <c r="G2419" i="50"/>
  <c r="V2419" i="50"/>
  <c r="U2419" i="50"/>
  <c r="G2473" i="50"/>
  <c r="V2420" i="50"/>
  <c r="U2420" i="50"/>
  <c r="F2420" i="50"/>
  <c r="V2458" i="50"/>
  <c r="U2458" i="50"/>
  <c r="G2458" i="50"/>
  <c r="V2407" i="50"/>
  <c r="U2407" i="50"/>
  <c r="G2407" i="50"/>
  <c r="F2407" i="50"/>
  <c r="F2437" i="50"/>
  <c r="U2437" i="50"/>
  <c r="G2437" i="50"/>
  <c r="V2437" i="50"/>
  <c r="V2430" i="50"/>
  <c r="V2457" i="50"/>
  <c r="F2457" i="50"/>
  <c r="U2457" i="50"/>
  <c r="D2431" i="50"/>
  <c r="E2431" i="50"/>
  <c r="B2455" i="50"/>
  <c r="V2474" i="50"/>
  <c r="U2474" i="50"/>
  <c r="G2474" i="50"/>
  <c r="U2447" i="50"/>
  <c r="G2447" i="50"/>
  <c r="F2447" i="50"/>
  <c r="F2474" i="50"/>
  <c r="V2421" i="50"/>
  <c r="F2421" i="50"/>
  <c r="G2421" i="50"/>
  <c r="D2436" i="50"/>
  <c r="B2460" i="50"/>
  <c r="E2436" i="50"/>
  <c r="U2421" i="50"/>
  <c r="V2412" i="50"/>
  <c r="G2412" i="50"/>
  <c r="F2412" i="50"/>
  <c r="F2432" i="50"/>
  <c r="G2432" i="50"/>
  <c r="V2432" i="50"/>
  <c r="U2412" i="50"/>
  <c r="V2447" i="50"/>
  <c r="V2439" i="50"/>
  <c r="U2439" i="50"/>
  <c r="G2439" i="50"/>
  <c r="F2439" i="50"/>
  <c r="V2448" i="50"/>
  <c r="F2448" i="50"/>
  <c r="G2448" i="50"/>
  <c r="V2416" i="50"/>
  <c r="G2416" i="50"/>
  <c r="F2416" i="50"/>
  <c r="F2428" i="50"/>
  <c r="V2428" i="50"/>
  <c r="G2428" i="50"/>
  <c r="F2458" i="50"/>
  <c r="U2422" i="50"/>
  <c r="G2422" i="50"/>
  <c r="V2422" i="50"/>
  <c r="V2466" i="50"/>
  <c r="U2466" i="50"/>
  <c r="G2466" i="50"/>
  <c r="F2466" i="50"/>
  <c r="V2417" i="50"/>
  <c r="U2417" i="50"/>
  <c r="G2417" i="50"/>
  <c r="F2417" i="50"/>
  <c r="V2405" i="50"/>
  <c r="F2405" i="50"/>
  <c r="G2405" i="50"/>
  <c r="V2414" i="50"/>
  <c r="B2483" i="50"/>
  <c r="D2483" i="50" s="1"/>
  <c r="E2459" i="50"/>
  <c r="V2459" i="50" s="1"/>
  <c r="B2469" i="50"/>
  <c r="D2469" i="50" s="1"/>
  <c r="E2445" i="50"/>
  <c r="G2445" i="50" s="1"/>
  <c r="E2463" i="50"/>
  <c r="V2463" i="50" s="1"/>
  <c r="B2487" i="50"/>
  <c r="D2487" i="50" s="1"/>
  <c r="B2453" i="50"/>
  <c r="D2453" i="50" s="1"/>
  <c r="E2429" i="50"/>
  <c r="G2429" i="50" s="1"/>
  <c r="B2522" i="50"/>
  <c r="D2522" i="50" s="1"/>
  <c r="E2498" i="50"/>
  <c r="B2478" i="50"/>
  <c r="D2478" i="50" s="1"/>
  <c r="E2454" i="50"/>
  <c r="F2454" i="50" s="1"/>
  <c r="B2465" i="50"/>
  <c r="D2465" i="50" s="1"/>
  <c r="E2441" i="50"/>
  <c r="E2472" i="50"/>
  <c r="B2496" i="50"/>
  <c r="D2496" i="50" s="1"/>
  <c r="E2497" i="50"/>
  <c r="B2521" i="50"/>
  <c r="D2521" i="50" s="1"/>
  <c r="B2476" i="50"/>
  <c r="D2476" i="50" s="1"/>
  <c r="E2452" i="50"/>
  <c r="V2452" i="50" s="1"/>
  <c r="B2462" i="50"/>
  <c r="D2462" i="50" s="1"/>
  <c r="E2438" i="50"/>
  <c r="F2438" i="50" s="1"/>
  <c r="E2444" i="50"/>
  <c r="B2468" i="50"/>
  <c r="D2468" i="50" s="1"/>
  <c r="E2456" i="50"/>
  <c r="B2480" i="50"/>
  <c r="D2480" i="50" s="1"/>
  <c r="E2490" i="50"/>
  <c r="F2490" i="50" s="1"/>
  <c r="B2514" i="50"/>
  <c r="D2514" i="50" s="1"/>
  <c r="B2506" i="50"/>
  <c r="D2506" i="50" s="1"/>
  <c r="E2482" i="50"/>
  <c r="B2499" i="50"/>
  <c r="D2499" i="50" s="1"/>
  <c r="E2475" i="50"/>
  <c r="E2481" i="50"/>
  <c r="V2481" i="50" s="1"/>
  <c r="B2505" i="50"/>
  <c r="D2505" i="50" s="1"/>
  <c r="B2467" i="50"/>
  <c r="D2467" i="50" s="1"/>
  <c r="E2443" i="50"/>
  <c r="V2443" i="50" s="1"/>
  <c r="B2470" i="50"/>
  <c r="D2470" i="50" s="1"/>
  <c r="E2446" i="50"/>
  <c r="G2446" i="50" s="1"/>
  <c r="B2485" i="50"/>
  <c r="D2485" i="50" s="1"/>
  <c r="E2461" i="50"/>
  <c r="E2440" i="50"/>
  <c r="B2464" i="50"/>
  <c r="D2464" i="50" s="1"/>
  <c r="B2495" i="50"/>
  <c r="D2495" i="50" s="1"/>
  <c r="E2471" i="50"/>
  <c r="V2497" i="50" l="1"/>
  <c r="G2497" i="50"/>
  <c r="F2497" i="50"/>
  <c r="U2441" i="50"/>
  <c r="F2441" i="50"/>
  <c r="V2441" i="50"/>
  <c r="V2471" i="50"/>
  <c r="U2471" i="50"/>
  <c r="G2471" i="50"/>
  <c r="F2471" i="50"/>
  <c r="F2475" i="50"/>
  <c r="G2475" i="50"/>
  <c r="U2475" i="50"/>
  <c r="V2490" i="50"/>
  <c r="G2490" i="50"/>
  <c r="U2490" i="50"/>
  <c r="U2498" i="50"/>
  <c r="G2498" i="50"/>
  <c r="F2498" i="50"/>
  <c r="V2498" i="50"/>
  <c r="F2472" i="50"/>
  <c r="G2472" i="50"/>
  <c r="V2472" i="50"/>
  <c r="U2472" i="50"/>
  <c r="F2461" i="50"/>
  <c r="V2461" i="50"/>
  <c r="U2461" i="50"/>
  <c r="F2429" i="50"/>
  <c r="V2429" i="50"/>
  <c r="U2429" i="50"/>
  <c r="U2482" i="50"/>
  <c r="G2482" i="50"/>
  <c r="V2482" i="50"/>
  <c r="F2482" i="50"/>
  <c r="F2456" i="50"/>
  <c r="V2456" i="50"/>
  <c r="U2456" i="50"/>
  <c r="G2456" i="50"/>
  <c r="V2444" i="50"/>
  <c r="G2444" i="50"/>
  <c r="F2444" i="50"/>
  <c r="U2444" i="50"/>
  <c r="V2438" i="50"/>
  <c r="U2438" i="50"/>
  <c r="G2438" i="50"/>
  <c r="D2455" i="50"/>
  <c r="B2479" i="50"/>
  <c r="E2455" i="50"/>
  <c r="G2461" i="50"/>
  <c r="V2454" i="50"/>
  <c r="U2454" i="50"/>
  <c r="G2454" i="50"/>
  <c r="U2463" i="50"/>
  <c r="G2463" i="50"/>
  <c r="F2463" i="50"/>
  <c r="U2436" i="50"/>
  <c r="F2436" i="50"/>
  <c r="G2436" i="50"/>
  <c r="G2431" i="50"/>
  <c r="V2431" i="50"/>
  <c r="U2431" i="50"/>
  <c r="F2431" i="50"/>
  <c r="U2459" i="50"/>
  <c r="G2459" i="50"/>
  <c r="F2459" i="50"/>
  <c r="G2440" i="50"/>
  <c r="F2440" i="50"/>
  <c r="V2440" i="50"/>
  <c r="U2440" i="50"/>
  <c r="V2446" i="50"/>
  <c r="U2446" i="50"/>
  <c r="F2446" i="50"/>
  <c r="U2452" i="50"/>
  <c r="G2452" i="50"/>
  <c r="F2452" i="50"/>
  <c r="U2445" i="50"/>
  <c r="F2445" i="50"/>
  <c r="V2445" i="50"/>
  <c r="D2460" i="50"/>
  <c r="E2460" i="50"/>
  <c r="B2484" i="50"/>
  <c r="V2475" i="50"/>
  <c r="U2443" i="50"/>
  <c r="G2443" i="50"/>
  <c r="F2443" i="50"/>
  <c r="G2481" i="50"/>
  <c r="U2481" i="50"/>
  <c r="F2481" i="50"/>
  <c r="V2436" i="50"/>
  <c r="G2441" i="50"/>
  <c r="U2497" i="50"/>
  <c r="E2499" i="50"/>
  <c r="B2523" i="50"/>
  <c r="D2523" i="50" s="1"/>
  <c r="E2465" i="50"/>
  <c r="B2489" i="50"/>
  <c r="D2489" i="50" s="1"/>
  <c r="B2509" i="50"/>
  <c r="D2509" i="50" s="1"/>
  <c r="E2485" i="50"/>
  <c r="E2522" i="50"/>
  <c r="B2546" i="50"/>
  <c r="D2546" i="50" s="1"/>
  <c r="B2502" i="50"/>
  <c r="D2502" i="50" s="1"/>
  <c r="E2478" i="50"/>
  <c r="E2495" i="50"/>
  <c r="B2519" i="50"/>
  <c r="D2519" i="50" s="1"/>
  <c r="B2486" i="50"/>
  <c r="D2486" i="50" s="1"/>
  <c r="E2462" i="50"/>
  <c r="V2462" i="50" s="1"/>
  <c r="B2494" i="50"/>
  <c r="D2494" i="50" s="1"/>
  <c r="E2470" i="50"/>
  <c r="F2470" i="50" s="1"/>
  <c r="E2506" i="50"/>
  <c r="F2506" i="50" s="1"/>
  <c r="B2530" i="50"/>
  <c r="D2530" i="50" s="1"/>
  <c r="B2477" i="50"/>
  <c r="D2477" i="50" s="1"/>
  <c r="E2453" i="50"/>
  <c r="B2538" i="50"/>
  <c r="D2538" i="50" s="1"/>
  <c r="E2514" i="50"/>
  <c r="E2476" i="50"/>
  <c r="B2500" i="50"/>
  <c r="D2500" i="50" s="1"/>
  <c r="B2488" i="50"/>
  <c r="D2488" i="50" s="1"/>
  <c r="E2464" i="50"/>
  <c r="U2464" i="50" s="1"/>
  <c r="B2493" i="50"/>
  <c r="D2493" i="50" s="1"/>
  <c r="E2469" i="50"/>
  <c r="E2467" i="50"/>
  <c r="B2491" i="50"/>
  <c r="D2491" i="50" s="1"/>
  <c r="B2545" i="50"/>
  <c r="D2545" i="50" s="1"/>
  <c r="E2521" i="50"/>
  <c r="G2521" i="50" s="1"/>
  <c r="B2520" i="50"/>
  <c r="D2520" i="50" s="1"/>
  <c r="E2496" i="50"/>
  <c r="B2529" i="50"/>
  <c r="D2529" i="50" s="1"/>
  <c r="E2505" i="50"/>
  <c r="B2504" i="50"/>
  <c r="D2504" i="50" s="1"/>
  <c r="E2480" i="50"/>
  <c r="U2480" i="50" s="1"/>
  <c r="B2492" i="50"/>
  <c r="D2492" i="50" s="1"/>
  <c r="E2468" i="50"/>
  <c r="B2511" i="50"/>
  <c r="D2511" i="50" s="1"/>
  <c r="E2487" i="50"/>
  <c r="E2483" i="50"/>
  <c r="B2507" i="50"/>
  <c r="D2507" i="50" s="1"/>
  <c r="V2522" i="50" l="1"/>
  <c r="U2522" i="50"/>
  <c r="F2522" i="50"/>
  <c r="G2522" i="50"/>
  <c r="V2505" i="50"/>
  <c r="U2505" i="50"/>
  <c r="F2505" i="50"/>
  <c r="F2453" i="50"/>
  <c r="U2453" i="50"/>
  <c r="G2453" i="50"/>
  <c r="V2453" i="50"/>
  <c r="U2485" i="50"/>
  <c r="G2485" i="50"/>
  <c r="V2485" i="50"/>
  <c r="F2485" i="50"/>
  <c r="D2484" i="50"/>
  <c r="E2484" i="50"/>
  <c r="B2508" i="50"/>
  <c r="V2465" i="50"/>
  <c r="U2465" i="50"/>
  <c r="F2465" i="50"/>
  <c r="V2460" i="50"/>
  <c r="G2460" i="50"/>
  <c r="F2460" i="50"/>
  <c r="U2470" i="50"/>
  <c r="G2470" i="50"/>
  <c r="V2470" i="50"/>
  <c r="U2460" i="50"/>
  <c r="G2465" i="50"/>
  <c r="F2476" i="50"/>
  <c r="V2476" i="50"/>
  <c r="G2476" i="50"/>
  <c r="V2496" i="50"/>
  <c r="F2496" i="50"/>
  <c r="G2496" i="50"/>
  <c r="V2499" i="50"/>
  <c r="U2499" i="50"/>
  <c r="G2499" i="50"/>
  <c r="F2499" i="50"/>
  <c r="V2455" i="50"/>
  <c r="U2455" i="50"/>
  <c r="G2455" i="50"/>
  <c r="F2455" i="50"/>
  <c r="U2462" i="50"/>
  <c r="G2462" i="50"/>
  <c r="F2462" i="50"/>
  <c r="D2479" i="50"/>
  <c r="B2503" i="50"/>
  <c r="E2479" i="50"/>
  <c r="V2514" i="50"/>
  <c r="U2514" i="50"/>
  <c r="G2514" i="50"/>
  <c r="F2514" i="50"/>
  <c r="G2480" i="50"/>
  <c r="F2480" i="50"/>
  <c r="V2480" i="50"/>
  <c r="U2487" i="50"/>
  <c r="G2487" i="50"/>
  <c r="F2487" i="50"/>
  <c r="V2487" i="50"/>
  <c r="V2521" i="50"/>
  <c r="U2521" i="50"/>
  <c r="F2521" i="50"/>
  <c r="V2467" i="50"/>
  <c r="U2467" i="50"/>
  <c r="G2467" i="50"/>
  <c r="F2467" i="50"/>
  <c r="U2476" i="50"/>
  <c r="U2496" i="50"/>
  <c r="V2483" i="50"/>
  <c r="U2483" i="50"/>
  <c r="G2483" i="50"/>
  <c r="F2483" i="50"/>
  <c r="V2464" i="50"/>
  <c r="G2464" i="50"/>
  <c r="F2464" i="50"/>
  <c r="V2469" i="50"/>
  <c r="F2469" i="50"/>
  <c r="U2469" i="50"/>
  <c r="G2469" i="50"/>
  <c r="U2495" i="50"/>
  <c r="G2495" i="50"/>
  <c r="F2495" i="50"/>
  <c r="G2505" i="50"/>
  <c r="V2495" i="50"/>
  <c r="V2506" i="50"/>
  <c r="U2506" i="50"/>
  <c r="G2506" i="50"/>
  <c r="V2468" i="50"/>
  <c r="F2468" i="50"/>
  <c r="G2468" i="50"/>
  <c r="V2478" i="50"/>
  <c r="U2478" i="50"/>
  <c r="G2478" i="50"/>
  <c r="F2478" i="50"/>
  <c r="U2468" i="50"/>
  <c r="B2524" i="50"/>
  <c r="D2524" i="50" s="1"/>
  <c r="E2500" i="50"/>
  <c r="B2554" i="50"/>
  <c r="D2554" i="50" s="1"/>
  <c r="E2530" i="50"/>
  <c r="B2510" i="50"/>
  <c r="D2510" i="50" s="1"/>
  <c r="E2486" i="50"/>
  <c r="F2486" i="50" s="1"/>
  <c r="B2570" i="50"/>
  <c r="D2570" i="50" s="1"/>
  <c r="E2546" i="50"/>
  <c r="E2529" i="50"/>
  <c r="B2553" i="50"/>
  <c r="D2553" i="50" s="1"/>
  <c r="B2513" i="50"/>
  <c r="D2513" i="50" s="1"/>
  <c r="E2489" i="50"/>
  <c r="B2501" i="50"/>
  <c r="D2501" i="50" s="1"/>
  <c r="E2477" i="50"/>
  <c r="B2518" i="50"/>
  <c r="D2518" i="50" s="1"/>
  <c r="E2494" i="50"/>
  <c r="E2520" i="50"/>
  <c r="B2544" i="50"/>
  <c r="D2544" i="50" s="1"/>
  <c r="B2517" i="50"/>
  <c r="D2517" i="50" s="1"/>
  <c r="E2493" i="50"/>
  <c r="G2493" i="50" s="1"/>
  <c r="E2488" i="50"/>
  <c r="B2512" i="50"/>
  <c r="D2512" i="50" s="1"/>
  <c r="E2492" i="50"/>
  <c r="U2492" i="50" s="1"/>
  <c r="B2516" i="50"/>
  <c r="D2516" i="50" s="1"/>
  <c r="E2545" i="50"/>
  <c r="B2569" i="50"/>
  <c r="D2569" i="50" s="1"/>
  <c r="B2526" i="50"/>
  <c r="D2526" i="50" s="1"/>
  <c r="E2502" i="50"/>
  <c r="F2502" i="50" s="1"/>
  <c r="B2515" i="50"/>
  <c r="D2515" i="50" s="1"/>
  <c r="E2491" i="50"/>
  <c r="B2531" i="50"/>
  <c r="D2531" i="50" s="1"/>
  <c r="E2507" i="50"/>
  <c r="V2507" i="50" s="1"/>
  <c r="B2533" i="50"/>
  <c r="D2533" i="50" s="1"/>
  <c r="E2509" i="50"/>
  <c r="E2504" i="50"/>
  <c r="B2528" i="50"/>
  <c r="D2528" i="50" s="1"/>
  <c r="E2511" i="50"/>
  <c r="V2511" i="50" s="1"/>
  <c r="B2535" i="50"/>
  <c r="D2535" i="50" s="1"/>
  <c r="B2547" i="50"/>
  <c r="D2547" i="50" s="1"/>
  <c r="E2523" i="50"/>
  <c r="V2523" i="50" s="1"/>
  <c r="E2538" i="50"/>
  <c r="B2562" i="50"/>
  <c r="D2562" i="50" s="1"/>
  <c r="B2543" i="50"/>
  <c r="D2543" i="50" s="1"/>
  <c r="E2519" i="50"/>
  <c r="G2520" i="50" l="1"/>
  <c r="F2520" i="50"/>
  <c r="V2520" i="50"/>
  <c r="U2520" i="50"/>
  <c r="F2507" i="50"/>
  <c r="G2507" i="50"/>
  <c r="U2507" i="50"/>
  <c r="V2494" i="50"/>
  <c r="U2494" i="50"/>
  <c r="F2494" i="50"/>
  <c r="U2500" i="50"/>
  <c r="F2500" i="50"/>
  <c r="G2500" i="50"/>
  <c r="V2491" i="50"/>
  <c r="U2491" i="50"/>
  <c r="G2491" i="50"/>
  <c r="F2491" i="50"/>
  <c r="U2477" i="50"/>
  <c r="F2477" i="50"/>
  <c r="V2477" i="50"/>
  <c r="G2494" i="50"/>
  <c r="U2519" i="50"/>
  <c r="G2519" i="50"/>
  <c r="F2519" i="50"/>
  <c r="V2519" i="50"/>
  <c r="V2509" i="50"/>
  <c r="U2509" i="50"/>
  <c r="F2509" i="50"/>
  <c r="V2530" i="50"/>
  <c r="U2530" i="50"/>
  <c r="G2530" i="50"/>
  <c r="F2530" i="50"/>
  <c r="G2538" i="50"/>
  <c r="U2538" i="50"/>
  <c r="F2538" i="50"/>
  <c r="V2538" i="50"/>
  <c r="V2545" i="50"/>
  <c r="U2545" i="50"/>
  <c r="G2545" i="50"/>
  <c r="F2545" i="50"/>
  <c r="V2500" i="50"/>
  <c r="U2479" i="50"/>
  <c r="G2479" i="50"/>
  <c r="F2479" i="50"/>
  <c r="V2492" i="50"/>
  <c r="G2492" i="50"/>
  <c r="F2492" i="50"/>
  <c r="V2529" i="50"/>
  <c r="U2529" i="50"/>
  <c r="G2529" i="50"/>
  <c r="F2529" i="50"/>
  <c r="D2503" i="50"/>
  <c r="B2527" i="50"/>
  <c r="E2503" i="50"/>
  <c r="V2546" i="50"/>
  <c r="U2546" i="50"/>
  <c r="F2546" i="50"/>
  <c r="G2546" i="50"/>
  <c r="V2479" i="50"/>
  <c r="D2508" i="50"/>
  <c r="E2508" i="50"/>
  <c r="B2532" i="50"/>
  <c r="G2509" i="50"/>
  <c r="V2502" i="50"/>
  <c r="U2502" i="50"/>
  <c r="G2502" i="50"/>
  <c r="U2523" i="50"/>
  <c r="G2523" i="50"/>
  <c r="F2523" i="50"/>
  <c r="U2511" i="50"/>
  <c r="G2511" i="50"/>
  <c r="F2511" i="50"/>
  <c r="G2488" i="50"/>
  <c r="V2488" i="50"/>
  <c r="U2488" i="50"/>
  <c r="F2488" i="50"/>
  <c r="U2484" i="50"/>
  <c r="F2484" i="50"/>
  <c r="G2484" i="50"/>
  <c r="V2486" i="50"/>
  <c r="G2486" i="50"/>
  <c r="U2486" i="50"/>
  <c r="V2484" i="50"/>
  <c r="U2489" i="50"/>
  <c r="F2489" i="50"/>
  <c r="V2489" i="50"/>
  <c r="F2493" i="50"/>
  <c r="U2493" i="50"/>
  <c r="V2493" i="50"/>
  <c r="V2504" i="50"/>
  <c r="U2504" i="50"/>
  <c r="F2504" i="50"/>
  <c r="G2504" i="50"/>
  <c r="G2477" i="50"/>
  <c r="G2489" i="50"/>
  <c r="B2540" i="50"/>
  <c r="D2540" i="50" s="1"/>
  <c r="E2516" i="50"/>
  <c r="U2516" i="50" s="1"/>
  <c r="B2542" i="50"/>
  <c r="D2542" i="50" s="1"/>
  <c r="E2518" i="50"/>
  <c r="F2518" i="50" s="1"/>
  <c r="E2515" i="50"/>
  <c r="B2539" i="50"/>
  <c r="D2539" i="50" s="1"/>
  <c r="B2559" i="50"/>
  <c r="D2559" i="50" s="1"/>
  <c r="E2535" i="50"/>
  <c r="B2557" i="50"/>
  <c r="D2557" i="50" s="1"/>
  <c r="E2533" i="50"/>
  <c r="B2536" i="50"/>
  <c r="D2536" i="50" s="1"/>
  <c r="E2512" i="50"/>
  <c r="U2512" i="50" s="1"/>
  <c r="E2554" i="50"/>
  <c r="B2578" i="50"/>
  <c r="D2578" i="50" s="1"/>
  <c r="E2543" i="50"/>
  <c r="B2567" i="50"/>
  <c r="D2567" i="50" s="1"/>
  <c r="B2541" i="50"/>
  <c r="D2541" i="50" s="1"/>
  <c r="E2517" i="50"/>
  <c r="B2577" i="50"/>
  <c r="D2577" i="50" s="1"/>
  <c r="E2553" i="50"/>
  <c r="G2553" i="50" s="1"/>
  <c r="B2586" i="50"/>
  <c r="D2586" i="50" s="1"/>
  <c r="E2562" i="50"/>
  <c r="B2568" i="50"/>
  <c r="D2568" i="50" s="1"/>
  <c r="E2544" i="50"/>
  <c r="U2544" i="50" s="1"/>
  <c r="B2525" i="50"/>
  <c r="D2525" i="50" s="1"/>
  <c r="E2501" i="50"/>
  <c r="E2524" i="50"/>
  <c r="U2524" i="50" s="1"/>
  <c r="B2548" i="50"/>
  <c r="D2548" i="50" s="1"/>
  <c r="B2550" i="50"/>
  <c r="D2550" i="50" s="1"/>
  <c r="E2526" i="50"/>
  <c r="U2526" i="50" s="1"/>
  <c r="E2513" i="50"/>
  <c r="V2513" i="50" s="1"/>
  <c r="B2537" i="50"/>
  <c r="D2537" i="50" s="1"/>
  <c r="B2534" i="50"/>
  <c r="D2534" i="50" s="1"/>
  <c r="E2510" i="50"/>
  <c r="E2547" i="50"/>
  <c r="B2571" i="50"/>
  <c r="D2571" i="50" s="1"/>
  <c r="B2593" i="50"/>
  <c r="D2593" i="50" s="1"/>
  <c r="E2569" i="50"/>
  <c r="E2570" i="50"/>
  <c r="B2594" i="50"/>
  <c r="D2594" i="50" s="1"/>
  <c r="B2552" i="50"/>
  <c r="D2552" i="50" s="1"/>
  <c r="E2528" i="50"/>
  <c r="E2531" i="50"/>
  <c r="B2555" i="50"/>
  <c r="D2555" i="50" s="1"/>
  <c r="F2515" i="50" l="1"/>
  <c r="V2515" i="50"/>
  <c r="U2515" i="50"/>
  <c r="G2515" i="50"/>
  <c r="V2518" i="50"/>
  <c r="U2518" i="50"/>
  <c r="G2518" i="50"/>
  <c r="V2503" i="50"/>
  <c r="U2503" i="50"/>
  <c r="G2503" i="50"/>
  <c r="F2503" i="50"/>
  <c r="U2543" i="50"/>
  <c r="G2543" i="50"/>
  <c r="F2543" i="50"/>
  <c r="D2527" i="50"/>
  <c r="E2527" i="50"/>
  <c r="B2551" i="50"/>
  <c r="V2516" i="50"/>
  <c r="G2516" i="50"/>
  <c r="F2516" i="50"/>
  <c r="V2554" i="50"/>
  <c r="G2554" i="50"/>
  <c r="U2554" i="50"/>
  <c r="F2554" i="50"/>
  <c r="G2512" i="50"/>
  <c r="F2512" i="50"/>
  <c r="V2512" i="50"/>
  <c r="V2510" i="50"/>
  <c r="U2510" i="50"/>
  <c r="G2510" i="50"/>
  <c r="F2510" i="50"/>
  <c r="U2513" i="50"/>
  <c r="G2513" i="50"/>
  <c r="F2513" i="50"/>
  <c r="G2524" i="50"/>
  <c r="F2524" i="50"/>
  <c r="V2524" i="50"/>
  <c r="D2532" i="50"/>
  <c r="B2556" i="50"/>
  <c r="E2532" i="50"/>
  <c r="V2547" i="50"/>
  <c r="U2547" i="50"/>
  <c r="G2547" i="50"/>
  <c r="F2547" i="50"/>
  <c r="U2528" i="50"/>
  <c r="V2528" i="50"/>
  <c r="G2528" i="50"/>
  <c r="F2528" i="50"/>
  <c r="V2533" i="50"/>
  <c r="U2533" i="50"/>
  <c r="G2533" i="50"/>
  <c r="F2533" i="50"/>
  <c r="V2508" i="50"/>
  <c r="G2508" i="50"/>
  <c r="F2508" i="50"/>
  <c r="F2501" i="50"/>
  <c r="V2501" i="50"/>
  <c r="U2501" i="50"/>
  <c r="G2501" i="50"/>
  <c r="U2508" i="50"/>
  <c r="V2543" i="50"/>
  <c r="V2531" i="50"/>
  <c r="U2531" i="50"/>
  <c r="G2531" i="50"/>
  <c r="F2531" i="50"/>
  <c r="V2535" i="50"/>
  <c r="U2535" i="50"/>
  <c r="G2535" i="50"/>
  <c r="F2535" i="50"/>
  <c r="F2517" i="50"/>
  <c r="V2517" i="50"/>
  <c r="U2517" i="50"/>
  <c r="G2517" i="50"/>
  <c r="V2526" i="50"/>
  <c r="G2526" i="50"/>
  <c r="F2526" i="50"/>
  <c r="V2544" i="50"/>
  <c r="F2544" i="50"/>
  <c r="G2544" i="50"/>
  <c r="V2569" i="50"/>
  <c r="U2569" i="50"/>
  <c r="F2569" i="50"/>
  <c r="V2562" i="50"/>
  <c r="U2562" i="50"/>
  <c r="G2562" i="50"/>
  <c r="F2562" i="50"/>
  <c r="V2570" i="50"/>
  <c r="G2570" i="50"/>
  <c r="U2570" i="50"/>
  <c r="F2570" i="50"/>
  <c r="V2553" i="50"/>
  <c r="U2553" i="50"/>
  <c r="F2553" i="50"/>
  <c r="G2569" i="50"/>
  <c r="E2568" i="50"/>
  <c r="B2592" i="50"/>
  <c r="D2592" i="50" s="1"/>
  <c r="B2563" i="50"/>
  <c r="D2563" i="50" s="1"/>
  <c r="E2539" i="50"/>
  <c r="E2552" i="50"/>
  <c r="B2576" i="50"/>
  <c r="D2576" i="50" s="1"/>
  <c r="B2565" i="50"/>
  <c r="D2565" i="50" s="1"/>
  <c r="E2541" i="50"/>
  <c r="B2561" i="50"/>
  <c r="D2561" i="50" s="1"/>
  <c r="E2537" i="50"/>
  <c r="B2591" i="50"/>
  <c r="D2591" i="50" s="1"/>
  <c r="E2567" i="50"/>
  <c r="E2536" i="50"/>
  <c r="B2560" i="50"/>
  <c r="D2560" i="50" s="1"/>
  <c r="B2566" i="50"/>
  <c r="D2566" i="50" s="1"/>
  <c r="E2542" i="50"/>
  <c r="V2542" i="50" s="1"/>
  <c r="B2618" i="50"/>
  <c r="D2618" i="50" s="1"/>
  <c r="E2594" i="50"/>
  <c r="B2581" i="50"/>
  <c r="D2581" i="50" s="1"/>
  <c r="E2557" i="50"/>
  <c r="E2593" i="50"/>
  <c r="B2617" i="50"/>
  <c r="D2617" i="50" s="1"/>
  <c r="B2602" i="50"/>
  <c r="D2602" i="50" s="1"/>
  <c r="E2578" i="50"/>
  <c r="E2586" i="50"/>
  <c r="B2610" i="50"/>
  <c r="D2610" i="50" s="1"/>
  <c r="E2540" i="50"/>
  <c r="U2540" i="50" s="1"/>
  <c r="B2564" i="50"/>
  <c r="D2564" i="50" s="1"/>
  <c r="B2572" i="50"/>
  <c r="D2572" i="50" s="1"/>
  <c r="E2548" i="50"/>
  <c r="B2574" i="50"/>
  <c r="D2574" i="50" s="1"/>
  <c r="E2550" i="50"/>
  <c r="F2550" i="50" s="1"/>
  <c r="B2579" i="50"/>
  <c r="D2579" i="50" s="1"/>
  <c r="E2555" i="50"/>
  <c r="V2555" i="50" s="1"/>
  <c r="B2595" i="50"/>
  <c r="D2595" i="50" s="1"/>
  <c r="E2571" i="50"/>
  <c r="B2549" i="50"/>
  <c r="D2549" i="50" s="1"/>
  <c r="E2525" i="50"/>
  <c r="E2559" i="50"/>
  <c r="V2559" i="50" s="1"/>
  <c r="B2583" i="50"/>
  <c r="D2583" i="50" s="1"/>
  <c r="B2558" i="50"/>
  <c r="D2558" i="50" s="1"/>
  <c r="E2534" i="50"/>
  <c r="F2534" i="50" s="1"/>
  <c r="E2577" i="50"/>
  <c r="B2601" i="50"/>
  <c r="D2601" i="50" s="1"/>
  <c r="U2557" i="50" l="1"/>
  <c r="F2557" i="50"/>
  <c r="V2557" i="50"/>
  <c r="G2557" i="50"/>
  <c r="U2594" i="50"/>
  <c r="G2594" i="50"/>
  <c r="F2594" i="50"/>
  <c r="V2594" i="50"/>
  <c r="F2539" i="50"/>
  <c r="U2539" i="50"/>
  <c r="G2539" i="50"/>
  <c r="V2593" i="50"/>
  <c r="U2593" i="50"/>
  <c r="G2593" i="50"/>
  <c r="F2593" i="50"/>
  <c r="F2532" i="50"/>
  <c r="V2532" i="50"/>
  <c r="U2532" i="50"/>
  <c r="G2532" i="50"/>
  <c r="G2542" i="50"/>
  <c r="F2542" i="50"/>
  <c r="U2542" i="50"/>
  <c r="D2556" i="50"/>
  <c r="B2580" i="50"/>
  <c r="E2556" i="50"/>
  <c r="U2571" i="50"/>
  <c r="F2571" i="50"/>
  <c r="G2571" i="50"/>
  <c r="U2568" i="50"/>
  <c r="F2568" i="50"/>
  <c r="G2568" i="50"/>
  <c r="V2568" i="50"/>
  <c r="G2555" i="50"/>
  <c r="F2555" i="50"/>
  <c r="U2555" i="50"/>
  <c r="U2525" i="50"/>
  <c r="V2525" i="50"/>
  <c r="G2525" i="50"/>
  <c r="F2525" i="50"/>
  <c r="F2536" i="50"/>
  <c r="G2536" i="50"/>
  <c r="U2536" i="50"/>
  <c r="V2536" i="50"/>
  <c r="V2539" i="50"/>
  <c r="V2567" i="50"/>
  <c r="U2567" i="50"/>
  <c r="G2567" i="50"/>
  <c r="F2567" i="50"/>
  <c r="V2550" i="50"/>
  <c r="U2550" i="50"/>
  <c r="G2550" i="50"/>
  <c r="V2540" i="50"/>
  <c r="G2540" i="50"/>
  <c r="F2540" i="50"/>
  <c r="V2534" i="50"/>
  <c r="G2534" i="50"/>
  <c r="U2534" i="50"/>
  <c r="V2537" i="50"/>
  <c r="U2537" i="50"/>
  <c r="F2537" i="50"/>
  <c r="G2586" i="50"/>
  <c r="F2586" i="50"/>
  <c r="V2586" i="50"/>
  <c r="U2586" i="50"/>
  <c r="V2571" i="50"/>
  <c r="D2551" i="50"/>
  <c r="B2575" i="50"/>
  <c r="E2551" i="50"/>
  <c r="V2548" i="50"/>
  <c r="G2548" i="50"/>
  <c r="U2548" i="50"/>
  <c r="V2578" i="50"/>
  <c r="U2578" i="50"/>
  <c r="G2578" i="50"/>
  <c r="F2578" i="50"/>
  <c r="U2541" i="50"/>
  <c r="V2541" i="50"/>
  <c r="G2541" i="50"/>
  <c r="F2541" i="50"/>
  <c r="F2548" i="50"/>
  <c r="U2527" i="50"/>
  <c r="G2527" i="50"/>
  <c r="F2527" i="50"/>
  <c r="G2552" i="50"/>
  <c r="F2552" i="50"/>
  <c r="U2552" i="50"/>
  <c r="V2552" i="50"/>
  <c r="V2577" i="50"/>
  <c r="U2577" i="50"/>
  <c r="G2577" i="50"/>
  <c r="F2577" i="50"/>
  <c r="U2559" i="50"/>
  <c r="G2559" i="50"/>
  <c r="F2559" i="50"/>
  <c r="G2537" i="50"/>
  <c r="V2527" i="50"/>
  <c r="E2595" i="50"/>
  <c r="B2619" i="50"/>
  <c r="D2619" i="50" s="1"/>
  <c r="E2591" i="50"/>
  <c r="B2615" i="50"/>
  <c r="D2615" i="50" s="1"/>
  <c r="E2602" i="50"/>
  <c r="B2626" i="50"/>
  <c r="D2626" i="50" s="1"/>
  <c r="E2579" i="50"/>
  <c r="B2603" i="50"/>
  <c r="D2603" i="50" s="1"/>
  <c r="E2617" i="50"/>
  <c r="G2617" i="50" s="1"/>
  <c r="B2641" i="50"/>
  <c r="D2641" i="50" s="1"/>
  <c r="E2561" i="50"/>
  <c r="B2585" i="50"/>
  <c r="D2585" i="50" s="1"/>
  <c r="E2563" i="50"/>
  <c r="B2587" i="50"/>
  <c r="D2587" i="50" s="1"/>
  <c r="B2634" i="50"/>
  <c r="D2634" i="50" s="1"/>
  <c r="E2610" i="50"/>
  <c r="B2598" i="50"/>
  <c r="D2598" i="50" s="1"/>
  <c r="E2574" i="50"/>
  <c r="B2589" i="50"/>
  <c r="D2589" i="50" s="1"/>
  <c r="E2565" i="50"/>
  <c r="B2582" i="50"/>
  <c r="D2582" i="50" s="1"/>
  <c r="E2558" i="50"/>
  <c r="B2642" i="50"/>
  <c r="D2642" i="50" s="1"/>
  <c r="E2618" i="50"/>
  <c r="B2600" i="50"/>
  <c r="D2600" i="50" s="1"/>
  <c r="E2576" i="50"/>
  <c r="U2576" i="50" s="1"/>
  <c r="B2607" i="50"/>
  <c r="D2607" i="50" s="1"/>
  <c r="E2583" i="50"/>
  <c r="B2605" i="50"/>
  <c r="D2605" i="50" s="1"/>
  <c r="E2581" i="50"/>
  <c r="E2572" i="50"/>
  <c r="U2572" i="50" s="1"/>
  <c r="B2596" i="50"/>
  <c r="D2596" i="50" s="1"/>
  <c r="B2588" i="50"/>
  <c r="D2588" i="50" s="1"/>
  <c r="E2564" i="50"/>
  <c r="B2590" i="50"/>
  <c r="D2590" i="50" s="1"/>
  <c r="E2566" i="50"/>
  <c r="B2625" i="50"/>
  <c r="D2625" i="50" s="1"/>
  <c r="E2601" i="50"/>
  <c r="B2584" i="50"/>
  <c r="D2584" i="50" s="1"/>
  <c r="E2560" i="50"/>
  <c r="U2560" i="50" s="1"/>
  <c r="B2616" i="50"/>
  <c r="D2616" i="50" s="1"/>
  <c r="E2592" i="50"/>
  <c r="B2573" i="50"/>
  <c r="D2573" i="50" s="1"/>
  <c r="E2549" i="50"/>
  <c r="V2601" i="50" l="1"/>
  <c r="U2601" i="50"/>
  <c r="F2601" i="50"/>
  <c r="V2566" i="50"/>
  <c r="U2566" i="50"/>
  <c r="G2566" i="50"/>
  <c r="F2565" i="50"/>
  <c r="V2565" i="50"/>
  <c r="U2565" i="50"/>
  <c r="G2565" i="50"/>
  <c r="F2566" i="50"/>
  <c r="G2591" i="50"/>
  <c r="U2591" i="50"/>
  <c r="F2591" i="50"/>
  <c r="V2551" i="50"/>
  <c r="U2551" i="50"/>
  <c r="G2551" i="50"/>
  <c r="F2551" i="50"/>
  <c r="V2591" i="50"/>
  <c r="U2564" i="50"/>
  <c r="G2564" i="50"/>
  <c r="V2564" i="50"/>
  <c r="F2574" i="50"/>
  <c r="V2574" i="50"/>
  <c r="U2574" i="50"/>
  <c r="D2575" i="50"/>
  <c r="E2575" i="50"/>
  <c r="B2599" i="50"/>
  <c r="V2595" i="50"/>
  <c r="U2595" i="50"/>
  <c r="G2595" i="50"/>
  <c r="F2595" i="50"/>
  <c r="V2572" i="50"/>
  <c r="G2572" i="50"/>
  <c r="F2572" i="50"/>
  <c r="D2580" i="50"/>
  <c r="B2604" i="50"/>
  <c r="E2580" i="50"/>
  <c r="V2556" i="50"/>
  <c r="G2556" i="50"/>
  <c r="F2556" i="50"/>
  <c r="V2581" i="50"/>
  <c r="U2581" i="50"/>
  <c r="G2581" i="50"/>
  <c r="F2581" i="50"/>
  <c r="U2556" i="50"/>
  <c r="V2610" i="50"/>
  <c r="U2610" i="50"/>
  <c r="G2610" i="50"/>
  <c r="F2610" i="50"/>
  <c r="V2592" i="50"/>
  <c r="G2592" i="50"/>
  <c r="F2592" i="50"/>
  <c r="U2563" i="50"/>
  <c r="G2563" i="50"/>
  <c r="F2563" i="50"/>
  <c r="V2563" i="50"/>
  <c r="U2592" i="50"/>
  <c r="V2558" i="50"/>
  <c r="U2558" i="50"/>
  <c r="G2558" i="50"/>
  <c r="F2558" i="50"/>
  <c r="V2561" i="50"/>
  <c r="U2561" i="50"/>
  <c r="G2561" i="50"/>
  <c r="F2561" i="50"/>
  <c r="G2601" i="50"/>
  <c r="V2549" i="50"/>
  <c r="U2549" i="50"/>
  <c r="G2549" i="50"/>
  <c r="F2549" i="50"/>
  <c r="V2576" i="50"/>
  <c r="G2576" i="50"/>
  <c r="F2576" i="50"/>
  <c r="V2617" i="50"/>
  <c r="U2617" i="50"/>
  <c r="F2617" i="50"/>
  <c r="V2602" i="50"/>
  <c r="G2602" i="50"/>
  <c r="U2602" i="50"/>
  <c r="F2602" i="50"/>
  <c r="V2583" i="50"/>
  <c r="U2583" i="50"/>
  <c r="G2583" i="50"/>
  <c r="F2583" i="50"/>
  <c r="G2560" i="50"/>
  <c r="F2560" i="50"/>
  <c r="V2560" i="50"/>
  <c r="G2618" i="50"/>
  <c r="V2618" i="50"/>
  <c r="U2618" i="50"/>
  <c r="F2618" i="50"/>
  <c r="G2579" i="50"/>
  <c r="F2579" i="50"/>
  <c r="V2579" i="50"/>
  <c r="U2579" i="50"/>
  <c r="G2574" i="50"/>
  <c r="F2564" i="50"/>
  <c r="B2609" i="50"/>
  <c r="D2609" i="50" s="1"/>
  <c r="E2585" i="50"/>
  <c r="G2585" i="50" s="1"/>
  <c r="B2650" i="50"/>
  <c r="D2650" i="50" s="1"/>
  <c r="E2626" i="50"/>
  <c r="B2631" i="50"/>
  <c r="D2631" i="50" s="1"/>
  <c r="E2607" i="50"/>
  <c r="V2607" i="50" s="1"/>
  <c r="B2665" i="50"/>
  <c r="D2665" i="50" s="1"/>
  <c r="E2641" i="50"/>
  <c r="B2658" i="50"/>
  <c r="D2658" i="50" s="1"/>
  <c r="E2634" i="50"/>
  <c r="B2622" i="50"/>
  <c r="D2622" i="50" s="1"/>
  <c r="E2598" i="50"/>
  <c r="F2598" i="50" s="1"/>
  <c r="B2614" i="50"/>
  <c r="D2614" i="50" s="1"/>
  <c r="E2590" i="50"/>
  <c r="F2590" i="50" s="1"/>
  <c r="B2620" i="50"/>
  <c r="D2620" i="50" s="1"/>
  <c r="E2596" i="50"/>
  <c r="B2627" i="50"/>
  <c r="D2627" i="50" s="1"/>
  <c r="E2603" i="50"/>
  <c r="V2603" i="50" s="1"/>
  <c r="B2640" i="50"/>
  <c r="D2640" i="50" s="1"/>
  <c r="E2616" i="50"/>
  <c r="B2606" i="50"/>
  <c r="D2606" i="50" s="1"/>
  <c r="E2582" i="50"/>
  <c r="F2582" i="50" s="1"/>
  <c r="B2639" i="50"/>
  <c r="D2639" i="50" s="1"/>
  <c r="E2615" i="50"/>
  <c r="E2584" i="50"/>
  <c r="B2608" i="50"/>
  <c r="D2608" i="50" s="1"/>
  <c r="E2588" i="50"/>
  <c r="U2588" i="50" s="1"/>
  <c r="B2612" i="50"/>
  <c r="D2612" i="50" s="1"/>
  <c r="E2600" i="50"/>
  <c r="B2624" i="50"/>
  <c r="D2624" i="50" s="1"/>
  <c r="B2629" i="50"/>
  <c r="D2629" i="50" s="1"/>
  <c r="E2605" i="50"/>
  <c r="E2625" i="50"/>
  <c r="B2649" i="50"/>
  <c r="D2649" i="50" s="1"/>
  <c r="B2643" i="50"/>
  <c r="D2643" i="50" s="1"/>
  <c r="E2619" i="50"/>
  <c r="V2619" i="50" s="1"/>
  <c r="B2666" i="50"/>
  <c r="D2666" i="50" s="1"/>
  <c r="E2642" i="50"/>
  <c r="B2597" i="50"/>
  <c r="D2597" i="50" s="1"/>
  <c r="E2573" i="50"/>
  <c r="B2613" i="50"/>
  <c r="D2613" i="50" s="1"/>
  <c r="E2589" i="50"/>
  <c r="B2611" i="50"/>
  <c r="D2611" i="50" s="1"/>
  <c r="E2587" i="50"/>
  <c r="V2625" i="50" l="1"/>
  <c r="U2625" i="50"/>
  <c r="G2625" i="50"/>
  <c r="F2625" i="50"/>
  <c r="D2599" i="50"/>
  <c r="B2623" i="50"/>
  <c r="E2599" i="50"/>
  <c r="F2585" i="50"/>
  <c r="V2585" i="50"/>
  <c r="U2585" i="50"/>
  <c r="U2575" i="50"/>
  <c r="G2575" i="50"/>
  <c r="F2575" i="50"/>
  <c r="V2575" i="50"/>
  <c r="U2587" i="50"/>
  <c r="G2587" i="50"/>
  <c r="F2587" i="50"/>
  <c r="V2596" i="50"/>
  <c r="G2596" i="50"/>
  <c r="U2596" i="50"/>
  <c r="F2596" i="50"/>
  <c r="G2580" i="50"/>
  <c r="U2580" i="50"/>
  <c r="F2580" i="50"/>
  <c r="V2580" i="50"/>
  <c r="F2600" i="50"/>
  <c r="V2600" i="50"/>
  <c r="U2600" i="50"/>
  <c r="G2600" i="50"/>
  <c r="D2604" i="50"/>
  <c r="E2604" i="50"/>
  <c r="B2628" i="50"/>
  <c r="U2590" i="50"/>
  <c r="G2590" i="50"/>
  <c r="V2590" i="50"/>
  <c r="F2616" i="50"/>
  <c r="G2616" i="50"/>
  <c r="V2616" i="50"/>
  <c r="U2616" i="50"/>
  <c r="V2598" i="50"/>
  <c r="U2598" i="50"/>
  <c r="G2598" i="50"/>
  <c r="U2603" i="50"/>
  <c r="G2603" i="50"/>
  <c r="F2603" i="50"/>
  <c r="G2584" i="50"/>
  <c r="F2584" i="50"/>
  <c r="V2584" i="50"/>
  <c r="U2584" i="50"/>
  <c r="F2589" i="50"/>
  <c r="V2589" i="50"/>
  <c r="U2589" i="50"/>
  <c r="G2589" i="50"/>
  <c r="G2642" i="50"/>
  <c r="F2642" i="50"/>
  <c r="V2642" i="50"/>
  <c r="U2642" i="50"/>
  <c r="G2634" i="50"/>
  <c r="V2634" i="50"/>
  <c r="U2634" i="50"/>
  <c r="F2634" i="50"/>
  <c r="U2573" i="50"/>
  <c r="F2573" i="50"/>
  <c r="V2573" i="50"/>
  <c r="G2573" i="50"/>
  <c r="V2615" i="50"/>
  <c r="U2615" i="50"/>
  <c r="G2615" i="50"/>
  <c r="F2615" i="50"/>
  <c r="V2641" i="50"/>
  <c r="U2641" i="50"/>
  <c r="G2641" i="50"/>
  <c r="F2641" i="50"/>
  <c r="V2587" i="50"/>
  <c r="F2605" i="50"/>
  <c r="U2605" i="50"/>
  <c r="V2605" i="50"/>
  <c r="G2605" i="50"/>
  <c r="F2626" i="50"/>
  <c r="U2626" i="50"/>
  <c r="G2626" i="50"/>
  <c r="V2626" i="50"/>
  <c r="V2588" i="50"/>
  <c r="G2588" i="50"/>
  <c r="F2588" i="50"/>
  <c r="F2619" i="50"/>
  <c r="U2619" i="50"/>
  <c r="G2619" i="50"/>
  <c r="G2582" i="50"/>
  <c r="V2582" i="50"/>
  <c r="U2582" i="50"/>
  <c r="U2607" i="50"/>
  <c r="F2607" i="50"/>
  <c r="G2607" i="50"/>
  <c r="B2655" i="50"/>
  <c r="D2655" i="50" s="1"/>
  <c r="E2631" i="50"/>
  <c r="B2632" i="50"/>
  <c r="D2632" i="50" s="1"/>
  <c r="E2608" i="50"/>
  <c r="B2667" i="50"/>
  <c r="D2667" i="50" s="1"/>
  <c r="E2643" i="50"/>
  <c r="B2653" i="50"/>
  <c r="D2653" i="50" s="1"/>
  <c r="E2629" i="50"/>
  <c r="B2646" i="50"/>
  <c r="D2646" i="50" s="1"/>
  <c r="E2622" i="50"/>
  <c r="F2622" i="50" s="1"/>
  <c r="B2674" i="50"/>
  <c r="D2674" i="50" s="1"/>
  <c r="E2650" i="50"/>
  <c r="B2630" i="50"/>
  <c r="D2630" i="50" s="1"/>
  <c r="E2606" i="50"/>
  <c r="B2637" i="50"/>
  <c r="D2637" i="50" s="1"/>
  <c r="E2613" i="50"/>
  <c r="E2620" i="50"/>
  <c r="U2620" i="50" s="1"/>
  <c r="B2644" i="50"/>
  <c r="D2644" i="50" s="1"/>
  <c r="E2665" i="50"/>
  <c r="B2689" i="50"/>
  <c r="D2689" i="50" s="1"/>
  <c r="B2648" i="50"/>
  <c r="D2648" i="50" s="1"/>
  <c r="E2624" i="50"/>
  <c r="U2624" i="50" s="1"/>
  <c r="E2640" i="50"/>
  <c r="U2640" i="50" s="1"/>
  <c r="B2664" i="50"/>
  <c r="D2664" i="50" s="1"/>
  <c r="E2614" i="50"/>
  <c r="B2638" i="50"/>
  <c r="D2638" i="50" s="1"/>
  <c r="B2682" i="50"/>
  <c r="D2682" i="50" s="1"/>
  <c r="E2658" i="50"/>
  <c r="B2633" i="50"/>
  <c r="D2633" i="50" s="1"/>
  <c r="E2609" i="50"/>
  <c r="B2690" i="50"/>
  <c r="D2690" i="50" s="1"/>
  <c r="E2666" i="50"/>
  <c r="B2621" i="50"/>
  <c r="D2621" i="50" s="1"/>
  <c r="E2597" i="50"/>
  <c r="B2635" i="50"/>
  <c r="D2635" i="50" s="1"/>
  <c r="E2611" i="50"/>
  <c r="B2663" i="50"/>
  <c r="D2663" i="50" s="1"/>
  <c r="E2639" i="50"/>
  <c r="V2639" i="50" s="1"/>
  <c r="E2649" i="50"/>
  <c r="G2649" i="50" s="1"/>
  <c r="B2673" i="50"/>
  <c r="D2673" i="50" s="1"/>
  <c r="E2612" i="50"/>
  <c r="B2636" i="50"/>
  <c r="D2636" i="50" s="1"/>
  <c r="B2651" i="50"/>
  <c r="D2651" i="50" s="1"/>
  <c r="E2627" i="50"/>
  <c r="V2643" i="50" l="1"/>
  <c r="U2643" i="50"/>
  <c r="G2643" i="50"/>
  <c r="F2643" i="50"/>
  <c r="V2665" i="50"/>
  <c r="U2665" i="50"/>
  <c r="F2665" i="50"/>
  <c r="G2608" i="50"/>
  <c r="V2608" i="50"/>
  <c r="F2608" i="50"/>
  <c r="G2629" i="50"/>
  <c r="F2629" i="50"/>
  <c r="V2629" i="50"/>
  <c r="U2629" i="50"/>
  <c r="U2611" i="50"/>
  <c r="G2611" i="50"/>
  <c r="F2611" i="50"/>
  <c r="V2611" i="50"/>
  <c r="F2613" i="50"/>
  <c r="V2613" i="50"/>
  <c r="U2613" i="50"/>
  <c r="G2613" i="50"/>
  <c r="V2631" i="50"/>
  <c r="U2631" i="50"/>
  <c r="G2631" i="50"/>
  <c r="F2631" i="50"/>
  <c r="F2597" i="50"/>
  <c r="V2597" i="50"/>
  <c r="U2597" i="50"/>
  <c r="G2597" i="50"/>
  <c r="V2599" i="50"/>
  <c r="U2599" i="50"/>
  <c r="G2599" i="50"/>
  <c r="F2599" i="50"/>
  <c r="V2627" i="50"/>
  <c r="U2627" i="50"/>
  <c r="G2627" i="50"/>
  <c r="F2627" i="50"/>
  <c r="V2609" i="50"/>
  <c r="U2609" i="50"/>
  <c r="G2609" i="50"/>
  <c r="F2609" i="50"/>
  <c r="V2606" i="50"/>
  <c r="G2606" i="50"/>
  <c r="U2606" i="50"/>
  <c r="G2665" i="50"/>
  <c r="F2606" i="50"/>
  <c r="D2623" i="50"/>
  <c r="B2647" i="50"/>
  <c r="E2623" i="50"/>
  <c r="V2658" i="50"/>
  <c r="U2658" i="50"/>
  <c r="G2658" i="50"/>
  <c r="F2658" i="50"/>
  <c r="U2608" i="50"/>
  <c r="G2666" i="50"/>
  <c r="V2666" i="50"/>
  <c r="U2666" i="50"/>
  <c r="F2666" i="50"/>
  <c r="V2612" i="50"/>
  <c r="U2612" i="50"/>
  <c r="F2612" i="50"/>
  <c r="G2612" i="50"/>
  <c r="V2640" i="50"/>
  <c r="G2640" i="50"/>
  <c r="F2640" i="50"/>
  <c r="G2650" i="50"/>
  <c r="V2650" i="50"/>
  <c r="U2650" i="50"/>
  <c r="F2650" i="50"/>
  <c r="D2628" i="50"/>
  <c r="E2628" i="50"/>
  <c r="B2652" i="50"/>
  <c r="V2624" i="50"/>
  <c r="G2624" i="50"/>
  <c r="F2624" i="50"/>
  <c r="V2649" i="50"/>
  <c r="U2649" i="50"/>
  <c r="F2649" i="50"/>
  <c r="U2614" i="50"/>
  <c r="G2614" i="50"/>
  <c r="F2614" i="50"/>
  <c r="V2614" i="50"/>
  <c r="V2604" i="50"/>
  <c r="G2604" i="50"/>
  <c r="F2604" i="50"/>
  <c r="V2620" i="50"/>
  <c r="G2620" i="50"/>
  <c r="F2620" i="50"/>
  <c r="U2639" i="50"/>
  <c r="F2639" i="50"/>
  <c r="G2639" i="50"/>
  <c r="V2622" i="50"/>
  <c r="U2622" i="50"/>
  <c r="G2622" i="50"/>
  <c r="U2604" i="50"/>
  <c r="B2691" i="50"/>
  <c r="D2691" i="50" s="1"/>
  <c r="E2667" i="50"/>
  <c r="B2662" i="50"/>
  <c r="D2662" i="50" s="1"/>
  <c r="E2638" i="50"/>
  <c r="B2672" i="50"/>
  <c r="D2672" i="50" s="1"/>
  <c r="E2648" i="50"/>
  <c r="B2668" i="50"/>
  <c r="D2668" i="50" s="1"/>
  <c r="E2644" i="50"/>
  <c r="B2698" i="50"/>
  <c r="D2698" i="50" s="1"/>
  <c r="E2674" i="50"/>
  <c r="B2656" i="50"/>
  <c r="D2656" i="50" s="1"/>
  <c r="E2632" i="50"/>
  <c r="B2661" i="50"/>
  <c r="D2661" i="50" s="1"/>
  <c r="E2637" i="50"/>
  <c r="B2706" i="50"/>
  <c r="D2706" i="50" s="1"/>
  <c r="E2682" i="50"/>
  <c r="B2660" i="50"/>
  <c r="D2660" i="50" s="1"/>
  <c r="E2636" i="50"/>
  <c r="B2645" i="50"/>
  <c r="D2645" i="50" s="1"/>
  <c r="E2621" i="50"/>
  <c r="B2714" i="50"/>
  <c r="D2714" i="50" s="1"/>
  <c r="E2690" i="50"/>
  <c r="B2670" i="50"/>
  <c r="D2670" i="50" s="1"/>
  <c r="E2646" i="50"/>
  <c r="G2646" i="50" s="1"/>
  <c r="B2679" i="50"/>
  <c r="D2679" i="50" s="1"/>
  <c r="E2655" i="50"/>
  <c r="E2663" i="50"/>
  <c r="B2687" i="50"/>
  <c r="D2687" i="50" s="1"/>
  <c r="B2677" i="50"/>
  <c r="D2677" i="50" s="1"/>
  <c r="E2653" i="50"/>
  <c r="B2659" i="50"/>
  <c r="D2659" i="50" s="1"/>
  <c r="E2635" i="50"/>
  <c r="B2697" i="50"/>
  <c r="D2697" i="50" s="1"/>
  <c r="E2673" i="50"/>
  <c r="E2633" i="50"/>
  <c r="B2657" i="50"/>
  <c r="D2657" i="50" s="1"/>
  <c r="B2688" i="50"/>
  <c r="D2688" i="50" s="1"/>
  <c r="E2664" i="50"/>
  <c r="B2654" i="50"/>
  <c r="D2654" i="50" s="1"/>
  <c r="E2630" i="50"/>
  <c r="G2630" i="50" s="1"/>
  <c r="B2675" i="50"/>
  <c r="D2675" i="50" s="1"/>
  <c r="E2651" i="50"/>
  <c r="V2651" i="50" s="1"/>
  <c r="B2713" i="50"/>
  <c r="D2713" i="50" s="1"/>
  <c r="E2689" i="50"/>
  <c r="V2636" i="50" l="1"/>
  <c r="G2636" i="50"/>
  <c r="F2636" i="50"/>
  <c r="V2638" i="50"/>
  <c r="U2638" i="50"/>
  <c r="G2638" i="50"/>
  <c r="U2635" i="50"/>
  <c r="G2635" i="50"/>
  <c r="F2635" i="50"/>
  <c r="U2667" i="50"/>
  <c r="G2667" i="50"/>
  <c r="F2667" i="50"/>
  <c r="V2633" i="50"/>
  <c r="U2633" i="50"/>
  <c r="F2633" i="50"/>
  <c r="V2682" i="50"/>
  <c r="U2682" i="50"/>
  <c r="F2682" i="50"/>
  <c r="G2682" i="50"/>
  <c r="U2636" i="50"/>
  <c r="V2673" i="50"/>
  <c r="U2673" i="50"/>
  <c r="G2673" i="50"/>
  <c r="F2673" i="50"/>
  <c r="V2653" i="50"/>
  <c r="G2653" i="50"/>
  <c r="U2653" i="50"/>
  <c r="F2653" i="50"/>
  <c r="V2667" i="50"/>
  <c r="V2648" i="50"/>
  <c r="U2648" i="50"/>
  <c r="G2648" i="50"/>
  <c r="F2648" i="50"/>
  <c r="V2689" i="50"/>
  <c r="U2689" i="50"/>
  <c r="G2689" i="50"/>
  <c r="F2689" i="50"/>
  <c r="F2637" i="50"/>
  <c r="V2637" i="50"/>
  <c r="G2637" i="50"/>
  <c r="U2637" i="50"/>
  <c r="G2633" i="50"/>
  <c r="F2638" i="50"/>
  <c r="F2621" i="50"/>
  <c r="V2621" i="50"/>
  <c r="G2621" i="50"/>
  <c r="U2621" i="50"/>
  <c r="U2655" i="50"/>
  <c r="F2655" i="50"/>
  <c r="G2655" i="50"/>
  <c r="G2632" i="50"/>
  <c r="F2632" i="50"/>
  <c r="V2632" i="50"/>
  <c r="U2632" i="50"/>
  <c r="V2635" i="50"/>
  <c r="U2623" i="50"/>
  <c r="F2623" i="50"/>
  <c r="G2623" i="50"/>
  <c r="V2628" i="50"/>
  <c r="G2628" i="50"/>
  <c r="U2628" i="50"/>
  <c r="F2628" i="50"/>
  <c r="D2647" i="50"/>
  <c r="B2671" i="50"/>
  <c r="E2647" i="50"/>
  <c r="V2663" i="50"/>
  <c r="U2663" i="50"/>
  <c r="G2663" i="50"/>
  <c r="F2663" i="50"/>
  <c r="U2630" i="50"/>
  <c r="V2630" i="50"/>
  <c r="F2630" i="50"/>
  <c r="V2646" i="50"/>
  <c r="U2646" i="50"/>
  <c r="F2646" i="50"/>
  <c r="V2674" i="50"/>
  <c r="U2674" i="50"/>
  <c r="G2674" i="50"/>
  <c r="F2674" i="50"/>
  <c r="V2623" i="50"/>
  <c r="U2651" i="50"/>
  <c r="G2651" i="50"/>
  <c r="F2651" i="50"/>
  <c r="G2664" i="50"/>
  <c r="V2664" i="50"/>
  <c r="U2664" i="50"/>
  <c r="F2664" i="50"/>
  <c r="V2690" i="50"/>
  <c r="U2690" i="50"/>
  <c r="G2690" i="50"/>
  <c r="F2690" i="50"/>
  <c r="V2644" i="50"/>
  <c r="U2644" i="50"/>
  <c r="G2644" i="50"/>
  <c r="F2644" i="50"/>
  <c r="D2652" i="50"/>
  <c r="E2652" i="50"/>
  <c r="B2676" i="50"/>
  <c r="V2655" i="50"/>
  <c r="B2681" i="50"/>
  <c r="D2681" i="50" s="1"/>
  <c r="E2657" i="50"/>
  <c r="E2670" i="50"/>
  <c r="B2694" i="50"/>
  <c r="D2694" i="50" s="1"/>
  <c r="B2715" i="50"/>
  <c r="D2715" i="50" s="1"/>
  <c r="E2691" i="50"/>
  <c r="E2656" i="50"/>
  <c r="U2656" i="50" s="1"/>
  <c r="B2680" i="50"/>
  <c r="D2680" i="50" s="1"/>
  <c r="B2738" i="50"/>
  <c r="D2738" i="50" s="1"/>
  <c r="E2714" i="50"/>
  <c r="E2677" i="50"/>
  <c r="B2701" i="50"/>
  <c r="D2701" i="50" s="1"/>
  <c r="B2730" i="50"/>
  <c r="D2730" i="50" s="1"/>
  <c r="E2706" i="50"/>
  <c r="B2722" i="50"/>
  <c r="D2722" i="50" s="1"/>
  <c r="E2698" i="50"/>
  <c r="B2711" i="50"/>
  <c r="D2711" i="50" s="1"/>
  <c r="E2687" i="50"/>
  <c r="V2687" i="50" s="1"/>
  <c r="E2679" i="50"/>
  <c r="B2703" i="50"/>
  <c r="D2703" i="50" s="1"/>
  <c r="E2645" i="50"/>
  <c r="B2669" i="50"/>
  <c r="D2669" i="50" s="1"/>
  <c r="E2661" i="50"/>
  <c r="B2685" i="50"/>
  <c r="D2685" i="50" s="1"/>
  <c r="E2668" i="50"/>
  <c r="B2692" i="50"/>
  <c r="D2692" i="50" s="1"/>
  <c r="E2688" i="50"/>
  <c r="U2688" i="50" s="1"/>
  <c r="B2712" i="50"/>
  <c r="D2712" i="50" s="1"/>
  <c r="B2683" i="50"/>
  <c r="D2683" i="50" s="1"/>
  <c r="E2659" i="50"/>
  <c r="B2684" i="50"/>
  <c r="D2684" i="50" s="1"/>
  <c r="E2660" i="50"/>
  <c r="E2713" i="50"/>
  <c r="G2713" i="50" s="1"/>
  <c r="B2737" i="50"/>
  <c r="D2737" i="50" s="1"/>
  <c r="E2672" i="50"/>
  <c r="U2672" i="50" s="1"/>
  <c r="B2696" i="50"/>
  <c r="D2696" i="50" s="1"/>
  <c r="B2699" i="50"/>
  <c r="D2699" i="50" s="1"/>
  <c r="E2675" i="50"/>
  <c r="E2697" i="50"/>
  <c r="G2697" i="50" s="1"/>
  <c r="B2721" i="50"/>
  <c r="D2721" i="50" s="1"/>
  <c r="E2654" i="50"/>
  <c r="F2654" i="50" s="1"/>
  <c r="B2678" i="50"/>
  <c r="D2678" i="50" s="1"/>
  <c r="B2686" i="50"/>
  <c r="D2686" i="50" s="1"/>
  <c r="E2662" i="50"/>
  <c r="V2670" i="50" l="1"/>
  <c r="U2670" i="50"/>
  <c r="G2670" i="50"/>
  <c r="D2676" i="50"/>
  <c r="E2676" i="50"/>
  <c r="B2700" i="50"/>
  <c r="V2662" i="50"/>
  <c r="U2662" i="50"/>
  <c r="F2662" i="50"/>
  <c r="V2654" i="50"/>
  <c r="U2654" i="50"/>
  <c r="G2654" i="50"/>
  <c r="V2688" i="50"/>
  <c r="G2688" i="50"/>
  <c r="F2688" i="50"/>
  <c r="G2677" i="50"/>
  <c r="F2677" i="50"/>
  <c r="V2677" i="50"/>
  <c r="U2677" i="50"/>
  <c r="U2652" i="50"/>
  <c r="V2657" i="50"/>
  <c r="U2657" i="50"/>
  <c r="G2657" i="50"/>
  <c r="F2657" i="50"/>
  <c r="V2652" i="50"/>
  <c r="G2652" i="50"/>
  <c r="F2652" i="50"/>
  <c r="G2714" i="50"/>
  <c r="V2714" i="50"/>
  <c r="U2714" i="50"/>
  <c r="F2714" i="50"/>
  <c r="F2670" i="50"/>
  <c r="G2662" i="50"/>
  <c r="V2706" i="50"/>
  <c r="U2706" i="50"/>
  <c r="G2706" i="50"/>
  <c r="F2706" i="50"/>
  <c r="V2675" i="50"/>
  <c r="U2675" i="50"/>
  <c r="G2675" i="50"/>
  <c r="F2675" i="50"/>
  <c r="D2671" i="50"/>
  <c r="B2695" i="50"/>
  <c r="E2671" i="50"/>
  <c r="V2698" i="50"/>
  <c r="U2698" i="50"/>
  <c r="F2698" i="50"/>
  <c r="G2698" i="50"/>
  <c r="U2691" i="50"/>
  <c r="G2691" i="50"/>
  <c r="F2691" i="50"/>
  <c r="V2691" i="50"/>
  <c r="F2697" i="50"/>
  <c r="V2697" i="50"/>
  <c r="U2697" i="50"/>
  <c r="V2672" i="50"/>
  <c r="G2672" i="50"/>
  <c r="F2672" i="50"/>
  <c r="F2645" i="50"/>
  <c r="V2645" i="50"/>
  <c r="U2645" i="50"/>
  <c r="G2645" i="50"/>
  <c r="V2668" i="50"/>
  <c r="G2668" i="50"/>
  <c r="F2668" i="50"/>
  <c r="F2656" i="50"/>
  <c r="V2656" i="50"/>
  <c r="G2656" i="50"/>
  <c r="V2713" i="50"/>
  <c r="U2713" i="50"/>
  <c r="F2713" i="50"/>
  <c r="V2679" i="50"/>
  <c r="U2679" i="50"/>
  <c r="G2679" i="50"/>
  <c r="F2679" i="50"/>
  <c r="V2659" i="50"/>
  <c r="U2659" i="50"/>
  <c r="G2659" i="50"/>
  <c r="F2659" i="50"/>
  <c r="V2647" i="50"/>
  <c r="U2647" i="50"/>
  <c r="G2647" i="50"/>
  <c r="F2647" i="50"/>
  <c r="F2661" i="50"/>
  <c r="V2661" i="50"/>
  <c r="U2661" i="50"/>
  <c r="G2661" i="50"/>
  <c r="U2660" i="50"/>
  <c r="G2660" i="50"/>
  <c r="F2660" i="50"/>
  <c r="V2660" i="50"/>
  <c r="U2687" i="50"/>
  <c r="F2687" i="50"/>
  <c r="G2687" i="50"/>
  <c r="U2668" i="50"/>
  <c r="B2693" i="50"/>
  <c r="D2693" i="50" s="1"/>
  <c r="E2669" i="50"/>
  <c r="V2669" i="50" s="1"/>
  <c r="B2754" i="50"/>
  <c r="D2754" i="50" s="1"/>
  <c r="E2730" i="50"/>
  <c r="B2761" i="50"/>
  <c r="D2761" i="50" s="1"/>
  <c r="E2737" i="50"/>
  <c r="B2707" i="50"/>
  <c r="D2707" i="50" s="1"/>
  <c r="E2683" i="50"/>
  <c r="B2725" i="50"/>
  <c r="D2725" i="50" s="1"/>
  <c r="E2701" i="50"/>
  <c r="V2701" i="50" s="1"/>
  <c r="E2681" i="50"/>
  <c r="B2705" i="50"/>
  <c r="D2705" i="50" s="1"/>
  <c r="E2711" i="50"/>
  <c r="B2735" i="50"/>
  <c r="D2735" i="50" s="1"/>
  <c r="B2762" i="50"/>
  <c r="D2762" i="50" s="1"/>
  <c r="E2738" i="50"/>
  <c r="B2739" i="50"/>
  <c r="D2739" i="50" s="1"/>
  <c r="E2715" i="50"/>
  <c r="V2715" i="50" s="1"/>
  <c r="B2720" i="50"/>
  <c r="D2720" i="50" s="1"/>
  <c r="E2696" i="50"/>
  <c r="V2696" i="50" s="1"/>
  <c r="B2727" i="50"/>
  <c r="D2727" i="50" s="1"/>
  <c r="E2703" i="50"/>
  <c r="V2703" i="50" s="1"/>
  <c r="B2745" i="50"/>
  <c r="D2745" i="50" s="1"/>
  <c r="E2721" i="50"/>
  <c r="B2704" i="50"/>
  <c r="D2704" i="50" s="1"/>
  <c r="E2680" i="50"/>
  <c r="E2684" i="50"/>
  <c r="B2708" i="50"/>
  <c r="D2708" i="50" s="1"/>
  <c r="B2723" i="50"/>
  <c r="D2723" i="50" s="1"/>
  <c r="E2699" i="50"/>
  <c r="V2699" i="50" s="1"/>
  <c r="B2736" i="50"/>
  <c r="D2736" i="50" s="1"/>
  <c r="E2712" i="50"/>
  <c r="V2712" i="50" s="1"/>
  <c r="E2686" i="50"/>
  <c r="F2686" i="50" s="1"/>
  <c r="B2710" i="50"/>
  <c r="D2710" i="50" s="1"/>
  <c r="B2709" i="50"/>
  <c r="D2709" i="50" s="1"/>
  <c r="E2685" i="50"/>
  <c r="B2716" i="50"/>
  <c r="D2716" i="50" s="1"/>
  <c r="E2692" i="50"/>
  <c r="B2718" i="50"/>
  <c r="D2718" i="50" s="1"/>
  <c r="E2694" i="50"/>
  <c r="G2694" i="50" s="1"/>
  <c r="B2702" i="50"/>
  <c r="D2702" i="50" s="1"/>
  <c r="E2678" i="50"/>
  <c r="G2678" i="50" s="1"/>
  <c r="B2746" i="50"/>
  <c r="D2746" i="50" s="1"/>
  <c r="E2722" i="50"/>
  <c r="V2711" i="50" l="1"/>
  <c r="U2711" i="50"/>
  <c r="G2711" i="50"/>
  <c r="F2711" i="50"/>
  <c r="V2678" i="50"/>
  <c r="U2678" i="50"/>
  <c r="F2678" i="50"/>
  <c r="V2738" i="50"/>
  <c r="U2738" i="50"/>
  <c r="G2738" i="50"/>
  <c r="F2738" i="50"/>
  <c r="V2684" i="50"/>
  <c r="G2684" i="50"/>
  <c r="F2684" i="50"/>
  <c r="D2700" i="50"/>
  <c r="U2700" i="50" s="1"/>
  <c r="B2724" i="50"/>
  <c r="E2700" i="50"/>
  <c r="U2680" i="50"/>
  <c r="F2680" i="50"/>
  <c r="V2680" i="50"/>
  <c r="G2680" i="50"/>
  <c r="V2676" i="50"/>
  <c r="U2676" i="50"/>
  <c r="G2676" i="50"/>
  <c r="F2676" i="50"/>
  <c r="V2722" i="50"/>
  <c r="U2722" i="50"/>
  <c r="G2722" i="50"/>
  <c r="F2722" i="50"/>
  <c r="V2681" i="50"/>
  <c r="U2681" i="50"/>
  <c r="F2681" i="50"/>
  <c r="U2699" i="50"/>
  <c r="G2699" i="50"/>
  <c r="F2699" i="50"/>
  <c r="V2721" i="50"/>
  <c r="U2721" i="50"/>
  <c r="G2721" i="50"/>
  <c r="F2721" i="50"/>
  <c r="U2701" i="50"/>
  <c r="F2701" i="50"/>
  <c r="G2701" i="50"/>
  <c r="G2692" i="50"/>
  <c r="F2692" i="50"/>
  <c r="V2692" i="50"/>
  <c r="U2692" i="50"/>
  <c r="G2681" i="50"/>
  <c r="U2669" i="50"/>
  <c r="F2669" i="50"/>
  <c r="G2669" i="50"/>
  <c r="V2694" i="50"/>
  <c r="U2694" i="50"/>
  <c r="F2694" i="50"/>
  <c r="U2685" i="50"/>
  <c r="F2685" i="50"/>
  <c r="G2685" i="50"/>
  <c r="U2703" i="50"/>
  <c r="F2703" i="50"/>
  <c r="G2703" i="50"/>
  <c r="U2683" i="50"/>
  <c r="G2683" i="50"/>
  <c r="F2683" i="50"/>
  <c r="V2683" i="50"/>
  <c r="U2671" i="50"/>
  <c r="F2671" i="50"/>
  <c r="G2671" i="50"/>
  <c r="G2696" i="50"/>
  <c r="F2696" i="50"/>
  <c r="U2696" i="50"/>
  <c r="F2737" i="50"/>
  <c r="V2737" i="50"/>
  <c r="U2737" i="50"/>
  <c r="G2737" i="50"/>
  <c r="D2695" i="50"/>
  <c r="E2695" i="50"/>
  <c r="B2719" i="50"/>
  <c r="F2712" i="50"/>
  <c r="G2712" i="50"/>
  <c r="U2712" i="50"/>
  <c r="V2671" i="50"/>
  <c r="V2686" i="50"/>
  <c r="U2686" i="50"/>
  <c r="G2686" i="50"/>
  <c r="U2715" i="50"/>
  <c r="G2715" i="50"/>
  <c r="F2715" i="50"/>
  <c r="V2730" i="50"/>
  <c r="U2730" i="50"/>
  <c r="G2730" i="50"/>
  <c r="F2730" i="50"/>
  <c r="V2685" i="50"/>
  <c r="U2684" i="50"/>
  <c r="E2727" i="50"/>
  <c r="B2751" i="50"/>
  <c r="D2751" i="50" s="1"/>
  <c r="E2716" i="50"/>
  <c r="B2740" i="50"/>
  <c r="D2740" i="50" s="1"/>
  <c r="B2734" i="50"/>
  <c r="D2734" i="50" s="1"/>
  <c r="E2710" i="50"/>
  <c r="E2736" i="50"/>
  <c r="B2760" i="50"/>
  <c r="D2760" i="50" s="1"/>
  <c r="E2704" i="50"/>
  <c r="B2728" i="50"/>
  <c r="D2728" i="50" s="1"/>
  <c r="E2720" i="50"/>
  <c r="U2720" i="50" s="1"/>
  <c r="B2744" i="50"/>
  <c r="D2744" i="50" s="1"/>
  <c r="B2786" i="50"/>
  <c r="D2786" i="50" s="1"/>
  <c r="E2762" i="50"/>
  <c r="B2729" i="50"/>
  <c r="D2729" i="50" s="1"/>
  <c r="E2705" i="50"/>
  <c r="B2731" i="50"/>
  <c r="D2731" i="50" s="1"/>
  <c r="E2707" i="50"/>
  <c r="B2763" i="50"/>
  <c r="D2763" i="50" s="1"/>
  <c r="E2739" i="50"/>
  <c r="B2759" i="50"/>
  <c r="D2759" i="50" s="1"/>
  <c r="E2735" i="50"/>
  <c r="B2778" i="50"/>
  <c r="D2778" i="50" s="1"/>
  <c r="E2754" i="50"/>
  <c r="B2770" i="50"/>
  <c r="D2770" i="50" s="1"/>
  <c r="E2746" i="50"/>
  <c r="E2761" i="50"/>
  <c r="G2761" i="50" s="1"/>
  <c r="B2785" i="50"/>
  <c r="D2785" i="50" s="1"/>
  <c r="E2702" i="50"/>
  <c r="F2702" i="50" s="1"/>
  <c r="B2726" i="50"/>
  <c r="D2726" i="50" s="1"/>
  <c r="E2745" i="50"/>
  <c r="B2769" i="50"/>
  <c r="D2769" i="50" s="1"/>
  <c r="E2693" i="50"/>
  <c r="B2717" i="50"/>
  <c r="D2717" i="50" s="1"/>
  <c r="E2718" i="50"/>
  <c r="B2742" i="50"/>
  <c r="D2742" i="50" s="1"/>
  <c r="E2709" i="50"/>
  <c r="B2733" i="50"/>
  <c r="D2733" i="50" s="1"/>
  <c r="B2747" i="50"/>
  <c r="D2747" i="50" s="1"/>
  <c r="E2723" i="50"/>
  <c r="B2732" i="50"/>
  <c r="D2732" i="50" s="1"/>
  <c r="E2708" i="50"/>
  <c r="E2725" i="50"/>
  <c r="B2749" i="50"/>
  <c r="D2749" i="50" s="1"/>
  <c r="V2704" i="50" l="1"/>
  <c r="G2704" i="50"/>
  <c r="F2704" i="50"/>
  <c r="V2754" i="50"/>
  <c r="U2754" i="50"/>
  <c r="G2754" i="50"/>
  <c r="F2754" i="50"/>
  <c r="U2746" i="50"/>
  <c r="G2746" i="50"/>
  <c r="F2746" i="50"/>
  <c r="V2746" i="50"/>
  <c r="V2736" i="50"/>
  <c r="G2736" i="50"/>
  <c r="F2736" i="50"/>
  <c r="U2735" i="50"/>
  <c r="F2735" i="50"/>
  <c r="G2735" i="50"/>
  <c r="V2710" i="50"/>
  <c r="U2710" i="50"/>
  <c r="F2710" i="50"/>
  <c r="V2735" i="50"/>
  <c r="V2716" i="50"/>
  <c r="G2716" i="50"/>
  <c r="F2716" i="50"/>
  <c r="U2704" i="50"/>
  <c r="F2709" i="50"/>
  <c r="V2709" i="50"/>
  <c r="U2709" i="50"/>
  <c r="G2709" i="50"/>
  <c r="V2739" i="50"/>
  <c r="U2739" i="50"/>
  <c r="G2739" i="50"/>
  <c r="F2739" i="50"/>
  <c r="F2707" i="50"/>
  <c r="V2707" i="50"/>
  <c r="U2707" i="50"/>
  <c r="G2707" i="50"/>
  <c r="G2710" i="50"/>
  <c r="G2693" i="50"/>
  <c r="F2693" i="50"/>
  <c r="V2693" i="50"/>
  <c r="U2693" i="50"/>
  <c r="U2727" i="50"/>
  <c r="G2727" i="50"/>
  <c r="F2727" i="50"/>
  <c r="V2727" i="50"/>
  <c r="V2718" i="50"/>
  <c r="U2718" i="50"/>
  <c r="G2718" i="50"/>
  <c r="V2705" i="50"/>
  <c r="U2705" i="50"/>
  <c r="G2705" i="50"/>
  <c r="F2705" i="50"/>
  <c r="F2718" i="50"/>
  <c r="F2725" i="50"/>
  <c r="U2725" i="50"/>
  <c r="G2725" i="50"/>
  <c r="V2725" i="50"/>
  <c r="V2745" i="50"/>
  <c r="U2745" i="50"/>
  <c r="F2745" i="50"/>
  <c r="V2708" i="50"/>
  <c r="U2708" i="50"/>
  <c r="G2708" i="50"/>
  <c r="F2708" i="50"/>
  <c r="V2762" i="50"/>
  <c r="U2762" i="50"/>
  <c r="G2762" i="50"/>
  <c r="F2762" i="50"/>
  <c r="G2702" i="50"/>
  <c r="V2702" i="50"/>
  <c r="U2702" i="50"/>
  <c r="V2723" i="50"/>
  <c r="U2723" i="50"/>
  <c r="G2723" i="50"/>
  <c r="F2723" i="50"/>
  <c r="D2719" i="50"/>
  <c r="E2719" i="50"/>
  <c r="B2743" i="50"/>
  <c r="G2745" i="50"/>
  <c r="V2700" i="50"/>
  <c r="G2700" i="50"/>
  <c r="F2700" i="50"/>
  <c r="V2761" i="50"/>
  <c r="U2761" i="50"/>
  <c r="F2761" i="50"/>
  <c r="V2720" i="50"/>
  <c r="G2720" i="50"/>
  <c r="F2720" i="50"/>
  <c r="V2695" i="50"/>
  <c r="U2695" i="50"/>
  <c r="G2695" i="50"/>
  <c r="F2695" i="50"/>
  <c r="U2716" i="50"/>
  <c r="D2724" i="50"/>
  <c r="B2748" i="50"/>
  <c r="E2724" i="50"/>
  <c r="U2736" i="50"/>
  <c r="B2741" i="50"/>
  <c r="D2741" i="50" s="1"/>
  <c r="E2717" i="50"/>
  <c r="V2717" i="50" s="1"/>
  <c r="B2752" i="50"/>
  <c r="D2752" i="50" s="1"/>
  <c r="E2728" i="50"/>
  <c r="V2728" i="50" s="1"/>
  <c r="B2775" i="50"/>
  <c r="D2775" i="50" s="1"/>
  <c r="E2751" i="50"/>
  <c r="V2751" i="50" s="1"/>
  <c r="B2809" i="50"/>
  <c r="D2809" i="50" s="1"/>
  <c r="E2785" i="50"/>
  <c r="E2759" i="50"/>
  <c r="B2783" i="50"/>
  <c r="D2783" i="50" s="1"/>
  <c r="B2794" i="50"/>
  <c r="D2794" i="50" s="1"/>
  <c r="E2770" i="50"/>
  <c r="B2755" i="50"/>
  <c r="D2755" i="50" s="1"/>
  <c r="E2731" i="50"/>
  <c r="B2773" i="50"/>
  <c r="D2773" i="50" s="1"/>
  <c r="E2749" i="50"/>
  <c r="V2749" i="50" s="1"/>
  <c r="B2771" i="50"/>
  <c r="D2771" i="50" s="1"/>
  <c r="E2747" i="50"/>
  <c r="B2787" i="50"/>
  <c r="D2787" i="50" s="1"/>
  <c r="E2763" i="50"/>
  <c r="V2763" i="50" s="1"/>
  <c r="B2784" i="50"/>
  <c r="D2784" i="50" s="1"/>
  <c r="E2760" i="50"/>
  <c r="V2760" i="50" s="1"/>
  <c r="B2802" i="50"/>
  <c r="D2802" i="50" s="1"/>
  <c r="E2778" i="50"/>
  <c r="E2729" i="50"/>
  <c r="B2753" i="50"/>
  <c r="D2753" i="50" s="1"/>
  <c r="B2768" i="50"/>
  <c r="D2768" i="50" s="1"/>
  <c r="E2744" i="50"/>
  <c r="V2744" i="50" s="1"/>
  <c r="B2757" i="50"/>
  <c r="D2757" i="50" s="1"/>
  <c r="E2733" i="50"/>
  <c r="E2732" i="50"/>
  <c r="B2756" i="50"/>
  <c r="D2756" i="50" s="1"/>
  <c r="B2810" i="50"/>
  <c r="D2810" i="50" s="1"/>
  <c r="E2786" i="50"/>
  <c r="E2734" i="50"/>
  <c r="B2758" i="50"/>
  <c r="D2758" i="50" s="1"/>
  <c r="B2766" i="50"/>
  <c r="D2766" i="50" s="1"/>
  <c r="E2742" i="50"/>
  <c r="G2742" i="50" s="1"/>
  <c r="B2764" i="50"/>
  <c r="D2764" i="50" s="1"/>
  <c r="E2740" i="50"/>
  <c r="B2793" i="50"/>
  <c r="D2793" i="50" s="1"/>
  <c r="E2769" i="50"/>
  <c r="B2750" i="50"/>
  <c r="D2750" i="50" s="1"/>
  <c r="E2726" i="50"/>
  <c r="G2726" i="50" s="1"/>
  <c r="V2719" i="50" l="1"/>
  <c r="V2769" i="50"/>
  <c r="U2769" i="50"/>
  <c r="G2769" i="50"/>
  <c r="F2769" i="50"/>
  <c r="U2731" i="50"/>
  <c r="G2731" i="50"/>
  <c r="F2731" i="50"/>
  <c r="D2748" i="50"/>
  <c r="B2772" i="50"/>
  <c r="E2748" i="50"/>
  <c r="V2770" i="50"/>
  <c r="U2770" i="50"/>
  <c r="G2770" i="50"/>
  <c r="F2770" i="50"/>
  <c r="D2743" i="50"/>
  <c r="B2767" i="50"/>
  <c r="E2743" i="50"/>
  <c r="G2740" i="50"/>
  <c r="F2740" i="50"/>
  <c r="U2740" i="50"/>
  <c r="U2719" i="50"/>
  <c r="F2719" i="50"/>
  <c r="G2719" i="50"/>
  <c r="V2759" i="50"/>
  <c r="U2759" i="50"/>
  <c r="G2759" i="50"/>
  <c r="F2759" i="50"/>
  <c r="V2740" i="50"/>
  <c r="V2785" i="50"/>
  <c r="U2785" i="50"/>
  <c r="G2785" i="50"/>
  <c r="F2785" i="50"/>
  <c r="V2729" i="50"/>
  <c r="U2729" i="50"/>
  <c r="F2729" i="50"/>
  <c r="V2734" i="50"/>
  <c r="U2734" i="50"/>
  <c r="G2734" i="50"/>
  <c r="G2729" i="50"/>
  <c r="G2744" i="50"/>
  <c r="F2744" i="50"/>
  <c r="U2744" i="50"/>
  <c r="U2751" i="50"/>
  <c r="F2751" i="50"/>
  <c r="G2751" i="50"/>
  <c r="F2734" i="50"/>
  <c r="V2786" i="50"/>
  <c r="U2786" i="50"/>
  <c r="G2786" i="50"/>
  <c r="F2786" i="50"/>
  <c r="V2742" i="50"/>
  <c r="U2742" i="50"/>
  <c r="F2742" i="50"/>
  <c r="U2763" i="50"/>
  <c r="G2763" i="50"/>
  <c r="F2763" i="50"/>
  <c r="G2728" i="50"/>
  <c r="F2728" i="50"/>
  <c r="U2728" i="50"/>
  <c r="G2760" i="50"/>
  <c r="F2760" i="50"/>
  <c r="U2760" i="50"/>
  <c r="U2747" i="50"/>
  <c r="G2747" i="50"/>
  <c r="F2747" i="50"/>
  <c r="F2717" i="50"/>
  <c r="U2717" i="50"/>
  <c r="G2717" i="50"/>
  <c r="V2731" i="50"/>
  <c r="G2732" i="50"/>
  <c r="F2732" i="50"/>
  <c r="V2732" i="50"/>
  <c r="V2747" i="50"/>
  <c r="V2726" i="50"/>
  <c r="U2726" i="50"/>
  <c r="F2726" i="50"/>
  <c r="U2733" i="50"/>
  <c r="F2733" i="50"/>
  <c r="G2733" i="50"/>
  <c r="U2749" i="50"/>
  <c r="F2749" i="50"/>
  <c r="G2749" i="50"/>
  <c r="U2732" i="50"/>
  <c r="V2778" i="50"/>
  <c r="U2778" i="50"/>
  <c r="G2778" i="50"/>
  <c r="F2778" i="50"/>
  <c r="V2724" i="50"/>
  <c r="U2724" i="50"/>
  <c r="G2724" i="50"/>
  <c r="F2724" i="50"/>
  <c r="V2733" i="50"/>
  <c r="E2764" i="50"/>
  <c r="B2788" i="50"/>
  <c r="D2788" i="50" s="1"/>
  <c r="B2834" i="50"/>
  <c r="D2834" i="50" s="1"/>
  <c r="E2810" i="50"/>
  <c r="B2795" i="50"/>
  <c r="D2795" i="50" s="1"/>
  <c r="E2771" i="50"/>
  <c r="E2775" i="50"/>
  <c r="B2799" i="50"/>
  <c r="D2799" i="50" s="1"/>
  <c r="B2780" i="50"/>
  <c r="D2780" i="50" s="1"/>
  <c r="E2756" i="50"/>
  <c r="V2756" i="50" s="1"/>
  <c r="E2757" i="50"/>
  <c r="B2781" i="50"/>
  <c r="D2781" i="50" s="1"/>
  <c r="B2826" i="50"/>
  <c r="D2826" i="50" s="1"/>
  <c r="E2802" i="50"/>
  <c r="E2773" i="50"/>
  <c r="B2797" i="50"/>
  <c r="D2797" i="50" s="1"/>
  <c r="E2752" i="50"/>
  <c r="U2752" i="50" s="1"/>
  <c r="B2776" i="50"/>
  <c r="D2776" i="50" s="1"/>
  <c r="E2784" i="50"/>
  <c r="U2784" i="50" s="1"/>
  <c r="B2808" i="50"/>
  <c r="D2808" i="50" s="1"/>
  <c r="B2779" i="50"/>
  <c r="D2779" i="50" s="1"/>
  <c r="E2755" i="50"/>
  <c r="B2807" i="50"/>
  <c r="D2807" i="50" s="1"/>
  <c r="E2783" i="50"/>
  <c r="V2783" i="50" s="1"/>
  <c r="B2782" i="50"/>
  <c r="D2782" i="50" s="1"/>
  <c r="E2758" i="50"/>
  <c r="E2768" i="50"/>
  <c r="U2768" i="50" s="1"/>
  <c r="B2792" i="50"/>
  <c r="D2792" i="50" s="1"/>
  <c r="B2811" i="50"/>
  <c r="D2811" i="50" s="1"/>
  <c r="E2787" i="50"/>
  <c r="E2793" i="50"/>
  <c r="G2793" i="50" s="1"/>
  <c r="B2817" i="50"/>
  <c r="D2817" i="50" s="1"/>
  <c r="B2777" i="50"/>
  <c r="D2777" i="50" s="1"/>
  <c r="E2753" i="50"/>
  <c r="E2750" i="50"/>
  <c r="B2774" i="50"/>
  <c r="D2774" i="50" s="1"/>
  <c r="E2809" i="50"/>
  <c r="V2809" i="50" s="1"/>
  <c r="B2833" i="50"/>
  <c r="D2833" i="50" s="1"/>
  <c r="E2766" i="50"/>
  <c r="F2766" i="50" s="1"/>
  <c r="B2790" i="50"/>
  <c r="D2790" i="50" s="1"/>
  <c r="B2818" i="50"/>
  <c r="D2818" i="50" s="1"/>
  <c r="E2794" i="50"/>
  <c r="E2741" i="50"/>
  <c r="B2765" i="50"/>
  <c r="D2765" i="50" s="1"/>
  <c r="V2753" i="50" l="1"/>
  <c r="U2753" i="50"/>
  <c r="G2753" i="50"/>
  <c r="F2753" i="50"/>
  <c r="V2750" i="50"/>
  <c r="U2750" i="50"/>
  <c r="G2750" i="50"/>
  <c r="V2810" i="50"/>
  <c r="U2810" i="50"/>
  <c r="G2810" i="50"/>
  <c r="F2810" i="50"/>
  <c r="F2773" i="50"/>
  <c r="U2773" i="50"/>
  <c r="G2773" i="50"/>
  <c r="V2764" i="50"/>
  <c r="G2764" i="50"/>
  <c r="F2764" i="50"/>
  <c r="G2787" i="50"/>
  <c r="F2787" i="50"/>
  <c r="V2787" i="50"/>
  <c r="U2787" i="50"/>
  <c r="G2802" i="50"/>
  <c r="F2802" i="50"/>
  <c r="U2802" i="50"/>
  <c r="V2802" i="50"/>
  <c r="V2748" i="50"/>
  <c r="G2748" i="50"/>
  <c r="F2748" i="50"/>
  <c r="F2741" i="50"/>
  <c r="V2741" i="50"/>
  <c r="U2741" i="50"/>
  <c r="G2741" i="50"/>
  <c r="D2772" i="50"/>
  <c r="B2796" i="50"/>
  <c r="E2772" i="50"/>
  <c r="U2748" i="50"/>
  <c r="F2757" i="50"/>
  <c r="U2757" i="50"/>
  <c r="G2757" i="50"/>
  <c r="V2784" i="50"/>
  <c r="G2784" i="50"/>
  <c r="F2784" i="50"/>
  <c r="V2793" i="50"/>
  <c r="U2793" i="50"/>
  <c r="F2793" i="50"/>
  <c r="V2758" i="50"/>
  <c r="U2758" i="50"/>
  <c r="F2758" i="50"/>
  <c r="G2756" i="50"/>
  <c r="F2756" i="50"/>
  <c r="U2756" i="50"/>
  <c r="G2752" i="50"/>
  <c r="F2752" i="50"/>
  <c r="V2752" i="50"/>
  <c r="V2766" i="50"/>
  <c r="U2766" i="50"/>
  <c r="G2766" i="50"/>
  <c r="V2773" i="50"/>
  <c r="V2768" i="50"/>
  <c r="G2768" i="50"/>
  <c r="F2768" i="50"/>
  <c r="U2783" i="50"/>
  <c r="G2783" i="50"/>
  <c r="F2783" i="50"/>
  <c r="V2757" i="50"/>
  <c r="G2758" i="50"/>
  <c r="U2764" i="50"/>
  <c r="U2809" i="50"/>
  <c r="G2809" i="50"/>
  <c r="F2809" i="50"/>
  <c r="V2775" i="50"/>
  <c r="U2775" i="50"/>
  <c r="G2775" i="50"/>
  <c r="F2775" i="50"/>
  <c r="F2750" i="50"/>
  <c r="V2794" i="50"/>
  <c r="U2794" i="50"/>
  <c r="G2794" i="50"/>
  <c r="F2794" i="50"/>
  <c r="V2755" i="50"/>
  <c r="U2755" i="50"/>
  <c r="G2755" i="50"/>
  <c r="F2755" i="50"/>
  <c r="V2771" i="50"/>
  <c r="U2771" i="50"/>
  <c r="G2771" i="50"/>
  <c r="F2771" i="50"/>
  <c r="V2743" i="50"/>
  <c r="U2743" i="50"/>
  <c r="G2743" i="50"/>
  <c r="F2743" i="50"/>
  <c r="D2767" i="50"/>
  <c r="B2791" i="50"/>
  <c r="E2767" i="50"/>
  <c r="B2850" i="50"/>
  <c r="D2850" i="50" s="1"/>
  <c r="E2826" i="50"/>
  <c r="V2826" i="50" s="1"/>
  <c r="B2803" i="50"/>
  <c r="D2803" i="50" s="1"/>
  <c r="E2779" i="50"/>
  <c r="V2779" i="50" s="1"/>
  <c r="B2832" i="50"/>
  <c r="D2832" i="50" s="1"/>
  <c r="E2808" i="50"/>
  <c r="B2805" i="50"/>
  <c r="D2805" i="50" s="1"/>
  <c r="E2781" i="50"/>
  <c r="V2781" i="50" s="1"/>
  <c r="E2782" i="50"/>
  <c r="B2806" i="50"/>
  <c r="D2806" i="50" s="1"/>
  <c r="E2780" i="50"/>
  <c r="B2804" i="50"/>
  <c r="D2804" i="50" s="1"/>
  <c r="B2841" i="50"/>
  <c r="D2841" i="50" s="1"/>
  <c r="E2817" i="50"/>
  <c r="U2817" i="50" s="1"/>
  <c r="B2823" i="50"/>
  <c r="D2823" i="50" s="1"/>
  <c r="E2799" i="50"/>
  <c r="B2814" i="50"/>
  <c r="D2814" i="50" s="1"/>
  <c r="E2790" i="50"/>
  <c r="G2790" i="50" s="1"/>
  <c r="B2800" i="50"/>
  <c r="D2800" i="50" s="1"/>
  <c r="E2776" i="50"/>
  <c r="B2789" i="50"/>
  <c r="D2789" i="50" s="1"/>
  <c r="E2765" i="50"/>
  <c r="V2765" i="50" s="1"/>
  <c r="B2798" i="50"/>
  <c r="D2798" i="50" s="1"/>
  <c r="E2774" i="50"/>
  <c r="B2858" i="50"/>
  <c r="D2858" i="50" s="1"/>
  <c r="E2834" i="50"/>
  <c r="U2834" i="50" s="1"/>
  <c r="B2842" i="50"/>
  <c r="D2842" i="50" s="1"/>
  <c r="E2818" i="50"/>
  <c r="B2821" i="50"/>
  <c r="D2821" i="50" s="1"/>
  <c r="E2797" i="50"/>
  <c r="V2797" i="50" s="1"/>
  <c r="B2812" i="50"/>
  <c r="D2812" i="50" s="1"/>
  <c r="E2788" i="50"/>
  <c r="V2788" i="50" s="1"/>
  <c r="E2777" i="50"/>
  <c r="B2801" i="50"/>
  <c r="D2801" i="50" s="1"/>
  <c r="B2835" i="50"/>
  <c r="D2835" i="50" s="1"/>
  <c r="E2811" i="50"/>
  <c r="B2819" i="50"/>
  <c r="D2819" i="50" s="1"/>
  <c r="E2795" i="50"/>
  <c r="V2795" i="50" s="1"/>
  <c r="B2857" i="50"/>
  <c r="D2857" i="50" s="1"/>
  <c r="E2833" i="50"/>
  <c r="U2833" i="50" s="1"/>
  <c r="B2816" i="50"/>
  <c r="D2816" i="50" s="1"/>
  <c r="E2792" i="50"/>
  <c r="V2792" i="50" s="1"/>
  <c r="E2807" i="50"/>
  <c r="U2807" i="50" s="1"/>
  <c r="B2831" i="50"/>
  <c r="D2831" i="50" s="1"/>
  <c r="V2767" i="50" l="1"/>
  <c r="V2780" i="50"/>
  <c r="G2780" i="50"/>
  <c r="F2780" i="50"/>
  <c r="U2782" i="50"/>
  <c r="G2782" i="50"/>
  <c r="V2782" i="50"/>
  <c r="V2774" i="50"/>
  <c r="U2774" i="50"/>
  <c r="F2774" i="50"/>
  <c r="U2781" i="50"/>
  <c r="F2781" i="50"/>
  <c r="G2781" i="50"/>
  <c r="V2834" i="50"/>
  <c r="G2834" i="50"/>
  <c r="F2834" i="50"/>
  <c r="G2772" i="50"/>
  <c r="F2772" i="50"/>
  <c r="U2772" i="50"/>
  <c r="G2818" i="50"/>
  <c r="F2818" i="50"/>
  <c r="U2818" i="50"/>
  <c r="U2811" i="50"/>
  <c r="G2811" i="50"/>
  <c r="V2811" i="50"/>
  <c r="G2776" i="50"/>
  <c r="F2776" i="50"/>
  <c r="U2776" i="50"/>
  <c r="U2808" i="50"/>
  <c r="G2808" i="50"/>
  <c r="F2808" i="50"/>
  <c r="V2808" i="50"/>
  <c r="D2796" i="50"/>
  <c r="E2796" i="50"/>
  <c r="B2820" i="50"/>
  <c r="V2776" i="50"/>
  <c r="G2833" i="50"/>
  <c r="F2833" i="50"/>
  <c r="V2833" i="50"/>
  <c r="V2772" i="50"/>
  <c r="U2795" i="50"/>
  <c r="G2795" i="50"/>
  <c r="F2795" i="50"/>
  <c r="V2790" i="50"/>
  <c r="U2790" i="50"/>
  <c r="F2790" i="50"/>
  <c r="U2779" i="50"/>
  <c r="G2779" i="50"/>
  <c r="F2779" i="50"/>
  <c r="U2780" i="50"/>
  <c r="G2792" i="50"/>
  <c r="F2792" i="50"/>
  <c r="U2792" i="50"/>
  <c r="U2777" i="50"/>
  <c r="F2777" i="50"/>
  <c r="V2777" i="50"/>
  <c r="V2818" i="50"/>
  <c r="F2782" i="50"/>
  <c r="F2811" i="50"/>
  <c r="U2765" i="50"/>
  <c r="F2765" i="50"/>
  <c r="G2765" i="50"/>
  <c r="F2799" i="50"/>
  <c r="V2799" i="50"/>
  <c r="U2799" i="50"/>
  <c r="G2799" i="50"/>
  <c r="U2826" i="50"/>
  <c r="G2826" i="50"/>
  <c r="F2826" i="50"/>
  <c r="G2788" i="50"/>
  <c r="F2788" i="50"/>
  <c r="U2788" i="50"/>
  <c r="G2774" i="50"/>
  <c r="G2777" i="50"/>
  <c r="U2797" i="50"/>
  <c r="F2797" i="50"/>
  <c r="G2797" i="50"/>
  <c r="G2817" i="50"/>
  <c r="F2817" i="50"/>
  <c r="V2817" i="50"/>
  <c r="U2767" i="50"/>
  <c r="G2767" i="50"/>
  <c r="F2767" i="50"/>
  <c r="V2807" i="50"/>
  <c r="G2807" i="50"/>
  <c r="F2807" i="50"/>
  <c r="D2791" i="50"/>
  <c r="B2815" i="50"/>
  <c r="E2791" i="50"/>
  <c r="E2789" i="50"/>
  <c r="V2789" i="50" s="1"/>
  <c r="B2813" i="50"/>
  <c r="D2813" i="50" s="1"/>
  <c r="E2841" i="50"/>
  <c r="B2865" i="50"/>
  <c r="D2865" i="50" s="1"/>
  <c r="B2855" i="50"/>
  <c r="D2855" i="50" s="1"/>
  <c r="E2831" i="50"/>
  <c r="B2828" i="50"/>
  <c r="D2828" i="50" s="1"/>
  <c r="E2804" i="50"/>
  <c r="B2827" i="50"/>
  <c r="D2827" i="50" s="1"/>
  <c r="E2803" i="50"/>
  <c r="G2803" i="50" s="1"/>
  <c r="B2859" i="50"/>
  <c r="D2859" i="50" s="1"/>
  <c r="E2835" i="50"/>
  <c r="E2800" i="50"/>
  <c r="B2824" i="50"/>
  <c r="D2824" i="50" s="1"/>
  <c r="E2821" i="50"/>
  <c r="B2845" i="50"/>
  <c r="D2845" i="50" s="1"/>
  <c r="B2830" i="50"/>
  <c r="D2830" i="50" s="1"/>
  <c r="E2806" i="50"/>
  <c r="V2806" i="50" s="1"/>
  <c r="E2805" i="50"/>
  <c r="B2829" i="50"/>
  <c r="D2829" i="50" s="1"/>
  <c r="E2798" i="50"/>
  <c r="G2798" i="50" s="1"/>
  <c r="B2822" i="50"/>
  <c r="D2822" i="50" s="1"/>
  <c r="B2874" i="50"/>
  <c r="D2874" i="50" s="1"/>
  <c r="E2850" i="50"/>
  <c r="U2850" i="50" s="1"/>
  <c r="E2814" i="50"/>
  <c r="B2838" i="50"/>
  <c r="D2838" i="50" s="1"/>
  <c r="E2832" i="50"/>
  <c r="V2832" i="50" s="1"/>
  <c r="B2856" i="50"/>
  <c r="D2856" i="50" s="1"/>
  <c r="E2816" i="50"/>
  <c r="V2816" i="50" s="1"/>
  <c r="B2840" i="50"/>
  <c r="D2840" i="50" s="1"/>
  <c r="B2825" i="50"/>
  <c r="D2825" i="50" s="1"/>
  <c r="E2801" i="50"/>
  <c r="B2866" i="50"/>
  <c r="D2866" i="50" s="1"/>
  <c r="E2842" i="50"/>
  <c r="V2842" i="50" s="1"/>
  <c r="E2857" i="50"/>
  <c r="G2857" i="50" s="1"/>
  <c r="B2881" i="50"/>
  <c r="D2881" i="50" s="1"/>
  <c r="B2843" i="50"/>
  <c r="D2843" i="50" s="1"/>
  <c r="E2819" i="50"/>
  <c r="V2819" i="50" s="1"/>
  <c r="E2812" i="50"/>
  <c r="V2812" i="50" s="1"/>
  <c r="B2836" i="50"/>
  <c r="D2836" i="50" s="1"/>
  <c r="B2882" i="50"/>
  <c r="D2882" i="50" s="1"/>
  <c r="E2858" i="50"/>
  <c r="E2823" i="50"/>
  <c r="B2847" i="50"/>
  <c r="D2847" i="50" s="1"/>
  <c r="V2804" i="50" l="1"/>
  <c r="U2804" i="50"/>
  <c r="G2804" i="50"/>
  <c r="F2804" i="50"/>
  <c r="V2831" i="50"/>
  <c r="U2831" i="50"/>
  <c r="G2831" i="50"/>
  <c r="F2831" i="50"/>
  <c r="U2803" i="50"/>
  <c r="F2803" i="50"/>
  <c r="V2803" i="50"/>
  <c r="F2819" i="50"/>
  <c r="G2819" i="50"/>
  <c r="U2819" i="50"/>
  <c r="G2841" i="50"/>
  <c r="F2841" i="50"/>
  <c r="V2841" i="50"/>
  <c r="U2841" i="50"/>
  <c r="G2801" i="50"/>
  <c r="F2801" i="50"/>
  <c r="V2801" i="50"/>
  <c r="F2789" i="50"/>
  <c r="U2789" i="50"/>
  <c r="G2789" i="50"/>
  <c r="D2820" i="50"/>
  <c r="B2844" i="50"/>
  <c r="E2820" i="50"/>
  <c r="V2857" i="50"/>
  <c r="U2857" i="50"/>
  <c r="F2857" i="50"/>
  <c r="V2791" i="50"/>
  <c r="U2791" i="50"/>
  <c r="G2791" i="50"/>
  <c r="F2791" i="50"/>
  <c r="V2796" i="50"/>
  <c r="G2796" i="50"/>
  <c r="F2796" i="50"/>
  <c r="V2798" i="50"/>
  <c r="U2798" i="50"/>
  <c r="F2798" i="50"/>
  <c r="V2823" i="50"/>
  <c r="G2823" i="50"/>
  <c r="F2823" i="50"/>
  <c r="V2821" i="50"/>
  <c r="U2821" i="50"/>
  <c r="G2821" i="50"/>
  <c r="F2821" i="50"/>
  <c r="D2815" i="50"/>
  <c r="B2839" i="50"/>
  <c r="E2815" i="50"/>
  <c r="U2796" i="50"/>
  <c r="V2805" i="50"/>
  <c r="U2805" i="50"/>
  <c r="G2805" i="50"/>
  <c r="V2858" i="50"/>
  <c r="U2858" i="50"/>
  <c r="G2858" i="50"/>
  <c r="F2858" i="50"/>
  <c r="U2816" i="50"/>
  <c r="G2816" i="50"/>
  <c r="F2816" i="50"/>
  <c r="U2832" i="50"/>
  <c r="G2832" i="50"/>
  <c r="F2832" i="50"/>
  <c r="V2800" i="50"/>
  <c r="U2800" i="50"/>
  <c r="G2800" i="50"/>
  <c r="F2800" i="50"/>
  <c r="U2823" i="50"/>
  <c r="F2805" i="50"/>
  <c r="U2806" i="50"/>
  <c r="G2806" i="50"/>
  <c r="F2806" i="50"/>
  <c r="V2835" i="50"/>
  <c r="U2835" i="50"/>
  <c r="G2835" i="50"/>
  <c r="F2835" i="50"/>
  <c r="V2850" i="50"/>
  <c r="G2850" i="50"/>
  <c r="F2850" i="50"/>
  <c r="G2842" i="50"/>
  <c r="F2842" i="50"/>
  <c r="U2842" i="50"/>
  <c r="G2812" i="50"/>
  <c r="F2812" i="50"/>
  <c r="U2812" i="50"/>
  <c r="G2814" i="50"/>
  <c r="V2814" i="50"/>
  <c r="U2814" i="50"/>
  <c r="F2814" i="50"/>
  <c r="F2859" i="50"/>
  <c r="U2801" i="50"/>
  <c r="E2855" i="50"/>
  <c r="V2855" i="50" s="1"/>
  <c r="B2879" i="50"/>
  <c r="D2879" i="50" s="1"/>
  <c r="B2853" i="50"/>
  <c r="D2853" i="50" s="1"/>
  <c r="E2829" i="50"/>
  <c r="B2889" i="50"/>
  <c r="D2889" i="50" s="1"/>
  <c r="E2865" i="50"/>
  <c r="U2865" i="50" s="1"/>
  <c r="B2883" i="50"/>
  <c r="D2883" i="50" s="1"/>
  <c r="E2859" i="50"/>
  <c r="B2837" i="50"/>
  <c r="D2837" i="50" s="1"/>
  <c r="E2813" i="50"/>
  <c r="G2813" i="50" s="1"/>
  <c r="B2905" i="50"/>
  <c r="D2905" i="50" s="1"/>
  <c r="E2881" i="50"/>
  <c r="B2846" i="50"/>
  <c r="D2846" i="50" s="1"/>
  <c r="E2822" i="50"/>
  <c r="B2851" i="50"/>
  <c r="D2851" i="50" s="1"/>
  <c r="E2827" i="50"/>
  <c r="F2827" i="50" s="1"/>
  <c r="B2890" i="50"/>
  <c r="D2890" i="50" s="1"/>
  <c r="E2866" i="50"/>
  <c r="V2866" i="50" s="1"/>
  <c r="B2862" i="50"/>
  <c r="D2862" i="50" s="1"/>
  <c r="E2838" i="50"/>
  <c r="B2864" i="50"/>
  <c r="D2864" i="50" s="1"/>
  <c r="E2840" i="50"/>
  <c r="B2906" i="50"/>
  <c r="D2906" i="50" s="1"/>
  <c r="E2882" i="50"/>
  <c r="V2882" i="50" s="1"/>
  <c r="B2867" i="50"/>
  <c r="D2867" i="50" s="1"/>
  <c r="E2843" i="50"/>
  <c r="F2843" i="50" s="1"/>
  <c r="E2830" i="50"/>
  <c r="G2830" i="50" s="1"/>
  <c r="B2854" i="50"/>
  <c r="D2854" i="50" s="1"/>
  <c r="B2848" i="50"/>
  <c r="D2848" i="50" s="1"/>
  <c r="E2824" i="50"/>
  <c r="B2869" i="50"/>
  <c r="D2869" i="50" s="1"/>
  <c r="E2845" i="50"/>
  <c r="B2871" i="50"/>
  <c r="D2871" i="50" s="1"/>
  <c r="E2847" i="50"/>
  <c r="G2847" i="50" s="1"/>
  <c r="B2860" i="50"/>
  <c r="D2860" i="50" s="1"/>
  <c r="E2836" i="50"/>
  <c r="V2836" i="50" s="1"/>
  <c r="B2898" i="50"/>
  <c r="D2898" i="50" s="1"/>
  <c r="E2874" i="50"/>
  <c r="G2874" i="50" s="1"/>
  <c r="E2828" i="50"/>
  <c r="B2852" i="50"/>
  <c r="D2852" i="50" s="1"/>
  <c r="E2825" i="50"/>
  <c r="F2825" i="50" s="1"/>
  <c r="B2849" i="50"/>
  <c r="D2849" i="50" s="1"/>
  <c r="B2880" i="50"/>
  <c r="D2880" i="50" s="1"/>
  <c r="E2856" i="50"/>
  <c r="V2815" i="50" l="1"/>
  <c r="U2815" i="50"/>
  <c r="G2815" i="50"/>
  <c r="U2855" i="50"/>
  <c r="G2855" i="50"/>
  <c r="F2855" i="50"/>
  <c r="D2839" i="50"/>
  <c r="B2863" i="50"/>
  <c r="E2839" i="50"/>
  <c r="U2822" i="50"/>
  <c r="G2822" i="50"/>
  <c r="F2822" i="50"/>
  <c r="F2815" i="50"/>
  <c r="V2824" i="50"/>
  <c r="U2824" i="50"/>
  <c r="G2824" i="50"/>
  <c r="F2824" i="50"/>
  <c r="V2845" i="50"/>
  <c r="U2845" i="50"/>
  <c r="G2845" i="50"/>
  <c r="F2845" i="50"/>
  <c r="U2881" i="50"/>
  <c r="F2881" i="50"/>
  <c r="G2881" i="50"/>
  <c r="V2881" i="50"/>
  <c r="G2866" i="50"/>
  <c r="F2866" i="50"/>
  <c r="U2866" i="50"/>
  <c r="F2829" i="50"/>
  <c r="G2829" i="50"/>
  <c r="U2829" i="50"/>
  <c r="V2830" i="50"/>
  <c r="U2830" i="50"/>
  <c r="F2830" i="50"/>
  <c r="U2882" i="50"/>
  <c r="F2882" i="50"/>
  <c r="G2882" i="50"/>
  <c r="U2828" i="50"/>
  <c r="G2828" i="50"/>
  <c r="F2828" i="50"/>
  <c r="V2829" i="50"/>
  <c r="V2822" i="50"/>
  <c r="V2856" i="50"/>
  <c r="U2856" i="50"/>
  <c r="G2856" i="50"/>
  <c r="F2856" i="50"/>
  <c r="V2874" i="50"/>
  <c r="U2874" i="50"/>
  <c r="F2874" i="50"/>
  <c r="V2813" i="50"/>
  <c r="U2813" i="50"/>
  <c r="F2813" i="50"/>
  <c r="U2820" i="50"/>
  <c r="G2820" i="50"/>
  <c r="F2820" i="50"/>
  <c r="V2828" i="50"/>
  <c r="D2844" i="50"/>
  <c r="B2868" i="50"/>
  <c r="E2844" i="50"/>
  <c r="F2836" i="50"/>
  <c r="U2836" i="50"/>
  <c r="G2836" i="50"/>
  <c r="V2838" i="50"/>
  <c r="G2838" i="50"/>
  <c r="F2838" i="50"/>
  <c r="U2838" i="50"/>
  <c r="U2859" i="50"/>
  <c r="G2859" i="50"/>
  <c r="V2859" i="50"/>
  <c r="V2820" i="50"/>
  <c r="U2827" i="50"/>
  <c r="G2827" i="50"/>
  <c r="V2827" i="50"/>
  <c r="V2825" i="50"/>
  <c r="U2825" i="50"/>
  <c r="G2825" i="50"/>
  <c r="U2843" i="50"/>
  <c r="G2843" i="50"/>
  <c r="V2843" i="50"/>
  <c r="V2840" i="50"/>
  <c r="U2840" i="50"/>
  <c r="G2840" i="50"/>
  <c r="F2840" i="50"/>
  <c r="U2847" i="50"/>
  <c r="V2847" i="50"/>
  <c r="F2847" i="50"/>
  <c r="V2865" i="50"/>
  <c r="G2865" i="50"/>
  <c r="F2865" i="50"/>
  <c r="B2891" i="50"/>
  <c r="D2891" i="50" s="1"/>
  <c r="E2867" i="50"/>
  <c r="E2846" i="50"/>
  <c r="G2846" i="50" s="1"/>
  <c r="B2870" i="50"/>
  <c r="D2870" i="50" s="1"/>
  <c r="B2930" i="50"/>
  <c r="D2930" i="50" s="1"/>
  <c r="E2906" i="50"/>
  <c r="B2914" i="50"/>
  <c r="D2914" i="50" s="1"/>
  <c r="E2890" i="50"/>
  <c r="E2837" i="50"/>
  <c r="G2837" i="50" s="1"/>
  <c r="B2861" i="50"/>
  <c r="D2861" i="50" s="1"/>
  <c r="E2871" i="50"/>
  <c r="V2871" i="50" s="1"/>
  <c r="B2895" i="50"/>
  <c r="D2895" i="50" s="1"/>
  <c r="E2889" i="50"/>
  <c r="B2913" i="50"/>
  <c r="D2913" i="50" s="1"/>
  <c r="B2903" i="50"/>
  <c r="D2903" i="50" s="1"/>
  <c r="E2879" i="50"/>
  <c r="E2864" i="50"/>
  <c r="B2888" i="50"/>
  <c r="D2888" i="50" s="1"/>
  <c r="E2869" i="50"/>
  <c r="F2869" i="50" s="1"/>
  <c r="B2893" i="50"/>
  <c r="D2893" i="50" s="1"/>
  <c r="B2876" i="50"/>
  <c r="D2876" i="50" s="1"/>
  <c r="E2852" i="50"/>
  <c r="V2852" i="50" s="1"/>
  <c r="E2905" i="50"/>
  <c r="F2905" i="50" s="1"/>
  <c r="B2929" i="50"/>
  <c r="D2929" i="50" s="1"/>
  <c r="E2880" i="50"/>
  <c r="B2904" i="50"/>
  <c r="D2904" i="50" s="1"/>
  <c r="B2907" i="50"/>
  <c r="D2907" i="50" s="1"/>
  <c r="E2883" i="50"/>
  <c r="F2883" i="50" s="1"/>
  <c r="B2922" i="50"/>
  <c r="D2922" i="50" s="1"/>
  <c r="E2898" i="50"/>
  <c r="E2848" i="50"/>
  <c r="B2872" i="50"/>
  <c r="D2872" i="50" s="1"/>
  <c r="B2878" i="50"/>
  <c r="D2878" i="50" s="1"/>
  <c r="E2854" i="50"/>
  <c r="E2853" i="50"/>
  <c r="V2853" i="50" s="1"/>
  <c r="B2877" i="50"/>
  <c r="D2877" i="50" s="1"/>
  <c r="B2873" i="50"/>
  <c r="D2873" i="50" s="1"/>
  <c r="E2849" i="50"/>
  <c r="U2849" i="50" s="1"/>
  <c r="E2862" i="50"/>
  <c r="G2862" i="50" s="1"/>
  <c r="B2886" i="50"/>
  <c r="D2886" i="50" s="1"/>
  <c r="E2860" i="50"/>
  <c r="U2860" i="50" s="1"/>
  <c r="B2884" i="50"/>
  <c r="D2884" i="50" s="1"/>
  <c r="B2875" i="50"/>
  <c r="D2875" i="50" s="1"/>
  <c r="E2851" i="50"/>
  <c r="V2851" i="50" s="1"/>
  <c r="F2867" i="50" l="1"/>
  <c r="V2867" i="50"/>
  <c r="U2867" i="50"/>
  <c r="G2839" i="50"/>
  <c r="F2839" i="50"/>
  <c r="U2839" i="50"/>
  <c r="F2879" i="50"/>
  <c r="U2879" i="50"/>
  <c r="G2879" i="50"/>
  <c r="D2863" i="50"/>
  <c r="B2887" i="50"/>
  <c r="E2863" i="50"/>
  <c r="V2839" i="50"/>
  <c r="V2844" i="50"/>
  <c r="G2844" i="50"/>
  <c r="F2844" i="50"/>
  <c r="V2848" i="50"/>
  <c r="U2848" i="50"/>
  <c r="G2848" i="50"/>
  <c r="F2848" i="50"/>
  <c r="V2883" i="50"/>
  <c r="U2883" i="50"/>
  <c r="G2883" i="50"/>
  <c r="D2868" i="50"/>
  <c r="E2868" i="50"/>
  <c r="B2892" i="50"/>
  <c r="V2854" i="50"/>
  <c r="U2854" i="50"/>
  <c r="G2854" i="50"/>
  <c r="F2854" i="50"/>
  <c r="V2860" i="50"/>
  <c r="G2860" i="50"/>
  <c r="F2860" i="50"/>
  <c r="G2871" i="50"/>
  <c r="F2871" i="50"/>
  <c r="U2871" i="50"/>
  <c r="U2844" i="50"/>
  <c r="G2898" i="50"/>
  <c r="F2898" i="50"/>
  <c r="U2898" i="50"/>
  <c r="G2849" i="50"/>
  <c r="F2849" i="50"/>
  <c r="V2849" i="50"/>
  <c r="V2837" i="50"/>
  <c r="U2837" i="50"/>
  <c r="F2837" i="50"/>
  <c r="V2898" i="50"/>
  <c r="V2869" i="50"/>
  <c r="U2869" i="50"/>
  <c r="G2869" i="50"/>
  <c r="U2851" i="50"/>
  <c r="F2851" i="50"/>
  <c r="G2851" i="50"/>
  <c r="U2889" i="50"/>
  <c r="F2889" i="50"/>
  <c r="G2889" i="50"/>
  <c r="V2890" i="50"/>
  <c r="U2890" i="50"/>
  <c r="G2890" i="50"/>
  <c r="G2867" i="50"/>
  <c r="V2864" i="50"/>
  <c r="U2864" i="50"/>
  <c r="G2864" i="50"/>
  <c r="F2864" i="50"/>
  <c r="F2880" i="50"/>
  <c r="U2880" i="50"/>
  <c r="G2880" i="50"/>
  <c r="V2905" i="50"/>
  <c r="U2905" i="50"/>
  <c r="G2905" i="50"/>
  <c r="V2880" i="50"/>
  <c r="V2889" i="50"/>
  <c r="V2879" i="50"/>
  <c r="F2846" i="50"/>
  <c r="V2846" i="50"/>
  <c r="U2846" i="50"/>
  <c r="U2852" i="50"/>
  <c r="G2852" i="50"/>
  <c r="F2852" i="50"/>
  <c r="F2906" i="50"/>
  <c r="U2906" i="50"/>
  <c r="G2906" i="50"/>
  <c r="V2906" i="50"/>
  <c r="V2862" i="50"/>
  <c r="U2862" i="50"/>
  <c r="F2862" i="50"/>
  <c r="F2853" i="50"/>
  <c r="U2853" i="50"/>
  <c r="G2853" i="50"/>
  <c r="F2890" i="50"/>
  <c r="B2953" i="50"/>
  <c r="D2953" i="50" s="1"/>
  <c r="E2929" i="50"/>
  <c r="E2903" i="50"/>
  <c r="B2927" i="50"/>
  <c r="D2927" i="50" s="1"/>
  <c r="B2938" i="50"/>
  <c r="D2938" i="50" s="1"/>
  <c r="E2914" i="50"/>
  <c r="U2914" i="50" s="1"/>
  <c r="B2937" i="50"/>
  <c r="D2937" i="50" s="1"/>
  <c r="E2913" i="50"/>
  <c r="B2946" i="50"/>
  <c r="D2946" i="50" s="1"/>
  <c r="E2922" i="50"/>
  <c r="V2922" i="50" s="1"/>
  <c r="B2928" i="50"/>
  <c r="D2928" i="50" s="1"/>
  <c r="E2904" i="50"/>
  <c r="E2876" i="50"/>
  <c r="B2900" i="50"/>
  <c r="D2900" i="50" s="1"/>
  <c r="B2912" i="50"/>
  <c r="D2912" i="50" s="1"/>
  <c r="E2888" i="50"/>
  <c r="B2954" i="50"/>
  <c r="D2954" i="50" s="1"/>
  <c r="E2930" i="50"/>
  <c r="U2930" i="50" s="1"/>
  <c r="B2919" i="50"/>
  <c r="D2919" i="50" s="1"/>
  <c r="E2895" i="50"/>
  <c r="U2895" i="50" s="1"/>
  <c r="E2878" i="50"/>
  <c r="V2878" i="50" s="1"/>
  <c r="B2902" i="50"/>
  <c r="D2902" i="50" s="1"/>
  <c r="B2910" i="50"/>
  <c r="D2910" i="50" s="1"/>
  <c r="E2886" i="50"/>
  <c r="B2917" i="50"/>
  <c r="D2917" i="50" s="1"/>
  <c r="E2893" i="50"/>
  <c r="V2893" i="50" s="1"/>
  <c r="B2894" i="50"/>
  <c r="D2894" i="50" s="1"/>
  <c r="E2870" i="50"/>
  <c r="B2899" i="50"/>
  <c r="D2899" i="50" s="1"/>
  <c r="E2875" i="50"/>
  <c r="F2875" i="50" s="1"/>
  <c r="B2908" i="50"/>
  <c r="D2908" i="50" s="1"/>
  <c r="E2884" i="50"/>
  <c r="E2873" i="50"/>
  <c r="B2897" i="50"/>
  <c r="D2897" i="50" s="1"/>
  <c r="B2901" i="50"/>
  <c r="D2901" i="50" s="1"/>
  <c r="E2877" i="50"/>
  <c r="B2896" i="50"/>
  <c r="D2896" i="50" s="1"/>
  <c r="E2872" i="50"/>
  <c r="B2885" i="50"/>
  <c r="D2885" i="50" s="1"/>
  <c r="E2861" i="50"/>
  <c r="V2861" i="50" s="1"/>
  <c r="B2931" i="50"/>
  <c r="D2931" i="50" s="1"/>
  <c r="E2907" i="50"/>
  <c r="F2907" i="50" s="1"/>
  <c r="B2915" i="50"/>
  <c r="D2915" i="50" s="1"/>
  <c r="E2891" i="50"/>
  <c r="F2891" i="50" s="1"/>
  <c r="V2868" i="50" l="1"/>
  <c r="U2868" i="50"/>
  <c r="G2868" i="50"/>
  <c r="F2868" i="50"/>
  <c r="V2913" i="50"/>
  <c r="U2913" i="50"/>
  <c r="G2913" i="50"/>
  <c r="F2913" i="50"/>
  <c r="V2914" i="50"/>
  <c r="G2914" i="50"/>
  <c r="F2914" i="50"/>
  <c r="F2863" i="50"/>
  <c r="U2863" i="50"/>
  <c r="G2863" i="50"/>
  <c r="U2878" i="50"/>
  <c r="G2878" i="50"/>
  <c r="F2878" i="50"/>
  <c r="D2887" i="50"/>
  <c r="E2887" i="50"/>
  <c r="B2911" i="50"/>
  <c r="V2895" i="50"/>
  <c r="G2895" i="50"/>
  <c r="F2895" i="50"/>
  <c r="V2863" i="50"/>
  <c r="V2886" i="50"/>
  <c r="U2886" i="50"/>
  <c r="G2886" i="50"/>
  <c r="F2886" i="50"/>
  <c r="U2929" i="50"/>
  <c r="V2929" i="50"/>
  <c r="G2929" i="50"/>
  <c r="F2929" i="50"/>
  <c r="F2877" i="50"/>
  <c r="V2877" i="50"/>
  <c r="G2877" i="50"/>
  <c r="F2873" i="50"/>
  <c r="U2873" i="50"/>
  <c r="G2873" i="50"/>
  <c r="F2884" i="50"/>
  <c r="V2884" i="50"/>
  <c r="G2884" i="50"/>
  <c r="U2884" i="50"/>
  <c r="V2888" i="50"/>
  <c r="U2888" i="50"/>
  <c r="G2888" i="50"/>
  <c r="F2888" i="50"/>
  <c r="U2877" i="50"/>
  <c r="V2875" i="50"/>
  <c r="U2875" i="50"/>
  <c r="G2875" i="50"/>
  <c r="D2892" i="50"/>
  <c r="E2892" i="50"/>
  <c r="B2916" i="50"/>
  <c r="V2876" i="50"/>
  <c r="U2876" i="50"/>
  <c r="G2876" i="50"/>
  <c r="F2876" i="50"/>
  <c r="V2891" i="50"/>
  <c r="U2891" i="50"/>
  <c r="G2891" i="50"/>
  <c r="F2870" i="50"/>
  <c r="U2870" i="50"/>
  <c r="G2870" i="50"/>
  <c r="V2904" i="50"/>
  <c r="U2904" i="50"/>
  <c r="G2904" i="50"/>
  <c r="F2904" i="50"/>
  <c r="V2873" i="50"/>
  <c r="V2903" i="50"/>
  <c r="U2903" i="50"/>
  <c r="F2903" i="50"/>
  <c r="G2903" i="50"/>
  <c r="V2928" i="50"/>
  <c r="V2872" i="50"/>
  <c r="U2872" i="50"/>
  <c r="G2872" i="50"/>
  <c r="F2872" i="50"/>
  <c r="V2930" i="50"/>
  <c r="G2930" i="50"/>
  <c r="F2930" i="50"/>
  <c r="V2907" i="50"/>
  <c r="U2907" i="50"/>
  <c r="G2907" i="50"/>
  <c r="F2861" i="50"/>
  <c r="U2861" i="50"/>
  <c r="G2861" i="50"/>
  <c r="F2893" i="50"/>
  <c r="U2893" i="50"/>
  <c r="G2893" i="50"/>
  <c r="G2922" i="50"/>
  <c r="F2922" i="50"/>
  <c r="U2922" i="50"/>
  <c r="V2870" i="50"/>
  <c r="E2908" i="50"/>
  <c r="B2932" i="50"/>
  <c r="D2932" i="50" s="1"/>
  <c r="B2978" i="50"/>
  <c r="D2978" i="50" s="1"/>
  <c r="E2954" i="50"/>
  <c r="E2928" i="50"/>
  <c r="B2952" i="50"/>
  <c r="D2952" i="50" s="1"/>
  <c r="B2923" i="50"/>
  <c r="D2923" i="50" s="1"/>
  <c r="E2899" i="50"/>
  <c r="U2899" i="50" s="1"/>
  <c r="E2885" i="50"/>
  <c r="G2885" i="50" s="1"/>
  <c r="B2909" i="50"/>
  <c r="D2909" i="50" s="1"/>
  <c r="B2926" i="50"/>
  <c r="D2926" i="50" s="1"/>
  <c r="E2902" i="50"/>
  <c r="V2902" i="50" s="1"/>
  <c r="E2953" i="50"/>
  <c r="V2953" i="50" s="1"/>
  <c r="B2977" i="50"/>
  <c r="D2977" i="50" s="1"/>
  <c r="B2962" i="50"/>
  <c r="D2962" i="50" s="1"/>
  <c r="E2938" i="50"/>
  <c r="B2955" i="50"/>
  <c r="D2955" i="50" s="1"/>
  <c r="E2931" i="50"/>
  <c r="E2896" i="50"/>
  <c r="B2920" i="50"/>
  <c r="D2920" i="50" s="1"/>
  <c r="B2939" i="50"/>
  <c r="D2939" i="50" s="1"/>
  <c r="E2915" i="50"/>
  <c r="V2915" i="50" s="1"/>
  <c r="E2912" i="50"/>
  <c r="B2936" i="50"/>
  <c r="D2936" i="50" s="1"/>
  <c r="B2951" i="50"/>
  <c r="D2951" i="50" s="1"/>
  <c r="E2927" i="50"/>
  <c r="V2927" i="50" s="1"/>
  <c r="B2924" i="50"/>
  <c r="D2924" i="50" s="1"/>
  <c r="E2900" i="50"/>
  <c r="B2970" i="50"/>
  <c r="D2970" i="50" s="1"/>
  <c r="E2946" i="50"/>
  <c r="V2946" i="50" s="1"/>
  <c r="E2901" i="50"/>
  <c r="B2925" i="50"/>
  <c r="D2925" i="50" s="1"/>
  <c r="E2894" i="50"/>
  <c r="G2894" i="50" s="1"/>
  <c r="B2918" i="50"/>
  <c r="D2918" i="50" s="1"/>
  <c r="E2919" i="50"/>
  <c r="B2943" i="50"/>
  <c r="D2943" i="50" s="1"/>
  <c r="B2921" i="50"/>
  <c r="D2921" i="50" s="1"/>
  <c r="E2897" i="50"/>
  <c r="E2910" i="50"/>
  <c r="B2934" i="50"/>
  <c r="D2934" i="50" s="1"/>
  <c r="E2937" i="50"/>
  <c r="B2961" i="50"/>
  <c r="D2961" i="50" s="1"/>
  <c r="E2917" i="50"/>
  <c r="V2917" i="50" s="1"/>
  <c r="B2941" i="50"/>
  <c r="D2941" i="50" s="1"/>
  <c r="V2931" i="50" l="1"/>
  <c r="U2931" i="50"/>
  <c r="G2931" i="50"/>
  <c r="F2931" i="50"/>
  <c r="F2901" i="50"/>
  <c r="U2901" i="50"/>
  <c r="G2901" i="50"/>
  <c r="V2908" i="50"/>
  <c r="U2908" i="50"/>
  <c r="G2908" i="50"/>
  <c r="F2908" i="50"/>
  <c r="D2916" i="50"/>
  <c r="B2940" i="50"/>
  <c r="E2916" i="50"/>
  <c r="U2938" i="50"/>
  <c r="G2938" i="50"/>
  <c r="F2938" i="50"/>
  <c r="V2900" i="50"/>
  <c r="U2900" i="50"/>
  <c r="G2900" i="50"/>
  <c r="F2900" i="50"/>
  <c r="D2911" i="50"/>
  <c r="B2935" i="50"/>
  <c r="E2911" i="50"/>
  <c r="U2954" i="50"/>
  <c r="G2954" i="50"/>
  <c r="F2954" i="50"/>
  <c r="G2917" i="50"/>
  <c r="F2917" i="50"/>
  <c r="U2917" i="50"/>
  <c r="U2953" i="50"/>
  <c r="F2953" i="50"/>
  <c r="G2953" i="50"/>
  <c r="G2887" i="50"/>
  <c r="F2887" i="50"/>
  <c r="U2887" i="50"/>
  <c r="F2902" i="50"/>
  <c r="G2902" i="50"/>
  <c r="U2902" i="50"/>
  <c r="V2887" i="50"/>
  <c r="V2937" i="50"/>
  <c r="U2937" i="50"/>
  <c r="F2937" i="50"/>
  <c r="V2910" i="50"/>
  <c r="U2910" i="50"/>
  <c r="F2910" i="50"/>
  <c r="V2938" i="50"/>
  <c r="F2946" i="50"/>
  <c r="G2946" i="50"/>
  <c r="U2946" i="50"/>
  <c r="V2897" i="50"/>
  <c r="U2897" i="50"/>
  <c r="G2897" i="50"/>
  <c r="F2897" i="50"/>
  <c r="U2896" i="50"/>
  <c r="F2896" i="50"/>
  <c r="G2896" i="50"/>
  <c r="V2885" i="50"/>
  <c r="U2885" i="50"/>
  <c r="F2885" i="50"/>
  <c r="V2912" i="50"/>
  <c r="U2912" i="50"/>
  <c r="G2912" i="50"/>
  <c r="F2912" i="50"/>
  <c r="V2899" i="50"/>
  <c r="F2899" i="50"/>
  <c r="G2899" i="50"/>
  <c r="V2901" i="50"/>
  <c r="V2892" i="50"/>
  <c r="U2892" i="50"/>
  <c r="G2892" i="50"/>
  <c r="F2892" i="50"/>
  <c r="F2927" i="50"/>
  <c r="G2927" i="50"/>
  <c r="U2927" i="50"/>
  <c r="V2919" i="50"/>
  <c r="U2919" i="50"/>
  <c r="G2919" i="50"/>
  <c r="F2919" i="50"/>
  <c r="V2896" i="50"/>
  <c r="F2915" i="50"/>
  <c r="U2915" i="50"/>
  <c r="G2915" i="50"/>
  <c r="G2937" i="50"/>
  <c r="V2894" i="50"/>
  <c r="U2894" i="50"/>
  <c r="F2894" i="50"/>
  <c r="F2928" i="50"/>
  <c r="G2928" i="50"/>
  <c r="U2928" i="50"/>
  <c r="V2954" i="50"/>
  <c r="G2910" i="50"/>
  <c r="B2994" i="50"/>
  <c r="D2994" i="50" s="1"/>
  <c r="E2970" i="50"/>
  <c r="B2956" i="50"/>
  <c r="D2956" i="50" s="1"/>
  <c r="E2932" i="50"/>
  <c r="B2963" i="50"/>
  <c r="D2963" i="50" s="1"/>
  <c r="E2939" i="50"/>
  <c r="B2944" i="50"/>
  <c r="D2944" i="50" s="1"/>
  <c r="E2920" i="50"/>
  <c r="B2947" i="50"/>
  <c r="D2947" i="50" s="1"/>
  <c r="E2923" i="50"/>
  <c r="F2923" i="50" s="1"/>
  <c r="B2967" i="50"/>
  <c r="D2967" i="50" s="1"/>
  <c r="E2943" i="50"/>
  <c r="E2924" i="50"/>
  <c r="B2948" i="50"/>
  <c r="D2948" i="50" s="1"/>
  <c r="B3002" i="50"/>
  <c r="D3002" i="50" s="1"/>
  <c r="E2978" i="50"/>
  <c r="B2942" i="50"/>
  <c r="D2942" i="50" s="1"/>
  <c r="E2918" i="50"/>
  <c r="B2979" i="50"/>
  <c r="D2979" i="50" s="1"/>
  <c r="E2955" i="50"/>
  <c r="B2976" i="50"/>
  <c r="D2976" i="50" s="1"/>
  <c r="E2952" i="50"/>
  <c r="E2951" i="50"/>
  <c r="B2975" i="50"/>
  <c r="D2975" i="50" s="1"/>
  <c r="E2926" i="50"/>
  <c r="B2950" i="50"/>
  <c r="D2950" i="50" s="1"/>
  <c r="B2933" i="50"/>
  <c r="D2933" i="50" s="1"/>
  <c r="E2909" i="50"/>
  <c r="V2909" i="50" s="1"/>
  <c r="B2985" i="50"/>
  <c r="D2985" i="50" s="1"/>
  <c r="E2961" i="50"/>
  <c r="B2949" i="50"/>
  <c r="D2949" i="50" s="1"/>
  <c r="E2925" i="50"/>
  <c r="B2986" i="50"/>
  <c r="D2986" i="50" s="1"/>
  <c r="E2962" i="50"/>
  <c r="G2962" i="50" s="1"/>
  <c r="E2921" i="50"/>
  <c r="B2945" i="50"/>
  <c r="D2945" i="50" s="1"/>
  <c r="B2958" i="50"/>
  <c r="D2958" i="50" s="1"/>
  <c r="E2934" i="50"/>
  <c r="V2934" i="50" s="1"/>
  <c r="B2965" i="50"/>
  <c r="D2965" i="50" s="1"/>
  <c r="E2941" i="50"/>
  <c r="U2941" i="50" s="1"/>
  <c r="B2960" i="50"/>
  <c r="D2960" i="50" s="1"/>
  <c r="E2936" i="50"/>
  <c r="B3001" i="50"/>
  <c r="D3001" i="50" s="1"/>
  <c r="E2977" i="50"/>
  <c r="G2955" i="50" l="1"/>
  <c r="V2955" i="50"/>
  <c r="U2955" i="50"/>
  <c r="V2939" i="50"/>
  <c r="U2939" i="50"/>
  <c r="G2939" i="50"/>
  <c r="F2955" i="50"/>
  <c r="D2940" i="50"/>
  <c r="E2940" i="50"/>
  <c r="B2964" i="50"/>
  <c r="V2962" i="50"/>
  <c r="U2962" i="50"/>
  <c r="F2962" i="50"/>
  <c r="V2925" i="50"/>
  <c r="G2925" i="50"/>
  <c r="F2925" i="50"/>
  <c r="V2978" i="50"/>
  <c r="F2978" i="50"/>
  <c r="U2978" i="50"/>
  <c r="U2970" i="50"/>
  <c r="F2970" i="50"/>
  <c r="G2970" i="50"/>
  <c r="U2925" i="50"/>
  <c r="F2977" i="50"/>
  <c r="V2977" i="50"/>
  <c r="U2977" i="50"/>
  <c r="G2977" i="50"/>
  <c r="V2918" i="50"/>
  <c r="F2918" i="50"/>
  <c r="G2918" i="50"/>
  <c r="U2918" i="50"/>
  <c r="V2911" i="50"/>
  <c r="G2911" i="50"/>
  <c r="F2911" i="50"/>
  <c r="G2909" i="50"/>
  <c r="F2909" i="50"/>
  <c r="U2909" i="50"/>
  <c r="G2943" i="50"/>
  <c r="F2943" i="50"/>
  <c r="U2943" i="50"/>
  <c r="D2935" i="50"/>
  <c r="E2935" i="50"/>
  <c r="B2959" i="50"/>
  <c r="V2916" i="50"/>
  <c r="U2916" i="50"/>
  <c r="G2916" i="50"/>
  <c r="F2916" i="50"/>
  <c r="F2939" i="50"/>
  <c r="U2911" i="50"/>
  <c r="F2932" i="50"/>
  <c r="V2932" i="50"/>
  <c r="U2932" i="50"/>
  <c r="G2932" i="50"/>
  <c r="V2936" i="50"/>
  <c r="U2936" i="50"/>
  <c r="G2936" i="50"/>
  <c r="F2936" i="50"/>
  <c r="G2978" i="50"/>
  <c r="F2921" i="50"/>
  <c r="G2921" i="50"/>
  <c r="U2921" i="50"/>
  <c r="V2924" i="50"/>
  <c r="U2924" i="50"/>
  <c r="G2924" i="50"/>
  <c r="F2924" i="50"/>
  <c r="V2926" i="50"/>
  <c r="U2926" i="50"/>
  <c r="F2926" i="50"/>
  <c r="V2923" i="50"/>
  <c r="U2923" i="50"/>
  <c r="G2923" i="50"/>
  <c r="F2951" i="50"/>
  <c r="V2951" i="50"/>
  <c r="U2951" i="50"/>
  <c r="G2951" i="50"/>
  <c r="G2926" i="50"/>
  <c r="V2941" i="50"/>
  <c r="G2941" i="50"/>
  <c r="F2941" i="50"/>
  <c r="U2934" i="50"/>
  <c r="F2934" i="50"/>
  <c r="G2934" i="50"/>
  <c r="V2952" i="50"/>
  <c r="U2952" i="50"/>
  <c r="G2952" i="50"/>
  <c r="F2952" i="50"/>
  <c r="V2920" i="50"/>
  <c r="U2920" i="50"/>
  <c r="G2920" i="50"/>
  <c r="F2920" i="50"/>
  <c r="V2943" i="50"/>
  <c r="V2970" i="50"/>
  <c r="V2961" i="50"/>
  <c r="U2961" i="50"/>
  <c r="G2961" i="50"/>
  <c r="F2961" i="50"/>
  <c r="V2921" i="50"/>
  <c r="E2976" i="50"/>
  <c r="B3000" i="50"/>
  <c r="D3000" i="50" s="1"/>
  <c r="B2969" i="50"/>
  <c r="D2969" i="50" s="1"/>
  <c r="E2945" i="50"/>
  <c r="E2958" i="50"/>
  <c r="G2958" i="50" s="1"/>
  <c r="B2982" i="50"/>
  <c r="D2982" i="50" s="1"/>
  <c r="E2985" i="50"/>
  <c r="B3009" i="50"/>
  <c r="D3009" i="50" s="1"/>
  <c r="B2974" i="50"/>
  <c r="D2974" i="50" s="1"/>
  <c r="E2950" i="50"/>
  <c r="V2950" i="50" s="1"/>
  <c r="B2972" i="50"/>
  <c r="D2972" i="50" s="1"/>
  <c r="E2948" i="50"/>
  <c r="B2971" i="50"/>
  <c r="D2971" i="50" s="1"/>
  <c r="E2947" i="50"/>
  <c r="V2947" i="50" s="1"/>
  <c r="B2999" i="50"/>
  <c r="D2999" i="50" s="1"/>
  <c r="E2975" i="50"/>
  <c r="F2975" i="50" s="1"/>
  <c r="B3003" i="50"/>
  <c r="D3003" i="50" s="1"/>
  <c r="E2979" i="50"/>
  <c r="F2979" i="50" s="1"/>
  <c r="B3026" i="50"/>
  <c r="D3026" i="50" s="1"/>
  <c r="E3002" i="50"/>
  <c r="V3002" i="50" s="1"/>
  <c r="E2944" i="50"/>
  <c r="U2944" i="50" s="1"/>
  <c r="B2968" i="50"/>
  <c r="D2968" i="50" s="1"/>
  <c r="E2986" i="50"/>
  <c r="B3010" i="50"/>
  <c r="D3010" i="50" s="1"/>
  <c r="E2942" i="50"/>
  <c r="G2942" i="50" s="1"/>
  <c r="B2966" i="50"/>
  <c r="D2966" i="50" s="1"/>
  <c r="E2965" i="50"/>
  <c r="B2989" i="50"/>
  <c r="D2989" i="50" s="1"/>
  <c r="E2960" i="50"/>
  <c r="B2984" i="50"/>
  <c r="D2984" i="50" s="1"/>
  <c r="E2933" i="50"/>
  <c r="B2957" i="50"/>
  <c r="D2957" i="50" s="1"/>
  <c r="E2967" i="50"/>
  <c r="B2991" i="50"/>
  <c r="D2991" i="50" s="1"/>
  <c r="B2987" i="50"/>
  <c r="D2987" i="50" s="1"/>
  <c r="E2963" i="50"/>
  <c r="F2963" i="50" s="1"/>
  <c r="E3001" i="50"/>
  <c r="B3025" i="50"/>
  <c r="D3025" i="50" s="1"/>
  <c r="E2956" i="50"/>
  <c r="B2980" i="50"/>
  <c r="D2980" i="50" s="1"/>
  <c r="E2949" i="50"/>
  <c r="B2973" i="50"/>
  <c r="D2973" i="50" s="1"/>
  <c r="B3018" i="50"/>
  <c r="D3018" i="50" s="1"/>
  <c r="E2994" i="50"/>
  <c r="V2940" i="50" l="1"/>
  <c r="V2960" i="50"/>
  <c r="U2960" i="50"/>
  <c r="G2960" i="50"/>
  <c r="F2960" i="50"/>
  <c r="D2959" i="50"/>
  <c r="B2983" i="50"/>
  <c r="E2959" i="50"/>
  <c r="F2948" i="50"/>
  <c r="V2948" i="50"/>
  <c r="U2948" i="50"/>
  <c r="G2948" i="50"/>
  <c r="G2935" i="50"/>
  <c r="V2935" i="50"/>
  <c r="U2935" i="50"/>
  <c r="F2935" i="50"/>
  <c r="G2949" i="50"/>
  <c r="F2949" i="50"/>
  <c r="V2949" i="50"/>
  <c r="G2965" i="50"/>
  <c r="F2965" i="50"/>
  <c r="V2965" i="50"/>
  <c r="F2950" i="50"/>
  <c r="G2950" i="50"/>
  <c r="U2950" i="50"/>
  <c r="U2949" i="50"/>
  <c r="D2964" i="50"/>
  <c r="B2988" i="50"/>
  <c r="E2964" i="50"/>
  <c r="F2940" i="50"/>
  <c r="U2940" i="50"/>
  <c r="G2940" i="50"/>
  <c r="V2933" i="50"/>
  <c r="G2933" i="50"/>
  <c r="F2933" i="50"/>
  <c r="V2986" i="50"/>
  <c r="U2986" i="50"/>
  <c r="G2986" i="50"/>
  <c r="F2986" i="50"/>
  <c r="V2985" i="50"/>
  <c r="G2985" i="50"/>
  <c r="F2985" i="50"/>
  <c r="V2976" i="50"/>
  <c r="U2976" i="50"/>
  <c r="G2976" i="50"/>
  <c r="F2976" i="50"/>
  <c r="G3001" i="50"/>
  <c r="F3001" i="50"/>
  <c r="V3001" i="50"/>
  <c r="V2942" i="50"/>
  <c r="U2942" i="50"/>
  <c r="F2942" i="50"/>
  <c r="V2944" i="50"/>
  <c r="F2944" i="50"/>
  <c r="G2944" i="50"/>
  <c r="V2958" i="50"/>
  <c r="U2958" i="50"/>
  <c r="F2958" i="50"/>
  <c r="G3002" i="50"/>
  <c r="F3002" i="50"/>
  <c r="U3002" i="50"/>
  <c r="G2994" i="50"/>
  <c r="V2994" i="50"/>
  <c r="U2994" i="50"/>
  <c r="F2994" i="50"/>
  <c r="U2933" i="50"/>
  <c r="V2956" i="50"/>
  <c r="U2956" i="50"/>
  <c r="G2956" i="50"/>
  <c r="F2956" i="50"/>
  <c r="G2979" i="50"/>
  <c r="V2979" i="50"/>
  <c r="U2979" i="50"/>
  <c r="U2945" i="50"/>
  <c r="G2945" i="50"/>
  <c r="F2945" i="50"/>
  <c r="V2945" i="50"/>
  <c r="U2985" i="50"/>
  <c r="F2947" i="50"/>
  <c r="G2947" i="50"/>
  <c r="U2947" i="50"/>
  <c r="F2967" i="50"/>
  <c r="V2967" i="50"/>
  <c r="U2967" i="50"/>
  <c r="G2967" i="50"/>
  <c r="U2965" i="50"/>
  <c r="G2963" i="50"/>
  <c r="V2963" i="50"/>
  <c r="U2963" i="50"/>
  <c r="U2975" i="50"/>
  <c r="V2975" i="50"/>
  <c r="G2975" i="50"/>
  <c r="U3001" i="50"/>
  <c r="B3011" i="50"/>
  <c r="D3011" i="50" s="1"/>
  <c r="E2987" i="50"/>
  <c r="E3026" i="50"/>
  <c r="B3050" i="50"/>
  <c r="D3050" i="50" s="1"/>
  <c r="E2972" i="50"/>
  <c r="B2996" i="50"/>
  <c r="D2996" i="50" s="1"/>
  <c r="B3015" i="50"/>
  <c r="D3015" i="50" s="1"/>
  <c r="E2991" i="50"/>
  <c r="B2990" i="50"/>
  <c r="D2990" i="50" s="1"/>
  <c r="E2966" i="50"/>
  <c r="G2966" i="50" s="1"/>
  <c r="B3023" i="50"/>
  <c r="D3023" i="50" s="1"/>
  <c r="E2999" i="50"/>
  <c r="B3027" i="50"/>
  <c r="D3027" i="50" s="1"/>
  <c r="E3003" i="50"/>
  <c r="F3003" i="50" s="1"/>
  <c r="B3049" i="50"/>
  <c r="D3049" i="50" s="1"/>
  <c r="E3025" i="50"/>
  <c r="B2981" i="50"/>
  <c r="D2981" i="50" s="1"/>
  <c r="E2957" i="50"/>
  <c r="B3024" i="50"/>
  <c r="D3024" i="50" s="1"/>
  <c r="E3000" i="50"/>
  <c r="B2997" i="50"/>
  <c r="D2997" i="50" s="1"/>
  <c r="E2973" i="50"/>
  <c r="B3008" i="50"/>
  <c r="D3008" i="50" s="1"/>
  <c r="E2984" i="50"/>
  <c r="E2974" i="50"/>
  <c r="B2998" i="50"/>
  <c r="D2998" i="50" s="1"/>
  <c r="E3010" i="50"/>
  <c r="G3010" i="50" s="1"/>
  <c r="B3034" i="50"/>
  <c r="D3034" i="50" s="1"/>
  <c r="B3033" i="50"/>
  <c r="D3033" i="50" s="1"/>
  <c r="E3009" i="50"/>
  <c r="E2969" i="50"/>
  <c r="U2969" i="50" s="1"/>
  <c r="B2993" i="50"/>
  <c r="D2993" i="50" s="1"/>
  <c r="B3042" i="50"/>
  <c r="D3042" i="50" s="1"/>
  <c r="E3018" i="50"/>
  <c r="V3018" i="50" s="1"/>
  <c r="B3004" i="50"/>
  <c r="D3004" i="50" s="1"/>
  <c r="E2980" i="50"/>
  <c r="B2992" i="50"/>
  <c r="D2992" i="50" s="1"/>
  <c r="E2968" i="50"/>
  <c r="B3006" i="50"/>
  <c r="D3006" i="50" s="1"/>
  <c r="E2982" i="50"/>
  <c r="B2995" i="50"/>
  <c r="D2995" i="50" s="1"/>
  <c r="E2971" i="50"/>
  <c r="F2971" i="50" s="1"/>
  <c r="B3013" i="50"/>
  <c r="D3013" i="50" s="1"/>
  <c r="E2989" i="50"/>
  <c r="V2968" i="50" l="1"/>
  <c r="U2968" i="50"/>
  <c r="G2968" i="50"/>
  <c r="F2968" i="50"/>
  <c r="V2984" i="50"/>
  <c r="U2984" i="50"/>
  <c r="G2984" i="50"/>
  <c r="F2984" i="50"/>
  <c r="U2991" i="50"/>
  <c r="G2991" i="50"/>
  <c r="V2991" i="50"/>
  <c r="D2988" i="50"/>
  <c r="B3012" i="50"/>
  <c r="E2988" i="50"/>
  <c r="V2974" i="50"/>
  <c r="U2974" i="50"/>
  <c r="F2974" i="50"/>
  <c r="F2991" i="50"/>
  <c r="U2973" i="50"/>
  <c r="F2973" i="50"/>
  <c r="G2973" i="50"/>
  <c r="V2972" i="50"/>
  <c r="U2972" i="50"/>
  <c r="G2972" i="50"/>
  <c r="F2972" i="50"/>
  <c r="U3026" i="50"/>
  <c r="G3026" i="50"/>
  <c r="F3026" i="50"/>
  <c r="V3026" i="50"/>
  <c r="V2973" i="50"/>
  <c r="V2957" i="50"/>
  <c r="U2957" i="50"/>
  <c r="G2957" i="50"/>
  <c r="F2957" i="50"/>
  <c r="V2987" i="50"/>
  <c r="U2987" i="50"/>
  <c r="G2987" i="50"/>
  <c r="U2959" i="50"/>
  <c r="G2959" i="50"/>
  <c r="V2959" i="50"/>
  <c r="U3018" i="50"/>
  <c r="F3018" i="50"/>
  <c r="G3018" i="50"/>
  <c r="G2969" i="50"/>
  <c r="F2969" i="50"/>
  <c r="V2969" i="50"/>
  <c r="F2987" i="50"/>
  <c r="D2983" i="50"/>
  <c r="B3007" i="50"/>
  <c r="E2983" i="50"/>
  <c r="U2989" i="50"/>
  <c r="G2989" i="50"/>
  <c r="F2989" i="50"/>
  <c r="V2989" i="50"/>
  <c r="V3025" i="50"/>
  <c r="U3025" i="50"/>
  <c r="G3025" i="50"/>
  <c r="F3025" i="50"/>
  <c r="G2974" i="50"/>
  <c r="F2959" i="50"/>
  <c r="F2980" i="50"/>
  <c r="V2980" i="50"/>
  <c r="U2980" i="50"/>
  <c r="G2980" i="50"/>
  <c r="G2982" i="50"/>
  <c r="V2982" i="50"/>
  <c r="U2982" i="50"/>
  <c r="F2982" i="50"/>
  <c r="V3009" i="50"/>
  <c r="U3009" i="50"/>
  <c r="G3009" i="50"/>
  <c r="F3009" i="50"/>
  <c r="V3003" i="50"/>
  <c r="U3003" i="50"/>
  <c r="G3003" i="50"/>
  <c r="V3000" i="50"/>
  <c r="U3000" i="50"/>
  <c r="G3000" i="50"/>
  <c r="F3000" i="50"/>
  <c r="V2964" i="50"/>
  <c r="U2964" i="50"/>
  <c r="G2964" i="50"/>
  <c r="F2964" i="50"/>
  <c r="V2971" i="50"/>
  <c r="U2971" i="50"/>
  <c r="G2971" i="50"/>
  <c r="U2999" i="50"/>
  <c r="F2999" i="50"/>
  <c r="G2999" i="50"/>
  <c r="V2999" i="50"/>
  <c r="V2966" i="50"/>
  <c r="F2966" i="50"/>
  <c r="U2966" i="50"/>
  <c r="F3010" i="50"/>
  <c r="U3010" i="50"/>
  <c r="V3010" i="50"/>
  <c r="B3017" i="50"/>
  <c r="D3017" i="50" s="1"/>
  <c r="E2993" i="50"/>
  <c r="B3051" i="50"/>
  <c r="D3051" i="50" s="1"/>
  <c r="E3027" i="50"/>
  <c r="V3027" i="50" s="1"/>
  <c r="E3049" i="50"/>
  <c r="U3049" i="50" s="1"/>
  <c r="B3073" i="50"/>
  <c r="D3073" i="50" s="1"/>
  <c r="B3074" i="50"/>
  <c r="D3074" i="50" s="1"/>
  <c r="E3050" i="50"/>
  <c r="V3050" i="50" s="1"/>
  <c r="B3030" i="50"/>
  <c r="D3030" i="50" s="1"/>
  <c r="E3006" i="50"/>
  <c r="B3047" i="50"/>
  <c r="D3047" i="50" s="1"/>
  <c r="E3023" i="50"/>
  <c r="F3023" i="50" s="1"/>
  <c r="B3022" i="50"/>
  <c r="D3022" i="50" s="1"/>
  <c r="E2998" i="50"/>
  <c r="E3042" i="50"/>
  <c r="B3066" i="50"/>
  <c r="D3066" i="50" s="1"/>
  <c r="B3037" i="50"/>
  <c r="D3037" i="50" s="1"/>
  <c r="E3013" i="50"/>
  <c r="U3013" i="50" s="1"/>
  <c r="B3016" i="50"/>
  <c r="D3016" i="50" s="1"/>
  <c r="E2992" i="50"/>
  <c r="B3019" i="50"/>
  <c r="D3019" i="50" s="1"/>
  <c r="E2995" i="50"/>
  <c r="F2995" i="50" s="1"/>
  <c r="E3033" i="50"/>
  <c r="U3033" i="50" s="1"/>
  <c r="B3057" i="50"/>
  <c r="D3057" i="50" s="1"/>
  <c r="B3032" i="50"/>
  <c r="D3032" i="50" s="1"/>
  <c r="E3008" i="50"/>
  <c r="B3058" i="50"/>
  <c r="D3058" i="50" s="1"/>
  <c r="E3034" i="50"/>
  <c r="B3014" i="50"/>
  <c r="D3014" i="50" s="1"/>
  <c r="E2990" i="50"/>
  <c r="G2990" i="50" s="1"/>
  <c r="B3035" i="50"/>
  <c r="D3035" i="50" s="1"/>
  <c r="E3011" i="50"/>
  <c r="B3048" i="50"/>
  <c r="D3048" i="50" s="1"/>
  <c r="E3024" i="50"/>
  <c r="B3028" i="50"/>
  <c r="D3028" i="50" s="1"/>
  <c r="E3004" i="50"/>
  <c r="B3021" i="50"/>
  <c r="D3021" i="50" s="1"/>
  <c r="E2997" i="50"/>
  <c r="U2997" i="50" s="1"/>
  <c r="B3039" i="50"/>
  <c r="D3039" i="50" s="1"/>
  <c r="E3015" i="50"/>
  <c r="E2981" i="50"/>
  <c r="B3005" i="50"/>
  <c r="D3005" i="50" s="1"/>
  <c r="B3020" i="50"/>
  <c r="D3020" i="50" s="1"/>
  <c r="E2996" i="50"/>
  <c r="U2998" i="50" l="1"/>
  <c r="F2998" i="50"/>
  <c r="V2998" i="50"/>
  <c r="V2988" i="50"/>
  <c r="U2988" i="50"/>
  <c r="G2988" i="50"/>
  <c r="F2988" i="50"/>
  <c r="V2993" i="50"/>
  <c r="U2993" i="50"/>
  <c r="G2993" i="50"/>
  <c r="F2993" i="50"/>
  <c r="D3012" i="50"/>
  <c r="B3036" i="50"/>
  <c r="E3012" i="50"/>
  <c r="U3034" i="50"/>
  <c r="G3034" i="50"/>
  <c r="F3034" i="50"/>
  <c r="V2981" i="50"/>
  <c r="G2981" i="50"/>
  <c r="F2981" i="50"/>
  <c r="V3008" i="50"/>
  <c r="U3008" i="50"/>
  <c r="G3008" i="50"/>
  <c r="F3008" i="50"/>
  <c r="V3023" i="50"/>
  <c r="U3023" i="50"/>
  <c r="G3023" i="50"/>
  <c r="V3006" i="50"/>
  <c r="U3006" i="50"/>
  <c r="F3006" i="50"/>
  <c r="G3033" i="50"/>
  <c r="V3033" i="50"/>
  <c r="F3033" i="50"/>
  <c r="V2990" i="50"/>
  <c r="U2990" i="50"/>
  <c r="F2990" i="50"/>
  <c r="G2997" i="50"/>
  <c r="F2997" i="50"/>
  <c r="V2997" i="50"/>
  <c r="U3050" i="50"/>
  <c r="G3050" i="50"/>
  <c r="F3050" i="50"/>
  <c r="G2983" i="50"/>
  <c r="F2983" i="50"/>
  <c r="V2983" i="50"/>
  <c r="U2983" i="50"/>
  <c r="V3015" i="50"/>
  <c r="U3015" i="50"/>
  <c r="G3015" i="50"/>
  <c r="F3015" i="50"/>
  <c r="D3007" i="50"/>
  <c r="B3031" i="50"/>
  <c r="E3007" i="50"/>
  <c r="V3004" i="50"/>
  <c r="U3004" i="50"/>
  <c r="G3004" i="50"/>
  <c r="F3004" i="50"/>
  <c r="G3006" i="50"/>
  <c r="V3011" i="50"/>
  <c r="G3011" i="50"/>
  <c r="U3011" i="50"/>
  <c r="V3042" i="50"/>
  <c r="U3042" i="50"/>
  <c r="G3042" i="50"/>
  <c r="F3042" i="50"/>
  <c r="V2992" i="50"/>
  <c r="U2992" i="50"/>
  <c r="G2992" i="50"/>
  <c r="F2992" i="50"/>
  <c r="G3049" i="50"/>
  <c r="F3049" i="50"/>
  <c r="V3049" i="50"/>
  <c r="V3034" i="50"/>
  <c r="G2998" i="50"/>
  <c r="V3024" i="50"/>
  <c r="U3024" i="50"/>
  <c r="G3024" i="50"/>
  <c r="F3024" i="50"/>
  <c r="F3013" i="50"/>
  <c r="G3013" i="50"/>
  <c r="V3013" i="50"/>
  <c r="G3027" i="50"/>
  <c r="U3027" i="50"/>
  <c r="F3027" i="50"/>
  <c r="F3011" i="50"/>
  <c r="F2996" i="50"/>
  <c r="V2996" i="50"/>
  <c r="U2996" i="50"/>
  <c r="G2996" i="50"/>
  <c r="V2995" i="50"/>
  <c r="U2995" i="50"/>
  <c r="G2995" i="50"/>
  <c r="U2981" i="50"/>
  <c r="B3081" i="50"/>
  <c r="D3081" i="50" s="1"/>
  <c r="E3057" i="50"/>
  <c r="E3016" i="50"/>
  <c r="B3040" i="50"/>
  <c r="D3040" i="50" s="1"/>
  <c r="E3014" i="50"/>
  <c r="G3014" i="50" s="1"/>
  <c r="B3038" i="50"/>
  <c r="D3038" i="50" s="1"/>
  <c r="E3037" i="50"/>
  <c r="B3061" i="50"/>
  <c r="D3061" i="50" s="1"/>
  <c r="B3090" i="50"/>
  <c r="D3090" i="50" s="1"/>
  <c r="E3066" i="50"/>
  <c r="E3021" i="50"/>
  <c r="V3021" i="50" s="1"/>
  <c r="B3045" i="50"/>
  <c r="D3045" i="50" s="1"/>
  <c r="E3019" i="50"/>
  <c r="F3019" i="50" s="1"/>
  <c r="B3043" i="50"/>
  <c r="D3043" i="50" s="1"/>
  <c r="B3071" i="50"/>
  <c r="D3071" i="50" s="1"/>
  <c r="E3047" i="50"/>
  <c r="E3030" i="50"/>
  <c r="B3054" i="50"/>
  <c r="D3054" i="50" s="1"/>
  <c r="B3056" i="50"/>
  <c r="D3056" i="50" s="1"/>
  <c r="E3032" i="50"/>
  <c r="E3051" i="50"/>
  <c r="B3075" i="50"/>
  <c r="D3075" i="50" s="1"/>
  <c r="E3028" i="50"/>
  <c r="B3052" i="50"/>
  <c r="D3052" i="50" s="1"/>
  <c r="E3058" i="50"/>
  <c r="B3082" i="50"/>
  <c r="D3082" i="50" s="1"/>
  <c r="B3046" i="50"/>
  <c r="D3046" i="50" s="1"/>
  <c r="E3022" i="50"/>
  <c r="G3022" i="50" s="1"/>
  <c r="E3074" i="50"/>
  <c r="B3098" i="50"/>
  <c r="D3098" i="50" s="1"/>
  <c r="B3063" i="50"/>
  <c r="D3063" i="50" s="1"/>
  <c r="E3039" i="50"/>
  <c r="F3039" i="50" s="1"/>
  <c r="E3005" i="50"/>
  <c r="B3029" i="50"/>
  <c r="D3029" i="50" s="1"/>
  <c r="B3097" i="50"/>
  <c r="D3097" i="50" s="1"/>
  <c r="E3073" i="50"/>
  <c r="B3044" i="50"/>
  <c r="D3044" i="50" s="1"/>
  <c r="E3020" i="50"/>
  <c r="B3072" i="50"/>
  <c r="D3072" i="50" s="1"/>
  <c r="E3048" i="50"/>
  <c r="E3035" i="50"/>
  <c r="B3059" i="50"/>
  <c r="D3059" i="50" s="1"/>
  <c r="E3017" i="50"/>
  <c r="U3017" i="50" s="1"/>
  <c r="B3041" i="50"/>
  <c r="D3041" i="50" s="1"/>
  <c r="F3007" i="50" l="1"/>
  <c r="D3036" i="50"/>
  <c r="B3060" i="50"/>
  <c r="E3036" i="50"/>
  <c r="V3020" i="50"/>
  <c r="U3020" i="50"/>
  <c r="G3020" i="50"/>
  <c r="F3020" i="50"/>
  <c r="V3048" i="50"/>
  <c r="U3048" i="50"/>
  <c r="G3048" i="50"/>
  <c r="F3048" i="50"/>
  <c r="V3051" i="50"/>
  <c r="U3051" i="50"/>
  <c r="G3051" i="50"/>
  <c r="V3014" i="50"/>
  <c r="F3014" i="50"/>
  <c r="U3014" i="50"/>
  <c r="V3073" i="50"/>
  <c r="U3073" i="50"/>
  <c r="G3073" i="50"/>
  <c r="F3073" i="50"/>
  <c r="V3032" i="50"/>
  <c r="U3032" i="50"/>
  <c r="G3032" i="50"/>
  <c r="F3032" i="50"/>
  <c r="V3007" i="50"/>
  <c r="U3007" i="50"/>
  <c r="G3007" i="50"/>
  <c r="V3016" i="50"/>
  <c r="U3016" i="50"/>
  <c r="G3016" i="50"/>
  <c r="F3016" i="50"/>
  <c r="D3031" i="50"/>
  <c r="E3031" i="50"/>
  <c r="B3055" i="50"/>
  <c r="F3012" i="50"/>
  <c r="V3012" i="50"/>
  <c r="U3012" i="50"/>
  <c r="G3012" i="50"/>
  <c r="V3005" i="50"/>
  <c r="G3005" i="50"/>
  <c r="F3005" i="50"/>
  <c r="F3030" i="50"/>
  <c r="V3030" i="50"/>
  <c r="G3030" i="50"/>
  <c r="U3030" i="50"/>
  <c r="U3005" i="50"/>
  <c r="V3057" i="50"/>
  <c r="U3057" i="50"/>
  <c r="G3057" i="50"/>
  <c r="F3057" i="50"/>
  <c r="G3039" i="50"/>
  <c r="V3039" i="50"/>
  <c r="U3039" i="50"/>
  <c r="G3047" i="50"/>
  <c r="F3047" i="50"/>
  <c r="V3047" i="50"/>
  <c r="U3047" i="50"/>
  <c r="F3017" i="50"/>
  <c r="G3017" i="50"/>
  <c r="V3017" i="50"/>
  <c r="F3071" i="50"/>
  <c r="F3051" i="50"/>
  <c r="V3019" i="50"/>
  <c r="U3019" i="50"/>
  <c r="G3019" i="50"/>
  <c r="V3037" i="50"/>
  <c r="U3037" i="50"/>
  <c r="G3037" i="50"/>
  <c r="V3022" i="50"/>
  <c r="U3022" i="50"/>
  <c r="F3022" i="50"/>
  <c r="G3035" i="50"/>
  <c r="V3035" i="50"/>
  <c r="U3035" i="50"/>
  <c r="F3021" i="50"/>
  <c r="G3021" i="50"/>
  <c r="U3021" i="50"/>
  <c r="F3035" i="50"/>
  <c r="V3028" i="50"/>
  <c r="U3028" i="50"/>
  <c r="G3028" i="50"/>
  <c r="F3028" i="50"/>
  <c r="F3037" i="50"/>
  <c r="U3066" i="50"/>
  <c r="G3066" i="50"/>
  <c r="F3066" i="50"/>
  <c r="V3066" i="50"/>
  <c r="V3074" i="50"/>
  <c r="U3074" i="50"/>
  <c r="G3074" i="50"/>
  <c r="F3074" i="50"/>
  <c r="V3058" i="50"/>
  <c r="U3058" i="50"/>
  <c r="G3058" i="50"/>
  <c r="F3058" i="50"/>
  <c r="E3044" i="50"/>
  <c r="B3068" i="50"/>
  <c r="D3068" i="50" s="1"/>
  <c r="B3106" i="50"/>
  <c r="D3106" i="50" s="1"/>
  <c r="E3082" i="50"/>
  <c r="B3078" i="50"/>
  <c r="D3078" i="50" s="1"/>
  <c r="E3054" i="50"/>
  <c r="B3062" i="50"/>
  <c r="D3062" i="50" s="1"/>
  <c r="E3038" i="50"/>
  <c r="E3097" i="50"/>
  <c r="B3121" i="50"/>
  <c r="D3121" i="50" s="1"/>
  <c r="E3046" i="50"/>
  <c r="B3070" i="50"/>
  <c r="D3070" i="50" s="1"/>
  <c r="B3076" i="50"/>
  <c r="D3076" i="50" s="1"/>
  <c r="E3052" i="50"/>
  <c r="B3080" i="50"/>
  <c r="D3080" i="50" s="1"/>
  <c r="E3056" i="50"/>
  <c r="B3095" i="50"/>
  <c r="D3095" i="50" s="1"/>
  <c r="E3071" i="50"/>
  <c r="B3067" i="50"/>
  <c r="D3067" i="50" s="1"/>
  <c r="E3043" i="50"/>
  <c r="B3064" i="50"/>
  <c r="D3064" i="50" s="1"/>
  <c r="E3040" i="50"/>
  <c r="B3085" i="50"/>
  <c r="D3085" i="50" s="1"/>
  <c r="E3061" i="50"/>
  <c r="B3065" i="50"/>
  <c r="D3065" i="50" s="1"/>
  <c r="E3041" i="50"/>
  <c r="B3053" i="50"/>
  <c r="D3053" i="50" s="1"/>
  <c r="E3029" i="50"/>
  <c r="B3069" i="50"/>
  <c r="D3069" i="50" s="1"/>
  <c r="E3045" i="50"/>
  <c r="E3081" i="50"/>
  <c r="B3105" i="50"/>
  <c r="D3105" i="50" s="1"/>
  <c r="B3087" i="50"/>
  <c r="D3087" i="50" s="1"/>
  <c r="E3063" i="50"/>
  <c r="B3096" i="50"/>
  <c r="D3096" i="50" s="1"/>
  <c r="E3072" i="50"/>
  <c r="B3083" i="50"/>
  <c r="D3083" i="50" s="1"/>
  <c r="E3059" i="50"/>
  <c r="U3059" i="50" s="1"/>
  <c r="B3122" i="50"/>
  <c r="D3122" i="50" s="1"/>
  <c r="E3098" i="50"/>
  <c r="B3099" i="50"/>
  <c r="D3099" i="50" s="1"/>
  <c r="E3075" i="50"/>
  <c r="U3075" i="50" s="1"/>
  <c r="E3090" i="50"/>
  <c r="B3114" i="50"/>
  <c r="D3114" i="50" s="1"/>
  <c r="V3038" i="50" l="1"/>
  <c r="U3038" i="50"/>
  <c r="F3038" i="50"/>
  <c r="V3054" i="50"/>
  <c r="U3054" i="50"/>
  <c r="F3054" i="50"/>
  <c r="V3041" i="50"/>
  <c r="F3041" i="50"/>
  <c r="U3041" i="50"/>
  <c r="G3041" i="50"/>
  <c r="V3040" i="50"/>
  <c r="U3040" i="50"/>
  <c r="G3040" i="50"/>
  <c r="F3040" i="50"/>
  <c r="G3082" i="50"/>
  <c r="F3082" i="50"/>
  <c r="U3082" i="50"/>
  <c r="V3082" i="50"/>
  <c r="V3072" i="50"/>
  <c r="U3072" i="50"/>
  <c r="G3072" i="50"/>
  <c r="F3072" i="50"/>
  <c r="G3038" i="50"/>
  <c r="G3071" i="50"/>
  <c r="V3071" i="50"/>
  <c r="U3071" i="50"/>
  <c r="V3059" i="50"/>
  <c r="G3059" i="50"/>
  <c r="F3059" i="50"/>
  <c r="G3043" i="50"/>
  <c r="U3043" i="50"/>
  <c r="F3043" i="50"/>
  <c r="V3043" i="50"/>
  <c r="V3044" i="50"/>
  <c r="U3044" i="50"/>
  <c r="G3044" i="50"/>
  <c r="F3044" i="50"/>
  <c r="G3054" i="50"/>
  <c r="V3097" i="50"/>
  <c r="F3097" i="50"/>
  <c r="U3097" i="50"/>
  <c r="G3097" i="50"/>
  <c r="V3056" i="50"/>
  <c r="U3056" i="50"/>
  <c r="G3056" i="50"/>
  <c r="F3056" i="50"/>
  <c r="F3061" i="50"/>
  <c r="V3061" i="50"/>
  <c r="U3061" i="50"/>
  <c r="G3061" i="50"/>
  <c r="U3081" i="50"/>
  <c r="G3081" i="50"/>
  <c r="F3081" i="50"/>
  <c r="V3081" i="50"/>
  <c r="D3055" i="50"/>
  <c r="B3079" i="50"/>
  <c r="E3055" i="50"/>
  <c r="V3052" i="50"/>
  <c r="U3052" i="50"/>
  <c r="G3052" i="50"/>
  <c r="F3052" i="50"/>
  <c r="G3031" i="50"/>
  <c r="F3031" i="50"/>
  <c r="V3031" i="50"/>
  <c r="U3031" i="50"/>
  <c r="V3090" i="50"/>
  <c r="U3090" i="50"/>
  <c r="G3090" i="50"/>
  <c r="F3090" i="50"/>
  <c r="V3036" i="50"/>
  <c r="U3036" i="50"/>
  <c r="G3036" i="50"/>
  <c r="F3036" i="50"/>
  <c r="V3045" i="50"/>
  <c r="F3045" i="50"/>
  <c r="U3045" i="50"/>
  <c r="G3045" i="50"/>
  <c r="G3098" i="50"/>
  <c r="F3098" i="50"/>
  <c r="U3098" i="50"/>
  <c r="V3029" i="50"/>
  <c r="G3029" i="50"/>
  <c r="F3029" i="50"/>
  <c r="U3029" i="50"/>
  <c r="V3098" i="50"/>
  <c r="D3060" i="50"/>
  <c r="E3060" i="50"/>
  <c r="B3084" i="50"/>
  <c r="V3063" i="50"/>
  <c r="U3063" i="50"/>
  <c r="G3063" i="50"/>
  <c r="F3063" i="50"/>
  <c r="V3075" i="50"/>
  <c r="G3075" i="50"/>
  <c r="F3075" i="50"/>
  <c r="V3046" i="50"/>
  <c r="G3046" i="50"/>
  <c r="U3046" i="50"/>
  <c r="F3046" i="50"/>
  <c r="E3076" i="50"/>
  <c r="V3076" i="50" s="1"/>
  <c r="B3100" i="50"/>
  <c r="D3100" i="50" s="1"/>
  <c r="E3078" i="50"/>
  <c r="B3102" i="50"/>
  <c r="D3102" i="50" s="1"/>
  <c r="B3111" i="50"/>
  <c r="D3111" i="50" s="1"/>
  <c r="E3087" i="50"/>
  <c r="F3087" i="50" s="1"/>
  <c r="B3094" i="50"/>
  <c r="D3094" i="50" s="1"/>
  <c r="E3070" i="50"/>
  <c r="G3070" i="50" s="1"/>
  <c r="B3129" i="50"/>
  <c r="D3129" i="50" s="1"/>
  <c r="E3105" i="50"/>
  <c r="E3069" i="50"/>
  <c r="F3069" i="50" s="1"/>
  <c r="B3093" i="50"/>
  <c r="D3093" i="50" s="1"/>
  <c r="B3145" i="50"/>
  <c r="D3145" i="50" s="1"/>
  <c r="E3121" i="50"/>
  <c r="E3085" i="50"/>
  <c r="B3109" i="50"/>
  <c r="D3109" i="50" s="1"/>
  <c r="B3138" i="50"/>
  <c r="D3138" i="50" s="1"/>
  <c r="E3114" i="50"/>
  <c r="V3114" i="50" s="1"/>
  <c r="E3053" i="50"/>
  <c r="F3053" i="50" s="1"/>
  <c r="B3077" i="50"/>
  <c r="D3077" i="50" s="1"/>
  <c r="E3106" i="50"/>
  <c r="G3106" i="50" s="1"/>
  <c r="B3130" i="50"/>
  <c r="D3130" i="50" s="1"/>
  <c r="B3120" i="50"/>
  <c r="D3120" i="50" s="1"/>
  <c r="E3096" i="50"/>
  <c r="B3088" i="50"/>
  <c r="D3088" i="50" s="1"/>
  <c r="E3064" i="50"/>
  <c r="E3083" i="50"/>
  <c r="F3083" i="50" s="1"/>
  <c r="B3107" i="50"/>
  <c r="D3107" i="50" s="1"/>
  <c r="E3065" i="50"/>
  <c r="B3089" i="50"/>
  <c r="D3089" i="50" s="1"/>
  <c r="E3067" i="50"/>
  <c r="F3067" i="50" s="1"/>
  <c r="B3091" i="50"/>
  <c r="D3091" i="50" s="1"/>
  <c r="B3092" i="50"/>
  <c r="D3092" i="50" s="1"/>
  <c r="E3068" i="50"/>
  <c r="E3099" i="50"/>
  <c r="F3099" i="50" s="1"/>
  <c r="B3123" i="50"/>
  <c r="D3123" i="50" s="1"/>
  <c r="B3119" i="50"/>
  <c r="D3119" i="50" s="1"/>
  <c r="E3095" i="50"/>
  <c r="B3104" i="50"/>
  <c r="D3104" i="50" s="1"/>
  <c r="E3080" i="50"/>
  <c r="E3062" i="50"/>
  <c r="B3086" i="50"/>
  <c r="D3086" i="50" s="1"/>
  <c r="E3122" i="50"/>
  <c r="B3146" i="50"/>
  <c r="D3146" i="50" s="1"/>
  <c r="U3085" i="50" l="1"/>
  <c r="F3085" i="50"/>
  <c r="G3085" i="50"/>
  <c r="V3085" i="50"/>
  <c r="V3121" i="50"/>
  <c r="G3121" i="50"/>
  <c r="F3121" i="50"/>
  <c r="G3055" i="50"/>
  <c r="V3055" i="50"/>
  <c r="U3055" i="50"/>
  <c r="F3076" i="50"/>
  <c r="U3076" i="50"/>
  <c r="G3076" i="50"/>
  <c r="V3064" i="50"/>
  <c r="U3064" i="50"/>
  <c r="G3064" i="50"/>
  <c r="F3064" i="50"/>
  <c r="D3079" i="50"/>
  <c r="B3103" i="50"/>
  <c r="E3079" i="50"/>
  <c r="V3122" i="50"/>
  <c r="U3122" i="50"/>
  <c r="F3122" i="50"/>
  <c r="V3069" i="50"/>
  <c r="U3069" i="50"/>
  <c r="G3069" i="50"/>
  <c r="G3122" i="50"/>
  <c r="F3055" i="50"/>
  <c r="V3105" i="50"/>
  <c r="F3105" i="50"/>
  <c r="U3105" i="50"/>
  <c r="G3105" i="50"/>
  <c r="U3062" i="50"/>
  <c r="V3062" i="50"/>
  <c r="G3062" i="50"/>
  <c r="F3062" i="50"/>
  <c r="V3070" i="50"/>
  <c r="U3070" i="50"/>
  <c r="F3070" i="50"/>
  <c r="V3095" i="50"/>
  <c r="U3095" i="50"/>
  <c r="F3095" i="50"/>
  <c r="G3095" i="50"/>
  <c r="V3106" i="50"/>
  <c r="U3106" i="50"/>
  <c r="F3106" i="50"/>
  <c r="V3065" i="50"/>
  <c r="F3065" i="50"/>
  <c r="U3065" i="50"/>
  <c r="G3065" i="50"/>
  <c r="V3068" i="50"/>
  <c r="U3068" i="50"/>
  <c r="G3068" i="50"/>
  <c r="F3068" i="50"/>
  <c r="G3087" i="50"/>
  <c r="V3087" i="50"/>
  <c r="U3087" i="50"/>
  <c r="V3060" i="50"/>
  <c r="U3060" i="50"/>
  <c r="G3060" i="50"/>
  <c r="F3060" i="50"/>
  <c r="V3096" i="50"/>
  <c r="U3096" i="50"/>
  <c r="G3096" i="50"/>
  <c r="F3096" i="50"/>
  <c r="V3080" i="50"/>
  <c r="U3080" i="50"/>
  <c r="G3080" i="50"/>
  <c r="F3080" i="50"/>
  <c r="V3099" i="50"/>
  <c r="U3099" i="50"/>
  <c r="G3099" i="50"/>
  <c r="U3114" i="50"/>
  <c r="G3114" i="50"/>
  <c r="F3114" i="50"/>
  <c r="V3083" i="50"/>
  <c r="U3083" i="50"/>
  <c r="G3083" i="50"/>
  <c r="V3053" i="50"/>
  <c r="U3053" i="50"/>
  <c r="G3053" i="50"/>
  <c r="V3078" i="50"/>
  <c r="G3078" i="50"/>
  <c r="F3078" i="50"/>
  <c r="U3078" i="50"/>
  <c r="U3121" i="50"/>
  <c r="V3067" i="50"/>
  <c r="U3067" i="50"/>
  <c r="G3067" i="50"/>
  <c r="D3084" i="50"/>
  <c r="B3108" i="50"/>
  <c r="E3084" i="50"/>
  <c r="B3113" i="50"/>
  <c r="D3113" i="50" s="1"/>
  <c r="E3089" i="50"/>
  <c r="B3147" i="50"/>
  <c r="D3147" i="50" s="1"/>
  <c r="E3123" i="50"/>
  <c r="B3117" i="50"/>
  <c r="D3117" i="50" s="1"/>
  <c r="E3093" i="50"/>
  <c r="B3101" i="50"/>
  <c r="D3101" i="50" s="1"/>
  <c r="E3077" i="50"/>
  <c r="B3112" i="50"/>
  <c r="D3112" i="50" s="1"/>
  <c r="E3088" i="50"/>
  <c r="E3094" i="50"/>
  <c r="B3118" i="50"/>
  <c r="D3118" i="50" s="1"/>
  <c r="B3133" i="50"/>
  <c r="D3133" i="50" s="1"/>
  <c r="E3109" i="50"/>
  <c r="B3144" i="50"/>
  <c r="D3144" i="50" s="1"/>
  <c r="E3120" i="50"/>
  <c r="B3135" i="50"/>
  <c r="D3135" i="50" s="1"/>
  <c r="E3111" i="50"/>
  <c r="B3110" i="50"/>
  <c r="D3110" i="50" s="1"/>
  <c r="E3086" i="50"/>
  <c r="B3115" i="50"/>
  <c r="D3115" i="50" s="1"/>
  <c r="E3091" i="50"/>
  <c r="U3091" i="50" s="1"/>
  <c r="B3126" i="50"/>
  <c r="D3126" i="50" s="1"/>
  <c r="E3102" i="50"/>
  <c r="B3128" i="50"/>
  <c r="D3128" i="50" s="1"/>
  <c r="E3104" i="50"/>
  <c r="B3131" i="50"/>
  <c r="D3131" i="50" s="1"/>
  <c r="E3107" i="50"/>
  <c r="B3154" i="50"/>
  <c r="D3154" i="50" s="1"/>
  <c r="E3130" i="50"/>
  <c r="V3130" i="50" s="1"/>
  <c r="E3138" i="50"/>
  <c r="G3138" i="50" s="1"/>
  <c r="B3162" i="50"/>
  <c r="D3162" i="50" s="1"/>
  <c r="B3170" i="50"/>
  <c r="D3170" i="50" s="1"/>
  <c r="E3146" i="50"/>
  <c r="E3092" i="50"/>
  <c r="V3092" i="50" s="1"/>
  <c r="B3116" i="50"/>
  <c r="D3116" i="50" s="1"/>
  <c r="E3145" i="50"/>
  <c r="U3145" i="50" s="1"/>
  <c r="B3169" i="50"/>
  <c r="D3169" i="50" s="1"/>
  <c r="B3124" i="50"/>
  <c r="D3124" i="50" s="1"/>
  <c r="E3100" i="50"/>
  <c r="B3143" i="50"/>
  <c r="D3143" i="50" s="1"/>
  <c r="E3119" i="50"/>
  <c r="E3129" i="50"/>
  <c r="B3153" i="50"/>
  <c r="D3153" i="50" s="1"/>
  <c r="V3086" i="50" l="1"/>
  <c r="U3086" i="50"/>
  <c r="F3086" i="50"/>
  <c r="V3093" i="50"/>
  <c r="U3093" i="50"/>
  <c r="G3093" i="50"/>
  <c r="F3093" i="50"/>
  <c r="G3111" i="50"/>
  <c r="V3111" i="50"/>
  <c r="U3111" i="50"/>
  <c r="F3111" i="50"/>
  <c r="V3123" i="50"/>
  <c r="G3123" i="50"/>
  <c r="F3123" i="50"/>
  <c r="U3146" i="50"/>
  <c r="G3146" i="50"/>
  <c r="F3146" i="50"/>
  <c r="V3120" i="50"/>
  <c r="U3120" i="50"/>
  <c r="G3120" i="50"/>
  <c r="F3120" i="50"/>
  <c r="V3089" i="50"/>
  <c r="U3089" i="50"/>
  <c r="G3089" i="50"/>
  <c r="F3089" i="50"/>
  <c r="G3107" i="50"/>
  <c r="V3107" i="50"/>
  <c r="F3107" i="50"/>
  <c r="U3109" i="50"/>
  <c r="V3109" i="50"/>
  <c r="G3109" i="50"/>
  <c r="F3109" i="50"/>
  <c r="V3084" i="50"/>
  <c r="U3084" i="50"/>
  <c r="G3084" i="50"/>
  <c r="F3084" i="50"/>
  <c r="U3123" i="50"/>
  <c r="V3079" i="50"/>
  <c r="U3079" i="50"/>
  <c r="F3079" i="50"/>
  <c r="G3079" i="50"/>
  <c r="V3077" i="50"/>
  <c r="F3077" i="50"/>
  <c r="U3077" i="50"/>
  <c r="G3077" i="50"/>
  <c r="V3138" i="50"/>
  <c r="U3138" i="50"/>
  <c r="F3138" i="50"/>
  <c r="D3108" i="50"/>
  <c r="B3132" i="50"/>
  <c r="E3108" i="50"/>
  <c r="D3103" i="50"/>
  <c r="B3127" i="50"/>
  <c r="E3103" i="50"/>
  <c r="G3086" i="50"/>
  <c r="V3145" i="50"/>
  <c r="F3145" i="50"/>
  <c r="G3145" i="50"/>
  <c r="U3119" i="50"/>
  <c r="G3119" i="50"/>
  <c r="V3119" i="50"/>
  <c r="V3104" i="50"/>
  <c r="U3104" i="50"/>
  <c r="G3104" i="50"/>
  <c r="F3104" i="50"/>
  <c r="U3107" i="50"/>
  <c r="V3129" i="50"/>
  <c r="F3129" i="50"/>
  <c r="U3129" i="50"/>
  <c r="G3129" i="50"/>
  <c r="U3094" i="50"/>
  <c r="V3094" i="50"/>
  <c r="G3094" i="50"/>
  <c r="F3094" i="50"/>
  <c r="V3146" i="50"/>
  <c r="V3100" i="50"/>
  <c r="U3100" i="50"/>
  <c r="G3100" i="50"/>
  <c r="F3100" i="50"/>
  <c r="V3102" i="50"/>
  <c r="U3102" i="50"/>
  <c r="F3102" i="50"/>
  <c r="G3102" i="50"/>
  <c r="F3092" i="50"/>
  <c r="U3092" i="50"/>
  <c r="G3092" i="50"/>
  <c r="U3130" i="50"/>
  <c r="G3130" i="50"/>
  <c r="F3130" i="50"/>
  <c r="V3091" i="50"/>
  <c r="G3091" i="50"/>
  <c r="F3091" i="50"/>
  <c r="V3088" i="50"/>
  <c r="U3088" i="50"/>
  <c r="G3088" i="50"/>
  <c r="F3088" i="50"/>
  <c r="F3119" i="50"/>
  <c r="E3110" i="50"/>
  <c r="B3134" i="50"/>
  <c r="D3134" i="50" s="1"/>
  <c r="B3159" i="50"/>
  <c r="D3159" i="50" s="1"/>
  <c r="E3135" i="50"/>
  <c r="F3135" i="50" s="1"/>
  <c r="E3117" i="50"/>
  <c r="B3141" i="50"/>
  <c r="D3141" i="50" s="1"/>
  <c r="B3186" i="50"/>
  <c r="D3186" i="50" s="1"/>
  <c r="E3162" i="50"/>
  <c r="V3162" i="50" s="1"/>
  <c r="B3136" i="50"/>
  <c r="D3136" i="50" s="1"/>
  <c r="E3112" i="50"/>
  <c r="E3126" i="50"/>
  <c r="B3150" i="50"/>
  <c r="D3150" i="50" s="1"/>
  <c r="B3140" i="50"/>
  <c r="D3140" i="50" s="1"/>
  <c r="E3116" i="50"/>
  <c r="E3170" i="50"/>
  <c r="B3194" i="50"/>
  <c r="D3194" i="50" s="1"/>
  <c r="B3152" i="50"/>
  <c r="D3152" i="50" s="1"/>
  <c r="E3128" i="50"/>
  <c r="E3101" i="50"/>
  <c r="B3125" i="50"/>
  <c r="D3125" i="50" s="1"/>
  <c r="E3154" i="50"/>
  <c r="G3154" i="50" s="1"/>
  <c r="B3178" i="50"/>
  <c r="D3178" i="50" s="1"/>
  <c r="E3115" i="50"/>
  <c r="F3115" i="50" s="1"/>
  <c r="B3139" i="50"/>
  <c r="D3139" i="50" s="1"/>
  <c r="B3168" i="50"/>
  <c r="D3168" i="50" s="1"/>
  <c r="E3144" i="50"/>
  <c r="B3177" i="50"/>
  <c r="D3177" i="50" s="1"/>
  <c r="E3153" i="50"/>
  <c r="E3124" i="50"/>
  <c r="B3148" i="50"/>
  <c r="D3148" i="50" s="1"/>
  <c r="E3147" i="50"/>
  <c r="B3171" i="50"/>
  <c r="D3171" i="50" s="1"/>
  <c r="B3167" i="50"/>
  <c r="D3167" i="50" s="1"/>
  <c r="E3143" i="50"/>
  <c r="B3193" i="50"/>
  <c r="D3193" i="50" s="1"/>
  <c r="E3169" i="50"/>
  <c r="U3169" i="50" s="1"/>
  <c r="E3131" i="50"/>
  <c r="B3155" i="50"/>
  <c r="D3155" i="50" s="1"/>
  <c r="E3133" i="50"/>
  <c r="B3157" i="50"/>
  <c r="D3157" i="50" s="1"/>
  <c r="B3142" i="50"/>
  <c r="D3142" i="50" s="1"/>
  <c r="E3118" i="50"/>
  <c r="G3118" i="50" s="1"/>
  <c r="E3113" i="50"/>
  <c r="B3137" i="50"/>
  <c r="D3137" i="50" s="1"/>
  <c r="V3147" i="50" l="1"/>
  <c r="U3147" i="50"/>
  <c r="G3147" i="50"/>
  <c r="V3126" i="50"/>
  <c r="U3126" i="50"/>
  <c r="G3126" i="50"/>
  <c r="F3126" i="50"/>
  <c r="V3153" i="50"/>
  <c r="F3153" i="50"/>
  <c r="G3153" i="50"/>
  <c r="V3170" i="50"/>
  <c r="U3170" i="50"/>
  <c r="F3170" i="50"/>
  <c r="V3103" i="50"/>
  <c r="U3103" i="50"/>
  <c r="G3103" i="50"/>
  <c r="V3116" i="50"/>
  <c r="U3116" i="50"/>
  <c r="G3116" i="50"/>
  <c r="F3116" i="50"/>
  <c r="V3112" i="50"/>
  <c r="U3112" i="50"/>
  <c r="G3112" i="50"/>
  <c r="F3112" i="50"/>
  <c r="D3127" i="50"/>
  <c r="B3151" i="50"/>
  <c r="E3127" i="50"/>
  <c r="F3124" i="50"/>
  <c r="U3124" i="50"/>
  <c r="G3124" i="50"/>
  <c r="V3115" i="50"/>
  <c r="U3115" i="50"/>
  <c r="G3115" i="50"/>
  <c r="F3103" i="50"/>
  <c r="U3162" i="50"/>
  <c r="G3162" i="50"/>
  <c r="F3162" i="50"/>
  <c r="F3108" i="50"/>
  <c r="G3108" i="50"/>
  <c r="U3108" i="50"/>
  <c r="V3144" i="50"/>
  <c r="U3144" i="50"/>
  <c r="G3144" i="50"/>
  <c r="F3144" i="50"/>
  <c r="V3154" i="50"/>
  <c r="U3154" i="50"/>
  <c r="F3154" i="50"/>
  <c r="U3153" i="50"/>
  <c r="D3132" i="50"/>
  <c r="E3132" i="50"/>
  <c r="B3156" i="50"/>
  <c r="V3110" i="50"/>
  <c r="G3110" i="50"/>
  <c r="F3110" i="50"/>
  <c r="U3110" i="50"/>
  <c r="V3118" i="50"/>
  <c r="U3118" i="50"/>
  <c r="F3118" i="50"/>
  <c r="V3169" i="50"/>
  <c r="G3169" i="50"/>
  <c r="F3169" i="50"/>
  <c r="G3170" i="50"/>
  <c r="V3108" i="50"/>
  <c r="F3167" i="50"/>
  <c r="G3133" i="50"/>
  <c r="V3133" i="50"/>
  <c r="U3133" i="50"/>
  <c r="F3133" i="50"/>
  <c r="V3131" i="50"/>
  <c r="U3131" i="50"/>
  <c r="G3131" i="50"/>
  <c r="V3101" i="50"/>
  <c r="G3101" i="50"/>
  <c r="U3101" i="50"/>
  <c r="F3101" i="50"/>
  <c r="V3117" i="50"/>
  <c r="G3117" i="50"/>
  <c r="U3117" i="50"/>
  <c r="F3117" i="50"/>
  <c r="V3124" i="50"/>
  <c r="F3131" i="50"/>
  <c r="F3147" i="50"/>
  <c r="V3113" i="50"/>
  <c r="U3113" i="50"/>
  <c r="G3113" i="50"/>
  <c r="F3113" i="50"/>
  <c r="F3143" i="50"/>
  <c r="G3143" i="50"/>
  <c r="U3143" i="50"/>
  <c r="V3128" i="50"/>
  <c r="U3128" i="50"/>
  <c r="G3128" i="50"/>
  <c r="F3128" i="50"/>
  <c r="V3135" i="50"/>
  <c r="U3135" i="50"/>
  <c r="G3135" i="50"/>
  <c r="V3143" i="50"/>
  <c r="B3218" i="50"/>
  <c r="D3218" i="50" s="1"/>
  <c r="E3194" i="50"/>
  <c r="B3183" i="50"/>
  <c r="D3183" i="50" s="1"/>
  <c r="E3159" i="50"/>
  <c r="V3159" i="50" s="1"/>
  <c r="E3193" i="50"/>
  <c r="B3217" i="50"/>
  <c r="D3217" i="50" s="1"/>
  <c r="E3177" i="50"/>
  <c r="U3177" i="50" s="1"/>
  <c r="B3201" i="50"/>
  <c r="D3201" i="50" s="1"/>
  <c r="B3202" i="50"/>
  <c r="D3202" i="50" s="1"/>
  <c r="E3178" i="50"/>
  <c r="B3149" i="50"/>
  <c r="D3149" i="50" s="1"/>
  <c r="E3125" i="50"/>
  <c r="B3179" i="50"/>
  <c r="D3179" i="50" s="1"/>
  <c r="E3155" i="50"/>
  <c r="B3161" i="50"/>
  <c r="D3161" i="50" s="1"/>
  <c r="E3137" i="50"/>
  <c r="B3191" i="50"/>
  <c r="D3191" i="50" s="1"/>
  <c r="E3167" i="50"/>
  <c r="E3140" i="50"/>
  <c r="V3140" i="50" s="1"/>
  <c r="B3164" i="50"/>
  <c r="D3164" i="50" s="1"/>
  <c r="E3186" i="50"/>
  <c r="G3186" i="50" s="1"/>
  <c r="B3210" i="50"/>
  <c r="D3210" i="50" s="1"/>
  <c r="B3174" i="50"/>
  <c r="D3174" i="50" s="1"/>
  <c r="E3150" i="50"/>
  <c r="B3165" i="50"/>
  <c r="D3165" i="50" s="1"/>
  <c r="E3141" i="50"/>
  <c r="V3141" i="50" s="1"/>
  <c r="B3181" i="50"/>
  <c r="D3181" i="50" s="1"/>
  <c r="E3157" i="50"/>
  <c r="V3157" i="50" s="1"/>
  <c r="B3192" i="50"/>
  <c r="D3192" i="50" s="1"/>
  <c r="E3168" i="50"/>
  <c r="B3195" i="50"/>
  <c r="D3195" i="50" s="1"/>
  <c r="E3171" i="50"/>
  <c r="B3163" i="50"/>
  <c r="D3163" i="50" s="1"/>
  <c r="E3139" i="50"/>
  <c r="U3139" i="50" s="1"/>
  <c r="B3158" i="50"/>
  <c r="D3158" i="50" s="1"/>
  <c r="E3134" i="50"/>
  <c r="B3172" i="50"/>
  <c r="D3172" i="50" s="1"/>
  <c r="E3148" i="50"/>
  <c r="E3142" i="50"/>
  <c r="B3166" i="50"/>
  <c r="D3166" i="50" s="1"/>
  <c r="B3176" i="50"/>
  <c r="D3176" i="50" s="1"/>
  <c r="E3152" i="50"/>
  <c r="B3160" i="50"/>
  <c r="D3160" i="50" s="1"/>
  <c r="E3136" i="50"/>
  <c r="V3152" i="50" l="1"/>
  <c r="U3152" i="50"/>
  <c r="G3152" i="50"/>
  <c r="F3152" i="50"/>
  <c r="V3155" i="50"/>
  <c r="G3155" i="50"/>
  <c r="F3155" i="50"/>
  <c r="D3156" i="50"/>
  <c r="E3156" i="50"/>
  <c r="B3180" i="50"/>
  <c r="V3132" i="50"/>
  <c r="U3132" i="50"/>
  <c r="G3132" i="50"/>
  <c r="F3132" i="50"/>
  <c r="V3168" i="50"/>
  <c r="U3168" i="50"/>
  <c r="G3168" i="50"/>
  <c r="F3168" i="50"/>
  <c r="V3137" i="50"/>
  <c r="G3137" i="50"/>
  <c r="F3137" i="50"/>
  <c r="V3148" i="50"/>
  <c r="U3148" i="50"/>
  <c r="G3148" i="50"/>
  <c r="F3148" i="50"/>
  <c r="U3178" i="50"/>
  <c r="G3178" i="50"/>
  <c r="F3178" i="50"/>
  <c r="F3157" i="50"/>
  <c r="U3157" i="50"/>
  <c r="G3157" i="50"/>
  <c r="V3134" i="50"/>
  <c r="U3134" i="50"/>
  <c r="F3134" i="50"/>
  <c r="V3177" i="50"/>
  <c r="F3177" i="50"/>
  <c r="G3177" i="50"/>
  <c r="V3125" i="50"/>
  <c r="G3125" i="50"/>
  <c r="F3125" i="50"/>
  <c r="U3125" i="50"/>
  <c r="U3155" i="50"/>
  <c r="V3150" i="50"/>
  <c r="U3150" i="50"/>
  <c r="F3150" i="50"/>
  <c r="V3139" i="50"/>
  <c r="G3139" i="50"/>
  <c r="F3139" i="50"/>
  <c r="V3186" i="50"/>
  <c r="U3186" i="50"/>
  <c r="F3186" i="50"/>
  <c r="V3193" i="50"/>
  <c r="F3193" i="50"/>
  <c r="G3193" i="50"/>
  <c r="V3178" i="50"/>
  <c r="U3193" i="50"/>
  <c r="G3134" i="50"/>
  <c r="V3136" i="50"/>
  <c r="U3136" i="50"/>
  <c r="G3136" i="50"/>
  <c r="F3136" i="50"/>
  <c r="U3142" i="50"/>
  <c r="V3142" i="50"/>
  <c r="G3142" i="50"/>
  <c r="F3142" i="50"/>
  <c r="F3140" i="50"/>
  <c r="G3140" i="50"/>
  <c r="U3140" i="50"/>
  <c r="U3194" i="50"/>
  <c r="G3194" i="50"/>
  <c r="F3194" i="50"/>
  <c r="V3127" i="50"/>
  <c r="U3127" i="50"/>
  <c r="G3127" i="50"/>
  <c r="F3127" i="50"/>
  <c r="U3137" i="50"/>
  <c r="F3141" i="50"/>
  <c r="G3141" i="50"/>
  <c r="U3141" i="50"/>
  <c r="V3171" i="50"/>
  <c r="G3171" i="50"/>
  <c r="F3171" i="50"/>
  <c r="F3159" i="50"/>
  <c r="U3159" i="50"/>
  <c r="G3159" i="50"/>
  <c r="V3167" i="50"/>
  <c r="U3167" i="50"/>
  <c r="G3167" i="50"/>
  <c r="V3194" i="50"/>
  <c r="D3151" i="50"/>
  <c r="E3151" i="50"/>
  <c r="B3175" i="50"/>
  <c r="G3150" i="50"/>
  <c r="U3171" i="50"/>
  <c r="E3181" i="50"/>
  <c r="B3205" i="50"/>
  <c r="D3205" i="50" s="1"/>
  <c r="E3165" i="50"/>
  <c r="B3189" i="50"/>
  <c r="D3189" i="50" s="1"/>
  <c r="E3149" i="50"/>
  <c r="B3173" i="50"/>
  <c r="D3173" i="50" s="1"/>
  <c r="E3158" i="50"/>
  <c r="B3182" i="50"/>
  <c r="D3182" i="50" s="1"/>
  <c r="B3188" i="50"/>
  <c r="D3188" i="50" s="1"/>
  <c r="E3164" i="50"/>
  <c r="B3215" i="50"/>
  <c r="D3215" i="50" s="1"/>
  <c r="E3191" i="50"/>
  <c r="E3202" i="50"/>
  <c r="G3202" i="50" s="1"/>
  <c r="B3226" i="50"/>
  <c r="D3226" i="50" s="1"/>
  <c r="B3225" i="50"/>
  <c r="D3225" i="50" s="1"/>
  <c r="E3201" i="50"/>
  <c r="B3207" i="50"/>
  <c r="D3207" i="50" s="1"/>
  <c r="E3183" i="50"/>
  <c r="F3183" i="50" s="1"/>
  <c r="B3190" i="50"/>
  <c r="D3190" i="50" s="1"/>
  <c r="E3166" i="50"/>
  <c r="G3166" i="50" s="1"/>
  <c r="B3216" i="50"/>
  <c r="D3216" i="50" s="1"/>
  <c r="E3192" i="50"/>
  <c r="E3174" i="50"/>
  <c r="B3198" i="50"/>
  <c r="D3198" i="50" s="1"/>
  <c r="E3161" i="50"/>
  <c r="B3185" i="50"/>
  <c r="D3185" i="50" s="1"/>
  <c r="B3200" i="50"/>
  <c r="D3200" i="50" s="1"/>
  <c r="E3176" i="50"/>
  <c r="B3241" i="50"/>
  <c r="D3241" i="50" s="1"/>
  <c r="E3217" i="50"/>
  <c r="V3217" i="50" s="1"/>
  <c r="E3163" i="50"/>
  <c r="F3163" i="50" s="1"/>
  <c r="B3187" i="50"/>
  <c r="D3187" i="50" s="1"/>
  <c r="E3179" i="50"/>
  <c r="F3179" i="50" s="1"/>
  <c r="B3203" i="50"/>
  <c r="D3203" i="50" s="1"/>
  <c r="B3184" i="50"/>
  <c r="D3184" i="50" s="1"/>
  <c r="E3160" i="50"/>
  <c r="E3195" i="50"/>
  <c r="F3195" i="50" s="1"/>
  <c r="B3219" i="50"/>
  <c r="D3219" i="50" s="1"/>
  <c r="E3172" i="50"/>
  <c r="V3172" i="50" s="1"/>
  <c r="B3196" i="50"/>
  <c r="D3196" i="50" s="1"/>
  <c r="B3234" i="50"/>
  <c r="D3234" i="50" s="1"/>
  <c r="E3210" i="50"/>
  <c r="V3210" i="50" s="1"/>
  <c r="E3218" i="50"/>
  <c r="B3242" i="50"/>
  <c r="D3242" i="50" s="1"/>
  <c r="G3201" i="50" l="1"/>
  <c r="U3201" i="50"/>
  <c r="F3201" i="50"/>
  <c r="V3202" i="50"/>
  <c r="U3202" i="50"/>
  <c r="F3202" i="50"/>
  <c r="V3181" i="50"/>
  <c r="U3181" i="50"/>
  <c r="G3181" i="50"/>
  <c r="F3181" i="50"/>
  <c r="V3176" i="50"/>
  <c r="U3176" i="50"/>
  <c r="G3176" i="50"/>
  <c r="F3176" i="50"/>
  <c r="V3218" i="50"/>
  <c r="U3218" i="50"/>
  <c r="F3218" i="50"/>
  <c r="D3180" i="50"/>
  <c r="B3204" i="50"/>
  <c r="E3180" i="50"/>
  <c r="V3165" i="50"/>
  <c r="U3165" i="50"/>
  <c r="G3165" i="50"/>
  <c r="F3165" i="50"/>
  <c r="F3191" i="50"/>
  <c r="U3191" i="50"/>
  <c r="G3191" i="50"/>
  <c r="D3175" i="50"/>
  <c r="B3199" i="50"/>
  <c r="E3175" i="50"/>
  <c r="F3156" i="50"/>
  <c r="G3156" i="50"/>
  <c r="U3156" i="50"/>
  <c r="V3161" i="50"/>
  <c r="F3161" i="50"/>
  <c r="G3161" i="50"/>
  <c r="V3151" i="50"/>
  <c r="U3151" i="50"/>
  <c r="G3151" i="50"/>
  <c r="V3156" i="50"/>
  <c r="U3217" i="50"/>
  <c r="G3217" i="50"/>
  <c r="F3217" i="50"/>
  <c r="V3164" i="50"/>
  <c r="U3164" i="50"/>
  <c r="G3164" i="50"/>
  <c r="F3164" i="50"/>
  <c r="F3151" i="50"/>
  <c r="F3172" i="50"/>
  <c r="U3172" i="50"/>
  <c r="G3172" i="50"/>
  <c r="U3174" i="50"/>
  <c r="V3174" i="50"/>
  <c r="G3174" i="50"/>
  <c r="F3174" i="50"/>
  <c r="V3163" i="50"/>
  <c r="U3163" i="50"/>
  <c r="G3163" i="50"/>
  <c r="V3192" i="50"/>
  <c r="U3192" i="50"/>
  <c r="G3192" i="50"/>
  <c r="F3192" i="50"/>
  <c r="G3218" i="50"/>
  <c r="U3210" i="50"/>
  <c r="G3210" i="50"/>
  <c r="F3210" i="50"/>
  <c r="V3195" i="50"/>
  <c r="U3195" i="50"/>
  <c r="G3195" i="50"/>
  <c r="U3158" i="50"/>
  <c r="V3158" i="50"/>
  <c r="G3158" i="50"/>
  <c r="F3158" i="50"/>
  <c r="V3191" i="50"/>
  <c r="V3201" i="50"/>
  <c r="U3161" i="50"/>
  <c r="V3160" i="50"/>
  <c r="U3160" i="50"/>
  <c r="G3160" i="50"/>
  <c r="F3160" i="50"/>
  <c r="V3166" i="50"/>
  <c r="U3166" i="50"/>
  <c r="F3166" i="50"/>
  <c r="V3179" i="50"/>
  <c r="U3179" i="50"/>
  <c r="G3179" i="50"/>
  <c r="V3149" i="50"/>
  <c r="U3149" i="50"/>
  <c r="G3149" i="50"/>
  <c r="F3149" i="50"/>
  <c r="V3183" i="50"/>
  <c r="U3183" i="50"/>
  <c r="G3183" i="50"/>
  <c r="B3209" i="50"/>
  <c r="D3209" i="50" s="1"/>
  <c r="E3185" i="50"/>
  <c r="U3185" i="50" s="1"/>
  <c r="B3197" i="50"/>
  <c r="D3197" i="50" s="1"/>
  <c r="E3173" i="50"/>
  <c r="B3239" i="50"/>
  <c r="D3239" i="50" s="1"/>
  <c r="E3215" i="50"/>
  <c r="F3215" i="50" s="1"/>
  <c r="B3222" i="50"/>
  <c r="D3222" i="50" s="1"/>
  <c r="E3198" i="50"/>
  <c r="E3234" i="50"/>
  <c r="B3258" i="50"/>
  <c r="D3258" i="50" s="1"/>
  <c r="E3241" i="50"/>
  <c r="B3265" i="50"/>
  <c r="D3265" i="50" s="1"/>
  <c r="B3213" i="50"/>
  <c r="D3213" i="50" s="1"/>
  <c r="E3189" i="50"/>
  <c r="V3189" i="50" s="1"/>
  <c r="B3266" i="50"/>
  <c r="D3266" i="50" s="1"/>
  <c r="E3242" i="50"/>
  <c r="E3188" i="50"/>
  <c r="B3212" i="50"/>
  <c r="D3212" i="50" s="1"/>
  <c r="B3250" i="50"/>
  <c r="D3250" i="50" s="1"/>
  <c r="E3226" i="50"/>
  <c r="B3229" i="50"/>
  <c r="D3229" i="50" s="1"/>
  <c r="E3205" i="50"/>
  <c r="V3205" i="50" s="1"/>
  <c r="E3225" i="50"/>
  <c r="B3249" i="50"/>
  <c r="D3249" i="50" s="1"/>
  <c r="B3224" i="50"/>
  <c r="D3224" i="50" s="1"/>
  <c r="E3200" i="50"/>
  <c r="B3208" i="50"/>
  <c r="D3208" i="50" s="1"/>
  <c r="E3184" i="50"/>
  <c r="B3240" i="50"/>
  <c r="D3240" i="50" s="1"/>
  <c r="E3216" i="50"/>
  <c r="B3231" i="50"/>
  <c r="D3231" i="50" s="1"/>
  <c r="E3207" i="50"/>
  <c r="V3207" i="50" s="1"/>
  <c r="B3243" i="50"/>
  <c r="D3243" i="50" s="1"/>
  <c r="E3219" i="50"/>
  <c r="B3206" i="50"/>
  <c r="D3206" i="50" s="1"/>
  <c r="E3182" i="50"/>
  <c r="G3182" i="50" s="1"/>
  <c r="B3227" i="50"/>
  <c r="D3227" i="50" s="1"/>
  <c r="E3203" i="50"/>
  <c r="U3203" i="50" s="1"/>
  <c r="B3211" i="50"/>
  <c r="D3211" i="50" s="1"/>
  <c r="E3187" i="50"/>
  <c r="U3187" i="50" s="1"/>
  <c r="E3190" i="50"/>
  <c r="B3214" i="50"/>
  <c r="D3214" i="50" s="1"/>
  <c r="B3220" i="50"/>
  <c r="D3220" i="50" s="1"/>
  <c r="E3196" i="50"/>
  <c r="V3175" i="50" l="1"/>
  <c r="U3242" i="50"/>
  <c r="G3242" i="50"/>
  <c r="F3242" i="50"/>
  <c r="F3189" i="50"/>
  <c r="U3189" i="50"/>
  <c r="G3189" i="50"/>
  <c r="V3185" i="50"/>
  <c r="G3185" i="50"/>
  <c r="F3185" i="50"/>
  <c r="V3184" i="50"/>
  <c r="U3184" i="50"/>
  <c r="F3184" i="50"/>
  <c r="G3184" i="50"/>
  <c r="F3188" i="50"/>
  <c r="U3188" i="50"/>
  <c r="G3188" i="50"/>
  <c r="U3190" i="50"/>
  <c r="V3190" i="50"/>
  <c r="G3190" i="50"/>
  <c r="F3190" i="50"/>
  <c r="V3241" i="50"/>
  <c r="F3241" i="50"/>
  <c r="G3241" i="50"/>
  <c r="V3242" i="50"/>
  <c r="U3241" i="50"/>
  <c r="V3196" i="50"/>
  <c r="U3196" i="50"/>
  <c r="G3196" i="50"/>
  <c r="F3196" i="50"/>
  <c r="V3200" i="50"/>
  <c r="U3200" i="50"/>
  <c r="G3200" i="50"/>
  <c r="F3200" i="50"/>
  <c r="V3234" i="50"/>
  <c r="U3234" i="50"/>
  <c r="F3234" i="50"/>
  <c r="V3180" i="50"/>
  <c r="U3180" i="50"/>
  <c r="G3180" i="50"/>
  <c r="F3180" i="50"/>
  <c r="V3198" i="50"/>
  <c r="U3198" i="50"/>
  <c r="F3198" i="50"/>
  <c r="D3204" i="50"/>
  <c r="B3228" i="50"/>
  <c r="E3204" i="50"/>
  <c r="V3219" i="50"/>
  <c r="G3219" i="50"/>
  <c r="F3219" i="50"/>
  <c r="F3216" i="50"/>
  <c r="V3216" i="50"/>
  <c r="U3216" i="50"/>
  <c r="G3216" i="50"/>
  <c r="V3225" i="50"/>
  <c r="F3225" i="50"/>
  <c r="G3225" i="50"/>
  <c r="G3234" i="50"/>
  <c r="U3219" i="50"/>
  <c r="V3215" i="50"/>
  <c r="U3215" i="50"/>
  <c r="G3215" i="50"/>
  <c r="V3203" i="50"/>
  <c r="G3203" i="50"/>
  <c r="F3203" i="50"/>
  <c r="F3205" i="50"/>
  <c r="U3205" i="50"/>
  <c r="G3205" i="50"/>
  <c r="U3226" i="50"/>
  <c r="G3226" i="50"/>
  <c r="F3226" i="50"/>
  <c r="F3175" i="50"/>
  <c r="U3175" i="50"/>
  <c r="G3175" i="50"/>
  <c r="V3226" i="50"/>
  <c r="G3207" i="50"/>
  <c r="F3207" i="50"/>
  <c r="U3207" i="50"/>
  <c r="V3187" i="50"/>
  <c r="G3187" i="50"/>
  <c r="F3187" i="50"/>
  <c r="V3182" i="50"/>
  <c r="U3182" i="50"/>
  <c r="F3182" i="50"/>
  <c r="F3173" i="50"/>
  <c r="U3173" i="50"/>
  <c r="G3173" i="50"/>
  <c r="V3173" i="50"/>
  <c r="V3188" i="50"/>
  <c r="G3198" i="50"/>
  <c r="D3199" i="50"/>
  <c r="B3223" i="50"/>
  <c r="E3199" i="50"/>
  <c r="U3225" i="50"/>
  <c r="B3264" i="50"/>
  <c r="D3264" i="50" s="1"/>
  <c r="E3240" i="50"/>
  <c r="E3227" i="50"/>
  <c r="B3251" i="50"/>
  <c r="D3251" i="50" s="1"/>
  <c r="B3255" i="50"/>
  <c r="D3255" i="50" s="1"/>
  <c r="E3231" i="50"/>
  <c r="F3231" i="50" s="1"/>
  <c r="E3266" i="50"/>
  <c r="G3266" i="50" s="1"/>
  <c r="B3290" i="50"/>
  <c r="D3290" i="50" s="1"/>
  <c r="E3222" i="50"/>
  <c r="B3246" i="50"/>
  <c r="D3246" i="50" s="1"/>
  <c r="E3229" i="50"/>
  <c r="B3253" i="50"/>
  <c r="D3253" i="50" s="1"/>
  <c r="E3213" i="50"/>
  <c r="B3237" i="50"/>
  <c r="D3237" i="50" s="1"/>
  <c r="E3197" i="50"/>
  <c r="B3221" i="50"/>
  <c r="D3221" i="50" s="1"/>
  <c r="E3220" i="50"/>
  <c r="B3244" i="50"/>
  <c r="D3244" i="50" s="1"/>
  <c r="E3209" i="50"/>
  <c r="B3233" i="50"/>
  <c r="D3233" i="50" s="1"/>
  <c r="B3232" i="50"/>
  <c r="D3232" i="50" s="1"/>
  <c r="E3208" i="50"/>
  <c r="B3263" i="50"/>
  <c r="D3263" i="50" s="1"/>
  <c r="E3239" i="50"/>
  <c r="V3239" i="50" s="1"/>
  <c r="E3206" i="50"/>
  <c r="B3230" i="50"/>
  <c r="D3230" i="50" s="1"/>
  <c r="B3236" i="50"/>
  <c r="D3236" i="50" s="1"/>
  <c r="E3212" i="50"/>
  <c r="B3238" i="50"/>
  <c r="D3238" i="50" s="1"/>
  <c r="E3214" i="50"/>
  <c r="B3289" i="50"/>
  <c r="D3289" i="50" s="1"/>
  <c r="E3265" i="50"/>
  <c r="V3265" i="50" s="1"/>
  <c r="B3273" i="50"/>
  <c r="D3273" i="50" s="1"/>
  <c r="E3249" i="50"/>
  <c r="V3249" i="50" s="1"/>
  <c r="E3250" i="50"/>
  <c r="G3250" i="50" s="1"/>
  <c r="B3274" i="50"/>
  <c r="D3274" i="50" s="1"/>
  <c r="E3243" i="50"/>
  <c r="F3243" i="50" s="1"/>
  <c r="B3267" i="50"/>
  <c r="D3267" i="50" s="1"/>
  <c r="B3282" i="50"/>
  <c r="D3282" i="50" s="1"/>
  <c r="E3258" i="50"/>
  <c r="V3258" i="50" s="1"/>
  <c r="E3211" i="50"/>
  <c r="F3211" i="50" s="1"/>
  <c r="B3235" i="50"/>
  <c r="D3235" i="50" s="1"/>
  <c r="B3248" i="50"/>
  <c r="D3248" i="50" s="1"/>
  <c r="E3224" i="50"/>
  <c r="V3209" i="50" l="1"/>
  <c r="F3209" i="50"/>
  <c r="G3209" i="50"/>
  <c r="V3227" i="50"/>
  <c r="U3227" i="50"/>
  <c r="G3227" i="50"/>
  <c r="G3265" i="50"/>
  <c r="F3265" i="50"/>
  <c r="U3265" i="50"/>
  <c r="F3240" i="50"/>
  <c r="V3240" i="50"/>
  <c r="U3240" i="50"/>
  <c r="G3240" i="50"/>
  <c r="F3227" i="50"/>
  <c r="F3220" i="50"/>
  <c r="U3220" i="50"/>
  <c r="G3220" i="50"/>
  <c r="V3224" i="50"/>
  <c r="U3224" i="50"/>
  <c r="G3224" i="50"/>
  <c r="F3224" i="50"/>
  <c r="V3199" i="50"/>
  <c r="U3199" i="50"/>
  <c r="G3199" i="50"/>
  <c r="V3214" i="50"/>
  <c r="U3214" i="50"/>
  <c r="F3214" i="50"/>
  <c r="D3223" i="50"/>
  <c r="B3247" i="50"/>
  <c r="E3223" i="50"/>
  <c r="V3208" i="50"/>
  <c r="U3208" i="50"/>
  <c r="G3208" i="50"/>
  <c r="F3208" i="50"/>
  <c r="V3213" i="50"/>
  <c r="U3213" i="50"/>
  <c r="G3213" i="50"/>
  <c r="F3213" i="50"/>
  <c r="F3199" i="50"/>
  <c r="U3249" i="50"/>
  <c r="F3249" i="50"/>
  <c r="G3249" i="50"/>
  <c r="V3206" i="50"/>
  <c r="G3206" i="50"/>
  <c r="F3206" i="50"/>
  <c r="U3206" i="50"/>
  <c r="V3229" i="50"/>
  <c r="U3229" i="50"/>
  <c r="G3229" i="50"/>
  <c r="F3229" i="50"/>
  <c r="U3258" i="50"/>
  <c r="G3258" i="50"/>
  <c r="F3258" i="50"/>
  <c r="U3209" i="50"/>
  <c r="V3231" i="50"/>
  <c r="U3231" i="50"/>
  <c r="G3231" i="50"/>
  <c r="V3212" i="50"/>
  <c r="U3212" i="50"/>
  <c r="G3212" i="50"/>
  <c r="F3212" i="50"/>
  <c r="V3243" i="50"/>
  <c r="U3243" i="50"/>
  <c r="G3243" i="50"/>
  <c r="G3222" i="50"/>
  <c r="F3222" i="50"/>
  <c r="U3222" i="50"/>
  <c r="V3222" i="50"/>
  <c r="F3204" i="50"/>
  <c r="G3204" i="50"/>
  <c r="U3204" i="50"/>
  <c r="V3220" i="50"/>
  <c r="U3211" i="50"/>
  <c r="G3211" i="50"/>
  <c r="V3211" i="50"/>
  <c r="U3239" i="50"/>
  <c r="F3239" i="50"/>
  <c r="G3239" i="50"/>
  <c r="G3214" i="50"/>
  <c r="D3228" i="50"/>
  <c r="B3252" i="50"/>
  <c r="E3228" i="50"/>
  <c r="G3197" i="50"/>
  <c r="F3197" i="50"/>
  <c r="V3197" i="50"/>
  <c r="U3197" i="50"/>
  <c r="V3250" i="50"/>
  <c r="U3250" i="50"/>
  <c r="F3250" i="50"/>
  <c r="V3266" i="50"/>
  <c r="U3266" i="50"/>
  <c r="F3266" i="50"/>
  <c r="V3204" i="50"/>
  <c r="E3236" i="50"/>
  <c r="B3260" i="50"/>
  <c r="D3260" i="50" s="1"/>
  <c r="B3256" i="50"/>
  <c r="D3256" i="50" s="1"/>
  <c r="E3232" i="50"/>
  <c r="B3270" i="50"/>
  <c r="D3270" i="50" s="1"/>
  <c r="E3246" i="50"/>
  <c r="G3246" i="50" s="1"/>
  <c r="B3272" i="50"/>
  <c r="D3272" i="50" s="1"/>
  <c r="E3248" i="50"/>
  <c r="B3254" i="50"/>
  <c r="D3254" i="50" s="1"/>
  <c r="E3230" i="50"/>
  <c r="G3230" i="50" s="1"/>
  <c r="B3277" i="50"/>
  <c r="D3277" i="50" s="1"/>
  <c r="E3253" i="50"/>
  <c r="V3253" i="50" s="1"/>
  <c r="B3314" i="50"/>
  <c r="D3314" i="50" s="1"/>
  <c r="E3290" i="50"/>
  <c r="V3290" i="50" s="1"/>
  <c r="B3291" i="50"/>
  <c r="D3291" i="50" s="1"/>
  <c r="E3267" i="50"/>
  <c r="E3289" i="50"/>
  <c r="U3289" i="50" s="1"/>
  <c r="B3313" i="50"/>
  <c r="D3313" i="50" s="1"/>
  <c r="E3273" i="50"/>
  <c r="B3297" i="50"/>
  <c r="D3297" i="50" s="1"/>
  <c r="B3259" i="50"/>
  <c r="D3259" i="50" s="1"/>
  <c r="E3235" i="50"/>
  <c r="U3235" i="50" s="1"/>
  <c r="B3268" i="50"/>
  <c r="D3268" i="50" s="1"/>
  <c r="E3244" i="50"/>
  <c r="E3282" i="50"/>
  <c r="B3306" i="50"/>
  <c r="D3306" i="50" s="1"/>
  <c r="E3238" i="50"/>
  <c r="B3262" i="50"/>
  <c r="D3262" i="50" s="1"/>
  <c r="B3257" i="50"/>
  <c r="D3257" i="50" s="1"/>
  <c r="E3233" i="50"/>
  <c r="B3288" i="50"/>
  <c r="D3288" i="50" s="1"/>
  <c r="E3264" i="50"/>
  <c r="B3298" i="50"/>
  <c r="D3298" i="50" s="1"/>
  <c r="E3274" i="50"/>
  <c r="V3274" i="50" s="1"/>
  <c r="B3245" i="50"/>
  <c r="D3245" i="50" s="1"/>
  <c r="E3221" i="50"/>
  <c r="B3279" i="50"/>
  <c r="D3279" i="50" s="1"/>
  <c r="E3255" i="50"/>
  <c r="B3287" i="50"/>
  <c r="D3287" i="50" s="1"/>
  <c r="E3263" i="50"/>
  <c r="B3275" i="50"/>
  <c r="D3275" i="50" s="1"/>
  <c r="E3251" i="50"/>
  <c r="B3261" i="50"/>
  <c r="D3261" i="50" s="1"/>
  <c r="E3237" i="50"/>
  <c r="V3237" i="50" s="1"/>
  <c r="V3267" i="50" l="1"/>
  <c r="G3267" i="50"/>
  <c r="F3267" i="50"/>
  <c r="F3236" i="50"/>
  <c r="U3236" i="50"/>
  <c r="G3236" i="50"/>
  <c r="D3252" i="50"/>
  <c r="E3252" i="50"/>
  <c r="B3276" i="50"/>
  <c r="V3263" i="50"/>
  <c r="U3263" i="50"/>
  <c r="G3263" i="50"/>
  <c r="F3263" i="50"/>
  <c r="V3251" i="50"/>
  <c r="G3251" i="50"/>
  <c r="F3251" i="50"/>
  <c r="U3267" i="50"/>
  <c r="F3244" i="50"/>
  <c r="G3244" i="50"/>
  <c r="V3244" i="50"/>
  <c r="U3244" i="50"/>
  <c r="V3230" i="50"/>
  <c r="U3230" i="50"/>
  <c r="F3230" i="50"/>
  <c r="V3236" i="50"/>
  <c r="U3290" i="50"/>
  <c r="G3290" i="50"/>
  <c r="F3290" i="50"/>
  <c r="G3255" i="50"/>
  <c r="F3255" i="50"/>
  <c r="U3255" i="50"/>
  <c r="V3248" i="50"/>
  <c r="U3248" i="50"/>
  <c r="G3248" i="50"/>
  <c r="F3248" i="50"/>
  <c r="G3233" i="50"/>
  <c r="U3233" i="50"/>
  <c r="F3233" i="50"/>
  <c r="V3282" i="50"/>
  <c r="U3282" i="50"/>
  <c r="F3282" i="50"/>
  <c r="V3255" i="50"/>
  <c r="U3238" i="50"/>
  <c r="V3238" i="50"/>
  <c r="G3238" i="50"/>
  <c r="F3238" i="50"/>
  <c r="F3221" i="50"/>
  <c r="U3221" i="50"/>
  <c r="G3221" i="50"/>
  <c r="V3246" i="50"/>
  <c r="U3246" i="50"/>
  <c r="F3246" i="50"/>
  <c r="G3282" i="50"/>
  <c r="V3273" i="50"/>
  <c r="F3273" i="50"/>
  <c r="G3273" i="50"/>
  <c r="G3223" i="50"/>
  <c r="F3223" i="50"/>
  <c r="U3223" i="50"/>
  <c r="U3273" i="50"/>
  <c r="F3237" i="50"/>
  <c r="U3237" i="50"/>
  <c r="G3237" i="50"/>
  <c r="G3253" i="50"/>
  <c r="F3253" i="50"/>
  <c r="U3253" i="50"/>
  <c r="V3264" i="50"/>
  <c r="U3264" i="50"/>
  <c r="G3264" i="50"/>
  <c r="F3264" i="50"/>
  <c r="U3232" i="50"/>
  <c r="G3232" i="50"/>
  <c r="F3232" i="50"/>
  <c r="V3232" i="50"/>
  <c r="V3221" i="50"/>
  <c r="D3247" i="50"/>
  <c r="E3247" i="50"/>
  <c r="B3271" i="50"/>
  <c r="U3251" i="50"/>
  <c r="V3235" i="50"/>
  <c r="G3235" i="50"/>
  <c r="F3235" i="50"/>
  <c r="U3274" i="50"/>
  <c r="G3274" i="50"/>
  <c r="F3274" i="50"/>
  <c r="V3289" i="50"/>
  <c r="F3289" i="50"/>
  <c r="G3289" i="50"/>
  <c r="V3228" i="50"/>
  <c r="U3228" i="50"/>
  <c r="G3228" i="50"/>
  <c r="F3228" i="50"/>
  <c r="V3223" i="50"/>
  <c r="V3233" i="50"/>
  <c r="E3270" i="50"/>
  <c r="B3294" i="50"/>
  <c r="D3294" i="50" s="1"/>
  <c r="E3291" i="50"/>
  <c r="B3315" i="50"/>
  <c r="D3315" i="50" s="1"/>
  <c r="E3268" i="50"/>
  <c r="B3292" i="50"/>
  <c r="D3292" i="50" s="1"/>
  <c r="B3303" i="50"/>
  <c r="D3303" i="50" s="1"/>
  <c r="E3279" i="50"/>
  <c r="F3279" i="50" s="1"/>
  <c r="E3245" i="50"/>
  <c r="B3269" i="50"/>
  <c r="D3269" i="50" s="1"/>
  <c r="E3257" i="50"/>
  <c r="U3257" i="50" s="1"/>
  <c r="B3281" i="50"/>
  <c r="D3281" i="50" s="1"/>
  <c r="B3286" i="50"/>
  <c r="D3286" i="50" s="1"/>
  <c r="E3262" i="50"/>
  <c r="G3262" i="50" s="1"/>
  <c r="E3277" i="50"/>
  <c r="B3301" i="50"/>
  <c r="D3301" i="50" s="1"/>
  <c r="B3280" i="50"/>
  <c r="D3280" i="50" s="1"/>
  <c r="E3256" i="50"/>
  <c r="E3314" i="50"/>
  <c r="B3338" i="50"/>
  <c r="D3338" i="50" s="1"/>
  <c r="B3284" i="50"/>
  <c r="D3284" i="50" s="1"/>
  <c r="E3260" i="50"/>
  <c r="E3259" i="50"/>
  <c r="F3259" i="50" s="1"/>
  <c r="B3283" i="50"/>
  <c r="D3283" i="50" s="1"/>
  <c r="B3337" i="50"/>
  <c r="D3337" i="50" s="1"/>
  <c r="E3313" i="50"/>
  <c r="B3330" i="50"/>
  <c r="D3330" i="50" s="1"/>
  <c r="E3306" i="50"/>
  <c r="V3306" i="50" s="1"/>
  <c r="E3254" i="50"/>
  <c r="B3278" i="50"/>
  <c r="D3278" i="50" s="1"/>
  <c r="B3311" i="50"/>
  <c r="D3311" i="50" s="1"/>
  <c r="E3287" i="50"/>
  <c r="E3298" i="50"/>
  <c r="G3298" i="50" s="1"/>
  <c r="B3322" i="50"/>
  <c r="D3322" i="50" s="1"/>
  <c r="E3275" i="50"/>
  <c r="F3275" i="50" s="1"/>
  <c r="B3299" i="50"/>
  <c r="D3299" i="50" s="1"/>
  <c r="B3312" i="50"/>
  <c r="D3312" i="50" s="1"/>
  <c r="E3288" i="50"/>
  <c r="B3296" i="50"/>
  <c r="D3296" i="50" s="1"/>
  <c r="E3272" i="50"/>
  <c r="E3261" i="50"/>
  <c r="B3285" i="50"/>
  <c r="D3285" i="50" s="1"/>
  <c r="B3321" i="50"/>
  <c r="D3321" i="50" s="1"/>
  <c r="E3297" i="50"/>
  <c r="V3297" i="50" s="1"/>
  <c r="V3314" i="50" l="1"/>
  <c r="U3314" i="50"/>
  <c r="F3314" i="50"/>
  <c r="V3291" i="50"/>
  <c r="U3291" i="50"/>
  <c r="G3291" i="50"/>
  <c r="F3268" i="50"/>
  <c r="U3268" i="50"/>
  <c r="G3268" i="50"/>
  <c r="G3256" i="50"/>
  <c r="F3256" i="50"/>
  <c r="V3256" i="50"/>
  <c r="U3256" i="50"/>
  <c r="G3314" i="50"/>
  <c r="U3270" i="50"/>
  <c r="V3270" i="50"/>
  <c r="G3270" i="50"/>
  <c r="F3270" i="50"/>
  <c r="U3298" i="50"/>
  <c r="V3298" i="50"/>
  <c r="F3298" i="50"/>
  <c r="U3254" i="50"/>
  <c r="V3254" i="50"/>
  <c r="G3254" i="50"/>
  <c r="F3254" i="50"/>
  <c r="V3277" i="50"/>
  <c r="U3277" i="50"/>
  <c r="G3277" i="50"/>
  <c r="F3277" i="50"/>
  <c r="D3271" i="50"/>
  <c r="E3271" i="50"/>
  <c r="B3295" i="50"/>
  <c r="D3276" i="50"/>
  <c r="B3300" i="50"/>
  <c r="E3276" i="50"/>
  <c r="V3262" i="50"/>
  <c r="U3262" i="50"/>
  <c r="F3262" i="50"/>
  <c r="V3247" i="50"/>
  <c r="U3247" i="50"/>
  <c r="G3247" i="50"/>
  <c r="F3252" i="50"/>
  <c r="G3252" i="50"/>
  <c r="U3252" i="50"/>
  <c r="G3287" i="50"/>
  <c r="U3287" i="50"/>
  <c r="F3287" i="50"/>
  <c r="F3247" i="50"/>
  <c r="V3252" i="50"/>
  <c r="F3291" i="50"/>
  <c r="V3261" i="50"/>
  <c r="U3261" i="50"/>
  <c r="G3261" i="50"/>
  <c r="F3261" i="50"/>
  <c r="V3257" i="50"/>
  <c r="F3257" i="50"/>
  <c r="G3257" i="50"/>
  <c r="G3297" i="50"/>
  <c r="F3297" i="50"/>
  <c r="U3297" i="50"/>
  <c r="G3313" i="50"/>
  <c r="F3313" i="50"/>
  <c r="U3313" i="50"/>
  <c r="G3245" i="50"/>
  <c r="F3245" i="50"/>
  <c r="U3245" i="50"/>
  <c r="V3245" i="50"/>
  <c r="V3288" i="50"/>
  <c r="U3288" i="50"/>
  <c r="G3288" i="50"/>
  <c r="F3288" i="50"/>
  <c r="V3279" i="50"/>
  <c r="U3279" i="50"/>
  <c r="G3279" i="50"/>
  <c r="V3287" i="50"/>
  <c r="V3275" i="50"/>
  <c r="U3275" i="50"/>
  <c r="G3275" i="50"/>
  <c r="U3306" i="50"/>
  <c r="G3306" i="50"/>
  <c r="F3306" i="50"/>
  <c r="V3259" i="50"/>
  <c r="U3259" i="50"/>
  <c r="G3259" i="50"/>
  <c r="V3313" i="50"/>
  <c r="V3268" i="50"/>
  <c r="U3272" i="50"/>
  <c r="G3272" i="50"/>
  <c r="F3272" i="50"/>
  <c r="V3272" i="50"/>
  <c r="G3260" i="50"/>
  <c r="F3260" i="50"/>
  <c r="V3260" i="50"/>
  <c r="U3260" i="50"/>
  <c r="B3327" i="50"/>
  <c r="D3327" i="50" s="1"/>
  <c r="E3303" i="50"/>
  <c r="B3318" i="50"/>
  <c r="D3318" i="50" s="1"/>
  <c r="E3294" i="50"/>
  <c r="G3294" i="50" s="1"/>
  <c r="B3309" i="50"/>
  <c r="D3309" i="50" s="1"/>
  <c r="E3285" i="50"/>
  <c r="V3285" i="50" s="1"/>
  <c r="B3336" i="50"/>
  <c r="D3336" i="50" s="1"/>
  <c r="E3312" i="50"/>
  <c r="B3305" i="50"/>
  <c r="D3305" i="50" s="1"/>
  <c r="E3281" i="50"/>
  <c r="V3281" i="50" s="1"/>
  <c r="B3323" i="50"/>
  <c r="D3323" i="50" s="1"/>
  <c r="E3299" i="50"/>
  <c r="U3299" i="50" s="1"/>
  <c r="B3335" i="50"/>
  <c r="D3335" i="50" s="1"/>
  <c r="E3311" i="50"/>
  <c r="E3337" i="50"/>
  <c r="V3337" i="50" s="1"/>
  <c r="B3361" i="50"/>
  <c r="D3361" i="50" s="1"/>
  <c r="B3316" i="50"/>
  <c r="D3316" i="50" s="1"/>
  <c r="E3292" i="50"/>
  <c r="B3307" i="50"/>
  <c r="D3307" i="50" s="1"/>
  <c r="E3283" i="50"/>
  <c r="U3283" i="50" s="1"/>
  <c r="E3330" i="50"/>
  <c r="G3330" i="50" s="1"/>
  <c r="B3354" i="50"/>
  <c r="D3354" i="50" s="1"/>
  <c r="E3286" i="50"/>
  <c r="B3310" i="50"/>
  <c r="D3310" i="50" s="1"/>
  <c r="B3339" i="50"/>
  <c r="D3339" i="50" s="1"/>
  <c r="E3315" i="50"/>
  <c r="U3315" i="50" s="1"/>
  <c r="B3320" i="50"/>
  <c r="D3320" i="50" s="1"/>
  <c r="E3296" i="50"/>
  <c r="B3304" i="50"/>
  <c r="D3304" i="50" s="1"/>
  <c r="E3280" i="50"/>
  <c r="B3325" i="50"/>
  <c r="D3325" i="50" s="1"/>
  <c r="E3301" i="50"/>
  <c r="V3301" i="50" s="1"/>
  <c r="B3302" i="50"/>
  <c r="D3302" i="50" s="1"/>
  <c r="E3278" i="50"/>
  <c r="G3278" i="50" s="1"/>
  <c r="E3321" i="50"/>
  <c r="U3321" i="50" s="1"/>
  <c r="B3345" i="50"/>
  <c r="D3345" i="50" s="1"/>
  <c r="E3284" i="50"/>
  <c r="V3284" i="50" s="1"/>
  <c r="B3308" i="50"/>
  <c r="D3308" i="50" s="1"/>
  <c r="B3293" i="50"/>
  <c r="D3293" i="50" s="1"/>
  <c r="E3269" i="50"/>
  <c r="V3269" i="50" s="1"/>
  <c r="B3346" i="50"/>
  <c r="D3346" i="50" s="1"/>
  <c r="E3322" i="50"/>
  <c r="B3362" i="50"/>
  <c r="D3362" i="50" s="1"/>
  <c r="E3338" i="50"/>
  <c r="U3338" i="50" l="1"/>
  <c r="G3338" i="50"/>
  <c r="F3338" i="50"/>
  <c r="V3338" i="50"/>
  <c r="F3337" i="50"/>
  <c r="G3337" i="50"/>
  <c r="U3337" i="50"/>
  <c r="V3296" i="50"/>
  <c r="U3296" i="50"/>
  <c r="G3296" i="50"/>
  <c r="F3296" i="50"/>
  <c r="V3311" i="50"/>
  <c r="U3311" i="50"/>
  <c r="G3311" i="50"/>
  <c r="V3292" i="50"/>
  <c r="U3292" i="50"/>
  <c r="G3292" i="50"/>
  <c r="F3292" i="50"/>
  <c r="V3315" i="50"/>
  <c r="G3315" i="50"/>
  <c r="F3315" i="50"/>
  <c r="G3281" i="50"/>
  <c r="F3281" i="50"/>
  <c r="U3281" i="50"/>
  <c r="F3311" i="50"/>
  <c r="G3269" i="50"/>
  <c r="F3269" i="50"/>
  <c r="U3269" i="50"/>
  <c r="U3276" i="50"/>
  <c r="G3276" i="50"/>
  <c r="F3276" i="50"/>
  <c r="V3276" i="50"/>
  <c r="V3299" i="50"/>
  <c r="G3299" i="50"/>
  <c r="F3299" i="50"/>
  <c r="F3284" i="50"/>
  <c r="U3284" i="50"/>
  <c r="G3284" i="50"/>
  <c r="V3312" i="50"/>
  <c r="U3312" i="50"/>
  <c r="G3312" i="50"/>
  <c r="F3312" i="50"/>
  <c r="D3300" i="50"/>
  <c r="E3300" i="50"/>
  <c r="B3324" i="50"/>
  <c r="G3303" i="50"/>
  <c r="U3303" i="50"/>
  <c r="F3303" i="50"/>
  <c r="U3286" i="50"/>
  <c r="V3286" i="50"/>
  <c r="G3286" i="50"/>
  <c r="F3286" i="50"/>
  <c r="G3285" i="50"/>
  <c r="F3285" i="50"/>
  <c r="U3285" i="50"/>
  <c r="D3295" i="50"/>
  <c r="B3319" i="50"/>
  <c r="E3295" i="50"/>
  <c r="U3322" i="50"/>
  <c r="G3322" i="50"/>
  <c r="F3322" i="50"/>
  <c r="V3330" i="50"/>
  <c r="U3330" i="50"/>
  <c r="F3330" i="50"/>
  <c r="G3271" i="50"/>
  <c r="U3271" i="50"/>
  <c r="F3271" i="50"/>
  <c r="V3278" i="50"/>
  <c r="U3278" i="50"/>
  <c r="F3278" i="50"/>
  <c r="G3301" i="50"/>
  <c r="F3301" i="50"/>
  <c r="U3301" i="50"/>
  <c r="V3283" i="50"/>
  <c r="G3283" i="50"/>
  <c r="F3283" i="50"/>
  <c r="V3294" i="50"/>
  <c r="U3294" i="50"/>
  <c r="F3294" i="50"/>
  <c r="V3303" i="50"/>
  <c r="V3271" i="50"/>
  <c r="V3280" i="50"/>
  <c r="U3280" i="50"/>
  <c r="G3280" i="50"/>
  <c r="F3280" i="50"/>
  <c r="F3321" i="50"/>
  <c r="V3321" i="50"/>
  <c r="G3321" i="50"/>
  <c r="V3322" i="50"/>
  <c r="B3332" i="50"/>
  <c r="D3332" i="50" s="1"/>
  <c r="E3308" i="50"/>
  <c r="B3344" i="50"/>
  <c r="D3344" i="50" s="1"/>
  <c r="E3320" i="50"/>
  <c r="B3360" i="50"/>
  <c r="D3360" i="50" s="1"/>
  <c r="E3336" i="50"/>
  <c r="E3316" i="50"/>
  <c r="B3340" i="50"/>
  <c r="D3340" i="50" s="1"/>
  <c r="B3369" i="50"/>
  <c r="D3369" i="50" s="1"/>
  <c r="E3345" i="50"/>
  <c r="U3345" i="50" s="1"/>
  <c r="E3325" i="50"/>
  <c r="B3349" i="50"/>
  <c r="D3349" i="50" s="1"/>
  <c r="B3334" i="50"/>
  <c r="D3334" i="50" s="1"/>
  <c r="E3310" i="50"/>
  <c r="G3310" i="50" s="1"/>
  <c r="B3385" i="50"/>
  <c r="D3385" i="50" s="1"/>
  <c r="E3361" i="50"/>
  <c r="E3346" i="50"/>
  <c r="B3370" i="50"/>
  <c r="D3370" i="50" s="1"/>
  <c r="E3309" i="50"/>
  <c r="B3333" i="50"/>
  <c r="D3333" i="50" s="1"/>
  <c r="B3378" i="50"/>
  <c r="D3378" i="50" s="1"/>
  <c r="E3354" i="50"/>
  <c r="F3354" i="50" s="1"/>
  <c r="E3305" i="50"/>
  <c r="B3329" i="50"/>
  <c r="D3329" i="50" s="1"/>
  <c r="E3293" i="50"/>
  <c r="B3317" i="50"/>
  <c r="D3317" i="50" s="1"/>
  <c r="B3363" i="50"/>
  <c r="D3363" i="50" s="1"/>
  <c r="E3339" i="50"/>
  <c r="V3339" i="50" s="1"/>
  <c r="E3307" i="50"/>
  <c r="B3331" i="50"/>
  <c r="D3331" i="50" s="1"/>
  <c r="B3359" i="50"/>
  <c r="D3359" i="50" s="1"/>
  <c r="E3335" i="50"/>
  <c r="E3318" i="50"/>
  <c r="B3342" i="50"/>
  <c r="D3342" i="50" s="1"/>
  <c r="B3328" i="50"/>
  <c r="D3328" i="50" s="1"/>
  <c r="E3304" i="50"/>
  <c r="B3351" i="50"/>
  <c r="D3351" i="50" s="1"/>
  <c r="E3327" i="50"/>
  <c r="B3347" i="50"/>
  <c r="D3347" i="50" s="1"/>
  <c r="E3323" i="50"/>
  <c r="E3302" i="50"/>
  <c r="B3326" i="50"/>
  <c r="D3326" i="50" s="1"/>
  <c r="E3362" i="50"/>
  <c r="B3386" i="50"/>
  <c r="D3386" i="50" s="1"/>
  <c r="F3295" i="50" l="1"/>
  <c r="F3316" i="50"/>
  <c r="U3316" i="50"/>
  <c r="G3316" i="50"/>
  <c r="V3323" i="50"/>
  <c r="U3323" i="50"/>
  <c r="G3323" i="50"/>
  <c r="V3362" i="50"/>
  <c r="U3362" i="50"/>
  <c r="G3362" i="50"/>
  <c r="F3362" i="50"/>
  <c r="F3323" i="50"/>
  <c r="V3293" i="50"/>
  <c r="U3293" i="50"/>
  <c r="G3293" i="50"/>
  <c r="F3293" i="50"/>
  <c r="V3336" i="50"/>
  <c r="U3336" i="50"/>
  <c r="G3336" i="50"/>
  <c r="F3336" i="50"/>
  <c r="G3309" i="50"/>
  <c r="F3309" i="50"/>
  <c r="V3309" i="50"/>
  <c r="U3309" i="50"/>
  <c r="V3302" i="50"/>
  <c r="G3302" i="50"/>
  <c r="F3302" i="50"/>
  <c r="U3302" i="50"/>
  <c r="V3320" i="50"/>
  <c r="U3320" i="50"/>
  <c r="G3320" i="50"/>
  <c r="F3320" i="50"/>
  <c r="V3318" i="50"/>
  <c r="G3318" i="50"/>
  <c r="F3318" i="50"/>
  <c r="U3318" i="50"/>
  <c r="V3346" i="50"/>
  <c r="U3346" i="50"/>
  <c r="G3346" i="50"/>
  <c r="F3346" i="50"/>
  <c r="V3316" i="50"/>
  <c r="V3327" i="50"/>
  <c r="U3327" i="50"/>
  <c r="G3327" i="50"/>
  <c r="G3361" i="50"/>
  <c r="F3361" i="50"/>
  <c r="U3361" i="50"/>
  <c r="V3308" i="50"/>
  <c r="U3308" i="50"/>
  <c r="G3308" i="50"/>
  <c r="F3308" i="50"/>
  <c r="V3361" i="50"/>
  <c r="V3304" i="50"/>
  <c r="U3304" i="50"/>
  <c r="G3304" i="50"/>
  <c r="F3304" i="50"/>
  <c r="D3324" i="50"/>
  <c r="B3348" i="50"/>
  <c r="E3324" i="50"/>
  <c r="V3325" i="50"/>
  <c r="U3325" i="50"/>
  <c r="G3325" i="50"/>
  <c r="F3325" i="50"/>
  <c r="V3345" i="50"/>
  <c r="G3345" i="50"/>
  <c r="F3345" i="50"/>
  <c r="V3305" i="50"/>
  <c r="F3305" i="50"/>
  <c r="G3305" i="50"/>
  <c r="V3310" i="50"/>
  <c r="U3310" i="50"/>
  <c r="F3310" i="50"/>
  <c r="F3300" i="50"/>
  <c r="U3300" i="50"/>
  <c r="G3300" i="50"/>
  <c r="V3354" i="50"/>
  <c r="U3354" i="50"/>
  <c r="G3354" i="50"/>
  <c r="V3335" i="50"/>
  <c r="U3335" i="50"/>
  <c r="G3335" i="50"/>
  <c r="F3335" i="50"/>
  <c r="V3307" i="50"/>
  <c r="U3307" i="50"/>
  <c r="G3307" i="50"/>
  <c r="F3307" i="50"/>
  <c r="V3295" i="50"/>
  <c r="U3295" i="50"/>
  <c r="G3295" i="50"/>
  <c r="V3300" i="50"/>
  <c r="U3305" i="50"/>
  <c r="U3339" i="50"/>
  <c r="G3339" i="50"/>
  <c r="F3339" i="50"/>
  <c r="D3319" i="50"/>
  <c r="B3343" i="50"/>
  <c r="E3319" i="50"/>
  <c r="F3327" i="50"/>
  <c r="B3394" i="50"/>
  <c r="D3394" i="50" s="1"/>
  <c r="E3370" i="50"/>
  <c r="F3370" i="50" s="1"/>
  <c r="E3369" i="50"/>
  <c r="B3393" i="50"/>
  <c r="D3393" i="50" s="1"/>
  <c r="B3387" i="50"/>
  <c r="D3387" i="50" s="1"/>
  <c r="E3363" i="50"/>
  <c r="B3341" i="50"/>
  <c r="D3341" i="50" s="1"/>
  <c r="E3317" i="50"/>
  <c r="B3368" i="50"/>
  <c r="D3368" i="50" s="1"/>
  <c r="E3344" i="50"/>
  <c r="B3364" i="50"/>
  <c r="D3364" i="50" s="1"/>
  <c r="E3340" i="50"/>
  <c r="E3360" i="50"/>
  <c r="B3384" i="50"/>
  <c r="D3384" i="50" s="1"/>
  <c r="E3342" i="50"/>
  <c r="V3342" i="50" s="1"/>
  <c r="B3366" i="50"/>
  <c r="D3366" i="50" s="1"/>
  <c r="E3378" i="50"/>
  <c r="B3402" i="50"/>
  <c r="D3402" i="50" s="1"/>
  <c r="E3385" i="50"/>
  <c r="V3385" i="50" s="1"/>
  <c r="B3409" i="50"/>
  <c r="D3409" i="50" s="1"/>
  <c r="E3332" i="50"/>
  <c r="V3332" i="50" s="1"/>
  <c r="B3356" i="50"/>
  <c r="D3356" i="50" s="1"/>
  <c r="B3355" i="50"/>
  <c r="D3355" i="50" s="1"/>
  <c r="E3331" i="50"/>
  <c r="U3331" i="50" s="1"/>
  <c r="B3375" i="50"/>
  <c r="D3375" i="50" s="1"/>
  <c r="E3351" i="50"/>
  <c r="E3328" i="50"/>
  <c r="B3352" i="50"/>
  <c r="D3352" i="50" s="1"/>
  <c r="B3353" i="50"/>
  <c r="D3353" i="50" s="1"/>
  <c r="E3329" i="50"/>
  <c r="V3329" i="50" s="1"/>
  <c r="B3358" i="50"/>
  <c r="D3358" i="50" s="1"/>
  <c r="E3334" i="50"/>
  <c r="E3326" i="50"/>
  <c r="G3326" i="50" s="1"/>
  <c r="B3350" i="50"/>
  <c r="D3350" i="50" s="1"/>
  <c r="B3410" i="50"/>
  <c r="D3410" i="50" s="1"/>
  <c r="E3386" i="50"/>
  <c r="B3371" i="50"/>
  <c r="D3371" i="50" s="1"/>
  <c r="E3347" i="50"/>
  <c r="B3383" i="50"/>
  <c r="D3383" i="50" s="1"/>
  <c r="E3359" i="50"/>
  <c r="F3359" i="50" s="1"/>
  <c r="B3357" i="50"/>
  <c r="D3357" i="50" s="1"/>
  <c r="E3333" i="50"/>
  <c r="V3333" i="50" s="1"/>
  <c r="B3373" i="50"/>
  <c r="D3373" i="50" s="1"/>
  <c r="E3349" i="50"/>
  <c r="V3378" i="50" l="1"/>
  <c r="U3378" i="50"/>
  <c r="G3378" i="50"/>
  <c r="F3378" i="50"/>
  <c r="U3369" i="50"/>
  <c r="G3369" i="50"/>
  <c r="F3369" i="50"/>
  <c r="G3319" i="50"/>
  <c r="F3319" i="50"/>
  <c r="U3319" i="50"/>
  <c r="D3343" i="50"/>
  <c r="B3367" i="50"/>
  <c r="E3343" i="50"/>
  <c r="V3319" i="50"/>
  <c r="V3351" i="50"/>
  <c r="U3351" i="50"/>
  <c r="G3351" i="50"/>
  <c r="F3351" i="50"/>
  <c r="V3328" i="50"/>
  <c r="U3328" i="50"/>
  <c r="G3328" i="50"/>
  <c r="F3328" i="50"/>
  <c r="V3359" i="50"/>
  <c r="U3359" i="50"/>
  <c r="G3359" i="50"/>
  <c r="V3344" i="50"/>
  <c r="G3344" i="50"/>
  <c r="U3344" i="50"/>
  <c r="F3344" i="50"/>
  <c r="V3370" i="50"/>
  <c r="G3370" i="50"/>
  <c r="U3370" i="50"/>
  <c r="V3347" i="50"/>
  <c r="G3347" i="50"/>
  <c r="U3347" i="50"/>
  <c r="F3347" i="50"/>
  <c r="F3349" i="50"/>
  <c r="V3349" i="50"/>
  <c r="U3349" i="50"/>
  <c r="G3349" i="50"/>
  <c r="V3340" i="50"/>
  <c r="U3340" i="50"/>
  <c r="F3340" i="50"/>
  <c r="G3317" i="50"/>
  <c r="F3317" i="50"/>
  <c r="U3317" i="50"/>
  <c r="G3342" i="50"/>
  <c r="F3342" i="50"/>
  <c r="U3342" i="50"/>
  <c r="U3385" i="50"/>
  <c r="F3385" i="50"/>
  <c r="G3385" i="50"/>
  <c r="F3329" i="50"/>
  <c r="G3329" i="50"/>
  <c r="U3329" i="50"/>
  <c r="G3331" i="50"/>
  <c r="V3331" i="50"/>
  <c r="F3331" i="50"/>
  <c r="U3363" i="50"/>
  <c r="F3363" i="50"/>
  <c r="V3363" i="50"/>
  <c r="G3363" i="50"/>
  <c r="V3324" i="50"/>
  <c r="U3324" i="50"/>
  <c r="G3324" i="50"/>
  <c r="F3324" i="50"/>
  <c r="V3317" i="50"/>
  <c r="G3360" i="50"/>
  <c r="V3360" i="50"/>
  <c r="U3360" i="50"/>
  <c r="F3360" i="50"/>
  <c r="V3386" i="50"/>
  <c r="F3386" i="50"/>
  <c r="U3386" i="50"/>
  <c r="G3386" i="50"/>
  <c r="V3326" i="50"/>
  <c r="U3326" i="50"/>
  <c r="F3326" i="50"/>
  <c r="F3332" i="50"/>
  <c r="U3332" i="50"/>
  <c r="G3332" i="50"/>
  <c r="D3348" i="50"/>
  <c r="E3348" i="50"/>
  <c r="B3372" i="50"/>
  <c r="G3340" i="50"/>
  <c r="G3333" i="50"/>
  <c r="U3333" i="50"/>
  <c r="F3333" i="50"/>
  <c r="V3334" i="50"/>
  <c r="G3334" i="50"/>
  <c r="F3334" i="50"/>
  <c r="U3334" i="50"/>
  <c r="V3369" i="50"/>
  <c r="B3377" i="50"/>
  <c r="D3377" i="50" s="1"/>
  <c r="E3353" i="50"/>
  <c r="B3379" i="50"/>
  <c r="D3379" i="50" s="1"/>
  <c r="E3355" i="50"/>
  <c r="U3355" i="50" s="1"/>
  <c r="B3380" i="50"/>
  <c r="D3380" i="50" s="1"/>
  <c r="E3356" i="50"/>
  <c r="B3392" i="50"/>
  <c r="D3392" i="50" s="1"/>
  <c r="E3368" i="50"/>
  <c r="G3368" i="50" s="1"/>
  <c r="E3394" i="50"/>
  <c r="B3418" i="50"/>
  <c r="D3418" i="50" s="1"/>
  <c r="E3383" i="50"/>
  <c r="B3407" i="50"/>
  <c r="D3407" i="50" s="1"/>
  <c r="E3358" i="50"/>
  <c r="B3382" i="50"/>
  <c r="D3382" i="50" s="1"/>
  <c r="B3376" i="50"/>
  <c r="D3376" i="50" s="1"/>
  <c r="E3352" i="50"/>
  <c r="B3426" i="50"/>
  <c r="D3426" i="50" s="1"/>
  <c r="E3402" i="50"/>
  <c r="E3341" i="50"/>
  <c r="G3341" i="50" s="1"/>
  <c r="B3365" i="50"/>
  <c r="D3365" i="50" s="1"/>
  <c r="B3390" i="50"/>
  <c r="D3390" i="50" s="1"/>
  <c r="E3366" i="50"/>
  <c r="U3366" i="50" s="1"/>
  <c r="B3397" i="50"/>
  <c r="D3397" i="50" s="1"/>
  <c r="E3373" i="50"/>
  <c r="G3373" i="50" s="1"/>
  <c r="B3388" i="50"/>
  <c r="D3388" i="50" s="1"/>
  <c r="E3364" i="50"/>
  <c r="B3395" i="50"/>
  <c r="D3395" i="50" s="1"/>
  <c r="E3371" i="50"/>
  <c r="B3433" i="50"/>
  <c r="D3433" i="50" s="1"/>
  <c r="E3409" i="50"/>
  <c r="B3408" i="50"/>
  <c r="D3408" i="50" s="1"/>
  <c r="E3384" i="50"/>
  <c r="B3374" i="50"/>
  <c r="D3374" i="50" s="1"/>
  <c r="E3350" i="50"/>
  <c r="U3350" i="50" s="1"/>
  <c r="B3381" i="50"/>
  <c r="D3381" i="50" s="1"/>
  <c r="E3357" i="50"/>
  <c r="B3411" i="50"/>
  <c r="D3411" i="50" s="1"/>
  <c r="E3387" i="50"/>
  <c r="U3387" i="50" s="1"/>
  <c r="B3417" i="50"/>
  <c r="D3417" i="50" s="1"/>
  <c r="E3393" i="50"/>
  <c r="F3393" i="50" s="1"/>
  <c r="E3410" i="50"/>
  <c r="B3434" i="50"/>
  <c r="D3434" i="50" s="1"/>
  <c r="B3399" i="50"/>
  <c r="D3399" i="50" s="1"/>
  <c r="E3375" i="50"/>
  <c r="F3343" i="50" l="1"/>
  <c r="V3384" i="50"/>
  <c r="F3384" i="50"/>
  <c r="U3384" i="50"/>
  <c r="V3402" i="50"/>
  <c r="U3402" i="50"/>
  <c r="G3402" i="50"/>
  <c r="U3353" i="50"/>
  <c r="G3353" i="50"/>
  <c r="F3353" i="50"/>
  <c r="G3384" i="50"/>
  <c r="G3348" i="50"/>
  <c r="F3348" i="50"/>
  <c r="V3348" i="50"/>
  <c r="U3348" i="50"/>
  <c r="F3402" i="50"/>
  <c r="G3375" i="50"/>
  <c r="F3375" i="50"/>
  <c r="U3375" i="50"/>
  <c r="G3409" i="50"/>
  <c r="F3409" i="50"/>
  <c r="U3409" i="50"/>
  <c r="V3352" i="50"/>
  <c r="G3352" i="50"/>
  <c r="U3352" i="50"/>
  <c r="F3352" i="50"/>
  <c r="V3375" i="50"/>
  <c r="U3358" i="50"/>
  <c r="G3358" i="50"/>
  <c r="F3358" i="50"/>
  <c r="V3355" i="50"/>
  <c r="G3355" i="50"/>
  <c r="F3355" i="50"/>
  <c r="V3364" i="50"/>
  <c r="U3364" i="50"/>
  <c r="G3364" i="50"/>
  <c r="F3364" i="50"/>
  <c r="V3383" i="50"/>
  <c r="U3383" i="50"/>
  <c r="G3383" i="50"/>
  <c r="F3383" i="50"/>
  <c r="V3373" i="50"/>
  <c r="U3373" i="50"/>
  <c r="F3373" i="50"/>
  <c r="F3350" i="50"/>
  <c r="V3350" i="50"/>
  <c r="G3350" i="50"/>
  <c r="V3394" i="50"/>
  <c r="U3394" i="50"/>
  <c r="G3394" i="50"/>
  <c r="F3394" i="50"/>
  <c r="V3358" i="50"/>
  <c r="V3371" i="50"/>
  <c r="U3371" i="50"/>
  <c r="G3371" i="50"/>
  <c r="F3371" i="50"/>
  <c r="V3409" i="50"/>
  <c r="V3393" i="50"/>
  <c r="U3393" i="50"/>
  <c r="G3393" i="50"/>
  <c r="V3368" i="50"/>
  <c r="U3368" i="50"/>
  <c r="F3368" i="50"/>
  <c r="D3367" i="50"/>
  <c r="E3367" i="50"/>
  <c r="B3391" i="50"/>
  <c r="V3410" i="50"/>
  <c r="U3410" i="50"/>
  <c r="G3410" i="50"/>
  <c r="F3410" i="50"/>
  <c r="V3387" i="50"/>
  <c r="G3387" i="50"/>
  <c r="F3387" i="50"/>
  <c r="V3357" i="50"/>
  <c r="U3357" i="50"/>
  <c r="F3357" i="50"/>
  <c r="U3356" i="50"/>
  <c r="V3356" i="50"/>
  <c r="G3356" i="50"/>
  <c r="F3356" i="50"/>
  <c r="G3357" i="50"/>
  <c r="V3366" i="50"/>
  <c r="G3366" i="50"/>
  <c r="F3366" i="50"/>
  <c r="V3341" i="50"/>
  <c r="U3341" i="50"/>
  <c r="F3341" i="50"/>
  <c r="D3372" i="50"/>
  <c r="B3396" i="50"/>
  <c r="E3372" i="50"/>
  <c r="U3343" i="50"/>
  <c r="G3343" i="50"/>
  <c r="V3343" i="50"/>
  <c r="V3353" i="50"/>
  <c r="E3380" i="50"/>
  <c r="B3404" i="50"/>
  <c r="D3404" i="50" s="1"/>
  <c r="E3376" i="50"/>
  <c r="B3400" i="50"/>
  <c r="D3400" i="50" s="1"/>
  <c r="E3397" i="50"/>
  <c r="F3397" i="50" s="1"/>
  <c r="B3421" i="50"/>
  <c r="D3421" i="50" s="1"/>
  <c r="E3365" i="50"/>
  <c r="F3365" i="50" s="1"/>
  <c r="B3389" i="50"/>
  <c r="D3389" i="50" s="1"/>
  <c r="B3403" i="50"/>
  <c r="D3403" i="50" s="1"/>
  <c r="E3379" i="50"/>
  <c r="B3406" i="50"/>
  <c r="D3406" i="50" s="1"/>
  <c r="E3382" i="50"/>
  <c r="U3382" i="50" s="1"/>
  <c r="E3433" i="50"/>
  <c r="V3433" i="50" s="1"/>
  <c r="B3457" i="50"/>
  <c r="D3457" i="50" s="1"/>
  <c r="B3431" i="50"/>
  <c r="D3431" i="50" s="1"/>
  <c r="E3407" i="50"/>
  <c r="E3426" i="50"/>
  <c r="B3450" i="50"/>
  <c r="D3450" i="50" s="1"/>
  <c r="B3401" i="50"/>
  <c r="D3401" i="50" s="1"/>
  <c r="E3377" i="50"/>
  <c r="F3377" i="50" s="1"/>
  <c r="E3417" i="50"/>
  <c r="V3417" i="50" s="1"/>
  <c r="B3441" i="50"/>
  <c r="D3441" i="50" s="1"/>
  <c r="E3374" i="50"/>
  <c r="B3398" i="50"/>
  <c r="D3398" i="50" s="1"/>
  <c r="B3419" i="50"/>
  <c r="D3419" i="50" s="1"/>
  <c r="E3395" i="50"/>
  <c r="B3435" i="50"/>
  <c r="D3435" i="50" s="1"/>
  <c r="E3411" i="50"/>
  <c r="B3442" i="50"/>
  <c r="D3442" i="50" s="1"/>
  <c r="E3418" i="50"/>
  <c r="E3390" i="50"/>
  <c r="B3414" i="50"/>
  <c r="D3414" i="50" s="1"/>
  <c r="B3412" i="50"/>
  <c r="D3412" i="50" s="1"/>
  <c r="E3388" i="50"/>
  <c r="E3381" i="50"/>
  <c r="B3405" i="50"/>
  <c r="D3405" i="50" s="1"/>
  <c r="E3392" i="50"/>
  <c r="B3416" i="50"/>
  <c r="D3416" i="50" s="1"/>
  <c r="E3399" i="50"/>
  <c r="B3423" i="50"/>
  <c r="D3423" i="50" s="1"/>
  <c r="B3458" i="50"/>
  <c r="D3458" i="50" s="1"/>
  <c r="E3434" i="50"/>
  <c r="F3434" i="50" s="1"/>
  <c r="E3408" i="50"/>
  <c r="B3432" i="50"/>
  <c r="D3432" i="50" s="1"/>
  <c r="G3376" i="50" l="1"/>
  <c r="U3376" i="50"/>
  <c r="F3376" i="50"/>
  <c r="V3376" i="50"/>
  <c r="U3381" i="50"/>
  <c r="V3381" i="50"/>
  <c r="G3381" i="50"/>
  <c r="F3380" i="50"/>
  <c r="U3380" i="50"/>
  <c r="G3380" i="50"/>
  <c r="F3381" i="50"/>
  <c r="V3407" i="50"/>
  <c r="U3407" i="50"/>
  <c r="G3407" i="50"/>
  <c r="D3391" i="50"/>
  <c r="B3415" i="50"/>
  <c r="E3391" i="50"/>
  <c r="U3388" i="50"/>
  <c r="V3388" i="50"/>
  <c r="F3388" i="50"/>
  <c r="G3418" i="50"/>
  <c r="V3418" i="50"/>
  <c r="U3418" i="50"/>
  <c r="V3367" i="50"/>
  <c r="U3367" i="50"/>
  <c r="G3367" i="50"/>
  <c r="F3367" i="50"/>
  <c r="G3388" i="50"/>
  <c r="V3408" i="50"/>
  <c r="G3408" i="50"/>
  <c r="U3408" i="50"/>
  <c r="F3408" i="50"/>
  <c r="U3433" i="50"/>
  <c r="G3433" i="50"/>
  <c r="F3433" i="50"/>
  <c r="F3407" i="50"/>
  <c r="G3390" i="50"/>
  <c r="F3390" i="50"/>
  <c r="U3390" i="50"/>
  <c r="V3395" i="50"/>
  <c r="G3395" i="50"/>
  <c r="U3395" i="50"/>
  <c r="F3395" i="50"/>
  <c r="G3382" i="50"/>
  <c r="F3382" i="50"/>
  <c r="V3382" i="50"/>
  <c r="U3372" i="50"/>
  <c r="G3372" i="50"/>
  <c r="F3372" i="50"/>
  <c r="V3390" i="50"/>
  <c r="U3411" i="50"/>
  <c r="F3411" i="50"/>
  <c r="V3411" i="50"/>
  <c r="G3411" i="50"/>
  <c r="D3396" i="50"/>
  <c r="E3396" i="50"/>
  <c r="B3420" i="50"/>
  <c r="U3397" i="50"/>
  <c r="G3397" i="50"/>
  <c r="V3397" i="50"/>
  <c r="V3379" i="50"/>
  <c r="G3379" i="50"/>
  <c r="U3379" i="50"/>
  <c r="F3379" i="50"/>
  <c r="V3372" i="50"/>
  <c r="V3426" i="50"/>
  <c r="U3426" i="50"/>
  <c r="G3426" i="50"/>
  <c r="F3426" i="50"/>
  <c r="G3434" i="50"/>
  <c r="U3434" i="50"/>
  <c r="V3434" i="50"/>
  <c r="U3374" i="50"/>
  <c r="G3374" i="50"/>
  <c r="F3374" i="50"/>
  <c r="V3380" i="50"/>
  <c r="V3399" i="50"/>
  <c r="U3399" i="50"/>
  <c r="G3399" i="50"/>
  <c r="F3399" i="50"/>
  <c r="V3392" i="50"/>
  <c r="G3392" i="50"/>
  <c r="U3392" i="50"/>
  <c r="F3392" i="50"/>
  <c r="U3417" i="50"/>
  <c r="G3417" i="50"/>
  <c r="F3417" i="50"/>
  <c r="U3365" i="50"/>
  <c r="G3365" i="50"/>
  <c r="V3365" i="50"/>
  <c r="F3418" i="50"/>
  <c r="V3377" i="50"/>
  <c r="U3377" i="50"/>
  <c r="G3377" i="50"/>
  <c r="G3421" i="50"/>
  <c r="V3374" i="50"/>
  <c r="E3458" i="50"/>
  <c r="B3482" i="50"/>
  <c r="D3482" i="50" s="1"/>
  <c r="B3447" i="50"/>
  <c r="D3447" i="50" s="1"/>
  <c r="E3423" i="50"/>
  <c r="F3423" i="50" s="1"/>
  <c r="B3459" i="50"/>
  <c r="D3459" i="50" s="1"/>
  <c r="E3435" i="50"/>
  <c r="B3422" i="50"/>
  <c r="D3422" i="50" s="1"/>
  <c r="E3398" i="50"/>
  <c r="B3429" i="50"/>
  <c r="D3429" i="50" s="1"/>
  <c r="E3405" i="50"/>
  <c r="G3405" i="50" s="1"/>
  <c r="B3427" i="50"/>
  <c r="D3427" i="50" s="1"/>
  <c r="E3403" i="50"/>
  <c r="B3465" i="50"/>
  <c r="D3465" i="50" s="1"/>
  <c r="E3441" i="50"/>
  <c r="B3413" i="50"/>
  <c r="D3413" i="50" s="1"/>
  <c r="E3389" i="50"/>
  <c r="G3389" i="50" s="1"/>
  <c r="B3428" i="50"/>
  <c r="D3428" i="50" s="1"/>
  <c r="E3404" i="50"/>
  <c r="G3404" i="50" s="1"/>
  <c r="B3445" i="50"/>
  <c r="D3445" i="50" s="1"/>
  <c r="E3421" i="50"/>
  <c r="B3440" i="50"/>
  <c r="D3440" i="50" s="1"/>
  <c r="E3416" i="50"/>
  <c r="B3438" i="50"/>
  <c r="D3438" i="50" s="1"/>
  <c r="E3414" i="50"/>
  <c r="E3431" i="50"/>
  <c r="B3455" i="50"/>
  <c r="D3455" i="50" s="1"/>
  <c r="E3406" i="50"/>
  <c r="V3406" i="50" s="1"/>
  <c r="B3430" i="50"/>
  <c r="D3430" i="50" s="1"/>
  <c r="B3481" i="50"/>
  <c r="D3481" i="50" s="1"/>
  <c r="E3457" i="50"/>
  <c r="V3457" i="50" s="1"/>
  <c r="B3456" i="50"/>
  <c r="D3456" i="50" s="1"/>
  <c r="E3432" i="50"/>
  <c r="B3436" i="50"/>
  <c r="D3436" i="50" s="1"/>
  <c r="E3412" i="50"/>
  <c r="E3401" i="50"/>
  <c r="B3425" i="50"/>
  <c r="D3425" i="50" s="1"/>
  <c r="E3442" i="50"/>
  <c r="B3466" i="50"/>
  <c r="D3466" i="50" s="1"/>
  <c r="B3474" i="50"/>
  <c r="D3474" i="50" s="1"/>
  <c r="E3450" i="50"/>
  <c r="F3450" i="50" s="1"/>
  <c r="B3424" i="50"/>
  <c r="D3424" i="50" s="1"/>
  <c r="E3400" i="50"/>
  <c r="B3443" i="50"/>
  <c r="D3443" i="50" s="1"/>
  <c r="E3419" i="50"/>
  <c r="V3396" i="50" l="1"/>
  <c r="U3396" i="50"/>
  <c r="G3396" i="50"/>
  <c r="F3396" i="50"/>
  <c r="V3458" i="50"/>
  <c r="U3458" i="50"/>
  <c r="G3458" i="50"/>
  <c r="F3458" i="50"/>
  <c r="G3441" i="50"/>
  <c r="F3441" i="50"/>
  <c r="U3441" i="50"/>
  <c r="V3412" i="50"/>
  <c r="U3412" i="50"/>
  <c r="G3412" i="50"/>
  <c r="V3403" i="50"/>
  <c r="F3403" i="50"/>
  <c r="G3403" i="50"/>
  <c r="D3420" i="50"/>
  <c r="B3444" i="50"/>
  <c r="E3420" i="50"/>
  <c r="G3406" i="50"/>
  <c r="F3406" i="50"/>
  <c r="U3406" i="50"/>
  <c r="V3441" i="50"/>
  <c r="V3419" i="50"/>
  <c r="F3419" i="50"/>
  <c r="U3419" i="50"/>
  <c r="G3419" i="50"/>
  <c r="V3432" i="50"/>
  <c r="U3432" i="50"/>
  <c r="G3432" i="50"/>
  <c r="F3432" i="50"/>
  <c r="V3431" i="50"/>
  <c r="U3431" i="50"/>
  <c r="G3431" i="50"/>
  <c r="F3431" i="50"/>
  <c r="U3404" i="50"/>
  <c r="V3404" i="50"/>
  <c r="F3404" i="50"/>
  <c r="G3457" i="50"/>
  <c r="F3457" i="50"/>
  <c r="U3457" i="50"/>
  <c r="F3414" i="50"/>
  <c r="V3414" i="50"/>
  <c r="G3414" i="50"/>
  <c r="V3405" i="50"/>
  <c r="U3405" i="50"/>
  <c r="F3405" i="50"/>
  <c r="V3400" i="50"/>
  <c r="F3400" i="50"/>
  <c r="U3400" i="50"/>
  <c r="G3391" i="50"/>
  <c r="F3391" i="50"/>
  <c r="U3391" i="50"/>
  <c r="U3423" i="50"/>
  <c r="G3423" i="50"/>
  <c r="V3423" i="50"/>
  <c r="V3416" i="50"/>
  <c r="U3416" i="50"/>
  <c r="G3416" i="50"/>
  <c r="F3416" i="50"/>
  <c r="U3398" i="50"/>
  <c r="V3398" i="50"/>
  <c r="G3398" i="50"/>
  <c r="F3398" i="50"/>
  <c r="D3415" i="50"/>
  <c r="B3439" i="50"/>
  <c r="E3415" i="50"/>
  <c r="U3442" i="50"/>
  <c r="G3442" i="50"/>
  <c r="F3442" i="50"/>
  <c r="V3442" i="50"/>
  <c r="U3403" i="50"/>
  <c r="G3400" i="50"/>
  <c r="V3391" i="50"/>
  <c r="V3389" i="50"/>
  <c r="U3389" i="50"/>
  <c r="F3389" i="50"/>
  <c r="V3421" i="50"/>
  <c r="U3421" i="50"/>
  <c r="F3421" i="50"/>
  <c r="V3435" i="50"/>
  <c r="F3435" i="50"/>
  <c r="G3435" i="50"/>
  <c r="U3435" i="50"/>
  <c r="U3414" i="50"/>
  <c r="G3450" i="50"/>
  <c r="V3450" i="50"/>
  <c r="U3450" i="50"/>
  <c r="U3401" i="50"/>
  <c r="F3401" i="50"/>
  <c r="G3401" i="50"/>
  <c r="V3401" i="50"/>
  <c r="F3412" i="50"/>
  <c r="B3460" i="50"/>
  <c r="D3460" i="50" s="1"/>
  <c r="E3436" i="50"/>
  <c r="F3436" i="50" s="1"/>
  <c r="E3456" i="50"/>
  <c r="B3480" i="50"/>
  <c r="D3480" i="50" s="1"/>
  <c r="B3454" i="50"/>
  <c r="D3454" i="50" s="1"/>
  <c r="E3430" i="50"/>
  <c r="U3430" i="50" s="1"/>
  <c r="E3445" i="50"/>
  <c r="F3445" i="50" s="1"/>
  <c r="B3469" i="50"/>
  <c r="D3469" i="50" s="1"/>
  <c r="B3479" i="50"/>
  <c r="D3479" i="50" s="1"/>
  <c r="E3455" i="50"/>
  <c r="F3455" i="50" s="1"/>
  <c r="E3422" i="50"/>
  <c r="B3446" i="50"/>
  <c r="D3446" i="50" s="1"/>
  <c r="E3438" i="50"/>
  <c r="B3462" i="50"/>
  <c r="D3462" i="50" s="1"/>
  <c r="E3413" i="50"/>
  <c r="F3413" i="50" s="1"/>
  <c r="B3437" i="50"/>
  <c r="D3437" i="50" s="1"/>
  <c r="E3429" i="50"/>
  <c r="B3453" i="50"/>
  <c r="D3453" i="50" s="1"/>
  <c r="B3452" i="50"/>
  <c r="D3452" i="50" s="1"/>
  <c r="E3428" i="50"/>
  <c r="F3428" i="50" s="1"/>
  <c r="B3483" i="50"/>
  <c r="D3483" i="50" s="1"/>
  <c r="E3459" i="50"/>
  <c r="E3474" i="50"/>
  <c r="B3498" i="50"/>
  <c r="D3498" i="50" s="1"/>
  <c r="B3467" i="50"/>
  <c r="D3467" i="50" s="1"/>
  <c r="E3443" i="50"/>
  <c r="E3481" i="50"/>
  <c r="B3505" i="50"/>
  <c r="D3505" i="50" s="1"/>
  <c r="E3440" i="50"/>
  <c r="B3464" i="50"/>
  <c r="D3464" i="50" s="1"/>
  <c r="E3465" i="50"/>
  <c r="V3465" i="50" s="1"/>
  <c r="B3489" i="50"/>
  <c r="D3489" i="50" s="1"/>
  <c r="B3490" i="50"/>
  <c r="D3490" i="50" s="1"/>
  <c r="E3466" i="50"/>
  <c r="B3451" i="50"/>
  <c r="D3451" i="50" s="1"/>
  <c r="E3427" i="50"/>
  <c r="E3447" i="50"/>
  <c r="B3471" i="50"/>
  <c r="D3471" i="50" s="1"/>
  <c r="E3424" i="50"/>
  <c r="B3448" i="50"/>
  <c r="D3448" i="50" s="1"/>
  <c r="B3506" i="50"/>
  <c r="D3506" i="50" s="1"/>
  <c r="E3482" i="50"/>
  <c r="B3449" i="50"/>
  <c r="D3449" i="50" s="1"/>
  <c r="E3425" i="50"/>
  <c r="V3425" i="50" s="1"/>
  <c r="U3466" i="50" l="1"/>
  <c r="G3466" i="50"/>
  <c r="V3466" i="50"/>
  <c r="V3429" i="50"/>
  <c r="U3429" i="50"/>
  <c r="G3429" i="50"/>
  <c r="V3456" i="50"/>
  <c r="G3456" i="50"/>
  <c r="F3456" i="50"/>
  <c r="U3456" i="50"/>
  <c r="V3436" i="50"/>
  <c r="U3436" i="50"/>
  <c r="G3436" i="50"/>
  <c r="V3415" i="50"/>
  <c r="U3415" i="50"/>
  <c r="G3415" i="50"/>
  <c r="F3415" i="50"/>
  <c r="F3429" i="50"/>
  <c r="V3440" i="50"/>
  <c r="G3440" i="50"/>
  <c r="U3440" i="50"/>
  <c r="F3440" i="50"/>
  <c r="F3438" i="50"/>
  <c r="V3438" i="50"/>
  <c r="U3438" i="50"/>
  <c r="G3438" i="50"/>
  <c r="F3430" i="50"/>
  <c r="V3430" i="50"/>
  <c r="G3430" i="50"/>
  <c r="U3482" i="50"/>
  <c r="G3482" i="50"/>
  <c r="V3482" i="50"/>
  <c r="U3481" i="50"/>
  <c r="G3481" i="50"/>
  <c r="V3481" i="50"/>
  <c r="F3481" i="50"/>
  <c r="F3422" i="50"/>
  <c r="V3422" i="50"/>
  <c r="G3422" i="50"/>
  <c r="U3422" i="50"/>
  <c r="V3420" i="50"/>
  <c r="U3420" i="50"/>
  <c r="G3420" i="50"/>
  <c r="F3466" i="50"/>
  <c r="U3443" i="50"/>
  <c r="F3443" i="50"/>
  <c r="V3443" i="50"/>
  <c r="G3443" i="50"/>
  <c r="V3455" i="50"/>
  <c r="U3455" i="50"/>
  <c r="G3455" i="50"/>
  <c r="D3444" i="50"/>
  <c r="B3468" i="50"/>
  <c r="E3444" i="50"/>
  <c r="F3420" i="50"/>
  <c r="V3413" i="50"/>
  <c r="U3413" i="50"/>
  <c r="G3413" i="50"/>
  <c r="D3439" i="50"/>
  <c r="B3463" i="50"/>
  <c r="E3439" i="50"/>
  <c r="V3424" i="50"/>
  <c r="G3424" i="50"/>
  <c r="U3424" i="50"/>
  <c r="F3424" i="50"/>
  <c r="F3447" i="50"/>
  <c r="V3447" i="50"/>
  <c r="U3447" i="50"/>
  <c r="G3447" i="50"/>
  <c r="V3474" i="50"/>
  <c r="U3474" i="50"/>
  <c r="G3474" i="50"/>
  <c r="F3474" i="50"/>
  <c r="V3445" i="50"/>
  <c r="U3445" i="50"/>
  <c r="G3445" i="50"/>
  <c r="G3428" i="50"/>
  <c r="V3428" i="50"/>
  <c r="U3428" i="50"/>
  <c r="U3465" i="50"/>
  <c r="G3465" i="50"/>
  <c r="F3465" i="50"/>
  <c r="G3425" i="50"/>
  <c r="F3425" i="50"/>
  <c r="U3425" i="50"/>
  <c r="U3427" i="50"/>
  <c r="F3427" i="50"/>
  <c r="V3427" i="50"/>
  <c r="G3427" i="50"/>
  <c r="U3459" i="50"/>
  <c r="F3459" i="50"/>
  <c r="V3459" i="50"/>
  <c r="G3459" i="50"/>
  <c r="F3482" i="50"/>
  <c r="B3495" i="50"/>
  <c r="D3495" i="50" s="1"/>
  <c r="E3471" i="50"/>
  <c r="E3454" i="50"/>
  <c r="B3478" i="50"/>
  <c r="D3478" i="50" s="1"/>
  <c r="B3504" i="50"/>
  <c r="D3504" i="50" s="1"/>
  <c r="E3480" i="50"/>
  <c r="B3470" i="50"/>
  <c r="D3470" i="50" s="1"/>
  <c r="E3446" i="50"/>
  <c r="U3446" i="50" s="1"/>
  <c r="B3493" i="50"/>
  <c r="D3493" i="50" s="1"/>
  <c r="E3469" i="50"/>
  <c r="G3469" i="50" s="1"/>
  <c r="B3491" i="50"/>
  <c r="D3491" i="50" s="1"/>
  <c r="E3467" i="50"/>
  <c r="E3479" i="50"/>
  <c r="B3503" i="50"/>
  <c r="D3503" i="50" s="1"/>
  <c r="B3522" i="50"/>
  <c r="D3522" i="50" s="1"/>
  <c r="E3498" i="50"/>
  <c r="E3449" i="50"/>
  <c r="B3473" i="50"/>
  <c r="D3473" i="50" s="1"/>
  <c r="B3475" i="50"/>
  <c r="D3475" i="50" s="1"/>
  <c r="E3451" i="50"/>
  <c r="B3507" i="50"/>
  <c r="D3507" i="50" s="1"/>
  <c r="E3483" i="50"/>
  <c r="B3477" i="50"/>
  <c r="D3477" i="50" s="1"/>
  <c r="E3453" i="50"/>
  <c r="G3453" i="50" s="1"/>
  <c r="B3484" i="50"/>
  <c r="D3484" i="50" s="1"/>
  <c r="E3460" i="50"/>
  <c r="E3490" i="50"/>
  <c r="B3514" i="50"/>
  <c r="D3514" i="50" s="1"/>
  <c r="B3513" i="50"/>
  <c r="D3513" i="50" s="1"/>
  <c r="E3489" i="50"/>
  <c r="V3489" i="50" s="1"/>
  <c r="B3476" i="50"/>
  <c r="D3476" i="50" s="1"/>
  <c r="E3452" i="50"/>
  <c r="B3461" i="50"/>
  <c r="D3461" i="50" s="1"/>
  <c r="E3437" i="50"/>
  <c r="G3437" i="50" s="1"/>
  <c r="B3488" i="50"/>
  <c r="D3488" i="50" s="1"/>
  <c r="E3464" i="50"/>
  <c r="B3486" i="50"/>
  <c r="D3486" i="50" s="1"/>
  <c r="E3462" i="50"/>
  <c r="U3462" i="50" s="1"/>
  <c r="E3506" i="50"/>
  <c r="B3530" i="50"/>
  <c r="D3530" i="50" s="1"/>
  <c r="B3472" i="50"/>
  <c r="D3472" i="50" s="1"/>
  <c r="E3448" i="50"/>
  <c r="B3529" i="50"/>
  <c r="D3529" i="50" s="1"/>
  <c r="E3505" i="50"/>
  <c r="F3444" i="50" l="1"/>
  <c r="U3464" i="50"/>
  <c r="G3464" i="50"/>
  <c r="F3464" i="50"/>
  <c r="F3454" i="50"/>
  <c r="V3454" i="50"/>
  <c r="U3454" i="50"/>
  <c r="G3454" i="50"/>
  <c r="V3452" i="50"/>
  <c r="U3452" i="50"/>
  <c r="G3452" i="50"/>
  <c r="V3471" i="50"/>
  <c r="U3471" i="50"/>
  <c r="G3471" i="50"/>
  <c r="F3471" i="50"/>
  <c r="U3480" i="50"/>
  <c r="F3480" i="50"/>
  <c r="G3480" i="50"/>
  <c r="D3468" i="50"/>
  <c r="E3468" i="50"/>
  <c r="B3492" i="50"/>
  <c r="G3505" i="50"/>
  <c r="U3505" i="50"/>
  <c r="F3505" i="50"/>
  <c r="V3505" i="50"/>
  <c r="V3444" i="50"/>
  <c r="U3444" i="50"/>
  <c r="G3444" i="50"/>
  <c r="U3437" i="50"/>
  <c r="F3437" i="50"/>
  <c r="V3437" i="50"/>
  <c r="V3448" i="50"/>
  <c r="U3448" i="50"/>
  <c r="G3448" i="50"/>
  <c r="F3448" i="50"/>
  <c r="U3449" i="50"/>
  <c r="G3449" i="50"/>
  <c r="F3449" i="50"/>
  <c r="F3479" i="50"/>
  <c r="V3479" i="50"/>
  <c r="U3479" i="50"/>
  <c r="G3479" i="50"/>
  <c r="V3439" i="50"/>
  <c r="U3439" i="50"/>
  <c r="G3439" i="50"/>
  <c r="V3464" i="50"/>
  <c r="V3460" i="50"/>
  <c r="U3460" i="50"/>
  <c r="G3460" i="50"/>
  <c r="V3467" i="50"/>
  <c r="F3467" i="50"/>
  <c r="U3467" i="50"/>
  <c r="G3467" i="50"/>
  <c r="D3463" i="50"/>
  <c r="E3463" i="50"/>
  <c r="B3487" i="50"/>
  <c r="V3449" i="50"/>
  <c r="V3480" i="50"/>
  <c r="V3490" i="50"/>
  <c r="U3490" i="50"/>
  <c r="G3490" i="50"/>
  <c r="F3490" i="50"/>
  <c r="F3439" i="50"/>
  <c r="F3460" i="50"/>
  <c r="V3498" i="50"/>
  <c r="G3498" i="50"/>
  <c r="F3498" i="50"/>
  <c r="U3498" i="50"/>
  <c r="V3453" i="50"/>
  <c r="U3453" i="50"/>
  <c r="F3453" i="50"/>
  <c r="V3469" i="50"/>
  <c r="U3469" i="50"/>
  <c r="F3469" i="50"/>
  <c r="V3451" i="50"/>
  <c r="F3451" i="50"/>
  <c r="U3451" i="50"/>
  <c r="G3451" i="50"/>
  <c r="U3489" i="50"/>
  <c r="G3489" i="50"/>
  <c r="F3489" i="50"/>
  <c r="V3506" i="50"/>
  <c r="U3506" i="50"/>
  <c r="G3506" i="50"/>
  <c r="F3506" i="50"/>
  <c r="G3462" i="50"/>
  <c r="F3462" i="50"/>
  <c r="V3462" i="50"/>
  <c r="V3483" i="50"/>
  <c r="F3483" i="50"/>
  <c r="U3483" i="50"/>
  <c r="G3483" i="50"/>
  <c r="F3446" i="50"/>
  <c r="V3446" i="50"/>
  <c r="G3446" i="50"/>
  <c r="F3452" i="50"/>
  <c r="B3497" i="50"/>
  <c r="D3497" i="50" s="1"/>
  <c r="E3473" i="50"/>
  <c r="E3470" i="50"/>
  <c r="B3494" i="50"/>
  <c r="D3494" i="50" s="1"/>
  <c r="B3538" i="50"/>
  <c r="D3538" i="50" s="1"/>
  <c r="E3514" i="50"/>
  <c r="B3527" i="50"/>
  <c r="D3527" i="50" s="1"/>
  <c r="E3503" i="50"/>
  <c r="U3503" i="50" s="1"/>
  <c r="E3461" i="50"/>
  <c r="F3461" i="50" s="1"/>
  <c r="B3485" i="50"/>
  <c r="D3485" i="50" s="1"/>
  <c r="B3499" i="50"/>
  <c r="D3499" i="50" s="1"/>
  <c r="E3475" i="50"/>
  <c r="B3554" i="50"/>
  <c r="D3554" i="50" s="1"/>
  <c r="E3530" i="50"/>
  <c r="B3502" i="50"/>
  <c r="D3502" i="50" s="1"/>
  <c r="E3478" i="50"/>
  <c r="B3500" i="50"/>
  <c r="D3500" i="50" s="1"/>
  <c r="E3476" i="50"/>
  <c r="B3515" i="50"/>
  <c r="D3515" i="50" s="1"/>
  <c r="E3491" i="50"/>
  <c r="B3508" i="50"/>
  <c r="D3508" i="50" s="1"/>
  <c r="E3484" i="50"/>
  <c r="E3513" i="50"/>
  <c r="B3537" i="50"/>
  <c r="D3537" i="50" s="1"/>
  <c r="E3522" i="50"/>
  <c r="B3546" i="50"/>
  <c r="D3546" i="50" s="1"/>
  <c r="E3472" i="50"/>
  <c r="B3496" i="50"/>
  <c r="D3496" i="50" s="1"/>
  <c r="E3477" i="50"/>
  <c r="F3477" i="50" s="1"/>
  <c r="B3501" i="50"/>
  <c r="D3501" i="50" s="1"/>
  <c r="E3493" i="50"/>
  <c r="F3493" i="50" s="1"/>
  <c r="B3517" i="50"/>
  <c r="D3517" i="50" s="1"/>
  <c r="E3488" i="50"/>
  <c r="B3512" i="50"/>
  <c r="D3512" i="50" s="1"/>
  <c r="B3531" i="50"/>
  <c r="D3531" i="50" s="1"/>
  <c r="E3507" i="50"/>
  <c r="V3507" i="50" s="1"/>
  <c r="E3504" i="50"/>
  <c r="B3528" i="50"/>
  <c r="D3528" i="50" s="1"/>
  <c r="E3529" i="50"/>
  <c r="B3553" i="50"/>
  <c r="D3553" i="50" s="1"/>
  <c r="E3486" i="50"/>
  <c r="B3510" i="50"/>
  <c r="D3510" i="50" s="1"/>
  <c r="E3495" i="50"/>
  <c r="B3519" i="50"/>
  <c r="D3519" i="50" s="1"/>
  <c r="G3504" i="50" l="1"/>
  <c r="V3504" i="50"/>
  <c r="U3504" i="50"/>
  <c r="F3504" i="50"/>
  <c r="F3470" i="50"/>
  <c r="G3470" i="50"/>
  <c r="U3470" i="50"/>
  <c r="V3470" i="50"/>
  <c r="V3514" i="50"/>
  <c r="G3514" i="50"/>
  <c r="F3514" i="50"/>
  <c r="U3514" i="50"/>
  <c r="V3476" i="50"/>
  <c r="U3476" i="50"/>
  <c r="G3476" i="50"/>
  <c r="G3473" i="50"/>
  <c r="F3473" i="50"/>
  <c r="U3473" i="50"/>
  <c r="G3488" i="50"/>
  <c r="V3488" i="50"/>
  <c r="U3488" i="50"/>
  <c r="F3488" i="50"/>
  <c r="D3487" i="50"/>
  <c r="B3511" i="50"/>
  <c r="E3487" i="50"/>
  <c r="V3463" i="50"/>
  <c r="U3463" i="50"/>
  <c r="G3463" i="50"/>
  <c r="F3463" i="50"/>
  <c r="V3493" i="50"/>
  <c r="U3493" i="50"/>
  <c r="G3493" i="50"/>
  <c r="U3530" i="50"/>
  <c r="G3530" i="50"/>
  <c r="F3530" i="50"/>
  <c r="V3530" i="50"/>
  <c r="F3507" i="50"/>
  <c r="U3507" i="50"/>
  <c r="G3507" i="50"/>
  <c r="V3477" i="50"/>
  <c r="U3477" i="50"/>
  <c r="G3477" i="50"/>
  <c r="F3476" i="50"/>
  <c r="D3492" i="50"/>
  <c r="B3516" i="50"/>
  <c r="E3492" i="50"/>
  <c r="V3495" i="50"/>
  <c r="U3495" i="50"/>
  <c r="G3495" i="50"/>
  <c r="F3495" i="50"/>
  <c r="U3475" i="50"/>
  <c r="F3475" i="50"/>
  <c r="V3475" i="50"/>
  <c r="G3475" i="50"/>
  <c r="V3468" i="50"/>
  <c r="U3468" i="50"/>
  <c r="G3468" i="50"/>
  <c r="F3491" i="50"/>
  <c r="U3491" i="50"/>
  <c r="V3491" i="50"/>
  <c r="G3491" i="50"/>
  <c r="V3472" i="50"/>
  <c r="G3472" i="50"/>
  <c r="U3472" i="50"/>
  <c r="F3472" i="50"/>
  <c r="F3468" i="50"/>
  <c r="V3484" i="50"/>
  <c r="F3484" i="50"/>
  <c r="U3484" i="50"/>
  <c r="V3478" i="50"/>
  <c r="G3478" i="50"/>
  <c r="F3478" i="50"/>
  <c r="G3486" i="50"/>
  <c r="F3486" i="50"/>
  <c r="V3486" i="50"/>
  <c r="U3486" i="50"/>
  <c r="V3529" i="50"/>
  <c r="U3529" i="50"/>
  <c r="G3529" i="50"/>
  <c r="F3529" i="50"/>
  <c r="V3522" i="50"/>
  <c r="U3522" i="50"/>
  <c r="G3522" i="50"/>
  <c r="F3522" i="50"/>
  <c r="G3461" i="50"/>
  <c r="V3461" i="50"/>
  <c r="U3461" i="50"/>
  <c r="G3484" i="50"/>
  <c r="G3503" i="50"/>
  <c r="F3503" i="50"/>
  <c r="V3503" i="50"/>
  <c r="U3478" i="50"/>
  <c r="V3513" i="50"/>
  <c r="F3513" i="50"/>
  <c r="U3513" i="50"/>
  <c r="G3513" i="50"/>
  <c r="V3473" i="50"/>
  <c r="B3570" i="50"/>
  <c r="D3570" i="50" s="1"/>
  <c r="E3546" i="50"/>
  <c r="E3538" i="50"/>
  <c r="B3562" i="50"/>
  <c r="D3562" i="50" s="1"/>
  <c r="B3534" i="50"/>
  <c r="D3534" i="50" s="1"/>
  <c r="E3510" i="50"/>
  <c r="U3510" i="50" s="1"/>
  <c r="B3541" i="50"/>
  <c r="D3541" i="50" s="1"/>
  <c r="E3517" i="50"/>
  <c r="G3517" i="50" s="1"/>
  <c r="B3509" i="50"/>
  <c r="D3509" i="50" s="1"/>
  <c r="E3485" i="50"/>
  <c r="G3485" i="50" s="1"/>
  <c r="B3518" i="50"/>
  <c r="D3518" i="50" s="1"/>
  <c r="E3494" i="50"/>
  <c r="B3539" i="50"/>
  <c r="D3539" i="50" s="1"/>
  <c r="E3515" i="50"/>
  <c r="B3552" i="50"/>
  <c r="D3552" i="50" s="1"/>
  <c r="E3528" i="50"/>
  <c r="B3525" i="50"/>
  <c r="D3525" i="50" s="1"/>
  <c r="E3501" i="50"/>
  <c r="G3501" i="50" s="1"/>
  <c r="B3524" i="50"/>
  <c r="D3524" i="50" s="1"/>
  <c r="E3500" i="50"/>
  <c r="B3577" i="50"/>
  <c r="D3577" i="50" s="1"/>
  <c r="E3553" i="50"/>
  <c r="B3543" i="50"/>
  <c r="D3543" i="50" s="1"/>
  <c r="E3519" i="50"/>
  <c r="B3561" i="50"/>
  <c r="D3561" i="50" s="1"/>
  <c r="E3537" i="50"/>
  <c r="B3520" i="50"/>
  <c r="D3520" i="50" s="1"/>
  <c r="E3496" i="50"/>
  <c r="E3502" i="50"/>
  <c r="B3526" i="50"/>
  <c r="D3526" i="50" s="1"/>
  <c r="B3523" i="50"/>
  <c r="D3523" i="50" s="1"/>
  <c r="E3499" i="50"/>
  <c r="U3499" i="50" s="1"/>
  <c r="E3497" i="50"/>
  <c r="B3521" i="50"/>
  <c r="D3521" i="50" s="1"/>
  <c r="B3555" i="50"/>
  <c r="D3555" i="50" s="1"/>
  <c r="E3531" i="50"/>
  <c r="B3536" i="50"/>
  <c r="D3536" i="50" s="1"/>
  <c r="E3512" i="50"/>
  <c r="B3532" i="50"/>
  <c r="D3532" i="50" s="1"/>
  <c r="E3508" i="50"/>
  <c r="E3554" i="50"/>
  <c r="B3578" i="50"/>
  <c r="D3578" i="50" s="1"/>
  <c r="E3527" i="50"/>
  <c r="B3551" i="50"/>
  <c r="D3551" i="50" s="1"/>
  <c r="F3500" i="50" l="1"/>
  <c r="U3500" i="50"/>
  <c r="V3500" i="50"/>
  <c r="V3538" i="50"/>
  <c r="U3538" i="50"/>
  <c r="G3538" i="50"/>
  <c r="F3538" i="50"/>
  <c r="V3512" i="50"/>
  <c r="U3512" i="50"/>
  <c r="G3512" i="50"/>
  <c r="F3512" i="50"/>
  <c r="G3546" i="50"/>
  <c r="F3546" i="50"/>
  <c r="U3546" i="50"/>
  <c r="V3546" i="50"/>
  <c r="U3553" i="50"/>
  <c r="F3553" i="50"/>
  <c r="V3553" i="50"/>
  <c r="G3553" i="50"/>
  <c r="F3487" i="50"/>
  <c r="V3487" i="50"/>
  <c r="G3487" i="50"/>
  <c r="D3511" i="50"/>
  <c r="E3511" i="50"/>
  <c r="B3535" i="50"/>
  <c r="U3487" i="50"/>
  <c r="U3497" i="50"/>
  <c r="G3497" i="50"/>
  <c r="V3497" i="50"/>
  <c r="F3497" i="50"/>
  <c r="V3515" i="50"/>
  <c r="F3515" i="50"/>
  <c r="G3515" i="50"/>
  <c r="G3500" i="50"/>
  <c r="V3528" i="50"/>
  <c r="U3528" i="50"/>
  <c r="F3528" i="50"/>
  <c r="G3528" i="50"/>
  <c r="U3496" i="50"/>
  <c r="V3496" i="50"/>
  <c r="G3496" i="50"/>
  <c r="F3496" i="50"/>
  <c r="V3494" i="50"/>
  <c r="G3494" i="50"/>
  <c r="F3494" i="50"/>
  <c r="V3531" i="50"/>
  <c r="F3531" i="50"/>
  <c r="G3531" i="50"/>
  <c r="V3499" i="50"/>
  <c r="F3499" i="50"/>
  <c r="G3499" i="50"/>
  <c r="G3502" i="50"/>
  <c r="V3502" i="50"/>
  <c r="U3502" i="50"/>
  <c r="F3502" i="50"/>
  <c r="U3515" i="50"/>
  <c r="V3501" i="50"/>
  <c r="U3501" i="50"/>
  <c r="F3501" i="50"/>
  <c r="V3485" i="50"/>
  <c r="U3485" i="50"/>
  <c r="F3485" i="50"/>
  <c r="V3554" i="50"/>
  <c r="U3554" i="50"/>
  <c r="G3554" i="50"/>
  <c r="F3554" i="50"/>
  <c r="U3531" i="50"/>
  <c r="G3537" i="50"/>
  <c r="U3537" i="50"/>
  <c r="F3537" i="50"/>
  <c r="V3537" i="50"/>
  <c r="V3519" i="50"/>
  <c r="F3519" i="50"/>
  <c r="U3519" i="50"/>
  <c r="G3519" i="50"/>
  <c r="F3517" i="50"/>
  <c r="V3517" i="50"/>
  <c r="U3517" i="50"/>
  <c r="V3492" i="50"/>
  <c r="U3492" i="50"/>
  <c r="G3492" i="50"/>
  <c r="F3492" i="50"/>
  <c r="V3510" i="50"/>
  <c r="G3510" i="50"/>
  <c r="F3510" i="50"/>
  <c r="G3527" i="50"/>
  <c r="F3527" i="50"/>
  <c r="V3527" i="50"/>
  <c r="U3527" i="50"/>
  <c r="V3508" i="50"/>
  <c r="U3508" i="50"/>
  <c r="G3508" i="50"/>
  <c r="F3508" i="50"/>
  <c r="D3516" i="50"/>
  <c r="B3540" i="50"/>
  <c r="E3516" i="50"/>
  <c r="U3494" i="50"/>
  <c r="E3520" i="50"/>
  <c r="B3544" i="50"/>
  <c r="D3544" i="50" s="1"/>
  <c r="B3547" i="50"/>
  <c r="D3547" i="50" s="1"/>
  <c r="E3523" i="50"/>
  <c r="E3541" i="50"/>
  <c r="B3565" i="50"/>
  <c r="D3565" i="50" s="1"/>
  <c r="B3579" i="50"/>
  <c r="D3579" i="50" s="1"/>
  <c r="E3555" i="50"/>
  <c r="V3555" i="50" s="1"/>
  <c r="B3548" i="50"/>
  <c r="D3548" i="50" s="1"/>
  <c r="E3524" i="50"/>
  <c r="E3518" i="50"/>
  <c r="B3542" i="50"/>
  <c r="D3542" i="50" s="1"/>
  <c r="E3534" i="50"/>
  <c r="B3558" i="50"/>
  <c r="D3558" i="50" s="1"/>
  <c r="B3563" i="50"/>
  <c r="D3563" i="50" s="1"/>
  <c r="E3539" i="50"/>
  <c r="V3539" i="50" s="1"/>
  <c r="B3550" i="50"/>
  <c r="D3550" i="50" s="1"/>
  <c r="E3526" i="50"/>
  <c r="U3526" i="50" s="1"/>
  <c r="E3561" i="50"/>
  <c r="B3585" i="50"/>
  <c r="D3585" i="50" s="1"/>
  <c r="E3525" i="50"/>
  <c r="B3549" i="50"/>
  <c r="D3549" i="50" s="1"/>
  <c r="E3536" i="50"/>
  <c r="B3560" i="50"/>
  <c r="D3560" i="50" s="1"/>
  <c r="B3545" i="50"/>
  <c r="D3545" i="50" s="1"/>
  <c r="E3521" i="50"/>
  <c r="B3575" i="50"/>
  <c r="D3575" i="50" s="1"/>
  <c r="E3551" i="50"/>
  <c r="E3543" i="50"/>
  <c r="B3567" i="50"/>
  <c r="D3567" i="50" s="1"/>
  <c r="E3552" i="50"/>
  <c r="B3576" i="50"/>
  <c r="D3576" i="50" s="1"/>
  <c r="B3586" i="50"/>
  <c r="D3586" i="50" s="1"/>
  <c r="E3562" i="50"/>
  <c r="B3602" i="50"/>
  <c r="D3602" i="50" s="1"/>
  <c r="E3578" i="50"/>
  <c r="E3577" i="50"/>
  <c r="B3601" i="50"/>
  <c r="D3601" i="50" s="1"/>
  <c r="B3556" i="50"/>
  <c r="D3556" i="50" s="1"/>
  <c r="E3532" i="50"/>
  <c r="E3509" i="50"/>
  <c r="F3509" i="50" s="1"/>
  <c r="B3533" i="50"/>
  <c r="D3533" i="50" s="1"/>
  <c r="E3570" i="50"/>
  <c r="B3594" i="50"/>
  <c r="D3594" i="50" s="1"/>
  <c r="V3541" i="50" l="1"/>
  <c r="U3541" i="50"/>
  <c r="G3541" i="50"/>
  <c r="U3523" i="50"/>
  <c r="F3523" i="50"/>
  <c r="G3523" i="50"/>
  <c r="U3561" i="50"/>
  <c r="V3561" i="50"/>
  <c r="G3561" i="50"/>
  <c r="F3561" i="50"/>
  <c r="V3523" i="50"/>
  <c r="V3526" i="50"/>
  <c r="G3526" i="50"/>
  <c r="F3526" i="50"/>
  <c r="D3535" i="50"/>
  <c r="B3559" i="50"/>
  <c r="E3535" i="50"/>
  <c r="U3555" i="50"/>
  <c r="F3555" i="50"/>
  <c r="G3555" i="50"/>
  <c r="V3578" i="50"/>
  <c r="U3578" i="50"/>
  <c r="G3578" i="50"/>
  <c r="F3578" i="50"/>
  <c r="U3552" i="50"/>
  <c r="F3552" i="50"/>
  <c r="G3552" i="50"/>
  <c r="V3552" i="50"/>
  <c r="G3520" i="50"/>
  <c r="V3520" i="50"/>
  <c r="U3520" i="50"/>
  <c r="F3520" i="50"/>
  <c r="F3511" i="50"/>
  <c r="V3511" i="50"/>
  <c r="U3511" i="50"/>
  <c r="G3511" i="50"/>
  <c r="U3539" i="50"/>
  <c r="F3539" i="50"/>
  <c r="G3539" i="50"/>
  <c r="V3543" i="50"/>
  <c r="U3543" i="50"/>
  <c r="G3543" i="50"/>
  <c r="F3543" i="50"/>
  <c r="F3516" i="50"/>
  <c r="U3516" i="50"/>
  <c r="G3516" i="50"/>
  <c r="G3551" i="50"/>
  <c r="F3551" i="50"/>
  <c r="V3551" i="50"/>
  <c r="U3551" i="50"/>
  <c r="D3540" i="50"/>
  <c r="B3564" i="50"/>
  <c r="E3540" i="50"/>
  <c r="V3525" i="50"/>
  <c r="U3525" i="50"/>
  <c r="G3525" i="50"/>
  <c r="V3534" i="50"/>
  <c r="U3534" i="50"/>
  <c r="F3534" i="50"/>
  <c r="G3534" i="50"/>
  <c r="V3516" i="50"/>
  <c r="F3562" i="50"/>
  <c r="U3562" i="50"/>
  <c r="G3562" i="50"/>
  <c r="V3562" i="50"/>
  <c r="U3532" i="50"/>
  <c r="G3532" i="50"/>
  <c r="F3532" i="50"/>
  <c r="V3532" i="50"/>
  <c r="U3521" i="50"/>
  <c r="V3521" i="50"/>
  <c r="G3521" i="50"/>
  <c r="F3521" i="50"/>
  <c r="F3541" i="50"/>
  <c r="F3525" i="50"/>
  <c r="V3570" i="50"/>
  <c r="U3570" i="50"/>
  <c r="G3570" i="50"/>
  <c r="F3570" i="50"/>
  <c r="G3518" i="50"/>
  <c r="V3518" i="50"/>
  <c r="U3518" i="50"/>
  <c r="F3518" i="50"/>
  <c r="V3524" i="50"/>
  <c r="U3524" i="50"/>
  <c r="G3524" i="50"/>
  <c r="F3524" i="50"/>
  <c r="V3509" i="50"/>
  <c r="U3509" i="50"/>
  <c r="G3509" i="50"/>
  <c r="U3577" i="50"/>
  <c r="V3577" i="50"/>
  <c r="G3577" i="50"/>
  <c r="F3577" i="50"/>
  <c r="V3536" i="50"/>
  <c r="U3536" i="50"/>
  <c r="F3536" i="50"/>
  <c r="G3536" i="50"/>
  <c r="E3575" i="50"/>
  <c r="B3599" i="50"/>
  <c r="D3599" i="50" s="1"/>
  <c r="B3584" i="50"/>
  <c r="D3584" i="50" s="1"/>
  <c r="E3560" i="50"/>
  <c r="E3550" i="50"/>
  <c r="B3574" i="50"/>
  <c r="D3574" i="50" s="1"/>
  <c r="E3602" i="50"/>
  <c r="B3626" i="50"/>
  <c r="D3626" i="50" s="1"/>
  <c r="B3580" i="50"/>
  <c r="D3580" i="50" s="1"/>
  <c r="E3556" i="50"/>
  <c r="E3586" i="50"/>
  <c r="B3610" i="50"/>
  <c r="D3610" i="50" s="1"/>
  <c r="B3625" i="50"/>
  <c r="D3625" i="50" s="1"/>
  <c r="E3601" i="50"/>
  <c r="B3600" i="50"/>
  <c r="D3600" i="50" s="1"/>
  <c r="E3576" i="50"/>
  <c r="B3566" i="50"/>
  <c r="D3566" i="50" s="1"/>
  <c r="E3542" i="50"/>
  <c r="B3573" i="50"/>
  <c r="D3573" i="50" s="1"/>
  <c r="E3549" i="50"/>
  <c r="B3591" i="50"/>
  <c r="D3591" i="50" s="1"/>
  <c r="E3567" i="50"/>
  <c r="B3571" i="50"/>
  <c r="D3571" i="50" s="1"/>
  <c r="E3547" i="50"/>
  <c r="U3547" i="50" s="1"/>
  <c r="B3568" i="50"/>
  <c r="D3568" i="50" s="1"/>
  <c r="E3544" i="50"/>
  <c r="B3609" i="50"/>
  <c r="D3609" i="50" s="1"/>
  <c r="E3585" i="50"/>
  <c r="B3587" i="50"/>
  <c r="D3587" i="50" s="1"/>
  <c r="E3563" i="50"/>
  <c r="U3563" i="50" s="1"/>
  <c r="B3603" i="50"/>
  <c r="D3603" i="50" s="1"/>
  <c r="E3579" i="50"/>
  <c r="E3545" i="50"/>
  <c r="B3569" i="50"/>
  <c r="D3569" i="50" s="1"/>
  <c r="B3618" i="50"/>
  <c r="D3618" i="50" s="1"/>
  <c r="E3594" i="50"/>
  <c r="B3557" i="50"/>
  <c r="D3557" i="50" s="1"/>
  <c r="E3533" i="50"/>
  <c r="G3533" i="50" s="1"/>
  <c r="B3582" i="50"/>
  <c r="D3582" i="50" s="1"/>
  <c r="E3558" i="50"/>
  <c r="U3558" i="50" s="1"/>
  <c r="B3572" i="50"/>
  <c r="D3572" i="50" s="1"/>
  <c r="E3548" i="50"/>
  <c r="B3589" i="50"/>
  <c r="D3589" i="50" s="1"/>
  <c r="E3565" i="50"/>
  <c r="U3576" i="50" l="1"/>
  <c r="G3576" i="50"/>
  <c r="F3576" i="50"/>
  <c r="V3576" i="50"/>
  <c r="V3560" i="50"/>
  <c r="U3560" i="50"/>
  <c r="F3560" i="50"/>
  <c r="G3560" i="50"/>
  <c r="V3601" i="50"/>
  <c r="G3601" i="50"/>
  <c r="U3601" i="50"/>
  <c r="F3601" i="50"/>
  <c r="V3545" i="50"/>
  <c r="G3545" i="50"/>
  <c r="F3545" i="50"/>
  <c r="U3545" i="50"/>
  <c r="V3575" i="50"/>
  <c r="U3575" i="50"/>
  <c r="G3575" i="50"/>
  <c r="F3575" i="50"/>
  <c r="V3579" i="50"/>
  <c r="F3579" i="50"/>
  <c r="G3579" i="50"/>
  <c r="U3579" i="50"/>
  <c r="F3540" i="50"/>
  <c r="V3540" i="50"/>
  <c r="U3540" i="50"/>
  <c r="G3540" i="50"/>
  <c r="V3586" i="50"/>
  <c r="U3586" i="50"/>
  <c r="G3586" i="50"/>
  <c r="F3586" i="50"/>
  <c r="D3564" i="50"/>
  <c r="E3564" i="50"/>
  <c r="B3588" i="50"/>
  <c r="F3544" i="50"/>
  <c r="V3544" i="50"/>
  <c r="U3544" i="50"/>
  <c r="G3544" i="50"/>
  <c r="V3542" i="50"/>
  <c r="G3542" i="50"/>
  <c r="F3542" i="50"/>
  <c r="G3550" i="50"/>
  <c r="F3550" i="50"/>
  <c r="U3550" i="50"/>
  <c r="V3550" i="50"/>
  <c r="V3565" i="50"/>
  <c r="U3565" i="50"/>
  <c r="F3565" i="50"/>
  <c r="V3547" i="50"/>
  <c r="F3547" i="50"/>
  <c r="G3547" i="50"/>
  <c r="V3556" i="50"/>
  <c r="U3556" i="50"/>
  <c r="G3556" i="50"/>
  <c r="F3556" i="50"/>
  <c r="U3542" i="50"/>
  <c r="V3585" i="50"/>
  <c r="G3585" i="50"/>
  <c r="F3585" i="50"/>
  <c r="U3585" i="50"/>
  <c r="G3535" i="50"/>
  <c r="F3535" i="50"/>
  <c r="V3535" i="50"/>
  <c r="U3535" i="50"/>
  <c r="V3558" i="50"/>
  <c r="G3558" i="50"/>
  <c r="F3558" i="50"/>
  <c r="V3533" i="50"/>
  <c r="U3533" i="50"/>
  <c r="F3533" i="50"/>
  <c r="D3559" i="50"/>
  <c r="E3559" i="50"/>
  <c r="B3583" i="50"/>
  <c r="G3594" i="50"/>
  <c r="F3594" i="50"/>
  <c r="U3594" i="50"/>
  <c r="V3594" i="50"/>
  <c r="V3549" i="50"/>
  <c r="U3549" i="50"/>
  <c r="F3549" i="50"/>
  <c r="G3565" i="50"/>
  <c r="V3563" i="50"/>
  <c r="F3563" i="50"/>
  <c r="G3563" i="50"/>
  <c r="F3548" i="50"/>
  <c r="U3548" i="50"/>
  <c r="G3548" i="50"/>
  <c r="V3548" i="50"/>
  <c r="G3567" i="50"/>
  <c r="F3567" i="50"/>
  <c r="V3567" i="50"/>
  <c r="U3567" i="50"/>
  <c r="U3602" i="50"/>
  <c r="G3602" i="50"/>
  <c r="F3602" i="50"/>
  <c r="V3602" i="50"/>
  <c r="G3549" i="50"/>
  <c r="B3598" i="50"/>
  <c r="D3598" i="50" s="1"/>
  <c r="E3574" i="50"/>
  <c r="E3600" i="50"/>
  <c r="B3624" i="50"/>
  <c r="D3624" i="50" s="1"/>
  <c r="B3596" i="50"/>
  <c r="D3596" i="50" s="1"/>
  <c r="E3572" i="50"/>
  <c r="E3591" i="50"/>
  <c r="B3615" i="50"/>
  <c r="D3615" i="50" s="1"/>
  <c r="E3625" i="50"/>
  <c r="B3649" i="50"/>
  <c r="D3649" i="50" s="1"/>
  <c r="B3634" i="50"/>
  <c r="D3634" i="50" s="1"/>
  <c r="E3610" i="50"/>
  <c r="E3568" i="50"/>
  <c r="B3592" i="50"/>
  <c r="D3592" i="50" s="1"/>
  <c r="E3566" i="50"/>
  <c r="B3590" i="50"/>
  <c r="D3590" i="50" s="1"/>
  <c r="B3604" i="50"/>
  <c r="D3604" i="50" s="1"/>
  <c r="E3580" i="50"/>
  <c r="E3582" i="50"/>
  <c r="B3606" i="50"/>
  <c r="D3606" i="50" s="1"/>
  <c r="B3650" i="50"/>
  <c r="D3650" i="50" s="1"/>
  <c r="E3626" i="50"/>
  <c r="E3584" i="50"/>
  <c r="B3608" i="50"/>
  <c r="D3608" i="50" s="1"/>
  <c r="B3623" i="50"/>
  <c r="D3623" i="50" s="1"/>
  <c r="E3599" i="50"/>
  <c r="E3557" i="50"/>
  <c r="F3557" i="50" s="1"/>
  <c r="B3581" i="50"/>
  <c r="D3581" i="50" s="1"/>
  <c r="E3589" i="50"/>
  <c r="F3589" i="50" s="1"/>
  <c r="B3613" i="50"/>
  <c r="D3613" i="50" s="1"/>
  <c r="E3618" i="50"/>
  <c r="B3642" i="50"/>
  <c r="D3642" i="50" s="1"/>
  <c r="E3609" i="50"/>
  <c r="B3633" i="50"/>
  <c r="D3633" i="50" s="1"/>
  <c r="E3573" i="50"/>
  <c r="B3597" i="50"/>
  <c r="D3597" i="50" s="1"/>
  <c r="B3627" i="50"/>
  <c r="D3627" i="50" s="1"/>
  <c r="E3603" i="50"/>
  <c r="V3603" i="50" s="1"/>
  <c r="B3611" i="50"/>
  <c r="D3611" i="50" s="1"/>
  <c r="E3587" i="50"/>
  <c r="B3593" i="50"/>
  <c r="D3593" i="50" s="1"/>
  <c r="E3569" i="50"/>
  <c r="B3595" i="50"/>
  <c r="D3595" i="50" s="1"/>
  <c r="E3571" i="50"/>
  <c r="V3571" i="50" s="1"/>
  <c r="G3582" i="50" l="1"/>
  <c r="F3582" i="50"/>
  <c r="V3582" i="50"/>
  <c r="U3582" i="50"/>
  <c r="D3583" i="50"/>
  <c r="B3607" i="50"/>
  <c r="E3583" i="50"/>
  <c r="V3573" i="50"/>
  <c r="U3573" i="50"/>
  <c r="G3573" i="50"/>
  <c r="V3559" i="50"/>
  <c r="U3559" i="50"/>
  <c r="G3559" i="50"/>
  <c r="F3559" i="50"/>
  <c r="V3591" i="50"/>
  <c r="U3591" i="50"/>
  <c r="G3591" i="50"/>
  <c r="F3591" i="50"/>
  <c r="V3572" i="50"/>
  <c r="U3572" i="50"/>
  <c r="G3572" i="50"/>
  <c r="F3572" i="50"/>
  <c r="G3600" i="50"/>
  <c r="V3600" i="50"/>
  <c r="U3600" i="50"/>
  <c r="F3600" i="50"/>
  <c r="V3574" i="50"/>
  <c r="G3574" i="50"/>
  <c r="F3574" i="50"/>
  <c r="U3574" i="50"/>
  <c r="V3557" i="50"/>
  <c r="U3557" i="50"/>
  <c r="G3557" i="50"/>
  <c r="F3568" i="50"/>
  <c r="G3568" i="50"/>
  <c r="U3568" i="50"/>
  <c r="V3568" i="50"/>
  <c r="V3566" i="50"/>
  <c r="U3566" i="50"/>
  <c r="F3566" i="50"/>
  <c r="G3566" i="50"/>
  <c r="U3610" i="50"/>
  <c r="G3610" i="50"/>
  <c r="F3610" i="50"/>
  <c r="V3610" i="50"/>
  <c r="G3599" i="50"/>
  <c r="F3599" i="50"/>
  <c r="V3599" i="50"/>
  <c r="U3599" i="50"/>
  <c r="U3587" i="50"/>
  <c r="F3587" i="50"/>
  <c r="G3587" i="50"/>
  <c r="V3589" i="50"/>
  <c r="U3589" i="50"/>
  <c r="G3589" i="50"/>
  <c r="F3573" i="50"/>
  <c r="V3587" i="50"/>
  <c r="D3588" i="50"/>
  <c r="B3612" i="50"/>
  <c r="E3588" i="50"/>
  <c r="V3609" i="50"/>
  <c r="G3609" i="50"/>
  <c r="F3609" i="50"/>
  <c r="U3609" i="50"/>
  <c r="U3571" i="50"/>
  <c r="F3571" i="50"/>
  <c r="G3571" i="50"/>
  <c r="U3603" i="50"/>
  <c r="F3603" i="50"/>
  <c r="G3603" i="50"/>
  <c r="V3564" i="50"/>
  <c r="F3564" i="50"/>
  <c r="U3564" i="50"/>
  <c r="G3564" i="50"/>
  <c r="G3580" i="50"/>
  <c r="F3580" i="50"/>
  <c r="U3580" i="50"/>
  <c r="V3580" i="50"/>
  <c r="V3584" i="50"/>
  <c r="U3584" i="50"/>
  <c r="F3584" i="50"/>
  <c r="G3584" i="50"/>
  <c r="V3625" i="50"/>
  <c r="G3625" i="50"/>
  <c r="F3625" i="50"/>
  <c r="U3625" i="50"/>
  <c r="V3618" i="50"/>
  <c r="U3618" i="50"/>
  <c r="G3618" i="50"/>
  <c r="F3618" i="50"/>
  <c r="U3569" i="50"/>
  <c r="F3569" i="50"/>
  <c r="V3569" i="50"/>
  <c r="G3569" i="50"/>
  <c r="U3626" i="50"/>
  <c r="G3626" i="50"/>
  <c r="F3626" i="50"/>
  <c r="V3626" i="50"/>
  <c r="B3621" i="50"/>
  <c r="D3621" i="50" s="1"/>
  <c r="E3597" i="50"/>
  <c r="B3632" i="50"/>
  <c r="D3632" i="50" s="1"/>
  <c r="E3608" i="50"/>
  <c r="B3614" i="50"/>
  <c r="D3614" i="50" s="1"/>
  <c r="E3590" i="50"/>
  <c r="U3590" i="50" s="1"/>
  <c r="B3648" i="50"/>
  <c r="D3648" i="50" s="1"/>
  <c r="E3624" i="50"/>
  <c r="B3605" i="50"/>
  <c r="D3605" i="50" s="1"/>
  <c r="E3581" i="50"/>
  <c r="B3616" i="50"/>
  <c r="D3616" i="50" s="1"/>
  <c r="E3592" i="50"/>
  <c r="E3650" i="50"/>
  <c r="B3674" i="50"/>
  <c r="D3674" i="50" s="1"/>
  <c r="E3598" i="50"/>
  <c r="B3622" i="50"/>
  <c r="D3622" i="50" s="1"/>
  <c r="B3619" i="50"/>
  <c r="D3619" i="50" s="1"/>
  <c r="E3595" i="50"/>
  <c r="B3635" i="50"/>
  <c r="D3635" i="50" s="1"/>
  <c r="E3611" i="50"/>
  <c r="U3611" i="50" s="1"/>
  <c r="E3593" i="50"/>
  <c r="B3617" i="50"/>
  <c r="D3617" i="50" s="1"/>
  <c r="B3673" i="50"/>
  <c r="D3673" i="50" s="1"/>
  <c r="E3649" i="50"/>
  <c r="V3649" i="50" s="1"/>
  <c r="B3666" i="50"/>
  <c r="D3666" i="50" s="1"/>
  <c r="E3642" i="50"/>
  <c r="B3651" i="50"/>
  <c r="D3651" i="50" s="1"/>
  <c r="E3627" i="50"/>
  <c r="U3627" i="50" s="1"/>
  <c r="B3657" i="50"/>
  <c r="D3657" i="50" s="1"/>
  <c r="E3633" i="50"/>
  <c r="V3633" i="50" s="1"/>
  <c r="B3639" i="50"/>
  <c r="D3639" i="50" s="1"/>
  <c r="E3615" i="50"/>
  <c r="B3637" i="50"/>
  <c r="D3637" i="50" s="1"/>
  <c r="E3613" i="50"/>
  <c r="G3613" i="50" s="1"/>
  <c r="E3623" i="50"/>
  <c r="B3647" i="50"/>
  <c r="D3647" i="50" s="1"/>
  <c r="E3634" i="50"/>
  <c r="B3658" i="50"/>
  <c r="D3658" i="50" s="1"/>
  <c r="B3620" i="50"/>
  <c r="D3620" i="50" s="1"/>
  <c r="E3596" i="50"/>
  <c r="B3628" i="50"/>
  <c r="D3628" i="50" s="1"/>
  <c r="E3604" i="50"/>
  <c r="B3630" i="50"/>
  <c r="D3630" i="50" s="1"/>
  <c r="E3606" i="50"/>
  <c r="U3606" i="50" s="1"/>
  <c r="V3595" i="50" l="1"/>
  <c r="F3595" i="50"/>
  <c r="G3595" i="50"/>
  <c r="V3597" i="50"/>
  <c r="U3597" i="50"/>
  <c r="F3597" i="50"/>
  <c r="G3615" i="50"/>
  <c r="F3615" i="50"/>
  <c r="V3615" i="50"/>
  <c r="U3615" i="50"/>
  <c r="U3633" i="50"/>
  <c r="F3633" i="50"/>
  <c r="G3633" i="50"/>
  <c r="G3598" i="50"/>
  <c r="V3598" i="50"/>
  <c r="U3598" i="50"/>
  <c r="F3598" i="50"/>
  <c r="V3650" i="50"/>
  <c r="U3650" i="50"/>
  <c r="G3650" i="50"/>
  <c r="F3650" i="50"/>
  <c r="U3592" i="50"/>
  <c r="V3592" i="50"/>
  <c r="G3592" i="50"/>
  <c r="F3592" i="50"/>
  <c r="G3597" i="50"/>
  <c r="V3611" i="50"/>
  <c r="F3611" i="50"/>
  <c r="G3611" i="50"/>
  <c r="V3583" i="50"/>
  <c r="U3583" i="50"/>
  <c r="G3583" i="50"/>
  <c r="F3583" i="50"/>
  <c r="V3608" i="50"/>
  <c r="G3608" i="50"/>
  <c r="F3608" i="50"/>
  <c r="U3608" i="50"/>
  <c r="V3604" i="50"/>
  <c r="U3604" i="50"/>
  <c r="G3604" i="50"/>
  <c r="F3604" i="50"/>
  <c r="F3596" i="50"/>
  <c r="U3596" i="50"/>
  <c r="G3596" i="50"/>
  <c r="V3596" i="50"/>
  <c r="U3649" i="50"/>
  <c r="F3649" i="50"/>
  <c r="G3649" i="50"/>
  <c r="V3581" i="50"/>
  <c r="U3581" i="50"/>
  <c r="F3581" i="50"/>
  <c r="U3595" i="50"/>
  <c r="D3607" i="50"/>
  <c r="E3607" i="50"/>
  <c r="B3631" i="50"/>
  <c r="U3613" i="50"/>
  <c r="F3613" i="50"/>
  <c r="V3613" i="50"/>
  <c r="V3624" i="50"/>
  <c r="U3624" i="50"/>
  <c r="G3624" i="50"/>
  <c r="F3624" i="50"/>
  <c r="G3606" i="50"/>
  <c r="F3606" i="50"/>
  <c r="V3606" i="50"/>
  <c r="F3642" i="50"/>
  <c r="V3642" i="50"/>
  <c r="G3642" i="50"/>
  <c r="U3642" i="50"/>
  <c r="V3634" i="50"/>
  <c r="U3634" i="50"/>
  <c r="G3634" i="50"/>
  <c r="F3634" i="50"/>
  <c r="V3593" i="50"/>
  <c r="G3593" i="50"/>
  <c r="F3593" i="50"/>
  <c r="U3593" i="50"/>
  <c r="V3627" i="50"/>
  <c r="F3627" i="50"/>
  <c r="G3627" i="50"/>
  <c r="V3590" i="50"/>
  <c r="G3590" i="50"/>
  <c r="F3590" i="50"/>
  <c r="V3588" i="50"/>
  <c r="U3588" i="50"/>
  <c r="G3588" i="50"/>
  <c r="F3588" i="50"/>
  <c r="G3623" i="50"/>
  <c r="F3623" i="50"/>
  <c r="V3623" i="50"/>
  <c r="U3623" i="50"/>
  <c r="D3612" i="50"/>
  <c r="B3636" i="50"/>
  <c r="E3612" i="50"/>
  <c r="G3581" i="50"/>
  <c r="E3648" i="50"/>
  <c r="B3672" i="50"/>
  <c r="D3672" i="50" s="1"/>
  <c r="E3616" i="50"/>
  <c r="B3640" i="50"/>
  <c r="D3640" i="50" s="1"/>
  <c r="B3644" i="50"/>
  <c r="D3644" i="50" s="1"/>
  <c r="E3620" i="50"/>
  <c r="E3605" i="50"/>
  <c r="F3605" i="50" s="1"/>
  <c r="B3629" i="50"/>
  <c r="D3629" i="50" s="1"/>
  <c r="E3614" i="50"/>
  <c r="B3638" i="50"/>
  <c r="D3638" i="50" s="1"/>
  <c r="E3657" i="50"/>
  <c r="B3681" i="50"/>
  <c r="D3681" i="50" s="1"/>
  <c r="B3671" i="50"/>
  <c r="D3671" i="50" s="1"/>
  <c r="E3647" i="50"/>
  <c r="E3639" i="50"/>
  <c r="B3663" i="50"/>
  <c r="D3663" i="50" s="1"/>
  <c r="B3659" i="50"/>
  <c r="D3659" i="50" s="1"/>
  <c r="E3635" i="50"/>
  <c r="E3666" i="50"/>
  <c r="B3690" i="50"/>
  <c r="D3690" i="50" s="1"/>
  <c r="B3682" i="50"/>
  <c r="D3682" i="50" s="1"/>
  <c r="E3658" i="50"/>
  <c r="B3643" i="50"/>
  <c r="D3643" i="50" s="1"/>
  <c r="E3619" i="50"/>
  <c r="V3619" i="50" s="1"/>
  <c r="E3673" i="50"/>
  <c r="B3697" i="50"/>
  <c r="D3697" i="50" s="1"/>
  <c r="B3698" i="50"/>
  <c r="D3698" i="50" s="1"/>
  <c r="E3674" i="50"/>
  <c r="B3652" i="50"/>
  <c r="D3652" i="50" s="1"/>
  <c r="E3628" i="50"/>
  <c r="B3641" i="50"/>
  <c r="D3641" i="50" s="1"/>
  <c r="E3617" i="50"/>
  <c r="E3637" i="50"/>
  <c r="B3661" i="50"/>
  <c r="D3661" i="50" s="1"/>
  <c r="B3675" i="50"/>
  <c r="D3675" i="50" s="1"/>
  <c r="E3651" i="50"/>
  <c r="V3651" i="50" s="1"/>
  <c r="B3646" i="50"/>
  <c r="D3646" i="50" s="1"/>
  <c r="E3622" i="50"/>
  <c r="E3632" i="50"/>
  <c r="B3656" i="50"/>
  <c r="D3656" i="50" s="1"/>
  <c r="E3630" i="50"/>
  <c r="B3654" i="50"/>
  <c r="D3654" i="50" s="1"/>
  <c r="E3621" i="50"/>
  <c r="F3621" i="50" s="1"/>
  <c r="B3645" i="50"/>
  <c r="D3645" i="50" s="1"/>
  <c r="V3605" i="50" l="1"/>
  <c r="U3605" i="50"/>
  <c r="G3605" i="50"/>
  <c r="V3620" i="50"/>
  <c r="U3620" i="50"/>
  <c r="G3620" i="50"/>
  <c r="F3620" i="50"/>
  <c r="V3666" i="50"/>
  <c r="U3666" i="50"/>
  <c r="G3666" i="50"/>
  <c r="F3666" i="50"/>
  <c r="D3631" i="50"/>
  <c r="B3655" i="50"/>
  <c r="E3631" i="50"/>
  <c r="V3622" i="50"/>
  <c r="G3622" i="50"/>
  <c r="F3622" i="50"/>
  <c r="V3607" i="50"/>
  <c r="U3607" i="50"/>
  <c r="G3607" i="50"/>
  <c r="F3607" i="50"/>
  <c r="G3632" i="50"/>
  <c r="V3632" i="50"/>
  <c r="U3632" i="50"/>
  <c r="F3632" i="50"/>
  <c r="G3616" i="50"/>
  <c r="F3616" i="50"/>
  <c r="U3616" i="50"/>
  <c r="V3616" i="50"/>
  <c r="U3617" i="50"/>
  <c r="G3617" i="50"/>
  <c r="F3617" i="50"/>
  <c r="V3617" i="50"/>
  <c r="G3639" i="50"/>
  <c r="F3639" i="50"/>
  <c r="U3639" i="50"/>
  <c r="V3639" i="50"/>
  <c r="V3648" i="50"/>
  <c r="U3648" i="50"/>
  <c r="F3648" i="50"/>
  <c r="G3648" i="50"/>
  <c r="U3619" i="50"/>
  <c r="F3619" i="50"/>
  <c r="G3619" i="50"/>
  <c r="G3647" i="50"/>
  <c r="F3647" i="50"/>
  <c r="V3647" i="50"/>
  <c r="U3647" i="50"/>
  <c r="U3635" i="50"/>
  <c r="F3635" i="50"/>
  <c r="G3635" i="50"/>
  <c r="U3612" i="50"/>
  <c r="G3612" i="50"/>
  <c r="V3612" i="50"/>
  <c r="F3612" i="50"/>
  <c r="V3658" i="50"/>
  <c r="U3658" i="50"/>
  <c r="G3658" i="50"/>
  <c r="F3658" i="50"/>
  <c r="D3636" i="50"/>
  <c r="B3660" i="50"/>
  <c r="E3636" i="50"/>
  <c r="V3637" i="50"/>
  <c r="U3637" i="50"/>
  <c r="G3637" i="50"/>
  <c r="G3630" i="50"/>
  <c r="V3630" i="50"/>
  <c r="U3630" i="50"/>
  <c r="F3630" i="50"/>
  <c r="V3657" i="50"/>
  <c r="G3657" i="50"/>
  <c r="F3657" i="50"/>
  <c r="U3657" i="50"/>
  <c r="V3635" i="50"/>
  <c r="V3621" i="50"/>
  <c r="U3621" i="50"/>
  <c r="G3621" i="50"/>
  <c r="U3651" i="50"/>
  <c r="F3651" i="50"/>
  <c r="G3651" i="50"/>
  <c r="F3628" i="50"/>
  <c r="V3628" i="50"/>
  <c r="U3628" i="50"/>
  <c r="G3628" i="50"/>
  <c r="U3674" i="50"/>
  <c r="G3674" i="50"/>
  <c r="F3674" i="50"/>
  <c r="V3674" i="50"/>
  <c r="U3673" i="50"/>
  <c r="V3673" i="50"/>
  <c r="G3673" i="50"/>
  <c r="F3673" i="50"/>
  <c r="G3614" i="50"/>
  <c r="V3614" i="50"/>
  <c r="U3614" i="50"/>
  <c r="F3614" i="50"/>
  <c r="U3622" i="50"/>
  <c r="F3637" i="50"/>
  <c r="B3683" i="50"/>
  <c r="D3683" i="50" s="1"/>
  <c r="E3659" i="50"/>
  <c r="U3659" i="50" s="1"/>
  <c r="B3687" i="50"/>
  <c r="D3687" i="50" s="1"/>
  <c r="E3663" i="50"/>
  <c r="B3696" i="50"/>
  <c r="D3696" i="50" s="1"/>
  <c r="E3672" i="50"/>
  <c r="E3646" i="50"/>
  <c r="B3670" i="50"/>
  <c r="D3670" i="50" s="1"/>
  <c r="B3676" i="50"/>
  <c r="D3676" i="50" s="1"/>
  <c r="E3652" i="50"/>
  <c r="B3699" i="50"/>
  <c r="D3699" i="50" s="1"/>
  <c r="E3675" i="50"/>
  <c r="B3685" i="50"/>
  <c r="D3685" i="50" s="1"/>
  <c r="E3661" i="50"/>
  <c r="E3671" i="50"/>
  <c r="B3695" i="50"/>
  <c r="D3695" i="50" s="1"/>
  <c r="B3662" i="50"/>
  <c r="D3662" i="50" s="1"/>
  <c r="E3638" i="50"/>
  <c r="U3638" i="50" s="1"/>
  <c r="B3667" i="50"/>
  <c r="D3667" i="50" s="1"/>
  <c r="E3643" i="50"/>
  <c r="B3714" i="50"/>
  <c r="D3714" i="50" s="1"/>
  <c r="E3690" i="50"/>
  <c r="B3653" i="50"/>
  <c r="D3653" i="50" s="1"/>
  <c r="E3629" i="50"/>
  <c r="E3698" i="50"/>
  <c r="B3722" i="50"/>
  <c r="D3722" i="50" s="1"/>
  <c r="B3669" i="50"/>
  <c r="D3669" i="50" s="1"/>
  <c r="E3645" i="50"/>
  <c r="E3697" i="50"/>
  <c r="V3697" i="50" s="1"/>
  <c r="B3721" i="50"/>
  <c r="D3721" i="50" s="1"/>
  <c r="B3705" i="50"/>
  <c r="D3705" i="50" s="1"/>
  <c r="E3681" i="50"/>
  <c r="V3681" i="50" s="1"/>
  <c r="B3680" i="50"/>
  <c r="D3680" i="50" s="1"/>
  <c r="E3656" i="50"/>
  <c r="B3668" i="50"/>
  <c r="D3668" i="50" s="1"/>
  <c r="E3644" i="50"/>
  <c r="E3682" i="50"/>
  <c r="B3706" i="50"/>
  <c r="D3706" i="50" s="1"/>
  <c r="B3664" i="50"/>
  <c r="D3664" i="50" s="1"/>
  <c r="E3640" i="50"/>
  <c r="B3678" i="50"/>
  <c r="D3678" i="50" s="1"/>
  <c r="E3654" i="50"/>
  <c r="U3654" i="50" s="1"/>
  <c r="E3641" i="50"/>
  <c r="B3665" i="50"/>
  <c r="D3665" i="50" s="1"/>
  <c r="V3645" i="50" l="1"/>
  <c r="U3645" i="50"/>
  <c r="F3645" i="50"/>
  <c r="V3675" i="50"/>
  <c r="F3675" i="50"/>
  <c r="G3675" i="50"/>
  <c r="V3652" i="50"/>
  <c r="U3652" i="50"/>
  <c r="G3652" i="50"/>
  <c r="F3652" i="50"/>
  <c r="V3661" i="50"/>
  <c r="U3661" i="50"/>
  <c r="F3661" i="50"/>
  <c r="V3636" i="50"/>
  <c r="U3636" i="50"/>
  <c r="G3636" i="50"/>
  <c r="F3636" i="50"/>
  <c r="G3631" i="50"/>
  <c r="V3631" i="50"/>
  <c r="U3631" i="50"/>
  <c r="F3631" i="50"/>
  <c r="G3640" i="50"/>
  <c r="F3640" i="50"/>
  <c r="V3640" i="50"/>
  <c r="U3640" i="50"/>
  <c r="V3644" i="50"/>
  <c r="F3644" i="50"/>
  <c r="U3644" i="50"/>
  <c r="G3644" i="50"/>
  <c r="D3660" i="50"/>
  <c r="B3684" i="50"/>
  <c r="E3660" i="50"/>
  <c r="V3698" i="50"/>
  <c r="U3698" i="50"/>
  <c r="G3698" i="50"/>
  <c r="F3698" i="50"/>
  <c r="V3682" i="50"/>
  <c r="U3682" i="50"/>
  <c r="G3682" i="50"/>
  <c r="F3682" i="50"/>
  <c r="G3646" i="50"/>
  <c r="V3646" i="50"/>
  <c r="U3646" i="50"/>
  <c r="F3646" i="50"/>
  <c r="U3675" i="50"/>
  <c r="U3641" i="50"/>
  <c r="F3641" i="50"/>
  <c r="V3641" i="50"/>
  <c r="G3641" i="50"/>
  <c r="D3655" i="50"/>
  <c r="E3655" i="50"/>
  <c r="B3679" i="50"/>
  <c r="V3656" i="50"/>
  <c r="U3656" i="50"/>
  <c r="F3656" i="50"/>
  <c r="V3643" i="50"/>
  <c r="F3643" i="50"/>
  <c r="G3643" i="50"/>
  <c r="V3672" i="50"/>
  <c r="G3672" i="50"/>
  <c r="F3672" i="50"/>
  <c r="G3661" i="50"/>
  <c r="G3656" i="50"/>
  <c r="U3690" i="50"/>
  <c r="G3690" i="50"/>
  <c r="F3690" i="50"/>
  <c r="V3690" i="50"/>
  <c r="U3672" i="50"/>
  <c r="V3638" i="50"/>
  <c r="G3638" i="50"/>
  <c r="F3638" i="50"/>
  <c r="G3663" i="50"/>
  <c r="F3663" i="50"/>
  <c r="U3663" i="50"/>
  <c r="G3645" i="50"/>
  <c r="V3663" i="50"/>
  <c r="U3697" i="50"/>
  <c r="F3697" i="50"/>
  <c r="G3697" i="50"/>
  <c r="V3629" i="50"/>
  <c r="U3629" i="50"/>
  <c r="F3629" i="50"/>
  <c r="U3643" i="50"/>
  <c r="U3671" i="50"/>
  <c r="G3671" i="50"/>
  <c r="F3671" i="50"/>
  <c r="V3671" i="50"/>
  <c r="V3654" i="50"/>
  <c r="G3654" i="50"/>
  <c r="F3654" i="50"/>
  <c r="U3681" i="50"/>
  <c r="F3681" i="50"/>
  <c r="G3681" i="50"/>
  <c r="V3659" i="50"/>
  <c r="F3659" i="50"/>
  <c r="G3659" i="50"/>
  <c r="G3629" i="50"/>
  <c r="E3680" i="50"/>
  <c r="B3704" i="50"/>
  <c r="D3704" i="50" s="1"/>
  <c r="B3720" i="50"/>
  <c r="D3720" i="50" s="1"/>
  <c r="E3696" i="50"/>
  <c r="E3714" i="50"/>
  <c r="B3738" i="50"/>
  <c r="D3738" i="50" s="1"/>
  <c r="B3709" i="50"/>
  <c r="D3709" i="50" s="1"/>
  <c r="E3685" i="50"/>
  <c r="B3745" i="50"/>
  <c r="D3745" i="50" s="1"/>
  <c r="E3721" i="50"/>
  <c r="V3721" i="50" s="1"/>
  <c r="B3691" i="50"/>
  <c r="D3691" i="50" s="1"/>
  <c r="E3667" i="50"/>
  <c r="V3667" i="50" s="1"/>
  <c r="E3687" i="50"/>
  <c r="B3711" i="50"/>
  <c r="D3711" i="50" s="1"/>
  <c r="E3678" i="50"/>
  <c r="B3702" i="50"/>
  <c r="D3702" i="50" s="1"/>
  <c r="E3669" i="50"/>
  <c r="B3693" i="50"/>
  <c r="D3693" i="50" s="1"/>
  <c r="B3729" i="50"/>
  <c r="D3729" i="50" s="1"/>
  <c r="E3705" i="50"/>
  <c r="V3705" i="50" s="1"/>
  <c r="E3662" i="50"/>
  <c r="B3686" i="50"/>
  <c r="D3686" i="50" s="1"/>
  <c r="B3719" i="50"/>
  <c r="D3719" i="50" s="1"/>
  <c r="E3695" i="50"/>
  <c r="B3746" i="50"/>
  <c r="D3746" i="50" s="1"/>
  <c r="E3722" i="50"/>
  <c r="B3723" i="50"/>
  <c r="D3723" i="50" s="1"/>
  <c r="E3699" i="50"/>
  <c r="B3700" i="50"/>
  <c r="D3700" i="50" s="1"/>
  <c r="E3676" i="50"/>
  <c r="B3692" i="50"/>
  <c r="D3692" i="50" s="1"/>
  <c r="E3668" i="50"/>
  <c r="B3689" i="50"/>
  <c r="D3689" i="50" s="1"/>
  <c r="E3665" i="50"/>
  <c r="V3665" i="50" s="1"/>
  <c r="E3664" i="50"/>
  <c r="B3688" i="50"/>
  <c r="D3688" i="50" s="1"/>
  <c r="B3694" i="50"/>
  <c r="D3694" i="50" s="1"/>
  <c r="E3670" i="50"/>
  <c r="B3730" i="50"/>
  <c r="D3730" i="50" s="1"/>
  <c r="E3706" i="50"/>
  <c r="B3707" i="50"/>
  <c r="D3707" i="50" s="1"/>
  <c r="E3683" i="50"/>
  <c r="E3653" i="50"/>
  <c r="B3677" i="50"/>
  <c r="D3677" i="50" s="1"/>
  <c r="V3696" i="50" l="1"/>
  <c r="U3696" i="50"/>
  <c r="F3696" i="50"/>
  <c r="G3696" i="50"/>
  <c r="U3680" i="50"/>
  <c r="F3680" i="50"/>
  <c r="G3680" i="50"/>
  <c r="V3680" i="50"/>
  <c r="V3669" i="50"/>
  <c r="U3669" i="50"/>
  <c r="G3669" i="50"/>
  <c r="V3653" i="50"/>
  <c r="U3653" i="50"/>
  <c r="G3653" i="50"/>
  <c r="V3687" i="50"/>
  <c r="U3687" i="50"/>
  <c r="G3687" i="50"/>
  <c r="F3687" i="50"/>
  <c r="D3679" i="50"/>
  <c r="B3703" i="50"/>
  <c r="E3679" i="50"/>
  <c r="U3699" i="50"/>
  <c r="F3699" i="50"/>
  <c r="G3699" i="50"/>
  <c r="U3655" i="50"/>
  <c r="G3655" i="50"/>
  <c r="F3655" i="50"/>
  <c r="V3655" i="50"/>
  <c r="V3699" i="50"/>
  <c r="G3695" i="50"/>
  <c r="F3695" i="50"/>
  <c r="U3695" i="50"/>
  <c r="V3695" i="50"/>
  <c r="V3722" i="50"/>
  <c r="U3722" i="50"/>
  <c r="G3722" i="50"/>
  <c r="F3722" i="50"/>
  <c r="F3660" i="50"/>
  <c r="U3660" i="50"/>
  <c r="G3660" i="50"/>
  <c r="V3660" i="50"/>
  <c r="U3678" i="50"/>
  <c r="G3678" i="50"/>
  <c r="F3678" i="50"/>
  <c r="V3678" i="50"/>
  <c r="V3670" i="50"/>
  <c r="G3670" i="50"/>
  <c r="F3670" i="50"/>
  <c r="U3721" i="50"/>
  <c r="G3721" i="50"/>
  <c r="F3721" i="50"/>
  <c r="D3684" i="50"/>
  <c r="B3708" i="50"/>
  <c r="E3684" i="50"/>
  <c r="U3683" i="50"/>
  <c r="F3683" i="50"/>
  <c r="G3683" i="50"/>
  <c r="V3662" i="50"/>
  <c r="U3662" i="50"/>
  <c r="G3662" i="50"/>
  <c r="F3662" i="50"/>
  <c r="F3669" i="50"/>
  <c r="U3705" i="50"/>
  <c r="G3705" i="50"/>
  <c r="F3705" i="50"/>
  <c r="V3685" i="50"/>
  <c r="U3685" i="50"/>
  <c r="G3685" i="50"/>
  <c r="F3653" i="50"/>
  <c r="U3670" i="50"/>
  <c r="V3683" i="50"/>
  <c r="V3668" i="50"/>
  <c r="G3668" i="50"/>
  <c r="F3668" i="50"/>
  <c r="U3668" i="50"/>
  <c r="U3667" i="50"/>
  <c r="F3667" i="50"/>
  <c r="G3667" i="50"/>
  <c r="G3664" i="50"/>
  <c r="F3664" i="50"/>
  <c r="V3664" i="50"/>
  <c r="U3664" i="50"/>
  <c r="F3685" i="50"/>
  <c r="V3676" i="50"/>
  <c r="F3676" i="50"/>
  <c r="U3676" i="50"/>
  <c r="G3676" i="50"/>
  <c r="U3665" i="50"/>
  <c r="F3665" i="50"/>
  <c r="G3665" i="50"/>
  <c r="V3706" i="50"/>
  <c r="U3706" i="50"/>
  <c r="G3706" i="50"/>
  <c r="F3706" i="50"/>
  <c r="V3714" i="50"/>
  <c r="U3714" i="50"/>
  <c r="G3714" i="50"/>
  <c r="F3714" i="50"/>
  <c r="E3746" i="50"/>
  <c r="B3770" i="50"/>
  <c r="D3770" i="50" s="1"/>
  <c r="B3715" i="50"/>
  <c r="D3715" i="50" s="1"/>
  <c r="E3691" i="50"/>
  <c r="U3691" i="50" s="1"/>
  <c r="E3729" i="50"/>
  <c r="V3729" i="50" s="1"/>
  <c r="B3753" i="50"/>
  <c r="D3753" i="50" s="1"/>
  <c r="B3712" i="50"/>
  <c r="D3712" i="50" s="1"/>
  <c r="E3688" i="50"/>
  <c r="U3688" i="50" s="1"/>
  <c r="B3744" i="50"/>
  <c r="D3744" i="50" s="1"/>
  <c r="E3720" i="50"/>
  <c r="U3720" i="50" s="1"/>
  <c r="B3713" i="50"/>
  <c r="D3713" i="50" s="1"/>
  <c r="E3689" i="50"/>
  <c r="B3726" i="50"/>
  <c r="D3726" i="50" s="1"/>
  <c r="E3702" i="50"/>
  <c r="E3745" i="50"/>
  <c r="B3769" i="50"/>
  <c r="D3769" i="50" s="1"/>
  <c r="E3707" i="50"/>
  <c r="U3707" i="50" s="1"/>
  <c r="B3731" i="50"/>
  <c r="D3731" i="50" s="1"/>
  <c r="B3701" i="50"/>
  <c r="D3701" i="50" s="1"/>
  <c r="E3677" i="50"/>
  <c r="G3677" i="50" s="1"/>
  <c r="E3692" i="50"/>
  <c r="B3716" i="50"/>
  <c r="D3716" i="50" s="1"/>
  <c r="B3743" i="50"/>
  <c r="D3743" i="50" s="1"/>
  <c r="E3719" i="50"/>
  <c r="E3711" i="50"/>
  <c r="B3735" i="50"/>
  <c r="D3735" i="50" s="1"/>
  <c r="E3686" i="50"/>
  <c r="U3686" i="50" s="1"/>
  <c r="B3710" i="50"/>
  <c r="D3710" i="50" s="1"/>
  <c r="B3733" i="50"/>
  <c r="D3733" i="50" s="1"/>
  <c r="E3709" i="50"/>
  <c r="G3709" i="50" s="1"/>
  <c r="E3694" i="50"/>
  <c r="B3718" i="50"/>
  <c r="D3718" i="50" s="1"/>
  <c r="B3724" i="50"/>
  <c r="D3724" i="50" s="1"/>
  <c r="E3700" i="50"/>
  <c r="B3762" i="50"/>
  <c r="D3762" i="50" s="1"/>
  <c r="E3738" i="50"/>
  <c r="E3730" i="50"/>
  <c r="B3754" i="50"/>
  <c r="D3754" i="50" s="1"/>
  <c r="B3728" i="50"/>
  <c r="D3728" i="50" s="1"/>
  <c r="E3704" i="50"/>
  <c r="E3723" i="50"/>
  <c r="U3723" i="50" s="1"/>
  <c r="B3747" i="50"/>
  <c r="D3747" i="50" s="1"/>
  <c r="B3717" i="50"/>
  <c r="D3717" i="50" s="1"/>
  <c r="E3693" i="50"/>
  <c r="G3693" i="50" s="1"/>
  <c r="V3702" i="50" l="1"/>
  <c r="G3702" i="50"/>
  <c r="F3702" i="50"/>
  <c r="U3689" i="50"/>
  <c r="G3689" i="50"/>
  <c r="F3689" i="50"/>
  <c r="V3689" i="50"/>
  <c r="F3684" i="50"/>
  <c r="V3684" i="50"/>
  <c r="U3684" i="50"/>
  <c r="G3684" i="50"/>
  <c r="D3708" i="50"/>
  <c r="B3732" i="50"/>
  <c r="E3708" i="50"/>
  <c r="V3720" i="50"/>
  <c r="G3720" i="50"/>
  <c r="F3720" i="50"/>
  <c r="U3745" i="50"/>
  <c r="F3745" i="50"/>
  <c r="G3745" i="50"/>
  <c r="V3730" i="50"/>
  <c r="U3730" i="50"/>
  <c r="G3730" i="50"/>
  <c r="F3730" i="50"/>
  <c r="G3679" i="50"/>
  <c r="F3679" i="50"/>
  <c r="U3679" i="50"/>
  <c r="V3704" i="50"/>
  <c r="G3704" i="50"/>
  <c r="F3704" i="50"/>
  <c r="V3738" i="50"/>
  <c r="U3738" i="50"/>
  <c r="G3738" i="50"/>
  <c r="F3738" i="50"/>
  <c r="D3703" i="50"/>
  <c r="B3727" i="50"/>
  <c r="E3703" i="50"/>
  <c r="G3711" i="50"/>
  <c r="F3711" i="50"/>
  <c r="U3711" i="50"/>
  <c r="U3692" i="50"/>
  <c r="G3692" i="50"/>
  <c r="F3692" i="50"/>
  <c r="V3692" i="50"/>
  <c r="U3729" i="50"/>
  <c r="F3729" i="50"/>
  <c r="G3729" i="50"/>
  <c r="V3679" i="50"/>
  <c r="V3677" i="50"/>
  <c r="U3677" i="50"/>
  <c r="F3677" i="50"/>
  <c r="V3691" i="50"/>
  <c r="G3691" i="50"/>
  <c r="F3691" i="50"/>
  <c r="V3745" i="50"/>
  <c r="V3688" i="50"/>
  <c r="G3688" i="50"/>
  <c r="F3688" i="50"/>
  <c r="V3723" i="50"/>
  <c r="G3723" i="50"/>
  <c r="F3723" i="50"/>
  <c r="V3686" i="50"/>
  <c r="G3686" i="50"/>
  <c r="F3686" i="50"/>
  <c r="F3719" i="50"/>
  <c r="V3719" i="50"/>
  <c r="U3719" i="50"/>
  <c r="G3719" i="50"/>
  <c r="V3694" i="50"/>
  <c r="U3694" i="50"/>
  <c r="G3694" i="50"/>
  <c r="F3694" i="50"/>
  <c r="V3707" i="50"/>
  <c r="G3707" i="50"/>
  <c r="F3707" i="50"/>
  <c r="G3746" i="50"/>
  <c r="F3746" i="50"/>
  <c r="V3746" i="50"/>
  <c r="U3746" i="50"/>
  <c r="V3711" i="50"/>
  <c r="F3700" i="50"/>
  <c r="V3700" i="50"/>
  <c r="U3700" i="50"/>
  <c r="G3700" i="50"/>
  <c r="V3693" i="50"/>
  <c r="U3693" i="50"/>
  <c r="F3693" i="50"/>
  <c r="V3709" i="50"/>
  <c r="U3709" i="50"/>
  <c r="F3709" i="50"/>
  <c r="U3702" i="50"/>
  <c r="U3704" i="50"/>
  <c r="B3737" i="50"/>
  <c r="D3737" i="50" s="1"/>
  <c r="E3713" i="50"/>
  <c r="V3713" i="50" s="1"/>
  <c r="B3757" i="50"/>
  <c r="D3757" i="50" s="1"/>
  <c r="E3733" i="50"/>
  <c r="E3743" i="50"/>
  <c r="B3767" i="50"/>
  <c r="D3767" i="50" s="1"/>
  <c r="B3768" i="50"/>
  <c r="D3768" i="50" s="1"/>
  <c r="E3744" i="50"/>
  <c r="B3734" i="50"/>
  <c r="D3734" i="50" s="1"/>
  <c r="E3710" i="50"/>
  <c r="B3740" i="50"/>
  <c r="D3740" i="50" s="1"/>
  <c r="E3716" i="50"/>
  <c r="B3793" i="50"/>
  <c r="D3793" i="50" s="1"/>
  <c r="E3769" i="50"/>
  <c r="E3762" i="50"/>
  <c r="B3786" i="50"/>
  <c r="D3786" i="50" s="1"/>
  <c r="B3739" i="50"/>
  <c r="D3739" i="50" s="1"/>
  <c r="E3715" i="50"/>
  <c r="B3725" i="50"/>
  <c r="D3725" i="50" s="1"/>
  <c r="E3701" i="50"/>
  <c r="B3778" i="50"/>
  <c r="D3778" i="50" s="1"/>
  <c r="E3754" i="50"/>
  <c r="B3741" i="50"/>
  <c r="D3741" i="50" s="1"/>
  <c r="E3717" i="50"/>
  <c r="B3771" i="50"/>
  <c r="D3771" i="50" s="1"/>
  <c r="E3747" i="50"/>
  <c r="V3747" i="50" s="1"/>
  <c r="B3748" i="50"/>
  <c r="D3748" i="50" s="1"/>
  <c r="E3724" i="50"/>
  <c r="B3752" i="50"/>
  <c r="D3752" i="50" s="1"/>
  <c r="E3728" i="50"/>
  <c r="E3718" i="50"/>
  <c r="B3742" i="50"/>
  <c r="D3742" i="50" s="1"/>
  <c r="B3759" i="50"/>
  <c r="D3759" i="50" s="1"/>
  <c r="E3735" i="50"/>
  <c r="B3755" i="50"/>
  <c r="D3755" i="50" s="1"/>
  <c r="E3731" i="50"/>
  <c r="B3750" i="50"/>
  <c r="D3750" i="50" s="1"/>
  <c r="E3726" i="50"/>
  <c r="B3794" i="50"/>
  <c r="D3794" i="50" s="1"/>
  <c r="E3770" i="50"/>
  <c r="B3736" i="50"/>
  <c r="D3736" i="50" s="1"/>
  <c r="E3712" i="50"/>
  <c r="B3777" i="50"/>
  <c r="D3777" i="50" s="1"/>
  <c r="E3753" i="50"/>
  <c r="V3754" i="50" l="1"/>
  <c r="U3754" i="50"/>
  <c r="G3754" i="50"/>
  <c r="F3754" i="50"/>
  <c r="V3717" i="50"/>
  <c r="U3717" i="50"/>
  <c r="G3717" i="50"/>
  <c r="G3743" i="50"/>
  <c r="F3743" i="50"/>
  <c r="U3743" i="50"/>
  <c r="V3743" i="50"/>
  <c r="V3733" i="50"/>
  <c r="U3733" i="50"/>
  <c r="G3733" i="50"/>
  <c r="F3733" i="50"/>
  <c r="U3731" i="50"/>
  <c r="F3731" i="50"/>
  <c r="G3731" i="50"/>
  <c r="V3703" i="50"/>
  <c r="U3703" i="50"/>
  <c r="G3703" i="50"/>
  <c r="F3703" i="50"/>
  <c r="G3744" i="50"/>
  <c r="V3744" i="50"/>
  <c r="U3744" i="50"/>
  <c r="F3744" i="50"/>
  <c r="F3715" i="50"/>
  <c r="U3715" i="50"/>
  <c r="G3715" i="50"/>
  <c r="U3713" i="50"/>
  <c r="F3713" i="50"/>
  <c r="G3713" i="50"/>
  <c r="D3727" i="50"/>
  <c r="E3727" i="50"/>
  <c r="B3751" i="50"/>
  <c r="V3718" i="50"/>
  <c r="G3718" i="50"/>
  <c r="F3718" i="50"/>
  <c r="U3753" i="50"/>
  <c r="F3753" i="50"/>
  <c r="G3753" i="50"/>
  <c r="U3728" i="50"/>
  <c r="F3728" i="50"/>
  <c r="V3728" i="50"/>
  <c r="G3728" i="50"/>
  <c r="V3731" i="50"/>
  <c r="V3753" i="50"/>
  <c r="F3717" i="50"/>
  <c r="V3762" i="50"/>
  <c r="U3762" i="50"/>
  <c r="G3762" i="50"/>
  <c r="F3762" i="50"/>
  <c r="U3718" i="50"/>
  <c r="D3732" i="50"/>
  <c r="B3756" i="50"/>
  <c r="E3732" i="50"/>
  <c r="G3712" i="50"/>
  <c r="V3712" i="50"/>
  <c r="F3712" i="50"/>
  <c r="U3712" i="50"/>
  <c r="V3724" i="50"/>
  <c r="F3724" i="50"/>
  <c r="G3724" i="50"/>
  <c r="U3769" i="50"/>
  <c r="F3769" i="50"/>
  <c r="G3769" i="50"/>
  <c r="V3769" i="50"/>
  <c r="U3724" i="50"/>
  <c r="V3735" i="50"/>
  <c r="U3735" i="50"/>
  <c r="G3735" i="50"/>
  <c r="F3735" i="50"/>
  <c r="V3716" i="50"/>
  <c r="U3716" i="50"/>
  <c r="G3716" i="50"/>
  <c r="F3716" i="50"/>
  <c r="V3701" i="50"/>
  <c r="U3701" i="50"/>
  <c r="G3701" i="50"/>
  <c r="U3747" i="50"/>
  <c r="F3747" i="50"/>
  <c r="G3747" i="50"/>
  <c r="V3726" i="50"/>
  <c r="U3726" i="50"/>
  <c r="G3726" i="50"/>
  <c r="F3726" i="50"/>
  <c r="V3710" i="50"/>
  <c r="U3710" i="50"/>
  <c r="G3710" i="50"/>
  <c r="F3710" i="50"/>
  <c r="V3715" i="50"/>
  <c r="V3770" i="50"/>
  <c r="F3770" i="50"/>
  <c r="U3770" i="50"/>
  <c r="G3770" i="50"/>
  <c r="F3701" i="50"/>
  <c r="V3708" i="50"/>
  <c r="U3708" i="50"/>
  <c r="G3708" i="50"/>
  <c r="F3708" i="50"/>
  <c r="E3748" i="50"/>
  <c r="B3772" i="50"/>
  <c r="D3772" i="50" s="1"/>
  <c r="E3734" i="50"/>
  <c r="U3734" i="50" s="1"/>
  <c r="B3758" i="50"/>
  <c r="D3758" i="50" s="1"/>
  <c r="B3761" i="50"/>
  <c r="D3761" i="50" s="1"/>
  <c r="E3737" i="50"/>
  <c r="B3810" i="50"/>
  <c r="D3810" i="50" s="1"/>
  <c r="E3786" i="50"/>
  <c r="B3760" i="50"/>
  <c r="D3760" i="50" s="1"/>
  <c r="E3736" i="50"/>
  <c r="E3759" i="50"/>
  <c r="V3759" i="50" s="1"/>
  <c r="B3783" i="50"/>
  <c r="D3783" i="50" s="1"/>
  <c r="B3766" i="50"/>
  <c r="D3766" i="50" s="1"/>
  <c r="E3742" i="50"/>
  <c r="E3741" i="50"/>
  <c r="G3741" i="50" s="1"/>
  <c r="B3765" i="50"/>
  <c r="D3765" i="50" s="1"/>
  <c r="B3792" i="50"/>
  <c r="D3792" i="50" s="1"/>
  <c r="E3768" i="50"/>
  <c r="B3791" i="50"/>
  <c r="D3791" i="50" s="1"/>
  <c r="E3767" i="50"/>
  <c r="E3778" i="50"/>
  <c r="B3802" i="50"/>
  <c r="D3802" i="50" s="1"/>
  <c r="B3817" i="50"/>
  <c r="D3817" i="50" s="1"/>
  <c r="E3793" i="50"/>
  <c r="E3771" i="50"/>
  <c r="U3771" i="50" s="1"/>
  <c r="B3795" i="50"/>
  <c r="D3795" i="50" s="1"/>
  <c r="E3725" i="50"/>
  <c r="G3725" i="50" s="1"/>
  <c r="B3749" i="50"/>
  <c r="D3749" i="50" s="1"/>
  <c r="E3757" i="50"/>
  <c r="B3781" i="50"/>
  <c r="D3781" i="50" s="1"/>
  <c r="E3755" i="50"/>
  <c r="U3755" i="50" s="1"/>
  <c r="B3779" i="50"/>
  <c r="D3779" i="50" s="1"/>
  <c r="E3794" i="50"/>
  <c r="B3818" i="50"/>
  <c r="D3818" i="50" s="1"/>
  <c r="E3777" i="50"/>
  <c r="B3801" i="50"/>
  <c r="D3801" i="50" s="1"/>
  <c r="B3776" i="50"/>
  <c r="D3776" i="50" s="1"/>
  <c r="E3752" i="50"/>
  <c r="E3750" i="50"/>
  <c r="U3750" i="50" s="1"/>
  <c r="B3774" i="50"/>
  <c r="D3774" i="50" s="1"/>
  <c r="E3739" i="50"/>
  <c r="U3739" i="50" s="1"/>
  <c r="B3763" i="50"/>
  <c r="D3763" i="50" s="1"/>
  <c r="B3764" i="50"/>
  <c r="D3764" i="50" s="1"/>
  <c r="E3740" i="50"/>
  <c r="U3740" i="50" s="1"/>
  <c r="V3752" i="50" l="1"/>
  <c r="G3752" i="50"/>
  <c r="F3752" i="50"/>
  <c r="U3793" i="50"/>
  <c r="F3793" i="50"/>
  <c r="G3793" i="50"/>
  <c r="G3786" i="50"/>
  <c r="F3786" i="50"/>
  <c r="V3786" i="50"/>
  <c r="U3786" i="50"/>
  <c r="V3732" i="50"/>
  <c r="U3732" i="50"/>
  <c r="G3732" i="50"/>
  <c r="F3732" i="50"/>
  <c r="D3756" i="50"/>
  <c r="U3756" i="50" s="1"/>
  <c r="B3780" i="50"/>
  <c r="E3756" i="50"/>
  <c r="F3750" i="50"/>
  <c r="V3750" i="50"/>
  <c r="G3750" i="50"/>
  <c r="U3737" i="50"/>
  <c r="G3737" i="50"/>
  <c r="F3737" i="50"/>
  <c r="U3777" i="50"/>
  <c r="F3777" i="50"/>
  <c r="G3777" i="50"/>
  <c r="V3778" i="50"/>
  <c r="U3778" i="50"/>
  <c r="G3778" i="50"/>
  <c r="F3778" i="50"/>
  <c r="V3734" i="50"/>
  <c r="G3734" i="50"/>
  <c r="F3734" i="50"/>
  <c r="V3767" i="50"/>
  <c r="U3767" i="50"/>
  <c r="G3767" i="50"/>
  <c r="F3767" i="50"/>
  <c r="V3768" i="50"/>
  <c r="G3768" i="50"/>
  <c r="F3768" i="50"/>
  <c r="V3737" i="50"/>
  <c r="V3736" i="50"/>
  <c r="G3736" i="50"/>
  <c r="F3736" i="50"/>
  <c r="V3794" i="50"/>
  <c r="U3794" i="50"/>
  <c r="G3794" i="50"/>
  <c r="F3794" i="50"/>
  <c r="G3755" i="50"/>
  <c r="F3755" i="50"/>
  <c r="V3755" i="50"/>
  <c r="U3736" i="50"/>
  <c r="U3752" i="50"/>
  <c r="D3751" i="50"/>
  <c r="E3751" i="50"/>
  <c r="B3775" i="50"/>
  <c r="V3757" i="50"/>
  <c r="U3757" i="50"/>
  <c r="F3757" i="50"/>
  <c r="V3741" i="50"/>
  <c r="U3741" i="50"/>
  <c r="F3741" i="50"/>
  <c r="V3748" i="50"/>
  <c r="U3748" i="50"/>
  <c r="G3748" i="50"/>
  <c r="F3748" i="50"/>
  <c r="G3727" i="50"/>
  <c r="F3727" i="50"/>
  <c r="U3727" i="50"/>
  <c r="G3757" i="50"/>
  <c r="V3727" i="50"/>
  <c r="U3768" i="50"/>
  <c r="F3725" i="50"/>
  <c r="U3725" i="50"/>
  <c r="V3725" i="50"/>
  <c r="V3777" i="50"/>
  <c r="V3740" i="50"/>
  <c r="F3740" i="50"/>
  <c r="G3740" i="50"/>
  <c r="V3742" i="50"/>
  <c r="U3742" i="50"/>
  <c r="G3742" i="50"/>
  <c r="F3742" i="50"/>
  <c r="V3739" i="50"/>
  <c r="G3739" i="50"/>
  <c r="F3739" i="50"/>
  <c r="V3771" i="50"/>
  <c r="G3771" i="50"/>
  <c r="F3771" i="50"/>
  <c r="G3759" i="50"/>
  <c r="F3759" i="50"/>
  <c r="U3759" i="50"/>
  <c r="V3793" i="50"/>
  <c r="B3825" i="50"/>
  <c r="D3825" i="50" s="1"/>
  <c r="E3801" i="50"/>
  <c r="B3842" i="50"/>
  <c r="D3842" i="50" s="1"/>
  <c r="E3818" i="50"/>
  <c r="B3841" i="50"/>
  <c r="D3841" i="50" s="1"/>
  <c r="E3817" i="50"/>
  <c r="V3817" i="50" s="1"/>
  <c r="B3816" i="50"/>
  <c r="D3816" i="50" s="1"/>
  <c r="E3792" i="50"/>
  <c r="B3826" i="50"/>
  <c r="D3826" i="50" s="1"/>
  <c r="E3802" i="50"/>
  <c r="B3805" i="50"/>
  <c r="D3805" i="50" s="1"/>
  <c r="E3781" i="50"/>
  <c r="F3781" i="50" s="1"/>
  <c r="E3761" i="50"/>
  <c r="B3785" i="50"/>
  <c r="D3785" i="50" s="1"/>
  <c r="B3807" i="50"/>
  <c r="D3807" i="50" s="1"/>
  <c r="E3783" i="50"/>
  <c r="B3782" i="50"/>
  <c r="D3782" i="50" s="1"/>
  <c r="E3758" i="50"/>
  <c r="B3773" i="50"/>
  <c r="D3773" i="50" s="1"/>
  <c r="E3749" i="50"/>
  <c r="E3791" i="50"/>
  <c r="B3815" i="50"/>
  <c r="D3815" i="50" s="1"/>
  <c r="B3789" i="50"/>
  <c r="D3789" i="50" s="1"/>
  <c r="E3765" i="50"/>
  <c r="F3765" i="50" s="1"/>
  <c r="B3800" i="50"/>
  <c r="D3800" i="50" s="1"/>
  <c r="E3776" i="50"/>
  <c r="B3787" i="50"/>
  <c r="D3787" i="50" s="1"/>
  <c r="E3763" i="50"/>
  <c r="V3763" i="50" s="1"/>
  <c r="B3819" i="50"/>
  <c r="D3819" i="50" s="1"/>
  <c r="E3795" i="50"/>
  <c r="V3795" i="50" s="1"/>
  <c r="B3784" i="50"/>
  <c r="D3784" i="50" s="1"/>
  <c r="E3760" i="50"/>
  <c r="E3764" i="50"/>
  <c r="B3788" i="50"/>
  <c r="D3788" i="50" s="1"/>
  <c r="B3796" i="50"/>
  <c r="D3796" i="50" s="1"/>
  <c r="E3772" i="50"/>
  <c r="U3772" i="50" s="1"/>
  <c r="B3798" i="50"/>
  <c r="D3798" i="50" s="1"/>
  <c r="E3774" i="50"/>
  <c r="E3766" i="50"/>
  <c r="U3766" i="50" s="1"/>
  <c r="B3790" i="50"/>
  <c r="D3790" i="50" s="1"/>
  <c r="B3803" i="50"/>
  <c r="D3803" i="50" s="1"/>
  <c r="E3779" i="50"/>
  <c r="V3779" i="50" s="1"/>
  <c r="E3810" i="50"/>
  <c r="B3834" i="50"/>
  <c r="D3834" i="50" s="1"/>
  <c r="G3818" i="50" l="1"/>
  <c r="F3818" i="50"/>
  <c r="V3818" i="50"/>
  <c r="U3818" i="50"/>
  <c r="G3791" i="50"/>
  <c r="F3791" i="50"/>
  <c r="U3791" i="50"/>
  <c r="V3783" i="50"/>
  <c r="U3783" i="50"/>
  <c r="G3783" i="50"/>
  <c r="F3783" i="50"/>
  <c r="U3801" i="50"/>
  <c r="G3801" i="50"/>
  <c r="F3801" i="50"/>
  <c r="U3763" i="50"/>
  <c r="F3763" i="50"/>
  <c r="G3763" i="50"/>
  <c r="V3791" i="50"/>
  <c r="U3761" i="50"/>
  <c r="F3761" i="50"/>
  <c r="G3761" i="50"/>
  <c r="V3749" i="50"/>
  <c r="U3749" i="50"/>
  <c r="G3749" i="50"/>
  <c r="U3779" i="50"/>
  <c r="F3779" i="50"/>
  <c r="G3779" i="50"/>
  <c r="U3795" i="50"/>
  <c r="F3795" i="50"/>
  <c r="G3795" i="50"/>
  <c r="V3801" i="50"/>
  <c r="V3751" i="50"/>
  <c r="U3751" i="50"/>
  <c r="G3751" i="50"/>
  <c r="F3751" i="50"/>
  <c r="G3776" i="50"/>
  <c r="V3776" i="50"/>
  <c r="U3776" i="50"/>
  <c r="F3776" i="50"/>
  <c r="V3781" i="50"/>
  <c r="U3781" i="50"/>
  <c r="G3781" i="50"/>
  <c r="U3817" i="50"/>
  <c r="G3817" i="50"/>
  <c r="F3817" i="50"/>
  <c r="G3760" i="50"/>
  <c r="F3760" i="50"/>
  <c r="V3760" i="50"/>
  <c r="U3760" i="50"/>
  <c r="V3774" i="50"/>
  <c r="U3774" i="50"/>
  <c r="G3774" i="50"/>
  <c r="F3774" i="50"/>
  <c r="U3765" i="50"/>
  <c r="G3765" i="50"/>
  <c r="V3765" i="50"/>
  <c r="V3802" i="50"/>
  <c r="U3802" i="50"/>
  <c r="G3802" i="50"/>
  <c r="F3802" i="50"/>
  <c r="V3764" i="50"/>
  <c r="U3764" i="50"/>
  <c r="G3764" i="50"/>
  <c r="F3764" i="50"/>
  <c r="V3810" i="50"/>
  <c r="U3810" i="50"/>
  <c r="G3810" i="50"/>
  <c r="F3810" i="50"/>
  <c r="V3766" i="50"/>
  <c r="G3766" i="50"/>
  <c r="F3766" i="50"/>
  <c r="V3756" i="50"/>
  <c r="G3756" i="50"/>
  <c r="F3756" i="50"/>
  <c r="D3775" i="50"/>
  <c r="E3775" i="50"/>
  <c r="B3799" i="50"/>
  <c r="V3758" i="50"/>
  <c r="U3758" i="50"/>
  <c r="G3758" i="50"/>
  <c r="F3758" i="50"/>
  <c r="V3772" i="50"/>
  <c r="G3772" i="50"/>
  <c r="F3772" i="50"/>
  <c r="V3792" i="50"/>
  <c r="U3792" i="50"/>
  <c r="F3792" i="50"/>
  <c r="G3792" i="50"/>
  <c r="F3749" i="50"/>
  <c r="V3761" i="50"/>
  <c r="D3780" i="50"/>
  <c r="E3780" i="50"/>
  <c r="B3804" i="50"/>
  <c r="E3773" i="50"/>
  <c r="B3797" i="50"/>
  <c r="D3797" i="50" s="1"/>
  <c r="E3782" i="50"/>
  <c r="U3782" i="50" s="1"/>
  <c r="B3806" i="50"/>
  <c r="D3806" i="50" s="1"/>
  <c r="E3807" i="50"/>
  <c r="B3831" i="50"/>
  <c r="D3831" i="50" s="1"/>
  <c r="E3826" i="50"/>
  <c r="B3850" i="50"/>
  <c r="D3850" i="50" s="1"/>
  <c r="B3849" i="50"/>
  <c r="D3849" i="50" s="1"/>
  <c r="E3825" i="50"/>
  <c r="B3808" i="50"/>
  <c r="D3808" i="50" s="1"/>
  <c r="E3784" i="50"/>
  <c r="E3842" i="50"/>
  <c r="B3866" i="50"/>
  <c r="D3866" i="50" s="1"/>
  <c r="B3840" i="50"/>
  <c r="D3840" i="50" s="1"/>
  <c r="E3816" i="50"/>
  <c r="U3816" i="50" s="1"/>
  <c r="E3803" i="50"/>
  <c r="U3803" i="50" s="1"/>
  <c r="B3827" i="50"/>
  <c r="D3827" i="50" s="1"/>
  <c r="E3819" i="50"/>
  <c r="U3819" i="50" s="1"/>
  <c r="B3843" i="50"/>
  <c r="D3843" i="50" s="1"/>
  <c r="E3789" i="50"/>
  <c r="B3813" i="50"/>
  <c r="D3813" i="50" s="1"/>
  <c r="E3798" i="50"/>
  <c r="B3822" i="50"/>
  <c r="D3822" i="50" s="1"/>
  <c r="B3858" i="50"/>
  <c r="D3858" i="50" s="1"/>
  <c r="E3834" i="50"/>
  <c r="B3824" i="50"/>
  <c r="D3824" i="50" s="1"/>
  <c r="E3800" i="50"/>
  <c r="U3800" i="50" s="1"/>
  <c r="B3839" i="50"/>
  <c r="D3839" i="50" s="1"/>
  <c r="E3815" i="50"/>
  <c r="B3809" i="50"/>
  <c r="D3809" i="50" s="1"/>
  <c r="E3785" i="50"/>
  <c r="V3785" i="50" s="1"/>
  <c r="E3805" i="50"/>
  <c r="G3805" i="50" s="1"/>
  <c r="B3829" i="50"/>
  <c r="D3829" i="50" s="1"/>
  <c r="B3865" i="50"/>
  <c r="D3865" i="50" s="1"/>
  <c r="E3841" i="50"/>
  <c r="E3796" i="50"/>
  <c r="B3820" i="50"/>
  <c r="D3820" i="50" s="1"/>
  <c r="E3787" i="50"/>
  <c r="U3787" i="50" s="1"/>
  <c r="B3811" i="50"/>
  <c r="D3811" i="50" s="1"/>
  <c r="B3814" i="50"/>
  <c r="D3814" i="50" s="1"/>
  <c r="E3790" i="50"/>
  <c r="B3812" i="50"/>
  <c r="D3812" i="50" s="1"/>
  <c r="E3788" i="50"/>
  <c r="V3842" i="50" l="1"/>
  <c r="U3842" i="50"/>
  <c r="G3842" i="50"/>
  <c r="F3842" i="50"/>
  <c r="V3800" i="50"/>
  <c r="F3800" i="50"/>
  <c r="G3800" i="50"/>
  <c r="D3804" i="50"/>
  <c r="B3828" i="50"/>
  <c r="E3804" i="50"/>
  <c r="V3780" i="50"/>
  <c r="U3780" i="50"/>
  <c r="G3780" i="50"/>
  <c r="F3780" i="50"/>
  <c r="V3784" i="50"/>
  <c r="F3784" i="50"/>
  <c r="G3784" i="50"/>
  <c r="D3799" i="50"/>
  <c r="B3823" i="50"/>
  <c r="E3799" i="50"/>
  <c r="G3775" i="50"/>
  <c r="F3775" i="50"/>
  <c r="U3775" i="50"/>
  <c r="V3788" i="50"/>
  <c r="G3788" i="50"/>
  <c r="F3788" i="50"/>
  <c r="U3825" i="50"/>
  <c r="F3825" i="50"/>
  <c r="G3825" i="50"/>
  <c r="V3775" i="50"/>
  <c r="U3784" i="50"/>
  <c r="V3834" i="50"/>
  <c r="U3834" i="50"/>
  <c r="G3834" i="50"/>
  <c r="F3834" i="50"/>
  <c r="V3798" i="50"/>
  <c r="G3798" i="50"/>
  <c r="F3798" i="50"/>
  <c r="V3773" i="50"/>
  <c r="U3773" i="50"/>
  <c r="F3773" i="50"/>
  <c r="V3815" i="50"/>
  <c r="U3815" i="50"/>
  <c r="G3815" i="50"/>
  <c r="F3815" i="50"/>
  <c r="V3790" i="50"/>
  <c r="U3790" i="50"/>
  <c r="G3790" i="50"/>
  <c r="F3790" i="50"/>
  <c r="V3789" i="50"/>
  <c r="U3789" i="50"/>
  <c r="F3789" i="50"/>
  <c r="V3826" i="50"/>
  <c r="U3826" i="50"/>
  <c r="G3826" i="50"/>
  <c r="F3826" i="50"/>
  <c r="G3789" i="50"/>
  <c r="V3787" i="50"/>
  <c r="G3787" i="50"/>
  <c r="F3787" i="50"/>
  <c r="F3807" i="50"/>
  <c r="G3807" i="50"/>
  <c r="U3807" i="50"/>
  <c r="U3788" i="50"/>
  <c r="U3841" i="50"/>
  <c r="F3841" i="50"/>
  <c r="G3841" i="50"/>
  <c r="V3805" i="50"/>
  <c r="U3805" i="50"/>
  <c r="F3805" i="50"/>
  <c r="V3803" i="50"/>
  <c r="G3803" i="50"/>
  <c r="F3803" i="50"/>
  <c r="V3782" i="50"/>
  <c r="G3782" i="50"/>
  <c r="F3782" i="50"/>
  <c r="V3825" i="50"/>
  <c r="V3841" i="50"/>
  <c r="U3796" i="50"/>
  <c r="G3796" i="50"/>
  <c r="F3796" i="50"/>
  <c r="V3796" i="50"/>
  <c r="V3819" i="50"/>
  <c r="G3819" i="50"/>
  <c r="F3819" i="50"/>
  <c r="U3785" i="50"/>
  <c r="G3785" i="50"/>
  <c r="F3785" i="50"/>
  <c r="V3816" i="50"/>
  <c r="F3816" i="50"/>
  <c r="G3816" i="50"/>
  <c r="U3798" i="50"/>
  <c r="V3807" i="50"/>
  <c r="G3773" i="50"/>
  <c r="B3821" i="50"/>
  <c r="D3821" i="50" s="1"/>
  <c r="E3797" i="50"/>
  <c r="E3839" i="50"/>
  <c r="B3863" i="50"/>
  <c r="D3863" i="50" s="1"/>
  <c r="B3851" i="50"/>
  <c r="D3851" i="50" s="1"/>
  <c r="E3827" i="50"/>
  <c r="V3827" i="50" s="1"/>
  <c r="B3873" i="50"/>
  <c r="D3873" i="50" s="1"/>
  <c r="E3849" i="50"/>
  <c r="V3849" i="50" s="1"/>
  <c r="B3844" i="50"/>
  <c r="D3844" i="50" s="1"/>
  <c r="E3820" i="50"/>
  <c r="U3820" i="50" s="1"/>
  <c r="B3848" i="50"/>
  <c r="D3848" i="50" s="1"/>
  <c r="E3824" i="50"/>
  <c r="B3837" i="50"/>
  <c r="D3837" i="50" s="1"/>
  <c r="E3813" i="50"/>
  <c r="F3813" i="50" s="1"/>
  <c r="B3874" i="50"/>
  <c r="D3874" i="50" s="1"/>
  <c r="E3850" i="50"/>
  <c r="B3833" i="50"/>
  <c r="D3833" i="50" s="1"/>
  <c r="E3809" i="50"/>
  <c r="V3809" i="50" s="1"/>
  <c r="E3812" i="50"/>
  <c r="B3836" i="50"/>
  <c r="D3836" i="50" s="1"/>
  <c r="B3864" i="50"/>
  <c r="D3864" i="50" s="1"/>
  <c r="E3840" i="50"/>
  <c r="E3814" i="50"/>
  <c r="U3814" i="50" s="1"/>
  <c r="B3838" i="50"/>
  <c r="D3838" i="50" s="1"/>
  <c r="E3858" i="50"/>
  <c r="B3882" i="50"/>
  <c r="D3882" i="50" s="1"/>
  <c r="B3890" i="50"/>
  <c r="D3890" i="50" s="1"/>
  <c r="E3866" i="50"/>
  <c r="B3846" i="50"/>
  <c r="D3846" i="50" s="1"/>
  <c r="E3822" i="50"/>
  <c r="V3822" i="50" s="1"/>
  <c r="B3832" i="50"/>
  <c r="D3832" i="50" s="1"/>
  <c r="E3808" i="50"/>
  <c r="B3853" i="50"/>
  <c r="D3853" i="50" s="1"/>
  <c r="E3829" i="50"/>
  <c r="F3829" i="50" s="1"/>
  <c r="B3830" i="50"/>
  <c r="D3830" i="50" s="1"/>
  <c r="E3806" i="50"/>
  <c r="V3806" i="50" s="1"/>
  <c r="B3835" i="50"/>
  <c r="D3835" i="50" s="1"/>
  <c r="E3811" i="50"/>
  <c r="V3811" i="50" s="1"/>
  <c r="B3867" i="50"/>
  <c r="D3867" i="50" s="1"/>
  <c r="E3843" i="50"/>
  <c r="V3843" i="50" s="1"/>
  <c r="B3855" i="50"/>
  <c r="D3855" i="50" s="1"/>
  <c r="E3831" i="50"/>
  <c r="B3889" i="50"/>
  <c r="D3889" i="50" s="1"/>
  <c r="E3865" i="50"/>
  <c r="V3797" i="50" l="1"/>
  <c r="U3797" i="50"/>
  <c r="G3797" i="50"/>
  <c r="G3850" i="50"/>
  <c r="F3850" i="50"/>
  <c r="V3850" i="50"/>
  <c r="U3850" i="50"/>
  <c r="V3866" i="50"/>
  <c r="F3866" i="50"/>
  <c r="G3866" i="50"/>
  <c r="V3813" i="50"/>
  <c r="U3813" i="50"/>
  <c r="G3813" i="50"/>
  <c r="V3804" i="50"/>
  <c r="F3804" i="50"/>
  <c r="G3804" i="50"/>
  <c r="U3866" i="50"/>
  <c r="D3828" i="50"/>
  <c r="B3852" i="50"/>
  <c r="E3828" i="50"/>
  <c r="V3808" i="50"/>
  <c r="U3808" i="50"/>
  <c r="G3808" i="50"/>
  <c r="F3808" i="50"/>
  <c r="G3824" i="50"/>
  <c r="V3824" i="50"/>
  <c r="U3824" i="50"/>
  <c r="F3824" i="50"/>
  <c r="U3804" i="50"/>
  <c r="V3858" i="50"/>
  <c r="U3858" i="50"/>
  <c r="G3858" i="50"/>
  <c r="F3858" i="50"/>
  <c r="G3822" i="50"/>
  <c r="F3822" i="50"/>
  <c r="U3822" i="50"/>
  <c r="F3843" i="50"/>
  <c r="U3843" i="50"/>
  <c r="G3843" i="50"/>
  <c r="V3820" i="50"/>
  <c r="F3820" i="50"/>
  <c r="G3820" i="50"/>
  <c r="V3814" i="50"/>
  <c r="G3814" i="50"/>
  <c r="F3814" i="50"/>
  <c r="G3840" i="50"/>
  <c r="F3840" i="50"/>
  <c r="V3840" i="50"/>
  <c r="U3840" i="50"/>
  <c r="U3849" i="50"/>
  <c r="F3849" i="50"/>
  <c r="G3849" i="50"/>
  <c r="V3799" i="50"/>
  <c r="U3799" i="50"/>
  <c r="G3799" i="50"/>
  <c r="F3799" i="50"/>
  <c r="G3839" i="50"/>
  <c r="F3839" i="50"/>
  <c r="U3839" i="50"/>
  <c r="U3831" i="50"/>
  <c r="G3831" i="50"/>
  <c r="F3831" i="50"/>
  <c r="V3831" i="50"/>
  <c r="F3797" i="50"/>
  <c r="D3823" i="50"/>
  <c r="E3823" i="50"/>
  <c r="B3847" i="50"/>
  <c r="F3806" i="50"/>
  <c r="U3806" i="50"/>
  <c r="G3806" i="50"/>
  <c r="U3827" i="50"/>
  <c r="F3827" i="50"/>
  <c r="G3827" i="50"/>
  <c r="U3865" i="50"/>
  <c r="F3865" i="50"/>
  <c r="G3865" i="50"/>
  <c r="U3811" i="50"/>
  <c r="F3811" i="50"/>
  <c r="G3811" i="50"/>
  <c r="G3812" i="50"/>
  <c r="F3812" i="50"/>
  <c r="V3812" i="50"/>
  <c r="U3812" i="50"/>
  <c r="V3829" i="50"/>
  <c r="U3829" i="50"/>
  <c r="G3829" i="50"/>
  <c r="U3809" i="50"/>
  <c r="F3809" i="50"/>
  <c r="G3809" i="50"/>
  <c r="V3865" i="50"/>
  <c r="V3839" i="50"/>
  <c r="E3855" i="50"/>
  <c r="V3855" i="50" s="1"/>
  <c r="B3879" i="50"/>
  <c r="D3879" i="50" s="1"/>
  <c r="E3830" i="50"/>
  <c r="U3830" i="50" s="1"/>
  <c r="B3854" i="50"/>
  <c r="D3854" i="50" s="1"/>
  <c r="E3890" i="50"/>
  <c r="B3914" i="50"/>
  <c r="D3914" i="50" s="1"/>
  <c r="B3906" i="50"/>
  <c r="D3906" i="50" s="1"/>
  <c r="E3882" i="50"/>
  <c r="U3882" i="50" s="1"/>
  <c r="B3860" i="50"/>
  <c r="D3860" i="50" s="1"/>
  <c r="E3836" i="50"/>
  <c r="B3862" i="50"/>
  <c r="D3862" i="50" s="1"/>
  <c r="E3838" i="50"/>
  <c r="V3838" i="50" s="1"/>
  <c r="E3837" i="50"/>
  <c r="B3861" i="50"/>
  <c r="D3861" i="50" s="1"/>
  <c r="E3851" i="50"/>
  <c r="U3851" i="50" s="1"/>
  <c r="B3875" i="50"/>
  <c r="D3875" i="50" s="1"/>
  <c r="B3888" i="50"/>
  <c r="D3888" i="50" s="1"/>
  <c r="E3864" i="50"/>
  <c r="U3864" i="50" s="1"/>
  <c r="B3887" i="50"/>
  <c r="D3887" i="50" s="1"/>
  <c r="E3863" i="50"/>
  <c r="E3853" i="50"/>
  <c r="G3853" i="50" s="1"/>
  <c r="B3877" i="50"/>
  <c r="D3877" i="50" s="1"/>
  <c r="B3857" i="50"/>
  <c r="D3857" i="50" s="1"/>
  <c r="E3833" i="50"/>
  <c r="V3833" i="50" s="1"/>
  <c r="B3872" i="50"/>
  <c r="D3872" i="50" s="1"/>
  <c r="E3848" i="50"/>
  <c r="B3897" i="50"/>
  <c r="D3897" i="50" s="1"/>
  <c r="E3873" i="50"/>
  <c r="B3856" i="50"/>
  <c r="D3856" i="50" s="1"/>
  <c r="E3832" i="50"/>
  <c r="U3832" i="50" s="1"/>
  <c r="E3844" i="50"/>
  <c r="B3868" i="50"/>
  <c r="D3868" i="50" s="1"/>
  <c r="E3821" i="50"/>
  <c r="G3821" i="50" s="1"/>
  <c r="B3845" i="50"/>
  <c r="D3845" i="50" s="1"/>
  <c r="E3867" i="50"/>
  <c r="U3867" i="50" s="1"/>
  <c r="B3891" i="50"/>
  <c r="D3891" i="50" s="1"/>
  <c r="B3913" i="50"/>
  <c r="D3913" i="50" s="1"/>
  <c r="E3889" i="50"/>
  <c r="V3889" i="50" s="1"/>
  <c r="E3835" i="50"/>
  <c r="B3859" i="50"/>
  <c r="D3859" i="50" s="1"/>
  <c r="E3846" i="50"/>
  <c r="U3846" i="50" s="1"/>
  <c r="B3870" i="50"/>
  <c r="D3870" i="50" s="1"/>
  <c r="E3874" i="50"/>
  <c r="B3898" i="50"/>
  <c r="D3898" i="50" s="1"/>
  <c r="V3851" i="50" l="1"/>
  <c r="G3851" i="50"/>
  <c r="F3851" i="50"/>
  <c r="G3855" i="50"/>
  <c r="F3855" i="50"/>
  <c r="U3855" i="50"/>
  <c r="D3847" i="50"/>
  <c r="B3871" i="50"/>
  <c r="E3847" i="50"/>
  <c r="V3844" i="50"/>
  <c r="U3844" i="50"/>
  <c r="G3844" i="50"/>
  <c r="F3844" i="50"/>
  <c r="G3823" i="50"/>
  <c r="F3823" i="50"/>
  <c r="U3823" i="50"/>
  <c r="V3837" i="50"/>
  <c r="U3837" i="50"/>
  <c r="F3837" i="50"/>
  <c r="V3823" i="50"/>
  <c r="U3873" i="50"/>
  <c r="F3873" i="50"/>
  <c r="G3873" i="50"/>
  <c r="G3838" i="50"/>
  <c r="F3838" i="50"/>
  <c r="U3838" i="50"/>
  <c r="V3873" i="50"/>
  <c r="V3830" i="50"/>
  <c r="G3830" i="50"/>
  <c r="F3830" i="50"/>
  <c r="V3848" i="50"/>
  <c r="F3848" i="50"/>
  <c r="G3848" i="50"/>
  <c r="V3835" i="50"/>
  <c r="G3835" i="50"/>
  <c r="F3835" i="50"/>
  <c r="V3832" i="50"/>
  <c r="F3832" i="50"/>
  <c r="G3832" i="50"/>
  <c r="F3889" i="50"/>
  <c r="U3889" i="50"/>
  <c r="G3889" i="50"/>
  <c r="U3833" i="50"/>
  <c r="F3833" i="50"/>
  <c r="G3833" i="50"/>
  <c r="V3836" i="50"/>
  <c r="F3836" i="50"/>
  <c r="G3836" i="50"/>
  <c r="G3837" i="50"/>
  <c r="V3874" i="50"/>
  <c r="U3874" i="50"/>
  <c r="G3874" i="50"/>
  <c r="F3874" i="50"/>
  <c r="U3848" i="50"/>
  <c r="V3828" i="50"/>
  <c r="U3828" i="50"/>
  <c r="G3828" i="50"/>
  <c r="F3828" i="50"/>
  <c r="V3882" i="50"/>
  <c r="F3882" i="50"/>
  <c r="G3882" i="50"/>
  <c r="D3852" i="50"/>
  <c r="E3852" i="50"/>
  <c r="B3876" i="50"/>
  <c r="V3846" i="50"/>
  <c r="G3846" i="50"/>
  <c r="F3846" i="50"/>
  <c r="F3853" i="50"/>
  <c r="V3853" i="50"/>
  <c r="U3853" i="50"/>
  <c r="U3836" i="50"/>
  <c r="V3863" i="50"/>
  <c r="U3863" i="50"/>
  <c r="G3863" i="50"/>
  <c r="F3863" i="50"/>
  <c r="V3821" i="50"/>
  <c r="U3821" i="50"/>
  <c r="F3821" i="50"/>
  <c r="V3890" i="50"/>
  <c r="U3890" i="50"/>
  <c r="G3890" i="50"/>
  <c r="F3890" i="50"/>
  <c r="V3867" i="50"/>
  <c r="G3867" i="50"/>
  <c r="F3867" i="50"/>
  <c r="V3864" i="50"/>
  <c r="F3864" i="50"/>
  <c r="G3864" i="50"/>
  <c r="U3835" i="50"/>
  <c r="B3880" i="50"/>
  <c r="D3880" i="50" s="1"/>
  <c r="E3856" i="50"/>
  <c r="B3899" i="50"/>
  <c r="D3899" i="50" s="1"/>
  <c r="E3875" i="50"/>
  <c r="V3875" i="50" s="1"/>
  <c r="E3862" i="50"/>
  <c r="B3886" i="50"/>
  <c r="D3886" i="50" s="1"/>
  <c r="B3881" i="50"/>
  <c r="D3881" i="50" s="1"/>
  <c r="E3857" i="50"/>
  <c r="V3857" i="50" s="1"/>
  <c r="B3938" i="50"/>
  <c r="D3938" i="50" s="1"/>
  <c r="E3914" i="50"/>
  <c r="U3914" i="50" s="1"/>
  <c r="B3915" i="50"/>
  <c r="D3915" i="50" s="1"/>
  <c r="E3891" i="50"/>
  <c r="B3901" i="50"/>
  <c r="D3901" i="50" s="1"/>
  <c r="E3877" i="50"/>
  <c r="B3885" i="50"/>
  <c r="D3885" i="50" s="1"/>
  <c r="E3861" i="50"/>
  <c r="F3861" i="50" s="1"/>
  <c r="B3878" i="50"/>
  <c r="D3878" i="50" s="1"/>
  <c r="E3854" i="50"/>
  <c r="V3854" i="50" s="1"/>
  <c r="B3869" i="50"/>
  <c r="D3869" i="50" s="1"/>
  <c r="E3845" i="50"/>
  <c r="E3860" i="50"/>
  <c r="B3884" i="50"/>
  <c r="D3884" i="50" s="1"/>
  <c r="B3922" i="50"/>
  <c r="D3922" i="50" s="1"/>
  <c r="E3898" i="50"/>
  <c r="B3921" i="50"/>
  <c r="D3921" i="50" s="1"/>
  <c r="E3897" i="50"/>
  <c r="V3897" i="50" s="1"/>
  <c r="E3887" i="50"/>
  <c r="V3887" i="50" s="1"/>
  <c r="B3911" i="50"/>
  <c r="D3911" i="50" s="1"/>
  <c r="B3903" i="50"/>
  <c r="D3903" i="50" s="1"/>
  <c r="E3879" i="50"/>
  <c r="B3892" i="50"/>
  <c r="D3892" i="50" s="1"/>
  <c r="E3868" i="50"/>
  <c r="B3912" i="50"/>
  <c r="D3912" i="50" s="1"/>
  <c r="E3888" i="50"/>
  <c r="B3937" i="50"/>
  <c r="D3937" i="50" s="1"/>
  <c r="E3913" i="50"/>
  <c r="V3913" i="50" s="1"/>
  <c r="B3883" i="50"/>
  <c r="D3883" i="50" s="1"/>
  <c r="E3859" i="50"/>
  <c r="E3906" i="50"/>
  <c r="B3930" i="50"/>
  <c r="D3930" i="50" s="1"/>
  <c r="B3894" i="50"/>
  <c r="D3894" i="50" s="1"/>
  <c r="E3870" i="50"/>
  <c r="V3870" i="50" s="1"/>
  <c r="B3896" i="50"/>
  <c r="D3896" i="50" s="1"/>
  <c r="E3872" i="50"/>
  <c r="V3862" i="50" l="1"/>
  <c r="G3862" i="50"/>
  <c r="F3862" i="50"/>
  <c r="U3875" i="50"/>
  <c r="G3875" i="50"/>
  <c r="F3875" i="50"/>
  <c r="U3862" i="50"/>
  <c r="V3856" i="50"/>
  <c r="U3856" i="50"/>
  <c r="F3856" i="50"/>
  <c r="G3856" i="50"/>
  <c r="V3888" i="50"/>
  <c r="U3888" i="50"/>
  <c r="G3888" i="50"/>
  <c r="F3888" i="50"/>
  <c r="F3847" i="50"/>
  <c r="V3847" i="50"/>
  <c r="U3847" i="50"/>
  <c r="G3847" i="50"/>
  <c r="V3877" i="50"/>
  <c r="U3877" i="50"/>
  <c r="G3877" i="50"/>
  <c r="D3876" i="50"/>
  <c r="E3876" i="50"/>
  <c r="B3900" i="50"/>
  <c r="D3871" i="50"/>
  <c r="E3871" i="50"/>
  <c r="B3895" i="50"/>
  <c r="V3868" i="50"/>
  <c r="F3868" i="50"/>
  <c r="G3868" i="50"/>
  <c r="U3891" i="50"/>
  <c r="F3891" i="50"/>
  <c r="G3891" i="50"/>
  <c r="V3852" i="50"/>
  <c r="F3852" i="50"/>
  <c r="G3852" i="50"/>
  <c r="V3879" i="50"/>
  <c r="U3879" i="50"/>
  <c r="G3879" i="50"/>
  <c r="F3879" i="50"/>
  <c r="U3852" i="50"/>
  <c r="V3860" i="50"/>
  <c r="U3860" i="50"/>
  <c r="G3860" i="50"/>
  <c r="F3860" i="50"/>
  <c r="U3897" i="50"/>
  <c r="F3897" i="50"/>
  <c r="G3897" i="50"/>
  <c r="V3914" i="50"/>
  <c r="G3914" i="50"/>
  <c r="F3914" i="50"/>
  <c r="V3872" i="50"/>
  <c r="U3872" i="50"/>
  <c r="G3872" i="50"/>
  <c r="F3872" i="50"/>
  <c r="V3906" i="50"/>
  <c r="U3906" i="50"/>
  <c r="G3906" i="50"/>
  <c r="F3906" i="50"/>
  <c r="U3868" i="50"/>
  <c r="G3870" i="50"/>
  <c r="F3870" i="50"/>
  <c r="U3870" i="50"/>
  <c r="V3898" i="50"/>
  <c r="F3898" i="50"/>
  <c r="G3898" i="50"/>
  <c r="U3857" i="50"/>
  <c r="F3857" i="50"/>
  <c r="G3857" i="50"/>
  <c r="V3845" i="50"/>
  <c r="U3845" i="50"/>
  <c r="G3845" i="50"/>
  <c r="V3861" i="50"/>
  <c r="U3861" i="50"/>
  <c r="G3861" i="50"/>
  <c r="G3887" i="50"/>
  <c r="F3887" i="50"/>
  <c r="U3887" i="50"/>
  <c r="U3859" i="50"/>
  <c r="F3859" i="50"/>
  <c r="G3859" i="50"/>
  <c r="F3845" i="50"/>
  <c r="F3877" i="50"/>
  <c r="G3854" i="50"/>
  <c r="F3854" i="50"/>
  <c r="U3854" i="50"/>
  <c r="F3913" i="50"/>
  <c r="G3913" i="50"/>
  <c r="U3913" i="50"/>
  <c r="V3859" i="50"/>
  <c r="V3891" i="50"/>
  <c r="U3898" i="50"/>
  <c r="B3961" i="50"/>
  <c r="D3961" i="50" s="1"/>
  <c r="E3937" i="50"/>
  <c r="V3937" i="50" s="1"/>
  <c r="E3903" i="50"/>
  <c r="V3903" i="50" s="1"/>
  <c r="B3927" i="50"/>
  <c r="D3927" i="50" s="1"/>
  <c r="B3935" i="50"/>
  <c r="D3935" i="50" s="1"/>
  <c r="E3911" i="50"/>
  <c r="E3938" i="50"/>
  <c r="B3962" i="50"/>
  <c r="D3962" i="50" s="1"/>
  <c r="E3869" i="50"/>
  <c r="B3893" i="50"/>
  <c r="D3893" i="50" s="1"/>
  <c r="E3894" i="50"/>
  <c r="B3918" i="50"/>
  <c r="D3918" i="50" s="1"/>
  <c r="E3885" i="50"/>
  <c r="B3909" i="50"/>
  <c r="D3909" i="50" s="1"/>
  <c r="B3910" i="50"/>
  <c r="D3910" i="50" s="1"/>
  <c r="E3886" i="50"/>
  <c r="V3886" i="50" s="1"/>
  <c r="B3936" i="50"/>
  <c r="D3936" i="50" s="1"/>
  <c r="E3912" i="50"/>
  <c r="B3945" i="50"/>
  <c r="D3945" i="50" s="1"/>
  <c r="E3921" i="50"/>
  <c r="V3921" i="50" s="1"/>
  <c r="E3878" i="50"/>
  <c r="U3878" i="50" s="1"/>
  <c r="B3902" i="50"/>
  <c r="D3902" i="50" s="1"/>
  <c r="B3908" i="50"/>
  <c r="D3908" i="50" s="1"/>
  <c r="E3884" i="50"/>
  <c r="V3884" i="50" s="1"/>
  <c r="E3901" i="50"/>
  <c r="G3901" i="50" s="1"/>
  <c r="B3925" i="50"/>
  <c r="D3925" i="50" s="1"/>
  <c r="B3954" i="50"/>
  <c r="D3954" i="50" s="1"/>
  <c r="E3930" i="50"/>
  <c r="U3930" i="50" s="1"/>
  <c r="E3922" i="50"/>
  <c r="B3946" i="50"/>
  <c r="D3946" i="50" s="1"/>
  <c r="B3905" i="50"/>
  <c r="D3905" i="50" s="1"/>
  <c r="E3881" i="50"/>
  <c r="V3881" i="50" s="1"/>
  <c r="E3899" i="50"/>
  <c r="U3899" i="50" s="1"/>
  <c r="B3923" i="50"/>
  <c r="D3923" i="50" s="1"/>
  <c r="E3915" i="50"/>
  <c r="B3939" i="50"/>
  <c r="D3939" i="50" s="1"/>
  <c r="B3920" i="50"/>
  <c r="D3920" i="50" s="1"/>
  <c r="E3896" i="50"/>
  <c r="U3896" i="50" s="1"/>
  <c r="E3883" i="50"/>
  <c r="U3883" i="50" s="1"/>
  <c r="B3907" i="50"/>
  <c r="D3907" i="50" s="1"/>
  <c r="E3892" i="50"/>
  <c r="B3916" i="50"/>
  <c r="D3916" i="50" s="1"/>
  <c r="B3904" i="50"/>
  <c r="D3904" i="50" s="1"/>
  <c r="E3880" i="50"/>
  <c r="V3885" i="50" l="1"/>
  <c r="U3885" i="50"/>
  <c r="F3885" i="50"/>
  <c r="V3894" i="50"/>
  <c r="F3894" i="50"/>
  <c r="G3894" i="50"/>
  <c r="V3869" i="50"/>
  <c r="U3869" i="50"/>
  <c r="F3869" i="50"/>
  <c r="G3885" i="50"/>
  <c r="V3922" i="50"/>
  <c r="U3922" i="50"/>
  <c r="G3922" i="50"/>
  <c r="F3922" i="50"/>
  <c r="F3884" i="50"/>
  <c r="G3884" i="50"/>
  <c r="U3884" i="50"/>
  <c r="V3938" i="50"/>
  <c r="U3938" i="50"/>
  <c r="G3938" i="50"/>
  <c r="F3938" i="50"/>
  <c r="V3880" i="50"/>
  <c r="G3880" i="50"/>
  <c r="F3880" i="50"/>
  <c r="V3892" i="50"/>
  <c r="U3892" i="50"/>
  <c r="G3892" i="50"/>
  <c r="F3892" i="50"/>
  <c r="V3911" i="50"/>
  <c r="U3911" i="50"/>
  <c r="G3911" i="50"/>
  <c r="F3911" i="50"/>
  <c r="G3915" i="50"/>
  <c r="F3915" i="50"/>
  <c r="V3915" i="50"/>
  <c r="V3878" i="50"/>
  <c r="F3878" i="50"/>
  <c r="G3878" i="50"/>
  <c r="U3894" i="50"/>
  <c r="D3895" i="50"/>
  <c r="E3895" i="50"/>
  <c r="B3919" i="50"/>
  <c r="V3896" i="50"/>
  <c r="G3896" i="50"/>
  <c r="F3896" i="50"/>
  <c r="U3921" i="50"/>
  <c r="F3921" i="50"/>
  <c r="G3921" i="50"/>
  <c r="G3871" i="50"/>
  <c r="F3871" i="50"/>
  <c r="U3871" i="50"/>
  <c r="G3899" i="50"/>
  <c r="F3899" i="50"/>
  <c r="V3899" i="50"/>
  <c r="U3915" i="50"/>
  <c r="V3871" i="50"/>
  <c r="V3883" i="50"/>
  <c r="G3883" i="50"/>
  <c r="F3883" i="50"/>
  <c r="U3881" i="50"/>
  <c r="F3881" i="50"/>
  <c r="G3881" i="50"/>
  <c r="V3912" i="50"/>
  <c r="G3912" i="50"/>
  <c r="F3912" i="50"/>
  <c r="D3900" i="50"/>
  <c r="E3900" i="50"/>
  <c r="B3924" i="50"/>
  <c r="G3903" i="50"/>
  <c r="F3903" i="50"/>
  <c r="U3903" i="50"/>
  <c r="V3876" i="50"/>
  <c r="U3876" i="50"/>
  <c r="G3876" i="50"/>
  <c r="F3876" i="50"/>
  <c r="U3880" i="50"/>
  <c r="V3930" i="50"/>
  <c r="G3930" i="50"/>
  <c r="F3930" i="50"/>
  <c r="V3901" i="50"/>
  <c r="U3901" i="50"/>
  <c r="F3901" i="50"/>
  <c r="G3886" i="50"/>
  <c r="U3886" i="50"/>
  <c r="F3886" i="50"/>
  <c r="U3937" i="50"/>
  <c r="F3937" i="50"/>
  <c r="G3937" i="50"/>
  <c r="U3912" i="50"/>
  <c r="G3869" i="50"/>
  <c r="B3969" i="50"/>
  <c r="D3969" i="50" s="1"/>
  <c r="E3945" i="50"/>
  <c r="V3945" i="50" s="1"/>
  <c r="B3944" i="50"/>
  <c r="D3944" i="50" s="1"/>
  <c r="E3920" i="50"/>
  <c r="E3954" i="50"/>
  <c r="B3978" i="50"/>
  <c r="D3978" i="50" s="1"/>
  <c r="B3951" i="50"/>
  <c r="D3951" i="50" s="1"/>
  <c r="E3927" i="50"/>
  <c r="B3960" i="50"/>
  <c r="D3960" i="50" s="1"/>
  <c r="E3936" i="50"/>
  <c r="B3917" i="50"/>
  <c r="D3917" i="50" s="1"/>
  <c r="E3893" i="50"/>
  <c r="F3893" i="50" s="1"/>
  <c r="B3949" i="50"/>
  <c r="D3949" i="50" s="1"/>
  <c r="E3925" i="50"/>
  <c r="B3985" i="50"/>
  <c r="D3985" i="50" s="1"/>
  <c r="E3961" i="50"/>
  <c r="B3963" i="50"/>
  <c r="D3963" i="50" s="1"/>
  <c r="E3939" i="50"/>
  <c r="E3935" i="50"/>
  <c r="B3959" i="50"/>
  <c r="D3959" i="50" s="1"/>
  <c r="B3928" i="50"/>
  <c r="D3928" i="50" s="1"/>
  <c r="E3904" i="50"/>
  <c r="B3940" i="50"/>
  <c r="D3940" i="50" s="1"/>
  <c r="E3916" i="50"/>
  <c r="V3916" i="50" s="1"/>
  <c r="E3908" i="50"/>
  <c r="B3932" i="50"/>
  <c r="D3932" i="50" s="1"/>
  <c r="B3929" i="50"/>
  <c r="D3929" i="50" s="1"/>
  <c r="E3905" i="50"/>
  <c r="V3905" i="50" s="1"/>
  <c r="B3926" i="50"/>
  <c r="D3926" i="50" s="1"/>
  <c r="E3902" i="50"/>
  <c r="B3933" i="50"/>
  <c r="D3933" i="50" s="1"/>
  <c r="E3909" i="50"/>
  <c r="B3970" i="50"/>
  <c r="D3970" i="50" s="1"/>
  <c r="E3946" i="50"/>
  <c r="B3986" i="50"/>
  <c r="D3986" i="50" s="1"/>
  <c r="E3962" i="50"/>
  <c r="B3931" i="50"/>
  <c r="D3931" i="50" s="1"/>
  <c r="E3907" i="50"/>
  <c r="V3907" i="50" s="1"/>
  <c r="B3947" i="50"/>
  <c r="D3947" i="50" s="1"/>
  <c r="E3923" i="50"/>
  <c r="V3923" i="50" s="1"/>
  <c r="E3910" i="50"/>
  <c r="U3910" i="50" s="1"/>
  <c r="B3934" i="50"/>
  <c r="D3934" i="50" s="1"/>
  <c r="B3942" i="50"/>
  <c r="D3942" i="50" s="1"/>
  <c r="E3918" i="50"/>
  <c r="G3935" i="50" l="1"/>
  <c r="F3935" i="50"/>
  <c r="U3935" i="50"/>
  <c r="U3954" i="50"/>
  <c r="G3954" i="50"/>
  <c r="F3954" i="50"/>
  <c r="V3954" i="50"/>
  <c r="D3924" i="50"/>
  <c r="E3924" i="50"/>
  <c r="B3948" i="50"/>
  <c r="V3935" i="50"/>
  <c r="V3927" i="50"/>
  <c r="U3927" i="50"/>
  <c r="G3927" i="50"/>
  <c r="F3927" i="50"/>
  <c r="U3920" i="50"/>
  <c r="G3920" i="50"/>
  <c r="F3920" i="50"/>
  <c r="V3920" i="50"/>
  <c r="F3900" i="50"/>
  <c r="G3900" i="50"/>
  <c r="U3900" i="50"/>
  <c r="V3900" i="50"/>
  <c r="V3895" i="50"/>
  <c r="U3895" i="50"/>
  <c r="G3895" i="50"/>
  <c r="F3895" i="50"/>
  <c r="U3939" i="50"/>
  <c r="G3939" i="50"/>
  <c r="F3939" i="50"/>
  <c r="V3925" i="50"/>
  <c r="U3925" i="50"/>
  <c r="G3925" i="50"/>
  <c r="V3939" i="50"/>
  <c r="G3961" i="50"/>
  <c r="F3961" i="50"/>
  <c r="U3961" i="50"/>
  <c r="U3893" i="50"/>
  <c r="G3893" i="50"/>
  <c r="V3893" i="50"/>
  <c r="F3925" i="50"/>
  <c r="V3961" i="50"/>
  <c r="U3962" i="50"/>
  <c r="G3962" i="50"/>
  <c r="F3962" i="50"/>
  <c r="V3962" i="50"/>
  <c r="V3909" i="50"/>
  <c r="U3909" i="50"/>
  <c r="G3909" i="50"/>
  <c r="F3918" i="50"/>
  <c r="U3918" i="50"/>
  <c r="G3918" i="50"/>
  <c r="V3918" i="50"/>
  <c r="U3946" i="50"/>
  <c r="G3946" i="50"/>
  <c r="F3946" i="50"/>
  <c r="V3946" i="50"/>
  <c r="U3905" i="50"/>
  <c r="F3905" i="50"/>
  <c r="G3905" i="50"/>
  <c r="G3902" i="50"/>
  <c r="U3902" i="50"/>
  <c r="F3902" i="50"/>
  <c r="V3908" i="50"/>
  <c r="U3908" i="50"/>
  <c r="G3908" i="50"/>
  <c r="F3908" i="50"/>
  <c r="V3904" i="50"/>
  <c r="U3904" i="50"/>
  <c r="G3904" i="50"/>
  <c r="F3904" i="50"/>
  <c r="V3910" i="50"/>
  <c r="F3910" i="50"/>
  <c r="G3910" i="50"/>
  <c r="U3907" i="50"/>
  <c r="G3907" i="50"/>
  <c r="F3907" i="50"/>
  <c r="G3936" i="50"/>
  <c r="F3936" i="50"/>
  <c r="V3936" i="50"/>
  <c r="U3936" i="50"/>
  <c r="F3945" i="50"/>
  <c r="G3945" i="50"/>
  <c r="U3945" i="50"/>
  <c r="U3923" i="50"/>
  <c r="G3923" i="50"/>
  <c r="F3923" i="50"/>
  <c r="F3916" i="50"/>
  <c r="G3916" i="50"/>
  <c r="U3916" i="50"/>
  <c r="D3919" i="50"/>
  <c r="E3919" i="50"/>
  <c r="B3943" i="50"/>
  <c r="V3902" i="50"/>
  <c r="F3909" i="50"/>
  <c r="E3917" i="50"/>
  <c r="U3917" i="50" s="1"/>
  <c r="B3941" i="50"/>
  <c r="D3941" i="50" s="1"/>
  <c r="E3986" i="50"/>
  <c r="B4010" i="50"/>
  <c r="D4010" i="50" s="1"/>
  <c r="B3953" i="50"/>
  <c r="D3953" i="50" s="1"/>
  <c r="E3929" i="50"/>
  <c r="V3929" i="50" s="1"/>
  <c r="B3952" i="50"/>
  <c r="D3952" i="50" s="1"/>
  <c r="E3928" i="50"/>
  <c r="B3983" i="50"/>
  <c r="D3983" i="50" s="1"/>
  <c r="E3959" i="50"/>
  <c r="B3993" i="50"/>
  <c r="D3993" i="50" s="1"/>
  <c r="E3969" i="50"/>
  <c r="E3963" i="50"/>
  <c r="B3987" i="50"/>
  <c r="D3987" i="50" s="1"/>
  <c r="E3970" i="50"/>
  <c r="B3994" i="50"/>
  <c r="D3994" i="50" s="1"/>
  <c r="B3956" i="50"/>
  <c r="D3956" i="50" s="1"/>
  <c r="E3932" i="50"/>
  <c r="V3932" i="50" s="1"/>
  <c r="B4009" i="50"/>
  <c r="D4009" i="50" s="1"/>
  <c r="E3985" i="50"/>
  <c r="B4002" i="50"/>
  <c r="D4002" i="50" s="1"/>
  <c r="E3978" i="50"/>
  <c r="E3949" i="50"/>
  <c r="G3949" i="50" s="1"/>
  <c r="B3973" i="50"/>
  <c r="D3973" i="50" s="1"/>
  <c r="B3984" i="50"/>
  <c r="D3984" i="50" s="1"/>
  <c r="E3960" i="50"/>
  <c r="E3947" i="50"/>
  <c r="B3971" i="50"/>
  <c r="D3971" i="50" s="1"/>
  <c r="E3933" i="50"/>
  <c r="B3957" i="50"/>
  <c r="D3957" i="50" s="1"/>
  <c r="B3968" i="50"/>
  <c r="D3968" i="50" s="1"/>
  <c r="E3944" i="50"/>
  <c r="E3951" i="50"/>
  <c r="F3951" i="50" s="1"/>
  <c r="B3975" i="50"/>
  <c r="D3975" i="50" s="1"/>
  <c r="E3931" i="50"/>
  <c r="U3931" i="50" s="1"/>
  <c r="B3955" i="50"/>
  <c r="D3955" i="50" s="1"/>
  <c r="E3942" i="50"/>
  <c r="B3966" i="50"/>
  <c r="D3966" i="50" s="1"/>
  <c r="B3958" i="50"/>
  <c r="D3958" i="50" s="1"/>
  <c r="E3934" i="50"/>
  <c r="V3934" i="50" s="1"/>
  <c r="E3926" i="50"/>
  <c r="U3926" i="50" s="1"/>
  <c r="B3950" i="50"/>
  <c r="D3950" i="50" s="1"/>
  <c r="E3940" i="50"/>
  <c r="B3964" i="50"/>
  <c r="D3964" i="50" s="1"/>
  <c r="U3947" i="50" l="1"/>
  <c r="G3947" i="50"/>
  <c r="F3947" i="50"/>
  <c r="F3960" i="50"/>
  <c r="G3960" i="50"/>
  <c r="V3960" i="50"/>
  <c r="U3960" i="50"/>
  <c r="D3943" i="50"/>
  <c r="B3967" i="50"/>
  <c r="E3943" i="50"/>
  <c r="U3963" i="50"/>
  <c r="G3963" i="50"/>
  <c r="F3963" i="50"/>
  <c r="G3919" i="50"/>
  <c r="F3919" i="50"/>
  <c r="U3919" i="50"/>
  <c r="V3947" i="50"/>
  <c r="F3934" i="50"/>
  <c r="U3934" i="50"/>
  <c r="G3934" i="50"/>
  <c r="V3969" i="50"/>
  <c r="U3969" i="50"/>
  <c r="G3969" i="50"/>
  <c r="V3919" i="50"/>
  <c r="D3948" i="50"/>
  <c r="B3972" i="50"/>
  <c r="E3948" i="50"/>
  <c r="V3933" i="50"/>
  <c r="F3933" i="50"/>
  <c r="G3933" i="50"/>
  <c r="V3924" i="50"/>
  <c r="U3924" i="50"/>
  <c r="G3924" i="50"/>
  <c r="F3924" i="50"/>
  <c r="V3926" i="50"/>
  <c r="F3926" i="50"/>
  <c r="G3926" i="50"/>
  <c r="V3959" i="50"/>
  <c r="G3959" i="50"/>
  <c r="F3959" i="50"/>
  <c r="V3963" i="50"/>
  <c r="V3942" i="50"/>
  <c r="F3942" i="50"/>
  <c r="G3942" i="50"/>
  <c r="U3933" i="50"/>
  <c r="U3970" i="50"/>
  <c r="G3970" i="50"/>
  <c r="F3970" i="50"/>
  <c r="V3970" i="50"/>
  <c r="V3985" i="50"/>
  <c r="U3985" i="50"/>
  <c r="G3985" i="50"/>
  <c r="V3928" i="50"/>
  <c r="F3928" i="50"/>
  <c r="G3928" i="50"/>
  <c r="U3928" i="50"/>
  <c r="V3931" i="50"/>
  <c r="G3931" i="50"/>
  <c r="F3931" i="50"/>
  <c r="G3929" i="50"/>
  <c r="F3929" i="50"/>
  <c r="U3929" i="50"/>
  <c r="U3940" i="50"/>
  <c r="G3940" i="50"/>
  <c r="F3940" i="50"/>
  <c r="V3940" i="50"/>
  <c r="V3917" i="50"/>
  <c r="F3917" i="50"/>
  <c r="G3917" i="50"/>
  <c r="F3944" i="50"/>
  <c r="G3944" i="50"/>
  <c r="V3944" i="50"/>
  <c r="U3944" i="50"/>
  <c r="U3942" i="50"/>
  <c r="F3969" i="50"/>
  <c r="F3949" i="50"/>
  <c r="V3949" i="50"/>
  <c r="U3949" i="50"/>
  <c r="F3932" i="50"/>
  <c r="U3932" i="50"/>
  <c r="G3932" i="50"/>
  <c r="U3986" i="50"/>
  <c r="V3986" i="50"/>
  <c r="G3986" i="50"/>
  <c r="F3986" i="50"/>
  <c r="F3985" i="50"/>
  <c r="F3978" i="50"/>
  <c r="V3978" i="50"/>
  <c r="U3978" i="50"/>
  <c r="G3978" i="50"/>
  <c r="V3951" i="50"/>
  <c r="U3951" i="50"/>
  <c r="G3951" i="50"/>
  <c r="U3959" i="50"/>
  <c r="B4018" i="50"/>
  <c r="D4018" i="50" s="1"/>
  <c r="E3994" i="50"/>
  <c r="B3965" i="50"/>
  <c r="D3965" i="50" s="1"/>
  <c r="E3941" i="50"/>
  <c r="B4017" i="50"/>
  <c r="D4017" i="50" s="1"/>
  <c r="E3993" i="50"/>
  <c r="B3981" i="50"/>
  <c r="D3981" i="50" s="1"/>
  <c r="E3957" i="50"/>
  <c r="B3976" i="50"/>
  <c r="D3976" i="50" s="1"/>
  <c r="E3952" i="50"/>
  <c r="U3952" i="50" s="1"/>
  <c r="B4011" i="50"/>
  <c r="D4011" i="50" s="1"/>
  <c r="E3987" i="50"/>
  <c r="B3990" i="50"/>
  <c r="D3990" i="50" s="1"/>
  <c r="E3966" i="50"/>
  <c r="B3995" i="50"/>
  <c r="D3995" i="50" s="1"/>
  <c r="E3971" i="50"/>
  <c r="E3956" i="50"/>
  <c r="G3956" i="50" s="1"/>
  <c r="B3980" i="50"/>
  <c r="D3980" i="50" s="1"/>
  <c r="B3977" i="50"/>
  <c r="D3977" i="50" s="1"/>
  <c r="E3953" i="50"/>
  <c r="B3992" i="50"/>
  <c r="D3992" i="50" s="1"/>
  <c r="E3968" i="50"/>
  <c r="U3968" i="50" s="1"/>
  <c r="B3997" i="50"/>
  <c r="D3997" i="50" s="1"/>
  <c r="E3973" i="50"/>
  <c r="B4034" i="50"/>
  <c r="D4034" i="50" s="1"/>
  <c r="E4010" i="50"/>
  <c r="B4008" i="50"/>
  <c r="D4008" i="50" s="1"/>
  <c r="E3984" i="50"/>
  <c r="U3984" i="50" s="1"/>
  <c r="B3974" i="50"/>
  <c r="D3974" i="50" s="1"/>
  <c r="E3950" i="50"/>
  <c r="E4002" i="50"/>
  <c r="B4026" i="50"/>
  <c r="D4026" i="50" s="1"/>
  <c r="B4033" i="50"/>
  <c r="D4033" i="50" s="1"/>
  <c r="E4009" i="50"/>
  <c r="E3958" i="50"/>
  <c r="V3958" i="50" s="1"/>
  <c r="B3982" i="50"/>
  <c r="D3982" i="50" s="1"/>
  <c r="B3979" i="50"/>
  <c r="D3979" i="50" s="1"/>
  <c r="E3955" i="50"/>
  <c r="V3955" i="50" s="1"/>
  <c r="B3988" i="50"/>
  <c r="D3988" i="50" s="1"/>
  <c r="E3964" i="50"/>
  <c r="B3999" i="50"/>
  <c r="D3999" i="50" s="1"/>
  <c r="E3975" i="50"/>
  <c r="U3975" i="50" s="1"/>
  <c r="E3983" i="50"/>
  <c r="F3983" i="50" s="1"/>
  <c r="B4007" i="50"/>
  <c r="D4007" i="50" s="1"/>
  <c r="U3953" i="50" l="1"/>
  <c r="G3953" i="50"/>
  <c r="V3953" i="50"/>
  <c r="V3941" i="50"/>
  <c r="U3941" i="50"/>
  <c r="G3941" i="50"/>
  <c r="V3948" i="50"/>
  <c r="U3948" i="50"/>
  <c r="G3948" i="50"/>
  <c r="F3948" i="50"/>
  <c r="F3956" i="50"/>
  <c r="U3956" i="50"/>
  <c r="V3956" i="50"/>
  <c r="D3972" i="50"/>
  <c r="B3996" i="50"/>
  <c r="E3972" i="50"/>
  <c r="U3971" i="50"/>
  <c r="G3971" i="50"/>
  <c r="V3971" i="50"/>
  <c r="F3971" i="50"/>
  <c r="U3994" i="50"/>
  <c r="F3994" i="50"/>
  <c r="V3994" i="50"/>
  <c r="G3994" i="50"/>
  <c r="V3943" i="50"/>
  <c r="U3943" i="50"/>
  <c r="G3943" i="50"/>
  <c r="F3943" i="50"/>
  <c r="V4002" i="50"/>
  <c r="G4002" i="50"/>
  <c r="F4002" i="50"/>
  <c r="U4002" i="50"/>
  <c r="D3967" i="50"/>
  <c r="E3967" i="50"/>
  <c r="B3991" i="50"/>
  <c r="V3950" i="50"/>
  <c r="U3950" i="50"/>
  <c r="G3950" i="50"/>
  <c r="F3950" i="50"/>
  <c r="G3966" i="50"/>
  <c r="F3966" i="50"/>
  <c r="V3966" i="50"/>
  <c r="U3966" i="50"/>
  <c r="F3953" i="50"/>
  <c r="F3993" i="50"/>
  <c r="V3993" i="50"/>
  <c r="U3993" i="50"/>
  <c r="G3993" i="50"/>
  <c r="V3983" i="50"/>
  <c r="U3983" i="50"/>
  <c r="G3983" i="50"/>
  <c r="F3941" i="50"/>
  <c r="V3968" i="50"/>
  <c r="G3968" i="50"/>
  <c r="F3968" i="50"/>
  <c r="U3958" i="50"/>
  <c r="G3958" i="50"/>
  <c r="F3958" i="50"/>
  <c r="V3975" i="50"/>
  <c r="G3975" i="50"/>
  <c r="F3975" i="50"/>
  <c r="V3984" i="50"/>
  <c r="G3984" i="50"/>
  <c r="F3984" i="50"/>
  <c r="G3987" i="50"/>
  <c r="V3987" i="50"/>
  <c r="U3987" i="50"/>
  <c r="F3987" i="50"/>
  <c r="V4010" i="50"/>
  <c r="G4010" i="50"/>
  <c r="F4010" i="50"/>
  <c r="U4010" i="50"/>
  <c r="V3952" i="50"/>
  <c r="G3952" i="50"/>
  <c r="F3952" i="50"/>
  <c r="V3964" i="50"/>
  <c r="U3964" i="50"/>
  <c r="G3964" i="50"/>
  <c r="F3964" i="50"/>
  <c r="F3955" i="50"/>
  <c r="U3955" i="50"/>
  <c r="G3955" i="50"/>
  <c r="V3973" i="50"/>
  <c r="F3973" i="50"/>
  <c r="U3973" i="50"/>
  <c r="G3973" i="50"/>
  <c r="F3957" i="50"/>
  <c r="U3957" i="50"/>
  <c r="G3957" i="50"/>
  <c r="V3957" i="50"/>
  <c r="F4009" i="50"/>
  <c r="V4009" i="50"/>
  <c r="U4009" i="50"/>
  <c r="G4009" i="50"/>
  <c r="F3999" i="50"/>
  <c r="E3974" i="50"/>
  <c r="B3998" i="50"/>
  <c r="D3998" i="50" s="1"/>
  <c r="B4004" i="50"/>
  <c r="D4004" i="50" s="1"/>
  <c r="E3980" i="50"/>
  <c r="E3990" i="50"/>
  <c r="B4014" i="50"/>
  <c r="D4014" i="50" s="1"/>
  <c r="B4041" i="50"/>
  <c r="D4041" i="50" s="1"/>
  <c r="E4017" i="50"/>
  <c r="E3997" i="50"/>
  <c r="G3997" i="50" s="1"/>
  <c r="B4021" i="50"/>
  <c r="D4021" i="50" s="1"/>
  <c r="B4031" i="50"/>
  <c r="D4031" i="50" s="1"/>
  <c r="E4007" i="50"/>
  <c r="E3988" i="50"/>
  <c r="B4012" i="50"/>
  <c r="D4012" i="50" s="1"/>
  <c r="B4057" i="50"/>
  <c r="D4057" i="50" s="1"/>
  <c r="E4033" i="50"/>
  <c r="B4000" i="50"/>
  <c r="D4000" i="50" s="1"/>
  <c r="E3976" i="50"/>
  <c r="E3965" i="50"/>
  <c r="G3965" i="50" s="1"/>
  <c r="B3989" i="50"/>
  <c r="D3989" i="50" s="1"/>
  <c r="E3999" i="50"/>
  <c r="B4023" i="50"/>
  <c r="D4023" i="50" s="1"/>
  <c r="B4032" i="50"/>
  <c r="D4032" i="50" s="1"/>
  <c r="E4008" i="50"/>
  <c r="V4008" i="50" s="1"/>
  <c r="E4011" i="50"/>
  <c r="B4035" i="50"/>
  <c r="D4035" i="50" s="1"/>
  <c r="B4016" i="50"/>
  <c r="D4016" i="50" s="1"/>
  <c r="E3992" i="50"/>
  <c r="E3979" i="50"/>
  <c r="V3979" i="50" s="1"/>
  <c r="B4003" i="50"/>
  <c r="D4003" i="50" s="1"/>
  <c r="E3981" i="50"/>
  <c r="B4005" i="50"/>
  <c r="D4005" i="50" s="1"/>
  <c r="E4018" i="50"/>
  <c r="B4042" i="50"/>
  <c r="D4042" i="50" s="1"/>
  <c r="B4006" i="50"/>
  <c r="D4006" i="50" s="1"/>
  <c r="E3982" i="50"/>
  <c r="E4034" i="50"/>
  <c r="B4058" i="50"/>
  <c r="D4058" i="50" s="1"/>
  <c r="B4050" i="50"/>
  <c r="D4050" i="50" s="1"/>
  <c r="E4026" i="50"/>
  <c r="B4001" i="50"/>
  <c r="D4001" i="50" s="1"/>
  <c r="E3977" i="50"/>
  <c r="E3995" i="50"/>
  <c r="V3995" i="50" s="1"/>
  <c r="B4019" i="50"/>
  <c r="D4019" i="50" s="1"/>
  <c r="G3972" i="50" l="1"/>
  <c r="V3980" i="50"/>
  <c r="U3980" i="50"/>
  <c r="G3980" i="50"/>
  <c r="F3980" i="50"/>
  <c r="F3976" i="50"/>
  <c r="V3976" i="50"/>
  <c r="U3976" i="50"/>
  <c r="G3976" i="50"/>
  <c r="V4033" i="50"/>
  <c r="G4033" i="50"/>
  <c r="U4033" i="50"/>
  <c r="F4033" i="50"/>
  <c r="V3981" i="50"/>
  <c r="U3981" i="50"/>
  <c r="F3981" i="50"/>
  <c r="F3974" i="50"/>
  <c r="U3974" i="50"/>
  <c r="V3974" i="50"/>
  <c r="U3990" i="50"/>
  <c r="F3990" i="50"/>
  <c r="V3990" i="50"/>
  <c r="V3988" i="50"/>
  <c r="U3988" i="50"/>
  <c r="F3988" i="50"/>
  <c r="G3990" i="50"/>
  <c r="F3992" i="50"/>
  <c r="G3992" i="50"/>
  <c r="V3992" i="50"/>
  <c r="U3992" i="50"/>
  <c r="V4007" i="50"/>
  <c r="G4007" i="50"/>
  <c r="F4007" i="50"/>
  <c r="G3974" i="50"/>
  <c r="G3988" i="50"/>
  <c r="U4007" i="50"/>
  <c r="V3977" i="50"/>
  <c r="G3977" i="50"/>
  <c r="F3977" i="50"/>
  <c r="D3991" i="50"/>
  <c r="B4015" i="50"/>
  <c r="E3991" i="50"/>
  <c r="U4011" i="50"/>
  <c r="G4011" i="50"/>
  <c r="V4011" i="50"/>
  <c r="F4011" i="50"/>
  <c r="V3967" i="50"/>
  <c r="U3967" i="50"/>
  <c r="G3967" i="50"/>
  <c r="G3981" i="50"/>
  <c r="G4008" i="50"/>
  <c r="F4008" i="50"/>
  <c r="U4008" i="50"/>
  <c r="F3967" i="50"/>
  <c r="U3977" i="50"/>
  <c r="F4026" i="50"/>
  <c r="V4026" i="50"/>
  <c r="U4026" i="50"/>
  <c r="G4026" i="50"/>
  <c r="V3997" i="50"/>
  <c r="U3997" i="50"/>
  <c r="F3997" i="50"/>
  <c r="U3979" i="50"/>
  <c r="G3979" i="50"/>
  <c r="F3979" i="50"/>
  <c r="U3972" i="50"/>
  <c r="F3972" i="50"/>
  <c r="V3972" i="50"/>
  <c r="G3982" i="50"/>
  <c r="F3982" i="50"/>
  <c r="V3982" i="50"/>
  <c r="U3982" i="50"/>
  <c r="F3965" i="50"/>
  <c r="V3965" i="50"/>
  <c r="U3965" i="50"/>
  <c r="V4018" i="50"/>
  <c r="U4018" i="50"/>
  <c r="G4018" i="50"/>
  <c r="F4018" i="50"/>
  <c r="F3995" i="50"/>
  <c r="G3995" i="50"/>
  <c r="U3995" i="50"/>
  <c r="U4017" i="50"/>
  <c r="F4017" i="50"/>
  <c r="G4017" i="50"/>
  <c r="V4017" i="50"/>
  <c r="V4034" i="50"/>
  <c r="U4034" i="50"/>
  <c r="G4034" i="50"/>
  <c r="F4034" i="50"/>
  <c r="V3999" i="50"/>
  <c r="U3999" i="50"/>
  <c r="G3999" i="50"/>
  <c r="D3996" i="50"/>
  <c r="B4020" i="50"/>
  <c r="E3996" i="50"/>
  <c r="E4006" i="50"/>
  <c r="B4030" i="50"/>
  <c r="D4030" i="50" s="1"/>
  <c r="B4059" i="50"/>
  <c r="D4059" i="50" s="1"/>
  <c r="E4035" i="50"/>
  <c r="B4065" i="50"/>
  <c r="D4065" i="50" s="1"/>
  <c r="E4041" i="50"/>
  <c r="B4027" i="50"/>
  <c r="D4027" i="50" s="1"/>
  <c r="E4003" i="50"/>
  <c r="E4050" i="50"/>
  <c r="B4074" i="50"/>
  <c r="D4074" i="50" s="1"/>
  <c r="B4024" i="50"/>
  <c r="D4024" i="50" s="1"/>
  <c r="E4000" i="50"/>
  <c r="U4000" i="50" s="1"/>
  <c r="B4038" i="50"/>
  <c r="D4038" i="50" s="1"/>
  <c r="E4014" i="50"/>
  <c r="E4031" i="50"/>
  <c r="B4055" i="50"/>
  <c r="D4055" i="50" s="1"/>
  <c r="B4066" i="50"/>
  <c r="D4066" i="50" s="1"/>
  <c r="E4042" i="50"/>
  <c r="E4004" i="50"/>
  <c r="B4028" i="50"/>
  <c r="D4028" i="50" s="1"/>
  <c r="B4029" i="50"/>
  <c r="D4029" i="50" s="1"/>
  <c r="E4005" i="50"/>
  <c r="B4056" i="50"/>
  <c r="D4056" i="50" s="1"/>
  <c r="E4032" i="50"/>
  <c r="U4032" i="50" s="1"/>
  <c r="B4025" i="50"/>
  <c r="D4025" i="50" s="1"/>
  <c r="E4001" i="50"/>
  <c r="B4082" i="50"/>
  <c r="D4082" i="50" s="1"/>
  <c r="E4058" i="50"/>
  <c r="B4040" i="50"/>
  <c r="D4040" i="50" s="1"/>
  <c r="E4016" i="50"/>
  <c r="B4047" i="50"/>
  <c r="D4047" i="50" s="1"/>
  <c r="E4023" i="50"/>
  <c r="B4043" i="50"/>
  <c r="D4043" i="50" s="1"/>
  <c r="E4019" i="50"/>
  <c r="B4045" i="50"/>
  <c r="D4045" i="50" s="1"/>
  <c r="E4021" i="50"/>
  <c r="B4022" i="50"/>
  <c r="D4022" i="50" s="1"/>
  <c r="E3998" i="50"/>
  <c r="B4036" i="50"/>
  <c r="D4036" i="50" s="1"/>
  <c r="E4012" i="50"/>
  <c r="B4013" i="50"/>
  <c r="D4013" i="50" s="1"/>
  <c r="E3989" i="50"/>
  <c r="B4081" i="50"/>
  <c r="D4081" i="50" s="1"/>
  <c r="E4057" i="50"/>
  <c r="U4003" i="50" l="1"/>
  <c r="V4003" i="50"/>
  <c r="G4003" i="50"/>
  <c r="F4003" i="50"/>
  <c r="F4041" i="50"/>
  <c r="V4041" i="50"/>
  <c r="U4041" i="50"/>
  <c r="G4041" i="50"/>
  <c r="V3991" i="50"/>
  <c r="G3991" i="50"/>
  <c r="F3991" i="50"/>
  <c r="D4015" i="50"/>
  <c r="E4015" i="50"/>
  <c r="B4039" i="50"/>
  <c r="F4050" i="50"/>
  <c r="V4050" i="50"/>
  <c r="U4050" i="50"/>
  <c r="G4050" i="50"/>
  <c r="U3991" i="50"/>
  <c r="F4004" i="50"/>
  <c r="V4004" i="50"/>
  <c r="G4004" i="50"/>
  <c r="U4004" i="50"/>
  <c r="U4042" i="50"/>
  <c r="G4042" i="50"/>
  <c r="V4042" i="50"/>
  <c r="F4042" i="50"/>
  <c r="U4035" i="50"/>
  <c r="V4035" i="50"/>
  <c r="G4035" i="50"/>
  <c r="F4035" i="50"/>
  <c r="V3998" i="50"/>
  <c r="G3998" i="50"/>
  <c r="F3998" i="50"/>
  <c r="U3998" i="50"/>
  <c r="V4023" i="50"/>
  <c r="G4023" i="50"/>
  <c r="F4023" i="50"/>
  <c r="V4031" i="50"/>
  <c r="U4031" i="50"/>
  <c r="G4031" i="50"/>
  <c r="V4006" i="50"/>
  <c r="F4006" i="50"/>
  <c r="U4006" i="50"/>
  <c r="G4006" i="50"/>
  <c r="U4023" i="50"/>
  <c r="F4005" i="50"/>
  <c r="U4005" i="50"/>
  <c r="G4005" i="50"/>
  <c r="V4005" i="50"/>
  <c r="G4057" i="50"/>
  <c r="F4057" i="50"/>
  <c r="V4057" i="50"/>
  <c r="U4057" i="50"/>
  <c r="G4014" i="50"/>
  <c r="F4014" i="50"/>
  <c r="V4014" i="50"/>
  <c r="U4014" i="50"/>
  <c r="V3996" i="50"/>
  <c r="U3996" i="50"/>
  <c r="G3996" i="50"/>
  <c r="F3996" i="50"/>
  <c r="F4031" i="50"/>
  <c r="V4012" i="50"/>
  <c r="U4012" i="50"/>
  <c r="G4012" i="50"/>
  <c r="F4012" i="50"/>
  <c r="V4016" i="50"/>
  <c r="G4016" i="50"/>
  <c r="F4016" i="50"/>
  <c r="D4020" i="50"/>
  <c r="E4020" i="50"/>
  <c r="B4044" i="50"/>
  <c r="U4016" i="50"/>
  <c r="V4032" i="50"/>
  <c r="G4032" i="50"/>
  <c r="F4032" i="50"/>
  <c r="U4019" i="50"/>
  <c r="V4019" i="50"/>
  <c r="G4019" i="50"/>
  <c r="F4019" i="50"/>
  <c r="F3989" i="50"/>
  <c r="V3989" i="50"/>
  <c r="U3989" i="50"/>
  <c r="G3989" i="50"/>
  <c r="G4058" i="50"/>
  <c r="U4058" i="50"/>
  <c r="F4058" i="50"/>
  <c r="V4058" i="50"/>
  <c r="V4000" i="50"/>
  <c r="G4000" i="50"/>
  <c r="F4000" i="50"/>
  <c r="V4001" i="50"/>
  <c r="G4001" i="50"/>
  <c r="U4001" i="50"/>
  <c r="F4001" i="50"/>
  <c r="U4021" i="50"/>
  <c r="G4021" i="50"/>
  <c r="F4021" i="50"/>
  <c r="V4021" i="50"/>
  <c r="E4045" i="50"/>
  <c r="B4069" i="50"/>
  <c r="D4069" i="50" s="1"/>
  <c r="E4027" i="50"/>
  <c r="B4051" i="50"/>
  <c r="D4051" i="50" s="1"/>
  <c r="E4043" i="50"/>
  <c r="B4067" i="50"/>
  <c r="D4067" i="50" s="1"/>
  <c r="B4090" i="50"/>
  <c r="D4090" i="50" s="1"/>
  <c r="E4066" i="50"/>
  <c r="B4083" i="50"/>
  <c r="D4083" i="50" s="1"/>
  <c r="E4059" i="50"/>
  <c r="E4029" i="50"/>
  <c r="G4029" i="50" s="1"/>
  <c r="B4053" i="50"/>
  <c r="D4053" i="50" s="1"/>
  <c r="B4089" i="50"/>
  <c r="D4089" i="50" s="1"/>
  <c r="E4065" i="50"/>
  <c r="E4047" i="50"/>
  <c r="B4071" i="50"/>
  <c r="D4071" i="50" s="1"/>
  <c r="B4052" i="50"/>
  <c r="D4052" i="50" s="1"/>
  <c r="E4028" i="50"/>
  <c r="B4049" i="50"/>
  <c r="D4049" i="50" s="1"/>
  <c r="E4025" i="50"/>
  <c r="G4025" i="50" s="1"/>
  <c r="E4081" i="50"/>
  <c r="B4105" i="50"/>
  <c r="D4105" i="50" s="1"/>
  <c r="E4013" i="50"/>
  <c r="G4013" i="50" s="1"/>
  <c r="B4037" i="50"/>
  <c r="D4037" i="50" s="1"/>
  <c r="B4079" i="50"/>
  <c r="D4079" i="50" s="1"/>
  <c r="E4055" i="50"/>
  <c r="U4055" i="50" s="1"/>
  <c r="B4054" i="50"/>
  <c r="D4054" i="50" s="1"/>
  <c r="E4030" i="50"/>
  <c r="B4064" i="50"/>
  <c r="D4064" i="50" s="1"/>
  <c r="E4040" i="50"/>
  <c r="E4038" i="50"/>
  <c r="B4062" i="50"/>
  <c r="D4062" i="50" s="1"/>
  <c r="B4080" i="50"/>
  <c r="D4080" i="50" s="1"/>
  <c r="E4056" i="50"/>
  <c r="V4056" i="50" s="1"/>
  <c r="B4106" i="50"/>
  <c r="D4106" i="50" s="1"/>
  <c r="E4082" i="50"/>
  <c r="B4048" i="50"/>
  <c r="D4048" i="50" s="1"/>
  <c r="E4024" i="50"/>
  <c r="V4024" i="50" s="1"/>
  <c r="E4022" i="50"/>
  <c r="B4046" i="50"/>
  <c r="D4046" i="50" s="1"/>
  <c r="E4074" i="50"/>
  <c r="B4098" i="50"/>
  <c r="D4098" i="50" s="1"/>
  <c r="E4036" i="50"/>
  <c r="B4060" i="50"/>
  <c r="D4060" i="50" s="1"/>
  <c r="V4045" i="50" l="1"/>
  <c r="U4045" i="50"/>
  <c r="F4045" i="50"/>
  <c r="U4020" i="50"/>
  <c r="F4015" i="50"/>
  <c r="G4040" i="50"/>
  <c r="F4040" i="50"/>
  <c r="U4040" i="50"/>
  <c r="V4040" i="50"/>
  <c r="G4047" i="50"/>
  <c r="V4047" i="50"/>
  <c r="U4047" i="50"/>
  <c r="F4047" i="50"/>
  <c r="V4028" i="50"/>
  <c r="U4028" i="50"/>
  <c r="G4028" i="50"/>
  <c r="F4028" i="50"/>
  <c r="V4065" i="50"/>
  <c r="G4065" i="50"/>
  <c r="U4065" i="50"/>
  <c r="F4065" i="50"/>
  <c r="G4045" i="50"/>
  <c r="U4027" i="50"/>
  <c r="G4027" i="50"/>
  <c r="V4027" i="50"/>
  <c r="F4027" i="50"/>
  <c r="D4039" i="50"/>
  <c r="E4039" i="50"/>
  <c r="B4063" i="50"/>
  <c r="F4036" i="50"/>
  <c r="V4036" i="50"/>
  <c r="G4036" i="50"/>
  <c r="U4036" i="50"/>
  <c r="V4022" i="50"/>
  <c r="F4022" i="50"/>
  <c r="G4022" i="50"/>
  <c r="U4022" i="50"/>
  <c r="V4029" i="50"/>
  <c r="U4029" i="50"/>
  <c r="F4029" i="50"/>
  <c r="U4059" i="50"/>
  <c r="G4059" i="50"/>
  <c r="V4059" i="50"/>
  <c r="F4059" i="50"/>
  <c r="V4015" i="50"/>
  <c r="U4015" i="50"/>
  <c r="G4015" i="50"/>
  <c r="U4066" i="50"/>
  <c r="V4066" i="50"/>
  <c r="G4066" i="50"/>
  <c r="F4066" i="50"/>
  <c r="U4030" i="50"/>
  <c r="G4030" i="50"/>
  <c r="F4030" i="50"/>
  <c r="V4030" i="50"/>
  <c r="V4013" i="50"/>
  <c r="U4013" i="50"/>
  <c r="F4013" i="50"/>
  <c r="G4024" i="50"/>
  <c r="F4024" i="50"/>
  <c r="U4024" i="50"/>
  <c r="F4020" i="50"/>
  <c r="V4020" i="50"/>
  <c r="G4020" i="50"/>
  <c r="F4074" i="50"/>
  <c r="V4074" i="50"/>
  <c r="U4074" i="50"/>
  <c r="G4074" i="50"/>
  <c r="G4082" i="50"/>
  <c r="F4082" i="50"/>
  <c r="V4082" i="50"/>
  <c r="U4082" i="50"/>
  <c r="G4081" i="50"/>
  <c r="U4081" i="50"/>
  <c r="F4081" i="50"/>
  <c r="V4081" i="50"/>
  <c r="F4043" i="50"/>
  <c r="G4043" i="50"/>
  <c r="U4043" i="50"/>
  <c r="V4043" i="50"/>
  <c r="D4044" i="50"/>
  <c r="B4068" i="50"/>
  <c r="E4044" i="50"/>
  <c r="F4038" i="50"/>
  <c r="V4038" i="50"/>
  <c r="U4038" i="50"/>
  <c r="G4038" i="50"/>
  <c r="V4055" i="50"/>
  <c r="G4055" i="50"/>
  <c r="F4055" i="50"/>
  <c r="G4056" i="50"/>
  <c r="F4056" i="50"/>
  <c r="U4056" i="50"/>
  <c r="F4025" i="50"/>
  <c r="V4025" i="50"/>
  <c r="U4025" i="50"/>
  <c r="B4086" i="50"/>
  <c r="D4086" i="50" s="1"/>
  <c r="E4062" i="50"/>
  <c r="E4090" i="50"/>
  <c r="B4114" i="50"/>
  <c r="D4114" i="50" s="1"/>
  <c r="B4129" i="50"/>
  <c r="D4129" i="50" s="1"/>
  <c r="E4105" i="50"/>
  <c r="B4076" i="50"/>
  <c r="D4076" i="50" s="1"/>
  <c r="E4052" i="50"/>
  <c r="B4091" i="50"/>
  <c r="D4091" i="50" s="1"/>
  <c r="E4067" i="50"/>
  <c r="B4103" i="50"/>
  <c r="D4103" i="50" s="1"/>
  <c r="E4079" i="50"/>
  <c r="B4095" i="50"/>
  <c r="D4095" i="50" s="1"/>
  <c r="E4071" i="50"/>
  <c r="U4071" i="50" s="1"/>
  <c r="E4064" i="50"/>
  <c r="B4088" i="50"/>
  <c r="D4088" i="50" s="1"/>
  <c r="B4061" i="50"/>
  <c r="D4061" i="50" s="1"/>
  <c r="E4037" i="50"/>
  <c r="B4122" i="50"/>
  <c r="D4122" i="50" s="1"/>
  <c r="E4098" i="50"/>
  <c r="B4104" i="50"/>
  <c r="D4104" i="50" s="1"/>
  <c r="E4080" i="50"/>
  <c r="E4049" i="50"/>
  <c r="B4073" i="50"/>
  <c r="D4073" i="50" s="1"/>
  <c r="B4078" i="50"/>
  <c r="D4078" i="50" s="1"/>
  <c r="E4054" i="50"/>
  <c r="B4113" i="50"/>
  <c r="D4113" i="50" s="1"/>
  <c r="E4089" i="50"/>
  <c r="B4093" i="50"/>
  <c r="D4093" i="50" s="1"/>
  <c r="E4069" i="50"/>
  <c r="B4072" i="50"/>
  <c r="D4072" i="50" s="1"/>
  <c r="E4048" i="50"/>
  <c r="B4070" i="50"/>
  <c r="D4070" i="50" s="1"/>
  <c r="E4046" i="50"/>
  <c r="E4106" i="50"/>
  <c r="B4130" i="50"/>
  <c r="D4130" i="50" s="1"/>
  <c r="B4077" i="50"/>
  <c r="D4077" i="50" s="1"/>
  <c r="E4053" i="50"/>
  <c r="B4075" i="50"/>
  <c r="D4075" i="50" s="1"/>
  <c r="E4051" i="50"/>
  <c r="B4084" i="50"/>
  <c r="D4084" i="50" s="1"/>
  <c r="E4060" i="50"/>
  <c r="E4083" i="50"/>
  <c r="B4107" i="50"/>
  <c r="D4107" i="50" s="1"/>
  <c r="V4051" i="50" l="1"/>
  <c r="G4051" i="50"/>
  <c r="F4051" i="50"/>
  <c r="U4051" i="50"/>
  <c r="U4067" i="50"/>
  <c r="V4067" i="50"/>
  <c r="G4067" i="50"/>
  <c r="F4067" i="50"/>
  <c r="D4063" i="50"/>
  <c r="B4087" i="50"/>
  <c r="E4063" i="50"/>
  <c r="G4049" i="50"/>
  <c r="U4049" i="50"/>
  <c r="F4049" i="50"/>
  <c r="V4049" i="50"/>
  <c r="V4039" i="50"/>
  <c r="G4039" i="50"/>
  <c r="F4039" i="50"/>
  <c r="V4080" i="50"/>
  <c r="U4080" i="50"/>
  <c r="G4080" i="50"/>
  <c r="F4080" i="50"/>
  <c r="U4052" i="50"/>
  <c r="F4052" i="50"/>
  <c r="V4052" i="50"/>
  <c r="G4052" i="50"/>
  <c r="U4039" i="50"/>
  <c r="U4098" i="50"/>
  <c r="V4098" i="50"/>
  <c r="G4098" i="50"/>
  <c r="F4098" i="50"/>
  <c r="F4106" i="50"/>
  <c r="V4106" i="50"/>
  <c r="U4106" i="50"/>
  <c r="G4106" i="50"/>
  <c r="V4037" i="50"/>
  <c r="F4037" i="50"/>
  <c r="U4037" i="50"/>
  <c r="G4037" i="50"/>
  <c r="V4060" i="50"/>
  <c r="U4060" i="50"/>
  <c r="G4060" i="50"/>
  <c r="F4060" i="50"/>
  <c r="G4090" i="50"/>
  <c r="F4090" i="50"/>
  <c r="V4090" i="50"/>
  <c r="U4090" i="50"/>
  <c r="F4053" i="50"/>
  <c r="V4053" i="50"/>
  <c r="U4053" i="50"/>
  <c r="G4053" i="50"/>
  <c r="V4048" i="50"/>
  <c r="U4048" i="50"/>
  <c r="G4048" i="50"/>
  <c r="F4048" i="50"/>
  <c r="G4062" i="50"/>
  <c r="F4062" i="50"/>
  <c r="V4062" i="50"/>
  <c r="U4062" i="50"/>
  <c r="V4054" i="50"/>
  <c r="F4054" i="50"/>
  <c r="U4054" i="50"/>
  <c r="G4054" i="50"/>
  <c r="G4105" i="50"/>
  <c r="F4105" i="50"/>
  <c r="U4105" i="50"/>
  <c r="V4105" i="50"/>
  <c r="V4046" i="50"/>
  <c r="U4046" i="50"/>
  <c r="G4046" i="50"/>
  <c r="F4046" i="50"/>
  <c r="V4064" i="50"/>
  <c r="U4064" i="50"/>
  <c r="G4064" i="50"/>
  <c r="F4064" i="50"/>
  <c r="V4044" i="50"/>
  <c r="U4044" i="50"/>
  <c r="G4044" i="50"/>
  <c r="F4044" i="50"/>
  <c r="V4071" i="50"/>
  <c r="G4071" i="50"/>
  <c r="F4071" i="50"/>
  <c r="D4068" i="50"/>
  <c r="E4068" i="50"/>
  <c r="B4092" i="50"/>
  <c r="U4069" i="50"/>
  <c r="G4069" i="50"/>
  <c r="V4069" i="50"/>
  <c r="F4069" i="50"/>
  <c r="G4089" i="50"/>
  <c r="F4089" i="50"/>
  <c r="V4089" i="50"/>
  <c r="U4089" i="50"/>
  <c r="V4079" i="50"/>
  <c r="U4079" i="50"/>
  <c r="G4079" i="50"/>
  <c r="V4083" i="50"/>
  <c r="U4083" i="50"/>
  <c r="G4083" i="50"/>
  <c r="F4083" i="50"/>
  <c r="F4079" i="50"/>
  <c r="E4113" i="50"/>
  <c r="B4137" i="50"/>
  <c r="D4137" i="50" s="1"/>
  <c r="B4119" i="50"/>
  <c r="D4119" i="50" s="1"/>
  <c r="E4095" i="50"/>
  <c r="F4095" i="50" s="1"/>
  <c r="B4115" i="50"/>
  <c r="D4115" i="50" s="1"/>
  <c r="E4091" i="50"/>
  <c r="B4097" i="50"/>
  <c r="D4097" i="50" s="1"/>
  <c r="E4073" i="50"/>
  <c r="E4076" i="50"/>
  <c r="B4100" i="50"/>
  <c r="D4100" i="50" s="1"/>
  <c r="B4108" i="50"/>
  <c r="D4108" i="50" s="1"/>
  <c r="E4084" i="50"/>
  <c r="B4094" i="50"/>
  <c r="D4094" i="50" s="1"/>
  <c r="E4070" i="50"/>
  <c r="E4078" i="50"/>
  <c r="B4102" i="50"/>
  <c r="D4102" i="50" s="1"/>
  <c r="B4085" i="50"/>
  <c r="D4085" i="50" s="1"/>
  <c r="E4061" i="50"/>
  <c r="G4061" i="50" s="1"/>
  <c r="B4112" i="50"/>
  <c r="D4112" i="50" s="1"/>
  <c r="E4088" i="50"/>
  <c r="V4088" i="50" s="1"/>
  <c r="E4129" i="50"/>
  <c r="U4129" i="50" s="1"/>
  <c r="B4153" i="50"/>
  <c r="D4153" i="50" s="1"/>
  <c r="B4127" i="50"/>
  <c r="D4127" i="50" s="1"/>
  <c r="E4103" i="50"/>
  <c r="U4103" i="50" s="1"/>
  <c r="B4099" i="50"/>
  <c r="D4099" i="50" s="1"/>
  <c r="E4075" i="50"/>
  <c r="B4128" i="50"/>
  <c r="D4128" i="50" s="1"/>
  <c r="E4104" i="50"/>
  <c r="V4104" i="50" s="1"/>
  <c r="B4138" i="50"/>
  <c r="D4138" i="50" s="1"/>
  <c r="E4114" i="50"/>
  <c r="B4131" i="50"/>
  <c r="D4131" i="50" s="1"/>
  <c r="E4107" i="50"/>
  <c r="B4096" i="50"/>
  <c r="D4096" i="50" s="1"/>
  <c r="E4072" i="50"/>
  <c r="V4072" i="50" s="1"/>
  <c r="B4110" i="50"/>
  <c r="D4110" i="50" s="1"/>
  <c r="E4086" i="50"/>
  <c r="B4154" i="50"/>
  <c r="D4154" i="50" s="1"/>
  <c r="E4130" i="50"/>
  <c r="E4122" i="50"/>
  <c r="B4146" i="50"/>
  <c r="D4146" i="50" s="1"/>
  <c r="B4101" i="50"/>
  <c r="D4101" i="50" s="1"/>
  <c r="E4077" i="50"/>
  <c r="G4077" i="50" s="1"/>
  <c r="B4117" i="50"/>
  <c r="D4117" i="50" s="1"/>
  <c r="E4093" i="50"/>
  <c r="V4113" i="50" l="1"/>
  <c r="G4113" i="50"/>
  <c r="F4113" i="50"/>
  <c r="V4078" i="50"/>
  <c r="U4078" i="50"/>
  <c r="G4078" i="50"/>
  <c r="F4078" i="50"/>
  <c r="V4070" i="50"/>
  <c r="U4070" i="50"/>
  <c r="G4070" i="50"/>
  <c r="F4070" i="50"/>
  <c r="U4113" i="50"/>
  <c r="V4114" i="50"/>
  <c r="U4114" i="50"/>
  <c r="G4114" i="50"/>
  <c r="F4114" i="50"/>
  <c r="G4104" i="50"/>
  <c r="F4104" i="50"/>
  <c r="U4104" i="50"/>
  <c r="V4063" i="50"/>
  <c r="U4063" i="50"/>
  <c r="G4063" i="50"/>
  <c r="U4084" i="50"/>
  <c r="F4084" i="50"/>
  <c r="V4084" i="50"/>
  <c r="G4084" i="50"/>
  <c r="D4092" i="50"/>
  <c r="E4092" i="50"/>
  <c r="B4116" i="50"/>
  <c r="D4087" i="50"/>
  <c r="B4111" i="50"/>
  <c r="E4087" i="50"/>
  <c r="F4068" i="50"/>
  <c r="G4068" i="50"/>
  <c r="V4068" i="50"/>
  <c r="U4068" i="50"/>
  <c r="F4063" i="50"/>
  <c r="U4075" i="50"/>
  <c r="V4075" i="50"/>
  <c r="F4075" i="50"/>
  <c r="G4075" i="50"/>
  <c r="F4122" i="50"/>
  <c r="V4122" i="50"/>
  <c r="U4122" i="50"/>
  <c r="G4122" i="50"/>
  <c r="V4076" i="50"/>
  <c r="U4076" i="50"/>
  <c r="G4076" i="50"/>
  <c r="F4076" i="50"/>
  <c r="V4103" i="50"/>
  <c r="G4103" i="50"/>
  <c r="F4103" i="50"/>
  <c r="F4073" i="50"/>
  <c r="V4073" i="50"/>
  <c r="U4073" i="50"/>
  <c r="G4073" i="50"/>
  <c r="V4077" i="50"/>
  <c r="U4077" i="50"/>
  <c r="F4077" i="50"/>
  <c r="V4086" i="50"/>
  <c r="F4086" i="50"/>
  <c r="U4086" i="50"/>
  <c r="G4086" i="50"/>
  <c r="U4091" i="50"/>
  <c r="V4091" i="50"/>
  <c r="F4091" i="50"/>
  <c r="G4091" i="50"/>
  <c r="V4129" i="50"/>
  <c r="G4129" i="50"/>
  <c r="F4129" i="50"/>
  <c r="G4072" i="50"/>
  <c r="F4072" i="50"/>
  <c r="U4072" i="50"/>
  <c r="G4088" i="50"/>
  <c r="F4088" i="50"/>
  <c r="U4088" i="50"/>
  <c r="V4095" i="50"/>
  <c r="U4095" i="50"/>
  <c r="G4095" i="50"/>
  <c r="V4093" i="50"/>
  <c r="U4093" i="50"/>
  <c r="F4093" i="50"/>
  <c r="G4093" i="50"/>
  <c r="V4130" i="50"/>
  <c r="U4130" i="50"/>
  <c r="G4130" i="50"/>
  <c r="F4130" i="50"/>
  <c r="G4107" i="50"/>
  <c r="U4107" i="50"/>
  <c r="V4107" i="50"/>
  <c r="F4107" i="50"/>
  <c r="V4061" i="50"/>
  <c r="U4061" i="50"/>
  <c r="F4061" i="50"/>
  <c r="B4151" i="50"/>
  <c r="D4151" i="50" s="1"/>
  <c r="E4127" i="50"/>
  <c r="F4127" i="50" s="1"/>
  <c r="E4094" i="50"/>
  <c r="B4118" i="50"/>
  <c r="D4118" i="50" s="1"/>
  <c r="E4138" i="50"/>
  <c r="B4162" i="50"/>
  <c r="D4162" i="50" s="1"/>
  <c r="B4136" i="50"/>
  <c r="D4136" i="50" s="1"/>
  <c r="E4112" i="50"/>
  <c r="E4108" i="50"/>
  <c r="B4132" i="50"/>
  <c r="D4132" i="50" s="1"/>
  <c r="B4143" i="50"/>
  <c r="D4143" i="50" s="1"/>
  <c r="E4119" i="50"/>
  <c r="U4119" i="50" s="1"/>
  <c r="E4110" i="50"/>
  <c r="B4134" i="50"/>
  <c r="D4134" i="50" s="1"/>
  <c r="B4124" i="50"/>
  <c r="D4124" i="50" s="1"/>
  <c r="E4100" i="50"/>
  <c r="B4161" i="50"/>
  <c r="D4161" i="50" s="1"/>
  <c r="E4137" i="50"/>
  <c r="E4096" i="50"/>
  <c r="B4120" i="50"/>
  <c r="D4120" i="50" s="1"/>
  <c r="B4152" i="50"/>
  <c r="D4152" i="50" s="1"/>
  <c r="E4128" i="50"/>
  <c r="B4170" i="50"/>
  <c r="D4170" i="50" s="1"/>
  <c r="E4146" i="50"/>
  <c r="E4097" i="50"/>
  <c r="U4097" i="50" s="1"/>
  <c r="B4121" i="50"/>
  <c r="D4121" i="50" s="1"/>
  <c r="E4131" i="50"/>
  <c r="B4155" i="50"/>
  <c r="D4155" i="50" s="1"/>
  <c r="E4085" i="50"/>
  <c r="B4109" i="50"/>
  <c r="D4109" i="50" s="1"/>
  <c r="B4126" i="50"/>
  <c r="D4126" i="50" s="1"/>
  <c r="E4102" i="50"/>
  <c r="E4115" i="50"/>
  <c r="B4139" i="50"/>
  <c r="D4139" i="50" s="1"/>
  <c r="E4101" i="50"/>
  <c r="B4125" i="50"/>
  <c r="D4125" i="50" s="1"/>
  <c r="E4117" i="50"/>
  <c r="B4141" i="50"/>
  <c r="D4141" i="50" s="1"/>
  <c r="E4154" i="50"/>
  <c r="F4154" i="50" s="1"/>
  <c r="B4178" i="50"/>
  <c r="D4178" i="50" s="1"/>
  <c r="E4099" i="50"/>
  <c r="B4123" i="50"/>
  <c r="D4123" i="50" s="1"/>
  <c r="B4177" i="50"/>
  <c r="D4177" i="50" s="1"/>
  <c r="E4153" i="50"/>
  <c r="U4087" i="50" l="1"/>
  <c r="V4146" i="50"/>
  <c r="U4146" i="50"/>
  <c r="G4146" i="50"/>
  <c r="F4146" i="50"/>
  <c r="V4108" i="50"/>
  <c r="U4108" i="50"/>
  <c r="G4108" i="50"/>
  <c r="F4108" i="50"/>
  <c r="D4116" i="50"/>
  <c r="E4116" i="50"/>
  <c r="B4140" i="50"/>
  <c r="V4087" i="50"/>
  <c r="G4087" i="50"/>
  <c r="F4087" i="50"/>
  <c r="V4112" i="50"/>
  <c r="U4112" i="50"/>
  <c r="G4112" i="50"/>
  <c r="F4112" i="50"/>
  <c r="V4092" i="50"/>
  <c r="U4092" i="50"/>
  <c r="G4092" i="50"/>
  <c r="F4092" i="50"/>
  <c r="V4096" i="50"/>
  <c r="U4096" i="50"/>
  <c r="G4096" i="50"/>
  <c r="F4096" i="50"/>
  <c r="D4111" i="50"/>
  <c r="E4111" i="50"/>
  <c r="B4135" i="50"/>
  <c r="G4138" i="50"/>
  <c r="F4138" i="50"/>
  <c r="V4138" i="50"/>
  <c r="U4138" i="50"/>
  <c r="V4102" i="50"/>
  <c r="F4102" i="50"/>
  <c r="G4102" i="50"/>
  <c r="U4102" i="50"/>
  <c r="G4137" i="50"/>
  <c r="F4137" i="50"/>
  <c r="U4137" i="50"/>
  <c r="F4117" i="50"/>
  <c r="V4117" i="50"/>
  <c r="U4117" i="50"/>
  <c r="G4117" i="50"/>
  <c r="G4094" i="50"/>
  <c r="F4094" i="50"/>
  <c r="V4094" i="50"/>
  <c r="U4094" i="50"/>
  <c r="U4100" i="50"/>
  <c r="V4100" i="50"/>
  <c r="G4100" i="50"/>
  <c r="F4100" i="50"/>
  <c r="V4127" i="50"/>
  <c r="U4127" i="50"/>
  <c r="G4127" i="50"/>
  <c r="F4085" i="50"/>
  <c r="V4085" i="50"/>
  <c r="G4085" i="50"/>
  <c r="U4085" i="50"/>
  <c r="G4115" i="50"/>
  <c r="F4115" i="50"/>
  <c r="U4115" i="50"/>
  <c r="V4115" i="50"/>
  <c r="G4153" i="50"/>
  <c r="F4153" i="50"/>
  <c r="U4153" i="50"/>
  <c r="V4137" i="50"/>
  <c r="V4119" i="50"/>
  <c r="G4119" i="50"/>
  <c r="F4119" i="50"/>
  <c r="G4131" i="50"/>
  <c r="F4131" i="50"/>
  <c r="U4131" i="50"/>
  <c r="V4131" i="50"/>
  <c r="V4153" i="50"/>
  <c r="G4154" i="50"/>
  <c r="U4154" i="50"/>
  <c r="V4154" i="50"/>
  <c r="U4101" i="50"/>
  <c r="G4101" i="50"/>
  <c r="V4101" i="50"/>
  <c r="F4101" i="50"/>
  <c r="V4128" i="50"/>
  <c r="U4128" i="50"/>
  <c r="G4128" i="50"/>
  <c r="F4128" i="50"/>
  <c r="G4099" i="50"/>
  <c r="F4099" i="50"/>
  <c r="V4099" i="50"/>
  <c r="U4099" i="50"/>
  <c r="V4097" i="50"/>
  <c r="G4097" i="50"/>
  <c r="F4097" i="50"/>
  <c r="V4110" i="50"/>
  <c r="U4110" i="50"/>
  <c r="G4110" i="50"/>
  <c r="F4110" i="50"/>
  <c r="B4142" i="50"/>
  <c r="D4142" i="50" s="1"/>
  <c r="E4118" i="50"/>
  <c r="B4167" i="50"/>
  <c r="D4167" i="50" s="1"/>
  <c r="E4143" i="50"/>
  <c r="F4143" i="50" s="1"/>
  <c r="B4133" i="50"/>
  <c r="D4133" i="50" s="1"/>
  <c r="E4109" i="50"/>
  <c r="B4156" i="50"/>
  <c r="D4156" i="50" s="1"/>
  <c r="E4132" i="50"/>
  <c r="B4202" i="50"/>
  <c r="D4202" i="50" s="1"/>
  <c r="E4178" i="50"/>
  <c r="E4126" i="50"/>
  <c r="B4150" i="50"/>
  <c r="D4150" i="50" s="1"/>
  <c r="B4145" i="50"/>
  <c r="D4145" i="50" s="1"/>
  <c r="E4121" i="50"/>
  <c r="V4121" i="50" s="1"/>
  <c r="B4179" i="50"/>
  <c r="D4179" i="50" s="1"/>
  <c r="E4155" i="50"/>
  <c r="E4170" i="50"/>
  <c r="B4194" i="50"/>
  <c r="D4194" i="50" s="1"/>
  <c r="E4161" i="50"/>
  <c r="U4161" i="50" s="1"/>
  <c r="B4185" i="50"/>
  <c r="D4185" i="50" s="1"/>
  <c r="B4160" i="50"/>
  <c r="D4160" i="50" s="1"/>
  <c r="E4136" i="50"/>
  <c r="V4136" i="50" s="1"/>
  <c r="B4176" i="50"/>
  <c r="D4176" i="50" s="1"/>
  <c r="E4152" i="50"/>
  <c r="E4124" i="50"/>
  <c r="B4148" i="50"/>
  <c r="D4148" i="50" s="1"/>
  <c r="B4175" i="50"/>
  <c r="D4175" i="50" s="1"/>
  <c r="E4151" i="50"/>
  <c r="B4165" i="50"/>
  <c r="D4165" i="50" s="1"/>
  <c r="E4141" i="50"/>
  <c r="B4149" i="50"/>
  <c r="D4149" i="50" s="1"/>
  <c r="E4125" i="50"/>
  <c r="B4144" i="50"/>
  <c r="D4144" i="50" s="1"/>
  <c r="E4120" i="50"/>
  <c r="E4177" i="50"/>
  <c r="U4177" i="50" s="1"/>
  <c r="B4201" i="50"/>
  <c r="D4201" i="50" s="1"/>
  <c r="B4147" i="50"/>
  <c r="D4147" i="50" s="1"/>
  <c r="E4123" i="50"/>
  <c r="B4163" i="50"/>
  <c r="D4163" i="50" s="1"/>
  <c r="E4139" i="50"/>
  <c r="B4158" i="50"/>
  <c r="D4158" i="50" s="1"/>
  <c r="E4134" i="50"/>
  <c r="B4186" i="50"/>
  <c r="D4186" i="50" s="1"/>
  <c r="E4162" i="50"/>
  <c r="V4141" i="50" l="1"/>
  <c r="U4141" i="50"/>
  <c r="F4141" i="50"/>
  <c r="U4155" i="50"/>
  <c r="G4155" i="50"/>
  <c r="V4155" i="50"/>
  <c r="F4155" i="50"/>
  <c r="V4125" i="50"/>
  <c r="U4125" i="50"/>
  <c r="F4125" i="50"/>
  <c r="F4111" i="50"/>
  <c r="D4140" i="50"/>
  <c r="E4140" i="50"/>
  <c r="B4164" i="50"/>
  <c r="V4111" i="50"/>
  <c r="U4111" i="50"/>
  <c r="G4111" i="50"/>
  <c r="G4121" i="50"/>
  <c r="F4121" i="50"/>
  <c r="U4121" i="50"/>
  <c r="U4116" i="50"/>
  <c r="V4116" i="50"/>
  <c r="G4116" i="50"/>
  <c r="F4116" i="50"/>
  <c r="G4170" i="50"/>
  <c r="V4170" i="50"/>
  <c r="U4170" i="50"/>
  <c r="V4151" i="50"/>
  <c r="G4151" i="50"/>
  <c r="F4151" i="50"/>
  <c r="V4124" i="50"/>
  <c r="U4124" i="50"/>
  <c r="G4124" i="50"/>
  <c r="F4124" i="50"/>
  <c r="U4126" i="50"/>
  <c r="G4126" i="50"/>
  <c r="F4126" i="50"/>
  <c r="V4126" i="50"/>
  <c r="G4125" i="50"/>
  <c r="U4162" i="50"/>
  <c r="G4162" i="50"/>
  <c r="F4162" i="50"/>
  <c r="V4162" i="50"/>
  <c r="G4152" i="50"/>
  <c r="F4152" i="50"/>
  <c r="U4152" i="50"/>
  <c r="V4178" i="50"/>
  <c r="U4178" i="50"/>
  <c r="G4178" i="50"/>
  <c r="F4178" i="50"/>
  <c r="F4170" i="50"/>
  <c r="V4118" i="50"/>
  <c r="F4118" i="50"/>
  <c r="U4118" i="50"/>
  <c r="G4118" i="50"/>
  <c r="V4134" i="50"/>
  <c r="F4134" i="50"/>
  <c r="U4134" i="50"/>
  <c r="G4134" i="50"/>
  <c r="U4132" i="50"/>
  <c r="V4132" i="50"/>
  <c r="G4132" i="50"/>
  <c r="F4132" i="50"/>
  <c r="V4152" i="50"/>
  <c r="U4151" i="50"/>
  <c r="U4139" i="50"/>
  <c r="G4139" i="50"/>
  <c r="V4139" i="50"/>
  <c r="F4139" i="50"/>
  <c r="V4109" i="50"/>
  <c r="U4109" i="50"/>
  <c r="F4109" i="50"/>
  <c r="U4123" i="50"/>
  <c r="G4123" i="50"/>
  <c r="V4123" i="50"/>
  <c r="F4123" i="50"/>
  <c r="G4136" i="50"/>
  <c r="F4136" i="50"/>
  <c r="U4136" i="50"/>
  <c r="V4143" i="50"/>
  <c r="U4143" i="50"/>
  <c r="G4143" i="50"/>
  <c r="G4141" i="50"/>
  <c r="V4177" i="50"/>
  <c r="G4177" i="50"/>
  <c r="F4177" i="50"/>
  <c r="G4120" i="50"/>
  <c r="F4120" i="50"/>
  <c r="U4120" i="50"/>
  <c r="V4161" i="50"/>
  <c r="G4161" i="50"/>
  <c r="F4161" i="50"/>
  <c r="G4109" i="50"/>
  <c r="D4135" i="50"/>
  <c r="B4159" i="50"/>
  <c r="E4135" i="50"/>
  <c r="V4120" i="50"/>
  <c r="B4218" i="50"/>
  <c r="D4218" i="50" s="1"/>
  <c r="E4194" i="50"/>
  <c r="E4165" i="50"/>
  <c r="B4189" i="50"/>
  <c r="D4189" i="50" s="1"/>
  <c r="E4156" i="50"/>
  <c r="B4180" i="50"/>
  <c r="D4180" i="50" s="1"/>
  <c r="B4199" i="50"/>
  <c r="D4199" i="50" s="1"/>
  <c r="E4175" i="50"/>
  <c r="F4175" i="50" s="1"/>
  <c r="E4133" i="50"/>
  <c r="B4157" i="50"/>
  <c r="D4157" i="50" s="1"/>
  <c r="B4172" i="50"/>
  <c r="D4172" i="50" s="1"/>
  <c r="E4148" i="50"/>
  <c r="E4179" i="50"/>
  <c r="B4203" i="50"/>
  <c r="D4203" i="50" s="1"/>
  <c r="B4184" i="50"/>
  <c r="D4184" i="50" s="1"/>
  <c r="E4160" i="50"/>
  <c r="E4145" i="50"/>
  <c r="B4169" i="50"/>
  <c r="D4169" i="50" s="1"/>
  <c r="B4174" i="50"/>
  <c r="D4174" i="50" s="1"/>
  <c r="E4150" i="50"/>
  <c r="E4163" i="50"/>
  <c r="B4187" i="50"/>
  <c r="D4187" i="50" s="1"/>
  <c r="E4147" i="50"/>
  <c r="B4171" i="50"/>
  <c r="D4171" i="50" s="1"/>
  <c r="B4200" i="50"/>
  <c r="D4200" i="50" s="1"/>
  <c r="E4176" i="50"/>
  <c r="B4225" i="50"/>
  <c r="D4225" i="50" s="1"/>
  <c r="E4201" i="50"/>
  <c r="V4201" i="50" s="1"/>
  <c r="B4168" i="50"/>
  <c r="D4168" i="50" s="1"/>
  <c r="E4144" i="50"/>
  <c r="B4191" i="50"/>
  <c r="D4191" i="50" s="1"/>
  <c r="E4167" i="50"/>
  <c r="E4158" i="50"/>
  <c r="B4182" i="50"/>
  <c r="D4182" i="50" s="1"/>
  <c r="B4209" i="50"/>
  <c r="D4209" i="50" s="1"/>
  <c r="E4185" i="50"/>
  <c r="E4186" i="50"/>
  <c r="F4186" i="50" s="1"/>
  <c r="B4210" i="50"/>
  <c r="D4210" i="50" s="1"/>
  <c r="E4149" i="50"/>
  <c r="B4173" i="50"/>
  <c r="D4173" i="50" s="1"/>
  <c r="E4202" i="50"/>
  <c r="F4202" i="50" s="1"/>
  <c r="B4226" i="50"/>
  <c r="D4226" i="50" s="1"/>
  <c r="E4142" i="50"/>
  <c r="B4166" i="50"/>
  <c r="D4166" i="50" s="1"/>
  <c r="D4164" i="50" l="1"/>
  <c r="E4164" i="50"/>
  <c r="B4188" i="50"/>
  <c r="U4158" i="50"/>
  <c r="G4158" i="50"/>
  <c r="F4158" i="50"/>
  <c r="V4158" i="50"/>
  <c r="V4145" i="50"/>
  <c r="G4145" i="50"/>
  <c r="F4145" i="50"/>
  <c r="V4140" i="50"/>
  <c r="U4140" i="50"/>
  <c r="G4140" i="50"/>
  <c r="F4140" i="50"/>
  <c r="F4150" i="50"/>
  <c r="V4150" i="50"/>
  <c r="U4150" i="50"/>
  <c r="G4150" i="50"/>
  <c r="V4160" i="50"/>
  <c r="U4160" i="50"/>
  <c r="G4160" i="50"/>
  <c r="F4160" i="50"/>
  <c r="U4145" i="50"/>
  <c r="F4165" i="50"/>
  <c r="V4165" i="50"/>
  <c r="U4165" i="50"/>
  <c r="G4165" i="50"/>
  <c r="G4185" i="50"/>
  <c r="F4185" i="50"/>
  <c r="U4185" i="50"/>
  <c r="U4194" i="50"/>
  <c r="G4194" i="50"/>
  <c r="F4194" i="50"/>
  <c r="V4194" i="50"/>
  <c r="G4201" i="50"/>
  <c r="F4201" i="50"/>
  <c r="U4201" i="50"/>
  <c r="F4179" i="50"/>
  <c r="V4179" i="50"/>
  <c r="U4179" i="50"/>
  <c r="G4179" i="50"/>
  <c r="V4135" i="50"/>
  <c r="G4135" i="50"/>
  <c r="F4135" i="50"/>
  <c r="V4176" i="50"/>
  <c r="U4176" i="50"/>
  <c r="G4176" i="50"/>
  <c r="F4176" i="50"/>
  <c r="U4148" i="50"/>
  <c r="V4148" i="50"/>
  <c r="G4148" i="50"/>
  <c r="F4148" i="50"/>
  <c r="D4159" i="50"/>
  <c r="B4183" i="50"/>
  <c r="E4159" i="50"/>
  <c r="V4167" i="50"/>
  <c r="G4167" i="50"/>
  <c r="F4167" i="50"/>
  <c r="G4202" i="50"/>
  <c r="V4202" i="50"/>
  <c r="U4202" i="50"/>
  <c r="U4135" i="50"/>
  <c r="V4185" i="50"/>
  <c r="V4156" i="50"/>
  <c r="U4156" i="50"/>
  <c r="G4156" i="50"/>
  <c r="F4156" i="50"/>
  <c r="F4149" i="50"/>
  <c r="V4149" i="50"/>
  <c r="U4149" i="50"/>
  <c r="G4149" i="50"/>
  <c r="V4147" i="50"/>
  <c r="U4147" i="50"/>
  <c r="G4147" i="50"/>
  <c r="F4147" i="50"/>
  <c r="F4133" i="50"/>
  <c r="G4133" i="50"/>
  <c r="V4133" i="50"/>
  <c r="U4133" i="50"/>
  <c r="U4167" i="50"/>
  <c r="V4144" i="50"/>
  <c r="U4144" i="50"/>
  <c r="G4144" i="50"/>
  <c r="F4144" i="50"/>
  <c r="V4175" i="50"/>
  <c r="U4175" i="50"/>
  <c r="G4175" i="50"/>
  <c r="U4142" i="50"/>
  <c r="G4142" i="50"/>
  <c r="F4142" i="50"/>
  <c r="V4142" i="50"/>
  <c r="G4186" i="50"/>
  <c r="V4186" i="50"/>
  <c r="U4186" i="50"/>
  <c r="V4163" i="50"/>
  <c r="U4163" i="50"/>
  <c r="G4163" i="50"/>
  <c r="F4163" i="50"/>
  <c r="B4224" i="50"/>
  <c r="D4224" i="50" s="1"/>
  <c r="E4200" i="50"/>
  <c r="V4200" i="50" s="1"/>
  <c r="E4174" i="50"/>
  <c r="B4198" i="50"/>
  <c r="D4198" i="50" s="1"/>
  <c r="B4227" i="50"/>
  <c r="D4227" i="50" s="1"/>
  <c r="E4203" i="50"/>
  <c r="V4203" i="50" s="1"/>
  <c r="B4234" i="50"/>
  <c r="D4234" i="50" s="1"/>
  <c r="E4210" i="50"/>
  <c r="B4206" i="50"/>
  <c r="D4206" i="50" s="1"/>
  <c r="E4182" i="50"/>
  <c r="B4192" i="50"/>
  <c r="D4192" i="50" s="1"/>
  <c r="E4168" i="50"/>
  <c r="B4193" i="50"/>
  <c r="D4193" i="50" s="1"/>
  <c r="E4169" i="50"/>
  <c r="E4218" i="50"/>
  <c r="F4218" i="50" s="1"/>
  <c r="B4242" i="50"/>
  <c r="D4242" i="50" s="1"/>
  <c r="B4204" i="50"/>
  <c r="D4204" i="50" s="1"/>
  <c r="E4180" i="50"/>
  <c r="E4172" i="50"/>
  <c r="B4196" i="50"/>
  <c r="D4196" i="50" s="1"/>
  <c r="B4190" i="50"/>
  <c r="D4190" i="50" s="1"/>
  <c r="E4166" i="50"/>
  <c r="E4209" i="50"/>
  <c r="B4233" i="50"/>
  <c r="D4233" i="50" s="1"/>
  <c r="E4225" i="50"/>
  <c r="B4249" i="50"/>
  <c r="D4249" i="50" s="1"/>
  <c r="B4195" i="50"/>
  <c r="D4195" i="50" s="1"/>
  <c r="E4171" i="50"/>
  <c r="V4171" i="50" s="1"/>
  <c r="B4223" i="50"/>
  <c r="D4223" i="50" s="1"/>
  <c r="E4199" i="50"/>
  <c r="B4208" i="50"/>
  <c r="D4208" i="50" s="1"/>
  <c r="E4184" i="50"/>
  <c r="V4184" i="50" s="1"/>
  <c r="B4211" i="50"/>
  <c r="D4211" i="50" s="1"/>
  <c r="E4187" i="50"/>
  <c r="B4197" i="50"/>
  <c r="D4197" i="50" s="1"/>
  <c r="E4173" i="50"/>
  <c r="G4173" i="50" s="1"/>
  <c r="B4181" i="50"/>
  <c r="D4181" i="50" s="1"/>
  <c r="E4157" i="50"/>
  <c r="G4157" i="50" s="1"/>
  <c r="B4213" i="50"/>
  <c r="D4213" i="50" s="1"/>
  <c r="E4189" i="50"/>
  <c r="G4189" i="50" s="1"/>
  <c r="B4250" i="50"/>
  <c r="D4250" i="50" s="1"/>
  <c r="E4226" i="50"/>
  <c r="B4215" i="50"/>
  <c r="D4215" i="50" s="1"/>
  <c r="E4191" i="50"/>
  <c r="F4191" i="50" s="1"/>
  <c r="D4183" i="50" l="1"/>
  <c r="B4207" i="50"/>
  <c r="E4183" i="50"/>
  <c r="F4226" i="50"/>
  <c r="G4226" i="50"/>
  <c r="U4226" i="50"/>
  <c r="G4182" i="50"/>
  <c r="V4182" i="50"/>
  <c r="U4182" i="50"/>
  <c r="F4182" i="50"/>
  <c r="G4169" i="50"/>
  <c r="F4169" i="50"/>
  <c r="U4169" i="50"/>
  <c r="F4168" i="50"/>
  <c r="G4168" i="50"/>
  <c r="U4168" i="50"/>
  <c r="V4225" i="50"/>
  <c r="G4225" i="50"/>
  <c r="F4225" i="50"/>
  <c r="U4210" i="50"/>
  <c r="G4210" i="50"/>
  <c r="F4210" i="50"/>
  <c r="V4210" i="50"/>
  <c r="V4209" i="50"/>
  <c r="G4209" i="50"/>
  <c r="F4209" i="50"/>
  <c r="F4166" i="50"/>
  <c r="V4166" i="50"/>
  <c r="U4166" i="50"/>
  <c r="G4166" i="50"/>
  <c r="G4203" i="50"/>
  <c r="U4203" i="50"/>
  <c r="F4203" i="50"/>
  <c r="V4168" i="50"/>
  <c r="V4199" i="50"/>
  <c r="G4199" i="50"/>
  <c r="F4199" i="50"/>
  <c r="F4159" i="50"/>
  <c r="V4173" i="50"/>
  <c r="U4173" i="50"/>
  <c r="F4173" i="50"/>
  <c r="V4172" i="50"/>
  <c r="U4172" i="50"/>
  <c r="G4172" i="50"/>
  <c r="F4172" i="50"/>
  <c r="G4174" i="50"/>
  <c r="F4174" i="50"/>
  <c r="U4174" i="50"/>
  <c r="V4174" i="50"/>
  <c r="V4226" i="50"/>
  <c r="V4180" i="50"/>
  <c r="U4180" i="50"/>
  <c r="G4180" i="50"/>
  <c r="F4180" i="50"/>
  <c r="U4200" i="50"/>
  <c r="G4200" i="50"/>
  <c r="F4200" i="50"/>
  <c r="U4209" i="50"/>
  <c r="D4188" i="50"/>
  <c r="E4188" i="50"/>
  <c r="B4212" i="50"/>
  <c r="U4171" i="50"/>
  <c r="G4171" i="50"/>
  <c r="F4171" i="50"/>
  <c r="V4157" i="50"/>
  <c r="U4157" i="50"/>
  <c r="F4157" i="50"/>
  <c r="U4187" i="50"/>
  <c r="G4187" i="50"/>
  <c r="F4187" i="50"/>
  <c r="V4187" i="50"/>
  <c r="V4164" i="50"/>
  <c r="U4164" i="50"/>
  <c r="G4164" i="50"/>
  <c r="F4164" i="50"/>
  <c r="V4159" i="50"/>
  <c r="U4159" i="50"/>
  <c r="G4159" i="50"/>
  <c r="U4184" i="50"/>
  <c r="G4184" i="50"/>
  <c r="F4184" i="50"/>
  <c r="U4199" i="50"/>
  <c r="V4189" i="50"/>
  <c r="U4189" i="50"/>
  <c r="F4189" i="50"/>
  <c r="V4191" i="50"/>
  <c r="U4191" i="50"/>
  <c r="G4191" i="50"/>
  <c r="G4218" i="50"/>
  <c r="U4218" i="50"/>
  <c r="V4218" i="50"/>
  <c r="U4225" i="50"/>
  <c r="V4169" i="50"/>
  <c r="E4213" i="50"/>
  <c r="B4237" i="50"/>
  <c r="D4237" i="50" s="1"/>
  <c r="B4232" i="50"/>
  <c r="D4232" i="50" s="1"/>
  <c r="E4208" i="50"/>
  <c r="E4250" i="50"/>
  <c r="B4274" i="50"/>
  <c r="D4274" i="50" s="1"/>
  <c r="E4190" i="50"/>
  <c r="B4214" i="50"/>
  <c r="D4214" i="50" s="1"/>
  <c r="E4193" i="50"/>
  <c r="U4193" i="50" s="1"/>
  <c r="B4217" i="50"/>
  <c r="D4217" i="50" s="1"/>
  <c r="E4227" i="50"/>
  <c r="B4251" i="50"/>
  <c r="D4251" i="50" s="1"/>
  <c r="B4220" i="50"/>
  <c r="D4220" i="50" s="1"/>
  <c r="E4196" i="50"/>
  <c r="B4222" i="50"/>
  <c r="D4222" i="50" s="1"/>
  <c r="E4198" i="50"/>
  <c r="B4239" i="50"/>
  <c r="D4239" i="50" s="1"/>
  <c r="E4215" i="50"/>
  <c r="U4215" i="50" s="1"/>
  <c r="E4211" i="50"/>
  <c r="B4235" i="50"/>
  <c r="D4235" i="50" s="1"/>
  <c r="B4216" i="50"/>
  <c r="D4216" i="50" s="1"/>
  <c r="E4192" i="50"/>
  <c r="B4257" i="50"/>
  <c r="D4257" i="50" s="1"/>
  <c r="E4233" i="50"/>
  <c r="E4197" i="50"/>
  <c r="B4221" i="50"/>
  <c r="D4221" i="50" s="1"/>
  <c r="E4204" i="50"/>
  <c r="B4228" i="50"/>
  <c r="D4228" i="50" s="1"/>
  <c r="E4206" i="50"/>
  <c r="B4230" i="50"/>
  <c r="D4230" i="50" s="1"/>
  <c r="E4181" i="50"/>
  <c r="B4205" i="50"/>
  <c r="D4205" i="50" s="1"/>
  <c r="B4247" i="50"/>
  <c r="D4247" i="50" s="1"/>
  <c r="E4223" i="50"/>
  <c r="E4195" i="50"/>
  <c r="B4219" i="50"/>
  <c r="D4219" i="50" s="1"/>
  <c r="B4273" i="50"/>
  <c r="D4273" i="50" s="1"/>
  <c r="E4249" i="50"/>
  <c r="V4249" i="50" s="1"/>
  <c r="B4266" i="50"/>
  <c r="D4266" i="50" s="1"/>
  <c r="E4242" i="50"/>
  <c r="V4242" i="50" s="1"/>
  <c r="E4234" i="50"/>
  <c r="B4258" i="50"/>
  <c r="D4258" i="50" s="1"/>
  <c r="B4248" i="50"/>
  <c r="D4248" i="50" s="1"/>
  <c r="E4224" i="50"/>
  <c r="G4233" i="50" l="1"/>
  <c r="F4233" i="50"/>
  <c r="U4233" i="50"/>
  <c r="V4188" i="50"/>
  <c r="U4188" i="50"/>
  <c r="G4188" i="50"/>
  <c r="F4188" i="50"/>
  <c r="F4190" i="50"/>
  <c r="V4190" i="50"/>
  <c r="U4190" i="50"/>
  <c r="G4190" i="50"/>
  <c r="G4234" i="50"/>
  <c r="U4234" i="50"/>
  <c r="V4234" i="50"/>
  <c r="F4234" i="50"/>
  <c r="G4211" i="50"/>
  <c r="F4211" i="50"/>
  <c r="U4211" i="50"/>
  <c r="V4211" i="50"/>
  <c r="G4250" i="50"/>
  <c r="U4250" i="50"/>
  <c r="V4250" i="50"/>
  <c r="V4215" i="50"/>
  <c r="G4215" i="50"/>
  <c r="F4215" i="50"/>
  <c r="V4208" i="50"/>
  <c r="U4208" i="50"/>
  <c r="G4208" i="50"/>
  <c r="F4208" i="50"/>
  <c r="V4223" i="50"/>
  <c r="U4223" i="50"/>
  <c r="G4223" i="50"/>
  <c r="F4223" i="50"/>
  <c r="G4249" i="50"/>
  <c r="F4249" i="50"/>
  <c r="U4249" i="50"/>
  <c r="F4198" i="50"/>
  <c r="V4198" i="50"/>
  <c r="U4198" i="50"/>
  <c r="G4198" i="50"/>
  <c r="V4197" i="50"/>
  <c r="U4197" i="50"/>
  <c r="G4197" i="50"/>
  <c r="F4197" i="50"/>
  <c r="F4181" i="50"/>
  <c r="V4181" i="50"/>
  <c r="U4181" i="50"/>
  <c r="G4181" i="50"/>
  <c r="V4213" i="50"/>
  <c r="U4213" i="50"/>
  <c r="G4213" i="50"/>
  <c r="F4213" i="50"/>
  <c r="V4224" i="50"/>
  <c r="U4224" i="50"/>
  <c r="G4224" i="50"/>
  <c r="F4224" i="50"/>
  <c r="V4196" i="50"/>
  <c r="U4196" i="50"/>
  <c r="G4196" i="50"/>
  <c r="F4196" i="50"/>
  <c r="V4233" i="50"/>
  <c r="G4206" i="50"/>
  <c r="F4206" i="50"/>
  <c r="V4206" i="50"/>
  <c r="U4206" i="50"/>
  <c r="F4242" i="50"/>
  <c r="G4242" i="50"/>
  <c r="U4242" i="50"/>
  <c r="V4195" i="50"/>
  <c r="U4195" i="50"/>
  <c r="G4195" i="50"/>
  <c r="F4195" i="50"/>
  <c r="V4183" i="50"/>
  <c r="G4183" i="50"/>
  <c r="F4183" i="50"/>
  <c r="D4212" i="50"/>
  <c r="B4236" i="50"/>
  <c r="E4212" i="50"/>
  <c r="V4204" i="50"/>
  <c r="U4204" i="50"/>
  <c r="G4204" i="50"/>
  <c r="F4204" i="50"/>
  <c r="V4227" i="50"/>
  <c r="U4227" i="50"/>
  <c r="G4227" i="50"/>
  <c r="F4227" i="50"/>
  <c r="D4207" i="50"/>
  <c r="B4231" i="50"/>
  <c r="E4207" i="50"/>
  <c r="V4193" i="50"/>
  <c r="G4193" i="50"/>
  <c r="F4193" i="50"/>
  <c r="V4192" i="50"/>
  <c r="U4192" i="50"/>
  <c r="G4192" i="50"/>
  <c r="F4192" i="50"/>
  <c r="F4250" i="50"/>
  <c r="U4183" i="50"/>
  <c r="B4238" i="50"/>
  <c r="D4238" i="50" s="1"/>
  <c r="E4214" i="50"/>
  <c r="B4245" i="50"/>
  <c r="D4245" i="50" s="1"/>
  <c r="E4221" i="50"/>
  <c r="B4263" i="50"/>
  <c r="D4263" i="50" s="1"/>
  <c r="E4239" i="50"/>
  <c r="B4271" i="50"/>
  <c r="D4271" i="50" s="1"/>
  <c r="E4247" i="50"/>
  <c r="B4229" i="50"/>
  <c r="D4229" i="50" s="1"/>
  <c r="E4205" i="50"/>
  <c r="G4205" i="50" s="1"/>
  <c r="B4240" i="50"/>
  <c r="D4240" i="50" s="1"/>
  <c r="E4216" i="50"/>
  <c r="E4222" i="50"/>
  <c r="B4246" i="50"/>
  <c r="D4246" i="50" s="1"/>
  <c r="B4298" i="50"/>
  <c r="D4298" i="50" s="1"/>
  <c r="E4274" i="50"/>
  <c r="B4254" i="50"/>
  <c r="D4254" i="50" s="1"/>
  <c r="E4230" i="50"/>
  <c r="B4256" i="50"/>
  <c r="D4256" i="50" s="1"/>
  <c r="E4232" i="50"/>
  <c r="V4232" i="50" s="1"/>
  <c r="E4220" i="50"/>
  <c r="B4244" i="50"/>
  <c r="D4244" i="50" s="1"/>
  <c r="B4252" i="50"/>
  <c r="D4252" i="50" s="1"/>
  <c r="E4228" i="50"/>
  <c r="B4259" i="50"/>
  <c r="D4259" i="50" s="1"/>
  <c r="E4235" i="50"/>
  <c r="V4235" i="50" s="1"/>
  <c r="B4275" i="50"/>
  <c r="D4275" i="50" s="1"/>
  <c r="E4251" i="50"/>
  <c r="V4251" i="50" s="1"/>
  <c r="B4261" i="50"/>
  <c r="D4261" i="50" s="1"/>
  <c r="E4237" i="50"/>
  <c r="E4266" i="50"/>
  <c r="F4266" i="50" s="1"/>
  <c r="B4290" i="50"/>
  <c r="D4290" i="50" s="1"/>
  <c r="B4282" i="50"/>
  <c r="D4282" i="50" s="1"/>
  <c r="E4258" i="50"/>
  <c r="E4273" i="50"/>
  <c r="B4297" i="50"/>
  <c r="D4297" i="50" s="1"/>
  <c r="B4241" i="50"/>
  <c r="D4241" i="50" s="1"/>
  <c r="E4217" i="50"/>
  <c r="B4272" i="50"/>
  <c r="D4272" i="50" s="1"/>
  <c r="E4248" i="50"/>
  <c r="V4248" i="50" s="1"/>
  <c r="B4243" i="50"/>
  <c r="D4243" i="50" s="1"/>
  <c r="E4219" i="50"/>
  <c r="V4219" i="50" s="1"/>
  <c r="E4257" i="50"/>
  <c r="U4257" i="50" s="1"/>
  <c r="B4281" i="50"/>
  <c r="D4281" i="50" s="1"/>
  <c r="G4217" i="50" l="1"/>
  <c r="F4217" i="50"/>
  <c r="U4217" i="50"/>
  <c r="V4220" i="50"/>
  <c r="U4220" i="50"/>
  <c r="G4220" i="50"/>
  <c r="F4220" i="50"/>
  <c r="V4273" i="50"/>
  <c r="G4273" i="50"/>
  <c r="F4273" i="50"/>
  <c r="V4212" i="50"/>
  <c r="U4212" i="50"/>
  <c r="G4212" i="50"/>
  <c r="F4212" i="50"/>
  <c r="V4239" i="50"/>
  <c r="U4239" i="50"/>
  <c r="G4239" i="50"/>
  <c r="D4236" i="50"/>
  <c r="B4260" i="50"/>
  <c r="E4236" i="50"/>
  <c r="F4258" i="50"/>
  <c r="G4258" i="50"/>
  <c r="U4258" i="50"/>
  <c r="F4274" i="50"/>
  <c r="U4274" i="50"/>
  <c r="G4274" i="50"/>
  <c r="V4221" i="50"/>
  <c r="U4221" i="50"/>
  <c r="F4221" i="50"/>
  <c r="V4247" i="50"/>
  <c r="G4247" i="50"/>
  <c r="F4247" i="50"/>
  <c r="F4230" i="50"/>
  <c r="G4230" i="50"/>
  <c r="U4230" i="50"/>
  <c r="G4266" i="50"/>
  <c r="U4266" i="50"/>
  <c r="V4266" i="50"/>
  <c r="V4207" i="50"/>
  <c r="U4207" i="50"/>
  <c r="G4207" i="50"/>
  <c r="V4237" i="50"/>
  <c r="U4237" i="50"/>
  <c r="F4237" i="50"/>
  <c r="F4214" i="50"/>
  <c r="G4214" i="50"/>
  <c r="U4214" i="50"/>
  <c r="D4231" i="50"/>
  <c r="B4255" i="50"/>
  <c r="E4231" i="50"/>
  <c r="G4222" i="50"/>
  <c r="F4222" i="50"/>
  <c r="V4222" i="50"/>
  <c r="U4222" i="50"/>
  <c r="F4207" i="50"/>
  <c r="F4239" i="50"/>
  <c r="G4251" i="50"/>
  <c r="U4251" i="50"/>
  <c r="F4251" i="50"/>
  <c r="U4216" i="50"/>
  <c r="G4216" i="50"/>
  <c r="F4216" i="50"/>
  <c r="U4247" i="50"/>
  <c r="V4214" i="50"/>
  <c r="G4219" i="50"/>
  <c r="U4219" i="50"/>
  <c r="F4219" i="50"/>
  <c r="G4235" i="50"/>
  <c r="U4235" i="50"/>
  <c r="F4235" i="50"/>
  <c r="V4217" i="50"/>
  <c r="V4230" i="50"/>
  <c r="V4274" i="50"/>
  <c r="U4232" i="50"/>
  <c r="G4232" i="50"/>
  <c r="F4232" i="50"/>
  <c r="U4273" i="50"/>
  <c r="G4221" i="50"/>
  <c r="V4257" i="50"/>
  <c r="G4257" i="50"/>
  <c r="F4257" i="50"/>
  <c r="U4248" i="50"/>
  <c r="G4248" i="50"/>
  <c r="F4248" i="50"/>
  <c r="V4228" i="50"/>
  <c r="U4228" i="50"/>
  <c r="G4228" i="50"/>
  <c r="F4228" i="50"/>
  <c r="V4205" i="50"/>
  <c r="U4205" i="50"/>
  <c r="F4205" i="50"/>
  <c r="V4258" i="50"/>
  <c r="G4237" i="50"/>
  <c r="V4216" i="50"/>
  <c r="E4254" i="50"/>
  <c r="B4278" i="50"/>
  <c r="D4278" i="50" s="1"/>
  <c r="E4229" i="50"/>
  <c r="B4253" i="50"/>
  <c r="D4253" i="50" s="1"/>
  <c r="B4287" i="50"/>
  <c r="D4287" i="50" s="1"/>
  <c r="E4263" i="50"/>
  <c r="E4275" i="50"/>
  <c r="V4275" i="50" s="1"/>
  <c r="B4299" i="50"/>
  <c r="D4299" i="50" s="1"/>
  <c r="E4238" i="50"/>
  <c r="B4262" i="50"/>
  <c r="D4262" i="50" s="1"/>
  <c r="B4296" i="50"/>
  <c r="D4296" i="50" s="1"/>
  <c r="E4272" i="50"/>
  <c r="E4298" i="50"/>
  <c r="F4298" i="50" s="1"/>
  <c r="B4322" i="50"/>
  <c r="D4322" i="50" s="1"/>
  <c r="E4245" i="50"/>
  <c r="B4269" i="50"/>
  <c r="D4269" i="50" s="1"/>
  <c r="E4282" i="50"/>
  <c r="F4282" i="50" s="1"/>
  <c r="B4306" i="50"/>
  <c r="D4306" i="50" s="1"/>
  <c r="E4259" i="50"/>
  <c r="B4283" i="50"/>
  <c r="D4283" i="50" s="1"/>
  <c r="B4270" i="50"/>
  <c r="D4270" i="50" s="1"/>
  <c r="E4246" i="50"/>
  <c r="B4314" i="50"/>
  <c r="D4314" i="50" s="1"/>
  <c r="E4290" i="50"/>
  <c r="V4290" i="50" s="1"/>
  <c r="B4264" i="50"/>
  <c r="D4264" i="50" s="1"/>
  <c r="E4240" i="50"/>
  <c r="E4243" i="50"/>
  <c r="B4267" i="50"/>
  <c r="D4267" i="50" s="1"/>
  <c r="B4321" i="50"/>
  <c r="D4321" i="50" s="1"/>
  <c r="E4297" i="50"/>
  <c r="E4252" i="50"/>
  <c r="B4276" i="50"/>
  <c r="D4276" i="50" s="1"/>
  <c r="B4305" i="50"/>
  <c r="D4305" i="50" s="1"/>
  <c r="E4281" i="50"/>
  <c r="V4281" i="50" s="1"/>
  <c r="B4268" i="50"/>
  <c r="D4268" i="50" s="1"/>
  <c r="E4244" i="50"/>
  <c r="B4295" i="50"/>
  <c r="D4295" i="50" s="1"/>
  <c r="E4271" i="50"/>
  <c r="F4271" i="50" s="1"/>
  <c r="B4280" i="50"/>
  <c r="D4280" i="50" s="1"/>
  <c r="E4256" i="50"/>
  <c r="E4241" i="50"/>
  <c r="U4241" i="50" s="1"/>
  <c r="B4265" i="50"/>
  <c r="D4265" i="50" s="1"/>
  <c r="E4261" i="50"/>
  <c r="V4261" i="50" s="1"/>
  <c r="B4285" i="50"/>
  <c r="D4285" i="50" s="1"/>
  <c r="G4259" i="50" l="1"/>
  <c r="U4259" i="50"/>
  <c r="F4259" i="50"/>
  <c r="V4229" i="50"/>
  <c r="U4229" i="50"/>
  <c r="G4229" i="50"/>
  <c r="F4229" i="50"/>
  <c r="V4263" i="50"/>
  <c r="G4263" i="50"/>
  <c r="F4263" i="50"/>
  <c r="G4254" i="50"/>
  <c r="F4254" i="50"/>
  <c r="V4254" i="50"/>
  <c r="U4254" i="50"/>
  <c r="G4297" i="50"/>
  <c r="F4297" i="50"/>
  <c r="U4297" i="50"/>
  <c r="G4261" i="50"/>
  <c r="U4261" i="50"/>
  <c r="F4261" i="50"/>
  <c r="G4298" i="50"/>
  <c r="V4298" i="50"/>
  <c r="U4298" i="50"/>
  <c r="V4259" i="50"/>
  <c r="V4272" i="50"/>
  <c r="U4272" i="50"/>
  <c r="G4272" i="50"/>
  <c r="F4272" i="50"/>
  <c r="V4231" i="50"/>
  <c r="G4231" i="50"/>
  <c r="F4231" i="50"/>
  <c r="D4255" i="50"/>
  <c r="B4279" i="50"/>
  <c r="E4255" i="50"/>
  <c r="U4231" i="50"/>
  <c r="V4297" i="50"/>
  <c r="G4281" i="50"/>
  <c r="F4281" i="50"/>
  <c r="U4281" i="50"/>
  <c r="V4245" i="50"/>
  <c r="U4245" i="50"/>
  <c r="G4245" i="50"/>
  <c r="F4245" i="50"/>
  <c r="G4238" i="50"/>
  <c r="F4238" i="50"/>
  <c r="V4238" i="50"/>
  <c r="U4238" i="50"/>
  <c r="V4236" i="50"/>
  <c r="U4236" i="50"/>
  <c r="G4236" i="50"/>
  <c r="F4236" i="50"/>
  <c r="V4252" i="50"/>
  <c r="U4252" i="50"/>
  <c r="G4252" i="50"/>
  <c r="F4252" i="50"/>
  <c r="V4256" i="50"/>
  <c r="U4256" i="50"/>
  <c r="G4256" i="50"/>
  <c r="F4256" i="50"/>
  <c r="V4271" i="50"/>
  <c r="U4271" i="50"/>
  <c r="G4271" i="50"/>
  <c r="F4290" i="50"/>
  <c r="U4290" i="50"/>
  <c r="G4290" i="50"/>
  <c r="D4260" i="50"/>
  <c r="E4260" i="50"/>
  <c r="B4284" i="50"/>
  <c r="U4263" i="50"/>
  <c r="V4240" i="50"/>
  <c r="U4240" i="50"/>
  <c r="G4240" i="50"/>
  <c r="F4240" i="50"/>
  <c r="V4241" i="50"/>
  <c r="G4241" i="50"/>
  <c r="F4241" i="50"/>
  <c r="F4246" i="50"/>
  <c r="G4246" i="50"/>
  <c r="U4246" i="50"/>
  <c r="V4246" i="50"/>
  <c r="V4244" i="50"/>
  <c r="U4244" i="50"/>
  <c r="G4244" i="50"/>
  <c r="F4244" i="50"/>
  <c r="G4282" i="50"/>
  <c r="U4282" i="50"/>
  <c r="V4282" i="50"/>
  <c r="V4243" i="50"/>
  <c r="U4243" i="50"/>
  <c r="G4243" i="50"/>
  <c r="F4243" i="50"/>
  <c r="F4275" i="50"/>
  <c r="G4275" i="50"/>
  <c r="U4275" i="50"/>
  <c r="B4300" i="50"/>
  <c r="D4300" i="50" s="1"/>
  <c r="E4276" i="50"/>
  <c r="E4268" i="50"/>
  <c r="B4292" i="50"/>
  <c r="D4292" i="50" s="1"/>
  <c r="E4270" i="50"/>
  <c r="B4294" i="50"/>
  <c r="D4294" i="50" s="1"/>
  <c r="B4286" i="50"/>
  <c r="D4286" i="50" s="1"/>
  <c r="E4262" i="50"/>
  <c r="V4262" i="50" s="1"/>
  <c r="B4277" i="50"/>
  <c r="D4277" i="50" s="1"/>
  <c r="E4253" i="50"/>
  <c r="B4307" i="50"/>
  <c r="D4307" i="50" s="1"/>
  <c r="E4283" i="50"/>
  <c r="E4305" i="50"/>
  <c r="B4329" i="50"/>
  <c r="D4329" i="50" s="1"/>
  <c r="B4288" i="50"/>
  <c r="D4288" i="50" s="1"/>
  <c r="E4264" i="50"/>
  <c r="V4264" i="50" s="1"/>
  <c r="B4323" i="50"/>
  <c r="D4323" i="50" s="1"/>
  <c r="E4299" i="50"/>
  <c r="E4321" i="50"/>
  <c r="U4321" i="50" s="1"/>
  <c r="B4345" i="50"/>
  <c r="D4345" i="50" s="1"/>
  <c r="B4330" i="50"/>
  <c r="D4330" i="50" s="1"/>
  <c r="E4306" i="50"/>
  <c r="V4306" i="50" s="1"/>
  <c r="B4319" i="50"/>
  <c r="D4319" i="50" s="1"/>
  <c r="E4295" i="50"/>
  <c r="U4295" i="50" s="1"/>
  <c r="B4291" i="50"/>
  <c r="D4291" i="50" s="1"/>
  <c r="E4267" i="50"/>
  <c r="V4267" i="50" s="1"/>
  <c r="E4314" i="50"/>
  <c r="F4314" i="50" s="1"/>
  <c r="B4338" i="50"/>
  <c r="D4338" i="50" s="1"/>
  <c r="B4309" i="50"/>
  <c r="D4309" i="50" s="1"/>
  <c r="E4285" i="50"/>
  <c r="G4285" i="50" s="1"/>
  <c r="B4304" i="50"/>
  <c r="D4304" i="50" s="1"/>
  <c r="E4280" i="50"/>
  <c r="V4280" i="50" s="1"/>
  <c r="B4311" i="50"/>
  <c r="D4311" i="50" s="1"/>
  <c r="E4287" i="50"/>
  <c r="B4346" i="50"/>
  <c r="D4346" i="50" s="1"/>
  <c r="E4322" i="50"/>
  <c r="V4322" i="50" s="1"/>
  <c r="B4293" i="50"/>
  <c r="D4293" i="50" s="1"/>
  <c r="E4269" i="50"/>
  <c r="G4269" i="50" s="1"/>
  <c r="B4320" i="50"/>
  <c r="D4320" i="50" s="1"/>
  <c r="E4296" i="50"/>
  <c r="V4296" i="50" s="1"/>
  <c r="B4302" i="50"/>
  <c r="D4302" i="50" s="1"/>
  <c r="E4278" i="50"/>
  <c r="B4289" i="50"/>
  <c r="D4289" i="50" s="1"/>
  <c r="E4265" i="50"/>
  <c r="V4265" i="50" s="1"/>
  <c r="F4278" i="50" l="1"/>
  <c r="G4278" i="50"/>
  <c r="U4278" i="50"/>
  <c r="V4305" i="50"/>
  <c r="G4305" i="50"/>
  <c r="F4305" i="50"/>
  <c r="V4278" i="50"/>
  <c r="V4255" i="50"/>
  <c r="U4255" i="50"/>
  <c r="G4255" i="50"/>
  <c r="U4260" i="50"/>
  <c r="G4260" i="50"/>
  <c r="F4260" i="50"/>
  <c r="V4260" i="50"/>
  <c r="D4279" i="50"/>
  <c r="B4303" i="50"/>
  <c r="E4279" i="50"/>
  <c r="F4262" i="50"/>
  <c r="G4262" i="50"/>
  <c r="U4262" i="50"/>
  <c r="F4255" i="50"/>
  <c r="V4253" i="50"/>
  <c r="U4253" i="50"/>
  <c r="F4253" i="50"/>
  <c r="G4314" i="50"/>
  <c r="V4314" i="50"/>
  <c r="U4314" i="50"/>
  <c r="G4283" i="50"/>
  <c r="U4283" i="50"/>
  <c r="F4283" i="50"/>
  <c r="V4321" i="50"/>
  <c r="G4321" i="50"/>
  <c r="F4321" i="50"/>
  <c r="G4270" i="50"/>
  <c r="F4270" i="50"/>
  <c r="V4270" i="50"/>
  <c r="U4270" i="50"/>
  <c r="U4305" i="50"/>
  <c r="G4267" i="50"/>
  <c r="U4267" i="50"/>
  <c r="F4267" i="50"/>
  <c r="G4306" i="50"/>
  <c r="F4306" i="50"/>
  <c r="U4306" i="50"/>
  <c r="V4287" i="50"/>
  <c r="U4287" i="50"/>
  <c r="G4287" i="50"/>
  <c r="U4296" i="50"/>
  <c r="G4296" i="50"/>
  <c r="F4296" i="50"/>
  <c r="U4322" i="50"/>
  <c r="G4322" i="50"/>
  <c r="F4322" i="50"/>
  <c r="V4268" i="50"/>
  <c r="U4268" i="50"/>
  <c r="G4268" i="50"/>
  <c r="F4268" i="50"/>
  <c r="V4283" i="50"/>
  <c r="G4299" i="50"/>
  <c r="U4299" i="50"/>
  <c r="F4299" i="50"/>
  <c r="V4276" i="50"/>
  <c r="U4276" i="50"/>
  <c r="G4276" i="50"/>
  <c r="F4276" i="50"/>
  <c r="V4295" i="50"/>
  <c r="G4295" i="50"/>
  <c r="F4295" i="50"/>
  <c r="F4287" i="50"/>
  <c r="V4269" i="50"/>
  <c r="U4269" i="50"/>
  <c r="F4269" i="50"/>
  <c r="U4280" i="50"/>
  <c r="G4280" i="50"/>
  <c r="F4280" i="50"/>
  <c r="G4265" i="50"/>
  <c r="F4265" i="50"/>
  <c r="U4265" i="50"/>
  <c r="V4285" i="50"/>
  <c r="U4285" i="50"/>
  <c r="F4285" i="50"/>
  <c r="U4264" i="50"/>
  <c r="G4264" i="50"/>
  <c r="F4264" i="50"/>
  <c r="V4299" i="50"/>
  <c r="D4284" i="50"/>
  <c r="E4284" i="50"/>
  <c r="B4308" i="50"/>
  <c r="G4253" i="50"/>
  <c r="E4286" i="50"/>
  <c r="B4310" i="50"/>
  <c r="D4310" i="50" s="1"/>
  <c r="B4362" i="50"/>
  <c r="D4362" i="50" s="1"/>
  <c r="E4338" i="50"/>
  <c r="B4318" i="50"/>
  <c r="D4318" i="50" s="1"/>
  <c r="E4294" i="50"/>
  <c r="E4307" i="50"/>
  <c r="V4307" i="50" s="1"/>
  <c r="B4331" i="50"/>
  <c r="D4331" i="50" s="1"/>
  <c r="E4330" i="50"/>
  <c r="F4330" i="50" s="1"/>
  <c r="B4354" i="50"/>
  <c r="D4354" i="50" s="1"/>
  <c r="B4328" i="50"/>
  <c r="D4328" i="50" s="1"/>
  <c r="E4304" i="50"/>
  <c r="E4323" i="50"/>
  <c r="B4347" i="50"/>
  <c r="D4347" i="50" s="1"/>
  <c r="B4344" i="50"/>
  <c r="D4344" i="50" s="1"/>
  <c r="E4320" i="50"/>
  <c r="B4335" i="50"/>
  <c r="D4335" i="50" s="1"/>
  <c r="E4311" i="50"/>
  <c r="U4311" i="50" s="1"/>
  <c r="E4291" i="50"/>
  <c r="B4315" i="50"/>
  <c r="D4315" i="50" s="1"/>
  <c r="E4289" i="50"/>
  <c r="U4289" i="50" s="1"/>
  <c r="B4313" i="50"/>
  <c r="D4313" i="50" s="1"/>
  <c r="E4346" i="50"/>
  <c r="F4346" i="50" s="1"/>
  <c r="B4370" i="50"/>
  <c r="D4370" i="50" s="1"/>
  <c r="E4309" i="50"/>
  <c r="V4309" i="50" s="1"/>
  <c r="B4333" i="50"/>
  <c r="D4333" i="50" s="1"/>
  <c r="B4343" i="50"/>
  <c r="D4343" i="50" s="1"/>
  <c r="E4319" i="50"/>
  <c r="B4369" i="50"/>
  <c r="D4369" i="50" s="1"/>
  <c r="E4345" i="50"/>
  <c r="B4312" i="50"/>
  <c r="D4312" i="50" s="1"/>
  <c r="E4288" i="50"/>
  <c r="B4316" i="50"/>
  <c r="D4316" i="50" s="1"/>
  <c r="E4292" i="50"/>
  <c r="E4302" i="50"/>
  <c r="B4326" i="50"/>
  <c r="D4326" i="50" s="1"/>
  <c r="E4293" i="50"/>
  <c r="B4317" i="50"/>
  <c r="D4317" i="50" s="1"/>
  <c r="B4353" i="50"/>
  <c r="D4353" i="50" s="1"/>
  <c r="E4329" i="50"/>
  <c r="V4329" i="50" s="1"/>
  <c r="E4277" i="50"/>
  <c r="B4301" i="50"/>
  <c r="D4301" i="50" s="1"/>
  <c r="E4300" i="50"/>
  <c r="B4324" i="50"/>
  <c r="D4324" i="50" s="1"/>
  <c r="V4311" i="50" l="1"/>
  <c r="G4311" i="50"/>
  <c r="F4311" i="50"/>
  <c r="U4338" i="50"/>
  <c r="G4338" i="50"/>
  <c r="F4338" i="50"/>
  <c r="F4294" i="50"/>
  <c r="U4294" i="50"/>
  <c r="G4294" i="50"/>
  <c r="V4320" i="50"/>
  <c r="U4320" i="50"/>
  <c r="G4320" i="50"/>
  <c r="F4320" i="50"/>
  <c r="G4286" i="50"/>
  <c r="F4286" i="50"/>
  <c r="V4286" i="50"/>
  <c r="U4286" i="50"/>
  <c r="G4291" i="50"/>
  <c r="F4291" i="50"/>
  <c r="U4291" i="50"/>
  <c r="G4302" i="50"/>
  <c r="F4302" i="50"/>
  <c r="V4302" i="50"/>
  <c r="U4302" i="50"/>
  <c r="V4292" i="50"/>
  <c r="G4292" i="50"/>
  <c r="F4292" i="50"/>
  <c r="U4292" i="50"/>
  <c r="V4319" i="50"/>
  <c r="U4319" i="50"/>
  <c r="G4319" i="50"/>
  <c r="V4304" i="50"/>
  <c r="U4304" i="50"/>
  <c r="G4304" i="50"/>
  <c r="F4304" i="50"/>
  <c r="V4300" i="50"/>
  <c r="U4300" i="50"/>
  <c r="G4300" i="50"/>
  <c r="F4300" i="50"/>
  <c r="D4308" i="50"/>
  <c r="B4332" i="50"/>
  <c r="E4308" i="50"/>
  <c r="F4319" i="50"/>
  <c r="V4291" i="50"/>
  <c r="V4284" i="50"/>
  <c r="U4284" i="50"/>
  <c r="G4284" i="50"/>
  <c r="F4284" i="50"/>
  <c r="G4323" i="50"/>
  <c r="U4323" i="50"/>
  <c r="F4323" i="50"/>
  <c r="G4330" i="50"/>
  <c r="V4330" i="50"/>
  <c r="U4330" i="50"/>
  <c r="V4279" i="50"/>
  <c r="G4279" i="50"/>
  <c r="F4279" i="50"/>
  <c r="G4329" i="50"/>
  <c r="F4329" i="50"/>
  <c r="U4329" i="50"/>
  <c r="D4303" i="50"/>
  <c r="E4303" i="50"/>
  <c r="B4327" i="50"/>
  <c r="V4288" i="50"/>
  <c r="U4288" i="50"/>
  <c r="G4288" i="50"/>
  <c r="F4288" i="50"/>
  <c r="G4346" i="50"/>
  <c r="V4346" i="50"/>
  <c r="U4346" i="50"/>
  <c r="G4307" i="50"/>
  <c r="F4307" i="50"/>
  <c r="U4307" i="50"/>
  <c r="V4294" i="50"/>
  <c r="U4279" i="50"/>
  <c r="G4345" i="50"/>
  <c r="F4345" i="50"/>
  <c r="U4345" i="50"/>
  <c r="V4338" i="50"/>
  <c r="F4277" i="50"/>
  <c r="G4277" i="50"/>
  <c r="U4277" i="50"/>
  <c r="V4323" i="50"/>
  <c r="V4345" i="50"/>
  <c r="V4277" i="50"/>
  <c r="F4309" i="50"/>
  <c r="U4309" i="50"/>
  <c r="G4309" i="50"/>
  <c r="U4293" i="50"/>
  <c r="F4293" i="50"/>
  <c r="G4293" i="50"/>
  <c r="V4289" i="50"/>
  <c r="G4289" i="50"/>
  <c r="F4289" i="50"/>
  <c r="V4293" i="50"/>
  <c r="B4341" i="50"/>
  <c r="D4341" i="50" s="1"/>
  <c r="E4317" i="50"/>
  <c r="E4316" i="50"/>
  <c r="B4340" i="50"/>
  <c r="D4340" i="50" s="1"/>
  <c r="E4362" i="50"/>
  <c r="F4362" i="50" s="1"/>
  <c r="B4386" i="50"/>
  <c r="D4386" i="50" s="1"/>
  <c r="B4334" i="50"/>
  <c r="D4334" i="50" s="1"/>
  <c r="E4310" i="50"/>
  <c r="V4310" i="50" s="1"/>
  <c r="E4353" i="50"/>
  <c r="B4377" i="50"/>
  <c r="D4377" i="50" s="1"/>
  <c r="B4359" i="50"/>
  <c r="D4359" i="50" s="1"/>
  <c r="E4335" i="50"/>
  <c r="B4352" i="50"/>
  <c r="D4352" i="50" s="1"/>
  <c r="E4328" i="50"/>
  <c r="V4328" i="50" s="1"/>
  <c r="B4355" i="50"/>
  <c r="D4355" i="50" s="1"/>
  <c r="E4331" i="50"/>
  <c r="V4331" i="50" s="1"/>
  <c r="E4318" i="50"/>
  <c r="B4342" i="50"/>
  <c r="D4342" i="50" s="1"/>
  <c r="B4348" i="50"/>
  <c r="D4348" i="50" s="1"/>
  <c r="E4324" i="50"/>
  <c r="B4336" i="50"/>
  <c r="D4336" i="50" s="1"/>
  <c r="E4312" i="50"/>
  <c r="V4312" i="50" s="1"/>
  <c r="B4368" i="50"/>
  <c r="D4368" i="50" s="1"/>
  <c r="E4344" i="50"/>
  <c r="B4350" i="50"/>
  <c r="D4350" i="50" s="1"/>
  <c r="E4326" i="50"/>
  <c r="V4326" i="50" s="1"/>
  <c r="B4367" i="50"/>
  <c r="D4367" i="50" s="1"/>
  <c r="E4343" i="50"/>
  <c r="U4343" i="50" s="1"/>
  <c r="B4394" i="50"/>
  <c r="D4394" i="50" s="1"/>
  <c r="E4370" i="50"/>
  <c r="V4370" i="50" s="1"/>
  <c r="B4357" i="50"/>
  <c r="D4357" i="50" s="1"/>
  <c r="E4333" i="50"/>
  <c r="B4325" i="50"/>
  <c r="D4325" i="50" s="1"/>
  <c r="E4301" i="50"/>
  <c r="G4301" i="50" s="1"/>
  <c r="B4337" i="50"/>
  <c r="D4337" i="50" s="1"/>
  <c r="E4313" i="50"/>
  <c r="B4371" i="50"/>
  <c r="D4371" i="50" s="1"/>
  <c r="E4347" i="50"/>
  <c r="V4347" i="50" s="1"/>
  <c r="B4339" i="50"/>
  <c r="D4339" i="50" s="1"/>
  <c r="E4315" i="50"/>
  <c r="V4315" i="50" s="1"/>
  <c r="E4369" i="50"/>
  <c r="B4393" i="50"/>
  <c r="D4393" i="50" s="1"/>
  <c r="B4378" i="50"/>
  <c r="D4378" i="50" s="1"/>
  <c r="E4354" i="50"/>
  <c r="V4354" i="50" s="1"/>
  <c r="V4335" i="50" l="1"/>
  <c r="U4335" i="50"/>
  <c r="G4335" i="50"/>
  <c r="V4369" i="50"/>
  <c r="G4369" i="50"/>
  <c r="F4369" i="50"/>
  <c r="D4327" i="50"/>
  <c r="E4327" i="50"/>
  <c r="B4351" i="50"/>
  <c r="V4303" i="50"/>
  <c r="U4303" i="50"/>
  <c r="G4303" i="50"/>
  <c r="V4353" i="50"/>
  <c r="G4353" i="50"/>
  <c r="F4353" i="50"/>
  <c r="F4303" i="50"/>
  <c r="G4315" i="50"/>
  <c r="U4315" i="50"/>
  <c r="F4315" i="50"/>
  <c r="F4310" i="50"/>
  <c r="U4310" i="50"/>
  <c r="G4310" i="50"/>
  <c r="U4369" i="50"/>
  <c r="F4335" i="50"/>
  <c r="U4324" i="50"/>
  <c r="G4324" i="50"/>
  <c r="F4324" i="50"/>
  <c r="V4324" i="50"/>
  <c r="U4328" i="50"/>
  <c r="G4328" i="50"/>
  <c r="F4328" i="50"/>
  <c r="G4347" i="50"/>
  <c r="U4347" i="50"/>
  <c r="F4347" i="50"/>
  <c r="G4362" i="50"/>
  <c r="U4362" i="50"/>
  <c r="V4362" i="50"/>
  <c r="G4313" i="50"/>
  <c r="F4313" i="50"/>
  <c r="U4313" i="50"/>
  <c r="V4333" i="50"/>
  <c r="U4333" i="50"/>
  <c r="F4333" i="50"/>
  <c r="U4312" i="50"/>
  <c r="G4312" i="50"/>
  <c r="F4312" i="50"/>
  <c r="V4316" i="50"/>
  <c r="U4316" i="50"/>
  <c r="G4316" i="50"/>
  <c r="F4316" i="50"/>
  <c r="V4313" i="50"/>
  <c r="V4317" i="50"/>
  <c r="U4317" i="50"/>
  <c r="F4317" i="50"/>
  <c r="G4317" i="50"/>
  <c r="U4344" i="50"/>
  <c r="G4344" i="50"/>
  <c r="F4344" i="50"/>
  <c r="F4370" i="50"/>
  <c r="U4370" i="50"/>
  <c r="G4370" i="50"/>
  <c r="G4318" i="50"/>
  <c r="F4318" i="50"/>
  <c r="V4318" i="50"/>
  <c r="U4318" i="50"/>
  <c r="U4353" i="50"/>
  <c r="V4308" i="50"/>
  <c r="U4308" i="50"/>
  <c r="G4308" i="50"/>
  <c r="F4308" i="50"/>
  <c r="F4326" i="50"/>
  <c r="U4326" i="50"/>
  <c r="G4326" i="50"/>
  <c r="V4301" i="50"/>
  <c r="U4301" i="50"/>
  <c r="F4301" i="50"/>
  <c r="F4354" i="50"/>
  <c r="U4354" i="50"/>
  <c r="G4354" i="50"/>
  <c r="V4343" i="50"/>
  <c r="G4343" i="50"/>
  <c r="F4343" i="50"/>
  <c r="G4331" i="50"/>
  <c r="U4331" i="50"/>
  <c r="F4331" i="50"/>
  <c r="G4333" i="50"/>
  <c r="D4332" i="50"/>
  <c r="E4332" i="50"/>
  <c r="B4356" i="50"/>
  <c r="V4344" i="50"/>
  <c r="E4325" i="50"/>
  <c r="B4349" i="50"/>
  <c r="D4349" i="50" s="1"/>
  <c r="E4348" i="50"/>
  <c r="B4372" i="50"/>
  <c r="D4372" i="50" s="1"/>
  <c r="E4355" i="50"/>
  <c r="B4379" i="50"/>
  <c r="D4379" i="50" s="1"/>
  <c r="E4371" i="50"/>
  <c r="B4395" i="50"/>
  <c r="D4395" i="50" s="1"/>
  <c r="E4394" i="50"/>
  <c r="F4394" i="50" s="1"/>
  <c r="B4418" i="50"/>
  <c r="D4418" i="50" s="1"/>
  <c r="B4410" i="50"/>
  <c r="D4410" i="50" s="1"/>
  <c r="E4386" i="50"/>
  <c r="E4350" i="50"/>
  <c r="B4374" i="50"/>
  <c r="D4374" i="50" s="1"/>
  <c r="B4391" i="50"/>
  <c r="D4391" i="50" s="1"/>
  <c r="E4367" i="50"/>
  <c r="B4376" i="50"/>
  <c r="D4376" i="50" s="1"/>
  <c r="E4352" i="50"/>
  <c r="E4339" i="50"/>
  <c r="B4363" i="50"/>
  <c r="D4363" i="50" s="1"/>
  <c r="E4357" i="50"/>
  <c r="B4381" i="50"/>
  <c r="D4381" i="50" s="1"/>
  <c r="E4334" i="50"/>
  <c r="B4358" i="50"/>
  <c r="D4358" i="50" s="1"/>
  <c r="B4364" i="50"/>
  <c r="D4364" i="50" s="1"/>
  <c r="E4340" i="50"/>
  <c r="B4392" i="50"/>
  <c r="D4392" i="50" s="1"/>
  <c r="E4368" i="50"/>
  <c r="B4383" i="50"/>
  <c r="D4383" i="50" s="1"/>
  <c r="E4359" i="50"/>
  <c r="U4359" i="50" s="1"/>
  <c r="E4337" i="50"/>
  <c r="U4337" i="50" s="1"/>
  <c r="B4361" i="50"/>
  <c r="D4361" i="50" s="1"/>
  <c r="B4366" i="50"/>
  <c r="D4366" i="50" s="1"/>
  <c r="E4342" i="50"/>
  <c r="V4342" i="50" s="1"/>
  <c r="B4401" i="50"/>
  <c r="D4401" i="50" s="1"/>
  <c r="E4377" i="50"/>
  <c r="V4377" i="50" s="1"/>
  <c r="E4378" i="50"/>
  <c r="F4378" i="50" s="1"/>
  <c r="B4402" i="50"/>
  <c r="D4402" i="50" s="1"/>
  <c r="B4417" i="50"/>
  <c r="D4417" i="50" s="1"/>
  <c r="E4393" i="50"/>
  <c r="V4393" i="50" s="1"/>
  <c r="B4360" i="50"/>
  <c r="D4360" i="50" s="1"/>
  <c r="E4336" i="50"/>
  <c r="E4341" i="50"/>
  <c r="V4341" i="50" s="1"/>
  <c r="B4365" i="50"/>
  <c r="D4365" i="50" s="1"/>
  <c r="F4355" i="50" l="1"/>
  <c r="U4355" i="50"/>
  <c r="G4355" i="50"/>
  <c r="G4334" i="50"/>
  <c r="F4334" i="50"/>
  <c r="V4334" i="50"/>
  <c r="U4334" i="50"/>
  <c r="G4339" i="50"/>
  <c r="U4339" i="50"/>
  <c r="F4339" i="50"/>
  <c r="V4348" i="50"/>
  <c r="U4348" i="50"/>
  <c r="G4348" i="50"/>
  <c r="F4348" i="50"/>
  <c r="V4352" i="50"/>
  <c r="U4352" i="50"/>
  <c r="G4352" i="50"/>
  <c r="F4352" i="50"/>
  <c r="V4339" i="50"/>
  <c r="F4325" i="50"/>
  <c r="U4325" i="50"/>
  <c r="G4325" i="50"/>
  <c r="D4351" i="50"/>
  <c r="B4375" i="50"/>
  <c r="E4351" i="50"/>
  <c r="V4367" i="50"/>
  <c r="U4367" i="50"/>
  <c r="G4367" i="50"/>
  <c r="V4327" i="50"/>
  <c r="G4327" i="50"/>
  <c r="F4327" i="50"/>
  <c r="V4355" i="50"/>
  <c r="U4327" i="50"/>
  <c r="G4341" i="50"/>
  <c r="F4341" i="50"/>
  <c r="U4341" i="50"/>
  <c r="V4336" i="50"/>
  <c r="U4336" i="50"/>
  <c r="G4336" i="50"/>
  <c r="F4336" i="50"/>
  <c r="F4367" i="50"/>
  <c r="G4357" i="50"/>
  <c r="F4357" i="50"/>
  <c r="U4357" i="50"/>
  <c r="G4350" i="50"/>
  <c r="F4350" i="50"/>
  <c r="V4350" i="50"/>
  <c r="U4350" i="50"/>
  <c r="V4337" i="50"/>
  <c r="G4337" i="50"/>
  <c r="F4337" i="50"/>
  <c r="G4393" i="50"/>
  <c r="F4393" i="50"/>
  <c r="U4393" i="50"/>
  <c r="V4368" i="50"/>
  <c r="U4368" i="50"/>
  <c r="G4368" i="50"/>
  <c r="F4368" i="50"/>
  <c r="U4386" i="50"/>
  <c r="F4386" i="50"/>
  <c r="G4386" i="50"/>
  <c r="V4325" i="50"/>
  <c r="V4357" i="50"/>
  <c r="F4371" i="50"/>
  <c r="U4371" i="50"/>
  <c r="G4371" i="50"/>
  <c r="D4356" i="50"/>
  <c r="B4380" i="50"/>
  <c r="E4356" i="50"/>
  <c r="F4342" i="50"/>
  <c r="U4342" i="50"/>
  <c r="G4342" i="50"/>
  <c r="V4359" i="50"/>
  <c r="G4359" i="50"/>
  <c r="F4359" i="50"/>
  <c r="V4340" i="50"/>
  <c r="U4340" i="50"/>
  <c r="F4340" i="50"/>
  <c r="G4340" i="50"/>
  <c r="V4332" i="50"/>
  <c r="U4332" i="50"/>
  <c r="G4332" i="50"/>
  <c r="F4332" i="50"/>
  <c r="G4378" i="50"/>
  <c r="U4378" i="50"/>
  <c r="V4378" i="50"/>
  <c r="G4394" i="50"/>
  <c r="U4394" i="50"/>
  <c r="V4394" i="50"/>
  <c r="V4386" i="50"/>
  <c r="V4371" i="50"/>
  <c r="G4377" i="50"/>
  <c r="F4377" i="50"/>
  <c r="U4377" i="50"/>
  <c r="E4366" i="50"/>
  <c r="B4390" i="50"/>
  <c r="D4390" i="50" s="1"/>
  <c r="B4387" i="50"/>
  <c r="D4387" i="50" s="1"/>
  <c r="E4363" i="50"/>
  <c r="E4364" i="50"/>
  <c r="B4388" i="50"/>
  <c r="D4388" i="50" s="1"/>
  <c r="B4441" i="50"/>
  <c r="D4441" i="50" s="1"/>
  <c r="E4417" i="50"/>
  <c r="U4417" i="50" s="1"/>
  <c r="B4382" i="50"/>
  <c r="D4382" i="50" s="1"/>
  <c r="E4358" i="50"/>
  <c r="V4358" i="50" s="1"/>
  <c r="B4434" i="50"/>
  <c r="D4434" i="50" s="1"/>
  <c r="E4410" i="50"/>
  <c r="F4410" i="50" s="1"/>
  <c r="B4426" i="50"/>
  <c r="D4426" i="50" s="1"/>
  <c r="E4402" i="50"/>
  <c r="B4407" i="50"/>
  <c r="D4407" i="50" s="1"/>
  <c r="E4383" i="50"/>
  <c r="F4383" i="50" s="1"/>
  <c r="B4384" i="50"/>
  <c r="D4384" i="50" s="1"/>
  <c r="E4360" i="50"/>
  <c r="B4442" i="50"/>
  <c r="D4442" i="50" s="1"/>
  <c r="E4418" i="50"/>
  <c r="V4418" i="50" s="1"/>
  <c r="B4396" i="50"/>
  <c r="D4396" i="50" s="1"/>
  <c r="E4372" i="50"/>
  <c r="B4400" i="50"/>
  <c r="D4400" i="50" s="1"/>
  <c r="E4376" i="50"/>
  <c r="B4398" i="50"/>
  <c r="D4398" i="50" s="1"/>
  <c r="E4374" i="50"/>
  <c r="V4374" i="50" s="1"/>
  <c r="B4416" i="50"/>
  <c r="D4416" i="50" s="1"/>
  <c r="E4392" i="50"/>
  <c r="V4392" i="50" s="1"/>
  <c r="B4419" i="50"/>
  <c r="D4419" i="50" s="1"/>
  <c r="E4395" i="50"/>
  <c r="B4385" i="50"/>
  <c r="D4385" i="50" s="1"/>
  <c r="E4361" i="50"/>
  <c r="B4373" i="50"/>
  <c r="D4373" i="50" s="1"/>
  <c r="E4349" i="50"/>
  <c r="B4389" i="50"/>
  <c r="D4389" i="50" s="1"/>
  <c r="E4365" i="50"/>
  <c r="G4365" i="50" s="1"/>
  <c r="B4425" i="50"/>
  <c r="D4425" i="50" s="1"/>
  <c r="E4401" i="50"/>
  <c r="U4401" i="50" s="1"/>
  <c r="B4415" i="50"/>
  <c r="D4415" i="50" s="1"/>
  <c r="E4391" i="50"/>
  <c r="B4405" i="50"/>
  <c r="D4405" i="50" s="1"/>
  <c r="E4381" i="50"/>
  <c r="G4381" i="50" s="1"/>
  <c r="B4403" i="50"/>
  <c r="D4403" i="50" s="1"/>
  <c r="E4379" i="50"/>
  <c r="V4379" i="50" s="1"/>
  <c r="V4351" i="50" l="1"/>
  <c r="U4351" i="50"/>
  <c r="G4351" i="50"/>
  <c r="F4374" i="50"/>
  <c r="G4374" i="50"/>
  <c r="U4374" i="50"/>
  <c r="V4391" i="50"/>
  <c r="G4391" i="50"/>
  <c r="F4391" i="50"/>
  <c r="U4376" i="50"/>
  <c r="G4376" i="50"/>
  <c r="F4376" i="50"/>
  <c r="G4410" i="50"/>
  <c r="V4410" i="50"/>
  <c r="U4410" i="50"/>
  <c r="D4375" i="50"/>
  <c r="B4399" i="50"/>
  <c r="E4375" i="50"/>
  <c r="F4351" i="50"/>
  <c r="U4402" i="50"/>
  <c r="F4402" i="50"/>
  <c r="G4402" i="50"/>
  <c r="V4372" i="50"/>
  <c r="U4372" i="50"/>
  <c r="G4372" i="50"/>
  <c r="F4372" i="50"/>
  <c r="F4358" i="50"/>
  <c r="G4358" i="50"/>
  <c r="U4358" i="50"/>
  <c r="V4417" i="50"/>
  <c r="G4417" i="50"/>
  <c r="F4417" i="50"/>
  <c r="V4376" i="50"/>
  <c r="V4349" i="50"/>
  <c r="U4349" i="50"/>
  <c r="F4349" i="50"/>
  <c r="V4364" i="50"/>
  <c r="U4364" i="50"/>
  <c r="G4364" i="50"/>
  <c r="F4364" i="50"/>
  <c r="U4391" i="50"/>
  <c r="G4349" i="50"/>
  <c r="U4418" i="50"/>
  <c r="F4418" i="50"/>
  <c r="G4418" i="50"/>
  <c r="U4360" i="50"/>
  <c r="G4360" i="50"/>
  <c r="F4360" i="50"/>
  <c r="G4363" i="50"/>
  <c r="U4363" i="50"/>
  <c r="F4363" i="50"/>
  <c r="V4360" i="50"/>
  <c r="V4363" i="50"/>
  <c r="G4361" i="50"/>
  <c r="F4361" i="50"/>
  <c r="U4361" i="50"/>
  <c r="G4395" i="50"/>
  <c r="U4395" i="50"/>
  <c r="F4395" i="50"/>
  <c r="V4381" i="50"/>
  <c r="U4381" i="50"/>
  <c r="F4381" i="50"/>
  <c r="V4401" i="50"/>
  <c r="G4401" i="50"/>
  <c r="F4401" i="50"/>
  <c r="V4365" i="50"/>
  <c r="U4365" i="50"/>
  <c r="F4365" i="50"/>
  <c r="G4366" i="50"/>
  <c r="F4366" i="50"/>
  <c r="V4366" i="50"/>
  <c r="U4366" i="50"/>
  <c r="V4356" i="50"/>
  <c r="U4356" i="50"/>
  <c r="G4356" i="50"/>
  <c r="F4356" i="50"/>
  <c r="V4402" i="50"/>
  <c r="G4379" i="50"/>
  <c r="U4379" i="50"/>
  <c r="F4379" i="50"/>
  <c r="U4392" i="50"/>
  <c r="G4392" i="50"/>
  <c r="F4392" i="50"/>
  <c r="V4383" i="50"/>
  <c r="U4383" i="50"/>
  <c r="G4383" i="50"/>
  <c r="V4395" i="50"/>
  <c r="D4380" i="50"/>
  <c r="B4404" i="50"/>
  <c r="E4380" i="50"/>
  <c r="V4361" i="50"/>
  <c r="E4398" i="50"/>
  <c r="B4422" i="50"/>
  <c r="D4422" i="50" s="1"/>
  <c r="E4442" i="50"/>
  <c r="B4466" i="50"/>
  <c r="D4466" i="50" s="1"/>
  <c r="B4431" i="50"/>
  <c r="D4431" i="50" s="1"/>
  <c r="E4407" i="50"/>
  <c r="U4407" i="50" s="1"/>
  <c r="B4424" i="50"/>
  <c r="D4424" i="50" s="1"/>
  <c r="E4400" i="50"/>
  <c r="B4408" i="50"/>
  <c r="D4408" i="50" s="1"/>
  <c r="E4384" i="50"/>
  <c r="E4426" i="50"/>
  <c r="B4450" i="50"/>
  <c r="D4450" i="50" s="1"/>
  <c r="E4389" i="50"/>
  <c r="V4389" i="50" s="1"/>
  <c r="B4413" i="50"/>
  <c r="D4413" i="50" s="1"/>
  <c r="B4465" i="50"/>
  <c r="D4465" i="50" s="1"/>
  <c r="E4441" i="50"/>
  <c r="B4443" i="50"/>
  <c r="D4443" i="50" s="1"/>
  <c r="E4419" i="50"/>
  <c r="V4419" i="50" s="1"/>
  <c r="E4385" i="50"/>
  <c r="U4385" i="50" s="1"/>
  <c r="B4409" i="50"/>
  <c r="D4409" i="50" s="1"/>
  <c r="B4458" i="50"/>
  <c r="D4458" i="50" s="1"/>
  <c r="E4434" i="50"/>
  <c r="V4434" i="50" s="1"/>
  <c r="B4429" i="50"/>
  <c r="D4429" i="50" s="1"/>
  <c r="E4405" i="50"/>
  <c r="V4405" i="50" s="1"/>
  <c r="B4449" i="50"/>
  <c r="D4449" i="50" s="1"/>
  <c r="E4425" i="50"/>
  <c r="V4425" i="50" s="1"/>
  <c r="B4440" i="50"/>
  <c r="D4440" i="50" s="1"/>
  <c r="E4416" i="50"/>
  <c r="E4396" i="50"/>
  <c r="B4420" i="50"/>
  <c r="D4420" i="50" s="1"/>
  <c r="B4412" i="50"/>
  <c r="D4412" i="50" s="1"/>
  <c r="E4388" i="50"/>
  <c r="E4373" i="50"/>
  <c r="V4373" i="50" s="1"/>
  <c r="B4397" i="50"/>
  <c r="D4397" i="50" s="1"/>
  <c r="B4414" i="50"/>
  <c r="D4414" i="50" s="1"/>
  <c r="E4390" i="50"/>
  <c r="E4387" i="50"/>
  <c r="B4411" i="50"/>
  <c r="D4411" i="50" s="1"/>
  <c r="B4427" i="50"/>
  <c r="D4427" i="50" s="1"/>
  <c r="E4403" i="50"/>
  <c r="V4403" i="50" s="1"/>
  <c r="E4415" i="50"/>
  <c r="B4439" i="50"/>
  <c r="D4439" i="50" s="1"/>
  <c r="E4382" i="50"/>
  <c r="B4406" i="50"/>
  <c r="D4406" i="50" s="1"/>
  <c r="G4442" i="50" l="1"/>
  <c r="V4442" i="50"/>
  <c r="U4442" i="50"/>
  <c r="G4441" i="50"/>
  <c r="F4441" i="50"/>
  <c r="U4441" i="50"/>
  <c r="G4398" i="50"/>
  <c r="F4398" i="50"/>
  <c r="V4398" i="50"/>
  <c r="U4398" i="50"/>
  <c r="G4373" i="50"/>
  <c r="F4373" i="50"/>
  <c r="U4373" i="50"/>
  <c r="G4419" i="50"/>
  <c r="U4419" i="50"/>
  <c r="F4419" i="50"/>
  <c r="G4389" i="50"/>
  <c r="F4389" i="50"/>
  <c r="U4389" i="50"/>
  <c r="V4380" i="50"/>
  <c r="U4380" i="50"/>
  <c r="G4380" i="50"/>
  <c r="F4380" i="50"/>
  <c r="V4416" i="50"/>
  <c r="U4416" i="50"/>
  <c r="G4416" i="50"/>
  <c r="F4416" i="50"/>
  <c r="D4404" i="50"/>
  <c r="B4428" i="50"/>
  <c r="E4404" i="50"/>
  <c r="F4390" i="50"/>
  <c r="U4390" i="50"/>
  <c r="G4390" i="50"/>
  <c r="G4426" i="50"/>
  <c r="V4426" i="50"/>
  <c r="U4426" i="50"/>
  <c r="V4385" i="50"/>
  <c r="G4385" i="50"/>
  <c r="F4385" i="50"/>
  <c r="V4388" i="50"/>
  <c r="U4388" i="50"/>
  <c r="G4388" i="50"/>
  <c r="F4388" i="50"/>
  <c r="G4425" i="50"/>
  <c r="F4425" i="50"/>
  <c r="U4425" i="50"/>
  <c r="V4415" i="50"/>
  <c r="U4415" i="50"/>
  <c r="G4415" i="50"/>
  <c r="V4390" i="50"/>
  <c r="V4441" i="50"/>
  <c r="G4382" i="50"/>
  <c r="F4382" i="50"/>
  <c r="V4382" i="50"/>
  <c r="U4382" i="50"/>
  <c r="F4405" i="50"/>
  <c r="G4405" i="50"/>
  <c r="U4405" i="50"/>
  <c r="V4384" i="50"/>
  <c r="U4384" i="50"/>
  <c r="G4384" i="50"/>
  <c r="F4384" i="50"/>
  <c r="F4442" i="50"/>
  <c r="V4407" i="50"/>
  <c r="G4407" i="50"/>
  <c r="F4407" i="50"/>
  <c r="V4375" i="50"/>
  <c r="G4375" i="50"/>
  <c r="F4375" i="50"/>
  <c r="G4403" i="50"/>
  <c r="F4403" i="50"/>
  <c r="U4403" i="50"/>
  <c r="G4434" i="50"/>
  <c r="U4434" i="50"/>
  <c r="F4434" i="50"/>
  <c r="V4400" i="50"/>
  <c r="U4400" i="50"/>
  <c r="G4400" i="50"/>
  <c r="F4400" i="50"/>
  <c r="F4415" i="50"/>
  <c r="D4399" i="50"/>
  <c r="B4423" i="50"/>
  <c r="E4399" i="50"/>
  <c r="V4396" i="50"/>
  <c r="U4396" i="50"/>
  <c r="G4396" i="50"/>
  <c r="F4396" i="50"/>
  <c r="G4387" i="50"/>
  <c r="F4387" i="50"/>
  <c r="U4387" i="50"/>
  <c r="V4424" i="50"/>
  <c r="V4387" i="50"/>
  <c r="U4375" i="50"/>
  <c r="F4426" i="50"/>
  <c r="B4430" i="50"/>
  <c r="D4430" i="50" s="1"/>
  <c r="E4406" i="50"/>
  <c r="V4406" i="50" s="1"/>
  <c r="B4421" i="50"/>
  <c r="D4421" i="50" s="1"/>
  <c r="E4397" i="50"/>
  <c r="G4397" i="50" s="1"/>
  <c r="E4424" i="50"/>
  <c r="B4448" i="50"/>
  <c r="D4448" i="50" s="1"/>
  <c r="E4449" i="50"/>
  <c r="U4449" i="50" s="1"/>
  <c r="B4473" i="50"/>
  <c r="D4473" i="50" s="1"/>
  <c r="B4437" i="50"/>
  <c r="D4437" i="50" s="1"/>
  <c r="E4413" i="50"/>
  <c r="B4453" i="50"/>
  <c r="D4453" i="50" s="1"/>
  <c r="E4429" i="50"/>
  <c r="B4435" i="50"/>
  <c r="D4435" i="50" s="1"/>
  <c r="E4411" i="50"/>
  <c r="V4411" i="50" s="1"/>
  <c r="B4467" i="50"/>
  <c r="D4467" i="50" s="1"/>
  <c r="E4443" i="50"/>
  <c r="V4443" i="50" s="1"/>
  <c r="B4444" i="50"/>
  <c r="D4444" i="50" s="1"/>
  <c r="E4420" i="50"/>
  <c r="V4420" i="50" s="1"/>
  <c r="E4408" i="50"/>
  <c r="B4432" i="50"/>
  <c r="D4432" i="50" s="1"/>
  <c r="B4474" i="50"/>
  <c r="D4474" i="50" s="1"/>
  <c r="E4450" i="50"/>
  <c r="B4438" i="50"/>
  <c r="D4438" i="50" s="1"/>
  <c r="E4414" i="50"/>
  <c r="E4440" i="50"/>
  <c r="B4464" i="50"/>
  <c r="D4464" i="50" s="1"/>
  <c r="B4455" i="50"/>
  <c r="D4455" i="50" s="1"/>
  <c r="E4431" i="50"/>
  <c r="F4431" i="50" s="1"/>
  <c r="B4446" i="50"/>
  <c r="D4446" i="50" s="1"/>
  <c r="E4422" i="50"/>
  <c r="V4422" i="50" s="1"/>
  <c r="B4463" i="50"/>
  <c r="D4463" i="50" s="1"/>
  <c r="E4439" i="50"/>
  <c r="U4439" i="50" s="1"/>
  <c r="E4458" i="50"/>
  <c r="F4458" i="50" s="1"/>
  <c r="B4482" i="50"/>
  <c r="D4482" i="50" s="1"/>
  <c r="B4490" i="50"/>
  <c r="D4490" i="50" s="1"/>
  <c r="E4466" i="50"/>
  <c r="B4451" i="50"/>
  <c r="D4451" i="50" s="1"/>
  <c r="E4427" i="50"/>
  <c r="V4427" i="50" s="1"/>
  <c r="E4412" i="50"/>
  <c r="B4436" i="50"/>
  <c r="D4436" i="50" s="1"/>
  <c r="B4433" i="50"/>
  <c r="D4433" i="50" s="1"/>
  <c r="E4409" i="50"/>
  <c r="E4465" i="50"/>
  <c r="U4465" i="50" s="1"/>
  <c r="B4489" i="50"/>
  <c r="D4489" i="50" s="1"/>
  <c r="G4414" i="50" l="1"/>
  <c r="F4414" i="50"/>
  <c r="V4414" i="50"/>
  <c r="U4414" i="50"/>
  <c r="U4440" i="50"/>
  <c r="G4440" i="50"/>
  <c r="F4440" i="50"/>
  <c r="V4413" i="50"/>
  <c r="U4413" i="50"/>
  <c r="F4413" i="50"/>
  <c r="G4450" i="50"/>
  <c r="U4450" i="50"/>
  <c r="F4450" i="50"/>
  <c r="V4440" i="50"/>
  <c r="G4466" i="50"/>
  <c r="U4466" i="50"/>
  <c r="F4466" i="50"/>
  <c r="G4413" i="50"/>
  <c r="G4409" i="50"/>
  <c r="F4409" i="50"/>
  <c r="U4409" i="50"/>
  <c r="V4449" i="50"/>
  <c r="G4449" i="50"/>
  <c r="F4449" i="50"/>
  <c r="G4420" i="50"/>
  <c r="U4420" i="50"/>
  <c r="F4420" i="50"/>
  <c r="V4412" i="50"/>
  <c r="U4412" i="50"/>
  <c r="G4412" i="50"/>
  <c r="F4412" i="50"/>
  <c r="U4424" i="50"/>
  <c r="G4424" i="50"/>
  <c r="F4424" i="50"/>
  <c r="G4443" i="50"/>
  <c r="U4443" i="50"/>
  <c r="F4443" i="50"/>
  <c r="V4397" i="50"/>
  <c r="U4397" i="50"/>
  <c r="F4397" i="50"/>
  <c r="F4404" i="50"/>
  <c r="U4404" i="50"/>
  <c r="G4404" i="50"/>
  <c r="V4399" i="50"/>
  <c r="U4399" i="50"/>
  <c r="G4399" i="50"/>
  <c r="D4428" i="50"/>
  <c r="B4452" i="50"/>
  <c r="E4428" i="50"/>
  <c r="G4427" i="50"/>
  <c r="U4427" i="50"/>
  <c r="F4427" i="50"/>
  <c r="V4439" i="50"/>
  <c r="G4439" i="50"/>
  <c r="F4439" i="50"/>
  <c r="F4422" i="50"/>
  <c r="U4422" i="50"/>
  <c r="G4422" i="50"/>
  <c r="G4411" i="50"/>
  <c r="U4411" i="50"/>
  <c r="F4411" i="50"/>
  <c r="F4406" i="50"/>
  <c r="U4406" i="50"/>
  <c r="G4406" i="50"/>
  <c r="D4423" i="50"/>
  <c r="B4447" i="50"/>
  <c r="E4423" i="50"/>
  <c r="V4404" i="50"/>
  <c r="U4408" i="50"/>
  <c r="G4408" i="50"/>
  <c r="F4408" i="50"/>
  <c r="F4399" i="50"/>
  <c r="V4408" i="50"/>
  <c r="V4450" i="50"/>
  <c r="V4466" i="50"/>
  <c r="V4465" i="50"/>
  <c r="G4465" i="50"/>
  <c r="F4465" i="50"/>
  <c r="G4458" i="50"/>
  <c r="V4458" i="50"/>
  <c r="U4458" i="50"/>
  <c r="V4431" i="50"/>
  <c r="U4431" i="50"/>
  <c r="G4431" i="50"/>
  <c r="V4429" i="50"/>
  <c r="U4429" i="50"/>
  <c r="F4429" i="50"/>
  <c r="G4429" i="50"/>
  <c r="V4409" i="50"/>
  <c r="E4467" i="50"/>
  <c r="B4491" i="50"/>
  <c r="D4491" i="50" s="1"/>
  <c r="B4445" i="50"/>
  <c r="D4445" i="50" s="1"/>
  <c r="E4421" i="50"/>
  <c r="E4490" i="50"/>
  <c r="F4490" i="50" s="1"/>
  <c r="B4514" i="50"/>
  <c r="D4514" i="50" s="1"/>
  <c r="B4497" i="50"/>
  <c r="D4497" i="50" s="1"/>
  <c r="E4473" i="50"/>
  <c r="V4473" i="50" s="1"/>
  <c r="B4472" i="50"/>
  <c r="D4472" i="50" s="1"/>
  <c r="E4448" i="50"/>
  <c r="B4459" i="50"/>
  <c r="D4459" i="50" s="1"/>
  <c r="E4435" i="50"/>
  <c r="E4444" i="50"/>
  <c r="B4468" i="50"/>
  <c r="D4468" i="50" s="1"/>
  <c r="B4460" i="50"/>
  <c r="D4460" i="50" s="1"/>
  <c r="E4436" i="50"/>
  <c r="B4457" i="50"/>
  <c r="D4457" i="50" s="1"/>
  <c r="E4433" i="50"/>
  <c r="E4451" i="50"/>
  <c r="V4451" i="50" s="1"/>
  <c r="B4475" i="50"/>
  <c r="D4475" i="50" s="1"/>
  <c r="B4506" i="50"/>
  <c r="D4506" i="50" s="1"/>
  <c r="E4482" i="50"/>
  <c r="V4482" i="50" s="1"/>
  <c r="B4470" i="50"/>
  <c r="D4470" i="50" s="1"/>
  <c r="E4446" i="50"/>
  <c r="G4446" i="50" s="1"/>
  <c r="E4474" i="50"/>
  <c r="B4498" i="50"/>
  <c r="D4498" i="50" s="1"/>
  <c r="B4513" i="50"/>
  <c r="D4513" i="50" s="1"/>
  <c r="E4489" i="50"/>
  <c r="B4456" i="50"/>
  <c r="D4456" i="50" s="1"/>
  <c r="E4432" i="50"/>
  <c r="B4488" i="50"/>
  <c r="D4488" i="50" s="1"/>
  <c r="E4464" i="50"/>
  <c r="E4463" i="50"/>
  <c r="B4487" i="50"/>
  <c r="D4487" i="50" s="1"/>
  <c r="B4462" i="50"/>
  <c r="D4462" i="50" s="1"/>
  <c r="E4438" i="50"/>
  <c r="V4438" i="50" s="1"/>
  <c r="B4479" i="50"/>
  <c r="D4479" i="50" s="1"/>
  <c r="E4455" i="50"/>
  <c r="B4477" i="50"/>
  <c r="D4477" i="50" s="1"/>
  <c r="E4453" i="50"/>
  <c r="V4453" i="50" s="1"/>
  <c r="B4461" i="50"/>
  <c r="D4461" i="50" s="1"/>
  <c r="E4437" i="50"/>
  <c r="B4454" i="50"/>
  <c r="D4454" i="50" s="1"/>
  <c r="E4430" i="50"/>
  <c r="V4433" i="50" l="1"/>
  <c r="G4433" i="50"/>
  <c r="F4433" i="50"/>
  <c r="U4421" i="50"/>
  <c r="F4421" i="50"/>
  <c r="G4421" i="50"/>
  <c r="U4423" i="50"/>
  <c r="V4428" i="50"/>
  <c r="U4428" i="50"/>
  <c r="G4428" i="50"/>
  <c r="F4428" i="50"/>
  <c r="D4452" i="50"/>
  <c r="B4476" i="50"/>
  <c r="E4452" i="50"/>
  <c r="G4436" i="50"/>
  <c r="U4436" i="50"/>
  <c r="F4436" i="50"/>
  <c r="U4467" i="50"/>
  <c r="F4467" i="50"/>
  <c r="G4467" i="50"/>
  <c r="V4444" i="50"/>
  <c r="U4444" i="50"/>
  <c r="G4444" i="50"/>
  <c r="F4444" i="50"/>
  <c r="U4463" i="50"/>
  <c r="V4463" i="50"/>
  <c r="G4463" i="50"/>
  <c r="G4430" i="50"/>
  <c r="F4430" i="50"/>
  <c r="U4430" i="50"/>
  <c r="V4430" i="50"/>
  <c r="G4489" i="50"/>
  <c r="F4489" i="50"/>
  <c r="U4489" i="50"/>
  <c r="F4435" i="50"/>
  <c r="U4435" i="50"/>
  <c r="G4435" i="50"/>
  <c r="V4421" i="50"/>
  <c r="V4464" i="50"/>
  <c r="U4464" i="50"/>
  <c r="G4464" i="50"/>
  <c r="F4464" i="50"/>
  <c r="V4435" i="50"/>
  <c r="V4467" i="50"/>
  <c r="V4423" i="50"/>
  <c r="G4423" i="50"/>
  <c r="F4423" i="50"/>
  <c r="G4490" i="50"/>
  <c r="V4490" i="50"/>
  <c r="U4490" i="50"/>
  <c r="V4432" i="50"/>
  <c r="U4432" i="50"/>
  <c r="G4432" i="50"/>
  <c r="F4432" i="50"/>
  <c r="U4453" i="50"/>
  <c r="F4453" i="50"/>
  <c r="G4453" i="50"/>
  <c r="V4448" i="50"/>
  <c r="U4448" i="50"/>
  <c r="G4448" i="50"/>
  <c r="F4448" i="50"/>
  <c r="G4474" i="50"/>
  <c r="U4474" i="50"/>
  <c r="V4474" i="50"/>
  <c r="F4463" i="50"/>
  <c r="V4436" i="50"/>
  <c r="V4455" i="50"/>
  <c r="G4455" i="50"/>
  <c r="F4455" i="50"/>
  <c r="U4446" i="50"/>
  <c r="F4446" i="50"/>
  <c r="V4446" i="50"/>
  <c r="U4451" i="50"/>
  <c r="F4451" i="50"/>
  <c r="G4451" i="50"/>
  <c r="D4447" i="50"/>
  <c r="E4447" i="50"/>
  <c r="B4471" i="50"/>
  <c r="U4437" i="50"/>
  <c r="F4437" i="50"/>
  <c r="G4437" i="50"/>
  <c r="U4433" i="50"/>
  <c r="F4438" i="50"/>
  <c r="G4438" i="50"/>
  <c r="U4438" i="50"/>
  <c r="F4482" i="50"/>
  <c r="G4482" i="50"/>
  <c r="U4482" i="50"/>
  <c r="G4473" i="50"/>
  <c r="F4473" i="50"/>
  <c r="U4473" i="50"/>
  <c r="V4489" i="50"/>
  <c r="V4437" i="50"/>
  <c r="F4474" i="50"/>
  <c r="U4455" i="50"/>
  <c r="B4485" i="50"/>
  <c r="D4485" i="50" s="1"/>
  <c r="E4461" i="50"/>
  <c r="G4461" i="50" s="1"/>
  <c r="E4488" i="50"/>
  <c r="V4488" i="50" s="1"/>
  <c r="B4512" i="50"/>
  <c r="D4512" i="50" s="1"/>
  <c r="B4492" i="50"/>
  <c r="D4492" i="50" s="1"/>
  <c r="E4468" i="50"/>
  <c r="B4483" i="50"/>
  <c r="D4483" i="50" s="1"/>
  <c r="E4459" i="50"/>
  <c r="E4506" i="50"/>
  <c r="B4530" i="50"/>
  <c r="D4530" i="50" s="1"/>
  <c r="E4472" i="50"/>
  <c r="V4472" i="50" s="1"/>
  <c r="B4496" i="50"/>
  <c r="D4496" i="50" s="1"/>
  <c r="B4499" i="50"/>
  <c r="D4499" i="50" s="1"/>
  <c r="E4475" i="50"/>
  <c r="V4475" i="50" s="1"/>
  <c r="E4456" i="50"/>
  <c r="V4456" i="50" s="1"/>
  <c r="B4480" i="50"/>
  <c r="D4480" i="50" s="1"/>
  <c r="B4538" i="50"/>
  <c r="D4538" i="50" s="1"/>
  <c r="E4514" i="50"/>
  <c r="V4514" i="50" s="1"/>
  <c r="E4479" i="50"/>
  <c r="F4479" i="50" s="1"/>
  <c r="B4503" i="50"/>
  <c r="D4503" i="50" s="1"/>
  <c r="E4460" i="50"/>
  <c r="B4484" i="50"/>
  <c r="D4484" i="50" s="1"/>
  <c r="B4469" i="50"/>
  <c r="D4469" i="50" s="1"/>
  <c r="E4445" i="50"/>
  <c r="E4513" i="50"/>
  <c r="B4537" i="50"/>
  <c r="D4537" i="50" s="1"/>
  <c r="B4515" i="50"/>
  <c r="D4515" i="50" s="1"/>
  <c r="E4491" i="50"/>
  <c r="V4491" i="50" s="1"/>
  <c r="B4478" i="50"/>
  <c r="D4478" i="50" s="1"/>
  <c r="E4454" i="50"/>
  <c r="B4522" i="50"/>
  <c r="D4522" i="50" s="1"/>
  <c r="E4498" i="50"/>
  <c r="V4498" i="50" s="1"/>
  <c r="B4511" i="50"/>
  <c r="D4511" i="50" s="1"/>
  <c r="E4487" i="50"/>
  <c r="B4481" i="50"/>
  <c r="D4481" i="50" s="1"/>
  <c r="E4457" i="50"/>
  <c r="V4457" i="50" s="1"/>
  <c r="B4486" i="50"/>
  <c r="D4486" i="50" s="1"/>
  <c r="E4462" i="50"/>
  <c r="G4462" i="50" s="1"/>
  <c r="E4497" i="50"/>
  <c r="B4521" i="50"/>
  <c r="D4521" i="50" s="1"/>
  <c r="B4501" i="50"/>
  <c r="D4501" i="50" s="1"/>
  <c r="E4477" i="50"/>
  <c r="G4477" i="50" s="1"/>
  <c r="B4494" i="50"/>
  <c r="D4494" i="50" s="1"/>
  <c r="E4470" i="50"/>
  <c r="V4470" i="50" s="1"/>
  <c r="V4452" i="50" l="1"/>
  <c r="V4462" i="50"/>
  <c r="U4462" i="50"/>
  <c r="F4462" i="50"/>
  <c r="V4445" i="50"/>
  <c r="U4445" i="50"/>
  <c r="F4445" i="50"/>
  <c r="G4445" i="50"/>
  <c r="D4476" i="50"/>
  <c r="E4476" i="50"/>
  <c r="B4500" i="50"/>
  <c r="G4506" i="50"/>
  <c r="U4506" i="50"/>
  <c r="V4506" i="50"/>
  <c r="G4457" i="50"/>
  <c r="F4457" i="50"/>
  <c r="U4457" i="50"/>
  <c r="U4459" i="50"/>
  <c r="G4459" i="50"/>
  <c r="F4459" i="50"/>
  <c r="V4497" i="50"/>
  <c r="F4497" i="50"/>
  <c r="G4497" i="50"/>
  <c r="U4468" i="50"/>
  <c r="F4468" i="50"/>
  <c r="G4468" i="50"/>
  <c r="D4471" i="50"/>
  <c r="B4495" i="50"/>
  <c r="E4471" i="50"/>
  <c r="V4460" i="50"/>
  <c r="U4460" i="50"/>
  <c r="G4460" i="50"/>
  <c r="F4460" i="50"/>
  <c r="V4447" i="50"/>
  <c r="G4447" i="50"/>
  <c r="U4447" i="50"/>
  <c r="F4447" i="50"/>
  <c r="U4472" i="50"/>
  <c r="G4472" i="50"/>
  <c r="F4472" i="50"/>
  <c r="V4487" i="50"/>
  <c r="G4487" i="50"/>
  <c r="F4487" i="50"/>
  <c r="U4479" i="50"/>
  <c r="V4479" i="50"/>
  <c r="G4479" i="50"/>
  <c r="U4488" i="50"/>
  <c r="G4488" i="50"/>
  <c r="F4488" i="50"/>
  <c r="F4454" i="50"/>
  <c r="G4454" i="50"/>
  <c r="U4454" i="50"/>
  <c r="V4461" i="50"/>
  <c r="U4461" i="50"/>
  <c r="F4461" i="50"/>
  <c r="U4491" i="50"/>
  <c r="G4491" i="50"/>
  <c r="F4491" i="50"/>
  <c r="U4487" i="50"/>
  <c r="F4514" i="50"/>
  <c r="G4514" i="50"/>
  <c r="U4514" i="50"/>
  <c r="U4456" i="50"/>
  <c r="G4456" i="50"/>
  <c r="F4456" i="50"/>
  <c r="F4498" i="50"/>
  <c r="G4498" i="50"/>
  <c r="U4498" i="50"/>
  <c r="V4477" i="50"/>
  <c r="U4477" i="50"/>
  <c r="F4477" i="50"/>
  <c r="U4475" i="50"/>
  <c r="G4475" i="50"/>
  <c r="F4475" i="50"/>
  <c r="U4497" i="50"/>
  <c r="V4454" i="50"/>
  <c r="V4459" i="50"/>
  <c r="F4470" i="50"/>
  <c r="G4470" i="50"/>
  <c r="U4470" i="50"/>
  <c r="V4513" i="50"/>
  <c r="F4513" i="50"/>
  <c r="G4513" i="50"/>
  <c r="F4506" i="50"/>
  <c r="V4468" i="50"/>
  <c r="U4513" i="50"/>
  <c r="U4452" i="50"/>
  <c r="G4452" i="50"/>
  <c r="F4452" i="50"/>
  <c r="B4527" i="50"/>
  <c r="D4527" i="50" s="1"/>
  <c r="E4503" i="50"/>
  <c r="B4510" i="50"/>
  <c r="D4510" i="50" s="1"/>
  <c r="E4486" i="50"/>
  <c r="E4481" i="50"/>
  <c r="U4481" i="50" s="1"/>
  <c r="B4505" i="50"/>
  <c r="D4505" i="50" s="1"/>
  <c r="E4499" i="50"/>
  <c r="V4499" i="50" s="1"/>
  <c r="B4523" i="50"/>
  <c r="D4523" i="50" s="1"/>
  <c r="E4483" i="50"/>
  <c r="V4483" i="50" s="1"/>
  <c r="B4507" i="50"/>
  <c r="D4507" i="50" s="1"/>
  <c r="E4538" i="50"/>
  <c r="F4538" i="50" s="1"/>
  <c r="B4562" i="50"/>
  <c r="D4562" i="50" s="1"/>
  <c r="E4511" i="50"/>
  <c r="F4511" i="50" s="1"/>
  <c r="B4535" i="50"/>
  <c r="D4535" i="50" s="1"/>
  <c r="E4522" i="50"/>
  <c r="F4522" i="50" s="1"/>
  <c r="B4546" i="50"/>
  <c r="D4546" i="50" s="1"/>
  <c r="B4525" i="50"/>
  <c r="D4525" i="50" s="1"/>
  <c r="E4501" i="50"/>
  <c r="V4501" i="50" s="1"/>
  <c r="E4492" i="50"/>
  <c r="B4516" i="50"/>
  <c r="D4516" i="50" s="1"/>
  <c r="B4536" i="50"/>
  <c r="D4536" i="50" s="1"/>
  <c r="E4512" i="50"/>
  <c r="B4545" i="50"/>
  <c r="D4545" i="50" s="1"/>
  <c r="E4521" i="50"/>
  <c r="B4502" i="50"/>
  <c r="D4502" i="50" s="1"/>
  <c r="E4478" i="50"/>
  <c r="G4478" i="50" s="1"/>
  <c r="B4493" i="50"/>
  <c r="D4493" i="50" s="1"/>
  <c r="E4469" i="50"/>
  <c r="V4469" i="50" s="1"/>
  <c r="B4504" i="50"/>
  <c r="D4504" i="50" s="1"/>
  <c r="E4480" i="50"/>
  <c r="B4518" i="50"/>
  <c r="D4518" i="50" s="1"/>
  <c r="E4494" i="50"/>
  <c r="E4515" i="50"/>
  <c r="V4515" i="50" s="1"/>
  <c r="B4539" i="50"/>
  <c r="D4539" i="50" s="1"/>
  <c r="B4520" i="50"/>
  <c r="D4520" i="50" s="1"/>
  <c r="E4496" i="50"/>
  <c r="B4554" i="50"/>
  <c r="D4554" i="50" s="1"/>
  <c r="E4530" i="50"/>
  <c r="V4530" i="50" s="1"/>
  <c r="B4561" i="50"/>
  <c r="D4561" i="50" s="1"/>
  <c r="E4537" i="50"/>
  <c r="B4508" i="50"/>
  <c r="D4508" i="50" s="1"/>
  <c r="E4484" i="50"/>
  <c r="V4484" i="50" s="1"/>
  <c r="B4509" i="50"/>
  <c r="D4509" i="50" s="1"/>
  <c r="E4485" i="50"/>
  <c r="V4485" i="50" s="1"/>
  <c r="V4494" i="50" l="1"/>
  <c r="U4494" i="50"/>
  <c r="F4494" i="50"/>
  <c r="F4501" i="50"/>
  <c r="G4501" i="50"/>
  <c r="U4501" i="50"/>
  <c r="F4486" i="50"/>
  <c r="G4486" i="50"/>
  <c r="U4486" i="50"/>
  <c r="D4495" i="50"/>
  <c r="B4519" i="50"/>
  <c r="E4495" i="50"/>
  <c r="U4471" i="50"/>
  <c r="V4492" i="50"/>
  <c r="U4492" i="50"/>
  <c r="G4492" i="50"/>
  <c r="F4492" i="50"/>
  <c r="V4480" i="50"/>
  <c r="U4480" i="50"/>
  <c r="G4480" i="50"/>
  <c r="F4480" i="50"/>
  <c r="V4503" i="50"/>
  <c r="G4503" i="50"/>
  <c r="F4503" i="50"/>
  <c r="D4500" i="50"/>
  <c r="E4500" i="50"/>
  <c r="B4524" i="50"/>
  <c r="V4476" i="50"/>
  <c r="U4476" i="50"/>
  <c r="G4476" i="50"/>
  <c r="F4476" i="50"/>
  <c r="V4471" i="50"/>
  <c r="G4471" i="50"/>
  <c r="F4471" i="50"/>
  <c r="G4522" i="50"/>
  <c r="U4522" i="50"/>
  <c r="V4522" i="50"/>
  <c r="U4484" i="50"/>
  <c r="G4484" i="50"/>
  <c r="F4484" i="50"/>
  <c r="F4469" i="50"/>
  <c r="G4469" i="50"/>
  <c r="U4469" i="50"/>
  <c r="G4494" i="50"/>
  <c r="U4503" i="50"/>
  <c r="F4485" i="50"/>
  <c r="G4485" i="50"/>
  <c r="U4485" i="50"/>
  <c r="G4511" i="50"/>
  <c r="V4511" i="50"/>
  <c r="U4511" i="50"/>
  <c r="V4486" i="50"/>
  <c r="G4515" i="50"/>
  <c r="U4515" i="50"/>
  <c r="F4515" i="50"/>
  <c r="G4537" i="50"/>
  <c r="F4537" i="50"/>
  <c r="U4537" i="50"/>
  <c r="G4538" i="50"/>
  <c r="U4538" i="50"/>
  <c r="V4538" i="50"/>
  <c r="F4530" i="50"/>
  <c r="G4530" i="50"/>
  <c r="U4530" i="50"/>
  <c r="G4521" i="50"/>
  <c r="F4521" i="50"/>
  <c r="U4521" i="50"/>
  <c r="V4537" i="50"/>
  <c r="V4521" i="50"/>
  <c r="U4483" i="50"/>
  <c r="F4483" i="50"/>
  <c r="G4483" i="50"/>
  <c r="V4496" i="50"/>
  <c r="U4496" i="50"/>
  <c r="G4496" i="50"/>
  <c r="F4496" i="50"/>
  <c r="V4512" i="50"/>
  <c r="U4512" i="50"/>
  <c r="G4512" i="50"/>
  <c r="F4512" i="50"/>
  <c r="V4481" i="50"/>
  <c r="G4481" i="50"/>
  <c r="F4481" i="50"/>
  <c r="V4478" i="50"/>
  <c r="U4478" i="50"/>
  <c r="F4478" i="50"/>
  <c r="U4499" i="50"/>
  <c r="F4499" i="50"/>
  <c r="G4499" i="50"/>
  <c r="B4529" i="50"/>
  <c r="D4529" i="50" s="1"/>
  <c r="E4505" i="50"/>
  <c r="V4505" i="50" s="1"/>
  <c r="B4563" i="50"/>
  <c r="D4563" i="50" s="1"/>
  <c r="E4539" i="50"/>
  <c r="F4539" i="50" s="1"/>
  <c r="B4517" i="50"/>
  <c r="D4517" i="50" s="1"/>
  <c r="E4493" i="50"/>
  <c r="G4493" i="50" s="1"/>
  <c r="B4570" i="50"/>
  <c r="D4570" i="50" s="1"/>
  <c r="E4546" i="50"/>
  <c r="V4546" i="50" s="1"/>
  <c r="B4547" i="50"/>
  <c r="D4547" i="50" s="1"/>
  <c r="E4523" i="50"/>
  <c r="B4534" i="50"/>
  <c r="D4534" i="50" s="1"/>
  <c r="E4510" i="50"/>
  <c r="G4510" i="50" s="1"/>
  <c r="B4540" i="50"/>
  <c r="D4540" i="50" s="1"/>
  <c r="E4516" i="50"/>
  <c r="V4516" i="50" s="1"/>
  <c r="B4559" i="50"/>
  <c r="D4559" i="50" s="1"/>
  <c r="E4535" i="50"/>
  <c r="E4527" i="50"/>
  <c r="F4527" i="50" s="1"/>
  <c r="B4551" i="50"/>
  <c r="D4551" i="50" s="1"/>
  <c r="B4542" i="50"/>
  <c r="D4542" i="50" s="1"/>
  <c r="E4518" i="50"/>
  <c r="V4518" i="50" s="1"/>
  <c r="B4526" i="50"/>
  <c r="D4526" i="50" s="1"/>
  <c r="E4502" i="50"/>
  <c r="E4554" i="50"/>
  <c r="B4578" i="50"/>
  <c r="D4578" i="50" s="1"/>
  <c r="B4531" i="50"/>
  <c r="D4531" i="50" s="1"/>
  <c r="E4507" i="50"/>
  <c r="B4533" i="50"/>
  <c r="D4533" i="50" s="1"/>
  <c r="E4509" i="50"/>
  <c r="E4520" i="50"/>
  <c r="B4544" i="50"/>
  <c r="D4544" i="50" s="1"/>
  <c r="B4586" i="50"/>
  <c r="D4586" i="50" s="1"/>
  <c r="E4562" i="50"/>
  <c r="E4561" i="50"/>
  <c r="U4561" i="50" s="1"/>
  <c r="B4585" i="50"/>
  <c r="D4585" i="50" s="1"/>
  <c r="E4504" i="50"/>
  <c r="V4504" i="50" s="1"/>
  <c r="B4528" i="50"/>
  <c r="D4528" i="50" s="1"/>
  <c r="E4545" i="50"/>
  <c r="B4569" i="50"/>
  <c r="D4569" i="50" s="1"/>
  <c r="B4549" i="50"/>
  <c r="D4549" i="50" s="1"/>
  <c r="E4525" i="50"/>
  <c r="G4525" i="50" s="1"/>
  <c r="E4508" i="50"/>
  <c r="B4532" i="50"/>
  <c r="D4532" i="50" s="1"/>
  <c r="E4536" i="50"/>
  <c r="B4560" i="50"/>
  <c r="D4560" i="50" s="1"/>
  <c r="F4495" i="50" l="1"/>
  <c r="G4562" i="50"/>
  <c r="F4562" i="50"/>
  <c r="U4562" i="50"/>
  <c r="U4536" i="50"/>
  <c r="G4536" i="50"/>
  <c r="F4536" i="50"/>
  <c r="V4500" i="50"/>
  <c r="U4509" i="50"/>
  <c r="F4509" i="50"/>
  <c r="V4509" i="50"/>
  <c r="U4495" i="50"/>
  <c r="V4495" i="50"/>
  <c r="G4495" i="50"/>
  <c r="U4520" i="50"/>
  <c r="G4520" i="50"/>
  <c r="F4520" i="50"/>
  <c r="V4536" i="50"/>
  <c r="D4519" i="50"/>
  <c r="E4519" i="50"/>
  <c r="B4543" i="50"/>
  <c r="G4500" i="50"/>
  <c r="U4500" i="50"/>
  <c r="F4500" i="50"/>
  <c r="V4508" i="50"/>
  <c r="U4508" i="50"/>
  <c r="G4508" i="50"/>
  <c r="F4508" i="50"/>
  <c r="U4507" i="50"/>
  <c r="G4507" i="50"/>
  <c r="F4507" i="50"/>
  <c r="U4525" i="50"/>
  <c r="F4525" i="50"/>
  <c r="V4525" i="50"/>
  <c r="U4523" i="50"/>
  <c r="G4523" i="50"/>
  <c r="V4523" i="50"/>
  <c r="G4509" i="50"/>
  <c r="G4554" i="50"/>
  <c r="U4554" i="50"/>
  <c r="V4554" i="50"/>
  <c r="G4505" i="50"/>
  <c r="F4505" i="50"/>
  <c r="U4505" i="50"/>
  <c r="D4524" i="50"/>
  <c r="E4524" i="50"/>
  <c r="B4548" i="50"/>
  <c r="F4502" i="50"/>
  <c r="G4502" i="50"/>
  <c r="U4502" i="50"/>
  <c r="F4546" i="50"/>
  <c r="G4546" i="50"/>
  <c r="U4546" i="50"/>
  <c r="V4535" i="50"/>
  <c r="G4535" i="50"/>
  <c r="F4535" i="50"/>
  <c r="V4545" i="50"/>
  <c r="F4545" i="50"/>
  <c r="G4545" i="50"/>
  <c r="U4545" i="50"/>
  <c r="V4502" i="50"/>
  <c r="F4516" i="50"/>
  <c r="G4516" i="50"/>
  <c r="U4516" i="50"/>
  <c r="V4520" i="50"/>
  <c r="V4493" i="50"/>
  <c r="U4493" i="50"/>
  <c r="F4493" i="50"/>
  <c r="F4554" i="50"/>
  <c r="V4562" i="50"/>
  <c r="F4518" i="50"/>
  <c r="G4518" i="50"/>
  <c r="U4518" i="50"/>
  <c r="U4504" i="50"/>
  <c r="G4504" i="50"/>
  <c r="F4504" i="50"/>
  <c r="V4510" i="50"/>
  <c r="U4510" i="50"/>
  <c r="F4510" i="50"/>
  <c r="V4539" i="50"/>
  <c r="U4539" i="50"/>
  <c r="G4539" i="50"/>
  <c r="F4523" i="50"/>
  <c r="U4535" i="50"/>
  <c r="V4561" i="50"/>
  <c r="G4561" i="50"/>
  <c r="F4561" i="50"/>
  <c r="U4527" i="50"/>
  <c r="G4527" i="50"/>
  <c r="V4527" i="50"/>
  <c r="V4507" i="50"/>
  <c r="E4547" i="50"/>
  <c r="V4547" i="50" s="1"/>
  <c r="B4571" i="50"/>
  <c r="D4571" i="50" s="1"/>
  <c r="E4529" i="50"/>
  <c r="B4553" i="50"/>
  <c r="D4553" i="50" s="1"/>
  <c r="B4568" i="50"/>
  <c r="D4568" i="50" s="1"/>
  <c r="E4544" i="50"/>
  <c r="B4575" i="50"/>
  <c r="D4575" i="50" s="1"/>
  <c r="E4551" i="50"/>
  <c r="U4551" i="50" s="1"/>
  <c r="E4570" i="50"/>
  <c r="B4594" i="50"/>
  <c r="D4594" i="50" s="1"/>
  <c r="B4566" i="50"/>
  <c r="D4566" i="50" s="1"/>
  <c r="E4542" i="50"/>
  <c r="E4586" i="50"/>
  <c r="U4586" i="50" s="1"/>
  <c r="B4610" i="50"/>
  <c r="D4610" i="50" s="1"/>
  <c r="B4557" i="50"/>
  <c r="D4557" i="50" s="1"/>
  <c r="E4533" i="50"/>
  <c r="B4602" i="50"/>
  <c r="D4602" i="50" s="1"/>
  <c r="E4578" i="50"/>
  <c r="U4578" i="50" s="1"/>
  <c r="B4541" i="50"/>
  <c r="D4541" i="50" s="1"/>
  <c r="E4517" i="50"/>
  <c r="V4517" i="50" s="1"/>
  <c r="B4558" i="50"/>
  <c r="D4558" i="50" s="1"/>
  <c r="E4534" i="50"/>
  <c r="V4534" i="50" s="1"/>
  <c r="B4556" i="50"/>
  <c r="D4556" i="50" s="1"/>
  <c r="E4532" i="50"/>
  <c r="V4532" i="50" s="1"/>
  <c r="E4559" i="50"/>
  <c r="F4559" i="50" s="1"/>
  <c r="B4583" i="50"/>
  <c r="D4583" i="50" s="1"/>
  <c r="B4609" i="50"/>
  <c r="D4609" i="50" s="1"/>
  <c r="E4585" i="50"/>
  <c r="V4585" i="50" s="1"/>
  <c r="B4573" i="50"/>
  <c r="D4573" i="50" s="1"/>
  <c r="E4549" i="50"/>
  <c r="V4549" i="50" s="1"/>
  <c r="B4584" i="50"/>
  <c r="D4584" i="50" s="1"/>
  <c r="E4560" i="50"/>
  <c r="B4593" i="50"/>
  <c r="D4593" i="50" s="1"/>
  <c r="E4569" i="50"/>
  <c r="E4531" i="50"/>
  <c r="V4531" i="50" s="1"/>
  <c r="B4555" i="50"/>
  <c r="D4555" i="50" s="1"/>
  <c r="E4563" i="50"/>
  <c r="G4563" i="50" s="1"/>
  <c r="B4587" i="50"/>
  <c r="D4587" i="50" s="1"/>
  <c r="B4550" i="50"/>
  <c r="D4550" i="50" s="1"/>
  <c r="E4526" i="50"/>
  <c r="E4540" i="50"/>
  <c r="B4564" i="50"/>
  <c r="D4564" i="50" s="1"/>
  <c r="B4552" i="50"/>
  <c r="D4552" i="50" s="1"/>
  <c r="E4528" i="50"/>
  <c r="V4529" i="50" l="1"/>
  <c r="F4529" i="50"/>
  <c r="G4529" i="50"/>
  <c r="G4547" i="50"/>
  <c r="F4547" i="50"/>
  <c r="U4547" i="50"/>
  <c r="U4569" i="50"/>
  <c r="G4569" i="50"/>
  <c r="F4569" i="50"/>
  <c r="F4531" i="50"/>
  <c r="G4531" i="50"/>
  <c r="U4531" i="50"/>
  <c r="V4528" i="50"/>
  <c r="U4528" i="50"/>
  <c r="F4528" i="50"/>
  <c r="G4528" i="50"/>
  <c r="G4585" i="50"/>
  <c r="F4585" i="50"/>
  <c r="U4585" i="50"/>
  <c r="V4542" i="50"/>
  <c r="U4542" i="50"/>
  <c r="F4542" i="50"/>
  <c r="U4529" i="50"/>
  <c r="F4533" i="50"/>
  <c r="G4533" i="50"/>
  <c r="U4533" i="50"/>
  <c r="V4540" i="50"/>
  <c r="G4540" i="50"/>
  <c r="U4540" i="50"/>
  <c r="F4540" i="50"/>
  <c r="G4542" i="50"/>
  <c r="G4586" i="50"/>
  <c r="V4586" i="50"/>
  <c r="F4586" i="50"/>
  <c r="D4543" i="50"/>
  <c r="E4543" i="50"/>
  <c r="B4567" i="50"/>
  <c r="F4549" i="50"/>
  <c r="U4549" i="50"/>
  <c r="G4549" i="50"/>
  <c r="V4559" i="50"/>
  <c r="U4559" i="50"/>
  <c r="G4559" i="50"/>
  <c r="G4570" i="50"/>
  <c r="U4570" i="50"/>
  <c r="F4570" i="50"/>
  <c r="D4548" i="50"/>
  <c r="B4572" i="50"/>
  <c r="E4548" i="50"/>
  <c r="G4519" i="50"/>
  <c r="V4519" i="50"/>
  <c r="F4519" i="50"/>
  <c r="V4526" i="50"/>
  <c r="U4526" i="50"/>
  <c r="F4526" i="50"/>
  <c r="V4551" i="50"/>
  <c r="G4551" i="50"/>
  <c r="F4551" i="50"/>
  <c r="V4569" i="50"/>
  <c r="V4524" i="50"/>
  <c r="U4524" i="50"/>
  <c r="F4524" i="50"/>
  <c r="G4524" i="50"/>
  <c r="U4519" i="50"/>
  <c r="V4578" i="50"/>
  <c r="F4578" i="50"/>
  <c r="G4578" i="50"/>
  <c r="F4532" i="50"/>
  <c r="G4532" i="50"/>
  <c r="U4532" i="50"/>
  <c r="V4570" i="50"/>
  <c r="F4534" i="50"/>
  <c r="G4534" i="50"/>
  <c r="U4534" i="50"/>
  <c r="V4544" i="50"/>
  <c r="U4544" i="50"/>
  <c r="G4544" i="50"/>
  <c r="F4544" i="50"/>
  <c r="G4526" i="50"/>
  <c r="V4533" i="50"/>
  <c r="F4517" i="50"/>
  <c r="G4517" i="50"/>
  <c r="U4517" i="50"/>
  <c r="V4560" i="50"/>
  <c r="U4560" i="50"/>
  <c r="G4560" i="50"/>
  <c r="F4560" i="50"/>
  <c r="U4563" i="50"/>
  <c r="F4563" i="50"/>
  <c r="V4563" i="50"/>
  <c r="G4558" i="50"/>
  <c r="G4568" i="50"/>
  <c r="B4597" i="50"/>
  <c r="D4597" i="50" s="1"/>
  <c r="E4573" i="50"/>
  <c r="E4556" i="50"/>
  <c r="B4580" i="50"/>
  <c r="D4580" i="50" s="1"/>
  <c r="B4582" i="50"/>
  <c r="D4582" i="50" s="1"/>
  <c r="E4558" i="50"/>
  <c r="B4618" i="50"/>
  <c r="D4618" i="50" s="1"/>
  <c r="E4594" i="50"/>
  <c r="U4594" i="50" s="1"/>
  <c r="B4595" i="50"/>
  <c r="D4595" i="50" s="1"/>
  <c r="E4571" i="50"/>
  <c r="B4579" i="50"/>
  <c r="D4579" i="50" s="1"/>
  <c r="E4555" i="50"/>
  <c r="F4555" i="50" s="1"/>
  <c r="B4565" i="50"/>
  <c r="D4565" i="50" s="1"/>
  <c r="E4541" i="50"/>
  <c r="G4541" i="50" s="1"/>
  <c r="E4609" i="50"/>
  <c r="B4633" i="50"/>
  <c r="D4633" i="50" s="1"/>
  <c r="B4588" i="50"/>
  <c r="D4588" i="50" s="1"/>
  <c r="E4564" i="50"/>
  <c r="U4564" i="50" s="1"/>
  <c r="E4584" i="50"/>
  <c r="B4608" i="50"/>
  <c r="D4608" i="50" s="1"/>
  <c r="B4574" i="50"/>
  <c r="D4574" i="50" s="1"/>
  <c r="E4550" i="50"/>
  <c r="V4550" i="50" s="1"/>
  <c r="E4575" i="50"/>
  <c r="B4599" i="50"/>
  <c r="D4599" i="50" s="1"/>
  <c r="B4577" i="50"/>
  <c r="D4577" i="50" s="1"/>
  <c r="E4553" i="50"/>
  <c r="E4593" i="50"/>
  <c r="B4617" i="50"/>
  <c r="D4617" i="50" s="1"/>
  <c r="E4602" i="50"/>
  <c r="B4626" i="50"/>
  <c r="D4626" i="50" s="1"/>
  <c r="B4634" i="50"/>
  <c r="D4634" i="50" s="1"/>
  <c r="E4610" i="50"/>
  <c r="U4610" i="50" s="1"/>
  <c r="B4607" i="50"/>
  <c r="D4607" i="50" s="1"/>
  <c r="E4583" i="50"/>
  <c r="B4581" i="50"/>
  <c r="D4581" i="50" s="1"/>
  <c r="E4557" i="50"/>
  <c r="G4557" i="50" s="1"/>
  <c r="E4568" i="50"/>
  <c r="B4592" i="50"/>
  <c r="D4592" i="50" s="1"/>
  <c r="B4590" i="50"/>
  <c r="D4590" i="50" s="1"/>
  <c r="E4566" i="50"/>
  <c r="U4566" i="50" s="1"/>
  <c r="E4552" i="50"/>
  <c r="B4576" i="50"/>
  <c r="D4576" i="50" s="1"/>
  <c r="B4611" i="50"/>
  <c r="D4611" i="50" s="1"/>
  <c r="E4587" i="50"/>
  <c r="V4583" i="50" l="1"/>
  <c r="U4583" i="50"/>
  <c r="F4583" i="50"/>
  <c r="V4584" i="50"/>
  <c r="U4584" i="50"/>
  <c r="G4584" i="50"/>
  <c r="F4584" i="50"/>
  <c r="V4556" i="50"/>
  <c r="U4556" i="50"/>
  <c r="G4556" i="50"/>
  <c r="F4556" i="50"/>
  <c r="V4543" i="50"/>
  <c r="U4543" i="50"/>
  <c r="G4543" i="50"/>
  <c r="V4573" i="50"/>
  <c r="U4573" i="50"/>
  <c r="G4573" i="50"/>
  <c r="F4573" i="50"/>
  <c r="F4543" i="50"/>
  <c r="U4548" i="50"/>
  <c r="F4548" i="50"/>
  <c r="G4548" i="50"/>
  <c r="G4583" i="50"/>
  <c r="D4572" i="50"/>
  <c r="E4572" i="50"/>
  <c r="B4596" i="50"/>
  <c r="V4548" i="50"/>
  <c r="F4602" i="50"/>
  <c r="V4602" i="50"/>
  <c r="G4602" i="50"/>
  <c r="V4555" i="50"/>
  <c r="U4555" i="50"/>
  <c r="G4555" i="50"/>
  <c r="V4587" i="50"/>
  <c r="U4587" i="50"/>
  <c r="G4587" i="50"/>
  <c r="U4552" i="50"/>
  <c r="G4552" i="50"/>
  <c r="F4552" i="50"/>
  <c r="V4593" i="50"/>
  <c r="U4593" i="50"/>
  <c r="G4593" i="50"/>
  <c r="F4593" i="50"/>
  <c r="U4602" i="50"/>
  <c r="G4553" i="50"/>
  <c r="F4553" i="50"/>
  <c r="U4553" i="50"/>
  <c r="U4571" i="50"/>
  <c r="F4571" i="50"/>
  <c r="G4571" i="50"/>
  <c r="F4587" i="50"/>
  <c r="V4571" i="50"/>
  <c r="V4610" i="50"/>
  <c r="G4610" i="50"/>
  <c r="F4610" i="50"/>
  <c r="D4567" i="50"/>
  <c r="E4567" i="50"/>
  <c r="B4591" i="50"/>
  <c r="V4609" i="50"/>
  <c r="U4609" i="50"/>
  <c r="G4609" i="50"/>
  <c r="F4609" i="50"/>
  <c r="G4566" i="50"/>
  <c r="F4566" i="50"/>
  <c r="V4566" i="50"/>
  <c r="V4594" i="50"/>
  <c r="F4594" i="50"/>
  <c r="G4594" i="50"/>
  <c r="V4552" i="50"/>
  <c r="V4568" i="50"/>
  <c r="U4568" i="50"/>
  <c r="F4568" i="50"/>
  <c r="U4575" i="50"/>
  <c r="V4575" i="50"/>
  <c r="F4575" i="50"/>
  <c r="G4564" i="50"/>
  <c r="F4564" i="50"/>
  <c r="V4564" i="50"/>
  <c r="U4541" i="50"/>
  <c r="F4541" i="50"/>
  <c r="V4541" i="50"/>
  <c r="U4557" i="50"/>
  <c r="F4557" i="50"/>
  <c r="V4557" i="50"/>
  <c r="F4550" i="50"/>
  <c r="U4550" i="50"/>
  <c r="G4550" i="50"/>
  <c r="V4558" i="50"/>
  <c r="U4558" i="50"/>
  <c r="F4558" i="50"/>
  <c r="G4575" i="50"/>
  <c r="V4553" i="50"/>
  <c r="B4589" i="50"/>
  <c r="D4589" i="50" s="1"/>
  <c r="E4565" i="50"/>
  <c r="V4565" i="50" s="1"/>
  <c r="B4632" i="50"/>
  <c r="D4632" i="50" s="1"/>
  <c r="E4608" i="50"/>
  <c r="F4608" i="50" s="1"/>
  <c r="B4614" i="50"/>
  <c r="D4614" i="50" s="1"/>
  <c r="E4590" i="50"/>
  <c r="G4590" i="50" s="1"/>
  <c r="B4616" i="50"/>
  <c r="D4616" i="50" s="1"/>
  <c r="E4592" i="50"/>
  <c r="F4592" i="50" s="1"/>
  <c r="B4623" i="50"/>
  <c r="D4623" i="50" s="1"/>
  <c r="E4599" i="50"/>
  <c r="G4599" i="50" s="1"/>
  <c r="E4634" i="50"/>
  <c r="U4634" i="50" s="1"/>
  <c r="B4658" i="50"/>
  <c r="D4658" i="50" s="1"/>
  <c r="B4650" i="50"/>
  <c r="D4650" i="50" s="1"/>
  <c r="E4626" i="50"/>
  <c r="E4588" i="50"/>
  <c r="B4612" i="50"/>
  <c r="D4612" i="50" s="1"/>
  <c r="E4595" i="50"/>
  <c r="B4619" i="50"/>
  <c r="D4619" i="50" s="1"/>
  <c r="E4579" i="50"/>
  <c r="G4579" i="50" s="1"/>
  <c r="B4603" i="50"/>
  <c r="D4603" i="50" s="1"/>
  <c r="B4641" i="50"/>
  <c r="D4641" i="50" s="1"/>
  <c r="E4617" i="50"/>
  <c r="E4618" i="50"/>
  <c r="U4618" i="50" s="1"/>
  <c r="B4642" i="50"/>
  <c r="D4642" i="50" s="1"/>
  <c r="E4607" i="50"/>
  <c r="B4631" i="50"/>
  <c r="D4631" i="50" s="1"/>
  <c r="B4600" i="50"/>
  <c r="D4600" i="50" s="1"/>
  <c r="E4576" i="50"/>
  <c r="F4576" i="50" s="1"/>
  <c r="B4621" i="50"/>
  <c r="D4621" i="50" s="1"/>
  <c r="E4597" i="50"/>
  <c r="B4657" i="50"/>
  <c r="D4657" i="50" s="1"/>
  <c r="E4633" i="50"/>
  <c r="V4633" i="50" s="1"/>
  <c r="B4605" i="50"/>
  <c r="D4605" i="50" s="1"/>
  <c r="E4581" i="50"/>
  <c r="V4581" i="50" s="1"/>
  <c r="B4598" i="50"/>
  <c r="D4598" i="50" s="1"/>
  <c r="E4574" i="50"/>
  <c r="F4574" i="50" s="1"/>
  <c r="B4606" i="50"/>
  <c r="D4606" i="50" s="1"/>
  <c r="E4582" i="50"/>
  <c r="U4582" i="50" s="1"/>
  <c r="E4611" i="50"/>
  <c r="B4635" i="50"/>
  <c r="D4635" i="50" s="1"/>
  <c r="B4604" i="50"/>
  <c r="D4604" i="50" s="1"/>
  <c r="E4580" i="50"/>
  <c r="E4577" i="50"/>
  <c r="B4601" i="50"/>
  <c r="D4601" i="50" s="1"/>
  <c r="V4577" i="50" l="1"/>
  <c r="U4577" i="50"/>
  <c r="G4577" i="50"/>
  <c r="F4577" i="50"/>
  <c r="V4626" i="50"/>
  <c r="F4626" i="50"/>
  <c r="G4626" i="50"/>
  <c r="F4572" i="50"/>
  <c r="D4596" i="50"/>
  <c r="E4596" i="50"/>
  <c r="B4620" i="50"/>
  <c r="V4576" i="50"/>
  <c r="U4576" i="50"/>
  <c r="G4576" i="50"/>
  <c r="F4599" i="50"/>
  <c r="V4599" i="50"/>
  <c r="U4599" i="50"/>
  <c r="U4597" i="50"/>
  <c r="G4597" i="50"/>
  <c r="F4597" i="50"/>
  <c r="V4595" i="50"/>
  <c r="U4595" i="50"/>
  <c r="F4595" i="50"/>
  <c r="G4582" i="50"/>
  <c r="F4582" i="50"/>
  <c r="V4582" i="50"/>
  <c r="U4592" i="50"/>
  <c r="G4592" i="50"/>
  <c r="V4592" i="50"/>
  <c r="D4591" i="50"/>
  <c r="E4591" i="50"/>
  <c r="B4615" i="50"/>
  <c r="U4626" i="50"/>
  <c r="V4588" i="50"/>
  <c r="U4588" i="50"/>
  <c r="G4588" i="50"/>
  <c r="F4607" i="50"/>
  <c r="V4607" i="50"/>
  <c r="U4607" i="50"/>
  <c r="F4618" i="50"/>
  <c r="G4618" i="50"/>
  <c r="V4618" i="50"/>
  <c r="U4567" i="50"/>
  <c r="F4567" i="50"/>
  <c r="V4567" i="50"/>
  <c r="G4607" i="50"/>
  <c r="G4611" i="50"/>
  <c r="F4611" i="50"/>
  <c r="V4611" i="50"/>
  <c r="U4611" i="50"/>
  <c r="G4574" i="50"/>
  <c r="V4574" i="50"/>
  <c r="U4574" i="50"/>
  <c r="U4617" i="50"/>
  <c r="G4617" i="50"/>
  <c r="F4617" i="50"/>
  <c r="F4590" i="50"/>
  <c r="V4590" i="50"/>
  <c r="U4590" i="50"/>
  <c r="F4588" i="50"/>
  <c r="G4567" i="50"/>
  <c r="G4580" i="50"/>
  <c r="U4580" i="50"/>
  <c r="F4580" i="50"/>
  <c r="V4580" i="50"/>
  <c r="G4595" i="50"/>
  <c r="V4597" i="50"/>
  <c r="G4572" i="50"/>
  <c r="V4572" i="50"/>
  <c r="U4572" i="50"/>
  <c r="G4581" i="50"/>
  <c r="U4581" i="50"/>
  <c r="F4581" i="50"/>
  <c r="U4608" i="50"/>
  <c r="G4608" i="50"/>
  <c r="V4608" i="50"/>
  <c r="V4617" i="50"/>
  <c r="V4634" i="50"/>
  <c r="G4634" i="50"/>
  <c r="F4634" i="50"/>
  <c r="V4579" i="50"/>
  <c r="U4579" i="50"/>
  <c r="F4579" i="50"/>
  <c r="U4633" i="50"/>
  <c r="G4633" i="50"/>
  <c r="F4633" i="50"/>
  <c r="U4565" i="50"/>
  <c r="G4565" i="50"/>
  <c r="F4565" i="50"/>
  <c r="B4643" i="50"/>
  <c r="D4643" i="50" s="1"/>
  <c r="E4619" i="50"/>
  <c r="F4619" i="50" s="1"/>
  <c r="B4666" i="50"/>
  <c r="D4666" i="50" s="1"/>
  <c r="E4642" i="50"/>
  <c r="B4636" i="50"/>
  <c r="D4636" i="50" s="1"/>
  <c r="E4612" i="50"/>
  <c r="B4645" i="50"/>
  <c r="D4645" i="50" s="1"/>
  <c r="E4621" i="50"/>
  <c r="B4682" i="50"/>
  <c r="D4682" i="50" s="1"/>
  <c r="E4658" i="50"/>
  <c r="E4657" i="50"/>
  <c r="B4681" i="50"/>
  <c r="D4681" i="50" s="1"/>
  <c r="B4622" i="50"/>
  <c r="D4622" i="50" s="1"/>
  <c r="E4598" i="50"/>
  <c r="U4598" i="50" s="1"/>
  <c r="E4641" i="50"/>
  <c r="B4665" i="50"/>
  <c r="D4665" i="50" s="1"/>
  <c r="E4650" i="50"/>
  <c r="U4650" i="50" s="1"/>
  <c r="B4674" i="50"/>
  <c r="D4674" i="50" s="1"/>
  <c r="E4616" i="50"/>
  <c r="B4640" i="50"/>
  <c r="D4640" i="50" s="1"/>
  <c r="B4613" i="50"/>
  <c r="D4613" i="50" s="1"/>
  <c r="E4589" i="50"/>
  <c r="B4629" i="50"/>
  <c r="D4629" i="50" s="1"/>
  <c r="E4605" i="50"/>
  <c r="E4623" i="50"/>
  <c r="G4623" i="50" s="1"/>
  <c r="B4647" i="50"/>
  <c r="D4647" i="50" s="1"/>
  <c r="B4625" i="50"/>
  <c r="D4625" i="50" s="1"/>
  <c r="E4601" i="50"/>
  <c r="V4601" i="50" s="1"/>
  <c r="E4600" i="50"/>
  <c r="B4624" i="50"/>
  <c r="D4624" i="50" s="1"/>
  <c r="B4659" i="50"/>
  <c r="D4659" i="50" s="1"/>
  <c r="E4635" i="50"/>
  <c r="E4604" i="50"/>
  <c r="B4628" i="50"/>
  <c r="D4628" i="50" s="1"/>
  <c r="B4655" i="50"/>
  <c r="D4655" i="50" s="1"/>
  <c r="E4631" i="50"/>
  <c r="G4631" i="50" s="1"/>
  <c r="B4638" i="50"/>
  <c r="D4638" i="50" s="1"/>
  <c r="E4614" i="50"/>
  <c r="E4632" i="50"/>
  <c r="B4656" i="50"/>
  <c r="D4656" i="50" s="1"/>
  <c r="B4627" i="50"/>
  <c r="D4627" i="50" s="1"/>
  <c r="E4603" i="50"/>
  <c r="B4630" i="50"/>
  <c r="D4630" i="50" s="1"/>
  <c r="E4606" i="50"/>
  <c r="G4606" i="50" s="1"/>
  <c r="G4591" i="50" l="1"/>
  <c r="D4620" i="50"/>
  <c r="B4644" i="50"/>
  <c r="E4620" i="50"/>
  <c r="G4658" i="50"/>
  <c r="U4658" i="50"/>
  <c r="F4658" i="50"/>
  <c r="V4658" i="50"/>
  <c r="G4596" i="50"/>
  <c r="F4596" i="50"/>
  <c r="V4596" i="50"/>
  <c r="U4596" i="50"/>
  <c r="V4657" i="50"/>
  <c r="U4657" i="50"/>
  <c r="G4657" i="50"/>
  <c r="F4657" i="50"/>
  <c r="V4621" i="50"/>
  <c r="U4621" i="50"/>
  <c r="G4621" i="50"/>
  <c r="F4621" i="50"/>
  <c r="V4605" i="50"/>
  <c r="U4605" i="50"/>
  <c r="G4605" i="50"/>
  <c r="F4605" i="50"/>
  <c r="V4616" i="50"/>
  <c r="U4616" i="50"/>
  <c r="G4616" i="50"/>
  <c r="F4616" i="50"/>
  <c r="G4603" i="50"/>
  <c r="V4603" i="50"/>
  <c r="U4603" i="50"/>
  <c r="V4589" i="50"/>
  <c r="U4589" i="50"/>
  <c r="G4589" i="50"/>
  <c r="F4589" i="50"/>
  <c r="G4612" i="50"/>
  <c r="F4612" i="50"/>
  <c r="V4612" i="50"/>
  <c r="U4612" i="50"/>
  <c r="U4614" i="50"/>
  <c r="G4614" i="50"/>
  <c r="F4614" i="50"/>
  <c r="V4614" i="50"/>
  <c r="G4604" i="50"/>
  <c r="V4604" i="50"/>
  <c r="F4604" i="50"/>
  <c r="U4604" i="50"/>
  <c r="V4650" i="50"/>
  <c r="G4650" i="50"/>
  <c r="F4650" i="50"/>
  <c r="F4603" i="50"/>
  <c r="U4642" i="50"/>
  <c r="V4642" i="50"/>
  <c r="F4642" i="50"/>
  <c r="G4642" i="50"/>
  <c r="F4631" i="50"/>
  <c r="U4631" i="50"/>
  <c r="V4631" i="50"/>
  <c r="V4641" i="50"/>
  <c r="U4641" i="50"/>
  <c r="G4641" i="50"/>
  <c r="F4641" i="50"/>
  <c r="V4632" i="50"/>
  <c r="U4632" i="50"/>
  <c r="G4632" i="50"/>
  <c r="F4632" i="50"/>
  <c r="V4635" i="50"/>
  <c r="F4635" i="50"/>
  <c r="G4635" i="50"/>
  <c r="U4635" i="50"/>
  <c r="F4598" i="50"/>
  <c r="V4598" i="50"/>
  <c r="G4598" i="50"/>
  <c r="G4619" i="50"/>
  <c r="U4619" i="50"/>
  <c r="V4619" i="50"/>
  <c r="U4623" i="50"/>
  <c r="F4623" i="50"/>
  <c r="V4623" i="50"/>
  <c r="V4600" i="50"/>
  <c r="U4600" i="50"/>
  <c r="G4600" i="50"/>
  <c r="F4600" i="50"/>
  <c r="D4615" i="50"/>
  <c r="B4639" i="50"/>
  <c r="E4615" i="50"/>
  <c r="V4606" i="50"/>
  <c r="F4606" i="50"/>
  <c r="U4606" i="50"/>
  <c r="U4601" i="50"/>
  <c r="G4601" i="50"/>
  <c r="F4601" i="50"/>
  <c r="F4591" i="50"/>
  <c r="V4591" i="50"/>
  <c r="U4591" i="50"/>
  <c r="E4636" i="50"/>
  <c r="B4660" i="50"/>
  <c r="D4660" i="50" s="1"/>
  <c r="B4689" i="50"/>
  <c r="D4689" i="50" s="1"/>
  <c r="E4665" i="50"/>
  <c r="B4705" i="50"/>
  <c r="D4705" i="50" s="1"/>
  <c r="E4681" i="50"/>
  <c r="V4681" i="50" s="1"/>
  <c r="B4653" i="50"/>
  <c r="D4653" i="50" s="1"/>
  <c r="E4629" i="50"/>
  <c r="E4666" i="50"/>
  <c r="B4690" i="50"/>
  <c r="D4690" i="50" s="1"/>
  <c r="B4648" i="50"/>
  <c r="D4648" i="50" s="1"/>
  <c r="E4624" i="50"/>
  <c r="F4624" i="50" s="1"/>
  <c r="E4655" i="50"/>
  <c r="B4679" i="50"/>
  <c r="D4679" i="50" s="1"/>
  <c r="B4652" i="50"/>
  <c r="D4652" i="50" s="1"/>
  <c r="E4628" i="50"/>
  <c r="B4637" i="50"/>
  <c r="D4637" i="50" s="1"/>
  <c r="E4613" i="50"/>
  <c r="B4664" i="50"/>
  <c r="D4664" i="50" s="1"/>
  <c r="E4640" i="50"/>
  <c r="F4640" i="50" s="1"/>
  <c r="B4654" i="50"/>
  <c r="D4654" i="50" s="1"/>
  <c r="E4630" i="50"/>
  <c r="E4627" i="50"/>
  <c r="B4651" i="50"/>
  <c r="D4651" i="50" s="1"/>
  <c r="E4625" i="50"/>
  <c r="B4649" i="50"/>
  <c r="D4649" i="50" s="1"/>
  <c r="B4669" i="50"/>
  <c r="D4669" i="50" s="1"/>
  <c r="E4645" i="50"/>
  <c r="B4671" i="50"/>
  <c r="D4671" i="50" s="1"/>
  <c r="E4647" i="50"/>
  <c r="B4646" i="50"/>
  <c r="D4646" i="50" s="1"/>
  <c r="E4622" i="50"/>
  <c r="E4682" i="50"/>
  <c r="B4706" i="50"/>
  <c r="D4706" i="50" s="1"/>
  <c r="E4659" i="50"/>
  <c r="B4683" i="50"/>
  <c r="D4683" i="50" s="1"/>
  <c r="B4680" i="50"/>
  <c r="D4680" i="50" s="1"/>
  <c r="E4656" i="50"/>
  <c r="B4662" i="50"/>
  <c r="D4662" i="50" s="1"/>
  <c r="E4638" i="50"/>
  <c r="G4638" i="50" s="1"/>
  <c r="B4698" i="50"/>
  <c r="D4698" i="50" s="1"/>
  <c r="E4674" i="50"/>
  <c r="E4643" i="50"/>
  <c r="B4667" i="50"/>
  <c r="D4667" i="50" s="1"/>
  <c r="G4615" i="50" l="1"/>
  <c r="U4613" i="50"/>
  <c r="F4613" i="50"/>
  <c r="G4613" i="50"/>
  <c r="D4639" i="50"/>
  <c r="B4663" i="50"/>
  <c r="E4639" i="50"/>
  <c r="F4622" i="50"/>
  <c r="U4622" i="50"/>
  <c r="V4622" i="50"/>
  <c r="U4665" i="50"/>
  <c r="G4665" i="50"/>
  <c r="F4665" i="50"/>
  <c r="U4636" i="50"/>
  <c r="G4636" i="50"/>
  <c r="V4636" i="50"/>
  <c r="F4636" i="50"/>
  <c r="G4622" i="50"/>
  <c r="U4628" i="50"/>
  <c r="G4628" i="50"/>
  <c r="F4628" i="50"/>
  <c r="V4628" i="50"/>
  <c r="V4655" i="50"/>
  <c r="U4655" i="50"/>
  <c r="F4655" i="50"/>
  <c r="G4655" i="50"/>
  <c r="V4665" i="50"/>
  <c r="V4624" i="50"/>
  <c r="U4624" i="50"/>
  <c r="G4624" i="50"/>
  <c r="V4682" i="50"/>
  <c r="G4682" i="50"/>
  <c r="F4682" i="50"/>
  <c r="V4625" i="50"/>
  <c r="U4625" i="50"/>
  <c r="G4625" i="50"/>
  <c r="F4625" i="50"/>
  <c r="V4647" i="50"/>
  <c r="F4647" i="50"/>
  <c r="U4647" i="50"/>
  <c r="V4638" i="50"/>
  <c r="U4638" i="50"/>
  <c r="F4638" i="50"/>
  <c r="G4647" i="50"/>
  <c r="V4627" i="50"/>
  <c r="U4627" i="50"/>
  <c r="G4627" i="50"/>
  <c r="F4627" i="50"/>
  <c r="V4666" i="50"/>
  <c r="G4666" i="50"/>
  <c r="F4666" i="50"/>
  <c r="U4666" i="50"/>
  <c r="U4645" i="50"/>
  <c r="F4645" i="50"/>
  <c r="V4645" i="50"/>
  <c r="G4645" i="50"/>
  <c r="F4630" i="50"/>
  <c r="V4630" i="50"/>
  <c r="U4630" i="50"/>
  <c r="G4630" i="50"/>
  <c r="F4629" i="50"/>
  <c r="V4629" i="50"/>
  <c r="G4629" i="50"/>
  <c r="U4629" i="50"/>
  <c r="U4620" i="50"/>
  <c r="V4620" i="50"/>
  <c r="F4620" i="50"/>
  <c r="G4620" i="50"/>
  <c r="V4643" i="50"/>
  <c r="U4643" i="50"/>
  <c r="G4643" i="50"/>
  <c r="F4643" i="50"/>
  <c r="V4656" i="50"/>
  <c r="U4656" i="50"/>
  <c r="G4656" i="50"/>
  <c r="D4644" i="50"/>
  <c r="E4644" i="50"/>
  <c r="B4668" i="50"/>
  <c r="U4640" i="50"/>
  <c r="G4640" i="50"/>
  <c r="V4640" i="50"/>
  <c r="U4681" i="50"/>
  <c r="G4681" i="50"/>
  <c r="F4681" i="50"/>
  <c r="U4682" i="50"/>
  <c r="V4674" i="50"/>
  <c r="U4674" i="50"/>
  <c r="F4674" i="50"/>
  <c r="G4674" i="50"/>
  <c r="V4659" i="50"/>
  <c r="U4659" i="50"/>
  <c r="G4659" i="50"/>
  <c r="F4659" i="50"/>
  <c r="V4615" i="50"/>
  <c r="U4615" i="50"/>
  <c r="F4615" i="50"/>
  <c r="V4613" i="50"/>
  <c r="F4656" i="50"/>
  <c r="B4707" i="50"/>
  <c r="D4707" i="50" s="1"/>
  <c r="E4683" i="50"/>
  <c r="B4693" i="50"/>
  <c r="D4693" i="50" s="1"/>
  <c r="E4669" i="50"/>
  <c r="B4675" i="50"/>
  <c r="D4675" i="50" s="1"/>
  <c r="E4651" i="50"/>
  <c r="B4714" i="50"/>
  <c r="D4714" i="50" s="1"/>
  <c r="E4690" i="50"/>
  <c r="E4705" i="50"/>
  <c r="B4729" i="50"/>
  <c r="D4729" i="50" s="1"/>
  <c r="B4661" i="50"/>
  <c r="D4661" i="50" s="1"/>
  <c r="E4637" i="50"/>
  <c r="B4703" i="50"/>
  <c r="D4703" i="50" s="1"/>
  <c r="E4679" i="50"/>
  <c r="B4684" i="50"/>
  <c r="D4684" i="50" s="1"/>
  <c r="E4660" i="50"/>
  <c r="B4686" i="50"/>
  <c r="D4686" i="50" s="1"/>
  <c r="E4662" i="50"/>
  <c r="B4678" i="50"/>
  <c r="D4678" i="50" s="1"/>
  <c r="E4654" i="50"/>
  <c r="G4654" i="50" s="1"/>
  <c r="B4691" i="50"/>
  <c r="D4691" i="50" s="1"/>
  <c r="E4667" i="50"/>
  <c r="B4677" i="50"/>
  <c r="D4677" i="50" s="1"/>
  <c r="E4653" i="50"/>
  <c r="E4689" i="50"/>
  <c r="B4713" i="50"/>
  <c r="D4713" i="50" s="1"/>
  <c r="B4670" i="50"/>
  <c r="D4670" i="50" s="1"/>
  <c r="E4646" i="50"/>
  <c r="E4680" i="50"/>
  <c r="B4704" i="50"/>
  <c r="D4704" i="50" s="1"/>
  <c r="E4671" i="50"/>
  <c r="G4671" i="50" s="1"/>
  <c r="B4695" i="50"/>
  <c r="D4695" i="50" s="1"/>
  <c r="E4652" i="50"/>
  <c r="B4676" i="50"/>
  <c r="D4676" i="50" s="1"/>
  <c r="B4730" i="50"/>
  <c r="D4730" i="50" s="1"/>
  <c r="E4706" i="50"/>
  <c r="E4698" i="50"/>
  <c r="B4722" i="50"/>
  <c r="D4722" i="50" s="1"/>
  <c r="E4648" i="50"/>
  <c r="B4672" i="50"/>
  <c r="D4672" i="50" s="1"/>
  <c r="E4664" i="50"/>
  <c r="B4688" i="50"/>
  <c r="D4688" i="50" s="1"/>
  <c r="B4673" i="50"/>
  <c r="D4673" i="50" s="1"/>
  <c r="E4649" i="50"/>
  <c r="V4649" i="50" s="1"/>
  <c r="G4644" i="50" l="1"/>
  <c r="F4644" i="50"/>
  <c r="V4644" i="50"/>
  <c r="U4644" i="50"/>
  <c r="V4664" i="50"/>
  <c r="U4664" i="50"/>
  <c r="G4664" i="50"/>
  <c r="F4664" i="50"/>
  <c r="V4689" i="50"/>
  <c r="U4689" i="50"/>
  <c r="G4689" i="50"/>
  <c r="F4689" i="50"/>
  <c r="V4705" i="50"/>
  <c r="U4705" i="50"/>
  <c r="G4705" i="50"/>
  <c r="F4705" i="50"/>
  <c r="V4653" i="50"/>
  <c r="U4653" i="50"/>
  <c r="G4653" i="50"/>
  <c r="F4653" i="50"/>
  <c r="U4690" i="50"/>
  <c r="F4690" i="50"/>
  <c r="G4690" i="50"/>
  <c r="V4690" i="50"/>
  <c r="V4698" i="50"/>
  <c r="G4698" i="50"/>
  <c r="F4698" i="50"/>
  <c r="G4651" i="50"/>
  <c r="V4651" i="50"/>
  <c r="F4651" i="50"/>
  <c r="U4651" i="50"/>
  <c r="F4646" i="50"/>
  <c r="V4646" i="50"/>
  <c r="U4646" i="50"/>
  <c r="G4646" i="50"/>
  <c r="D4668" i="50"/>
  <c r="E4668" i="50"/>
  <c r="B4692" i="50"/>
  <c r="V4669" i="50"/>
  <c r="U4669" i="50"/>
  <c r="G4669" i="50"/>
  <c r="F4669" i="50"/>
  <c r="V4637" i="50"/>
  <c r="U4637" i="50"/>
  <c r="G4637" i="50"/>
  <c r="F4637" i="50"/>
  <c r="V4662" i="50"/>
  <c r="U4662" i="50"/>
  <c r="G4662" i="50"/>
  <c r="F4662" i="50"/>
  <c r="U4683" i="50"/>
  <c r="V4683" i="50"/>
  <c r="F4683" i="50"/>
  <c r="G4683" i="50"/>
  <c r="U4667" i="50"/>
  <c r="G4667" i="50"/>
  <c r="V4667" i="50"/>
  <c r="F4667" i="50"/>
  <c r="V4639" i="50"/>
  <c r="U4639" i="50"/>
  <c r="F4639" i="50"/>
  <c r="V4706" i="50"/>
  <c r="U4706" i="50"/>
  <c r="F4706" i="50"/>
  <c r="G4706" i="50"/>
  <c r="U4660" i="50"/>
  <c r="F4660" i="50"/>
  <c r="V4660" i="50"/>
  <c r="G4660" i="50"/>
  <c r="D4663" i="50"/>
  <c r="E4663" i="50"/>
  <c r="B4687" i="50"/>
  <c r="V4671" i="50"/>
  <c r="U4671" i="50"/>
  <c r="F4671" i="50"/>
  <c r="G4639" i="50"/>
  <c r="V4648" i="50"/>
  <c r="U4648" i="50"/>
  <c r="G4648" i="50"/>
  <c r="F4648" i="50"/>
  <c r="U4652" i="50"/>
  <c r="V4652" i="50"/>
  <c r="F4652" i="50"/>
  <c r="G4652" i="50"/>
  <c r="U4649" i="50"/>
  <c r="G4649" i="50"/>
  <c r="F4649" i="50"/>
  <c r="V4679" i="50"/>
  <c r="G4679" i="50"/>
  <c r="U4679" i="50"/>
  <c r="F4679" i="50"/>
  <c r="V4654" i="50"/>
  <c r="U4654" i="50"/>
  <c r="F4654" i="50"/>
  <c r="V4680" i="50"/>
  <c r="U4680" i="50"/>
  <c r="G4680" i="50"/>
  <c r="F4680" i="50"/>
  <c r="U4698" i="50"/>
  <c r="B4737" i="50"/>
  <c r="D4737" i="50" s="1"/>
  <c r="E4713" i="50"/>
  <c r="V4713" i="50" s="1"/>
  <c r="B4696" i="50"/>
  <c r="D4696" i="50" s="1"/>
  <c r="E4672" i="50"/>
  <c r="F4672" i="50" s="1"/>
  <c r="E4730" i="50"/>
  <c r="U4730" i="50" s="1"/>
  <c r="B4754" i="50"/>
  <c r="D4754" i="50" s="1"/>
  <c r="E4691" i="50"/>
  <c r="B4715" i="50"/>
  <c r="D4715" i="50" s="1"/>
  <c r="B4753" i="50"/>
  <c r="D4753" i="50" s="1"/>
  <c r="E4729" i="50"/>
  <c r="B4701" i="50"/>
  <c r="D4701" i="50" s="1"/>
  <c r="E4677" i="50"/>
  <c r="B4702" i="50"/>
  <c r="D4702" i="50" s="1"/>
  <c r="E4678" i="50"/>
  <c r="B4719" i="50"/>
  <c r="D4719" i="50" s="1"/>
  <c r="E4695" i="50"/>
  <c r="E4703" i="50"/>
  <c r="G4703" i="50" s="1"/>
  <c r="B4727" i="50"/>
  <c r="D4727" i="50" s="1"/>
  <c r="B4700" i="50"/>
  <c r="D4700" i="50" s="1"/>
  <c r="E4676" i="50"/>
  <c r="E4714" i="50"/>
  <c r="U4714" i="50" s="1"/>
  <c r="B4738" i="50"/>
  <c r="D4738" i="50" s="1"/>
  <c r="B4728" i="50"/>
  <c r="D4728" i="50" s="1"/>
  <c r="E4704" i="50"/>
  <c r="G4704" i="50" s="1"/>
  <c r="B4710" i="50"/>
  <c r="D4710" i="50" s="1"/>
  <c r="E4686" i="50"/>
  <c r="B4746" i="50"/>
  <c r="D4746" i="50" s="1"/>
  <c r="E4722" i="50"/>
  <c r="B4685" i="50"/>
  <c r="D4685" i="50" s="1"/>
  <c r="E4661" i="50"/>
  <c r="B4717" i="50"/>
  <c r="D4717" i="50" s="1"/>
  <c r="E4693" i="50"/>
  <c r="E4675" i="50"/>
  <c r="B4699" i="50"/>
  <c r="D4699" i="50" s="1"/>
  <c r="B4694" i="50"/>
  <c r="D4694" i="50" s="1"/>
  <c r="E4670" i="50"/>
  <c r="E4673" i="50"/>
  <c r="B4697" i="50"/>
  <c r="D4697" i="50" s="1"/>
  <c r="B4712" i="50"/>
  <c r="D4712" i="50" s="1"/>
  <c r="E4688" i="50"/>
  <c r="G4688" i="50" s="1"/>
  <c r="E4684" i="50"/>
  <c r="B4708" i="50"/>
  <c r="D4708" i="50" s="1"/>
  <c r="E4707" i="50"/>
  <c r="B4731" i="50"/>
  <c r="D4731" i="50" s="1"/>
  <c r="G4722" i="50" l="1"/>
  <c r="V4722" i="50"/>
  <c r="U4722" i="50"/>
  <c r="F4722" i="50"/>
  <c r="F4678" i="50"/>
  <c r="U4678" i="50"/>
  <c r="G4678" i="50"/>
  <c r="V4663" i="50"/>
  <c r="G4663" i="50"/>
  <c r="F4663" i="50"/>
  <c r="U4663" i="50"/>
  <c r="U4677" i="50"/>
  <c r="F4677" i="50"/>
  <c r="V4677" i="50"/>
  <c r="G4677" i="50"/>
  <c r="D4687" i="50"/>
  <c r="G4687" i="50" s="1"/>
  <c r="E4687" i="50"/>
  <c r="B4711" i="50"/>
  <c r="V4686" i="50"/>
  <c r="U4686" i="50"/>
  <c r="F4686" i="50"/>
  <c r="U4729" i="50"/>
  <c r="G4729" i="50"/>
  <c r="F4729" i="50"/>
  <c r="D4692" i="50"/>
  <c r="B4716" i="50"/>
  <c r="E4692" i="50"/>
  <c r="G4668" i="50"/>
  <c r="F4668" i="50"/>
  <c r="U4668" i="50"/>
  <c r="V4668" i="50"/>
  <c r="V4673" i="50"/>
  <c r="U4673" i="50"/>
  <c r="G4673" i="50"/>
  <c r="F4673" i="50"/>
  <c r="V4691" i="50"/>
  <c r="U4691" i="50"/>
  <c r="G4691" i="50"/>
  <c r="F4691" i="50"/>
  <c r="U4713" i="50"/>
  <c r="G4713" i="50"/>
  <c r="F4713" i="50"/>
  <c r="V4730" i="50"/>
  <c r="G4730" i="50"/>
  <c r="F4730" i="50"/>
  <c r="V4695" i="50"/>
  <c r="F4695" i="50"/>
  <c r="U4695" i="50"/>
  <c r="G4695" i="50"/>
  <c r="V4704" i="50"/>
  <c r="U4704" i="50"/>
  <c r="F4704" i="50"/>
  <c r="U4676" i="50"/>
  <c r="F4676" i="50"/>
  <c r="V4676" i="50"/>
  <c r="G4676" i="50"/>
  <c r="V4672" i="50"/>
  <c r="U4672" i="50"/>
  <c r="G4672" i="50"/>
  <c r="V4729" i="50"/>
  <c r="V4688" i="50"/>
  <c r="U4688" i="50"/>
  <c r="F4688" i="50"/>
  <c r="V4714" i="50"/>
  <c r="G4714" i="50"/>
  <c r="F4714" i="50"/>
  <c r="V4675" i="50"/>
  <c r="U4675" i="50"/>
  <c r="G4675" i="50"/>
  <c r="F4675" i="50"/>
  <c r="V4678" i="50"/>
  <c r="U4661" i="50"/>
  <c r="V4661" i="50"/>
  <c r="G4661" i="50"/>
  <c r="F4661" i="50"/>
  <c r="U4684" i="50"/>
  <c r="V4684" i="50"/>
  <c r="G4684" i="50"/>
  <c r="F4684" i="50"/>
  <c r="V4670" i="50"/>
  <c r="U4670" i="50"/>
  <c r="F4670" i="50"/>
  <c r="U4693" i="50"/>
  <c r="F4693" i="50"/>
  <c r="V4693" i="50"/>
  <c r="G4693" i="50"/>
  <c r="V4707" i="50"/>
  <c r="U4707" i="50"/>
  <c r="G4707" i="50"/>
  <c r="F4707" i="50"/>
  <c r="V4703" i="50"/>
  <c r="U4703" i="50"/>
  <c r="F4703" i="50"/>
  <c r="G4686" i="50"/>
  <c r="G4670" i="50"/>
  <c r="B4751" i="50"/>
  <c r="D4751" i="50" s="1"/>
  <c r="E4727" i="50"/>
  <c r="B4725" i="50"/>
  <c r="D4725" i="50" s="1"/>
  <c r="E4701" i="50"/>
  <c r="V4701" i="50" s="1"/>
  <c r="B4778" i="50"/>
  <c r="D4778" i="50" s="1"/>
  <c r="E4754" i="50"/>
  <c r="V4754" i="50" s="1"/>
  <c r="E4712" i="50"/>
  <c r="B4736" i="50"/>
  <c r="D4736" i="50" s="1"/>
  <c r="E4746" i="50"/>
  <c r="U4746" i="50" s="1"/>
  <c r="B4770" i="50"/>
  <c r="D4770" i="50" s="1"/>
  <c r="B4741" i="50"/>
  <c r="D4741" i="50" s="1"/>
  <c r="E4717" i="50"/>
  <c r="B4734" i="50"/>
  <c r="D4734" i="50" s="1"/>
  <c r="E4710" i="50"/>
  <c r="B4732" i="50"/>
  <c r="D4732" i="50" s="1"/>
  <c r="E4708" i="50"/>
  <c r="B4755" i="50"/>
  <c r="D4755" i="50" s="1"/>
  <c r="E4731" i="50"/>
  <c r="V4731" i="50" s="1"/>
  <c r="E4700" i="50"/>
  <c r="B4724" i="50"/>
  <c r="D4724" i="50" s="1"/>
  <c r="E4696" i="50"/>
  <c r="B4720" i="50"/>
  <c r="D4720" i="50" s="1"/>
  <c r="B4718" i="50"/>
  <c r="D4718" i="50" s="1"/>
  <c r="E4694" i="50"/>
  <c r="V4694" i="50" s="1"/>
  <c r="B4723" i="50"/>
  <c r="D4723" i="50" s="1"/>
  <c r="E4699" i="50"/>
  <c r="E4728" i="50"/>
  <c r="B4752" i="50"/>
  <c r="D4752" i="50" s="1"/>
  <c r="E4719" i="50"/>
  <c r="B4743" i="50"/>
  <c r="D4743" i="50" s="1"/>
  <c r="E4737" i="50"/>
  <c r="B4761" i="50"/>
  <c r="D4761" i="50" s="1"/>
  <c r="B4721" i="50"/>
  <c r="D4721" i="50" s="1"/>
  <c r="E4697" i="50"/>
  <c r="V4697" i="50" s="1"/>
  <c r="B4762" i="50"/>
  <c r="D4762" i="50" s="1"/>
  <c r="E4738" i="50"/>
  <c r="V4738" i="50" s="1"/>
  <c r="E4753" i="50"/>
  <c r="B4777" i="50"/>
  <c r="D4777" i="50" s="1"/>
  <c r="B4739" i="50"/>
  <c r="D4739" i="50" s="1"/>
  <c r="E4715" i="50"/>
  <c r="B4709" i="50"/>
  <c r="D4709" i="50" s="1"/>
  <c r="E4685" i="50"/>
  <c r="B4726" i="50"/>
  <c r="D4726" i="50" s="1"/>
  <c r="E4702" i="50"/>
  <c r="V4719" i="50" l="1"/>
  <c r="U4719" i="50"/>
  <c r="F4719" i="50"/>
  <c r="D4716" i="50"/>
  <c r="E4716" i="50"/>
  <c r="B4740" i="50"/>
  <c r="F4710" i="50"/>
  <c r="U4710" i="50"/>
  <c r="G4710" i="50"/>
  <c r="G4719" i="50"/>
  <c r="V4702" i="50"/>
  <c r="U4702" i="50"/>
  <c r="F4702" i="50"/>
  <c r="V4728" i="50"/>
  <c r="U4728" i="50"/>
  <c r="G4728" i="50"/>
  <c r="F4728" i="50"/>
  <c r="V4710" i="50"/>
  <c r="G4702" i="50"/>
  <c r="U4685" i="50"/>
  <c r="G4685" i="50"/>
  <c r="F4685" i="50"/>
  <c r="U4699" i="50"/>
  <c r="G4699" i="50"/>
  <c r="F4699" i="50"/>
  <c r="V4699" i="50"/>
  <c r="U4717" i="50"/>
  <c r="G4717" i="50"/>
  <c r="F4717" i="50"/>
  <c r="U4715" i="50"/>
  <c r="G4715" i="50"/>
  <c r="F4715" i="50"/>
  <c r="V4737" i="50"/>
  <c r="U4737" i="50"/>
  <c r="G4737" i="50"/>
  <c r="F4737" i="50"/>
  <c r="V4708" i="50"/>
  <c r="U4708" i="50"/>
  <c r="G4708" i="50"/>
  <c r="F4708" i="50"/>
  <c r="V4746" i="50"/>
  <c r="G4746" i="50"/>
  <c r="F4746" i="50"/>
  <c r="V4717" i="50"/>
  <c r="V4696" i="50"/>
  <c r="U4696" i="50"/>
  <c r="G4696" i="50"/>
  <c r="F4696" i="50"/>
  <c r="V4712" i="50"/>
  <c r="U4712" i="50"/>
  <c r="G4712" i="50"/>
  <c r="F4712" i="50"/>
  <c r="F4727" i="50"/>
  <c r="V4727" i="50"/>
  <c r="U4727" i="50"/>
  <c r="G4738" i="50"/>
  <c r="U4738" i="50"/>
  <c r="F4738" i="50"/>
  <c r="G4754" i="50"/>
  <c r="U4754" i="50"/>
  <c r="F4754" i="50"/>
  <c r="U4700" i="50"/>
  <c r="V4700" i="50"/>
  <c r="G4700" i="50"/>
  <c r="F4700" i="50"/>
  <c r="V4685" i="50"/>
  <c r="D4711" i="50"/>
  <c r="B4735" i="50"/>
  <c r="E4711" i="50"/>
  <c r="F4692" i="50"/>
  <c r="V4692" i="50"/>
  <c r="G4692" i="50"/>
  <c r="U4692" i="50"/>
  <c r="U4697" i="50"/>
  <c r="G4697" i="50"/>
  <c r="F4697" i="50"/>
  <c r="U4701" i="50"/>
  <c r="G4701" i="50"/>
  <c r="F4701" i="50"/>
  <c r="V4687" i="50"/>
  <c r="U4687" i="50"/>
  <c r="F4687" i="50"/>
  <c r="G4753" i="50"/>
  <c r="F4753" i="50"/>
  <c r="V4753" i="50"/>
  <c r="U4753" i="50"/>
  <c r="G4727" i="50"/>
  <c r="F4694" i="50"/>
  <c r="U4694" i="50"/>
  <c r="G4694" i="50"/>
  <c r="V4725" i="50"/>
  <c r="U4731" i="50"/>
  <c r="G4731" i="50"/>
  <c r="F4731" i="50"/>
  <c r="V4715" i="50"/>
  <c r="E4721" i="50"/>
  <c r="B4745" i="50"/>
  <c r="D4745" i="50" s="1"/>
  <c r="E4723" i="50"/>
  <c r="B4747" i="50"/>
  <c r="D4747" i="50" s="1"/>
  <c r="B4749" i="50"/>
  <c r="D4749" i="50" s="1"/>
  <c r="E4725" i="50"/>
  <c r="B4785" i="50"/>
  <c r="D4785" i="50" s="1"/>
  <c r="E4761" i="50"/>
  <c r="V4761" i="50" s="1"/>
  <c r="B4742" i="50"/>
  <c r="D4742" i="50" s="1"/>
  <c r="E4718" i="50"/>
  <c r="B4765" i="50"/>
  <c r="D4765" i="50" s="1"/>
  <c r="E4741" i="50"/>
  <c r="B4760" i="50"/>
  <c r="D4760" i="50" s="1"/>
  <c r="E4736" i="50"/>
  <c r="G4736" i="50" s="1"/>
  <c r="B4733" i="50"/>
  <c r="D4733" i="50" s="1"/>
  <c r="E4709" i="50"/>
  <c r="V4709" i="50" s="1"/>
  <c r="B4801" i="50"/>
  <c r="D4801" i="50" s="1"/>
  <c r="E4777" i="50"/>
  <c r="V4777" i="50" s="1"/>
  <c r="B4767" i="50"/>
  <c r="D4767" i="50" s="1"/>
  <c r="E4743" i="50"/>
  <c r="B4744" i="50"/>
  <c r="D4744" i="50" s="1"/>
  <c r="E4720" i="50"/>
  <c r="G4720" i="50" s="1"/>
  <c r="B4758" i="50"/>
  <c r="D4758" i="50" s="1"/>
  <c r="E4734" i="50"/>
  <c r="B4794" i="50"/>
  <c r="D4794" i="50" s="1"/>
  <c r="E4770" i="50"/>
  <c r="B4750" i="50"/>
  <c r="D4750" i="50" s="1"/>
  <c r="E4726" i="50"/>
  <c r="V4726" i="50" s="1"/>
  <c r="E4739" i="50"/>
  <c r="B4763" i="50"/>
  <c r="D4763" i="50" s="1"/>
  <c r="B4776" i="50"/>
  <c r="D4776" i="50" s="1"/>
  <c r="E4752" i="50"/>
  <c r="G4752" i="50" s="1"/>
  <c r="B4748" i="50"/>
  <c r="D4748" i="50" s="1"/>
  <c r="E4724" i="50"/>
  <c r="E4755" i="50"/>
  <c r="V4755" i="50" s="1"/>
  <c r="B4779" i="50"/>
  <c r="D4779" i="50" s="1"/>
  <c r="E4762" i="50"/>
  <c r="U4762" i="50" s="1"/>
  <c r="B4786" i="50"/>
  <c r="D4786" i="50" s="1"/>
  <c r="B4802" i="50"/>
  <c r="D4802" i="50" s="1"/>
  <c r="E4778" i="50"/>
  <c r="U4778" i="50" s="1"/>
  <c r="E4732" i="50"/>
  <c r="B4756" i="50"/>
  <c r="D4756" i="50" s="1"/>
  <c r="E4751" i="50"/>
  <c r="B4775" i="50"/>
  <c r="D4775" i="50" s="1"/>
  <c r="F4726" i="50" l="1"/>
  <c r="G4726" i="50"/>
  <c r="U4726" i="50"/>
  <c r="U4741" i="50"/>
  <c r="F4741" i="50"/>
  <c r="G4741" i="50"/>
  <c r="V4718" i="50"/>
  <c r="U4718" i="50"/>
  <c r="F4718" i="50"/>
  <c r="U4732" i="50"/>
  <c r="G4732" i="50"/>
  <c r="F4732" i="50"/>
  <c r="V4732" i="50"/>
  <c r="U4739" i="50"/>
  <c r="F4739" i="50"/>
  <c r="G4739" i="50"/>
  <c r="V4734" i="50"/>
  <c r="U4734" i="50"/>
  <c r="F4734" i="50"/>
  <c r="G4761" i="50"/>
  <c r="F4761" i="50"/>
  <c r="U4761" i="50"/>
  <c r="V4739" i="50"/>
  <c r="V4736" i="50"/>
  <c r="U4736" i="50"/>
  <c r="F4736" i="50"/>
  <c r="G4770" i="50"/>
  <c r="U4770" i="50"/>
  <c r="F4770" i="50"/>
  <c r="V4762" i="50"/>
  <c r="G4762" i="50"/>
  <c r="F4762" i="50"/>
  <c r="V4770" i="50"/>
  <c r="U4720" i="50"/>
  <c r="V4720" i="50"/>
  <c r="F4720" i="50"/>
  <c r="U4725" i="50"/>
  <c r="F4725" i="50"/>
  <c r="G4725" i="50"/>
  <c r="D4740" i="50"/>
  <c r="E4740" i="50"/>
  <c r="B4764" i="50"/>
  <c r="V4751" i="50"/>
  <c r="U4751" i="50"/>
  <c r="F4751" i="50"/>
  <c r="V4778" i="50"/>
  <c r="G4778" i="50"/>
  <c r="F4778" i="50"/>
  <c r="U4716" i="50"/>
  <c r="V4716" i="50"/>
  <c r="G4716" i="50"/>
  <c r="F4716" i="50"/>
  <c r="F4743" i="50"/>
  <c r="V4743" i="50"/>
  <c r="U4743" i="50"/>
  <c r="G4734" i="50"/>
  <c r="F4723" i="50"/>
  <c r="G4723" i="50"/>
  <c r="U4723" i="50"/>
  <c r="G4711" i="50"/>
  <c r="V4711" i="50"/>
  <c r="U4711" i="50"/>
  <c r="F4711" i="50"/>
  <c r="V4741" i="50"/>
  <c r="G4751" i="50"/>
  <c r="F4724" i="50"/>
  <c r="V4724" i="50"/>
  <c r="U4724" i="50"/>
  <c r="G4724" i="50"/>
  <c r="G4777" i="50"/>
  <c r="F4777" i="50"/>
  <c r="U4777" i="50"/>
  <c r="D4735" i="50"/>
  <c r="E4735" i="50"/>
  <c r="B4759" i="50"/>
  <c r="U4755" i="50"/>
  <c r="F4755" i="50"/>
  <c r="G4755" i="50"/>
  <c r="V4721" i="50"/>
  <c r="U4721" i="50"/>
  <c r="G4721" i="50"/>
  <c r="F4721" i="50"/>
  <c r="G4718" i="50"/>
  <c r="G4743" i="50"/>
  <c r="V4752" i="50"/>
  <c r="U4752" i="50"/>
  <c r="F4752" i="50"/>
  <c r="U4709" i="50"/>
  <c r="F4709" i="50"/>
  <c r="G4709" i="50"/>
  <c r="V4723" i="50"/>
  <c r="E4744" i="50"/>
  <c r="B4768" i="50"/>
  <c r="D4768" i="50" s="1"/>
  <c r="E4776" i="50"/>
  <c r="B4800" i="50"/>
  <c r="D4800" i="50" s="1"/>
  <c r="B4787" i="50"/>
  <c r="D4787" i="50" s="1"/>
  <c r="E4763" i="50"/>
  <c r="B4773" i="50"/>
  <c r="D4773" i="50" s="1"/>
  <c r="E4749" i="50"/>
  <c r="E4767" i="50"/>
  <c r="B4791" i="50"/>
  <c r="D4791" i="50" s="1"/>
  <c r="E4760" i="50"/>
  <c r="B4784" i="50"/>
  <c r="D4784" i="50" s="1"/>
  <c r="B4771" i="50"/>
  <c r="D4771" i="50" s="1"/>
  <c r="E4747" i="50"/>
  <c r="V4747" i="50" s="1"/>
  <c r="B4818" i="50"/>
  <c r="D4818" i="50" s="1"/>
  <c r="E4794" i="50"/>
  <c r="U4794" i="50" s="1"/>
  <c r="B4825" i="50"/>
  <c r="D4825" i="50" s="1"/>
  <c r="E4801" i="50"/>
  <c r="B4789" i="50"/>
  <c r="D4789" i="50" s="1"/>
  <c r="E4765" i="50"/>
  <c r="V4765" i="50" s="1"/>
  <c r="B4810" i="50"/>
  <c r="D4810" i="50" s="1"/>
  <c r="E4786" i="50"/>
  <c r="V4786" i="50" s="1"/>
  <c r="B4757" i="50"/>
  <c r="D4757" i="50" s="1"/>
  <c r="E4733" i="50"/>
  <c r="B4769" i="50"/>
  <c r="D4769" i="50" s="1"/>
  <c r="E4745" i="50"/>
  <c r="B4803" i="50"/>
  <c r="D4803" i="50" s="1"/>
  <c r="E4779" i="50"/>
  <c r="V4779" i="50" s="1"/>
  <c r="B4782" i="50"/>
  <c r="D4782" i="50" s="1"/>
  <c r="E4758" i="50"/>
  <c r="B4799" i="50"/>
  <c r="D4799" i="50" s="1"/>
  <c r="E4775" i="50"/>
  <c r="E4802" i="50"/>
  <c r="V4802" i="50" s="1"/>
  <c r="B4826" i="50"/>
  <c r="D4826" i="50" s="1"/>
  <c r="B4774" i="50"/>
  <c r="D4774" i="50" s="1"/>
  <c r="E4750" i="50"/>
  <c r="G4750" i="50" s="1"/>
  <c r="B4809" i="50"/>
  <c r="D4809" i="50" s="1"/>
  <c r="E4785" i="50"/>
  <c r="B4780" i="50"/>
  <c r="D4780" i="50" s="1"/>
  <c r="E4756" i="50"/>
  <c r="E4748" i="50"/>
  <c r="B4772" i="50"/>
  <c r="D4772" i="50" s="1"/>
  <c r="B4766" i="50"/>
  <c r="D4766" i="50" s="1"/>
  <c r="E4742" i="50"/>
  <c r="V4742" i="50" s="1"/>
  <c r="V4776" i="50" l="1"/>
  <c r="U4776" i="50"/>
  <c r="G4776" i="50"/>
  <c r="F4776" i="50"/>
  <c r="F4740" i="50"/>
  <c r="V4740" i="50"/>
  <c r="U4740" i="50"/>
  <c r="G4740" i="50"/>
  <c r="V4744" i="50"/>
  <c r="U4744" i="50"/>
  <c r="G4744" i="50"/>
  <c r="F4744" i="50"/>
  <c r="U4747" i="50"/>
  <c r="G4747" i="50"/>
  <c r="F4747" i="50"/>
  <c r="D4764" i="50"/>
  <c r="E4764" i="50"/>
  <c r="B4788" i="50"/>
  <c r="V4801" i="50"/>
  <c r="U4801" i="50"/>
  <c r="G4801" i="50"/>
  <c r="F4801" i="50"/>
  <c r="G4748" i="50"/>
  <c r="F4748" i="50"/>
  <c r="V4748" i="50"/>
  <c r="U4748" i="50"/>
  <c r="V4767" i="50"/>
  <c r="U4767" i="50"/>
  <c r="F4767" i="50"/>
  <c r="F4775" i="50"/>
  <c r="V4775" i="50"/>
  <c r="U4775" i="50"/>
  <c r="G4760" i="50"/>
  <c r="F4760" i="50"/>
  <c r="V4760" i="50"/>
  <c r="U4760" i="50"/>
  <c r="G4756" i="50"/>
  <c r="F4756" i="50"/>
  <c r="V4756" i="50"/>
  <c r="U4756" i="50"/>
  <c r="U4733" i="50"/>
  <c r="G4733" i="50"/>
  <c r="F4733" i="50"/>
  <c r="F4749" i="50"/>
  <c r="U4749" i="50"/>
  <c r="G4749" i="50"/>
  <c r="D4759" i="50"/>
  <c r="E4759" i="50"/>
  <c r="B4783" i="50"/>
  <c r="V4749" i="50"/>
  <c r="F4742" i="50"/>
  <c r="G4742" i="50"/>
  <c r="U4742" i="50"/>
  <c r="V4735" i="50"/>
  <c r="U4735" i="50"/>
  <c r="F4735" i="50"/>
  <c r="V4733" i="50"/>
  <c r="G4745" i="50"/>
  <c r="F4745" i="50"/>
  <c r="U4745" i="50"/>
  <c r="U4763" i="50"/>
  <c r="G4763" i="50"/>
  <c r="F4763" i="50"/>
  <c r="G4735" i="50"/>
  <c r="G4802" i="50"/>
  <c r="F4802" i="50"/>
  <c r="U4802" i="50"/>
  <c r="F4758" i="50"/>
  <c r="G4758" i="50"/>
  <c r="U4758" i="50"/>
  <c r="V4785" i="50"/>
  <c r="U4785" i="50"/>
  <c r="G4785" i="50"/>
  <c r="F4785" i="50"/>
  <c r="G4775" i="50"/>
  <c r="V4745" i="50"/>
  <c r="V4758" i="50"/>
  <c r="U4779" i="50"/>
  <c r="G4779" i="50"/>
  <c r="F4779" i="50"/>
  <c r="V4750" i="50"/>
  <c r="U4750" i="50"/>
  <c r="F4750" i="50"/>
  <c r="U4765" i="50"/>
  <c r="G4765" i="50"/>
  <c r="F4765" i="50"/>
  <c r="V4794" i="50"/>
  <c r="G4794" i="50"/>
  <c r="F4794" i="50"/>
  <c r="G4791" i="50"/>
  <c r="G4786" i="50"/>
  <c r="F4786" i="50"/>
  <c r="U4786" i="50"/>
  <c r="V4763" i="50"/>
  <c r="G4767" i="50"/>
  <c r="E4825" i="50"/>
  <c r="V4825" i="50" s="1"/>
  <c r="B4849" i="50"/>
  <c r="D4849" i="50" s="1"/>
  <c r="B4815" i="50"/>
  <c r="D4815" i="50" s="1"/>
  <c r="E4791" i="50"/>
  <c r="B4824" i="50"/>
  <c r="D4824" i="50" s="1"/>
  <c r="E4800" i="50"/>
  <c r="B4823" i="50"/>
  <c r="D4823" i="50" s="1"/>
  <c r="E4799" i="50"/>
  <c r="G4799" i="50" s="1"/>
  <c r="E4818" i="50"/>
  <c r="B4842" i="50"/>
  <c r="D4842" i="50" s="1"/>
  <c r="B4808" i="50"/>
  <c r="D4808" i="50" s="1"/>
  <c r="E4784" i="50"/>
  <c r="G4784" i="50" s="1"/>
  <c r="E4774" i="50"/>
  <c r="B4798" i="50"/>
  <c r="D4798" i="50" s="1"/>
  <c r="B4792" i="50"/>
  <c r="D4792" i="50" s="1"/>
  <c r="E4768" i="50"/>
  <c r="G4768" i="50" s="1"/>
  <c r="E4771" i="50"/>
  <c r="V4771" i="50" s="1"/>
  <c r="B4795" i="50"/>
  <c r="D4795" i="50" s="1"/>
  <c r="E4773" i="50"/>
  <c r="V4773" i="50" s="1"/>
  <c r="B4797" i="50"/>
  <c r="D4797" i="50" s="1"/>
  <c r="B4793" i="50"/>
  <c r="D4793" i="50" s="1"/>
  <c r="E4769" i="50"/>
  <c r="B4806" i="50"/>
  <c r="D4806" i="50" s="1"/>
  <c r="E4782" i="50"/>
  <c r="B4834" i="50"/>
  <c r="D4834" i="50" s="1"/>
  <c r="E4810" i="50"/>
  <c r="B4804" i="50"/>
  <c r="D4804" i="50" s="1"/>
  <c r="E4780" i="50"/>
  <c r="B4781" i="50"/>
  <c r="D4781" i="50" s="1"/>
  <c r="E4757" i="50"/>
  <c r="V4757" i="50" s="1"/>
  <c r="B4790" i="50"/>
  <c r="D4790" i="50" s="1"/>
  <c r="E4766" i="50"/>
  <c r="G4766" i="50" s="1"/>
  <c r="B4827" i="50"/>
  <c r="D4827" i="50" s="1"/>
  <c r="E4803" i="50"/>
  <c r="V4803" i="50" s="1"/>
  <c r="B4813" i="50"/>
  <c r="D4813" i="50" s="1"/>
  <c r="E4789" i="50"/>
  <c r="V4789" i="50" s="1"/>
  <c r="B4796" i="50"/>
  <c r="D4796" i="50" s="1"/>
  <c r="E4772" i="50"/>
  <c r="E4809" i="50"/>
  <c r="B4833" i="50"/>
  <c r="D4833" i="50" s="1"/>
  <c r="B4850" i="50"/>
  <c r="D4850" i="50" s="1"/>
  <c r="E4826" i="50"/>
  <c r="B4811" i="50"/>
  <c r="D4811" i="50" s="1"/>
  <c r="E4787" i="50"/>
  <c r="V4787" i="50" s="1"/>
  <c r="F4774" i="50" l="1"/>
  <c r="G4774" i="50"/>
  <c r="U4774" i="50"/>
  <c r="V4774" i="50"/>
  <c r="G4826" i="50"/>
  <c r="F4826" i="50"/>
  <c r="V4826" i="50"/>
  <c r="F4810" i="50"/>
  <c r="V4810" i="50"/>
  <c r="G4810" i="50"/>
  <c r="G4818" i="50"/>
  <c r="F4818" i="50"/>
  <c r="U4818" i="50"/>
  <c r="U4826" i="50"/>
  <c r="V4780" i="50"/>
  <c r="U4780" i="50"/>
  <c r="G4780" i="50"/>
  <c r="F4780" i="50"/>
  <c r="F4782" i="50"/>
  <c r="V4782" i="50"/>
  <c r="U4782" i="50"/>
  <c r="V4799" i="50"/>
  <c r="U4799" i="50"/>
  <c r="F4799" i="50"/>
  <c r="D4783" i="50"/>
  <c r="B4807" i="50"/>
  <c r="E4783" i="50"/>
  <c r="V4800" i="50"/>
  <c r="U4800" i="50"/>
  <c r="F4800" i="50"/>
  <c r="F4759" i="50"/>
  <c r="V4759" i="50"/>
  <c r="U4759" i="50"/>
  <c r="F4772" i="50"/>
  <c r="V4772" i="50"/>
  <c r="U4772" i="50"/>
  <c r="G4772" i="50"/>
  <c r="G4759" i="50"/>
  <c r="G4809" i="50"/>
  <c r="F4809" i="50"/>
  <c r="U4809" i="50"/>
  <c r="F4791" i="50"/>
  <c r="V4791" i="50"/>
  <c r="U4791" i="50"/>
  <c r="U4810" i="50"/>
  <c r="U4789" i="50"/>
  <c r="F4789" i="50"/>
  <c r="G4789" i="50"/>
  <c r="U4773" i="50"/>
  <c r="F4773" i="50"/>
  <c r="G4773" i="50"/>
  <c r="V4809" i="50"/>
  <c r="G4803" i="50"/>
  <c r="U4803" i="50"/>
  <c r="F4803" i="50"/>
  <c r="G4782" i="50"/>
  <c r="U4771" i="50"/>
  <c r="F4771" i="50"/>
  <c r="G4771" i="50"/>
  <c r="V4818" i="50"/>
  <c r="D4788" i="50"/>
  <c r="B4812" i="50"/>
  <c r="E4788" i="50"/>
  <c r="V4784" i="50"/>
  <c r="U4784" i="50"/>
  <c r="F4784" i="50"/>
  <c r="V4766" i="50"/>
  <c r="U4766" i="50"/>
  <c r="F4766" i="50"/>
  <c r="V4768" i="50"/>
  <c r="U4768" i="50"/>
  <c r="F4768" i="50"/>
  <c r="V4764" i="50"/>
  <c r="U4764" i="50"/>
  <c r="G4764" i="50"/>
  <c r="F4764" i="50"/>
  <c r="G4787" i="50"/>
  <c r="U4787" i="50"/>
  <c r="F4787" i="50"/>
  <c r="G4825" i="50"/>
  <c r="F4825" i="50"/>
  <c r="U4825" i="50"/>
  <c r="V4769" i="50"/>
  <c r="U4769" i="50"/>
  <c r="G4769" i="50"/>
  <c r="F4769" i="50"/>
  <c r="U4757" i="50"/>
  <c r="F4757" i="50"/>
  <c r="G4757" i="50"/>
  <c r="G4800" i="50"/>
  <c r="B4805" i="50"/>
  <c r="D4805" i="50" s="1"/>
  <c r="E4781" i="50"/>
  <c r="B4847" i="50"/>
  <c r="D4847" i="50" s="1"/>
  <c r="E4823" i="50"/>
  <c r="B4814" i="50"/>
  <c r="D4814" i="50" s="1"/>
  <c r="E4790" i="50"/>
  <c r="V4790" i="50" s="1"/>
  <c r="E4806" i="50"/>
  <c r="V4806" i="50" s="1"/>
  <c r="B4830" i="50"/>
  <c r="D4830" i="50" s="1"/>
  <c r="B4821" i="50"/>
  <c r="D4821" i="50" s="1"/>
  <c r="E4797" i="50"/>
  <c r="B4816" i="50"/>
  <c r="D4816" i="50" s="1"/>
  <c r="E4792" i="50"/>
  <c r="E4804" i="50"/>
  <c r="B4828" i="50"/>
  <c r="D4828" i="50" s="1"/>
  <c r="B4848" i="50"/>
  <c r="D4848" i="50" s="1"/>
  <c r="E4824" i="50"/>
  <c r="E4850" i="50"/>
  <c r="B4874" i="50"/>
  <c r="D4874" i="50" s="1"/>
  <c r="B4857" i="50"/>
  <c r="D4857" i="50" s="1"/>
  <c r="E4833" i="50"/>
  <c r="E4813" i="50"/>
  <c r="V4813" i="50" s="1"/>
  <c r="B4837" i="50"/>
  <c r="D4837" i="50" s="1"/>
  <c r="B4839" i="50"/>
  <c r="D4839" i="50" s="1"/>
  <c r="E4815" i="50"/>
  <c r="G4815" i="50" s="1"/>
  <c r="B4873" i="50"/>
  <c r="D4873" i="50" s="1"/>
  <c r="E4849" i="50"/>
  <c r="E4827" i="50"/>
  <c r="B4851" i="50"/>
  <c r="D4851" i="50" s="1"/>
  <c r="E4834" i="50"/>
  <c r="V4834" i="50" s="1"/>
  <c r="B4858" i="50"/>
  <c r="D4858" i="50" s="1"/>
  <c r="B4822" i="50"/>
  <c r="D4822" i="50" s="1"/>
  <c r="E4798" i="50"/>
  <c r="B4820" i="50"/>
  <c r="D4820" i="50" s="1"/>
  <c r="E4796" i="50"/>
  <c r="E4811" i="50"/>
  <c r="V4811" i="50" s="1"/>
  <c r="B4835" i="50"/>
  <c r="D4835" i="50" s="1"/>
  <c r="B4832" i="50"/>
  <c r="D4832" i="50" s="1"/>
  <c r="E4808" i="50"/>
  <c r="B4817" i="50"/>
  <c r="D4817" i="50" s="1"/>
  <c r="E4793" i="50"/>
  <c r="V4793" i="50" s="1"/>
  <c r="B4819" i="50"/>
  <c r="D4819" i="50" s="1"/>
  <c r="E4795" i="50"/>
  <c r="B4866" i="50"/>
  <c r="D4866" i="50" s="1"/>
  <c r="E4842" i="50"/>
  <c r="U4842" i="50" s="1"/>
  <c r="F4823" i="50" l="1"/>
  <c r="V4823" i="50"/>
  <c r="U4823" i="50"/>
  <c r="G4783" i="50"/>
  <c r="V4850" i="50"/>
  <c r="U4850" i="50"/>
  <c r="F4850" i="50"/>
  <c r="G4823" i="50"/>
  <c r="G4850" i="50"/>
  <c r="V4798" i="50"/>
  <c r="U4798" i="50"/>
  <c r="F4798" i="50"/>
  <c r="V4824" i="50"/>
  <c r="U4824" i="50"/>
  <c r="G4824" i="50"/>
  <c r="F4824" i="50"/>
  <c r="U4781" i="50"/>
  <c r="G4781" i="50"/>
  <c r="F4781" i="50"/>
  <c r="V4781" i="50"/>
  <c r="F4788" i="50"/>
  <c r="V4788" i="50"/>
  <c r="U4788" i="50"/>
  <c r="G4788" i="50"/>
  <c r="V4783" i="50"/>
  <c r="U4783" i="50"/>
  <c r="F4783" i="50"/>
  <c r="D4812" i="50"/>
  <c r="B4836" i="50"/>
  <c r="E4812" i="50"/>
  <c r="V4842" i="50"/>
  <c r="G4842" i="50"/>
  <c r="F4842" i="50"/>
  <c r="G4834" i="50"/>
  <c r="U4834" i="50"/>
  <c r="F4834" i="50"/>
  <c r="F4804" i="50"/>
  <c r="V4804" i="50"/>
  <c r="U4804" i="50"/>
  <c r="G4804" i="50"/>
  <c r="G4798" i="50"/>
  <c r="V4833" i="50"/>
  <c r="U4833" i="50"/>
  <c r="G4833" i="50"/>
  <c r="F4833" i="50"/>
  <c r="D4807" i="50"/>
  <c r="E4807" i="50"/>
  <c r="B4831" i="50"/>
  <c r="U4795" i="50"/>
  <c r="G4795" i="50"/>
  <c r="F4795" i="50"/>
  <c r="U4827" i="50"/>
  <c r="F4827" i="50"/>
  <c r="G4827" i="50"/>
  <c r="F4849" i="50"/>
  <c r="V4849" i="50"/>
  <c r="U4849" i="50"/>
  <c r="V4792" i="50"/>
  <c r="U4792" i="50"/>
  <c r="G4792" i="50"/>
  <c r="F4792" i="50"/>
  <c r="G4849" i="50"/>
  <c r="U4796" i="50"/>
  <c r="G4796" i="50"/>
  <c r="F4796" i="50"/>
  <c r="V4796" i="50"/>
  <c r="V4808" i="50"/>
  <c r="U4808" i="50"/>
  <c r="G4808" i="50"/>
  <c r="F4808" i="50"/>
  <c r="F4815" i="50"/>
  <c r="U4815" i="50"/>
  <c r="V4815" i="50"/>
  <c r="U4797" i="50"/>
  <c r="G4797" i="50"/>
  <c r="F4797" i="50"/>
  <c r="V4827" i="50"/>
  <c r="F4790" i="50"/>
  <c r="U4790" i="50"/>
  <c r="G4790" i="50"/>
  <c r="F4793" i="50"/>
  <c r="G4793" i="50"/>
  <c r="U4793" i="50"/>
  <c r="V4795" i="50"/>
  <c r="U4811" i="50"/>
  <c r="F4811" i="50"/>
  <c r="G4811" i="50"/>
  <c r="U4813" i="50"/>
  <c r="G4813" i="50"/>
  <c r="F4813" i="50"/>
  <c r="F4806" i="50"/>
  <c r="U4806" i="50"/>
  <c r="G4806" i="50"/>
  <c r="V4797" i="50"/>
  <c r="E4822" i="50"/>
  <c r="V4822" i="50" s="1"/>
  <c r="B4846" i="50"/>
  <c r="D4846" i="50" s="1"/>
  <c r="B4872" i="50"/>
  <c r="D4872" i="50" s="1"/>
  <c r="E4848" i="50"/>
  <c r="G4848" i="50" s="1"/>
  <c r="B4859" i="50"/>
  <c r="D4859" i="50" s="1"/>
  <c r="E4835" i="50"/>
  <c r="B4882" i="50"/>
  <c r="D4882" i="50" s="1"/>
  <c r="E4858" i="50"/>
  <c r="U4858" i="50" s="1"/>
  <c r="E4873" i="50"/>
  <c r="V4873" i="50" s="1"/>
  <c r="B4897" i="50"/>
  <c r="D4897" i="50" s="1"/>
  <c r="B4838" i="50"/>
  <c r="D4838" i="50" s="1"/>
  <c r="E4814" i="50"/>
  <c r="B4863" i="50"/>
  <c r="D4863" i="50" s="1"/>
  <c r="E4839" i="50"/>
  <c r="G4839" i="50" s="1"/>
  <c r="B4875" i="50"/>
  <c r="D4875" i="50" s="1"/>
  <c r="E4851" i="50"/>
  <c r="G4851" i="50" s="1"/>
  <c r="B4841" i="50"/>
  <c r="D4841" i="50" s="1"/>
  <c r="E4817" i="50"/>
  <c r="B4861" i="50"/>
  <c r="D4861" i="50" s="1"/>
  <c r="E4837" i="50"/>
  <c r="B4852" i="50"/>
  <c r="D4852" i="50" s="1"/>
  <c r="E4828" i="50"/>
  <c r="E4820" i="50"/>
  <c r="B4844" i="50"/>
  <c r="D4844" i="50" s="1"/>
  <c r="E4857" i="50"/>
  <c r="V4857" i="50" s="1"/>
  <c r="B4881" i="50"/>
  <c r="D4881" i="50" s="1"/>
  <c r="B4843" i="50"/>
  <c r="D4843" i="50" s="1"/>
  <c r="E4819" i="50"/>
  <c r="V4819" i="50" s="1"/>
  <c r="B4840" i="50"/>
  <c r="D4840" i="50" s="1"/>
  <c r="E4816" i="50"/>
  <c r="G4816" i="50" s="1"/>
  <c r="B4871" i="50"/>
  <c r="D4871" i="50" s="1"/>
  <c r="E4847" i="50"/>
  <c r="U4847" i="50" s="1"/>
  <c r="B4854" i="50"/>
  <c r="D4854" i="50" s="1"/>
  <c r="E4830" i="50"/>
  <c r="G4830" i="50" s="1"/>
  <c r="E4866" i="50"/>
  <c r="G4866" i="50" s="1"/>
  <c r="B4890" i="50"/>
  <c r="D4890" i="50" s="1"/>
  <c r="B4898" i="50"/>
  <c r="D4898" i="50" s="1"/>
  <c r="E4874" i="50"/>
  <c r="B4845" i="50"/>
  <c r="D4845" i="50" s="1"/>
  <c r="E4821" i="50"/>
  <c r="B4856" i="50"/>
  <c r="D4856" i="50" s="1"/>
  <c r="E4832" i="50"/>
  <c r="G4832" i="50" s="1"/>
  <c r="B4829" i="50"/>
  <c r="D4829" i="50" s="1"/>
  <c r="E4805" i="50"/>
  <c r="V4805" i="50" s="1"/>
  <c r="G4807" i="50" l="1"/>
  <c r="F4821" i="50"/>
  <c r="U4821" i="50"/>
  <c r="G4821" i="50"/>
  <c r="V4814" i="50"/>
  <c r="U4814" i="50"/>
  <c r="F4814" i="50"/>
  <c r="V4874" i="50"/>
  <c r="F4874" i="50"/>
  <c r="G4874" i="50"/>
  <c r="V4858" i="50"/>
  <c r="F4858" i="50"/>
  <c r="G4858" i="50"/>
  <c r="F4820" i="50"/>
  <c r="V4820" i="50"/>
  <c r="U4820" i="50"/>
  <c r="G4820" i="50"/>
  <c r="V4830" i="50"/>
  <c r="U4830" i="50"/>
  <c r="F4830" i="50"/>
  <c r="V4828" i="50"/>
  <c r="U4828" i="50"/>
  <c r="G4828" i="50"/>
  <c r="F4828" i="50"/>
  <c r="F4835" i="50"/>
  <c r="U4835" i="50"/>
  <c r="G4835" i="50"/>
  <c r="F4873" i="50"/>
  <c r="U4873" i="50"/>
  <c r="G4873" i="50"/>
  <c r="V4866" i="50"/>
  <c r="U4866" i="50"/>
  <c r="F4866" i="50"/>
  <c r="G4814" i="50"/>
  <c r="V4832" i="50"/>
  <c r="U4832" i="50"/>
  <c r="F4832" i="50"/>
  <c r="V4847" i="50"/>
  <c r="F4847" i="50"/>
  <c r="G4847" i="50"/>
  <c r="U4837" i="50"/>
  <c r="F4837" i="50"/>
  <c r="G4837" i="50"/>
  <c r="V4848" i="50"/>
  <c r="U4848" i="50"/>
  <c r="F4848" i="50"/>
  <c r="F4839" i="50"/>
  <c r="V4839" i="50"/>
  <c r="U4839" i="50"/>
  <c r="D4831" i="50"/>
  <c r="E4831" i="50"/>
  <c r="B4855" i="50"/>
  <c r="V4816" i="50"/>
  <c r="U4816" i="50"/>
  <c r="F4816" i="50"/>
  <c r="V4817" i="50"/>
  <c r="U4817" i="50"/>
  <c r="G4817" i="50"/>
  <c r="F4817" i="50"/>
  <c r="V4837" i="50"/>
  <c r="F4807" i="50"/>
  <c r="V4807" i="50"/>
  <c r="U4807" i="50"/>
  <c r="F4857" i="50"/>
  <c r="G4857" i="50"/>
  <c r="U4857" i="50"/>
  <c r="F4822" i="50"/>
  <c r="G4822" i="50"/>
  <c r="U4822" i="50"/>
  <c r="V4835" i="50"/>
  <c r="V4812" i="50"/>
  <c r="U4812" i="50"/>
  <c r="G4812" i="50"/>
  <c r="F4812" i="50"/>
  <c r="V4841" i="50"/>
  <c r="U4805" i="50"/>
  <c r="F4805" i="50"/>
  <c r="G4805" i="50"/>
  <c r="F4819" i="50"/>
  <c r="U4819" i="50"/>
  <c r="G4819" i="50"/>
  <c r="U4851" i="50"/>
  <c r="F4851" i="50"/>
  <c r="V4851" i="50"/>
  <c r="V4821" i="50"/>
  <c r="D4836" i="50"/>
  <c r="E4836" i="50"/>
  <c r="B4860" i="50"/>
  <c r="U4874" i="50"/>
  <c r="E4854" i="50"/>
  <c r="U4854" i="50" s="1"/>
  <c r="B4878" i="50"/>
  <c r="D4878" i="50" s="1"/>
  <c r="B4870" i="50"/>
  <c r="D4870" i="50" s="1"/>
  <c r="E4846" i="50"/>
  <c r="E4882" i="50"/>
  <c r="B4906" i="50"/>
  <c r="D4906" i="50" s="1"/>
  <c r="B4864" i="50"/>
  <c r="D4864" i="50" s="1"/>
  <c r="E4840" i="50"/>
  <c r="E4841" i="50"/>
  <c r="B4865" i="50"/>
  <c r="D4865" i="50" s="1"/>
  <c r="B4868" i="50"/>
  <c r="D4868" i="50" s="1"/>
  <c r="E4844" i="50"/>
  <c r="E4845" i="50"/>
  <c r="V4845" i="50" s="1"/>
  <c r="B4869" i="50"/>
  <c r="D4869" i="50" s="1"/>
  <c r="E4838" i="50"/>
  <c r="V4838" i="50" s="1"/>
  <c r="B4862" i="50"/>
  <c r="D4862" i="50" s="1"/>
  <c r="E4852" i="50"/>
  <c r="B4876" i="50"/>
  <c r="D4876" i="50" s="1"/>
  <c r="E4859" i="50"/>
  <c r="B4883" i="50"/>
  <c r="D4883" i="50" s="1"/>
  <c r="E4843" i="50"/>
  <c r="B4867" i="50"/>
  <c r="D4867" i="50" s="1"/>
  <c r="E4875" i="50"/>
  <c r="B4899" i="50"/>
  <c r="D4899" i="50" s="1"/>
  <c r="B4905" i="50"/>
  <c r="D4905" i="50" s="1"/>
  <c r="E4881" i="50"/>
  <c r="G4881" i="50" s="1"/>
  <c r="E4898" i="50"/>
  <c r="B4922" i="50"/>
  <c r="D4922" i="50" s="1"/>
  <c r="B4914" i="50"/>
  <c r="D4914" i="50" s="1"/>
  <c r="E4890" i="50"/>
  <c r="E4861" i="50"/>
  <c r="B4885" i="50"/>
  <c r="D4885" i="50" s="1"/>
  <c r="B4896" i="50"/>
  <c r="D4896" i="50" s="1"/>
  <c r="E4872" i="50"/>
  <c r="V4872" i="50" s="1"/>
  <c r="B4880" i="50"/>
  <c r="D4880" i="50" s="1"/>
  <c r="E4856" i="50"/>
  <c r="B4887" i="50"/>
  <c r="D4887" i="50" s="1"/>
  <c r="E4863" i="50"/>
  <c r="F4863" i="50" s="1"/>
  <c r="B4921" i="50"/>
  <c r="D4921" i="50" s="1"/>
  <c r="E4897" i="50"/>
  <c r="G4897" i="50" s="1"/>
  <c r="E4829" i="50"/>
  <c r="V4829" i="50" s="1"/>
  <c r="B4853" i="50"/>
  <c r="D4853" i="50" s="1"/>
  <c r="B4895" i="50"/>
  <c r="D4895" i="50" s="1"/>
  <c r="E4871" i="50"/>
  <c r="V4882" i="50" l="1"/>
  <c r="U4882" i="50"/>
  <c r="F4882" i="50"/>
  <c r="V4831" i="50"/>
  <c r="F4831" i="50"/>
  <c r="G4831" i="50"/>
  <c r="U4856" i="50"/>
  <c r="F4856" i="50"/>
  <c r="G4856" i="50"/>
  <c r="V4846" i="50"/>
  <c r="U4846" i="50"/>
  <c r="F4846" i="50"/>
  <c r="U4831" i="50"/>
  <c r="U4843" i="50"/>
  <c r="F4843" i="50"/>
  <c r="G4843" i="50"/>
  <c r="V4852" i="50"/>
  <c r="G4852" i="50"/>
  <c r="U4852" i="50"/>
  <c r="F4852" i="50"/>
  <c r="D4855" i="50"/>
  <c r="B4879" i="50"/>
  <c r="E4855" i="50"/>
  <c r="U4861" i="50"/>
  <c r="G4861" i="50"/>
  <c r="F4861" i="50"/>
  <c r="F4838" i="50"/>
  <c r="G4838" i="50"/>
  <c r="U4838" i="50"/>
  <c r="V4859" i="50"/>
  <c r="U4859" i="50"/>
  <c r="G4859" i="50"/>
  <c r="F4859" i="50"/>
  <c r="V4890" i="50"/>
  <c r="F4890" i="50"/>
  <c r="G4890" i="50"/>
  <c r="G4854" i="50"/>
  <c r="F4854" i="50"/>
  <c r="V4854" i="50"/>
  <c r="V4861" i="50"/>
  <c r="G4846" i="50"/>
  <c r="V4871" i="50"/>
  <c r="G4871" i="50"/>
  <c r="U4871" i="50"/>
  <c r="F4871" i="50"/>
  <c r="G4882" i="50"/>
  <c r="V4898" i="50"/>
  <c r="U4898" i="50"/>
  <c r="F4898" i="50"/>
  <c r="U4845" i="50"/>
  <c r="F4845" i="50"/>
  <c r="G4845" i="50"/>
  <c r="D4860" i="50"/>
  <c r="E4860" i="50"/>
  <c r="B4884" i="50"/>
  <c r="G4872" i="50"/>
  <c r="U4872" i="50"/>
  <c r="F4872" i="50"/>
  <c r="V4844" i="50"/>
  <c r="U4844" i="50"/>
  <c r="G4844" i="50"/>
  <c r="F4844" i="50"/>
  <c r="F4836" i="50"/>
  <c r="V4836" i="50"/>
  <c r="U4836" i="50"/>
  <c r="G4836" i="50"/>
  <c r="V4897" i="50"/>
  <c r="U4897" i="50"/>
  <c r="F4897" i="50"/>
  <c r="U4890" i="50"/>
  <c r="U4829" i="50"/>
  <c r="G4829" i="50"/>
  <c r="F4829" i="50"/>
  <c r="V4875" i="50"/>
  <c r="U4875" i="50"/>
  <c r="G4875" i="50"/>
  <c r="F4875" i="50"/>
  <c r="G4841" i="50"/>
  <c r="F4841" i="50"/>
  <c r="U4841" i="50"/>
  <c r="V4843" i="50"/>
  <c r="V4881" i="50"/>
  <c r="U4881" i="50"/>
  <c r="F4881" i="50"/>
  <c r="V4863" i="50"/>
  <c r="U4863" i="50"/>
  <c r="G4863" i="50"/>
  <c r="V4840" i="50"/>
  <c r="U4840" i="50"/>
  <c r="G4840" i="50"/>
  <c r="F4840" i="50"/>
  <c r="G4898" i="50"/>
  <c r="V4856" i="50"/>
  <c r="B4923" i="50"/>
  <c r="D4923" i="50" s="1"/>
  <c r="E4899" i="50"/>
  <c r="E4914" i="50"/>
  <c r="B4938" i="50"/>
  <c r="D4938" i="50" s="1"/>
  <c r="B4900" i="50"/>
  <c r="D4900" i="50" s="1"/>
  <c r="E4876" i="50"/>
  <c r="B4930" i="50"/>
  <c r="D4930" i="50" s="1"/>
  <c r="E4906" i="50"/>
  <c r="U4906" i="50" s="1"/>
  <c r="B4891" i="50"/>
  <c r="D4891" i="50" s="1"/>
  <c r="E4867" i="50"/>
  <c r="E4870" i="50"/>
  <c r="B4894" i="50"/>
  <c r="D4894" i="50" s="1"/>
  <c r="B4911" i="50"/>
  <c r="D4911" i="50" s="1"/>
  <c r="E4887" i="50"/>
  <c r="B4904" i="50"/>
  <c r="D4904" i="50" s="1"/>
  <c r="E4880" i="50"/>
  <c r="F4880" i="50" s="1"/>
  <c r="B4889" i="50"/>
  <c r="D4889" i="50" s="1"/>
  <c r="E4865" i="50"/>
  <c r="G4865" i="50" s="1"/>
  <c r="B4946" i="50"/>
  <c r="D4946" i="50" s="1"/>
  <c r="E4922" i="50"/>
  <c r="U4922" i="50" s="1"/>
  <c r="B4893" i="50"/>
  <c r="D4893" i="50" s="1"/>
  <c r="E4869" i="50"/>
  <c r="U4869" i="50" s="1"/>
  <c r="E4921" i="50"/>
  <c r="B4945" i="50"/>
  <c r="D4945" i="50" s="1"/>
  <c r="B4920" i="50"/>
  <c r="D4920" i="50" s="1"/>
  <c r="E4896" i="50"/>
  <c r="B4907" i="50"/>
  <c r="D4907" i="50" s="1"/>
  <c r="E4883" i="50"/>
  <c r="E4905" i="50"/>
  <c r="B4929" i="50"/>
  <c r="D4929" i="50" s="1"/>
  <c r="E4868" i="50"/>
  <c r="B4892" i="50"/>
  <c r="D4892" i="50" s="1"/>
  <c r="B4902" i="50"/>
  <c r="D4902" i="50" s="1"/>
  <c r="E4878" i="50"/>
  <c r="F4878" i="50" s="1"/>
  <c r="B4919" i="50"/>
  <c r="D4919" i="50" s="1"/>
  <c r="E4895" i="50"/>
  <c r="B4909" i="50"/>
  <c r="D4909" i="50" s="1"/>
  <c r="E4885" i="50"/>
  <c r="U4885" i="50" s="1"/>
  <c r="B4886" i="50"/>
  <c r="D4886" i="50" s="1"/>
  <c r="E4862" i="50"/>
  <c r="F4862" i="50" s="1"/>
  <c r="B4877" i="50"/>
  <c r="D4877" i="50" s="1"/>
  <c r="E4853" i="50"/>
  <c r="U4853" i="50" s="1"/>
  <c r="B4888" i="50"/>
  <c r="D4888" i="50" s="1"/>
  <c r="E4864" i="50"/>
  <c r="F4864" i="50" s="1"/>
  <c r="F4914" i="50" l="1"/>
  <c r="V4914" i="50"/>
  <c r="U4914" i="50"/>
  <c r="D4884" i="50"/>
  <c r="E4884" i="50"/>
  <c r="B4908" i="50"/>
  <c r="F4905" i="50"/>
  <c r="U4905" i="50"/>
  <c r="G4905" i="50"/>
  <c r="V4905" i="50"/>
  <c r="U4883" i="50"/>
  <c r="F4883" i="50"/>
  <c r="V4883" i="50"/>
  <c r="V4880" i="50"/>
  <c r="U4880" i="50"/>
  <c r="G4880" i="50"/>
  <c r="G4887" i="50"/>
  <c r="U4887" i="50"/>
  <c r="F4887" i="50"/>
  <c r="V4887" i="50"/>
  <c r="V4868" i="50"/>
  <c r="G4868" i="50"/>
  <c r="U4868" i="50"/>
  <c r="F4868" i="50"/>
  <c r="G4914" i="50"/>
  <c r="V4855" i="50"/>
  <c r="G4855" i="50"/>
  <c r="U4855" i="50"/>
  <c r="F4855" i="50"/>
  <c r="U4860" i="50"/>
  <c r="G4860" i="50"/>
  <c r="F4860" i="50"/>
  <c r="V4860" i="50"/>
  <c r="G4896" i="50"/>
  <c r="U4896" i="50"/>
  <c r="V4896" i="50"/>
  <c r="D4879" i="50"/>
  <c r="B4903" i="50"/>
  <c r="E4879" i="50"/>
  <c r="U4899" i="50"/>
  <c r="F4899" i="50"/>
  <c r="V4899" i="50"/>
  <c r="V4870" i="50"/>
  <c r="G4870" i="50"/>
  <c r="F4870" i="50"/>
  <c r="F4853" i="50"/>
  <c r="V4853" i="50"/>
  <c r="G4853" i="50"/>
  <c r="G4885" i="50"/>
  <c r="F4885" i="50"/>
  <c r="V4885" i="50"/>
  <c r="V4867" i="50"/>
  <c r="U4867" i="50"/>
  <c r="F4867" i="50"/>
  <c r="G4867" i="50"/>
  <c r="U4870" i="50"/>
  <c r="F4921" i="50"/>
  <c r="U4921" i="50"/>
  <c r="G4921" i="50"/>
  <c r="V4921" i="50"/>
  <c r="U4895" i="50"/>
  <c r="G4895" i="50"/>
  <c r="V4895" i="50"/>
  <c r="F4895" i="50"/>
  <c r="G4869" i="50"/>
  <c r="F4869" i="50"/>
  <c r="V4869" i="50"/>
  <c r="F4906" i="50"/>
  <c r="V4906" i="50"/>
  <c r="G4906" i="50"/>
  <c r="F4896" i="50"/>
  <c r="U4864" i="50"/>
  <c r="G4864" i="50"/>
  <c r="V4864" i="50"/>
  <c r="G4922" i="50"/>
  <c r="F4922" i="50"/>
  <c r="V4922" i="50"/>
  <c r="V4876" i="50"/>
  <c r="U4876" i="50"/>
  <c r="G4876" i="50"/>
  <c r="F4876" i="50"/>
  <c r="V4862" i="50"/>
  <c r="U4862" i="50"/>
  <c r="G4862" i="50"/>
  <c r="V4878" i="50"/>
  <c r="U4878" i="50"/>
  <c r="G4878" i="50"/>
  <c r="V4865" i="50"/>
  <c r="U4865" i="50"/>
  <c r="F4865" i="50"/>
  <c r="G4899" i="50"/>
  <c r="G4883" i="50"/>
  <c r="E4886" i="50"/>
  <c r="B4910" i="50"/>
  <c r="D4910" i="50" s="1"/>
  <c r="B4928" i="50"/>
  <c r="D4928" i="50" s="1"/>
  <c r="E4904" i="50"/>
  <c r="E4891" i="50"/>
  <c r="B4915" i="50"/>
  <c r="D4915" i="50" s="1"/>
  <c r="B4935" i="50"/>
  <c r="D4935" i="50" s="1"/>
  <c r="E4911" i="50"/>
  <c r="E4900" i="50"/>
  <c r="B4924" i="50"/>
  <c r="D4924" i="50" s="1"/>
  <c r="E4877" i="50"/>
  <c r="V4877" i="50" s="1"/>
  <c r="B4901" i="50"/>
  <c r="D4901" i="50" s="1"/>
  <c r="E4907" i="50"/>
  <c r="B4931" i="50"/>
  <c r="D4931" i="50" s="1"/>
  <c r="E4893" i="50"/>
  <c r="V4893" i="50" s="1"/>
  <c r="B4917" i="50"/>
  <c r="D4917" i="50" s="1"/>
  <c r="B4918" i="50"/>
  <c r="D4918" i="50" s="1"/>
  <c r="E4894" i="50"/>
  <c r="B4962" i="50"/>
  <c r="D4962" i="50" s="1"/>
  <c r="E4938" i="50"/>
  <c r="E4909" i="50"/>
  <c r="V4909" i="50" s="1"/>
  <c r="B4933" i="50"/>
  <c r="D4933" i="50" s="1"/>
  <c r="B4943" i="50"/>
  <c r="D4943" i="50" s="1"/>
  <c r="E4919" i="50"/>
  <c r="E4946" i="50"/>
  <c r="B4970" i="50"/>
  <c r="D4970" i="50" s="1"/>
  <c r="B4953" i="50"/>
  <c r="D4953" i="50" s="1"/>
  <c r="E4929" i="50"/>
  <c r="G4929" i="50" s="1"/>
  <c r="E4923" i="50"/>
  <c r="B4947" i="50"/>
  <c r="D4947" i="50" s="1"/>
  <c r="B4944" i="50"/>
  <c r="D4944" i="50" s="1"/>
  <c r="E4920" i="50"/>
  <c r="E4889" i="50"/>
  <c r="V4889" i="50" s="1"/>
  <c r="B4913" i="50"/>
  <c r="D4913" i="50" s="1"/>
  <c r="E4902" i="50"/>
  <c r="B4926" i="50"/>
  <c r="D4926" i="50" s="1"/>
  <c r="B4969" i="50"/>
  <c r="D4969" i="50" s="1"/>
  <c r="E4945" i="50"/>
  <c r="B4912" i="50"/>
  <c r="D4912" i="50" s="1"/>
  <c r="E4888" i="50"/>
  <c r="V4888" i="50" s="1"/>
  <c r="B4916" i="50"/>
  <c r="D4916" i="50" s="1"/>
  <c r="E4892" i="50"/>
  <c r="E4930" i="50"/>
  <c r="G4930" i="50" s="1"/>
  <c r="B4954" i="50"/>
  <c r="D4954" i="50" s="1"/>
  <c r="U4919" i="50" l="1"/>
  <c r="F4919" i="50"/>
  <c r="V4919" i="50"/>
  <c r="G4919" i="50"/>
  <c r="U4911" i="50"/>
  <c r="G4911" i="50"/>
  <c r="V4911" i="50"/>
  <c r="F4911" i="50"/>
  <c r="F4945" i="50"/>
  <c r="V4945" i="50"/>
  <c r="U4945" i="50"/>
  <c r="U4909" i="50"/>
  <c r="G4909" i="50"/>
  <c r="F4909" i="50"/>
  <c r="V4891" i="50"/>
  <c r="U4891" i="50"/>
  <c r="G4891" i="50"/>
  <c r="F4891" i="50"/>
  <c r="G4888" i="50"/>
  <c r="U4888" i="50"/>
  <c r="F4888" i="50"/>
  <c r="U4879" i="50"/>
  <c r="G4879" i="50"/>
  <c r="V4879" i="50"/>
  <c r="U4894" i="50"/>
  <c r="G4894" i="50"/>
  <c r="V4894" i="50"/>
  <c r="D4903" i="50"/>
  <c r="E4903" i="50"/>
  <c r="B4927" i="50"/>
  <c r="F4889" i="50"/>
  <c r="U4889" i="50"/>
  <c r="G4889" i="50"/>
  <c r="V4886" i="50"/>
  <c r="G4886" i="50"/>
  <c r="F4886" i="50"/>
  <c r="G4945" i="50"/>
  <c r="F4879" i="50"/>
  <c r="U4920" i="50"/>
  <c r="G4920" i="50"/>
  <c r="V4920" i="50"/>
  <c r="F4920" i="50"/>
  <c r="F4894" i="50"/>
  <c r="D4908" i="50"/>
  <c r="B4932" i="50"/>
  <c r="E4908" i="50"/>
  <c r="V4938" i="50"/>
  <c r="G4938" i="50"/>
  <c r="F4938" i="50"/>
  <c r="U4938" i="50"/>
  <c r="U4893" i="50"/>
  <c r="G4893" i="50"/>
  <c r="F4893" i="50"/>
  <c r="V4884" i="50"/>
  <c r="G4884" i="50"/>
  <c r="U4884" i="50"/>
  <c r="F4884" i="50"/>
  <c r="F4946" i="50"/>
  <c r="V4946" i="50"/>
  <c r="G4946" i="50"/>
  <c r="U4946" i="50"/>
  <c r="G4900" i="50"/>
  <c r="U4900" i="50"/>
  <c r="V4900" i="50"/>
  <c r="F4900" i="50"/>
  <c r="U4930" i="50"/>
  <c r="F4930" i="50"/>
  <c r="V4930" i="50"/>
  <c r="V4923" i="50"/>
  <c r="U4923" i="50"/>
  <c r="G4923" i="50"/>
  <c r="F4923" i="50"/>
  <c r="V4907" i="50"/>
  <c r="U4907" i="50"/>
  <c r="G4907" i="50"/>
  <c r="F4907" i="50"/>
  <c r="U4886" i="50"/>
  <c r="G4902" i="50"/>
  <c r="F4902" i="50"/>
  <c r="U4902" i="50"/>
  <c r="V4902" i="50"/>
  <c r="V4892" i="50"/>
  <c r="U4892" i="50"/>
  <c r="G4892" i="50"/>
  <c r="F4892" i="50"/>
  <c r="U4929" i="50"/>
  <c r="F4929" i="50"/>
  <c r="V4929" i="50"/>
  <c r="U4904" i="50"/>
  <c r="G4904" i="50"/>
  <c r="V4904" i="50"/>
  <c r="F4904" i="50"/>
  <c r="U4877" i="50"/>
  <c r="G4877" i="50"/>
  <c r="F4877" i="50"/>
  <c r="B4925" i="50"/>
  <c r="D4925" i="50" s="1"/>
  <c r="E4901" i="50"/>
  <c r="B4971" i="50"/>
  <c r="D4971" i="50" s="1"/>
  <c r="E4947" i="50"/>
  <c r="G4947" i="50" s="1"/>
  <c r="E4962" i="50"/>
  <c r="B4986" i="50"/>
  <c r="D4986" i="50" s="1"/>
  <c r="E4953" i="50"/>
  <c r="G4953" i="50" s="1"/>
  <c r="B4977" i="50"/>
  <c r="D4977" i="50" s="1"/>
  <c r="B4937" i="50"/>
  <c r="D4937" i="50" s="1"/>
  <c r="E4913" i="50"/>
  <c r="G4913" i="50" s="1"/>
  <c r="B4994" i="50"/>
  <c r="D4994" i="50" s="1"/>
  <c r="E4970" i="50"/>
  <c r="B4948" i="50"/>
  <c r="D4948" i="50" s="1"/>
  <c r="E4924" i="50"/>
  <c r="E4918" i="50"/>
  <c r="B4942" i="50"/>
  <c r="D4942" i="50" s="1"/>
  <c r="B4941" i="50"/>
  <c r="D4941" i="50" s="1"/>
  <c r="E4917" i="50"/>
  <c r="B4952" i="50"/>
  <c r="D4952" i="50" s="1"/>
  <c r="E4928" i="50"/>
  <c r="B4959" i="50"/>
  <c r="D4959" i="50" s="1"/>
  <c r="E4935" i="50"/>
  <c r="V4935" i="50" s="1"/>
  <c r="B4934" i="50"/>
  <c r="D4934" i="50" s="1"/>
  <c r="E4910" i="50"/>
  <c r="B4936" i="50"/>
  <c r="D4936" i="50" s="1"/>
  <c r="E4912" i="50"/>
  <c r="F4912" i="50" s="1"/>
  <c r="B4978" i="50"/>
  <c r="D4978" i="50" s="1"/>
  <c r="E4954" i="50"/>
  <c r="E4969" i="50"/>
  <c r="G4969" i="50" s="1"/>
  <c r="B4993" i="50"/>
  <c r="D4993" i="50" s="1"/>
  <c r="B4968" i="50"/>
  <c r="D4968" i="50" s="1"/>
  <c r="E4944" i="50"/>
  <c r="B4967" i="50"/>
  <c r="D4967" i="50" s="1"/>
  <c r="E4943" i="50"/>
  <c r="V4943" i="50" s="1"/>
  <c r="E4916" i="50"/>
  <c r="B4940" i="50"/>
  <c r="D4940" i="50" s="1"/>
  <c r="B4955" i="50"/>
  <c r="D4955" i="50" s="1"/>
  <c r="E4931" i="50"/>
  <c r="G4931" i="50" s="1"/>
  <c r="B4939" i="50"/>
  <c r="D4939" i="50" s="1"/>
  <c r="E4915" i="50"/>
  <c r="G4915" i="50" s="1"/>
  <c r="B4950" i="50"/>
  <c r="D4950" i="50" s="1"/>
  <c r="E4926" i="50"/>
  <c r="B4957" i="50"/>
  <c r="D4957" i="50" s="1"/>
  <c r="E4933" i="50"/>
  <c r="U4933" i="50" s="1"/>
  <c r="V4917" i="50" l="1"/>
  <c r="G4917" i="50"/>
  <c r="F4917" i="50"/>
  <c r="V4901" i="50"/>
  <c r="G4901" i="50"/>
  <c r="F4901" i="50"/>
  <c r="G4928" i="50"/>
  <c r="U4928" i="50"/>
  <c r="V4928" i="50"/>
  <c r="V4933" i="50"/>
  <c r="G4933" i="50"/>
  <c r="F4933" i="50"/>
  <c r="V4918" i="50"/>
  <c r="G4918" i="50"/>
  <c r="F4918" i="50"/>
  <c r="U4918" i="50"/>
  <c r="F4928" i="50"/>
  <c r="V4924" i="50"/>
  <c r="F4924" i="50"/>
  <c r="U4924" i="50"/>
  <c r="G4924" i="50"/>
  <c r="V4970" i="50"/>
  <c r="U4970" i="50"/>
  <c r="G4970" i="50"/>
  <c r="F4970" i="50"/>
  <c r="V4944" i="50"/>
  <c r="U4944" i="50"/>
  <c r="F4944" i="50"/>
  <c r="G4944" i="50"/>
  <c r="G4954" i="50"/>
  <c r="U4954" i="50"/>
  <c r="F4954" i="50"/>
  <c r="V4954" i="50"/>
  <c r="V4908" i="50"/>
  <c r="U4908" i="50"/>
  <c r="G4908" i="50"/>
  <c r="F4908" i="50"/>
  <c r="U4969" i="50"/>
  <c r="F4969" i="50"/>
  <c r="V4969" i="50"/>
  <c r="G4910" i="50"/>
  <c r="V4910" i="50"/>
  <c r="U4910" i="50"/>
  <c r="F4910" i="50"/>
  <c r="V4913" i="50"/>
  <c r="U4913" i="50"/>
  <c r="F4913" i="50"/>
  <c r="D4932" i="50"/>
  <c r="E4932" i="50"/>
  <c r="B4956" i="50"/>
  <c r="V4915" i="50"/>
  <c r="U4915" i="50"/>
  <c r="F4915" i="50"/>
  <c r="D4927" i="50"/>
  <c r="B4951" i="50"/>
  <c r="E4927" i="50"/>
  <c r="U4935" i="50"/>
  <c r="F4935" i="50"/>
  <c r="G4935" i="50"/>
  <c r="U4901" i="50"/>
  <c r="U4903" i="50"/>
  <c r="F4903" i="50"/>
  <c r="V4903" i="50"/>
  <c r="G4903" i="50"/>
  <c r="V4947" i="50"/>
  <c r="U4947" i="50"/>
  <c r="F4947" i="50"/>
  <c r="G4912" i="50"/>
  <c r="U4912" i="50"/>
  <c r="V4912" i="50"/>
  <c r="U4953" i="50"/>
  <c r="F4953" i="50"/>
  <c r="V4953" i="50"/>
  <c r="U4917" i="50"/>
  <c r="U4943" i="50"/>
  <c r="G4943" i="50"/>
  <c r="F4943" i="50"/>
  <c r="V4931" i="50"/>
  <c r="U4931" i="50"/>
  <c r="F4931" i="50"/>
  <c r="F4926" i="50"/>
  <c r="G4926" i="50"/>
  <c r="V4926" i="50"/>
  <c r="U4926" i="50"/>
  <c r="G4916" i="50"/>
  <c r="V4916" i="50"/>
  <c r="U4916" i="50"/>
  <c r="F4916" i="50"/>
  <c r="V4962" i="50"/>
  <c r="F4962" i="50"/>
  <c r="U4962" i="50"/>
  <c r="G4962" i="50"/>
  <c r="B4964" i="50"/>
  <c r="D4964" i="50" s="1"/>
  <c r="E4940" i="50"/>
  <c r="E4937" i="50"/>
  <c r="B4961" i="50"/>
  <c r="D4961" i="50" s="1"/>
  <c r="B4976" i="50"/>
  <c r="D4976" i="50" s="1"/>
  <c r="E4952" i="50"/>
  <c r="V4952" i="50" s="1"/>
  <c r="B5001" i="50"/>
  <c r="D5001" i="50" s="1"/>
  <c r="E4977" i="50"/>
  <c r="E4971" i="50"/>
  <c r="B4995" i="50"/>
  <c r="D4995" i="50" s="1"/>
  <c r="E4978" i="50"/>
  <c r="B5002" i="50"/>
  <c r="D5002" i="50" s="1"/>
  <c r="E4925" i="50"/>
  <c r="V4925" i="50" s="1"/>
  <c r="B4949" i="50"/>
  <c r="D4949" i="50" s="1"/>
  <c r="B4960" i="50"/>
  <c r="D4960" i="50" s="1"/>
  <c r="E4936" i="50"/>
  <c r="B4966" i="50"/>
  <c r="D4966" i="50" s="1"/>
  <c r="E4942" i="50"/>
  <c r="E4948" i="50"/>
  <c r="B4972" i="50"/>
  <c r="D4972" i="50" s="1"/>
  <c r="B4991" i="50"/>
  <c r="D4991" i="50" s="1"/>
  <c r="E4967" i="50"/>
  <c r="E4934" i="50"/>
  <c r="B4958" i="50"/>
  <c r="D4958" i="50" s="1"/>
  <c r="E4941" i="50"/>
  <c r="V4941" i="50" s="1"/>
  <c r="B4965" i="50"/>
  <c r="D4965" i="50" s="1"/>
  <c r="B5010" i="50"/>
  <c r="D5010" i="50" s="1"/>
  <c r="E4986" i="50"/>
  <c r="B5017" i="50"/>
  <c r="D5017" i="50" s="1"/>
  <c r="E4993" i="50"/>
  <c r="G4993" i="50" s="1"/>
  <c r="E4939" i="50"/>
  <c r="B4963" i="50"/>
  <c r="D4963" i="50" s="1"/>
  <c r="E4994" i="50"/>
  <c r="B5018" i="50"/>
  <c r="D5018" i="50" s="1"/>
  <c r="E4950" i="50"/>
  <c r="V4950" i="50" s="1"/>
  <c r="B4974" i="50"/>
  <c r="D4974" i="50" s="1"/>
  <c r="B4983" i="50"/>
  <c r="D4983" i="50" s="1"/>
  <c r="E4959" i="50"/>
  <c r="V4959" i="50" s="1"/>
  <c r="E4957" i="50"/>
  <c r="V4957" i="50" s="1"/>
  <c r="B4981" i="50"/>
  <c r="D4981" i="50" s="1"/>
  <c r="E4955" i="50"/>
  <c r="B4979" i="50"/>
  <c r="D4979" i="50" s="1"/>
  <c r="B4992" i="50"/>
  <c r="D4992" i="50" s="1"/>
  <c r="E4968" i="50"/>
  <c r="G4948" i="50" l="1"/>
  <c r="V4948" i="50"/>
  <c r="U4948" i="50"/>
  <c r="F4948" i="50"/>
  <c r="F4937" i="50"/>
  <c r="G4937" i="50"/>
  <c r="V4937" i="50"/>
  <c r="U4937" i="50"/>
  <c r="U4967" i="50"/>
  <c r="F4967" i="50"/>
  <c r="G4967" i="50"/>
  <c r="G4950" i="50"/>
  <c r="F4950" i="50"/>
  <c r="U4950" i="50"/>
  <c r="V4942" i="50"/>
  <c r="U4942" i="50"/>
  <c r="F4942" i="50"/>
  <c r="G4942" i="50"/>
  <c r="V4940" i="50"/>
  <c r="U4940" i="50"/>
  <c r="G4940" i="50"/>
  <c r="F4940" i="50"/>
  <c r="G4927" i="50"/>
  <c r="U4927" i="50"/>
  <c r="V4927" i="50"/>
  <c r="F4927" i="50"/>
  <c r="V4994" i="50"/>
  <c r="U4994" i="50"/>
  <c r="G4994" i="50"/>
  <c r="F4994" i="50"/>
  <c r="V4967" i="50"/>
  <c r="D4951" i="50"/>
  <c r="B4975" i="50"/>
  <c r="E4951" i="50"/>
  <c r="V4939" i="50"/>
  <c r="U4939" i="50"/>
  <c r="G4939" i="50"/>
  <c r="F4939" i="50"/>
  <c r="V4993" i="50"/>
  <c r="U4993" i="50"/>
  <c r="F4993" i="50"/>
  <c r="U4925" i="50"/>
  <c r="G4925" i="50"/>
  <c r="F4925" i="50"/>
  <c r="G4952" i="50"/>
  <c r="U4952" i="50"/>
  <c r="F4952" i="50"/>
  <c r="G4968" i="50"/>
  <c r="U4968" i="50"/>
  <c r="F4968" i="50"/>
  <c r="V4986" i="50"/>
  <c r="U4986" i="50"/>
  <c r="G4986" i="50"/>
  <c r="F4986" i="50"/>
  <c r="V4968" i="50"/>
  <c r="V4978" i="50"/>
  <c r="U4978" i="50"/>
  <c r="G4978" i="50"/>
  <c r="F4978" i="50"/>
  <c r="D4956" i="50"/>
  <c r="B4980" i="50"/>
  <c r="E4956" i="50"/>
  <c r="G4932" i="50"/>
  <c r="U4932" i="50"/>
  <c r="F4932" i="50"/>
  <c r="V4932" i="50"/>
  <c r="V4955" i="50"/>
  <c r="U4955" i="50"/>
  <c r="G4955" i="50"/>
  <c r="F4955" i="50"/>
  <c r="U4941" i="50"/>
  <c r="G4941" i="50"/>
  <c r="F4941" i="50"/>
  <c r="V4971" i="50"/>
  <c r="U4971" i="50"/>
  <c r="G4971" i="50"/>
  <c r="F4971" i="50"/>
  <c r="U4959" i="50"/>
  <c r="G4959" i="50"/>
  <c r="F4959" i="50"/>
  <c r="V4977" i="50"/>
  <c r="U4977" i="50"/>
  <c r="F4977" i="50"/>
  <c r="G4977" i="50"/>
  <c r="G4936" i="50"/>
  <c r="U4936" i="50"/>
  <c r="V4936" i="50"/>
  <c r="F4936" i="50"/>
  <c r="U4957" i="50"/>
  <c r="G4957" i="50"/>
  <c r="F4957" i="50"/>
  <c r="V4934" i="50"/>
  <c r="G4934" i="50"/>
  <c r="F4934" i="50"/>
  <c r="U4934" i="50"/>
  <c r="E4966" i="50"/>
  <c r="B4990" i="50"/>
  <c r="D4990" i="50" s="1"/>
  <c r="E5017" i="50"/>
  <c r="G5017" i="50" s="1"/>
  <c r="B5041" i="50"/>
  <c r="D5041" i="50" s="1"/>
  <c r="B5015" i="50"/>
  <c r="D5015" i="50" s="1"/>
  <c r="E4991" i="50"/>
  <c r="B5000" i="50"/>
  <c r="D5000" i="50" s="1"/>
  <c r="E4976" i="50"/>
  <c r="B4985" i="50"/>
  <c r="D4985" i="50" s="1"/>
  <c r="E4961" i="50"/>
  <c r="B4984" i="50"/>
  <c r="D4984" i="50" s="1"/>
  <c r="E4960" i="50"/>
  <c r="B5026" i="50"/>
  <c r="D5026" i="50" s="1"/>
  <c r="E5002" i="50"/>
  <c r="U5002" i="50" s="1"/>
  <c r="B4973" i="50"/>
  <c r="D4973" i="50" s="1"/>
  <c r="E4949" i="50"/>
  <c r="U4949" i="50" s="1"/>
  <c r="E5010" i="50"/>
  <c r="B5034" i="50"/>
  <c r="D5034" i="50" s="1"/>
  <c r="B4998" i="50"/>
  <c r="D4998" i="50" s="1"/>
  <c r="E4974" i="50"/>
  <c r="B4996" i="50"/>
  <c r="D4996" i="50" s="1"/>
  <c r="E4972" i="50"/>
  <c r="B5007" i="50"/>
  <c r="D5007" i="50" s="1"/>
  <c r="E4983" i="50"/>
  <c r="E4964" i="50"/>
  <c r="B4988" i="50"/>
  <c r="D4988" i="50" s="1"/>
  <c r="B5003" i="50"/>
  <c r="D5003" i="50" s="1"/>
  <c r="E4979" i="50"/>
  <c r="G4979" i="50" s="1"/>
  <c r="B5042" i="50"/>
  <c r="D5042" i="50" s="1"/>
  <c r="E5018" i="50"/>
  <c r="U5018" i="50" s="1"/>
  <c r="B4989" i="50"/>
  <c r="D4989" i="50" s="1"/>
  <c r="E4965" i="50"/>
  <c r="U4965" i="50" s="1"/>
  <c r="B5019" i="50"/>
  <c r="D5019" i="50" s="1"/>
  <c r="E4995" i="50"/>
  <c r="G4995" i="50" s="1"/>
  <c r="E5001" i="50"/>
  <c r="G5001" i="50" s="1"/>
  <c r="B5025" i="50"/>
  <c r="D5025" i="50" s="1"/>
  <c r="B5005" i="50"/>
  <c r="D5005" i="50" s="1"/>
  <c r="E4981" i="50"/>
  <c r="U4981" i="50" s="1"/>
  <c r="B4987" i="50"/>
  <c r="D4987" i="50" s="1"/>
  <c r="E4963" i="50"/>
  <c r="G4963" i="50" s="1"/>
  <c r="B4982" i="50"/>
  <c r="D4982" i="50" s="1"/>
  <c r="E4958" i="50"/>
  <c r="B5016" i="50"/>
  <c r="D5016" i="50" s="1"/>
  <c r="E4992" i="50"/>
  <c r="V4992" i="50" s="1"/>
  <c r="V5002" i="50" l="1"/>
  <c r="F5002" i="50"/>
  <c r="G5002" i="50"/>
  <c r="G4960" i="50"/>
  <c r="V4960" i="50"/>
  <c r="U4960" i="50"/>
  <c r="F4960" i="50"/>
  <c r="V4961" i="50"/>
  <c r="U4961" i="50"/>
  <c r="F4961" i="50"/>
  <c r="G4976" i="50"/>
  <c r="V4976" i="50"/>
  <c r="U4976" i="50"/>
  <c r="F4976" i="50"/>
  <c r="U4958" i="50"/>
  <c r="G4958" i="50"/>
  <c r="F4958" i="50"/>
  <c r="V4958" i="50"/>
  <c r="U4956" i="50"/>
  <c r="G4956" i="50"/>
  <c r="F4956" i="50"/>
  <c r="V4956" i="50"/>
  <c r="V4963" i="50"/>
  <c r="U4963" i="50"/>
  <c r="F4963" i="50"/>
  <c r="V4972" i="50"/>
  <c r="U4972" i="50"/>
  <c r="G4972" i="50"/>
  <c r="F4972" i="50"/>
  <c r="U4991" i="50"/>
  <c r="F4991" i="50"/>
  <c r="G4991" i="50"/>
  <c r="D4980" i="50"/>
  <c r="B5004" i="50"/>
  <c r="E4980" i="50"/>
  <c r="U4983" i="50"/>
  <c r="F4983" i="50"/>
  <c r="G4983" i="50"/>
  <c r="U5001" i="50"/>
  <c r="F5001" i="50"/>
  <c r="V5001" i="50"/>
  <c r="V4983" i="50"/>
  <c r="V4991" i="50"/>
  <c r="G4992" i="50"/>
  <c r="U4992" i="50"/>
  <c r="F4992" i="50"/>
  <c r="G4964" i="50"/>
  <c r="F4964" i="50"/>
  <c r="U4964" i="50"/>
  <c r="F4951" i="50"/>
  <c r="U4951" i="50"/>
  <c r="G4951" i="50"/>
  <c r="V4979" i="50"/>
  <c r="U4979" i="50"/>
  <c r="F4979" i="50"/>
  <c r="U5017" i="50"/>
  <c r="F5017" i="50"/>
  <c r="V5017" i="50"/>
  <c r="D4975" i="50"/>
  <c r="B4999" i="50"/>
  <c r="E4975" i="50"/>
  <c r="F4966" i="50"/>
  <c r="U4966" i="50"/>
  <c r="V4966" i="50"/>
  <c r="G4966" i="50"/>
  <c r="V4981" i="50"/>
  <c r="G4981" i="50"/>
  <c r="F4981" i="50"/>
  <c r="V4995" i="50"/>
  <c r="U4995" i="50"/>
  <c r="F4995" i="50"/>
  <c r="V4965" i="50"/>
  <c r="G4965" i="50"/>
  <c r="F4965" i="50"/>
  <c r="V4951" i="50"/>
  <c r="V4974" i="50"/>
  <c r="U4974" i="50"/>
  <c r="G4974" i="50"/>
  <c r="F4974" i="50"/>
  <c r="V5010" i="50"/>
  <c r="G5010" i="50"/>
  <c r="F5010" i="50"/>
  <c r="V5018" i="50"/>
  <c r="G5018" i="50"/>
  <c r="F5018" i="50"/>
  <c r="V4949" i="50"/>
  <c r="G4949" i="50"/>
  <c r="F4949" i="50"/>
  <c r="U5010" i="50"/>
  <c r="V4964" i="50"/>
  <c r="G4961" i="50"/>
  <c r="E5003" i="50"/>
  <c r="B5027" i="50"/>
  <c r="D5027" i="50" s="1"/>
  <c r="E4996" i="50"/>
  <c r="B5020" i="50"/>
  <c r="D5020" i="50" s="1"/>
  <c r="B5058" i="50"/>
  <c r="D5058" i="50" s="1"/>
  <c r="E5034" i="50"/>
  <c r="B5049" i="50"/>
  <c r="D5049" i="50" s="1"/>
  <c r="E5025" i="50"/>
  <c r="G5025" i="50" s="1"/>
  <c r="E4982" i="50"/>
  <c r="B5006" i="50"/>
  <c r="D5006" i="50" s="1"/>
  <c r="E4998" i="50"/>
  <c r="B5022" i="50"/>
  <c r="D5022" i="50" s="1"/>
  <c r="B5039" i="50"/>
  <c r="D5039" i="50" s="1"/>
  <c r="E5015" i="50"/>
  <c r="B5012" i="50"/>
  <c r="D5012" i="50" s="1"/>
  <c r="E4988" i="50"/>
  <c r="E5026" i="50"/>
  <c r="B5050" i="50"/>
  <c r="D5050" i="50" s="1"/>
  <c r="B5065" i="50"/>
  <c r="D5065" i="50" s="1"/>
  <c r="E5041" i="50"/>
  <c r="G5041" i="50" s="1"/>
  <c r="E5019" i="50"/>
  <c r="B5043" i="50"/>
  <c r="D5043" i="50" s="1"/>
  <c r="B5008" i="50"/>
  <c r="D5008" i="50" s="1"/>
  <c r="E4984" i="50"/>
  <c r="V4984" i="50" s="1"/>
  <c r="E5005" i="50"/>
  <c r="B5029" i="50"/>
  <c r="D5029" i="50" s="1"/>
  <c r="B5031" i="50"/>
  <c r="D5031" i="50" s="1"/>
  <c r="E5007" i="50"/>
  <c r="E4973" i="50"/>
  <c r="V4973" i="50" s="1"/>
  <c r="B4997" i="50"/>
  <c r="D4997" i="50" s="1"/>
  <c r="E4989" i="50"/>
  <c r="V4989" i="50" s="1"/>
  <c r="B5013" i="50"/>
  <c r="D5013" i="50" s="1"/>
  <c r="E4985" i="50"/>
  <c r="G4985" i="50" s="1"/>
  <c r="B5009" i="50"/>
  <c r="D5009" i="50" s="1"/>
  <c r="B5014" i="50"/>
  <c r="D5014" i="50" s="1"/>
  <c r="E4990" i="50"/>
  <c r="E4987" i="50"/>
  <c r="B5011" i="50"/>
  <c r="D5011" i="50" s="1"/>
  <c r="B5040" i="50"/>
  <c r="D5040" i="50" s="1"/>
  <c r="E5016" i="50"/>
  <c r="E5042" i="50"/>
  <c r="U5042" i="50" s="1"/>
  <c r="B5066" i="50"/>
  <c r="D5066" i="50" s="1"/>
  <c r="B5024" i="50"/>
  <c r="D5024" i="50" s="1"/>
  <c r="E5000" i="50"/>
  <c r="V5034" i="50" l="1"/>
  <c r="G5034" i="50"/>
  <c r="F5034" i="50"/>
  <c r="V5026" i="50"/>
  <c r="G5026" i="50"/>
  <c r="F5026" i="50"/>
  <c r="G4996" i="50"/>
  <c r="F4996" i="50"/>
  <c r="U4996" i="50"/>
  <c r="U4989" i="50"/>
  <c r="G4989" i="50"/>
  <c r="F4989" i="50"/>
  <c r="V5003" i="50"/>
  <c r="U5003" i="50"/>
  <c r="G5003" i="50"/>
  <c r="F5003" i="50"/>
  <c r="V5041" i="50"/>
  <c r="U5041" i="50"/>
  <c r="F5041" i="50"/>
  <c r="U5015" i="50"/>
  <c r="F5015" i="50"/>
  <c r="G5015" i="50"/>
  <c r="G4980" i="50"/>
  <c r="F4980" i="50"/>
  <c r="U4980" i="50"/>
  <c r="U4985" i="50"/>
  <c r="F4985" i="50"/>
  <c r="V4985" i="50"/>
  <c r="U4975" i="50"/>
  <c r="G4975" i="50"/>
  <c r="F4975" i="50"/>
  <c r="D5004" i="50"/>
  <c r="B5028" i="50"/>
  <c r="E5004" i="50"/>
  <c r="U5007" i="50"/>
  <c r="F5007" i="50"/>
  <c r="G5007" i="50"/>
  <c r="D4999" i="50"/>
  <c r="E4999" i="50"/>
  <c r="B5023" i="50"/>
  <c r="V4980" i="50"/>
  <c r="V5007" i="50"/>
  <c r="V5042" i="50"/>
  <c r="G5042" i="50"/>
  <c r="F5042" i="50"/>
  <c r="V4998" i="50"/>
  <c r="F4998" i="50"/>
  <c r="U4998" i="50"/>
  <c r="G4998" i="50"/>
  <c r="U5034" i="50"/>
  <c r="V4975" i="50"/>
  <c r="V4988" i="50"/>
  <c r="U4988" i="50"/>
  <c r="G4988" i="50"/>
  <c r="F4988" i="50"/>
  <c r="G5016" i="50"/>
  <c r="U5016" i="50"/>
  <c r="F5016" i="50"/>
  <c r="G5000" i="50"/>
  <c r="U5000" i="50"/>
  <c r="F5000" i="50"/>
  <c r="F5005" i="50"/>
  <c r="U5005" i="50"/>
  <c r="G5005" i="50"/>
  <c r="G4984" i="50"/>
  <c r="U4984" i="50"/>
  <c r="F4984" i="50"/>
  <c r="V4987" i="50"/>
  <c r="U4987" i="50"/>
  <c r="G4987" i="50"/>
  <c r="F4987" i="50"/>
  <c r="V4982" i="50"/>
  <c r="G4982" i="50"/>
  <c r="F4982" i="50"/>
  <c r="U4982" i="50"/>
  <c r="V5005" i="50"/>
  <c r="U4973" i="50"/>
  <c r="G4973" i="50"/>
  <c r="F4973" i="50"/>
  <c r="V4990" i="50"/>
  <c r="U4990" i="50"/>
  <c r="G4990" i="50"/>
  <c r="F4990" i="50"/>
  <c r="V5025" i="50"/>
  <c r="U5025" i="50"/>
  <c r="F5025" i="50"/>
  <c r="V5015" i="50"/>
  <c r="U5026" i="50"/>
  <c r="V5019" i="50"/>
  <c r="U5019" i="50"/>
  <c r="G5019" i="50"/>
  <c r="F5019" i="50"/>
  <c r="V5000" i="50"/>
  <c r="V4996" i="50"/>
  <c r="V5016" i="50"/>
  <c r="B5021" i="50"/>
  <c r="D5021" i="50" s="1"/>
  <c r="E4997" i="50"/>
  <c r="U4997" i="50" s="1"/>
  <c r="E5065" i="50"/>
  <c r="B5089" i="50"/>
  <c r="D5089" i="50" s="1"/>
  <c r="E5058" i="50"/>
  <c r="B5082" i="50"/>
  <c r="D5082" i="50" s="1"/>
  <c r="B5067" i="50"/>
  <c r="D5067" i="50" s="1"/>
  <c r="E5043" i="50"/>
  <c r="E5014" i="50"/>
  <c r="B5038" i="50"/>
  <c r="D5038" i="50" s="1"/>
  <c r="B5074" i="50"/>
  <c r="D5074" i="50" s="1"/>
  <c r="E5050" i="50"/>
  <c r="B5044" i="50"/>
  <c r="D5044" i="50" s="1"/>
  <c r="E5020" i="50"/>
  <c r="B5046" i="50"/>
  <c r="D5046" i="50" s="1"/>
  <c r="E5022" i="50"/>
  <c r="B5055" i="50"/>
  <c r="D5055" i="50" s="1"/>
  <c r="E5031" i="50"/>
  <c r="V5031" i="50" s="1"/>
  <c r="B5051" i="50"/>
  <c r="D5051" i="50" s="1"/>
  <c r="E5027" i="50"/>
  <c r="G5027" i="50" s="1"/>
  <c r="E5012" i="50"/>
  <c r="V5012" i="50" s="1"/>
  <c r="B5036" i="50"/>
  <c r="D5036" i="50" s="1"/>
  <c r="B5030" i="50"/>
  <c r="D5030" i="50" s="1"/>
  <c r="E5006" i="50"/>
  <c r="B5033" i="50"/>
  <c r="D5033" i="50" s="1"/>
  <c r="E5009" i="50"/>
  <c r="B5053" i="50"/>
  <c r="D5053" i="50" s="1"/>
  <c r="E5029" i="50"/>
  <c r="U5029" i="50" s="1"/>
  <c r="B5064" i="50"/>
  <c r="D5064" i="50" s="1"/>
  <c r="E5040" i="50"/>
  <c r="V5040" i="50" s="1"/>
  <c r="B5035" i="50"/>
  <c r="D5035" i="50" s="1"/>
  <c r="E5011" i="50"/>
  <c r="G5011" i="50" s="1"/>
  <c r="B5037" i="50"/>
  <c r="D5037" i="50" s="1"/>
  <c r="E5013" i="50"/>
  <c r="U5013" i="50" s="1"/>
  <c r="B5048" i="50"/>
  <c r="D5048" i="50" s="1"/>
  <c r="E5024" i="50"/>
  <c r="V5024" i="50" s="1"/>
  <c r="B5063" i="50"/>
  <c r="D5063" i="50" s="1"/>
  <c r="E5039" i="50"/>
  <c r="E5049" i="50"/>
  <c r="G5049" i="50" s="1"/>
  <c r="B5073" i="50"/>
  <c r="D5073" i="50" s="1"/>
  <c r="B5090" i="50"/>
  <c r="D5090" i="50" s="1"/>
  <c r="E5066" i="50"/>
  <c r="U5066" i="50" s="1"/>
  <c r="B5032" i="50"/>
  <c r="D5032" i="50" s="1"/>
  <c r="E5008" i="50"/>
  <c r="V5008" i="50" s="1"/>
  <c r="V5009" i="50" l="1"/>
  <c r="U5009" i="50"/>
  <c r="F5009" i="50"/>
  <c r="U4999" i="50"/>
  <c r="F4999" i="50"/>
  <c r="G4999" i="50"/>
  <c r="V5050" i="50"/>
  <c r="F5050" i="50"/>
  <c r="G5050" i="50"/>
  <c r="V4999" i="50"/>
  <c r="V5020" i="50"/>
  <c r="U5020" i="50"/>
  <c r="G5020" i="50"/>
  <c r="F5020" i="50"/>
  <c r="U5049" i="50"/>
  <c r="F5049" i="50"/>
  <c r="V5049" i="50"/>
  <c r="V5043" i="50"/>
  <c r="U5043" i="50"/>
  <c r="F5043" i="50"/>
  <c r="G5012" i="50"/>
  <c r="F5012" i="50"/>
  <c r="U5012" i="50"/>
  <c r="G5009" i="50"/>
  <c r="U5050" i="50"/>
  <c r="V5004" i="50"/>
  <c r="U5004" i="50"/>
  <c r="G5004" i="50"/>
  <c r="F5004" i="50"/>
  <c r="D5023" i="50"/>
  <c r="B5047" i="50"/>
  <c r="E5023" i="50"/>
  <c r="V5058" i="50"/>
  <c r="G5058" i="50"/>
  <c r="F5058" i="50"/>
  <c r="D5028" i="50"/>
  <c r="B5052" i="50"/>
  <c r="E5028" i="50"/>
  <c r="G5024" i="50"/>
  <c r="F5024" i="50"/>
  <c r="U5024" i="50"/>
  <c r="V5027" i="50"/>
  <c r="U5027" i="50"/>
  <c r="F5027" i="50"/>
  <c r="U5058" i="50"/>
  <c r="F5014" i="50"/>
  <c r="V5014" i="50"/>
  <c r="U5014" i="50"/>
  <c r="G5014" i="50"/>
  <c r="U5065" i="50"/>
  <c r="F5065" i="50"/>
  <c r="V5065" i="50"/>
  <c r="G5065" i="50"/>
  <c r="U5039" i="50"/>
  <c r="G5039" i="50"/>
  <c r="F5039" i="50"/>
  <c r="V5013" i="50"/>
  <c r="G5013" i="50"/>
  <c r="F5013" i="50"/>
  <c r="G5040" i="50"/>
  <c r="U5040" i="50"/>
  <c r="F5040" i="50"/>
  <c r="U5031" i="50"/>
  <c r="F5031" i="50"/>
  <c r="G5031" i="50"/>
  <c r="V4997" i="50"/>
  <c r="G4997" i="50"/>
  <c r="F4997" i="50"/>
  <c r="U5011" i="50"/>
  <c r="F5011" i="50"/>
  <c r="V5011" i="50"/>
  <c r="V5066" i="50"/>
  <c r="G5066" i="50"/>
  <c r="F5066" i="50"/>
  <c r="V5006" i="50"/>
  <c r="U5006" i="50"/>
  <c r="G5006" i="50"/>
  <c r="F5006" i="50"/>
  <c r="G5008" i="50"/>
  <c r="F5008" i="50"/>
  <c r="U5008" i="50"/>
  <c r="V5029" i="50"/>
  <c r="G5029" i="50"/>
  <c r="F5029" i="50"/>
  <c r="V5022" i="50"/>
  <c r="U5022" i="50"/>
  <c r="G5022" i="50"/>
  <c r="F5022" i="50"/>
  <c r="G5043" i="50"/>
  <c r="V5039" i="50"/>
  <c r="E5037" i="50"/>
  <c r="B5061" i="50"/>
  <c r="D5061" i="50" s="1"/>
  <c r="E5044" i="50"/>
  <c r="B5068" i="50"/>
  <c r="D5068" i="50" s="1"/>
  <c r="B5072" i="50"/>
  <c r="D5072" i="50" s="1"/>
  <c r="E5048" i="50"/>
  <c r="V5048" i="50" s="1"/>
  <c r="E5053" i="50"/>
  <c r="B5077" i="50"/>
  <c r="D5077" i="50" s="1"/>
  <c r="E5067" i="50"/>
  <c r="B5091" i="50"/>
  <c r="D5091" i="50" s="1"/>
  <c r="B5106" i="50"/>
  <c r="D5106" i="50" s="1"/>
  <c r="E5082" i="50"/>
  <c r="U5082" i="50" s="1"/>
  <c r="E5035" i="50"/>
  <c r="B5059" i="50"/>
  <c r="D5059" i="50" s="1"/>
  <c r="E5074" i="50"/>
  <c r="U5074" i="50" s="1"/>
  <c r="B5098" i="50"/>
  <c r="D5098" i="50" s="1"/>
  <c r="E5033" i="50"/>
  <c r="G5033" i="50" s="1"/>
  <c r="B5057" i="50"/>
  <c r="D5057" i="50" s="1"/>
  <c r="B5113" i="50"/>
  <c r="D5113" i="50" s="1"/>
  <c r="E5089" i="50"/>
  <c r="B5079" i="50"/>
  <c r="D5079" i="50" s="1"/>
  <c r="E5055" i="50"/>
  <c r="V5055" i="50" s="1"/>
  <c r="E5030" i="50"/>
  <c r="B5054" i="50"/>
  <c r="D5054" i="50" s="1"/>
  <c r="B5060" i="50"/>
  <c r="D5060" i="50" s="1"/>
  <c r="E5036" i="50"/>
  <c r="E5051" i="50"/>
  <c r="B5075" i="50"/>
  <c r="D5075" i="50" s="1"/>
  <c r="B5097" i="50"/>
  <c r="D5097" i="50" s="1"/>
  <c r="E5073" i="50"/>
  <c r="G5073" i="50" s="1"/>
  <c r="E5046" i="50"/>
  <c r="B5070" i="50"/>
  <c r="D5070" i="50" s="1"/>
  <c r="B5088" i="50"/>
  <c r="D5088" i="50" s="1"/>
  <c r="E5064" i="50"/>
  <c r="B5087" i="50"/>
  <c r="D5087" i="50" s="1"/>
  <c r="E5063" i="50"/>
  <c r="E5090" i="50"/>
  <c r="U5090" i="50" s="1"/>
  <c r="B5114" i="50"/>
  <c r="D5114" i="50" s="1"/>
  <c r="B5062" i="50"/>
  <c r="D5062" i="50" s="1"/>
  <c r="E5038" i="50"/>
  <c r="B5056" i="50"/>
  <c r="D5056" i="50" s="1"/>
  <c r="E5032" i="50"/>
  <c r="E5021" i="50"/>
  <c r="B5045" i="50"/>
  <c r="D5045" i="50" s="1"/>
  <c r="V5028" i="50" l="1"/>
  <c r="U5053" i="50"/>
  <c r="G5053" i="50"/>
  <c r="F5053" i="50"/>
  <c r="V5053" i="50"/>
  <c r="G5064" i="50"/>
  <c r="F5064" i="50"/>
  <c r="U5064" i="50"/>
  <c r="U5089" i="50"/>
  <c r="F5089" i="50"/>
  <c r="G5089" i="50"/>
  <c r="G5028" i="50"/>
  <c r="F5028" i="50"/>
  <c r="U5028" i="50"/>
  <c r="G5044" i="50"/>
  <c r="F5044" i="50"/>
  <c r="U5044" i="50"/>
  <c r="D5052" i="50"/>
  <c r="B5076" i="50"/>
  <c r="E5052" i="50"/>
  <c r="V5090" i="50"/>
  <c r="F5090" i="50"/>
  <c r="G5090" i="50"/>
  <c r="U5063" i="50"/>
  <c r="F5063" i="50"/>
  <c r="G5063" i="50"/>
  <c r="U5033" i="50"/>
  <c r="F5033" i="50"/>
  <c r="V5033" i="50"/>
  <c r="U5021" i="50"/>
  <c r="G5021" i="50"/>
  <c r="F5021" i="50"/>
  <c r="V5074" i="50"/>
  <c r="G5074" i="50"/>
  <c r="F5074" i="50"/>
  <c r="U5037" i="50"/>
  <c r="G5037" i="50"/>
  <c r="F5037" i="50"/>
  <c r="G5032" i="50"/>
  <c r="U5032" i="50"/>
  <c r="F5032" i="50"/>
  <c r="V5032" i="50"/>
  <c r="V5037" i="50"/>
  <c r="F5051" i="50"/>
  <c r="V5051" i="50"/>
  <c r="U5051" i="50"/>
  <c r="G5051" i="50"/>
  <c r="V5035" i="50"/>
  <c r="U5035" i="50"/>
  <c r="G5035" i="50"/>
  <c r="F5035" i="50"/>
  <c r="V5063" i="50"/>
  <c r="F5046" i="50"/>
  <c r="V5046" i="50"/>
  <c r="U5046" i="50"/>
  <c r="G5046" i="50"/>
  <c r="V5073" i="50"/>
  <c r="U5073" i="50"/>
  <c r="F5073" i="50"/>
  <c r="V5036" i="50"/>
  <c r="U5036" i="50"/>
  <c r="G5036" i="50"/>
  <c r="F5036" i="50"/>
  <c r="V5082" i="50"/>
  <c r="G5082" i="50"/>
  <c r="F5082" i="50"/>
  <c r="V5021" i="50"/>
  <c r="V5089" i="50"/>
  <c r="U5023" i="50"/>
  <c r="F5023" i="50"/>
  <c r="G5023" i="50"/>
  <c r="D5047" i="50"/>
  <c r="E5047" i="50"/>
  <c r="B5071" i="50"/>
  <c r="V5044" i="50"/>
  <c r="V5064" i="50"/>
  <c r="V5023" i="50"/>
  <c r="F5030" i="50"/>
  <c r="V5030" i="50"/>
  <c r="U5030" i="50"/>
  <c r="G5030" i="50"/>
  <c r="U5067" i="50"/>
  <c r="G5067" i="50"/>
  <c r="F5067" i="50"/>
  <c r="V5067" i="50"/>
  <c r="G5048" i="50"/>
  <c r="U5048" i="50"/>
  <c r="F5048" i="50"/>
  <c r="V5038" i="50"/>
  <c r="U5038" i="50"/>
  <c r="G5038" i="50"/>
  <c r="F5038" i="50"/>
  <c r="U5055" i="50"/>
  <c r="G5055" i="50"/>
  <c r="F5055" i="50"/>
  <c r="B5111" i="50"/>
  <c r="D5111" i="50" s="1"/>
  <c r="E5087" i="50"/>
  <c r="B5103" i="50"/>
  <c r="D5103" i="50" s="1"/>
  <c r="E5079" i="50"/>
  <c r="B5092" i="50"/>
  <c r="D5092" i="50" s="1"/>
  <c r="E5068" i="50"/>
  <c r="B5122" i="50"/>
  <c r="D5122" i="50" s="1"/>
  <c r="E5098" i="50"/>
  <c r="B5099" i="50"/>
  <c r="D5099" i="50" s="1"/>
  <c r="E5075" i="50"/>
  <c r="B5115" i="50"/>
  <c r="D5115" i="50" s="1"/>
  <c r="E5091" i="50"/>
  <c r="E5097" i="50"/>
  <c r="B5121" i="50"/>
  <c r="D5121" i="50" s="1"/>
  <c r="E5113" i="50"/>
  <c r="B5137" i="50"/>
  <c r="D5137" i="50" s="1"/>
  <c r="B5083" i="50"/>
  <c r="D5083" i="50" s="1"/>
  <c r="E5059" i="50"/>
  <c r="B5069" i="50"/>
  <c r="D5069" i="50" s="1"/>
  <c r="E5045" i="50"/>
  <c r="U5045" i="50" s="1"/>
  <c r="B5112" i="50"/>
  <c r="D5112" i="50" s="1"/>
  <c r="E5088" i="50"/>
  <c r="V5088" i="50" s="1"/>
  <c r="E5060" i="50"/>
  <c r="B5084" i="50"/>
  <c r="D5084" i="50" s="1"/>
  <c r="B5101" i="50"/>
  <c r="D5101" i="50" s="1"/>
  <c r="E5077" i="50"/>
  <c r="U5077" i="50" s="1"/>
  <c r="B5080" i="50"/>
  <c r="D5080" i="50" s="1"/>
  <c r="E5056" i="50"/>
  <c r="V5056" i="50" s="1"/>
  <c r="B5094" i="50"/>
  <c r="D5094" i="50" s="1"/>
  <c r="E5070" i="50"/>
  <c r="B5078" i="50"/>
  <c r="D5078" i="50" s="1"/>
  <c r="E5054" i="50"/>
  <c r="B5085" i="50"/>
  <c r="D5085" i="50" s="1"/>
  <c r="E5061" i="50"/>
  <c r="U5061" i="50" s="1"/>
  <c r="E5062" i="50"/>
  <c r="B5086" i="50"/>
  <c r="D5086" i="50" s="1"/>
  <c r="E5106" i="50"/>
  <c r="B5130" i="50"/>
  <c r="D5130" i="50" s="1"/>
  <c r="B5081" i="50"/>
  <c r="D5081" i="50" s="1"/>
  <c r="E5057" i="50"/>
  <c r="G5057" i="50" s="1"/>
  <c r="B5096" i="50"/>
  <c r="D5096" i="50" s="1"/>
  <c r="E5072" i="50"/>
  <c r="B5138" i="50"/>
  <c r="D5138" i="50" s="1"/>
  <c r="E5114" i="50"/>
  <c r="U5114" i="50" s="1"/>
  <c r="U5097" i="50" l="1"/>
  <c r="G5097" i="50"/>
  <c r="F5097" i="50"/>
  <c r="U5075" i="50"/>
  <c r="F5075" i="50"/>
  <c r="G5075" i="50"/>
  <c r="V5114" i="50"/>
  <c r="G5114" i="50"/>
  <c r="F5114" i="50"/>
  <c r="V5098" i="50"/>
  <c r="G5098" i="50"/>
  <c r="F5098" i="50"/>
  <c r="U5098" i="50"/>
  <c r="U5091" i="50"/>
  <c r="F5091" i="50"/>
  <c r="G5091" i="50"/>
  <c r="G5060" i="50"/>
  <c r="U5060" i="50"/>
  <c r="F5060" i="50"/>
  <c r="V5091" i="50"/>
  <c r="G5088" i="50"/>
  <c r="U5088" i="50"/>
  <c r="F5088" i="50"/>
  <c r="V5068" i="50"/>
  <c r="U5068" i="50"/>
  <c r="G5068" i="50"/>
  <c r="F5068" i="50"/>
  <c r="V5060" i="50"/>
  <c r="V5097" i="50"/>
  <c r="V5052" i="50"/>
  <c r="U5052" i="50"/>
  <c r="G5052" i="50"/>
  <c r="F5052" i="50"/>
  <c r="V5077" i="50"/>
  <c r="G5077" i="50"/>
  <c r="F5077" i="50"/>
  <c r="V5045" i="50"/>
  <c r="G5045" i="50"/>
  <c r="F5045" i="50"/>
  <c r="U5079" i="50"/>
  <c r="F5079" i="50"/>
  <c r="G5079" i="50"/>
  <c r="V5079" i="50"/>
  <c r="D5076" i="50"/>
  <c r="E5076" i="50"/>
  <c r="B5100" i="50"/>
  <c r="G5072" i="50"/>
  <c r="U5072" i="50"/>
  <c r="F5072" i="50"/>
  <c r="V5106" i="50"/>
  <c r="F5106" i="50"/>
  <c r="G5106" i="50"/>
  <c r="V5072" i="50"/>
  <c r="V5057" i="50"/>
  <c r="U5057" i="50"/>
  <c r="F5057" i="50"/>
  <c r="F5062" i="50"/>
  <c r="V5062" i="50"/>
  <c r="U5062" i="50"/>
  <c r="G5062" i="50"/>
  <c r="V5059" i="50"/>
  <c r="U5059" i="50"/>
  <c r="F5059" i="50"/>
  <c r="U5087" i="50"/>
  <c r="G5087" i="50"/>
  <c r="F5087" i="50"/>
  <c r="D5071" i="50"/>
  <c r="E5071" i="50"/>
  <c r="B5095" i="50"/>
  <c r="V5087" i="50"/>
  <c r="U5047" i="50"/>
  <c r="F5047" i="50"/>
  <c r="G5047" i="50"/>
  <c r="V5054" i="50"/>
  <c r="U5054" i="50"/>
  <c r="G5054" i="50"/>
  <c r="F5054" i="50"/>
  <c r="V5070" i="50"/>
  <c r="U5070" i="50"/>
  <c r="G5070" i="50"/>
  <c r="F5070" i="50"/>
  <c r="V5047" i="50"/>
  <c r="G5059" i="50"/>
  <c r="G5056" i="50"/>
  <c r="U5056" i="50"/>
  <c r="F5056" i="50"/>
  <c r="G5061" i="50"/>
  <c r="F5061" i="50"/>
  <c r="V5061" i="50"/>
  <c r="G5113" i="50"/>
  <c r="F5113" i="50"/>
  <c r="U5113" i="50"/>
  <c r="U5106" i="50"/>
  <c r="V5075" i="50"/>
  <c r="V5113" i="50"/>
  <c r="B5120" i="50"/>
  <c r="D5120" i="50" s="1"/>
  <c r="E5096" i="50"/>
  <c r="B5108" i="50"/>
  <c r="D5108" i="50" s="1"/>
  <c r="E5084" i="50"/>
  <c r="E5092" i="50"/>
  <c r="B5116" i="50"/>
  <c r="D5116" i="50" s="1"/>
  <c r="E5094" i="50"/>
  <c r="B5118" i="50"/>
  <c r="D5118" i="50" s="1"/>
  <c r="E5081" i="50"/>
  <c r="B5105" i="50"/>
  <c r="D5105" i="50" s="1"/>
  <c r="E5083" i="50"/>
  <c r="B5107" i="50"/>
  <c r="D5107" i="50" s="1"/>
  <c r="B5104" i="50"/>
  <c r="D5104" i="50" s="1"/>
  <c r="E5080" i="50"/>
  <c r="B5136" i="50"/>
  <c r="D5136" i="50" s="1"/>
  <c r="E5112" i="50"/>
  <c r="B5154" i="50"/>
  <c r="D5154" i="50" s="1"/>
  <c r="E5130" i="50"/>
  <c r="E5085" i="50"/>
  <c r="V5085" i="50" s="1"/>
  <c r="B5109" i="50"/>
  <c r="D5109" i="50" s="1"/>
  <c r="E5115" i="50"/>
  <c r="B5139" i="50"/>
  <c r="D5139" i="50" s="1"/>
  <c r="B5127" i="50"/>
  <c r="D5127" i="50" s="1"/>
  <c r="E5103" i="50"/>
  <c r="V5103" i="50" s="1"/>
  <c r="B5135" i="50"/>
  <c r="D5135" i="50" s="1"/>
  <c r="E5111" i="50"/>
  <c r="E5078" i="50"/>
  <c r="B5102" i="50"/>
  <c r="D5102" i="50" s="1"/>
  <c r="E5138" i="50"/>
  <c r="B5162" i="50"/>
  <c r="D5162" i="50" s="1"/>
  <c r="B5110" i="50"/>
  <c r="D5110" i="50" s="1"/>
  <c r="E5086" i="50"/>
  <c r="E5099" i="50"/>
  <c r="B5123" i="50"/>
  <c r="D5123" i="50" s="1"/>
  <c r="E5101" i="50"/>
  <c r="V5101" i="50" s="1"/>
  <c r="B5125" i="50"/>
  <c r="D5125" i="50" s="1"/>
  <c r="E5069" i="50"/>
  <c r="V5069" i="50" s="1"/>
  <c r="B5093" i="50"/>
  <c r="D5093" i="50" s="1"/>
  <c r="B5161" i="50"/>
  <c r="D5161" i="50" s="1"/>
  <c r="E5137" i="50"/>
  <c r="B5145" i="50"/>
  <c r="D5145" i="50" s="1"/>
  <c r="E5121" i="50"/>
  <c r="V5121" i="50" s="1"/>
  <c r="B5146" i="50"/>
  <c r="D5146" i="50" s="1"/>
  <c r="E5122" i="50"/>
  <c r="U5122" i="50" s="1"/>
  <c r="V5086" i="50" l="1"/>
  <c r="U5086" i="50"/>
  <c r="G5086" i="50"/>
  <c r="F5086" i="50"/>
  <c r="G5112" i="50"/>
  <c r="F5112" i="50"/>
  <c r="U5112" i="50"/>
  <c r="D5095" i="50"/>
  <c r="B5119" i="50"/>
  <c r="E5095" i="50"/>
  <c r="G5096" i="50"/>
  <c r="F5096" i="50"/>
  <c r="U5096" i="50"/>
  <c r="V5099" i="50"/>
  <c r="U5099" i="50"/>
  <c r="G5099" i="50"/>
  <c r="F5099" i="50"/>
  <c r="G5080" i="50"/>
  <c r="U5080" i="50"/>
  <c r="F5080" i="50"/>
  <c r="U5071" i="50"/>
  <c r="G5071" i="50"/>
  <c r="F5071" i="50"/>
  <c r="U5138" i="50"/>
  <c r="F5138" i="50"/>
  <c r="V5138" i="50"/>
  <c r="G5138" i="50"/>
  <c r="V5071" i="50"/>
  <c r="V5130" i="50"/>
  <c r="G5130" i="50"/>
  <c r="F5130" i="50"/>
  <c r="V5083" i="50"/>
  <c r="U5083" i="50"/>
  <c r="G5083" i="50"/>
  <c r="F5083" i="50"/>
  <c r="F5078" i="50"/>
  <c r="V5078" i="50"/>
  <c r="U5078" i="50"/>
  <c r="G5078" i="50"/>
  <c r="U5081" i="50"/>
  <c r="F5081" i="50"/>
  <c r="V5081" i="50"/>
  <c r="G5081" i="50"/>
  <c r="U5103" i="50"/>
  <c r="G5103" i="50"/>
  <c r="F5103" i="50"/>
  <c r="F5094" i="50"/>
  <c r="V5094" i="50"/>
  <c r="U5094" i="50"/>
  <c r="G5094" i="50"/>
  <c r="U5130" i="50"/>
  <c r="V5137" i="50"/>
  <c r="U5137" i="50"/>
  <c r="G5137" i="50"/>
  <c r="F5137" i="50"/>
  <c r="D5100" i="50"/>
  <c r="B5124" i="50"/>
  <c r="E5100" i="50"/>
  <c r="V5122" i="50"/>
  <c r="G5122" i="50"/>
  <c r="F5122" i="50"/>
  <c r="V5115" i="50"/>
  <c r="U5115" i="50"/>
  <c r="G5115" i="50"/>
  <c r="F5115" i="50"/>
  <c r="G5092" i="50"/>
  <c r="F5092" i="50"/>
  <c r="U5092" i="50"/>
  <c r="V5096" i="50"/>
  <c r="G5076" i="50"/>
  <c r="F5076" i="50"/>
  <c r="U5076" i="50"/>
  <c r="U5111" i="50"/>
  <c r="F5111" i="50"/>
  <c r="G5111" i="50"/>
  <c r="U5069" i="50"/>
  <c r="G5069" i="50"/>
  <c r="F5069" i="50"/>
  <c r="F5084" i="50"/>
  <c r="V5084" i="50"/>
  <c r="U5084" i="50"/>
  <c r="G5084" i="50"/>
  <c r="V5080" i="50"/>
  <c r="V5076" i="50"/>
  <c r="V5092" i="50"/>
  <c r="U5121" i="50"/>
  <c r="F5121" i="50"/>
  <c r="G5121" i="50"/>
  <c r="U5101" i="50"/>
  <c r="G5101" i="50"/>
  <c r="F5101" i="50"/>
  <c r="U5085" i="50"/>
  <c r="G5085" i="50"/>
  <c r="F5085" i="50"/>
  <c r="V5111" i="50"/>
  <c r="V5112" i="50"/>
  <c r="B5186" i="50"/>
  <c r="D5186" i="50" s="1"/>
  <c r="E5162" i="50"/>
  <c r="U5162" i="50" s="1"/>
  <c r="B5142" i="50"/>
  <c r="D5142" i="50" s="1"/>
  <c r="E5118" i="50"/>
  <c r="B5147" i="50"/>
  <c r="D5147" i="50" s="1"/>
  <c r="E5123" i="50"/>
  <c r="V5123" i="50" s="1"/>
  <c r="B5126" i="50"/>
  <c r="D5126" i="50" s="1"/>
  <c r="E5102" i="50"/>
  <c r="B5131" i="50"/>
  <c r="D5131" i="50" s="1"/>
  <c r="E5107" i="50"/>
  <c r="B5178" i="50"/>
  <c r="D5178" i="50" s="1"/>
  <c r="E5154" i="50"/>
  <c r="B5140" i="50"/>
  <c r="D5140" i="50" s="1"/>
  <c r="E5116" i="50"/>
  <c r="B5129" i="50"/>
  <c r="D5129" i="50" s="1"/>
  <c r="E5105" i="50"/>
  <c r="B5160" i="50"/>
  <c r="D5160" i="50" s="1"/>
  <c r="E5136" i="50"/>
  <c r="B5169" i="50"/>
  <c r="D5169" i="50" s="1"/>
  <c r="E5145" i="50"/>
  <c r="F5145" i="50" s="1"/>
  <c r="B5159" i="50"/>
  <c r="D5159" i="50" s="1"/>
  <c r="E5135" i="50"/>
  <c r="E5108" i="50"/>
  <c r="V5108" i="50" s="1"/>
  <c r="B5132" i="50"/>
  <c r="D5132" i="50" s="1"/>
  <c r="E5127" i="50"/>
  <c r="B5151" i="50"/>
  <c r="D5151" i="50" s="1"/>
  <c r="B5128" i="50"/>
  <c r="D5128" i="50" s="1"/>
  <c r="E5104" i="50"/>
  <c r="V5104" i="50" s="1"/>
  <c r="B5117" i="50"/>
  <c r="D5117" i="50" s="1"/>
  <c r="E5093" i="50"/>
  <c r="U5093" i="50" s="1"/>
  <c r="B5163" i="50"/>
  <c r="D5163" i="50" s="1"/>
  <c r="E5139" i="50"/>
  <c r="B5144" i="50"/>
  <c r="D5144" i="50" s="1"/>
  <c r="E5120" i="50"/>
  <c r="V5120" i="50" s="1"/>
  <c r="B5185" i="50"/>
  <c r="D5185" i="50" s="1"/>
  <c r="E5161" i="50"/>
  <c r="F5161" i="50" s="1"/>
  <c r="B5170" i="50"/>
  <c r="D5170" i="50" s="1"/>
  <c r="E5146" i="50"/>
  <c r="B5149" i="50"/>
  <c r="D5149" i="50" s="1"/>
  <c r="E5125" i="50"/>
  <c r="U5125" i="50" s="1"/>
  <c r="E5110" i="50"/>
  <c r="B5134" i="50"/>
  <c r="D5134" i="50" s="1"/>
  <c r="B5133" i="50"/>
  <c r="D5133" i="50" s="1"/>
  <c r="E5109" i="50"/>
  <c r="U5109" i="50" s="1"/>
  <c r="V5116" i="50" l="1"/>
  <c r="U5116" i="50"/>
  <c r="G5116" i="50"/>
  <c r="F5116" i="50"/>
  <c r="U5105" i="50"/>
  <c r="F5105" i="50"/>
  <c r="G5105" i="50"/>
  <c r="G5110" i="50"/>
  <c r="U5110" i="50"/>
  <c r="V5110" i="50"/>
  <c r="F5110" i="50"/>
  <c r="G5104" i="50"/>
  <c r="U5104" i="50"/>
  <c r="F5104" i="50"/>
  <c r="G5154" i="50"/>
  <c r="V5154" i="50"/>
  <c r="U5154" i="50"/>
  <c r="F5154" i="50"/>
  <c r="F5107" i="50"/>
  <c r="U5107" i="50"/>
  <c r="G5107" i="50"/>
  <c r="D5119" i="50"/>
  <c r="B5143" i="50"/>
  <c r="E5119" i="50"/>
  <c r="V5139" i="50"/>
  <c r="G5139" i="50"/>
  <c r="F5139" i="50"/>
  <c r="U5127" i="50"/>
  <c r="F5127" i="50"/>
  <c r="G5127" i="50"/>
  <c r="V5095" i="50"/>
  <c r="V5102" i="50"/>
  <c r="U5102" i="50"/>
  <c r="G5102" i="50"/>
  <c r="F5102" i="50"/>
  <c r="V5125" i="50"/>
  <c r="G5125" i="50"/>
  <c r="F5125" i="50"/>
  <c r="G5108" i="50"/>
  <c r="F5108" i="50"/>
  <c r="U5108" i="50"/>
  <c r="V5127" i="50"/>
  <c r="V5105" i="50"/>
  <c r="V5093" i="50"/>
  <c r="G5093" i="50"/>
  <c r="F5093" i="50"/>
  <c r="G5146" i="50"/>
  <c r="F5146" i="50"/>
  <c r="V5146" i="50"/>
  <c r="V5135" i="50"/>
  <c r="F5135" i="50"/>
  <c r="U5135" i="50"/>
  <c r="G5135" i="50"/>
  <c r="U5123" i="50"/>
  <c r="F5123" i="50"/>
  <c r="G5123" i="50"/>
  <c r="U5146" i="50"/>
  <c r="V5100" i="50"/>
  <c r="U5100" i="50"/>
  <c r="G5100" i="50"/>
  <c r="F5100" i="50"/>
  <c r="U5095" i="50"/>
  <c r="F5095" i="50"/>
  <c r="G5095" i="50"/>
  <c r="V5161" i="50"/>
  <c r="U5161" i="50"/>
  <c r="G5161" i="50"/>
  <c r="V5145" i="50"/>
  <c r="U5145" i="50"/>
  <c r="G5145" i="50"/>
  <c r="V5118" i="50"/>
  <c r="U5118" i="50"/>
  <c r="G5118" i="50"/>
  <c r="F5118" i="50"/>
  <c r="D5124" i="50"/>
  <c r="E5124" i="50"/>
  <c r="B5148" i="50"/>
  <c r="V5109" i="50"/>
  <c r="G5109" i="50"/>
  <c r="F5109" i="50"/>
  <c r="G5120" i="50"/>
  <c r="F5120" i="50"/>
  <c r="U5120" i="50"/>
  <c r="V5136" i="50"/>
  <c r="U5136" i="50"/>
  <c r="G5136" i="50"/>
  <c r="F5136" i="50"/>
  <c r="V5162" i="50"/>
  <c r="G5162" i="50"/>
  <c r="F5162" i="50"/>
  <c r="U5139" i="50"/>
  <c r="V5107" i="50"/>
  <c r="B5209" i="50"/>
  <c r="D5209" i="50" s="1"/>
  <c r="E5185" i="50"/>
  <c r="B5183" i="50"/>
  <c r="D5183" i="50" s="1"/>
  <c r="E5159" i="50"/>
  <c r="B5171" i="50"/>
  <c r="D5171" i="50" s="1"/>
  <c r="E5147" i="50"/>
  <c r="B5168" i="50"/>
  <c r="D5168" i="50" s="1"/>
  <c r="E5144" i="50"/>
  <c r="G5144" i="50" s="1"/>
  <c r="B5155" i="50"/>
  <c r="D5155" i="50" s="1"/>
  <c r="E5131" i="50"/>
  <c r="B5152" i="50"/>
  <c r="D5152" i="50" s="1"/>
  <c r="E5128" i="50"/>
  <c r="V5128" i="50" s="1"/>
  <c r="B5193" i="50"/>
  <c r="D5193" i="50" s="1"/>
  <c r="E5169" i="50"/>
  <c r="B5166" i="50"/>
  <c r="D5166" i="50" s="1"/>
  <c r="E5142" i="50"/>
  <c r="E5151" i="50"/>
  <c r="B5175" i="50"/>
  <c r="D5175" i="50" s="1"/>
  <c r="B5164" i="50"/>
  <c r="D5164" i="50" s="1"/>
  <c r="E5140" i="50"/>
  <c r="F5140" i="50" s="1"/>
  <c r="E5163" i="50"/>
  <c r="B5187" i="50"/>
  <c r="D5187" i="50" s="1"/>
  <c r="B5153" i="50"/>
  <c r="D5153" i="50" s="1"/>
  <c r="E5129" i="50"/>
  <c r="B5184" i="50"/>
  <c r="D5184" i="50" s="1"/>
  <c r="E5160" i="50"/>
  <c r="V5160" i="50" s="1"/>
  <c r="B5202" i="50"/>
  <c r="D5202" i="50" s="1"/>
  <c r="E5178" i="50"/>
  <c r="U5178" i="50" s="1"/>
  <c r="E5117" i="50"/>
  <c r="V5117" i="50" s="1"/>
  <c r="B5141" i="50"/>
  <c r="D5141" i="50" s="1"/>
  <c r="B5173" i="50"/>
  <c r="D5173" i="50" s="1"/>
  <c r="E5149" i="50"/>
  <c r="V5149" i="50" s="1"/>
  <c r="B5157" i="50"/>
  <c r="D5157" i="50" s="1"/>
  <c r="E5133" i="50"/>
  <c r="V5133" i="50" s="1"/>
  <c r="E5126" i="50"/>
  <c r="B5150" i="50"/>
  <c r="D5150" i="50" s="1"/>
  <c r="B5158" i="50"/>
  <c r="D5158" i="50" s="1"/>
  <c r="E5134" i="50"/>
  <c r="B5156" i="50"/>
  <c r="D5156" i="50" s="1"/>
  <c r="E5132" i="50"/>
  <c r="F5132" i="50" s="1"/>
  <c r="E5170" i="50"/>
  <c r="B5194" i="50"/>
  <c r="D5194" i="50" s="1"/>
  <c r="E5186" i="50"/>
  <c r="B5210" i="50"/>
  <c r="D5210" i="50" s="1"/>
  <c r="U5163" i="50" l="1"/>
  <c r="V5163" i="50"/>
  <c r="F5163" i="50"/>
  <c r="D5143" i="50"/>
  <c r="B5167" i="50"/>
  <c r="E5143" i="50"/>
  <c r="V5159" i="50"/>
  <c r="U5159" i="50"/>
  <c r="F5159" i="50"/>
  <c r="V5119" i="50"/>
  <c r="F5151" i="50"/>
  <c r="V5151" i="50"/>
  <c r="U5151" i="50"/>
  <c r="G5151" i="50"/>
  <c r="U5126" i="50"/>
  <c r="G5126" i="50"/>
  <c r="F5126" i="50"/>
  <c r="V5126" i="50"/>
  <c r="V5185" i="50"/>
  <c r="U5185" i="50"/>
  <c r="G5185" i="50"/>
  <c r="F5185" i="50"/>
  <c r="V5169" i="50"/>
  <c r="U5169" i="50"/>
  <c r="G5169" i="50"/>
  <c r="F5169" i="50"/>
  <c r="G5159" i="50"/>
  <c r="G5133" i="50"/>
  <c r="F5133" i="50"/>
  <c r="U5133" i="50"/>
  <c r="F5186" i="50"/>
  <c r="G5186" i="50"/>
  <c r="U5186" i="50"/>
  <c r="V5186" i="50"/>
  <c r="G5117" i="50"/>
  <c r="F5117" i="50"/>
  <c r="U5117" i="50"/>
  <c r="D5148" i="50"/>
  <c r="E5148" i="50"/>
  <c r="B5172" i="50"/>
  <c r="G5163" i="50"/>
  <c r="U5119" i="50"/>
  <c r="F5119" i="50"/>
  <c r="G5119" i="50"/>
  <c r="G5178" i="50"/>
  <c r="V5178" i="50"/>
  <c r="F5178" i="50"/>
  <c r="G5128" i="50"/>
  <c r="F5128" i="50"/>
  <c r="U5128" i="50"/>
  <c r="G5124" i="50"/>
  <c r="F5124" i="50"/>
  <c r="U5124" i="50"/>
  <c r="V5124" i="50"/>
  <c r="V5142" i="50"/>
  <c r="U5142" i="50"/>
  <c r="G5142" i="50"/>
  <c r="F5142" i="50"/>
  <c r="U5160" i="50"/>
  <c r="F5160" i="50"/>
  <c r="G5160" i="50"/>
  <c r="F5170" i="50"/>
  <c r="G5170" i="50"/>
  <c r="V5170" i="50"/>
  <c r="U5170" i="50"/>
  <c r="G5134" i="50"/>
  <c r="F5134" i="50"/>
  <c r="U5134" i="50"/>
  <c r="U5129" i="50"/>
  <c r="G5129" i="50"/>
  <c r="F5129" i="50"/>
  <c r="V5131" i="50"/>
  <c r="U5131" i="50"/>
  <c r="F5131" i="50"/>
  <c r="G5131" i="50"/>
  <c r="V5134" i="50"/>
  <c r="V5147" i="50"/>
  <c r="U5147" i="50"/>
  <c r="G5147" i="50"/>
  <c r="F5147" i="50"/>
  <c r="V5140" i="50"/>
  <c r="G5140" i="50"/>
  <c r="U5140" i="50"/>
  <c r="G5149" i="50"/>
  <c r="F5149" i="50"/>
  <c r="U5149" i="50"/>
  <c r="V5132" i="50"/>
  <c r="U5132" i="50"/>
  <c r="G5132" i="50"/>
  <c r="V5144" i="50"/>
  <c r="U5144" i="50"/>
  <c r="F5144" i="50"/>
  <c r="V5129" i="50"/>
  <c r="B5218" i="50"/>
  <c r="D5218" i="50" s="1"/>
  <c r="E5194" i="50"/>
  <c r="B5197" i="50"/>
  <c r="D5197" i="50" s="1"/>
  <c r="E5173" i="50"/>
  <c r="B5179" i="50"/>
  <c r="D5179" i="50" s="1"/>
  <c r="E5155" i="50"/>
  <c r="B5188" i="50"/>
  <c r="D5188" i="50" s="1"/>
  <c r="E5164" i="50"/>
  <c r="B5217" i="50"/>
  <c r="D5217" i="50" s="1"/>
  <c r="E5193" i="50"/>
  <c r="F5193" i="50" s="1"/>
  <c r="E5158" i="50"/>
  <c r="B5182" i="50"/>
  <c r="D5182" i="50" s="1"/>
  <c r="B5177" i="50"/>
  <c r="D5177" i="50" s="1"/>
  <c r="E5153" i="50"/>
  <c r="B5199" i="50"/>
  <c r="D5199" i="50" s="1"/>
  <c r="E5175" i="50"/>
  <c r="B5165" i="50"/>
  <c r="D5165" i="50" s="1"/>
  <c r="E5141" i="50"/>
  <c r="B5234" i="50"/>
  <c r="D5234" i="50" s="1"/>
  <c r="E5210" i="50"/>
  <c r="V5210" i="50" s="1"/>
  <c r="B5174" i="50"/>
  <c r="D5174" i="50" s="1"/>
  <c r="E5150" i="50"/>
  <c r="B5176" i="50"/>
  <c r="D5176" i="50" s="1"/>
  <c r="E5152" i="50"/>
  <c r="V5152" i="50" s="1"/>
  <c r="B5195" i="50"/>
  <c r="D5195" i="50" s="1"/>
  <c r="E5171" i="50"/>
  <c r="E5156" i="50"/>
  <c r="F5156" i="50" s="1"/>
  <c r="B5180" i="50"/>
  <c r="D5180" i="50" s="1"/>
  <c r="B5211" i="50"/>
  <c r="D5211" i="50" s="1"/>
  <c r="E5187" i="50"/>
  <c r="F5187" i="50" s="1"/>
  <c r="E5183" i="50"/>
  <c r="B5207" i="50"/>
  <c r="D5207" i="50" s="1"/>
  <c r="B5181" i="50"/>
  <c r="D5181" i="50" s="1"/>
  <c r="E5157" i="50"/>
  <c r="V5157" i="50" s="1"/>
  <c r="B5192" i="50"/>
  <c r="D5192" i="50" s="1"/>
  <c r="E5168" i="50"/>
  <c r="E5202" i="50"/>
  <c r="B5226" i="50"/>
  <c r="D5226" i="50" s="1"/>
  <c r="B5208" i="50"/>
  <c r="D5208" i="50" s="1"/>
  <c r="E5184" i="50"/>
  <c r="B5190" i="50"/>
  <c r="D5190" i="50" s="1"/>
  <c r="E5166" i="50"/>
  <c r="U5166" i="50" s="1"/>
  <c r="B5233" i="50"/>
  <c r="D5233" i="50" s="1"/>
  <c r="E5209" i="50"/>
  <c r="F5209" i="50" s="1"/>
  <c r="U5173" i="50" l="1"/>
  <c r="G5173" i="50"/>
  <c r="F5173" i="50"/>
  <c r="V5148" i="50"/>
  <c r="U5148" i="50"/>
  <c r="G5148" i="50"/>
  <c r="F5148" i="50"/>
  <c r="G5150" i="50"/>
  <c r="F5150" i="50"/>
  <c r="U5150" i="50"/>
  <c r="G5141" i="50"/>
  <c r="U5141" i="50"/>
  <c r="F5141" i="50"/>
  <c r="U5194" i="50"/>
  <c r="G5194" i="50"/>
  <c r="F5194" i="50"/>
  <c r="V5194" i="50"/>
  <c r="V5141" i="50"/>
  <c r="D5172" i="50"/>
  <c r="E5172" i="50"/>
  <c r="B5196" i="50"/>
  <c r="V5175" i="50"/>
  <c r="F5175" i="50"/>
  <c r="U5175" i="50"/>
  <c r="V5173" i="50"/>
  <c r="U5156" i="50"/>
  <c r="V5156" i="50"/>
  <c r="G5156" i="50"/>
  <c r="G5166" i="50"/>
  <c r="V5166" i="50"/>
  <c r="F5166" i="50"/>
  <c r="V5153" i="50"/>
  <c r="U5153" i="50"/>
  <c r="G5153" i="50"/>
  <c r="F5153" i="50"/>
  <c r="G5175" i="50"/>
  <c r="V5143" i="50"/>
  <c r="F5143" i="50"/>
  <c r="U5143" i="50"/>
  <c r="V5155" i="50"/>
  <c r="U5155" i="50"/>
  <c r="G5155" i="50"/>
  <c r="F5155" i="50"/>
  <c r="G5210" i="50"/>
  <c r="F5210" i="50"/>
  <c r="U5210" i="50"/>
  <c r="V5184" i="50"/>
  <c r="U5184" i="50"/>
  <c r="G5184" i="50"/>
  <c r="F5184" i="50"/>
  <c r="D5167" i="50"/>
  <c r="E5167" i="50"/>
  <c r="B5191" i="50"/>
  <c r="V5183" i="50"/>
  <c r="U5183" i="50"/>
  <c r="G5183" i="50"/>
  <c r="F5183" i="50"/>
  <c r="V5158" i="50"/>
  <c r="U5158" i="50"/>
  <c r="G5158" i="50"/>
  <c r="F5158" i="50"/>
  <c r="V5150" i="50"/>
  <c r="G5143" i="50"/>
  <c r="V5171" i="50"/>
  <c r="G5171" i="50"/>
  <c r="U5171" i="50"/>
  <c r="V5193" i="50"/>
  <c r="U5193" i="50"/>
  <c r="G5193" i="50"/>
  <c r="F5171" i="50"/>
  <c r="G5157" i="50"/>
  <c r="U5157" i="50"/>
  <c r="F5157" i="50"/>
  <c r="V5209" i="50"/>
  <c r="U5209" i="50"/>
  <c r="G5209" i="50"/>
  <c r="F5202" i="50"/>
  <c r="U5202" i="50"/>
  <c r="G5202" i="50"/>
  <c r="V5202" i="50"/>
  <c r="V5168" i="50"/>
  <c r="U5168" i="50"/>
  <c r="G5168" i="50"/>
  <c r="F5168" i="50"/>
  <c r="G5152" i="50"/>
  <c r="F5152" i="50"/>
  <c r="U5152" i="50"/>
  <c r="V5164" i="50"/>
  <c r="G5164" i="50"/>
  <c r="F5164" i="50"/>
  <c r="U5164" i="50"/>
  <c r="U5187" i="50"/>
  <c r="V5187" i="50"/>
  <c r="G5187" i="50"/>
  <c r="B5232" i="50"/>
  <c r="D5232" i="50" s="1"/>
  <c r="E5208" i="50"/>
  <c r="E5199" i="50"/>
  <c r="B5223" i="50"/>
  <c r="D5223" i="50" s="1"/>
  <c r="E5211" i="50"/>
  <c r="B5235" i="50"/>
  <c r="D5235" i="50" s="1"/>
  <c r="E5195" i="50"/>
  <c r="B5219" i="50"/>
  <c r="D5219" i="50" s="1"/>
  <c r="B5204" i="50"/>
  <c r="D5204" i="50" s="1"/>
  <c r="E5180" i="50"/>
  <c r="E5197" i="50"/>
  <c r="U5197" i="50" s="1"/>
  <c r="B5221" i="50"/>
  <c r="D5221" i="50" s="1"/>
  <c r="B5250" i="50"/>
  <c r="D5250" i="50" s="1"/>
  <c r="E5226" i="50"/>
  <c r="E5181" i="50"/>
  <c r="V5181" i="50" s="1"/>
  <c r="B5205" i="50"/>
  <c r="D5205" i="50" s="1"/>
  <c r="B5201" i="50"/>
  <c r="D5201" i="50" s="1"/>
  <c r="E5177" i="50"/>
  <c r="B5231" i="50"/>
  <c r="D5231" i="50" s="1"/>
  <c r="E5207" i="50"/>
  <c r="B5200" i="50"/>
  <c r="D5200" i="50" s="1"/>
  <c r="E5176" i="50"/>
  <c r="B5206" i="50"/>
  <c r="D5206" i="50" s="1"/>
  <c r="E5182" i="50"/>
  <c r="E5218" i="50"/>
  <c r="B5242" i="50"/>
  <c r="D5242" i="50" s="1"/>
  <c r="E5174" i="50"/>
  <c r="B5198" i="50"/>
  <c r="D5198" i="50" s="1"/>
  <c r="B5257" i="50"/>
  <c r="D5257" i="50" s="1"/>
  <c r="E5233" i="50"/>
  <c r="E5188" i="50"/>
  <c r="U5188" i="50" s="1"/>
  <c r="B5212" i="50"/>
  <c r="D5212" i="50" s="1"/>
  <c r="E5179" i="50"/>
  <c r="V5179" i="50" s="1"/>
  <c r="B5203" i="50"/>
  <c r="D5203" i="50" s="1"/>
  <c r="B5241" i="50"/>
  <c r="D5241" i="50" s="1"/>
  <c r="E5217" i="50"/>
  <c r="E5234" i="50"/>
  <c r="B5258" i="50"/>
  <c r="D5258" i="50" s="1"/>
  <c r="E5190" i="50"/>
  <c r="B5214" i="50"/>
  <c r="D5214" i="50" s="1"/>
  <c r="B5216" i="50"/>
  <c r="D5216" i="50" s="1"/>
  <c r="E5192" i="50"/>
  <c r="E5165" i="50"/>
  <c r="B5189" i="50"/>
  <c r="D5189" i="50" s="1"/>
  <c r="V5176" i="50" l="1"/>
  <c r="U5176" i="50"/>
  <c r="G5176" i="50"/>
  <c r="U5207" i="50"/>
  <c r="F5207" i="50"/>
  <c r="V5207" i="50"/>
  <c r="V5211" i="50"/>
  <c r="U5211" i="50"/>
  <c r="G5211" i="50"/>
  <c r="F5211" i="50"/>
  <c r="V5217" i="50"/>
  <c r="U5217" i="50"/>
  <c r="G5217" i="50"/>
  <c r="F5217" i="50"/>
  <c r="V5177" i="50"/>
  <c r="U5177" i="50"/>
  <c r="G5177" i="50"/>
  <c r="V5195" i="50"/>
  <c r="U5195" i="50"/>
  <c r="G5195" i="50"/>
  <c r="F5195" i="50"/>
  <c r="V5199" i="50"/>
  <c r="F5199" i="50"/>
  <c r="U5199" i="50"/>
  <c r="G5199" i="50"/>
  <c r="V5208" i="50"/>
  <c r="U5208" i="50"/>
  <c r="G5208" i="50"/>
  <c r="D5191" i="50"/>
  <c r="B5215" i="50"/>
  <c r="E5191" i="50"/>
  <c r="U5181" i="50"/>
  <c r="F5181" i="50"/>
  <c r="G5181" i="50"/>
  <c r="F5167" i="50"/>
  <c r="G5167" i="50"/>
  <c r="U5167" i="50"/>
  <c r="F5177" i="50"/>
  <c r="D5196" i="50"/>
  <c r="B5220" i="50"/>
  <c r="E5196" i="50"/>
  <c r="V5226" i="50"/>
  <c r="U5226" i="50"/>
  <c r="F5226" i="50"/>
  <c r="G5226" i="50"/>
  <c r="V5167" i="50"/>
  <c r="G5172" i="50"/>
  <c r="F5172" i="50"/>
  <c r="V5172" i="50"/>
  <c r="U5172" i="50"/>
  <c r="V5233" i="50"/>
  <c r="U5233" i="50"/>
  <c r="G5233" i="50"/>
  <c r="F5233" i="50"/>
  <c r="G5165" i="50"/>
  <c r="U5165" i="50"/>
  <c r="F5165" i="50"/>
  <c r="V5174" i="50"/>
  <c r="U5174" i="50"/>
  <c r="G5174" i="50"/>
  <c r="F5174" i="50"/>
  <c r="F5176" i="50"/>
  <c r="V5192" i="50"/>
  <c r="U5192" i="50"/>
  <c r="G5192" i="50"/>
  <c r="F5192" i="50"/>
  <c r="V5165" i="50"/>
  <c r="V5197" i="50"/>
  <c r="G5197" i="50"/>
  <c r="F5197" i="50"/>
  <c r="G5207" i="50"/>
  <c r="F5208" i="50"/>
  <c r="V5190" i="50"/>
  <c r="U5190" i="50"/>
  <c r="G5190" i="50"/>
  <c r="F5190" i="50"/>
  <c r="F5218" i="50"/>
  <c r="G5218" i="50"/>
  <c r="V5218" i="50"/>
  <c r="U5218" i="50"/>
  <c r="F5188" i="50"/>
  <c r="V5188" i="50"/>
  <c r="G5188" i="50"/>
  <c r="V5182" i="50"/>
  <c r="F5182" i="50"/>
  <c r="U5182" i="50"/>
  <c r="G5182" i="50"/>
  <c r="U5180" i="50"/>
  <c r="V5180" i="50"/>
  <c r="G5180" i="50"/>
  <c r="F5180" i="50"/>
  <c r="F5179" i="50"/>
  <c r="U5179" i="50"/>
  <c r="G5179" i="50"/>
  <c r="F5234" i="50"/>
  <c r="G5234" i="50"/>
  <c r="V5234" i="50"/>
  <c r="U5234" i="50"/>
  <c r="B5222" i="50"/>
  <c r="D5222" i="50" s="1"/>
  <c r="E5198" i="50"/>
  <c r="E5231" i="50"/>
  <c r="B5255" i="50"/>
  <c r="D5255" i="50" s="1"/>
  <c r="B5240" i="50"/>
  <c r="D5240" i="50" s="1"/>
  <c r="E5216" i="50"/>
  <c r="B5225" i="50"/>
  <c r="D5225" i="50" s="1"/>
  <c r="E5201" i="50"/>
  <c r="B5243" i="50"/>
  <c r="D5243" i="50" s="1"/>
  <c r="E5219" i="50"/>
  <c r="B5265" i="50"/>
  <c r="D5265" i="50" s="1"/>
  <c r="E5241" i="50"/>
  <c r="B5281" i="50"/>
  <c r="D5281" i="50" s="1"/>
  <c r="E5257" i="50"/>
  <c r="E5206" i="50"/>
  <c r="B5230" i="50"/>
  <c r="D5230" i="50" s="1"/>
  <c r="B5224" i="50"/>
  <c r="D5224" i="50" s="1"/>
  <c r="E5200" i="50"/>
  <c r="B5229" i="50"/>
  <c r="D5229" i="50" s="1"/>
  <c r="E5205" i="50"/>
  <c r="V5205" i="50" s="1"/>
  <c r="B5266" i="50"/>
  <c r="D5266" i="50" s="1"/>
  <c r="E5242" i="50"/>
  <c r="B5256" i="50"/>
  <c r="D5256" i="50" s="1"/>
  <c r="E5232" i="50"/>
  <c r="B5227" i="50"/>
  <c r="D5227" i="50" s="1"/>
  <c r="E5203" i="50"/>
  <c r="E5204" i="50"/>
  <c r="B5228" i="50"/>
  <c r="D5228" i="50" s="1"/>
  <c r="B5259" i="50"/>
  <c r="D5259" i="50" s="1"/>
  <c r="E5235" i="50"/>
  <c r="B5213" i="50"/>
  <c r="D5213" i="50" s="1"/>
  <c r="E5189" i="50"/>
  <c r="V5189" i="50" s="1"/>
  <c r="B5282" i="50"/>
  <c r="D5282" i="50" s="1"/>
  <c r="E5258" i="50"/>
  <c r="B5236" i="50"/>
  <c r="D5236" i="50" s="1"/>
  <c r="E5212" i="50"/>
  <c r="E5250" i="50"/>
  <c r="B5274" i="50"/>
  <c r="D5274" i="50" s="1"/>
  <c r="B5247" i="50"/>
  <c r="D5247" i="50" s="1"/>
  <c r="E5223" i="50"/>
  <c r="B5238" i="50"/>
  <c r="D5238" i="50" s="1"/>
  <c r="E5214" i="50"/>
  <c r="B5245" i="50"/>
  <c r="D5245" i="50" s="1"/>
  <c r="E5221" i="50"/>
  <c r="G5191" i="50" l="1"/>
  <c r="U5258" i="50"/>
  <c r="F5258" i="50"/>
  <c r="V5258" i="50"/>
  <c r="G5258" i="50"/>
  <c r="V5200" i="50"/>
  <c r="U5200" i="50"/>
  <c r="G5200" i="50"/>
  <c r="F5200" i="50"/>
  <c r="U5196" i="50"/>
  <c r="V5196" i="50"/>
  <c r="G5196" i="50"/>
  <c r="F5196" i="50"/>
  <c r="D5220" i="50"/>
  <c r="B5244" i="50"/>
  <c r="E5220" i="50"/>
  <c r="V5206" i="50"/>
  <c r="U5206" i="50"/>
  <c r="G5206" i="50"/>
  <c r="F5206" i="50"/>
  <c r="U5231" i="50"/>
  <c r="G5231" i="50"/>
  <c r="V5231" i="50"/>
  <c r="F5231" i="50"/>
  <c r="F5198" i="50"/>
  <c r="V5198" i="50"/>
  <c r="U5198" i="50"/>
  <c r="G5198" i="50"/>
  <c r="V5216" i="50"/>
  <c r="U5216" i="50"/>
  <c r="G5216" i="50"/>
  <c r="F5216" i="50"/>
  <c r="U5221" i="50"/>
  <c r="G5221" i="50"/>
  <c r="F5221" i="50"/>
  <c r="V5235" i="50"/>
  <c r="F5235" i="50"/>
  <c r="U5235" i="50"/>
  <c r="G5235" i="50"/>
  <c r="U5204" i="50"/>
  <c r="G5204" i="50"/>
  <c r="F5204" i="50"/>
  <c r="V5204" i="50"/>
  <c r="V5221" i="50"/>
  <c r="U5203" i="50"/>
  <c r="F5203" i="50"/>
  <c r="G5203" i="50"/>
  <c r="V5203" i="50"/>
  <c r="V5241" i="50"/>
  <c r="G5241" i="50"/>
  <c r="F5241" i="50"/>
  <c r="U5189" i="50"/>
  <c r="G5189" i="50"/>
  <c r="F5189" i="50"/>
  <c r="U5205" i="50"/>
  <c r="G5205" i="50"/>
  <c r="F5205" i="50"/>
  <c r="V5232" i="50"/>
  <c r="U5232" i="50"/>
  <c r="G5232" i="50"/>
  <c r="F5232" i="50"/>
  <c r="G5219" i="50"/>
  <c r="U5219" i="50"/>
  <c r="F5219" i="50"/>
  <c r="V5219" i="50"/>
  <c r="U5241" i="50"/>
  <c r="V5257" i="50"/>
  <c r="G5257" i="50"/>
  <c r="F5257" i="50"/>
  <c r="U5223" i="50"/>
  <c r="F5223" i="50"/>
  <c r="V5223" i="50"/>
  <c r="U5257" i="50"/>
  <c r="G5223" i="50"/>
  <c r="U5212" i="50"/>
  <c r="V5212" i="50"/>
  <c r="G5212" i="50"/>
  <c r="F5212" i="50"/>
  <c r="V5242" i="50"/>
  <c r="G5242" i="50"/>
  <c r="U5242" i="50"/>
  <c r="F5242" i="50"/>
  <c r="V5201" i="50"/>
  <c r="U5201" i="50"/>
  <c r="G5201" i="50"/>
  <c r="F5201" i="50"/>
  <c r="V5191" i="50"/>
  <c r="U5191" i="50"/>
  <c r="F5191" i="50"/>
  <c r="F5214" i="50"/>
  <c r="U5214" i="50"/>
  <c r="V5214" i="50"/>
  <c r="G5214" i="50"/>
  <c r="G5250" i="50"/>
  <c r="F5250" i="50"/>
  <c r="U5250" i="50"/>
  <c r="V5250" i="50"/>
  <c r="D5215" i="50"/>
  <c r="E5215" i="50"/>
  <c r="B5239" i="50"/>
  <c r="E5238" i="50"/>
  <c r="B5262" i="50"/>
  <c r="D5262" i="50" s="1"/>
  <c r="B5289" i="50"/>
  <c r="D5289" i="50" s="1"/>
  <c r="E5265" i="50"/>
  <c r="E5213" i="50"/>
  <c r="B5237" i="50"/>
  <c r="D5237" i="50" s="1"/>
  <c r="E5266" i="50"/>
  <c r="B5290" i="50"/>
  <c r="D5290" i="50" s="1"/>
  <c r="E5243" i="50"/>
  <c r="G5243" i="50" s="1"/>
  <c r="B5267" i="50"/>
  <c r="D5267" i="50" s="1"/>
  <c r="E5227" i="50"/>
  <c r="B5251" i="50"/>
  <c r="D5251" i="50" s="1"/>
  <c r="B5249" i="50"/>
  <c r="D5249" i="50" s="1"/>
  <c r="E5225" i="50"/>
  <c r="B5298" i="50"/>
  <c r="D5298" i="50" s="1"/>
  <c r="E5274" i="50"/>
  <c r="E5245" i="50"/>
  <c r="B5269" i="50"/>
  <c r="D5269" i="50" s="1"/>
  <c r="E5236" i="50"/>
  <c r="B5260" i="50"/>
  <c r="D5260" i="50" s="1"/>
  <c r="E5229" i="50"/>
  <c r="B5253" i="50"/>
  <c r="D5253" i="50" s="1"/>
  <c r="B5254" i="50"/>
  <c r="D5254" i="50" s="1"/>
  <c r="E5230" i="50"/>
  <c r="B5264" i="50"/>
  <c r="D5264" i="50" s="1"/>
  <c r="E5240" i="50"/>
  <c r="F5240" i="50" s="1"/>
  <c r="B5279" i="50"/>
  <c r="D5279" i="50" s="1"/>
  <c r="E5255" i="50"/>
  <c r="G5255" i="50" s="1"/>
  <c r="E5259" i="50"/>
  <c r="G5259" i="50" s="1"/>
  <c r="B5283" i="50"/>
  <c r="D5283" i="50" s="1"/>
  <c r="E5247" i="50"/>
  <c r="B5271" i="50"/>
  <c r="D5271" i="50" s="1"/>
  <c r="B5252" i="50"/>
  <c r="D5252" i="50" s="1"/>
  <c r="E5228" i="50"/>
  <c r="B5280" i="50"/>
  <c r="D5280" i="50" s="1"/>
  <c r="E5256" i="50"/>
  <c r="F5256" i="50" s="1"/>
  <c r="E5282" i="50"/>
  <c r="G5282" i="50" s="1"/>
  <c r="B5306" i="50"/>
  <c r="D5306" i="50" s="1"/>
  <c r="B5248" i="50"/>
  <c r="D5248" i="50" s="1"/>
  <c r="E5224" i="50"/>
  <c r="F5224" i="50" s="1"/>
  <c r="B5305" i="50"/>
  <c r="D5305" i="50" s="1"/>
  <c r="E5281" i="50"/>
  <c r="E5222" i="50"/>
  <c r="B5246" i="50"/>
  <c r="D5246" i="50" s="1"/>
  <c r="V5247" i="50" l="1"/>
  <c r="F5247" i="50"/>
  <c r="G5247" i="50"/>
  <c r="U5247" i="50"/>
  <c r="V5225" i="50"/>
  <c r="U5225" i="50"/>
  <c r="G5225" i="50"/>
  <c r="V5238" i="50"/>
  <c r="U5238" i="50"/>
  <c r="G5238" i="50"/>
  <c r="F5238" i="50"/>
  <c r="U5255" i="50"/>
  <c r="F5255" i="50"/>
  <c r="V5255" i="50"/>
  <c r="D5239" i="50"/>
  <c r="B5263" i="50"/>
  <c r="E5239" i="50"/>
  <c r="U5274" i="50"/>
  <c r="F5274" i="50"/>
  <c r="V5274" i="50"/>
  <c r="G5274" i="50"/>
  <c r="V5215" i="50"/>
  <c r="F5215" i="50"/>
  <c r="U5215" i="50"/>
  <c r="G5215" i="50"/>
  <c r="U5245" i="50"/>
  <c r="F5245" i="50"/>
  <c r="V5245" i="50"/>
  <c r="G5245" i="50"/>
  <c r="V5265" i="50"/>
  <c r="U5265" i="50"/>
  <c r="G5265" i="50"/>
  <c r="F5265" i="50"/>
  <c r="U5240" i="50"/>
  <c r="G5240" i="50"/>
  <c r="V5240" i="50"/>
  <c r="V5227" i="50"/>
  <c r="G5227" i="50"/>
  <c r="F5227" i="50"/>
  <c r="U5227" i="50"/>
  <c r="F5225" i="50"/>
  <c r="V5224" i="50"/>
  <c r="U5224" i="50"/>
  <c r="G5224" i="50"/>
  <c r="F5230" i="50"/>
  <c r="V5230" i="50"/>
  <c r="U5230" i="50"/>
  <c r="G5230" i="50"/>
  <c r="V5243" i="50"/>
  <c r="U5243" i="50"/>
  <c r="F5243" i="50"/>
  <c r="V5222" i="50"/>
  <c r="U5222" i="50"/>
  <c r="G5222" i="50"/>
  <c r="F5222" i="50"/>
  <c r="V5229" i="50"/>
  <c r="G5229" i="50"/>
  <c r="F5229" i="50"/>
  <c r="U5229" i="50"/>
  <c r="G5266" i="50"/>
  <c r="F5266" i="50"/>
  <c r="V5266" i="50"/>
  <c r="U5266" i="50"/>
  <c r="V5256" i="50"/>
  <c r="U5256" i="50"/>
  <c r="G5256" i="50"/>
  <c r="V5259" i="50"/>
  <c r="U5259" i="50"/>
  <c r="F5259" i="50"/>
  <c r="G5236" i="50"/>
  <c r="F5236" i="50"/>
  <c r="V5236" i="50"/>
  <c r="U5236" i="50"/>
  <c r="F5213" i="50"/>
  <c r="U5213" i="50"/>
  <c r="V5213" i="50"/>
  <c r="G5213" i="50"/>
  <c r="V5220" i="50"/>
  <c r="G5220" i="50"/>
  <c r="U5220" i="50"/>
  <c r="F5220" i="50"/>
  <c r="V5281" i="50"/>
  <c r="U5281" i="50"/>
  <c r="G5281" i="50"/>
  <c r="F5281" i="50"/>
  <c r="F5282" i="50"/>
  <c r="V5282" i="50"/>
  <c r="U5282" i="50"/>
  <c r="U5228" i="50"/>
  <c r="V5228" i="50"/>
  <c r="G5228" i="50"/>
  <c r="F5228" i="50"/>
  <c r="D5244" i="50"/>
  <c r="B5268" i="50"/>
  <c r="E5244" i="50"/>
  <c r="E5252" i="50"/>
  <c r="B5276" i="50"/>
  <c r="D5276" i="50" s="1"/>
  <c r="B5307" i="50"/>
  <c r="D5307" i="50" s="1"/>
  <c r="E5283" i="50"/>
  <c r="B5277" i="50"/>
  <c r="D5277" i="50" s="1"/>
  <c r="E5253" i="50"/>
  <c r="V5253" i="50" s="1"/>
  <c r="E5254" i="50"/>
  <c r="G5254" i="50" s="1"/>
  <c r="B5278" i="50"/>
  <c r="D5278" i="50" s="1"/>
  <c r="E5298" i="50"/>
  <c r="B5322" i="50"/>
  <c r="D5322" i="50" s="1"/>
  <c r="B5270" i="50"/>
  <c r="D5270" i="50" s="1"/>
  <c r="E5246" i="50"/>
  <c r="B5284" i="50"/>
  <c r="D5284" i="50" s="1"/>
  <c r="E5260" i="50"/>
  <c r="B5313" i="50"/>
  <c r="D5313" i="50" s="1"/>
  <c r="E5289" i="50"/>
  <c r="B5330" i="50"/>
  <c r="D5330" i="50" s="1"/>
  <c r="E5306" i="50"/>
  <c r="U5306" i="50" s="1"/>
  <c r="B5314" i="50"/>
  <c r="D5314" i="50" s="1"/>
  <c r="E5290" i="50"/>
  <c r="U5290" i="50" s="1"/>
  <c r="B5286" i="50"/>
  <c r="D5286" i="50" s="1"/>
  <c r="E5262" i="50"/>
  <c r="U5262" i="50" s="1"/>
  <c r="B5295" i="50"/>
  <c r="D5295" i="50" s="1"/>
  <c r="E5271" i="50"/>
  <c r="E5279" i="50"/>
  <c r="B5303" i="50"/>
  <c r="D5303" i="50" s="1"/>
  <c r="B5293" i="50"/>
  <c r="D5293" i="50" s="1"/>
  <c r="E5269" i="50"/>
  <c r="B5275" i="50"/>
  <c r="D5275" i="50" s="1"/>
  <c r="E5251" i="50"/>
  <c r="B5272" i="50"/>
  <c r="D5272" i="50" s="1"/>
  <c r="E5248" i="50"/>
  <c r="B5288" i="50"/>
  <c r="D5288" i="50" s="1"/>
  <c r="E5264" i="50"/>
  <c r="B5261" i="50"/>
  <c r="D5261" i="50" s="1"/>
  <c r="E5237" i="50"/>
  <c r="V5237" i="50" s="1"/>
  <c r="B5329" i="50"/>
  <c r="D5329" i="50" s="1"/>
  <c r="E5305" i="50"/>
  <c r="U5305" i="50" s="1"/>
  <c r="B5304" i="50"/>
  <c r="D5304" i="50" s="1"/>
  <c r="E5280" i="50"/>
  <c r="B5291" i="50"/>
  <c r="D5291" i="50" s="1"/>
  <c r="E5267" i="50"/>
  <c r="B5273" i="50"/>
  <c r="D5273" i="50" s="1"/>
  <c r="E5249" i="50"/>
  <c r="U5283" i="50" l="1"/>
  <c r="F5283" i="50"/>
  <c r="G5283" i="50"/>
  <c r="U5260" i="50"/>
  <c r="V5260" i="50"/>
  <c r="G5260" i="50"/>
  <c r="F5260" i="50"/>
  <c r="V5248" i="50"/>
  <c r="U5248" i="50"/>
  <c r="G5248" i="50"/>
  <c r="F5248" i="50"/>
  <c r="U5251" i="50"/>
  <c r="G5251" i="50"/>
  <c r="V5251" i="50"/>
  <c r="F5251" i="50"/>
  <c r="G5252" i="50"/>
  <c r="F5252" i="50"/>
  <c r="V5252" i="50"/>
  <c r="U5252" i="50"/>
  <c r="U5269" i="50"/>
  <c r="G5269" i="50"/>
  <c r="F5269" i="50"/>
  <c r="U5246" i="50"/>
  <c r="G5246" i="50"/>
  <c r="F5246" i="50"/>
  <c r="V5246" i="50"/>
  <c r="U5244" i="50"/>
  <c r="V5244" i="50"/>
  <c r="G5244" i="50"/>
  <c r="F5244" i="50"/>
  <c r="D5268" i="50"/>
  <c r="E5268" i="50"/>
  <c r="B5292" i="50"/>
  <c r="V5279" i="50"/>
  <c r="U5279" i="50"/>
  <c r="G5279" i="50"/>
  <c r="F5279" i="50"/>
  <c r="F5298" i="50"/>
  <c r="V5298" i="50"/>
  <c r="U5298" i="50"/>
  <c r="V5269" i="50"/>
  <c r="V5283" i="50"/>
  <c r="V5289" i="50"/>
  <c r="G5289" i="50"/>
  <c r="F5289" i="50"/>
  <c r="V5280" i="50"/>
  <c r="F5280" i="50"/>
  <c r="G5280" i="50"/>
  <c r="U5280" i="50"/>
  <c r="V5271" i="50"/>
  <c r="U5271" i="50"/>
  <c r="F5271" i="50"/>
  <c r="G5271" i="50"/>
  <c r="V5254" i="50"/>
  <c r="U5254" i="50"/>
  <c r="F5254" i="50"/>
  <c r="V5239" i="50"/>
  <c r="U5239" i="50"/>
  <c r="F5239" i="50"/>
  <c r="U5289" i="50"/>
  <c r="U5267" i="50"/>
  <c r="V5267" i="50"/>
  <c r="G5267" i="50"/>
  <c r="F5267" i="50"/>
  <c r="V5305" i="50"/>
  <c r="G5305" i="50"/>
  <c r="F5305" i="50"/>
  <c r="V5262" i="50"/>
  <c r="G5262" i="50"/>
  <c r="F5262" i="50"/>
  <c r="D5263" i="50"/>
  <c r="B5287" i="50"/>
  <c r="E5263" i="50"/>
  <c r="G5298" i="50"/>
  <c r="G5239" i="50"/>
  <c r="U5237" i="50"/>
  <c r="G5237" i="50"/>
  <c r="F5237" i="50"/>
  <c r="G5290" i="50"/>
  <c r="F5290" i="50"/>
  <c r="V5290" i="50"/>
  <c r="V5249" i="50"/>
  <c r="U5249" i="50"/>
  <c r="G5249" i="50"/>
  <c r="F5249" i="50"/>
  <c r="V5264" i="50"/>
  <c r="U5264" i="50"/>
  <c r="G5264" i="50"/>
  <c r="F5264" i="50"/>
  <c r="G5306" i="50"/>
  <c r="V5306" i="50"/>
  <c r="F5306" i="50"/>
  <c r="U5253" i="50"/>
  <c r="G5253" i="50"/>
  <c r="F5253" i="50"/>
  <c r="E5314" i="50"/>
  <c r="B5338" i="50"/>
  <c r="D5338" i="50" s="1"/>
  <c r="E5270" i="50"/>
  <c r="G5270" i="50" s="1"/>
  <c r="B5294" i="50"/>
  <c r="D5294" i="50" s="1"/>
  <c r="E5275" i="50"/>
  <c r="B5299" i="50"/>
  <c r="D5299" i="50" s="1"/>
  <c r="B5327" i="50"/>
  <c r="D5327" i="50" s="1"/>
  <c r="E5303" i="50"/>
  <c r="B5346" i="50"/>
  <c r="D5346" i="50" s="1"/>
  <c r="E5322" i="50"/>
  <c r="E5261" i="50"/>
  <c r="B5285" i="50"/>
  <c r="D5285" i="50" s="1"/>
  <c r="E5293" i="50"/>
  <c r="B5317" i="50"/>
  <c r="D5317" i="50" s="1"/>
  <c r="B5296" i="50"/>
  <c r="D5296" i="50" s="1"/>
  <c r="E5272" i="50"/>
  <c r="E5295" i="50"/>
  <c r="B5319" i="50"/>
  <c r="D5319" i="50" s="1"/>
  <c r="E5291" i="50"/>
  <c r="G5291" i="50" s="1"/>
  <c r="B5315" i="50"/>
  <c r="D5315" i="50" s="1"/>
  <c r="B5312" i="50"/>
  <c r="D5312" i="50" s="1"/>
  <c r="E5288" i="50"/>
  <c r="E5330" i="50"/>
  <c r="B5354" i="50"/>
  <c r="D5354" i="50" s="1"/>
  <c r="E5277" i="50"/>
  <c r="V5277" i="50" s="1"/>
  <c r="B5301" i="50"/>
  <c r="D5301" i="50" s="1"/>
  <c r="B5302" i="50"/>
  <c r="D5302" i="50" s="1"/>
  <c r="E5278" i="50"/>
  <c r="B5328" i="50"/>
  <c r="D5328" i="50" s="1"/>
  <c r="E5304" i="50"/>
  <c r="F5304" i="50" s="1"/>
  <c r="B5337" i="50"/>
  <c r="D5337" i="50" s="1"/>
  <c r="E5313" i="50"/>
  <c r="E5307" i="50"/>
  <c r="G5307" i="50" s="1"/>
  <c r="B5331" i="50"/>
  <c r="D5331" i="50" s="1"/>
  <c r="B5297" i="50"/>
  <c r="D5297" i="50" s="1"/>
  <c r="E5273" i="50"/>
  <c r="U5273" i="50" s="1"/>
  <c r="B5300" i="50"/>
  <c r="D5300" i="50" s="1"/>
  <c r="E5276" i="50"/>
  <c r="B5353" i="50"/>
  <c r="D5353" i="50" s="1"/>
  <c r="E5329" i="50"/>
  <c r="E5286" i="50"/>
  <c r="B5310" i="50"/>
  <c r="D5310" i="50" s="1"/>
  <c r="E5284" i="50"/>
  <c r="B5308" i="50"/>
  <c r="D5308" i="50" s="1"/>
  <c r="F5314" i="50" l="1"/>
  <c r="V5314" i="50"/>
  <c r="U5314" i="50"/>
  <c r="G5314" i="50"/>
  <c r="F5284" i="50"/>
  <c r="V5284" i="50"/>
  <c r="U5284" i="50"/>
  <c r="G5284" i="50"/>
  <c r="V5286" i="50"/>
  <c r="U5286" i="50"/>
  <c r="F5286" i="50"/>
  <c r="G5322" i="50"/>
  <c r="V5322" i="50"/>
  <c r="F5322" i="50"/>
  <c r="V5278" i="50"/>
  <c r="F5278" i="50"/>
  <c r="G5278" i="50"/>
  <c r="G5330" i="50"/>
  <c r="F5330" i="50"/>
  <c r="U5330" i="50"/>
  <c r="U5322" i="50"/>
  <c r="U5261" i="50"/>
  <c r="F5261" i="50"/>
  <c r="V5261" i="50"/>
  <c r="G5261" i="50"/>
  <c r="U5276" i="50"/>
  <c r="V5276" i="50"/>
  <c r="G5276" i="50"/>
  <c r="F5276" i="50"/>
  <c r="V5288" i="50"/>
  <c r="U5288" i="50"/>
  <c r="G5288" i="50"/>
  <c r="V5303" i="50"/>
  <c r="U5303" i="50"/>
  <c r="F5303" i="50"/>
  <c r="G5303" i="50"/>
  <c r="U5277" i="50"/>
  <c r="F5277" i="50"/>
  <c r="G5277" i="50"/>
  <c r="G5286" i="50"/>
  <c r="D5292" i="50"/>
  <c r="B5316" i="50"/>
  <c r="E5292" i="50"/>
  <c r="U5293" i="50"/>
  <c r="F5293" i="50"/>
  <c r="G5293" i="50"/>
  <c r="V5273" i="50"/>
  <c r="G5273" i="50"/>
  <c r="F5273" i="50"/>
  <c r="F5268" i="50"/>
  <c r="V5268" i="50"/>
  <c r="U5268" i="50"/>
  <c r="G5268" i="50"/>
  <c r="V5275" i="50"/>
  <c r="U5275" i="50"/>
  <c r="F5275" i="50"/>
  <c r="U5263" i="50"/>
  <c r="F5263" i="50"/>
  <c r="G5263" i="50"/>
  <c r="V5263" i="50"/>
  <c r="V5291" i="50"/>
  <c r="U5291" i="50"/>
  <c r="F5291" i="50"/>
  <c r="D5287" i="50"/>
  <c r="B5311" i="50"/>
  <c r="E5287" i="50"/>
  <c r="V5293" i="50"/>
  <c r="G5275" i="50"/>
  <c r="F5288" i="50"/>
  <c r="U5278" i="50"/>
  <c r="V5295" i="50"/>
  <c r="U5295" i="50"/>
  <c r="G5295" i="50"/>
  <c r="F5295" i="50"/>
  <c r="V5270" i="50"/>
  <c r="U5270" i="50"/>
  <c r="F5270" i="50"/>
  <c r="V5330" i="50"/>
  <c r="V5304" i="50"/>
  <c r="U5304" i="50"/>
  <c r="G5304" i="50"/>
  <c r="V5329" i="50"/>
  <c r="U5329" i="50"/>
  <c r="G5329" i="50"/>
  <c r="F5329" i="50"/>
  <c r="V5307" i="50"/>
  <c r="U5307" i="50"/>
  <c r="F5307" i="50"/>
  <c r="V5313" i="50"/>
  <c r="U5313" i="50"/>
  <c r="G5313" i="50"/>
  <c r="F5313" i="50"/>
  <c r="U5272" i="50"/>
  <c r="G5272" i="50"/>
  <c r="V5272" i="50"/>
  <c r="U5338" i="50"/>
  <c r="F5272" i="50"/>
  <c r="B5378" i="50"/>
  <c r="D5378" i="50" s="1"/>
  <c r="E5354" i="50"/>
  <c r="U5354" i="50" s="1"/>
  <c r="B5362" i="50"/>
  <c r="D5362" i="50" s="1"/>
  <c r="E5338" i="50"/>
  <c r="B5341" i="50"/>
  <c r="D5341" i="50" s="1"/>
  <c r="E5317" i="50"/>
  <c r="B5336" i="50"/>
  <c r="D5336" i="50" s="1"/>
  <c r="E5312" i="50"/>
  <c r="E5300" i="50"/>
  <c r="B5324" i="50"/>
  <c r="D5324" i="50" s="1"/>
  <c r="B5343" i="50"/>
  <c r="D5343" i="50" s="1"/>
  <c r="E5319" i="50"/>
  <c r="B5309" i="50"/>
  <c r="D5309" i="50" s="1"/>
  <c r="E5285" i="50"/>
  <c r="B5361" i="50"/>
  <c r="D5361" i="50" s="1"/>
  <c r="E5337" i="50"/>
  <c r="B5339" i="50"/>
  <c r="D5339" i="50" s="1"/>
  <c r="E5315" i="50"/>
  <c r="V5315" i="50" s="1"/>
  <c r="E5346" i="50"/>
  <c r="V5346" i="50" s="1"/>
  <c r="B5370" i="50"/>
  <c r="D5370" i="50" s="1"/>
  <c r="B5352" i="50"/>
  <c r="D5352" i="50" s="1"/>
  <c r="E5328" i="50"/>
  <c r="B5377" i="50"/>
  <c r="D5377" i="50" s="1"/>
  <c r="E5353" i="50"/>
  <c r="B5320" i="50"/>
  <c r="D5320" i="50" s="1"/>
  <c r="E5296" i="50"/>
  <c r="E5327" i="50"/>
  <c r="B5351" i="50"/>
  <c r="D5351" i="50" s="1"/>
  <c r="B5323" i="50"/>
  <c r="D5323" i="50" s="1"/>
  <c r="E5299" i="50"/>
  <c r="B5321" i="50"/>
  <c r="D5321" i="50" s="1"/>
  <c r="E5297" i="50"/>
  <c r="E5302" i="50"/>
  <c r="B5326" i="50"/>
  <c r="D5326" i="50" s="1"/>
  <c r="B5355" i="50"/>
  <c r="D5355" i="50" s="1"/>
  <c r="E5331" i="50"/>
  <c r="V5331" i="50" s="1"/>
  <c r="B5325" i="50"/>
  <c r="D5325" i="50" s="1"/>
  <c r="E5301" i="50"/>
  <c r="B5318" i="50"/>
  <c r="D5318" i="50" s="1"/>
  <c r="E5294" i="50"/>
  <c r="U5294" i="50" s="1"/>
  <c r="B5332" i="50"/>
  <c r="D5332" i="50" s="1"/>
  <c r="E5308" i="50"/>
  <c r="B5334" i="50"/>
  <c r="D5334" i="50" s="1"/>
  <c r="E5310" i="50"/>
  <c r="V5302" i="50" l="1"/>
  <c r="U5302" i="50"/>
  <c r="F5302" i="50"/>
  <c r="V5310" i="50"/>
  <c r="G5310" i="50"/>
  <c r="F5310" i="50"/>
  <c r="U5299" i="50"/>
  <c r="F5299" i="50"/>
  <c r="G5299" i="50"/>
  <c r="D5311" i="50"/>
  <c r="E5311" i="50"/>
  <c r="B5335" i="50"/>
  <c r="D5316" i="50"/>
  <c r="E5316" i="50"/>
  <c r="B5340" i="50"/>
  <c r="V5287" i="50"/>
  <c r="U5287" i="50"/>
  <c r="F5287" i="50"/>
  <c r="V5319" i="50"/>
  <c r="U5319" i="50"/>
  <c r="F5319" i="50"/>
  <c r="G5287" i="50"/>
  <c r="V5327" i="50"/>
  <c r="U5327" i="50"/>
  <c r="G5327" i="50"/>
  <c r="F5327" i="50"/>
  <c r="G5302" i="50"/>
  <c r="V5294" i="50"/>
  <c r="F5294" i="50"/>
  <c r="G5294" i="50"/>
  <c r="G5319" i="50"/>
  <c r="G5354" i="50"/>
  <c r="V5354" i="50"/>
  <c r="F5354" i="50"/>
  <c r="G5285" i="50"/>
  <c r="F5285" i="50"/>
  <c r="U5285" i="50"/>
  <c r="V5300" i="50"/>
  <c r="U5300" i="50"/>
  <c r="G5300" i="50"/>
  <c r="F5300" i="50"/>
  <c r="V5337" i="50"/>
  <c r="G5337" i="50"/>
  <c r="F5337" i="50"/>
  <c r="V5353" i="50"/>
  <c r="G5353" i="50"/>
  <c r="F5353" i="50"/>
  <c r="V5312" i="50"/>
  <c r="U5312" i="50"/>
  <c r="G5312" i="50"/>
  <c r="F5312" i="50"/>
  <c r="V5297" i="50"/>
  <c r="U5297" i="50"/>
  <c r="G5297" i="50"/>
  <c r="F5297" i="50"/>
  <c r="U5296" i="50"/>
  <c r="G5296" i="50"/>
  <c r="F5296" i="50"/>
  <c r="V5296" i="50"/>
  <c r="F5331" i="50"/>
  <c r="U5331" i="50"/>
  <c r="G5331" i="50"/>
  <c r="V5328" i="50"/>
  <c r="U5328" i="50"/>
  <c r="G5328" i="50"/>
  <c r="F5328" i="50"/>
  <c r="V5299" i="50"/>
  <c r="V5292" i="50"/>
  <c r="U5292" i="50"/>
  <c r="G5292" i="50"/>
  <c r="F5292" i="50"/>
  <c r="U5353" i="50"/>
  <c r="V5317" i="50"/>
  <c r="U5317" i="50"/>
  <c r="G5317" i="50"/>
  <c r="F5317" i="50"/>
  <c r="U5310" i="50"/>
  <c r="V5308" i="50"/>
  <c r="U5308" i="50"/>
  <c r="G5308" i="50"/>
  <c r="F5308" i="50"/>
  <c r="G5346" i="50"/>
  <c r="F5346" i="50"/>
  <c r="U5346" i="50"/>
  <c r="V5285" i="50"/>
  <c r="V5301" i="50"/>
  <c r="U5301" i="50"/>
  <c r="G5301" i="50"/>
  <c r="F5301" i="50"/>
  <c r="F5315" i="50"/>
  <c r="U5315" i="50"/>
  <c r="G5315" i="50"/>
  <c r="G5338" i="50"/>
  <c r="V5338" i="50"/>
  <c r="F5338" i="50"/>
  <c r="U5337" i="50"/>
  <c r="B5344" i="50"/>
  <c r="D5344" i="50" s="1"/>
  <c r="E5320" i="50"/>
  <c r="B5348" i="50"/>
  <c r="D5348" i="50" s="1"/>
  <c r="E5324" i="50"/>
  <c r="B5401" i="50"/>
  <c r="D5401" i="50" s="1"/>
  <c r="E5377" i="50"/>
  <c r="B5394" i="50"/>
  <c r="D5394" i="50" s="1"/>
  <c r="E5370" i="50"/>
  <c r="U5370" i="50" s="1"/>
  <c r="E5318" i="50"/>
  <c r="B5342" i="50"/>
  <c r="D5342" i="50" s="1"/>
  <c r="E5341" i="50"/>
  <c r="B5365" i="50"/>
  <c r="D5365" i="50" s="1"/>
  <c r="B5350" i="50"/>
  <c r="D5350" i="50" s="1"/>
  <c r="E5326" i="50"/>
  <c r="B5376" i="50"/>
  <c r="D5376" i="50" s="1"/>
  <c r="E5352" i="50"/>
  <c r="F5352" i="50" s="1"/>
  <c r="E5309" i="50"/>
  <c r="V5309" i="50" s="1"/>
  <c r="B5333" i="50"/>
  <c r="D5333" i="50" s="1"/>
  <c r="E5325" i="50"/>
  <c r="V5325" i="50" s="1"/>
  <c r="B5349" i="50"/>
  <c r="D5349" i="50" s="1"/>
  <c r="E5339" i="50"/>
  <c r="B5363" i="50"/>
  <c r="D5363" i="50" s="1"/>
  <c r="E5355" i="50"/>
  <c r="B5379" i="50"/>
  <c r="D5379" i="50" s="1"/>
  <c r="E5323" i="50"/>
  <c r="G5323" i="50" s="1"/>
  <c r="B5347" i="50"/>
  <c r="D5347" i="50" s="1"/>
  <c r="B5345" i="50"/>
  <c r="D5345" i="50" s="1"/>
  <c r="E5321" i="50"/>
  <c r="B5375" i="50"/>
  <c r="D5375" i="50" s="1"/>
  <c r="E5351" i="50"/>
  <c r="G5351" i="50" s="1"/>
  <c r="B5385" i="50"/>
  <c r="D5385" i="50" s="1"/>
  <c r="E5361" i="50"/>
  <c r="V5361" i="50" s="1"/>
  <c r="E5362" i="50"/>
  <c r="B5386" i="50"/>
  <c r="D5386" i="50" s="1"/>
  <c r="E5334" i="50"/>
  <c r="B5358" i="50"/>
  <c r="D5358" i="50" s="1"/>
  <c r="E5332" i="50"/>
  <c r="B5356" i="50"/>
  <c r="D5356" i="50" s="1"/>
  <c r="E5343" i="50"/>
  <c r="B5367" i="50"/>
  <c r="D5367" i="50" s="1"/>
  <c r="B5360" i="50"/>
  <c r="D5360" i="50" s="1"/>
  <c r="E5336" i="50"/>
  <c r="E5378" i="50"/>
  <c r="V5378" i="50" s="1"/>
  <c r="B5402" i="50"/>
  <c r="D5402" i="50" s="1"/>
  <c r="V5326" i="50" l="1"/>
  <c r="G5326" i="50"/>
  <c r="F5326" i="50"/>
  <c r="F5311" i="50"/>
  <c r="V5311" i="50"/>
  <c r="U5311" i="50"/>
  <c r="G5311" i="50"/>
  <c r="U5341" i="50"/>
  <c r="F5341" i="50"/>
  <c r="G5341" i="50"/>
  <c r="U5336" i="50"/>
  <c r="G5336" i="50"/>
  <c r="V5336" i="50"/>
  <c r="V5318" i="50"/>
  <c r="U5318" i="50"/>
  <c r="G5318" i="50"/>
  <c r="F5318" i="50"/>
  <c r="U5326" i="50"/>
  <c r="V5321" i="50"/>
  <c r="G5321" i="50"/>
  <c r="F5321" i="50"/>
  <c r="U5377" i="50"/>
  <c r="G5377" i="50"/>
  <c r="F5377" i="50"/>
  <c r="G5370" i="50"/>
  <c r="V5370" i="50"/>
  <c r="F5370" i="50"/>
  <c r="V5339" i="50"/>
  <c r="U5339" i="50"/>
  <c r="F5339" i="50"/>
  <c r="V5355" i="50"/>
  <c r="U5355" i="50"/>
  <c r="F5355" i="50"/>
  <c r="V5324" i="50"/>
  <c r="U5324" i="50"/>
  <c r="G5324" i="50"/>
  <c r="F5324" i="50"/>
  <c r="V5334" i="50"/>
  <c r="U5334" i="50"/>
  <c r="G5334" i="50"/>
  <c r="F5334" i="50"/>
  <c r="G5362" i="50"/>
  <c r="F5362" i="50"/>
  <c r="U5362" i="50"/>
  <c r="U5325" i="50"/>
  <c r="F5325" i="50"/>
  <c r="G5325" i="50"/>
  <c r="V5341" i="50"/>
  <c r="F5336" i="50"/>
  <c r="U5321" i="50"/>
  <c r="V5362" i="50"/>
  <c r="U5361" i="50"/>
  <c r="G5361" i="50"/>
  <c r="F5361" i="50"/>
  <c r="U5320" i="50"/>
  <c r="G5320" i="50"/>
  <c r="V5320" i="50"/>
  <c r="G5355" i="50"/>
  <c r="V5377" i="50"/>
  <c r="D5340" i="50"/>
  <c r="B5364" i="50"/>
  <c r="E5340" i="50"/>
  <c r="G5339" i="50"/>
  <c r="F5343" i="50"/>
  <c r="G5343" i="50"/>
  <c r="U5343" i="50"/>
  <c r="U5309" i="50"/>
  <c r="F5309" i="50"/>
  <c r="G5309" i="50"/>
  <c r="F5320" i="50"/>
  <c r="F5316" i="50"/>
  <c r="V5316" i="50"/>
  <c r="U5316" i="50"/>
  <c r="G5316" i="50"/>
  <c r="V5323" i="50"/>
  <c r="U5323" i="50"/>
  <c r="F5323" i="50"/>
  <c r="U5351" i="50"/>
  <c r="F5351" i="50"/>
  <c r="V5351" i="50"/>
  <c r="V5352" i="50"/>
  <c r="U5352" i="50"/>
  <c r="G5352" i="50"/>
  <c r="F5332" i="50"/>
  <c r="V5332" i="50"/>
  <c r="U5332" i="50"/>
  <c r="G5332" i="50"/>
  <c r="G5378" i="50"/>
  <c r="F5378" i="50"/>
  <c r="U5378" i="50"/>
  <c r="V5343" i="50"/>
  <c r="D5335" i="50"/>
  <c r="B5359" i="50"/>
  <c r="E5335" i="50"/>
  <c r="B5371" i="50"/>
  <c r="D5371" i="50" s="1"/>
  <c r="E5347" i="50"/>
  <c r="B5425" i="50"/>
  <c r="D5425" i="50" s="1"/>
  <c r="E5401" i="50"/>
  <c r="E5375" i="50"/>
  <c r="B5399" i="50"/>
  <c r="D5399" i="50" s="1"/>
  <c r="B5389" i="50"/>
  <c r="D5389" i="50" s="1"/>
  <c r="E5365" i="50"/>
  <c r="B5380" i="50"/>
  <c r="D5380" i="50" s="1"/>
  <c r="E5356" i="50"/>
  <c r="B5369" i="50"/>
  <c r="D5369" i="50" s="1"/>
  <c r="E5345" i="50"/>
  <c r="B5357" i="50"/>
  <c r="D5357" i="50" s="1"/>
  <c r="E5333" i="50"/>
  <c r="B5387" i="50"/>
  <c r="D5387" i="50" s="1"/>
  <c r="E5363" i="50"/>
  <c r="B5426" i="50"/>
  <c r="D5426" i="50" s="1"/>
  <c r="E5402" i="50"/>
  <c r="U5402" i="50" s="1"/>
  <c r="B5382" i="50"/>
  <c r="D5382" i="50" s="1"/>
  <c r="E5358" i="50"/>
  <c r="B5403" i="50"/>
  <c r="D5403" i="50" s="1"/>
  <c r="E5379" i="50"/>
  <c r="V5379" i="50" s="1"/>
  <c r="E5348" i="50"/>
  <c r="B5372" i="50"/>
  <c r="D5372" i="50" s="1"/>
  <c r="B5400" i="50"/>
  <c r="D5400" i="50" s="1"/>
  <c r="E5376" i="50"/>
  <c r="B5366" i="50"/>
  <c r="D5366" i="50" s="1"/>
  <c r="E5342" i="50"/>
  <c r="U5342" i="50" s="1"/>
  <c r="E5350" i="50"/>
  <c r="B5374" i="50"/>
  <c r="D5374" i="50" s="1"/>
  <c r="B5384" i="50"/>
  <c r="D5384" i="50" s="1"/>
  <c r="E5360" i="50"/>
  <c r="B5391" i="50"/>
  <c r="D5391" i="50" s="1"/>
  <c r="E5367" i="50"/>
  <c r="G5367" i="50" s="1"/>
  <c r="B5410" i="50"/>
  <c r="D5410" i="50" s="1"/>
  <c r="E5386" i="50"/>
  <c r="U5386" i="50" s="1"/>
  <c r="B5373" i="50"/>
  <c r="D5373" i="50" s="1"/>
  <c r="E5349" i="50"/>
  <c r="E5394" i="50"/>
  <c r="V5394" i="50" s="1"/>
  <c r="B5418" i="50"/>
  <c r="D5418" i="50" s="1"/>
  <c r="B5368" i="50"/>
  <c r="D5368" i="50" s="1"/>
  <c r="E5344" i="50"/>
  <c r="B5409" i="50"/>
  <c r="D5409" i="50" s="1"/>
  <c r="E5385" i="50"/>
  <c r="U5385" i="50" s="1"/>
  <c r="G5335" i="50" l="1"/>
  <c r="F5347" i="50"/>
  <c r="U5347" i="50"/>
  <c r="G5347" i="50"/>
  <c r="V5401" i="50"/>
  <c r="G5401" i="50"/>
  <c r="F5401" i="50"/>
  <c r="V5385" i="50"/>
  <c r="G5385" i="50"/>
  <c r="F5385" i="50"/>
  <c r="F5363" i="50"/>
  <c r="U5363" i="50"/>
  <c r="G5363" i="50"/>
  <c r="V5335" i="50"/>
  <c r="U5335" i="50"/>
  <c r="F5335" i="50"/>
  <c r="V5358" i="50"/>
  <c r="F5358" i="50"/>
  <c r="G5358" i="50"/>
  <c r="D5359" i="50"/>
  <c r="E5359" i="50"/>
  <c r="B5383" i="50"/>
  <c r="V5347" i="50"/>
  <c r="F5375" i="50"/>
  <c r="G5375" i="50"/>
  <c r="U5375" i="50"/>
  <c r="V5344" i="50"/>
  <c r="U5344" i="50"/>
  <c r="G5344" i="50"/>
  <c r="F5344" i="50"/>
  <c r="V5342" i="50"/>
  <c r="F5342" i="50"/>
  <c r="G5342" i="50"/>
  <c r="U5345" i="50"/>
  <c r="G5345" i="50"/>
  <c r="F5345" i="50"/>
  <c r="V5375" i="50"/>
  <c r="V5360" i="50"/>
  <c r="U5360" i="50"/>
  <c r="G5360" i="50"/>
  <c r="F5360" i="50"/>
  <c r="V5350" i="50"/>
  <c r="U5350" i="50"/>
  <c r="G5350" i="50"/>
  <c r="F5350" i="50"/>
  <c r="G5394" i="50"/>
  <c r="F5394" i="50"/>
  <c r="U5394" i="50"/>
  <c r="V5340" i="50"/>
  <c r="U5340" i="50"/>
  <c r="G5340" i="50"/>
  <c r="F5340" i="50"/>
  <c r="G5402" i="50"/>
  <c r="F5402" i="50"/>
  <c r="V5402" i="50"/>
  <c r="V5349" i="50"/>
  <c r="U5349" i="50"/>
  <c r="G5349" i="50"/>
  <c r="F5349" i="50"/>
  <c r="V5376" i="50"/>
  <c r="U5376" i="50"/>
  <c r="G5376" i="50"/>
  <c r="F5376" i="50"/>
  <c r="V5356" i="50"/>
  <c r="U5356" i="50"/>
  <c r="G5356" i="50"/>
  <c r="F5356" i="50"/>
  <c r="D5364" i="50"/>
  <c r="B5388" i="50"/>
  <c r="E5364" i="50"/>
  <c r="U5358" i="50"/>
  <c r="U5401" i="50"/>
  <c r="V5345" i="50"/>
  <c r="G5386" i="50"/>
  <c r="V5386" i="50"/>
  <c r="F5386" i="50"/>
  <c r="F5365" i="50"/>
  <c r="V5365" i="50"/>
  <c r="U5365" i="50"/>
  <c r="G5365" i="50"/>
  <c r="V5363" i="50"/>
  <c r="F5348" i="50"/>
  <c r="V5348" i="50"/>
  <c r="U5348" i="50"/>
  <c r="G5348" i="50"/>
  <c r="V5333" i="50"/>
  <c r="U5333" i="50"/>
  <c r="G5333" i="50"/>
  <c r="F5333" i="50"/>
  <c r="U5367" i="50"/>
  <c r="F5367" i="50"/>
  <c r="V5367" i="50"/>
  <c r="F5379" i="50"/>
  <c r="U5379" i="50"/>
  <c r="G5379" i="50"/>
  <c r="E5387" i="50"/>
  <c r="G5387" i="50" s="1"/>
  <c r="B5411" i="50"/>
  <c r="D5411" i="50" s="1"/>
  <c r="E5389" i="50"/>
  <c r="V5389" i="50" s="1"/>
  <c r="B5413" i="50"/>
  <c r="D5413" i="50" s="1"/>
  <c r="E5373" i="50"/>
  <c r="B5397" i="50"/>
  <c r="D5397" i="50" s="1"/>
  <c r="E5426" i="50"/>
  <c r="V5426" i="50" s="1"/>
  <c r="B5450" i="50"/>
  <c r="D5450" i="50" s="1"/>
  <c r="B5423" i="50"/>
  <c r="D5423" i="50" s="1"/>
  <c r="E5399" i="50"/>
  <c r="E5382" i="50"/>
  <c r="B5406" i="50"/>
  <c r="D5406" i="50" s="1"/>
  <c r="B5396" i="50"/>
  <c r="D5396" i="50" s="1"/>
  <c r="E5372" i="50"/>
  <c r="E5357" i="50"/>
  <c r="V5357" i="50" s="1"/>
  <c r="B5381" i="50"/>
  <c r="D5381" i="50" s="1"/>
  <c r="B5408" i="50"/>
  <c r="D5408" i="50" s="1"/>
  <c r="E5384" i="50"/>
  <c r="F5384" i="50" s="1"/>
  <c r="E5366" i="50"/>
  <c r="B5390" i="50"/>
  <c r="D5390" i="50" s="1"/>
  <c r="B5393" i="50"/>
  <c r="D5393" i="50" s="1"/>
  <c r="E5369" i="50"/>
  <c r="U5369" i="50" s="1"/>
  <c r="B5449" i="50"/>
  <c r="D5449" i="50" s="1"/>
  <c r="E5425" i="50"/>
  <c r="B5424" i="50"/>
  <c r="D5424" i="50" s="1"/>
  <c r="E5400" i="50"/>
  <c r="E5380" i="50"/>
  <c r="B5404" i="50"/>
  <c r="D5404" i="50" s="1"/>
  <c r="E5371" i="50"/>
  <c r="B5395" i="50"/>
  <c r="D5395" i="50" s="1"/>
  <c r="E5410" i="50"/>
  <c r="B5434" i="50"/>
  <c r="D5434" i="50" s="1"/>
  <c r="B5433" i="50"/>
  <c r="D5433" i="50" s="1"/>
  <c r="E5409" i="50"/>
  <c r="V5409" i="50" s="1"/>
  <c r="B5392" i="50"/>
  <c r="D5392" i="50" s="1"/>
  <c r="E5368" i="50"/>
  <c r="E5391" i="50"/>
  <c r="B5415" i="50"/>
  <c r="D5415" i="50" s="1"/>
  <c r="B5398" i="50"/>
  <c r="D5398" i="50" s="1"/>
  <c r="E5374" i="50"/>
  <c r="U5374" i="50" s="1"/>
  <c r="E5403" i="50"/>
  <c r="G5403" i="50" s="1"/>
  <c r="B5427" i="50"/>
  <c r="D5427" i="50" s="1"/>
  <c r="B5442" i="50"/>
  <c r="D5442" i="50" s="1"/>
  <c r="E5418" i="50"/>
  <c r="U5418" i="50" s="1"/>
  <c r="V5359" i="50" l="1"/>
  <c r="D5388" i="50"/>
  <c r="B5412" i="50"/>
  <c r="E5388" i="50"/>
  <c r="F5380" i="50"/>
  <c r="V5380" i="50"/>
  <c r="U5380" i="50"/>
  <c r="G5380" i="50"/>
  <c r="V5400" i="50"/>
  <c r="U5400" i="50"/>
  <c r="G5400" i="50"/>
  <c r="V5371" i="50"/>
  <c r="U5371" i="50"/>
  <c r="F5371" i="50"/>
  <c r="V5382" i="50"/>
  <c r="U5382" i="50"/>
  <c r="F5382" i="50"/>
  <c r="D5383" i="50"/>
  <c r="B5407" i="50"/>
  <c r="E5383" i="50"/>
  <c r="V5372" i="50"/>
  <c r="U5372" i="50"/>
  <c r="G5372" i="50"/>
  <c r="F5372" i="50"/>
  <c r="V5374" i="50"/>
  <c r="F5374" i="50"/>
  <c r="G5374" i="50"/>
  <c r="F5425" i="50"/>
  <c r="U5425" i="50"/>
  <c r="G5425" i="50"/>
  <c r="U5399" i="50"/>
  <c r="F5399" i="50"/>
  <c r="V5399" i="50"/>
  <c r="F5359" i="50"/>
  <c r="G5359" i="50"/>
  <c r="U5359" i="50"/>
  <c r="G5371" i="50"/>
  <c r="F5391" i="50"/>
  <c r="G5391" i="50"/>
  <c r="U5391" i="50"/>
  <c r="G5426" i="50"/>
  <c r="F5426" i="50"/>
  <c r="U5426" i="50"/>
  <c r="V5403" i="50"/>
  <c r="U5403" i="50"/>
  <c r="F5403" i="50"/>
  <c r="V5366" i="50"/>
  <c r="U5366" i="50"/>
  <c r="G5366" i="50"/>
  <c r="F5366" i="50"/>
  <c r="U5373" i="50"/>
  <c r="F5373" i="50"/>
  <c r="G5373" i="50"/>
  <c r="V5384" i="50"/>
  <c r="U5384" i="50"/>
  <c r="G5384" i="50"/>
  <c r="F5400" i="50"/>
  <c r="V5368" i="50"/>
  <c r="U5368" i="50"/>
  <c r="G5368" i="50"/>
  <c r="U5389" i="50"/>
  <c r="F5389" i="50"/>
  <c r="G5389" i="50"/>
  <c r="V5373" i="50"/>
  <c r="U5357" i="50"/>
  <c r="F5357" i="50"/>
  <c r="G5357" i="50"/>
  <c r="F5368" i="50"/>
  <c r="V5425" i="50"/>
  <c r="G5410" i="50"/>
  <c r="F5410" i="50"/>
  <c r="U5410" i="50"/>
  <c r="V5387" i="50"/>
  <c r="U5387" i="50"/>
  <c r="F5387" i="50"/>
  <c r="G5382" i="50"/>
  <c r="V5369" i="50"/>
  <c r="G5369" i="50"/>
  <c r="F5369" i="50"/>
  <c r="U5409" i="50"/>
  <c r="G5409" i="50"/>
  <c r="F5409" i="50"/>
  <c r="G5418" i="50"/>
  <c r="F5418" i="50"/>
  <c r="V5418" i="50"/>
  <c r="G5399" i="50"/>
  <c r="V5410" i="50"/>
  <c r="F5364" i="50"/>
  <c r="V5364" i="50"/>
  <c r="U5364" i="50"/>
  <c r="G5364" i="50"/>
  <c r="V5391" i="50"/>
  <c r="B5458" i="50"/>
  <c r="D5458" i="50" s="1"/>
  <c r="E5434" i="50"/>
  <c r="B5417" i="50"/>
  <c r="D5417" i="50" s="1"/>
  <c r="E5393" i="50"/>
  <c r="V5393" i="50" s="1"/>
  <c r="B5405" i="50"/>
  <c r="D5405" i="50" s="1"/>
  <c r="E5381" i="50"/>
  <c r="E5398" i="50"/>
  <c r="B5422" i="50"/>
  <c r="D5422" i="50" s="1"/>
  <c r="B5414" i="50"/>
  <c r="D5414" i="50" s="1"/>
  <c r="E5390" i="50"/>
  <c r="E5423" i="50"/>
  <c r="V5423" i="50" s="1"/>
  <c r="B5447" i="50"/>
  <c r="D5447" i="50" s="1"/>
  <c r="B5439" i="50"/>
  <c r="D5439" i="50" s="1"/>
  <c r="E5415" i="50"/>
  <c r="B5419" i="50"/>
  <c r="D5419" i="50" s="1"/>
  <c r="E5395" i="50"/>
  <c r="B5474" i="50"/>
  <c r="D5474" i="50" s="1"/>
  <c r="E5450" i="50"/>
  <c r="B5428" i="50"/>
  <c r="D5428" i="50" s="1"/>
  <c r="E5404" i="50"/>
  <c r="B5432" i="50"/>
  <c r="D5432" i="50" s="1"/>
  <c r="E5408" i="50"/>
  <c r="B5421" i="50"/>
  <c r="D5421" i="50" s="1"/>
  <c r="E5397" i="50"/>
  <c r="B5416" i="50"/>
  <c r="D5416" i="50" s="1"/>
  <c r="E5392" i="50"/>
  <c r="B5437" i="50"/>
  <c r="D5437" i="50" s="1"/>
  <c r="E5413" i="50"/>
  <c r="B5457" i="50"/>
  <c r="D5457" i="50" s="1"/>
  <c r="E5433" i="50"/>
  <c r="U5433" i="50" s="1"/>
  <c r="B5451" i="50"/>
  <c r="D5451" i="50" s="1"/>
  <c r="E5427" i="50"/>
  <c r="B5448" i="50"/>
  <c r="D5448" i="50" s="1"/>
  <c r="E5424" i="50"/>
  <c r="E5396" i="50"/>
  <c r="B5420" i="50"/>
  <c r="D5420" i="50" s="1"/>
  <c r="B5435" i="50"/>
  <c r="D5435" i="50" s="1"/>
  <c r="E5411" i="50"/>
  <c r="V5411" i="50" s="1"/>
  <c r="B5430" i="50"/>
  <c r="D5430" i="50" s="1"/>
  <c r="E5406" i="50"/>
  <c r="U5406" i="50" s="1"/>
  <c r="E5442" i="50"/>
  <c r="V5442" i="50" s="1"/>
  <c r="B5466" i="50"/>
  <c r="D5466" i="50" s="1"/>
  <c r="B5473" i="50"/>
  <c r="D5473" i="50" s="1"/>
  <c r="E5449" i="50"/>
  <c r="U5449" i="50" s="1"/>
  <c r="U5393" i="50" l="1"/>
  <c r="G5393" i="50"/>
  <c r="F5393" i="50"/>
  <c r="V5408" i="50"/>
  <c r="U5408" i="50"/>
  <c r="G5408" i="50"/>
  <c r="F5408" i="50"/>
  <c r="G5381" i="50"/>
  <c r="F5381" i="50"/>
  <c r="V5381" i="50"/>
  <c r="U5381" i="50"/>
  <c r="G5427" i="50"/>
  <c r="F5427" i="50"/>
  <c r="U5427" i="50"/>
  <c r="G5450" i="50"/>
  <c r="F5450" i="50"/>
  <c r="V5450" i="50"/>
  <c r="G5434" i="50"/>
  <c r="F5434" i="50"/>
  <c r="V5434" i="50"/>
  <c r="U5434" i="50"/>
  <c r="V5398" i="50"/>
  <c r="U5398" i="50"/>
  <c r="F5398" i="50"/>
  <c r="F5395" i="50"/>
  <c r="G5395" i="50"/>
  <c r="U5395" i="50"/>
  <c r="V5427" i="50"/>
  <c r="V5404" i="50"/>
  <c r="U5404" i="50"/>
  <c r="G5404" i="50"/>
  <c r="F5404" i="50"/>
  <c r="G5398" i="50"/>
  <c r="U5450" i="50"/>
  <c r="F5396" i="50"/>
  <c r="V5396" i="50"/>
  <c r="U5396" i="50"/>
  <c r="G5396" i="50"/>
  <c r="V5413" i="50"/>
  <c r="U5413" i="50"/>
  <c r="G5413" i="50"/>
  <c r="F5413" i="50"/>
  <c r="U5415" i="50"/>
  <c r="F5415" i="50"/>
  <c r="V5415" i="50"/>
  <c r="V5449" i="50"/>
  <c r="G5449" i="50"/>
  <c r="F5449" i="50"/>
  <c r="V5406" i="50"/>
  <c r="F5406" i="50"/>
  <c r="G5406" i="50"/>
  <c r="G5415" i="50"/>
  <c r="V5433" i="50"/>
  <c r="G5433" i="50"/>
  <c r="F5433" i="50"/>
  <c r="F5423" i="50"/>
  <c r="U5423" i="50"/>
  <c r="G5423" i="50"/>
  <c r="U5383" i="50"/>
  <c r="F5383" i="50"/>
  <c r="V5383" i="50"/>
  <c r="V5424" i="50"/>
  <c r="U5424" i="50"/>
  <c r="G5424" i="50"/>
  <c r="F5424" i="50"/>
  <c r="G5392" i="50"/>
  <c r="F5392" i="50"/>
  <c r="V5392" i="50"/>
  <c r="U5392" i="50"/>
  <c r="V5390" i="50"/>
  <c r="F5390" i="50"/>
  <c r="G5390" i="50"/>
  <c r="D5407" i="50"/>
  <c r="E5407" i="50"/>
  <c r="B5431" i="50"/>
  <c r="V5388" i="50"/>
  <c r="U5388" i="50"/>
  <c r="G5388" i="50"/>
  <c r="F5388" i="50"/>
  <c r="V5395" i="50"/>
  <c r="G5383" i="50"/>
  <c r="D5412" i="50"/>
  <c r="E5412" i="50"/>
  <c r="B5436" i="50"/>
  <c r="G5442" i="50"/>
  <c r="F5442" i="50"/>
  <c r="U5442" i="50"/>
  <c r="G5411" i="50"/>
  <c r="F5411" i="50"/>
  <c r="U5411" i="50"/>
  <c r="V5397" i="50"/>
  <c r="U5397" i="50"/>
  <c r="G5397" i="50"/>
  <c r="F5397" i="50"/>
  <c r="U5390" i="50"/>
  <c r="B5472" i="50"/>
  <c r="D5472" i="50" s="1"/>
  <c r="E5448" i="50"/>
  <c r="F5448" i="50" s="1"/>
  <c r="E5451" i="50"/>
  <c r="G5451" i="50" s="1"/>
  <c r="B5475" i="50"/>
  <c r="D5475" i="50" s="1"/>
  <c r="B5440" i="50"/>
  <c r="D5440" i="50" s="1"/>
  <c r="E5416" i="50"/>
  <c r="F5416" i="50" s="1"/>
  <c r="E5414" i="50"/>
  <c r="G5414" i="50" s="1"/>
  <c r="B5438" i="50"/>
  <c r="D5438" i="50" s="1"/>
  <c r="E5435" i="50"/>
  <c r="B5459" i="50"/>
  <c r="D5459" i="50" s="1"/>
  <c r="B5481" i="50"/>
  <c r="D5481" i="50" s="1"/>
  <c r="E5457" i="50"/>
  <c r="E5421" i="50"/>
  <c r="V5421" i="50" s="1"/>
  <c r="B5445" i="50"/>
  <c r="D5445" i="50" s="1"/>
  <c r="E5474" i="50"/>
  <c r="B5498" i="50"/>
  <c r="D5498" i="50" s="1"/>
  <c r="E5430" i="50"/>
  <c r="G5430" i="50" s="1"/>
  <c r="B5454" i="50"/>
  <c r="D5454" i="50" s="1"/>
  <c r="B5446" i="50"/>
  <c r="D5446" i="50" s="1"/>
  <c r="E5422" i="50"/>
  <c r="B5441" i="50"/>
  <c r="D5441" i="50" s="1"/>
  <c r="E5417" i="50"/>
  <c r="E5437" i="50"/>
  <c r="V5437" i="50" s="1"/>
  <c r="B5461" i="50"/>
  <c r="D5461" i="50" s="1"/>
  <c r="B5456" i="50"/>
  <c r="D5456" i="50" s="1"/>
  <c r="E5432" i="50"/>
  <c r="B5444" i="50"/>
  <c r="D5444" i="50" s="1"/>
  <c r="E5420" i="50"/>
  <c r="E5419" i="50"/>
  <c r="G5419" i="50" s="1"/>
  <c r="B5443" i="50"/>
  <c r="D5443" i="50" s="1"/>
  <c r="B5490" i="50"/>
  <c r="D5490" i="50" s="1"/>
  <c r="E5466" i="50"/>
  <c r="U5466" i="50" s="1"/>
  <c r="E5428" i="50"/>
  <c r="B5452" i="50"/>
  <c r="D5452" i="50" s="1"/>
  <c r="E5439" i="50"/>
  <c r="V5439" i="50" s="1"/>
  <c r="B5463" i="50"/>
  <c r="D5463" i="50" s="1"/>
  <c r="E5405" i="50"/>
  <c r="B5429" i="50"/>
  <c r="D5429" i="50" s="1"/>
  <c r="B5497" i="50"/>
  <c r="D5497" i="50" s="1"/>
  <c r="E5473" i="50"/>
  <c r="V5473" i="50" s="1"/>
  <c r="B5471" i="50"/>
  <c r="D5471" i="50" s="1"/>
  <c r="E5447" i="50"/>
  <c r="G5447" i="50" s="1"/>
  <c r="E5458" i="50"/>
  <c r="V5458" i="50" s="1"/>
  <c r="B5482" i="50"/>
  <c r="D5482" i="50" s="1"/>
  <c r="U5447" i="50" l="1"/>
  <c r="F5447" i="50"/>
  <c r="V5447" i="50"/>
  <c r="V5432" i="50"/>
  <c r="U5432" i="50"/>
  <c r="G5432" i="50"/>
  <c r="V5435" i="50"/>
  <c r="U5435" i="50"/>
  <c r="F5435" i="50"/>
  <c r="U5457" i="50"/>
  <c r="G5457" i="50"/>
  <c r="F5457" i="50"/>
  <c r="U5437" i="50"/>
  <c r="G5437" i="50"/>
  <c r="F5437" i="50"/>
  <c r="V5420" i="50"/>
  <c r="U5420" i="50"/>
  <c r="F5420" i="50"/>
  <c r="G5420" i="50"/>
  <c r="V5417" i="50"/>
  <c r="G5417" i="50"/>
  <c r="F5417" i="50"/>
  <c r="U5417" i="50"/>
  <c r="F5414" i="50"/>
  <c r="V5414" i="50"/>
  <c r="U5414" i="50"/>
  <c r="V5422" i="50"/>
  <c r="F5422" i="50"/>
  <c r="G5422" i="50"/>
  <c r="V5416" i="50"/>
  <c r="U5416" i="50"/>
  <c r="G5416" i="50"/>
  <c r="D5431" i="50"/>
  <c r="B5455" i="50"/>
  <c r="E5431" i="50"/>
  <c r="F5439" i="50"/>
  <c r="U5439" i="50"/>
  <c r="G5439" i="50"/>
  <c r="F5407" i="50"/>
  <c r="U5407" i="50"/>
  <c r="G5407" i="50"/>
  <c r="F5432" i="50"/>
  <c r="V5407" i="50"/>
  <c r="G5435" i="50"/>
  <c r="V5457" i="50"/>
  <c r="F5428" i="50"/>
  <c r="V5428" i="50"/>
  <c r="U5428" i="50"/>
  <c r="G5428" i="50"/>
  <c r="V5430" i="50"/>
  <c r="U5430" i="50"/>
  <c r="F5430" i="50"/>
  <c r="V5451" i="50"/>
  <c r="U5451" i="50"/>
  <c r="F5451" i="50"/>
  <c r="D5436" i="50"/>
  <c r="B5460" i="50"/>
  <c r="E5436" i="50"/>
  <c r="G5466" i="50"/>
  <c r="F5466" i="50"/>
  <c r="V5466" i="50"/>
  <c r="V5448" i="50"/>
  <c r="U5448" i="50"/>
  <c r="G5448" i="50"/>
  <c r="F5412" i="50"/>
  <c r="V5412" i="50"/>
  <c r="U5412" i="50"/>
  <c r="G5412" i="50"/>
  <c r="V5474" i="50"/>
  <c r="U5474" i="50"/>
  <c r="G5474" i="50"/>
  <c r="F5474" i="50"/>
  <c r="U5473" i="50"/>
  <c r="G5473" i="50"/>
  <c r="F5473" i="50"/>
  <c r="U5405" i="50"/>
  <c r="F5405" i="50"/>
  <c r="G5405" i="50"/>
  <c r="G5458" i="50"/>
  <c r="F5458" i="50"/>
  <c r="U5458" i="50"/>
  <c r="U5419" i="50"/>
  <c r="V5419" i="50"/>
  <c r="F5419" i="50"/>
  <c r="U5421" i="50"/>
  <c r="F5421" i="50"/>
  <c r="G5421" i="50"/>
  <c r="U5422" i="50"/>
  <c r="V5405" i="50"/>
  <c r="E5446" i="50"/>
  <c r="G5446" i="50" s="1"/>
  <c r="B5470" i="50"/>
  <c r="D5470" i="50" s="1"/>
  <c r="B5522" i="50"/>
  <c r="D5522" i="50" s="1"/>
  <c r="E5498" i="50"/>
  <c r="B5505" i="50"/>
  <c r="D5505" i="50" s="1"/>
  <c r="E5481" i="50"/>
  <c r="U5481" i="50" s="1"/>
  <c r="B5483" i="50"/>
  <c r="D5483" i="50" s="1"/>
  <c r="E5459" i="50"/>
  <c r="B5480" i="50"/>
  <c r="D5480" i="50" s="1"/>
  <c r="E5456" i="50"/>
  <c r="B5453" i="50"/>
  <c r="D5453" i="50" s="1"/>
  <c r="E5429" i="50"/>
  <c r="B5462" i="50"/>
  <c r="D5462" i="50" s="1"/>
  <c r="E5438" i="50"/>
  <c r="U5438" i="50" s="1"/>
  <c r="B5485" i="50"/>
  <c r="D5485" i="50" s="1"/>
  <c r="E5461" i="50"/>
  <c r="B5467" i="50"/>
  <c r="D5467" i="50" s="1"/>
  <c r="E5443" i="50"/>
  <c r="B5464" i="50"/>
  <c r="D5464" i="50" s="1"/>
  <c r="E5440" i="50"/>
  <c r="B5521" i="50"/>
  <c r="D5521" i="50" s="1"/>
  <c r="E5497" i="50"/>
  <c r="U5497" i="50" s="1"/>
  <c r="B5476" i="50"/>
  <c r="D5476" i="50" s="1"/>
  <c r="E5452" i="50"/>
  <c r="B5478" i="50"/>
  <c r="D5478" i="50" s="1"/>
  <c r="E5454" i="50"/>
  <c r="U5454" i="50" s="1"/>
  <c r="B5487" i="50"/>
  <c r="D5487" i="50" s="1"/>
  <c r="E5463" i="50"/>
  <c r="B5506" i="50"/>
  <c r="D5506" i="50" s="1"/>
  <c r="E5482" i="50"/>
  <c r="E5471" i="50"/>
  <c r="V5471" i="50" s="1"/>
  <c r="B5495" i="50"/>
  <c r="D5495" i="50" s="1"/>
  <c r="B5469" i="50"/>
  <c r="D5469" i="50" s="1"/>
  <c r="E5445" i="50"/>
  <c r="E5444" i="50"/>
  <c r="B5468" i="50"/>
  <c r="D5468" i="50" s="1"/>
  <c r="B5465" i="50"/>
  <c r="D5465" i="50" s="1"/>
  <c r="E5441" i="50"/>
  <c r="B5499" i="50"/>
  <c r="D5499" i="50" s="1"/>
  <c r="E5475" i="50"/>
  <c r="B5496" i="50"/>
  <c r="D5496" i="50" s="1"/>
  <c r="E5472" i="50"/>
  <c r="B5514" i="50"/>
  <c r="D5514" i="50" s="1"/>
  <c r="E5490" i="50"/>
  <c r="G5441" i="50" l="1"/>
  <c r="F5441" i="50"/>
  <c r="U5441" i="50"/>
  <c r="V5497" i="50"/>
  <c r="F5497" i="50"/>
  <c r="G5497" i="50"/>
  <c r="U5452" i="50"/>
  <c r="G5452" i="50"/>
  <c r="F5452" i="50"/>
  <c r="V5440" i="50"/>
  <c r="U5440" i="50"/>
  <c r="G5440" i="50"/>
  <c r="F5440" i="50"/>
  <c r="G5481" i="50"/>
  <c r="F5481" i="50"/>
  <c r="V5481" i="50"/>
  <c r="V5441" i="50"/>
  <c r="U5444" i="50"/>
  <c r="V5444" i="50"/>
  <c r="G5444" i="50"/>
  <c r="U5459" i="50"/>
  <c r="G5459" i="50"/>
  <c r="F5459" i="50"/>
  <c r="U5443" i="50"/>
  <c r="G5443" i="50"/>
  <c r="F5443" i="50"/>
  <c r="U5431" i="50"/>
  <c r="F5431" i="50"/>
  <c r="V5431" i="50"/>
  <c r="V5461" i="50"/>
  <c r="U5461" i="50"/>
  <c r="G5461" i="50"/>
  <c r="F5461" i="50"/>
  <c r="F5444" i="50"/>
  <c r="D5455" i="50"/>
  <c r="E5455" i="50"/>
  <c r="B5479" i="50"/>
  <c r="F5471" i="50"/>
  <c r="G5471" i="50"/>
  <c r="U5471" i="50"/>
  <c r="V5446" i="50"/>
  <c r="U5446" i="50"/>
  <c r="F5446" i="50"/>
  <c r="V5443" i="50"/>
  <c r="G5431" i="50"/>
  <c r="V5459" i="50"/>
  <c r="F5475" i="50"/>
  <c r="U5475" i="50"/>
  <c r="G5475" i="50"/>
  <c r="V5445" i="50"/>
  <c r="U5445" i="50"/>
  <c r="G5445" i="50"/>
  <c r="F5445" i="50"/>
  <c r="V5490" i="50"/>
  <c r="U5490" i="50"/>
  <c r="G5490" i="50"/>
  <c r="F5490" i="50"/>
  <c r="V5438" i="50"/>
  <c r="F5438" i="50"/>
  <c r="G5438" i="50"/>
  <c r="V5436" i="50"/>
  <c r="U5436" i="50"/>
  <c r="G5436" i="50"/>
  <c r="F5436" i="50"/>
  <c r="F5463" i="50"/>
  <c r="U5463" i="50"/>
  <c r="V5463" i="50"/>
  <c r="V5429" i="50"/>
  <c r="U5429" i="50"/>
  <c r="G5429" i="50"/>
  <c r="F5429" i="50"/>
  <c r="D5460" i="50"/>
  <c r="B5484" i="50"/>
  <c r="E5460" i="50"/>
  <c r="V5475" i="50"/>
  <c r="V5498" i="50"/>
  <c r="U5498" i="50"/>
  <c r="G5498" i="50"/>
  <c r="F5498" i="50"/>
  <c r="G5463" i="50"/>
  <c r="V5482" i="50"/>
  <c r="U5482" i="50"/>
  <c r="G5482" i="50"/>
  <c r="F5482" i="50"/>
  <c r="V5472" i="50"/>
  <c r="U5472" i="50"/>
  <c r="G5472" i="50"/>
  <c r="F5472" i="50"/>
  <c r="V5454" i="50"/>
  <c r="F5454" i="50"/>
  <c r="G5454" i="50"/>
  <c r="V5456" i="50"/>
  <c r="U5456" i="50"/>
  <c r="G5456" i="50"/>
  <c r="F5456" i="50"/>
  <c r="V5452" i="50"/>
  <c r="E5487" i="50"/>
  <c r="G5487" i="50" s="1"/>
  <c r="B5511" i="50"/>
  <c r="D5511" i="50" s="1"/>
  <c r="B5489" i="50"/>
  <c r="D5489" i="50" s="1"/>
  <c r="E5465" i="50"/>
  <c r="U5465" i="50" s="1"/>
  <c r="B5545" i="50"/>
  <c r="D5545" i="50" s="1"/>
  <c r="E5521" i="50"/>
  <c r="B5509" i="50"/>
  <c r="D5509" i="50" s="1"/>
  <c r="E5485" i="50"/>
  <c r="E5478" i="50"/>
  <c r="V5478" i="50" s="1"/>
  <c r="B5502" i="50"/>
  <c r="D5502" i="50" s="1"/>
  <c r="B5529" i="50"/>
  <c r="D5529" i="50" s="1"/>
  <c r="E5505" i="50"/>
  <c r="E5462" i="50"/>
  <c r="B5486" i="50"/>
  <c r="D5486" i="50" s="1"/>
  <c r="B5504" i="50"/>
  <c r="D5504" i="50" s="1"/>
  <c r="E5480" i="50"/>
  <c r="B5546" i="50"/>
  <c r="D5546" i="50" s="1"/>
  <c r="E5522" i="50"/>
  <c r="B5519" i="50"/>
  <c r="D5519" i="50" s="1"/>
  <c r="E5495" i="50"/>
  <c r="B5488" i="50"/>
  <c r="D5488" i="50" s="1"/>
  <c r="E5464" i="50"/>
  <c r="B5494" i="50"/>
  <c r="D5494" i="50" s="1"/>
  <c r="E5470" i="50"/>
  <c r="B5538" i="50"/>
  <c r="D5538" i="50" s="1"/>
  <c r="E5514" i="50"/>
  <c r="B5523" i="50"/>
  <c r="D5523" i="50" s="1"/>
  <c r="E5499" i="50"/>
  <c r="U5499" i="50" s="1"/>
  <c r="E5476" i="50"/>
  <c r="F5476" i="50" s="1"/>
  <c r="B5500" i="50"/>
  <c r="D5500" i="50" s="1"/>
  <c r="E5483" i="50"/>
  <c r="B5507" i="50"/>
  <c r="D5507" i="50" s="1"/>
  <c r="E5469" i="50"/>
  <c r="V5469" i="50" s="1"/>
  <c r="B5493" i="50"/>
  <c r="D5493" i="50" s="1"/>
  <c r="E5467" i="50"/>
  <c r="G5467" i="50" s="1"/>
  <c r="B5491" i="50"/>
  <c r="D5491" i="50" s="1"/>
  <c r="E5453" i="50"/>
  <c r="V5453" i="50" s="1"/>
  <c r="B5477" i="50"/>
  <c r="D5477" i="50" s="1"/>
  <c r="B5530" i="50"/>
  <c r="D5530" i="50" s="1"/>
  <c r="E5506" i="50"/>
  <c r="B5520" i="50"/>
  <c r="D5520" i="50" s="1"/>
  <c r="E5496" i="50"/>
  <c r="B5492" i="50"/>
  <c r="D5492" i="50" s="1"/>
  <c r="E5468" i="50"/>
  <c r="V5468" i="50" s="1"/>
  <c r="V5505" i="50" l="1"/>
  <c r="U5505" i="50"/>
  <c r="G5505" i="50"/>
  <c r="F5505" i="50"/>
  <c r="V5462" i="50"/>
  <c r="U5462" i="50"/>
  <c r="F5462" i="50"/>
  <c r="F5496" i="50"/>
  <c r="U5496" i="50"/>
  <c r="V5496" i="50"/>
  <c r="V5514" i="50"/>
  <c r="G5514" i="50"/>
  <c r="F5514" i="50"/>
  <c r="U5514" i="50"/>
  <c r="D5479" i="50"/>
  <c r="B5503" i="50"/>
  <c r="E5479" i="50"/>
  <c r="G5478" i="50"/>
  <c r="U5478" i="50"/>
  <c r="F5478" i="50"/>
  <c r="F5455" i="50"/>
  <c r="U5455" i="50"/>
  <c r="G5455" i="50"/>
  <c r="V5470" i="50"/>
  <c r="F5470" i="50"/>
  <c r="G5470" i="50"/>
  <c r="G5485" i="50"/>
  <c r="U5485" i="50"/>
  <c r="V5485" i="50"/>
  <c r="V5455" i="50"/>
  <c r="G5496" i="50"/>
  <c r="V5464" i="50"/>
  <c r="U5464" i="50"/>
  <c r="G5464" i="50"/>
  <c r="U5470" i="50"/>
  <c r="V5467" i="50"/>
  <c r="U5467" i="50"/>
  <c r="F5467" i="50"/>
  <c r="U5495" i="50"/>
  <c r="G5495" i="50"/>
  <c r="F5495" i="50"/>
  <c r="V5521" i="50"/>
  <c r="U5521" i="50"/>
  <c r="G5521" i="50"/>
  <c r="F5521" i="50"/>
  <c r="F5464" i="50"/>
  <c r="V5506" i="50"/>
  <c r="U5506" i="50"/>
  <c r="G5506" i="50"/>
  <c r="F5506" i="50"/>
  <c r="G5462" i="50"/>
  <c r="V5522" i="50"/>
  <c r="U5522" i="50"/>
  <c r="G5522" i="50"/>
  <c r="F5522" i="50"/>
  <c r="V5465" i="50"/>
  <c r="G5465" i="50"/>
  <c r="F5465" i="50"/>
  <c r="F5469" i="50"/>
  <c r="U5469" i="50"/>
  <c r="G5469" i="50"/>
  <c r="U5460" i="50"/>
  <c r="V5460" i="50"/>
  <c r="G5460" i="50"/>
  <c r="V5495" i="50"/>
  <c r="U5453" i="50"/>
  <c r="G5453" i="50"/>
  <c r="F5453" i="50"/>
  <c r="V5483" i="50"/>
  <c r="F5483" i="50"/>
  <c r="G5483" i="50"/>
  <c r="V5480" i="50"/>
  <c r="F5480" i="50"/>
  <c r="U5480" i="50"/>
  <c r="D5484" i="50"/>
  <c r="E5484" i="50"/>
  <c r="B5508" i="50"/>
  <c r="U5483" i="50"/>
  <c r="U5476" i="50"/>
  <c r="V5476" i="50"/>
  <c r="G5476" i="50"/>
  <c r="U5487" i="50"/>
  <c r="F5487" i="50"/>
  <c r="V5487" i="50"/>
  <c r="F5460" i="50"/>
  <c r="F5468" i="50"/>
  <c r="U5468" i="50"/>
  <c r="G5468" i="50"/>
  <c r="V5499" i="50"/>
  <c r="F5499" i="50"/>
  <c r="G5499" i="50"/>
  <c r="G5480" i="50"/>
  <c r="F5485" i="50"/>
  <c r="B5543" i="50"/>
  <c r="D5543" i="50" s="1"/>
  <c r="E5519" i="50"/>
  <c r="B5547" i="50"/>
  <c r="D5547" i="50" s="1"/>
  <c r="E5523" i="50"/>
  <c r="B5526" i="50"/>
  <c r="D5526" i="50" s="1"/>
  <c r="E5502" i="50"/>
  <c r="V5502" i="50" s="1"/>
  <c r="B5513" i="50"/>
  <c r="D5513" i="50" s="1"/>
  <c r="E5489" i="50"/>
  <c r="V5489" i="50" s="1"/>
  <c r="B5570" i="50"/>
  <c r="D5570" i="50" s="1"/>
  <c r="E5546" i="50"/>
  <c r="B5515" i="50"/>
  <c r="D5515" i="50" s="1"/>
  <c r="E5491" i="50"/>
  <c r="E5538" i="50"/>
  <c r="B5562" i="50"/>
  <c r="D5562" i="50" s="1"/>
  <c r="B5510" i="50"/>
  <c r="D5510" i="50" s="1"/>
  <c r="E5486" i="50"/>
  <c r="V5486" i="50" s="1"/>
  <c r="B5501" i="50"/>
  <c r="D5501" i="50" s="1"/>
  <c r="E5477" i="50"/>
  <c r="F5477" i="50" s="1"/>
  <c r="B5524" i="50"/>
  <c r="D5524" i="50" s="1"/>
  <c r="E5500" i="50"/>
  <c r="B5535" i="50"/>
  <c r="D5535" i="50" s="1"/>
  <c r="E5511" i="50"/>
  <c r="B5531" i="50"/>
  <c r="D5531" i="50" s="1"/>
  <c r="E5507" i="50"/>
  <c r="B5517" i="50"/>
  <c r="D5517" i="50" s="1"/>
  <c r="E5493" i="50"/>
  <c r="F5493" i="50" s="1"/>
  <c r="E5494" i="50"/>
  <c r="B5518" i="50"/>
  <c r="D5518" i="50" s="1"/>
  <c r="B5528" i="50"/>
  <c r="D5528" i="50" s="1"/>
  <c r="E5504" i="50"/>
  <c r="G5504" i="50" s="1"/>
  <c r="B5533" i="50"/>
  <c r="D5533" i="50" s="1"/>
  <c r="E5509" i="50"/>
  <c r="B5554" i="50"/>
  <c r="D5554" i="50" s="1"/>
  <c r="E5530" i="50"/>
  <c r="E5492" i="50"/>
  <c r="B5516" i="50"/>
  <c r="D5516" i="50" s="1"/>
  <c r="E5520" i="50"/>
  <c r="B5544" i="50"/>
  <c r="D5544" i="50" s="1"/>
  <c r="B5512" i="50"/>
  <c r="D5512" i="50" s="1"/>
  <c r="E5488" i="50"/>
  <c r="G5488" i="50" s="1"/>
  <c r="E5529" i="50"/>
  <c r="B5553" i="50"/>
  <c r="D5553" i="50" s="1"/>
  <c r="E5545" i="50"/>
  <c r="U5545" i="50" s="1"/>
  <c r="B5569" i="50"/>
  <c r="D5569" i="50" s="1"/>
  <c r="F5519" i="50" l="1"/>
  <c r="V5519" i="50"/>
  <c r="U5519" i="50"/>
  <c r="F5538" i="50"/>
  <c r="V5538" i="50"/>
  <c r="U5538" i="50"/>
  <c r="G5538" i="50"/>
  <c r="V5523" i="50"/>
  <c r="G5523" i="50"/>
  <c r="U5523" i="50"/>
  <c r="F5523" i="50"/>
  <c r="U5494" i="50"/>
  <c r="V5494" i="50"/>
  <c r="G5494" i="50"/>
  <c r="F5494" i="50"/>
  <c r="V5504" i="50"/>
  <c r="U5504" i="50"/>
  <c r="F5504" i="50"/>
  <c r="V5493" i="50"/>
  <c r="G5493" i="50"/>
  <c r="U5493" i="50"/>
  <c r="V5491" i="50"/>
  <c r="G5491" i="50"/>
  <c r="U5491" i="50"/>
  <c r="F5491" i="50"/>
  <c r="G5519" i="50"/>
  <c r="V5509" i="50"/>
  <c r="U5509" i="50"/>
  <c r="G5509" i="50"/>
  <c r="F5529" i="50"/>
  <c r="V5529" i="50"/>
  <c r="G5529" i="50"/>
  <c r="D5508" i="50"/>
  <c r="B5532" i="50"/>
  <c r="E5508" i="50"/>
  <c r="V5507" i="50"/>
  <c r="G5507" i="50"/>
  <c r="U5507" i="50"/>
  <c r="F5507" i="50"/>
  <c r="V5546" i="50"/>
  <c r="U5546" i="50"/>
  <c r="G5546" i="50"/>
  <c r="F5546" i="50"/>
  <c r="U5484" i="50"/>
  <c r="F5484" i="50"/>
  <c r="G5484" i="50"/>
  <c r="V5484" i="50"/>
  <c r="V5511" i="50"/>
  <c r="F5511" i="50"/>
  <c r="U5511" i="50"/>
  <c r="U5489" i="50"/>
  <c r="F5489" i="50"/>
  <c r="G5489" i="50"/>
  <c r="G5511" i="50"/>
  <c r="U5529" i="50"/>
  <c r="V5545" i="50"/>
  <c r="G5545" i="50"/>
  <c r="F5545" i="50"/>
  <c r="F5500" i="50"/>
  <c r="G5500" i="50"/>
  <c r="U5500" i="50"/>
  <c r="U5479" i="50"/>
  <c r="G5479" i="50"/>
  <c r="F5479" i="50"/>
  <c r="F5486" i="50"/>
  <c r="U5486" i="50"/>
  <c r="G5486" i="50"/>
  <c r="V5488" i="50"/>
  <c r="U5488" i="50"/>
  <c r="F5488" i="50"/>
  <c r="V5520" i="50"/>
  <c r="U5520" i="50"/>
  <c r="F5520" i="50"/>
  <c r="V5492" i="50"/>
  <c r="U5492" i="50"/>
  <c r="G5492" i="50"/>
  <c r="F5492" i="50"/>
  <c r="G5520" i="50"/>
  <c r="F5509" i="50"/>
  <c r="D5503" i="50"/>
  <c r="B5527" i="50"/>
  <c r="E5503" i="50"/>
  <c r="V5530" i="50"/>
  <c r="U5530" i="50"/>
  <c r="G5530" i="50"/>
  <c r="F5530" i="50"/>
  <c r="V5477" i="50"/>
  <c r="U5477" i="50"/>
  <c r="G5477" i="50"/>
  <c r="G5502" i="50"/>
  <c r="U5502" i="50"/>
  <c r="F5502" i="50"/>
  <c r="V5500" i="50"/>
  <c r="V5479" i="50"/>
  <c r="B5525" i="50"/>
  <c r="D5525" i="50" s="1"/>
  <c r="E5501" i="50"/>
  <c r="B5559" i="50"/>
  <c r="D5559" i="50" s="1"/>
  <c r="E5535" i="50"/>
  <c r="G5535" i="50" s="1"/>
  <c r="B5541" i="50"/>
  <c r="D5541" i="50" s="1"/>
  <c r="E5517" i="50"/>
  <c r="B5539" i="50"/>
  <c r="D5539" i="50" s="1"/>
  <c r="E5515" i="50"/>
  <c r="B5550" i="50"/>
  <c r="D5550" i="50" s="1"/>
  <c r="E5526" i="50"/>
  <c r="B5557" i="50"/>
  <c r="D5557" i="50" s="1"/>
  <c r="E5533" i="50"/>
  <c r="E5570" i="50"/>
  <c r="B5594" i="50"/>
  <c r="D5594" i="50" s="1"/>
  <c r="E5554" i="50"/>
  <c r="B5578" i="50"/>
  <c r="D5578" i="50" s="1"/>
  <c r="B5552" i="50"/>
  <c r="D5552" i="50" s="1"/>
  <c r="E5528" i="50"/>
  <c r="B5593" i="50"/>
  <c r="D5593" i="50" s="1"/>
  <c r="E5569" i="50"/>
  <c r="B5540" i="50"/>
  <c r="D5540" i="50" s="1"/>
  <c r="E5516" i="50"/>
  <c r="B5542" i="50"/>
  <c r="D5542" i="50" s="1"/>
  <c r="E5518" i="50"/>
  <c r="B5534" i="50"/>
  <c r="D5534" i="50" s="1"/>
  <c r="E5510" i="50"/>
  <c r="E5547" i="50"/>
  <c r="B5571" i="50"/>
  <c r="D5571" i="50" s="1"/>
  <c r="E5531" i="50"/>
  <c r="B5555" i="50"/>
  <c r="D5555" i="50" s="1"/>
  <c r="B5586" i="50"/>
  <c r="D5586" i="50" s="1"/>
  <c r="E5562" i="50"/>
  <c r="B5536" i="50"/>
  <c r="D5536" i="50" s="1"/>
  <c r="E5512" i="50"/>
  <c r="E5524" i="50"/>
  <c r="F5524" i="50" s="1"/>
  <c r="B5548" i="50"/>
  <c r="D5548" i="50" s="1"/>
  <c r="B5568" i="50"/>
  <c r="D5568" i="50" s="1"/>
  <c r="E5544" i="50"/>
  <c r="V5544" i="50" s="1"/>
  <c r="B5577" i="50"/>
  <c r="D5577" i="50" s="1"/>
  <c r="E5553" i="50"/>
  <c r="E5513" i="50"/>
  <c r="U5513" i="50" s="1"/>
  <c r="B5537" i="50"/>
  <c r="D5537" i="50" s="1"/>
  <c r="E5543" i="50"/>
  <c r="G5543" i="50" s="1"/>
  <c r="B5567" i="50"/>
  <c r="D5567" i="50" s="1"/>
  <c r="F5512" i="50" l="1"/>
  <c r="V5512" i="50"/>
  <c r="U5512" i="50"/>
  <c r="V5528" i="50"/>
  <c r="F5528" i="50"/>
  <c r="U5528" i="50"/>
  <c r="G5528" i="50"/>
  <c r="V5569" i="50"/>
  <c r="U5569" i="50"/>
  <c r="G5569" i="50"/>
  <c r="F5569" i="50"/>
  <c r="V5562" i="50"/>
  <c r="U5562" i="50"/>
  <c r="G5562" i="50"/>
  <c r="F5562" i="50"/>
  <c r="V5535" i="50"/>
  <c r="U5535" i="50"/>
  <c r="F5535" i="50"/>
  <c r="G5512" i="50"/>
  <c r="V5554" i="50"/>
  <c r="U5554" i="50"/>
  <c r="G5554" i="50"/>
  <c r="F5554" i="50"/>
  <c r="U5503" i="50"/>
  <c r="G5503" i="50"/>
  <c r="F5503" i="50"/>
  <c r="F5501" i="50"/>
  <c r="G5501" i="50"/>
  <c r="V5501" i="50"/>
  <c r="U5501" i="50"/>
  <c r="U5570" i="50"/>
  <c r="G5570" i="50"/>
  <c r="F5570" i="50"/>
  <c r="V5570" i="50"/>
  <c r="V5503" i="50"/>
  <c r="D5527" i="50"/>
  <c r="E5527" i="50"/>
  <c r="B5551" i="50"/>
  <c r="G5533" i="50"/>
  <c r="F5533" i="50"/>
  <c r="V5533" i="50"/>
  <c r="U5533" i="50"/>
  <c r="G5547" i="50"/>
  <c r="F5547" i="50"/>
  <c r="V5547" i="50"/>
  <c r="U5547" i="50"/>
  <c r="F5510" i="50"/>
  <c r="V5510" i="50"/>
  <c r="G5510" i="50"/>
  <c r="U5526" i="50"/>
  <c r="V5526" i="50"/>
  <c r="G5526" i="50"/>
  <c r="F5526" i="50"/>
  <c r="U5510" i="50"/>
  <c r="U5508" i="50"/>
  <c r="V5508" i="50"/>
  <c r="G5508" i="50"/>
  <c r="F5513" i="50"/>
  <c r="V5513" i="50"/>
  <c r="G5513" i="50"/>
  <c r="U5518" i="50"/>
  <c r="F5518" i="50"/>
  <c r="G5518" i="50"/>
  <c r="V5515" i="50"/>
  <c r="G5515" i="50"/>
  <c r="F5515" i="50"/>
  <c r="D5532" i="50"/>
  <c r="B5556" i="50"/>
  <c r="E5532" i="50"/>
  <c r="V5553" i="50"/>
  <c r="U5553" i="50"/>
  <c r="G5553" i="50"/>
  <c r="F5553" i="50"/>
  <c r="F5508" i="50"/>
  <c r="U5524" i="50"/>
  <c r="V5524" i="50"/>
  <c r="G5524" i="50"/>
  <c r="V5543" i="50"/>
  <c r="U5543" i="50"/>
  <c r="F5543" i="50"/>
  <c r="F5544" i="50"/>
  <c r="U5544" i="50"/>
  <c r="G5544" i="50"/>
  <c r="G5516" i="50"/>
  <c r="U5516" i="50"/>
  <c r="F5516" i="50"/>
  <c r="U5517" i="50"/>
  <c r="G5517" i="50"/>
  <c r="F5517" i="50"/>
  <c r="V5517" i="50"/>
  <c r="V5516" i="50"/>
  <c r="U5515" i="50"/>
  <c r="G5531" i="50"/>
  <c r="F5531" i="50"/>
  <c r="V5531" i="50"/>
  <c r="U5531" i="50"/>
  <c r="V5518" i="50"/>
  <c r="B5579" i="50"/>
  <c r="D5579" i="50" s="1"/>
  <c r="E5555" i="50"/>
  <c r="B5581" i="50"/>
  <c r="D5581" i="50" s="1"/>
  <c r="E5557" i="50"/>
  <c r="B5574" i="50"/>
  <c r="D5574" i="50" s="1"/>
  <c r="E5550" i="50"/>
  <c r="V5550" i="50" s="1"/>
  <c r="E5593" i="50"/>
  <c r="B5617" i="50"/>
  <c r="D5617" i="50" s="1"/>
  <c r="B5572" i="50"/>
  <c r="D5572" i="50" s="1"/>
  <c r="E5548" i="50"/>
  <c r="B5595" i="50"/>
  <c r="D5595" i="50" s="1"/>
  <c r="E5571" i="50"/>
  <c r="B5563" i="50"/>
  <c r="D5563" i="50" s="1"/>
  <c r="E5539" i="50"/>
  <c r="E5559" i="50"/>
  <c r="B5583" i="50"/>
  <c r="D5583" i="50" s="1"/>
  <c r="E5536" i="50"/>
  <c r="G5536" i="50" s="1"/>
  <c r="B5560" i="50"/>
  <c r="D5560" i="50" s="1"/>
  <c r="E5552" i="50"/>
  <c r="B5576" i="50"/>
  <c r="D5576" i="50" s="1"/>
  <c r="B5602" i="50"/>
  <c r="D5602" i="50" s="1"/>
  <c r="E5578" i="50"/>
  <c r="B5565" i="50"/>
  <c r="D5565" i="50" s="1"/>
  <c r="E5541" i="50"/>
  <c r="E5577" i="50"/>
  <c r="U5577" i="50" s="1"/>
  <c r="B5601" i="50"/>
  <c r="D5601" i="50" s="1"/>
  <c r="E5586" i="50"/>
  <c r="B5610" i="50"/>
  <c r="D5610" i="50" s="1"/>
  <c r="B5558" i="50"/>
  <c r="D5558" i="50" s="1"/>
  <c r="E5534" i="50"/>
  <c r="B5561" i="50"/>
  <c r="D5561" i="50" s="1"/>
  <c r="E5537" i="50"/>
  <c r="E5568" i="50"/>
  <c r="B5592" i="50"/>
  <c r="D5592" i="50" s="1"/>
  <c r="B5549" i="50"/>
  <c r="D5549" i="50" s="1"/>
  <c r="E5525" i="50"/>
  <c r="B5566" i="50"/>
  <c r="D5566" i="50" s="1"/>
  <c r="E5542" i="50"/>
  <c r="B5618" i="50"/>
  <c r="D5618" i="50" s="1"/>
  <c r="E5594" i="50"/>
  <c r="B5591" i="50"/>
  <c r="D5591" i="50" s="1"/>
  <c r="E5567" i="50"/>
  <c r="G5567" i="50" s="1"/>
  <c r="E5540" i="50"/>
  <c r="F5540" i="50" s="1"/>
  <c r="B5564" i="50"/>
  <c r="D5564" i="50" s="1"/>
  <c r="V5552" i="50" l="1"/>
  <c r="U5552" i="50"/>
  <c r="F5552" i="50"/>
  <c r="V5555" i="50"/>
  <c r="U5555" i="50"/>
  <c r="F5555" i="50"/>
  <c r="G5555" i="50"/>
  <c r="V5568" i="50"/>
  <c r="U5568" i="50"/>
  <c r="F5568" i="50"/>
  <c r="F5559" i="50"/>
  <c r="V5559" i="50"/>
  <c r="U5559" i="50"/>
  <c r="U5532" i="50"/>
  <c r="V5532" i="50"/>
  <c r="F5532" i="50"/>
  <c r="G5532" i="50"/>
  <c r="F5534" i="50"/>
  <c r="U5534" i="50"/>
  <c r="G5534" i="50"/>
  <c r="G5539" i="50"/>
  <c r="U5539" i="50"/>
  <c r="F5539" i="50"/>
  <c r="G5568" i="50"/>
  <c r="D5556" i="50"/>
  <c r="E5556" i="50"/>
  <c r="B5580" i="50"/>
  <c r="G5559" i="50"/>
  <c r="V5540" i="50"/>
  <c r="G5540" i="50"/>
  <c r="U5540" i="50"/>
  <c r="V5534" i="50"/>
  <c r="D5551" i="50"/>
  <c r="E5551" i="50"/>
  <c r="B5575" i="50"/>
  <c r="G5552" i="50"/>
  <c r="V5537" i="50"/>
  <c r="U5537" i="50"/>
  <c r="G5537" i="50"/>
  <c r="F5537" i="50"/>
  <c r="V5571" i="50"/>
  <c r="G5571" i="50"/>
  <c r="U5571" i="50"/>
  <c r="F5571" i="50"/>
  <c r="V5527" i="50"/>
  <c r="U5527" i="50"/>
  <c r="F5527" i="50"/>
  <c r="V5586" i="50"/>
  <c r="U5586" i="50"/>
  <c r="G5586" i="50"/>
  <c r="F5586" i="50"/>
  <c r="G5527" i="50"/>
  <c r="G5548" i="50"/>
  <c r="U5548" i="50"/>
  <c r="V5548" i="50"/>
  <c r="F5548" i="50"/>
  <c r="F5577" i="50"/>
  <c r="V5577" i="50"/>
  <c r="G5577" i="50"/>
  <c r="U5541" i="50"/>
  <c r="V5541" i="50"/>
  <c r="G5541" i="50"/>
  <c r="F5541" i="50"/>
  <c r="V5536" i="50"/>
  <c r="U5536" i="50"/>
  <c r="F5536" i="50"/>
  <c r="U5542" i="50"/>
  <c r="F5542" i="50"/>
  <c r="V5542" i="50"/>
  <c r="G5542" i="50"/>
  <c r="V5593" i="50"/>
  <c r="G5593" i="50"/>
  <c r="F5593" i="50"/>
  <c r="U5593" i="50"/>
  <c r="V5594" i="50"/>
  <c r="U5594" i="50"/>
  <c r="G5594" i="50"/>
  <c r="F5594" i="50"/>
  <c r="U5525" i="50"/>
  <c r="V5525" i="50"/>
  <c r="G5525" i="50"/>
  <c r="F5525" i="50"/>
  <c r="V5578" i="50"/>
  <c r="U5578" i="50"/>
  <c r="G5578" i="50"/>
  <c r="F5578" i="50"/>
  <c r="U5550" i="50"/>
  <c r="G5550" i="50"/>
  <c r="F5550" i="50"/>
  <c r="V5557" i="50"/>
  <c r="G5557" i="50"/>
  <c r="F5557" i="50"/>
  <c r="U5557" i="50"/>
  <c r="V5567" i="50"/>
  <c r="U5567" i="50"/>
  <c r="F5567" i="50"/>
  <c r="V5539" i="50"/>
  <c r="B5582" i="50"/>
  <c r="D5582" i="50" s="1"/>
  <c r="E5558" i="50"/>
  <c r="E5563" i="50"/>
  <c r="B5587" i="50"/>
  <c r="D5587" i="50" s="1"/>
  <c r="E5591" i="50"/>
  <c r="B5615" i="50"/>
  <c r="D5615" i="50" s="1"/>
  <c r="B5598" i="50"/>
  <c r="D5598" i="50" s="1"/>
  <c r="E5574" i="50"/>
  <c r="B5634" i="50"/>
  <c r="D5634" i="50" s="1"/>
  <c r="E5610" i="50"/>
  <c r="B5589" i="50"/>
  <c r="D5589" i="50" s="1"/>
  <c r="E5565" i="50"/>
  <c r="B5600" i="50"/>
  <c r="D5600" i="50" s="1"/>
  <c r="E5576" i="50"/>
  <c r="E5561" i="50"/>
  <c r="U5561" i="50" s="1"/>
  <c r="B5585" i="50"/>
  <c r="D5585" i="50" s="1"/>
  <c r="E5595" i="50"/>
  <c r="B5619" i="50"/>
  <c r="D5619" i="50" s="1"/>
  <c r="B5605" i="50"/>
  <c r="D5605" i="50" s="1"/>
  <c r="E5581" i="50"/>
  <c r="B5590" i="50"/>
  <c r="D5590" i="50" s="1"/>
  <c r="E5566" i="50"/>
  <c r="V5566" i="50" s="1"/>
  <c r="B5573" i="50"/>
  <c r="D5573" i="50" s="1"/>
  <c r="E5549" i="50"/>
  <c r="B5625" i="50"/>
  <c r="D5625" i="50" s="1"/>
  <c r="E5601" i="50"/>
  <c r="E5602" i="50"/>
  <c r="B5626" i="50"/>
  <c r="D5626" i="50" s="1"/>
  <c r="B5584" i="50"/>
  <c r="D5584" i="50" s="1"/>
  <c r="E5560" i="50"/>
  <c r="E5618" i="50"/>
  <c r="B5642" i="50"/>
  <c r="D5642" i="50" s="1"/>
  <c r="B5607" i="50"/>
  <c r="D5607" i="50" s="1"/>
  <c r="E5583" i="50"/>
  <c r="G5583" i="50" s="1"/>
  <c r="B5641" i="50"/>
  <c r="D5641" i="50" s="1"/>
  <c r="E5617" i="50"/>
  <c r="B5616" i="50"/>
  <c r="D5616" i="50" s="1"/>
  <c r="E5592" i="50"/>
  <c r="B5588" i="50"/>
  <c r="D5588" i="50" s="1"/>
  <c r="E5564" i="50"/>
  <c r="E5572" i="50"/>
  <c r="F5572" i="50" s="1"/>
  <c r="B5596" i="50"/>
  <c r="D5596" i="50" s="1"/>
  <c r="E5579" i="50"/>
  <c r="B5603" i="50"/>
  <c r="D5603" i="50" s="1"/>
  <c r="F5574" i="50" l="1"/>
  <c r="U5574" i="50"/>
  <c r="V5574" i="50"/>
  <c r="G5574" i="50"/>
  <c r="D5580" i="50"/>
  <c r="E5580" i="50"/>
  <c r="B5604" i="50"/>
  <c r="V5591" i="50"/>
  <c r="U5591" i="50"/>
  <c r="F5591" i="50"/>
  <c r="U5556" i="50"/>
  <c r="V5556" i="50"/>
  <c r="G5556" i="50"/>
  <c r="F5556" i="50"/>
  <c r="F5581" i="50"/>
  <c r="V5581" i="50"/>
  <c r="U5581" i="50"/>
  <c r="G5581" i="50"/>
  <c r="F5563" i="50"/>
  <c r="G5563" i="50"/>
  <c r="V5563" i="50"/>
  <c r="U5563" i="50"/>
  <c r="F5549" i="50"/>
  <c r="V5549" i="50"/>
  <c r="G5549" i="50"/>
  <c r="U5549" i="50"/>
  <c r="V5617" i="50"/>
  <c r="U5617" i="50"/>
  <c r="G5617" i="50"/>
  <c r="F5617" i="50"/>
  <c r="U5558" i="50"/>
  <c r="F5558" i="50"/>
  <c r="G5558" i="50"/>
  <c r="V5558" i="50"/>
  <c r="G5618" i="50"/>
  <c r="F5618" i="50"/>
  <c r="V5618" i="50"/>
  <c r="U5618" i="50"/>
  <c r="F5561" i="50"/>
  <c r="V5561" i="50"/>
  <c r="G5561" i="50"/>
  <c r="F5592" i="50"/>
  <c r="V5592" i="50"/>
  <c r="U5592" i="50"/>
  <c r="G5592" i="50"/>
  <c r="F5560" i="50"/>
  <c r="V5560" i="50"/>
  <c r="U5560" i="50"/>
  <c r="G5560" i="50"/>
  <c r="F5579" i="50"/>
  <c r="G5579" i="50"/>
  <c r="V5579" i="50"/>
  <c r="U5579" i="50"/>
  <c r="D5575" i="50"/>
  <c r="B5599" i="50"/>
  <c r="E5575" i="50"/>
  <c r="F5583" i="50"/>
  <c r="V5583" i="50"/>
  <c r="U5583" i="50"/>
  <c r="V5576" i="50"/>
  <c r="F5576" i="50"/>
  <c r="U5576" i="50"/>
  <c r="G5576" i="50"/>
  <c r="V5551" i="50"/>
  <c r="U5551" i="50"/>
  <c r="F5551" i="50"/>
  <c r="F5595" i="50"/>
  <c r="G5595" i="50"/>
  <c r="V5595" i="50"/>
  <c r="U5595" i="50"/>
  <c r="U5572" i="50"/>
  <c r="V5572" i="50"/>
  <c r="G5572" i="50"/>
  <c r="G5602" i="50"/>
  <c r="F5602" i="50"/>
  <c r="V5602" i="50"/>
  <c r="U5602" i="50"/>
  <c r="G5551" i="50"/>
  <c r="G5566" i="50"/>
  <c r="F5566" i="50"/>
  <c r="U5566" i="50"/>
  <c r="G5564" i="50"/>
  <c r="U5564" i="50"/>
  <c r="V5564" i="50"/>
  <c r="F5564" i="50"/>
  <c r="V5601" i="50"/>
  <c r="U5601" i="50"/>
  <c r="G5601" i="50"/>
  <c r="F5601" i="50"/>
  <c r="U5565" i="50"/>
  <c r="G5565" i="50"/>
  <c r="F5565" i="50"/>
  <c r="V5565" i="50"/>
  <c r="G5591" i="50"/>
  <c r="V5610" i="50"/>
  <c r="U5610" i="50"/>
  <c r="G5610" i="50"/>
  <c r="F5610" i="50"/>
  <c r="E5588" i="50"/>
  <c r="F5588" i="50" s="1"/>
  <c r="B5612" i="50"/>
  <c r="D5612" i="50" s="1"/>
  <c r="B5611" i="50"/>
  <c r="D5611" i="50" s="1"/>
  <c r="E5587" i="50"/>
  <c r="E5634" i="50"/>
  <c r="B5658" i="50"/>
  <c r="D5658" i="50" s="1"/>
  <c r="E5607" i="50"/>
  <c r="G5607" i="50" s="1"/>
  <c r="B5631" i="50"/>
  <c r="D5631" i="50" s="1"/>
  <c r="E5584" i="50"/>
  <c r="G5584" i="50" s="1"/>
  <c r="B5608" i="50"/>
  <c r="D5608" i="50" s="1"/>
  <c r="B5614" i="50"/>
  <c r="D5614" i="50" s="1"/>
  <c r="E5590" i="50"/>
  <c r="B5650" i="50"/>
  <c r="D5650" i="50" s="1"/>
  <c r="E5626" i="50"/>
  <c r="B5639" i="50"/>
  <c r="D5639" i="50" s="1"/>
  <c r="E5615" i="50"/>
  <c r="B5606" i="50"/>
  <c r="D5606" i="50" s="1"/>
  <c r="E5582" i="50"/>
  <c r="V5582" i="50" s="1"/>
  <c r="E5616" i="50"/>
  <c r="G5616" i="50" s="1"/>
  <c r="B5640" i="50"/>
  <c r="D5640" i="50" s="1"/>
  <c r="B5627" i="50"/>
  <c r="D5627" i="50" s="1"/>
  <c r="E5603" i="50"/>
  <c r="B5629" i="50"/>
  <c r="D5629" i="50" s="1"/>
  <c r="E5605" i="50"/>
  <c r="B5643" i="50"/>
  <c r="D5643" i="50" s="1"/>
  <c r="E5619" i="50"/>
  <c r="U5619" i="50" s="1"/>
  <c r="B5622" i="50"/>
  <c r="D5622" i="50" s="1"/>
  <c r="E5598" i="50"/>
  <c r="E5625" i="50"/>
  <c r="U5625" i="50" s="1"/>
  <c r="B5649" i="50"/>
  <c r="D5649" i="50" s="1"/>
  <c r="E5641" i="50"/>
  <c r="U5641" i="50" s="1"/>
  <c r="B5665" i="50"/>
  <c r="D5665" i="50" s="1"/>
  <c r="B5666" i="50"/>
  <c r="D5666" i="50" s="1"/>
  <c r="E5642" i="50"/>
  <c r="B5609" i="50"/>
  <c r="D5609" i="50" s="1"/>
  <c r="E5585" i="50"/>
  <c r="E5600" i="50"/>
  <c r="B5624" i="50"/>
  <c r="D5624" i="50" s="1"/>
  <c r="B5620" i="50"/>
  <c r="D5620" i="50" s="1"/>
  <c r="E5596" i="50"/>
  <c r="B5597" i="50"/>
  <c r="D5597" i="50" s="1"/>
  <c r="E5573" i="50"/>
  <c r="B5613" i="50"/>
  <c r="D5613" i="50" s="1"/>
  <c r="E5589" i="50"/>
  <c r="V5589" i="50" l="1"/>
  <c r="U5589" i="50"/>
  <c r="G5589" i="50"/>
  <c r="F5589" i="50"/>
  <c r="G5598" i="50"/>
  <c r="F5598" i="50"/>
  <c r="U5598" i="50"/>
  <c r="V5615" i="50"/>
  <c r="U5615" i="50"/>
  <c r="F5615" i="50"/>
  <c r="D5599" i="50"/>
  <c r="B5623" i="50"/>
  <c r="E5599" i="50"/>
  <c r="G5575" i="50"/>
  <c r="U5573" i="50"/>
  <c r="V5573" i="50"/>
  <c r="G5573" i="50"/>
  <c r="F5573" i="50"/>
  <c r="V5626" i="50"/>
  <c r="U5626" i="50"/>
  <c r="G5626" i="50"/>
  <c r="F5626" i="50"/>
  <c r="U5575" i="50"/>
  <c r="V5575" i="50"/>
  <c r="F5575" i="50"/>
  <c r="D5604" i="50"/>
  <c r="B5628" i="50"/>
  <c r="E5604" i="50"/>
  <c r="U5596" i="50"/>
  <c r="G5596" i="50"/>
  <c r="F5596" i="50"/>
  <c r="U5580" i="50"/>
  <c r="G5580" i="50"/>
  <c r="V5580" i="50"/>
  <c r="F5580" i="50"/>
  <c r="G5582" i="50"/>
  <c r="U5582" i="50"/>
  <c r="F5582" i="50"/>
  <c r="V5600" i="50"/>
  <c r="U5600" i="50"/>
  <c r="F5600" i="50"/>
  <c r="V5584" i="50"/>
  <c r="U5584" i="50"/>
  <c r="F5584" i="50"/>
  <c r="V5585" i="50"/>
  <c r="U5585" i="50"/>
  <c r="G5585" i="50"/>
  <c r="F5585" i="50"/>
  <c r="G5615" i="50"/>
  <c r="V5607" i="50"/>
  <c r="U5607" i="50"/>
  <c r="F5607" i="50"/>
  <c r="G5600" i="50"/>
  <c r="V5598" i="50"/>
  <c r="V5642" i="50"/>
  <c r="U5642" i="50"/>
  <c r="G5642" i="50"/>
  <c r="F5642" i="50"/>
  <c r="U5603" i="50"/>
  <c r="F5603" i="50"/>
  <c r="V5603" i="50"/>
  <c r="G5603" i="50"/>
  <c r="V5634" i="50"/>
  <c r="U5634" i="50"/>
  <c r="G5634" i="50"/>
  <c r="F5634" i="50"/>
  <c r="V5588" i="50"/>
  <c r="U5588" i="50"/>
  <c r="G5588" i="50"/>
  <c r="U5590" i="50"/>
  <c r="F5590" i="50"/>
  <c r="V5590" i="50"/>
  <c r="G5590" i="50"/>
  <c r="V5596" i="50"/>
  <c r="G5587" i="50"/>
  <c r="F5587" i="50"/>
  <c r="V5587" i="50"/>
  <c r="U5587" i="50"/>
  <c r="V5625" i="50"/>
  <c r="G5625" i="50"/>
  <c r="F5625" i="50"/>
  <c r="G5619" i="50"/>
  <c r="F5619" i="50"/>
  <c r="V5619" i="50"/>
  <c r="V5605" i="50"/>
  <c r="U5605" i="50"/>
  <c r="G5605" i="50"/>
  <c r="F5605" i="50"/>
  <c r="V5641" i="50"/>
  <c r="G5641" i="50"/>
  <c r="F5641" i="50"/>
  <c r="V5616" i="50"/>
  <c r="U5616" i="50"/>
  <c r="F5616" i="50"/>
  <c r="B5621" i="50"/>
  <c r="D5621" i="50" s="1"/>
  <c r="E5597" i="50"/>
  <c r="B5632" i="50"/>
  <c r="D5632" i="50" s="1"/>
  <c r="E5608" i="50"/>
  <c r="B5646" i="50"/>
  <c r="D5646" i="50" s="1"/>
  <c r="E5622" i="50"/>
  <c r="E5639" i="50"/>
  <c r="B5663" i="50"/>
  <c r="D5663" i="50" s="1"/>
  <c r="B5653" i="50"/>
  <c r="D5653" i="50" s="1"/>
  <c r="E5629" i="50"/>
  <c r="B5682" i="50"/>
  <c r="D5682" i="50" s="1"/>
  <c r="E5658" i="50"/>
  <c r="E5666" i="50"/>
  <c r="B5690" i="50"/>
  <c r="D5690" i="50" s="1"/>
  <c r="B5673" i="50"/>
  <c r="D5673" i="50" s="1"/>
  <c r="E5649" i="50"/>
  <c r="E5620" i="50"/>
  <c r="B5644" i="50"/>
  <c r="D5644" i="50" s="1"/>
  <c r="B5689" i="50"/>
  <c r="D5689" i="50" s="1"/>
  <c r="E5665" i="50"/>
  <c r="B5655" i="50"/>
  <c r="D5655" i="50" s="1"/>
  <c r="E5631" i="50"/>
  <c r="G5631" i="50" s="1"/>
  <c r="E5643" i="50"/>
  <c r="V5643" i="50" s="1"/>
  <c r="B5667" i="50"/>
  <c r="D5667" i="50" s="1"/>
  <c r="E5611" i="50"/>
  <c r="V5611" i="50" s="1"/>
  <c r="B5635" i="50"/>
  <c r="D5635" i="50" s="1"/>
  <c r="B5648" i="50"/>
  <c r="D5648" i="50" s="1"/>
  <c r="E5624" i="50"/>
  <c r="E5627" i="50"/>
  <c r="V5627" i="50" s="1"/>
  <c r="B5651" i="50"/>
  <c r="D5651" i="50" s="1"/>
  <c r="E5650" i="50"/>
  <c r="B5674" i="50"/>
  <c r="D5674" i="50" s="1"/>
  <c r="B5664" i="50"/>
  <c r="D5664" i="50" s="1"/>
  <c r="E5640" i="50"/>
  <c r="B5636" i="50"/>
  <c r="D5636" i="50" s="1"/>
  <c r="E5612" i="50"/>
  <c r="E5609" i="50"/>
  <c r="B5633" i="50"/>
  <c r="D5633" i="50" s="1"/>
  <c r="B5638" i="50"/>
  <c r="D5638" i="50" s="1"/>
  <c r="E5614" i="50"/>
  <c r="B5637" i="50"/>
  <c r="D5637" i="50" s="1"/>
  <c r="E5613" i="50"/>
  <c r="B5630" i="50"/>
  <c r="D5630" i="50" s="1"/>
  <c r="E5606" i="50"/>
  <c r="V5639" i="50" l="1"/>
  <c r="U5639" i="50"/>
  <c r="F5639" i="50"/>
  <c r="V5604" i="50"/>
  <c r="U5604" i="50"/>
  <c r="G5604" i="50"/>
  <c r="G5639" i="50"/>
  <c r="U5622" i="50"/>
  <c r="V5622" i="50"/>
  <c r="G5622" i="50"/>
  <c r="F5622" i="50"/>
  <c r="D5628" i="50"/>
  <c r="B5652" i="50"/>
  <c r="E5628" i="50"/>
  <c r="V5599" i="50"/>
  <c r="F5599" i="50"/>
  <c r="U5599" i="50"/>
  <c r="F5604" i="50"/>
  <c r="D5623" i="50"/>
  <c r="E5623" i="50"/>
  <c r="B5647" i="50"/>
  <c r="F5608" i="50"/>
  <c r="V5608" i="50"/>
  <c r="U5608" i="50"/>
  <c r="G5608" i="50"/>
  <c r="G5599" i="50"/>
  <c r="F5609" i="50"/>
  <c r="V5609" i="50"/>
  <c r="G5609" i="50"/>
  <c r="U5649" i="50"/>
  <c r="G5649" i="50"/>
  <c r="F5649" i="50"/>
  <c r="V5649" i="50"/>
  <c r="V5597" i="50"/>
  <c r="U5597" i="50"/>
  <c r="G5597" i="50"/>
  <c r="F5597" i="50"/>
  <c r="V5665" i="50"/>
  <c r="U5665" i="50"/>
  <c r="G5665" i="50"/>
  <c r="F5665" i="50"/>
  <c r="U5606" i="50"/>
  <c r="F5606" i="50"/>
  <c r="V5606" i="50"/>
  <c r="G5606" i="50"/>
  <c r="V5624" i="50"/>
  <c r="U5624" i="50"/>
  <c r="G5624" i="50"/>
  <c r="F5624" i="50"/>
  <c r="U5612" i="50"/>
  <c r="G5612" i="50"/>
  <c r="F5612" i="50"/>
  <c r="V5666" i="50"/>
  <c r="U5666" i="50"/>
  <c r="G5666" i="50"/>
  <c r="F5666" i="50"/>
  <c r="V5650" i="50"/>
  <c r="U5650" i="50"/>
  <c r="G5650" i="50"/>
  <c r="F5650" i="50"/>
  <c r="F5613" i="50"/>
  <c r="V5613" i="50"/>
  <c r="U5613" i="50"/>
  <c r="G5613" i="50"/>
  <c r="V5658" i="50"/>
  <c r="U5658" i="50"/>
  <c r="G5658" i="50"/>
  <c r="F5658" i="50"/>
  <c r="U5609" i="50"/>
  <c r="V5620" i="50"/>
  <c r="U5620" i="50"/>
  <c r="G5620" i="50"/>
  <c r="G5611" i="50"/>
  <c r="F5611" i="50"/>
  <c r="U5611" i="50"/>
  <c r="F5620" i="50"/>
  <c r="G5614" i="50"/>
  <c r="V5614" i="50"/>
  <c r="F5614" i="50"/>
  <c r="U5614" i="50"/>
  <c r="F5629" i="50"/>
  <c r="V5629" i="50"/>
  <c r="U5629" i="50"/>
  <c r="G5629" i="50"/>
  <c r="V5612" i="50"/>
  <c r="F5640" i="50"/>
  <c r="G5640" i="50"/>
  <c r="U5640" i="50"/>
  <c r="G5627" i="50"/>
  <c r="F5627" i="50"/>
  <c r="U5627" i="50"/>
  <c r="G5643" i="50"/>
  <c r="F5643" i="50"/>
  <c r="U5643" i="50"/>
  <c r="V5640" i="50"/>
  <c r="V5631" i="50"/>
  <c r="U5631" i="50"/>
  <c r="F5631" i="50"/>
  <c r="E5664" i="50"/>
  <c r="B5688" i="50"/>
  <c r="D5688" i="50" s="1"/>
  <c r="B5670" i="50"/>
  <c r="D5670" i="50" s="1"/>
  <c r="E5646" i="50"/>
  <c r="V5646" i="50" s="1"/>
  <c r="E5655" i="50"/>
  <c r="G5655" i="50" s="1"/>
  <c r="B5679" i="50"/>
  <c r="D5679" i="50" s="1"/>
  <c r="E5632" i="50"/>
  <c r="B5656" i="50"/>
  <c r="D5656" i="50" s="1"/>
  <c r="B5675" i="50"/>
  <c r="D5675" i="50" s="1"/>
  <c r="E5651" i="50"/>
  <c r="U5651" i="50" s="1"/>
  <c r="E5689" i="50"/>
  <c r="B5713" i="50"/>
  <c r="D5713" i="50" s="1"/>
  <c r="E5682" i="50"/>
  <c r="B5706" i="50"/>
  <c r="D5706" i="50" s="1"/>
  <c r="B5668" i="50"/>
  <c r="D5668" i="50" s="1"/>
  <c r="E5644" i="50"/>
  <c r="E5673" i="50"/>
  <c r="B5697" i="50"/>
  <c r="D5697" i="50" s="1"/>
  <c r="B5698" i="50"/>
  <c r="D5698" i="50" s="1"/>
  <c r="E5674" i="50"/>
  <c r="B5662" i="50"/>
  <c r="D5662" i="50" s="1"/>
  <c r="E5638" i="50"/>
  <c r="B5714" i="50"/>
  <c r="D5714" i="50" s="1"/>
  <c r="E5690" i="50"/>
  <c r="B5687" i="50"/>
  <c r="D5687" i="50" s="1"/>
  <c r="E5663" i="50"/>
  <c r="G5663" i="50" s="1"/>
  <c r="E5636" i="50"/>
  <c r="B5660" i="50"/>
  <c r="D5660" i="50" s="1"/>
  <c r="B5654" i="50"/>
  <c r="D5654" i="50" s="1"/>
  <c r="E5630" i="50"/>
  <c r="E5648" i="50"/>
  <c r="G5648" i="50" s="1"/>
  <c r="B5672" i="50"/>
  <c r="D5672" i="50" s="1"/>
  <c r="B5691" i="50"/>
  <c r="D5691" i="50" s="1"/>
  <c r="E5667" i="50"/>
  <c r="U5667" i="50" s="1"/>
  <c r="B5677" i="50"/>
  <c r="D5677" i="50" s="1"/>
  <c r="E5653" i="50"/>
  <c r="B5661" i="50"/>
  <c r="D5661" i="50" s="1"/>
  <c r="E5637" i="50"/>
  <c r="B5657" i="50"/>
  <c r="D5657" i="50" s="1"/>
  <c r="E5633" i="50"/>
  <c r="B5645" i="50"/>
  <c r="D5645" i="50" s="1"/>
  <c r="E5621" i="50"/>
  <c r="B5659" i="50"/>
  <c r="D5659" i="50" s="1"/>
  <c r="E5635" i="50"/>
  <c r="U5635" i="50" s="1"/>
  <c r="V5673" i="50" l="1"/>
  <c r="G5673" i="50"/>
  <c r="F5673" i="50"/>
  <c r="U5644" i="50"/>
  <c r="G5644" i="50"/>
  <c r="F5644" i="50"/>
  <c r="D5652" i="50"/>
  <c r="B5676" i="50"/>
  <c r="E5652" i="50"/>
  <c r="U5673" i="50"/>
  <c r="V5628" i="50"/>
  <c r="V5682" i="50"/>
  <c r="U5682" i="50"/>
  <c r="G5682" i="50"/>
  <c r="F5682" i="50"/>
  <c r="V5621" i="50"/>
  <c r="U5621" i="50"/>
  <c r="G5621" i="50"/>
  <c r="F5621" i="50"/>
  <c r="V5644" i="50"/>
  <c r="U5628" i="50"/>
  <c r="G5628" i="50"/>
  <c r="F5628" i="50"/>
  <c r="V5689" i="50"/>
  <c r="G5689" i="50"/>
  <c r="F5689" i="50"/>
  <c r="V5648" i="50"/>
  <c r="U5648" i="50"/>
  <c r="F5648" i="50"/>
  <c r="V5663" i="50"/>
  <c r="U5663" i="50"/>
  <c r="F5663" i="50"/>
  <c r="G5651" i="50"/>
  <c r="F5651" i="50"/>
  <c r="V5651" i="50"/>
  <c r="V5664" i="50"/>
  <c r="U5664" i="50"/>
  <c r="F5664" i="50"/>
  <c r="D5647" i="50"/>
  <c r="E5647" i="50"/>
  <c r="B5671" i="50"/>
  <c r="G5635" i="50"/>
  <c r="F5635" i="50"/>
  <c r="V5635" i="50"/>
  <c r="V5633" i="50"/>
  <c r="U5633" i="50"/>
  <c r="G5633" i="50"/>
  <c r="F5633" i="50"/>
  <c r="U5690" i="50"/>
  <c r="G5690" i="50"/>
  <c r="F5690" i="50"/>
  <c r="V5690" i="50"/>
  <c r="G5664" i="50"/>
  <c r="V5623" i="50"/>
  <c r="U5623" i="50"/>
  <c r="F5623" i="50"/>
  <c r="V5632" i="50"/>
  <c r="U5632" i="50"/>
  <c r="F5632" i="50"/>
  <c r="G5623" i="50"/>
  <c r="G5630" i="50"/>
  <c r="U5630" i="50"/>
  <c r="V5630" i="50"/>
  <c r="F5630" i="50"/>
  <c r="U5638" i="50"/>
  <c r="V5638" i="50"/>
  <c r="F5638" i="50"/>
  <c r="G5638" i="50"/>
  <c r="V5636" i="50"/>
  <c r="U5636" i="50"/>
  <c r="G5636" i="50"/>
  <c r="U5655" i="50"/>
  <c r="V5655" i="50"/>
  <c r="F5655" i="50"/>
  <c r="G5632" i="50"/>
  <c r="V5653" i="50"/>
  <c r="U5653" i="50"/>
  <c r="G5653" i="50"/>
  <c r="F5653" i="50"/>
  <c r="V5674" i="50"/>
  <c r="U5674" i="50"/>
  <c r="G5674" i="50"/>
  <c r="F5674" i="50"/>
  <c r="U5646" i="50"/>
  <c r="G5646" i="50"/>
  <c r="F5646" i="50"/>
  <c r="U5689" i="50"/>
  <c r="V5637" i="50"/>
  <c r="U5637" i="50"/>
  <c r="G5637" i="50"/>
  <c r="F5637" i="50"/>
  <c r="G5667" i="50"/>
  <c r="V5667" i="50"/>
  <c r="F5667" i="50"/>
  <c r="F5636" i="50"/>
  <c r="B5721" i="50"/>
  <c r="D5721" i="50" s="1"/>
  <c r="E5697" i="50"/>
  <c r="E5657" i="50"/>
  <c r="B5681" i="50"/>
  <c r="D5681" i="50" s="1"/>
  <c r="E5668" i="50"/>
  <c r="F5668" i="50" s="1"/>
  <c r="B5692" i="50"/>
  <c r="D5692" i="50" s="1"/>
  <c r="E5691" i="50"/>
  <c r="V5691" i="50" s="1"/>
  <c r="B5715" i="50"/>
  <c r="D5715" i="50" s="1"/>
  <c r="E5687" i="50"/>
  <c r="G5687" i="50" s="1"/>
  <c r="B5711" i="50"/>
  <c r="D5711" i="50" s="1"/>
  <c r="B5730" i="50"/>
  <c r="D5730" i="50" s="1"/>
  <c r="E5706" i="50"/>
  <c r="B5696" i="50"/>
  <c r="D5696" i="50" s="1"/>
  <c r="E5672" i="50"/>
  <c r="B5712" i="50"/>
  <c r="D5712" i="50" s="1"/>
  <c r="E5688" i="50"/>
  <c r="E5698" i="50"/>
  <c r="B5722" i="50"/>
  <c r="D5722" i="50" s="1"/>
  <c r="E5714" i="50"/>
  <c r="B5738" i="50"/>
  <c r="D5738" i="50" s="1"/>
  <c r="B5737" i="50"/>
  <c r="D5737" i="50" s="1"/>
  <c r="E5713" i="50"/>
  <c r="B5678" i="50"/>
  <c r="D5678" i="50" s="1"/>
  <c r="E5654" i="50"/>
  <c r="V5654" i="50" s="1"/>
  <c r="B5694" i="50"/>
  <c r="D5694" i="50" s="1"/>
  <c r="E5670" i="50"/>
  <c r="E5675" i="50"/>
  <c r="B5699" i="50"/>
  <c r="D5699" i="50" s="1"/>
  <c r="B5669" i="50"/>
  <c r="D5669" i="50" s="1"/>
  <c r="E5645" i="50"/>
  <c r="B5680" i="50"/>
  <c r="D5680" i="50" s="1"/>
  <c r="E5656" i="50"/>
  <c r="V5656" i="50" s="1"/>
  <c r="E5659" i="50"/>
  <c r="V5659" i="50" s="1"/>
  <c r="B5683" i="50"/>
  <c r="D5683" i="50" s="1"/>
  <c r="B5686" i="50"/>
  <c r="D5686" i="50" s="1"/>
  <c r="E5662" i="50"/>
  <c r="B5685" i="50"/>
  <c r="D5685" i="50" s="1"/>
  <c r="E5661" i="50"/>
  <c r="B5684" i="50"/>
  <c r="D5684" i="50" s="1"/>
  <c r="E5660" i="50"/>
  <c r="V5660" i="50" s="1"/>
  <c r="B5701" i="50"/>
  <c r="D5701" i="50" s="1"/>
  <c r="E5677" i="50"/>
  <c r="B5703" i="50"/>
  <c r="D5703" i="50" s="1"/>
  <c r="E5679" i="50"/>
  <c r="G5679" i="50" s="1"/>
  <c r="F5688" i="50" l="1"/>
  <c r="U5688" i="50"/>
  <c r="G5688" i="50"/>
  <c r="V5647" i="50"/>
  <c r="U5647" i="50"/>
  <c r="F5647" i="50"/>
  <c r="V5697" i="50"/>
  <c r="U5697" i="50"/>
  <c r="G5697" i="50"/>
  <c r="F5697" i="50"/>
  <c r="G5675" i="50"/>
  <c r="F5675" i="50"/>
  <c r="U5675" i="50"/>
  <c r="V5688" i="50"/>
  <c r="G5647" i="50"/>
  <c r="V5657" i="50"/>
  <c r="G5657" i="50"/>
  <c r="F5657" i="50"/>
  <c r="G5677" i="50"/>
  <c r="U5677" i="50"/>
  <c r="F5677" i="50"/>
  <c r="V5677" i="50"/>
  <c r="F5672" i="50"/>
  <c r="U5672" i="50"/>
  <c r="G5672" i="50"/>
  <c r="V5675" i="50"/>
  <c r="V5652" i="50"/>
  <c r="U5652" i="50"/>
  <c r="G5652" i="50"/>
  <c r="U5670" i="50"/>
  <c r="F5670" i="50"/>
  <c r="G5670" i="50"/>
  <c r="V5706" i="50"/>
  <c r="G5706" i="50"/>
  <c r="F5706" i="50"/>
  <c r="U5706" i="50"/>
  <c r="D5676" i="50"/>
  <c r="B5700" i="50"/>
  <c r="E5676" i="50"/>
  <c r="V5672" i="50"/>
  <c r="F5652" i="50"/>
  <c r="F5661" i="50"/>
  <c r="V5661" i="50"/>
  <c r="U5661" i="50"/>
  <c r="G5661" i="50"/>
  <c r="U5654" i="50"/>
  <c r="F5654" i="50"/>
  <c r="G5654" i="50"/>
  <c r="U5657" i="50"/>
  <c r="D5671" i="50"/>
  <c r="E5671" i="50"/>
  <c r="B5695" i="50"/>
  <c r="V5687" i="50"/>
  <c r="U5687" i="50"/>
  <c r="F5687" i="50"/>
  <c r="U5662" i="50"/>
  <c r="G5662" i="50"/>
  <c r="F5662" i="50"/>
  <c r="V5698" i="50"/>
  <c r="U5698" i="50"/>
  <c r="G5698" i="50"/>
  <c r="F5698" i="50"/>
  <c r="G5691" i="50"/>
  <c r="F5691" i="50"/>
  <c r="U5691" i="50"/>
  <c r="V5670" i="50"/>
  <c r="U5679" i="50"/>
  <c r="V5679" i="50"/>
  <c r="F5679" i="50"/>
  <c r="V5713" i="50"/>
  <c r="U5713" i="50"/>
  <c r="G5713" i="50"/>
  <c r="F5713" i="50"/>
  <c r="V5714" i="50"/>
  <c r="U5714" i="50"/>
  <c r="G5714" i="50"/>
  <c r="F5714" i="50"/>
  <c r="G5659" i="50"/>
  <c r="F5659" i="50"/>
  <c r="U5659" i="50"/>
  <c r="V5668" i="50"/>
  <c r="U5668" i="50"/>
  <c r="G5668" i="50"/>
  <c r="F5645" i="50"/>
  <c r="V5645" i="50"/>
  <c r="U5645" i="50"/>
  <c r="G5645" i="50"/>
  <c r="U5660" i="50"/>
  <c r="G5660" i="50"/>
  <c r="F5660" i="50"/>
  <c r="F5656" i="50"/>
  <c r="G5656" i="50"/>
  <c r="U5656" i="50"/>
  <c r="V5662" i="50"/>
  <c r="E5737" i="50"/>
  <c r="U5737" i="50" s="1"/>
  <c r="B5761" i="50"/>
  <c r="D5761" i="50" s="1"/>
  <c r="B5762" i="50"/>
  <c r="D5762" i="50" s="1"/>
  <c r="E5738" i="50"/>
  <c r="E5680" i="50"/>
  <c r="B5704" i="50"/>
  <c r="D5704" i="50" s="1"/>
  <c r="B5735" i="50"/>
  <c r="D5735" i="50" s="1"/>
  <c r="E5711" i="50"/>
  <c r="E5684" i="50"/>
  <c r="F5684" i="50" s="1"/>
  <c r="B5708" i="50"/>
  <c r="D5708" i="50" s="1"/>
  <c r="B5739" i="50"/>
  <c r="D5739" i="50" s="1"/>
  <c r="E5715" i="50"/>
  <c r="B5723" i="50"/>
  <c r="D5723" i="50" s="1"/>
  <c r="E5699" i="50"/>
  <c r="B5746" i="50"/>
  <c r="D5746" i="50" s="1"/>
  <c r="E5722" i="50"/>
  <c r="E5696" i="50"/>
  <c r="G5696" i="50" s="1"/>
  <c r="B5720" i="50"/>
  <c r="D5720" i="50" s="1"/>
  <c r="B5709" i="50"/>
  <c r="D5709" i="50" s="1"/>
  <c r="E5685" i="50"/>
  <c r="B5710" i="50"/>
  <c r="D5710" i="50" s="1"/>
  <c r="E5686" i="50"/>
  <c r="V5686" i="50" s="1"/>
  <c r="B5705" i="50"/>
  <c r="D5705" i="50" s="1"/>
  <c r="E5681" i="50"/>
  <c r="B5707" i="50"/>
  <c r="D5707" i="50" s="1"/>
  <c r="E5683" i="50"/>
  <c r="E5721" i="50"/>
  <c r="B5745" i="50"/>
  <c r="D5745" i="50" s="1"/>
  <c r="B5725" i="50"/>
  <c r="D5725" i="50" s="1"/>
  <c r="E5701" i="50"/>
  <c r="B5718" i="50"/>
  <c r="D5718" i="50" s="1"/>
  <c r="E5694" i="50"/>
  <c r="V5694" i="50" s="1"/>
  <c r="E5730" i="50"/>
  <c r="B5754" i="50"/>
  <c r="D5754" i="50" s="1"/>
  <c r="E5703" i="50"/>
  <c r="G5703" i="50" s="1"/>
  <c r="B5727" i="50"/>
  <c r="D5727" i="50" s="1"/>
  <c r="B5693" i="50"/>
  <c r="D5693" i="50" s="1"/>
  <c r="E5669" i="50"/>
  <c r="E5712" i="50"/>
  <c r="B5736" i="50"/>
  <c r="D5736" i="50" s="1"/>
  <c r="B5702" i="50"/>
  <c r="D5702" i="50" s="1"/>
  <c r="E5678" i="50"/>
  <c r="V5678" i="50" s="1"/>
  <c r="B5716" i="50"/>
  <c r="D5716" i="50" s="1"/>
  <c r="E5692" i="50"/>
  <c r="V5692" i="50" s="1"/>
  <c r="G5671" i="50" l="1"/>
  <c r="G5715" i="50"/>
  <c r="F5715" i="50"/>
  <c r="V5715" i="50"/>
  <c r="F5721" i="50"/>
  <c r="V5721" i="50"/>
  <c r="G5721" i="50"/>
  <c r="D5695" i="50"/>
  <c r="B5719" i="50"/>
  <c r="E5695" i="50"/>
  <c r="U5676" i="50"/>
  <c r="G5676" i="50"/>
  <c r="F5676" i="50"/>
  <c r="U5721" i="50"/>
  <c r="G5683" i="50"/>
  <c r="V5683" i="50"/>
  <c r="F5683" i="50"/>
  <c r="V5671" i="50"/>
  <c r="U5671" i="50"/>
  <c r="F5671" i="50"/>
  <c r="D5700" i="50"/>
  <c r="E5700" i="50"/>
  <c r="B5724" i="50"/>
  <c r="V5684" i="50"/>
  <c r="U5684" i="50"/>
  <c r="G5684" i="50"/>
  <c r="V5676" i="50"/>
  <c r="F5711" i="50"/>
  <c r="V5711" i="50"/>
  <c r="U5711" i="50"/>
  <c r="V5712" i="50"/>
  <c r="U5712" i="50"/>
  <c r="F5712" i="50"/>
  <c r="G5711" i="50"/>
  <c r="U5669" i="50"/>
  <c r="G5669" i="50"/>
  <c r="F5669" i="50"/>
  <c r="V5669" i="50"/>
  <c r="U5686" i="50"/>
  <c r="F5686" i="50"/>
  <c r="G5686" i="50"/>
  <c r="V5701" i="50"/>
  <c r="U5701" i="50"/>
  <c r="G5701" i="50"/>
  <c r="F5701" i="50"/>
  <c r="V5737" i="50"/>
  <c r="G5737" i="50"/>
  <c r="F5737" i="50"/>
  <c r="U5678" i="50"/>
  <c r="G5678" i="50"/>
  <c r="F5678" i="50"/>
  <c r="U5680" i="50"/>
  <c r="V5680" i="50"/>
  <c r="F5680" i="50"/>
  <c r="U5692" i="50"/>
  <c r="G5692" i="50"/>
  <c r="F5692" i="50"/>
  <c r="G5685" i="50"/>
  <c r="F5685" i="50"/>
  <c r="V5685" i="50"/>
  <c r="U5685" i="50"/>
  <c r="U5715" i="50"/>
  <c r="V5703" i="50"/>
  <c r="U5703" i="50"/>
  <c r="F5703" i="50"/>
  <c r="V5738" i="50"/>
  <c r="U5738" i="50"/>
  <c r="G5738" i="50"/>
  <c r="F5738" i="50"/>
  <c r="V5696" i="50"/>
  <c r="U5696" i="50"/>
  <c r="F5696" i="50"/>
  <c r="U5683" i="50"/>
  <c r="G5699" i="50"/>
  <c r="F5699" i="50"/>
  <c r="V5699" i="50"/>
  <c r="V5681" i="50"/>
  <c r="U5681" i="50"/>
  <c r="G5681" i="50"/>
  <c r="F5681" i="50"/>
  <c r="F5730" i="50"/>
  <c r="V5730" i="50"/>
  <c r="U5730" i="50"/>
  <c r="G5730" i="50"/>
  <c r="U5694" i="50"/>
  <c r="G5694" i="50"/>
  <c r="F5694" i="50"/>
  <c r="V5722" i="50"/>
  <c r="U5722" i="50"/>
  <c r="G5722" i="50"/>
  <c r="F5722" i="50"/>
  <c r="U5699" i="50"/>
  <c r="G5712" i="50"/>
  <c r="G5680" i="50"/>
  <c r="B5726" i="50"/>
  <c r="D5726" i="50" s="1"/>
  <c r="E5702" i="50"/>
  <c r="B5728" i="50"/>
  <c r="D5728" i="50" s="1"/>
  <c r="E5704" i="50"/>
  <c r="V5704" i="50" s="1"/>
  <c r="B5734" i="50"/>
  <c r="D5734" i="50" s="1"/>
  <c r="E5710" i="50"/>
  <c r="V5710" i="50" s="1"/>
  <c r="E5723" i="50"/>
  <c r="V5723" i="50" s="1"/>
  <c r="B5747" i="50"/>
  <c r="D5747" i="50" s="1"/>
  <c r="B5732" i="50"/>
  <c r="D5732" i="50" s="1"/>
  <c r="E5708" i="50"/>
  <c r="B5742" i="50"/>
  <c r="D5742" i="50" s="1"/>
  <c r="E5718" i="50"/>
  <c r="V5718" i="50" s="1"/>
  <c r="E5707" i="50"/>
  <c r="V5707" i="50" s="1"/>
  <c r="B5731" i="50"/>
  <c r="D5731" i="50" s="1"/>
  <c r="B5733" i="50"/>
  <c r="D5733" i="50" s="1"/>
  <c r="E5709" i="50"/>
  <c r="E5739" i="50"/>
  <c r="B5763" i="50"/>
  <c r="D5763" i="50" s="1"/>
  <c r="B5717" i="50"/>
  <c r="D5717" i="50" s="1"/>
  <c r="E5693" i="50"/>
  <c r="B5749" i="50"/>
  <c r="D5749" i="50" s="1"/>
  <c r="E5725" i="50"/>
  <c r="B5744" i="50"/>
  <c r="D5744" i="50" s="1"/>
  <c r="E5720" i="50"/>
  <c r="V5720" i="50" s="1"/>
  <c r="B5751" i="50"/>
  <c r="D5751" i="50" s="1"/>
  <c r="E5727" i="50"/>
  <c r="B5769" i="50"/>
  <c r="D5769" i="50" s="1"/>
  <c r="E5745" i="50"/>
  <c r="E5735" i="50"/>
  <c r="B5759" i="50"/>
  <c r="D5759" i="50" s="1"/>
  <c r="B5785" i="50"/>
  <c r="D5785" i="50" s="1"/>
  <c r="E5761" i="50"/>
  <c r="E5716" i="50"/>
  <c r="B5740" i="50"/>
  <c r="D5740" i="50" s="1"/>
  <c r="E5705" i="50"/>
  <c r="B5729" i="50"/>
  <c r="D5729" i="50" s="1"/>
  <c r="E5746" i="50"/>
  <c r="B5770" i="50"/>
  <c r="D5770" i="50" s="1"/>
  <c r="E5762" i="50"/>
  <c r="B5786" i="50"/>
  <c r="D5786" i="50" s="1"/>
  <c r="B5760" i="50"/>
  <c r="D5760" i="50" s="1"/>
  <c r="E5736" i="50"/>
  <c r="V5736" i="50" s="1"/>
  <c r="B5778" i="50"/>
  <c r="D5778" i="50" s="1"/>
  <c r="E5754" i="50"/>
  <c r="V5716" i="50" l="1"/>
  <c r="U5716" i="50"/>
  <c r="G5716" i="50"/>
  <c r="U5702" i="50"/>
  <c r="G5702" i="50"/>
  <c r="F5702" i="50"/>
  <c r="G5739" i="50"/>
  <c r="F5739" i="50"/>
  <c r="U5739" i="50"/>
  <c r="F5709" i="50"/>
  <c r="G5709" i="50"/>
  <c r="V5709" i="50"/>
  <c r="U5709" i="50"/>
  <c r="V5735" i="50"/>
  <c r="U5735" i="50"/>
  <c r="F5735" i="50"/>
  <c r="V5695" i="50"/>
  <c r="U5695" i="50"/>
  <c r="F5695" i="50"/>
  <c r="V5705" i="50"/>
  <c r="G5705" i="50"/>
  <c r="F5705" i="50"/>
  <c r="V5761" i="50"/>
  <c r="U5761" i="50"/>
  <c r="G5761" i="50"/>
  <c r="F5761" i="50"/>
  <c r="U5745" i="50"/>
  <c r="G5745" i="50"/>
  <c r="F5745" i="50"/>
  <c r="V5745" i="50"/>
  <c r="D5724" i="50"/>
  <c r="B5748" i="50"/>
  <c r="E5724" i="50"/>
  <c r="D5719" i="50"/>
  <c r="B5743" i="50"/>
  <c r="E5719" i="50"/>
  <c r="G5707" i="50"/>
  <c r="F5707" i="50"/>
  <c r="U5707" i="50"/>
  <c r="F5716" i="50"/>
  <c r="V5700" i="50"/>
  <c r="U5700" i="50"/>
  <c r="G5700" i="50"/>
  <c r="G5695" i="50"/>
  <c r="F5736" i="50"/>
  <c r="U5736" i="50"/>
  <c r="G5736" i="50"/>
  <c r="V5727" i="50"/>
  <c r="U5727" i="50"/>
  <c r="F5727" i="50"/>
  <c r="U5718" i="50"/>
  <c r="G5718" i="50"/>
  <c r="F5718" i="50"/>
  <c r="F5700" i="50"/>
  <c r="V5739" i="50"/>
  <c r="F5720" i="50"/>
  <c r="U5720" i="50"/>
  <c r="G5720" i="50"/>
  <c r="U5708" i="50"/>
  <c r="G5708" i="50"/>
  <c r="F5708" i="50"/>
  <c r="G5735" i="50"/>
  <c r="V5762" i="50"/>
  <c r="U5762" i="50"/>
  <c r="G5762" i="50"/>
  <c r="F5762" i="50"/>
  <c r="U5705" i="50"/>
  <c r="V5754" i="50"/>
  <c r="U5754" i="50"/>
  <c r="G5754" i="50"/>
  <c r="F5754" i="50"/>
  <c r="F5725" i="50"/>
  <c r="V5725" i="50"/>
  <c r="U5725" i="50"/>
  <c r="G5725" i="50"/>
  <c r="V5708" i="50"/>
  <c r="F5704" i="50"/>
  <c r="U5704" i="50"/>
  <c r="G5704" i="50"/>
  <c r="V5746" i="50"/>
  <c r="U5746" i="50"/>
  <c r="G5746" i="50"/>
  <c r="F5746" i="50"/>
  <c r="G5723" i="50"/>
  <c r="F5723" i="50"/>
  <c r="U5723" i="50"/>
  <c r="V5749" i="50"/>
  <c r="F5693" i="50"/>
  <c r="V5693" i="50"/>
  <c r="U5693" i="50"/>
  <c r="G5693" i="50"/>
  <c r="U5710" i="50"/>
  <c r="G5710" i="50"/>
  <c r="F5710" i="50"/>
  <c r="V5702" i="50"/>
  <c r="G5727" i="50"/>
  <c r="B5773" i="50"/>
  <c r="D5773" i="50" s="1"/>
  <c r="E5749" i="50"/>
  <c r="B5758" i="50"/>
  <c r="D5758" i="50" s="1"/>
  <c r="E5734" i="50"/>
  <c r="V5734" i="50" s="1"/>
  <c r="B5741" i="50"/>
  <c r="D5741" i="50" s="1"/>
  <c r="E5717" i="50"/>
  <c r="B5766" i="50"/>
  <c r="D5766" i="50" s="1"/>
  <c r="E5742" i="50"/>
  <c r="V5742" i="50" s="1"/>
  <c r="E5728" i="50"/>
  <c r="G5728" i="50" s="1"/>
  <c r="B5752" i="50"/>
  <c r="D5752" i="50" s="1"/>
  <c r="E5760" i="50"/>
  <c r="G5760" i="50" s="1"/>
  <c r="B5784" i="50"/>
  <c r="D5784" i="50" s="1"/>
  <c r="E5769" i="50"/>
  <c r="B5793" i="50"/>
  <c r="D5793" i="50" s="1"/>
  <c r="B5755" i="50"/>
  <c r="D5755" i="50" s="1"/>
  <c r="E5731" i="50"/>
  <c r="U5731" i="50" s="1"/>
  <c r="E5751" i="50"/>
  <c r="G5751" i="50" s="1"/>
  <c r="B5775" i="50"/>
  <c r="D5775" i="50" s="1"/>
  <c r="B5787" i="50"/>
  <c r="D5787" i="50" s="1"/>
  <c r="E5763" i="50"/>
  <c r="E5785" i="50"/>
  <c r="B5809" i="50"/>
  <c r="D5809" i="50" s="1"/>
  <c r="E5732" i="50"/>
  <c r="F5732" i="50" s="1"/>
  <c r="B5756" i="50"/>
  <c r="D5756" i="50" s="1"/>
  <c r="B5750" i="50"/>
  <c r="D5750" i="50" s="1"/>
  <c r="E5726" i="50"/>
  <c r="B5794" i="50"/>
  <c r="D5794" i="50" s="1"/>
  <c r="E5770" i="50"/>
  <c r="B5771" i="50"/>
  <c r="D5771" i="50" s="1"/>
  <c r="E5747" i="50"/>
  <c r="B5783" i="50"/>
  <c r="D5783" i="50" s="1"/>
  <c r="E5759" i="50"/>
  <c r="G5759" i="50" s="1"/>
  <c r="E5778" i="50"/>
  <c r="B5802" i="50"/>
  <c r="D5802" i="50" s="1"/>
  <c r="B5757" i="50"/>
  <c r="D5757" i="50" s="1"/>
  <c r="E5733" i="50"/>
  <c r="B5764" i="50"/>
  <c r="D5764" i="50" s="1"/>
  <c r="E5740" i="50"/>
  <c r="V5740" i="50" s="1"/>
  <c r="B5810" i="50"/>
  <c r="D5810" i="50" s="1"/>
  <c r="E5786" i="50"/>
  <c r="B5753" i="50"/>
  <c r="D5753" i="50" s="1"/>
  <c r="E5729" i="50"/>
  <c r="E5744" i="50"/>
  <c r="G5744" i="50" s="1"/>
  <c r="B5768" i="50"/>
  <c r="D5768" i="50" s="1"/>
  <c r="G5747" i="50" l="1"/>
  <c r="V5747" i="50"/>
  <c r="F5747" i="50"/>
  <c r="V5729" i="50"/>
  <c r="U5729" i="50"/>
  <c r="G5729" i="50"/>
  <c r="F5729" i="50"/>
  <c r="V5770" i="50"/>
  <c r="F5770" i="50"/>
  <c r="G5770" i="50"/>
  <c r="U5769" i="50"/>
  <c r="F5769" i="50"/>
  <c r="V5769" i="50"/>
  <c r="V5786" i="50"/>
  <c r="G5786" i="50"/>
  <c r="U5786" i="50"/>
  <c r="F5786" i="50"/>
  <c r="G5726" i="50"/>
  <c r="U5726" i="50"/>
  <c r="F5726" i="50"/>
  <c r="V5726" i="50"/>
  <c r="U5740" i="50"/>
  <c r="G5740" i="50"/>
  <c r="F5740" i="50"/>
  <c r="V5732" i="50"/>
  <c r="U5732" i="50"/>
  <c r="G5732" i="50"/>
  <c r="V5728" i="50"/>
  <c r="U5728" i="50"/>
  <c r="F5728" i="50"/>
  <c r="U5747" i="50"/>
  <c r="U5742" i="50"/>
  <c r="G5742" i="50"/>
  <c r="F5742" i="50"/>
  <c r="G5769" i="50"/>
  <c r="V5744" i="50"/>
  <c r="U5744" i="50"/>
  <c r="F5744" i="50"/>
  <c r="V5785" i="50"/>
  <c r="F5785" i="50"/>
  <c r="U5785" i="50"/>
  <c r="G5785" i="50"/>
  <c r="V5719" i="50"/>
  <c r="U5719" i="50"/>
  <c r="F5719" i="50"/>
  <c r="V5763" i="50"/>
  <c r="U5763" i="50"/>
  <c r="G5763" i="50"/>
  <c r="F5763" i="50"/>
  <c r="V5717" i="50"/>
  <c r="U5717" i="50"/>
  <c r="G5717" i="50"/>
  <c r="F5717" i="50"/>
  <c r="U5770" i="50"/>
  <c r="D5743" i="50"/>
  <c r="B5767" i="50"/>
  <c r="E5743" i="50"/>
  <c r="V5760" i="50"/>
  <c r="U5760" i="50"/>
  <c r="F5760" i="50"/>
  <c r="V5733" i="50"/>
  <c r="U5733" i="50"/>
  <c r="G5733" i="50"/>
  <c r="F5733" i="50"/>
  <c r="G5719" i="50"/>
  <c r="U5734" i="50"/>
  <c r="G5734" i="50"/>
  <c r="F5734" i="50"/>
  <c r="U5724" i="50"/>
  <c r="G5724" i="50"/>
  <c r="F5724" i="50"/>
  <c r="V5778" i="50"/>
  <c r="U5778" i="50"/>
  <c r="G5778" i="50"/>
  <c r="F5778" i="50"/>
  <c r="V5751" i="50"/>
  <c r="U5751" i="50"/>
  <c r="F5751" i="50"/>
  <c r="D5748" i="50"/>
  <c r="E5748" i="50"/>
  <c r="B5772" i="50"/>
  <c r="V5759" i="50"/>
  <c r="U5759" i="50"/>
  <c r="F5759" i="50"/>
  <c r="G5731" i="50"/>
  <c r="F5731" i="50"/>
  <c r="V5731" i="50"/>
  <c r="G5749" i="50"/>
  <c r="F5749" i="50"/>
  <c r="U5749" i="50"/>
  <c r="V5724" i="50"/>
  <c r="B5780" i="50"/>
  <c r="D5780" i="50" s="1"/>
  <c r="E5756" i="50"/>
  <c r="E5787" i="50"/>
  <c r="G5787" i="50" s="1"/>
  <c r="B5811" i="50"/>
  <c r="D5811" i="50" s="1"/>
  <c r="B5776" i="50"/>
  <c r="D5776" i="50" s="1"/>
  <c r="E5752" i="50"/>
  <c r="V5752" i="50" s="1"/>
  <c r="E5771" i="50"/>
  <c r="B5795" i="50"/>
  <c r="D5795" i="50" s="1"/>
  <c r="B5781" i="50"/>
  <c r="D5781" i="50" s="1"/>
  <c r="E5757" i="50"/>
  <c r="F5757" i="50" s="1"/>
  <c r="B5790" i="50"/>
  <c r="D5790" i="50" s="1"/>
  <c r="E5766" i="50"/>
  <c r="B5833" i="50"/>
  <c r="D5833" i="50" s="1"/>
  <c r="E5809" i="50"/>
  <c r="B5782" i="50"/>
  <c r="D5782" i="50" s="1"/>
  <c r="E5758" i="50"/>
  <c r="V5758" i="50" s="1"/>
  <c r="E5810" i="50"/>
  <c r="B5834" i="50"/>
  <c r="D5834" i="50" s="1"/>
  <c r="E5794" i="50"/>
  <c r="B5818" i="50"/>
  <c r="D5818" i="50" s="1"/>
  <c r="B5765" i="50"/>
  <c r="D5765" i="50" s="1"/>
  <c r="E5741" i="50"/>
  <c r="F5741" i="50" s="1"/>
  <c r="B5826" i="50"/>
  <c r="D5826" i="50" s="1"/>
  <c r="E5802" i="50"/>
  <c r="B5799" i="50"/>
  <c r="D5799" i="50" s="1"/>
  <c r="E5775" i="50"/>
  <c r="B5817" i="50"/>
  <c r="D5817" i="50" s="1"/>
  <c r="E5793" i="50"/>
  <c r="B5797" i="50"/>
  <c r="D5797" i="50" s="1"/>
  <c r="E5773" i="50"/>
  <c r="E5753" i="50"/>
  <c r="B5777" i="50"/>
  <c r="D5777" i="50" s="1"/>
  <c r="B5774" i="50"/>
  <c r="D5774" i="50" s="1"/>
  <c r="E5750" i="50"/>
  <c r="V5750" i="50" s="1"/>
  <c r="E5764" i="50"/>
  <c r="B5788" i="50"/>
  <c r="D5788" i="50" s="1"/>
  <c r="B5808" i="50"/>
  <c r="D5808" i="50" s="1"/>
  <c r="E5784" i="50"/>
  <c r="F5784" i="50" s="1"/>
  <c r="B5792" i="50"/>
  <c r="D5792" i="50" s="1"/>
  <c r="E5768" i="50"/>
  <c r="E5783" i="50"/>
  <c r="B5807" i="50"/>
  <c r="D5807" i="50" s="1"/>
  <c r="E5755" i="50"/>
  <c r="B5779" i="50"/>
  <c r="D5779" i="50" s="1"/>
  <c r="G5743" i="50" l="1"/>
  <c r="V5764" i="50"/>
  <c r="U5764" i="50"/>
  <c r="G5764" i="50"/>
  <c r="V5794" i="50"/>
  <c r="F5794" i="50"/>
  <c r="G5794" i="50"/>
  <c r="U5756" i="50"/>
  <c r="G5756" i="50"/>
  <c r="F5756" i="50"/>
  <c r="V5756" i="50"/>
  <c r="F5764" i="50"/>
  <c r="D5772" i="50"/>
  <c r="E5772" i="50"/>
  <c r="B5796" i="50"/>
  <c r="V5753" i="50"/>
  <c r="G5753" i="50"/>
  <c r="F5753" i="50"/>
  <c r="V5810" i="50"/>
  <c r="U5810" i="50"/>
  <c r="F5810" i="50"/>
  <c r="U5794" i="50"/>
  <c r="U5773" i="50"/>
  <c r="F5773" i="50"/>
  <c r="G5773" i="50"/>
  <c r="U5758" i="50"/>
  <c r="G5758" i="50"/>
  <c r="F5758" i="50"/>
  <c r="U5753" i="50"/>
  <c r="V5809" i="50"/>
  <c r="U5809" i="50"/>
  <c r="G5809" i="50"/>
  <c r="F5809" i="50"/>
  <c r="V5768" i="50"/>
  <c r="U5768" i="50"/>
  <c r="G5768" i="50"/>
  <c r="F5768" i="50"/>
  <c r="U5766" i="50"/>
  <c r="G5766" i="50"/>
  <c r="V5766" i="50"/>
  <c r="G5755" i="50"/>
  <c r="F5755" i="50"/>
  <c r="U5755" i="50"/>
  <c r="U5775" i="50"/>
  <c r="G5775" i="50"/>
  <c r="F5775" i="50"/>
  <c r="G5757" i="50"/>
  <c r="V5757" i="50"/>
  <c r="U5757" i="50"/>
  <c r="V5775" i="50"/>
  <c r="F5748" i="50"/>
  <c r="G5783" i="50"/>
  <c r="U5783" i="50"/>
  <c r="V5783" i="50"/>
  <c r="F5783" i="50"/>
  <c r="G5810" i="50"/>
  <c r="V5802" i="50"/>
  <c r="F5802" i="50"/>
  <c r="G5802" i="50"/>
  <c r="U5802" i="50"/>
  <c r="V5755" i="50"/>
  <c r="V5748" i="50"/>
  <c r="U5748" i="50"/>
  <c r="G5748" i="50"/>
  <c r="U5787" i="50"/>
  <c r="F5787" i="50"/>
  <c r="V5787" i="50"/>
  <c r="V5793" i="50"/>
  <c r="U5793" i="50"/>
  <c r="G5793" i="50"/>
  <c r="F5793" i="50"/>
  <c r="V5771" i="50"/>
  <c r="U5771" i="50"/>
  <c r="G5771" i="50"/>
  <c r="F5771" i="50"/>
  <c r="V5743" i="50"/>
  <c r="U5743" i="50"/>
  <c r="F5743" i="50"/>
  <c r="U5750" i="50"/>
  <c r="G5750" i="50"/>
  <c r="F5750" i="50"/>
  <c r="V5784" i="50"/>
  <c r="U5784" i="50"/>
  <c r="G5784" i="50"/>
  <c r="G5741" i="50"/>
  <c r="V5741" i="50"/>
  <c r="U5741" i="50"/>
  <c r="F5752" i="50"/>
  <c r="U5752" i="50"/>
  <c r="G5752" i="50"/>
  <c r="V5773" i="50"/>
  <c r="D5767" i="50"/>
  <c r="E5767" i="50"/>
  <c r="B5791" i="50"/>
  <c r="F5766" i="50"/>
  <c r="B5821" i="50"/>
  <c r="D5821" i="50" s="1"/>
  <c r="E5797" i="50"/>
  <c r="B5842" i="50"/>
  <c r="D5842" i="50" s="1"/>
  <c r="E5818" i="50"/>
  <c r="B5805" i="50"/>
  <c r="D5805" i="50" s="1"/>
  <c r="E5781" i="50"/>
  <c r="B5812" i="50"/>
  <c r="D5812" i="50" s="1"/>
  <c r="E5788" i="50"/>
  <c r="U5788" i="50" s="1"/>
  <c r="B5814" i="50"/>
  <c r="D5814" i="50" s="1"/>
  <c r="E5790" i="50"/>
  <c r="E5817" i="50"/>
  <c r="G5817" i="50" s="1"/>
  <c r="B5841" i="50"/>
  <c r="D5841" i="50" s="1"/>
  <c r="E5833" i="50"/>
  <c r="B5857" i="50"/>
  <c r="D5857" i="50" s="1"/>
  <c r="E5776" i="50"/>
  <c r="B5800" i="50"/>
  <c r="D5800" i="50" s="1"/>
  <c r="B5850" i="50"/>
  <c r="D5850" i="50" s="1"/>
  <c r="E5826" i="50"/>
  <c r="B5835" i="50"/>
  <c r="D5835" i="50" s="1"/>
  <c r="E5811" i="50"/>
  <c r="B5798" i="50"/>
  <c r="D5798" i="50" s="1"/>
  <c r="E5774" i="50"/>
  <c r="B5858" i="50"/>
  <c r="D5858" i="50" s="1"/>
  <c r="E5834" i="50"/>
  <c r="E5808" i="50"/>
  <c r="V5808" i="50" s="1"/>
  <c r="B5832" i="50"/>
  <c r="D5832" i="50" s="1"/>
  <c r="E5780" i="50"/>
  <c r="B5804" i="50"/>
  <c r="D5804" i="50" s="1"/>
  <c r="B5789" i="50"/>
  <c r="D5789" i="50" s="1"/>
  <c r="E5765" i="50"/>
  <c r="V5765" i="50" s="1"/>
  <c r="B5803" i="50"/>
  <c r="D5803" i="50" s="1"/>
  <c r="E5779" i="50"/>
  <c r="B5801" i="50"/>
  <c r="D5801" i="50" s="1"/>
  <c r="E5777" i="50"/>
  <c r="B5806" i="50"/>
  <c r="D5806" i="50" s="1"/>
  <c r="E5782" i="50"/>
  <c r="F5782" i="50" s="1"/>
  <c r="B5819" i="50"/>
  <c r="D5819" i="50" s="1"/>
  <c r="E5795" i="50"/>
  <c r="E5792" i="50"/>
  <c r="B5816" i="50"/>
  <c r="D5816" i="50" s="1"/>
  <c r="B5831" i="50"/>
  <c r="D5831" i="50" s="1"/>
  <c r="E5807" i="50"/>
  <c r="E5799" i="50"/>
  <c r="B5823" i="50"/>
  <c r="D5823" i="50" s="1"/>
  <c r="V5811" i="50" l="1"/>
  <c r="U5811" i="50"/>
  <c r="G5811" i="50"/>
  <c r="F5811" i="50"/>
  <c r="G5772" i="50"/>
  <c r="F5772" i="50"/>
  <c r="V5772" i="50"/>
  <c r="G5774" i="50"/>
  <c r="V5774" i="50"/>
  <c r="F5774" i="50"/>
  <c r="V5797" i="50"/>
  <c r="U5797" i="50"/>
  <c r="G5797" i="50"/>
  <c r="F5797" i="50"/>
  <c r="U5772" i="50"/>
  <c r="V5777" i="50"/>
  <c r="U5777" i="50"/>
  <c r="G5777" i="50"/>
  <c r="F5777" i="50"/>
  <c r="G5818" i="50"/>
  <c r="U5818" i="50"/>
  <c r="F5818" i="50"/>
  <c r="F5776" i="50"/>
  <c r="G5776" i="50"/>
  <c r="U5776" i="50"/>
  <c r="D5791" i="50"/>
  <c r="B5815" i="50"/>
  <c r="E5791" i="50"/>
  <c r="V5767" i="50"/>
  <c r="U5767" i="50"/>
  <c r="F5767" i="50"/>
  <c r="U5774" i="50"/>
  <c r="V5799" i="50"/>
  <c r="U5799" i="50"/>
  <c r="F5799" i="50"/>
  <c r="G5799" i="50"/>
  <c r="V5780" i="50"/>
  <c r="U5780" i="50"/>
  <c r="G5780" i="50"/>
  <c r="V5833" i="50"/>
  <c r="U5833" i="50"/>
  <c r="F5833" i="50"/>
  <c r="G5767" i="50"/>
  <c r="V5818" i="50"/>
  <c r="V5781" i="50"/>
  <c r="U5781" i="50"/>
  <c r="G5781" i="50"/>
  <c r="F5781" i="50"/>
  <c r="D5796" i="50"/>
  <c r="E5796" i="50"/>
  <c r="B5820" i="50"/>
  <c r="G5833" i="50"/>
  <c r="U5807" i="50"/>
  <c r="G5807" i="50"/>
  <c r="V5807" i="50"/>
  <c r="F5807" i="50"/>
  <c r="U5792" i="50"/>
  <c r="G5792" i="50"/>
  <c r="F5792" i="50"/>
  <c r="V5817" i="50"/>
  <c r="U5817" i="50"/>
  <c r="F5817" i="50"/>
  <c r="F5780" i="50"/>
  <c r="V5779" i="50"/>
  <c r="U5779" i="50"/>
  <c r="G5779" i="50"/>
  <c r="F5779" i="50"/>
  <c r="V5790" i="50"/>
  <c r="G5790" i="50"/>
  <c r="F5790" i="50"/>
  <c r="F5765" i="50"/>
  <c r="G5765" i="50"/>
  <c r="U5765" i="50"/>
  <c r="F5808" i="50"/>
  <c r="G5808" i="50"/>
  <c r="U5808" i="50"/>
  <c r="U5790" i="50"/>
  <c r="G5782" i="50"/>
  <c r="V5782" i="50"/>
  <c r="U5782" i="50"/>
  <c r="V5834" i="50"/>
  <c r="F5834" i="50"/>
  <c r="G5834" i="50"/>
  <c r="U5834" i="50"/>
  <c r="F5788" i="50"/>
  <c r="V5788" i="50"/>
  <c r="G5788" i="50"/>
  <c r="V5792" i="50"/>
  <c r="V5826" i="50"/>
  <c r="U5826" i="50"/>
  <c r="G5826" i="50"/>
  <c r="F5826" i="50"/>
  <c r="V5795" i="50"/>
  <c r="U5795" i="50"/>
  <c r="G5795" i="50"/>
  <c r="F5795" i="50"/>
  <c r="V5776" i="50"/>
  <c r="B5856" i="50"/>
  <c r="D5856" i="50" s="1"/>
  <c r="E5832" i="50"/>
  <c r="B5813" i="50"/>
  <c r="D5813" i="50" s="1"/>
  <c r="E5789" i="50"/>
  <c r="B5865" i="50"/>
  <c r="D5865" i="50" s="1"/>
  <c r="E5841" i="50"/>
  <c r="E5850" i="50"/>
  <c r="B5874" i="50"/>
  <c r="D5874" i="50" s="1"/>
  <c r="B5829" i="50"/>
  <c r="D5829" i="50" s="1"/>
  <c r="E5805" i="50"/>
  <c r="B5824" i="50"/>
  <c r="D5824" i="50" s="1"/>
  <c r="E5800" i="50"/>
  <c r="B5866" i="50"/>
  <c r="D5866" i="50" s="1"/>
  <c r="E5842" i="50"/>
  <c r="E5801" i="50"/>
  <c r="B5825" i="50"/>
  <c r="D5825" i="50" s="1"/>
  <c r="B5822" i="50"/>
  <c r="D5822" i="50" s="1"/>
  <c r="E5798" i="50"/>
  <c r="B5882" i="50"/>
  <c r="D5882" i="50" s="1"/>
  <c r="E5858" i="50"/>
  <c r="B5840" i="50"/>
  <c r="D5840" i="50" s="1"/>
  <c r="E5816" i="50"/>
  <c r="F5816" i="50" s="1"/>
  <c r="B5881" i="50"/>
  <c r="D5881" i="50" s="1"/>
  <c r="E5857" i="50"/>
  <c r="B5838" i="50"/>
  <c r="D5838" i="50" s="1"/>
  <c r="E5814" i="50"/>
  <c r="E5819" i="50"/>
  <c r="B5843" i="50"/>
  <c r="D5843" i="50" s="1"/>
  <c r="B5847" i="50"/>
  <c r="D5847" i="50" s="1"/>
  <c r="E5823" i="50"/>
  <c r="E5803" i="50"/>
  <c r="B5827" i="50"/>
  <c r="D5827" i="50" s="1"/>
  <c r="E5831" i="50"/>
  <c r="B5855" i="50"/>
  <c r="D5855" i="50" s="1"/>
  <c r="B5859" i="50"/>
  <c r="D5859" i="50" s="1"/>
  <c r="E5835" i="50"/>
  <c r="B5830" i="50"/>
  <c r="D5830" i="50" s="1"/>
  <c r="E5806" i="50"/>
  <c r="E5812" i="50"/>
  <c r="V5812" i="50" s="1"/>
  <c r="B5836" i="50"/>
  <c r="D5836" i="50" s="1"/>
  <c r="B5828" i="50"/>
  <c r="D5828" i="50" s="1"/>
  <c r="E5804" i="50"/>
  <c r="U5804" i="50" s="1"/>
  <c r="B5845" i="50"/>
  <c r="D5845" i="50" s="1"/>
  <c r="E5821" i="50"/>
  <c r="V5841" i="50" l="1"/>
  <c r="U5841" i="50"/>
  <c r="G5841" i="50"/>
  <c r="F5841" i="50"/>
  <c r="U5791" i="50"/>
  <c r="G5791" i="50"/>
  <c r="F5791" i="50"/>
  <c r="G5789" i="50"/>
  <c r="U5789" i="50"/>
  <c r="F5789" i="50"/>
  <c r="V5789" i="50"/>
  <c r="D5815" i="50"/>
  <c r="E5815" i="50"/>
  <c r="B5839" i="50"/>
  <c r="V5791" i="50"/>
  <c r="V5858" i="50"/>
  <c r="F5858" i="50"/>
  <c r="U5858" i="50"/>
  <c r="G5858" i="50"/>
  <c r="V5832" i="50"/>
  <c r="U5832" i="50"/>
  <c r="G5832" i="50"/>
  <c r="V5801" i="50"/>
  <c r="U5801" i="50"/>
  <c r="F5801" i="50"/>
  <c r="F5850" i="50"/>
  <c r="V5850" i="50"/>
  <c r="G5850" i="50"/>
  <c r="U5850" i="50"/>
  <c r="V5823" i="50"/>
  <c r="G5823" i="50"/>
  <c r="F5823" i="50"/>
  <c r="U5823" i="50"/>
  <c r="V5842" i="50"/>
  <c r="F5842" i="50"/>
  <c r="U5842" i="50"/>
  <c r="G5842" i="50"/>
  <c r="F5832" i="50"/>
  <c r="U5803" i="50"/>
  <c r="V5803" i="50"/>
  <c r="G5803" i="50"/>
  <c r="F5803" i="50"/>
  <c r="V5800" i="50"/>
  <c r="U5800" i="50"/>
  <c r="G5800" i="50"/>
  <c r="D5820" i="50"/>
  <c r="B5844" i="50"/>
  <c r="E5820" i="50"/>
  <c r="V5798" i="50"/>
  <c r="U5798" i="50"/>
  <c r="G5798" i="50"/>
  <c r="V5796" i="50"/>
  <c r="U5796" i="50"/>
  <c r="G5796" i="50"/>
  <c r="G5821" i="50"/>
  <c r="F5821" i="50"/>
  <c r="U5821" i="50"/>
  <c r="V5821" i="50"/>
  <c r="V5814" i="50"/>
  <c r="U5814" i="50"/>
  <c r="G5814" i="50"/>
  <c r="G5805" i="50"/>
  <c r="F5805" i="50"/>
  <c r="U5805" i="50"/>
  <c r="V5805" i="50"/>
  <c r="F5796" i="50"/>
  <c r="F5798" i="50"/>
  <c r="U5831" i="50"/>
  <c r="V5831" i="50"/>
  <c r="G5831" i="50"/>
  <c r="F5831" i="50"/>
  <c r="U5812" i="50"/>
  <c r="G5812" i="50"/>
  <c r="F5812" i="50"/>
  <c r="G5801" i="50"/>
  <c r="F5800" i="50"/>
  <c r="V5819" i="50"/>
  <c r="G5819" i="50"/>
  <c r="F5819" i="50"/>
  <c r="U5819" i="50"/>
  <c r="V5806" i="50"/>
  <c r="F5806" i="50"/>
  <c r="U5806" i="50"/>
  <c r="G5806" i="50"/>
  <c r="V5857" i="50"/>
  <c r="U5857" i="50"/>
  <c r="G5857" i="50"/>
  <c r="F5857" i="50"/>
  <c r="F5814" i="50"/>
  <c r="V5804" i="50"/>
  <c r="G5804" i="50"/>
  <c r="F5804" i="50"/>
  <c r="U5835" i="50"/>
  <c r="G5835" i="50"/>
  <c r="F5835" i="50"/>
  <c r="V5835" i="50"/>
  <c r="G5816" i="50"/>
  <c r="V5816" i="50"/>
  <c r="U5816" i="50"/>
  <c r="B5906" i="50"/>
  <c r="D5906" i="50" s="1"/>
  <c r="E5882" i="50"/>
  <c r="E5847" i="50"/>
  <c r="B5871" i="50"/>
  <c r="D5871" i="50" s="1"/>
  <c r="B5890" i="50"/>
  <c r="D5890" i="50" s="1"/>
  <c r="E5866" i="50"/>
  <c r="B5854" i="50"/>
  <c r="D5854" i="50" s="1"/>
  <c r="E5830" i="50"/>
  <c r="B5867" i="50"/>
  <c r="D5867" i="50" s="1"/>
  <c r="E5843" i="50"/>
  <c r="B5837" i="50"/>
  <c r="D5837" i="50" s="1"/>
  <c r="E5813" i="50"/>
  <c r="B5898" i="50"/>
  <c r="D5898" i="50" s="1"/>
  <c r="E5874" i="50"/>
  <c r="B5852" i="50"/>
  <c r="D5852" i="50" s="1"/>
  <c r="E5828" i="50"/>
  <c r="V5828" i="50" s="1"/>
  <c r="B5848" i="50"/>
  <c r="D5848" i="50" s="1"/>
  <c r="E5824" i="50"/>
  <c r="V5824" i="50" s="1"/>
  <c r="B5864" i="50"/>
  <c r="D5864" i="50" s="1"/>
  <c r="E5840" i="50"/>
  <c r="V5840" i="50" s="1"/>
  <c r="E5829" i="50"/>
  <c r="B5853" i="50"/>
  <c r="D5853" i="50" s="1"/>
  <c r="B5880" i="50"/>
  <c r="D5880" i="50" s="1"/>
  <c r="E5856" i="50"/>
  <c r="V5856" i="50" s="1"/>
  <c r="B5846" i="50"/>
  <c r="D5846" i="50" s="1"/>
  <c r="E5822" i="50"/>
  <c r="B5883" i="50"/>
  <c r="D5883" i="50" s="1"/>
  <c r="E5859" i="50"/>
  <c r="B5879" i="50"/>
  <c r="D5879" i="50" s="1"/>
  <c r="E5855" i="50"/>
  <c r="E5838" i="50"/>
  <c r="B5862" i="50"/>
  <c r="D5862" i="50" s="1"/>
  <c r="E5827" i="50"/>
  <c r="B5851" i="50"/>
  <c r="D5851" i="50" s="1"/>
  <c r="B5849" i="50"/>
  <c r="D5849" i="50" s="1"/>
  <c r="E5825" i="50"/>
  <c r="B5889" i="50"/>
  <c r="D5889" i="50" s="1"/>
  <c r="E5865" i="50"/>
  <c r="G5865" i="50" s="1"/>
  <c r="E5845" i="50"/>
  <c r="B5869" i="50"/>
  <c r="D5869" i="50" s="1"/>
  <c r="B5860" i="50"/>
  <c r="D5860" i="50" s="1"/>
  <c r="E5836" i="50"/>
  <c r="B5905" i="50"/>
  <c r="D5905" i="50" s="1"/>
  <c r="E5881" i="50"/>
  <c r="U5855" i="50" l="1"/>
  <c r="V5855" i="50"/>
  <c r="G5855" i="50"/>
  <c r="F5855" i="50"/>
  <c r="V5882" i="50"/>
  <c r="G5882" i="50"/>
  <c r="U5882" i="50"/>
  <c r="F5882" i="50"/>
  <c r="F5874" i="50"/>
  <c r="U5874" i="50"/>
  <c r="G5874" i="50"/>
  <c r="V5874" i="50"/>
  <c r="D5839" i="50"/>
  <c r="B5863" i="50"/>
  <c r="E5839" i="50"/>
  <c r="V5813" i="50"/>
  <c r="U5813" i="50"/>
  <c r="G5813" i="50"/>
  <c r="F5813" i="50"/>
  <c r="U5856" i="50"/>
  <c r="G5856" i="50"/>
  <c r="F5856" i="50"/>
  <c r="F5838" i="50"/>
  <c r="G5838" i="50"/>
  <c r="V5838" i="50"/>
  <c r="U5838" i="50"/>
  <c r="V5881" i="50"/>
  <c r="U5881" i="50"/>
  <c r="F5881" i="50"/>
  <c r="V5845" i="50"/>
  <c r="U5845" i="50"/>
  <c r="G5845" i="50"/>
  <c r="F5845" i="50"/>
  <c r="V5847" i="50"/>
  <c r="U5847" i="50"/>
  <c r="F5847" i="50"/>
  <c r="G5847" i="50"/>
  <c r="V5859" i="50"/>
  <c r="U5859" i="50"/>
  <c r="G5859" i="50"/>
  <c r="F5859" i="50"/>
  <c r="V5843" i="50"/>
  <c r="U5843" i="50"/>
  <c r="G5843" i="50"/>
  <c r="F5843" i="50"/>
  <c r="V5836" i="50"/>
  <c r="G5836" i="50"/>
  <c r="F5836" i="50"/>
  <c r="V5829" i="50"/>
  <c r="U5829" i="50"/>
  <c r="G5829" i="50"/>
  <c r="F5829" i="50"/>
  <c r="V5815" i="50"/>
  <c r="U5815" i="50"/>
  <c r="G5815" i="50"/>
  <c r="F5815" i="50"/>
  <c r="F5822" i="50"/>
  <c r="U5822" i="50"/>
  <c r="G5822" i="50"/>
  <c r="V5822" i="50"/>
  <c r="U5840" i="50"/>
  <c r="G5840" i="50"/>
  <c r="F5840" i="50"/>
  <c r="V5830" i="50"/>
  <c r="U5830" i="50"/>
  <c r="G5830" i="50"/>
  <c r="G5881" i="50"/>
  <c r="V5820" i="50"/>
  <c r="G5820" i="50"/>
  <c r="F5820" i="50"/>
  <c r="V5827" i="50"/>
  <c r="U5827" i="50"/>
  <c r="G5827" i="50"/>
  <c r="F5827" i="50"/>
  <c r="U5828" i="50"/>
  <c r="G5828" i="50"/>
  <c r="F5828" i="50"/>
  <c r="V5825" i="50"/>
  <c r="U5825" i="50"/>
  <c r="G5825" i="50"/>
  <c r="F5825" i="50"/>
  <c r="F5830" i="50"/>
  <c r="D5844" i="50"/>
  <c r="B5868" i="50"/>
  <c r="E5844" i="50"/>
  <c r="V5865" i="50"/>
  <c r="U5865" i="50"/>
  <c r="F5865" i="50"/>
  <c r="U5824" i="50"/>
  <c r="F5824" i="50"/>
  <c r="G5824" i="50"/>
  <c r="V5866" i="50"/>
  <c r="F5866" i="50"/>
  <c r="G5866" i="50"/>
  <c r="U5866" i="50"/>
  <c r="U5836" i="50"/>
  <c r="U5820" i="50"/>
  <c r="B5929" i="50"/>
  <c r="D5929" i="50" s="1"/>
  <c r="E5905" i="50"/>
  <c r="V5905" i="50" s="1"/>
  <c r="B5873" i="50"/>
  <c r="D5873" i="50" s="1"/>
  <c r="E5849" i="50"/>
  <c r="G5849" i="50" s="1"/>
  <c r="E5883" i="50"/>
  <c r="B5907" i="50"/>
  <c r="D5907" i="50" s="1"/>
  <c r="E5864" i="50"/>
  <c r="V5864" i="50" s="1"/>
  <c r="B5888" i="50"/>
  <c r="D5888" i="50" s="1"/>
  <c r="B5861" i="50"/>
  <c r="D5861" i="50" s="1"/>
  <c r="E5837" i="50"/>
  <c r="B5875" i="50"/>
  <c r="D5875" i="50" s="1"/>
  <c r="E5851" i="50"/>
  <c r="B5876" i="50"/>
  <c r="D5876" i="50" s="1"/>
  <c r="E5852" i="50"/>
  <c r="B5930" i="50"/>
  <c r="D5930" i="50" s="1"/>
  <c r="E5906" i="50"/>
  <c r="U5906" i="50" s="1"/>
  <c r="B5884" i="50"/>
  <c r="D5884" i="50" s="1"/>
  <c r="E5860" i="50"/>
  <c r="V5860" i="50" s="1"/>
  <c r="B5870" i="50"/>
  <c r="D5870" i="50" s="1"/>
  <c r="E5846" i="50"/>
  <c r="F5846" i="50" s="1"/>
  <c r="E5848" i="50"/>
  <c r="B5872" i="50"/>
  <c r="D5872" i="50" s="1"/>
  <c r="B5922" i="50"/>
  <c r="D5922" i="50" s="1"/>
  <c r="E5898" i="50"/>
  <c r="E5867" i="50"/>
  <c r="B5891" i="50"/>
  <c r="D5891" i="50" s="1"/>
  <c r="E5880" i="50"/>
  <c r="B5904" i="50"/>
  <c r="D5904" i="50" s="1"/>
  <c r="B5893" i="50"/>
  <c r="D5893" i="50" s="1"/>
  <c r="E5869" i="50"/>
  <c r="B5877" i="50"/>
  <c r="D5877" i="50" s="1"/>
  <c r="E5853" i="50"/>
  <c r="B5914" i="50"/>
  <c r="D5914" i="50" s="1"/>
  <c r="E5890" i="50"/>
  <c r="U5890" i="50" s="1"/>
  <c r="E5862" i="50"/>
  <c r="F5862" i="50" s="1"/>
  <c r="B5886" i="50"/>
  <c r="D5886" i="50" s="1"/>
  <c r="B5903" i="50"/>
  <c r="D5903" i="50" s="1"/>
  <c r="E5879" i="50"/>
  <c r="B5878" i="50"/>
  <c r="D5878" i="50" s="1"/>
  <c r="E5854" i="50"/>
  <c r="V5854" i="50" s="1"/>
  <c r="E5871" i="50"/>
  <c r="B5895" i="50"/>
  <c r="D5895" i="50" s="1"/>
  <c r="B5913" i="50"/>
  <c r="D5913" i="50" s="1"/>
  <c r="E5889" i="50"/>
  <c r="V5844" i="50" l="1"/>
  <c r="V5852" i="50"/>
  <c r="G5852" i="50"/>
  <c r="F5852" i="50"/>
  <c r="G5869" i="50"/>
  <c r="F5869" i="50"/>
  <c r="U5869" i="50"/>
  <c r="V5869" i="50"/>
  <c r="U5880" i="50"/>
  <c r="G5880" i="50"/>
  <c r="F5880" i="50"/>
  <c r="V5851" i="50"/>
  <c r="U5851" i="50"/>
  <c r="G5851" i="50"/>
  <c r="F5851" i="50"/>
  <c r="U5852" i="50"/>
  <c r="G5898" i="50"/>
  <c r="U5898" i="50"/>
  <c r="F5898" i="50"/>
  <c r="V5898" i="50"/>
  <c r="G5837" i="50"/>
  <c r="F5837" i="50"/>
  <c r="V5837" i="50"/>
  <c r="U5837" i="50"/>
  <c r="V5880" i="50"/>
  <c r="D5868" i="50"/>
  <c r="B5892" i="50"/>
  <c r="E5868" i="50"/>
  <c r="V5889" i="50"/>
  <c r="U5889" i="50"/>
  <c r="G5889" i="50"/>
  <c r="F5889" i="50"/>
  <c r="U5879" i="50"/>
  <c r="F5879" i="50"/>
  <c r="G5879" i="50"/>
  <c r="V5879" i="50"/>
  <c r="U5848" i="50"/>
  <c r="G5848" i="50"/>
  <c r="F5848" i="50"/>
  <c r="U5846" i="50"/>
  <c r="G5846" i="50"/>
  <c r="V5846" i="50"/>
  <c r="U5905" i="50"/>
  <c r="G5905" i="50"/>
  <c r="F5905" i="50"/>
  <c r="U5871" i="50"/>
  <c r="V5871" i="50"/>
  <c r="G5871" i="50"/>
  <c r="F5871" i="50"/>
  <c r="U5862" i="50"/>
  <c r="G5862" i="50"/>
  <c r="V5862" i="50"/>
  <c r="U5864" i="50"/>
  <c r="G5864" i="50"/>
  <c r="F5864" i="50"/>
  <c r="U5839" i="50"/>
  <c r="V5839" i="50"/>
  <c r="G5839" i="50"/>
  <c r="F5839" i="50"/>
  <c r="F5890" i="50"/>
  <c r="V5890" i="50"/>
  <c r="G5890" i="50"/>
  <c r="U5860" i="50"/>
  <c r="G5860" i="50"/>
  <c r="F5860" i="50"/>
  <c r="D5863" i="50"/>
  <c r="E5863" i="50"/>
  <c r="B5887" i="50"/>
  <c r="F5854" i="50"/>
  <c r="U5854" i="50"/>
  <c r="G5854" i="50"/>
  <c r="U5883" i="50"/>
  <c r="V5883" i="50"/>
  <c r="G5883" i="50"/>
  <c r="F5883" i="50"/>
  <c r="V5906" i="50"/>
  <c r="F5906" i="50"/>
  <c r="G5906" i="50"/>
  <c r="U5867" i="50"/>
  <c r="G5867" i="50"/>
  <c r="V5867" i="50"/>
  <c r="F5867" i="50"/>
  <c r="F5853" i="50"/>
  <c r="G5853" i="50"/>
  <c r="U5853" i="50"/>
  <c r="V5853" i="50"/>
  <c r="V5849" i="50"/>
  <c r="U5849" i="50"/>
  <c r="F5849" i="50"/>
  <c r="U5844" i="50"/>
  <c r="G5844" i="50"/>
  <c r="F5844" i="50"/>
  <c r="V5848" i="50"/>
  <c r="B5894" i="50"/>
  <c r="D5894" i="50" s="1"/>
  <c r="E5870" i="50"/>
  <c r="E5876" i="50"/>
  <c r="V5876" i="50" s="1"/>
  <c r="B5900" i="50"/>
  <c r="D5900" i="50" s="1"/>
  <c r="B5901" i="50"/>
  <c r="D5901" i="50" s="1"/>
  <c r="E5877" i="50"/>
  <c r="B5897" i="50"/>
  <c r="D5897" i="50" s="1"/>
  <c r="E5873" i="50"/>
  <c r="B5899" i="50"/>
  <c r="D5899" i="50" s="1"/>
  <c r="E5875" i="50"/>
  <c r="B5953" i="50"/>
  <c r="D5953" i="50" s="1"/>
  <c r="E5929" i="50"/>
  <c r="G5929" i="50" s="1"/>
  <c r="B5946" i="50"/>
  <c r="D5946" i="50" s="1"/>
  <c r="E5922" i="50"/>
  <c r="B5919" i="50"/>
  <c r="D5919" i="50" s="1"/>
  <c r="E5895" i="50"/>
  <c r="B5938" i="50"/>
  <c r="D5938" i="50" s="1"/>
  <c r="E5914" i="50"/>
  <c r="B5908" i="50"/>
  <c r="D5908" i="50" s="1"/>
  <c r="E5884" i="50"/>
  <c r="U5884" i="50" s="1"/>
  <c r="B5885" i="50"/>
  <c r="D5885" i="50" s="1"/>
  <c r="E5861" i="50"/>
  <c r="E5903" i="50"/>
  <c r="B5927" i="50"/>
  <c r="D5927" i="50" s="1"/>
  <c r="B5928" i="50"/>
  <c r="D5928" i="50" s="1"/>
  <c r="E5904" i="50"/>
  <c r="V5904" i="50" s="1"/>
  <c r="B5937" i="50"/>
  <c r="D5937" i="50" s="1"/>
  <c r="E5913" i="50"/>
  <c r="B5910" i="50"/>
  <c r="D5910" i="50" s="1"/>
  <c r="E5886" i="50"/>
  <c r="B5912" i="50"/>
  <c r="D5912" i="50" s="1"/>
  <c r="E5888" i="50"/>
  <c r="V5888" i="50" s="1"/>
  <c r="E5878" i="50"/>
  <c r="B5902" i="50"/>
  <c r="D5902" i="50" s="1"/>
  <c r="B5896" i="50"/>
  <c r="D5896" i="50" s="1"/>
  <c r="E5872" i="50"/>
  <c r="V5872" i="50" s="1"/>
  <c r="B5917" i="50"/>
  <c r="D5917" i="50" s="1"/>
  <c r="E5893" i="50"/>
  <c r="B5915" i="50"/>
  <c r="D5915" i="50" s="1"/>
  <c r="E5891" i="50"/>
  <c r="B5954" i="50"/>
  <c r="D5954" i="50" s="1"/>
  <c r="E5930" i="50"/>
  <c r="B5931" i="50"/>
  <c r="D5931" i="50" s="1"/>
  <c r="E5907" i="50"/>
  <c r="V5893" i="50" l="1"/>
  <c r="U5893" i="50"/>
  <c r="G5893" i="50"/>
  <c r="F5893" i="50"/>
  <c r="V5861" i="50"/>
  <c r="U5861" i="50"/>
  <c r="G5861" i="50"/>
  <c r="F5861" i="50"/>
  <c r="V5877" i="50"/>
  <c r="U5877" i="50"/>
  <c r="G5877" i="50"/>
  <c r="F5877" i="50"/>
  <c r="U5868" i="50"/>
  <c r="G5884" i="50"/>
  <c r="F5884" i="50"/>
  <c r="V5884" i="50"/>
  <c r="D5887" i="50"/>
  <c r="E5887" i="50"/>
  <c r="B5911" i="50"/>
  <c r="U5876" i="50"/>
  <c r="G5876" i="50"/>
  <c r="F5876" i="50"/>
  <c r="U5863" i="50"/>
  <c r="V5863" i="50"/>
  <c r="F5863" i="50"/>
  <c r="G5863" i="50"/>
  <c r="V5873" i="50"/>
  <c r="U5873" i="50"/>
  <c r="G5873" i="50"/>
  <c r="F5873" i="50"/>
  <c r="V5903" i="50"/>
  <c r="U5903" i="50"/>
  <c r="G5903" i="50"/>
  <c r="F5903" i="50"/>
  <c r="G5914" i="50"/>
  <c r="U5914" i="50"/>
  <c r="V5914" i="50"/>
  <c r="F5914" i="50"/>
  <c r="U5878" i="50"/>
  <c r="V5878" i="50"/>
  <c r="G5878" i="50"/>
  <c r="F5878" i="50"/>
  <c r="U5888" i="50"/>
  <c r="G5888" i="50"/>
  <c r="F5888" i="50"/>
  <c r="U5895" i="50"/>
  <c r="F5895" i="50"/>
  <c r="V5895" i="50"/>
  <c r="G5895" i="50"/>
  <c r="V5870" i="50"/>
  <c r="F5870" i="50"/>
  <c r="U5870" i="50"/>
  <c r="G5870" i="50"/>
  <c r="D5892" i="50"/>
  <c r="B5916" i="50"/>
  <c r="E5892" i="50"/>
  <c r="V5907" i="50"/>
  <c r="U5907" i="50"/>
  <c r="G5907" i="50"/>
  <c r="F5907" i="50"/>
  <c r="V5886" i="50"/>
  <c r="U5886" i="50"/>
  <c r="G5886" i="50"/>
  <c r="F5886" i="50"/>
  <c r="V5922" i="50"/>
  <c r="F5922" i="50"/>
  <c r="G5922" i="50"/>
  <c r="U5922" i="50"/>
  <c r="V5930" i="50"/>
  <c r="F5930" i="50"/>
  <c r="U5930" i="50"/>
  <c r="V5913" i="50"/>
  <c r="U5913" i="50"/>
  <c r="F5913" i="50"/>
  <c r="V5929" i="50"/>
  <c r="U5929" i="50"/>
  <c r="F5929" i="50"/>
  <c r="G5913" i="50"/>
  <c r="V5868" i="50"/>
  <c r="G5868" i="50"/>
  <c r="F5868" i="50"/>
  <c r="G5872" i="50"/>
  <c r="U5872" i="50"/>
  <c r="F5872" i="50"/>
  <c r="V5891" i="50"/>
  <c r="U5891" i="50"/>
  <c r="G5891" i="50"/>
  <c r="F5891" i="50"/>
  <c r="U5904" i="50"/>
  <c r="G5904" i="50"/>
  <c r="F5904" i="50"/>
  <c r="V5875" i="50"/>
  <c r="U5875" i="50"/>
  <c r="G5875" i="50"/>
  <c r="F5875" i="50"/>
  <c r="G5930" i="50"/>
  <c r="B5961" i="50"/>
  <c r="D5961" i="50" s="1"/>
  <c r="E5937" i="50"/>
  <c r="V5937" i="50" s="1"/>
  <c r="E5885" i="50"/>
  <c r="B5909" i="50"/>
  <c r="D5909" i="50" s="1"/>
  <c r="E5901" i="50"/>
  <c r="U5901" i="50" s="1"/>
  <c r="B5925" i="50"/>
  <c r="D5925" i="50" s="1"/>
  <c r="B5962" i="50"/>
  <c r="D5962" i="50" s="1"/>
  <c r="E5938" i="50"/>
  <c r="U5938" i="50" s="1"/>
  <c r="E5919" i="50"/>
  <c r="B5943" i="50"/>
  <c r="D5943" i="50" s="1"/>
  <c r="B5926" i="50"/>
  <c r="D5926" i="50" s="1"/>
  <c r="E5902" i="50"/>
  <c r="E5899" i="50"/>
  <c r="U5899" i="50" s="1"/>
  <c r="B5923" i="50"/>
  <c r="D5923" i="50" s="1"/>
  <c r="E5915" i="50"/>
  <c r="B5939" i="50"/>
  <c r="D5939" i="50" s="1"/>
  <c r="B5970" i="50"/>
  <c r="D5970" i="50" s="1"/>
  <c r="E5946" i="50"/>
  <c r="G5946" i="50" s="1"/>
  <c r="B5921" i="50"/>
  <c r="D5921" i="50" s="1"/>
  <c r="E5897" i="50"/>
  <c r="E5912" i="50"/>
  <c r="V5912" i="50" s="1"/>
  <c r="B5936" i="50"/>
  <c r="D5936" i="50" s="1"/>
  <c r="E5894" i="50"/>
  <c r="B5918" i="50"/>
  <c r="D5918" i="50" s="1"/>
  <c r="E5931" i="50"/>
  <c r="U5931" i="50" s="1"/>
  <c r="B5955" i="50"/>
  <c r="D5955" i="50" s="1"/>
  <c r="E5928" i="50"/>
  <c r="B5952" i="50"/>
  <c r="D5952" i="50" s="1"/>
  <c r="B5924" i="50"/>
  <c r="D5924" i="50" s="1"/>
  <c r="E5900" i="50"/>
  <c r="U5900" i="50" s="1"/>
  <c r="B5978" i="50"/>
  <c r="D5978" i="50" s="1"/>
  <c r="E5954" i="50"/>
  <c r="U5954" i="50" s="1"/>
  <c r="E5896" i="50"/>
  <c r="V5896" i="50" s="1"/>
  <c r="B5920" i="50"/>
  <c r="D5920" i="50" s="1"/>
  <c r="B5951" i="50"/>
  <c r="D5951" i="50" s="1"/>
  <c r="E5927" i="50"/>
  <c r="E5908" i="50"/>
  <c r="V5908" i="50" s="1"/>
  <c r="B5932" i="50"/>
  <c r="D5932" i="50" s="1"/>
  <c r="B5977" i="50"/>
  <c r="D5977" i="50" s="1"/>
  <c r="E5953" i="50"/>
  <c r="E5910" i="50"/>
  <c r="U5910" i="50" s="1"/>
  <c r="B5934" i="50"/>
  <c r="D5934" i="50" s="1"/>
  <c r="E5917" i="50"/>
  <c r="B5941" i="50"/>
  <c r="D5941" i="50" s="1"/>
  <c r="V5892" i="50" l="1"/>
  <c r="G5917" i="50"/>
  <c r="F5917" i="50"/>
  <c r="V5917" i="50"/>
  <c r="U5892" i="50"/>
  <c r="G5892" i="50"/>
  <c r="F5892" i="50"/>
  <c r="V5894" i="50"/>
  <c r="U5894" i="50"/>
  <c r="G5894" i="50"/>
  <c r="F5894" i="50"/>
  <c r="U5953" i="50"/>
  <c r="G5953" i="50"/>
  <c r="F5953" i="50"/>
  <c r="D5916" i="50"/>
  <c r="U5916" i="50" s="1"/>
  <c r="B5940" i="50"/>
  <c r="E5916" i="50"/>
  <c r="U5912" i="50"/>
  <c r="G5912" i="50"/>
  <c r="F5912" i="50"/>
  <c r="V5919" i="50"/>
  <c r="U5919" i="50"/>
  <c r="G5919" i="50"/>
  <c r="F5919" i="50"/>
  <c r="V5897" i="50"/>
  <c r="U5897" i="50"/>
  <c r="F5897" i="50"/>
  <c r="V5938" i="50"/>
  <c r="F5938" i="50"/>
  <c r="G5938" i="50"/>
  <c r="U5917" i="50"/>
  <c r="V5902" i="50"/>
  <c r="U5902" i="50"/>
  <c r="G5902" i="50"/>
  <c r="F5902" i="50"/>
  <c r="V5953" i="50"/>
  <c r="V5946" i="50"/>
  <c r="F5946" i="50"/>
  <c r="U5946" i="50"/>
  <c r="D5911" i="50"/>
  <c r="B5935" i="50"/>
  <c r="E5911" i="50"/>
  <c r="G5928" i="50"/>
  <c r="U5928" i="50"/>
  <c r="F5928" i="50"/>
  <c r="V5931" i="50"/>
  <c r="F5931" i="50"/>
  <c r="G5931" i="50"/>
  <c r="G5901" i="50"/>
  <c r="F5901" i="50"/>
  <c r="V5901" i="50"/>
  <c r="V5887" i="50"/>
  <c r="G5887" i="50"/>
  <c r="F5887" i="50"/>
  <c r="U5887" i="50"/>
  <c r="G5897" i="50"/>
  <c r="U5908" i="50"/>
  <c r="G5908" i="50"/>
  <c r="F5908" i="50"/>
  <c r="V5954" i="50"/>
  <c r="F5954" i="50"/>
  <c r="G5954" i="50"/>
  <c r="G5885" i="50"/>
  <c r="U5885" i="50"/>
  <c r="V5885" i="50"/>
  <c r="F5885" i="50"/>
  <c r="V5899" i="50"/>
  <c r="G5899" i="50"/>
  <c r="F5899" i="50"/>
  <c r="V5910" i="50"/>
  <c r="G5910" i="50"/>
  <c r="F5910" i="50"/>
  <c r="V5900" i="50"/>
  <c r="G5900" i="50"/>
  <c r="F5900" i="50"/>
  <c r="U5937" i="50"/>
  <c r="G5937" i="50"/>
  <c r="F5937" i="50"/>
  <c r="U5927" i="50"/>
  <c r="F5927" i="50"/>
  <c r="V5927" i="50"/>
  <c r="G5927" i="50"/>
  <c r="V5915" i="50"/>
  <c r="F5915" i="50"/>
  <c r="G5915" i="50"/>
  <c r="U5896" i="50"/>
  <c r="G5896" i="50"/>
  <c r="F5896" i="50"/>
  <c r="V5928" i="50"/>
  <c r="U5915" i="50"/>
  <c r="B5963" i="50"/>
  <c r="D5963" i="50" s="1"/>
  <c r="E5939" i="50"/>
  <c r="B5942" i="50"/>
  <c r="D5942" i="50" s="1"/>
  <c r="E5918" i="50"/>
  <c r="B5986" i="50"/>
  <c r="D5986" i="50" s="1"/>
  <c r="E5962" i="50"/>
  <c r="B5944" i="50"/>
  <c r="D5944" i="50" s="1"/>
  <c r="E5920" i="50"/>
  <c r="B5949" i="50"/>
  <c r="D5949" i="50" s="1"/>
  <c r="E5925" i="50"/>
  <c r="B5965" i="50"/>
  <c r="D5965" i="50" s="1"/>
  <c r="E5941" i="50"/>
  <c r="B5976" i="50"/>
  <c r="D5976" i="50" s="1"/>
  <c r="E5952" i="50"/>
  <c r="B5947" i="50"/>
  <c r="D5947" i="50" s="1"/>
  <c r="E5923" i="50"/>
  <c r="E5926" i="50"/>
  <c r="B5950" i="50"/>
  <c r="D5950" i="50" s="1"/>
  <c r="B6002" i="50"/>
  <c r="D6002" i="50" s="1"/>
  <c r="E5978" i="50"/>
  <c r="G5978" i="50" s="1"/>
  <c r="B5956" i="50"/>
  <c r="D5956" i="50" s="1"/>
  <c r="E5932" i="50"/>
  <c r="B5960" i="50"/>
  <c r="D5960" i="50" s="1"/>
  <c r="E5936" i="50"/>
  <c r="V5936" i="50" s="1"/>
  <c r="B5945" i="50"/>
  <c r="D5945" i="50" s="1"/>
  <c r="E5921" i="50"/>
  <c r="V5921" i="50" s="1"/>
  <c r="B5933" i="50"/>
  <c r="D5933" i="50" s="1"/>
  <c r="E5909" i="50"/>
  <c r="B5958" i="50"/>
  <c r="D5958" i="50" s="1"/>
  <c r="E5934" i="50"/>
  <c r="E5924" i="50"/>
  <c r="V5924" i="50" s="1"/>
  <c r="B5948" i="50"/>
  <c r="D5948" i="50" s="1"/>
  <c r="B5979" i="50"/>
  <c r="D5979" i="50" s="1"/>
  <c r="E5955" i="50"/>
  <c r="B5994" i="50"/>
  <c r="D5994" i="50" s="1"/>
  <c r="E5970" i="50"/>
  <c r="B5967" i="50"/>
  <c r="D5967" i="50" s="1"/>
  <c r="E5943" i="50"/>
  <c r="B6001" i="50"/>
  <c r="D6001" i="50" s="1"/>
  <c r="E5977" i="50"/>
  <c r="G5977" i="50" s="1"/>
  <c r="E5951" i="50"/>
  <c r="B5975" i="50"/>
  <c r="D5975" i="50" s="1"/>
  <c r="B5985" i="50"/>
  <c r="D5985" i="50" s="1"/>
  <c r="E5961" i="50"/>
  <c r="G5961" i="50" s="1"/>
  <c r="D5935" i="50" l="1"/>
  <c r="B5959" i="50"/>
  <c r="E5935" i="50"/>
  <c r="V5932" i="50"/>
  <c r="G5932" i="50"/>
  <c r="F5932" i="50"/>
  <c r="V5962" i="50"/>
  <c r="F5962" i="50"/>
  <c r="U5962" i="50"/>
  <c r="U5920" i="50"/>
  <c r="G5920" i="50"/>
  <c r="F5920" i="50"/>
  <c r="F5955" i="50"/>
  <c r="V5955" i="50"/>
  <c r="U5955" i="50"/>
  <c r="G5955" i="50"/>
  <c r="V5918" i="50"/>
  <c r="U5918" i="50"/>
  <c r="G5918" i="50"/>
  <c r="F5918" i="50"/>
  <c r="V5920" i="50"/>
  <c r="V5926" i="50"/>
  <c r="G5926" i="50"/>
  <c r="F5926" i="50"/>
  <c r="G5962" i="50"/>
  <c r="V5970" i="50"/>
  <c r="F5970" i="50"/>
  <c r="G5970" i="50"/>
  <c r="G5934" i="50"/>
  <c r="F5934" i="50"/>
  <c r="V5934" i="50"/>
  <c r="U5934" i="50"/>
  <c r="G5923" i="50"/>
  <c r="F5923" i="50"/>
  <c r="U5923" i="50"/>
  <c r="V5923" i="50"/>
  <c r="F5939" i="50"/>
  <c r="V5939" i="50"/>
  <c r="U5939" i="50"/>
  <c r="G5939" i="50"/>
  <c r="U5970" i="50"/>
  <c r="U5924" i="50"/>
  <c r="G5924" i="50"/>
  <c r="F5924" i="50"/>
  <c r="U5932" i="50"/>
  <c r="V5909" i="50"/>
  <c r="U5909" i="50"/>
  <c r="G5909" i="50"/>
  <c r="F5909" i="50"/>
  <c r="U5952" i="50"/>
  <c r="G5952" i="50"/>
  <c r="F5952" i="50"/>
  <c r="U5926" i="50"/>
  <c r="V5978" i="50"/>
  <c r="F5978" i="50"/>
  <c r="U5978" i="50"/>
  <c r="U5921" i="50"/>
  <c r="G5921" i="50"/>
  <c r="F5921" i="50"/>
  <c r="V5941" i="50"/>
  <c r="U5941" i="50"/>
  <c r="G5941" i="50"/>
  <c r="F5941" i="50"/>
  <c r="V5952" i="50"/>
  <c r="F5943" i="50"/>
  <c r="V5943" i="50"/>
  <c r="G5943" i="50"/>
  <c r="U5943" i="50"/>
  <c r="V5961" i="50"/>
  <c r="U5961" i="50"/>
  <c r="F5961" i="50"/>
  <c r="V5951" i="50"/>
  <c r="U5951" i="50"/>
  <c r="G5951" i="50"/>
  <c r="F5951" i="50"/>
  <c r="U5965" i="50"/>
  <c r="V5916" i="50"/>
  <c r="G5916" i="50"/>
  <c r="F5916" i="50"/>
  <c r="F5911" i="50"/>
  <c r="V5911" i="50"/>
  <c r="G5911" i="50"/>
  <c r="U5911" i="50"/>
  <c r="V5977" i="50"/>
  <c r="U5977" i="50"/>
  <c r="F5977" i="50"/>
  <c r="U5936" i="50"/>
  <c r="G5936" i="50"/>
  <c r="F5936" i="50"/>
  <c r="V5925" i="50"/>
  <c r="U5925" i="50"/>
  <c r="G5925" i="50"/>
  <c r="F5925" i="50"/>
  <c r="D5940" i="50"/>
  <c r="E5940" i="50"/>
  <c r="B5964" i="50"/>
  <c r="E5965" i="50"/>
  <c r="B5989" i="50"/>
  <c r="D5989" i="50" s="1"/>
  <c r="E5958" i="50"/>
  <c r="B5982" i="50"/>
  <c r="D5982" i="50" s="1"/>
  <c r="E5947" i="50"/>
  <c r="B5971" i="50"/>
  <c r="D5971" i="50" s="1"/>
  <c r="B6025" i="50"/>
  <c r="D6025" i="50" s="1"/>
  <c r="E6001" i="50"/>
  <c r="E5960" i="50"/>
  <c r="V5960" i="50" s="1"/>
  <c r="B5984" i="50"/>
  <c r="D5984" i="50" s="1"/>
  <c r="E5949" i="50"/>
  <c r="B5973" i="50"/>
  <c r="D5973" i="50" s="1"/>
  <c r="E5942" i="50"/>
  <c r="U5942" i="50" s="1"/>
  <c r="B5966" i="50"/>
  <c r="D5966" i="50" s="1"/>
  <c r="E5933" i="50"/>
  <c r="B5957" i="50"/>
  <c r="D5957" i="50" s="1"/>
  <c r="B5974" i="50"/>
  <c r="D5974" i="50" s="1"/>
  <c r="E5950" i="50"/>
  <c r="E5956" i="50"/>
  <c r="B5980" i="50"/>
  <c r="D5980" i="50" s="1"/>
  <c r="B5969" i="50"/>
  <c r="D5969" i="50" s="1"/>
  <c r="E5945" i="50"/>
  <c r="G5945" i="50" s="1"/>
  <c r="E5979" i="50"/>
  <c r="U5979" i="50" s="1"/>
  <c r="B6003" i="50"/>
  <c r="D6003" i="50" s="1"/>
  <c r="B5972" i="50"/>
  <c r="D5972" i="50" s="1"/>
  <c r="E5948" i="50"/>
  <c r="E5944" i="50"/>
  <c r="V5944" i="50" s="1"/>
  <c r="B5968" i="50"/>
  <c r="D5968" i="50" s="1"/>
  <c r="B6009" i="50"/>
  <c r="D6009" i="50" s="1"/>
  <c r="E5985" i="50"/>
  <c r="V5985" i="50" s="1"/>
  <c r="B6018" i="50"/>
  <c r="D6018" i="50" s="1"/>
  <c r="E5994" i="50"/>
  <c r="B6026" i="50"/>
  <c r="D6026" i="50" s="1"/>
  <c r="E6002" i="50"/>
  <c r="E5976" i="50"/>
  <c r="B6000" i="50"/>
  <c r="D6000" i="50" s="1"/>
  <c r="B6010" i="50"/>
  <c r="D6010" i="50" s="1"/>
  <c r="E5986" i="50"/>
  <c r="U5986" i="50" s="1"/>
  <c r="E5967" i="50"/>
  <c r="B5991" i="50"/>
  <c r="D5991" i="50" s="1"/>
  <c r="B5999" i="50"/>
  <c r="D5999" i="50" s="1"/>
  <c r="E5975" i="50"/>
  <c r="E5963" i="50"/>
  <c r="U5963" i="50" s="1"/>
  <c r="B5987" i="50"/>
  <c r="D5987" i="50" s="1"/>
  <c r="V5940" i="50" l="1"/>
  <c r="V5948" i="50"/>
  <c r="G5948" i="50"/>
  <c r="F5948" i="50"/>
  <c r="U6001" i="50"/>
  <c r="G6001" i="50"/>
  <c r="F6001" i="50"/>
  <c r="G5976" i="50"/>
  <c r="U5976" i="50"/>
  <c r="F5976" i="50"/>
  <c r="V5986" i="50"/>
  <c r="F5986" i="50"/>
  <c r="G5986" i="50"/>
  <c r="F6002" i="50"/>
  <c r="V6002" i="50"/>
  <c r="G6002" i="50"/>
  <c r="F5949" i="50"/>
  <c r="G5949" i="50"/>
  <c r="V5949" i="50"/>
  <c r="V5967" i="50"/>
  <c r="U5967" i="50"/>
  <c r="G5967" i="50"/>
  <c r="F5967" i="50"/>
  <c r="V5947" i="50"/>
  <c r="F5947" i="50"/>
  <c r="G5947" i="50"/>
  <c r="V5958" i="50"/>
  <c r="F5958" i="50"/>
  <c r="G5958" i="50"/>
  <c r="U5949" i="50"/>
  <c r="V5994" i="50"/>
  <c r="F5994" i="50"/>
  <c r="U5994" i="50"/>
  <c r="U6002" i="50"/>
  <c r="U5947" i="50"/>
  <c r="V6001" i="50"/>
  <c r="F5975" i="50"/>
  <c r="V5975" i="50"/>
  <c r="U5975" i="50"/>
  <c r="G5975" i="50"/>
  <c r="V5950" i="50"/>
  <c r="U5950" i="50"/>
  <c r="G5950" i="50"/>
  <c r="F5950" i="50"/>
  <c r="F5933" i="50"/>
  <c r="G5933" i="50"/>
  <c r="V5933" i="50"/>
  <c r="U5948" i="50"/>
  <c r="V5976" i="50"/>
  <c r="U5958" i="50"/>
  <c r="V5935" i="50"/>
  <c r="U5935" i="50"/>
  <c r="G5935" i="50"/>
  <c r="F5935" i="50"/>
  <c r="V5945" i="50"/>
  <c r="U5945" i="50"/>
  <c r="F5945" i="50"/>
  <c r="U5985" i="50"/>
  <c r="G5985" i="50"/>
  <c r="F5985" i="50"/>
  <c r="G5994" i="50"/>
  <c r="U5933" i="50"/>
  <c r="D5959" i="50"/>
  <c r="B5983" i="50"/>
  <c r="E5959" i="50"/>
  <c r="G5960" i="50"/>
  <c r="U5960" i="50"/>
  <c r="F5960" i="50"/>
  <c r="F5965" i="50"/>
  <c r="G5965" i="50"/>
  <c r="V5965" i="50"/>
  <c r="U5956" i="50"/>
  <c r="G5956" i="50"/>
  <c r="F5956" i="50"/>
  <c r="D5964" i="50"/>
  <c r="B5988" i="50"/>
  <c r="E5964" i="50"/>
  <c r="V5979" i="50"/>
  <c r="F5979" i="50"/>
  <c r="G5979" i="50"/>
  <c r="V5963" i="50"/>
  <c r="F5963" i="50"/>
  <c r="G5963" i="50"/>
  <c r="G5944" i="50"/>
  <c r="U5944" i="50"/>
  <c r="F5944" i="50"/>
  <c r="V5942" i="50"/>
  <c r="F5942" i="50"/>
  <c r="G5942" i="50"/>
  <c r="U5940" i="50"/>
  <c r="G5940" i="50"/>
  <c r="F5940" i="50"/>
  <c r="V5956" i="50"/>
  <c r="B6050" i="50"/>
  <c r="D6050" i="50" s="1"/>
  <c r="E6026" i="50"/>
  <c r="E5972" i="50"/>
  <c r="B5996" i="50"/>
  <c r="D5996" i="50" s="1"/>
  <c r="B6004" i="50"/>
  <c r="D6004" i="50" s="1"/>
  <c r="E5980" i="50"/>
  <c r="B6027" i="50"/>
  <c r="D6027" i="50" s="1"/>
  <c r="E6003" i="50"/>
  <c r="B6042" i="50"/>
  <c r="D6042" i="50" s="1"/>
  <c r="E6018" i="50"/>
  <c r="B5995" i="50"/>
  <c r="D5995" i="50" s="1"/>
  <c r="E5971" i="50"/>
  <c r="B6008" i="50"/>
  <c r="D6008" i="50" s="1"/>
  <c r="E5984" i="50"/>
  <c r="B5992" i="50"/>
  <c r="D5992" i="50" s="1"/>
  <c r="E5968" i="50"/>
  <c r="B6033" i="50"/>
  <c r="D6033" i="50" s="1"/>
  <c r="E6009" i="50"/>
  <c r="G6009" i="50" s="1"/>
  <c r="E5974" i="50"/>
  <c r="U5974" i="50" s="1"/>
  <c r="B5998" i="50"/>
  <c r="D5998" i="50" s="1"/>
  <c r="B6049" i="50"/>
  <c r="D6049" i="50" s="1"/>
  <c r="E6025" i="50"/>
  <c r="G6025" i="50" s="1"/>
  <c r="B6011" i="50"/>
  <c r="D6011" i="50" s="1"/>
  <c r="E5987" i="50"/>
  <c r="B6034" i="50"/>
  <c r="D6034" i="50" s="1"/>
  <c r="E6010" i="50"/>
  <c r="B5993" i="50"/>
  <c r="D5993" i="50" s="1"/>
  <c r="E5969" i="50"/>
  <c r="V5969" i="50" s="1"/>
  <c r="B6006" i="50"/>
  <c r="D6006" i="50" s="1"/>
  <c r="E5982" i="50"/>
  <c r="B6024" i="50"/>
  <c r="D6024" i="50" s="1"/>
  <c r="E6000" i="50"/>
  <c r="B5990" i="50"/>
  <c r="D5990" i="50" s="1"/>
  <c r="E5966" i="50"/>
  <c r="E5999" i="50"/>
  <c r="B6023" i="50"/>
  <c r="D6023" i="50" s="1"/>
  <c r="B6013" i="50"/>
  <c r="D6013" i="50" s="1"/>
  <c r="E5989" i="50"/>
  <c r="B6015" i="50"/>
  <c r="D6015" i="50" s="1"/>
  <c r="E5991" i="50"/>
  <c r="B5981" i="50"/>
  <c r="D5981" i="50" s="1"/>
  <c r="E5957" i="50"/>
  <c r="B5997" i="50"/>
  <c r="D5997" i="50" s="1"/>
  <c r="E5973" i="50"/>
  <c r="V5980" i="50" l="1"/>
  <c r="G5980" i="50"/>
  <c r="F5980" i="50"/>
  <c r="V5989" i="50"/>
  <c r="U5989" i="50"/>
  <c r="G5989" i="50"/>
  <c r="F5989" i="50"/>
  <c r="V5966" i="50"/>
  <c r="U5966" i="50"/>
  <c r="G5966" i="50"/>
  <c r="F5966" i="50"/>
  <c r="V5974" i="50"/>
  <c r="F5974" i="50"/>
  <c r="G5974" i="50"/>
  <c r="U5980" i="50"/>
  <c r="V6003" i="50"/>
  <c r="U6003" i="50"/>
  <c r="G6003" i="50"/>
  <c r="F6003" i="50"/>
  <c r="V6009" i="50"/>
  <c r="U6009" i="50"/>
  <c r="F6009" i="50"/>
  <c r="U5972" i="50"/>
  <c r="G5972" i="50"/>
  <c r="F5972" i="50"/>
  <c r="V5982" i="50"/>
  <c r="U5982" i="50"/>
  <c r="G5982" i="50"/>
  <c r="F5982" i="50"/>
  <c r="U5968" i="50"/>
  <c r="G5968" i="50"/>
  <c r="F5968" i="50"/>
  <c r="V6026" i="50"/>
  <c r="F6026" i="50"/>
  <c r="U6026" i="50"/>
  <c r="V5972" i="50"/>
  <c r="F5959" i="50"/>
  <c r="V5959" i="50"/>
  <c r="G5959" i="50"/>
  <c r="U5959" i="50"/>
  <c r="V6025" i="50"/>
  <c r="U6025" i="50"/>
  <c r="F6025" i="50"/>
  <c r="V5973" i="50"/>
  <c r="U5973" i="50"/>
  <c r="G5973" i="50"/>
  <c r="F5973" i="50"/>
  <c r="U5969" i="50"/>
  <c r="G5969" i="50"/>
  <c r="F5969" i="50"/>
  <c r="V5984" i="50"/>
  <c r="U5984" i="50"/>
  <c r="G5984" i="50"/>
  <c r="F5984" i="50"/>
  <c r="V5964" i="50"/>
  <c r="G5964" i="50"/>
  <c r="F5964" i="50"/>
  <c r="D5983" i="50"/>
  <c r="E5983" i="50"/>
  <c r="B6007" i="50"/>
  <c r="G5999" i="50"/>
  <c r="F5999" i="50"/>
  <c r="V5999" i="50"/>
  <c r="U5999" i="50"/>
  <c r="D5988" i="50"/>
  <c r="E5988" i="50"/>
  <c r="B6012" i="50"/>
  <c r="V6010" i="50"/>
  <c r="F6010" i="50"/>
  <c r="U6010" i="50"/>
  <c r="F5971" i="50"/>
  <c r="V5971" i="50"/>
  <c r="U5971" i="50"/>
  <c r="G5971" i="50"/>
  <c r="U5964" i="50"/>
  <c r="V5968" i="50"/>
  <c r="V6000" i="50"/>
  <c r="U6000" i="50"/>
  <c r="G6000" i="50"/>
  <c r="F6000" i="50"/>
  <c r="U5991" i="50"/>
  <c r="F5991" i="50"/>
  <c r="V5991" i="50"/>
  <c r="G5991" i="50"/>
  <c r="V5987" i="50"/>
  <c r="U5987" i="50"/>
  <c r="G5987" i="50"/>
  <c r="F5987" i="50"/>
  <c r="F6018" i="50"/>
  <c r="V6018" i="50"/>
  <c r="G6018" i="50"/>
  <c r="U6018" i="50"/>
  <c r="G6026" i="50"/>
  <c r="V5957" i="50"/>
  <c r="U5957" i="50"/>
  <c r="G5957" i="50"/>
  <c r="F5957" i="50"/>
  <c r="G6010" i="50"/>
  <c r="B6058" i="50"/>
  <c r="D6058" i="50" s="1"/>
  <c r="E6034" i="50"/>
  <c r="U6034" i="50" s="1"/>
  <c r="E6004" i="50"/>
  <c r="B6028" i="50"/>
  <c r="D6028" i="50" s="1"/>
  <c r="E6011" i="50"/>
  <c r="B6035" i="50"/>
  <c r="D6035" i="50" s="1"/>
  <c r="B6066" i="50"/>
  <c r="D6066" i="50" s="1"/>
  <c r="E6042" i="50"/>
  <c r="B6057" i="50"/>
  <c r="D6057" i="50" s="1"/>
  <c r="E6033" i="50"/>
  <c r="E5981" i="50"/>
  <c r="U5981" i="50" s="1"/>
  <c r="B6005" i="50"/>
  <c r="D6005" i="50" s="1"/>
  <c r="E6013" i="50"/>
  <c r="U6013" i="50" s="1"/>
  <c r="B6037" i="50"/>
  <c r="D6037" i="50" s="1"/>
  <c r="B6073" i="50"/>
  <c r="D6073" i="50" s="1"/>
  <c r="E6049" i="50"/>
  <c r="F6049" i="50" s="1"/>
  <c r="E6008" i="50"/>
  <c r="V6008" i="50" s="1"/>
  <c r="B6032" i="50"/>
  <c r="D6032" i="50" s="1"/>
  <c r="B6020" i="50"/>
  <c r="D6020" i="50" s="1"/>
  <c r="E5996" i="50"/>
  <c r="U5996" i="50" s="1"/>
  <c r="E6006" i="50"/>
  <c r="U6006" i="50" s="1"/>
  <c r="B6030" i="50"/>
  <c r="D6030" i="50" s="1"/>
  <c r="B6022" i="50"/>
  <c r="D6022" i="50" s="1"/>
  <c r="E5998" i="50"/>
  <c r="E5992" i="50"/>
  <c r="V5992" i="50" s="1"/>
  <c r="B6016" i="50"/>
  <c r="D6016" i="50" s="1"/>
  <c r="E6015" i="50"/>
  <c r="B6039" i="50"/>
  <c r="D6039" i="50" s="1"/>
  <c r="B6047" i="50"/>
  <c r="D6047" i="50" s="1"/>
  <c r="E6023" i="50"/>
  <c r="E5990" i="50"/>
  <c r="U5990" i="50" s="1"/>
  <c r="B6014" i="50"/>
  <c r="D6014" i="50" s="1"/>
  <c r="B6017" i="50"/>
  <c r="D6017" i="50" s="1"/>
  <c r="E5993" i="50"/>
  <c r="E5995" i="50"/>
  <c r="B6019" i="50"/>
  <c r="D6019" i="50" s="1"/>
  <c r="E5997" i="50"/>
  <c r="B6021" i="50"/>
  <c r="D6021" i="50" s="1"/>
  <c r="E6024" i="50"/>
  <c r="B6048" i="50"/>
  <c r="D6048" i="50" s="1"/>
  <c r="E6027" i="50"/>
  <c r="U6027" i="50" s="1"/>
  <c r="B6051" i="50"/>
  <c r="D6051" i="50" s="1"/>
  <c r="B6074" i="50"/>
  <c r="D6074" i="50" s="1"/>
  <c r="E6050" i="50"/>
  <c r="V6050" i="50" s="1"/>
  <c r="G6033" i="50" l="1"/>
  <c r="F6033" i="50"/>
  <c r="U6033" i="50"/>
  <c r="D6012" i="50"/>
  <c r="E6012" i="50"/>
  <c r="B6036" i="50"/>
  <c r="U5988" i="50"/>
  <c r="G5988" i="50"/>
  <c r="F5988" i="50"/>
  <c r="F6042" i="50"/>
  <c r="G6042" i="50"/>
  <c r="U6042" i="50"/>
  <c r="V5988" i="50"/>
  <c r="U6024" i="50"/>
  <c r="G6024" i="50"/>
  <c r="F6024" i="50"/>
  <c r="V5995" i="50"/>
  <c r="F5995" i="50"/>
  <c r="G5995" i="50"/>
  <c r="V5993" i="50"/>
  <c r="U5993" i="50"/>
  <c r="F5993" i="50"/>
  <c r="U5995" i="50"/>
  <c r="G5993" i="50"/>
  <c r="U6008" i="50"/>
  <c r="G6008" i="50"/>
  <c r="F6008" i="50"/>
  <c r="V6011" i="50"/>
  <c r="F6011" i="50"/>
  <c r="G6011" i="50"/>
  <c r="V6033" i="50"/>
  <c r="V6049" i="50"/>
  <c r="U6049" i="50"/>
  <c r="G6049" i="50"/>
  <c r="V6006" i="50"/>
  <c r="F6006" i="50"/>
  <c r="G6006" i="50"/>
  <c r="V5990" i="50"/>
  <c r="F5990" i="50"/>
  <c r="G5990" i="50"/>
  <c r="U6004" i="50"/>
  <c r="G6004" i="50"/>
  <c r="F6004" i="50"/>
  <c r="V6024" i="50"/>
  <c r="V6004" i="50"/>
  <c r="G6023" i="50"/>
  <c r="F6023" i="50"/>
  <c r="V6023" i="50"/>
  <c r="U6023" i="50"/>
  <c r="V6034" i="50"/>
  <c r="F6034" i="50"/>
  <c r="G6034" i="50"/>
  <c r="G5997" i="50"/>
  <c r="F5997" i="50"/>
  <c r="V5997" i="50"/>
  <c r="U6050" i="50"/>
  <c r="G6050" i="50"/>
  <c r="F6050" i="50"/>
  <c r="D6007" i="50"/>
  <c r="B6031" i="50"/>
  <c r="E6007" i="50"/>
  <c r="V5996" i="50"/>
  <c r="G5996" i="50"/>
  <c r="F5996" i="50"/>
  <c r="V6015" i="50"/>
  <c r="U6015" i="50"/>
  <c r="G6015" i="50"/>
  <c r="F6015" i="50"/>
  <c r="G6013" i="50"/>
  <c r="F6013" i="50"/>
  <c r="V6013" i="50"/>
  <c r="V6042" i="50"/>
  <c r="V5983" i="50"/>
  <c r="U5983" i="50"/>
  <c r="G5983" i="50"/>
  <c r="F5983" i="50"/>
  <c r="U6011" i="50"/>
  <c r="V6027" i="50"/>
  <c r="G6027" i="50"/>
  <c r="F6027" i="50"/>
  <c r="U5992" i="50"/>
  <c r="G5992" i="50"/>
  <c r="F5992" i="50"/>
  <c r="F5981" i="50"/>
  <c r="G5981" i="50"/>
  <c r="V5981" i="50"/>
  <c r="V5998" i="50"/>
  <c r="U5998" i="50"/>
  <c r="G5998" i="50"/>
  <c r="F5998" i="50"/>
  <c r="U5997" i="50"/>
  <c r="B6041" i="50"/>
  <c r="D6041" i="50" s="1"/>
  <c r="E6017" i="50"/>
  <c r="V6017" i="50" s="1"/>
  <c r="B6038" i="50"/>
  <c r="D6038" i="50" s="1"/>
  <c r="E6014" i="50"/>
  <c r="E6022" i="50"/>
  <c r="B6046" i="50"/>
  <c r="D6046" i="50" s="1"/>
  <c r="B6054" i="50"/>
  <c r="D6054" i="50" s="1"/>
  <c r="E6030" i="50"/>
  <c r="B6052" i="50"/>
  <c r="D6052" i="50" s="1"/>
  <c r="E6028" i="50"/>
  <c r="U6028" i="50" s="1"/>
  <c r="B6097" i="50"/>
  <c r="D6097" i="50" s="1"/>
  <c r="E6073" i="50"/>
  <c r="B6029" i="50"/>
  <c r="D6029" i="50" s="1"/>
  <c r="E6005" i="50"/>
  <c r="B6043" i="50"/>
  <c r="D6043" i="50" s="1"/>
  <c r="E6019" i="50"/>
  <c r="B6072" i="50"/>
  <c r="D6072" i="50" s="1"/>
  <c r="E6048" i="50"/>
  <c r="B6090" i="50"/>
  <c r="D6090" i="50" s="1"/>
  <c r="E6066" i="50"/>
  <c r="E6047" i="50"/>
  <c r="U6047" i="50" s="1"/>
  <c r="B6071" i="50"/>
  <c r="D6071" i="50" s="1"/>
  <c r="B6059" i="50"/>
  <c r="D6059" i="50" s="1"/>
  <c r="E6035" i="50"/>
  <c r="B6045" i="50"/>
  <c r="D6045" i="50" s="1"/>
  <c r="E6021" i="50"/>
  <c r="B6075" i="50"/>
  <c r="D6075" i="50" s="1"/>
  <c r="E6051" i="50"/>
  <c r="B6063" i="50"/>
  <c r="D6063" i="50" s="1"/>
  <c r="E6039" i="50"/>
  <c r="B6061" i="50"/>
  <c r="D6061" i="50" s="1"/>
  <c r="E6037" i="50"/>
  <c r="E6020" i="50"/>
  <c r="V6020" i="50" s="1"/>
  <c r="B6044" i="50"/>
  <c r="D6044" i="50" s="1"/>
  <c r="B6081" i="50"/>
  <c r="D6081" i="50" s="1"/>
  <c r="E6057" i="50"/>
  <c r="B6098" i="50"/>
  <c r="D6098" i="50" s="1"/>
  <c r="E6074" i="50"/>
  <c r="V6074" i="50" s="1"/>
  <c r="B6040" i="50"/>
  <c r="D6040" i="50" s="1"/>
  <c r="E6016" i="50"/>
  <c r="B6056" i="50"/>
  <c r="D6056" i="50" s="1"/>
  <c r="E6032" i="50"/>
  <c r="B6082" i="50"/>
  <c r="D6082" i="50" s="1"/>
  <c r="E6058" i="50"/>
  <c r="V6058" i="50" s="1"/>
  <c r="V6030" i="50" l="1"/>
  <c r="U6030" i="50"/>
  <c r="G6030" i="50"/>
  <c r="F6030" i="50"/>
  <c r="G6066" i="50"/>
  <c r="F6066" i="50"/>
  <c r="U6066" i="50"/>
  <c r="V6066" i="50"/>
  <c r="V6022" i="50"/>
  <c r="F6022" i="50"/>
  <c r="G6022" i="50"/>
  <c r="V6014" i="50"/>
  <c r="U6014" i="50"/>
  <c r="G6014" i="50"/>
  <c r="F6014" i="50"/>
  <c r="V6057" i="50"/>
  <c r="G6057" i="50"/>
  <c r="F6057" i="50"/>
  <c r="V6048" i="50"/>
  <c r="U6048" i="50"/>
  <c r="F6048" i="50"/>
  <c r="G6048" i="50"/>
  <c r="U6039" i="50"/>
  <c r="G6039" i="50"/>
  <c r="V6039" i="50"/>
  <c r="V6019" i="50"/>
  <c r="U6019" i="50"/>
  <c r="G6019" i="50"/>
  <c r="F6019" i="50"/>
  <c r="G6017" i="50"/>
  <c r="F6017" i="50"/>
  <c r="U6017" i="50"/>
  <c r="U6022" i="50"/>
  <c r="U6057" i="50"/>
  <c r="V6037" i="50"/>
  <c r="U6037" i="50"/>
  <c r="G6037" i="50"/>
  <c r="F6037" i="50"/>
  <c r="D6036" i="50"/>
  <c r="B6060" i="50"/>
  <c r="E6036" i="50"/>
  <c r="U6074" i="50"/>
  <c r="G6074" i="50"/>
  <c r="F6074" i="50"/>
  <c r="U6058" i="50"/>
  <c r="F6058" i="50"/>
  <c r="G6058" i="50"/>
  <c r="V6051" i="50"/>
  <c r="U6051" i="50"/>
  <c r="F6051" i="50"/>
  <c r="V6005" i="50"/>
  <c r="U6005" i="50"/>
  <c r="G6005" i="50"/>
  <c r="F6005" i="50"/>
  <c r="G6051" i="50"/>
  <c r="G6012" i="50"/>
  <c r="F6012" i="50"/>
  <c r="V6012" i="50"/>
  <c r="V6047" i="50"/>
  <c r="F6047" i="50"/>
  <c r="G6047" i="50"/>
  <c r="F6007" i="50"/>
  <c r="V6007" i="50"/>
  <c r="U6007" i="50"/>
  <c r="G6007" i="50"/>
  <c r="U6012" i="50"/>
  <c r="V6032" i="50"/>
  <c r="U6032" i="50"/>
  <c r="G6032" i="50"/>
  <c r="F6032" i="50"/>
  <c r="V6021" i="50"/>
  <c r="U6021" i="50"/>
  <c r="G6021" i="50"/>
  <c r="F6021" i="50"/>
  <c r="G6073" i="50"/>
  <c r="V6073" i="50"/>
  <c r="F6073" i="50"/>
  <c r="U6073" i="50"/>
  <c r="D6031" i="50"/>
  <c r="E6031" i="50"/>
  <c r="B6055" i="50"/>
  <c r="U6020" i="50"/>
  <c r="G6020" i="50"/>
  <c r="F6020" i="50"/>
  <c r="V6016" i="50"/>
  <c r="U6016" i="50"/>
  <c r="G6016" i="50"/>
  <c r="F6016" i="50"/>
  <c r="V6035" i="50"/>
  <c r="U6035" i="50"/>
  <c r="G6035" i="50"/>
  <c r="F6035" i="50"/>
  <c r="G6028" i="50"/>
  <c r="F6028" i="50"/>
  <c r="V6028" i="50"/>
  <c r="F6039" i="50"/>
  <c r="E6038" i="50"/>
  <c r="U6038" i="50" s="1"/>
  <c r="B6062" i="50"/>
  <c r="D6062" i="50" s="1"/>
  <c r="B6114" i="50"/>
  <c r="D6114" i="50" s="1"/>
  <c r="E6090" i="50"/>
  <c r="V6090" i="50" s="1"/>
  <c r="E6063" i="50"/>
  <c r="B6087" i="50"/>
  <c r="D6087" i="50" s="1"/>
  <c r="E6043" i="50"/>
  <c r="B6067" i="50"/>
  <c r="D6067" i="50" s="1"/>
  <c r="B6070" i="50"/>
  <c r="D6070" i="50" s="1"/>
  <c r="E6046" i="50"/>
  <c r="B6122" i="50"/>
  <c r="D6122" i="50" s="1"/>
  <c r="E6098" i="50"/>
  <c r="E6075" i="50"/>
  <c r="V6075" i="50" s="1"/>
  <c r="B6099" i="50"/>
  <c r="D6099" i="50" s="1"/>
  <c r="E6052" i="50"/>
  <c r="G6052" i="50" s="1"/>
  <c r="B6076" i="50"/>
  <c r="D6076" i="50" s="1"/>
  <c r="E6045" i="50"/>
  <c r="B6069" i="50"/>
  <c r="D6069" i="50" s="1"/>
  <c r="E6040" i="50"/>
  <c r="V6040" i="50" s="1"/>
  <c r="B6064" i="50"/>
  <c r="D6064" i="50" s="1"/>
  <c r="E6061" i="50"/>
  <c r="V6061" i="50" s="1"/>
  <c r="B6085" i="50"/>
  <c r="D6085" i="50" s="1"/>
  <c r="B6106" i="50"/>
  <c r="D6106" i="50" s="1"/>
  <c r="E6082" i="50"/>
  <c r="B6105" i="50"/>
  <c r="D6105" i="50" s="1"/>
  <c r="E6081" i="50"/>
  <c r="E6029" i="50"/>
  <c r="B6053" i="50"/>
  <c r="D6053" i="50" s="1"/>
  <c r="E6059" i="50"/>
  <c r="V6059" i="50" s="1"/>
  <c r="B6083" i="50"/>
  <c r="D6083" i="50" s="1"/>
  <c r="E6072" i="50"/>
  <c r="G6072" i="50" s="1"/>
  <c r="B6096" i="50"/>
  <c r="D6096" i="50" s="1"/>
  <c r="E6056" i="50"/>
  <c r="V6056" i="50" s="1"/>
  <c r="B6080" i="50"/>
  <c r="D6080" i="50" s="1"/>
  <c r="B6095" i="50"/>
  <c r="D6095" i="50" s="1"/>
  <c r="E6071" i="50"/>
  <c r="U6071" i="50" s="1"/>
  <c r="B6121" i="50"/>
  <c r="D6121" i="50" s="1"/>
  <c r="E6097" i="50"/>
  <c r="B6065" i="50"/>
  <c r="D6065" i="50" s="1"/>
  <c r="E6041" i="50"/>
  <c r="B6068" i="50"/>
  <c r="D6068" i="50" s="1"/>
  <c r="E6044" i="50"/>
  <c r="V6044" i="50" s="1"/>
  <c r="E6054" i="50"/>
  <c r="B6078" i="50"/>
  <c r="D6078" i="50" s="1"/>
  <c r="G6054" i="50" l="1"/>
  <c r="U6054" i="50"/>
  <c r="F6054" i="50"/>
  <c r="U6029" i="50"/>
  <c r="G6029" i="50"/>
  <c r="F6029" i="50"/>
  <c r="D6055" i="50"/>
  <c r="B6079" i="50"/>
  <c r="E6055" i="50"/>
  <c r="V6046" i="50"/>
  <c r="U6046" i="50"/>
  <c r="G6046" i="50"/>
  <c r="F6046" i="50"/>
  <c r="F6031" i="50"/>
  <c r="G6031" i="50"/>
  <c r="U6031" i="50"/>
  <c r="U6098" i="50"/>
  <c r="G6098" i="50"/>
  <c r="F6098" i="50"/>
  <c r="V6098" i="50"/>
  <c r="V6031" i="50"/>
  <c r="V6029" i="50"/>
  <c r="U6061" i="50"/>
  <c r="G6061" i="50"/>
  <c r="F6061" i="50"/>
  <c r="V6043" i="50"/>
  <c r="U6043" i="50"/>
  <c r="G6043" i="50"/>
  <c r="F6043" i="50"/>
  <c r="V6081" i="50"/>
  <c r="U6081" i="50"/>
  <c r="G6081" i="50"/>
  <c r="F6081" i="50"/>
  <c r="V6071" i="50"/>
  <c r="G6071" i="50"/>
  <c r="F6071" i="50"/>
  <c r="G6045" i="50"/>
  <c r="F6045" i="50"/>
  <c r="V6045" i="50"/>
  <c r="U6045" i="50"/>
  <c r="G6063" i="50"/>
  <c r="U6063" i="50"/>
  <c r="F6063" i="50"/>
  <c r="U6036" i="50"/>
  <c r="G6036" i="50"/>
  <c r="F6036" i="50"/>
  <c r="V6054" i="50"/>
  <c r="V6041" i="50"/>
  <c r="U6041" i="50"/>
  <c r="F6041" i="50"/>
  <c r="U6040" i="50"/>
  <c r="G6040" i="50"/>
  <c r="F6040" i="50"/>
  <c r="G6090" i="50"/>
  <c r="F6090" i="50"/>
  <c r="U6090" i="50"/>
  <c r="D6060" i="50"/>
  <c r="B6084" i="50"/>
  <c r="E6060" i="50"/>
  <c r="G6044" i="50"/>
  <c r="F6044" i="50"/>
  <c r="U6044" i="50"/>
  <c r="F6072" i="50"/>
  <c r="V6072" i="50"/>
  <c r="U6072" i="50"/>
  <c r="F6052" i="50"/>
  <c r="U6052" i="50"/>
  <c r="V6052" i="50"/>
  <c r="V6036" i="50"/>
  <c r="U6097" i="50"/>
  <c r="G6097" i="50"/>
  <c r="V6097" i="50"/>
  <c r="U6056" i="50"/>
  <c r="G6056" i="50"/>
  <c r="F6056" i="50"/>
  <c r="G6041" i="50"/>
  <c r="U6082" i="50"/>
  <c r="V6082" i="50"/>
  <c r="G6082" i="50"/>
  <c r="F6082" i="50"/>
  <c r="U6059" i="50"/>
  <c r="G6059" i="50"/>
  <c r="F6059" i="50"/>
  <c r="U6075" i="50"/>
  <c r="F6075" i="50"/>
  <c r="G6075" i="50"/>
  <c r="V6038" i="50"/>
  <c r="F6038" i="50"/>
  <c r="G6038" i="50"/>
  <c r="F6097" i="50"/>
  <c r="V6063" i="50"/>
  <c r="B6093" i="50"/>
  <c r="D6093" i="50" s="1"/>
  <c r="E6069" i="50"/>
  <c r="B6111" i="50"/>
  <c r="D6111" i="50" s="1"/>
  <c r="E6087" i="50"/>
  <c r="B6130" i="50"/>
  <c r="D6130" i="50" s="1"/>
  <c r="E6106" i="50"/>
  <c r="B6091" i="50"/>
  <c r="D6091" i="50" s="1"/>
  <c r="E6067" i="50"/>
  <c r="F6067" i="50" s="1"/>
  <c r="E6068" i="50"/>
  <c r="B6092" i="50"/>
  <c r="D6092" i="50" s="1"/>
  <c r="B6123" i="50"/>
  <c r="D6123" i="50" s="1"/>
  <c r="E6099" i="50"/>
  <c r="B6086" i="50"/>
  <c r="D6086" i="50" s="1"/>
  <c r="E6062" i="50"/>
  <c r="B6120" i="50"/>
  <c r="D6120" i="50" s="1"/>
  <c r="E6096" i="50"/>
  <c r="B6102" i="50"/>
  <c r="D6102" i="50" s="1"/>
  <c r="E6078" i="50"/>
  <c r="B6107" i="50"/>
  <c r="D6107" i="50" s="1"/>
  <c r="E6083" i="50"/>
  <c r="B6109" i="50"/>
  <c r="D6109" i="50" s="1"/>
  <c r="E6085" i="50"/>
  <c r="B6138" i="50"/>
  <c r="D6138" i="50" s="1"/>
  <c r="E6114" i="50"/>
  <c r="B6145" i="50"/>
  <c r="D6145" i="50" s="1"/>
  <c r="E6121" i="50"/>
  <c r="B6100" i="50"/>
  <c r="D6100" i="50" s="1"/>
  <c r="E6076" i="50"/>
  <c r="V6076" i="50" s="1"/>
  <c r="B6146" i="50"/>
  <c r="D6146" i="50" s="1"/>
  <c r="E6122" i="50"/>
  <c r="B6089" i="50"/>
  <c r="D6089" i="50" s="1"/>
  <c r="E6065" i="50"/>
  <c r="F6065" i="50" s="1"/>
  <c r="B6077" i="50"/>
  <c r="D6077" i="50" s="1"/>
  <c r="E6053" i="50"/>
  <c r="B6088" i="50"/>
  <c r="D6088" i="50" s="1"/>
  <c r="E6064" i="50"/>
  <c r="E6070" i="50"/>
  <c r="B6094" i="50"/>
  <c r="D6094" i="50" s="1"/>
  <c r="E6095" i="50"/>
  <c r="V6095" i="50" s="1"/>
  <c r="B6119" i="50"/>
  <c r="D6119" i="50" s="1"/>
  <c r="B6129" i="50"/>
  <c r="D6129" i="50" s="1"/>
  <c r="E6105" i="50"/>
  <c r="B6104" i="50"/>
  <c r="D6104" i="50" s="1"/>
  <c r="E6080" i="50"/>
  <c r="V6060" i="50" l="1"/>
  <c r="U6068" i="50"/>
  <c r="F6068" i="50"/>
  <c r="V6068" i="50"/>
  <c r="V6114" i="50"/>
  <c r="U6114" i="50"/>
  <c r="G6114" i="50"/>
  <c r="F6114" i="50"/>
  <c r="V6067" i="50"/>
  <c r="U6067" i="50"/>
  <c r="G6067" i="50"/>
  <c r="G6068" i="50"/>
  <c r="V6083" i="50"/>
  <c r="U6083" i="50"/>
  <c r="G6083" i="50"/>
  <c r="U6106" i="50"/>
  <c r="G6106" i="50"/>
  <c r="F6106" i="50"/>
  <c r="D6084" i="50"/>
  <c r="E6084" i="50"/>
  <c r="B6108" i="50"/>
  <c r="G6055" i="50"/>
  <c r="F6055" i="50"/>
  <c r="V6055" i="50"/>
  <c r="G6064" i="50"/>
  <c r="F6064" i="50"/>
  <c r="V6064" i="50"/>
  <c r="U6064" i="50"/>
  <c r="V6078" i="50"/>
  <c r="U6078" i="50"/>
  <c r="G6078" i="50"/>
  <c r="F6078" i="50"/>
  <c r="G6087" i="50"/>
  <c r="V6087" i="50"/>
  <c r="F6087" i="50"/>
  <c r="D6079" i="50"/>
  <c r="E6079" i="50"/>
  <c r="B6103" i="50"/>
  <c r="V6121" i="50"/>
  <c r="U6121" i="50"/>
  <c r="G6121" i="50"/>
  <c r="F6121" i="50"/>
  <c r="V6053" i="50"/>
  <c r="U6053" i="50"/>
  <c r="G6053" i="50"/>
  <c r="F6053" i="50"/>
  <c r="V6106" i="50"/>
  <c r="U6055" i="50"/>
  <c r="V6096" i="50"/>
  <c r="U6096" i="50"/>
  <c r="G6096" i="50"/>
  <c r="F6096" i="50"/>
  <c r="V6069" i="50"/>
  <c r="F6069" i="50"/>
  <c r="U6069" i="50"/>
  <c r="G6069" i="50"/>
  <c r="U6122" i="50"/>
  <c r="V6122" i="50"/>
  <c r="F6122" i="50"/>
  <c r="G6122" i="50"/>
  <c r="V6062" i="50"/>
  <c r="U6062" i="50"/>
  <c r="G6062" i="50"/>
  <c r="F6062" i="50"/>
  <c r="U6099" i="50"/>
  <c r="G6099" i="50"/>
  <c r="V6099" i="50"/>
  <c r="V6085" i="50"/>
  <c r="F6085" i="50"/>
  <c r="U6085" i="50"/>
  <c r="G6085" i="50"/>
  <c r="F6099" i="50"/>
  <c r="U6095" i="50"/>
  <c r="G6095" i="50"/>
  <c r="F6095" i="50"/>
  <c r="G6080" i="50"/>
  <c r="F6080" i="50"/>
  <c r="V6080" i="50"/>
  <c r="U6080" i="50"/>
  <c r="V6105" i="50"/>
  <c r="U6105" i="50"/>
  <c r="G6105" i="50"/>
  <c r="F6105" i="50"/>
  <c r="G6076" i="50"/>
  <c r="F6076" i="50"/>
  <c r="U6076" i="50"/>
  <c r="F6083" i="50"/>
  <c r="U6087" i="50"/>
  <c r="V6070" i="50"/>
  <c r="U6070" i="50"/>
  <c r="G6070" i="50"/>
  <c r="F6070" i="50"/>
  <c r="G6065" i="50"/>
  <c r="V6065" i="50"/>
  <c r="U6065" i="50"/>
  <c r="G6060" i="50"/>
  <c r="F6060" i="50"/>
  <c r="U6060" i="50"/>
  <c r="B6143" i="50"/>
  <c r="D6143" i="50" s="1"/>
  <c r="E6119" i="50"/>
  <c r="E6100" i="50"/>
  <c r="B6124" i="50"/>
  <c r="D6124" i="50" s="1"/>
  <c r="B6116" i="50"/>
  <c r="D6116" i="50" s="1"/>
  <c r="E6092" i="50"/>
  <c r="E6109" i="50"/>
  <c r="U6109" i="50" s="1"/>
  <c r="B6133" i="50"/>
  <c r="D6133" i="50" s="1"/>
  <c r="E6086" i="50"/>
  <c r="B6110" i="50"/>
  <c r="D6110" i="50" s="1"/>
  <c r="E6093" i="50"/>
  <c r="B6117" i="50"/>
  <c r="D6117" i="50" s="1"/>
  <c r="B6118" i="50"/>
  <c r="D6118" i="50" s="1"/>
  <c r="E6094" i="50"/>
  <c r="B6169" i="50"/>
  <c r="D6169" i="50" s="1"/>
  <c r="E6145" i="50"/>
  <c r="E6088" i="50"/>
  <c r="B6112" i="50"/>
  <c r="D6112" i="50" s="1"/>
  <c r="E6107" i="50"/>
  <c r="B6131" i="50"/>
  <c r="D6131" i="50" s="1"/>
  <c r="E6091" i="50"/>
  <c r="V6091" i="50" s="1"/>
  <c r="B6115" i="50"/>
  <c r="D6115" i="50" s="1"/>
  <c r="E6077" i="50"/>
  <c r="V6077" i="50" s="1"/>
  <c r="B6101" i="50"/>
  <c r="D6101" i="50" s="1"/>
  <c r="B6154" i="50"/>
  <c r="D6154" i="50" s="1"/>
  <c r="E6130" i="50"/>
  <c r="E6111" i="50"/>
  <c r="V6111" i="50" s="1"/>
  <c r="B6135" i="50"/>
  <c r="D6135" i="50" s="1"/>
  <c r="E6104" i="50"/>
  <c r="B6128" i="50"/>
  <c r="D6128" i="50" s="1"/>
  <c r="B6153" i="50"/>
  <c r="D6153" i="50" s="1"/>
  <c r="E6129" i="50"/>
  <c r="B6113" i="50"/>
  <c r="D6113" i="50" s="1"/>
  <c r="E6089" i="50"/>
  <c r="B6162" i="50"/>
  <c r="D6162" i="50" s="1"/>
  <c r="E6138" i="50"/>
  <c r="F6138" i="50" s="1"/>
  <c r="E6123" i="50"/>
  <c r="V6123" i="50" s="1"/>
  <c r="B6147" i="50"/>
  <c r="D6147" i="50" s="1"/>
  <c r="B6170" i="50"/>
  <c r="D6170" i="50" s="1"/>
  <c r="E6146" i="50"/>
  <c r="E6102" i="50"/>
  <c r="U6102" i="50" s="1"/>
  <c r="B6126" i="50"/>
  <c r="D6126" i="50" s="1"/>
  <c r="E6120" i="50"/>
  <c r="B6144" i="50"/>
  <c r="D6144" i="50" s="1"/>
  <c r="V6079" i="50" l="1"/>
  <c r="G6107" i="50"/>
  <c r="F6107" i="50"/>
  <c r="U6107" i="50"/>
  <c r="V6100" i="50"/>
  <c r="F6100" i="50"/>
  <c r="U6100" i="50"/>
  <c r="G6129" i="50"/>
  <c r="U6129" i="50"/>
  <c r="V6129" i="50"/>
  <c r="V6119" i="50"/>
  <c r="G6119" i="50"/>
  <c r="U6119" i="50"/>
  <c r="F6119" i="50"/>
  <c r="G6088" i="50"/>
  <c r="F6088" i="50"/>
  <c r="V6088" i="50"/>
  <c r="U6088" i="50"/>
  <c r="V6107" i="50"/>
  <c r="V6145" i="50"/>
  <c r="G6145" i="50"/>
  <c r="F6145" i="50"/>
  <c r="U6145" i="50"/>
  <c r="U6094" i="50"/>
  <c r="G6094" i="50"/>
  <c r="F6094" i="50"/>
  <c r="V6094" i="50"/>
  <c r="G6111" i="50"/>
  <c r="U6111" i="50"/>
  <c r="F6111" i="50"/>
  <c r="G6100" i="50"/>
  <c r="G6104" i="50"/>
  <c r="V6104" i="50"/>
  <c r="F6104" i="50"/>
  <c r="U6104" i="50"/>
  <c r="U6130" i="50"/>
  <c r="G6130" i="50"/>
  <c r="F6130" i="50"/>
  <c r="V6130" i="50"/>
  <c r="F6129" i="50"/>
  <c r="V6089" i="50"/>
  <c r="F6089" i="50"/>
  <c r="U6089" i="50"/>
  <c r="G6089" i="50"/>
  <c r="G6120" i="50"/>
  <c r="F6120" i="50"/>
  <c r="V6120" i="50"/>
  <c r="U6120" i="50"/>
  <c r="V6093" i="50"/>
  <c r="U6093" i="50"/>
  <c r="G6093" i="50"/>
  <c r="F6093" i="50"/>
  <c r="D6103" i="50"/>
  <c r="B6127" i="50"/>
  <c r="E6103" i="50"/>
  <c r="G6079" i="50"/>
  <c r="U6079" i="50"/>
  <c r="F6079" i="50"/>
  <c r="D6108" i="50"/>
  <c r="B6132" i="50"/>
  <c r="E6108" i="50"/>
  <c r="V6086" i="50"/>
  <c r="U6086" i="50"/>
  <c r="G6086" i="50"/>
  <c r="F6086" i="50"/>
  <c r="U6084" i="50"/>
  <c r="F6084" i="50"/>
  <c r="V6084" i="50"/>
  <c r="V6102" i="50"/>
  <c r="G6102" i="50"/>
  <c r="F6102" i="50"/>
  <c r="G6084" i="50"/>
  <c r="G6123" i="50"/>
  <c r="F6123" i="50"/>
  <c r="U6123" i="50"/>
  <c r="U6077" i="50"/>
  <c r="G6077" i="50"/>
  <c r="F6077" i="50"/>
  <c r="G6109" i="50"/>
  <c r="F6109" i="50"/>
  <c r="V6109" i="50"/>
  <c r="V6146" i="50"/>
  <c r="U6146" i="50"/>
  <c r="G6146" i="50"/>
  <c r="F6146" i="50"/>
  <c r="U6138" i="50"/>
  <c r="V6138" i="50"/>
  <c r="G6138" i="50"/>
  <c r="G6092" i="50"/>
  <c r="F6092" i="50"/>
  <c r="U6092" i="50"/>
  <c r="U6091" i="50"/>
  <c r="G6091" i="50"/>
  <c r="F6091" i="50"/>
  <c r="V6092" i="50"/>
  <c r="B6155" i="50"/>
  <c r="D6155" i="50" s="1"/>
  <c r="E6131" i="50"/>
  <c r="B6137" i="50"/>
  <c r="D6137" i="50" s="1"/>
  <c r="E6113" i="50"/>
  <c r="B6136" i="50"/>
  <c r="D6136" i="50" s="1"/>
  <c r="E6112" i="50"/>
  <c r="E6118" i="50"/>
  <c r="B6142" i="50"/>
  <c r="D6142" i="50" s="1"/>
  <c r="B6134" i="50"/>
  <c r="D6134" i="50" s="1"/>
  <c r="E6110" i="50"/>
  <c r="B6177" i="50"/>
  <c r="D6177" i="50" s="1"/>
  <c r="E6153" i="50"/>
  <c r="B6141" i="50"/>
  <c r="D6141" i="50" s="1"/>
  <c r="E6117" i="50"/>
  <c r="B6148" i="50"/>
  <c r="D6148" i="50" s="1"/>
  <c r="E6124" i="50"/>
  <c r="B6139" i="50"/>
  <c r="D6139" i="50" s="1"/>
  <c r="E6115" i="50"/>
  <c r="F6115" i="50" s="1"/>
  <c r="B6150" i="50"/>
  <c r="D6150" i="50" s="1"/>
  <c r="E6126" i="50"/>
  <c r="B6152" i="50"/>
  <c r="D6152" i="50" s="1"/>
  <c r="E6128" i="50"/>
  <c r="B6157" i="50"/>
  <c r="D6157" i="50" s="1"/>
  <c r="E6133" i="50"/>
  <c r="B6186" i="50"/>
  <c r="D6186" i="50" s="1"/>
  <c r="E6162" i="50"/>
  <c r="B6159" i="50"/>
  <c r="D6159" i="50" s="1"/>
  <c r="E6135" i="50"/>
  <c r="E6143" i="50"/>
  <c r="B6167" i="50"/>
  <c r="D6167" i="50" s="1"/>
  <c r="B6168" i="50"/>
  <c r="D6168" i="50" s="1"/>
  <c r="E6144" i="50"/>
  <c r="B6194" i="50"/>
  <c r="D6194" i="50" s="1"/>
  <c r="E6170" i="50"/>
  <c r="B6171" i="50"/>
  <c r="D6171" i="50" s="1"/>
  <c r="E6147" i="50"/>
  <c r="F6147" i="50" s="1"/>
  <c r="B6178" i="50"/>
  <c r="D6178" i="50" s="1"/>
  <c r="E6154" i="50"/>
  <c r="B6193" i="50"/>
  <c r="D6193" i="50" s="1"/>
  <c r="E6169" i="50"/>
  <c r="E6116" i="50"/>
  <c r="G6116" i="50" s="1"/>
  <c r="B6140" i="50"/>
  <c r="D6140" i="50" s="1"/>
  <c r="B6125" i="50"/>
  <c r="D6125" i="50" s="1"/>
  <c r="E6101" i="50"/>
  <c r="U6154" i="50" l="1"/>
  <c r="F6154" i="50"/>
  <c r="G6154" i="50"/>
  <c r="D6132" i="50"/>
  <c r="E6132" i="50"/>
  <c r="B6156" i="50"/>
  <c r="G6112" i="50"/>
  <c r="F6112" i="50"/>
  <c r="V6112" i="50"/>
  <c r="U6112" i="50"/>
  <c r="V6113" i="50"/>
  <c r="G6113" i="50"/>
  <c r="U6113" i="50"/>
  <c r="V6108" i="50"/>
  <c r="G6108" i="50"/>
  <c r="F6108" i="50"/>
  <c r="U6108" i="50"/>
  <c r="V6115" i="50"/>
  <c r="U6115" i="50"/>
  <c r="G6115" i="50"/>
  <c r="V6131" i="50"/>
  <c r="U6131" i="50"/>
  <c r="G6131" i="50"/>
  <c r="V6144" i="50"/>
  <c r="U6144" i="50"/>
  <c r="G6144" i="50"/>
  <c r="F6144" i="50"/>
  <c r="G6124" i="50"/>
  <c r="F6124" i="50"/>
  <c r="U6124" i="50"/>
  <c r="F6113" i="50"/>
  <c r="V6103" i="50"/>
  <c r="G6103" i="50"/>
  <c r="F6103" i="50"/>
  <c r="V6117" i="50"/>
  <c r="F6117" i="50"/>
  <c r="U6117" i="50"/>
  <c r="G6117" i="50"/>
  <c r="D6127" i="50"/>
  <c r="E6127" i="50"/>
  <c r="B6151" i="50"/>
  <c r="U6143" i="50"/>
  <c r="G6143" i="50"/>
  <c r="F6143" i="50"/>
  <c r="V6124" i="50"/>
  <c r="U6103" i="50"/>
  <c r="V6153" i="50"/>
  <c r="F6153" i="50"/>
  <c r="U6153" i="50"/>
  <c r="G6153" i="50"/>
  <c r="U6170" i="50"/>
  <c r="F6170" i="50"/>
  <c r="G6170" i="50"/>
  <c r="F6128" i="50"/>
  <c r="V6128" i="50"/>
  <c r="U6128" i="50"/>
  <c r="G6128" i="50"/>
  <c r="V6116" i="50"/>
  <c r="U6116" i="50"/>
  <c r="F6116" i="50"/>
  <c r="U6162" i="50"/>
  <c r="G6162" i="50"/>
  <c r="F6162" i="50"/>
  <c r="V6162" i="50"/>
  <c r="V6110" i="50"/>
  <c r="U6110" i="50"/>
  <c r="G6110" i="50"/>
  <c r="F6110" i="50"/>
  <c r="F6131" i="50"/>
  <c r="V6126" i="50"/>
  <c r="U6126" i="50"/>
  <c r="G6126" i="50"/>
  <c r="F6126" i="50"/>
  <c r="V6170" i="50"/>
  <c r="V6135" i="50"/>
  <c r="F6135" i="50"/>
  <c r="U6135" i="50"/>
  <c r="G6135" i="50"/>
  <c r="V6169" i="50"/>
  <c r="F6169" i="50"/>
  <c r="G6169" i="50"/>
  <c r="F6133" i="50"/>
  <c r="V6133" i="50"/>
  <c r="U6133" i="50"/>
  <c r="G6133" i="50"/>
  <c r="V6154" i="50"/>
  <c r="V6143" i="50"/>
  <c r="V6147" i="50"/>
  <c r="U6147" i="50"/>
  <c r="G6147" i="50"/>
  <c r="V6101" i="50"/>
  <c r="F6101" i="50"/>
  <c r="U6101" i="50"/>
  <c r="G6101" i="50"/>
  <c r="V6118" i="50"/>
  <c r="U6118" i="50"/>
  <c r="G6118" i="50"/>
  <c r="F6118" i="50"/>
  <c r="U6169" i="50"/>
  <c r="E6159" i="50"/>
  <c r="V6159" i="50" s="1"/>
  <c r="B6183" i="50"/>
  <c r="D6183" i="50" s="1"/>
  <c r="B6201" i="50"/>
  <c r="D6201" i="50" s="1"/>
  <c r="E6177" i="50"/>
  <c r="E6134" i="50"/>
  <c r="B6158" i="50"/>
  <c r="D6158" i="50" s="1"/>
  <c r="E6171" i="50"/>
  <c r="B6195" i="50"/>
  <c r="D6195" i="50" s="1"/>
  <c r="B6166" i="50"/>
  <c r="D6166" i="50" s="1"/>
  <c r="E6142" i="50"/>
  <c r="E6152" i="50"/>
  <c r="B6176" i="50"/>
  <c r="D6176" i="50" s="1"/>
  <c r="B6218" i="50"/>
  <c r="D6218" i="50" s="1"/>
  <c r="E6194" i="50"/>
  <c r="B6210" i="50"/>
  <c r="D6210" i="50" s="1"/>
  <c r="E6186" i="50"/>
  <c r="E6139" i="50"/>
  <c r="B6163" i="50"/>
  <c r="D6163" i="50" s="1"/>
  <c r="E6155" i="50"/>
  <c r="B6179" i="50"/>
  <c r="D6179" i="50" s="1"/>
  <c r="B6202" i="50"/>
  <c r="D6202" i="50" s="1"/>
  <c r="E6178" i="50"/>
  <c r="E6136" i="50"/>
  <c r="B6160" i="50"/>
  <c r="D6160" i="50" s="1"/>
  <c r="B6164" i="50"/>
  <c r="D6164" i="50" s="1"/>
  <c r="E6140" i="50"/>
  <c r="V6140" i="50" s="1"/>
  <c r="E6168" i="50"/>
  <c r="B6192" i="50"/>
  <c r="D6192" i="50" s="1"/>
  <c r="E6148" i="50"/>
  <c r="B6172" i="50"/>
  <c r="D6172" i="50" s="1"/>
  <c r="E6125" i="50"/>
  <c r="U6125" i="50" s="1"/>
  <c r="B6149" i="50"/>
  <c r="D6149" i="50" s="1"/>
  <c r="B6191" i="50"/>
  <c r="D6191" i="50" s="1"/>
  <c r="E6167" i="50"/>
  <c r="B6161" i="50"/>
  <c r="D6161" i="50" s="1"/>
  <c r="E6137" i="50"/>
  <c r="B6217" i="50"/>
  <c r="D6217" i="50" s="1"/>
  <c r="E6193" i="50"/>
  <c r="E6150" i="50"/>
  <c r="B6174" i="50"/>
  <c r="D6174" i="50" s="1"/>
  <c r="E6141" i="50"/>
  <c r="U6141" i="50" s="1"/>
  <c r="B6165" i="50"/>
  <c r="D6165" i="50" s="1"/>
  <c r="E6157" i="50"/>
  <c r="B6181" i="50"/>
  <c r="D6181" i="50" s="1"/>
  <c r="G6177" i="50" l="1"/>
  <c r="V6177" i="50"/>
  <c r="F6177" i="50"/>
  <c r="U6177" i="50"/>
  <c r="U6155" i="50"/>
  <c r="G6155" i="50"/>
  <c r="V6155" i="50"/>
  <c r="F6155" i="50"/>
  <c r="U6139" i="50"/>
  <c r="F6139" i="50"/>
  <c r="G6139" i="50"/>
  <c r="U6159" i="50"/>
  <c r="G6159" i="50"/>
  <c r="F6159" i="50"/>
  <c r="U6186" i="50"/>
  <c r="F6186" i="50"/>
  <c r="G6186" i="50"/>
  <c r="D6151" i="50"/>
  <c r="B6175" i="50"/>
  <c r="E6151" i="50"/>
  <c r="G6167" i="50"/>
  <c r="V6167" i="50"/>
  <c r="U6167" i="50"/>
  <c r="F6167" i="50"/>
  <c r="U6127" i="50"/>
  <c r="G6127" i="50"/>
  <c r="F6127" i="50"/>
  <c r="V6194" i="50"/>
  <c r="U6194" i="50"/>
  <c r="G6194" i="50"/>
  <c r="F6194" i="50"/>
  <c r="V6127" i="50"/>
  <c r="V6125" i="50"/>
  <c r="G6125" i="50"/>
  <c r="F6125" i="50"/>
  <c r="V6139" i="50"/>
  <c r="G6168" i="50"/>
  <c r="F6168" i="50"/>
  <c r="U6168" i="50"/>
  <c r="G6152" i="50"/>
  <c r="F6152" i="50"/>
  <c r="U6152" i="50"/>
  <c r="D6156" i="50"/>
  <c r="B6180" i="50"/>
  <c r="E6156" i="50"/>
  <c r="V6157" i="50"/>
  <c r="G6157" i="50"/>
  <c r="U6157" i="50"/>
  <c r="F6157" i="50"/>
  <c r="V6142" i="50"/>
  <c r="U6142" i="50"/>
  <c r="F6142" i="50"/>
  <c r="G6142" i="50"/>
  <c r="V6132" i="50"/>
  <c r="F6132" i="50"/>
  <c r="U6132" i="50"/>
  <c r="V6150" i="50"/>
  <c r="U6150" i="50"/>
  <c r="G6150" i="50"/>
  <c r="F6150" i="50"/>
  <c r="G6132" i="50"/>
  <c r="G6141" i="50"/>
  <c r="F6141" i="50"/>
  <c r="V6141" i="50"/>
  <c r="G6193" i="50"/>
  <c r="V6193" i="50"/>
  <c r="F6193" i="50"/>
  <c r="U6193" i="50"/>
  <c r="V6152" i="50"/>
  <c r="G6136" i="50"/>
  <c r="F6136" i="50"/>
  <c r="V6136" i="50"/>
  <c r="U6136" i="50"/>
  <c r="U6171" i="50"/>
  <c r="G6171" i="50"/>
  <c r="V6171" i="50"/>
  <c r="F6171" i="50"/>
  <c r="V6168" i="50"/>
  <c r="V6148" i="50"/>
  <c r="U6148" i="50"/>
  <c r="F6148" i="50"/>
  <c r="V6137" i="50"/>
  <c r="F6137" i="50"/>
  <c r="U6137" i="50"/>
  <c r="G6137" i="50"/>
  <c r="U6178" i="50"/>
  <c r="V6178" i="50"/>
  <c r="G6178" i="50"/>
  <c r="F6178" i="50"/>
  <c r="G6148" i="50"/>
  <c r="G6140" i="50"/>
  <c r="F6140" i="50"/>
  <c r="U6140" i="50"/>
  <c r="V6134" i="50"/>
  <c r="G6134" i="50"/>
  <c r="F6134" i="50"/>
  <c r="U6134" i="50"/>
  <c r="V6186" i="50"/>
  <c r="B6173" i="50"/>
  <c r="D6173" i="50" s="1"/>
  <c r="E6149" i="50"/>
  <c r="B6187" i="50"/>
  <c r="D6187" i="50" s="1"/>
  <c r="E6163" i="50"/>
  <c r="F6163" i="50" s="1"/>
  <c r="E6166" i="50"/>
  <c r="B6190" i="50"/>
  <c r="D6190" i="50" s="1"/>
  <c r="B6215" i="50"/>
  <c r="D6215" i="50" s="1"/>
  <c r="E6191" i="50"/>
  <c r="V6191" i="50" s="1"/>
  <c r="B6226" i="50"/>
  <c r="D6226" i="50" s="1"/>
  <c r="E6202" i="50"/>
  <c r="E6217" i="50"/>
  <c r="U6217" i="50" s="1"/>
  <c r="B6241" i="50"/>
  <c r="D6241" i="50" s="1"/>
  <c r="E6210" i="50"/>
  <c r="B6234" i="50"/>
  <c r="D6234" i="50" s="1"/>
  <c r="B6196" i="50"/>
  <c r="D6196" i="50" s="1"/>
  <c r="E6172" i="50"/>
  <c r="B6184" i="50"/>
  <c r="D6184" i="50" s="1"/>
  <c r="E6160" i="50"/>
  <c r="B6219" i="50"/>
  <c r="D6219" i="50" s="1"/>
  <c r="E6195" i="50"/>
  <c r="F6195" i="50" s="1"/>
  <c r="B6185" i="50"/>
  <c r="D6185" i="50" s="1"/>
  <c r="E6161" i="50"/>
  <c r="B6242" i="50"/>
  <c r="D6242" i="50" s="1"/>
  <c r="E6218" i="50"/>
  <c r="V6218" i="50" s="1"/>
  <c r="E6164" i="50"/>
  <c r="G6164" i="50" s="1"/>
  <c r="B6188" i="50"/>
  <c r="D6188" i="50" s="1"/>
  <c r="B6200" i="50"/>
  <c r="D6200" i="50" s="1"/>
  <c r="E6176" i="50"/>
  <c r="B6205" i="50"/>
  <c r="D6205" i="50" s="1"/>
  <c r="E6181" i="50"/>
  <c r="B6216" i="50"/>
  <c r="D6216" i="50" s="1"/>
  <c r="E6192" i="50"/>
  <c r="B6225" i="50"/>
  <c r="D6225" i="50" s="1"/>
  <c r="E6201" i="50"/>
  <c r="U6201" i="50" s="1"/>
  <c r="B6198" i="50"/>
  <c r="D6198" i="50" s="1"/>
  <c r="E6174" i="50"/>
  <c r="B6207" i="50"/>
  <c r="D6207" i="50" s="1"/>
  <c r="E6183" i="50"/>
  <c r="B6189" i="50"/>
  <c r="D6189" i="50" s="1"/>
  <c r="E6165" i="50"/>
  <c r="B6203" i="50"/>
  <c r="D6203" i="50" s="1"/>
  <c r="E6179" i="50"/>
  <c r="B6182" i="50"/>
  <c r="D6182" i="50" s="1"/>
  <c r="E6158" i="50"/>
  <c r="G6172" i="50" l="1"/>
  <c r="F6172" i="50"/>
  <c r="U6172" i="50"/>
  <c r="F6149" i="50"/>
  <c r="V6149" i="50"/>
  <c r="U6149" i="50"/>
  <c r="G6149" i="50"/>
  <c r="F6181" i="50"/>
  <c r="V6181" i="50"/>
  <c r="G6181" i="50"/>
  <c r="U6181" i="50"/>
  <c r="V6217" i="50"/>
  <c r="F6217" i="50"/>
  <c r="G6217" i="50"/>
  <c r="V6210" i="50"/>
  <c r="U6210" i="50"/>
  <c r="G6210" i="50"/>
  <c r="F6210" i="50"/>
  <c r="U6202" i="50"/>
  <c r="F6202" i="50"/>
  <c r="G6202" i="50"/>
  <c r="V6202" i="50"/>
  <c r="U6151" i="50"/>
  <c r="F6151" i="50"/>
  <c r="G6151" i="50"/>
  <c r="G6179" i="50"/>
  <c r="V6179" i="50"/>
  <c r="U6179" i="50"/>
  <c r="V6161" i="50"/>
  <c r="G6161" i="50"/>
  <c r="F6161" i="50"/>
  <c r="U6161" i="50"/>
  <c r="U6191" i="50"/>
  <c r="G6191" i="50"/>
  <c r="F6191" i="50"/>
  <c r="D6175" i="50"/>
  <c r="B6199" i="50"/>
  <c r="E6175" i="50"/>
  <c r="V6164" i="50"/>
  <c r="U6164" i="50"/>
  <c r="F6164" i="50"/>
  <c r="V6151" i="50"/>
  <c r="F6165" i="50"/>
  <c r="V6165" i="50"/>
  <c r="U6165" i="50"/>
  <c r="G6165" i="50"/>
  <c r="V6183" i="50"/>
  <c r="G6183" i="50"/>
  <c r="U6183" i="50"/>
  <c r="F6183" i="50"/>
  <c r="V6166" i="50"/>
  <c r="G6166" i="50"/>
  <c r="F6166" i="50"/>
  <c r="U6166" i="50"/>
  <c r="G6156" i="50"/>
  <c r="F6156" i="50"/>
  <c r="U6156" i="50"/>
  <c r="F6201" i="50"/>
  <c r="V6201" i="50"/>
  <c r="G6201" i="50"/>
  <c r="U6195" i="50"/>
  <c r="G6195" i="50"/>
  <c r="V6195" i="50"/>
  <c r="V6163" i="50"/>
  <c r="U6163" i="50"/>
  <c r="G6163" i="50"/>
  <c r="D6180" i="50"/>
  <c r="B6204" i="50"/>
  <c r="E6180" i="50"/>
  <c r="V6158" i="50"/>
  <c r="U6158" i="50"/>
  <c r="G6158" i="50"/>
  <c r="F6158" i="50"/>
  <c r="V6156" i="50"/>
  <c r="V6172" i="50"/>
  <c r="V6176" i="50"/>
  <c r="U6176" i="50"/>
  <c r="G6176" i="50"/>
  <c r="F6176" i="50"/>
  <c r="U6218" i="50"/>
  <c r="F6218" i="50"/>
  <c r="G6218" i="50"/>
  <c r="V6174" i="50"/>
  <c r="U6174" i="50"/>
  <c r="G6174" i="50"/>
  <c r="F6174" i="50"/>
  <c r="V6192" i="50"/>
  <c r="U6192" i="50"/>
  <c r="G6192" i="50"/>
  <c r="F6192" i="50"/>
  <c r="V6160" i="50"/>
  <c r="U6160" i="50"/>
  <c r="F6160" i="50"/>
  <c r="G6160" i="50"/>
  <c r="F6179" i="50"/>
  <c r="E6219" i="50"/>
  <c r="B6243" i="50"/>
  <c r="D6243" i="50" s="1"/>
  <c r="B6258" i="50"/>
  <c r="D6258" i="50" s="1"/>
  <c r="E6234" i="50"/>
  <c r="B6212" i="50"/>
  <c r="D6212" i="50" s="1"/>
  <c r="E6188" i="50"/>
  <c r="V6188" i="50" s="1"/>
  <c r="B6265" i="50"/>
  <c r="D6265" i="50" s="1"/>
  <c r="E6241" i="50"/>
  <c r="E6215" i="50"/>
  <c r="U6215" i="50" s="1"/>
  <c r="B6239" i="50"/>
  <c r="D6239" i="50" s="1"/>
  <c r="E6242" i="50"/>
  <c r="B6266" i="50"/>
  <c r="D6266" i="50" s="1"/>
  <c r="E6184" i="50"/>
  <c r="V6184" i="50" s="1"/>
  <c r="B6208" i="50"/>
  <c r="D6208" i="50" s="1"/>
  <c r="B6231" i="50"/>
  <c r="D6231" i="50" s="1"/>
  <c r="E6207" i="50"/>
  <c r="B6249" i="50"/>
  <c r="D6249" i="50" s="1"/>
  <c r="E6225" i="50"/>
  <c r="E6187" i="50"/>
  <c r="B6211" i="50"/>
  <c r="D6211" i="50" s="1"/>
  <c r="B6213" i="50"/>
  <c r="D6213" i="50" s="1"/>
  <c r="E6189" i="50"/>
  <c r="B6224" i="50"/>
  <c r="D6224" i="50" s="1"/>
  <c r="E6200" i="50"/>
  <c r="B6209" i="50"/>
  <c r="D6209" i="50" s="1"/>
  <c r="E6185" i="50"/>
  <c r="B6220" i="50"/>
  <c r="D6220" i="50" s="1"/>
  <c r="E6196" i="50"/>
  <c r="G6196" i="50" s="1"/>
  <c r="B6240" i="50"/>
  <c r="D6240" i="50" s="1"/>
  <c r="E6216" i="50"/>
  <c r="B6214" i="50"/>
  <c r="D6214" i="50" s="1"/>
  <c r="E6190" i="50"/>
  <c r="B6227" i="50"/>
  <c r="D6227" i="50" s="1"/>
  <c r="E6203" i="50"/>
  <c r="E6182" i="50"/>
  <c r="B6206" i="50"/>
  <c r="D6206" i="50" s="1"/>
  <c r="B6222" i="50"/>
  <c r="D6222" i="50" s="1"/>
  <c r="E6198" i="50"/>
  <c r="E6226" i="50"/>
  <c r="B6250" i="50"/>
  <c r="D6250" i="50" s="1"/>
  <c r="B6229" i="50"/>
  <c r="D6229" i="50" s="1"/>
  <c r="E6205" i="50"/>
  <c r="E6173" i="50"/>
  <c r="B6197" i="50"/>
  <c r="D6197" i="50" s="1"/>
  <c r="V6241" i="50" l="1"/>
  <c r="G6241" i="50"/>
  <c r="F6241" i="50"/>
  <c r="U6241" i="50"/>
  <c r="G6188" i="50"/>
  <c r="F6188" i="50"/>
  <c r="U6188" i="50"/>
  <c r="G6200" i="50"/>
  <c r="F6200" i="50"/>
  <c r="U6200" i="50"/>
  <c r="V6180" i="50"/>
  <c r="U6180" i="50"/>
  <c r="F6180" i="50"/>
  <c r="U6234" i="50"/>
  <c r="F6234" i="50"/>
  <c r="G6234" i="50"/>
  <c r="D6204" i="50"/>
  <c r="E6204" i="50"/>
  <c r="B6228" i="50"/>
  <c r="U6187" i="50"/>
  <c r="G6187" i="50"/>
  <c r="F6187" i="50"/>
  <c r="V6187" i="50"/>
  <c r="G6180" i="50"/>
  <c r="U6175" i="50"/>
  <c r="G6175" i="50"/>
  <c r="F6175" i="50"/>
  <c r="G6203" i="50"/>
  <c r="U6203" i="50"/>
  <c r="V6203" i="50"/>
  <c r="F6203" i="50"/>
  <c r="U6190" i="50"/>
  <c r="G6190" i="50"/>
  <c r="F6190" i="50"/>
  <c r="V6190" i="50"/>
  <c r="V6225" i="50"/>
  <c r="F6225" i="50"/>
  <c r="U6225" i="50"/>
  <c r="G6225" i="50"/>
  <c r="D6199" i="50"/>
  <c r="E6199" i="50"/>
  <c r="B6223" i="50"/>
  <c r="V6200" i="50"/>
  <c r="V6234" i="50"/>
  <c r="V6182" i="50"/>
  <c r="G6182" i="50"/>
  <c r="F6182" i="50"/>
  <c r="U6182" i="50"/>
  <c r="U6219" i="50"/>
  <c r="G6219" i="50"/>
  <c r="V6219" i="50"/>
  <c r="F6219" i="50"/>
  <c r="V6175" i="50"/>
  <c r="U6207" i="50"/>
  <c r="G6207" i="50"/>
  <c r="F6207" i="50"/>
  <c r="G6173" i="50"/>
  <c r="V6173" i="50"/>
  <c r="U6173" i="50"/>
  <c r="F6173" i="50"/>
  <c r="G6216" i="50"/>
  <c r="F6216" i="50"/>
  <c r="U6216" i="50"/>
  <c r="V6189" i="50"/>
  <c r="U6189" i="50"/>
  <c r="G6189" i="50"/>
  <c r="F6189" i="50"/>
  <c r="G6184" i="50"/>
  <c r="F6184" i="50"/>
  <c r="U6184" i="50"/>
  <c r="V6196" i="50"/>
  <c r="U6196" i="50"/>
  <c r="F6196" i="50"/>
  <c r="U6226" i="50"/>
  <c r="G6226" i="50"/>
  <c r="F6226" i="50"/>
  <c r="V6226" i="50"/>
  <c r="V6242" i="50"/>
  <c r="U6242" i="50"/>
  <c r="G6242" i="50"/>
  <c r="F6242" i="50"/>
  <c r="V6205" i="50"/>
  <c r="F6205" i="50"/>
  <c r="G6205" i="50"/>
  <c r="U6205" i="50"/>
  <c r="U6198" i="50"/>
  <c r="V6198" i="50"/>
  <c r="G6198" i="50"/>
  <c r="F6198" i="50"/>
  <c r="V6185" i="50"/>
  <c r="F6185" i="50"/>
  <c r="G6185" i="50"/>
  <c r="V6207" i="50"/>
  <c r="V6215" i="50"/>
  <c r="G6215" i="50"/>
  <c r="F6215" i="50"/>
  <c r="U6185" i="50"/>
  <c r="V6216" i="50"/>
  <c r="E6212" i="50"/>
  <c r="B6236" i="50"/>
  <c r="D6236" i="50" s="1"/>
  <c r="E6224" i="50"/>
  <c r="B6248" i="50"/>
  <c r="D6248" i="50" s="1"/>
  <c r="B6238" i="50"/>
  <c r="D6238" i="50" s="1"/>
  <c r="E6214" i="50"/>
  <c r="E6249" i="50"/>
  <c r="U6249" i="50" s="1"/>
  <c r="B6273" i="50"/>
  <c r="D6273" i="50" s="1"/>
  <c r="B6244" i="50"/>
  <c r="D6244" i="50" s="1"/>
  <c r="E6220" i="50"/>
  <c r="B6237" i="50"/>
  <c r="D6237" i="50" s="1"/>
  <c r="E6213" i="50"/>
  <c r="B6274" i="50"/>
  <c r="D6274" i="50" s="1"/>
  <c r="E6250" i="50"/>
  <c r="V6250" i="50" s="1"/>
  <c r="B6235" i="50"/>
  <c r="D6235" i="50" s="1"/>
  <c r="E6211" i="50"/>
  <c r="F6211" i="50" s="1"/>
  <c r="E6231" i="50"/>
  <c r="B6255" i="50"/>
  <c r="D6255" i="50" s="1"/>
  <c r="B6251" i="50"/>
  <c r="D6251" i="50" s="1"/>
  <c r="E6227" i="50"/>
  <c r="F6227" i="50" s="1"/>
  <c r="E6240" i="50"/>
  <c r="B6264" i="50"/>
  <c r="D6264" i="50" s="1"/>
  <c r="B6263" i="50"/>
  <c r="D6263" i="50" s="1"/>
  <c r="E6239" i="50"/>
  <c r="B6253" i="50"/>
  <c r="D6253" i="50" s="1"/>
  <c r="E6229" i="50"/>
  <c r="B6221" i="50"/>
  <c r="D6221" i="50" s="1"/>
  <c r="E6197" i="50"/>
  <c r="B6246" i="50"/>
  <c r="D6246" i="50" s="1"/>
  <c r="E6222" i="50"/>
  <c r="B6232" i="50"/>
  <c r="D6232" i="50" s="1"/>
  <c r="E6208" i="50"/>
  <c r="B6230" i="50"/>
  <c r="D6230" i="50" s="1"/>
  <c r="E6206" i="50"/>
  <c r="E6258" i="50"/>
  <c r="B6282" i="50"/>
  <c r="D6282" i="50" s="1"/>
  <c r="B6267" i="50"/>
  <c r="D6267" i="50" s="1"/>
  <c r="E6243" i="50"/>
  <c r="F6243" i="50" s="1"/>
  <c r="B6290" i="50"/>
  <c r="D6290" i="50" s="1"/>
  <c r="E6266" i="50"/>
  <c r="E6265" i="50"/>
  <c r="U6265" i="50" s="1"/>
  <c r="B6289" i="50"/>
  <c r="D6289" i="50" s="1"/>
  <c r="B6233" i="50"/>
  <c r="D6233" i="50" s="1"/>
  <c r="E6209" i="50"/>
  <c r="V6231" i="50" l="1"/>
  <c r="G6231" i="50"/>
  <c r="F6231" i="50"/>
  <c r="V6212" i="50"/>
  <c r="U6212" i="50"/>
  <c r="F6212" i="50"/>
  <c r="D6223" i="50"/>
  <c r="B6247" i="50"/>
  <c r="E6223" i="50"/>
  <c r="V6199" i="50"/>
  <c r="G6199" i="50"/>
  <c r="F6199" i="50"/>
  <c r="U6199" i="50"/>
  <c r="G6212" i="50"/>
  <c r="U6250" i="50"/>
  <c r="F6250" i="50"/>
  <c r="G6250" i="50"/>
  <c r="F6213" i="50"/>
  <c r="V6213" i="50"/>
  <c r="U6213" i="50"/>
  <c r="G6213" i="50"/>
  <c r="F6197" i="50"/>
  <c r="V6197" i="50"/>
  <c r="U6197" i="50"/>
  <c r="G6197" i="50"/>
  <c r="V6211" i="50"/>
  <c r="U6211" i="50"/>
  <c r="G6211" i="50"/>
  <c r="F6229" i="50"/>
  <c r="V6229" i="50"/>
  <c r="U6229" i="50"/>
  <c r="G6229" i="50"/>
  <c r="U6239" i="50"/>
  <c r="G6239" i="50"/>
  <c r="F6239" i="50"/>
  <c r="G6220" i="50"/>
  <c r="F6220" i="50"/>
  <c r="U6220" i="50"/>
  <c r="V6239" i="50"/>
  <c r="V6220" i="50"/>
  <c r="V6224" i="50"/>
  <c r="U6224" i="50"/>
  <c r="G6224" i="50"/>
  <c r="F6224" i="50"/>
  <c r="D6228" i="50"/>
  <c r="E6228" i="50"/>
  <c r="B6252" i="50"/>
  <c r="G6204" i="50"/>
  <c r="F6204" i="50"/>
  <c r="U6204" i="50"/>
  <c r="V6222" i="50"/>
  <c r="U6222" i="50"/>
  <c r="F6222" i="50"/>
  <c r="G6222" i="50"/>
  <c r="F6240" i="50"/>
  <c r="V6240" i="50"/>
  <c r="U6240" i="50"/>
  <c r="G6240" i="50"/>
  <c r="V6249" i="50"/>
  <c r="F6249" i="50"/>
  <c r="G6249" i="50"/>
  <c r="V6204" i="50"/>
  <c r="V6209" i="50"/>
  <c r="G6209" i="50"/>
  <c r="F6209" i="50"/>
  <c r="U6209" i="50"/>
  <c r="U6266" i="50"/>
  <c r="F6266" i="50"/>
  <c r="G6266" i="50"/>
  <c r="U6227" i="50"/>
  <c r="G6227" i="50"/>
  <c r="V6227" i="50"/>
  <c r="U6214" i="50"/>
  <c r="V6214" i="50"/>
  <c r="G6214" i="50"/>
  <c r="F6214" i="50"/>
  <c r="V6265" i="50"/>
  <c r="F6265" i="50"/>
  <c r="G6265" i="50"/>
  <c r="V6243" i="50"/>
  <c r="U6243" i="50"/>
  <c r="G6243" i="50"/>
  <c r="U6258" i="50"/>
  <c r="G6258" i="50"/>
  <c r="F6258" i="50"/>
  <c r="V6258" i="50"/>
  <c r="V6266" i="50"/>
  <c r="U6231" i="50"/>
  <c r="V6208" i="50"/>
  <c r="U6208" i="50"/>
  <c r="G6208" i="50"/>
  <c r="F6208" i="50"/>
  <c r="V6206" i="50"/>
  <c r="U6206" i="50"/>
  <c r="F6206" i="50"/>
  <c r="G6206" i="50"/>
  <c r="B6270" i="50"/>
  <c r="D6270" i="50" s="1"/>
  <c r="E6246" i="50"/>
  <c r="E6263" i="50"/>
  <c r="B6287" i="50"/>
  <c r="D6287" i="50" s="1"/>
  <c r="E6235" i="50"/>
  <c r="B6259" i="50"/>
  <c r="D6259" i="50" s="1"/>
  <c r="B6297" i="50"/>
  <c r="D6297" i="50" s="1"/>
  <c r="E6273" i="50"/>
  <c r="F6273" i="50" s="1"/>
  <c r="B6254" i="50"/>
  <c r="D6254" i="50" s="1"/>
  <c r="E6230" i="50"/>
  <c r="B6288" i="50"/>
  <c r="D6288" i="50" s="1"/>
  <c r="E6264" i="50"/>
  <c r="B6261" i="50"/>
  <c r="D6261" i="50" s="1"/>
  <c r="E6237" i="50"/>
  <c r="B6245" i="50"/>
  <c r="D6245" i="50" s="1"/>
  <c r="E6221" i="50"/>
  <c r="U6221" i="50" s="1"/>
  <c r="B6260" i="50"/>
  <c r="D6260" i="50" s="1"/>
  <c r="E6236" i="50"/>
  <c r="V6236" i="50" s="1"/>
  <c r="B6313" i="50"/>
  <c r="D6313" i="50" s="1"/>
  <c r="E6289" i="50"/>
  <c r="E6290" i="50"/>
  <c r="B6314" i="50"/>
  <c r="D6314" i="50" s="1"/>
  <c r="E6251" i="50"/>
  <c r="B6275" i="50"/>
  <c r="D6275" i="50" s="1"/>
  <c r="E6274" i="50"/>
  <c r="V6274" i="50" s="1"/>
  <c r="B6298" i="50"/>
  <c r="D6298" i="50" s="1"/>
  <c r="B6262" i="50"/>
  <c r="D6262" i="50" s="1"/>
  <c r="E6238" i="50"/>
  <c r="B6277" i="50"/>
  <c r="D6277" i="50" s="1"/>
  <c r="E6253" i="50"/>
  <c r="U6253" i="50" s="1"/>
  <c r="E6267" i="50"/>
  <c r="B6291" i="50"/>
  <c r="D6291" i="50" s="1"/>
  <c r="E6233" i="50"/>
  <c r="U6233" i="50" s="1"/>
  <c r="B6257" i="50"/>
  <c r="D6257" i="50" s="1"/>
  <c r="B6256" i="50"/>
  <c r="D6256" i="50" s="1"/>
  <c r="E6232" i="50"/>
  <c r="V6232" i="50" s="1"/>
  <c r="B6279" i="50"/>
  <c r="D6279" i="50" s="1"/>
  <c r="E6255" i="50"/>
  <c r="V6255" i="50" s="1"/>
  <c r="B6272" i="50"/>
  <c r="D6272" i="50" s="1"/>
  <c r="E6248" i="50"/>
  <c r="V6248" i="50" s="1"/>
  <c r="B6306" i="50"/>
  <c r="D6306" i="50" s="1"/>
  <c r="E6282" i="50"/>
  <c r="E6244" i="50"/>
  <c r="B6268" i="50"/>
  <c r="D6268" i="50" s="1"/>
  <c r="V6237" i="50" l="1"/>
  <c r="G6237" i="50"/>
  <c r="F6237" i="50"/>
  <c r="V6238" i="50"/>
  <c r="U6238" i="50"/>
  <c r="G6238" i="50"/>
  <c r="F6238" i="50"/>
  <c r="U6237" i="50"/>
  <c r="G6264" i="50"/>
  <c r="F6264" i="50"/>
  <c r="U6264" i="50"/>
  <c r="U6223" i="50"/>
  <c r="G6223" i="50"/>
  <c r="F6223" i="50"/>
  <c r="U6267" i="50"/>
  <c r="G6267" i="50"/>
  <c r="V6267" i="50"/>
  <c r="F6267" i="50"/>
  <c r="U6282" i="50"/>
  <c r="F6282" i="50"/>
  <c r="G6282" i="50"/>
  <c r="V6230" i="50"/>
  <c r="U6230" i="50"/>
  <c r="G6230" i="50"/>
  <c r="F6230" i="50"/>
  <c r="V6264" i="50"/>
  <c r="D6247" i="50"/>
  <c r="B6271" i="50"/>
  <c r="E6247" i="50"/>
  <c r="U6251" i="50"/>
  <c r="G6251" i="50"/>
  <c r="V6251" i="50"/>
  <c r="F6251" i="50"/>
  <c r="V6223" i="50"/>
  <c r="V6273" i="50"/>
  <c r="G6273" i="50"/>
  <c r="U6273" i="50"/>
  <c r="V6244" i="50"/>
  <c r="U6244" i="50"/>
  <c r="F6244" i="50"/>
  <c r="U6255" i="50"/>
  <c r="G6255" i="50"/>
  <c r="F6255" i="50"/>
  <c r="D6252" i="50"/>
  <c r="B6276" i="50"/>
  <c r="E6252" i="50"/>
  <c r="V6253" i="50"/>
  <c r="G6253" i="50"/>
  <c r="F6253" i="50"/>
  <c r="U6228" i="50"/>
  <c r="F6228" i="50"/>
  <c r="V6228" i="50"/>
  <c r="G6289" i="50"/>
  <c r="V6289" i="50"/>
  <c r="U6289" i="50"/>
  <c r="G6235" i="50"/>
  <c r="U6235" i="50"/>
  <c r="V6235" i="50"/>
  <c r="F6235" i="50"/>
  <c r="G6228" i="50"/>
  <c r="G6232" i="50"/>
  <c r="F6232" i="50"/>
  <c r="U6232" i="50"/>
  <c r="G6236" i="50"/>
  <c r="F6236" i="50"/>
  <c r="U6236" i="50"/>
  <c r="G6244" i="50"/>
  <c r="G6248" i="50"/>
  <c r="F6248" i="50"/>
  <c r="U6248" i="50"/>
  <c r="V6233" i="50"/>
  <c r="F6233" i="50"/>
  <c r="G6233" i="50"/>
  <c r="V6263" i="50"/>
  <c r="G6263" i="50"/>
  <c r="F6263" i="50"/>
  <c r="U6263" i="50"/>
  <c r="U6274" i="50"/>
  <c r="F6274" i="50"/>
  <c r="G6274" i="50"/>
  <c r="G6290" i="50"/>
  <c r="F6290" i="50"/>
  <c r="V6290" i="50"/>
  <c r="U6290" i="50"/>
  <c r="V6221" i="50"/>
  <c r="G6221" i="50"/>
  <c r="F6221" i="50"/>
  <c r="F6246" i="50"/>
  <c r="V6246" i="50"/>
  <c r="U6246" i="50"/>
  <c r="G6246" i="50"/>
  <c r="V6282" i="50"/>
  <c r="F6289" i="50"/>
  <c r="E6256" i="50"/>
  <c r="B6280" i="50"/>
  <c r="D6280" i="50" s="1"/>
  <c r="B6301" i="50"/>
  <c r="D6301" i="50" s="1"/>
  <c r="E6277" i="50"/>
  <c r="B6311" i="50"/>
  <c r="D6311" i="50" s="1"/>
  <c r="E6287" i="50"/>
  <c r="B6315" i="50"/>
  <c r="D6315" i="50" s="1"/>
  <c r="E6291" i="50"/>
  <c r="F6291" i="50" s="1"/>
  <c r="B6286" i="50"/>
  <c r="D6286" i="50" s="1"/>
  <c r="E6262" i="50"/>
  <c r="B6322" i="50"/>
  <c r="D6322" i="50" s="1"/>
  <c r="E6298" i="50"/>
  <c r="B6278" i="50"/>
  <c r="D6278" i="50" s="1"/>
  <c r="E6254" i="50"/>
  <c r="B6294" i="50"/>
  <c r="D6294" i="50" s="1"/>
  <c r="E6270" i="50"/>
  <c r="B6338" i="50"/>
  <c r="D6338" i="50" s="1"/>
  <c r="E6314" i="50"/>
  <c r="B6299" i="50"/>
  <c r="D6299" i="50" s="1"/>
  <c r="E6275" i="50"/>
  <c r="F6275" i="50" s="1"/>
  <c r="B6285" i="50"/>
  <c r="D6285" i="50" s="1"/>
  <c r="E6261" i="50"/>
  <c r="B6281" i="50"/>
  <c r="D6281" i="50" s="1"/>
  <c r="E6257" i="50"/>
  <c r="F6257" i="50" s="1"/>
  <c r="E6297" i="50"/>
  <c r="U6297" i="50" s="1"/>
  <c r="B6321" i="50"/>
  <c r="D6321" i="50" s="1"/>
  <c r="E6272" i="50"/>
  <c r="B6296" i="50"/>
  <c r="D6296" i="50" s="1"/>
  <c r="E6260" i="50"/>
  <c r="G6260" i="50" s="1"/>
  <c r="B6284" i="50"/>
  <c r="D6284" i="50" s="1"/>
  <c r="E6306" i="50"/>
  <c r="B6330" i="50"/>
  <c r="D6330" i="50" s="1"/>
  <c r="E6313" i="50"/>
  <c r="U6313" i="50" s="1"/>
  <c r="B6337" i="50"/>
  <c r="D6337" i="50" s="1"/>
  <c r="E6279" i="50"/>
  <c r="B6303" i="50"/>
  <c r="D6303" i="50" s="1"/>
  <c r="B6269" i="50"/>
  <c r="D6269" i="50" s="1"/>
  <c r="E6245" i="50"/>
  <c r="E6288" i="50"/>
  <c r="B6312" i="50"/>
  <c r="D6312" i="50" s="1"/>
  <c r="B6292" i="50"/>
  <c r="D6292" i="50" s="1"/>
  <c r="E6268" i="50"/>
  <c r="V6268" i="50" s="1"/>
  <c r="B6283" i="50"/>
  <c r="D6283" i="50" s="1"/>
  <c r="E6259" i="50"/>
  <c r="F6259" i="50" s="1"/>
  <c r="V6252" i="50" l="1"/>
  <c r="U6287" i="50"/>
  <c r="G6287" i="50"/>
  <c r="F6287" i="50"/>
  <c r="G6279" i="50"/>
  <c r="V6279" i="50"/>
  <c r="F6279" i="50"/>
  <c r="V6247" i="50"/>
  <c r="G6247" i="50"/>
  <c r="F6247" i="50"/>
  <c r="U6314" i="50"/>
  <c r="F6314" i="50"/>
  <c r="G6314" i="50"/>
  <c r="V6277" i="50"/>
  <c r="U6277" i="50"/>
  <c r="G6277" i="50"/>
  <c r="F6277" i="50"/>
  <c r="D6271" i="50"/>
  <c r="B6295" i="50"/>
  <c r="E6271" i="50"/>
  <c r="D6276" i="50"/>
  <c r="E6276" i="50"/>
  <c r="B6300" i="50"/>
  <c r="U6247" i="50"/>
  <c r="V6270" i="50"/>
  <c r="U6270" i="50"/>
  <c r="G6270" i="50"/>
  <c r="F6270" i="50"/>
  <c r="V6287" i="50"/>
  <c r="U6256" i="50"/>
  <c r="G6256" i="50"/>
  <c r="F6256" i="50"/>
  <c r="V6256" i="50"/>
  <c r="V6254" i="50"/>
  <c r="U6254" i="50"/>
  <c r="G6254" i="50"/>
  <c r="F6254" i="50"/>
  <c r="U6298" i="50"/>
  <c r="F6298" i="50"/>
  <c r="G6298" i="50"/>
  <c r="U6279" i="50"/>
  <c r="U6306" i="50"/>
  <c r="G6306" i="50"/>
  <c r="F6306" i="50"/>
  <c r="V6306" i="50"/>
  <c r="V6272" i="50"/>
  <c r="U6272" i="50"/>
  <c r="G6272" i="50"/>
  <c r="F6272" i="50"/>
  <c r="V6313" i="50"/>
  <c r="F6313" i="50"/>
  <c r="G6313" i="50"/>
  <c r="V6262" i="50"/>
  <c r="U6262" i="50"/>
  <c r="G6262" i="50"/>
  <c r="F6262" i="50"/>
  <c r="V6275" i="50"/>
  <c r="U6275" i="50"/>
  <c r="G6275" i="50"/>
  <c r="V6288" i="50"/>
  <c r="G6288" i="50"/>
  <c r="F6288" i="50"/>
  <c r="U6288" i="50"/>
  <c r="V6297" i="50"/>
  <c r="F6297" i="50"/>
  <c r="G6297" i="50"/>
  <c r="V6314" i="50"/>
  <c r="V6259" i="50"/>
  <c r="U6259" i="50"/>
  <c r="G6259" i="50"/>
  <c r="F6245" i="50"/>
  <c r="V6245" i="50"/>
  <c r="U6245" i="50"/>
  <c r="G6245" i="50"/>
  <c r="V6257" i="50"/>
  <c r="G6257" i="50"/>
  <c r="U6257" i="50"/>
  <c r="V6291" i="50"/>
  <c r="U6291" i="50"/>
  <c r="G6291" i="50"/>
  <c r="V6298" i="50"/>
  <c r="U6260" i="50"/>
  <c r="F6260" i="50"/>
  <c r="V6260" i="50"/>
  <c r="F6268" i="50"/>
  <c r="G6268" i="50"/>
  <c r="U6268" i="50"/>
  <c r="F6261" i="50"/>
  <c r="V6261" i="50"/>
  <c r="U6261" i="50"/>
  <c r="G6261" i="50"/>
  <c r="G6252" i="50"/>
  <c r="F6252" i="50"/>
  <c r="U6252" i="50"/>
  <c r="B6354" i="50"/>
  <c r="D6354" i="50" s="1"/>
  <c r="E6330" i="50"/>
  <c r="E6322" i="50"/>
  <c r="B6346" i="50"/>
  <c r="D6346" i="50" s="1"/>
  <c r="B6302" i="50"/>
  <c r="D6302" i="50" s="1"/>
  <c r="E6278" i="50"/>
  <c r="B6310" i="50"/>
  <c r="D6310" i="50" s="1"/>
  <c r="E6286" i="50"/>
  <c r="E6338" i="50"/>
  <c r="F6338" i="50" s="1"/>
  <c r="B6362" i="50"/>
  <c r="D6362" i="50" s="1"/>
  <c r="E6311" i="50"/>
  <c r="U6311" i="50" s="1"/>
  <c r="B6335" i="50"/>
  <c r="D6335" i="50" s="1"/>
  <c r="B6345" i="50"/>
  <c r="D6345" i="50" s="1"/>
  <c r="E6321" i="50"/>
  <c r="B6309" i="50"/>
  <c r="D6309" i="50" s="1"/>
  <c r="E6285" i="50"/>
  <c r="E6315" i="50"/>
  <c r="B6339" i="50"/>
  <c r="D6339" i="50" s="1"/>
  <c r="E6299" i="50"/>
  <c r="B6323" i="50"/>
  <c r="D6323" i="50" s="1"/>
  <c r="B6336" i="50"/>
  <c r="D6336" i="50" s="1"/>
  <c r="E6312" i="50"/>
  <c r="E6283" i="50"/>
  <c r="B6307" i="50"/>
  <c r="D6307" i="50" s="1"/>
  <c r="B6361" i="50"/>
  <c r="D6361" i="50" s="1"/>
  <c r="E6337" i="50"/>
  <c r="B6327" i="50"/>
  <c r="D6327" i="50" s="1"/>
  <c r="E6303" i="50"/>
  <c r="V6303" i="50" s="1"/>
  <c r="B6308" i="50"/>
  <c r="D6308" i="50" s="1"/>
  <c r="E6284" i="50"/>
  <c r="B6325" i="50"/>
  <c r="D6325" i="50" s="1"/>
  <c r="E6301" i="50"/>
  <c r="U6301" i="50" s="1"/>
  <c r="B6293" i="50"/>
  <c r="D6293" i="50" s="1"/>
  <c r="E6269" i="50"/>
  <c r="U6269" i="50" s="1"/>
  <c r="B6304" i="50"/>
  <c r="D6304" i="50" s="1"/>
  <c r="E6280" i="50"/>
  <c r="E6292" i="50"/>
  <c r="B6316" i="50"/>
  <c r="D6316" i="50" s="1"/>
  <c r="B6320" i="50"/>
  <c r="D6320" i="50" s="1"/>
  <c r="E6296" i="50"/>
  <c r="V6296" i="50" s="1"/>
  <c r="E6281" i="50"/>
  <c r="U6281" i="50" s="1"/>
  <c r="B6305" i="50"/>
  <c r="D6305" i="50" s="1"/>
  <c r="B6318" i="50"/>
  <c r="D6318" i="50" s="1"/>
  <c r="E6294" i="50"/>
  <c r="V6292" i="50" l="1"/>
  <c r="U6292" i="50"/>
  <c r="F6292" i="50"/>
  <c r="G6292" i="50"/>
  <c r="U6280" i="50"/>
  <c r="G6280" i="50"/>
  <c r="F6280" i="50"/>
  <c r="V6280" i="50"/>
  <c r="V6278" i="50"/>
  <c r="U6278" i="50"/>
  <c r="G6278" i="50"/>
  <c r="F6278" i="50"/>
  <c r="V6322" i="50"/>
  <c r="U6322" i="50"/>
  <c r="G6322" i="50"/>
  <c r="F6322" i="50"/>
  <c r="V6330" i="50"/>
  <c r="G6330" i="50"/>
  <c r="F6330" i="50"/>
  <c r="V6285" i="50"/>
  <c r="F6285" i="50"/>
  <c r="G6285" i="50"/>
  <c r="G6284" i="50"/>
  <c r="F6284" i="50"/>
  <c r="U6284" i="50"/>
  <c r="V6321" i="50"/>
  <c r="G6321" i="50"/>
  <c r="F6321" i="50"/>
  <c r="U6321" i="50"/>
  <c r="U6330" i="50"/>
  <c r="V6281" i="50"/>
  <c r="F6281" i="50"/>
  <c r="G6281" i="50"/>
  <c r="U6285" i="50"/>
  <c r="D6300" i="50"/>
  <c r="E6300" i="50"/>
  <c r="B6324" i="50"/>
  <c r="V6301" i="50"/>
  <c r="F6301" i="50"/>
  <c r="G6301" i="50"/>
  <c r="V6276" i="50"/>
  <c r="U6276" i="50"/>
  <c r="F6276" i="50"/>
  <c r="G6299" i="50"/>
  <c r="U6299" i="50"/>
  <c r="F6299" i="50"/>
  <c r="V6299" i="50"/>
  <c r="V6311" i="50"/>
  <c r="G6311" i="50"/>
  <c r="F6311" i="50"/>
  <c r="G6276" i="50"/>
  <c r="V6269" i="50"/>
  <c r="G6269" i="50"/>
  <c r="F6269" i="50"/>
  <c r="V6337" i="50"/>
  <c r="U6337" i="50"/>
  <c r="G6337" i="50"/>
  <c r="F6337" i="50"/>
  <c r="U6271" i="50"/>
  <c r="G6271" i="50"/>
  <c r="F6271" i="50"/>
  <c r="U6312" i="50"/>
  <c r="G6312" i="50"/>
  <c r="F6312" i="50"/>
  <c r="G6315" i="50"/>
  <c r="U6315" i="50"/>
  <c r="V6315" i="50"/>
  <c r="F6315" i="50"/>
  <c r="U6296" i="50"/>
  <c r="G6296" i="50"/>
  <c r="F6296" i="50"/>
  <c r="V6338" i="50"/>
  <c r="G6338" i="50"/>
  <c r="U6338" i="50"/>
  <c r="V6312" i="50"/>
  <c r="D6295" i="50"/>
  <c r="E6295" i="50"/>
  <c r="B6319" i="50"/>
  <c r="V6286" i="50"/>
  <c r="U6286" i="50"/>
  <c r="G6286" i="50"/>
  <c r="F6286" i="50"/>
  <c r="V6284" i="50"/>
  <c r="V6271" i="50"/>
  <c r="V6294" i="50"/>
  <c r="U6294" i="50"/>
  <c r="G6294" i="50"/>
  <c r="F6294" i="50"/>
  <c r="U6303" i="50"/>
  <c r="G6303" i="50"/>
  <c r="F6303" i="50"/>
  <c r="V6283" i="50"/>
  <c r="F6283" i="50"/>
  <c r="G6283" i="50"/>
  <c r="U6283" i="50"/>
  <c r="E6308" i="50"/>
  <c r="B6332" i="50"/>
  <c r="D6332" i="50" s="1"/>
  <c r="B6333" i="50"/>
  <c r="D6333" i="50" s="1"/>
  <c r="E6309" i="50"/>
  <c r="B6317" i="50"/>
  <c r="D6317" i="50" s="1"/>
  <c r="E6293" i="50"/>
  <c r="B6370" i="50"/>
  <c r="D6370" i="50" s="1"/>
  <c r="E6346" i="50"/>
  <c r="U6346" i="50" s="1"/>
  <c r="B6340" i="50"/>
  <c r="D6340" i="50" s="1"/>
  <c r="E6316" i="50"/>
  <c r="V6316" i="50" s="1"/>
  <c r="E6345" i="50"/>
  <c r="B6369" i="50"/>
  <c r="D6369" i="50" s="1"/>
  <c r="B6359" i="50"/>
  <c r="D6359" i="50" s="1"/>
  <c r="E6335" i="50"/>
  <c r="B6334" i="50"/>
  <c r="D6334" i="50" s="1"/>
  <c r="E6310" i="50"/>
  <c r="E6361" i="50"/>
  <c r="B6385" i="50"/>
  <c r="D6385" i="50" s="1"/>
  <c r="B6329" i="50"/>
  <c r="D6329" i="50" s="1"/>
  <c r="E6305" i="50"/>
  <c r="F6305" i="50" s="1"/>
  <c r="E6320" i="50"/>
  <c r="B6344" i="50"/>
  <c r="D6344" i="50" s="1"/>
  <c r="E6327" i="50"/>
  <c r="G6327" i="50" s="1"/>
  <c r="B6351" i="50"/>
  <c r="D6351" i="50" s="1"/>
  <c r="B6331" i="50"/>
  <c r="D6331" i="50" s="1"/>
  <c r="E6307" i="50"/>
  <c r="F6307" i="50" s="1"/>
  <c r="B6363" i="50"/>
  <c r="D6363" i="50" s="1"/>
  <c r="E6339" i="50"/>
  <c r="E6304" i="50"/>
  <c r="B6328" i="50"/>
  <c r="D6328" i="50" s="1"/>
  <c r="B6349" i="50"/>
  <c r="D6349" i="50" s="1"/>
  <c r="E6325" i="50"/>
  <c r="E6336" i="50"/>
  <c r="V6336" i="50" s="1"/>
  <c r="B6360" i="50"/>
  <c r="D6360" i="50" s="1"/>
  <c r="B6386" i="50"/>
  <c r="D6386" i="50" s="1"/>
  <c r="E6362" i="50"/>
  <c r="B6326" i="50"/>
  <c r="D6326" i="50" s="1"/>
  <c r="E6302" i="50"/>
  <c r="B6342" i="50"/>
  <c r="D6342" i="50" s="1"/>
  <c r="E6318" i="50"/>
  <c r="F6318" i="50" s="1"/>
  <c r="B6347" i="50"/>
  <c r="D6347" i="50" s="1"/>
  <c r="E6323" i="50"/>
  <c r="E6354" i="50"/>
  <c r="V6354" i="50" s="1"/>
  <c r="B6378" i="50"/>
  <c r="D6378" i="50" s="1"/>
  <c r="U6308" i="50" l="1"/>
  <c r="F6308" i="50"/>
  <c r="V6308" i="50"/>
  <c r="V6325" i="50"/>
  <c r="F6325" i="50"/>
  <c r="U6325" i="50"/>
  <c r="G6325" i="50"/>
  <c r="V6304" i="50"/>
  <c r="U6304" i="50"/>
  <c r="F6304" i="50"/>
  <c r="G6304" i="50"/>
  <c r="D6324" i="50"/>
  <c r="E6324" i="50"/>
  <c r="B6348" i="50"/>
  <c r="G6361" i="50"/>
  <c r="F6361" i="50"/>
  <c r="U6361" i="50"/>
  <c r="U6339" i="50"/>
  <c r="G6339" i="50"/>
  <c r="F6339" i="50"/>
  <c r="V6339" i="50"/>
  <c r="G6300" i="50"/>
  <c r="F6300" i="50"/>
  <c r="U6300" i="50"/>
  <c r="V6345" i="50"/>
  <c r="G6345" i="50"/>
  <c r="U6345" i="50"/>
  <c r="D6319" i="50"/>
  <c r="B6343" i="50"/>
  <c r="E6319" i="50"/>
  <c r="V6300" i="50"/>
  <c r="V6310" i="50"/>
  <c r="U6310" i="50"/>
  <c r="G6310" i="50"/>
  <c r="F6310" i="50"/>
  <c r="G6316" i="50"/>
  <c r="F6316" i="50"/>
  <c r="U6316" i="50"/>
  <c r="V6295" i="50"/>
  <c r="G6295" i="50"/>
  <c r="F6295" i="50"/>
  <c r="F6309" i="50"/>
  <c r="U6309" i="50"/>
  <c r="G6309" i="50"/>
  <c r="V6309" i="50"/>
  <c r="V6323" i="50"/>
  <c r="U6323" i="50"/>
  <c r="G6323" i="50"/>
  <c r="F6323" i="50"/>
  <c r="U6295" i="50"/>
  <c r="F6345" i="50"/>
  <c r="V6302" i="50"/>
  <c r="U6302" i="50"/>
  <c r="G6302" i="50"/>
  <c r="F6302" i="50"/>
  <c r="V6346" i="50"/>
  <c r="G6346" i="50"/>
  <c r="F6346" i="50"/>
  <c r="G6308" i="50"/>
  <c r="V6307" i="50"/>
  <c r="U6307" i="50"/>
  <c r="G6307" i="50"/>
  <c r="V6362" i="50"/>
  <c r="G6362" i="50"/>
  <c r="F6362" i="50"/>
  <c r="F6293" i="50"/>
  <c r="V6293" i="50"/>
  <c r="U6293" i="50"/>
  <c r="G6293" i="50"/>
  <c r="V6335" i="50"/>
  <c r="U6335" i="50"/>
  <c r="F6335" i="50"/>
  <c r="G6335" i="50"/>
  <c r="V6320" i="50"/>
  <c r="U6320" i="50"/>
  <c r="G6320" i="50"/>
  <c r="U6362" i="50"/>
  <c r="U6354" i="50"/>
  <c r="F6354" i="50"/>
  <c r="G6354" i="50"/>
  <c r="U6327" i="50"/>
  <c r="F6327" i="50"/>
  <c r="V6327" i="50"/>
  <c r="V6305" i="50"/>
  <c r="G6305" i="50"/>
  <c r="U6305" i="50"/>
  <c r="V6361" i="50"/>
  <c r="V6318" i="50"/>
  <c r="G6318" i="50"/>
  <c r="U6318" i="50"/>
  <c r="U6336" i="50"/>
  <c r="F6336" i="50"/>
  <c r="G6336" i="50"/>
  <c r="F6320" i="50"/>
  <c r="B6409" i="50"/>
  <c r="D6409" i="50" s="1"/>
  <c r="E6385" i="50"/>
  <c r="B6341" i="50"/>
  <c r="D6341" i="50" s="1"/>
  <c r="E6317" i="50"/>
  <c r="E6331" i="50"/>
  <c r="U6331" i="50" s="1"/>
  <c r="B6355" i="50"/>
  <c r="D6355" i="50" s="1"/>
  <c r="B6375" i="50"/>
  <c r="D6375" i="50" s="1"/>
  <c r="E6351" i="50"/>
  <c r="B6393" i="50"/>
  <c r="D6393" i="50" s="1"/>
  <c r="E6369" i="50"/>
  <c r="B6350" i="50"/>
  <c r="D6350" i="50" s="1"/>
  <c r="E6326" i="50"/>
  <c r="V6326" i="50" s="1"/>
  <c r="B6402" i="50"/>
  <c r="D6402" i="50" s="1"/>
  <c r="E6378" i="50"/>
  <c r="B6352" i="50"/>
  <c r="D6352" i="50" s="1"/>
  <c r="E6328" i="50"/>
  <c r="B6368" i="50"/>
  <c r="D6368" i="50" s="1"/>
  <c r="E6344" i="50"/>
  <c r="B6357" i="50"/>
  <c r="D6357" i="50" s="1"/>
  <c r="E6333" i="50"/>
  <c r="E6347" i="50"/>
  <c r="V6347" i="50" s="1"/>
  <c r="B6371" i="50"/>
  <c r="D6371" i="50" s="1"/>
  <c r="B6356" i="50"/>
  <c r="D6356" i="50" s="1"/>
  <c r="E6332" i="50"/>
  <c r="E6386" i="50"/>
  <c r="B6410" i="50"/>
  <c r="D6410" i="50" s="1"/>
  <c r="B6358" i="50"/>
  <c r="D6358" i="50" s="1"/>
  <c r="E6334" i="50"/>
  <c r="U6334" i="50" s="1"/>
  <c r="B6366" i="50"/>
  <c r="D6366" i="50" s="1"/>
  <c r="E6342" i="50"/>
  <c r="V6342" i="50" s="1"/>
  <c r="B6373" i="50"/>
  <c r="D6373" i="50" s="1"/>
  <c r="E6349" i="50"/>
  <c r="E6340" i="50"/>
  <c r="B6364" i="50"/>
  <c r="D6364" i="50" s="1"/>
  <c r="B6384" i="50"/>
  <c r="D6384" i="50" s="1"/>
  <c r="E6360" i="50"/>
  <c r="E6363" i="50"/>
  <c r="F6363" i="50" s="1"/>
  <c r="B6387" i="50"/>
  <c r="D6387" i="50" s="1"/>
  <c r="E6329" i="50"/>
  <c r="B6353" i="50"/>
  <c r="D6353" i="50" s="1"/>
  <c r="E6359" i="50"/>
  <c r="G6359" i="50" s="1"/>
  <c r="B6383" i="50"/>
  <c r="D6383" i="50" s="1"/>
  <c r="E6370" i="50"/>
  <c r="G6370" i="50" s="1"/>
  <c r="B6394" i="50"/>
  <c r="D6394" i="50" s="1"/>
  <c r="F6324" i="50" l="1"/>
  <c r="V6344" i="50"/>
  <c r="U6344" i="50"/>
  <c r="G6344" i="50"/>
  <c r="F6344" i="50"/>
  <c r="F6317" i="50"/>
  <c r="U6317" i="50"/>
  <c r="G6317" i="50"/>
  <c r="U6324" i="50"/>
  <c r="V6324" i="50"/>
  <c r="G6324" i="50"/>
  <c r="U6340" i="50"/>
  <c r="V6340" i="50"/>
  <c r="G6340" i="50"/>
  <c r="V6328" i="50"/>
  <c r="G6328" i="50"/>
  <c r="U6328" i="50"/>
  <c r="V6385" i="50"/>
  <c r="U6385" i="50"/>
  <c r="G6385" i="50"/>
  <c r="F6385" i="50"/>
  <c r="V6378" i="50"/>
  <c r="G6378" i="50"/>
  <c r="F6378" i="50"/>
  <c r="F6328" i="50"/>
  <c r="V6317" i="50"/>
  <c r="V6369" i="50"/>
  <c r="U6369" i="50"/>
  <c r="G6369" i="50"/>
  <c r="F6369" i="50"/>
  <c r="F6340" i="50"/>
  <c r="U6359" i="50"/>
  <c r="F6359" i="50"/>
  <c r="V6359" i="50"/>
  <c r="V6386" i="50"/>
  <c r="F6386" i="50"/>
  <c r="U6386" i="50"/>
  <c r="G6386" i="50"/>
  <c r="V6334" i="50"/>
  <c r="G6334" i="50"/>
  <c r="F6334" i="50"/>
  <c r="U6332" i="50"/>
  <c r="G6332" i="50"/>
  <c r="F6332" i="50"/>
  <c r="U6351" i="50"/>
  <c r="G6351" i="50"/>
  <c r="F6351" i="50"/>
  <c r="V6351" i="50"/>
  <c r="U6349" i="50"/>
  <c r="G6349" i="50"/>
  <c r="V6349" i="50"/>
  <c r="F6349" i="50"/>
  <c r="V6329" i="50"/>
  <c r="U6329" i="50"/>
  <c r="G6329" i="50"/>
  <c r="F6329" i="50"/>
  <c r="U6378" i="50"/>
  <c r="G6326" i="50"/>
  <c r="F6326" i="50"/>
  <c r="U6326" i="50"/>
  <c r="V6331" i="50"/>
  <c r="G6331" i="50"/>
  <c r="F6331" i="50"/>
  <c r="F6319" i="50"/>
  <c r="U6319" i="50"/>
  <c r="G6319" i="50"/>
  <c r="V6319" i="50"/>
  <c r="U6342" i="50"/>
  <c r="G6342" i="50"/>
  <c r="F6342" i="50"/>
  <c r="U6363" i="50"/>
  <c r="V6363" i="50"/>
  <c r="G6363" i="50"/>
  <c r="V6360" i="50"/>
  <c r="U6360" i="50"/>
  <c r="G6360" i="50"/>
  <c r="F6360" i="50"/>
  <c r="F6333" i="50"/>
  <c r="G6333" i="50"/>
  <c r="U6333" i="50"/>
  <c r="D6343" i="50"/>
  <c r="E6343" i="50"/>
  <c r="B6367" i="50"/>
  <c r="V6332" i="50"/>
  <c r="V6370" i="50"/>
  <c r="U6370" i="50"/>
  <c r="F6370" i="50"/>
  <c r="U6347" i="50"/>
  <c r="F6347" i="50"/>
  <c r="G6347" i="50"/>
  <c r="D6348" i="50"/>
  <c r="B6372" i="50"/>
  <c r="E6348" i="50"/>
  <c r="V6333" i="50"/>
  <c r="B6377" i="50"/>
  <c r="D6377" i="50" s="1"/>
  <c r="E6353" i="50"/>
  <c r="B6374" i="50"/>
  <c r="D6374" i="50" s="1"/>
  <c r="E6350" i="50"/>
  <c r="V6350" i="50" s="1"/>
  <c r="E6375" i="50"/>
  <c r="G6375" i="50" s="1"/>
  <c r="B6399" i="50"/>
  <c r="D6399" i="50" s="1"/>
  <c r="B6365" i="50"/>
  <c r="D6365" i="50" s="1"/>
  <c r="E6341" i="50"/>
  <c r="U6341" i="50" s="1"/>
  <c r="E6368" i="50"/>
  <c r="B6392" i="50"/>
  <c r="D6392" i="50" s="1"/>
  <c r="B6382" i="50"/>
  <c r="D6382" i="50" s="1"/>
  <c r="E6358" i="50"/>
  <c r="V6358" i="50" s="1"/>
  <c r="B6397" i="50"/>
  <c r="D6397" i="50" s="1"/>
  <c r="E6373" i="50"/>
  <c r="U6373" i="50" s="1"/>
  <c r="E6352" i="50"/>
  <c r="B6376" i="50"/>
  <c r="D6376" i="50" s="1"/>
  <c r="E6409" i="50"/>
  <c r="B6433" i="50"/>
  <c r="D6433" i="50" s="1"/>
  <c r="B6381" i="50"/>
  <c r="D6381" i="50" s="1"/>
  <c r="E6357" i="50"/>
  <c r="B6418" i="50"/>
  <c r="D6418" i="50" s="1"/>
  <c r="E6394" i="50"/>
  <c r="B6395" i="50"/>
  <c r="D6395" i="50" s="1"/>
  <c r="E6371" i="50"/>
  <c r="E6393" i="50"/>
  <c r="B6417" i="50"/>
  <c r="D6417" i="50" s="1"/>
  <c r="B6379" i="50"/>
  <c r="D6379" i="50" s="1"/>
  <c r="E6355" i="50"/>
  <c r="B6411" i="50"/>
  <c r="D6411" i="50" s="1"/>
  <c r="E6387" i="50"/>
  <c r="U6387" i="50" s="1"/>
  <c r="E6384" i="50"/>
  <c r="B6408" i="50"/>
  <c r="D6408" i="50" s="1"/>
  <c r="B6388" i="50"/>
  <c r="D6388" i="50" s="1"/>
  <c r="E6364" i="50"/>
  <c r="B6390" i="50"/>
  <c r="D6390" i="50" s="1"/>
  <c r="E6366" i="50"/>
  <c r="B6434" i="50"/>
  <c r="D6434" i="50" s="1"/>
  <c r="E6410" i="50"/>
  <c r="B6407" i="50"/>
  <c r="D6407" i="50" s="1"/>
  <c r="E6383" i="50"/>
  <c r="E6402" i="50"/>
  <c r="B6426" i="50"/>
  <c r="D6426" i="50" s="1"/>
  <c r="E6356" i="50"/>
  <c r="B6380" i="50"/>
  <c r="D6380" i="50" s="1"/>
  <c r="G6343" i="50" l="1"/>
  <c r="F6410" i="50"/>
  <c r="V6410" i="50"/>
  <c r="G6410" i="50"/>
  <c r="V6394" i="50"/>
  <c r="G6394" i="50"/>
  <c r="F6394" i="50"/>
  <c r="U6343" i="50"/>
  <c r="F6343" i="50"/>
  <c r="V6343" i="50"/>
  <c r="V6409" i="50"/>
  <c r="U6409" i="50"/>
  <c r="G6409" i="50"/>
  <c r="F6409" i="50"/>
  <c r="U6394" i="50"/>
  <c r="U6350" i="50"/>
  <c r="F6350" i="50"/>
  <c r="G6350" i="50"/>
  <c r="U6352" i="50"/>
  <c r="F6352" i="50"/>
  <c r="V6352" i="50"/>
  <c r="V6348" i="50"/>
  <c r="G6348" i="50"/>
  <c r="F6348" i="50"/>
  <c r="U6375" i="50"/>
  <c r="F6375" i="50"/>
  <c r="V6375" i="50"/>
  <c r="U6410" i="50"/>
  <c r="F6373" i="50"/>
  <c r="G6373" i="50"/>
  <c r="V6373" i="50"/>
  <c r="D6372" i="50"/>
  <c r="E6372" i="50"/>
  <c r="B6396" i="50"/>
  <c r="V6364" i="50"/>
  <c r="U6364" i="50"/>
  <c r="G6364" i="50"/>
  <c r="F6364" i="50"/>
  <c r="U6348" i="50"/>
  <c r="V6357" i="50"/>
  <c r="U6357" i="50"/>
  <c r="G6357" i="50"/>
  <c r="F6357" i="50"/>
  <c r="U6384" i="50"/>
  <c r="V6384" i="50"/>
  <c r="F6384" i="50"/>
  <c r="V6383" i="50"/>
  <c r="G6383" i="50"/>
  <c r="F6383" i="50"/>
  <c r="U6383" i="50"/>
  <c r="G6355" i="50"/>
  <c r="F6355" i="50"/>
  <c r="V6355" i="50"/>
  <c r="U6358" i="50"/>
  <c r="G6358" i="50"/>
  <c r="F6358" i="50"/>
  <c r="G6384" i="50"/>
  <c r="G6352" i="50"/>
  <c r="U6366" i="50"/>
  <c r="F6366" i="50"/>
  <c r="V6366" i="50"/>
  <c r="D6367" i="50"/>
  <c r="B6391" i="50"/>
  <c r="E6367" i="50"/>
  <c r="G6366" i="50"/>
  <c r="F6356" i="50"/>
  <c r="V6356" i="50"/>
  <c r="G6356" i="50"/>
  <c r="U6356" i="50"/>
  <c r="V6393" i="50"/>
  <c r="U6393" i="50"/>
  <c r="G6393" i="50"/>
  <c r="F6393" i="50"/>
  <c r="G6368" i="50"/>
  <c r="V6368" i="50"/>
  <c r="U6368" i="50"/>
  <c r="F6368" i="50"/>
  <c r="V6353" i="50"/>
  <c r="U6353" i="50"/>
  <c r="G6353" i="50"/>
  <c r="F6353" i="50"/>
  <c r="V6387" i="50"/>
  <c r="G6387" i="50"/>
  <c r="F6387" i="50"/>
  <c r="V6371" i="50"/>
  <c r="G6371" i="50"/>
  <c r="F6371" i="50"/>
  <c r="V6341" i="50"/>
  <c r="G6341" i="50"/>
  <c r="F6341" i="50"/>
  <c r="U6355" i="50"/>
  <c r="V6402" i="50"/>
  <c r="F6402" i="50"/>
  <c r="U6402" i="50"/>
  <c r="G6402" i="50"/>
  <c r="U6371" i="50"/>
  <c r="B6421" i="50"/>
  <c r="D6421" i="50" s="1"/>
  <c r="E6397" i="50"/>
  <c r="B6432" i="50"/>
  <c r="D6432" i="50" s="1"/>
  <c r="E6408" i="50"/>
  <c r="E6388" i="50"/>
  <c r="B6412" i="50"/>
  <c r="D6412" i="50" s="1"/>
  <c r="B6400" i="50"/>
  <c r="D6400" i="50" s="1"/>
  <c r="E6376" i="50"/>
  <c r="E6411" i="50"/>
  <c r="B6435" i="50"/>
  <c r="D6435" i="50" s="1"/>
  <c r="B6389" i="50"/>
  <c r="D6389" i="50" s="1"/>
  <c r="E6365" i="50"/>
  <c r="B6423" i="50"/>
  <c r="D6423" i="50" s="1"/>
  <c r="E6399" i="50"/>
  <c r="E6407" i="50"/>
  <c r="B6431" i="50"/>
  <c r="D6431" i="50" s="1"/>
  <c r="E6379" i="50"/>
  <c r="B6403" i="50"/>
  <c r="D6403" i="50" s="1"/>
  <c r="B6406" i="50"/>
  <c r="D6406" i="50" s="1"/>
  <c r="E6382" i="50"/>
  <c r="G6382" i="50" s="1"/>
  <c r="B6441" i="50"/>
  <c r="D6441" i="50" s="1"/>
  <c r="E6417" i="50"/>
  <c r="E6418" i="50"/>
  <c r="B6442" i="50"/>
  <c r="D6442" i="50" s="1"/>
  <c r="B6404" i="50"/>
  <c r="D6404" i="50" s="1"/>
  <c r="E6380" i="50"/>
  <c r="B6405" i="50"/>
  <c r="D6405" i="50" s="1"/>
  <c r="E6381" i="50"/>
  <c r="B6398" i="50"/>
  <c r="D6398" i="50" s="1"/>
  <c r="E6374" i="50"/>
  <c r="V6374" i="50" s="1"/>
  <c r="E6434" i="50"/>
  <c r="B6458" i="50"/>
  <c r="D6458" i="50" s="1"/>
  <c r="B6457" i="50"/>
  <c r="D6457" i="50" s="1"/>
  <c r="E6433" i="50"/>
  <c r="B6416" i="50"/>
  <c r="D6416" i="50" s="1"/>
  <c r="E6392" i="50"/>
  <c r="E6395" i="50"/>
  <c r="B6419" i="50"/>
  <c r="D6419" i="50" s="1"/>
  <c r="B6414" i="50"/>
  <c r="D6414" i="50" s="1"/>
  <c r="E6390" i="50"/>
  <c r="V6390" i="50" s="1"/>
  <c r="B6450" i="50"/>
  <c r="D6450" i="50" s="1"/>
  <c r="E6426" i="50"/>
  <c r="U6426" i="50" s="1"/>
  <c r="E6377" i="50"/>
  <c r="V6377" i="50" s="1"/>
  <c r="B6401" i="50"/>
  <c r="D6401" i="50" s="1"/>
  <c r="V6395" i="50" l="1"/>
  <c r="U6395" i="50"/>
  <c r="G6395" i="50"/>
  <c r="V6411" i="50"/>
  <c r="U6411" i="50"/>
  <c r="G6411" i="50"/>
  <c r="V6433" i="50"/>
  <c r="U6433" i="50"/>
  <c r="G6433" i="50"/>
  <c r="F6433" i="50"/>
  <c r="F6388" i="50"/>
  <c r="V6388" i="50"/>
  <c r="U6388" i="50"/>
  <c r="G6388" i="50"/>
  <c r="F6376" i="50"/>
  <c r="V6376" i="50"/>
  <c r="U6376" i="50"/>
  <c r="G6376" i="50"/>
  <c r="V6408" i="50"/>
  <c r="U6408" i="50"/>
  <c r="G6408" i="50"/>
  <c r="F6408" i="50"/>
  <c r="V6434" i="50"/>
  <c r="F6434" i="50"/>
  <c r="U6434" i="50"/>
  <c r="G6434" i="50"/>
  <c r="F6411" i="50"/>
  <c r="U6397" i="50"/>
  <c r="F6397" i="50"/>
  <c r="G6397" i="50"/>
  <c r="V6397" i="50"/>
  <c r="U6379" i="50"/>
  <c r="F6379" i="50"/>
  <c r="V6379" i="50"/>
  <c r="G6379" i="50"/>
  <c r="U6381" i="50"/>
  <c r="G6381" i="50"/>
  <c r="V6381" i="50"/>
  <c r="F6381" i="50"/>
  <c r="U6377" i="50"/>
  <c r="F6377" i="50"/>
  <c r="G6377" i="50"/>
  <c r="V6407" i="50"/>
  <c r="U6407" i="50"/>
  <c r="F6407" i="50"/>
  <c r="F6395" i="50"/>
  <c r="V6426" i="50"/>
  <c r="G6426" i="50"/>
  <c r="F6426" i="50"/>
  <c r="V6380" i="50"/>
  <c r="U6380" i="50"/>
  <c r="G6380" i="50"/>
  <c r="F6380" i="50"/>
  <c r="V6399" i="50"/>
  <c r="U6399" i="50"/>
  <c r="G6399" i="50"/>
  <c r="F6399" i="50"/>
  <c r="G6407" i="50"/>
  <c r="D6396" i="50"/>
  <c r="B6420" i="50"/>
  <c r="E6396" i="50"/>
  <c r="F6392" i="50"/>
  <c r="V6392" i="50"/>
  <c r="U6392" i="50"/>
  <c r="G6392" i="50"/>
  <c r="U6382" i="50"/>
  <c r="F6382" i="50"/>
  <c r="V6382" i="50"/>
  <c r="U6367" i="50"/>
  <c r="G6367" i="50"/>
  <c r="V6367" i="50"/>
  <c r="F6372" i="50"/>
  <c r="V6372" i="50"/>
  <c r="U6372" i="50"/>
  <c r="G6372" i="50"/>
  <c r="U6390" i="50"/>
  <c r="G6390" i="50"/>
  <c r="F6390" i="50"/>
  <c r="G6365" i="50"/>
  <c r="U6365" i="50"/>
  <c r="V6365" i="50"/>
  <c r="F6365" i="50"/>
  <c r="D6391" i="50"/>
  <c r="B6415" i="50"/>
  <c r="E6391" i="50"/>
  <c r="U6418" i="50"/>
  <c r="F6418" i="50"/>
  <c r="G6418" i="50"/>
  <c r="V6418" i="50"/>
  <c r="F6367" i="50"/>
  <c r="G6374" i="50"/>
  <c r="F6374" i="50"/>
  <c r="U6374" i="50"/>
  <c r="V6417" i="50"/>
  <c r="U6417" i="50"/>
  <c r="G6417" i="50"/>
  <c r="F6417" i="50"/>
  <c r="E6432" i="50"/>
  <c r="B6456" i="50"/>
  <c r="D6456" i="50" s="1"/>
  <c r="B6443" i="50"/>
  <c r="D6443" i="50" s="1"/>
  <c r="E6419" i="50"/>
  <c r="E6457" i="50"/>
  <c r="B6481" i="50"/>
  <c r="D6481" i="50" s="1"/>
  <c r="B6429" i="50"/>
  <c r="D6429" i="50" s="1"/>
  <c r="E6405" i="50"/>
  <c r="B6459" i="50"/>
  <c r="D6459" i="50" s="1"/>
  <c r="E6435" i="50"/>
  <c r="V6435" i="50" s="1"/>
  <c r="B6466" i="50"/>
  <c r="D6466" i="50" s="1"/>
  <c r="E6442" i="50"/>
  <c r="B6427" i="50"/>
  <c r="D6427" i="50" s="1"/>
  <c r="E6403" i="50"/>
  <c r="U6403" i="50" s="1"/>
  <c r="B6482" i="50"/>
  <c r="D6482" i="50" s="1"/>
  <c r="E6458" i="50"/>
  <c r="U6458" i="50" s="1"/>
  <c r="E6400" i="50"/>
  <c r="B6424" i="50"/>
  <c r="D6424" i="50" s="1"/>
  <c r="E6441" i="50"/>
  <c r="B6465" i="50"/>
  <c r="D6465" i="50" s="1"/>
  <c r="B6413" i="50"/>
  <c r="D6413" i="50" s="1"/>
  <c r="E6389" i="50"/>
  <c r="B6455" i="50"/>
  <c r="D6455" i="50" s="1"/>
  <c r="E6431" i="50"/>
  <c r="E6404" i="50"/>
  <c r="B6428" i="50"/>
  <c r="D6428" i="50" s="1"/>
  <c r="B6445" i="50"/>
  <c r="D6445" i="50" s="1"/>
  <c r="E6421" i="50"/>
  <c r="B6436" i="50"/>
  <c r="D6436" i="50" s="1"/>
  <c r="E6412" i="50"/>
  <c r="B6438" i="50"/>
  <c r="D6438" i="50" s="1"/>
  <c r="E6414" i="50"/>
  <c r="E6450" i="50"/>
  <c r="B6474" i="50"/>
  <c r="D6474" i="50" s="1"/>
  <c r="E6423" i="50"/>
  <c r="G6423" i="50" s="1"/>
  <c r="B6447" i="50"/>
  <c r="D6447" i="50" s="1"/>
  <c r="E6416" i="50"/>
  <c r="B6440" i="50"/>
  <c r="D6440" i="50" s="1"/>
  <c r="B6430" i="50"/>
  <c r="D6430" i="50" s="1"/>
  <c r="E6406" i="50"/>
  <c r="V6406" i="50" s="1"/>
  <c r="B6425" i="50"/>
  <c r="D6425" i="50" s="1"/>
  <c r="E6401" i="50"/>
  <c r="B6422" i="50"/>
  <c r="D6422" i="50" s="1"/>
  <c r="E6398" i="50"/>
  <c r="G6405" i="50" l="1"/>
  <c r="F6405" i="50"/>
  <c r="V6405" i="50"/>
  <c r="U6405" i="50"/>
  <c r="V6396" i="50"/>
  <c r="U6396" i="50"/>
  <c r="G6396" i="50"/>
  <c r="F6396" i="50"/>
  <c r="D6420" i="50"/>
  <c r="E6420" i="50"/>
  <c r="B6444" i="50"/>
  <c r="U6431" i="50"/>
  <c r="V6431" i="50"/>
  <c r="G6431" i="50"/>
  <c r="F6431" i="50"/>
  <c r="V6457" i="50"/>
  <c r="U6457" i="50"/>
  <c r="G6457" i="50"/>
  <c r="F6457" i="50"/>
  <c r="F6419" i="50"/>
  <c r="G6419" i="50"/>
  <c r="V6419" i="50"/>
  <c r="U6419" i="50"/>
  <c r="V6441" i="50"/>
  <c r="U6441" i="50"/>
  <c r="G6441" i="50"/>
  <c r="F6441" i="50"/>
  <c r="V6391" i="50"/>
  <c r="F6391" i="50"/>
  <c r="U6391" i="50"/>
  <c r="G6400" i="50"/>
  <c r="V6400" i="50"/>
  <c r="U6400" i="50"/>
  <c r="F6400" i="50"/>
  <c r="F6432" i="50"/>
  <c r="V6432" i="50"/>
  <c r="U6432" i="50"/>
  <c r="G6432" i="50"/>
  <c r="D6415" i="50"/>
  <c r="E6415" i="50"/>
  <c r="B6439" i="50"/>
  <c r="V6450" i="50"/>
  <c r="U6450" i="50"/>
  <c r="G6450" i="50"/>
  <c r="F6450" i="50"/>
  <c r="V6398" i="50"/>
  <c r="U6398" i="50"/>
  <c r="F6398" i="50"/>
  <c r="F6458" i="50"/>
  <c r="V6458" i="50"/>
  <c r="G6458" i="50"/>
  <c r="G6391" i="50"/>
  <c r="F6389" i="50"/>
  <c r="V6389" i="50"/>
  <c r="U6389" i="50"/>
  <c r="G6389" i="50"/>
  <c r="F6421" i="50"/>
  <c r="G6421" i="50"/>
  <c r="V6421" i="50"/>
  <c r="U6421" i="50"/>
  <c r="G6403" i="50"/>
  <c r="V6403" i="50"/>
  <c r="F6403" i="50"/>
  <c r="V6414" i="50"/>
  <c r="U6414" i="50"/>
  <c r="F6414" i="50"/>
  <c r="G6414" i="50"/>
  <c r="V6423" i="50"/>
  <c r="U6423" i="50"/>
  <c r="F6423" i="50"/>
  <c r="U6406" i="50"/>
  <c r="G6406" i="50"/>
  <c r="F6406" i="50"/>
  <c r="V6442" i="50"/>
  <c r="G6442" i="50"/>
  <c r="F6442" i="50"/>
  <c r="U6442" i="50"/>
  <c r="V6401" i="50"/>
  <c r="U6401" i="50"/>
  <c r="G6401" i="50"/>
  <c r="F6401" i="50"/>
  <c r="G6435" i="50"/>
  <c r="F6435" i="50"/>
  <c r="U6435" i="50"/>
  <c r="V6412" i="50"/>
  <c r="U6412" i="50"/>
  <c r="G6412" i="50"/>
  <c r="F6412" i="50"/>
  <c r="V6416" i="50"/>
  <c r="F6416" i="50"/>
  <c r="U6416" i="50"/>
  <c r="G6416" i="50"/>
  <c r="F6404" i="50"/>
  <c r="V6404" i="50"/>
  <c r="U6404" i="50"/>
  <c r="G6404" i="50"/>
  <c r="G6398" i="50"/>
  <c r="B6437" i="50"/>
  <c r="D6437" i="50" s="1"/>
  <c r="E6413" i="50"/>
  <c r="E6466" i="50"/>
  <c r="B6490" i="50"/>
  <c r="D6490" i="50" s="1"/>
  <c r="E6455" i="50"/>
  <c r="B6479" i="50"/>
  <c r="D6479" i="50" s="1"/>
  <c r="B6498" i="50"/>
  <c r="D6498" i="50" s="1"/>
  <c r="E6474" i="50"/>
  <c r="E6459" i="50"/>
  <c r="F6459" i="50" s="1"/>
  <c r="B6483" i="50"/>
  <c r="D6483" i="50" s="1"/>
  <c r="B6489" i="50"/>
  <c r="D6489" i="50" s="1"/>
  <c r="E6465" i="50"/>
  <c r="E6482" i="50"/>
  <c r="U6482" i="50" s="1"/>
  <c r="B6506" i="50"/>
  <c r="D6506" i="50" s="1"/>
  <c r="B6453" i="50"/>
  <c r="D6453" i="50" s="1"/>
  <c r="E6429" i="50"/>
  <c r="B6505" i="50"/>
  <c r="D6505" i="50" s="1"/>
  <c r="E6481" i="50"/>
  <c r="B6446" i="50"/>
  <c r="D6446" i="50" s="1"/>
  <c r="E6422" i="50"/>
  <c r="B6454" i="50"/>
  <c r="D6454" i="50" s="1"/>
  <c r="E6430" i="50"/>
  <c r="B6469" i="50"/>
  <c r="D6469" i="50" s="1"/>
  <c r="E6445" i="50"/>
  <c r="B6452" i="50"/>
  <c r="D6452" i="50" s="1"/>
  <c r="E6428" i="50"/>
  <c r="B6448" i="50"/>
  <c r="D6448" i="50" s="1"/>
  <c r="E6424" i="50"/>
  <c r="E6425" i="50"/>
  <c r="B6449" i="50"/>
  <c r="D6449" i="50" s="1"/>
  <c r="B6462" i="50"/>
  <c r="D6462" i="50" s="1"/>
  <c r="E6438" i="50"/>
  <c r="E6443" i="50"/>
  <c r="F6443" i="50" s="1"/>
  <c r="B6467" i="50"/>
  <c r="D6467" i="50" s="1"/>
  <c r="B6464" i="50"/>
  <c r="D6464" i="50" s="1"/>
  <c r="E6440" i="50"/>
  <c r="E6427" i="50"/>
  <c r="F6427" i="50" s="1"/>
  <c r="B6451" i="50"/>
  <c r="D6451" i="50" s="1"/>
  <c r="B6480" i="50"/>
  <c r="D6480" i="50" s="1"/>
  <c r="E6456" i="50"/>
  <c r="B6471" i="50"/>
  <c r="D6471" i="50" s="1"/>
  <c r="E6447" i="50"/>
  <c r="E6436" i="50"/>
  <c r="B6460" i="50"/>
  <c r="D6460" i="50" s="1"/>
  <c r="F6430" i="50" l="1"/>
  <c r="G6430" i="50"/>
  <c r="V6430" i="50"/>
  <c r="U6430" i="50"/>
  <c r="U6455" i="50"/>
  <c r="F6455" i="50"/>
  <c r="G6455" i="50"/>
  <c r="V6422" i="50"/>
  <c r="U6422" i="50"/>
  <c r="G6422" i="50"/>
  <c r="F6422" i="50"/>
  <c r="V6481" i="50"/>
  <c r="U6481" i="50"/>
  <c r="G6481" i="50"/>
  <c r="F6481" i="50"/>
  <c r="D6444" i="50"/>
  <c r="B6468" i="50"/>
  <c r="E6444" i="50"/>
  <c r="V6443" i="50"/>
  <c r="U6443" i="50"/>
  <c r="G6443" i="50"/>
  <c r="V6466" i="50"/>
  <c r="F6466" i="50"/>
  <c r="G6466" i="50"/>
  <c r="D6439" i="50"/>
  <c r="E6439" i="50"/>
  <c r="B6463" i="50"/>
  <c r="G6420" i="50"/>
  <c r="U6420" i="50"/>
  <c r="F6420" i="50"/>
  <c r="V6420" i="50"/>
  <c r="U6429" i="50"/>
  <c r="V6429" i="50"/>
  <c r="G6429" i="50"/>
  <c r="F6429" i="50"/>
  <c r="G6413" i="50"/>
  <c r="F6413" i="50"/>
  <c r="U6413" i="50"/>
  <c r="V6413" i="50"/>
  <c r="V6415" i="50"/>
  <c r="U6415" i="50"/>
  <c r="G6415" i="50"/>
  <c r="F6415" i="50"/>
  <c r="V6455" i="50"/>
  <c r="U6438" i="50"/>
  <c r="V6438" i="50"/>
  <c r="G6438" i="50"/>
  <c r="F6438" i="50"/>
  <c r="V6425" i="50"/>
  <c r="U6425" i="50"/>
  <c r="G6425" i="50"/>
  <c r="F6425" i="50"/>
  <c r="V6482" i="50"/>
  <c r="F6482" i="50"/>
  <c r="G6482" i="50"/>
  <c r="V6427" i="50"/>
  <c r="G6427" i="50"/>
  <c r="U6427" i="50"/>
  <c r="V6465" i="50"/>
  <c r="U6465" i="50"/>
  <c r="G6465" i="50"/>
  <c r="F6465" i="50"/>
  <c r="V6424" i="50"/>
  <c r="U6424" i="50"/>
  <c r="G6424" i="50"/>
  <c r="F6424" i="50"/>
  <c r="V6428" i="50"/>
  <c r="U6428" i="50"/>
  <c r="G6428" i="50"/>
  <c r="F6428" i="50"/>
  <c r="V6440" i="50"/>
  <c r="U6440" i="50"/>
  <c r="G6440" i="50"/>
  <c r="F6440" i="50"/>
  <c r="V6459" i="50"/>
  <c r="U6459" i="50"/>
  <c r="G6459" i="50"/>
  <c r="U6436" i="50"/>
  <c r="G6436" i="50"/>
  <c r="F6436" i="50"/>
  <c r="V6436" i="50"/>
  <c r="V6456" i="50"/>
  <c r="U6456" i="50"/>
  <c r="G6456" i="50"/>
  <c r="F6456" i="50"/>
  <c r="U6445" i="50"/>
  <c r="V6445" i="50"/>
  <c r="G6445" i="50"/>
  <c r="F6445" i="50"/>
  <c r="G6474" i="50"/>
  <c r="F6474" i="50"/>
  <c r="V6474" i="50"/>
  <c r="U6466" i="50"/>
  <c r="F6447" i="50"/>
  <c r="U6447" i="50"/>
  <c r="V6447" i="50"/>
  <c r="G6447" i="50"/>
  <c r="U6474" i="50"/>
  <c r="B6478" i="50"/>
  <c r="D6478" i="50" s="1"/>
  <c r="E6454" i="50"/>
  <c r="B6507" i="50"/>
  <c r="D6507" i="50" s="1"/>
  <c r="E6483" i="50"/>
  <c r="B6514" i="50"/>
  <c r="D6514" i="50" s="1"/>
  <c r="E6490" i="50"/>
  <c r="U6490" i="50" s="1"/>
  <c r="E6480" i="50"/>
  <c r="U6480" i="50" s="1"/>
  <c r="B6504" i="50"/>
  <c r="D6504" i="50" s="1"/>
  <c r="B6486" i="50"/>
  <c r="D6486" i="50" s="1"/>
  <c r="E6462" i="50"/>
  <c r="B6470" i="50"/>
  <c r="D6470" i="50" s="1"/>
  <c r="E6446" i="50"/>
  <c r="E6489" i="50"/>
  <c r="B6513" i="50"/>
  <c r="D6513" i="50" s="1"/>
  <c r="B6461" i="50"/>
  <c r="D6461" i="50" s="1"/>
  <c r="E6437" i="50"/>
  <c r="E6498" i="50"/>
  <c r="B6522" i="50"/>
  <c r="D6522" i="50" s="1"/>
  <c r="E6505" i="50"/>
  <c r="B6529" i="50"/>
  <c r="D6529" i="50" s="1"/>
  <c r="B6475" i="50"/>
  <c r="D6475" i="50" s="1"/>
  <c r="E6451" i="50"/>
  <c r="V6451" i="50" s="1"/>
  <c r="E6471" i="50"/>
  <c r="B6495" i="50"/>
  <c r="D6495" i="50" s="1"/>
  <c r="E6464" i="50"/>
  <c r="B6488" i="50"/>
  <c r="D6488" i="50" s="1"/>
  <c r="E6448" i="50"/>
  <c r="B6472" i="50"/>
  <c r="D6472" i="50" s="1"/>
  <c r="B6530" i="50"/>
  <c r="D6530" i="50" s="1"/>
  <c r="E6506" i="50"/>
  <c r="U6506" i="50" s="1"/>
  <c r="B6491" i="50"/>
  <c r="D6491" i="50" s="1"/>
  <c r="E6467" i="50"/>
  <c r="B6484" i="50"/>
  <c r="D6484" i="50" s="1"/>
  <c r="E6460" i="50"/>
  <c r="E6452" i="50"/>
  <c r="B6476" i="50"/>
  <c r="D6476" i="50" s="1"/>
  <c r="B6503" i="50"/>
  <c r="D6503" i="50" s="1"/>
  <c r="E6479" i="50"/>
  <c r="B6493" i="50"/>
  <c r="D6493" i="50" s="1"/>
  <c r="E6469" i="50"/>
  <c r="B6477" i="50"/>
  <c r="D6477" i="50" s="1"/>
  <c r="E6453" i="50"/>
  <c r="B6473" i="50"/>
  <c r="D6473" i="50" s="1"/>
  <c r="E6449" i="50"/>
  <c r="U6452" i="50" l="1"/>
  <c r="F6452" i="50"/>
  <c r="V6452" i="50"/>
  <c r="G6452" i="50"/>
  <c r="G6483" i="50"/>
  <c r="F6483" i="50"/>
  <c r="U6483" i="50"/>
  <c r="V6505" i="50"/>
  <c r="U6505" i="50"/>
  <c r="G6505" i="50"/>
  <c r="F6505" i="50"/>
  <c r="G6454" i="50"/>
  <c r="V6454" i="50"/>
  <c r="F6454" i="50"/>
  <c r="U6454" i="50"/>
  <c r="V6498" i="50"/>
  <c r="F6498" i="50"/>
  <c r="G6498" i="50"/>
  <c r="V6483" i="50"/>
  <c r="D6463" i="50"/>
  <c r="B6487" i="50"/>
  <c r="E6463" i="50"/>
  <c r="U6439" i="50"/>
  <c r="F6439" i="50"/>
  <c r="G6439" i="50"/>
  <c r="U6498" i="50"/>
  <c r="V6439" i="50"/>
  <c r="G6437" i="50"/>
  <c r="F6437" i="50"/>
  <c r="V6437" i="50"/>
  <c r="U6437" i="50"/>
  <c r="V6489" i="50"/>
  <c r="U6489" i="50"/>
  <c r="G6489" i="50"/>
  <c r="F6489" i="50"/>
  <c r="V6460" i="50"/>
  <c r="U6460" i="50"/>
  <c r="G6460" i="50"/>
  <c r="F6460" i="50"/>
  <c r="U6446" i="50"/>
  <c r="V6446" i="50"/>
  <c r="F6446" i="50"/>
  <c r="G6446" i="50"/>
  <c r="G6467" i="50"/>
  <c r="F6467" i="50"/>
  <c r="U6467" i="50"/>
  <c r="V6448" i="50"/>
  <c r="U6448" i="50"/>
  <c r="G6448" i="50"/>
  <c r="F6448" i="50"/>
  <c r="F6506" i="50"/>
  <c r="V6506" i="50"/>
  <c r="G6506" i="50"/>
  <c r="F6462" i="50"/>
  <c r="V6462" i="50"/>
  <c r="G6462" i="50"/>
  <c r="U6462" i="50"/>
  <c r="F6464" i="50"/>
  <c r="V6464" i="50"/>
  <c r="G6464" i="50"/>
  <c r="V6449" i="50"/>
  <c r="U6449" i="50"/>
  <c r="G6449" i="50"/>
  <c r="F6449" i="50"/>
  <c r="U6479" i="50"/>
  <c r="V6479" i="50"/>
  <c r="G6479" i="50"/>
  <c r="F6479" i="50"/>
  <c r="U6464" i="50"/>
  <c r="V6444" i="50"/>
  <c r="U6444" i="50"/>
  <c r="G6444" i="50"/>
  <c r="F6444" i="50"/>
  <c r="U6530" i="50"/>
  <c r="G6469" i="50"/>
  <c r="V6469" i="50"/>
  <c r="U6469" i="50"/>
  <c r="F6469" i="50"/>
  <c r="U6471" i="50"/>
  <c r="F6471" i="50"/>
  <c r="G6471" i="50"/>
  <c r="F6480" i="50"/>
  <c r="V6480" i="50"/>
  <c r="G6480" i="50"/>
  <c r="V6467" i="50"/>
  <c r="D6468" i="50"/>
  <c r="E6468" i="50"/>
  <c r="B6492" i="50"/>
  <c r="G6453" i="50"/>
  <c r="V6453" i="50"/>
  <c r="U6453" i="50"/>
  <c r="F6453" i="50"/>
  <c r="G6451" i="50"/>
  <c r="F6451" i="50"/>
  <c r="U6451" i="50"/>
  <c r="G6490" i="50"/>
  <c r="F6490" i="50"/>
  <c r="V6490" i="50"/>
  <c r="V6471" i="50"/>
  <c r="E6530" i="50"/>
  <c r="B6554" i="50"/>
  <c r="D6554" i="50" s="1"/>
  <c r="B6496" i="50"/>
  <c r="D6496" i="50" s="1"/>
  <c r="E6472" i="50"/>
  <c r="E6484" i="50"/>
  <c r="B6508" i="50"/>
  <c r="D6508" i="50" s="1"/>
  <c r="B6512" i="50"/>
  <c r="D6512" i="50" s="1"/>
  <c r="E6488" i="50"/>
  <c r="E6514" i="50"/>
  <c r="U6514" i="50" s="1"/>
  <c r="B6538" i="50"/>
  <c r="D6538" i="50" s="1"/>
  <c r="E6503" i="50"/>
  <c r="B6527" i="50"/>
  <c r="D6527" i="50" s="1"/>
  <c r="B6485" i="50"/>
  <c r="D6485" i="50" s="1"/>
  <c r="E6461" i="50"/>
  <c r="B6537" i="50"/>
  <c r="D6537" i="50" s="1"/>
  <c r="E6513" i="50"/>
  <c r="B6519" i="50"/>
  <c r="D6519" i="50" s="1"/>
  <c r="E6495" i="50"/>
  <c r="E6507" i="50"/>
  <c r="F6507" i="50" s="1"/>
  <c r="B6531" i="50"/>
  <c r="D6531" i="50" s="1"/>
  <c r="B6517" i="50"/>
  <c r="D6517" i="50" s="1"/>
  <c r="E6493" i="50"/>
  <c r="V6493" i="50" s="1"/>
  <c r="B6494" i="50"/>
  <c r="D6494" i="50" s="1"/>
  <c r="E6470" i="50"/>
  <c r="E6473" i="50"/>
  <c r="B6497" i="50"/>
  <c r="D6497" i="50" s="1"/>
  <c r="E6475" i="50"/>
  <c r="B6499" i="50"/>
  <c r="D6499" i="50" s="1"/>
  <c r="B6546" i="50"/>
  <c r="D6546" i="50" s="1"/>
  <c r="E6522" i="50"/>
  <c r="U6522" i="50" s="1"/>
  <c r="B6500" i="50"/>
  <c r="D6500" i="50" s="1"/>
  <c r="E6476" i="50"/>
  <c r="E6491" i="50"/>
  <c r="F6491" i="50" s="1"/>
  <c r="B6515" i="50"/>
  <c r="D6515" i="50" s="1"/>
  <c r="B6553" i="50"/>
  <c r="D6553" i="50" s="1"/>
  <c r="E6529" i="50"/>
  <c r="B6528" i="50"/>
  <c r="D6528" i="50" s="1"/>
  <c r="E6504" i="50"/>
  <c r="B6501" i="50"/>
  <c r="D6501" i="50" s="1"/>
  <c r="E6477" i="50"/>
  <c r="B6510" i="50"/>
  <c r="D6510" i="50" s="1"/>
  <c r="E6486" i="50"/>
  <c r="B6502" i="50"/>
  <c r="D6502" i="50" s="1"/>
  <c r="E6478" i="50"/>
  <c r="V6529" i="50" l="1"/>
  <c r="U6529" i="50"/>
  <c r="G6529" i="50"/>
  <c r="F6529" i="50"/>
  <c r="G6484" i="50"/>
  <c r="U6484" i="50"/>
  <c r="F6484" i="50"/>
  <c r="V6484" i="50"/>
  <c r="D6492" i="50"/>
  <c r="E6492" i="50"/>
  <c r="B6516" i="50"/>
  <c r="V6472" i="50"/>
  <c r="U6472" i="50"/>
  <c r="G6472" i="50"/>
  <c r="F6472" i="50"/>
  <c r="U6468" i="50"/>
  <c r="F6468" i="50"/>
  <c r="V6468" i="50"/>
  <c r="G6468" i="50"/>
  <c r="V6530" i="50"/>
  <c r="F6530" i="50"/>
  <c r="G6530" i="50"/>
  <c r="V6513" i="50"/>
  <c r="U6513" i="50"/>
  <c r="G6513" i="50"/>
  <c r="F6513" i="50"/>
  <c r="V6463" i="50"/>
  <c r="G6463" i="50"/>
  <c r="F6463" i="50"/>
  <c r="U6463" i="50"/>
  <c r="U6493" i="50"/>
  <c r="G6493" i="50"/>
  <c r="F6493" i="50"/>
  <c r="U6478" i="50"/>
  <c r="F6478" i="50"/>
  <c r="V6478" i="50"/>
  <c r="G6478" i="50"/>
  <c r="V6522" i="50"/>
  <c r="G6522" i="50"/>
  <c r="F6522" i="50"/>
  <c r="U6461" i="50"/>
  <c r="F6461" i="50"/>
  <c r="V6461" i="50"/>
  <c r="G6461" i="50"/>
  <c r="D6487" i="50"/>
  <c r="E6487" i="50"/>
  <c r="B6511" i="50"/>
  <c r="U6495" i="50"/>
  <c r="F6495" i="50"/>
  <c r="G6495" i="50"/>
  <c r="V6495" i="50"/>
  <c r="V6476" i="50"/>
  <c r="U6476" i="50"/>
  <c r="G6476" i="50"/>
  <c r="F6476" i="50"/>
  <c r="V6491" i="50"/>
  <c r="U6491" i="50"/>
  <c r="G6491" i="50"/>
  <c r="V6475" i="50"/>
  <c r="U6475" i="50"/>
  <c r="G6475" i="50"/>
  <c r="U6503" i="50"/>
  <c r="F6503" i="50"/>
  <c r="G6503" i="50"/>
  <c r="V6503" i="50"/>
  <c r="F6475" i="50"/>
  <c r="U6486" i="50"/>
  <c r="V6486" i="50"/>
  <c r="G6486" i="50"/>
  <c r="F6486" i="50"/>
  <c r="V6477" i="50"/>
  <c r="G6477" i="50"/>
  <c r="F6477" i="50"/>
  <c r="U6477" i="50"/>
  <c r="V6507" i="50"/>
  <c r="U6507" i="50"/>
  <c r="G6507" i="50"/>
  <c r="V6473" i="50"/>
  <c r="U6473" i="50"/>
  <c r="G6473" i="50"/>
  <c r="F6473" i="50"/>
  <c r="V6514" i="50"/>
  <c r="F6514" i="50"/>
  <c r="G6514" i="50"/>
  <c r="V6504" i="50"/>
  <c r="U6504" i="50"/>
  <c r="G6504" i="50"/>
  <c r="F6504" i="50"/>
  <c r="V6470" i="50"/>
  <c r="G6470" i="50"/>
  <c r="F6470" i="50"/>
  <c r="U6470" i="50"/>
  <c r="V6488" i="50"/>
  <c r="U6488" i="50"/>
  <c r="G6488" i="50"/>
  <c r="F6488" i="50"/>
  <c r="E6538" i="50"/>
  <c r="B6562" i="50"/>
  <c r="D6562" i="50" s="1"/>
  <c r="B6561" i="50"/>
  <c r="D6561" i="50" s="1"/>
  <c r="E6537" i="50"/>
  <c r="B6541" i="50"/>
  <c r="D6541" i="50" s="1"/>
  <c r="E6517" i="50"/>
  <c r="B6577" i="50"/>
  <c r="D6577" i="50" s="1"/>
  <c r="E6553" i="50"/>
  <c r="B6570" i="50"/>
  <c r="D6570" i="50" s="1"/>
  <c r="E6546" i="50"/>
  <c r="U6546" i="50" s="1"/>
  <c r="B6525" i="50"/>
  <c r="D6525" i="50" s="1"/>
  <c r="E6501" i="50"/>
  <c r="B6539" i="50"/>
  <c r="D6539" i="50" s="1"/>
  <c r="E6515" i="50"/>
  <c r="V6515" i="50" s="1"/>
  <c r="B6523" i="50"/>
  <c r="D6523" i="50" s="1"/>
  <c r="E6499" i="50"/>
  <c r="V6499" i="50" s="1"/>
  <c r="B6555" i="50"/>
  <c r="D6555" i="50" s="1"/>
  <c r="E6531" i="50"/>
  <c r="B6509" i="50"/>
  <c r="D6509" i="50" s="1"/>
  <c r="E6485" i="50"/>
  <c r="E6496" i="50"/>
  <c r="B6520" i="50"/>
  <c r="D6520" i="50" s="1"/>
  <c r="B6526" i="50"/>
  <c r="D6526" i="50" s="1"/>
  <c r="E6502" i="50"/>
  <c r="E6528" i="50"/>
  <c r="U6528" i="50" s="1"/>
  <c r="B6552" i="50"/>
  <c r="D6552" i="50" s="1"/>
  <c r="B6518" i="50"/>
  <c r="D6518" i="50" s="1"/>
  <c r="E6494" i="50"/>
  <c r="B6551" i="50"/>
  <c r="D6551" i="50" s="1"/>
  <c r="E6527" i="50"/>
  <c r="E6512" i="50"/>
  <c r="U6512" i="50" s="1"/>
  <c r="B6536" i="50"/>
  <c r="D6536" i="50" s="1"/>
  <c r="E6519" i="50"/>
  <c r="B6543" i="50"/>
  <c r="D6543" i="50" s="1"/>
  <c r="B6534" i="50"/>
  <c r="D6534" i="50" s="1"/>
  <c r="E6510" i="50"/>
  <c r="B6521" i="50"/>
  <c r="D6521" i="50" s="1"/>
  <c r="E6497" i="50"/>
  <c r="B6578" i="50"/>
  <c r="D6578" i="50" s="1"/>
  <c r="E6554" i="50"/>
  <c r="U6554" i="50" s="1"/>
  <c r="E6500" i="50"/>
  <c r="B6524" i="50"/>
  <c r="D6524" i="50" s="1"/>
  <c r="B6532" i="50"/>
  <c r="D6532" i="50" s="1"/>
  <c r="E6508" i="50"/>
  <c r="V6496" i="50" l="1"/>
  <c r="F6496" i="50"/>
  <c r="G6496" i="50"/>
  <c r="U6510" i="50"/>
  <c r="F6510" i="50"/>
  <c r="V6510" i="50"/>
  <c r="G6510" i="50"/>
  <c r="V6537" i="50"/>
  <c r="U6537" i="50"/>
  <c r="G6537" i="50"/>
  <c r="F6537" i="50"/>
  <c r="G6531" i="50"/>
  <c r="F6531" i="50"/>
  <c r="U6531" i="50"/>
  <c r="V6531" i="50"/>
  <c r="V6538" i="50"/>
  <c r="G6538" i="50"/>
  <c r="F6538" i="50"/>
  <c r="D6516" i="50"/>
  <c r="E6516" i="50"/>
  <c r="B6540" i="50"/>
  <c r="G6499" i="50"/>
  <c r="F6499" i="50"/>
  <c r="U6499" i="50"/>
  <c r="V6492" i="50"/>
  <c r="U6492" i="50"/>
  <c r="G6492" i="50"/>
  <c r="F6492" i="50"/>
  <c r="U6519" i="50"/>
  <c r="F6519" i="50"/>
  <c r="G6519" i="50"/>
  <c r="V6512" i="50"/>
  <c r="F6512" i="50"/>
  <c r="G6512" i="50"/>
  <c r="V6527" i="50"/>
  <c r="F6527" i="50"/>
  <c r="U6527" i="50"/>
  <c r="G6527" i="50"/>
  <c r="G6515" i="50"/>
  <c r="F6515" i="50"/>
  <c r="U6515" i="50"/>
  <c r="V6519" i="50"/>
  <c r="V6485" i="50"/>
  <c r="G6485" i="50"/>
  <c r="U6485" i="50"/>
  <c r="F6485" i="50"/>
  <c r="G6494" i="50"/>
  <c r="U6494" i="50"/>
  <c r="F6494" i="50"/>
  <c r="V6494" i="50"/>
  <c r="V6501" i="50"/>
  <c r="U6501" i="50"/>
  <c r="F6501" i="50"/>
  <c r="G6501" i="50"/>
  <c r="U6496" i="50"/>
  <c r="G6517" i="50"/>
  <c r="V6517" i="50"/>
  <c r="U6517" i="50"/>
  <c r="F6517" i="50"/>
  <c r="V6554" i="50"/>
  <c r="G6554" i="50"/>
  <c r="F6554" i="50"/>
  <c r="V6546" i="50"/>
  <c r="F6546" i="50"/>
  <c r="G6546" i="50"/>
  <c r="G6500" i="50"/>
  <c r="U6500" i="50"/>
  <c r="F6500" i="50"/>
  <c r="V6500" i="50"/>
  <c r="V6528" i="50"/>
  <c r="F6528" i="50"/>
  <c r="G6528" i="50"/>
  <c r="D6511" i="50"/>
  <c r="B6535" i="50"/>
  <c r="E6511" i="50"/>
  <c r="V6497" i="50"/>
  <c r="U6497" i="50"/>
  <c r="G6497" i="50"/>
  <c r="F6497" i="50"/>
  <c r="G6502" i="50"/>
  <c r="F6502" i="50"/>
  <c r="V6502" i="50"/>
  <c r="U6502" i="50"/>
  <c r="V6553" i="50"/>
  <c r="U6553" i="50"/>
  <c r="G6553" i="50"/>
  <c r="F6553" i="50"/>
  <c r="U6538" i="50"/>
  <c r="U6487" i="50"/>
  <c r="F6487" i="50"/>
  <c r="G6487" i="50"/>
  <c r="V6508" i="50"/>
  <c r="U6508" i="50"/>
  <c r="G6508" i="50"/>
  <c r="F6508" i="50"/>
  <c r="V6487" i="50"/>
  <c r="B6567" i="50"/>
  <c r="D6567" i="50" s="1"/>
  <c r="E6543" i="50"/>
  <c r="E6523" i="50"/>
  <c r="B6547" i="50"/>
  <c r="D6547" i="50" s="1"/>
  <c r="E6577" i="50"/>
  <c r="B6601" i="50"/>
  <c r="D6601" i="50" s="1"/>
  <c r="B6542" i="50"/>
  <c r="D6542" i="50" s="1"/>
  <c r="E6518" i="50"/>
  <c r="B6533" i="50"/>
  <c r="D6533" i="50" s="1"/>
  <c r="E6509" i="50"/>
  <c r="V6509" i="50" s="1"/>
  <c r="E6561" i="50"/>
  <c r="B6585" i="50"/>
  <c r="D6585" i="50" s="1"/>
  <c r="B6558" i="50"/>
  <c r="D6558" i="50" s="1"/>
  <c r="E6534" i="50"/>
  <c r="E6539" i="50"/>
  <c r="F6539" i="50" s="1"/>
  <c r="B6563" i="50"/>
  <c r="D6563" i="50" s="1"/>
  <c r="B6548" i="50"/>
  <c r="D6548" i="50" s="1"/>
  <c r="E6524" i="50"/>
  <c r="B6560" i="50"/>
  <c r="D6560" i="50" s="1"/>
  <c r="E6536" i="50"/>
  <c r="B6549" i="50"/>
  <c r="D6549" i="50" s="1"/>
  <c r="E6525" i="50"/>
  <c r="V6525" i="50" s="1"/>
  <c r="B6576" i="50"/>
  <c r="D6576" i="50" s="1"/>
  <c r="E6552" i="50"/>
  <c r="B6565" i="50"/>
  <c r="D6565" i="50" s="1"/>
  <c r="E6541" i="50"/>
  <c r="B6586" i="50"/>
  <c r="D6586" i="50" s="1"/>
  <c r="E6562" i="50"/>
  <c r="B6575" i="50"/>
  <c r="D6575" i="50" s="1"/>
  <c r="E6551" i="50"/>
  <c r="V6551" i="50" s="1"/>
  <c r="E6532" i="50"/>
  <c r="B6556" i="50"/>
  <c r="D6556" i="50" s="1"/>
  <c r="E6521" i="50"/>
  <c r="B6545" i="50"/>
  <c r="D6545" i="50" s="1"/>
  <c r="B6550" i="50"/>
  <c r="D6550" i="50" s="1"/>
  <c r="E6526" i="50"/>
  <c r="U6526" i="50" s="1"/>
  <c r="B6602" i="50"/>
  <c r="D6602" i="50" s="1"/>
  <c r="E6578" i="50"/>
  <c r="U6578" i="50" s="1"/>
  <c r="B6544" i="50"/>
  <c r="D6544" i="50" s="1"/>
  <c r="E6520" i="50"/>
  <c r="E6555" i="50"/>
  <c r="F6555" i="50" s="1"/>
  <c r="B6579" i="50"/>
  <c r="D6579" i="50" s="1"/>
  <c r="E6570" i="50"/>
  <c r="B6594" i="50"/>
  <c r="D6594" i="50" s="1"/>
  <c r="V6524" i="50" l="1"/>
  <c r="U6524" i="50"/>
  <c r="G6524" i="50"/>
  <c r="F6524" i="50"/>
  <c r="U6532" i="50"/>
  <c r="F6532" i="50"/>
  <c r="V6532" i="50"/>
  <c r="G6532" i="50"/>
  <c r="V6523" i="50"/>
  <c r="U6523" i="50"/>
  <c r="G6523" i="50"/>
  <c r="V6577" i="50"/>
  <c r="U6577" i="50"/>
  <c r="G6577" i="50"/>
  <c r="F6577" i="50"/>
  <c r="U6543" i="50"/>
  <c r="V6543" i="50"/>
  <c r="G6543" i="50"/>
  <c r="F6543" i="50"/>
  <c r="V6539" i="50"/>
  <c r="U6539" i="50"/>
  <c r="G6539" i="50"/>
  <c r="U6541" i="50"/>
  <c r="F6541" i="50"/>
  <c r="G6541" i="50"/>
  <c r="V6534" i="50"/>
  <c r="U6534" i="50"/>
  <c r="G6534" i="50"/>
  <c r="F6534" i="50"/>
  <c r="D6540" i="50"/>
  <c r="E6540" i="50"/>
  <c r="B6564" i="50"/>
  <c r="V6562" i="50"/>
  <c r="F6562" i="50"/>
  <c r="G6562" i="50"/>
  <c r="G6516" i="50"/>
  <c r="U6516" i="50"/>
  <c r="F6516" i="50"/>
  <c r="V6516" i="50"/>
  <c r="V6520" i="50"/>
  <c r="U6520" i="50"/>
  <c r="G6520" i="50"/>
  <c r="F6520" i="50"/>
  <c r="V6552" i="50"/>
  <c r="U6552" i="50"/>
  <c r="G6552" i="50"/>
  <c r="F6552" i="50"/>
  <c r="F6523" i="50"/>
  <c r="U6551" i="50"/>
  <c r="F6551" i="50"/>
  <c r="G6551" i="50"/>
  <c r="U6525" i="50"/>
  <c r="F6525" i="50"/>
  <c r="G6525" i="50"/>
  <c r="U6511" i="50"/>
  <c r="F6511" i="50"/>
  <c r="V6511" i="50"/>
  <c r="G6511" i="50"/>
  <c r="U6521" i="50"/>
  <c r="G6521" i="50"/>
  <c r="F6521" i="50"/>
  <c r="V6521" i="50"/>
  <c r="U6509" i="50"/>
  <c r="F6509" i="50"/>
  <c r="G6509" i="50"/>
  <c r="D6535" i="50"/>
  <c r="E6535" i="50"/>
  <c r="B6559" i="50"/>
  <c r="V6541" i="50"/>
  <c r="F6570" i="50"/>
  <c r="V6570" i="50"/>
  <c r="G6570" i="50"/>
  <c r="F6526" i="50"/>
  <c r="V6526" i="50"/>
  <c r="G6526" i="50"/>
  <c r="V6536" i="50"/>
  <c r="U6536" i="50"/>
  <c r="G6536" i="50"/>
  <c r="F6536" i="50"/>
  <c r="V6518" i="50"/>
  <c r="U6518" i="50"/>
  <c r="G6518" i="50"/>
  <c r="F6518" i="50"/>
  <c r="V6561" i="50"/>
  <c r="U6561" i="50"/>
  <c r="G6561" i="50"/>
  <c r="F6561" i="50"/>
  <c r="U6570" i="50"/>
  <c r="V6555" i="50"/>
  <c r="U6555" i="50"/>
  <c r="G6555" i="50"/>
  <c r="V6578" i="50"/>
  <c r="F6578" i="50"/>
  <c r="G6578" i="50"/>
  <c r="U6562" i="50"/>
  <c r="B6557" i="50"/>
  <c r="D6557" i="50" s="1"/>
  <c r="E6533" i="50"/>
  <c r="B6591" i="50"/>
  <c r="D6591" i="50" s="1"/>
  <c r="E6567" i="50"/>
  <c r="B6587" i="50"/>
  <c r="D6587" i="50" s="1"/>
  <c r="E6563" i="50"/>
  <c r="B6572" i="50"/>
  <c r="D6572" i="50" s="1"/>
  <c r="E6548" i="50"/>
  <c r="E6558" i="50"/>
  <c r="B6582" i="50"/>
  <c r="D6582" i="50" s="1"/>
  <c r="E6549" i="50"/>
  <c r="B6573" i="50"/>
  <c r="D6573" i="50" s="1"/>
  <c r="B6566" i="50"/>
  <c r="D6566" i="50" s="1"/>
  <c r="E6542" i="50"/>
  <c r="B6568" i="50"/>
  <c r="D6568" i="50" s="1"/>
  <c r="E6544" i="50"/>
  <c r="U6544" i="50" s="1"/>
  <c r="B6580" i="50"/>
  <c r="D6580" i="50" s="1"/>
  <c r="E6556" i="50"/>
  <c r="E6602" i="50"/>
  <c r="B6626" i="50"/>
  <c r="D6626" i="50" s="1"/>
  <c r="E6586" i="50"/>
  <c r="B6610" i="50"/>
  <c r="D6610" i="50" s="1"/>
  <c r="B6584" i="50"/>
  <c r="D6584" i="50" s="1"/>
  <c r="E6560" i="50"/>
  <c r="U6560" i="50" s="1"/>
  <c r="B6609" i="50"/>
  <c r="D6609" i="50" s="1"/>
  <c r="E6585" i="50"/>
  <c r="E6579" i="50"/>
  <c r="V6579" i="50" s="1"/>
  <c r="B6603" i="50"/>
  <c r="D6603" i="50" s="1"/>
  <c r="B6599" i="50"/>
  <c r="D6599" i="50" s="1"/>
  <c r="E6575" i="50"/>
  <c r="B6625" i="50"/>
  <c r="D6625" i="50" s="1"/>
  <c r="E6601" i="50"/>
  <c r="B6618" i="50"/>
  <c r="D6618" i="50" s="1"/>
  <c r="E6594" i="50"/>
  <c r="V6594" i="50" s="1"/>
  <c r="B6589" i="50"/>
  <c r="D6589" i="50" s="1"/>
  <c r="E6565" i="50"/>
  <c r="B6600" i="50"/>
  <c r="D6600" i="50" s="1"/>
  <c r="E6576" i="50"/>
  <c r="U6576" i="50" s="1"/>
  <c r="B6574" i="50"/>
  <c r="D6574" i="50" s="1"/>
  <c r="E6550" i="50"/>
  <c r="B6571" i="50"/>
  <c r="D6571" i="50" s="1"/>
  <c r="E6547" i="50"/>
  <c r="V6547" i="50" s="1"/>
  <c r="E6545" i="50"/>
  <c r="B6569" i="50"/>
  <c r="D6569" i="50" s="1"/>
  <c r="V6586" i="50" l="1"/>
  <c r="G6586" i="50"/>
  <c r="F6586" i="50"/>
  <c r="U6567" i="50"/>
  <c r="F6567" i="50"/>
  <c r="G6567" i="50"/>
  <c r="U6586" i="50"/>
  <c r="V6544" i="50"/>
  <c r="F6544" i="50"/>
  <c r="G6544" i="50"/>
  <c r="D6559" i="50"/>
  <c r="E6559" i="50"/>
  <c r="B6583" i="50"/>
  <c r="G6602" i="50"/>
  <c r="F6602" i="50"/>
  <c r="U6602" i="50"/>
  <c r="V6602" i="50"/>
  <c r="U6535" i="50"/>
  <c r="F6535" i="50"/>
  <c r="G6535" i="50"/>
  <c r="V6556" i="50"/>
  <c r="U6556" i="50"/>
  <c r="G6556" i="50"/>
  <c r="F6556" i="50"/>
  <c r="F6542" i="50"/>
  <c r="V6542" i="50"/>
  <c r="G6542" i="50"/>
  <c r="U6542" i="50"/>
  <c r="V6535" i="50"/>
  <c r="G6563" i="50"/>
  <c r="F6563" i="50"/>
  <c r="U6563" i="50"/>
  <c r="U6601" i="50"/>
  <c r="V6601" i="50"/>
  <c r="F6601" i="50"/>
  <c r="G6601" i="50"/>
  <c r="V6563" i="50"/>
  <c r="G6579" i="50"/>
  <c r="F6579" i="50"/>
  <c r="U6579" i="50"/>
  <c r="G6549" i="50"/>
  <c r="V6549" i="50"/>
  <c r="U6549" i="50"/>
  <c r="F6549" i="50"/>
  <c r="V6567" i="50"/>
  <c r="V6533" i="50"/>
  <c r="U6533" i="50"/>
  <c r="F6533" i="50"/>
  <c r="G6533" i="50"/>
  <c r="V6545" i="50"/>
  <c r="U6545" i="50"/>
  <c r="G6545" i="50"/>
  <c r="F6545" i="50"/>
  <c r="V6550" i="50"/>
  <c r="U6550" i="50"/>
  <c r="G6550" i="50"/>
  <c r="F6550" i="50"/>
  <c r="V6585" i="50"/>
  <c r="U6585" i="50"/>
  <c r="G6585" i="50"/>
  <c r="F6585" i="50"/>
  <c r="F6575" i="50"/>
  <c r="U6575" i="50"/>
  <c r="V6575" i="50"/>
  <c r="G6575" i="50"/>
  <c r="U6558" i="50"/>
  <c r="F6558" i="50"/>
  <c r="V6558" i="50"/>
  <c r="G6558" i="50"/>
  <c r="D6564" i="50"/>
  <c r="E6564" i="50"/>
  <c r="B6588" i="50"/>
  <c r="V6565" i="50"/>
  <c r="U6565" i="50"/>
  <c r="F6565" i="50"/>
  <c r="G6565" i="50"/>
  <c r="U6594" i="50"/>
  <c r="G6594" i="50"/>
  <c r="F6594" i="50"/>
  <c r="V6576" i="50"/>
  <c r="F6576" i="50"/>
  <c r="G6576" i="50"/>
  <c r="V6560" i="50"/>
  <c r="F6560" i="50"/>
  <c r="G6560" i="50"/>
  <c r="U6548" i="50"/>
  <c r="F6548" i="50"/>
  <c r="V6548" i="50"/>
  <c r="G6548" i="50"/>
  <c r="V6540" i="50"/>
  <c r="U6540" i="50"/>
  <c r="G6540" i="50"/>
  <c r="F6540" i="50"/>
  <c r="G6547" i="50"/>
  <c r="F6547" i="50"/>
  <c r="U6547" i="50"/>
  <c r="E6618" i="50"/>
  <c r="B6642" i="50"/>
  <c r="D6642" i="50" s="1"/>
  <c r="B6611" i="50"/>
  <c r="D6611" i="50" s="1"/>
  <c r="E6587" i="50"/>
  <c r="B6623" i="50"/>
  <c r="D6623" i="50" s="1"/>
  <c r="E6599" i="50"/>
  <c r="B6606" i="50"/>
  <c r="D6606" i="50" s="1"/>
  <c r="E6582" i="50"/>
  <c r="B6627" i="50"/>
  <c r="D6627" i="50" s="1"/>
  <c r="E6603" i="50"/>
  <c r="B6608" i="50"/>
  <c r="D6608" i="50" s="1"/>
  <c r="E6584" i="50"/>
  <c r="B6581" i="50"/>
  <c r="D6581" i="50" s="1"/>
  <c r="E6557" i="50"/>
  <c r="V6557" i="50" s="1"/>
  <c r="E6625" i="50"/>
  <c r="B6649" i="50"/>
  <c r="D6649" i="50" s="1"/>
  <c r="B6634" i="50"/>
  <c r="D6634" i="50" s="1"/>
  <c r="E6610" i="50"/>
  <c r="B6615" i="50"/>
  <c r="D6615" i="50" s="1"/>
  <c r="E6591" i="50"/>
  <c r="B6592" i="50"/>
  <c r="D6592" i="50" s="1"/>
  <c r="E6568" i="50"/>
  <c r="E6574" i="50"/>
  <c r="B6598" i="50"/>
  <c r="D6598" i="50" s="1"/>
  <c r="B6590" i="50"/>
  <c r="D6590" i="50" s="1"/>
  <c r="E6566" i="50"/>
  <c r="B6597" i="50"/>
  <c r="D6597" i="50" s="1"/>
  <c r="E6573" i="50"/>
  <c r="B6624" i="50"/>
  <c r="D6624" i="50" s="1"/>
  <c r="E6600" i="50"/>
  <c r="F6600" i="50" s="1"/>
  <c r="B6593" i="50"/>
  <c r="D6593" i="50" s="1"/>
  <c r="E6569" i="50"/>
  <c r="E6609" i="50"/>
  <c r="B6633" i="50"/>
  <c r="D6633" i="50" s="1"/>
  <c r="B6604" i="50"/>
  <c r="D6604" i="50" s="1"/>
  <c r="E6580" i="50"/>
  <c r="B6613" i="50"/>
  <c r="D6613" i="50" s="1"/>
  <c r="E6589" i="50"/>
  <c r="B6595" i="50"/>
  <c r="D6595" i="50" s="1"/>
  <c r="E6571" i="50"/>
  <c r="F6571" i="50" s="1"/>
  <c r="B6650" i="50"/>
  <c r="D6650" i="50" s="1"/>
  <c r="E6626" i="50"/>
  <c r="E6572" i="50"/>
  <c r="B6596" i="50"/>
  <c r="D6596" i="50" s="1"/>
  <c r="V6582" i="50" l="1"/>
  <c r="U6582" i="50"/>
  <c r="G6582" i="50"/>
  <c r="F6582" i="50"/>
  <c r="U6574" i="50"/>
  <c r="F6574" i="50"/>
  <c r="V6574" i="50"/>
  <c r="G6574" i="50"/>
  <c r="D6583" i="50"/>
  <c r="E6583" i="50"/>
  <c r="B6607" i="50"/>
  <c r="F6599" i="50"/>
  <c r="V6599" i="50"/>
  <c r="U6599" i="50"/>
  <c r="G6599" i="50"/>
  <c r="D6588" i="50"/>
  <c r="E6588" i="50"/>
  <c r="B6612" i="50"/>
  <c r="V6559" i="50"/>
  <c r="G6559" i="50"/>
  <c r="F6559" i="50"/>
  <c r="U6559" i="50"/>
  <c r="U6564" i="50"/>
  <c r="F6564" i="50"/>
  <c r="V6564" i="50"/>
  <c r="G6564" i="50"/>
  <c r="V6591" i="50"/>
  <c r="F6591" i="50"/>
  <c r="G6591" i="50"/>
  <c r="V6587" i="50"/>
  <c r="U6587" i="50"/>
  <c r="G6587" i="50"/>
  <c r="V6568" i="50"/>
  <c r="U6568" i="50"/>
  <c r="G6568" i="50"/>
  <c r="F6568" i="50"/>
  <c r="V6618" i="50"/>
  <c r="U6618" i="50"/>
  <c r="G6618" i="50"/>
  <c r="F6618" i="50"/>
  <c r="U6591" i="50"/>
  <c r="U6580" i="50"/>
  <c r="F6580" i="50"/>
  <c r="V6580" i="50"/>
  <c r="G6580" i="50"/>
  <c r="U6573" i="50"/>
  <c r="G6573" i="50"/>
  <c r="F6573" i="50"/>
  <c r="U6609" i="50"/>
  <c r="G6609" i="50"/>
  <c r="F6609" i="50"/>
  <c r="V6572" i="50"/>
  <c r="U6572" i="50"/>
  <c r="G6572" i="50"/>
  <c r="F6572" i="50"/>
  <c r="G6625" i="50"/>
  <c r="F6625" i="50"/>
  <c r="V6625" i="50"/>
  <c r="U6625" i="50"/>
  <c r="V6609" i="50"/>
  <c r="V6573" i="50"/>
  <c r="G6626" i="50"/>
  <c r="F6626" i="50"/>
  <c r="U6626" i="50"/>
  <c r="U6557" i="50"/>
  <c r="G6557" i="50"/>
  <c r="F6557" i="50"/>
  <c r="U6600" i="50"/>
  <c r="G6600" i="50"/>
  <c r="V6600" i="50"/>
  <c r="V6571" i="50"/>
  <c r="U6571" i="50"/>
  <c r="G6571" i="50"/>
  <c r="V6584" i="50"/>
  <c r="U6584" i="50"/>
  <c r="G6584" i="50"/>
  <c r="F6584" i="50"/>
  <c r="V6626" i="50"/>
  <c r="F6587" i="50"/>
  <c r="V6569" i="50"/>
  <c r="U6569" i="50"/>
  <c r="G6569" i="50"/>
  <c r="F6569" i="50"/>
  <c r="V6566" i="50"/>
  <c r="U6566" i="50"/>
  <c r="G6566" i="50"/>
  <c r="F6566" i="50"/>
  <c r="G6589" i="50"/>
  <c r="F6589" i="50"/>
  <c r="V6589" i="50"/>
  <c r="U6589" i="50"/>
  <c r="G6603" i="50"/>
  <c r="V6603" i="50"/>
  <c r="U6603" i="50"/>
  <c r="F6603" i="50"/>
  <c r="V6610" i="50"/>
  <c r="U6610" i="50"/>
  <c r="G6610" i="50"/>
  <c r="F6610" i="50"/>
  <c r="E6597" i="50"/>
  <c r="B6621" i="50"/>
  <c r="D6621" i="50" s="1"/>
  <c r="E6634" i="50"/>
  <c r="V6634" i="50" s="1"/>
  <c r="B6658" i="50"/>
  <c r="D6658" i="50" s="1"/>
  <c r="E6627" i="50"/>
  <c r="G6627" i="50" s="1"/>
  <c r="B6651" i="50"/>
  <c r="D6651" i="50" s="1"/>
  <c r="E6595" i="50"/>
  <c r="B6619" i="50"/>
  <c r="D6619" i="50" s="1"/>
  <c r="E6593" i="50"/>
  <c r="B6617" i="50"/>
  <c r="D6617" i="50" s="1"/>
  <c r="B6673" i="50"/>
  <c r="D6673" i="50" s="1"/>
  <c r="E6649" i="50"/>
  <c r="E6611" i="50"/>
  <c r="B6635" i="50"/>
  <c r="D6635" i="50" s="1"/>
  <c r="B6622" i="50"/>
  <c r="D6622" i="50" s="1"/>
  <c r="E6598" i="50"/>
  <c r="E6613" i="50"/>
  <c r="B6637" i="50"/>
  <c r="D6637" i="50" s="1"/>
  <c r="B6648" i="50"/>
  <c r="D6648" i="50" s="1"/>
  <c r="E6624" i="50"/>
  <c r="F6624" i="50" s="1"/>
  <c r="E6650" i="50"/>
  <c r="B6674" i="50"/>
  <c r="D6674" i="50" s="1"/>
  <c r="B6632" i="50"/>
  <c r="D6632" i="50" s="1"/>
  <c r="E6608" i="50"/>
  <c r="B6616" i="50"/>
  <c r="D6616" i="50" s="1"/>
  <c r="E6592" i="50"/>
  <c r="F6592" i="50" s="1"/>
  <c r="E6581" i="50"/>
  <c r="B6605" i="50"/>
  <c r="D6605" i="50" s="1"/>
  <c r="B6647" i="50"/>
  <c r="D6647" i="50" s="1"/>
  <c r="E6623" i="50"/>
  <c r="U6623" i="50" s="1"/>
  <c r="E6604" i="50"/>
  <c r="G6604" i="50" s="1"/>
  <c r="B6628" i="50"/>
  <c r="D6628" i="50" s="1"/>
  <c r="E6606" i="50"/>
  <c r="B6630" i="50"/>
  <c r="D6630" i="50" s="1"/>
  <c r="B6657" i="50"/>
  <c r="D6657" i="50" s="1"/>
  <c r="E6633" i="50"/>
  <c r="B6620" i="50"/>
  <c r="D6620" i="50" s="1"/>
  <c r="E6596" i="50"/>
  <c r="B6639" i="50"/>
  <c r="D6639" i="50" s="1"/>
  <c r="E6615" i="50"/>
  <c r="E6590" i="50"/>
  <c r="B6614" i="50"/>
  <c r="D6614" i="50" s="1"/>
  <c r="B6666" i="50"/>
  <c r="D6666" i="50" s="1"/>
  <c r="E6642" i="50"/>
  <c r="V6598" i="50" l="1"/>
  <c r="G6598" i="50"/>
  <c r="F6598" i="50"/>
  <c r="U6642" i="50"/>
  <c r="F6642" i="50"/>
  <c r="G6642" i="50"/>
  <c r="G6581" i="50"/>
  <c r="V6581" i="50"/>
  <c r="U6581" i="50"/>
  <c r="F6581" i="50"/>
  <c r="V6649" i="50"/>
  <c r="F6649" i="50"/>
  <c r="G6649" i="50"/>
  <c r="U6649" i="50"/>
  <c r="U6598" i="50"/>
  <c r="V6608" i="50"/>
  <c r="G6608" i="50"/>
  <c r="U6608" i="50"/>
  <c r="D6607" i="50"/>
  <c r="B6631" i="50"/>
  <c r="E6607" i="50"/>
  <c r="U6583" i="50"/>
  <c r="F6583" i="50"/>
  <c r="G6583" i="50"/>
  <c r="U6593" i="50"/>
  <c r="F6593" i="50"/>
  <c r="G6593" i="50"/>
  <c r="V6583" i="50"/>
  <c r="G6596" i="50"/>
  <c r="F6596" i="50"/>
  <c r="U6596" i="50"/>
  <c r="U6615" i="50"/>
  <c r="F6615" i="50"/>
  <c r="G6615" i="50"/>
  <c r="V6595" i="50"/>
  <c r="G6595" i="50"/>
  <c r="U6595" i="50"/>
  <c r="F6595" i="50"/>
  <c r="V6642" i="50"/>
  <c r="F6611" i="50"/>
  <c r="U6611" i="50"/>
  <c r="V6611" i="50"/>
  <c r="V6633" i="50"/>
  <c r="F6633" i="50"/>
  <c r="G6633" i="50"/>
  <c r="U6633" i="50"/>
  <c r="V6606" i="50"/>
  <c r="U6606" i="50"/>
  <c r="G6606" i="50"/>
  <c r="F6606" i="50"/>
  <c r="V6627" i="50"/>
  <c r="F6627" i="50"/>
  <c r="U6627" i="50"/>
  <c r="V6593" i="50"/>
  <c r="U6650" i="50"/>
  <c r="G6650" i="50"/>
  <c r="F6650" i="50"/>
  <c r="V6650" i="50"/>
  <c r="G6611" i="50"/>
  <c r="V6590" i="50"/>
  <c r="U6590" i="50"/>
  <c r="F6590" i="50"/>
  <c r="G6590" i="50"/>
  <c r="U6604" i="50"/>
  <c r="F6604" i="50"/>
  <c r="V6604" i="50"/>
  <c r="V6613" i="50"/>
  <c r="U6613" i="50"/>
  <c r="G6613" i="50"/>
  <c r="F6613" i="50"/>
  <c r="U6634" i="50"/>
  <c r="F6634" i="50"/>
  <c r="G6634" i="50"/>
  <c r="V6596" i="50"/>
  <c r="V6615" i="50"/>
  <c r="V6624" i="50"/>
  <c r="U6624" i="50"/>
  <c r="G6624" i="50"/>
  <c r="V6623" i="50"/>
  <c r="F6623" i="50"/>
  <c r="G6623" i="50"/>
  <c r="D6612" i="50"/>
  <c r="B6636" i="50"/>
  <c r="E6612" i="50"/>
  <c r="U6592" i="50"/>
  <c r="G6592" i="50"/>
  <c r="V6592" i="50"/>
  <c r="V6597" i="50"/>
  <c r="U6597" i="50"/>
  <c r="G6597" i="50"/>
  <c r="F6597" i="50"/>
  <c r="F6608" i="50"/>
  <c r="V6588" i="50"/>
  <c r="U6588" i="50"/>
  <c r="G6588" i="50"/>
  <c r="F6588" i="50"/>
  <c r="B6698" i="50"/>
  <c r="D6698" i="50" s="1"/>
  <c r="E6674" i="50"/>
  <c r="E6666" i="50"/>
  <c r="B6690" i="50"/>
  <c r="D6690" i="50" s="1"/>
  <c r="B6652" i="50"/>
  <c r="D6652" i="50" s="1"/>
  <c r="E6628" i="50"/>
  <c r="F6628" i="50" s="1"/>
  <c r="E6622" i="50"/>
  <c r="U6622" i="50" s="1"/>
  <c r="B6646" i="50"/>
  <c r="D6646" i="50" s="1"/>
  <c r="B6659" i="50"/>
  <c r="D6659" i="50" s="1"/>
  <c r="E6635" i="50"/>
  <c r="B6675" i="50"/>
  <c r="D6675" i="50" s="1"/>
  <c r="E6651" i="50"/>
  <c r="B6656" i="50"/>
  <c r="D6656" i="50" s="1"/>
  <c r="E6632" i="50"/>
  <c r="B6645" i="50"/>
  <c r="D6645" i="50" s="1"/>
  <c r="E6621" i="50"/>
  <c r="B6682" i="50"/>
  <c r="D6682" i="50" s="1"/>
  <c r="E6658" i="50"/>
  <c r="B6671" i="50"/>
  <c r="D6671" i="50" s="1"/>
  <c r="E6647" i="50"/>
  <c r="B6629" i="50"/>
  <c r="D6629" i="50" s="1"/>
  <c r="E6605" i="50"/>
  <c r="E6673" i="50"/>
  <c r="V6673" i="50" s="1"/>
  <c r="B6697" i="50"/>
  <c r="D6697" i="50" s="1"/>
  <c r="B6672" i="50"/>
  <c r="D6672" i="50" s="1"/>
  <c r="E6648" i="50"/>
  <c r="B6641" i="50"/>
  <c r="D6641" i="50" s="1"/>
  <c r="E6617" i="50"/>
  <c r="E6657" i="50"/>
  <c r="V6657" i="50" s="1"/>
  <c r="B6681" i="50"/>
  <c r="D6681" i="50" s="1"/>
  <c r="B6661" i="50"/>
  <c r="D6661" i="50" s="1"/>
  <c r="E6637" i="50"/>
  <c r="B6663" i="50"/>
  <c r="D6663" i="50" s="1"/>
  <c r="E6639" i="50"/>
  <c r="B6643" i="50"/>
  <c r="D6643" i="50" s="1"/>
  <c r="E6619" i="50"/>
  <c r="G6619" i="50" s="1"/>
  <c r="B6640" i="50"/>
  <c r="D6640" i="50" s="1"/>
  <c r="E6616" i="50"/>
  <c r="B6638" i="50"/>
  <c r="D6638" i="50" s="1"/>
  <c r="E6614" i="50"/>
  <c r="U6614" i="50" s="1"/>
  <c r="E6620" i="50"/>
  <c r="B6644" i="50"/>
  <c r="D6644" i="50" s="1"/>
  <c r="B6654" i="50"/>
  <c r="D6654" i="50" s="1"/>
  <c r="E6630" i="50"/>
  <c r="V6666" i="50" l="1"/>
  <c r="G6666" i="50"/>
  <c r="U6666" i="50"/>
  <c r="U6674" i="50"/>
  <c r="F6674" i="50"/>
  <c r="V6674" i="50"/>
  <c r="G6674" i="50"/>
  <c r="U6612" i="50"/>
  <c r="F6612" i="50"/>
  <c r="G6612" i="50"/>
  <c r="F6666" i="50"/>
  <c r="D6636" i="50"/>
  <c r="B6660" i="50"/>
  <c r="E6636" i="50"/>
  <c r="G6637" i="50"/>
  <c r="F6637" i="50"/>
  <c r="V6637" i="50"/>
  <c r="U6637" i="50"/>
  <c r="V6612" i="50"/>
  <c r="G6621" i="50"/>
  <c r="F6621" i="50"/>
  <c r="V6621" i="50"/>
  <c r="U6621" i="50"/>
  <c r="G6632" i="50"/>
  <c r="U6632" i="50"/>
  <c r="V6632" i="50"/>
  <c r="G6607" i="50"/>
  <c r="F6607" i="50"/>
  <c r="V6607" i="50"/>
  <c r="V6620" i="50"/>
  <c r="G6620" i="50"/>
  <c r="F6620" i="50"/>
  <c r="U6620" i="50"/>
  <c r="D6631" i="50"/>
  <c r="B6655" i="50"/>
  <c r="E6631" i="50"/>
  <c r="V6648" i="50"/>
  <c r="U6648" i="50"/>
  <c r="G6648" i="50"/>
  <c r="F6648" i="50"/>
  <c r="V6651" i="50"/>
  <c r="G6651" i="50"/>
  <c r="U6651" i="50"/>
  <c r="F6651" i="50"/>
  <c r="U6607" i="50"/>
  <c r="F6658" i="50"/>
  <c r="V6658" i="50"/>
  <c r="U6658" i="50"/>
  <c r="G6658" i="50"/>
  <c r="V6639" i="50"/>
  <c r="G6639" i="50"/>
  <c r="F6639" i="50"/>
  <c r="V6614" i="50"/>
  <c r="G6614" i="50"/>
  <c r="F6614" i="50"/>
  <c r="V6635" i="50"/>
  <c r="F6635" i="50"/>
  <c r="U6635" i="50"/>
  <c r="F6632" i="50"/>
  <c r="G6635" i="50"/>
  <c r="F6673" i="50"/>
  <c r="G6673" i="50"/>
  <c r="U6673" i="50"/>
  <c r="F6657" i="50"/>
  <c r="G6657" i="50"/>
  <c r="U6657" i="50"/>
  <c r="V6616" i="50"/>
  <c r="F6616" i="50"/>
  <c r="G6616" i="50"/>
  <c r="U6616" i="50"/>
  <c r="G6605" i="50"/>
  <c r="F6605" i="50"/>
  <c r="V6605" i="50"/>
  <c r="U6605" i="50"/>
  <c r="V6630" i="50"/>
  <c r="G6630" i="50"/>
  <c r="F6630" i="50"/>
  <c r="G6622" i="50"/>
  <c r="F6622" i="50"/>
  <c r="V6622" i="50"/>
  <c r="U6630" i="50"/>
  <c r="G6617" i="50"/>
  <c r="V6617" i="50"/>
  <c r="F6617" i="50"/>
  <c r="U6617" i="50"/>
  <c r="U6619" i="50"/>
  <c r="F6619" i="50"/>
  <c r="V6619" i="50"/>
  <c r="V6647" i="50"/>
  <c r="U6647" i="50"/>
  <c r="G6647" i="50"/>
  <c r="F6647" i="50"/>
  <c r="V6628" i="50"/>
  <c r="U6628" i="50"/>
  <c r="G6628" i="50"/>
  <c r="U6639" i="50"/>
  <c r="B6721" i="50"/>
  <c r="D6721" i="50" s="1"/>
  <c r="E6697" i="50"/>
  <c r="E6645" i="50"/>
  <c r="B6669" i="50"/>
  <c r="D6669" i="50" s="1"/>
  <c r="B6687" i="50"/>
  <c r="D6687" i="50" s="1"/>
  <c r="E6663" i="50"/>
  <c r="B6695" i="50"/>
  <c r="D6695" i="50" s="1"/>
  <c r="E6671" i="50"/>
  <c r="U6671" i="50" s="1"/>
  <c r="E6643" i="50"/>
  <c r="G6643" i="50" s="1"/>
  <c r="B6667" i="50"/>
  <c r="D6667" i="50" s="1"/>
  <c r="E6641" i="50"/>
  <c r="B6665" i="50"/>
  <c r="D6665" i="50" s="1"/>
  <c r="B6680" i="50"/>
  <c r="D6680" i="50" s="1"/>
  <c r="E6656" i="50"/>
  <c r="E6661" i="50"/>
  <c r="B6685" i="50"/>
  <c r="D6685" i="50" s="1"/>
  <c r="B6696" i="50"/>
  <c r="D6696" i="50" s="1"/>
  <c r="E6672" i="50"/>
  <c r="E6682" i="50"/>
  <c r="B6706" i="50"/>
  <c r="D6706" i="50" s="1"/>
  <c r="B6670" i="50"/>
  <c r="D6670" i="50" s="1"/>
  <c r="E6646" i="50"/>
  <c r="E6629" i="50"/>
  <c r="B6653" i="50"/>
  <c r="D6653" i="50" s="1"/>
  <c r="B6668" i="50"/>
  <c r="D6668" i="50" s="1"/>
  <c r="E6644" i="50"/>
  <c r="E6638" i="50"/>
  <c r="B6662" i="50"/>
  <c r="D6662" i="50" s="1"/>
  <c r="E6698" i="50"/>
  <c r="F6698" i="50" s="1"/>
  <c r="B6722" i="50"/>
  <c r="D6722" i="50" s="1"/>
  <c r="E6654" i="50"/>
  <c r="B6678" i="50"/>
  <c r="D6678" i="50" s="1"/>
  <c r="B6705" i="50"/>
  <c r="D6705" i="50" s="1"/>
  <c r="E6681" i="50"/>
  <c r="E6675" i="50"/>
  <c r="B6699" i="50"/>
  <c r="D6699" i="50" s="1"/>
  <c r="E6652" i="50"/>
  <c r="B6676" i="50"/>
  <c r="D6676" i="50" s="1"/>
  <c r="B6664" i="50"/>
  <c r="D6664" i="50" s="1"/>
  <c r="E6640" i="50"/>
  <c r="F6640" i="50" s="1"/>
  <c r="B6714" i="50"/>
  <c r="D6714" i="50" s="1"/>
  <c r="E6690" i="50"/>
  <c r="E6659" i="50"/>
  <c r="B6683" i="50"/>
  <c r="D6683" i="50" s="1"/>
  <c r="G6636" i="50" l="1"/>
  <c r="G6697" i="50"/>
  <c r="V6697" i="50"/>
  <c r="U6697" i="50"/>
  <c r="F6697" i="50"/>
  <c r="V6698" i="50"/>
  <c r="U6698" i="50"/>
  <c r="G6698" i="50"/>
  <c r="V6661" i="50"/>
  <c r="U6661" i="50"/>
  <c r="G6661" i="50"/>
  <c r="F6661" i="50"/>
  <c r="G6656" i="50"/>
  <c r="U6656" i="50"/>
  <c r="V6656" i="50"/>
  <c r="F6656" i="50"/>
  <c r="V6638" i="50"/>
  <c r="F6638" i="50"/>
  <c r="G6638" i="50"/>
  <c r="F6644" i="50"/>
  <c r="G6644" i="50"/>
  <c r="U6644" i="50"/>
  <c r="V6654" i="50"/>
  <c r="G6654" i="50"/>
  <c r="F6654" i="50"/>
  <c r="G6641" i="50"/>
  <c r="F6641" i="50"/>
  <c r="U6641" i="50"/>
  <c r="U6659" i="50"/>
  <c r="V6659" i="50"/>
  <c r="G6659" i="50"/>
  <c r="V6631" i="50"/>
  <c r="U6631" i="50"/>
  <c r="G6631" i="50"/>
  <c r="F6631" i="50"/>
  <c r="V6629" i="50"/>
  <c r="U6629" i="50"/>
  <c r="G6629" i="50"/>
  <c r="F6629" i="50"/>
  <c r="V6643" i="50"/>
  <c r="U6643" i="50"/>
  <c r="F6643" i="50"/>
  <c r="F6659" i="50"/>
  <c r="D6655" i="50"/>
  <c r="E6655" i="50"/>
  <c r="B6679" i="50"/>
  <c r="V6646" i="50"/>
  <c r="G6646" i="50"/>
  <c r="F6646" i="50"/>
  <c r="V6671" i="50"/>
  <c r="G6671" i="50"/>
  <c r="F6671" i="50"/>
  <c r="U6654" i="50"/>
  <c r="U6652" i="50"/>
  <c r="F6652" i="50"/>
  <c r="V6652" i="50"/>
  <c r="V6641" i="50"/>
  <c r="V6663" i="50"/>
  <c r="U6663" i="50"/>
  <c r="G6663" i="50"/>
  <c r="F6663" i="50"/>
  <c r="G6652" i="50"/>
  <c r="D6660" i="50"/>
  <c r="B6684" i="50"/>
  <c r="E6660" i="50"/>
  <c r="U6675" i="50"/>
  <c r="F6675" i="50"/>
  <c r="G6675" i="50"/>
  <c r="V6675" i="50"/>
  <c r="V6682" i="50"/>
  <c r="U6682" i="50"/>
  <c r="G6682" i="50"/>
  <c r="U6646" i="50"/>
  <c r="U6638" i="50"/>
  <c r="U6690" i="50"/>
  <c r="G6690" i="50"/>
  <c r="F6690" i="50"/>
  <c r="V6690" i="50"/>
  <c r="G6681" i="50"/>
  <c r="U6681" i="50"/>
  <c r="F6681" i="50"/>
  <c r="V6681" i="50"/>
  <c r="V6672" i="50"/>
  <c r="U6672" i="50"/>
  <c r="G6672" i="50"/>
  <c r="F6672" i="50"/>
  <c r="V6644" i="50"/>
  <c r="G6640" i="50"/>
  <c r="U6640" i="50"/>
  <c r="V6640" i="50"/>
  <c r="V6645" i="50"/>
  <c r="U6645" i="50"/>
  <c r="G6645" i="50"/>
  <c r="F6645" i="50"/>
  <c r="F6636" i="50"/>
  <c r="U6636" i="50"/>
  <c r="V6636" i="50"/>
  <c r="F6682" i="50"/>
  <c r="B6746" i="50"/>
  <c r="D6746" i="50" s="1"/>
  <c r="E6722" i="50"/>
  <c r="B6720" i="50"/>
  <c r="D6720" i="50" s="1"/>
  <c r="E6696" i="50"/>
  <c r="B6693" i="50"/>
  <c r="D6693" i="50" s="1"/>
  <c r="E6669" i="50"/>
  <c r="B6704" i="50"/>
  <c r="D6704" i="50" s="1"/>
  <c r="E6680" i="50"/>
  <c r="B6689" i="50"/>
  <c r="D6689" i="50" s="1"/>
  <c r="E6665" i="50"/>
  <c r="B6719" i="50"/>
  <c r="D6719" i="50" s="1"/>
  <c r="E6695" i="50"/>
  <c r="B6723" i="50"/>
  <c r="D6723" i="50" s="1"/>
  <c r="E6699" i="50"/>
  <c r="B6686" i="50"/>
  <c r="D6686" i="50" s="1"/>
  <c r="E6662" i="50"/>
  <c r="E6714" i="50"/>
  <c r="B6738" i="50"/>
  <c r="D6738" i="50" s="1"/>
  <c r="B6691" i="50"/>
  <c r="D6691" i="50" s="1"/>
  <c r="E6667" i="50"/>
  <c r="E6670" i="50"/>
  <c r="U6670" i="50" s="1"/>
  <c r="B6694" i="50"/>
  <c r="D6694" i="50" s="1"/>
  <c r="B6688" i="50"/>
  <c r="D6688" i="50" s="1"/>
  <c r="E6664" i="50"/>
  <c r="B6730" i="50"/>
  <c r="D6730" i="50" s="1"/>
  <c r="E6706" i="50"/>
  <c r="B6700" i="50"/>
  <c r="D6700" i="50" s="1"/>
  <c r="E6676" i="50"/>
  <c r="E6705" i="50"/>
  <c r="B6729" i="50"/>
  <c r="D6729" i="50" s="1"/>
  <c r="E6668" i="50"/>
  <c r="G6668" i="50" s="1"/>
  <c r="B6692" i="50"/>
  <c r="D6692" i="50" s="1"/>
  <c r="B6709" i="50"/>
  <c r="D6709" i="50" s="1"/>
  <c r="E6685" i="50"/>
  <c r="B6711" i="50"/>
  <c r="D6711" i="50" s="1"/>
  <c r="E6687" i="50"/>
  <c r="U6687" i="50" s="1"/>
  <c r="B6702" i="50"/>
  <c r="D6702" i="50" s="1"/>
  <c r="E6678" i="50"/>
  <c r="U6678" i="50" s="1"/>
  <c r="B6677" i="50"/>
  <c r="D6677" i="50" s="1"/>
  <c r="E6653" i="50"/>
  <c r="B6707" i="50"/>
  <c r="D6707" i="50" s="1"/>
  <c r="E6683" i="50"/>
  <c r="E6721" i="50"/>
  <c r="V6721" i="50" s="1"/>
  <c r="B6745" i="50"/>
  <c r="D6745" i="50" s="1"/>
  <c r="V6696" i="50" l="1"/>
  <c r="U6696" i="50"/>
  <c r="F6696" i="50"/>
  <c r="G6655" i="50"/>
  <c r="F6655" i="50"/>
  <c r="V6655" i="50"/>
  <c r="V6714" i="50"/>
  <c r="U6714" i="50"/>
  <c r="G6714" i="50"/>
  <c r="F6714" i="50"/>
  <c r="U6655" i="50"/>
  <c r="F6722" i="50"/>
  <c r="V6722" i="50"/>
  <c r="U6722" i="50"/>
  <c r="G6722" i="50"/>
  <c r="U6705" i="50"/>
  <c r="G6705" i="50"/>
  <c r="F6705" i="50"/>
  <c r="V6662" i="50"/>
  <c r="G6662" i="50"/>
  <c r="F6662" i="50"/>
  <c r="G6665" i="50"/>
  <c r="V6665" i="50"/>
  <c r="F6665" i="50"/>
  <c r="U6665" i="50"/>
  <c r="V6676" i="50"/>
  <c r="U6676" i="50"/>
  <c r="G6676" i="50"/>
  <c r="F6676" i="50"/>
  <c r="U6662" i="50"/>
  <c r="G6664" i="50"/>
  <c r="V6664" i="50"/>
  <c r="U6664" i="50"/>
  <c r="F6664" i="50"/>
  <c r="U6680" i="50"/>
  <c r="F6680" i="50"/>
  <c r="V6680" i="50"/>
  <c r="G6680" i="50"/>
  <c r="V6695" i="50"/>
  <c r="U6695" i="50"/>
  <c r="G6695" i="50"/>
  <c r="F6695" i="50"/>
  <c r="V6660" i="50"/>
  <c r="F6660" i="50"/>
  <c r="G6660" i="50"/>
  <c r="F6721" i="50"/>
  <c r="U6721" i="50"/>
  <c r="G6721" i="50"/>
  <c r="V6653" i="50"/>
  <c r="U6653" i="50"/>
  <c r="G6653" i="50"/>
  <c r="F6653" i="50"/>
  <c r="V6669" i="50"/>
  <c r="U6669" i="50"/>
  <c r="G6669" i="50"/>
  <c r="F6669" i="50"/>
  <c r="D6684" i="50"/>
  <c r="B6708" i="50"/>
  <c r="E6684" i="50"/>
  <c r="D6679" i="50"/>
  <c r="B6703" i="50"/>
  <c r="E6679" i="50"/>
  <c r="G6706" i="50"/>
  <c r="U6706" i="50"/>
  <c r="F6706" i="50"/>
  <c r="V6706" i="50"/>
  <c r="V6670" i="50"/>
  <c r="F6670" i="50"/>
  <c r="G6670" i="50"/>
  <c r="U6660" i="50"/>
  <c r="F6699" i="50"/>
  <c r="U6699" i="50"/>
  <c r="V6699" i="50"/>
  <c r="G6699" i="50"/>
  <c r="V6687" i="50"/>
  <c r="G6687" i="50"/>
  <c r="F6687" i="50"/>
  <c r="U6667" i="50"/>
  <c r="V6667" i="50"/>
  <c r="G6667" i="50"/>
  <c r="G6696" i="50"/>
  <c r="F6668" i="50"/>
  <c r="V6668" i="50"/>
  <c r="U6668" i="50"/>
  <c r="F6683" i="50"/>
  <c r="U6683" i="50"/>
  <c r="G6683" i="50"/>
  <c r="V6683" i="50"/>
  <c r="V6705" i="50"/>
  <c r="V6678" i="50"/>
  <c r="G6678" i="50"/>
  <c r="F6678" i="50"/>
  <c r="V6685" i="50"/>
  <c r="U6685" i="50"/>
  <c r="G6685" i="50"/>
  <c r="F6685" i="50"/>
  <c r="F6667" i="50"/>
  <c r="B6753" i="50"/>
  <c r="D6753" i="50" s="1"/>
  <c r="E6729" i="50"/>
  <c r="E6730" i="50"/>
  <c r="B6754" i="50"/>
  <c r="D6754" i="50" s="1"/>
  <c r="E6689" i="50"/>
  <c r="B6713" i="50"/>
  <c r="D6713" i="50" s="1"/>
  <c r="E6686" i="50"/>
  <c r="U6686" i="50" s="1"/>
  <c r="B6710" i="50"/>
  <c r="D6710" i="50" s="1"/>
  <c r="E6700" i="50"/>
  <c r="B6724" i="50"/>
  <c r="D6724" i="50" s="1"/>
  <c r="E6691" i="50"/>
  <c r="B6715" i="50"/>
  <c r="D6715" i="50" s="1"/>
  <c r="E6723" i="50"/>
  <c r="B6747" i="50"/>
  <c r="D6747" i="50" s="1"/>
  <c r="E6693" i="50"/>
  <c r="B6717" i="50"/>
  <c r="D6717" i="50" s="1"/>
  <c r="B6769" i="50"/>
  <c r="D6769" i="50" s="1"/>
  <c r="E6745" i="50"/>
  <c r="B6728" i="50"/>
  <c r="D6728" i="50" s="1"/>
  <c r="E6704" i="50"/>
  <c r="U6704" i="50" s="1"/>
  <c r="B6735" i="50"/>
  <c r="D6735" i="50" s="1"/>
  <c r="E6711" i="50"/>
  <c r="E6677" i="50"/>
  <c r="B6701" i="50"/>
  <c r="D6701" i="50" s="1"/>
  <c r="B6762" i="50"/>
  <c r="D6762" i="50" s="1"/>
  <c r="E6738" i="50"/>
  <c r="B6712" i="50"/>
  <c r="D6712" i="50" s="1"/>
  <c r="E6688" i="50"/>
  <c r="U6688" i="50" s="1"/>
  <c r="B6744" i="50"/>
  <c r="D6744" i="50" s="1"/>
  <c r="E6720" i="50"/>
  <c r="U6720" i="50" s="1"/>
  <c r="E6709" i="50"/>
  <c r="B6733" i="50"/>
  <c r="D6733" i="50" s="1"/>
  <c r="B6718" i="50"/>
  <c r="D6718" i="50" s="1"/>
  <c r="E6694" i="50"/>
  <c r="U6694" i="50" s="1"/>
  <c r="B6743" i="50"/>
  <c r="D6743" i="50" s="1"/>
  <c r="E6719" i="50"/>
  <c r="U6719" i="50" s="1"/>
  <c r="B6716" i="50"/>
  <c r="D6716" i="50" s="1"/>
  <c r="E6692" i="50"/>
  <c r="E6702" i="50"/>
  <c r="U6702" i="50" s="1"/>
  <c r="B6726" i="50"/>
  <c r="D6726" i="50" s="1"/>
  <c r="E6707" i="50"/>
  <c r="B6731" i="50"/>
  <c r="D6731" i="50" s="1"/>
  <c r="E6746" i="50"/>
  <c r="B6770" i="50"/>
  <c r="D6770" i="50" s="1"/>
  <c r="F6745" i="50" l="1"/>
  <c r="G6745" i="50"/>
  <c r="V6745" i="50"/>
  <c r="U6745" i="50"/>
  <c r="V6730" i="50"/>
  <c r="U6730" i="50"/>
  <c r="G6730" i="50"/>
  <c r="G6729" i="50"/>
  <c r="V6729" i="50"/>
  <c r="U6729" i="50"/>
  <c r="F6729" i="50"/>
  <c r="U6689" i="50"/>
  <c r="G6689" i="50"/>
  <c r="F6689" i="50"/>
  <c r="V6693" i="50"/>
  <c r="U6693" i="50"/>
  <c r="G6693" i="50"/>
  <c r="F6693" i="50"/>
  <c r="V6723" i="50"/>
  <c r="G6723" i="50"/>
  <c r="F6723" i="50"/>
  <c r="U6723" i="50"/>
  <c r="U6738" i="50"/>
  <c r="F6738" i="50"/>
  <c r="V6738" i="50"/>
  <c r="G6738" i="50"/>
  <c r="G6691" i="50"/>
  <c r="U6691" i="50"/>
  <c r="F6691" i="50"/>
  <c r="V6691" i="50"/>
  <c r="V6720" i="50"/>
  <c r="G6720" i="50"/>
  <c r="F6720" i="50"/>
  <c r="F6700" i="50"/>
  <c r="V6700" i="50"/>
  <c r="G6700" i="50"/>
  <c r="U6700" i="50"/>
  <c r="V6746" i="50"/>
  <c r="U6746" i="50"/>
  <c r="G6746" i="50"/>
  <c r="F6746" i="50"/>
  <c r="F6692" i="50"/>
  <c r="G6692" i="50"/>
  <c r="V6692" i="50"/>
  <c r="V6709" i="50"/>
  <c r="U6709" i="50"/>
  <c r="G6709" i="50"/>
  <c r="F6709" i="50"/>
  <c r="U6707" i="50"/>
  <c r="V6707" i="50"/>
  <c r="G6707" i="50"/>
  <c r="F6707" i="50"/>
  <c r="U6677" i="50"/>
  <c r="G6677" i="50"/>
  <c r="F6677" i="50"/>
  <c r="V6677" i="50"/>
  <c r="F6686" i="50"/>
  <c r="V6686" i="50"/>
  <c r="G6686" i="50"/>
  <c r="V6679" i="50"/>
  <c r="U6679" i="50"/>
  <c r="G6679" i="50"/>
  <c r="F6679" i="50"/>
  <c r="V6688" i="50"/>
  <c r="G6688" i="50"/>
  <c r="F6688" i="50"/>
  <c r="V6719" i="50"/>
  <c r="G6719" i="50"/>
  <c r="F6719" i="50"/>
  <c r="V6711" i="50"/>
  <c r="U6711" i="50"/>
  <c r="G6711" i="50"/>
  <c r="F6711" i="50"/>
  <c r="D6703" i="50"/>
  <c r="B6727" i="50"/>
  <c r="E6703" i="50"/>
  <c r="D6708" i="50"/>
  <c r="E6708" i="50"/>
  <c r="B6732" i="50"/>
  <c r="F6702" i="50"/>
  <c r="V6702" i="50"/>
  <c r="G6702" i="50"/>
  <c r="F6730" i="50"/>
  <c r="V6689" i="50"/>
  <c r="G6694" i="50"/>
  <c r="F6694" i="50"/>
  <c r="V6694" i="50"/>
  <c r="V6704" i="50"/>
  <c r="G6704" i="50"/>
  <c r="F6704" i="50"/>
  <c r="U6684" i="50"/>
  <c r="F6684" i="50"/>
  <c r="V6684" i="50"/>
  <c r="G6684" i="50"/>
  <c r="U6692" i="50"/>
  <c r="E6718" i="50"/>
  <c r="U6718" i="50" s="1"/>
  <c r="B6742" i="50"/>
  <c r="D6742" i="50" s="1"/>
  <c r="B6757" i="50"/>
  <c r="D6757" i="50" s="1"/>
  <c r="E6733" i="50"/>
  <c r="B6725" i="50"/>
  <c r="D6725" i="50" s="1"/>
  <c r="E6701" i="50"/>
  <c r="B6748" i="50"/>
  <c r="D6748" i="50" s="1"/>
  <c r="E6724" i="50"/>
  <c r="E6716" i="50"/>
  <c r="B6740" i="50"/>
  <c r="D6740" i="50" s="1"/>
  <c r="B6737" i="50"/>
  <c r="D6737" i="50" s="1"/>
  <c r="E6713" i="50"/>
  <c r="B6771" i="50"/>
  <c r="D6771" i="50" s="1"/>
  <c r="E6747" i="50"/>
  <c r="B6752" i="50"/>
  <c r="D6752" i="50" s="1"/>
  <c r="E6728" i="50"/>
  <c r="B6734" i="50"/>
  <c r="D6734" i="50" s="1"/>
  <c r="E6710" i="50"/>
  <c r="B6778" i="50"/>
  <c r="D6778" i="50" s="1"/>
  <c r="E6754" i="50"/>
  <c r="B6768" i="50"/>
  <c r="D6768" i="50" s="1"/>
  <c r="E6744" i="50"/>
  <c r="E6769" i="50"/>
  <c r="B6793" i="50"/>
  <c r="D6793" i="50" s="1"/>
  <c r="B6759" i="50"/>
  <c r="D6759" i="50" s="1"/>
  <c r="E6735" i="50"/>
  <c r="U6735" i="50" s="1"/>
  <c r="B6767" i="50"/>
  <c r="D6767" i="50" s="1"/>
  <c r="E6743" i="50"/>
  <c r="B6794" i="50"/>
  <c r="D6794" i="50" s="1"/>
  <c r="E6770" i="50"/>
  <c r="E6753" i="50"/>
  <c r="B6777" i="50"/>
  <c r="D6777" i="50" s="1"/>
  <c r="B6755" i="50"/>
  <c r="D6755" i="50" s="1"/>
  <c r="E6731" i="50"/>
  <c r="B6750" i="50"/>
  <c r="D6750" i="50" s="1"/>
  <c r="E6726" i="50"/>
  <c r="U6726" i="50" s="1"/>
  <c r="E6762" i="50"/>
  <c r="B6786" i="50"/>
  <c r="D6786" i="50" s="1"/>
  <c r="B6741" i="50"/>
  <c r="D6741" i="50" s="1"/>
  <c r="E6717" i="50"/>
  <c r="B6736" i="50"/>
  <c r="D6736" i="50" s="1"/>
  <c r="E6712" i="50"/>
  <c r="B6739" i="50"/>
  <c r="D6739" i="50" s="1"/>
  <c r="E6715" i="50"/>
  <c r="F6769" i="50" l="1"/>
  <c r="U6769" i="50"/>
  <c r="G6769" i="50"/>
  <c r="U6716" i="50"/>
  <c r="F6716" i="50"/>
  <c r="G6716" i="50"/>
  <c r="D6727" i="50"/>
  <c r="B6751" i="50"/>
  <c r="E6727" i="50"/>
  <c r="V6724" i="50"/>
  <c r="U6724" i="50"/>
  <c r="G6724" i="50"/>
  <c r="F6724" i="50"/>
  <c r="U6703" i="50"/>
  <c r="V6701" i="50"/>
  <c r="U6701" i="50"/>
  <c r="G6701" i="50"/>
  <c r="F6701" i="50"/>
  <c r="V6703" i="50"/>
  <c r="G6703" i="50"/>
  <c r="F6703" i="50"/>
  <c r="V6769" i="50"/>
  <c r="V6733" i="50"/>
  <c r="U6733" i="50"/>
  <c r="G6733" i="50"/>
  <c r="F6733" i="50"/>
  <c r="U6754" i="50"/>
  <c r="F6754" i="50"/>
  <c r="V6754" i="50"/>
  <c r="G6754" i="50"/>
  <c r="U6770" i="50"/>
  <c r="F6770" i="50"/>
  <c r="V6770" i="50"/>
  <c r="G6770" i="50"/>
  <c r="G6710" i="50"/>
  <c r="F6710" i="50"/>
  <c r="V6710" i="50"/>
  <c r="V6718" i="50"/>
  <c r="G6718" i="50"/>
  <c r="F6718" i="50"/>
  <c r="V6716" i="50"/>
  <c r="U6744" i="50"/>
  <c r="G6744" i="50"/>
  <c r="F6744" i="50"/>
  <c r="V6744" i="50"/>
  <c r="F6715" i="50"/>
  <c r="U6715" i="50"/>
  <c r="V6715" i="50"/>
  <c r="G6715" i="50"/>
  <c r="U6728" i="50"/>
  <c r="F6728" i="50"/>
  <c r="G6728" i="50"/>
  <c r="V6728" i="50"/>
  <c r="U6710" i="50"/>
  <c r="F6731" i="50"/>
  <c r="V6731" i="50"/>
  <c r="U6731" i="50"/>
  <c r="G6731" i="50"/>
  <c r="V6762" i="50"/>
  <c r="U6762" i="50"/>
  <c r="G6762" i="50"/>
  <c r="F6762" i="50"/>
  <c r="U6753" i="50"/>
  <c r="G6753" i="50"/>
  <c r="F6753" i="50"/>
  <c r="G6712" i="50"/>
  <c r="U6712" i="50"/>
  <c r="F6712" i="50"/>
  <c r="V6712" i="50"/>
  <c r="V6743" i="50"/>
  <c r="U6743" i="50"/>
  <c r="G6743" i="50"/>
  <c r="F6743" i="50"/>
  <c r="F6747" i="50"/>
  <c r="V6747" i="50"/>
  <c r="G6747" i="50"/>
  <c r="U6747" i="50"/>
  <c r="V6753" i="50"/>
  <c r="U6736" i="50"/>
  <c r="D6732" i="50"/>
  <c r="E6732" i="50"/>
  <c r="B6756" i="50"/>
  <c r="G6726" i="50"/>
  <c r="F6726" i="50"/>
  <c r="V6726" i="50"/>
  <c r="V6717" i="50"/>
  <c r="U6717" i="50"/>
  <c r="G6717" i="50"/>
  <c r="F6717" i="50"/>
  <c r="V6735" i="50"/>
  <c r="G6735" i="50"/>
  <c r="F6735" i="50"/>
  <c r="V6713" i="50"/>
  <c r="U6713" i="50"/>
  <c r="F6713" i="50"/>
  <c r="G6713" i="50"/>
  <c r="G6708" i="50"/>
  <c r="F6708" i="50"/>
  <c r="U6708" i="50"/>
  <c r="V6708" i="50"/>
  <c r="E6757" i="50"/>
  <c r="B6781" i="50"/>
  <c r="D6781" i="50" s="1"/>
  <c r="B6760" i="50"/>
  <c r="D6760" i="50" s="1"/>
  <c r="E6736" i="50"/>
  <c r="E6755" i="50"/>
  <c r="U6755" i="50" s="1"/>
  <c r="B6779" i="50"/>
  <c r="D6779" i="50" s="1"/>
  <c r="E6778" i="50"/>
  <c r="V6778" i="50" s="1"/>
  <c r="B6802" i="50"/>
  <c r="D6802" i="50" s="1"/>
  <c r="E6771" i="50"/>
  <c r="B6795" i="50"/>
  <c r="D6795" i="50" s="1"/>
  <c r="B6764" i="50"/>
  <c r="D6764" i="50" s="1"/>
  <c r="E6740" i="50"/>
  <c r="E6734" i="50"/>
  <c r="B6758" i="50"/>
  <c r="D6758" i="50" s="1"/>
  <c r="B6783" i="50"/>
  <c r="D6783" i="50" s="1"/>
  <c r="E6759" i="50"/>
  <c r="B6776" i="50"/>
  <c r="D6776" i="50" s="1"/>
  <c r="E6752" i="50"/>
  <c r="E6737" i="50"/>
  <c r="B6761" i="50"/>
  <c r="D6761" i="50" s="1"/>
  <c r="B6791" i="50"/>
  <c r="D6791" i="50" s="1"/>
  <c r="E6767" i="50"/>
  <c r="U6767" i="50" s="1"/>
  <c r="E6741" i="50"/>
  <c r="B6765" i="50"/>
  <c r="D6765" i="50" s="1"/>
  <c r="B6766" i="50"/>
  <c r="D6766" i="50" s="1"/>
  <c r="E6742" i="50"/>
  <c r="B6810" i="50"/>
  <c r="D6810" i="50" s="1"/>
  <c r="E6786" i="50"/>
  <c r="B6801" i="50"/>
  <c r="D6801" i="50" s="1"/>
  <c r="E6777" i="50"/>
  <c r="E6748" i="50"/>
  <c r="B6772" i="50"/>
  <c r="D6772" i="50" s="1"/>
  <c r="B6817" i="50"/>
  <c r="D6817" i="50" s="1"/>
  <c r="E6793" i="50"/>
  <c r="E6725" i="50"/>
  <c r="B6749" i="50"/>
  <c r="D6749" i="50" s="1"/>
  <c r="E6739" i="50"/>
  <c r="B6763" i="50"/>
  <c r="D6763" i="50" s="1"/>
  <c r="E6750" i="50"/>
  <c r="B6774" i="50"/>
  <c r="D6774" i="50" s="1"/>
  <c r="B6792" i="50"/>
  <c r="D6792" i="50" s="1"/>
  <c r="E6768" i="50"/>
  <c r="U6768" i="50" s="1"/>
  <c r="E6794" i="50"/>
  <c r="B6818" i="50"/>
  <c r="D6818" i="50" s="1"/>
  <c r="U6748" i="50" l="1"/>
  <c r="F6748" i="50"/>
  <c r="G6748" i="50"/>
  <c r="V6759" i="50"/>
  <c r="U6759" i="50"/>
  <c r="G6759" i="50"/>
  <c r="F6759" i="50"/>
  <c r="V6748" i="50"/>
  <c r="V6757" i="50"/>
  <c r="U6757" i="50"/>
  <c r="G6757" i="50"/>
  <c r="F6757" i="50"/>
  <c r="U6786" i="50"/>
  <c r="F6786" i="50"/>
  <c r="V6786" i="50"/>
  <c r="G6786" i="50"/>
  <c r="F6734" i="50"/>
  <c r="V6734" i="50"/>
  <c r="G6734" i="50"/>
  <c r="F6742" i="50"/>
  <c r="G6742" i="50"/>
  <c r="V6742" i="50"/>
  <c r="U6734" i="50"/>
  <c r="D6756" i="50"/>
  <c r="B6780" i="50"/>
  <c r="E6756" i="50"/>
  <c r="V6740" i="50"/>
  <c r="U6740" i="50"/>
  <c r="G6740" i="50"/>
  <c r="F6740" i="50"/>
  <c r="U6732" i="50"/>
  <c r="F6732" i="50"/>
  <c r="G6732" i="50"/>
  <c r="U6742" i="50"/>
  <c r="V6727" i="50"/>
  <c r="U6727" i="50"/>
  <c r="G6727" i="50"/>
  <c r="F6727" i="50"/>
  <c r="V6741" i="50"/>
  <c r="U6741" i="50"/>
  <c r="G6741" i="50"/>
  <c r="F6741" i="50"/>
  <c r="V6732" i="50"/>
  <c r="D6751" i="50"/>
  <c r="B6775" i="50"/>
  <c r="E6751" i="50"/>
  <c r="V6750" i="50"/>
  <c r="F6750" i="50"/>
  <c r="G6750" i="50"/>
  <c r="U6739" i="50"/>
  <c r="V6739" i="50"/>
  <c r="G6739" i="50"/>
  <c r="F6739" i="50"/>
  <c r="V6771" i="50"/>
  <c r="G6771" i="50"/>
  <c r="F6771" i="50"/>
  <c r="U6771" i="50"/>
  <c r="V6767" i="50"/>
  <c r="G6767" i="50"/>
  <c r="F6767" i="50"/>
  <c r="V6768" i="50"/>
  <c r="G6768" i="50"/>
  <c r="F6768" i="50"/>
  <c r="V6725" i="50"/>
  <c r="U6725" i="50"/>
  <c r="G6725" i="50"/>
  <c r="F6725" i="50"/>
  <c r="U6778" i="50"/>
  <c r="G6778" i="50"/>
  <c r="F6778" i="50"/>
  <c r="G6793" i="50"/>
  <c r="V6793" i="50"/>
  <c r="U6793" i="50"/>
  <c r="F6793" i="50"/>
  <c r="U6794" i="50"/>
  <c r="G6794" i="50"/>
  <c r="F6794" i="50"/>
  <c r="V6794" i="50"/>
  <c r="V6737" i="50"/>
  <c r="U6737" i="50"/>
  <c r="G6737" i="50"/>
  <c r="F6737" i="50"/>
  <c r="V6755" i="50"/>
  <c r="G6755" i="50"/>
  <c r="F6755" i="50"/>
  <c r="G6777" i="50"/>
  <c r="V6777" i="50"/>
  <c r="U6777" i="50"/>
  <c r="F6777" i="50"/>
  <c r="V6752" i="50"/>
  <c r="G6752" i="50"/>
  <c r="F6752" i="50"/>
  <c r="V6736" i="50"/>
  <c r="G6736" i="50"/>
  <c r="F6736" i="50"/>
  <c r="U6752" i="50"/>
  <c r="U6750" i="50"/>
  <c r="E6766" i="50"/>
  <c r="B6790" i="50"/>
  <c r="D6790" i="50" s="1"/>
  <c r="B6807" i="50"/>
  <c r="D6807" i="50" s="1"/>
  <c r="E6783" i="50"/>
  <c r="U6783" i="50" s="1"/>
  <c r="B6785" i="50"/>
  <c r="D6785" i="50" s="1"/>
  <c r="E6761" i="50"/>
  <c r="B6773" i="50"/>
  <c r="D6773" i="50" s="1"/>
  <c r="E6749" i="50"/>
  <c r="B6796" i="50"/>
  <c r="D6796" i="50" s="1"/>
  <c r="E6772" i="50"/>
  <c r="B6789" i="50"/>
  <c r="D6789" i="50" s="1"/>
  <c r="E6765" i="50"/>
  <c r="B6826" i="50"/>
  <c r="D6826" i="50" s="1"/>
  <c r="E6802" i="50"/>
  <c r="B6803" i="50"/>
  <c r="D6803" i="50" s="1"/>
  <c r="E6779" i="50"/>
  <c r="B6800" i="50"/>
  <c r="D6800" i="50" s="1"/>
  <c r="E6776" i="50"/>
  <c r="B6798" i="50"/>
  <c r="D6798" i="50" s="1"/>
  <c r="E6774" i="50"/>
  <c r="E6801" i="50"/>
  <c r="B6825" i="50"/>
  <c r="D6825" i="50" s="1"/>
  <c r="B6816" i="50"/>
  <c r="D6816" i="50" s="1"/>
  <c r="E6792" i="50"/>
  <c r="B6782" i="50"/>
  <c r="D6782" i="50" s="1"/>
  <c r="E6758" i="50"/>
  <c r="U6758" i="50" s="1"/>
  <c r="E6764" i="50"/>
  <c r="V6764" i="50" s="1"/>
  <c r="B6788" i="50"/>
  <c r="D6788" i="50" s="1"/>
  <c r="B6784" i="50"/>
  <c r="D6784" i="50" s="1"/>
  <c r="E6760" i="50"/>
  <c r="B6787" i="50"/>
  <c r="D6787" i="50" s="1"/>
  <c r="E6763" i="50"/>
  <c r="E6817" i="50"/>
  <c r="B6841" i="50"/>
  <c r="D6841" i="50" s="1"/>
  <c r="B6819" i="50"/>
  <c r="D6819" i="50" s="1"/>
  <c r="E6795" i="50"/>
  <c r="B6805" i="50"/>
  <c r="D6805" i="50" s="1"/>
  <c r="E6781" i="50"/>
  <c r="B6842" i="50"/>
  <c r="D6842" i="50" s="1"/>
  <c r="E6818" i="50"/>
  <c r="E6810" i="50"/>
  <c r="B6834" i="50"/>
  <c r="D6834" i="50" s="1"/>
  <c r="B6815" i="50"/>
  <c r="D6815" i="50" s="1"/>
  <c r="E6791" i="50"/>
  <c r="U6751" i="50" l="1"/>
  <c r="V6749" i="50"/>
  <c r="U6749" i="50"/>
  <c r="G6749" i="50"/>
  <c r="F6749" i="50"/>
  <c r="U6801" i="50"/>
  <c r="G6801" i="50"/>
  <c r="F6801" i="50"/>
  <c r="V6774" i="50"/>
  <c r="G6774" i="50"/>
  <c r="F6774" i="50"/>
  <c r="V6761" i="50"/>
  <c r="U6761" i="50"/>
  <c r="F6761" i="50"/>
  <c r="G6761" i="50"/>
  <c r="U6817" i="50"/>
  <c r="V6817" i="50"/>
  <c r="G6817" i="50"/>
  <c r="F6817" i="50"/>
  <c r="U6774" i="50"/>
  <c r="G6776" i="50"/>
  <c r="U6776" i="50"/>
  <c r="F6776" i="50"/>
  <c r="V6776" i="50"/>
  <c r="V6783" i="50"/>
  <c r="G6783" i="50"/>
  <c r="F6783" i="50"/>
  <c r="V6756" i="50"/>
  <c r="U6756" i="50"/>
  <c r="G6756" i="50"/>
  <c r="F6756" i="50"/>
  <c r="D6780" i="50"/>
  <c r="E6780" i="50"/>
  <c r="B6804" i="50"/>
  <c r="G6760" i="50"/>
  <c r="U6760" i="50"/>
  <c r="F6760" i="50"/>
  <c r="V6760" i="50"/>
  <c r="V6779" i="50"/>
  <c r="G6779" i="50"/>
  <c r="U6779" i="50"/>
  <c r="F6779" i="50"/>
  <c r="V6801" i="50"/>
  <c r="V6766" i="50"/>
  <c r="F6766" i="50"/>
  <c r="G6766" i="50"/>
  <c r="U6766" i="50"/>
  <c r="F6795" i="50"/>
  <c r="V6795" i="50"/>
  <c r="U6795" i="50"/>
  <c r="G6795" i="50"/>
  <c r="V6791" i="50"/>
  <c r="U6791" i="50"/>
  <c r="G6791" i="50"/>
  <c r="F6791" i="50"/>
  <c r="U6764" i="50"/>
  <c r="F6764" i="50"/>
  <c r="G6764" i="50"/>
  <c r="G6758" i="50"/>
  <c r="F6758" i="50"/>
  <c r="V6758" i="50"/>
  <c r="U6802" i="50"/>
  <c r="V6802" i="50"/>
  <c r="G6802" i="50"/>
  <c r="F6802" i="50"/>
  <c r="V6810" i="50"/>
  <c r="U6810" i="50"/>
  <c r="G6810" i="50"/>
  <c r="F6810" i="50"/>
  <c r="F6818" i="50"/>
  <c r="G6818" i="50"/>
  <c r="U6818" i="50"/>
  <c r="V6818" i="50"/>
  <c r="G6792" i="50"/>
  <c r="U6792" i="50"/>
  <c r="F6792" i="50"/>
  <c r="V6792" i="50"/>
  <c r="V6765" i="50"/>
  <c r="U6765" i="50"/>
  <c r="G6765" i="50"/>
  <c r="F6765" i="50"/>
  <c r="U6763" i="50"/>
  <c r="F6763" i="50"/>
  <c r="V6763" i="50"/>
  <c r="G6763" i="50"/>
  <c r="V6751" i="50"/>
  <c r="G6751" i="50"/>
  <c r="F6751" i="50"/>
  <c r="V6781" i="50"/>
  <c r="U6781" i="50"/>
  <c r="G6781" i="50"/>
  <c r="F6781" i="50"/>
  <c r="V6772" i="50"/>
  <c r="U6772" i="50"/>
  <c r="G6772" i="50"/>
  <c r="F6772" i="50"/>
  <c r="D6775" i="50"/>
  <c r="B6799" i="50"/>
  <c r="E6775" i="50"/>
  <c r="B6849" i="50"/>
  <c r="D6849" i="50" s="1"/>
  <c r="E6825" i="50"/>
  <c r="E6785" i="50"/>
  <c r="V6785" i="50" s="1"/>
  <c r="B6809" i="50"/>
  <c r="D6809" i="50" s="1"/>
  <c r="E6787" i="50"/>
  <c r="B6811" i="50"/>
  <c r="D6811" i="50" s="1"/>
  <c r="E6826" i="50"/>
  <c r="G6826" i="50" s="1"/>
  <c r="B6850" i="50"/>
  <c r="D6850" i="50" s="1"/>
  <c r="E6819" i="50"/>
  <c r="B6843" i="50"/>
  <c r="D6843" i="50" s="1"/>
  <c r="B6812" i="50"/>
  <c r="D6812" i="50" s="1"/>
  <c r="E6788" i="50"/>
  <c r="B6840" i="50"/>
  <c r="D6840" i="50" s="1"/>
  <c r="E6816" i="50"/>
  <c r="V6816" i="50" s="1"/>
  <c r="E6789" i="50"/>
  <c r="B6813" i="50"/>
  <c r="D6813" i="50" s="1"/>
  <c r="B6831" i="50"/>
  <c r="D6831" i="50" s="1"/>
  <c r="E6807" i="50"/>
  <c r="B6839" i="50"/>
  <c r="D6839" i="50" s="1"/>
  <c r="E6815" i="50"/>
  <c r="E6773" i="50"/>
  <c r="B6797" i="50"/>
  <c r="D6797" i="50" s="1"/>
  <c r="B6858" i="50"/>
  <c r="D6858" i="50" s="1"/>
  <c r="E6834" i="50"/>
  <c r="E6803" i="50"/>
  <c r="B6827" i="50"/>
  <c r="D6827" i="50" s="1"/>
  <c r="E6796" i="50"/>
  <c r="V6796" i="50" s="1"/>
  <c r="B6820" i="50"/>
  <c r="D6820" i="50" s="1"/>
  <c r="E6842" i="50"/>
  <c r="B6866" i="50"/>
  <c r="D6866" i="50" s="1"/>
  <c r="E6782" i="50"/>
  <c r="B6806" i="50"/>
  <c r="D6806" i="50" s="1"/>
  <c r="E6798" i="50"/>
  <c r="U6798" i="50" s="1"/>
  <c r="B6822" i="50"/>
  <c r="D6822" i="50" s="1"/>
  <c r="B6814" i="50"/>
  <c r="D6814" i="50" s="1"/>
  <c r="E6790" i="50"/>
  <c r="U6790" i="50" s="1"/>
  <c r="B6824" i="50"/>
  <c r="D6824" i="50" s="1"/>
  <c r="E6800" i="50"/>
  <c r="E6805" i="50"/>
  <c r="B6829" i="50"/>
  <c r="D6829" i="50" s="1"/>
  <c r="B6808" i="50"/>
  <c r="D6808" i="50" s="1"/>
  <c r="E6784" i="50"/>
  <c r="B6865" i="50"/>
  <c r="D6865" i="50" s="1"/>
  <c r="E6841" i="50"/>
  <c r="V6825" i="50" l="1"/>
  <c r="U6825" i="50"/>
  <c r="F6825" i="50"/>
  <c r="G6782" i="50"/>
  <c r="V6782" i="50"/>
  <c r="F6782" i="50"/>
  <c r="V6789" i="50"/>
  <c r="U6789" i="50"/>
  <c r="G6789" i="50"/>
  <c r="F6789" i="50"/>
  <c r="G6816" i="50"/>
  <c r="F6816" i="50"/>
  <c r="U6816" i="50"/>
  <c r="V6775" i="50"/>
  <c r="U6775" i="50"/>
  <c r="G6775" i="50"/>
  <c r="F6775" i="50"/>
  <c r="D6799" i="50"/>
  <c r="E6799" i="50"/>
  <c r="B6823" i="50"/>
  <c r="U6782" i="50"/>
  <c r="V6841" i="50"/>
  <c r="U6841" i="50"/>
  <c r="F6841" i="50"/>
  <c r="G6842" i="50"/>
  <c r="V6842" i="50"/>
  <c r="U6842" i="50"/>
  <c r="F6842" i="50"/>
  <c r="G6841" i="50"/>
  <c r="F6819" i="50"/>
  <c r="V6819" i="50"/>
  <c r="U6819" i="50"/>
  <c r="G6819" i="50"/>
  <c r="G6825" i="50"/>
  <c r="F6796" i="50"/>
  <c r="U6796" i="50"/>
  <c r="G6796" i="50"/>
  <c r="U6803" i="50"/>
  <c r="G6803" i="50"/>
  <c r="F6803" i="50"/>
  <c r="V6803" i="50"/>
  <c r="V6773" i="50"/>
  <c r="U6773" i="50"/>
  <c r="G6773" i="50"/>
  <c r="F6773" i="50"/>
  <c r="V6826" i="50"/>
  <c r="F6826" i="50"/>
  <c r="U6826" i="50"/>
  <c r="D6804" i="50"/>
  <c r="B6828" i="50"/>
  <c r="E6804" i="50"/>
  <c r="V6800" i="50"/>
  <c r="G6800" i="50"/>
  <c r="F6800" i="50"/>
  <c r="V6790" i="50"/>
  <c r="G6790" i="50"/>
  <c r="F6790" i="50"/>
  <c r="U6815" i="50"/>
  <c r="G6815" i="50"/>
  <c r="V6815" i="50"/>
  <c r="F6815" i="50"/>
  <c r="F6780" i="50"/>
  <c r="U6780" i="50"/>
  <c r="G6780" i="50"/>
  <c r="U6834" i="50"/>
  <c r="F6834" i="50"/>
  <c r="V6834" i="50"/>
  <c r="U6787" i="50"/>
  <c r="F6787" i="50"/>
  <c r="V6787" i="50"/>
  <c r="G6787" i="50"/>
  <c r="V6780" i="50"/>
  <c r="V6788" i="50"/>
  <c r="U6788" i="50"/>
  <c r="G6788" i="50"/>
  <c r="F6788" i="50"/>
  <c r="V6805" i="50"/>
  <c r="U6805" i="50"/>
  <c r="G6805" i="50"/>
  <c r="F6805" i="50"/>
  <c r="F6807" i="50"/>
  <c r="V6807" i="50"/>
  <c r="U6807" i="50"/>
  <c r="G6807" i="50"/>
  <c r="U6800" i="50"/>
  <c r="V6784" i="50"/>
  <c r="G6784" i="50"/>
  <c r="F6784" i="50"/>
  <c r="V6798" i="50"/>
  <c r="F6798" i="50"/>
  <c r="G6798" i="50"/>
  <c r="F6785" i="50"/>
  <c r="U6785" i="50"/>
  <c r="G6785" i="50"/>
  <c r="G6834" i="50"/>
  <c r="U6784" i="50"/>
  <c r="B6890" i="50"/>
  <c r="D6890" i="50" s="1"/>
  <c r="E6866" i="50"/>
  <c r="B6853" i="50"/>
  <c r="D6853" i="50" s="1"/>
  <c r="E6829" i="50"/>
  <c r="B6830" i="50"/>
  <c r="D6830" i="50" s="1"/>
  <c r="E6806" i="50"/>
  <c r="U6806" i="50" s="1"/>
  <c r="B6863" i="50"/>
  <c r="D6863" i="50" s="1"/>
  <c r="E6839" i="50"/>
  <c r="F6839" i="50" s="1"/>
  <c r="B6844" i="50"/>
  <c r="D6844" i="50" s="1"/>
  <c r="E6820" i="50"/>
  <c r="B6855" i="50"/>
  <c r="D6855" i="50" s="1"/>
  <c r="E6831" i="50"/>
  <c r="B6837" i="50"/>
  <c r="D6837" i="50" s="1"/>
  <c r="E6813" i="50"/>
  <c r="B6848" i="50"/>
  <c r="D6848" i="50" s="1"/>
  <c r="E6824" i="50"/>
  <c r="V6824" i="50" s="1"/>
  <c r="B6851" i="50"/>
  <c r="D6851" i="50" s="1"/>
  <c r="E6827" i="50"/>
  <c r="B6833" i="50"/>
  <c r="D6833" i="50" s="1"/>
  <c r="E6809" i="50"/>
  <c r="E6865" i="50"/>
  <c r="U6865" i="50" s="1"/>
  <c r="B6889" i="50"/>
  <c r="D6889" i="50" s="1"/>
  <c r="B6832" i="50"/>
  <c r="D6832" i="50" s="1"/>
  <c r="E6808" i="50"/>
  <c r="E6814" i="50"/>
  <c r="U6814" i="50" s="1"/>
  <c r="B6838" i="50"/>
  <c r="D6838" i="50" s="1"/>
  <c r="B6867" i="50"/>
  <c r="D6867" i="50" s="1"/>
  <c r="E6843" i="50"/>
  <c r="B6864" i="50"/>
  <c r="D6864" i="50" s="1"/>
  <c r="E6840" i="50"/>
  <c r="V6840" i="50" s="1"/>
  <c r="E6858" i="50"/>
  <c r="G6858" i="50" s="1"/>
  <c r="B6882" i="50"/>
  <c r="D6882" i="50" s="1"/>
  <c r="B6835" i="50"/>
  <c r="D6835" i="50" s="1"/>
  <c r="E6811" i="50"/>
  <c r="E6849" i="50"/>
  <c r="B6873" i="50"/>
  <c r="D6873" i="50" s="1"/>
  <c r="B6821" i="50"/>
  <c r="D6821" i="50" s="1"/>
  <c r="E6797" i="50"/>
  <c r="B6874" i="50"/>
  <c r="D6874" i="50" s="1"/>
  <c r="E6850" i="50"/>
  <c r="G6850" i="50" s="1"/>
  <c r="E6812" i="50"/>
  <c r="B6836" i="50"/>
  <c r="D6836" i="50" s="1"/>
  <c r="B6846" i="50"/>
  <c r="D6846" i="50" s="1"/>
  <c r="E6822" i="50"/>
  <c r="F6822" i="50" s="1"/>
  <c r="G6827" i="50" l="1"/>
  <c r="V6827" i="50"/>
  <c r="U6827" i="50"/>
  <c r="F6827" i="50"/>
  <c r="U6829" i="50"/>
  <c r="V6829" i="50"/>
  <c r="G6829" i="50"/>
  <c r="F6829" i="50"/>
  <c r="F6866" i="50"/>
  <c r="V6866" i="50"/>
  <c r="U6866" i="50"/>
  <c r="V6813" i="50"/>
  <c r="U6813" i="50"/>
  <c r="G6813" i="50"/>
  <c r="F6813" i="50"/>
  <c r="F6849" i="50"/>
  <c r="V6849" i="50"/>
  <c r="G6849" i="50"/>
  <c r="U6849" i="50"/>
  <c r="V6843" i="50"/>
  <c r="G6843" i="50"/>
  <c r="U6843" i="50"/>
  <c r="F6843" i="50"/>
  <c r="V6804" i="50"/>
  <c r="U6804" i="50"/>
  <c r="G6804" i="50"/>
  <c r="F6804" i="50"/>
  <c r="V6822" i="50"/>
  <c r="G6822" i="50"/>
  <c r="U6822" i="50"/>
  <c r="G6866" i="50"/>
  <c r="D6828" i="50"/>
  <c r="B6852" i="50"/>
  <c r="E6828" i="50"/>
  <c r="U6811" i="50"/>
  <c r="V6811" i="50"/>
  <c r="G6811" i="50"/>
  <c r="V6831" i="50"/>
  <c r="F6831" i="50"/>
  <c r="U6831" i="50"/>
  <c r="G6831" i="50"/>
  <c r="V6858" i="50"/>
  <c r="U6858" i="50"/>
  <c r="F6858" i="50"/>
  <c r="G6814" i="50"/>
  <c r="F6814" i="50"/>
  <c r="V6814" i="50"/>
  <c r="G6824" i="50"/>
  <c r="F6824" i="50"/>
  <c r="U6824" i="50"/>
  <c r="V6850" i="50"/>
  <c r="U6850" i="50"/>
  <c r="F6850" i="50"/>
  <c r="U6808" i="50"/>
  <c r="F6808" i="50"/>
  <c r="V6808" i="50"/>
  <c r="G6808" i="50"/>
  <c r="V6820" i="50"/>
  <c r="U6820" i="50"/>
  <c r="F6820" i="50"/>
  <c r="G6820" i="50"/>
  <c r="D6823" i="50"/>
  <c r="B6847" i="50"/>
  <c r="E6823" i="50"/>
  <c r="F6811" i="50"/>
  <c r="V6799" i="50"/>
  <c r="G6799" i="50"/>
  <c r="F6799" i="50"/>
  <c r="V6797" i="50"/>
  <c r="G6797" i="50"/>
  <c r="U6797" i="50"/>
  <c r="F6797" i="50"/>
  <c r="G6839" i="50"/>
  <c r="V6839" i="50"/>
  <c r="U6839" i="50"/>
  <c r="U6799" i="50"/>
  <c r="U6812" i="50"/>
  <c r="F6812" i="50"/>
  <c r="V6812" i="50"/>
  <c r="G6812" i="50"/>
  <c r="V6865" i="50"/>
  <c r="F6865" i="50"/>
  <c r="G6865" i="50"/>
  <c r="G6840" i="50"/>
  <c r="F6840" i="50"/>
  <c r="U6840" i="50"/>
  <c r="G6809" i="50"/>
  <c r="U6809" i="50"/>
  <c r="F6809" i="50"/>
  <c r="V6809" i="50"/>
  <c r="V6806" i="50"/>
  <c r="F6806" i="50"/>
  <c r="G6806" i="50"/>
  <c r="B6887" i="50"/>
  <c r="D6887" i="50" s="1"/>
  <c r="E6863" i="50"/>
  <c r="E6837" i="50"/>
  <c r="B6861" i="50"/>
  <c r="D6861" i="50" s="1"/>
  <c r="E6874" i="50"/>
  <c r="B6898" i="50"/>
  <c r="D6898" i="50" s="1"/>
  <c r="B6906" i="50"/>
  <c r="D6906" i="50" s="1"/>
  <c r="E6882" i="50"/>
  <c r="E6867" i="50"/>
  <c r="B6891" i="50"/>
  <c r="D6891" i="50" s="1"/>
  <c r="E6833" i="50"/>
  <c r="B6857" i="50"/>
  <c r="D6857" i="50" s="1"/>
  <c r="E6830" i="50"/>
  <c r="B6854" i="50"/>
  <c r="D6854" i="50" s="1"/>
  <c r="B6913" i="50"/>
  <c r="D6913" i="50" s="1"/>
  <c r="E6889" i="50"/>
  <c r="G6889" i="50" s="1"/>
  <c r="E6851" i="50"/>
  <c r="B6875" i="50"/>
  <c r="D6875" i="50" s="1"/>
  <c r="B6879" i="50"/>
  <c r="D6879" i="50" s="1"/>
  <c r="E6855" i="50"/>
  <c r="E6853" i="50"/>
  <c r="B6877" i="50"/>
  <c r="D6877" i="50" s="1"/>
  <c r="E6846" i="50"/>
  <c r="U6846" i="50" s="1"/>
  <c r="B6870" i="50"/>
  <c r="D6870" i="50" s="1"/>
  <c r="E6821" i="50"/>
  <c r="U6821" i="50" s="1"/>
  <c r="B6845" i="50"/>
  <c r="D6845" i="50" s="1"/>
  <c r="B6862" i="50"/>
  <c r="D6862" i="50" s="1"/>
  <c r="E6838" i="50"/>
  <c r="B6897" i="50"/>
  <c r="D6897" i="50" s="1"/>
  <c r="E6873" i="50"/>
  <c r="G6873" i="50" s="1"/>
  <c r="B6872" i="50"/>
  <c r="D6872" i="50" s="1"/>
  <c r="E6848" i="50"/>
  <c r="E6844" i="50"/>
  <c r="B6868" i="50"/>
  <c r="D6868" i="50" s="1"/>
  <c r="E6835" i="50"/>
  <c r="B6859" i="50"/>
  <c r="D6859" i="50" s="1"/>
  <c r="B6860" i="50"/>
  <c r="D6860" i="50" s="1"/>
  <c r="E6836" i="50"/>
  <c r="B6888" i="50"/>
  <c r="D6888" i="50" s="1"/>
  <c r="E6864" i="50"/>
  <c r="B6856" i="50"/>
  <c r="D6856" i="50" s="1"/>
  <c r="E6832" i="50"/>
  <c r="E6890" i="50"/>
  <c r="G6890" i="50" s="1"/>
  <c r="B6914" i="50"/>
  <c r="D6914" i="50" s="1"/>
  <c r="U6853" i="50" l="1"/>
  <c r="V6853" i="50"/>
  <c r="G6853" i="50"/>
  <c r="F6853" i="50"/>
  <c r="V6855" i="50"/>
  <c r="U6855" i="50"/>
  <c r="G6855" i="50"/>
  <c r="V6882" i="50"/>
  <c r="U6882" i="50"/>
  <c r="G6882" i="50"/>
  <c r="F6882" i="50"/>
  <c r="U6874" i="50"/>
  <c r="V6874" i="50"/>
  <c r="F6874" i="50"/>
  <c r="F6835" i="50"/>
  <c r="V6835" i="50"/>
  <c r="U6835" i="50"/>
  <c r="G6835" i="50"/>
  <c r="V6844" i="50"/>
  <c r="G6844" i="50"/>
  <c r="F6844" i="50"/>
  <c r="V6837" i="50"/>
  <c r="G6837" i="50"/>
  <c r="F6837" i="50"/>
  <c r="U6873" i="50"/>
  <c r="F6873" i="50"/>
  <c r="V6873" i="50"/>
  <c r="V6863" i="50"/>
  <c r="F6863" i="50"/>
  <c r="U6863" i="50"/>
  <c r="G6863" i="50"/>
  <c r="F6848" i="50"/>
  <c r="V6848" i="50"/>
  <c r="U6848" i="50"/>
  <c r="G6848" i="50"/>
  <c r="U6830" i="50"/>
  <c r="F6830" i="50"/>
  <c r="V6830" i="50"/>
  <c r="G6830" i="50"/>
  <c r="U6838" i="50"/>
  <c r="F6838" i="50"/>
  <c r="V6838" i="50"/>
  <c r="G6838" i="50"/>
  <c r="U6844" i="50"/>
  <c r="F6890" i="50"/>
  <c r="V6890" i="50"/>
  <c r="U6890" i="50"/>
  <c r="G6874" i="50"/>
  <c r="U6837" i="50"/>
  <c r="V6836" i="50"/>
  <c r="U6836" i="50"/>
  <c r="F6836" i="50"/>
  <c r="G6836" i="50"/>
  <c r="U6889" i="50"/>
  <c r="V6889" i="50"/>
  <c r="F6889" i="50"/>
  <c r="U6832" i="50"/>
  <c r="G6832" i="50"/>
  <c r="F6832" i="50"/>
  <c r="V6832" i="50"/>
  <c r="V6828" i="50"/>
  <c r="G6828" i="50"/>
  <c r="F6828" i="50"/>
  <c r="V6851" i="50"/>
  <c r="U6851" i="50"/>
  <c r="G6851" i="50"/>
  <c r="F6851" i="50"/>
  <c r="V6821" i="50"/>
  <c r="G6821" i="50"/>
  <c r="F6821" i="50"/>
  <c r="V6833" i="50"/>
  <c r="F6833" i="50"/>
  <c r="U6833" i="50"/>
  <c r="G6833" i="50"/>
  <c r="U6823" i="50"/>
  <c r="F6823" i="50"/>
  <c r="V6823" i="50"/>
  <c r="G6823" i="50"/>
  <c r="D6852" i="50"/>
  <c r="B6876" i="50"/>
  <c r="E6852" i="50"/>
  <c r="V6864" i="50"/>
  <c r="F6864" i="50"/>
  <c r="G6864" i="50"/>
  <c r="U6864" i="50"/>
  <c r="D6847" i="50"/>
  <c r="B6871" i="50"/>
  <c r="E6847" i="50"/>
  <c r="F6855" i="50"/>
  <c r="U6828" i="50"/>
  <c r="V6846" i="50"/>
  <c r="G6846" i="50"/>
  <c r="F6846" i="50"/>
  <c r="V6867" i="50"/>
  <c r="G6867" i="50"/>
  <c r="F6867" i="50"/>
  <c r="U6867" i="50"/>
  <c r="B6901" i="50"/>
  <c r="D6901" i="50" s="1"/>
  <c r="E6877" i="50"/>
  <c r="U6877" i="50" s="1"/>
  <c r="B6915" i="50"/>
  <c r="D6915" i="50" s="1"/>
  <c r="E6891" i="50"/>
  <c r="B6885" i="50"/>
  <c r="D6885" i="50" s="1"/>
  <c r="E6861" i="50"/>
  <c r="U6861" i="50" s="1"/>
  <c r="B6903" i="50"/>
  <c r="D6903" i="50" s="1"/>
  <c r="E6879" i="50"/>
  <c r="V6879" i="50" s="1"/>
  <c r="B6892" i="50"/>
  <c r="D6892" i="50" s="1"/>
  <c r="E6868" i="50"/>
  <c r="B6899" i="50"/>
  <c r="D6899" i="50" s="1"/>
  <c r="E6875" i="50"/>
  <c r="E6906" i="50"/>
  <c r="B6930" i="50"/>
  <c r="D6930" i="50" s="1"/>
  <c r="B6937" i="50"/>
  <c r="D6937" i="50" s="1"/>
  <c r="E6913" i="50"/>
  <c r="B6878" i="50"/>
  <c r="D6878" i="50" s="1"/>
  <c r="E6854" i="50"/>
  <c r="B6883" i="50"/>
  <c r="D6883" i="50" s="1"/>
  <c r="E6859" i="50"/>
  <c r="B6922" i="50"/>
  <c r="D6922" i="50" s="1"/>
  <c r="E6898" i="50"/>
  <c r="B6911" i="50"/>
  <c r="D6911" i="50" s="1"/>
  <c r="E6887" i="50"/>
  <c r="F6887" i="50" s="1"/>
  <c r="B6912" i="50"/>
  <c r="D6912" i="50" s="1"/>
  <c r="E6888" i="50"/>
  <c r="B6896" i="50"/>
  <c r="D6896" i="50" s="1"/>
  <c r="E6872" i="50"/>
  <c r="B6880" i="50"/>
  <c r="D6880" i="50" s="1"/>
  <c r="E6856" i="50"/>
  <c r="V6856" i="50" s="1"/>
  <c r="B6938" i="50"/>
  <c r="D6938" i="50" s="1"/>
  <c r="E6914" i="50"/>
  <c r="E6862" i="50"/>
  <c r="B6886" i="50"/>
  <c r="D6886" i="50" s="1"/>
  <c r="B6894" i="50"/>
  <c r="D6894" i="50" s="1"/>
  <c r="E6870" i="50"/>
  <c r="E6860" i="50"/>
  <c r="U6860" i="50" s="1"/>
  <c r="B6884" i="50"/>
  <c r="D6884" i="50" s="1"/>
  <c r="B6921" i="50"/>
  <c r="D6921" i="50" s="1"/>
  <c r="E6897" i="50"/>
  <c r="G6897" i="50" s="1"/>
  <c r="B6869" i="50"/>
  <c r="D6869" i="50" s="1"/>
  <c r="E6845" i="50"/>
  <c r="B6881" i="50"/>
  <c r="D6881" i="50" s="1"/>
  <c r="E6857" i="50"/>
  <c r="V6913" i="50" l="1"/>
  <c r="F6913" i="50"/>
  <c r="U6913" i="50"/>
  <c r="V6906" i="50"/>
  <c r="U6906" i="50"/>
  <c r="F6906" i="50"/>
  <c r="G6875" i="50"/>
  <c r="F6875" i="50"/>
  <c r="U6875" i="50"/>
  <c r="V6852" i="50"/>
  <c r="U6852" i="50"/>
  <c r="G6852" i="50"/>
  <c r="F6852" i="50"/>
  <c r="D6876" i="50"/>
  <c r="E6876" i="50"/>
  <c r="B6900" i="50"/>
  <c r="V6875" i="50"/>
  <c r="U6856" i="50"/>
  <c r="F6856" i="50"/>
  <c r="G6856" i="50"/>
  <c r="V6887" i="50"/>
  <c r="U6887" i="50"/>
  <c r="G6887" i="50"/>
  <c r="V6868" i="50"/>
  <c r="U6868" i="50"/>
  <c r="G6868" i="50"/>
  <c r="F6868" i="50"/>
  <c r="G6913" i="50"/>
  <c r="F6888" i="50"/>
  <c r="V6888" i="50"/>
  <c r="U6888" i="50"/>
  <c r="G6888" i="50"/>
  <c r="V6898" i="50"/>
  <c r="U6898" i="50"/>
  <c r="G6898" i="50"/>
  <c r="F6898" i="50"/>
  <c r="G6879" i="50"/>
  <c r="U6879" i="50"/>
  <c r="F6879" i="50"/>
  <c r="V6845" i="50"/>
  <c r="U6845" i="50"/>
  <c r="F6845" i="50"/>
  <c r="G6845" i="50"/>
  <c r="V6872" i="50"/>
  <c r="U6872" i="50"/>
  <c r="G6872" i="50"/>
  <c r="F6872" i="50"/>
  <c r="V6860" i="50"/>
  <c r="G6860" i="50"/>
  <c r="F6860" i="50"/>
  <c r="U6859" i="50"/>
  <c r="F6859" i="50"/>
  <c r="G6859" i="50"/>
  <c r="G6861" i="50"/>
  <c r="F6861" i="50"/>
  <c r="V6861" i="50"/>
  <c r="U6847" i="50"/>
  <c r="G6847" i="50"/>
  <c r="V6847" i="50"/>
  <c r="F6847" i="50"/>
  <c r="V6859" i="50"/>
  <c r="G6906" i="50"/>
  <c r="V6897" i="50"/>
  <c r="U6897" i="50"/>
  <c r="F6897" i="50"/>
  <c r="U6862" i="50"/>
  <c r="G6862" i="50"/>
  <c r="F6862" i="50"/>
  <c r="V6862" i="50"/>
  <c r="D6871" i="50"/>
  <c r="B6895" i="50"/>
  <c r="E6871" i="50"/>
  <c r="G6857" i="50"/>
  <c r="V6857" i="50"/>
  <c r="U6857" i="50"/>
  <c r="F6857" i="50"/>
  <c r="U6854" i="50"/>
  <c r="V6854" i="50"/>
  <c r="G6854" i="50"/>
  <c r="G6891" i="50"/>
  <c r="F6891" i="50"/>
  <c r="U6891" i="50"/>
  <c r="V6870" i="50"/>
  <c r="U6870" i="50"/>
  <c r="G6870" i="50"/>
  <c r="V6891" i="50"/>
  <c r="V6914" i="50"/>
  <c r="U6914" i="50"/>
  <c r="G6914" i="50"/>
  <c r="F6914" i="50"/>
  <c r="G6877" i="50"/>
  <c r="F6877" i="50"/>
  <c r="V6877" i="50"/>
  <c r="F6870" i="50"/>
  <c r="F6854" i="50"/>
  <c r="E6921" i="50"/>
  <c r="B6945" i="50"/>
  <c r="D6945" i="50" s="1"/>
  <c r="B6920" i="50"/>
  <c r="D6920" i="50" s="1"/>
  <c r="E6896" i="50"/>
  <c r="E6885" i="50"/>
  <c r="B6909" i="50"/>
  <c r="D6909" i="50" s="1"/>
  <c r="B6923" i="50"/>
  <c r="D6923" i="50" s="1"/>
  <c r="E6899" i="50"/>
  <c r="E6892" i="50"/>
  <c r="B6916" i="50"/>
  <c r="D6916" i="50" s="1"/>
  <c r="B6908" i="50"/>
  <c r="D6908" i="50" s="1"/>
  <c r="E6884" i="50"/>
  <c r="B6936" i="50"/>
  <c r="D6936" i="50" s="1"/>
  <c r="E6912" i="50"/>
  <c r="V6912" i="50" s="1"/>
  <c r="E6878" i="50"/>
  <c r="B6902" i="50"/>
  <c r="D6902" i="50" s="1"/>
  <c r="B6939" i="50"/>
  <c r="D6939" i="50" s="1"/>
  <c r="E6915" i="50"/>
  <c r="B6904" i="50"/>
  <c r="D6904" i="50" s="1"/>
  <c r="E6880" i="50"/>
  <c r="V6880" i="50" s="1"/>
  <c r="E6937" i="50"/>
  <c r="G6937" i="50" s="1"/>
  <c r="B6961" i="50"/>
  <c r="D6961" i="50" s="1"/>
  <c r="B6954" i="50"/>
  <c r="D6954" i="50" s="1"/>
  <c r="E6930" i="50"/>
  <c r="E6894" i="50"/>
  <c r="F6894" i="50" s="1"/>
  <c r="B6918" i="50"/>
  <c r="D6918" i="50" s="1"/>
  <c r="E6883" i="50"/>
  <c r="B6907" i="50"/>
  <c r="D6907" i="50" s="1"/>
  <c r="E6911" i="50"/>
  <c r="V6911" i="50" s="1"/>
  <c r="B6935" i="50"/>
  <c r="D6935" i="50" s="1"/>
  <c r="E6901" i="50"/>
  <c r="B6925" i="50"/>
  <c r="D6925" i="50" s="1"/>
  <c r="B6910" i="50"/>
  <c r="D6910" i="50" s="1"/>
  <c r="E6886" i="50"/>
  <c r="F6886" i="50" s="1"/>
  <c r="B6962" i="50"/>
  <c r="D6962" i="50" s="1"/>
  <c r="E6938" i="50"/>
  <c r="G6938" i="50" s="1"/>
  <c r="E6881" i="50"/>
  <c r="U6881" i="50" s="1"/>
  <c r="B6905" i="50"/>
  <c r="D6905" i="50" s="1"/>
  <c r="E6869" i="50"/>
  <c r="U6869" i="50" s="1"/>
  <c r="B6893" i="50"/>
  <c r="D6893" i="50" s="1"/>
  <c r="B6946" i="50"/>
  <c r="D6946" i="50" s="1"/>
  <c r="E6922" i="50"/>
  <c r="B6927" i="50"/>
  <c r="D6927" i="50" s="1"/>
  <c r="E6903" i="50"/>
  <c r="F6871" i="50" l="1"/>
  <c r="V6871" i="50"/>
  <c r="U6871" i="50"/>
  <c r="G6871" i="50"/>
  <c r="U6896" i="50"/>
  <c r="F6896" i="50"/>
  <c r="G6896" i="50"/>
  <c r="D6895" i="50"/>
  <c r="E6895" i="50"/>
  <c r="B6919" i="50"/>
  <c r="V6878" i="50"/>
  <c r="U6878" i="50"/>
  <c r="G6878" i="50"/>
  <c r="F6878" i="50"/>
  <c r="V6921" i="50"/>
  <c r="U6921" i="50"/>
  <c r="F6921" i="50"/>
  <c r="G6912" i="50"/>
  <c r="F6912" i="50"/>
  <c r="U6912" i="50"/>
  <c r="U6911" i="50"/>
  <c r="G6911" i="50"/>
  <c r="F6911" i="50"/>
  <c r="G6884" i="50"/>
  <c r="V6884" i="50"/>
  <c r="U6884" i="50"/>
  <c r="F6884" i="50"/>
  <c r="V6901" i="50"/>
  <c r="F6901" i="50"/>
  <c r="U6901" i="50"/>
  <c r="G6901" i="50"/>
  <c r="U6915" i="50"/>
  <c r="F6915" i="50"/>
  <c r="V6915" i="50"/>
  <c r="G6915" i="50"/>
  <c r="U6883" i="50"/>
  <c r="G6883" i="50"/>
  <c r="F6883" i="50"/>
  <c r="V6883" i="50"/>
  <c r="V6892" i="50"/>
  <c r="G6892" i="50"/>
  <c r="F6892" i="50"/>
  <c r="V6930" i="50"/>
  <c r="U6930" i="50"/>
  <c r="F6930" i="50"/>
  <c r="G6930" i="50"/>
  <c r="U6903" i="50"/>
  <c r="G6903" i="50"/>
  <c r="F6903" i="50"/>
  <c r="V6903" i="50"/>
  <c r="V6869" i="50"/>
  <c r="F6869" i="50"/>
  <c r="G6869" i="50"/>
  <c r="U6922" i="50"/>
  <c r="F6922" i="50"/>
  <c r="V6922" i="50"/>
  <c r="U6899" i="50"/>
  <c r="F6899" i="50"/>
  <c r="V6899" i="50"/>
  <c r="G6899" i="50"/>
  <c r="G6921" i="50"/>
  <c r="V6881" i="50"/>
  <c r="G6881" i="50"/>
  <c r="F6881" i="50"/>
  <c r="V6937" i="50"/>
  <c r="U6937" i="50"/>
  <c r="F6937" i="50"/>
  <c r="G6922" i="50"/>
  <c r="D6900" i="50"/>
  <c r="E6900" i="50"/>
  <c r="B6924" i="50"/>
  <c r="V6886" i="50"/>
  <c r="G6886" i="50"/>
  <c r="U6886" i="50"/>
  <c r="U6938" i="50"/>
  <c r="V6938" i="50"/>
  <c r="F6938" i="50"/>
  <c r="U6880" i="50"/>
  <c r="F6880" i="50"/>
  <c r="G6880" i="50"/>
  <c r="V6896" i="50"/>
  <c r="V6876" i="50"/>
  <c r="G6876" i="50"/>
  <c r="F6876" i="50"/>
  <c r="V6894" i="50"/>
  <c r="G6894" i="50"/>
  <c r="U6894" i="50"/>
  <c r="U6885" i="50"/>
  <c r="G6885" i="50"/>
  <c r="V6885" i="50"/>
  <c r="F6885" i="50"/>
  <c r="U6892" i="50"/>
  <c r="U6876" i="50"/>
  <c r="B6926" i="50"/>
  <c r="D6926" i="50" s="1"/>
  <c r="E6902" i="50"/>
  <c r="B6963" i="50"/>
  <c r="D6963" i="50" s="1"/>
  <c r="E6939" i="50"/>
  <c r="B6942" i="50"/>
  <c r="D6942" i="50" s="1"/>
  <c r="E6918" i="50"/>
  <c r="B6986" i="50"/>
  <c r="D6986" i="50" s="1"/>
  <c r="E6962" i="50"/>
  <c r="B6949" i="50"/>
  <c r="D6949" i="50" s="1"/>
  <c r="E6925" i="50"/>
  <c r="U6925" i="50" s="1"/>
  <c r="B6928" i="50"/>
  <c r="D6928" i="50" s="1"/>
  <c r="E6904" i="50"/>
  <c r="B6985" i="50"/>
  <c r="D6985" i="50" s="1"/>
  <c r="E6961" i="50"/>
  <c r="B6960" i="50"/>
  <c r="D6960" i="50" s="1"/>
  <c r="E6936" i="50"/>
  <c r="B6931" i="50"/>
  <c r="D6931" i="50" s="1"/>
  <c r="E6907" i="50"/>
  <c r="B6933" i="50"/>
  <c r="D6933" i="50" s="1"/>
  <c r="E6909" i="50"/>
  <c r="E6910" i="50"/>
  <c r="B6934" i="50"/>
  <c r="D6934" i="50" s="1"/>
  <c r="E6905" i="50"/>
  <c r="B6929" i="50"/>
  <c r="D6929" i="50" s="1"/>
  <c r="E6908" i="50"/>
  <c r="B6932" i="50"/>
  <c r="D6932" i="50" s="1"/>
  <c r="B6978" i="50"/>
  <c r="D6978" i="50" s="1"/>
  <c r="E6954" i="50"/>
  <c r="G6954" i="50" s="1"/>
  <c r="B6970" i="50"/>
  <c r="D6970" i="50" s="1"/>
  <c r="E6946" i="50"/>
  <c r="E6935" i="50"/>
  <c r="B6959" i="50"/>
  <c r="D6959" i="50" s="1"/>
  <c r="B6944" i="50"/>
  <c r="D6944" i="50" s="1"/>
  <c r="E6920" i="50"/>
  <c r="B6917" i="50"/>
  <c r="D6917" i="50" s="1"/>
  <c r="E6893" i="50"/>
  <c r="U6893" i="50" s="1"/>
  <c r="B6940" i="50"/>
  <c r="D6940" i="50" s="1"/>
  <c r="E6916" i="50"/>
  <c r="B6947" i="50"/>
  <c r="D6947" i="50" s="1"/>
  <c r="E6923" i="50"/>
  <c r="V6923" i="50" s="1"/>
  <c r="B6969" i="50"/>
  <c r="D6969" i="50" s="1"/>
  <c r="E6945" i="50"/>
  <c r="B6951" i="50"/>
  <c r="D6951" i="50" s="1"/>
  <c r="E6927" i="50"/>
  <c r="V6927" i="50" s="1"/>
  <c r="U6918" i="50" l="1"/>
  <c r="V6918" i="50"/>
  <c r="G6918" i="50"/>
  <c r="U6907" i="50"/>
  <c r="F6907" i="50"/>
  <c r="G6907" i="50"/>
  <c r="U6939" i="50"/>
  <c r="G6939" i="50"/>
  <c r="F6939" i="50"/>
  <c r="G6920" i="50"/>
  <c r="F6920" i="50"/>
  <c r="V6920" i="50"/>
  <c r="U6920" i="50"/>
  <c r="V6907" i="50"/>
  <c r="D6919" i="50"/>
  <c r="B6943" i="50"/>
  <c r="E6919" i="50"/>
  <c r="V6936" i="50"/>
  <c r="U6936" i="50"/>
  <c r="F6936" i="50"/>
  <c r="G6936" i="50"/>
  <c r="V6902" i="50"/>
  <c r="U6902" i="50"/>
  <c r="G6902" i="50"/>
  <c r="F6918" i="50"/>
  <c r="U6895" i="50"/>
  <c r="G6895" i="50"/>
  <c r="F6895" i="50"/>
  <c r="V6910" i="50"/>
  <c r="G6910" i="50"/>
  <c r="U6910" i="50"/>
  <c r="V6935" i="50"/>
  <c r="U6935" i="50"/>
  <c r="F6935" i="50"/>
  <c r="G6935" i="50"/>
  <c r="V6895" i="50"/>
  <c r="V6946" i="50"/>
  <c r="U6946" i="50"/>
  <c r="G6946" i="50"/>
  <c r="F6946" i="50"/>
  <c r="F6961" i="50"/>
  <c r="V6961" i="50"/>
  <c r="G6961" i="50"/>
  <c r="F6902" i="50"/>
  <c r="U6954" i="50"/>
  <c r="V6954" i="50"/>
  <c r="F6954" i="50"/>
  <c r="V6904" i="50"/>
  <c r="U6904" i="50"/>
  <c r="F6904" i="50"/>
  <c r="G6893" i="50"/>
  <c r="V6893" i="50"/>
  <c r="F6893" i="50"/>
  <c r="U6945" i="50"/>
  <c r="V6945" i="50"/>
  <c r="G6945" i="50"/>
  <c r="F6945" i="50"/>
  <c r="V6925" i="50"/>
  <c r="G6925" i="50"/>
  <c r="F6925" i="50"/>
  <c r="U6909" i="50"/>
  <c r="V6909" i="50"/>
  <c r="G6909" i="50"/>
  <c r="F6909" i="50"/>
  <c r="U6923" i="50"/>
  <c r="G6923" i="50"/>
  <c r="F6923" i="50"/>
  <c r="V6908" i="50"/>
  <c r="G6908" i="50"/>
  <c r="F6908" i="50"/>
  <c r="V6916" i="50"/>
  <c r="U6916" i="50"/>
  <c r="G6916" i="50"/>
  <c r="F6916" i="50"/>
  <c r="F6962" i="50"/>
  <c r="V6962" i="50"/>
  <c r="U6962" i="50"/>
  <c r="G6962" i="50"/>
  <c r="G6904" i="50"/>
  <c r="U6927" i="50"/>
  <c r="G6927" i="50"/>
  <c r="F6927" i="50"/>
  <c r="G6905" i="50"/>
  <c r="V6905" i="50"/>
  <c r="U6905" i="50"/>
  <c r="F6905" i="50"/>
  <c r="D6924" i="50"/>
  <c r="B6948" i="50"/>
  <c r="E6924" i="50"/>
  <c r="U6908" i="50"/>
  <c r="V6939" i="50"/>
  <c r="U6900" i="50"/>
  <c r="G6900" i="50"/>
  <c r="F6900" i="50"/>
  <c r="V6900" i="50"/>
  <c r="U6961" i="50"/>
  <c r="F6910" i="50"/>
  <c r="B6953" i="50"/>
  <c r="D6953" i="50" s="1"/>
  <c r="E6929" i="50"/>
  <c r="E6942" i="50"/>
  <c r="B6966" i="50"/>
  <c r="D6966" i="50" s="1"/>
  <c r="B6955" i="50"/>
  <c r="D6955" i="50" s="1"/>
  <c r="E6931" i="50"/>
  <c r="B6941" i="50"/>
  <c r="D6941" i="50" s="1"/>
  <c r="E6917" i="50"/>
  <c r="B6952" i="50"/>
  <c r="D6952" i="50" s="1"/>
  <c r="E6928" i="50"/>
  <c r="V6928" i="50" s="1"/>
  <c r="E6951" i="50"/>
  <c r="B6975" i="50"/>
  <c r="D6975" i="50" s="1"/>
  <c r="B6956" i="50"/>
  <c r="D6956" i="50" s="1"/>
  <c r="E6932" i="50"/>
  <c r="E6944" i="50"/>
  <c r="V6944" i="50" s="1"/>
  <c r="B6968" i="50"/>
  <c r="D6968" i="50" s="1"/>
  <c r="B6958" i="50"/>
  <c r="D6958" i="50" s="1"/>
  <c r="E6934" i="50"/>
  <c r="E6949" i="50"/>
  <c r="B6973" i="50"/>
  <c r="D6973" i="50" s="1"/>
  <c r="B6987" i="50"/>
  <c r="D6987" i="50" s="1"/>
  <c r="E6963" i="50"/>
  <c r="B6983" i="50"/>
  <c r="D6983" i="50" s="1"/>
  <c r="E6959" i="50"/>
  <c r="B7010" i="50"/>
  <c r="D7010" i="50" s="1"/>
  <c r="E6986" i="50"/>
  <c r="G6986" i="50" s="1"/>
  <c r="E6960" i="50"/>
  <c r="B6984" i="50"/>
  <c r="D6984" i="50" s="1"/>
  <c r="E6940" i="50"/>
  <c r="U6940" i="50" s="1"/>
  <c r="B6964" i="50"/>
  <c r="D6964" i="50" s="1"/>
  <c r="E6969" i="50"/>
  <c r="B6993" i="50"/>
  <c r="D6993" i="50" s="1"/>
  <c r="B6994" i="50"/>
  <c r="D6994" i="50" s="1"/>
  <c r="E6970" i="50"/>
  <c r="G6970" i="50" s="1"/>
  <c r="B7002" i="50"/>
  <c r="D7002" i="50" s="1"/>
  <c r="E6978" i="50"/>
  <c r="B6957" i="50"/>
  <c r="D6957" i="50" s="1"/>
  <c r="E6933" i="50"/>
  <c r="U6933" i="50" s="1"/>
  <c r="E6985" i="50"/>
  <c r="B7009" i="50"/>
  <c r="D7009" i="50" s="1"/>
  <c r="B6971" i="50"/>
  <c r="D6971" i="50" s="1"/>
  <c r="E6947" i="50"/>
  <c r="E6926" i="50"/>
  <c r="B6950" i="50"/>
  <c r="D6950" i="50" s="1"/>
  <c r="U6924" i="50" l="1"/>
  <c r="V6949" i="50"/>
  <c r="F6949" i="50"/>
  <c r="G6949" i="50"/>
  <c r="V6942" i="50"/>
  <c r="G6942" i="50"/>
  <c r="U6942" i="50"/>
  <c r="F6942" i="50"/>
  <c r="V6934" i="50"/>
  <c r="U6934" i="50"/>
  <c r="G6934" i="50"/>
  <c r="U6929" i="50"/>
  <c r="F6929" i="50"/>
  <c r="V6929" i="50"/>
  <c r="G6929" i="50"/>
  <c r="U6949" i="50"/>
  <c r="V6969" i="50"/>
  <c r="F6969" i="50"/>
  <c r="U6969" i="50"/>
  <c r="G6969" i="50"/>
  <c r="G6944" i="50"/>
  <c r="F6944" i="50"/>
  <c r="U6944" i="50"/>
  <c r="F6932" i="50"/>
  <c r="V6932" i="50"/>
  <c r="U6932" i="50"/>
  <c r="G6932" i="50"/>
  <c r="G6926" i="50"/>
  <c r="V6926" i="50"/>
  <c r="U6926" i="50"/>
  <c r="F6926" i="50"/>
  <c r="U6960" i="50"/>
  <c r="G6960" i="50"/>
  <c r="F6960" i="50"/>
  <c r="U6986" i="50"/>
  <c r="F6986" i="50"/>
  <c r="V6986" i="50"/>
  <c r="U6951" i="50"/>
  <c r="G6951" i="50"/>
  <c r="F6951" i="50"/>
  <c r="V6951" i="50"/>
  <c r="U6985" i="50"/>
  <c r="G6985" i="50"/>
  <c r="V6985" i="50"/>
  <c r="F6985" i="50"/>
  <c r="F6933" i="50"/>
  <c r="V6933" i="50"/>
  <c r="G6933" i="50"/>
  <c r="U6928" i="50"/>
  <c r="G6928" i="50"/>
  <c r="F6928" i="50"/>
  <c r="F6934" i="50"/>
  <c r="V6960" i="50"/>
  <c r="V6940" i="50"/>
  <c r="G6940" i="50"/>
  <c r="F6940" i="50"/>
  <c r="V6978" i="50"/>
  <c r="U6978" i="50"/>
  <c r="G6978" i="50"/>
  <c r="F6978" i="50"/>
  <c r="G6959" i="50"/>
  <c r="U6959" i="50"/>
  <c r="F6959" i="50"/>
  <c r="G6917" i="50"/>
  <c r="V6917" i="50"/>
  <c r="F6917" i="50"/>
  <c r="U6917" i="50"/>
  <c r="V6947" i="50"/>
  <c r="U6947" i="50"/>
  <c r="G6947" i="50"/>
  <c r="F6947" i="50"/>
  <c r="V6924" i="50"/>
  <c r="G6924" i="50"/>
  <c r="F6924" i="50"/>
  <c r="U6919" i="50"/>
  <c r="G6919" i="50"/>
  <c r="V6919" i="50"/>
  <c r="F6919" i="50"/>
  <c r="U6970" i="50"/>
  <c r="V6970" i="50"/>
  <c r="F6970" i="50"/>
  <c r="V6963" i="50"/>
  <c r="U6963" i="50"/>
  <c r="G6963" i="50"/>
  <c r="F6963" i="50"/>
  <c r="V6931" i="50"/>
  <c r="G6931" i="50"/>
  <c r="F6931" i="50"/>
  <c r="U6931" i="50"/>
  <c r="D6948" i="50"/>
  <c r="E6948" i="50"/>
  <c r="B6972" i="50"/>
  <c r="V6959" i="50"/>
  <c r="D6943" i="50"/>
  <c r="E6943" i="50"/>
  <c r="B6967" i="50"/>
  <c r="B7011" i="50"/>
  <c r="D7011" i="50" s="1"/>
  <c r="E6987" i="50"/>
  <c r="B6997" i="50"/>
  <c r="D6997" i="50" s="1"/>
  <c r="E6973" i="50"/>
  <c r="B6976" i="50"/>
  <c r="D6976" i="50" s="1"/>
  <c r="E6952" i="50"/>
  <c r="B7034" i="50"/>
  <c r="D7034" i="50" s="1"/>
  <c r="E7010" i="50"/>
  <c r="B7008" i="50"/>
  <c r="D7008" i="50" s="1"/>
  <c r="E6984" i="50"/>
  <c r="E6983" i="50"/>
  <c r="B7007" i="50"/>
  <c r="D7007" i="50" s="1"/>
  <c r="B6965" i="50"/>
  <c r="D6965" i="50" s="1"/>
  <c r="E6941" i="50"/>
  <c r="U6941" i="50" s="1"/>
  <c r="E6958" i="50"/>
  <c r="B6982" i="50"/>
  <c r="D6982" i="50" s="1"/>
  <c r="B6974" i="50"/>
  <c r="D6974" i="50" s="1"/>
  <c r="E6950" i="50"/>
  <c r="B7018" i="50"/>
  <c r="D7018" i="50" s="1"/>
  <c r="E6994" i="50"/>
  <c r="B6979" i="50"/>
  <c r="D6979" i="50" s="1"/>
  <c r="E6955" i="50"/>
  <c r="V6955" i="50" s="1"/>
  <c r="B7033" i="50"/>
  <c r="D7033" i="50" s="1"/>
  <c r="E7009" i="50"/>
  <c r="B7017" i="50"/>
  <c r="D7017" i="50" s="1"/>
  <c r="E6993" i="50"/>
  <c r="B6990" i="50"/>
  <c r="D6990" i="50" s="1"/>
  <c r="E6966" i="50"/>
  <c r="B6995" i="50"/>
  <c r="D6995" i="50" s="1"/>
  <c r="E6971" i="50"/>
  <c r="V6971" i="50" s="1"/>
  <c r="B6992" i="50"/>
  <c r="D6992" i="50" s="1"/>
  <c r="E6968" i="50"/>
  <c r="B6988" i="50"/>
  <c r="D6988" i="50" s="1"/>
  <c r="E6964" i="50"/>
  <c r="E6956" i="50"/>
  <c r="B6980" i="50"/>
  <c r="D6980" i="50" s="1"/>
  <c r="B7026" i="50"/>
  <c r="D7026" i="50" s="1"/>
  <c r="E7002" i="50"/>
  <c r="G7002" i="50" s="1"/>
  <c r="B6999" i="50"/>
  <c r="D6999" i="50" s="1"/>
  <c r="E6975" i="50"/>
  <c r="V6975" i="50" s="1"/>
  <c r="B6981" i="50"/>
  <c r="D6981" i="50" s="1"/>
  <c r="E6957" i="50"/>
  <c r="U6957" i="50" s="1"/>
  <c r="E6953" i="50"/>
  <c r="B6977" i="50"/>
  <c r="D6977" i="50" s="1"/>
  <c r="V6956" i="50" l="1"/>
  <c r="G6956" i="50"/>
  <c r="F6956" i="50"/>
  <c r="G6952" i="50"/>
  <c r="V6952" i="50"/>
  <c r="U6952" i="50"/>
  <c r="F6952" i="50"/>
  <c r="G6994" i="50"/>
  <c r="F6994" i="50"/>
  <c r="V6994" i="50"/>
  <c r="U6994" i="50"/>
  <c r="V6973" i="50"/>
  <c r="G6973" i="50"/>
  <c r="F6973" i="50"/>
  <c r="F6987" i="50"/>
  <c r="U6987" i="50"/>
  <c r="G6987" i="50"/>
  <c r="V6950" i="50"/>
  <c r="U6950" i="50"/>
  <c r="G6950" i="50"/>
  <c r="F6950" i="50"/>
  <c r="F6971" i="50"/>
  <c r="U6971" i="50"/>
  <c r="G6971" i="50"/>
  <c r="D6967" i="50"/>
  <c r="E6967" i="50"/>
  <c r="B6991" i="50"/>
  <c r="U6964" i="50"/>
  <c r="G6964" i="50"/>
  <c r="F6964" i="50"/>
  <c r="V6964" i="50"/>
  <c r="V6958" i="50"/>
  <c r="G6958" i="50"/>
  <c r="U6958" i="50"/>
  <c r="F6958" i="50"/>
  <c r="U6943" i="50"/>
  <c r="G6943" i="50"/>
  <c r="F6943" i="50"/>
  <c r="G6966" i="50"/>
  <c r="F6966" i="50"/>
  <c r="V6966" i="50"/>
  <c r="U6966" i="50"/>
  <c r="V6941" i="50"/>
  <c r="F6941" i="50"/>
  <c r="G6941" i="50"/>
  <c r="V6943" i="50"/>
  <c r="U6975" i="50"/>
  <c r="G6975" i="50"/>
  <c r="F6975" i="50"/>
  <c r="V6993" i="50"/>
  <c r="F6993" i="50"/>
  <c r="G6993" i="50"/>
  <c r="D6972" i="50"/>
  <c r="B6996" i="50"/>
  <c r="E6972" i="50"/>
  <c r="U6983" i="50"/>
  <c r="G6983" i="50"/>
  <c r="V6983" i="50"/>
  <c r="F6983" i="50"/>
  <c r="V6948" i="50"/>
  <c r="U6948" i="50"/>
  <c r="G6948" i="50"/>
  <c r="F6948" i="50"/>
  <c r="U6953" i="50"/>
  <c r="G6953" i="50"/>
  <c r="V6953" i="50"/>
  <c r="F6953" i="50"/>
  <c r="U7002" i="50"/>
  <c r="F7002" i="50"/>
  <c r="V7002" i="50"/>
  <c r="F7009" i="50"/>
  <c r="U7009" i="50"/>
  <c r="V7009" i="50"/>
  <c r="G7009" i="50"/>
  <c r="G6984" i="50"/>
  <c r="V6984" i="50"/>
  <c r="U6984" i="50"/>
  <c r="F6984" i="50"/>
  <c r="U6956" i="50"/>
  <c r="V6987" i="50"/>
  <c r="V6957" i="50"/>
  <c r="F6957" i="50"/>
  <c r="G6957" i="50"/>
  <c r="U6973" i="50"/>
  <c r="G6968" i="50"/>
  <c r="V6968" i="50"/>
  <c r="U6968" i="50"/>
  <c r="F6968" i="50"/>
  <c r="U6955" i="50"/>
  <c r="G6955" i="50"/>
  <c r="F6955" i="50"/>
  <c r="V7010" i="50"/>
  <c r="U7010" i="50"/>
  <c r="G7010" i="50"/>
  <c r="F7010" i="50"/>
  <c r="U6993" i="50"/>
  <c r="E6976" i="50"/>
  <c r="B7000" i="50"/>
  <c r="D7000" i="50" s="1"/>
  <c r="B7050" i="50"/>
  <c r="D7050" i="50" s="1"/>
  <c r="E7026" i="50"/>
  <c r="E7033" i="50"/>
  <c r="B7057" i="50"/>
  <c r="D7057" i="50" s="1"/>
  <c r="B7042" i="50"/>
  <c r="D7042" i="50" s="1"/>
  <c r="E7018" i="50"/>
  <c r="B7006" i="50"/>
  <c r="D7006" i="50" s="1"/>
  <c r="E6982" i="50"/>
  <c r="B7004" i="50"/>
  <c r="D7004" i="50" s="1"/>
  <c r="E6980" i="50"/>
  <c r="E6992" i="50"/>
  <c r="V6992" i="50" s="1"/>
  <c r="B7016" i="50"/>
  <c r="D7016" i="50" s="1"/>
  <c r="E6997" i="50"/>
  <c r="B7021" i="50"/>
  <c r="D7021" i="50" s="1"/>
  <c r="E6981" i="50"/>
  <c r="U6981" i="50" s="1"/>
  <c r="B7005" i="50"/>
  <c r="D7005" i="50" s="1"/>
  <c r="E6974" i="50"/>
  <c r="B6998" i="50"/>
  <c r="D6998" i="50" s="1"/>
  <c r="E7008" i="50"/>
  <c r="V7008" i="50" s="1"/>
  <c r="B7032" i="50"/>
  <c r="D7032" i="50" s="1"/>
  <c r="E6965" i="50"/>
  <c r="B6989" i="50"/>
  <c r="D6989" i="50" s="1"/>
  <c r="B7001" i="50"/>
  <c r="D7001" i="50" s="1"/>
  <c r="E6977" i="50"/>
  <c r="B7019" i="50"/>
  <c r="D7019" i="50" s="1"/>
  <c r="E6995" i="50"/>
  <c r="B7031" i="50"/>
  <c r="D7031" i="50" s="1"/>
  <c r="E7007" i="50"/>
  <c r="E7017" i="50"/>
  <c r="B7041" i="50"/>
  <c r="D7041" i="50" s="1"/>
  <c r="E6999" i="50"/>
  <c r="B7023" i="50"/>
  <c r="D7023" i="50" s="1"/>
  <c r="E6988" i="50"/>
  <c r="U6988" i="50" s="1"/>
  <c r="B7012" i="50"/>
  <c r="D7012" i="50" s="1"/>
  <c r="E6990" i="50"/>
  <c r="B7014" i="50"/>
  <c r="D7014" i="50" s="1"/>
  <c r="B7058" i="50"/>
  <c r="D7058" i="50" s="1"/>
  <c r="E7034" i="50"/>
  <c r="G7034" i="50" s="1"/>
  <c r="B7003" i="50"/>
  <c r="D7003" i="50" s="1"/>
  <c r="E6979" i="50"/>
  <c r="B7035" i="50"/>
  <c r="D7035" i="50" s="1"/>
  <c r="E7011" i="50"/>
  <c r="U6999" i="50" l="1"/>
  <c r="G6999" i="50"/>
  <c r="F6999" i="50"/>
  <c r="V6999" i="50"/>
  <c r="V6972" i="50"/>
  <c r="G6972" i="50"/>
  <c r="F6972" i="50"/>
  <c r="D6996" i="50"/>
  <c r="B7020" i="50"/>
  <c r="E6996" i="50"/>
  <c r="V6981" i="50"/>
  <c r="F6981" i="50"/>
  <c r="G6981" i="50"/>
  <c r="U6976" i="50"/>
  <c r="G6976" i="50"/>
  <c r="F6976" i="50"/>
  <c r="U6972" i="50"/>
  <c r="U7007" i="50"/>
  <c r="G7007" i="50"/>
  <c r="F7007" i="50"/>
  <c r="V7007" i="50"/>
  <c r="G7026" i="50"/>
  <c r="F7026" i="50"/>
  <c r="V7026" i="50"/>
  <c r="U7026" i="50"/>
  <c r="V6997" i="50"/>
  <c r="F6997" i="50"/>
  <c r="G6997" i="50"/>
  <c r="U6992" i="50"/>
  <c r="G6992" i="50"/>
  <c r="F6992" i="50"/>
  <c r="U6967" i="50"/>
  <c r="F6967" i="50"/>
  <c r="G6967" i="50"/>
  <c r="V6967" i="50"/>
  <c r="U6977" i="50"/>
  <c r="V6977" i="50"/>
  <c r="G6977" i="50"/>
  <c r="F6977" i="50"/>
  <c r="U6980" i="50"/>
  <c r="G6980" i="50"/>
  <c r="F6980" i="50"/>
  <c r="V6980" i="50"/>
  <c r="V6976" i="50"/>
  <c r="V6995" i="50"/>
  <c r="U6995" i="50"/>
  <c r="G6995" i="50"/>
  <c r="F6995" i="50"/>
  <c r="V6982" i="50"/>
  <c r="U6982" i="50"/>
  <c r="G6982" i="50"/>
  <c r="F6982" i="50"/>
  <c r="V6979" i="50"/>
  <c r="U6979" i="50"/>
  <c r="G6979" i="50"/>
  <c r="F6979" i="50"/>
  <c r="V6965" i="50"/>
  <c r="F6965" i="50"/>
  <c r="G6965" i="50"/>
  <c r="U6965" i="50"/>
  <c r="V7011" i="50"/>
  <c r="U7011" i="50"/>
  <c r="G7011" i="50"/>
  <c r="F7011" i="50"/>
  <c r="U7018" i="50"/>
  <c r="V7018" i="50"/>
  <c r="F7018" i="50"/>
  <c r="V6990" i="50"/>
  <c r="U6990" i="50"/>
  <c r="G6990" i="50"/>
  <c r="F6990" i="50"/>
  <c r="U7008" i="50"/>
  <c r="G7008" i="50"/>
  <c r="F7008" i="50"/>
  <c r="U7017" i="50"/>
  <c r="G7017" i="50"/>
  <c r="V7017" i="50"/>
  <c r="F7017" i="50"/>
  <c r="U7034" i="50"/>
  <c r="V7034" i="50"/>
  <c r="F7034" i="50"/>
  <c r="U6997" i="50"/>
  <c r="V6988" i="50"/>
  <c r="G6988" i="50"/>
  <c r="F6988" i="50"/>
  <c r="V6974" i="50"/>
  <c r="G6974" i="50"/>
  <c r="U6974" i="50"/>
  <c r="F6974" i="50"/>
  <c r="V7033" i="50"/>
  <c r="F7033" i="50"/>
  <c r="U7033" i="50"/>
  <c r="G7033" i="50"/>
  <c r="D6991" i="50"/>
  <c r="E6991" i="50"/>
  <c r="B7015" i="50"/>
  <c r="G7018" i="50"/>
  <c r="B7056" i="50"/>
  <c r="D7056" i="50" s="1"/>
  <c r="E7032" i="50"/>
  <c r="B7065" i="50"/>
  <c r="D7065" i="50" s="1"/>
  <c r="E7041" i="50"/>
  <c r="B7043" i="50"/>
  <c r="D7043" i="50" s="1"/>
  <c r="E7019" i="50"/>
  <c r="B7066" i="50"/>
  <c r="D7066" i="50" s="1"/>
  <c r="E7042" i="50"/>
  <c r="B7022" i="50"/>
  <c r="D7022" i="50" s="1"/>
  <c r="E6998" i="50"/>
  <c r="B7081" i="50"/>
  <c r="D7081" i="50" s="1"/>
  <c r="E7057" i="50"/>
  <c r="B7027" i="50"/>
  <c r="D7027" i="50" s="1"/>
  <c r="E7003" i="50"/>
  <c r="B7038" i="50"/>
  <c r="D7038" i="50" s="1"/>
  <c r="E7014" i="50"/>
  <c r="E7001" i="50"/>
  <c r="B7025" i="50"/>
  <c r="D7025" i="50" s="1"/>
  <c r="E7004" i="50"/>
  <c r="B7028" i="50"/>
  <c r="D7028" i="50" s="1"/>
  <c r="B7013" i="50"/>
  <c r="D7013" i="50" s="1"/>
  <c r="E6989" i="50"/>
  <c r="U6989" i="50" s="1"/>
  <c r="B7036" i="50"/>
  <c r="D7036" i="50" s="1"/>
  <c r="E7012" i="50"/>
  <c r="B7059" i="50"/>
  <c r="D7059" i="50" s="1"/>
  <c r="E7035" i="50"/>
  <c r="F7035" i="50" s="1"/>
  <c r="B7029" i="50"/>
  <c r="D7029" i="50" s="1"/>
  <c r="E7005" i="50"/>
  <c r="U7005" i="50" s="1"/>
  <c r="B7024" i="50"/>
  <c r="D7024" i="50" s="1"/>
  <c r="E7000" i="50"/>
  <c r="B7040" i="50"/>
  <c r="D7040" i="50" s="1"/>
  <c r="E7016" i="50"/>
  <c r="G7016" i="50" s="1"/>
  <c r="E7006" i="50"/>
  <c r="B7030" i="50"/>
  <c r="D7030" i="50" s="1"/>
  <c r="B7074" i="50"/>
  <c r="D7074" i="50" s="1"/>
  <c r="E7050" i="50"/>
  <c r="B7045" i="50"/>
  <c r="D7045" i="50" s="1"/>
  <c r="E7021" i="50"/>
  <c r="U7021" i="50" s="1"/>
  <c r="B7082" i="50"/>
  <c r="D7082" i="50" s="1"/>
  <c r="E7058" i="50"/>
  <c r="B7047" i="50"/>
  <c r="D7047" i="50" s="1"/>
  <c r="E7023" i="50"/>
  <c r="E7031" i="50"/>
  <c r="B7055" i="50"/>
  <c r="D7055" i="50" s="1"/>
  <c r="G7041" i="50" l="1"/>
  <c r="U7041" i="50"/>
  <c r="F7041" i="50"/>
  <c r="V7041" i="50"/>
  <c r="V7004" i="50"/>
  <c r="G7004" i="50"/>
  <c r="F7004" i="50"/>
  <c r="V7032" i="50"/>
  <c r="U7032" i="50"/>
  <c r="F7032" i="50"/>
  <c r="G7032" i="50"/>
  <c r="V6996" i="50"/>
  <c r="U6996" i="50"/>
  <c r="G6996" i="50"/>
  <c r="F6996" i="50"/>
  <c r="V7001" i="50"/>
  <c r="F7001" i="50"/>
  <c r="U7001" i="50"/>
  <c r="G7001" i="50"/>
  <c r="D7020" i="50"/>
  <c r="B7044" i="50"/>
  <c r="E7020" i="50"/>
  <c r="V7014" i="50"/>
  <c r="U7014" i="50"/>
  <c r="G7014" i="50"/>
  <c r="F7014" i="50"/>
  <c r="V6989" i="50"/>
  <c r="G6989" i="50"/>
  <c r="F6989" i="50"/>
  <c r="V7016" i="50"/>
  <c r="F7016" i="50"/>
  <c r="U7016" i="50"/>
  <c r="D7015" i="50"/>
  <c r="E7015" i="50"/>
  <c r="B7039" i="50"/>
  <c r="U7023" i="50"/>
  <c r="G7023" i="50"/>
  <c r="F7023" i="50"/>
  <c r="U7003" i="50"/>
  <c r="G7003" i="50"/>
  <c r="F7003" i="50"/>
  <c r="U6991" i="50"/>
  <c r="G6991" i="50"/>
  <c r="F6991" i="50"/>
  <c r="V7023" i="50"/>
  <c r="G7050" i="50"/>
  <c r="V7050" i="50"/>
  <c r="U7050" i="50"/>
  <c r="F7050" i="50"/>
  <c r="G7000" i="50"/>
  <c r="F7000" i="50"/>
  <c r="V7000" i="50"/>
  <c r="U7000" i="50"/>
  <c r="V6991" i="50"/>
  <c r="V7003" i="50"/>
  <c r="G7057" i="50"/>
  <c r="U7057" i="50"/>
  <c r="V7057" i="50"/>
  <c r="F7057" i="50"/>
  <c r="U7031" i="50"/>
  <c r="G7031" i="50"/>
  <c r="F7031" i="50"/>
  <c r="V7031" i="50"/>
  <c r="U7019" i="50"/>
  <c r="G7019" i="50"/>
  <c r="F7019" i="50"/>
  <c r="V7006" i="50"/>
  <c r="U7006" i="50"/>
  <c r="F7006" i="50"/>
  <c r="G7006" i="50"/>
  <c r="V7005" i="50"/>
  <c r="G7005" i="50"/>
  <c r="F7005" i="50"/>
  <c r="V7012" i="50"/>
  <c r="U7012" i="50"/>
  <c r="G7012" i="50"/>
  <c r="F7012" i="50"/>
  <c r="G6998" i="50"/>
  <c r="F6998" i="50"/>
  <c r="V6998" i="50"/>
  <c r="U6998" i="50"/>
  <c r="V7058" i="50"/>
  <c r="U7058" i="50"/>
  <c r="G7058" i="50"/>
  <c r="F7058" i="50"/>
  <c r="V7021" i="50"/>
  <c r="G7021" i="50"/>
  <c r="F7021" i="50"/>
  <c r="V7042" i="50"/>
  <c r="F7042" i="50"/>
  <c r="U7042" i="50"/>
  <c r="G7042" i="50"/>
  <c r="U7004" i="50"/>
  <c r="V7035" i="50"/>
  <c r="U7035" i="50"/>
  <c r="G7035" i="50"/>
  <c r="V7019" i="50"/>
  <c r="B7049" i="50"/>
  <c r="D7049" i="50" s="1"/>
  <c r="E7025" i="50"/>
  <c r="B7090" i="50"/>
  <c r="D7090" i="50" s="1"/>
  <c r="E7066" i="50"/>
  <c r="B7067" i="50"/>
  <c r="D7067" i="50" s="1"/>
  <c r="E7043" i="50"/>
  <c r="E7024" i="50"/>
  <c r="V7024" i="50" s="1"/>
  <c r="B7048" i="50"/>
  <c r="D7048" i="50" s="1"/>
  <c r="E7022" i="50"/>
  <c r="B7046" i="50"/>
  <c r="D7046" i="50" s="1"/>
  <c r="E7065" i="50"/>
  <c r="B7089" i="50"/>
  <c r="D7089" i="50" s="1"/>
  <c r="E7029" i="50"/>
  <c r="U7029" i="50" s="1"/>
  <c r="B7053" i="50"/>
  <c r="D7053" i="50" s="1"/>
  <c r="E7045" i="50"/>
  <c r="B7069" i="50"/>
  <c r="D7069" i="50" s="1"/>
  <c r="E7038" i="50"/>
  <c r="B7062" i="50"/>
  <c r="D7062" i="50" s="1"/>
  <c r="E7056" i="50"/>
  <c r="B7080" i="50"/>
  <c r="D7080" i="50" s="1"/>
  <c r="B7051" i="50"/>
  <c r="D7051" i="50" s="1"/>
  <c r="E7027" i="50"/>
  <c r="E7036" i="50"/>
  <c r="F7036" i="50" s="1"/>
  <c r="B7060" i="50"/>
  <c r="D7060" i="50" s="1"/>
  <c r="B7083" i="50"/>
  <c r="D7083" i="50" s="1"/>
  <c r="E7059" i="50"/>
  <c r="E7081" i="50"/>
  <c r="B7105" i="50"/>
  <c r="D7105" i="50" s="1"/>
  <c r="E7047" i="50"/>
  <c r="U7047" i="50" s="1"/>
  <c r="B7071" i="50"/>
  <c r="D7071" i="50" s="1"/>
  <c r="B7098" i="50"/>
  <c r="D7098" i="50" s="1"/>
  <c r="E7074" i="50"/>
  <c r="E7013" i="50"/>
  <c r="B7037" i="50"/>
  <c r="D7037" i="50" s="1"/>
  <c r="B7054" i="50"/>
  <c r="D7054" i="50" s="1"/>
  <c r="E7030" i="50"/>
  <c r="B7052" i="50"/>
  <c r="D7052" i="50" s="1"/>
  <c r="E7028" i="50"/>
  <c r="B7079" i="50"/>
  <c r="D7079" i="50" s="1"/>
  <c r="E7055" i="50"/>
  <c r="B7106" i="50"/>
  <c r="D7106" i="50" s="1"/>
  <c r="E7082" i="50"/>
  <c r="V7082" i="50" s="1"/>
  <c r="E7040" i="50"/>
  <c r="B7064" i="50"/>
  <c r="D7064" i="50" s="1"/>
  <c r="U7066" i="50" l="1"/>
  <c r="G7066" i="50"/>
  <c r="F7066" i="50"/>
  <c r="V7066" i="50"/>
  <c r="V7038" i="50"/>
  <c r="U7038" i="50"/>
  <c r="F7038" i="50"/>
  <c r="V7025" i="50"/>
  <c r="G7025" i="50"/>
  <c r="F7025" i="50"/>
  <c r="V7045" i="50"/>
  <c r="U7045" i="50"/>
  <c r="G7045" i="50"/>
  <c r="F7045" i="50"/>
  <c r="G7043" i="50"/>
  <c r="V7043" i="50"/>
  <c r="U7043" i="50"/>
  <c r="V7029" i="50"/>
  <c r="F7029" i="50"/>
  <c r="G7029" i="50"/>
  <c r="G7030" i="50"/>
  <c r="F7030" i="50"/>
  <c r="V7030" i="50"/>
  <c r="U7030" i="50"/>
  <c r="U7025" i="50"/>
  <c r="F7020" i="50"/>
  <c r="V7020" i="50"/>
  <c r="G7020" i="50"/>
  <c r="V7074" i="50"/>
  <c r="G7074" i="50"/>
  <c r="U7074" i="50"/>
  <c r="F7074" i="50"/>
  <c r="V7081" i="50"/>
  <c r="U7081" i="50"/>
  <c r="G7081" i="50"/>
  <c r="F7081" i="50"/>
  <c r="V7065" i="50"/>
  <c r="U7065" i="50"/>
  <c r="G7065" i="50"/>
  <c r="F7065" i="50"/>
  <c r="D7039" i="50"/>
  <c r="B7063" i="50"/>
  <c r="E7039" i="50"/>
  <c r="D7044" i="50"/>
  <c r="B7068" i="50"/>
  <c r="E7044" i="50"/>
  <c r="V7056" i="50"/>
  <c r="U7056" i="50"/>
  <c r="G7056" i="50"/>
  <c r="F7056" i="50"/>
  <c r="U7015" i="50"/>
  <c r="F7015" i="50"/>
  <c r="V7015" i="50"/>
  <c r="G7015" i="50"/>
  <c r="U7020" i="50"/>
  <c r="V7022" i="50"/>
  <c r="G7022" i="50"/>
  <c r="U7022" i="50"/>
  <c r="F7022" i="50"/>
  <c r="V7047" i="50"/>
  <c r="F7047" i="50"/>
  <c r="G7047" i="50"/>
  <c r="F7055" i="50"/>
  <c r="G7055" i="50"/>
  <c r="V7055" i="50"/>
  <c r="U7055" i="50"/>
  <c r="V7028" i="50"/>
  <c r="U7028" i="50"/>
  <c r="G7028" i="50"/>
  <c r="F7028" i="50"/>
  <c r="G7038" i="50"/>
  <c r="V7059" i="50"/>
  <c r="U7059" i="50"/>
  <c r="G7059" i="50"/>
  <c r="F7059" i="50"/>
  <c r="V7036" i="50"/>
  <c r="U7036" i="50"/>
  <c r="G7036" i="50"/>
  <c r="F7013" i="50"/>
  <c r="V7013" i="50"/>
  <c r="G7013" i="50"/>
  <c r="U7082" i="50"/>
  <c r="G7082" i="50"/>
  <c r="F7082" i="50"/>
  <c r="V7027" i="50"/>
  <c r="U7027" i="50"/>
  <c r="G7027" i="50"/>
  <c r="F7027" i="50"/>
  <c r="F7043" i="50"/>
  <c r="V7040" i="50"/>
  <c r="U7040" i="50"/>
  <c r="G7040" i="50"/>
  <c r="F7040" i="50"/>
  <c r="U7024" i="50"/>
  <c r="G7024" i="50"/>
  <c r="F7024" i="50"/>
  <c r="U7013" i="50"/>
  <c r="E7079" i="50"/>
  <c r="B7103" i="50"/>
  <c r="D7103" i="50" s="1"/>
  <c r="B7093" i="50"/>
  <c r="D7093" i="50" s="1"/>
  <c r="E7069" i="50"/>
  <c r="U7069" i="50" s="1"/>
  <c r="B7075" i="50"/>
  <c r="D7075" i="50" s="1"/>
  <c r="E7051" i="50"/>
  <c r="B7129" i="50"/>
  <c r="D7129" i="50" s="1"/>
  <c r="E7105" i="50"/>
  <c r="B7113" i="50"/>
  <c r="D7113" i="50" s="1"/>
  <c r="E7089" i="50"/>
  <c r="B7091" i="50"/>
  <c r="D7091" i="50" s="1"/>
  <c r="E7067" i="50"/>
  <c r="B7104" i="50"/>
  <c r="D7104" i="50" s="1"/>
  <c r="E7080" i="50"/>
  <c r="B7114" i="50"/>
  <c r="D7114" i="50" s="1"/>
  <c r="E7090" i="50"/>
  <c r="B7088" i="50"/>
  <c r="D7088" i="50" s="1"/>
  <c r="E7064" i="50"/>
  <c r="B7084" i="50"/>
  <c r="D7084" i="50" s="1"/>
  <c r="E7060" i="50"/>
  <c r="B7061" i="50"/>
  <c r="D7061" i="50" s="1"/>
  <c r="E7037" i="50"/>
  <c r="B7122" i="50"/>
  <c r="D7122" i="50" s="1"/>
  <c r="E7098" i="50"/>
  <c r="E7049" i="50"/>
  <c r="B7073" i="50"/>
  <c r="D7073" i="50" s="1"/>
  <c r="E7052" i="50"/>
  <c r="B7076" i="50"/>
  <c r="D7076" i="50" s="1"/>
  <c r="B7095" i="50"/>
  <c r="D7095" i="50" s="1"/>
  <c r="E7071" i="50"/>
  <c r="B7107" i="50"/>
  <c r="D7107" i="50" s="1"/>
  <c r="E7083" i="50"/>
  <c r="B7077" i="50"/>
  <c r="D7077" i="50" s="1"/>
  <c r="E7053" i="50"/>
  <c r="B7072" i="50"/>
  <c r="D7072" i="50" s="1"/>
  <c r="E7048" i="50"/>
  <c r="B7130" i="50"/>
  <c r="D7130" i="50" s="1"/>
  <c r="E7106" i="50"/>
  <c r="E7054" i="50"/>
  <c r="B7078" i="50"/>
  <c r="D7078" i="50" s="1"/>
  <c r="B7086" i="50"/>
  <c r="D7086" i="50" s="1"/>
  <c r="E7062" i="50"/>
  <c r="B7070" i="50"/>
  <c r="D7070" i="50" s="1"/>
  <c r="E7046" i="50"/>
  <c r="F7044" i="50" l="1"/>
  <c r="V7105" i="50"/>
  <c r="G7105" i="50"/>
  <c r="F7105" i="50"/>
  <c r="U7039" i="50"/>
  <c r="G7039" i="50"/>
  <c r="V7039" i="50"/>
  <c r="F7039" i="50"/>
  <c r="V7106" i="50"/>
  <c r="G7106" i="50"/>
  <c r="U7106" i="50"/>
  <c r="F7106" i="50"/>
  <c r="D7063" i="50"/>
  <c r="E7063" i="50"/>
  <c r="B7087" i="50"/>
  <c r="U7060" i="50"/>
  <c r="V7060" i="50"/>
  <c r="G7060" i="50"/>
  <c r="G7051" i="50"/>
  <c r="F7051" i="50"/>
  <c r="V7051" i="50"/>
  <c r="U7051" i="50"/>
  <c r="U7105" i="50"/>
  <c r="V7064" i="50"/>
  <c r="U7064" i="50"/>
  <c r="G7064" i="50"/>
  <c r="F7064" i="50"/>
  <c r="V7069" i="50"/>
  <c r="F7069" i="50"/>
  <c r="G7069" i="50"/>
  <c r="F7060" i="50"/>
  <c r="G7089" i="50"/>
  <c r="F7089" i="50"/>
  <c r="U7089" i="50"/>
  <c r="V7089" i="50"/>
  <c r="V7090" i="50"/>
  <c r="G7090" i="50"/>
  <c r="U7090" i="50"/>
  <c r="F7090" i="50"/>
  <c r="V7048" i="50"/>
  <c r="U7048" i="50"/>
  <c r="G7048" i="50"/>
  <c r="F7048" i="50"/>
  <c r="V7079" i="50"/>
  <c r="F7079" i="50"/>
  <c r="U7079" i="50"/>
  <c r="G7079" i="50"/>
  <c r="F7037" i="50"/>
  <c r="V7037" i="50"/>
  <c r="U7037" i="50"/>
  <c r="G7037" i="50"/>
  <c r="V7080" i="50"/>
  <c r="U7080" i="50"/>
  <c r="G7080" i="50"/>
  <c r="F7080" i="50"/>
  <c r="V7053" i="50"/>
  <c r="U7053" i="50"/>
  <c r="G7053" i="50"/>
  <c r="F7053" i="50"/>
  <c r="U7052" i="50"/>
  <c r="G7052" i="50"/>
  <c r="V7052" i="50"/>
  <c r="F7052" i="50"/>
  <c r="V7083" i="50"/>
  <c r="F7083" i="50"/>
  <c r="U7083" i="50"/>
  <c r="G7083" i="50"/>
  <c r="U7062" i="50"/>
  <c r="F7062" i="50"/>
  <c r="V7062" i="50"/>
  <c r="G7062" i="50"/>
  <c r="U7067" i="50"/>
  <c r="G7067" i="50"/>
  <c r="V7067" i="50"/>
  <c r="F7067" i="50"/>
  <c r="V7071" i="50"/>
  <c r="U7071" i="50"/>
  <c r="F7071" i="50"/>
  <c r="V7049" i="50"/>
  <c r="U7049" i="50"/>
  <c r="G7049" i="50"/>
  <c r="F7049" i="50"/>
  <c r="G7071" i="50"/>
  <c r="D7068" i="50"/>
  <c r="E7068" i="50"/>
  <c r="B7092" i="50"/>
  <c r="U7098" i="50"/>
  <c r="G7098" i="50"/>
  <c r="V7098" i="50"/>
  <c r="F7098" i="50"/>
  <c r="V7046" i="50"/>
  <c r="F7046" i="50"/>
  <c r="G7046" i="50"/>
  <c r="U7046" i="50"/>
  <c r="F7054" i="50"/>
  <c r="V7054" i="50"/>
  <c r="U7054" i="50"/>
  <c r="V7044" i="50"/>
  <c r="U7044" i="50"/>
  <c r="G7044" i="50"/>
  <c r="G7054" i="50"/>
  <c r="E7070" i="50"/>
  <c r="B7094" i="50"/>
  <c r="D7094" i="50" s="1"/>
  <c r="B7102" i="50"/>
  <c r="D7102" i="50" s="1"/>
  <c r="E7078" i="50"/>
  <c r="E7072" i="50"/>
  <c r="B7096" i="50"/>
  <c r="D7096" i="50" s="1"/>
  <c r="E7061" i="50"/>
  <c r="B7085" i="50"/>
  <c r="D7085" i="50" s="1"/>
  <c r="B7138" i="50"/>
  <c r="D7138" i="50" s="1"/>
  <c r="E7114" i="50"/>
  <c r="B7128" i="50"/>
  <c r="D7128" i="50" s="1"/>
  <c r="E7104" i="50"/>
  <c r="E7129" i="50"/>
  <c r="B7153" i="50"/>
  <c r="D7153" i="50" s="1"/>
  <c r="B7100" i="50"/>
  <c r="D7100" i="50" s="1"/>
  <c r="E7076" i="50"/>
  <c r="E7077" i="50"/>
  <c r="B7101" i="50"/>
  <c r="D7101" i="50" s="1"/>
  <c r="B7099" i="50"/>
  <c r="D7099" i="50" s="1"/>
  <c r="E7075" i="50"/>
  <c r="B7131" i="50"/>
  <c r="D7131" i="50" s="1"/>
  <c r="E7107" i="50"/>
  <c r="E7093" i="50"/>
  <c r="B7117" i="50"/>
  <c r="D7117" i="50" s="1"/>
  <c r="E7086" i="50"/>
  <c r="B7110" i="50"/>
  <c r="D7110" i="50" s="1"/>
  <c r="E7084" i="50"/>
  <c r="B7108" i="50"/>
  <c r="D7108" i="50" s="1"/>
  <c r="B7115" i="50"/>
  <c r="D7115" i="50" s="1"/>
  <c r="E7091" i="50"/>
  <c r="E7095" i="50"/>
  <c r="F7095" i="50" s="1"/>
  <c r="B7119" i="50"/>
  <c r="D7119" i="50" s="1"/>
  <c r="B7097" i="50"/>
  <c r="D7097" i="50" s="1"/>
  <c r="E7073" i="50"/>
  <c r="U7073" i="50" s="1"/>
  <c r="B7137" i="50"/>
  <c r="D7137" i="50" s="1"/>
  <c r="E7113" i="50"/>
  <c r="E7122" i="50"/>
  <c r="B7146" i="50"/>
  <c r="D7146" i="50" s="1"/>
  <c r="B7127" i="50"/>
  <c r="D7127" i="50" s="1"/>
  <c r="E7103" i="50"/>
  <c r="G7103" i="50" s="1"/>
  <c r="E7088" i="50"/>
  <c r="B7112" i="50"/>
  <c r="D7112" i="50" s="1"/>
  <c r="B7154" i="50"/>
  <c r="D7154" i="50" s="1"/>
  <c r="E7130" i="50"/>
  <c r="G7078" i="50" l="1"/>
  <c r="V7078" i="50"/>
  <c r="U7078" i="50"/>
  <c r="F7078" i="50"/>
  <c r="G7122" i="50"/>
  <c r="U7122" i="50"/>
  <c r="F7122" i="50"/>
  <c r="D7087" i="50"/>
  <c r="B7111" i="50"/>
  <c r="E7087" i="50"/>
  <c r="V7072" i="50"/>
  <c r="U7072" i="50"/>
  <c r="G7072" i="50"/>
  <c r="F7072" i="50"/>
  <c r="U7063" i="50"/>
  <c r="V7063" i="50"/>
  <c r="G7063" i="50"/>
  <c r="F7063" i="50"/>
  <c r="V7077" i="50"/>
  <c r="G7077" i="50"/>
  <c r="U7077" i="50"/>
  <c r="F7077" i="50"/>
  <c r="F7070" i="50"/>
  <c r="V7070" i="50"/>
  <c r="G7070" i="50"/>
  <c r="U7070" i="50"/>
  <c r="U7076" i="50"/>
  <c r="F7076" i="50"/>
  <c r="G7076" i="50"/>
  <c r="V7076" i="50"/>
  <c r="U7095" i="50"/>
  <c r="G7095" i="50"/>
  <c r="V7095" i="50"/>
  <c r="D7092" i="50"/>
  <c r="B7116" i="50"/>
  <c r="E7092" i="50"/>
  <c r="F7075" i="50"/>
  <c r="U7075" i="50"/>
  <c r="G7075" i="50"/>
  <c r="U7091" i="50"/>
  <c r="G7091" i="50"/>
  <c r="V7091" i="50"/>
  <c r="U7068" i="50"/>
  <c r="V7068" i="50"/>
  <c r="F7068" i="50"/>
  <c r="G7068" i="50"/>
  <c r="V7129" i="50"/>
  <c r="U7129" i="50"/>
  <c r="G7129" i="50"/>
  <c r="F7129" i="50"/>
  <c r="V7073" i="50"/>
  <c r="G7073" i="50"/>
  <c r="F7073" i="50"/>
  <c r="V7104" i="50"/>
  <c r="U7104" i="50"/>
  <c r="G7104" i="50"/>
  <c r="F7104" i="50"/>
  <c r="V7122" i="50"/>
  <c r="V7088" i="50"/>
  <c r="U7088" i="50"/>
  <c r="G7088" i="50"/>
  <c r="F7088" i="50"/>
  <c r="U7084" i="50"/>
  <c r="V7084" i="50"/>
  <c r="F7084" i="50"/>
  <c r="G7084" i="50"/>
  <c r="F7091" i="50"/>
  <c r="V7075" i="50"/>
  <c r="V7114" i="50"/>
  <c r="U7114" i="50"/>
  <c r="G7114" i="50"/>
  <c r="F7114" i="50"/>
  <c r="U7103" i="50"/>
  <c r="F7103" i="50"/>
  <c r="V7103" i="50"/>
  <c r="F7086" i="50"/>
  <c r="V7086" i="50"/>
  <c r="U7086" i="50"/>
  <c r="V7130" i="50"/>
  <c r="U7130" i="50"/>
  <c r="F7130" i="50"/>
  <c r="G7130" i="50"/>
  <c r="U7093" i="50"/>
  <c r="F7093" i="50"/>
  <c r="V7093" i="50"/>
  <c r="G7093" i="50"/>
  <c r="G7061" i="50"/>
  <c r="V7061" i="50"/>
  <c r="U7061" i="50"/>
  <c r="F7061" i="50"/>
  <c r="V7113" i="50"/>
  <c r="U7113" i="50"/>
  <c r="G7113" i="50"/>
  <c r="F7113" i="50"/>
  <c r="F7107" i="50"/>
  <c r="V7107" i="50"/>
  <c r="G7107" i="50"/>
  <c r="U7107" i="50"/>
  <c r="G7086" i="50"/>
  <c r="E7131" i="50"/>
  <c r="B7155" i="50"/>
  <c r="D7155" i="50" s="1"/>
  <c r="B7124" i="50"/>
  <c r="D7124" i="50" s="1"/>
  <c r="E7100" i="50"/>
  <c r="B7120" i="50"/>
  <c r="D7120" i="50" s="1"/>
  <c r="E7096" i="50"/>
  <c r="B7141" i="50"/>
  <c r="D7141" i="50" s="1"/>
  <c r="E7117" i="50"/>
  <c r="B7123" i="50"/>
  <c r="D7123" i="50" s="1"/>
  <c r="E7099" i="50"/>
  <c r="B7125" i="50"/>
  <c r="D7125" i="50" s="1"/>
  <c r="E7101" i="50"/>
  <c r="B7177" i="50"/>
  <c r="D7177" i="50" s="1"/>
  <c r="E7153" i="50"/>
  <c r="U7153" i="50" s="1"/>
  <c r="B7170" i="50"/>
  <c r="D7170" i="50" s="1"/>
  <c r="E7146" i="50"/>
  <c r="B7126" i="50"/>
  <c r="D7126" i="50" s="1"/>
  <c r="E7102" i="50"/>
  <c r="B7139" i="50"/>
  <c r="D7139" i="50" s="1"/>
  <c r="E7115" i="50"/>
  <c r="B7118" i="50"/>
  <c r="D7118" i="50" s="1"/>
  <c r="E7094" i="50"/>
  <c r="G7094" i="50" s="1"/>
  <c r="B7136" i="50"/>
  <c r="D7136" i="50" s="1"/>
  <c r="E7112" i="50"/>
  <c r="B7132" i="50"/>
  <c r="D7132" i="50" s="1"/>
  <c r="E7108" i="50"/>
  <c r="B7109" i="50"/>
  <c r="D7109" i="50" s="1"/>
  <c r="E7085" i="50"/>
  <c r="E7097" i="50"/>
  <c r="B7121" i="50"/>
  <c r="D7121" i="50" s="1"/>
  <c r="B7161" i="50"/>
  <c r="D7161" i="50" s="1"/>
  <c r="E7137" i="50"/>
  <c r="B7143" i="50"/>
  <c r="D7143" i="50" s="1"/>
  <c r="E7119" i="50"/>
  <c r="G7119" i="50" s="1"/>
  <c r="B7152" i="50"/>
  <c r="D7152" i="50" s="1"/>
  <c r="E7128" i="50"/>
  <c r="B7134" i="50"/>
  <c r="D7134" i="50" s="1"/>
  <c r="E7110" i="50"/>
  <c r="G7110" i="50" s="1"/>
  <c r="E7154" i="50"/>
  <c r="B7178" i="50"/>
  <c r="D7178" i="50" s="1"/>
  <c r="E7127" i="50"/>
  <c r="B7151" i="50"/>
  <c r="D7151" i="50" s="1"/>
  <c r="E7138" i="50"/>
  <c r="B7162" i="50"/>
  <c r="D7162" i="50" s="1"/>
  <c r="G7102" i="50" l="1"/>
  <c r="V7102" i="50"/>
  <c r="U7102" i="50"/>
  <c r="F7102" i="50"/>
  <c r="V7100" i="50"/>
  <c r="F7100" i="50"/>
  <c r="U7100" i="50"/>
  <c r="G7100" i="50"/>
  <c r="G7115" i="50"/>
  <c r="U7115" i="50"/>
  <c r="V7115" i="50"/>
  <c r="F7115" i="50"/>
  <c r="G7146" i="50"/>
  <c r="F7146" i="50"/>
  <c r="U7146" i="50"/>
  <c r="U7131" i="50"/>
  <c r="V7131" i="50"/>
  <c r="F7131" i="50"/>
  <c r="G7131" i="50"/>
  <c r="V7087" i="50"/>
  <c r="U7087" i="50"/>
  <c r="F7087" i="50"/>
  <c r="U7096" i="50"/>
  <c r="G7096" i="50"/>
  <c r="F7096" i="50"/>
  <c r="V7096" i="50"/>
  <c r="V7097" i="50"/>
  <c r="U7097" i="50"/>
  <c r="G7097" i="50"/>
  <c r="F7097" i="50"/>
  <c r="D7111" i="50"/>
  <c r="B7135" i="50"/>
  <c r="E7111" i="50"/>
  <c r="V7119" i="50"/>
  <c r="U7119" i="50"/>
  <c r="F7119" i="50"/>
  <c r="U7085" i="50"/>
  <c r="G7085" i="50"/>
  <c r="F7085" i="50"/>
  <c r="V7101" i="50"/>
  <c r="U7101" i="50"/>
  <c r="G7101" i="50"/>
  <c r="F7101" i="50"/>
  <c r="V7085" i="50"/>
  <c r="G7087" i="50"/>
  <c r="V7153" i="50"/>
  <c r="G7153" i="50"/>
  <c r="F7153" i="50"/>
  <c r="V7092" i="50"/>
  <c r="U7092" i="50"/>
  <c r="F7092" i="50"/>
  <c r="G7092" i="50"/>
  <c r="U7108" i="50"/>
  <c r="F7108" i="50"/>
  <c r="V7108" i="50"/>
  <c r="G7108" i="50"/>
  <c r="D7116" i="50"/>
  <c r="B7140" i="50"/>
  <c r="E7116" i="50"/>
  <c r="V7154" i="50"/>
  <c r="G7154" i="50"/>
  <c r="U7154" i="50"/>
  <c r="F7154" i="50"/>
  <c r="V7146" i="50"/>
  <c r="F7110" i="50"/>
  <c r="V7110" i="50"/>
  <c r="U7110" i="50"/>
  <c r="V7112" i="50"/>
  <c r="U7112" i="50"/>
  <c r="G7112" i="50"/>
  <c r="F7112" i="50"/>
  <c r="U7099" i="50"/>
  <c r="G7099" i="50"/>
  <c r="V7099" i="50"/>
  <c r="F7099" i="50"/>
  <c r="V7138" i="50"/>
  <c r="G7138" i="50"/>
  <c r="U7138" i="50"/>
  <c r="F7138" i="50"/>
  <c r="V7137" i="50"/>
  <c r="G7137" i="50"/>
  <c r="F7137" i="50"/>
  <c r="V7127" i="50"/>
  <c r="U7127" i="50"/>
  <c r="G7127" i="50"/>
  <c r="F7127" i="50"/>
  <c r="F7128" i="50"/>
  <c r="V7128" i="50"/>
  <c r="U7128" i="50"/>
  <c r="G7128" i="50"/>
  <c r="V7094" i="50"/>
  <c r="U7094" i="50"/>
  <c r="F7094" i="50"/>
  <c r="V7117" i="50"/>
  <c r="U7117" i="50"/>
  <c r="G7117" i="50"/>
  <c r="F7117" i="50"/>
  <c r="U7137" i="50"/>
  <c r="E7143" i="50"/>
  <c r="B7167" i="50"/>
  <c r="D7167" i="50" s="1"/>
  <c r="B7163" i="50"/>
  <c r="D7163" i="50" s="1"/>
  <c r="E7139" i="50"/>
  <c r="B7165" i="50"/>
  <c r="D7165" i="50" s="1"/>
  <c r="E7141" i="50"/>
  <c r="E7136" i="50"/>
  <c r="B7160" i="50"/>
  <c r="D7160" i="50" s="1"/>
  <c r="E7170" i="50"/>
  <c r="B7194" i="50"/>
  <c r="D7194" i="50" s="1"/>
  <c r="B7145" i="50"/>
  <c r="D7145" i="50" s="1"/>
  <c r="E7121" i="50"/>
  <c r="B7175" i="50"/>
  <c r="D7175" i="50" s="1"/>
  <c r="E7151" i="50"/>
  <c r="E7134" i="50"/>
  <c r="B7158" i="50"/>
  <c r="D7158" i="50" s="1"/>
  <c r="B7186" i="50"/>
  <c r="D7186" i="50" s="1"/>
  <c r="E7162" i="50"/>
  <c r="V7162" i="50" s="1"/>
  <c r="B7148" i="50"/>
  <c r="D7148" i="50" s="1"/>
  <c r="E7124" i="50"/>
  <c r="V7124" i="50" s="1"/>
  <c r="B7133" i="50"/>
  <c r="D7133" i="50" s="1"/>
  <c r="E7109" i="50"/>
  <c r="B7149" i="50"/>
  <c r="D7149" i="50" s="1"/>
  <c r="E7125" i="50"/>
  <c r="E7120" i="50"/>
  <c r="B7144" i="50"/>
  <c r="D7144" i="50" s="1"/>
  <c r="E7152" i="50"/>
  <c r="B7176" i="50"/>
  <c r="D7176" i="50" s="1"/>
  <c r="E7118" i="50"/>
  <c r="B7142" i="50"/>
  <c r="D7142" i="50" s="1"/>
  <c r="E7177" i="50"/>
  <c r="B7201" i="50"/>
  <c r="D7201" i="50" s="1"/>
  <c r="E7161" i="50"/>
  <c r="B7185" i="50"/>
  <c r="D7185" i="50" s="1"/>
  <c r="B7202" i="50"/>
  <c r="D7202" i="50" s="1"/>
  <c r="E7178" i="50"/>
  <c r="V7178" i="50" s="1"/>
  <c r="B7156" i="50"/>
  <c r="D7156" i="50" s="1"/>
  <c r="E7132" i="50"/>
  <c r="B7150" i="50"/>
  <c r="D7150" i="50" s="1"/>
  <c r="E7126" i="50"/>
  <c r="G7126" i="50" s="1"/>
  <c r="B7179" i="50"/>
  <c r="D7179" i="50" s="1"/>
  <c r="E7155" i="50"/>
  <c r="B7147" i="50"/>
  <c r="D7147" i="50" s="1"/>
  <c r="E7123" i="50"/>
  <c r="G7139" i="50" l="1"/>
  <c r="F7139" i="50"/>
  <c r="U7139" i="50"/>
  <c r="V7139" i="50"/>
  <c r="G7162" i="50"/>
  <c r="U7162" i="50"/>
  <c r="F7162" i="50"/>
  <c r="V7143" i="50"/>
  <c r="U7143" i="50"/>
  <c r="G7143" i="50"/>
  <c r="F7143" i="50"/>
  <c r="F7118" i="50"/>
  <c r="V7118" i="50"/>
  <c r="U7118" i="50"/>
  <c r="U7134" i="50"/>
  <c r="F7134" i="50"/>
  <c r="V7134" i="50"/>
  <c r="G7118" i="50"/>
  <c r="G7161" i="50"/>
  <c r="V7161" i="50"/>
  <c r="U7161" i="50"/>
  <c r="F7161" i="50"/>
  <c r="F7151" i="50"/>
  <c r="V7151" i="50"/>
  <c r="U7151" i="50"/>
  <c r="G7151" i="50"/>
  <c r="F7123" i="50"/>
  <c r="V7123" i="50"/>
  <c r="U7123" i="50"/>
  <c r="G7123" i="50"/>
  <c r="V7126" i="50"/>
  <c r="U7126" i="50"/>
  <c r="F7126" i="50"/>
  <c r="F7121" i="50"/>
  <c r="V7121" i="50"/>
  <c r="G7121" i="50"/>
  <c r="U7121" i="50"/>
  <c r="V7120" i="50"/>
  <c r="U7120" i="50"/>
  <c r="G7120" i="50"/>
  <c r="F7120" i="50"/>
  <c r="G7134" i="50"/>
  <c r="U7111" i="50"/>
  <c r="F7111" i="50"/>
  <c r="G7111" i="50"/>
  <c r="V7155" i="50"/>
  <c r="G7155" i="50"/>
  <c r="F7155" i="50"/>
  <c r="U7155" i="50"/>
  <c r="U7125" i="50"/>
  <c r="F7125" i="50"/>
  <c r="V7125" i="50"/>
  <c r="G7125" i="50"/>
  <c r="D7135" i="50"/>
  <c r="B7159" i="50"/>
  <c r="E7135" i="50"/>
  <c r="V7177" i="50"/>
  <c r="U7177" i="50"/>
  <c r="G7177" i="50"/>
  <c r="F7177" i="50"/>
  <c r="G7132" i="50"/>
  <c r="V7132" i="50"/>
  <c r="F7132" i="50"/>
  <c r="U7132" i="50"/>
  <c r="G7170" i="50"/>
  <c r="U7170" i="50"/>
  <c r="F7170" i="50"/>
  <c r="V7111" i="50"/>
  <c r="G7178" i="50"/>
  <c r="F7178" i="50"/>
  <c r="U7178" i="50"/>
  <c r="G7109" i="50"/>
  <c r="U7109" i="50"/>
  <c r="F7109" i="50"/>
  <c r="V7109" i="50"/>
  <c r="V7136" i="50"/>
  <c r="U7136" i="50"/>
  <c r="G7136" i="50"/>
  <c r="F7136" i="50"/>
  <c r="V7170" i="50"/>
  <c r="D7140" i="50"/>
  <c r="B7164" i="50"/>
  <c r="E7140" i="50"/>
  <c r="V7152" i="50"/>
  <c r="U7152" i="50"/>
  <c r="F7152" i="50"/>
  <c r="G7152" i="50"/>
  <c r="G7124" i="50"/>
  <c r="F7124" i="50"/>
  <c r="U7124" i="50"/>
  <c r="F7141" i="50"/>
  <c r="V7141" i="50"/>
  <c r="G7141" i="50"/>
  <c r="U7141" i="50"/>
  <c r="U7116" i="50"/>
  <c r="G7116" i="50"/>
  <c r="V7116" i="50"/>
  <c r="F7116" i="50"/>
  <c r="B7209" i="50"/>
  <c r="D7209" i="50" s="1"/>
  <c r="E7185" i="50"/>
  <c r="E7150" i="50"/>
  <c r="G7150" i="50" s="1"/>
  <c r="B7174" i="50"/>
  <c r="D7174" i="50" s="1"/>
  <c r="B7180" i="50"/>
  <c r="D7180" i="50" s="1"/>
  <c r="E7156" i="50"/>
  <c r="B7173" i="50"/>
  <c r="D7173" i="50" s="1"/>
  <c r="E7149" i="50"/>
  <c r="E7145" i="50"/>
  <c r="B7169" i="50"/>
  <c r="D7169" i="50" s="1"/>
  <c r="E7175" i="50"/>
  <c r="U7175" i="50" s="1"/>
  <c r="B7199" i="50"/>
  <c r="D7199" i="50" s="1"/>
  <c r="B7218" i="50"/>
  <c r="D7218" i="50" s="1"/>
  <c r="E7194" i="50"/>
  <c r="V7194" i="50" s="1"/>
  <c r="B7166" i="50"/>
  <c r="D7166" i="50" s="1"/>
  <c r="E7142" i="50"/>
  <c r="E7202" i="50"/>
  <c r="B7226" i="50"/>
  <c r="D7226" i="50" s="1"/>
  <c r="B7182" i="50"/>
  <c r="D7182" i="50" s="1"/>
  <c r="E7158" i="50"/>
  <c r="B7200" i="50"/>
  <c r="D7200" i="50" s="1"/>
  <c r="E7176" i="50"/>
  <c r="B7172" i="50"/>
  <c r="D7172" i="50" s="1"/>
  <c r="E7148" i="50"/>
  <c r="B7184" i="50"/>
  <c r="D7184" i="50" s="1"/>
  <c r="E7160" i="50"/>
  <c r="E7179" i="50"/>
  <c r="G7179" i="50" s="1"/>
  <c r="B7203" i="50"/>
  <c r="D7203" i="50" s="1"/>
  <c r="E7163" i="50"/>
  <c r="B7187" i="50"/>
  <c r="D7187" i="50" s="1"/>
  <c r="B7225" i="50"/>
  <c r="D7225" i="50" s="1"/>
  <c r="E7201" i="50"/>
  <c r="B7189" i="50"/>
  <c r="D7189" i="50" s="1"/>
  <c r="E7165" i="50"/>
  <c r="B7191" i="50"/>
  <c r="D7191" i="50" s="1"/>
  <c r="E7167" i="50"/>
  <c r="G7167" i="50" s="1"/>
  <c r="E7147" i="50"/>
  <c r="B7171" i="50"/>
  <c r="D7171" i="50" s="1"/>
  <c r="B7168" i="50"/>
  <c r="D7168" i="50" s="1"/>
  <c r="E7144" i="50"/>
  <c r="B7157" i="50"/>
  <c r="D7157" i="50" s="1"/>
  <c r="E7133" i="50"/>
  <c r="E7186" i="50"/>
  <c r="B7210" i="50"/>
  <c r="D7210" i="50" s="1"/>
  <c r="V7156" i="50" l="1"/>
  <c r="U7156" i="50"/>
  <c r="G7156" i="50"/>
  <c r="F7156" i="50"/>
  <c r="V7165" i="50"/>
  <c r="U7165" i="50"/>
  <c r="G7165" i="50"/>
  <c r="F7165" i="50"/>
  <c r="U7150" i="50"/>
  <c r="V7150" i="50"/>
  <c r="F7150" i="50"/>
  <c r="V7135" i="50"/>
  <c r="U7135" i="50"/>
  <c r="F7135" i="50"/>
  <c r="G7185" i="50"/>
  <c r="F7185" i="50"/>
  <c r="U7185" i="50"/>
  <c r="V7185" i="50"/>
  <c r="D7159" i="50"/>
  <c r="E7159" i="50"/>
  <c r="B7183" i="50"/>
  <c r="V7158" i="50"/>
  <c r="F7158" i="50"/>
  <c r="U7158" i="50"/>
  <c r="G7158" i="50"/>
  <c r="U7202" i="50"/>
  <c r="F7202" i="50"/>
  <c r="V7202" i="50"/>
  <c r="G7202" i="50"/>
  <c r="F7140" i="50"/>
  <c r="V7140" i="50"/>
  <c r="U7140" i="50"/>
  <c r="G7140" i="50"/>
  <c r="G7135" i="50"/>
  <c r="U7163" i="50"/>
  <c r="V7163" i="50"/>
  <c r="F7163" i="50"/>
  <c r="G7163" i="50"/>
  <c r="V7142" i="50"/>
  <c r="F7142" i="50"/>
  <c r="U7142" i="50"/>
  <c r="G7142" i="50"/>
  <c r="D7164" i="50"/>
  <c r="E7164" i="50"/>
  <c r="B7188" i="50"/>
  <c r="U7167" i="50"/>
  <c r="F7167" i="50"/>
  <c r="V7167" i="50"/>
  <c r="V7201" i="50"/>
  <c r="F7201" i="50"/>
  <c r="U7201" i="50"/>
  <c r="G7201" i="50"/>
  <c r="V7186" i="50"/>
  <c r="U7186" i="50"/>
  <c r="F7186" i="50"/>
  <c r="G7186" i="50"/>
  <c r="V7133" i="50"/>
  <c r="F7133" i="50"/>
  <c r="G7133" i="50"/>
  <c r="U7194" i="50"/>
  <c r="G7194" i="50"/>
  <c r="F7194" i="50"/>
  <c r="U7179" i="50"/>
  <c r="V7179" i="50"/>
  <c r="F7179" i="50"/>
  <c r="V7149" i="50"/>
  <c r="F7149" i="50"/>
  <c r="U7149" i="50"/>
  <c r="G7149" i="50"/>
  <c r="U7144" i="50"/>
  <c r="G7144" i="50"/>
  <c r="F7144" i="50"/>
  <c r="V7144" i="50"/>
  <c r="V7160" i="50"/>
  <c r="U7160" i="50"/>
  <c r="G7160" i="50"/>
  <c r="F7160" i="50"/>
  <c r="V7176" i="50"/>
  <c r="U7176" i="50"/>
  <c r="G7176" i="50"/>
  <c r="F7176" i="50"/>
  <c r="V7175" i="50"/>
  <c r="G7175" i="50"/>
  <c r="F7175" i="50"/>
  <c r="G7148" i="50"/>
  <c r="V7148" i="50"/>
  <c r="F7148" i="50"/>
  <c r="U7148" i="50"/>
  <c r="U7147" i="50"/>
  <c r="V7147" i="50"/>
  <c r="F7147" i="50"/>
  <c r="G7147" i="50"/>
  <c r="V7145" i="50"/>
  <c r="U7145" i="50"/>
  <c r="G7145" i="50"/>
  <c r="F7145" i="50"/>
  <c r="U7133" i="50"/>
  <c r="E7182" i="50"/>
  <c r="B7206" i="50"/>
  <c r="D7206" i="50" s="1"/>
  <c r="E7225" i="50"/>
  <c r="B7249" i="50"/>
  <c r="D7249" i="50" s="1"/>
  <c r="E7184" i="50"/>
  <c r="B7208" i="50"/>
  <c r="D7208" i="50" s="1"/>
  <c r="B7211" i="50"/>
  <c r="D7211" i="50" s="1"/>
  <c r="E7187" i="50"/>
  <c r="B7250" i="50"/>
  <c r="D7250" i="50" s="1"/>
  <c r="E7226" i="50"/>
  <c r="V7226" i="50" s="1"/>
  <c r="B7193" i="50"/>
  <c r="D7193" i="50" s="1"/>
  <c r="E7169" i="50"/>
  <c r="E7191" i="50"/>
  <c r="B7215" i="50"/>
  <c r="D7215" i="50" s="1"/>
  <c r="B7197" i="50"/>
  <c r="D7197" i="50" s="1"/>
  <c r="E7173" i="50"/>
  <c r="B7204" i="50"/>
  <c r="D7204" i="50" s="1"/>
  <c r="E7180" i="50"/>
  <c r="B7213" i="50"/>
  <c r="D7213" i="50" s="1"/>
  <c r="E7189" i="50"/>
  <c r="E7166" i="50"/>
  <c r="B7190" i="50"/>
  <c r="D7190" i="50" s="1"/>
  <c r="B7198" i="50"/>
  <c r="D7198" i="50" s="1"/>
  <c r="E7174" i="50"/>
  <c r="B7195" i="50"/>
  <c r="D7195" i="50" s="1"/>
  <c r="E7171" i="50"/>
  <c r="B7196" i="50"/>
  <c r="D7196" i="50" s="1"/>
  <c r="E7172" i="50"/>
  <c r="E7209" i="50"/>
  <c r="B7233" i="50"/>
  <c r="D7233" i="50" s="1"/>
  <c r="B7234" i="50"/>
  <c r="D7234" i="50" s="1"/>
  <c r="E7210" i="50"/>
  <c r="V7210" i="50" s="1"/>
  <c r="E7168" i="50"/>
  <c r="B7192" i="50"/>
  <c r="D7192" i="50" s="1"/>
  <c r="B7181" i="50"/>
  <c r="D7181" i="50" s="1"/>
  <c r="E7157" i="50"/>
  <c r="E7218" i="50"/>
  <c r="B7242" i="50"/>
  <c r="D7242" i="50" s="1"/>
  <c r="E7200" i="50"/>
  <c r="B7224" i="50"/>
  <c r="D7224" i="50" s="1"/>
  <c r="B7223" i="50"/>
  <c r="D7223" i="50" s="1"/>
  <c r="E7199" i="50"/>
  <c r="B7227" i="50"/>
  <c r="D7227" i="50" s="1"/>
  <c r="E7203" i="50"/>
  <c r="U7166" i="50" l="1"/>
  <c r="F7166" i="50"/>
  <c r="V7166" i="50"/>
  <c r="U7189" i="50"/>
  <c r="V7189" i="50"/>
  <c r="G7189" i="50"/>
  <c r="F7189" i="50"/>
  <c r="G7166" i="50"/>
  <c r="V7184" i="50"/>
  <c r="U7184" i="50"/>
  <c r="G7184" i="50"/>
  <c r="F7184" i="50"/>
  <c r="G7180" i="50"/>
  <c r="V7180" i="50"/>
  <c r="F7180" i="50"/>
  <c r="U7180" i="50"/>
  <c r="V7168" i="50"/>
  <c r="U7168" i="50"/>
  <c r="F7168" i="50"/>
  <c r="G7168" i="50"/>
  <c r="V7225" i="50"/>
  <c r="U7225" i="50"/>
  <c r="G7225" i="50"/>
  <c r="F7225" i="50"/>
  <c r="F7173" i="50"/>
  <c r="V7173" i="50"/>
  <c r="G7173" i="50"/>
  <c r="U7173" i="50"/>
  <c r="V7182" i="50"/>
  <c r="U7182" i="50"/>
  <c r="F7182" i="50"/>
  <c r="U7210" i="50"/>
  <c r="G7210" i="50"/>
  <c r="F7210" i="50"/>
  <c r="D7183" i="50"/>
  <c r="B7207" i="50"/>
  <c r="E7183" i="50"/>
  <c r="V7191" i="50"/>
  <c r="G7191" i="50"/>
  <c r="F7191" i="50"/>
  <c r="U7159" i="50"/>
  <c r="G7159" i="50"/>
  <c r="F7159" i="50"/>
  <c r="G7218" i="50"/>
  <c r="V7218" i="50"/>
  <c r="U7218" i="50"/>
  <c r="F7218" i="50"/>
  <c r="U7199" i="50"/>
  <c r="F7199" i="50"/>
  <c r="V7199" i="50"/>
  <c r="U7172" i="50"/>
  <c r="F7172" i="50"/>
  <c r="G7172" i="50"/>
  <c r="V7172" i="50"/>
  <c r="G7169" i="50"/>
  <c r="V7169" i="50"/>
  <c r="F7169" i="50"/>
  <c r="U7169" i="50"/>
  <c r="U7191" i="50"/>
  <c r="V7159" i="50"/>
  <c r="G7182" i="50"/>
  <c r="V7203" i="50"/>
  <c r="U7203" i="50"/>
  <c r="G7203" i="50"/>
  <c r="F7203" i="50"/>
  <c r="V7164" i="50"/>
  <c r="F7164" i="50"/>
  <c r="U7164" i="50"/>
  <c r="G7164" i="50"/>
  <c r="G7171" i="50"/>
  <c r="F7171" i="50"/>
  <c r="V7171" i="50"/>
  <c r="U7171" i="50"/>
  <c r="G7226" i="50"/>
  <c r="U7226" i="50"/>
  <c r="F7226" i="50"/>
  <c r="G7199" i="50"/>
  <c r="V7200" i="50"/>
  <c r="U7200" i="50"/>
  <c r="G7200" i="50"/>
  <c r="F7200" i="50"/>
  <c r="V7157" i="50"/>
  <c r="G7157" i="50"/>
  <c r="F7157" i="50"/>
  <c r="U7157" i="50"/>
  <c r="V7209" i="50"/>
  <c r="U7209" i="50"/>
  <c r="G7209" i="50"/>
  <c r="F7209" i="50"/>
  <c r="V7174" i="50"/>
  <c r="U7174" i="50"/>
  <c r="G7174" i="50"/>
  <c r="F7174" i="50"/>
  <c r="V7187" i="50"/>
  <c r="U7187" i="50"/>
  <c r="G7187" i="50"/>
  <c r="F7187" i="50"/>
  <c r="D7188" i="50"/>
  <c r="B7212" i="50"/>
  <c r="E7188" i="50"/>
  <c r="B7205" i="50"/>
  <c r="D7205" i="50" s="1"/>
  <c r="E7181" i="50"/>
  <c r="B7220" i="50"/>
  <c r="D7220" i="50" s="1"/>
  <c r="E7196" i="50"/>
  <c r="B7221" i="50"/>
  <c r="D7221" i="50" s="1"/>
  <c r="E7197" i="50"/>
  <c r="E7211" i="50"/>
  <c r="B7235" i="50"/>
  <c r="D7235" i="50" s="1"/>
  <c r="E7195" i="50"/>
  <c r="B7219" i="50"/>
  <c r="D7219" i="50" s="1"/>
  <c r="B7239" i="50"/>
  <c r="D7239" i="50" s="1"/>
  <c r="E7215" i="50"/>
  <c r="E7234" i="50"/>
  <c r="V7234" i="50" s="1"/>
  <c r="B7258" i="50"/>
  <c r="D7258" i="50" s="1"/>
  <c r="B7274" i="50"/>
  <c r="D7274" i="50" s="1"/>
  <c r="E7250" i="50"/>
  <c r="E7223" i="50"/>
  <c r="B7247" i="50"/>
  <c r="D7247" i="50" s="1"/>
  <c r="B7237" i="50"/>
  <c r="D7237" i="50" s="1"/>
  <c r="E7213" i="50"/>
  <c r="B7230" i="50"/>
  <c r="D7230" i="50" s="1"/>
  <c r="E7206" i="50"/>
  <c r="B7216" i="50"/>
  <c r="D7216" i="50" s="1"/>
  <c r="E7192" i="50"/>
  <c r="E7198" i="50"/>
  <c r="B7222" i="50"/>
  <c r="D7222" i="50" s="1"/>
  <c r="B7232" i="50"/>
  <c r="D7232" i="50" s="1"/>
  <c r="E7208" i="50"/>
  <c r="E7227" i="50"/>
  <c r="B7251" i="50"/>
  <c r="D7251" i="50" s="1"/>
  <c r="B7248" i="50"/>
  <c r="D7248" i="50" s="1"/>
  <c r="E7224" i="50"/>
  <c r="B7257" i="50"/>
  <c r="D7257" i="50" s="1"/>
  <c r="E7233" i="50"/>
  <c r="B7214" i="50"/>
  <c r="D7214" i="50" s="1"/>
  <c r="E7190" i="50"/>
  <c r="B7228" i="50"/>
  <c r="D7228" i="50" s="1"/>
  <c r="E7204" i="50"/>
  <c r="B7266" i="50"/>
  <c r="D7266" i="50" s="1"/>
  <c r="E7242" i="50"/>
  <c r="V7242" i="50" s="1"/>
  <c r="E7193" i="50"/>
  <c r="B7217" i="50"/>
  <c r="D7217" i="50" s="1"/>
  <c r="B7273" i="50"/>
  <c r="D7273" i="50" s="1"/>
  <c r="E7249" i="50"/>
  <c r="V7213" i="50" l="1"/>
  <c r="U7213" i="50"/>
  <c r="G7213" i="50"/>
  <c r="F7213" i="50"/>
  <c r="V7197" i="50"/>
  <c r="G7197" i="50"/>
  <c r="F7197" i="50"/>
  <c r="U7197" i="50"/>
  <c r="G7196" i="50"/>
  <c r="V7196" i="50"/>
  <c r="F7196" i="50"/>
  <c r="U7190" i="50"/>
  <c r="G7190" i="50"/>
  <c r="V7190" i="50"/>
  <c r="F7190" i="50"/>
  <c r="G7250" i="50"/>
  <c r="U7250" i="50"/>
  <c r="V7250" i="50"/>
  <c r="F7250" i="50"/>
  <c r="V7181" i="50"/>
  <c r="U7181" i="50"/>
  <c r="F7181" i="50"/>
  <c r="G7181" i="50"/>
  <c r="U7188" i="50"/>
  <c r="F7188" i="50"/>
  <c r="G7188" i="50"/>
  <c r="V7188" i="50"/>
  <c r="V7224" i="50"/>
  <c r="U7224" i="50"/>
  <c r="G7224" i="50"/>
  <c r="F7224" i="50"/>
  <c r="G7227" i="50"/>
  <c r="U7227" i="50"/>
  <c r="V7227" i="50"/>
  <c r="F7227" i="50"/>
  <c r="D7212" i="50"/>
  <c r="B7236" i="50"/>
  <c r="E7212" i="50"/>
  <c r="U7223" i="50"/>
  <c r="V7223" i="50"/>
  <c r="G7223" i="50"/>
  <c r="F7223" i="50"/>
  <c r="V7183" i="50"/>
  <c r="F7183" i="50"/>
  <c r="U7183" i="50"/>
  <c r="G7234" i="50"/>
  <c r="U7234" i="50"/>
  <c r="F7234" i="50"/>
  <c r="D7207" i="50"/>
  <c r="E7207" i="50"/>
  <c r="B7231" i="50"/>
  <c r="V7215" i="50"/>
  <c r="U7215" i="50"/>
  <c r="F7215" i="50"/>
  <c r="G7183" i="50"/>
  <c r="V7208" i="50"/>
  <c r="G7208" i="50"/>
  <c r="F7208" i="50"/>
  <c r="U7208" i="50"/>
  <c r="V7193" i="50"/>
  <c r="U7193" i="50"/>
  <c r="G7193" i="50"/>
  <c r="F7193" i="50"/>
  <c r="V7198" i="50"/>
  <c r="U7198" i="50"/>
  <c r="F7198" i="50"/>
  <c r="U7196" i="50"/>
  <c r="G7215" i="50"/>
  <c r="U7211" i="50"/>
  <c r="G7211" i="50"/>
  <c r="V7211" i="50"/>
  <c r="F7211" i="50"/>
  <c r="U7233" i="50"/>
  <c r="V7233" i="50"/>
  <c r="G7233" i="50"/>
  <c r="F7233" i="50"/>
  <c r="U7242" i="50"/>
  <c r="G7242" i="50"/>
  <c r="F7242" i="50"/>
  <c r="V7192" i="50"/>
  <c r="U7192" i="50"/>
  <c r="F7192" i="50"/>
  <c r="G7192" i="50"/>
  <c r="F7249" i="50"/>
  <c r="U7249" i="50"/>
  <c r="V7249" i="50"/>
  <c r="G7249" i="50"/>
  <c r="G7195" i="50"/>
  <c r="U7195" i="50"/>
  <c r="V7195" i="50"/>
  <c r="F7195" i="50"/>
  <c r="U7204" i="50"/>
  <c r="G7204" i="50"/>
  <c r="F7204" i="50"/>
  <c r="V7204" i="50"/>
  <c r="F7206" i="50"/>
  <c r="U7206" i="50"/>
  <c r="G7206" i="50"/>
  <c r="V7206" i="50"/>
  <c r="G7198" i="50"/>
  <c r="E7232" i="50"/>
  <c r="B7256" i="50"/>
  <c r="D7256" i="50" s="1"/>
  <c r="B7243" i="50"/>
  <c r="D7243" i="50" s="1"/>
  <c r="E7219" i="50"/>
  <c r="E7248" i="50"/>
  <c r="B7272" i="50"/>
  <c r="D7272" i="50" s="1"/>
  <c r="B7298" i="50"/>
  <c r="D7298" i="50" s="1"/>
  <c r="E7274" i="50"/>
  <c r="B7275" i="50"/>
  <c r="D7275" i="50" s="1"/>
  <c r="E7251" i="50"/>
  <c r="B7259" i="50"/>
  <c r="D7259" i="50" s="1"/>
  <c r="E7235" i="50"/>
  <c r="B7252" i="50"/>
  <c r="D7252" i="50" s="1"/>
  <c r="E7228" i="50"/>
  <c r="B7241" i="50"/>
  <c r="D7241" i="50" s="1"/>
  <c r="E7217" i="50"/>
  <c r="B7246" i="50"/>
  <c r="D7246" i="50" s="1"/>
  <c r="E7222" i="50"/>
  <c r="E7230" i="50"/>
  <c r="G7230" i="50" s="1"/>
  <c r="B7254" i="50"/>
  <c r="D7254" i="50" s="1"/>
  <c r="E7239" i="50"/>
  <c r="U7239" i="50" s="1"/>
  <c r="B7263" i="50"/>
  <c r="D7263" i="50" s="1"/>
  <c r="B7244" i="50"/>
  <c r="D7244" i="50" s="1"/>
  <c r="E7220" i="50"/>
  <c r="E7214" i="50"/>
  <c r="G7214" i="50" s="1"/>
  <c r="B7238" i="50"/>
  <c r="D7238" i="50" s="1"/>
  <c r="B7261" i="50"/>
  <c r="D7261" i="50" s="1"/>
  <c r="E7237" i="50"/>
  <c r="B7245" i="50"/>
  <c r="D7245" i="50" s="1"/>
  <c r="E7221" i="50"/>
  <c r="E7273" i="50"/>
  <c r="B7297" i="50"/>
  <c r="D7297" i="50" s="1"/>
  <c r="B7271" i="50"/>
  <c r="D7271" i="50" s="1"/>
  <c r="E7247" i="50"/>
  <c r="E7216" i="50"/>
  <c r="B7240" i="50"/>
  <c r="D7240" i="50" s="1"/>
  <c r="B7229" i="50"/>
  <c r="D7229" i="50" s="1"/>
  <c r="E7205" i="50"/>
  <c r="F7205" i="50" s="1"/>
  <c r="E7257" i="50"/>
  <c r="B7281" i="50"/>
  <c r="D7281" i="50" s="1"/>
  <c r="B7290" i="50"/>
  <c r="D7290" i="50" s="1"/>
  <c r="E7266" i="50"/>
  <c r="B7282" i="50"/>
  <c r="D7282" i="50" s="1"/>
  <c r="E7258" i="50"/>
  <c r="V7258" i="50" s="1"/>
  <c r="V7219" i="50" l="1"/>
  <c r="U7219" i="50"/>
  <c r="G7219" i="50"/>
  <c r="F7219" i="50"/>
  <c r="F7222" i="50"/>
  <c r="G7222" i="50"/>
  <c r="U7222" i="50"/>
  <c r="V7232" i="50"/>
  <c r="G7232" i="50"/>
  <c r="F7232" i="50"/>
  <c r="U7232" i="50"/>
  <c r="U7258" i="50"/>
  <c r="G7258" i="50"/>
  <c r="F7258" i="50"/>
  <c r="V7228" i="50"/>
  <c r="F7228" i="50"/>
  <c r="U7228" i="50"/>
  <c r="G7228" i="50"/>
  <c r="U7237" i="50"/>
  <c r="F7237" i="50"/>
  <c r="V7237" i="50"/>
  <c r="G7237" i="50"/>
  <c r="V7222" i="50"/>
  <c r="G7235" i="50"/>
  <c r="F7235" i="50"/>
  <c r="V7235" i="50"/>
  <c r="U7235" i="50"/>
  <c r="D7231" i="50"/>
  <c r="B7255" i="50"/>
  <c r="E7231" i="50"/>
  <c r="U7212" i="50"/>
  <c r="V7212" i="50"/>
  <c r="F7212" i="50"/>
  <c r="G7212" i="50"/>
  <c r="V7214" i="50"/>
  <c r="U7214" i="50"/>
  <c r="F7214" i="50"/>
  <c r="G7207" i="50"/>
  <c r="F7207" i="50"/>
  <c r="V7207" i="50"/>
  <c r="D7236" i="50"/>
  <c r="E7236" i="50"/>
  <c r="B7260" i="50"/>
  <c r="U7221" i="50"/>
  <c r="F7221" i="50"/>
  <c r="G7221" i="50"/>
  <c r="V7221" i="50"/>
  <c r="U7220" i="50"/>
  <c r="F7220" i="50"/>
  <c r="G7220" i="50"/>
  <c r="V7220" i="50"/>
  <c r="V7251" i="50"/>
  <c r="U7251" i="50"/>
  <c r="G7251" i="50"/>
  <c r="F7251" i="50"/>
  <c r="U7207" i="50"/>
  <c r="V7217" i="50"/>
  <c r="F7217" i="50"/>
  <c r="U7217" i="50"/>
  <c r="V7247" i="50"/>
  <c r="U7247" i="50"/>
  <c r="F7247" i="50"/>
  <c r="G7273" i="50"/>
  <c r="V7273" i="50"/>
  <c r="U7273" i="50"/>
  <c r="F7273" i="50"/>
  <c r="V7257" i="50"/>
  <c r="U7257" i="50"/>
  <c r="F7257" i="50"/>
  <c r="G7257" i="50"/>
  <c r="U7205" i="50"/>
  <c r="V7205" i="50"/>
  <c r="G7205" i="50"/>
  <c r="V7274" i="50"/>
  <c r="U7274" i="50"/>
  <c r="G7274" i="50"/>
  <c r="F7274" i="50"/>
  <c r="G7217" i="50"/>
  <c r="V7239" i="50"/>
  <c r="G7239" i="50"/>
  <c r="F7239" i="50"/>
  <c r="V7230" i="50"/>
  <c r="F7230" i="50"/>
  <c r="U7230" i="50"/>
  <c r="V7266" i="50"/>
  <c r="G7266" i="50"/>
  <c r="U7266" i="50"/>
  <c r="F7266" i="50"/>
  <c r="G7247" i="50"/>
  <c r="G7216" i="50"/>
  <c r="V7216" i="50"/>
  <c r="U7216" i="50"/>
  <c r="F7216" i="50"/>
  <c r="V7248" i="50"/>
  <c r="U7248" i="50"/>
  <c r="G7248" i="50"/>
  <c r="F7248" i="50"/>
  <c r="B7276" i="50"/>
  <c r="D7276" i="50" s="1"/>
  <c r="E7252" i="50"/>
  <c r="B7253" i="50"/>
  <c r="D7253" i="50" s="1"/>
  <c r="E7229" i="50"/>
  <c r="B7269" i="50"/>
  <c r="D7269" i="50" s="1"/>
  <c r="E7245" i="50"/>
  <c r="B7278" i="50"/>
  <c r="D7278" i="50" s="1"/>
  <c r="E7254" i="50"/>
  <c r="B7285" i="50"/>
  <c r="D7285" i="50" s="1"/>
  <c r="E7261" i="50"/>
  <c r="B7314" i="50"/>
  <c r="D7314" i="50" s="1"/>
  <c r="E7290" i="50"/>
  <c r="B7262" i="50"/>
  <c r="D7262" i="50" s="1"/>
  <c r="E7238" i="50"/>
  <c r="E7246" i="50"/>
  <c r="B7270" i="50"/>
  <c r="D7270" i="50" s="1"/>
  <c r="B7287" i="50"/>
  <c r="D7287" i="50" s="1"/>
  <c r="E7263" i="50"/>
  <c r="G7263" i="50" s="1"/>
  <c r="E7243" i="50"/>
  <c r="B7267" i="50"/>
  <c r="D7267" i="50" s="1"/>
  <c r="E7271" i="50"/>
  <c r="B7295" i="50"/>
  <c r="D7295" i="50" s="1"/>
  <c r="B7305" i="50"/>
  <c r="D7305" i="50" s="1"/>
  <c r="E7281" i="50"/>
  <c r="F7281" i="50" s="1"/>
  <c r="B7321" i="50"/>
  <c r="D7321" i="50" s="1"/>
  <c r="E7297" i="50"/>
  <c r="F7297" i="50" s="1"/>
  <c r="B7268" i="50"/>
  <c r="D7268" i="50" s="1"/>
  <c r="E7244" i="50"/>
  <c r="E7298" i="50"/>
  <c r="U7298" i="50" s="1"/>
  <c r="B7322" i="50"/>
  <c r="D7322" i="50" s="1"/>
  <c r="B7296" i="50"/>
  <c r="D7296" i="50" s="1"/>
  <c r="E7272" i="50"/>
  <c r="B7283" i="50"/>
  <c r="D7283" i="50" s="1"/>
  <c r="E7259" i="50"/>
  <c r="B7280" i="50"/>
  <c r="D7280" i="50" s="1"/>
  <c r="E7256" i="50"/>
  <c r="E7282" i="50"/>
  <c r="U7282" i="50" s="1"/>
  <c r="B7306" i="50"/>
  <c r="D7306" i="50" s="1"/>
  <c r="E7241" i="50"/>
  <c r="B7265" i="50"/>
  <c r="D7265" i="50" s="1"/>
  <c r="B7264" i="50"/>
  <c r="D7264" i="50" s="1"/>
  <c r="E7240" i="50"/>
  <c r="B7299" i="50"/>
  <c r="D7299" i="50" s="1"/>
  <c r="E7275" i="50"/>
  <c r="G7231" i="50" l="1"/>
  <c r="D7260" i="50"/>
  <c r="E7260" i="50"/>
  <c r="B7284" i="50"/>
  <c r="V7245" i="50"/>
  <c r="G7245" i="50"/>
  <c r="F7245" i="50"/>
  <c r="U7245" i="50"/>
  <c r="U7236" i="50"/>
  <c r="G7236" i="50"/>
  <c r="V7236" i="50"/>
  <c r="F7236" i="50"/>
  <c r="V7271" i="50"/>
  <c r="F7271" i="50"/>
  <c r="U7271" i="50"/>
  <c r="G7271" i="50"/>
  <c r="D7255" i="50"/>
  <c r="E7255" i="50"/>
  <c r="B7279" i="50"/>
  <c r="F7229" i="50"/>
  <c r="V7229" i="50"/>
  <c r="U7229" i="50"/>
  <c r="G7229" i="50"/>
  <c r="U7243" i="50"/>
  <c r="V7243" i="50"/>
  <c r="F7243" i="50"/>
  <c r="V7263" i="50"/>
  <c r="F7263" i="50"/>
  <c r="U7263" i="50"/>
  <c r="U7252" i="50"/>
  <c r="F7252" i="50"/>
  <c r="G7252" i="50"/>
  <c r="V7252" i="50"/>
  <c r="G7282" i="50"/>
  <c r="F7282" i="50"/>
  <c r="V7282" i="50"/>
  <c r="V7275" i="50"/>
  <c r="U7275" i="50"/>
  <c r="F7275" i="50"/>
  <c r="G7275" i="50"/>
  <c r="V7281" i="50"/>
  <c r="U7281" i="50"/>
  <c r="G7281" i="50"/>
  <c r="V7256" i="50"/>
  <c r="G7256" i="50"/>
  <c r="F7256" i="50"/>
  <c r="U7256" i="50"/>
  <c r="V7246" i="50"/>
  <c r="U7246" i="50"/>
  <c r="F7246" i="50"/>
  <c r="F7254" i="50"/>
  <c r="U7254" i="50"/>
  <c r="G7254" i="50"/>
  <c r="V7254" i="50"/>
  <c r="F7238" i="50"/>
  <c r="U7238" i="50"/>
  <c r="V7238" i="50"/>
  <c r="G7238" i="50"/>
  <c r="G7246" i="50"/>
  <c r="G7298" i="50"/>
  <c r="F7298" i="50"/>
  <c r="V7298" i="50"/>
  <c r="G7243" i="50"/>
  <c r="V7259" i="50"/>
  <c r="F7259" i="50"/>
  <c r="U7259" i="50"/>
  <c r="G7259" i="50"/>
  <c r="G7244" i="50"/>
  <c r="U7244" i="50"/>
  <c r="V7244" i="50"/>
  <c r="F7244" i="50"/>
  <c r="V7290" i="50"/>
  <c r="U7290" i="50"/>
  <c r="G7290" i="50"/>
  <c r="F7290" i="50"/>
  <c r="U7241" i="50"/>
  <c r="G7241" i="50"/>
  <c r="V7241" i="50"/>
  <c r="F7241" i="50"/>
  <c r="U7272" i="50"/>
  <c r="F7272" i="50"/>
  <c r="G7272" i="50"/>
  <c r="V7272" i="50"/>
  <c r="U7240" i="50"/>
  <c r="F7240" i="50"/>
  <c r="V7240" i="50"/>
  <c r="G7240" i="50"/>
  <c r="V7297" i="50"/>
  <c r="U7297" i="50"/>
  <c r="G7297" i="50"/>
  <c r="U7261" i="50"/>
  <c r="G7261" i="50"/>
  <c r="F7261" i="50"/>
  <c r="V7261" i="50"/>
  <c r="V7231" i="50"/>
  <c r="U7231" i="50"/>
  <c r="F7231" i="50"/>
  <c r="B7286" i="50"/>
  <c r="D7286" i="50" s="1"/>
  <c r="E7262" i="50"/>
  <c r="B7293" i="50"/>
  <c r="D7293" i="50" s="1"/>
  <c r="E7269" i="50"/>
  <c r="V7269" i="50" s="1"/>
  <c r="E7321" i="50"/>
  <c r="B7345" i="50"/>
  <c r="D7345" i="50" s="1"/>
  <c r="E7314" i="50"/>
  <c r="B7338" i="50"/>
  <c r="D7338" i="50" s="1"/>
  <c r="E7253" i="50"/>
  <c r="B7277" i="50"/>
  <c r="D7277" i="50" s="1"/>
  <c r="E7305" i="50"/>
  <c r="B7329" i="50"/>
  <c r="D7329" i="50" s="1"/>
  <c r="B7291" i="50"/>
  <c r="D7291" i="50" s="1"/>
  <c r="E7267" i="50"/>
  <c r="B7288" i="50"/>
  <c r="D7288" i="50" s="1"/>
  <c r="E7264" i="50"/>
  <c r="B7307" i="50"/>
  <c r="D7307" i="50" s="1"/>
  <c r="E7283" i="50"/>
  <c r="B7346" i="50"/>
  <c r="D7346" i="50" s="1"/>
  <c r="E7322" i="50"/>
  <c r="B7309" i="50"/>
  <c r="D7309" i="50" s="1"/>
  <c r="E7285" i="50"/>
  <c r="B7300" i="50"/>
  <c r="D7300" i="50" s="1"/>
  <c r="E7276" i="50"/>
  <c r="F7276" i="50" s="1"/>
  <c r="B7304" i="50"/>
  <c r="D7304" i="50" s="1"/>
  <c r="E7280" i="50"/>
  <c r="B7294" i="50"/>
  <c r="D7294" i="50" s="1"/>
  <c r="E7270" i="50"/>
  <c r="B7330" i="50"/>
  <c r="D7330" i="50" s="1"/>
  <c r="E7306" i="50"/>
  <c r="B7289" i="50"/>
  <c r="D7289" i="50" s="1"/>
  <c r="E7265" i="50"/>
  <c r="B7292" i="50"/>
  <c r="D7292" i="50" s="1"/>
  <c r="E7268" i="50"/>
  <c r="B7323" i="50"/>
  <c r="D7323" i="50" s="1"/>
  <c r="E7299" i="50"/>
  <c r="B7320" i="50"/>
  <c r="D7320" i="50" s="1"/>
  <c r="E7296" i="50"/>
  <c r="G7296" i="50" s="1"/>
  <c r="B7302" i="50"/>
  <c r="D7302" i="50" s="1"/>
  <c r="E7278" i="50"/>
  <c r="B7319" i="50"/>
  <c r="D7319" i="50" s="1"/>
  <c r="E7295" i="50"/>
  <c r="G7295" i="50" s="1"/>
  <c r="E7287" i="50"/>
  <c r="B7311" i="50"/>
  <c r="D7311" i="50" s="1"/>
  <c r="V7314" i="50" l="1"/>
  <c r="G7314" i="50"/>
  <c r="F7314" i="50"/>
  <c r="V7321" i="50"/>
  <c r="U7321" i="50"/>
  <c r="F7321" i="50"/>
  <c r="G7321" i="50"/>
  <c r="F7253" i="50"/>
  <c r="U7253" i="50"/>
  <c r="V7253" i="50"/>
  <c r="G7253" i="50"/>
  <c r="U7283" i="50"/>
  <c r="F7283" i="50"/>
  <c r="V7283" i="50"/>
  <c r="G7269" i="50"/>
  <c r="F7269" i="50"/>
  <c r="U7269" i="50"/>
  <c r="V7299" i="50"/>
  <c r="U7299" i="50"/>
  <c r="G7299" i="50"/>
  <c r="F7299" i="50"/>
  <c r="V7264" i="50"/>
  <c r="U7264" i="50"/>
  <c r="G7264" i="50"/>
  <c r="F7264" i="50"/>
  <c r="V7262" i="50"/>
  <c r="U7262" i="50"/>
  <c r="F7262" i="50"/>
  <c r="U7265" i="50"/>
  <c r="G7265" i="50"/>
  <c r="V7265" i="50"/>
  <c r="F7265" i="50"/>
  <c r="U7314" i="50"/>
  <c r="F7306" i="50"/>
  <c r="G7306" i="50"/>
  <c r="V7306" i="50"/>
  <c r="U7306" i="50"/>
  <c r="V7268" i="50"/>
  <c r="G7268" i="50"/>
  <c r="F7268" i="50"/>
  <c r="U7268" i="50"/>
  <c r="U7267" i="50"/>
  <c r="V7267" i="50"/>
  <c r="G7267" i="50"/>
  <c r="F7267" i="50"/>
  <c r="G7285" i="50"/>
  <c r="U7285" i="50"/>
  <c r="F7285" i="50"/>
  <c r="V7285" i="50"/>
  <c r="V7270" i="50"/>
  <c r="F7270" i="50"/>
  <c r="G7270" i="50"/>
  <c r="U7270" i="50"/>
  <c r="G7283" i="50"/>
  <c r="F7322" i="50"/>
  <c r="G7322" i="50"/>
  <c r="V7322" i="50"/>
  <c r="U7322" i="50"/>
  <c r="G7278" i="50"/>
  <c r="V7278" i="50"/>
  <c r="U7278" i="50"/>
  <c r="F7278" i="50"/>
  <c r="U7280" i="50"/>
  <c r="G7280" i="50"/>
  <c r="V7280" i="50"/>
  <c r="F7280" i="50"/>
  <c r="D7279" i="50"/>
  <c r="B7303" i="50"/>
  <c r="E7279" i="50"/>
  <c r="D7284" i="50"/>
  <c r="E7284" i="50"/>
  <c r="B7308" i="50"/>
  <c r="V7295" i="50"/>
  <c r="U7295" i="50"/>
  <c r="F7295" i="50"/>
  <c r="V7305" i="50"/>
  <c r="U7305" i="50"/>
  <c r="F7305" i="50"/>
  <c r="G7305" i="50"/>
  <c r="G7262" i="50"/>
  <c r="V7255" i="50"/>
  <c r="G7255" i="50"/>
  <c r="F7255" i="50"/>
  <c r="G7260" i="50"/>
  <c r="V7260" i="50"/>
  <c r="F7260" i="50"/>
  <c r="U7287" i="50"/>
  <c r="G7287" i="50"/>
  <c r="F7287" i="50"/>
  <c r="V7287" i="50"/>
  <c r="V7296" i="50"/>
  <c r="F7296" i="50"/>
  <c r="U7296" i="50"/>
  <c r="V7276" i="50"/>
  <c r="G7276" i="50"/>
  <c r="U7276" i="50"/>
  <c r="U7255" i="50"/>
  <c r="U7260" i="50"/>
  <c r="E7307" i="50"/>
  <c r="B7331" i="50"/>
  <c r="D7331" i="50" s="1"/>
  <c r="E7330" i="50"/>
  <c r="U7330" i="50" s="1"/>
  <c r="B7354" i="50"/>
  <c r="D7354" i="50" s="1"/>
  <c r="B7328" i="50"/>
  <c r="D7328" i="50" s="1"/>
  <c r="E7304" i="50"/>
  <c r="G7304" i="50" s="1"/>
  <c r="E7291" i="50"/>
  <c r="B7315" i="50"/>
  <c r="D7315" i="50" s="1"/>
  <c r="B7344" i="50"/>
  <c r="D7344" i="50" s="1"/>
  <c r="E7320" i="50"/>
  <c r="B7353" i="50"/>
  <c r="D7353" i="50" s="1"/>
  <c r="E7329" i="50"/>
  <c r="F7329" i="50" s="1"/>
  <c r="E7300" i="50"/>
  <c r="B7324" i="50"/>
  <c r="D7324" i="50" s="1"/>
  <c r="B7312" i="50"/>
  <c r="D7312" i="50" s="1"/>
  <c r="E7288" i="50"/>
  <c r="B7317" i="50"/>
  <c r="D7317" i="50" s="1"/>
  <c r="E7293" i="50"/>
  <c r="V7293" i="50" s="1"/>
  <c r="B7335" i="50"/>
  <c r="D7335" i="50" s="1"/>
  <c r="E7311" i="50"/>
  <c r="E7323" i="50"/>
  <c r="U7323" i="50" s="1"/>
  <c r="B7347" i="50"/>
  <c r="D7347" i="50" s="1"/>
  <c r="B7333" i="50"/>
  <c r="D7333" i="50" s="1"/>
  <c r="E7309" i="50"/>
  <c r="V7309" i="50" s="1"/>
  <c r="E7286" i="50"/>
  <c r="B7310" i="50"/>
  <c r="D7310" i="50" s="1"/>
  <c r="E7319" i="50"/>
  <c r="B7343" i="50"/>
  <c r="D7343" i="50" s="1"/>
  <c r="E7302" i="50"/>
  <c r="B7326" i="50"/>
  <c r="D7326" i="50" s="1"/>
  <c r="B7316" i="50"/>
  <c r="D7316" i="50" s="1"/>
  <c r="E7292" i="50"/>
  <c r="B7318" i="50"/>
  <c r="D7318" i="50" s="1"/>
  <c r="E7294" i="50"/>
  <c r="E7346" i="50"/>
  <c r="B7370" i="50"/>
  <c r="D7370" i="50" s="1"/>
  <c r="B7301" i="50"/>
  <c r="D7301" i="50" s="1"/>
  <c r="E7277" i="50"/>
  <c r="B7362" i="50"/>
  <c r="D7362" i="50" s="1"/>
  <c r="E7338" i="50"/>
  <c r="E7289" i="50"/>
  <c r="B7313" i="50"/>
  <c r="D7313" i="50" s="1"/>
  <c r="B7369" i="50"/>
  <c r="D7369" i="50" s="1"/>
  <c r="E7345" i="50"/>
  <c r="V7307" i="50" l="1"/>
  <c r="G7307" i="50"/>
  <c r="F7307" i="50"/>
  <c r="F7279" i="50"/>
  <c r="U7279" i="50"/>
  <c r="G7279" i="50"/>
  <c r="V7279" i="50"/>
  <c r="D7303" i="50"/>
  <c r="E7303" i="50"/>
  <c r="B7327" i="50"/>
  <c r="V7302" i="50"/>
  <c r="G7302" i="50"/>
  <c r="F7302" i="50"/>
  <c r="V7300" i="50"/>
  <c r="U7300" i="50"/>
  <c r="F7300" i="50"/>
  <c r="G7300" i="50"/>
  <c r="G7329" i="50"/>
  <c r="V7329" i="50"/>
  <c r="U7329" i="50"/>
  <c r="V7320" i="50"/>
  <c r="F7320" i="50"/>
  <c r="U7320" i="50"/>
  <c r="V7288" i="50"/>
  <c r="G7288" i="50"/>
  <c r="F7288" i="50"/>
  <c r="U7288" i="50"/>
  <c r="V7319" i="50"/>
  <c r="F7319" i="50"/>
  <c r="U7319" i="50"/>
  <c r="G7319" i="50"/>
  <c r="U7309" i="50"/>
  <c r="F7309" i="50"/>
  <c r="G7309" i="50"/>
  <c r="V7346" i="50"/>
  <c r="G7346" i="50"/>
  <c r="F7346" i="50"/>
  <c r="V7291" i="50"/>
  <c r="G7291" i="50"/>
  <c r="F7291" i="50"/>
  <c r="U7291" i="50"/>
  <c r="U7302" i="50"/>
  <c r="G7320" i="50"/>
  <c r="V7345" i="50"/>
  <c r="U7345" i="50"/>
  <c r="G7345" i="50"/>
  <c r="V7294" i="50"/>
  <c r="G7294" i="50"/>
  <c r="F7294" i="50"/>
  <c r="U7294" i="50"/>
  <c r="V7304" i="50"/>
  <c r="F7304" i="50"/>
  <c r="U7304" i="50"/>
  <c r="F7345" i="50"/>
  <c r="V7286" i="50"/>
  <c r="U7286" i="50"/>
  <c r="G7286" i="50"/>
  <c r="F7286" i="50"/>
  <c r="V7323" i="50"/>
  <c r="G7323" i="50"/>
  <c r="F7323" i="50"/>
  <c r="U7307" i="50"/>
  <c r="G7284" i="50"/>
  <c r="F7284" i="50"/>
  <c r="V7284" i="50"/>
  <c r="U7284" i="50"/>
  <c r="G7338" i="50"/>
  <c r="F7338" i="50"/>
  <c r="V7338" i="50"/>
  <c r="U7338" i="50"/>
  <c r="F7292" i="50"/>
  <c r="V7292" i="50"/>
  <c r="G7292" i="50"/>
  <c r="U7292" i="50"/>
  <c r="V7311" i="50"/>
  <c r="U7311" i="50"/>
  <c r="F7311" i="50"/>
  <c r="U7346" i="50"/>
  <c r="G7311" i="50"/>
  <c r="F7293" i="50"/>
  <c r="U7293" i="50"/>
  <c r="G7293" i="50"/>
  <c r="V7289" i="50"/>
  <c r="U7289" i="50"/>
  <c r="G7289" i="50"/>
  <c r="F7289" i="50"/>
  <c r="G7277" i="50"/>
  <c r="V7277" i="50"/>
  <c r="U7277" i="50"/>
  <c r="F7277" i="50"/>
  <c r="G7330" i="50"/>
  <c r="F7330" i="50"/>
  <c r="V7330" i="50"/>
  <c r="D7308" i="50"/>
  <c r="B7332" i="50"/>
  <c r="E7308" i="50"/>
  <c r="B7367" i="50"/>
  <c r="D7367" i="50" s="1"/>
  <c r="E7343" i="50"/>
  <c r="G7343" i="50" s="1"/>
  <c r="B7378" i="50"/>
  <c r="D7378" i="50" s="1"/>
  <c r="E7354" i="50"/>
  <c r="E7353" i="50"/>
  <c r="B7377" i="50"/>
  <c r="D7377" i="50" s="1"/>
  <c r="B7355" i="50"/>
  <c r="D7355" i="50" s="1"/>
  <c r="E7331" i="50"/>
  <c r="E7335" i="50"/>
  <c r="B7359" i="50"/>
  <c r="D7359" i="50" s="1"/>
  <c r="B7325" i="50"/>
  <c r="D7325" i="50" s="1"/>
  <c r="E7301" i="50"/>
  <c r="B7357" i="50"/>
  <c r="D7357" i="50" s="1"/>
  <c r="E7333" i="50"/>
  <c r="F7333" i="50" s="1"/>
  <c r="B7352" i="50"/>
  <c r="D7352" i="50" s="1"/>
  <c r="E7328" i="50"/>
  <c r="B7339" i="50"/>
  <c r="D7339" i="50" s="1"/>
  <c r="E7315" i="50"/>
  <c r="B7394" i="50"/>
  <c r="D7394" i="50" s="1"/>
  <c r="E7370" i="50"/>
  <c r="E7369" i="50"/>
  <c r="B7393" i="50"/>
  <c r="D7393" i="50" s="1"/>
  <c r="B7341" i="50"/>
  <c r="D7341" i="50" s="1"/>
  <c r="E7317" i="50"/>
  <c r="B7336" i="50"/>
  <c r="D7336" i="50" s="1"/>
  <c r="E7312" i="50"/>
  <c r="V7312" i="50" s="1"/>
  <c r="B7371" i="50"/>
  <c r="D7371" i="50" s="1"/>
  <c r="E7347" i="50"/>
  <c r="G7347" i="50" s="1"/>
  <c r="B7348" i="50"/>
  <c r="D7348" i="50" s="1"/>
  <c r="E7324" i="50"/>
  <c r="F7324" i="50" s="1"/>
  <c r="E7316" i="50"/>
  <c r="B7340" i="50"/>
  <c r="D7340" i="50" s="1"/>
  <c r="B7350" i="50"/>
  <c r="D7350" i="50" s="1"/>
  <c r="E7326" i="50"/>
  <c r="B7334" i="50"/>
  <c r="D7334" i="50" s="1"/>
  <c r="E7310" i="50"/>
  <c r="E7362" i="50"/>
  <c r="U7362" i="50" s="1"/>
  <c r="B7386" i="50"/>
  <c r="D7386" i="50" s="1"/>
  <c r="E7318" i="50"/>
  <c r="B7342" i="50"/>
  <c r="D7342" i="50" s="1"/>
  <c r="B7337" i="50"/>
  <c r="D7337" i="50" s="1"/>
  <c r="E7313" i="50"/>
  <c r="B7368" i="50"/>
  <c r="D7368" i="50" s="1"/>
  <c r="E7344" i="50"/>
  <c r="F7344" i="50" s="1"/>
  <c r="U7328" i="50" l="1"/>
  <c r="G7328" i="50"/>
  <c r="V7328" i="50"/>
  <c r="F7315" i="50"/>
  <c r="V7315" i="50"/>
  <c r="U7315" i="50"/>
  <c r="G7315" i="50"/>
  <c r="V7316" i="50"/>
  <c r="U7316" i="50"/>
  <c r="G7316" i="50"/>
  <c r="F7316" i="50"/>
  <c r="V7324" i="50"/>
  <c r="G7324" i="50"/>
  <c r="U7324" i="50"/>
  <c r="U7333" i="50"/>
  <c r="G7333" i="50"/>
  <c r="V7333" i="50"/>
  <c r="V7308" i="50"/>
  <c r="G7308" i="50"/>
  <c r="U7308" i="50"/>
  <c r="D7327" i="50"/>
  <c r="E7327" i="50"/>
  <c r="B7351" i="50"/>
  <c r="D7332" i="50"/>
  <c r="B7356" i="50"/>
  <c r="E7332" i="50"/>
  <c r="V7303" i="50"/>
  <c r="F7303" i="50"/>
  <c r="U7303" i="50"/>
  <c r="G7303" i="50"/>
  <c r="V7347" i="50"/>
  <c r="F7347" i="50"/>
  <c r="U7347" i="50"/>
  <c r="U7301" i="50"/>
  <c r="G7301" i="50"/>
  <c r="V7301" i="50"/>
  <c r="F7301" i="50"/>
  <c r="F7308" i="50"/>
  <c r="V7313" i="50"/>
  <c r="G7313" i="50"/>
  <c r="U7313" i="50"/>
  <c r="F7312" i="50"/>
  <c r="U7312" i="50"/>
  <c r="G7312" i="50"/>
  <c r="F7328" i="50"/>
  <c r="F7313" i="50"/>
  <c r="F7335" i="50"/>
  <c r="U7335" i="50"/>
  <c r="G7335" i="50"/>
  <c r="U7317" i="50"/>
  <c r="G7317" i="50"/>
  <c r="V7317" i="50"/>
  <c r="F7317" i="50"/>
  <c r="V7331" i="50"/>
  <c r="U7331" i="50"/>
  <c r="F7331" i="50"/>
  <c r="V7335" i="50"/>
  <c r="V7343" i="50"/>
  <c r="F7343" i="50"/>
  <c r="U7343" i="50"/>
  <c r="V7362" i="50"/>
  <c r="G7362" i="50"/>
  <c r="F7362" i="50"/>
  <c r="V7318" i="50"/>
  <c r="F7318" i="50"/>
  <c r="G7318" i="50"/>
  <c r="V7310" i="50"/>
  <c r="G7310" i="50"/>
  <c r="F7310" i="50"/>
  <c r="U7310" i="50"/>
  <c r="U7318" i="50"/>
  <c r="G7331" i="50"/>
  <c r="U7369" i="50"/>
  <c r="G7369" i="50"/>
  <c r="F7369" i="50"/>
  <c r="V7369" i="50"/>
  <c r="V7353" i="50"/>
  <c r="U7353" i="50"/>
  <c r="G7353" i="50"/>
  <c r="F7353" i="50"/>
  <c r="U7344" i="50"/>
  <c r="G7344" i="50"/>
  <c r="V7344" i="50"/>
  <c r="V7326" i="50"/>
  <c r="U7326" i="50"/>
  <c r="G7326" i="50"/>
  <c r="F7326" i="50"/>
  <c r="G7370" i="50"/>
  <c r="V7370" i="50"/>
  <c r="U7370" i="50"/>
  <c r="F7370" i="50"/>
  <c r="G7354" i="50"/>
  <c r="F7354" i="50"/>
  <c r="V7354" i="50"/>
  <c r="U7354" i="50"/>
  <c r="E7337" i="50"/>
  <c r="B7361" i="50"/>
  <c r="D7361" i="50" s="1"/>
  <c r="E7371" i="50"/>
  <c r="B7395" i="50"/>
  <c r="D7395" i="50" s="1"/>
  <c r="B7418" i="50"/>
  <c r="D7418" i="50" s="1"/>
  <c r="E7394" i="50"/>
  <c r="U7394" i="50" s="1"/>
  <c r="B7349" i="50"/>
  <c r="D7349" i="50" s="1"/>
  <c r="E7325" i="50"/>
  <c r="V7325" i="50" s="1"/>
  <c r="B7381" i="50"/>
  <c r="D7381" i="50" s="1"/>
  <c r="E7357" i="50"/>
  <c r="V7357" i="50" s="1"/>
  <c r="E7355" i="50"/>
  <c r="B7379" i="50"/>
  <c r="D7379" i="50" s="1"/>
  <c r="E7339" i="50"/>
  <c r="B7363" i="50"/>
  <c r="D7363" i="50" s="1"/>
  <c r="B7383" i="50"/>
  <c r="D7383" i="50" s="1"/>
  <c r="E7359" i="50"/>
  <c r="B7376" i="50"/>
  <c r="D7376" i="50" s="1"/>
  <c r="E7352" i="50"/>
  <c r="B7410" i="50"/>
  <c r="D7410" i="50" s="1"/>
  <c r="E7386" i="50"/>
  <c r="B7360" i="50"/>
  <c r="D7360" i="50" s="1"/>
  <c r="E7336" i="50"/>
  <c r="B7364" i="50"/>
  <c r="D7364" i="50" s="1"/>
  <c r="E7340" i="50"/>
  <c r="F7340" i="50" s="1"/>
  <c r="E7378" i="50"/>
  <c r="U7378" i="50" s="1"/>
  <c r="B7402" i="50"/>
  <c r="D7402" i="50" s="1"/>
  <c r="E7350" i="50"/>
  <c r="B7374" i="50"/>
  <c r="D7374" i="50" s="1"/>
  <c r="B7365" i="50"/>
  <c r="D7365" i="50" s="1"/>
  <c r="E7341" i="50"/>
  <c r="B7417" i="50"/>
  <c r="D7417" i="50" s="1"/>
  <c r="E7393" i="50"/>
  <c r="F7393" i="50" s="1"/>
  <c r="B7401" i="50"/>
  <c r="D7401" i="50" s="1"/>
  <c r="E7377" i="50"/>
  <c r="F7377" i="50" s="1"/>
  <c r="B7392" i="50"/>
  <c r="D7392" i="50" s="1"/>
  <c r="E7368" i="50"/>
  <c r="E7334" i="50"/>
  <c r="B7358" i="50"/>
  <c r="D7358" i="50" s="1"/>
  <c r="E7348" i="50"/>
  <c r="B7372" i="50"/>
  <c r="D7372" i="50" s="1"/>
  <c r="B7366" i="50"/>
  <c r="D7366" i="50" s="1"/>
  <c r="E7342" i="50"/>
  <c r="E7367" i="50"/>
  <c r="B7391" i="50"/>
  <c r="D7391" i="50" s="1"/>
  <c r="F7371" i="50" l="1"/>
  <c r="U7371" i="50"/>
  <c r="V7371" i="50"/>
  <c r="G7371" i="50"/>
  <c r="U7359" i="50"/>
  <c r="F7359" i="50"/>
  <c r="V7359" i="50"/>
  <c r="V7332" i="50"/>
  <c r="U7332" i="50"/>
  <c r="G7332" i="50"/>
  <c r="F7332" i="50"/>
  <c r="V7337" i="50"/>
  <c r="U7337" i="50"/>
  <c r="G7337" i="50"/>
  <c r="F7337" i="50"/>
  <c r="D7356" i="50"/>
  <c r="B7380" i="50"/>
  <c r="E7356" i="50"/>
  <c r="V7367" i="50"/>
  <c r="F7367" i="50"/>
  <c r="G7367" i="50"/>
  <c r="F7339" i="50"/>
  <c r="V7339" i="50"/>
  <c r="U7339" i="50"/>
  <c r="G7339" i="50"/>
  <c r="G7352" i="50"/>
  <c r="F7352" i="50"/>
  <c r="U7352" i="50"/>
  <c r="V7352" i="50"/>
  <c r="F7350" i="50"/>
  <c r="V7350" i="50"/>
  <c r="G7350" i="50"/>
  <c r="V7342" i="50"/>
  <c r="U7342" i="50"/>
  <c r="G7342" i="50"/>
  <c r="F7342" i="50"/>
  <c r="U7350" i="50"/>
  <c r="D7351" i="50"/>
  <c r="E7351" i="50"/>
  <c r="B7375" i="50"/>
  <c r="U7341" i="50"/>
  <c r="G7341" i="50"/>
  <c r="F7341" i="50"/>
  <c r="V7355" i="50"/>
  <c r="F7355" i="50"/>
  <c r="U7355" i="50"/>
  <c r="G7355" i="50"/>
  <c r="V7327" i="50"/>
  <c r="U7327" i="50"/>
  <c r="F7327" i="50"/>
  <c r="U7340" i="50"/>
  <c r="V7340" i="50"/>
  <c r="G7340" i="50"/>
  <c r="U7357" i="50"/>
  <c r="G7357" i="50"/>
  <c r="F7357" i="50"/>
  <c r="G7327" i="50"/>
  <c r="G7336" i="50"/>
  <c r="F7336" i="50"/>
  <c r="V7336" i="50"/>
  <c r="U7336" i="50"/>
  <c r="V7341" i="50"/>
  <c r="V7378" i="50"/>
  <c r="G7378" i="50"/>
  <c r="F7378" i="50"/>
  <c r="F7334" i="50"/>
  <c r="V7334" i="50"/>
  <c r="G7334" i="50"/>
  <c r="V7348" i="50"/>
  <c r="U7348" i="50"/>
  <c r="G7348" i="50"/>
  <c r="F7348" i="50"/>
  <c r="V7368" i="50"/>
  <c r="U7368" i="50"/>
  <c r="G7368" i="50"/>
  <c r="F7368" i="50"/>
  <c r="U7325" i="50"/>
  <c r="G7325" i="50"/>
  <c r="F7325" i="50"/>
  <c r="V7393" i="50"/>
  <c r="U7393" i="50"/>
  <c r="G7393" i="50"/>
  <c r="V7377" i="50"/>
  <c r="U7377" i="50"/>
  <c r="G7377" i="50"/>
  <c r="G7386" i="50"/>
  <c r="V7386" i="50"/>
  <c r="U7386" i="50"/>
  <c r="F7386" i="50"/>
  <c r="V7394" i="50"/>
  <c r="G7394" i="50"/>
  <c r="F7394" i="50"/>
  <c r="U7334" i="50"/>
  <c r="G7359" i="50"/>
  <c r="U7367" i="50"/>
  <c r="B7373" i="50"/>
  <c r="D7373" i="50" s="1"/>
  <c r="E7349" i="50"/>
  <c r="B7384" i="50"/>
  <c r="D7384" i="50" s="1"/>
  <c r="E7360" i="50"/>
  <c r="B7405" i="50"/>
  <c r="D7405" i="50" s="1"/>
  <c r="E7381" i="50"/>
  <c r="E7364" i="50"/>
  <c r="B7388" i="50"/>
  <c r="D7388" i="50" s="1"/>
  <c r="B7387" i="50"/>
  <c r="D7387" i="50" s="1"/>
  <c r="E7363" i="50"/>
  <c r="G7363" i="50" s="1"/>
  <c r="B7425" i="50"/>
  <c r="D7425" i="50" s="1"/>
  <c r="E7401" i="50"/>
  <c r="B7382" i="50"/>
  <c r="D7382" i="50" s="1"/>
  <c r="E7358" i="50"/>
  <c r="B7441" i="50"/>
  <c r="D7441" i="50" s="1"/>
  <c r="E7417" i="50"/>
  <c r="B7434" i="50"/>
  <c r="D7434" i="50" s="1"/>
  <c r="E7410" i="50"/>
  <c r="E7418" i="50"/>
  <c r="B7442" i="50"/>
  <c r="D7442" i="50" s="1"/>
  <c r="E7383" i="50"/>
  <c r="U7383" i="50" s="1"/>
  <c r="B7407" i="50"/>
  <c r="D7407" i="50" s="1"/>
  <c r="B7419" i="50"/>
  <c r="D7419" i="50" s="1"/>
  <c r="E7395" i="50"/>
  <c r="E7366" i="50"/>
  <c r="B7390" i="50"/>
  <c r="D7390" i="50" s="1"/>
  <c r="B7398" i="50"/>
  <c r="D7398" i="50" s="1"/>
  <c r="E7374" i="50"/>
  <c r="B7385" i="50"/>
  <c r="D7385" i="50" s="1"/>
  <c r="E7361" i="50"/>
  <c r="F7361" i="50" s="1"/>
  <c r="B7400" i="50"/>
  <c r="D7400" i="50" s="1"/>
  <c r="E7376" i="50"/>
  <c r="B7396" i="50"/>
  <c r="D7396" i="50" s="1"/>
  <c r="E7372" i="50"/>
  <c r="F7372" i="50" s="1"/>
  <c r="B7389" i="50"/>
  <c r="D7389" i="50" s="1"/>
  <c r="E7365" i="50"/>
  <c r="E7392" i="50"/>
  <c r="B7416" i="50"/>
  <c r="D7416" i="50" s="1"/>
  <c r="B7415" i="50"/>
  <c r="D7415" i="50" s="1"/>
  <c r="E7391" i="50"/>
  <c r="G7391" i="50" s="1"/>
  <c r="B7426" i="50"/>
  <c r="D7426" i="50" s="1"/>
  <c r="E7402" i="50"/>
  <c r="B7403" i="50"/>
  <c r="D7403" i="50" s="1"/>
  <c r="E7379" i="50"/>
  <c r="U7365" i="50" l="1"/>
  <c r="G7365" i="50"/>
  <c r="V7365" i="50"/>
  <c r="U7364" i="50"/>
  <c r="G7364" i="50"/>
  <c r="F7364" i="50"/>
  <c r="V7364" i="50"/>
  <c r="U7381" i="50"/>
  <c r="G7381" i="50"/>
  <c r="V7381" i="50"/>
  <c r="F7365" i="50"/>
  <c r="V7418" i="50"/>
  <c r="G7418" i="50"/>
  <c r="U7418" i="50"/>
  <c r="F7418" i="50"/>
  <c r="F7381" i="50"/>
  <c r="V7360" i="50"/>
  <c r="G7360" i="50"/>
  <c r="U7360" i="50"/>
  <c r="D7375" i="50"/>
  <c r="B7399" i="50"/>
  <c r="E7375" i="50"/>
  <c r="V7417" i="50"/>
  <c r="U7417" i="50"/>
  <c r="G7417" i="50"/>
  <c r="F7417" i="50"/>
  <c r="U7349" i="50"/>
  <c r="G7349" i="50"/>
  <c r="V7349" i="50"/>
  <c r="F7360" i="50"/>
  <c r="F7351" i="50"/>
  <c r="U7351" i="50"/>
  <c r="G7351" i="50"/>
  <c r="V7351" i="50"/>
  <c r="V7383" i="50"/>
  <c r="F7383" i="50"/>
  <c r="G7383" i="50"/>
  <c r="V7410" i="50"/>
  <c r="U7410" i="50"/>
  <c r="G7410" i="50"/>
  <c r="F7410" i="50"/>
  <c r="V7374" i="50"/>
  <c r="U7374" i="50"/>
  <c r="G7374" i="50"/>
  <c r="F7374" i="50"/>
  <c r="V7358" i="50"/>
  <c r="U7358" i="50"/>
  <c r="G7358" i="50"/>
  <c r="F7358" i="50"/>
  <c r="F7349" i="50"/>
  <c r="V7376" i="50"/>
  <c r="G7376" i="50"/>
  <c r="U7376" i="50"/>
  <c r="F7376" i="50"/>
  <c r="V7401" i="50"/>
  <c r="U7401" i="50"/>
  <c r="G7401" i="50"/>
  <c r="F7401" i="50"/>
  <c r="V7379" i="50"/>
  <c r="G7379" i="50"/>
  <c r="U7379" i="50"/>
  <c r="F7379" i="50"/>
  <c r="G7366" i="50"/>
  <c r="F7366" i="50"/>
  <c r="V7366" i="50"/>
  <c r="U7366" i="50"/>
  <c r="G7372" i="50"/>
  <c r="V7372" i="50"/>
  <c r="U7372" i="50"/>
  <c r="F7391" i="50"/>
  <c r="V7391" i="50"/>
  <c r="U7391" i="50"/>
  <c r="U7395" i="50"/>
  <c r="F7395" i="50"/>
  <c r="V7395" i="50"/>
  <c r="G7395" i="50"/>
  <c r="V7363" i="50"/>
  <c r="U7363" i="50"/>
  <c r="F7363" i="50"/>
  <c r="U7356" i="50"/>
  <c r="G7356" i="50"/>
  <c r="V7356" i="50"/>
  <c r="G7402" i="50"/>
  <c r="V7402" i="50"/>
  <c r="U7402" i="50"/>
  <c r="F7402" i="50"/>
  <c r="D7380" i="50"/>
  <c r="E7380" i="50"/>
  <c r="B7404" i="50"/>
  <c r="F7356" i="50"/>
  <c r="V7361" i="50"/>
  <c r="U7361" i="50"/>
  <c r="G7361" i="50"/>
  <c r="V7392" i="50"/>
  <c r="G7392" i="50"/>
  <c r="F7392" i="50"/>
  <c r="U7392" i="50"/>
  <c r="B7429" i="50"/>
  <c r="D7429" i="50" s="1"/>
  <c r="E7405" i="50"/>
  <c r="B7431" i="50"/>
  <c r="D7431" i="50" s="1"/>
  <c r="E7407" i="50"/>
  <c r="G7407" i="50" s="1"/>
  <c r="E7387" i="50"/>
  <c r="B7411" i="50"/>
  <c r="D7411" i="50" s="1"/>
  <c r="B7408" i="50"/>
  <c r="D7408" i="50" s="1"/>
  <c r="E7384" i="50"/>
  <c r="E7426" i="50"/>
  <c r="B7450" i="50"/>
  <c r="D7450" i="50" s="1"/>
  <c r="B7420" i="50"/>
  <c r="D7420" i="50" s="1"/>
  <c r="E7396" i="50"/>
  <c r="V7396" i="50" s="1"/>
  <c r="B7465" i="50"/>
  <c r="D7465" i="50" s="1"/>
  <c r="E7441" i="50"/>
  <c r="B7397" i="50"/>
  <c r="D7397" i="50" s="1"/>
  <c r="E7373" i="50"/>
  <c r="V7373" i="50" s="1"/>
  <c r="E7415" i="50"/>
  <c r="U7415" i="50" s="1"/>
  <c r="B7439" i="50"/>
  <c r="D7439" i="50" s="1"/>
  <c r="B7424" i="50"/>
  <c r="D7424" i="50" s="1"/>
  <c r="E7400" i="50"/>
  <c r="E7434" i="50"/>
  <c r="B7458" i="50"/>
  <c r="D7458" i="50" s="1"/>
  <c r="B7412" i="50"/>
  <c r="D7412" i="50" s="1"/>
  <c r="E7388" i="50"/>
  <c r="B7440" i="50"/>
  <c r="D7440" i="50" s="1"/>
  <c r="E7416" i="50"/>
  <c r="B7413" i="50"/>
  <c r="D7413" i="50" s="1"/>
  <c r="E7389" i="50"/>
  <c r="E7382" i="50"/>
  <c r="U7382" i="50" s="1"/>
  <c r="B7406" i="50"/>
  <c r="D7406" i="50" s="1"/>
  <c r="E7385" i="50"/>
  <c r="B7409" i="50"/>
  <c r="D7409" i="50" s="1"/>
  <c r="E7442" i="50"/>
  <c r="B7466" i="50"/>
  <c r="D7466" i="50" s="1"/>
  <c r="B7414" i="50"/>
  <c r="D7414" i="50" s="1"/>
  <c r="E7390" i="50"/>
  <c r="B7449" i="50"/>
  <c r="D7449" i="50" s="1"/>
  <c r="E7425" i="50"/>
  <c r="F7425" i="50" s="1"/>
  <c r="B7427" i="50"/>
  <c r="D7427" i="50" s="1"/>
  <c r="E7403" i="50"/>
  <c r="B7422" i="50"/>
  <c r="D7422" i="50" s="1"/>
  <c r="E7398" i="50"/>
  <c r="U7398" i="50" s="1"/>
  <c r="B7443" i="50"/>
  <c r="D7443" i="50" s="1"/>
  <c r="E7419" i="50"/>
  <c r="F7419" i="50" s="1"/>
  <c r="V7385" i="50" l="1"/>
  <c r="U7385" i="50"/>
  <c r="G7385" i="50"/>
  <c r="F7385" i="50"/>
  <c r="U7405" i="50"/>
  <c r="G7405" i="50"/>
  <c r="F7405" i="50"/>
  <c r="V7441" i="50"/>
  <c r="U7441" i="50"/>
  <c r="G7441" i="50"/>
  <c r="U7396" i="50"/>
  <c r="G7396" i="50"/>
  <c r="F7396" i="50"/>
  <c r="V7388" i="50"/>
  <c r="U7388" i="50"/>
  <c r="G7388" i="50"/>
  <c r="V7416" i="50"/>
  <c r="U7416" i="50"/>
  <c r="G7416" i="50"/>
  <c r="F7416" i="50"/>
  <c r="V7426" i="50"/>
  <c r="U7426" i="50"/>
  <c r="G7426" i="50"/>
  <c r="F7426" i="50"/>
  <c r="F7441" i="50"/>
  <c r="V7375" i="50"/>
  <c r="F7375" i="50"/>
  <c r="U7375" i="50"/>
  <c r="V7419" i="50"/>
  <c r="U7419" i="50"/>
  <c r="G7419" i="50"/>
  <c r="F7384" i="50"/>
  <c r="V7384" i="50"/>
  <c r="U7384" i="50"/>
  <c r="G7384" i="50"/>
  <c r="D7399" i="50"/>
  <c r="B7423" i="50"/>
  <c r="E7399" i="50"/>
  <c r="G7382" i="50"/>
  <c r="F7382" i="50"/>
  <c r="V7382" i="50"/>
  <c r="V7434" i="50"/>
  <c r="U7434" i="50"/>
  <c r="F7434" i="50"/>
  <c r="G7434" i="50"/>
  <c r="F7388" i="50"/>
  <c r="G7375" i="50"/>
  <c r="G7398" i="50"/>
  <c r="F7398" i="50"/>
  <c r="V7398" i="50"/>
  <c r="V7400" i="50"/>
  <c r="U7400" i="50"/>
  <c r="G7400" i="50"/>
  <c r="F7400" i="50"/>
  <c r="U7389" i="50"/>
  <c r="G7389" i="50"/>
  <c r="F7389" i="50"/>
  <c r="V7390" i="50"/>
  <c r="U7390" i="50"/>
  <c r="G7390" i="50"/>
  <c r="F7390" i="50"/>
  <c r="F7387" i="50"/>
  <c r="U7387" i="50"/>
  <c r="G7387" i="50"/>
  <c r="V7387" i="50"/>
  <c r="V7389" i="50"/>
  <c r="V7425" i="50"/>
  <c r="U7425" i="50"/>
  <c r="G7425" i="50"/>
  <c r="F7407" i="50"/>
  <c r="U7407" i="50"/>
  <c r="V7407" i="50"/>
  <c r="D7404" i="50"/>
  <c r="B7428" i="50"/>
  <c r="E7404" i="50"/>
  <c r="F7403" i="50"/>
  <c r="V7403" i="50"/>
  <c r="G7403" i="50"/>
  <c r="U7403" i="50"/>
  <c r="V7442" i="50"/>
  <c r="U7442" i="50"/>
  <c r="G7442" i="50"/>
  <c r="F7442" i="50"/>
  <c r="V7415" i="50"/>
  <c r="F7415" i="50"/>
  <c r="G7415" i="50"/>
  <c r="V7380" i="50"/>
  <c r="U7380" i="50"/>
  <c r="G7380" i="50"/>
  <c r="F7380" i="50"/>
  <c r="U7373" i="50"/>
  <c r="G7373" i="50"/>
  <c r="F7373" i="50"/>
  <c r="V7405" i="50"/>
  <c r="B7433" i="50"/>
  <c r="D7433" i="50" s="1"/>
  <c r="E7409" i="50"/>
  <c r="E7466" i="50"/>
  <c r="B7490" i="50"/>
  <c r="D7490" i="50" s="1"/>
  <c r="B7421" i="50"/>
  <c r="D7421" i="50" s="1"/>
  <c r="E7397" i="50"/>
  <c r="E7427" i="50"/>
  <c r="B7451" i="50"/>
  <c r="D7451" i="50" s="1"/>
  <c r="B7436" i="50"/>
  <c r="D7436" i="50" s="1"/>
  <c r="E7412" i="50"/>
  <c r="E7458" i="50"/>
  <c r="B7482" i="50"/>
  <c r="D7482" i="50" s="1"/>
  <c r="B7444" i="50"/>
  <c r="D7444" i="50" s="1"/>
  <c r="E7420" i="50"/>
  <c r="E7431" i="50"/>
  <c r="U7431" i="50" s="1"/>
  <c r="B7455" i="50"/>
  <c r="D7455" i="50" s="1"/>
  <c r="E7413" i="50"/>
  <c r="F7413" i="50" s="1"/>
  <c r="B7437" i="50"/>
  <c r="D7437" i="50" s="1"/>
  <c r="E7450" i="50"/>
  <c r="B7474" i="50"/>
  <c r="D7474" i="50" s="1"/>
  <c r="E7443" i="50"/>
  <c r="B7467" i="50"/>
  <c r="D7467" i="50" s="1"/>
  <c r="B7438" i="50"/>
  <c r="D7438" i="50" s="1"/>
  <c r="E7414" i="50"/>
  <c r="B7448" i="50"/>
  <c r="D7448" i="50" s="1"/>
  <c r="E7424" i="50"/>
  <c r="B7489" i="50"/>
  <c r="D7489" i="50" s="1"/>
  <c r="E7465" i="50"/>
  <c r="E7429" i="50"/>
  <c r="F7429" i="50" s="1"/>
  <c r="B7453" i="50"/>
  <c r="D7453" i="50" s="1"/>
  <c r="B7463" i="50"/>
  <c r="D7463" i="50" s="1"/>
  <c r="E7439" i="50"/>
  <c r="G7439" i="50" s="1"/>
  <c r="E7422" i="50"/>
  <c r="B7446" i="50"/>
  <c r="D7446" i="50" s="1"/>
  <c r="B7464" i="50"/>
  <c r="D7464" i="50" s="1"/>
  <c r="E7440" i="50"/>
  <c r="B7473" i="50"/>
  <c r="D7473" i="50" s="1"/>
  <c r="E7449" i="50"/>
  <c r="B7430" i="50"/>
  <c r="D7430" i="50" s="1"/>
  <c r="E7406" i="50"/>
  <c r="E7411" i="50"/>
  <c r="B7435" i="50"/>
  <c r="D7435" i="50" s="1"/>
  <c r="E7408" i="50"/>
  <c r="B7432" i="50"/>
  <c r="D7432" i="50" s="1"/>
  <c r="F7404" i="50" l="1"/>
  <c r="V7450" i="50"/>
  <c r="U7450" i="50"/>
  <c r="F7450" i="50"/>
  <c r="G7450" i="50"/>
  <c r="U7427" i="50"/>
  <c r="V7427" i="50"/>
  <c r="G7427" i="50"/>
  <c r="F7427" i="50"/>
  <c r="G7397" i="50"/>
  <c r="U7397" i="50"/>
  <c r="V7397" i="50"/>
  <c r="U7422" i="50"/>
  <c r="G7422" i="50"/>
  <c r="F7422" i="50"/>
  <c r="V7422" i="50"/>
  <c r="V7439" i="50"/>
  <c r="U7439" i="50"/>
  <c r="F7439" i="50"/>
  <c r="G7466" i="50"/>
  <c r="V7466" i="50"/>
  <c r="U7466" i="50"/>
  <c r="F7466" i="50"/>
  <c r="V7399" i="50"/>
  <c r="F7399" i="50"/>
  <c r="G7399" i="50"/>
  <c r="U7443" i="50"/>
  <c r="F7443" i="50"/>
  <c r="V7443" i="50"/>
  <c r="G7443" i="50"/>
  <c r="V7409" i="50"/>
  <c r="U7409" i="50"/>
  <c r="G7409" i="50"/>
  <c r="D7423" i="50"/>
  <c r="E7423" i="50"/>
  <c r="B7447" i="50"/>
  <c r="U7429" i="50"/>
  <c r="G7429" i="50"/>
  <c r="V7429" i="50"/>
  <c r="U7413" i="50"/>
  <c r="G7413" i="50"/>
  <c r="V7413" i="50"/>
  <c r="U7399" i="50"/>
  <c r="V7431" i="50"/>
  <c r="F7431" i="50"/>
  <c r="G7431" i="50"/>
  <c r="V7412" i="50"/>
  <c r="U7412" i="50"/>
  <c r="G7412" i="50"/>
  <c r="F7412" i="50"/>
  <c r="G7424" i="50"/>
  <c r="F7424" i="50"/>
  <c r="V7424" i="50"/>
  <c r="U7424" i="50"/>
  <c r="F7420" i="50"/>
  <c r="V7420" i="50"/>
  <c r="U7420" i="50"/>
  <c r="G7420" i="50"/>
  <c r="G7440" i="50"/>
  <c r="U7440" i="50"/>
  <c r="F7440" i="50"/>
  <c r="V7440" i="50"/>
  <c r="G7465" i="50"/>
  <c r="F7465" i="50"/>
  <c r="V7465" i="50"/>
  <c r="U7465" i="50"/>
  <c r="U7411" i="50"/>
  <c r="F7411" i="50"/>
  <c r="V7411" i="50"/>
  <c r="G7411" i="50"/>
  <c r="F7397" i="50"/>
  <c r="V7408" i="50"/>
  <c r="G7408" i="50"/>
  <c r="U7408" i="50"/>
  <c r="F7408" i="50"/>
  <c r="V7406" i="50"/>
  <c r="U7406" i="50"/>
  <c r="G7406" i="50"/>
  <c r="F7406" i="50"/>
  <c r="V7414" i="50"/>
  <c r="F7414" i="50"/>
  <c r="G7414" i="50"/>
  <c r="F7409" i="50"/>
  <c r="U7414" i="50"/>
  <c r="V7449" i="50"/>
  <c r="U7449" i="50"/>
  <c r="G7449" i="50"/>
  <c r="F7449" i="50"/>
  <c r="D7428" i="50"/>
  <c r="B7452" i="50"/>
  <c r="E7428" i="50"/>
  <c r="V7458" i="50"/>
  <c r="U7458" i="50"/>
  <c r="G7458" i="50"/>
  <c r="F7458" i="50"/>
  <c r="V7404" i="50"/>
  <c r="U7404" i="50"/>
  <c r="G7404" i="50"/>
  <c r="B7477" i="50"/>
  <c r="D7477" i="50" s="1"/>
  <c r="E7453" i="50"/>
  <c r="V7453" i="50" s="1"/>
  <c r="B7461" i="50"/>
  <c r="D7461" i="50" s="1"/>
  <c r="E7437" i="50"/>
  <c r="B7459" i="50"/>
  <c r="D7459" i="50" s="1"/>
  <c r="E7435" i="50"/>
  <c r="E7474" i="50"/>
  <c r="B7498" i="50"/>
  <c r="D7498" i="50" s="1"/>
  <c r="E7438" i="50"/>
  <c r="B7462" i="50"/>
  <c r="D7462" i="50" s="1"/>
  <c r="B7488" i="50"/>
  <c r="D7488" i="50" s="1"/>
  <c r="E7464" i="50"/>
  <c r="B7491" i="50"/>
  <c r="D7491" i="50" s="1"/>
  <c r="E7467" i="50"/>
  <c r="B7472" i="50"/>
  <c r="D7472" i="50" s="1"/>
  <c r="E7448" i="50"/>
  <c r="B7460" i="50"/>
  <c r="D7460" i="50" s="1"/>
  <c r="E7436" i="50"/>
  <c r="B7479" i="50"/>
  <c r="D7479" i="50" s="1"/>
  <c r="E7455" i="50"/>
  <c r="G7455" i="50" s="1"/>
  <c r="B7445" i="50"/>
  <c r="D7445" i="50" s="1"/>
  <c r="E7421" i="50"/>
  <c r="B7475" i="50"/>
  <c r="D7475" i="50" s="1"/>
  <c r="E7451" i="50"/>
  <c r="E7433" i="50"/>
  <c r="B7457" i="50"/>
  <c r="D7457" i="50" s="1"/>
  <c r="B7470" i="50"/>
  <c r="D7470" i="50" s="1"/>
  <c r="E7446" i="50"/>
  <c r="B7456" i="50"/>
  <c r="D7456" i="50" s="1"/>
  <c r="E7432" i="50"/>
  <c r="U7432" i="50" s="1"/>
  <c r="B7454" i="50"/>
  <c r="D7454" i="50" s="1"/>
  <c r="E7430" i="50"/>
  <c r="U7430" i="50" s="1"/>
  <c r="E7463" i="50"/>
  <c r="B7487" i="50"/>
  <c r="D7487" i="50" s="1"/>
  <c r="B7468" i="50"/>
  <c r="D7468" i="50" s="1"/>
  <c r="E7444" i="50"/>
  <c r="B7497" i="50"/>
  <c r="D7497" i="50" s="1"/>
  <c r="E7473" i="50"/>
  <c r="F7473" i="50" s="1"/>
  <c r="B7513" i="50"/>
  <c r="D7513" i="50" s="1"/>
  <c r="E7489" i="50"/>
  <c r="F7489" i="50" s="1"/>
  <c r="E7490" i="50"/>
  <c r="B7514" i="50"/>
  <c r="D7514" i="50" s="1"/>
  <c r="E7482" i="50"/>
  <c r="B7506" i="50"/>
  <c r="D7506" i="50" s="1"/>
  <c r="G7436" i="50" l="1"/>
  <c r="U7436" i="50"/>
  <c r="V7436" i="50"/>
  <c r="U7437" i="50"/>
  <c r="G7437" i="50"/>
  <c r="F7437" i="50"/>
  <c r="D7452" i="50"/>
  <c r="B7476" i="50"/>
  <c r="E7452" i="50"/>
  <c r="V7448" i="50"/>
  <c r="U7448" i="50"/>
  <c r="F7448" i="50"/>
  <c r="G7448" i="50"/>
  <c r="U7453" i="50"/>
  <c r="G7453" i="50"/>
  <c r="F7453" i="50"/>
  <c r="U7446" i="50"/>
  <c r="V7446" i="50"/>
  <c r="G7446" i="50"/>
  <c r="F7446" i="50"/>
  <c r="U7467" i="50"/>
  <c r="F7467" i="50"/>
  <c r="G7467" i="50"/>
  <c r="V7467" i="50"/>
  <c r="V7490" i="50"/>
  <c r="U7490" i="50"/>
  <c r="G7490" i="50"/>
  <c r="F7490" i="50"/>
  <c r="V7432" i="50"/>
  <c r="G7432" i="50"/>
  <c r="F7432" i="50"/>
  <c r="F7451" i="50"/>
  <c r="U7451" i="50"/>
  <c r="G7451" i="50"/>
  <c r="V7451" i="50"/>
  <c r="U7464" i="50"/>
  <c r="G7464" i="50"/>
  <c r="F7464" i="50"/>
  <c r="V7464" i="50"/>
  <c r="D7447" i="50"/>
  <c r="B7471" i="50"/>
  <c r="E7447" i="50"/>
  <c r="V7463" i="50"/>
  <c r="F7463" i="50"/>
  <c r="G7463" i="50"/>
  <c r="V7423" i="50"/>
  <c r="U7423" i="50"/>
  <c r="F7423" i="50"/>
  <c r="G7482" i="50"/>
  <c r="V7482" i="50"/>
  <c r="U7482" i="50"/>
  <c r="F7482" i="50"/>
  <c r="V7473" i="50"/>
  <c r="U7473" i="50"/>
  <c r="G7473" i="50"/>
  <c r="G7423" i="50"/>
  <c r="G7438" i="50"/>
  <c r="F7438" i="50"/>
  <c r="V7438" i="50"/>
  <c r="U7438" i="50"/>
  <c r="V7430" i="50"/>
  <c r="G7430" i="50"/>
  <c r="F7430" i="50"/>
  <c r="F7433" i="50"/>
  <c r="U7433" i="50"/>
  <c r="G7433" i="50"/>
  <c r="V7433" i="50"/>
  <c r="U7444" i="50"/>
  <c r="V7444" i="50"/>
  <c r="G7444" i="50"/>
  <c r="F7444" i="50"/>
  <c r="U7421" i="50"/>
  <c r="G7421" i="50"/>
  <c r="F7421" i="50"/>
  <c r="V7474" i="50"/>
  <c r="U7474" i="50"/>
  <c r="G7474" i="50"/>
  <c r="F7474" i="50"/>
  <c r="U7463" i="50"/>
  <c r="V7489" i="50"/>
  <c r="U7489" i="50"/>
  <c r="G7489" i="50"/>
  <c r="V7455" i="50"/>
  <c r="F7455" i="50"/>
  <c r="U7455" i="50"/>
  <c r="V7435" i="50"/>
  <c r="F7435" i="50"/>
  <c r="U7435" i="50"/>
  <c r="G7435" i="50"/>
  <c r="G7428" i="50"/>
  <c r="F7428" i="50"/>
  <c r="V7428" i="50"/>
  <c r="U7428" i="50"/>
  <c r="V7437" i="50"/>
  <c r="V7421" i="50"/>
  <c r="F7436" i="50"/>
  <c r="B7492" i="50"/>
  <c r="D7492" i="50" s="1"/>
  <c r="E7468" i="50"/>
  <c r="E7470" i="50"/>
  <c r="B7494" i="50"/>
  <c r="D7494" i="50" s="1"/>
  <c r="E7475" i="50"/>
  <c r="B7499" i="50"/>
  <c r="D7499" i="50" s="1"/>
  <c r="B7496" i="50"/>
  <c r="D7496" i="50" s="1"/>
  <c r="E7472" i="50"/>
  <c r="B7537" i="50"/>
  <c r="D7537" i="50" s="1"/>
  <c r="E7513" i="50"/>
  <c r="B7484" i="50"/>
  <c r="D7484" i="50" s="1"/>
  <c r="E7460" i="50"/>
  <c r="E7514" i="50"/>
  <c r="B7538" i="50"/>
  <c r="D7538" i="50" s="1"/>
  <c r="E7498" i="50"/>
  <c r="U7498" i="50" s="1"/>
  <c r="B7522" i="50"/>
  <c r="D7522" i="50" s="1"/>
  <c r="E7445" i="50"/>
  <c r="B7469" i="50"/>
  <c r="D7469" i="50" s="1"/>
  <c r="B7511" i="50"/>
  <c r="D7511" i="50" s="1"/>
  <c r="E7487" i="50"/>
  <c r="G7487" i="50" s="1"/>
  <c r="B7481" i="50"/>
  <c r="D7481" i="50" s="1"/>
  <c r="E7457" i="50"/>
  <c r="F7457" i="50" s="1"/>
  <c r="B7521" i="50"/>
  <c r="D7521" i="50" s="1"/>
  <c r="E7497" i="50"/>
  <c r="E7506" i="50"/>
  <c r="F7506" i="50" s="1"/>
  <c r="B7530" i="50"/>
  <c r="D7530" i="50" s="1"/>
  <c r="E7491" i="50"/>
  <c r="B7515" i="50"/>
  <c r="D7515" i="50" s="1"/>
  <c r="E7461" i="50"/>
  <c r="F7461" i="50" s="1"/>
  <c r="B7485" i="50"/>
  <c r="D7485" i="50" s="1"/>
  <c r="B7486" i="50"/>
  <c r="D7486" i="50" s="1"/>
  <c r="E7462" i="50"/>
  <c r="U7462" i="50" s="1"/>
  <c r="E7459" i="50"/>
  <c r="B7483" i="50"/>
  <c r="D7483" i="50" s="1"/>
  <c r="E7454" i="50"/>
  <c r="B7478" i="50"/>
  <c r="D7478" i="50" s="1"/>
  <c r="B7512" i="50"/>
  <c r="D7512" i="50" s="1"/>
  <c r="E7488" i="50"/>
  <c r="E7479" i="50"/>
  <c r="U7479" i="50" s="1"/>
  <c r="B7503" i="50"/>
  <c r="D7503" i="50" s="1"/>
  <c r="B7480" i="50"/>
  <c r="D7480" i="50" s="1"/>
  <c r="E7456" i="50"/>
  <c r="E7477" i="50"/>
  <c r="F7477" i="50" s="1"/>
  <c r="B7501" i="50"/>
  <c r="D7501" i="50" s="1"/>
  <c r="G7454" i="50" l="1"/>
  <c r="F7454" i="50"/>
  <c r="V7454" i="50"/>
  <c r="U7454" i="50"/>
  <c r="V7475" i="50"/>
  <c r="F7475" i="50"/>
  <c r="G7475" i="50"/>
  <c r="U7475" i="50"/>
  <c r="U7470" i="50"/>
  <c r="G7470" i="50"/>
  <c r="F7470" i="50"/>
  <c r="V7470" i="50"/>
  <c r="V7468" i="50"/>
  <c r="U7468" i="50"/>
  <c r="G7468" i="50"/>
  <c r="V7447" i="50"/>
  <c r="F7447" i="50"/>
  <c r="G7447" i="50"/>
  <c r="U7445" i="50"/>
  <c r="G7445" i="50"/>
  <c r="V7445" i="50"/>
  <c r="D7471" i="50"/>
  <c r="B7495" i="50"/>
  <c r="E7471" i="50"/>
  <c r="U7447" i="50"/>
  <c r="G7452" i="50"/>
  <c r="U7452" i="50"/>
  <c r="V7452" i="50"/>
  <c r="G7498" i="50"/>
  <c r="F7498" i="50"/>
  <c r="V7498" i="50"/>
  <c r="D7476" i="50"/>
  <c r="B7500" i="50"/>
  <c r="E7476" i="50"/>
  <c r="F7459" i="50"/>
  <c r="V7459" i="50"/>
  <c r="G7459" i="50"/>
  <c r="U7459" i="50"/>
  <c r="F7452" i="50"/>
  <c r="F7462" i="50"/>
  <c r="G7462" i="50"/>
  <c r="V7462" i="50"/>
  <c r="F7491" i="50"/>
  <c r="U7491" i="50"/>
  <c r="V7491" i="50"/>
  <c r="G7491" i="50"/>
  <c r="V7514" i="50"/>
  <c r="F7514" i="50"/>
  <c r="G7514" i="50"/>
  <c r="U7514" i="50"/>
  <c r="U7460" i="50"/>
  <c r="G7460" i="50"/>
  <c r="F7460" i="50"/>
  <c r="V7460" i="50"/>
  <c r="V7456" i="50"/>
  <c r="U7456" i="50"/>
  <c r="F7456" i="50"/>
  <c r="G7456" i="50"/>
  <c r="U7461" i="50"/>
  <c r="G7461" i="50"/>
  <c r="V7461" i="50"/>
  <c r="V7497" i="50"/>
  <c r="U7497" i="50"/>
  <c r="G7497" i="50"/>
  <c r="F7497" i="50"/>
  <c r="U7513" i="50"/>
  <c r="G7513" i="50"/>
  <c r="F7513" i="50"/>
  <c r="V7513" i="50"/>
  <c r="F7487" i="50"/>
  <c r="U7487" i="50"/>
  <c r="V7487" i="50"/>
  <c r="V7479" i="50"/>
  <c r="F7479" i="50"/>
  <c r="G7479" i="50"/>
  <c r="V7506" i="50"/>
  <c r="U7506" i="50"/>
  <c r="G7506" i="50"/>
  <c r="V7488" i="50"/>
  <c r="U7488" i="50"/>
  <c r="F7488" i="50"/>
  <c r="G7488" i="50"/>
  <c r="V7457" i="50"/>
  <c r="U7457" i="50"/>
  <c r="G7457" i="50"/>
  <c r="G7472" i="50"/>
  <c r="U7472" i="50"/>
  <c r="F7472" i="50"/>
  <c r="V7472" i="50"/>
  <c r="F7445" i="50"/>
  <c r="U7477" i="50"/>
  <c r="G7477" i="50"/>
  <c r="V7477" i="50"/>
  <c r="F7468" i="50"/>
  <c r="B7520" i="50"/>
  <c r="D7520" i="50" s="1"/>
  <c r="E7496" i="50"/>
  <c r="B7507" i="50"/>
  <c r="D7507" i="50" s="1"/>
  <c r="E7483" i="50"/>
  <c r="B7505" i="50"/>
  <c r="D7505" i="50" s="1"/>
  <c r="E7481" i="50"/>
  <c r="B7545" i="50"/>
  <c r="D7545" i="50" s="1"/>
  <c r="E7521" i="50"/>
  <c r="V7521" i="50" s="1"/>
  <c r="B7508" i="50"/>
  <c r="D7508" i="50" s="1"/>
  <c r="E7484" i="50"/>
  <c r="F7484" i="50" s="1"/>
  <c r="B7527" i="50"/>
  <c r="D7527" i="50" s="1"/>
  <c r="E7503" i="50"/>
  <c r="E7511" i="50"/>
  <c r="B7535" i="50"/>
  <c r="D7535" i="50" s="1"/>
  <c r="B7518" i="50"/>
  <c r="D7518" i="50" s="1"/>
  <c r="E7494" i="50"/>
  <c r="U7494" i="50" s="1"/>
  <c r="B7561" i="50"/>
  <c r="D7561" i="50" s="1"/>
  <c r="E7537" i="50"/>
  <c r="B7523" i="50"/>
  <c r="D7523" i="50" s="1"/>
  <c r="E7499" i="50"/>
  <c r="B7504" i="50"/>
  <c r="D7504" i="50" s="1"/>
  <c r="E7480" i="50"/>
  <c r="B7509" i="50"/>
  <c r="D7509" i="50" s="1"/>
  <c r="E7485" i="50"/>
  <c r="V7485" i="50" s="1"/>
  <c r="B7525" i="50"/>
  <c r="D7525" i="50" s="1"/>
  <c r="E7501" i="50"/>
  <c r="B7539" i="50"/>
  <c r="D7539" i="50" s="1"/>
  <c r="E7515" i="50"/>
  <c r="B7516" i="50"/>
  <c r="D7516" i="50" s="1"/>
  <c r="E7492" i="50"/>
  <c r="E7512" i="50"/>
  <c r="B7536" i="50"/>
  <c r="D7536" i="50" s="1"/>
  <c r="B7493" i="50"/>
  <c r="D7493" i="50" s="1"/>
  <c r="E7469" i="50"/>
  <c r="V7469" i="50" s="1"/>
  <c r="B7546" i="50"/>
  <c r="D7546" i="50" s="1"/>
  <c r="E7522" i="50"/>
  <c r="B7554" i="50"/>
  <c r="D7554" i="50" s="1"/>
  <c r="E7530" i="50"/>
  <c r="B7502" i="50"/>
  <c r="D7502" i="50" s="1"/>
  <c r="E7478" i="50"/>
  <c r="U7478" i="50" s="1"/>
  <c r="E7486" i="50"/>
  <c r="B7510" i="50"/>
  <c r="D7510" i="50" s="1"/>
  <c r="B7562" i="50"/>
  <c r="D7562" i="50" s="1"/>
  <c r="E7538" i="50"/>
  <c r="G7538" i="50" s="1"/>
  <c r="U7530" i="50" l="1"/>
  <c r="V7530" i="50"/>
  <c r="G7530" i="50"/>
  <c r="U7480" i="50"/>
  <c r="G7480" i="50"/>
  <c r="F7480" i="50"/>
  <c r="V7480" i="50"/>
  <c r="V7481" i="50"/>
  <c r="U7481" i="50"/>
  <c r="G7481" i="50"/>
  <c r="F7481" i="50"/>
  <c r="F7483" i="50"/>
  <c r="V7483" i="50"/>
  <c r="U7483" i="50"/>
  <c r="G7483" i="50"/>
  <c r="V7522" i="50"/>
  <c r="U7522" i="50"/>
  <c r="G7522" i="50"/>
  <c r="F7522" i="50"/>
  <c r="U7496" i="50"/>
  <c r="V7496" i="50"/>
  <c r="G7496" i="50"/>
  <c r="F7496" i="50"/>
  <c r="V7471" i="50"/>
  <c r="F7471" i="50"/>
  <c r="U7471" i="50"/>
  <c r="U7537" i="50"/>
  <c r="G7537" i="50"/>
  <c r="F7537" i="50"/>
  <c r="G7512" i="50"/>
  <c r="F7512" i="50"/>
  <c r="V7512" i="50"/>
  <c r="U7512" i="50"/>
  <c r="D7495" i="50"/>
  <c r="E7495" i="50"/>
  <c r="B7519" i="50"/>
  <c r="G7494" i="50"/>
  <c r="F7494" i="50"/>
  <c r="V7494" i="50"/>
  <c r="G7471" i="50"/>
  <c r="U7538" i="50"/>
  <c r="V7538" i="50"/>
  <c r="F7538" i="50"/>
  <c r="V7492" i="50"/>
  <c r="U7492" i="50"/>
  <c r="G7492" i="50"/>
  <c r="F7492" i="50"/>
  <c r="F7530" i="50"/>
  <c r="V7511" i="50"/>
  <c r="U7511" i="50"/>
  <c r="G7511" i="50"/>
  <c r="F7511" i="50"/>
  <c r="V7537" i="50"/>
  <c r="U7485" i="50"/>
  <c r="G7485" i="50"/>
  <c r="F7485" i="50"/>
  <c r="V7499" i="50"/>
  <c r="U7499" i="50"/>
  <c r="G7499" i="50"/>
  <c r="F7499" i="50"/>
  <c r="V7486" i="50"/>
  <c r="U7486" i="50"/>
  <c r="G7486" i="50"/>
  <c r="F7486" i="50"/>
  <c r="F7478" i="50"/>
  <c r="V7478" i="50"/>
  <c r="G7478" i="50"/>
  <c r="V7515" i="50"/>
  <c r="G7515" i="50"/>
  <c r="U7515" i="50"/>
  <c r="F7515" i="50"/>
  <c r="V7503" i="50"/>
  <c r="U7503" i="50"/>
  <c r="F7503" i="50"/>
  <c r="G7503" i="50"/>
  <c r="U7476" i="50"/>
  <c r="V7476" i="50"/>
  <c r="G7476" i="50"/>
  <c r="F7476" i="50"/>
  <c r="U7469" i="50"/>
  <c r="G7469" i="50"/>
  <c r="F7469" i="50"/>
  <c r="D7500" i="50"/>
  <c r="B7524" i="50"/>
  <c r="E7500" i="50"/>
  <c r="U7521" i="50"/>
  <c r="G7521" i="50"/>
  <c r="F7521" i="50"/>
  <c r="G7501" i="50"/>
  <c r="U7501" i="50"/>
  <c r="V7501" i="50"/>
  <c r="F7501" i="50"/>
  <c r="V7484" i="50"/>
  <c r="U7484" i="50"/>
  <c r="G7484" i="50"/>
  <c r="F7562" i="50"/>
  <c r="B7528" i="50"/>
  <c r="D7528" i="50" s="1"/>
  <c r="E7504" i="50"/>
  <c r="U7504" i="50" s="1"/>
  <c r="B7542" i="50"/>
  <c r="D7542" i="50" s="1"/>
  <c r="E7518" i="50"/>
  <c r="U7518" i="50" s="1"/>
  <c r="B7569" i="50"/>
  <c r="D7569" i="50" s="1"/>
  <c r="E7545" i="50"/>
  <c r="B7563" i="50"/>
  <c r="D7563" i="50" s="1"/>
  <c r="E7539" i="50"/>
  <c r="E7508" i="50"/>
  <c r="U7508" i="50" s="1"/>
  <c r="B7532" i="50"/>
  <c r="D7532" i="50" s="1"/>
  <c r="B7544" i="50"/>
  <c r="D7544" i="50" s="1"/>
  <c r="E7520" i="50"/>
  <c r="E7525" i="50"/>
  <c r="B7549" i="50"/>
  <c r="D7549" i="50" s="1"/>
  <c r="B7547" i="50"/>
  <c r="D7547" i="50" s="1"/>
  <c r="E7523" i="50"/>
  <c r="B7559" i="50"/>
  <c r="D7559" i="50" s="1"/>
  <c r="E7535" i="50"/>
  <c r="F7535" i="50" s="1"/>
  <c r="B7529" i="50"/>
  <c r="D7529" i="50" s="1"/>
  <c r="E7505" i="50"/>
  <c r="V7505" i="50" s="1"/>
  <c r="E7562" i="50"/>
  <c r="B7586" i="50"/>
  <c r="D7586" i="50" s="1"/>
  <c r="B7578" i="50"/>
  <c r="D7578" i="50" s="1"/>
  <c r="E7554" i="50"/>
  <c r="G7554" i="50" s="1"/>
  <c r="B7560" i="50"/>
  <c r="D7560" i="50" s="1"/>
  <c r="E7536" i="50"/>
  <c r="B7585" i="50"/>
  <c r="D7585" i="50" s="1"/>
  <c r="E7561" i="50"/>
  <c r="B7551" i="50"/>
  <c r="D7551" i="50" s="1"/>
  <c r="E7527" i="50"/>
  <c r="E7493" i="50"/>
  <c r="B7517" i="50"/>
  <c r="D7517" i="50" s="1"/>
  <c r="B7570" i="50"/>
  <c r="D7570" i="50" s="1"/>
  <c r="E7546" i="50"/>
  <c r="F7546" i="50" s="1"/>
  <c r="B7540" i="50"/>
  <c r="D7540" i="50" s="1"/>
  <c r="E7516" i="50"/>
  <c r="U7516" i="50" s="1"/>
  <c r="E7509" i="50"/>
  <c r="B7533" i="50"/>
  <c r="D7533" i="50" s="1"/>
  <c r="E7502" i="50"/>
  <c r="B7526" i="50"/>
  <c r="D7526" i="50" s="1"/>
  <c r="E7510" i="50"/>
  <c r="B7534" i="50"/>
  <c r="D7534" i="50" s="1"/>
  <c r="B7531" i="50"/>
  <c r="D7531" i="50" s="1"/>
  <c r="E7507" i="50"/>
  <c r="V7523" i="50" l="1"/>
  <c r="U7523" i="50"/>
  <c r="G7523" i="50"/>
  <c r="F7523" i="50"/>
  <c r="F7500" i="50"/>
  <c r="U7500" i="50"/>
  <c r="V7500" i="50"/>
  <c r="D7524" i="50"/>
  <c r="B7548" i="50"/>
  <c r="E7524" i="50"/>
  <c r="V7525" i="50"/>
  <c r="U7525" i="50"/>
  <c r="G7525" i="50"/>
  <c r="F7525" i="50"/>
  <c r="G7500" i="50"/>
  <c r="U7561" i="50"/>
  <c r="G7561" i="50"/>
  <c r="F7561" i="50"/>
  <c r="V7504" i="50"/>
  <c r="G7504" i="50"/>
  <c r="F7504" i="50"/>
  <c r="G7493" i="50"/>
  <c r="U7493" i="50"/>
  <c r="V7493" i="50"/>
  <c r="V7536" i="50"/>
  <c r="G7536" i="50"/>
  <c r="U7536" i="50"/>
  <c r="F7536" i="50"/>
  <c r="G7520" i="50"/>
  <c r="V7520" i="50"/>
  <c r="F7520" i="50"/>
  <c r="D7519" i="50"/>
  <c r="B7543" i="50"/>
  <c r="E7519" i="50"/>
  <c r="V7495" i="50"/>
  <c r="F7495" i="50"/>
  <c r="G7495" i="50"/>
  <c r="V7510" i="50"/>
  <c r="U7510" i="50"/>
  <c r="F7510" i="50"/>
  <c r="V7554" i="50"/>
  <c r="U7554" i="50"/>
  <c r="F7554" i="50"/>
  <c r="U7495" i="50"/>
  <c r="F7509" i="50"/>
  <c r="V7509" i="50"/>
  <c r="U7509" i="50"/>
  <c r="G7509" i="50"/>
  <c r="G7508" i="50"/>
  <c r="F7508" i="50"/>
  <c r="V7508" i="50"/>
  <c r="U7520" i="50"/>
  <c r="V7539" i="50"/>
  <c r="G7539" i="50"/>
  <c r="F7539" i="50"/>
  <c r="U7539" i="50"/>
  <c r="V7561" i="50"/>
  <c r="U7502" i="50"/>
  <c r="F7502" i="50"/>
  <c r="V7502" i="50"/>
  <c r="G7502" i="50"/>
  <c r="V7527" i="50"/>
  <c r="U7527" i="50"/>
  <c r="G7527" i="50"/>
  <c r="F7527" i="50"/>
  <c r="V7516" i="50"/>
  <c r="F7516" i="50"/>
  <c r="G7516" i="50"/>
  <c r="U7505" i="50"/>
  <c r="G7505" i="50"/>
  <c r="F7505" i="50"/>
  <c r="U7545" i="50"/>
  <c r="G7545" i="50"/>
  <c r="F7545" i="50"/>
  <c r="G7510" i="50"/>
  <c r="V7545" i="50"/>
  <c r="U7507" i="50"/>
  <c r="G7507" i="50"/>
  <c r="F7507" i="50"/>
  <c r="V7562" i="50"/>
  <c r="U7562" i="50"/>
  <c r="G7562" i="50"/>
  <c r="V7507" i="50"/>
  <c r="V7546" i="50"/>
  <c r="G7546" i="50"/>
  <c r="U7546" i="50"/>
  <c r="V7535" i="50"/>
  <c r="U7535" i="50"/>
  <c r="G7535" i="50"/>
  <c r="V7518" i="50"/>
  <c r="G7518" i="50"/>
  <c r="F7518" i="50"/>
  <c r="F7493" i="50"/>
  <c r="B7575" i="50"/>
  <c r="D7575" i="50" s="1"/>
  <c r="E7551" i="50"/>
  <c r="F7551" i="50" s="1"/>
  <c r="E7532" i="50"/>
  <c r="B7556" i="50"/>
  <c r="D7556" i="50" s="1"/>
  <c r="B7571" i="50"/>
  <c r="D7571" i="50" s="1"/>
  <c r="E7547" i="50"/>
  <c r="G7547" i="50" s="1"/>
  <c r="E7549" i="50"/>
  <c r="G7549" i="50" s="1"/>
  <c r="B7573" i="50"/>
  <c r="D7573" i="50" s="1"/>
  <c r="B7566" i="50"/>
  <c r="D7566" i="50" s="1"/>
  <c r="E7542" i="50"/>
  <c r="U7542" i="50" s="1"/>
  <c r="B7587" i="50"/>
  <c r="D7587" i="50" s="1"/>
  <c r="E7563" i="50"/>
  <c r="E7533" i="50"/>
  <c r="B7557" i="50"/>
  <c r="D7557" i="50" s="1"/>
  <c r="E7585" i="50"/>
  <c r="B7609" i="50"/>
  <c r="D7609" i="50" s="1"/>
  <c r="B7553" i="50"/>
  <c r="D7553" i="50" s="1"/>
  <c r="E7529" i="50"/>
  <c r="V7529" i="50" s="1"/>
  <c r="B7550" i="50"/>
  <c r="D7550" i="50" s="1"/>
  <c r="E7526" i="50"/>
  <c r="U7526" i="50" s="1"/>
  <c r="B7610" i="50"/>
  <c r="D7610" i="50" s="1"/>
  <c r="E7586" i="50"/>
  <c r="G7586" i="50" s="1"/>
  <c r="E7544" i="50"/>
  <c r="B7568" i="50"/>
  <c r="D7568" i="50" s="1"/>
  <c r="B7564" i="50"/>
  <c r="D7564" i="50" s="1"/>
  <c r="E7540" i="50"/>
  <c r="U7540" i="50" s="1"/>
  <c r="E7560" i="50"/>
  <c r="B7584" i="50"/>
  <c r="D7584" i="50" s="1"/>
  <c r="B7583" i="50"/>
  <c r="D7583" i="50" s="1"/>
  <c r="E7559" i="50"/>
  <c r="B7594" i="50"/>
  <c r="D7594" i="50" s="1"/>
  <c r="E7570" i="50"/>
  <c r="G7570" i="50" s="1"/>
  <c r="B7541" i="50"/>
  <c r="D7541" i="50" s="1"/>
  <c r="E7517" i="50"/>
  <c r="G7517" i="50" s="1"/>
  <c r="E7569" i="50"/>
  <c r="V7569" i="50" s="1"/>
  <c r="B7593" i="50"/>
  <c r="D7593" i="50" s="1"/>
  <c r="B7555" i="50"/>
  <c r="D7555" i="50" s="1"/>
  <c r="E7531" i="50"/>
  <c r="E7528" i="50"/>
  <c r="B7552" i="50"/>
  <c r="D7552" i="50" s="1"/>
  <c r="B7558" i="50"/>
  <c r="D7558" i="50" s="1"/>
  <c r="E7534" i="50"/>
  <c r="U7534" i="50" s="1"/>
  <c r="E7578" i="50"/>
  <c r="B7602" i="50"/>
  <c r="D7602" i="50" s="1"/>
  <c r="U7585" i="50" l="1"/>
  <c r="G7585" i="50"/>
  <c r="F7585" i="50"/>
  <c r="V7533" i="50"/>
  <c r="U7533" i="50"/>
  <c r="F7533" i="50"/>
  <c r="V7563" i="50"/>
  <c r="F7563" i="50"/>
  <c r="U7563" i="50"/>
  <c r="V7524" i="50"/>
  <c r="U7524" i="50"/>
  <c r="G7524" i="50"/>
  <c r="F7524" i="50"/>
  <c r="D7548" i="50"/>
  <c r="E7548" i="50"/>
  <c r="B7572" i="50"/>
  <c r="F7570" i="50"/>
  <c r="V7570" i="50"/>
  <c r="U7570" i="50"/>
  <c r="V7578" i="50"/>
  <c r="U7578" i="50"/>
  <c r="G7578" i="50"/>
  <c r="V7542" i="50"/>
  <c r="F7542" i="50"/>
  <c r="G7542" i="50"/>
  <c r="V7540" i="50"/>
  <c r="F7540" i="50"/>
  <c r="G7540" i="50"/>
  <c r="U7528" i="50"/>
  <c r="V7528" i="50"/>
  <c r="F7528" i="50"/>
  <c r="G7528" i="50"/>
  <c r="G7533" i="50"/>
  <c r="V7534" i="50"/>
  <c r="G7534" i="50"/>
  <c r="F7534" i="50"/>
  <c r="V7585" i="50"/>
  <c r="U7544" i="50"/>
  <c r="G7544" i="50"/>
  <c r="V7544" i="50"/>
  <c r="F7544" i="50"/>
  <c r="V7549" i="50"/>
  <c r="U7549" i="50"/>
  <c r="F7549" i="50"/>
  <c r="V7586" i="50"/>
  <c r="U7586" i="50"/>
  <c r="F7586" i="50"/>
  <c r="V7559" i="50"/>
  <c r="U7559" i="50"/>
  <c r="G7559" i="50"/>
  <c r="F7559" i="50"/>
  <c r="G7519" i="50"/>
  <c r="F7519" i="50"/>
  <c r="U7519" i="50"/>
  <c r="G7526" i="50"/>
  <c r="F7526" i="50"/>
  <c r="V7526" i="50"/>
  <c r="U7547" i="50"/>
  <c r="V7547" i="50"/>
  <c r="F7547" i="50"/>
  <c r="G7563" i="50"/>
  <c r="D7543" i="50"/>
  <c r="E7543" i="50"/>
  <c r="B7567" i="50"/>
  <c r="U7560" i="50"/>
  <c r="G7560" i="50"/>
  <c r="V7560" i="50"/>
  <c r="F7560" i="50"/>
  <c r="U7569" i="50"/>
  <c r="G7569" i="50"/>
  <c r="F7569" i="50"/>
  <c r="V7519" i="50"/>
  <c r="V7551" i="50"/>
  <c r="U7551" i="50"/>
  <c r="G7551" i="50"/>
  <c r="F7531" i="50"/>
  <c r="V7531" i="50"/>
  <c r="U7531" i="50"/>
  <c r="V7517" i="50"/>
  <c r="F7517" i="50"/>
  <c r="U7517" i="50"/>
  <c r="U7529" i="50"/>
  <c r="G7529" i="50"/>
  <c r="F7529" i="50"/>
  <c r="F7578" i="50"/>
  <c r="V7532" i="50"/>
  <c r="U7532" i="50"/>
  <c r="G7532" i="50"/>
  <c r="F7532" i="50"/>
  <c r="G7531" i="50"/>
  <c r="B7592" i="50"/>
  <c r="D7592" i="50" s="1"/>
  <c r="E7568" i="50"/>
  <c r="E7610" i="50"/>
  <c r="B7634" i="50"/>
  <c r="D7634" i="50" s="1"/>
  <c r="B7576" i="50"/>
  <c r="D7576" i="50" s="1"/>
  <c r="E7552" i="50"/>
  <c r="B7617" i="50"/>
  <c r="D7617" i="50" s="1"/>
  <c r="E7593" i="50"/>
  <c r="E7594" i="50"/>
  <c r="F7594" i="50" s="1"/>
  <c r="B7618" i="50"/>
  <c r="D7618" i="50" s="1"/>
  <c r="B7590" i="50"/>
  <c r="D7590" i="50" s="1"/>
  <c r="E7566" i="50"/>
  <c r="B7611" i="50"/>
  <c r="D7611" i="50" s="1"/>
  <c r="E7587" i="50"/>
  <c r="E7573" i="50"/>
  <c r="B7597" i="50"/>
  <c r="D7597" i="50" s="1"/>
  <c r="E7557" i="50"/>
  <c r="B7581" i="50"/>
  <c r="D7581" i="50" s="1"/>
  <c r="E7558" i="50"/>
  <c r="B7582" i="50"/>
  <c r="D7582" i="50" s="1"/>
  <c r="B7574" i="50"/>
  <c r="D7574" i="50" s="1"/>
  <c r="E7550" i="50"/>
  <c r="U7550" i="50" s="1"/>
  <c r="B7607" i="50"/>
  <c r="D7607" i="50" s="1"/>
  <c r="E7583" i="50"/>
  <c r="B7626" i="50"/>
  <c r="D7626" i="50" s="1"/>
  <c r="E7602" i="50"/>
  <c r="G7602" i="50" s="1"/>
  <c r="B7608" i="50"/>
  <c r="D7608" i="50" s="1"/>
  <c r="E7584" i="50"/>
  <c r="B7599" i="50"/>
  <c r="D7599" i="50" s="1"/>
  <c r="E7575" i="50"/>
  <c r="E7541" i="50"/>
  <c r="B7565" i="50"/>
  <c r="D7565" i="50" s="1"/>
  <c r="E7553" i="50"/>
  <c r="V7553" i="50" s="1"/>
  <c r="B7577" i="50"/>
  <c r="D7577" i="50" s="1"/>
  <c r="B7633" i="50"/>
  <c r="D7633" i="50" s="1"/>
  <c r="E7609" i="50"/>
  <c r="V7609" i="50" s="1"/>
  <c r="B7595" i="50"/>
  <c r="D7595" i="50" s="1"/>
  <c r="E7571" i="50"/>
  <c r="B7579" i="50"/>
  <c r="D7579" i="50" s="1"/>
  <c r="E7555" i="50"/>
  <c r="B7580" i="50"/>
  <c r="D7580" i="50" s="1"/>
  <c r="E7556" i="50"/>
  <c r="U7556" i="50" s="1"/>
  <c r="B7588" i="50"/>
  <c r="D7588" i="50" s="1"/>
  <c r="E7564" i="50"/>
  <c r="F7566" i="50" l="1"/>
  <c r="V7566" i="50"/>
  <c r="G7566" i="50"/>
  <c r="V7548" i="50"/>
  <c r="U7548" i="50"/>
  <c r="G7548" i="50"/>
  <c r="F7548" i="50"/>
  <c r="V7594" i="50"/>
  <c r="U7594" i="50"/>
  <c r="G7594" i="50"/>
  <c r="U7593" i="50"/>
  <c r="F7593" i="50"/>
  <c r="G7593" i="50"/>
  <c r="V7593" i="50"/>
  <c r="G7550" i="50"/>
  <c r="V7550" i="50"/>
  <c r="F7550" i="50"/>
  <c r="V7552" i="50"/>
  <c r="G7552" i="50"/>
  <c r="U7552" i="50"/>
  <c r="F7552" i="50"/>
  <c r="G7583" i="50"/>
  <c r="U7583" i="50"/>
  <c r="V7583" i="50"/>
  <c r="F7609" i="50"/>
  <c r="U7609" i="50"/>
  <c r="G7609" i="50"/>
  <c r="G7558" i="50"/>
  <c r="F7558" i="50"/>
  <c r="V7558" i="50"/>
  <c r="U7558" i="50"/>
  <c r="V7610" i="50"/>
  <c r="U7610" i="50"/>
  <c r="G7610" i="50"/>
  <c r="V7575" i="50"/>
  <c r="U7575" i="50"/>
  <c r="G7575" i="50"/>
  <c r="F7575" i="50"/>
  <c r="V7568" i="50"/>
  <c r="F7568" i="50"/>
  <c r="G7568" i="50"/>
  <c r="U7568" i="50"/>
  <c r="F7610" i="50"/>
  <c r="U7553" i="50"/>
  <c r="G7553" i="50"/>
  <c r="F7553" i="50"/>
  <c r="F7557" i="50"/>
  <c r="V7557" i="50"/>
  <c r="U7557" i="50"/>
  <c r="G7557" i="50"/>
  <c r="D7567" i="50"/>
  <c r="B7591" i="50"/>
  <c r="E7567" i="50"/>
  <c r="V7555" i="50"/>
  <c r="U7555" i="50"/>
  <c r="G7555" i="50"/>
  <c r="F7555" i="50"/>
  <c r="F7571" i="50"/>
  <c r="V7571" i="50"/>
  <c r="U7571" i="50"/>
  <c r="G7571" i="50"/>
  <c r="V7564" i="50"/>
  <c r="U7564" i="50"/>
  <c r="G7564" i="50"/>
  <c r="F7564" i="50"/>
  <c r="V7584" i="50"/>
  <c r="U7584" i="50"/>
  <c r="G7584" i="50"/>
  <c r="F7584" i="50"/>
  <c r="F7543" i="50"/>
  <c r="V7543" i="50"/>
  <c r="G7543" i="50"/>
  <c r="U7543" i="50"/>
  <c r="V7602" i="50"/>
  <c r="U7602" i="50"/>
  <c r="F7602" i="50"/>
  <c r="V7573" i="50"/>
  <c r="U7573" i="50"/>
  <c r="G7573" i="50"/>
  <c r="F7573" i="50"/>
  <c r="V7541" i="50"/>
  <c r="U7541" i="50"/>
  <c r="G7541" i="50"/>
  <c r="F7541" i="50"/>
  <c r="V7556" i="50"/>
  <c r="F7556" i="50"/>
  <c r="G7556" i="50"/>
  <c r="F7587" i="50"/>
  <c r="G7587" i="50"/>
  <c r="U7587" i="50"/>
  <c r="V7587" i="50"/>
  <c r="F7583" i="50"/>
  <c r="U7566" i="50"/>
  <c r="D7572" i="50"/>
  <c r="B7596" i="50"/>
  <c r="E7572" i="50"/>
  <c r="B7642" i="50"/>
  <c r="D7642" i="50" s="1"/>
  <c r="E7618" i="50"/>
  <c r="B7612" i="50"/>
  <c r="D7612" i="50" s="1"/>
  <c r="E7588" i="50"/>
  <c r="B7657" i="50"/>
  <c r="D7657" i="50" s="1"/>
  <c r="E7633" i="50"/>
  <c r="V7633" i="50" s="1"/>
  <c r="E7565" i="50"/>
  <c r="G7565" i="50" s="1"/>
  <c r="B7589" i="50"/>
  <c r="D7589" i="50" s="1"/>
  <c r="E7581" i="50"/>
  <c r="G7581" i="50" s="1"/>
  <c r="B7605" i="50"/>
  <c r="D7605" i="50" s="1"/>
  <c r="B7658" i="50"/>
  <c r="D7658" i="50" s="1"/>
  <c r="E7634" i="50"/>
  <c r="E7597" i="50"/>
  <c r="G7597" i="50" s="1"/>
  <c r="B7621" i="50"/>
  <c r="D7621" i="50" s="1"/>
  <c r="E7574" i="50"/>
  <c r="B7598" i="50"/>
  <c r="D7598" i="50" s="1"/>
  <c r="B7606" i="50"/>
  <c r="D7606" i="50" s="1"/>
  <c r="E7582" i="50"/>
  <c r="U7582" i="50" s="1"/>
  <c r="E7617" i="50"/>
  <c r="B7641" i="50"/>
  <c r="D7641" i="50" s="1"/>
  <c r="E7626" i="50"/>
  <c r="F7626" i="50" s="1"/>
  <c r="B7650" i="50"/>
  <c r="D7650" i="50" s="1"/>
  <c r="B7635" i="50"/>
  <c r="D7635" i="50" s="1"/>
  <c r="E7611" i="50"/>
  <c r="B7604" i="50"/>
  <c r="D7604" i="50" s="1"/>
  <c r="E7580" i="50"/>
  <c r="B7603" i="50"/>
  <c r="D7603" i="50" s="1"/>
  <c r="E7579" i="50"/>
  <c r="G7579" i="50" s="1"/>
  <c r="E7576" i="50"/>
  <c r="B7600" i="50"/>
  <c r="D7600" i="50" s="1"/>
  <c r="B7631" i="50"/>
  <c r="D7631" i="50" s="1"/>
  <c r="E7607" i="50"/>
  <c r="B7623" i="50"/>
  <c r="D7623" i="50" s="1"/>
  <c r="E7599" i="50"/>
  <c r="F7599" i="50" s="1"/>
  <c r="E7590" i="50"/>
  <c r="B7614" i="50"/>
  <c r="D7614" i="50" s="1"/>
  <c r="E7592" i="50"/>
  <c r="B7616" i="50"/>
  <c r="D7616" i="50" s="1"/>
  <c r="B7619" i="50"/>
  <c r="D7619" i="50" s="1"/>
  <c r="E7595" i="50"/>
  <c r="E7608" i="50"/>
  <c r="B7632" i="50"/>
  <c r="D7632" i="50" s="1"/>
  <c r="B7601" i="50"/>
  <c r="D7601" i="50" s="1"/>
  <c r="E7577" i="50"/>
  <c r="V7577" i="50" s="1"/>
  <c r="F7572" i="50" l="1"/>
  <c r="V7588" i="50"/>
  <c r="F7588" i="50"/>
  <c r="G7588" i="50"/>
  <c r="V7618" i="50"/>
  <c r="F7618" i="50"/>
  <c r="U7618" i="50"/>
  <c r="F7574" i="50"/>
  <c r="U7574" i="50"/>
  <c r="V7574" i="50"/>
  <c r="G7574" i="50"/>
  <c r="V7567" i="50"/>
  <c r="U7567" i="50"/>
  <c r="G7567" i="50"/>
  <c r="F7579" i="50"/>
  <c r="U7579" i="50"/>
  <c r="V7579" i="50"/>
  <c r="V7572" i="50"/>
  <c r="U7572" i="50"/>
  <c r="G7572" i="50"/>
  <c r="D7591" i="50"/>
  <c r="B7615" i="50"/>
  <c r="E7591" i="50"/>
  <c r="V7597" i="50"/>
  <c r="U7597" i="50"/>
  <c r="F7597" i="50"/>
  <c r="D7596" i="50"/>
  <c r="E7596" i="50"/>
  <c r="B7620" i="50"/>
  <c r="F7567" i="50"/>
  <c r="U7595" i="50"/>
  <c r="F7595" i="50"/>
  <c r="V7595" i="50"/>
  <c r="G7611" i="50"/>
  <c r="V7611" i="50"/>
  <c r="U7611" i="50"/>
  <c r="F7611" i="50"/>
  <c r="F7634" i="50"/>
  <c r="V7634" i="50"/>
  <c r="G7634" i="50"/>
  <c r="U7634" i="50"/>
  <c r="U7588" i="50"/>
  <c r="G7618" i="50"/>
  <c r="V7580" i="50"/>
  <c r="U7580" i="50"/>
  <c r="G7580" i="50"/>
  <c r="F7580" i="50"/>
  <c r="U7577" i="50"/>
  <c r="G7577" i="50"/>
  <c r="F7577" i="50"/>
  <c r="G7595" i="50"/>
  <c r="G7576" i="50"/>
  <c r="V7576" i="50"/>
  <c r="F7576" i="50"/>
  <c r="U7576" i="50"/>
  <c r="U7592" i="50"/>
  <c r="G7592" i="50"/>
  <c r="V7592" i="50"/>
  <c r="F7592" i="50"/>
  <c r="V7626" i="50"/>
  <c r="U7626" i="50"/>
  <c r="G7626" i="50"/>
  <c r="V7581" i="50"/>
  <c r="F7581" i="50"/>
  <c r="U7581" i="50"/>
  <c r="V7607" i="50"/>
  <c r="U7607" i="50"/>
  <c r="G7607" i="50"/>
  <c r="F7607" i="50"/>
  <c r="G7590" i="50"/>
  <c r="F7590" i="50"/>
  <c r="V7590" i="50"/>
  <c r="U7590" i="50"/>
  <c r="U7617" i="50"/>
  <c r="V7617" i="50"/>
  <c r="F7617" i="50"/>
  <c r="G7617" i="50"/>
  <c r="V7565" i="50"/>
  <c r="F7565" i="50"/>
  <c r="U7565" i="50"/>
  <c r="V7599" i="50"/>
  <c r="U7599" i="50"/>
  <c r="G7599" i="50"/>
  <c r="F7582" i="50"/>
  <c r="V7582" i="50"/>
  <c r="G7582" i="50"/>
  <c r="U7633" i="50"/>
  <c r="G7633" i="50"/>
  <c r="F7633" i="50"/>
  <c r="G7608" i="50"/>
  <c r="U7608" i="50"/>
  <c r="V7608" i="50"/>
  <c r="F7608" i="50"/>
  <c r="E7589" i="50"/>
  <c r="B7613" i="50"/>
  <c r="D7613" i="50" s="1"/>
  <c r="B7659" i="50"/>
  <c r="D7659" i="50" s="1"/>
  <c r="E7635" i="50"/>
  <c r="B7640" i="50"/>
  <c r="D7640" i="50" s="1"/>
  <c r="E7616" i="50"/>
  <c r="B7681" i="50"/>
  <c r="D7681" i="50" s="1"/>
  <c r="E7657" i="50"/>
  <c r="V7657" i="50" s="1"/>
  <c r="E7621" i="50"/>
  <c r="B7645" i="50"/>
  <c r="D7645" i="50" s="1"/>
  <c r="B7627" i="50"/>
  <c r="D7627" i="50" s="1"/>
  <c r="E7603" i="50"/>
  <c r="B7665" i="50"/>
  <c r="D7665" i="50" s="1"/>
  <c r="E7641" i="50"/>
  <c r="V7641" i="50" s="1"/>
  <c r="B7643" i="50"/>
  <c r="D7643" i="50" s="1"/>
  <c r="E7619" i="50"/>
  <c r="B7638" i="50"/>
  <c r="D7638" i="50" s="1"/>
  <c r="E7614" i="50"/>
  <c r="B7655" i="50"/>
  <c r="D7655" i="50" s="1"/>
  <c r="E7631" i="50"/>
  <c r="E7606" i="50"/>
  <c r="B7630" i="50"/>
  <c r="D7630" i="50" s="1"/>
  <c r="B7682" i="50"/>
  <c r="D7682" i="50" s="1"/>
  <c r="E7658" i="50"/>
  <c r="B7636" i="50"/>
  <c r="D7636" i="50" s="1"/>
  <c r="E7612" i="50"/>
  <c r="B7628" i="50"/>
  <c r="D7628" i="50" s="1"/>
  <c r="E7604" i="50"/>
  <c r="V7604" i="50" s="1"/>
  <c r="B7674" i="50"/>
  <c r="D7674" i="50" s="1"/>
  <c r="E7650" i="50"/>
  <c r="F7650" i="50" s="1"/>
  <c r="B7622" i="50"/>
  <c r="D7622" i="50" s="1"/>
  <c r="E7598" i="50"/>
  <c r="E7605" i="50"/>
  <c r="B7629" i="50"/>
  <c r="D7629" i="50" s="1"/>
  <c r="B7666" i="50"/>
  <c r="D7666" i="50" s="1"/>
  <c r="E7642" i="50"/>
  <c r="F7642" i="50" s="1"/>
  <c r="B7647" i="50"/>
  <c r="D7647" i="50" s="1"/>
  <c r="E7623" i="50"/>
  <c r="B7624" i="50"/>
  <c r="D7624" i="50" s="1"/>
  <c r="E7600" i="50"/>
  <c r="E7601" i="50"/>
  <c r="V7601" i="50" s="1"/>
  <c r="B7625" i="50"/>
  <c r="D7625" i="50" s="1"/>
  <c r="E7632" i="50"/>
  <c r="B7656" i="50"/>
  <c r="D7656" i="50" s="1"/>
  <c r="V7606" i="50" l="1"/>
  <c r="U7606" i="50"/>
  <c r="F7606" i="50"/>
  <c r="U7631" i="50"/>
  <c r="F7631" i="50"/>
  <c r="G7631" i="50"/>
  <c r="V7616" i="50"/>
  <c r="U7616" i="50"/>
  <c r="G7616" i="50"/>
  <c r="F7616" i="50"/>
  <c r="D7620" i="50"/>
  <c r="E7620" i="50"/>
  <c r="B7644" i="50"/>
  <c r="V7605" i="50"/>
  <c r="U7605" i="50"/>
  <c r="G7605" i="50"/>
  <c r="F7605" i="50"/>
  <c r="V7631" i="50"/>
  <c r="V7596" i="50"/>
  <c r="U7596" i="50"/>
  <c r="G7596" i="50"/>
  <c r="F7596" i="50"/>
  <c r="V7598" i="50"/>
  <c r="G7598" i="50"/>
  <c r="F7598" i="50"/>
  <c r="V7614" i="50"/>
  <c r="G7614" i="50"/>
  <c r="F7614" i="50"/>
  <c r="F7635" i="50"/>
  <c r="V7635" i="50"/>
  <c r="U7635" i="50"/>
  <c r="G7635" i="50"/>
  <c r="U7614" i="50"/>
  <c r="V7589" i="50"/>
  <c r="U7589" i="50"/>
  <c r="G7589" i="50"/>
  <c r="F7589" i="50"/>
  <c r="U7619" i="50"/>
  <c r="V7619" i="50"/>
  <c r="G7619" i="50"/>
  <c r="G7604" i="50"/>
  <c r="F7604" i="50"/>
  <c r="U7604" i="50"/>
  <c r="U7641" i="50"/>
  <c r="G7641" i="50"/>
  <c r="F7641" i="50"/>
  <c r="V7591" i="50"/>
  <c r="U7591" i="50"/>
  <c r="G7591" i="50"/>
  <c r="F7591" i="50"/>
  <c r="U7632" i="50"/>
  <c r="G7632" i="50"/>
  <c r="F7632" i="50"/>
  <c r="V7632" i="50"/>
  <c r="G7606" i="50"/>
  <c r="D7615" i="50"/>
  <c r="B7639" i="50"/>
  <c r="E7615" i="50"/>
  <c r="V7612" i="50"/>
  <c r="U7612" i="50"/>
  <c r="G7612" i="50"/>
  <c r="F7612" i="50"/>
  <c r="U7603" i="50"/>
  <c r="G7603" i="50"/>
  <c r="V7603" i="50"/>
  <c r="F7603" i="50"/>
  <c r="F7619" i="50"/>
  <c r="V7642" i="50"/>
  <c r="U7642" i="50"/>
  <c r="G7642" i="50"/>
  <c r="F7601" i="50"/>
  <c r="G7601" i="50"/>
  <c r="U7601" i="50"/>
  <c r="V7650" i="50"/>
  <c r="G7650" i="50"/>
  <c r="U7650" i="50"/>
  <c r="V7600" i="50"/>
  <c r="F7600" i="50"/>
  <c r="G7600" i="50"/>
  <c r="U7600" i="50"/>
  <c r="U7658" i="50"/>
  <c r="G7658" i="50"/>
  <c r="V7658" i="50"/>
  <c r="U7598" i="50"/>
  <c r="F7621" i="50"/>
  <c r="V7621" i="50"/>
  <c r="U7621" i="50"/>
  <c r="G7621" i="50"/>
  <c r="V7623" i="50"/>
  <c r="U7623" i="50"/>
  <c r="G7623" i="50"/>
  <c r="F7623" i="50"/>
  <c r="G7657" i="50"/>
  <c r="F7657" i="50"/>
  <c r="U7657" i="50"/>
  <c r="F7658" i="50"/>
  <c r="B7690" i="50"/>
  <c r="D7690" i="50" s="1"/>
  <c r="E7666" i="50"/>
  <c r="B7652" i="50"/>
  <c r="D7652" i="50" s="1"/>
  <c r="E7628" i="50"/>
  <c r="B7689" i="50"/>
  <c r="D7689" i="50" s="1"/>
  <c r="E7665" i="50"/>
  <c r="V7665" i="50" s="1"/>
  <c r="B7705" i="50"/>
  <c r="D7705" i="50" s="1"/>
  <c r="E7681" i="50"/>
  <c r="V7681" i="50" s="1"/>
  <c r="E7629" i="50"/>
  <c r="B7653" i="50"/>
  <c r="D7653" i="50" s="1"/>
  <c r="B7651" i="50"/>
  <c r="D7651" i="50" s="1"/>
  <c r="E7627" i="50"/>
  <c r="G7627" i="50" s="1"/>
  <c r="B7671" i="50"/>
  <c r="D7671" i="50" s="1"/>
  <c r="E7647" i="50"/>
  <c r="B7660" i="50"/>
  <c r="D7660" i="50" s="1"/>
  <c r="E7636" i="50"/>
  <c r="B7679" i="50"/>
  <c r="D7679" i="50" s="1"/>
  <c r="E7655" i="50"/>
  <c r="B7654" i="50"/>
  <c r="D7654" i="50" s="1"/>
  <c r="E7630" i="50"/>
  <c r="U7630" i="50" s="1"/>
  <c r="E7622" i="50"/>
  <c r="B7646" i="50"/>
  <c r="D7646" i="50" s="1"/>
  <c r="B7662" i="50"/>
  <c r="D7662" i="50" s="1"/>
  <c r="E7638" i="50"/>
  <c r="B7706" i="50"/>
  <c r="D7706" i="50" s="1"/>
  <c r="E7682" i="50"/>
  <c r="B7683" i="50"/>
  <c r="D7683" i="50" s="1"/>
  <c r="E7659" i="50"/>
  <c r="E7624" i="50"/>
  <c r="B7648" i="50"/>
  <c r="D7648" i="50" s="1"/>
  <c r="B7680" i="50"/>
  <c r="D7680" i="50" s="1"/>
  <c r="E7656" i="50"/>
  <c r="B7664" i="50"/>
  <c r="D7664" i="50" s="1"/>
  <c r="E7640" i="50"/>
  <c r="E7613" i="50"/>
  <c r="B7637" i="50"/>
  <c r="D7637" i="50" s="1"/>
  <c r="B7667" i="50"/>
  <c r="D7667" i="50" s="1"/>
  <c r="E7643" i="50"/>
  <c r="G7643" i="50" s="1"/>
  <c r="B7649" i="50"/>
  <c r="D7649" i="50" s="1"/>
  <c r="E7625" i="50"/>
  <c r="V7625" i="50" s="1"/>
  <c r="B7698" i="50"/>
  <c r="D7698" i="50" s="1"/>
  <c r="E7674" i="50"/>
  <c r="F7674" i="50" s="1"/>
  <c r="B7669" i="50"/>
  <c r="D7669" i="50" s="1"/>
  <c r="E7645" i="50"/>
  <c r="G7645" i="50" s="1"/>
  <c r="V7628" i="50" l="1"/>
  <c r="U7628" i="50"/>
  <c r="G7628" i="50"/>
  <c r="F7628" i="50"/>
  <c r="D7639" i="50"/>
  <c r="B7663" i="50"/>
  <c r="E7639" i="50"/>
  <c r="V7615" i="50"/>
  <c r="U7615" i="50"/>
  <c r="G7615" i="50"/>
  <c r="F7615" i="50"/>
  <c r="U7636" i="50"/>
  <c r="V7636" i="50"/>
  <c r="G7636" i="50"/>
  <c r="F7636" i="50"/>
  <c r="V7666" i="50"/>
  <c r="F7666" i="50"/>
  <c r="G7666" i="50"/>
  <c r="U7666" i="50"/>
  <c r="D7644" i="50"/>
  <c r="E7644" i="50"/>
  <c r="B7668" i="50"/>
  <c r="F7620" i="50"/>
  <c r="U7620" i="50"/>
  <c r="G7620" i="50"/>
  <c r="V7620" i="50"/>
  <c r="V7647" i="50"/>
  <c r="F7647" i="50"/>
  <c r="U7647" i="50"/>
  <c r="G7647" i="50"/>
  <c r="V7659" i="50"/>
  <c r="U7659" i="50"/>
  <c r="F7659" i="50"/>
  <c r="U7627" i="50"/>
  <c r="F7627" i="50"/>
  <c r="V7627" i="50"/>
  <c r="G7640" i="50"/>
  <c r="U7640" i="50"/>
  <c r="F7640" i="50"/>
  <c r="V7640" i="50"/>
  <c r="V7645" i="50"/>
  <c r="U7645" i="50"/>
  <c r="F7645" i="50"/>
  <c r="G7682" i="50"/>
  <c r="U7682" i="50"/>
  <c r="V7682" i="50"/>
  <c r="F7682" i="50"/>
  <c r="V7629" i="50"/>
  <c r="U7629" i="50"/>
  <c r="F7629" i="50"/>
  <c r="U7625" i="50"/>
  <c r="G7625" i="50"/>
  <c r="F7625" i="50"/>
  <c r="G7638" i="50"/>
  <c r="U7638" i="50"/>
  <c r="F7638" i="50"/>
  <c r="V7638" i="50"/>
  <c r="V7613" i="50"/>
  <c r="U7613" i="50"/>
  <c r="F7613" i="50"/>
  <c r="V7624" i="50"/>
  <c r="F7624" i="50"/>
  <c r="U7624" i="50"/>
  <c r="G7624" i="50"/>
  <c r="G7613" i="50"/>
  <c r="F7643" i="50"/>
  <c r="V7643" i="50"/>
  <c r="U7643" i="50"/>
  <c r="U7681" i="50"/>
  <c r="G7681" i="50"/>
  <c r="F7681" i="50"/>
  <c r="V7655" i="50"/>
  <c r="U7655" i="50"/>
  <c r="G7655" i="50"/>
  <c r="F7655" i="50"/>
  <c r="V7674" i="50"/>
  <c r="U7674" i="50"/>
  <c r="G7674" i="50"/>
  <c r="F7622" i="50"/>
  <c r="G7622" i="50"/>
  <c r="V7622" i="50"/>
  <c r="U7622" i="50"/>
  <c r="G7659" i="50"/>
  <c r="U7656" i="50"/>
  <c r="G7656" i="50"/>
  <c r="V7656" i="50"/>
  <c r="F7656" i="50"/>
  <c r="V7630" i="50"/>
  <c r="G7630" i="50"/>
  <c r="F7630" i="50"/>
  <c r="U7665" i="50"/>
  <c r="G7665" i="50"/>
  <c r="F7665" i="50"/>
  <c r="G7629" i="50"/>
  <c r="B7729" i="50"/>
  <c r="D7729" i="50" s="1"/>
  <c r="E7705" i="50"/>
  <c r="G7705" i="50" s="1"/>
  <c r="B7703" i="50"/>
  <c r="D7703" i="50" s="1"/>
  <c r="E7679" i="50"/>
  <c r="B7730" i="50"/>
  <c r="D7730" i="50" s="1"/>
  <c r="E7706" i="50"/>
  <c r="B7675" i="50"/>
  <c r="D7675" i="50" s="1"/>
  <c r="E7651" i="50"/>
  <c r="B7713" i="50"/>
  <c r="D7713" i="50" s="1"/>
  <c r="E7689" i="50"/>
  <c r="B7673" i="50"/>
  <c r="D7673" i="50" s="1"/>
  <c r="E7649" i="50"/>
  <c r="E7637" i="50"/>
  <c r="B7661" i="50"/>
  <c r="D7661" i="50" s="1"/>
  <c r="E7680" i="50"/>
  <c r="B7704" i="50"/>
  <c r="D7704" i="50" s="1"/>
  <c r="E7660" i="50"/>
  <c r="B7684" i="50"/>
  <c r="D7684" i="50" s="1"/>
  <c r="B7722" i="50"/>
  <c r="D7722" i="50" s="1"/>
  <c r="E7698" i="50"/>
  <c r="U7698" i="50" s="1"/>
  <c r="B7672" i="50"/>
  <c r="D7672" i="50" s="1"/>
  <c r="E7648" i="50"/>
  <c r="E7662" i="50"/>
  <c r="B7686" i="50"/>
  <c r="D7686" i="50" s="1"/>
  <c r="B7670" i="50"/>
  <c r="D7670" i="50" s="1"/>
  <c r="E7646" i="50"/>
  <c r="U7646" i="50" s="1"/>
  <c r="E7667" i="50"/>
  <c r="B7691" i="50"/>
  <c r="D7691" i="50" s="1"/>
  <c r="E7664" i="50"/>
  <c r="B7688" i="50"/>
  <c r="D7688" i="50" s="1"/>
  <c r="B7676" i="50"/>
  <c r="D7676" i="50" s="1"/>
  <c r="E7652" i="50"/>
  <c r="B7678" i="50"/>
  <c r="D7678" i="50" s="1"/>
  <c r="E7654" i="50"/>
  <c r="E7683" i="50"/>
  <c r="B7707" i="50"/>
  <c r="D7707" i="50" s="1"/>
  <c r="E7669" i="50"/>
  <c r="B7693" i="50"/>
  <c r="D7693" i="50" s="1"/>
  <c r="E7671" i="50"/>
  <c r="B7695" i="50"/>
  <c r="D7695" i="50" s="1"/>
  <c r="B7677" i="50"/>
  <c r="D7677" i="50" s="1"/>
  <c r="E7653" i="50"/>
  <c r="B7714" i="50"/>
  <c r="D7714" i="50" s="1"/>
  <c r="E7690" i="50"/>
  <c r="U7649" i="50" l="1"/>
  <c r="G7649" i="50"/>
  <c r="F7649" i="50"/>
  <c r="U7689" i="50"/>
  <c r="F7689" i="50"/>
  <c r="G7689" i="50"/>
  <c r="V7689" i="50"/>
  <c r="G7662" i="50"/>
  <c r="F7662" i="50"/>
  <c r="V7662" i="50"/>
  <c r="V7651" i="50"/>
  <c r="U7651" i="50"/>
  <c r="G7651" i="50"/>
  <c r="F7651" i="50"/>
  <c r="V7706" i="50"/>
  <c r="U7706" i="50"/>
  <c r="G7706" i="50"/>
  <c r="F7706" i="50"/>
  <c r="F7683" i="50"/>
  <c r="V7683" i="50"/>
  <c r="U7683" i="50"/>
  <c r="G7683" i="50"/>
  <c r="V7698" i="50"/>
  <c r="G7698" i="50"/>
  <c r="F7698" i="50"/>
  <c r="V7679" i="50"/>
  <c r="U7679" i="50"/>
  <c r="F7679" i="50"/>
  <c r="G7679" i="50"/>
  <c r="V7639" i="50"/>
  <c r="U7639" i="50"/>
  <c r="G7639" i="50"/>
  <c r="F7639" i="50"/>
  <c r="F7669" i="50"/>
  <c r="V7669" i="50"/>
  <c r="U7669" i="50"/>
  <c r="G7669" i="50"/>
  <c r="V7652" i="50"/>
  <c r="U7652" i="50"/>
  <c r="G7652" i="50"/>
  <c r="F7652" i="50"/>
  <c r="D7668" i="50"/>
  <c r="B7692" i="50"/>
  <c r="E7668" i="50"/>
  <c r="D7663" i="50"/>
  <c r="E7663" i="50"/>
  <c r="B7687" i="50"/>
  <c r="V7637" i="50"/>
  <c r="U7637" i="50"/>
  <c r="F7637" i="50"/>
  <c r="G7637" i="50"/>
  <c r="U7705" i="50"/>
  <c r="V7705" i="50"/>
  <c r="F7705" i="50"/>
  <c r="V7644" i="50"/>
  <c r="U7644" i="50"/>
  <c r="G7644" i="50"/>
  <c r="F7644" i="50"/>
  <c r="V7671" i="50"/>
  <c r="U7671" i="50"/>
  <c r="G7671" i="50"/>
  <c r="F7671" i="50"/>
  <c r="U7664" i="50"/>
  <c r="G7664" i="50"/>
  <c r="V7664" i="50"/>
  <c r="F7664" i="50"/>
  <c r="V7660" i="50"/>
  <c r="U7660" i="50"/>
  <c r="G7660" i="50"/>
  <c r="F7660" i="50"/>
  <c r="F7690" i="50"/>
  <c r="V7690" i="50"/>
  <c r="U7690" i="50"/>
  <c r="G7690" i="50"/>
  <c r="V7648" i="50"/>
  <c r="F7648" i="50"/>
  <c r="U7648" i="50"/>
  <c r="G7648" i="50"/>
  <c r="G7667" i="50"/>
  <c r="U7667" i="50"/>
  <c r="F7667" i="50"/>
  <c r="V7667" i="50"/>
  <c r="U7680" i="50"/>
  <c r="G7680" i="50"/>
  <c r="F7680" i="50"/>
  <c r="V7680" i="50"/>
  <c r="U7662" i="50"/>
  <c r="G7654" i="50"/>
  <c r="V7654" i="50"/>
  <c r="U7654" i="50"/>
  <c r="F7654" i="50"/>
  <c r="V7653" i="50"/>
  <c r="U7653" i="50"/>
  <c r="F7653" i="50"/>
  <c r="G7653" i="50"/>
  <c r="V7646" i="50"/>
  <c r="F7646" i="50"/>
  <c r="G7646" i="50"/>
  <c r="V7649" i="50"/>
  <c r="E7678" i="50"/>
  <c r="B7702" i="50"/>
  <c r="D7702" i="50" s="1"/>
  <c r="E7676" i="50"/>
  <c r="B7700" i="50"/>
  <c r="D7700" i="50" s="1"/>
  <c r="B7685" i="50"/>
  <c r="D7685" i="50" s="1"/>
  <c r="E7661" i="50"/>
  <c r="G7661" i="50" s="1"/>
  <c r="B7754" i="50"/>
  <c r="D7754" i="50" s="1"/>
  <c r="E7730" i="50"/>
  <c r="B7719" i="50"/>
  <c r="D7719" i="50" s="1"/>
  <c r="E7695" i="50"/>
  <c r="B7737" i="50"/>
  <c r="D7737" i="50" s="1"/>
  <c r="E7713" i="50"/>
  <c r="B7728" i="50"/>
  <c r="D7728" i="50" s="1"/>
  <c r="E7704" i="50"/>
  <c r="B7701" i="50"/>
  <c r="D7701" i="50" s="1"/>
  <c r="E7677" i="50"/>
  <c r="B7731" i="50"/>
  <c r="D7731" i="50" s="1"/>
  <c r="E7707" i="50"/>
  <c r="E7673" i="50"/>
  <c r="V7673" i="50" s="1"/>
  <c r="B7697" i="50"/>
  <c r="D7697" i="50" s="1"/>
  <c r="E7703" i="50"/>
  <c r="B7727" i="50"/>
  <c r="D7727" i="50" s="1"/>
  <c r="B7694" i="50"/>
  <c r="D7694" i="50" s="1"/>
  <c r="E7670" i="50"/>
  <c r="B7717" i="50"/>
  <c r="D7717" i="50" s="1"/>
  <c r="E7693" i="50"/>
  <c r="B7712" i="50"/>
  <c r="D7712" i="50" s="1"/>
  <c r="E7688" i="50"/>
  <c r="B7710" i="50"/>
  <c r="D7710" i="50" s="1"/>
  <c r="E7686" i="50"/>
  <c r="B7696" i="50"/>
  <c r="D7696" i="50" s="1"/>
  <c r="E7672" i="50"/>
  <c r="B7699" i="50"/>
  <c r="D7699" i="50" s="1"/>
  <c r="E7675" i="50"/>
  <c r="G7675" i="50" s="1"/>
  <c r="B7715" i="50"/>
  <c r="D7715" i="50" s="1"/>
  <c r="E7691" i="50"/>
  <c r="B7746" i="50"/>
  <c r="D7746" i="50" s="1"/>
  <c r="E7722" i="50"/>
  <c r="B7738" i="50"/>
  <c r="D7738" i="50" s="1"/>
  <c r="E7714" i="50"/>
  <c r="F7714" i="50" s="1"/>
  <c r="B7708" i="50"/>
  <c r="D7708" i="50" s="1"/>
  <c r="E7684" i="50"/>
  <c r="B7753" i="50"/>
  <c r="D7753" i="50" s="1"/>
  <c r="E7729" i="50"/>
  <c r="U7672" i="50" l="1"/>
  <c r="G7672" i="50"/>
  <c r="V7672" i="50"/>
  <c r="F7672" i="50"/>
  <c r="V7678" i="50"/>
  <c r="G7678" i="50"/>
  <c r="F7678" i="50"/>
  <c r="D7692" i="50"/>
  <c r="E7692" i="50"/>
  <c r="B7716" i="50"/>
  <c r="V7704" i="50"/>
  <c r="U7704" i="50"/>
  <c r="G7704" i="50"/>
  <c r="F7713" i="50"/>
  <c r="G7713" i="50"/>
  <c r="V7713" i="50"/>
  <c r="U7713" i="50"/>
  <c r="U7678" i="50"/>
  <c r="V7677" i="50"/>
  <c r="U7677" i="50"/>
  <c r="F7677" i="50"/>
  <c r="V7693" i="50"/>
  <c r="U7693" i="50"/>
  <c r="G7693" i="50"/>
  <c r="F7693" i="50"/>
  <c r="G7688" i="50"/>
  <c r="F7688" i="50"/>
  <c r="V7688" i="50"/>
  <c r="U7686" i="50"/>
  <c r="G7686" i="50"/>
  <c r="F7686" i="50"/>
  <c r="G7695" i="50"/>
  <c r="V7695" i="50"/>
  <c r="F7695" i="50"/>
  <c r="U7695" i="50"/>
  <c r="V7684" i="50"/>
  <c r="F7684" i="50"/>
  <c r="U7684" i="50"/>
  <c r="G7684" i="50"/>
  <c r="V7730" i="50"/>
  <c r="U7730" i="50"/>
  <c r="G7730" i="50"/>
  <c r="F7730" i="50"/>
  <c r="V7714" i="50"/>
  <c r="U7714" i="50"/>
  <c r="G7714" i="50"/>
  <c r="G7703" i="50"/>
  <c r="F7703" i="50"/>
  <c r="V7703" i="50"/>
  <c r="U7703" i="50"/>
  <c r="G7677" i="50"/>
  <c r="V7686" i="50"/>
  <c r="U7729" i="50"/>
  <c r="G7729" i="50"/>
  <c r="V7729" i="50"/>
  <c r="F7729" i="50"/>
  <c r="V7691" i="50"/>
  <c r="U7691" i="50"/>
  <c r="G7691" i="50"/>
  <c r="F7691" i="50"/>
  <c r="U7661" i="50"/>
  <c r="F7661" i="50"/>
  <c r="V7661" i="50"/>
  <c r="V7668" i="50"/>
  <c r="U7668" i="50"/>
  <c r="G7668" i="50"/>
  <c r="F7668" i="50"/>
  <c r="U7673" i="50"/>
  <c r="G7673" i="50"/>
  <c r="F7673" i="50"/>
  <c r="U7688" i="50"/>
  <c r="D7687" i="50"/>
  <c r="E7687" i="50"/>
  <c r="B7711" i="50"/>
  <c r="V7670" i="50"/>
  <c r="U7670" i="50"/>
  <c r="G7670" i="50"/>
  <c r="F7670" i="50"/>
  <c r="V7675" i="50"/>
  <c r="U7675" i="50"/>
  <c r="F7675" i="50"/>
  <c r="V7707" i="50"/>
  <c r="U7707" i="50"/>
  <c r="G7707" i="50"/>
  <c r="F7707" i="50"/>
  <c r="V7663" i="50"/>
  <c r="U7663" i="50"/>
  <c r="F7663" i="50"/>
  <c r="G7663" i="50"/>
  <c r="G7722" i="50"/>
  <c r="V7722" i="50"/>
  <c r="U7722" i="50"/>
  <c r="F7722" i="50"/>
  <c r="V7676" i="50"/>
  <c r="U7676" i="50"/>
  <c r="G7676" i="50"/>
  <c r="F7676" i="50"/>
  <c r="F7704" i="50"/>
  <c r="E7717" i="50"/>
  <c r="B7741" i="50"/>
  <c r="D7741" i="50" s="1"/>
  <c r="B7761" i="50"/>
  <c r="D7761" i="50" s="1"/>
  <c r="E7737" i="50"/>
  <c r="G7737" i="50" s="1"/>
  <c r="E7701" i="50"/>
  <c r="G7701" i="50" s="1"/>
  <c r="B7725" i="50"/>
  <c r="D7725" i="50" s="1"/>
  <c r="E7699" i="50"/>
  <c r="B7723" i="50"/>
  <c r="D7723" i="50" s="1"/>
  <c r="E7696" i="50"/>
  <c r="V7696" i="50" s="1"/>
  <c r="B7720" i="50"/>
  <c r="D7720" i="50" s="1"/>
  <c r="E7694" i="50"/>
  <c r="F7694" i="50" s="1"/>
  <c r="B7718" i="50"/>
  <c r="D7718" i="50" s="1"/>
  <c r="E7719" i="50"/>
  <c r="B7743" i="50"/>
  <c r="D7743" i="50" s="1"/>
  <c r="B7751" i="50"/>
  <c r="D7751" i="50" s="1"/>
  <c r="E7727" i="50"/>
  <c r="B7777" i="50"/>
  <c r="D7777" i="50" s="1"/>
  <c r="E7753" i="50"/>
  <c r="E7715" i="50"/>
  <c r="G7715" i="50" s="1"/>
  <c r="B7739" i="50"/>
  <c r="D7739" i="50" s="1"/>
  <c r="E7685" i="50"/>
  <c r="B7709" i="50"/>
  <c r="D7709" i="50" s="1"/>
  <c r="B7726" i="50"/>
  <c r="D7726" i="50" s="1"/>
  <c r="E7702" i="50"/>
  <c r="B7770" i="50"/>
  <c r="D7770" i="50" s="1"/>
  <c r="E7746" i="50"/>
  <c r="U7746" i="50" s="1"/>
  <c r="E7710" i="50"/>
  <c r="B7734" i="50"/>
  <c r="D7734" i="50" s="1"/>
  <c r="B7778" i="50"/>
  <c r="D7778" i="50" s="1"/>
  <c r="E7754" i="50"/>
  <c r="B7724" i="50"/>
  <c r="D7724" i="50" s="1"/>
  <c r="E7700" i="50"/>
  <c r="E7708" i="50"/>
  <c r="U7708" i="50" s="1"/>
  <c r="B7732" i="50"/>
  <c r="D7732" i="50" s="1"/>
  <c r="B7762" i="50"/>
  <c r="D7762" i="50" s="1"/>
  <c r="E7738" i="50"/>
  <c r="E7731" i="50"/>
  <c r="B7755" i="50"/>
  <c r="D7755" i="50" s="1"/>
  <c r="B7721" i="50"/>
  <c r="D7721" i="50" s="1"/>
  <c r="E7697" i="50"/>
  <c r="E7712" i="50"/>
  <c r="B7736" i="50"/>
  <c r="D7736" i="50" s="1"/>
  <c r="E7728" i="50"/>
  <c r="B7752" i="50"/>
  <c r="D7752" i="50" s="1"/>
  <c r="V7753" i="50" l="1"/>
  <c r="U7753" i="50"/>
  <c r="F7753" i="50"/>
  <c r="U7727" i="50"/>
  <c r="F7727" i="50"/>
  <c r="G7727" i="50"/>
  <c r="V7727" i="50"/>
  <c r="U7717" i="50"/>
  <c r="G7717" i="50"/>
  <c r="F7717" i="50"/>
  <c r="V7717" i="50"/>
  <c r="U7754" i="50"/>
  <c r="G7754" i="50"/>
  <c r="F7754" i="50"/>
  <c r="F7719" i="50"/>
  <c r="G7719" i="50"/>
  <c r="U7719" i="50"/>
  <c r="V7719" i="50"/>
  <c r="D7716" i="50"/>
  <c r="B7740" i="50"/>
  <c r="E7716" i="50"/>
  <c r="V7708" i="50"/>
  <c r="G7708" i="50"/>
  <c r="F7708" i="50"/>
  <c r="V7692" i="50"/>
  <c r="G7692" i="50"/>
  <c r="U7692" i="50"/>
  <c r="V7694" i="50"/>
  <c r="G7694" i="50"/>
  <c r="U7694" i="50"/>
  <c r="F7692" i="50"/>
  <c r="F7746" i="50"/>
  <c r="V7746" i="50"/>
  <c r="G7746" i="50"/>
  <c r="V7754" i="50"/>
  <c r="U7728" i="50"/>
  <c r="G7728" i="50"/>
  <c r="F7728" i="50"/>
  <c r="V7728" i="50"/>
  <c r="U7696" i="50"/>
  <c r="G7696" i="50"/>
  <c r="F7696" i="50"/>
  <c r="F7702" i="50"/>
  <c r="V7702" i="50"/>
  <c r="U7702" i="50"/>
  <c r="G7702" i="50"/>
  <c r="U7700" i="50"/>
  <c r="V7700" i="50"/>
  <c r="G7700" i="50"/>
  <c r="F7700" i="50"/>
  <c r="U7737" i="50"/>
  <c r="F7737" i="50"/>
  <c r="V7737" i="50"/>
  <c r="V7697" i="50"/>
  <c r="U7697" i="50"/>
  <c r="F7697" i="50"/>
  <c r="U7731" i="50"/>
  <c r="G7731" i="50"/>
  <c r="F7731" i="50"/>
  <c r="V7731" i="50"/>
  <c r="U7685" i="50"/>
  <c r="V7685" i="50"/>
  <c r="F7685" i="50"/>
  <c r="G7685" i="50"/>
  <c r="V7699" i="50"/>
  <c r="U7699" i="50"/>
  <c r="F7699" i="50"/>
  <c r="G7699" i="50"/>
  <c r="G7753" i="50"/>
  <c r="D7711" i="50"/>
  <c r="B7735" i="50"/>
  <c r="E7711" i="50"/>
  <c r="G7697" i="50"/>
  <c r="U7710" i="50"/>
  <c r="G7710" i="50"/>
  <c r="V7710" i="50"/>
  <c r="F7710" i="50"/>
  <c r="V7738" i="50"/>
  <c r="U7738" i="50"/>
  <c r="G7738" i="50"/>
  <c r="F7738" i="50"/>
  <c r="U7687" i="50"/>
  <c r="G7687" i="50"/>
  <c r="F7687" i="50"/>
  <c r="V7712" i="50"/>
  <c r="U7712" i="50"/>
  <c r="G7712" i="50"/>
  <c r="F7712" i="50"/>
  <c r="U7715" i="50"/>
  <c r="V7715" i="50"/>
  <c r="F7715" i="50"/>
  <c r="V7701" i="50"/>
  <c r="U7701" i="50"/>
  <c r="F7701" i="50"/>
  <c r="V7687" i="50"/>
  <c r="B7763" i="50"/>
  <c r="D7763" i="50" s="1"/>
  <c r="E7739" i="50"/>
  <c r="B7749" i="50"/>
  <c r="D7749" i="50" s="1"/>
  <c r="E7725" i="50"/>
  <c r="B7794" i="50"/>
  <c r="D7794" i="50" s="1"/>
  <c r="E7770" i="50"/>
  <c r="B7779" i="50"/>
  <c r="D7779" i="50" s="1"/>
  <c r="E7755" i="50"/>
  <c r="E7762" i="50"/>
  <c r="B7786" i="50"/>
  <c r="D7786" i="50" s="1"/>
  <c r="E7724" i="50"/>
  <c r="U7724" i="50" s="1"/>
  <c r="B7748" i="50"/>
  <c r="D7748" i="50" s="1"/>
  <c r="B7801" i="50"/>
  <c r="D7801" i="50" s="1"/>
  <c r="E7777" i="50"/>
  <c r="G7777" i="50" s="1"/>
  <c r="B7767" i="50"/>
  <c r="D7767" i="50" s="1"/>
  <c r="E7743" i="50"/>
  <c r="B7785" i="50"/>
  <c r="D7785" i="50" s="1"/>
  <c r="E7761" i="50"/>
  <c r="E7778" i="50"/>
  <c r="B7802" i="50"/>
  <c r="D7802" i="50" s="1"/>
  <c r="E7752" i="50"/>
  <c r="B7776" i="50"/>
  <c r="D7776" i="50" s="1"/>
  <c r="B7745" i="50"/>
  <c r="D7745" i="50" s="1"/>
  <c r="E7721" i="50"/>
  <c r="E7726" i="50"/>
  <c r="B7750" i="50"/>
  <c r="D7750" i="50" s="1"/>
  <c r="B7742" i="50"/>
  <c r="D7742" i="50" s="1"/>
  <c r="E7718" i="50"/>
  <c r="V7718" i="50" s="1"/>
  <c r="B7756" i="50"/>
  <c r="D7756" i="50" s="1"/>
  <c r="E7732" i="50"/>
  <c r="U7732" i="50" s="1"/>
  <c r="B7733" i="50"/>
  <c r="D7733" i="50" s="1"/>
  <c r="E7709" i="50"/>
  <c r="B7747" i="50"/>
  <c r="D7747" i="50" s="1"/>
  <c r="E7723" i="50"/>
  <c r="B7765" i="50"/>
  <c r="D7765" i="50" s="1"/>
  <c r="E7741" i="50"/>
  <c r="B7760" i="50"/>
  <c r="D7760" i="50" s="1"/>
  <c r="E7736" i="50"/>
  <c r="B7744" i="50"/>
  <c r="D7744" i="50" s="1"/>
  <c r="E7720" i="50"/>
  <c r="B7758" i="50"/>
  <c r="D7758" i="50" s="1"/>
  <c r="E7734" i="50"/>
  <c r="E7751" i="50"/>
  <c r="B7775" i="50"/>
  <c r="D7775" i="50" s="1"/>
  <c r="F7762" i="50" l="1"/>
  <c r="U7762" i="50"/>
  <c r="V7762" i="50"/>
  <c r="G7762" i="50"/>
  <c r="V7755" i="50"/>
  <c r="U7755" i="50"/>
  <c r="G7755" i="50"/>
  <c r="F7755" i="50"/>
  <c r="V7711" i="50"/>
  <c r="U7711" i="50"/>
  <c r="F7711" i="50"/>
  <c r="D7735" i="50"/>
  <c r="E7735" i="50"/>
  <c r="B7759" i="50"/>
  <c r="V7770" i="50"/>
  <c r="U7770" i="50"/>
  <c r="G7770" i="50"/>
  <c r="F7770" i="50"/>
  <c r="G7711" i="50"/>
  <c r="V7752" i="50"/>
  <c r="U7752" i="50"/>
  <c r="G7752" i="50"/>
  <c r="F7752" i="50"/>
  <c r="V7725" i="50"/>
  <c r="G7725" i="50"/>
  <c r="F7725" i="50"/>
  <c r="U7778" i="50"/>
  <c r="V7778" i="50"/>
  <c r="G7778" i="50"/>
  <c r="F7778" i="50"/>
  <c r="U7741" i="50"/>
  <c r="F7741" i="50"/>
  <c r="V7741" i="50"/>
  <c r="G7741" i="50"/>
  <c r="V7761" i="50"/>
  <c r="F7761" i="50"/>
  <c r="U7761" i="50"/>
  <c r="F7739" i="50"/>
  <c r="V7739" i="50"/>
  <c r="U7739" i="50"/>
  <c r="G7739" i="50"/>
  <c r="U7725" i="50"/>
  <c r="G7716" i="50"/>
  <c r="F7716" i="50"/>
  <c r="V7716" i="50"/>
  <c r="U7721" i="50"/>
  <c r="G7721" i="50"/>
  <c r="F7721" i="50"/>
  <c r="V7721" i="50"/>
  <c r="F7743" i="50"/>
  <c r="V7743" i="50"/>
  <c r="G7743" i="50"/>
  <c r="U7743" i="50"/>
  <c r="D7740" i="50"/>
  <c r="B7764" i="50"/>
  <c r="E7740" i="50"/>
  <c r="U7716" i="50"/>
  <c r="F7736" i="50"/>
  <c r="V7736" i="50"/>
  <c r="U7736" i="50"/>
  <c r="G7734" i="50"/>
  <c r="F7734" i="50"/>
  <c r="V7734" i="50"/>
  <c r="U7734" i="50"/>
  <c r="V7777" i="50"/>
  <c r="U7777" i="50"/>
  <c r="F7777" i="50"/>
  <c r="G7736" i="50"/>
  <c r="G7761" i="50"/>
  <c r="F7723" i="50"/>
  <c r="V7723" i="50"/>
  <c r="U7723" i="50"/>
  <c r="G7723" i="50"/>
  <c r="V7751" i="50"/>
  <c r="U7751" i="50"/>
  <c r="F7751" i="50"/>
  <c r="G7751" i="50"/>
  <c r="F7726" i="50"/>
  <c r="G7726" i="50"/>
  <c r="U7726" i="50"/>
  <c r="V7726" i="50"/>
  <c r="V7709" i="50"/>
  <c r="U7709" i="50"/>
  <c r="G7709" i="50"/>
  <c r="F7709" i="50"/>
  <c r="F7720" i="50"/>
  <c r="U7720" i="50"/>
  <c r="G7720" i="50"/>
  <c r="V7720" i="50"/>
  <c r="U7718" i="50"/>
  <c r="G7718" i="50"/>
  <c r="F7718" i="50"/>
  <c r="G7732" i="50"/>
  <c r="F7732" i="50"/>
  <c r="V7732" i="50"/>
  <c r="V7724" i="50"/>
  <c r="G7724" i="50"/>
  <c r="F7724" i="50"/>
  <c r="E7742" i="50"/>
  <c r="B7766" i="50"/>
  <c r="D7766" i="50" s="1"/>
  <c r="E7758" i="50"/>
  <c r="B7782" i="50"/>
  <c r="D7782" i="50" s="1"/>
  <c r="E7765" i="50"/>
  <c r="B7789" i="50"/>
  <c r="D7789" i="50" s="1"/>
  <c r="B7774" i="50"/>
  <c r="D7774" i="50" s="1"/>
  <c r="E7750" i="50"/>
  <c r="F7750" i="50" s="1"/>
  <c r="B7810" i="50"/>
  <c r="D7810" i="50" s="1"/>
  <c r="E7786" i="50"/>
  <c r="E7733" i="50"/>
  <c r="B7757" i="50"/>
  <c r="D7757" i="50" s="1"/>
  <c r="B7787" i="50"/>
  <c r="D7787" i="50" s="1"/>
  <c r="E7763" i="50"/>
  <c r="B7769" i="50"/>
  <c r="D7769" i="50" s="1"/>
  <c r="E7745" i="50"/>
  <c r="F7745" i="50" s="1"/>
  <c r="B7803" i="50"/>
  <c r="D7803" i="50" s="1"/>
  <c r="E7779" i="50"/>
  <c r="E7749" i="50"/>
  <c r="B7773" i="50"/>
  <c r="D7773" i="50" s="1"/>
  <c r="B7826" i="50"/>
  <c r="D7826" i="50" s="1"/>
  <c r="E7802" i="50"/>
  <c r="E7767" i="50"/>
  <c r="V7767" i="50" s="1"/>
  <c r="B7791" i="50"/>
  <c r="D7791" i="50" s="1"/>
  <c r="E7776" i="50"/>
  <c r="B7800" i="50"/>
  <c r="D7800" i="50" s="1"/>
  <c r="E7801" i="50"/>
  <c r="B7825" i="50"/>
  <c r="D7825" i="50" s="1"/>
  <c r="E7794" i="50"/>
  <c r="B7818" i="50"/>
  <c r="D7818" i="50" s="1"/>
  <c r="E7760" i="50"/>
  <c r="B7784" i="50"/>
  <c r="D7784" i="50" s="1"/>
  <c r="B7780" i="50"/>
  <c r="D7780" i="50" s="1"/>
  <c r="E7756" i="50"/>
  <c r="E7785" i="50"/>
  <c r="G7785" i="50" s="1"/>
  <c r="B7809" i="50"/>
  <c r="D7809" i="50" s="1"/>
  <c r="B7799" i="50"/>
  <c r="D7799" i="50" s="1"/>
  <c r="E7775" i="50"/>
  <c r="B7768" i="50"/>
  <c r="D7768" i="50" s="1"/>
  <c r="E7744" i="50"/>
  <c r="B7771" i="50"/>
  <c r="D7771" i="50" s="1"/>
  <c r="E7747" i="50"/>
  <c r="B7772" i="50"/>
  <c r="D7772" i="50" s="1"/>
  <c r="E7748" i="50"/>
  <c r="U7735" i="50" l="1"/>
  <c r="G7735" i="50"/>
  <c r="F7735" i="50"/>
  <c r="F7749" i="50"/>
  <c r="U7749" i="50"/>
  <c r="G7749" i="50"/>
  <c r="V7749" i="50"/>
  <c r="G7758" i="50"/>
  <c r="V7758" i="50"/>
  <c r="F7758" i="50"/>
  <c r="U7758" i="50"/>
  <c r="V7735" i="50"/>
  <c r="V7779" i="50"/>
  <c r="U7779" i="50"/>
  <c r="G7779" i="50"/>
  <c r="F7779" i="50"/>
  <c r="V7760" i="50"/>
  <c r="U7760" i="50"/>
  <c r="F7760" i="50"/>
  <c r="V7742" i="50"/>
  <c r="U7742" i="50"/>
  <c r="G7742" i="50"/>
  <c r="U7740" i="50"/>
  <c r="G7740" i="50"/>
  <c r="V7740" i="50"/>
  <c r="F7740" i="50"/>
  <c r="G7760" i="50"/>
  <c r="V7748" i="50"/>
  <c r="G7748" i="50"/>
  <c r="F7748" i="50"/>
  <c r="G7745" i="50"/>
  <c r="V7745" i="50"/>
  <c r="U7745" i="50"/>
  <c r="D7764" i="50"/>
  <c r="B7788" i="50"/>
  <c r="E7764" i="50"/>
  <c r="D7759" i="50"/>
  <c r="E7759" i="50"/>
  <c r="B7783" i="50"/>
  <c r="V7747" i="50"/>
  <c r="U7747" i="50"/>
  <c r="G7747" i="50"/>
  <c r="F7747" i="50"/>
  <c r="V7763" i="50"/>
  <c r="U7763" i="50"/>
  <c r="G7763" i="50"/>
  <c r="F7763" i="50"/>
  <c r="G7756" i="50"/>
  <c r="U7756" i="50"/>
  <c r="F7756" i="50"/>
  <c r="V7756" i="50"/>
  <c r="V7801" i="50"/>
  <c r="U7801" i="50"/>
  <c r="F7801" i="50"/>
  <c r="F7742" i="50"/>
  <c r="U7765" i="50"/>
  <c r="G7765" i="50"/>
  <c r="F7765" i="50"/>
  <c r="V7794" i="50"/>
  <c r="F7794" i="50"/>
  <c r="U7794" i="50"/>
  <c r="G7794" i="50"/>
  <c r="F7733" i="50"/>
  <c r="V7733" i="50"/>
  <c r="G7733" i="50"/>
  <c r="U7733" i="50"/>
  <c r="V7786" i="50"/>
  <c r="U7786" i="50"/>
  <c r="G7786" i="50"/>
  <c r="F7786" i="50"/>
  <c r="V7744" i="50"/>
  <c r="G7744" i="50"/>
  <c r="U7744" i="50"/>
  <c r="F7744" i="50"/>
  <c r="V7765" i="50"/>
  <c r="U7775" i="50"/>
  <c r="F7775" i="50"/>
  <c r="V7775" i="50"/>
  <c r="G7775" i="50"/>
  <c r="V7750" i="50"/>
  <c r="U7750" i="50"/>
  <c r="G7750" i="50"/>
  <c r="U7748" i="50"/>
  <c r="G7801" i="50"/>
  <c r="V7785" i="50"/>
  <c r="U7785" i="50"/>
  <c r="F7785" i="50"/>
  <c r="G7776" i="50"/>
  <c r="V7776" i="50"/>
  <c r="U7776" i="50"/>
  <c r="F7776" i="50"/>
  <c r="U7767" i="50"/>
  <c r="G7767" i="50"/>
  <c r="F7767" i="50"/>
  <c r="V7802" i="50"/>
  <c r="U7802" i="50"/>
  <c r="G7802" i="50"/>
  <c r="F7802" i="50"/>
  <c r="B7795" i="50"/>
  <c r="D7795" i="50" s="1"/>
  <c r="E7771" i="50"/>
  <c r="B7842" i="50"/>
  <c r="D7842" i="50" s="1"/>
  <c r="E7818" i="50"/>
  <c r="B7849" i="50"/>
  <c r="D7849" i="50" s="1"/>
  <c r="E7825" i="50"/>
  <c r="E7810" i="50"/>
  <c r="B7834" i="50"/>
  <c r="D7834" i="50" s="1"/>
  <c r="B7815" i="50"/>
  <c r="D7815" i="50" s="1"/>
  <c r="E7791" i="50"/>
  <c r="B7796" i="50"/>
  <c r="D7796" i="50" s="1"/>
  <c r="E7772" i="50"/>
  <c r="E7769" i="50"/>
  <c r="B7793" i="50"/>
  <c r="D7793" i="50" s="1"/>
  <c r="B7781" i="50"/>
  <c r="D7781" i="50" s="1"/>
  <c r="E7757" i="50"/>
  <c r="E7774" i="50"/>
  <c r="B7798" i="50"/>
  <c r="D7798" i="50" s="1"/>
  <c r="B7792" i="50"/>
  <c r="D7792" i="50" s="1"/>
  <c r="E7768" i="50"/>
  <c r="B7813" i="50"/>
  <c r="D7813" i="50" s="1"/>
  <c r="E7789" i="50"/>
  <c r="F7789" i="50" s="1"/>
  <c r="E7826" i="50"/>
  <c r="V7826" i="50" s="1"/>
  <c r="B7850" i="50"/>
  <c r="D7850" i="50" s="1"/>
  <c r="E7799" i="50"/>
  <c r="B7823" i="50"/>
  <c r="D7823" i="50" s="1"/>
  <c r="B7797" i="50"/>
  <c r="D7797" i="50" s="1"/>
  <c r="E7773" i="50"/>
  <c r="F7773" i="50" s="1"/>
  <c r="B7806" i="50"/>
  <c r="D7806" i="50" s="1"/>
  <c r="E7782" i="50"/>
  <c r="B7833" i="50"/>
  <c r="D7833" i="50" s="1"/>
  <c r="E7809" i="50"/>
  <c r="B7804" i="50"/>
  <c r="D7804" i="50" s="1"/>
  <c r="E7780" i="50"/>
  <c r="U7780" i="50" s="1"/>
  <c r="B7811" i="50"/>
  <c r="D7811" i="50" s="1"/>
  <c r="E7787" i="50"/>
  <c r="B7790" i="50"/>
  <c r="D7790" i="50" s="1"/>
  <c r="E7766" i="50"/>
  <c r="E7784" i="50"/>
  <c r="B7808" i="50"/>
  <c r="D7808" i="50" s="1"/>
  <c r="E7800" i="50"/>
  <c r="B7824" i="50"/>
  <c r="D7824" i="50" s="1"/>
  <c r="E7803" i="50"/>
  <c r="B7827" i="50"/>
  <c r="D7827" i="50" s="1"/>
  <c r="V7757" i="50" l="1"/>
  <c r="U7757" i="50"/>
  <c r="G7757" i="50"/>
  <c r="V7771" i="50"/>
  <c r="U7771" i="50"/>
  <c r="G7771" i="50"/>
  <c r="F7771" i="50"/>
  <c r="V7769" i="50"/>
  <c r="U7769" i="50"/>
  <c r="F7769" i="50"/>
  <c r="V7773" i="50"/>
  <c r="U7773" i="50"/>
  <c r="G7773" i="50"/>
  <c r="V7772" i="50"/>
  <c r="U7772" i="50"/>
  <c r="F7772" i="50"/>
  <c r="G7772" i="50"/>
  <c r="G7774" i="50"/>
  <c r="V7774" i="50"/>
  <c r="U7774" i="50"/>
  <c r="F7803" i="50"/>
  <c r="V7803" i="50"/>
  <c r="U7803" i="50"/>
  <c r="G7803" i="50"/>
  <c r="G7769" i="50"/>
  <c r="V7818" i="50"/>
  <c r="U7818" i="50"/>
  <c r="G7818" i="50"/>
  <c r="F7818" i="50"/>
  <c r="D7783" i="50"/>
  <c r="E7783" i="50"/>
  <c r="B7807" i="50"/>
  <c r="V7782" i="50"/>
  <c r="F7782" i="50"/>
  <c r="U7782" i="50"/>
  <c r="G7782" i="50"/>
  <c r="V7799" i="50"/>
  <c r="U7799" i="50"/>
  <c r="G7799" i="50"/>
  <c r="F7799" i="50"/>
  <c r="G7759" i="50"/>
  <c r="V7759" i="50"/>
  <c r="F7759" i="50"/>
  <c r="F7809" i="50"/>
  <c r="V7809" i="50"/>
  <c r="G7809" i="50"/>
  <c r="U7809" i="50"/>
  <c r="U7759" i="50"/>
  <c r="V7784" i="50"/>
  <c r="U7784" i="50"/>
  <c r="G7784" i="50"/>
  <c r="F7784" i="50"/>
  <c r="U7826" i="50"/>
  <c r="G7826" i="50"/>
  <c r="F7826" i="50"/>
  <c r="F7774" i="50"/>
  <c r="U7764" i="50"/>
  <c r="V7764" i="50"/>
  <c r="G7764" i="50"/>
  <c r="F7764" i="50"/>
  <c r="V7766" i="50"/>
  <c r="F7766" i="50"/>
  <c r="U7766" i="50"/>
  <c r="G7766" i="50"/>
  <c r="V7789" i="50"/>
  <c r="G7789" i="50"/>
  <c r="U7789" i="50"/>
  <c r="D7788" i="50"/>
  <c r="B7812" i="50"/>
  <c r="E7788" i="50"/>
  <c r="V7780" i="50"/>
  <c r="F7780" i="50"/>
  <c r="G7780" i="50"/>
  <c r="U7800" i="50"/>
  <c r="G7800" i="50"/>
  <c r="F7800" i="50"/>
  <c r="U7810" i="50"/>
  <c r="G7810" i="50"/>
  <c r="F7810" i="50"/>
  <c r="V7810" i="50"/>
  <c r="V7787" i="50"/>
  <c r="U7787" i="50"/>
  <c r="G7787" i="50"/>
  <c r="F7787" i="50"/>
  <c r="V7825" i="50"/>
  <c r="U7825" i="50"/>
  <c r="G7825" i="50"/>
  <c r="F7825" i="50"/>
  <c r="U7791" i="50"/>
  <c r="G7791" i="50"/>
  <c r="F7791" i="50"/>
  <c r="V7791" i="50"/>
  <c r="F7768" i="50"/>
  <c r="V7768" i="50"/>
  <c r="U7768" i="50"/>
  <c r="G7768" i="50"/>
  <c r="V7800" i="50"/>
  <c r="F7757" i="50"/>
  <c r="B7835" i="50"/>
  <c r="D7835" i="50" s="1"/>
  <c r="E7811" i="50"/>
  <c r="E7792" i="50"/>
  <c r="B7816" i="50"/>
  <c r="D7816" i="50" s="1"/>
  <c r="E7815" i="50"/>
  <c r="B7839" i="50"/>
  <c r="D7839" i="50" s="1"/>
  <c r="B7858" i="50"/>
  <c r="D7858" i="50" s="1"/>
  <c r="E7834" i="50"/>
  <c r="E7842" i="50"/>
  <c r="B7866" i="50"/>
  <c r="D7866" i="50" s="1"/>
  <c r="E7806" i="50"/>
  <c r="B7830" i="50"/>
  <c r="D7830" i="50" s="1"/>
  <c r="B7822" i="50"/>
  <c r="D7822" i="50" s="1"/>
  <c r="E7798" i="50"/>
  <c r="E7833" i="50"/>
  <c r="G7833" i="50" s="1"/>
  <c r="B7857" i="50"/>
  <c r="D7857" i="50" s="1"/>
  <c r="B7828" i="50"/>
  <c r="D7828" i="50" s="1"/>
  <c r="E7804" i="50"/>
  <c r="E7797" i="50"/>
  <c r="B7821" i="50"/>
  <c r="D7821" i="50" s="1"/>
  <c r="B7820" i="50"/>
  <c r="D7820" i="50" s="1"/>
  <c r="E7796" i="50"/>
  <c r="B7847" i="50"/>
  <c r="D7847" i="50" s="1"/>
  <c r="E7823" i="50"/>
  <c r="E7781" i="50"/>
  <c r="B7805" i="50"/>
  <c r="D7805" i="50" s="1"/>
  <c r="B7817" i="50"/>
  <c r="D7817" i="50" s="1"/>
  <c r="E7793" i="50"/>
  <c r="E7824" i="50"/>
  <c r="B7848" i="50"/>
  <c r="D7848" i="50" s="1"/>
  <c r="E7808" i="50"/>
  <c r="B7832" i="50"/>
  <c r="D7832" i="50" s="1"/>
  <c r="E7849" i="50"/>
  <c r="G7849" i="50" s="1"/>
  <c r="B7873" i="50"/>
  <c r="D7873" i="50" s="1"/>
  <c r="B7851" i="50"/>
  <c r="D7851" i="50" s="1"/>
  <c r="E7827" i="50"/>
  <c r="B7874" i="50"/>
  <c r="D7874" i="50" s="1"/>
  <c r="E7850" i="50"/>
  <c r="B7819" i="50"/>
  <c r="D7819" i="50" s="1"/>
  <c r="E7795" i="50"/>
  <c r="B7814" i="50"/>
  <c r="D7814" i="50" s="1"/>
  <c r="E7790" i="50"/>
  <c r="E7813" i="50"/>
  <c r="B7837" i="50"/>
  <c r="D7837" i="50" s="1"/>
  <c r="V7783" i="50" l="1"/>
  <c r="U7815" i="50"/>
  <c r="G7815" i="50"/>
  <c r="F7815" i="50"/>
  <c r="F7792" i="50"/>
  <c r="U7792" i="50"/>
  <c r="G7792" i="50"/>
  <c r="V7792" i="50"/>
  <c r="V7804" i="50"/>
  <c r="G7804" i="50"/>
  <c r="F7804" i="50"/>
  <c r="F7811" i="50"/>
  <c r="V7811" i="50"/>
  <c r="U7811" i="50"/>
  <c r="G7811" i="50"/>
  <c r="V7815" i="50"/>
  <c r="V7824" i="50"/>
  <c r="F7824" i="50"/>
  <c r="U7824" i="50"/>
  <c r="V7788" i="50"/>
  <c r="G7788" i="50"/>
  <c r="F7788" i="50"/>
  <c r="D7812" i="50"/>
  <c r="B7836" i="50"/>
  <c r="E7812" i="50"/>
  <c r="U7808" i="50"/>
  <c r="V7808" i="50"/>
  <c r="F7808" i="50"/>
  <c r="V7833" i="50"/>
  <c r="U7833" i="50"/>
  <c r="F7833" i="50"/>
  <c r="U7788" i="50"/>
  <c r="U7804" i="50"/>
  <c r="U7798" i="50"/>
  <c r="V7798" i="50"/>
  <c r="F7798" i="50"/>
  <c r="G7798" i="50"/>
  <c r="V7849" i="50"/>
  <c r="U7849" i="50"/>
  <c r="F7849" i="50"/>
  <c r="G7813" i="50"/>
  <c r="F7813" i="50"/>
  <c r="U7813" i="50"/>
  <c r="G7824" i="50"/>
  <c r="V7795" i="50"/>
  <c r="U7795" i="50"/>
  <c r="G7795" i="50"/>
  <c r="F7795" i="50"/>
  <c r="U7793" i="50"/>
  <c r="V7793" i="50"/>
  <c r="F7793" i="50"/>
  <c r="G7781" i="50"/>
  <c r="F7781" i="50"/>
  <c r="V7781" i="50"/>
  <c r="U7781" i="50"/>
  <c r="V7806" i="50"/>
  <c r="F7806" i="50"/>
  <c r="U7806" i="50"/>
  <c r="G7806" i="50"/>
  <c r="G7796" i="50"/>
  <c r="F7796" i="50"/>
  <c r="U7796" i="50"/>
  <c r="V7796" i="50"/>
  <c r="V7850" i="50"/>
  <c r="U7850" i="50"/>
  <c r="G7850" i="50"/>
  <c r="F7850" i="50"/>
  <c r="V7823" i="50"/>
  <c r="G7823" i="50"/>
  <c r="F7823" i="50"/>
  <c r="U7823" i="50"/>
  <c r="G7808" i="50"/>
  <c r="G7793" i="50"/>
  <c r="V7842" i="50"/>
  <c r="F7842" i="50"/>
  <c r="U7842" i="50"/>
  <c r="G7842" i="50"/>
  <c r="D7807" i="50"/>
  <c r="B7831" i="50"/>
  <c r="E7807" i="50"/>
  <c r="G7797" i="50"/>
  <c r="V7797" i="50"/>
  <c r="U7797" i="50"/>
  <c r="F7797" i="50"/>
  <c r="G7790" i="50"/>
  <c r="F7790" i="50"/>
  <c r="V7790" i="50"/>
  <c r="U7790" i="50"/>
  <c r="V7827" i="50"/>
  <c r="U7827" i="50"/>
  <c r="G7827" i="50"/>
  <c r="F7827" i="50"/>
  <c r="V7834" i="50"/>
  <c r="U7834" i="50"/>
  <c r="G7834" i="50"/>
  <c r="F7834" i="50"/>
  <c r="V7813" i="50"/>
  <c r="U7783" i="50"/>
  <c r="G7783" i="50"/>
  <c r="F7783" i="50"/>
  <c r="E7848" i="50"/>
  <c r="B7872" i="50"/>
  <c r="D7872" i="50" s="1"/>
  <c r="B7844" i="50"/>
  <c r="D7844" i="50" s="1"/>
  <c r="E7820" i="50"/>
  <c r="E7822" i="50"/>
  <c r="B7846" i="50"/>
  <c r="D7846" i="50" s="1"/>
  <c r="B7875" i="50"/>
  <c r="D7875" i="50" s="1"/>
  <c r="E7851" i="50"/>
  <c r="B7845" i="50"/>
  <c r="D7845" i="50" s="1"/>
  <c r="E7821" i="50"/>
  <c r="F7821" i="50" s="1"/>
  <c r="B7854" i="50"/>
  <c r="D7854" i="50" s="1"/>
  <c r="E7830" i="50"/>
  <c r="E7858" i="50"/>
  <c r="V7858" i="50" s="1"/>
  <c r="B7882" i="50"/>
  <c r="D7882" i="50" s="1"/>
  <c r="B7863" i="50"/>
  <c r="D7863" i="50" s="1"/>
  <c r="E7839" i="50"/>
  <c r="B7829" i="50"/>
  <c r="D7829" i="50" s="1"/>
  <c r="E7805" i="50"/>
  <c r="F7805" i="50" s="1"/>
  <c r="E7816" i="50"/>
  <c r="B7840" i="50"/>
  <c r="D7840" i="50" s="1"/>
  <c r="B7881" i="50"/>
  <c r="D7881" i="50" s="1"/>
  <c r="E7857" i="50"/>
  <c r="B7843" i="50"/>
  <c r="D7843" i="50" s="1"/>
  <c r="E7819" i="50"/>
  <c r="E7817" i="50"/>
  <c r="G7817" i="50" s="1"/>
  <c r="B7841" i="50"/>
  <c r="D7841" i="50" s="1"/>
  <c r="B7898" i="50"/>
  <c r="D7898" i="50" s="1"/>
  <c r="E7874" i="50"/>
  <c r="B7897" i="50"/>
  <c r="D7897" i="50" s="1"/>
  <c r="E7873" i="50"/>
  <c r="E7847" i="50"/>
  <c r="V7847" i="50" s="1"/>
  <c r="B7871" i="50"/>
  <c r="D7871" i="50" s="1"/>
  <c r="E7835" i="50"/>
  <c r="B7859" i="50"/>
  <c r="D7859" i="50" s="1"/>
  <c r="B7861" i="50"/>
  <c r="D7861" i="50" s="1"/>
  <c r="E7837" i="50"/>
  <c r="B7890" i="50"/>
  <c r="D7890" i="50" s="1"/>
  <c r="E7866" i="50"/>
  <c r="B7838" i="50"/>
  <c r="D7838" i="50" s="1"/>
  <c r="E7814" i="50"/>
  <c r="E7832" i="50"/>
  <c r="B7856" i="50"/>
  <c r="D7856" i="50" s="1"/>
  <c r="B7852" i="50"/>
  <c r="D7852" i="50" s="1"/>
  <c r="E7828" i="50"/>
  <c r="G7820" i="50" l="1"/>
  <c r="V7820" i="50"/>
  <c r="F7820" i="50"/>
  <c r="V7839" i="50"/>
  <c r="G7839" i="50"/>
  <c r="F7839" i="50"/>
  <c r="U7839" i="50"/>
  <c r="V7848" i="50"/>
  <c r="F7848" i="50"/>
  <c r="U7848" i="50"/>
  <c r="G7848" i="50"/>
  <c r="F7873" i="50"/>
  <c r="G7873" i="50"/>
  <c r="V7873" i="50"/>
  <c r="U7873" i="50"/>
  <c r="G7822" i="50"/>
  <c r="U7822" i="50"/>
  <c r="F7822" i="50"/>
  <c r="V7822" i="50"/>
  <c r="V7874" i="50"/>
  <c r="F7874" i="50"/>
  <c r="U7874" i="50"/>
  <c r="G7874" i="50"/>
  <c r="V7835" i="50"/>
  <c r="U7835" i="50"/>
  <c r="G7835" i="50"/>
  <c r="F7835" i="50"/>
  <c r="U7858" i="50"/>
  <c r="G7858" i="50"/>
  <c r="F7858" i="50"/>
  <c r="G7812" i="50"/>
  <c r="F7812" i="50"/>
  <c r="V7812" i="50"/>
  <c r="V7830" i="50"/>
  <c r="U7830" i="50"/>
  <c r="G7830" i="50"/>
  <c r="F7830" i="50"/>
  <c r="D7836" i="50"/>
  <c r="B7860" i="50"/>
  <c r="E7836" i="50"/>
  <c r="V7832" i="50"/>
  <c r="F7832" i="50"/>
  <c r="G7832" i="50"/>
  <c r="U7832" i="50"/>
  <c r="U7812" i="50"/>
  <c r="V7805" i="50"/>
  <c r="G7805" i="50"/>
  <c r="U7805" i="50"/>
  <c r="V7821" i="50"/>
  <c r="G7821" i="50"/>
  <c r="U7821" i="50"/>
  <c r="U7847" i="50"/>
  <c r="F7847" i="50"/>
  <c r="G7847" i="50"/>
  <c r="G7807" i="50"/>
  <c r="U7807" i="50"/>
  <c r="V7807" i="50"/>
  <c r="F7807" i="50"/>
  <c r="F7828" i="50"/>
  <c r="V7828" i="50"/>
  <c r="G7828" i="50"/>
  <c r="V7817" i="50"/>
  <c r="U7817" i="50"/>
  <c r="F7817" i="50"/>
  <c r="V7866" i="50"/>
  <c r="U7866" i="50"/>
  <c r="G7866" i="50"/>
  <c r="F7866" i="50"/>
  <c r="G7857" i="50"/>
  <c r="V7857" i="50"/>
  <c r="U7857" i="50"/>
  <c r="F7857" i="50"/>
  <c r="V7851" i="50"/>
  <c r="U7851" i="50"/>
  <c r="G7851" i="50"/>
  <c r="F7851" i="50"/>
  <c r="D7831" i="50"/>
  <c r="E7831" i="50"/>
  <c r="B7855" i="50"/>
  <c r="G7816" i="50"/>
  <c r="U7816" i="50"/>
  <c r="V7816" i="50"/>
  <c r="F7816" i="50"/>
  <c r="V7819" i="50"/>
  <c r="U7819" i="50"/>
  <c r="G7819" i="50"/>
  <c r="F7819" i="50"/>
  <c r="V7814" i="50"/>
  <c r="F7814" i="50"/>
  <c r="G7814" i="50"/>
  <c r="U7814" i="50"/>
  <c r="V7837" i="50"/>
  <c r="U7837" i="50"/>
  <c r="G7837" i="50"/>
  <c r="F7837" i="50"/>
  <c r="U7820" i="50"/>
  <c r="U7828" i="50"/>
  <c r="B7921" i="50"/>
  <c r="D7921" i="50" s="1"/>
  <c r="E7897" i="50"/>
  <c r="B7865" i="50"/>
  <c r="D7865" i="50" s="1"/>
  <c r="E7841" i="50"/>
  <c r="E7838" i="50"/>
  <c r="B7862" i="50"/>
  <c r="D7862" i="50" s="1"/>
  <c r="E7863" i="50"/>
  <c r="V7863" i="50" s="1"/>
  <c r="B7887" i="50"/>
  <c r="D7887" i="50" s="1"/>
  <c r="B7870" i="50"/>
  <c r="D7870" i="50" s="1"/>
  <c r="E7846" i="50"/>
  <c r="E7829" i="50"/>
  <c r="V7829" i="50" s="1"/>
  <c r="B7853" i="50"/>
  <c r="D7853" i="50" s="1"/>
  <c r="E7854" i="50"/>
  <c r="B7878" i="50"/>
  <c r="D7878" i="50" s="1"/>
  <c r="B7885" i="50"/>
  <c r="D7885" i="50" s="1"/>
  <c r="E7861" i="50"/>
  <c r="E7898" i="50"/>
  <c r="B7922" i="50"/>
  <c r="D7922" i="50" s="1"/>
  <c r="B7868" i="50"/>
  <c r="D7868" i="50" s="1"/>
  <c r="E7844" i="50"/>
  <c r="U7844" i="50" s="1"/>
  <c r="B7896" i="50"/>
  <c r="D7896" i="50" s="1"/>
  <c r="E7872" i="50"/>
  <c r="E7856" i="50"/>
  <c r="B7880" i="50"/>
  <c r="D7880" i="50" s="1"/>
  <c r="B7914" i="50"/>
  <c r="D7914" i="50" s="1"/>
  <c r="E7890" i="50"/>
  <c r="B7883" i="50"/>
  <c r="D7883" i="50" s="1"/>
  <c r="E7859" i="50"/>
  <c r="B7867" i="50"/>
  <c r="D7867" i="50" s="1"/>
  <c r="E7843" i="50"/>
  <c r="E7845" i="50"/>
  <c r="B7869" i="50"/>
  <c r="D7869" i="50" s="1"/>
  <c r="E7871" i="50"/>
  <c r="B7895" i="50"/>
  <c r="D7895" i="50" s="1"/>
  <c r="B7899" i="50"/>
  <c r="D7899" i="50" s="1"/>
  <c r="E7875" i="50"/>
  <c r="B7876" i="50"/>
  <c r="D7876" i="50" s="1"/>
  <c r="E7852" i="50"/>
  <c r="U7852" i="50" s="1"/>
  <c r="B7905" i="50"/>
  <c r="D7905" i="50" s="1"/>
  <c r="E7881" i="50"/>
  <c r="G7881" i="50" s="1"/>
  <c r="E7840" i="50"/>
  <c r="B7864" i="50"/>
  <c r="D7864" i="50" s="1"/>
  <c r="B7906" i="50"/>
  <c r="D7906" i="50" s="1"/>
  <c r="E7882" i="50"/>
  <c r="F7838" i="50" l="1"/>
  <c r="U7838" i="50"/>
  <c r="V7838" i="50"/>
  <c r="G7838" i="50"/>
  <c r="G7841" i="50"/>
  <c r="V7841" i="50"/>
  <c r="F7841" i="50"/>
  <c r="U7841" i="50"/>
  <c r="V7836" i="50"/>
  <c r="G7836" i="50"/>
  <c r="F7836" i="50"/>
  <c r="G7845" i="50"/>
  <c r="F7845" i="50"/>
  <c r="U7845" i="50"/>
  <c r="V7845" i="50"/>
  <c r="D7860" i="50"/>
  <c r="B7884" i="50"/>
  <c r="E7860" i="50"/>
  <c r="V7897" i="50"/>
  <c r="U7897" i="50"/>
  <c r="F7897" i="50"/>
  <c r="U7836" i="50"/>
  <c r="V7898" i="50"/>
  <c r="U7898" i="50"/>
  <c r="G7898" i="50"/>
  <c r="F7898" i="50"/>
  <c r="G7861" i="50"/>
  <c r="F7861" i="50"/>
  <c r="U7861" i="50"/>
  <c r="V7871" i="50"/>
  <c r="U7871" i="50"/>
  <c r="G7871" i="50"/>
  <c r="F7871" i="50"/>
  <c r="V7859" i="50"/>
  <c r="U7859" i="50"/>
  <c r="G7859" i="50"/>
  <c r="F7859" i="50"/>
  <c r="V7854" i="50"/>
  <c r="F7854" i="50"/>
  <c r="U7854" i="50"/>
  <c r="G7854" i="50"/>
  <c r="V7882" i="50"/>
  <c r="U7882" i="50"/>
  <c r="G7882" i="50"/>
  <c r="F7882" i="50"/>
  <c r="V7881" i="50"/>
  <c r="U7881" i="50"/>
  <c r="F7881" i="50"/>
  <c r="F7890" i="50"/>
  <c r="G7890" i="50"/>
  <c r="U7890" i="50"/>
  <c r="V7890" i="50"/>
  <c r="D7855" i="50"/>
  <c r="B7879" i="50"/>
  <c r="E7855" i="50"/>
  <c r="U7863" i="50"/>
  <c r="G7863" i="50"/>
  <c r="F7863" i="50"/>
  <c r="V7843" i="50"/>
  <c r="U7843" i="50"/>
  <c r="G7843" i="50"/>
  <c r="F7843" i="50"/>
  <c r="G7829" i="50"/>
  <c r="F7829" i="50"/>
  <c r="U7829" i="50"/>
  <c r="U7831" i="50"/>
  <c r="G7831" i="50"/>
  <c r="F7831" i="50"/>
  <c r="V7840" i="50"/>
  <c r="U7840" i="50"/>
  <c r="G7840" i="50"/>
  <c r="F7840" i="50"/>
  <c r="V7852" i="50"/>
  <c r="G7852" i="50"/>
  <c r="F7852" i="50"/>
  <c r="F7846" i="50"/>
  <c r="G7846" i="50"/>
  <c r="U7846" i="50"/>
  <c r="V7846" i="50"/>
  <c r="V7831" i="50"/>
  <c r="G7897" i="50"/>
  <c r="V7856" i="50"/>
  <c r="G7856" i="50"/>
  <c r="F7856" i="50"/>
  <c r="U7856" i="50"/>
  <c r="V7844" i="50"/>
  <c r="F7844" i="50"/>
  <c r="G7844" i="50"/>
  <c r="V7875" i="50"/>
  <c r="U7875" i="50"/>
  <c r="G7875" i="50"/>
  <c r="F7875" i="50"/>
  <c r="V7872" i="50"/>
  <c r="U7872" i="50"/>
  <c r="G7872" i="50"/>
  <c r="F7872" i="50"/>
  <c r="V7861" i="50"/>
  <c r="E7868" i="50"/>
  <c r="B7892" i="50"/>
  <c r="D7892" i="50" s="1"/>
  <c r="B7891" i="50"/>
  <c r="D7891" i="50" s="1"/>
  <c r="E7867" i="50"/>
  <c r="E7896" i="50"/>
  <c r="B7920" i="50"/>
  <c r="D7920" i="50" s="1"/>
  <c r="B7902" i="50"/>
  <c r="D7902" i="50" s="1"/>
  <c r="E7878" i="50"/>
  <c r="V7878" i="50" s="1"/>
  <c r="B7894" i="50"/>
  <c r="D7894" i="50" s="1"/>
  <c r="E7870" i="50"/>
  <c r="B7886" i="50"/>
  <c r="D7886" i="50" s="1"/>
  <c r="E7862" i="50"/>
  <c r="E7921" i="50"/>
  <c r="B7945" i="50"/>
  <c r="D7945" i="50" s="1"/>
  <c r="B7907" i="50"/>
  <c r="D7907" i="50" s="1"/>
  <c r="E7883" i="50"/>
  <c r="B7877" i="50"/>
  <c r="D7877" i="50" s="1"/>
  <c r="E7853" i="50"/>
  <c r="F7853" i="50" s="1"/>
  <c r="E7914" i="50"/>
  <c r="B7938" i="50"/>
  <c r="D7938" i="50" s="1"/>
  <c r="B7904" i="50"/>
  <c r="D7904" i="50" s="1"/>
  <c r="E7880" i="50"/>
  <c r="B7946" i="50"/>
  <c r="D7946" i="50" s="1"/>
  <c r="E7922" i="50"/>
  <c r="E7887" i="50"/>
  <c r="B7911" i="50"/>
  <c r="D7911" i="50" s="1"/>
  <c r="B7930" i="50"/>
  <c r="D7930" i="50" s="1"/>
  <c r="E7906" i="50"/>
  <c r="B7923" i="50"/>
  <c r="D7923" i="50" s="1"/>
  <c r="E7899" i="50"/>
  <c r="B7893" i="50"/>
  <c r="D7893" i="50" s="1"/>
  <c r="E7869" i="50"/>
  <c r="F7869" i="50" s="1"/>
  <c r="B7888" i="50"/>
  <c r="D7888" i="50" s="1"/>
  <c r="E7864" i="50"/>
  <c r="B7889" i="50"/>
  <c r="D7889" i="50" s="1"/>
  <c r="E7865" i="50"/>
  <c r="G7865" i="50" s="1"/>
  <c r="E7905" i="50"/>
  <c r="B7929" i="50"/>
  <c r="D7929" i="50" s="1"/>
  <c r="B7900" i="50"/>
  <c r="D7900" i="50" s="1"/>
  <c r="E7876" i="50"/>
  <c r="U7876" i="50" s="1"/>
  <c r="B7909" i="50"/>
  <c r="D7909" i="50" s="1"/>
  <c r="E7885" i="50"/>
  <c r="F7885" i="50" s="1"/>
  <c r="B7919" i="50"/>
  <c r="D7919" i="50" s="1"/>
  <c r="E7895" i="50"/>
  <c r="G7896" i="50" l="1"/>
  <c r="V7896" i="50"/>
  <c r="F7896" i="50"/>
  <c r="U7896" i="50"/>
  <c r="F7867" i="50"/>
  <c r="V7867" i="50"/>
  <c r="U7867" i="50"/>
  <c r="G7867" i="50"/>
  <c r="U7855" i="50"/>
  <c r="V7855" i="50"/>
  <c r="G7855" i="50"/>
  <c r="F7855" i="50"/>
  <c r="F7883" i="50"/>
  <c r="V7883" i="50"/>
  <c r="U7883" i="50"/>
  <c r="G7883" i="50"/>
  <c r="D7879" i="50"/>
  <c r="B7903" i="50"/>
  <c r="E7879" i="50"/>
  <c r="V7868" i="50"/>
  <c r="G7868" i="50"/>
  <c r="F7868" i="50"/>
  <c r="V7869" i="50"/>
  <c r="U7869" i="50"/>
  <c r="G7869" i="50"/>
  <c r="F7895" i="50"/>
  <c r="U7895" i="50"/>
  <c r="G7895" i="50"/>
  <c r="U7899" i="50"/>
  <c r="G7899" i="50"/>
  <c r="F7899" i="50"/>
  <c r="V7899" i="50"/>
  <c r="V7865" i="50"/>
  <c r="U7865" i="50"/>
  <c r="F7865" i="50"/>
  <c r="U7921" i="50"/>
  <c r="G7921" i="50"/>
  <c r="V7921" i="50"/>
  <c r="F7921" i="50"/>
  <c r="V7895" i="50"/>
  <c r="U7864" i="50"/>
  <c r="V7864" i="50"/>
  <c r="F7864" i="50"/>
  <c r="G7864" i="50"/>
  <c r="V7906" i="50"/>
  <c r="U7906" i="50"/>
  <c r="F7906" i="50"/>
  <c r="G7906" i="50"/>
  <c r="V7862" i="50"/>
  <c r="U7862" i="50"/>
  <c r="G7862" i="50"/>
  <c r="F7862" i="50"/>
  <c r="V7853" i="50"/>
  <c r="U7853" i="50"/>
  <c r="G7853" i="50"/>
  <c r="V7914" i="50"/>
  <c r="U7914" i="50"/>
  <c r="G7914" i="50"/>
  <c r="F7914" i="50"/>
  <c r="F7870" i="50"/>
  <c r="U7870" i="50"/>
  <c r="G7870" i="50"/>
  <c r="V7870" i="50"/>
  <c r="V7887" i="50"/>
  <c r="U7887" i="50"/>
  <c r="G7887" i="50"/>
  <c r="F7887" i="50"/>
  <c r="V7860" i="50"/>
  <c r="G7860" i="50"/>
  <c r="F7860" i="50"/>
  <c r="U7905" i="50"/>
  <c r="F7905" i="50"/>
  <c r="G7905" i="50"/>
  <c r="V7905" i="50"/>
  <c r="G7876" i="50"/>
  <c r="F7876" i="50"/>
  <c r="V7876" i="50"/>
  <c r="F7922" i="50"/>
  <c r="G7922" i="50"/>
  <c r="U7922" i="50"/>
  <c r="V7922" i="50"/>
  <c r="G7878" i="50"/>
  <c r="U7878" i="50"/>
  <c r="F7878" i="50"/>
  <c r="D7884" i="50"/>
  <c r="B7908" i="50"/>
  <c r="E7884" i="50"/>
  <c r="V7885" i="50"/>
  <c r="U7885" i="50"/>
  <c r="G7885" i="50"/>
  <c r="U7860" i="50"/>
  <c r="G7880" i="50"/>
  <c r="V7880" i="50"/>
  <c r="F7880" i="50"/>
  <c r="U7880" i="50"/>
  <c r="U7868" i="50"/>
  <c r="B7910" i="50"/>
  <c r="D7910" i="50" s="1"/>
  <c r="E7886" i="50"/>
  <c r="B7916" i="50"/>
  <c r="D7916" i="50" s="1"/>
  <c r="E7892" i="50"/>
  <c r="E7923" i="50"/>
  <c r="B7947" i="50"/>
  <c r="D7947" i="50" s="1"/>
  <c r="B7912" i="50"/>
  <c r="D7912" i="50" s="1"/>
  <c r="E7888" i="50"/>
  <c r="B7918" i="50"/>
  <c r="D7918" i="50" s="1"/>
  <c r="E7894" i="50"/>
  <c r="V7894" i="50" s="1"/>
  <c r="E7930" i="50"/>
  <c r="B7954" i="50"/>
  <c r="D7954" i="50" s="1"/>
  <c r="B7935" i="50"/>
  <c r="D7935" i="50" s="1"/>
  <c r="E7911" i="50"/>
  <c r="V7911" i="50" s="1"/>
  <c r="B7926" i="50"/>
  <c r="D7926" i="50" s="1"/>
  <c r="E7902" i="50"/>
  <c r="B7901" i="50"/>
  <c r="D7901" i="50" s="1"/>
  <c r="E7877" i="50"/>
  <c r="V7877" i="50" s="1"/>
  <c r="E7889" i="50"/>
  <c r="B7913" i="50"/>
  <c r="D7913" i="50" s="1"/>
  <c r="E7900" i="50"/>
  <c r="U7900" i="50" s="1"/>
  <c r="B7924" i="50"/>
  <c r="D7924" i="50" s="1"/>
  <c r="E7946" i="50"/>
  <c r="B7970" i="50"/>
  <c r="D7970" i="50" s="1"/>
  <c r="B7944" i="50"/>
  <c r="D7944" i="50" s="1"/>
  <c r="E7920" i="50"/>
  <c r="B7933" i="50"/>
  <c r="D7933" i="50" s="1"/>
  <c r="E7909" i="50"/>
  <c r="B7953" i="50"/>
  <c r="D7953" i="50" s="1"/>
  <c r="E7929" i="50"/>
  <c r="G7929" i="50" s="1"/>
  <c r="B7969" i="50"/>
  <c r="D7969" i="50" s="1"/>
  <c r="E7945" i="50"/>
  <c r="E7919" i="50"/>
  <c r="B7943" i="50"/>
  <c r="D7943" i="50" s="1"/>
  <c r="B7928" i="50"/>
  <c r="D7928" i="50" s="1"/>
  <c r="E7904" i="50"/>
  <c r="E7891" i="50"/>
  <c r="B7915" i="50"/>
  <c r="D7915" i="50" s="1"/>
  <c r="B7917" i="50"/>
  <c r="D7917" i="50" s="1"/>
  <c r="E7893" i="50"/>
  <c r="V7893" i="50" s="1"/>
  <c r="B7962" i="50"/>
  <c r="D7962" i="50" s="1"/>
  <c r="E7938" i="50"/>
  <c r="E7907" i="50"/>
  <c r="B7931" i="50"/>
  <c r="D7931" i="50" s="1"/>
  <c r="F7923" i="50" l="1"/>
  <c r="V7923" i="50"/>
  <c r="U7923" i="50"/>
  <c r="G7923" i="50"/>
  <c r="V7892" i="50"/>
  <c r="F7892" i="50"/>
  <c r="G7892" i="50"/>
  <c r="V7884" i="50"/>
  <c r="G7884" i="50"/>
  <c r="F7884" i="50"/>
  <c r="U7889" i="50"/>
  <c r="F7889" i="50"/>
  <c r="G7889" i="50"/>
  <c r="V7889" i="50"/>
  <c r="D7908" i="50"/>
  <c r="E7908" i="50"/>
  <c r="B7932" i="50"/>
  <c r="G7886" i="50"/>
  <c r="F7886" i="50"/>
  <c r="U7886" i="50"/>
  <c r="V7886" i="50"/>
  <c r="U7884" i="50"/>
  <c r="V7902" i="50"/>
  <c r="G7902" i="50"/>
  <c r="F7902" i="50"/>
  <c r="U7902" i="50"/>
  <c r="V7907" i="50"/>
  <c r="U7907" i="50"/>
  <c r="G7907" i="50"/>
  <c r="F7907" i="50"/>
  <c r="V7938" i="50"/>
  <c r="U7938" i="50"/>
  <c r="G7938" i="50"/>
  <c r="F7938" i="50"/>
  <c r="U7911" i="50"/>
  <c r="G7911" i="50"/>
  <c r="F7911" i="50"/>
  <c r="U7877" i="50"/>
  <c r="G7877" i="50"/>
  <c r="F7877" i="50"/>
  <c r="V7945" i="50"/>
  <c r="G7945" i="50"/>
  <c r="F7945" i="50"/>
  <c r="F7920" i="50"/>
  <c r="V7920" i="50"/>
  <c r="G7920" i="50"/>
  <c r="U7920" i="50"/>
  <c r="V7930" i="50"/>
  <c r="U7930" i="50"/>
  <c r="G7930" i="50"/>
  <c r="F7930" i="50"/>
  <c r="U7879" i="50"/>
  <c r="G7879" i="50"/>
  <c r="F7879" i="50"/>
  <c r="V7929" i="50"/>
  <c r="U7929" i="50"/>
  <c r="F7929" i="50"/>
  <c r="G7894" i="50"/>
  <c r="U7894" i="50"/>
  <c r="F7894" i="50"/>
  <c r="U7945" i="50"/>
  <c r="D7903" i="50"/>
  <c r="E7903" i="50"/>
  <c r="B7927" i="50"/>
  <c r="F7919" i="50"/>
  <c r="G7919" i="50"/>
  <c r="V7919" i="50"/>
  <c r="U7919" i="50"/>
  <c r="U7909" i="50"/>
  <c r="G7909" i="50"/>
  <c r="F7909" i="50"/>
  <c r="V7891" i="50"/>
  <c r="U7891" i="50"/>
  <c r="G7891" i="50"/>
  <c r="F7891" i="50"/>
  <c r="V7946" i="50"/>
  <c r="U7946" i="50"/>
  <c r="G7946" i="50"/>
  <c r="F7946" i="50"/>
  <c r="V7879" i="50"/>
  <c r="U7904" i="50"/>
  <c r="V7904" i="50"/>
  <c r="G7904" i="50"/>
  <c r="F7904" i="50"/>
  <c r="V7888" i="50"/>
  <c r="U7888" i="50"/>
  <c r="G7888" i="50"/>
  <c r="F7888" i="50"/>
  <c r="U7892" i="50"/>
  <c r="U7893" i="50"/>
  <c r="G7893" i="50"/>
  <c r="F7893" i="50"/>
  <c r="V7900" i="50"/>
  <c r="G7900" i="50"/>
  <c r="F7900" i="50"/>
  <c r="V7909" i="50"/>
  <c r="B7939" i="50"/>
  <c r="D7939" i="50" s="1"/>
  <c r="E7915" i="50"/>
  <c r="E7944" i="50"/>
  <c r="B7968" i="50"/>
  <c r="D7968" i="50" s="1"/>
  <c r="E7916" i="50"/>
  <c r="B7940" i="50"/>
  <c r="D7940" i="50" s="1"/>
  <c r="B7994" i="50"/>
  <c r="D7994" i="50" s="1"/>
  <c r="E7970" i="50"/>
  <c r="E7935" i="50"/>
  <c r="B7959" i="50"/>
  <c r="D7959" i="50" s="1"/>
  <c r="E7953" i="50"/>
  <c r="B7977" i="50"/>
  <c r="D7977" i="50" s="1"/>
  <c r="B7937" i="50"/>
  <c r="D7937" i="50" s="1"/>
  <c r="E7913" i="50"/>
  <c r="B7978" i="50"/>
  <c r="D7978" i="50" s="1"/>
  <c r="E7954" i="50"/>
  <c r="B7934" i="50"/>
  <c r="D7934" i="50" s="1"/>
  <c r="E7910" i="50"/>
  <c r="B7948" i="50"/>
  <c r="D7948" i="50" s="1"/>
  <c r="E7924" i="50"/>
  <c r="B7967" i="50"/>
  <c r="D7967" i="50" s="1"/>
  <c r="E7943" i="50"/>
  <c r="B7950" i="50"/>
  <c r="D7950" i="50" s="1"/>
  <c r="E7926" i="50"/>
  <c r="E7912" i="50"/>
  <c r="B7936" i="50"/>
  <c r="D7936" i="50" s="1"/>
  <c r="B7955" i="50"/>
  <c r="D7955" i="50" s="1"/>
  <c r="E7931" i="50"/>
  <c r="B7957" i="50"/>
  <c r="D7957" i="50" s="1"/>
  <c r="E7933" i="50"/>
  <c r="F7933" i="50" s="1"/>
  <c r="E7962" i="50"/>
  <c r="G7962" i="50" s="1"/>
  <c r="B7986" i="50"/>
  <c r="D7986" i="50" s="1"/>
  <c r="E7928" i="50"/>
  <c r="B7952" i="50"/>
  <c r="D7952" i="50" s="1"/>
  <c r="B7941" i="50"/>
  <c r="D7941" i="50" s="1"/>
  <c r="E7917" i="50"/>
  <c r="E7969" i="50"/>
  <c r="B7993" i="50"/>
  <c r="D7993" i="50" s="1"/>
  <c r="B7925" i="50"/>
  <c r="D7925" i="50" s="1"/>
  <c r="E7901" i="50"/>
  <c r="F7901" i="50" s="1"/>
  <c r="B7942" i="50"/>
  <c r="D7942" i="50" s="1"/>
  <c r="E7918" i="50"/>
  <c r="B7971" i="50"/>
  <c r="D7971" i="50" s="1"/>
  <c r="E7947" i="50"/>
  <c r="U7908" i="50" l="1"/>
  <c r="U7928" i="50"/>
  <c r="G7928" i="50"/>
  <c r="V7928" i="50"/>
  <c r="F7928" i="50"/>
  <c r="V7916" i="50"/>
  <c r="G7916" i="50"/>
  <c r="F7916" i="50"/>
  <c r="U7916" i="50"/>
  <c r="F7924" i="50"/>
  <c r="U7924" i="50"/>
  <c r="V7924" i="50"/>
  <c r="G7924" i="50"/>
  <c r="V7944" i="50"/>
  <c r="U7944" i="50"/>
  <c r="G7944" i="50"/>
  <c r="F7944" i="50"/>
  <c r="G7910" i="50"/>
  <c r="U7910" i="50"/>
  <c r="F7910" i="50"/>
  <c r="V7915" i="50"/>
  <c r="U7915" i="50"/>
  <c r="G7915" i="50"/>
  <c r="F7915" i="50"/>
  <c r="V7954" i="50"/>
  <c r="U7954" i="50"/>
  <c r="G7954" i="50"/>
  <c r="F7954" i="50"/>
  <c r="V7947" i="50"/>
  <c r="U7947" i="50"/>
  <c r="G7947" i="50"/>
  <c r="F7947" i="50"/>
  <c r="V7910" i="50"/>
  <c r="V7918" i="50"/>
  <c r="G7918" i="50"/>
  <c r="U7918" i="50"/>
  <c r="F7918" i="50"/>
  <c r="V7931" i="50"/>
  <c r="U7931" i="50"/>
  <c r="G7931" i="50"/>
  <c r="F7931" i="50"/>
  <c r="V7913" i="50"/>
  <c r="U7913" i="50"/>
  <c r="F7913" i="50"/>
  <c r="D7927" i="50"/>
  <c r="E7927" i="50"/>
  <c r="B7951" i="50"/>
  <c r="U7903" i="50"/>
  <c r="G7903" i="50"/>
  <c r="F7903" i="50"/>
  <c r="V7903" i="50"/>
  <c r="V7901" i="50"/>
  <c r="U7901" i="50"/>
  <c r="G7901" i="50"/>
  <c r="V7962" i="50"/>
  <c r="U7962" i="50"/>
  <c r="F7962" i="50"/>
  <c r="U7912" i="50"/>
  <c r="G7912" i="50"/>
  <c r="V7912" i="50"/>
  <c r="F7912" i="50"/>
  <c r="V7953" i="50"/>
  <c r="U7953" i="50"/>
  <c r="F7953" i="50"/>
  <c r="G7926" i="50"/>
  <c r="U7926" i="50"/>
  <c r="F7926" i="50"/>
  <c r="G7913" i="50"/>
  <c r="V7933" i="50"/>
  <c r="U7933" i="50"/>
  <c r="G7933" i="50"/>
  <c r="V7969" i="50"/>
  <c r="U7969" i="50"/>
  <c r="F7969" i="50"/>
  <c r="U7935" i="50"/>
  <c r="G7935" i="50"/>
  <c r="F7935" i="50"/>
  <c r="V7935" i="50"/>
  <c r="G7969" i="50"/>
  <c r="V7926" i="50"/>
  <c r="V7917" i="50"/>
  <c r="U7917" i="50"/>
  <c r="G7917" i="50"/>
  <c r="V7943" i="50"/>
  <c r="U7943" i="50"/>
  <c r="G7943" i="50"/>
  <c r="F7943" i="50"/>
  <c r="F7970" i="50"/>
  <c r="U7970" i="50"/>
  <c r="V7970" i="50"/>
  <c r="G7970" i="50"/>
  <c r="G7953" i="50"/>
  <c r="D7932" i="50"/>
  <c r="B7956" i="50"/>
  <c r="E7932" i="50"/>
  <c r="F7917" i="50"/>
  <c r="F7908" i="50"/>
  <c r="G7908" i="50"/>
  <c r="V7908" i="50"/>
  <c r="B7949" i="50"/>
  <c r="D7949" i="50" s="1"/>
  <c r="E7925" i="50"/>
  <c r="B8010" i="50"/>
  <c r="D8010" i="50" s="1"/>
  <c r="E7986" i="50"/>
  <c r="V7986" i="50" s="1"/>
  <c r="B8018" i="50"/>
  <c r="D8018" i="50" s="1"/>
  <c r="E7994" i="50"/>
  <c r="B7976" i="50"/>
  <c r="D7976" i="50" s="1"/>
  <c r="E7952" i="50"/>
  <c r="V7952" i="50" s="1"/>
  <c r="B7974" i="50"/>
  <c r="D7974" i="50" s="1"/>
  <c r="E7950" i="50"/>
  <c r="E7948" i="50"/>
  <c r="B7972" i="50"/>
  <c r="D7972" i="50" s="1"/>
  <c r="E7978" i="50"/>
  <c r="B8002" i="50"/>
  <c r="D8002" i="50" s="1"/>
  <c r="B7958" i="50"/>
  <c r="D7958" i="50" s="1"/>
  <c r="E7934" i="50"/>
  <c r="B7964" i="50"/>
  <c r="D7964" i="50" s="1"/>
  <c r="E7940" i="50"/>
  <c r="E7939" i="50"/>
  <c r="B7963" i="50"/>
  <c r="D7963" i="50" s="1"/>
  <c r="B8017" i="50"/>
  <c r="D8017" i="50" s="1"/>
  <c r="E7993" i="50"/>
  <c r="E7937" i="50"/>
  <c r="B7961" i="50"/>
  <c r="D7961" i="50" s="1"/>
  <c r="E7967" i="50"/>
  <c r="B7991" i="50"/>
  <c r="D7991" i="50" s="1"/>
  <c r="B8001" i="50"/>
  <c r="D8001" i="50" s="1"/>
  <c r="E7977" i="50"/>
  <c r="B7981" i="50"/>
  <c r="D7981" i="50" s="1"/>
  <c r="E7957" i="50"/>
  <c r="E7971" i="50"/>
  <c r="B7995" i="50"/>
  <c r="D7995" i="50" s="1"/>
  <c r="B7966" i="50"/>
  <c r="D7966" i="50" s="1"/>
  <c r="E7942" i="50"/>
  <c r="V7942" i="50" s="1"/>
  <c r="E7955" i="50"/>
  <c r="U7955" i="50" s="1"/>
  <c r="B7979" i="50"/>
  <c r="D7979" i="50" s="1"/>
  <c r="B7983" i="50"/>
  <c r="D7983" i="50" s="1"/>
  <c r="E7959" i="50"/>
  <c r="V7959" i="50" s="1"/>
  <c r="B7965" i="50"/>
  <c r="D7965" i="50" s="1"/>
  <c r="E7941" i="50"/>
  <c r="V7941" i="50" s="1"/>
  <c r="B7960" i="50"/>
  <c r="D7960" i="50" s="1"/>
  <c r="E7936" i="50"/>
  <c r="B7992" i="50"/>
  <c r="D7992" i="50" s="1"/>
  <c r="E7968" i="50"/>
  <c r="V7927" i="50" l="1"/>
  <c r="V7934" i="50"/>
  <c r="F7934" i="50"/>
  <c r="U7934" i="50"/>
  <c r="G7934" i="50"/>
  <c r="U7925" i="50"/>
  <c r="G7925" i="50"/>
  <c r="F7925" i="50"/>
  <c r="U7927" i="50"/>
  <c r="F7927" i="50"/>
  <c r="G7927" i="50"/>
  <c r="U7978" i="50"/>
  <c r="G7978" i="50"/>
  <c r="F7978" i="50"/>
  <c r="V7978" i="50"/>
  <c r="V7977" i="50"/>
  <c r="G7977" i="50"/>
  <c r="F7977" i="50"/>
  <c r="V7957" i="50"/>
  <c r="F7957" i="50"/>
  <c r="G7957" i="50"/>
  <c r="U7957" i="50"/>
  <c r="V7936" i="50"/>
  <c r="U7936" i="50"/>
  <c r="G7936" i="50"/>
  <c r="F7936" i="50"/>
  <c r="U7977" i="50"/>
  <c r="U7971" i="50"/>
  <c r="V7971" i="50"/>
  <c r="F7971" i="50"/>
  <c r="G7971" i="50"/>
  <c r="U7967" i="50"/>
  <c r="G7967" i="50"/>
  <c r="V7967" i="50"/>
  <c r="F7967" i="50"/>
  <c r="F7948" i="50"/>
  <c r="G7948" i="50"/>
  <c r="U7948" i="50"/>
  <c r="V7948" i="50"/>
  <c r="V7925" i="50"/>
  <c r="V7950" i="50"/>
  <c r="G7950" i="50"/>
  <c r="F7950" i="50"/>
  <c r="U7950" i="50"/>
  <c r="V7932" i="50"/>
  <c r="G7932" i="50"/>
  <c r="F7932" i="50"/>
  <c r="G7937" i="50"/>
  <c r="F7937" i="50"/>
  <c r="V7937" i="50"/>
  <c r="D7956" i="50"/>
  <c r="E7956" i="50"/>
  <c r="B7980" i="50"/>
  <c r="U7959" i="50"/>
  <c r="G7959" i="50"/>
  <c r="F7959" i="50"/>
  <c r="U7993" i="50"/>
  <c r="F7993" i="50"/>
  <c r="V7993" i="50"/>
  <c r="G7952" i="50"/>
  <c r="U7952" i="50"/>
  <c r="F7952" i="50"/>
  <c r="U7932" i="50"/>
  <c r="G7993" i="50"/>
  <c r="U7941" i="50"/>
  <c r="G7941" i="50"/>
  <c r="F7941" i="50"/>
  <c r="F7994" i="50"/>
  <c r="V7994" i="50"/>
  <c r="U7994" i="50"/>
  <c r="G7994" i="50"/>
  <c r="V7955" i="50"/>
  <c r="G7955" i="50"/>
  <c r="F7955" i="50"/>
  <c r="V7939" i="50"/>
  <c r="U7939" i="50"/>
  <c r="G7939" i="50"/>
  <c r="F7939" i="50"/>
  <c r="D7951" i="50"/>
  <c r="B7975" i="50"/>
  <c r="E7951" i="50"/>
  <c r="G7968" i="50"/>
  <c r="F7968" i="50"/>
  <c r="U7968" i="50"/>
  <c r="V7968" i="50"/>
  <c r="G7942" i="50"/>
  <c r="U7942" i="50"/>
  <c r="F7942" i="50"/>
  <c r="G7940" i="50"/>
  <c r="V7940" i="50"/>
  <c r="F7940" i="50"/>
  <c r="G7986" i="50"/>
  <c r="F7986" i="50"/>
  <c r="U7986" i="50"/>
  <c r="U7937" i="50"/>
  <c r="U7940" i="50"/>
  <c r="B7987" i="50"/>
  <c r="D7987" i="50" s="1"/>
  <c r="E7963" i="50"/>
  <c r="B7998" i="50"/>
  <c r="D7998" i="50" s="1"/>
  <c r="E7974" i="50"/>
  <c r="B8026" i="50"/>
  <c r="D8026" i="50" s="1"/>
  <c r="E8002" i="50"/>
  <c r="B8025" i="50"/>
  <c r="D8025" i="50" s="1"/>
  <c r="E8001" i="50"/>
  <c r="G8001" i="50" s="1"/>
  <c r="B7985" i="50"/>
  <c r="D7985" i="50" s="1"/>
  <c r="E7961" i="50"/>
  <c r="E7983" i="50"/>
  <c r="V7983" i="50" s="1"/>
  <c r="B8007" i="50"/>
  <c r="D8007" i="50" s="1"/>
  <c r="B8015" i="50"/>
  <c r="D8015" i="50" s="1"/>
  <c r="E7991" i="50"/>
  <c r="V7991" i="50" s="1"/>
  <c r="B7996" i="50"/>
  <c r="D7996" i="50" s="1"/>
  <c r="E7972" i="50"/>
  <c r="U7972" i="50" s="1"/>
  <c r="B8000" i="50"/>
  <c r="D8000" i="50" s="1"/>
  <c r="E7976" i="50"/>
  <c r="B8003" i="50"/>
  <c r="D8003" i="50" s="1"/>
  <c r="E7979" i="50"/>
  <c r="E7964" i="50"/>
  <c r="B7988" i="50"/>
  <c r="D7988" i="50" s="1"/>
  <c r="B8034" i="50"/>
  <c r="D8034" i="50" s="1"/>
  <c r="E8010" i="50"/>
  <c r="B7982" i="50"/>
  <c r="D7982" i="50" s="1"/>
  <c r="E7958" i="50"/>
  <c r="E7992" i="50"/>
  <c r="V7992" i="50" s="1"/>
  <c r="B8016" i="50"/>
  <c r="D8016" i="50" s="1"/>
  <c r="B7984" i="50"/>
  <c r="D7984" i="50" s="1"/>
  <c r="E7960" i="50"/>
  <c r="B7990" i="50"/>
  <c r="D7990" i="50" s="1"/>
  <c r="E7966" i="50"/>
  <c r="B8019" i="50"/>
  <c r="D8019" i="50" s="1"/>
  <c r="E7995" i="50"/>
  <c r="B8005" i="50"/>
  <c r="D8005" i="50" s="1"/>
  <c r="E7981" i="50"/>
  <c r="B8042" i="50"/>
  <c r="D8042" i="50" s="1"/>
  <c r="E8018" i="50"/>
  <c r="V8018" i="50" s="1"/>
  <c r="B7989" i="50"/>
  <c r="D7989" i="50" s="1"/>
  <c r="E7965" i="50"/>
  <c r="U7965" i="50" s="1"/>
  <c r="E8017" i="50"/>
  <c r="B8041" i="50"/>
  <c r="D8041" i="50" s="1"/>
  <c r="B7973" i="50"/>
  <c r="D7973" i="50" s="1"/>
  <c r="E7949" i="50"/>
  <c r="F8002" i="50" l="1"/>
  <c r="U8002" i="50"/>
  <c r="G8002" i="50"/>
  <c r="V7964" i="50"/>
  <c r="U7964" i="50"/>
  <c r="G7964" i="50"/>
  <c r="F7964" i="50"/>
  <c r="V7974" i="50"/>
  <c r="G7974" i="50"/>
  <c r="F7974" i="50"/>
  <c r="U7974" i="50"/>
  <c r="G7981" i="50"/>
  <c r="V7981" i="50"/>
  <c r="F7981" i="50"/>
  <c r="U7981" i="50"/>
  <c r="V7966" i="50"/>
  <c r="U7966" i="50"/>
  <c r="G7966" i="50"/>
  <c r="V7976" i="50"/>
  <c r="U7976" i="50"/>
  <c r="G7976" i="50"/>
  <c r="F7976" i="50"/>
  <c r="F7963" i="50"/>
  <c r="V7963" i="50"/>
  <c r="U7963" i="50"/>
  <c r="G7963" i="50"/>
  <c r="D7980" i="50"/>
  <c r="E7980" i="50"/>
  <c r="B8004" i="50"/>
  <c r="V8002" i="50"/>
  <c r="G7951" i="50"/>
  <c r="F7951" i="50"/>
  <c r="V7951" i="50"/>
  <c r="U7951" i="50"/>
  <c r="V7956" i="50"/>
  <c r="G7956" i="50"/>
  <c r="F7956" i="50"/>
  <c r="G7960" i="50"/>
  <c r="F7960" i="50"/>
  <c r="U7960" i="50"/>
  <c r="V7972" i="50"/>
  <c r="F7972" i="50"/>
  <c r="G7972" i="50"/>
  <c r="D7975" i="50"/>
  <c r="B7999" i="50"/>
  <c r="E7975" i="50"/>
  <c r="U7956" i="50"/>
  <c r="V7979" i="50"/>
  <c r="U7979" i="50"/>
  <c r="G7979" i="50"/>
  <c r="F7979" i="50"/>
  <c r="U7991" i="50"/>
  <c r="F7991" i="50"/>
  <c r="G7991" i="50"/>
  <c r="V7995" i="50"/>
  <c r="U7995" i="50"/>
  <c r="G7995" i="50"/>
  <c r="F7995" i="50"/>
  <c r="U7992" i="50"/>
  <c r="G7992" i="50"/>
  <c r="F7992" i="50"/>
  <c r="U7983" i="50"/>
  <c r="G7983" i="50"/>
  <c r="F7983" i="50"/>
  <c r="V7960" i="50"/>
  <c r="F7966" i="50"/>
  <c r="V7965" i="50"/>
  <c r="G7965" i="50"/>
  <c r="F7965" i="50"/>
  <c r="V7958" i="50"/>
  <c r="U7958" i="50"/>
  <c r="G7958" i="50"/>
  <c r="F7958" i="50"/>
  <c r="V7961" i="50"/>
  <c r="F7961" i="50"/>
  <c r="U7961" i="50"/>
  <c r="G7961" i="50"/>
  <c r="G8017" i="50"/>
  <c r="V8017" i="50"/>
  <c r="U8017" i="50"/>
  <c r="F8017" i="50"/>
  <c r="V7949" i="50"/>
  <c r="U7949" i="50"/>
  <c r="G7949" i="50"/>
  <c r="F7949" i="50"/>
  <c r="G8018" i="50"/>
  <c r="F8018" i="50"/>
  <c r="U8018" i="50"/>
  <c r="V8010" i="50"/>
  <c r="U8010" i="50"/>
  <c r="G8010" i="50"/>
  <c r="F8010" i="50"/>
  <c r="V8001" i="50"/>
  <c r="U8001" i="50"/>
  <c r="F8001" i="50"/>
  <c r="B8050" i="50"/>
  <c r="D8050" i="50" s="1"/>
  <c r="E8026" i="50"/>
  <c r="B8012" i="50"/>
  <c r="D8012" i="50" s="1"/>
  <c r="E7988" i="50"/>
  <c r="E8003" i="50"/>
  <c r="B8027" i="50"/>
  <c r="D8027" i="50" s="1"/>
  <c r="B8006" i="50"/>
  <c r="D8006" i="50" s="1"/>
  <c r="E7982" i="50"/>
  <c r="F7982" i="50" s="1"/>
  <c r="E7985" i="50"/>
  <c r="B8009" i="50"/>
  <c r="D8009" i="50" s="1"/>
  <c r="B8022" i="50"/>
  <c r="D8022" i="50" s="1"/>
  <c r="E7998" i="50"/>
  <c r="F7998" i="50" s="1"/>
  <c r="B8029" i="50"/>
  <c r="D8029" i="50" s="1"/>
  <c r="E8005" i="50"/>
  <c r="E8015" i="50"/>
  <c r="B8039" i="50"/>
  <c r="D8039" i="50" s="1"/>
  <c r="E8025" i="50"/>
  <c r="B8049" i="50"/>
  <c r="D8049" i="50" s="1"/>
  <c r="B8014" i="50"/>
  <c r="D8014" i="50" s="1"/>
  <c r="E7990" i="50"/>
  <c r="F7990" i="50" s="1"/>
  <c r="B8024" i="50"/>
  <c r="D8024" i="50" s="1"/>
  <c r="E8000" i="50"/>
  <c r="B8031" i="50"/>
  <c r="D8031" i="50" s="1"/>
  <c r="E8007" i="50"/>
  <c r="V8007" i="50" s="1"/>
  <c r="E7987" i="50"/>
  <c r="B8011" i="50"/>
  <c r="D8011" i="50" s="1"/>
  <c r="E8019" i="50"/>
  <c r="B8043" i="50"/>
  <c r="D8043" i="50" s="1"/>
  <c r="B8013" i="50"/>
  <c r="D8013" i="50" s="1"/>
  <c r="E7989" i="50"/>
  <c r="U7989" i="50" s="1"/>
  <c r="B7997" i="50"/>
  <c r="D7997" i="50" s="1"/>
  <c r="E7973" i="50"/>
  <c r="B8066" i="50"/>
  <c r="D8066" i="50" s="1"/>
  <c r="E8042" i="50"/>
  <c r="B8008" i="50"/>
  <c r="D8008" i="50" s="1"/>
  <c r="E7984" i="50"/>
  <c r="B8058" i="50"/>
  <c r="D8058" i="50" s="1"/>
  <c r="E8034" i="50"/>
  <c r="G8034" i="50" s="1"/>
  <c r="E7996" i="50"/>
  <c r="U7996" i="50" s="1"/>
  <c r="B8020" i="50"/>
  <c r="D8020" i="50" s="1"/>
  <c r="E8041" i="50"/>
  <c r="B8065" i="50"/>
  <c r="D8065" i="50" s="1"/>
  <c r="E8016" i="50"/>
  <c r="G8016" i="50" s="1"/>
  <c r="B8040" i="50"/>
  <c r="D8040" i="50" s="1"/>
  <c r="U8015" i="50" l="1"/>
  <c r="G8015" i="50"/>
  <c r="F8015" i="50"/>
  <c r="V8015" i="50"/>
  <c r="D8004" i="50"/>
  <c r="B8028" i="50"/>
  <c r="E8004" i="50"/>
  <c r="V7988" i="50"/>
  <c r="G7988" i="50"/>
  <c r="U7988" i="50"/>
  <c r="F7988" i="50"/>
  <c r="G8026" i="50"/>
  <c r="F8026" i="50"/>
  <c r="V8026" i="50"/>
  <c r="U8026" i="50"/>
  <c r="U7980" i="50"/>
  <c r="G7980" i="50"/>
  <c r="F7980" i="50"/>
  <c r="V8005" i="50"/>
  <c r="U8005" i="50"/>
  <c r="F8005" i="50"/>
  <c r="G8005" i="50"/>
  <c r="V7980" i="50"/>
  <c r="V7998" i="50"/>
  <c r="G7998" i="50"/>
  <c r="U7998" i="50"/>
  <c r="V8019" i="50"/>
  <c r="U8019" i="50"/>
  <c r="G8019" i="50"/>
  <c r="F8019" i="50"/>
  <c r="V7987" i="50"/>
  <c r="U7987" i="50"/>
  <c r="G7987" i="50"/>
  <c r="F7987" i="50"/>
  <c r="F7985" i="50"/>
  <c r="V7985" i="50"/>
  <c r="U7985" i="50"/>
  <c r="G7985" i="50"/>
  <c r="V7973" i="50"/>
  <c r="U7973" i="50"/>
  <c r="G7973" i="50"/>
  <c r="U8007" i="50"/>
  <c r="F8007" i="50"/>
  <c r="G8007" i="50"/>
  <c r="V7982" i="50"/>
  <c r="G7982" i="50"/>
  <c r="U7982" i="50"/>
  <c r="F7973" i="50"/>
  <c r="V7989" i="50"/>
  <c r="G7989" i="50"/>
  <c r="F7989" i="50"/>
  <c r="U8016" i="50"/>
  <c r="F8016" i="50"/>
  <c r="V8016" i="50"/>
  <c r="U8000" i="50"/>
  <c r="F8000" i="50"/>
  <c r="G8000" i="50"/>
  <c r="G7996" i="50"/>
  <c r="F7996" i="50"/>
  <c r="V7996" i="50"/>
  <c r="V7990" i="50"/>
  <c r="U7990" i="50"/>
  <c r="G7990" i="50"/>
  <c r="U8034" i="50"/>
  <c r="F8034" i="50"/>
  <c r="V8034" i="50"/>
  <c r="V8003" i="50"/>
  <c r="U8003" i="50"/>
  <c r="G8003" i="50"/>
  <c r="F8003" i="50"/>
  <c r="V8041" i="50"/>
  <c r="G8041" i="50"/>
  <c r="U8041" i="50"/>
  <c r="F8041" i="50"/>
  <c r="V8042" i="50"/>
  <c r="U8042" i="50"/>
  <c r="F8042" i="50"/>
  <c r="U7975" i="50"/>
  <c r="G7975" i="50"/>
  <c r="F7975" i="50"/>
  <c r="V7975" i="50"/>
  <c r="V8000" i="50"/>
  <c r="F7984" i="50"/>
  <c r="U7984" i="50"/>
  <c r="G7984" i="50"/>
  <c r="V7984" i="50"/>
  <c r="U8025" i="50"/>
  <c r="V8025" i="50"/>
  <c r="F8025" i="50"/>
  <c r="D7999" i="50"/>
  <c r="E7999" i="50"/>
  <c r="B8023" i="50"/>
  <c r="G8042" i="50"/>
  <c r="G8025" i="50"/>
  <c r="B8038" i="50"/>
  <c r="D8038" i="50" s="1"/>
  <c r="E8014" i="50"/>
  <c r="B8046" i="50"/>
  <c r="D8046" i="50" s="1"/>
  <c r="E8022" i="50"/>
  <c r="F8022" i="50" s="1"/>
  <c r="B8067" i="50"/>
  <c r="D8067" i="50" s="1"/>
  <c r="E8043" i="50"/>
  <c r="B8030" i="50"/>
  <c r="D8030" i="50" s="1"/>
  <c r="E8006" i="50"/>
  <c r="E8012" i="50"/>
  <c r="B8036" i="50"/>
  <c r="D8036" i="50" s="1"/>
  <c r="B8082" i="50"/>
  <c r="D8082" i="50" s="1"/>
  <c r="E8058" i="50"/>
  <c r="B8035" i="50"/>
  <c r="D8035" i="50" s="1"/>
  <c r="E8011" i="50"/>
  <c r="B8051" i="50"/>
  <c r="D8051" i="50" s="1"/>
  <c r="E8027" i="50"/>
  <c r="E8008" i="50"/>
  <c r="F8008" i="50" s="1"/>
  <c r="B8032" i="50"/>
  <c r="D8032" i="50" s="1"/>
  <c r="B8063" i="50"/>
  <c r="D8063" i="50" s="1"/>
  <c r="E8039" i="50"/>
  <c r="E8065" i="50"/>
  <c r="B8089" i="50"/>
  <c r="D8089" i="50" s="1"/>
  <c r="B8021" i="50"/>
  <c r="D8021" i="50" s="1"/>
  <c r="E7997" i="50"/>
  <c r="E8049" i="50"/>
  <c r="G8049" i="50" s="1"/>
  <c r="B8073" i="50"/>
  <c r="D8073" i="50" s="1"/>
  <c r="B8033" i="50"/>
  <c r="D8033" i="50" s="1"/>
  <c r="E8009" i="50"/>
  <c r="B8074" i="50"/>
  <c r="D8074" i="50" s="1"/>
  <c r="E8050" i="50"/>
  <c r="E8040" i="50"/>
  <c r="G8040" i="50" s="1"/>
  <c r="B8064" i="50"/>
  <c r="D8064" i="50" s="1"/>
  <c r="E8031" i="50"/>
  <c r="V8031" i="50" s="1"/>
  <c r="B8055" i="50"/>
  <c r="D8055" i="50" s="1"/>
  <c r="B8044" i="50"/>
  <c r="D8044" i="50" s="1"/>
  <c r="E8020" i="50"/>
  <c r="B8053" i="50"/>
  <c r="D8053" i="50" s="1"/>
  <c r="E8029" i="50"/>
  <c r="V8029" i="50" s="1"/>
  <c r="B8090" i="50"/>
  <c r="D8090" i="50" s="1"/>
  <c r="E8066" i="50"/>
  <c r="B8037" i="50"/>
  <c r="D8037" i="50" s="1"/>
  <c r="E8013" i="50"/>
  <c r="E8024" i="50"/>
  <c r="V8024" i="50" s="1"/>
  <c r="B8048" i="50"/>
  <c r="D8048" i="50" s="1"/>
  <c r="V8020" i="50" l="1"/>
  <c r="G8020" i="50"/>
  <c r="U8020" i="50"/>
  <c r="F8020" i="50"/>
  <c r="U8039" i="50"/>
  <c r="F8039" i="50"/>
  <c r="G8039" i="50"/>
  <c r="V8039" i="50"/>
  <c r="V8043" i="50"/>
  <c r="U8043" i="50"/>
  <c r="G8043" i="50"/>
  <c r="F8043" i="50"/>
  <c r="V8006" i="50"/>
  <c r="U8006" i="50"/>
  <c r="G8006" i="50"/>
  <c r="V8022" i="50"/>
  <c r="U8022" i="50"/>
  <c r="G8022" i="50"/>
  <c r="U8065" i="50"/>
  <c r="F8065" i="50"/>
  <c r="V8065" i="50"/>
  <c r="G8065" i="50"/>
  <c r="V8027" i="50"/>
  <c r="U8027" i="50"/>
  <c r="G8027" i="50"/>
  <c r="F8027" i="50"/>
  <c r="V8014" i="50"/>
  <c r="G8014" i="50"/>
  <c r="U8014" i="50"/>
  <c r="F8014" i="50"/>
  <c r="V8011" i="50"/>
  <c r="U8011" i="50"/>
  <c r="G8011" i="50"/>
  <c r="F8011" i="50"/>
  <c r="V8008" i="50"/>
  <c r="U8008" i="50"/>
  <c r="G8008" i="50"/>
  <c r="U8024" i="50"/>
  <c r="G8024" i="50"/>
  <c r="F8024" i="50"/>
  <c r="F8006" i="50"/>
  <c r="V8004" i="50"/>
  <c r="G8004" i="50"/>
  <c r="F8004" i="50"/>
  <c r="U8004" i="50"/>
  <c r="V8013" i="50"/>
  <c r="G8013" i="50"/>
  <c r="F8013" i="50"/>
  <c r="U8013" i="50"/>
  <c r="U8009" i="50"/>
  <c r="G8009" i="50"/>
  <c r="F8009" i="50"/>
  <c r="V8009" i="50"/>
  <c r="V8058" i="50"/>
  <c r="U8058" i="50"/>
  <c r="F8058" i="50"/>
  <c r="D8023" i="50"/>
  <c r="B8047" i="50"/>
  <c r="E8023" i="50"/>
  <c r="D8028" i="50"/>
  <c r="E8028" i="50"/>
  <c r="B8052" i="50"/>
  <c r="F7999" i="50"/>
  <c r="G7999" i="50"/>
  <c r="U7999" i="50"/>
  <c r="V8066" i="50"/>
  <c r="U8066" i="50"/>
  <c r="G8066" i="50"/>
  <c r="F8066" i="50"/>
  <c r="V7999" i="50"/>
  <c r="V8040" i="50"/>
  <c r="U8040" i="50"/>
  <c r="F8040" i="50"/>
  <c r="V8049" i="50"/>
  <c r="U8049" i="50"/>
  <c r="F8049" i="50"/>
  <c r="G8058" i="50"/>
  <c r="F8031" i="50"/>
  <c r="U8031" i="50"/>
  <c r="G8031" i="50"/>
  <c r="U8029" i="50"/>
  <c r="F8029" i="50"/>
  <c r="G8029" i="50"/>
  <c r="G7997" i="50"/>
  <c r="F7997" i="50"/>
  <c r="U7997" i="50"/>
  <c r="V7997" i="50"/>
  <c r="V8050" i="50"/>
  <c r="U8050" i="50"/>
  <c r="G8050" i="50"/>
  <c r="F8050" i="50"/>
  <c r="G8012" i="50"/>
  <c r="U8012" i="50"/>
  <c r="V8012" i="50"/>
  <c r="F8012" i="50"/>
  <c r="B8106" i="50"/>
  <c r="D8106" i="50" s="1"/>
  <c r="E8082" i="50"/>
  <c r="E8044" i="50"/>
  <c r="B8068" i="50"/>
  <c r="D8068" i="50" s="1"/>
  <c r="E8073" i="50"/>
  <c r="B8097" i="50"/>
  <c r="D8097" i="50" s="1"/>
  <c r="E8032" i="50"/>
  <c r="V8032" i="50" s="1"/>
  <c r="B8056" i="50"/>
  <c r="D8056" i="50" s="1"/>
  <c r="B8054" i="50"/>
  <c r="D8054" i="50" s="1"/>
  <c r="E8030" i="50"/>
  <c r="F8030" i="50" s="1"/>
  <c r="E8064" i="50"/>
  <c r="B8088" i="50"/>
  <c r="D8088" i="50" s="1"/>
  <c r="B8062" i="50"/>
  <c r="D8062" i="50" s="1"/>
  <c r="E8038" i="50"/>
  <c r="B8114" i="50"/>
  <c r="D8114" i="50" s="1"/>
  <c r="E8090" i="50"/>
  <c r="B8070" i="50"/>
  <c r="D8070" i="50" s="1"/>
  <c r="E8046" i="50"/>
  <c r="B8098" i="50"/>
  <c r="D8098" i="50" s="1"/>
  <c r="E8074" i="50"/>
  <c r="E8051" i="50"/>
  <c r="B8075" i="50"/>
  <c r="D8075" i="50" s="1"/>
  <c r="E8035" i="50"/>
  <c r="B8059" i="50"/>
  <c r="D8059" i="50" s="1"/>
  <c r="B8077" i="50"/>
  <c r="D8077" i="50" s="1"/>
  <c r="E8053" i="50"/>
  <c r="B8079" i="50"/>
  <c r="D8079" i="50" s="1"/>
  <c r="E8055" i="50"/>
  <c r="B8045" i="50"/>
  <c r="D8045" i="50" s="1"/>
  <c r="E8021" i="50"/>
  <c r="E8033" i="50"/>
  <c r="G8033" i="50" s="1"/>
  <c r="B8057" i="50"/>
  <c r="D8057" i="50" s="1"/>
  <c r="E8089" i="50"/>
  <c r="B8113" i="50"/>
  <c r="D8113" i="50" s="1"/>
  <c r="B8061" i="50"/>
  <c r="D8061" i="50" s="1"/>
  <c r="E8037" i="50"/>
  <c r="E8063" i="50"/>
  <c r="B8087" i="50"/>
  <c r="D8087" i="50" s="1"/>
  <c r="B8060" i="50"/>
  <c r="D8060" i="50" s="1"/>
  <c r="E8036" i="50"/>
  <c r="U8036" i="50" s="1"/>
  <c r="E8067" i="50"/>
  <c r="B8091" i="50"/>
  <c r="D8091" i="50" s="1"/>
  <c r="E8048" i="50"/>
  <c r="V8048" i="50" s="1"/>
  <c r="B8072" i="50"/>
  <c r="D8072" i="50" s="1"/>
  <c r="V8023" i="50" l="1"/>
  <c r="U8046" i="50"/>
  <c r="V8046" i="50"/>
  <c r="F8046" i="50"/>
  <c r="V8044" i="50"/>
  <c r="F8044" i="50"/>
  <c r="G8044" i="50"/>
  <c r="V8082" i="50"/>
  <c r="U8082" i="50"/>
  <c r="G8082" i="50"/>
  <c r="F8082" i="50"/>
  <c r="V8074" i="50"/>
  <c r="U8074" i="50"/>
  <c r="F8074" i="50"/>
  <c r="F8073" i="50"/>
  <c r="G8073" i="50"/>
  <c r="U8073" i="50"/>
  <c r="V8073" i="50"/>
  <c r="V8053" i="50"/>
  <c r="G8053" i="50"/>
  <c r="U8053" i="50"/>
  <c r="G8089" i="50"/>
  <c r="V8089" i="50"/>
  <c r="U8089" i="50"/>
  <c r="F8089" i="50"/>
  <c r="U8090" i="50"/>
  <c r="F8090" i="50"/>
  <c r="V8090" i="50"/>
  <c r="G8090" i="50"/>
  <c r="V8067" i="50"/>
  <c r="U8067" i="50"/>
  <c r="G8067" i="50"/>
  <c r="F8067" i="50"/>
  <c r="V8021" i="50"/>
  <c r="G8021" i="50"/>
  <c r="F8021" i="50"/>
  <c r="V8036" i="50"/>
  <c r="G8036" i="50"/>
  <c r="F8036" i="50"/>
  <c r="U8021" i="50"/>
  <c r="U8035" i="50"/>
  <c r="G8035" i="50"/>
  <c r="F8035" i="50"/>
  <c r="V8035" i="50"/>
  <c r="U8064" i="50"/>
  <c r="G8064" i="50"/>
  <c r="V8064" i="50"/>
  <c r="F8064" i="50"/>
  <c r="F8053" i="50"/>
  <c r="G8046" i="50"/>
  <c r="D8047" i="50"/>
  <c r="B8071" i="50"/>
  <c r="E8047" i="50"/>
  <c r="U8048" i="50"/>
  <c r="G8048" i="50"/>
  <c r="F8048" i="50"/>
  <c r="V8030" i="50"/>
  <c r="G8030" i="50"/>
  <c r="U8030" i="50"/>
  <c r="D8052" i="50"/>
  <c r="B8076" i="50"/>
  <c r="E8052" i="50"/>
  <c r="V8038" i="50"/>
  <c r="U8038" i="50"/>
  <c r="G8038" i="50"/>
  <c r="V8063" i="50"/>
  <c r="U8063" i="50"/>
  <c r="G8063" i="50"/>
  <c r="F8063" i="50"/>
  <c r="G8028" i="50"/>
  <c r="F8028" i="50"/>
  <c r="V8028" i="50"/>
  <c r="F8038" i="50"/>
  <c r="G8055" i="50"/>
  <c r="V8055" i="50"/>
  <c r="F8055" i="50"/>
  <c r="U8055" i="50"/>
  <c r="V8037" i="50"/>
  <c r="G8037" i="50"/>
  <c r="F8037" i="50"/>
  <c r="U8037" i="50"/>
  <c r="U8028" i="50"/>
  <c r="G8074" i="50"/>
  <c r="V8033" i="50"/>
  <c r="U8033" i="50"/>
  <c r="F8033" i="50"/>
  <c r="U8051" i="50"/>
  <c r="G8051" i="50"/>
  <c r="F8051" i="50"/>
  <c r="V8051" i="50"/>
  <c r="U8032" i="50"/>
  <c r="F8032" i="50"/>
  <c r="G8032" i="50"/>
  <c r="U8023" i="50"/>
  <c r="F8023" i="50"/>
  <c r="G8023" i="50"/>
  <c r="U8044" i="50"/>
  <c r="E8060" i="50"/>
  <c r="U8060" i="50" s="1"/>
  <c r="B8084" i="50"/>
  <c r="D8084" i="50" s="1"/>
  <c r="B8069" i="50"/>
  <c r="D8069" i="50" s="1"/>
  <c r="E8045" i="50"/>
  <c r="B8092" i="50"/>
  <c r="D8092" i="50" s="1"/>
  <c r="E8068" i="50"/>
  <c r="U8068" i="50" s="1"/>
  <c r="B8137" i="50"/>
  <c r="D8137" i="50" s="1"/>
  <c r="E8113" i="50"/>
  <c r="V8113" i="50" s="1"/>
  <c r="B8099" i="50"/>
  <c r="D8099" i="50" s="1"/>
  <c r="E8075" i="50"/>
  <c r="B8085" i="50"/>
  <c r="D8085" i="50" s="1"/>
  <c r="E8061" i="50"/>
  <c r="U8061" i="50" s="1"/>
  <c r="B8081" i="50"/>
  <c r="D8081" i="50" s="1"/>
  <c r="E8057" i="50"/>
  <c r="G8057" i="50" s="1"/>
  <c r="B8086" i="50"/>
  <c r="D8086" i="50" s="1"/>
  <c r="E8062" i="50"/>
  <c r="B8138" i="50"/>
  <c r="D8138" i="50" s="1"/>
  <c r="E8114" i="50"/>
  <c r="B8078" i="50"/>
  <c r="D8078" i="50" s="1"/>
  <c r="E8054" i="50"/>
  <c r="F8054" i="50" s="1"/>
  <c r="E8072" i="50"/>
  <c r="B8096" i="50"/>
  <c r="D8096" i="50" s="1"/>
  <c r="B8122" i="50"/>
  <c r="D8122" i="50" s="1"/>
  <c r="E8098" i="50"/>
  <c r="E8079" i="50"/>
  <c r="B8103" i="50"/>
  <c r="D8103" i="50" s="1"/>
  <c r="B8111" i="50"/>
  <c r="D8111" i="50" s="1"/>
  <c r="E8087" i="50"/>
  <c r="B8115" i="50"/>
  <c r="D8115" i="50" s="1"/>
  <c r="E8091" i="50"/>
  <c r="E8088" i="50"/>
  <c r="U8088" i="50" s="1"/>
  <c r="B8112" i="50"/>
  <c r="D8112" i="50" s="1"/>
  <c r="B8101" i="50"/>
  <c r="D8101" i="50" s="1"/>
  <c r="E8077" i="50"/>
  <c r="U8077" i="50" s="1"/>
  <c r="B8094" i="50"/>
  <c r="D8094" i="50" s="1"/>
  <c r="E8070" i="50"/>
  <c r="E8056" i="50"/>
  <c r="G8056" i="50" s="1"/>
  <c r="B8080" i="50"/>
  <c r="D8080" i="50" s="1"/>
  <c r="B8083" i="50"/>
  <c r="D8083" i="50" s="1"/>
  <c r="E8059" i="50"/>
  <c r="E8097" i="50"/>
  <c r="B8121" i="50"/>
  <c r="D8121" i="50" s="1"/>
  <c r="B8130" i="50"/>
  <c r="D8130" i="50" s="1"/>
  <c r="E8106" i="50"/>
  <c r="G8045" i="50" l="1"/>
  <c r="F8045" i="50"/>
  <c r="V8045" i="50"/>
  <c r="V8060" i="50"/>
  <c r="G8060" i="50"/>
  <c r="F8060" i="50"/>
  <c r="U8057" i="50"/>
  <c r="V8057" i="50"/>
  <c r="F8057" i="50"/>
  <c r="V8047" i="50"/>
  <c r="U8047" i="50"/>
  <c r="G8047" i="50"/>
  <c r="F8047" i="50"/>
  <c r="D8071" i="50"/>
  <c r="B8095" i="50"/>
  <c r="E8071" i="50"/>
  <c r="V8088" i="50"/>
  <c r="F8088" i="50"/>
  <c r="G8088" i="50"/>
  <c r="F8079" i="50"/>
  <c r="U8079" i="50"/>
  <c r="G8079" i="50"/>
  <c r="V8059" i="50"/>
  <c r="U8059" i="50"/>
  <c r="G8059" i="50"/>
  <c r="F8059" i="50"/>
  <c r="F8061" i="50"/>
  <c r="V8061" i="50"/>
  <c r="G8061" i="50"/>
  <c r="U8097" i="50"/>
  <c r="V8097" i="50"/>
  <c r="G8097" i="50"/>
  <c r="F8097" i="50"/>
  <c r="G8087" i="50"/>
  <c r="U8087" i="50"/>
  <c r="V8087" i="50"/>
  <c r="F8087" i="50"/>
  <c r="V8098" i="50"/>
  <c r="U8098" i="50"/>
  <c r="G8098" i="50"/>
  <c r="F8098" i="50"/>
  <c r="V8075" i="50"/>
  <c r="U8075" i="50"/>
  <c r="G8075" i="50"/>
  <c r="F8075" i="50"/>
  <c r="V8052" i="50"/>
  <c r="G8052" i="50"/>
  <c r="F8052" i="50"/>
  <c r="V8114" i="50"/>
  <c r="U8114" i="50"/>
  <c r="F8114" i="50"/>
  <c r="G8114" i="50"/>
  <c r="V8106" i="50"/>
  <c r="U8106" i="50"/>
  <c r="G8106" i="50"/>
  <c r="F8106" i="50"/>
  <c r="V8056" i="50"/>
  <c r="F8056" i="50"/>
  <c r="U8056" i="50"/>
  <c r="D8076" i="50"/>
  <c r="E8076" i="50"/>
  <c r="B8100" i="50"/>
  <c r="V8079" i="50"/>
  <c r="V8070" i="50"/>
  <c r="G8070" i="50"/>
  <c r="F8070" i="50"/>
  <c r="U8070" i="50"/>
  <c r="U8113" i="50"/>
  <c r="F8113" i="50"/>
  <c r="G8113" i="50"/>
  <c r="U8052" i="50"/>
  <c r="U8045" i="50"/>
  <c r="V8091" i="50"/>
  <c r="U8091" i="50"/>
  <c r="G8091" i="50"/>
  <c r="F8091" i="50"/>
  <c r="U8072" i="50"/>
  <c r="G8072" i="50"/>
  <c r="F8072" i="50"/>
  <c r="V8072" i="50"/>
  <c r="G8062" i="50"/>
  <c r="V8062" i="50"/>
  <c r="U8062" i="50"/>
  <c r="F8062" i="50"/>
  <c r="G8077" i="50"/>
  <c r="F8077" i="50"/>
  <c r="V8077" i="50"/>
  <c r="V8054" i="50"/>
  <c r="U8054" i="50"/>
  <c r="G8054" i="50"/>
  <c r="V8068" i="50"/>
  <c r="G8068" i="50"/>
  <c r="F8068" i="50"/>
  <c r="E8080" i="50"/>
  <c r="B8104" i="50"/>
  <c r="D8104" i="50" s="1"/>
  <c r="B8125" i="50"/>
  <c r="D8125" i="50" s="1"/>
  <c r="E8101" i="50"/>
  <c r="F8101" i="50" s="1"/>
  <c r="E8092" i="50"/>
  <c r="B8116" i="50"/>
  <c r="D8116" i="50" s="1"/>
  <c r="B8136" i="50"/>
  <c r="D8136" i="50" s="1"/>
  <c r="E8112" i="50"/>
  <c r="B8135" i="50"/>
  <c r="D8135" i="50" s="1"/>
  <c r="E8111" i="50"/>
  <c r="V8111" i="50" s="1"/>
  <c r="B8127" i="50"/>
  <c r="D8127" i="50" s="1"/>
  <c r="E8103" i="50"/>
  <c r="E8099" i="50"/>
  <c r="B8123" i="50"/>
  <c r="D8123" i="50" s="1"/>
  <c r="E8096" i="50"/>
  <c r="B8120" i="50"/>
  <c r="D8120" i="50" s="1"/>
  <c r="B8093" i="50"/>
  <c r="D8093" i="50" s="1"/>
  <c r="E8069" i="50"/>
  <c r="B8102" i="50"/>
  <c r="D8102" i="50" s="1"/>
  <c r="E8078" i="50"/>
  <c r="E8138" i="50"/>
  <c r="B8162" i="50"/>
  <c r="D8162" i="50" s="1"/>
  <c r="B8109" i="50"/>
  <c r="D8109" i="50" s="1"/>
  <c r="E8085" i="50"/>
  <c r="E8081" i="50"/>
  <c r="B8105" i="50"/>
  <c r="D8105" i="50" s="1"/>
  <c r="B8154" i="50"/>
  <c r="D8154" i="50" s="1"/>
  <c r="E8130" i="50"/>
  <c r="B8145" i="50"/>
  <c r="D8145" i="50" s="1"/>
  <c r="E8121" i="50"/>
  <c r="E8083" i="50"/>
  <c r="B8107" i="50"/>
  <c r="D8107" i="50" s="1"/>
  <c r="B8108" i="50"/>
  <c r="D8108" i="50" s="1"/>
  <c r="E8084" i="50"/>
  <c r="U8084" i="50" s="1"/>
  <c r="B8118" i="50"/>
  <c r="D8118" i="50" s="1"/>
  <c r="E8094" i="50"/>
  <c r="B8161" i="50"/>
  <c r="D8161" i="50" s="1"/>
  <c r="E8137" i="50"/>
  <c r="B8139" i="50"/>
  <c r="D8139" i="50" s="1"/>
  <c r="E8115" i="50"/>
  <c r="B8146" i="50"/>
  <c r="D8146" i="50" s="1"/>
  <c r="E8122" i="50"/>
  <c r="B8110" i="50"/>
  <c r="D8110" i="50" s="1"/>
  <c r="E8086" i="50"/>
  <c r="V8085" i="50" l="1"/>
  <c r="U8085" i="50"/>
  <c r="G8085" i="50"/>
  <c r="U8111" i="50"/>
  <c r="G8111" i="50"/>
  <c r="F8111" i="50"/>
  <c r="U8112" i="50"/>
  <c r="F8112" i="50"/>
  <c r="V8112" i="50"/>
  <c r="G8112" i="50"/>
  <c r="F8138" i="50"/>
  <c r="G8138" i="50"/>
  <c r="U8138" i="50"/>
  <c r="V8138" i="50"/>
  <c r="G8078" i="50"/>
  <c r="F8078" i="50"/>
  <c r="V8078" i="50"/>
  <c r="U8078" i="50"/>
  <c r="U8137" i="50"/>
  <c r="V8137" i="50"/>
  <c r="F8137" i="50"/>
  <c r="G8137" i="50"/>
  <c r="F8092" i="50"/>
  <c r="V8092" i="50"/>
  <c r="G8092" i="50"/>
  <c r="V8069" i="50"/>
  <c r="U8069" i="50"/>
  <c r="G8069" i="50"/>
  <c r="V8101" i="50"/>
  <c r="U8101" i="50"/>
  <c r="G8101" i="50"/>
  <c r="G8103" i="50"/>
  <c r="V8103" i="50"/>
  <c r="U8103" i="50"/>
  <c r="F8103" i="50"/>
  <c r="U8083" i="50"/>
  <c r="G8083" i="50"/>
  <c r="F8083" i="50"/>
  <c r="V8083" i="50"/>
  <c r="G8121" i="50"/>
  <c r="V8121" i="50"/>
  <c r="U8121" i="50"/>
  <c r="F8121" i="50"/>
  <c r="U8092" i="50"/>
  <c r="F8085" i="50"/>
  <c r="G8094" i="50"/>
  <c r="U8094" i="50"/>
  <c r="F8094" i="50"/>
  <c r="U8096" i="50"/>
  <c r="V8096" i="50"/>
  <c r="G8096" i="50"/>
  <c r="F8096" i="50"/>
  <c r="G8080" i="50"/>
  <c r="F8080" i="50"/>
  <c r="U8080" i="50"/>
  <c r="V8080" i="50"/>
  <c r="V8084" i="50"/>
  <c r="G8084" i="50"/>
  <c r="F8084" i="50"/>
  <c r="V8086" i="50"/>
  <c r="G8086" i="50"/>
  <c r="F8086" i="50"/>
  <c r="U8086" i="50"/>
  <c r="D8100" i="50"/>
  <c r="E8100" i="50"/>
  <c r="B8124" i="50"/>
  <c r="V8115" i="50"/>
  <c r="U8115" i="50"/>
  <c r="G8115" i="50"/>
  <c r="F8115" i="50"/>
  <c r="F8081" i="50"/>
  <c r="V8081" i="50"/>
  <c r="G8081" i="50"/>
  <c r="U8081" i="50"/>
  <c r="V8099" i="50"/>
  <c r="U8099" i="50"/>
  <c r="G8099" i="50"/>
  <c r="F8099" i="50"/>
  <c r="V8094" i="50"/>
  <c r="G8076" i="50"/>
  <c r="F8076" i="50"/>
  <c r="V8076" i="50"/>
  <c r="G8071" i="50"/>
  <c r="V8071" i="50"/>
  <c r="F8071" i="50"/>
  <c r="U8071" i="50"/>
  <c r="F8122" i="50"/>
  <c r="U8122" i="50"/>
  <c r="G8122" i="50"/>
  <c r="V8122" i="50"/>
  <c r="F8130" i="50"/>
  <c r="V8130" i="50"/>
  <c r="U8130" i="50"/>
  <c r="G8130" i="50"/>
  <c r="U8076" i="50"/>
  <c r="D8095" i="50"/>
  <c r="E8095" i="50"/>
  <c r="B8119" i="50"/>
  <c r="F8069" i="50"/>
  <c r="B8133" i="50"/>
  <c r="D8133" i="50" s="1"/>
  <c r="E8109" i="50"/>
  <c r="B8169" i="50"/>
  <c r="D8169" i="50" s="1"/>
  <c r="E8145" i="50"/>
  <c r="B8147" i="50"/>
  <c r="D8147" i="50" s="1"/>
  <c r="E8123" i="50"/>
  <c r="B8163" i="50"/>
  <c r="D8163" i="50" s="1"/>
  <c r="E8139" i="50"/>
  <c r="E8120" i="50"/>
  <c r="B8144" i="50"/>
  <c r="D8144" i="50" s="1"/>
  <c r="B8186" i="50"/>
  <c r="D8186" i="50" s="1"/>
  <c r="E8162" i="50"/>
  <c r="B8149" i="50"/>
  <c r="D8149" i="50" s="1"/>
  <c r="E8125" i="50"/>
  <c r="B8178" i="50"/>
  <c r="D8178" i="50" s="1"/>
  <c r="E8154" i="50"/>
  <c r="B8142" i="50"/>
  <c r="D8142" i="50" s="1"/>
  <c r="E8118" i="50"/>
  <c r="B8131" i="50"/>
  <c r="D8131" i="50" s="1"/>
  <c r="E8107" i="50"/>
  <c r="B8129" i="50"/>
  <c r="D8129" i="50" s="1"/>
  <c r="E8105" i="50"/>
  <c r="E8104" i="50"/>
  <c r="B8128" i="50"/>
  <c r="D8128" i="50" s="1"/>
  <c r="E8161" i="50"/>
  <c r="B8185" i="50"/>
  <c r="D8185" i="50" s="1"/>
  <c r="B8159" i="50"/>
  <c r="D8159" i="50" s="1"/>
  <c r="E8135" i="50"/>
  <c r="E8127" i="50"/>
  <c r="B8151" i="50"/>
  <c r="D8151" i="50" s="1"/>
  <c r="B8132" i="50"/>
  <c r="D8132" i="50" s="1"/>
  <c r="E8108" i="50"/>
  <c r="E8102" i="50"/>
  <c r="B8126" i="50"/>
  <c r="D8126" i="50" s="1"/>
  <c r="B8170" i="50"/>
  <c r="D8170" i="50" s="1"/>
  <c r="E8146" i="50"/>
  <c r="B8134" i="50"/>
  <c r="D8134" i="50" s="1"/>
  <c r="E8110" i="50"/>
  <c r="E8136" i="50"/>
  <c r="B8160" i="50"/>
  <c r="D8160" i="50" s="1"/>
  <c r="B8117" i="50"/>
  <c r="D8117" i="50" s="1"/>
  <c r="E8093" i="50"/>
  <c r="U8093" i="50" s="1"/>
  <c r="E8116" i="50"/>
  <c r="B8140" i="50"/>
  <c r="D8140" i="50" s="1"/>
  <c r="V8109" i="50" l="1"/>
  <c r="G8109" i="50"/>
  <c r="F8109" i="50"/>
  <c r="F8102" i="50"/>
  <c r="U8102" i="50"/>
  <c r="V8102" i="50"/>
  <c r="G8102" i="50"/>
  <c r="G8108" i="50"/>
  <c r="F8108" i="50"/>
  <c r="V8108" i="50"/>
  <c r="V8125" i="50"/>
  <c r="G8125" i="50"/>
  <c r="F8125" i="50"/>
  <c r="U8145" i="50"/>
  <c r="F8145" i="50"/>
  <c r="G8145" i="50"/>
  <c r="D8119" i="50"/>
  <c r="B8143" i="50"/>
  <c r="E8119" i="50"/>
  <c r="G8127" i="50"/>
  <c r="F8127" i="50"/>
  <c r="U8127" i="50"/>
  <c r="U8095" i="50"/>
  <c r="F8095" i="50"/>
  <c r="G8095" i="50"/>
  <c r="V8161" i="50"/>
  <c r="U8161" i="50"/>
  <c r="G8161" i="50"/>
  <c r="F8161" i="50"/>
  <c r="V8095" i="50"/>
  <c r="D8124" i="50"/>
  <c r="B8148" i="50"/>
  <c r="E8124" i="50"/>
  <c r="U8125" i="50"/>
  <c r="F8154" i="50"/>
  <c r="G8154" i="50"/>
  <c r="V8154" i="50"/>
  <c r="U8154" i="50"/>
  <c r="V8100" i="50"/>
  <c r="G8100" i="50"/>
  <c r="F8100" i="50"/>
  <c r="U8136" i="50"/>
  <c r="F8136" i="50"/>
  <c r="V8136" i="50"/>
  <c r="G8136" i="50"/>
  <c r="V8104" i="50"/>
  <c r="U8104" i="50"/>
  <c r="G8104" i="50"/>
  <c r="F8104" i="50"/>
  <c r="V8120" i="50"/>
  <c r="U8120" i="50"/>
  <c r="G8120" i="50"/>
  <c r="F8120" i="50"/>
  <c r="U8100" i="50"/>
  <c r="V8145" i="50"/>
  <c r="U8109" i="50"/>
  <c r="G8110" i="50"/>
  <c r="U8110" i="50"/>
  <c r="F8110" i="50"/>
  <c r="F8105" i="50"/>
  <c r="G8105" i="50"/>
  <c r="U8105" i="50"/>
  <c r="V8105" i="50"/>
  <c r="V8127" i="50"/>
  <c r="V8116" i="50"/>
  <c r="G8116" i="50"/>
  <c r="F8116" i="50"/>
  <c r="V8135" i="50"/>
  <c r="U8135" i="50"/>
  <c r="G8135" i="50"/>
  <c r="F8135" i="50"/>
  <c r="V8146" i="50"/>
  <c r="U8146" i="50"/>
  <c r="G8146" i="50"/>
  <c r="F8146" i="50"/>
  <c r="U8107" i="50"/>
  <c r="G8107" i="50"/>
  <c r="F8107" i="50"/>
  <c r="V8107" i="50"/>
  <c r="V8139" i="50"/>
  <c r="U8139" i="50"/>
  <c r="G8139" i="50"/>
  <c r="F8139" i="50"/>
  <c r="U8116" i="50"/>
  <c r="V8093" i="50"/>
  <c r="G8093" i="50"/>
  <c r="F8093" i="50"/>
  <c r="V8110" i="50"/>
  <c r="V8162" i="50"/>
  <c r="G8162" i="50"/>
  <c r="F8162" i="50"/>
  <c r="U8162" i="50"/>
  <c r="G8118" i="50"/>
  <c r="V8118" i="50"/>
  <c r="F8118" i="50"/>
  <c r="U8118" i="50"/>
  <c r="V8123" i="50"/>
  <c r="U8123" i="50"/>
  <c r="G8123" i="50"/>
  <c r="F8123" i="50"/>
  <c r="U8108" i="50"/>
  <c r="E8159" i="50"/>
  <c r="B8183" i="50"/>
  <c r="D8183" i="50" s="1"/>
  <c r="B8153" i="50"/>
  <c r="D8153" i="50" s="1"/>
  <c r="E8129" i="50"/>
  <c r="V8129" i="50" s="1"/>
  <c r="B8157" i="50"/>
  <c r="D8157" i="50" s="1"/>
  <c r="E8133" i="50"/>
  <c r="F8133" i="50" s="1"/>
  <c r="E8132" i="50"/>
  <c r="B8156" i="50"/>
  <c r="D8156" i="50" s="1"/>
  <c r="E8147" i="50"/>
  <c r="B8171" i="50"/>
  <c r="D8171" i="50" s="1"/>
  <c r="E8186" i="50"/>
  <c r="B8210" i="50"/>
  <c r="D8210" i="50" s="1"/>
  <c r="E8131" i="50"/>
  <c r="B8155" i="50"/>
  <c r="D8155" i="50" s="1"/>
  <c r="B8164" i="50"/>
  <c r="D8164" i="50" s="1"/>
  <c r="E8140" i="50"/>
  <c r="B8175" i="50"/>
  <c r="D8175" i="50" s="1"/>
  <c r="E8151" i="50"/>
  <c r="B8166" i="50"/>
  <c r="D8166" i="50" s="1"/>
  <c r="E8142" i="50"/>
  <c r="B8150" i="50"/>
  <c r="D8150" i="50" s="1"/>
  <c r="E8126" i="50"/>
  <c r="B8202" i="50"/>
  <c r="D8202" i="50" s="1"/>
  <c r="E8178" i="50"/>
  <c r="G8178" i="50" s="1"/>
  <c r="B8194" i="50"/>
  <c r="D8194" i="50" s="1"/>
  <c r="E8170" i="50"/>
  <c r="B8152" i="50"/>
  <c r="D8152" i="50" s="1"/>
  <c r="E8128" i="50"/>
  <c r="E8134" i="50"/>
  <c r="B8158" i="50"/>
  <c r="D8158" i="50" s="1"/>
  <c r="B8209" i="50"/>
  <c r="D8209" i="50" s="1"/>
  <c r="E8185" i="50"/>
  <c r="B8168" i="50"/>
  <c r="D8168" i="50" s="1"/>
  <c r="E8144" i="50"/>
  <c r="G8144" i="50" s="1"/>
  <c r="B8193" i="50"/>
  <c r="D8193" i="50" s="1"/>
  <c r="E8169" i="50"/>
  <c r="B8141" i="50"/>
  <c r="D8141" i="50" s="1"/>
  <c r="E8117" i="50"/>
  <c r="F8117" i="50" s="1"/>
  <c r="B8184" i="50"/>
  <c r="D8184" i="50" s="1"/>
  <c r="E8160" i="50"/>
  <c r="B8173" i="50"/>
  <c r="D8173" i="50" s="1"/>
  <c r="E8149" i="50"/>
  <c r="F8149" i="50" s="1"/>
  <c r="E8163" i="50"/>
  <c r="U8163" i="50" s="1"/>
  <c r="B8187" i="50"/>
  <c r="D8187" i="50" s="1"/>
  <c r="V8186" i="50" l="1"/>
  <c r="F8186" i="50"/>
  <c r="U8186" i="50"/>
  <c r="V8147" i="50"/>
  <c r="U8147" i="50"/>
  <c r="G8147" i="50"/>
  <c r="F8147" i="50"/>
  <c r="G8126" i="50"/>
  <c r="U8126" i="50"/>
  <c r="F8126" i="50"/>
  <c r="V8132" i="50"/>
  <c r="G8132" i="50"/>
  <c r="F8132" i="50"/>
  <c r="V8133" i="50"/>
  <c r="U8133" i="50"/>
  <c r="G8133" i="50"/>
  <c r="V8126" i="50"/>
  <c r="U8144" i="50"/>
  <c r="V8144" i="50"/>
  <c r="F8144" i="50"/>
  <c r="G8142" i="50"/>
  <c r="U8142" i="50"/>
  <c r="F8142" i="50"/>
  <c r="U8129" i="50"/>
  <c r="F8129" i="50"/>
  <c r="G8129" i="50"/>
  <c r="G8124" i="50"/>
  <c r="F8124" i="50"/>
  <c r="V8124" i="50"/>
  <c r="V8142" i="50"/>
  <c r="G8117" i="50"/>
  <c r="V8117" i="50"/>
  <c r="U8117" i="50"/>
  <c r="D8148" i="50"/>
  <c r="B8172" i="50"/>
  <c r="E8148" i="50"/>
  <c r="V8119" i="50"/>
  <c r="U8119" i="50"/>
  <c r="G8119" i="50"/>
  <c r="F8119" i="50"/>
  <c r="U8160" i="50"/>
  <c r="G8160" i="50"/>
  <c r="F8160" i="50"/>
  <c r="V8160" i="50"/>
  <c r="U8185" i="50"/>
  <c r="G8185" i="50"/>
  <c r="V8185" i="50"/>
  <c r="V8151" i="50"/>
  <c r="U8151" i="50"/>
  <c r="G8151" i="50"/>
  <c r="F8151" i="50"/>
  <c r="U8124" i="50"/>
  <c r="D8143" i="50"/>
  <c r="E8143" i="50"/>
  <c r="B8167" i="50"/>
  <c r="U8178" i="50"/>
  <c r="V8178" i="50"/>
  <c r="F8178" i="50"/>
  <c r="V8169" i="50"/>
  <c r="U8169" i="50"/>
  <c r="G8169" i="50"/>
  <c r="F8140" i="50"/>
  <c r="V8140" i="50"/>
  <c r="G8140" i="50"/>
  <c r="U8140" i="50"/>
  <c r="G8186" i="50"/>
  <c r="V8134" i="50"/>
  <c r="G8134" i="50"/>
  <c r="F8134" i="50"/>
  <c r="U8134" i="50"/>
  <c r="V8159" i="50"/>
  <c r="U8159" i="50"/>
  <c r="G8159" i="50"/>
  <c r="F8159" i="50"/>
  <c r="U8128" i="50"/>
  <c r="G8128" i="50"/>
  <c r="F8128" i="50"/>
  <c r="V8128" i="50"/>
  <c r="F8185" i="50"/>
  <c r="V8163" i="50"/>
  <c r="F8163" i="50"/>
  <c r="G8163" i="50"/>
  <c r="V8131" i="50"/>
  <c r="U8131" i="50"/>
  <c r="G8131" i="50"/>
  <c r="F8131" i="50"/>
  <c r="F8169" i="50"/>
  <c r="V8149" i="50"/>
  <c r="U8149" i="50"/>
  <c r="G8149" i="50"/>
  <c r="V8170" i="50"/>
  <c r="F8170" i="50"/>
  <c r="G8170" i="50"/>
  <c r="U8170" i="50"/>
  <c r="U8132" i="50"/>
  <c r="B8177" i="50"/>
  <c r="D8177" i="50" s="1"/>
  <c r="E8153" i="50"/>
  <c r="E8184" i="50"/>
  <c r="B8208" i="50"/>
  <c r="D8208" i="50" s="1"/>
  <c r="B8165" i="50"/>
  <c r="D8165" i="50" s="1"/>
  <c r="E8141" i="50"/>
  <c r="U8141" i="50" s="1"/>
  <c r="E8168" i="50"/>
  <c r="U8168" i="50" s="1"/>
  <c r="B8192" i="50"/>
  <c r="D8192" i="50" s="1"/>
  <c r="E8166" i="50"/>
  <c r="B8190" i="50"/>
  <c r="D8190" i="50" s="1"/>
  <c r="B8179" i="50"/>
  <c r="D8179" i="50" s="1"/>
  <c r="E8155" i="50"/>
  <c r="B8180" i="50"/>
  <c r="D8180" i="50" s="1"/>
  <c r="E8156" i="50"/>
  <c r="U8156" i="50" s="1"/>
  <c r="B8218" i="50"/>
  <c r="D8218" i="50" s="1"/>
  <c r="E8194" i="50"/>
  <c r="E8193" i="50"/>
  <c r="B8217" i="50"/>
  <c r="D8217" i="50" s="1"/>
  <c r="E8164" i="50"/>
  <c r="B8188" i="50"/>
  <c r="D8188" i="50" s="1"/>
  <c r="E8202" i="50"/>
  <c r="B8226" i="50"/>
  <c r="D8226" i="50" s="1"/>
  <c r="E8209" i="50"/>
  <c r="B8233" i="50"/>
  <c r="D8233" i="50" s="1"/>
  <c r="E8152" i="50"/>
  <c r="B8176" i="50"/>
  <c r="D8176" i="50" s="1"/>
  <c r="B8181" i="50"/>
  <c r="D8181" i="50" s="1"/>
  <c r="E8157" i="50"/>
  <c r="E8150" i="50"/>
  <c r="B8174" i="50"/>
  <c r="D8174" i="50" s="1"/>
  <c r="B8234" i="50"/>
  <c r="D8234" i="50" s="1"/>
  <c r="E8210" i="50"/>
  <c r="B8195" i="50"/>
  <c r="D8195" i="50" s="1"/>
  <c r="E8171" i="50"/>
  <c r="E8175" i="50"/>
  <c r="B8199" i="50"/>
  <c r="D8199" i="50" s="1"/>
  <c r="B8197" i="50"/>
  <c r="D8197" i="50" s="1"/>
  <c r="E8173" i="50"/>
  <c r="U8173" i="50" s="1"/>
  <c r="B8207" i="50"/>
  <c r="D8207" i="50" s="1"/>
  <c r="E8183" i="50"/>
  <c r="B8182" i="50"/>
  <c r="D8182" i="50" s="1"/>
  <c r="E8158" i="50"/>
  <c r="V8158" i="50" s="1"/>
  <c r="B8211" i="50"/>
  <c r="D8211" i="50" s="1"/>
  <c r="E8187" i="50"/>
  <c r="V8141" i="50" l="1"/>
  <c r="G8141" i="50"/>
  <c r="F8141" i="50"/>
  <c r="G8202" i="50"/>
  <c r="F8202" i="50"/>
  <c r="U8202" i="50"/>
  <c r="V8202" i="50"/>
  <c r="V8171" i="50"/>
  <c r="G8171" i="50"/>
  <c r="F8171" i="50"/>
  <c r="V8164" i="50"/>
  <c r="U8164" i="50"/>
  <c r="G8164" i="50"/>
  <c r="F8164" i="50"/>
  <c r="G8184" i="50"/>
  <c r="F8184" i="50"/>
  <c r="V8184" i="50"/>
  <c r="D8167" i="50"/>
  <c r="B8191" i="50"/>
  <c r="E8167" i="50"/>
  <c r="U8153" i="50"/>
  <c r="F8153" i="50"/>
  <c r="G8153" i="50"/>
  <c r="V8153" i="50"/>
  <c r="G8143" i="50"/>
  <c r="U8143" i="50"/>
  <c r="F8143" i="50"/>
  <c r="G8193" i="50"/>
  <c r="F8193" i="50"/>
  <c r="V8193" i="50"/>
  <c r="U8193" i="50"/>
  <c r="V8143" i="50"/>
  <c r="V8194" i="50"/>
  <c r="U8194" i="50"/>
  <c r="G8194" i="50"/>
  <c r="F8194" i="50"/>
  <c r="V8148" i="50"/>
  <c r="G8148" i="50"/>
  <c r="F8148" i="50"/>
  <c r="U8175" i="50"/>
  <c r="V8175" i="50"/>
  <c r="G8175" i="50"/>
  <c r="F8175" i="50"/>
  <c r="U8210" i="50"/>
  <c r="G8210" i="50"/>
  <c r="V8210" i="50"/>
  <c r="F8210" i="50"/>
  <c r="V8150" i="50"/>
  <c r="G8150" i="50"/>
  <c r="F8150" i="50"/>
  <c r="U8150" i="50"/>
  <c r="U8184" i="50"/>
  <c r="D8172" i="50"/>
  <c r="B8196" i="50"/>
  <c r="E8172" i="50"/>
  <c r="G8157" i="50"/>
  <c r="F8157" i="50"/>
  <c r="V8157" i="50"/>
  <c r="V8156" i="50"/>
  <c r="G8156" i="50"/>
  <c r="F8156" i="50"/>
  <c r="U8148" i="50"/>
  <c r="F8209" i="50"/>
  <c r="V8209" i="50"/>
  <c r="U8209" i="50"/>
  <c r="G8209" i="50"/>
  <c r="V8183" i="50"/>
  <c r="F8183" i="50"/>
  <c r="U8183" i="50"/>
  <c r="G8183" i="50"/>
  <c r="V8155" i="50"/>
  <c r="U8155" i="50"/>
  <c r="G8155" i="50"/>
  <c r="F8155" i="50"/>
  <c r="U8171" i="50"/>
  <c r="V8187" i="50"/>
  <c r="U8187" i="50"/>
  <c r="G8187" i="50"/>
  <c r="F8152" i="50"/>
  <c r="U8152" i="50"/>
  <c r="G8152" i="50"/>
  <c r="V8152" i="50"/>
  <c r="U8157" i="50"/>
  <c r="G8168" i="50"/>
  <c r="F8168" i="50"/>
  <c r="V8168" i="50"/>
  <c r="G8173" i="50"/>
  <c r="F8173" i="50"/>
  <c r="V8173" i="50"/>
  <c r="U8158" i="50"/>
  <c r="F8158" i="50"/>
  <c r="G8158" i="50"/>
  <c r="V8166" i="50"/>
  <c r="U8166" i="50"/>
  <c r="G8166" i="50"/>
  <c r="F8166" i="50"/>
  <c r="F8187" i="50"/>
  <c r="E8195" i="50"/>
  <c r="U8195" i="50" s="1"/>
  <c r="B8219" i="50"/>
  <c r="D8219" i="50" s="1"/>
  <c r="B8257" i="50"/>
  <c r="D8257" i="50" s="1"/>
  <c r="E8233" i="50"/>
  <c r="F8233" i="50" s="1"/>
  <c r="E8180" i="50"/>
  <c r="B8204" i="50"/>
  <c r="D8204" i="50" s="1"/>
  <c r="E8211" i="50"/>
  <c r="B8235" i="50"/>
  <c r="D8235" i="50" s="1"/>
  <c r="B8206" i="50"/>
  <c r="D8206" i="50" s="1"/>
  <c r="E8182" i="50"/>
  <c r="B8241" i="50"/>
  <c r="D8241" i="50" s="1"/>
  <c r="E8217" i="50"/>
  <c r="B8189" i="50"/>
  <c r="D8189" i="50" s="1"/>
  <c r="E8165" i="50"/>
  <c r="B8198" i="50"/>
  <c r="D8198" i="50" s="1"/>
  <c r="E8174" i="50"/>
  <c r="B8250" i="50"/>
  <c r="D8250" i="50" s="1"/>
  <c r="E8226" i="50"/>
  <c r="B8223" i="50"/>
  <c r="D8223" i="50" s="1"/>
  <c r="E8199" i="50"/>
  <c r="E8179" i="50"/>
  <c r="U8179" i="50" s="1"/>
  <c r="B8203" i="50"/>
  <c r="D8203" i="50" s="1"/>
  <c r="B8214" i="50"/>
  <c r="D8214" i="50" s="1"/>
  <c r="E8190" i="50"/>
  <c r="B8258" i="50"/>
  <c r="D8258" i="50" s="1"/>
  <c r="E8234" i="50"/>
  <c r="B8232" i="50"/>
  <c r="D8232" i="50" s="1"/>
  <c r="E8208" i="50"/>
  <c r="B8221" i="50"/>
  <c r="D8221" i="50" s="1"/>
  <c r="E8197" i="50"/>
  <c r="V8197" i="50" s="1"/>
  <c r="E8177" i="50"/>
  <c r="B8201" i="50"/>
  <c r="D8201" i="50" s="1"/>
  <c r="E8207" i="50"/>
  <c r="B8231" i="50"/>
  <c r="D8231" i="50" s="1"/>
  <c r="B8216" i="50"/>
  <c r="D8216" i="50" s="1"/>
  <c r="E8192" i="50"/>
  <c r="V8192" i="50" s="1"/>
  <c r="B8205" i="50"/>
  <c r="D8205" i="50" s="1"/>
  <c r="E8181" i="50"/>
  <c r="B8200" i="50"/>
  <c r="D8200" i="50" s="1"/>
  <c r="E8176" i="50"/>
  <c r="V8176" i="50" s="1"/>
  <c r="B8212" i="50"/>
  <c r="D8212" i="50" s="1"/>
  <c r="E8188" i="50"/>
  <c r="E8218" i="50"/>
  <c r="G8218" i="50" s="1"/>
  <c r="B8242" i="50"/>
  <c r="D8242" i="50" s="1"/>
  <c r="U8172" i="50" l="1"/>
  <c r="V8172" i="50"/>
  <c r="F8172" i="50"/>
  <c r="G8188" i="50"/>
  <c r="F8188" i="50"/>
  <c r="V8188" i="50"/>
  <c r="U8188" i="50"/>
  <c r="U8208" i="50"/>
  <c r="G8208" i="50"/>
  <c r="F8208" i="50"/>
  <c r="G8165" i="50"/>
  <c r="F8165" i="50"/>
  <c r="U8165" i="50"/>
  <c r="D8196" i="50"/>
  <c r="E8196" i="50"/>
  <c r="B8220" i="50"/>
  <c r="G8172" i="50"/>
  <c r="V8208" i="50"/>
  <c r="V8234" i="50"/>
  <c r="F8234" i="50"/>
  <c r="U8234" i="50"/>
  <c r="U8217" i="50"/>
  <c r="G8217" i="50"/>
  <c r="V8217" i="50"/>
  <c r="G8234" i="50"/>
  <c r="V8182" i="50"/>
  <c r="U8182" i="50"/>
  <c r="G8182" i="50"/>
  <c r="F8182" i="50"/>
  <c r="G8177" i="50"/>
  <c r="U8177" i="50"/>
  <c r="F8177" i="50"/>
  <c r="G8190" i="50"/>
  <c r="F8190" i="50"/>
  <c r="U8190" i="50"/>
  <c r="F8217" i="50"/>
  <c r="V8165" i="50"/>
  <c r="V8218" i="50"/>
  <c r="U8218" i="50"/>
  <c r="F8218" i="50"/>
  <c r="U8167" i="50"/>
  <c r="V8167" i="50"/>
  <c r="G8167" i="50"/>
  <c r="F8167" i="50"/>
  <c r="V8181" i="50"/>
  <c r="G8181" i="50"/>
  <c r="F8181" i="50"/>
  <c r="U8181" i="50"/>
  <c r="V8211" i="50"/>
  <c r="G8211" i="50"/>
  <c r="F8211" i="50"/>
  <c r="V8190" i="50"/>
  <c r="D8191" i="50"/>
  <c r="E8191" i="50"/>
  <c r="B8215" i="50"/>
  <c r="U8192" i="50"/>
  <c r="G8192" i="50"/>
  <c r="F8192" i="50"/>
  <c r="U8211" i="50"/>
  <c r="G8197" i="50"/>
  <c r="F8197" i="50"/>
  <c r="U8197" i="50"/>
  <c r="V8179" i="50"/>
  <c r="G8179" i="50"/>
  <c r="F8179" i="50"/>
  <c r="V8180" i="50"/>
  <c r="U8180" i="50"/>
  <c r="G8180" i="50"/>
  <c r="F8180" i="50"/>
  <c r="V8177" i="50"/>
  <c r="V8199" i="50"/>
  <c r="U8199" i="50"/>
  <c r="F8199" i="50"/>
  <c r="G8199" i="50"/>
  <c r="V8233" i="50"/>
  <c r="U8233" i="50"/>
  <c r="G8233" i="50"/>
  <c r="V8174" i="50"/>
  <c r="G8174" i="50"/>
  <c r="F8174" i="50"/>
  <c r="U8174" i="50"/>
  <c r="V8207" i="50"/>
  <c r="G8207" i="50"/>
  <c r="F8207" i="50"/>
  <c r="U8207" i="50"/>
  <c r="G8195" i="50"/>
  <c r="V8195" i="50"/>
  <c r="F8195" i="50"/>
  <c r="U8176" i="50"/>
  <c r="G8176" i="50"/>
  <c r="F8176" i="50"/>
  <c r="U8226" i="50"/>
  <c r="F8226" i="50"/>
  <c r="V8226" i="50"/>
  <c r="G8226" i="50"/>
  <c r="B8238" i="50"/>
  <c r="D8238" i="50" s="1"/>
  <c r="E8214" i="50"/>
  <c r="E8200" i="50"/>
  <c r="B8224" i="50"/>
  <c r="D8224" i="50" s="1"/>
  <c r="E8223" i="50"/>
  <c r="B8247" i="50"/>
  <c r="D8247" i="50" s="1"/>
  <c r="B8256" i="50"/>
  <c r="D8256" i="50" s="1"/>
  <c r="E8232" i="50"/>
  <c r="E8212" i="50"/>
  <c r="B8236" i="50"/>
  <c r="D8236" i="50" s="1"/>
  <c r="E8231" i="50"/>
  <c r="B8255" i="50"/>
  <c r="D8255" i="50" s="1"/>
  <c r="B8259" i="50"/>
  <c r="D8259" i="50" s="1"/>
  <c r="E8235" i="50"/>
  <c r="U8235" i="50" s="1"/>
  <c r="B8213" i="50"/>
  <c r="D8213" i="50" s="1"/>
  <c r="E8189" i="50"/>
  <c r="E8204" i="50"/>
  <c r="B8228" i="50"/>
  <c r="D8228" i="50" s="1"/>
  <c r="B8229" i="50"/>
  <c r="D8229" i="50" s="1"/>
  <c r="E8205" i="50"/>
  <c r="U8205" i="50" s="1"/>
  <c r="E8250" i="50"/>
  <c r="G8250" i="50" s="1"/>
  <c r="B8274" i="50"/>
  <c r="D8274" i="50" s="1"/>
  <c r="B8282" i="50"/>
  <c r="D8282" i="50" s="1"/>
  <c r="E8258" i="50"/>
  <c r="V8258" i="50" s="1"/>
  <c r="E8216" i="50"/>
  <c r="B8240" i="50"/>
  <c r="D8240" i="50" s="1"/>
  <c r="B8266" i="50"/>
  <c r="D8266" i="50" s="1"/>
  <c r="E8242" i="50"/>
  <c r="B8227" i="50"/>
  <c r="D8227" i="50" s="1"/>
  <c r="E8203" i="50"/>
  <c r="U8203" i="50" s="1"/>
  <c r="B8265" i="50"/>
  <c r="D8265" i="50" s="1"/>
  <c r="E8241" i="50"/>
  <c r="E8257" i="50"/>
  <c r="B8281" i="50"/>
  <c r="D8281" i="50" s="1"/>
  <c r="B8225" i="50"/>
  <c r="D8225" i="50" s="1"/>
  <c r="E8201" i="50"/>
  <c r="F8201" i="50" s="1"/>
  <c r="B8230" i="50"/>
  <c r="D8230" i="50" s="1"/>
  <c r="E8206" i="50"/>
  <c r="B8245" i="50"/>
  <c r="D8245" i="50" s="1"/>
  <c r="E8221" i="50"/>
  <c r="B8222" i="50"/>
  <c r="D8222" i="50" s="1"/>
  <c r="E8198" i="50"/>
  <c r="B8243" i="50"/>
  <c r="D8243" i="50" s="1"/>
  <c r="E8219" i="50"/>
  <c r="F8219" i="50" s="1"/>
  <c r="U8204" i="50" l="1"/>
  <c r="F8204" i="50"/>
  <c r="V8204" i="50"/>
  <c r="V8200" i="50"/>
  <c r="G8200" i="50"/>
  <c r="F8200" i="50"/>
  <c r="U8200" i="50"/>
  <c r="D8220" i="50"/>
  <c r="B8244" i="50"/>
  <c r="E8220" i="50"/>
  <c r="F8189" i="50"/>
  <c r="U8189" i="50"/>
  <c r="V8189" i="50"/>
  <c r="G8189" i="50"/>
  <c r="F8241" i="50"/>
  <c r="U8241" i="50"/>
  <c r="V8241" i="50"/>
  <c r="G8241" i="50"/>
  <c r="D8215" i="50"/>
  <c r="B8239" i="50"/>
  <c r="E8215" i="50"/>
  <c r="V8235" i="50"/>
  <c r="G8235" i="50"/>
  <c r="F8235" i="50"/>
  <c r="U8214" i="50"/>
  <c r="G8214" i="50"/>
  <c r="F8214" i="50"/>
  <c r="V8214" i="50"/>
  <c r="G8191" i="50"/>
  <c r="F8191" i="50"/>
  <c r="V8191" i="50"/>
  <c r="U8191" i="50"/>
  <c r="V8196" i="50"/>
  <c r="U8196" i="50"/>
  <c r="G8196" i="50"/>
  <c r="F8196" i="50"/>
  <c r="G8242" i="50"/>
  <c r="U8242" i="50"/>
  <c r="V8242" i="50"/>
  <c r="F8242" i="50"/>
  <c r="V8198" i="50"/>
  <c r="U8198" i="50"/>
  <c r="G8198" i="50"/>
  <c r="F8198" i="50"/>
  <c r="V8216" i="50"/>
  <c r="G8216" i="50"/>
  <c r="U8216" i="50"/>
  <c r="F8216" i="50"/>
  <c r="U8231" i="50"/>
  <c r="F8231" i="50"/>
  <c r="G8231" i="50"/>
  <c r="V8231" i="50"/>
  <c r="G8257" i="50"/>
  <c r="F8257" i="50"/>
  <c r="V8257" i="50"/>
  <c r="U8257" i="50"/>
  <c r="F8221" i="50"/>
  <c r="G8221" i="50"/>
  <c r="U8221" i="50"/>
  <c r="V8221" i="50"/>
  <c r="G8258" i="50"/>
  <c r="F8258" i="50"/>
  <c r="U8258" i="50"/>
  <c r="V8212" i="50"/>
  <c r="U8212" i="50"/>
  <c r="G8212" i="50"/>
  <c r="F8212" i="50"/>
  <c r="V8206" i="50"/>
  <c r="F8206" i="50"/>
  <c r="U8206" i="50"/>
  <c r="G8206" i="50"/>
  <c r="V8232" i="50"/>
  <c r="G8232" i="50"/>
  <c r="F8232" i="50"/>
  <c r="U8223" i="50"/>
  <c r="F8223" i="50"/>
  <c r="G8223" i="50"/>
  <c r="V8223" i="50"/>
  <c r="V8219" i="50"/>
  <c r="U8219" i="50"/>
  <c r="G8219" i="50"/>
  <c r="V8250" i="50"/>
  <c r="U8250" i="50"/>
  <c r="F8250" i="50"/>
  <c r="G8203" i="50"/>
  <c r="F8203" i="50"/>
  <c r="V8203" i="50"/>
  <c r="V8201" i="50"/>
  <c r="U8201" i="50"/>
  <c r="G8201" i="50"/>
  <c r="V8205" i="50"/>
  <c r="G8205" i="50"/>
  <c r="F8205" i="50"/>
  <c r="G8204" i="50"/>
  <c r="U8232" i="50"/>
  <c r="E8256" i="50"/>
  <c r="B8280" i="50"/>
  <c r="D8280" i="50" s="1"/>
  <c r="B8269" i="50"/>
  <c r="D8269" i="50" s="1"/>
  <c r="E8245" i="50"/>
  <c r="B8237" i="50"/>
  <c r="D8237" i="50" s="1"/>
  <c r="E8213" i="50"/>
  <c r="B8271" i="50"/>
  <c r="D8271" i="50" s="1"/>
  <c r="E8247" i="50"/>
  <c r="E8281" i="50"/>
  <c r="B8305" i="50"/>
  <c r="D8305" i="50" s="1"/>
  <c r="B8279" i="50"/>
  <c r="D8279" i="50" s="1"/>
  <c r="E8255" i="50"/>
  <c r="B8283" i="50"/>
  <c r="D8283" i="50" s="1"/>
  <c r="E8259" i="50"/>
  <c r="G8259" i="50" s="1"/>
  <c r="B8248" i="50"/>
  <c r="D8248" i="50" s="1"/>
  <c r="E8224" i="50"/>
  <c r="V8224" i="50" s="1"/>
  <c r="E8238" i="50"/>
  <c r="B8262" i="50"/>
  <c r="D8262" i="50" s="1"/>
  <c r="B8246" i="50"/>
  <c r="D8246" i="50" s="1"/>
  <c r="E8222" i="50"/>
  <c r="B8267" i="50"/>
  <c r="D8267" i="50" s="1"/>
  <c r="E8243" i="50"/>
  <c r="U8243" i="50" s="1"/>
  <c r="E8225" i="50"/>
  <c r="B8249" i="50"/>
  <c r="D8249" i="50" s="1"/>
  <c r="B8253" i="50"/>
  <c r="D8253" i="50" s="1"/>
  <c r="E8229" i="50"/>
  <c r="V8229" i="50" s="1"/>
  <c r="E8236" i="50"/>
  <c r="G8236" i="50" s="1"/>
  <c r="B8260" i="50"/>
  <c r="D8260" i="50" s="1"/>
  <c r="B8264" i="50"/>
  <c r="D8264" i="50" s="1"/>
  <c r="E8240" i="50"/>
  <c r="V8240" i="50" s="1"/>
  <c r="B8298" i="50"/>
  <c r="D8298" i="50" s="1"/>
  <c r="E8274" i="50"/>
  <c r="V8274" i="50" s="1"/>
  <c r="B8254" i="50"/>
  <c r="D8254" i="50" s="1"/>
  <c r="E8230" i="50"/>
  <c r="E8227" i="50"/>
  <c r="B8251" i="50"/>
  <c r="D8251" i="50" s="1"/>
  <c r="B8252" i="50"/>
  <c r="D8252" i="50" s="1"/>
  <c r="E8228" i="50"/>
  <c r="E8282" i="50"/>
  <c r="B8306" i="50"/>
  <c r="D8306" i="50" s="1"/>
  <c r="E8265" i="50"/>
  <c r="B8289" i="50"/>
  <c r="D8289" i="50" s="1"/>
  <c r="E8266" i="50"/>
  <c r="B8290" i="50"/>
  <c r="D8290" i="50" s="1"/>
  <c r="G8222" i="50" l="1"/>
  <c r="F8222" i="50"/>
  <c r="U8222" i="50"/>
  <c r="F8213" i="50"/>
  <c r="U8213" i="50"/>
  <c r="V8213" i="50"/>
  <c r="G8213" i="50"/>
  <c r="V8227" i="50"/>
  <c r="U8227" i="50"/>
  <c r="F8227" i="50"/>
  <c r="G8227" i="50"/>
  <c r="V8245" i="50"/>
  <c r="U8245" i="50"/>
  <c r="F8245" i="50"/>
  <c r="G8245" i="50"/>
  <c r="F8220" i="50"/>
  <c r="V8220" i="50"/>
  <c r="G8220" i="50"/>
  <c r="U8220" i="50"/>
  <c r="U8274" i="50"/>
  <c r="G8274" i="50"/>
  <c r="F8274" i="50"/>
  <c r="D8244" i="50"/>
  <c r="B8268" i="50"/>
  <c r="E8244" i="50"/>
  <c r="G8238" i="50"/>
  <c r="F8238" i="50"/>
  <c r="U8238" i="50"/>
  <c r="V8238" i="50"/>
  <c r="U8256" i="50"/>
  <c r="G8256" i="50"/>
  <c r="V8256" i="50"/>
  <c r="F8256" i="50"/>
  <c r="U8240" i="50"/>
  <c r="G8240" i="50"/>
  <c r="F8240" i="50"/>
  <c r="U8224" i="50"/>
  <c r="G8224" i="50"/>
  <c r="F8224" i="50"/>
  <c r="V8230" i="50"/>
  <c r="U8230" i="50"/>
  <c r="G8230" i="50"/>
  <c r="F8230" i="50"/>
  <c r="V8266" i="50"/>
  <c r="G8266" i="50"/>
  <c r="U8266" i="50"/>
  <c r="F8266" i="50"/>
  <c r="V8222" i="50"/>
  <c r="U8281" i="50"/>
  <c r="F8281" i="50"/>
  <c r="V8281" i="50"/>
  <c r="G8281" i="50"/>
  <c r="V8243" i="50"/>
  <c r="G8243" i="50"/>
  <c r="F8243" i="50"/>
  <c r="V8259" i="50"/>
  <c r="U8259" i="50"/>
  <c r="F8259" i="50"/>
  <c r="V8215" i="50"/>
  <c r="F8215" i="50"/>
  <c r="U8215" i="50"/>
  <c r="G8215" i="50"/>
  <c r="V8265" i="50"/>
  <c r="F8265" i="50"/>
  <c r="U8265" i="50"/>
  <c r="G8265" i="50"/>
  <c r="U8236" i="50"/>
  <c r="F8236" i="50"/>
  <c r="V8236" i="50"/>
  <c r="D8239" i="50"/>
  <c r="B8263" i="50"/>
  <c r="E8239" i="50"/>
  <c r="V8225" i="50"/>
  <c r="U8225" i="50"/>
  <c r="G8225" i="50"/>
  <c r="F8225" i="50"/>
  <c r="V8247" i="50"/>
  <c r="F8247" i="50"/>
  <c r="U8247" i="50"/>
  <c r="G8247" i="50"/>
  <c r="G8229" i="50"/>
  <c r="F8229" i="50"/>
  <c r="U8229" i="50"/>
  <c r="V8255" i="50"/>
  <c r="U8255" i="50"/>
  <c r="G8255" i="50"/>
  <c r="F8255" i="50"/>
  <c r="U8282" i="50"/>
  <c r="V8282" i="50"/>
  <c r="F8282" i="50"/>
  <c r="G8282" i="50"/>
  <c r="V8228" i="50"/>
  <c r="U8228" i="50"/>
  <c r="G8228" i="50"/>
  <c r="F8228" i="50"/>
  <c r="B8277" i="50"/>
  <c r="D8277" i="50" s="1"/>
  <c r="E8253" i="50"/>
  <c r="B8293" i="50"/>
  <c r="D8293" i="50" s="1"/>
  <c r="E8269" i="50"/>
  <c r="B8330" i="50"/>
  <c r="D8330" i="50" s="1"/>
  <c r="E8306" i="50"/>
  <c r="B8291" i="50"/>
  <c r="D8291" i="50" s="1"/>
  <c r="E8267" i="50"/>
  <c r="B8270" i="50"/>
  <c r="D8270" i="50" s="1"/>
  <c r="E8246" i="50"/>
  <c r="B8304" i="50"/>
  <c r="D8304" i="50" s="1"/>
  <c r="E8280" i="50"/>
  <c r="B8286" i="50"/>
  <c r="D8286" i="50" s="1"/>
  <c r="E8262" i="50"/>
  <c r="E8305" i="50"/>
  <c r="B8329" i="50"/>
  <c r="D8329" i="50" s="1"/>
  <c r="B8284" i="50"/>
  <c r="D8284" i="50" s="1"/>
  <c r="E8260" i="50"/>
  <c r="E8254" i="50"/>
  <c r="V8254" i="50" s="1"/>
  <c r="B8278" i="50"/>
  <c r="D8278" i="50" s="1"/>
  <c r="B8273" i="50"/>
  <c r="D8273" i="50" s="1"/>
  <c r="E8249" i="50"/>
  <c r="F8249" i="50" s="1"/>
  <c r="E8298" i="50"/>
  <c r="B8322" i="50"/>
  <c r="D8322" i="50" s="1"/>
  <c r="B8272" i="50"/>
  <c r="D8272" i="50" s="1"/>
  <c r="E8248" i="50"/>
  <c r="B8295" i="50"/>
  <c r="D8295" i="50" s="1"/>
  <c r="E8271" i="50"/>
  <c r="B8276" i="50"/>
  <c r="D8276" i="50" s="1"/>
  <c r="E8252" i="50"/>
  <c r="B8275" i="50"/>
  <c r="D8275" i="50" s="1"/>
  <c r="E8251" i="50"/>
  <c r="B8261" i="50"/>
  <c r="D8261" i="50" s="1"/>
  <c r="E8237" i="50"/>
  <c r="B8314" i="50"/>
  <c r="D8314" i="50" s="1"/>
  <c r="E8290" i="50"/>
  <c r="B8307" i="50"/>
  <c r="D8307" i="50" s="1"/>
  <c r="E8283" i="50"/>
  <c r="U8283" i="50" s="1"/>
  <c r="E8289" i="50"/>
  <c r="F8289" i="50" s="1"/>
  <c r="B8313" i="50"/>
  <c r="D8313" i="50" s="1"/>
  <c r="B8303" i="50"/>
  <c r="D8303" i="50" s="1"/>
  <c r="E8279" i="50"/>
  <c r="B8288" i="50"/>
  <c r="D8288" i="50" s="1"/>
  <c r="E8264" i="50"/>
  <c r="G8254" i="50" l="1"/>
  <c r="F8254" i="50"/>
  <c r="U8254" i="50"/>
  <c r="D8263" i="50"/>
  <c r="B8287" i="50"/>
  <c r="E8263" i="50"/>
  <c r="V8237" i="50"/>
  <c r="G8237" i="50"/>
  <c r="F8237" i="50"/>
  <c r="V8260" i="50"/>
  <c r="U8260" i="50"/>
  <c r="G8260" i="50"/>
  <c r="F8260" i="50"/>
  <c r="V8269" i="50"/>
  <c r="G8269" i="50"/>
  <c r="F8269" i="50"/>
  <c r="V8244" i="50"/>
  <c r="U8244" i="50"/>
  <c r="G8244" i="50"/>
  <c r="F8244" i="50"/>
  <c r="U8239" i="50"/>
  <c r="V8239" i="50"/>
  <c r="G8239" i="50"/>
  <c r="F8239" i="50"/>
  <c r="D8268" i="50"/>
  <c r="E8268" i="50"/>
  <c r="B8292" i="50"/>
  <c r="V8253" i="50"/>
  <c r="G8253" i="50"/>
  <c r="F8253" i="50"/>
  <c r="G8305" i="50"/>
  <c r="F8305" i="50"/>
  <c r="V8305" i="50"/>
  <c r="U8305" i="50"/>
  <c r="U8237" i="50"/>
  <c r="V8271" i="50"/>
  <c r="F8271" i="50"/>
  <c r="G8271" i="50"/>
  <c r="U8262" i="50"/>
  <c r="G8262" i="50"/>
  <c r="F8262" i="50"/>
  <c r="V8262" i="50"/>
  <c r="V8279" i="50"/>
  <c r="G8279" i="50"/>
  <c r="F8279" i="50"/>
  <c r="U8279" i="50"/>
  <c r="V8248" i="50"/>
  <c r="G8248" i="50"/>
  <c r="F8248" i="50"/>
  <c r="U8251" i="50"/>
  <c r="G8251" i="50"/>
  <c r="V8251" i="50"/>
  <c r="V8280" i="50"/>
  <c r="U8280" i="50"/>
  <c r="G8280" i="50"/>
  <c r="F8280" i="50"/>
  <c r="U8306" i="50"/>
  <c r="G8306" i="50"/>
  <c r="V8306" i="50"/>
  <c r="F8306" i="50"/>
  <c r="U8264" i="50"/>
  <c r="G8264" i="50"/>
  <c r="V8264" i="50"/>
  <c r="F8264" i="50"/>
  <c r="U8289" i="50"/>
  <c r="G8289" i="50"/>
  <c r="V8289" i="50"/>
  <c r="U8298" i="50"/>
  <c r="F8298" i="50"/>
  <c r="V8298" i="50"/>
  <c r="G8298" i="50"/>
  <c r="U8253" i="50"/>
  <c r="U8248" i="50"/>
  <c r="U8249" i="50"/>
  <c r="G8249" i="50"/>
  <c r="V8249" i="50"/>
  <c r="V8246" i="50"/>
  <c r="U8246" i="50"/>
  <c r="G8246" i="50"/>
  <c r="F8246" i="50"/>
  <c r="U8269" i="50"/>
  <c r="U8252" i="50"/>
  <c r="G8252" i="50"/>
  <c r="F8252" i="50"/>
  <c r="V8252" i="50"/>
  <c r="V8283" i="50"/>
  <c r="G8283" i="50"/>
  <c r="F8283" i="50"/>
  <c r="U8271" i="50"/>
  <c r="F8290" i="50"/>
  <c r="U8290" i="50"/>
  <c r="G8290" i="50"/>
  <c r="V8290" i="50"/>
  <c r="U8267" i="50"/>
  <c r="V8267" i="50"/>
  <c r="G8267" i="50"/>
  <c r="F8267" i="50"/>
  <c r="F8251" i="50"/>
  <c r="B8346" i="50"/>
  <c r="D8346" i="50" s="1"/>
  <c r="E8322" i="50"/>
  <c r="E8286" i="50"/>
  <c r="B8310" i="50"/>
  <c r="D8310" i="50" s="1"/>
  <c r="E8272" i="50"/>
  <c r="B8296" i="50"/>
  <c r="D8296" i="50" s="1"/>
  <c r="B8300" i="50"/>
  <c r="D8300" i="50" s="1"/>
  <c r="E8276" i="50"/>
  <c r="E8270" i="50"/>
  <c r="B8294" i="50"/>
  <c r="D8294" i="50" s="1"/>
  <c r="B8327" i="50"/>
  <c r="D8327" i="50" s="1"/>
  <c r="E8303" i="50"/>
  <c r="E8261" i="50"/>
  <c r="B8285" i="50"/>
  <c r="D8285" i="50" s="1"/>
  <c r="E8313" i="50"/>
  <c r="B8337" i="50"/>
  <c r="D8337" i="50" s="1"/>
  <c r="B8315" i="50"/>
  <c r="D8315" i="50" s="1"/>
  <c r="E8291" i="50"/>
  <c r="G8291" i="50" s="1"/>
  <c r="E8330" i="50"/>
  <c r="B8354" i="50"/>
  <c r="D8354" i="50" s="1"/>
  <c r="E8284" i="50"/>
  <c r="G8284" i="50" s="1"/>
  <c r="B8308" i="50"/>
  <c r="D8308" i="50" s="1"/>
  <c r="B8312" i="50"/>
  <c r="D8312" i="50" s="1"/>
  <c r="E8288" i="50"/>
  <c r="E8273" i="50"/>
  <c r="F8273" i="50" s="1"/>
  <c r="B8297" i="50"/>
  <c r="D8297" i="50" s="1"/>
  <c r="B8328" i="50"/>
  <c r="D8328" i="50" s="1"/>
  <c r="E8304" i="50"/>
  <c r="B8302" i="50"/>
  <c r="D8302" i="50" s="1"/>
  <c r="E8278" i="50"/>
  <c r="E8277" i="50"/>
  <c r="B8301" i="50"/>
  <c r="D8301" i="50" s="1"/>
  <c r="B8331" i="50"/>
  <c r="D8331" i="50" s="1"/>
  <c r="E8307" i="50"/>
  <c r="G8307" i="50" s="1"/>
  <c r="B8299" i="50"/>
  <c r="D8299" i="50" s="1"/>
  <c r="E8275" i="50"/>
  <c r="G8275" i="50" s="1"/>
  <c r="E8293" i="50"/>
  <c r="U8293" i="50" s="1"/>
  <c r="B8317" i="50"/>
  <c r="D8317" i="50" s="1"/>
  <c r="E8314" i="50"/>
  <c r="B8338" i="50"/>
  <c r="D8338" i="50" s="1"/>
  <c r="E8329" i="50"/>
  <c r="B8353" i="50"/>
  <c r="D8353" i="50" s="1"/>
  <c r="E8295" i="50"/>
  <c r="B8319" i="50"/>
  <c r="D8319" i="50" s="1"/>
  <c r="D8292" i="50" l="1"/>
  <c r="B8316" i="50"/>
  <c r="E8292" i="50"/>
  <c r="U8277" i="50"/>
  <c r="F8277" i="50"/>
  <c r="G8277" i="50"/>
  <c r="V8286" i="50"/>
  <c r="U8286" i="50"/>
  <c r="G8286" i="50"/>
  <c r="F8286" i="50"/>
  <c r="G8268" i="50"/>
  <c r="F8268" i="50"/>
  <c r="V8268" i="50"/>
  <c r="U8268" i="50"/>
  <c r="U8322" i="50"/>
  <c r="F8322" i="50"/>
  <c r="G8322" i="50"/>
  <c r="V8322" i="50"/>
  <c r="V8307" i="50"/>
  <c r="U8307" i="50"/>
  <c r="F8307" i="50"/>
  <c r="U8313" i="50"/>
  <c r="F8313" i="50"/>
  <c r="V8313" i="50"/>
  <c r="U8291" i="50"/>
  <c r="V8291" i="50"/>
  <c r="F8291" i="50"/>
  <c r="U8272" i="50"/>
  <c r="G8272" i="50"/>
  <c r="F8272" i="50"/>
  <c r="V8272" i="50"/>
  <c r="U8304" i="50"/>
  <c r="G8304" i="50"/>
  <c r="V8304" i="50"/>
  <c r="F8304" i="50"/>
  <c r="G8295" i="50"/>
  <c r="V8295" i="50"/>
  <c r="U8295" i="50"/>
  <c r="F8295" i="50"/>
  <c r="U8273" i="50"/>
  <c r="G8273" i="50"/>
  <c r="V8273" i="50"/>
  <c r="G8261" i="50"/>
  <c r="F8261" i="50"/>
  <c r="U8261" i="50"/>
  <c r="V8261" i="50"/>
  <c r="U8288" i="50"/>
  <c r="G8288" i="50"/>
  <c r="V8288" i="50"/>
  <c r="F8288" i="50"/>
  <c r="V8303" i="50"/>
  <c r="F8303" i="50"/>
  <c r="G8303" i="50"/>
  <c r="U8303" i="50"/>
  <c r="V8277" i="50"/>
  <c r="G8263" i="50"/>
  <c r="F8263" i="50"/>
  <c r="U8263" i="50"/>
  <c r="V8263" i="50"/>
  <c r="V8278" i="50"/>
  <c r="U8278" i="50"/>
  <c r="G8278" i="50"/>
  <c r="F8278" i="50"/>
  <c r="V8314" i="50"/>
  <c r="F8314" i="50"/>
  <c r="G8314" i="50"/>
  <c r="U8314" i="50"/>
  <c r="D8287" i="50"/>
  <c r="E8287" i="50"/>
  <c r="B8311" i="50"/>
  <c r="U8329" i="50"/>
  <c r="G8329" i="50"/>
  <c r="V8329" i="50"/>
  <c r="F8329" i="50"/>
  <c r="F8270" i="50"/>
  <c r="G8270" i="50"/>
  <c r="V8270" i="50"/>
  <c r="U8270" i="50"/>
  <c r="V8284" i="50"/>
  <c r="U8284" i="50"/>
  <c r="F8284" i="50"/>
  <c r="U8275" i="50"/>
  <c r="F8275" i="50"/>
  <c r="V8275" i="50"/>
  <c r="V8276" i="50"/>
  <c r="U8276" i="50"/>
  <c r="G8276" i="50"/>
  <c r="F8276" i="50"/>
  <c r="G8293" i="50"/>
  <c r="F8293" i="50"/>
  <c r="V8293" i="50"/>
  <c r="U8330" i="50"/>
  <c r="G8330" i="50"/>
  <c r="V8330" i="50"/>
  <c r="F8330" i="50"/>
  <c r="G8313" i="50"/>
  <c r="B8325" i="50"/>
  <c r="D8325" i="50" s="1"/>
  <c r="E8301" i="50"/>
  <c r="B8320" i="50"/>
  <c r="D8320" i="50" s="1"/>
  <c r="E8296" i="50"/>
  <c r="E8353" i="50"/>
  <c r="F8353" i="50" s="1"/>
  <c r="B8377" i="50"/>
  <c r="D8377" i="50" s="1"/>
  <c r="B8351" i="50"/>
  <c r="D8351" i="50" s="1"/>
  <c r="E8327" i="50"/>
  <c r="U8327" i="50" s="1"/>
  <c r="B8309" i="50"/>
  <c r="D8309" i="50" s="1"/>
  <c r="E8285" i="50"/>
  <c r="U8285" i="50" s="1"/>
  <c r="B8323" i="50"/>
  <c r="D8323" i="50" s="1"/>
  <c r="E8299" i="50"/>
  <c r="B8341" i="50"/>
  <c r="D8341" i="50" s="1"/>
  <c r="E8317" i="50"/>
  <c r="B8339" i="50"/>
  <c r="D8339" i="50" s="1"/>
  <c r="E8315" i="50"/>
  <c r="B8318" i="50"/>
  <c r="D8318" i="50" s="1"/>
  <c r="E8294" i="50"/>
  <c r="E8297" i="50"/>
  <c r="B8321" i="50"/>
  <c r="D8321" i="50" s="1"/>
  <c r="B8334" i="50"/>
  <c r="D8334" i="50" s="1"/>
  <c r="E8310" i="50"/>
  <c r="E8302" i="50"/>
  <c r="B8326" i="50"/>
  <c r="D8326" i="50" s="1"/>
  <c r="B8343" i="50"/>
  <c r="D8343" i="50" s="1"/>
  <c r="E8319" i="50"/>
  <c r="B8336" i="50"/>
  <c r="D8336" i="50" s="1"/>
  <c r="E8312" i="50"/>
  <c r="B8378" i="50"/>
  <c r="D8378" i="50" s="1"/>
  <c r="E8354" i="50"/>
  <c r="B8355" i="50"/>
  <c r="D8355" i="50" s="1"/>
  <c r="E8331" i="50"/>
  <c r="B8332" i="50"/>
  <c r="D8332" i="50" s="1"/>
  <c r="E8308" i="50"/>
  <c r="B8362" i="50"/>
  <c r="D8362" i="50" s="1"/>
  <c r="E8338" i="50"/>
  <c r="B8352" i="50"/>
  <c r="D8352" i="50" s="1"/>
  <c r="E8328" i="50"/>
  <c r="V8328" i="50" s="1"/>
  <c r="E8337" i="50"/>
  <c r="B8361" i="50"/>
  <c r="D8361" i="50" s="1"/>
  <c r="E8300" i="50"/>
  <c r="G8300" i="50" s="1"/>
  <c r="B8324" i="50"/>
  <c r="D8324" i="50" s="1"/>
  <c r="E8346" i="50"/>
  <c r="B8370" i="50"/>
  <c r="D8370" i="50" s="1"/>
  <c r="V8331" i="50" l="1"/>
  <c r="G8331" i="50"/>
  <c r="F8331" i="50"/>
  <c r="U8315" i="50"/>
  <c r="F8315" i="50"/>
  <c r="G8315" i="50"/>
  <c r="F8301" i="50"/>
  <c r="V8301" i="50"/>
  <c r="G8301" i="50"/>
  <c r="V8287" i="50"/>
  <c r="G8287" i="50"/>
  <c r="U8287" i="50"/>
  <c r="F8287" i="50"/>
  <c r="G8312" i="50"/>
  <c r="U8312" i="50"/>
  <c r="F8312" i="50"/>
  <c r="V8317" i="50"/>
  <c r="G8317" i="50"/>
  <c r="F8317" i="50"/>
  <c r="V8315" i="50"/>
  <c r="U8331" i="50"/>
  <c r="U8346" i="50"/>
  <c r="G8346" i="50"/>
  <c r="F8346" i="50"/>
  <c r="V8346" i="50"/>
  <c r="V8312" i="50"/>
  <c r="V8319" i="50"/>
  <c r="G8319" i="50"/>
  <c r="F8319" i="50"/>
  <c r="U8319" i="50"/>
  <c r="U8296" i="50"/>
  <c r="G8296" i="50"/>
  <c r="F8296" i="50"/>
  <c r="U8354" i="50"/>
  <c r="F8354" i="50"/>
  <c r="G8354" i="50"/>
  <c r="V8354" i="50"/>
  <c r="V8296" i="50"/>
  <c r="V8299" i="50"/>
  <c r="U8299" i="50"/>
  <c r="G8299" i="50"/>
  <c r="F8299" i="50"/>
  <c r="V8337" i="50"/>
  <c r="G8337" i="50"/>
  <c r="U8337" i="50"/>
  <c r="V8294" i="50"/>
  <c r="U8294" i="50"/>
  <c r="G8294" i="50"/>
  <c r="F8294" i="50"/>
  <c r="F8328" i="50"/>
  <c r="G8328" i="50"/>
  <c r="U8328" i="50"/>
  <c r="V8285" i="50"/>
  <c r="G8285" i="50"/>
  <c r="F8285" i="50"/>
  <c r="V8302" i="50"/>
  <c r="U8302" i="50"/>
  <c r="G8302" i="50"/>
  <c r="F8302" i="50"/>
  <c r="U8338" i="50"/>
  <c r="F8338" i="50"/>
  <c r="G8338" i="50"/>
  <c r="V8338" i="50"/>
  <c r="V8310" i="50"/>
  <c r="U8310" i="50"/>
  <c r="G8310" i="50"/>
  <c r="F8310" i="50"/>
  <c r="G8327" i="50"/>
  <c r="V8327" i="50"/>
  <c r="F8327" i="50"/>
  <c r="U8317" i="50"/>
  <c r="F8292" i="50"/>
  <c r="V8292" i="50"/>
  <c r="U8292" i="50"/>
  <c r="G8292" i="50"/>
  <c r="D8316" i="50"/>
  <c r="E8316" i="50"/>
  <c r="B8340" i="50"/>
  <c r="V8300" i="50"/>
  <c r="U8300" i="50"/>
  <c r="F8300" i="50"/>
  <c r="V8308" i="50"/>
  <c r="U8308" i="50"/>
  <c r="G8308" i="50"/>
  <c r="F8308" i="50"/>
  <c r="D8311" i="50"/>
  <c r="B8335" i="50"/>
  <c r="E8311" i="50"/>
  <c r="G8297" i="50"/>
  <c r="U8297" i="50"/>
  <c r="V8297" i="50"/>
  <c r="F8297" i="50"/>
  <c r="V8353" i="50"/>
  <c r="U8353" i="50"/>
  <c r="G8353" i="50"/>
  <c r="F8337" i="50"/>
  <c r="U8301" i="50"/>
  <c r="B8363" i="50"/>
  <c r="D8363" i="50" s="1"/>
  <c r="E8339" i="50"/>
  <c r="B8344" i="50"/>
  <c r="D8344" i="50" s="1"/>
  <c r="E8320" i="50"/>
  <c r="E8318" i="50"/>
  <c r="B8342" i="50"/>
  <c r="D8342" i="50" s="1"/>
  <c r="E8332" i="50"/>
  <c r="B8356" i="50"/>
  <c r="D8356" i="50" s="1"/>
  <c r="B8367" i="50"/>
  <c r="D8367" i="50" s="1"/>
  <c r="E8343" i="50"/>
  <c r="U8343" i="50" s="1"/>
  <c r="B8375" i="50"/>
  <c r="D8375" i="50" s="1"/>
  <c r="E8351" i="50"/>
  <c r="B8402" i="50"/>
  <c r="D8402" i="50" s="1"/>
  <c r="E8378" i="50"/>
  <c r="V8378" i="50" s="1"/>
  <c r="E8341" i="50"/>
  <c r="U8341" i="50" s="1"/>
  <c r="B8365" i="50"/>
  <c r="D8365" i="50" s="1"/>
  <c r="B8347" i="50"/>
  <c r="D8347" i="50" s="1"/>
  <c r="E8323" i="50"/>
  <c r="B8386" i="50"/>
  <c r="D8386" i="50" s="1"/>
  <c r="E8362" i="50"/>
  <c r="V8362" i="50" s="1"/>
  <c r="B8360" i="50"/>
  <c r="D8360" i="50" s="1"/>
  <c r="E8336" i="50"/>
  <c r="B8350" i="50"/>
  <c r="D8350" i="50" s="1"/>
  <c r="E8326" i="50"/>
  <c r="B8348" i="50"/>
  <c r="D8348" i="50" s="1"/>
  <c r="E8324" i="50"/>
  <c r="B8401" i="50"/>
  <c r="D8401" i="50" s="1"/>
  <c r="E8377" i="50"/>
  <c r="B8379" i="50"/>
  <c r="D8379" i="50" s="1"/>
  <c r="E8355" i="50"/>
  <c r="E8321" i="50"/>
  <c r="B8345" i="50"/>
  <c r="D8345" i="50" s="1"/>
  <c r="E8325" i="50"/>
  <c r="U8325" i="50" s="1"/>
  <c r="B8349" i="50"/>
  <c r="D8349" i="50" s="1"/>
  <c r="E8309" i="50"/>
  <c r="B8333" i="50"/>
  <c r="D8333" i="50" s="1"/>
  <c r="B8376" i="50"/>
  <c r="D8376" i="50" s="1"/>
  <c r="E8352" i="50"/>
  <c r="B8394" i="50"/>
  <c r="D8394" i="50" s="1"/>
  <c r="E8370" i="50"/>
  <c r="B8385" i="50"/>
  <c r="D8385" i="50" s="1"/>
  <c r="E8361" i="50"/>
  <c r="E8334" i="50"/>
  <c r="B8358" i="50"/>
  <c r="D8358" i="50" s="1"/>
  <c r="V8336" i="50" l="1"/>
  <c r="U8336" i="50"/>
  <c r="F8336" i="50"/>
  <c r="G8336" i="50"/>
  <c r="V8325" i="50"/>
  <c r="G8325" i="50"/>
  <c r="F8325" i="50"/>
  <c r="G8318" i="50"/>
  <c r="F8318" i="50"/>
  <c r="V8318" i="50"/>
  <c r="U8318" i="50"/>
  <c r="D8335" i="50"/>
  <c r="E8335" i="50"/>
  <c r="B8359" i="50"/>
  <c r="U8362" i="50"/>
  <c r="G8362" i="50"/>
  <c r="F8362" i="50"/>
  <c r="G8320" i="50"/>
  <c r="U8320" i="50"/>
  <c r="V8320" i="50"/>
  <c r="F8320" i="50"/>
  <c r="U8309" i="50"/>
  <c r="V8309" i="50"/>
  <c r="G8309" i="50"/>
  <c r="F8309" i="50"/>
  <c r="V8321" i="50"/>
  <c r="U8321" i="50"/>
  <c r="G8321" i="50"/>
  <c r="F8321" i="50"/>
  <c r="U8323" i="50"/>
  <c r="F8323" i="50"/>
  <c r="V8323" i="50"/>
  <c r="G8323" i="50"/>
  <c r="F8339" i="50"/>
  <c r="V8339" i="50"/>
  <c r="G8339" i="50"/>
  <c r="U8339" i="50"/>
  <c r="F8355" i="50"/>
  <c r="G8355" i="50"/>
  <c r="V8355" i="50"/>
  <c r="U8355" i="50"/>
  <c r="V8332" i="50"/>
  <c r="U8332" i="50"/>
  <c r="F8332" i="50"/>
  <c r="V8334" i="50"/>
  <c r="U8334" i="50"/>
  <c r="G8334" i="50"/>
  <c r="F8334" i="50"/>
  <c r="V8341" i="50"/>
  <c r="G8341" i="50"/>
  <c r="F8341" i="50"/>
  <c r="V8361" i="50"/>
  <c r="F8361" i="50"/>
  <c r="G8361" i="50"/>
  <c r="U8361" i="50"/>
  <c r="G8377" i="50"/>
  <c r="U8377" i="50"/>
  <c r="V8377" i="50"/>
  <c r="F8377" i="50"/>
  <c r="U8378" i="50"/>
  <c r="F8378" i="50"/>
  <c r="G8378" i="50"/>
  <c r="G8332" i="50"/>
  <c r="G8370" i="50"/>
  <c r="V8370" i="50"/>
  <c r="U8370" i="50"/>
  <c r="F8370" i="50"/>
  <c r="V8324" i="50"/>
  <c r="U8324" i="50"/>
  <c r="F8324" i="50"/>
  <c r="G8324" i="50"/>
  <c r="V8351" i="50"/>
  <c r="G8351" i="50"/>
  <c r="F8351" i="50"/>
  <c r="U8351" i="50"/>
  <c r="D8340" i="50"/>
  <c r="B8364" i="50"/>
  <c r="E8340" i="50"/>
  <c r="G8352" i="50"/>
  <c r="F8352" i="50"/>
  <c r="V8352" i="50"/>
  <c r="U8352" i="50"/>
  <c r="V8326" i="50"/>
  <c r="U8326" i="50"/>
  <c r="G8326" i="50"/>
  <c r="F8326" i="50"/>
  <c r="V8343" i="50"/>
  <c r="G8343" i="50"/>
  <c r="F8343" i="50"/>
  <c r="V8316" i="50"/>
  <c r="U8316" i="50"/>
  <c r="F8316" i="50"/>
  <c r="G8311" i="50"/>
  <c r="U8311" i="50"/>
  <c r="F8311" i="50"/>
  <c r="V8311" i="50"/>
  <c r="G8316" i="50"/>
  <c r="E8345" i="50"/>
  <c r="B8369" i="50"/>
  <c r="D8369" i="50" s="1"/>
  <c r="B8391" i="50"/>
  <c r="D8391" i="50" s="1"/>
  <c r="E8367" i="50"/>
  <c r="E8402" i="50"/>
  <c r="B8426" i="50"/>
  <c r="D8426" i="50" s="1"/>
  <c r="B8400" i="50"/>
  <c r="D8400" i="50" s="1"/>
  <c r="E8376" i="50"/>
  <c r="V8376" i="50" s="1"/>
  <c r="E8360" i="50"/>
  <c r="B8384" i="50"/>
  <c r="D8384" i="50" s="1"/>
  <c r="B8368" i="50"/>
  <c r="D8368" i="50" s="1"/>
  <c r="E8344" i="50"/>
  <c r="V8344" i="50" s="1"/>
  <c r="B8387" i="50"/>
  <c r="D8387" i="50" s="1"/>
  <c r="E8363" i="50"/>
  <c r="B8410" i="50"/>
  <c r="D8410" i="50" s="1"/>
  <c r="E8386" i="50"/>
  <c r="B8380" i="50"/>
  <c r="D8380" i="50" s="1"/>
  <c r="E8356" i="50"/>
  <c r="E8365" i="50"/>
  <c r="B8389" i="50"/>
  <c r="D8389" i="50" s="1"/>
  <c r="B8425" i="50"/>
  <c r="D8425" i="50" s="1"/>
  <c r="E8401" i="50"/>
  <c r="U8401" i="50" s="1"/>
  <c r="E8379" i="50"/>
  <c r="B8403" i="50"/>
  <c r="D8403" i="50" s="1"/>
  <c r="B8371" i="50"/>
  <c r="D8371" i="50" s="1"/>
  <c r="E8347" i="50"/>
  <c r="B8366" i="50"/>
  <c r="D8366" i="50" s="1"/>
  <c r="E8342" i="50"/>
  <c r="E8394" i="50"/>
  <c r="B8418" i="50"/>
  <c r="D8418" i="50" s="1"/>
  <c r="B8357" i="50"/>
  <c r="D8357" i="50" s="1"/>
  <c r="E8333" i="50"/>
  <c r="U8333" i="50" s="1"/>
  <c r="E8348" i="50"/>
  <c r="B8372" i="50"/>
  <c r="D8372" i="50" s="1"/>
  <c r="B8399" i="50"/>
  <c r="D8399" i="50" s="1"/>
  <c r="E8375" i="50"/>
  <c r="B8382" i="50"/>
  <c r="D8382" i="50" s="1"/>
  <c r="E8358" i="50"/>
  <c r="B8409" i="50"/>
  <c r="D8409" i="50" s="1"/>
  <c r="E8385" i="50"/>
  <c r="B8373" i="50"/>
  <c r="D8373" i="50" s="1"/>
  <c r="E8349" i="50"/>
  <c r="U8349" i="50" s="1"/>
  <c r="E8350" i="50"/>
  <c r="B8374" i="50"/>
  <c r="D8374" i="50" s="1"/>
  <c r="V8375" i="50" l="1"/>
  <c r="G8375" i="50"/>
  <c r="F8375" i="50"/>
  <c r="V8365" i="50"/>
  <c r="G8365" i="50"/>
  <c r="F8365" i="50"/>
  <c r="D8359" i="50"/>
  <c r="B8383" i="50"/>
  <c r="E8359" i="50"/>
  <c r="V8356" i="50"/>
  <c r="U8356" i="50"/>
  <c r="G8356" i="50"/>
  <c r="F8356" i="50"/>
  <c r="V8335" i="50"/>
  <c r="F8335" i="50"/>
  <c r="U8335" i="50"/>
  <c r="G8335" i="50"/>
  <c r="V8348" i="50"/>
  <c r="U8348" i="50"/>
  <c r="F8348" i="50"/>
  <c r="U8345" i="50"/>
  <c r="G8345" i="50"/>
  <c r="V8345" i="50"/>
  <c r="F8345" i="50"/>
  <c r="U8365" i="50"/>
  <c r="U8386" i="50"/>
  <c r="F8386" i="50"/>
  <c r="G8386" i="50"/>
  <c r="V8386" i="50"/>
  <c r="F8363" i="50"/>
  <c r="V8363" i="50"/>
  <c r="U8363" i="50"/>
  <c r="G8363" i="50"/>
  <c r="U8394" i="50"/>
  <c r="F8394" i="50"/>
  <c r="G8394" i="50"/>
  <c r="F8402" i="50"/>
  <c r="U8402" i="50"/>
  <c r="G8402" i="50"/>
  <c r="V8402" i="50"/>
  <c r="V8367" i="50"/>
  <c r="G8367" i="50"/>
  <c r="F8367" i="50"/>
  <c r="U8367" i="50"/>
  <c r="V8342" i="50"/>
  <c r="U8342" i="50"/>
  <c r="G8342" i="50"/>
  <c r="F8342" i="50"/>
  <c r="U8344" i="50"/>
  <c r="G8344" i="50"/>
  <c r="F8344" i="50"/>
  <c r="V8340" i="50"/>
  <c r="U8340" i="50"/>
  <c r="G8340" i="50"/>
  <c r="F8340" i="50"/>
  <c r="V8349" i="50"/>
  <c r="G8349" i="50"/>
  <c r="F8349" i="50"/>
  <c r="D8364" i="50"/>
  <c r="E8364" i="50"/>
  <c r="B8388" i="50"/>
  <c r="V8347" i="50"/>
  <c r="U8347" i="50"/>
  <c r="G8347" i="50"/>
  <c r="F8347" i="50"/>
  <c r="V8350" i="50"/>
  <c r="U8350" i="50"/>
  <c r="G8350" i="50"/>
  <c r="F8350" i="50"/>
  <c r="G8360" i="50"/>
  <c r="F8360" i="50"/>
  <c r="U8360" i="50"/>
  <c r="U8375" i="50"/>
  <c r="U8385" i="50"/>
  <c r="G8385" i="50"/>
  <c r="V8385" i="50"/>
  <c r="F8385" i="50"/>
  <c r="U8376" i="50"/>
  <c r="G8376" i="50"/>
  <c r="F8376" i="50"/>
  <c r="G8348" i="50"/>
  <c r="V8360" i="50"/>
  <c r="F8379" i="50"/>
  <c r="G8379" i="50"/>
  <c r="V8379" i="50"/>
  <c r="U8379" i="50"/>
  <c r="V8394" i="50"/>
  <c r="V8333" i="50"/>
  <c r="G8333" i="50"/>
  <c r="F8333" i="50"/>
  <c r="V8358" i="50"/>
  <c r="U8358" i="50"/>
  <c r="G8358" i="50"/>
  <c r="F8358" i="50"/>
  <c r="V8401" i="50"/>
  <c r="G8401" i="50"/>
  <c r="F8401" i="50"/>
  <c r="B8424" i="50"/>
  <c r="D8424" i="50" s="1"/>
  <c r="E8400" i="50"/>
  <c r="B8427" i="50"/>
  <c r="D8427" i="50" s="1"/>
  <c r="E8403" i="50"/>
  <c r="B8392" i="50"/>
  <c r="D8392" i="50" s="1"/>
  <c r="E8368" i="50"/>
  <c r="B8415" i="50"/>
  <c r="D8415" i="50" s="1"/>
  <c r="E8391" i="50"/>
  <c r="B8396" i="50"/>
  <c r="D8396" i="50" s="1"/>
  <c r="E8372" i="50"/>
  <c r="B8381" i="50"/>
  <c r="D8381" i="50" s="1"/>
  <c r="E8357" i="50"/>
  <c r="B8395" i="50"/>
  <c r="D8395" i="50" s="1"/>
  <c r="E8371" i="50"/>
  <c r="B8404" i="50"/>
  <c r="D8404" i="50" s="1"/>
  <c r="E8380" i="50"/>
  <c r="B8397" i="50"/>
  <c r="D8397" i="50" s="1"/>
  <c r="E8373" i="50"/>
  <c r="E8399" i="50"/>
  <c r="B8423" i="50"/>
  <c r="D8423" i="50" s="1"/>
  <c r="B8390" i="50"/>
  <c r="D8390" i="50" s="1"/>
  <c r="E8366" i="50"/>
  <c r="B8433" i="50"/>
  <c r="D8433" i="50" s="1"/>
  <c r="E8409" i="50"/>
  <c r="E8410" i="50"/>
  <c r="B8434" i="50"/>
  <c r="D8434" i="50" s="1"/>
  <c r="E8369" i="50"/>
  <c r="U8369" i="50" s="1"/>
  <c r="B8393" i="50"/>
  <c r="D8393" i="50" s="1"/>
  <c r="E8426" i="50"/>
  <c r="B8450" i="50"/>
  <c r="D8450" i="50" s="1"/>
  <c r="E8418" i="50"/>
  <c r="B8442" i="50"/>
  <c r="D8442" i="50" s="1"/>
  <c r="B8398" i="50"/>
  <c r="D8398" i="50" s="1"/>
  <c r="E8374" i="50"/>
  <c r="B8406" i="50"/>
  <c r="D8406" i="50" s="1"/>
  <c r="E8382" i="50"/>
  <c r="B8449" i="50"/>
  <c r="D8449" i="50" s="1"/>
  <c r="E8425" i="50"/>
  <c r="B8411" i="50"/>
  <c r="D8411" i="50" s="1"/>
  <c r="E8387" i="50"/>
  <c r="B8408" i="50"/>
  <c r="D8408" i="50" s="1"/>
  <c r="E8384" i="50"/>
  <c r="B8413" i="50"/>
  <c r="D8413" i="50" s="1"/>
  <c r="E8389" i="50"/>
  <c r="G8364" i="50" l="1"/>
  <c r="F8368" i="50"/>
  <c r="G8368" i="50"/>
  <c r="V8368" i="50"/>
  <c r="U8368" i="50"/>
  <c r="V8425" i="50"/>
  <c r="G8425" i="50"/>
  <c r="F8425" i="50"/>
  <c r="U8425" i="50"/>
  <c r="F8403" i="50"/>
  <c r="V8403" i="50"/>
  <c r="G8403" i="50"/>
  <c r="U8403" i="50"/>
  <c r="V8399" i="50"/>
  <c r="G8399" i="50"/>
  <c r="F8399" i="50"/>
  <c r="U8399" i="50"/>
  <c r="V8373" i="50"/>
  <c r="F8373" i="50"/>
  <c r="G8373" i="50"/>
  <c r="V8400" i="50"/>
  <c r="U8400" i="50"/>
  <c r="G8400" i="50"/>
  <c r="F8400" i="50"/>
  <c r="V8359" i="50"/>
  <c r="G8359" i="50"/>
  <c r="F8359" i="50"/>
  <c r="V8391" i="50"/>
  <c r="G8391" i="50"/>
  <c r="F8391" i="50"/>
  <c r="G8418" i="50"/>
  <c r="F8418" i="50"/>
  <c r="U8418" i="50"/>
  <c r="V8418" i="50"/>
  <c r="U8373" i="50"/>
  <c r="D8383" i="50"/>
  <c r="E8383" i="50"/>
  <c r="B8407" i="50"/>
  <c r="V8380" i="50"/>
  <c r="U8380" i="50"/>
  <c r="F8380" i="50"/>
  <c r="U8359" i="50"/>
  <c r="U8426" i="50"/>
  <c r="V8426" i="50"/>
  <c r="G8426" i="50"/>
  <c r="F8426" i="50"/>
  <c r="G8380" i="50"/>
  <c r="U8391" i="50"/>
  <c r="V8382" i="50"/>
  <c r="U8382" i="50"/>
  <c r="G8382" i="50"/>
  <c r="F8382" i="50"/>
  <c r="V8389" i="50"/>
  <c r="G8389" i="50"/>
  <c r="F8389" i="50"/>
  <c r="V8371" i="50"/>
  <c r="U8371" i="50"/>
  <c r="G8371" i="50"/>
  <c r="F8371" i="50"/>
  <c r="V8366" i="50"/>
  <c r="U8366" i="50"/>
  <c r="G8366" i="50"/>
  <c r="F8366" i="50"/>
  <c r="V8369" i="50"/>
  <c r="G8369" i="50"/>
  <c r="F8369" i="50"/>
  <c r="U8384" i="50"/>
  <c r="G8384" i="50"/>
  <c r="F8384" i="50"/>
  <c r="V8384" i="50"/>
  <c r="V8357" i="50"/>
  <c r="F8357" i="50"/>
  <c r="G8357" i="50"/>
  <c r="U8410" i="50"/>
  <c r="F8410" i="50"/>
  <c r="G8410" i="50"/>
  <c r="U8357" i="50"/>
  <c r="V8374" i="50"/>
  <c r="U8374" i="50"/>
  <c r="G8374" i="50"/>
  <c r="F8374" i="50"/>
  <c r="V8387" i="50"/>
  <c r="F8387" i="50"/>
  <c r="U8387" i="50"/>
  <c r="G8387" i="50"/>
  <c r="G8409" i="50"/>
  <c r="V8409" i="50"/>
  <c r="F8409" i="50"/>
  <c r="U8409" i="50"/>
  <c r="V8372" i="50"/>
  <c r="U8372" i="50"/>
  <c r="G8372" i="50"/>
  <c r="F8372" i="50"/>
  <c r="D8388" i="50"/>
  <c r="B8412" i="50"/>
  <c r="E8388" i="50"/>
  <c r="V8410" i="50"/>
  <c r="V8364" i="50"/>
  <c r="U8364" i="50"/>
  <c r="F8364" i="50"/>
  <c r="U8389" i="50"/>
  <c r="E8406" i="50"/>
  <c r="B8430" i="50"/>
  <c r="D8430" i="50" s="1"/>
  <c r="B8428" i="50"/>
  <c r="D8428" i="50" s="1"/>
  <c r="E8404" i="50"/>
  <c r="E8434" i="50"/>
  <c r="G8434" i="50" s="1"/>
  <c r="B8458" i="50"/>
  <c r="D8458" i="50" s="1"/>
  <c r="B8432" i="50"/>
  <c r="D8432" i="50" s="1"/>
  <c r="E8408" i="50"/>
  <c r="V8408" i="50" s="1"/>
  <c r="B8422" i="50"/>
  <c r="D8422" i="50" s="1"/>
  <c r="E8398" i="50"/>
  <c r="E8381" i="50"/>
  <c r="B8405" i="50"/>
  <c r="D8405" i="50" s="1"/>
  <c r="E8390" i="50"/>
  <c r="B8414" i="50"/>
  <c r="D8414" i="50" s="1"/>
  <c r="E8395" i="50"/>
  <c r="B8419" i="50"/>
  <c r="D8419" i="50" s="1"/>
  <c r="E8411" i="50"/>
  <c r="B8435" i="50"/>
  <c r="D8435" i="50" s="1"/>
  <c r="B8447" i="50"/>
  <c r="D8447" i="50" s="1"/>
  <c r="E8423" i="50"/>
  <c r="V8423" i="50" s="1"/>
  <c r="B8457" i="50"/>
  <c r="D8457" i="50" s="1"/>
  <c r="E8433" i="50"/>
  <c r="B8420" i="50"/>
  <c r="D8420" i="50" s="1"/>
  <c r="E8396" i="50"/>
  <c r="G8396" i="50" s="1"/>
  <c r="B8473" i="50"/>
  <c r="D8473" i="50" s="1"/>
  <c r="E8449" i="50"/>
  <c r="E8415" i="50"/>
  <c r="B8439" i="50"/>
  <c r="D8439" i="50" s="1"/>
  <c r="E8442" i="50"/>
  <c r="B8466" i="50"/>
  <c r="D8466" i="50" s="1"/>
  <c r="B8474" i="50"/>
  <c r="D8474" i="50" s="1"/>
  <c r="E8450" i="50"/>
  <c r="G8450" i="50" s="1"/>
  <c r="B8416" i="50"/>
  <c r="D8416" i="50" s="1"/>
  <c r="E8392" i="50"/>
  <c r="V8392" i="50" s="1"/>
  <c r="E8413" i="50"/>
  <c r="B8437" i="50"/>
  <c r="D8437" i="50" s="1"/>
  <c r="B8417" i="50"/>
  <c r="D8417" i="50" s="1"/>
  <c r="E8393" i="50"/>
  <c r="E8397" i="50"/>
  <c r="B8421" i="50"/>
  <c r="D8421" i="50" s="1"/>
  <c r="E8427" i="50"/>
  <c r="B8451" i="50"/>
  <c r="D8451" i="50" s="1"/>
  <c r="B8448" i="50"/>
  <c r="D8448" i="50" s="1"/>
  <c r="E8424" i="50"/>
  <c r="V8424" i="50" s="1"/>
  <c r="U8395" i="50" l="1"/>
  <c r="G8395" i="50"/>
  <c r="F8395" i="50"/>
  <c r="V8395" i="50"/>
  <c r="G8390" i="50"/>
  <c r="F8390" i="50"/>
  <c r="V8390" i="50"/>
  <c r="U8390" i="50"/>
  <c r="V8427" i="50"/>
  <c r="U8427" i="50"/>
  <c r="G8427" i="50"/>
  <c r="F8427" i="50"/>
  <c r="V8449" i="50"/>
  <c r="U8449" i="50"/>
  <c r="G8449" i="50"/>
  <c r="F8449" i="50"/>
  <c r="F8406" i="50"/>
  <c r="U8406" i="50"/>
  <c r="G8406" i="50"/>
  <c r="V8406" i="50"/>
  <c r="V8397" i="50"/>
  <c r="G8397" i="50"/>
  <c r="F8397" i="50"/>
  <c r="V8381" i="50"/>
  <c r="G8381" i="50"/>
  <c r="F8381" i="50"/>
  <c r="D8407" i="50"/>
  <c r="B8431" i="50"/>
  <c r="E8407" i="50"/>
  <c r="V8396" i="50"/>
  <c r="U8396" i="50"/>
  <c r="F8396" i="50"/>
  <c r="V8398" i="50"/>
  <c r="U8398" i="50"/>
  <c r="G8398" i="50"/>
  <c r="F8398" i="50"/>
  <c r="V8388" i="50"/>
  <c r="U8388" i="50"/>
  <c r="G8388" i="50"/>
  <c r="F8388" i="50"/>
  <c r="G8383" i="50"/>
  <c r="U8383" i="50"/>
  <c r="F8383" i="50"/>
  <c r="V8383" i="50"/>
  <c r="U8442" i="50"/>
  <c r="G8442" i="50"/>
  <c r="F8442" i="50"/>
  <c r="V8442" i="50"/>
  <c r="U8393" i="50"/>
  <c r="V8393" i="50"/>
  <c r="F8393" i="50"/>
  <c r="G8393" i="50"/>
  <c r="D8412" i="50"/>
  <c r="B8436" i="50"/>
  <c r="E8412" i="50"/>
  <c r="V8433" i="50"/>
  <c r="U8433" i="50"/>
  <c r="G8433" i="50"/>
  <c r="F8433" i="50"/>
  <c r="U8408" i="50"/>
  <c r="G8408" i="50"/>
  <c r="F8408" i="50"/>
  <c r="V8413" i="50"/>
  <c r="G8413" i="50"/>
  <c r="F8413" i="50"/>
  <c r="U8392" i="50"/>
  <c r="G8392" i="50"/>
  <c r="F8392" i="50"/>
  <c r="U8423" i="50"/>
  <c r="F8423" i="50"/>
  <c r="G8423" i="50"/>
  <c r="U8381" i="50"/>
  <c r="U8413" i="50"/>
  <c r="U8397" i="50"/>
  <c r="G8415" i="50"/>
  <c r="V8415" i="50"/>
  <c r="F8415" i="50"/>
  <c r="U8415" i="50"/>
  <c r="U8434" i="50"/>
  <c r="F8434" i="50"/>
  <c r="V8434" i="50"/>
  <c r="V8450" i="50"/>
  <c r="U8450" i="50"/>
  <c r="F8450" i="50"/>
  <c r="V8404" i="50"/>
  <c r="U8404" i="50"/>
  <c r="G8404" i="50"/>
  <c r="F8404" i="50"/>
  <c r="F8424" i="50"/>
  <c r="U8424" i="50"/>
  <c r="G8424" i="50"/>
  <c r="G8411" i="50"/>
  <c r="F8411" i="50"/>
  <c r="V8411" i="50"/>
  <c r="U8411" i="50"/>
  <c r="B8456" i="50"/>
  <c r="D8456" i="50" s="1"/>
  <c r="E8432" i="50"/>
  <c r="B8441" i="50"/>
  <c r="D8441" i="50" s="1"/>
  <c r="E8417" i="50"/>
  <c r="B8438" i="50"/>
  <c r="D8438" i="50" s="1"/>
  <c r="E8414" i="50"/>
  <c r="B8440" i="50"/>
  <c r="D8440" i="50" s="1"/>
  <c r="E8416" i="50"/>
  <c r="E8447" i="50"/>
  <c r="B8471" i="50"/>
  <c r="D8471" i="50" s="1"/>
  <c r="B8497" i="50"/>
  <c r="D8497" i="50" s="1"/>
  <c r="E8473" i="50"/>
  <c r="B8482" i="50"/>
  <c r="D8482" i="50" s="1"/>
  <c r="E8458" i="50"/>
  <c r="B8452" i="50"/>
  <c r="D8452" i="50" s="1"/>
  <c r="E8428" i="50"/>
  <c r="B8498" i="50"/>
  <c r="D8498" i="50" s="1"/>
  <c r="E8474" i="50"/>
  <c r="B8461" i="50"/>
  <c r="D8461" i="50" s="1"/>
  <c r="E8437" i="50"/>
  <c r="U8437" i="50" s="1"/>
  <c r="B8490" i="50"/>
  <c r="D8490" i="50" s="1"/>
  <c r="E8466" i="50"/>
  <c r="G8466" i="50" s="1"/>
  <c r="B8459" i="50"/>
  <c r="D8459" i="50" s="1"/>
  <c r="E8435" i="50"/>
  <c r="B8443" i="50"/>
  <c r="D8443" i="50" s="1"/>
  <c r="E8419" i="50"/>
  <c r="B8475" i="50"/>
  <c r="D8475" i="50" s="1"/>
  <c r="E8451" i="50"/>
  <c r="V8451" i="50" s="1"/>
  <c r="B8444" i="50"/>
  <c r="D8444" i="50" s="1"/>
  <c r="E8420" i="50"/>
  <c r="B8463" i="50"/>
  <c r="D8463" i="50" s="1"/>
  <c r="E8439" i="50"/>
  <c r="B8454" i="50"/>
  <c r="D8454" i="50" s="1"/>
  <c r="E8430" i="50"/>
  <c r="B8472" i="50"/>
  <c r="D8472" i="50" s="1"/>
  <c r="E8448" i="50"/>
  <c r="B8445" i="50"/>
  <c r="D8445" i="50" s="1"/>
  <c r="E8421" i="50"/>
  <c r="B8481" i="50"/>
  <c r="D8481" i="50" s="1"/>
  <c r="E8457" i="50"/>
  <c r="B8429" i="50"/>
  <c r="D8429" i="50" s="1"/>
  <c r="E8405" i="50"/>
  <c r="U8405" i="50" s="1"/>
  <c r="E8422" i="50"/>
  <c r="B8446" i="50"/>
  <c r="D8446" i="50" s="1"/>
  <c r="U8435" i="50" l="1"/>
  <c r="V8435" i="50"/>
  <c r="G8435" i="50"/>
  <c r="F8435" i="50"/>
  <c r="D8431" i="50"/>
  <c r="E8431" i="50"/>
  <c r="B8455" i="50"/>
  <c r="V8414" i="50"/>
  <c r="U8414" i="50"/>
  <c r="G8414" i="50"/>
  <c r="F8414" i="50"/>
  <c r="U8407" i="50"/>
  <c r="F8457" i="50"/>
  <c r="V8457" i="50"/>
  <c r="U8457" i="50"/>
  <c r="G8457" i="50"/>
  <c r="G8448" i="50"/>
  <c r="F8448" i="50"/>
  <c r="U8448" i="50"/>
  <c r="V8437" i="50"/>
  <c r="G8437" i="50"/>
  <c r="F8437" i="50"/>
  <c r="V8448" i="50"/>
  <c r="V8412" i="50"/>
  <c r="U8412" i="50"/>
  <c r="F8412" i="50"/>
  <c r="V8430" i="50"/>
  <c r="U8430" i="50"/>
  <c r="G8430" i="50"/>
  <c r="F8430" i="50"/>
  <c r="V8474" i="50"/>
  <c r="U8474" i="50"/>
  <c r="G8474" i="50"/>
  <c r="F8474" i="50"/>
  <c r="V8417" i="50"/>
  <c r="U8417" i="50"/>
  <c r="G8417" i="50"/>
  <c r="F8417" i="50"/>
  <c r="D8436" i="50"/>
  <c r="B8460" i="50"/>
  <c r="E8436" i="50"/>
  <c r="U8447" i="50"/>
  <c r="G8447" i="50"/>
  <c r="V8447" i="50"/>
  <c r="F8447" i="50"/>
  <c r="G8412" i="50"/>
  <c r="V8416" i="50"/>
  <c r="U8416" i="50"/>
  <c r="G8416" i="50"/>
  <c r="F8416" i="50"/>
  <c r="V8439" i="50"/>
  <c r="U8439" i="50"/>
  <c r="F8439" i="50"/>
  <c r="V8428" i="50"/>
  <c r="U8428" i="50"/>
  <c r="G8428" i="50"/>
  <c r="F8428" i="50"/>
  <c r="F8432" i="50"/>
  <c r="G8432" i="50"/>
  <c r="V8432" i="50"/>
  <c r="U8432" i="50"/>
  <c r="V8420" i="50"/>
  <c r="U8420" i="50"/>
  <c r="G8420" i="50"/>
  <c r="F8420" i="50"/>
  <c r="V8458" i="50"/>
  <c r="U8458" i="50"/>
  <c r="G8458" i="50"/>
  <c r="F8458" i="50"/>
  <c r="V8466" i="50"/>
  <c r="U8466" i="50"/>
  <c r="F8466" i="50"/>
  <c r="V8407" i="50"/>
  <c r="G8407" i="50"/>
  <c r="F8407" i="50"/>
  <c r="U8451" i="50"/>
  <c r="G8451" i="50"/>
  <c r="F8451" i="50"/>
  <c r="V8473" i="50"/>
  <c r="F8473" i="50"/>
  <c r="U8473" i="50"/>
  <c r="G8473" i="50"/>
  <c r="U8422" i="50"/>
  <c r="G8422" i="50"/>
  <c r="V8422" i="50"/>
  <c r="F8422" i="50"/>
  <c r="F8421" i="50"/>
  <c r="G8421" i="50"/>
  <c r="U8421" i="50"/>
  <c r="V8421" i="50"/>
  <c r="V8405" i="50"/>
  <c r="F8405" i="50"/>
  <c r="G8405" i="50"/>
  <c r="V8419" i="50"/>
  <c r="U8419" i="50"/>
  <c r="G8419" i="50"/>
  <c r="F8419" i="50"/>
  <c r="G8439" i="50"/>
  <c r="B8470" i="50"/>
  <c r="D8470" i="50" s="1"/>
  <c r="E8446" i="50"/>
  <c r="B8478" i="50"/>
  <c r="D8478" i="50" s="1"/>
  <c r="E8454" i="50"/>
  <c r="B8521" i="50"/>
  <c r="D8521" i="50" s="1"/>
  <c r="E8497" i="50"/>
  <c r="B8483" i="50"/>
  <c r="D8483" i="50" s="1"/>
  <c r="E8459" i="50"/>
  <c r="G8459" i="50" s="1"/>
  <c r="E8438" i="50"/>
  <c r="U8438" i="50" s="1"/>
  <c r="B8462" i="50"/>
  <c r="D8462" i="50" s="1"/>
  <c r="B8505" i="50"/>
  <c r="D8505" i="50" s="1"/>
  <c r="E8481" i="50"/>
  <c r="B8485" i="50"/>
  <c r="D8485" i="50" s="1"/>
  <c r="E8461" i="50"/>
  <c r="E8445" i="50"/>
  <c r="B8469" i="50"/>
  <c r="D8469" i="50" s="1"/>
  <c r="B8468" i="50"/>
  <c r="D8468" i="50" s="1"/>
  <c r="E8444" i="50"/>
  <c r="B8522" i="50"/>
  <c r="D8522" i="50" s="1"/>
  <c r="E8498" i="50"/>
  <c r="B8514" i="50"/>
  <c r="D8514" i="50" s="1"/>
  <c r="E8490" i="50"/>
  <c r="B8476" i="50"/>
  <c r="D8476" i="50" s="1"/>
  <c r="E8452" i="50"/>
  <c r="B8464" i="50"/>
  <c r="D8464" i="50" s="1"/>
  <c r="E8440" i="50"/>
  <c r="E8429" i="50"/>
  <c r="B8453" i="50"/>
  <c r="D8453" i="50" s="1"/>
  <c r="B8499" i="50"/>
  <c r="D8499" i="50" s="1"/>
  <c r="E8475" i="50"/>
  <c r="B8465" i="50"/>
  <c r="D8465" i="50" s="1"/>
  <c r="E8441" i="50"/>
  <c r="E8472" i="50"/>
  <c r="V8472" i="50" s="1"/>
  <c r="B8496" i="50"/>
  <c r="D8496" i="50" s="1"/>
  <c r="B8506" i="50"/>
  <c r="D8506" i="50" s="1"/>
  <c r="E8482" i="50"/>
  <c r="E8471" i="50"/>
  <c r="G8471" i="50" s="1"/>
  <c r="B8495" i="50"/>
  <c r="D8495" i="50" s="1"/>
  <c r="E8463" i="50"/>
  <c r="B8487" i="50"/>
  <c r="D8487" i="50" s="1"/>
  <c r="E8443" i="50"/>
  <c r="V8443" i="50" s="1"/>
  <c r="B8467" i="50"/>
  <c r="D8467" i="50" s="1"/>
  <c r="B8480" i="50"/>
  <c r="D8480" i="50" s="1"/>
  <c r="E8456" i="50"/>
  <c r="G8456" i="50" l="1"/>
  <c r="F8456" i="50"/>
  <c r="U8456" i="50"/>
  <c r="U8446" i="50"/>
  <c r="G8446" i="50"/>
  <c r="F8446" i="50"/>
  <c r="V8446" i="50"/>
  <c r="F8429" i="50"/>
  <c r="V8429" i="50"/>
  <c r="U8429" i="50"/>
  <c r="G8429" i="50"/>
  <c r="F8461" i="50"/>
  <c r="V8461" i="50"/>
  <c r="U8461" i="50"/>
  <c r="G8461" i="50"/>
  <c r="V8436" i="50"/>
  <c r="U8436" i="50"/>
  <c r="G8436" i="50"/>
  <c r="V8475" i="50"/>
  <c r="U8475" i="50"/>
  <c r="G8475" i="50"/>
  <c r="F8475" i="50"/>
  <c r="D8460" i="50"/>
  <c r="B8484" i="50"/>
  <c r="E8460" i="50"/>
  <c r="V8452" i="50"/>
  <c r="U8452" i="50"/>
  <c r="G8452" i="50"/>
  <c r="V8481" i="50"/>
  <c r="U8481" i="50"/>
  <c r="G8481" i="50"/>
  <c r="F8481" i="50"/>
  <c r="F8436" i="50"/>
  <c r="U8463" i="50"/>
  <c r="V8463" i="50"/>
  <c r="F8463" i="50"/>
  <c r="F8440" i="50"/>
  <c r="U8440" i="50"/>
  <c r="V8440" i="50"/>
  <c r="U8490" i="50"/>
  <c r="G8490" i="50"/>
  <c r="F8490" i="50"/>
  <c r="V8490" i="50"/>
  <c r="D8455" i="50"/>
  <c r="B8479" i="50"/>
  <c r="E8455" i="50"/>
  <c r="F8445" i="50"/>
  <c r="U8445" i="50"/>
  <c r="V8445" i="50"/>
  <c r="G8445" i="50"/>
  <c r="U8443" i="50"/>
  <c r="G8443" i="50"/>
  <c r="F8443" i="50"/>
  <c r="V8438" i="50"/>
  <c r="G8438" i="50"/>
  <c r="F8438" i="50"/>
  <c r="U8431" i="50"/>
  <c r="G8431" i="50"/>
  <c r="V8431" i="50"/>
  <c r="F8431" i="50"/>
  <c r="V8482" i="50"/>
  <c r="U8482" i="50"/>
  <c r="F8482" i="50"/>
  <c r="V8459" i="50"/>
  <c r="U8459" i="50"/>
  <c r="F8459" i="50"/>
  <c r="V8456" i="50"/>
  <c r="F8452" i="50"/>
  <c r="G8440" i="50"/>
  <c r="G8498" i="50"/>
  <c r="V8498" i="50"/>
  <c r="U8498" i="50"/>
  <c r="F8498" i="50"/>
  <c r="V8497" i="50"/>
  <c r="U8497" i="50"/>
  <c r="G8497" i="50"/>
  <c r="F8497" i="50"/>
  <c r="G8463" i="50"/>
  <c r="U8472" i="50"/>
  <c r="G8472" i="50"/>
  <c r="F8472" i="50"/>
  <c r="V8441" i="50"/>
  <c r="U8441" i="50"/>
  <c r="G8441" i="50"/>
  <c r="V8444" i="50"/>
  <c r="U8444" i="50"/>
  <c r="G8444" i="50"/>
  <c r="F8444" i="50"/>
  <c r="V8454" i="50"/>
  <c r="G8454" i="50"/>
  <c r="F8454" i="50"/>
  <c r="G8482" i="50"/>
  <c r="F8441" i="50"/>
  <c r="V8471" i="50"/>
  <c r="U8471" i="50"/>
  <c r="F8471" i="50"/>
  <c r="U8454" i="50"/>
  <c r="B8492" i="50"/>
  <c r="D8492" i="50" s="1"/>
  <c r="E8468" i="50"/>
  <c r="E8478" i="50"/>
  <c r="B8502" i="50"/>
  <c r="D8502" i="50" s="1"/>
  <c r="B8486" i="50"/>
  <c r="D8486" i="50" s="1"/>
  <c r="E8462" i="50"/>
  <c r="B8489" i="50"/>
  <c r="D8489" i="50" s="1"/>
  <c r="E8465" i="50"/>
  <c r="B8488" i="50"/>
  <c r="D8488" i="50" s="1"/>
  <c r="E8464" i="50"/>
  <c r="V8464" i="50" s="1"/>
  <c r="E8483" i="50"/>
  <c r="B8507" i="50"/>
  <c r="D8507" i="50" s="1"/>
  <c r="B8523" i="50"/>
  <c r="D8523" i="50" s="1"/>
  <c r="E8499" i="50"/>
  <c r="B8500" i="50"/>
  <c r="D8500" i="50" s="1"/>
  <c r="E8476" i="50"/>
  <c r="B8519" i="50"/>
  <c r="D8519" i="50" s="1"/>
  <c r="E8495" i="50"/>
  <c r="B8546" i="50"/>
  <c r="D8546" i="50" s="1"/>
  <c r="E8522" i="50"/>
  <c r="E8485" i="50"/>
  <c r="F8485" i="50" s="1"/>
  <c r="B8509" i="50"/>
  <c r="D8509" i="50" s="1"/>
  <c r="B8491" i="50"/>
  <c r="D8491" i="50" s="1"/>
  <c r="E8467" i="50"/>
  <c r="V8467" i="50" s="1"/>
  <c r="B8538" i="50"/>
  <c r="D8538" i="50" s="1"/>
  <c r="E8514" i="50"/>
  <c r="B8529" i="50"/>
  <c r="D8529" i="50" s="1"/>
  <c r="E8505" i="50"/>
  <c r="E8470" i="50"/>
  <c r="B8494" i="50"/>
  <c r="D8494" i="50" s="1"/>
  <c r="E8496" i="50"/>
  <c r="B8520" i="50"/>
  <c r="D8520" i="50" s="1"/>
  <c r="E8453" i="50"/>
  <c r="B8477" i="50"/>
  <c r="D8477" i="50" s="1"/>
  <c r="E8521" i="50"/>
  <c r="B8545" i="50"/>
  <c r="D8545" i="50" s="1"/>
  <c r="E8480" i="50"/>
  <c r="B8504" i="50"/>
  <c r="D8504" i="50" s="1"/>
  <c r="E8487" i="50"/>
  <c r="B8511" i="50"/>
  <c r="D8511" i="50" s="1"/>
  <c r="B8530" i="50"/>
  <c r="D8530" i="50" s="1"/>
  <c r="E8506" i="50"/>
  <c r="E8469" i="50"/>
  <c r="U8469" i="50" s="1"/>
  <c r="B8493" i="50"/>
  <c r="D8493" i="50" s="1"/>
  <c r="G8455" i="50" l="1"/>
  <c r="V8476" i="50"/>
  <c r="U8476" i="50"/>
  <c r="G8476" i="50"/>
  <c r="F8476" i="50"/>
  <c r="U8495" i="50"/>
  <c r="V8495" i="50"/>
  <c r="F8495" i="50"/>
  <c r="G8495" i="50"/>
  <c r="U8478" i="50"/>
  <c r="F8478" i="50"/>
  <c r="G8478" i="50"/>
  <c r="D8479" i="50"/>
  <c r="B8503" i="50"/>
  <c r="E8479" i="50"/>
  <c r="G8468" i="50"/>
  <c r="U8468" i="50"/>
  <c r="V8468" i="50"/>
  <c r="V8460" i="50"/>
  <c r="U8460" i="50"/>
  <c r="G8460" i="50"/>
  <c r="F8460" i="50"/>
  <c r="F8505" i="50"/>
  <c r="G8505" i="50"/>
  <c r="U8505" i="50"/>
  <c r="V8505" i="50"/>
  <c r="D8484" i="50"/>
  <c r="B8508" i="50"/>
  <c r="E8484" i="50"/>
  <c r="G8453" i="50"/>
  <c r="F8453" i="50"/>
  <c r="V8453" i="50"/>
  <c r="U8453" i="50"/>
  <c r="G8469" i="50"/>
  <c r="V8469" i="50"/>
  <c r="F8469" i="50"/>
  <c r="U8483" i="50"/>
  <c r="G8483" i="50"/>
  <c r="F8483" i="50"/>
  <c r="V8478" i="50"/>
  <c r="V8483" i="50"/>
  <c r="U8499" i="50"/>
  <c r="G8499" i="50"/>
  <c r="F8499" i="50"/>
  <c r="V8506" i="50"/>
  <c r="U8506" i="50"/>
  <c r="G8506" i="50"/>
  <c r="F8506" i="50"/>
  <c r="G8514" i="50"/>
  <c r="V8514" i="50"/>
  <c r="U8514" i="50"/>
  <c r="F8514" i="50"/>
  <c r="F8468" i="50"/>
  <c r="V8462" i="50"/>
  <c r="U8462" i="50"/>
  <c r="F8462" i="50"/>
  <c r="G8462" i="50"/>
  <c r="U8467" i="50"/>
  <c r="G8467" i="50"/>
  <c r="F8467" i="50"/>
  <c r="G8464" i="50"/>
  <c r="F8464" i="50"/>
  <c r="U8464" i="50"/>
  <c r="V8496" i="50"/>
  <c r="U8496" i="50"/>
  <c r="G8496" i="50"/>
  <c r="F8496" i="50"/>
  <c r="V8487" i="50"/>
  <c r="U8487" i="50"/>
  <c r="F8487" i="50"/>
  <c r="G8487" i="50"/>
  <c r="V8465" i="50"/>
  <c r="U8465" i="50"/>
  <c r="G8465" i="50"/>
  <c r="F8465" i="50"/>
  <c r="V8499" i="50"/>
  <c r="V8480" i="50"/>
  <c r="U8480" i="50"/>
  <c r="G8480" i="50"/>
  <c r="F8480" i="50"/>
  <c r="G8485" i="50"/>
  <c r="V8485" i="50"/>
  <c r="U8485" i="50"/>
  <c r="V8522" i="50"/>
  <c r="U8522" i="50"/>
  <c r="G8522" i="50"/>
  <c r="F8522" i="50"/>
  <c r="V8470" i="50"/>
  <c r="U8470" i="50"/>
  <c r="G8470" i="50"/>
  <c r="F8470" i="50"/>
  <c r="V8521" i="50"/>
  <c r="U8521" i="50"/>
  <c r="G8521" i="50"/>
  <c r="F8521" i="50"/>
  <c r="V8455" i="50"/>
  <c r="U8455" i="50"/>
  <c r="F8455" i="50"/>
  <c r="E8509" i="50"/>
  <c r="B8533" i="50"/>
  <c r="D8533" i="50" s="1"/>
  <c r="B8531" i="50"/>
  <c r="D8531" i="50" s="1"/>
  <c r="E8507" i="50"/>
  <c r="B8569" i="50"/>
  <c r="D8569" i="50" s="1"/>
  <c r="E8545" i="50"/>
  <c r="B8524" i="50"/>
  <c r="D8524" i="50" s="1"/>
  <c r="E8500" i="50"/>
  <c r="F8500" i="50" s="1"/>
  <c r="E8488" i="50"/>
  <c r="B8512" i="50"/>
  <c r="D8512" i="50" s="1"/>
  <c r="E8493" i="50"/>
  <c r="B8517" i="50"/>
  <c r="D8517" i="50" s="1"/>
  <c r="B8553" i="50"/>
  <c r="D8553" i="50" s="1"/>
  <c r="E8529" i="50"/>
  <c r="E8546" i="50"/>
  <c r="B8570" i="50"/>
  <c r="D8570" i="50" s="1"/>
  <c r="B8526" i="50"/>
  <c r="D8526" i="50" s="1"/>
  <c r="E8502" i="50"/>
  <c r="B8501" i="50"/>
  <c r="D8501" i="50" s="1"/>
  <c r="E8477" i="50"/>
  <c r="B8513" i="50"/>
  <c r="D8513" i="50" s="1"/>
  <c r="E8489" i="50"/>
  <c r="F8489" i="50" s="1"/>
  <c r="E8519" i="50"/>
  <c r="G8519" i="50" s="1"/>
  <c r="B8543" i="50"/>
  <c r="D8543" i="50" s="1"/>
  <c r="B8554" i="50"/>
  <c r="D8554" i="50" s="1"/>
  <c r="E8530" i="50"/>
  <c r="G8530" i="50" s="1"/>
  <c r="B8562" i="50"/>
  <c r="D8562" i="50" s="1"/>
  <c r="E8538" i="50"/>
  <c r="B8535" i="50"/>
  <c r="D8535" i="50" s="1"/>
  <c r="E8511" i="50"/>
  <c r="G8511" i="50" s="1"/>
  <c r="E8520" i="50"/>
  <c r="B8544" i="50"/>
  <c r="D8544" i="50" s="1"/>
  <c r="B8547" i="50"/>
  <c r="D8547" i="50" s="1"/>
  <c r="E8523" i="50"/>
  <c r="B8516" i="50"/>
  <c r="D8516" i="50" s="1"/>
  <c r="E8492" i="50"/>
  <c r="B8510" i="50"/>
  <c r="D8510" i="50" s="1"/>
  <c r="E8486" i="50"/>
  <c r="E8504" i="50"/>
  <c r="V8504" i="50" s="1"/>
  <c r="B8528" i="50"/>
  <c r="D8528" i="50" s="1"/>
  <c r="E8494" i="50"/>
  <c r="B8518" i="50"/>
  <c r="D8518" i="50" s="1"/>
  <c r="B8515" i="50"/>
  <c r="D8515" i="50" s="1"/>
  <c r="E8491" i="50"/>
  <c r="V8491" i="50" s="1"/>
  <c r="U8523" i="50" l="1"/>
  <c r="G8523" i="50"/>
  <c r="F8523" i="50"/>
  <c r="V8523" i="50"/>
  <c r="F8502" i="50"/>
  <c r="V8502" i="50"/>
  <c r="G8502" i="50"/>
  <c r="D8508" i="50"/>
  <c r="B8532" i="50"/>
  <c r="E8508" i="50"/>
  <c r="F8484" i="50"/>
  <c r="V8507" i="50"/>
  <c r="U8507" i="50"/>
  <c r="G8507" i="50"/>
  <c r="F8507" i="50"/>
  <c r="V8484" i="50"/>
  <c r="U8484" i="50"/>
  <c r="G8484" i="50"/>
  <c r="F8520" i="50"/>
  <c r="G8520" i="50"/>
  <c r="V8520" i="50"/>
  <c r="U8520" i="50"/>
  <c r="U8546" i="50"/>
  <c r="F8546" i="50"/>
  <c r="V8546" i="50"/>
  <c r="F8509" i="50"/>
  <c r="U8509" i="50"/>
  <c r="G8509" i="50"/>
  <c r="V8509" i="50"/>
  <c r="U8511" i="50"/>
  <c r="V8511" i="50"/>
  <c r="F8511" i="50"/>
  <c r="V8529" i="50"/>
  <c r="U8529" i="50"/>
  <c r="G8529" i="50"/>
  <c r="F8529" i="50"/>
  <c r="D8503" i="50"/>
  <c r="E8503" i="50"/>
  <c r="B8527" i="50"/>
  <c r="V8538" i="50"/>
  <c r="U8538" i="50"/>
  <c r="G8538" i="50"/>
  <c r="F8538" i="50"/>
  <c r="U8491" i="50"/>
  <c r="F8491" i="50"/>
  <c r="G8491" i="50"/>
  <c r="V8494" i="50"/>
  <c r="U8494" i="50"/>
  <c r="G8494" i="50"/>
  <c r="F8494" i="50"/>
  <c r="F8493" i="50"/>
  <c r="V8493" i="50"/>
  <c r="U8493" i="50"/>
  <c r="G8493" i="50"/>
  <c r="G8546" i="50"/>
  <c r="V8530" i="50"/>
  <c r="F8530" i="50"/>
  <c r="U8530" i="50"/>
  <c r="U8504" i="50"/>
  <c r="G8504" i="50"/>
  <c r="F8504" i="50"/>
  <c r="F8488" i="50"/>
  <c r="V8488" i="50"/>
  <c r="U8488" i="50"/>
  <c r="G8488" i="50"/>
  <c r="U8502" i="50"/>
  <c r="V8486" i="50"/>
  <c r="G8486" i="50"/>
  <c r="F8486" i="50"/>
  <c r="U8486" i="50"/>
  <c r="V8500" i="50"/>
  <c r="U8500" i="50"/>
  <c r="G8500" i="50"/>
  <c r="V8519" i="50"/>
  <c r="U8519" i="50"/>
  <c r="F8519" i="50"/>
  <c r="F8477" i="50"/>
  <c r="G8477" i="50"/>
  <c r="U8477" i="50"/>
  <c r="V8477" i="50"/>
  <c r="V8492" i="50"/>
  <c r="U8492" i="50"/>
  <c r="G8492" i="50"/>
  <c r="F8492" i="50"/>
  <c r="V8489" i="50"/>
  <c r="U8489" i="50"/>
  <c r="G8489" i="50"/>
  <c r="F8545" i="50"/>
  <c r="V8545" i="50"/>
  <c r="U8545" i="50"/>
  <c r="G8545" i="50"/>
  <c r="U8479" i="50"/>
  <c r="G8479" i="50"/>
  <c r="F8479" i="50"/>
  <c r="V8479" i="50"/>
  <c r="B8542" i="50"/>
  <c r="D8542" i="50" s="1"/>
  <c r="E8518" i="50"/>
  <c r="E8562" i="50"/>
  <c r="G8562" i="50" s="1"/>
  <c r="B8586" i="50"/>
  <c r="D8586" i="50" s="1"/>
  <c r="B8594" i="50"/>
  <c r="D8594" i="50" s="1"/>
  <c r="E8570" i="50"/>
  <c r="B8577" i="50"/>
  <c r="D8577" i="50" s="1"/>
  <c r="E8553" i="50"/>
  <c r="B8540" i="50"/>
  <c r="D8540" i="50" s="1"/>
  <c r="E8516" i="50"/>
  <c r="F8516" i="50" s="1"/>
  <c r="E8544" i="50"/>
  <c r="B8568" i="50"/>
  <c r="D8568" i="50" s="1"/>
  <c r="E8535" i="50"/>
  <c r="G8535" i="50" s="1"/>
  <c r="B8559" i="50"/>
  <c r="D8559" i="50" s="1"/>
  <c r="B8537" i="50"/>
  <c r="D8537" i="50" s="1"/>
  <c r="E8513" i="50"/>
  <c r="B8593" i="50"/>
  <c r="D8593" i="50" s="1"/>
  <c r="E8569" i="50"/>
  <c r="B8541" i="50"/>
  <c r="D8541" i="50" s="1"/>
  <c r="E8517" i="50"/>
  <c r="U8517" i="50" s="1"/>
  <c r="B8578" i="50"/>
  <c r="D8578" i="50" s="1"/>
  <c r="E8554" i="50"/>
  <c r="U8554" i="50" s="1"/>
  <c r="B8555" i="50"/>
  <c r="D8555" i="50" s="1"/>
  <c r="E8531" i="50"/>
  <c r="V8531" i="50" s="1"/>
  <c r="E8512" i="50"/>
  <c r="B8536" i="50"/>
  <c r="D8536" i="50" s="1"/>
  <c r="B8571" i="50"/>
  <c r="D8571" i="50" s="1"/>
  <c r="E8547" i="50"/>
  <c r="E8543" i="50"/>
  <c r="B8567" i="50"/>
  <c r="D8567" i="50" s="1"/>
  <c r="B8525" i="50"/>
  <c r="D8525" i="50" s="1"/>
  <c r="E8501" i="50"/>
  <c r="E8528" i="50"/>
  <c r="B8552" i="50"/>
  <c r="D8552" i="50" s="1"/>
  <c r="B8539" i="50"/>
  <c r="D8539" i="50" s="1"/>
  <c r="E8515" i="50"/>
  <c r="V8515" i="50" s="1"/>
  <c r="B8557" i="50"/>
  <c r="D8557" i="50" s="1"/>
  <c r="E8533" i="50"/>
  <c r="U8533" i="50" s="1"/>
  <c r="E8510" i="50"/>
  <c r="B8534" i="50"/>
  <c r="D8534" i="50" s="1"/>
  <c r="E8526" i="50"/>
  <c r="F8526" i="50" s="1"/>
  <c r="B8550" i="50"/>
  <c r="D8550" i="50" s="1"/>
  <c r="B8548" i="50"/>
  <c r="D8548" i="50" s="1"/>
  <c r="E8524" i="50"/>
  <c r="V8524" i="50" s="1"/>
  <c r="V8503" i="50" l="1"/>
  <c r="U8503" i="50"/>
  <c r="F8503" i="50"/>
  <c r="V8513" i="50"/>
  <c r="U8513" i="50"/>
  <c r="G8513" i="50"/>
  <c r="F8513" i="50"/>
  <c r="G8503" i="50"/>
  <c r="U8518" i="50"/>
  <c r="G8518" i="50"/>
  <c r="F8518" i="50"/>
  <c r="V8518" i="50"/>
  <c r="U8547" i="50"/>
  <c r="G8547" i="50"/>
  <c r="F8547" i="50"/>
  <c r="V8547" i="50"/>
  <c r="U8508" i="50"/>
  <c r="G8508" i="50"/>
  <c r="F8508" i="50"/>
  <c r="D8527" i="50"/>
  <c r="B8551" i="50"/>
  <c r="E8527" i="50"/>
  <c r="V8535" i="50"/>
  <c r="U8535" i="50"/>
  <c r="F8535" i="50"/>
  <c r="D8532" i="50"/>
  <c r="B8556" i="50"/>
  <c r="E8532" i="50"/>
  <c r="F8512" i="50"/>
  <c r="V8512" i="50"/>
  <c r="U8512" i="50"/>
  <c r="G8512" i="50"/>
  <c r="G8544" i="50"/>
  <c r="F8544" i="50"/>
  <c r="U8544" i="50"/>
  <c r="V8508" i="50"/>
  <c r="U8524" i="50"/>
  <c r="G8524" i="50"/>
  <c r="F8524" i="50"/>
  <c r="U8531" i="50"/>
  <c r="G8531" i="50"/>
  <c r="F8531" i="50"/>
  <c r="V8516" i="50"/>
  <c r="U8516" i="50"/>
  <c r="G8516" i="50"/>
  <c r="U8543" i="50"/>
  <c r="G8543" i="50"/>
  <c r="V8543" i="50"/>
  <c r="F8543" i="50"/>
  <c r="V8554" i="50"/>
  <c r="F8554" i="50"/>
  <c r="G8554" i="50"/>
  <c r="U8553" i="50"/>
  <c r="G8553" i="50"/>
  <c r="V8553" i="50"/>
  <c r="F8553" i="50"/>
  <c r="U8515" i="50"/>
  <c r="G8515" i="50"/>
  <c r="F8515" i="50"/>
  <c r="V8562" i="50"/>
  <c r="U8562" i="50"/>
  <c r="F8562" i="50"/>
  <c r="V8569" i="50"/>
  <c r="F8569" i="50"/>
  <c r="G8569" i="50"/>
  <c r="U8569" i="50"/>
  <c r="U8526" i="50"/>
  <c r="G8526" i="50"/>
  <c r="V8526" i="50"/>
  <c r="V8517" i="50"/>
  <c r="G8517" i="50"/>
  <c r="F8517" i="50"/>
  <c r="V8570" i="50"/>
  <c r="G8570" i="50"/>
  <c r="F8570" i="50"/>
  <c r="U8570" i="50"/>
  <c r="V8533" i="50"/>
  <c r="G8533" i="50"/>
  <c r="F8533" i="50"/>
  <c r="G8528" i="50"/>
  <c r="F8528" i="50"/>
  <c r="U8528" i="50"/>
  <c r="V8528" i="50"/>
  <c r="V8544" i="50"/>
  <c r="G8510" i="50"/>
  <c r="V8510" i="50"/>
  <c r="U8510" i="50"/>
  <c r="F8510" i="50"/>
  <c r="F8501" i="50"/>
  <c r="V8501" i="50"/>
  <c r="G8501" i="50"/>
  <c r="U8501" i="50"/>
  <c r="E8594" i="50"/>
  <c r="G8594" i="50" s="1"/>
  <c r="B8618" i="50"/>
  <c r="D8618" i="50" s="1"/>
  <c r="B8610" i="50"/>
  <c r="D8610" i="50" s="1"/>
  <c r="E8586" i="50"/>
  <c r="E8555" i="50"/>
  <c r="B8579" i="50"/>
  <c r="D8579" i="50" s="1"/>
  <c r="B8574" i="50"/>
  <c r="D8574" i="50" s="1"/>
  <c r="E8550" i="50"/>
  <c r="E8525" i="50"/>
  <c r="B8549" i="50"/>
  <c r="D8549" i="50" s="1"/>
  <c r="B8591" i="50"/>
  <c r="D8591" i="50" s="1"/>
  <c r="E8567" i="50"/>
  <c r="E8571" i="50"/>
  <c r="B8595" i="50"/>
  <c r="D8595" i="50" s="1"/>
  <c r="E8536" i="50"/>
  <c r="V8536" i="50" s="1"/>
  <c r="B8560" i="50"/>
  <c r="D8560" i="50" s="1"/>
  <c r="E8578" i="50"/>
  <c r="B8602" i="50"/>
  <c r="D8602" i="50" s="1"/>
  <c r="E8568" i="50"/>
  <c r="V8568" i="50" s="1"/>
  <c r="B8592" i="50"/>
  <c r="D8592" i="50" s="1"/>
  <c r="B8572" i="50"/>
  <c r="D8572" i="50" s="1"/>
  <c r="E8548" i="50"/>
  <c r="F8548" i="50" s="1"/>
  <c r="E8593" i="50"/>
  <c r="B8617" i="50"/>
  <c r="D8617" i="50" s="1"/>
  <c r="E8537" i="50"/>
  <c r="B8561" i="50"/>
  <c r="D8561" i="50" s="1"/>
  <c r="E8534" i="50"/>
  <c r="B8558" i="50"/>
  <c r="D8558" i="50" s="1"/>
  <c r="E8559" i="50"/>
  <c r="B8583" i="50"/>
  <c r="D8583" i="50" s="1"/>
  <c r="B8564" i="50"/>
  <c r="D8564" i="50" s="1"/>
  <c r="E8540" i="50"/>
  <c r="E8539" i="50"/>
  <c r="B8563" i="50"/>
  <c r="D8563" i="50" s="1"/>
  <c r="E8541" i="50"/>
  <c r="B8565" i="50"/>
  <c r="D8565" i="50" s="1"/>
  <c r="E8577" i="50"/>
  <c r="B8601" i="50"/>
  <c r="D8601" i="50" s="1"/>
  <c r="B8581" i="50"/>
  <c r="D8581" i="50" s="1"/>
  <c r="E8557" i="50"/>
  <c r="E8552" i="50"/>
  <c r="V8552" i="50" s="1"/>
  <c r="B8576" i="50"/>
  <c r="D8576" i="50" s="1"/>
  <c r="B8566" i="50"/>
  <c r="D8566" i="50" s="1"/>
  <c r="E8542" i="50"/>
  <c r="V8577" i="50" l="1"/>
  <c r="U8577" i="50"/>
  <c r="G8577" i="50"/>
  <c r="F8577" i="50"/>
  <c r="V8593" i="50"/>
  <c r="U8593" i="50"/>
  <c r="G8593" i="50"/>
  <c r="F8593" i="50"/>
  <c r="F8532" i="50"/>
  <c r="U8550" i="50"/>
  <c r="V8550" i="50"/>
  <c r="G8550" i="50"/>
  <c r="F8550" i="50"/>
  <c r="V8555" i="50"/>
  <c r="U8555" i="50"/>
  <c r="G8555" i="50"/>
  <c r="F8555" i="50"/>
  <c r="V8532" i="50"/>
  <c r="U8532" i="50"/>
  <c r="G8532" i="50"/>
  <c r="V8586" i="50"/>
  <c r="G8586" i="50"/>
  <c r="F8586" i="50"/>
  <c r="U8568" i="50"/>
  <c r="G8568" i="50"/>
  <c r="F8568" i="50"/>
  <c r="U8541" i="50"/>
  <c r="G8541" i="50"/>
  <c r="F8541" i="50"/>
  <c r="V8541" i="50"/>
  <c r="F8525" i="50"/>
  <c r="G8525" i="50"/>
  <c r="V8525" i="50"/>
  <c r="U8525" i="50"/>
  <c r="D8556" i="50"/>
  <c r="E8556" i="50"/>
  <c r="B8580" i="50"/>
  <c r="U8540" i="50"/>
  <c r="G8540" i="50"/>
  <c r="F8540" i="50"/>
  <c r="V8578" i="50"/>
  <c r="U8578" i="50"/>
  <c r="F8578" i="50"/>
  <c r="U8527" i="50"/>
  <c r="G8527" i="50"/>
  <c r="V8527" i="50"/>
  <c r="F8527" i="50"/>
  <c r="V8548" i="50"/>
  <c r="U8548" i="50"/>
  <c r="G8548" i="50"/>
  <c r="D8551" i="50"/>
  <c r="B8575" i="50"/>
  <c r="E8551" i="50"/>
  <c r="U8536" i="50"/>
  <c r="G8536" i="50"/>
  <c r="F8536" i="50"/>
  <c r="V8594" i="50"/>
  <c r="U8594" i="50"/>
  <c r="F8594" i="50"/>
  <c r="U8586" i="50"/>
  <c r="V8571" i="50"/>
  <c r="U8571" i="50"/>
  <c r="G8571" i="50"/>
  <c r="F8571" i="50"/>
  <c r="F8542" i="50"/>
  <c r="U8542" i="50"/>
  <c r="G8542" i="50"/>
  <c r="V8542" i="50"/>
  <c r="V8567" i="50"/>
  <c r="U8567" i="50"/>
  <c r="F8567" i="50"/>
  <c r="F8537" i="50"/>
  <c r="G8537" i="50"/>
  <c r="U8537" i="50"/>
  <c r="V8537" i="50"/>
  <c r="U8559" i="50"/>
  <c r="G8559" i="50"/>
  <c r="V8559" i="50"/>
  <c r="F8559" i="50"/>
  <c r="U8552" i="50"/>
  <c r="G8552" i="50"/>
  <c r="F8552" i="50"/>
  <c r="V8540" i="50"/>
  <c r="G8539" i="50"/>
  <c r="F8539" i="50"/>
  <c r="V8539" i="50"/>
  <c r="U8539" i="50"/>
  <c r="V8534" i="50"/>
  <c r="U8534" i="50"/>
  <c r="G8534" i="50"/>
  <c r="F8534" i="50"/>
  <c r="F8557" i="50"/>
  <c r="G8557" i="50"/>
  <c r="V8557" i="50"/>
  <c r="U8557" i="50"/>
  <c r="G8578" i="50"/>
  <c r="G8567" i="50"/>
  <c r="B8641" i="50"/>
  <c r="D8641" i="50" s="1"/>
  <c r="E8617" i="50"/>
  <c r="E8591" i="50"/>
  <c r="B8615" i="50"/>
  <c r="D8615" i="50" s="1"/>
  <c r="E8610" i="50"/>
  <c r="G8610" i="50" s="1"/>
  <c r="B8634" i="50"/>
  <c r="D8634" i="50" s="1"/>
  <c r="B8626" i="50"/>
  <c r="D8626" i="50" s="1"/>
  <c r="E8602" i="50"/>
  <c r="E8574" i="50"/>
  <c r="B8598" i="50"/>
  <c r="D8598" i="50" s="1"/>
  <c r="B8589" i="50"/>
  <c r="D8589" i="50" s="1"/>
  <c r="E8565" i="50"/>
  <c r="B8603" i="50"/>
  <c r="D8603" i="50" s="1"/>
  <c r="E8579" i="50"/>
  <c r="B8642" i="50"/>
  <c r="D8642" i="50" s="1"/>
  <c r="E8618" i="50"/>
  <c r="U8618" i="50" s="1"/>
  <c r="B8584" i="50"/>
  <c r="D8584" i="50" s="1"/>
  <c r="E8560" i="50"/>
  <c r="V8560" i="50" s="1"/>
  <c r="E8558" i="50"/>
  <c r="B8582" i="50"/>
  <c r="D8582" i="50" s="1"/>
  <c r="B8605" i="50"/>
  <c r="D8605" i="50" s="1"/>
  <c r="E8581" i="50"/>
  <c r="B8587" i="50"/>
  <c r="D8587" i="50" s="1"/>
  <c r="E8563" i="50"/>
  <c r="B8600" i="50"/>
  <c r="D8600" i="50" s="1"/>
  <c r="E8576" i="50"/>
  <c r="V8576" i="50" s="1"/>
  <c r="B8590" i="50"/>
  <c r="D8590" i="50" s="1"/>
  <c r="E8566" i="50"/>
  <c r="E8561" i="50"/>
  <c r="B8585" i="50"/>
  <c r="D8585" i="50" s="1"/>
  <c r="B8596" i="50"/>
  <c r="D8596" i="50" s="1"/>
  <c r="E8572" i="50"/>
  <c r="V8572" i="50" s="1"/>
  <c r="B8616" i="50"/>
  <c r="D8616" i="50" s="1"/>
  <c r="E8592" i="50"/>
  <c r="V8592" i="50" s="1"/>
  <c r="E8564" i="50"/>
  <c r="F8564" i="50" s="1"/>
  <c r="B8588" i="50"/>
  <c r="D8588" i="50" s="1"/>
  <c r="B8619" i="50"/>
  <c r="D8619" i="50" s="1"/>
  <c r="E8595" i="50"/>
  <c r="B8607" i="50"/>
  <c r="D8607" i="50" s="1"/>
  <c r="E8583" i="50"/>
  <c r="B8573" i="50"/>
  <c r="D8573" i="50" s="1"/>
  <c r="E8549" i="50"/>
  <c r="B8625" i="50"/>
  <c r="D8625" i="50" s="1"/>
  <c r="E8601" i="50"/>
  <c r="U8566" i="50" l="1"/>
  <c r="V8566" i="50"/>
  <c r="G8566" i="50"/>
  <c r="F8566" i="50"/>
  <c r="U8579" i="50"/>
  <c r="G8579" i="50"/>
  <c r="F8579" i="50"/>
  <c r="V8591" i="50"/>
  <c r="F8591" i="50"/>
  <c r="G8591" i="50"/>
  <c r="U8591" i="50"/>
  <c r="V8551" i="50"/>
  <c r="U8551" i="50"/>
  <c r="F8551" i="50"/>
  <c r="V8549" i="50"/>
  <c r="G8549" i="50"/>
  <c r="U8549" i="50"/>
  <c r="F8549" i="50"/>
  <c r="G8576" i="50"/>
  <c r="F8576" i="50"/>
  <c r="U8576" i="50"/>
  <c r="V8565" i="50"/>
  <c r="G8565" i="50"/>
  <c r="F8565" i="50"/>
  <c r="U8565" i="50"/>
  <c r="D8575" i="50"/>
  <c r="E8575" i="50"/>
  <c r="B8599" i="50"/>
  <c r="G8551" i="50"/>
  <c r="V8579" i="50"/>
  <c r="V8583" i="50"/>
  <c r="U8583" i="50"/>
  <c r="F8583" i="50"/>
  <c r="D8580" i="50"/>
  <c r="E8580" i="50"/>
  <c r="B8604" i="50"/>
  <c r="F8617" i="50"/>
  <c r="U8617" i="50"/>
  <c r="G8617" i="50"/>
  <c r="V8617" i="50"/>
  <c r="F8556" i="50"/>
  <c r="U8556" i="50"/>
  <c r="G8556" i="50"/>
  <c r="G8595" i="50"/>
  <c r="U8595" i="50"/>
  <c r="F8595" i="50"/>
  <c r="U8563" i="50"/>
  <c r="G8563" i="50"/>
  <c r="F8563" i="50"/>
  <c r="V8556" i="50"/>
  <c r="V8561" i="50"/>
  <c r="U8561" i="50"/>
  <c r="G8561" i="50"/>
  <c r="F8561" i="50"/>
  <c r="U8574" i="50"/>
  <c r="V8574" i="50"/>
  <c r="G8574" i="50"/>
  <c r="F8574" i="50"/>
  <c r="V8563" i="50"/>
  <c r="V8618" i="50"/>
  <c r="G8618" i="50"/>
  <c r="F8618" i="50"/>
  <c r="F8581" i="50"/>
  <c r="U8581" i="50"/>
  <c r="V8581" i="50"/>
  <c r="G8581" i="50"/>
  <c r="V8602" i="50"/>
  <c r="G8602" i="50"/>
  <c r="F8602" i="50"/>
  <c r="V8601" i="50"/>
  <c r="F8601" i="50"/>
  <c r="G8601" i="50"/>
  <c r="U8601" i="50"/>
  <c r="V8564" i="50"/>
  <c r="U8564" i="50"/>
  <c r="G8564" i="50"/>
  <c r="V8595" i="50"/>
  <c r="G8592" i="50"/>
  <c r="F8592" i="50"/>
  <c r="U8592" i="50"/>
  <c r="G8583" i="50"/>
  <c r="V8558" i="50"/>
  <c r="G8558" i="50"/>
  <c r="F8558" i="50"/>
  <c r="U8558" i="50"/>
  <c r="V8610" i="50"/>
  <c r="U8610" i="50"/>
  <c r="F8610" i="50"/>
  <c r="U8602" i="50"/>
  <c r="G8572" i="50"/>
  <c r="F8572" i="50"/>
  <c r="U8572" i="50"/>
  <c r="G8560" i="50"/>
  <c r="F8560" i="50"/>
  <c r="U8560" i="50"/>
  <c r="B8624" i="50"/>
  <c r="D8624" i="50" s="1"/>
  <c r="E8600" i="50"/>
  <c r="V8600" i="50" s="1"/>
  <c r="B8629" i="50"/>
  <c r="D8629" i="50" s="1"/>
  <c r="E8605" i="50"/>
  <c r="E8626" i="50"/>
  <c r="B8650" i="50"/>
  <c r="D8650" i="50" s="1"/>
  <c r="E8642" i="50"/>
  <c r="B8666" i="50"/>
  <c r="D8666" i="50" s="1"/>
  <c r="E8596" i="50"/>
  <c r="B8620" i="50"/>
  <c r="D8620" i="50" s="1"/>
  <c r="E8582" i="50"/>
  <c r="B8606" i="50"/>
  <c r="D8606" i="50" s="1"/>
  <c r="B8609" i="50"/>
  <c r="D8609" i="50" s="1"/>
  <c r="E8585" i="50"/>
  <c r="E8598" i="50"/>
  <c r="B8622" i="50"/>
  <c r="D8622" i="50" s="1"/>
  <c r="E8603" i="50"/>
  <c r="B8627" i="50"/>
  <c r="D8627" i="50" s="1"/>
  <c r="B8658" i="50"/>
  <c r="D8658" i="50" s="1"/>
  <c r="E8634" i="50"/>
  <c r="E8616" i="50"/>
  <c r="B8640" i="50"/>
  <c r="D8640" i="50" s="1"/>
  <c r="B8613" i="50"/>
  <c r="D8613" i="50" s="1"/>
  <c r="E8589" i="50"/>
  <c r="B8597" i="50"/>
  <c r="D8597" i="50" s="1"/>
  <c r="E8573" i="50"/>
  <c r="E8590" i="50"/>
  <c r="B8614" i="50"/>
  <c r="D8614" i="50" s="1"/>
  <c r="B8639" i="50"/>
  <c r="D8639" i="50" s="1"/>
  <c r="E8615" i="50"/>
  <c r="B8612" i="50"/>
  <c r="D8612" i="50" s="1"/>
  <c r="E8588" i="50"/>
  <c r="E8607" i="50"/>
  <c r="B8631" i="50"/>
  <c r="D8631" i="50" s="1"/>
  <c r="E8584" i="50"/>
  <c r="B8608" i="50"/>
  <c r="D8608" i="50" s="1"/>
  <c r="B8649" i="50"/>
  <c r="D8649" i="50" s="1"/>
  <c r="E8625" i="50"/>
  <c r="E8619" i="50"/>
  <c r="B8643" i="50"/>
  <c r="D8643" i="50" s="1"/>
  <c r="E8587" i="50"/>
  <c r="B8611" i="50"/>
  <c r="D8611" i="50" s="1"/>
  <c r="B8665" i="50"/>
  <c r="D8665" i="50" s="1"/>
  <c r="E8641" i="50"/>
  <c r="V8634" i="50" l="1"/>
  <c r="F8634" i="50"/>
  <c r="G8634" i="50"/>
  <c r="D8599" i="50"/>
  <c r="E8599" i="50"/>
  <c r="B8623" i="50"/>
  <c r="U8584" i="50"/>
  <c r="F8584" i="50"/>
  <c r="G8584" i="50"/>
  <c r="U8575" i="50"/>
  <c r="V8575" i="50"/>
  <c r="F8575" i="50"/>
  <c r="G8575" i="50"/>
  <c r="V8605" i="50"/>
  <c r="U8605" i="50"/>
  <c r="G8605" i="50"/>
  <c r="F8605" i="50"/>
  <c r="V8603" i="50"/>
  <c r="U8603" i="50"/>
  <c r="G8603" i="50"/>
  <c r="F8603" i="50"/>
  <c r="U8616" i="50"/>
  <c r="G8616" i="50"/>
  <c r="F8616" i="50"/>
  <c r="U8600" i="50"/>
  <c r="G8600" i="50"/>
  <c r="F8600" i="50"/>
  <c r="V8626" i="50"/>
  <c r="U8626" i="50"/>
  <c r="F8626" i="50"/>
  <c r="U8598" i="50"/>
  <c r="V8598" i="50"/>
  <c r="G8598" i="50"/>
  <c r="F8598" i="50"/>
  <c r="V8616" i="50"/>
  <c r="V8615" i="50"/>
  <c r="U8615" i="50"/>
  <c r="F8615" i="50"/>
  <c r="U8585" i="50"/>
  <c r="G8585" i="50"/>
  <c r="F8585" i="50"/>
  <c r="V8585" i="50"/>
  <c r="G8615" i="50"/>
  <c r="F8641" i="50"/>
  <c r="V8641" i="50"/>
  <c r="U8641" i="50"/>
  <c r="G8641" i="50"/>
  <c r="U8634" i="50"/>
  <c r="D8604" i="50"/>
  <c r="B8628" i="50"/>
  <c r="E8604" i="50"/>
  <c r="V8584" i="50"/>
  <c r="V8580" i="50"/>
  <c r="U8580" i="50"/>
  <c r="G8580" i="50"/>
  <c r="V8587" i="50"/>
  <c r="U8587" i="50"/>
  <c r="G8587" i="50"/>
  <c r="F8587" i="50"/>
  <c r="V8590" i="50"/>
  <c r="G8590" i="50"/>
  <c r="U8590" i="50"/>
  <c r="F8590" i="50"/>
  <c r="U8582" i="50"/>
  <c r="V8582" i="50"/>
  <c r="G8582" i="50"/>
  <c r="F8582" i="50"/>
  <c r="F8580" i="50"/>
  <c r="U8573" i="50"/>
  <c r="G8573" i="50"/>
  <c r="F8573" i="50"/>
  <c r="V8573" i="50"/>
  <c r="G8588" i="50"/>
  <c r="F8588" i="50"/>
  <c r="U8588" i="50"/>
  <c r="V8619" i="50"/>
  <c r="U8619" i="50"/>
  <c r="G8619" i="50"/>
  <c r="F8619" i="50"/>
  <c r="V8596" i="50"/>
  <c r="U8596" i="50"/>
  <c r="G8596" i="50"/>
  <c r="V8588" i="50"/>
  <c r="V8625" i="50"/>
  <c r="U8625" i="50"/>
  <c r="G8625" i="50"/>
  <c r="F8625" i="50"/>
  <c r="V8589" i="50"/>
  <c r="U8589" i="50"/>
  <c r="G8589" i="50"/>
  <c r="F8589" i="50"/>
  <c r="G8626" i="50"/>
  <c r="F8596" i="50"/>
  <c r="G8607" i="50"/>
  <c r="U8607" i="50"/>
  <c r="V8607" i="50"/>
  <c r="F8607" i="50"/>
  <c r="V8642" i="50"/>
  <c r="U8642" i="50"/>
  <c r="F8642" i="50"/>
  <c r="G8642" i="50"/>
  <c r="E8631" i="50"/>
  <c r="G8631" i="50" s="1"/>
  <c r="B8655" i="50"/>
  <c r="D8655" i="50" s="1"/>
  <c r="E8639" i="50"/>
  <c r="B8663" i="50"/>
  <c r="D8663" i="50" s="1"/>
  <c r="B8633" i="50"/>
  <c r="D8633" i="50" s="1"/>
  <c r="E8609" i="50"/>
  <c r="B8637" i="50"/>
  <c r="D8637" i="50" s="1"/>
  <c r="E8613" i="50"/>
  <c r="G8613" i="50" s="1"/>
  <c r="E8622" i="50"/>
  <c r="B8646" i="50"/>
  <c r="D8646" i="50" s="1"/>
  <c r="B8674" i="50"/>
  <c r="D8674" i="50" s="1"/>
  <c r="E8650" i="50"/>
  <c r="U8650" i="50" s="1"/>
  <c r="E8614" i="50"/>
  <c r="B8638" i="50"/>
  <c r="D8638" i="50" s="1"/>
  <c r="B8664" i="50"/>
  <c r="D8664" i="50" s="1"/>
  <c r="E8640" i="50"/>
  <c r="V8640" i="50" s="1"/>
  <c r="B8630" i="50"/>
  <c r="D8630" i="50" s="1"/>
  <c r="E8606" i="50"/>
  <c r="E8658" i="50"/>
  <c r="G8658" i="50" s="1"/>
  <c r="B8682" i="50"/>
  <c r="D8682" i="50" s="1"/>
  <c r="B8644" i="50"/>
  <c r="D8644" i="50" s="1"/>
  <c r="E8620" i="50"/>
  <c r="V8620" i="50" s="1"/>
  <c r="B8632" i="50"/>
  <c r="D8632" i="50" s="1"/>
  <c r="E8608" i="50"/>
  <c r="V8608" i="50" s="1"/>
  <c r="B8621" i="50"/>
  <c r="D8621" i="50" s="1"/>
  <c r="E8597" i="50"/>
  <c r="B8653" i="50"/>
  <c r="D8653" i="50" s="1"/>
  <c r="E8629" i="50"/>
  <c r="B8690" i="50"/>
  <c r="D8690" i="50" s="1"/>
  <c r="E8666" i="50"/>
  <c r="U8666" i="50" s="1"/>
  <c r="B8689" i="50"/>
  <c r="D8689" i="50" s="1"/>
  <c r="E8665" i="50"/>
  <c r="B8667" i="50"/>
  <c r="D8667" i="50" s="1"/>
  <c r="E8643" i="50"/>
  <c r="V8643" i="50" s="1"/>
  <c r="B8651" i="50"/>
  <c r="D8651" i="50" s="1"/>
  <c r="E8627" i="50"/>
  <c r="B8648" i="50"/>
  <c r="D8648" i="50" s="1"/>
  <c r="E8624" i="50"/>
  <c r="B8635" i="50"/>
  <c r="D8635" i="50" s="1"/>
  <c r="E8611" i="50"/>
  <c r="V8611" i="50" s="1"/>
  <c r="B8673" i="50"/>
  <c r="D8673" i="50" s="1"/>
  <c r="E8649" i="50"/>
  <c r="B8636" i="50"/>
  <c r="D8636" i="50" s="1"/>
  <c r="E8612" i="50"/>
  <c r="F8612" i="50" s="1"/>
  <c r="G8624" i="50" l="1"/>
  <c r="F8624" i="50"/>
  <c r="U8624" i="50"/>
  <c r="V8613" i="50"/>
  <c r="U8613" i="50"/>
  <c r="F8613" i="50"/>
  <c r="G8604" i="50"/>
  <c r="F8604" i="50"/>
  <c r="U8604" i="50"/>
  <c r="F8597" i="50"/>
  <c r="U8597" i="50"/>
  <c r="V8597" i="50"/>
  <c r="G8597" i="50"/>
  <c r="U8643" i="50"/>
  <c r="G8643" i="50"/>
  <c r="F8643" i="50"/>
  <c r="V8609" i="50"/>
  <c r="U8609" i="50"/>
  <c r="G8609" i="50"/>
  <c r="F8609" i="50"/>
  <c r="D8628" i="50"/>
  <c r="B8652" i="50"/>
  <c r="E8628" i="50"/>
  <c r="V8658" i="50"/>
  <c r="U8658" i="50"/>
  <c r="F8658" i="50"/>
  <c r="V8604" i="50"/>
  <c r="V8624" i="50"/>
  <c r="U8665" i="50"/>
  <c r="G8665" i="50"/>
  <c r="F8665" i="50"/>
  <c r="V8665" i="50"/>
  <c r="G8606" i="50"/>
  <c r="F8606" i="50"/>
  <c r="V8606" i="50"/>
  <c r="U8606" i="50"/>
  <c r="U8639" i="50"/>
  <c r="G8639" i="50"/>
  <c r="F8639" i="50"/>
  <c r="V8639" i="50"/>
  <c r="D8623" i="50"/>
  <c r="E8623" i="50"/>
  <c r="B8647" i="50"/>
  <c r="U8611" i="50"/>
  <c r="G8611" i="50"/>
  <c r="F8611" i="50"/>
  <c r="G8640" i="50"/>
  <c r="F8640" i="50"/>
  <c r="U8640" i="50"/>
  <c r="V8599" i="50"/>
  <c r="U8599" i="50"/>
  <c r="F8599" i="50"/>
  <c r="U8622" i="50"/>
  <c r="V8622" i="50"/>
  <c r="G8622" i="50"/>
  <c r="F8622" i="50"/>
  <c r="V8631" i="50"/>
  <c r="U8631" i="50"/>
  <c r="F8631" i="50"/>
  <c r="G8599" i="50"/>
  <c r="G8608" i="50"/>
  <c r="F8608" i="50"/>
  <c r="U8608" i="50"/>
  <c r="V8612" i="50"/>
  <c r="U8612" i="50"/>
  <c r="G8612" i="50"/>
  <c r="V8666" i="50"/>
  <c r="F8666" i="50"/>
  <c r="G8666" i="50"/>
  <c r="U8627" i="50"/>
  <c r="G8627" i="50"/>
  <c r="F8627" i="50"/>
  <c r="U8614" i="50"/>
  <c r="V8614" i="50"/>
  <c r="G8614" i="50"/>
  <c r="F8614" i="50"/>
  <c r="G8620" i="50"/>
  <c r="F8620" i="50"/>
  <c r="U8620" i="50"/>
  <c r="V8649" i="50"/>
  <c r="U8649" i="50"/>
  <c r="G8649" i="50"/>
  <c r="F8649" i="50"/>
  <c r="V8629" i="50"/>
  <c r="G8629" i="50"/>
  <c r="F8629" i="50"/>
  <c r="U8629" i="50"/>
  <c r="V8650" i="50"/>
  <c r="F8650" i="50"/>
  <c r="G8650" i="50"/>
  <c r="V8627" i="50"/>
  <c r="E8674" i="50"/>
  <c r="B8698" i="50"/>
  <c r="D8698" i="50" s="1"/>
  <c r="E8630" i="50"/>
  <c r="B8654" i="50"/>
  <c r="D8654" i="50" s="1"/>
  <c r="E8646" i="50"/>
  <c r="B8670" i="50"/>
  <c r="D8670" i="50" s="1"/>
  <c r="E8663" i="50"/>
  <c r="B8687" i="50"/>
  <c r="D8687" i="50" s="1"/>
  <c r="B8706" i="50"/>
  <c r="D8706" i="50" s="1"/>
  <c r="E8682" i="50"/>
  <c r="U8682" i="50" s="1"/>
  <c r="B8688" i="50"/>
  <c r="D8688" i="50" s="1"/>
  <c r="E8664" i="50"/>
  <c r="E8667" i="50"/>
  <c r="F8667" i="50" s="1"/>
  <c r="B8691" i="50"/>
  <c r="D8691" i="50" s="1"/>
  <c r="B8677" i="50"/>
  <c r="D8677" i="50" s="1"/>
  <c r="E8653" i="50"/>
  <c r="B8697" i="50"/>
  <c r="D8697" i="50" s="1"/>
  <c r="E8673" i="50"/>
  <c r="E8690" i="50"/>
  <c r="B8714" i="50"/>
  <c r="D8714" i="50" s="1"/>
  <c r="B8661" i="50"/>
  <c r="D8661" i="50" s="1"/>
  <c r="E8637" i="50"/>
  <c r="E8655" i="50"/>
  <c r="V8655" i="50" s="1"/>
  <c r="B8679" i="50"/>
  <c r="D8679" i="50" s="1"/>
  <c r="E8635" i="50"/>
  <c r="F8635" i="50" s="1"/>
  <c r="B8659" i="50"/>
  <c r="D8659" i="50" s="1"/>
  <c r="E8689" i="50"/>
  <c r="B8713" i="50"/>
  <c r="D8713" i="50" s="1"/>
  <c r="B8645" i="50"/>
  <c r="D8645" i="50" s="1"/>
  <c r="E8621" i="50"/>
  <c r="B8668" i="50"/>
  <c r="D8668" i="50" s="1"/>
  <c r="E8644" i="50"/>
  <c r="F8644" i="50" s="1"/>
  <c r="E8648" i="50"/>
  <c r="B8672" i="50"/>
  <c r="D8672" i="50" s="1"/>
  <c r="B8656" i="50"/>
  <c r="D8656" i="50" s="1"/>
  <c r="E8632" i="50"/>
  <c r="B8660" i="50"/>
  <c r="D8660" i="50" s="1"/>
  <c r="E8636" i="50"/>
  <c r="B8662" i="50"/>
  <c r="D8662" i="50" s="1"/>
  <c r="E8638" i="50"/>
  <c r="B8657" i="50"/>
  <c r="D8657" i="50" s="1"/>
  <c r="E8633" i="50"/>
  <c r="E8651" i="50"/>
  <c r="F8651" i="50" s="1"/>
  <c r="B8675" i="50"/>
  <c r="D8675" i="50" s="1"/>
  <c r="V8637" i="50" l="1"/>
  <c r="U8637" i="50"/>
  <c r="G8637" i="50"/>
  <c r="F8637" i="50"/>
  <c r="V8623" i="50"/>
  <c r="F8623" i="50"/>
  <c r="U8623" i="50"/>
  <c r="G8623" i="50"/>
  <c r="V8690" i="50"/>
  <c r="U8690" i="50"/>
  <c r="F8690" i="50"/>
  <c r="U8663" i="50"/>
  <c r="V8663" i="50"/>
  <c r="F8663" i="50"/>
  <c r="U8646" i="50"/>
  <c r="V8646" i="50"/>
  <c r="G8646" i="50"/>
  <c r="F8646" i="50"/>
  <c r="U8648" i="50"/>
  <c r="G8648" i="50"/>
  <c r="F8648" i="50"/>
  <c r="U8630" i="50"/>
  <c r="V8630" i="50"/>
  <c r="G8630" i="50"/>
  <c r="F8630" i="50"/>
  <c r="G8636" i="50"/>
  <c r="F8636" i="50"/>
  <c r="U8636" i="50"/>
  <c r="U8632" i="50"/>
  <c r="G8632" i="50"/>
  <c r="F8632" i="50"/>
  <c r="V8644" i="50"/>
  <c r="U8644" i="50"/>
  <c r="G8644" i="50"/>
  <c r="V8653" i="50"/>
  <c r="U8653" i="50"/>
  <c r="G8653" i="50"/>
  <c r="F8653" i="50"/>
  <c r="V8648" i="50"/>
  <c r="V8628" i="50"/>
  <c r="U8628" i="50"/>
  <c r="G8628" i="50"/>
  <c r="U8674" i="50"/>
  <c r="F8674" i="50"/>
  <c r="V8674" i="50"/>
  <c r="G8663" i="50"/>
  <c r="D8652" i="50"/>
  <c r="B8676" i="50"/>
  <c r="E8652" i="50"/>
  <c r="F8621" i="50"/>
  <c r="V8621" i="50"/>
  <c r="U8621" i="50"/>
  <c r="G8621" i="50"/>
  <c r="F8628" i="50"/>
  <c r="V8667" i="50"/>
  <c r="U8667" i="50"/>
  <c r="G8667" i="50"/>
  <c r="V8651" i="50"/>
  <c r="U8651" i="50"/>
  <c r="G8651" i="50"/>
  <c r="V8689" i="50"/>
  <c r="U8689" i="50"/>
  <c r="G8689" i="50"/>
  <c r="F8689" i="50"/>
  <c r="G8690" i="50"/>
  <c r="V8632" i="50"/>
  <c r="V8673" i="50"/>
  <c r="U8673" i="50"/>
  <c r="G8673" i="50"/>
  <c r="F8673" i="50"/>
  <c r="G8633" i="50"/>
  <c r="U8633" i="50"/>
  <c r="F8633" i="50"/>
  <c r="V8633" i="50"/>
  <c r="U8664" i="50"/>
  <c r="G8664" i="50"/>
  <c r="F8664" i="50"/>
  <c r="V8636" i="50"/>
  <c r="G8635" i="50"/>
  <c r="V8635" i="50"/>
  <c r="U8635" i="50"/>
  <c r="U8638" i="50"/>
  <c r="V8638" i="50"/>
  <c r="G8638" i="50"/>
  <c r="F8638" i="50"/>
  <c r="V8682" i="50"/>
  <c r="F8682" i="50"/>
  <c r="G8682" i="50"/>
  <c r="U8655" i="50"/>
  <c r="G8655" i="50"/>
  <c r="F8655" i="50"/>
  <c r="V8664" i="50"/>
  <c r="D8647" i="50"/>
  <c r="E8647" i="50"/>
  <c r="B8671" i="50"/>
  <c r="G8674" i="50"/>
  <c r="B8703" i="50"/>
  <c r="D8703" i="50" s="1"/>
  <c r="E8679" i="50"/>
  <c r="G8679" i="50" s="1"/>
  <c r="E8662" i="50"/>
  <c r="B8686" i="50"/>
  <c r="D8686" i="50" s="1"/>
  <c r="B8712" i="50"/>
  <c r="D8712" i="50" s="1"/>
  <c r="E8688" i="50"/>
  <c r="V8688" i="50" s="1"/>
  <c r="B8680" i="50"/>
  <c r="D8680" i="50" s="1"/>
  <c r="E8656" i="50"/>
  <c r="V8656" i="50" s="1"/>
  <c r="B8694" i="50"/>
  <c r="D8694" i="50" s="1"/>
  <c r="E8670" i="50"/>
  <c r="V8670" i="50" s="1"/>
  <c r="B8696" i="50"/>
  <c r="D8696" i="50" s="1"/>
  <c r="E8672" i="50"/>
  <c r="V8672" i="50" s="1"/>
  <c r="B8685" i="50"/>
  <c r="D8685" i="50" s="1"/>
  <c r="E8661" i="50"/>
  <c r="B8699" i="50"/>
  <c r="D8699" i="50" s="1"/>
  <c r="E8675" i="50"/>
  <c r="B8738" i="50"/>
  <c r="D8738" i="50" s="1"/>
  <c r="E8714" i="50"/>
  <c r="U8714" i="50" s="1"/>
  <c r="B8730" i="50"/>
  <c r="D8730" i="50" s="1"/>
  <c r="E8706" i="50"/>
  <c r="G8706" i="50" s="1"/>
  <c r="B8684" i="50"/>
  <c r="D8684" i="50" s="1"/>
  <c r="E8660" i="50"/>
  <c r="F8660" i="50" s="1"/>
  <c r="B8692" i="50"/>
  <c r="D8692" i="50" s="1"/>
  <c r="E8668" i="50"/>
  <c r="B8669" i="50"/>
  <c r="D8669" i="50" s="1"/>
  <c r="E8645" i="50"/>
  <c r="B8737" i="50"/>
  <c r="D8737" i="50" s="1"/>
  <c r="E8713" i="50"/>
  <c r="B8701" i="50"/>
  <c r="D8701" i="50" s="1"/>
  <c r="E8677" i="50"/>
  <c r="E8654" i="50"/>
  <c r="B8678" i="50"/>
  <c r="D8678" i="50" s="1"/>
  <c r="B8721" i="50"/>
  <c r="D8721" i="50" s="1"/>
  <c r="E8697" i="50"/>
  <c r="B8715" i="50"/>
  <c r="D8715" i="50" s="1"/>
  <c r="E8691" i="50"/>
  <c r="V8691" i="50" s="1"/>
  <c r="E8687" i="50"/>
  <c r="B8711" i="50"/>
  <c r="D8711" i="50" s="1"/>
  <c r="B8722" i="50"/>
  <c r="D8722" i="50" s="1"/>
  <c r="E8698" i="50"/>
  <c r="U8698" i="50" s="1"/>
  <c r="B8683" i="50"/>
  <c r="D8683" i="50" s="1"/>
  <c r="E8659" i="50"/>
  <c r="V8659" i="50" s="1"/>
  <c r="E8657" i="50"/>
  <c r="B8681" i="50"/>
  <c r="D8681" i="50" s="1"/>
  <c r="U8654" i="50" l="1"/>
  <c r="G8654" i="50"/>
  <c r="F8654" i="50"/>
  <c r="V8654" i="50"/>
  <c r="V8657" i="50"/>
  <c r="U8657" i="50"/>
  <c r="G8657" i="50"/>
  <c r="F8657" i="50"/>
  <c r="D8671" i="50"/>
  <c r="E8671" i="50"/>
  <c r="B8695" i="50"/>
  <c r="G8647" i="50"/>
  <c r="V8661" i="50"/>
  <c r="G8661" i="50"/>
  <c r="F8661" i="50"/>
  <c r="U8661" i="50"/>
  <c r="V8698" i="50"/>
  <c r="G8698" i="50"/>
  <c r="F8698" i="50"/>
  <c r="V8645" i="50"/>
  <c r="G8645" i="50"/>
  <c r="F8645" i="50"/>
  <c r="U8645" i="50"/>
  <c r="G8652" i="50"/>
  <c r="F8652" i="50"/>
  <c r="U8652" i="50"/>
  <c r="V8647" i="50"/>
  <c r="U8647" i="50"/>
  <c r="F8647" i="50"/>
  <c r="U8687" i="50"/>
  <c r="G8687" i="50"/>
  <c r="F8687" i="50"/>
  <c r="G8668" i="50"/>
  <c r="F8668" i="50"/>
  <c r="U8668" i="50"/>
  <c r="G8656" i="50"/>
  <c r="F8656" i="50"/>
  <c r="U8656" i="50"/>
  <c r="D8676" i="50"/>
  <c r="E8676" i="50"/>
  <c r="B8700" i="50"/>
  <c r="V8677" i="50"/>
  <c r="U8677" i="50"/>
  <c r="G8677" i="50"/>
  <c r="F8677" i="50"/>
  <c r="G8672" i="50"/>
  <c r="F8672" i="50"/>
  <c r="U8672" i="50"/>
  <c r="V8652" i="50"/>
  <c r="U8675" i="50"/>
  <c r="G8675" i="50"/>
  <c r="F8675" i="50"/>
  <c r="G8691" i="50"/>
  <c r="U8691" i="50"/>
  <c r="F8691" i="50"/>
  <c r="V8660" i="50"/>
  <c r="U8660" i="50"/>
  <c r="G8660" i="50"/>
  <c r="G8688" i="50"/>
  <c r="F8688" i="50"/>
  <c r="U8688" i="50"/>
  <c r="V8687" i="50"/>
  <c r="U8670" i="50"/>
  <c r="G8670" i="50"/>
  <c r="F8670" i="50"/>
  <c r="U8659" i="50"/>
  <c r="G8659" i="50"/>
  <c r="F8659" i="50"/>
  <c r="V8713" i="50"/>
  <c r="U8713" i="50"/>
  <c r="G8713" i="50"/>
  <c r="F8713" i="50"/>
  <c r="V8697" i="50"/>
  <c r="U8697" i="50"/>
  <c r="G8697" i="50"/>
  <c r="F8697" i="50"/>
  <c r="V8706" i="50"/>
  <c r="U8706" i="50"/>
  <c r="F8706" i="50"/>
  <c r="U8662" i="50"/>
  <c r="F8662" i="50"/>
  <c r="G8662" i="50"/>
  <c r="V8662" i="50"/>
  <c r="V8675" i="50"/>
  <c r="V8714" i="50"/>
  <c r="G8714" i="50"/>
  <c r="F8714" i="50"/>
  <c r="V8679" i="50"/>
  <c r="U8679" i="50"/>
  <c r="F8679" i="50"/>
  <c r="V8668" i="50"/>
  <c r="B8746" i="50"/>
  <c r="D8746" i="50" s="1"/>
  <c r="E8722" i="50"/>
  <c r="G8722" i="50" s="1"/>
  <c r="B8735" i="50"/>
  <c r="D8735" i="50" s="1"/>
  <c r="E8711" i="50"/>
  <c r="G8711" i="50" s="1"/>
  <c r="B8762" i="50"/>
  <c r="D8762" i="50" s="1"/>
  <c r="E8738" i="50"/>
  <c r="G8738" i="50" s="1"/>
  <c r="B8693" i="50"/>
  <c r="D8693" i="50" s="1"/>
  <c r="E8669" i="50"/>
  <c r="B8754" i="50"/>
  <c r="D8754" i="50" s="1"/>
  <c r="E8730" i="50"/>
  <c r="B8739" i="50"/>
  <c r="D8739" i="50" s="1"/>
  <c r="E8715" i="50"/>
  <c r="F8715" i="50" s="1"/>
  <c r="B8725" i="50"/>
  <c r="D8725" i="50" s="1"/>
  <c r="E8701" i="50"/>
  <c r="B8709" i="50"/>
  <c r="D8709" i="50" s="1"/>
  <c r="E8685" i="50"/>
  <c r="B8716" i="50"/>
  <c r="D8716" i="50" s="1"/>
  <c r="E8692" i="50"/>
  <c r="B8704" i="50"/>
  <c r="D8704" i="50" s="1"/>
  <c r="E8680" i="50"/>
  <c r="B8710" i="50"/>
  <c r="D8710" i="50" s="1"/>
  <c r="E8686" i="50"/>
  <c r="V8686" i="50" s="1"/>
  <c r="E8721" i="50"/>
  <c r="B8745" i="50"/>
  <c r="D8745" i="50" s="1"/>
  <c r="B8708" i="50"/>
  <c r="D8708" i="50" s="1"/>
  <c r="E8684" i="50"/>
  <c r="V8684" i="50" s="1"/>
  <c r="E8696" i="50"/>
  <c r="V8696" i="50" s="1"/>
  <c r="B8720" i="50"/>
  <c r="D8720" i="50" s="1"/>
  <c r="B8723" i="50"/>
  <c r="D8723" i="50" s="1"/>
  <c r="E8699" i="50"/>
  <c r="F8699" i="50" s="1"/>
  <c r="E8737" i="50"/>
  <c r="B8761" i="50"/>
  <c r="D8761" i="50" s="1"/>
  <c r="B8707" i="50"/>
  <c r="D8707" i="50" s="1"/>
  <c r="E8683" i="50"/>
  <c r="F8683" i="50" s="1"/>
  <c r="E8678" i="50"/>
  <c r="B8702" i="50"/>
  <c r="D8702" i="50" s="1"/>
  <c r="B8736" i="50"/>
  <c r="D8736" i="50" s="1"/>
  <c r="E8712" i="50"/>
  <c r="V8712" i="50" s="1"/>
  <c r="B8705" i="50"/>
  <c r="D8705" i="50" s="1"/>
  <c r="E8681" i="50"/>
  <c r="E8694" i="50"/>
  <c r="B8718" i="50"/>
  <c r="D8718" i="50" s="1"/>
  <c r="E8703" i="50"/>
  <c r="B8727" i="50"/>
  <c r="D8727" i="50" s="1"/>
  <c r="F8676" i="50" l="1"/>
  <c r="F8680" i="50"/>
  <c r="U8680" i="50"/>
  <c r="G8680" i="50"/>
  <c r="D8700" i="50"/>
  <c r="E8700" i="50"/>
  <c r="B8724" i="50"/>
  <c r="U8678" i="50"/>
  <c r="V8678" i="50"/>
  <c r="G8678" i="50"/>
  <c r="F8678" i="50"/>
  <c r="V8676" i="50"/>
  <c r="U8676" i="50"/>
  <c r="G8676" i="50"/>
  <c r="D8695" i="50"/>
  <c r="B8719" i="50"/>
  <c r="E8695" i="50"/>
  <c r="V8692" i="50"/>
  <c r="U8692" i="50"/>
  <c r="G8692" i="50"/>
  <c r="U8671" i="50"/>
  <c r="G8671" i="50"/>
  <c r="F8671" i="50"/>
  <c r="V8671" i="50"/>
  <c r="V8711" i="50"/>
  <c r="U8711" i="50"/>
  <c r="F8711" i="50"/>
  <c r="F8685" i="50"/>
  <c r="G8685" i="50"/>
  <c r="V8685" i="50"/>
  <c r="U8685" i="50"/>
  <c r="G8737" i="50"/>
  <c r="F8737" i="50"/>
  <c r="U8737" i="50"/>
  <c r="V8737" i="50"/>
  <c r="V8699" i="50"/>
  <c r="U8699" i="50"/>
  <c r="G8699" i="50"/>
  <c r="V8701" i="50"/>
  <c r="U8701" i="50"/>
  <c r="G8701" i="50"/>
  <c r="F8701" i="50"/>
  <c r="U8703" i="50"/>
  <c r="G8703" i="50"/>
  <c r="F8703" i="50"/>
  <c r="V8680" i="50"/>
  <c r="V8715" i="50"/>
  <c r="U8715" i="50"/>
  <c r="G8715" i="50"/>
  <c r="F8692" i="50"/>
  <c r="U8694" i="50"/>
  <c r="V8694" i="50"/>
  <c r="G8694" i="50"/>
  <c r="F8694" i="50"/>
  <c r="U8696" i="50"/>
  <c r="G8696" i="50"/>
  <c r="F8696" i="50"/>
  <c r="V8722" i="50"/>
  <c r="U8722" i="50"/>
  <c r="F8722" i="50"/>
  <c r="V8681" i="50"/>
  <c r="U8681" i="50"/>
  <c r="G8681" i="50"/>
  <c r="F8681" i="50"/>
  <c r="G8684" i="50"/>
  <c r="F8684" i="50"/>
  <c r="U8684" i="50"/>
  <c r="V8730" i="50"/>
  <c r="F8730" i="50"/>
  <c r="G8730" i="50"/>
  <c r="V8703" i="50"/>
  <c r="V8683" i="50"/>
  <c r="U8683" i="50"/>
  <c r="G8683" i="50"/>
  <c r="V8669" i="50"/>
  <c r="U8669" i="50"/>
  <c r="G8669" i="50"/>
  <c r="F8669" i="50"/>
  <c r="V8721" i="50"/>
  <c r="U8721" i="50"/>
  <c r="G8721" i="50"/>
  <c r="F8721" i="50"/>
  <c r="U8730" i="50"/>
  <c r="U8712" i="50"/>
  <c r="G8712" i="50"/>
  <c r="F8712" i="50"/>
  <c r="U8686" i="50"/>
  <c r="G8686" i="50"/>
  <c r="F8686" i="50"/>
  <c r="V8738" i="50"/>
  <c r="U8738" i="50"/>
  <c r="F8738" i="50"/>
  <c r="B8763" i="50"/>
  <c r="D8763" i="50" s="1"/>
  <c r="E8739" i="50"/>
  <c r="B8744" i="50"/>
  <c r="D8744" i="50" s="1"/>
  <c r="E8720" i="50"/>
  <c r="E8754" i="50"/>
  <c r="E8705" i="50"/>
  <c r="B8729" i="50"/>
  <c r="D8729" i="50" s="1"/>
  <c r="B8731" i="50"/>
  <c r="D8731" i="50" s="1"/>
  <c r="E8707" i="50"/>
  <c r="V8707" i="50" s="1"/>
  <c r="B8733" i="50"/>
  <c r="D8733" i="50" s="1"/>
  <c r="E8709" i="50"/>
  <c r="B8732" i="50"/>
  <c r="D8732" i="50" s="1"/>
  <c r="E8708" i="50"/>
  <c r="F8708" i="50" s="1"/>
  <c r="B8760" i="50"/>
  <c r="D8760" i="50" s="1"/>
  <c r="E8736" i="50"/>
  <c r="E8761" i="50"/>
  <c r="E8745" i="50"/>
  <c r="E8762" i="50"/>
  <c r="E8718" i="50"/>
  <c r="B8742" i="50"/>
  <c r="D8742" i="50" s="1"/>
  <c r="E8702" i="50"/>
  <c r="V8702" i="50" s="1"/>
  <c r="B8726" i="50"/>
  <c r="D8726" i="50" s="1"/>
  <c r="B8728" i="50"/>
  <c r="D8728" i="50" s="1"/>
  <c r="E8704" i="50"/>
  <c r="V8704" i="50" s="1"/>
  <c r="E8735" i="50"/>
  <c r="V8735" i="50" s="1"/>
  <c r="B8759" i="50"/>
  <c r="D8759" i="50" s="1"/>
  <c r="B8751" i="50"/>
  <c r="D8751" i="50" s="1"/>
  <c r="E8727" i="50"/>
  <c r="G8727" i="50" s="1"/>
  <c r="E8710" i="50"/>
  <c r="B8734" i="50"/>
  <c r="D8734" i="50" s="1"/>
  <c r="B8749" i="50"/>
  <c r="D8749" i="50" s="1"/>
  <c r="E8725" i="50"/>
  <c r="B8747" i="50"/>
  <c r="D8747" i="50" s="1"/>
  <c r="E8723" i="50"/>
  <c r="B8740" i="50"/>
  <c r="D8740" i="50" s="1"/>
  <c r="E8716" i="50"/>
  <c r="B8717" i="50"/>
  <c r="D8717" i="50" s="1"/>
  <c r="E8693" i="50"/>
  <c r="E8746" i="50"/>
  <c r="U8746" i="50" s="1"/>
  <c r="G8716" i="50" l="1"/>
  <c r="F8716" i="50"/>
  <c r="U8716" i="50"/>
  <c r="G8720" i="50"/>
  <c r="F8720" i="50"/>
  <c r="U8720" i="50"/>
  <c r="U8723" i="50"/>
  <c r="G8723" i="50"/>
  <c r="F8723" i="50"/>
  <c r="V8762" i="50"/>
  <c r="F8762" i="50"/>
  <c r="G8762" i="50"/>
  <c r="F8745" i="50"/>
  <c r="V8745" i="50"/>
  <c r="U8745" i="50"/>
  <c r="G8745" i="50"/>
  <c r="V8754" i="50"/>
  <c r="U8754" i="50"/>
  <c r="F8754" i="50"/>
  <c r="U8718" i="50"/>
  <c r="G8718" i="50"/>
  <c r="F8718" i="50"/>
  <c r="V8725" i="50"/>
  <c r="G8725" i="50"/>
  <c r="F8725" i="50"/>
  <c r="U8725" i="50"/>
  <c r="V8761" i="50"/>
  <c r="U8761" i="50"/>
  <c r="G8761" i="50"/>
  <c r="F8761" i="50"/>
  <c r="U8739" i="50"/>
  <c r="G8739" i="50"/>
  <c r="F8739" i="50"/>
  <c r="V8716" i="50"/>
  <c r="G8736" i="50"/>
  <c r="F8736" i="50"/>
  <c r="U8736" i="50"/>
  <c r="V8727" i="50"/>
  <c r="U8727" i="50"/>
  <c r="F8727" i="50"/>
  <c r="V8718" i="50"/>
  <c r="G8700" i="50"/>
  <c r="F8700" i="50"/>
  <c r="U8700" i="50"/>
  <c r="V8700" i="50"/>
  <c r="U8710" i="50"/>
  <c r="V8710" i="50"/>
  <c r="G8710" i="50"/>
  <c r="F8710" i="50"/>
  <c r="U8709" i="50"/>
  <c r="V8709" i="50"/>
  <c r="G8709" i="50"/>
  <c r="F8709" i="50"/>
  <c r="V8723" i="50"/>
  <c r="U8735" i="50"/>
  <c r="G8735" i="50"/>
  <c r="F8735" i="50"/>
  <c r="G8754" i="50"/>
  <c r="V8739" i="50"/>
  <c r="D8724" i="50"/>
  <c r="B8748" i="50"/>
  <c r="E8724" i="50"/>
  <c r="G8704" i="50"/>
  <c r="F8704" i="50"/>
  <c r="U8704" i="50"/>
  <c r="U8707" i="50"/>
  <c r="G8707" i="50"/>
  <c r="F8707" i="50"/>
  <c r="V8695" i="50"/>
  <c r="U8695" i="50"/>
  <c r="F8695" i="50"/>
  <c r="V8708" i="50"/>
  <c r="U8708" i="50"/>
  <c r="G8708" i="50"/>
  <c r="V8720" i="50"/>
  <c r="V8746" i="50"/>
  <c r="F8746" i="50"/>
  <c r="G8746" i="50"/>
  <c r="D8719" i="50"/>
  <c r="E8719" i="50"/>
  <c r="B8743" i="50"/>
  <c r="V8693" i="50"/>
  <c r="G8693" i="50"/>
  <c r="F8693" i="50"/>
  <c r="U8693" i="50"/>
  <c r="G8695" i="50"/>
  <c r="V8736" i="50"/>
  <c r="U8702" i="50"/>
  <c r="G8702" i="50"/>
  <c r="F8702" i="50"/>
  <c r="V8705" i="50"/>
  <c r="U8705" i="50"/>
  <c r="G8705" i="50"/>
  <c r="F8705" i="50"/>
  <c r="U8762" i="50"/>
  <c r="E8760" i="50"/>
  <c r="E8728" i="50"/>
  <c r="V8728" i="50" s="1"/>
  <c r="B8752" i="50"/>
  <c r="D8752" i="50" s="1"/>
  <c r="B8756" i="50"/>
  <c r="D8756" i="50" s="1"/>
  <c r="E8732" i="50"/>
  <c r="E8740" i="50"/>
  <c r="F8740" i="50" s="1"/>
  <c r="B8758" i="50"/>
  <c r="D8758" i="50" s="1"/>
  <c r="E8734" i="50"/>
  <c r="V8734" i="50" s="1"/>
  <c r="E8751" i="50"/>
  <c r="E8744" i="50"/>
  <c r="E8749" i="50"/>
  <c r="V8749" i="50" s="1"/>
  <c r="E8747" i="50"/>
  <c r="F8747" i="50" s="1"/>
  <c r="E8726" i="50"/>
  <c r="B8750" i="50"/>
  <c r="D8750" i="50" s="1"/>
  <c r="E8759" i="50"/>
  <c r="E8763" i="50"/>
  <c r="F8763" i="50" s="1"/>
  <c r="E8742" i="50"/>
  <c r="B8741" i="50"/>
  <c r="D8741" i="50" s="1"/>
  <c r="E8717" i="50"/>
  <c r="B8755" i="50"/>
  <c r="D8755" i="50" s="1"/>
  <c r="E8731" i="50"/>
  <c r="F8731" i="50" s="1"/>
  <c r="B8757" i="50"/>
  <c r="D8757" i="50" s="1"/>
  <c r="E8733" i="50"/>
  <c r="B8753" i="50"/>
  <c r="D8753" i="50" s="1"/>
  <c r="E8729" i="50"/>
  <c r="U8717" i="50" l="1"/>
  <c r="F8717" i="50"/>
  <c r="G8717" i="50"/>
  <c r="V8760" i="50"/>
  <c r="U8760" i="50"/>
  <c r="G8760" i="50"/>
  <c r="F8760" i="50"/>
  <c r="D8743" i="50"/>
  <c r="E8743" i="50"/>
  <c r="U8719" i="50"/>
  <c r="G8719" i="50"/>
  <c r="F8719" i="50"/>
  <c r="G8732" i="50"/>
  <c r="F8732" i="50"/>
  <c r="U8732" i="50"/>
  <c r="V8759" i="50"/>
  <c r="U8759" i="50"/>
  <c r="F8759" i="50"/>
  <c r="V8719" i="50"/>
  <c r="G8759" i="50"/>
  <c r="V8726" i="50"/>
  <c r="U8726" i="50"/>
  <c r="G8726" i="50"/>
  <c r="F8726" i="50"/>
  <c r="U8728" i="50"/>
  <c r="G8728" i="50"/>
  <c r="F8728" i="50"/>
  <c r="V8747" i="50"/>
  <c r="U8747" i="50"/>
  <c r="G8747" i="50"/>
  <c r="V8724" i="50"/>
  <c r="U8724" i="50"/>
  <c r="G8724" i="50"/>
  <c r="V8732" i="50"/>
  <c r="F8749" i="50"/>
  <c r="G8749" i="50"/>
  <c r="U8749" i="50"/>
  <c r="D8748" i="50"/>
  <c r="E8748" i="50"/>
  <c r="V8742" i="50"/>
  <c r="U8742" i="50"/>
  <c r="G8742" i="50"/>
  <c r="F8742" i="50"/>
  <c r="V8744" i="50"/>
  <c r="U8744" i="50"/>
  <c r="G8744" i="50"/>
  <c r="F8744" i="50"/>
  <c r="F8724" i="50"/>
  <c r="U8751" i="50"/>
  <c r="G8751" i="50"/>
  <c r="F8751" i="50"/>
  <c r="F8729" i="50"/>
  <c r="V8729" i="50"/>
  <c r="U8729" i="50"/>
  <c r="G8729" i="50"/>
  <c r="U8734" i="50"/>
  <c r="F8734" i="50"/>
  <c r="G8734" i="50"/>
  <c r="V8717" i="50"/>
  <c r="U8731" i="50"/>
  <c r="G8731" i="50"/>
  <c r="V8731" i="50"/>
  <c r="F8733" i="50"/>
  <c r="U8733" i="50"/>
  <c r="G8733" i="50"/>
  <c r="V8733" i="50"/>
  <c r="V8751" i="50"/>
  <c r="V8763" i="50"/>
  <c r="U8763" i="50"/>
  <c r="G8763" i="50"/>
  <c r="G8757" i="50"/>
  <c r="V8740" i="50"/>
  <c r="U8740" i="50"/>
  <c r="G8740" i="50"/>
  <c r="E8750" i="50"/>
  <c r="V8750" i="50" s="1"/>
  <c r="E8756" i="50"/>
  <c r="F8756" i="50" s="1"/>
  <c r="E8753" i="50"/>
  <c r="E8741" i="50"/>
  <c r="G8741" i="50" s="1"/>
  <c r="E8758" i="50"/>
  <c r="E8755" i="50"/>
  <c r="V8755" i="50" s="1"/>
  <c r="E8757" i="50"/>
  <c r="E8752" i="50"/>
  <c r="G8748" i="50" l="1"/>
  <c r="F8748" i="50"/>
  <c r="U8748" i="50"/>
  <c r="V8743" i="50"/>
  <c r="U8743" i="50"/>
  <c r="F8743" i="50"/>
  <c r="V8748" i="50"/>
  <c r="G8743" i="50"/>
  <c r="G8752" i="50"/>
  <c r="F8752" i="50"/>
  <c r="U8752" i="50"/>
  <c r="V8757" i="50"/>
  <c r="U8757" i="50"/>
  <c r="F8757" i="50"/>
  <c r="U8755" i="50"/>
  <c r="G8755" i="50"/>
  <c r="F8755" i="50"/>
  <c r="V8758" i="50"/>
  <c r="U8758" i="50"/>
  <c r="G8758" i="50"/>
  <c r="F8758" i="50"/>
  <c r="V8752" i="50"/>
  <c r="V8741" i="50"/>
  <c r="F8741" i="50"/>
  <c r="U8741" i="50"/>
  <c r="U8750" i="50"/>
  <c r="F8750" i="50"/>
  <c r="G8750" i="50"/>
  <c r="U8753" i="50"/>
  <c r="G8753" i="50"/>
  <c r="F8753" i="50"/>
  <c r="V8753" i="50"/>
  <c r="V8756" i="50"/>
  <c r="U8756" i="50"/>
  <c r="G8756" i="50"/>
  <c r="J71" i="2" l="1"/>
  <c r="J72" i="2"/>
  <c r="J73" i="2"/>
  <c r="N73" i="2"/>
  <c r="M73" i="2"/>
  <c r="L73" i="2"/>
  <c r="K73" i="2"/>
  <c r="N72" i="2"/>
  <c r="M72" i="2"/>
  <c r="L72" i="2"/>
  <c r="K72" i="2"/>
  <c r="N71" i="2"/>
  <c r="M71" i="2"/>
  <c r="L71" i="2"/>
  <c r="K71" i="2"/>
  <c r="N70" i="2"/>
  <c r="M70" i="2"/>
  <c r="L70" i="2"/>
  <c r="K70" i="2"/>
  <c r="J70" i="2"/>
  <c r="N69" i="2"/>
  <c r="M69" i="2"/>
  <c r="L69" i="2"/>
  <c r="K69" i="2"/>
  <c r="J69" i="2"/>
  <c r="N68" i="2"/>
  <c r="M68" i="2"/>
  <c r="L68" i="2"/>
  <c r="K68" i="2"/>
  <c r="J68" i="2"/>
  <c r="N67" i="2"/>
  <c r="M67" i="2"/>
  <c r="L67" i="2"/>
  <c r="K67" i="2"/>
  <c r="J67" i="2"/>
  <c r="N66" i="2"/>
  <c r="M66" i="2"/>
  <c r="L66" i="2"/>
  <c r="K66" i="2"/>
  <c r="J66" i="2"/>
  <c r="N65" i="2"/>
  <c r="M65" i="2"/>
  <c r="L65" i="2"/>
  <c r="K65" i="2"/>
  <c r="J65" i="2"/>
  <c r="N64" i="2"/>
  <c r="M64" i="2"/>
  <c r="L64" i="2"/>
  <c r="K64" i="2"/>
  <c r="J64" i="2"/>
  <c r="N63" i="2"/>
  <c r="M63" i="2"/>
  <c r="L63" i="2"/>
  <c r="K63" i="2"/>
  <c r="J63" i="2"/>
  <c r="N62" i="2"/>
  <c r="M62" i="2"/>
  <c r="L62" i="2"/>
  <c r="K62" i="2"/>
  <c r="J62" i="2"/>
  <c r="N61" i="2"/>
  <c r="M61" i="2"/>
  <c r="L61" i="2"/>
  <c r="K61" i="2"/>
  <c r="J61" i="2"/>
  <c r="N60" i="2"/>
  <c r="M60" i="2"/>
  <c r="L60" i="2"/>
  <c r="K60" i="2"/>
  <c r="J60" i="2"/>
  <c r="N59" i="2"/>
  <c r="M59" i="2"/>
  <c r="L59" i="2"/>
  <c r="K59" i="2"/>
  <c r="J59" i="2"/>
  <c r="S21" i="19"/>
  <c r="B108" i="2" l="1"/>
  <c r="B109" i="2" s="1"/>
  <c r="B110" i="2" s="1"/>
  <c r="B111" i="2" s="1"/>
  <c r="B112" i="2" s="1"/>
  <c r="B113" i="2" s="1"/>
  <c r="B114" i="2" s="1"/>
  <c r="B115" i="2" s="1"/>
  <c r="B116" i="2" s="1"/>
  <c r="B117" i="2" s="1"/>
  <c r="B118" i="2" s="1"/>
  <c r="B119" i="2" s="1"/>
  <c r="AB103" i="2"/>
  <c r="AA103" i="2"/>
  <c r="Z103" i="2"/>
  <c r="Y103" i="2"/>
  <c r="X103" i="2"/>
  <c r="V103" i="2"/>
  <c r="U103" i="2"/>
  <c r="T103" i="2"/>
  <c r="S103" i="2"/>
  <c r="R103" i="2"/>
  <c r="Q103" i="2"/>
  <c r="D103" i="2"/>
  <c r="C103" i="2"/>
  <c r="D95" i="2"/>
  <c r="D87" i="2"/>
  <c r="C87" i="2"/>
  <c r="AB78" i="2"/>
  <c r="AA78" i="2"/>
  <c r="Z78" i="2"/>
  <c r="Y78" i="2"/>
  <c r="X78" i="2"/>
  <c r="U78" i="2"/>
  <c r="T78" i="2"/>
  <c r="S78" i="2"/>
  <c r="R78" i="2"/>
  <c r="Q78" i="2"/>
  <c r="N76" i="2"/>
  <c r="M76" i="2"/>
  <c r="L76" i="2"/>
  <c r="K76" i="2"/>
  <c r="J76" i="2"/>
  <c r="H76" i="2"/>
  <c r="G76" i="2"/>
  <c r="F76" i="2"/>
  <c r="E76" i="2"/>
  <c r="D76" i="2"/>
  <c r="C76" i="2"/>
  <c r="N75" i="2"/>
  <c r="M75" i="2"/>
  <c r="L75" i="2"/>
  <c r="K75" i="2"/>
  <c r="J75" i="2"/>
  <c r="H75" i="2"/>
  <c r="G75" i="2"/>
  <c r="F75" i="2"/>
  <c r="E75" i="2"/>
  <c r="D75" i="2"/>
  <c r="C75" i="2"/>
  <c r="N74" i="2"/>
  <c r="M74" i="2"/>
  <c r="L74" i="2"/>
  <c r="K74" i="2"/>
  <c r="J74" i="2"/>
  <c r="H74" i="2"/>
  <c r="G74" i="2"/>
  <c r="F74" i="2"/>
  <c r="E74" i="2"/>
  <c r="D74" i="2"/>
  <c r="C74" i="2"/>
  <c r="H73" i="2"/>
  <c r="G73" i="2"/>
  <c r="F73" i="2"/>
  <c r="E73" i="2"/>
  <c r="D73" i="2"/>
  <c r="C73" i="2"/>
  <c r="H72" i="2"/>
  <c r="G72" i="2"/>
  <c r="F72" i="2"/>
  <c r="E72" i="2"/>
  <c r="D72" i="2"/>
  <c r="C72" i="2"/>
  <c r="H71" i="2"/>
  <c r="G71" i="2"/>
  <c r="F71" i="2"/>
  <c r="E71" i="2"/>
  <c r="D71" i="2"/>
  <c r="C71" i="2"/>
  <c r="H70" i="2"/>
  <c r="G70" i="2"/>
  <c r="F70" i="2"/>
  <c r="E70" i="2"/>
  <c r="D70" i="2"/>
  <c r="C70" i="2"/>
  <c r="H69" i="2"/>
  <c r="G69" i="2"/>
  <c r="F69" i="2"/>
  <c r="E69" i="2"/>
  <c r="D69" i="2"/>
  <c r="C69" i="2"/>
  <c r="H68" i="2"/>
  <c r="G68" i="2"/>
  <c r="F68" i="2"/>
  <c r="E68" i="2"/>
  <c r="D68" i="2"/>
  <c r="C68" i="2"/>
  <c r="H67" i="2"/>
  <c r="G67" i="2"/>
  <c r="F67" i="2"/>
  <c r="E67" i="2"/>
  <c r="D67" i="2"/>
  <c r="C67" i="2"/>
  <c r="G62" i="2"/>
  <c r="F62" i="2"/>
  <c r="E62" i="2"/>
  <c r="D62" i="2"/>
  <c r="C62" i="2"/>
  <c r="H61" i="2"/>
  <c r="G61" i="2"/>
  <c r="F61" i="2"/>
  <c r="E61" i="2"/>
  <c r="D61" i="2"/>
  <c r="C61" i="2"/>
  <c r="H60" i="2"/>
  <c r="G60" i="2"/>
  <c r="F60" i="2"/>
  <c r="E60" i="2"/>
  <c r="D60" i="2"/>
  <c r="C60" i="2"/>
  <c r="H59" i="2"/>
  <c r="G59" i="2"/>
  <c r="F59" i="2"/>
  <c r="E59" i="2"/>
  <c r="D59" i="2"/>
  <c r="C59" i="2"/>
  <c r="V58" i="2"/>
  <c r="V78" i="2" s="1"/>
  <c r="N58" i="2"/>
  <c r="M58" i="2"/>
  <c r="L58" i="2"/>
  <c r="K58" i="2"/>
  <c r="J58" i="2"/>
  <c r="H58" i="2"/>
  <c r="G58" i="2"/>
  <c r="F58" i="2"/>
  <c r="E58" i="2"/>
  <c r="D58" i="2"/>
  <c r="C58" i="2"/>
  <c r="AB57" i="2"/>
  <c r="AB82" i="2" s="1"/>
  <c r="AA57" i="2"/>
  <c r="AA82" i="2" s="1"/>
  <c r="Z57" i="2"/>
  <c r="Z82" i="2" s="1"/>
  <c r="Y57" i="2"/>
  <c r="Y82" i="2" s="1"/>
  <c r="X57" i="2"/>
  <c r="X82" i="2" s="1"/>
  <c r="V57" i="2"/>
  <c r="V82" i="2" s="1"/>
  <c r="U57" i="2"/>
  <c r="U82" i="2" s="1"/>
  <c r="T57" i="2"/>
  <c r="T82" i="2" s="1"/>
  <c r="S57" i="2"/>
  <c r="S82" i="2" s="1"/>
  <c r="R57" i="2"/>
  <c r="R82" i="2" s="1"/>
  <c r="Q57" i="2"/>
  <c r="Q82" i="2" s="1"/>
  <c r="N57" i="2"/>
  <c r="M57" i="2"/>
  <c r="L57" i="2"/>
  <c r="K57" i="2"/>
  <c r="J57" i="2"/>
  <c r="H57" i="2"/>
  <c r="G57" i="2"/>
  <c r="F57" i="2"/>
  <c r="E57" i="2"/>
  <c r="D57" i="2"/>
  <c r="C57" i="2"/>
  <c r="B27" i="37"/>
  <c r="F35" i="2"/>
  <c r="E35" i="2" s="1"/>
  <c r="B35" i="2"/>
  <c r="F34" i="2"/>
  <c r="E34" i="2" s="1"/>
  <c r="B34" i="2"/>
  <c r="B25" i="37" s="1"/>
  <c r="F33" i="2"/>
  <c r="E33" i="2" s="1"/>
  <c r="B33" i="2"/>
  <c r="F32" i="2"/>
  <c r="E32" i="2" s="1"/>
  <c r="B32" i="2"/>
  <c r="F31" i="2"/>
  <c r="E31" i="2" s="1"/>
  <c r="B31" i="2"/>
  <c r="B22" i="37" s="1"/>
  <c r="F30" i="2"/>
  <c r="E30" i="2" s="1"/>
  <c r="B30" i="2"/>
  <c r="F29" i="2"/>
  <c r="E29" i="2" s="1"/>
  <c r="B29" i="2"/>
  <c r="B20" i="37" s="1"/>
  <c r="F28" i="2"/>
  <c r="E28" i="2" s="1"/>
  <c r="B28" i="2"/>
  <c r="B19" i="37" s="1"/>
  <c r="F27" i="2"/>
  <c r="E27" i="2" s="1"/>
  <c r="B27" i="2"/>
  <c r="B18" i="37" s="1"/>
  <c r="F26" i="2"/>
  <c r="E26" i="2" s="1"/>
  <c r="B26" i="2"/>
  <c r="B17" i="37" s="1"/>
  <c r="F25" i="2"/>
  <c r="E25" i="2" s="1"/>
  <c r="B25" i="2"/>
  <c r="F24" i="2"/>
  <c r="E24" i="2" s="1"/>
  <c r="B24" i="2"/>
  <c r="B15" i="37" s="1"/>
  <c r="F23" i="2"/>
  <c r="E23" i="2" s="1"/>
  <c r="B23" i="2"/>
  <c r="F22" i="2"/>
  <c r="E22" i="2" s="1"/>
  <c r="B22" i="2"/>
  <c r="F21" i="2"/>
  <c r="E21" i="2" s="1"/>
  <c r="B21" i="2"/>
  <c r="B12" i="37" s="1"/>
  <c r="F20" i="2"/>
  <c r="E20" i="2" s="1"/>
  <c r="B20" i="2"/>
  <c r="B11" i="37" s="1"/>
  <c r="F19" i="2"/>
  <c r="E19" i="2" s="1"/>
  <c r="B19" i="2"/>
  <c r="B10" i="37" s="1"/>
  <c r="F18" i="2"/>
  <c r="E18" i="2" s="1"/>
  <c r="B18" i="2"/>
  <c r="F17" i="2"/>
  <c r="E17" i="2" s="1"/>
  <c r="B17" i="2"/>
  <c r="M10" i="2"/>
  <c r="M9" i="2"/>
  <c r="L8" i="2"/>
  <c r="D8" i="2"/>
  <c r="E8" i="2" s="1"/>
  <c r="E7" i="2"/>
  <c r="B29" i="37"/>
  <c r="B28" i="37"/>
  <c r="B24" i="37"/>
  <c r="F23" i="37"/>
  <c r="B23" i="37"/>
  <c r="F22" i="37"/>
  <c r="B21" i="37"/>
  <c r="F19" i="37"/>
  <c r="F18" i="37"/>
  <c r="F17" i="37"/>
  <c r="F16" i="37"/>
  <c r="B16" i="37"/>
  <c r="B14" i="37"/>
  <c r="B13" i="37"/>
  <c r="F12" i="37"/>
  <c r="F11" i="37"/>
  <c r="F10" i="37"/>
  <c r="F9" i="37"/>
  <c r="B9" i="37"/>
  <c r="B8" i="37"/>
  <c r="F218" i="12"/>
  <c r="E218" i="12"/>
  <c r="F217" i="12"/>
  <c r="E217" i="12"/>
  <c r="F216" i="12"/>
  <c r="E216" i="12"/>
  <c r="F215" i="12"/>
  <c r="E215" i="12"/>
  <c r="F214" i="12"/>
  <c r="E214" i="12"/>
  <c r="F213" i="12"/>
  <c r="E213" i="12"/>
  <c r="F212" i="12"/>
  <c r="E212" i="12"/>
  <c r="F211" i="12"/>
  <c r="E211" i="12"/>
  <c r="F210" i="12"/>
  <c r="E210" i="12"/>
  <c r="F209" i="12"/>
  <c r="E209" i="12"/>
  <c r="F208" i="12"/>
  <c r="E208" i="12"/>
  <c r="F207" i="12"/>
  <c r="E207" i="12"/>
  <c r="F206" i="12"/>
  <c r="E206" i="12"/>
  <c r="F205" i="12"/>
  <c r="E205" i="12"/>
  <c r="F204" i="12"/>
  <c r="E204" i="12"/>
  <c r="F203" i="12"/>
  <c r="E203" i="12"/>
  <c r="C188" i="12"/>
  <c r="C189" i="12" s="1"/>
  <c r="G187" i="12"/>
  <c r="F185" i="12"/>
  <c r="E185" i="12"/>
  <c r="F184" i="12"/>
  <c r="E184" i="12"/>
  <c r="F183" i="12"/>
  <c r="E183" i="12"/>
  <c r="F182" i="12"/>
  <c r="E182" i="12"/>
  <c r="F181" i="12"/>
  <c r="E181" i="12"/>
  <c r="F180" i="12"/>
  <c r="E180" i="12"/>
  <c r="F179" i="12"/>
  <c r="E179" i="12"/>
  <c r="F178" i="12"/>
  <c r="E178" i="12"/>
  <c r="F177" i="12"/>
  <c r="E177" i="12"/>
  <c r="F176" i="12"/>
  <c r="E176" i="12"/>
  <c r="F175" i="12"/>
  <c r="E175" i="12"/>
  <c r="F174" i="12"/>
  <c r="E174" i="12"/>
  <c r="F173" i="12"/>
  <c r="E173" i="12"/>
  <c r="F172" i="12"/>
  <c r="E172" i="12"/>
  <c r="F171" i="12"/>
  <c r="E171" i="12"/>
  <c r="F170" i="12"/>
  <c r="E170" i="12"/>
  <c r="C155" i="12"/>
  <c r="C156" i="12" s="1"/>
  <c r="G154" i="12"/>
  <c r="F152" i="12"/>
  <c r="E152" i="12"/>
  <c r="F151" i="12"/>
  <c r="E151" i="12"/>
  <c r="F150" i="12"/>
  <c r="E150" i="12"/>
  <c r="F149" i="12"/>
  <c r="E149" i="12"/>
  <c r="F148" i="12"/>
  <c r="E148" i="12"/>
  <c r="F147" i="12"/>
  <c r="E147" i="12"/>
  <c r="F146" i="12"/>
  <c r="E146" i="12"/>
  <c r="F145" i="12"/>
  <c r="E145" i="12"/>
  <c r="F144" i="12"/>
  <c r="E144" i="12"/>
  <c r="F143" i="12"/>
  <c r="E143" i="12"/>
  <c r="F142" i="12"/>
  <c r="E142" i="12"/>
  <c r="F141" i="12"/>
  <c r="E141" i="12"/>
  <c r="F140" i="12"/>
  <c r="E140" i="12"/>
  <c r="F139" i="12"/>
  <c r="E139" i="12"/>
  <c r="F138" i="12"/>
  <c r="E138" i="12"/>
  <c r="F137" i="12"/>
  <c r="E137" i="12"/>
  <c r="C122" i="12"/>
  <c r="G122" i="12" s="1"/>
  <c r="G121" i="12"/>
  <c r="F119" i="12"/>
  <c r="E119" i="12"/>
  <c r="F118" i="12"/>
  <c r="E118" i="12"/>
  <c r="F117" i="12"/>
  <c r="E117" i="12"/>
  <c r="F116" i="12"/>
  <c r="E116" i="12"/>
  <c r="F115" i="12"/>
  <c r="E115" i="12"/>
  <c r="F114" i="12"/>
  <c r="E114" i="12"/>
  <c r="F113" i="12"/>
  <c r="E113" i="12"/>
  <c r="F112" i="12"/>
  <c r="E112" i="12"/>
  <c r="F111" i="12"/>
  <c r="E111" i="12"/>
  <c r="F110" i="12"/>
  <c r="E110" i="12"/>
  <c r="F109" i="12"/>
  <c r="E109" i="12"/>
  <c r="F108" i="12"/>
  <c r="E108" i="12"/>
  <c r="F107" i="12"/>
  <c r="E107" i="12"/>
  <c r="F106" i="12"/>
  <c r="E106" i="12"/>
  <c r="F105" i="12"/>
  <c r="E105" i="12"/>
  <c r="F104" i="12"/>
  <c r="E104" i="12"/>
  <c r="C89" i="12"/>
  <c r="C90" i="12" s="1"/>
  <c r="C91" i="12" s="1"/>
  <c r="G88" i="12"/>
  <c r="F86" i="12"/>
  <c r="E86" i="12"/>
  <c r="F85" i="12"/>
  <c r="E85" i="12"/>
  <c r="F84" i="12"/>
  <c r="E84" i="12"/>
  <c r="F83" i="12"/>
  <c r="E83" i="12"/>
  <c r="F82" i="12"/>
  <c r="E82" i="12"/>
  <c r="F81" i="12"/>
  <c r="E81" i="12"/>
  <c r="F80" i="12"/>
  <c r="E80" i="12"/>
  <c r="F79" i="12"/>
  <c r="E79" i="12"/>
  <c r="F78" i="12"/>
  <c r="E78" i="12"/>
  <c r="F77" i="12"/>
  <c r="E77" i="12"/>
  <c r="F76" i="12"/>
  <c r="E76" i="12"/>
  <c r="F75" i="12"/>
  <c r="E75" i="12"/>
  <c r="F74" i="12"/>
  <c r="E74" i="12"/>
  <c r="F73" i="12"/>
  <c r="E73" i="12"/>
  <c r="F72" i="12"/>
  <c r="E72" i="12"/>
  <c r="F71" i="12"/>
  <c r="E71" i="12"/>
  <c r="C56" i="12"/>
  <c r="C57" i="12" s="1"/>
  <c r="G55" i="12"/>
  <c r="F53" i="12"/>
  <c r="E53" i="12"/>
  <c r="F52" i="12"/>
  <c r="E52" i="12"/>
  <c r="F51" i="12"/>
  <c r="E51" i="12"/>
  <c r="F50" i="12"/>
  <c r="E50" i="12"/>
  <c r="F49" i="12"/>
  <c r="E49" i="12"/>
  <c r="F48" i="12"/>
  <c r="E48" i="12"/>
  <c r="F47" i="12"/>
  <c r="E47" i="12"/>
  <c r="F46" i="12"/>
  <c r="E46" i="12"/>
  <c r="F45" i="12"/>
  <c r="E45" i="12"/>
  <c r="F44" i="12"/>
  <c r="E44" i="12"/>
  <c r="F43" i="12"/>
  <c r="E43" i="12"/>
  <c r="F42" i="12"/>
  <c r="E42" i="12"/>
  <c r="F41" i="12"/>
  <c r="E41" i="12"/>
  <c r="F40" i="12"/>
  <c r="E40" i="12"/>
  <c r="F39" i="12"/>
  <c r="E39" i="12"/>
  <c r="F38" i="12"/>
  <c r="E38" i="12"/>
  <c r="C23" i="12"/>
  <c r="C24" i="12" s="1"/>
  <c r="G22" i="12"/>
  <c r="D9" i="12"/>
  <c r="C4" i="12"/>
  <c r="F218" i="19"/>
  <c r="E218" i="19"/>
  <c r="G218" i="19" s="1"/>
  <c r="F217" i="19"/>
  <c r="E217" i="19"/>
  <c r="G217" i="19" s="1"/>
  <c r="F216" i="19"/>
  <c r="E216" i="19"/>
  <c r="G216" i="19" s="1"/>
  <c r="F215" i="19"/>
  <c r="E215" i="19"/>
  <c r="G215" i="19" s="1"/>
  <c r="F214" i="19"/>
  <c r="E214" i="19"/>
  <c r="G214" i="19" s="1"/>
  <c r="F213" i="19"/>
  <c r="E213" i="19"/>
  <c r="F212" i="19"/>
  <c r="E212" i="19"/>
  <c r="G212" i="19" s="1"/>
  <c r="F211" i="19"/>
  <c r="G211" i="19" s="1"/>
  <c r="E211" i="19"/>
  <c r="F210" i="19"/>
  <c r="E210" i="19"/>
  <c r="G210" i="19" s="1"/>
  <c r="F209" i="19"/>
  <c r="E209" i="19"/>
  <c r="F208" i="19"/>
  <c r="E208" i="19"/>
  <c r="F207" i="19"/>
  <c r="E207" i="19"/>
  <c r="F206" i="19"/>
  <c r="E206" i="19"/>
  <c r="G206" i="19" s="1"/>
  <c r="F205" i="19"/>
  <c r="E205" i="19"/>
  <c r="G205" i="19" s="1"/>
  <c r="F204" i="19"/>
  <c r="E204" i="19"/>
  <c r="F203" i="19"/>
  <c r="E203" i="19"/>
  <c r="G203" i="19" s="1"/>
  <c r="C188" i="19"/>
  <c r="G188" i="19" s="1"/>
  <c r="G187" i="19"/>
  <c r="F185" i="19"/>
  <c r="E185" i="19"/>
  <c r="F184" i="19"/>
  <c r="G184" i="19" s="1"/>
  <c r="E184" i="19"/>
  <c r="F183" i="19"/>
  <c r="G183" i="19" s="1"/>
  <c r="E183" i="19"/>
  <c r="F182" i="19"/>
  <c r="E182" i="19"/>
  <c r="G182" i="19" s="1"/>
  <c r="F181" i="19"/>
  <c r="E181" i="19"/>
  <c r="F180" i="19"/>
  <c r="E180" i="19"/>
  <c r="G180" i="19" s="1"/>
  <c r="F179" i="19"/>
  <c r="E179" i="19"/>
  <c r="F178" i="19"/>
  <c r="E178" i="19"/>
  <c r="G178" i="19" s="1"/>
  <c r="F177" i="19"/>
  <c r="E177" i="19"/>
  <c r="G177" i="19" s="1"/>
  <c r="F176" i="19"/>
  <c r="E176" i="19"/>
  <c r="G176" i="19" s="1"/>
  <c r="F175" i="19"/>
  <c r="E175" i="19"/>
  <c r="F174" i="19"/>
  <c r="E174" i="19"/>
  <c r="F173" i="19"/>
  <c r="E173" i="19"/>
  <c r="G173" i="19" s="1"/>
  <c r="F172" i="19"/>
  <c r="E172" i="19"/>
  <c r="G172" i="19" s="1"/>
  <c r="F171" i="19"/>
  <c r="E171" i="19"/>
  <c r="G171" i="19" s="1"/>
  <c r="F170" i="19"/>
  <c r="E170" i="19"/>
  <c r="G170" i="19" s="1"/>
  <c r="C155" i="19"/>
  <c r="C156" i="19" s="1"/>
  <c r="G154" i="19"/>
  <c r="F152" i="19"/>
  <c r="E152" i="19"/>
  <c r="F151" i="19"/>
  <c r="E151" i="19"/>
  <c r="F150" i="19"/>
  <c r="E150" i="19"/>
  <c r="F149" i="19"/>
  <c r="E149" i="19"/>
  <c r="F148" i="19"/>
  <c r="E148" i="19"/>
  <c r="F147" i="19"/>
  <c r="E147" i="19"/>
  <c r="F146" i="19"/>
  <c r="E146" i="19"/>
  <c r="G146" i="19" s="1"/>
  <c r="F145" i="19"/>
  <c r="G145" i="19" s="1"/>
  <c r="E145" i="19"/>
  <c r="G144" i="19"/>
  <c r="F144" i="19"/>
  <c r="E144" i="19"/>
  <c r="F143" i="19"/>
  <c r="E143" i="19"/>
  <c r="G143" i="19" s="1"/>
  <c r="F142" i="19"/>
  <c r="E142" i="19"/>
  <c r="F141" i="19"/>
  <c r="E141" i="19"/>
  <c r="F140" i="19"/>
  <c r="E140" i="19"/>
  <c r="G140" i="19" s="1"/>
  <c r="F139" i="19"/>
  <c r="E139" i="19"/>
  <c r="G139" i="19" s="1"/>
  <c r="F138" i="19"/>
  <c r="E138" i="19"/>
  <c r="F137" i="19"/>
  <c r="E137" i="19"/>
  <c r="C122" i="19"/>
  <c r="C123" i="19" s="1"/>
  <c r="G121" i="19"/>
  <c r="F119" i="19"/>
  <c r="E119" i="19"/>
  <c r="F118" i="19"/>
  <c r="E118" i="19"/>
  <c r="G118" i="19" s="1"/>
  <c r="F117" i="19"/>
  <c r="E117" i="19"/>
  <c r="F116" i="19"/>
  <c r="E116" i="19"/>
  <c r="F115" i="19"/>
  <c r="E115" i="19"/>
  <c r="F114" i="19"/>
  <c r="E114" i="19"/>
  <c r="G114" i="19" s="1"/>
  <c r="G113" i="19"/>
  <c r="F113" i="19"/>
  <c r="E113" i="19"/>
  <c r="F112" i="19"/>
  <c r="E112" i="19"/>
  <c r="G112" i="19" s="1"/>
  <c r="F111" i="19"/>
  <c r="E111" i="19"/>
  <c r="G111" i="19" s="1"/>
  <c r="F110" i="19"/>
  <c r="E110" i="19"/>
  <c r="G110" i="19" s="1"/>
  <c r="G109" i="19"/>
  <c r="F109" i="19"/>
  <c r="E109" i="19"/>
  <c r="G108" i="19"/>
  <c r="F108" i="19"/>
  <c r="E108" i="19"/>
  <c r="F107" i="19"/>
  <c r="E107" i="19"/>
  <c r="F106" i="19"/>
  <c r="E106" i="19"/>
  <c r="F105" i="19"/>
  <c r="E105" i="19"/>
  <c r="F104" i="19"/>
  <c r="E104" i="19"/>
  <c r="C89" i="19"/>
  <c r="C92" i="19" s="1"/>
  <c r="G88" i="19"/>
  <c r="F86" i="19"/>
  <c r="E86" i="19"/>
  <c r="F85" i="19"/>
  <c r="E85" i="19"/>
  <c r="F84" i="19"/>
  <c r="E84" i="19"/>
  <c r="F83" i="19"/>
  <c r="E83" i="19"/>
  <c r="F82" i="19"/>
  <c r="E82" i="19"/>
  <c r="F81" i="19"/>
  <c r="E81" i="19"/>
  <c r="F80" i="19"/>
  <c r="E80" i="19"/>
  <c r="F79" i="19"/>
  <c r="E79" i="19"/>
  <c r="F78" i="19"/>
  <c r="E78" i="19"/>
  <c r="F77" i="19"/>
  <c r="E77" i="19"/>
  <c r="F76" i="19"/>
  <c r="E76" i="19"/>
  <c r="F75" i="19"/>
  <c r="E75" i="19"/>
  <c r="F74" i="19"/>
  <c r="E74" i="19"/>
  <c r="F73" i="19"/>
  <c r="E73" i="19"/>
  <c r="F72" i="19"/>
  <c r="E72" i="19"/>
  <c r="C72" i="19"/>
  <c r="C73" i="19" s="1"/>
  <c r="F71" i="19"/>
  <c r="E71" i="19"/>
  <c r="G71" i="19" s="1"/>
  <c r="C57" i="19"/>
  <c r="C58" i="19" s="1"/>
  <c r="C56" i="19"/>
  <c r="G56" i="19" s="1"/>
  <c r="G55" i="19"/>
  <c r="S86" i="19"/>
  <c r="S119" i="19" s="1"/>
  <c r="S152" i="19" s="1"/>
  <c r="S185" i="19" s="1"/>
  <c r="S218" i="19" s="1"/>
  <c r="F53" i="19"/>
  <c r="E53" i="19"/>
  <c r="G53" i="19" s="1"/>
  <c r="S85" i="19"/>
  <c r="S118" i="19" s="1"/>
  <c r="S151" i="19" s="1"/>
  <c r="S184" i="19" s="1"/>
  <c r="S217" i="19" s="1"/>
  <c r="F52" i="19"/>
  <c r="E52" i="19"/>
  <c r="G52" i="19" s="1"/>
  <c r="S84" i="19"/>
  <c r="S117" i="19" s="1"/>
  <c r="S150" i="19" s="1"/>
  <c r="S183" i="19" s="1"/>
  <c r="S216" i="19" s="1"/>
  <c r="F51" i="19"/>
  <c r="E51" i="19"/>
  <c r="S83" i="19"/>
  <c r="S116" i="19" s="1"/>
  <c r="S149" i="19" s="1"/>
  <c r="S182" i="19" s="1"/>
  <c r="S215" i="19" s="1"/>
  <c r="F50" i="19"/>
  <c r="E50" i="19"/>
  <c r="S82" i="19"/>
  <c r="S115" i="19" s="1"/>
  <c r="S148" i="19" s="1"/>
  <c r="S181" i="19" s="1"/>
  <c r="S214" i="19" s="1"/>
  <c r="F49" i="19"/>
  <c r="G49" i="19" s="1"/>
  <c r="E49" i="19"/>
  <c r="S81" i="19"/>
  <c r="S114" i="19" s="1"/>
  <c r="S147" i="19" s="1"/>
  <c r="S180" i="19" s="1"/>
  <c r="S213" i="19" s="1"/>
  <c r="J81" i="19"/>
  <c r="J114" i="19" s="1"/>
  <c r="J147" i="19" s="1"/>
  <c r="J180" i="19" s="1"/>
  <c r="J213" i="19" s="1"/>
  <c r="F48" i="19"/>
  <c r="G48" i="19" s="1"/>
  <c r="E48" i="19"/>
  <c r="S80" i="19"/>
  <c r="S113" i="19" s="1"/>
  <c r="S146" i="19" s="1"/>
  <c r="S179" i="19" s="1"/>
  <c r="S212" i="19" s="1"/>
  <c r="F47" i="19"/>
  <c r="E47" i="19"/>
  <c r="S79" i="19"/>
  <c r="S112" i="19" s="1"/>
  <c r="S145" i="19" s="1"/>
  <c r="S178" i="19" s="1"/>
  <c r="S211" i="19" s="1"/>
  <c r="I79" i="19"/>
  <c r="I112" i="19" s="1"/>
  <c r="I145" i="19" s="1"/>
  <c r="I178" i="19" s="1"/>
  <c r="I211" i="19" s="1"/>
  <c r="F46" i="19"/>
  <c r="E46" i="19"/>
  <c r="S78" i="19"/>
  <c r="S111" i="19" s="1"/>
  <c r="S144" i="19" s="1"/>
  <c r="S177" i="19" s="1"/>
  <c r="S210" i="19" s="1"/>
  <c r="F45" i="19"/>
  <c r="E45" i="19"/>
  <c r="S77" i="19"/>
  <c r="S110" i="19" s="1"/>
  <c r="S143" i="19" s="1"/>
  <c r="S176" i="19" s="1"/>
  <c r="S209" i="19" s="1"/>
  <c r="F44" i="19"/>
  <c r="E44" i="19"/>
  <c r="S76" i="19"/>
  <c r="S109" i="19" s="1"/>
  <c r="S142" i="19" s="1"/>
  <c r="S175" i="19" s="1"/>
  <c r="S208" i="19" s="1"/>
  <c r="F43" i="19"/>
  <c r="E43" i="19"/>
  <c r="S75" i="19"/>
  <c r="S108" i="19" s="1"/>
  <c r="S141" i="19" s="1"/>
  <c r="S174" i="19" s="1"/>
  <c r="S207" i="19" s="1"/>
  <c r="F42" i="19"/>
  <c r="E42" i="19"/>
  <c r="S74" i="19"/>
  <c r="S107" i="19" s="1"/>
  <c r="S140" i="19" s="1"/>
  <c r="S173" i="19" s="1"/>
  <c r="S206" i="19" s="1"/>
  <c r="F41" i="19"/>
  <c r="E41" i="19"/>
  <c r="S73" i="19"/>
  <c r="S106" i="19" s="1"/>
  <c r="S139" i="19" s="1"/>
  <c r="S172" i="19" s="1"/>
  <c r="S205" i="19" s="1"/>
  <c r="F40" i="19"/>
  <c r="E40" i="19"/>
  <c r="S72" i="19"/>
  <c r="S105" i="19" s="1"/>
  <c r="S138" i="19" s="1"/>
  <c r="S171" i="19" s="1"/>
  <c r="S204" i="19" s="1"/>
  <c r="I72" i="19"/>
  <c r="I105" i="19" s="1"/>
  <c r="I138" i="19" s="1"/>
  <c r="I171" i="19" s="1"/>
  <c r="I204" i="19" s="1"/>
  <c r="F39" i="19"/>
  <c r="E39" i="19"/>
  <c r="S71" i="19"/>
  <c r="S104" i="19" s="1"/>
  <c r="S137" i="19" s="1"/>
  <c r="S170" i="19" s="1"/>
  <c r="S203" i="19" s="1"/>
  <c r="F38" i="19"/>
  <c r="G38" i="19" s="1"/>
  <c r="E38" i="19"/>
  <c r="C23" i="19"/>
  <c r="C24" i="19" s="1"/>
  <c r="G22" i="19"/>
  <c r="R21" i="19"/>
  <c r="Q21" i="19"/>
  <c r="P21" i="19"/>
  <c r="O21" i="19"/>
  <c r="N21" i="19"/>
  <c r="M21" i="19"/>
  <c r="M83" i="19" s="1"/>
  <c r="M116" i="19" s="1"/>
  <c r="M149" i="19" s="1"/>
  <c r="M182" i="19" s="1"/>
  <c r="M215" i="19" s="1"/>
  <c r="L21" i="19"/>
  <c r="L83" i="19" s="1"/>
  <c r="L116" i="19" s="1"/>
  <c r="L149" i="19" s="1"/>
  <c r="L182" i="19" s="1"/>
  <c r="L215" i="19" s="1"/>
  <c r="K21" i="19"/>
  <c r="K83" i="19" s="1"/>
  <c r="K116" i="19" s="1"/>
  <c r="K149" i="19" s="1"/>
  <c r="K182" i="19" s="1"/>
  <c r="K215" i="19" s="1"/>
  <c r="J21" i="19"/>
  <c r="J83" i="19" s="1"/>
  <c r="J116" i="19" s="1"/>
  <c r="J149" i="19" s="1"/>
  <c r="J182" i="19" s="1"/>
  <c r="J215" i="19" s="1"/>
  <c r="I21" i="19"/>
  <c r="I83" i="19" s="1"/>
  <c r="I116" i="19" s="1"/>
  <c r="I149" i="19" s="1"/>
  <c r="I182" i="19" s="1"/>
  <c r="I215" i="19" s="1"/>
  <c r="D14" i="19"/>
  <c r="D13" i="19"/>
  <c r="D12" i="19"/>
  <c r="D11" i="19"/>
  <c r="D10" i="19"/>
  <c r="D9" i="19"/>
  <c r="D8" i="19"/>
  <c r="C4" i="19"/>
  <c r="F75" i="23"/>
  <c r="F74" i="23"/>
  <c r="F73" i="23"/>
  <c r="F72" i="23"/>
  <c r="C72" i="23"/>
  <c r="C73" i="23" s="1"/>
  <c r="C69" i="23"/>
  <c r="C70" i="23" s="1"/>
  <c r="G68" i="23"/>
  <c r="F66" i="23"/>
  <c r="F65" i="23"/>
  <c r="F64" i="23"/>
  <c r="F63" i="23"/>
  <c r="C60" i="23"/>
  <c r="G60" i="23" s="1"/>
  <c r="G59" i="23"/>
  <c r="F57" i="23"/>
  <c r="F56" i="23"/>
  <c r="F55" i="23"/>
  <c r="F54" i="23"/>
  <c r="C51" i="23"/>
  <c r="G51" i="23" s="1"/>
  <c r="G50" i="23"/>
  <c r="F48" i="23"/>
  <c r="F47" i="23"/>
  <c r="F46" i="23"/>
  <c r="F45" i="23"/>
  <c r="C42" i="23"/>
  <c r="G42" i="23" s="1"/>
  <c r="G41" i="23"/>
  <c r="F39" i="23"/>
  <c r="F38" i="23"/>
  <c r="F37" i="23"/>
  <c r="F36" i="23"/>
  <c r="C33" i="23"/>
  <c r="G33" i="23" s="1"/>
  <c r="G32" i="23"/>
  <c r="F30" i="23"/>
  <c r="F29" i="23"/>
  <c r="F28" i="23"/>
  <c r="F27" i="23"/>
  <c r="C24" i="23"/>
  <c r="C25" i="23" s="1"/>
  <c r="G23" i="23"/>
  <c r="D14" i="23"/>
  <c r="D12" i="23"/>
  <c r="D11" i="23"/>
  <c r="D10" i="23"/>
  <c r="D9" i="23"/>
  <c r="D8" i="23"/>
  <c r="C4" i="23"/>
  <c r="C72" i="20"/>
  <c r="E72" i="20" s="1"/>
  <c r="G71" i="20"/>
  <c r="E71" i="20"/>
  <c r="G70" i="20"/>
  <c r="E70" i="20"/>
  <c r="G69" i="20"/>
  <c r="E69" i="20"/>
  <c r="G68" i="20"/>
  <c r="E68" i="20"/>
  <c r="G67" i="20"/>
  <c r="E67" i="20"/>
  <c r="F65" i="20"/>
  <c r="F64" i="20"/>
  <c r="F63" i="20"/>
  <c r="C63" i="20"/>
  <c r="C64" i="20" s="1"/>
  <c r="F62" i="20"/>
  <c r="G62" i="20" s="1"/>
  <c r="C59" i="20"/>
  <c r="C60" i="20" s="1"/>
  <c r="G58" i="20"/>
  <c r="E58" i="20"/>
  <c r="E59" i="20" s="1"/>
  <c r="E60" i="20" s="1"/>
  <c r="E61" i="20" s="1"/>
  <c r="E62" i="20" s="1"/>
  <c r="E63" i="20" s="1"/>
  <c r="E64" i="20" s="1"/>
  <c r="E65" i="20" s="1"/>
  <c r="F56" i="20"/>
  <c r="F55" i="20"/>
  <c r="F54" i="20"/>
  <c r="G54" i="20" s="1"/>
  <c r="C54" i="20"/>
  <c r="C55" i="20" s="1"/>
  <c r="F53" i="20"/>
  <c r="G53" i="20" s="1"/>
  <c r="C50" i="20"/>
  <c r="C51" i="20" s="1"/>
  <c r="G49" i="20"/>
  <c r="E49" i="20"/>
  <c r="E50" i="20" s="1"/>
  <c r="E51" i="20" s="1"/>
  <c r="E52" i="20" s="1"/>
  <c r="E53" i="20" s="1"/>
  <c r="E54" i="20" s="1"/>
  <c r="E55" i="20" s="1"/>
  <c r="E56" i="20" s="1"/>
  <c r="F47" i="20"/>
  <c r="F46" i="20"/>
  <c r="F45" i="20"/>
  <c r="C45" i="20"/>
  <c r="G45" i="20" s="1"/>
  <c r="G44" i="20"/>
  <c r="F44" i="20"/>
  <c r="C43" i="20"/>
  <c r="G43" i="20" s="1"/>
  <c r="C42" i="20"/>
  <c r="G42" i="20" s="1"/>
  <c r="C41" i="20"/>
  <c r="G41" i="20" s="1"/>
  <c r="G40" i="20"/>
  <c r="E40" i="20"/>
  <c r="E41" i="20" s="1"/>
  <c r="F38" i="20"/>
  <c r="F37" i="20"/>
  <c r="F36" i="20"/>
  <c r="C36" i="20"/>
  <c r="C37" i="20" s="1"/>
  <c r="F35" i="20"/>
  <c r="G35" i="20" s="1"/>
  <c r="C32" i="20"/>
  <c r="C33" i="20" s="1"/>
  <c r="G31" i="20"/>
  <c r="E31" i="20"/>
  <c r="E32" i="20" s="1"/>
  <c r="E33" i="20" s="1"/>
  <c r="E34" i="20" s="1"/>
  <c r="E35" i="20" s="1"/>
  <c r="E36" i="20" s="1"/>
  <c r="E37" i="20" s="1"/>
  <c r="E38" i="20" s="1"/>
  <c r="F29" i="20"/>
  <c r="F28" i="20"/>
  <c r="F27" i="20"/>
  <c r="C27" i="20"/>
  <c r="C28" i="20" s="1"/>
  <c r="F26" i="20"/>
  <c r="G26" i="20" s="1"/>
  <c r="G23" i="20"/>
  <c r="C23" i="20"/>
  <c r="C24" i="20" s="1"/>
  <c r="G22" i="20"/>
  <c r="E22" i="20"/>
  <c r="E23" i="20" s="1"/>
  <c r="E24" i="20" s="1"/>
  <c r="E25" i="20" s="1"/>
  <c r="E26" i="20" s="1"/>
  <c r="E27" i="20" s="1"/>
  <c r="E28" i="20" s="1"/>
  <c r="E29" i="20" s="1"/>
  <c r="N21" i="20"/>
  <c r="M21" i="20"/>
  <c r="K21" i="20"/>
  <c r="J21" i="20"/>
  <c r="I21" i="20"/>
  <c r="D14" i="20"/>
  <c r="D13" i="20"/>
  <c r="D12" i="20"/>
  <c r="D11" i="20"/>
  <c r="D10" i="20"/>
  <c r="D9" i="20"/>
  <c r="D8" i="20"/>
  <c r="C4" i="20"/>
  <c r="G49" i="24"/>
  <c r="G48" i="24"/>
  <c r="G47" i="24"/>
  <c r="G46" i="24"/>
  <c r="G45" i="24"/>
  <c r="G44" i="24"/>
  <c r="G43" i="24"/>
  <c r="G42" i="24"/>
  <c r="G41" i="24"/>
  <c r="G40" i="24"/>
  <c r="G39" i="24"/>
  <c r="G38" i="24"/>
  <c r="G37" i="24"/>
  <c r="G36" i="24"/>
  <c r="G35" i="24"/>
  <c r="G34" i="24"/>
  <c r="G33" i="24"/>
  <c r="G32" i="24"/>
  <c r="G31" i="24"/>
  <c r="G30" i="24"/>
  <c r="G29" i="24"/>
  <c r="G28" i="24"/>
  <c r="G27" i="24"/>
  <c r="G26" i="24"/>
  <c r="C20" i="24"/>
  <c r="G20" i="24" s="1"/>
  <c r="G19" i="24"/>
  <c r="C18" i="24"/>
  <c r="G18" i="24" s="1"/>
  <c r="G17" i="24"/>
  <c r="C16" i="24"/>
  <c r="G16" i="24" s="1"/>
  <c r="G15" i="24"/>
  <c r="C14" i="24"/>
  <c r="G14" i="24" s="1"/>
  <c r="G13" i="24"/>
  <c r="C12" i="24"/>
  <c r="G12" i="24" s="1"/>
  <c r="G11" i="24"/>
  <c r="G10" i="24"/>
  <c r="G9" i="24"/>
  <c r="C4" i="24"/>
  <c r="H49" i="25"/>
  <c r="G49" i="25"/>
  <c r="H48" i="25"/>
  <c r="G48" i="25"/>
  <c r="H47" i="25"/>
  <c r="G47" i="25"/>
  <c r="H46" i="25"/>
  <c r="G46" i="25"/>
  <c r="H45" i="25"/>
  <c r="G45" i="25"/>
  <c r="H44" i="25"/>
  <c r="G44" i="25"/>
  <c r="H43" i="25"/>
  <c r="G43" i="25"/>
  <c r="H42" i="25"/>
  <c r="G42" i="25"/>
  <c r="H41" i="25"/>
  <c r="G41" i="25"/>
  <c r="H40" i="25"/>
  <c r="G40" i="25"/>
  <c r="H39" i="25"/>
  <c r="G39" i="25"/>
  <c r="H38" i="25"/>
  <c r="G38" i="25"/>
  <c r="H37" i="25"/>
  <c r="G37" i="25"/>
  <c r="H36" i="25"/>
  <c r="G36" i="25"/>
  <c r="H35" i="25"/>
  <c r="G35" i="25"/>
  <c r="H34" i="25"/>
  <c r="G34" i="25"/>
  <c r="H33" i="25"/>
  <c r="G33" i="25"/>
  <c r="H32" i="25"/>
  <c r="G32" i="25"/>
  <c r="H31" i="25"/>
  <c r="G31" i="25"/>
  <c r="H30" i="25"/>
  <c r="G30" i="25"/>
  <c r="H29" i="25"/>
  <c r="G29" i="25"/>
  <c r="H28" i="25"/>
  <c r="G28" i="25"/>
  <c r="H27" i="25"/>
  <c r="G27" i="25"/>
  <c r="H26" i="25"/>
  <c r="G26" i="25"/>
  <c r="S20" i="25"/>
  <c r="G20" i="25"/>
  <c r="S19" i="25"/>
  <c r="G19" i="25"/>
  <c r="S18" i="25"/>
  <c r="G18" i="25"/>
  <c r="S17" i="25"/>
  <c r="G17" i="25"/>
  <c r="S16" i="25"/>
  <c r="G16" i="25"/>
  <c r="S15" i="25"/>
  <c r="G15" i="25"/>
  <c r="S14" i="25"/>
  <c r="G14" i="25"/>
  <c r="S13" i="25"/>
  <c r="G13" i="25"/>
  <c r="S12" i="25"/>
  <c r="G12" i="25"/>
  <c r="S11" i="25"/>
  <c r="G11" i="25"/>
  <c r="S10" i="25"/>
  <c r="G10" i="25"/>
  <c r="S9" i="25"/>
  <c r="G9" i="25"/>
  <c r="C4" i="25"/>
  <c r="G53" i="27"/>
  <c r="G52" i="27"/>
  <c r="G51" i="27"/>
  <c r="G50" i="27"/>
  <c r="G49" i="27"/>
  <c r="G48" i="27"/>
  <c r="G47" i="27"/>
  <c r="G46" i="27"/>
  <c r="G45" i="27"/>
  <c r="C44" i="27"/>
  <c r="G44" i="27" s="1"/>
  <c r="C43" i="27"/>
  <c r="G43" i="27" s="1"/>
  <c r="C42" i="27"/>
  <c r="G42" i="27" s="1"/>
  <c r="C41" i="27"/>
  <c r="G41" i="27" s="1"/>
  <c r="C40" i="27"/>
  <c r="G40" i="27" s="1"/>
  <c r="C39" i="27"/>
  <c r="G39" i="27" s="1"/>
  <c r="C38" i="27"/>
  <c r="G38" i="27" s="1"/>
  <c r="C37" i="27"/>
  <c r="G37" i="27" s="1"/>
  <c r="C36" i="27"/>
  <c r="G36" i="27" s="1"/>
  <c r="C35" i="27"/>
  <c r="G35" i="27" s="1"/>
  <c r="C34" i="27"/>
  <c r="G34" i="27" s="1"/>
  <c r="C33" i="27"/>
  <c r="G33" i="27" s="1"/>
  <c r="G32" i="27"/>
  <c r="G31" i="27"/>
  <c r="G30" i="27"/>
  <c r="G29" i="27"/>
  <c r="G28" i="27"/>
  <c r="G27" i="27"/>
  <c r="G26" i="27"/>
  <c r="G25" i="27"/>
  <c r="G24" i="27"/>
  <c r="G23" i="27"/>
  <c r="G22" i="27"/>
  <c r="G21" i="27"/>
  <c r="G20" i="27"/>
  <c r="G19" i="27"/>
  <c r="G18" i="27"/>
  <c r="G17" i="27"/>
  <c r="G16" i="27"/>
  <c r="G15" i="27"/>
  <c r="G14" i="27"/>
  <c r="G13" i="27"/>
  <c r="G12" i="27"/>
  <c r="G11" i="27"/>
  <c r="G10" i="27"/>
  <c r="G9" i="27"/>
  <c r="G8" i="27"/>
  <c r="C4" i="27"/>
  <c r="G53" i="26"/>
  <c r="G52" i="26"/>
  <c r="G51" i="26"/>
  <c r="G50" i="26"/>
  <c r="G49" i="26"/>
  <c r="G48" i="26"/>
  <c r="G47" i="26"/>
  <c r="G46" i="26"/>
  <c r="G45" i="26"/>
  <c r="G44" i="26"/>
  <c r="G43" i="26"/>
  <c r="G42" i="26"/>
  <c r="G41" i="26"/>
  <c r="G40" i="26"/>
  <c r="G39" i="26"/>
  <c r="C39" i="26"/>
  <c r="G38" i="26"/>
  <c r="C38" i="26"/>
  <c r="T37" i="26"/>
  <c r="G37" i="26"/>
  <c r="T36" i="26"/>
  <c r="G36" i="26"/>
  <c r="T35" i="26"/>
  <c r="G35" i="26"/>
  <c r="T34" i="26"/>
  <c r="G34" i="26"/>
  <c r="G33" i="26"/>
  <c r="G32" i="26"/>
  <c r="G31" i="26"/>
  <c r="G30" i="26"/>
  <c r="G29" i="26"/>
  <c r="G28" i="26"/>
  <c r="G27" i="26"/>
  <c r="G26" i="26"/>
  <c r="G25" i="26"/>
  <c r="G24" i="26"/>
  <c r="G23" i="26"/>
  <c r="G22" i="26"/>
  <c r="G21" i="26"/>
  <c r="G20" i="26"/>
  <c r="G19" i="26"/>
  <c r="G18" i="26"/>
  <c r="G17" i="26"/>
  <c r="G16" i="26"/>
  <c r="G15" i="26"/>
  <c r="G14" i="26"/>
  <c r="G13" i="26"/>
  <c r="G12" i="26"/>
  <c r="G11" i="26"/>
  <c r="G10" i="26"/>
  <c r="G9" i="26"/>
  <c r="G8" i="26"/>
  <c r="C4" i="26"/>
  <c r="D76" i="29"/>
  <c r="D75" i="29"/>
  <c r="AT8" i="29"/>
  <c r="AU8" i="29" s="1"/>
  <c r="AU35" i="29" s="1"/>
  <c r="AO8" i="29"/>
  <c r="AO35" i="29" s="1"/>
  <c r="AN8" i="29"/>
  <c r="AN50" i="29" s="1"/>
  <c r="AM8" i="29"/>
  <c r="AM20" i="29" s="1"/>
  <c r="AL8" i="29"/>
  <c r="AF8" i="29"/>
  <c r="AF50" i="29" s="1"/>
  <c r="AE8" i="29"/>
  <c r="AE50" i="29" s="1"/>
  <c r="AD8" i="29"/>
  <c r="AD50" i="29" s="1"/>
  <c r="AC8" i="29"/>
  <c r="AC35" i="29" s="1"/>
  <c r="AB8" i="29"/>
  <c r="AB35" i="29" s="1"/>
  <c r="AA8" i="29"/>
  <c r="AA20" i="29" s="1"/>
  <c r="Z8" i="29"/>
  <c r="Z50" i="29" s="1"/>
  <c r="Y8" i="29"/>
  <c r="Y50" i="29" s="1"/>
  <c r="X8" i="29"/>
  <c r="W8" i="29"/>
  <c r="W20" i="29" s="1"/>
  <c r="V8" i="29"/>
  <c r="V20" i="29" s="1"/>
  <c r="U8" i="29"/>
  <c r="U35" i="29" s="1"/>
  <c r="T8" i="29"/>
  <c r="T35" i="29" s="1"/>
  <c r="S8" i="29"/>
  <c r="S50" i="29" s="1"/>
  <c r="R8" i="29"/>
  <c r="R50" i="29" s="1"/>
  <c r="Q8" i="29"/>
  <c r="P8" i="29"/>
  <c r="P50" i="29" s="1"/>
  <c r="O8" i="29"/>
  <c r="O35" i="29" s="1"/>
  <c r="N8" i="29"/>
  <c r="N50" i="29" s="1"/>
  <c r="M8" i="29"/>
  <c r="M50" i="29" s="1"/>
  <c r="L8" i="29"/>
  <c r="L35" i="29" s="1"/>
  <c r="K8" i="29"/>
  <c r="K35" i="29" s="1"/>
  <c r="J8" i="29"/>
  <c r="J50" i="29" s="1"/>
  <c r="I8" i="29"/>
  <c r="I35" i="29" s="1"/>
  <c r="H8" i="29"/>
  <c r="H50" i="29" s="1"/>
  <c r="G8" i="29"/>
  <c r="G20" i="29" s="1"/>
  <c r="F8" i="29"/>
  <c r="F20" i="29" s="1"/>
  <c r="E8" i="29"/>
  <c r="E35" i="29" s="1"/>
  <c r="G7" i="29"/>
  <c r="H7" i="29" s="1"/>
  <c r="F6" i="29"/>
  <c r="AU6" i="29" s="1"/>
  <c r="F56" i="31"/>
  <c r="AT8" i="31"/>
  <c r="AT20" i="31" s="1"/>
  <c r="E8" i="31"/>
  <c r="E36" i="31" s="1"/>
  <c r="G7" i="31"/>
  <c r="H7" i="31" s="1"/>
  <c r="F6" i="31"/>
  <c r="F56" i="30"/>
  <c r="AU56" i="30" s="1"/>
  <c r="AT8" i="30"/>
  <c r="E8" i="30"/>
  <c r="G7" i="30"/>
  <c r="H7" i="30" s="1"/>
  <c r="F6" i="30"/>
  <c r="E20" i="32"/>
  <c r="D20" i="32"/>
  <c r="Q11" i="32"/>
  <c r="P11" i="32"/>
  <c r="M11" i="32"/>
  <c r="L11" i="32"/>
  <c r="I11" i="32"/>
  <c r="H11" i="32"/>
  <c r="E11" i="32"/>
  <c r="D11" i="32"/>
  <c r="R4" i="32"/>
  <c r="D100" i="40"/>
  <c r="D99" i="40"/>
  <c r="D96" i="40"/>
  <c r="D95" i="40"/>
  <c r="D91" i="40"/>
  <c r="D90" i="40"/>
  <c r="D88" i="40"/>
  <c r="D87" i="40"/>
  <c r="D85" i="40"/>
  <c r="D84" i="40"/>
  <c r="D82" i="40"/>
  <c r="D81" i="40"/>
  <c r="D79" i="40"/>
  <c r="D78" i="40"/>
  <c r="D76" i="40"/>
  <c r="D75" i="40"/>
  <c r="D73" i="40"/>
  <c r="D72" i="40"/>
  <c r="D68" i="40"/>
  <c r="D67" i="40"/>
  <c r="D65" i="40"/>
  <c r="D64" i="40"/>
  <c r="D62" i="40"/>
  <c r="D61" i="40"/>
  <c r="D59" i="40"/>
  <c r="D58" i="40"/>
  <c r="D56" i="40"/>
  <c r="D55" i="40"/>
  <c r="D53" i="40"/>
  <c r="D52" i="40"/>
  <c r="D50" i="40"/>
  <c r="D49" i="40"/>
  <c r="D47" i="40"/>
  <c r="D46" i="40"/>
  <c r="D44" i="40"/>
  <c r="D43" i="40"/>
  <c r="D41" i="40"/>
  <c r="D40" i="40"/>
  <c r="D36" i="40"/>
  <c r="D35" i="40"/>
  <c r="D33" i="40"/>
  <c r="D32" i="40"/>
  <c r="D30" i="40"/>
  <c r="D29" i="40"/>
  <c r="D27" i="40"/>
  <c r="D26" i="40"/>
  <c r="D24" i="40"/>
  <c r="D23" i="40"/>
  <c r="D21" i="40"/>
  <c r="D20" i="40"/>
  <c r="D18" i="40"/>
  <c r="D17" i="40"/>
  <c r="D15" i="40"/>
  <c r="D14" i="40"/>
  <c r="H9" i="40"/>
  <c r="H8" i="40"/>
  <c r="D7" i="40"/>
  <c r="C7" i="40"/>
  <c r="D6" i="40"/>
  <c r="B4" i="40"/>
  <c r="H114" i="15"/>
  <c r="F114" i="15" s="1"/>
  <c r="G114" i="15"/>
  <c r="E114" i="15" s="1"/>
  <c r="D108" i="15"/>
  <c r="D102" i="15"/>
  <c r="D101" i="15"/>
  <c r="D100" i="15"/>
  <c r="D99" i="15"/>
  <c r="D98" i="15"/>
  <c r="D90" i="15"/>
  <c r="C90" i="15"/>
  <c r="D89" i="15"/>
  <c r="D88" i="15"/>
  <c r="D87" i="15"/>
  <c r="C87" i="15"/>
  <c r="A85" i="15"/>
  <c r="A84" i="15"/>
  <c r="D83" i="15"/>
  <c r="D82" i="15"/>
  <c r="D81" i="15"/>
  <c r="D75" i="15"/>
  <c r="C74" i="15"/>
  <c r="D73" i="15"/>
  <c r="C73" i="15"/>
  <c r="D72" i="15"/>
  <c r="C72" i="15"/>
  <c r="D71" i="15"/>
  <c r="C71" i="15"/>
  <c r="D70" i="15"/>
  <c r="C70" i="15"/>
  <c r="D69" i="15"/>
  <c r="C69" i="15"/>
  <c r="A68" i="15"/>
  <c r="A66" i="15"/>
  <c r="A65" i="15"/>
  <c r="A64" i="15"/>
  <c r="A62" i="15"/>
  <c r="A60" i="15"/>
  <c r="O59" i="15"/>
  <c r="D59" i="15"/>
  <c r="D48" i="30" s="1"/>
  <c r="A57" i="15"/>
  <c r="A55" i="15"/>
  <c r="N54" i="15"/>
  <c r="O53" i="15"/>
  <c r="N53" i="15"/>
  <c r="O52" i="15"/>
  <c r="N52" i="15"/>
  <c r="O51" i="15"/>
  <c r="N51" i="15"/>
  <c r="O50" i="15"/>
  <c r="N50" i="15"/>
  <c r="O49" i="15"/>
  <c r="N49" i="15"/>
  <c r="A48" i="15"/>
  <c r="A97" i="15" s="1"/>
  <c r="A46" i="15"/>
  <c r="A95" i="15" s="1"/>
  <c r="A44" i="15"/>
  <c r="O43" i="15"/>
  <c r="O42" i="15"/>
  <c r="N42" i="15"/>
  <c r="O41" i="15"/>
  <c r="N41" i="15"/>
  <c r="O40" i="15"/>
  <c r="N40" i="15"/>
  <c r="A39" i="15"/>
  <c r="A86" i="15" s="1"/>
  <c r="N35" i="15"/>
  <c r="O34" i="15"/>
  <c r="O33" i="15"/>
  <c r="O32" i="15"/>
  <c r="A31" i="15"/>
  <c r="A80" i="15" s="1"/>
  <c r="A29" i="15"/>
  <c r="A78" i="15" s="1"/>
  <c r="A27" i="15"/>
  <c r="A76" i="15" s="1"/>
  <c r="N25" i="15"/>
  <c r="O24" i="15"/>
  <c r="N24" i="15"/>
  <c r="O23" i="15"/>
  <c r="N23" i="15"/>
  <c r="O22" i="15"/>
  <c r="N22" i="15"/>
  <c r="O21" i="15"/>
  <c r="N21" i="15"/>
  <c r="O20" i="15"/>
  <c r="N20" i="15"/>
  <c r="S18" i="15"/>
  <c r="S47" i="15" s="1"/>
  <c r="R18" i="15"/>
  <c r="R47" i="15" s="1"/>
  <c r="Q18" i="15"/>
  <c r="Q47" i="15" s="1"/>
  <c r="P18" i="15"/>
  <c r="P47" i="15" s="1"/>
  <c r="H18" i="15"/>
  <c r="H30" i="15" s="1"/>
  <c r="G18" i="15"/>
  <c r="G30" i="15" s="1"/>
  <c r="F18" i="15"/>
  <c r="F79" i="15" s="1"/>
  <c r="E18" i="15"/>
  <c r="E47" i="15" s="1"/>
  <c r="N16" i="15"/>
  <c r="N15" i="15"/>
  <c r="D15" i="15"/>
  <c r="O15" i="15" s="1"/>
  <c r="N14" i="15"/>
  <c r="D14" i="15"/>
  <c r="O14" i="15" s="1"/>
  <c r="N13" i="15"/>
  <c r="N12" i="15"/>
  <c r="N11" i="15"/>
  <c r="N10" i="15"/>
  <c r="D9" i="15"/>
  <c r="O9" i="15" s="1"/>
  <c r="B9" i="15"/>
  <c r="M9" i="15" s="1"/>
  <c r="M8" i="15"/>
  <c r="D8" i="15"/>
  <c r="O8" i="15" s="1"/>
  <c r="B4" i="15"/>
  <c r="M4" i="15" s="1"/>
  <c r="P56" i="1"/>
  <c r="P55" i="1"/>
  <c r="M53" i="1"/>
  <c r="L53" i="1"/>
  <c r="K53" i="1"/>
  <c r="J53" i="1"/>
  <c r="I53" i="1"/>
  <c r="H53" i="1"/>
  <c r="G53" i="1"/>
  <c r="G6" i="29" l="1"/>
  <c r="AV6" i="29" s="1"/>
  <c r="G6" i="31"/>
  <c r="X50" i="29"/>
  <c r="X35" i="29"/>
  <c r="X20" i="29"/>
  <c r="B26" i="37"/>
  <c r="AU64" i="29"/>
  <c r="H83" i="20"/>
  <c r="H230" i="12"/>
  <c r="H221" i="12"/>
  <c r="H82" i="20"/>
  <c r="H229" i="12"/>
  <c r="H220" i="12"/>
  <c r="H81" i="20"/>
  <c r="H79" i="23"/>
  <c r="H228" i="12"/>
  <c r="H80" i="20"/>
  <c r="H78" i="23"/>
  <c r="H77" i="23"/>
  <c r="H235" i="12"/>
  <c r="H227" i="12"/>
  <c r="H231" i="12"/>
  <c r="H76" i="20"/>
  <c r="H234" i="12"/>
  <c r="H226" i="12"/>
  <c r="H21" i="24"/>
  <c r="H233" i="12"/>
  <c r="H225" i="12"/>
  <c r="H22" i="24"/>
  <c r="H232" i="12"/>
  <c r="H223" i="12"/>
  <c r="H222" i="12"/>
  <c r="H250" i="12"/>
  <c r="H224" i="12"/>
  <c r="H242" i="12"/>
  <c r="H77" i="20"/>
  <c r="H243" i="12"/>
  <c r="H251" i="12"/>
  <c r="H78" i="20"/>
  <c r="H244" i="12"/>
  <c r="H248" i="12"/>
  <c r="H236" i="12"/>
  <c r="H246" i="12"/>
  <c r="H245" i="12"/>
  <c r="H241" i="12"/>
  <c r="H237" i="12"/>
  <c r="H249" i="12"/>
  <c r="H247" i="12"/>
  <c r="H239" i="12"/>
  <c r="H80" i="23"/>
  <c r="H238" i="12"/>
  <c r="H240" i="12"/>
  <c r="H79" i="20"/>
  <c r="H223" i="19"/>
  <c r="H232" i="19"/>
  <c r="H222" i="19"/>
  <c r="H221" i="19"/>
  <c r="H220" i="19"/>
  <c r="H235" i="19"/>
  <c r="H227" i="19"/>
  <c r="H234" i="19"/>
  <c r="H226" i="19"/>
  <c r="H233" i="19"/>
  <c r="H231" i="19"/>
  <c r="H230" i="19"/>
  <c r="H225" i="19"/>
  <c r="H229" i="19"/>
  <c r="H228" i="19"/>
  <c r="H248" i="19"/>
  <c r="H236" i="19"/>
  <c r="H251" i="19"/>
  <c r="H246" i="19"/>
  <c r="H244" i="19"/>
  <c r="H237" i="19"/>
  <c r="H238" i="19"/>
  <c r="H239" i="19"/>
  <c r="H241" i="19"/>
  <c r="H245" i="19"/>
  <c r="H242" i="19"/>
  <c r="H247" i="19"/>
  <c r="H224" i="19"/>
  <c r="H243" i="19"/>
  <c r="H250" i="19"/>
  <c r="H249" i="19"/>
  <c r="H240" i="19"/>
  <c r="G6" i="30"/>
  <c r="E20" i="30"/>
  <c r="E36" i="30"/>
  <c r="AT36" i="30"/>
  <c r="AT20" i="30"/>
  <c r="I7" i="30"/>
  <c r="H6" i="30"/>
  <c r="H56" i="30"/>
  <c r="AW56" i="30" s="1"/>
  <c r="I56" i="30"/>
  <c r="AX56" i="30" s="1"/>
  <c r="I7" i="31"/>
  <c r="H6" i="31"/>
  <c r="I7" i="29"/>
  <c r="H6" i="29"/>
  <c r="AW6" i="29" s="1"/>
  <c r="AW64" i="29" s="1"/>
  <c r="C61" i="20"/>
  <c r="G61" i="20" s="1"/>
  <c r="G60" i="20"/>
  <c r="C29" i="20"/>
  <c r="G29" i="20" s="1"/>
  <c r="G28" i="20"/>
  <c r="C46" i="20"/>
  <c r="G59" i="20"/>
  <c r="G36" i="20"/>
  <c r="G72" i="20"/>
  <c r="G27" i="20"/>
  <c r="C38" i="20"/>
  <c r="G38" i="20" s="1"/>
  <c r="G37" i="20"/>
  <c r="C34" i="20"/>
  <c r="G34" i="20" s="1"/>
  <c r="G33" i="20"/>
  <c r="C25" i="20"/>
  <c r="G25" i="20" s="1"/>
  <c r="G24" i="20"/>
  <c r="G64" i="20"/>
  <c r="C65" i="20"/>
  <c r="G65" i="20" s="1"/>
  <c r="C52" i="20"/>
  <c r="G52" i="20" s="1"/>
  <c r="G51" i="20"/>
  <c r="C56" i="20"/>
  <c r="G56" i="20" s="1"/>
  <c r="G55" i="20"/>
  <c r="G50" i="20"/>
  <c r="C73" i="20"/>
  <c r="G32" i="20"/>
  <c r="G63" i="20"/>
  <c r="C34" i="23"/>
  <c r="C35" i="23" s="1"/>
  <c r="C52" i="23"/>
  <c r="C53" i="23" s="1"/>
  <c r="C43" i="23"/>
  <c r="C44" i="23" s="1"/>
  <c r="C61" i="23"/>
  <c r="C62" i="23" s="1"/>
  <c r="G62" i="23" s="1"/>
  <c r="C45" i="23"/>
  <c r="G89" i="12"/>
  <c r="C123" i="12"/>
  <c r="C124" i="12" s="1"/>
  <c r="C92" i="12"/>
  <c r="G91" i="12"/>
  <c r="C125" i="12"/>
  <c r="G124" i="12"/>
  <c r="G156" i="12"/>
  <c r="C157" i="12"/>
  <c r="H157" i="12" s="1"/>
  <c r="G189" i="12"/>
  <c r="C190" i="12"/>
  <c r="C25" i="12"/>
  <c r="G24" i="12"/>
  <c r="C58" i="12"/>
  <c r="G57" i="12"/>
  <c r="G56" i="12"/>
  <c r="G123" i="12"/>
  <c r="G23" i="12"/>
  <c r="G90" i="12"/>
  <c r="G188" i="12"/>
  <c r="G155" i="12"/>
  <c r="G116" i="19"/>
  <c r="G148" i="19"/>
  <c r="G152" i="19"/>
  <c r="G106" i="19"/>
  <c r="G137" i="19"/>
  <c r="G181" i="19"/>
  <c r="G185" i="19"/>
  <c r="G117" i="19"/>
  <c r="G213" i="19"/>
  <c r="M72" i="19"/>
  <c r="M105" i="19" s="1"/>
  <c r="M138" i="19" s="1"/>
  <c r="M171" i="19" s="1"/>
  <c r="M204" i="19" s="1"/>
  <c r="G42" i="19"/>
  <c r="I75" i="19"/>
  <c r="I108" i="19" s="1"/>
  <c r="I141" i="19" s="1"/>
  <c r="I174" i="19" s="1"/>
  <c r="I207" i="19" s="1"/>
  <c r="G138" i="19"/>
  <c r="G150" i="19"/>
  <c r="C189" i="19"/>
  <c r="C190" i="19" s="1"/>
  <c r="G104" i="19"/>
  <c r="L73" i="19"/>
  <c r="L106" i="19" s="1"/>
  <c r="L139" i="19" s="1"/>
  <c r="L172" i="19" s="1"/>
  <c r="L205" i="19" s="1"/>
  <c r="G43" i="19"/>
  <c r="G46" i="19"/>
  <c r="G115" i="19"/>
  <c r="G147" i="19"/>
  <c r="M76" i="19"/>
  <c r="M109" i="19" s="1"/>
  <c r="M142" i="19" s="1"/>
  <c r="M175" i="19" s="1"/>
  <c r="M208" i="19" s="1"/>
  <c r="G40" i="19"/>
  <c r="G105" i="19"/>
  <c r="G119" i="19"/>
  <c r="G23" i="19"/>
  <c r="J73" i="19"/>
  <c r="J106" i="19" s="1"/>
  <c r="J139" i="19" s="1"/>
  <c r="J172" i="19" s="1"/>
  <c r="J205" i="19" s="1"/>
  <c r="G45" i="19"/>
  <c r="G174" i="19"/>
  <c r="K73" i="19"/>
  <c r="K106" i="19" s="1"/>
  <c r="K139" i="19" s="1"/>
  <c r="K172" i="19" s="1"/>
  <c r="K205" i="19" s="1"/>
  <c r="G209" i="19"/>
  <c r="K81" i="19"/>
  <c r="K114" i="19" s="1"/>
  <c r="K147" i="19" s="1"/>
  <c r="K180" i="19" s="1"/>
  <c r="K213" i="19" s="1"/>
  <c r="G51" i="19"/>
  <c r="G151" i="19"/>
  <c r="L81" i="19"/>
  <c r="L114" i="19" s="1"/>
  <c r="L147" i="19" s="1"/>
  <c r="L180" i="19" s="1"/>
  <c r="L213" i="19" s="1"/>
  <c r="G175" i="19"/>
  <c r="G179" i="19"/>
  <c r="G41" i="19"/>
  <c r="G39" i="19"/>
  <c r="G44" i="19"/>
  <c r="G107" i="19"/>
  <c r="G141" i="19"/>
  <c r="G207" i="19"/>
  <c r="J77" i="19"/>
  <c r="J110" i="19" s="1"/>
  <c r="J143" i="19" s="1"/>
  <c r="J176" i="19" s="1"/>
  <c r="J209" i="19" s="1"/>
  <c r="J85" i="19"/>
  <c r="J118" i="19" s="1"/>
  <c r="J151" i="19" s="1"/>
  <c r="J184" i="19" s="1"/>
  <c r="J217" i="19" s="1"/>
  <c r="K77" i="19"/>
  <c r="K110" i="19" s="1"/>
  <c r="K143" i="19" s="1"/>
  <c r="K176" i="19" s="1"/>
  <c r="K209" i="19" s="1"/>
  <c r="K85" i="19"/>
  <c r="K118" i="19" s="1"/>
  <c r="K151" i="19" s="1"/>
  <c r="K184" i="19" s="1"/>
  <c r="K217" i="19" s="1"/>
  <c r="L77" i="19"/>
  <c r="L110" i="19" s="1"/>
  <c r="L143" i="19" s="1"/>
  <c r="L176" i="19" s="1"/>
  <c r="L209" i="19" s="1"/>
  <c r="G47" i="19"/>
  <c r="L85" i="19"/>
  <c r="L118" i="19" s="1"/>
  <c r="L151" i="19" s="1"/>
  <c r="L184" i="19" s="1"/>
  <c r="L217" i="19" s="1"/>
  <c r="G149" i="19"/>
  <c r="M80" i="19"/>
  <c r="M113" i="19" s="1"/>
  <c r="M146" i="19" s="1"/>
  <c r="M179" i="19" s="1"/>
  <c r="M212" i="19" s="1"/>
  <c r="G142" i="19"/>
  <c r="G204" i="19"/>
  <c r="G208" i="19"/>
  <c r="G50" i="19"/>
  <c r="C25" i="19"/>
  <c r="G24" i="19"/>
  <c r="C124" i="19"/>
  <c r="G123" i="19"/>
  <c r="C59" i="19"/>
  <c r="G58" i="19"/>
  <c r="C191" i="19"/>
  <c r="G190" i="19"/>
  <c r="C93" i="19"/>
  <c r="G92" i="19"/>
  <c r="G73" i="19"/>
  <c r="C74" i="19"/>
  <c r="C157" i="19"/>
  <c r="G156" i="19"/>
  <c r="N74" i="19"/>
  <c r="N107" i="19" s="1"/>
  <c r="N140" i="19" s="1"/>
  <c r="N173" i="19" s="1"/>
  <c r="N206" i="19" s="1"/>
  <c r="N78" i="19"/>
  <c r="N111" i="19" s="1"/>
  <c r="N144" i="19" s="1"/>
  <c r="N177" i="19" s="1"/>
  <c r="N210" i="19" s="1"/>
  <c r="N82" i="19"/>
  <c r="N115" i="19" s="1"/>
  <c r="N148" i="19" s="1"/>
  <c r="N181" i="19" s="1"/>
  <c r="N214" i="19" s="1"/>
  <c r="N86" i="19"/>
  <c r="N119" i="19" s="1"/>
  <c r="N152" i="19" s="1"/>
  <c r="N185" i="19" s="1"/>
  <c r="N218" i="19" s="1"/>
  <c r="G155" i="19"/>
  <c r="M73" i="19"/>
  <c r="M106" i="19" s="1"/>
  <c r="M139" i="19" s="1"/>
  <c r="M172" i="19" s="1"/>
  <c r="M205" i="19" s="1"/>
  <c r="I76" i="19"/>
  <c r="I109" i="19" s="1"/>
  <c r="I142" i="19" s="1"/>
  <c r="I175" i="19" s="1"/>
  <c r="I208" i="19" s="1"/>
  <c r="M77" i="19"/>
  <c r="M110" i="19" s="1"/>
  <c r="M143" i="19" s="1"/>
  <c r="M176" i="19" s="1"/>
  <c r="M209" i="19" s="1"/>
  <c r="I80" i="19"/>
  <c r="I113" i="19" s="1"/>
  <c r="I146" i="19" s="1"/>
  <c r="I179" i="19" s="1"/>
  <c r="I212" i="19" s="1"/>
  <c r="M81" i="19"/>
  <c r="M114" i="19" s="1"/>
  <c r="M147" i="19" s="1"/>
  <c r="M180" i="19" s="1"/>
  <c r="M213" i="19" s="1"/>
  <c r="I84" i="19"/>
  <c r="I117" i="19" s="1"/>
  <c r="I150" i="19" s="1"/>
  <c r="I183" i="19" s="1"/>
  <c r="I216" i="19" s="1"/>
  <c r="M85" i="19"/>
  <c r="M118" i="19" s="1"/>
  <c r="M151" i="19" s="1"/>
  <c r="M184" i="19" s="1"/>
  <c r="M217" i="19" s="1"/>
  <c r="G122" i="19"/>
  <c r="G189" i="19"/>
  <c r="J72" i="19"/>
  <c r="J105" i="19" s="1"/>
  <c r="J138" i="19" s="1"/>
  <c r="J171" i="19" s="1"/>
  <c r="J204" i="19" s="1"/>
  <c r="N73" i="19"/>
  <c r="N106" i="19" s="1"/>
  <c r="N139" i="19" s="1"/>
  <c r="N172" i="19" s="1"/>
  <c r="N205" i="19" s="1"/>
  <c r="J76" i="19"/>
  <c r="J109" i="19" s="1"/>
  <c r="J142" i="19" s="1"/>
  <c r="J175" i="19" s="1"/>
  <c r="J208" i="19" s="1"/>
  <c r="N77" i="19"/>
  <c r="N110" i="19" s="1"/>
  <c r="N143" i="19" s="1"/>
  <c r="N176" i="19" s="1"/>
  <c r="N209" i="19" s="1"/>
  <c r="J80" i="19"/>
  <c r="J113" i="19" s="1"/>
  <c r="J146" i="19" s="1"/>
  <c r="J179" i="19" s="1"/>
  <c r="J212" i="19" s="1"/>
  <c r="N81" i="19"/>
  <c r="N114" i="19" s="1"/>
  <c r="N147" i="19" s="1"/>
  <c r="N180" i="19" s="1"/>
  <c r="N213" i="19" s="1"/>
  <c r="J84" i="19"/>
  <c r="J117" i="19" s="1"/>
  <c r="J150" i="19" s="1"/>
  <c r="J183" i="19" s="1"/>
  <c r="J216" i="19" s="1"/>
  <c r="N85" i="19"/>
  <c r="N118" i="19" s="1"/>
  <c r="N151" i="19" s="1"/>
  <c r="N184" i="19" s="1"/>
  <c r="N217" i="19" s="1"/>
  <c r="G89" i="19"/>
  <c r="K72" i="19"/>
  <c r="K105" i="19" s="1"/>
  <c r="K138" i="19" s="1"/>
  <c r="K171" i="19" s="1"/>
  <c r="K204" i="19" s="1"/>
  <c r="K76" i="19"/>
  <c r="K109" i="19" s="1"/>
  <c r="K142" i="19" s="1"/>
  <c r="K175" i="19" s="1"/>
  <c r="K208" i="19" s="1"/>
  <c r="K80" i="19"/>
  <c r="K113" i="19" s="1"/>
  <c r="K146" i="19" s="1"/>
  <c r="K179" i="19" s="1"/>
  <c r="K212" i="19" s="1"/>
  <c r="K84" i="19"/>
  <c r="K117" i="19" s="1"/>
  <c r="K150" i="19" s="1"/>
  <c r="K183" i="19" s="1"/>
  <c r="K216" i="19" s="1"/>
  <c r="C90" i="19"/>
  <c r="L72" i="19"/>
  <c r="L105" i="19" s="1"/>
  <c r="L138" i="19" s="1"/>
  <c r="L171" i="19" s="1"/>
  <c r="L204" i="19" s="1"/>
  <c r="L76" i="19"/>
  <c r="L109" i="19" s="1"/>
  <c r="L142" i="19" s="1"/>
  <c r="L175" i="19" s="1"/>
  <c r="L208" i="19" s="1"/>
  <c r="L80" i="19"/>
  <c r="L113" i="19" s="1"/>
  <c r="L146" i="19" s="1"/>
  <c r="L179" i="19" s="1"/>
  <c r="L212" i="19" s="1"/>
  <c r="L84" i="19"/>
  <c r="L117" i="19" s="1"/>
  <c r="L150" i="19" s="1"/>
  <c r="L183" i="19" s="1"/>
  <c r="L216" i="19" s="1"/>
  <c r="M84" i="19"/>
  <c r="M117" i="19" s="1"/>
  <c r="M150" i="19" s="1"/>
  <c r="M183" i="19" s="1"/>
  <c r="M216" i="19" s="1"/>
  <c r="J71" i="19"/>
  <c r="J104" i="19" s="1"/>
  <c r="J137" i="19" s="1"/>
  <c r="J170" i="19" s="1"/>
  <c r="J203" i="19" s="1"/>
  <c r="N72" i="19"/>
  <c r="N105" i="19" s="1"/>
  <c r="N138" i="19" s="1"/>
  <c r="N171" i="19" s="1"/>
  <c r="N204" i="19" s="1"/>
  <c r="J75" i="19"/>
  <c r="J108" i="19" s="1"/>
  <c r="J141" i="19" s="1"/>
  <c r="J174" i="19" s="1"/>
  <c r="J207" i="19" s="1"/>
  <c r="N76" i="19"/>
  <c r="N109" i="19" s="1"/>
  <c r="N142" i="19" s="1"/>
  <c r="N175" i="19" s="1"/>
  <c r="N208" i="19" s="1"/>
  <c r="J79" i="19"/>
  <c r="J112" i="19" s="1"/>
  <c r="J145" i="19" s="1"/>
  <c r="J178" i="19" s="1"/>
  <c r="J211" i="19" s="1"/>
  <c r="N80" i="19"/>
  <c r="N113" i="19" s="1"/>
  <c r="N146" i="19" s="1"/>
  <c r="N179" i="19" s="1"/>
  <c r="N212" i="19" s="1"/>
  <c r="N84" i="19"/>
  <c r="N117" i="19" s="1"/>
  <c r="N150" i="19" s="1"/>
  <c r="N183" i="19" s="1"/>
  <c r="N216" i="19" s="1"/>
  <c r="G57" i="19"/>
  <c r="K71" i="19"/>
  <c r="K104" i="19" s="1"/>
  <c r="K137" i="19" s="1"/>
  <c r="K170" i="19" s="1"/>
  <c r="K203" i="19" s="1"/>
  <c r="K75" i="19"/>
  <c r="K108" i="19" s="1"/>
  <c r="K141" i="19" s="1"/>
  <c r="K174" i="19" s="1"/>
  <c r="K207" i="19" s="1"/>
  <c r="K79" i="19"/>
  <c r="K112" i="19" s="1"/>
  <c r="K145" i="19" s="1"/>
  <c r="K178" i="19" s="1"/>
  <c r="K211" i="19" s="1"/>
  <c r="L71" i="19"/>
  <c r="L104" i="19" s="1"/>
  <c r="L137" i="19" s="1"/>
  <c r="L170" i="19" s="1"/>
  <c r="L203" i="19" s="1"/>
  <c r="L75" i="19"/>
  <c r="L108" i="19" s="1"/>
  <c r="L141" i="19" s="1"/>
  <c r="L174" i="19" s="1"/>
  <c r="L207" i="19" s="1"/>
  <c r="L79" i="19"/>
  <c r="L112" i="19" s="1"/>
  <c r="L145" i="19" s="1"/>
  <c r="L178" i="19" s="1"/>
  <c r="L211" i="19" s="1"/>
  <c r="M71" i="19"/>
  <c r="M104" i="19" s="1"/>
  <c r="M137" i="19" s="1"/>
  <c r="M170" i="19" s="1"/>
  <c r="M203" i="19" s="1"/>
  <c r="I74" i="19"/>
  <c r="I107" i="19" s="1"/>
  <c r="I140" i="19" s="1"/>
  <c r="I173" i="19" s="1"/>
  <c r="I206" i="19" s="1"/>
  <c r="M75" i="19"/>
  <c r="M108" i="19" s="1"/>
  <c r="M141" i="19" s="1"/>
  <c r="M174" i="19" s="1"/>
  <c r="M207" i="19" s="1"/>
  <c r="I78" i="19"/>
  <c r="I111" i="19" s="1"/>
  <c r="I144" i="19" s="1"/>
  <c r="I177" i="19" s="1"/>
  <c r="I210" i="19" s="1"/>
  <c r="M79" i="19"/>
  <c r="M112" i="19" s="1"/>
  <c r="M145" i="19" s="1"/>
  <c r="M178" i="19" s="1"/>
  <c r="M211" i="19" s="1"/>
  <c r="I82" i="19"/>
  <c r="I115" i="19" s="1"/>
  <c r="I148" i="19" s="1"/>
  <c r="I181" i="19" s="1"/>
  <c r="I214" i="19" s="1"/>
  <c r="I86" i="19"/>
  <c r="I119" i="19" s="1"/>
  <c r="I152" i="19" s="1"/>
  <c r="I185" i="19" s="1"/>
  <c r="I218" i="19" s="1"/>
  <c r="G72" i="19"/>
  <c r="N71" i="19"/>
  <c r="N104" i="19" s="1"/>
  <c r="N137" i="19" s="1"/>
  <c r="N170" i="19" s="1"/>
  <c r="N203" i="19" s="1"/>
  <c r="J74" i="19"/>
  <c r="J107" i="19" s="1"/>
  <c r="J140" i="19" s="1"/>
  <c r="J173" i="19" s="1"/>
  <c r="J206" i="19" s="1"/>
  <c r="N75" i="19"/>
  <c r="N108" i="19" s="1"/>
  <c r="N141" i="19" s="1"/>
  <c r="N174" i="19" s="1"/>
  <c r="N207" i="19" s="1"/>
  <c r="J78" i="19"/>
  <c r="J111" i="19" s="1"/>
  <c r="J144" i="19" s="1"/>
  <c r="J177" i="19" s="1"/>
  <c r="J210" i="19" s="1"/>
  <c r="N79" i="19"/>
  <c r="N112" i="19" s="1"/>
  <c r="N145" i="19" s="1"/>
  <c r="N178" i="19" s="1"/>
  <c r="N211" i="19" s="1"/>
  <c r="J82" i="19"/>
  <c r="J115" i="19" s="1"/>
  <c r="J148" i="19" s="1"/>
  <c r="J181" i="19" s="1"/>
  <c r="J214" i="19" s="1"/>
  <c r="N83" i="19"/>
  <c r="N116" i="19" s="1"/>
  <c r="N149" i="19" s="1"/>
  <c r="N182" i="19" s="1"/>
  <c r="N215" i="19" s="1"/>
  <c r="J86" i="19"/>
  <c r="J119" i="19" s="1"/>
  <c r="J152" i="19" s="1"/>
  <c r="J185" i="19" s="1"/>
  <c r="J218" i="19" s="1"/>
  <c r="K74" i="19"/>
  <c r="K107" i="19" s="1"/>
  <c r="K140" i="19" s="1"/>
  <c r="K173" i="19" s="1"/>
  <c r="K206" i="19" s="1"/>
  <c r="K78" i="19"/>
  <c r="K111" i="19" s="1"/>
  <c r="K144" i="19" s="1"/>
  <c r="K177" i="19" s="1"/>
  <c r="K210" i="19" s="1"/>
  <c r="K82" i="19"/>
  <c r="K115" i="19" s="1"/>
  <c r="K148" i="19" s="1"/>
  <c r="K181" i="19" s="1"/>
  <c r="K214" i="19" s="1"/>
  <c r="K86" i="19"/>
  <c r="K119" i="19" s="1"/>
  <c r="K152" i="19" s="1"/>
  <c r="K185" i="19" s="1"/>
  <c r="K218" i="19" s="1"/>
  <c r="L74" i="19"/>
  <c r="L107" i="19" s="1"/>
  <c r="L140" i="19" s="1"/>
  <c r="L173" i="19" s="1"/>
  <c r="L206" i="19" s="1"/>
  <c r="L78" i="19"/>
  <c r="L111" i="19" s="1"/>
  <c r="L144" i="19" s="1"/>
  <c r="L177" i="19" s="1"/>
  <c r="L210" i="19" s="1"/>
  <c r="L82" i="19"/>
  <c r="L115" i="19" s="1"/>
  <c r="L148" i="19" s="1"/>
  <c r="L181" i="19" s="1"/>
  <c r="L214" i="19" s="1"/>
  <c r="L86" i="19"/>
  <c r="L119" i="19" s="1"/>
  <c r="L152" i="19" s="1"/>
  <c r="L185" i="19" s="1"/>
  <c r="L218" i="19" s="1"/>
  <c r="I73" i="19"/>
  <c r="I106" i="19" s="1"/>
  <c r="I139" i="19" s="1"/>
  <c r="I172" i="19" s="1"/>
  <c r="I205" i="19" s="1"/>
  <c r="M74" i="19"/>
  <c r="M107" i="19" s="1"/>
  <c r="M140" i="19" s="1"/>
  <c r="M173" i="19" s="1"/>
  <c r="M206" i="19" s="1"/>
  <c r="I77" i="19"/>
  <c r="I110" i="19" s="1"/>
  <c r="I143" i="19" s="1"/>
  <c r="I176" i="19" s="1"/>
  <c r="I209" i="19" s="1"/>
  <c r="M78" i="19"/>
  <c r="M111" i="19" s="1"/>
  <c r="M144" i="19" s="1"/>
  <c r="M177" i="19" s="1"/>
  <c r="M210" i="19" s="1"/>
  <c r="I81" i="19"/>
  <c r="I114" i="19" s="1"/>
  <c r="I147" i="19" s="1"/>
  <c r="I180" i="19" s="1"/>
  <c r="I213" i="19" s="1"/>
  <c r="M82" i="19"/>
  <c r="M115" i="19" s="1"/>
  <c r="M148" i="19" s="1"/>
  <c r="M181" i="19" s="1"/>
  <c r="M214" i="19" s="1"/>
  <c r="I85" i="19"/>
  <c r="I118" i="19" s="1"/>
  <c r="I151" i="19" s="1"/>
  <c r="I184" i="19" s="1"/>
  <c r="I217" i="19" s="1"/>
  <c r="M86" i="19"/>
  <c r="M119" i="19" s="1"/>
  <c r="M152" i="19" s="1"/>
  <c r="M185" i="19" s="1"/>
  <c r="M218" i="19" s="1"/>
  <c r="C36" i="23"/>
  <c r="G35" i="23"/>
  <c r="C54" i="23"/>
  <c r="G53" i="23"/>
  <c r="G44" i="23"/>
  <c r="C47" i="23"/>
  <c r="G47" i="23" s="1"/>
  <c r="C26" i="23"/>
  <c r="G25" i="23"/>
  <c r="C71" i="23"/>
  <c r="G71" i="23" s="1"/>
  <c r="G70" i="23"/>
  <c r="C74" i="23"/>
  <c r="G73" i="23"/>
  <c r="C46" i="23"/>
  <c r="G46" i="23" s="1"/>
  <c r="G69" i="23"/>
  <c r="G24" i="23"/>
  <c r="G34" i="23"/>
  <c r="G72" i="23"/>
  <c r="G43" i="23"/>
  <c r="G52" i="23"/>
  <c r="H56" i="31"/>
  <c r="H13" i="27"/>
  <c r="H154" i="12"/>
  <c r="H121" i="12"/>
  <c r="H34" i="23"/>
  <c r="H36" i="20"/>
  <c r="H31" i="20"/>
  <c r="H9" i="24"/>
  <c r="H50" i="27"/>
  <c r="H33" i="27"/>
  <c r="H46" i="26"/>
  <c r="H33" i="26"/>
  <c r="H26" i="26"/>
  <c r="H12" i="26"/>
  <c r="H29" i="26"/>
  <c r="H50" i="23"/>
  <c r="H187" i="12"/>
  <c r="H88" i="12"/>
  <c r="H56" i="12"/>
  <c r="H24" i="12"/>
  <c r="H70" i="23"/>
  <c r="H60" i="23"/>
  <c r="H68" i="20"/>
  <c r="H52" i="20"/>
  <c r="H46" i="20"/>
  <c r="H15" i="24"/>
  <c r="H27" i="27"/>
  <c r="H20" i="27"/>
  <c r="H52" i="26"/>
  <c r="H18" i="24"/>
  <c r="H19" i="26"/>
  <c r="H54" i="23"/>
  <c r="H44" i="23"/>
  <c r="H23" i="23"/>
  <c r="H56" i="20"/>
  <c r="H41" i="20"/>
  <c r="H25" i="20"/>
  <c r="H49" i="27"/>
  <c r="H43" i="27"/>
  <c r="H12" i="27"/>
  <c r="H45" i="26"/>
  <c r="H32" i="26"/>
  <c r="H25" i="26"/>
  <c r="H33" i="23"/>
  <c r="H62" i="20"/>
  <c r="H29" i="20"/>
  <c r="H14" i="24"/>
  <c r="H26" i="27"/>
  <c r="H19" i="27"/>
  <c r="H51" i="26"/>
  <c r="H47" i="27"/>
  <c r="H125" i="12"/>
  <c r="H125" i="19" s="1"/>
  <c r="H55" i="12"/>
  <c r="H23" i="12"/>
  <c r="H69" i="23"/>
  <c r="H59" i="23"/>
  <c r="H72" i="20"/>
  <c r="H67" i="20"/>
  <c r="H51" i="20"/>
  <c r="H35" i="20"/>
  <c r="H20" i="24"/>
  <c r="H48" i="27"/>
  <c r="H37" i="27"/>
  <c r="H44" i="26"/>
  <c r="H31" i="26"/>
  <c r="H24" i="26"/>
  <c r="H92" i="12"/>
  <c r="H43" i="23"/>
  <c r="H45" i="20"/>
  <c r="H40" i="20"/>
  <c r="H42" i="27"/>
  <c r="H25" i="27"/>
  <c r="H50" i="26"/>
  <c r="H37" i="26"/>
  <c r="H15" i="26"/>
  <c r="H73" i="23"/>
  <c r="H53" i="23"/>
  <c r="H47" i="23"/>
  <c r="H32" i="23"/>
  <c r="H55" i="20"/>
  <c r="H24" i="20"/>
  <c r="H13" i="24"/>
  <c r="H43" i="26"/>
  <c r="H30" i="26"/>
  <c r="H23" i="26"/>
  <c r="H124" i="12"/>
  <c r="H22" i="12"/>
  <c r="H68" i="23"/>
  <c r="H65" i="20"/>
  <c r="H50" i="20"/>
  <c r="H34" i="20"/>
  <c r="H28" i="20"/>
  <c r="H19" i="24"/>
  <c r="H53" i="27"/>
  <c r="H36" i="27"/>
  <c r="H49" i="26"/>
  <c r="H16" i="26"/>
  <c r="H91" i="12"/>
  <c r="H42" i="23"/>
  <c r="H71" i="20"/>
  <c r="H38" i="20"/>
  <c r="H12" i="24"/>
  <c r="H41" i="27"/>
  <c r="H24" i="27"/>
  <c r="H42" i="26"/>
  <c r="H36" i="26"/>
  <c r="H22" i="26"/>
  <c r="H53" i="26"/>
  <c r="H52" i="23"/>
  <c r="H36" i="23"/>
  <c r="H26" i="23"/>
  <c r="H44" i="20"/>
  <c r="H23" i="20"/>
  <c r="H156" i="12"/>
  <c r="H123" i="12"/>
  <c r="H72" i="23"/>
  <c r="H46" i="23"/>
  <c r="H54" i="20"/>
  <c r="H49" i="20"/>
  <c r="H33" i="20"/>
  <c r="H52" i="27"/>
  <c r="H35" i="27"/>
  <c r="H16" i="27"/>
  <c r="H41" i="26"/>
  <c r="H21" i="26"/>
  <c r="H24" i="23"/>
  <c r="H26" i="20"/>
  <c r="H28" i="27"/>
  <c r="H189" i="12"/>
  <c r="H90" i="12"/>
  <c r="H58" i="12"/>
  <c r="H41" i="23"/>
  <c r="H70" i="20"/>
  <c r="H64" i="20"/>
  <c r="H27" i="20"/>
  <c r="H11" i="24"/>
  <c r="H46" i="27"/>
  <c r="H40" i="27"/>
  <c r="H23" i="27"/>
  <c r="H48" i="26"/>
  <c r="H35" i="26"/>
  <c r="H28" i="26"/>
  <c r="H14" i="26"/>
  <c r="H44" i="27"/>
  <c r="H51" i="23"/>
  <c r="H25" i="23"/>
  <c r="H43" i="20"/>
  <c r="H37" i="20"/>
  <c r="H22" i="20"/>
  <c r="H17" i="24"/>
  <c r="H15" i="27"/>
  <c r="H40" i="26"/>
  <c r="H20" i="26"/>
  <c r="H155" i="12"/>
  <c r="H122" i="12"/>
  <c r="H35" i="23"/>
  <c r="H32" i="20"/>
  <c r="H10" i="24"/>
  <c r="H51" i="27"/>
  <c r="H45" i="27"/>
  <c r="H22" i="27"/>
  <c r="H27" i="26"/>
  <c r="H42" i="20"/>
  <c r="H188" i="12"/>
  <c r="H89" i="12"/>
  <c r="H89" i="19" s="1"/>
  <c r="H57" i="12"/>
  <c r="H57" i="19" s="1"/>
  <c r="H25" i="12"/>
  <c r="H25" i="19" s="1"/>
  <c r="H45" i="23"/>
  <c r="H69" i="20"/>
  <c r="H53" i="20"/>
  <c r="H16" i="24"/>
  <c r="H14" i="27"/>
  <c r="H47" i="26"/>
  <c r="H34" i="26"/>
  <c r="H63" i="20"/>
  <c r="H21" i="27"/>
  <c r="H39" i="26"/>
  <c r="H39" i="27"/>
  <c r="H13" i="26"/>
  <c r="H34" i="27"/>
  <c r="H29" i="27"/>
  <c r="H8" i="27"/>
  <c r="H8" i="26"/>
  <c r="H17" i="27"/>
  <c r="H190" i="12"/>
  <c r="H30" i="27"/>
  <c r="H9" i="26"/>
  <c r="H10" i="27"/>
  <c r="H31" i="27"/>
  <c r="H17" i="26"/>
  <c r="H18" i="27"/>
  <c r="H9" i="27"/>
  <c r="H10" i="26"/>
  <c r="H11" i="27"/>
  <c r="H32" i="27"/>
  <c r="H11" i="26"/>
  <c r="H18" i="26"/>
  <c r="H38" i="26"/>
  <c r="H38" i="27"/>
  <c r="H143" i="2"/>
  <c r="H141" i="2"/>
  <c r="H142" i="2"/>
  <c r="R117" i="1"/>
  <c r="R75" i="1"/>
  <c r="AT36" i="31"/>
  <c r="AN20" i="29"/>
  <c r="E30" i="15"/>
  <c r="G47" i="15"/>
  <c r="I50" i="29"/>
  <c r="K50" i="29"/>
  <c r="M20" i="29"/>
  <c r="H22" i="19"/>
  <c r="S20" i="29"/>
  <c r="H88" i="19"/>
  <c r="AV64" i="29"/>
  <c r="AU8" i="31"/>
  <c r="AF35" i="29"/>
  <c r="AA50" i="29"/>
  <c r="N20" i="29"/>
  <c r="AD20" i="29"/>
  <c r="AF20" i="29"/>
  <c r="AD35" i="29"/>
  <c r="AU20" i="29"/>
  <c r="V35" i="29"/>
  <c r="F35" i="29"/>
  <c r="AM35" i="29"/>
  <c r="AT35" i="29"/>
  <c r="H96" i="15"/>
  <c r="F50" i="29"/>
  <c r="G56" i="30"/>
  <c r="AV56" i="30" s="1"/>
  <c r="G56" i="31"/>
  <c r="H79" i="15"/>
  <c r="P30" i="15"/>
  <c r="R20" i="29"/>
  <c r="M35" i="29"/>
  <c r="Q30" i="15"/>
  <c r="N35" i="29"/>
  <c r="U50" i="29"/>
  <c r="F67" i="15"/>
  <c r="H35" i="29"/>
  <c r="R30" i="15"/>
  <c r="U20" i="29"/>
  <c r="R35" i="29"/>
  <c r="V50" i="29"/>
  <c r="S30" i="15"/>
  <c r="F47" i="15"/>
  <c r="S35" i="29"/>
  <c r="H20" i="29"/>
  <c r="D48" i="31"/>
  <c r="Y20" i="29"/>
  <c r="Z20" i="29"/>
  <c r="AA35" i="29"/>
  <c r="AM50" i="29"/>
  <c r="J35" i="29"/>
  <c r="AB20" i="29"/>
  <c r="AT50" i="29"/>
  <c r="E96" i="15"/>
  <c r="E20" i="29"/>
  <c r="AC20" i="29"/>
  <c r="AU50" i="29"/>
  <c r="J20" i="29"/>
  <c r="F30" i="15"/>
  <c r="F96" i="15"/>
  <c r="E67" i="15"/>
  <c r="I20" i="29"/>
  <c r="E50" i="29"/>
  <c r="H67" i="15"/>
  <c r="K20" i="29"/>
  <c r="O20" i="29"/>
  <c r="AO20" i="29"/>
  <c r="Y35" i="29"/>
  <c r="G50" i="29"/>
  <c r="AB50" i="29"/>
  <c r="F64" i="29"/>
  <c r="H47" i="15"/>
  <c r="E20" i="31"/>
  <c r="AT20" i="29"/>
  <c r="G35" i="29"/>
  <c r="Z35" i="29"/>
  <c r="AC50" i="29"/>
  <c r="G64" i="29"/>
  <c r="P35" i="29"/>
  <c r="P20" i="29"/>
  <c r="T20" i="29"/>
  <c r="Q50" i="29"/>
  <c r="Q20" i="29"/>
  <c r="AL50" i="29"/>
  <c r="AL20" i="29"/>
  <c r="AL35" i="29"/>
  <c r="AO50" i="29"/>
  <c r="F8" i="31"/>
  <c r="AE35" i="29"/>
  <c r="L50" i="29"/>
  <c r="O50" i="29"/>
  <c r="AN35" i="29"/>
  <c r="F8" i="30"/>
  <c r="AU8" i="30"/>
  <c r="AV8" i="29"/>
  <c r="Q35" i="29"/>
  <c r="T50" i="29"/>
  <c r="W50" i="29"/>
  <c r="E79" i="15"/>
  <c r="G67" i="15"/>
  <c r="G96" i="15"/>
  <c r="L20" i="29"/>
  <c r="AE20" i="29"/>
  <c r="G79" i="15"/>
  <c r="W35" i="29"/>
  <c r="E44" i="20"/>
  <c r="E45" i="20" s="1"/>
  <c r="E46" i="20" s="1"/>
  <c r="E47" i="20" s="1"/>
  <c r="E42" i="20"/>
  <c r="E43" i="20" s="1"/>
  <c r="H56" i="19"/>
  <c r="H23" i="19"/>
  <c r="D12" i="12"/>
  <c r="D13" i="12"/>
  <c r="D14" i="12"/>
  <c r="D8" i="12"/>
  <c r="D10" i="12"/>
  <c r="D11" i="12"/>
  <c r="H64" i="29"/>
  <c r="C78" i="2"/>
  <c r="D78" i="2"/>
  <c r="G78" i="2"/>
  <c r="L78" i="2"/>
  <c r="M78" i="2"/>
  <c r="N78" i="2"/>
  <c r="E78" i="2"/>
  <c r="F78" i="2"/>
  <c r="H78" i="2"/>
  <c r="J78" i="2"/>
  <c r="K78" i="2"/>
  <c r="A47" i="15"/>
  <c r="A96" i="15" s="1"/>
  <c r="T16" i="25"/>
  <c r="V16" i="25" s="1"/>
  <c r="T12" i="25"/>
  <c r="V12" i="25" s="1"/>
  <c r="S37" i="1"/>
  <c r="S38" i="1"/>
  <c r="S36" i="1"/>
  <c r="F7" i="2"/>
  <c r="R36" i="1"/>
  <c r="O33" i="2"/>
  <c r="O29" i="2"/>
  <c r="O32" i="2"/>
  <c r="P36" i="2"/>
  <c r="O31" i="2"/>
  <c r="E14" i="2"/>
  <c r="B103" i="2"/>
  <c r="B101" i="2"/>
  <c r="B100" i="2"/>
  <c r="I25" i="1"/>
  <c r="B99" i="2"/>
  <c r="O34" i="2"/>
  <c r="O30" i="2"/>
  <c r="B98" i="2"/>
  <c r="T10" i="25"/>
  <c r="V10" i="25" s="1"/>
  <c r="T14" i="25"/>
  <c r="V14" i="25" s="1"/>
  <c r="T20" i="25"/>
  <c r="V20" i="25" s="1"/>
  <c r="T18" i="25"/>
  <c r="V18" i="25" s="1"/>
  <c r="I71" i="19"/>
  <c r="I104" i="19" s="1"/>
  <c r="I137" i="19" s="1"/>
  <c r="I170" i="19" s="1"/>
  <c r="I203" i="19" s="1"/>
  <c r="C63" i="23" l="1"/>
  <c r="H63" i="23" s="1"/>
  <c r="G61" i="23"/>
  <c r="H62" i="23"/>
  <c r="H61" i="23"/>
  <c r="H15" i="25"/>
  <c r="H17" i="25"/>
  <c r="H13" i="25"/>
  <c r="H188" i="19"/>
  <c r="Q35" i="26"/>
  <c r="P35" i="26"/>
  <c r="O35" i="26"/>
  <c r="M35" i="26"/>
  <c r="K35" i="26"/>
  <c r="J35" i="26"/>
  <c r="I35" i="26"/>
  <c r="Y35" i="26"/>
  <c r="X35" i="26"/>
  <c r="W35" i="26"/>
  <c r="V35" i="26"/>
  <c r="S35" i="26"/>
  <c r="R35" i="26"/>
  <c r="N35" i="26"/>
  <c r="L35" i="26"/>
  <c r="O35" i="20"/>
  <c r="O44" i="20" s="1"/>
  <c r="O53" i="20" s="1"/>
  <c r="O62" i="20" s="1"/>
  <c r="O71" i="20" s="1"/>
  <c r="M35" i="20"/>
  <c r="M44" i="20" s="1"/>
  <c r="M53" i="20" s="1"/>
  <c r="M62" i="20" s="1"/>
  <c r="M71" i="20" s="1"/>
  <c r="J35" i="20"/>
  <c r="J44" i="20" s="1"/>
  <c r="J53" i="20" s="1"/>
  <c r="J62" i="20" s="1"/>
  <c r="J71" i="20" s="1"/>
  <c r="N35" i="20"/>
  <c r="N44" i="20" s="1"/>
  <c r="N53" i="20" s="1"/>
  <c r="N62" i="20" s="1"/>
  <c r="N71" i="20" s="1"/>
  <c r="K35" i="20"/>
  <c r="K44" i="20" s="1"/>
  <c r="K53" i="20" s="1"/>
  <c r="K62" i="20" s="1"/>
  <c r="K71" i="20" s="1"/>
  <c r="Q36" i="26"/>
  <c r="P36" i="26"/>
  <c r="O36" i="26"/>
  <c r="M36" i="26"/>
  <c r="K36" i="26"/>
  <c r="J36" i="26"/>
  <c r="I36" i="26"/>
  <c r="Y36" i="26"/>
  <c r="X36" i="26"/>
  <c r="W36" i="26"/>
  <c r="V36" i="26"/>
  <c r="U36" i="26"/>
  <c r="S36" i="26"/>
  <c r="L36" i="26"/>
  <c r="R36" i="26"/>
  <c r="N36" i="26"/>
  <c r="O37" i="20"/>
  <c r="O46" i="20" s="1"/>
  <c r="O55" i="20" s="1"/>
  <c r="O64" i="20" s="1"/>
  <c r="O73" i="20" s="1"/>
  <c r="N37" i="20"/>
  <c r="N46" i="20" s="1"/>
  <c r="N55" i="20" s="1"/>
  <c r="N64" i="20" s="1"/>
  <c r="N73" i="20" s="1"/>
  <c r="M37" i="20"/>
  <c r="M46" i="20" s="1"/>
  <c r="M55" i="20" s="1"/>
  <c r="M64" i="20" s="1"/>
  <c r="M73" i="20" s="1"/>
  <c r="K37" i="20"/>
  <c r="K46" i="20" s="1"/>
  <c r="K55" i="20" s="1"/>
  <c r="K64" i="20" s="1"/>
  <c r="K73" i="20" s="1"/>
  <c r="J37" i="20"/>
  <c r="J46" i="20" s="1"/>
  <c r="J55" i="20" s="1"/>
  <c r="J64" i="20" s="1"/>
  <c r="J73" i="20" s="1"/>
  <c r="I37" i="20"/>
  <c r="I46" i="20" s="1"/>
  <c r="I55" i="20" s="1"/>
  <c r="I64" i="20" s="1"/>
  <c r="I73" i="20" s="1"/>
  <c r="O38" i="20"/>
  <c r="O47" i="20" s="1"/>
  <c r="O56" i="20" s="1"/>
  <c r="O65" i="20" s="1"/>
  <c r="O74" i="20" s="1"/>
  <c r="N38" i="20"/>
  <c r="N47" i="20" s="1"/>
  <c r="N56" i="20" s="1"/>
  <c r="N65" i="20" s="1"/>
  <c r="N74" i="20" s="1"/>
  <c r="M38" i="20"/>
  <c r="M47" i="20" s="1"/>
  <c r="M56" i="20" s="1"/>
  <c r="M65" i="20" s="1"/>
  <c r="M74" i="20" s="1"/>
  <c r="K38" i="20"/>
  <c r="K47" i="20" s="1"/>
  <c r="K56" i="20" s="1"/>
  <c r="K65" i="20" s="1"/>
  <c r="K74" i="20" s="1"/>
  <c r="I38" i="20"/>
  <c r="I47" i="20" s="1"/>
  <c r="I56" i="20" s="1"/>
  <c r="I65" i="20" s="1"/>
  <c r="I74" i="20" s="1"/>
  <c r="Q34" i="26"/>
  <c r="P34" i="26"/>
  <c r="O34" i="26"/>
  <c r="K34" i="26"/>
  <c r="J34" i="26"/>
  <c r="Y34" i="26"/>
  <c r="X34" i="26"/>
  <c r="W34" i="26"/>
  <c r="V34" i="26"/>
  <c r="U34" i="26"/>
  <c r="S34" i="26"/>
  <c r="N34" i="26"/>
  <c r="R34" i="26"/>
  <c r="L34" i="26"/>
  <c r="H122" i="19"/>
  <c r="H22" i="25"/>
  <c r="J36" i="20"/>
  <c r="J45" i="20" s="1"/>
  <c r="J54" i="20" s="1"/>
  <c r="J63" i="20" s="1"/>
  <c r="J72" i="20" s="1"/>
  <c r="O36" i="20"/>
  <c r="O45" i="20" s="1"/>
  <c r="O54" i="20" s="1"/>
  <c r="O63" i="20" s="1"/>
  <c r="O72" i="20" s="1"/>
  <c r="N36" i="20"/>
  <c r="N45" i="20" s="1"/>
  <c r="N54" i="20" s="1"/>
  <c r="N63" i="20" s="1"/>
  <c r="N72" i="20" s="1"/>
  <c r="K36" i="20"/>
  <c r="K45" i="20" s="1"/>
  <c r="K54" i="20" s="1"/>
  <c r="K63" i="20" s="1"/>
  <c r="K72" i="20" s="1"/>
  <c r="H21" i="25"/>
  <c r="Q37" i="26"/>
  <c r="P37" i="26"/>
  <c r="O37" i="26"/>
  <c r="M37" i="26"/>
  <c r="K37" i="26"/>
  <c r="J37" i="26"/>
  <c r="I37" i="26"/>
  <c r="Y37" i="26"/>
  <c r="X37" i="26"/>
  <c r="W37" i="26"/>
  <c r="V37" i="26"/>
  <c r="U37" i="26"/>
  <c r="S37" i="26"/>
  <c r="R37" i="26"/>
  <c r="L37" i="26"/>
  <c r="N37" i="26"/>
  <c r="H11" i="25"/>
  <c r="M36" i="20"/>
  <c r="M45" i="20" s="1"/>
  <c r="M54" i="20" s="1"/>
  <c r="M63" i="20" s="1"/>
  <c r="M72" i="20" s="1"/>
  <c r="I36" i="20"/>
  <c r="I45" i="20" s="1"/>
  <c r="I54" i="20" s="1"/>
  <c r="I63" i="20" s="1"/>
  <c r="I72" i="20" s="1"/>
  <c r="AV8" i="31"/>
  <c r="AW8" i="31" s="1"/>
  <c r="AU36" i="31"/>
  <c r="AU20" i="31"/>
  <c r="I34" i="26"/>
  <c r="M34" i="26"/>
  <c r="J38" i="20"/>
  <c r="J47" i="20" s="1"/>
  <c r="J56" i="20" s="1"/>
  <c r="J65" i="20" s="1"/>
  <c r="J74" i="20" s="1"/>
  <c r="AU36" i="30"/>
  <c r="AU20" i="30"/>
  <c r="F36" i="30"/>
  <c r="F20" i="30"/>
  <c r="H24" i="19"/>
  <c r="J7" i="30"/>
  <c r="I6" i="30"/>
  <c r="I56" i="31"/>
  <c r="J7" i="31"/>
  <c r="I6" i="31"/>
  <c r="J7" i="29"/>
  <c r="I6" i="29"/>
  <c r="AX6" i="29" s="1"/>
  <c r="C47" i="20"/>
  <c r="G46" i="20"/>
  <c r="C74" i="20"/>
  <c r="G73" i="20"/>
  <c r="E73" i="20"/>
  <c r="H73" i="20"/>
  <c r="H71" i="23"/>
  <c r="C48" i="23"/>
  <c r="G45" i="23"/>
  <c r="C59" i="12"/>
  <c r="G58" i="12"/>
  <c r="C26" i="12"/>
  <c r="G25" i="12"/>
  <c r="C191" i="12"/>
  <c r="G190" i="12"/>
  <c r="C158" i="12"/>
  <c r="G157" i="12"/>
  <c r="C126" i="12"/>
  <c r="G125" i="12"/>
  <c r="C93" i="12"/>
  <c r="G92" i="12"/>
  <c r="C158" i="19"/>
  <c r="G157" i="19"/>
  <c r="C75" i="19"/>
  <c r="G74" i="19"/>
  <c r="C91" i="19"/>
  <c r="G91" i="19" s="1"/>
  <c r="G90" i="19"/>
  <c r="C94" i="19"/>
  <c r="G93" i="19"/>
  <c r="C96" i="19"/>
  <c r="C192" i="19"/>
  <c r="G191" i="19"/>
  <c r="C60" i="19"/>
  <c r="G59" i="19"/>
  <c r="C125" i="19"/>
  <c r="G124" i="19"/>
  <c r="C26" i="19"/>
  <c r="G25" i="19"/>
  <c r="H9" i="25"/>
  <c r="H19" i="25"/>
  <c r="G74" i="23"/>
  <c r="C75" i="23"/>
  <c r="H74" i="23"/>
  <c r="G26" i="23"/>
  <c r="C64" i="23"/>
  <c r="G63" i="23"/>
  <c r="C55" i="23"/>
  <c r="G54" i="23"/>
  <c r="C37" i="23"/>
  <c r="G36" i="23"/>
  <c r="U35" i="26"/>
  <c r="H91" i="19"/>
  <c r="H90" i="19"/>
  <c r="H92" i="19"/>
  <c r="H187" i="19"/>
  <c r="H189" i="19"/>
  <c r="H124" i="19"/>
  <c r="H55" i="19"/>
  <c r="H121" i="19"/>
  <c r="H190" i="19"/>
  <c r="H123" i="19"/>
  <c r="H58" i="19"/>
  <c r="E75" i="1"/>
  <c r="D75" i="1"/>
  <c r="Q75" i="1" s="1"/>
  <c r="E117" i="1"/>
  <c r="D117" i="1"/>
  <c r="A30" i="15"/>
  <c r="A79" i="15" s="1"/>
  <c r="A67" i="15"/>
  <c r="AV35" i="29"/>
  <c r="AV50" i="29"/>
  <c r="AW8" i="29"/>
  <c r="AV20" i="29"/>
  <c r="AV8" i="30"/>
  <c r="G8" i="30"/>
  <c r="F36" i="31"/>
  <c r="G8" i="31"/>
  <c r="F20" i="31"/>
  <c r="D9" i="2"/>
  <c r="D13" i="2"/>
  <c r="E36" i="1"/>
  <c r="D36" i="1"/>
  <c r="M96" i="2"/>
  <c r="N96" i="2" s="1"/>
  <c r="M99" i="2"/>
  <c r="N99" i="2" s="1"/>
  <c r="M98" i="2"/>
  <c r="N98" i="2" s="1"/>
  <c r="M97" i="2"/>
  <c r="N97" i="2" s="1"/>
  <c r="I35" i="20" l="1"/>
  <c r="I44" i="20" s="1"/>
  <c r="I53" i="20" s="1"/>
  <c r="I62" i="20" s="1"/>
  <c r="I71" i="20" s="1"/>
  <c r="G36" i="31"/>
  <c r="G20" i="31"/>
  <c r="AV36" i="31"/>
  <c r="AV20" i="31"/>
  <c r="AW36" i="31"/>
  <c r="AW20" i="31"/>
  <c r="AC29" i="26"/>
  <c r="G36" i="30"/>
  <c r="G20" i="30"/>
  <c r="AV20" i="30"/>
  <c r="AV36" i="30"/>
  <c r="E9" i="2"/>
  <c r="K7" i="30"/>
  <c r="J6" i="30"/>
  <c r="J56" i="30"/>
  <c r="AY56" i="30" s="1"/>
  <c r="AX8" i="31"/>
  <c r="AY8" i="31" s="1"/>
  <c r="K7" i="31"/>
  <c r="J6" i="31"/>
  <c r="J56" i="31"/>
  <c r="AX64" i="29"/>
  <c r="I64" i="29"/>
  <c r="J6" i="29"/>
  <c r="AY6" i="29" s="1"/>
  <c r="K7" i="29"/>
  <c r="G47" i="20"/>
  <c r="H47" i="20"/>
  <c r="G74" i="20"/>
  <c r="E74" i="20"/>
  <c r="H74" i="20"/>
  <c r="G48" i="23"/>
  <c r="H48" i="23"/>
  <c r="E15" i="12"/>
  <c r="E16" i="12"/>
  <c r="C94" i="12"/>
  <c r="G93" i="12"/>
  <c r="H93" i="12"/>
  <c r="C127" i="12"/>
  <c r="G126" i="12"/>
  <c r="H126" i="12"/>
  <c r="C159" i="12"/>
  <c r="G158" i="12"/>
  <c r="H158" i="12"/>
  <c r="C192" i="12"/>
  <c r="G191" i="12"/>
  <c r="H191" i="12"/>
  <c r="C27" i="12"/>
  <c r="G26" i="12"/>
  <c r="H26" i="12"/>
  <c r="C60" i="12"/>
  <c r="G59" i="12"/>
  <c r="H59" i="12"/>
  <c r="E15" i="19"/>
  <c r="E16" i="19"/>
  <c r="E13" i="2"/>
  <c r="C61" i="19"/>
  <c r="G60" i="19"/>
  <c r="C193" i="19"/>
  <c r="G192" i="19"/>
  <c r="G96" i="19"/>
  <c r="C97" i="19"/>
  <c r="C95" i="19"/>
  <c r="G95" i="19" s="1"/>
  <c r="G94" i="19"/>
  <c r="C27" i="19"/>
  <c r="G26" i="19"/>
  <c r="C126" i="19"/>
  <c r="G125" i="19"/>
  <c r="G75" i="19"/>
  <c r="C76" i="19"/>
  <c r="C159" i="19"/>
  <c r="G158" i="19"/>
  <c r="C28" i="23"/>
  <c r="G27" i="23"/>
  <c r="H27" i="23"/>
  <c r="C38" i="23"/>
  <c r="G37" i="23"/>
  <c r="H37" i="23"/>
  <c r="C56" i="23"/>
  <c r="G55" i="23"/>
  <c r="H55" i="23"/>
  <c r="G75" i="23"/>
  <c r="H75" i="23"/>
  <c r="C65" i="23"/>
  <c r="G64" i="23"/>
  <c r="H64" i="23"/>
  <c r="AC47" i="26"/>
  <c r="AC19" i="26"/>
  <c r="AC12" i="26"/>
  <c r="AC8" i="26"/>
  <c r="AC26" i="26"/>
  <c r="AC17" i="26"/>
  <c r="Q117" i="1"/>
  <c r="A117" i="1"/>
  <c r="C117" i="1"/>
  <c r="D118" i="1"/>
  <c r="P110" i="1"/>
  <c r="P117" i="1"/>
  <c r="P75" i="1"/>
  <c r="O75" i="1" s="1"/>
  <c r="A75" i="1"/>
  <c r="C75" i="1"/>
  <c r="D76" i="1"/>
  <c r="Q36" i="1"/>
  <c r="A36" i="1"/>
  <c r="AW8" i="30"/>
  <c r="AW20" i="29"/>
  <c r="AX8" i="29"/>
  <c r="AW35" i="29"/>
  <c r="AW50" i="29"/>
  <c r="H8" i="31"/>
  <c r="H8" i="30"/>
  <c r="D77" i="29"/>
  <c r="H10" i="40"/>
  <c r="D16" i="15"/>
  <c r="O16" i="15" s="1"/>
  <c r="E14" i="19"/>
  <c r="D13" i="15"/>
  <c r="O13" i="15" s="1"/>
  <c r="E11" i="12"/>
  <c r="D11" i="40"/>
  <c r="E9" i="19"/>
  <c r="E9" i="12"/>
  <c r="E13" i="12"/>
  <c r="E12" i="19"/>
  <c r="E14" i="12"/>
  <c r="E10" i="19"/>
  <c r="E10" i="12"/>
  <c r="E8" i="12"/>
  <c r="E13" i="19"/>
  <c r="E8" i="19"/>
  <c r="D74" i="29"/>
  <c r="E12" i="12"/>
  <c r="E11" i="19"/>
  <c r="C36" i="1"/>
  <c r="P27" i="1"/>
  <c r="D37" i="1"/>
  <c r="E13" i="40"/>
  <c r="P36" i="1"/>
  <c r="T13" i="25" l="1"/>
  <c r="V13" i="25" s="1"/>
  <c r="T15" i="25"/>
  <c r="V15" i="25" s="1"/>
  <c r="T17" i="25"/>
  <c r="V17" i="25" s="1"/>
  <c r="BQ65" i="29"/>
  <c r="BR65" i="29"/>
  <c r="BI65" i="29"/>
  <c r="BJ65" i="29"/>
  <c r="BG65" i="29"/>
  <c r="BH65" i="29"/>
  <c r="BP65" i="29"/>
  <c r="BF65" i="29"/>
  <c r="Y65" i="29"/>
  <c r="BN65" i="29"/>
  <c r="AR65" i="29"/>
  <c r="AQ65" i="29"/>
  <c r="AP65" i="29"/>
  <c r="AO65" i="29"/>
  <c r="AJ65" i="29"/>
  <c r="AI65" i="29"/>
  <c r="AH65" i="29"/>
  <c r="AN65" i="29"/>
  <c r="AG65" i="29"/>
  <c r="AM65" i="29"/>
  <c r="AK65" i="29"/>
  <c r="AL65" i="29"/>
  <c r="AF65" i="29"/>
  <c r="AE65" i="29"/>
  <c r="AD65" i="29"/>
  <c r="AB65" i="29"/>
  <c r="AC65" i="29"/>
  <c r="AA65" i="29"/>
  <c r="V65" i="29"/>
  <c r="Z65" i="29"/>
  <c r="X65" i="29"/>
  <c r="W65" i="29"/>
  <c r="U65" i="29"/>
  <c r="Q65" i="29"/>
  <c r="T65" i="29"/>
  <c r="S65" i="29"/>
  <c r="R65" i="29"/>
  <c r="F65" i="29"/>
  <c r="P65" i="29"/>
  <c r="K65" i="29"/>
  <c r="H65" i="29"/>
  <c r="O65" i="29"/>
  <c r="L65" i="29"/>
  <c r="I65" i="29"/>
  <c r="G65" i="29"/>
  <c r="N65" i="29"/>
  <c r="M65" i="29"/>
  <c r="J65" i="29"/>
  <c r="T19" i="25"/>
  <c r="V19" i="25" s="1"/>
  <c r="T11" i="25"/>
  <c r="V11" i="25" s="1"/>
  <c r="B64" i="2"/>
  <c r="B58" i="2"/>
  <c r="N75" i="1" a="1"/>
  <c r="N75" i="1" s="1"/>
  <c r="K75" i="1" s="1"/>
  <c r="J75" i="1" a="1"/>
  <c r="J75" i="1" s="1"/>
  <c r="N117" i="1" a="1"/>
  <c r="N117" i="1" s="1"/>
  <c r="K117" i="1" s="1"/>
  <c r="J117" i="1" a="1"/>
  <c r="J117" i="1" s="1"/>
  <c r="AY20" i="31"/>
  <c r="AY36" i="31"/>
  <c r="H20" i="31"/>
  <c r="H36" i="31"/>
  <c r="AX20" i="31"/>
  <c r="AX36" i="31"/>
  <c r="K102" i="2"/>
  <c r="AW36" i="30"/>
  <c r="AW20" i="30"/>
  <c r="H20" i="30"/>
  <c r="H36" i="30"/>
  <c r="B66" i="2"/>
  <c r="B62" i="2"/>
  <c r="B57" i="2"/>
  <c r="B59" i="2"/>
  <c r="B71" i="2"/>
  <c r="B70" i="2"/>
  <c r="B73" i="2"/>
  <c r="B63" i="2"/>
  <c r="B78" i="2"/>
  <c r="B67" i="2"/>
  <c r="B76" i="2"/>
  <c r="B65" i="2"/>
  <c r="B61" i="2"/>
  <c r="B69" i="2"/>
  <c r="B60" i="2"/>
  <c r="B72" i="2"/>
  <c r="B75" i="2"/>
  <c r="B74" i="2"/>
  <c r="B68" i="2"/>
  <c r="L7" i="30"/>
  <c r="K6" i="30"/>
  <c r="K56" i="30"/>
  <c r="AZ56" i="30" s="1"/>
  <c r="L7" i="31"/>
  <c r="K6" i="31"/>
  <c r="K56" i="31"/>
  <c r="K6" i="29"/>
  <c r="AZ6" i="29" s="1"/>
  <c r="L7" i="29"/>
  <c r="J64" i="29"/>
  <c r="AY64" i="29"/>
  <c r="H26" i="19"/>
  <c r="C28" i="12"/>
  <c r="G27" i="12"/>
  <c r="H27" i="12"/>
  <c r="H191" i="19"/>
  <c r="C193" i="12"/>
  <c r="G192" i="12"/>
  <c r="H192" i="12"/>
  <c r="C160" i="12"/>
  <c r="G159" i="12"/>
  <c r="H159" i="12"/>
  <c r="H126" i="19"/>
  <c r="C128" i="12"/>
  <c r="G127" i="12"/>
  <c r="H127" i="12"/>
  <c r="H93" i="19"/>
  <c r="H59" i="19"/>
  <c r="C61" i="12"/>
  <c r="G60" i="12"/>
  <c r="H60" i="12"/>
  <c r="C95" i="12"/>
  <c r="G94" i="12"/>
  <c r="H94" i="12"/>
  <c r="C77" i="19"/>
  <c r="G76" i="19"/>
  <c r="C127" i="19"/>
  <c r="G126" i="19"/>
  <c r="G27" i="19"/>
  <c r="C28" i="19"/>
  <c r="C100" i="19"/>
  <c r="C98" i="19"/>
  <c r="G97" i="19"/>
  <c r="C160" i="19"/>
  <c r="G159" i="19"/>
  <c r="C194" i="19"/>
  <c r="G193" i="19"/>
  <c r="C62" i="19"/>
  <c r="G61" i="19"/>
  <c r="T9" i="25"/>
  <c r="V9" i="25" s="1"/>
  <c r="C66" i="23"/>
  <c r="G65" i="23"/>
  <c r="H65" i="23"/>
  <c r="C57" i="23"/>
  <c r="G56" i="23"/>
  <c r="H56" i="23"/>
  <c r="C39" i="23"/>
  <c r="G38" i="23"/>
  <c r="H38" i="23"/>
  <c r="C29" i="23"/>
  <c r="G28" i="23"/>
  <c r="H28" i="23"/>
  <c r="O117" i="1"/>
  <c r="O36" i="1"/>
  <c r="Q118" i="1"/>
  <c r="A118" i="1"/>
  <c r="Q76" i="1"/>
  <c r="A76" i="1"/>
  <c r="C76" i="1"/>
  <c r="P76" i="1"/>
  <c r="D77" i="1"/>
  <c r="Q77" i="1" s="1"/>
  <c r="R76" i="1"/>
  <c r="E76" i="1" s="1"/>
  <c r="D119" i="1"/>
  <c r="C118" i="1"/>
  <c r="P118" i="1"/>
  <c r="R118" i="1"/>
  <c r="E118" i="1" s="1"/>
  <c r="Q37" i="1"/>
  <c r="A37" i="1"/>
  <c r="I8" i="30"/>
  <c r="AZ8" i="31"/>
  <c r="I8" i="31"/>
  <c r="AX35" i="29"/>
  <c r="AY8" i="29"/>
  <c r="AX50" i="29"/>
  <c r="AX20" i="29"/>
  <c r="AX8" i="30"/>
  <c r="E94" i="40"/>
  <c r="E71" i="40"/>
  <c r="E39" i="40"/>
  <c r="D38" i="1"/>
  <c r="R37" i="1"/>
  <c r="E37" i="1" s="1"/>
  <c r="P37" i="1"/>
  <c r="F13" i="40"/>
  <c r="C37" i="1"/>
  <c r="AG57" i="29" l="1"/>
  <c r="AG56" i="29"/>
  <c r="J92" i="2"/>
  <c r="M92" i="2" s="1"/>
  <c r="N92" i="2" s="1"/>
  <c r="J91" i="2"/>
  <c r="M91" i="2" s="1"/>
  <c r="N91" i="2" s="1"/>
  <c r="O118" i="1"/>
  <c r="N76" i="1" a="1"/>
  <c r="N76" i="1" s="1"/>
  <c r="K76" i="1" s="1"/>
  <c r="J76" i="1" a="1"/>
  <c r="J76" i="1" s="1"/>
  <c r="N118" i="1" a="1"/>
  <c r="N118" i="1" s="1"/>
  <c r="K118" i="1" s="1"/>
  <c r="J118" i="1" a="1"/>
  <c r="J118" i="1" s="1"/>
  <c r="I20" i="31"/>
  <c r="I36" i="31"/>
  <c r="AZ20" i="31"/>
  <c r="AZ36" i="31"/>
  <c r="K90" i="2"/>
  <c r="J90" i="2" s="1"/>
  <c r="M90" i="2" s="1"/>
  <c r="N90" i="2" s="1"/>
  <c r="J93" i="2"/>
  <c r="M93" i="2" s="1"/>
  <c r="N93" i="2" s="1"/>
  <c r="K89" i="2"/>
  <c r="J89" i="2" s="1"/>
  <c r="M89" i="2" s="1"/>
  <c r="N89" i="2" s="1"/>
  <c r="K100" i="2"/>
  <c r="J100" i="2" s="1"/>
  <c r="M100" i="2" s="1"/>
  <c r="N100" i="2" s="1"/>
  <c r="K84" i="2"/>
  <c r="J84" i="2" s="1"/>
  <c r="M84" i="2" s="1"/>
  <c r="N84" i="2" s="1"/>
  <c r="K87" i="2"/>
  <c r="J87" i="2" s="1"/>
  <c r="M87" i="2" s="1"/>
  <c r="N87" i="2" s="1"/>
  <c r="K86" i="2"/>
  <c r="J86" i="2" s="1"/>
  <c r="M86" i="2" s="1"/>
  <c r="N86" i="2" s="1"/>
  <c r="K82" i="2"/>
  <c r="J82" i="2" s="1"/>
  <c r="K83" i="2"/>
  <c r="J83" i="2" s="1"/>
  <c r="K88" i="2"/>
  <c r="K95" i="2"/>
  <c r="J95" i="2" s="1"/>
  <c r="K85" i="2"/>
  <c r="J85" i="2" s="1"/>
  <c r="M85" i="2" s="1"/>
  <c r="N85" i="2" s="1"/>
  <c r="J94" i="2"/>
  <c r="M94" i="2" s="1"/>
  <c r="N94" i="2" s="1"/>
  <c r="AX36" i="30"/>
  <c r="AX20" i="30"/>
  <c r="I20" i="30"/>
  <c r="I36" i="30"/>
  <c r="J102" i="2"/>
  <c r="D10" i="2"/>
  <c r="M7" i="30"/>
  <c r="L6" i="30"/>
  <c r="L56" i="30"/>
  <c r="BA56" i="30" s="1"/>
  <c r="O76" i="1"/>
  <c r="M7" i="31"/>
  <c r="L6" i="31"/>
  <c r="L56" i="31"/>
  <c r="L6" i="29"/>
  <c r="BA6" i="29" s="1"/>
  <c r="M7" i="29"/>
  <c r="K64" i="29"/>
  <c r="AZ64" i="29"/>
  <c r="C161" i="12"/>
  <c r="G160" i="12"/>
  <c r="H160" i="12"/>
  <c r="C62" i="12"/>
  <c r="G61" i="12"/>
  <c r="H61" i="12"/>
  <c r="H27" i="19"/>
  <c r="H60" i="19"/>
  <c r="H127" i="19"/>
  <c r="C29" i="12"/>
  <c r="G28" i="12"/>
  <c r="H28" i="12"/>
  <c r="C96" i="12"/>
  <c r="G95" i="12"/>
  <c r="H95" i="12"/>
  <c r="C129" i="12"/>
  <c r="G128" i="12"/>
  <c r="H128" i="12"/>
  <c r="H192" i="19"/>
  <c r="C194" i="12"/>
  <c r="G193" i="12"/>
  <c r="H193" i="12"/>
  <c r="H94" i="19"/>
  <c r="G62" i="19"/>
  <c r="C63" i="19"/>
  <c r="C195" i="19"/>
  <c r="G194" i="19"/>
  <c r="C161" i="19"/>
  <c r="G160" i="19"/>
  <c r="C99" i="19"/>
  <c r="G99" i="19" s="1"/>
  <c r="G98" i="19"/>
  <c r="C101" i="19"/>
  <c r="G100" i="19"/>
  <c r="C29" i="19"/>
  <c r="G28" i="19"/>
  <c r="C128" i="19"/>
  <c r="G127" i="19"/>
  <c r="C78" i="19"/>
  <c r="G77" i="19"/>
  <c r="G39" i="23"/>
  <c r="H39" i="23"/>
  <c r="G57" i="23"/>
  <c r="H57" i="23"/>
  <c r="C30" i="23"/>
  <c r="G29" i="23"/>
  <c r="H29" i="23"/>
  <c r="G66" i="23"/>
  <c r="H66" i="23"/>
  <c r="Q119" i="1"/>
  <c r="A119" i="1"/>
  <c r="O37" i="1"/>
  <c r="R77" i="1"/>
  <c r="E77" i="1" s="1"/>
  <c r="C77" i="1"/>
  <c r="A77" i="1"/>
  <c r="P77" i="1"/>
  <c r="O77" i="1" s="1"/>
  <c r="D78" i="1"/>
  <c r="P119" i="1"/>
  <c r="R119" i="1"/>
  <c r="E119" i="1" s="1"/>
  <c r="C119" i="1"/>
  <c r="D120" i="1"/>
  <c r="A120" i="1" s="1"/>
  <c r="Q38" i="1"/>
  <c r="A38" i="1"/>
  <c r="M36" i="1"/>
  <c r="AY35" i="29"/>
  <c r="AZ8" i="29"/>
  <c r="AY20" i="29"/>
  <c r="AY50" i="29"/>
  <c r="AY8" i="30"/>
  <c r="J8" i="31"/>
  <c r="BA8" i="31"/>
  <c r="J8" i="30"/>
  <c r="F94" i="40"/>
  <c r="F71" i="40"/>
  <c r="F39" i="40"/>
  <c r="C38" i="1"/>
  <c r="D39" i="1"/>
  <c r="A39" i="1" s="1"/>
  <c r="G13" i="40"/>
  <c r="R38" i="1"/>
  <c r="E38" i="1" s="1"/>
  <c r="P38" i="1"/>
  <c r="P9" i="32" l="1"/>
  <c r="E2" i="29"/>
  <c r="D10" i="32" s="1"/>
  <c r="G21" i="1"/>
  <c r="D2" i="32" s="1"/>
  <c r="M82" i="2"/>
  <c r="N82" i="2" s="1"/>
  <c r="L9" i="32"/>
  <c r="E2" i="30"/>
  <c r="E2" i="31"/>
  <c r="M83" i="2"/>
  <c r="N83" i="2" s="1"/>
  <c r="L120" i="1" a="1"/>
  <c r="L120" i="1" s="1"/>
  <c r="L119" i="1" a="1"/>
  <c r="L119" i="1" s="1"/>
  <c r="L77" i="1" a="1"/>
  <c r="L77" i="1" s="1"/>
  <c r="E10" i="32"/>
  <c r="E2" i="32"/>
  <c r="AT6" i="31"/>
  <c r="AT6" i="30"/>
  <c r="AT6" i="29"/>
  <c r="N77" i="1" a="1"/>
  <c r="N77" i="1" s="1"/>
  <c r="K77" i="1" s="1"/>
  <c r="J77" i="1" a="1"/>
  <c r="J77" i="1" s="1"/>
  <c r="N119" i="1" a="1"/>
  <c r="N119" i="1" s="1"/>
  <c r="K119" i="1" s="1"/>
  <c r="J119" i="1" a="1"/>
  <c r="J119" i="1" s="1"/>
  <c r="N120" i="1" a="1"/>
  <c r="N120" i="1" s="1"/>
  <c r="J120" i="1" a="1"/>
  <c r="J120" i="1" s="1"/>
  <c r="H118" i="1" a="1"/>
  <c r="H118" i="1" s="1"/>
  <c r="I119" i="1" a="1"/>
  <c r="I119" i="1" s="1"/>
  <c r="G118" i="1" a="1"/>
  <c r="G118" i="1" s="1"/>
  <c r="I77" i="1" a="1"/>
  <c r="I77" i="1" s="1"/>
  <c r="G76" i="1" a="1"/>
  <c r="G76" i="1" s="1"/>
  <c r="H119" i="1" a="1"/>
  <c r="H119" i="1" s="1"/>
  <c r="H77" i="1" a="1"/>
  <c r="H77" i="1" s="1"/>
  <c r="I120" i="1" a="1"/>
  <c r="I120" i="1" s="1"/>
  <c r="G119" i="1" a="1"/>
  <c r="G119" i="1" s="1"/>
  <c r="L117" i="1" a="1"/>
  <c r="L117" i="1" s="1"/>
  <c r="G77" i="1" a="1"/>
  <c r="G77" i="1" s="1"/>
  <c r="L75" i="1" a="1"/>
  <c r="L75" i="1" s="1"/>
  <c r="H120" i="1" a="1"/>
  <c r="H120" i="1" s="1"/>
  <c r="G120" i="1" a="1"/>
  <c r="G120" i="1" s="1"/>
  <c r="L118" i="1" a="1"/>
  <c r="L118" i="1" s="1"/>
  <c r="I117" i="1" a="1"/>
  <c r="I117" i="1" s="1"/>
  <c r="L76" i="1" a="1"/>
  <c r="L76" i="1" s="1"/>
  <c r="I75" i="1" a="1"/>
  <c r="I75" i="1" s="1"/>
  <c r="H117" i="1" a="1"/>
  <c r="H117" i="1" s="1"/>
  <c r="H75" i="1" a="1"/>
  <c r="H75" i="1" s="1"/>
  <c r="H76" i="1" a="1"/>
  <c r="H76" i="1" s="1"/>
  <c r="I118" i="1" a="1"/>
  <c r="I118" i="1" s="1"/>
  <c r="G117" i="1" a="1"/>
  <c r="G117" i="1" s="1"/>
  <c r="I76" i="1" a="1"/>
  <c r="I76" i="1" s="1"/>
  <c r="G75" i="1" a="1"/>
  <c r="G75" i="1" s="1"/>
  <c r="BA20" i="31"/>
  <c r="BA36" i="31"/>
  <c r="J20" i="31"/>
  <c r="J36" i="31"/>
  <c r="M95" i="2"/>
  <c r="N95" i="2" s="1"/>
  <c r="J88" i="2"/>
  <c r="M88" i="2" s="1"/>
  <c r="N88" i="2" s="1"/>
  <c r="J36" i="30"/>
  <c r="J20" i="30"/>
  <c r="AY36" i="30"/>
  <c r="AY20" i="30"/>
  <c r="D71" i="29"/>
  <c r="D8" i="40"/>
  <c r="E10" i="2"/>
  <c r="D10" i="15"/>
  <c r="N7" i="30"/>
  <c r="M6" i="30"/>
  <c r="M56" i="30"/>
  <c r="BB56" i="30" s="1"/>
  <c r="N7" i="31"/>
  <c r="M6" i="31"/>
  <c r="M56" i="31"/>
  <c r="M6" i="29"/>
  <c r="BB6" i="29" s="1"/>
  <c r="N7" i="29"/>
  <c r="BA64" i="29"/>
  <c r="L64" i="29"/>
  <c r="H28" i="19"/>
  <c r="H193" i="19"/>
  <c r="C30" i="12"/>
  <c r="G29" i="12"/>
  <c r="H29" i="12"/>
  <c r="H128" i="19"/>
  <c r="C195" i="12"/>
  <c r="G194" i="12"/>
  <c r="H194" i="12"/>
  <c r="C130" i="12"/>
  <c r="G129" i="12"/>
  <c r="H129" i="12"/>
  <c r="H61" i="19"/>
  <c r="H95" i="19"/>
  <c r="C63" i="12"/>
  <c r="G62" i="12"/>
  <c r="H62" i="12"/>
  <c r="C97" i="12"/>
  <c r="G96" i="12"/>
  <c r="H96" i="12"/>
  <c r="C162" i="12"/>
  <c r="G161" i="12"/>
  <c r="H161" i="12"/>
  <c r="G128" i="19"/>
  <c r="C129" i="19"/>
  <c r="C30" i="19"/>
  <c r="G29" i="19"/>
  <c r="C102" i="19"/>
  <c r="G101" i="19"/>
  <c r="C162" i="19"/>
  <c r="G161" i="19"/>
  <c r="G195" i="19"/>
  <c r="C196" i="19"/>
  <c r="G78" i="19"/>
  <c r="C79" i="19"/>
  <c r="C64" i="19"/>
  <c r="G63" i="19"/>
  <c r="G30" i="23"/>
  <c r="H30" i="23"/>
  <c r="O119" i="1"/>
  <c r="O38" i="1"/>
  <c r="D121" i="1"/>
  <c r="A121" i="1" s="1"/>
  <c r="G121" i="1" s="1" a="1"/>
  <c r="G121" i="1" s="1"/>
  <c r="P120" i="1"/>
  <c r="R120" i="1"/>
  <c r="E120" i="1" s="1"/>
  <c r="C120" i="1"/>
  <c r="Q120" i="1"/>
  <c r="A78" i="1"/>
  <c r="H78" i="1" s="1" a="1"/>
  <c r="H78" i="1" s="1"/>
  <c r="R78" i="1"/>
  <c r="E78" i="1" s="1"/>
  <c r="Q78" i="1"/>
  <c r="D79" i="1"/>
  <c r="P78" i="1"/>
  <c r="C78" i="1"/>
  <c r="M37" i="1"/>
  <c r="BB8" i="31"/>
  <c r="K8" i="31"/>
  <c r="AZ8" i="30"/>
  <c r="K8" i="30"/>
  <c r="AZ35" i="29"/>
  <c r="BA8" i="29"/>
  <c r="AZ50" i="29"/>
  <c r="AZ20" i="29"/>
  <c r="G94" i="40"/>
  <c r="G71" i="40"/>
  <c r="G39" i="40"/>
  <c r="R39" i="1"/>
  <c r="E39" i="1" s="1"/>
  <c r="Q39" i="1"/>
  <c r="P39" i="1"/>
  <c r="H13" i="40"/>
  <c r="C39" i="1"/>
  <c r="D40" i="1"/>
  <c r="A40" i="1" s="1"/>
  <c r="P8" i="32"/>
  <c r="P10" i="32" s="1"/>
  <c r="L8" i="32"/>
  <c r="L10" i="32" s="1"/>
  <c r="H9" i="32" l="1"/>
  <c r="F2" i="31"/>
  <c r="E7" i="31" s="1"/>
  <c r="E56" i="31" s="1"/>
  <c r="L78" i="1" a="1"/>
  <c r="L78" i="1" s="1"/>
  <c r="L121" i="1" a="1"/>
  <c r="L121" i="1" s="1"/>
  <c r="A21" i="1"/>
  <c r="D72" i="29"/>
  <c r="CB65" i="29" s="1"/>
  <c r="E6" i="31"/>
  <c r="AT56" i="31"/>
  <c r="E6" i="29"/>
  <c r="F2" i="29"/>
  <c r="F2" i="30"/>
  <c r="E6" i="30"/>
  <c r="N121" i="1" a="1"/>
  <c r="N121" i="1" s="1"/>
  <c r="J121" i="1" a="1"/>
  <c r="J121" i="1" s="1"/>
  <c r="I121" i="1" a="1"/>
  <c r="I121" i="1" s="1"/>
  <c r="H121" i="1" a="1"/>
  <c r="H121" i="1" s="1"/>
  <c r="G78" i="1" a="1"/>
  <c r="G78" i="1" s="1"/>
  <c r="N78" i="1" a="1"/>
  <c r="N78" i="1" s="1"/>
  <c r="K78" i="1" s="1"/>
  <c r="J78" i="1" a="1"/>
  <c r="J78" i="1" s="1"/>
  <c r="I78" i="1" a="1"/>
  <c r="I78" i="1" s="1"/>
  <c r="K20" i="31"/>
  <c r="K36" i="31"/>
  <c r="BB20" i="31"/>
  <c r="BB36" i="31"/>
  <c r="M118" i="1"/>
  <c r="K104" i="2"/>
  <c r="M117" i="1"/>
  <c r="M76" i="1"/>
  <c r="M75" i="1"/>
  <c r="G10" i="2"/>
  <c r="F10" i="2"/>
  <c r="D9" i="40"/>
  <c r="O10" i="15"/>
  <c r="AZ36" i="30"/>
  <c r="AZ20" i="30"/>
  <c r="K36" i="30"/>
  <c r="K20" i="30"/>
  <c r="AT25" i="30"/>
  <c r="R4" i="40"/>
  <c r="E121" i="15"/>
  <c r="I4" i="15"/>
  <c r="D11" i="15"/>
  <c r="D11" i="2" s="1"/>
  <c r="AT40" i="29"/>
  <c r="AT25" i="29"/>
  <c r="AT25" i="31"/>
  <c r="O7" i="30"/>
  <c r="N6" i="30"/>
  <c r="N56" i="30"/>
  <c r="BC56" i="30" s="1"/>
  <c r="O78" i="1"/>
  <c r="N6" i="31"/>
  <c r="O7" i="31"/>
  <c r="N56" i="31"/>
  <c r="O7" i="29"/>
  <c r="N6" i="29"/>
  <c r="BC6" i="29" s="1"/>
  <c r="BB64" i="29"/>
  <c r="M64" i="29"/>
  <c r="G30" i="12"/>
  <c r="C31" i="12"/>
  <c r="H30" i="12"/>
  <c r="C163" i="12"/>
  <c r="G162" i="12"/>
  <c r="H162" i="12"/>
  <c r="H96" i="19"/>
  <c r="H129" i="19"/>
  <c r="G97" i="12"/>
  <c r="C98" i="12"/>
  <c r="H97" i="12"/>
  <c r="H62" i="19"/>
  <c r="G130" i="12"/>
  <c r="C131" i="12"/>
  <c r="H130" i="12"/>
  <c r="H194" i="19"/>
  <c r="G63" i="12"/>
  <c r="C64" i="12"/>
  <c r="H63" i="12"/>
  <c r="C196" i="12"/>
  <c r="G195" i="12"/>
  <c r="H195" i="12"/>
  <c r="H29" i="19"/>
  <c r="C65" i="19"/>
  <c r="G64" i="19"/>
  <c r="C80" i="19"/>
  <c r="G79" i="19"/>
  <c r="G196" i="19"/>
  <c r="C197" i="19"/>
  <c r="C163" i="19"/>
  <c r="G162" i="19"/>
  <c r="C103" i="19"/>
  <c r="G103" i="19" s="1"/>
  <c r="G102" i="19"/>
  <c r="C31" i="19"/>
  <c r="G30" i="19"/>
  <c r="C130" i="19"/>
  <c r="G129" i="19"/>
  <c r="K120" i="1"/>
  <c r="O120" i="1"/>
  <c r="M119" i="1"/>
  <c r="R79" i="1"/>
  <c r="E79" i="1" s="1"/>
  <c r="Q79" i="1"/>
  <c r="P79" i="1"/>
  <c r="C79" i="1"/>
  <c r="D80" i="1"/>
  <c r="A79" i="1"/>
  <c r="L79" i="1" s="1" a="1"/>
  <c r="L79" i="1" s="1"/>
  <c r="M77" i="1"/>
  <c r="D122" i="1"/>
  <c r="A122" i="1" s="1"/>
  <c r="C121" i="1"/>
  <c r="R121" i="1"/>
  <c r="E121" i="1" s="1"/>
  <c r="P121" i="1"/>
  <c r="Q121" i="1"/>
  <c r="M38" i="1"/>
  <c r="O39" i="1"/>
  <c r="M39" i="1"/>
  <c r="BA35" i="29"/>
  <c r="BA50" i="29"/>
  <c r="BB8" i="29"/>
  <c r="BA20" i="29"/>
  <c r="L8" i="30"/>
  <c r="BA8" i="30"/>
  <c r="L8" i="31"/>
  <c r="BC8" i="31"/>
  <c r="C40" i="1"/>
  <c r="D41" i="1"/>
  <c r="A41" i="1" s="1"/>
  <c r="I13" i="40"/>
  <c r="R40" i="1"/>
  <c r="E40" i="1" s="1"/>
  <c r="Q40" i="1"/>
  <c r="P40" i="1"/>
  <c r="H94" i="40"/>
  <c r="H71" i="40"/>
  <c r="H39" i="40"/>
  <c r="C24" i="32"/>
  <c r="N6" i="32"/>
  <c r="C25" i="32"/>
  <c r="R6" i="32"/>
  <c r="H10" i="2" l="1"/>
  <c r="E32" i="31"/>
  <c r="E25" i="31"/>
  <c r="D8" i="32"/>
  <c r="C22" i="32" s="1"/>
  <c r="BO65" i="29"/>
  <c r="AW65" i="29"/>
  <c r="BL65" i="29"/>
  <c r="BX65" i="29"/>
  <c r="CA65" i="29"/>
  <c r="BA65" i="29"/>
  <c r="BS65" i="29"/>
  <c r="AV65" i="29"/>
  <c r="BU65" i="29"/>
  <c r="BW65" i="29"/>
  <c r="AX65" i="29"/>
  <c r="AZ65" i="29"/>
  <c r="CF65" i="29"/>
  <c r="BY65" i="29"/>
  <c r="AY65" i="29"/>
  <c r="CE65" i="29"/>
  <c r="BM65" i="29"/>
  <c r="BE65" i="29"/>
  <c r="AU65" i="29"/>
  <c r="BD65" i="29"/>
  <c r="BV65" i="29"/>
  <c r="BB65" i="29"/>
  <c r="BK65" i="29"/>
  <c r="BT65" i="29"/>
  <c r="BZ65" i="29"/>
  <c r="BC65" i="29"/>
  <c r="CC65" i="29"/>
  <c r="CD65" i="29"/>
  <c r="E25" i="30"/>
  <c r="E25" i="29"/>
  <c r="E40" i="29"/>
  <c r="E7" i="30"/>
  <c r="E56" i="30" s="1"/>
  <c r="E11" i="2"/>
  <c r="B84" i="2" s="1"/>
  <c r="C92" i="2" s="1"/>
  <c r="B92" i="2" s="1"/>
  <c r="N122" i="1" a="1"/>
  <c r="N122" i="1" s="1"/>
  <c r="J122" i="1" a="1"/>
  <c r="J122" i="1" s="1"/>
  <c r="H122" i="1" a="1"/>
  <c r="H122" i="1" s="1"/>
  <c r="I122" i="1" a="1"/>
  <c r="I122" i="1" s="1"/>
  <c r="L122" i="1" a="1"/>
  <c r="L122" i="1" s="1"/>
  <c r="G122" i="1" a="1"/>
  <c r="G122" i="1" s="1"/>
  <c r="N79" i="1" a="1"/>
  <c r="N79" i="1" s="1"/>
  <c r="K79" i="1" s="1"/>
  <c r="J79" i="1" a="1"/>
  <c r="J79" i="1" s="1"/>
  <c r="I79" i="1" a="1"/>
  <c r="I79" i="1" s="1"/>
  <c r="H79" i="1" a="1"/>
  <c r="H79" i="1" s="1"/>
  <c r="G79" i="1" a="1"/>
  <c r="G79" i="1" s="1"/>
  <c r="BC20" i="31"/>
  <c r="BC36" i="31"/>
  <c r="L20" i="31"/>
  <c r="L36" i="31"/>
  <c r="BA36" i="30"/>
  <c r="BA20" i="30"/>
  <c r="L36" i="30"/>
  <c r="L20" i="30"/>
  <c r="T4" i="15"/>
  <c r="O11" i="15"/>
  <c r="P7" i="30"/>
  <c r="O6" i="30"/>
  <c r="O56" i="30"/>
  <c r="BD56" i="30" s="1"/>
  <c r="O79" i="1"/>
  <c r="O6" i="31"/>
  <c r="P7" i="31"/>
  <c r="O56" i="31"/>
  <c r="N64" i="29"/>
  <c r="BC64" i="29"/>
  <c r="P7" i="29"/>
  <c r="O6" i="29"/>
  <c r="BD6" i="29" s="1"/>
  <c r="C65" i="12"/>
  <c r="G64" i="12"/>
  <c r="H64" i="12"/>
  <c r="H63" i="19"/>
  <c r="H30" i="19"/>
  <c r="H97" i="19"/>
  <c r="C32" i="12"/>
  <c r="G31" i="12"/>
  <c r="H31" i="12"/>
  <c r="C99" i="12"/>
  <c r="G98" i="12"/>
  <c r="H98" i="12"/>
  <c r="C197" i="12"/>
  <c r="G196" i="12"/>
  <c r="H196" i="12"/>
  <c r="H130" i="19"/>
  <c r="C132" i="12"/>
  <c r="G131" i="12"/>
  <c r="H131" i="12"/>
  <c r="C164" i="12"/>
  <c r="G163" i="12"/>
  <c r="H163" i="12"/>
  <c r="H195" i="19"/>
  <c r="G31" i="19"/>
  <c r="C32" i="19"/>
  <c r="C131" i="19"/>
  <c r="G130" i="19"/>
  <c r="G163" i="19"/>
  <c r="C164" i="19"/>
  <c r="C198" i="19"/>
  <c r="G197" i="19"/>
  <c r="C81" i="19"/>
  <c r="G80" i="19"/>
  <c r="C66" i="19"/>
  <c r="G65" i="19"/>
  <c r="K121" i="1"/>
  <c r="M78" i="1"/>
  <c r="R122" i="1"/>
  <c r="E122" i="1" s="1"/>
  <c r="C122" i="1"/>
  <c r="Q122" i="1"/>
  <c r="P122" i="1"/>
  <c r="D123" i="1"/>
  <c r="A123" i="1" s="1"/>
  <c r="O121" i="1"/>
  <c r="M120" i="1"/>
  <c r="Q80" i="1"/>
  <c r="R80" i="1"/>
  <c r="E80" i="1" s="1"/>
  <c r="A80" i="1"/>
  <c r="D81" i="1"/>
  <c r="C80" i="1"/>
  <c r="P80" i="1"/>
  <c r="L49" i="1"/>
  <c r="O40" i="1"/>
  <c r="M40" i="1"/>
  <c r="M8" i="31"/>
  <c r="BD8" i="31"/>
  <c r="M8" i="30"/>
  <c r="BB8" i="30"/>
  <c r="BB50" i="29"/>
  <c r="BB20" i="29"/>
  <c r="BB35" i="29"/>
  <c r="BC8" i="29"/>
  <c r="I94" i="40"/>
  <c r="I71" i="40"/>
  <c r="I39" i="40"/>
  <c r="R41" i="1"/>
  <c r="E41" i="1" s="1"/>
  <c r="J76" i="40" s="1"/>
  <c r="Q41" i="1"/>
  <c r="P41" i="1"/>
  <c r="J13" i="40"/>
  <c r="C41" i="1"/>
  <c r="D42" i="1"/>
  <c r="A42" i="1" s="1"/>
  <c r="AT65" i="29" l="1"/>
  <c r="E65" i="29"/>
  <c r="B82" i="2"/>
  <c r="C90" i="2" s="1"/>
  <c r="B90" i="2" s="1"/>
  <c r="B87" i="2"/>
  <c r="C95" i="2" s="1"/>
  <c r="B95" i="2" s="1"/>
  <c r="B85" i="2"/>
  <c r="C93" i="2" s="1"/>
  <c r="B93" i="2" s="1"/>
  <c r="B83" i="2"/>
  <c r="C91" i="2" s="1"/>
  <c r="B91" i="2" s="1"/>
  <c r="N123" i="1" a="1"/>
  <c r="N123" i="1" s="1"/>
  <c r="J123" i="1" a="1"/>
  <c r="J123" i="1" s="1"/>
  <c r="L123" i="1" a="1"/>
  <c r="L123" i="1" s="1"/>
  <c r="H123" i="1" a="1"/>
  <c r="H123" i="1" s="1"/>
  <c r="G123" i="1" a="1"/>
  <c r="G123" i="1" s="1"/>
  <c r="I123" i="1" a="1"/>
  <c r="I123" i="1" s="1"/>
  <c r="N80" i="1" a="1"/>
  <c r="N80" i="1" s="1"/>
  <c r="K80" i="1" s="1"/>
  <c r="J80" i="1" a="1"/>
  <c r="J80" i="1" s="1"/>
  <c r="H80" i="1" a="1"/>
  <c r="H80" i="1" s="1"/>
  <c r="L80" i="1" a="1"/>
  <c r="L80" i="1" s="1"/>
  <c r="G80" i="1" a="1"/>
  <c r="G80" i="1" s="1"/>
  <c r="I80" i="1" a="1"/>
  <c r="I80" i="1" s="1"/>
  <c r="M20" i="31"/>
  <c r="M36" i="31"/>
  <c r="BD20" i="31"/>
  <c r="BD36" i="31"/>
  <c r="M36" i="30"/>
  <c r="M20" i="30"/>
  <c r="BB20" i="30"/>
  <c r="BB36" i="30"/>
  <c r="AT56" i="30"/>
  <c r="Q7" i="30"/>
  <c r="P6" i="30"/>
  <c r="P56" i="30"/>
  <c r="BE56" i="30" s="1"/>
  <c r="O80" i="1"/>
  <c r="P6" i="31"/>
  <c r="Q7" i="31"/>
  <c r="P56" i="31"/>
  <c r="BD64" i="29"/>
  <c r="O64" i="29"/>
  <c r="Q7" i="29"/>
  <c r="P6" i="29"/>
  <c r="BE6" i="29" s="1"/>
  <c r="C100" i="12"/>
  <c r="G99" i="12"/>
  <c r="H99" i="12"/>
  <c r="C33" i="12"/>
  <c r="G32" i="12"/>
  <c r="H32" i="12"/>
  <c r="C66" i="12"/>
  <c r="G65" i="12"/>
  <c r="H65" i="12"/>
  <c r="H31" i="19"/>
  <c r="G164" i="12"/>
  <c r="C165" i="12"/>
  <c r="H164" i="12"/>
  <c r="H131" i="19"/>
  <c r="H196" i="19"/>
  <c r="C133" i="12"/>
  <c r="G132" i="12"/>
  <c r="H132" i="12"/>
  <c r="G197" i="12"/>
  <c r="C198" i="12"/>
  <c r="H197" i="12"/>
  <c r="H98" i="19"/>
  <c r="H64" i="19"/>
  <c r="C67" i="19"/>
  <c r="G66" i="19"/>
  <c r="C165" i="19"/>
  <c r="G164" i="19"/>
  <c r="G81" i="19"/>
  <c r="C82" i="19"/>
  <c r="C132" i="19"/>
  <c r="G131" i="19"/>
  <c r="C199" i="19"/>
  <c r="G198" i="19"/>
  <c r="C33" i="19"/>
  <c r="G32" i="19"/>
  <c r="K122" i="1"/>
  <c r="O122" i="1"/>
  <c r="M121" i="1"/>
  <c r="M79" i="1"/>
  <c r="R123" i="1"/>
  <c r="E123" i="1" s="1"/>
  <c r="C123" i="1"/>
  <c r="Q123" i="1"/>
  <c r="P123" i="1"/>
  <c r="D124" i="1"/>
  <c r="A124" i="1" s="1"/>
  <c r="D82" i="1"/>
  <c r="Q81" i="1"/>
  <c r="R81" i="1"/>
  <c r="E81" i="1" s="1"/>
  <c r="C81" i="1"/>
  <c r="A81" i="1"/>
  <c r="P81" i="1"/>
  <c r="M41" i="1"/>
  <c r="BC50" i="29"/>
  <c r="BC20" i="29"/>
  <c r="BC35" i="29"/>
  <c r="BD8" i="29"/>
  <c r="BC8" i="30"/>
  <c r="N8" i="30"/>
  <c r="BE8" i="31"/>
  <c r="N8" i="31"/>
  <c r="O41" i="1"/>
  <c r="C42" i="1"/>
  <c r="K13" i="40"/>
  <c r="D43" i="1"/>
  <c r="A43" i="1" s="1"/>
  <c r="R42" i="1"/>
  <c r="E42" i="1" s="1"/>
  <c r="K76" i="40" s="1"/>
  <c r="Q42" i="1"/>
  <c r="P42" i="1"/>
  <c r="J94" i="40"/>
  <c r="J71" i="40"/>
  <c r="J39" i="40"/>
  <c r="D12" i="2" l="1"/>
  <c r="N124" i="1" a="1"/>
  <c r="N124" i="1" s="1"/>
  <c r="J124" i="1" a="1"/>
  <c r="J124" i="1" s="1"/>
  <c r="H124" i="1" a="1"/>
  <c r="H124" i="1" s="1"/>
  <c r="I124" i="1" a="1"/>
  <c r="I124" i="1" s="1"/>
  <c r="L124" i="1" a="1"/>
  <c r="L124" i="1" s="1"/>
  <c r="G124" i="1" a="1"/>
  <c r="G124" i="1" s="1"/>
  <c r="N81" i="1" a="1"/>
  <c r="N81" i="1" s="1"/>
  <c r="K81" i="1" s="1"/>
  <c r="J81" i="1" a="1"/>
  <c r="J81" i="1" s="1"/>
  <c r="G81" i="1" a="1"/>
  <c r="G81" i="1" s="1"/>
  <c r="I81" i="1" a="1"/>
  <c r="I81" i="1" s="1"/>
  <c r="L81" i="1" a="1"/>
  <c r="L81" i="1" s="1"/>
  <c r="H81" i="1" a="1"/>
  <c r="H81" i="1" s="1"/>
  <c r="BE36" i="31"/>
  <c r="BE20" i="31"/>
  <c r="N20" i="31"/>
  <c r="N36" i="31"/>
  <c r="N36" i="30"/>
  <c r="N20" i="30"/>
  <c r="BC20" i="30"/>
  <c r="BC36" i="30"/>
  <c r="R7" i="30"/>
  <c r="Q6" i="30"/>
  <c r="Q56" i="30"/>
  <c r="BF56" i="30" s="1"/>
  <c r="O81" i="1"/>
  <c r="Q6" i="31"/>
  <c r="R7" i="31"/>
  <c r="Q56" i="31"/>
  <c r="P64" i="29"/>
  <c r="BE64" i="29"/>
  <c r="R7" i="29"/>
  <c r="Q6" i="29"/>
  <c r="BF6" i="29" s="1"/>
  <c r="H32" i="19"/>
  <c r="C166" i="12"/>
  <c r="G165" i="12"/>
  <c r="H165" i="12"/>
  <c r="C34" i="12"/>
  <c r="G33" i="12"/>
  <c r="H33" i="12"/>
  <c r="H99" i="19"/>
  <c r="C101" i="12"/>
  <c r="G100" i="12"/>
  <c r="H100" i="12"/>
  <c r="H197" i="19"/>
  <c r="H65" i="19"/>
  <c r="C199" i="12"/>
  <c r="G198" i="12"/>
  <c r="H198" i="12"/>
  <c r="C67" i="12"/>
  <c r="G66" i="12"/>
  <c r="H66" i="12"/>
  <c r="H132" i="19"/>
  <c r="C134" i="12"/>
  <c r="G133" i="12"/>
  <c r="H133" i="12"/>
  <c r="C34" i="19"/>
  <c r="G33" i="19"/>
  <c r="C200" i="19"/>
  <c r="G199" i="19"/>
  <c r="C133" i="19"/>
  <c r="G132" i="19"/>
  <c r="C83" i="19"/>
  <c r="G82" i="19"/>
  <c r="C166" i="19"/>
  <c r="G165" i="19"/>
  <c r="C68" i="19"/>
  <c r="G67" i="19"/>
  <c r="K123" i="1"/>
  <c r="O123" i="1"/>
  <c r="M122" i="1"/>
  <c r="M80" i="1"/>
  <c r="P124" i="1"/>
  <c r="D125" i="1"/>
  <c r="A125" i="1" s="1"/>
  <c r="R124" i="1"/>
  <c r="E124" i="1" s="1"/>
  <c r="C124" i="1"/>
  <c r="Q124" i="1"/>
  <c r="P82" i="1"/>
  <c r="Q82" i="1"/>
  <c r="R82" i="1"/>
  <c r="E82" i="1" s="1"/>
  <c r="A82" i="1"/>
  <c r="C82" i="1"/>
  <c r="D83" i="1"/>
  <c r="M42" i="1"/>
  <c r="BF8" i="31"/>
  <c r="O8" i="31"/>
  <c r="O8" i="30"/>
  <c r="BD8" i="30"/>
  <c r="BD50" i="29"/>
  <c r="BD20" i="29"/>
  <c r="BD35" i="29"/>
  <c r="BE8" i="29"/>
  <c r="O42" i="1"/>
  <c r="R43" i="1"/>
  <c r="E43" i="1" s="1"/>
  <c r="L76" i="40" s="1"/>
  <c r="Q43" i="1"/>
  <c r="L13" i="40"/>
  <c r="P43" i="1"/>
  <c r="C43" i="1"/>
  <c r="D44" i="1"/>
  <c r="A44" i="1" s="1"/>
  <c r="K94" i="40"/>
  <c r="K71" i="40"/>
  <c r="K39" i="40"/>
  <c r="F9" i="20" l="1"/>
  <c r="G9" i="20" s="1"/>
  <c r="I9" i="20" s="1"/>
  <c r="F12" i="12"/>
  <c r="G12" i="12" s="1"/>
  <c r="F11" i="12"/>
  <c r="G11" i="12" s="1"/>
  <c r="F12" i="19"/>
  <c r="G12" i="19" s="1"/>
  <c r="F15" i="20"/>
  <c r="G15" i="20" s="1"/>
  <c r="J15" i="20" s="1"/>
  <c r="F10" i="12"/>
  <c r="G10" i="12" s="1"/>
  <c r="F14" i="19"/>
  <c r="G14" i="19" s="1"/>
  <c r="F15" i="12"/>
  <c r="G15" i="12" s="1"/>
  <c r="F13" i="23"/>
  <c r="G13" i="23" s="1"/>
  <c r="L13" i="23" s="1"/>
  <c r="F12" i="20"/>
  <c r="G12" i="20" s="1"/>
  <c r="O12" i="20" s="1"/>
  <c r="F13" i="20"/>
  <c r="G13" i="20" s="1"/>
  <c r="J13" i="20" s="1"/>
  <c r="F15" i="19"/>
  <c r="G15" i="19" s="1"/>
  <c r="F8" i="12"/>
  <c r="G8" i="12" s="1"/>
  <c r="F10" i="19"/>
  <c r="G10" i="19" s="1"/>
  <c r="F9" i="12"/>
  <c r="G9" i="12" s="1"/>
  <c r="D12" i="15"/>
  <c r="O12" i="15" s="1"/>
  <c r="F16" i="19"/>
  <c r="G16" i="19" s="1"/>
  <c r="F16" i="23"/>
  <c r="G16" i="23" s="1"/>
  <c r="K16" i="23" s="1"/>
  <c r="E12" i="2"/>
  <c r="F14" i="23"/>
  <c r="G14" i="23" s="1"/>
  <c r="N14" i="23" s="1"/>
  <c r="F11" i="19"/>
  <c r="G11" i="19" s="1"/>
  <c r="F14" i="12"/>
  <c r="G14" i="12" s="1"/>
  <c r="F9" i="19"/>
  <c r="G9" i="19" s="1"/>
  <c r="F14" i="20"/>
  <c r="G14" i="20" s="1"/>
  <c r="J14" i="20" s="1"/>
  <c r="F13" i="12"/>
  <c r="G13" i="12" s="1"/>
  <c r="F13" i="19"/>
  <c r="G13" i="19" s="1"/>
  <c r="F10" i="20"/>
  <c r="G10" i="20" s="1"/>
  <c r="L10" i="20" s="1"/>
  <c r="D73" i="29"/>
  <c r="F16" i="20"/>
  <c r="G16" i="20" s="1"/>
  <c r="L16" i="20" s="1"/>
  <c r="F11" i="20"/>
  <c r="G11" i="20" s="1"/>
  <c r="M11" i="20" s="1"/>
  <c r="F8" i="19"/>
  <c r="G8" i="19" s="1"/>
  <c r="F11" i="23"/>
  <c r="G11" i="23" s="1"/>
  <c r="M11" i="23" s="1"/>
  <c r="F16" i="12"/>
  <c r="G16" i="12" s="1"/>
  <c r="D10" i="40"/>
  <c r="F9" i="23"/>
  <c r="G9" i="23" s="1"/>
  <c r="N9" i="23" s="1"/>
  <c r="F12" i="23"/>
  <c r="G12" i="23" s="1"/>
  <c r="J12" i="23" s="1"/>
  <c r="F8" i="20"/>
  <c r="G8" i="20" s="1"/>
  <c r="N8" i="20" s="1"/>
  <c r="F15" i="23"/>
  <c r="G15" i="23" s="1"/>
  <c r="J15" i="23" s="1"/>
  <c r="F10" i="23"/>
  <c r="G10" i="23" s="1"/>
  <c r="N10" i="23" s="1"/>
  <c r="F8" i="23"/>
  <c r="G8" i="23" s="1"/>
  <c r="M8" i="23" s="1"/>
  <c r="O82" i="1"/>
  <c r="N82" i="1" a="1"/>
  <c r="N82" i="1" s="1"/>
  <c r="K82" i="1" s="1"/>
  <c r="J82" i="1" a="1"/>
  <c r="J82" i="1" s="1"/>
  <c r="I82" i="1" a="1"/>
  <c r="I82" i="1" s="1"/>
  <c r="L82" i="1" a="1"/>
  <c r="L82" i="1" s="1"/>
  <c r="G82" i="1" a="1"/>
  <c r="G82" i="1" s="1"/>
  <c r="H82" i="1" a="1"/>
  <c r="H82" i="1" s="1"/>
  <c r="N125" i="1" a="1"/>
  <c r="N125" i="1" s="1"/>
  <c r="J125" i="1" a="1"/>
  <c r="J125" i="1" s="1"/>
  <c r="L125" i="1" a="1"/>
  <c r="L125" i="1" s="1"/>
  <c r="G125" i="1" a="1"/>
  <c r="G125" i="1" s="1"/>
  <c r="H125" i="1" a="1"/>
  <c r="H125" i="1" s="1"/>
  <c r="I125" i="1" a="1"/>
  <c r="I125" i="1" s="1"/>
  <c r="BF36" i="31"/>
  <c r="BF20" i="31"/>
  <c r="O20" i="31"/>
  <c r="O36" i="31"/>
  <c r="BD36" i="30"/>
  <c r="BD20" i="30"/>
  <c r="O36" i="30"/>
  <c r="O20" i="30"/>
  <c r="R6" i="30"/>
  <c r="R56" i="30"/>
  <c r="BG56" i="30" s="1"/>
  <c r="S7" i="30"/>
  <c r="R6" i="31"/>
  <c r="S7" i="31"/>
  <c r="R56" i="31"/>
  <c r="Q64" i="29"/>
  <c r="S7" i="29"/>
  <c r="R6" i="29"/>
  <c r="BG6" i="29" s="1"/>
  <c r="H133" i="19"/>
  <c r="C135" i="12"/>
  <c r="G134" i="12"/>
  <c r="H134" i="12"/>
  <c r="H100" i="19"/>
  <c r="H66" i="19"/>
  <c r="C102" i="12"/>
  <c r="G101" i="12"/>
  <c r="H101" i="12"/>
  <c r="C68" i="12"/>
  <c r="G67" i="12"/>
  <c r="H67" i="12"/>
  <c r="H198" i="19"/>
  <c r="H33" i="19"/>
  <c r="C200" i="12"/>
  <c r="G199" i="12"/>
  <c r="H199" i="12"/>
  <c r="C35" i="12"/>
  <c r="G34" i="12"/>
  <c r="H34" i="12"/>
  <c r="C167" i="12"/>
  <c r="G166" i="12"/>
  <c r="H166" i="12"/>
  <c r="C69" i="19"/>
  <c r="G68" i="19"/>
  <c r="C167" i="19"/>
  <c r="G166" i="19"/>
  <c r="G83" i="19"/>
  <c r="C84" i="19"/>
  <c r="C134" i="19"/>
  <c r="G133" i="19"/>
  <c r="C201" i="19"/>
  <c r="G200" i="19"/>
  <c r="C35" i="19"/>
  <c r="G34" i="19"/>
  <c r="K124" i="1"/>
  <c r="D126" i="1"/>
  <c r="A126" i="1" s="1"/>
  <c r="C125" i="1"/>
  <c r="Q125" i="1"/>
  <c r="P125" i="1"/>
  <c r="R125" i="1"/>
  <c r="E125" i="1" s="1"/>
  <c r="O124" i="1"/>
  <c r="M81" i="1"/>
  <c r="P83" i="1"/>
  <c r="A83" i="1"/>
  <c r="Q83" i="1"/>
  <c r="C83" i="1"/>
  <c r="R83" i="1"/>
  <c r="E83" i="1" s="1"/>
  <c r="D84" i="1"/>
  <c r="M123" i="1"/>
  <c r="M43" i="1"/>
  <c r="BE8" i="30"/>
  <c r="BE20" i="29"/>
  <c r="BE35" i="29"/>
  <c r="BF8" i="29"/>
  <c r="BE50" i="29"/>
  <c r="P8" i="30"/>
  <c r="P8" i="31"/>
  <c r="BG8" i="31"/>
  <c r="O43" i="1"/>
  <c r="C44" i="1"/>
  <c r="N13" i="40"/>
  <c r="D45" i="1"/>
  <c r="A45" i="1" s="1"/>
  <c r="R44" i="1"/>
  <c r="E44" i="1" s="1"/>
  <c r="N76" i="40" s="1"/>
  <c r="Q44" i="1"/>
  <c r="P44" i="1"/>
  <c r="L94" i="40"/>
  <c r="L71" i="40"/>
  <c r="L39" i="40"/>
  <c r="G62" i="29" l="1"/>
  <c r="G68" i="29" s="1"/>
  <c r="G54" i="29" s="1"/>
  <c r="O83" i="1"/>
  <c r="AU62" i="29"/>
  <c r="N63" i="29"/>
  <c r="L13" i="20"/>
  <c r="K16" i="20"/>
  <c r="N13" i="20"/>
  <c r="I13" i="20"/>
  <c r="O10" i="20"/>
  <c r="K10" i="20"/>
  <c r="O9" i="20"/>
  <c r="N9" i="20"/>
  <c r="BB62" i="29"/>
  <c r="AX62" i="29"/>
  <c r="F63" i="29"/>
  <c r="I62" i="29"/>
  <c r="I68" i="29" s="1"/>
  <c r="I54" i="29" s="1"/>
  <c r="J62" i="29"/>
  <c r="J68" i="29" s="1"/>
  <c r="AZ62" i="29"/>
  <c r="I13" i="23"/>
  <c r="J9" i="20"/>
  <c r="J10" i="23"/>
  <c r="AU63" i="29"/>
  <c r="J13" i="23"/>
  <c r="K12" i="23"/>
  <c r="M12" i="23"/>
  <c r="N16" i="20"/>
  <c r="M16" i="23"/>
  <c r="I15" i="20"/>
  <c r="Q62" i="29"/>
  <c r="Q68" i="29" s="1"/>
  <c r="M13" i="20"/>
  <c r="L15" i="23"/>
  <c r="I15" i="23"/>
  <c r="L8" i="23"/>
  <c r="L16" i="23"/>
  <c r="N15" i="20"/>
  <c r="N14" i="20"/>
  <c r="M10" i="20"/>
  <c r="M15" i="20"/>
  <c r="I16" i="20"/>
  <c r="BA63" i="29"/>
  <c r="L14" i="23"/>
  <c r="F62" i="29"/>
  <c r="F68" i="29" s="1"/>
  <c r="F54" i="29" s="1"/>
  <c r="O62" i="29"/>
  <c r="O68" i="29" s="1"/>
  <c r="M14" i="23"/>
  <c r="K9" i="20"/>
  <c r="N12" i="23"/>
  <c r="N16" i="23"/>
  <c r="O63" i="29"/>
  <c r="K11" i="20"/>
  <c r="I12" i="23"/>
  <c r="BE62" i="29"/>
  <c r="AY63" i="29"/>
  <c r="L63" i="29"/>
  <c r="BE63" i="29"/>
  <c r="J16" i="23"/>
  <c r="AX63" i="29"/>
  <c r="P63" i="29"/>
  <c r="M16" i="20"/>
  <c r="K62" i="29"/>
  <c r="K68" i="29" s="1"/>
  <c r="BD62" i="29"/>
  <c r="N11" i="20"/>
  <c r="AY62" i="29"/>
  <c r="H62" i="29"/>
  <c r="H68" i="29" s="1"/>
  <c r="H54" i="29" s="1"/>
  <c r="M63" i="29"/>
  <c r="O11" i="20"/>
  <c r="M9" i="20"/>
  <c r="I63" i="29"/>
  <c r="BA62" i="29"/>
  <c r="BB63" i="29"/>
  <c r="M8" i="20"/>
  <c r="N13" i="23"/>
  <c r="L15" i="20"/>
  <c r="K13" i="23"/>
  <c r="L9" i="20"/>
  <c r="J11" i="20"/>
  <c r="M13" i="23"/>
  <c r="I11" i="20"/>
  <c r="L11" i="20"/>
  <c r="K14" i="20"/>
  <c r="L8" i="20"/>
  <c r="BD63" i="29"/>
  <c r="H63" i="29"/>
  <c r="L62" i="29"/>
  <c r="L68" i="29" s="1"/>
  <c r="J14" i="23"/>
  <c r="J16" i="20"/>
  <c r="O15" i="20"/>
  <c r="K13" i="20"/>
  <c r="O16" i="20"/>
  <c r="N8" i="23"/>
  <c r="I8" i="20"/>
  <c r="N15" i="23"/>
  <c r="K10" i="23"/>
  <c r="N62" i="29"/>
  <c r="N68" i="29" s="1"/>
  <c r="O14" i="20"/>
  <c r="AZ63" i="29"/>
  <c r="AW62" i="29"/>
  <c r="AV62" i="29"/>
  <c r="AV63" i="29"/>
  <c r="M62" i="29"/>
  <c r="M68" i="29" s="1"/>
  <c r="J63" i="29"/>
  <c r="I10" i="23"/>
  <c r="K15" i="20"/>
  <c r="K8" i="20"/>
  <c r="L10" i="23"/>
  <c r="P62" i="29"/>
  <c r="M10" i="23"/>
  <c r="L12" i="23"/>
  <c r="O8" i="20"/>
  <c r="BC62" i="29"/>
  <c r="AW63" i="29"/>
  <c r="G63" i="29"/>
  <c r="I14" i="23"/>
  <c r="Q63" i="29"/>
  <c r="O13" i="20"/>
  <c r="J8" i="20"/>
  <c r="N11" i="23"/>
  <c r="K14" i="23"/>
  <c r="M15" i="23"/>
  <c r="J8" i="23"/>
  <c r="K63" i="29"/>
  <c r="BC63" i="29"/>
  <c r="K8" i="23"/>
  <c r="K15" i="23"/>
  <c r="K9" i="23"/>
  <c r="K11" i="23"/>
  <c r="I8" i="23"/>
  <c r="J9" i="23"/>
  <c r="J11" i="23"/>
  <c r="I11" i="23"/>
  <c r="L11" i="23"/>
  <c r="I16" i="23"/>
  <c r="I14" i="20"/>
  <c r="J10" i="20"/>
  <c r="I9" i="23"/>
  <c r="L14" i="20"/>
  <c r="M9" i="23"/>
  <c r="L9" i="23"/>
  <c r="I10" i="20"/>
  <c r="M14" i="20"/>
  <c r="N10" i="20"/>
  <c r="J12" i="20"/>
  <c r="M12" i="20"/>
  <c r="L12" i="20"/>
  <c r="K12" i="20"/>
  <c r="N12" i="20"/>
  <c r="I12" i="20"/>
  <c r="N83" i="1" a="1"/>
  <c r="N83" i="1" s="1"/>
  <c r="K83" i="1" s="1"/>
  <c r="J83" i="1" a="1"/>
  <c r="J83" i="1" s="1"/>
  <c r="I83" i="1" a="1"/>
  <c r="I83" i="1" s="1"/>
  <c r="G83" i="1" a="1"/>
  <c r="G83" i="1" s="1"/>
  <c r="H83" i="1" a="1"/>
  <c r="H83" i="1" s="1"/>
  <c r="L83" i="1" a="1"/>
  <c r="L83" i="1" s="1"/>
  <c r="N126" i="1" a="1"/>
  <c r="N126" i="1" s="1"/>
  <c r="J126" i="1" a="1"/>
  <c r="J126" i="1" s="1"/>
  <c r="I126" i="1" a="1"/>
  <c r="I126" i="1" s="1"/>
  <c r="H126" i="1" a="1"/>
  <c r="H126" i="1" s="1"/>
  <c r="L126" i="1" a="1"/>
  <c r="L126" i="1" s="1"/>
  <c r="G126" i="1" a="1"/>
  <c r="G126" i="1" s="1"/>
  <c r="P20" i="31"/>
  <c r="P36" i="31"/>
  <c r="BG36" i="31"/>
  <c r="BG20" i="31"/>
  <c r="P36" i="30"/>
  <c r="P20" i="30"/>
  <c r="BE36" i="30"/>
  <c r="BE20" i="30"/>
  <c r="S6" i="30"/>
  <c r="T7" i="30"/>
  <c r="S56" i="30"/>
  <c r="BH56" i="30" s="1"/>
  <c r="T7" i="31"/>
  <c r="S6" i="31"/>
  <c r="S56" i="31"/>
  <c r="R64" i="29"/>
  <c r="R63" i="29"/>
  <c r="R62" i="29"/>
  <c r="R68" i="29" s="1"/>
  <c r="T7" i="29"/>
  <c r="S6" i="29"/>
  <c r="BH6" i="29" s="1"/>
  <c r="BF64" i="29"/>
  <c r="BF63" i="29"/>
  <c r="BF62" i="29"/>
  <c r="C168" i="12"/>
  <c r="G167" i="12"/>
  <c r="H167" i="12"/>
  <c r="H67" i="19"/>
  <c r="C69" i="12"/>
  <c r="G68" i="12"/>
  <c r="H68" i="12"/>
  <c r="H34" i="19"/>
  <c r="H101" i="19"/>
  <c r="C36" i="12"/>
  <c r="G35" i="12"/>
  <c r="H35" i="12"/>
  <c r="C103" i="12"/>
  <c r="G102" i="12"/>
  <c r="H102" i="12"/>
  <c r="H199" i="19"/>
  <c r="C201" i="12"/>
  <c r="G200" i="12"/>
  <c r="H200" i="12"/>
  <c r="H134" i="19"/>
  <c r="C136" i="12"/>
  <c r="G135" i="12"/>
  <c r="H135" i="12"/>
  <c r="G35" i="19"/>
  <c r="C36" i="19"/>
  <c r="C202" i="19"/>
  <c r="G202" i="19" s="1"/>
  <c r="G201" i="19"/>
  <c r="C135" i="19"/>
  <c r="G134" i="19"/>
  <c r="C85" i="19"/>
  <c r="G84" i="19"/>
  <c r="C168" i="19"/>
  <c r="G167" i="19"/>
  <c r="C70" i="19"/>
  <c r="G70" i="19" s="1"/>
  <c r="G69" i="19"/>
  <c r="K125" i="1"/>
  <c r="M82" i="1"/>
  <c r="M124" i="1"/>
  <c r="O125" i="1"/>
  <c r="R126" i="1"/>
  <c r="E126" i="1" s="1"/>
  <c r="C126" i="1"/>
  <c r="Q126" i="1"/>
  <c r="P126" i="1"/>
  <c r="D127" i="1"/>
  <c r="A127" i="1" s="1"/>
  <c r="C84" i="1"/>
  <c r="R84" i="1"/>
  <c r="E84" i="1" s="1"/>
  <c r="P84" i="1"/>
  <c r="A84" i="1"/>
  <c r="Q84" i="1"/>
  <c r="D85" i="1"/>
  <c r="M44" i="1"/>
  <c r="BH8" i="31"/>
  <c r="Q8" i="31"/>
  <c r="Q8" i="30"/>
  <c r="BF50" i="29"/>
  <c r="BF20" i="29"/>
  <c r="BF35" i="29"/>
  <c r="BG8" i="29"/>
  <c r="BF8" i="30"/>
  <c r="O44" i="1"/>
  <c r="O13" i="40"/>
  <c r="R45" i="1"/>
  <c r="E45" i="1" s="1"/>
  <c r="O76" i="40" s="1"/>
  <c r="Q45" i="1"/>
  <c r="P45" i="1"/>
  <c r="C45" i="1"/>
  <c r="D46" i="1"/>
  <c r="A46" i="1" s="1"/>
  <c r="N94" i="40"/>
  <c r="N71" i="40"/>
  <c r="N39" i="40"/>
  <c r="N46" i="29" l="1"/>
  <c r="N45" i="29"/>
  <c r="K46" i="29"/>
  <c r="K45" i="29"/>
  <c r="O45" i="29"/>
  <c r="O46" i="29"/>
  <c r="R45" i="29"/>
  <c r="R46" i="29"/>
  <c r="M45" i="29"/>
  <c r="M46" i="29"/>
  <c r="F30" i="29"/>
  <c r="F46" i="29"/>
  <c r="F45" i="29"/>
  <c r="Q45" i="29"/>
  <c r="Q46" i="29"/>
  <c r="L46" i="29"/>
  <c r="L45" i="29"/>
  <c r="J46" i="29"/>
  <c r="J45" i="29"/>
  <c r="I46" i="29"/>
  <c r="I45" i="29"/>
  <c r="H46" i="29"/>
  <c r="H45" i="29"/>
  <c r="G46" i="29"/>
  <c r="G45" i="29"/>
  <c r="K31" i="29"/>
  <c r="K30" i="29"/>
  <c r="O30" i="29"/>
  <c r="O31" i="29"/>
  <c r="R30" i="29"/>
  <c r="R31" i="29"/>
  <c r="M30" i="29"/>
  <c r="M31" i="29"/>
  <c r="F31" i="29"/>
  <c r="Q30" i="29"/>
  <c r="Q31" i="29"/>
  <c r="L31" i="29"/>
  <c r="L30" i="29"/>
  <c r="J31" i="29"/>
  <c r="J30" i="29"/>
  <c r="I31" i="29"/>
  <c r="I30" i="29"/>
  <c r="N30" i="29"/>
  <c r="N31" i="29"/>
  <c r="H31" i="29"/>
  <c r="H30" i="29"/>
  <c r="G31" i="29"/>
  <c r="G30" i="29"/>
  <c r="K27" i="29"/>
  <c r="F14" i="29"/>
  <c r="L29" i="29"/>
  <c r="N14" i="29"/>
  <c r="G22" i="29"/>
  <c r="R53" i="29"/>
  <c r="R56" i="29"/>
  <c r="Q53" i="29"/>
  <c r="Q56" i="29"/>
  <c r="R38" i="29"/>
  <c r="R39" i="29"/>
  <c r="R24" i="29"/>
  <c r="R37" i="29"/>
  <c r="Q38" i="29"/>
  <c r="Q39" i="29"/>
  <c r="Q24" i="29"/>
  <c r="Q37" i="29"/>
  <c r="R22" i="29"/>
  <c r="R23" i="29"/>
  <c r="Q22" i="29"/>
  <c r="Q23" i="29"/>
  <c r="N52" i="29"/>
  <c r="N57" i="29"/>
  <c r="F55" i="29"/>
  <c r="F44" i="29"/>
  <c r="F37" i="29"/>
  <c r="F10" i="29"/>
  <c r="F43" i="29"/>
  <c r="F16" i="29"/>
  <c r="F29" i="29"/>
  <c r="F53" i="29"/>
  <c r="F42" i="29"/>
  <c r="F39" i="29"/>
  <c r="I39" i="29"/>
  <c r="I22" i="29"/>
  <c r="F11" i="29"/>
  <c r="F52" i="29"/>
  <c r="L52" i="29"/>
  <c r="L57" i="29"/>
  <c r="L11" i="29"/>
  <c r="L12" i="29"/>
  <c r="K28" i="29"/>
  <c r="K10" i="29"/>
  <c r="K44" i="29"/>
  <c r="I55" i="30"/>
  <c r="K55" i="29"/>
  <c r="K38" i="29"/>
  <c r="L10" i="29"/>
  <c r="K22" i="29"/>
  <c r="K42" i="29"/>
  <c r="F55" i="30"/>
  <c r="L15" i="29"/>
  <c r="K24" i="29"/>
  <c r="AV68" i="29"/>
  <c r="L54" i="29"/>
  <c r="L38" i="29"/>
  <c r="J24" i="29"/>
  <c r="J55" i="31"/>
  <c r="J27" i="29"/>
  <c r="J13" i="29"/>
  <c r="J16" i="29"/>
  <c r="J56" i="29"/>
  <c r="J15" i="29"/>
  <c r="J42" i="29"/>
  <c r="N28" i="29"/>
  <c r="G14" i="29"/>
  <c r="N15" i="29"/>
  <c r="F15" i="29"/>
  <c r="L55" i="29"/>
  <c r="F38" i="29"/>
  <c r="L13" i="29"/>
  <c r="G29" i="29"/>
  <c r="K55" i="31"/>
  <c r="N42" i="29"/>
  <c r="K54" i="29"/>
  <c r="N12" i="29"/>
  <c r="K41" i="29"/>
  <c r="I28" i="29"/>
  <c r="K55" i="30"/>
  <c r="N26" i="29"/>
  <c r="N27" i="29"/>
  <c r="J12" i="29"/>
  <c r="I57" i="29"/>
  <c r="K16" i="29"/>
  <c r="G43" i="29"/>
  <c r="I15" i="29"/>
  <c r="K26" i="29"/>
  <c r="K15" i="29"/>
  <c r="J43" i="29"/>
  <c r="I11" i="29"/>
  <c r="N56" i="29"/>
  <c r="K12" i="29"/>
  <c r="J39" i="29"/>
  <c r="I52" i="29"/>
  <c r="J14" i="29"/>
  <c r="I14" i="29"/>
  <c r="J53" i="29"/>
  <c r="G39" i="29"/>
  <c r="N55" i="29"/>
  <c r="N55" i="30"/>
  <c r="K53" i="29"/>
  <c r="K11" i="29"/>
  <c r="H10" i="29"/>
  <c r="H57" i="29"/>
  <c r="BF68" i="29"/>
  <c r="Q55" i="29"/>
  <c r="Q41" i="29"/>
  <c r="Q55" i="31"/>
  <c r="Q16" i="29"/>
  <c r="Q54" i="29"/>
  <c r="Q43" i="29"/>
  <c r="Q57" i="29"/>
  <c r="I26" i="29"/>
  <c r="N11" i="29"/>
  <c r="J55" i="30"/>
  <c r="J30" i="30" s="1"/>
  <c r="I23" i="29"/>
  <c r="I10" i="29"/>
  <c r="I55" i="29"/>
  <c r="J55" i="29"/>
  <c r="I42" i="29"/>
  <c r="K29" i="29"/>
  <c r="K52" i="29"/>
  <c r="J22" i="29"/>
  <c r="K13" i="29"/>
  <c r="K14" i="29"/>
  <c r="I24" i="29"/>
  <c r="I55" i="31"/>
  <c r="N23" i="29"/>
  <c r="J23" i="29"/>
  <c r="I53" i="29"/>
  <c r="K39" i="29"/>
  <c r="BC68" i="29"/>
  <c r="J37" i="29"/>
  <c r="AZ68" i="29"/>
  <c r="K23" i="29"/>
  <c r="J41" i="29"/>
  <c r="G24" i="29"/>
  <c r="N29" i="29"/>
  <c r="L43" i="29"/>
  <c r="J11" i="29"/>
  <c r="I43" i="29"/>
  <c r="I37" i="29"/>
  <c r="K56" i="29"/>
  <c r="J29" i="29"/>
  <c r="F26" i="29"/>
  <c r="G37" i="29"/>
  <c r="N13" i="29"/>
  <c r="L26" i="29"/>
  <c r="J28" i="29"/>
  <c r="I16" i="29"/>
  <c r="K57" i="29"/>
  <c r="F41" i="29"/>
  <c r="AU68" i="29"/>
  <c r="G38" i="29"/>
  <c r="BA68" i="29"/>
  <c r="L42" i="29"/>
  <c r="J57" i="29"/>
  <c r="J54" i="29"/>
  <c r="AX68" i="29"/>
  <c r="G55" i="31"/>
  <c r="N55" i="31"/>
  <c r="L24" i="29"/>
  <c r="J44" i="29"/>
  <c r="J10" i="29"/>
  <c r="K43" i="29"/>
  <c r="I38" i="29"/>
  <c r="K37" i="29"/>
  <c r="F23" i="29"/>
  <c r="Q27" i="29"/>
  <c r="G42" i="29"/>
  <c r="Q12" i="29"/>
  <c r="Q10" i="29"/>
  <c r="O10" i="29"/>
  <c r="O44" i="29"/>
  <c r="O26" i="29"/>
  <c r="O29" i="29"/>
  <c r="O53" i="29"/>
  <c r="O11" i="29"/>
  <c r="O37" i="29"/>
  <c r="O54" i="29"/>
  <c r="O39" i="29"/>
  <c r="O12" i="29"/>
  <c r="O27" i="29"/>
  <c r="O14" i="29"/>
  <c r="BD68" i="29"/>
  <c r="O38" i="29"/>
  <c r="L39" i="29"/>
  <c r="L37" i="29"/>
  <c r="L55" i="30"/>
  <c r="J52" i="29"/>
  <c r="F28" i="29"/>
  <c r="G55" i="29"/>
  <c r="L22" i="29"/>
  <c r="F55" i="31"/>
  <c r="F12" i="29"/>
  <c r="G13" i="29"/>
  <c r="L14" i="29"/>
  <c r="F27" i="29"/>
  <c r="F56" i="29"/>
  <c r="F22" i="29"/>
  <c r="G16" i="29"/>
  <c r="L16" i="29"/>
  <c r="F57" i="29"/>
  <c r="F24" i="29"/>
  <c r="L28" i="29"/>
  <c r="F13" i="29"/>
  <c r="G55" i="30"/>
  <c r="H12" i="29"/>
  <c r="L44" i="29"/>
  <c r="N10" i="29"/>
  <c r="L23" i="29"/>
  <c r="L53" i="29"/>
  <c r="J38" i="29"/>
  <c r="I13" i="29"/>
  <c r="I27" i="29"/>
  <c r="I41" i="29"/>
  <c r="O55" i="29"/>
  <c r="O55" i="30"/>
  <c r="H15" i="29"/>
  <c r="N41" i="29"/>
  <c r="L55" i="31"/>
  <c r="L56" i="29"/>
  <c r="J26" i="29"/>
  <c r="I12" i="29"/>
  <c r="I56" i="29"/>
  <c r="Q44" i="29"/>
  <c r="N38" i="29"/>
  <c r="N24" i="29"/>
  <c r="L41" i="29"/>
  <c r="AY68" i="29"/>
  <c r="I44" i="29"/>
  <c r="I29" i="29"/>
  <c r="O41" i="29"/>
  <c r="O57" i="29"/>
  <c r="Q11" i="29"/>
  <c r="M14" i="29"/>
  <c r="M42" i="29"/>
  <c r="M57" i="29"/>
  <c r="M28" i="29"/>
  <c r="M44" i="29"/>
  <c r="M38" i="29"/>
  <c r="M41" i="29"/>
  <c r="M22" i="29"/>
  <c r="M24" i="29"/>
  <c r="M55" i="31"/>
  <c r="M54" i="29"/>
  <c r="BB68" i="29"/>
  <c r="M26" i="29"/>
  <c r="M12" i="29"/>
  <c r="M55" i="29"/>
  <c r="M43" i="29"/>
  <c r="M23" i="29"/>
  <c r="M37" i="29"/>
  <c r="M13" i="29"/>
  <c r="M11" i="29"/>
  <c r="M55" i="30"/>
  <c r="M53" i="29"/>
  <c r="M27" i="29"/>
  <c r="M15" i="29"/>
  <c r="M39" i="29"/>
  <c r="M29" i="29"/>
  <c r="M10" i="29"/>
  <c r="M16" i="29"/>
  <c r="H24" i="29"/>
  <c r="N54" i="29"/>
  <c r="N16" i="29"/>
  <c r="O55" i="31"/>
  <c r="O52" i="29"/>
  <c r="O28" i="29"/>
  <c r="G41" i="29"/>
  <c r="Q14" i="29"/>
  <c r="L27" i="29"/>
  <c r="H55" i="30"/>
  <c r="N22" i="29"/>
  <c r="N44" i="29"/>
  <c r="O16" i="29"/>
  <c r="G15" i="29"/>
  <c r="H22" i="29"/>
  <c r="H53" i="29"/>
  <c r="N43" i="29"/>
  <c r="N39" i="29"/>
  <c r="O15" i="29"/>
  <c r="O43" i="29"/>
  <c r="O42" i="29"/>
  <c r="O56" i="29"/>
  <c r="Q55" i="30"/>
  <c r="Q30" i="30" s="1"/>
  <c r="Q13" i="29"/>
  <c r="G44" i="29"/>
  <c r="H14" i="29"/>
  <c r="H42" i="29"/>
  <c r="Q28" i="29"/>
  <c r="Q52" i="29"/>
  <c r="G56" i="29"/>
  <c r="H55" i="29"/>
  <c r="Q42" i="29"/>
  <c r="H56" i="29"/>
  <c r="N53" i="29"/>
  <c r="O23" i="29"/>
  <c r="Q15" i="29"/>
  <c r="N37" i="29"/>
  <c r="O13" i="29"/>
  <c r="Q26" i="29"/>
  <c r="AW68" i="29"/>
  <c r="H39" i="29"/>
  <c r="O22" i="29"/>
  <c r="O24" i="29"/>
  <c r="Q29" i="29"/>
  <c r="H26" i="29"/>
  <c r="G52" i="29"/>
  <c r="G57" i="29"/>
  <c r="H11" i="29"/>
  <c r="G53" i="29"/>
  <c r="G10" i="29"/>
  <c r="H44" i="29"/>
  <c r="G28" i="29"/>
  <c r="G27" i="29"/>
  <c r="M56" i="29"/>
  <c r="M52" i="29"/>
  <c r="G26" i="29"/>
  <c r="G12" i="29"/>
  <c r="H55" i="31"/>
  <c r="H43" i="29"/>
  <c r="H27" i="29"/>
  <c r="G23" i="29"/>
  <c r="G11" i="29"/>
  <c r="H38" i="29"/>
  <c r="H28" i="29"/>
  <c r="H13" i="29"/>
  <c r="H52" i="29"/>
  <c r="H37" i="29"/>
  <c r="H16" i="29"/>
  <c r="H41" i="29"/>
  <c r="H23" i="29"/>
  <c r="H29" i="29"/>
  <c r="N127" i="1" a="1"/>
  <c r="N127" i="1" s="1"/>
  <c r="J127" i="1" a="1"/>
  <c r="J127" i="1" s="1"/>
  <c r="G127" i="1" a="1"/>
  <c r="G127" i="1" s="1"/>
  <c r="L127" i="1" a="1"/>
  <c r="L127" i="1" s="1"/>
  <c r="H127" i="1" a="1"/>
  <c r="H127" i="1" s="1"/>
  <c r="I127" i="1" a="1"/>
  <c r="I127" i="1" s="1"/>
  <c r="N84" i="1" a="1"/>
  <c r="N84" i="1" s="1"/>
  <c r="K84" i="1" s="1"/>
  <c r="J84" i="1" a="1"/>
  <c r="J84" i="1" s="1"/>
  <c r="H84" i="1" a="1"/>
  <c r="H84" i="1" s="1"/>
  <c r="L84" i="1" a="1"/>
  <c r="L84" i="1" s="1"/>
  <c r="G84" i="1" a="1"/>
  <c r="G84" i="1" s="1"/>
  <c r="I84" i="1" a="1"/>
  <c r="I84" i="1" s="1"/>
  <c r="Q20" i="31"/>
  <c r="Q36" i="31"/>
  <c r="BH36" i="31"/>
  <c r="BH20" i="31"/>
  <c r="BF20" i="30"/>
  <c r="BF36" i="30"/>
  <c r="Q36" i="30"/>
  <c r="Q20" i="30"/>
  <c r="T6" i="30"/>
  <c r="U7" i="30"/>
  <c r="T56" i="30"/>
  <c r="BI56" i="30" s="1"/>
  <c r="O84" i="1"/>
  <c r="U7" i="31"/>
  <c r="T6" i="31"/>
  <c r="T56" i="31"/>
  <c r="S64" i="29"/>
  <c r="S63" i="29"/>
  <c r="S62" i="29"/>
  <c r="S68" i="29" s="1"/>
  <c r="U7" i="29"/>
  <c r="T6" i="29"/>
  <c r="BI6" i="29" s="1"/>
  <c r="R41" i="29"/>
  <c r="R15" i="29"/>
  <c r="R11" i="29"/>
  <c r="R13" i="29"/>
  <c r="R52" i="29"/>
  <c r="R55" i="30"/>
  <c r="R57" i="29"/>
  <c r="R16" i="29"/>
  <c r="R29" i="29"/>
  <c r="R14" i="29"/>
  <c r="R12" i="29"/>
  <c r="R10" i="29"/>
  <c r="R43" i="29"/>
  <c r="R55" i="31"/>
  <c r="R28" i="29"/>
  <c r="R42" i="29"/>
  <c r="R27" i="29"/>
  <c r="R54" i="29"/>
  <c r="R44" i="29"/>
  <c r="R26" i="29"/>
  <c r="R55" i="29"/>
  <c r="BG68" i="29"/>
  <c r="BG64" i="29"/>
  <c r="BG63" i="29"/>
  <c r="BG62" i="29"/>
  <c r="C202" i="12"/>
  <c r="G201" i="12"/>
  <c r="H201" i="12"/>
  <c r="H68" i="19"/>
  <c r="H135" i="19"/>
  <c r="C70" i="12"/>
  <c r="G69" i="12"/>
  <c r="H69" i="12"/>
  <c r="C137" i="12"/>
  <c r="G136" i="12"/>
  <c r="H136" i="12"/>
  <c r="H102" i="19"/>
  <c r="C104" i="12"/>
  <c r="G103" i="12"/>
  <c r="H103" i="12"/>
  <c r="H35" i="19"/>
  <c r="C37" i="12"/>
  <c r="G36" i="12"/>
  <c r="H36" i="12"/>
  <c r="H200" i="19"/>
  <c r="C169" i="12"/>
  <c r="G168" i="12"/>
  <c r="H168" i="12"/>
  <c r="G36" i="19"/>
  <c r="C37" i="19"/>
  <c r="G37" i="19" s="1"/>
  <c r="C136" i="19"/>
  <c r="G136" i="19" s="1"/>
  <c r="G135" i="19"/>
  <c r="C169" i="19"/>
  <c r="G169" i="19" s="1"/>
  <c r="G168" i="19"/>
  <c r="L16" i="19" s="1"/>
  <c r="Q9" i="19"/>
  <c r="T11" i="19"/>
  <c r="C86" i="19"/>
  <c r="G86" i="19" s="1"/>
  <c r="G85" i="19"/>
  <c r="K126" i="1"/>
  <c r="O126" i="1"/>
  <c r="M83" i="1"/>
  <c r="M125" i="1"/>
  <c r="R85" i="1"/>
  <c r="E85" i="1" s="1"/>
  <c r="A85" i="1"/>
  <c r="D86" i="1"/>
  <c r="P85" i="1"/>
  <c r="C85" i="1"/>
  <c r="Q85" i="1"/>
  <c r="D128" i="1"/>
  <c r="A128" i="1" s="1"/>
  <c r="C127" i="1"/>
  <c r="Q127" i="1"/>
  <c r="P127" i="1"/>
  <c r="R127" i="1"/>
  <c r="E127" i="1" s="1"/>
  <c r="M45" i="1"/>
  <c r="BG50" i="29"/>
  <c r="BG35" i="29"/>
  <c r="BH8" i="29"/>
  <c r="BG20" i="29"/>
  <c r="R8" i="30"/>
  <c r="BG8" i="30"/>
  <c r="R8" i="31"/>
  <c r="BI8" i="31"/>
  <c r="O45" i="1"/>
  <c r="P13" i="40"/>
  <c r="C46" i="1"/>
  <c r="D47" i="1"/>
  <c r="A47" i="1" s="1"/>
  <c r="R46" i="1"/>
  <c r="E46" i="1" s="1"/>
  <c r="P76" i="40" s="1"/>
  <c r="Q46" i="1"/>
  <c r="P46" i="1"/>
  <c r="O94" i="40"/>
  <c r="O71" i="40"/>
  <c r="O39" i="40"/>
  <c r="N30" i="30" l="1"/>
  <c r="G30" i="30"/>
  <c r="L30" i="31"/>
  <c r="L30" i="30"/>
  <c r="R30" i="31"/>
  <c r="M30" i="30"/>
  <c r="M30" i="31"/>
  <c r="I30" i="30"/>
  <c r="K30" i="30"/>
  <c r="Q30" i="31"/>
  <c r="J30" i="31"/>
  <c r="K30" i="31"/>
  <c r="N30" i="31"/>
  <c r="G30" i="31"/>
  <c r="I30" i="31"/>
  <c r="O30" i="31"/>
  <c r="O30" i="30"/>
  <c r="F30" i="31"/>
  <c r="H30" i="31"/>
  <c r="H30" i="30"/>
  <c r="R30" i="30"/>
  <c r="F30" i="30"/>
  <c r="AY55" i="31"/>
  <c r="AZ55" i="31"/>
  <c r="AU55" i="31"/>
  <c r="BC55" i="31"/>
  <c r="AV55" i="31"/>
  <c r="BD55" i="31"/>
  <c r="BA55" i="31"/>
  <c r="AX55" i="31"/>
  <c r="BF55" i="31"/>
  <c r="AW55" i="31"/>
  <c r="BB55" i="31"/>
  <c r="AW55" i="30"/>
  <c r="BB55" i="30"/>
  <c r="AY55" i="30"/>
  <c r="BC55" i="30"/>
  <c r="AV55" i="30"/>
  <c r="AU55" i="30"/>
  <c r="BA55" i="30"/>
  <c r="BD55" i="30"/>
  <c r="AZ55" i="30"/>
  <c r="AX55" i="30"/>
  <c r="BF55" i="30"/>
  <c r="S45" i="29"/>
  <c r="S46" i="29"/>
  <c r="AV45" i="29"/>
  <c r="AV28" i="29"/>
  <c r="AV41" i="29"/>
  <c r="AV16" i="29"/>
  <c r="AV52" i="29"/>
  <c r="AV31" i="29"/>
  <c r="AV14" i="29"/>
  <c r="AV43" i="29"/>
  <c r="AV27" i="29"/>
  <c r="AV46" i="29"/>
  <c r="AV30" i="29"/>
  <c r="AV13" i="29"/>
  <c r="AV42" i="29"/>
  <c r="AV26" i="29"/>
  <c r="BB43" i="29"/>
  <c r="BB27" i="29"/>
  <c r="BB46" i="29"/>
  <c r="BB30" i="29"/>
  <c r="BB13" i="29"/>
  <c r="BB14" i="29"/>
  <c r="BB42" i="29"/>
  <c r="BB26" i="29"/>
  <c r="BB52" i="29"/>
  <c r="BB31" i="29"/>
  <c r="BB16" i="29"/>
  <c r="BB45" i="29"/>
  <c r="BB28" i="29"/>
  <c r="BB41" i="29"/>
  <c r="BG42" i="29"/>
  <c r="BG26" i="29"/>
  <c r="BG16" i="29"/>
  <c r="BG45" i="29"/>
  <c r="BG28" i="29"/>
  <c r="BG41" i="29"/>
  <c r="BG52" i="29"/>
  <c r="BG31" i="29"/>
  <c r="BG14" i="29"/>
  <c r="BG43" i="29"/>
  <c r="BG27" i="29"/>
  <c r="BG46" i="29"/>
  <c r="BG30" i="29"/>
  <c r="BG13" i="29"/>
  <c r="AU45" i="29"/>
  <c r="AU28" i="29"/>
  <c r="AU41" i="29"/>
  <c r="AU52" i="29"/>
  <c r="AU31" i="29"/>
  <c r="AU14" i="29"/>
  <c r="AU43" i="29"/>
  <c r="AU27" i="29"/>
  <c r="AU46" i="29"/>
  <c r="AU30" i="29"/>
  <c r="AU13" i="29"/>
  <c r="AU42" i="29"/>
  <c r="AU26" i="29"/>
  <c r="AU16" i="29"/>
  <c r="BA43" i="29"/>
  <c r="BA27" i="29"/>
  <c r="BA46" i="29"/>
  <c r="BA30" i="29"/>
  <c r="BA13" i="29"/>
  <c r="BA42" i="29"/>
  <c r="BA26" i="29"/>
  <c r="BA16" i="29"/>
  <c r="BA45" i="29"/>
  <c r="BA28" i="29"/>
  <c r="BA41" i="29"/>
  <c r="BA52" i="29"/>
  <c r="BA31" i="29"/>
  <c r="BA14" i="29"/>
  <c r="AY52" i="29"/>
  <c r="AY31" i="29"/>
  <c r="AY14" i="29"/>
  <c r="AY43" i="29"/>
  <c r="AY27" i="29"/>
  <c r="AY46" i="29"/>
  <c r="AY30" i="29"/>
  <c r="AY13" i="29"/>
  <c r="AY42" i="29"/>
  <c r="AY26" i="29"/>
  <c r="AY16" i="29"/>
  <c r="AY45" i="29"/>
  <c r="AY28" i="29"/>
  <c r="AY41" i="29"/>
  <c r="BD46" i="29"/>
  <c r="BD30" i="29"/>
  <c r="BD13" i="29"/>
  <c r="BD27" i="29"/>
  <c r="BD42" i="29"/>
  <c r="BD26" i="29"/>
  <c r="BD16" i="29"/>
  <c r="BD45" i="29"/>
  <c r="BD28" i="29"/>
  <c r="BD41" i="29"/>
  <c r="BD52" i="29"/>
  <c r="BD31" i="29"/>
  <c r="BD14" i="29"/>
  <c r="BD43" i="29"/>
  <c r="AW41" i="29"/>
  <c r="AW52" i="29"/>
  <c r="AW31" i="29"/>
  <c r="AW14" i="29"/>
  <c r="AW43" i="29"/>
  <c r="AW27" i="29"/>
  <c r="AW46" i="29"/>
  <c r="AW30" i="29"/>
  <c r="AW13" i="29"/>
  <c r="AW42" i="29"/>
  <c r="AW26" i="29"/>
  <c r="AW16" i="29"/>
  <c r="AW45" i="29"/>
  <c r="AW28" i="29"/>
  <c r="BF46" i="29"/>
  <c r="BF30" i="29"/>
  <c r="BF13" i="29"/>
  <c r="BF42" i="29"/>
  <c r="BF26" i="29"/>
  <c r="BF16" i="29"/>
  <c r="BF45" i="29"/>
  <c r="BF28" i="29"/>
  <c r="BF41" i="29"/>
  <c r="BF52" i="29"/>
  <c r="BF31" i="29"/>
  <c r="BF14" i="29"/>
  <c r="BF43" i="29"/>
  <c r="BF27" i="29"/>
  <c r="AZ52" i="29"/>
  <c r="AZ31" i="29"/>
  <c r="AZ14" i="29"/>
  <c r="AZ43" i="29"/>
  <c r="AZ27" i="29"/>
  <c r="AZ41" i="29"/>
  <c r="AZ46" i="29"/>
  <c r="AZ30" i="29"/>
  <c r="AZ13" i="29"/>
  <c r="AZ42" i="29"/>
  <c r="AZ26" i="29"/>
  <c r="AZ16" i="29"/>
  <c r="AZ45" i="29"/>
  <c r="AZ28" i="29"/>
  <c r="BC46" i="29"/>
  <c r="BC30" i="29"/>
  <c r="BC13" i="29"/>
  <c r="BC42" i="29"/>
  <c r="BC26" i="29"/>
  <c r="BC16" i="29"/>
  <c r="BC45" i="29"/>
  <c r="BC28" i="29"/>
  <c r="BC41" i="29"/>
  <c r="BC52" i="29"/>
  <c r="BC31" i="29"/>
  <c r="BC14" i="29"/>
  <c r="BC43" i="29"/>
  <c r="BC27" i="29"/>
  <c r="AX41" i="29"/>
  <c r="AX52" i="29"/>
  <c r="AX31" i="29"/>
  <c r="AX14" i="29"/>
  <c r="AX28" i="29"/>
  <c r="AX43" i="29"/>
  <c r="AX27" i="29"/>
  <c r="AX46" i="29"/>
  <c r="AX30" i="29"/>
  <c r="AX13" i="29"/>
  <c r="AX45" i="29"/>
  <c r="AX42" i="29"/>
  <c r="AX26" i="29"/>
  <c r="AX16" i="29"/>
  <c r="BB22" i="29"/>
  <c r="BD54" i="29"/>
  <c r="AU10" i="29"/>
  <c r="AW55" i="29"/>
  <c r="BC11" i="29"/>
  <c r="BF56" i="29"/>
  <c r="AZ12" i="29"/>
  <c r="AX15" i="29"/>
  <c r="S30" i="29"/>
  <c r="S31" i="29"/>
  <c r="O85" i="1"/>
  <c r="S53" i="29"/>
  <c r="S56" i="29"/>
  <c r="BG53" i="29"/>
  <c r="BG56" i="29"/>
  <c r="BF24" i="29"/>
  <c r="BF53" i="29"/>
  <c r="S38" i="29"/>
  <c r="S39" i="29"/>
  <c r="S24" i="29"/>
  <c r="S37" i="29"/>
  <c r="BG23" i="29"/>
  <c r="BG24" i="29"/>
  <c r="BG39" i="29"/>
  <c r="BG22" i="29"/>
  <c r="BF22" i="29"/>
  <c r="BF23" i="29"/>
  <c r="BG37" i="29"/>
  <c r="BG38" i="29"/>
  <c r="BF38" i="29"/>
  <c r="BF39" i="29"/>
  <c r="BF37" i="29"/>
  <c r="S22" i="29"/>
  <c r="S23" i="29"/>
  <c r="AV39" i="29"/>
  <c r="AZ44" i="29"/>
  <c r="AV24" i="29"/>
  <c r="AZ38" i="29"/>
  <c r="BD44" i="29"/>
  <c r="AX23" i="29"/>
  <c r="AU56" i="29"/>
  <c r="BC24" i="29"/>
  <c r="AZ39" i="29"/>
  <c r="AU29" i="29"/>
  <c r="AU12" i="29"/>
  <c r="BC56" i="29"/>
  <c r="BC38" i="29"/>
  <c r="BF29" i="29"/>
  <c r="AW37" i="29"/>
  <c r="AU11" i="29"/>
  <c r="AW38" i="29"/>
  <c r="BC15" i="29"/>
  <c r="AW44" i="29"/>
  <c r="AZ11" i="29"/>
  <c r="BF15" i="29"/>
  <c r="AY56" i="29"/>
  <c r="AZ10" i="29"/>
  <c r="BF55" i="29"/>
  <c r="AZ29" i="29"/>
  <c r="AZ37" i="29"/>
  <c r="BF10" i="29"/>
  <c r="BD29" i="29"/>
  <c r="BF11" i="29"/>
  <c r="AY12" i="29"/>
  <c r="AZ53" i="29"/>
  <c r="BD37" i="29"/>
  <c r="AZ22" i="29"/>
  <c r="AZ15" i="29"/>
  <c r="BD11" i="29"/>
  <c r="BA11" i="29"/>
  <c r="AZ24" i="29"/>
  <c r="BF44" i="29"/>
  <c r="BD55" i="29"/>
  <c r="AU23" i="29"/>
  <c r="BA29" i="29"/>
  <c r="AV56" i="29"/>
  <c r="BC53" i="29"/>
  <c r="AU22" i="29"/>
  <c r="AV53" i="29"/>
  <c r="BC57" i="29"/>
  <c r="AX11" i="29"/>
  <c r="AV10" i="29"/>
  <c r="BC37" i="29"/>
  <c r="AX44" i="29"/>
  <c r="AU37" i="29"/>
  <c r="AV55" i="29"/>
  <c r="BF54" i="29"/>
  <c r="AX55" i="29"/>
  <c r="AZ23" i="29"/>
  <c r="BF57" i="29"/>
  <c r="BF12" i="29"/>
  <c r="AY22" i="29"/>
  <c r="AV29" i="29"/>
  <c r="BA55" i="29"/>
  <c r="AW39" i="29"/>
  <c r="AV15" i="29"/>
  <c r="BB37" i="29"/>
  <c r="AV38" i="29"/>
  <c r="BB44" i="29"/>
  <c r="AV22" i="29"/>
  <c r="AV44" i="29"/>
  <c r="BA22" i="29"/>
  <c r="BA54" i="29"/>
  <c r="BB57" i="29"/>
  <c r="AV23" i="29"/>
  <c r="BA39" i="29"/>
  <c r="BA23" i="29"/>
  <c r="BB53" i="29"/>
  <c r="BB56" i="29"/>
  <c r="BA24" i="29"/>
  <c r="BB39" i="29"/>
  <c r="BA10" i="29"/>
  <c r="AV57" i="29"/>
  <c r="BA44" i="29"/>
  <c r="BB10" i="29"/>
  <c r="AV11" i="29"/>
  <c r="AV12" i="29"/>
  <c r="BB38" i="29"/>
  <c r="BB24" i="29"/>
  <c r="BA56" i="29"/>
  <c r="AV37" i="29"/>
  <c r="BC54" i="29"/>
  <c r="BC23" i="29"/>
  <c r="AX39" i="29"/>
  <c r="AX22" i="29"/>
  <c r="AY24" i="29"/>
  <c r="AU39" i="29"/>
  <c r="AX38" i="29"/>
  <c r="BC12" i="29"/>
  <c r="AY57" i="29"/>
  <c r="AX56" i="29"/>
  <c r="BC10" i="29"/>
  <c r="AY44" i="29"/>
  <c r="BC39" i="29"/>
  <c r="AY15" i="29"/>
  <c r="AX53" i="29"/>
  <c r="AX54" i="29"/>
  <c r="AU55" i="29"/>
  <c r="BD10" i="29"/>
  <c r="AY23" i="29"/>
  <c r="AU44" i="29"/>
  <c r="BD22" i="29"/>
  <c r="BC55" i="29"/>
  <c r="AY37" i="29"/>
  <c r="AX10" i="29"/>
  <c r="AW23" i="29"/>
  <c r="AY39" i="29"/>
  <c r="BC22" i="29"/>
  <c r="BC29" i="29"/>
  <c r="BC44" i="29"/>
  <c r="AX12" i="29"/>
  <c r="AU38" i="29"/>
  <c r="BD23" i="29"/>
  <c r="AY54" i="29"/>
  <c r="AU15" i="29"/>
  <c r="AZ57" i="29"/>
  <c r="AZ54" i="29"/>
  <c r="BD12" i="29"/>
  <c r="BD57" i="29"/>
  <c r="BD56" i="29"/>
  <c r="AX37" i="29"/>
  <c r="AV54" i="29"/>
  <c r="AY11" i="29"/>
  <c r="AX29" i="29"/>
  <c r="AU24" i="29"/>
  <c r="AZ56" i="29"/>
  <c r="AX57" i="29"/>
  <c r="AZ55" i="29"/>
  <c r="AX24" i="29"/>
  <c r="AW53" i="29"/>
  <c r="AW11" i="29"/>
  <c r="AW29" i="29"/>
  <c r="AW15" i="29"/>
  <c r="AW54" i="29"/>
  <c r="AY38" i="29"/>
  <c r="AY29" i="29"/>
  <c r="AU54" i="29"/>
  <c r="BA53" i="29"/>
  <c r="AY10" i="29"/>
  <c r="BB12" i="29"/>
  <c r="BB54" i="29"/>
  <c r="BD24" i="29"/>
  <c r="BB15" i="29"/>
  <c r="BB11" i="29"/>
  <c r="BA15" i="29"/>
  <c r="BA38" i="29"/>
  <c r="AY55" i="29"/>
  <c r="AU57" i="29"/>
  <c r="BD53" i="29"/>
  <c r="BB55" i="29"/>
  <c r="BD15" i="29"/>
  <c r="BD38" i="29"/>
  <c r="AW57" i="29"/>
  <c r="BA57" i="29"/>
  <c r="BA12" i="29"/>
  <c r="AY53" i="29"/>
  <c r="AU53" i="29"/>
  <c r="BD39" i="29"/>
  <c r="AW12" i="29"/>
  <c r="BA37" i="29"/>
  <c r="BB23" i="29"/>
  <c r="AW24" i="29"/>
  <c r="BB29" i="29"/>
  <c r="AW10" i="29"/>
  <c r="AW22" i="29"/>
  <c r="AW56" i="29"/>
  <c r="I15" i="19"/>
  <c r="I16" i="19"/>
  <c r="Q16" i="19"/>
  <c r="M15" i="19"/>
  <c r="M16" i="19"/>
  <c r="N15" i="19"/>
  <c r="T16" i="19"/>
  <c r="V16" i="19"/>
  <c r="U16" i="19"/>
  <c r="Q15" i="19"/>
  <c r="P15" i="19"/>
  <c r="J15" i="19"/>
  <c r="P16" i="19"/>
  <c r="S15" i="19"/>
  <c r="S16" i="19"/>
  <c r="T15" i="19"/>
  <c r="K15" i="19"/>
  <c r="R16" i="19"/>
  <c r="O15" i="19"/>
  <c r="L15" i="19"/>
  <c r="O16" i="19"/>
  <c r="H15" i="19"/>
  <c r="H16" i="19"/>
  <c r="J16" i="19"/>
  <c r="R15" i="19"/>
  <c r="V15" i="19"/>
  <c r="U15" i="19"/>
  <c r="N16" i="19"/>
  <c r="K16" i="19"/>
  <c r="N128" i="1" a="1"/>
  <c r="N128" i="1" s="1"/>
  <c r="J128" i="1" a="1"/>
  <c r="J128" i="1" s="1"/>
  <c r="H128" i="1" a="1"/>
  <c r="H128" i="1" s="1"/>
  <c r="I128" i="1" a="1"/>
  <c r="I128" i="1" s="1"/>
  <c r="L128" i="1" a="1"/>
  <c r="L128" i="1" s="1"/>
  <c r="L130" i="1" s="1"/>
  <c r="G128" i="1" a="1"/>
  <c r="G128" i="1" s="1"/>
  <c r="N85" i="1" a="1"/>
  <c r="N85" i="1" s="1"/>
  <c r="K85" i="1" s="1"/>
  <c r="J85" i="1" a="1"/>
  <c r="J85" i="1" s="1"/>
  <c r="I85" i="1" a="1"/>
  <c r="I85" i="1" s="1"/>
  <c r="L85" i="1" a="1"/>
  <c r="L85" i="1" s="1"/>
  <c r="H85" i="1" a="1"/>
  <c r="H85" i="1" s="1"/>
  <c r="G85" i="1" a="1"/>
  <c r="G85" i="1" s="1"/>
  <c r="BI20" i="31"/>
  <c r="BI36" i="31"/>
  <c r="R20" i="31"/>
  <c r="R36" i="31"/>
  <c r="R36" i="30"/>
  <c r="R20" i="30"/>
  <c r="BG20" i="30"/>
  <c r="BG36" i="30"/>
  <c r="BG55" i="30"/>
  <c r="BG55" i="31"/>
  <c r="U6" i="30"/>
  <c r="V7" i="30"/>
  <c r="U56" i="30"/>
  <c r="BJ56" i="30" s="1"/>
  <c r="V7" i="31"/>
  <c r="U6" i="31"/>
  <c r="U56" i="31"/>
  <c r="T64" i="29"/>
  <c r="T62" i="29"/>
  <c r="T68" i="29" s="1"/>
  <c r="T63" i="29"/>
  <c r="V7" i="29"/>
  <c r="U6" i="29"/>
  <c r="BJ6" i="29" s="1"/>
  <c r="BG55" i="29"/>
  <c r="BG54" i="29"/>
  <c r="BG44" i="29"/>
  <c r="BG29" i="29"/>
  <c r="BG57" i="29"/>
  <c r="BG15" i="29"/>
  <c r="BG11" i="29"/>
  <c r="BG12" i="29"/>
  <c r="BG10" i="29"/>
  <c r="S26" i="29"/>
  <c r="S29" i="29"/>
  <c r="S14" i="29"/>
  <c r="S16" i="29"/>
  <c r="S55" i="30"/>
  <c r="S30" i="30" s="1"/>
  <c r="S52" i="29"/>
  <c r="S54" i="29"/>
  <c r="BH68" i="29"/>
  <c r="S15" i="29"/>
  <c r="S55" i="31"/>
  <c r="S55" i="29"/>
  <c r="S57" i="29"/>
  <c r="S42" i="29"/>
  <c r="S11" i="29"/>
  <c r="S27" i="29"/>
  <c r="S13" i="29"/>
  <c r="S12" i="29"/>
  <c r="S28" i="29"/>
  <c r="S44" i="29"/>
  <c r="S41" i="29"/>
  <c r="S10" i="29"/>
  <c r="S43" i="29"/>
  <c r="BH64" i="29"/>
  <c r="BH63" i="29"/>
  <c r="BH62" i="29"/>
  <c r="H69" i="19"/>
  <c r="H9" i="19" s="1"/>
  <c r="H103" i="19"/>
  <c r="C71" i="12"/>
  <c r="G70" i="12"/>
  <c r="H70" i="12"/>
  <c r="H36" i="19"/>
  <c r="G104" i="12"/>
  <c r="C105" i="12"/>
  <c r="H104" i="12"/>
  <c r="G37" i="12"/>
  <c r="H37" i="12"/>
  <c r="H136" i="19"/>
  <c r="H201" i="19"/>
  <c r="C170" i="12"/>
  <c r="G169" i="12"/>
  <c r="H169" i="12"/>
  <c r="G137" i="12"/>
  <c r="C138" i="12"/>
  <c r="H137" i="12"/>
  <c r="C203" i="12"/>
  <c r="G202" i="12"/>
  <c r="H202" i="12"/>
  <c r="I14" i="19"/>
  <c r="J14" i="19"/>
  <c r="R14" i="19"/>
  <c r="P10" i="19"/>
  <c r="P14" i="19"/>
  <c r="N14" i="19"/>
  <c r="U14" i="19"/>
  <c r="T14" i="19"/>
  <c r="N12" i="19"/>
  <c r="M14" i="19"/>
  <c r="M11" i="19"/>
  <c r="L14" i="19"/>
  <c r="V14" i="19"/>
  <c r="H12" i="19"/>
  <c r="K11" i="19"/>
  <c r="O9" i="19"/>
  <c r="N13" i="19"/>
  <c r="O11" i="19"/>
  <c r="N11" i="19"/>
  <c r="P11" i="19"/>
  <c r="J10" i="19"/>
  <c r="H11" i="19"/>
  <c r="S11" i="19"/>
  <c r="J11" i="19"/>
  <c r="T10" i="19"/>
  <c r="P8" i="19"/>
  <c r="N10" i="19"/>
  <c r="K13" i="19"/>
  <c r="I10" i="19"/>
  <c r="I13" i="19"/>
  <c r="K12" i="19"/>
  <c r="L13" i="19"/>
  <c r="S9" i="19"/>
  <c r="R10" i="19"/>
  <c r="M10" i="19"/>
  <c r="T8" i="19"/>
  <c r="I12" i="19"/>
  <c r="R11" i="19"/>
  <c r="K10" i="19"/>
  <c r="L10" i="19"/>
  <c r="J12" i="19"/>
  <c r="Q10" i="19"/>
  <c r="L11" i="19"/>
  <c r="U10" i="19"/>
  <c r="O8" i="19"/>
  <c r="P9" i="19"/>
  <c r="H10" i="19"/>
  <c r="Q8" i="19"/>
  <c r="M12" i="19"/>
  <c r="R9" i="19"/>
  <c r="S13" i="19"/>
  <c r="O14" i="19"/>
  <c r="S10" i="19"/>
  <c r="L12" i="19"/>
  <c r="V10" i="19"/>
  <c r="V11" i="19"/>
  <c r="H8" i="19"/>
  <c r="S14" i="19"/>
  <c r="R8" i="19"/>
  <c r="K14" i="19"/>
  <c r="H13" i="19"/>
  <c r="Q14" i="19"/>
  <c r="Q11" i="19"/>
  <c r="T12" i="19"/>
  <c r="I11" i="19"/>
  <c r="J13" i="19"/>
  <c r="U11" i="19"/>
  <c r="O10" i="19"/>
  <c r="H14" i="19"/>
  <c r="M13" i="19"/>
  <c r="K127" i="1"/>
  <c r="O127" i="1"/>
  <c r="P128" i="1"/>
  <c r="R128" i="1"/>
  <c r="E128" i="1" s="1"/>
  <c r="C128" i="1"/>
  <c r="Q128" i="1"/>
  <c r="P86" i="1"/>
  <c r="A86" i="1"/>
  <c r="Q86" i="1"/>
  <c r="R86" i="1"/>
  <c r="E86" i="1" s="1"/>
  <c r="C86" i="1"/>
  <c r="M126" i="1"/>
  <c r="M84" i="1"/>
  <c r="I49" i="1"/>
  <c r="H49" i="1"/>
  <c r="O46" i="1"/>
  <c r="M46" i="1"/>
  <c r="BJ8" i="31"/>
  <c r="S8" i="31"/>
  <c r="BH8" i="30"/>
  <c r="S8" i="30"/>
  <c r="BH50" i="29"/>
  <c r="BH20" i="29"/>
  <c r="BH35" i="29"/>
  <c r="BI8" i="29"/>
  <c r="R47" i="1"/>
  <c r="E47" i="1" s="1"/>
  <c r="Q47" i="1"/>
  <c r="P47" i="1"/>
  <c r="C47" i="1"/>
  <c r="Q13" i="40"/>
  <c r="P71" i="40"/>
  <c r="P39" i="40"/>
  <c r="P94" i="40"/>
  <c r="I6" i="32"/>
  <c r="H8" i="32"/>
  <c r="S30" i="31" l="1"/>
  <c r="T46" i="29"/>
  <c r="T45" i="29"/>
  <c r="BH42" i="29"/>
  <c r="BH26" i="29"/>
  <c r="BH16" i="29"/>
  <c r="BH13" i="29"/>
  <c r="BH45" i="29"/>
  <c r="BH28" i="29"/>
  <c r="BH46" i="29"/>
  <c r="BH41" i="29"/>
  <c r="BH30" i="29"/>
  <c r="BH52" i="29"/>
  <c r="BH31" i="29"/>
  <c r="BH14" i="29"/>
  <c r="BH43" i="29"/>
  <c r="BH27" i="29"/>
  <c r="T31" i="29"/>
  <c r="T30" i="29"/>
  <c r="T53" i="29"/>
  <c r="T56" i="29"/>
  <c r="BH53" i="29"/>
  <c r="BH56" i="29"/>
  <c r="T38" i="29"/>
  <c r="T39" i="29"/>
  <c r="T24" i="29"/>
  <c r="T37" i="29"/>
  <c r="BH23" i="29"/>
  <c r="BH24" i="29"/>
  <c r="BH39" i="29"/>
  <c r="BH22" i="29"/>
  <c r="BH37" i="29"/>
  <c r="BH38" i="29"/>
  <c r="T22" i="29"/>
  <c r="T23" i="29"/>
  <c r="J6" i="32"/>
  <c r="H10" i="32"/>
  <c r="V12" i="19"/>
  <c r="U12" i="19"/>
  <c r="S12" i="19"/>
  <c r="Q12" i="19"/>
  <c r="O12" i="19"/>
  <c r="R12" i="19"/>
  <c r="P12" i="19"/>
  <c r="V13" i="19"/>
  <c r="U13" i="19"/>
  <c r="T13" i="19"/>
  <c r="Q13" i="19"/>
  <c r="O13" i="19"/>
  <c r="R13" i="19"/>
  <c r="P13" i="19"/>
  <c r="M8" i="19"/>
  <c r="L8" i="19"/>
  <c r="K8" i="19"/>
  <c r="I8" i="19"/>
  <c r="V8" i="19"/>
  <c r="U8" i="19"/>
  <c r="S8" i="19"/>
  <c r="N8" i="19"/>
  <c r="J8" i="19"/>
  <c r="M9" i="19"/>
  <c r="L9" i="19"/>
  <c r="K9" i="19"/>
  <c r="I9" i="19"/>
  <c r="V9" i="19"/>
  <c r="U9" i="19"/>
  <c r="T9" i="19"/>
  <c r="J9" i="19"/>
  <c r="N9" i="19"/>
  <c r="N86" i="1" a="1"/>
  <c r="N86" i="1" s="1"/>
  <c r="K86" i="1" s="1"/>
  <c r="J86" i="1" a="1"/>
  <c r="J86" i="1" s="1"/>
  <c r="L86" i="1" a="1"/>
  <c r="L86" i="1" s="1"/>
  <c r="L88" i="1" s="1"/>
  <c r="G86" i="1" a="1"/>
  <c r="G86" i="1" s="1"/>
  <c r="H86" i="1" a="1"/>
  <c r="H86" i="1" s="1"/>
  <c r="I86" i="1" a="1"/>
  <c r="I86" i="1" s="1"/>
  <c r="BJ36" i="31"/>
  <c r="BJ20" i="31"/>
  <c r="S20" i="31"/>
  <c r="S36" i="31"/>
  <c r="S36" i="30"/>
  <c r="S20" i="30"/>
  <c r="BH36" i="30"/>
  <c r="BH20" i="30"/>
  <c r="BH55" i="30"/>
  <c r="BH55" i="31"/>
  <c r="O86" i="1"/>
  <c r="V6" i="30"/>
  <c r="V56" i="30"/>
  <c r="BK56" i="30" s="1"/>
  <c r="W7" i="30"/>
  <c r="W7" i="31"/>
  <c r="V6" i="31"/>
  <c r="V56" i="31"/>
  <c r="BH10" i="29"/>
  <c r="BH57" i="29"/>
  <c r="BH11" i="29"/>
  <c r="BH15" i="29"/>
  <c r="BH29" i="29"/>
  <c r="BH44" i="29"/>
  <c r="BH12" i="29"/>
  <c r="BH55" i="29"/>
  <c r="BH54" i="29"/>
  <c r="U64" i="29"/>
  <c r="U63" i="29"/>
  <c r="U62" i="29"/>
  <c r="U68" i="29" s="1"/>
  <c r="W7" i="29"/>
  <c r="X7" i="29" s="1"/>
  <c r="V6" i="29"/>
  <c r="BK6" i="29" s="1"/>
  <c r="T44" i="29"/>
  <c r="T28" i="29"/>
  <c r="T42" i="29"/>
  <c r="T55" i="29"/>
  <c r="T54" i="29"/>
  <c r="T15" i="29"/>
  <c r="T52" i="29"/>
  <c r="T10" i="29"/>
  <c r="T55" i="30"/>
  <c r="T30" i="30" s="1"/>
  <c r="T57" i="29"/>
  <c r="T27" i="29"/>
  <c r="T12" i="29"/>
  <c r="T41" i="29"/>
  <c r="BI68" i="29"/>
  <c r="T13" i="29"/>
  <c r="T26" i="29"/>
  <c r="T11" i="29"/>
  <c r="T16" i="29"/>
  <c r="T43" i="29"/>
  <c r="T29" i="29"/>
  <c r="T14" i="29"/>
  <c r="T55" i="31"/>
  <c r="T30" i="31" s="1"/>
  <c r="BI64" i="29"/>
  <c r="BI63" i="29"/>
  <c r="BI62" i="29"/>
  <c r="C39" i="12"/>
  <c r="G38" i="12"/>
  <c r="H38" i="12"/>
  <c r="C171" i="12"/>
  <c r="G170" i="12"/>
  <c r="H170" i="12"/>
  <c r="H202" i="19"/>
  <c r="C204" i="12"/>
  <c r="G203" i="12"/>
  <c r="H203" i="12"/>
  <c r="H70" i="19"/>
  <c r="C106" i="12"/>
  <c r="G105" i="12"/>
  <c r="H105" i="12"/>
  <c r="C72" i="12"/>
  <c r="G71" i="12"/>
  <c r="C139" i="12"/>
  <c r="G138" i="12"/>
  <c r="H138" i="12"/>
  <c r="H37" i="19"/>
  <c r="K128" i="1"/>
  <c r="M85" i="1"/>
  <c r="Q137" i="1"/>
  <c r="Q136" i="1"/>
  <c r="M127" i="1"/>
  <c r="O128" i="1"/>
  <c r="L136" i="1" s="1"/>
  <c r="Q94" i="1"/>
  <c r="Q95" i="1"/>
  <c r="M47" i="1"/>
  <c r="G49" i="1"/>
  <c r="O47" i="1"/>
  <c r="E136" i="1" s="1"/>
  <c r="BI50" i="29"/>
  <c r="BI20" i="29"/>
  <c r="BI35" i="29"/>
  <c r="BJ8" i="29"/>
  <c r="T8" i="30"/>
  <c r="BI8" i="30"/>
  <c r="T8" i="31"/>
  <c r="BK8" i="31"/>
  <c r="Q71" i="40"/>
  <c r="Q39" i="40"/>
  <c r="Q94" i="40"/>
  <c r="Q55" i="1"/>
  <c r="Q56" i="1"/>
  <c r="C23" i="32"/>
  <c r="U45" i="29" l="1"/>
  <c r="U46" i="29"/>
  <c r="BI16" i="29"/>
  <c r="BI45" i="29"/>
  <c r="BI28" i="29"/>
  <c r="BI41" i="29"/>
  <c r="BI52" i="29"/>
  <c r="BI31" i="29"/>
  <c r="BI14" i="29"/>
  <c r="BI43" i="29"/>
  <c r="BI27" i="29"/>
  <c r="BI46" i="29"/>
  <c r="BI30" i="29"/>
  <c r="BI13" i="29"/>
  <c r="BI42" i="29"/>
  <c r="BI26" i="29"/>
  <c r="U31" i="29"/>
  <c r="U30" i="29"/>
  <c r="U53" i="29"/>
  <c r="U56" i="29"/>
  <c r="BI53" i="29"/>
  <c r="BI56" i="29"/>
  <c r="U38" i="29"/>
  <c r="U39" i="29"/>
  <c r="U24" i="29"/>
  <c r="U37" i="29"/>
  <c r="BI23" i="29"/>
  <c r="BI24" i="29"/>
  <c r="BI39" i="29"/>
  <c r="BI22" i="29"/>
  <c r="BI37" i="29"/>
  <c r="BI38" i="29"/>
  <c r="U22" i="29"/>
  <c r="U23" i="29"/>
  <c r="Y7" i="29"/>
  <c r="Z7" i="29" s="1"/>
  <c r="AA7" i="29" s="1"/>
  <c r="AB7" i="29" s="1"/>
  <c r="AC7" i="29" s="1"/>
  <c r="AD7" i="29" s="1"/>
  <c r="AE7" i="29" s="1"/>
  <c r="AF7" i="29" s="1"/>
  <c r="AG7" i="29" s="1"/>
  <c r="AH7" i="29" s="1"/>
  <c r="AI7" i="29" s="1"/>
  <c r="AJ7" i="29" s="1"/>
  <c r="AK7" i="29" s="1"/>
  <c r="AL7" i="29" s="1"/>
  <c r="AM7" i="29" s="1"/>
  <c r="AN7" i="29" s="1"/>
  <c r="AO7" i="29" s="1"/>
  <c r="X6" i="29"/>
  <c r="L95" i="1"/>
  <c r="J15" i="15" s="1"/>
  <c r="T20" i="31"/>
  <c r="T36" i="31"/>
  <c r="BK36" i="31"/>
  <c r="BK20" i="31"/>
  <c r="T20" i="30"/>
  <c r="T36" i="30"/>
  <c r="BI36" i="30"/>
  <c r="BI20" i="30"/>
  <c r="BI55" i="30"/>
  <c r="BI55" i="31"/>
  <c r="W6" i="30"/>
  <c r="W56" i="30"/>
  <c r="BL56" i="30" s="1"/>
  <c r="W6" i="31"/>
  <c r="W56" i="31"/>
  <c r="BI29" i="29"/>
  <c r="BI10" i="29"/>
  <c r="BI44" i="29"/>
  <c r="BI15" i="29"/>
  <c r="BI11" i="29"/>
  <c r="BI54" i="29"/>
  <c r="BI57" i="29"/>
  <c r="BI55" i="29"/>
  <c r="BI12" i="29"/>
  <c r="V64" i="29"/>
  <c r="V63" i="29"/>
  <c r="V62" i="29"/>
  <c r="V68" i="29" s="1"/>
  <c r="W6" i="29"/>
  <c r="BL6" i="29" s="1"/>
  <c r="U55" i="29"/>
  <c r="U26" i="29"/>
  <c r="U43" i="29"/>
  <c r="U55" i="30"/>
  <c r="U15" i="29"/>
  <c r="U12" i="29"/>
  <c r="U14" i="29"/>
  <c r="U42" i="29"/>
  <c r="U52" i="29"/>
  <c r="BJ68" i="29"/>
  <c r="U27" i="29"/>
  <c r="U29" i="29"/>
  <c r="U11" i="29"/>
  <c r="U16" i="29"/>
  <c r="U44" i="29"/>
  <c r="U41" i="29"/>
  <c r="U55" i="31"/>
  <c r="U54" i="29"/>
  <c r="U10" i="29"/>
  <c r="U28" i="29"/>
  <c r="U13" i="29"/>
  <c r="U57" i="29"/>
  <c r="BJ64" i="29"/>
  <c r="BJ62" i="29"/>
  <c r="BJ63" i="29"/>
  <c r="C172" i="12"/>
  <c r="G171" i="12"/>
  <c r="H171" i="12"/>
  <c r="C107" i="12"/>
  <c r="G106" i="12"/>
  <c r="H106" i="12"/>
  <c r="C40" i="12"/>
  <c r="G39" i="12"/>
  <c r="H39" i="12"/>
  <c r="C73" i="12"/>
  <c r="G72" i="12"/>
  <c r="C140" i="12"/>
  <c r="G139" i="12"/>
  <c r="H139" i="12"/>
  <c r="C205" i="12"/>
  <c r="G204" i="12"/>
  <c r="H204" i="12"/>
  <c r="L94" i="1"/>
  <c r="L56" i="1"/>
  <c r="M86" i="1"/>
  <c r="G94" i="1"/>
  <c r="G88" i="1"/>
  <c r="H94" i="1"/>
  <c r="H88" i="1"/>
  <c r="J94" i="1"/>
  <c r="G137" i="1"/>
  <c r="E56" i="1"/>
  <c r="J137" i="1"/>
  <c r="I137" i="1"/>
  <c r="L137" i="1"/>
  <c r="N9" i="40" s="1"/>
  <c r="I94" i="1"/>
  <c r="I88" i="1"/>
  <c r="H137" i="1"/>
  <c r="M128" i="1"/>
  <c r="G130" i="1"/>
  <c r="G136" i="1"/>
  <c r="H136" i="1"/>
  <c r="H130" i="1"/>
  <c r="H95" i="1"/>
  <c r="I130" i="1"/>
  <c r="I136" i="1"/>
  <c r="G95" i="1"/>
  <c r="J136" i="1"/>
  <c r="J95" i="1"/>
  <c r="E137" i="1"/>
  <c r="E139" i="1" s="1"/>
  <c r="I56" i="1"/>
  <c r="T15" i="15"/>
  <c r="H56" i="1"/>
  <c r="K56" i="1"/>
  <c r="M56" i="1"/>
  <c r="I95" i="1"/>
  <c r="J56" i="1"/>
  <c r="G56" i="1"/>
  <c r="J55" i="1"/>
  <c r="E95" i="1"/>
  <c r="E94" i="1"/>
  <c r="L55" i="1"/>
  <c r="I55" i="1"/>
  <c r="H55" i="1"/>
  <c r="G55" i="1"/>
  <c r="K55" i="1"/>
  <c r="M55" i="1"/>
  <c r="E55" i="1"/>
  <c r="M49" i="1"/>
  <c r="U8" i="31"/>
  <c r="BJ8" i="30"/>
  <c r="BL8" i="31"/>
  <c r="U8" i="30"/>
  <c r="BK8" i="29"/>
  <c r="BJ20" i="29"/>
  <c r="BJ35" i="29"/>
  <c r="BJ50" i="29"/>
  <c r="U30" i="30" l="1"/>
  <c r="U30" i="31"/>
  <c r="BJ16" i="29"/>
  <c r="BJ45" i="29"/>
  <c r="BJ28" i="29"/>
  <c r="BJ26" i="29"/>
  <c r="BJ41" i="29"/>
  <c r="BJ42" i="29"/>
  <c r="BJ52" i="29"/>
  <c r="BJ31" i="29"/>
  <c r="BJ14" i="29"/>
  <c r="BJ43" i="29"/>
  <c r="BJ27" i="29"/>
  <c r="BJ46" i="29"/>
  <c r="BJ30" i="29"/>
  <c r="BJ13" i="29"/>
  <c r="BJ53" i="29"/>
  <c r="BJ56" i="29"/>
  <c r="BJ23" i="29"/>
  <c r="BJ24" i="29"/>
  <c r="BJ39" i="29"/>
  <c r="BJ22" i="29"/>
  <c r="BJ37" i="29"/>
  <c r="BJ38" i="29"/>
  <c r="AP7" i="29"/>
  <c r="CE7" i="29"/>
  <c r="M9" i="40"/>
  <c r="U20" i="31"/>
  <c r="U36" i="31"/>
  <c r="BL36" i="31"/>
  <c r="BL20" i="31"/>
  <c r="S8" i="40"/>
  <c r="M8" i="40"/>
  <c r="N8" i="40"/>
  <c r="T8" i="40"/>
  <c r="T9" i="40"/>
  <c r="S7" i="40"/>
  <c r="T7" i="40"/>
  <c r="S9" i="40"/>
  <c r="U20" i="30"/>
  <c r="U36" i="30"/>
  <c r="BJ36" i="30"/>
  <c r="BJ20" i="30"/>
  <c r="BJ55" i="30"/>
  <c r="BJ55" i="31"/>
  <c r="S15" i="15"/>
  <c r="S9" i="15"/>
  <c r="T10" i="15"/>
  <c r="J12" i="15"/>
  <c r="S10" i="15"/>
  <c r="J11" i="15"/>
  <c r="U10" i="15"/>
  <c r="H11" i="15"/>
  <c r="H10" i="15"/>
  <c r="J13" i="15"/>
  <c r="H15" i="15"/>
  <c r="U15" i="15"/>
  <c r="H9" i="15"/>
  <c r="I12" i="15"/>
  <c r="H12" i="15"/>
  <c r="H13" i="15"/>
  <c r="I15" i="15"/>
  <c r="I11" i="15"/>
  <c r="I13" i="15"/>
  <c r="S11" i="15"/>
  <c r="J10" i="15"/>
  <c r="I10" i="15"/>
  <c r="X6" i="30"/>
  <c r="X56" i="30"/>
  <c r="BM56" i="30" s="1"/>
  <c r="X6" i="31"/>
  <c r="X56" i="31"/>
  <c r="W64" i="29"/>
  <c r="W62" i="29"/>
  <c r="W68" i="29" s="1"/>
  <c r="W63" i="29"/>
  <c r="V28" i="29"/>
  <c r="V55" i="31"/>
  <c r="V57" i="29"/>
  <c r="V53" i="29"/>
  <c r="V56" i="29"/>
  <c r="V11" i="29"/>
  <c r="V27" i="29"/>
  <c r="V14" i="29"/>
  <c r="V43" i="29"/>
  <c r="V12" i="29"/>
  <c r="V15" i="29"/>
  <c r="V13" i="29"/>
  <c r="V55" i="29"/>
  <c r="V54" i="29"/>
  <c r="V42" i="29"/>
  <c r="V52" i="29"/>
  <c r="V55" i="30"/>
  <c r="BK68" i="29"/>
  <c r="BJ29" i="29"/>
  <c r="BJ54" i="29"/>
  <c r="BJ12" i="29"/>
  <c r="BJ44" i="29"/>
  <c r="BJ15" i="29"/>
  <c r="BJ55" i="29"/>
  <c r="BJ10" i="29"/>
  <c r="BJ11" i="29"/>
  <c r="BJ57" i="29"/>
  <c r="BK64" i="29"/>
  <c r="BK62" i="29"/>
  <c r="BK63" i="29"/>
  <c r="C74" i="12"/>
  <c r="G73" i="12"/>
  <c r="C41" i="12"/>
  <c r="G40" i="12"/>
  <c r="H40" i="12"/>
  <c r="C141" i="12"/>
  <c r="G140" i="12"/>
  <c r="H140" i="12"/>
  <c r="C173" i="12"/>
  <c r="G172" i="12"/>
  <c r="H172" i="12"/>
  <c r="C206" i="12"/>
  <c r="G205" i="12"/>
  <c r="H205" i="12"/>
  <c r="C108" i="12"/>
  <c r="G107" i="12"/>
  <c r="H107" i="12"/>
  <c r="H16" i="15"/>
  <c r="L97" i="1"/>
  <c r="K137" i="1"/>
  <c r="I9" i="15" s="1"/>
  <c r="M130" i="1"/>
  <c r="K8" i="40"/>
  <c r="L139" i="1"/>
  <c r="M58" i="1"/>
  <c r="Q8" i="40"/>
  <c r="U13" i="15"/>
  <c r="I97" i="1"/>
  <c r="S16" i="15"/>
  <c r="BI30" i="31" s="1"/>
  <c r="U16" i="15"/>
  <c r="T16" i="15"/>
  <c r="Q9" i="40"/>
  <c r="T13" i="15"/>
  <c r="I139" i="1"/>
  <c r="T12" i="15"/>
  <c r="H139" i="1"/>
  <c r="E97" i="1"/>
  <c r="I16" i="15"/>
  <c r="J16" i="15"/>
  <c r="T11" i="15"/>
  <c r="G139" i="1"/>
  <c r="K95" i="1"/>
  <c r="K94" i="1"/>
  <c r="U12" i="15"/>
  <c r="H97" i="1"/>
  <c r="U11" i="15"/>
  <c r="G97" i="1"/>
  <c r="K136" i="1"/>
  <c r="M88" i="1"/>
  <c r="M136" i="1"/>
  <c r="R11" i="50" s="1"/>
  <c r="M94" i="1"/>
  <c r="Q11" i="50" s="1"/>
  <c r="M95" i="1"/>
  <c r="Q14" i="50" s="1"/>
  <c r="M137" i="1"/>
  <c r="R15" i="50" s="1"/>
  <c r="K9" i="40"/>
  <c r="I58" i="1"/>
  <c r="S13" i="15"/>
  <c r="L58" i="1"/>
  <c r="H58" i="1"/>
  <c r="S12" i="15"/>
  <c r="E58" i="1"/>
  <c r="Q7" i="40"/>
  <c r="G58" i="1"/>
  <c r="K10" i="40"/>
  <c r="K7" i="40"/>
  <c r="BK35" i="29"/>
  <c r="BL8" i="29"/>
  <c r="BK20" i="29"/>
  <c r="BK50" i="29"/>
  <c r="V8" i="30"/>
  <c r="BM8" i="31"/>
  <c r="BK8" i="30"/>
  <c r="V8" i="31"/>
  <c r="G16" i="30" l="1"/>
  <c r="K16" i="30"/>
  <c r="L16" i="30"/>
  <c r="M16" i="30"/>
  <c r="Q16" i="30"/>
  <c r="H16" i="30"/>
  <c r="I16" i="30"/>
  <c r="R16" i="30"/>
  <c r="F16" i="30"/>
  <c r="O16" i="30"/>
  <c r="N16" i="30"/>
  <c r="J16" i="30"/>
  <c r="AU30" i="30"/>
  <c r="AY16" i="30"/>
  <c r="BG16" i="30"/>
  <c r="AU16" i="30"/>
  <c r="BG30" i="30"/>
  <c r="S16" i="30"/>
  <c r="AV30" i="30"/>
  <c r="BC30" i="30"/>
  <c r="AY30" i="30"/>
  <c r="BB30" i="30"/>
  <c r="AW16" i="30"/>
  <c r="BB16" i="30"/>
  <c r="BF16" i="30"/>
  <c r="AW30" i="30"/>
  <c r="AX16" i="30"/>
  <c r="BF30" i="30"/>
  <c r="AZ16" i="30"/>
  <c r="AX30" i="30"/>
  <c r="BD16" i="30"/>
  <c r="AZ30" i="30"/>
  <c r="BA16" i="30"/>
  <c r="BD30" i="30"/>
  <c r="AV16" i="30"/>
  <c r="BA30" i="30"/>
  <c r="BC16" i="30"/>
  <c r="BH16" i="30"/>
  <c r="BH30" i="30"/>
  <c r="T16" i="30"/>
  <c r="F16" i="31"/>
  <c r="K16" i="31"/>
  <c r="M16" i="31"/>
  <c r="I16" i="31"/>
  <c r="G16" i="31"/>
  <c r="Q16" i="31"/>
  <c r="O16" i="31"/>
  <c r="L16" i="31"/>
  <c r="J16" i="31"/>
  <c r="H16" i="31"/>
  <c r="N16" i="31"/>
  <c r="R16" i="31"/>
  <c r="AZ30" i="31"/>
  <c r="BG16" i="31"/>
  <c r="BB30" i="31"/>
  <c r="BD16" i="31"/>
  <c r="BG30" i="31"/>
  <c r="AY30" i="31"/>
  <c r="AW30" i="31"/>
  <c r="AY16" i="31"/>
  <c r="AX30" i="31"/>
  <c r="BB16" i="31"/>
  <c r="BA30" i="31"/>
  <c r="AZ16" i="31"/>
  <c r="BD30" i="31"/>
  <c r="AW16" i="31"/>
  <c r="AV30" i="31"/>
  <c r="BF16" i="31"/>
  <c r="AU30" i="31"/>
  <c r="AX16" i="31"/>
  <c r="S16" i="31"/>
  <c r="BA16" i="31"/>
  <c r="AV16" i="31"/>
  <c r="BC16" i="31"/>
  <c r="BF30" i="31"/>
  <c r="BC30" i="31"/>
  <c r="AU16" i="31"/>
  <c r="BH30" i="31"/>
  <c r="BH16" i="31"/>
  <c r="T16" i="31"/>
  <c r="U16" i="30"/>
  <c r="BI16" i="30"/>
  <c r="BI30" i="30"/>
  <c r="U16" i="31"/>
  <c r="BI16" i="31"/>
  <c r="BJ30" i="31"/>
  <c r="BJ16" i="31"/>
  <c r="BJ30" i="30"/>
  <c r="BJ16" i="30"/>
  <c r="BK45" i="29"/>
  <c r="BK28" i="29"/>
  <c r="BK41" i="29"/>
  <c r="BK52" i="29"/>
  <c r="BK31" i="29"/>
  <c r="BK14" i="29"/>
  <c r="BK43" i="29"/>
  <c r="BK27" i="29"/>
  <c r="BK46" i="29"/>
  <c r="BK30" i="29"/>
  <c r="BK13" i="29"/>
  <c r="BK42" i="29"/>
  <c r="BK26" i="29"/>
  <c r="BK16" i="29"/>
  <c r="BJ15" i="31"/>
  <c r="AX15" i="31"/>
  <c r="O15" i="31"/>
  <c r="R15" i="31"/>
  <c r="H15" i="31"/>
  <c r="N15" i="31"/>
  <c r="G15" i="31"/>
  <c r="J15" i="31"/>
  <c r="F15" i="31"/>
  <c r="M15" i="31"/>
  <c r="L15" i="31"/>
  <c r="K15" i="31"/>
  <c r="Q15" i="31"/>
  <c r="I15" i="31"/>
  <c r="BG15" i="31"/>
  <c r="AV15" i="31"/>
  <c r="BB15" i="31"/>
  <c r="BF15" i="31"/>
  <c r="BD15" i="31"/>
  <c r="BC15" i="31"/>
  <c r="AW15" i="31"/>
  <c r="AZ15" i="31"/>
  <c r="BA15" i="31"/>
  <c r="AU15" i="31"/>
  <c r="AY15" i="31"/>
  <c r="S15" i="31"/>
  <c r="BH15" i="31"/>
  <c r="T15" i="31"/>
  <c r="Q15" i="30"/>
  <c r="R15" i="30"/>
  <c r="H15" i="30"/>
  <c r="N15" i="30"/>
  <c r="G15" i="30"/>
  <c r="J15" i="30"/>
  <c r="F15" i="30"/>
  <c r="M15" i="30"/>
  <c r="L15" i="30"/>
  <c r="AX15" i="30"/>
  <c r="O15" i="30"/>
  <c r="K15" i="30"/>
  <c r="I15" i="30"/>
  <c r="AV15" i="30"/>
  <c r="BF15" i="30"/>
  <c r="AW15" i="30"/>
  <c r="BA15" i="30"/>
  <c r="BC15" i="30"/>
  <c r="BD15" i="30"/>
  <c r="AU15" i="30"/>
  <c r="AZ15" i="30"/>
  <c r="BG15" i="30"/>
  <c r="AY15" i="30"/>
  <c r="S15" i="30"/>
  <c r="BB15" i="30"/>
  <c r="T15" i="30"/>
  <c r="BH15" i="30"/>
  <c r="BI15" i="30"/>
  <c r="U15" i="31"/>
  <c r="U15" i="30"/>
  <c r="BI15" i="31"/>
  <c r="V15" i="30"/>
  <c r="V15" i="31"/>
  <c r="BJ15" i="30"/>
  <c r="AQ7" i="29"/>
  <c r="AR7" i="29" s="1"/>
  <c r="AR6" i="29" s="1"/>
  <c r="CF7" i="29"/>
  <c r="H39" i="30"/>
  <c r="BI42" i="30"/>
  <c r="X64" i="29"/>
  <c r="X63" i="29"/>
  <c r="X62" i="29"/>
  <c r="R39" i="30"/>
  <c r="U39" i="30"/>
  <c r="I39" i="30"/>
  <c r="O39" i="30"/>
  <c r="K39" i="30"/>
  <c r="L39" i="30"/>
  <c r="BI24" i="31"/>
  <c r="U29" i="30"/>
  <c r="U29" i="31"/>
  <c r="G39" i="30"/>
  <c r="V39" i="30"/>
  <c r="U22" i="30"/>
  <c r="F39" i="30"/>
  <c r="U23" i="30"/>
  <c r="J39" i="30"/>
  <c r="BI29" i="31"/>
  <c r="Q39" i="30"/>
  <c r="BI23" i="30"/>
  <c r="BI39" i="30"/>
  <c r="T39" i="30"/>
  <c r="S39" i="30"/>
  <c r="N39" i="30"/>
  <c r="M39" i="30"/>
  <c r="R14" i="50"/>
  <c r="R16" i="50"/>
  <c r="Q16" i="50"/>
  <c r="Q15" i="50"/>
  <c r="R10" i="50"/>
  <c r="R12" i="50"/>
  <c r="Q12" i="50"/>
  <c r="Q10" i="50"/>
  <c r="V36" i="31"/>
  <c r="V20" i="31"/>
  <c r="BM36" i="31"/>
  <c r="BM20" i="31"/>
  <c r="BI12" i="31"/>
  <c r="U43" i="30"/>
  <c r="H14" i="15"/>
  <c r="F42" i="31"/>
  <c r="U43" i="31"/>
  <c r="BJ39" i="30"/>
  <c r="BJ12" i="30"/>
  <c r="BJ42" i="30"/>
  <c r="U42" i="31"/>
  <c r="V42" i="30"/>
  <c r="BI42" i="31"/>
  <c r="BJ29" i="30"/>
  <c r="F43" i="31"/>
  <c r="M7" i="40"/>
  <c r="AG42" i="30"/>
  <c r="O43" i="30"/>
  <c r="BA42" i="30"/>
  <c r="AW42" i="30"/>
  <c r="L43" i="30"/>
  <c r="O42" i="30"/>
  <c r="H43" i="30"/>
  <c r="M43" i="30"/>
  <c r="N42" i="30"/>
  <c r="F43" i="30"/>
  <c r="F42" i="30"/>
  <c r="K42" i="30"/>
  <c r="Q43" i="30"/>
  <c r="N43" i="30"/>
  <c r="G42" i="30"/>
  <c r="M42" i="30"/>
  <c r="J43" i="30"/>
  <c r="BF42" i="30"/>
  <c r="Q42" i="30"/>
  <c r="H42" i="30"/>
  <c r="BA43" i="30"/>
  <c r="G43" i="30"/>
  <c r="L42" i="30"/>
  <c r="I43" i="30"/>
  <c r="J42" i="30"/>
  <c r="K43" i="30"/>
  <c r="I42" i="30"/>
  <c r="BD43" i="30"/>
  <c r="BF43" i="30"/>
  <c r="AX43" i="30"/>
  <c r="AY43" i="30"/>
  <c r="R42" i="30"/>
  <c r="AV42" i="30"/>
  <c r="AU43" i="30"/>
  <c r="BC43" i="30"/>
  <c r="R43" i="30"/>
  <c r="AZ42" i="30"/>
  <c r="BB43" i="30"/>
  <c r="AY42" i="30"/>
  <c r="AU42" i="30"/>
  <c r="AX42" i="30"/>
  <c r="AZ43" i="30"/>
  <c r="BD42" i="30"/>
  <c r="BB42" i="30"/>
  <c r="BC42" i="30"/>
  <c r="AW43" i="30"/>
  <c r="AV43" i="30"/>
  <c r="S42" i="30"/>
  <c r="BG42" i="30"/>
  <c r="BG43" i="30"/>
  <c r="S43" i="30"/>
  <c r="BH42" i="30"/>
  <c r="T42" i="30"/>
  <c r="BH43" i="30"/>
  <c r="T43" i="30"/>
  <c r="BI43" i="31"/>
  <c r="N7" i="40"/>
  <c r="V12" i="30"/>
  <c r="U12" i="31"/>
  <c r="AG42" i="31"/>
  <c r="H43" i="31"/>
  <c r="N43" i="31"/>
  <c r="N42" i="31"/>
  <c r="O43" i="31"/>
  <c r="J43" i="31"/>
  <c r="K43" i="31"/>
  <c r="Q42" i="31"/>
  <c r="G42" i="31"/>
  <c r="Q43" i="31"/>
  <c r="O42" i="31"/>
  <c r="G43" i="31"/>
  <c r="BA43" i="31"/>
  <c r="M43" i="31"/>
  <c r="K42" i="31"/>
  <c r="M42" i="31"/>
  <c r="L42" i="31"/>
  <c r="I43" i="31"/>
  <c r="AW42" i="31"/>
  <c r="L43" i="31"/>
  <c r="J42" i="31"/>
  <c r="H42" i="31"/>
  <c r="I42" i="31"/>
  <c r="BF42" i="31"/>
  <c r="BA42" i="31"/>
  <c r="AU42" i="31"/>
  <c r="BC42" i="31"/>
  <c r="BD42" i="31"/>
  <c r="BB42" i="31"/>
  <c r="AX42" i="31"/>
  <c r="BC43" i="31"/>
  <c r="R43" i="31"/>
  <c r="BF43" i="31"/>
  <c r="AZ43" i="31"/>
  <c r="BD43" i="31"/>
  <c r="AX43" i="31"/>
  <c r="AY43" i="31"/>
  <c r="AU43" i="31"/>
  <c r="AZ42" i="31"/>
  <c r="R42" i="31"/>
  <c r="AV42" i="31"/>
  <c r="AV43" i="31"/>
  <c r="AW43" i="31"/>
  <c r="BB43" i="31"/>
  <c r="AY42" i="31"/>
  <c r="S43" i="31"/>
  <c r="BG42" i="31"/>
  <c r="S42" i="31"/>
  <c r="BG43" i="31"/>
  <c r="BH43" i="31"/>
  <c r="T42" i="31"/>
  <c r="T43" i="31"/>
  <c r="BH42" i="31"/>
  <c r="Q29" i="31"/>
  <c r="O29" i="31"/>
  <c r="L29" i="31"/>
  <c r="Q12" i="31"/>
  <c r="M29" i="31"/>
  <c r="G29" i="31"/>
  <c r="H29" i="31"/>
  <c r="N29" i="31"/>
  <c r="K29" i="31"/>
  <c r="H12" i="31"/>
  <c r="K12" i="31"/>
  <c r="F29" i="31"/>
  <c r="M12" i="31"/>
  <c r="G12" i="31"/>
  <c r="O12" i="31"/>
  <c r="J12" i="31"/>
  <c r="N12" i="31"/>
  <c r="F12" i="31"/>
  <c r="I29" i="31"/>
  <c r="L12" i="31"/>
  <c r="J29" i="31"/>
  <c r="I12" i="31"/>
  <c r="R12" i="31"/>
  <c r="R29" i="31"/>
  <c r="S12" i="31"/>
  <c r="S29" i="31"/>
  <c r="T12" i="31"/>
  <c r="T29" i="31"/>
  <c r="BA12" i="30"/>
  <c r="AZ12" i="30"/>
  <c r="BA29" i="30"/>
  <c r="AU12" i="30"/>
  <c r="BB29" i="30"/>
  <c r="BD29" i="30"/>
  <c r="BB12" i="30"/>
  <c r="AX29" i="30"/>
  <c r="AV29" i="30"/>
  <c r="BF29" i="30"/>
  <c r="BF12" i="30"/>
  <c r="BC29" i="30"/>
  <c r="AY29" i="30"/>
  <c r="AW12" i="30"/>
  <c r="AV12" i="30"/>
  <c r="AZ29" i="30"/>
  <c r="AW29" i="30"/>
  <c r="AU29" i="30"/>
  <c r="BC12" i="30"/>
  <c r="BD12" i="30"/>
  <c r="AX12" i="30"/>
  <c r="AY12" i="30"/>
  <c r="BG29" i="30"/>
  <c r="BG12" i="30"/>
  <c r="BH29" i="30"/>
  <c r="BH12" i="30"/>
  <c r="BI43" i="30"/>
  <c r="L29" i="30"/>
  <c r="K29" i="30"/>
  <c r="Q29" i="30"/>
  <c r="G29" i="30"/>
  <c r="N29" i="30"/>
  <c r="Q12" i="30"/>
  <c r="L12" i="30"/>
  <c r="O29" i="30"/>
  <c r="H29" i="30"/>
  <c r="H12" i="30"/>
  <c r="J12" i="30"/>
  <c r="J29" i="30"/>
  <c r="N12" i="30"/>
  <c r="M29" i="30"/>
  <c r="F12" i="30"/>
  <c r="O12" i="30"/>
  <c r="M12" i="30"/>
  <c r="G12" i="30"/>
  <c r="I12" i="30"/>
  <c r="I29" i="30"/>
  <c r="F29" i="30"/>
  <c r="K12" i="30"/>
  <c r="R12" i="30"/>
  <c r="R29" i="30"/>
  <c r="S12" i="30"/>
  <c r="S29" i="30"/>
  <c r="T29" i="30"/>
  <c r="T12" i="30"/>
  <c r="AZ12" i="31"/>
  <c r="BA12" i="31"/>
  <c r="BA29" i="31"/>
  <c r="AV12" i="31"/>
  <c r="AW29" i="31"/>
  <c r="BB12" i="31"/>
  <c r="AX12" i="31"/>
  <c r="BD29" i="31"/>
  <c r="BC29" i="31"/>
  <c r="AW12" i="31"/>
  <c r="BD12" i="31"/>
  <c r="BF12" i="31"/>
  <c r="BB29" i="31"/>
  <c r="AU29" i="31"/>
  <c r="AZ29" i="31"/>
  <c r="AU12" i="31"/>
  <c r="AV29" i="31"/>
  <c r="BC12" i="31"/>
  <c r="AX29" i="31"/>
  <c r="BF29" i="31"/>
  <c r="AY29" i="31"/>
  <c r="AY12" i="31"/>
  <c r="BG29" i="31"/>
  <c r="BG12" i="31"/>
  <c r="BH12" i="31"/>
  <c r="BH29" i="31"/>
  <c r="U42" i="30"/>
  <c r="U12" i="30"/>
  <c r="BA39" i="30"/>
  <c r="BF39" i="30"/>
  <c r="BB39" i="30"/>
  <c r="BC39" i="30"/>
  <c r="AZ39" i="30"/>
  <c r="AY39" i="30"/>
  <c r="AW39" i="30"/>
  <c r="BD39" i="30"/>
  <c r="AV39" i="30"/>
  <c r="AU39" i="30"/>
  <c r="AX39" i="30"/>
  <c r="BG39" i="30"/>
  <c r="BH39" i="30"/>
  <c r="BI12" i="30"/>
  <c r="BI29" i="30"/>
  <c r="BJ24" i="30"/>
  <c r="BJ23" i="30"/>
  <c r="BA24" i="30"/>
  <c r="AV24" i="30"/>
  <c r="BC24" i="30"/>
  <c r="AY24" i="30"/>
  <c r="BF24" i="30"/>
  <c r="AX24" i="30"/>
  <c r="BB24" i="30"/>
  <c r="AW24" i="30"/>
  <c r="AU24" i="30"/>
  <c r="AZ24" i="30"/>
  <c r="BD24" i="30"/>
  <c r="BG24" i="30"/>
  <c r="BH24" i="30"/>
  <c r="BA23" i="30"/>
  <c r="BD23" i="30"/>
  <c r="BB23" i="30"/>
  <c r="AW23" i="30"/>
  <c r="AY23" i="30"/>
  <c r="AX23" i="30"/>
  <c r="BC23" i="30"/>
  <c r="AZ23" i="30"/>
  <c r="BF23" i="30"/>
  <c r="AU23" i="30"/>
  <c r="AV23" i="30"/>
  <c r="BG23" i="30"/>
  <c r="BH23" i="30"/>
  <c r="BA22" i="30"/>
  <c r="BB22" i="30"/>
  <c r="AW22" i="30"/>
  <c r="AY22" i="30"/>
  <c r="AU22" i="30"/>
  <c r="BF22" i="30"/>
  <c r="AX22" i="30"/>
  <c r="BC22" i="30"/>
  <c r="BD22" i="30"/>
  <c r="AV22" i="30"/>
  <c r="AZ22" i="30"/>
  <c r="BG22" i="30"/>
  <c r="BH22" i="30"/>
  <c r="BI22" i="30"/>
  <c r="BJ22" i="30"/>
  <c r="J24" i="30"/>
  <c r="L24" i="30"/>
  <c r="Q24" i="30"/>
  <c r="O24" i="30"/>
  <c r="N24" i="30"/>
  <c r="K24" i="30"/>
  <c r="M24" i="30"/>
  <c r="I24" i="30"/>
  <c r="F24" i="30"/>
  <c r="G24" i="30"/>
  <c r="H24" i="30"/>
  <c r="R24" i="30"/>
  <c r="S24" i="30"/>
  <c r="T24" i="30"/>
  <c r="BI24" i="30"/>
  <c r="G22" i="30"/>
  <c r="Q22" i="30"/>
  <c r="K22" i="30"/>
  <c r="J22" i="30"/>
  <c r="N22" i="30"/>
  <c r="I22" i="30"/>
  <c r="F22" i="30"/>
  <c r="O22" i="30"/>
  <c r="H22" i="30"/>
  <c r="M22" i="30"/>
  <c r="L22" i="30"/>
  <c r="R22" i="30"/>
  <c r="S22" i="30"/>
  <c r="T22" i="30"/>
  <c r="O23" i="30"/>
  <c r="L23" i="30"/>
  <c r="J23" i="30"/>
  <c r="I23" i="30"/>
  <c r="K23" i="30"/>
  <c r="F23" i="30"/>
  <c r="G23" i="30"/>
  <c r="Q23" i="30"/>
  <c r="M23" i="30"/>
  <c r="H23" i="30"/>
  <c r="N23" i="30"/>
  <c r="R23" i="30"/>
  <c r="S23" i="30"/>
  <c r="T23" i="30"/>
  <c r="U24" i="30"/>
  <c r="S10" i="40"/>
  <c r="T10" i="40"/>
  <c r="J14" i="15"/>
  <c r="V43" i="30"/>
  <c r="BJ43" i="30"/>
  <c r="BK36" i="30"/>
  <c r="BK20" i="30"/>
  <c r="V36" i="30"/>
  <c r="V20" i="30"/>
  <c r="H23" i="31"/>
  <c r="L23" i="31"/>
  <c r="K23" i="31"/>
  <c r="F23" i="31"/>
  <c r="I23" i="31"/>
  <c r="J23" i="31"/>
  <c r="G23" i="31"/>
  <c r="M23" i="31"/>
  <c r="O23" i="31"/>
  <c r="N23" i="31"/>
  <c r="Q23" i="31"/>
  <c r="R23" i="31"/>
  <c r="S23" i="31"/>
  <c r="T23" i="31"/>
  <c r="I24" i="31"/>
  <c r="N24" i="31"/>
  <c r="O24" i="31"/>
  <c r="J24" i="31"/>
  <c r="K24" i="31"/>
  <c r="F24" i="31"/>
  <c r="H24" i="31"/>
  <c r="Q24" i="31"/>
  <c r="M24" i="31"/>
  <c r="G24" i="31"/>
  <c r="L24" i="31"/>
  <c r="R24" i="31"/>
  <c r="S24" i="31"/>
  <c r="T24" i="31"/>
  <c r="AV22" i="31"/>
  <c r="BD22" i="31"/>
  <c r="BF22" i="31"/>
  <c r="BB22" i="31"/>
  <c r="AX22" i="31"/>
  <c r="AZ22" i="31"/>
  <c r="AY22" i="31"/>
  <c r="BA22" i="31"/>
  <c r="BC22" i="31"/>
  <c r="AW22" i="31"/>
  <c r="AU22" i="31"/>
  <c r="BG22" i="31"/>
  <c r="BH22" i="31"/>
  <c r="U22" i="31"/>
  <c r="BI22" i="31"/>
  <c r="I14" i="15"/>
  <c r="BF23" i="31"/>
  <c r="BA23" i="31"/>
  <c r="AX23" i="31"/>
  <c r="BB23" i="31"/>
  <c r="BD23" i="31"/>
  <c r="AZ23" i="31"/>
  <c r="AU23" i="31"/>
  <c r="AW23" i="31"/>
  <c r="AY23" i="31"/>
  <c r="BC23" i="31"/>
  <c r="AV23" i="31"/>
  <c r="BG23" i="31"/>
  <c r="BH23" i="31"/>
  <c r="U24" i="31"/>
  <c r="BI23" i="31"/>
  <c r="H22" i="31"/>
  <c r="M22" i="31"/>
  <c r="I22" i="31"/>
  <c r="L22" i="31"/>
  <c r="J22" i="31"/>
  <c r="N22" i="31"/>
  <c r="O22" i="31"/>
  <c r="G22" i="31"/>
  <c r="F22" i="31"/>
  <c r="K22" i="31"/>
  <c r="Q22" i="31"/>
  <c r="R22" i="31"/>
  <c r="S22" i="31"/>
  <c r="T22" i="31"/>
  <c r="U23" i="31"/>
  <c r="BB24" i="31"/>
  <c r="BF24" i="31"/>
  <c r="AX24" i="31"/>
  <c r="BC24" i="31"/>
  <c r="AU24" i="31"/>
  <c r="AW24" i="31"/>
  <c r="BD24" i="31"/>
  <c r="AV24" i="31"/>
  <c r="AY24" i="31"/>
  <c r="BA24" i="31"/>
  <c r="AZ24" i="31"/>
  <c r="BG24" i="31"/>
  <c r="BH24" i="31"/>
  <c r="BK55" i="30"/>
  <c r="BJ24" i="31"/>
  <c r="BJ29" i="31"/>
  <c r="BJ12" i="31"/>
  <c r="BJ22" i="31"/>
  <c r="BJ23" i="31"/>
  <c r="V42" i="31"/>
  <c r="BJ43" i="31"/>
  <c r="BJ42" i="31"/>
  <c r="BK55" i="31"/>
  <c r="V43" i="31"/>
  <c r="V12" i="31"/>
  <c r="T9" i="15"/>
  <c r="BJ10" i="31" s="1"/>
  <c r="BJ10" i="30"/>
  <c r="U9" i="15"/>
  <c r="V11" i="31" s="1"/>
  <c r="J9" i="15"/>
  <c r="V11" i="30" s="1"/>
  <c r="Y6" i="30"/>
  <c r="Y56" i="30"/>
  <c r="BN56" i="30" s="1"/>
  <c r="Y6" i="31"/>
  <c r="Y56" i="31"/>
  <c r="BK12" i="29"/>
  <c r="BK12" i="30" s="1"/>
  <c r="BK57" i="29"/>
  <c r="BK55" i="29"/>
  <c r="BK15" i="29"/>
  <c r="BK15" i="31" s="1"/>
  <c r="BK54" i="29"/>
  <c r="BK11" i="29"/>
  <c r="BK11" i="30" s="1"/>
  <c r="BK53" i="29"/>
  <c r="BK39" i="30" s="1"/>
  <c r="BK56" i="29"/>
  <c r="BK42" i="30" s="1"/>
  <c r="BK23" i="29"/>
  <c r="BK23" i="30" s="1"/>
  <c r="BK39" i="29"/>
  <c r="BK38" i="29"/>
  <c r="BK22" i="29"/>
  <c r="BK22" i="30" s="1"/>
  <c r="BK29" i="29"/>
  <c r="BK29" i="30" s="1"/>
  <c r="BK37" i="29"/>
  <c r="BK44" i="29"/>
  <c r="BK24" i="29"/>
  <c r="BK24" i="30" s="1"/>
  <c r="BK10" i="29"/>
  <c r="Y6" i="29"/>
  <c r="BN6" i="29" s="1"/>
  <c r="W55" i="30"/>
  <c r="BL68" i="29"/>
  <c r="W53" i="29"/>
  <c r="W13" i="29"/>
  <c r="W27" i="29"/>
  <c r="W55" i="31"/>
  <c r="W54" i="29"/>
  <c r="W12" i="29"/>
  <c r="W12" i="30" s="1"/>
  <c r="W57" i="29"/>
  <c r="W55" i="29"/>
  <c r="W28" i="29"/>
  <c r="W42" i="29"/>
  <c r="W15" i="29"/>
  <c r="W11" i="29"/>
  <c r="W43" i="29"/>
  <c r="W56" i="29"/>
  <c r="W52" i="29"/>
  <c r="W14" i="29"/>
  <c r="BL64" i="29"/>
  <c r="BL62" i="29"/>
  <c r="BL63" i="29"/>
  <c r="G108" i="12"/>
  <c r="C109" i="12"/>
  <c r="H108" i="12"/>
  <c r="G141" i="12"/>
  <c r="C142" i="12"/>
  <c r="H141" i="12"/>
  <c r="C207" i="12"/>
  <c r="G206" i="12"/>
  <c r="H206" i="12"/>
  <c r="C75" i="12"/>
  <c r="G74" i="12"/>
  <c r="C42" i="12"/>
  <c r="G41" i="12"/>
  <c r="H41" i="12"/>
  <c r="C174" i="12"/>
  <c r="G173" i="12"/>
  <c r="H173" i="12"/>
  <c r="Q10" i="40"/>
  <c r="M97" i="1"/>
  <c r="M139" i="1"/>
  <c r="T14" i="15"/>
  <c r="U14" i="15"/>
  <c r="S14" i="15"/>
  <c r="W8" i="31"/>
  <c r="BL8" i="30"/>
  <c r="BN8" i="31"/>
  <c r="W8" i="30"/>
  <c r="BL35" i="29"/>
  <c r="BM8" i="29"/>
  <c r="BL50" i="29"/>
  <c r="BL20" i="29"/>
  <c r="L31" i="31" l="1"/>
  <c r="N31" i="31"/>
  <c r="Q31" i="31"/>
  <c r="F31" i="31"/>
  <c r="M31" i="31"/>
  <c r="G31" i="31"/>
  <c r="R31" i="31"/>
  <c r="H31" i="31"/>
  <c r="O31" i="31"/>
  <c r="I31" i="31"/>
  <c r="K31" i="31"/>
  <c r="J31" i="31"/>
  <c r="S31" i="31"/>
  <c r="T31" i="31"/>
  <c r="U31" i="31"/>
  <c r="L31" i="30"/>
  <c r="Q31" i="30"/>
  <c r="F31" i="30"/>
  <c r="M31" i="30"/>
  <c r="G31" i="30"/>
  <c r="R31" i="30"/>
  <c r="H31" i="30"/>
  <c r="O31" i="30"/>
  <c r="I31" i="30"/>
  <c r="K31" i="30"/>
  <c r="J31" i="30"/>
  <c r="N31" i="30"/>
  <c r="S31" i="30"/>
  <c r="T31" i="30"/>
  <c r="U31" i="30"/>
  <c r="BK16" i="31"/>
  <c r="BK30" i="31"/>
  <c r="BK16" i="30"/>
  <c r="BK30" i="30"/>
  <c r="X15" i="29"/>
  <c r="X14" i="29"/>
  <c r="X13" i="29"/>
  <c r="X12" i="29"/>
  <c r="X11" i="29"/>
  <c r="D121" i="15"/>
  <c r="O27" i="30" s="1"/>
  <c r="BL45" i="29"/>
  <c r="BL28" i="29"/>
  <c r="BL41" i="29"/>
  <c r="BL52" i="29"/>
  <c r="BL31" i="29"/>
  <c r="BL14" i="29"/>
  <c r="BL43" i="29"/>
  <c r="BL27" i="29"/>
  <c r="BL16" i="29"/>
  <c r="BL46" i="29"/>
  <c r="BL31" i="30" s="1"/>
  <c r="BL30" i="29"/>
  <c r="BL13" i="29"/>
  <c r="BL42" i="29"/>
  <c r="BL26" i="29"/>
  <c r="BL26" i="30" s="1"/>
  <c r="V40" i="30"/>
  <c r="W15" i="30"/>
  <c r="W15" i="31"/>
  <c r="BK15" i="30"/>
  <c r="AR64" i="29"/>
  <c r="AR63" i="29"/>
  <c r="AR62" i="29"/>
  <c r="AR68" i="29" s="1"/>
  <c r="X53" i="29"/>
  <c r="X39" i="31" s="1"/>
  <c r="E39" i="31" s="1"/>
  <c r="X52" i="29"/>
  <c r="X43" i="29"/>
  <c r="X57" i="29"/>
  <c r="X43" i="30" s="1"/>
  <c r="X28" i="29"/>
  <c r="X42" i="29"/>
  <c r="X56" i="29"/>
  <c r="X42" i="30" s="1"/>
  <c r="X27" i="29"/>
  <c r="X55" i="29"/>
  <c r="X54" i="29"/>
  <c r="R20" i="50"/>
  <c r="R18" i="50"/>
  <c r="R19" i="50"/>
  <c r="Q19" i="50"/>
  <c r="Q20" i="50"/>
  <c r="Q18" i="50"/>
  <c r="W11" i="30"/>
  <c r="BN20" i="31"/>
  <c r="BN36" i="31"/>
  <c r="W36" i="31"/>
  <c r="W20" i="31"/>
  <c r="BK10" i="30"/>
  <c r="H10" i="30"/>
  <c r="O10" i="30"/>
  <c r="M10" i="30"/>
  <c r="J10" i="30"/>
  <c r="J11" i="30"/>
  <c r="G10" i="30"/>
  <c r="K10" i="30"/>
  <c r="Q11" i="30"/>
  <c r="H11" i="30"/>
  <c r="G11" i="30"/>
  <c r="L11" i="30"/>
  <c r="I11" i="30"/>
  <c r="K11" i="30"/>
  <c r="N11" i="30"/>
  <c r="O11" i="30"/>
  <c r="Q10" i="30"/>
  <c r="N10" i="30"/>
  <c r="I10" i="30"/>
  <c r="M11" i="30"/>
  <c r="F11" i="30"/>
  <c r="L10" i="30"/>
  <c r="F10" i="30"/>
  <c r="R10" i="30"/>
  <c r="R11" i="30"/>
  <c r="S10" i="30"/>
  <c r="S11" i="30"/>
  <c r="T10" i="30"/>
  <c r="T11" i="30"/>
  <c r="U10" i="30"/>
  <c r="U11" i="30"/>
  <c r="H10" i="31"/>
  <c r="O10" i="31"/>
  <c r="N11" i="31"/>
  <c r="Q11" i="31"/>
  <c r="M11" i="31"/>
  <c r="M10" i="31"/>
  <c r="G11" i="31"/>
  <c r="K11" i="31"/>
  <c r="N10" i="31"/>
  <c r="F11" i="31"/>
  <c r="J11" i="31"/>
  <c r="Q10" i="31"/>
  <c r="H11" i="31"/>
  <c r="G10" i="31"/>
  <c r="I11" i="31"/>
  <c r="F10" i="31"/>
  <c r="K10" i="31"/>
  <c r="J10" i="31"/>
  <c r="O11" i="31"/>
  <c r="I10" i="31"/>
  <c r="L11" i="31"/>
  <c r="L10" i="31"/>
  <c r="R10" i="31"/>
  <c r="R11" i="31"/>
  <c r="S10" i="31"/>
  <c r="S11" i="31"/>
  <c r="T10" i="31"/>
  <c r="T11" i="31"/>
  <c r="U10" i="31"/>
  <c r="U11" i="31"/>
  <c r="AU10" i="31"/>
  <c r="BC11" i="31"/>
  <c r="BA10" i="31"/>
  <c r="AW11" i="31"/>
  <c r="BA11" i="31"/>
  <c r="AV11" i="31"/>
  <c r="AV10" i="31"/>
  <c r="BC10" i="31"/>
  <c r="BB11" i="31"/>
  <c r="BF10" i="31"/>
  <c r="AZ11" i="31"/>
  <c r="BB10" i="31"/>
  <c r="BD11" i="31"/>
  <c r="BF11" i="31"/>
  <c r="AX10" i="31"/>
  <c r="BD10" i="31"/>
  <c r="AX11" i="31"/>
  <c r="AW10" i="31"/>
  <c r="AZ10" i="31"/>
  <c r="AY11" i="31"/>
  <c r="AY10" i="31"/>
  <c r="AU11" i="31"/>
  <c r="BG10" i="31"/>
  <c r="BG11" i="31"/>
  <c r="BH10" i="31"/>
  <c r="BH11" i="31"/>
  <c r="BI11" i="31"/>
  <c r="BI10" i="31"/>
  <c r="BJ11" i="31"/>
  <c r="BA11" i="30"/>
  <c r="BC11" i="30"/>
  <c r="AU10" i="30"/>
  <c r="BA10" i="30"/>
  <c r="AU11" i="30"/>
  <c r="BC10" i="30"/>
  <c r="BD11" i="30"/>
  <c r="AX11" i="30"/>
  <c r="BF11" i="30"/>
  <c r="AY11" i="30"/>
  <c r="AV10" i="30"/>
  <c r="AX10" i="30"/>
  <c r="BB11" i="30"/>
  <c r="BD10" i="30"/>
  <c r="AV11" i="30"/>
  <c r="BB10" i="30"/>
  <c r="AW11" i="30"/>
  <c r="BF10" i="30"/>
  <c r="AZ10" i="30"/>
  <c r="AW10" i="30"/>
  <c r="AY10" i="30"/>
  <c r="AZ11" i="30"/>
  <c r="BG10" i="30"/>
  <c r="BG11" i="30"/>
  <c r="BH11" i="30"/>
  <c r="BH10" i="30"/>
  <c r="BI10" i="30"/>
  <c r="BI11" i="30"/>
  <c r="BJ11" i="30"/>
  <c r="BK26" i="30"/>
  <c r="BK40" i="30"/>
  <c r="V41" i="30"/>
  <c r="BA26" i="30"/>
  <c r="AW26" i="30"/>
  <c r="AX26" i="30"/>
  <c r="BC26" i="30"/>
  <c r="BF26" i="30"/>
  <c r="AZ26" i="30"/>
  <c r="BB26" i="30"/>
  <c r="AV26" i="30"/>
  <c r="BD26" i="30"/>
  <c r="AY26" i="30"/>
  <c r="AU26" i="30"/>
  <c r="BG26" i="30"/>
  <c r="BH26" i="30"/>
  <c r="BI26" i="30"/>
  <c r="G26" i="30"/>
  <c r="J26" i="30"/>
  <c r="N26" i="30"/>
  <c r="K26" i="30"/>
  <c r="M26" i="30"/>
  <c r="Q26" i="30"/>
  <c r="L26" i="30"/>
  <c r="I26" i="30"/>
  <c r="O26" i="30"/>
  <c r="F26" i="30"/>
  <c r="H26" i="30"/>
  <c r="R26" i="30"/>
  <c r="S26" i="30"/>
  <c r="T26" i="30"/>
  <c r="U26" i="30"/>
  <c r="BJ26" i="30"/>
  <c r="BK38" i="30"/>
  <c r="BK31" i="30"/>
  <c r="L13" i="31"/>
  <c r="M13" i="31"/>
  <c r="K13" i="31"/>
  <c r="Q13" i="31"/>
  <c r="J13" i="31"/>
  <c r="O13" i="31"/>
  <c r="H13" i="31"/>
  <c r="G13" i="31"/>
  <c r="I13" i="31"/>
  <c r="F13" i="31"/>
  <c r="N13" i="31"/>
  <c r="R13" i="31"/>
  <c r="S13" i="31"/>
  <c r="T13" i="31"/>
  <c r="U13" i="31"/>
  <c r="V40" i="31"/>
  <c r="BJ26" i="31"/>
  <c r="BF13" i="31"/>
  <c r="BA13" i="31"/>
  <c r="AW13" i="31"/>
  <c r="BC13" i="31"/>
  <c r="AX13" i="31"/>
  <c r="AZ13" i="31"/>
  <c r="AU13" i="31"/>
  <c r="BB13" i="31"/>
  <c r="AY13" i="31"/>
  <c r="BD13" i="31"/>
  <c r="AV13" i="31"/>
  <c r="BG13" i="31"/>
  <c r="BH13" i="31"/>
  <c r="BI13" i="31"/>
  <c r="BK41" i="30"/>
  <c r="BF13" i="30"/>
  <c r="BA13" i="30"/>
  <c r="AW13" i="30"/>
  <c r="BC13" i="30"/>
  <c r="AX13" i="30"/>
  <c r="AZ13" i="30"/>
  <c r="AU13" i="30"/>
  <c r="BB13" i="30"/>
  <c r="AY13" i="30"/>
  <c r="BD13" i="30"/>
  <c r="AV13" i="30"/>
  <c r="BG13" i="30"/>
  <c r="BH13" i="30"/>
  <c r="BI13" i="30"/>
  <c r="V13" i="31"/>
  <c r="V38" i="30"/>
  <c r="M13" i="30"/>
  <c r="K13" i="30"/>
  <c r="Q13" i="30"/>
  <c r="J13" i="30"/>
  <c r="O13" i="30"/>
  <c r="H13" i="30"/>
  <c r="G13" i="30"/>
  <c r="I13" i="30"/>
  <c r="F13" i="30"/>
  <c r="N13" i="30"/>
  <c r="L13" i="30"/>
  <c r="R13" i="30"/>
  <c r="S13" i="30"/>
  <c r="T13" i="30"/>
  <c r="U13" i="30"/>
  <c r="V13" i="30"/>
  <c r="BJ13" i="31"/>
  <c r="BJ13" i="30"/>
  <c r="BK13" i="30"/>
  <c r="BK13" i="31"/>
  <c r="W13" i="30"/>
  <c r="W13" i="31"/>
  <c r="BJ31" i="31"/>
  <c r="AW41" i="30"/>
  <c r="BA40" i="30"/>
  <c r="BA38" i="30"/>
  <c r="BD40" i="30"/>
  <c r="BA41" i="30"/>
  <c r="AU38" i="30"/>
  <c r="AX41" i="30"/>
  <c r="AU40" i="30"/>
  <c r="AX40" i="30"/>
  <c r="AZ38" i="30"/>
  <c r="AV41" i="30"/>
  <c r="BB41" i="30"/>
  <c r="BF40" i="30"/>
  <c r="BB38" i="30"/>
  <c r="AV38" i="30"/>
  <c r="AZ40" i="30"/>
  <c r="BB40" i="30"/>
  <c r="AY40" i="30"/>
  <c r="BC41" i="30"/>
  <c r="BF38" i="30"/>
  <c r="AY38" i="30"/>
  <c r="AW40" i="30"/>
  <c r="AZ41" i="30"/>
  <c r="BD38" i="30"/>
  <c r="AW38" i="30"/>
  <c r="BC38" i="30"/>
  <c r="BC40" i="30"/>
  <c r="AU41" i="30"/>
  <c r="AY41" i="30"/>
  <c r="AX38" i="30"/>
  <c r="BD41" i="30"/>
  <c r="AV40" i="30"/>
  <c r="BF41" i="30"/>
  <c r="BG41" i="30"/>
  <c r="BG38" i="30"/>
  <c r="BG40" i="30"/>
  <c r="BH40" i="30"/>
  <c r="BH41" i="30"/>
  <c r="BH38" i="30"/>
  <c r="BI38" i="30"/>
  <c r="BI41" i="30"/>
  <c r="BI40" i="30"/>
  <c r="BJ40" i="30"/>
  <c r="BJ38" i="31"/>
  <c r="BJ40" i="31"/>
  <c r="BJ38" i="30"/>
  <c r="BJ41" i="30"/>
  <c r="G38" i="30"/>
  <c r="O41" i="30"/>
  <c r="F40" i="30"/>
  <c r="G40" i="30"/>
  <c r="J38" i="30"/>
  <c r="H41" i="30"/>
  <c r="M41" i="30"/>
  <c r="K41" i="30"/>
  <c r="N38" i="30"/>
  <c r="Q38" i="30"/>
  <c r="O40" i="30"/>
  <c r="F38" i="30"/>
  <c r="I40" i="30"/>
  <c r="M38" i="30"/>
  <c r="H38" i="30"/>
  <c r="K38" i="30"/>
  <c r="F41" i="30"/>
  <c r="I38" i="30"/>
  <c r="N41" i="30"/>
  <c r="M40" i="30"/>
  <c r="Q41" i="30"/>
  <c r="I41" i="30"/>
  <c r="Q40" i="30"/>
  <c r="L40" i="30"/>
  <c r="K40" i="30"/>
  <c r="G41" i="30"/>
  <c r="L38" i="30"/>
  <c r="J40" i="30"/>
  <c r="O38" i="30"/>
  <c r="H40" i="30"/>
  <c r="L41" i="30"/>
  <c r="N40" i="30"/>
  <c r="J41" i="30"/>
  <c r="R41" i="30"/>
  <c r="R38" i="30"/>
  <c r="R40" i="30"/>
  <c r="S40" i="30"/>
  <c r="S38" i="30"/>
  <c r="S41" i="30"/>
  <c r="T38" i="30"/>
  <c r="T40" i="30"/>
  <c r="T41" i="30"/>
  <c r="U38" i="30"/>
  <c r="U40" i="30"/>
  <c r="U41" i="30"/>
  <c r="W39" i="30"/>
  <c r="W41" i="30"/>
  <c r="W40" i="30"/>
  <c r="W38" i="30"/>
  <c r="W43" i="30"/>
  <c r="W42" i="30"/>
  <c r="BK43" i="30"/>
  <c r="W36" i="30"/>
  <c r="W20" i="30"/>
  <c r="BL36" i="30"/>
  <c r="BL20" i="30"/>
  <c r="M26" i="31"/>
  <c r="F41" i="31"/>
  <c r="L38" i="31"/>
  <c r="L40" i="31"/>
  <c r="G40" i="31"/>
  <c r="O40" i="31"/>
  <c r="J41" i="31"/>
  <c r="M38" i="31"/>
  <c r="K40" i="31"/>
  <c r="I40" i="31"/>
  <c r="G26" i="31"/>
  <c r="N26" i="31"/>
  <c r="O26" i="31"/>
  <c r="F38" i="31"/>
  <c r="G41" i="31"/>
  <c r="Q40" i="31"/>
  <c r="F26" i="31"/>
  <c r="M41" i="31"/>
  <c r="Q41" i="31"/>
  <c r="M40" i="31"/>
  <c r="I41" i="31"/>
  <c r="G38" i="31"/>
  <c r="H41" i="31"/>
  <c r="I38" i="31"/>
  <c r="O41" i="31"/>
  <c r="J40" i="31"/>
  <c r="J26" i="31"/>
  <c r="H26" i="31"/>
  <c r="J38" i="31"/>
  <c r="F40" i="31"/>
  <c r="I26" i="31"/>
  <c r="L26" i="31"/>
  <c r="K41" i="31"/>
  <c r="K26" i="31"/>
  <c r="H38" i="31"/>
  <c r="Q38" i="31"/>
  <c r="N38" i="31"/>
  <c r="Q26" i="31"/>
  <c r="H40" i="31"/>
  <c r="N41" i="31"/>
  <c r="K38" i="31"/>
  <c r="N40" i="31"/>
  <c r="O38" i="31"/>
  <c r="L41" i="31"/>
  <c r="R40" i="31"/>
  <c r="R26" i="31"/>
  <c r="R38" i="31"/>
  <c r="R41" i="31"/>
  <c r="S41" i="31"/>
  <c r="S26" i="31"/>
  <c r="S40" i="31"/>
  <c r="S38" i="31"/>
  <c r="T41" i="31"/>
  <c r="T38" i="31"/>
  <c r="T40" i="31"/>
  <c r="T26" i="31"/>
  <c r="U41" i="31"/>
  <c r="U40" i="31"/>
  <c r="U26" i="31"/>
  <c r="U38" i="31"/>
  <c r="V38" i="31"/>
  <c r="AV31" i="30"/>
  <c r="BD31" i="30"/>
  <c r="AZ31" i="30"/>
  <c r="AW31" i="30"/>
  <c r="BA31" i="30"/>
  <c r="AX31" i="30"/>
  <c r="BC31" i="30"/>
  <c r="BB31" i="30"/>
  <c r="BF31" i="30"/>
  <c r="AY31" i="30"/>
  <c r="AU31" i="30"/>
  <c r="BG31" i="30"/>
  <c r="BH31" i="30"/>
  <c r="BI31" i="30"/>
  <c r="V41" i="31"/>
  <c r="BJ31" i="30"/>
  <c r="AW41" i="31"/>
  <c r="BD40" i="31"/>
  <c r="BA31" i="31"/>
  <c r="BC26" i="31"/>
  <c r="BA26" i="31"/>
  <c r="BA38" i="31"/>
  <c r="AU41" i="31"/>
  <c r="AY41" i="31"/>
  <c r="AV31" i="31"/>
  <c r="AX38" i="31"/>
  <c r="AX26" i="31"/>
  <c r="BD31" i="31"/>
  <c r="AW38" i="31"/>
  <c r="AZ26" i="31"/>
  <c r="AV38" i="31"/>
  <c r="AY26" i="31"/>
  <c r="AX40" i="31"/>
  <c r="BD41" i="31"/>
  <c r="BB41" i="31"/>
  <c r="AY38" i="31"/>
  <c r="AV40" i="31"/>
  <c r="AX41" i="31"/>
  <c r="AU40" i="31"/>
  <c r="AV26" i="31"/>
  <c r="BF41" i="31"/>
  <c r="AZ38" i="31"/>
  <c r="AU26" i="31"/>
  <c r="BA40" i="31"/>
  <c r="BA41" i="31"/>
  <c r="AX31" i="31"/>
  <c r="BC31" i="31"/>
  <c r="BF26" i="31"/>
  <c r="AY40" i="31"/>
  <c r="BC41" i="31"/>
  <c r="AU38" i="31"/>
  <c r="BD38" i="31"/>
  <c r="BC40" i="31"/>
  <c r="BF40" i="31"/>
  <c r="AV41" i="31"/>
  <c r="BB31" i="31"/>
  <c r="AW40" i="31"/>
  <c r="AY31" i="31"/>
  <c r="AW31" i="31"/>
  <c r="AZ41" i="31"/>
  <c r="BB26" i="31"/>
  <c r="BB38" i="31"/>
  <c r="AZ40" i="31"/>
  <c r="BF38" i="31"/>
  <c r="AZ31" i="31"/>
  <c r="BF31" i="31"/>
  <c r="BB40" i="31"/>
  <c r="AU31" i="31"/>
  <c r="BC38" i="31"/>
  <c r="AW26" i="31"/>
  <c r="BD26" i="31"/>
  <c r="BG40" i="31"/>
  <c r="BG38" i="31"/>
  <c r="BG31" i="31"/>
  <c r="BG26" i="31"/>
  <c r="BG41" i="31"/>
  <c r="BH31" i="31"/>
  <c r="BH40" i="31"/>
  <c r="BH38" i="31"/>
  <c r="BH41" i="31"/>
  <c r="BH26" i="31"/>
  <c r="BI38" i="31"/>
  <c r="BI41" i="31"/>
  <c r="BI31" i="31"/>
  <c r="BI40" i="31"/>
  <c r="BI26" i="31"/>
  <c r="BJ41" i="31"/>
  <c r="BL55" i="30"/>
  <c r="BK10" i="31"/>
  <c r="BK42" i="31"/>
  <c r="W11" i="31"/>
  <c r="BK23" i="31"/>
  <c r="BK24" i="31"/>
  <c r="W12" i="31"/>
  <c r="BK38" i="31"/>
  <c r="BK29" i="31"/>
  <c r="BK22" i="31"/>
  <c r="BK11" i="31"/>
  <c r="BK40" i="31"/>
  <c r="BK31" i="31"/>
  <c r="BK41" i="31"/>
  <c r="BK26" i="31"/>
  <c r="BK12" i="31"/>
  <c r="BK43" i="31"/>
  <c r="W40" i="31"/>
  <c r="BL55" i="31"/>
  <c r="W43" i="31"/>
  <c r="W38" i="31"/>
  <c r="W42" i="31"/>
  <c r="W41" i="31"/>
  <c r="Z6" i="30"/>
  <c r="Z56" i="30"/>
  <c r="BO56" i="30" s="1"/>
  <c r="Z6" i="31"/>
  <c r="Z56" i="31"/>
  <c r="BL11" i="29"/>
  <c r="BL11" i="30" s="1"/>
  <c r="BL15" i="29"/>
  <c r="BL15" i="31" s="1"/>
  <c r="BL54" i="29"/>
  <c r="BL57" i="29"/>
  <c r="BL55" i="29"/>
  <c r="BL12" i="29"/>
  <c r="BL12" i="30" s="1"/>
  <c r="BL56" i="29"/>
  <c r="BL53" i="29"/>
  <c r="BL23" i="29"/>
  <c r="BL23" i="30" s="1"/>
  <c r="BL39" i="29"/>
  <c r="BL38" i="29"/>
  <c r="BL22" i="29"/>
  <c r="BL22" i="30" s="1"/>
  <c r="BL37" i="29"/>
  <c r="BL10" i="29"/>
  <c r="BL10" i="30" s="1"/>
  <c r="BL29" i="29"/>
  <c r="BL29" i="30" s="1"/>
  <c r="BL44" i="29"/>
  <c r="BL24" i="29"/>
  <c r="BL24" i="30" s="1"/>
  <c r="Y64" i="29"/>
  <c r="Y62" i="29"/>
  <c r="Y63" i="29"/>
  <c r="Z6" i="29"/>
  <c r="BO6" i="29" s="1"/>
  <c r="X55" i="31"/>
  <c r="X55" i="30"/>
  <c r="BM55" i="30" s="1"/>
  <c r="BM64" i="29"/>
  <c r="BM62" i="29"/>
  <c r="BM63" i="29"/>
  <c r="C143" i="12"/>
  <c r="G142" i="12"/>
  <c r="H142" i="12"/>
  <c r="C175" i="12"/>
  <c r="G174" i="12"/>
  <c r="H174" i="12"/>
  <c r="C76" i="12"/>
  <c r="G75" i="12"/>
  <c r="C110" i="12"/>
  <c r="G109" i="12"/>
  <c r="H109" i="12"/>
  <c r="C208" i="12"/>
  <c r="G207" i="12"/>
  <c r="H207" i="12"/>
  <c r="C43" i="12"/>
  <c r="G42" i="12"/>
  <c r="H42" i="12"/>
  <c r="O121" i="15"/>
  <c r="BM35" i="29"/>
  <c r="BN8" i="29"/>
  <c r="BM50" i="29"/>
  <c r="BM20" i="29"/>
  <c r="X8" i="30"/>
  <c r="BO8" i="31"/>
  <c r="BM8" i="30"/>
  <c r="X8" i="31"/>
  <c r="BL30" i="31" l="1"/>
  <c r="BL16" i="31"/>
  <c r="BL16" i="30"/>
  <c r="BL30" i="30"/>
  <c r="W27" i="30"/>
  <c r="BI27" i="30"/>
  <c r="R27" i="30"/>
  <c r="BB27" i="30"/>
  <c r="D122" i="15"/>
  <c r="AV28" i="30" s="1"/>
  <c r="BA27" i="30"/>
  <c r="BJ27" i="30"/>
  <c r="AU27" i="30"/>
  <c r="N27" i="30"/>
  <c r="BD27" i="30"/>
  <c r="X42" i="31"/>
  <c r="X43" i="31"/>
  <c r="BG27" i="30"/>
  <c r="G27" i="30"/>
  <c r="AG27" i="30"/>
  <c r="BK27" i="30"/>
  <c r="AV27" i="30"/>
  <c r="BH27" i="30"/>
  <c r="S27" i="30"/>
  <c r="I27" i="30"/>
  <c r="U27" i="30"/>
  <c r="Q27" i="30"/>
  <c r="BC27" i="30"/>
  <c r="AZ27" i="30"/>
  <c r="L27" i="30"/>
  <c r="J27" i="30"/>
  <c r="AY27" i="30"/>
  <c r="H27" i="30"/>
  <c r="V27" i="30"/>
  <c r="BF27" i="30"/>
  <c r="K27" i="30"/>
  <c r="M27" i="30"/>
  <c r="AW27" i="30"/>
  <c r="T27" i="30"/>
  <c r="F27" i="30"/>
  <c r="AX27" i="30"/>
  <c r="BL27" i="30"/>
  <c r="BM52" i="29"/>
  <c r="BM38" i="30" s="1"/>
  <c r="BM14" i="29"/>
  <c r="BM13" i="29"/>
  <c r="BM41" i="29"/>
  <c r="BM31" i="29"/>
  <c r="BM46" i="29"/>
  <c r="BM31" i="30" s="1"/>
  <c r="BM30" i="29"/>
  <c r="BM26" i="29"/>
  <c r="BM26" i="30" s="1"/>
  <c r="BM16" i="29"/>
  <c r="BM16" i="31" s="1"/>
  <c r="BM45" i="29"/>
  <c r="X20" i="31"/>
  <c r="X36" i="31"/>
  <c r="BL15" i="30"/>
  <c r="AR14" i="29"/>
  <c r="AR12" i="29"/>
  <c r="AR55" i="30"/>
  <c r="AR55" i="31"/>
  <c r="AR42" i="29"/>
  <c r="AR27" i="30" s="1"/>
  <c r="AR13" i="29"/>
  <c r="AR15" i="29"/>
  <c r="AR43" i="29"/>
  <c r="AR52" i="29"/>
  <c r="AR53" i="29"/>
  <c r="AR39" i="30" s="1"/>
  <c r="AR54" i="29"/>
  <c r="AR55" i="29"/>
  <c r="AR27" i="29"/>
  <c r="AR28" i="29"/>
  <c r="AR56" i="29"/>
  <c r="AR57" i="29"/>
  <c r="AR11" i="29"/>
  <c r="BO20" i="31"/>
  <c r="BO36" i="31"/>
  <c r="N18" i="30"/>
  <c r="BC18" i="31"/>
  <c r="V45" i="30"/>
  <c r="K18" i="31"/>
  <c r="BF18" i="30"/>
  <c r="R18" i="30"/>
  <c r="AW18" i="30"/>
  <c r="AW18" i="31"/>
  <c r="Q18" i="31"/>
  <c r="BF18" i="31"/>
  <c r="O18" i="31"/>
  <c r="Q18" i="30"/>
  <c r="N18" i="31"/>
  <c r="BJ18" i="31"/>
  <c r="U18" i="30"/>
  <c r="AZ18" i="31"/>
  <c r="H18" i="31"/>
  <c r="S18" i="30"/>
  <c r="BC18" i="30"/>
  <c r="J18" i="31"/>
  <c r="G18" i="30"/>
  <c r="BH18" i="30"/>
  <c r="U18" i="31"/>
  <c r="J18" i="30"/>
  <c r="BB18" i="30"/>
  <c r="BB18" i="31"/>
  <c r="AZ18" i="30"/>
  <c r="AX18" i="30"/>
  <c r="L18" i="31"/>
  <c r="BH18" i="31"/>
  <c r="H18" i="30"/>
  <c r="S18" i="31"/>
  <c r="AY18" i="31"/>
  <c r="K18" i="30"/>
  <c r="I18" i="31"/>
  <c r="I18" i="30"/>
  <c r="BI18" i="30"/>
  <c r="BI18" i="31"/>
  <c r="BD18" i="31"/>
  <c r="M18" i="30"/>
  <c r="L18" i="30"/>
  <c r="F18" i="31"/>
  <c r="BK18" i="30"/>
  <c r="O18" i="30"/>
  <c r="AV18" i="30"/>
  <c r="AV18" i="31"/>
  <c r="BD18" i="30"/>
  <c r="R18" i="31"/>
  <c r="BJ18" i="30"/>
  <c r="AY18" i="30"/>
  <c r="AU18" i="30"/>
  <c r="AU18" i="31"/>
  <c r="G18" i="31"/>
  <c r="T18" i="30"/>
  <c r="AX18" i="31"/>
  <c r="BA18" i="30"/>
  <c r="BA18" i="31"/>
  <c r="F18" i="30"/>
  <c r="M18" i="31"/>
  <c r="BG18" i="30"/>
  <c r="BG18" i="31"/>
  <c r="T18" i="31"/>
  <c r="R45" i="30"/>
  <c r="K45" i="30"/>
  <c r="N45" i="30"/>
  <c r="M45" i="30"/>
  <c r="BL13" i="30"/>
  <c r="BL13" i="31"/>
  <c r="G45" i="30"/>
  <c r="L45" i="30"/>
  <c r="T45" i="30"/>
  <c r="F45" i="30"/>
  <c r="S45" i="30"/>
  <c r="Q45" i="30"/>
  <c r="I45" i="30"/>
  <c r="J45" i="30"/>
  <c r="O45" i="30"/>
  <c r="H45" i="30"/>
  <c r="U45" i="30"/>
  <c r="BJ45" i="31"/>
  <c r="W45" i="30"/>
  <c r="BL39" i="30"/>
  <c r="BL43" i="30"/>
  <c r="BL41" i="30"/>
  <c r="BL40" i="30"/>
  <c r="BL38" i="30"/>
  <c r="BL42" i="30"/>
  <c r="X20" i="30"/>
  <c r="X36" i="30"/>
  <c r="BM36" i="30"/>
  <c r="BM20" i="30"/>
  <c r="U45" i="31"/>
  <c r="BK45" i="30"/>
  <c r="N45" i="31"/>
  <c r="G45" i="31"/>
  <c r="BB45" i="31"/>
  <c r="V45" i="31"/>
  <c r="K45" i="31"/>
  <c r="BJ45" i="30"/>
  <c r="BC45" i="31"/>
  <c r="BI45" i="31"/>
  <c r="BD45" i="31"/>
  <c r="AZ45" i="30"/>
  <c r="I45" i="31"/>
  <c r="AU45" i="30"/>
  <c r="T45" i="31"/>
  <c r="AU45" i="31"/>
  <c r="BA45" i="31"/>
  <c r="M45" i="31"/>
  <c r="S45" i="31"/>
  <c r="BH45" i="31"/>
  <c r="AY45" i="31"/>
  <c r="BF45" i="30"/>
  <c r="BA45" i="30"/>
  <c r="Q45" i="31"/>
  <c r="BF45" i="31"/>
  <c r="BD45" i="30"/>
  <c r="AW45" i="30"/>
  <c r="H45" i="31"/>
  <c r="BB45" i="30"/>
  <c r="L45" i="31"/>
  <c r="BG45" i="30"/>
  <c r="AV45" i="30"/>
  <c r="R45" i="31"/>
  <c r="AV45" i="31"/>
  <c r="BG45" i="31"/>
  <c r="BH45" i="30"/>
  <c r="AX45" i="30"/>
  <c r="AZ45" i="31"/>
  <c r="AW45" i="31"/>
  <c r="J45" i="31"/>
  <c r="BI45" i="30"/>
  <c r="O45" i="31"/>
  <c r="BC45" i="30"/>
  <c r="AX45" i="31"/>
  <c r="AY45" i="30"/>
  <c r="BL29" i="31"/>
  <c r="BL31" i="31"/>
  <c r="BL42" i="31"/>
  <c r="BL12" i="31"/>
  <c r="BL38" i="31"/>
  <c r="BL41" i="31"/>
  <c r="BL10" i="31"/>
  <c r="BL40" i="31"/>
  <c r="BL22" i="31"/>
  <c r="BL23" i="31"/>
  <c r="BK27" i="31"/>
  <c r="BL11" i="31"/>
  <c r="BL26" i="31"/>
  <c r="BL24" i="31"/>
  <c r="BK18" i="31"/>
  <c r="BL27" i="31"/>
  <c r="W27" i="31"/>
  <c r="AZ27" i="31"/>
  <c r="AV27" i="31"/>
  <c r="BB27" i="31"/>
  <c r="AX27" i="31"/>
  <c r="BA27" i="31"/>
  <c r="BF27" i="31"/>
  <c r="BD27" i="31"/>
  <c r="AU27" i="31"/>
  <c r="BC27" i="31"/>
  <c r="AY27" i="31"/>
  <c r="AW27" i="31"/>
  <c r="BG27" i="31"/>
  <c r="BH27" i="31"/>
  <c r="BI27" i="31"/>
  <c r="BJ27" i="31"/>
  <c r="BK45" i="31"/>
  <c r="BL43" i="31"/>
  <c r="W45" i="31"/>
  <c r="AG27" i="31"/>
  <c r="H27" i="31"/>
  <c r="M27" i="31"/>
  <c r="Q27" i="31"/>
  <c r="I27" i="31"/>
  <c r="N27" i="31"/>
  <c r="J27" i="31"/>
  <c r="O27" i="31"/>
  <c r="K27" i="31"/>
  <c r="L27" i="31"/>
  <c r="G27" i="31"/>
  <c r="R27" i="31"/>
  <c r="S27" i="31"/>
  <c r="T27" i="31"/>
  <c r="U27" i="31"/>
  <c r="V27" i="31"/>
  <c r="O122" i="15"/>
  <c r="AA6" i="30"/>
  <c r="AA56" i="30"/>
  <c r="BP56" i="30" s="1"/>
  <c r="AA6" i="31"/>
  <c r="AA56" i="31"/>
  <c r="BN64" i="29"/>
  <c r="BN62" i="29"/>
  <c r="BN63" i="29"/>
  <c r="BM55" i="31"/>
  <c r="BM57" i="29"/>
  <c r="BM55" i="29"/>
  <c r="BM41" i="30" s="1"/>
  <c r="BM15" i="29"/>
  <c r="BM15" i="31" s="1"/>
  <c r="BM56" i="29"/>
  <c r="BM42" i="30" s="1"/>
  <c r="BM53" i="29"/>
  <c r="BM39" i="30" s="1"/>
  <c r="BM12" i="29"/>
  <c r="BM12" i="30" s="1"/>
  <c r="BM27" i="30"/>
  <c r="BM11" i="29"/>
  <c r="BM11" i="30" s="1"/>
  <c r="BM54" i="29"/>
  <c r="BM40" i="30" s="1"/>
  <c r="BM23" i="29"/>
  <c r="BM23" i="30" s="1"/>
  <c r="BM38" i="29"/>
  <c r="BM39" i="29"/>
  <c r="BM22" i="29"/>
  <c r="BM22" i="30" s="1"/>
  <c r="BM10" i="29"/>
  <c r="BM10" i="30" s="1"/>
  <c r="BM37" i="29"/>
  <c r="BM29" i="29"/>
  <c r="BM29" i="30" s="1"/>
  <c r="BM44" i="29"/>
  <c r="BM24" i="29"/>
  <c r="BM24" i="30" s="1"/>
  <c r="AA6" i="29"/>
  <c r="BP6" i="29" s="1"/>
  <c r="Y68" i="29"/>
  <c r="Z64" i="29"/>
  <c r="Z63" i="29"/>
  <c r="Z62" i="29"/>
  <c r="C44" i="12"/>
  <c r="G43" i="12"/>
  <c r="H43" i="12"/>
  <c r="C209" i="12"/>
  <c r="G208" i="12"/>
  <c r="H208" i="12"/>
  <c r="C111" i="12"/>
  <c r="G110" i="12"/>
  <c r="H110" i="12"/>
  <c r="C144" i="12"/>
  <c r="G143" i="12"/>
  <c r="H143" i="12"/>
  <c r="C77" i="12"/>
  <c r="G76" i="12"/>
  <c r="C176" i="12"/>
  <c r="G175" i="12"/>
  <c r="H175" i="12"/>
  <c r="F27" i="31"/>
  <c r="F45" i="31"/>
  <c r="Y8" i="31"/>
  <c r="BN8" i="30"/>
  <c r="BP8" i="31"/>
  <c r="Y8" i="30"/>
  <c r="BN20" i="29"/>
  <c r="BO8" i="29"/>
  <c r="BN35" i="29"/>
  <c r="BN50" i="29"/>
  <c r="BM30" i="30" l="1"/>
  <c r="BM30" i="31"/>
  <c r="BM16" i="30"/>
  <c r="H28" i="30"/>
  <c r="H33" i="30" s="1"/>
  <c r="H47" i="30" s="1"/>
  <c r="H52" i="30" s="1"/>
  <c r="BM28" i="30"/>
  <c r="S28" i="30"/>
  <c r="S33" i="30" s="1"/>
  <c r="S47" i="30" s="1"/>
  <c r="S52" i="30" s="1"/>
  <c r="R28" i="30"/>
  <c r="R33" i="30" s="1"/>
  <c r="R47" i="30" s="1"/>
  <c r="R52" i="30" s="1"/>
  <c r="AU28" i="30"/>
  <c r="AU33" i="30" s="1"/>
  <c r="AU47" i="30" s="1"/>
  <c r="AU52" i="30" s="1"/>
  <c r="BB28" i="30"/>
  <c r="BB33" i="30" s="1"/>
  <c r="BB47" i="30" s="1"/>
  <c r="BB52" i="30" s="1"/>
  <c r="AZ28" i="30"/>
  <c r="AZ33" i="30" s="1"/>
  <c r="AZ47" i="30" s="1"/>
  <c r="AZ52" i="30" s="1"/>
  <c r="I28" i="30"/>
  <c r="I33" i="30" s="1"/>
  <c r="I47" i="30" s="1"/>
  <c r="I52" i="30" s="1"/>
  <c r="K28" i="30"/>
  <c r="K33" i="30" s="1"/>
  <c r="K47" i="30" s="1"/>
  <c r="K52" i="30" s="1"/>
  <c r="M28" i="30"/>
  <c r="M33" i="30" s="1"/>
  <c r="M47" i="30" s="1"/>
  <c r="M52" i="30" s="1"/>
  <c r="F28" i="30"/>
  <c r="F33" i="30" s="1"/>
  <c r="F47" i="30" s="1"/>
  <c r="F52" i="30" s="1"/>
  <c r="AG28" i="30"/>
  <c r="BK28" i="30"/>
  <c r="BK33" i="30" s="1"/>
  <c r="BK47" i="30" s="1"/>
  <c r="BK52" i="30" s="1"/>
  <c r="W28" i="30"/>
  <c r="V28" i="30"/>
  <c r="AR28" i="30"/>
  <c r="BJ28" i="30"/>
  <c r="BJ33" i="30" s="1"/>
  <c r="BJ47" i="30" s="1"/>
  <c r="BJ52" i="30" s="1"/>
  <c r="J28" i="30"/>
  <c r="J33" i="30" s="1"/>
  <c r="J47" i="30" s="1"/>
  <c r="J52" i="30" s="1"/>
  <c r="AY28" i="30"/>
  <c r="AY33" i="30" s="1"/>
  <c r="AY47" i="30" s="1"/>
  <c r="AY52" i="30" s="1"/>
  <c r="AX28" i="30"/>
  <c r="AX33" i="30" s="1"/>
  <c r="AX47" i="30" s="1"/>
  <c r="AX52" i="30" s="1"/>
  <c r="BA28" i="30"/>
  <c r="BA33" i="30" s="1"/>
  <c r="BA47" i="30" s="1"/>
  <c r="BA52" i="30" s="1"/>
  <c r="BI28" i="30"/>
  <c r="BI33" i="30" s="1"/>
  <c r="BI47" i="30" s="1"/>
  <c r="BI52" i="30" s="1"/>
  <c r="N28" i="30"/>
  <c r="N33" i="30" s="1"/>
  <c r="N47" i="30" s="1"/>
  <c r="N52" i="30" s="1"/>
  <c r="BH28" i="30"/>
  <c r="BH33" i="30" s="1"/>
  <c r="BH47" i="30" s="1"/>
  <c r="BH52" i="30" s="1"/>
  <c r="L28" i="30"/>
  <c r="L33" i="30" s="1"/>
  <c r="L47" i="30" s="1"/>
  <c r="L52" i="30" s="1"/>
  <c r="BG28" i="30"/>
  <c r="BG33" i="30" s="1"/>
  <c r="BG47" i="30" s="1"/>
  <c r="BG52" i="30" s="1"/>
  <c r="O28" i="30"/>
  <c r="O33" i="30" s="1"/>
  <c r="O47" i="30" s="1"/>
  <c r="O52" i="30" s="1"/>
  <c r="BF28" i="30"/>
  <c r="BF33" i="30" s="1"/>
  <c r="BF47" i="30" s="1"/>
  <c r="BF52" i="30" s="1"/>
  <c r="G28" i="30"/>
  <c r="G33" i="30" s="1"/>
  <c r="G47" i="30" s="1"/>
  <c r="G52" i="30" s="1"/>
  <c r="AW28" i="30"/>
  <c r="AW33" i="30" s="1"/>
  <c r="AW47" i="30" s="1"/>
  <c r="AW52" i="30" s="1"/>
  <c r="Q28" i="30"/>
  <c r="Q33" i="30" s="1"/>
  <c r="Q47" i="30" s="1"/>
  <c r="Q52" i="30" s="1"/>
  <c r="BL28" i="30"/>
  <c r="BL33" i="30" s="1"/>
  <c r="BC28" i="30"/>
  <c r="BC33" i="30" s="1"/>
  <c r="BC47" i="30" s="1"/>
  <c r="BC52" i="30" s="1"/>
  <c r="T28" i="30"/>
  <c r="T33" i="30" s="1"/>
  <c r="T47" i="30" s="1"/>
  <c r="T52" i="30" s="1"/>
  <c r="BD28" i="30"/>
  <c r="BD33" i="30" s="1"/>
  <c r="BD47" i="30" s="1"/>
  <c r="BD52" i="30" s="1"/>
  <c r="U28" i="30"/>
  <c r="U33" i="30" s="1"/>
  <c r="U47" i="30" s="1"/>
  <c r="U52" i="30" s="1"/>
  <c r="AR15" i="30"/>
  <c r="AR15" i="31"/>
  <c r="BM15" i="30"/>
  <c r="AR28" i="31"/>
  <c r="AR43" i="31"/>
  <c r="AR43" i="30"/>
  <c r="AR42" i="30"/>
  <c r="AR42" i="31"/>
  <c r="AR41" i="30"/>
  <c r="AR41" i="31"/>
  <c r="AR40" i="30"/>
  <c r="AR40" i="31"/>
  <c r="AR38" i="30"/>
  <c r="AR38" i="31"/>
  <c r="AR13" i="30"/>
  <c r="AR13" i="31"/>
  <c r="AR11" i="30"/>
  <c r="AR11" i="31"/>
  <c r="AR12" i="30"/>
  <c r="AR12" i="31"/>
  <c r="AR27" i="31"/>
  <c r="Z68" i="29"/>
  <c r="BP20" i="31"/>
  <c r="BP36" i="31"/>
  <c r="Y20" i="31"/>
  <c r="Y36" i="31"/>
  <c r="BL18" i="30"/>
  <c r="BM13" i="30"/>
  <c r="BM13" i="31"/>
  <c r="BL45" i="30"/>
  <c r="BM43" i="30"/>
  <c r="BM45" i="30" s="1"/>
  <c r="Y20" i="30"/>
  <c r="Y36" i="30"/>
  <c r="BN36" i="30"/>
  <c r="BN20" i="30"/>
  <c r="AV33" i="30"/>
  <c r="AV47" i="30" s="1"/>
  <c r="AV52" i="30" s="1"/>
  <c r="BM42" i="31"/>
  <c r="BL28" i="31"/>
  <c r="BL34" i="31" s="1"/>
  <c r="BM24" i="31"/>
  <c r="BM41" i="31"/>
  <c r="BM23" i="31"/>
  <c r="BM38" i="31"/>
  <c r="BM22" i="31"/>
  <c r="BM12" i="31"/>
  <c r="BM26" i="31"/>
  <c r="BL18" i="31"/>
  <c r="BM40" i="31"/>
  <c r="BM29" i="31"/>
  <c r="BM31" i="31"/>
  <c r="BM11" i="31"/>
  <c r="BM27" i="31"/>
  <c r="BM10" i="31"/>
  <c r="BL45" i="31"/>
  <c r="BM43" i="31"/>
  <c r="AU28" i="31"/>
  <c r="AW28" i="31"/>
  <c r="AW34" i="31" s="1"/>
  <c r="AW47" i="31" s="1"/>
  <c r="AW52" i="31" s="1"/>
  <c r="AV28" i="31"/>
  <c r="AV34" i="31" s="1"/>
  <c r="AV47" i="31" s="1"/>
  <c r="AV52" i="31" s="1"/>
  <c r="AY28" i="31"/>
  <c r="AY34" i="31" s="1"/>
  <c r="AY47" i="31" s="1"/>
  <c r="AY52" i="31" s="1"/>
  <c r="AZ28" i="31"/>
  <c r="AZ34" i="31" s="1"/>
  <c r="AZ47" i="31" s="1"/>
  <c r="AZ52" i="31" s="1"/>
  <c r="BA28" i="31"/>
  <c r="BA34" i="31" s="1"/>
  <c r="BA47" i="31" s="1"/>
  <c r="BA52" i="31" s="1"/>
  <c r="BC28" i="31"/>
  <c r="BC34" i="31" s="1"/>
  <c r="BC47" i="31" s="1"/>
  <c r="BC52" i="31" s="1"/>
  <c r="BD28" i="31"/>
  <c r="BD34" i="31" s="1"/>
  <c r="BD47" i="31" s="1"/>
  <c r="BD52" i="31" s="1"/>
  <c r="BF28" i="31"/>
  <c r="BF34" i="31" s="1"/>
  <c r="BF47" i="31" s="1"/>
  <c r="BF52" i="31" s="1"/>
  <c r="AX28" i="31"/>
  <c r="AX34" i="31" s="1"/>
  <c r="AX47" i="31" s="1"/>
  <c r="AX52" i="31" s="1"/>
  <c r="BB28" i="31"/>
  <c r="BB34" i="31" s="1"/>
  <c r="BB47" i="31" s="1"/>
  <c r="BB52" i="31" s="1"/>
  <c r="BG28" i="31"/>
  <c r="BG34" i="31" s="1"/>
  <c r="BG47" i="31" s="1"/>
  <c r="BG52" i="31" s="1"/>
  <c r="BH28" i="31"/>
  <c r="BH34" i="31" s="1"/>
  <c r="BH47" i="31" s="1"/>
  <c r="BH52" i="31" s="1"/>
  <c r="BI28" i="31"/>
  <c r="BI34" i="31" s="1"/>
  <c r="BI47" i="31" s="1"/>
  <c r="BI52" i="31" s="1"/>
  <c r="BJ28" i="31"/>
  <c r="BJ34" i="31" s="1"/>
  <c r="BJ47" i="31" s="1"/>
  <c r="BJ52" i="31" s="1"/>
  <c r="BK28" i="31"/>
  <c r="BK34" i="31" s="1"/>
  <c r="BK47" i="31" s="1"/>
  <c r="BK52" i="31" s="1"/>
  <c r="BM28" i="31"/>
  <c r="AG28" i="31"/>
  <c r="O28" i="31"/>
  <c r="O34" i="31" s="1"/>
  <c r="O47" i="31" s="1"/>
  <c r="O52" i="31" s="1"/>
  <c r="L28" i="31"/>
  <c r="L34" i="31" s="1"/>
  <c r="L47" i="31" s="1"/>
  <c r="L52" i="31" s="1"/>
  <c r="K28" i="31"/>
  <c r="K34" i="31" s="1"/>
  <c r="K47" i="31" s="1"/>
  <c r="K52" i="31" s="1"/>
  <c r="J28" i="31"/>
  <c r="J34" i="31" s="1"/>
  <c r="J47" i="31" s="1"/>
  <c r="J52" i="31" s="1"/>
  <c r="Q28" i="31"/>
  <c r="Q34" i="31" s="1"/>
  <c r="Q47" i="31" s="1"/>
  <c r="Q52" i="31" s="1"/>
  <c r="N28" i="31"/>
  <c r="N34" i="31" s="1"/>
  <c r="N47" i="31" s="1"/>
  <c r="N52" i="31" s="1"/>
  <c r="I28" i="31"/>
  <c r="I34" i="31" s="1"/>
  <c r="I47" i="31" s="1"/>
  <c r="I52" i="31" s="1"/>
  <c r="M28" i="31"/>
  <c r="M34" i="31" s="1"/>
  <c r="M47" i="31" s="1"/>
  <c r="M52" i="31" s="1"/>
  <c r="G28" i="31"/>
  <c r="G34" i="31" s="1"/>
  <c r="G47" i="31" s="1"/>
  <c r="G52" i="31" s="1"/>
  <c r="H28" i="31"/>
  <c r="H34" i="31" s="1"/>
  <c r="H47" i="31" s="1"/>
  <c r="H52" i="31" s="1"/>
  <c r="R28" i="31"/>
  <c r="R34" i="31" s="1"/>
  <c r="R47" i="31" s="1"/>
  <c r="R52" i="31" s="1"/>
  <c r="S28" i="31"/>
  <c r="S34" i="31" s="1"/>
  <c r="S47" i="31" s="1"/>
  <c r="S52" i="31" s="1"/>
  <c r="T28" i="31"/>
  <c r="T34" i="31" s="1"/>
  <c r="T47" i="31" s="1"/>
  <c r="T52" i="31" s="1"/>
  <c r="U28" i="31"/>
  <c r="U34" i="31" s="1"/>
  <c r="U47" i="31" s="1"/>
  <c r="U52" i="31" s="1"/>
  <c r="V28" i="31"/>
  <c r="W28" i="31"/>
  <c r="F28" i="31"/>
  <c r="F34" i="31" s="1"/>
  <c r="F47" i="31" s="1"/>
  <c r="F52" i="31" s="1"/>
  <c r="AB6" i="30"/>
  <c r="AB56" i="30"/>
  <c r="BQ56" i="30" s="1"/>
  <c r="AB6" i="31"/>
  <c r="AB56" i="31"/>
  <c r="BO64" i="29"/>
  <c r="BO62" i="29"/>
  <c r="BO63" i="29"/>
  <c r="AA64" i="29"/>
  <c r="AA62" i="29"/>
  <c r="AA63" i="29"/>
  <c r="Y13" i="29"/>
  <c r="Y55" i="30"/>
  <c r="Y43" i="29"/>
  <c r="Y28" i="30" s="1"/>
  <c r="Y57" i="29"/>
  <c r="Y15" i="29"/>
  <c r="Y42" i="29"/>
  <c r="Y27" i="30" s="1"/>
  <c r="Y14" i="29"/>
  <c r="Y28" i="29"/>
  <c r="Y55" i="29"/>
  <c r="Y41" i="30" s="1"/>
  <c r="Y52" i="29"/>
  <c r="Y38" i="30" s="1"/>
  <c r="Y55" i="31"/>
  <c r="Y11" i="29"/>
  <c r="Y11" i="30" s="1"/>
  <c r="Y12" i="29"/>
  <c r="Y12" i="30" s="1"/>
  <c r="Y56" i="29"/>
  <c r="Y42" i="30" s="1"/>
  <c r="Y53" i="29"/>
  <c r="Y39" i="30" s="1"/>
  <c r="Y54" i="29"/>
  <c r="Y40" i="30" s="1"/>
  <c r="BN68" i="29"/>
  <c r="Y27" i="29"/>
  <c r="AB6" i="29"/>
  <c r="BQ6" i="29" s="1"/>
  <c r="C78" i="12"/>
  <c r="G77" i="12"/>
  <c r="C45" i="12"/>
  <c r="G44" i="12"/>
  <c r="H44" i="12"/>
  <c r="C177" i="12"/>
  <c r="G176" i="12"/>
  <c r="H176" i="12"/>
  <c r="C145" i="12"/>
  <c r="G144" i="12"/>
  <c r="H144" i="12"/>
  <c r="C112" i="12"/>
  <c r="G111" i="12"/>
  <c r="H111" i="12"/>
  <c r="C210" i="12"/>
  <c r="G209" i="12"/>
  <c r="H209" i="12"/>
  <c r="BO35" i="29"/>
  <c r="BP8" i="29"/>
  <c r="BO50" i="29"/>
  <c r="BO20" i="29"/>
  <c r="Z8" i="30"/>
  <c r="BQ8" i="31"/>
  <c r="BO8" i="30"/>
  <c r="Z8" i="31"/>
  <c r="BM33" i="30" l="1"/>
  <c r="BN41" i="29"/>
  <c r="BN45" i="29"/>
  <c r="BN52" i="29"/>
  <c r="BN38" i="30" s="1"/>
  <c r="BN31" i="29"/>
  <c r="BN14" i="29"/>
  <c r="BN43" i="29"/>
  <c r="BN28" i="30" s="1"/>
  <c r="BN27" i="29"/>
  <c r="BN28" i="29"/>
  <c r="BN46" i="29"/>
  <c r="BN31" i="30" s="1"/>
  <c r="BN30" i="29"/>
  <c r="BN13" i="29"/>
  <c r="BN42" i="29"/>
  <c r="BN27" i="30" s="1"/>
  <c r="BN26" i="29"/>
  <c r="BN26" i="30" s="1"/>
  <c r="BN16" i="29"/>
  <c r="Z55" i="29"/>
  <c r="Z41" i="30" s="1"/>
  <c r="Y15" i="30"/>
  <c r="Y15" i="31"/>
  <c r="AR45" i="31"/>
  <c r="AR45" i="30"/>
  <c r="Z52" i="29"/>
  <c r="Z38" i="30" s="1"/>
  <c r="Z53" i="29"/>
  <c r="Z39" i="30" s="1"/>
  <c r="Z27" i="29"/>
  <c r="Z42" i="29"/>
  <c r="Z27" i="31" s="1"/>
  <c r="Z14" i="29"/>
  <c r="Z57" i="29"/>
  <c r="Z28" i="29"/>
  <c r="Z11" i="29"/>
  <c r="Z11" i="31" s="1"/>
  <c r="Z15" i="29"/>
  <c r="Z15" i="31" s="1"/>
  <c r="Z55" i="31"/>
  <c r="Z12" i="29"/>
  <c r="Z12" i="31" s="1"/>
  <c r="BO68" i="29"/>
  <c r="Z55" i="30"/>
  <c r="Z56" i="29"/>
  <c r="Z42" i="30" s="1"/>
  <c r="Z43" i="29"/>
  <c r="Z28" i="30" s="1"/>
  <c r="Z13" i="29"/>
  <c r="Z54" i="29"/>
  <c r="Z40" i="30" s="1"/>
  <c r="Z20" i="31"/>
  <c r="Z36" i="31"/>
  <c r="BQ20" i="31"/>
  <c r="BQ36" i="31"/>
  <c r="BM18" i="30"/>
  <c r="Y13" i="30"/>
  <c r="Y13" i="31"/>
  <c r="BL47" i="30"/>
  <c r="BL52" i="30" s="1"/>
  <c r="Y43" i="30"/>
  <c r="Y45" i="30" s="1"/>
  <c r="Z36" i="30"/>
  <c r="Z20" i="30"/>
  <c r="BO36" i="30"/>
  <c r="BO20" i="30"/>
  <c r="AV48" i="30"/>
  <c r="AV50" i="30" s="1"/>
  <c r="AZ48" i="30"/>
  <c r="AZ50" i="30" s="1"/>
  <c r="H48" i="30"/>
  <c r="H50" i="30" s="1"/>
  <c r="U48" i="30"/>
  <c r="U50" i="30" s="1"/>
  <c r="T48" i="30"/>
  <c r="T50" i="30" s="1"/>
  <c r="N48" i="30"/>
  <c r="N50" i="30" s="1"/>
  <c r="R48" i="30"/>
  <c r="R50" i="30" s="1"/>
  <c r="BK48" i="30"/>
  <c r="BK50" i="30" s="1"/>
  <c r="BJ48" i="30"/>
  <c r="BJ50" i="30" s="1"/>
  <c r="J48" i="30"/>
  <c r="J50" i="30" s="1"/>
  <c r="BC48" i="30"/>
  <c r="BC50" i="30" s="1"/>
  <c r="BI48" i="30"/>
  <c r="BI50" i="30" s="1"/>
  <c r="G48" i="30"/>
  <c r="G50" i="30" s="1"/>
  <c r="AX48" i="30"/>
  <c r="AX50" i="30" s="1"/>
  <c r="I48" i="30"/>
  <c r="I50" i="30" s="1"/>
  <c r="S48" i="30"/>
  <c r="S50" i="30" s="1"/>
  <c r="L48" i="30"/>
  <c r="L50" i="30" s="1"/>
  <c r="AU48" i="30"/>
  <c r="AU50" i="30" s="1"/>
  <c r="BB48" i="30"/>
  <c r="BB50" i="30" s="1"/>
  <c r="F48" i="30"/>
  <c r="F50" i="30" s="1"/>
  <c r="AW48" i="30"/>
  <c r="AW50" i="30" s="1"/>
  <c r="Q48" i="30"/>
  <c r="Q50" i="30" s="1"/>
  <c r="K48" i="30"/>
  <c r="K50" i="30" s="1"/>
  <c r="BD48" i="30"/>
  <c r="BD50" i="30" s="1"/>
  <c r="BA48" i="30"/>
  <c r="BA50" i="30" s="1"/>
  <c r="M48" i="30"/>
  <c r="M50" i="30" s="1"/>
  <c r="AY48" i="30"/>
  <c r="AY50" i="30" s="1"/>
  <c r="O48" i="30"/>
  <c r="O50" i="30" s="1"/>
  <c r="BH48" i="30"/>
  <c r="BH50" i="30" s="1"/>
  <c r="BF48" i="30"/>
  <c r="BF50" i="30" s="1"/>
  <c r="BG48" i="30"/>
  <c r="BG50" i="30" s="1"/>
  <c r="BM45" i="31"/>
  <c r="Y41" i="31"/>
  <c r="Y27" i="31"/>
  <c r="Y28" i="31"/>
  <c r="BM18" i="31"/>
  <c r="Y40" i="31"/>
  <c r="Y42" i="31"/>
  <c r="Y11" i="31"/>
  <c r="Y12" i="31"/>
  <c r="Y38" i="31"/>
  <c r="BL47" i="31"/>
  <c r="BL52" i="31" s="1"/>
  <c r="BM34" i="31"/>
  <c r="BC48" i="31"/>
  <c r="BC50" i="31" s="1"/>
  <c r="AZ48" i="31"/>
  <c r="AZ50" i="31" s="1"/>
  <c r="AY48" i="31"/>
  <c r="AY50" i="31" s="1"/>
  <c r="AV48" i="31"/>
  <c r="AV50" i="31" s="1"/>
  <c r="BD48" i="31"/>
  <c r="BD50" i="31" s="1"/>
  <c r="BK48" i="31"/>
  <c r="BK50" i="31" s="1"/>
  <c r="BI48" i="31"/>
  <c r="BI50" i="31" s="1"/>
  <c r="BG48" i="31"/>
  <c r="BG50" i="31" s="1"/>
  <c r="BB48" i="31"/>
  <c r="BB50" i="31" s="1"/>
  <c r="AX48" i="31"/>
  <c r="AX50" i="31" s="1"/>
  <c r="BF48" i="31"/>
  <c r="BF50" i="31" s="1"/>
  <c r="AW48" i="31"/>
  <c r="AW50" i="31" s="1"/>
  <c r="BH48" i="31"/>
  <c r="BH50" i="31" s="1"/>
  <c r="BA48" i="31"/>
  <c r="BA50" i="31" s="1"/>
  <c r="BJ48" i="31"/>
  <c r="BJ50" i="31" s="1"/>
  <c r="I48" i="31"/>
  <c r="I50" i="31" s="1"/>
  <c r="N48" i="31"/>
  <c r="N50" i="31" s="1"/>
  <c r="K48" i="31"/>
  <c r="K50" i="31" s="1"/>
  <c r="U48" i="31"/>
  <c r="U50" i="31" s="1"/>
  <c r="T48" i="31"/>
  <c r="T50" i="31" s="1"/>
  <c r="S48" i="31"/>
  <c r="S50" i="31" s="1"/>
  <c r="R48" i="31"/>
  <c r="R50" i="31" s="1"/>
  <c r="H48" i="31"/>
  <c r="H50" i="31" s="1"/>
  <c r="G48" i="31"/>
  <c r="G50" i="31" s="1"/>
  <c r="M48" i="31"/>
  <c r="M50" i="31" s="1"/>
  <c r="L48" i="31"/>
  <c r="L50" i="31" s="1"/>
  <c r="Q48" i="31"/>
  <c r="Q50" i="31" s="1"/>
  <c r="Y43" i="31"/>
  <c r="J48" i="31"/>
  <c r="J50" i="31" s="1"/>
  <c r="O48" i="31"/>
  <c r="O50" i="31" s="1"/>
  <c r="AA68" i="29"/>
  <c r="AC6" i="30"/>
  <c r="AC56" i="30"/>
  <c r="BR56" i="30" s="1"/>
  <c r="AC6" i="31"/>
  <c r="AC56" i="31"/>
  <c r="BN55" i="29"/>
  <c r="BN41" i="30" s="1"/>
  <c r="BN11" i="29"/>
  <c r="BN11" i="30" s="1"/>
  <c r="BN57" i="29"/>
  <c r="BN54" i="29"/>
  <c r="BN40" i="30" s="1"/>
  <c r="BN15" i="29"/>
  <c r="BN15" i="31" s="1"/>
  <c r="BN56" i="29"/>
  <c r="BN42" i="30" s="1"/>
  <c r="BN12" i="29"/>
  <c r="BN12" i="30" s="1"/>
  <c r="BN53" i="29"/>
  <c r="BN39" i="30" s="1"/>
  <c r="BN23" i="29"/>
  <c r="BN23" i="30" s="1"/>
  <c r="BN38" i="29"/>
  <c r="BN39" i="29"/>
  <c r="BN22" i="29"/>
  <c r="BN22" i="30" s="1"/>
  <c r="BN10" i="29"/>
  <c r="BN10" i="30" s="1"/>
  <c r="BN37" i="29"/>
  <c r="BN29" i="29"/>
  <c r="BN29" i="30" s="1"/>
  <c r="BN24" i="29"/>
  <c r="BN24" i="30" s="1"/>
  <c r="BN44" i="29"/>
  <c r="BP64" i="29"/>
  <c r="BP62" i="29"/>
  <c r="BP63" i="29"/>
  <c r="AB64" i="29"/>
  <c r="AB63" i="29"/>
  <c r="AB62" i="29"/>
  <c r="AB68" i="29" s="1"/>
  <c r="BN55" i="31"/>
  <c r="BN55" i="30"/>
  <c r="AC6" i="29"/>
  <c r="BR6" i="29" s="1"/>
  <c r="C211" i="12"/>
  <c r="G210" i="12"/>
  <c r="H210" i="12"/>
  <c r="G112" i="12"/>
  <c r="C113" i="12"/>
  <c r="H112" i="12"/>
  <c r="C178" i="12"/>
  <c r="G177" i="12"/>
  <c r="H177" i="12"/>
  <c r="C46" i="12"/>
  <c r="G45" i="12"/>
  <c r="H45" i="12"/>
  <c r="C79" i="12"/>
  <c r="G78" i="12"/>
  <c r="G145" i="12"/>
  <c r="C146" i="12"/>
  <c r="H145" i="12"/>
  <c r="F48" i="31"/>
  <c r="F50" i="31" s="1"/>
  <c r="AA8" i="31"/>
  <c r="BP8" i="30"/>
  <c r="BR8" i="31"/>
  <c r="AA8" i="30"/>
  <c r="BP50" i="29"/>
  <c r="BP35" i="29"/>
  <c r="BP20" i="29"/>
  <c r="BQ8" i="29"/>
  <c r="BN30" i="31" l="1"/>
  <c r="BN16" i="31"/>
  <c r="BN30" i="30"/>
  <c r="BN33" i="30" s="1"/>
  <c r="BN16" i="30"/>
  <c r="BM47" i="30"/>
  <c r="BM52" i="30" s="1"/>
  <c r="BO55" i="31"/>
  <c r="AB46" i="29"/>
  <c r="AB31" i="31" s="1"/>
  <c r="AB45" i="29"/>
  <c r="BO52" i="29"/>
  <c r="BO38" i="30" s="1"/>
  <c r="BO31" i="29"/>
  <c r="BO14" i="29"/>
  <c r="BO43" i="29"/>
  <c r="BO28" i="30" s="1"/>
  <c r="BO27" i="29"/>
  <c r="BO46" i="29"/>
  <c r="BO31" i="30" s="1"/>
  <c r="BO30" i="29"/>
  <c r="BO13" i="29"/>
  <c r="BO13" i="30" s="1"/>
  <c r="BO42" i="29"/>
  <c r="BO27" i="30" s="1"/>
  <c r="BO26" i="29"/>
  <c r="BO26" i="30" s="1"/>
  <c r="BO16" i="29"/>
  <c r="BO45" i="29"/>
  <c r="BO28" i="29"/>
  <c r="BO41" i="29"/>
  <c r="BO26" i="31" s="1"/>
  <c r="BO15" i="29"/>
  <c r="BO15" i="31" s="1"/>
  <c r="Z41" i="31"/>
  <c r="AB31" i="29"/>
  <c r="AB30" i="29"/>
  <c r="BN15" i="30"/>
  <c r="Z15" i="30"/>
  <c r="BO29" i="29"/>
  <c r="BO29" i="30" s="1"/>
  <c r="BO37" i="29"/>
  <c r="BO22" i="31" s="1"/>
  <c r="BO23" i="29"/>
  <c r="BO23" i="30" s="1"/>
  <c r="BO55" i="29"/>
  <c r="BO41" i="30" s="1"/>
  <c r="BO11" i="29"/>
  <c r="BO11" i="30" s="1"/>
  <c r="BO53" i="29"/>
  <c r="BO39" i="30" s="1"/>
  <c r="BO22" i="29"/>
  <c r="BO22" i="30" s="1"/>
  <c r="BO24" i="29"/>
  <c r="BO24" i="30" s="1"/>
  <c r="BO54" i="29"/>
  <c r="BO40" i="30" s="1"/>
  <c r="BO39" i="29"/>
  <c r="BO24" i="31" s="1"/>
  <c r="BO12" i="29"/>
  <c r="BO12" i="30" s="1"/>
  <c r="Z43" i="31"/>
  <c r="Z43" i="30"/>
  <c r="Z45" i="30" s="1"/>
  <c r="Z27" i="30"/>
  <c r="BO10" i="29"/>
  <c r="BO10" i="30" s="1"/>
  <c r="BO57" i="29"/>
  <c r="BO44" i="29"/>
  <c r="BO29" i="31" s="1"/>
  <c r="BO56" i="29"/>
  <c r="BO42" i="30" s="1"/>
  <c r="BO38" i="29"/>
  <c r="BO23" i="31" s="1"/>
  <c r="Z11" i="30"/>
  <c r="Z38" i="31"/>
  <c r="Z12" i="30"/>
  <c r="BO55" i="30"/>
  <c r="Z28" i="31"/>
  <c r="Z13" i="30"/>
  <c r="Z42" i="31"/>
  <c r="Z40" i="31"/>
  <c r="Z13" i="31"/>
  <c r="AA43" i="29"/>
  <c r="BR20" i="31"/>
  <c r="BR36" i="31"/>
  <c r="AA20" i="31"/>
  <c r="AA36" i="31"/>
  <c r="BN13" i="30"/>
  <c r="BN13" i="31"/>
  <c r="BL48" i="30"/>
  <c r="BL50" i="30" s="1"/>
  <c r="BN43" i="30"/>
  <c r="BN45" i="30" s="1"/>
  <c r="BP36" i="30"/>
  <c r="BP20" i="30"/>
  <c r="AA36" i="30"/>
  <c r="AA20" i="30"/>
  <c r="BM47" i="31"/>
  <c r="BM52" i="31" s="1"/>
  <c r="AA55" i="29"/>
  <c r="BN41" i="31"/>
  <c r="BN23" i="31"/>
  <c r="BN28" i="31"/>
  <c r="BN24" i="31"/>
  <c r="BN29" i="31"/>
  <c r="BN12" i="31"/>
  <c r="BN40" i="31"/>
  <c r="BN27" i="31"/>
  <c r="BN42" i="31"/>
  <c r="BN31" i="31"/>
  <c r="BN38" i="31"/>
  <c r="BN22" i="31"/>
  <c r="BL48" i="31"/>
  <c r="BL50" i="31" s="1"/>
  <c r="BN10" i="31"/>
  <c r="Y45" i="31"/>
  <c r="BN26" i="31"/>
  <c r="BN11" i="31"/>
  <c r="BN43" i="31"/>
  <c r="AA28" i="29"/>
  <c r="AA54" i="29"/>
  <c r="AA11" i="29"/>
  <c r="AA52" i="29"/>
  <c r="AA42" i="29"/>
  <c r="AA56" i="29"/>
  <c r="AA27" i="29"/>
  <c r="AA15" i="29"/>
  <c r="AA57" i="29"/>
  <c r="AA14" i="29"/>
  <c r="BP68" i="29"/>
  <c r="AA55" i="30"/>
  <c r="AA12" i="29"/>
  <c r="AA55" i="31"/>
  <c r="AA53" i="29"/>
  <c r="AA13" i="29"/>
  <c r="AD56" i="30"/>
  <c r="BS56" i="30" s="1"/>
  <c r="AD6" i="30"/>
  <c r="AD6" i="31"/>
  <c r="AD56" i="31"/>
  <c r="BQ64" i="29"/>
  <c r="BQ62" i="29"/>
  <c r="BQ63" i="29"/>
  <c r="AD6" i="29"/>
  <c r="BS6" i="29" s="1"/>
  <c r="AC64" i="29"/>
  <c r="AC63" i="29"/>
  <c r="AC62" i="29"/>
  <c r="AB53" i="29"/>
  <c r="AB39" i="30" s="1"/>
  <c r="BQ68" i="29"/>
  <c r="AB52" i="29"/>
  <c r="AB38" i="30" s="1"/>
  <c r="AB11" i="29"/>
  <c r="AB11" i="30" s="1"/>
  <c r="AB43" i="29"/>
  <c r="AB28" i="30" s="1"/>
  <c r="AB14" i="29"/>
  <c r="AB54" i="29"/>
  <c r="AB40" i="30" s="1"/>
  <c r="AB12" i="29"/>
  <c r="AB12" i="30" s="1"/>
  <c r="AB27" i="29"/>
  <c r="AB42" i="29"/>
  <c r="AB27" i="30" s="1"/>
  <c r="AB56" i="29"/>
  <c r="AB42" i="30" s="1"/>
  <c r="AB13" i="29"/>
  <c r="AB28" i="29"/>
  <c r="AB55" i="29"/>
  <c r="AB41" i="30" s="1"/>
  <c r="AB55" i="30"/>
  <c r="AB57" i="29"/>
  <c r="AB55" i="31"/>
  <c r="AB15" i="29"/>
  <c r="C179" i="12"/>
  <c r="G178" i="12"/>
  <c r="H178" i="12"/>
  <c r="C80" i="12"/>
  <c r="G79" i="12"/>
  <c r="C114" i="12"/>
  <c r="G113" i="12"/>
  <c r="H113" i="12"/>
  <c r="C147" i="12"/>
  <c r="G146" i="12"/>
  <c r="H146" i="12"/>
  <c r="C47" i="12"/>
  <c r="G46" i="12"/>
  <c r="H46" i="12"/>
  <c r="C212" i="12"/>
  <c r="G211" i="12"/>
  <c r="H211" i="12"/>
  <c r="BQ35" i="29"/>
  <c r="BR8" i="29"/>
  <c r="BQ50" i="29"/>
  <c r="BQ20" i="29"/>
  <c r="AB8" i="30"/>
  <c r="BS8" i="31"/>
  <c r="BQ8" i="30"/>
  <c r="AB8" i="31"/>
  <c r="AB30" i="31" l="1"/>
  <c r="AB30" i="30"/>
  <c r="AB31" i="30"/>
  <c r="BO16" i="31"/>
  <c r="BO30" i="31"/>
  <c r="BO16" i="30"/>
  <c r="BO30" i="30"/>
  <c r="BO33" i="30" s="1"/>
  <c r="BM48" i="30"/>
  <c r="BM50" i="30" s="1"/>
  <c r="BO43" i="31"/>
  <c r="BQ43" i="29"/>
  <c r="BQ28" i="30" s="1"/>
  <c r="BQ27" i="29"/>
  <c r="BQ46" i="29"/>
  <c r="BQ31" i="30" s="1"/>
  <c r="BQ30" i="29"/>
  <c r="BQ13" i="29"/>
  <c r="BQ42" i="29"/>
  <c r="BQ27" i="30" s="1"/>
  <c r="BQ26" i="29"/>
  <c r="BQ26" i="30" s="1"/>
  <c r="BQ16" i="29"/>
  <c r="BQ45" i="29"/>
  <c r="BQ28" i="29"/>
  <c r="BQ41" i="29"/>
  <c r="BQ52" i="29"/>
  <c r="BQ38" i="30" s="1"/>
  <c r="BQ31" i="29"/>
  <c r="BQ14" i="29"/>
  <c r="BP52" i="29"/>
  <c r="BP38" i="30" s="1"/>
  <c r="BP31" i="29"/>
  <c r="BP14" i="29"/>
  <c r="BP43" i="29"/>
  <c r="BP28" i="30" s="1"/>
  <c r="BP27" i="29"/>
  <c r="BP46" i="29"/>
  <c r="BP31" i="30" s="1"/>
  <c r="BP30" i="29"/>
  <c r="BP13" i="29"/>
  <c r="BP42" i="29"/>
  <c r="BP27" i="30" s="1"/>
  <c r="BP26" i="29"/>
  <c r="BP26" i="30" s="1"/>
  <c r="BP16" i="29"/>
  <c r="BP41" i="29"/>
  <c r="BP45" i="29"/>
  <c r="BP28" i="29"/>
  <c r="BO15" i="30"/>
  <c r="BP53" i="29"/>
  <c r="BP39" i="30" s="1"/>
  <c r="AB15" i="30"/>
  <c r="AB15" i="31"/>
  <c r="AA15" i="30"/>
  <c r="AA15" i="31"/>
  <c r="BO38" i="31"/>
  <c r="BO31" i="31"/>
  <c r="BO41" i="31"/>
  <c r="BO11" i="31"/>
  <c r="BO28" i="31"/>
  <c r="BO40" i="31"/>
  <c r="BO13" i="31"/>
  <c r="BO12" i="31"/>
  <c r="BO27" i="31"/>
  <c r="Z45" i="31"/>
  <c r="BO10" i="31"/>
  <c r="BO42" i="31"/>
  <c r="BO43" i="30"/>
  <c r="BO45" i="30" s="1"/>
  <c r="AA28" i="30"/>
  <c r="AA28" i="31"/>
  <c r="AA42" i="30"/>
  <c r="AA39" i="30"/>
  <c r="AA12" i="30"/>
  <c r="AA41" i="30"/>
  <c r="AA27" i="30"/>
  <c r="AA38" i="30"/>
  <c r="AA11" i="30"/>
  <c r="AA40" i="30"/>
  <c r="AB20" i="31"/>
  <c r="AB36" i="31"/>
  <c r="BS20" i="31"/>
  <c r="BS36" i="31"/>
  <c r="BN18" i="30"/>
  <c r="BN47" i="30" s="1"/>
  <c r="BN52" i="30" s="1"/>
  <c r="AA13" i="30"/>
  <c r="AA13" i="31"/>
  <c r="AB13" i="30"/>
  <c r="AB13" i="31"/>
  <c r="AA43" i="30"/>
  <c r="AB43" i="30"/>
  <c r="AB45" i="30" s="1"/>
  <c r="BQ36" i="30"/>
  <c r="BQ20" i="30"/>
  <c r="AB20" i="30"/>
  <c r="AB36" i="30"/>
  <c r="BM48" i="31"/>
  <c r="BM50" i="31" s="1"/>
  <c r="BP55" i="30"/>
  <c r="AA41" i="31"/>
  <c r="BN34" i="31"/>
  <c r="BN45" i="31"/>
  <c r="AB27" i="31"/>
  <c r="AA38" i="31"/>
  <c r="AB12" i="31"/>
  <c r="AA27" i="31"/>
  <c r="AB40" i="31"/>
  <c r="AA12" i="31"/>
  <c r="BN18" i="31"/>
  <c r="AB28" i="31"/>
  <c r="AA11" i="31"/>
  <c r="AB41" i="31"/>
  <c r="AB38" i="31"/>
  <c r="AB42" i="31"/>
  <c r="AB11" i="31"/>
  <c r="AA42" i="31"/>
  <c r="AA43" i="31"/>
  <c r="AA40" i="31"/>
  <c r="AB43" i="31"/>
  <c r="BP44" i="29"/>
  <c r="BP22" i="29"/>
  <c r="BP22" i="30" s="1"/>
  <c r="BP37" i="29"/>
  <c r="BP56" i="29"/>
  <c r="BP42" i="30" s="1"/>
  <c r="BP11" i="29"/>
  <c r="BP11" i="30" s="1"/>
  <c r="BP55" i="31"/>
  <c r="BP38" i="29"/>
  <c r="BP15" i="29"/>
  <c r="BP15" i="31" s="1"/>
  <c r="BP10" i="29"/>
  <c r="BP10" i="30" s="1"/>
  <c r="BP54" i="29"/>
  <c r="BP40" i="30" s="1"/>
  <c r="BP29" i="29"/>
  <c r="BP29" i="30" s="1"/>
  <c r="BP23" i="29"/>
  <c r="BP23" i="30" s="1"/>
  <c r="BP55" i="29"/>
  <c r="BP41" i="30" s="1"/>
  <c r="BP39" i="29"/>
  <c r="BP12" i="29"/>
  <c r="BP12" i="30" s="1"/>
  <c r="BP24" i="29"/>
  <c r="BP24" i="30" s="1"/>
  <c r="BP57" i="29"/>
  <c r="AE6" i="30"/>
  <c r="AE56" i="30"/>
  <c r="BT56" i="30" s="1"/>
  <c r="AE6" i="31"/>
  <c r="AE56" i="31"/>
  <c r="BQ55" i="31"/>
  <c r="BQ55" i="30"/>
  <c r="BQ54" i="29"/>
  <c r="BQ40" i="30" s="1"/>
  <c r="BQ38" i="29"/>
  <c r="BQ12" i="29"/>
  <c r="BQ12" i="30" s="1"/>
  <c r="BQ10" i="29"/>
  <c r="BQ10" i="30" s="1"/>
  <c r="BQ57" i="29"/>
  <c r="BQ29" i="29"/>
  <c r="BQ29" i="30" s="1"/>
  <c r="BQ23" i="29"/>
  <c r="BQ23" i="30" s="1"/>
  <c r="BQ22" i="29"/>
  <c r="BQ22" i="30" s="1"/>
  <c r="BQ56" i="29"/>
  <c r="BQ42" i="30" s="1"/>
  <c r="BQ15" i="29"/>
  <c r="BQ15" i="31" s="1"/>
  <c r="BQ44" i="29"/>
  <c r="BQ53" i="29"/>
  <c r="BQ39" i="30" s="1"/>
  <c r="BQ55" i="29"/>
  <c r="BQ41" i="30" s="1"/>
  <c r="BQ24" i="29"/>
  <c r="BQ24" i="30" s="1"/>
  <c r="BQ37" i="29"/>
  <c r="BQ11" i="29"/>
  <c r="BQ11" i="30" s="1"/>
  <c r="BQ39" i="29"/>
  <c r="BR64" i="29"/>
  <c r="BR62" i="29"/>
  <c r="BR63" i="29"/>
  <c r="AD64" i="29"/>
  <c r="AD62" i="29"/>
  <c r="AD63" i="29"/>
  <c r="AE6" i="29"/>
  <c r="BT6" i="29" s="1"/>
  <c r="C180" i="12"/>
  <c r="G179" i="12"/>
  <c r="H179" i="12"/>
  <c r="C115" i="12"/>
  <c r="G114" i="12"/>
  <c r="H114" i="12"/>
  <c r="C81" i="12"/>
  <c r="G80" i="12"/>
  <c r="C213" i="12"/>
  <c r="G212" i="12"/>
  <c r="H212" i="12"/>
  <c r="C48" i="12"/>
  <c r="G47" i="12"/>
  <c r="H47" i="12"/>
  <c r="C148" i="12"/>
  <c r="G147" i="12"/>
  <c r="H147" i="12"/>
  <c r="BR8" i="30"/>
  <c r="BT8" i="31"/>
  <c r="AC8" i="31"/>
  <c r="AC8" i="30"/>
  <c r="BR35" i="29"/>
  <c r="BS8" i="29"/>
  <c r="BR50" i="29"/>
  <c r="BR20" i="29"/>
  <c r="BQ16" i="31" l="1"/>
  <c r="BP30" i="31"/>
  <c r="BP16" i="31"/>
  <c r="BQ30" i="31"/>
  <c r="BQ30" i="30"/>
  <c r="BQ33" i="30" s="1"/>
  <c r="BP16" i="30"/>
  <c r="BP30" i="30"/>
  <c r="BP33" i="30" s="1"/>
  <c r="BQ16" i="30"/>
  <c r="BO18" i="30"/>
  <c r="BO47" i="30" s="1"/>
  <c r="BO52" i="30" s="1"/>
  <c r="BP15" i="30"/>
  <c r="BQ15" i="30"/>
  <c r="BO34" i="31"/>
  <c r="BO45" i="31"/>
  <c r="BO18" i="31"/>
  <c r="AA45" i="30"/>
  <c r="AC36" i="31"/>
  <c r="AC20" i="31"/>
  <c r="BT20" i="31"/>
  <c r="BT36" i="31"/>
  <c r="BP13" i="30"/>
  <c r="BP13" i="31"/>
  <c r="BQ13" i="30"/>
  <c r="BQ13" i="31"/>
  <c r="BQ43" i="30"/>
  <c r="BQ45" i="30" s="1"/>
  <c r="BP43" i="30"/>
  <c r="BP45" i="30" s="1"/>
  <c r="AC36" i="30"/>
  <c r="AC20" i="30"/>
  <c r="BR20" i="30"/>
  <c r="BR36" i="30"/>
  <c r="BN47" i="31"/>
  <c r="BN52" i="31" s="1"/>
  <c r="BN48" i="30"/>
  <c r="BN50" i="30" s="1"/>
  <c r="BP31" i="31"/>
  <c r="AB45" i="31"/>
  <c r="BQ42" i="31"/>
  <c r="BP26" i="31"/>
  <c r="BQ23" i="31"/>
  <c r="BP12" i="31"/>
  <c r="BP23" i="31"/>
  <c r="BQ38" i="31"/>
  <c r="BP24" i="31"/>
  <c r="BP27" i="31"/>
  <c r="BQ24" i="31"/>
  <c r="BQ40" i="31"/>
  <c r="BP38" i="31"/>
  <c r="BQ22" i="31"/>
  <c r="BP41" i="31"/>
  <c r="BQ28" i="31"/>
  <c r="BP28" i="31"/>
  <c r="BP29" i="31"/>
  <c r="BP11" i="31"/>
  <c r="BQ41" i="31"/>
  <c r="BP42" i="31"/>
  <c r="BQ26" i="31"/>
  <c r="BQ29" i="31"/>
  <c r="BQ11" i="31"/>
  <c r="BQ27" i="31"/>
  <c r="BP22" i="31"/>
  <c r="BQ10" i="31"/>
  <c r="BP40" i="31"/>
  <c r="BQ31" i="31"/>
  <c r="BQ12" i="31"/>
  <c r="BP10" i="31"/>
  <c r="AA45" i="31"/>
  <c r="BP43" i="31"/>
  <c r="BQ43" i="31"/>
  <c r="AF6" i="30"/>
  <c r="AF56" i="30"/>
  <c r="BU56" i="30" s="1"/>
  <c r="AF6" i="31"/>
  <c r="AF56" i="31"/>
  <c r="AE64" i="29"/>
  <c r="AE62" i="29"/>
  <c r="AE63" i="29"/>
  <c r="BV7" i="29"/>
  <c r="AF6" i="29"/>
  <c r="BU6" i="29" s="1"/>
  <c r="BS64" i="29"/>
  <c r="BS63" i="29"/>
  <c r="BS62" i="29"/>
  <c r="C82" i="12"/>
  <c r="G81" i="12"/>
  <c r="C49" i="12"/>
  <c r="G48" i="12"/>
  <c r="H48" i="12"/>
  <c r="C181" i="12"/>
  <c r="G180" i="12"/>
  <c r="H180" i="12"/>
  <c r="C214" i="12"/>
  <c r="G213" i="12"/>
  <c r="H213" i="12"/>
  <c r="C149" i="12"/>
  <c r="G148" i="12"/>
  <c r="H148" i="12"/>
  <c r="C116" i="12"/>
  <c r="G115" i="12"/>
  <c r="H115" i="12"/>
  <c r="AD8" i="30"/>
  <c r="BU8" i="31"/>
  <c r="BS50" i="29"/>
  <c r="BT8" i="29"/>
  <c r="BS35" i="29"/>
  <c r="BS20" i="29"/>
  <c r="AD8" i="31"/>
  <c r="BS8" i="30"/>
  <c r="BO47" i="31" l="1"/>
  <c r="BO52" i="31" s="1"/>
  <c r="BO48" i="30"/>
  <c r="BO50" i="30" s="1"/>
  <c r="AD20" i="31"/>
  <c r="AD36" i="31"/>
  <c r="BU36" i="31"/>
  <c r="BU20" i="31"/>
  <c r="BQ18" i="30"/>
  <c r="BQ47" i="30" s="1"/>
  <c r="BQ52" i="30" s="1"/>
  <c r="BP18" i="30"/>
  <c r="BP47" i="30" s="1"/>
  <c r="BP52" i="30" s="1"/>
  <c r="AD36" i="30"/>
  <c r="AD20" i="30"/>
  <c r="BS20" i="30"/>
  <c r="BS36" i="30"/>
  <c r="BN48" i="31"/>
  <c r="BN50" i="31" s="1"/>
  <c r="BQ34" i="31"/>
  <c r="BQ18" i="31"/>
  <c r="BP34" i="31"/>
  <c r="BQ45" i="31"/>
  <c r="BP18" i="31"/>
  <c r="BP45" i="31"/>
  <c r="AG56" i="30"/>
  <c r="BV56" i="30" s="1"/>
  <c r="AG6" i="30"/>
  <c r="AG6" i="31"/>
  <c r="AG56" i="31"/>
  <c r="BT64" i="29"/>
  <c r="BT62" i="29"/>
  <c r="BT63" i="29"/>
  <c r="AF64" i="29"/>
  <c r="AF63" i="29"/>
  <c r="AF62" i="29"/>
  <c r="BW7" i="29"/>
  <c r="AG6" i="29"/>
  <c r="BV6" i="29" s="1"/>
  <c r="C182" i="12"/>
  <c r="G181" i="12"/>
  <c r="H181" i="12"/>
  <c r="G116" i="12"/>
  <c r="C117" i="12"/>
  <c r="H116" i="12"/>
  <c r="C215" i="12"/>
  <c r="G214" i="12"/>
  <c r="H214" i="12"/>
  <c r="C50" i="12"/>
  <c r="G49" i="12"/>
  <c r="H49" i="12"/>
  <c r="G149" i="12"/>
  <c r="C150" i="12"/>
  <c r="H149" i="12"/>
  <c r="C83" i="12"/>
  <c r="G82" i="12"/>
  <c r="BT8" i="30"/>
  <c r="AE8" i="30"/>
  <c r="AE8" i="31"/>
  <c r="BU8" i="29"/>
  <c r="BT35" i="29"/>
  <c r="BT50" i="29"/>
  <c r="BT20" i="29"/>
  <c r="BV8" i="31"/>
  <c r="BO48" i="31" l="1"/>
  <c r="BO50" i="31" s="1"/>
  <c r="BV36" i="31"/>
  <c r="BV20" i="31"/>
  <c r="AE20" i="31"/>
  <c r="AE36" i="31"/>
  <c r="BP48" i="30"/>
  <c r="BP50" i="30" s="1"/>
  <c r="AE36" i="30"/>
  <c r="AE20" i="30"/>
  <c r="BT36" i="30"/>
  <c r="BT20" i="30"/>
  <c r="BQ48" i="30"/>
  <c r="BQ50" i="30" s="1"/>
  <c r="BQ47" i="31"/>
  <c r="BQ52" i="31" s="1"/>
  <c r="BP47" i="31"/>
  <c r="BP52" i="31" s="1"/>
  <c r="AH6" i="30"/>
  <c r="AH56" i="30"/>
  <c r="BW56" i="30" s="1"/>
  <c r="AH6" i="31"/>
  <c r="AH56" i="31"/>
  <c r="BU64" i="29"/>
  <c r="BU62" i="29"/>
  <c r="BU63" i="29"/>
  <c r="AG64" i="29"/>
  <c r="AG62" i="29"/>
  <c r="AG63" i="29"/>
  <c r="AG52" i="29" s="1"/>
  <c r="AH6" i="29"/>
  <c r="BW6" i="29" s="1"/>
  <c r="BX7" i="29"/>
  <c r="C118" i="12"/>
  <c r="G117" i="12"/>
  <c r="H117" i="12"/>
  <c r="C51" i="12"/>
  <c r="G50" i="12"/>
  <c r="H50" i="12"/>
  <c r="C183" i="12"/>
  <c r="G182" i="12"/>
  <c r="H182" i="12"/>
  <c r="C216" i="12"/>
  <c r="G215" i="12"/>
  <c r="H215" i="12"/>
  <c r="C84" i="12"/>
  <c r="G83" i="12"/>
  <c r="C151" i="12"/>
  <c r="G150" i="12"/>
  <c r="H150" i="12"/>
  <c r="BW8" i="31"/>
  <c r="AF8" i="31"/>
  <c r="BU8" i="30"/>
  <c r="BU35" i="29"/>
  <c r="BU20" i="29"/>
  <c r="BV8" i="29"/>
  <c r="BU50" i="29"/>
  <c r="AF8" i="30"/>
  <c r="AG55" i="29" l="1"/>
  <c r="AG54" i="29"/>
  <c r="AG53" i="29"/>
  <c r="AG39" i="30" s="1"/>
  <c r="AG38" i="30"/>
  <c r="AG38" i="31"/>
  <c r="AG13" i="29"/>
  <c r="AG12" i="29"/>
  <c r="AG14" i="29"/>
  <c r="AG15" i="29"/>
  <c r="AG11" i="29"/>
  <c r="BW36" i="31"/>
  <c r="BW20" i="31"/>
  <c r="AF20" i="31"/>
  <c r="AF36" i="31"/>
  <c r="AF36" i="30"/>
  <c r="AF20" i="30"/>
  <c r="BU36" i="30"/>
  <c r="BU20" i="30"/>
  <c r="BP48" i="31"/>
  <c r="BP50" i="31" s="1"/>
  <c r="BQ48" i="31"/>
  <c r="BQ50" i="31" s="1"/>
  <c r="AI6" i="30"/>
  <c r="AI56" i="30"/>
  <c r="BX56" i="30" s="1"/>
  <c r="AI6" i="31"/>
  <c r="AI56" i="31"/>
  <c r="AH64" i="29"/>
  <c r="AH62" i="29"/>
  <c r="AH63" i="29"/>
  <c r="BV64" i="29"/>
  <c r="BV63" i="29"/>
  <c r="BV62" i="29"/>
  <c r="AI6" i="29"/>
  <c r="BX6" i="29" s="1"/>
  <c r="BY7" i="29"/>
  <c r="C152" i="12"/>
  <c r="G151" i="12"/>
  <c r="H151" i="12"/>
  <c r="C119" i="12"/>
  <c r="G118" i="12"/>
  <c r="H118" i="12"/>
  <c r="C85" i="12"/>
  <c r="G84" i="12"/>
  <c r="C184" i="12"/>
  <c r="G183" i="12"/>
  <c r="H183" i="12"/>
  <c r="C52" i="12"/>
  <c r="G51" i="12"/>
  <c r="H51" i="12"/>
  <c r="C217" i="12"/>
  <c r="G216" i="12"/>
  <c r="H216" i="12"/>
  <c r="BV50" i="29"/>
  <c r="BV20" i="29"/>
  <c r="BW8" i="29"/>
  <c r="BX8" i="31"/>
  <c r="AG8" i="30"/>
  <c r="BV8" i="30"/>
  <c r="AG8" i="31"/>
  <c r="AG40" i="30" l="1"/>
  <c r="AG40" i="31"/>
  <c r="AG41" i="30"/>
  <c r="AG41" i="31"/>
  <c r="BV13" i="29"/>
  <c r="BV52" i="29"/>
  <c r="BV14" i="29"/>
  <c r="BV46" i="29"/>
  <c r="BV30" i="29"/>
  <c r="BV26" i="29"/>
  <c r="BV16" i="29"/>
  <c r="BV16" i="31" s="1"/>
  <c r="BV45" i="29"/>
  <c r="BV41" i="29"/>
  <c r="BV31" i="29"/>
  <c r="AG13" i="30"/>
  <c r="AG13" i="31"/>
  <c r="AG11" i="30"/>
  <c r="AG11" i="31"/>
  <c r="AG15" i="31"/>
  <c r="AG15" i="30"/>
  <c r="AG12" i="30"/>
  <c r="AG12" i="31"/>
  <c r="BX36" i="31"/>
  <c r="BX20" i="31"/>
  <c r="AG20" i="31"/>
  <c r="AG36" i="31"/>
  <c r="BV20" i="30"/>
  <c r="BV36" i="30"/>
  <c r="AG36" i="30"/>
  <c r="AG20" i="30"/>
  <c r="AJ6" i="30"/>
  <c r="AJ56" i="30"/>
  <c r="BY56" i="30" s="1"/>
  <c r="AJ6" i="31"/>
  <c r="AJ56" i="31"/>
  <c r="AJ6" i="29"/>
  <c r="BY6" i="29" s="1"/>
  <c r="BZ7" i="29"/>
  <c r="AI64" i="29"/>
  <c r="AI62" i="29"/>
  <c r="AI63" i="29"/>
  <c r="BW64" i="29"/>
  <c r="AT64" i="29" s="1"/>
  <c r="BW62" i="29"/>
  <c r="BW63" i="29"/>
  <c r="C218" i="12"/>
  <c r="G217" i="12"/>
  <c r="H217" i="12"/>
  <c r="C53" i="12"/>
  <c r="G52" i="12"/>
  <c r="H52" i="12"/>
  <c r="C185" i="12"/>
  <c r="G184" i="12"/>
  <c r="H184" i="12"/>
  <c r="G119" i="12"/>
  <c r="H119" i="12"/>
  <c r="C86" i="12"/>
  <c r="G85" i="12"/>
  <c r="G152" i="12"/>
  <c r="H152" i="12"/>
  <c r="AH8" i="31"/>
  <c r="BW50" i="29"/>
  <c r="BW20" i="29"/>
  <c r="BX8" i="29"/>
  <c r="BY8" i="31"/>
  <c r="BW8" i="30"/>
  <c r="AH8" i="30"/>
  <c r="BV30" i="30" l="1"/>
  <c r="BV30" i="31"/>
  <c r="BV16" i="30"/>
  <c r="BY36" i="31"/>
  <c r="BY20" i="31"/>
  <c r="AH20" i="31"/>
  <c r="AH36" i="31"/>
  <c r="BW20" i="30"/>
  <c r="BW36" i="30"/>
  <c r="AH36" i="30"/>
  <c r="AH20" i="30"/>
  <c r="AK6" i="30"/>
  <c r="AK56" i="30"/>
  <c r="BZ56" i="30" s="1"/>
  <c r="AK6" i="31"/>
  <c r="AK56" i="31"/>
  <c r="BX64" i="29"/>
  <c r="BX62" i="29"/>
  <c r="BX63" i="29"/>
  <c r="AJ64" i="29"/>
  <c r="AJ63" i="29"/>
  <c r="AJ62" i="29"/>
  <c r="AK6" i="29"/>
  <c r="BZ6" i="29" s="1"/>
  <c r="CA7" i="29"/>
  <c r="G53" i="12"/>
  <c r="H53" i="12"/>
  <c r="G86" i="12"/>
  <c r="G185" i="12"/>
  <c r="H185" i="12"/>
  <c r="G218" i="12"/>
  <c r="H218" i="12"/>
  <c r="AI8" i="30"/>
  <c r="BZ8" i="31"/>
  <c r="BY8" i="29"/>
  <c r="BX50" i="29"/>
  <c r="BX20" i="29"/>
  <c r="BX8" i="30"/>
  <c r="AI8" i="31"/>
  <c r="J16" i="12" l="1"/>
  <c r="M15" i="12"/>
  <c r="Q16" i="12"/>
  <c r="P15" i="12"/>
  <c r="S15" i="12"/>
  <c r="K15" i="12"/>
  <c r="K16" i="12"/>
  <c r="N15" i="12"/>
  <c r="H16" i="12"/>
  <c r="I16" i="12"/>
  <c r="R15" i="12"/>
  <c r="O15" i="12"/>
  <c r="M16" i="12"/>
  <c r="R16" i="12"/>
  <c r="U15" i="12"/>
  <c r="U16" i="12"/>
  <c r="O16" i="12"/>
  <c r="J15" i="12"/>
  <c r="L16" i="12"/>
  <c r="N16" i="12"/>
  <c r="H15" i="12"/>
  <c r="T15" i="12"/>
  <c r="V15" i="12"/>
  <c r="Q15" i="12"/>
  <c r="S16" i="12"/>
  <c r="I15" i="12"/>
  <c r="T16" i="12"/>
  <c r="P16" i="12"/>
  <c r="L15" i="12"/>
  <c r="V16" i="12"/>
  <c r="AI20" i="31"/>
  <c r="AI36" i="31"/>
  <c r="BZ36" i="31"/>
  <c r="BZ20" i="31"/>
  <c r="BX36" i="30"/>
  <c r="BX20" i="30"/>
  <c r="AI36" i="30"/>
  <c r="AI20" i="30"/>
  <c r="AL6" i="30"/>
  <c r="AL56" i="30"/>
  <c r="CA56" i="30" s="1"/>
  <c r="AL6" i="31"/>
  <c r="AL56" i="31"/>
  <c r="AK64" i="29"/>
  <c r="AK63" i="29"/>
  <c r="AK62" i="29"/>
  <c r="AL6" i="29"/>
  <c r="CA6" i="29" s="1"/>
  <c r="CB7" i="29"/>
  <c r="BY64" i="29"/>
  <c r="BY62" i="29"/>
  <c r="BY63" i="29"/>
  <c r="O14" i="12"/>
  <c r="U11" i="12"/>
  <c r="N11" i="12"/>
  <c r="S11" i="12"/>
  <c r="I13" i="12"/>
  <c r="Y22" i="29" s="1"/>
  <c r="Y22" i="30" s="1"/>
  <c r="K12" i="12"/>
  <c r="AR24" i="29" s="1"/>
  <c r="O10" i="12"/>
  <c r="I11" i="12"/>
  <c r="Q12" i="12"/>
  <c r="AR29" i="29" s="1"/>
  <c r="N10" i="12"/>
  <c r="O13" i="12"/>
  <c r="Y26" i="29" s="1"/>
  <c r="Y26" i="30" s="1"/>
  <c r="H12" i="12"/>
  <c r="M13" i="12"/>
  <c r="Y38" i="29" s="1"/>
  <c r="V9" i="12"/>
  <c r="Q11" i="12"/>
  <c r="S12" i="12"/>
  <c r="J13" i="12"/>
  <c r="Y23" i="29" s="1"/>
  <c r="Y23" i="30" s="1"/>
  <c r="K13" i="12"/>
  <c r="Y24" i="29" s="1"/>
  <c r="Y24" i="30" s="1"/>
  <c r="I9" i="12"/>
  <c r="W22" i="29" s="1"/>
  <c r="W22" i="30" s="1"/>
  <c r="N12" i="12"/>
  <c r="R13" i="12"/>
  <c r="Y44" i="29" s="1"/>
  <c r="J12" i="12"/>
  <c r="AR23" i="29" s="1"/>
  <c r="K10" i="12"/>
  <c r="K14" i="12"/>
  <c r="U10" i="12"/>
  <c r="S13" i="12"/>
  <c r="Y10" i="29" s="1"/>
  <c r="Y10" i="30" s="1"/>
  <c r="S8" i="12"/>
  <c r="V10" i="29" s="1"/>
  <c r="V10" i="30" s="1"/>
  <c r="N8" i="12"/>
  <c r="L10" i="12"/>
  <c r="T11" i="12"/>
  <c r="O12" i="12"/>
  <c r="AR26" i="29" s="1"/>
  <c r="H10" i="12"/>
  <c r="S14" i="12"/>
  <c r="AG10" i="29" s="1"/>
  <c r="H11" i="12"/>
  <c r="P9" i="12"/>
  <c r="W41" i="29" s="1"/>
  <c r="M11" i="12"/>
  <c r="T9" i="12"/>
  <c r="W16" i="29" s="1"/>
  <c r="I14" i="12"/>
  <c r="L12" i="12"/>
  <c r="AR37" i="29" s="1"/>
  <c r="I10" i="12"/>
  <c r="M14" i="12"/>
  <c r="AG38" i="29" s="1"/>
  <c r="AG23" i="31" s="1"/>
  <c r="R11" i="12"/>
  <c r="O11" i="12"/>
  <c r="Z26" i="29" s="1"/>
  <c r="P10" i="12"/>
  <c r="Q13" i="12"/>
  <c r="Y29" i="29" s="1"/>
  <c r="Y29" i="30" s="1"/>
  <c r="T10" i="12"/>
  <c r="Q14" i="12"/>
  <c r="S10" i="12"/>
  <c r="I8" i="12"/>
  <c r="P8" i="12"/>
  <c r="T13" i="12"/>
  <c r="Y16" i="29" s="1"/>
  <c r="U12" i="12"/>
  <c r="H8" i="12"/>
  <c r="R10" i="12"/>
  <c r="P12" i="12"/>
  <c r="V14" i="12"/>
  <c r="AG46" i="29" s="1"/>
  <c r="AG31" i="31" s="1"/>
  <c r="L9" i="12"/>
  <c r="W37" i="29" s="1"/>
  <c r="T14" i="12"/>
  <c r="AG16" i="29" s="1"/>
  <c r="T8" i="12"/>
  <c r="V16" i="29" s="1"/>
  <c r="J8" i="12"/>
  <c r="V10" i="12"/>
  <c r="P11" i="12"/>
  <c r="L8" i="12"/>
  <c r="H13" i="12"/>
  <c r="N9" i="12"/>
  <c r="W39" i="29" s="1"/>
  <c r="V11" i="12"/>
  <c r="R9" i="12"/>
  <c r="W44" i="29" s="1"/>
  <c r="V13" i="12"/>
  <c r="V8" i="12"/>
  <c r="U9" i="12"/>
  <c r="R8" i="12"/>
  <c r="L11" i="12"/>
  <c r="U14" i="12"/>
  <c r="AG45" i="29" s="1"/>
  <c r="AG30" i="31" s="1"/>
  <c r="N13" i="12"/>
  <c r="Y39" i="29" s="1"/>
  <c r="P14" i="12"/>
  <c r="AG41" i="29" s="1"/>
  <c r="AG26" i="31" s="1"/>
  <c r="L14" i="12"/>
  <c r="AG37" i="29" s="1"/>
  <c r="AG22" i="31" s="1"/>
  <c r="J10" i="12"/>
  <c r="K11" i="12"/>
  <c r="Z24" i="29" s="1"/>
  <c r="U13" i="12"/>
  <c r="M8" i="12"/>
  <c r="J9" i="12"/>
  <c r="W23" i="29" s="1"/>
  <c r="W23" i="30" s="1"/>
  <c r="L13" i="12"/>
  <c r="Y37" i="29" s="1"/>
  <c r="U8" i="12"/>
  <c r="J14" i="12"/>
  <c r="R14" i="12"/>
  <c r="AG44" i="29" s="1"/>
  <c r="AG29" i="31" s="1"/>
  <c r="H9" i="12"/>
  <c r="M12" i="12"/>
  <c r="AR38" i="29" s="1"/>
  <c r="M10" i="12"/>
  <c r="Q8" i="12"/>
  <c r="P13" i="12"/>
  <c r="Y41" i="29" s="1"/>
  <c r="K8" i="12"/>
  <c r="H14" i="12"/>
  <c r="I12" i="12"/>
  <c r="AR22" i="29" s="1"/>
  <c r="R12" i="12"/>
  <c r="K9" i="12"/>
  <c r="W24" i="29" s="1"/>
  <c r="W24" i="30" s="1"/>
  <c r="N14" i="12"/>
  <c r="AG39" i="29" s="1"/>
  <c r="AG24" i="31" s="1"/>
  <c r="J11" i="12"/>
  <c r="Z23" i="29" s="1"/>
  <c r="O8" i="12"/>
  <c r="V12" i="12"/>
  <c r="T12" i="12"/>
  <c r="S9" i="12"/>
  <c r="W10" i="29" s="1"/>
  <c r="W10" i="30" s="1"/>
  <c r="O9" i="12"/>
  <c r="W26" i="29" s="1"/>
  <c r="W26" i="30" s="1"/>
  <c r="Q9" i="12"/>
  <c r="W29" i="29" s="1"/>
  <c r="W29" i="30" s="1"/>
  <c r="M9" i="12"/>
  <c r="W38" i="29" s="1"/>
  <c r="Q10" i="12"/>
  <c r="AJ8" i="31"/>
  <c r="BY8" i="30"/>
  <c r="CA8" i="31"/>
  <c r="BY50" i="29"/>
  <c r="BY20" i="29"/>
  <c r="BZ8" i="29"/>
  <c r="AJ8" i="30"/>
  <c r="AG30" i="30" l="1"/>
  <c r="AG31" i="30"/>
  <c r="AG16" i="30"/>
  <c r="AG16" i="31"/>
  <c r="V16" i="30"/>
  <c r="V18" i="30" s="1"/>
  <c r="V16" i="31"/>
  <c r="W16" i="30"/>
  <c r="W18" i="30" s="1"/>
  <c r="W16" i="31"/>
  <c r="Y16" i="30"/>
  <c r="Y18" i="30" s="1"/>
  <c r="Y16" i="31"/>
  <c r="AG34" i="31"/>
  <c r="P68" i="29"/>
  <c r="AR10" i="29"/>
  <c r="AR10" i="30" s="1"/>
  <c r="X10" i="29"/>
  <c r="AR16" i="29"/>
  <c r="X16" i="29"/>
  <c r="X45" i="29"/>
  <c r="X30" i="29"/>
  <c r="X46" i="29"/>
  <c r="X31" i="29"/>
  <c r="AA30" i="29"/>
  <c r="AA45" i="29"/>
  <c r="AA30" i="31" s="1"/>
  <c r="W30" i="29"/>
  <c r="W45" i="29"/>
  <c r="W30" i="31" s="1"/>
  <c r="V31" i="29"/>
  <c r="V46" i="29"/>
  <c r="Y31" i="29"/>
  <c r="Y46" i="29"/>
  <c r="Y31" i="31" s="1"/>
  <c r="AR30" i="29"/>
  <c r="AR45" i="29"/>
  <c r="AR30" i="31" s="1"/>
  <c r="AR31" i="29"/>
  <c r="AR46" i="29"/>
  <c r="AR31" i="31" s="1"/>
  <c r="V30" i="29"/>
  <c r="V45" i="29"/>
  <c r="V30" i="31" s="1"/>
  <c r="Z31" i="29"/>
  <c r="Z46" i="29"/>
  <c r="Z31" i="31" s="1"/>
  <c r="Z30" i="29"/>
  <c r="Z45" i="29"/>
  <c r="Z30" i="31" s="1"/>
  <c r="Y30" i="29"/>
  <c r="Y45" i="29"/>
  <c r="Y30" i="31" s="1"/>
  <c r="W31" i="29"/>
  <c r="W46" i="29"/>
  <c r="W31" i="31" s="1"/>
  <c r="AA31" i="29"/>
  <c r="AA46" i="29"/>
  <c r="AA31" i="31" s="1"/>
  <c r="AG30" i="29"/>
  <c r="AG31" i="29"/>
  <c r="AG24" i="29"/>
  <c r="AG24" i="30" s="1"/>
  <c r="AG22" i="29"/>
  <c r="AG22" i="30" s="1"/>
  <c r="AG26" i="29"/>
  <c r="AG26" i="30" s="1"/>
  <c r="AG29" i="29"/>
  <c r="AG29" i="30" s="1"/>
  <c r="AG23" i="29"/>
  <c r="AG23" i="30" s="1"/>
  <c r="AG10" i="30"/>
  <c r="AG10" i="31"/>
  <c r="Z23" i="30"/>
  <c r="Z24" i="30"/>
  <c r="Z26" i="30"/>
  <c r="AR26" i="30"/>
  <c r="AR22" i="30"/>
  <c r="AR29" i="30"/>
  <c r="AR23" i="30"/>
  <c r="AR24" i="30"/>
  <c r="AR23" i="31"/>
  <c r="AR22" i="31"/>
  <c r="X44" i="29"/>
  <c r="X29" i="31" s="1"/>
  <c r="AR44" i="29"/>
  <c r="X41" i="29"/>
  <c r="X26" i="31" s="1"/>
  <c r="AR41" i="29"/>
  <c r="X39" i="29"/>
  <c r="AR39" i="29"/>
  <c r="Z44" i="29"/>
  <c r="Z38" i="29"/>
  <c r="AA10" i="29"/>
  <c r="AB10" i="29"/>
  <c r="Z29" i="29"/>
  <c r="Z41" i="29"/>
  <c r="AA16" i="29"/>
  <c r="AB16" i="29"/>
  <c r="Z16" i="29"/>
  <c r="AA37" i="29"/>
  <c r="AB37" i="29"/>
  <c r="AB22" i="31" s="1"/>
  <c r="AA23" i="29"/>
  <c r="AB23" i="29"/>
  <c r="AB23" i="30" s="1"/>
  <c r="AA41" i="29"/>
  <c r="AB41" i="29"/>
  <c r="AB26" i="31" s="1"/>
  <c r="AA39" i="29"/>
  <c r="AB39" i="29"/>
  <c r="AB24" i="31" s="1"/>
  <c r="AA29" i="29"/>
  <c r="AB29" i="29"/>
  <c r="AB29" i="30" s="1"/>
  <c r="Z37" i="29"/>
  <c r="AA22" i="29"/>
  <c r="AB22" i="29"/>
  <c r="AB22" i="30" s="1"/>
  <c r="Z22" i="29"/>
  <c r="AA38" i="29"/>
  <c r="AB38" i="29"/>
  <c r="AB23" i="31" s="1"/>
  <c r="AA24" i="29"/>
  <c r="AB24" i="29"/>
  <c r="AB24" i="30" s="1"/>
  <c r="AA26" i="29"/>
  <c r="AB26" i="29"/>
  <c r="AB26" i="30" s="1"/>
  <c r="AA44" i="29"/>
  <c r="AB44" i="29"/>
  <c r="AB29" i="31" s="1"/>
  <c r="Z10" i="29"/>
  <c r="Z39" i="29"/>
  <c r="X38" i="29"/>
  <c r="X37" i="29"/>
  <c r="X26" i="29"/>
  <c r="X22" i="29"/>
  <c r="X29" i="29"/>
  <c r="X23" i="29"/>
  <c r="X24" i="29"/>
  <c r="CA36" i="31"/>
  <c r="CA20" i="31"/>
  <c r="AJ20" i="31"/>
  <c r="AJ36" i="31"/>
  <c r="BY36" i="30"/>
  <c r="BY20" i="30"/>
  <c r="AJ20" i="30"/>
  <c r="AJ36" i="30"/>
  <c r="W26" i="31"/>
  <c r="Y22" i="31"/>
  <c r="Y29" i="31"/>
  <c r="W29" i="31"/>
  <c r="W10" i="31"/>
  <c r="Y23" i="31"/>
  <c r="V10" i="31"/>
  <c r="Y26" i="31"/>
  <c r="Y24" i="31"/>
  <c r="Y10" i="31"/>
  <c r="W24" i="31"/>
  <c r="W22" i="31"/>
  <c r="W23" i="31"/>
  <c r="AM6" i="30"/>
  <c r="AM56" i="30"/>
  <c r="CB56" i="30" s="1"/>
  <c r="AM6" i="31"/>
  <c r="AM56" i="31"/>
  <c r="AL64" i="29"/>
  <c r="AL62" i="29"/>
  <c r="AL63" i="29"/>
  <c r="AM6" i="29"/>
  <c r="CB6" i="29" s="1"/>
  <c r="CC7" i="29"/>
  <c r="BZ64" i="29"/>
  <c r="BZ62" i="29"/>
  <c r="BZ63" i="29"/>
  <c r="V44" i="29"/>
  <c r="AC68" i="29"/>
  <c r="V41" i="29"/>
  <c r="AK68" i="29"/>
  <c r="AJ68" i="29"/>
  <c r="V26" i="29"/>
  <c r="V26" i="30" s="1"/>
  <c r="V22" i="29"/>
  <c r="V22" i="30" s="1"/>
  <c r="AD68" i="29"/>
  <c r="AH68" i="29"/>
  <c r="V38" i="29"/>
  <c r="V37" i="29"/>
  <c r="V23" i="29"/>
  <c r="V23" i="30" s="1"/>
  <c r="AE68" i="29"/>
  <c r="V39" i="29"/>
  <c r="AI68" i="29"/>
  <c r="AF68" i="29"/>
  <c r="V24" i="29"/>
  <c r="V24" i="30" s="1"/>
  <c r="V29" i="29"/>
  <c r="V29" i="30" s="1"/>
  <c r="AK8" i="30"/>
  <c r="BZ50" i="29"/>
  <c r="CA8" i="29"/>
  <c r="BZ20" i="29"/>
  <c r="BZ8" i="30"/>
  <c r="CB8" i="31"/>
  <c r="AK8" i="31"/>
  <c r="V31" i="30" l="1"/>
  <c r="V31" i="31"/>
  <c r="X31" i="30"/>
  <c r="X31" i="31"/>
  <c r="X30" i="30"/>
  <c r="X30" i="31"/>
  <c r="AR30" i="30"/>
  <c r="AA31" i="30"/>
  <c r="Y31" i="30"/>
  <c r="W31" i="30"/>
  <c r="Y34" i="31"/>
  <c r="Y30" i="30"/>
  <c r="W34" i="31"/>
  <c r="W30" i="30"/>
  <c r="Z30" i="30"/>
  <c r="AA30" i="30"/>
  <c r="Z31" i="30"/>
  <c r="V30" i="30"/>
  <c r="AR31" i="30"/>
  <c r="X16" i="30"/>
  <c r="X16" i="31"/>
  <c r="Z16" i="30"/>
  <c r="Z16" i="31"/>
  <c r="AR16" i="30"/>
  <c r="AR18" i="30" s="1"/>
  <c r="AR16" i="31"/>
  <c r="AB16" i="30"/>
  <c r="AB16" i="31"/>
  <c r="AA16" i="30"/>
  <c r="AA16" i="31"/>
  <c r="P11" i="29"/>
  <c r="P42" i="29"/>
  <c r="P16" i="29"/>
  <c r="P41" i="29"/>
  <c r="P26" i="31" s="1"/>
  <c r="P27" i="29"/>
  <c r="P45" i="29"/>
  <c r="P30" i="29"/>
  <c r="P15" i="29"/>
  <c r="P54" i="29"/>
  <c r="P46" i="29"/>
  <c r="P31" i="29"/>
  <c r="P53" i="29"/>
  <c r="P39" i="30" s="1"/>
  <c r="P55" i="29"/>
  <c r="P13" i="29"/>
  <c r="P12" i="29"/>
  <c r="P44" i="29"/>
  <c r="P29" i="31" s="1"/>
  <c r="BE68" i="29"/>
  <c r="P29" i="29"/>
  <c r="P29" i="30" s="1"/>
  <c r="P52" i="29"/>
  <c r="P14" i="29"/>
  <c r="P39" i="29"/>
  <c r="P24" i="31" s="1"/>
  <c r="P37" i="29"/>
  <c r="P22" i="31" s="1"/>
  <c r="P28" i="29"/>
  <c r="P10" i="29"/>
  <c r="P55" i="30"/>
  <c r="P56" i="29"/>
  <c r="P22" i="29"/>
  <c r="P22" i="30" s="1"/>
  <c r="P24" i="29"/>
  <c r="P24" i="30" s="1"/>
  <c r="P43" i="29"/>
  <c r="P26" i="29"/>
  <c r="P26" i="30" s="1"/>
  <c r="P23" i="29"/>
  <c r="P23" i="30" s="1"/>
  <c r="P57" i="29"/>
  <c r="P38" i="29"/>
  <c r="P23" i="31" s="1"/>
  <c r="P55" i="31"/>
  <c r="P30" i="31" s="1"/>
  <c r="AR10" i="31"/>
  <c r="AD45" i="29"/>
  <c r="AD46" i="29"/>
  <c r="AD31" i="31" s="1"/>
  <c r="AC45" i="29"/>
  <c r="AC46" i="29"/>
  <c r="AC31" i="31" s="1"/>
  <c r="AJ46" i="29"/>
  <c r="AJ31" i="31" s="1"/>
  <c r="AJ45" i="29"/>
  <c r="AF45" i="29"/>
  <c r="AF46" i="29"/>
  <c r="AF31" i="31" s="1"/>
  <c r="AK45" i="29"/>
  <c r="AK46" i="29"/>
  <c r="AK31" i="31" s="1"/>
  <c r="AI45" i="29"/>
  <c r="AI46" i="29"/>
  <c r="AI31" i="31" s="1"/>
  <c r="AE45" i="29"/>
  <c r="AE46" i="29"/>
  <c r="AE31" i="31" s="1"/>
  <c r="AH45" i="29"/>
  <c r="AH46" i="29"/>
  <c r="AH57" i="29"/>
  <c r="AH53" i="29"/>
  <c r="AH39" i="30" s="1"/>
  <c r="AH56" i="29"/>
  <c r="AH52" i="29"/>
  <c r="AH55" i="29"/>
  <c r="AH54" i="29"/>
  <c r="AK57" i="29"/>
  <c r="AK53" i="29"/>
  <c r="AK39" i="30" s="1"/>
  <c r="AK56" i="29"/>
  <c r="AK52" i="29"/>
  <c r="AK55" i="29"/>
  <c r="AK54" i="29"/>
  <c r="AJ57" i="29"/>
  <c r="AJ53" i="29"/>
  <c r="AJ39" i="30" s="1"/>
  <c r="AJ56" i="29"/>
  <c r="AJ52" i="29"/>
  <c r="AJ55" i="29"/>
  <c r="AJ54" i="29"/>
  <c r="AI57" i="29"/>
  <c r="AI53" i="29"/>
  <c r="AI39" i="30" s="1"/>
  <c r="AI56" i="29"/>
  <c r="AI52" i="29"/>
  <c r="AI54" i="29"/>
  <c r="AI55" i="29"/>
  <c r="AH39" i="29"/>
  <c r="AH24" i="31" s="1"/>
  <c r="AH37" i="29"/>
  <c r="AH22" i="31" s="1"/>
  <c r="AH41" i="29"/>
  <c r="AH26" i="31" s="1"/>
  <c r="AH43" i="29"/>
  <c r="AH38" i="29"/>
  <c r="AH23" i="31" s="1"/>
  <c r="AH42" i="29"/>
  <c r="AH44" i="29"/>
  <c r="AH29" i="31" s="1"/>
  <c r="AJ43" i="29"/>
  <c r="AJ44" i="29"/>
  <c r="AJ29" i="31" s="1"/>
  <c r="AJ41" i="29"/>
  <c r="AJ26" i="31" s="1"/>
  <c r="AJ38" i="29"/>
  <c r="AJ23" i="31" s="1"/>
  <c r="AJ42" i="29"/>
  <c r="AJ37" i="29"/>
  <c r="AJ22" i="31" s="1"/>
  <c r="AJ39" i="29"/>
  <c r="AJ24" i="31" s="1"/>
  <c r="AK38" i="29"/>
  <c r="AK23" i="31" s="1"/>
  <c r="AK42" i="29"/>
  <c r="AK37" i="29"/>
  <c r="AK22" i="31" s="1"/>
  <c r="AK41" i="29"/>
  <c r="AK26" i="31" s="1"/>
  <c r="AK44" i="29"/>
  <c r="AK29" i="31" s="1"/>
  <c r="AK39" i="29"/>
  <c r="AK24" i="31" s="1"/>
  <c r="AK43" i="29"/>
  <c r="AI39" i="29"/>
  <c r="AI24" i="31" s="1"/>
  <c r="AI43" i="29"/>
  <c r="AI41" i="29"/>
  <c r="AI26" i="31" s="1"/>
  <c r="AI37" i="29"/>
  <c r="AI22" i="31" s="1"/>
  <c r="AI44" i="29"/>
  <c r="AI29" i="31" s="1"/>
  <c r="AI38" i="29"/>
  <c r="AI23" i="31" s="1"/>
  <c r="AI42" i="29"/>
  <c r="AI10" i="29"/>
  <c r="AI13" i="29"/>
  <c r="AI16" i="29"/>
  <c r="AI12" i="29"/>
  <c r="AI15" i="29"/>
  <c r="AI11" i="29"/>
  <c r="AI14" i="29"/>
  <c r="AH10" i="29"/>
  <c r="AH13" i="29"/>
  <c r="AH16" i="29"/>
  <c r="AH12" i="29"/>
  <c r="AH15" i="29"/>
  <c r="AH14" i="29"/>
  <c r="AH11" i="29"/>
  <c r="AK16" i="29"/>
  <c r="AK10" i="29"/>
  <c r="AK12" i="29"/>
  <c r="AK15" i="29"/>
  <c r="AK11" i="29"/>
  <c r="AK14" i="29"/>
  <c r="AK13" i="29"/>
  <c r="AJ13" i="29"/>
  <c r="AJ16" i="29"/>
  <c r="AJ12" i="29"/>
  <c r="AJ15" i="29"/>
  <c r="AJ11" i="29"/>
  <c r="AJ14" i="29"/>
  <c r="AJ10" i="29"/>
  <c r="AG33" i="30"/>
  <c r="AH24" i="29"/>
  <c r="AH28" i="29"/>
  <c r="AH31" i="29"/>
  <c r="AH22" i="29"/>
  <c r="AH26" i="29"/>
  <c r="AH26" i="30" s="1"/>
  <c r="AH23" i="29"/>
  <c r="AH27" i="29"/>
  <c r="AH30" i="29"/>
  <c r="AH29" i="29"/>
  <c r="AJ28" i="29"/>
  <c r="AJ31" i="29"/>
  <c r="AJ29" i="29"/>
  <c r="AJ23" i="29"/>
  <c r="AJ27" i="29"/>
  <c r="AJ30" i="29"/>
  <c r="AJ22" i="29"/>
  <c r="AJ26" i="29"/>
  <c r="AJ26" i="30" s="1"/>
  <c r="AJ24" i="29"/>
  <c r="AK31" i="29"/>
  <c r="AK23" i="29"/>
  <c r="AK27" i="29"/>
  <c r="AK30" i="29"/>
  <c r="AK22" i="29"/>
  <c r="AK26" i="29"/>
  <c r="AK26" i="30" s="1"/>
  <c r="AK29" i="29"/>
  <c r="AK24" i="29"/>
  <c r="AK28" i="29"/>
  <c r="AI24" i="29"/>
  <c r="AI28" i="29"/>
  <c r="AI31" i="29"/>
  <c r="AI26" i="29"/>
  <c r="AI26" i="30" s="1"/>
  <c r="AI23" i="29"/>
  <c r="AI27" i="29"/>
  <c r="AI30" i="29"/>
  <c r="AI29" i="29"/>
  <c r="AI22" i="29"/>
  <c r="AD30" i="29"/>
  <c r="AD31" i="29"/>
  <c r="AF30" i="29"/>
  <c r="AF31" i="29"/>
  <c r="AE30" i="29"/>
  <c r="AE31" i="29"/>
  <c r="AC30" i="29"/>
  <c r="AC31" i="29"/>
  <c r="AL68" i="29"/>
  <c r="Z26" i="31"/>
  <c r="Z22" i="31"/>
  <c r="Z23" i="31"/>
  <c r="Z24" i="31"/>
  <c r="Z29" i="31"/>
  <c r="Z22" i="30"/>
  <c r="Z29" i="30"/>
  <c r="Z10" i="30"/>
  <c r="AA24" i="31"/>
  <c r="AA26" i="31"/>
  <c r="AA26" i="30"/>
  <c r="AA23" i="30"/>
  <c r="AA24" i="30"/>
  <c r="AA22" i="30"/>
  <c r="AA29" i="30"/>
  <c r="AA10" i="30"/>
  <c r="AR24" i="31"/>
  <c r="AR26" i="31"/>
  <c r="AR29" i="31"/>
  <c r="AA23" i="31"/>
  <c r="AA10" i="31"/>
  <c r="AA22" i="31"/>
  <c r="AA29" i="31"/>
  <c r="AB34" i="31"/>
  <c r="AB33" i="30"/>
  <c r="Z10" i="31"/>
  <c r="AB10" i="30"/>
  <c r="AB10" i="31"/>
  <c r="AK20" i="31"/>
  <c r="AK36" i="31"/>
  <c r="CB36" i="31"/>
  <c r="CB20" i="31"/>
  <c r="BZ36" i="30"/>
  <c r="BZ20" i="30"/>
  <c r="AK36" i="30"/>
  <c r="AK20" i="30"/>
  <c r="V18" i="31"/>
  <c r="W18" i="31"/>
  <c r="Y18" i="31"/>
  <c r="V22" i="31"/>
  <c r="V23" i="31"/>
  <c r="V26" i="31"/>
  <c r="V29" i="31"/>
  <c r="V24" i="31"/>
  <c r="AN56" i="30"/>
  <c r="CC56" i="30" s="1"/>
  <c r="AN6" i="30"/>
  <c r="AP56" i="31"/>
  <c r="AN6" i="31"/>
  <c r="AN56" i="31"/>
  <c r="AM64" i="29"/>
  <c r="AM63" i="29"/>
  <c r="AM62" i="29"/>
  <c r="AM68" i="29" s="1"/>
  <c r="AN6" i="29"/>
  <c r="CC6" i="29" s="1"/>
  <c r="CD7" i="29"/>
  <c r="CA64" i="29"/>
  <c r="CA62" i="29"/>
  <c r="CA63" i="29"/>
  <c r="AJ55" i="31"/>
  <c r="AJ55" i="30"/>
  <c r="BY68" i="29"/>
  <c r="BV68" i="29"/>
  <c r="AG55" i="31"/>
  <c r="AG55" i="30"/>
  <c r="AG43" i="30" s="1"/>
  <c r="BX68" i="29"/>
  <c r="AI55" i="30"/>
  <c r="AI55" i="31"/>
  <c r="AK55" i="30"/>
  <c r="AK55" i="31"/>
  <c r="BZ68" i="29"/>
  <c r="AD14" i="29"/>
  <c r="AD52" i="29"/>
  <c r="AD38" i="30" s="1"/>
  <c r="AD55" i="31"/>
  <c r="AD23" i="29"/>
  <c r="AD23" i="30" s="1"/>
  <c r="AD15" i="29"/>
  <c r="AD57" i="29"/>
  <c r="AD37" i="29"/>
  <c r="AD55" i="29"/>
  <c r="AD41" i="30" s="1"/>
  <c r="AD10" i="29"/>
  <c r="AD10" i="30" s="1"/>
  <c r="AD12" i="29"/>
  <c r="AD12" i="30" s="1"/>
  <c r="AD22" i="29"/>
  <c r="AD22" i="30" s="1"/>
  <c r="AD16" i="29"/>
  <c r="AD55" i="30"/>
  <c r="AD27" i="29"/>
  <c r="AD11" i="29"/>
  <c r="AD11" i="30" s="1"/>
  <c r="AD26" i="29"/>
  <c r="AD26" i="30" s="1"/>
  <c r="AD54" i="29"/>
  <c r="AD40" i="30" s="1"/>
  <c r="AD24" i="29"/>
  <c r="AD24" i="30" s="1"/>
  <c r="AD13" i="29"/>
  <c r="AD39" i="29"/>
  <c r="AD38" i="29"/>
  <c r="AD41" i="29"/>
  <c r="AD44" i="29"/>
  <c r="AD53" i="29"/>
  <c r="AD39" i="30" s="1"/>
  <c r="AD43" i="29"/>
  <c r="AD28" i="30" s="1"/>
  <c r="AD29" i="29"/>
  <c r="AD29" i="30" s="1"/>
  <c r="AD42" i="29"/>
  <c r="AD27" i="30" s="1"/>
  <c r="AD28" i="29"/>
  <c r="AD56" i="29"/>
  <c r="AD42" i="30" s="1"/>
  <c r="BS68" i="29"/>
  <c r="AF54" i="29"/>
  <c r="AF40" i="30" s="1"/>
  <c r="AF39" i="29"/>
  <c r="AF11" i="29"/>
  <c r="AF11" i="30" s="1"/>
  <c r="AF15" i="29"/>
  <c r="AF56" i="29"/>
  <c r="AF42" i="30" s="1"/>
  <c r="AF55" i="29"/>
  <c r="AF41" i="30" s="1"/>
  <c r="AF42" i="29"/>
  <c r="AF27" i="30" s="1"/>
  <c r="AF13" i="29"/>
  <c r="AF52" i="29"/>
  <c r="AF38" i="30" s="1"/>
  <c r="AF22" i="29"/>
  <c r="AF22" i="30" s="1"/>
  <c r="AF38" i="29"/>
  <c r="AF29" i="29"/>
  <c r="AF29" i="30" s="1"/>
  <c r="AF57" i="29"/>
  <c r="AF10" i="29"/>
  <c r="AF10" i="30" s="1"/>
  <c r="AF37" i="29"/>
  <c r="AF43" i="29"/>
  <c r="AF28" i="30" s="1"/>
  <c r="BU68" i="29"/>
  <c r="AF26" i="29"/>
  <c r="AF26" i="30" s="1"/>
  <c r="AF55" i="30"/>
  <c r="AF24" i="29"/>
  <c r="AF24" i="30" s="1"/>
  <c r="AF41" i="29"/>
  <c r="AF53" i="29"/>
  <c r="AF39" i="30" s="1"/>
  <c r="AF12" i="29"/>
  <c r="AF12" i="30" s="1"/>
  <c r="AF27" i="29"/>
  <c r="AF23" i="29"/>
  <c r="AF23" i="30" s="1"/>
  <c r="AF14" i="29"/>
  <c r="AF44" i="29"/>
  <c r="AF28" i="29"/>
  <c r="AF16" i="29"/>
  <c r="AF55" i="31"/>
  <c r="AF30" i="31" s="1"/>
  <c r="AC41" i="29"/>
  <c r="AC42" i="29"/>
  <c r="AC11" i="29"/>
  <c r="AC29" i="29"/>
  <c r="AC29" i="30" s="1"/>
  <c r="AC57" i="29"/>
  <c r="AC55" i="29"/>
  <c r="AC27" i="29"/>
  <c r="AC38" i="29"/>
  <c r="AC55" i="30"/>
  <c r="AC30" i="30" s="1"/>
  <c r="AC53" i="29"/>
  <c r="BR68" i="29"/>
  <c r="AC28" i="29"/>
  <c r="AC12" i="29"/>
  <c r="AC13" i="29"/>
  <c r="AC26" i="29"/>
  <c r="AC26" i="30" s="1"/>
  <c r="AC39" i="29"/>
  <c r="AC37" i="29"/>
  <c r="AC56" i="29"/>
  <c r="AC24" i="29"/>
  <c r="AC24" i="30" s="1"/>
  <c r="AC10" i="29"/>
  <c r="AC10" i="30" s="1"/>
  <c r="AC55" i="31"/>
  <c r="AC16" i="29"/>
  <c r="AC52" i="29"/>
  <c r="AC22" i="29"/>
  <c r="AC22" i="30" s="1"/>
  <c r="AC44" i="29"/>
  <c r="AC54" i="29"/>
  <c r="AC15" i="29"/>
  <c r="AC43" i="29"/>
  <c r="AC14" i="29"/>
  <c r="AC23" i="29"/>
  <c r="AC23" i="30" s="1"/>
  <c r="AH55" i="30"/>
  <c r="AH55" i="31"/>
  <c r="BW68" i="29"/>
  <c r="AE29" i="29"/>
  <c r="AE29" i="30" s="1"/>
  <c r="AE24" i="29"/>
  <c r="AE24" i="30" s="1"/>
  <c r="AE41" i="29"/>
  <c r="AE55" i="31"/>
  <c r="AE23" i="29"/>
  <c r="AE23" i="30" s="1"/>
  <c r="AE43" i="29"/>
  <c r="AE28" i="30" s="1"/>
  <c r="AE12" i="29"/>
  <c r="AE12" i="30" s="1"/>
  <c r="AE55" i="30"/>
  <c r="AE39" i="29"/>
  <c r="AE57" i="29"/>
  <c r="AE37" i="29"/>
  <c r="AE16" i="29"/>
  <c r="AE22" i="29"/>
  <c r="AE22" i="30" s="1"/>
  <c r="AE14" i="29"/>
  <c r="AE10" i="29"/>
  <c r="AE10" i="30" s="1"/>
  <c r="AE54" i="29"/>
  <c r="AE40" i="30" s="1"/>
  <c r="AE13" i="29"/>
  <c r="BT68" i="29"/>
  <c r="AE52" i="29"/>
  <c r="AE38" i="30" s="1"/>
  <c r="AE28" i="29"/>
  <c r="AE15" i="29"/>
  <c r="AE56" i="29"/>
  <c r="AE42" i="30" s="1"/>
  <c r="AE11" i="29"/>
  <c r="AE11" i="30" s="1"/>
  <c r="AE26" i="29"/>
  <c r="AE26" i="30" s="1"/>
  <c r="AE27" i="29"/>
  <c r="AE53" i="29"/>
  <c r="AE39" i="30" s="1"/>
  <c r="AE55" i="29"/>
  <c r="AE41" i="30" s="1"/>
  <c r="AE44" i="29"/>
  <c r="AE42" i="29"/>
  <c r="AE27" i="30" s="1"/>
  <c r="AE38" i="29"/>
  <c r="CA8" i="30"/>
  <c r="CA50" i="29"/>
  <c r="CA20" i="29"/>
  <c r="CB8" i="29"/>
  <c r="AL8" i="31"/>
  <c r="AL36" i="31" s="1"/>
  <c r="CC8" i="31"/>
  <c r="AL8" i="30"/>
  <c r="AC30" i="31" l="1"/>
  <c r="AH30" i="31"/>
  <c r="AF30" i="30"/>
  <c r="AE30" i="30"/>
  <c r="AE30" i="31"/>
  <c r="AD30" i="30"/>
  <c r="AD30" i="31"/>
  <c r="AI30" i="30"/>
  <c r="AK30" i="31"/>
  <c r="AJ30" i="30"/>
  <c r="AJ30" i="31"/>
  <c r="AI30" i="31"/>
  <c r="AH30" i="30"/>
  <c r="AK30" i="30"/>
  <c r="AH31" i="30"/>
  <c r="AH31" i="31"/>
  <c r="P31" i="30"/>
  <c r="P31" i="31"/>
  <c r="P30" i="30"/>
  <c r="AF31" i="30"/>
  <c r="AJ31" i="30"/>
  <c r="AC31" i="30"/>
  <c r="AD31" i="30"/>
  <c r="AE31" i="30"/>
  <c r="AI31" i="30"/>
  <c r="AK31" i="30"/>
  <c r="AH16" i="31"/>
  <c r="AJ16" i="31"/>
  <c r="AE16" i="31"/>
  <c r="AK16" i="31"/>
  <c r="AD16" i="31"/>
  <c r="AC16" i="31"/>
  <c r="P16" i="31"/>
  <c r="AI16" i="31"/>
  <c r="AF16" i="31"/>
  <c r="AI16" i="30"/>
  <c r="AH16" i="30"/>
  <c r="P16" i="30"/>
  <c r="AF16" i="30"/>
  <c r="AK16" i="30"/>
  <c r="AJ16" i="30"/>
  <c r="AD16" i="30"/>
  <c r="AE16" i="30"/>
  <c r="AC16" i="30"/>
  <c r="P12" i="31"/>
  <c r="P12" i="30"/>
  <c r="P13" i="31"/>
  <c r="P13" i="30"/>
  <c r="P41" i="30"/>
  <c r="P41" i="31"/>
  <c r="P28" i="30"/>
  <c r="P28" i="31"/>
  <c r="P42" i="31"/>
  <c r="P42" i="30"/>
  <c r="BE55" i="30"/>
  <c r="P43" i="30"/>
  <c r="P40" i="30"/>
  <c r="P40" i="31"/>
  <c r="P10" i="31"/>
  <c r="P10" i="30"/>
  <c r="P15" i="30"/>
  <c r="P15" i="31"/>
  <c r="P38" i="30"/>
  <c r="P38" i="31"/>
  <c r="BE55" i="31"/>
  <c r="P43" i="31"/>
  <c r="P27" i="30"/>
  <c r="P27" i="31"/>
  <c r="BE43" i="29"/>
  <c r="BE44" i="29"/>
  <c r="BE29" i="31" s="1"/>
  <c r="BE37" i="29"/>
  <c r="BE22" i="31" s="1"/>
  <c r="BE55" i="29"/>
  <c r="BE27" i="29"/>
  <c r="BE23" i="29"/>
  <c r="BE23" i="30" s="1"/>
  <c r="BE12" i="29"/>
  <c r="BE46" i="29"/>
  <c r="BE15" i="29"/>
  <c r="BE30" i="29"/>
  <c r="BE57" i="29"/>
  <c r="BE13" i="29"/>
  <c r="BE42" i="29"/>
  <c r="BE10" i="29"/>
  <c r="BE26" i="29"/>
  <c r="BE26" i="30" s="1"/>
  <c r="BE56" i="29"/>
  <c r="BE24" i="29"/>
  <c r="BE24" i="30" s="1"/>
  <c r="BE16" i="29"/>
  <c r="BE38" i="29"/>
  <c r="BE23" i="31" s="1"/>
  <c r="BE45" i="29"/>
  <c r="BE54" i="29"/>
  <c r="BE28" i="29"/>
  <c r="BE29" i="29"/>
  <c r="BE29" i="30" s="1"/>
  <c r="BE53" i="29"/>
  <c r="BE39" i="30" s="1"/>
  <c r="BE31" i="29"/>
  <c r="BE11" i="29"/>
  <c r="BE41" i="29"/>
  <c r="BE26" i="31" s="1"/>
  <c r="BE52" i="29"/>
  <c r="BE22" i="29"/>
  <c r="BE22" i="30" s="1"/>
  <c r="BE14" i="29"/>
  <c r="BE39" i="29"/>
  <c r="BE24" i="31" s="1"/>
  <c r="P11" i="30"/>
  <c r="P11" i="31"/>
  <c r="AR18" i="31"/>
  <c r="Y33" i="30"/>
  <c r="Y47" i="30" s="1"/>
  <c r="Y52" i="30" s="1"/>
  <c r="V33" i="30"/>
  <c r="V47" i="30" s="1"/>
  <c r="V52" i="30" s="1"/>
  <c r="AR33" i="30"/>
  <c r="AR47" i="30" s="1"/>
  <c r="AR48" i="30" s="1"/>
  <c r="AR50" i="30" s="1"/>
  <c r="W33" i="30"/>
  <c r="W47" i="30" s="1"/>
  <c r="W52" i="30" s="1"/>
  <c r="AK43" i="30"/>
  <c r="AH43" i="30"/>
  <c r="AM46" i="29"/>
  <c r="AM31" i="31" s="1"/>
  <c r="AM45" i="29"/>
  <c r="AL46" i="29"/>
  <c r="AL31" i="31" s="1"/>
  <c r="AL45" i="29"/>
  <c r="BY16" i="29"/>
  <c r="BY45" i="29"/>
  <c r="BY28" i="29"/>
  <c r="BY41" i="29"/>
  <c r="BY52" i="29"/>
  <c r="BY38" i="30" s="1"/>
  <c r="BY31" i="29"/>
  <c r="BY14" i="29"/>
  <c r="BY43" i="29"/>
  <c r="BY28" i="30" s="1"/>
  <c r="BY27" i="29"/>
  <c r="BY46" i="29"/>
  <c r="BY31" i="30" s="1"/>
  <c r="BY30" i="29"/>
  <c r="BY13" i="29"/>
  <c r="BY42" i="29"/>
  <c r="BY27" i="30" s="1"/>
  <c r="BY26" i="29"/>
  <c r="BR43" i="29"/>
  <c r="BR28" i="30" s="1"/>
  <c r="BR27" i="29"/>
  <c r="BR52" i="29"/>
  <c r="BR38" i="30" s="1"/>
  <c r="BR31" i="29"/>
  <c r="BR46" i="29"/>
  <c r="BR31" i="30" s="1"/>
  <c r="BR30" i="29"/>
  <c r="BR13" i="29"/>
  <c r="BR42" i="29"/>
  <c r="BR27" i="30" s="1"/>
  <c r="BR26" i="29"/>
  <c r="BR26" i="30" s="1"/>
  <c r="BR14" i="29"/>
  <c r="BR16" i="29"/>
  <c r="BR45" i="29"/>
  <c r="BR28" i="29"/>
  <c r="BR41" i="29"/>
  <c r="BU46" i="29"/>
  <c r="BU31" i="30" s="1"/>
  <c r="BU30" i="29"/>
  <c r="BU13" i="29"/>
  <c r="BU42" i="29"/>
  <c r="BU27" i="30" s="1"/>
  <c r="BU26" i="29"/>
  <c r="BU26" i="30" s="1"/>
  <c r="BU16" i="29"/>
  <c r="BU45" i="29"/>
  <c r="BU28" i="29"/>
  <c r="BU41" i="29"/>
  <c r="BU52" i="29"/>
  <c r="BU38" i="30" s="1"/>
  <c r="BU31" i="29"/>
  <c r="BU14" i="29"/>
  <c r="BU43" i="29"/>
  <c r="BU28" i="30" s="1"/>
  <c r="BU27" i="29"/>
  <c r="BS46" i="29"/>
  <c r="BS31" i="30" s="1"/>
  <c r="BS30" i="29"/>
  <c r="BS13" i="29"/>
  <c r="BS42" i="29"/>
  <c r="BS27" i="30" s="1"/>
  <c r="BS26" i="29"/>
  <c r="BS26" i="30" s="1"/>
  <c r="BS16" i="29"/>
  <c r="BS45" i="29"/>
  <c r="BS28" i="29"/>
  <c r="BS41" i="29"/>
  <c r="BS52" i="29"/>
  <c r="BS38" i="30" s="1"/>
  <c r="BS31" i="29"/>
  <c r="BS14" i="29"/>
  <c r="BS43" i="29"/>
  <c r="BS28" i="30" s="1"/>
  <c r="BS27" i="29"/>
  <c r="BZ16" i="29"/>
  <c r="BZ45" i="29"/>
  <c r="BZ28" i="29"/>
  <c r="BZ41" i="29"/>
  <c r="BZ52" i="29"/>
  <c r="BZ38" i="30" s="1"/>
  <c r="BZ31" i="29"/>
  <c r="BZ14" i="29"/>
  <c r="BZ26" i="29"/>
  <c r="BZ43" i="29"/>
  <c r="BZ28" i="30" s="1"/>
  <c r="BZ27" i="29"/>
  <c r="BZ46" i="29"/>
  <c r="BZ31" i="30" s="1"/>
  <c r="BZ30" i="29"/>
  <c r="BZ13" i="29"/>
  <c r="BZ42" i="29"/>
  <c r="BZ27" i="30" s="1"/>
  <c r="BT46" i="29"/>
  <c r="BT31" i="30" s="1"/>
  <c r="BT30" i="29"/>
  <c r="BT13" i="29"/>
  <c r="BT42" i="29"/>
  <c r="BT27" i="30" s="1"/>
  <c r="BT26" i="29"/>
  <c r="BT26" i="30" s="1"/>
  <c r="BT16" i="29"/>
  <c r="BT27" i="29"/>
  <c r="BT43" i="29"/>
  <c r="BT28" i="30" s="1"/>
  <c r="BT45" i="29"/>
  <c r="BT28" i="29"/>
  <c r="BT41" i="29"/>
  <c r="BT52" i="29"/>
  <c r="BT38" i="30" s="1"/>
  <c r="BT31" i="29"/>
  <c r="BT14" i="29"/>
  <c r="BW42" i="29"/>
  <c r="BW27" i="30" s="1"/>
  <c r="BW26" i="29"/>
  <c r="BW16" i="29"/>
  <c r="BW45" i="29"/>
  <c r="BW28" i="29"/>
  <c r="BW41" i="29"/>
  <c r="BW52" i="29"/>
  <c r="BW38" i="30" s="1"/>
  <c r="BW31" i="29"/>
  <c r="BW14" i="29"/>
  <c r="BW43" i="29"/>
  <c r="BW28" i="30" s="1"/>
  <c r="BW27" i="29"/>
  <c r="BW46" i="29"/>
  <c r="BW31" i="30" s="1"/>
  <c r="BW30" i="29"/>
  <c r="BW13" i="29"/>
  <c r="BX42" i="29"/>
  <c r="BX27" i="30" s="1"/>
  <c r="BX26" i="29"/>
  <c r="BX46" i="29"/>
  <c r="BX31" i="30" s="1"/>
  <c r="BX16" i="29"/>
  <c r="BX30" i="29"/>
  <c r="BX13" i="29"/>
  <c r="BX45" i="29"/>
  <c r="BX28" i="29"/>
  <c r="BX41" i="29"/>
  <c r="BX52" i="29"/>
  <c r="BX38" i="30" s="1"/>
  <c r="BX31" i="29"/>
  <c r="BX14" i="29"/>
  <c r="BX43" i="29"/>
  <c r="BX28" i="30" s="1"/>
  <c r="BX27" i="29"/>
  <c r="AJ43" i="30"/>
  <c r="AI43" i="30"/>
  <c r="AK38" i="31"/>
  <c r="AK38" i="30"/>
  <c r="AK42" i="31"/>
  <c r="AK42" i="30"/>
  <c r="AJ41" i="30"/>
  <c r="AJ41" i="31"/>
  <c r="AJ38" i="31"/>
  <c r="AJ38" i="30"/>
  <c r="AJ42" i="31"/>
  <c r="AJ42" i="30"/>
  <c r="AI41" i="30"/>
  <c r="AI41" i="31"/>
  <c r="AI38" i="30"/>
  <c r="AI38" i="31"/>
  <c r="AJ40" i="30"/>
  <c r="AJ40" i="31"/>
  <c r="AI42" i="31"/>
  <c r="AI42" i="30"/>
  <c r="AH41" i="30"/>
  <c r="AH41" i="31"/>
  <c r="AH38" i="30"/>
  <c r="AH38" i="31"/>
  <c r="AH42" i="31"/>
  <c r="AH42" i="30"/>
  <c r="AI40" i="31"/>
  <c r="AI40" i="30"/>
  <c r="AK40" i="31"/>
  <c r="AK40" i="30"/>
  <c r="AK41" i="30"/>
  <c r="AK41" i="31"/>
  <c r="AH40" i="31"/>
  <c r="AH40" i="30"/>
  <c r="AM38" i="29"/>
  <c r="AM39" i="29"/>
  <c r="AM41" i="29"/>
  <c r="AM26" i="31" s="1"/>
  <c r="AM37" i="29"/>
  <c r="AL38" i="29"/>
  <c r="AL23" i="31" s="1"/>
  <c r="AL39" i="29"/>
  <c r="AL24" i="31" s="1"/>
  <c r="AL41" i="29"/>
  <c r="AL26" i="31" s="1"/>
  <c r="AL37" i="29"/>
  <c r="AL22" i="31" s="1"/>
  <c r="AK27" i="30"/>
  <c r="AK27" i="31"/>
  <c r="AI27" i="30"/>
  <c r="AI27" i="31"/>
  <c r="AI28" i="30"/>
  <c r="AI28" i="31"/>
  <c r="AJ27" i="30"/>
  <c r="AJ27" i="31"/>
  <c r="AH27" i="30"/>
  <c r="AH27" i="31"/>
  <c r="AK28" i="30"/>
  <c r="AK28" i="31"/>
  <c r="AJ28" i="30"/>
  <c r="AJ28" i="31"/>
  <c r="AH28" i="30"/>
  <c r="AH28" i="31"/>
  <c r="AJ13" i="31"/>
  <c r="AJ13" i="30"/>
  <c r="AI11" i="31"/>
  <c r="AI11" i="30"/>
  <c r="AK13" i="31"/>
  <c r="AK13" i="30"/>
  <c r="AI15" i="31"/>
  <c r="AI15" i="30"/>
  <c r="AK10" i="30"/>
  <c r="AK10" i="31"/>
  <c r="AI12" i="31"/>
  <c r="AI12" i="30"/>
  <c r="AK11" i="31"/>
  <c r="AK11" i="30"/>
  <c r="AI13" i="30"/>
  <c r="AI13" i="31"/>
  <c r="AK15" i="31"/>
  <c r="AK15" i="30"/>
  <c r="AI10" i="30"/>
  <c r="AI10" i="31"/>
  <c r="AK12" i="31"/>
  <c r="AK12" i="30"/>
  <c r="AH11" i="31"/>
  <c r="AH11" i="30"/>
  <c r="AJ10" i="30"/>
  <c r="AJ10" i="31"/>
  <c r="AH15" i="31"/>
  <c r="AH15" i="30"/>
  <c r="AH12" i="31"/>
  <c r="AH12" i="30"/>
  <c r="AJ11" i="31"/>
  <c r="AJ11" i="30"/>
  <c r="AJ15" i="31"/>
  <c r="AJ15" i="30"/>
  <c r="AH13" i="31"/>
  <c r="AH13" i="30"/>
  <c r="AJ12" i="31"/>
  <c r="AJ12" i="30"/>
  <c r="AH10" i="30"/>
  <c r="AH10" i="31"/>
  <c r="AL22" i="29"/>
  <c r="AL23" i="29"/>
  <c r="AL24" i="29"/>
  <c r="AL24" i="30" s="1"/>
  <c r="AL26" i="29"/>
  <c r="AL26" i="30" s="1"/>
  <c r="AL27" i="29"/>
  <c r="AL28" i="29"/>
  <c r="AL29" i="29"/>
  <c r="AL30" i="29"/>
  <c r="AM31" i="29"/>
  <c r="AM30" i="29"/>
  <c r="AL31" i="29"/>
  <c r="AL10" i="29"/>
  <c r="AL10" i="30" s="1"/>
  <c r="AL15" i="29"/>
  <c r="AL15" i="30" s="1"/>
  <c r="CA68" i="29"/>
  <c r="AL13" i="29"/>
  <c r="AL13" i="31" s="1"/>
  <c r="AL16" i="29"/>
  <c r="AL57" i="29"/>
  <c r="AL55" i="29"/>
  <c r="AL41" i="30" s="1"/>
  <c r="AL55" i="30"/>
  <c r="AL12" i="29"/>
  <c r="AL12" i="30" s="1"/>
  <c r="AL55" i="31"/>
  <c r="AL11" i="29"/>
  <c r="AL11" i="30" s="1"/>
  <c r="AL54" i="29"/>
  <c r="AL40" i="30" s="1"/>
  <c r="AL14" i="29"/>
  <c r="AL14" i="30" s="1"/>
  <c r="AL53" i="29"/>
  <c r="AL39" i="30" s="1"/>
  <c r="AL44" i="29"/>
  <c r="AL29" i="31" s="1"/>
  <c r="AL56" i="29"/>
  <c r="AL42" i="30" s="1"/>
  <c r="AL43" i="29"/>
  <c r="AL28" i="30" s="1"/>
  <c r="AL52" i="29"/>
  <c r="AL38" i="30" s="1"/>
  <c r="AL42" i="29"/>
  <c r="AL27" i="30" s="1"/>
  <c r="AC15" i="30"/>
  <c r="AC15" i="31"/>
  <c r="AD15" i="30"/>
  <c r="AD15" i="31"/>
  <c r="AF15" i="30"/>
  <c r="AF15" i="31"/>
  <c r="AE15" i="30"/>
  <c r="AE15" i="31"/>
  <c r="AC12" i="30"/>
  <c r="AC28" i="30"/>
  <c r="AC40" i="30"/>
  <c r="AC39" i="30"/>
  <c r="AC38" i="30"/>
  <c r="AC41" i="30"/>
  <c r="AC11" i="30"/>
  <c r="AC42" i="30"/>
  <c r="AC27" i="30"/>
  <c r="BV15" i="29"/>
  <c r="Z33" i="30"/>
  <c r="Z18" i="30"/>
  <c r="Z34" i="31"/>
  <c r="AA18" i="30"/>
  <c r="AA33" i="30"/>
  <c r="AA34" i="31"/>
  <c r="AA18" i="31"/>
  <c r="AR34" i="31"/>
  <c r="AB18" i="30"/>
  <c r="AB47" i="30" s="1"/>
  <c r="AB52" i="30" s="1"/>
  <c r="Z18" i="31"/>
  <c r="AB18" i="31"/>
  <c r="AB47" i="31" s="1"/>
  <c r="BZ10" i="29"/>
  <c r="BZ10" i="30" s="1"/>
  <c r="BZ12" i="29"/>
  <c r="BZ12" i="30" s="1"/>
  <c r="BZ15" i="29"/>
  <c r="BZ15" i="31" s="1"/>
  <c r="BZ11" i="29"/>
  <c r="BZ11" i="30" s="1"/>
  <c r="BW12" i="29"/>
  <c r="BW12" i="30" s="1"/>
  <c r="BW10" i="29"/>
  <c r="BW10" i="30" s="1"/>
  <c r="BW11" i="29"/>
  <c r="BW11" i="30" s="1"/>
  <c r="BW15" i="29"/>
  <c r="BW15" i="31" s="1"/>
  <c r="BX12" i="29"/>
  <c r="BX12" i="30" s="1"/>
  <c r="BX11" i="29"/>
  <c r="BX11" i="30" s="1"/>
  <c r="BX10" i="29"/>
  <c r="BX10" i="30" s="1"/>
  <c r="BX15" i="29"/>
  <c r="BX15" i="31" s="1"/>
  <c r="BY10" i="29"/>
  <c r="BY10" i="30" s="1"/>
  <c r="BY15" i="29"/>
  <c r="BY15" i="31" s="1"/>
  <c r="BY12" i="29"/>
  <c r="BY12" i="30" s="1"/>
  <c r="BY11" i="29"/>
  <c r="BY11" i="30" s="1"/>
  <c r="CC36" i="31"/>
  <c r="CC20" i="31"/>
  <c r="AF13" i="30"/>
  <c r="AF13" i="31"/>
  <c r="AD13" i="30"/>
  <c r="AD13" i="31"/>
  <c r="AE13" i="30"/>
  <c r="AE13" i="31"/>
  <c r="AC13" i="30"/>
  <c r="AC13" i="31"/>
  <c r="AF43" i="30"/>
  <c r="AF45" i="30" s="1"/>
  <c r="AE43" i="30"/>
  <c r="AE45" i="30" s="1"/>
  <c r="AC43" i="30"/>
  <c r="AD43" i="30"/>
  <c r="AD45" i="30" s="1"/>
  <c r="CA36" i="30"/>
  <c r="CA20" i="30"/>
  <c r="AL36" i="30"/>
  <c r="AL20" i="30"/>
  <c r="AG18" i="30"/>
  <c r="W47" i="31"/>
  <c r="W52" i="31" s="1"/>
  <c r="Y47" i="31"/>
  <c r="Y52" i="31" s="1"/>
  <c r="V34" i="31"/>
  <c r="V47" i="31" s="1"/>
  <c r="V52" i="31" s="1"/>
  <c r="AG45" i="30"/>
  <c r="AD27" i="31"/>
  <c r="AE10" i="31"/>
  <c r="AC42" i="31"/>
  <c r="AC27" i="31"/>
  <c r="AF28" i="31"/>
  <c r="AE23" i="31"/>
  <c r="AC22" i="31"/>
  <c r="AC26" i="31"/>
  <c r="AF22" i="31"/>
  <c r="AD42" i="31"/>
  <c r="AE27" i="31"/>
  <c r="AC24" i="31"/>
  <c r="AF10" i="31"/>
  <c r="AD10" i="31"/>
  <c r="AD41" i="31"/>
  <c r="AF38" i="31"/>
  <c r="AD29" i="31"/>
  <c r="AD22" i="31"/>
  <c r="AE11" i="31"/>
  <c r="AD26" i="31"/>
  <c r="AF29" i="31"/>
  <c r="AF23" i="31"/>
  <c r="AE12" i="31"/>
  <c r="AC40" i="31"/>
  <c r="AE42" i="31"/>
  <c r="AE28" i="31"/>
  <c r="AF27" i="31"/>
  <c r="AD24" i="31"/>
  <c r="AC38" i="31"/>
  <c r="AF26" i="31"/>
  <c r="AF42" i="31"/>
  <c r="AE41" i="31"/>
  <c r="AE24" i="31"/>
  <c r="AC28" i="31"/>
  <c r="AC29" i="31"/>
  <c r="AF12" i="31"/>
  <c r="AD23" i="31"/>
  <c r="AC23" i="31"/>
  <c r="AF41" i="31"/>
  <c r="AE38" i="31"/>
  <c r="AE26" i="31"/>
  <c r="AC41" i="31"/>
  <c r="AD38" i="31"/>
  <c r="AC12" i="31"/>
  <c r="AE22" i="31"/>
  <c r="AD12" i="31"/>
  <c r="AD28" i="31"/>
  <c r="AF11" i="31"/>
  <c r="AD40" i="31"/>
  <c r="AC10" i="31"/>
  <c r="AF24" i="31"/>
  <c r="AE40" i="31"/>
  <c r="AC11" i="31"/>
  <c r="AF40" i="31"/>
  <c r="AD11" i="31"/>
  <c r="AE29" i="31"/>
  <c r="AH43" i="31"/>
  <c r="AK43" i="31"/>
  <c r="AF43" i="31"/>
  <c r="AI43" i="31"/>
  <c r="AG43" i="31"/>
  <c r="AG18" i="31"/>
  <c r="AE43" i="31"/>
  <c r="AD43" i="31"/>
  <c r="AJ43" i="31"/>
  <c r="AC43" i="31"/>
  <c r="AM55" i="30"/>
  <c r="AM29" i="29"/>
  <c r="AM29" i="30" s="1"/>
  <c r="AM10" i="29"/>
  <c r="AM10" i="30" s="1"/>
  <c r="AM27" i="29"/>
  <c r="AM26" i="29"/>
  <c r="AM26" i="30" s="1"/>
  <c r="AM43" i="29"/>
  <c r="AM28" i="30" s="1"/>
  <c r="AM56" i="29"/>
  <c r="AM42" i="30" s="1"/>
  <c r="AM16" i="29"/>
  <c r="AM54" i="29"/>
  <c r="AM40" i="30" s="1"/>
  <c r="AM55" i="29"/>
  <c r="AM41" i="30" s="1"/>
  <c r="AM42" i="29"/>
  <c r="AM27" i="30" s="1"/>
  <c r="AM28" i="29"/>
  <c r="AM11" i="29"/>
  <c r="AM11" i="30" s="1"/>
  <c r="CB68" i="29"/>
  <c r="AM57" i="29"/>
  <c r="AM15" i="29"/>
  <c r="AM14" i="29"/>
  <c r="AM14" i="30" s="1"/>
  <c r="AM23" i="29"/>
  <c r="AM23" i="30" s="1"/>
  <c r="AM53" i="29"/>
  <c r="AM39" i="30" s="1"/>
  <c r="AM44" i="29"/>
  <c r="AM13" i="29"/>
  <c r="AM52" i="29"/>
  <c r="AM38" i="30" s="1"/>
  <c r="AM12" i="29"/>
  <c r="AM12" i="30" s="1"/>
  <c r="AM22" i="29"/>
  <c r="AM22" i="30" s="1"/>
  <c r="AM24" i="29"/>
  <c r="AM24" i="30" s="1"/>
  <c r="AM55" i="31"/>
  <c r="AP6" i="30"/>
  <c r="AP56" i="30"/>
  <c r="CE56" i="30" s="1"/>
  <c r="AO6" i="30"/>
  <c r="AO56" i="30"/>
  <c r="CD56" i="30" s="1"/>
  <c r="AP6" i="31"/>
  <c r="AQ56" i="31"/>
  <c r="AO6" i="31"/>
  <c r="AO56" i="31"/>
  <c r="AO6" i="29"/>
  <c r="CD6" i="29" s="1"/>
  <c r="AN64" i="29"/>
  <c r="AN62" i="29"/>
  <c r="AN68" i="29" s="1"/>
  <c r="AN63" i="29"/>
  <c r="CB64" i="29"/>
  <c r="CB63" i="29"/>
  <c r="CB62" i="29"/>
  <c r="BU55" i="30"/>
  <c r="BR54" i="29"/>
  <c r="BR40" i="30" s="1"/>
  <c r="BR37" i="29"/>
  <c r="BR29" i="29"/>
  <c r="BR29" i="30" s="1"/>
  <c r="BR10" i="29"/>
  <c r="BR10" i="30" s="1"/>
  <c r="BR44" i="29"/>
  <c r="BR23" i="29"/>
  <c r="BR23" i="30" s="1"/>
  <c r="BR53" i="29"/>
  <c r="BR39" i="30" s="1"/>
  <c r="BR55" i="29"/>
  <c r="BR41" i="30" s="1"/>
  <c r="BR56" i="29"/>
  <c r="BR42" i="30" s="1"/>
  <c r="BR15" i="29"/>
  <c r="BR15" i="31" s="1"/>
  <c r="BR57" i="29"/>
  <c r="BR38" i="29"/>
  <c r="BR39" i="29"/>
  <c r="BR11" i="29"/>
  <c r="BR11" i="30" s="1"/>
  <c r="BR22" i="29"/>
  <c r="BR22" i="30" s="1"/>
  <c r="BR24" i="29"/>
  <c r="BR24" i="30" s="1"/>
  <c r="BR12" i="29"/>
  <c r="BR12" i="30" s="1"/>
  <c r="BX22" i="29"/>
  <c r="BX56" i="29"/>
  <c r="BX42" i="30" s="1"/>
  <c r="BX53" i="29"/>
  <c r="BX39" i="30" s="1"/>
  <c r="BX37" i="29"/>
  <c r="BX55" i="29"/>
  <c r="BX41" i="30" s="1"/>
  <c r="BX39" i="29"/>
  <c r="BX23" i="29"/>
  <c r="BX29" i="29"/>
  <c r="BX57" i="29"/>
  <c r="BX38" i="29"/>
  <c r="BX54" i="29"/>
  <c r="BX40" i="30" s="1"/>
  <c r="BX44" i="29"/>
  <c r="BX24" i="29"/>
  <c r="BR55" i="30"/>
  <c r="BU55" i="29"/>
  <c r="BU41" i="30" s="1"/>
  <c r="BU23" i="29"/>
  <c r="BU23" i="30" s="1"/>
  <c r="BU53" i="29"/>
  <c r="BU39" i="30" s="1"/>
  <c r="BU15" i="29"/>
  <c r="BU15" i="31" s="1"/>
  <c r="BU11" i="29"/>
  <c r="BU11" i="30" s="1"/>
  <c r="BU24" i="29"/>
  <c r="BU24" i="30" s="1"/>
  <c r="BU37" i="29"/>
  <c r="BU38" i="29"/>
  <c r="BU12" i="29"/>
  <c r="BU12" i="30" s="1"/>
  <c r="BU22" i="29"/>
  <c r="BU22" i="30" s="1"/>
  <c r="BU10" i="29"/>
  <c r="BU10" i="30" s="1"/>
  <c r="BU29" i="29"/>
  <c r="BU29" i="30" s="1"/>
  <c r="BU57" i="29"/>
  <c r="BU54" i="29"/>
  <c r="BU40" i="30" s="1"/>
  <c r="BU44" i="29"/>
  <c r="BU39" i="29"/>
  <c r="BU56" i="29"/>
  <c r="BU42" i="30" s="1"/>
  <c r="BS55" i="31"/>
  <c r="BT55" i="30"/>
  <c r="BT55" i="31"/>
  <c r="BW44" i="29"/>
  <c r="BW37" i="29"/>
  <c r="BW39" i="29"/>
  <c r="BW23" i="29"/>
  <c r="BW55" i="29"/>
  <c r="BW41" i="30" s="1"/>
  <c r="BW54" i="29"/>
  <c r="BW40" i="30" s="1"/>
  <c r="BW24" i="29"/>
  <c r="BW57" i="29"/>
  <c r="BW53" i="29"/>
  <c r="BW39" i="30" s="1"/>
  <c r="BW22" i="29"/>
  <c r="BW29" i="29"/>
  <c r="BW56" i="29"/>
  <c r="BW42" i="30" s="1"/>
  <c r="BW38" i="29"/>
  <c r="BW55" i="31"/>
  <c r="BU55" i="31"/>
  <c r="BU16" i="31" s="1"/>
  <c r="BS10" i="29"/>
  <c r="BS10" i="30" s="1"/>
  <c r="BS56" i="29"/>
  <c r="BS42" i="30" s="1"/>
  <c r="BS11" i="29"/>
  <c r="BS11" i="30" s="1"/>
  <c r="BS22" i="29"/>
  <c r="BS22" i="30" s="1"/>
  <c r="BS15" i="29"/>
  <c r="BS15" i="31" s="1"/>
  <c r="BS37" i="29"/>
  <c r="BS53" i="29"/>
  <c r="BS39" i="30" s="1"/>
  <c r="BS12" i="29"/>
  <c r="BS12" i="30" s="1"/>
  <c r="BS38" i="29"/>
  <c r="BS55" i="29"/>
  <c r="BS41" i="30" s="1"/>
  <c r="BS24" i="29"/>
  <c r="BS24" i="30" s="1"/>
  <c r="BS29" i="29"/>
  <c r="BS29" i="30" s="1"/>
  <c r="BS44" i="29"/>
  <c r="BS23" i="29"/>
  <c r="BS23" i="30" s="1"/>
  <c r="BS54" i="29"/>
  <c r="BS40" i="30" s="1"/>
  <c r="BS39" i="29"/>
  <c r="BS57" i="29"/>
  <c r="BV55" i="30"/>
  <c r="BT37" i="29"/>
  <c r="BT44" i="29"/>
  <c r="BT53" i="29"/>
  <c r="BT39" i="30" s="1"/>
  <c r="BT23" i="29"/>
  <c r="BT23" i="30" s="1"/>
  <c r="BT11" i="29"/>
  <c r="BT11" i="30" s="1"/>
  <c r="BT39" i="29"/>
  <c r="BT54" i="29"/>
  <c r="BT40" i="30" s="1"/>
  <c r="BT56" i="29"/>
  <c r="BT42" i="30" s="1"/>
  <c r="BT15" i="29"/>
  <c r="BT15" i="31" s="1"/>
  <c r="BT38" i="29"/>
  <c r="BT55" i="29"/>
  <c r="BT41" i="30" s="1"/>
  <c r="BT10" i="29"/>
  <c r="BT10" i="30" s="1"/>
  <c r="BT22" i="29"/>
  <c r="BT22" i="30" s="1"/>
  <c r="BT12" i="29"/>
  <c r="BT12" i="30" s="1"/>
  <c r="BT24" i="29"/>
  <c r="BT24" i="30" s="1"/>
  <c r="BT29" i="29"/>
  <c r="BT29" i="30" s="1"/>
  <c r="BT57" i="29"/>
  <c r="BW55" i="30"/>
  <c r="BR55" i="31"/>
  <c r="BS55" i="30"/>
  <c r="BV55" i="31"/>
  <c r="BV11" i="29"/>
  <c r="BV11" i="30" s="1"/>
  <c r="BV29" i="29"/>
  <c r="BV38" i="30"/>
  <c r="BV27" i="30"/>
  <c r="BV55" i="29"/>
  <c r="BV41" i="30" s="1"/>
  <c r="BV28" i="30"/>
  <c r="BV44" i="29"/>
  <c r="BV22" i="29"/>
  <c r="BV31" i="30"/>
  <c r="BV56" i="29"/>
  <c r="BV42" i="30" s="1"/>
  <c r="BV37" i="29"/>
  <c r="BV39" i="29"/>
  <c r="BV10" i="29"/>
  <c r="BV10" i="30" s="1"/>
  <c r="BV38" i="29"/>
  <c r="BV24" i="29"/>
  <c r="BV53" i="29"/>
  <c r="BV39" i="30" s="1"/>
  <c r="BV23" i="29"/>
  <c r="BV54" i="29"/>
  <c r="BV40" i="30" s="1"/>
  <c r="BV12" i="29"/>
  <c r="BV12" i="30" s="1"/>
  <c r="BV57" i="29"/>
  <c r="BX55" i="30"/>
  <c r="BY22" i="29"/>
  <c r="BY39" i="29"/>
  <c r="BY37" i="29"/>
  <c r="BY38" i="29"/>
  <c r="BY55" i="29"/>
  <c r="BY41" i="30" s="1"/>
  <c r="BY24" i="29"/>
  <c r="BY57" i="29"/>
  <c r="BY44" i="29"/>
  <c r="BY23" i="29"/>
  <c r="BY53" i="29"/>
  <c r="BY39" i="30" s="1"/>
  <c r="BY29" i="29"/>
  <c r="BY56" i="29"/>
  <c r="BY42" i="30" s="1"/>
  <c r="BY54" i="29"/>
  <c r="BY40" i="30" s="1"/>
  <c r="BZ57" i="29"/>
  <c r="BZ22" i="29"/>
  <c r="BZ44" i="29"/>
  <c r="BZ39" i="29"/>
  <c r="BZ55" i="29"/>
  <c r="BZ41" i="30" s="1"/>
  <c r="BZ29" i="29"/>
  <c r="BZ24" i="29"/>
  <c r="BZ54" i="29"/>
  <c r="BZ40" i="30" s="1"/>
  <c r="BZ37" i="29"/>
  <c r="BZ38" i="29"/>
  <c r="BZ56" i="29"/>
  <c r="BZ42" i="30" s="1"/>
  <c r="BZ23" i="29"/>
  <c r="BZ53" i="29"/>
  <c r="BZ39" i="30" s="1"/>
  <c r="BY55" i="30"/>
  <c r="BZ55" i="31"/>
  <c r="BY55" i="31"/>
  <c r="BZ55" i="30"/>
  <c r="BX55" i="31"/>
  <c r="AM8" i="30"/>
  <c r="AL20" i="31"/>
  <c r="AM8" i="31"/>
  <c r="AM36" i="31" s="1"/>
  <c r="CD8" i="31"/>
  <c r="CB8" i="30"/>
  <c r="CB50" i="29"/>
  <c r="CB20" i="29"/>
  <c r="CC8" i="29"/>
  <c r="AL30" i="30" l="1"/>
  <c r="AL30" i="31"/>
  <c r="AM30" i="30"/>
  <c r="AM30" i="31"/>
  <c r="AL31" i="30"/>
  <c r="AM31" i="30"/>
  <c r="BY16" i="31"/>
  <c r="BS16" i="31"/>
  <c r="BX16" i="31"/>
  <c r="BR16" i="31"/>
  <c r="BZ16" i="31"/>
  <c r="BT16" i="31"/>
  <c r="BW16" i="31"/>
  <c r="BE16" i="31"/>
  <c r="BY30" i="31"/>
  <c r="BE30" i="31"/>
  <c r="BR30" i="31"/>
  <c r="BT30" i="31"/>
  <c r="BU30" i="31"/>
  <c r="BX30" i="31"/>
  <c r="BZ30" i="31"/>
  <c r="BW30" i="31"/>
  <c r="BS30" i="31"/>
  <c r="AM16" i="31"/>
  <c r="AL16" i="31"/>
  <c r="BE30" i="30"/>
  <c r="BU30" i="30"/>
  <c r="BU33" i="30" s="1"/>
  <c r="BR16" i="30"/>
  <c r="BR30" i="30"/>
  <c r="BR33" i="30" s="1"/>
  <c r="BX16" i="30"/>
  <c r="BX30" i="30"/>
  <c r="BY16" i="30"/>
  <c r="BY30" i="30"/>
  <c r="BZ16" i="30"/>
  <c r="BZ30" i="30"/>
  <c r="BS16" i="30"/>
  <c r="BS30" i="30"/>
  <c r="BS33" i="30" s="1"/>
  <c r="BW16" i="30"/>
  <c r="BW30" i="30"/>
  <c r="BT16" i="30"/>
  <c r="BT30" i="30"/>
  <c r="BT33" i="30" s="1"/>
  <c r="BU16" i="30"/>
  <c r="BE16" i="30"/>
  <c r="AL16" i="30"/>
  <c r="AM16" i="30"/>
  <c r="V48" i="30"/>
  <c r="V50" i="30" s="1"/>
  <c r="P45" i="31"/>
  <c r="BE28" i="31"/>
  <c r="BE28" i="30"/>
  <c r="BE42" i="30"/>
  <c r="BE42" i="31"/>
  <c r="BE10" i="30"/>
  <c r="BE10" i="31"/>
  <c r="BE43" i="30"/>
  <c r="BE27" i="31"/>
  <c r="BE27" i="30"/>
  <c r="BE38" i="31"/>
  <c r="BE38" i="30"/>
  <c r="BE13" i="31"/>
  <c r="BE13" i="30"/>
  <c r="BE11" i="30"/>
  <c r="BE11" i="31"/>
  <c r="BE43" i="31"/>
  <c r="BE15" i="30"/>
  <c r="BE15" i="31"/>
  <c r="P34" i="31"/>
  <c r="BE31" i="31"/>
  <c r="BE31" i="30"/>
  <c r="P45" i="30"/>
  <c r="P33" i="30"/>
  <c r="BE12" i="30"/>
  <c r="BE12" i="31"/>
  <c r="BE40" i="30"/>
  <c r="BE40" i="31"/>
  <c r="P18" i="30"/>
  <c r="BE41" i="30"/>
  <c r="BE41" i="31"/>
  <c r="P18" i="31"/>
  <c r="AR47" i="31"/>
  <c r="AR52" i="31" s="1"/>
  <c r="Y48" i="30"/>
  <c r="Y50" i="30" s="1"/>
  <c r="AR52" i="30"/>
  <c r="W48" i="30"/>
  <c r="W50" i="30" s="1"/>
  <c r="AE33" i="30"/>
  <c r="AF33" i="30"/>
  <c r="AD33" i="30"/>
  <c r="CA55" i="30"/>
  <c r="AH34" i="31"/>
  <c r="AH45" i="30"/>
  <c r="AJ45" i="31"/>
  <c r="AN46" i="29"/>
  <c r="AN31" i="31" s="1"/>
  <c r="AN45" i="29"/>
  <c r="AI45" i="31"/>
  <c r="CB45" i="29"/>
  <c r="CB28" i="29"/>
  <c r="CB24" i="29"/>
  <c r="CB24" i="30" s="1"/>
  <c r="CB41" i="29"/>
  <c r="CB16" i="29"/>
  <c r="CB52" i="29"/>
  <c r="CB38" i="30" s="1"/>
  <c r="CB31" i="29"/>
  <c r="CB23" i="29"/>
  <c r="CB23" i="30" s="1"/>
  <c r="CB14" i="29"/>
  <c r="CB14" i="30" s="1"/>
  <c r="CB43" i="29"/>
  <c r="CB28" i="30" s="1"/>
  <c r="CB39" i="29"/>
  <c r="CB27" i="29"/>
  <c r="CB22" i="29"/>
  <c r="CB22" i="30" s="1"/>
  <c r="CB46" i="29"/>
  <c r="CB31" i="30" s="1"/>
  <c r="CB38" i="29"/>
  <c r="CB30" i="29"/>
  <c r="CB13" i="29"/>
  <c r="CB37" i="29"/>
  <c r="CB42" i="29"/>
  <c r="CB27" i="30" s="1"/>
  <c r="CB26" i="29"/>
  <c r="CB26" i="30" s="1"/>
  <c r="CA45" i="29"/>
  <c r="CA28" i="29"/>
  <c r="CA24" i="29"/>
  <c r="CA24" i="30" s="1"/>
  <c r="CA41" i="29"/>
  <c r="CA26" i="31" s="1"/>
  <c r="CA52" i="29"/>
  <c r="CA38" i="30" s="1"/>
  <c r="CA31" i="29"/>
  <c r="CA23" i="29"/>
  <c r="CA23" i="30" s="1"/>
  <c r="CA14" i="29"/>
  <c r="CA14" i="30" s="1"/>
  <c r="CA43" i="29"/>
  <c r="CA28" i="30" s="1"/>
  <c r="CA39" i="29"/>
  <c r="CA24" i="31" s="1"/>
  <c r="CA27" i="29"/>
  <c r="CA22" i="29"/>
  <c r="CA22" i="30" s="1"/>
  <c r="CA46" i="29"/>
  <c r="CA31" i="30" s="1"/>
  <c r="CA38" i="29"/>
  <c r="CA23" i="31" s="1"/>
  <c r="CA30" i="29"/>
  <c r="CA13" i="29"/>
  <c r="CA13" i="31" s="1"/>
  <c r="CA42" i="29"/>
  <c r="CA27" i="30" s="1"/>
  <c r="CA26" i="29"/>
  <c r="CA26" i="30" s="1"/>
  <c r="CA37" i="29"/>
  <c r="CA22" i="31" s="1"/>
  <c r="CA16" i="29"/>
  <c r="AJ45" i="30"/>
  <c r="CB10" i="29"/>
  <c r="CB10" i="30" s="1"/>
  <c r="AH18" i="31"/>
  <c r="AK45" i="30"/>
  <c r="AH45" i="31"/>
  <c r="AI45" i="30"/>
  <c r="AI18" i="31"/>
  <c r="AK45" i="31"/>
  <c r="AK18" i="30"/>
  <c r="AH18" i="30"/>
  <c r="AI18" i="30"/>
  <c r="AI34" i="31"/>
  <c r="AL29" i="30"/>
  <c r="AJ18" i="31"/>
  <c r="AK18" i="31"/>
  <c r="AN38" i="29"/>
  <c r="AN39" i="29"/>
  <c r="AN41" i="29"/>
  <c r="AN37" i="29"/>
  <c r="AJ34" i="31"/>
  <c r="AK34" i="31"/>
  <c r="AJ18" i="30"/>
  <c r="BW26" i="30"/>
  <c r="BV29" i="30"/>
  <c r="AH29" i="30"/>
  <c r="BZ23" i="30"/>
  <c r="AL22" i="30"/>
  <c r="BX26" i="30"/>
  <c r="BZ26" i="30"/>
  <c r="BY24" i="30"/>
  <c r="AK24" i="30"/>
  <c r="BW24" i="30"/>
  <c r="AI24" i="30"/>
  <c r="BX22" i="30"/>
  <c r="AJ22" i="30"/>
  <c r="BW29" i="30"/>
  <c r="AI29" i="30"/>
  <c r="BV22" i="30"/>
  <c r="AH22" i="30"/>
  <c r="BZ22" i="30"/>
  <c r="BV23" i="30"/>
  <c r="AH23" i="30"/>
  <c r="BW23" i="30"/>
  <c r="AI23" i="30"/>
  <c r="BV24" i="30"/>
  <c r="AH24" i="30"/>
  <c r="BW22" i="30"/>
  <c r="AI22" i="30"/>
  <c r="BX23" i="30"/>
  <c r="AJ23" i="30"/>
  <c r="BX29" i="30"/>
  <c r="AJ29" i="30"/>
  <c r="BY29" i="30"/>
  <c r="AK29" i="30"/>
  <c r="BZ24" i="30"/>
  <c r="AL23" i="30"/>
  <c r="BY26" i="30"/>
  <c r="BY22" i="30"/>
  <c r="AK22" i="30"/>
  <c r="BV26" i="30"/>
  <c r="BZ29" i="30"/>
  <c r="BY23" i="30"/>
  <c r="AK23" i="30"/>
  <c r="BX24" i="30"/>
  <c r="AJ24" i="30"/>
  <c r="AN31" i="29"/>
  <c r="AN30" i="29"/>
  <c r="CA15" i="29"/>
  <c r="CA15" i="31" s="1"/>
  <c r="CA56" i="29"/>
  <c r="CA42" i="30" s="1"/>
  <c r="CA55" i="29"/>
  <c r="CA41" i="30" s="1"/>
  <c r="CA44" i="29"/>
  <c r="CA29" i="31" s="1"/>
  <c r="CA57" i="29"/>
  <c r="AL10" i="31"/>
  <c r="CA11" i="29"/>
  <c r="CA11" i="30" s="1"/>
  <c r="CA29" i="29"/>
  <c r="CA29" i="30" s="1"/>
  <c r="CA10" i="29"/>
  <c r="CA10" i="30" s="1"/>
  <c r="CA53" i="29"/>
  <c r="CA39" i="30" s="1"/>
  <c r="CA12" i="29"/>
  <c r="CA12" i="30" s="1"/>
  <c r="CA54" i="29"/>
  <c r="CA40" i="30" s="1"/>
  <c r="AL13" i="30"/>
  <c r="AL40" i="31"/>
  <c r="AL12" i="31"/>
  <c r="AL43" i="30"/>
  <c r="AL45" i="30" s="1"/>
  <c r="AL42" i="31"/>
  <c r="AL15" i="31"/>
  <c r="AL41" i="31"/>
  <c r="AL11" i="31"/>
  <c r="AL43" i="31"/>
  <c r="AL27" i="31"/>
  <c r="AL14" i="31"/>
  <c r="AL28" i="31"/>
  <c r="CA55" i="31"/>
  <c r="AL38" i="31"/>
  <c r="AM15" i="30"/>
  <c r="AM15" i="31"/>
  <c r="BW15" i="30"/>
  <c r="BS15" i="30"/>
  <c r="BU15" i="30"/>
  <c r="BY15" i="30"/>
  <c r="BX15" i="30"/>
  <c r="BZ15" i="30"/>
  <c r="BR15" i="30"/>
  <c r="BT15" i="30"/>
  <c r="BV15" i="30"/>
  <c r="BV15" i="31"/>
  <c r="AC33" i="30"/>
  <c r="AC45" i="30"/>
  <c r="Z47" i="30"/>
  <c r="Z52" i="30" s="1"/>
  <c r="Z47" i="31"/>
  <c r="Z52" i="31" s="1"/>
  <c r="AA47" i="30"/>
  <c r="AA52" i="30" s="1"/>
  <c r="AG45" i="31"/>
  <c r="AG47" i="31" s="1"/>
  <c r="AG52" i="31" s="1"/>
  <c r="AA47" i="31"/>
  <c r="AA52" i="31" s="1"/>
  <c r="AB48" i="30"/>
  <c r="AB50" i="30" s="1"/>
  <c r="AB52" i="31"/>
  <c r="AB48" i="31"/>
  <c r="AB50" i="31" s="1"/>
  <c r="AD18" i="30"/>
  <c r="AO63" i="29"/>
  <c r="E63" i="29" s="1"/>
  <c r="CE8" i="31"/>
  <c r="CF8" i="31" s="1"/>
  <c r="CD20" i="31"/>
  <c r="CD36" i="31"/>
  <c r="BX43" i="30"/>
  <c r="BX45" i="30" s="1"/>
  <c r="AE18" i="30"/>
  <c r="BW43" i="30"/>
  <c r="BW45" i="30" s="1"/>
  <c r="AC18" i="30"/>
  <c r="AF18" i="30"/>
  <c r="BS13" i="30"/>
  <c r="BS13" i="31"/>
  <c r="BR13" i="30"/>
  <c r="BR13" i="31"/>
  <c r="BV13" i="30"/>
  <c r="BV13" i="31"/>
  <c r="BY13" i="30"/>
  <c r="BY13" i="31"/>
  <c r="BU13" i="30"/>
  <c r="BU13" i="31"/>
  <c r="BT13" i="30"/>
  <c r="BT13" i="31"/>
  <c r="BW13" i="30"/>
  <c r="BW13" i="31"/>
  <c r="BX13" i="30"/>
  <c r="BX13" i="31"/>
  <c r="BZ13" i="30"/>
  <c r="BZ13" i="31"/>
  <c r="AM13" i="30"/>
  <c r="AM13" i="31"/>
  <c r="BZ43" i="30"/>
  <c r="BZ45" i="30" s="1"/>
  <c r="AM43" i="30"/>
  <c r="AM45" i="30" s="1"/>
  <c r="BS43" i="30"/>
  <c r="BS45" i="30" s="1"/>
  <c r="BY43" i="30"/>
  <c r="BY45" i="30" s="1"/>
  <c r="BV43" i="30"/>
  <c r="BV45" i="30" s="1"/>
  <c r="BT43" i="30"/>
  <c r="BT45" i="30" s="1"/>
  <c r="BR43" i="30"/>
  <c r="BR45" i="30" s="1"/>
  <c r="BU43" i="30"/>
  <c r="BU45" i="30" s="1"/>
  <c r="AM36" i="30"/>
  <c r="AM20" i="30"/>
  <c r="CB36" i="30"/>
  <c r="CB20" i="30"/>
  <c r="W48" i="31"/>
  <c r="W50" i="31" s="1"/>
  <c r="AG47" i="30"/>
  <c r="AG52" i="30" s="1"/>
  <c r="Y48" i="31"/>
  <c r="Y50" i="31" s="1"/>
  <c r="V48" i="31"/>
  <c r="V50" i="31" s="1"/>
  <c r="CB55" i="30"/>
  <c r="AF34" i="31"/>
  <c r="AE34" i="31"/>
  <c r="AE18" i="31"/>
  <c r="AC34" i="31"/>
  <c r="AD34" i="31"/>
  <c r="BY27" i="31"/>
  <c r="BS42" i="31"/>
  <c r="BY31" i="31"/>
  <c r="BV42" i="31"/>
  <c r="BT38" i="31"/>
  <c r="BW10" i="31"/>
  <c r="BU28" i="31"/>
  <c r="BX31" i="31"/>
  <c r="BX22" i="31"/>
  <c r="AD18" i="31"/>
  <c r="AM27" i="31"/>
  <c r="BU11" i="31"/>
  <c r="AD45" i="31"/>
  <c r="BZ40" i="31"/>
  <c r="BY41" i="31"/>
  <c r="BT23" i="31"/>
  <c r="BR42" i="31"/>
  <c r="BZ38" i="31"/>
  <c r="BY12" i="31"/>
  <c r="BT41" i="31"/>
  <c r="BT27" i="31"/>
  <c r="BW27" i="31"/>
  <c r="BW12" i="31"/>
  <c r="BU40" i="31"/>
  <c r="BX11" i="31"/>
  <c r="BR22" i="31"/>
  <c r="BY38" i="31"/>
  <c r="BV31" i="31"/>
  <c r="BT22" i="31"/>
  <c r="BS41" i="31"/>
  <c r="BS10" i="31"/>
  <c r="BW28" i="31"/>
  <c r="BW24" i="31"/>
  <c r="BX40" i="31"/>
  <c r="BX42" i="31"/>
  <c r="BR38" i="31"/>
  <c r="BY40" i="31"/>
  <c r="BT26" i="31"/>
  <c r="BS23" i="31"/>
  <c r="BW22" i="31"/>
  <c r="BU26" i="31"/>
  <c r="BX23" i="31"/>
  <c r="BR41" i="31"/>
  <c r="AM29" i="31"/>
  <c r="AM42" i="31"/>
  <c r="AE45" i="31"/>
  <c r="BW38" i="31"/>
  <c r="BZ12" i="31"/>
  <c r="BU29" i="31"/>
  <c r="BX41" i="31"/>
  <c r="BZ10" i="31"/>
  <c r="BV12" i="31"/>
  <c r="BT42" i="31"/>
  <c r="BW29" i="31"/>
  <c r="BU10" i="31"/>
  <c r="BX38" i="31"/>
  <c r="BR40" i="31"/>
  <c r="AM28" i="31"/>
  <c r="BV22" i="31"/>
  <c r="BS12" i="31"/>
  <c r="BX28" i="31"/>
  <c r="BZ27" i="31"/>
  <c r="BV24" i="31"/>
  <c r="BX26" i="31"/>
  <c r="BR28" i="31"/>
  <c r="BY42" i="31"/>
  <c r="BV29" i="31"/>
  <c r="BT40" i="31"/>
  <c r="BU41" i="31"/>
  <c r="BZ26" i="31"/>
  <c r="BY26" i="31"/>
  <c r="BV26" i="31"/>
  <c r="BV28" i="31"/>
  <c r="BS24" i="31"/>
  <c r="BW23" i="31"/>
  <c r="BX10" i="31"/>
  <c r="BR27" i="31"/>
  <c r="AM14" i="31"/>
  <c r="BT29" i="31"/>
  <c r="BZ31" i="31"/>
  <c r="BT24" i="31"/>
  <c r="AM10" i="31"/>
  <c r="BS40" i="31"/>
  <c r="BR12" i="31"/>
  <c r="BZ42" i="31"/>
  <c r="BS28" i="31"/>
  <c r="BS26" i="31"/>
  <c r="BW42" i="31"/>
  <c r="BU42" i="31"/>
  <c r="BU12" i="31"/>
  <c r="BR26" i="31"/>
  <c r="AM23" i="31"/>
  <c r="BY23" i="31"/>
  <c r="BY29" i="31"/>
  <c r="BV40" i="31"/>
  <c r="BV41" i="31"/>
  <c r="BT11" i="31"/>
  <c r="BY22" i="31"/>
  <c r="BS27" i="31"/>
  <c r="BW41" i="31"/>
  <c r="BR10" i="31"/>
  <c r="BS22" i="31"/>
  <c r="BZ41" i="31"/>
  <c r="BY28" i="31"/>
  <c r="BT12" i="31"/>
  <c r="BS38" i="31"/>
  <c r="BU23" i="31"/>
  <c r="BZ11" i="31"/>
  <c r="BZ28" i="31"/>
  <c r="BY10" i="31"/>
  <c r="BV27" i="31"/>
  <c r="BT28" i="31"/>
  <c r="BS31" i="31"/>
  <c r="BU31" i="31"/>
  <c r="BU22" i="31"/>
  <c r="BX12" i="31"/>
  <c r="BX27" i="31"/>
  <c r="BR11" i="31"/>
  <c r="BY24" i="31"/>
  <c r="BV38" i="31"/>
  <c r="BT31" i="31"/>
  <c r="BW31" i="31"/>
  <c r="BW40" i="31"/>
  <c r="BR24" i="31"/>
  <c r="BR29" i="31"/>
  <c r="AM24" i="31"/>
  <c r="AF18" i="31"/>
  <c r="BY11" i="31"/>
  <c r="BV23" i="31"/>
  <c r="BW26" i="31"/>
  <c r="AM22" i="31"/>
  <c r="AC45" i="31"/>
  <c r="AF45" i="31"/>
  <c r="BU27" i="31"/>
  <c r="BT10" i="31"/>
  <c r="BZ23" i="31"/>
  <c r="BZ24" i="31"/>
  <c r="BS29" i="31"/>
  <c r="BU24" i="31"/>
  <c r="BR31" i="31"/>
  <c r="BZ29" i="31"/>
  <c r="BV10" i="31"/>
  <c r="BV11" i="31"/>
  <c r="BS11" i="31"/>
  <c r="BW11" i="31"/>
  <c r="BU38" i="31"/>
  <c r="BX29" i="31"/>
  <c r="BX24" i="31"/>
  <c r="BR23" i="31"/>
  <c r="AC18" i="31"/>
  <c r="BZ22" i="31"/>
  <c r="BX43" i="31"/>
  <c r="BY43" i="31"/>
  <c r="BZ43" i="31"/>
  <c r="BR43" i="31"/>
  <c r="BT43" i="31"/>
  <c r="BU43" i="31"/>
  <c r="BW43" i="31"/>
  <c r="BS43" i="31"/>
  <c r="BV43" i="31"/>
  <c r="AM41" i="31"/>
  <c r="AM38" i="31"/>
  <c r="AM40" i="31"/>
  <c r="AM43" i="31"/>
  <c r="CB55" i="31"/>
  <c r="AM11" i="31"/>
  <c r="AM12" i="31"/>
  <c r="CB53" i="29"/>
  <c r="CB39" i="30" s="1"/>
  <c r="AO62" i="29"/>
  <c r="AO64" i="29"/>
  <c r="E64" i="29" s="1"/>
  <c r="CB44" i="29"/>
  <c r="CB11" i="29"/>
  <c r="CB11" i="30" s="1"/>
  <c r="CB29" i="29"/>
  <c r="CB29" i="30" s="1"/>
  <c r="CB56" i="29"/>
  <c r="CB42" i="30" s="1"/>
  <c r="CB12" i="29"/>
  <c r="CB12" i="30" s="1"/>
  <c r="CB55" i="29"/>
  <c r="CB41" i="30" s="1"/>
  <c r="CB15" i="29"/>
  <c r="CB15" i="31" s="1"/>
  <c r="AQ6" i="30"/>
  <c r="AQ56" i="30"/>
  <c r="CF56" i="30" s="1"/>
  <c r="AQ6" i="31"/>
  <c r="CB54" i="29"/>
  <c r="CB40" i="30" s="1"/>
  <c r="CB57" i="29"/>
  <c r="AP6" i="29"/>
  <c r="CE6" i="29" s="1"/>
  <c r="AQ6" i="29"/>
  <c r="CF6" i="29" s="1"/>
  <c r="CD64" i="29"/>
  <c r="CD62" i="29"/>
  <c r="AT62" i="29" s="1"/>
  <c r="CD63" i="29"/>
  <c r="AT63" i="29" s="1"/>
  <c r="AN42" i="29"/>
  <c r="AN27" i="30" s="1"/>
  <c r="AN15" i="29"/>
  <c r="AN55" i="31"/>
  <c r="AN54" i="29"/>
  <c r="AN40" i="30" s="1"/>
  <c r="AN52" i="29"/>
  <c r="AN38" i="30" s="1"/>
  <c r="AN27" i="29"/>
  <c r="AN56" i="29"/>
  <c r="AN42" i="30" s="1"/>
  <c r="AN26" i="29"/>
  <c r="AN26" i="30" s="1"/>
  <c r="AN24" i="29"/>
  <c r="AN24" i="30" s="1"/>
  <c r="AN13" i="29"/>
  <c r="AN16" i="29"/>
  <c r="AN53" i="29"/>
  <c r="AN39" i="30" s="1"/>
  <c r="AN57" i="29"/>
  <c r="AN43" i="29"/>
  <c r="AN28" i="30" s="1"/>
  <c r="AN55" i="30"/>
  <c r="AN44" i="29"/>
  <c r="AN11" i="29"/>
  <c r="AN11" i="30" s="1"/>
  <c r="AN55" i="29"/>
  <c r="AN41" i="30" s="1"/>
  <c r="AN10" i="29"/>
  <c r="AN10" i="30" s="1"/>
  <c r="AN29" i="29"/>
  <c r="AN29" i="30" s="1"/>
  <c r="AN14" i="29"/>
  <c r="AN14" i="30" s="1"/>
  <c r="AN12" i="29"/>
  <c r="AN12" i="30" s="1"/>
  <c r="AN28" i="29"/>
  <c r="AN22" i="29"/>
  <c r="AN22" i="30" s="1"/>
  <c r="AN23" i="29"/>
  <c r="AN23" i="30" s="1"/>
  <c r="CC68" i="29"/>
  <c r="CC64" i="29"/>
  <c r="CC62" i="29"/>
  <c r="CC63" i="29"/>
  <c r="AN8" i="30"/>
  <c r="CC50" i="29"/>
  <c r="CC20" i="29"/>
  <c r="CD8" i="29"/>
  <c r="CE8" i="29" s="1"/>
  <c r="CC8" i="30"/>
  <c r="AM20" i="31"/>
  <c r="AN8" i="31"/>
  <c r="AN36" i="31" s="1"/>
  <c r="AN30" i="31" l="1"/>
  <c r="AN31" i="30"/>
  <c r="AN30" i="30"/>
  <c r="CA16" i="31"/>
  <c r="CB16" i="31"/>
  <c r="CB30" i="31"/>
  <c r="CA30" i="31"/>
  <c r="AN16" i="31"/>
  <c r="CB16" i="30"/>
  <c r="CB30" i="30"/>
  <c r="CB33" i="30" s="1"/>
  <c r="CA30" i="30"/>
  <c r="CA33" i="30" s="1"/>
  <c r="CA16" i="30"/>
  <c r="AN16" i="30"/>
  <c r="P47" i="30"/>
  <c r="P52" i="30" s="1"/>
  <c r="P47" i="31"/>
  <c r="P52" i="31" s="1"/>
  <c r="BE34" i="31"/>
  <c r="BE45" i="30"/>
  <c r="BE45" i="31"/>
  <c r="BE18" i="31"/>
  <c r="BE18" i="30"/>
  <c r="BE33" i="30"/>
  <c r="AR48" i="31"/>
  <c r="AR50" i="31" s="1"/>
  <c r="AD47" i="30"/>
  <c r="AD52" i="30" s="1"/>
  <c r="AM33" i="30"/>
  <c r="AE47" i="30"/>
  <c r="AE52" i="30" s="1"/>
  <c r="CA43" i="30"/>
  <c r="CA45" i="30" s="1"/>
  <c r="AF47" i="30"/>
  <c r="AF52" i="30" s="1"/>
  <c r="AO68" i="29"/>
  <c r="E68" i="29" s="1"/>
  <c r="E62" i="29"/>
  <c r="AJ47" i="31"/>
  <c r="AJ52" i="31" s="1"/>
  <c r="AI47" i="31"/>
  <c r="AI52" i="31" s="1"/>
  <c r="AK47" i="31"/>
  <c r="AK52" i="31" s="1"/>
  <c r="CB10" i="31"/>
  <c r="AH47" i="31"/>
  <c r="AH52" i="31" s="1"/>
  <c r="BX33" i="30"/>
  <c r="CC41" i="29"/>
  <c r="CC52" i="29"/>
  <c r="CC38" i="30" s="1"/>
  <c r="CC31" i="29"/>
  <c r="CC23" i="29"/>
  <c r="CC23" i="30" s="1"/>
  <c r="CC14" i="29"/>
  <c r="CC14" i="30" s="1"/>
  <c r="CC43" i="29"/>
  <c r="CC28" i="30" s="1"/>
  <c r="CC39" i="29"/>
  <c r="CC27" i="29"/>
  <c r="CC22" i="29"/>
  <c r="CC22" i="30" s="1"/>
  <c r="CC46" i="29"/>
  <c r="CC31" i="30" s="1"/>
  <c r="CC38" i="29"/>
  <c r="CC30" i="29"/>
  <c r="CC13" i="29"/>
  <c r="CC42" i="29"/>
  <c r="CC27" i="30" s="1"/>
  <c r="CC26" i="29"/>
  <c r="CC26" i="30" s="1"/>
  <c r="CC37" i="29"/>
  <c r="CC16" i="29"/>
  <c r="CC45" i="29"/>
  <c r="CC28" i="29"/>
  <c r="CC24" i="29"/>
  <c r="CC24" i="30" s="1"/>
  <c r="CA15" i="30"/>
  <c r="BY33" i="30"/>
  <c r="AL33" i="30"/>
  <c r="BV33" i="30"/>
  <c r="BZ33" i="30"/>
  <c r="BW33" i="30"/>
  <c r="AI33" i="30"/>
  <c r="AI47" i="30" s="1"/>
  <c r="AI52" i="30" s="1"/>
  <c r="AJ33" i="30"/>
  <c r="AJ47" i="30" s="1"/>
  <c r="AJ52" i="30" s="1"/>
  <c r="AK33" i="30"/>
  <c r="AK47" i="30" s="1"/>
  <c r="AK52" i="30" s="1"/>
  <c r="CA42" i="31"/>
  <c r="AH33" i="30"/>
  <c r="AH47" i="30" s="1"/>
  <c r="CA13" i="30"/>
  <c r="CA14" i="31"/>
  <c r="CA40" i="31"/>
  <c r="CA31" i="31"/>
  <c r="CA11" i="31"/>
  <c r="CA27" i="31"/>
  <c r="CA41" i="31"/>
  <c r="CA10" i="31"/>
  <c r="CA43" i="31"/>
  <c r="CA28" i="31"/>
  <c r="CA38" i="31"/>
  <c r="CA12" i="31"/>
  <c r="AL18" i="30"/>
  <c r="AL34" i="31"/>
  <c r="AL45" i="31"/>
  <c r="AL18" i="31"/>
  <c r="AN15" i="30"/>
  <c r="AN15" i="31"/>
  <c r="AC47" i="30"/>
  <c r="AC52" i="30" s="1"/>
  <c r="CB15" i="30"/>
  <c r="Z48" i="31"/>
  <c r="Z50" i="31" s="1"/>
  <c r="Z48" i="30"/>
  <c r="Z50" i="30" s="1"/>
  <c r="AA48" i="30"/>
  <c r="AA50" i="30" s="1"/>
  <c r="AA48" i="31"/>
  <c r="AA50" i="31" s="1"/>
  <c r="AM18" i="30"/>
  <c r="CF20" i="31"/>
  <c r="CF36" i="31"/>
  <c r="CE20" i="31"/>
  <c r="CE36" i="31"/>
  <c r="BV18" i="30"/>
  <c r="BR18" i="30"/>
  <c r="BR47" i="30" s="1"/>
  <c r="BR52" i="30" s="1"/>
  <c r="BZ18" i="30"/>
  <c r="BS18" i="30"/>
  <c r="BS47" i="30" s="1"/>
  <c r="BS52" i="30" s="1"/>
  <c r="BX18" i="30"/>
  <c r="BT18" i="30"/>
  <c r="BT47" i="30" s="1"/>
  <c r="BT52" i="30" s="1"/>
  <c r="BU18" i="30"/>
  <c r="BU47" i="30" s="1"/>
  <c r="BU52" i="30" s="1"/>
  <c r="CB13" i="30"/>
  <c r="CB13" i="31"/>
  <c r="BW18" i="30"/>
  <c r="BY18" i="30"/>
  <c r="AN13" i="30"/>
  <c r="AN13" i="31"/>
  <c r="AN43" i="30"/>
  <c r="AN45" i="30" s="1"/>
  <c r="CB43" i="30"/>
  <c r="CB45" i="30" s="1"/>
  <c r="AN20" i="30"/>
  <c r="AN36" i="30"/>
  <c r="CC36" i="30"/>
  <c r="CC20" i="30"/>
  <c r="AG48" i="30"/>
  <c r="AG50" i="30" s="1"/>
  <c r="AE47" i="31"/>
  <c r="AE52" i="31" s="1"/>
  <c r="AD47" i="31"/>
  <c r="AD52" i="31" s="1"/>
  <c r="BY45" i="31"/>
  <c r="AC47" i="31"/>
  <c r="AC52" i="31" s="1"/>
  <c r="BX45" i="31"/>
  <c r="AF47" i="31"/>
  <c r="AF52" i="31" s="1"/>
  <c r="AM34" i="31"/>
  <c r="BV18" i="31"/>
  <c r="BU34" i="31"/>
  <c r="BR34" i="31"/>
  <c r="BS45" i="31"/>
  <c r="BW45" i="31"/>
  <c r="BY18" i="31"/>
  <c r="BT34" i="31"/>
  <c r="BX34" i="31"/>
  <c r="AN24" i="31"/>
  <c r="AN22" i="31"/>
  <c r="BS18" i="31"/>
  <c r="AN14" i="31"/>
  <c r="BS34" i="31"/>
  <c r="BW34" i="31"/>
  <c r="AN10" i="31"/>
  <c r="AN42" i="31"/>
  <c r="CB24" i="31"/>
  <c r="BW18" i="31"/>
  <c r="AN41" i="31"/>
  <c r="AN38" i="31"/>
  <c r="BX18" i="31"/>
  <c r="BY34" i="31"/>
  <c r="CB28" i="31"/>
  <c r="BV45" i="31"/>
  <c r="BT18" i="31"/>
  <c r="AN40" i="31"/>
  <c r="AN28" i="31"/>
  <c r="AN27" i="31"/>
  <c r="CB23" i="31"/>
  <c r="BR18" i="31"/>
  <c r="CB40" i="31"/>
  <c r="AN23" i="31"/>
  <c r="CB41" i="31"/>
  <c r="CB27" i="31"/>
  <c r="CB12" i="31"/>
  <c r="BU45" i="31"/>
  <c r="BZ18" i="31"/>
  <c r="AN29" i="31"/>
  <c r="CB42" i="31"/>
  <c r="AN11" i="31"/>
  <c r="AN26" i="31"/>
  <c r="CB31" i="31"/>
  <c r="CB14" i="31"/>
  <c r="BU18" i="31"/>
  <c r="BV34" i="31"/>
  <c r="CB38" i="31"/>
  <c r="AN12" i="31"/>
  <c r="CB11" i="31"/>
  <c r="BT45" i="31"/>
  <c r="CB26" i="31"/>
  <c r="CB29" i="31"/>
  <c r="BR45" i="31"/>
  <c r="BZ45" i="31"/>
  <c r="BZ34" i="31"/>
  <c r="CB22" i="31"/>
  <c r="CB43" i="31"/>
  <c r="AN43" i="31"/>
  <c r="AM45" i="31"/>
  <c r="AG48" i="31"/>
  <c r="AG50" i="31" s="1"/>
  <c r="AQ64" i="29"/>
  <c r="AQ63" i="29"/>
  <c r="AQ62" i="29"/>
  <c r="AQ68" i="29" s="1"/>
  <c r="CE35" i="29"/>
  <c r="CF8" i="29"/>
  <c r="CE50" i="29"/>
  <c r="CE20" i="29"/>
  <c r="AP64" i="29"/>
  <c r="AP63" i="29"/>
  <c r="AP62" i="29"/>
  <c r="AM18" i="31"/>
  <c r="CC55" i="30"/>
  <c r="CC55" i="31"/>
  <c r="CC56" i="29"/>
  <c r="CC42" i="30" s="1"/>
  <c r="CC44" i="29"/>
  <c r="CC15" i="29"/>
  <c r="CC15" i="31" s="1"/>
  <c r="CC55" i="29"/>
  <c r="CC41" i="30" s="1"/>
  <c r="CC11" i="29"/>
  <c r="CC11" i="30" s="1"/>
  <c r="CC53" i="29"/>
  <c r="CC39" i="30" s="1"/>
  <c r="CC57" i="29"/>
  <c r="CC12" i="29"/>
  <c r="CC12" i="30" s="1"/>
  <c r="CC10" i="29"/>
  <c r="CC10" i="30" s="1"/>
  <c r="CC29" i="29"/>
  <c r="CC29" i="30" s="1"/>
  <c r="CC54" i="29"/>
  <c r="CC40" i="30" s="1"/>
  <c r="AN20" i="31"/>
  <c r="AO8" i="31"/>
  <c r="CD8" i="30"/>
  <c r="CD50" i="29"/>
  <c r="CD20" i="29"/>
  <c r="AO8" i="30"/>
  <c r="CC16" i="31" l="1"/>
  <c r="CC30" i="31"/>
  <c r="CC16" i="30"/>
  <c r="CC30" i="30"/>
  <c r="CC33" i="30" s="1"/>
  <c r="P48" i="31"/>
  <c r="P50" i="31" s="1"/>
  <c r="BE47" i="30"/>
  <c r="BE52" i="30" s="1"/>
  <c r="P48" i="30"/>
  <c r="P50" i="30" s="1"/>
  <c r="BE47" i="31"/>
  <c r="BE52" i="31" s="1"/>
  <c r="AF48" i="30"/>
  <c r="AF50" i="30" s="1"/>
  <c r="AD48" i="30"/>
  <c r="AD50" i="30" s="1"/>
  <c r="AM47" i="30"/>
  <c r="AM52" i="30" s="1"/>
  <c r="AE48" i="30"/>
  <c r="AE50" i="30" s="1"/>
  <c r="AK48" i="31"/>
  <c r="AK50" i="31" s="1"/>
  <c r="AN33" i="30"/>
  <c r="AH52" i="30"/>
  <c r="AH48" i="31"/>
  <c r="AH50" i="31" s="1"/>
  <c r="AO55" i="29"/>
  <c r="AO41" i="30" s="1"/>
  <c r="AO11" i="29"/>
  <c r="AO11" i="30" s="1"/>
  <c r="AO54" i="29"/>
  <c r="AO40" i="30" s="1"/>
  <c r="AO13" i="29"/>
  <c r="E13" i="29" s="1"/>
  <c r="J24" i="40" s="1"/>
  <c r="AO53" i="29"/>
  <c r="AO39" i="30" s="1"/>
  <c r="AO28" i="29"/>
  <c r="E28" i="29" s="1"/>
  <c r="AO12" i="29"/>
  <c r="E12" i="29" s="1"/>
  <c r="AO52" i="29"/>
  <c r="E52" i="29" s="1"/>
  <c r="AO44" i="29"/>
  <c r="E44" i="29" s="1"/>
  <c r="N53" i="40" s="1"/>
  <c r="AO56" i="29"/>
  <c r="AO42" i="30" s="1"/>
  <c r="AO43" i="29"/>
  <c r="AO28" i="30" s="1"/>
  <c r="AO30" i="29"/>
  <c r="E30" i="29" s="1"/>
  <c r="AO31" i="29"/>
  <c r="E31" i="29" s="1"/>
  <c r="AO16" i="29"/>
  <c r="E16" i="29" s="1"/>
  <c r="Q33" i="40" s="1"/>
  <c r="AO24" i="29"/>
  <c r="AO24" i="30" s="1"/>
  <c r="AO27" i="29"/>
  <c r="E27" i="29" s="1"/>
  <c r="CD68" i="29"/>
  <c r="AO29" i="29"/>
  <c r="E29" i="29" s="1"/>
  <c r="AO45" i="29"/>
  <c r="E45" i="29" s="1"/>
  <c r="P37" i="15" s="1"/>
  <c r="R37" i="15" s="1"/>
  <c r="AO42" i="29"/>
  <c r="AO27" i="30" s="1"/>
  <c r="AO46" i="29"/>
  <c r="AO31" i="31" s="1"/>
  <c r="AO14" i="29"/>
  <c r="E14" i="29" s="1"/>
  <c r="AO55" i="30"/>
  <c r="AO41" i="29"/>
  <c r="E41" i="29" s="1"/>
  <c r="N50" i="40" s="1"/>
  <c r="AO57" i="29"/>
  <c r="E57" i="29" s="1"/>
  <c r="AO15" i="29"/>
  <c r="E15" i="29" s="1"/>
  <c r="AO39" i="29"/>
  <c r="E39" i="29" s="1"/>
  <c r="J47" i="40" s="1"/>
  <c r="AO55" i="31"/>
  <c r="AO30" i="31" s="1"/>
  <c r="AO38" i="29"/>
  <c r="E38" i="29" s="1"/>
  <c r="AO37" i="29"/>
  <c r="E37" i="29" s="1"/>
  <c r="K41" i="40" s="1"/>
  <c r="AO10" i="29"/>
  <c r="AO10" i="30" s="1"/>
  <c r="AO23" i="29"/>
  <c r="AO23" i="30" s="1"/>
  <c r="AO22" i="29"/>
  <c r="E22" i="29" s="1"/>
  <c r="AO26" i="29"/>
  <c r="E26" i="29" s="1"/>
  <c r="E54" i="29"/>
  <c r="E11" i="29"/>
  <c r="E53" i="29"/>
  <c r="BX47" i="30"/>
  <c r="BX52" i="30" s="1"/>
  <c r="AI48" i="31"/>
  <c r="AI50" i="31" s="1"/>
  <c r="AJ48" i="31"/>
  <c r="AJ50" i="31" s="1"/>
  <c r="AI48" i="30"/>
  <c r="AI50" i="30" s="1"/>
  <c r="AQ46" i="29"/>
  <c r="AQ31" i="31" s="1"/>
  <c r="AQ45" i="29"/>
  <c r="CA18" i="30"/>
  <c r="CA47" i="30" s="1"/>
  <c r="CA52" i="30" s="1"/>
  <c r="BY47" i="30"/>
  <c r="BY52" i="30" s="1"/>
  <c r="AL47" i="30"/>
  <c r="AL52" i="30" s="1"/>
  <c r="BW47" i="30"/>
  <c r="BW52" i="30" s="1"/>
  <c r="AK48" i="30"/>
  <c r="AK50" i="30" s="1"/>
  <c r="BZ47" i="30"/>
  <c r="BZ52" i="30" s="1"/>
  <c r="BV47" i="30"/>
  <c r="BV52" i="30" s="1"/>
  <c r="AJ48" i="30"/>
  <c r="AJ50" i="30" s="1"/>
  <c r="AH48" i="30"/>
  <c r="AH50" i="30" s="1"/>
  <c r="AQ31" i="29"/>
  <c r="AQ30" i="29"/>
  <c r="AQ55" i="30"/>
  <c r="CA34" i="31"/>
  <c r="CA45" i="31"/>
  <c r="CA18" i="31"/>
  <c r="AL47" i="31"/>
  <c r="AL48" i="31" s="1"/>
  <c r="AL50" i="31" s="1"/>
  <c r="AC48" i="30"/>
  <c r="AC50" i="30" s="1"/>
  <c r="CC15" i="30"/>
  <c r="AP8" i="31"/>
  <c r="AQ8" i="31" s="1"/>
  <c r="AR8" i="31" s="1"/>
  <c r="AO36" i="31"/>
  <c r="CB18" i="30"/>
  <c r="CB47" i="30" s="1"/>
  <c r="CB52" i="30" s="1"/>
  <c r="AN18" i="30"/>
  <c r="CC13" i="30"/>
  <c r="CC13" i="31"/>
  <c r="BT48" i="30"/>
  <c r="BT50" i="30" s="1"/>
  <c r="CC43" i="30"/>
  <c r="CC45" i="30" s="1"/>
  <c r="AP8" i="30"/>
  <c r="AQ8" i="30" s="1"/>
  <c r="AR8" i="30" s="1"/>
  <c r="AO20" i="30"/>
  <c r="AO36" i="30"/>
  <c r="CE8" i="30"/>
  <c r="CD36" i="30"/>
  <c r="CD20" i="30"/>
  <c r="AF48" i="31"/>
  <c r="AF50" i="31" s="1"/>
  <c r="AE48" i="31"/>
  <c r="AE50" i="31" s="1"/>
  <c r="AD48" i="31"/>
  <c r="AD50" i="31" s="1"/>
  <c r="BS48" i="30"/>
  <c r="BS50" i="30" s="1"/>
  <c r="AC48" i="31"/>
  <c r="AC50" i="31" s="1"/>
  <c r="BY47" i="31"/>
  <c r="BY52" i="31" s="1"/>
  <c r="BR47" i="31"/>
  <c r="BR52" i="31" s="1"/>
  <c r="BS47" i="31"/>
  <c r="BS52" i="31" s="1"/>
  <c r="BX47" i="31"/>
  <c r="BX52" i="31" s="1"/>
  <c r="AN34" i="31"/>
  <c r="BU48" i="30"/>
  <c r="BU50" i="30" s="1"/>
  <c r="BR48" i="30"/>
  <c r="BR50" i="30" s="1"/>
  <c r="BW47" i="31"/>
  <c r="BW52" i="31" s="1"/>
  <c r="BT47" i="31"/>
  <c r="BT52" i="31" s="1"/>
  <c r="BU47" i="31"/>
  <c r="BU52" i="31" s="1"/>
  <c r="CB18" i="31"/>
  <c r="BV47" i="31"/>
  <c r="BV52" i="31" s="1"/>
  <c r="CC14" i="31"/>
  <c r="CC38" i="31"/>
  <c r="CC40" i="31"/>
  <c r="CC12" i="31"/>
  <c r="CC31" i="31"/>
  <c r="CC41" i="31"/>
  <c r="CC10" i="31"/>
  <c r="CC42" i="31"/>
  <c r="BZ47" i="31"/>
  <c r="BZ52" i="31" s="1"/>
  <c r="CC26" i="31"/>
  <c r="CC27" i="31"/>
  <c r="CC11" i="31"/>
  <c r="AN45" i="31"/>
  <c r="CC28" i="31"/>
  <c r="CC24" i="31"/>
  <c r="CC29" i="31"/>
  <c r="CC23" i="31"/>
  <c r="CB34" i="31"/>
  <c r="CC22" i="31"/>
  <c r="CC43" i="31"/>
  <c r="CB45" i="31"/>
  <c r="AM47" i="31"/>
  <c r="AM52" i="31" s="1"/>
  <c r="AP68" i="29"/>
  <c r="G2" i="12"/>
  <c r="CE64" i="29"/>
  <c r="CE63" i="29"/>
  <c r="CE62" i="29"/>
  <c r="CF35" i="29"/>
  <c r="CF20" i="29"/>
  <c r="CF50" i="29"/>
  <c r="CF8" i="30"/>
  <c r="AQ54" i="29"/>
  <c r="AQ40" i="30" s="1"/>
  <c r="AQ24" i="29"/>
  <c r="AQ24" i="30" s="1"/>
  <c r="CF68" i="29"/>
  <c r="AQ14" i="29"/>
  <c r="AQ53" i="29"/>
  <c r="AQ39" i="30" s="1"/>
  <c r="AQ55" i="31"/>
  <c r="AQ39" i="29"/>
  <c r="AQ23" i="29"/>
  <c r="AQ23" i="30" s="1"/>
  <c r="AQ12" i="29"/>
  <c r="AQ12" i="30" s="1"/>
  <c r="AQ52" i="29"/>
  <c r="AQ38" i="30" s="1"/>
  <c r="AQ37" i="29"/>
  <c r="AQ22" i="29"/>
  <c r="AQ22" i="30" s="1"/>
  <c r="AQ10" i="29"/>
  <c r="AQ10" i="30" s="1"/>
  <c r="AQ44" i="29"/>
  <c r="AQ29" i="29"/>
  <c r="AQ29" i="30" s="1"/>
  <c r="AQ16" i="29"/>
  <c r="AQ57" i="29"/>
  <c r="AQ43" i="29"/>
  <c r="AQ28" i="30" s="1"/>
  <c r="AQ28" i="29"/>
  <c r="AQ15" i="29"/>
  <c r="AQ56" i="29"/>
  <c r="AQ42" i="30" s="1"/>
  <c r="AQ41" i="29"/>
  <c r="AQ27" i="29"/>
  <c r="AQ13" i="29"/>
  <c r="AQ55" i="29"/>
  <c r="AQ41" i="30" s="1"/>
  <c r="AQ38" i="29"/>
  <c r="AQ26" i="29"/>
  <c r="AQ26" i="30" s="1"/>
  <c r="AQ11" i="29"/>
  <c r="AQ11" i="30" s="1"/>
  <c r="AQ42" i="29"/>
  <c r="AQ27" i="30" s="1"/>
  <c r="CF64" i="29"/>
  <c r="CF63" i="29"/>
  <c r="CF62" i="29"/>
  <c r="AN18" i="31"/>
  <c r="AO20" i="31"/>
  <c r="AO30" i="30" l="1"/>
  <c r="AQ30" i="31"/>
  <c r="AQ31" i="30"/>
  <c r="AQ30" i="30"/>
  <c r="E31" i="31"/>
  <c r="AO31" i="30"/>
  <c r="CD41" i="29"/>
  <c r="AT68" i="29"/>
  <c r="E30" i="31"/>
  <c r="AO16" i="31"/>
  <c r="AQ16" i="31"/>
  <c r="E30" i="30"/>
  <c r="AQ16" i="30"/>
  <c r="AO16" i="30"/>
  <c r="CF55" i="30"/>
  <c r="P62" i="40"/>
  <c r="Q62" i="40"/>
  <c r="N62" i="40"/>
  <c r="O62" i="40"/>
  <c r="K62" i="40"/>
  <c r="L62" i="40"/>
  <c r="I62" i="40"/>
  <c r="J62" i="40"/>
  <c r="G62" i="40"/>
  <c r="H62" i="40"/>
  <c r="E62" i="40"/>
  <c r="F62" i="40"/>
  <c r="E37" i="15"/>
  <c r="G37" i="15" s="1"/>
  <c r="K65" i="40"/>
  <c r="O33" i="40"/>
  <c r="P33" i="40"/>
  <c r="L33" i="40"/>
  <c r="N33" i="40"/>
  <c r="J33" i="40"/>
  <c r="K33" i="40"/>
  <c r="H33" i="40"/>
  <c r="I33" i="40"/>
  <c r="F33" i="40"/>
  <c r="G33" i="40"/>
  <c r="E33" i="40"/>
  <c r="BE48" i="31"/>
  <c r="BE50" i="31" s="1"/>
  <c r="BE48" i="30"/>
  <c r="BE50" i="30" s="1"/>
  <c r="AO40" i="31"/>
  <c r="AM48" i="30"/>
  <c r="AM50" i="30" s="1"/>
  <c r="AO13" i="30"/>
  <c r="AO12" i="31"/>
  <c r="AN47" i="30"/>
  <c r="AN52" i="30" s="1"/>
  <c r="CD55" i="31"/>
  <c r="E31" i="30"/>
  <c r="E55" i="30"/>
  <c r="E46" i="29"/>
  <c r="P38" i="15" s="1"/>
  <c r="R38" i="15" s="1"/>
  <c r="AO13" i="31"/>
  <c r="AO42" i="31"/>
  <c r="AO38" i="30"/>
  <c r="AO11" i="31"/>
  <c r="AO29" i="31"/>
  <c r="AO29" i="30"/>
  <c r="AO12" i="30"/>
  <c r="CD55" i="30"/>
  <c r="CD15" i="29"/>
  <c r="CD15" i="31" s="1"/>
  <c r="L24" i="40"/>
  <c r="E76" i="40"/>
  <c r="F76" i="40"/>
  <c r="Q76" i="40"/>
  <c r="AO38" i="31"/>
  <c r="AO27" i="31"/>
  <c r="CD12" i="29"/>
  <c r="CD12" i="30" s="1"/>
  <c r="CD45" i="29"/>
  <c r="CD16" i="29"/>
  <c r="CD53" i="29"/>
  <c r="CD39" i="30" s="1"/>
  <c r="CD28" i="29"/>
  <c r="CD44" i="29"/>
  <c r="CD29" i="31" s="1"/>
  <c r="CD23" i="29"/>
  <c r="CD23" i="30" s="1"/>
  <c r="CD11" i="29"/>
  <c r="CD11" i="30" s="1"/>
  <c r="CD31" i="29"/>
  <c r="CD56" i="29"/>
  <c r="CD42" i="30" s="1"/>
  <c r="CD52" i="29"/>
  <c r="CD38" i="30" s="1"/>
  <c r="AO41" i="31"/>
  <c r="E55" i="29"/>
  <c r="CD54" i="29"/>
  <c r="CD40" i="30" s="1"/>
  <c r="CD46" i="29"/>
  <c r="CD31" i="30" s="1"/>
  <c r="CD55" i="29"/>
  <c r="CD41" i="30" s="1"/>
  <c r="CD10" i="29"/>
  <c r="CD10" i="30" s="1"/>
  <c r="AO22" i="30"/>
  <c r="CD57" i="29"/>
  <c r="CD29" i="29"/>
  <c r="CD29" i="30" s="1"/>
  <c r="AO14" i="31"/>
  <c r="E14" i="31" s="1"/>
  <c r="F53" i="40"/>
  <c r="AO26" i="30"/>
  <c r="E53" i="40"/>
  <c r="J53" i="40"/>
  <c r="Q53" i="40"/>
  <c r="O53" i="40"/>
  <c r="K53" i="40"/>
  <c r="AO24" i="31"/>
  <c r="L53" i="40"/>
  <c r="P53" i="40"/>
  <c r="AO28" i="31"/>
  <c r="E56" i="29"/>
  <c r="J41" i="40"/>
  <c r="O41" i="40"/>
  <c r="E43" i="29"/>
  <c r="E42" i="29"/>
  <c r="AO14" i="30"/>
  <c r="E14" i="30" s="1"/>
  <c r="CD14" i="29"/>
  <c r="CD14" i="30" s="1"/>
  <c r="AT14" i="30" s="1"/>
  <c r="CD37" i="29"/>
  <c r="CD22" i="31" s="1"/>
  <c r="CD42" i="29"/>
  <c r="CD27" i="30" s="1"/>
  <c r="CD13" i="29"/>
  <c r="CD13" i="30" s="1"/>
  <c r="CD38" i="29"/>
  <c r="CD23" i="31" s="1"/>
  <c r="CD24" i="29"/>
  <c r="CD24" i="30" s="1"/>
  <c r="CD22" i="29"/>
  <c r="CD22" i="30" s="1"/>
  <c r="AO10" i="31"/>
  <c r="CD27" i="29"/>
  <c r="CD39" i="29"/>
  <c r="CD24" i="31" s="1"/>
  <c r="AO43" i="31"/>
  <c r="AO22" i="31"/>
  <c r="CD43" i="29"/>
  <c r="CD28" i="30" s="1"/>
  <c r="F41" i="40"/>
  <c r="E10" i="29"/>
  <c r="Q41" i="40"/>
  <c r="N41" i="40"/>
  <c r="CD30" i="29"/>
  <c r="L41" i="40"/>
  <c r="P41" i="40"/>
  <c r="L44" i="40"/>
  <c r="K44" i="40"/>
  <c r="E24" i="40"/>
  <c r="Q24" i="40"/>
  <c r="P24" i="40"/>
  <c r="N24" i="40"/>
  <c r="O24" i="40"/>
  <c r="K24" i="40"/>
  <c r="G24" i="40"/>
  <c r="I24" i="40"/>
  <c r="AO23" i="31"/>
  <c r="F24" i="40"/>
  <c r="E65" i="40"/>
  <c r="H24" i="40"/>
  <c r="E55" i="31"/>
  <c r="CD26" i="29"/>
  <c r="CD26" i="30" s="1"/>
  <c r="E41" i="40"/>
  <c r="Q65" i="40"/>
  <c r="L65" i="40"/>
  <c r="E23" i="29"/>
  <c r="I44" i="40" s="1"/>
  <c r="E24" i="29"/>
  <c r="G47" i="40" s="1"/>
  <c r="P44" i="40"/>
  <c r="L47" i="40"/>
  <c r="AO15" i="31"/>
  <c r="AO15" i="30"/>
  <c r="AO43" i="30"/>
  <c r="O44" i="40"/>
  <c r="N65" i="40"/>
  <c r="F50" i="40"/>
  <c r="AO26" i="31"/>
  <c r="F65" i="40"/>
  <c r="N44" i="40"/>
  <c r="J50" i="40"/>
  <c r="O50" i="40"/>
  <c r="Q50" i="40"/>
  <c r="P65" i="40"/>
  <c r="K50" i="40"/>
  <c r="O65" i="40"/>
  <c r="J44" i="40"/>
  <c r="L50" i="40"/>
  <c r="H65" i="40"/>
  <c r="P47" i="40"/>
  <c r="P50" i="40"/>
  <c r="E38" i="15"/>
  <c r="G38" i="15" s="1"/>
  <c r="O47" i="40"/>
  <c r="E50" i="40"/>
  <c r="G65" i="40"/>
  <c r="K47" i="40"/>
  <c r="I65" i="40"/>
  <c r="N47" i="40"/>
  <c r="J65" i="40"/>
  <c r="H76" i="40"/>
  <c r="G76" i="40"/>
  <c r="I76" i="40"/>
  <c r="I53" i="40"/>
  <c r="G53" i="40"/>
  <c r="H53" i="40"/>
  <c r="I50" i="40"/>
  <c r="G50" i="40"/>
  <c r="H50" i="40"/>
  <c r="H41" i="40"/>
  <c r="G41" i="40"/>
  <c r="I41" i="40"/>
  <c r="BX48" i="30"/>
  <c r="BX50" i="30" s="1"/>
  <c r="BY48" i="30"/>
  <c r="BY50" i="30" s="1"/>
  <c r="AP46" i="29"/>
  <c r="AP31" i="31" s="1"/>
  <c r="AP45" i="29"/>
  <c r="AL48" i="30"/>
  <c r="AL50" i="30" s="1"/>
  <c r="BW48" i="30"/>
  <c r="BW50" i="30" s="1"/>
  <c r="CF52" i="29"/>
  <c r="CF38" i="30" s="1"/>
  <c r="CF31" i="29"/>
  <c r="CF14" i="29"/>
  <c r="CF43" i="29"/>
  <c r="CF28" i="30" s="1"/>
  <c r="CF27" i="29"/>
  <c r="CF46" i="29"/>
  <c r="CF31" i="30" s="1"/>
  <c r="CF30" i="29"/>
  <c r="CF13" i="29"/>
  <c r="CF42" i="29"/>
  <c r="CF27" i="30" s="1"/>
  <c r="CF26" i="29"/>
  <c r="CF26" i="30" s="1"/>
  <c r="CF41" i="29"/>
  <c r="CF16" i="29"/>
  <c r="CF45" i="29"/>
  <c r="CF28" i="29"/>
  <c r="BV48" i="30"/>
  <c r="BV50" i="30" s="1"/>
  <c r="AQ43" i="30"/>
  <c r="AQ45" i="30" s="1"/>
  <c r="BZ48" i="30"/>
  <c r="BZ50" i="30" s="1"/>
  <c r="AP41" i="29"/>
  <c r="AP37" i="29"/>
  <c r="AP38" i="29"/>
  <c r="AP39" i="29"/>
  <c r="AP31" i="29"/>
  <c r="AP30" i="29"/>
  <c r="AR20" i="31"/>
  <c r="AR36" i="31"/>
  <c r="AR20" i="30"/>
  <c r="AR36" i="30"/>
  <c r="AL52" i="31"/>
  <c r="CA47" i="31"/>
  <c r="CA52" i="31" s="1"/>
  <c r="CA48" i="30"/>
  <c r="CA50" i="30" s="1"/>
  <c r="AQ15" i="30"/>
  <c r="AQ15" i="31"/>
  <c r="CC18" i="30"/>
  <c r="CC47" i="30" s="1"/>
  <c r="CC52" i="30" s="1"/>
  <c r="AQ36" i="31"/>
  <c r="AQ20" i="31"/>
  <c r="AP20" i="31"/>
  <c r="AP36" i="31"/>
  <c r="AQ13" i="30"/>
  <c r="AQ13" i="31"/>
  <c r="AQ39" i="31"/>
  <c r="CF36" i="30"/>
  <c r="CF20" i="30"/>
  <c r="AQ20" i="30"/>
  <c r="AQ36" i="30"/>
  <c r="CE36" i="30"/>
  <c r="CE20" i="30"/>
  <c r="AP36" i="30"/>
  <c r="AP20" i="30"/>
  <c r="CB48" i="30"/>
  <c r="CB50" i="30" s="1"/>
  <c r="BY48" i="31"/>
  <c r="BY50" i="31" s="1"/>
  <c r="BX48" i="31"/>
  <c r="BX50" i="31" s="1"/>
  <c r="BS48" i="31"/>
  <c r="BS50" i="31" s="1"/>
  <c r="BV48" i="31"/>
  <c r="BV50" i="31" s="1"/>
  <c r="BR48" i="31"/>
  <c r="BR50" i="31" s="1"/>
  <c r="BU48" i="31"/>
  <c r="BU50" i="31" s="1"/>
  <c r="BW48" i="31"/>
  <c r="BW50" i="31" s="1"/>
  <c r="BT48" i="31"/>
  <c r="BT50" i="31" s="1"/>
  <c r="AQ12" i="31"/>
  <c r="AQ27" i="31"/>
  <c r="CC45" i="31"/>
  <c r="AQ11" i="31"/>
  <c r="CC34" i="31"/>
  <c r="AQ24" i="31"/>
  <c r="CC18" i="31"/>
  <c r="AQ26" i="31"/>
  <c r="AQ42" i="31"/>
  <c r="BZ48" i="31"/>
  <c r="BZ50" i="31" s="1"/>
  <c r="AQ22" i="31"/>
  <c r="AQ23" i="31"/>
  <c r="CD26" i="31"/>
  <c r="AQ10" i="31"/>
  <c r="AQ41" i="31"/>
  <c r="AQ28" i="31"/>
  <c r="AQ38" i="31"/>
  <c r="AQ40" i="31"/>
  <c r="AQ29" i="31"/>
  <c r="CB47" i="31"/>
  <c r="CB52" i="31" s="1"/>
  <c r="AM48" i="31"/>
  <c r="AM50" i="31" s="1"/>
  <c r="AQ43" i="31"/>
  <c r="CF55" i="31"/>
  <c r="AU34" i="31"/>
  <c r="AU47" i="31" s="1"/>
  <c r="AP12" i="29"/>
  <c r="AP10" i="29"/>
  <c r="AP44" i="29"/>
  <c r="AP52" i="29"/>
  <c r="AP38" i="30" s="1"/>
  <c r="AP11" i="29"/>
  <c r="AP22" i="29"/>
  <c r="AP22" i="30" s="1"/>
  <c r="AP29" i="29"/>
  <c r="AP29" i="30" s="1"/>
  <c r="AP16" i="29"/>
  <c r="AP56" i="29"/>
  <c r="AP42" i="30" s="1"/>
  <c r="AP14" i="29"/>
  <c r="AP57" i="29"/>
  <c r="AP43" i="29"/>
  <c r="AP28" i="29"/>
  <c r="AP15" i="29"/>
  <c r="AP27" i="29"/>
  <c r="AP42" i="29"/>
  <c r="AP55" i="29"/>
  <c r="AP41" i="30" s="1"/>
  <c r="AP13" i="29"/>
  <c r="AP26" i="29"/>
  <c r="AP26" i="30" s="1"/>
  <c r="AP54" i="29"/>
  <c r="AP24" i="29"/>
  <c r="AP24" i="30" s="1"/>
  <c r="AP53" i="29"/>
  <c r="AP39" i="30" s="1"/>
  <c r="AP23" i="29"/>
  <c r="AP23" i="30" s="1"/>
  <c r="AP55" i="31"/>
  <c r="CE68" i="29"/>
  <c r="AP55" i="30"/>
  <c r="CF57" i="29"/>
  <c r="CF15" i="29"/>
  <c r="CF15" i="31" s="1"/>
  <c r="CF12" i="29"/>
  <c r="CF12" i="30" s="1"/>
  <c r="CF37" i="29"/>
  <c r="CF38" i="29"/>
  <c r="CF39" i="29"/>
  <c r="CF53" i="29"/>
  <c r="CF39" i="30" s="1"/>
  <c r="CF44" i="29"/>
  <c r="CF24" i="29"/>
  <c r="CF24" i="30" s="1"/>
  <c r="CF29" i="29"/>
  <c r="CF29" i="30" s="1"/>
  <c r="CF22" i="29"/>
  <c r="CF22" i="30" s="1"/>
  <c r="CF54" i="29"/>
  <c r="CF40" i="30" s="1"/>
  <c r="CF23" i="29"/>
  <c r="CF23" i="30" s="1"/>
  <c r="CF56" i="29"/>
  <c r="CF42" i="30" s="1"/>
  <c r="CF55" i="29"/>
  <c r="CF41" i="30" s="1"/>
  <c r="CF11" i="29"/>
  <c r="CF11" i="30" s="1"/>
  <c r="CF10" i="29"/>
  <c r="CF10" i="30" s="1"/>
  <c r="AN47" i="31"/>
  <c r="AN52" i="31" s="1"/>
  <c r="AP30" i="31" l="1"/>
  <c r="AP31" i="30"/>
  <c r="AP30" i="30"/>
  <c r="CF43" i="30"/>
  <c r="CF45" i="30" s="1"/>
  <c r="CF16" i="31"/>
  <c r="CD16" i="31"/>
  <c r="CF30" i="31"/>
  <c r="CD30" i="31"/>
  <c r="AP16" i="31"/>
  <c r="CF30" i="30"/>
  <c r="CF33" i="30" s="1"/>
  <c r="CD30" i="30"/>
  <c r="CD33" i="30" s="1"/>
  <c r="CF16" i="30"/>
  <c r="CD16" i="30"/>
  <c r="AP16" i="30"/>
  <c r="AQ33" i="30"/>
  <c r="AN48" i="30"/>
  <c r="AN50" i="30" s="1"/>
  <c r="G93" i="15"/>
  <c r="AE65" i="40" s="1"/>
  <c r="CD43" i="31"/>
  <c r="Q13" i="32"/>
  <c r="M14" i="32"/>
  <c r="Q14" i="32"/>
  <c r="M13" i="32"/>
  <c r="CD15" i="30"/>
  <c r="CD31" i="31"/>
  <c r="CD41" i="31"/>
  <c r="CD12" i="31"/>
  <c r="CD10" i="31"/>
  <c r="CD43" i="30"/>
  <c r="CD45" i="30" s="1"/>
  <c r="CD27" i="31"/>
  <c r="CD38" i="31"/>
  <c r="CD11" i="31"/>
  <c r="E47" i="40"/>
  <c r="CD14" i="31"/>
  <c r="CD42" i="31"/>
  <c r="F44" i="40"/>
  <c r="Q47" i="40"/>
  <c r="Q44" i="40"/>
  <c r="F47" i="40"/>
  <c r="E44" i="40"/>
  <c r="CD40" i="31"/>
  <c r="AO18" i="31"/>
  <c r="AO45" i="31"/>
  <c r="CD28" i="31"/>
  <c r="AO33" i="30"/>
  <c r="CD13" i="31"/>
  <c r="I47" i="40"/>
  <c r="H44" i="40"/>
  <c r="G44" i="40"/>
  <c r="AO45" i="30"/>
  <c r="AO34" i="31"/>
  <c r="AO18" i="30"/>
  <c r="H47" i="40"/>
  <c r="R65" i="40"/>
  <c r="CE52" i="29"/>
  <c r="CE38" i="30" s="1"/>
  <c r="AT38" i="30" s="1"/>
  <c r="CE31" i="29"/>
  <c r="CE14" i="29"/>
  <c r="CE43" i="29"/>
  <c r="CE27" i="29"/>
  <c r="CE46" i="29"/>
  <c r="CE30" i="29"/>
  <c r="CE13" i="29"/>
  <c r="CE42" i="29"/>
  <c r="CE26" i="29"/>
  <c r="CE26" i="30" s="1"/>
  <c r="CE16" i="29"/>
  <c r="CE45" i="29"/>
  <c r="CE28" i="29"/>
  <c r="CE41" i="29"/>
  <c r="CA48" i="31"/>
  <c r="CA50" i="31" s="1"/>
  <c r="AQ18" i="30"/>
  <c r="AP15" i="30"/>
  <c r="AP15" i="31"/>
  <c r="CF15" i="30"/>
  <c r="CF13" i="30"/>
  <c r="CF13" i="31"/>
  <c r="AP13" i="30"/>
  <c r="AP13" i="31"/>
  <c r="AP43" i="30"/>
  <c r="CF39" i="31"/>
  <c r="AP39" i="31"/>
  <c r="AP40" i="30"/>
  <c r="AP40" i="31"/>
  <c r="AP11" i="30"/>
  <c r="AP27" i="30"/>
  <c r="AP10" i="30"/>
  <c r="AP12" i="30"/>
  <c r="AP28" i="30"/>
  <c r="CC48" i="30"/>
  <c r="CC50" i="30" s="1"/>
  <c r="CC47" i="31"/>
  <c r="CC52" i="31" s="1"/>
  <c r="E27" i="40"/>
  <c r="AQ34" i="31"/>
  <c r="AQ18" i="31"/>
  <c r="AQ45" i="31"/>
  <c r="CF24" i="31"/>
  <c r="CF42" i="31"/>
  <c r="AP24" i="31"/>
  <c r="CF31" i="31"/>
  <c r="Q88" i="40"/>
  <c r="CF23" i="31"/>
  <c r="CF11" i="31"/>
  <c r="AP22" i="31"/>
  <c r="CB48" i="31"/>
  <c r="CB50" i="31" s="1"/>
  <c r="CF29" i="31"/>
  <c r="AP42" i="31"/>
  <c r="CF27" i="31"/>
  <c r="AP28" i="31"/>
  <c r="CF10" i="31"/>
  <c r="CF41" i="31"/>
  <c r="AP26" i="31"/>
  <c r="CF40" i="31"/>
  <c r="CF28" i="31"/>
  <c r="CF12" i="31"/>
  <c r="AP23" i="31"/>
  <c r="AP29" i="31"/>
  <c r="CF26" i="31"/>
  <c r="CF38" i="31"/>
  <c r="AP27" i="31"/>
  <c r="AP10" i="31"/>
  <c r="AU52" i="31"/>
  <c r="AU48" i="31"/>
  <c r="AU50" i="31" s="1"/>
  <c r="CF22" i="31"/>
  <c r="CF43" i="31"/>
  <c r="AP38" i="31"/>
  <c r="AP41" i="31"/>
  <c r="AP12" i="31"/>
  <c r="AP43" i="31"/>
  <c r="AP11" i="31"/>
  <c r="D16" i="30"/>
  <c r="D57" i="29"/>
  <c r="D54" i="15"/>
  <c r="D16" i="31"/>
  <c r="D16" i="29"/>
  <c r="D92" i="15"/>
  <c r="D25" i="15"/>
  <c r="D43" i="31"/>
  <c r="D37" i="15"/>
  <c r="D43" i="30"/>
  <c r="O37" i="15"/>
  <c r="CE55" i="30"/>
  <c r="CE53" i="29"/>
  <c r="CE39" i="30" s="1"/>
  <c r="AT39" i="30" s="1"/>
  <c r="CE37" i="29"/>
  <c r="CE57" i="29"/>
  <c r="CE15" i="29"/>
  <c r="CE15" i="31" s="1"/>
  <c r="CE23" i="29"/>
  <c r="CE23" i="30" s="1"/>
  <c r="CE39" i="29"/>
  <c r="CE56" i="29"/>
  <c r="CE42" i="30" s="1"/>
  <c r="AT42" i="30" s="1"/>
  <c r="CE24" i="29"/>
  <c r="CE24" i="30" s="1"/>
  <c r="CE29" i="29"/>
  <c r="CE29" i="30" s="1"/>
  <c r="CE10" i="29"/>
  <c r="CE55" i="29"/>
  <c r="CE41" i="30" s="1"/>
  <c r="AT41" i="30" s="1"/>
  <c r="CE38" i="29"/>
  <c r="CE22" i="29"/>
  <c r="CE22" i="30" s="1"/>
  <c r="CE54" i="29"/>
  <c r="CE40" i="30" s="1"/>
  <c r="AT40" i="30" s="1"/>
  <c r="CE44" i="29"/>
  <c r="CE11" i="29"/>
  <c r="CE12" i="29"/>
  <c r="CE55" i="31"/>
  <c r="AN48" i="31"/>
  <c r="AN50" i="31" s="1"/>
  <c r="CE16" i="31" l="1"/>
  <c r="CE30" i="31"/>
  <c r="CE16" i="30"/>
  <c r="CE30" i="30"/>
  <c r="AQ47" i="30"/>
  <c r="AQ52" i="30" s="1"/>
  <c r="AF65" i="40"/>
  <c r="M16" i="32"/>
  <c r="M18" i="32" s="1"/>
  <c r="CD18" i="30"/>
  <c r="CD47" i="30" s="1"/>
  <c r="CD52" i="30" s="1"/>
  <c r="CD45" i="31"/>
  <c r="CD34" i="31"/>
  <c r="CD18" i="31"/>
  <c r="AO47" i="31"/>
  <c r="AO52" i="31" s="1"/>
  <c r="AO47" i="30"/>
  <c r="AO52" i="30" s="1"/>
  <c r="CF18" i="30"/>
  <c r="CF47" i="30" s="1"/>
  <c r="CF52" i="30" s="1"/>
  <c r="CE15" i="30"/>
  <c r="Q16" i="32"/>
  <c r="Q18" i="32" s="1"/>
  <c r="CE13" i="30"/>
  <c r="CE13" i="31"/>
  <c r="CE43" i="30"/>
  <c r="AT43" i="30" s="1"/>
  <c r="P50" i="15"/>
  <c r="R50" i="15" s="1"/>
  <c r="CE39" i="31"/>
  <c r="AT39" i="31" s="1"/>
  <c r="N27" i="40"/>
  <c r="F27" i="40"/>
  <c r="AP33" i="30"/>
  <c r="AP45" i="30"/>
  <c r="AP18" i="30"/>
  <c r="AT16" i="30"/>
  <c r="AT24" i="30"/>
  <c r="AT23" i="30"/>
  <c r="AT22" i="30"/>
  <c r="AT26" i="30"/>
  <c r="AT29" i="30"/>
  <c r="AT15" i="30"/>
  <c r="AT30" i="30"/>
  <c r="CE10" i="30"/>
  <c r="AT10" i="30" s="1"/>
  <c r="CE28" i="30"/>
  <c r="AT28" i="30" s="1"/>
  <c r="CE31" i="30"/>
  <c r="CE11" i="30"/>
  <c r="AT11" i="30" s="1"/>
  <c r="CE12" i="30"/>
  <c r="AT12" i="30" s="1"/>
  <c r="CE27" i="30"/>
  <c r="AT27" i="30" s="1"/>
  <c r="AT13" i="30"/>
  <c r="G27" i="40"/>
  <c r="P26" i="15"/>
  <c r="R26" i="15" s="1"/>
  <c r="K27" i="40"/>
  <c r="P27" i="40"/>
  <c r="Q27" i="40"/>
  <c r="O27" i="40"/>
  <c r="J27" i="40"/>
  <c r="I27" i="40"/>
  <c r="H27" i="40"/>
  <c r="F88" i="40"/>
  <c r="E54" i="15"/>
  <c r="P54" i="15" s="1"/>
  <c r="R54" i="15" s="1"/>
  <c r="CC48" i="31"/>
  <c r="CC50" i="31" s="1"/>
  <c r="E26" i="15"/>
  <c r="G26" i="15" s="1"/>
  <c r="L27" i="40"/>
  <c r="N88" i="40"/>
  <c r="P88" i="40"/>
  <c r="AQ47" i="31"/>
  <c r="AQ52" i="31" s="1"/>
  <c r="I88" i="40"/>
  <c r="L88" i="40"/>
  <c r="AT14" i="29"/>
  <c r="L26" i="40" s="1"/>
  <c r="K88" i="40"/>
  <c r="J88" i="40"/>
  <c r="CF18" i="31"/>
  <c r="H88" i="40"/>
  <c r="O88" i="40"/>
  <c r="E88" i="40"/>
  <c r="G88" i="40"/>
  <c r="CE40" i="31"/>
  <c r="AT40" i="31" s="1"/>
  <c r="CE23" i="31"/>
  <c r="AT23" i="31" s="1"/>
  <c r="CE26" i="31"/>
  <c r="AT26" i="31" s="1"/>
  <c r="CF45" i="31"/>
  <c r="CE38" i="31"/>
  <c r="CE28" i="31"/>
  <c r="AT28" i="31" s="1"/>
  <c r="CE27" i="31"/>
  <c r="AT27" i="31" s="1"/>
  <c r="AT15" i="31"/>
  <c r="CE31" i="31"/>
  <c r="AT31" i="31" s="1"/>
  <c r="CF34" i="31"/>
  <c r="CE41" i="31"/>
  <c r="AT41" i="31" s="1"/>
  <c r="CE10" i="31"/>
  <c r="AT57" i="29"/>
  <c r="I87" i="40" s="1"/>
  <c r="AP34" i="31"/>
  <c r="CE22" i="31"/>
  <c r="CE12" i="31"/>
  <c r="AT12" i="31" s="1"/>
  <c r="AT13" i="31"/>
  <c r="AT16" i="31"/>
  <c r="CE29" i="31"/>
  <c r="AT29" i="31" s="1"/>
  <c r="CE24" i="31"/>
  <c r="AT24" i="31" s="1"/>
  <c r="CE11" i="31"/>
  <c r="AT11" i="31" s="1"/>
  <c r="AT45" i="29"/>
  <c r="Q37" i="15" s="1"/>
  <c r="S37" i="15" s="1"/>
  <c r="CE43" i="31"/>
  <c r="AT43" i="31" s="1"/>
  <c r="CE42" i="31"/>
  <c r="AP18" i="31"/>
  <c r="AP45" i="31"/>
  <c r="R62" i="40"/>
  <c r="G92" i="15"/>
  <c r="AE62" i="40" s="1"/>
  <c r="E50" i="15"/>
  <c r="G50" i="15" s="1"/>
  <c r="AT28" i="29"/>
  <c r="AT14" i="31"/>
  <c r="AT24" i="29"/>
  <c r="N82" i="40"/>
  <c r="I82" i="40"/>
  <c r="K82" i="40"/>
  <c r="L82" i="40"/>
  <c r="G82" i="40"/>
  <c r="J82" i="40"/>
  <c r="H82" i="40"/>
  <c r="E82" i="40"/>
  <c r="F82" i="40"/>
  <c r="E52" i="15"/>
  <c r="O82" i="40"/>
  <c r="P82" i="40"/>
  <c r="Q82" i="40"/>
  <c r="AT12" i="29"/>
  <c r="AT31" i="29"/>
  <c r="AT42" i="29"/>
  <c r="AT13" i="29"/>
  <c r="F23" i="40" s="1"/>
  <c r="P42" i="15"/>
  <c r="R42" i="15" s="1"/>
  <c r="P33" i="15"/>
  <c r="R33" i="15" s="1"/>
  <c r="AT11" i="29"/>
  <c r="AT26" i="29"/>
  <c r="AT16" i="29"/>
  <c r="AT56" i="29"/>
  <c r="K30" i="40"/>
  <c r="Q30" i="40"/>
  <c r="P30" i="40"/>
  <c r="I30" i="40"/>
  <c r="L30" i="40"/>
  <c r="J30" i="40"/>
  <c r="G30" i="40"/>
  <c r="E24" i="15"/>
  <c r="R24" i="15" s="1"/>
  <c r="E30" i="40"/>
  <c r="F30" i="40"/>
  <c r="H30" i="40"/>
  <c r="O30" i="40"/>
  <c r="N30" i="40"/>
  <c r="E23" i="15"/>
  <c r="G23" i="15" s="1"/>
  <c r="E25" i="15"/>
  <c r="G25" i="15" s="1"/>
  <c r="AT44" i="29"/>
  <c r="AT55" i="30"/>
  <c r="G18" i="40"/>
  <c r="E18" i="40"/>
  <c r="P18" i="40"/>
  <c r="Q18" i="40"/>
  <c r="H18" i="40"/>
  <c r="E21" i="15"/>
  <c r="L18" i="40"/>
  <c r="J18" i="40"/>
  <c r="I18" i="40"/>
  <c r="K18" i="40"/>
  <c r="O18" i="40"/>
  <c r="F18" i="40"/>
  <c r="N18" i="40"/>
  <c r="AT54" i="29"/>
  <c r="AT39" i="29"/>
  <c r="J21" i="40"/>
  <c r="E22" i="15"/>
  <c r="F21" i="40"/>
  <c r="O21" i="40"/>
  <c r="N21" i="40"/>
  <c r="K21" i="40"/>
  <c r="I21" i="40"/>
  <c r="Q21" i="40"/>
  <c r="G21" i="40"/>
  <c r="E21" i="40"/>
  <c r="P21" i="40"/>
  <c r="L21" i="40"/>
  <c r="H21" i="40"/>
  <c r="P34" i="15"/>
  <c r="R34" i="15" s="1"/>
  <c r="AT22" i="29"/>
  <c r="AT27" i="29"/>
  <c r="I55" i="40" s="1"/>
  <c r="E49" i="15"/>
  <c r="L73" i="40"/>
  <c r="J73" i="40"/>
  <c r="F73" i="40"/>
  <c r="G73" i="40"/>
  <c r="E73" i="40"/>
  <c r="H73" i="40"/>
  <c r="O73" i="40"/>
  <c r="P73" i="40"/>
  <c r="Q73" i="40"/>
  <c r="I73" i="40"/>
  <c r="K73" i="40"/>
  <c r="N73" i="40"/>
  <c r="E34" i="15"/>
  <c r="G34" i="15" s="1"/>
  <c r="N85" i="40"/>
  <c r="K85" i="40"/>
  <c r="F85" i="40"/>
  <c r="Q85" i="40"/>
  <c r="P85" i="40"/>
  <c r="O85" i="40"/>
  <c r="I85" i="40"/>
  <c r="G85" i="40"/>
  <c r="J85" i="40"/>
  <c r="E53" i="15"/>
  <c r="E85" i="40"/>
  <c r="L85" i="40"/>
  <c r="H85" i="40"/>
  <c r="AT23" i="29"/>
  <c r="N56" i="40"/>
  <c r="G56" i="40"/>
  <c r="F56" i="40"/>
  <c r="E41" i="15"/>
  <c r="G41" i="15" s="1"/>
  <c r="P56" i="40"/>
  <c r="Q56" i="40"/>
  <c r="E56" i="40"/>
  <c r="I56" i="40"/>
  <c r="H56" i="40"/>
  <c r="J56" i="40"/>
  <c r="O56" i="40"/>
  <c r="K56" i="40"/>
  <c r="L56" i="40"/>
  <c r="AT30" i="29"/>
  <c r="AT15" i="29"/>
  <c r="D74" i="15"/>
  <c r="O25" i="15"/>
  <c r="E40" i="15"/>
  <c r="G40" i="15" s="1"/>
  <c r="E32" i="15"/>
  <c r="G32" i="15" s="1"/>
  <c r="AT38" i="29"/>
  <c r="K59" i="40"/>
  <c r="H59" i="40"/>
  <c r="Q59" i="40"/>
  <c r="L59" i="40"/>
  <c r="P59" i="40"/>
  <c r="G59" i="40"/>
  <c r="J59" i="40"/>
  <c r="F59" i="40"/>
  <c r="N59" i="40"/>
  <c r="O59" i="40"/>
  <c r="I59" i="40"/>
  <c r="E42" i="15"/>
  <c r="E59" i="40"/>
  <c r="E20" i="15"/>
  <c r="G15" i="40"/>
  <c r="P15" i="40"/>
  <c r="Q15" i="40"/>
  <c r="E15" i="40"/>
  <c r="I15" i="40"/>
  <c r="N15" i="40"/>
  <c r="O15" i="40"/>
  <c r="L15" i="40"/>
  <c r="J15" i="40"/>
  <c r="K15" i="40"/>
  <c r="F15" i="40"/>
  <c r="H15" i="40"/>
  <c r="E33" i="15"/>
  <c r="AT55" i="29"/>
  <c r="AT52" i="29"/>
  <c r="P32" i="15"/>
  <c r="R32" i="15" s="1"/>
  <c r="P40" i="15"/>
  <c r="R40" i="15" s="1"/>
  <c r="AT10" i="29"/>
  <c r="AT37" i="29"/>
  <c r="P41" i="15"/>
  <c r="R41" i="15" s="1"/>
  <c r="AT55" i="31"/>
  <c r="AT29" i="29"/>
  <c r="AT41" i="29"/>
  <c r="D103" i="15"/>
  <c r="O54" i="15"/>
  <c r="Q79" i="40"/>
  <c r="E79" i="40"/>
  <c r="E51" i="15"/>
  <c r="F79" i="40"/>
  <c r="P79" i="40"/>
  <c r="H79" i="40"/>
  <c r="N79" i="40"/>
  <c r="L79" i="40"/>
  <c r="K79" i="40"/>
  <c r="I79" i="40"/>
  <c r="J79" i="40"/>
  <c r="G79" i="40"/>
  <c r="O79" i="40"/>
  <c r="E43" i="15"/>
  <c r="G43" i="15" s="1"/>
  <c r="AT43" i="29"/>
  <c r="AT53" i="29"/>
  <c r="P43" i="15"/>
  <c r="R43" i="15" s="1"/>
  <c r="AT46" i="29"/>
  <c r="O32" i="40" l="1"/>
  <c r="P32" i="40"/>
  <c r="P34" i="40" s="1"/>
  <c r="P61" i="40"/>
  <c r="P63" i="40" s="1"/>
  <c r="Q61" i="40"/>
  <c r="Q63" i="40" s="1"/>
  <c r="N61" i="40"/>
  <c r="N63" i="40" s="1"/>
  <c r="O61" i="40"/>
  <c r="O63" i="40" s="1"/>
  <c r="K61" i="40"/>
  <c r="K63" i="40" s="1"/>
  <c r="L61" i="40"/>
  <c r="L63" i="40" s="1"/>
  <c r="I61" i="40"/>
  <c r="I63" i="40" s="1"/>
  <c r="J61" i="40"/>
  <c r="J63" i="40" s="1"/>
  <c r="G61" i="40"/>
  <c r="G63" i="40" s="1"/>
  <c r="H61" i="40"/>
  <c r="H63" i="40" s="1"/>
  <c r="E61" i="40"/>
  <c r="F61" i="40"/>
  <c r="F63" i="40" s="1"/>
  <c r="Q32" i="40"/>
  <c r="Q34" i="40" s="1"/>
  <c r="N32" i="40"/>
  <c r="N34" i="40" s="1"/>
  <c r="O34" i="40"/>
  <c r="K32" i="40"/>
  <c r="K34" i="40" s="1"/>
  <c r="L32" i="40"/>
  <c r="L34" i="40" s="1"/>
  <c r="I32" i="40"/>
  <c r="I34" i="40" s="1"/>
  <c r="J32" i="40"/>
  <c r="J34" i="40" s="1"/>
  <c r="H32" i="40"/>
  <c r="H34" i="40" s="1"/>
  <c r="F32" i="40"/>
  <c r="F34" i="40" s="1"/>
  <c r="G32" i="40"/>
  <c r="G34" i="40" s="1"/>
  <c r="E32" i="40"/>
  <c r="AQ48" i="30"/>
  <c r="AQ50" i="30" s="1"/>
  <c r="E24" i="32"/>
  <c r="CD48" i="30"/>
  <c r="CD50" i="30" s="1"/>
  <c r="I13" i="32" s="1"/>
  <c r="CD47" i="31"/>
  <c r="CD52" i="31" s="1"/>
  <c r="AO48" i="31"/>
  <c r="AO50" i="31" s="1"/>
  <c r="AO48" i="30"/>
  <c r="AO50" i="30" s="1"/>
  <c r="Q75" i="40"/>
  <c r="Q77" i="40" s="1"/>
  <c r="I75" i="40"/>
  <c r="T37" i="15"/>
  <c r="E25" i="32"/>
  <c r="R50" i="40"/>
  <c r="AP47" i="30"/>
  <c r="AP52" i="30" s="1"/>
  <c r="P75" i="40"/>
  <c r="P77" i="40" s="1"/>
  <c r="O75" i="40"/>
  <c r="O77" i="40" s="1"/>
  <c r="N75" i="40"/>
  <c r="N77" i="40" s="1"/>
  <c r="L75" i="40"/>
  <c r="L77" i="40" s="1"/>
  <c r="K75" i="40"/>
  <c r="K77" i="40" s="1"/>
  <c r="J75" i="40"/>
  <c r="J77" i="40" s="1"/>
  <c r="H75" i="40"/>
  <c r="G75" i="40"/>
  <c r="F75" i="40"/>
  <c r="F77" i="40" s="1"/>
  <c r="E75" i="40"/>
  <c r="E77" i="40" s="1"/>
  <c r="Q50" i="15"/>
  <c r="S50" i="15" s="1"/>
  <c r="T50" i="15" s="1"/>
  <c r="G99" i="15"/>
  <c r="AE76" i="40" s="1"/>
  <c r="H26" i="40"/>
  <c r="H28" i="40" s="1"/>
  <c r="E26" i="40"/>
  <c r="E28" i="40" s="1"/>
  <c r="K26" i="40"/>
  <c r="K28" i="40" s="1"/>
  <c r="J26" i="40"/>
  <c r="J28" i="40" s="1"/>
  <c r="K87" i="40"/>
  <c r="K89" i="40" s="1"/>
  <c r="Q87" i="40"/>
  <c r="Q89" i="40" s="1"/>
  <c r="G87" i="40"/>
  <c r="G89" i="40" s="1"/>
  <c r="F54" i="15"/>
  <c r="J87" i="40"/>
  <c r="J89" i="40" s="1"/>
  <c r="P87" i="40"/>
  <c r="P89" i="40" s="1"/>
  <c r="CE18" i="30"/>
  <c r="L40" i="40"/>
  <c r="L42" i="40" s="1"/>
  <c r="O40" i="40"/>
  <c r="O42" i="40" s="1"/>
  <c r="E40" i="40"/>
  <c r="E42" i="40" s="1"/>
  <c r="F40" i="40"/>
  <c r="F42" i="40" s="1"/>
  <c r="Q40" i="40"/>
  <c r="Q42" i="40" s="1"/>
  <c r="P40" i="40"/>
  <c r="P42" i="40" s="1"/>
  <c r="N40" i="40"/>
  <c r="N42" i="40" s="1"/>
  <c r="J40" i="40"/>
  <c r="J42" i="40" s="1"/>
  <c r="K40" i="40"/>
  <c r="K42" i="40" s="1"/>
  <c r="Q43" i="40"/>
  <c r="Q45" i="40" s="1"/>
  <c r="K43" i="40"/>
  <c r="K45" i="40" s="1"/>
  <c r="E43" i="40"/>
  <c r="E45" i="40" s="1"/>
  <c r="F43" i="40"/>
  <c r="F45" i="40" s="1"/>
  <c r="L43" i="40"/>
  <c r="L45" i="40" s="1"/>
  <c r="O43" i="40"/>
  <c r="O45" i="40" s="1"/>
  <c r="N43" i="40"/>
  <c r="N45" i="40" s="1"/>
  <c r="J43" i="40"/>
  <c r="J45" i="40" s="1"/>
  <c r="P43" i="40"/>
  <c r="P45" i="40" s="1"/>
  <c r="P46" i="40"/>
  <c r="P48" i="40" s="1"/>
  <c r="E46" i="40"/>
  <c r="E48" i="40" s="1"/>
  <c r="K46" i="40"/>
  <c r="K48" i="40" s="1"/>
  <c r="F46" i="40"/>
  <c r="F48" i="40" s="1"/>
  <c r="O46" i="40"/>
  <c r="O48" i="40" s="1"/>
  <c r="Q46" i="40"/>
  <c r="Q48" i="40" s="1"/>
  <c r="J46" i="40"/>
  <c r="J48" i="40" s="1"/>
  <c r="N46" i="40"/>
  <c r="N48" i="40" s="1"/>
  <c r="L46" i="40"/>
  <c r="L48" i="40" s="1"/>
  <c r="I46" i="40"/>
  <c r="I48" i="40" s="1"/>
  <c r="H46" i="40"/>
  <c r="H48" i="40" s="1"/>
  <c r="G46" i="40"/>
  <c r="G48" i="40" s="1"/>
  <c r="G43" i="40"/>
  <c r="G45" i="40" s="1"/>
  <c r="I43" i="40"/>
  <c r="I45" i="40" s="1"/>
  <c r="H43" i="40"/>
  <c r="H45" i="40" s="1"/>
  <c r="CE33" i="30"/>
  <c r="H40" i="40"/>
  <c r="H42" i="40" s="1"/>
  <c r="G40" i="40"/>
  <c r="G42" i="40" s="1"/>
  <c r="I40" i="40"/>
  <c r="I42" i="40" s="1"/>
  <c r="AT31" i="30"/>
  <c r="AT33" i="30" s="1"/>
  <c r="AT18" i="30"/>
  <c r="CF48" i="30"/>
  <c r="CF50" i="30" s="1"/>
  <c r="R27" i="40"/>
  <c r="G75" i="15"/>
  <c r="AT45" i="30"/>
  <c r="L87" i="40"/>
  <c r="L89" i="40" s="1"/>
  <c r="F26" i="40"/>
  <c r="F28" i="40" s="1"/>
  <c r="O26" i="40"/>
  <c r="O28" i="40" s="1"/>
  <c r="F87" i="40"/>
  <c r="F89" i="40" s="1"/>
  <c r="N26" i="40"/>
  <c r="N28" i="40" s="1"/>
  <c r="G26" i="40"/>
  <c r="G28" i="40" s="1"/>
  <c r="Q26" i="15"/>
  <c r="S26" i="15" s="1" a="1"/>
  <c r="S26" i="15" s="1"/>
  <c r="T26" i="15" s="1"/>
  <c r="E87" i="40"/>
  <c r="E89" i="40" s="1"/>
  <c r="I26" i="40"/>
  <c r="I28" i="40" s="1"/>
  <c r="F26" i="15"/>
  <c r="H26" i="15" s="1"/>
  <c r="I26" i="15" s="1"/>
  <c r="Q26" i="40"/>
  <c r="Q28" i="40" s="1"/>
  <c r="P26" i="40"/>
  <c r="P28" i="40" s="1"/>
  <c r="N87" i="40"/>
  <c r="N89" i="40" s="1"/>
  <c r="AQ48" i="31"/>
  <c r="AQ50" i="31" s="1"/>
  <c r="I89" i="40"/>
  <c r="R88" i="40"/>
  <c r="G54" i="15"/>
  <c r="G103" i="15" s="1"/>
  <c r="AE88" i="40" s="1"/>
  <c r="L28" i="40"/>
  <c r="CE45" i="30"/>
  <c r="CF47" i="31"/>
  <c r="CF52" i="31" s="1"/>
  <c r="H87" i="40"/>
  <c r="H89" i="40" s="1"/>
  <c r="O87" i="40"/>
  <c r="O89" i="40" s="1"/>
  <c r="CE34" i="31"/>
  <c r="AT30" i="31"/>
  <c r="CE45" i="31"/>
  <c r="AT42" i="31"/>
  <c r="AP47" i="31"/>
  <c r="AP52" i="31" s="1"/>
  <c r="CE18" i="31"/>
  <c r="J91" i="40"/>
  <c r="R35" i="15"/>
  <c r="R45" i="15" s="1"/>
  <c r="K91" i="40"/>
  <c r="Q91" i="40"/>
  <c r="L91" i="40"/>
  <c r="F91" i="40"/>
  <c r="N91" i="40"/>
  <c r="O91" i="40"/>
  <c r="P91" i="40"/>
  <c r="AF62" i="40"/>
  <c r="F50" i="15"/>
  <c r="H50" i="15" s="1"/>
  <c r="G42" i="15"/>
  <c r="G89" i="15" s="1"/>
  <c r="Q33" i="15"/>
  <c r="S33" i="15" s="1"/>
  <c r="T33" i="15" s="1"/>
  <c r="R56" i="40"/>
  <c r="AF56" i="40" s="1"/>
  <c r="P53" i="15"/>
  <c r="R53" i="15" s="1"/>
  <c r="G53" i="15"/>
  <c r="E36" i="40"/>
  <c r="R24" i="40"/>
  <c r="O55" i="40"/>
  <c r="O57" i="40" s="1"/>
  <c r="E55" i="40"/>
  <c r="E57" i="40" s="1"/>
  <c r="P55" i="40"/>
  <c r="P57" i="40" s="1"/>
  <c r="Q55" i="40"/>
  <c r="Q57" i="40" s="1"/>
  <c r="I57" i="40"/>
  <c r="N55" i="40"/>
  <c r="N57" i="40" s="1"/>
  <c r="K55" i="40"/>
  <c r="K57" i="40" s="1"/>
  <c r="L55" i="40"/>
  <c r="L57" i="40" s="1"/>
  <c r="H55" i="40"/>
  <c r="H57" i="40" s="1"/>
  <c r="F55" i="40"/>
  <c r="F57" i="40" s="1"/>
  <c r="J55" i="40"/>
  <c r="J57" i="40" s="1"/>
  <c r="G55" i="40"/>
  <c r="G57" i="40" s="1"/>
  <c r="F41" i="15"/>
  <c r="H41" i="15" s="1"/>
  <c r="G36" i="40"/>
  <c r="J20" i="40"/>
  <c r="J22" i="40" s="1"/>
  <c r="E20" i="40"/>
  <c r="O20" i="40"/>
  <c r="O22" i="40" s="1"/>
  <c r="H20" i="40"/>
  <c r="H22" i="40" s="1"/>
  <c r="I20" i="40"/>
  <c r="I22" i="40" s="1"/>
  <c r="L20" i="40"/>
  <c r="L22" i="40" s="1"/>
  <c r="N20" i="40"/>
  <c r="N22" i="40" s="1"/>
  <c r="K20" i="40"/>
  <c r="K22" i="40" s="1"/>
  <c r="F22" i="15"/>
  <c r="F20" i="40"/>
  <c r="F22" i="40" s="1"/>
  <c r="G20" i="40"/>
  <c r="G22" i="40" s="1"/>
  <c r="P20" i="40"/>
  <c r="P22" i="40" s="1"/>
  <c r="Q20" i="40"/>
  <c r="Q42" i="15"/>
  <c r="S42" i="15" s="1"/>
  <c r="T42" i="15" s="1"/>
  <c r="Q34" i="15"/>
  <c r="S34" i="15" s="1"/>
  <c r="T34" i="15" s="1"/>
  <c r="R33" i="40"/>
  <c r="P51" i="15"/>
  <c r="R51" i="15" s="1"/>
  <c r="G51" i="15"/>
  <c r="AT38" i="31"/>
  <c r="G81" i="15"/>
  <c r="G88" i="15"/>
  <c r="F32" i="15"/>
  <c r="H32" i="15" s="1"/>
  <c r="H49" i="40"/>
  <c r="H51" i="40" s="1"/>
  <c r="F40" i="15"/>
  <c r="H40" i="15" s="1"/>
  <c r="I40" i="15" s="1"/>
  <c r="G49" i="40"/>
  <c r="G51" i="40" s="1"/>
  <c r="I49" i="40"/>
  <c r="I51" i="40" s="1"/>
  <c r="R79" i="40"/>
  <c r="E91" i="40"/>
  <c r="O72" i="40"/>
  <c r="O74" i="40" s="1"/>
  <c r="P72" i="40"/>
  <c r="P74" i="40" s="1"/>
  <c r="Q72" i="40"/>
  <c r="Q74" i="40" s="1"/>
  <c r="N72" i="40"/>
  <c r="N74" i="40" s="1"/>
  <c r="L72" i="40"/>
  <c r="L74" i="40" s="1"/>
  <c r="I72" i="40"/>
  <c r="I74" i="40" s="1"/>
  <c r="J72" i="40"/>
  <c r="J74" i="40" s="1"/>
  <c r="K72" i="40"/>
  <c r="K74" i="40" s="1"/>
  <c r="G72" i="40"/>
  <c r="G74" i="40" s="1"/>
  <c r="H72" i="40"/>
  <c r="H74" i="40" s="1"/>
  <c r="E72" i="40"/>
  <c r="F72" i="40"/>
  <c r="F74" i="40" s="1"/>
  <c r="F49" i="15"/>
  <c r="H68" i="40"/>
  <c r="Q29" i="40"/>
  <c r="Q31" i="40" s="1"/>
  <c r="H29" i="40"/>
  <c r="H31" i="40" s="1"/>
  <c r="N29" i="40"/>
  <c r="N31" i="40" s="1"/>
  <c r="K29" i="40"/>
  <c r="K31" i="40" s="1"/>
  <c r="J29" i="40"/>
  <c r="J31" i="40" s="1"/>
  <c r="O29" i="40"/>
  <c r="O31" i="40" s="1"/>
  <c r="F24" i="15"/>
  <c r="S24" i="15" s="1"/>
  <c r="I29" i="40"/>
  <c r="I31" i="40" s="1"/>
  <c r="L29" i="40"/>
  <c r="L31" i="40" s="1"/>
  <c r="G29" i="40"/>
  <c r="G31" i="40" s="1"/>
  <c r="F29" i="40"/>
  <c r="F31" i="40" s="1"/>
  <c r="E29" i="40"/>
  <c r="P29" i="40"/>
  <c r="P31" i="40" s="1"/>
  <c r="R21" i="40"/>
  <c r="G78" i="40"/>
  <c r="G80" i="40" s="1"/>
  <c r="H78" i="40"/>
  <c r="H80" i="40" s="1"/>
  <c r="E78" i="40"/>
  <c r="L78" i="40"/>
  <c r="F78" i="40"/>
  <c r="F51" i="15"/>
  <c r="P78" i="40"/>
  <c r="Q78" i="40"/>
  <c r="I78" i="40"/>
  <c r="I80" i="40" s="1"/>
  <c r="N78" i="40"/>
  <c r="O78" i="40"/>
  <c r="K78" i="40"/>
  <c r="J78" i="40"/>
  <c r="F34" i="15"/>
  <c r="H34" i="15" s="1"/>
  <c r="I34" i="15" s="1"/>
  <c r="G68" i="40"/>
  <c r="N36" i="40"/>
  <c r="L17" i="40"/>
  <c r="Q17" i="40"/>
  <c r="Q19" i="40" s="1"/>
  <c r="J17" i="40"/>
  <c r="J19" i="40" s="1"/>
  <c r="F21" i="15"/>
  <c r="I17" i="40"/>
  <c r="F17" i="40"/>
  <c r="K17" i="40"/>
  <c r="K19" i="40" s="1"/>
  <c r="H17" i="40"/>
  <c r="H19" i="40" s="1"/>
  <c r="O17" i="40"/>
  <c r="O19" i="40" s="1"/>
  <c r="G17" i="40"/>
  <c r="E17" i="40"/>
  <c r="N17" i="40"/>
  <c r="P17" i="40"/>
  <c r="P52" i="15"/>
  <c r="R52" i="15" s="1"/>
  <c r="G52" i="15"/>
  <c r="Q68" i="40"/>
  <c r="Q81" i="40"/>
  <c r="Q83" i="40" s="1"/>
  <c r="E81" i="40"/>
  <c r="J81" i="40"/>
  <c r="J83" i="40" s="1"/>
  <c r="F81" i="40"/>
  <c r="F83" i="40" s="1"/>
  <c r="F52" i="15"/>
  <c r="N81" i="40"/>
  <c r="N83" i="40" s="1"/>
  <c r="O81" i="40"/>
  <c r="O83" i="40" s="1"/>
  <c r="K81" i="40"/>
  <c r="K83" i="40" s="1"/>
  <c r="L81" i="40"/>
  <c r="L83" i="40" s="1"/>
  <c r="H81" i="40"/>
  <c r="H83" i="40" s="1"/>
  <c r="I81" i="40"/>
  <c r="I83" i="40" s="1"/>
  <c r="P81" i="40"/>
  <c r="P83" i="40" s="1"/>
  <c r="G81" i="40"/>
  <c r="G83" i="40" s="1"/>
  <c r="R15" i="40"/>
  <c r="I68" i="40"/>
  <c r="F36" i="40"/>
  <c r="G90" i="15"/>
  <c r="AE53" i="40" s="1"/>
  <c r="AT22" i="31"/>
  <c r="F68" i="40"/>
  <c r="F37" i="15"/>
  <c r="H37" i="15" s="1"/>
  <c r="R73" i="40"/>
  <c r="O36" i="40"/>
  <c r="Q43" i="15"/>
  <c r="S43" i="15" s="1"/>
  <c r="T43" i="15" s="1"/>
  <c r="N52" i="40"/>
  <c r="N54" i="40" s="1"/>
  <c r="Q52" i="40"/>
  <c r="Q54" i="40" s="1"/>
  <c r="O52" i="40"/>
  <c r="O54" i="40" s="1"/>
  <c r="J52" i="40"/>
  <c r="J54" i="40" s="1"/>
  <c r="F52" i="40"/>
  <c r="F54" i="40" s="1"/>
  <c r="P52" i="40"/>
  <c r="P54" i="40" s="1"/>
  <c r="K52" i="40"/>
  <c r="K54" i="40" s="1"/>
  <c r="L52" i="40"/>
  <c r="L54" i="40" s="1"/>
  <c r="E52" i="40"/>
  <c r="R82" i="40"/>
  <c r="P58" i="40"/>
  <c r="P60" i="40" s="1"/>
  <c r="N58" i="40"/>
  <c r="N60" i="40" s="1"/>
  <c r="I58" i="40"/>
  <c r="I60" i="40" s="1"/>
  <c r="J58" i="40"/>
  <c r="J60" i="40" s="1"/>
  <c r="L58" i="40"/>
  <c r="L60" i="40" s="1"/>
  <c r="H58" i="40"/>
  <c r="H60" i="40" s="1"/>
  <c r="G58" i="40"/>
  <c r="G60" i="40" s="1"/>
  <c r="F42" i="15"/>
  <c r="H42" i="15" s="1"/>
  <c r="F58" i="40"/>
  <c r="F60" i="40" s="1"/>
  <c r="E58" i="40"/>
  <c r="Q58" i="40"/>
  <c r="Q60" i="40" s="1"/>
  <c r="K58" i="40"/>
  <c r="K60" i="40" s="1"/>
  <c r="O58" i="40"/>
  <c r="O60" i="40" s="1"/>
  <c r="Q32" i="15"/>
  <c r="S32" i="15" s="1"/>
  <c r="T32" i="15" s="1"/>
  <c r="E68" i="40"/>
  <c r="R41" i="40"/>
  <c r="R18" i="40"/>
  <c r="K36" i="40"/>
  <c r="P25" i="15"/>
  <c r="R25" i="15" s="1"/>
  <c r="O84" i="40"/>
  <c r="O86" i="40" s="1"/>
  <c r="J84" i="40"/>
  <c r="J86" i="40" s="1"/>
  <c r="F53" i="15"/>
  <c r="K84" i="40"/>
  <c r="K86" i="40" s="1"/>
  <c r="L84" i="40"/>
  <c r="L86" i="40" s="1"/>
  <c r="P84" i="40"/>
  <c r="P86" i="40" s="1"/>
  <c r="Q84" i="40"/>
  <c r="Q86" i="40" s="1"/>
  <c r="I84" i="40"/>
  <c r="I86" i="40" s="1"/>
  <c r="F84" i="40"/>
  <c r="F86" i="40" s="1"/>
  <c r="G84" i="40"/>
  <c r="G86" i="40" s="1"/>
  <c r="N84" i="40"/>
  <c r="N86" i="40" s="1"/>
  <c r="E84" i="40"/>
  <c r="H84" i="40"/>
  <c r="H86" i="40" s="1"/>
  <c r="P23" i="40"/>
  <c r="P25" i="40" s="1"/>
  <c r="O23" i="40"/>
  <c r="O25" i="40" s="1"/>
  <c r="I23" i="40"/>
  <c r="I25" i="40" s="1"/>
  <c r="H23" i="40"/>
  <c r="H25" i="40" s="1"/>
  <c r="F23" i="15"/>
  <c r="H23" i="15" s="1"/>
  <c r="G23" i="40"/>
  <c r="G25" i="40" s="1"/>
  <c r="E23" i="40"/>
  <c r="N23" i="40"/>
  <c r="N25" i="40" s="1"/>
  <c r="J23" i="40"/>
  <c r="J25" i="40" s="1"/>
  <c r="F25" i="40"/>
  <c r="L23" i="40"/>
  <c r="L25" i="40" s="1"/>
  <c r="K23" i="40"/>
  <c r="K25" i="40" s="1"/>
  <c r="Q23" i="40"/>
  <c r="Q25" i="40" s="1"/>
  <c r="I91" i="40"/>
  <c r="AT10" i="31"/>
  <c r="AT18" i="31" s="1"/>
  <c r="P68" i="40"/>
  <c r="G33" i="15"/>
  <c r="G82" i="15" s="1"/>
  <c r="AE44" i="40" s="1"/>
  <c r="I36" i="40"/>
  <c r="R44" i="40"/>
  <c r="N14" i="40"/>
  <c r="N16" i="40" s="1"/>
  <c r="E14" i="40"/>
  <c r="L14" i="40"/>
  <c r="L16" i="40" s="1"/>
  <c r="F20" i="15"/>
  <c r="I14" i="40"/>
  <c r="I16" i="40" s="1"/>
  <c r="K14" i="40"/>
  <c r="O14" i="40"/>
  <c r="Q14" i="40"/>
  <c r="Q16" i="40" s="1"/>
  <c r="G14" i="40"/>
  <c r="G16" i="40" s="1"/>
  <c r="P14" i="40"/>
  <c r="P16" i="40" s="1"/>
  <c r="F14" i="40"/>
  <c r="F16" i="40" s="1"/>
  <c r="J14" i="40"/>
  <c r="J16" i="40" s="1"/>
  <c r="H14" i="40"/>
  <c r="H16" i="40" s="1"/>
  <c r="P20" i="15"/>
  <c r="R20" i="15" s="1"/>
  <c r="G20" i="15"/>
  <c r="F33" i="15"/>
  <c r="H33" i="15" s="1"/>
  <c r="J36" i="40"/>
  <c r="Q41" i="15"/>
  <c r="S41" i="15" s="1"/>
  <c r="T41" i="15" s="1"/>
  <c r="G91" i="40"/>
  <c r="R76" i="40"/>
  <c r="J68" i="40"/>
  <c r="G87" i="15"/>
  <c r="AE50" i="40" s="1"/>
  <c r="G83" i="15"/>
  <c r="AE47" i="40" s="1"/>
  <c r="L36" i="40"/>
  <c r="P23" i="15"/>
  <c r="R23" i="15" s="1"/>
  <c r="H91" i="40"/>
  <c r="R53" i="40"/>
  <c r="Q38" i="15"/>
  <c r="S38" i="15" s="1"/>
  <c r="T38" i="15" s="1"/>
  <c r="L68" i="40"/>
  <c r="P49" i="15"/>
  <c r="R49" i="15" s="1"/>
  <c r="G49" i="15"/>
  <c r="P22" i="15"/>
  <c r="R22" i="15" s="1"/>
  <c r="G22" i="15"/>
  <c r="G21" i="15"/>
  <c r="P21" i="15"/>
  <c r="R21" i="15" s="1"/>
  <c r="R30" i="40"/>
  <c r="AF30" i="40" s="1"/>
  <c r="F25" i="15"/>
  <c r="H25" i="15" s="1"/>
  <c r="E49" i="40"/>
  <c r="Q49" i="40"/>
  <c r="Q40" i="15"/>
  <c r="S40" i="15" s="1"/>
  <c r="T40" i="15" s="1"/>
  <c r="O49" i="40"/>
  <c r="O51" i="40" s="1"/>
  <c r="K49" i="40"/>
  <c r="K51" i="40" s="1"/>
  <c r="N49" i="40"/>
  <c r="N51" i="40" s="1"/>
  <c r="L49" i="40"/>
  <c r="J49" i="40"/>
  <c r="P49" i="40"/>
  <c r="F49" i="40"/>
  <c r="O68" i="40"/>
  <c r="R47" i="40"/>
  <c r="H36" i="40"/>
  <c r="G24" i="15"/>
  <c r="P24" i="15"/>
  <c r="K68" i="40"/>
  <c r="Q36" i="40"/>
  <c r="I52" i="40"/>
  <c r="I54" i="40" s="1"/>
  <c r="G52" i="40"/>
  <c r="G54" i="40" s="1"/>
  <c r="H52" i="40"/>
  <c r="H54" i="40" s="1"/>
  <c r="F43" i="15"/>
  <c r="H43" i="15" s="1"/>
  <c r="N68" i="40"/>
  <c r="R59" i="40"/>
  <c r="R85" i="40"/>
  <c r="P36" i="40"/>
  <c r="Q64" i="40"/>
  <c r="Q66" i="40" s="1"/>
  <c r="F38" i="15"/>
  <c r="H38" i="15" s="1"/>
  <c r="O64" i="40"/>
  <c r="O66" i="40" s="1"/>
  <c r="L64" i="40"/>
  <c r="L66" i="40" s="1"/>
  <c r="F64" i="40"/>
  <c r="F66" i="40" s="1"/>
  <c r="H64" i="40"/>
  <c r="H66" i="40" s="1"/>
  <c r="P64" i="40"/>
  <c r="P66" i="40" s="1"/>
  <c r="N64" i="40"/>
  <c r="N66" i="40" s="1"/>
  <c r="I64" i="40"/>
  <c r="I66" i="40" s="1"/>
  <c r="G64" i="40"/>
  <c r="G66" i="40" s="1"/>
  <c r="E64" i="40"/>
  <c r="J64" i="40"/>
  <c r="J66" i="40" s="1"/>
  <c r="K64" i="40"/>
  <c r="K66" i="40" s="1"/>
  <c r="CD48" i="31" l="1"/>
  <c r="CD50" i="31" s="1"/>
  <c r="I14" i="32" s="1"/>
  <c r="Q54" i="15"/>
  <c r="H54" i="15"/>
  <c r="AP48" i="30"/>
  <c r="AP50" i="30" s="1"/>
  <c r="AF50" i="40"/>
  <c r="R52" i="40"/>
  <c r="R54" i="40" s="1"/>
  <c r="AT34" i="31"/>
  <c r="CE47" i="30"/>
  <c r="CE52" i="30" s="1"/>
  <c r="R40" i="40"/>
  <c r="R42" i="40" s="1"/>
  <c r="R43" i="40"/>
  <c r="R45" i="40" s="1"/>
  <c r="R46" i="40"/>
  <c r="R48" i="40" s="1"/>
  <c r="AT47" i="30"/>
  <c r="AT52" i="30" s="1"/>
  <c r="R26" i="40"/>
  <c r="R28" i="40" s="1"/>
  <c r="A26" i="15"/>
  <c r="A75" i="15" s="1"/>
  <c r="AF88" i="40"/>
  <c r="H75" i="15"/>
  <c r="I75" i="15" s="1"/>
  <c r="CF48" i="31"/>
  <c r="CF50" i="31" s="1"/>
  <c r="R87" i="40"/>
  <c r="R89" i="40" s="1"/>
  <c r="CE47" i="31"/>
  <c r="CE52" i="31" s="1"/>
  <c r="AT45" i="31"/>
  <c r="AP48" i="31"/>
  <c r="AP50" i="31" s="1"/>
  <c r="P96" i="40"/>
  <c r="P100" i="40" s="1"/>
  <c r="A40" i="15"/>
  <c r="A87" i="15" s="1"/>
  <c r="Q96" i="40"/>
  <c r="Q100" i="40" s="1"/>
  <c r="H83" i="15"/>
  <c r="I83" i="15" s="1"/>
  <c r="F67" i="40"/>
  <c r="F69" i="40" s="1"/>
  <c r="E54" i="40"/>
  <c r="G72" i="15"/>
  <c r="AE24" i="40" s="1"/>
  <c r="AF24" i="40" s="1"/>
  <c r="R56" i="15"/>
  <c r="J67" i="40"/>
  <c r="J69" i="40" s="1"/>
  <c r="AF44" i="40"/>
  <c r="H96" i="40"/>
  <c r="H100" i="40" s="1"/>
  <c r="L96" i="40"/>
  <c r="L100" i="40" s="1"/>
  <c r="G102" i="15"/>
  <c r="AE85" i="40" s="1"/>
  <c r="AF85" i="40" s="1"/>
  <c r="F96" i="40"/>
  <c r="F100" i="40" s="1"/>
  <c r="G70" i="15"/>
  <c r="AE18" i="40" s="1"/>
  <c r="AF18" i="40" s="1"/>
  <c r="P67" i="40"/>
  <c r="P69" i="40" s="1"/>
  <c r="G101" i="15"/>
  <c r="AE82" i="40" s="1"/>
  <c r="AF82" i="40" s="1"/>
  <c r="L67" i="40"/>
  <c r="L69" i="40" s="1"/>
  <c r="I96" i="40"/>
  <c r="I100" i="40" s="1"/>
  <c r="J96" i="40"/>
  <c r="J100" i="40" s="1"/>
  <c r="P51" i="40"/>
  <c r="G71" i="15"/>
  <c r="AE21" i="40" s="1"/>
  <c r="AF21" i="40" s="1"/>
  <c r="O35" i="40"/>
  <c r="G35" i="15"/>
  <c r="G45" i="15" s="1"/>
  <c r="K35" i="40"/>
  <c r="R68" i="40"/>
  <c r="E83" i="40"/>
  <c r="R81" i="40"/>
  <c r="R83" i="40" s="1"/>
  <c r="F19" i="40"/>
  <c r="F35" i="40"/>
  <c r="AE41" i="40"/>
  <c r="AF41" i="40" s="1"/>
  <c r="G85" i="15"/>
  <c r="G94" i="15" s="1"/>
  <c r="AE68" i="40" s="1"/>
  <c r="H82" i="15"/>
  <c r="I33" i="15"/>
  <c r="A36" i="15" s="1"/>
  <c r="I19" i="40"/>
  <c r="I35" i="40"/>
  <c r="O16" i="40"/>
  <c r="S35" i="15"/>
  <c r="G73" i="15"/>
  <c r="G98" i="15"/>
  <c r="G56" i="15"/>
  <c r="Q20" i="15"/>
  <c r="S20" i="15" s="1"/>
  <c r="H20" i="15"/>
  <c r="E25" i="40"/>
  <c r="R23" i="40"/>
  <c r="R25" i="40" s="1"/>
  <c r="Q21" i="15"/>
  <c r="S21" i="15" s="1"/>
  <c r="T21" i="15" s="1"/>
  <c r="H21" i="15"/>
  <c r="E22" i="40"/>
  <c r="R20" i="40"/>
  <c r="R22" i="40" s="1"/>
  <c r="N67" i="40"/>
  <c r="N69" i="40" s="1"/>
  <c r="R14" i="40"/>
  <c r="R16" i="40" s="1"/>
  <c r="Q23" i="15"/>
  <c r="S23" i="15" s="1"/>
  <c r="T23" i="15" s="1"/>
  <c r="Q53" i="15"/>
  <c r="S53" i="15" s="1"/>
  <c r="T53" i="15" s="1"/>
  <c r="H53" i="15"/>
  <c r="E16" i="40"/>
  <c r="J80" i="40"/>
  <c r="J90" i="40"/>
  <c r="J92" i="40" s="1"/>
  <c r="R55" i="40"/>
  <c r="I38" i="15"/>
  <c r="A38" i="15" s="1"/>
  <c r="A93" i="15" s="1"/>
  <c r="H93" i="15"/>
  <c r="K67" i="40"/>
  <c r="K69" i="40" s="1"/>
  <c r="O96" i="40"/>
  <c r="O100" i="40" s="1"/>
  <c r="L19" i="40"/>
  <c r="L35" i="40"/>
  <c r="L37" i="40" s="1"/>
  <c r="K80" i="40"/>
  <c r="K90" i="40"/>
  <c r="K92" i="40" s="1"/>
  <c r="E31" i="40"/>
  <c r="R29" i="40"/>
  <c r="Q49" i="15"/>
  <c r="S49" i="15" s="1"/>
  <c r="H49" i="15"/>
  <c r="G100" i="15"/>
  <c r="AE79" i="40" s="1"/>
  <c r="AF79" i="40" s="1"/>
  <c r="L51" i="40"/>
  <c r="K16" i="40"/>
  <c r="O67" i="40"/>
  <c r="O69" i="40" s="1"/>
  <c r="G69" i="15"/>
  <c r="G28" i="15"/>
  <c r="O80" i="40"/>
  <c r="O90" i="40"/>
  <c r="O92" i="40" s="1"/>
  <c r="R28" i="15"/>
  <c r="N80" i="40"/>
  <c r="N90" i="40"/>
  <c r="N92" i="40" s="1"/>
  <c r="E74" i="40"/>
  <c r="R72" i="40"/>
  <c r="R74" i="40" s="1"/>
  <c r="I67" i="40"/>
  <c r="I69" i="40" s="1"/>
  <c r="F51" i="40"/>
  <c r="Q67" i="40"/>
  <c r="Q69" i="40" s="1"/>
  <c r="G67" i="40"/>
  <c r="G69" i="40" s="1"/>
  <c r="Q35" i="40"/>
  <c r="Q22" i="40"/>
  <c r="G96" i="40"/>
  <c r="G100" i="40" s="1"/>
  <c r="H90" i="40"/>
  <c r="H92" i="40" s="1"/>
  <c r="H77" i="40"/>
  <c r="R49" i="40"/>
  <c r="E67" i="40"/>
  <c r="E51" i="40"/>
  <c r="R91" i="40"/>
  <c r="AF76" i="40"/>
  <c r="H35" i="40"/>
  <c r="G74" i="15"/>
  <c r="AE33" i="40" s="1"/>
  <c r="AF33" i="40" s="1"/>
  <c r="P19" i="40"/>
  <c r="P35" i="40"/>
  <c r="Q90" i="40"/>
  <c r="Q92" i="40" s="1"/>
  <c r="Q80" i="40"/>
  <c r="H87" i="15"/>
  <c r="H88" i="15"/>
  <c r="I88" i="15" s="1"/>
  <c r="I41" i="15"/>
  <c r="A41" i="15" s="1"/>
  <c r="A88" i="15" s="1"/>
  <c r="J51" i="40"/>
  <c r="G77" i="40"/>
  <c r="G90" i="40"/>
  <c r="G92" i="40" s="1"/>
  <c r="R75" i="40"/>
  <c r="Q25" i="15"/>
  <c r="S25" i="15" s="1"/>
  <c r="J35" i="40"/>
  <c r="K96" i="40"/>
  <c r="K100" i="40" s="1"/>
  <c r="E63" i="40"/>
  <c r="R61" i="40"/>
  <c r="N19" i="40"/>
  <c r="N35" i="40"/>
  <c r="P80" i="40"/>
  <c r="P90" i="40"/>
  <c r="P92" i="40" s="1"/>
  <c r="T24" i="15"/>
  <c r="Q24" i="15"/>
  <c r="H24" i="15"/>
  <c r="H67" i="40"/>
  <c r="H69" i="40" s="1"/>
  <c r="I90" i="40"/>
  <c r="I92" i="40" s="1"/>
  <c r="I77" i="40"/>
  <c r="E66" i="40"/>
  <c r="R64" i="40"/>
  <c r="R66" i="40" s="1"/>
  <c r="AF47" i="40"/>
  <c r="E86" i="40"/>
  <c r="R84" i="40"/>
  <c r="R86" i="40" s="1"/>
  <c r="R36" i="40"/>
  <c r="R58" i="40"/>
  <c r="R60" i="40" s="1"/>
  <c r="E60" i="40"/>
  <c r="R17" i="40"/>
  <c r="E19" i="40"/>
  <c r="E35" i="40"/>
  <c r="N96" i="40"/>
  <c r="N100" i="40" s="1"/>
  <c r="Q51" i="15"/>
  <c r="S51" i="15" s="1"/>
  <c r="T51" i="15" s="1"/>
  <c r="H51" i="15"/>
  <c r="E96" i="40"/>
  <c r="E100" i="40" s="1"/>
  <c r="I50" i="15"/>
  <c r="A50" i="15" s="1"/>
  <c r="A99" i="15" s="1"/>
  <c r="H99" i="15"/>
  <c r="G19" i="40"/>
  <c r="G35" i="40"/>
  <c r="F80" i="40"/>
  <c r="F90" i="40"/>
  <c r="F92" i="40" s="1"/>
  <c r="H35" i="15"/>
  <c r="H81" i="15"/>
  <c r="I32" i="15"/>
  <c r="A32" i="15" s="1"/>
  <c r="A81" i="15" s="1"/>
  <c r="H22" i="15"/>
  <c r="Q22" i="15"/>
  <c r="S22" i="15" s="1"/>
  <c r="T22" i="15" s="1"/>
  <c r="Q51" i="40"/>
  <c r="I42" i="15"/>
  <c r="A42" i="15" s="1"/>
  <c r="A89" i="15" s="1"/>
  <c r="H89" i="15"/>
  <c r="I89" i="15" s="1"/>
  <c r="AF53" i="40"/>
  <c r="Q52" i="15"/>
  <c r="S52" i="15" s="1"/>
  <c r="T52" i="15" s="1"/>
  <c r="H52" i="15"/>
  <c r="L80" i="40"/>
  <c r="L90" i="40"/>
  <c r="L92" i="40" s="1"/>
  <c r="H90" i="15"/>
  <c r="I43" i="15"/>
  <c r="A43" i="15" s="1"/>
  <c r="A90" i="15" s="1"/>
  <c r="R32" i="40"/>
  <c r="R34" i="40" s="1"/>
  <c r="E34" i="40"/>
  <c r="E80" i="40"/>
  <c r="R78" i="40"/>
  <c r="R80" i="40" s="1"/>
  <c r="E90" i="40"/>
  <c r="E92" i="40" s="1"/>
  <c r="A34" i="15"/>
  <c r="T25" i="15" l="1"/>
  <c r="S54" i="15"/>
  <c r="H103" i="15" s="1"/>
  <c r="I103" i="15" s="1"/>
  <c r="I54" i="15"/>
  <c r="AT47" i="31"/>
  <c r="AT52" i="31" s="1"/>
  <c r="AT48" i="30"/>
  <c r="AT50" i="30" s="1"/>
  <c r="CE48" i="30"/>
  <c r="CE50" i="30" s="1"/>
  <c r="AE46" i="40"/>
  <c r="AF46" i="40" s="1"/>
  <c r="CE48" i="31"/>
  <c r="CE50" i="31" s="1"/>
  <c r="R58" i="15"/>
  <c r="R63" i="15" s="1"/>
  <c r="R96" i="40"/>
  <c r="R100" i="40" s="1"/>
  <c r="A33" i="15"/>
  <c r="A82" i="15" s="1"/>
  <c r="R31" i="40"/>
  <c r="AF29" i="40"/>
  <c r="AF55" i="40"/>
  <c r="R57" i="40"/>
  <c r="A83" i="15"/>
  <c r="A35" i="15"/>
  <c r="F95" i="40"/>
  <c r="F37" i="40"/>
  <c r="H28" i="15"/>
  <c r="I28" i="15" s="1"/>
  <c r="H69" i="15"/>
  <c r="I20" i="15"/>
  <c r="R67" i="40"/>
  <c r="T20" i="15"/>
  <c r="N95" i="40"/>
  <c r="N37" i="40"/>
  <c r="R51" i="40"/>
  <c r="AE15" i="40"/>
  <c r="AF15" i="40" s="1"/>
  <c r="G77" i="15"/>
  <c r="AE36" i="40" s="1"/>
  <c r="AF36" i="40" s="1"/>
  <c r="L95" i="40"/>
  <c r="AE49" i="40"/>
  <c r="AF49" i="40" s="1"/>
  <c r="I87" i="15"/>
  <c r="I53" i="15"/>
  <c r="A53" i="15" s="1"/>
  <c r="A102" i="15" s="1"/>
  <c r="H102" i="15"/>
  <c r="I95" i="40"/>
  <c r="I37" i="40"/>
  <c r="R63" i="40"/>
  <c r="E69" i="40"/>
  <c r="I51" i="15"/>
  <c r="A51" i="15" s="1"/>
  <c r="A100" i="15" s="1"/>
  <c r="H100" i="15"/>
  <c r="I37" i="15"/>
  <c r="A37" i="15" s="1"/>
  <c r="A92" i="15" s="1"/>
  <c r="H92" i="15"/>
  <c r="I23" i="15"/>
  <c r="A23" i="15" s="1"/>
  <c r="A72" i="15" s="1"/>
  <c r="H72" i="15"/>
  <c r="G58" i="15"/>
  <c r="G63" i="15" s="1"/>
  <c r="K95" i="40"/>
  <c r="K37" i="40"/>
  <c r="P95" i="40"/>
  <c r="P37" i="40"/>
  <c r="AE73" i="40"/>
  <c r="AF73" i="40" s="1"/>
  <c r="G105" i="15"/>
  <c r="H45" i="15"/>
  <c r="I45" i="15" s="1"/>
  <c r="I35" i="15"/>
  <c r="I21" i="15"/>
  <c r="A21" i="15" s="1"/>
  <c r="A70" i="15" s="1"/>
  <c r="H70" i="15"/>
  <c r="AE52" i="40"/>
  <c r="AF52" i="40" s="1"/>
  <c r="I90" i="15"/>
  <c r="E95" i="40"/>
  <c r="E37" i="40"/>
  <c r="J95" i="40"/>
  <c r="J37" i="40"/>
  <c r="AE43" i="40"/>
  <c r="AF43" i="40" s="1"/>
  <c r="I82" i="15"/>
  <c r="O95" i="40"/>
  <c r="O37" i="40"/>
  <c r="Q95" i="40"/>
  <c r="Q37" i="40"/>
  <c r="G95" i="40"/>
  <c r="G37" i="40"/>
  <c r="R19" i="40"/>
  <c r="R35" i="40"/>
  <c r="S45" i="15"/>
  <c r="T45" i="15" s="1"/>
  <c r="T35" i="15"/>
  <c r="I99" i="15"/>
  <c r="AE75" i="40"/>
  <c r="AF75" i="40" s="1"/>
  <c r="I22" i="15"/>
  <c r="A22" i="15" s="1"/>
  <c r="A71" i="15" s="1"/>
  <c r="H71" i="15"/>
  <c r="AE40" i="40"/>
  <c r="AF40" i="40" s="1"/>
  <c r="H85" i="15"/>
  <c r="I81" i="15"/>
  <c r="AF68" i="40"/>
  <c r="I52" i="15"/>
  <c r="A52" i="15" s="1"/>
  <c r="A101" i="15" s="1"/>
  <c r="H101" i="15"/>
  <c r="I25" i="15"/>
  <c r="H98" i="15"/>
  <c r="I49" i="15"/>
  <c r="H56" i="15"/>
  <c r="AE64" i="40"/>
  <c r="AF64" i="40" s="1"/>
  <c r="I93" i="15"/>
  <c r="I24" i="15"/>
  <c r="A24" i="15" s="1"/>
  <c r="A73" i="15" s="1"/>
  <c r="H73" i="15"/>
  <c r="I73" i="15" s="1"/>
  <c r="R90" i="40"/>
  <c r="R92" i="40" s="1"/>
  <c r="R77" i="40"/>
  <c r="H95" i="40"/>
  <c r="H37" i="40"/>
  <c r="T49" i="15"/>
  <c r="S28" i="15" l="1"/>
  <c r="T28" i="15" s="1"/>
  <c r="AE87" i="40"/>
  <c r="AF87" i="40" s="1"/>
  <c r="H74" i="15"/>
  <c r="AE32" i="40" s="1"/>
  <c r="AF32" i="40" s="1"/>
  <c r="S56" i="15"/>
  <c r="T56" i="15" s="1"/>
  <c r="T54" i="15"/>
  <c r="A54" i="15" s="1"/>
  <c r="A103" i="15" s="1"/>
  <c r="A25" i="15"/>
  <c r="A74" i="15" s="1"/>
  <c r="AT48" i="31"/>
  <c r="AT50" i="31" s="1"/>
  <c r="R69" i="40"/>
  <c r="I16" i="32"/>
  <c r="I18" i="32" s="1"/>
  <c r="R59" i="15"/>
  <c r="R61" i="15" s="1"/>
  <c r="G117" i="15" s="1"/>
  <c r="E117" i="15" s="1"/>
  <c r="A20" i="15"/>
  <c r="A69" i="15" s="1"/>
  <c r="A49" i="15"/>
  <c r="A98" i="15" s="1"/>
  <c r="AE14" i="40"/>
  <c r="AF14" i="40" s="1"/>
  <c r="I69" i="15"/>
  <c r="Q99" i="40"/>
  <c r="Q101" i="40" s="1"/>
  <c r="Q97" i="40"/>
  <c r="I72" i="15"/>
  <c r="AE23" i="40"/>
  <c r="AF23" i="40" s="1"/>
  <c r="A45" i="15"/>
  <c r="A94" i="15" s="1"/>
  <c r="R95" i="40"/>
  <c r="R37" i="40"/>
  <c r="G107" i="15"/>
  <c r="G112" i="15" s="1"/>
  <c r="AE61" i="40"/>
  <c r="AF61" i="40" s="1"/>
  <c r="I92" i="15"/>
  <c r="O99" i="40"/>
  <c r="O101" i="40" s="1"/>
  <c r="O97" i="40"/>
  <c r="I99" i="40"/>
  <c r="I101" i="40" s="1"/>
  <c r="I97" i="40"/>
  <c r="N99" i="40"/>
  <c r="N101" i="40" s="1"/>
  <c r="N97" i="40"/>
  <c r="F99" i="40"/>
  <c r="F101" i="40" s="1"/>
  <c r="F97" i="40"/>
  <c r="H99" i="40"/>
  <c r="H101" i="40" s="1"/>
  <c r="H97" i="40"/>
  <c r="AE78" i="40"/>
  <c r="AF78" i="40" s="1"/>
  <c r="I100" i="15"/>
  <c r="J99" i="40"/>
  <c r="J101" i="40" s="1"/>
  <c r="J97" i="40"/>
  <c r="H105" i="15"/>
  <c r="AE72" i="40"/>
  <c r="AF72" i="40" s="1"/>
  <c r="I98" i="15"/>
  <c r="I74" i="15"/>
  <c r="P99" i="40"/>
  <c r="P101" i="40" s="1"/>
  <c r="P97" i="40"/>
  <c r="I102" i="15"/>
  <c r="AE84" i="40"/>
  <c r="AF84" i="40" s="1"/>
  <c r="H94" i="15"/>
  <c r="I85" i="15"/>
  <c r="E99" i="40"/>
  <c r="E101" i="40" s="1"/>
  <c r="E97" i="40"/>
  <c r="G99" i="40"/>
  <c r="G101" i="40" s="1"/>
  <c r="G97" i="40"/>
  <c r="I70" i="15"/>
  <c r="AE17" i="40"/>
  <c r="AF17" i="40" s="1"/>
  <c r="AE81" i="40"/>
  <c r="AF81" i="40" s="1"/>
  <c r="I101" i="15"/>
  <c r="K99" i="40"/>
  <c r="K101" i="40" s="1"/>
  <c r="K97" i="40"/>
  <c r="I56" i="15"/>
  <c r="H58" i="15"/>
  <c r="H63" i="15" s="1"/>
  <c r="I71" i="15"/>
  <c r="AE20" i="40"/>
  <c r="AF20" i="40" s="1"/>
  <c r="G59" i="15"/>
  <c r="L99" i="40"/>
  <c r="L101" i="40" s="1"/>
  <c r="L97" i="40"/>
  <c r="H77" i="15" l="1"/>
  <c r="I77" i="15" s="1"/>
  <c r="A28" i="15"/>
  <c r="A77" i="15" s="1"/>
  <c r="S58" i="15"/>
  <c r="S63" i="15" s="1"/>
  <c r="T63" i="15" s="1"/>
  <c r="E23" i="32"/>
  <c r="D14" i="32"/>
  <c r="A56" i="15"/>
  <c r="R99" i="40"/>
  <c r="R101" i="40" s="1"/>
  <c r="R97" i="40"/>
  <c r="S59" i="15"/>
  <c r="S61" i="15" s="1"/>
  <c r="T58" i="15"/>
  <c r="G108" i="15"/>
  <c r="G110" i="15" s="1"/>
  <c r="D18" i="32"/>
  <c r="AE96" i="40"/>
  <c r="AF96" i="40" s="1"/>
  <c r="I63" i="15"/>
  <c r="H59" i="15"/>
  <c r="H61" i="15" s="1"/>
  <c r="I58" i="15"/>
  <c r="G61" i="15"/>
  <c r="G116" i="15" s="1"/>
  <c r="AE67" i="40"/>
  <c r="AF67" i="40" s="1"/>
  <c r="I94" i="15"/>
  <c r="I105" i="15"/>
  <c r="H107" i="15" l="1"/>
  <c r="H112" i="15" s="1"/>
  <c r="AE35" i="40"/>
  <c r="AF35" i="40" s="1"/>
  <c r="A63" i="15"/>
  <c r="H117" i="15"/>
  <c r="T61" i="15"/>
  <c r="H116" i="15"/>
  <c r="I61" i="15"/>
  <c r="E116" i="15"/>
  <c r="D13" i="32"/>
  <c r="G118" i="15"/>
  <c r="A58" i="15"/>
  <c r="A59" i="15"/>
  <c r="I107" i="15" l="1"/>
  <c r="AE95" i="40"/>
  <c r="AF95" i="40" s="1"/>
  <c r="AF13" i="40" s="1"/>
  <c r="H108" i="15"/>
  <c r="H110" i="15" s="1"/>
  <c r="I110" i="15" s="1"/>
  <c r="D16" i="32"/>
  <c r="D22" i="32" s="1"/>
  <c r="A61" i="15"/>
  <c r="F117" i="15"/>
  <c r="E14" i="32"/>
  <c r="F14" i="32" s="1"/>
  <c r="I117" i="15"/>
  <c r="E18" i="32"/>
  <c r="F18" i="32" s="1"/>
  <c r="I112" i="15"/>
  <c r="E13" i="32"/>
  <c r="F116" i="15"/>
  <c r="H118" i="15"/>
  <c r="I118" i="15" s="1"/>
  <c r="I116" i="15"/>
  <c r="E16" i="32" l="1"/>
  <c r="E22" i="32" s="1"/>
  <c r="F13" i="32"/>
  <c r="F22" i="32" l="1"/>
  <c r="F16" i="32"/>
  <c r="X38" i="31" l="1"/>
  <c r="E38" i="31" s="1"/>
  <c r="X40" i="31"/>
  <c r="E40" i="31" s="1"/>
  <c r="X41" i="31"/>
  <c r="E41" i="31" s="1"/>
  <c r="E42" i="31"/>
  <c r="E43" i="31"/>
  <c r="X22" i="31"/>
  <c r="E22" i="31" s="1"/>
  <c r="X23" i="31"/>
  <c r="E23" i="31" s="1"/>
  <c r="X24" i="31"/>
  <c r="E24" i="31" s="1"/>
  <c r="E26" i="31"/>
  <c r="X27" i="31"/>
  <c r="E27" i="31" s="1"/>
  <c r="X28" i="31"/>
  <c r="E28" i="31" s="1"/>
  <c r="E29" i="31"/>
  <c r="X10" i="31"/>
  <c r="E10" i="31" s="1"/>
  <c r="X11" i="31"/>
  <c r="X12" i="31"/>
  <c r="E12" i="31" s="1"/>
  <c r="X13" i="31"/>
  <c r="E13" i="31" s="1"/>
  <c r="X15" i="31"/>
  <c r="E15" i="31" s="1"/>
  <c r="E16" i="31"/>
  <c r="X38" i="30"/>
  <c r="X39" i="30"/>
  <c r="E39" i="30" s="1"/>
  <c r="X40" i="30"/>
  <c r="E40" i="30" s="1"/>
  <c r="X41" i="30"/>
  <c r="E41" i="30" s="1"/>
  <c r="E42" i="30"/>
  <c r="E43" i="30"/>
  <c r="X22" i="30"/>
  <c r="E22" i="30" s="1"/>
  <c r="X23" i="30"/>
  <c r="E23" i="30" s="1"/>
  <c r="X24" i="30"/>
  <c r="E24" i="30" s="1"/>
  <c r="X26" i="30"/>
  <c r="E26" i="30" s="1"/>
  <c r="X27" i="30"/>
  <c r="E27" i="30" s="1"/>
  <c r="X28" i="30"/>
  <c r="E28" i="30" s="1"/>
  <c r="X29" i="30"/>
  <c r="E29" i="30" s="1"/>
  <c r="X10" i="30"/>
  <c r="X11" i="30"/>
  <c r="E11" i="30" s="1"/>
  <c r="X12" i="30"/>
  <c r="E12" i="30" s="1"/>
  <c r="X13" i="30"/>
  <c r="E13" i="30" s="1"/>
  <c r="X15" i="30"/>
  <c r="E15" i="30" s="1"/>
  <c r="E16" i="30"/>
  <c r="X45" i="31" l="1"/>
  <c r="X45" i="30"/>
  <c r="X18" i="30"/>
  <c r="E38" i="30"/>
  <c r="E45" i="30" s="1"/>
  <c r="X18" i="31"/>
  <c r="X33" i="30"/>
  <c r="E34" i="31"/>
  <c r="E45" i="31"/>
  <c r="E33" i="30"/>
  <c r="E11" i="31"/>
  <c r="E18" i="31" s="1"/>
  <c r="X34" i="31"/>
  <c r="E10" i="30"/>
  <c r="E18" i="30" s="1"/>
  <c r="X47" i="31" l="1"/>
  <c r="X48" i="31" s="1"/>
  <c r="X50" i="31" s="1"/>
  <c r="X47" i="30"/>
  <c r="X52" i="30" s="1"/>
  <c r="E47" i="31"/>
  <c r="E47" i="30"/>
  <c r="X52" i="31" l="1"/>
  <c r="H14" i="32"/>
  <c r="J14" i="32" s="1"/>
  <c r="P14" i="32"/>
  <c r="R14" i="32" s="1"/>
  <c r="L14" i="32"/>
  <c r="N14" i="32" s="1"/>
  <c r="X48" i="30"/>
  <c r="X50" i="30" s="1"/>
  <c r="E48" i="31"/>
  <c r="E50" i="31" s="1"/>
  <c r="E52" i="31"/>
  <c r="E52" i="30"/>
  <c r="E48" i="30"/>
  <c r="E50" i="30" s="1"/>
  <c r="H13" i="32" l="1"/>
  <c r="J13" i="32" s="1"/>
  <c r="L13" i="32"/>
  <c r="P13" i="32"/>
  <c r="H16" i="32" l="1"/>
  <c r="D23" i="32" s="1"/>
  <c r="F23" i="32" s="1"/>
  <c r="L16" i="32"/>
  <c r="N13" i="32"/>
  <c r="P16" i="32"/>
  <c r="R13" i="32"/>
  <c r="H18" i="32" l="1"/>
  <c r="J18" i="32" s="1"/>
  <c r="J16" i="32"/>
  <c r="P18" i="32"/>
  <c r="R18" i="32" s="1"/>
  <c r="D25" i="32"/>
  <c r="F25" i="32" s="1"/>
  <c r="R16" i="32"/>
  <c r="L18" i="32"/>
  <c r="N18" i="32" s="1"/>
  <c r="D24" i="32"/>
  <c r="F24" i="32" s="1"/>
  <c r="N16" i="3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Robert Smith</author>
  </authors>
  <commentList>
    <comment ref="D1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Select the current tariff</t>
        </r>
      </text>
    </comment>
    <comment ref="D21" authorId="0" shapeId="0" xr:uid="{E800BFAC-BD19-4BB4-A513-82380B77643B}">
      <text>
        <r>
          <rPr>
            <b/>
            <sz val="9"/>
            <color indexed="81"/>
            <rFont val="Tahoma"/>
            <family val="2"/>
          </rPr>
          <t xml:space="preserve">Select the previous tariff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Choshane Phaahla</author>
  </authors>
  <commentList>
    <comment ref="D37" authorId="0" shapeId="0" xr:uid="{753A057F-20B6-499F-B0A5-9E1037691FD0}">
      <text>
        <r>
          <rPr>
            <b/>
            <sz val="9"/>
            <color indexed="81"/>
            <rFont val="Tahoma"/>
            <family val="2"/>
          </rPr>
          <t>R/kVA for LPUs
R/POD for SPUs</t>
        </r>
      </text>
    </comment>
    <comment ref="O37" authorId="0" shapeId="0" xr:uid="{35FF7132-5CB9-4B79-9DE9-AB43C508C4DC}">
      <text>
        <r>
          <rPr>
            <b/>
            <sz val="9"/>
            <color indexed="81"/>
            <rFont val="Tahoma"/>
            <family val="2"/>
          </rPr>
          <t>R/kVA for LPUs
R/POD for SPUs</t>
        </r>
      </text>
    </comment>
    <comment ref="D92" authorId="0" shapeId="0" xr:uid="{B4411D6D-9094-4C84-A857-D208B6A4D754}">
      <text>
        <r>
          <rPr>
            <b/>
            <sz val="9"/>
            <color indexed="81"/>
            <rFont val="Tahoma"/>
            <family val="2"/>
          </rPr>
          <t>R/kVA for LPUs
R/POD for SPUs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Jaqui</author>
    <author>Choshane Phaahla</author>
    <author>Robert Smith</author>
  </authors>
  <commentList>
    <comment ref="D12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Jaqui:</t>
        </r>
        <r>
          <rPr>
            <sz val="9"/>
            <color indexed="81"/>
            <rFont val="Tahoma"/>
            <family val="2"/>
          </rPr>
          <t xml:space="preserve">
If ruraflex, miniflex or nightsave rural this is measured in c/kWh</t>
        </r>
      </text>
    </comment>
    <comment ref="D30" authorId="1" shapeId="0" xr:uid="{05C47B29-DEDA-4BE6-8D20-0CD27361A75E}">
      <text>
        <r>
          <rPr>
            <b/>
            <sz val="9"/>
            <color indexed="81"/>
            <rFont val="Tahoma"/>
            <family val="2"/>
          </rPr>
          <t xml:space="preserve">R/kVA for LPUs
R/POD/day for SPUs
</t>
        </r>
      </text>
    </comment>
    <comment ref="E43" authorId="2" shapeId="0" xr:uid="{00000000-0006-0000-0500-000002000000}">
      <text>
        <r>
          <rPr>
            <b/>
            <sz val="9"/>
            <color indexed="81"/>
            <rFont val="Tahoma"/>
            <family val="2"/>
          </rPr>
          <t>Service is based on number of 1 account (1 POD)</t>
        </r>
      </text>
    </comment>
    <comment ref="AT43" authorId="2" shapeId="0" xr:uid="{00000000-0006-0000-0500-000003000000}">
      <text>
        <r>
          <rPr>
            <b/>
            <sz val="9"/>
            <color indexed="81"/>
            <rFont val="Tahoma"/>
            <family val="2"/>
          </rPr>
          <t>Service is based on number of PODs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Jaqui</author>
    <author>Choshane Phaahla</author>
    <author>Robert Smith</author>
  </authors>
  <commentList>
    <comment ref="D12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Jaqui:</t>
        </r>
        <r>
          <rPr>
            <sz val="9"/>
            <color indexed="81"/>
            <rFont val="Tahoma"/>
            <family val="2"/>
          </rPr>
          <t xml:space="preserve">
If ruraflex, miniflex or nightsave rural this is measured in c/kWh</t>
        </r>
      </text>
    </comment>
    <comment ref="D30" authorId="1" shapeId="0" xr:uid="{1FDA1126-E44B-4703-A353-3C245ABCECD9}">
      <text>
        <r>
          <rPr>
            <b/>
            <sz val="9"/>
            <color indexed="81"/>
            <rFont val="Tahoma"/>
            <family val="2"/>
          </rPr>
          <t xml:space="preserve">R/kVA for LPUs
R/POD/day for SPUs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43" authorId="2" shapeId="0" xr:uid="{00000000-0006-0000-0600-000002000000}">
      <text>
        <r>
          <rPr>
            <b/>
            <sz val="9"/>
            <color indexed="81"/>
            <rFont val="Tahoma"/>
            <family val="2"/>
          </rPr>
          <t>Service is based on number of 1 account (1 POD)</t>
        </r>
      </text>
    </comment>
    <comment ref="AT43" authorId="2" shapeId="0" xr:uid="{00000000-0006-0000-0600-000003000000}">
      <text>
        <r>
          <rPr>
            <b/>
            <sz val="9"/>
            <color indexed="81"/>
            <rFont val="Tahoma"/>
            <family val="2"/>
          </rPr>
          <t>Service is based on number of PODs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Jaqui</author>
    <author>Choshane Phaahla</author>
  </authors>
  <commentList>
    <comment ref="D12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Jaqui:</t>
        </r>
        <r>
          <rPr>
            <sz val="9"/>
            <color indexed="81"/>
            <rFont val="Tahoma"/>
            <family val="2"/>
          </rPr>
          <t xml:space="preserve">
If ruraflex, miniflex or nightsave rural this is measured in c/kWh</t>
        </r>
      </text>
    </comment>
    <comment ref="D30" authorId="1" shapeId="0" xr:uid="{D0EEB29D-84F1-4567-9A6E-A35E6FA20522}">
      <text>
        <r>
          <rPr>
            <sz val="9"/>
            <color indexed="81"/>
            <rFont val="Tahoma"/>
            <family val="2"/>
          </rPr>
          <t xml:space="preserve">R/kVA for LPUs
R/POD/day for SPUs
</t>
        </r>
      </text>
    </comment>
    <comment ref="D45" authorId="1" shapeId="0" xr:uid="{E423CBDC-BFE5-4A5D-9566-6382845E2684}">
      <text>
        <r>
          <rPr>
            <b/>
            <sz val="9"/>
            <color indexed="81"/>
            <rFont val="Tahoma"/>
            <family val="2"/>
          </rPr>
          <t xml:space="preserve">R/kVA for LPUs
R/POD/day for SPUs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Robert Smith</author>
  </authors>
  <commentList>
    <comment ref="I18" authorId="0" shapeId="0" xr:uid="{00000000-0006-0000-0C00-000001000000}">
      <text>
        <r>
          <rPr>
            <sz val="9"/>
            <color indexed="81"/>
            <rFont val="Tahoma"/>
            <family val="2"/>
          </rPr>
          <t xml:space="preserve">Leave as Dx NAC
used in formula
</t>
        </r>
      </text>
    </comment>
    <comment ref="I31" authorId="0" shapeId="0" xr:uid="{00000000-0006-0000-0C00-000002000000}">
      <text>
        <r>
          <rPr>
            <b/>
            <sz val="9"/>
            <color indexed="81"/>
            <rFont val="Tahoma"/>
            <family val="2"/>
          </rPr>
          <t>Robert Smith:</t>
        </r>
        <r>
          <rPr>
            <sz val="9"/>
            <color indexed="81"/>
            <rFont val="Tahoma"/>
            <family val="2"/>
          </rPr>
          <t xml:space="preserve">
See Rates LPU Energy for the NAC charges</t>
        </r>
      </text>
    </comment>
    <comment ref="I40" authorId="0" shapeId="0" xr:uid="{00000000-0006-0000-0C00-000003000000}">
      <text>
        <r>
          <rPr>
            <b/>
            <sz val="9"/>
            <color indexed="81"/>
            <rFont val="Tahoma"/>
            <family val="2"/>
          </rPr>
          <t>Robert Smith:</t>
        </r>
        <r>
          <rPr>
            <sz val="9"/>
            <color indexed="81"/>
            <rFont val="Tahoma"/>
            <family val="2"/>
          </rPr>
          <t xml:space="preserve">
See Rates LPU Energy for the NAC charges</t>
        </r>
      </text>
    </comment>
    <comment ref="I67" authorId="0" shapeId="0" xr:uid="{00000000-0006-0000-0C00-000004000000}">
      <text>
        <r>
          <rPr>
            <b/>
            <sz val="9"/>
            <color indexed="81"/>
            <rFont val="Tahoma"/>
            <family val="2"/>
          </rPr>
          <t>Robert Smith:</t>
        </r>
        <r>
          <rPr>
            <sz val="9"/>
            <color indexed="81"/>
            <rFont val="Tahoma"/>
            <family val="2"/>
          </rPr>
          <t xml:space="preserve">
See Rates LPU Energy for the NAC charges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Robert Smith</author>
  </authors>
  <commentList>
    <comment ref="I19" authorId="0" shapeId="0" xr:uid="{00000000-0006-0000-0D00-000001000000}">
      <text>
        <r>
          <rPr>
            <sz val="9"/>
            <color indexed="81"/>
            <rFont val="Tahoma"/>
            <family val="2"/>
          </rPr>
          <t xml:space="preserve">Leave as Dx NAC
used in formula
</t>
        </r>
      </text>
    </comment>
    <comment ref="I32" authorId="0" shapeId="0" xr:uid="{00000000-0006-0000-0D00-000002000000}">
      <text>
        <r>
          <rPr>
            <b/>
            <sz val="9"/>
            <color indexed="81"/>
            <rFont val="Tahoma"/>
            <family val="2"/>
          </rPr>
          <t>Robert Smith:</t>
        </r>
        <r>
          <rPr>
            <sz val="9"/>
            <color indexed="81"/>
            <rFont val="Tahoma"/>
            <family val="2"/>
          </rPr>
          <t xml:space="preserve">
See Rates LPU Energy for the NAC charges</t>
        </r>
      </text>
    </comment>
    <comment ref="I41" authorId="0" shapeId="0" xr:uid="{00000000-0006-0000-0D00-000003000000}">
      <text>
        <r>
          <rPr>
            <b/>
            <sz val="9"/>
            <color indexed="81"/>
            <rFont val="Tahoma"/>
            <family val="2"/>
          </rPr>
          <t>Robert Smith:</t>
        </r>
        <r>
          <rPr>
            <sz val="9"/>
            <color indexed="81"/>
            <rFont val="Tahoma"/>
            <family val="2"/>
          </rPr>
          <t xml:space="preserve">
See Rates LPU Energy for the NAC charges</t>
        </r>
      </text>
    </comment>
    <comment ref="I68" authorId="0" shapeId="0" xr:uid="{00000000-0006-0000-0D00-000004000000}">
      <text>
        <r>
          <rPr>
            <b/>
            <sz val="9"/>
            <color indexed="81"/>
            <rFont val="Tahoma"/>
            <family val="2"/>
          </rPr>
          <t>Robert Smith:</t>
        </r>
        <r>
          <rPr>
            <sz val="9"/>
            <color indexed="81"/>
            <rFont val="Tahoma"/>
            <family val="2"/>
          </rPr>
          <t xml:space="preserve">
See Rates LPU Energy for the NAC charges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<sst xmlns="http://schemas.openxmlformats.org/spreadsheetml/2006/main" count="6030" uniqueCount="652">
  <si>
    <t>Tariff Input Sheet</t>
  </si>
  <si>
    <t>Please enter the required information below:</t>
  </si>
  <si>
    <t>Customer Name</t>
  </si>
  <si>
    <t xml:space="preserve">Account number </t>
  </si>
  <si>
    <t>Point of delivery ID</t>
  </si>
  <si>
    <t>Select your tariff category</t>
  </si>
  <si>
    <t>Select tariff</t>
  </si>
  <si>
    <t>Select supply voltage</t>
  </si>
  <si>
    <t>Enter the customer name as it is displayed on the rates bill.</t>
  </si>
  <si>
    <t>Enter the account number as it is displayed on the rates bill.</t>
  </si>
  <si>
    <t>Enter the Point of Delivery ID as it is displayed on the rates bill.</t>
  </si>
  <si>
    <t>Select transmission zone</t>
  </si>
  <si>
    <t>Select the appropriate customer supply size (kVA)</t>
  </si>
  <si>
    <t>Select the appropriate supply voltage (V)</t>
  </si>
  <si>
    <t>Peak energy</t>
  </si>
  <si>
    <t>Standard energy</t>
  </si>
  <si>
    <t>Off-peak energy</t>
  </si>
  <si>
    <t>Chargeable demand</t>
  </si>
  <si>
    <t>kWh</t>
  </si>
  <si>
    <t>kVA</t>
  </si>
  <si>
    <t>kVArh</t>
  </si>
  <si>
    <t>Low Demand</t>
  </si>
  <si>
    <t>High Demand</t>
  </si>
  <si>
    <t>ESKOM Financial Year</t>
  </si>
  <si>
    <t>Total</t>
  </si>
  <si>
    <t>Municipal Financial Year</t>
  </si>
  <si>
    <t>ESKOM Financial Year End</t>
  </si>
  <si>
    <t>dd-mmm-yy</t>
  </si>
  <si>
    <t>Municipality Financial Year End</t>
  </si>
  <si>
    <t>Drop box selection driven by the supply voltage inputs</t>
  </si>
  <si>
    <t>Model Lists</t>
  </si>
  <si>
    <t>Tariff</t>
  </si>
  <si>
    <t>Tariff Category</t>
  </si>
  <si>
    <t>Transmission Zone</t>
  </si>
  <si>
    <t>Supply Voltage</t>
  </si>
  <si>
    <t>High - Peak</t>
  </si>
  <si>
    <t>High - Standard</t>
  </si>
  <si>
    <t>High-Off Peak</t>
  </si>
  <si>
    <t>Low - Peak</t>
  </si>
  <si>
    <t>Low - Standard</t>
  </si>
  <si>
    <t>Low-Off Peak</t>
  </si>
  <si>
    <t>Megaflex</t>
  </si>
  <si>
    <t>Miniflex</t>
  </si>
  <si>
    <t>Nightsave Large</t>
  </si>
  <si>
    <t>Nightsave Rural</t>
  </si>
  <si>
    <t>Nightsave Small</t>
  </si>
  <si>
    <t>Ruraflex</t>
  </si>
  <si>
    <t>Tariffs</t>
  </si>
  <si>
    <t>Base Tariff</t>
  </si>
  <si>
    <t>Tariff Variant</t>
  </si>
  <si>
    <t>Businessrate</t>
  </si>
  <si>
    <t>Homelight</t>
  </si>
  <si>
    <t>Homepower</t>
  </si>
  <si>
    <t>Tariff ID</t>
  </si>
  <si>
    <t>Base Tariff ID</t>
  </si>
  <si>
    <t>Landrate</t>
  </si>
  <si>
    <t>20A</t>
  </si>
  <si>
    <t>60A</t>
  </si>
  <si>
    <t>Dx</t>
  </si>
  <si>
    <t>Base Tariffs</t>
  </si>
  <si>
    <t>Tariff Category ID</t>
  </si>
  <si>
    <t>Voltage</t>
  </si>
  <si>
    <t>&lt; 500V</t>
  </si>
  <si>
    <t>≥ 500V &amp; &lt; 66kV</t>
  </si>
  <si>
    <t>≥ 66kV &amp; ≤ 132kV</t>
  </si>
  <si>
    <t>&gt; 132kV</t>
  </si>
  <si>
    <t>Transmission zone</t>
  </si>
  <si>
    <t>[0 - 300km]</t>
  </si>
  <si>
    <t>[301 - 600km]</t>
  </si>
  <si>
    <t>[601 - 900km]</t>
  </si>
  <si>
    <t>[&gt; 900km]</t>
  </si>
  <si>
    <t>Local Authority</t>
  </si>
  <si>
    <t>Non-Local Authority</t>
  </si>
  <si>
    <t>Voltage ID</t>
  </si>
  <si>
    <t>Transmission Zone ID</t>
  </si>
  <si>
    <t>Active Energy Charge [c/kWh]</t>
  </si>
  <si>
    <t>Code</t>
  </si>
  <si>
    <t>Selected Tariff Category</t>
  </si>
  <si>
    <t>Selected Supply Size</t>
  </si>
  <si>
    <t>Selected transmission zone</t>
  </si>
  <si>
    <t>Selected Supply Voltage</t>
  </si>
  <si>
    <t>Selected Base Tariff</t>
  </si>
  <si>
    <t>Capacity</t>
  </si>
  <si>
    <t>≤100kVA</t>
  </si>
  <si>
    <t>&gt;100kVA &amp; ≤500kVA</t>
  </si>
  <si>
    <t>&gt;500kVA &amp; ≤1MVA</t>
  </si>
  <si>
    <t>Key customer</t>
  </si>
  <si>
    <t>Capacity ID</t>
  </si>
  <si>
    <t>Selections</t>
  </si>
  <si>
    <t>Description</t>
  </si>
  <si>
    <t>ID</t>
  </si>
  <si>
    <t>Transmission network charges</t>
  </si>
  <si>
    <t>[R/kVA/m]</t>
  </si>
  <si>
    <t>Network Access Charges</t>
  </si>
  <si>
    <t>Assumptions</t>
  </si>
  <si>
    <t>Supply voltage</t>
  </si>
  <si>
    <t>No of PODS</t>
  </si>
  <si>
    <t>Size of supply</t>
  </si>
  <si>
    <t>Transmission network charge</t>
  </si>
  <si>
    <t>Distribution network demand charge</t>
  </si>
  <si>
    <t>Transmission Network Charges</t>
  </si>
  <si>
    <t>Network charges</t>
  </si>
  <si>
    <t>Type</t>
  </si>
  <si>
    <t>Urban</t>
  </si>
  <si>
    <t>Rural</t>
  </si>
  <si>
    <t>Network Demand Charge</t>
  </si>
  <si>
    <t>c/kWh</t>
  </si>
  <si>
    <t>All</t>
  </si>
  <si>
    <t>R/kVA/m</t>
  </si>
  <si>
    <t>c/kVArh</t>
  </si>
  <si>
    <t>Units</t>
  </si>
  <si>
    <t>Service charge  [R/Account/day]</t>
  </si>
  <si>
    <t>Administration charge  [R/POD/day]</t>
  </si>
  <si>
    <t>Network demand charge c/kwh</t>
  </si>
  <si>
    <t>Network demand charge R/kVA/m</t>
  </si>
  <si>
    <t>R/kVA</t>
  </si>
  <si>
    <t>Reactive energy charge</t>
  </si>
  <si>
    <t>Energy Demand Charge</t>
  </si>
  <si>
    <t>n/a</t>
  </si>
  <si>
    <t>Total network charges</t>
  </si>
  <si>
    <t>Peak consumption</t>
  </si>
  <si>
    <t>Standard consumption</t>
  </si>
  <si>
    <t>Off-Peak consumption</t>
  </si>
  <si>
    <t>Total energy charges</t>
  </si>
  <si>
    <t xml:space="preserve">Electrification and rural subsidy </t>
  </si>
  <si>
    <t xml:space="preserve">Affordability subsidy </t>
  </si>
  <si>
    <t>Administration charge</t>
  </si>
  <si>
    <t>Service charge</t>
  </si>
  <si>
    <t>Total excl VAT</t>
  </si>
  <si>
    <t>VAT</t>
  </si>
  <si>
    <t>Total account</t>
  </si>
  <si>
    <t>Average price c/kWh</t>
  </si>
  <si>
    <t>Tariff:</t>
  </si>
  <si>
    <t>Peak Consumption</t>
  </si>
  <si>
    <t>Standard Consumption</t>
  </si>
  <si>
    <t>Off Peak Consumption</t>
  </si>
  <si>
    <t>Total Consumption</t>
  </si>
  <si>
    <t>Excess Reactive Energy</t>
  </si>
  <si>
    <t>Column1</t>
  </si>
  <si>
    <t>Reliability Service Charge</t>
  </si>
  <si>
    <t>Energy</t>
  </si>
  <si>
    <t>% Change</t>
  </si>
  <si>
    <t>Other charges</t>
  </si>
  <si>
    <t>Total other charges</t>
  </si>
  <si>
    <t>LV Subsidy Charge</t>
  </si>
  <si>
    <t>Lookup values</t>
  </si>
  <si>
    <t>LV Subsidy Charge [R/kVA/m]</t>
  </si>
  <si>
    <t>R/day</t>
  </si>
  <si>
    <t>Days</t>
  </si>
  <si>
    <t>Energy Demand</t>
  </si>
  <si>
    <t>High Charge</t>
  </si>
  <si>
    <t>Low Charge</t>
  </si>
  <si>
    <t>Electrification and rural subsidy  c/kWh</t>
  </si>
  <si>
    <t>Environmental levy c/kWh</t>
  </si>
  <si>
    <t>Reactive energy charge  - High c/kVArh</t>
  </si>
  <si>
    <t>Reactive energy charge  - Low c/kVArh</t>
  </si>
  <si>
    <t>Affordability Subsidy c/kWh</t>
  </si>
  <si>
    <t>Rates - Other</t>
  </si>
  <si>
    <t>Summary - Rates categorized by Voltage</t>
  </si>
  <si>
    <t>Summary - Rates categorized by Voltage and by Transmission Zone</t>
  </si>
  <si>
    <t>Supply Size</t>
  </si>
  <si>
    <t>Rates - Admin &amp; Service Charges by Utilized Capacity</t>
  </si>
  <si>
    <t>days</t>
  </si>
  <si>
    <t>Number of PODs</t>
  </si>
  <si>
    <t>Network demand charge [c/kWh]</t>
  </si>
  <si>
    <t>Service and administration charge [R/POD/day]</t>
  </si>
  <si>
    <t>Businessrate 1</t>
  </si>
  <si>
    <t>Businessrate 2</t>
  </si>
  <si>
    <t>Businessrate 3</t>
  </si>
  <si>
    <t>Businessrate 4</t>
  </si>
  <si>
    <t>Energy charge [c/kWh]</t>
  </si>
  <si>
    <t>Homepower 1</t>
  </si>
  <si>
    <t>Homepower 2</t>
  </si>
  <si>
    <t>Homepower 3</t>
  </si>
  <si>
    <t>Homepower 4</t>
  </si>
  <si>
    <t>Energy charge Block 1 [c/kWh]</t>
  </si>
  <si>
    <t>Homelight 20A</t>
  </si>
  <si>
    <t>Homelight 60A</t>
  </si>
  <si>
    <t>Landrate 1</t>
  </si>
  <si>
    <t>Landrate 2</t>
  </si>
  <si>
    <t>Landrate 3</t>
  </si>
  <si>
    <t>Landrate 4</t>
  </si>
  <si>
    <t>Energy charge Block 2 [c/kWh]</t>
  </si>
  <si>
    <t>Landrate Dx</t>
  </si>
  <si>
    <t>Rates - All Other</t>
  </si>
  <si>
    <t>Check tables</t>
  </si>
  <si>
    <t>Table 1</t>
  </si>
  <si>
    <t>Energy charges</t>
  </si>
  <si>
    <t>Environmental levy charge [c/kWh]</t>
  </si>
  <si>
    <t>Blocks</t>
  </si>
  <si>
    <t>Block 1</t>
  </si>
  <si>
    <t>Block 2</t>
  </si>
  <si>
    <t>Energy - Block 1</t>
  </si>
  <si>
    <t>Energy - Block 2</t>
  </si>
  <si>
    <t>Rates by Tariff</t>
  </si>
  <si>
    <t>Energy charges - High</t>
  </si>
  <si>
    <t>Energy charges - Low</t>
  </si>
  <si>
    <t>Low Demand Consumption Data</t>
  </si>
  <si>
    <t>High Demand Consumption Data</t>
  </si>
  <si>
    <t>Annual</t>
  </si>
  <si>
    <t>Summary</t>
  </si>
  <si>
    <t>Selection Tables</t>
  </si>
  <si>
    <t>Dropbox ID</t>
  </si>
  <si>
    <t>Calculations for High Demand by Tariff</t>
  </si>
  <si>
    <t>Energy charges - low</t>
  </si>
  <si>
    <t>Calculations for Low Demand by Tariff</t>
  </si>
  <si>
    <t>High-demand</t>
  </si>
  <si>
    <t xml:space="preserve">Low demand </t>
  </si>
  <si>
    <t>Comparison Tariffs</t>
  </si>
  <si>
    <t>Current Period</t>
  </si>
  <si>
    <t>New Period</t>
  </si>
  <si>
    <t>Dates</t>
  </si>
  <si>
    <t>LPU Capacity</t>
  </si>
  <si>
    <t>SPU Capacity</t>
  </si>
  <si>
    <t>25kVA</t>
  </si>
  <si>
    <t>32kVA</t>
  </si>
  <si>
    <t>50kVA</t>
  </si>
  <si>
    <t>Select the appropriate customer category - Small Power User (SPU) or Large Power User (LPU)</t>
  </si>
  <si>
    <t>Customer Category</t>
  </si>
  <si>
    <t>Small Power User</t>
  </si>
  <si>
    <t>Large Power User</t>
  </si>
  <si>
    <t>Selected Customer Category</t>
  </si>
  <si>
    <t>SPU Selections</t>
  </si>
  <si>
    <t>LPU Selections</t>
  </si>
  <si>
    <t>5kVA, 16kVA, 20A or 60A</t>
  </si>
  <si>
    <t>Capacity List Count</t>
  </si>
  <si>
    <t>Compare Tables</t>
  </si>
  <si>
    <t>SPU</t>
  </si>
  <si>
    <t>Annual Comparison</t>
  </si>
  <si>
    <t>Select  supply size</t>
  </si>
  <si>
    <t>LPU</t>
  </si>
  <si>
    <t>Not Applicable</t>
  </si>
  <si>
    <t>Sum of Utilised Capacity</t>
  </si>
  <si>
    <t>Sum of Chargeable Demands</t>
  </si>
  <si>
    <t>Selected Tariff Type</t>
  </si>
  <si>
    <t>Tariff Type</t>
  </si>
  <si>
    <t>Month</t>
  </si>
  <si>
    <t>Season</t>
  </si>
  <si>
    <t>Total energy</t>
  </si>
  <si>
    <t>Excess reactive energy</t>
  </si>
  <si>
    <t>Time of Use Toggle</t>
  </si>
  <si>
    <t>Time of Use Comparison Data</t>
  </si>
  <si>
    <t>&gt;50kVA</t>
  </si>
  <si>
    <t>&gt;1MVA &amp; ≤5MVA</t>
  </si>
  <si>
    <t>&gt;5MVA</t>
  </si>
  <si>
    <t>LPU Voltage</t>
  </si>
  <si>
    <t>Model Tariffs</t>
  </si>
  <si>
    <t>Matrix Code</t>
  </si>
  <si>
    <t>Bus1</t>
  </si>
  <si>
    <t>Bus2</t>
  </si>
  <si>
    <t>Bus3</t>
  </si>
  <si>
    <t>Bus4</t>
  </si>
  <si>
    <t>Lan1</t>
  </si>
  <si>
    <t>Lan2</t>
  </si>
  <si>
    <t>Lan3</t>
  </si>
  <si>
    <t>Lan4</t>
  </si>
  <si>
    <t>LanDx</t>
  </si>
  <si>
    <t>HL120</t>
  </si>
  <si>
    <t>HL160</t>
  </si>
  <si>
    <t>HP1</t>
  </si>
  <si>
    <t>HP2</t>
  </si>
  <si>
    <t>HP3</t>
  </si>
  <si>
    <t>HP4</t>
  </si>
  <si>
    <t>HPB</t>
  </si>
  <si>
    <t>Me</t>
  </si>
  <si>
    <t>Mi</t>
  </si>
  <si>
    <t>Ru</t>
  </si>
  <si>
    <t>NL</t>
  </si>
  <si>
    <t>NS</t>
  </si>
  <si>
    <t>NR</t>
  </si>
  <si>
    <t>Mapping</t>
  </si>
  <si>
    <t>Model Transmission Zone</t>
  </si>
  <si>
    <t>Model Voltage</t>
  </si>
  <si>
    <t>Model Category</t>
  </si>
  <si>
    <t>N</t>
  </si>
  <si>
    <t>Y</t>
  </si>
  <si>
    <t>kWhHP</t>
  </si>
  <si>
    <t>kWhHS</t>
  </si>
  <si>
    <t>kWhHO</t>
  </si>
  <si>
    <t>kWhLP</t>
  </si>
  <si>
    <t>kWhLS</t>
  </si>
  <si>
    <t>kWhLO</t>
  </si>
  <si>
    <t>EDC H</t>
  </si>
  <si>
    <t>EDC L</t>
  </si>
  <si>
    <t>Tx NAC</t>
  </si>
  <si>
    <t>Dx NAC</t>
  </si>
  <si>
    <t>Matrix code</t>
  </si>
  <si>
    <t>Dx NDC</t>
  </si>
  <si>
    <t>Table 1: 1 = LPU, 0 = SPU</t>
  </si>
  <si>
    <t>Rates LPU Energy Table</t>
  </si>
  <si>
    <t>Rates LPU by Voltage</t>
  </si>
  <si>
    <t>Rates SPU</t>
  </si>
  <si>
    <t>Admin &amp; Service Charges</t>
  </si>
  <si>
    <t>DxNDC Energy</t>
  </si>
  <si>
    <t>Reliab</t>
  </si>
  <si>
    <t>SubUrbLowVolt</t>
  </si>
  <si>
    <t>Ru01N</t>
  </si>
  <si>
    <t>Mi01N</t>
  </si>
  <si>
    <t>Mi01Y</t>
  </si>
  <si>
    <t>Ru01Y</t>
  </si>
  <si>
    <t>SubAfford</t>
  </si>
  <si>
    <t>kvarh</t>
  </si>
  <si>
    <t>kWhRBlock1</t>
  </si>
  <si>
    <t>NAC POD</t>
  </si>
  <si>
    <t>SerS</t>
  </si>
  <si>
    <t>kWhRBlock4</t>
  </si>
  <si>
    <t>Months</t>
  </si>
  <si>
    <t>Month ID</t>
  </si>
  <si>
    <t>Year</t>
  </si>
  <si>
    <t>Peak</t>
  </si>
  <si>
    <t>Standard</t>
  </si>
  <si>
    <t>Off-Peak</t>
  </si>
  <si>
    <t>Sub Total (TOU)</t>
  </si>
  <si>
    <t>Select customer classification</t>
  </si>
  <si>
    <t>Electrification and rural subsidy charge</t>
  </si>
  <si>
    <t>Affordability subsidy charge</t>
  </si>
  <si>
    <t>Tariff Classification</t>
  </si>
  <si>
    <t>Network demand charge</t>
  </si>
  <si>
    <t>Average price</t>
  </si>
  <si>
    <t>Utilised capacity</t>
  </si>
  <si>
    <t>Selected Tariff in Compare</t>
  </si>
  <si>
    <t xml:space="preserve">For comparative purposes, Utilised Capacity and Chargeable Demand figures are required for all LPU tariffs.
</t>
  </si>
  <si>
    <t>Long Type</t>
  </si>
  <si>
    <t>Commercial Urban</t>
  </si>
  <si>
    <t>Residential Urban</t>
  </si>
  <si>
    <t>Consumption Data Summary</t>
  </si>
  <si>
    <t>Sub Total (non-TOU)</t>
  </si>
  <si>
    <t>Customer Name:</t>
  </si>
  <si>
    <t>Previous</t>
  </si>
  <si>
    <t>B1</t>
  </si>
  <si>
    <t>B2</t>
  </si>
  <si>
    <t>B3</t>
  </si>
  <si>
    <t>B4</t>
  </si>
  <si>
    <t>H1</t>
  </si>
  <si>
    <t>H2</t>
  </si>
  <si>
    <t>H3</t>
  </si>
  <si>
    <t>H4</t>
  </si>
  <si>
    <t>HB</t>
  </si>
  <si>
    <t>L1</t>
  </si>
  <si>
    <t>L2</t>
  </si>
  <si>
    <t>L3</t>
  </si>
  <si>
    <t>L4</t>
  </si>
  <si>
    <t>HL20</t>
  </si>
  <si>
    <t>HL60</t>
  </si>
  <si>
    <t>Homepower Bulk</t>
  </si>
  <si>
    <t>Bulk</t>
  </si>
  <si>
    <t>Need to add SPU tariffs</t>
  </si>
  <si>
    <t>Public Lighting All Night</t>
  </si>
  <si>
    <t>Public Lighting 24 Hours</t>
  </si>
  <si>
    <t>Public Lighting Urban Fixed</t>
  </si>
  <si>
    <t>Landlight</t>
  </si>
  <si>
    <t>]</t>
  </si>
  <si>
    <t>Ld</t>
  </si>
  <si>
    <t>ERS</t>
  </si>
  <si>
    <t>AdmS</t>
  </si>
  <si>
    <t>AdmM</t>
  </si>
  <si>
    <t>AdmL</t>
  </si>
  <si>
    <t>AdmVL</t>
  </si>
  <si>
    <t>AdmK</t>
  </si>
  <si>
    <t>SerM</t>
  </si>
  <si>
    <t>SerL</t>
  </si>
  <si>
    <t>SerVL</t>
  </si>
  <si>
    <t>SerK</t>
  </si>
  <si>
    <t>Activate the Tx zone. This is needed for LPU tariff conversions</t>
  </si>
  <si>
    <t>Status</t>
  </si>
  <si>
    <t>Rates</t>
  </si>
  <si>
    <t>Update the New with 2015/16 rates</t>
  </si>
  <si>
    <t>Update the Current with 2014/15 rates</t>
  </si>
  <si>
    <t>'≥ 500V &amp; ≤ 22kV</t>
  </si>
  <si>
    <t>Consumption Data</t>
  </si>
  <si>
    <t>% change</t>
  </si>
  <si>
    <t>Network demand charge - c/kWh</t>
  </si>
  <si>
    <t>Distribution network demand charge - R/kVA</t>
  </si>
  <si>
    <t>LV subsidy charge</t>
  </si>
  <si>
    <t>Peak energy charge</t>
  </si>
  <si>
    <t>Standard energy charge</t>
  </si>
  <si>
    <t>Off-Peak energy charge</t>
  </si>
  <si>
    <t>Non-TOU energy charge</t>
  </si>
  <si>
    <t>Energy demand charge</t>
  </si>
  <si>
    <t>Affordability charge</t>
  </si>
  <si>
    <t>Total charges, excl VAT</t>
  </si>
  <si>
    <t>Total account, incl VAT</t>
  </si>
  <si>
    <t>Total account charges</t>
  </si>
  <si>
    <t>TOU</t>
  </si>
  <si>
    <t>Transmission network charge - R/kVA</t>
  </si>
  <si>
    <t xml:space="preserve">Network capacity charge - R/kVA </t>
  </si>
  <si>
    <t xml:space="preserve">Energy - Block 1 </t>
  </si>
  <si>
    <t>Network capacity charge</t>
  </si>
  <si>
    <t>Network capacity charge [R/POD/day]</t>
  </si>
  <si>
    <t>Distribution network capacity charge</t>
  </si>
  <si>
    <t>Ancillary service charge</t>
  </si>
  <si>
    <t xml:space="preserve">Ancillary service charge </t>
  </si>
  <si>
    <t>Ancillary service charge [c/kWh]</t>
  </si>
  <si>
    <t>Network capacity charge R/kVA/m</t>
  </si>
  <si>
    <t>Network Capacity Charges</t>
  </si>
  <si>
    <t>Tariff component names</t>
  </si>
  <si>
    <t>Change Distribution network access charge (NAC) to Distribution network capacity charge (NCC)</t>
  </si>
  <si>
    <t>Change Reliability service charge to Ancillary service charge</t>
  </si>
  <si>
    <t>Select either Non-Local Authority (Eskom), Local Authority (Municipality)</t>
  </si>
  <si>
    <t>Notes on updates</t>
  </si>
  <si>
    <t>2015/16</t>
  </si>
  <si>
    <t>2016/17</t>
  </si>
  <si>
    <t>Landlight 20A</t>
  </si>
  <si>
    <t>Landlight 60A</t>
  </si>
  <si>
    <t>Lt20</t>
  </si>
  <si>
    <t>Lt60</t>
  </si>
  <si>
    <t>Pu</t>
  </si>
  <si>
    <t>Pa</t>
  </si>
  <si>
    <t>Pt</t>
  </si>
  <si>
    <t>2015/10/14</t>
  </si>
  <si>
    <t>Public Lighting</t>
  </si>
  <si>
    <t>24 Hours</t>
  </si>
  <si>
    <t>All Night</t>
  </si>
  <si>
    <t>Urban Fixed</t>
  </si>
  <si>
    <r>
      <t xml:space="preserve">Need to add SPU tariffs [update sheets </t>
    </r>
    <r>
      <rPr>
        <b/>
        <sz val="10"/>
        <rFont val="Century Gothic"/>
        <family val="2"/>
      </rPr>
      <t>Lists</t>
    </r>
    <r>
      <rPr>
        <sz val="10"/>
        <rFont val="Century Gothic"/>
        <family val="2"/>
      </rPr>
      <t xml:space="preserve"> &amp; </t>
    </r>
    <r>
      <rPr>
        <b/>
        <sz val="10"/>
        <rFont val="Century Gothic"/>
        <family val="2"/>
      </rPr>
      <t>Mapping</t>
    </r>
    <r>
      <rPr>
        <sz val="10"/>
        <rFont val="Century Gothic"/>
        <family val="2"/>
      </rPr>
      <t>]</t>
    </r>
  </si>
  <si>
    <r>
      <t xml:space="preserve">Update the </t>
    </r>
    <r>
      <rPr>
        <b/>
        <sz val="10"/>
        <rFont val="Century Gothic"/>
        <family val="2"/>
      </rPr>
      <t>New</t>
    </r>
    <r>
      <rPr>
        <sz val="10"/>
        <rFont val="Century Gothic"/>
        <family val="2"/>
      </rPr>
      <t xml:space="preserve"> with 2016/17 rates</t>
    </r>
  </si>
  <si>
    <r>
      <t xml:space="preserve">Update the </t>
    </r>
    <r>
      <rPr>
        <b/>
        <sz val="10"/>
        <rFont val="Century Gothic"/>
        <family val="2"/>
      </rPr>
      <t>Current</t>
    </r>
    <r>
      <rPr>
        <sz val="10"/>
        <rFont val="Century Gothic"/>
        <family val="2"/>
      </rPr>
      <t xml:space="preserve"> with 2015/16 rates</t>
    </r>
  </si>
  <si>
    <t>Sheet</t>
  </si>
  <si>
    <t>Done</t>
  </si>
  <si>
    <t>Mapping
Lists</t>
  </si>
  <si>
    <t>Add new Tariffs (above) rates</t>
  </si>
  <si>
    <t>Rates SPU - New
Rates SPU - Current
Rates Table
Workings High
Working Low</t>
  </si>
  <si>
    <t>Rates SPU - New
Rates LPU Other - New
Rates LPU by Voltage - New
Rates LPU Energy - New</t>
  </si>
  <si>
    <t>Rates SPU - Current
Rates LPU Other - Current
Rates LPU by Voltage - Current
Rates LPU Energy - Current</t>
  </si>
  <si>
    <t>Generators tariffs are excluded</t>
  </si>
  <si>
    <t>checks</t>
  </si>
  <si>
    <t>RIM total</t>
  </si>
  <si>
    <t>Calculations are based on the average number of days per month:
Ave days per month  = Total number of days in year (365) / months (12)
                                     = 30.416667</t>
  </si>
  <si>
    <t>Note</t>
  </si>
  <si>
    <t>Block 1 kWh</t>
  </si>
  <si>
    <t>Tested &amp; validated by RPM's &amp; super-users</t>
  </si>
  <si>
    <t>Tested &amp; validated by PI team</t>
  </si>
  <si>
    <t>=MONTH(Period)+IF(Selected_Tariff_Category_ID=2, 4, 1)</t>
  </si>
  <si>
    <t>=IF(D30&lt;=EOMONTH(Municipality_Period,-12),YEAR(Municipality_Period)-1,YEAR(Municipality_Period))</t>
  </si>
  <si>
    <t>Range R30</t>
  </si>
  <si>
    <t>Range Q30</t>
  </si>
  <si>
    <t>Range E13</t>
  </si>
  <si>
    <t>2017/18</t>
  </si>
  <si>
    <r>
      <t xml:space="preserve">Update the </t>
    </r>
    <r>
      <rPr>
        <b/>
        <sz val="10"/>
        <rFont val="Century Gothic"/>
        <family val="2"/>
      </rPr>
      <t>New</t>
    </r>
    <r>
      <rPr>
        <sz val="10"/>
        <rFont val="Century Gothic"/>
        <family val="2"/>
      </rPr>
      <t xml:space="preserve"> with 2017/18 rates</t>
    </r>
  </si>
  <si>
    <r>
      <t xml:space="preserve">Update the </t>
    </r>
    <r>
      <rPr>
        <b/>
        <sz val="10"/>
        <rFont val="Century Gothic"/>
        <family val="2"/>
      </rPr>
      <t>Current</t>
    </r>
    <r>
      <rPr>
        <sz val="10"/>
        <rFont val="Century Gothic"/>
        <family val="2"/>
      </rPr>
      <t xml:space="preserve"> with 2016/17 rates</t>
    </r>
  </si>
  <si>
    <t>check</t>
  </si>
  <si>
    <t>Monthly Comparison</t>
  </si>
  <si>
    <t>Inputs</t>
  </si>
  <si>
    <t>Correct the Munic calcs [months showing &amp; calculations for season calcs]</t>
  </si>
  <si>
    <t>2018/19</t>
  </si>
  <si>
    <r>
      <t xml:space="preserve">Update the </t>
    </r>
    <r>
      <rPr>
        <b/>
        <sz val="10"/>
        <rFont val="Century Gothic"/>
        <family val="2"/>
      </rPr>
      <t>New</t>
    </r>
    <r>
      <rPr>
        <sz val="10"/>
        <rFont val="Century Gothic"/>
        <family val="2"/>
      </rPr>
      <t xml:space="preserve"> with 2018/19 rates</t>
    </r>
  </si>
  <si>
    <r>
      <t xml:space="preserve">Update the </t>
    </r>
    <r>
      <rPr>
        <b/>
        <sz val="10"/>
        <rFont val="Century Gothic"/>
        <family val="2"/>
      </rPr>
      <t>Current</t>
    </r>
    <r>
      <rPr>
        <sz val="10"/>
        <rFont val="Century Gothic"/>
        <family val="2"/>
      </rPr>
      <t xml:space="preserve"> with 2017/18 rates</t>
    </r>
  </si>
  <si>
    <t>Dx NCC</t>
  </si>
  <si>
    <t>Network Capacity Charge</t>
  </si>
  <si>
    <t>Lists</t>
  </si>
  <si>
    <t>Update VAT to 15%</t>
  </si>
  <si>
    <t>2019/20</t>
  </si>
  <si>
    <r>
      <t xml:space="preserve">Update the </t>
    </r>
    <r>
      <rPr>
        <b/>
        <sz val="10"/>
        <rFont val="Century Gothic"/>
        <family val="2"/>
      </rPr>
      <t>New</t>
    </r>
    <r>
      <rPr>
        <sz val="10"/>
        <rFont val="Century Gothic"/>
        <family val="2"/>
      </rPr>
      <t xml:space="preserve"> with 2019/20 rates</t>
    </r>
  </si>
  <si>
    <r>
      <t xml:space="preserve">Update the </t>
    </r>
    <r>
      <rPr>
        <b/>
        <sz val="10"/>
        <rFont val="Century Gothic"/>
        <family val="2"/>
      </rPr>
      <t>Current</t>
    </r>
    <r>
      <rPr>
        <sz val="10"/>
        <rFont val="Century Gothic"/>
        <family val="2"/>
      </rPr>
      <t xml:space="preserve"> with 2018/19 rates</t>
    </r>
  </si>
  <si>
    <t>Update Eskom financial year  [Range K7]</t>
  </si>
  <si>
    <t>2020/21</t>
  </si>
  <si>
    <r>
      <t xml:space="preserve">Update the </t>
    </r>
    <r>
      <rPr>
        <b/>
        <sz val="10"/>
        <rFont val="Century Gothic"/>
        <family val="2"/>
      </rPr>
      <t>New</t>
    </r>
    <r>
      <rPr>
        <sz val="10"/>
        <rFont val="Century Gothic"/>
        <family val="2"/>
      </rPr>
      <t xml:space="preserve"> with 2020/21 rates</t>
    </r>
  </si>
  <si>
    <r>
      <t xml:space="preserve">Update the </t>
    </r>
    <r>
      <rPr>
        <b/>
        <sz val="10"/>
        <rFont val="Century Gothic"/>
        <family val="2"/>
      </rPr>
      <t>Current</t>
    </r>
    <r>
      <rPr>
        <sz val="10"/>
        <rFont val="Century Gothic"/>
        <family val="2"/>
      </rPr>
      <t xml:space="preserve"> with 2019/20 rates</t>
    </r>
  </si>
  <si>
    <t>Add Homepower Bulk as LPU tariff (C53, D53, E53, M55)</t>
  </si>
  <si>
    <t>Correct Service Charge revenue - base on 1 account</t>
  </si>
  <si>
    <t>Bill Comparison</t>
  </si>
  <si>
    <t>RTP 2019/20</t>
  </si>
  <si>
    <r>
      <t xml:space="preserve">Update the </t>
    </r>
    <r>
      <rPr>
        <b/>
        <sz val="10"/>
        <rFont val="Century Gothic"/>
        <family val="2"/>
      </rPr>
      <t>New</t>
    </r>
    <r>
      <rPr>
        <sz val="10"/>
        <rFont val="Century Gothic"/>
        <family val="2"/>
      </rPr>
      <t xml:space="preserve"> with RTP 2019/20 rates</t>
    </r>
  </si>
  <si>
    <t>Service charge for RTP is now basaed on POD</t>
  </si>
  <si>
    <t>6.09 - RTP</t>
  </si>
  <si>
    <t>Municflex</t>
  </si>
  <si>
    <t>Municrate 1</t>
  </si>
  <si>
    <t>Municrate 2</t>
  </si>
  <si>
    <t>Municrate 3</t>
  </si>
  <si>
    <t>Municrate 4</t>
  </si>
  <si>
    <t>Municrate</t>
  </si>
  <si>
    <t>Mf</t>
  </si>
  <si>
    <t>Mf01Y</t>
  </si>
  <si>
    <t>Mf02Y</t>
  </si>
  <si>
    <t>Mf03Y</t>
  </si>
  <si>
    <t>Mf04Y</t>
  </si>
  <si>
    <t>Mf11Y</t>
  </si>
  <si>
    <t>Mf12Y</t>
  </si>
  <si>
    <t>Mf13Y</t>
  </si>
  <si>
    <t>Mf14Y</t>
  </si>
  <si>
    <t>Mf21Y</t>
  </si>
  <si>
    <t>Mf22Y</t>
  </si>
  <si>
    <t>Mf23Y</t>
  </si>
  <si>
    <t>Mf24Y</t>
  </si>
  <si>
    <t>Mf31Y</t>
  </si>
  <si>
    <t>Mf32Y</t>
  </si>
  <si>
    <t>Mf33Y</t>
  </si>
  <si>
    <t>Mf34Y</t>
  </si>
  <si>
    <t>Mr1</t>
  </si>
  <si>
    <t>Mr2</t>
  </si>
  <si>
    <t>Mr3</t>
  </si>
  <si>
    <t>Mr4</t>
  </si>
  <si>
    <t>RTP tariff</t>
  </si>
  <si>
    <t>Non Munic</t>
  </si>
  <si>
    <t>Munic</t>
  </si>
  <si>
    <t>Munic RTP Tariff</t>
  </si>
  <si>
    <t>Range G51 &amp; P51
Current tariff = 1 Service account</t>
  </si>
  <si>
    <t>Range H51 &amp; Q51
RTP tariff = X No of PODs</t>
  </si>
  <si>
    <t>Range E79 &amp; P79
Current tariff = 1 Service account</t>
  </si>
  <si>
    <t>Range E78 &amp; P78
RTP tariff = X No of PODs</t>
  </si>
  <si>
    <t>Add RTP tariffs
Row 44 - 48
Range Q52 - AB99</t>
  </si>
  <si>
    <t>Tested &amp; validated by Core Workgroup</t>
  </si>
  <si>
    <t>Send out on</t>
  </si>
  <si>
    <t>Feedback received on</t>
  </si>
  <si>
    <t>GCC</t>
  </si>
  <si>
    <t>Generation Capacity Charge</t>
  </si>
  <si>
    <t>Generation Capacity Charge [R/kVA]</t>
  </si>
  <si>
    <t>Generation capacity charge</t>
  </si>
  <si>
    <t>[R/kVA]</t>
  </si>
  <si>
    <t>Generation capacity charge [R/POD/day]</t>
  </si>
  <si>
    <t>Service charge  [R/POD/day]</t>
  </si>
  <si>
    <t>RTP 2021/22</t>
  </si>
  <si>
    <r>
      <t xml:space="preserve">Update the </t>
    </r>
    <r>
      <rPr>
        <b/>
        <sz val="10"/>
        <rFont val="Century Gothic"/>
        <family val="2"/>
      </rPr>
      <t>New</t>
    </r>
    <r>
      <rPr>
        <sz val="10"/>
        <rFont val="Century Gothic"/>
        <family val="2"/>
      </rPr>
      <t xml:space="preserve"> with RTP 2021/22 rates</t>
    </r>
  </si>
  <si>
    <r>
      <t xml:space="preserve">Update the </t>
    </r>
    <r>
      <rPr>
        <b/>
        <sz val="10"/>
        <rFont val="Century Gothic"/>
        <family val="2"/>
      </rPr>
      <t>Current</t>
    </r>
    <r>
      <rPr>
        <sz val="10"/>
        <rFont val="Century Gothic"/>
        <family val="2"/>
      </rPr>
      <t xml:space="preserve"> with 2021/22 rates</t>
    </r>
  </si>
  <si>
    <t>Add RTP Generation capacity charge</t>
  </si>
  <si>
    <t>Rates LPU by Voltage - New</t>
  </si>
  <si>
    <t>Rates LPU Energy - New</t>
  </si>
  <si>
    <t>Workings High</t>
  </si>
  <si>
    <t>Workings Low</t>
  </si>
  <si>
    <t>Rate table</t>
  </si>
  <si>
    <t>6.11 - RTP</t>
  </si>
  <si>
    <t>Electrification and rural subsidy [c/kWh]</t>
  </si>
  <si>
    <t>RTP 2022/23</t>
  </si>
  <si>
    <r>
      <t xml:space="preserve">Update the </t>
    </r>
    <r>
      <rPr>
        <b/>
        <sz val="10"/>
        <rFont val="Century Gothic"/>
        <family val="2"/>
      </rPr>
      <t>Current</t>
    </r>
    <r>
      <rPr>
        <sz val="10"/>
        <rFont val="Century Gothic"/>
        <family val="2"/>
      </rPr>
      <t xml:space="preserve"> with 2022/23 rates</t>
    </r>
  </si>
  <si>
    <r>
      <t xml:space="preserve">Update the </t>
    </r>
    <r>
      <rPr>
        <b/>
        <sz val="10"/>
        <rFont val="Century Gothic"/>
        <family val="2"/>
      </rPr>
      <t>New</t>
    </r>
    <r>
      <rPr>
        <sz val="10"/>
        <rFont val="Century Gothic"/>
        <family val="2"/>
      </rPr>
      <t xml:space="preserve"> with RTP 2023/24 rates</t>
    </r>
  </si>
  <si>
    <t>6.12 - RTP</t>
  </si>
  <si>
    <t>RTP 2024/25</t>
  </si>
  <si>
    <t>6.13 - RTP</t>
  </si>
  <si>
    <r>
      <t xml:space="preserve">Update the </t>
    </r>
    <r>
      <rPr>
        <b/>
        <sz val="10"/>
        <rFont val="Century Gothic"/>
        <family val="2"/>
      </rPr>
      <t>New</t>
    </r>
    <r>
      <rPr>
        <sz val="10"/>
        <rFont val="Century Gothic"/>
        <family val="2"/>
      </rPr>
      <t xml:space="preserve"> with RTP 2024/25 rates</t>
    </r>
  </si>
  <si>
    <r>
      <t xml:space="preserve">Update the </t>
    </r>
    <r>
      <rPr>
        <b/>
        <sz val="10"/>
        <rFont val="Century Gothic"/>
        <family val="2"/>
      </rPr>
      <t>Current</t>
    </r>
    <r>
      <rPr>
        <sz val="10"/>
        <rFont val="Century Gothic"/>
        <family val="2"/>
      </rPr>
      <t xml:space="preserve"> with 2024/25 rates</t>
    </r>
  </si>
  <si>
    <t>Add RTP Legacy charge</t>
  </si>
  <si>
    <t>Include Homeflex</t>
  </si>
  <si>
    <t>Legacy</t>
  </si>
  <si>
    <t>Legacy charge</t>
  </si>
  <si>
    <t>Legacy charge [c/kWh]</t>
  </si>
  <si>
    <t>Homeflex 1</t>
  </si>
  <si>
    <t>Homeflex 2</t>
  </si>
  <si>
    <t>Homeflex 3</t>
  </si>
  <si>
    <t>Homeflex 4</t>
  </si>
  <si>
    <t>HF1</t>
  </si>
  <si>
    <t>HF2</t>
  </si>
  <si>
    <t>HF3</t>
  </si>
  <si>
    <t>HF4</t>
  </si>
  <si>
    <t>Homeflex</t>
  </si>
  <si>
    <t>Network demand charge, Ancillary service charge and retail [c/kWh]</t>
  </si>
  <si>
    <t>Network demand charge, Ancillary service charge and retail</t>
  </si>
  <si>
    <t xml:space="preserve">Network demand charge, Ancillary service charge and retail </t>
  </si>
  <si>
    <t xml:space="preserve">High </t>
  </si>
  <si>
    <t>Low</t>
  </si>
  <si>
    <t>High</t>
  </si>
  <si>
    <t>Weekday</t>
  </si>
  <si>
    <t>Saturday</t>
  </si>
  <si>
    <t>Sunday</t>
  </si>
  <si>
    <t>TARIFF LIST</t>
  </si>
  <si>
    <t>URBAN</t>
  </si>
  <si>
    <t>RURAL</t>
  </si>
  <si>
    <t>Yes</t>
  </si>
  <si>
    <t>&lt; 500 V</t>
  </si>
  <si>
    <t>No</t>
  </si>
  <si>
    <t>≥ 500 V &amp; &lt; 66 kV</t>
  </si>
  <si>
    <t>Day/Month</t>
  </si>
  <si>
    <t>PERIOD</t>
  </si>
  <si>
    <t>PH</t>
  </si>
  <si>
    <t>Summer profile</t>
  </si>
  <si>
    <t>Current</t>
  </si>
  <si>
    <t>Off peak</t>
  </si>
  <si>
    <t>Winter profile</t>
  </si>
  <si>
    <t>NMD</t>
  </si>
  <si>
    <t>Please enter your consumption data in the table below</t>
  </si>
  <si>
    <t>MEGAFLEX</t>
  </si>
  <si>
    <t>MINIFLEX</t>
  </si>
  <si>
    <t>RURAFLEX</t>
  </si>
  <si>
    <t>Proposed</t>
  </si>
  <si>
    <t>Include hourly consumption input option</t>
  </si>
  <si>
    <t>6.14 - RTP</t>
  </si>
  <si>
    <t>Included  "HOURLY DATA"  sheet</t>
  </si>
  <si>
    <t>Monthly inputs</t>
  </si>
  <si>
    <t>RTP</t>
  </si>
  <si>
    <t>Maximum demand</t>
  </si>
  <si>
    <t>HI</t>
  </si>
  <si>
    <t>LO</t>
  </si>
  <si>
    <t>SUMMARY OF ACTUAL DATA FROM HOURLY DATA WORKSHEET</t>
  </si>
  <si>
    <t xml:space="preserve">Excess kVAr </t>
  </si>
  <si>
    <t>Transflex 1</t>
  </si>
  <si>
    <t>Transflex 2</t>
  </si>
  <si>
    <t>Transflex</t>
  </si>
  <si>
    <t>T1</t>
  </si>
  <si>
    <t>T2</t>
  </si>
  <si>
    <t>T101N</t>
  </si>
  <si>
    <t>T102N</t>
  </si>
  <si>
    <t>T103N</t>
  </si>
  <si>
    <t>T104N</t>
  </si>
  <si>
    <t>Calculation</t>
  </si>
  <si>
    <t>Ruraflex  &amp; Nightsaverural only</t>
  </si>
  <si>
    <t>Public holiday</t>
  </si>
  <si>
    <t>TOU Summary</t>
  </si>
  <si>
    <t xml:space="preserve">Peak </t>
  </si>
  <si>
    <t>Std</t>
  </si>
  <si>
    <t>Off-peak</t>
  </si>
  <si>
    <t>Public holidays</t>
  </si>
  <si>
    <t xml:space="preserve">Normal day </t>
  </si>
  <si>
    <t xml:space="preserve">Period </t>
  </si>
  <si>
    <t>Hourly data (0-23)</t>
  </si>
  <si>
    <t xml:space="preserve">Sunday </t>
  </si>
  <si>
    <t xml:space="preserve">Saturday </t>
  </si>
  <si>
    <t>NIGHTSAVE URBAN LARGE</t>
  </si>
  <si>
    <t>NIGHTSAVE URBAN SMALL</t>
  </si>
  <si>
    <t>NIGHTSAVE RURAL</t>
  </si>
  <si>
    <t>Replace the hourly data in orange columns</t>
  </si>
  <si>
    <t>Use HOURLY DATA?</t>
  </si>
  <si>
    <r>
      <t xml:space="preserve">Update the </t>
    </r>
    <r>
      <rPr>
        <b/>
        <sz val="10"/>
        <rFont val="Century Gothic"/>
        <family val="2"/>
      </rPr>
      <t>Current</t>
    </r>
    <r>
      <rPr>
        <sz val="10"/>
        <rFont val="Century Gothic"/>
        <family val="2"/>
      </rPr>
      <t xml:space="preserve"> with 2025/26 rates</t>
    </r>
  </si>
  <si>
    <t>2025/26</t>
  </si>
  <si>
    <t>Previous TOU - hourly data</t>
  </si>
  <si>
    <t>Current TOU - hourly data</t>
  </si>
  <si>
    <t>Previous TOU actuals from HOURLY DATA worksheet</t>
  </si>
  <si>
    <t>Consumption Data Summary - Previous TOU actuals from HOURLY DATA worksheet</t>
  </si>
  <si>
    <t>Current TOU actuals from HOURLY DATA worksheet</t>
  </si>
  <si>
    <t xml:space="preserve">Consumption Data Summary - Current TOU actuals from HOURLY DATA worksheet </t>
  </si>
  <si>
    <t>Previous TOU periods</t>
  </si>
  <si>
    <t>Current TOU periods</t>
  </si>
  <si>
    <t>Current TOU</t>
  </si>
  <si>
    <t>Previous TOU</t>
  </si>
  <si>
    <r>
      <t xml:space="preserve">Update the </t>
    </r>
    <r>
      <rPr>
        <b/>
        <sz val="10"/>
        <rFont val="Century Gothic"/>
        <family val="2"/>
      </rPr>
      <t>New</t>
    </r>
    <r>
      <rPr>
        <sz val="10"/>
        <rFont val="Century Gothic"/>
        <family val="2"/>
      </rPr>
      <t xml:space="preserve"> with 2025/26 rates</t>
    </r>
  </si>
  <si>
    <t>Previous TOU PERIOD</t>
  </si>
  <si>
    <t>Nightsave Urban</t>
  </si>
  <si>
    <t>NL01N</t>
  </si>
  <si>
    <t>NL02N</t>
  </si>
  <si>
    <t>NL03N</t>
  </si>
  <si>
    <t>NL04N</t>
  </si>
  <si>
    <t>NL11N</t>
  </si>
  <si>
    <t>NL12N</t>
  </si>
  <si>
    <t>NL13N</t>
  </si>
  <si>
    <t>NL14N</t>
  </si>
  <si>
    <t>NL21N</t>
  </si>
  <si>
    <t>NL22N</t>
  </si>
  <si>
    <t>NL23N</t>
  </si>
  <si>
    <t>NL24N</t>
  </si>
  <si>
    <t>NL31N</t>
  </si>
  <si>
    <t>NL32N</t>
  </si>
  <si>
    <t>NL33N</t>
  </si>
  <si>
    <t>NL34N</t>
  </si>
  <si>
    <t>Select previous tariff</t>
  </si>
  <si>
    <t>Included previous tariff input</t>
  </si>
  <si>
    <t>Tariff Comparison</t>
  </si>
  <si>
    <t>Updated sheet to show previous tariff</t>
  </si>
  <si>
    <t xml:space="preserve">  for 2025/26 </t>
  </si>
  <si>
    <t xml:space="preserve"> for 2024/25 and </t>
  </si>
  <si>
    <t>Updated sheet to align with input sheet previous tariff selection</t>
  </si>
  <si>
    <t>2026/27</t>
  </si>
  <si>
    <r>
      <t xml:space="preserve">Update the </t>
    </r>
    <r>
      <rPr>
        <b/>
        <sz val="10"/>
        <rFont val="Century Gothic"/>
        <family val="2"/>
      </rPr>
      <t>New</t>
    </r>
    <r>
      <rPr>
        <sz val="10"/>
        <rFont val="Century Gothic"/>
        <family val="2"/>
      </rPr>
      <t xml:space="preserve"> with 2026/27 rates</t>
    </r>
  </si>
  <si>
    <r>
      <t xml:space="preserve">Update the </t>
    </r>
    <r>
      <rPr>
        <b/>
        <sz val="10"/>
        <rFont val="Century Gothic"/>
        <family val="2"/>
      </rPr>
      <t>Current</t>
    </r>
    <r>
      <rPr>
        <sz val="10"/>
        <rFont val="Century Gothic"/>
        <family val="2"/>
      </rPr>
      <t xml:space="preserve"> with 2023/24 rates</t>
    </r>
  </si>
  <si>
    <t>This worksheet can be used to insert hourly data to give a more accurate view of the TOU impact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</si>
</sst>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3" formatCode="_-* #,##0.00_-;\-* #,##0.00_-;_-* &quot;-&quot;??_-;_-@_-"/>
    <numFmt numFmtId="164" formatCode="&quot;R&quot;\ #,##0;[Red]&quot;R&quot;\ \-#,##0"/>
    <numFmt numFmtId="165" formatCode="&quot;R&quot;\ #,##0.00;[Red]&quot;R&quot;\ \-#,##0.00"/>
    <numFmt numFmtId="166" formatCode="_ &quot;R&quot;\ * #,##0_ ;_ &quot;R&quot;\ * \-#,##0_ ;_ &quot;R&quot;\ * &quot;-&quot;_ ;_ @_ "/>
    <numFmt numFmtId="167" formatCode="_ * #,##0.00_ ;_ * \-#,##0.00_ ;_ * &quot;-&quot;??_ ;_ @_ "/>
    <numFmt numFmtId="168" formatCode="#,##0.0"/>
    <numFmt numFmtId="169" formatCode="#,##0.0000"/>
    <numFmt numFmtId="170" formatCode="_(* #,##0_);_(* \(#,##0\);_(* &quot;-&quot;_);_(@_)"/>
    <numFmt numFmtId="171" formatCode="0.0000%"/>
    <numFmt numFmtId="172" formatCode="0.0%"/>
    <numFmt numFmtId="173" formatCode="_(* #,##0.00_);_(* \(#,##0.00\);_(* &quot;-&quot;_);_(@_)"/>
    <numFmt numFmtId="174" formatCode="mmm\ yyyy"/>
    <numFmt numFmtId="175" formatCode="&quot;R&quot;\ #,##0"/>
    <numFmt numFmtId="176" formatCode="_(* #,##0.00_);_(* \(#,##0.00\);_(* &quot;-&quot;??_);_(@_)"/>
    <numFmt numFmtId="177" formatCode="_ * #,##0_ ;_ * \-#,##0_ ;_ * &quot;-&quot;??_ ;_ @_ "/>
    <numFmt numFmtId="178" formatCode="_-* #,##0_-;\-* #,##0_-;_-* &quot;-&quot;??_-;_-@_-"/>
  </numFmts>
  <fonts count="75">
    <font>
      <sz val="9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color theme="7" tint="-0.24994659260841701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0"/>
      <name val="Cambria"/>
      <family val="1"/>
      <scheme val="major"/>
    </font>
    <font>
      <i/>
      <sz val="9"/>
      <name val="Cambria"/>
      <family val="1"/>
      <scheme val="major"/>
    </font>
    <font>
      <sz val="9"/>
      <color theme="5"/>
      <name val="Calibri"/>
      <family val="2"/>
      <scheme val="minor"/>
    </font>
    <font>
      <sz val="9"/>
      <color theme="7" tint="0.3999755851924192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9"/>
      <color theme="7" tint="0.39994506668294322"/>
      <name val="Calibri"/>
      <family val="2"/>
      <scheme val="minor"/>
    </font>
    <font>
      <b/>
      <sz val="10"/>
      <color theme="0"/>
      <name val="Cambria"/>
      <family val="1"/>
      <scheme val="major"/>
    </font>
    <font>
      <b/>
      <sz val="9"/>
      <name val="Cambria"/>
      <family val="1"/>
      <scheme val="major"/>
    </font>
    <font>
      <b/>
      <sz val="12"/>
      <color theme="0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22"/>
      <name val="Helvetica-Narrow"/>
      <family val="2"/>
    </font>
    <font>
      <i/>
      <sz val="9"/>
      <name val="Calibri"/>
      <family val="2"/>
      <scheme val="minor"/>
    </font>
    <font>
      <b/>
      <sz val="9"/>
      <color theme="7" tint="0.39994506668294322"/>
      <name val="Calibri"/>
      <family val="2"/>
      <scheme val="minor"/>
    </font>
    <font>
      <sz val="9"/>
      <color theme="5" tint="0.39994506668294322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5" tint="0.39994506668294322"/>
      <name val="Calibri"/>
      <family val="2"/>
      <scheme val="minor"/>
    </font>
    <font>
      <sz val="10"/>
      <color theme="7" tint="-0.24994659260841701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b/>
      <sz val="10"/>
      <name val="Cambria"/>
      <family val="1"/>
      <scheme val="major"/>
    </font>
    <font>
      <sz val="10"/>
      <color theme="7" tint="0.39997558519241921"/>
      <name val="Calibri"/>
      <family val="2"/>
      <scheme val="minor"/>
    </font>
    <font>
      <sz val="10"/>
      <name val="Century Gothic"/>
      <family val="2"/>
    </font>
    <font>
      <b/>
      <sz val="10"/>
      <name val="Wingdings 3"/>
      <family val="1"/>
      <charset val="2"/>
    </font>
    <font>
      <sz val="10"/>
      <color indexed="8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sz val="10"/>
      <color theme="7" tint="0.39994506668294322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3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i/>
      <sz val="9"/>
      <color theme="0" tint="-0.499984740745262"/>
      <name val="Calibri"/>
      <family val="2"/>
      <scheme val="minor"/>
    </font>
    <font>
      <b/>
      <i/>
      <sz val="14"/>
      <name val="Century Gothic"/>
      <family val="2"/>
    </font>
    <font>
      <b/>
      <sz val="10"/>
      <name val="Century Gothic"/>
      <family val="2"/>
    </font>
    <font>
      <b/>
      <i/>
      <u/>
      <sz val="11"/>
      <name val="Century Gothic"/>
      <family val="2"/>
    </font>
    <font>
      <sz val="11"/>
      <name val="Century Gothic"/>
      <family val="2"/>
    </font>
    <font>
      <b/>
      <i/>
      <sz val="9"/>
      <color rgb="FFFF0000"/>
      <name val="Calibri"/>
      <family val="2"/>
      <scheme val="minor"/>
    </font>
    <font>
      <b/>
      <sz val="10"/>
      <color theme="0" tint="-0.34998626667073579"/>
      <name val="Calibri"/>
      <family val="2"/>
      <scheme val="minor"/>
    </font>
    <font>
      <sz val="9"/>
      <color theme="0" tint="-0.249977111117893"/>
      <name val="Calibri"/>
      <family val="2"/>
      <scheme val="minor"/>
    </font>
    <font>
      <b/>
      <sz val="10"/>
      <name val="Arial Unicode MS"/>
      <family val="2"/>
    </font>
    <font>
      <sz val="10"/>
      <name val="Arial Unicode MS"/>
      <family val="2"/>
    </font>
    <font>
      <sz val="10"/>
      <color theme="7" tint="-0.24994659260841701"/>
      <name val="Arial Unicode MS"/>
      <family val="2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sz val="10"/>
      <color theme="7" tint="-0.2499465926084170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rgb="FF7030A0"/>
      <name val="Arial"/>
      <family val="2"/>
    </font>
    <font>
      <b/>
      <sz val="10"/>
      <color theme="1"/>
      <name val="Arial"/>
      <family val="2"/>
    </font>
    <font>
      <b/>
      <sz val="10"/>
      <color rgb="FF003896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9"/>
      <color theme="0" tint="-0.3499862666707357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color theme="0"/>
      <name val="Arial"/>
      <family val="2"/>
    </font>
    <font>
      <b/>
      <sz val="9"/>
      <color theme="6" tint="0.79998168889431442"/>
      <name val="Cambria"/>
      <family val="1"/>
      <scheme val="major"/>
    </font>
    <font>
      <sz val="10"/>
      <color theme="7" tint="-0.2499465926084170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42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97A00"/>
        <bgColor indexed="64"/>
      </patternFill>
    </fill>
    <fill>
      <patternFill patternType="solid">
        <fgColor theme="0" tint="-0.14999847407452621"/>
        <bgColor indexed="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94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ck">
        <color theme="3"/>
      </bottom>
      <diagonal/>
    </border>
    <border>
      <left/>
      <right/>
      <top/>
      <bottom style="medium">
        <color theme="7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/>
      <top/>
      <bottom style="thin">
        <color theme="1" tint="0.499984740745262"/>
      </bottom>
      <diagonal/>
    </border>
    <border>
      <left/>
      <right/>
      <top style="thin">
        <color theme="0" tint="-0.24994659260841701"/>
      </top>
      <bottom style="thin">
        <color theme="1" tint="0.499984740745262"/>
      </bottom>
      <diagonal/>
    </border>
    <border>
      <left style="thin">
        <color theme="0" tint="-0.34998626667073579"/>
      </left>
      <right/>
      <top/>
      <bottom/>
      <diagonal/>
    </border>
    <border>
      <left/>
      <right/>
      <top style="thick">
        <color theme="3"/>
      </top>
      <bottom/>
      <diagonal/>
    </border>
    <border>
      <left/>
      <right style="thin">
        <color theme="3"/>
      </right>
      <top/>
      <bottom/>
      <diagonal/>
    </border>
    <border>
      <left style="thin">
        <color theme="3"/>
      </left>
      <right/>
      <top/>
      <bottom/>
      <diagonal/>
    </border>
    <border>
      <left style="thin">
        <color theme="3"/>
      </left>
      <right/>
      <top style="thick">
        <color theme="3"/>
      </top>
      <bottom/>
      <diagonal/>
    </border>
    <border>
      <left/>
      <right style="thin">
        <color theme="3"/>
      </right>
      <top style="thick">
        <color theme="3"/>
      </top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/>
      <right/>
      <top/>
      <bottom style="thin">
        <color theme="3"/>
      </bottom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 style="thin">
        <color theme="3"/>
      </left>
      <right style="thin">
        <color theme="3"/>
      </right>
      <top/>
      <bottom/>
      <diagonal/>
    </border>
    <border>
      <left/>
      <right style="thin">
        <color theme="3"/>
      </right>
      <top/>
      <bottom style="hair">
        <color theme="3"/>
      </bottom>
      <diagonal/>
    </border>
    <border>
      <left/>
      <right/>
      <top/>
      <bottom style="hair">
        <color theme="3"/>
      </bottom>
      <diagonal/>
    </border>
    <border>
      <left style="thin">
        <color theme="3"/>
      </left>
      <right style="thin">
        <color theme="3"/>
      </right>
      <top/>
      <bottom style="hair">
        <color theme="3"/>
      </bottom>
      <diagonal/>
    </border>
    <border>
      <left/>
      <right/>
      <top style="hair">
        <color theme="3"/>
      </top>
      <bottom style="hair">
        <color theme="3"/>
      </bottom>
      <diagonal/>
    </border>
    <border>
      <left/>
      <right style="thin">
        <color theme="3"/>
      </right>
      <top style="hair">
        <color theme="3"/>
      </top>
      <bottom style="hair">
        <color theme="3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theme="3"/>
      </left>
      <right style="thin">
        <color theme="3"/>
      </right>
      <top style="hair">
        <color theme="3"/>
      </top>
      <bottom/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  <border>
      <left/>
      <right/>
      <top style="medium">
        <color theme="3"/>
      </top>
      <bottom/>
      <diagonal/>
    </border>
    <border>
      <left style="thin">
        <color theme="3"/>
      </left>
      <right style="thin">
        <color theme="3"/>
      </right>
      <top style="medium">
        <color theme="3"/>
      </top>
      <bottom style="thin">
        <color theme="3"/>
      </bottom>
      <diagonal/>
    </border>
    <border>
      <left/>
      <right style="thin">
        <color theme="3"/>
      </right>
      <top style="hair">
        <color theme="3"/>
      </top>
      <bottom/>
      <diagonal/>
    </border>
    <border>
      <left style="thin">
        <color theme="3"/>
      </left>
      <right/>
      <top style="medium">
        <color theme="3"/>
      </top>
      <bottom style="medium">
        <color theme="3"/>
      </bottom>
      <diagonal/>
    </border>
    <border>
      <left style="thin">
        <color theme="3"/>
      </left>
      <right/>
      <top/>
      <bottom style="hair">
        <color theme="3"/>
      </bottom>
      <diagonal/>
    </border>
    <border>
      <left style="thin">
        <color theme="3"/>
      </left>
      <right/>
      <top style="hair">
        <color theme="3"/>
      </top>
      <bottom style="hair">
        <color theme="3"/>
      </bottom>
      <diagonal/>
    </border>
    <border>
      <left/>
      <right style="thin">
        <color theme="3"/>
      </right>
      <top/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3"/>
      </left>
      <right/>
      <top style="hair">
        <color theme="3"/>
      </top>
      <bottom style="thin">
        <color theme="3"/>
      </bottom>
      <diagonal/>
    </border>
    <border>
      <left/>
      <right style="thin">
        <color theme="3"/>
      </right>
      <top style="hair">
        <color theme="3"/>
      </top>
      <bottom style="thin">
        <color theme="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ck">
        <color theme="3"/>
      </bottom>
      <diagonal/>
    </border>
    <border>
      <left/>
      <right style="thin">
        <color auto="1"/>
      </right>
      <top/>
      <bottom style="thick">
        <color theme="3"/>
      </bottom>
      <diagonal/>
    </border>
    <border>
      <left/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53">
    <xf numFmtId="0" fontId="0" fillId="0" borderId="0"/>
    <xf numFmtId="0" fontId="13" fillId="4" borderId="0"/>
    <xf numFmtId="0" fontId="11" fillId="5" borderId="0"/>
    <xf numFmtId="0" fontId="12" fillId="6" borderId="0"/>
    <xf numFmtId="0" fontId="12" fillId="0" borderId="6"/>
    <xf numFmtId="10" fontId="1" fillId="0" borderId="0" applyProtection="0">
      <alignment horizontal="right"/>
    </xf>
    <xf numFmtId="168" fontId="1" fillId="0" borderId="0" applyFill="0" applyBorder="0" applyProtection="0">
      <alignment horizontal="right"/>
    </xf>
    <xf numFmtId="4" fontId="1" fillId="0" borderId="0" applyFill="0" applyBorder="0" applyProtection="0">
      <alignment horizontal="right"/>
    </xf>
    <xf numFmtId="169" fontId="1" fillId="0" borderId="0">
      <alignment horizontal="right"/>
    </xf>
    <xf numFmtId="170" fontId="1" fillId="0" borderId="0" applyFill="0" applyBorder="0" applyProtection="0">
      <alignment horizontal="right"/>
    </xf>
    <xf numFmtId="0" fontId="2" fillId="0" borderId="1"/>
    <xf numFmtId="15" fontId="3" fillId="0" borderId="0"/>
    <xf numFmtId="17" fontId="4" fillId="2" borderId="2"/>
    <xf numFmtId="0" fontId="5" fillId="0" borderId="0" applyAlignment="0"/>
    <xf numFmtId="10" fontId="2" fillId="3" borderId="1">
      <alignment horizontal="right"/>
      <protection locked="0"/>
    </xf>
    <xf numFmtId="4" fontId="2" fillId="3" borderId="1">
      <alignment horizontal="right"/>
      <protection locked="0"/>
    </xf>
    <xf numFmtId="169" fontId="2" fillId="3" borderId="1">
      <alignment horizontal="right"/>
      <protection locked="0"/>
    </xf>
    <xf numFmtId="171" fontId="2" fillId="3" borderId="1">
      <alignment horizontal="right"/>
      <protection locked="0"/>
    </xf>
    <xf numFmtId="10" fontId="2" fillId="0" borderId="1">
      <alignment horizontal="right"/>
      <protection locked="0"/>
    </xf>
    <xf numFmtId="4" fontId="2" fillId="0" borderId="1">
      <alignment horizontal="right"/>
      <protection locked="0"/>
    </xf>
    <xf numFmtId="169" fontId="2" fillId="0" borderId="1">
      <alignment horizontal="right"/>
      <protection locked="0"/>
    </xf>
    <xf numFmtId="170" fontId="2" fillId="0" borderId="1">
      <alignment horizontal="right"/>
      <protection locked="0"/>
    </xf>
    <xf numFmtId="15" fontId="2" fillId="3" borderId="1">
      <protection locked="0"/>
    </xf>
    <xf numFmtId="170" fontId="2" fillId="3" borderId="1">
      <alignment horizontal="right"/>
      <protection locked="0"/>
    </xf>
    <xf numFmtId="0" fontId="2" fillId="3" borderId="1">
      <protection locked="0"/>
    </xf>
    <xf numFmtId="4" fontId="6" fillId="0" borderId="1">
      <alignment horizontal="right"/>
      <protection locked="0"/>
    </xf>
    <xf numFmtId="170" fontId="19" fillId="0" borderId="1">
      <alignment horizontal="right"/>
      <protection locked="0"/>
    </xf>
    <xf numFmtId="0" fontId="7" fillId="0" borderId="0">
      <protection locked="0"/>
    </xf>
    <xf numFmtId="10" fontId="8" fillId="0" borderId="3"/>
    <xf numFmtId="4" fontId="8" fillId="0" borderId="3"/>
    <xf numFmtId="0" fontId="8" fillId="0" borderId="3"/>
    <xf numFmtId="170" fontId="9" fillId="0" borderId="3">
      <alignment horizontal="right"/>
    </xf>
    <xf numFmtId="10" fontId="8" fillId="0" borderId="4"/>
    <xf numFmtId="4" fontId="9" fillId="0" borderId="4">
      <alignment horizontal="right"/>
    </xf>
    <xf numFmtId="0" fontId="8" fillId="0" borderId="4">
      <alignment horizontal="left"/>
    </xf>
    <xf numFmtId="170" fontId="9" fillId="0" borderId="4">
      <alignment horizontal="right"/>
    </xf>
    <xf numFmtId="172" fontId="8" fillId="0" borderId="5"/>
    <xf numFmtId="173" fontId="9" fillId="0" borderId="5">
      <alignment horizontal="right"/>
    </xf>
    <xf numFmtId="0" fontId="8" fillId="0" borderId="5">
      <alignment horizontal="left"/>
    </xf>
    <xf numFmtId="170" fontId="9" fillId="0" borderId="5">
      <alignment horizontal="right"/>
    </xf>
    <xf numFmtId="0" fontId="10" fillId="0" borderId="0" applyBorder="0">
      <alignment horizontal="left" indent="1"/>
    </xf>
    <xf numFmtId="0" fontId="16" fillId="0" borderId="0" applyNumberFormat="0" applyProtection="0"/>
    <xf numFmtId="166" fontId="1" fillId="0" borderId="0" applyFill="0" applyBorder="0" applyProtection="0">
      <alignment horizontal="right"/>
    </xf>
    <xf numFmtId="166" fontId="9" fillId="0" borderId="3">
      <alignment horizontal="right"/>
    </xf>
    <xf numFmtId="166" fontId="9" fillId="0" borderId="4">
      <alignment horizontal="right"/>
    </xf>
    <xf numFmtId="43" fontId="3" fillId="0" borderId="0" applyFont="0" applyFill="0" applyBorder="0" applyAlignment="0" applyProtection="0"/>
    <xf numFmtId="0" fontId="57" fillId="0" borderId="0"/>
    <xf numFmtId="176" fontId="58" fillId="0" borderId="0" applyFont="0" applyFill="0" applyBorder="0" applyAlignment="0" applyProtection="0"/>
    <xf numFmtId="0" fontId="60" fillId="0" borderId="0"/>
    <xf numFmtId="0" fontId="59" fillId="19" borderId="0" applyNumberFormat="0" applyBorder="0" applyAlignment="0" applyProtection="0"/>
    <xf numFmtId="0" fontId="58" fillId="0" borderId="0"/>
    <xf numFmtId="43" fontId="58" fillId="0" borderId="0" applyFont="0" applyFill="0" applyBorder="0" applyAlignment="0" applyProtection="0"/>
    <xf numFmtId="9" fontId="58" fillId="0" borderId="0" applyFont="0" applyFill="0" applyBorder="0" applyAlignment="0" applyProtection="0"/>
  </cellStyleXfs>
  <cellXfs count="465">
    <xf numFmtId="0" fontId="0" fillId="0" borderId="0" xfId="0"/>
    <xf numFmtId="0" fontId="8" fillId="0" borderId="0" xfId="0" applyFont="1" applyAlignment="1">
      <alignment horizontal="center" vertical="center" wrapText="1"/>
    </xf>
    <xf numFmtId="0" fontId="13" fillId="4" borderId="0" xfId="1"/>
    <xf numFmtId="0" fontId="8" fillId="0" borderId="0" xfId="0" applyFont="1"/>
    <xf numFmtId="170" fontId="2" fillId="3" borderId="1" xfId="23">
      <alignment horizontal="right"/>
      <protection locked="0"/>
    </xf>
    <xf numFmtId="170" fontId="1" fillId="0" borderId="0" xfId="9">
      <alignment horizontal="right"/>
    </xf>
    <xf numFmtId="170" fontId="9" fillId="0" borderId="4" xfId="35">
      <alignment horizontal="right"/>
    </xf>
    <xf numFmtId="0" fontId="8" fillId="0" borderId="4" xfId="34">
      <alignment horizontal="left"/>
    </xf>
    <xf numFmtId="0" fontId="12" fillId="0" borderId="6" xfId="4"/>
    <xf numFmtId="0" fontId="2" fillId="3" borderId="1" xfId="24">
      <protection locked="0"/>
    </xf>
    <xf numFmtId="0" fontId="8" fillId="0" borderId="7" xfId="38" applyBorder="1">
      <alignment horizontal="left"/>
    </xf>
    <xf numFmtId="0" fontId="7" fillId="0" borderId="0" xfId="27" applyAlignment="1">
      <alignment horizontal="left" indent="2"/>
      <protection locked="0"/>
    </xf>
    <xf numFmtId="0" fontId="0" fillId="0" borderId="0" xfId="0" applyAlignment="1">
      <alignment horizontal="left" indent="2"/>
    </xf>
    <xf numFmtId="0" fontId="0" fillId="0" borderId="7" xfId="0" applyBorder="1"/>
    <xf numFmtId="0" fontId="10" fillId="0" borderId="7" xfId="4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8" fillId="0" borderId="11" xfId="0" applyFont="1" applyBorder="1" applyAlignment="1">
      <alignment horizontal="centerContinuous"/>
    </xf>
    <xf numFmtId="0" fontId="0" fillId="0" borderId="12" xfId="0" applyBorder="1" applyAlignment="1">
      <alignment horizontal="centerContinuous"/>
    </xf>
    <xf numFmtId="0" fontId="0" fillId="0" borderId="13" xfId="0" applyBorder="1" applyAlignment="1">
      <alignment horizontal="centerContinuous"/>
    </xf>
    <xf numFmtId="0" fontId="8" fillId="0" borderId="16" xfId="0" applyFont="1" applyBorder="1" applyAlignment="1">
      <alignment horizontal="center" vertical="center" wrapText="1"/>
    </xf>
    <xf numFmtId="0" fontId="0" fillId="0" borderId="12" xfId="0" applyBorder="1"/>
    <xf numFmtId="0" fontId="12" fillId="6" borderId="0" xfId="3"/>
    <xf numFmtId="0" fontId="12" fillId="6" borderId="0" xfId="3" applyAlignment="1">
      <alignment horizontal="center" vertical="center" wrapText="1"/>
    </xf>
    <xf numFmtId="0" fontId="12" fillId="6" borderId="0" xfId="3" applyAlignment="1">
      <alignment vertical="center"/>
    </xf>
    <xf numFmtId="4" fontId="1" fillId="0" borderId="0" xfId="7">
      <alignment horizontal="right"/>
    </xf>
    <xf numFmtId="0" fontId="8" fillId="0" borderId="8" xfId="0" applyFont="1" applyBorder="1"/>
    <xf numFmtId="0" fontId="0" fillId="0" borderId="0" xfId="0" applyAlignment="1">
      <alignment horizontal="left"/>
    </xf>
    <xf numFmtId="0" fontId="8" fillId="0" borderId="16" xfId="0" applyFont="1" applyBorder="1" applyAlignment="1">
      <alignment horizontal="centerContinuous"/>
    </xf>
    <xf numFmtId="0" fontId="8" fillId="0" borderId="8" xfId="0" applyFont="1" applyBorder="1" applyAlignment="1">
      <alignment horizontal="centerContinuous"/>
    </xf>
    <xf numFmtId="0" fontId="0" fillId="0" borderId="10" xfId="0" applyBorder="1" applyAlignment="1">
      <alignment horizontal="centerContinuous"/>
    </xf>
    <xf numFmtId="0" fontId="10" fillId="0" borderId="0" xfId="40">
      <alignment horizontal="left" indent="1"/>
    </xf>
    <xf numFmtId="170" fontId="0" fillId="0" borderId="0" xfId="0" applyNumberFormat="1"/>
    <xf numFmtId="10" fontId="1" fillId="0" borderId="0" xfId="5">
      <alignment horizontal="right"/>
    </xf>
    <xf numFmtId="0" fontId="11" fillId="5" borderId="0" xfId="2"/>
    <xf numFmtId="0" fontId="8" fillId="0" borderId="3" xfId="30"/>
    <xf numFmtId="10" fontId="8" fillId="0" borderId="4" xfId="32"/>
    <xf numFmtId="170" fontId="9" fillId="0" borderId="3" xfId="31">
      <alignment horizontal="right"/>
    </xf>
    <xf numFmtId="10" fontId="8" fillId="0" borderId="3" xfId="28"/>
    <xf numFmtId="9" fontId="0" fillId="0" borderId="0" xfId="0" applyNumberFormat="1"/>
    <xf numFmtId="170" fontId="9" fillId="0" borderId="0" xfId="35" applyBorder="1">
      <alignment horizontal="right"/>
    </xf>
    <xf numFmtId="0" fontId="13" fillId="4" borderId="0" xfId="1" applyAlignment="1">
      <alignment horizontal="right"/>
    </xf>
    <xf numFmtId="4" fontId="1" fillId="0" borderId="0" xfId="7" applyFill="1">
      <alignment horizontal="right"/>
    </xf>
    <xf numFmtId="0" fontId="11" fillId="5" borderId="0" xfId="2" applyAlignment="1">
      <alignment horizontal="center" vertical="center" wrapText="1"/>
    </xf>
    <xf numFmtId="0" fontId="11" fillId="5" borderId="0" xfId="2" applyAlignment="1">
      <alignment vertical="center"/>
    </xf>
    <xf numFmtId="167" fontId="8" fillId="0" borderId="0" xfId="0" applyNumberFormat="1" applyFont="1"/>
    <xf numFmtId="10" fontId="9" fillId="0" borderId="0" xfId="5" applyFont="1">
      <alignment horizontal="right"/>
    </xf>
    <xf numFmtId="0" fontId="0" fillId="0" borderId="0" xfId="0" applyAlignment="1">
      <alignment vertical="center"/>
    </xf>
    <xf numFmtId="0" fontId="7" fillId="0" borderId="0" xfId="27" applyAlignment="1">
      <alignment horizontal="left" vertical="center"/>
      <protection locked="0"/>
    </xf>
    <xf numFmtId="0" fontId="7" fillId="0" borderId="0" xfId="27" applyAlignment="1">
      <alignment horizontal="left" vertical="center" indent="2"/>
      <protection locked="0"/>
    </xf>
    <xf numFmtId="0" fontId="0" fillId="9" borderId="0" xfId="0" applyFill="1"/>
    <xf numFmtId="10" fontId="1" fillId="9" borderId="0" xfId="5" applyFill="1">
      <alignment horizontal="right"/>
    </xf>
    <xf numFmtId="10" fontId="8" fillId="9" borderId="4" xfId="32" applyFill="1"/>
    <xf numFmtId="167" fontId="8" fillId="9" borderId="0" xfId="0" applyNumberFormat="1" applyFont="1" applyFill="1"/>
    <xf numFmtId="10" fontId="9" fillId="9" borderId="0" xfId="5" applyFont="1" applyFill="1">
      <alignment horizontal="right"/>
    </xf>
    <xf numFmtId="0" fontId="18" fillId="0" borderId="0" xfId="40" applyFont="1">
      <alignment horizontal="left" indent="1"/>
    </xf>
    <xf numFmtId="0" fontId="0" fillId="0" borderId="18" xfId="0" applyBorder="1"/>
    <xf numFmtId="0" fontId="7" fillId="0" borderId="0" xfId="27">
      <protection locked="0"/>
    </xf>
    <xf numFmtId="166" fontId="1" fillId="0" borderId="0" xfId="42">
      <alignment horizontal="right"/>
    </xf>
    <xf numFmtId="166" fontId="9" fillId="0" borderId="4" xfId="44">
      <alignment horizontal="right"/>
    </xf>
    <xf numFmtId="166" fontId="9" fillId="0" borderId="3" xfId="43">
      <alignment horizontal="right"/>
    </xf>
    <xf numFmtId="166" fontId="1" fillId="9" borderId="0" xfId="42" applyFill="1">
      <alignment horizontal="right"/>
    </xf>
    <xf numFmtId="166" fontId="9" fillId="9" borderId="4" xfId="44" applyFill="1">
      <alignment horizontal="right"/>
    </xf>
    <xf numFmtId="0" fontId="17" fillId="0" borderId="0" xfId="0" applyFont="1"/>
    <xf numFmtId="17" fontId="3" fillId="0" borderId="0" xfId="11" applyNumberFormat="1" applyAlignment="1">
      <alignment horizontal="left"/>
    </xf>
    <xf numFmtId="166" fontId="0" fillId="0" borderId="0" xfId="0" applyNumberFormat="1"/>
    <xf numFmtId="166" fontId="20" fillId="0" borderId="0" xfId="0" applyNumberFormat="1" applyFont="1" applyProtection="1">
      <protection hidden="1"/>
    </xf>
    <xf numFmtId="0" fontId="0" fillId="9" borderId="0" xfId="0" applyFill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21" fillId="0" borderId="8" xfId="0" applyFont="1" applyBorder="1"/>
    <xf numFmtId="0" fontId="22" fillId="0" borderId="9" xfId="0" applyFont="1" applyBorder="1"/>
    <xf numFmtId="0" fontId="22" fillId="0" borderId="10" xfId="0" applyFont="1" applyBorder="1"/>
    <xf numFmtId="0" fontId="22" fillId="0" borderId="12" xfId="0" applyFont="1" applyBorder="1"/>
    <xf numFmtId="0" fontId="21" fillId="0" borderId="11" xfId="0" applyFont="1" applyBorder="1" applyAlignment="1">
      <alignment horizontal="centerContinuous"/>
    </xf>
    <xf numFmtId="0" fontId="22" fillId="0" borderId="12" xfId="0" applyFont="1" applyBorder="1" applyAlignment="1">
      <alignment horizontal="centerContinuous"/>
    </xf>
    <xf numFmtId="0" fontId="21" fillId="0" borderId="17" xfId="0" applyFont="1" applyBorder="1" applyAlignment="1">
      <alignment horizontal="left" vertical="center" wrapText="1"/>
    </xf>
    <xf numFmtId="0" fontId="21" fillId="0" borderId="17" xfId="0" applyFont="1" applyBorder="1" applyAlignment="1">
      <alignment horizontal="center" vertical="center" wrapText="1"/>
    </xf>
    <xf numFmtId="0" fontId="22" fillId="0" borderId="0" xfId="0" applyFont="1"/>
    <xf numFmtId="4" fontId="24" fillId="0" borderId="1" xfId="19" applyFont="1">
      <alignment horizontal="right"/>
      <protection locked="0"/>
    </xf>
    <xf numFmtId="0" fontId="21" fillId="0" borderId="0" xfId="0" applyFont="1"/>
    <xf numFmtId="0" fontId="25" fillId="0" borderId="0" xfId="0" applyFont="1"/>
    <xf numFmtId="0" fontId="25" fillId="0" borderId="0" xfId="0" applyFont="1" applyAlignment="1">
      <alignment horizontal="center"/>
    </xf>
    <xf numFmtId="0" fontId="25" fillId="0" borderId="11" xfId="0" applyFont="1" applyBorder="1" applyAlignment="1">
      <alignment horizontal="centerContinuous"/>
    </xf>
    <xf numFmtId="0" fontId="25" fillId="0" borderId="12" xfId="0" applyFont="1" applyBorder="1" applyAlignment="1">
      <alignment horizontal="centerContinuous"/>
    </xf>
    <xf numFmtId="0" fontId="25" fillId="0" borderId="10" xfId="0" applyFont="1" applyBorder="1"/>
    <xf numFmtId="170" fontId="23" fillId="0" borderId="1" xfId="26" applyFont="1">
      <alignment horizontal="right"/>
      <protection locked="0"/>
    </xf>
    <xf numFmtId="4" fontId="24" fillId="0" borderId="14" xfId="15" applyFont="1" applyFill="1" applyBorder="1">
      <alignment horizontal="right"/>
      <protection locked="0"/>
    </xf>
    <xf numFmtId="4" fontId="24" fillId="0" borderId="1" xfId="15" applyFont="1" applyFill="1">
      <alignment horizontal="right"/>
      <protection locked="0"/>
    </xf>
    <xf numFmtId="0" fontId="26" fillId="6" borderId="0" xfId="3" applyFont="1"/>
    <xf numFmtId="170" fontId="24" fillId="0" borderId="1" xfId="21" applyFont="1">
      <alignment horizontal="right"/>
      <protection locked="0"/>
    </xf>
    <xf numFmtId="0" fontId="27" fillId="0" borderId="0" xfId="27" applyFont="1" applyAlignment="1">
      <alignment horizontal="left" indent="2"/>
      <protection locked="0"/>
    </xf>
    <xf numFmtId="15" fontId="22" fillId="0" borderId="0" xfId="11" applyFont="1"/>
    <xf numFmtId="0" fontId="22" fillId="0" borderId="0" xfId="0" quotePrefix="1" applyFont="1" applyAlignment="1">
      <alignment horizontal="left"/>
    </xf>
    <xf numFmtId="0" fontId="24" fillId="3" borderId="1" xfId="24" applyFont="1">
      <protection locked="0"/>
    </xf>
    <xf numFmtId="15" fontId="22" fillId="0" borderId="0" xfId="11" applyFont="1" applyAlignment="1">
      <alignment horizontal="left"/>
    </xf>
    <xf numFmtId="15" fontId="24" fillId="7" borderId="1" xfId="22" applyFont="1" applyFill="1">
      <protection locked="0"/>
    </xf>
    <xf numFmtId="0" fontId="28" fillId="0" borderId="0" xfId="0" applyFont="1"/>
    <xf numFmtId="0" fontId="21" fillId="0" borderId="19" xfId="0" applyFont="1" applyBorder="1"/>
    <xf numFmtId="0" fontId="22" fillId="0" borderId="20" xfId="0" applyFont="1" applyBorder="1"/>
    <xf numFmtId="0" fontId="21" fillId="0" borderId="19" xfId="0" applyFont="1" applyBorder="1" applyAlignment="1">
      <alignment horizontal="centerContinuous"/>
    </xf>
    <xf numFmtId="0" fontId="25" fillId="0" borderId="12" xfId="0" applyFont="1" applyBorder="1" applyAlignment="1">
      <alignment horizontal="left"/>
    </xf>
    <xf numFmtId="0" fontId="25" fillId="0" borderId="12" xfId="0" applyFont="1" applyBorder="1"/>
    <xf numFmtId="0" fontId="25" fillId="0" borderId="13" xfId="0" applyFont="1" applyBorder="1"/>
    <xf numFmtId="0" fontId="25" fillId="0" borderId="21" xfId="0" applyFont="1" applyBorder="1"/>
    <xf numFmtId="0" fontId="25" fillId="0" borderId="21" xfId="0" applyFont="1" applyBorder="1" applyAlignment="1">
      <alignment horizontal="centerContinuous"/>
    </xf>
    <xf numFmtId="0" fontId="25" fillId="0" borderId="18" xfId="0" applyFont="1" applyBorder="1"/>
    <xf numFmtId="4" fontId="24" fillId="0" borderId="1" xfId="19" applyFont="1" applyProtection="1">
      <alignment horizontal="right"/>
    </xf>
    <xf numFmtId="4" fontId="30" fillId="0" borderId="0" xfId="7" applyFont="1">
      <alignment horizontal="right"/>
    </xf>
    <xf numFmtId="0" fontId="31" fillId="0" borderId="0" xfId="0" applyFont="1"/>
    <xf numFmtId="0" fontId="21" fillId="0" borderId="15" xfId="0" applyFont="1" applyBorder="1" applyAlignment="1">
      <alignment horizontal="left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left" vertical="center" wrapText="1"/>
    </xf>
    <xf numFmtId="0" fontId="21" fillId="0" borderId="16" xfId="0" applyFont="1" applyBorder="1" applyAlignment="1">
      <alignment horizontal="center" vertical="center" wrapText="1"/>
    </xf>
    <xf numFmtId="0" fontId="31" fillId="0" borderId="0" xfId="0" applyFont="1" applyAlignment="1">
      <alignment horizontal="center"/>
    </xf>
    <xf numFmtId="4" fontId="24" fillId="0" borderId="22" xfId="19" applyFont="1" applyBorder="1" applyProtection="1">
      <alignment horizontal="right"/>
    </xf>
    <xf numFmtId="0" fontId="26" fillId="6" borderId="0" xfId="3" applyFont="1" applyAlignment="1">
      <alignment vertical="center"/>
    </xf>
    <xf numFmtId="0" fontId="26" fillId="6" borderId="0" xfId="3" applyFont="1" applyAlignment="1">
      <alignment horizontal="center" vertical="center" wrapText="1"/>
    </xf>
    <xf numFmtId="0" fontId="32" fillId="0" borderId="0" xfId="40" applyFont="1">
      <alignment horizontal="left" indent="1"/>
    </xf>
    <xf numFmtId="4" fontId="30" fillId="8" borderId="0" xfId="7" applyFont="1" applyFill="1">
      <alignment horizontal="right"/>
    </xf>
    <xf numFmtId="0" fontId="21" fillId="0" borderId="4" xfId="34" applyFont="1">
      <alignment horizontal="left"/>
    </xf>
    <xf numFmtId="170" fontId="33" fillId="0" borderId="4" xfId="35" applyFont="1">
      <alignment horizontal="right"/>
    </xf>
    <xf numFmtId="0" fontId="22" fillId="8" borderId="0" xfId="0" applyFont="1" applyFill="1"/>
    <xf numFmtId="4" fontId="30" fillId="0" borderId="0" xfId="7" applyFont="1" applyFill="1">
      <alignment horizontal="right"/>
    </xf>
    <xf numFmtId="0" fontId="22" fillId="0" borderId="0" xfId="0" applyFont="1" applyAlignment="1">
      <alignment horizontal="left"/>
    </xf>
    <xf numFmtId="0" fontId="21" fillId="0" borderId="16" xfId="0" applyFont="1" applyBorder="1" applyAlignment="1">
      <alignment horizontal="centerContinuous"/>
    </xf>
    <xf numFmtId="0" fontId="21" fillId="0" borderId="8" xfId="0" applyFont="1" applyBorder="1" applyAlignment="1">
      <alignment horizontal="left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Continuous"/>
    </xf>
    <xf numFmtId="0" fontId="22" fillId="0" borderId="13" xfId="0" applyFont="1" applyBorder="1" applyAlignment="1">
      <alignment horizontal="centerContinuous"/>
    </xf>
    <xf numFmtId="0" fontId="21" fillId="0" borderId="8" xfId="0" applyFont="1" applyBorder="1" applyAlignment="1">
      <alignment horizontal="centerContinuous"/>
    </xf>
    <xf numFmtId="0" fontId="22" fillId="0" borderId="10" xfId="0" applyFont="1" applyBorder="1" applyAlignment="1">
      <alignment horizontal="centerContinuous"/>
    </xf>
    <xf numFmtId="4" fontId="22" fillId="0" borderId="0" xfId="0" applyNumberFormat="1" applyFont="1"/>
    <xf numFmtId="165" fontId="22" fillId="0" borderId="0" xfId="0" applyNumberFormat="1" applyFont="1"/>
    <xf numFmtId="165" fontId="32" fillId="0" borderId="0" xfId="40" applyNumberFormat="1" applyFont="1">
      <alignment horizontal="left" indent="1"/>
    </xf>
    <xf numFmtId="165" fontId="30" fillId="8" borderId="0" xfId="7" applyNumberFormat="1" applyFont="1" applyFill="1">
      <alignment horizontal="right"/>
    </xf>
    <xf numFmtId="165" fontId="30" fillId="0" borderId="0" xfId="7" applyNumberFormat="1" applyFont="1">
      <alignment horizontal="right"/>
    </xf>
    <xf numFmtId="164" fontId="0" fillId="0" borderId="0" xfId="0" applyNumberFormat="1"/>
    <xf numFmtId="164" fontId="10" fillId="0" borderId="0" xfId="40" applyNumberFormat="1">
      <alignment horizontal="left" indent="1"/>
    </xf>
    <xf numFmtId="164" fontId="1" fillId="8" borderId="0" xfId="9" applyNumberFormat="1" applyFill="1">
      <alignment horizontal="right"/>
    </xf>
    <xf numFmtId="164" fontId="1" fillId="0" borderId="0" xfId="9" applyNumberFormat="1">
      <alignment horizontal="right"/>
    </xf>
    <xf numFmtId="164" fontId="8" fillId="0" borderId="4" xfId="34" applyNumberFormat="1">
      <alignment horizontal="left"/>
    </xf>
    <xf numFmtId="164" fontId="9" fillId="0" borderId="4" xfId="35" applyNumberFormat="1">
      <alignment horizontal="right"/>
    </xf>
    <xf numFmtId="164" fontId="1" fillId="0" borderId="0" xfId="9" applyNumberFormat="1" applyFill="1">
      <alignment horizontal="right"/>
    </xf>
    <xf numFmtId="164" fontId="8" fillId="0" borderId="3" xfId="30" applyNumberFormat="1"/>
    <xf numFmtId="164" fontId="9" fillId="0" borderId="3" xfId="31" applyNumberFormat="1">
      <alignment horizontal="right"/>
    </xf>
    <xf numFmtId="164" fontId="12" fillId="6" borderId="0" xfId="3" applyNumberFormat="1" applyAlignment="1">
      <alignment vertical="center"/>
    </xf>
    <xf numFmtId="164" fontId="12" fillId="6" borderId="0" xfId="3" applyNumberFormat="1" applyAlignment="1">
      <alignment horizontal="center" vertical="center" wrapText="1"/>
    </xf>
    <xf numFmtId="0" fontId="24" fillId="3" borderId="1" xfId="24" quotePrefix="1" applyFont="1" applyAlignment="1">
      <alignment horizontal="left"/>
      <protection locked="0"/>
    </xf>
    <xf numFmtId="0" fontId="12" fillId="6" borderId="0" xfId="3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8" fillId="0" borderId="26" xfId="0" applyFont="1" applyBorder="1"/>
    <xf numFmtId="0" fontId="8" fillId="0" borderId="27" xfId="0" applyFont="1" applyBorder="1"/>
    <xf numFmtId="0" fontId="12" fillId="10" borderId="0" xfId="3" applyFill="1" applyAlignment="1">
      <alignment vertical="center"/>
    </xf>
    <xf numFmtId="0" fontId="12" fillId="10" borderId="0" xfId="3" applyFill="1" applyAlignment="1">
      <alignment horizontal="center" vertical="center"/>
    </xf>
    <xf numFmtId="0" fontId="8" fillId="10" borderId="26" xfId="0" applyFont="1" applyFill="1" applyBorder="1"/>
    <xf numFmtId="0" fontId="8" fillId="10" borderId="0" xfId="0" applyFont="1" applyFill="1"/>
    <xf numFmtId="0" fontId="8" fillId="10" borderId="27" xfId="0" applyFont="1" applyFill="1" applyBorder="1"/>
    <xf numFmtId="0" fontId="8" fillId="9" borderId="26" xfId="0" applyFont="1" applyFill="1" applyBorder="1"/>
    <xf numFmtId="0" fontId="8" fillId="9" borderId="0" xfId="0" applyFont="1" applyFill="1"/>
    <xf numFmtId="0" fontId="8" fillId="9" borderId="27" xfId="0" applyFont="1" applyFill="1" applyBorder="1"/>
    <xf numFmtId="0" fontId="13" fillId="4" borderId="0" xfId="1" applyAlignment="1">
      <alignment vertical="center"/>
    </xf>
    <xf numFmtId="174" fontId="12" fillId="10" borderId="0" xfId="3" applyNumberFormat="1" applyFill="1" applyAlignment="1">
      <alignment horizontal="center" vertical="center"/>
    </xf>
    <xf numFmtId="174" fontId="12" fillId="6" borderId="0" xfId="3" applyNumberFormat="1" applyAlignment="1">
      <alignment horizontal="center" vertical="center"/>
    </xf>
    <xf numFmtId="10" fontId="0" fillId="0" borderId="23" xfId="0" applyNumberFormat="1" applyBorder="1"/>
    <xf numFmtId="164" fontId="8" fillId="0" borderId="26" xfId="0" applyNumberFormat="1" applyFont="1" applyBorder="1"/>
    <xf numFmtId="164" fontId="8" fillId="0" borderId="0" xfId="0" applyNumberFormat="1" applyFont="1"/>
    <xf numFmtId="164" fontId="8" fillId="9" borderId="26" xfId="0" applyNumberFormat="1" applyFont="1" applyFill="1" applyBorder="1"/>
    <xf numFmtId="164" fontId="8" fillId="9" borderId="0" xfId="0" applyNumberFormat="1" applyFont="1" applyFill="1"/>
    <xf numFmtId="164" fontId="8" fillId="10" borderId="26" xfId="0" applyNumberFormat="1" applyFont="1" applyFill="1" applyBorder="1"/>
    <xf numFmtId="164" fontId="8" fillId="10" borderId="0" xfId="0" applyNumberFormat="1" applyFont="1" applyFill="1"/>
    <xf numFmtId="0" fontId="26" fillId="6" borderId="19" xfId="3" applyFont="1" applyBorder="1"/>
    <xf numFmtId="0" fontId="22" fillId="0" borderId="19" xfId="0" applyFont="1" applyBorder="1"/>
    <xf numFmtId="0" fontId="8" fillId="0" borderId="29" xfId="0" applyFont="1" applyBorder="1"/>
    <xf numFmtId="0" fontId="0" fillId="0" borderId="29" xfId="0" applyBorder="1"/>
    <xf numFmtId="0" fontId="22" fillId="0" borderId="29" xfId="0" applyFont="1" applyBorder="1"/>
    <xf numFmtId="0" fontId="35" fillId="0" borderId="23" xfId="0" applyFont="1" applyBorder="1"/>
    <xf numFmtId="10" fontId="35" fillId="0" borderId="23" xfId="0" applyNumberFormat="1" applyFont="1" applyBorder="1"/>
    <xf numFmtId="0" fontId="36" fillId="0" borderId="28" xfId="0" applyFont="1" applyBorder="1"/>
    <xf numFmtId="10" fontId="36" fillId="0" borderId="28" xfId="0" applyNumberFormat="1" applyFont="1" applyBorder="1"/>
    <xf numFmtId="0" fontId="36" fillId="9" borderId="28" xfId="0" applyFont="1" applyFill="1" applyBorder="1"/>
    <xf numFmtId="10" fontId="36" fillId="9" borderId="28" xfId="0" applyNumberFormat="1" applyFont="1" applyFill="1" applyBorder="1"/>
    <xf numFmtId="0" fontId="36" fillId="10" borderId="28" xfId="0" applyFont="1" applyFill="1" applyBorder="1"/>
    <xf numFmtId="10" fontId="36" fillId="10" borderId="28" xfId="0" applyNumberFormat="1" applyFont="1" applyFill="1" applyBorder="1"/>
    <xf numFmtId="0" fontId="20" fillId="0" borderId="0" xfId="0" applyFont="1"/>
    <xf numFmtId="175" fontId="0" fillId="0" borderId="0" xfId="0" applyNumberFormat="1" applyAlignment="1">
      <alignment vertical="center"/>
    </xf>
    <xf numFmtId="0" fontId="17" fillId="0" borderId="0" xfId="0" applyFont="1" applyAlignment="1">
      <alignment vertical="center" wrapText="1"/>
    </xf>
    <xf numFmtId="0" fontId="7" fillId="0" borderId="0" xfId="27" quotePrefix="1" applyAlignment="1">
      <alignment horizontal="left" vertical="center" indent="2"/>
      <protection locked="0"/>
    </xf>
    <xf numFmtId="0" fontId="37" fillId="0" borderId="0" xfId="0" quotePrefix="1" applyFont="1" applyAlignment="1">
      <alignment horizontal="right"/>
    </xf>
    <xf numFmtId="0" fontId="28" fillId="0" borderId="30" xfId="0" applyFont="1" applyBorder="1"/>
    <xf numFmtId="0" fontId="28" fillId="0" borderId="30" xfId="0" applyFont="1" applyBorder="1" applyAlignment="1">
      <alignment horizontal="left" vertical="top" wrapText="1"/>
    </xf>
    <xf numFmtId="0" fontId="22" fillId="0" borderId="31" xfId="0" applyFont="1" applyBorder="1"/>
    <xf numFmtId="0" fontId="22" fillId="0" borderId="0" xfId="0" applyFont="1" applyAlignment="1">
      <alignment horizontal="right"/>
    </xf>
    <xf numFmtId="0" fontId="22" fillId="0" borderId="0" xfId="0" quotePrefix="1" applyFont="1" applyAlignment="1">
      <alignment horizontal="right"/>
    </xf>
    <xf numFmtId="0" fontId="29" fillId="0" borderId="0" xfId="0" applyFont="1"/>
    <xf numFmtId="0" fontId="28" fillId="0" borderId="0" xfId="0" applyFont="1" applyAlignment="1">
      <alignment horizontal="left" vertical="top" wrapText="1"/>
    </xf>
    <xf numFmtId="0" fontId="28" fillId="0" borderId="0" xfId="0" applyFont="1" applyAlignment="1">
      <alignment horizontal="left" vertical="top" wrapText="1" indent="1"/>
    </xf>
    <xf numFmtId="0" fontId="28" fillId="0" borderId="0" xfId="0" quotePrefix="1" applyFont="1" applyAlignment="1">
      <alignment horizontal="left" vertical="top" wrapText="1" indent="1"/>
    </xf>
    <xf numFmtId="0" fontId="28" fillId="0" borderId="32" xfId="0" applyFont="1" applyBorder="1"/>
    <xf numFmtId="0" fontId="28" fillId="0" borderId="33" xfId="0" applyFont="1" applyBorder="1"/>
    <xf numFmtId="0" fontId="28" fillId="0" borderId="0" xfId="0" quotePrefix="1" applyFont="1" applyAlignment="1">
      <alignment horizontal="left" vertical="top" wrapText="1"/>
    </xf>
    <xf numFmtId="0" fontId="28" fillId="0" borderId="36" xfId="0" applyFont="1" applyBorder="1"/>
    <xf numFmtId="0" fontId="28" fillId="0" borderId="37" xfId="0" applyFont="1" applyBorder="1"/>
    <xf numFmtId="0" fontId="40" fillId="0" borderId="38" xfId="0" quotePrefix="1" applyFont="1" applyBorder="1" applyAlignment="1">
      <alignment horizontal="left"/>
    </xf>
    <xf numFmtId="0" fontId="41" fillId="0" borderId="38" xfId="0" applyFont="1" applyBorder="1"/>
    <xf numFmtId="0" fontId="40" fillId="0" borderId="39" xfId="0" applyFont="1" applyBorder="1" applyAlignment="1">
      <alignment horizontal="center"/>
    </xf>
    <xf numFmtId="0" fontId="28" fillId="0" borderId="31" xfId="0" applyFont="1" applyBorder="1" applyAlignment="1">
      <alignment horizontal="center"/>
    </xf>
    <xf numFmtId="14" fontId="28" fillId="0" borderId="31" xfId="0" applyNumberFormat="1" applyFont="1" applyBorder="1" applyAlignment="1">
      <alignment horizontal="center"/>
    </xf>
    <xf numFmtId="0" fontId="28" fillId="0" borderId="31" xfId="0" quotePrefix="1" applyFont="1" applyBorder="1" applyAlignment="1">
      <alignment horizontal="center"/>
    </xf>
    <xf numFmtId="0" fontId="28" fillId="0" borderId="34" xfId="0" applyFont="1" applyBorder="1" applyAlignment="1">
      <alignment horizontal="center"/>
    </xf>
    <xf numFmtId="0" fontId="28" fillId="0" borderId="42" xfId="0" applyFont="1" applyBorder="1"/>
    <xf numFmtId="0" fontId="28" fillId="0" borderId="42" xfId="0" applyFont="1" applyBorder="1" applyAlignment="1">
      <alignment horizontal="left" vertical="top" wrapText="1" indent="1"/>
    </xf>
    <xf numFmtId="0" fontId="28" fillId="0" borderId="41" xfId="0" applyFont="1" applyBorder="1" applyAlignment="1">
      <alignment horizontal="center"/>
    </xf>
    <xf numFmtId="0" fontId="28" fillId="0" borderId="42" xfId="0" quotePrefix="1" applyFont="1" applyBorder="1" applyAlignment="1">
      <alignment horizontal="left" vertical="top" wrapText="1" indent="1"/>
    </xf>
    <xf numFmtId="14" fontId="28" fillId="0" borderId="41" xfId="0" applyNumberFormat="1" applyFont="1" applyBorder="1" applyAlignment="1">
      <alignment horizontal="center"/>
    </xf>
    <xf numFmtId="14" fontId="28" fillId="0" borderId="41" xfId="0" applyNumberFormat="1" applyFont="1" applyBorder="1" applyAlignment="1">
      <alignment horizontal="center" vertical="center"/>
    </xf>
    <xf numFmtId="0" fontId="28" fillId="0" borderId="44" xfId="0" quotePrefix="1" applyFont="1" applyBorder="1" applyAlignment="1">
      <alignment horizontal="left" vertical="top" wrapText="1" indent="1"/>
    </xf>
    <xf numFmtId="14" fontId="28" fillId="0" borderId="45" xfId="0" applyNumberFormat="1" applyFont="1" applyBorder="1" applyAlignment="1">
      <alignment horizontal="center" vertical="center"/>
    </xf>
    <xf numFmtId="4" fontId="25" fillId="0" borderId="0" xfId="0" applyNumberFormat="1" applyFont="1"/>
    <xf numFmtId="4" fontId="43" fillId="0" borderId="0" xfId="0" applyNumberFormat="1" applyFont="1"/>
    <xf numFmtId="0" fontId="28" fillId="0" borderId="36" xfId="0" quotePrefix="1" applyFont="1" applyBorder="1" applyAlignment="1">
      <alignment horizontal="left" vertical="top" wrapText="1"/>
    </xf>
    <xf numFmtId="14" fontId="28" fillId="0" borderId="14" xfId="0" applyNumberFormat="1" applyFont="1" applyBorder="1" applyAlignment="1">
      <alignment horizontal="center"/>
    </xf>
    <xf numFmtId="3" fontId="1" fillId="0" borderId="0" xfId="9" applyNumberFormat="1">
      <alignment horizontal="right"/>
    </xf>
    <xf numFmtId="0" fontId="0" fillId="0" borderId="0" xfId="0" quotePrefix="1" applyAlignment="1">
      <alignment horizontal="left"/>
    </xf>
    <xf numFmtId="164" fontId="28" fillId="0" borderId="0" xfId="0" applyNumberFormat="1" applyFont="1"/>
    <xf numFmtId="164" fontId="28" fillId="0" borderId="0" xfId="0" quotePrefix="1" applyNumberFormat="1" applyFont="1" applyAlignment="1">
      <alignment horizontal="left"/>
    </xf>
    <xf numFmtId="0" fontId="20" fillId="0" borderId="0" xfId="0" quotePrefix="1" applyFont="1" applyAlignment="1">
      <alignment horizontal="left"/>
    </xf>
    <xf numFmtId="0" fontId="28" fillId="0" borderId="0" xfId="0" applyFont="1" applyAlignment="1">
      <alignment horizontal="center"/>
    </xf>
    <xf numFmtId="164" fontId="44" fillId="0" borderId="0" xfId="0" applyNumberFormat="1" applyFont="1"/>
    <xf numFmtId="166" fontId="44" fillId="0" borderId="0" xfId="0" applyNumberFormat="1" applyFont="1"/>
    <xf numFmtId="0" fontId="44" fillId="0" borderId="0" xfId="0" applyFont="1"/>
    <xf numFmtId="0" fontId="13" fillId="4" borderId="0" xfId="1" applyAlignment="1">
      <alignment horizontal="right" vertical="center"/>
    </xf>
    <xf numFmtId="0" fontId="31" fillId="0" borderId="0" xfId="0" quotePrefix="1" applyFont="1" applyAlignment="1">
      <alignment horizontal="center"/>
    </xf>
    <xf numFmtId="0" fontId="21" fillId="0" borderId="15" xfId="0" quotePrefix="1" applyFont="1" applyBorder="1" applyAlignment="1">
      <alignment horizontal="center" vertical="center" wrapText="1"/>
    </xf>
    <xf numFmtId="0" fontId="21" fillId="7" borderId="16" xfId="0" quotePrefix="1" applyFont="1" applyFill="1" applyBorder="1" applyAlignment="1">
      <alignment horizontal="center" vertical="center" wrapText="1"/>
    </xf>
    <xf numFmtId="4" fontId="24" fillId="0" borderId="48" xfId="19" applyFont="1" applyBorder="1" applyProtection="1">
      <alignment horizontal="right"/>
    </xf>
    <xf numFmtId="170" fontId="23" fillId="0" borderId="48" xfId="26" applyFont="1" applyBorder="1">
      <alignment horizontal="right"/>
      <protection locked="0"/>
    </xf>
    <xf numFmtId="0" fontId="22" fillId="0" borderId="49" xfId="0" applyFont="1" applyBorder="1"/>
    <xf numFmtId="4" fontId="24" fillId="0" borderId="50" xfId="19" applyFont="1" applyBorder="1" applyProtection="1">
      <alignment horizontal="right"/>
    </xf>
    <xf numFmtId="4" fontId="22" fillId="0" borderId="0" xfId="0" applyNumberFormat="1" applyFont="1" applyAlignment="1">
      <alignment horizontal="right"/>
    </xf>
    <xf numFmtId="0" fontId="28" fillId="0" borderId="51" xfId="0" quotePrefix="1" applyFont="1" applyBorder="1" applyAlignment="1">
      <alignment horizontal="left" vertical="top" wrapText="1" indent="1"/>
    </xf>
    <xf numFmtId="0" fontId="28" fillId="0" borderId="41" xfId="0" quotePrefix="1" applyFont="1" applyBorder="1" applyAlignment="1">
      <alignment horizontal="left" vertical="top" wrapText="1" indent="1"/>
    </xf>
    <xf numFmtId="0" fontId="28" fillId="0" borderId="31" xfId="0" quotePrefix="1" applyFont="1" applyBorder="1" applyAlignment="1">
      <alignment horizontal="left" vertical="top" wrapText="1" indent="1"/>
    </xf>
    <xf numFmtId="0" fontId="22" fillId="0" borderId="19" xfId="0" quotePrefix="1" applyFont="1" applyBorder="1" applyAlignment="1">
      <alignment horizontal="left"/>
    </xf>
    <xf numFmtId="0" fontId="11" fillId="4" borderId="0" xfId="1" applyFont="1"/>
    <xf numFmtId="0" fontId="22" fillId="13" borderId="0" xfId="0" applyFont="1" applyFill="1"/>
    <xf numFmtId="170" fontId="23" fillId="13" borderId="1" xfId="26" applyFont="1" applyFill="1">
      <alignment horizontal="right"/>
      <protection locked="0"/>
    </xf>
    <xf numFmtId="0" fontId="22" fillId="13" borderId="31" xfId="0" applyFont="1" applyFill="1" applyBorder="1"/>
    <xf numFmtId="4" fontId="24" fillId="13" borderId="1" xfId="19" applyFont="1" applyFill="1">
      <alignment horizontal="right"/>
      <protection locked="0"/>
    </xf>
    <xf numFmtId="0" fontId="45" fillId="14" borderId="0" xfId="3" applyFont="1" applyFill="1"/>
    <xf numFmtId="0" fontId="46" fillId="0" borderId="0" xfId="0" applyFont="1"/>
    <xf numFmtId="0" fontId="45" fillId="11" borderId="0" xfId="3" applyFont="1" applyFill="1"/>
    <xf numFmtId="0" fontId="47" fillId="12" borderId="1" xfId="24" applyFont="1" applyFill="1">
      <protection locked="0"/>
    </xf>
    <xf numFmtId="0" fontId="47" fillId="12" borderId="1" xfId="24" quotePrefix="1" applyFont="1" applyFill="1" applyAlignment="1">
      <alignment horizontal="left"/>
      <protection locked="0"/>
    </xf>
    <xf numFmtId="0" fontId="22" fillId="7" borderId="0" xfId="0" quotePrefix="1" applyFont="1" applyFill="1" applyAlignment="1">
      <alignment horizontal="left"/>
    </xf>
    <xf numFmtId="0" fontId="22" fillId="7" borderId="0" xfId="0" applyFont="1" applyFill="1"/>
    <xf numFmtId="0" fontId="26" fillId="6" borderId="0" xfId="3" quotePrefix="1" applyFont="1" applyAlignment="1">
      <alignment horizontal="left"/>
    </xf>
    <xf numFmtId="0" fontId="22" fillId="15" borderId="0" xfId="0" applyFont="1" applyFill="1"/>
    <xf numFmtId="0" fontId="22" fillId="15" borderId="0" xfId="0" quotePrefix="1" applyFont="1" applyFill="1" applyAlignment="1">
      <alignment horizontal="left"/>
    </xf>
    <xf numFmtId="0" fontId="49" fillId="0" borderId="0" xfId="0" applyFont="1" applyAlignment="1">
      <alignment horizontal="right"/>
    </xf>
    <xf numFmtId="0" fontId="40" fillId="0" borderId="38" xfId="0" applyFont="1" applyBorder="1" applyAlignment="1">
      <alignment horizontal="center"/>
    </xf>
    <xf numFmtId="0" fontId="28" fillId="0" borderId="31" xfId="0" applyFont="1" applyBorder="1" applyAlignment="1">
      <alignment horizontal="left" vertical="top" wrapText="1"/>
    </xf>
    <xf numFmtId="0" fontId="28" fillId="0" borderId="31" xfId="0" applyFont="1" applyBorder="1" applyAlignment="1">
      <alignment horizontal="left" vertical="top" wrapText="1" indent="1"/>
    </xf>
    <xf numFmtId="0" fontId="28" fillId="0" borderId="41" xfId="0" applyFont="1" applyBorder="1" applyAlignment="1">
      <alignment horizontal="left" vertical="top" wrapText="1" indent="1"/>
    </xf>
    <xf numFmtId="0" fontId="28" fillId="0" borderId="34" xfId="0" applyFont="1" applyBorder="1" applyAlignment="1">
      <alignment horizontal="left" vertical="top" wrapText="1"/>
    </xf>
    <xf numFmtId="0" fontId="28" fillId="0" borderId="31" xfId="0" quotePrefix="1" applyFont="1" applyBorder="1" applyAlignment="1">
      <alignment horizontal="left" vertical="top" wrapText="1"/>
    </xf>
    <xf numFmtId="0" fontId="28" fillId="0" borderId="45" xfId="0" quotePrefix="1" applyFont="1" applyBorder="1" applyAlignment="1">
      <alignment horizontal="left" vertical="top" wrapText="1" indent="1"/>
    </xf>
    <xf numFmtId="0" fontId="40" fillId="0" borderId="52" xfId="0" applyFont="1" applyBorder="1" applyAlignment="1">
      <alignment horizontal="center"/>
    </xf>
    <xf numFmtId="0" fontId="28" fillId="0" borderId="32" xfId="0" applyFont="1" applyBorder="1" applyAlignment="1">
      <alignment horizontal="left" vertical="top" wrapText="1"/>
    </xf>
    <xf numFmtId="0" fontId="28" fillId="0" borderId="32" xfId="0" applyFont="1" applyBorder="1" applyAlignment="1">
      <alignment horizontal="left" vertical="top" wrapText="1" indent="1"/>
    </xf>
    <xf numFmtId="0" fontId="28" fillId="0" borderId="32" xfId="0" quotePrefix="1" applyFont="1" applyBorder="1" applyAlignment="1">
      <alignment horizontal="left" vertical="top" wrapText="1" indent="1"/>
    </xf>
    <xf numFmtId="0" fontId="28" fillId="0" borderId="53" xfId="0" applyFont="1" applyBorder="1" applyAlignment="1">
      <alignment horizontal="left" vertical="top" wrapText="1" indent="1"/>
    </xf>
    <xf numFmtId="0" fontId="28" fillId="0" borderId="53" xfId="0" quotePrefix="1" applyFont="1" applyBorder="1" applyAlignment="1">
      <alignment horizontal="left" vertical="top" wrapText="1" indent="1"/>
    </xf>
    <xf numFmtId="0" fontId="28" fillId="0" borderId="33" xfId="0" applyFont="1" applyBorder="1" applyAlignment="1">
      <alignment horizontal="left" vertical="top" wrapText="1"/>
    </xf>
    <xf numFmtId="0" fontId="28" fillId="0" borderId="32" xfId="0" quotePrefix="1" applyFont="1" applyBorder="1" applyAlignment="1">
      <alignment horizontal="left" vertical="top" wrapText="1"/>
    </xf>
    <xf numFmtId="0" fontId="28" fillId="0" borderId="54" xfId="0" quotePrefix="1" applyFont="1" applyBorder="1" applyAlignment="1">
      <alignment horizontal="left" vertical="top" wrapText="1" indent="1"/>
    </xf>
    <xf numFmtId="0" fontId="28" fillId="0" borderId="35" xfId="0" applyFont="1" applyBorder="1" applyAlignment="1">
      <alignment horizontal="left" vertical="top" wrapText="1"/>
    </xf>
    <xf numFmtId="0" fontId="28" fillId="0" borderId="31" xfId="0" quotePrefix="1" applyFont="1" applyBorder="1" applyAlignment="1">
      <alignment horizontal="left" vertical="center" wrapText="1"/>
    </xf>
    <xf numFmtId="0" fontId="28" fillId="0" borderId="41" xfId="0" quotePrefix="1" applyFont="1" applyBorder="1" applyAlignment="1">
      <alignment horizontal="left" vertical="center" wrapText="1"/>
    </xf>
    <xf numFmtId="0" fontId="28" fillId="0" borderId="55" xfId="0" applyFont="1" applyBorder="1" applyAlignment="1">
      <alignment horizontal="left" vertical="top" wrapText="1"/>
    </xf>
    <xf numFmtId="4" fontId="51" fillId="0" borderId="0" xfId="7" applyFont="1">
      <alignment horizontal="right"/>
    </xf>
    <xf numFmtId="0" fontId="50" fillId="16" borderId="56" xfId="0" applyFont="1" applyFill="1" applyBorder="1" applyAlignment="1">
      <alignment horizontal="center" vertical="center" wrapText="1"/>
    </xf>
    <xf numFmtId="0" fontId="25" fillId="0" borderId="57" xfId="0" applyFont="1" applyBorder="1"/>
    <xf numFmtId="0" fontId="22" fillId="0" borderId="0" xfId="0" applyFont="1" applyAlignment="1">
      <alignment horizontal="left" indent="5"/>
    </xf>
    <xf numFmtId="0" fontId="22" fillId="0" borderId="0" xfId="0" applyFont="1" applyAlignment="1">
      <alignment horizontal="left" indent="6"/>
    </xf>
    <xf numFmtId="0" fontId="52" fillId="0" borderId="31" xfId="0" applyFont="1" applyBorder="1"/>
    <xf numFmtId="4" fontId="53" fillId="0" borderId="1" xfId="19" applyFont="1">
      <alignment horizontal="right"/>
      <protection locked="0"/>
    </xf>
    <xf numFmtId="0" fontId="52" fillId="0" borderId="0" xfId="0" applyFont="1"/>
    <xf numFmtId="4" fontId="53" fillId="0" borderId="48" xfId="19" applyFont="1" applyBorder="1">
      <alignment horizontal="right"/>
      <protection locked="0"/>
    </xf>
    <xf numFmtId="0" fontId="8" fillId="0" borderId="0" xfId="34" applyBorder="1">
      <alignment horizontal="left"/>
    </xf>
    <xf numFmtId="166" fontId="9" fillId="0" borderId="0" xfId="44" applyBorder="1">
      <alignment horizontal="right"/>
    </xf>
    <xf numFmtId="10" fontId="8" fillId="0" borderId="0" xfId="32" applyBorder="1"/>
    <xf numFmtId="0" fontId="3" fillId="0" borderId="0" xfId="34" applyFont="1" applyBorder="1">
      <alignment horizontal="left"/>
    </xf>
    <xf numFmtId="166" fontId="1" fillId="0" borderId="0" xfId="44" applyFont="1" applyBorder="1">
      <alignment horizontal="right"/>
    </xf>
    <xf numFmtId="10" fontId="3" fillId="0" borderId="0" xfId="32" applyFont="1" applyBorder="1"/>
    <xf numFmtId="170" fontId="1" fillId="0" borderId="0" xfId="35" applyFont="1" applyBorder="1">
      <alignment horizontal="right"/>
    </xf>
    <xf numFmtId="170" fontId="20" fillId="0" borderId="0" xfId="35" applyFont="1" applyBorder="1">
      <alignment horizontal="right"/>
    </xf>
    <xf numFmtId="0" fontId="22" fillId="0" borderId="0" xfId="0" applyFont="1" applyAlignment="1">
      <alignment wrapText="1"/>
    </xf>
    <xf numFmtId="0" fontId="25" fillId="0" borderId="0" xfId="0" applyFont="1" applyAlignment="1">
      <alignment horizontal="centerContinuous"/>
    </xf>
    <xf numFmtId="0" fontId="0" fillId="0" borderId="0" xfId="0" applyAlignment="1">
      <alignment wrapText="1"/>
    </xf>
    <xf numFmtId="0" fontId="22" fillId="0" borderId="0" xfId="0" applyFont="1" applyAlignment="1">
      <alignment horizontal="centerContinuous"/>
    </xf>
    <xf numFmtId="0" fontId="55" fillId="0" borderId="0" xfId="0" applyFont="1"/>
    <xf numFmtId="0" fontId="54" fillId="0" borderId="0" xfId="0" applyFont="1"/>
    <xf numFmtId="2" fontId="24" fillId="0" borderId="1" xfId="19" applyNumberFormat="1" applyFont="1">
      <alignment horizontal="right"/>
      <protection locked="0"/>
    </xf>
    <xf numFmtId="2" fontId="23" fillId="0" borderId="50" xfId="26" applyNumberFormat="1" applyFont="1" applyBorder="1">
      <alignment horizontal="right"/>
      <protection locked="0"/>
    </xf>
    <xf numFmtId="2" fontId="23" fillId="0" borderId="1" xfId="26" applyNumberFormat="1" applyFont="1">
      <alignment horizontal="right"/>
      <protection locked="0"/>
    </xf>
    <xf numFmtId="2" fontId="24" fillId="0" borderId="1" xfId="19" applyNumberFormat="1" applyFont="1" applyProtection="1">
      <alignment horizontal="right"/>
    </xf>
    <xf numFmtId="2" fontId="23" fillId="0" borderId="1" xfId="45" applyNumberFormat="1" applyFont="1" applyBorder="1" applyAlignment="1" applyProtection="1">
      <alignment horizontal="right"/>
      <protection locked="0"/>
    </xf>
    <xf numFmtId="0" fontId="57" fillId="0" borderId="0" xfId="46" applyAlignment="1">
      <alignment horizontal="left" vertical="center"/>
    </xf>
    <xf numFmtId="0" fontId="57" fillId="0" borderId="0" xfId="46" applyProtection="1">
      <protection locked="0"/>
    </xf>
    <xf numFmtId="0" fontId="57" fillId="0" borderId="0" xfId="46"/>
    <xf numFmtId="0" fontId="57" fillId="0" borderId="0" xfId="46" applyAlignment="1" applyProtection="1">
      <alignment horizontal="center"/>
      <protection locked="0"/>
    </xf>
    <xf numFmtId="0" fontId="58" fillId="0" borderId="0" xfId="46" applyFont="1"/>
    <xf numFmtId="0" fontId="57" fillId="0" borderId="0" xfId="46" applyAlignment="1" applyProtection="1">
      <alignment horizontal="left" vertical="center"/>
      <protection locked="0"/>
    </xf>
    <xf numFmtId="0" fontId="56" fillId="0" borderId="0" xfId="46" applyFont="1" applyAlignment="1">
      <alignment horizontal="center"/>
    </xf>
    <xf numFmtId="0" fontId="56" fillId="0" borderId="0" xfId="46" applyFont="1"/>
    <xf numFmtId="14" fontId="57" fillId="0" borderId="0" xfId="46" applyNumberFormat="1"/>
    <xf numFmtId="0" fontId="56" fillId="0" borderId="0" xfId="46" applyFont="1" applyProtection="1">
      <protection locked="0"/>
    </xf>
    <xf numFmtId="0" fontId="59" fillId="20" borderId="15" xfId="49" quotePrefix="1" applyFill="1" applyBorder="1" applyAlignment="1">
      <alignment horizontal="right" vertical="center"/>
    </xf>
    <xf numFmtId="0" fontId="59" fillId="20" borderId="58" xfId="49" applyFill="1" applyBorder="1"/>
    <xf numFmtId="0" fontId="59" fillId="20" borderId="17" xfId="49" quotePrefix="1" applyFill="1" applyBorder="1" applyAlignment="1">
      <alignment horizontal="right" vertical="center"/>
    </xf>
    <xf numFmtId="0" fontId="59" fillId="20" borderId="60" xfId="49" applyFill="1" applyBorder="1"/>
    <xf numFmtId="0" fontId="59" fillId="20" borderId="59" xfId="49" applyFill="1" applyBorder="1"/>
    <xf numFmtId="0" fontId="59" fillId="20" borderId="16" xfId="49" quotePrefix="1" applyFill="1" applyBorder="1" applyAlignment="1">
      <alignment horizontal="right" vertical="center"/>
    </xf>
    <xf numFmtId="0" fontId="59" fillId="22" borderId="61" xfId="48" applyFont="1" applyFill="1" applyBorder="1" applyAlignment="1" applyProtection="1">
      <alignment horizontal="center" vertical="center"/>
      <protection locked="0"/>
    </xf>
    <xf numFmtId="177" fontId="59" fillId="22" borderId="61" xfId="51" applyNumberFormat="1" applyFont="1" applyFill="1" applyBorder="1" applyAlignment="1" applyProtection="1">
      <alignment horizontal="center" vertical="center" wrapText="1"/>
      <protection locked="0"/>
    </xf>
    <xf numFmtId="0" fontId="63" fillId="0" borderId="62" xfId="46" applyFont="1" applyBorder="1" applyAlignment="1">
      <alignment horizontal="left"/>
    </xf>
    <xf numFmtId="43" fontId="0" fillId="24" borderId="61" xfId="51" applyFont="1" applyFill="1" applyBorder="1"/>
    <xf numFmtId="17" fontId="57" fillId="0" borderId="0" xfId="46" applyNumberFormat="1"/>
    <xf numFmtId="0" fontId="63" fillId="0" borderId="63" xfId="46" applyFont="1" applyBorder="1" applyAlignment="1">
      <alignment horizontal="left"/>
    </xf>
    <xf numFmtId="17" fontId="67" fillId="0" borderId="0" xfId="46" applyNumberFormat="1" applyFont="1"/>
    <xf numFmtId="0" fontId="63" fillId="0" borderId="64" xfId="46" applyFont="1" applyBorder="1" applyAlignment="1">
      <alignment horizontal="left"/>
    </xf>
    <xf numFmtId="14" fontId="59" fillId="0" borderId="65" xfId="48" applyNumberFormat="1" applyFont="1" applyBorder="1" applyAlignment="1">
      <alignment wrapText="1"/>
    </xf>
    <xf numFmtId="9" fontId="0" fillId="0" borderId="66" xfId="52" applyFont="1" applyBorder="1"/>
    <xf numFmtId="0" fontId="66" fillId="0" borderId="67" xfId="46" applyFont="1" applyBorder="1"/>
    <xf numFmtId="9" fontId="0" fillId="0" borderId="66" xfId="52" applyFont="1" applyBorder="1" applyProtection="1">
      <protection locked="0"/>
    </xf>
    <xf numFmtId="0" fontId="28" fillId="0" borderId="21" xfId="0" applyFont="1" applyBorder="1" applyAlignment="1">
      <alignment vertical="center"/>
    </xf>
    <xf numFmtId="0" fontId="28" fillId="0" borderId="68" xfId="0" quotePrefix="1" applyFont="1" applyBorder="1" applyAlignment="1">
      <alignment horizontal="left" vertical="top" wrapText="1" indent="1"/>
    </xf>
    <xf numFmtId="0" fontId="28" fillId="0" borderId="69" xfId="0" quotePrefix="1" applyFont="1" applyBorder="1" applyAlignment="1">
      <alignment horizontal="left" vertical="top" wrapText="1" indent="1"/>
    </xf>
    <xf numFmtId="14" fontId="28" fillId="0" borderId="69" xfId="0" applyNumberFormat="1" applyFont="1" applyBorder="1" applyAlignment="1">
      <alignment horizontal="center" vertical="center"/>
    </xf>
    <xf numFmtId="178" fontId="0" fillId="0" borderId="0" xfId="45" applyNumberFormat="1" applyFont="1" applyFill="1"/>
    <xf numFmtId="0" fontId="68" fillId="0" borderId="0" xfId="27" applyFont="1" applyAlignment="1">
      <alignment horizontal="left" vertical="center"/>
      <protection locked="0"/>
    </xf>
    <xf numFmtId="0" fontId="68" fillId="0" borderId="0" xfId="27" applyFont="1" applyAlignment="1">
      <alignment horizontal="left" vertical="center" indent="2"/>
      <protection locked="0"/>
    </xf>
    <xf numFmtId="0" fontId="0" fillId="0" borderId="19" xfId="0" applyBorder="1"/>
    <xf numFmtId="0" fontId="0" fillId="0" borderId="20" xfId="0" applyBorder="1"/>
    <xf numFmtId="0" fontId="12" fillId="0" borderId="73" xfId="4" applyBorder="1"/>
    <xf numFmtId="0" fontId="12" fillId="0" borderId="74" xfId="4" applyBorder="1"/>
    <xf numFmtId="0" fontId="8" fillId="0" borderId="19" xfId="0" applyFont="1" applyBorder="1"/>
    <xf numFmtId="0" fontId="8" fillId="0" borderId="20" xfId="0" applyFont="1" applyBorder="1" applyAlignment="1">
      <alignment horizontal="center" vertical="center" wrapText="1"/>
    </xf>
    <xf numFmtId="170" fontId="69" fillId="17" borderId="1" xfId="23" applyFont="1" applyFill="1">
      <alignment horizontal="right"/>
      <protection locked="0"/>
    </xf>
    <xf numFmtId="3" fontId="1" fillId="0" borderId="0" xfId="9" applyNumberFormat="1" applyBorder="1">
      <alignment horizontal="right"/>
    </xf>
    <xf numFmtId="1" fontId="0" fillId="0" borderId="0" xfId="0" applyNumberFormat="1"/>
    <xf numFmtId="170" fontId="9" fillId="0" borderId="20" xfId="35" applyBorder="1">
      <alignment horizontal="right"/>
    </xf>
    <xf numFmtId="170" fontId="1" fillId="0" borderId="0" xfId="9" applyBorder="1">
      <alignment horizontal="right"/>
    </xf>
    <xf numFmtId="0" fontId="0" fillId="0" borderId="70" xfId="0" applyBorder="1"/>
    <xf numFmtId="0" fontId="0" fillId="0" borderId="71" xfId="0" applyBorder="1"/>
    <xf numFmtId="0" fontId="0" fillId="0" borderId="72" xfId="0" applyBorder="1"/>
    <xf numFmtId="0" fontId="70" fillId="25" borderId="0" xfId="0" applyFont="1" applyFill="1"/>
    <xf numFmtId="4" fontId="52" fillId="0" borderId="0" xfId="0" applyNumberFormat="1" applyFont="1" applyAlignment="1">
      <alignment horizontal="right"/>
    </xf>
    <xf numFmtId="10" fontId="35" fillId="0" borderId="0" xfId="0" applyNumberFormat="1" applyFont="1"/>
    <xf numFmtId="10" fontId="36" fillId="0" borderId="0" xfId="0" applyNumberFormat="1" applyFont="1"/>
    <xf numFmtId="10" fontId="0" fillId="0" borderId="0" xfId="0" applyNumberFormat="1"/>
    <xf numFmtId="10" fontId="36" fillId="9" borderId="0" xfId="0" applyNumberFormat="1" applyFont="1" applyFill="1"/>
    <xf numFmtId="10" fontId="36" fillId="10" borderId="0" xfId="0" applyNumberFormat="1" applyFont="1" applyFill="1"/>
    <xf numFmtId="170" fontId="69" fillId="17" borderId="1" xfId="23" applyFont="1" applyFill="1" applyProtection="1">
      <alignment horizontal="right"/>
    </xf>
    <xf numFmtId="0" fontId="71" fillId="21" borderId="75" xfId="46" applyFont="1" applyFill="1" applyBorder="1"/>
    <xf numFmtId="0" fontId="63" fillId="0" borderId="0" xfId="46" applyFont="1" applyAlignment="1">
      <alignment horizontal="left"/>
    </xf>
    <xf numFmtId="0" fontId="63" fillId="0" borderId="12" xfId="46" applyFont="1" applyBorder="1" applyAlignment="1">
      <alignment horizontal="left"/>
    </xf>
    <xf numFmtId="0" fontId="62" fillId="21" borderId="61" xfId="46" applyFont="1" applyFill="1" applyBorder="1" applyAlignment="1" applyProtection="1">
      <alignment horizontal="left"/>
      <protection locked="0"/>
    </xf>
    <xf numFmtId="0" fontId="64" fillId="23" borderId="61" xfId="46" applyFont="1" applyFill="1" applyBorder="1" applyAlignment="1" applyProtection="1">
      <alignment horizontal="left"/>
      <protection locked="0"/>
    </xf>
    <xf numFmtId="177" fontId="59" fillId="22" borderId="76" xfId="51" applyNumberFormat="1" applyFont="1" applyFill="1" applyBorder="1" applyAlignment="1" applyProtection="1">
      <alignment horizontal="center" vertical="center" wrapText="1"/>
      <protection locked="0"/>
    </xf>
    <xf numFmtId="177" fontId="65" fillId="0" borderId="77" xfId="51" applyNumberFormat="1" applyFont="1" applyBorder="1"/>
    <xf numFmtId="0" fontId="66" fillId="0" borderId="78" xfId="46" applyFont="1" applyBorder="1"/>
    <xf numFmtId="0" fontId="66" fillId="0" borderId="79" xfId="46" applyFont="1" applyBorder="1" applyProtection="1">
      <protection locked="0"/>
    </xf>
    <xf numFmtId="0" fontId="66" fillId="0" borderId="80" xfId="46" applyFont="1" applyBorder="1" applyAlignment="1">
      <alignment horizontal="right"/>
    </xf>
    <xf numFmtId="9" fontId="0" fillId="0" borderId="81" xfId="52" applyFont="1" applyBorder="1"/>
    <xf numFmtId="9" fontId="0" fillId="0" borderId="82" xfId="52" applyFont="1" applyBorder="1"/>
    <xf numFmtId="0" fontId="66" fillId="0" borderId="83" xfId="46" applyFont="1" applyBorder="1" applyAlignment="1">
      <alignment horizontal="right"/>
    </xf>
    <xf numFmtId="9" fontId="0" fillId="0" borderId="84" xfId="52" applyFont="1" applyBorder="1"/>
    <xf numFmtId="9" fontId="0" fillId="0" borderId="85" xfId="52" applyFont="1" applyBorder="1"/>
    <xf numFmtId="0" fontId="66" fillId="0" borderId="86" xfId="46" applyFont="1" applyBorder="1" applyAlignment="1">
      <alignment horizontal="right"/>
    </xf>
    <xf numFmtId="9" fontId="0" fillId="0" borderId="87" xfId="52" applyFont="1" applyBorder="1"/>
    <xf numFmtId="9" fontId="0" fillId="0" borderId="88" xfId="52" applyFont="1" applyBorder="1"/>
    <xf numFmtId="177" fontId="65" fillId="0" borderId="89" xfId="51" applyNumberFormat="1" applyFont="1" applyBorder="1"/>
    <xf numFmtId="0" fontId="66" fillId="0" borderId="90" xfId="46" applyFont="1" applyBorder="1" applyProtection="1">
      <protection locked="0"/>
    </xf>
    <xf numFmtId="0" fontId="66" fillId="0" borderId="91" xfId="46" applyFont="1" applyBorder="1" applyAlignment="1">
      <alignment horizontal="right"/>
    </xf>
    <xf numFmtId="9" fontId="0" fillId="0" borderId="92" xfId="52" applyFont="1" applyBorder="1"/>
    <xf numFmtId="9" fontId="0" fillId="0" borderId="92" xfId="52" applyFont="1" applyBorder="1" applyProtection="1">
      <protection locked="0"/>
    </xf>
    <xf numFmtId="9" fontId="0" fillId="0" borderId="84" xfId="52" applyFont="1" applyBorder="1" applyProtection="1">
      <protection locked="0"/>
    </xf>
    <xf numFmtId="9" fontId="0" fillId="0" borderId="85" xfId="52" applyFont="1" applyBorder="1" applyProtection="1">
      <protection locked="0"/>
    </xf>
    <xf numFmtId="9" fontId="0" fillId="0" borderId="87" xfId="52" applyFont="1" applyBorder="1" applyProtection="1">
      <protection locked="0"/>
    </xf>
    <xf numFmtId="9" fontId="0" fillId="0" borderId="88" xfId="52" applyFont="1" applyBorder="1" applyProtection="1">
      <protection locked="0"/>
    </xf>
    <xf numFmtId="0" fontId="57" fillId="0" borderId="0" xfId="46" applyAlignment="1">
      <alignment horizontal="right"/>
    </xf>
    <xf numFmtId="0" fontId="58" fillId="0" borderId="0" xfId="46" applyFont="1" applyAlignment="1">
      <alignment horizontal="right"/>
    </xf>
    <xf numFmtId="0" fontId="66" fillId="26" borderId="0" xfId="46" applyFont="1" applyFill="1"/>
    <xf numFmtId="0" fontId="66" fillId="27" borderId="0" xfId="46" applyFont="1" applyFill="1"/>
    <xf numFmtId="0" fontId="61" fillId="0" borderId="0" xfId="46" applyFont="1"/>
    <xf numFmtId="9" fontId="0" fillId="0" borderId="93" xfId="52" applyFont="1" applyBorder="1"/>
    <xf numFmtId="0" fontId="22" fillId="7" borderId="19" xfId="0" applyFont="1" applyFill="1" applyBorder="1"/>
    <xf numFmtId="0" fontId="22" fillId="7" borderId="0" xfId="0" applyFont="1" applyFill="1" applyAlignment="1">
      <alignment horizontal="right"/>
    </xf>
    <xf numFmtId="0" fontId="0" fillId="0" borderId="0" xfId="0" applyAlignment="1">
      <alignment horizontal="center"/>
    </xf>
    <xf numFmtId="172" fontId="22" fillId="7" borderId="0" xfId="0" applyNumberFormat="1" applyFont="1" applyFill="1"/>
    <xf numFmtId="172" fontId="0" fillId="0" borderId="0" xfId="0" applyNumberFormat="1"/>
    <xf numFmtId="0" fontId="8" fillId="9" borderId="0" xfId="0" applyFont="1" applyFill="1" applyAlignment="1">
      <alignment horizontal="center" vertical="center"/>
    </xf>
    <xf numFmtId="0" fontId="72" fillId="9" borderId="0" xfId="4" applyFont="1" applyFill="1" applyBorder="1" applyAlignment="1">
      <alignment horizontal="centerContinuous"/>
    </xf>
    <xf numFmtId="0" fontId="12" fillId="9" borderId="0" xfId="4" applyFill="1" applyBorder="1" applyAlignment="1">
      <alignment horizontal="centerContinuous"/>
    </xf>
    <xf numFmtId="166" fontId="9" fillId="9" borderId="0" xfId="42" applyFont="1" applyFill="1">
      <alignment horizontal="right"/>
    </xf>
    <xf numFmtId="0" fontId="4" fillId="0" borderId="0" xfId="4" applyFont="1" applyBorder="1" applyAlignment="1">
      <alignment horizontal="centerContinuous"/>
    </xf>
    <xf numFmtId="0" fontId="8" fillId="9" borderId="0" xfId="0" applyFont="1" applyFill="1" applyAlignment="1">
      <alignment wrapText="1"/>
    </xf>
    <xf numFmtId="14" fontId="0" fillId="0" borderId="0" xfId="0" applyNumberFormat="1"/>
    <xf numFmtId="170" fontId="22" fillId="0" borderId="1" xfId="26" applyFont="1">
      <alignment horizontal="right"/>
      <protection locked="0"/>
    </xf>
    <xf numFmtId="4" fontId="73" fillId="0" borderId="1" xfId="19" applyFont="1">
      <alignment horizontal="right"/>
      <protection locked="0"/>
    </xf>
    <xf numFmtId="0" fontId="20" fillId="0" borderId="0" xfId="0" applyFont="1" applyAlignment="1">
      <alignment horizontal="centerContinuous" vertical="center"/>
    </xf>
    <xf numFmtId="0" fontId="74" fillId="17" borderId="0" xfId="0" applyFont="1" applyFill="1" applyAlignment="1">
      <alignment horizontal="center" vertical="center"/>
    </xf>
    <xf numFmtId="0" fontId="42" fillId="0" borderId="0" xfId="0" quotePrefix="1" applyFont="1" applyAlignment="1">
      <alignment horizontal="left" wrapText="1"/>
    </xf>
    <xf numFmtId="0" fontId="42" fillId="0" borderId="0" xfId="0" applyFont="1" applyAlignment="1">
      <alignment horizontal="left" wrapText="1"/>
    </xf>
    <xf numFmtId="0" fontId="7" fillId="0" borderId="11" xfId="0" quotePrefix="1" applyFont="1" applyBorder="1" applyAlignment="1">
      <alignment horizontal="left" vertical="center" wrapText="1"/>
    </xf>
    <xf numFmtId="0" fontId="7" fillId="0" borderId="12" xfId="0" quotePrefix="1" applyFont="1" applyBorder="1" applyAlignment="1">
      <alignment horizontal="left" vertical="center" wrapText="1"/>
    </xf>
    <xf numFmtId="0" fontId="7" fillId="0" borderId="13" xfId="0" quotePrefix="1" applyFont="1" applyBorder="1" applyAlignment="1">
      <alignment horizontal="left" vertical="center" wrapText="1"/>
    </xf>
    <xf numFmtId="0" fontId="7" fillId="0" borderId="19" xfId="0" quotePrefix="1" applyFont="1" applyBorder="1" applyAlignment="1">
      <alignment horizontal="left" vertical="center" wrapText="1"/>
    </xf>
    <xf numFmtId="0" fontId="7" fillId="0" borderId="0" xfId="0" quotePrefix="1" applyFont="1" applyAlignment="1">
      <alignment horizontal="left" vertical="center" wrapText="1"/>
    </xf>
    <xf numFmtId="0" fontId="7" fillId="0" borderId="20" xfId="0" quotePrefix="1" applyFont="1" applyBorder="1" applyAlignment="1">
      <alignment horizontal="left" vertical="center" wrapText="1"/>
    </xf>
    <xf numFmtId="0" fontId="7" fillId="0" borderId="70" xfId="0" quotePrefix="1" applyFont="1" applyBorder="1" applyAlignment="1">
      <alignment horizontal="left" vertical="center" wrapText="1"/>
    </xf>
    <xf numFmtId="0" fontId="7" fillId="0" borderId="71" xfId="0" quotePrefix="1" applyFont="1" applyBorder="1" applyAlignment="1">
      <alignment horizontal="left" vertical="center" wrapText="1"/>
    </xf>
    <xf numFmtId="0" fontId="7" fillId="0" borderId="72" xfId="0" quotePrefix="1" applyFont="1" applyBorder="1" applyAlignment="1">
      <alignment horizontal="left" vertical="center" wrapText="1"/>
    </xf>
    <xf numFmtId="0" fontId="2" fillId="3" borderId="1" xfId="24">
      <protection locked="0"/>
    </xf>
    <xf numFmtId="0" fontId="7" fillId="0" borderId="1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46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2" fillId="17" borderId="1" xfId="24" applyFill="1">
      <protection locked="0"/>
    </xf>
    <xf numFmtId="0" fontId="70" fillId="25" borderId="11" xfId="0" applyFont="1" applyFill="1" applyBorder="1" applyAlignment="1">
      <alignment horizontal="center"/>
    </xf>
    <xf numFmtId="0" fontId="70" fillId="25" borderId="12" xfId="0" applyFont="1" applyFill="1" applyBorder="1" applyAlignment="1">
      <alignment horizontal="center"/>
    </xf>
    <xf numFmtId="0" fontId="70" fillId="25" borderId="13" xfId="0" applyFont="1" applyFill="1" applyBorder="1" applyAlignment="1">
      <alignment horizontal="center"/>
    </xf>
    <xf numFmtId="0" fontId="8" fillId="0" borderId="25" xfId="0" quotePrefix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0" borderId="0" xfId="0" quotePrefix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9" borderId="26" xfId="0" quotePrefix="1" applyFont="1" applyFill="1" applyBorder="1" applyAlignment="1">
      <alignment horizontal="center" vertical="center" wrapText="1"/>
    </xf>
    <xf numFmtId="0" fontId="8" fillId="9" borderId="0" xfId="0" applyFont="1" applyFill="1" applyAlignment="1">
      <alignment horizontal="center" vertical="center" wrapText="1"/>
    </xf>
    <xf numFmtId="0" fontId="8" fillId="10" borderId="26" xfId="0" quotePrefix="1" applyFont="1" applyFill="1" applyBorder="1" applyAlignment="1">
      <alignment horizontal="center" vertical="center" wrapText="1"/>
    </xf>
    <xf numFmtId="0" fontId="8" fillId="10" borderId="0" xfId="0" applyFont="1" applyFill="1" applyAlignment="1">
      <alignment horizontal="center" vertical="center" wrapText="1"/>
    </xf>
    <xf numFmtId="0" fontId="8" fillId="0" borderId="26" xfId="0" quotePrefix="1" applyFont="1" applyBorder="1" applyAlignment="1">
      <alignment horizontal="center" vertical="center" wrapText="1"/>
    </xf>
    <xf numFmtId="0" fontId="48" fillId="9" borderId="0" xfId="0" applyFont="1" applyFill="1" applyAlignment="1">
      <alignment horizontal="center"/>
    </xf>
    <xf numFmtId="0" fontId="12" fillId="0" borderId="0" xfId="0" applyFont="1" applyAlignment="1">
      <alignment horizontal="center" vertical="center"/>
    </xf>
    <xf numFmtId="177" fontId="59" fillId="18" borderId="0" xfId="51" applyNumberFormat="1" applyFont="1" applyFill="1" applyBorder="1" applyAlignment="1" applyProtection="1">
      <alignment horizontal="center" wrapText="1"/>
      <protection locked="0"/>
    </xf>
    <xf numFmtId="0" fontId="45" fillId="14" borderId="0" xfId="0" applyFont="1" applyFill="1" applyAlignment="1">
      <alignment horizontal="center"/>
    </xf>
    <xf numFmtId="0" fontId="45" fillId="11" borderId="0" xfId="0" applyFont="1" applyFill="1" applyAlignment="1">
      <alignment horizontal="center"/>
    </xf>
    <xf numFmtId="0" fontId="38" fillId="11" borderId="32" xfId="0" quotePrefix="1" applyFont="1" applyFill="1" applyBorder="1" applyAlignment="1">
      <alignment horizontal="center" vertical="center" textRotation="90"/>
    </xf>
    <xf numFmtId="0" fontId="38" fillId="11" borderId="32" xfId="0" applyFont="1" applyFill="1" applyBorder="1" applyAlignment="1">
      <alignment horizontal="center" vertical="center" textRotation="90"/>
    </xf>
    <xf numFmtId="0" fontId="38" fillId="11" borderId="35" xfId="0" applyFont="1" applyFill="1" applyBorder="1" applyAlignment="1">
      <alignment horizontal="center" vertical="center" textRotation="90"/>
    </xf>
    <xf numFmtId="0" fontId="38" fillId="8" borderId="32" xfId="0" quotePrefix="1" applyFont="1" applyFill="1" applyBorder="1" applyAlignment="1">
      <alignment horizontal="center" vertical="center" textRotation="90"/>
    </xf>
    <xf numFmtId="0" fontId="38" fillId="8" borderId="32" xfId="0" applyFont="1" applyFill="1" applyBorder="1" applyAlignment="1">
      <alignment horizontal="center" vertical="center" textRotation="90"/>
    </xf>
    <xf numFmtId="0" fontId="38" fillId="8" borderId="35" xfId="0" applyFont="1" applyFill="1" applyBorder="1" applyAlignment="1">
      <alignment horizontal="center" vertical="center" textRotation="90"/>
    </xf>
    <xf numFmtId="14" fontId="28" fillId="0" borderId="47" xfId="0" applyNumberFormat="1" applyFont="1" applyBorder="1" applyAlignment="1">
      <alignment horizontal="center" vertical="center"/>
    </xf>
    <xf numFmtId="14" fontId="28" fillId="0" borderId="43" xfId="0" applyNumberFormat="1" applyFont="1" applyBorder="1" applyAlignment="1">
      <alignment horizontal="center" vertical="center"/>
    </xf>
    <xf numFmtId="0" fontId="28" fillId="0" borderId="32" xfId="0" quotePrefix="1" applyFont="1" applyBorder="1" applyAlignment="1">
      <alignment horizontal="left" vertical="center" wrapText="1"/>
    </xf>
    <xf numFmtId="0" fontId="28" fillId="0" borderId="53" xfId="0" quotePrefix="1" applyFont="1" applyBorder="1" applyAlignment="1">
      <alignment horizontal="left" vertical="center" wrapText="1"/>
    </xf>
    <xf numFmtId="14" fontId="28" fillId="0" borderId="40" xfId="0" applyNumberFormat="1" applyFont="1" applyBorder="1" applyAlignment="1">
      <alignment horizontal="center" vertical="center"/>
    </xf>
  </cellXfs>
  <cellStyles count="53">
    <cellStyle name="20% - Accent3 2" xfId="49" xr:uid="{6B5B5D7E-D4AE-4F6B-8D8E-3C980BFD81C2}"/>
    <cellStyle name="CA Calc %" xfId="5" xr:uid="{00000000-0005-0000-0000-000000000000}"/>
    <cellStyle name="CA Calc 0.0" xfId="6" xr:uid="{00000000-0005-0000-0000-000001000000}"/>
    <cellStyle name="CA Calc 0.00" xfId="7" xr:uid="{00000000-0005-0000-0000-000002000000}"/>
    <cellStyle name="CA Calc 0.0000" xfId="8" xr:uid="{00000000-0005-0000-0000-000003000000}"/>
    <cellStyle name="CA Calc Num" xfId="9" xr:uid="{00000000-0005-0000-0000-000004000000}"/>
    <cellStyle name="CA Comments" xfId="10" xr:uid="{00000000-0005-0000-0000-000005000000}"/>
    <cellStyle name="CA Currency Num" xfId="42" xr:uid="{00000000-0005-0000-0000-000006000000}"/>
    <cellStyle name="CA Date" xfId="11" xr:uid="{00000000-0005-0000-0000-000007000000}"/>
    <cellStyle name="CA Head 3 Date" xfId="12" xr:uid="{00000000-0005-0000-0000-000008000000}"/>
    <cellStyle name="CA Heading 5" xfId="13" xr:uid="{00000000-0005-0000-0000-000009000000}"/>
    <cellStyle name="CA Inp %" xfId="14" xr:uid="{00000000-0005-0000-0000-00000A000000}"/>
    <cellStyle name="CA Inp 0.00" xfId="15" xr:uid="{00000000-0005-0000-0000-00000B000000}"/>
    <cellStyle name="CA Inp 0.0000" xfId="16" xr:uid="{00000000-0005-0000-0000-00000C000000}"/>
    <cellStyle name="CA Inp 0.0000%" xfId="17" xr:uid="{00000000-0005-0000-0000-00000D000000}"/>
    <cellStyle name="CA Inp Calc %" xfId="18" xr:uid="{00000000-0005-0000-0000-00000E000000}"/>
    <cellStyle name="CA Inp Calc 0.00" xfId="19" xr:uid="{00000000-0005-0000-0000-00000F000000}"/>
    <cellStyle name="CA Inp Calc 0.0000" xfId="20" xr:uid="{00000000-0005-0000-0000-000010000000}"/>
    <cellStyle name="CA Inp Calc Num" xfId="21" xr:uid="{00000000-0005-0000-0000-000011000000}"/>
    <cellStyle name="CA Inp Date" xfId="22" xr:uid="{00000000-0005-0000-0000-000012000000}"/>
    <cellStyle name="CA Inp Num" xfId="23" xr:uid="{00000000-0005-0000-0000-000013000000}"/>
    <cellStyle name="CA Inp Text" xfId="24" xr:uid="{00000000-0005-0000-0000-000014000000}"/>
    <cellStyle name="CA Macro 0.00" xfId="25" xr:uid="{00000000-0005-0000-0000-000015000000}"/>
    <cellStyle name="CA Macro Number" xfId="26" xr:uid="{00000000-0005-0000-0000-000016000000}"/>
    <cellStyle name="CA Notes" xfId="27" xr:uid="{00000000-0005-0000-0000-000017000000}"/>
    <cellStyle name="CA Total 1 %" xfId="28" xr:uid="{00000000-0005-0000-0000-000018000000}"/>
    <cellStyle name="CA Total 1 0.00" xfId="29" xr:uid="{00000000-0005-0000-0000-000019000000}"/>
    <cellStyle name="CA Total 1 Curr" xfId="43" xr:uid="{00000000-0005-0000-0000-00001A000000}"/>
    <cellStyle name="CA Total 1 Descr" xfId="30" xr:uid="{00000000-0005-0000-0000-00001B000000}"/>
    <cellStyle name="CA Total 1 Num" xfId="31" xr:uid="{00000000-0005-0000-0000-00001C000000}"/>
    <cellStyle name="CA Total 2 %" xfId="32" xr:uid="{00000000-0005-0000-0000-00001D000000}"/>
    <cellStyle name="CA Total 2 0.00" xfId="33" xr:uid="{00000000-0005-0000-0000-00001E000000}"/>
    <cellStyle name="CA Total 2 Currency" xfId="44" xr:uid="{00000000-0005-0000-0000-00001F000000}"/>
    <cellStyle name="CA Total 2 Descr" xfId="34" xr:uid="{00000000-0005-0000-0000-000020000000}"/>
    <cellStyle name="CA Total 2 Num" xfId="35" xr:uid="{00000000-0005-0000-0000-000021000000}"/>
    <cellStyle name="CA Total 3 %" xfId="36" xr:uid="{00000000-0005-0000-0000-000022000000}"/>
    <cellStyle name="CA Total 3 0.00" xfId="37" xr:uid="{00000000-0005-0000-0000-000023000000}"/>
    <cellStyle name="CA Total 3 Descr" xfId="38" xr:uid="{00000000-0005-0000-0000-000024000000}"/>
    <cellStyle name="CA Total 3 Num" xfId="39" xr:uid="{00000000-0005-0000-0000-000025000000}"/>
    <cellStyle name="CA Units" xfId="40" xr:uid="{00000000-0005-0000-0000-000026000000}"/>
    <cellStyle name="Comma" xfId="45" builtinId="3"/>
    <cellStyle name="Comma 2" xfId="47" xr:uid="{33D7B417-63A1-4ED4-BBDC-B96A9FADB4DB}"/>
    <cellStyle name="Comma 3" xfId="51" xr:uid="{6B21F242-4002-4546-A0D8-C25E28ADC5E7}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Normal" xfId="0" builtinId="0" customBuiltin="1"/>
    <cellStyle name="Normal 2" xfId="46" xr:uid="{9E9C35CD-57DC-4E24-9D0D-276492ED9990}"/>
    <cellStyle name="Normal 2 2" xfId="50" xr:uid="{A8477C19-BEAC-4A7B-AD09-D2F35EE4D53C}"/>
    <cellStyle name="Normal_Costing" xfId="48" xr:uid="{31EE0DC6-C490-494D-9641-46CC7484486F}"/>
    <cellStyle name="Percent 2" xfId="52" xr:uid="{A41B5FA2-EB0D-498B-AACC-0F4BD99E6941}"/>
    <cellStyle name="Unit" xfId="41" xr:uid="{00000000-0005-0000-0000-00002C000000}"/>
  </cellStyles>
  <dxfs count="469"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4" formatCode="#,##0.00"/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b/>
        <i val="0"/>
      </font>
    </dxf>
    <dxf>
      <font>
        <b/>
        <i val="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4" formatCode="#,##0.0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4" formatCode="#,##0.0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4" formatCode="#,##0.0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4" formatCode="#,##0.0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4" formatCode="#,##0.0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4" formatCode="#,##0.0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4" formatCode="#,##0.0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4" formatCode="#,##0.0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4" formatCode="#,##0.0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4" formatCode="#,##0.0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4" formatCode="#,##0.0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4" formatCode="#,##0.0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b/>
        <i val="0"/>
      </font>
    </dxf>
    <dxf>
      <font>
        <b/>
        <i val="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FFC000"/>
      </font>
    </dxf>
    <dxf>
      <font>
        <color rgb="FFFFC00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4" formatCode="#,##0.0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4" formatCode="#,##0.0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4" formatCode="#,##0.0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4" formatCode="#,##0.0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4" formatCode="#,##0.00"/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</font>
    </dxf>
    <dxf>
      <font>
        <b/>
        <i val="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b/>
        <i val="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b/>
        <i val="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b/>
        <i val="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strike val="0"/>
        <outline val="0"/>
        <shadow val="0"/>
        <u val="none"/>
        <vertAlign val="baseline"/>
        <sz val="10"/>
        <color theme="7" tint="-0.24994659260841701"/>
        <name val="Calibri"/>
        <scheme val="minor"/>
      </font>
      <numFmt numFmtId="4" formatCode="#,##0.00"/>
    </dxf>
    <dxf>
      <font>
        <strike val="0"/>
        <outline val="0"/>
        <shadow val="0"/>
        <u val="none"/>
        <vertAlign val="baseline"/>
        <sz val="10"/>
        <color theme="7" tint="-0.24994659260841701"/>
        <name val="Calibri"/>
        <scheme val="minor"/>
      </font>
      <numFmt numFmtId="4" formatCode="#,##0.0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7" tint="-0.24994659260841701"/>
        <name val="Calibri"/>
        <scheme val="minor"/>
      </font>
      <numFmt numFmtId="4" formatCode="#,##0.00"/>
    </dxf>
    <dxf>
      <font>
        <strike val="0"/>
        <outline val="0"/>
        <shadow val="0"/>
        <u val="none"/>
        <vertAlign val="baseline"/>
        <sz val="10"/>
        <color theme="7" tint="-0.24994659260841701"/>
        <name val="Calibri"/>
        <scheme val="minor"/>
      </font>
      <numFmt numFmtId="4" formatCode="#,##0.00"/>
    </dxf>
    <dxf>
      <font>
        <strike val="0"/>
        <outline val="0"/>
        <shadow val="0"/>
        <u val="none"/>
        <vertAlign val="baseline"/>
        <sz val="10"/>
        <color theme="7" tint="-0.24994659260841701"/>
        <name val="Calibri"/>
        <scheme val="minor"/>
      </font>
      <numFmt numFmtId="4" formatCode="#,##0.00"/>
    </dxf>
    <dxf>
      <font>
        <strike val="0"/>
        <outline val="0"/>
        <shadow val="0"/>
        <u val="none"/>
        <vertAlign val="baseline"/>
        <sz val="10"/>
        <color theme="7" tint="-0.24994659260841701"/>
        <name val="Calibri"/>
        <scheme val="minor"/>
      </font>
      <numFmt numFmtId="4" formatCode="#,##0.00"/>
    </dxf>
    <dxf>
      <font>
        <strike val="0"/>
        <outline val="0"/>
        <shadow val="0"/>
        <u val="none"/>
        <vertAlign val="baseline"/>
        <sz val="10"/>
        <color theme="7" tint="-0.24994659260841701"/>
        <name val="Calibri"/>
        <scheme val="minor"/>
      </font>
      <numFmt numFmtId="4" formatCode="#,##0.0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b/>
        <i val="0"/>
      </font>
    </dxf>
    <dxf>
      <font>
        <b/>
        <i val="0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7" tint="-0.24994659260841701"/>
        <name val="Calibri"/>
        <scheme val="minor"/>
      </font>
      <numFmt numFmtId="4" formatCode="#,##0.00"/>
      <border outline="0">
        <left style="thin">
          <color theme="3"/>
        </left>
      </border>
    </dxf>
    <dxf>
      <font>
        <strike val="0"/>
        <outline val="0"/>
        <shadow val="0"/>
        <u val="none"/>
        <vertAlign val="baseline"/>
        <sz val="10"/>
        <color theme="7" tint="-0.24994659260841701"/>
        <name val="Calibri"/>
        <scheme val="minor"/>
      </font>
      <numFmt numFmtId="4" formatCode="#,##0.00"/>
      <border outline="0">
        <left style="thin">
          <color theme="3"/>
        </left>
        <right style="thin">
          <color theme="3"/>
        </right>
      </border>
    </dxf>
    <dxf>
      <font>
        <strike val="0"/>
        <outline val="0"/>
        <shadow val="0"/>
        <u val="none"/>
        <vertAlign val="baseline"/>
        <sz val="10"/>
        <color theme="7" tint="-0.24994659260841701"/>
        <name val="Calibri"/>
        <scheme val="minor"/>
      </font>
      <numFmt numFmtId="4" formatCode="#,##0.00"/>
      <border outline="0">
        <left style="thin">
          <color theme="3"/>
        </left>
        <right style="thin">
          <color theme="3"/>
        </right>
      </border>
    </dxf>
    <dxf>
      <font>
        <strike val="0"/>
        <outline val="0"/>
        <shadow val="0"/>
        <u val="none"/>
        <vertAlign val="baseline"/>
        <sz val="10"/>
        <color theme="7" tint="-0.24994659260841701"/>
        <name val="Calibri"/>
        <scheme val="minor"/>
      </font>
      <numFmt numFmtId="4" formatCode="#,##0.00"/>
      <border outline="0">
        <left style="thin">
          <color theme="3"/>
        </left>
        <right style="thin">
          <color theme="3"/>
        </right>
      </border>
    </dxf>
    <dxf>
      <font>
        <strike val="0"/>
        <outline val="0"/>
        <shadow val="0"/>
        <u val="none"/>
        <vertAlign val="baseline"/>
        <sz val="10"/>
        <color theme="7" tint="-0.24994659260841701"/>
        <name val="Calibri"/>
        <scheme val="minor"/>
      </font>
      <numFmt numFmtId="4" formatCode="#,##0.00"/>
      <border>
        <right style="thin">
          <color theme="3"/>
        </right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  <border outline="0">
        <right style="thin">
          <color theme="3"/>
        </right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b/>
        <i val="0"/>
      </font>
    </dxf>
    <dxf>
      <font>
        <b/>
        <i val="0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  <fill>
        <patternFill patternType="none">
          <fgColor indexed="64"/>
          <bgColor auto="1"/>
        </patternFill>
      </fill>
      <border outline="0">
        <left style="thin">
          <color theme="3"/>
        </left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fill>
        <patternFill patternType="none">
          <fgColor indexed="64"/>
          <bgColor auto="1"/>
        </patternFill>
      </fill>
      <border outline="0">
        <left style="thin">
          <color theme="3"/>
        </left>
        <right style="thin">
          <color theme="3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5" tint="0.39994506668294322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5" tint="0.39994506668294322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2499465926084170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name val="Calibri"/>
        <scheme val="minor"/>
      </font>
      <fill>
        <patternFill patternType="none">
          <fgColor indexed="64"/>
          <bgColor auto="1"/>
        </patternFill>
      </fill>
      <border outline="0">
        <left style="thin">
          <color theme="3"/>
        </left>
        <right style="thin">
          <color theme="3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2499465926084170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name val="Calibri"/>
        <scheme val="minor"/>
      </font>
      <fill>
        <patternFill patternType="none">
          <fgColor indexed="64"/>
          <bgColor auto="1"/>
        </patternFill>
      </fill>
      <border outline="0">
        <left style="thin">
          <color theme="3"/>
        </left>
        <right style="thin">
          <color theme="3"/>
        </right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fill>
        <patternFill patternType="none">
          <fgColor indexed="64"/>
          <bgColor auto="1"/>
        </patternFill>
      </fill>
      <border outline="0">
        <left style="thin">
          <color theme="3"/>
        </left>
        <right style="thin">
          <color theme="3"/>
        </right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fill>
        <patternFill patternType="none">
          <fgColor indexed="64"/>
          <bgColor auto="1"/>
        </patternFill>
      </fill>
      <border outline="0">
        <left style="thin">
          <color theme="3"/>
        </left>
        <right style="thin">
          <color theme="3"/>
        </right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fill>
        <patternFill patternType="none">
          <fgColor indexed="64"/>
          <bgColor auto="1"/>
        </patternFill>
      </fill>
      <border outline="0">
        <left style="thin">
          <color theme="3"/>
        </left>
        <right style="thin">
          <color theme="3"/>
        </right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fill>
        <patternFill patternType="none">
          <fgColor indexed="64"/>
          <bgColor auto="1"/>
        </patternFill>
      </fill>
      <border outline="0">
        <right style="thin">
          <color theme="3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border diagonalUp="0" diagonalDown="0">
        <left/>
        <right style="thin">
          <color theme="3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border diagonalUp="0" diagonalDown="0">
        <left/>
        <right style="thin">
          <color theme="3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border diagonalUp="0" diagonalDown="0">
        <left/>
        <right style="thin">
          <color theme="3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border diagonalUp="0" diagonalDown="0">
        <left/>
        <right style="thin">
          <color theme="3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border diagonalUp="0" diagonalDown="0">
        <left/>
        <right style="thin">
          <color theme="3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border diagonalUp="0" diagonalDown="0">
        <left/>
        <right style="thin">
          <color theme="3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  <border outline="0">
        <right style="thin">
          <color theme="3"/>
        </right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</font>
    </dxf>
    <dxf>
      <font>
        <strike val="0"/>
        <outline val="0"/>
        <shadow val="0"/>
        <u val="none"/>
        <vertAlign val="baseline"/>
        <sz val="10"/>
        <color theme="5" tint="0.39994506668294322"/>
        <name val="Calibri"/>
        <scheme val="minor"/>
      </font>
      <fill>
        <patternFill patternType="none">
          <fgColor indexed="64"/>
          <bgColor indexed="65"/>
        </patternFill>
      </fill>
      <border outline="0">
        <left style="thin">
          <color theme="3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5" tint="0.39994506668294322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5" tint="0.39994506668294322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5" tint="0.39994506668294322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name val="Calibri"/>
        <scheme val="minor"/>
      </font>
      <fill>
        <patternFill patternType="none">
          <fgColor indexed="64"/>
          <bgColor auto="1"/>
        </patternFill>
      </fill>
      <border outline="0">
        <left style="thin">
          <color theme="3"/>
        </left>
        <right style="thin">
          <color theme="3"/>
        </right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fill>
        <patternFill patternType="none">
          <fgColor indexed="64"/>
          <bgColor auto="1"/>
        </patternFill>
      </fill>
      <border outline="0">
        <left style="thin">
          <color theme="3"/>
        </left>
        <right style="thin">
          <color theme="3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2499465926084170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fill>
        <patternFill patternType="none">
          <fgColor indexed="64"/>
          <bgColor auto="1"/>
        </patternFill>
      </fill>
      <border outline="0">
        <left style="thin">
          <color theme="3"/>
        </left>
        <right style="thin">
          <color theme="3"/>
        </right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fill>
        <patternFill patternType="none">
          <fgColor indexed="64"/>
          <bgColor auto="1"/>
        </patternFill>
      </fill>
      <border outline="0">
        <left style="thin">
          <color theme="3"/>
        </left>
        <right style="thin">
          <color theme="3"/>
        </right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fill>
        <patternFill patternType="none">
          <fgColor indexed="64"/>
          <bgColor auto="1"/>
        </patternFill>
      </fill>
      <border outline="0">
        <left style="thin">
          <color theme="3"/>
        </left>
        <right style="thin">
          <color theme="3"/>
        </right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fill>
        <patternFill patternType="none">
          <fgColor indexed="64"/>
          <bgColor auto="1"/>
        </patternFill>
      </fill>
      <border outline="0">
        <left style="thin">
          <color theme="3"/>
        </left>
        <right style="thin">
          <color theme="3"/>
        </right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fill>
        <patternFill patternType="none">
          <fgColor indexed="64"/>
          <bgColor auto="1"/>
        </patternFill>
      </fill>
      <border outline="0">
        <right style="thin">
          <color theme="3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2499465926084170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2499465926084170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2499465926084170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2499465926084170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2499465926084170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7" tint="-0.2499465926084170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  <border outline="0">
        <right style="thin">
          <color theme="3"/>
        </right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theme="1" tint="0.499984740745262"/>
      </font>
      <fill>
        <gradientFill>
          <stop position="0">
            <color theme="0"/>
          </stop>
          <stop position="1">
            <color rgb="FF92D050"/>
          </stop>
        </gradientFill>
      </fill>
    </dxf>
    <dxf>
      <font>
        <color theme="1" tint="0.499984740745262"/>
      </font>
      <fill>
        <gradientFill>
          <stop position="0">
            <color theme="0"/>
          </stop>
          <stop position="1">
            <color rgb="FF92D050"/>
          </stop>
        </gradientFill>
      </fill>
    </dxf>
    <dxf>
      <font>
        <color theme="1" tint="0.499984740745262"/>
      </font>
      <fill>
        <gradientFill>
          <stop position="0">
            <color theme="0"/>
          </stop>
          <stop position="1">
            <color rgb="FF92D050"/>
          </stop>
        </gradientFill>
      </fill>
    </dxf>
    <dxf>
      <font>
        <color theme="1" tint="0.499984740745262"/>
      </font>
      <fill>
        <gradientFill>
          <stop position="0">
            <color theme="0"/>
          </stop>
          <stop position="1">
            <color rgb="FF92D050"/>
          </stop>
        </gradientFill>
      </fill>
    </dxf>
    <dxf>
      <font>
        <color theme="1" tint="0.499984740745262"/>
      </font>
      <fill>
        <gradientFill>
          <stop position="0">
            <color theme="0"/>
          </stop>
          <stop position="1">
            <color rgb="FF92D050"/>
          </stop>
        </gradientFill>
      </fill>
    </dxf>
    <dxf>
      <font>
        <color theme="1" tint="0.499984740745262"/>
      </font>
      <fill>
        <gradientFill>
          <stop position="0">
            <color theme="0"/>
          </stop>
          <stop position="1">
            <color rgb="FF92D050"/>
          </stop>
        </gradientFill>
      </fill>
    </dxf>
    <dxf>
      <font>
        <color theme="1" tint="0.499984740745262"/>
      </font>
      <fill>
        <gradientFill>
          <stop position="0">
            <color theme="0"/>
          </stop>
          <stop position="1">
            <color rgb="FF92D050"/>
          </stop>
        </gradientFill>
      </fill>
    </dxf>
    <dxf>
      <font>
        <color theme="1" tint="0.499984740745262"/>
      </font>
      <fill>
        <gradientFill>
          <stop position="0">
            <color theme="0"/>
          </stop>
          <stop position="1">
            <color rgb="FF92D050"/>
          </stop>
        </gradientFill>
      </fill>
    </dxf>
    <dxf>
      <font>
        <color theme="1" tint="0.499984740745262"/>
      </font>
      <fill>
        <gradientFill>
          <stop position="0">
            <color theme="0"/>
          </stop>
          <stop position="1">
            <color rgb="FF92D050"/>
          </stop>
        </gradientFill>
      </fill>
    </dxf>
    <dxf>
      <font>
        <color theme="1" tint="0.499984740745262"/>
      </font>
      <fill>
        <gradientFill>
          <stop position="0">
            <color theme="0"/>
          </stop>
          <stop position="1">
            <color rgb="FF92D050"/>
          </stop>
        </gradientFill>
      </fill>
    </dxf>
    <dxf>
      <font>
        <b/>
        <i val="0"/>
      </font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3999450666829432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eetMetadata" Target="metadata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3874660718604717E-2"/>
          <c:y val="6.4362432956749968E-2"/>
          <c:w val="0.86626812859996594"/>
          <c:h val="0.79041058998060021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'Monthly Comparison'!$D$100</c:f>
              <c:strCache>
                <c:ptCount val="1"/>
                <c:pt idx="0">
                  <c:v>2025/26</c:v>
                </c:pt>
              </c:strCache>
            </c:strRef>
          </c:tx>
          <c:invertIfNegative val="0"/>
          <c:cat>
            <c:numRef>
              <c:f>'Monthly Comparison'!$E$94:$Q$94</c:f>
              <c:numCache>
                <c:formatCode>mmm\ yyyy</c:formatCode>
                <c:ptCount val="12"/>
                <c:pt idx="0">
                  <c:v>46142</c:v>
                </c:pt>
                <c:pt idx="1">
                  <c:v>46173</c:v>
                </c:pt>
                <c:pt idx="2">
                  <c:v>46203</c:v>
                </c:pt>
                <c:pt idx="3">
                  <c:v>46234</c:v>
                </c:pt>
                <c:pt idx="4">
                  <c:v>46265</c:v>
                </c:pt>
                <c:pt idx="5">
                  <c:v>46295</c:v>
                </c:pt>
                <c:pt idx="6">
                  <c:v>46326</c:v>
                </c:pt>
                <c:pt idx="7">
                  <c:v>46356</c:v>
                </c:pt>
                <c:pt idx="8">
                  <c:v>46387</c:v>
                </c:pt>
                <c:pt idx="9">
                  <c:v>46418</c:v>
                </c:pt>
                <c:pt idx="10">
                  <c:v>46446</c:v>
                </c:pt>
                <c:pt idx="11">
                  <c:v>46477</c:v>
                </c:pt>
              </c:numCache>
            </c:numRef>
          </c:cat>
          <c:val>
            <c:numRef>
              <c:f>'Monthly Comparison'!$E$100:$Q$100</c:f>
              <c:numCache>
                <c:formatCode>"R"\ #\ ##0;[Red]"R"\ \-#\ ##0</c:formatCode>
                <c:ptCount val="12"/>
                <c:pt idx="0">
                  <c:v>2682.2024999999999</c:v>
                </c:pt>
                <c:pt idx="1">
                  <c:v>2682.2024999999999</c:v>
                </c:pt>
                <c:pt idx="2">
                  <c:v>2682.2024999999999</c:v>
                </c:pt>
                <c:pt idx="3">
                  <c:v>2682.2024999999999</c:v>
                </c:pt>
                <c:pt idx="4">
                  <c:v>2682.2024999999999</c:v>
                </c:pt>
                <c:pt idx="5">
                  <c:v>2682.2024999999999</c:v>
                </c:pt>
                <c:pt idx="6">
                  <c:v>2682.2024999999999</c:v>
                </c:pt>
                <c:pt idx="7">
                  <c:v>2682.2024999999999</c:v>
                </c:pt>
                <c:pt idx="8">
                  <c:v>2682.2024999999999</c:v>
                </c:pt>
                <c:pt idx="9">
                  <c:v>2682.2024999999999</c:v>
                </c:pt>
                <c:pt idx="10">
                  <c:v>2682.2024999999999</c:v>
                </c:pt>
                <c:pt idx="11">
                  <c:v>2682.2024999999999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853-4763-9EE0-59E40B9F83C0}"/>
            </c:ext>
          </c:extLst>
        </c:ser>
        <c:ser>
          <c:idx val="0"/>
          <c:order val="1"/>
          <c:tx>
            <c:strRef>
              <c:f>'Monthly Comparison'!$D$99</c:f>
              <c:strCache>
                <c:ptCount val="1"/>
                <c:pt idx="0">
                  <c:v>2026/27</c:v>
                </c:pt>
              </c:strCache>
            </c:strRef>
          </c:tx>
          <c:invertIfNegative val="0"/>
          <c:cat>
            <c:numRef>
              <c:f>'Monthly Comparison'!$E$94:$Q$94</c:f>
              <c:numCache>
                <c:formatCode>mmm\ yyyy</c:formatCode>
                <c:ptCount val="12"/>
                <c:pt idx="0">
                  <c:v>46142</c:v>
                </c:pt>
                <c:pt idx="1">
                  <c:v>46173</c:v>
                </c:pt>
                <c:pt idx="2">
                  <c:v>46203</c:v>
                </c:pt>
                <c:pt idx="3">
                  <c:v>46234</c:v>
                </c:pt>
                <c:pt idx="4">
                  <c:v>46265</c:v>
                </c:pt>
                <c:pt idx="5">
                  <c:v>46295</c:v>
                </c:pt>
                <c:pt idx="6">
                  <c:v>46326</c:v>
                </c:pt>
                <c:pt idx="7">
                  <c:v>46356</c:v>
                </c:pt>
                <c:pt idx="8">
                  <c:v>46387</c:v>
                </c:pt>
                <c:pt idx="9">
                  <c:v>46418</c:v>
                </c:pt>
                <c:pt idx="10">
                  <c:v>46446</c:v>
                </c:pt>
                <c:pt idx="11">
                  <c:v>46477</c:v>
                </c:pt>
              </c:numCache>
            </c:numRef>
          </c:cat>
          <c:val>
            <c:numRef>
              <c:f>'Monthly Comparison'!$E$99:$Q$99</c:f>
              <c:numCache>
                <c:formatCode>"R"\ #\ ##0;[Red]"R"\ \-#\ ##0</c:formatCode>
                <c:ptCount val="12"/>
                <c:pt idx="0">
                  <c:v>2917.2624999999994</c:v>
                </c:pt>
                <c:pt idx="1">
                  <c:v>2917.2624999999994</c:v>
                </c:pt>
                <c:pt idx="2">
                  <c:v>2917.2624999999994</c:v>
                </c:pt>
                <c:pt idx="3">
                  <c:v>2917.2624999999994</c:v>
                </c:pt>
                <c:pt idx="4">
                  <c:v>2917.2624999999994</c:v>
                </c:pt>
                <c:pt idx="5">
                  <c:v>2917.2624999999994</c:v>
                </c:pt>
                <c:pt idx="6">
                  <c:v>2917.2624999999994</c:v>
                </c:pt>
                <c:pt idx="7">
                  <c:v>2917.2624999999994</c:v>
                </c:pt>
                <c:pt idx="8">
                  <c:v>2917.2624999999994</c:v>
                </c:pt>
                <c:pt idx="9">
                  <c:v>2917.2624999999994</c:v>
                </c:pt>
                <c:pt idx="10">
                  <c:v>2917.2624999999994</c:v>
                </c:pt>
                <c:pt idx="11">
                  <c:v>2917.2624999999994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853-4763-9EE0-59E40B9F83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9723392"/>
        <c:axId val="455361664"/>
      </c:barChart>
      <c:dateAx>
        <c:axId val="449723392"/>
        <c:scaling>
          <c:orientation val="minMax"/>
        </c:scaling>
        <c:delete val="0"/>
        <c:axPos val="b"/>
        <c:numFmt formatCode="mmm\ yyyy" sourceLinked="1"/>
        <c:majorTickMark val="out"/>
        <c:minorTickMark val="none"/>
        <c:tickLblPos val="nextTo"/>
        <c:crossAx val="455361664"/>
        <c:crosses val="autoZero"/>
        <c:auto val="1"/>
        <c:lblOffset val="100"/>
        <c:baseTimeUnit val="months"/>
      </c:dateAx>
      <c:valAx>
        <c:axId val="455361664"/>
        <c:scaling>
          <c:orientation val="minMax"/>
        </c:scaling>
        <c:delete val="0"/>
        <c:axPos val="l"/>
        <c:majorGridlines/>
        <c:numFmt formatCode="&quot;R&quot;\ #\ ##0;[Red]&quot;R&quot;\ \-#\ ##0" sourceLinked="1"/>
        <c:majorTickMark val="out"/>
        <c:minorTickMark val="none"/>
        <c:tickLblPos val="nextTo"/>
        <c:crossAx val="4497233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2104153789650012"/>
          <c:y val="6.7115994829004585E-2"/>
          <c:w val="7.5545492820223423E-2"/>
          <c:h val="0.26762798128494808"/>
        </c:manualLayout>
      </c:layout>
      <c:overlay val="0"/>
    </c:legend>
    <c:plotVisOnly val="1"/>
    <c:dispBlanksAs val="gap"/>
    <c:showDLblsOverMax val="0"/>
  </c:chart>
  <c:spPr>
    <a:gradFill rotWithShape="1">
      <a:gsLst>
        <a:gs pos="0">
          <a:schemeClr val="accent3">
            <a:tint val="50000"/>
            <a:satMod val="300000"/>
          </a:schemeClr>
        </a:gs>
        <a:gs pos="35000">
          <a:schemeClr val="accent3">
            <a:tint val="37000"/>
            <a:satMod val="300000"/>
          </a:schemeClr>
        </a:gs>
        <a:gs pos="100000">
          <a:schemeClr val="accent3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3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/>
              <a:t>Rate Comparison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6712745519999647"/>
          <c:y val="0.14292338755282541"/>
          <c:w val="0.80927373022234683"/>
          <c:h val="0.5867536696801788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'Tariff Comparison'!$C$13</c:f>
              <c:strCache>
                <c:ptCount val="1"/>
                <c:pt idx="0">
                  <c:v>High-demand</c:v>
                </c:pt>
              </c:strCache>
            </c:strRef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('Tariff Comparison'!$D$8,'Tariff Comparison'!$H$8,'Tariff Comparison'!$L$8,'Tariff Comparison'!$P$8,'Tariff Comparison'!$T$8)</c15:sqref>
                  </c15:fullRef>
                </c:ext>
              </c:extLst>
              <c:f>('Tariff Comparison'!$D$8,'Tariff Comparison'!$H$8,'Tariff Comparison'!$L$8,'Tariff Comparison'!$P$8)</c:f>
              <c:strCache>
                <c:ptCount val="4"/>
                <c:pt idx="0">
                  <c:v>Miniflex</c:v>
                </c:pt>
                <c:pt idx="1">
                  <c:v>Nightsave Rural</c:v>
                </c:pt>
                <c:pt idx="2">
                  <c:v>Miniflex</c:v>
                </c:pt>
                <c:pt idx="3">
                  <c:v>Miniflex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('Tariff Comparison'!$E$13,'Tariff Comparison'!$I$13,'Tariff Comparison'!$M$13,'Tariff Comparison'!$Q$13,'Tariff Comparison'!$U$13)</c15:sqref>
                  </c15:fullRef>
                </c:ext>
              </c:extLst>
              <c:f>('Tariff Comparison'!$E$13,'Tariff Comparison'!$I$13,'Tariff Comparison'!$M$13,'Tariff Comparison'!$Q$13)</c:f>
              <c:numCache>
                <c:formatCode>_ "R"\ * #\ ##0_ ;_ "R"\ * \-#\ ##0_ ;_ "R"\ * "-"_ ;_ @_ </c:formatCode>
                <c:ptCount val="4"/>
                <c:pt idx="0">
                  <c:v>8823.7199999999993</c:v>
                </c:pt>
                <c:pt idx="1">
                  <c:v>8823.7199999999993</c:v>
                </c:pt>
                <c:pt idx="2">
                  <c:v>8823.7199999999993</c:v>
                </c:pt>
                <c:pt idx="3">
                  <c:v>8823.7199999999993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C50-4C7C-8166-EE4C0694CBC1}"/>
            </c:ext>
          </c:extLst>
        </c:ser>
        <c:ser>
          <c:idx val="1"/>
          <c:order val="1"/>
          <c:tx>
            <c:strRef>
              <c:f>'Tariff Comparison'!$C$14</c:f>
              <c:strCache>
                <c:ptCount val="1"/>
                <c:pt idx="0">
                  <c:v>Low demand </c:v>
                </c:pt>
              </c:strCache>
            </c:strRef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('Tariff Comparison'!$D$8,'Tariff Comparison'!$H$8,'Tariff Comparison'!$L$8,'Tariff Comparison'!$P$8,'Tariff Comparison'!$T$8)</c15:sqref>
                  </c15:fullRef>
                </c:ext>
              </c:extLst>
              <c:f>('Tariff Comparison'!$D$8,'Tariff Comparison'!$H$8,'Tariff Comparison'!$L$8,'Tariff Comparison'!$P$8)</c:f>
              <c:strCache>
                <c:ptCount val="4"/>
                <c:pt idx="0">
                  <c:v>Miniflex</c:v>
                </c:pt>
                <c:pt idx="1">
                  <c:v>Nightsave Rural</c:v>
                </c:pt>
                <c:pt idx="2">
                  <c:v>Miniflex</c:v>
                </c:pt>
                <c:pt idx="3">
                  <c:v>Miniflex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('Tariff Comparison'!$E$14,'Tariff Comparison'!$I$14,'Tariff Comparison'!$M$14,'Tariff Comparison'!$Q$14,'Tariff Comparison'!$U$14)</c15:sqref>
                  </c15:fullRef>
                </c:ext>
              </c:extLst>
              <c:f>('Tariff Comparison'!$E$14,'Tariff Comparison'!$I$14,'Tariff Comparison'!$M$14,'Tariff Comparison'!$Q$14)</c:f>
              <c:numCache>
                <c:formatCode>_ "R"\ * #\ ##0_ ;_ "R"\ * \-#\ ##0_ ;_ "R"\ * "-"_ ;_ @_ </c:formatCode>
                <c:ptCount val="4"/>
                <c:pt idx="0">
                  <c:v>26183.43</c:v>
                </c:pt>
                <c:pt idx="1">
                  <c:v>26183.43</c:v>
                </c:pt>
                <c:pt idx="2">
                  <c:v>26183.43</c:v>
                </c:pt>
                <c:pt idx="3">
                  <c:v>26183.43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C50-4C7C-8166-EE4C0694CB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93"/>
        <c:overlap val="100"/>
        <c:serLines>
          <c:spPr>
            <a:ln>
              <a:prstDash val="dash"/>
            </a:ln>
          </c:spPr>
        </c:serLines>
        <c:axId val="515711360"/>
        <c:axId val="515713280"/>
      </c:barChart>
      <c:catAx>
        <c:axId val="51571136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515713280"/>
        <c:crosses val="autoZero"/>
        <c:auto val="1"/>
        <c:lblAlgn val="ctr"/>
        <c:lblOffset val="100"/>
        <c:noMultiLvlLbl val="0"/>
      </c:catAx>
      <c:valAx>
        <c:axId val="515713280"/>
        <c:scaling>
          <c:orientation val="minMax"/>
        </c:scaling>
        <c:delete val="0"/>
        <c:axPos val="l"/>
        <c:majorGridlines/>
        <c:numFmt formatCode="_ &quot;R&quot;\ * #\ ##0_ ;_ &quot;R&quot;\ * \-#\ ##0_ ;_ &quot;R&quot;\ * &quot;-&quot;_ ;_ @_ 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515711360"/>
        <c:crosses val="autoZero"/>
        <c:crossBetween val="between"/>
        <c:dispUnits>
          <c:builtInUnit val="thousands"/>
          <c:dispUnitsLbl/>
        </c:dispUnits>
      </c:valAx>
    </c:plotArea>
    <c:legend>
      <c:legendPos val="b"/>
      <c:layout>
        <c:manualLayout>
          <c:xMode val="edge"/>
          <c:yMode val="edge"/>
          <c:x val="0.34425584866747549"/>
          <c:y val="0.87914500553789665"/>
          <c:w val="0.46171452356060594"/>
          <c:h val="0.11293006541154395"/>
        </c:manualLayout>
      </c:layout>
      <c:overlay val="0"/>
      <c:txPr>
        <a:bodyPr/>
        <a:lstStyle/>
        <a:p>
          <a:pPr>
            <a:defRPr sz="900"/>
          </a:pPr>
          <a:endParaRPr lang="en-US"/>
        </a:p>
      </c:txPr>
    </c:legend>
    <c:plotVisOnly val="1"/>
    <c:dispBlanksAs val="gap"/>
    <c:showDLblsOverMax val="0"/>
  </c:chart>
  <c:spPr>
    <a:noFill/>
    <a:ln w="12700" cap="rnd"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/>
              <a:t>Average Price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6712745519999647"/>
          <c:y val="0.14292338755282541"/>
          <c:w val="0.80927373022234683"/>
          <c:h val="0.5867536696801788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'Tariff Comparison'!$D$11</c:f>
              <c:strCache>
                <c:ptCount val="1"/>
                <c:pt idx="0">
                  <c:v>2025/26</c:v>
                </c:pt>
              </c:strCache>
            </c:strRef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('Tariff Comparison'!$C$22,'Tariff Comparison'!$H$8,'Tariff Comparison'!$L$8,'Tariff Comparison'!$P$8,'Tariff Comparison'!$T$8)</c15:sqref>
                  </c15:fullRef>
                </c:ext>
              </c:extLst>
              <c:f>('Tariff Comparison'!$C$22,'Tariff Comparison'!$H$8,'Tariff Comparison'!$L$8,'Tariff Comparison'!$P$8)</c:f>
              <c:strCache>
                <c:ptCount val="4"/>
                <c:pt idx="0">
                  <c:v>Miniflex</c:v>
                </c:pt>
                <c:pt idx="1">
                  <c:v>Nightsave Rural</c:v>
                </c:pt>
                <c:pt idx="2">
                  <c:v>Miniflex</c:v>
                </c:pt>
                <c:pt idx="3">
                  <c:v>Miniflex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('Tariff Comparison'!$D$18,'Tariff Comparison'!$H$18,'Tariff Comparison'!$L$18,'Tariff Comparison'!$P$18,'Tariff Comparison'!$T$18)</c15:sqref>
                  </c15:fullRef>
                </c:ext>
              </c:extLst>
              <c:f>('Tariff Comparison'!$D$18,'Tariff Comparison'!$H$18,'Tariff Comparison'!$L$18,'Tariff Comparison'!$P$18)</c:f>
              <c:numCache>
                <c:formatCode>_ * #\ ##0.00_ ;_ * \-#\ ##0.00_ ;_ * "-"??_ ;_ @_ 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A9-414C-8593-9BACBA9AD3E4}"/>
            </c:ext>
          </c:extLst>
        </c:ser>
        <c:ser>
          <c:idx val="1"/>
          <c:order val="1"/>
          <c:tx>
            <c:strRef>
              <c:f>'Tariff Comparison'!$E$11</c:f>
              <c:strCache>
                <c:ptCount val="1"/>
                <c:pt idx="0">
                  <c:v>2026/27</c:v>
                </c:pt>
              </c:strCache>
            </c:strRef>
          </c:tx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('Tariff Comparison'!$C$22,'Tariff Comparison'!$H$8,'Tariff Comparison'!$L$8,'Tariff Comparison'!$P$8,'Tariff Comparison'!$T$8)</c15:sqref>
                  </c15:fullRef>
                </c:ext>
              </c:extLst>
              <c:f>('Tariff Comparison'!$C$22,'Tariff Comparison'!$H$8,'Tariff Comparison'!$L$8,'Tariff Comparison'!$P$8)</c:f>
              <c:strCache>
                <c:ptCount val="4"/>
                <c:pt idx="0">
                  <c:v>Miniflex</c:v>
                </c:pt>
                <c:pt idx="1">
                  <c:v>Nightsave Rural</c:v>
                </c:pt>
                <c:pt idx="2">
                  <c:v>Miniflex</c:v>
                </c:pt>
                <c:pt idx="3">
                  <c:v>Miniflex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('Tariff Comparison'!$E$18,'Tariff Comparison'!$I$18,'Tariff Comparison'!$M$18,'Tariff Comparison'!$Q$18,'Tariff Comparison'!$U$18)</c15:sqref>
                  </c15:fullRef>
                </c:ext>
              </c:extLst>
              <c:f>('Tariff Comparison'!$E$18,'Tariff Comparison'!$I$18,'Tariff Comparison'!$M$18,'Tariff Comparison'!$Q$18)</c:f>
              <c:numCache>
                <c:formatCode>_ * #\ ##0.00_ ;_ * \-#\ ##0.00_ ;_ * "-"??_ ;_ @_ 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CA9-414C-8593-9BACBA9AD3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93"/>
        <c:axId val="554830464"/>
        <c:axId val="561984256"/>
      </c:barChart>
      <c:catAx>
        <c:axId val="55483046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561984256"/>
        <c:crosses val="autoZero"/>
        <c:auto val="1"/>
        <c:lblAlgn val="ctr"/>
        <c:lblOffset val="100"/>
        <c:noMultiLvlLbl val="0"/>
      </c:catAx>
      <c:valAx>
        <c:axId val="56198425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c/kWh</a:t>
                </a:r>
              </a:p>
            </c:rich>
          </c:tx>
          <c:overlay val="0"/>
        </c:title>
        <c:numFmt formatCode="_(* #,##0_);_(* \(#,##0\);_(* &quot;-&quot;_);_(@_)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554830464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29274143666145525"/>
          <c:y val="0.8791450750616896"/>
          <c:w val="0.3905160313110641"/>
          <c:h val="0.11162292213473315"/>
        </c:manualLayout>
      </c:layout>
      <c:overlay val="0"/>
      <c:txPr>
        <a:bodyPr/>
        <a:lstStyle/>
        <a:p>
          <a:pPr>
            <a:defRPr sz="800"/>
          </a:pPr>
          <a:endParaRPr lang="en-US"/>
        </a:p>
      </c:txPr>
    </c:legend>
    <c:plotVisOnly val="1"/>
    <c:dispBlanksAs val="gap"/>
    <c:showDLblsOverMax val="0"/>
  </c:chart>
  <c:spPr>
    <a:noFill/>
    <a:ln w="12700" cap="rnd">
      <a:noFill/>
    </a:ln>
  </c:sp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Drop" dropStyle="combo" dx="26" fmlaLink="Dropdown_Tariff" fmlaRange="Supply_Tariff_List" noThreeD="1" sel="2" val="0"/>
</file>

<file path=xl/ctrlProps/ctrlProp2.xml><?xml version="1.0" encoding="utf-8"?>
<formControlPr xmlns="http://schemas.microsoft.com/office/spreadsheetml/2009/9/main" objectType="Drop" dropStyle="combo" dx="26" fmlaLink="Dropdown_Category" fmlaRange="Tariff_Category_List" noThreeD="1" sel="1" val="0"/>
</file>

<file path=xl/ctrlProps/ctrlProp3.xml><?xml version="1.0" encoding="utf-8"?>
<formControlPr xmlns="http://schemas.microsoft.com/office/spreadsheetml/2009/9/main" objectType="Drop" dropStyle="combo" dx="26" fmlaLink="Dropdown_Supply" fmlaRange="Capacity_List" noThreeD="1" sel="2" val="0"/>
</file>

<file path=xl/ctrlProps/ctrlProp4.xml><?xml version="1.0" encoding="utf-8"?>
<formControlPr xmlns="http://schemas.microsoft.com/office/spreadsheetml/2009/9/main" objectType="Drop" dropLines="4" dropStyle="combo" dx="26" fmlaLink="Dropdown_Voltage" fmlaRange="Voltage_List" noThreeD="1" sel="1" val="0"/>
</file>

<file path=xl/ctrlProps/ctrlProp5.xml><?xml version="1.0" encoding="utf-8"?>
<formControlPr xmlns="http://schemas.microsoft.com/office/spreadsheetml/2009/9/main" objectType="Drop" dropStyle="combo" dx="26" fmlaLink="Dropdown_Zone" fmlaRange="Transmission_List" noThreeD="1" sel="1" val="0"/>
</file>

<file path=xl/ctrlProps/ctrlProp6.xml><?xml version="1.0" encoding="utf-8"?>
<formControlPr xmlns="http://schemas.microsoft.com/office/spreadsheetml/2009/9/main" objectType="Drop" dropStyle="combo" dx="26" fmlaLink="Dropdown_Customer" fmlaRange="Customer_Category_List" noThreeD="1" sel="2" val="0"/>
</file>

<file path=xl/ctrlProps/ctrlProp7.xml><?xml version="1.0" encoding="utf-8"?>
<formControlPr xmlns="http://schemas.microsoft.com/office/spreadsheetml/2009/9/main" objectType="Drop" dropStyle="combo" dx="26" fmlaLink="Dropdown_Compare_1" fmlaRange="Compare_Tariff_List" noThreeD="1" sel="4" val="2"/>
</file>

<file path=xl/ctrlProps/ctrlProp8.xml><?xml version="1.0" encoding="utf-8"?>
<formControlPr xmlns="http://schemas.microsoft.com/office/spreadsheetml/2009/9/main" objectType="Drop" dropStyle="combo" dx="26" fmlaLink="Dropdown_Compare_2" fmlaRange="Compare_Tariff_List" noThreeD="1" sel="2" val="0"/>
</file>

<file path=xl/ctrlProps/ctrlProp9.xml><?xml version="1.0" encoding="utf-8"?>
<formControlPr xmlns="http://schemas.microsoft.com/office/spreadsheetml/2009/9/main" objectType="Drop" dropStyle="combo" dx="26" fmlaLink="Dropdown_Compare_3" fmlaRange="Compare_Tariff_List" noThreeD="1" sel="2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1</xdr:row>
      <xdr:rowOff>70485</xdr:rowOff>
    </xdr:from>
    <xdr:to>
      <xdr:col>3</xdr:col>
      <xdr:colOff>638362</xdr:colOff>
      <xdr:row>1</xdr:row>
      <xdr:rowOff>409045</xdr:rowOff>
    </xdr:to>
    <xdr:pic>
      <xdr:nvPicPr>
        <xdr:cNvPr id="2" name="Picture 1" descr="logo small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425" y="112818"/>
          <a:ext cx="1251137" cy="338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</xdr:colOff>
          <xdr:row>18</xdr:row>
          <xdr:rowOff>15240</xdr:rowOff>
        </xdr:from>
        <xdr:to>
          <xdr:col>7</xdr:col>
          <xdr:colOff>784860</xdr:colOff>
          <xdr:row>19</xdr:row>
          <xdr:rowOff>0</xdr:rowOff>
        </xdr:to>
        <xdr:sp macro="" textlink="">
          <xdr:nvSpPr>
            <xdr:cNvPr id="1028" name="dbxTariff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</xdr:colOff>
          <xdr:row>12</xdr:row>
          <xdr:rowOff>15240</xdr:rowOff>
        </xdr:from>
        <xdr:to>
          <xdr:col>7</xdr:col>
          <xdr:colOff>784860</xdr:colOff>
          <xdr:row>13</xdr:row>
          <xdr:rowOff>0</xdr:rowOff>
        </xdr:to>
        <xdr:sp macro="" textlink="">
          <xdr:nvSpPr>
            <xdr:cNvPr id="1031" name="dbxCategory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</xdr:colOff>
          <xdr:row>16</xdr:row>
          <xdr:rowOff>15240</xdr:rowOff>
        </xdr:from>
        <xdr:to>
          <xdr:col>7</xdr:col>
          <xdr:colOff>784860</xdr:colOff>
          <xdr:row>17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</xdr:colOff>
          <xdr:row>22</xdr:row>
          <xdr:rowOff>0</xdr:rowOff>
        </xdr:from>
        <xdr:to>
          <xdr:col>7</xdr:col>
          <xdr:colOff>784860</xdr:colOff>
          <xdr:row>23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</xdr:colOff>
          <xdr:row>24</xdr:row>
          <xdr:rowOff>15240</xdr:rowOff>
        </xdr:from>
        <xdr:to>
          <xdr:col>7</xdr:col>
          <xdr:colOff>784860</xdr:colOff>
          <xdr:row>25</xdr:row>
          <xdr:rowOff>0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</xdr:colOff>
          <xdr:row>14</xdr:row>
          <xdr:rowOff>15240</xdr:rowOff>
        </xdr:from>
        <xdr:to>
          <xdr:col>7</xdr:col>
          <xdr:colOff>784860</xdr:colOff>
          <xdr:row>15</xdr:row>
          <xdr:rowOff>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15240</xdr:colOff>
      <xdr:row>26</xdr:row>
      <xdr:rowOff>84668</xdr:rowOff>
    </xdr:from>
    <xdr:to>
      <xdr:col>14</xdr:col>
      <xdr:colOff>754380</xdr:colOff>
      <xdr:row>30</xdr:row>
      <xdr:rowOff>76201</xdr:rowOff>
    </xdr:to>
    <xdr:sp macro="" textlink="">
      <xdr:nvSpPr>
        <xdr:cNvPr id="6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085840" y="3733801"/>
          <a:ext cx="5438140" cy="635000"/>
        </a:xfrm>
        <a:prstGeom prst="rect">
          <a:avLst/>
        </a:prstGeom>
        <a:solidFill>
          <a:schemeClr val="bg1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ZA" sz="900" b="1" i="0" u="none" strike="noStrike" kern="0" cap="none" spc="0" normalizeH="0" baseline="0" noProof="0">
              <a:ln>
                <a:noFill/>
              </a:ln>
              <a:solidFill>
                <a:schemeClr val="bg1">
                  <a:lumMod val="65000"/>
                </a:schemeClr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[IF NO, ENTER SUMMATED LOAD DETAILS ON THIS SHEET </a:t>
          </a:r>
          <a:r>
            <a:rPr kumimoji="0" lang="en-ZA" sz="900" b="1" i="0" u="none" strike="noStrike" kern="0" cap="none" spc="0" normalizeH="0" baseline="0">
              <a:ln>
                <a:noFill/>
              </a:ln>
              <a:solidFill>
                <a:schemeClr val="bg1">
                  <a:lumMod val="65000"/>
                </a:schemeClr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 (FROM CELL G36)</a:t>
          </a:r>
          <a:endParaRPr kumimoji="0" lang="en-ZA" sz="900" b="1" i="0" u="none" strike="noStrike" kern="0" cap="none" spc="0" normalizeH="0" baseline="0" noProof="0">
            <a:ln>
              <a:noFill/>
            </a:ln>
            <a:solidFill>
              <a:schemeClr val="bg1">
                <a:lumMod val="65000"/>
              </a:schemeClr>
            </a:solidFill>
            <a:effectLst/>
            <a:uLnTx/>
            <a:uFillTx/>
            <a:latin typeface="Gill Sans MT" panose="020B0502020104020203" pitchFamily="34" charset="0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ZA" sz="900" b="1" i="0" u="none" strike="noStrike" kern="0" cap="none" spc="0" normalizeH="0" baseline="0" noProof="0">
            <a:ln>
              <a:noFill/>
            </a:ln>
            <a:solidFill>
              <a:schemeClr val="bg1">
                <a:lumMod val="65000"/>
              </a:schemeClr>
            </a:solidFill>
            <a:effectLst/>
            <a:uLnTx/>
            <a:uFillTx/>
            <a:latin typeface="Gill Sans MT" panose="020B0502020104020203" pitchFamily="34" charset="0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ZA" sz="900" b="1" i="0" u="none" strike="noStrike" kern="0" cap="none" spc="0" normalizeH="0" baseline="0" noProof="0">
              <a:ln>
                <a:noFill/>
              </a:ln>
              <a:solidFill>
                <a:schemeClr val="bg1">
                  <a:lumMod val="65000"/>
                </a:schemeClr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IF YES, INPUT HOURLY DATA ON "HOURLY DATA" SHEET</a:t>
          </a:r>
        </a:p>
      </xdr:txBody>
    </xdr:sp>
    <xdr:clientData/>
  </xdr:twoCellAnchor>
  <xdr:twoCellAnchor>
    <xdr:from>
      <xdr:col>8</xdr:col>
      <xdr:colOff>33865</xdr:colOff>
      <xdr:row>27</xdr:row>
      <xdr:rowOff>83820</xdr:rowOff>
    </xdr:from>
    <xdr:to>
      <xdr:col>8</xdr:col>
      <xdr:colOff>939016</xdr:colOff>
      <xdr:row>29</xdr:row>
      <xdr:rowOff>42953</xdr:rowOff>
    </xdr:to>
    <xdr:sp macro="" textlink="">
      <xdr:nvSpPr>
        <xdr:cNvPr id="4" name="Arrow: Dow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rot="5400000">
          <a:off x="5260908" y="3441977"/>
          <a:ext cx="272400" cy="905151"/>
        </a:xfrm>
        <a:prstGeom prst="downArrow">
          <a:avLst/>
        </a:prstGeom>
        <a:solidFill>
          <a:schemeClr val="bg1">
            <a:lumMod val="75000"/>
          </a:schemeClr>
        </a:solidFill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ZA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179294</xdr:colOff>
      <xdr:row>1</xdr:row>
      <xdr:rowOff>50987</xdr:rowOff>
    </xdr:from>
    <xdr:to>
      <xdr:col>2</xdr:col>
      <xdr:colOff>1112371</xdr:colOff>
      <xdr:row>3</xdr:row>
      <xdr:rowOff>75782</xdr:rowOff>
    </xdr:to>
    <xdr:pic>
      <xdr:nvPicPr>
        <xdr:cNvPr id="2" name="Picture 1" descr="logo small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294" y="200399"/>
          <a:ext cx="1284195" cy="3236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152400</xdr:colOff>
      <xdr:row>6</xdr:row>
      <xdr:rowOff>133350</xdr:rowOff>
    </xdr:from>
    <xdr:to>
      <xdr:col>11</xdr:col>
      <xdr:colOff>9525</xdr:colOff>
      <xdr:row>16</xdr:row>
      <xdr:rowOff>38100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152525"/>
          <a:ext cx="8391525" cy="1609725"/>
        </a:xfrm>
        <a:prstGeom prst="roundRect">
          <a:avLst>
            <a:gd name="adj" fmla="val 5473"/>
          </a:avLst>
        </a:prstGeom>
        <a:noFill/>
        <a:ln w="1905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ZA" sz="1100"/>
        </a:p>
      </xdr:txBody>
    </xdr:sp>
    <xdr:clientData/>
  </xdr:twoCellAnchor>
  <xdr:twoCellAnchor editAs="oneCell">
    <xdr:from>
      <xdr:col>12</xdr:col>
      <xdr:colOff>0</xdr:colOff>
      <xdr:row>1</xdr:row>
      <xdr:rowOff>28575</xdr:rowOff>
    </xdr:from>
    <xdr:to>
      <xdr:col>13</xdr:col>
      <xdr:colOff>1127313</xdr:colOff>
      <xdr:row>3</xdr:row>
      <xdr:rowOff>53370</xdr:rowOff>
    </xdr:to>
    <xdr:pic>
      <xdr:nvPicPr>
        <xdr:cNvPr id="4" name="Picture 3" descr="logo small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76200"/>
          <a:ext cx="1289237" cy="338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0</xdr:colOff>
      <xdr:row>6</xdr:row>
      <xdr:rowOff>133350</xdr:rowOff>
    </xdr:from>
    <xdr:to>
      <xdr:col>22</xdr:col>
      <xdr:colOff>9525</xdr:colOff>
      <xdr:row>16</xdr:row>
      <xdr:rowOff>38100</xdr:rowOff>
    </xdr:to>
    <xdr:sp macro="" textlink="">
      <xdr:nvSpPr>
        <xdr:cNvPr id="5" name="Rounded 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7953375" y="1162050"/>
          <a:ext cx="7115175" cy="1428750"/>
        </a:xfrm>
        <a:prstGeom prst="roundRect">
          <a:avLst>
            <a:gd name="adj" fmla="val 5473"/>
          </a:avLst>
        </a:prstGeom>
        <a:noFill/>
        <a:ln w="1905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ZA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67235</xdr:colOff>
      <xdr:row>1</xdr:row>
      <xdr:rowOff>33617</xdr:rowOff>
    </xdr:from>
    <xdr:to>
      <xdr:col>2</xdr:col>
      <xdr:colOff>1090332</xdr:colOff>
      <xdr:row>1</xdr:row>
      <xdr:rowOff>372177</xdr:rowOff>
    </xdr:to>
    <xdr:pic>
      <xdr:nvPicPr>
        <xdr:cNvPr id="3" name="Picture 2" descr="logo small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088" y="190499"/>
          <a:ext cx="1289237" cy="338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107950</xdr:colOff>
      <xdr:row>4</xdr:row>
      <xdr:rowOff>228599</xdr:rowOff>
    </xdr:from>
    <xdr:to>
      <xdr:col>21</xdr:col>
      <xdr:colOff>104140</xdr:colOff>
      <xdr:row>11</xdr:row>
      <xdr:rowOff>24341</xdr:rowOff>
    </xdr:to>
    <xdr:sp macro="" textlink="">
      <xdr:nvSpPr>
        <xdr:cNvPr id="4" name="Rounded Rectangl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201083" y="1100666"/>
          <a:ext cx="17767724" cy="1302808"/>
        </a:xfrm>
        <a:prstGeom prst="roundRect">
          <a:avLst>
            <a:gd name="adj" fmla="val 5473"/>
          </a:avLst>
        </a:prstGeom>
        <a:noFill/>
        <a:ln w="1905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ZA" sz="1100"/>
        </a:p>
      </xdr:txBody>
    </xdr:sp>
    <xdr:clientData/>
  </xdr:twoCellAnchor>
  <xdr:twoCellAnchor>
    <xdr:from>
      <xdr:col>2</xdr:col>
      <xdr:colOff>266700</xdr:colOff>
      <xdr:row>101</xdr:row>
      <xdr:rowOff>142875</xdr:rowOff>
    </xdr:from>
    <xdr:to>
      <xdr:col>17</xdr:col>
      <xdr:colOff>219075</xdr:colOff>
      <xdr:row>117</xdr:row>
      <xdr:rowOff>104775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2</xdr:col>
      <xdr:colOff>1089212</xdr:colOff>
      <xdr:row>1</xdr:row>
      <xdr:rowOff>367135</xdr:rowOff>
    </xdr:to>
    <xdr:pic>
      <xdr:nvPicPr>
        <xdr:cNvPr id="2" name="Picture 1" descr="logo small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76200"/>
          <a:ext cx="1289237" cy="338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5</xdr:row>
          <xdr:rowOff>15240</xdr:rowOff>
        </xdr:from>
        <xdr:to>
          <xdr:col>9</xdr:col>
          <xdr:colOff>0</xdr:colOff>
          <xdr:row>6</xdr:row>
          <xdr:rowOff>0</xdr:rowOff>
        </xdr:to>
        <xdr:sp macro="" textlink="">
          <xdr:nvSpPr>
            <xdr:cNvPr id="27649" name="Drop Down 1" hidden="1">
              <a:extLst>
                <a:ext uri="{63B3BB69-23CF-44E3-9099-C40C66FF867C}">
                  <a14:compatExt spid="_x0000_s27649"/>
                </a:ext>
                <a:ext uri="{FF2B5EF4-FFF2-40B4-BE49-F238E27FC236}">
                  <a16:creationId xmlns:a16="http://schemas.microsoft.com/office/drawing/2014/main" id="{00000000-0008-0000-0300-00000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22860</xdr:colOff>
          <xdr:row>5</xdr:row>
          <xdr:rowOff>15240</xdr:rowOff>
        </xdr:from>
        <xdr:to>
          <xdr:col>12</xdr:col>
          <xdr:colOff>967740</xdr:colOff>
          <xdr:row>5</xdr:row>
          <xdr:rowOff>213360</xdr:rowOff>
        </xdr:to>
        <xdr:sp macro="" textlink="">
          <xdr:nvSpPr>
            <xdr:cNvPr id="27650" name="Drop Down 2" hidden="1">
              <a:extLst>
                <a:ext uri="{63B3BB69-23CF-44E3-9099-C40C66FF867C}">
                  <a14:compatExt spid="_x0000_s27650"/>
                </a:ext>
                <a:ext uri="{FF2B5EF4-FFF2-40B4-BE49-F238E27FC236}">
                  <a16:creationId xmlns:a16="http://schemas.microsoft.com/office/drawing/2014/main" id="{00000000-0008-0000-0300-00000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</xdr:colOff>
          <xdr:row>5</xdr:row>
          <xdr:rowOff>15240</xdr:rowOff>
        </xdr:from>
        <xdr:to>
          <xdr:col>16</xdr:col>
          <xdr:colOff>967740</xdr:colOff>
          <xdr:row>5</xdr:row>
          <xdr:rowOff>213360</xdr:rowOff>
        </xdr:to>
        <xdr:sp macro="" textlink="">
          <xdr:nvSpPr>
            <xdr:cNvPr id="27651" name="Drop Down 3" hidden="1">
              <a:extLst>
                <a:ext uri="{63B3BB69-23CF-44E3-9099-C40C66FF867C}">
                  <a14:compatExt spid="_x0000_s27651"/>
                </a:ext>
                <a:ext uri="{FF2B5EF4-FFF2-40B4-BE49-F238E27FC236}">
                  <a16:creationId xmlns:a16="http://schemas.microsoft.com/office/drawing/2014/main" id="{00000000-0008-0000-0300-000003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95251</xdr:colOff>
      <xdr:row>18</xdr:row>
      <xdr:rowOff>57150</xdr:rowOff>
    </xdr:from>
    <xdr:to>
      <xdr:col>12</xdr:col>
      <xdr:colOff>409576</xdr:colOff>
      <xdr:row>31</xdr:row>
      <xdr:rowOff>95250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295276</xdr:colOff>
      <xdr:row>18</xdr:row>
      <xdr:rowOff>85725</xdr:rowOff>
    </xdr:from>
    <xdr:to>
      <xdr:col>18</xdr:col>
      <xdr:colOff>142876</xdr:colOff>
      <xdr:row>31</xdr:row>
      <xdr:rowOff>123825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105833</xdr:colOff>
      <xdr:row>5</xdr:row>
      <xdr:rowOff>35278</xdr:rowOff>
    </xdr:from>
    <xdr:to>
      <xdr:col>10</xdr:col>
      <xdr:colOff>381000</xdr:colOff>
      <xdr:row>6</xdr:row>
      <xdr:rowOff>158925</xdr:rowOff>
    </xdr:to>
    <xdr:sp macro="" textlink="">
      <xdr:nvSpPr>
        <xdr:cNvPr id="2" name="Right Arrow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 bwMode="auto">
        <a:xfrm rot="10800000">
          <a:off x="5389033" y="1271411"/>
          <a:ext cx="706967" cy="292981"/>
        </a:xfrm>
        <a:prstGeom prst="rightArrow">
          <a:avLst/>
        </a:prstGeom>
        <a:solidFill>
          <a:srgbClr val="C97A0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en-ZA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7935</xdr:colOff>
      <xdr:row>10</xdr:row>
      <xdr:rowOff>47626</xdr:rowOff>
    </xdr:from>
    <xdr:to>
      <xdr:col>9</xdr:col>
      <xdr:colOff>442783</xdr:colOff>
      <xdr:row>13</xdr:row>
      <xdr:rowOff>26334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6225855" y="1876426"/>
          <a:ext cx="1029208" cy="527348"/>
        </a:xfrm>
        <a:prstGeom prst="rect">
          <a:avLst/>
        </a:prstGeom>
      </xdr:spPr>
      <xdr:txBody>
        <a:bodyPr wrap="square">
          <a:spAutoFit/>
        </a:bodyPr>
        <a:lstStyle>
          <a:defPPr>
            <a:defRPr lang="en-GB"/>
          </a:defPPr>
          <a:lvl1pPr algn="l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lvl="0"/>
          <a:r>
            <a:rPr lang="en-ZA" sz="1000" b="1">
              <a:solidFill>
                <a:srgbClr val="C00000"/>
              </a:solidFill>
            </a:rPr>
            <a:t>Peak = 1</a:t>
          </a:r>
        </a:p>
        <a:p>
          <a:pPr lvl="0"/>
          <a:r>
            <a:rPr lang="en-ZA" sz="1000" b="1">
              <a:solidFill>
                <a:srgbClr val="FFC000"/>
              </a:solidFill>
            </a:rPr>
            <a:t>Standard = 2</a:t>
          </a:r>
          <a:r>
            <a:rPr lang="en-ZA" sz="1000" b="1"/>
            <a:t> </a:t>
          </a:r>
        </a:p>
        <a:p>
          <a:pPr lvl="0"/>
          <a:r>
            <a:rPr lang="en-ZA" sz="1000" b="1">
              <a:solidFill>
                <a:srgbClr val="00B050"/>
              </a:solidFill>
            </a:rPr>
            <a:t>Off-peak = 3</a:t>
          </a:r>
        </a:p>
      </xdr:txBody>
    </xdr:sp>
    <xdr:clientData/>
  </xdr:twoCellAnchor>
  <xdr:twoCellAnchor>
    <xdr:from>
      <xdr:col>8</xdr:col>
      <xdr:colOff>7935</xdr:colOff>
      <xdr:row>10</xdr:row>
      <xdr:rowOff>47626</xdr:rowOff>
    </xdr:from>
    <xdr:to>
      <xdr:col>9</xdr:col>
      <xdr:colOff>442783</xdr:colOff>
      <xdr:row>13</xdr:row>
      <xdr:rowOff>26334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6225855" y="1876426"/>
          <a:ext cx="1029208" cy="527348"/>
        </a:xfrm>
        <a:prstGeom prst="rect">
          <a:avLst/>
        </a:prstGeom>
      </xdr:spPr>
      <xdr:txBody>
        <a:bodyPr wrap="square">
          <a:spAutoFit/>
        </a:bodyPr>
        <a:lstStyle>
          <a:defPPr>
            <a:defRPr lang="en-GB"/>
          </a:defPPr>
          <a:lvl1pPr algn="l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5pPr>
          <a:lvl6pPr marL="22860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6pPr>
          <a:lvl7pPr marL="27432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7pPr>
          <a:lvl8pPr marL="32004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8pPr>
          <a:lvl9pPr marL="3657600" algn="l" defTabSz="914400" rtl="0" eaLnBrk="1" latinLnBrk="0" hangingPunct="1">
            <a:defRPr sz="1400" kern="1200">
              <a:solidFill>
                <a:schemeClr val="tx1"/>
              </a:solidFill>
              <a:latin typeface="Arial" charset="0"/>
              <a:ea typeface="+mn-ea"/>
              <a:cs typeface="Arial" charset="0"/>
            </a:defRPr>
          </a:lvl9pPr>
        </a:lstStyle>
        <a:p>
          <a:pPr lvl="0"/>
          <a:r>
            <a:rPr lang="en-ZA" sz="1000" b="1">
              <a:solidFill>
                <a:srgbClr val="C00000"/>
              </a:solidFill>
            </a:rPr>
            <a:t>Peak = 1</a:t>
          </a:r>
        </a:p>
        <a:p>
          <a:pPr lvl="0"/>
          <a:r>
            <a:rPr lang="en-ZA" sz="1000" b="1">
              <a:solidFill>
                <a:srgbClr val="FFC000"/>
              </a:solidFill>
            </a:rPr>
            <a:t>Standard = 2</a:t>
          </a:r>
          <a:r>
            <a:rPr lang="en-ZA" sz="1000" b="1"/>
            <a:t> </a:t>
          </a:r>
        </a:p>
        <a:p>
          <a:pPr lvl="0"/>
          <a:r>
            <a:rPr lang="en-ZA" sz="1000" b="1">
              <a:solidFill>
                <a:srgbClr val="00B050"/>
              </a:solidFill>
            </a:rPr>
            <a:t>Off-peak = 3</a:t>
          </a:r>
        </a:p>
      </xdr:txBody>
    </xdr:sp>
    <xdr:clientData/>
  </xdr:twoCellAnchor>
  <xdr:twoCellAnchor editAs="oneCell">
    <xdr:from>
      <xdr:col>21</xdr:col>
      <xdr:colOff>47625</xdr:colOff>
      <xdr:row>0</xdr:row>
      <xdr:rowOff>0</xdr:rowOff>
    </xdr:from>
    <xdr:to>
      <xdr:col>39</xdr:col>
      <xdr:colOff>504825</xdr:colOff>
      <xdr:row>54</xdr:row>
      <xdr:rowOff>19050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756E3FB1-811B-49AF-8390-E2F87DB0F6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8652" t="11853" r="23740" b="12027"/>
        <a:stretch>
          <a:fillRect/>
        </a:stretch>
      </xdr:blipFill>
      <xdr:spPr>
        <a:xfrm>
          <a:off x="14944725" y="0"/>
          <a:ext cx="11087100" cy="96583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1127312</xdr:colOff>
      <xdr:row>1</xdr:row>
      <xdr:rowOff>338560</xdr:rowOff>
    </xdr:to>
    <xdr:pic>
      <xdr:nvPicPr>
        <xdr:cNvPr id="2" name="Picture 1" descr="logo small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47625"/>
          <a:ext cx="1289237" cy="338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1127312</xdr:colOff>
      <xdr:row>1</xdr:row>
      <xdr:rowOff>338560</xdr:rowOff>
    </xdr:to>
    <xdr:pic>
      <xdr:nvPicPr>
        <xdr:cNvPr id="2" name="Picture 1" descr="logo small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47625"/>
          <a:ext cx="1289237" cy="338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1127312</xdr:colOff>
      <xdr:row>1</xdr:row>
      <xdr:rowOff>338560</xdr:rowOff>
    </xdr:to>
    <xdr:pic>
      <xdr:nvPicPr>
        <xdr:cNvPr id="2" name="Picture 1" descr="logo small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47625"/>
          <a:ext cx="1289237" cy="338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28575</xdr:rowOff>
    </xdr:from>
    <xdr:to>
      <xdr:col>2</xdr:col>
      <xdr:colOff>1289237</xdr:colOff>
      <xdr:row>1</xdr:row>
      <xdr:rowOff>367135</xdr:rowOff>
    </xdr:to>
    <xdr:pic>
      <xdr:nvPicPr>
        <xdr:cNvPr id="2" name="Picture 1" descr="logo small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76200"/>
          <a:ext cx="1289237" cy="338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28575</xdr:rowOff>
    </xdr:from>
    <xdr:to>
      <xdr:col>2</xdr:col>
      <xdr:colOff>1289237</xdr:colOff>
      <xdr:row>1</xdr:row>
      <xdr:rowOff>367135</xdr:rowOff>
    </xdr:to>
    <xdr:pic>
      <xdr:nvPicPr>
        <xdr:cNvPr id="2" name="Picture 1" descr="logo small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76200"/>
          <a:ext cx="1289237" cy="338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28575</xdr:rowOff>
    </xdr:from>
    <xdr:to>
      <xdr:col>3</xdr:col>
      <xdr:colOff>384362</xdr:colOff>
      <xdr:row>1</xdr:row>
      <xdr:rowOff>367135</xdr:rowOff>
    </xdr:to>
    <xdr:pic>
      <xdr:nvPicPr>
        <xdr:cNvPr id="2" name="Picture 1" descr="logo small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76200"/>
          <a:ext cx="1289237" cy="338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28575</xdr:rowOff>
    </xdr:from>
    <xdr:to>
      <xdr:col>3</xdr:col>
      <xdr:colOff>384362</xdr:colOff>
      <xdr:row>1</xdr:row>
      <xdr:rowOff>367135</xdr:rowOff>
    </xdr:to>
    <xdr:pic>
      <xdr:nvPicPr>
        <xdr:cNvPr id="2" name="Picture 1" descr="logo small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76200"/>
          <a:ext cx="1289237" cy="338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28575</xdr:rowOff>
    </xdr:from>
    <xdr:to>
      <xdr:col>3</xdr:col>
      <xdr:colOff>285750</xdr:colOff>
      <xdr:row>1</xdr:row>
      <xdr:rowOff>367135</xdr:rowOff>
    </xdr:to>
    <xdr:pic>
      <xdr:nvPicPr>
        <xdr:cNvPr id="2" name="Picture 1" descr="logo small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76200"/>
          <a:ext cx="1289237" cy="338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28575</xdr:rowOff>
    </xdr:from>
    <xdr:to>
      <xdr:col>3</xdr:col>
      <xdr:colOff>384361</xdr:colOff>
      <xdr:row>1</xdr:row>
      <xdr:rowOff>367135</xdr:rowOff>
    </xdr:to>
    <xdr:pic>
      <xdr:nvPicPr>
        <xdr:cNvPr id="2" name="Picture 1" descr="logo small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76200"/>
          <a:ext cx="1289237" cy="338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28575</xdr:rowOff>
    </xdr:from>
    <xdr:to>
      <xdr:col>3</xdr:col>
      <xdr:colOff>384362</xdr:colOff>
      <xdr:row>1</xdr:row>
      <xdr:rowOff>367135</xdr:rowOff>
    </xdr:to>
    <xdr:pic>
      <xdr:nvPicPr>
        <xdr:cNvPr id="2" name="Picture 1" descr="logo small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76200"/>
          <a:ext cx="1289237" cy="338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28575</xdr:rowOff>
    </xdr:from>
    <xdr:to>
      <xdr:col>3</xdr:col>
      <xdr:colOff>384362</xdr:colOff>
      <xdr:row>1</xdr:row>
      <xdr:rowOff>367135</xdr:rowOff>
    </xdr:to>
    <xdr:pic>
      <xdr:nvPicPr>
        <xdr:cNvPr id="2" name="Picture 1" descr="logo small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76200"/>
          <a:ext cx="1289237" cy="338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1294280</xdr:colOff>
      <xdr:row>1</xdr:row>
      <xdr:rowOff>367135</xdr:rowOff>
    </xdr:to>
    <xdr:pic>
      <xdr:nvPicPr>
        <xdr:cNvPr id="2" name="Picture 1" descr="logo small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76200"/>
          <a:ext cx="1289237" cy="338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1289237</xdr:colOff>
      <xdr:row>1</xdr:row>
      <xdr:rowOff>367135</xdr:rowOff>
    </xdr:to>
    <xdr:pic>
      <xdr:nvPicPr>
        <xdr:cNvPr id="3" name="Picture 2" descr="logo small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435" y="73399"/>
          <a:ext cx="1289237" cy="338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0000000}" name="Rates_AllOther_New" displayName="Rates_AllOther_New" ref="C7:Z53" totalsRowShown="0" headerRowDxfId="404" dataDxfId="403" tableBorderDxfId="402" dataCellStyle="CA Calc 0.00">
  <autoFilter ref="C7:Z53" xr:uid="{00000000-0009-0000-0100-000009000000}"/>
  <tableColumns count="24">
    <tableColumn id="1" xr3:uid="{00000000-0010-0000-0000-000001000000}" name="Tariff" dataDxfId="401"/>
    <tableColumn id="2" xr3:uid="{00000000-0010-0000-0000-000002000000}" name="Tariff Category" dataDxfId="400"/>
    <tableColumn id="3" xr3:uid="{00000000-0010-0000-0000-000003000000}" name="Type" dataDxfId="399"/>
    <tableColumn id="4" xr3:uid="{00000000-0010-0000-0000-000004000000}" name="Column1" dataDxfId="398"/>
    <tableColumn id="5" xr3:uid="{00000000-0010-0000-0000-000005000000}" name="Code" dataDxfId="397">
      <calculatedColumnFormula>C8&amp;"_"&amp;D8</calculatedColumnFormula>
    </tableColumn>
    <tableColumn id="15" xr3:uid="{00000000-0010-0000-0000-00000F000000}" name="Matrix Code" dataDxfId="396">
      <calculatedColumnFormula>INDEX(Matrix_Tariff_Map,MATCH(C8,Matrix_Model_Tariffs,0),2)&amp;IFERROR(INDEX(Matrix_Transmission_Map,MATCH(E8,Matrix_Model_Transmission,0),2),0)&amp;IFERROR(INDEX(Matrix_Voltage_Map,MATCH(F8,Matrix_Model_Voltage,0),2),1)&amp;INDEX(Matrix_Category_Map,MATCH(D8,Matrix_Model_Category,0),2)</calculatedColumnFormula>
    </tableColumn>
    <tableColumn id="29" xr3:uid="{52A4792E-793A-4ED6-BB07-CB48D26D15CD}" name="High - Peak" dataDxfId="395" dataCellStyle="CA Inp Calc 0.00"/>
    <tableColumn id="28" xr3:uid="{D6868332-722F-4C8D-A4EE-D3A9E5A7D01B}" name="High - Standard" dataDxfId="394" dataCellStyle="CA Inp Calc 0.00"/>
    <tableColumn id="27" xr3:uid="{4F7322AA-E022-46A2-96C3-CF58FA6013CB}" name="High-Off Peak" dataDxfId="393" dataCellStyle="CA Inp Calc 0.00"/>
    <tableColumn id="26" xr3:uid="{FE4DD8A4-174C-4E46-9559-D3A4A7919738}" name="Low - Peak" dataDxfId="392" dataCellStyle="CA Inp Calc 0.00"/>
    <tableColumn id="25" xr3:uid="{F784E9D1-79F8-4E3B-AED4-6275DF916C81}" name="Low - Standard" dataDxfId="391" dataCellStyle="CA Inp Calc 0.00"/>
    <tableColumn id="24" xr3:uid="{5A03BCF9-4CBB-4FBB-B45E-56F880ADBF73}" name="Low-Off Peak" dataDxfId="390" dataCellStyle="CA Inp Calc 0.00"/>
    <tableColumn id="12" xr3:uid="{00000000-0010-0000-0000-00000C000000}" name="Energy charge Block 1 [c/kWh]" dataDxfId="389" dataCellStyle="CA Inp Calc 0.00"/>
    <tableColumn id="10" xr3:uid="{00000000-0010-0000-0000-00000A000000}" name="Energy charge Block 2 [c/kWh]" dataDxfId="388" dataCellStyle="CA Inp Calc 0.00"/>
    <tableColumn id="6" xr3:uid="{00000000-0010-0000-0000-000006000000}" name="Energy charge [c/kWh]" dataDxfId="387" dataCellStyle="CA Inp Calc 0.00"/>
    <tableColumn id="7" xr3:uid="{00000000-0010-0000-0000-000007000000}" name="Ancillary service charge [c/kWh]" dataDxfId="386" dataCellStyle="CA Inp Calc 0.00"/>
    <tableColumn id="8" xr3:uid="{00000000-0010-0000-0000-000008000000}" name="Network demand charge [c/kWh]" dataDxfId="385" dataCellStyle="CA Inp Calc 0.00"/>
    <tableColumn id="30" xr3:uid="{84F3FA07-5063-4686-B55E-7D59301D6D2B}" name="Network demand charge, Ancillary service charge and retail [c/kWh]" dataDxfId="384" dataCellStyle="CA Inp Calc 0.00"/>
    <tableColumn id="9" xr3:uid="{00000000-0010-0000-0000-000009000000}" name="Network capacity charge [R/POD/day]" dataDxfId="383" dataCellStyle="CA Inp Calc 0.00"/>
    <tableColumn id="11" xr3:uid="{00000000-0010-0000-0000-00000B000000}" name="Service and administration charge [R/POD/day]" dataDxfId="382" dataCellStyle="CA Inp Calc 0.00"/>
    <tableColumn id="14" xr3:uid="{002607A1-22C5-4A46-9E3D-33218B12DBF1}" name="Environmental levy charge [c/kWh]" dataDxfId="381" dataCellStyle="CA Macro Number"/>
    <tableColumn id="16" xr3:uid="{8645584F-8313-4D32-8AEB-9DE29E7CA537}" name="Electrification and rural subsidy [c/kWh]" dataDxfId="380" dataCellStyle="CA Macro Number"/>
    <tableColumn id="17" xr3:uid="{642FD226-99B5-4021-BBB2-5990788F10AE}" name="Generation capacity charge [R/POD/day]" dataDxfId="379" dataCellStyle="CA Macro Number"/>
    <tableColumn id="13" xr3:uid="{00000000-0010-0000-0000-00000D000000}" name="Legacy charge [c/kWh]" dataDxfId="378" dataCellStyle="CA Macro Number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1000000}" name="Rates_AllOther_Current" displayName="Rates_AllOther_Current" ref="C7:Z53" totalsRowShown="0" headerRowDxfId="376" dataDxfId="375" tableBorderDxfId="374" dataCellStyle="CA Calc 0.00">
  <autoFilter ref="C7:Z53" xr:uid="{00000000-0009-0000-0100-00000A000000}"/>
  <tableColumns count="24">
    <tableColumn id="1" xr3:uid="{00000000-0010-0000-0100-000001000000}" name="Tariff" dataDxfId="373"/>
    <tableColumn id="2" xr3:uid="{00000000-0010-0000-0100-000002000000}" name="Tariff Category" dataDxfId="372"/>
    <tableColumn id="3" xr3:uid="{00000000-0010-0000-0100-000003000000}" name="Type" dataDxfId="371"/>
    <tableColumn id="4" xr3:uid="{00000000-0010-0000-0100-000004000000}" name="Column1" dataDxfId="370"/>
    <tableColumn id="5" xr3:uid="{00000000-0010-0000-0100-000005000000}" name="Code" dataDxfId="369">
      <calculatedColumnFormula>C8&amp;"_"&amp;D8</calculatedColumnFormula>
    </tableColumn>
    <tableColumn id="14" xr3:uid="{00000000-0010-0000-0100-00000E000000}" name="Matrix Code" dataDxfId="368">
      <calculatedColumnFormula>INDEX(Matrix_Tariff_Map,MATCH(C8,Matrix_Model_Tariffs,0),2)&amp;IFERROR(INDEX(Matrix_Transmission_Map,MATCH(E8,Matrix_Model_Transmission,0),2),0)&amp;IFERROR(INDEX(Matrix_Voltage_Map,MATCH(F8,Matrix_Model_Voltage,0),2),1)&amp;INDEX(Matrix_Category_Map,MATCH(D8,Matrix_Model_Category,0),2)</calculatedColumnFormula>
    </tableColumn>
    <tableColumn id="20" xr3:uid="{663F83E8-D8C6-4913-BFC6-4F43E31422B1}" name="High - Peak" dataDxfId="367"/>
    <tableColumn id="19" xr3:uid="{E87A7F51-A635-4FE3-B27E-258FC99AEFA4}" name="High - Standard" dataDxfId="366"/>
    <tableColumn id="18" xr3:uid="{39F9BE89-FCF0-4A3B-9B18-508DAACB730A}" name="High-Off Peak" dataDxfId="365"/>
    <tableColumn id="17" xr3:uid="{99548822-E1A3-4752-B020-AE9477BC0A77}" name="Low - Peak" dataDxfId="364"/>
    <tableColumn id="16" xr3:uid="{5414F1D3-3669-4F13-8734-9C9978E06667}" name="Low - Standard" dataDxfId="363"/>
    <tableColumn id="15" xr3:uid="{0C2C0FA7-DCD3-4D11-A926-156526DA7657}" name="Low-Off Peak" dataDxfId="362"/>
    <tableColumn id="12" xr3:uid="{00000000-0010-0000-0100-00000C000000}" name="Energy charge Block 1 [c/kWh]" dataDxfId="361" dataCellStyle="CA Inp Calc 0.00"/>
    <tableColumn id="10" xr3:uid="{00000000-0010-0000-0100-00000A000000}" name="Energy charge Block 2 [c/kWh]" dataDxfId="360" dataCellStyle="CA Inp Calc 0.00"/>
    <tableColumn id="6" xr3:uid="{00000000-0010-0000-0100-000006000000}" name="Energy charge [c/kWh]" dataDxfId="359" dataCellStyle="CA Inp Calc 0.00"/>
    <tableColumn id="7" xr3:uid="{00000000-0010-0000-0100-000007000000}" name="Ancillary service charge [c/kWh]" dataDxfId="358" dataCellStyle="CA Macro Number"/>
    <tableColumn id="8" xr3:uid="{00000000-0010-0000-0100-000008000000}" name="Network demand charge [c/kWh]" dataDxfId="357" dataCellStyle="CA Macro Number"/>
    <tableColumn id="21" xr3:uid="{B61EC361-D8F4-483E-80A4-1B0AA7BDCF57}" name="Network demand charge, Ancillary service charge and retail [c/kWh]" dataDxfId="356" dataCellStyle="CA Inp Calc 0.00"/>
    <tableColumn id="9" xr3:uid="{00000000-0010-0000-0100-000009000000}" name="Network capacity charge [R/POD/day]" dataDxfId="355" dataCellStyle="CA Inp Calc 0.00"/>
    <tableColumn id="22" xr3:uid="{A799C5AD-D692-449C-819D-517691F3C0B8}" name="Service and administration charge [R/POD/day]" dataDxfId="354" dataCellStyle="CA Inp Calc 0.00"/>
    <tableColumn id="23" xr3:uid="{54F6E649-83A9-4475-B873-E07F0EFD5154}" name="Environmental levy charge [c/kWh]" dataDxfId="353" dataCellStyle="CA Macro Number"/>
    <tableColumn id="25" xr3:uid="{F1645332-B4FB-4867-AC3E-B24CA25583F7}" name="Electrification and rural subsidy [c/kWh]" dataDxfId="352" dataCellStyle="CA Macro Number"/>
    <tableColumn id="11" xr3:uid="{00000000-0010-0000-0100-00000B000000}" name="Generation capacity charge [R/POD/day]" dataDxfId="351" dataCellStyle="CA Inp Calc 0.00"/>
    <tableColumn id="13" xr3:uid="{00000000-0010-0000-0100-00000D000000}" name="Legacy charge [c/kWh]" dataDxfId="350" dataCellStyle="CA Macro Number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2000000}" name="Rates_Other_New" displayName="Rates_Other_New" ref="C8:M22" totalsRowShown="0" headerRowDxfId="336" dataDxfId="335" tableBorderDxfId="334" dataCellStyle="CA Calc 0.00">
  <autoFilter ref="C8:M22" xr:uid="{00000000-0009-0000-0100-000006000000}"/>
  <tableColumns count="11">
    <tableColumn id="1" xr3:uid="{00000000-0010-0000-0200-000001000000}" name="Tariff" dataDxfId="333"/>
    <tableColumn id="2" xr3:uid="{00000000-0010-0000-0200-000002000000}" name="Tariff Category" dataDxfId="332"/>
    <tableColumn id="3" xr3:uid="{00000000-0010-0000-0200-000003000000}" name="Type" dataDxfId="331"/>
    <tableColumn id="4" xr3:uid="{00000000-0010-0000-0200-000004000000}" name="Column1" dataDxfId="330"/>
    <tableColumn id="5" xr3:uid="{00000000-0010-0000-0200-000005000000}" name="Code" dataDxfId="329">
      <calculatedColumnFormula>C9&amp;"_"&amp;D9</calculatedColumnFormula>
    </tableColumn>
    <tableColumn id="10" xr3:uid="{00000000-0010-0000-0200-00000A000000}" name="Matrix Code" dataDxfId="328">
      <calculatedColumnFormula>Rates_Other_Current[[#This Row],[Matrix Code]]</calculatedColumnFormula>
    </tableColumn>
    <tableColumn id="6" xr3:uid="{00000000-0010-0000-0200-000006000000}" name="Electrification and rural subsidy  c/kWh" dataDxfId="327" dataCellStyle="CA Inp Calc 0.00"/>
    <tableColumn id="7" xr3:uid="{00000000-0010-0000-0200-000007000000}" name="Environmental levy c/kWh" dataDxfId="326" dataCellStyle="CA Inp Calc 0.00"/>
    <tableColumn id="8" xr3:uid="{00000000-0010-0000-0200-000008000000}" name="Reactive energy charge  - High c/kVArh" dataDxfId="325" dataCellStyle="CA Inp Calc 0.00"/>
    <tableColumn id="9" xr3:uid="{00000000-0010-0000-0200-000009000000}" name="Reactive energy charge  - Low c/kVArh" dataDxfId="324" dataCellStyle="CA Inp Calc 0.00"/>
    <tableColumn id="11" xr3:uid="{00000000-0010-0000-0200-00000B000000}" name="Affordability Subsidy c/kWh" dataDxfId="323" dataCellStyle="CA Inp Calc 0.00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3000000}" name="Rates_Admin_New" displayName="Rates_Admin_New" ref="C25:J49" totalsRowShown="0" headerRowDxfId="322" dataDxfId="321" tableBorderDxfId="320" dataCellStyle="CA Calc 0.00">
  <autoFilter ref="C25:J49" xr:uid="{00000000-0009-0000-0100-000008000000}"/>
  <tableColumns count="8">
    <tableColumn id="1" xr3:uid="{00000000-0010-0000-0300-000001000000}" name="Tariff" dataDxfId="319"/>
    <tableColumn id="2" xr3:uid="{00000000-0010-0000-0300-000002000000}" name="Tariff Category" dataDxfId="318">
      <calculatedColumnFormula>Selected_Tariff_Category</calculatedColumnFormula>
    </tableColumn>
    <tableColumn id="3" xr3:uid="{00000000-0010-0000-0300-000003000000}" name="Type" dataDxfId="317"/>
    <tableColumn id="4" xr3:uid="{00000000-0010-0000-0300-000004000000}" name="Supply Size" dataDxfId="316"/>
    <tableColumn id="5" xr3:uid="{00000000-0010-0000-0300-000005000000}" name="Code" dataDxfId="315">
      <calculatedColumnFormula>Rates_Admin_New[[#This Row],[Type]]&amp;"_"&amp;Rates_Admin_New[[#This Row],[Tariff Category]]&amp;"_"&amp;Rates_Admin_New[[#This Row],[Supply Size]]</calculatedColumnFormula>
    </tableColumn>
    <tableColumn id="8" xr3:uid="{00000000-0010-0000-0300-000008000000}" name="Matrix Code" dataDxfId="314">
      <calculatedColumnFormula>Rates_Admin_Current[[#This Row],[Matrix Code]]</calculatedColumnFormula>
    </tableColumn>
    <tableColumn id="6" xr3:uid="{00000000-0010-0000-0300-000006000000}" name="Service charge  [R/POD/day]" dataDxfId="313" dataCellStyle="CA Inp 0.00"/>
    <tableColumn id="7" xr3:uid="{00000000-0010-0000-0300-000007000000}" name="Administration charge  [R/POD/day]" dataDxfId="312" dataCellStyle="CA Inp 0.00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Rates_Other_Current" displayName="Rates_Other_Current" ref="C8:M22" totalsRowShown="0" headerRowDxfId="299" dataDxfId="298" tableBorderDxfId="297" dataCellStyle="CA Calc 0.00">
  <autoFilter ref="C8:M22" xr:uid="{00000000-0009-0000-0100-000005000000}"/>
  <tableColumns count="11">
    <tableColumn id="1" xr3:uid="{00000000-0010-0000-0400-000001000000}" name="Tariff" dataDxfId="296"/>
    <tableColumn id="2" xr3:uid="{00000000-0010-0000-0400-000002000000}" name="Tariff Category" dataDxfId="295">
      <calculatedColumnFormula>Selected_Tariff_Category</calculatedColumnFormula>
    </tableColumn>
    <tableColumn id="3" xr3:uid="{00000000-0010-0000-0400-000003000000}" name="Type" dataDxfId="294"/>
    <tableColumn id="4" xr3:uid="{00000000-0010-0000-0400-000004000000}" name="Supply Size" dataDxfId="293"/>
    <tableColumn id="5" xr3:uid="{00000000-0010-0000-0400-000005000000}" name="Code" dataDxfId="292">
      <calculatedColumnFormula>C9&amp;"_"&amp;D9</calculatedColumnFormula>
    </tableColumn>
    <tableColumn id="10" xr3:uid="{00000000-0010-0000-0400-00000A000000}" name="Matrix Code" dataDxfId="291">
      <calculatedColumnFormula>INDEX(Matrix_Tariff_Map,MATCH(C9,Matrix_Model_Tariffs,0),2)&amp;IFERROR(INDEX(Matrix_Transmission_Map,MATCH(E9,Matrix_Model_Transmission,0),2),0)&amp;IFERROR(INDEX(Matrix_Voltage_Map,MATCH(F9,Matrix_Model_Voltage,0),2),1)&amp;INDEX(Matrix_Category_Map,MATCH(D9,Matrix_Model_Category,0),2)</calculatedColumnFormula>
    </tableColumn>
    <tableColumn id="6" xr3:uid="{00000000-0010-0000-0400-000006000000}" name="Electrification and rural subsidy  c/kWh" dataDxfId="290" dataCellStyle="CA Inp Calc 0.00"/>
    <tableColumn id="7" xr3:uid="{00000000-0010-0000-0400-000007000000}" name="Environmental levy c/kWh" dataDxfId="289" dataCellStyle="CA Inp Calc 0.00"/>
    <tableColumn id="8" xr3:uid="{00000000-0010-0000-0400-000008000000}" name="Reactive energy charge  - High c/kVArh" dataDxfId="288" dataCellStyle="CA Inp Calc 0.00"/>
    <tableColumn id="9" xr3:uid="{00000000-0010-0000-0400-000009000000}" name="Reactive energy charge  - Low c/kVArh" dataDxfId="287" dataCellStyle="CA Inp Calc 0.00"/>
    <tableColumn id="11" xr3:uid="{00000000-0010-0000-0400-00000B000000}" name="Affordability Subsidy c/kWh" dataDxfId="286" dataCellStyle="CA Inp Calc 0.0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Rates_Admin_Current" displayName="Rates_Admin_Current" ref="C25:J49" totalsRowShown="0" headerRowDxfId="285" dataDxfId="284" tableBorderDxfId="283" dataCellStyle="CA Calc 0.00">
  <autoFilter ref="C25:J49" xr:uid="{00000000-0009-0000-0100-000007000000}"/>
  <tableColumns count="8">
    <tableColumn id="1" xr3:uid="{00000000-0010-0000-0500-000001000000}" name="Tariff" dataDxfId="282"/>
    <tableColumn id="2" xr3:uid="{00000000-0010-0000-0500-000002000000}" name="Tariff Category" dataDxfId="281">
      <calculatedColumnFormula>Selected_Tariff_Category</calculatedColumnFormula>
    </tableColumn>
    <tableColumn id="3" xr3:uid="{00000000-0010-0000-0500-000003000000}" name="Type" dataDxfId="280"/>
    <tableColumn id="4" xr3:uid="{00000000-0010-0000-0500-000004000000}" name="Supply Size" dataDxfId="279"/>
    <tableColumn id="5" xr3:uid="{00000000-0010-0000-0500-000005000000}" name="Code" dataDxfId="278">
      <calculatedColumnFormula>Rates_Admin_Current[[#This Row],[Type]]&amp;"_"&amp;Rates_Admin_Current[[#This Row],[Tariff Category]]&amp;"_"&amp;Rates_Admin_Current[[#This Row],[Supply Size]]</calculatedColumnFormula>
    </tableColumn>
    <tableColumn id="8" xr3:uid="{00000000-0010-0000-0500-000008000000}" name="Matrix Code" dataDxfId="277"/>
    <tableColumn id="6" xr3:uid="{00000000-0010-0000-0500-000006000000}" name="Service charge  [R/Account/day]" dataDxfId="276" dataCellStyle="CA Inp Calc 0.00"/>
    <tableColumn id="7" xr3:uid="{00000000-0010-0000-0500-000007000000}" name="Administration charge  [R/POD/day]" dataDxfId="275" dataCellStyle="CA Inp Calc 0.0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6000000}" name="Rates_Distr_Network_New" displayName="Rates_Distr_Network_New" ref="C7:O16" totalsRowShown="0" headerRowDxfId="227" dataDxfId="226" tableBorderDxfId="225" dataCellStyle="CA Calc 0.00">
  <autoFilter ref="C7:O16" xr:uid="{00000000-0009-0000-0100-000003000000}"/>
  <tableColumns count="13">
    <tableColumn id="1" xr3:uid="{00000000-0010-0000-0600-000001000000}" name="Tariff" dataDxfId="224"/>
    <tableColumn id="2" xr3:uid="{00000000-0010-0000-0600-000002000000}" name="Tariff Category" dataDxfId="223">
      <calculatedColumnFormula>Selected_Tariff_Category</calculatedColumnFormula>
    </tableColumn>
    <tableColumn id="3" xr3:uid="{00000000-0010-0000-0600-000003000000}" name="Type" dataDxfId="222"/>
    <tableColumn id="4" xr3:uid="{00000000-0010-0000-0600-000004000000}" name="Supply Voltage" dataDxfId="221">
      <calculatedColumnFormula>Selected_Supply_Voltage</calculatedColumnFormula>
    </tableColumn>
    <tableColumn id="5" xr3:uid="{00000000-0010-0000-0600-000005000000}" name="Code" dataDxfId="220">
      <calculatedColumnFormula>C8 &amp; "_" &amp; D8 &amp; "_" &amp; F8</calculatedColumnFormula>
    </tableColumn>
    <tableColumn id="11" xr3:uid="{00000000-0010-0000-0600-00000B000000}" name="Column1" dataDxfId="219"/>
    <tableColumn id="6" xr3:uid="{00000000-0010-0000-0600-000006000000}" name="Network capacity charge R/kVA/m" dataDxfId="218" dataCellStyle="CA Calc 0.00">
      <calculatedColumnFormula>IFERROR(INDEX(I$22:I$84,MATCH($G8,$G$22:$G$84,0)), "n/a")</calculatedColumnFormula>
    </tableColumn>
    <tableColumn id="7" xr3:uid="{00000000-0010-0000-0600-000007000000}" name="Network demand charge R/kVA/m" dataDxfId="217" dataCellStyle="CA Calc 0.00">
      <calculatedColumnFormula>IFERROR(INDEX(J$22:J$84,MATCH($G8,$G$22:$G$84,0)), "n/a")</calculatedColumnFormula>
    </tableColumn>
    <tableColumn id="8" xr3:uid="{00000000-0010-0000-0600-000008000000}" name="Network demand charge c/kwh" dataDxfId="216" dataCellStyle="CA Calc 0.00">
      <calculatedColumnFormula>IFERROR(INDEX(K$22:K$84,MATCH($G8,$G$22:$G$84,0)), "n/a")</calculatedColumnFormula>
    </tableColumn>
    <tableColumn id="13" xr3:uid="{CE07E342-2658-46DB-8055-278C072E368D}" name="Network demand charge, Ancillary service charge and retail [c/kWh]" dataDxfId="215" dataCellStyle="CA Calc 0.00">
      <calculatedColumnFormula>IFERROR(INDEX(L$22:L$84,MATCH($G8,$G$22:$G$84,0)), "n/a")</calculatedColumnFormula>
    </tableColumn>
    <tableColumn id="9" xr3:uid="{00000000-0010-0000-0600-000009000000}" name="Ancillary service charge [c/kWh]" dataDxfId="214" dataCellStyle="CA Calc 0.00">
      <calculatedColumnFormula>IFERROR(INDEX(M$22:M$84,MATCH($G8,$G$22:$G$84,0)), "n/a")</calculatedColumnFormula>
    </tableColumn>
    <tableColumn id="10" xr3:uid="{00000000-0010-0000-0600-00000A000000}" name="LV Subsidy Charge [R/kVA/m]" dataDxfId="213" dataCellStyle="CA Calc 0.00">
      <calculatedColumnFormula>IFERROR(INDEX(N$22:N$84,MATCH($G8,$G$22:$G$84,0)), "n/a")</calculatedColumnFormula>
    </tableColumn>
    <tableColumn id="12" xr3:uid="{734C6B20-402F-44DA-B74A-AD84FCD2BA68}" name="Generation Capacity Charge [R/kVA]" dataDxfId="212" dataCellStyle="CA Calc 0.00">
      <calculatedColumnFormula>IFERROR(INDEX(O$22:O$84,MATCH($G8,$G$22:$G$84,0)), "n/a")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7000000}" name="Rates_Distr_Network_Current" displayName="Rates_Distr_Network_Current" ref="C7:N16" totalsRowShown="0" headerRowDxfId="184" dataDxfId="183" tableBorderDxfId="182" dataCellStyle="CA Calc 0.00">
  <autoFilter ref="C7:N16" xr:uid="{00000000-0009-0000-0100-000004000000}"/>
  <tableColumns count="12">
    <tableColumn id="1" xr3:uid="{00000000-0010-0000-0700-000001000000}" name="Tariff" dataDxfId="181"/>
    <tableColumn id="2" xr3:uid="{00000000-0010-0000-0700-000002000000}" name="Tariff Category" dataDxfId="180">
      <calculatedColumnFormula>Selected_Tariff_Category</calculatedColumnFormula>
    </tableColumn>
    <tableColumn id="3" xr3:uid="{00000000-0010-0000-0700-000003000000}" name="Transmission Zone" dataDxfId="179"/>
    <tableColumn id="4" xr3:uid="{00000000-0010-0000-0700-000004000000}" name="Supply Voltage" dataDxfId="178">
      <calculatedColumnFormula>Selected_Supply_Voltage</calculatedColumnFormula>
    </tableColumn>
    <tableColumn id="5" xr3:uid="{00000000-0010-0000-0700-000005000000}" name="Code" dataDxfId="177">
      <calculatedColumnFormula>C8&amp;"_"&amp;D8&amp;"_"&amp;F8</calculatedColumnFormula>
    </tableColumn>
    <tableColumn id="11" xr3:uid="{00000000-0010-0000-0700-00000B000000}" name="Matrix code" dataDxfId="176"/>
    <tableColumn id="6" xr3:uid="{00000000-0010-0000-0700-000006000000}" name="Network capacity charge R/kVA/m" dataDxfId="175" dataCellStyle="CA Calc 0.00">
      <calculatedColumnFormula>INDEX(I$23:I$85,MATCH($G8,$G$23:$G$85,0))</calculatedColumnFormula>
    </tableColumn>
    <tableColumn id="7" xr3:uid="{00000000-0010-0000-0700-000007000000}" name="Network demand charge R/kVA/m" dataDxfId="174" dataCellStyle="CA Calc 0.00">
      <calculatedColumnFormula>INDEX(J$23:J$85,MATCH($G8,$G$23:$G$85,0))</calculatedColumnFormula>
    </tableColumn>
    <tableColumn id="8" xr3:uid="{00000000-0010-0000-0700-000008000000}" name="Network demand charge c/kwh" dataDxfId="173" dataCellStyle="CA Calc 0.00">
      <calculatedColumnFormula>INDEX(K$23:K$85,MATCH($G8,$G$23:$G$85,0))</calculatedColumnFormula>
    </tableColumn>
    <tableColumn id="12" xr3:uid="{62DA818B-7AA3-4B79-90A8-A9287BB1333B}" name="Network demand charge, Ancillary service charge and retail [c/kWh]" dataDxfId="172" dataCellStyle="CA Calc 0.00">
      <calculatedColumnFormula>INDEX(L$23:L$85,MATCH($G8,$G$23:$G$85,0))</calculatedColumnFormula>
    </tableColumn>
    <tableColumn id="9" xr3:uid="{00000000-0010-0000-0700-000009000000}" name="Ancillary service charge [c/kWh]" dataDxfId="171" dataCellStyle="CA Calc 0.00">
      <calculatedColumnFormula>INDEX(M$23:M$85,MATCH($G8,$G$23:$G$85,0))</calculatedColumnFormula>
    </tableColumn>
    <tableColumn id="10" xr3:uid="{00000000-0010-0000-0700-00000A000000}" name="LV Subsidy Charge [R/kVA/m]" dataDxfId="170" dataCellStyle="CA Calc 0.00">
      <calculatedColumnFormula>INDEX(N$23:N$85,MATCH($G8,$G$23:$G$85,0))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8000000}" name="Rates_Energy_New" displayName="Rates_Energy_New" ref="C7:V16" totalsRowShown="0" headerRowDxfId="102" dataDxfId="101" tableBorderDxfId="100" dataCellStyle="CA Calc 0.00">
  <autoFilter ref="C7:V16" xr:uid="{00000000-0009-0000-0100-000002000000}"/>
  <tableColumns count="20">
    <tableColumn id="1" xr3:uid="{00000000-0010-0000-0800-000001000000}" name="Tariff" dataDxfId="99"/>
    <tableColumn id="2" xr3:uid="{00000000-0010-0000-0800-000002000000}" name="Tariff Category" dataDxfId="98">
      <calculatedColumnFormula>Selected_Tariff_Category</calculatedColumnFormula>
    </tableColumn>
    <tableColumn id="3" xr3:uid="{00000000-0010-0000-0800-000003000000}" name="Transmission Zone" dataDxfId="97">
      <calculatedColumnFormula>Selected_Transmission</calculatedColumnFormula>
    </tableColumn>
    <tableColumn id="4" xr3:uid="{00000000-0010-0000-0800-000004000000}" name="Supply Voltage" dataDxfId="96">
      <calculatedColumnFormula>Selected_Supply_Voltage</calculatedColumnFormula>
    </tableColumn>
    <tableColumn id="5" xr3:uid="{00000000-0010-0000-0800-000005000000}" name="Code" dataDxfId="95">
      <calculatedColumnFormula>C8&amp;"_"&amp;D8&amp;"_"&amp;E8&amp;"_"&amp;F8</calculatedColumnFormula>
    </tableColumn>
    <tableColumn id="18" xr3:uid="{00000000-0010-0000-0800-000012000000}" name="Matrix Code" dataDxfId="94">
      <calculatedColumnFormula>IFERROR(INDEX(H$22:H$224, MATCH($G8, $G$22:$G$224, 0)), "n/a")</calculatedColumnFormula>
    </tableColumn>
    <tableColumn id="6" xr3:uid="{00000000-0010-0000-0800-000006000000}" name="High - Peak" dataDxfId="93" dataCellStyle="CA Calc 0.00">
      <calculatedColumnFormula>IFERROR(INDEX(I$22:I$224,MATCH($G8,$G$22:$G$224,0)), "n/a")</calculatedColumnFormula>
    </tableColumn>
    <tableColumn id="7" xr3:uid="{00000000-0010-0000-0800-000007000000}" name="High - Standard" dataDxfId="92" dataCellStyle="CA Calc 0.00">
      <calculatedColumnFormula>IFERROR(INDEX(J$22:J$224,MATCH($G8,$G$22:$G$224,0)), "n/a")</calculatedColumnFormula>
    </tableColumn>
    <tableColumn id="8" xr3:uid="{00000000-0010-0000-0800-000008000000}" name="High-Off Peak" dataDxfId="91" dataCellStyle="CA Calc 0.00">
      <calculatedColumnFormula>IFERROR(INDEX(K$22:K$224,MATCH($G8,$G$22:$G$224,0)), "n/a")</calculatedColumnFormula>
    </tableColumn>
    <tableColumn id="9" xr3:uid="{00000000-0010-0000-0800-000009000000}" name="Low - Peak" dataDxfId="90" dataCellStyle="CA Calc 0.00">
      <calculatedColumnFormula>IFERROR(INDEX(L$22:L$224,MATCH($G8,$G$22:$G$224,0)), "n/a")</calculatedColumnFormula>
    </tableColumn>
    <tableColumn id="10" xr3:uid="{00000000-0010-0000-0800-00000A000000}" name="Low - Standard" dataDxfId="89" dataCellStyle="CA Calc 0.00">
      <calculatedColumnFormula>IFERROR(INDEX(M$22:M$224,MATCH($G8,$G$22:$G$224,0)), "n/a")</calculatedColumnFormula>
    </tableColumn>
    <tableColumn id="11" xr3:uid="{00000000-0010-0000-0800-00000B000000}" name="Low-Off Peak" dataDxfId="88" dataCellStyle="CA Calc 0.00">
      <calculatedColumnFormula>IFERROR(INDEX(N$22:N$224,MATCH($G8,$G$22:$G$224,0)), "n/a")</calculatedColumnFormula>
    </tableColumn>
    <tableColumn id="12" xr3:uid="{00000000-0010-0000-0800-00000C000000}" name="High Charge" dataDxfId="87" dataCellStyle="CA Calc 0.00">
      <calculatedColumnFormula>IFERROR(INDEX(O$22:O$224,MATCH($G8,$G$22:$G$224,0)), "n/a")</calculatedColumnFormula>
    </tableColumn>
    <tableColumn id="13" xr3:uid="{00000000-0010-0000-0800-00000D000000}" name="Low Charge" dataDxfId="86" dataCellStyle="CA Calc 0.00">
      <calculatedColumnFormula>IFERROR(INDEX(P$22:P$224,MATCH($G8,$G$22:$G$224,0)), "n/a")</calculatedColumnFormula>
    </tableColumn>
    <tableColumn id="14" xr3:uid="{00000000-0010-0000-0800-00000E000000}" name="High Demand" dataDxfId="85" dataCellStyle="CA Calc 0.00">
      <calculatedColumnFormula>IFERROR(INDEX(Q$22:Q$224,MATCH($G8,$G$22:$G$224,0)), "n/a")</calculatedColumnFormula>
    </tableColumn>
    <tableColumn id="15" xr3:uid="{00000000-0010-0000-0800-00000F000000}" name="Low Demand" dataDxfId="84" dataCellStyle="CA Calc 0.00">
      <calculatedColumnFormula>IFERROR(INDEX(R$22:R$224,MATCH($G8,$G$22:$G$224,0)), "n/a")</calculatedColumnFormula>
    </tableColumn>
    <tableColumn id="16" xr3:uid="{00000000-0010-0000-0800-000010000000}" name="Transmission Network Charges" dataDxfId="83" dataCellStyle="CA Calc 0.00">
      <calculatedColumnFormula>IFERROR(INDEX(S$22:S$224,MATCH($G8,$G$22:$G$224,0)), "n/a")</calculatedColumnFormula>
    </tableColumn>
    <tableColumn id="17" xr3:uid="{00000000-0010-0000-0800-000011000000}" name="Network Capacity Charges" dataDxfId="82" dataCellStyle="CA Calc 0.00">
      <calculatedColumnFormula>IFERROR(INDEX(T$22:T$224,MATCH($G8,$G$22:$G$224,0)), "n/a")</calculatedColumnFormula>
    </tableColumn>
    <tableColumn id="21" xr3:uid="{DDC71A4D-6DA9-4605-B218-0C039C31B158}" name="Generation Capacity Charge" dataDxfId="81" dataCellStyle="CA Calc 0.00">
      <calculatedColumnFormula>IFERROR(INDEX(U$22:U$224,MATCH($G8,$G$22:$G$224,0)), "n/a")</calculatedColumnFormula>
    </tableColumn>
    <tableColumn id="20" xr3:uid="{754DA287-8D02-4108-A9EB-D6D11E2C5B3F}" name="Legacy charge" dataDxfId="80" dataCellStyle="CA Calc 0.00">
      <calculatedColumnFormula>IFERROR(INDEX(V$22:V$224,MATCH($G8,$G$22:$G$224,0)), "n/a")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9000000}" name="Rates_Energy_Current" displayName="Rates_Energy_Current" ref="C7:V16" totalsRowShown="0" headerRowDxfId="22" dataDxfId="21" tableBorderDxfId="20" dataCellStyle="CA Calc 0.00">
  <autoFilter ref="C7:V16" xr:uid="{00000000-0009-0000-0100-000001000000}"/>
  <tableColumns count="20">
    <tableColumn id="1" xr3:uid="{00000000-0010-0000-0900-000001000000}" name="Tariff" dataDxfId="19"/>
    <tableColumn id="2" xr3:uid="{00000000-0010-0000-0900-000002000000}" name="Tariff Category" dataDxfId="18">
      <calculatedColumnFormula>Selected_Tariff_Category</calculatedColumnFormula>
    </tableColumn>
    <tableColumn id="3" xr3:uid="{00000000-0010-0000-0900-000003000000}" name="Transmission Zone" dataDxfId="17">
      <calculatedColumnFormula>Selected_Transmission</calculatedColumnFormula>
    </tableColumn>
    <tableColumn id="4" xr3:uid="{00000000-0010-0000-0900-000004000000}" name="Supply Voltage" dataDxfId="16">
      <calculatedColumnFormula>Selected_Supply_Voltage</calculatedColumnFormula>
    </tableColumn>
    <tableColumn id="5" xr3:uid="{00000000-0010-0000-0900-000005000000}" name="Code" dataDxfId="15">
      <calculatedColumnFormula>C8&amp;"_"&amp;D8&amp;"_"&amp;E8&amp;"_"&amp;F8</calculatedColumnFormula>
    </tableColumn>
    <tableColumn id="18" xr3:uid="{00000000-0010-0000-0900-000012000000}" name="Matrix Code" dataDxfId="14">
      <calculatedColumnFormula>INDEX(H$22:H$224,MATCH($G8,$G$22:$G$224,0))</calculatedColumnFormula>
    </tableColumn>
    <tableColumn id="6" xr3:uid="{00000000-0010-0000-0900-000006000000}" name="High - Peak" dataDxfId="13" dataCellStyle="CA Calc 0.00">
      <calculatedColumnFormula>INDEX(I$22:I$224,MATCH($G8,$G$22:$G$224,0))</calculatedColumnFormula>
    </tableColumn>
    <tableColumn id="7" xr3:uid="{00000000-0010-0000-0900-000007000000}" name="High - Standard" dataDxfId="12" dataCellStyle="CA Calc 0.00">
      <calculatedColumnFormula>INDEX(J$22:J$224,MATCH($G8,$G$22:$G$224,0))</calculatedColumnFormula>
    </tableColumn>
    <tableColumn id="8" xr3:uid="{00000000-0010-0000-0900-000008000000}" name="High-Off Peak" dataDxfId="11" dataCellStyle="CA Calc 0.00">
      <calculatedColumnFormula>INDEX(K$22:K$224,MATCH($G8,$G$22:$G$224,0))</calculatedColumnFormula>
    </tableColumn>
    <tableColumn id="9" xr3:uid="{00000000-0010-0000-0900-000009000000}" name="Low - Peak" dataDxfId="10" dataCellStyle="CA Calc 0.00">
      <calculatedColumnFormula>INDEX(L$22:L$224,MATCH($G8,$G$22:$G$224,0))</calculatedColumnFormula>
    </tableColumn>
    <tableColumn id="10" xr3:uid="{00000000-0010-0000-0900-00000A000000}" name="Low - Standard" dataDxfId="9" dataCellStyle="CA Calc 0.00">
      <calculatedColumnFormula>INDEX(M$22:M$224,MATCH($G8,$G$22:$G$224,0))</calculatedColumnFormula>
    </tableColumn>
    <tableColumn id="11" xr3:uid="{00000000-0010-0000-0900-00000B000000}" name="Low-Off Peak" dataDxfId="8" dataCellStyle="CA Calc 0.00">
      <calculatedColumnFormula>INDEX(N$22:N$224,MATCH($G8,$G$22:$G$224,0))</calculatedColumnFormula>
    </tableColumn>
    <tableColumn id="12" xr3:uid="{00000000-0010-0000-0900-00000C000000}" name="High Charge" dataDxfId="7" dataCellStyle="CA Calc 0.00">
      <calculatedColumnFormula>INDEX(O$22:O$224,MATCH($G8,$G$22:$G$224,0))</calculatedColumnFormula>
    </tableColumn>
    <tableColumn id="13" xr3:uid="{00000000-0010-0000-0900-00000D000000}" name="Low Charge" dataDxfId="6" dataCellStyle="CA Calc 0.00">
      <calculatedColumnFormula>INDEX(P$22:P$224,MATCH($G8,$G$22:$G$224,0))</calculatedColumnFormula>
    </tableColumn>
    <tableColumn id="14" xr3:uid="{00000000-0010-0000-0900-00000E000000}" name="High Demand" dataDxfId="5" dataCellStyle="CA Calc 0.00">
      <calculatedColumnFormula>INDEX(Q$22:Q$224,MATCH($G8,$G$22:$G$224,0))</calculatedColumnFormula>
    </tableColumn>
    <tableColumn id="15" xr3:uid="{00000000-0010-0000-0900-00000F000000}" name="Low Demand" dataDxfId="4" dataCellStyle="CA Calc 0.00">
      <calculatedColumnFormula>INDEX(R$22:R$224,MATCH($G8,$G$22:$G$224,0))</calculatedColumnFormula>
    </tableColumn>
    <tableColumn id="19" xr3:uid="{298D5625-2D75-4CEE-B2E2-648E6A8D9CDB}" name="Transmission Network Charges" dataDxfId="3" dataCellStyle="CA Calc 0.00">
      <calculatedColumnFormula>INDEX(S$22:S$224,MATCH($G8,$G$22:$G$224,0))</calculatedColumnFormula>
    </tableColumn>
    <tableColumn id="20" xr3:uid="{6148B720-8A58-4FD5-A5E4-928A472B246D}" name="Network Capacity Charges" dataDxfId="2" dataCellStyle="CA Calc 0.00">
      <calculatedColumnFormula>INDEX(T$22:T$224,MATCH($G8,$G$22:$G$224,0))</calculatedColumnFormula>
    </tableColumn>
    <tableColumn id="16" xr3:uid="{00000000-0010-0000-0900-000010000000}" name="Generation Capacity Charge" dataDxfId="1" dataCellStyle="CA Calc 0.00">
      <calculatedColumnFormula>INDEX(U$22:U$224,MATCH($G8,$G$22:$G$224,0))</calculatedColumnFormula>
    </tableColumn>
    <tableColumn id="17" xr3:uid="{00000000-0010-0000-0900-000011000000}" name="Legacy charge" dataDxfId="0" dataCellStyle="CA Calc 0.00">
      <calculatedColumnFormula>INDEX(V$22:V$224,MATCH($G8,$G$22:$G$224,0))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Civic">
      <a:dk1>
        <a:sysClr val="windowText" lastClr="000000"/>
      </a:dk1>
      <a:lt1>
        <a:sysClr val="window" lastClr="FFFFFF"/>
      </a:lt1>
      <a:dk2>
        <a:srgbClr val="646B86"/>
      </a:dk2>
      <a:lt2>
        <a:srgbClr val="C5D1D7"/>
      </a:lt2>
      <a:accent1>
        <a:srgbClr val="D16349"/>
      </a:accent1>
      <a:accent2>
        <a:srgbClr val="CCB400"/>
      </a:accent2>
      <a:accent3>
        <a:srgbClr val="8CADAE"/>
      </a:accent3>
      <a:accent4>
        <a:srgbClr val="8C7B70"/>
      </a:accent4>
      <a:accent5>
        <a:srgbClr val="8FB08C"/>
      </a:accent5>
      <a:accent6>
        <a:srgbClr val="D19049"/>
      </a:accent6>
      <a:hlink>
        <a:srgbClr val="00A3D6"/>
      </a:hlink>
      <a:folHlink>
        <a:srgbClr val="694F07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omments" Target="../comments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5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Relationship Id="rId5" Type="http://schemas.openxmlformats.org/officeDocument/2006/relationships/comments" Target="../comments6.xml"/><Relationship Id="rId4" Type="http://schemas.openxmlformats.org/officeDocument/2006/relationships/table" Target="../tables/table7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15.xml"/><Relationship Id="rId4" Type="http://schemas.openxmlformats.org/officeDocument/2006/relationships/comments" Target="../comments7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theme="3"/>
    <pageSetUpPr fitToPage="1"/>
  </sheetPr>
  <dimension ref="A1:XEV288"/>
  <sheetViews>
    <sheetView showGridLines="0" tabSelected="1" zoomScale="90" zoomScaleNormal="90" workbookViewId="0">
      <pane ySplit="5" topLeftCell="A6" activePane="bottomLeft" state="frozen"/>
      <selection activeCell="L8" sqref="L8"/>
      <selection pane="bottomLeft" activeCell="B5" sqref="B5"/>
    </sheetView>
  </sheetViews>
  <sheetFormatPr defaultColWidth="9.28515625" defaultRowHeight="12" zeroHeight="1" outlineLevelCol="1"/>
  <cols>
    <col min="1" max="1" width="10.42578125" customWidth="1"/>
    <col min="2" max="2" width="8" customWidth="1"/>
    <col min="3" max="3" width="4.42578125" customWidth="1"/>
    <col min="4" max="4" width="20.7109375" customWidth="1"/>
    <col min="5" max="5" width="13.7109375" bestFit="1" customWidth="1"/>
    <col min="6" max="6" width="3.140625" customWidth="1"/>
    <col min="7" max="11" width="17.7109375" customWidth="1"/>
    <col min="12" max="12" width="16.42578125" customWidth="1"/>
    <col min="13" max="13" width="17.7109375" customWidth="1"/>
    <col min="14" max="14" width="18.28515625" customWidth="1"/>
    <col min="15" max="15" width="16.28515625" bestFit="1" customWidth="1"/>
    <col min="16" max="18" width="13.42578125" hidden="1" customWidth="1" outlineLevel="1"/>
    <col min="19" max="19" width="9.28515625" customWidth="1" collapsed="1"/>
    <col min="21" max="21" width="12.5703125" customWidth="1"/>
    <col min="28" max="28" width="25.5703125" hidden="1" customWidth="1"/>
  </cols>
  <sheetData>
    <row r="1" spans="2:1020 1031:2043 2054:3066 3077:4089 4100:5112 5123:6135 6146:7158 7169:8192 8203:9215 9226:10238 10249:11261 11272:12284 12295:13307 13318:14330 14341:15353 15364:16376" ht="4.05" customHeight="1"/>
    <row r="2" spans="2:1020 1031:2043 2054:3066 3077:4089 4100:5112 5123:6135 6146:7158 7169:8192 8203:9215 9226:10238 10249:11261 11272:12284 12295:13307 13318:14330 14341:15353 15364:16376" ht="33" customHeight="1">
      <c r="E2" s="416" t="s">
        <v>424</v>
      </c>
      <c r="F2" s="417"/>
      <c r="G2" s="417"/>
      <c r="H2" s="417"/>
      <c r="I2" s="188"/>
      <c r="J2" s="188"/>
      <c r="K2" s="188"/>
      <c r="L2" s="188"/>
      <c r="M2" s="188"/>
      <c r="N2" s="188"/>
      <c r="O2" s="190" t="str">
        <f>"Version 6.18   24 March 2026"</f>
        <v>Version 6.18   24 March 2026</v>
      </c>
    </row>
    <row r="3" spans="2:1020 1031:2043 2054:3066 3077:4089 4100:5112 5123:6135 6146:7158 7169:8192 8203:9215 9226:10238 10249:11261 11272:12284 12295:13307 13318:14330 14341:15353 15364:16376" ht="4.05" customHeight="1"/>
    <row r="4" spans="2:1020 1031:2043 2054:3066 3077:4089 4100:5112 5123:6135 6146:7158 7169:8192 8203:9215 9226:10238 10249:11261 11272:12284 12295:13307 13318:14330 14341:15353 15364:16376" ht="15">
      <c r="B4" s="2" t="s">
        <v>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2:1020 1031:2043 2054:3066 3077:4089 4100:5112 5123:6135 6146:7158 7169:8192 8203:9215 9226:10238 10249:11261 11272:12284 12295:13307 13318:14330 14341:15353 15364:16376"/>
    <row r="6" spans="2:1020 1031:2043 2054:3066 3077:4089 4100:5112 5123:6135 6146:7158 7169:8192 8203:9215 9226:10238 10249:11261 11272:12284 12295:13307 13318:14330 14341:15353 15364:16376" ht="12.6" thickBot="1">
      <c r="B6" s="8" t="s">
        <v>1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2:1020 1031:2043 2054:3066 3077:4089 4100:5112 5123:6135 6146:7158 7169:8192 8203:9215 9226:10238 10249:11261 11272:12284 12295:13307 13318:14330 14341:15353 15364:16376" ht="12.6" thickTop="1"/>
    <row r="8" spans="2:1020 1031:2043 2054:3066 3077:4089 4100:5112 5123:6135 6146:7158 7169:8192 8203:9215 9226:10238 10249:11261 11272:12284 12295:13307 13318:14330 14341:15353 15364:16376">
      <c r="D8" t="s">
        <v>2</v>
      </c>
      <c r="G8" s="427"/>
      <c r="H8" s="427"/>
      <c r="I8" s="11" t="s">
        <v>8</v>
      </c>
    </row>
    <row r="9" spans="2:1020 1031:2043 2054:3066 3077:4089 4100:5112 5123:6135 6146:7158 7169:8192 8203:9215 9226:10238 10249:11261 11272:12284 12295:13307 13318:14330 14341:15353 15364:16376">
      <c r="D9" t="s">
        <v>3</v>
      </c>
      <c r="G9" s="427"/>
      <c r="H9" s="427"/>
      <c r="I9" s="11" t="s">
        <v>9</v>
      </c>
    </row>
    <row r="10" spans="2:1020 1031:2043 2054:3066 3077:4089 4100:5112 5123:6135 6146:7158 7169:8192 8203:9215 9226:10238 10249:11261 11272:12284 12295:13307 13318:14330 14341:15353 15364:16376">
      <c r="D10" t="s">
        <v>4</v>
      </c>
      <c r="G10" s="427"/>
      <c r="H10" s="427"/>
      <c r="I10" s="11" t="s">
        <v>10</v>
      </c>
    </row>
    <row r="11" spans="2:1020 1031:2043 2054:3066 3077:4089 4100:5112 5123:6135 6146:7158 7169:8192 8203:9215 9226:10238 10249:11261 11272:12284 12295:13307 13318:14330 14341:15353 15364:16376">
      <c r="D11" t="s">
        <v>163</v>
      </c>
      <c r="H11" s="9">
        <v>1</v>
      </c>
      <c r="I11" s="11"/>
    </row>
    <row r="12" spans="2:1020 1031:2043 2054:3066 3077:4089 4100:5112 5123:6135 6146:7158 7169:8192 8203:9215 9226:10238 10249:11261 11272:12284 12295:13307 13318:14330 14341:15353 15364:16376">
      <c r="I12" s="12"/>
    </row>
    <row r="13" spans="2:1020 1031:2043 2054:3066 3077:4089 4100:5112 5123:6135 6146:7158 7169:8192 8203:9215 9226:10238 10249:11261 11272:12284 12295:13307 13318:14330 14341:15353 15364:16376" ht="17.25" customHeight="1">
      <c r="D13" s="47" t="s">
        <v>5</v>
      </c>
      <c r="E13" s="47"/>
      <c r="F13" s="47"/>
      <c r="G13" s="47"/>
      <c r="H13" s="47"/>
      <c r="I13" s="189" t="s">
        <v>398</v>
      </c>
      <c r="J13" s="47"/>
      <c r="K13" s="47"/>
      <c r="L13" s="47"/>
      <c r="M13" s="47"/>
      <c r="N13" s="47"/>
      <c r="O13" s="47"/>
    </row>
    <row r="14" spans="2:1020 1031:2043 2054:3066 3077:4089 4100:5112 5123:6135 6146:7158 7169:8192 8203:9215 9226:10238 10249:11261 11272:12284 12295:13307 13318:14330 14341:15353 15364:16376" ht="4.05" customHeight="1">
      <c r="H14" s="12"/>
    </row>
    <row r="15" spans="2:1020 1031:2043 2054:3066 3077:4089 4100:5112 5123:6135 6146:7158 7169:8192 8203:9215 9226:10238 10249:11261 11272:12284 12295:13307 13318:14330 14341:15353 15364:16376" s="47" customFormat="1" ht="17.25" customHeight="1">
      <c r="D15" s="47" t="s">
        <v>313</v>
      </c>
      <c r="F15" s="48"/>
      <c r="I15" s="49" t="s">
        <v>217</v>
      </c>
      <c r="S15" s="48"/>
      <c r="AD15" s="48"/>
      <c r="AO15" s="48"/>
      <c r="AZ15" s="48"/>
      <c r="BK15" s="48"/>
      <c r="BV15" s="48"/>
      <c r="CG15" s="48"/>
      <c r="CR15" s="48"/>
      <c r="DC15" s="48"/>
      <c r="DN15" s="48"/>
      <c r="DY15" s="48"/>
      <c r="EJ15" s="48"/>
      <c r="EU15" s="48"/>
      <c r="FF15" s="48"/>
      <c r="FQ15" s="48"/>
      <c r="GB15" s="48"/>
      <c r="GM15" s="48"/>
      <c r="GX15" s="48"/>
      <c r="HI15" s="48"/>
      <c r="HT15" s="48"/>
      <c r="IE15" s="48"/>
      <c r="IP15" s="48"/>
      <c r="JA15" s="48"/>
      <c r="JL15" s="48"/>
      <c r="JW15" s="48"/>
      <c r="KH15" s="48"/>
      <c r="KS15" s="48"/>
      <c r="LD15" s="48"/>
      <c r="LO15" s="48"/>
      <c r="LZ15" s="48"/>
      <c r="MK15" s="48"/>
      <c r="MV15" s="48"/>
      <c r="NG15" s="48"/>
      <c r="NR15" s="48"/>
      <c r="OC15" s="48"/>
      <c r="ON15" s="48"/>
      <c r="OY15" s="48"/>
      <c r="PJ15" s="48"/>
      <c r="PU15" s="48"/>
      <c r="QF15" s="48"/>
      <c r="QQ15" s="48"/>
      <c r="RB15" s="48"/>
      <c r="RM15" s="48"/>
      <c r="RX15" s="48"/>
      <c r="SI15" s="48"/>
      <c r="ST15" s="48"/>
      <c r="TE15" s="48"/>
      <c r="TP15" s="48"/>
      <c r="UA15" s="48"/>
      <c r="UL15" s="48"/>
      <c r="UW15" s="48"/>
      <c r="VH15" s="48"/>
      <c r="VS15" s="48"/>
      <c r="WD15" s="48"/>
      <c r="WO15" s="48"/>
      <c r="WZ15" s="48"/>
      <c r="XK15" s="48"/>
      <c r="XV15" s="48"/>
      <c r="YG15" s="48"/>
      <c r="YR15" s="48"/>
      <c r="ZC15" s="48"/>
      <c r="ZN15" s="48"/>
      <c r="ZY15" s="48"/>
      <c r="AAJ15" s="48"/>
      <c r="AAU15" s="48"/>
      <c r="ABF15" s="48"/>
      <c r="ABQ15" s="48"/>
      <c r="ACB15" s="48"/>
      <c r="ACM15" s="48"/>
      <c r="ACX15" s="48"/>
      <c r="ADI15" s="48"/>
      <c r="ADT15" s="48"/>
      <c r="AEE15" s="48"/>
      <c r="AEP15" s="48"/>
      <c r="AFA15" s="48"/>
      <c r="AFL15" s="48"/>
      <c r="AFW15" s="48"/>
      <c r="AGH15" s="48"/>
      <c r="AGS15" s="48"/>
      <c r="AHD15" s="48"/>
      <c r="AHO15" s="48"/>
      <c r="AHZ15" s="48"/>
      <c r="AIK15" s="48"/>
      <c r="AIV15" s="48"/>
      <c r="AJG15" s="48"/>
      <c r="AJR15" s="48"/>
      <c r="AKC15" s="48"/>
      <c r="AKN15" s="48"/>
      <c r="AKY15" s="48"/>
      <c r="ALJ15" s="48"/>
      <c r="ALU15" s="48"/>
      <c r="AMF15" s="48"/>
      <c r="AMQ15" s="48"/>
      <c r="ANB15" s="48"/>
      <c r="ANM15" s="48"/>
      <c r="ANX15" s="48"/>
      <c r="AOI15" s="48"/>
      <c r="AOT15" s="48"/>
      <c r="APE15" s="48"/>
      <c r="APP15" s="48"/>
      <c r="AQA15" s="48"/>
      <c r="AQL15" s="48"/>
      <c r="AQW15" s="48"/>
      <c r="ARH15" s="48"/>
      <c r="ARS15" s="48"/>
      <c r="ASD15" s="48"/>
      <c r="ASO15" s="48"/>
      <c r="ASZ15" s="48"/>
      <c r="ATK15" s="48"/>
      <c r="ATV15" s="48"/>
      <c r="AUG15" s="48"/>
      <c r="AUR15" s="48"/>
      <c r="AVC15" s="48"/>
      <c r="AVN15" s="48"/>
      <c r="AVY15" s="48"/>
      <c r="AWJ15" s="48"/>
      <c r="AWU15" s="48"/>
      <c r="AXF15" s="48"/>
      <c r="AXQ15" s="48"/>
      <c r="AYB15" s="48"/>
      <c r="AYM15" s="48"/>
      <c r="AYX15" s="48"/>
      <c r="AZI15" s="48"/>
      <c r="AZT15" s="48"/>
      <c r="BAE15" s="48"/>
      <c r="BAP15" s="48"/>
      <c r="BBA15" s="48"/>
      <c r="BBL15" s="48"/>
      <c r="BBW15" s="48"/>
      <c r="BCH15" s="48"/>
      <c r="BCS15" s="48"/>
      <c r="BDD15" s="48"/>
      <c r="BDO15" s="48"/>
      <c r="BDZ15" s="48"/>
      <c r="BEK15" s="48"/>
      <c r="BEV15" s="48"/>
      <c r="BFG15" s="48"/>
      <c r="BFR15" s="48"/>
      <c r="BGC15" s="48"/>
      <c r="BGN15" s="48"/>
      <c r="BGY15" s="48"/>
      <c r="BHJ15" s="48"/>
      <c r="BHU15" s="48"/>
      <c r="BIF15" s="48"/>
      <c r="BIQ15" s="48"/>
      <c r="BJB15" s="48"/>
      <c r="BJM15" s="48"/>
      <c r="BJX15" s="48"/>
      <c r="BKI15" s="48"/>
      <c r="BKT15" s="48"/>
      <c r="BLE15" s="48"/>
      <c r="BLP15" s="48"/>
      <c r="BMA15" s="48"/>
      <c r="BML15" s="48"/>
      <c r="BMW15" s="48"/>
      <c r="BNH15" s="48"/>
      <c r="BNS15" s="48"/>
      <c r="BOD15" s="48"/>
      <c r="BOO15" s="48"/>
      <c r="BOZ15" s="48"/>
      <c r="BPK15" s="48"/>
      <c r="BPV15" s="48"/>
      <c r="BQG15" s="48"/>
      <c r="BQR15" s="48"/>
      <c r="BRC15" s="48"/>
      <c r="BRN15" s="48"/>
      <c r="BRY15" s="48"/>
      <c r="BSJ15" s="48"/>
      <c r="BSU15" s="48"/>
      <c r="BTF15" s="48"/>
      <c r="BTQ15" s="48"/>
      <c r="BUB15" s="48"/>
      <c r="BUM15" s="48"/>
      <c r="BUX15" s="48"/>
      <c r="BVI15" s="48"/>
      <c r="BVT15" s="48"/>
      <c r="BWE15" s="48"/>
      <c r="BWP15" s="48"/>
      <c r="BXA15" s="48"/>
      <c r="BXL15" s="48"/>
      <c r="BXW15" s="48"/>
      <c r="BYH15" s="48"/>
      <c r="BYS15" s="48"/>
      <c r="BZD15" s="48"/>
      <c r="BZO15" s="48"/>
      <c r="BZZ15" s="48"/>
      <c r="CAK15" s="48"/>
      <c r="CAV15" s="48"/>
      <c r="CBG15" s="48"/>
      <c r="CBR15" s="48"/>
      <c r="CCC15" s="48"/>
      <c r="CCN15" s="48"/>
      <c r="CCY15" s="48"/>
      <c r="CDJ15" s="48"/>
      <c r="CDU15" s="48"/>
      <c r="CEF15" s="48"/>
      <c r="CEQ15" s="48"/>
      <c r="CFB15" s="48"/>
      <c r="CFM15" s="48"/>
      <c r="CFX15" s="48"/>
      <c r="CGI15" s="48"/>
      <c r="CGT15" s="48"/>
      <c r="CHE15" s="48"/>
      <c r="CHP15" s="48"/>
      <c r="CIA15" s="48"/>
      <c r="CIL15" s="48"/>
      <c r="CIW15" s="48"/>
      <c r="CJH15" s="48"/>
      <c r="CJS15" s="48"/>
      <c r="CKD15" s="48"/>
      <c r="CKO15" s="48"/>
      <c r="CKZ15" s="48"/>
      <c r="CLK15" s="48"/>
      <c r="CLV15" s="48"/>
      <c r="CMG15" s="48"/>
      <c r="CMR15" s="48"/>
      <c r="CNC15" s="48"/>
      <c r="CNN15" s="48"/>
      <c r="CNY15" s="48"/>
      <c r="COJ15" s="48"/>
      <c r="COU15" s="48"/>
      <c r="CPF15" s="48"/>
      <c r="CPQ15" s="48"/>
      <c r="CQB15" s="48"/>
      <c r="CQM15" s="48"/>
      <c r="CQX15" s="48"/>
      <c r="CRI15" s="48"/>
      <c r="CRT15" s="48"/>
      <c r="CSE15" s="48"/>
      <c r="CSP15" s="48"/>
      <c r="CTA15" s="48"/>
      <c r="CTL15" s="48"/>
      <c r="CTW15" s="48"/>
      <c r="CUH15" s="48"/>
      <c r="CUS15" s="48"/>
      <c r="CVD15" s="48"/>
      <c r="CVO15" s="48"/>
      <c r="CVZ15" s="48"/>
      <c r="CWK15" s="48"/>
      <c r="CWV15" s="48"/>
      <c r="CXG15" s="48"/>
      <c r="CXR15" s="48"/>
      <c r="CYC15" s="48"/>
      <c r="CYN15" s="48"/>
      <c r="CYY15" s="48"/>
      <c r="CZJ15" s="48"/>
      <c r="CZU15" s="48"/>
      <c r="DAF15" s="48"/>
      <c r="DAQ15" s="48"/>
      <c r="DBB15" s="48"/>
      <c r="DBM15" s="48"/>
      <c r="DBX15" s="48"/>
      <c r="DCI15" s="48"/>
      <c r="DCT15" s="48"/>
      <c r="DDE15" s="48"/>
      <c r="DDP15" s="48"/>
      <c r="DEA15" s="48"/>
      <c r="DEL15" s="48"/>
      <c r="DEW15" s="48"/>
      <c r="DFH15" s="48"/>
      <c r="DFS15" s="48"/>
      <c r="DGD15" s="48"/>
      <c r="DGO15" s="48"/>
      <c r="DGZ15" s="48"/>
      <c r="DHK15" s="48"/>
      <c r="DHV15" s="48"/>
      <c r="DIG15" s="48"/>
      <c r="DIR15" s="48"/>
      <c r="DJC15" s="48"/>
      <c r="DJN15" s="48"/>
      <c r="DJY15" s="48"/>
      <c r="DKJ15" s="48"/>
      <c r="DKU15" s="48"/>
      <c r="DLF15" s="48"/>
      <c r="DLQ15" s="48"/>
      <c r="DMB15" s="48"/>
      <c r="DMM15" s="48"/>
      <c r="DMX15" s="48"/>
      <c r="DNI15" s="48"/>
      <c r="DNT15" s="48"/>
      <c r="DOE15" s="48"/>
      <c r="DOP15" s="48"/>
      <c r="DPA15" s="48"/>
      <c r="DPL15" s="48"/>
      <c r="DPW15" s="48"/>
      <c r="DQH15" s="48"/>
      <c r="DQS15" s="48"/>
      <c r="DRD15" s="48"/>
      <c r="DRO15" s="48"/>
      <c r="DRZ15" s="48"/>
      <c r="DSK15" s="48"/>
      <c r="DSV15" s="48"/>
      <c r="DTG15" s="48"/>
      <c r="DTR15" s="48"/>
      <c r="DUC15" s="48"/>
      <c r="DUN15" s="48"/>
      <c r="DUY15" s="48"/>
      <c r="DVJ15" s="48"/>
      <c r="DVU15" s="48"/>
      <c r="DWF15" s="48"/>
      <c r="DWQ15" s="48"/>
      <c r="DXB15" s="48"/>
      <c r="DXM15" s="48"/>
      <c r="DXX15" s="48"/>
      <c r="DYI15" s="48"/>
      <c r="DYT15" s="48"/>
      <c r="DZE15" s="48"/>
      <c r="DZP15" s="48"/>
      <c r="EAA15" s="48"/>
      <c r="EAL15" s="48"/>
      <c r="EAW15" s="48"/>
      <c r="EBH15" s="48"/>
      <c r="EBS15" s="48"/>
      <c r="ECD15" s="48"/>
      <c r="ECO15" s="48"/>
      <c r="ECZ15" s="48"/>
      <c r="EDK15" s="48"/>
      <c r="EDV15" s="48"/>
      <c r="EEG15" s="48"/>
      <c r="EER15" s="48"/>
      <c r="EFC15" s="48"/>
      <c r="EFN15" s="48"/>
      <c r="EFY15" s="48"/>
      <c r="EGJ15" s="48"/>
      <c r="EGU15" s="48"/>
      <c r="EHF15" s="48"/>
      <c r="EHQ15" s="48"/>
      <c r="EIB15" s="48"/>
      <c r="EIM15" s="48"/>
      <c r="EIX15" s="48"/>
      <c r="EJI15" s="48"/>
      <c r="EJT15" s="48"/>
      <c r="EKE15" s="48"/>
      <c r="EKP15" s="48"/>
      <c r="ELA15" s="48"/>
      <c r="ELL15" s="48"/>
      <c r="ELW15" s="48"/>
      <c r="EMH15" s="48"/>
      <c r="EMS15" s="48"/>
      <c r="END15" s="48"/>
      <c r="ENO15" s="48"/>
      <c r="ENZ15" s="48"/>
      <c r="EOK15" s="48"/>
      <c r="EOV15" s="48"/>
      <c r="EPG15" s="48"/>
      <c r="EPR15" s="48"/>
      <c r="EQC15" s="48"/>
      <c r="EQN15" s="48"/>
      <c r="EQY15" s="48"/>
      <c r="ERJ15" s="48"/>
      <c r="ERU15" s="48"/>
      <c r="ESF15" s="48"/>
      <c r="ESQ15" s="48"/>
      <c r="ETB15" s="48"/>
      <c r="ETM15" s="48"/>
      <c r="ETX15" s="48"/>
      <c r="EUI15" s="48"/>
      <c r="EUT15" s="48"/>
      <c r="EVE15" s="48"/>
      <c r="EVP15" s="48"/>
      <c r="EWA15" s="48"/>
      <c r="EWL15" s="48"/>
      <c r="EWW15" s="48"/>
      <c r="EXH15" s="48"/>
      <c r="EXS15" s="48"/>
      <c r="EYD15" s="48"/>
      <c r="EYO15" s="48"/>
      <c r="EYZ15" s="48"/>
      <c r="EZK15" s="48"/>
      <c r="EZV15" s="48"/>
      <c r="FAG15" s="48"/>
      <c r="FAR15" s="48"/>
      <c r="FBC15" s="48"/>
      <c r="FBN15" s="48"/>
      <c r="FBY15" s="48"/>
      <c r="FCJ15" s="48"/>
      <c r="FCU15" s="48"/>
      <c r="FDF15" s="48"/>
      <c r="FDQ15" s="48"/>
      <c r="FEB15" s="48"/>
      <c r="FEM15" s="48"/>
      <c r="FEX15" s="48"/>
      <c r="FFI15" s="48"/>
      <c r="FFT15" s="48"/>
      <c r="FGE15" s="48"/>
      <c r="FGP15" s="48"/>
      <c r="FHA15" s="48"/>
      <c r="FHL15" s="48"/>
      <c r="FHW15" s="48"/>
      <c r="FIH15" s="48"/>
      <c r="FIS15" s="48"/>
      <c r="FJD15" s="48"/>
      <c r="FJO15" s="48"/>
      <c r="FJZ15" s="48"/>
      <c r="FKK15" s="48"/>
      <c r="FKV15" s="48"/>
      <c r="FLG15" s="48"/>
      <c r="FLR15" s="48"/>
      <c r="FMC15" s="48"/>
      <c r="FMN15" s="48"/>
      <c r="FMY15" s="48"/>
      <c r="FNJ15" s="48"/>
      <c r="FNU15" s="48"/>
      <c r="FOF15" s="48"/>
      <c r="FOQ15" s="48"/>
      <c r="FPB15" s="48"/>
      <c r="FPM15" s="48"/>
      <c r="FPX15" s="48"/>
      <c r="FQI15" s="48"/>
      <c r="FQT15" s="48"/>
      <c r="FRE15" s="48"/>
      <c r="FRP15" s="48"/>
      <c r="FSA15" s="48"/>
      <c r="FSL15" s="48"/>
      <c r="FSW15" s="48"/>
      <c r="FTH15" s="48"/>
      <c r="FTS15" s="48"/>
      <c r="FUD15" s="48"/>
      <c r="FUO15" s="48"/>
      <c r="FUZ15" s="48"/>
      <c r="FVK15" s="48"/>
      <c r="FVV15" s="48"/>
      <c r="FWG15" s="48"/>
      <c r="FWR15" s="48"/>
      <c r="FXC15" s="48"/>
      <c r="FXN15" s="48"/>
      <c r="FXY15" s="48"/>
      <c r="FYJ15" s="48"/>
      <c r="FYU15" s="48"/>
      <c r="FZF15" s="48"/>
      <c r="FZQ15" s="48"/>
      <c r="GAB15" s="48"/>
      <c r="GAM15" s="48"/>
      <c r="GAX15" s="48"/>
      <c r="GBI15" s="48"/>
      <c r="GBT15" s="48"/>
      <c r="GCE15" s="48"/>
      <c r="GCP15" s="48"/>
      <c r="GDA15" s="48"/>
      <c r="GDL15" s="48"/>
      <c r="GDW15" s="48"/>
      <c r="GEH15" s="48"/>
      <c r="GES15" s="48"/>
      <c r="GFD15" s="48"/>
      <c r="GFO15" s="48"/>
      <c r="GFZ15" s="48"/>
      <c r="GGK15" s="48"/>
      <c r="GGV15" s="48"/>
      <c r="GHG15" s="48"/>
      <c r="GHR15" s="48"/>
      <c r="GIC15" s="48"/>
      <c r="GIN15" s="48"/>
      <c r="GIY15" s="48"/>
      <c r="GJJ15" s="48"/>
      <c r="GJU15" s="48"/>
      <c r="GKF15" s="48"/>
      <c r="GKQ15" s="48"/>
      <c r="GLB15" s="48"/>
      <c r="GLM15" s="48"/>
      <c r="GLX15" s="48"/>
      <c r="GMI15" s="48"/>
      <c r="GMT15" s="48"/>
      <c r="GNE15" s="48"/>
      <c r="GNP15" s="48"/>
      <c r="GOA15" s="48"/>
      <c r="GOL15" s="48"/>
      <c r="GOW15" s="48"/>
      <c r="GPH15" s="48"/>
      <c r="GPS15" s="48"/>
      <c r="GQD15" s="48"/>
      <c r="GQO15" s="48"/>
      <c r="GQZ15" s="48"/>
      <c r="GRK15" s="48"/>
      <c r="GRV15" s="48"/>
      <c r="GSG15" s="48"/>
      <c r="GSR15" s="48"/>
      <c r="GTC15" s="48"/>
      <c r="GTN15" s="48"/>
      <c r="GTY15" s="48"/>
      <c r="GUJ15" s="48"/>
      <c r="GUU15" s="48"/>
      <c r="GVF15" s="48"/>
      <c r="GVQ15" s="48"/>
      <c r="GWB15" s="48"/>
      <c r="GWM15" s="48"/>
      <c r="GWX15" s="48"/>
      <c r="GXI15" s="48"/>
      <c r="GXT15" s="48"/>
      <c r="GYE15" s="48"/>
      <c r="GYP15" s="48"/>
      <c r="GZA15" s="48"/>
      <c r="GZL15" s="48"/>
      <c r="GZW15" s="48"/>
      <c r="HAH15" s="48"/>
      <c r="HAS15" s="48"/>
      <c r="HBD15" s="48"/>
      <c r="HBO15" s="48"/>
      <c r="HBZ15" s="48"/>
      <c r="HCK15" s="48"/>
      <c r="HCV15" s="48"/>
      <c r="HDG15" s="48"/>
      <c r="HDR15" s="48"/>
      <c r="HEC15" s="48"/>
      <c r="HEN15" s="48"/>
      <c r="HEY15" s="48"/>
      <c r="HFJ15" s="48"/>
      <c r="HFU15" s="48"/>
      <c r="HGF15" s="48"/>
      <c r="HGQ15" s="48"/>
      <c r="HHB15" s="48"/>
      <c r="HHM15" s="48"/>
      <c r="HHX15" s="48"/>
      <c r="HII15" s="48"/>
      <c r="HIT15" s="48"/>
      <c r="HJE15" s="48"/>
      <c r="HJP15" s="48"/>
      <c r="HKA15" s="48"/>
      <c r="HKL15" s="48"/>
      <c r="HKW15" s="48"/>
      <c r="HLH15" s="48"/>
      <c r="HLS15" s="48"/>
      <c r="HMD15" s="48"/>
      <c r="HMO15" s="48"/>
      <c r="HMZ15" s="48"/>
      <c r="HNK15" s="48"/>
      <c r="HNV15" s="48"/>
      <c r="HOG15" s="48"/>
      <c r="HOR15" s="48"/>
      <c r="HPC15" s="48"/>
      <c r="HPN15" s="48"/>
      <c r="HPY15" s="48"/>
      <c r="HQJ15" s="48"/>
      <c r="HQU15" s="48"/>
      <c r="HRF15" s="48"/>
      <c r="HRQ15" s="48"/>
      <c r="HSB15" s="48"/>
      <c r="HSM15" s="48"/>
      <c r="HSX15" s="48"/>
      <c r="HTI15" s="48"/>
      <c r="HTT15" s="48"/>
      <c r="HUE15" s="48"/>
      <c r="HUP15" s="48"/>
      <c r="HVA15" s="48"/>
      <c r="HVL15" s="48"/>
      <c r="HVW15" s="48"/>
      <c r="HWH15" s="48"/>
      <c r="HWS15" s="48"/>
      <c r="HXD15" s="48"/>
      <c r="HXO15" s="48"/>
      <c r="HXZ15" s="48"/>
      <c r="HYK15" s="48"/>
      <c r="HYV15" s="48"/>
      <c r="HZG15" s="48"/>
      <c r="HZR15" s="48"/>
      <c r="IAC15" s="48"/>
      <c r="IAN15" s="48"/>
      <c r="IAY15" s="48"/>
      <c r="IBJ15" s="48"/>
      <c r="IBU15" s="48"/>
      <c r="ICF15" s="48"/>
      <c r="ICQ15" s="48"/>
      <c r="IDB15" s="48"/>
      <c r="IDM15" s="48"/>
      <c r="IDX15" s="48"/>
      <c r="IEI15" s="48"/>
      <c r="IET15" s="48"/>
      <c r="IFE15" s="48"/>
      <c r="IFP15" s="48"/>
      <c r="IGA15" s="48"/>
      <c r="IGL15" s="48"/>
      <c r="IGW15" s="48"/>
      <c r="IHH15" s="48"/>
      <c r="IHS15" s="48"/>
      <c r="IID15" s="48"/>
      <c r="IIO15" s="48"/>
      <c r="IIZ15" s="48"/>
      <c r="IJK15" s="48"/>
      <c r="IJV15" s="48"/>
      <c r="IKG15" s="48"/>
      <c r="IKR15" s="48"/>
      <c r="ILC15" s="48"/>
      <c r="ILN15" s="48"/>
      <c r="ILY15" s="48"/>
      <c r="IMJ15" s="48"/>
      <c r="IMU15" s="48"/>
      <c r="INF15" s="48"/>
      <c r="INQ15" s="48"/>
      <c r="IOB15" s="48"/>
      <c r="IOM15" s="48"/>
      <c r="IOX15" s="48"/>
      <c r="IPI15" s="48"/>
      <c r="IPT15" s="48"/>
      <c r="IQE15" s="48"/>
      <c r="IQP15" s="48"/>
      <c r="IRA15" s="48"/>
      <c r="IRL15" s="48"/>
      <c r="IRW15" s="48"/>
      <c r="ISH15" s="48"/>
      <c r="ISS15" s="48"/>
      <c r="ITD15" s="48"/>
      <c r="ITO15" s="48"/>
      <c r="ITZ15" s="48"/>
      <c r="IUK15" s="48"/>
      <c r="IUV15" s="48"/>
      <c r="IVG15" s="48"/>
      <c r="IVR15" s="48"/>
      <c r="IWC15" s="48"/>
      <c r="IWN15" s="48"/>
      <c r="IWY15" s="48"/>
      <c r="IXJ15" s="48"/>
      <c r="IXU15" s="48"/>
      <c r="IYF15" s="48"/>
      <c r="IYQ15" s="48"/>
      <c r="IZB15" s="48"/>
      <c r="IZM15" s="48"/>
      <c r="IZX15" s="48"/>
      <c r="JAI15" s="48"/>
      <c r="JAT15" s="48"/>
      <c r="JBE15" s="48"/>
      <c r="JBP15" s="48"/>
      <c r="JCA15" s="48"/>
      <c r="JCL15" s="48"/>
      <c r="JCW15" s="48"/>
      <c r="JDH15" s="48"/>
      <c r="JDS15" s="48"/>
      <c r="JED15" s="48"/>
      <c r="JEO15" s="48"/>
      <c r="JEZ15" s="48"/>
      <c r="JFK15" s="48"/>
      <c r="JFV15" s="48"/>
      <c r="JGG15" s="48"/>
      <c r="JGR15" s="48"/>
      <c r="JHC15" s="48"/>
      <c r="JHN15" s="48"/>
      <c r="JHY15" s="48"/>
      <c r="JIJ15" s="48"/>
      <c r="JIU15" s="48"/>
      <c r="JJF15" s="48"/>
      <c r="JJQ15" s="48"/>
      <c r="JKB15" s="48"/>
      <c r="JKM15" s="48"/>
      <c r="JKX15" s="48"/>
      <c r="JLI15" s="48"/>
      <c r="JLT15" s="48"/>
      <c r="JME15" s="48"/>
      <c r="JMP15" s="48"/>
      <c r="JNA15" s="48"/>
      <c r="JNL15" s="48"/>
      <c r="JNW15" s="48"/>
      <c r="JOH15" s="48"/>
      <c r="JOS15" s="48"/>
      <c r="JPD15" s="48"/>
      <c r="JPO15" s="48"/>
      <c r="JPZ15" s="48"/>
      <c r="JQK15" s="48"/>
      <c r="JQV15" s="48"/>
      <c r="JRG15" s="48"/>
      <c r="JRR15" s="48"/>
      <c r="JSC15" s="48"/>
      <c r="JSN15" s="48"/>
      <c r="JSY15" s="48"/>
      <c r="JTJ15" s="48"/>
      <c r="JTU15" s="48"/>
      <c r="JUF15" s="48"/>
      <c r="JUQ15" s="48"/>
      <c r="JVB15" s="48"/>
      <c r="JVM15" s="48"/>
      <c r="JVX15" s="48"/>
      <c r="JWI15" s="48"/>
      <c r="JWT15" s="48"/>
      <c r="JXE15" s="48"/>
      <c r="JXP15" s="48"/>
      <c r="JYA15" s="48"/>
      <c r="JYL15" s="48"/>
      <c r="JYW15" s="48"/>
      <c r="JZH15" s="48"/>
      <c r="JZS15" s="48"/>
      <c r="KAD15" s="48"/>
      <c r="KAO15" s="48"/>
      <c r="KAZ15" s="48"/>
      <c r="KBK15" s="48"/>
      <c r="KBV15" s="48"/>
      <c r="KCG15" s="48"/>
      <c r="KCR15" s="48"/>
      <c r="KDC15" s="48"/>
      <c r="KDN15" s="48"/>
      <c r="KDY15" s="48"/>
      <c r="KEJ15" s="48"/>
      <c r="KEU15" s="48"/>
      <c r="KFF15" s="48"/>
      <c r="KFQ15" s="48"/>
      <c r="KGB15" s="48"/>
      <c r="KGM15" s="48"/>
      <c r="KGX15" s="48"/>
      <c r="KHI15" s="48"/>
      <c r="KHT15" s="48"/>
      <c r="KIE15" s="48"/>
      <c r="KIP15" s="48"/>
      <c r="KJA15" s="48"/>
      <c r="KJL15" s="48"/>
      <c r="KJW15" s="48"/>
      <c r="KKH15" s="48"/>
      <c r="KKS15" s="48"/>
      <c r="KLD15" s="48"/>
      <c r="KLO15" s="48"/>
      <c r="KLZ15" s="48"/>
      <c r="KMK15" s="48"/>
      <c r="KMV15" s="48"/>
      <c r="KNG15" s="48"/>
      <c r="KNR15" s="48"/>
      <c r="KOC15" s="48"/>
      <c r="KON15" s="48"/>
      <c r="KOY15" s="48"/>
      <c r="KPJ15" s="48"/>
      <c r="KPU15" s="48"/>
      <c r="KQF15" s="48"/>
      <c r="KQQ15" s="48"/>
      <c r="KRB15" s="48"/>
      <c r="KRM15" s="48"/>
      <c r="KRX15" s="48"/>
      <c r="KSI15" s="48"/>
      <c r="KST15" s="48"/>
      <c r="KTE15" s="48"/>
      <c r="KTP15" s="48"/>
      <c r="KUA15" s="48"/>
      <c r="KUL15" s="48"/>
      <c r="KUW15" s="48"/>
      <c r="KVH15" s="48"/>
      <c r="KVS15" s="48"/>
      <c r="KWD15" s="48"/>
      <c r="KWO15" s="48"/>
      <c r="KWZ15" s="48"/>
      <c r="KXK15" s="48"/>
      <c r="KXV15" s="48"/>
      <c r="KYG15" s="48"/>
      <c r="KYR15" s="48"/>
      <c r="KZC15" s="48"/>
      <c r="KZN15" s="48"/>
      <c r="KZY15" s="48"/>
      <c r="LAJ15" s="48"/>
      <c r="LAU15" s="48"/>
      <c r="LBF15" s="48"/>
      <c r="LBQ15" s="48"/>
      <c r="LCB15" s="48"/>
      <c r="LCM15" s="48"/>
      <c r="LCX15" s="48"/>
      <c r="LDI15" s="48"/>
      <c r="LDT15" s="48"/>
      <c r="LEE15" s="48"/>
      <c r="LEP15" s="48"/>
      <c r="LFA15" s="48"/>
      <c r="LFL15" s="48"/>
      <c r="LFW15" s="48"/>
      <c r="LGH15" s="48"/>
      <c r="LGS15" s="48"/>
      <c r="LHD15" s="48"/>
      <c r="LHO15" s="48"/>
      <c r="LHZ15" s="48"/>
      <c r="LIK15" s="48"/>
      <c r="LIV15" s="48"/>
      <c r="LJG15" s="48"/>
      <c r="LJR15" s="48"/>
      <c r="LKC15" s="48"/>
      <c r="LKN15" s="48"/>
      <c r="LKY15" s="48"/>
      <c r="LLJ15" s="48"/>
      <c r="LLU15" s="48"/>
      <c r="LMF15" s="48"/>
      <c r="LMQ15" s="48"/>
      <c r="LNB15" s="48"/>
      <c r="LNM15" s="48"/>
      <c r="LNX15" s="48"/>
      <c r="LOI15" s="48"/>
      <c r="LOT15" s="48"/>
      <c r="LPE15" s="48"/>
      <c r="LPP15" s="48"/>
      <c r="LQA15" s="48"/>
      <c r="LQL15" s="48"/>
      <c r="LQW15" s="48"/>
      <c r="LRH15" s="48"/>
      <c r="LRS15" s="48"/>
      <c r="LSD15" s="48"/>
      <c r="LSO15" s="48"/>
      <c r="LSZ15" s="48"/>
      <c r="LTK15" s="48"/>
      <c r="LTV15" s="48"/>
      <c r="LUG15" s="48"/>
      <c r="LUR15" s="48"/>
      <c r="LVC15" s="48"/>
      <c r="LVN15" s="48"/>
      <c r="LVY15" s="48"/>
      <c r="LWJ15" s="48"/>
      <c r="LWU15" s="48"/>
      <c r="LXF15" s="48"/>
      <c r="LXQ15" s="48"/>
      <c r="LYB15" s="48"/>
      <c r="LYM15" s="48"/>
      <c r="LYX15" s="48"/>
      <c r="LZI15" s="48"/>
      <c r="LZT15" s="48"/>
      <c r="MAE15" s="48"/>
      <c r="MAP15" s="48"/>
      <c r="MBA15" s="48"/>
      <c r="MBL15" s="48"/>
      <c r="MBW15" s="48"/>
      <c r="MCH15" s="48"/>
      <c r="MCS15" s="48"/>
      <c r="MDD15" s="48"/>
      <c r="MDO15" s="48"/>
      <c r="MDZ15" s="48"/>
      <c r="MEK15" s="48"/>
      <c r="MEV15" s="48"/>
      <c r="MFG15" s="48"/>
      <c r="MFR15" s="48"/>
      <c r="MGC15" s="48"/>
      <c r="MGN15" s="48"/>
      <c r="MGY15" s="48"/>
      <c r="MHJ15" s="48"/>
      <c r="MHU15" s="48"/>
      <c r="MIF15" s="48"/>
      <c r="MIQ15" s="48"/>
      <c r="MJB15" s="48"/>
      <c r="MJM15" s="48"/>
      <c r="MJX15" s="48"/>
      <c r="MKI15" s="48"/>
      <c r="MKT15" s="48"/>
      <c r="MLE15" s="48"/>
      <c r="MLP15" s="48"/>
      <c r="MMA15" s="48"/>
      <c r="MML15" s="48"/>
      <c r="MMW15" s="48"/>
      <c r="MNH15" s="48"/>
      <c r="MNS15" s="48"/>
      <c r="MOD15" s="48"/>
      <c r="MOO15" s="48"/>
      <c r="MOZ15" s="48"/>
      <c r="MPK15" s="48"/>
      <c r="MPV15" s="48"/>
      <c r="MQG15" s="48"/>
      <c r="MQR15" s="48"/>
      <c r="MRC15" s="48"/>
      <c r="MRN15" s="48"/>
      <c r="MRY15" s="48"/>
      <c r="MSJ15" s="48"/>
      <c r="MSU15" s="48"/>
      <c r="MTF15" s="48"/>
      <c r="MTQ15" s="48"/>
      <c r="MUB15" s="48"/>
      <c r="MUM15" s="48"/>
      <c r="MUX15" s="48"/>
      <c r="MVI15" s="48"/>
      <c r="MVT15" s="48"/>
      <c r="MWE15" s="48"/>
      <c r="MWP15" s="48"/>
      <c r="MXA15" s="48"/>
      <c r="MXL15" s="48"/>
      <c r="MXW15" s="48"/>
      <c r="MYH15" s="48"/>
      <c r="MYS15" s="48"/>
      <c r="MZD15" s="48"/>
      <c r="MZO15" s="48"/>
      <c r="MZZ15" s="48"/>
      <c r="NAK15" s="48"/>
      <c r="NAV15" s="48"/>
      <c r="NBG15" s="48"/>
      <c r="NBR15" s="48"/>
      <c r="NCC15" s="48"/>
      <c r="NCN15" s="48"/>
      <c r="NCY15" s="48"/>
      <c r="NDJ15" s="48"/>
      <c r="NDU15" s="48"/>
      <c r="NEF15" s="48"/>
      <c r="NEQ15" s="48"/>
      <c r="NFB15" s="48"/>
      <c r="NFM15" s="48"/>
      <c r="NFX15" s="48"/>
      <c r="NGI15" s="48"/>
      <c r="NGT15" s="48"/>
      <c r="NHE15" s="48"/>
      <c r="NHP15" s="48"/>
      <c r="NIA15" s="48"/>
      <c r="NIL15" s="48"/>
      <c r="NIW15" s="48"/>
      <c r="NJH15" s="48"/>
      <c r="NJS15" s="48"/>
      <c r="NKD15" s="48"/>
      <c r="NKO15" s="48"/>
      <c r="NKZ15" s="48"/>
      <c r="NLK15" s="48"/>
      <c r="NLV15" s="48"/>
      <c r="NMG15" s="48"/>
      <c r="NMR15" s="48"/>
      <c r="NNC15" s="48"/>
      <c r="NNN15" s="48"/>
      <c r="NNY15" s="48"/>
      <c r="NOJ15" s="48"/>
      <c r="NOU15" s="48"/>
      <c r="NPF15" s="48"/>
      <c r="NPQ15" s="48"/>
      <c r="NQB15" s="48"/>
      <c r="NQM15" s="48"/>
      <c r="NQX15" s="48"/>
      <c r="NRI15" s="48"/>
      <c r="NRT15" s="48"/>
      <c r="NSE15" s="48"/>
      <c r="NSP15" s="48"/>
      <c r="NTA15" s="48"/>
      <c r="NTL15" s="48"/>
      <c r="NTW15" s="48"/>
      <c r="NUH15" s="48"/>
      <c r="NUS15" s="48"/>
      <c r="NVD15" s="48"/>
      <c r="NVO15" s="48"/>
      <c r="NVZ15" s="48"/>
      <c r="NWK15" s="48"/>
      <c r="NWV15" s="48"/>
      <c r="NXG15" s="48"/>
      <c r="NXR15" s="48"/>
      <c r="NYC15" s="48"/>
      <c r="NYN15" s="48"/>
      <c r="NYY15" s="48"/>
      <c r="NZJ15" s="48"/>
      <c r="NZU15" s="48"/>
      <c r="OAF15" s="48"/>
      <c r="OAQ15" s="48"/>
      <c r="OBB15" s="48"/>
      <c r="OBM15" s="48"/>
      <c r="OBX15" s="48"/>
      <c r="OCI15" s="48"/>
      <c r="OCT15" s="48"/>
      <c r="ODE15" s="48"/>
      <c r="ODP15" s="48"/>
      <c r="OEA15" s="48"/>
      <c r="OEL15" s="48"/>
      <c r="OEW15" s="48"/>
      <c r="OFH15" s="48"/>
      <c r="OFS15" s="48"/>
      <c r="OGD15" s="48"/>
      <c r="OGO15" s="48"/>
      <c r="OGZ15" s="48"/>
      <c r="OHK15" s="48"/>
      <c r="OHV15" s="48"/>
      <c r="OIG15" s="48"/>
      <c r="OIR15" s="48"/>
      <c r="OJC15" s="48"/>
      <c r="OJN15" s="48"/>
      <c r="OJY15" s="48"/>
      <c r="OKJ15" s="48"/>
      <c r="OKU15" s="48"/>
      <c r="OLF15" s="48"/>
      <c r="OLQ15" s="48"/>
      <c r="OMB15" s="48"/>
      <c r="OMM15" s="48"/>
      <c r="OMX15" s="48"/>
      <c r="ONI15" s="48"/>
      <c r="ONT15" s="48"/>
      <c r="OOE15" s="48"/>
      <c r="OOP15" s="48"/>
      <c r="OPA15" s="48"/>
      <c r="OPL15" s="48"/>
      <c r="OPW15" s="48"/>
      <c r="OQH15" s="48"/>
      <c r="OQS15" s="48"/>
      <c r="ORD15" s="48"/>
      <c r="ORO15" s="48"/>
      <c r="ORZ15" s="48"/>
      <c r="OSK15" s="48"/>
      <c r="OSV15" s="48"/>
      <c r="OTG15" s="48"/>
      <c r="OTR15" s="48"/>
      <c r="OUC15" s="48"/>
      <c r="OUN15" s="48"/>
      <c r="OUY15" s="48"/>
      <c r="OVJ15" s="48"/>
      <c r="OVU15" s="48"/>
      <c r="OWF15" s="48"/>
      <c r="OWQ15" s="48"/>
      <c r="OXB15" s="48"/>
      <c r="OXM15" s="48"/>
      <c r="OXX15" s="48"/>
      <c r="OYI15" s="48"/>
      <c r="OYT15" s="48"/>
      <c r="OZE15" s="48"/>
      <c r="OZP15" s="48"/>
      <c r="PAA15" s="48"/>
      <c r="PAL15" s="48"/>
      <c r="PAW15" s="48"/>
      <c r="PBH15" s="48"/>
      <c r="PBS15" s="48"/>
      <c r="PCD15" s="48"/>
      <c r="PCO15" s="48"/>
      <c r="PCZ15" s="48"/>
      <c r="PDK15" s="48"/>
      <c r="PDV15" s="48"/>
      <c r="PEG15" s="48"/>
      <c r="PER15" s="48"/>
      <c r="PFC15" s="48"/>
      <c r="PFN15" s="48"/>
      <c r="PFY15" s="48"/>
      <c r="PGJ15" s="48"/>
      <c r="PGU15" s="48"/>
      <c r="PHF15" s="48"/>
      <c r="PHQ15" s="48"/>
      <c r="PIB15" s="48"/>
      <c r="PIM15" s="48"/>
      <c r="PIX15" s="48"/>
      <c r="PJI15" s="48"/>
      <c r="PJT15" s="48"/>
      <c r="PKE15" s="48"/>
      <c r="PKP15" s="48"/>
      <c r="PLA15" s="48"/>
      <c r="PLL15" s="48"/>
      <c r="PLW15" s="48"/>
      <c r="PMH15" s="48"/>
      <c r="PMS15" s="48"/>
      <c r="PND15" s="48"/>
      <c r="PNO15" s="48"/>
      <c r="PNZ15" s="48"/>
      <c r="POK15" s="48"/>
      <c r="POV15" s="48"/>
      <c r="PPG15" s="48"/>
      <c r="PPR15" s="48"/>
      <c r="PQC15" s="48"/>
      <c r="PQN15" s="48"/>
      <c r="PQY15" s="48"/>
      <c r="PRJ15" s="48"/>
      <c r="PRU15" s="48"/>
      <c r="PSF15" s="48"/>
      <c r="PSQ15" s="48"/>
      <c r="PTB15" s="48"/>
      <c r="PTM15" s="48"/>
      <c r="PTX15" s="48"/>
      <c r="PUI15" s="48"/>
      <c r="PUT15" s="48"/>
      <c r="PVE15" s="48"/>
      <c r="PVP15" s="48"/>
      <c r="PWA15" s="48"/>
      <c r="PWL15" s="48"/>
      <c r="PWW15" s="48"/>
      <c r="PXH15" s="48"/>
      <c r="PXS15" s="48"/>
      <c r="PYD15" s="48"/>
      <c r="PYO15" s="48"/>
      <c r="PYZ15" s="48"/>
      <c r="PZK15" s="48"/>
      <c r="PZV15" s="48"/>
      <c r="QAG15" s="48"/>
      <c r="QAR15" s="48"/>
      <c r="QBC15" s="48"/>
      <c r="QBN15" s="48"/>
      <c r="QBY15" s="48"/>
      <c r="QCJ15" s="48"/>
      <c r="QCU15" s="48"/>
      <c r="QDF15" s="48"/>
      <c r="QDQ15" s="48"/>
      <c r="QEB15" s="48"/>
      <c r="QEM15" s="48"/>
      <c r="QEX15" s="48"/>
      <c r="QFI15" s="48"/>
      <c r="QFT15" s="48"/>
      <c r="QGE15" s="48"/>
      <c r="QGP15" s="48"/>
      <c r="QHA15" s="48"/>
      <c r="QHL15" s="48"/>
      <c r="QHW15" s="48"/>
      <c r="QIH15" s="48"/>
      <c r="QIS15" s="48"/>
      <c r="QJD15" s="48"/>
      <c r="QJO15" s="48"/>
      <c r="QJZ15" s="48"/>
      <c r="QKK15" s="48"/>
      <c r="QKV15" s="48"/>
      <c r="QLG15" s="48"/>
      <c r="QLR15" s="48"/>
      <c r="QMC15" s="48"/>
      <c r="QMN15" s="48"/>
      <c r="QMY15" s="48"/>
      <c r="QNJ15" s="48"/>
      <c r="QNU15" s="48"/>
      <c r="QOF15" s="48"/>
      <c r="QOQ15" s="48"/>
      <c r="QPB15" s="48"/>
      <c r="QPM15" s="48"/>
      <c r="QPX15" s="48"/>
      <c r="QQI15" s="48"/>
      <c r="QQT15" s="48"/>
      <c r="QRE15" s="48"/>
      <c r="QRP15" s="48"/>
      <c r="QSA15" s="48"/>
      <c r="QSL15" s="48"/>
      <c r="QSW15" s="48"/>
      <c r="QTH15" s="48"/>
      <c r="QTS15" s="48"/>
      <c r="QUD15" s="48"/>
      <c r="QUO15" s="48"/>
      <c r="QUZ15" s="48"/>
      <c r="QVK15" s="48"/>
      <c r="QVV15" s="48"/>
      <c r="QWG15" s="48"/>
      <c r="QWR15" s="48"/>
      <c r="QXC15" s="48"/>
      <c r="QXN15" s="48"/>
      <c r="QXY15" s="48"/>
      <c r="QYJ15" s="48"/>
      <c r="QYU15" s="48"/>
      <c r="QZF15" s="48"/>
      <c r="QZQ15" s="48"/>
      <c r="RAB15" s="48"/>
      <c r="RAM15" s="48"/>
      <c r="RAX15" s="48"/>
      <c r="RBI15" s="48"/>
      <c r="RBT15" s="48"/>
      <c r="RCE15" s="48"/>
      <c r="RCP15" s="48"/>
      <c r="RDA15" s="48"/>
      <c r="RDL15" s="48"/>
      <c r="RDW15" s="48"/>
      <c r="REH15" s="48"/>
      <c r="RES15" s="48"/>
      <c r="RFD15" s="48"/>
      <c r="RFO15" s="48"/>
      <c r="RFZ15" s="48"/>
      <c r="RGK15" s="48"/>
      <c r="RGV15" s="48"/>
      <c r="RHG15" s="48"/>
      <c r="RHR15" s="48"/>
      <c r="RIC15" s="48"/>
      <c r="RIN15" s="48"/>
      <c r="RIY15" s="48"/>
      <c r="RJJ15" s="48"/>
      <c r="RJU15" s="48"/>
      <c r="RKF15" s="48"/>
      <c r="RKQ15" s="48"/>
      <c r="RLB15" s="48"/>
      <c r="RLM15" s="48"/>
      <c r="RLX15" s="48"/>
      <c r="RMI15" s="48"/>
      <c r="RMT15" s="48"/>
      <c r="RNE15" s="48"/>
      <c r="RNP15" s="48"/>
      <c r="ROA15" s="48"/>
      <c r="ROL15" s="48"/>
      <c r="ROW15" s="48"/>
      <c r="RPH15" s="48"/>
      <c r="RPS15" s="48"/>
      <c r="RQD15" s="48"/>
      <c r="RQO15" s="48"/>
      <c r="RQZ15" s="48"/>
      <c r="RRK15" s="48"/>
      <c r="RRV15" s="48"/>
      <c r="RSG15" s="48"/>
      <c r="RSR15" s="48"/>
      <c r="RTC15" s="48"/>
      <c r="RTN15" s="48"/>
      <c r="RTY15" s="48"/>
      <c r="RUJ15" s="48"/>
      <c r="RUU15" s="48"/>
      <c r="RVF15" s="48"/>
      <c r="RVQ15" s="48"/>
      <c r="RWB15" s="48"/>
      <c r="RWM15" s="48"/>
      <c r="RWX15" s="48"/>
      <c r="RXI15" s="48"/>
      <c r="RXT15" s="48"/>
      <c r="RYE15" s="48"/>
      <c r="RYP15" s="48"/>
      <c r="RZA15" s="48"/>
      <c r="RZL15" s="48"/>
      <c r="RZW15" s="48"/>
      <c r="SAH15" s="48"/>
      <c r="SAS15" s="48"/>
      <c r="SBD15" s="48"/>
      <c r="SBO15" s="48"/>
      <c r="SBZ15" s="48"/>
      <c r="SCK15" s="48"/>
      <c r="SCV15" s="48"/>
      <c r="SDG15" s="48"/>
      <c r="SDR15" s="48"/>
      <c r="SEC15" s="48"/>
      <c r="SEN15" s="48"/>
      <c r="SEY15" s="48"/>
      <c r="SFJ15" s="48"/>
      <c r="SFU15" s="48"/>
      <c r="SGF15" s="48"/>
      <c r="SGQ15" s="48"/>
      <c r="SHB15" s="48"/>
      <c r="SHM15" s="48"/>
      <c r="SHX15" s="48"/>
      <c r="SII15" s="48"/>
      <c r="SIT15" s="48"/>
      <c r="SJE15" s="48"/>
      <c r="SJP15" s="48"/>
      <c r="SKA15" s="48"/>
      <c r="SKL15" s="48"/>
      <c r="SKW15" s="48"/>
      <c r="SLH15" s="48"/>
      <c r="SLS15" s="48"/>
      <c r="SMD15" s="48"/>
      <c r="SMO15" s="48"/>
      <c r="SMZ15" s="48"/>
      <c r="SNK15" s="48"/>
      <c r="SNV15" s="48"/>
      <c r="SOG15" s="48"/>
      <c r="SOR15" s="48"/>
      <c r="SPC15" s="48"/>
      <c r="SPN15" s="48"/>
      <c r="SPY15" s="48"/>
      <c r="SQJ15" s="48"/>
      <c r="SQU15" s="48"/>
      <c r="SRF15" s="48"/>
      <c r="SRQ15" s="48"/>
      <c r="SSB15" s="48"/>
      <c r="SSM15" s="48"/>
      <c r="SSX15" s="48"/>
      <c r="STI15" s="48"/>
      <c r="STT15" s="48"/>
      <c r="SUE15" s="48"/>
      <c r="SUP15" s="48"/>
      <c r="SVA15" s="48"/>
      <c r="SVL15" s="48"/>
      <c r="SVW15" s="48"/>
      <c r="SWH15" s="48"/>
      <c r="SWS15" s="48"/>
      <c r="SXD15" s="48"/>
      <c r="SXO15" s="48"/>
      <c r="SXZ15" s="48"/>
      <c r="SYK15" s="48"/>
      <c r="SYV15" s="48"/>
      <c r="SZG15" s="48"/>
      <c r="SZR15" s="48"/>
      <c r="TAC15" s="48"/>
      <c r="TAN15" s="48"/>
      <c r="TAY15" s="48"/>
      <c r="TBJ15" s="48"/>
      <c r="TBU15" s="48"/>
      <c r="TCF15" s="48"/>
      <c r="TCQ15" s="48"/>
      <c r="TDB15" s="48"/>
      <c r="TDM15" s="48"/>
      <c r="TDX15" s="48"/>
      <c r="TEI15" s="48"/>
      <c r="TET15" s="48"/>
      <c r="TFE15" s="48"/>
      <c r="TFP15" s="48"/>
      <c r="TGA15" s="48"/>
      <c r="TGL15" s="48"/>
      <c r="TGW15" s="48"/>
      <c r="THH15" s="48"/>
      <c r="THS15" s="48"/>
      <c r="TID15" s="48"/>
      <c r="TIO15" s="48"/>
      <c r="TIZ15" s="48"/>
      <c r="TJK15" s="48"/>
      <c r="TJV15" s="48"/>
      <c r="TKG15" s="48"/>
      <c r="TKR15" s="48"/>
      <c r="TLC15" s="48"/>
      <c r="TLN15" s="48"/>
      <c r="TLY15" s="48"/>
      <c r="TMJ15" s="48"/>
      <c r="TMU15" s="48"/>
      <c r="TNF15" s="48"/>
      <c r="TNQ15" s="48"/>
      <c r="TOB15" s="48"/>
      <c r="TOM15" s="48"/>
      <c r="TOX15" s="48"/>
      <c r="TPI15" s="48"/>
      <c r="TPT15" s="48"/>
      <c r="TQE15" s="48"/>
      <c r="TQP15" s="48"/>
      <c r="TRA15" s="48"/>
      <c r="TRL15" s="48"/>
      <c r="TRW15" s="48"/>
      <c r="TSH15" s="48"/>
      <c r="TSS15" s="48"/>
      <c r="TTD15" s="48"/>
      <c r="TTO15" s="48"/>
      <c r="TTZ15" s="48"/>
      <c r="TUK15" s="48"/>
      <c r="TUV15" s="48"/>
      <c r="TVG15" s="48"/>
      <c r="TVR15" s="48"/>
      <c r="TWC15" s="48"/>
      <c r="TWN15" s="48"/>
      <c r="TWY15" s="48"/>
      <c r="TXJ15" s="48"/>
      <c r="TXU15" s="48"/>
      <c r="TYF15" s="48"/>
      <c r="TYQ15" s="48"/>
      <c r="TZB15" s="48"/>
      <c r="TZM15" s="48"/>
      <c r="TZX15" s="48"/>
      <c r="UAI15" s="48"/>
      <c r="UAT15" s="48"/>
      <c r="UBE15" s="48"/>
      <c r="UBP15" s="48"/>
      <c r="UCA15" s="48"/>
      <c r="UCL15" s="48"/>
      <c r="UCW15" s="48"/>
      <c r="UDH15" s="48"/>
      <c r="UDS15" s="48"/>
      <c r="UED15" s="48"/>
      <c r="UEO15" s="48"/>
      <c r="UEZ15" s="48"/>
      <c r="UFK15" s="48"/>
      <c r="UFV15" s="48"/>
      <c r="UGG15" s="48"/>
      <c r="UGR15" s="48"/>
      <c r="UHC15" s="48"/>
      <c r="UHN15" s="48"/>
      <c r="UHY15" s="48"/>
      <c r="UIJ15" s="48"/>
      <c r="UIU15" s="48"/>
      <c r="UJF15" s="48"/>
      <c r="UJQ15" s="48"/>
      <c r="UKB15" s="48"/>
      <c r="UKM15" s="48"/>
      <c r="UKX15" s="48"/>
      <c r="ULI15" s="48"/>
      <c r="ULT15" s="48"/>
      <c r="UME15" s="48"/>
      <c r="UMP15" s="48"/>
      <c r="UNA15" s="48"/>
      <c r="UNL15" s="48"/>
      <c r="UNW15" s="48"/>
      <c r="UOH15" s="48"/>
      <c r="UOS15" s="48"/>
      <c r="UPD15" s="48"/>
      <c r="UPO15" s="48"/>
      <c r="UPZ15" s="48"/>
      <c r="UQK15" s="48"/>
      <c r="UQV15" s="48"/>
      <c r="URG15" s="48"/>
      <c r="URR15" s="48"/>
      <c r="USC15" s="48"/>
      <c r="USN15" s="48"/>
      <c r="USY15" s="48"/>
      <c r="UTJ15" s="48"/>
      <c r="UTU15" s="48"/>
      <c r="UUF15" s="48"/>
      <c r="UUQ15" s="48"/>
      <c r="UVB15" s="48"/>
      <c r="UVM15" s="48"/>
      <c r="UVX15" s="48"/>
      <c r="UWI15" s="48"/>
      <c r="UWT15" s="48"/>
      <c r="UXE15" s="48"/>
      <c r="UXP15" s="48"/>
      <c r="UYA15" s="48"/>
      <c r="UYL15" s="48"/>
      <c r="UYW15" s="48"/>
      <c r="UZH15" s="48"/>
      <c r="UZS15" s="48"/>
      <c r="VAD15" s="48"/>
      <c r="VAO15" s="48"/>
      <c r="VAZ15" s="48"/>
      <c r="VBK15" s="48"/>
      <c r="VBV15" s="48"/>
      <c r="VCG15" s="48"/>
      <c r="VCR15" s="48"/>
      <c r="VDC15" s="48"/>
      <c r="VDN15" s="48"/>
      <c r="VDY15" s="48"/>
      <c r="VEJ15" s="48"/>
      <c r="VEU15" s="48"/>
      <c r="VFF15" s="48"/>
      <c r="VFQ15" s="48"/>
      <c r="VGB15" s="48"/>
      <c r="VGM15" s="48"/>
      <c r="VGX15" s="48"/>
      <c r="VHI15" s="48"/>
      <c r="VHT15" s="48"/>
      <c r="VIE15" s="48"/>
      <c r="VIP15" s="48"/>
      <c r="VJA15" s="48"/>
      <c r="VJL15" s="48"/>
      <c r="VJW15" s="48"/>
      <c r="VKH15" s="48"/>
      <c r="VKS15" s="48"/>
      <c r="VLD15" s="48"/>
      <c r="VLO15" s="48"/>
      <c r="VLZ15" s="48"/>
      <c r="VMK15" s="48"/>
      <c r="VMV15" s="48"/>
      <c r="VNG15" s="48"/>
      <c r="VNR15" s="48"/>
      <c r="VOC15" s="48"/>
      <c r="VON15" s="48"/>
      <c r="VOY15" s="48"/>
      <c r="VPJ15" s="48"/>
      <c r="VPU15" s="48"/>
      <c r="VQF15" s="48"/>
      <c r="VQQ15" s="48"/>
      <c r="VRB15" s="48"/>
      <c r="VRM15" s="48"/>
      <c r="VRX15" s="48"/>
      <c r="VSI15" s="48"/>
      <c r="VST15" s="48"/>
      <c r="VTE15" s="48"/>
      <c r="VTP15" s="48"/>
      <c r="VUA15" s="48"/>
      <c r="VUL15" s="48"/>
      <c r="VUW15" s="48"/>
      <c r="VVH15" s="48"/>
      <c r="VVS15" s="48"/>
      <c r="VWD15" s="48"/>
      <c r="VWO15" s="48"/>
      <c r="VWZ15" s="48"/>
      <c r="VXK15" s="48"/>
      <c r="VXV15" s="48"/>
      <c r="VYG15" s="48"/>
      <c r="VYR15" s="48"/>
      <c r="VZC15" s="48"/>
      <c r="VZN15" s="48"/>
      <c r="VZY15" s="48"/>
      <c r="WAJ15" s="48"/>
      <c r="WAU15" s="48"/>
      <c r="WBF15" s="48"/>
      <c r="WBQ15" s="48"/>
      <c r="WCB15" s="48"/>
      <c r="WCM15" s="48"/>
      <c r="WCX15" s="48"/>
      <c r="WDI15" s="48"/>
      <c r="WDT15" s="48"/>
      <c r="WEE15" s="48"/>
      <c r="WEP15" s="48"/>
      <c r="WFA15" s="48"/>
      <c r="WFL15" s="48"/>
      <c r="WFW15" s="48"/>
      <c r="WGH15" s="48"/>
      <c r="WGS15" s="48"/>
      <c r="WHD15" s="48"/>
      <c r="WHO15" s="48"/>
      <c r="WHZ15" s="48"/>
      <c r="WIK15" s="48"/>
      <c r="WIV15" s="48"/>
      <c r="WJG15" s="48"/>
      <c r="WJR15" s="48"/>
      <c r="WKC15" s="48"/>
      <c r="WKN15" s="48"/>
      <c r="WKY15" s="48"/>
      <c r="WLJ15" s="48"/>
      <c r="WLU15" s="48"/>
      <c r="WMF15" s="48"/>
      <c r="WMQ15" s="48"/>
      <c r="WNB15" s="48"/>
      <c r="WNM15" s="48"/>
      <c r="WNX15" s="48"/>
      <c r="WOI15" s="48"/>
      <c r="WOT15" s="48"/>
      <c r="WPE15" s="48"/>
      <c r="WPP15" s="48"/>
      <c r="WQA15" s="48"/>
      <c r="WQL15" s="48"/>
      <c r="WQW15" s="48"/>
      <c r="WRH15" s="48"/>
      <c r="WRS15" s="48"/>
      <c r="WSD15" s="48"/>
      <c r="WSO15" s="48"/>
      <c r="WSZ15" s="48"/>
      <c r="WTK15" s="48"/>
      <c r="WTV15" s="48"/>
      <c r="WUG15" s="48"/>
      <c r="WUR15" s="48"/>
      <c r="WVC15" s="48"/>
      <c r="WVN15" s="48"/>
      <c r="WVY15" s="48"/>
      <c r="WWJ15" s="48"/>
      <c r="WWU15" s="48"/>
      <c r="WXF15" s="48"/>
      <c r="WXQ15" s="48"/>
      <c r="WYB15" s="48"/>
      <c r="WYM15" s="48"/>
      <c r="WYX15" s="48"/>
      <c r="WZI15" s="48"/>
      <c r="WZT15" s="48"/>
      <c r="XAE15" s="48"/>
      <c r="XAP15" s="48"/>
      <c r="XBA15" s="48"/>
      <c r="XBL15" s="48"/>
      <c r="XBW15" s="48"/>
      <c r="XCH15" s="48"/>
      <c r="XCS15" s="48"/>
      <c r="XDD15" s="48"/>
      <c r="XDO15" s="48"/>
      <c r="XDZ15" s="48"/>
      <c r="XEK15" s="48"/>
      <c r="XEV15" s="48"/>
    </row>
    <row r="16" spans="2:1020 1031:2043 2054:3066 3077:4089 4100:5112 5123:6135 6146:7158 7169:8192 8203:9215 9226:10238 10249:11261 11272:12284 12295:13307 13318:14330 14341:15353 15364:16376" ht="4.05" customHeight="1">
      <c r="H16" s="12"/>
    </row>
    <row r="17" spans="1:1020 1031:2043 2054:3066 3077:4089 4100:5112 5123:6135 6146:7158 7169:8192 8203:9215 9226:10238 10249:11261 11272:12284 12295:13307 13318:14330 14341:15353 15364:16376" s="47" customFormat="1" ht="17.25" customHeight="1">
      <c r="D17" s="47" t="s">
        <v>229</v>
      </c>
      <c r="F17" s="48"/>
      <c r="I17" s="49" t="s">
        <v>12</v>
      </c>
      <c r="S17" s="48"/>
      <c r="AD17" s="48"/>
      <c r="AO17" s="48"/>
      <c r="AZ17" s="48"/>
      <c r="BK17" s="48"/>
      <c r="BV17" s="48"/>
      <c r="CG17" s="48"/>
      <c r="CR17" s="48"/>
      <c r="DC17" s="48"/>
      <c r="DN17" s="48"/>
      <c r="DY17" s="48"/>
      <c r="EJ17" s="48"/>
      <c r="EU17" s="48"/>
      <c r="FF17" s="48"/>
      <c r="FQ17" s="48"/>
      <c r="GB17" s="48"/>
      <c r="GM17" s="48"/>
      <c r="GX17" s="48"/>
      <c r="HI17" s="48"/>
      <c r="HT17" s="48"/>
      <c r="IE17" s="48"/>
      <c r="IP17" s="48"/>
      <c r="JA17" s="48"/>
      <c r="JL17" s="48"/>
      <c r="JW17" s="48"/>
      <c r="KH17" s="48"/>
      <c r="KS17" s="48"/>
      <c r="LD17" s="48"/>
      <c r="LO17" s="48"/>
      <c r="LZ17" s="48"/>
      <c r="MK17" s="48"/>
      <c r="MV17" s="48"/>
      <c r="NG17" s="48"/>
      <c r="NR17" s="48"/>
      <c r="OC17" s="48"/>
      <c r="ON17" s="48"/>
      <c r="OY17" s="48"/>
      <c r="PJ17" s="48"/>
      <c r="PU17" s="48"/>
      <c r="QF17" s="48"/>
      <c r="QQ17" s="48"/>
      <c r="RB17" s="48"/>
      <c r="RM17" s="48"/>
      <c r="RX17" s="48"/>
      <c r="SI17" s="48"/>
      <c r="ST17" s="48"/>
      <c r="TE17" s="48"/>
      <c r="TP17" s="48"/>
      <c r="UA17" s="48"/>
      <c r="UL17" s="48"/>
      <c r="UW17" s="48"/>
      <c r="VH17" s="48"/>
      <c r="VS17" s="48"/>
      <c r="WD17" s="48"/>
      <c r="WO17" s="48"/>
      <c r="WZ17" s="48"/>
      <c r="XK17" s="48"/>
      <c r="XV17" s="48"/>
      <c r="YG17" s="48"/>
      <c r="YR17" s="48"/>
      <c r="ZC17" s="48"/>
      <c r="ZN17" s="48"/>
      <c r="ZY17" s="48"/>
      <c r="AAJ17" s="48"/>
      <c r="AAU17" s="48"/>
      <c r="ABF17" s="48"/>
      <c r="ABQ17" s="48"/>
      <c r="ACB17" s="48"/>
      <c r="ACM17" s="48"/>
      <c r="ACX17" s="48"/>
      <c r="ADI17" s="48"/>
      <c r="ADT17" s="48"/>
      <c r="AEE17" s="48"/>
      <c r="AEP17" s="48"/>
      <c r="AFA17" s="48"/>
      <c r="AFL17" s="48"/>
      <c r="AFW17" s="48"/>
      <c r="AGH17" s="48"/>
      <c r="AGS17" s="48"/>
      <c r="AHD17" s="48"/>
      <c r="AHO17" s="48"/>
      <c r="AHZ17" s="48"/>
      <c r="AIK17" s="48"/>
      <c r="AIV17" s="48"/>
      <c r="AJG17" s="48"/>
      <c r="AJR17" s="48"/>
      <c r="AKC17" s="48"/>
      <c r="AKN17" s="48"/>
      <c r="AKY17" s="48"/>
      <c r="ALJ17" s="48"/>
      <c r="ALU17" s="48"/>
      <c r="AMF17" s="48"/>
      <c r="AMQ17" s="48"/>
      <c r="ANB17" s="48"/>
      <c r="ANM17" s="48"/>
      <c r="ANX17" s="48"/>
      <c r="AOI17" s="48"/>
      <c r="AOT17" s="48"/>
      <c r="APE17" s="48"/>
      <c r="APP17" s="48"/>
      <c r="AQA17" s="48"/>
      <c r="AQL17" s="48"/>
      <c r="AQW17" s="48"/>
      <c r="ARH17" s="48"/>
      <c r="ARS17" s="48"/>
      <c r="ASD17" s="48"/>
      <c r="ASO17" s="48"/>
      <c r="ASZ17" s="48"/>
      <c r="ATK17" s="48"/>
      <c r="ATV17" s="48"/>
      <c r="AUG17" s="48"/>
      <c r="AUR17" s="48"/>
      <c r="AVC17" s="48"/>
      <c r="AVN17" s="48"/>
      <c r="AVY17" s="48"/>
      <c r="AWJ17" s="48"/>
      <c r="AWU17" s="48"/>
      <c r="AXF17" s="48"/>
      <c r="AXQ17" s="48"/>
      <c r="AYB17" s="48"/>
      <c r="AYM17" s="48"/>
      <c r="AYX17" s="48"/>
      <c r="AZI17" s="48"/>
      <c r="AZT17" s="48"/>
      <c r="BAE17" s="48"/>
      <c r="BAP17" s="48"/>
      <c r="BBA17" s="48"/>
      <c r="BBL17" s="48"/>
      <c r="BBW17" s="48"/>
      <c r="BCH17" s="48"/>
      <c r="BCS17" s="48"/>
      <c r="BDD17" s="48"/>
      <c r="BDO17" s="48"/>
      <c r="BDZ17" s="48"/>
      <c r="BEK17" s="48"/>
      <c r="BEV17" s="48"/>
      <c r="BFG17" s="48"/>
      <c r="BFR17" s="48"/>
      <c r="BGC17" s="48"/>
      <c r="BGN17" s="48"/>
      <c r="BGY17" s="48"/>
      <c r="BHJ17" s="48"/>
      <c r="BHU17" s="48"/>
      <c r="BIF17" s="48"/>
      <c r="BIQ17" s="48"/>
      <c r="BJB17" s="48"/>
      <c r="BJM17" s="48"/>
      <c r="BJX17" s="48"/>
      <c r="BKI17" s="48"/>
      <c r="BKT17" s="48"/>
      <c r="BLE17" s="48"/>
      <c r="BLP17" s="48"/>
      <c r="BMA17" s="48"/>
      <c r="BML17" s="48"/>
      <c r="BMW17" s="48"/>
      <c r="BNH17" s="48"/>
      <c r="BNS17" s="48"/>
      <c r="BOD17" s="48"/>
      <c r="BOO17" s="48"/>
      <c r="BOZ17" s="48"/>
      <c r="BPK17" s="48"/>
      <c r="BPV17" s="48"/>
      <c r="BQG17" s="48"/>
      <c r="BQR17" s="48"/>
      <c r="BRC17" s="48"/>
      <c r="BRN17" s="48"/>
      <c r="BRY17" s="48"/>
      <c r="BSJ17" s="48"/>
      <c r="BSU17" s="48"/>
      <c r="BTF17" s="48"/>
      <c r="BTQ17" s="48"/>
      <c r="BUB17" s="48"/>
      <c r="BUM17" s="48"/>
      <c r="BUX17" s="48"/>
      <c r="BVI17" s="48"/>
      <c r="BVT17" s="48"/>
      <c r="BWE17" s="48"/>
      <c r="BWP17" s="48"/>
      <c r="BXA17" s="48"/>
      <c r="BXL17" s="48"/>
      <c r="BXW17" s="48"/>
      <c r="BYH17" s="48"/>
      <c r="BYS17" s="48"/>
      <c r="BZD17" s="48"/>
      <c r="BZO17" s="48"/>
      <c r="BZZ17" s="48"/>
      <c r="CAK17" s="48"/>
      <c r="CAV17" s="48"/>
      <c r="CBG17" s="48"/>
      <c r="CBR17" s="48"/>
      <c r="CCC17" s="48"/>
      <c r="CCN17" s="48"/>
      <c r="CCY17" s="48"/>
      <c r="CDJ17" s="48"/>
      <c r="CDU17" s="48"/>
      <c r="CEF17" s="48"/>
      <c r="CEQ17" s="48"/>
      <c r="CFB17" s="48"/>
      <c r="CFM17" s="48"/>
      <c r="CFX17" s="48"/>
      <c r="CGI17" s="48"/>
      <c r="CGT17" s="48"/>
      <c r="CHE17" s="48"/>
      <c r="CHP17" s="48"/>
      <c r="CIA17" s="48"/>
      <c r="CIL17" s="48"/>
      <c r="CIW17" s="48"/>
      <c r="CJH17" s="48"/>
      <c r="CJS17" s="48"/>
      <c r="CKD17" s="48"/>
      <c r="CKO17" s="48"/>
      <c r="CKZ17" s="48"/>
      <c r="CLK17" s="48"/>
      <c r="CLV17" s="48"/>
      <c r="CMG17" s="48"/>
      <c r="CMR17" s="48"/>
      <c r="CNC17" s="48"/>
      <c r="CNN17" s="48"/>
      <c r="CNY17" s="48"/>
      <c r="COJ17" s="48"/>
      <c r="COU17" s="48"/>
      <c r="CPF17" s="48"/>
      <c r="CPQ17" s="48"/>
      <c r="CQB17" s="48"/>
      <c r="CQM17" s="48"/>
      <c r="CQX17" s="48"/>
      <c r="CRI17" s="48"/>
      <c r="CRT17" s="48"/>
      <c r="CSE17" s="48"/>
      <c r="CSP17" s="48"/>
      <c r="CTA17" s="48"/>
      <c r="CTL17" s="48"/>
      <c r="CTW17" s="48"/>
      <c r="CUH17" s="48"/>
      <c r="CUS17" s="48"/>
      <c r="CVD17" s="48"/>
      <c r="CVO17" s="48"/>
      <c r="CVZ17" s="48"/>
      <c r="CWK17" s="48"/>
      <c r="CWV17" s="48"/>
      <c r="CXG17" s="48"/>
      <c r="CXR17" s="48"/>
      <c r="CYC17" s="48"/>
      <c r="CYN17" s="48"/>
      <c r="CYY17" s="48"/>
      <c r="CZJ17" s="48"/>
      <c r="CZU17" s="48"/>
      <c r="DAF17" s="48"/>
      <c r="DAQ17" s="48"/>
      <c r="DBB17" s="48"/>
      <c r="DBM17" s="48"/>
      <c r="DBX17" s="48"/>
      <c r="DCI17" s="48"/>
      <c r="DCT17" s="48"/>
      <c r="DDE17" s="48"/>
      <c r="DDP17" s="48"/>
      <c r="DEA17" s="48"/>
      <c r="DEL17" s="48"/>
      <c r="DEW17" s="48"/>
      <c r="DFH17" s="48"/>
      <c r="DFS17" s="48"/>
      <c r="DGD17" s="48"/>
      <c r="DGO17" s="48"/>
      <c r="DGZ17" s="48"/>
      <c r="DHK17" s="48"/>
      <c r="DHV17" s="48"/>
      <c r="DIG17" s="48"/>
      <c r="DIR17" s="48"/>
      <c r="DJC17" s="48"/>
      <c r="DJN17" s="48"/>
      <c r="DJY17" s="48"/>
      <c r="DKJ17" s="48"/>
      <c r="DKU17" s="48"/>
      <c r="DLF17" s="48"/>
      <c r="DLQ17" s="48"/>
      <c r="DMB17" s="48"/>
      <c r="DMM17" s="48"/>
      <c r="DMX17" s="48"/>
      <c r="DNI17" s="48"/>
      <c r="DNT17" s="48"/>
      <c r="DOE17" s="48"/>
      <c r="DOP17" s="48"/>
      <c r="DPA17" s="48"/>
      <c r="DPL17" s="48"/>
      <c r="DPW17" s="48"/>
      <c r="DQH17" s="48"/>
      <c r="DQS17" s="48"/>
      <c r="DRD17" s="48"/>
      <c r="DRO17" s="48"/>
      <c r="DRZ17" s="48"/>
      <c r="DSK17" s="48"/>
      <c r="DSV17" s="48"/>
      <c r="DTG17" s="48"/>
      <c r="DTR17" s="48"/>
      <c r="DUC17" s="48"/>
      <c r="DUN17" s="48"/>
      <c r="DUY17" s="48"/>
      <c r="DVJ17" s="48"/>
      <c r="DVU17" s="48"/>
      <c r="DWF17" s="48"/>
      <c r="DWQ17" s="48"/>
      <c r="DXB17" s="48"/>
      <c r="DXM17" s="48"/>
      <c r="DXX17" s="48"/>
      <c r="DYI17" s="48"/>
      <c r="DYT17" s="48"/>
      <c r="DZE17" s="48"/>
      <c r="DZP17" s="48"/>
      <c r="EAA17" s="48"/>
      <c r="EAL17" s="48"/>
      <c r="EAW17" s="48"/>
      <c r="EBH17" s="48"/>
      <c r="EBS17" s="48"/>
      <c r="ECD17" s="48"/>
      <c r="ECO17" s="48"/>
      <c r="ECZ17" s="48"/>
      <c r="EDK17" s="48"/>
      <c r="EDV17" s="48"/>
      <c r="EEG17" s="48"/>
      <c r="EER17" s="48"/>
      <c r="EFC17" s="48"/>
      <c r="EFN17" s="48"/>
      <c r="EFY17" s="48"/>
      <c r="EGJ17" s="48"/>
      <c r="EGU17" s="48"/>
      <c r="EHF17" s="48"/>
      <c r="EHQ17" s="48"/>
      <c r="EIB17" s="48"/>
      <c r="EIM17" s="48"/>
      <c r="EIX17" s="48"/>
      <c r="EJI17" s="48"/>
      <c r="EJT17" s="48"/>
      <c r="EKE17" s="48"/>
      <c r="EKP17" s="48"/>
      <c r="ELA17" s="48"/>
      <c r="ELL17" s="48"/>
      <c r="ELW17" s="48"/>
      <c r="EMH17" s="48"/>
      <c r="EMS17" s="48"/>
      <c r="END17" s="48"/>
      <c r="ENO17" s="48"/>
      <c r="ENZ17" s="48"/>
      <c r="EOK17" s="48"/>
      <c r="EOV17" s="48"/>
      <c r="EPG17" s="48"/>
      <c r="EPR17" s="48"/>
      <c r="EQC17" s="48"/>
      <c r="EQN17" s="48"/>
      <c r="EQY17" s="48"/>
      <c r="ERJ17" s="48"/>
      <c r="ERU17" s="48"/>
      <c r="ESF17" s="48"/>
      <c r="ESQ17" s="48"/>
      <c r="ETB17" s="48"/>
      <c r="ETM17" s="48"/>
      <c r="ETX17" s="48"/>
      <c r="EUI17" s="48"/>
      <c r="EUT17" s="48"/>
      <c r="EVE17" s="48"/>
      <c r="EVP17" s="48"/>
      <c r="EWA17" s="48"/>
      <c r="EWL17" s="48"/>
      <c r="EWW17" s="48"/>
      <c r="EXH17" s="48"/>
      <c r="EXS17" s="48"/>
      <c r="EYD17" s="48"/>
      <c r="EYO17" s="48"/>
      <c r="EYZ17" s="48"/>
      <c r="EZK17" s="48"/>
      <c r="EZV17" s="48"/>
      <c r="FAG17" s="48"/>
      <c r="FAR17" s="48"/>
      <c r="FBC17" s="48"/>
      <c r="FBN17" s="48"/>
      <c r="FBY17" s="48"/>
      <c r="FCJ17" s="48"/>
      <c r="FCU17" s="48"/>
      <c r="FDF17" s="48"/>
      <c r="FDQ17" s="48"/>
      <c r="FEB17" s="48"/>
      <c r="FEM17" s="48"/>
      <c r="FEX17" s="48"/>
      <c r="FFI17" s="48"/>
      <c r="FFT17" s="48"/>
      <c r="FGE17" s="48"/>
      <c r="FGP17" s="48"/>
      <c r="FHA17" s="48"/>
      <c r="FHL17" s="48"/>
      <c r="FHW17" s="48"/>
      <c r="FIH17" s="48"/>
      <c r="FIS17" s="48"/>
      <c r="FJD17" s="48"/>
      <c r="FJO17" s="48"/>
      <c r="FJZ17" s="48"/>
      <c r="FKK17" s="48"/>
      <c r="FKV17" s="48"/>
      <c r="FLG17" s="48"/>
      <c r="FLR17" s="48"/>
      <c r="FMC17" s="48"/>
      <c r="FMN17" s="48"/>
      <c r="FMY17" s="48"/>
      <c r="FNJ17" s="48"/>
      <c r="FNU17" s="48"/>
      <c r="FOF17" s="48"/>
      <c r="FOQ17" s="48"/>
      <c r="FPB17" s="48"/>
      <c r="FPM17" s="48"/>
      <c r="FPX17" s="48"/>
      <c r="FQI17" s="48"/>
      <c r="FQT17" s="48"/>
      <c r="FRE17" s="48"/>
      <c r="FRP17" s="48"/>
      <c r="FSA17" s="48"/>
      <c r="FSL17" s="48"/>
      <c r="FSW17" s="48"/>
      <c r="FTH17" s="48"/>
      <c r="FTS17" s="48"/>
      <c r="FUD17" s="48"/>
      <c r="FUO17" s="48"/>
      <c r="FUZ17" s="48"/>
      <c r="FVK17" s="48"/>
      <c r="FVV17" s="48"/>
      <c r="FWG17" s="48"/>
      <c r="FWR17" s="48"/>
      <c r="FXC17" s="48"/>
      <c r="FXN17" s="48"/>
      <c r="FXY17" s="48"/>
      <c r="FYJ17" s="48"/>
      <c r="FYU17" s="48"/>
      <c r="FZF17" s="48"/>
      <c r="FZQ17" s="48"/>
      <c r="GAB17" s="48"/>
      <c r="GAM17" s="48"/>
      <c r="GAX17" s="48"/>
      <c r="GBI17" s="48"/>
      <c r="GBT17" s="48"/>
      <c r="GCE17" s="48"/>
      <c r="GCP17" s="48"/>
      <c r="GDA17" s="48"/>
      <c r="GDL17" s="48"/>
      <c r="GDW17" s="48"/>
      <c r="GEH17" s="48"/>
      <c r="GES17" s="48"/>
      <c r="GFD17" s="48"/>
      <c r="GFO17" s="48"/>
      <c r="GFZ17" s="48"/>
      <c r="GGK17" s="48"/>
      <c r="GGV17" s="48"/>
      <c r="GHG17" s="48"/>
      <c r="GHR17" s="48"/>
      <c r="GIC17" s="48"/>
      <c r="GIN17" s="48"/>
      <c r="GIY17" s="48"/>
      <c r="GJJ17" s="48"/>
      <c r="GJU17" s="48"/>
      <c r="GKF17" s="48"/>
      <c r="GKQ17" s="48"/>
      <c r="GLB17" s="48"/>
      <c r="GLM17" s="48"/>
      <c r="GLX17" s="48"/>
      <c r="GMI17" s="48"/>
      <c r="GMT17" s="48"/>
      <c r="GNE17" s="48"/>
      <c r="GNP17" s="48"/>
      <c r="GOA17" s="48"/>
      <c r="GOL17" s="48"/>
      <c r="GOW17" s="48"/>
      <c r="GPH17" s="48"/>
      <c r="GPS17" s="48"/>
      <c r="GQD17" s="48"/>
      <c r="GQO17" s="48"/>
      <c r="GQZ17" s="48"/>
      <c r="GRK17" s="48"/>
      <c r="GRV17" s="48"/>
      <c r="GSG17" s="48"/>
      <c r="GSR17" s="48"/>
      <c r="GTC17" s="48"/>
      <c r="GTN17" s="48"/>
      <c r="GTY17" s="48"/>
      <c r="GUJ17" s="48"/>
      <c r="GUU17" s="48"/>
      <c r="GVF17" s="48"/>
      <c r="GVQ17" s="48"/>
      <c r="GWB17" s="48"/>
      <c r="GWM17" s="48"/>
      <c r="GWX17" s="48"/>
      <c r="GXI17" s="48"/>
      <c r="GXT17" s="48"/>
      <c r="GYE17" s="48"/>
      <c r="GYP17" s="48"/>
      <c r="GZA17" s="48"/>
      <c r="GZL17" s="48"/>
      <c r="GZW17" s="48"/>
      <c r="HAH17" s="48"/>
      <c r="HAS17" s="48"/>
      <c r="HBD17" s="48"/>
      <c r="HBO17" s="48"/>
      <c r="HBZ17" s="48"/>
      <c r="HCK17" s="48"/>
      <c r="HCV17" s="48"/>
      <c r="HDG17" s="48"/>
      <c r="HDR17" s="48"/>
      <c r="HEC17" s="48"/>
      <c r="HEN17" s="48"/>
      <c r="HEY17" s="48"/>
      <c r="HFJ17" s="48"/>
      <c r="HFU17" s="48"/>
      <c r="HGF17" s="48"/>
      <c r="HGQ17" s="48"/>
      <c r="HHB17" s="48"/>
      <c r="HHM17" s="48"/>
      <c r="HHX17" s="48"/>
      <c r="HII17" s="48"/>
      <c r="HIT17" s="48"/>
      <c r="HJE17" s="48"/>
      <c r="HJP17" s="48"/>
      <c r="HKA17" s="48"/>
      <c r="HKL17" s="48"/>
      <c r="HKW17" s="48"/>
      <c r="HLH17" s="48"/>
      <c r="HLS17" s="48"/>
      <c r="HMD17" s="48"/>
      <c r="HMO17" s="48"/>
      <c r="HMZ17" s="48"/>
      <c r="HNK17" s="48"/>
      <c r="HNV17" s="48"/>
      <c r="HOG17" s="48"/>
      <c r="HOR17" s="48"/>
      <c r="HPC17" s="48"/>
      <c r="HPN17" s="48"/>
      <c r="HPY17" s="48"/>
      <c r="HQJ17" s="48"/>
      <c r="HQU17" s="48"/>
      <c r="HRF17" s="48"/>
      <c r="HRQ17" s="48"/>
      <c r="HSB17" s="48"/>
      <c r="HSM17" s="48"/>
      <c r="HSX17" s="48"/>
      <c r="HTI17" s="48"/>
      <c r="HTT17" s="48"/>
      <c r="HUE17" s="48"/>
      <c r="HUP17" s="48"/>
      <c r="HVA17" s="48"/>
      <c r="HVL17" s="48"/>
      <c r="HVW17" s="48"/>
      <c r="HWH17" s="48"/>
      <c r="HWS17" s="48"/>
      <c r="HXD17" s="48"/>
      <c r="HXO17" s="48"/>
      <c r="HXZ17" s="48"/>
      <c r="HYK17" s="48"/>
      <c r="HYV17" s="48"/>
      <c r="HZG17" s="48"/>
      <c r="HZR17" s="48"/>
      <c r="IAC17" s="48"/>
      <c r="IAN17" s="48"/>
      <c r="IAY17" s="48"/>
      <c r="IBJ17" s="48"/>
      <c r="IBU17" s="48"/>
      <c r="ICF17" s="48"/>
      <c r="ICQ17" s="48"/>
      <c r="IDB17" s="48"/>
      <c r="IDM17" s="48"/>
      <c r="IDX17" s="48"/>
      <c r="IEI17" s="48"/>
      <c r="IET17" s="48"/>
      <c r="IFE17" s="48"/>
      <c r="IFP17" s="48"/>
      <c r="IGA17" s="48"/>
      <c r="IGL17" s="48"/>
      <c r="IGW17" s="48"/>
      <c r="IHH17" s="48"/>
      <c r="IHS17" s="48"/>
      <c r="IID17" s="48"/>
      <c r="IIO17" s="48"/>
      <c r="IIZ17" s="48"/>
      <c r="IJK17" s="48"/>
      <c r="IJV17" s="48"/>
      <c r="IKG17" s="48"/>
      <c r="IKR17" s="48"/>
      <c r="ILC17" s="48"/>
      <c r="ILN17" s="48"/>
      <c r="ILY17" s="48"/>
      <c r="IMJ17" s="48"/>
      <c r="IMU17" s="48"/>
      <c r="INF17" s="48"/>
      <c r="INQ17" s="48"/>
      <c r="IOB17" s="48"/>
      <c r="IOM17" s="48"/>
      <c r="IOX17" s="48"/>
      <c r="IPI17" s="48"/>
      <c r="IPT17" s="48"/>
      <c r="IQE17" s="48"/>
      <c r="IQP17" s="48"/>
      <c r="IRA17" s="48"/>
      <c r="IRL17" s="48"/>
      <c r="IRW17" s="48"/>
      <c r="ISH17" s="48"/>
      <c r="ISS17" s="48"/>
      <c r="ITD17" s="48"/>
      <c r="ITO17" s="48"/>
      <c r="ITZ17" s="48"/>
      <c r="IUK17" s="48"/>
      <c r="IUV17" s="48"/>
      <c r="IVG17" s="48"/>
      <c r="IVR17" s="48"/>
      <c r="IWC17" s="48"/>
      <c r="IWN17" s="48"/>
      <c r="IWY17" s="48"/>
      <c r="IXJ17" s="48"/>
      <c r="IXU17" s="48"/>
      <c r="IYF17" s="48"/>
      <c r="IYQ17" s="48"/>
      <c r="IZB17" s="48"/>
      <c r="IZM17" s="48"/>
      <c r="IZX17" s="48"/>
      <c r="JAI17" s="48"/>
      <c r="JAT17" s="48"/>
      <c r="JBE17" s="48"/>
      <c r="JBP17" s="48"/>
      <c r="JCA17" s="48"/>
      <c r="JCL17" s="48"/>
      <c r="JCW17" s="48"/>
      <c r="JDH17" s="48"/>
      <c r="JDS17" s="48"/>
      <c r="JED17" s="48"/>
      <c r="JEO17" s="48"/>
      <c r="JEZ17" s="48"/>
      <c r="JFK17" s="48"/>
      <c r="JFV17" s="48"/>
      <c r="JGG17" s="48"/>
      <c r="JGR17" s="48"/>
      <c r="JHC17" s="48"/>
      <c r="JHN17" s="48"/>
      <c r="JHY17" s="48"/>
      <c r="JIJ17" s="48"/>
      <c r="JIU17" s="48"/>
      <c r="JJF17" s="48"/>
      <c r="JJQ17" s="48"/>
      <c r="JKB17" s="48"/>
      <c r="JKM17" s="48"/>
      <c r="JKX17" s="48"/>
      <c r="JLI17" s="48"/>
      <c r="JLT17" s="48"/>
      <c r="JME17" s="48"/>
      <c r="JMP17" s="48"/>
      <c r="JNA17" s="48"/>
      <c r="JNL17" s="48"/>
      <c r="JNW17" s="48"/>
      <c r="JOH17" s="48"/>
      <c r="JOS17" s="48"/>
      <c r="JPD17" s="48"/>
      <c r="JPO17" s="48"/>
      <c r="JPZ17" s="48"/>
      <c r="JQK17" s="48"/>
      <c r="JQV17" s="48"/>
      <c r="JRG17" s="48"/>
      <c r="JRR17" s="48"/>
      <c r="JSC17" s="48"/>
      <c r="JSN17" s="48"/>
      <c r="JSY17" s="48"/>
      <c r="JTJ17" s="48"/>
      <c r="JTU17" s="48"/>
      <c r="JUF17" s="48"/>
      <c r="JUQ17" s="48"/>
      <c r="JVB17" s="48"/>
      <c r="JVM17" s="48"/>
      <c r="JVX17" s="48"/>
      <c r="JWI17" s="48"/>
      <c r="JWT17" s="48"/>
      <c r="JXE17" s="48"/>
      <c r="JXP17" s="48"/>
      <c r="JYA17" s="48"/>
      <c r="JYL17" s="48"/>
      <c r="JYW17" s="48"/>
      <c r="JZH17" s="48"/>
      <c r="JZS17" s="48"/>
      <c r="KAD17" s="48"/>
      <c r="KAO17" s="48"/>
      <c r="KAZ17" s="48"/>
      <c r="KBK17" s="48"/>
      <c r="KBV17" s="48"/>
      <c r="KCG17" s="48"/>
      <c r="KCR17" s="48"/>
      <c r="KDC17" s="48"/>
      <c r="KDN17" s="48"/>
      <c r="KDY17" s="48"/>
      <c r="KEJ17" s="48"/>
      <c r="KEU17" s="48"/>
      <c r="KFF17" s="48"/>
      <c r="KFQ17" s="48"/>
      <c r="KGB17" s="48"/>
      <c r="KGM17" s="48"/>
      <c r="KGX17" s="48"/>
      <c r="KHI17" s="48"/>
      <c r="KHT17" s="48"/>
      <c r="KIE17" s="48"/>
      <c r="KIP17" s="48"/>
      <c r="KJA17" s="48"/>
      <c r="KJL17" s="48"/>
      <c r="KJW17" s="48"/>
      <c r="KKH17" s="48"/>
      <c r="KKS17" s="48"/>
      <c r="KLD17" s="48"/>
      <c r="KLO17" s="48"/>
      <c r="KLZ17" s="48"/>
      <c r="KMK17" s="48"/>
      <c r="KMV17" s="48"/>
      <c r="KNG17" s="48"/>
      <c r="KNR17" s="48"/>
      <c r="KOC17" s="48"/>
      <c r="KON17" s="48"/>
      <c r="KOY17" s="48"/>
      <c r="KPJ17" s="48"/>
      <c r="KPU17" s="48"/>
      <c r="KQF17" s="48"/>
      <c r="KQQ17" s="48"/>
      <c r="KRB17" s="48"/>
      <c r="KRM17" s="48"/>
      <c r="KRX17" s="48"/>
      <c r="KSI17" s="48"/>
      <c r="KST17" s="48"/>
      <c r="KTE17" s="48"/>
      <c r="KTP17" s="48"/>
      <c r="KUA17" s="48"/>
      <c r="KUL17" s="48"/>
      <c r="KUW17" s="48"/>
      <c r="KVH17" s="48"/>
      <c r="KVS17" s="48"/>
      <c r="KWD17" s="48"/>
      <c r="KWO17" s="48"/>
      <c r="KWZ17" s="48"/>
      <c r="KXK17" s="48"/>
      <c r="KXV17" s="48"/>
      <c r="KYG17" s="48"/>
      <c r="KYR17" s="48"/>
      <c r="KZC17" s="48"/>
      <c r="KZN17" s="48"/>
      <c r="KZY17" s="48"/>
      <c r="LAJ17" s="48"/>
      <c r="LAU17" s="48"/>
      <c r="LBF17" s="48"/>
      <c r="LBQ17" s="48"/>
      <c r="LCB17" s="48"/>
      <c r="LCM17" s="48"/>
      <c r="LCX17" s="48"/>
      <c r="LDI17" s="48"/>
      <c r="LDT17" s="48"/>
      <c r="LEE17" s="48"/>
      <c r="LEP17" s="48"/>
      <c r="LFA17" s="48"/>
      <c r="LFL17" s="48"/>
      <c r="LFW17" s="48"/>
      <c r="LGH17" s="48"/>
      <c r="LGS17" s="48"/>
      <c r="LHD17" s="48"/>
      <c r="LHO17" s="48"/>
      <c r="LHZ17" s="48"/>
      <c r="LIK17" s="48"/>
      <c r="LIV17" s="48"/>
      <c r="LJG17" s="48"/>
      <c r="LJR17" s="48"/>
      <c r="LKC17" s="48"/>
      <c r="LKN17" s="48"/>
      <c r="LKY17" s="48"/>
      <c r="LLJ17" s="48"/>
      <c r="LLU17" s="48"/>
      <c r="LMF17" s="48"/>
      <c r="LMQ17" s="48"/>
      <c r="LNB17" s="48"/>
      <c r="LNM17" s="48"/>
      <c r="LNX17" s="48"/>
      <c r="LOI17" s="48"/>
      <c r="LOT17" s="48"/>
      <c r="LPE17" s="48"/>
      <c r="LPP17" s="48"/>
      <c r="LQA17" s="48"/>
      <c r="LQL17" s="48"/>
      <c r="LQW17" s="48"/>
      <c r="LRH17" s="48"/>
      <c r="LRS17" s="48"/>
      <c r="LSD17" s="48"/>
      <c r="LSO17" s="48"/>
      <c r="LSZ17" s="48"/>
      <c r="LTK17" s="48"/>
      <c r="LTV17" s="48"/>
      <c r="LUG17" s="48"/>
      <c r="LUR17" s="48"/>
      <c r="LVC17" s="48"/>
      <c r="LVN17" s="48"/>
      <c r="LVY17" s="48"/>
      <c r="LWJ17" s="48"/>
      <c r="LWU17" s="48"/>
      <c r="LXF17" s="48"/>
      <c r="LXQ17" s="48"/>
      <c r="LYB17" s="48"/>
      <c r="LYM17" s="48"/>
      <c r="LYX17" s="48"/>
      <c r="LZI17" s="48"/>
      <c r="LZT17" s="48"/>
      <c r="MAE17" s="48"/>
      <c r="MAP17" s="48"/>
      <c r="MBA17" s="48"/>
      <c r="MBL17" s="48"/>
      <c r="MBW17" s="48"/>
      <c r="MCH17" s="48"/>
      <c r="MCS17" s="48"/>
      <c r="MDD17" s="48"/>
      <c r="MDO17" s="48"/>
      <c r="MDZ17" s="48"/>
      <c r="MEK17" s="48"/>
      <c r="MEV17" s="48"/>
      <c r="MFG17" s="48"/>
      <c r="MFR17" s="48"/>
      <c r="MGC17" s="48"/>
      <c r="MGN17" s="48"/>
      <c r="MGY17" s="48"/>
      <c r="MHJ17" s="48"/>
      <c r="MHU17" s="48"/>
      <c r="MIF17" s="48"/>
      <c r="MIQ17" s="48"/>
      <c r="MJB17" s="48"/>
      <c r="MJM17" s="48"/>
      <c r="MJX17" s="48"/>
      <c r="MKI17" s="48"/>
      <c r="MKT17" s="48"/>
      <c r="MLE17" s="48"/>
      <c r="MLP17" s="48"/>
      <c r="MMA17" s="48"/>
      <c r="MML17" s="48"/>
      <c r="MMW17" s="48"/>
      <c r="MNH17" s="48"/>
      <c r="MNS17" s="48"/>
      <c r="MOD17" s="48"/>
      <c r="MOO17" s="48"/>
      <c r="MOZ17" s="48"/>
      <c r="MPK17" s="48"/>
      <c r="MPV17" s="48"/>
      <c r="MQG17" s="48"/>
      <c r="MQR17" s="48"/>
      <c r="MRC17" s="48"/>
      <c r="MRN17" s="48"/>
      <c r="MRY17" s="48"/>
      <c r="MSJ17" s="48"/>
      <c r="MSU17" s="48"/>
      <c r="MTF17" s="48"/>
      <c r="MTQ17" s="48"/>
      <c r="MUB17" s="48"/>
      <c r="MUM17" s="48"/>
      <c r="MUX17" s="48"/>
      <c r="MVI17" s="48"/>
      <c r="MVT17" s="48"/>
      <c r="MWE17" s="48"/>
      <c r="MWP17" s="48"/>
      <c r="MXA17" s="48"/>
      <c r="MXL17" s="48"/>
      <c r="MXW17" s="48"/>
      <c r="MYH17" s="48"/>
      <c r="MYS17" s="48"/>
      <c r="MZD17" s="48"/>
      <c r="MZO17" s="48"/>
      <c r="MZZ17" s="48"/>
      <c r="NAK17" s="48"/>
      <c r="NAV17" s="48"/>
      <c r="NBG17" s="48"/>
      <c r="NBR17" s="48"/>
      <c r="NCC17" s="48"/>
      <c r="NCN17" s="48"/>
      <c r="NCY17" s="48"/>
      <c r="NDJ17" s="48"/>
      <c r="NDU17" s="48"/>
      <c r="NEF17" s="48"/>
      <c r="NEQ17" s="48"/>
      <c r="NFB17" s="48"/>
      <c r="NFM17" s="48"/>
      <c r="NFX17" s="48"/>
      <c r="NGI17" s="48"/>
      <c r="NGT17" s="48"/>
      <c r="NHE17" s="48"/>
      <c r="NHP17" s="48"/>
      <c r="NIA17" s="48"/>
      <c r="NIL17" s="48"/>
      <c r="NIW17" s="48"/>
      <c r="NJH17" s="48"/>
      <c r="NJS17" s="48"/>
      <c r="NKD17" s="48"/>
      <c r="NKO17" s="48"/>
      <c r="NKZ17" s="48"/>
      <c r="NLK17" s="48"/>
      <c r="NLV17" s="48"/>
      <c r="NMG17" s="48"/>
      <c r="NMR17" s="48"/>
      <c r="NNC17" s="48"/>
      <c r="NNN17" s="48"/>
      <c r="NNY17" s="48"/>
      <c r="NOJ17" s="48"/>
      <c r="NOU17" s="48"/>
      <c r="NPF17" s="48"/>
      <c r="NPQ17" s="48"/>
      <c r="NQB17" s="48"/>
      <c r="NQM17" s="48"/>
      <c r="NQX17" s="48"/>
      <c r="NRI17" s="48"/>
      <c r="NRT17" s="48"/>
      <c r="NSE17" s="48"/>
      <c r="NSP17" s="48"/>
      <c r="NTA17" s="48"/>
      <c r="NTL17" s="48"/>
      <c r="NTW17" s="48"/>
      <c r="NUH17" s="48"/>
      <c r="NUS17" s="48"/>
      <c r="NVD17" s="48"/>
      <c r="NVO17" s="48"/>
      <c r="NVZ17" s="48"/>
      <c r="NWK17" s="48"/>
      <c r="NWV17" s="48"/>
      <c r="NXG17" s="48"/>
      <c r="NXR17" s="48"/>
      <c r="NYC17" s="48"/>
      <c r="NYN17" s="48"/>
      <c r="NYY17" s="48"/>
      <c r="NZJ17" s="48"/>
      <c r="NZU17" s="48"/>
      <c r="OAF17" s="48"/>
      <c r="OAQ17" s="48"/>
      <c r="OBB17" s="48"/>
      <c r="OBM17" s="48"/>
      <c r="OBX17" s="48"/>
      <c r="OCI17" s="48"/>
      <c r="OCT17" s="48"/>
      <c r="ODE17" s="48"/>
      <c r="ODP17" s="48"/>
      <c r="OEA17" s="48"/>
      <c r="OEL17" s="48"/>
      <c r="OEW17" s="48"/>
      <c r="OFH17" s="48"/>
      <c r="OFS17" s="48"/>
      <c r="OGD17" s="48"/>
      <c r="OGO17" s="48"/>
      <c r="OGZ17" s="48"/>
      <c r="OHK17" s="48"/>
      <c r="OHV17" s="48"/>
      <c r="OIG17" s="48"/>
      <c r="OIR17" s="48"/>
      <c r="OJC17" s="48"/>
      <c r="OJN17" s="48"/>
      <c r="OJY17" s="48"/>
      <c r="OKJ17" s="48"/>
      <c r="OKU17" s="48"/>
      <c r="OLF17" s="48"/>
      <c r="OLQ17" s="48"/>
      <c r="OMB17" s="48"/>
      <c r="OMM17" s="48"/>
      <c r="OMX17" s="48"/>
      <c r="ONI17" s="48"/>
      <c r="ONT17" s="48"/>
      <c r="OOE17" s="48"/>
      <c r="OOP17" s="48"/>
      <c r="OPA17" s="48"/>
      <c r="OPL17" s="48"/>
      <c r="OPW17" s="48"/>
      <c r="OQH17" s="48"/>
      <c r="OQS17" s="48"/>
      <c r="ORD17" s="48"/>
      <c r="ORO17" s="48"/>
      <c r="ORZ17" s="48"/>
      <c r="OSK17" s="48"/>
      <c r="OSV17" s="48"/>
      <c r="OTG17" s="48"/>
      <c r="OTR17" s="48"/>
      <c r="OUC17" s="48"/>
      <c r="OUN17" s="48"/>
      <c r="OUY17" s="48"/>
      <c r="OVJ17" s="48"/>
      <c r="OVU17" s="48"/>
      <c r="OWF17" s="48"/>
      <c r="OWQ17" s="48"/>
      <c r="OXB17" s="48"/>
      <c r="OXM17" s="48"/>
      <c r="OXX17" s="48"/>
      <c r="OYI17" s="48"/>
      <c r="OYT17" s="48"/>
      <c r="OZE17" s="48"/>
      <c r="OZP17" s="48"/>
      <c r="PAA17" s="48"/>
      <c r="PAL17" s="48"/>
      <c r="PAW17" s="48"/>
      <c r="PBH17" s="48"/>
      <c r="PBS17" s="48"/>
      <c r="PCD17" s="48"/>
      <c r="PCO17" s="48"/>
      <c r="PCZ17" s="48"/>
      <c r="PDK17" s="48"/>
      <c r="PDV17" s="48"/>
      <c r="PEG17" s="48"/>
      <c r="PER17" s="48"/>
      <c r="PFC17" s="48"/>
      <c r="PFN17" s="48"/>
      <c r="PFY17" s="48"/>
      <c r="PGJ17" s="48"/>
      <c r="PGU17" s="48"/>
      <c r="PHF17" s="48"/>
      <c r="PHQ17" s="48"/>
      <c r="PIB17" s="48"/>
      <c r="PIM17" s="48"/>
      <c r="PIX17" s="48"/>
      <c r="PJI17" s="48"/>
      <c r="PJT17" s="48"/>
      <c r="PKE17" s="48"/>
      <c r="PKP17" s="48"/>
      <c r="PLA17" s="48"/>
      <c r="PLL17" s="48"/>
      <c r="PLW17" s="48"/>
      <c r="PMH17" s="48"/>
      <c r="PMS17" s="48"/>
      <c r="PND17" s="48"/>
      <c r="PNO17" s="48"/>
      <c r="PNZ17" s="48"/>
      <c r="POK17" s="48"/>
      <c r="POV17" s="48"/>
      <c r="PPG17" s="48"/>
      <c r="PPR17" s="48"/>
      <c r="PQC17" s="48"/>
      <c r="PQN17" s="48"/>
      <c r="PQY17" s="48"/>
      <c r="PRJ17" s="48"/>
      <c r="PRU17" s="48"/>
      <c r="PSF17" s="48"/>
      <c r="PSQ17" s="48"/>
      <c r="PTB17" s="48"/>
      <c r="PTM17" s="48"/>
      <c r="PTX17" s="48"/>
      <c r="PUI17" s="48"/>
      <c r="PUT17" s="48"/>
      <c r="PVE17" s="48"/>
      <c r="PVP17" s="48"/>
      <c r="PWA17" s="48"/>
      <c r="PWL17" s="48"/>
      <c r="PWW17" s="48"/>
      <c r="PXH17" s="48"/>
      <c r="PXS17" s="48"/>
      <c r="PYD17" s="48"/>
      <c r="PYO17" s="48"/>
      <c r="PYZ17" s="48"/>
      <c r="PZK17" s="48"/>
      <c r="PZV17" s="48"/>
      <c r="QAG17" s="48"/>
      <c r="QAR17" s="48"/>
      <c r="QBC17" s="48"/>
      <c r="QBN17" s="48"/>
      <c r="QBY17" s="48"/>
      <c r="QCJ17" s="48"/>
      <c r="QCU17" s="48"/>
      <c r="QDF17" s="48"/>
      <c r="QDQ17" s="48"/>
      <c r="QEB17" s="48"/>
      <c r="QEM17" s="48"/>
      <c r="QEX17" s="48"/>
      <c r="QFI17" s="48"/>
      <c r="QFT17" s="48"/>
      <c r="QGE17" s="48"/>
      <c r="QGP17" s="48"/>
      <c r="QHA17" s="48"/>
      <c r="QHL17" s="48"/>
      <c r="QHW17" s="48"/>
      <c r="QIH17" s="48"/>
      <c r="QIS17" s="48"/>
      <c r="QJD17" s="48"/>
      <c r="QJO17" s="48"/>
      <c r="QJZ17" s="48"/>
      <c r="QKK17" s="48"/>
      <c r="QKV17" s="48"/>
      <c r="QLG17" s="48"/>
      <c r="QLR17" s="48"/>
      <c r="QMC17" s="48"/>
      <c r="QMN17" s="48"/>
      <c r="QMY17" s="48"/>
      <c r="QNJ17" s="48"/>
      <c r="QNU17" s="48"/>
      <c r="QOF17" s="48"/>
      <c r="QOQ17" s="48"/>
      <c r="QPB17" s="48"/>
      <c r="QPM17" s="48"/>
      <c r="QPX17" s="48"/>
      <c r="QQI17" s="48"/>
      <c r="QQT17" s="48"/>
      <c r="QRE17" s="48"/>
      <c r="QRP17" s="48"/>
      <c r="QSA17" s="48"/>
      <c r="QSL17" s="48"/>
      <c r="QSW17" s="48"/>
      <c r="QTH17" s="48"/>
      <c r="QTS17" s="48"/>
      <c r="QUD17" s="48"/>
      <c r="QUO17" s="48"/>
      <c r="QUZ17" s="48"/>
      <c r="QVK17" s="48"/>
      <c r="QVV17" s="48"/>
      <c r="QWG17" s="48"/>
      <c r="QWR17" s="48"/>
      <c r="QXC17" s="48"/>
      <c r="QXN17" s="48"/>
      <c r="QXY17" s="48"/>
      <c r="QYJ17" s="48"/>
      <c r="QYU17" s="48"/>
      <c r="QZF17" s="48"/>
      <c r="QZQ17" s="48"/>
      <c r="RAB17" s="48"/>
      <c r="RAM17" s="48"/>
      <c r="RAX17" s="48"/>
      <c r="RBI17" s="48"/>
      <c r="RBT17" s="48"/>
      <c r="RCE17" s="48"/>
      <c r="RCP17" s="48"/>
      <c r="RDA17" s="48"/>
      <c r="RDL17" s="48"/>
      <c r="RDW17" s="48"/>
      <c r="REH17" s="48"/>
      <c r="RES17" s="48"/>
      <c r="RFD17" s="48"/>
      <c r="RFO17" s="48"/>
      <c r="RFZ17" s="48"/>
      <c r="RGK17" s="48"/>
      <c r="RGV17" s="48"/>
      <c r="RHG17" s="48"/>
      <c r="RHR17" s="48"/>
      <c r="RIC17" s="48"/>
      <c r="RIN17" s="48"/>
      <c r="RIY17" s="48"/>
      <c r="RJJ17" s="48"/>
      <c r="RJU17" s="48"/>
      <c r="RKF17" s="48"/>
      <c r="RKQ17" s="48"/>
      <c r="RLB17" s="48"/>
      <c r="RLM17" s="48"/>
      <c r="RLX17" s="48"/>
      <c r="RMI17" s="48"/>
      <c r="RMT17" s="48"/>
      <c r="RNE17" s="48"/>
      <c r="RNP17" s="48"/>
      <c r="ROA17" s="48"/>
      <c r="ROL17" s="48"/>
      <c r="ROW17" s="48"/>
      <c r="RPH17" s="48"/>
      <c r="RPS17" s="48"/>
      <c r="RQD17" s="48"/>
      <c r="RQO17" s="48"/>
      <c r="RQZ17" s="48"/>
      <c r="RRK17" s="48"/>
      <c r="RRV17" s="48"/>
      <c r="RSG17" s="48"/>
      <c r="RSR17" s="48"/>
      <c r="RTC17" s="48"/>
      <c r="RTN17" s="48"/>
      <c r="RTY17" s="48"/>
      <c r="RUJ17" s="48"/>
      <c r="RUU17" s="48"/>
      <c r="RVF17" s="48"/>
      <c r="RVQ17" s="48"/>
      <c r="RWB17" s="48"/>
      <c r="RWM17" s="48"/>
      <c r="RWX17" s="48"/>
      <c r="RXI17" s="48"/>
      <c r="RXT17" s="48"/>
      <c r="RYE17" s="48"/>
      <c r="RYP17" s="48"/>
      <c r="RZA17" s="48"/>
      <c r="RZL17" s="48"/>
      <c r="RZW17" s="48"/>
      <c r="SAH17" s="48"/>
      <c r="SAS17" s="48"/>
      <c r="SBD17" s="48"/>
      <c r="SBO17" s="48"/>
      <c r="SBZ17" s="48"/>
      <c r="SCK17" s="48"/>
      <c r="SCV17" s="48"/>
      <c r="SDG17" s="48"/>
      <c r="SDR17" s="48"/>
      <c r="SEC17" s="48"/>
      <c r="SEN17" s="48"/>
      <c r="SEY17" s="48"/>
      <c r="SFJ17" s="48"/>
      <c r="SFU17" s="48"/>
      <c r="SGF17" s="48"/>
      <c r="SGQ17" s="48"/>
      <c r="SHB17" s="48"/>
      <c r="SHM17" s="48"/>
      <c r="SHX17" s="48"/>
      <c r="SII17" s="48"/>
      <c r="SIT17" s="48"/>
      <c r="SJE17" s="48"/>
      <c r="SJP17" s="48"/>
      <c r="SKA17" s="48"/>
      <c r="SKL17" s="48"/>
      <c r="SKW17" s="48"/>
      <c r="SLH17" s="48"/>
      <c r="SLS17" s="48"/>
      <c r="SMD17" s="48"/>
      <c r="SMO17" s="48"/>
      <c r="SMZ17" s="48"/>
      <c r="SNK17" s="48"/>
      <c r="SNV17" s="48"/>
      <c r="SOG17" s="48"/>
      <c r="SOR17" s="48"/>
      <c r="SPC17" s="48"/>
      <c r="SPN17" s="48"/>
      <c r="SPY17" s="48"/>
      <c r="SQJ17" s="48"/>
      <c r="SQU17" s="48"/>
      <c r="SRF17" s="48"/>
      <c r="SRQ17" s="48"/>
      <c r="SSB17" s="48"/>
      <c r="SSM17" s="48"/>
      <c r="SSX17" s="48"/>
      <c r="STI17" s="48"/>
      <c r="STT17" s="48"/>
      <c r="SUE17" s="48"/>
      <c r="SUP17" s="48"/>
      <c r="SVA17" s="48"/>
      <c r="SVL17" s="48"/>
      <c r="SVW17" s="48"/>
      <c r="SWH17" s="48"/>
      <c r="SWS17" s="48"/>
      <c r="SXD17" s="48"/>
      <c r="SXO17" s="48"/>
      <c r="SXZ17" s="48"/>
      <c r="SYK17" s="48"/>
      <c r="SYV17" s="48"/>
      <c r="SZG17" s="48"/>
      <c r="SZR17" s="48"/>
      <c r="TAC17" s="48"/>
      <c r="TAN17" s="48"/>
      <c r="TAY17" s="48"/>
      <c r="TBJ17" s="48"/>
      <c r="TBU17" s="48"/>
      <c r="TCF17" s="48"/>
      <c r="TCQ17" s="48"/>
      <c r="TDB17" s="48"/>
      <c r="TDM17" s="48"/>
      <c r="TDX17" s="48"/>
      <c r="TEI17" s="48"/>
      <c r="TET17" s="48"/>
      <c r="TFE17" s="48"/>
      <c r="TFP17" s="48"/>
      <c r="TGA17" s="48"/>
      <c r="TGL17" s="48"/>
      <c r="TGW17" s="48"/>
      <c r="THH17" s="48"/>
      <c r="THS17" s="48"/>
      <c r="TID17" s="48"/>
      <c r="TIO17" s="48"/>
      <c r="TIZ17" s="48"/>
      <c r="TJK17" s="48"/>
      <c r="TJV17" s="48"/>
      <c r="TKG17" s="48"/>
      <c r="TKR17" s="48"/>
      <c r="TLC17" s="48"/>
      <c r="TLN17" s="48"/>
      <c r="TLY17" s="48"/>
      <c r="TMJ17" s="48"/>
      <c r="TMU17" s="48"/>
      <c r="TNF17" s="48"/>
      <c r="TNQ17" s="48"/>
      <c r="TOB17" s="48"/>
      <c r="TOM17" s="48"/>
      <c r="TOX17" s="48"/>
      <c r="TPI17" s="48"/>
      <c r="TPT17" s="48"/>
      <c r="TQE17" s="48"/>
      <c r="TQP17" s="48"/>
      <c r="TRA17" s="48"/>
      <c r="TRL17" s="48"/>
      <c r="TRW17" s="48"/>
      <c r="TSH17" s="48"/>
      <c r="TSS17" s="48"/>
      <c r="TTD17" s="48"/>
      <c r="TTO17" s="48"/>
      <c r="TTZ17" s="48"/>
      <c r="TUK17" s="48"/>
      <c r="TUV17" s="48"/>
      <c r="TVG17" s="48"/>
      <c r="TVR17" s="48"/>
      <c r="TWC17" s="48"/>
      <c r="TWN17" s="48"/>
      <c r="TWY17" s="48"/>
      <c r="TXJ17" s="48"/>
      <c r="TXU17" s="48"/>
      <c r="TYF17" s="48"/>
      <c r="TYQ17" s="48"/>
      <c r="TZB17" s="48"/>
      <c r="TZM17" s="48"/>
      <c r="TZX17" s="48"/>
      <c r="UAI17" s="48"/>
      <c r="UAT17" s="48"/>
      <c r="UBE17" s="48"/>
      <c r="UBP17" s="48"/>
      <c r="UCA17" s="48"/>
      <c r="UCL17" s="48"/>
      <c r="UCW17" s="48"/>
      <c r="UDH17" s="48"/>
      <c r="UDS17" s="48"/>
      <c r="UED17" s="48"/>
      <c r="UEO17" s="48"/>
      <c r="UEZ17" s="48"/>
      <c r="UFK17" s="48"/>
      <c r="UFV17" s="48"/>
      <c r="UGG17" s="48"/>
      <c r="UGR17" s="48"/>
      <c r="UHC17" s="48"/>
      <c r="UHN17" s="48"/>
      <c r="UHY17" s="48"/>
      <c r="UIJ17" s="48"/>
      <c r="UIU17" s="48"/>
      <c r="UJF17" s="48"/>
      <c r="UJQ17" s="48"/>
      <c r="UKB17" s="48"/>
      <c r="UKM17" s="48"/>
      <c r="UKX17" s="48"/>
      <c r="ULI17" s="48"/>
      <c r="ULT17" s="48"/>
      <c r="UME17" s="48"/>
      <c r="UMP17" s="48"/>
      <c r="UNA17" s="48"/>
      <c r="UNL17" s="48"/>
      <c r="UNW17" s="48"/>
      <c r="UOH17" s="48"/>
      <c r="UOS17" s="48"/>
      <c r="UPD17" s="48"/>
      <c r="UPO17" s="48"/>
      <c r="UPZ17" s="48"/>
      <c r="UQK17" s="48"/>
      <c r="UQV17" s="48"/>
      <c r="URG17" s="48"/>
      <c r="URR17" s="48"/>
      <c r="USC17" s="48"/>
      <c r="USN17" s="48"/>
      <c r="USY17" s="48"/>
      <c r="UTJ17" s="48"/>
      <c r="UTU17" s="48"/>
      <c r="UUF17" s="48"/>
      <c r="UUQ17" s="48"/>
      <c r="UVB17" s="48"/>
      <c r="UVM17" s="48"/>
      <c r="UVX17" s="48"/>
      <c r="UWI17" s="48"/>
      <c r="UWT17" s="48"/>
      <c r="UXE17" s="48"/>
      <c r="UXP17" s="48"/>
      <c r="UYA17" s="48"/>
      <c r="UYL17" s="48"/>
      <c r="UYW17" s="48"/>
      <c r="UZH17" s="48"/>
      <c r="UZS17" s="48"/>
      <c r="VAD17" s="48"/>
      <c r="VAO17" s="48"/>
      <c r="VAZ17" s="48"/>
      <c r="VBK17" s="48"/>
      <c r="VBV17" s="48"/>
      <c r="VCG17" s="48"/>
      <c r="VCR17" s="48"/>
      <c r="VDC17" s="48"/>
      <c r="VDN17" s="48"/>
      <c r="VDY17" s="48"/>
      <c r="VEJ17" s="48"/>
      <c r="VEU17" s="48"/>
      <c r="VFF17" s="48"/>
      <c r="VFQ17" s="48"/>
      <c r="VGB17" s="48"/>
      <c r="VGM17" s="48"/>
      <c r="VGX17" s="48"/>
      <c r="VHI17" s="48"/>
      <c r="VHT17" s="48"/>
      <c r="VIE17" s="48"/>
      <c r="VIP17" s="48"/>
      <c r="VJA17" s="48"/>
      <c r="VJL17" s="48"/>
      <c r="VJW17" s="48"/>
      <c r="VKH17" s="48"/>
      <c r="VKS17" s="48"/>
      <c r="VLD17" s="48"/>
      <c r="VLO17" s="48"/>
      <c r="VLZ17" s="48"/>
      <c r="VMK17" s="48"/>
      <c r="VMV17" s="48"/>
      <c r="VNG17" s="48"/>
      <c r="VNR17" s="48"/>
      <c r="VOC17" s="48"/>
      <c r="VON17" s="48"/>
      <c r="VOY17" s="48"/>
      <c r="VPJ17" s="48"/>
      <c r="VPU17" s="48"/>
      <c r="VQF17" s="48"/>
      <c r="VQQ17" s="48"/>
      <c r="VRB17" s="48"/>
      <c r="VRM17" s="48"/>
      <c r="VRX17" s="48"/>
      <c r="VSI17" s="48"/>
      <c r="VST17" s="48"/>
      <c r="VTE17" s="48"/>
      <c r="VTP17" s="48"/>
      <c r="VUA17" s="48"/>
      <c r="VUL17" s="48"/>
      <c r="VUW17" s="48"/>
      <c r="VVH17" s="48"/>
      <c r="VVS17" s="48"/>
      <c r="VWD17" s="48"/>
      <c r="VWO17" s="48"/>
      <c r="VWZ17" s="48"/>
      <c r="VXK17" s="48"/>
      <c r="VXV17" s="48"/>
      <c r="VYG17" s="48"/>
      <c r="VYR17" s="48"/>
      <c r="VZC17" s="48"/>
      <c r="VZN17" s="48"/>
      <c r="VZY17" s="48"/>
      <c r="WAJ17" s="48"/>
      <c r="WAU17" s="48"/>
      <c r="WBF17" s="48"/>
      <c r="WBQ17" s="48"/>
      <c r="WCB17" s="48"/>
      <c r="WCM17" s="48"/>
      <c r="WCX17" s="48"/>
      <c r="WDI17" s="48"/>
      <c r="WDT17" s="48"/>
      <c r="WEE17" s="48"/>
      <c r="WEP17" s="48"/>
      <c r="WFA17" s="48"/>
      <c r="WFL17" s="48"/>
      <c r="WFW17" s="48"/>
      <c r="WGH17" s="48"/>
      <c r="WGS17" s="48"/>
      <c r="WHD17" s="48"/>
      <c r="WHO17" s="48"/>
      <c r="WHZ17" s="48"/>
      <c r="WIK17" s="48"/>
      <c r="WIV17" s="48"/>
      <c r="WJG17" s="48"/>
      <c r="WJR17" s="48"/>
      <c r="WKC17" s="48"/>
      <c r="WKN17" s="48"/>
      <c r="WKY17" s="48"/>
      <c r="WLJ17" s="48"/>
      <c r="WLU17" s="48"/>
      <c r="WMF17" s="48"/>
      <c r="WMQ17" s="48"/>
      <c r="WNB17" s="48"/>
      <c r="WNM17" s="48"/>
      <c r="WNX17" s="48"/>
      <c r="WOI17" s="48"/>
      <c r="WOT17" s="48"/>
      <c r="WPE17" s="48"/>
      <c r="WPP17" s="48"/>
      <c r="WQA17" s="48"/>
      <c r="WQL17" s="48"/>
      <c r="WQW17" s="48"/>
      <c r="WRH17" s="48"/>
      <c r="WRS17" s="48"/>
      <c r="WSD17" s="48"/>
      <c r="WSO17" s="48"/>
      <c r="WSZ17" s="48"/>
      <c r="WTK17" s="48"/>
      <c r="WTV17" s="48"/>
      <c r="WUG17" s="48"/>
      <c r="WUR17" s="48"/>
      <c r="WVC17" s="48"/>
      <c r="WVN17" s="48"/>
      <c r="WVY17" s="48"/>
      <c r="WWJ17" s="48"/>
      <c r="WWU17" s="48"/>
      <c r="WXF17" s="48"/>
      <c r="WXQ17" s="48"/>
      <c r="WYB17" s="48"/>
      <c r="WYM17" s="48"/>
      <c r="WYX17" s="48"/>
      <c r="WZI17" s="48"/>
      <c r="WZT17" s="48"/>
      <c r="XAE17" s="48"/>
      <c r="XAP17" s="48"/>
      <c r="XBA17" s="48"/>
      <c r="XBL17" s="48"/>
      <c r="XBW17" s="48"/>
      <c r="XCH17" s="48"/>
      <c r="XCS17" s="48"/>
      <c r="XDD17" s="48"/>
      <c r="XDO17" s="48"/>
      <c r="XDZ17" s="48"/>
      <c r="XEK17" s="48"/>
      <c r="XEV17" s="48"/>
    </row>
    <row r="18" spans="1:1020 1031:2043 2054:3066 3077:4089 4100:5112 5123:6135 6146:7158 7169:8192 8203:9215 9226:10238 10249:11261 11272:12284 12295:13307 13318:14330 14341:15353 15364:16376" ht="4.05" customHeight="1">
      <c r="G18" s="186"/>
      <c r="I18" s="12"/>
    </row>
    <row r="19" spans="1:1020 1031:2043 2054:3066 3077:4089 4100:5112 5123:6135 6146:7158 7169:8192 8203:9215 9226:10238 10249:11261 11272:12284 12295:13307 13318:14330 14341:15353 15364:16376" s="47" customFormat="1" ht="17.25" customHeight="1">
      <c r="D19" s="47" t="s">
        <v>6</v>
      </c>
      <c r="F19" s="48"/>
      <c r="I19" s="49" t="s">
        <v>29</v>
      </c>
      <c r="S19" s="48"/>
      <c r="AD19" s="48"/>
      <c r="AO19" s="48"/>
      <c r="AZ19" s="48"/>
      <c r="BK19" s="48"/>
      <c r="BV19" s="48"/>
      <c r="CG19" s="48"/>
      <c r="CR19" s="48"/>
      <c r="DC19" s="48"/>
      <c r="DN19" s="48"/>
      <c r="DY19" s="48"/>
      <c r="EJ19" s="48"/>
      <c r="EU19" s="48"/>
      <c r="FF19" s="48"/>
      <c r="FQ19" s="48"/>
      <c r="GB19" s="48"/>
      <c r="GM19" s="48"/>
      <c r="GX19" s="48"/>
      <c r="HI19" s="48"/>
      <c r="HT19" s="48"/>
      <c r="IE19" s="48"/>
      <c r="IP19" s="48"/>
      <c r="JA19" s="48"/>
      <c r="JL19" s="48"/>
      <c r="JW19" s="48"/>
      <c r="KH19" s="48"/>
      <c r="KS19" s="48"/>
      <c r="LD19" s="48"/>
      <c r="LO19" s="48"/>
      <c r="LZ19" s="48"/>
      <c r="MK19" s="48"/>
      <c r="MV19" s="48"/>
      <c r="NG19" s="48"/>
      <c r="NR19" s="48"/>
      <c r="OC19" s="48"/>
      <c r="ON19" s="48"/>
      <c r="OY19" s="48"/>
      <c r="PJ19" s="48"/>
      <c r="PU19" s="48"/>
      <c r="QF19" s="48"/>
      <c r="QQ19" s="48"/>
      <c r="RB19" s="48"/>
      <c r="RM19" s="48"/>
      <c r="RX19" s="48"/>
      <c r="SI19" s="48"/>
      <c r="ST19" s="48"/>
      <c r="TE19" s="48"/>
      <c r="TP19" s="48"/>
      <c r="UA19" s="48"/>
      <c r="UL19" s="48"/>
      <c r="UW19" s="48"/>
      <c r="VH19" s="48"/>
      <c r="VS19" s="48"/>
      <c r="WD19" s="48"/>
      <c r="WO19" s="48"/>
      <c r="WZ19" s="48"/>
      <c r="XK19" s="48"/>
      <c r="XV19" s="48"/>
      <c r="YG19" s="48"/>
      <c r="YR19" s="48"/>
      <c r="ZC19" s="48"/>
      <c r="ZN19" s="48"/>
      <c r="ZY19" s="48"/>
      <c r="AAJ19" s="48"/>
      <c r="AAU19" s="48"/>
      <c r="ABF19" s="48"/>
      <c r="ABQ19" s="48"/>
      <c r="ACB19" s="48"/>
      <c r="ACM19" s="48"/>
      <c r="ACX19" s="48"/>
      <c r="ADI19" s="48"/>
      <c r="ADT19" s="48"/>
      <c r="AEE19" s="48"/>
      <c r="AEP19" s="48"/>
      <c r="AFA19" s="48"/>
      <c r="AFL19" s="48"/>
      <c r="AFW19" s="48"/>
      <c r="AGH19" s="48"/>
      <c r="AGS19" s="48"/>
      <c r="AHD19" s="48"/>
      <c r="AHO19" s="48"/>
      <c r="AHZ19" s="48"/>
      <c r="AIK19" s="48"/>
      <c r="AIV19" s="48"/>
      <c r="AJG19" s="48"/>
      <c r="AJR19" s="48"/>
      <c r="AKC19" s="48"/>
      <c r="AKN19" s="48"/>
      <c r="AKY19" s="48"/>
      <c r="ALJ19" s="48"/>
      <c r="ALU19" s="48"/>
      <c r="AMF19" s="48"/>
      <c r="AMQ19" s="48"/>
      <c r="ANB19" s="48"/>
      <c r="ANM19" s="48"/>
      <c r="ANX19" s="48"/>
      <c r="AOI19" s="48"/>
      <c r="AOT19" s="48"/>
      <c r="APE19" s="48"/>
      <c r="APP19" s="48"/>
      <c r="AQA19" s="48"/>
      <c r="AQL19" s="48"/>
      <c r="AQW19" s="48"/>
      <c r="ARH19" s="48"/>
      <c r="ARS19" s="48"/>
      <c r="ASD19" s="48"/>
      <c r="ASO19" s="48"/>
      <c r="ASZ19" s="48"/>
      <c r="ATK19" s="48"/>
      <c r="ATV19" s="48"/>
      <c r="AUG19" s="48"/>
      <c r="AUR19" s="48"/>
      <c r="AVC19" s="48"/>
      <c r="AVN19" s="48"/>
      <c r="AVY19" s="48"/>
      <c r="AWJ19" s="48"/>
      <c r="AWU19" s="48"/>
      <c r="AXF19" s="48"/>
      <c r="AXQ19" s="48"/>
      <c r="AYB19" s="48"/>
      <c r="AYM19" s="48"/>
      <c r="AYX19" s="48"/>
      <c r="AZI19" s="48"/>
      <c r="AZT19" s="48"/>
      <c r="BAE19" s="48"/>
      <c r="BAP19" s="48"/>
      <c r="BBA19" s="48"/>
      <c r="BBL19" s="48"/>
      <c r="BBW19" s="48"/>
      <c r="BCH19" s="48"/>
      <c r="BCS19" s="48"/>
      <c r="BDD19" s="48"/>
      <c r="BDO19" s="48"/>
      <c r="BDZ19" s="48"/>
      <c r="BEK19" s="48"/>
      <c r="BEV19" s="48"/>
      <c r="BFG19" s="48"/>
      <c r="BFR19" s="48"/>
      <c r="BGC19" s="48"/>
      <c r="BGN19" s="48"/>
      <c r="BGY19" s="48"/>
      <c r="BHJ19" s="48"/>
      <c r="BHU19" s="48"/>
      <c r="BIF19" s="48"/>
      <c r="BIQ19" s="48"/>
      <c r="BJB19" s="48"/>
      <c r="BJM19" s="48"/>
      <c r="BJX19" s="48"/>
      <c r="BKI19" s="48"/>
      <c r="BKT19" s="48"/>
      <c r="BLE19" s="48"/>
      <c r="BLP19" s="48"/>
      <c r="BMA19" s="48"/>
      <c r="BML19" s="48"/>
      <c r="BMW19" s="48"/>
      <c r="BNH19" s="48"/>
      <c r="BNS19" s="48"/>
      <c r="BOD19" s="48"/>
      <c r="BOO19" s="48"/>
      <c r="BOZ19" s="48"/>
      <c r="BPK19" s="48"/>
      <c r="BPV19" s="48"/>
      <c r="BQG19" s="48"/>
      <c r="BQR19" s="48"/>
      <c r="BRC19" s="48"/>
      <c r="BRN19" s="48"/>
      <c r="BRY19" s="48"/>
      <c r="BSJ19" s="48"/>
      <c r="BSU19" s="48"/>
      <c r="BTF19" s="48"/>
      <c r="BTQ19" s="48"/>
      <c r="BUB19" s="48"/>
      <c r="BUM19" s="48"/>
      <c r="BUX19" s="48"/>
      <c r="BVI19" s="48"/>
      <c r="BVT19" s="48"/>
      <c r="BWE19" s="48"/>
      <c r="BWP19" s="48"/>
      <c r="BXA19" s="48"/>
      <c r="BXL19" s="48"/>
      <c r="BXW19" s="48"/>
      <c r="BYH19" s="48"/>
      <c r="BYS19" s="48"/>
      <c r="BZD19" s="48"/>
      <c r="BZO19" s="48"/>
      <c r="BZZ19" s="48"/>
      <c r="CAK19" s="48"/>
      <c r="CAV19" s="48"/>
      <c r="CBG19" s="48"/>
      <c r="CBR19" s="48"/>
      <c r="CCC19" s="48"/>
      <c r="CCN19" s="48"/>
      <c r="CCY19" s="48"/>
      <c r="CDJ19" s="48"/>
      <c r="CDU19" s="48"/>
      <c r="CEF19" s="48"/>
      <c r="CEQ19" s="48"/>
      <c r="CFB19" s="48"/>
      <c r="CFM19" s="48"/>
      <c r="CFX19" s="48"/>
      <c r="CGI19" s="48"/>
      <c r="CGT19" s="48"/>
      <c r="CHE19" s="48"/>
      <c r="CHP19" s="48"/>
      <c r="CIA19" s="48"/>
      <c r="CIL19" s="48"/>
      <c r="CIW19" s="48"/>
      <c r="CJH19" s="48"/>
      <c r="CJS19" s="48"/>
      <c r="CKD19" s="48"/>
      <c r="CKO19" s="48"/>
      <c r="CKZ19" s="48"/>
      <c r="CLK19" s="48"/>
      <c r="CLV19" s="48"/>
      <c r="CMG19" s="48"/>
      <c r="CMR19" s="48"/>
      <c r="CNC19" s="48"/>
      <c r="CNN19" s="48"/>
      <c r="CNY19" s="48"/>
      <c r="COJ19" s="48"/>
      <c r="COU19" s="48"/>
      <c r="CPF19" s="48"/>
      <c r="CPQ19" s="48"/>
      <c r="CQB19" s="48"/>
      <c r="CQM19" s="48"/>
      <c r="CQX19" s="48"/>
      <c r="CRI19" s="48"/>
      <c r="CRT19" s="48"/>
      <c r="CSE19" s="48"/>
      <c r="CSP19" s="48"/>
      <c r="CTA19" s="48"/>
      <c r="CTL19" s="48"/>
      <c r="CTW19" s="48"/>
      <c r="CUH19" s="48"/>
      <c r="CUS19" s="48"/>
      <c r="CVD19" s="48"/>
      <c r="CVO19" s="48"/>
      <c r="CVZ19" s="48"/>
      <c r="CWK19" s="48"/>
      <c r="CWV19" s="48"/>
      <c r="CXG19" s="48"/>
      <c r="CXR19" s="48"/>
      <c r="CYC19" s="48"/>
      <c r="CYN19" s="48"/>
      <c r="CYY19" s="48"/>
      <c r="CZJ19" s="48"/>
      <c r="CZU19" s="48"/>
      <c r="DAF19" s="48"/>
      <c r="DAQ19" s="48"/>
      <c r="DBB19" s="48"/>
      <c r="DBM19" s="48"/>
      <c r="DBX19" s="48"/>
      <c r="DCI19" s="48"/>
      <c r="DCT19" s="48"/>
      <c r="DDE19" s="48"/>
      <c r="DDP19" s="48"/>
      <c r="DEA19" s="48"/>
      <c r="DEL19" s="48"/>
      <c r="DEW19" s="48"/>
      <c r="DFH19" s="48"/>
      <c r="DFS19" s="48"/>
      <c r="DGD19" s="48"/>
      <c r="DGO19" s="48"/>
      <c r="DGZ19" s="48"/>
      <c r="DHK19" s="48"/>
      <c r="DHV19" s="48"/>
      <c r="DIG19" s="48"/>
      <c r="DIR19" s="48"/>
      <c r="DJC19" s="48"/>
      <c r="DJN19" s="48"/>
      <c r="DJY19" s="48"/>
      <c r="DKJ19" s="48"/>
      <c r="DKU19" s="48"/>
      <c r="DLF19" s="48"/>
      <c r="DLQ19" s="48"/>
      <c r="DMB19" s="48"/>
      <c r="DMM19" s="48"/>
      <c r="DMX19" s="48"/>
      <c r="DNI19" s="48"/>
      <c r="DNT19" s="48"/>
      <c r="DOE19" s="48"/>
      <c r="DOP19" s="48"/>
      <c r="DPA19" s="48"/>
      <c r="DPL19" s="48"/>
      <c r="DPW19" s="48"/>
      <c r="DQH19" s="48"/>
      <c r="DQS19" s="48"/>
      <c r="DRD19" s="48"/>
      <c r="DRO19" s="48"/>
      <c r="DRZ19" s="48"/>
      <c r="DSK19" s="48"/>
      <c r="DSV19" s="48"/>
      <c r="DTG19" s="48"/>
      <c r="DTR19" s="48"/>
      <c r="DUC19" s="48"/>
      <c r="DUN19" s="48"/>
      <c r="DUY19" s="48"/>
      <c r="DVJ19" s="48"/>
      <c r="DVU19" s="48"/>
      <c r="DWF19" s="48"/>
      <c r="DWQ19" s="48"/>
      <c r="DXB19" s="48"/>
      <c r="DXM19" s="48"/>
      <c r="DXX19" s="48"/>
      <c r="DYI19" s="48"/>
      <c r="DYT19" s="48"/>
      <c r="DZE19" s="48"/>
      <c r="DZP19" s="48"/>
      <c r="EAA19" s="48"/>
      <c r="EAL19" s="48"/>
      <c r="EAW19" s="48"/>
      <c r="EBH19" s="48"/>
      <c r="EBS19" s="48"/>
      <c r="ECD19" s="48"/>
      <c r="ECO19" s="48"/>
      <c r="ECZ19" s="48"/>
      <c r="EDK19" s="48"/>
      <c r="EDV19" s="48"/>
      <c r="EEG19" s="48"/>
      <c r="EER19" s="48"/>
      <c r="EFC19" s="48"/>
      <c r="EFN19" s="48"/>
      <c r="EFY19" s="48"/>
      <c r="EGJ19" s="48"/>
      <c r="EGU19" s="48"/>
      <c r="EHF19" s="48"/>
      <c r="EHQ19" s="48"/>
      <c r="EIB19" s="48"/>
      <c r="EIM19" s="48"/>
      <c r="EIX19" s="48"/>
      <c r="EJI19" s="48"/>
      <c r="EJT19" s="48"/>
      <c r="EKE19" s="48"/>
      <c r="EKP19" s="48"/>
      <c r="ELA19" s="48"/>
      <c r="ELL19" s="48"/>
      <c r="ELW19" s="48"/>
      <c r="EMH19" s="48"/>
      <c r="EMS19" s="48"/>
      <c r="END19" s="48"/>
      <c r="ENO19" s="48"/>
      <c r="ENZ19" s="48"/>
      <c r="EOK19" s="48"/>
      <c r="EOV19" s="48"/>
      <c r="EPG19" s="48"/>
      <c r="EPR19" s="48"/>
      <c r="EQC19" s="48"/>
      <c r="EQN19" s="48"/>
      <c r="EQY19" s="48"/>
      <c r="ERJ19" s="48"/>
      <c r="ERU19" s="48"/>
      <c r="ESF19" s="48"/>
      <c r="ESQ19" s="48"/>
      <c r="ETB19" s="48"/>
      <c r="ETM19" s="48"/>
      <c r="ETX19" s="48"/>
      <c r="EUI19" s="48"/>
      <c r="EUT19" s="48"/>
      <c r="EVE19" s="48"/>
      <c r="EVP19" s="48"/>
      <c r="EWA19" s="48"/>
      <c r="EWL19" s="48"/>
      <c r="EWW19" s="48"/>
      <c r="EXH19" s="48"/>
      <c r="EXS19" s="48"/>
      <c r="EYD19" s="48"/>
      <c r="EYO19" s="48"/>
      <c r="EYZ19" s="48"/>
      <c r="EZK19" s="48"/>
      <c r="EZV19" s="48"/>
      <c r="FAG19" s="48"/>
      <c r="FAR19" s="48"/>
      <c r="FBC19" s="48"/>
      <c r="FBN19" s="48"/>
      <c r="FBY19" s="48"/>
      <c r="FCJ19" s="48"/>
      <c r="FCU19" s="48"/>
      <c r="FDF19" s="48"/>
      <c r="FDQ19" s="48"/>
      <c r="FEB19" s="48"/>
      <c r="FEM19" s="48"/>
      <c r="FEX19" s="48"/>
      <c r="FFI19" s="48"/>
      <c r="FFT19" s="48"/>
      <c r="FGE19" s="48"/>
      <c r="FGP19" s="48"/>
      <c r="FHA19" s="48"/>
      <c r="FHL19" s="48"/>
      <c r="FHW19" s="48"/>
      <c r="FIH19" s="48"/>
      <c r="FIS19" s="48"/>
      <c r="FJD19" s="48"/>
      <c r="FJO19" s="48"/>
      <c r="FJZ19" s="48"/>
      <c r="FKK19" s="48"/>
      <c r="FKV19" s="48"/>
      <c r="FLG19" s="48"/>
      <c r="FLR19" s="48"/>
      <c r="FMC19" s="48"/>
      <c r="FMN19" s="48"/>
      <c r="FMY19" s="48"/>
      <c r="FNJ19" s="48"/>
      <c r="FNU19" s="48"/>
      <c r="FOF19" s="48"/>
      <c r="FOQ19" s="48"/>
      <c r="FPB19" s="48"/>
      <c r="FPM19" s="48"/>
      <c r="FPX19" s="48"/>
      <c r="FQI19" s="48"/>
      <c r="FQT19" s="48"/>
      <c r="FRE19" s="48"/>
      <c r="FRP19" s="48"/>
      <c r="FSA19" s="48"/>
      <c r="FSL19" s="48"/>
      <c r="FSW19" s="48"/>
      <c r="FTH19" s="48"/>
      <c r="FTS19" s="48"/>
      <c r="FUD19" s="48"/>
      <c r="FUO19" s="48"/>
      <c r="FUZ19" s="48"/>
      <c r="FVK19" s="48"/>
      <c r="FVV19" s="48"/>
      <c r="FWG19" s="48"/>
      <c r="FWR19" s="48"/>
      <c r="FXC19" s="48"/>
      <c r="FXN19" s="48"/>
      <c r="FXY19" s="48"/>
      <c r="FYJ19" s="48"/>
      <c r="FYU19" s="48"/>
      <c r="FZF19" s="48"/>
      <c r="FZQ19" s="48"/>
      <c r="GAB19" s="48"/>
      <c r="GAM19" s="48"/>
      <c r="GAX19" s="48"/>
      <c r="GBI19" s="48"/>
      <c r="GBT19" s="48"/>
      <c r="GCE19" s="48"/>
      <c r="GCP19" s="48"/>
      <c r="GDA19" s="48"/>
      <c r="GDL19" s="48"/>
      <c r="GDW19" s="48"/>
      <c r="GEH19" s="48"/>
      <c r="GES19" s="48"/>
      <c r="GFD19" s="48"/>
      <c r="GFO19" s="48"/>
      <c r="GFZ19" s="48"/>
      <c r="GGK19" s="48"/>
      <c r="GGV19" s="48"/>
      <c r="GHG19" s="48"/>
      <c r="GHR19" s="48"/>
      <c r="GIC19" s="48"/>
      <c r="GIN19" s="48"/>
      <c r="GIY19" s="48"/>
      <c r="GJJ19" s="48"/>
      <c r="GJU19" s="48"/>
      <c r="GKF19" s="48"/>
      <c r="GKQ19" s="48"/>
      <c r="GLB19" s="48"/>
      <c r="GLM19" s="48"/>
      <c r="GLX19" s="48"/>
      <c r="GMI19" s="48"/>
      <c r="GMT19" s="48"/>
      <c r="GNE19" s="48"/>
      <c r="GNP19" s="48"/>
      <c r="GOA19" s="48"/>
      <c r="GOL19" s="48"/>
      <c r="GOW19" s="48"/>
      <c r="GPH19" s="48"/>
      <c r="GPS19" s="48"/>
      <c r="GQD19" s="48"/>
      <c r="GQO19" s="48"/>
      <c r="GQZ19" s="48"/>
      <c r="GRK19" s="48"/>
      <c r="GRV19" s="48"/>
      <c r="GSG19" s="48"/>
      <c r="GSR19" s="48"/>
      <c r="GTC19" s="48"/>
      <c r="GTN19" s="48"/>
      <c r="GTY19" s="48"/>
      <c r="GUJ19" s="48"/>
      <c r="GUU19" s="48"/>
      <c r="GVF19" s="48"/>
      <c r="GVQ19" s="48"/>
      <c r="GWB19" s="48"/>
      <c r="GWM19" s="48"/>
      <c r="GWX19" s="48"/>
      <c r="GXI19" s="48"/>
      <c r="GXT19" s="48"/>
      <c r="GYE19" s="48"/>
      <c r="GYP19" s="48"/>
      <c r="GZA19" s="48"/>
      <c r="GZL19" s="48"/>
      <c r="GZW19" s="48"/>
      <c r="HAH19" s="48"/>
      <c r="HAS19" s="48"/>
      <c r="HBD19" s="48"/>
      <c r="HBO19" s="48"/>
      <c r="HBZ19" s="48"/>
      <c r="HCK19" s="48"/>
      <c r="HCV19" s="48"/>
      <c r="HDG19" s="48"/>
      <c r="HDR19" s="48"/>
      <c r="HEC19" s="48"/>
      <c r="HEN19" s="48"/>
      <c r="HEY19" s="48"/>
      <c r="HFJ19" s="48"/>
      <c r="HFU19" s="48"/>
      <c r="HGF19" s="48"/>
      <c r="HGQ19" s="48"/>
      <c r="HHB19" s="48"/>
      <c r="HHM19" s="48"/>
      <c r="HHX19" s="48"/>
      <c r="HII19" s="48"/>
      <c r="HIT19" s="48"/>
      <c r="HJE19" s="48"/>
      <c r="HJP19" s="48"/>
      <c r="HKA19" s="48"/>
      <c r="HKL19" s="48"/>
      <c r="HKW19" s="48"/>
      <c r="HLH19" s="48"/>
      <c r="HLS19" s="48"/>
      <c r="HMD19" s="48"/>
      <c r="HMO19" s="48"/>
      <c r="HMZ19" s="48"/>
      <c r="HNK19" s="48"/>
      <c r="HNV19" s="48"/>
      <c r="HOG19" s="48"/>
      <c r="HOR19" s="48"/>
      <c r="HPC19" s="48"/>
      <c r="HPN19" s="48"/>
      <c r="HPY19" s="48"/>
      <c r="HQJ19" s="48"/>
      <c r="HQU19" s="48"/>
      <c r="HRF19" s="48"/>
      <c r="HRQ19" s="48"/>
      <c r="HSB19" s="48"/>
      <c r="HSM19" s="48"/>
      <c r="HSX19" s="48"/>
      <c r="HTI19" s="48"/>
      <c r="HTT19" s="48"/>
      <c r="HUE19" s="48"/>
      <c r="HUP19" s="48"/>
      <c r="HVA19" s="48"/>
      <c r="HVL19" s="48"/>
      <c r="HVW19" s="48"/>
      <c r="HWH19" s="48"/>
      <c r="HWS19" s="48"/>
      <c r="HXD19" s="48"/>
      <c r="HXO19" s="48"/>
      <c r="HXZ19" s="48"/>
      <c r="HYK19" s="48"/>
      <c r="HYV19" s="48"/>
      <c r="HZG19" s="48"/>
      <c r="HZR19" s="48"/>
      <c r="IAC19" s="48"/>
      <c r="IAN19" s="48"/>
      <c r="IAY19" s="48"/>
      <c r="IBJ19" s="48"/>
      <c r="IBU19" s="48"/>
      <c r="ICF19" s="48"/>
      <c r="ICQ19" s="48"/>
      <c r="IDB19" s="48"/>
      <c r="IDM19" s="48"/>
      <c r="IDX19" s="48"/>
      <c r="IEI19" s="48"/>
      <c r="IET19" s="48"/>
      <c r="IFE19" s="48"/>
      <c r="IFP19" s="48"/>
      <c r="IGA19" s="48"/>
      <c r="IGL19" s="48"/>
      <c r="IGW19" s="48"/>
      <c r="IHH19" s="48"/>
      <c r="IHS19" s="48"/>
      <c r="IID19" s="48"/>
      <c r="IIO19" s="48"/>
      <c r="IIZ19" s="48"/>
      <c r="IJK19" s="48"/>
      <c r="IJV19" s="48"/>
      <c r="IKG19" s="48"/>
      <c r="IKR19" s="48"/>
      <c r="ILC19" s="48"/>
      <c r="ILN19" s="48"/>
      <c r="ILY19" s="48"/>
      <c r="IMJ19" s="48"/>
      <c r="IMU19" s="48"/>
      <c r="INF19" s="48"/>
      <c r="INQ19" s="48"/>
      <c r="IOB19" s="48"/>
      <c r="IOM19" s="48"/>
      <c r="IOX19" s="48"/>
      <c r="IPI19" s="48"/>
      <c r="IPT19" s="48"/>
      <c r="IQE19" s="48"/>
      <c r="IQP19" s="48"/>
      <c r="IRA19" s="48"/>
      <c r="IRL19" s="48"/>
      <c r="IRW19" s="48"/>
      <c r="ISH19" s="48"/>
      <c r="ISS19" s="48"/>
      <c r="ITD19" s="48"/>
      <c r="ITO19" s="48"/>
      <c r="ITZ19" s="48"/>
      <c r="IUK19" s="48"/>
      <c r="IUV19" s="48"/>
      <c r="IVG19" s="48"/>
      <c r="IVR19" s="48"/>
      <c r="IWC19" s="48"/>
      <c r="IWN19" s="48"/>
      <c r="IWY19" s="48"/>
      <c r="IXJ19" s="48"/>
      <c r="IXU19" s="48"/>
      <c r="IYF19" s="48"/>
      <c r="IYQ19" s="48"/>
      <c r="IZB19" s="48"/>
      <c r="IZM19" s="48"/>
      <c r="IZX19" s="48"/>
      <c r="JAI19" s="48"/>
      <c r="JAT19" s="48"/>
      <c r="JBE19" s="48"/>
      <c r="JBP19" s="48"/>
      <c r="JCA19" s="48"/>
      <c r="JCL19" s="48"/>
      <c r="JCW19" s="48"/>
      <c r="JDH19" s="48"/>
      <c r="JDS19" s="48"/>
      <c r="JED19" s="48"/>
      <c r="JEO19" s="48"/>
      <c r="JEZ19" s="48"/>
      <c r="JFK19" s="48"/>
      <c r="JFV19" s="48"/>
      <c r="JGG19" s="48"/>
      <c r="JGR19" s="48"/>
      <c r="JHC19" s="48"/>
      <c r="JHN19" s="48"/>
      <c r="JHY19" s="48"/>
      <c r="JIJ19" s="48"/>
      <c r="JIU19" s="48"/>
      <c r="JJF19" s="48"/>
      <c r="JJQ19" s="48"/>
      <c r="JKB19" s="48"/>
      <c r="JKM19" s="48"/>
      <c r="JKX19" s="48"/>
      <c r="JLI19" s="48"/>
      <c r="JLT19" s="48"/>
      <c r="JME19" s="48"/>
      <c r="JMP19" s="48"/>
      <c r="JNA19" s="48"/>
      <c r="JNL19" s="48"/>
      <c r="JNW19" s="48"/>
      <c r="JOH19" s="48"/>
      <c r="JOS19" s="48"/>
      <c r="JPD19" s="48"/>
      <c r="JPO19" s="48"/>
      <c r="JPZ19" s="48"/>
      <c r="JQK19" s="48"/>
      <c r="JQV19" s="48"/>
      <c r="JRG19" s="48"/>
      <c r="JRR19" s="48"/>
      <c r="JSC19" s="48"/>
      <c r="JSN19" s="48"/>
      <c r="JSY19" s="48"/>
      <c r="JTJ19" s="48"/>
      <c r="JTU19" s="48"/>
      <c r="JUF19" s="48"/>
      <c r="JUQ19" s="48"/>
      <c r="JVB19" s="48"/>
      <c r="JVM19" s="48"/>
      <c r="JVX19" s="48"/>
      <c r="JWI19" s="48"/>
      <c r="JWT19" s="48"/>
      <c r="JXE19" s="48"/>
      <c r="JXP19" s="48"/>
      <c r="JYA19" s="48"/>
      <c r="JYL19" s="48"/>
      <c r="JYW19" s="48"/>
      <c r="JZH19" s="48"/>
      <c r="JZS19" s="48"/>
      <c r="KAD19" s="48"/>
      <c r="KAO19" s="48"/>
      <c r="KAZ19" s="48"/>
      <c r="KBK19" s="48"/>
      <c r="KBV19" s="48"/>
      <c r="KCG19" s="48"/>
      <c r="KCR19" s="48"/>
      <c r="KDC19" s="48"/>
      <c r="KDN19" s="48"/>
      <c r="KDY19" s="48"/>
      <c r="KEJ19" s="48"/>
      <c r="KEU19" s="48"/>
      <c r="KFF19" s="48"/>
      <c r="KFQ19" s="48"/>
      <c r="KGB19" s="48"/>
      <c r="KGM19" s="48"/>
      <c r="KGX19" s="48"/>
      <c r="KHI19" s="48"/>
      <c r="KHT19" s="48"/>
      <c r="KIE19" s="48"/>
      <c r="KIP19" s="48"/>
      <c r="KJA19" s="48"/>
      <c r="KJL19" s="48"/>
      <c r="KJW19" s="48"/>
      <c r="KKH19" s="48"/>
      <c r="KKS19" s="48"/>
      <c r="KLD19" s="48"/>
      <c r="KLO19" s="48"/>
      <c r="KLZ19" s="48"/>
      <c r="KMK19" s="48"/>
      <c r="KMV19" s="48"/>
      <c r="KNG19" s="48"/>
      <c r="KNR19" s="48"/>
      <c r="KOC19" s="48"/>
      <c r="KON19" s="48"/>
      <c r="KOY19" s="48"/>
      <c r="KPJ19" s="48"/>
      <c r="KPU19" s="48"/>
      <c r="KQF19" s="48"/>
      <c r="KQQ19" s="48"/>
      <c r="KRB19" s="48"/>
      <c r="KRM19" s="48"/>
      <c r="KRX19" s="48"/>
      <c r="KSI19" s="48"/>
      <c r="KST19" s="48"/>
      <c r="KTE19" s="48"/>
      <c r="KTP19" s="48"/>
      <c r="KUA19" s="48"/>
      <c r="KUL19" s="48"/>
      <c r="KUW19" s="48"/>
      <c r="KVH19" s="48"/>
      <c r="KVS19" s="48"/>
      <c r="KWD19" s="48"/>
      <c r="KWO19" s="48"/>
      <c r="KWZ19" s="48"/>
      <c r="KXK19" s="48"/>
      <c r="KXV19" s="48"/>
      <c r="KYG19" s="48"/>
      <c r="KYR19" s="48"/>
      <c r="KZC19" s="48"/>
      <c r="KZN19" s="48"/>
      <c r="KZY19" s="48"/>
      <c r="LAJ19" s="48"/>
      <c r="LAU19" s="48"/>
      <c r="LBF19" s="48"/>
      <c r="LBQ19" s="48"/>
      <c r="LCB19" s="48"/>
      <c r="LCM19" s="48"/>
      <c r="LCX19" s="48"/>
      <c r="LDI19" s="48"/>
      <c r="LDT19" s="48"/>
      <c r="LEE19" s="48"/>
      <c r="LEP19" s="48"/>
      <c r="LFA19" s="48"/>
      <c r="LFL19" s="48"/>
      <c r="LFW19" s="48"/>
      <c r="LGH19" s="48"/>
      <c r="LGS19" s="48"/>
      <c r="LHD19" s="48"/>
      <c r="LHO19" s="48"/>
      <c r="LHZ19" s="48"/>
      <c r="LIK19" s="48"/>
      <c r="LIV19" s="48"/>
      <c r="LJG19" s="48"/>
      <c r="LJR19" s="48"/>
      <c r="LKC19" s="48"/>
      <c r="LKN19" s="48"/>
      <c r="LKY19" s="48"/>
      <c r="LLJ19" s="48"/>
      <c r="LLU19" s="48"/>
      <c r="LMF19" s="48"/>
      <c r="LMQ19" s="48"/>
      <c r="LNB19" s="48"/>
      <c r="LNM19" s="48"/>
      <c r="LNX19" s="48"/>
      <c r="LOI19" s="48"/>
      <c r="LOT19" s="48"/>
      <c r="LPE19" s="48"/>
      <c r="LPP19" s="48"/>
      <c r="LQA19" s="48"/>
      <c r="LQL19" s="48"/>
      <c r="LQW19" s="48"/>
      <c r="LRH19" s="48"/>
      <c r="LRS19" s="48"/>
      <c r="LSD19" s="48"/>
      <c r="LSO19" s="48"/>
      <c r="LSZ19" s="48"/>
      <c r="LTK19" s="48"/>
      <c r="LTV19" s="48"/>
      <c r="LUG19" s="48"/>
      <c r="LUR19" s="48"/>
      <c r="LVC19" s="48"/>
      <c r="LVN19" s="48"/>
      <c r="LVY19" s="48"/>
      <c r="LWJ19" s="48"/>
      <c r="LWU19" s="48"/>
      <c r="LXF19" s="48"/>
      <c r="LXQ19" s="48"/>
      <c r="LYB19" s="48"/>
      <c r="LYM19" s="48"/>
      <c r="LYX19" s="48"/>
      <c r="LZI19" s="48"/>
      <c r="LZT19" s="48"/>
      <c r="MAE19" s="48"/>
      <c r="MAP19" s="48"/>
      <c r="MBA19" s="48"/>
      <c r="MBL19" s="48"/>
      <c r="MBW19" s="48"/>
      <c r="MCH19" s="48"/>
      <c r="MCS19" s="48"/>
      <c r="MDD19" s="48"/>
      <c r="MDO19" s="48"/>
      <c r="MDZ19" s="48"/>
      <c r="MEK19" s="48"/>
      <c r="MEV19" s="48"/>
      <c r="MFG19" s="48"/>
      <c r="MFR19" s="48"/>
      <c r="MGC19" s="48"/>
      <c r="MGN19" s="48"/>
      <c r="MGY19" s="48"/>
      <c r="MHJ19" s="48"/>
      <c r="MHU19" s="48"/>
      <c r="MIF19" s="48"/>
      <c r="MIQ19" s="48"/>
      <c r="MJB19" s="48"/>
      <c r="MJM19" s="48"/>
      <c r="MJX19" s="48"/>
      <c r="MKI19" s="48"/>
      <c r="MKT19" s="48"/>
      <c r="MLE19" s="48"/>
      <c r="MLP19" s="48"/>
      <c r="MMA19" s="48"/>
      <c r="MML19" s="48"/>
      <c r="MMW19" s="48"/>
      <c r="MNH19" s="48"/>
      <c r="MNS19" s="48"/>
      <c r="MOD19" s="48"/>
      <c r="MOO19" s="48"/>
      <c r="MOZ19" s="48"/>
      <c r="MPK19" s="48"/>
      <c r="MPV19" s="48"/>
      <c r="MQG19" s="48"/>
      <c r="MQR19" s="48"/>
      <c r="MRC19" s="48"/>
      <c r="MRN19" s="48"/>
      <c r="MRY19" s="48"/>
      <c r="MSJ19" s="48"/>
      <c r="MSU19" s="48"/>
      <c r="MTF19" s="48"/>
      <c r="MTQ19" s="48"/>
      <c r="MUB19" s="48"/>
      <c r="MUM19" s="48"/>
      <c r="MUX19" s="48"/>
      <c r="MVI19" s="48"/>
      <c r="MVT19" s="48"/>
      <c r="MWE19" s="48"/>
      <c r="MWP19" s="48"/>
      <c r="MXA19" s="48"/>
      <c r="MXL19" s="48"/>
      <c r="MXW19" s="48"/>
      <c r="MYH19" s="48"/>
      <c r="MYS19" s="48"/>
      <c r="MZD19" s="48"/>
      <c r="MZO19" s="48"/>
      <c r="MZZ19" s="48"/>
      <c r="NAK19" s="48"/>
      <c r="NAV19" s="48"/>
      <c r="NBG19" s="48"/>
      <c r="NBR19" s="48"/>
      <c r="NCC19" s="48"/>
      <c r="NCN19" s="48"/>
      <c r="NCY19" s="48"/>
      <c r="NDJ19" s="48"/>
      <c r="NDU19" s="48"/>
      <c r="NEF19" s="48"/>
      <c r="NEQ19" s="48"/>
      <c r="NFB19" s="48"/>
      <c r="NFM19" s="48"/>
      <c r="NFX19" s="48"/>
      <c r="NGI19" s="48"/>
      <c r="NGT19" s="48"/>
      <c r="NHE19" s="48"/>
      <c r="NHP19" s="48"/>
      <c r="NIA19" s="48"/>
      <c r="NIL19" s="48"/>
      <c r="NIW19" s="48"/>
      <c r="NJH19" s="48"/>
      <c r="NJS19" s="48"/>
      <c r="NKD19" s="48"/>
      <c r="NKO19" s="48"/>
      <c r="NKZ19" s="48"/>
      <c r="NLK19" s="48"/>
      <c r="NLV19" s="48"/>
      <c r="NMG19" s="48"/>
      <c r="NMR19" s="48"/>
      <c r="NNC19" s="48"/>
      <c r="NNN19" s="48"/>
      <c r="NNY19" s="48"/>
      <c r="NOJ19" s="48"/>
      <c r="NOU19" s="48"/>
      <c r="NPF19" s="48"/>
      <c r="NPQ19" s="48"/>
      <c r="NQB19" s="48"/>
      <c r="NQM19" s="48"/>
      <c r="NQX19" s="48"/>
      <c r="NRI19" s="48"/>
      <c r="NRT19" s="48"/>
      <c r="NSE19" s="48"/>
      <c r="NSP19" s="48"/>
      <c r="NTA19" s="48"/>
      <c r="NTL19" s="48"/>
      <c r="NTW19" s="48"/>
      <c r="NUH19" s="48"/>
      <c r="NUS19" s="48"/>
      <c r="NVD19" s="48"/>
      <c r="NVO19" s="48"/>
      <c r="NVZ19" s="48"/>
      <c r="NWK19" s="48"/>
      <c r="NWV19" s="48"/>
      <c r="NXG19" s="48"/>
      <c r="NXR19" s="48"/>
      <c r="NYC19" s="48"/>
      <c r="NYN19" s="48"/>
      <c r="NYY19" s="48"/>
      <c r="NZJ19" s="48"/>
      <c r="NZU19" s="48"/>
      <c r="OAF19" s="48"/>
      <c r="OAQ19" s="48"/>
      <c r="OBB19" s="48"/>
      <c r="OBM19" s="48"/>
      <c r="OBX19" s="48"/>
      <c r="OCI19" s="48"/>
      <c r="OCT19" s="48"/>
      <c r="ODE19" s="48"/>
      <c r="ODP19" s="48"/>
      <c r="OEA19" s="48"/>
      <c r="OEL19" s="48"/>
      <c r="OEW19" s="48"/>
      <c r="OFH19" s="48"/>
      <c r="OFS19" s="48"/>
      <c r="OGD19" s="48"/>
      <c r="OGO19" s="48"/>
      <c r="OGZ19" s="48"/>
      <c r="OHK19" s="48"/>
      <c r="OHV19" s="48"/>
      <c r="OIG19" s="48"/>
      <c r="OIR19" s="48"/>
      <c r="OJC19" s="48"/>
      <c r="OJN19" s="48"/>
      <c r="OJY19" s="48"/>
      <c r="OKJ19" s="48"/>
      <c r="OKU19" s="48"/>
      <c r="OLF19" s="48"/>
      <c r="OLQ19" s="48"/>
      <c r="OMB19" s="48"/>
      <c r="OMM19" s="48"/>
      <c r="OMX19" s="48"/>
      <c r="ONI19" s="48"/>
      <c r="ONT19" s="48"/>
      <c r="OOE19" s="48"/>
      <c r="OOP19" s="48"/>
      <c r="OPA19" s="48"/>
      <c r="OPL19" s="48"/>
      <c r="OPW19" s="48"/>
      <c r="OQH19" s="48"/>
      <c r="OQS19" s="48"/>
      <c r="ORD19" s="48"/>
      <c r="ORO19" s="48"/>
      <c r="ORZ19" s="48"/>
      <c r="OSK19" s="48"/>
      <c r="OSV19" s="48"/>
      <c r="OTG19" s="48"/>
      <c r="OTR19" s="48"/>
      <c r="OUC19" s="48"/>
      <c r="OUN19" s="48"/>
      <c r="OUY19" s="48"/>
      <c r="OVJ19" s="48"/>
      <c r="OVU19" s="48"/>
      <c r="OWF19" s="48"/>
      <c r="OWQ19" s="48"/>
      <c r="OXB19" s="48"/>
      <c r="OXM19" s="48"/>
      <c r="OXX19" s="48"/>
      <c r="OYI19" s="48"/>
      <c r="OYT19" s="48"/>
      <c r="OZE19" s="48"/>
      <c r="OZP19" s="48"/>
      <c r="PAA19" s="48"/>
      <c r="PAL19" s="48"/>
      <c r="PAW19" s="48"/>
      <c r="PBH19" s="48"/>
      <c r="PBS19" s="48"/>
      <c r="PCD19" s="48"/>
      <c r="PCO19" s="48"/>
      <c r="PCZ19" s="48"/>
      <c r="PDK19" s="48"/>
      <c r="PDV19" s="48"/>
      <c r="PEG19" s="48"/>
      <c r="PER19" s="48"/>
      <c r="PFC19" s="48"/>
      <c r="PFN19" s="48"/>
      <c r="PFY19" s="48"/>
      <c r="PGJ19" s="48"/>
      <c r="PGU19" s="48"/>
      <c r="PHF19" s="48"/>
      <c r="PHQ19" s="48"/>
      <c r="PIB19" s="48"/>
      <c r="PIM19" s="48"/>
      <c r="PIX19" s="48"/>
      <c r="PJI19" s="48"/>
      <c r="PJT19" s="48"/>
      <c r="PKE19" s="48"/>
      <c r="PKP19" s="48"/>
      <c r="PLA19" s="48"/>
      <c r="PLL19" s="48"/>
      <c r="PLW19" s="48"/>
      <c r="PMH19" s="48"/>
      <c r="PMS19" s="48"/>
      <c r="PND19" s="48"/>
      <c r="PNO19" s="48"/>
      <c r="PNZ19" s="48"/>
      <c r="POK19" s="48"/>
      <c r="POV19" s="48"/>
      <c r="PPG19" s="48"/>
      <c r="PPR19" s="48"/>
      <c r="PQC19" s="48"/>
      <c r="PQN19" s="48"/>
      <c r="PQY19" s="48"/>
      <c r="PRJ19" s="48"/>
      <c r="PRU19" s="48"/>
      <c r="PSF19" s="48"/>
      <c r="PSQ19" s="48"/>
      <c r="PTB19" s="48"/>
      <c r="PTM19" s="48"/>
      <c r="PTX19" s="48"/>
      <c r="PUI19" s="48"/>
      <c r="PUT19" s="48"/>
      <c r="PVE19" s="48"/>
      <c r="PVP19" s="48"/>
      <c r="PWA19" s="48"/>
      <c r="PWL19" s="48"/>
      <c r="PWW19" s="48"/>
      <c r="PXH19" s="48"/>
      <c r="PXS19" s="48"/>
      <c r="PYD19" s="48"/>
      <c r="PYO19" s="48"/>
      <c r="PYZ19" s="48"/>
      <c r="PZK19" s="48"/>
      <c r="PZV19" s="48"/>
      <c r="QAG19" s="48"/>
      <c r="QAR19" s="48"/>
      <c r="QBC19" s="48"/>
      <c r="QBN19" s="48"/>
      <c r="QBY19" s="48"/>
      <c r="QCJ19" s="48"/>
      <c r="QCU19" s="48"/>
      <c r="QDF19" s="48"/>
      <c r="QDQ19" s="48"/>
      <c r="QEB19" s="48"/>
      <c r="QEM19" s="48"/>
      <c r="QEX19" s="48"/>
      <c r="QFI19" s="48"/>
      <c r="QFT19" s="48"/>
      <c r="QGE19" s="48"/>
      <c r="QGP19" s="48"/>
      <c r="QHA19" s="48"/>
      <c r="QHL19" s="48"/>
      <c r="QHW19" s="48"/>
      <c r="QIH19" s="48"/>
      <c r="QIS19" s="48"/>
      <c r="QJD19" s="48"/>
      <c r="QJO19" s="48"/>
      <c r="QJZ19" s="48"/>
      <c r="QKK19" s="48"/>
      <c r="QKV19" s="48"/>
      <c r="QLG19" s="48"/>
      <c r="QLR19" s="48"/>
      <c r="QMC19" s="48"/>
      <c r="QMN19" s="48"/>
      <c r="QMY19" s="48"/>
      <c r="QNJ19" s="48"/>
      <c r="QNU19" s="48"/>
      <c r="QOF19" s="48"/>
      <c r="QOQ19" s="48"/>
      <c r="QPB19" s="48"/>
      <c r="QPM19" s="48"/>
      <c r="QPX19" s="48"/>
      <c r="QQI19" s="48"/>
      <c r="QQT19" s="48"/>
      <c r="QRE19" s="48"/>
      <c r="QRP19" s="48"/>
      <c r="QSA19" s="48"/>
      <c r="QSL19" s="48"/>
      <c r="QSW19" s="48"/>
      <c r="QTH19" s="48"/>
      <c r="QTS19" s="48"/>
      <c r="QUD19" s="48"/>
      <c r="QUO19" s="48"/>
      <c r="QUZ19" s="48"/>
      <c r="QVK19" s="48"/>
      <c r="QVV19" s="48"/>
      <c r="QWG19" s="48"/>
      <c r="QWR19" s="48"/>
      <c r="QXC19" s="48"/>
      <c r="QXN19" s="48"/>
      <c r="QXY19" s="48"/>
      <c r="QYJ19" s="48"/>
      <c r="QYU19" s="48"/>
      <c r="QZF19" s="48"/>
      <c r="QZQ19" s="48"/>
      <c r="RAB19" s="48"/>
      <c r="RAM19" s="48"/>
      <c r="RAX19" s="48"/>
      <c r="RBI19" s="48"/>
      <c r="RBT19" s="48"/>
      <c r="RCE19" s="48"/>
      <c r="RCP19" s="48"/>
      <c r="RDA19" s="48"/>
      <c r="RDL19" s="48"/>
      <c r="RDW19" s="48"/>
      <c r="REH19" s="48"/>
      <c r="RES19" s="48"/>
      <c r="RFD19" s="48"/>
      <c r="RFO19" s="48"/>
      <c r="RFZ19" s="48"/>
      <c r="RGK19" s="48"/>
      <c r="RGV19" s="48"/>
      <c r="RHG19" s="48"/>
      <c r="RHR19" s="48"/>
      <c r="RIC19" s="48"/>
      <c r="RIN19" s="48"/>
      <c r="RIY19" s="48"/>
      <c r="RJJ19" s="48"/>
      <c r="RJU19" s="48"/>
      <c r="RKF19" s="48"/>
      <c r="RKQ19" s="48"/>
      <c r="RLB19" s="48"/>
      <c r="RLM19" s="48"/>
      <c r="RLX19" s="48"/>
      <c r="RMI19" s="48"/>
      <c r="RMT19" s="48"/>
      <c r="RNE19" s="48"/>
      <c r="RNP19" s="48"/>
      <c r="ROA19" s="48"/>
      <c r="ROL19" s="48"/>
      <c r="ROW19" s="48"/>
      <c r="RPH19" s="48"/>
      <c r="RPS19" s="48"/>
      <c r="RQD19" s="48"/>
      <c r="RQO19" s="48"/>
      <c r="RQZ19" s="48"/>
      <c r="RRK19" s="48"/>
      <c r="RRV19" s="48"/>
      <c r="RSG19" s="48"/>
      <c r="RSR19" s="48"/>
      <c r="RTC19" s="48"/>
      <c r="RTN19" s="48"/>
      <c r="RTY19" s="48"/>
      <c r="RUJ19" s="48"/>
      <c r="RUU19" s="48"/>
      <c r="RVF19" s="48"/>
      <c r="RVQ19" s="48"/>
      <c r="RWB19" s="48"/>
      <c r="RWM19" s="48"/>
      <c r="RWX19" s="48"/>
      <c r="RXI19" s="48"/>
      <c r="RXT19" s="48"/>
      <c r="RYE19" s="48"/>
      <c r="RYP19" s="48"/>
      <c r="RZA19" s="48"/>
      <c r="RZL19" s="48"/>
      <c r="RZW19" s="48"/>
      <c r="SAH19" s="48"/>
      <c r="SAS19" s="48"/>
      <c r="SBD19" s="48"/>
      <c r="SBO19" s="48"/>
      <c r="SBZ19" s="48"/>
      <c r="SCK19" s="48"/>
      <c r="SCV19" s="48"/>
      <c r="SDG19" s="48"/>
      <c r="SDR19" s="48"/>
      <c r="SEC19" s="48"/>
      <c r="SEN19" s="48"/>
      <c r="SEY19" s="48"/>
      <c r="SFJ19" s="48"/>
      <c r="SFU19" s="48"/>
      <c r="SGF19" s="48"/>
      <c r="SGQ19" s="48"/>
      <c r="SHB19" s="48"/>
      <c r="SHM19" s="48"/>
      <c r="SHX19" s="48"/>
      <c r="SII19" s="48"/>
      <c r="SIT19" s="48"/>
      <c r="SJE19" s="48"/>
      <c r="SJP19" s="48"/>
      <c r="SKA19" s="48"/>
      <c r="SKL19" s="48"/>
      <c r="SKW19" s="48"/>
      <c r="SLH19" s="48"/>
      <c r="SLS19" s="48"/>
      <c r="SMD19" s="48"/>
      <c r="SMO19" s="48"/>
      <c r="SMZ19" s="48"/>
      <c r="SNK19" s="48"/>
      <c r="SNV19" s="48"/>
      <c r="SOG19" s="48"/>
      <c r="SOR19" s="48"/>
      <c r="SPC19" s="48"/>
      <c r="SPN19" s="48"/>
      <c r="SPY19" s="48"/>
      <c r="SQJ19" s="48"/>
      <c r="SQU19" s="48"/>
      <c r="SRF19" s="48"/>
      <c r="SRQ19" s="48"/>
      <c r="SSB19" s="48"/>
      <c r="SSM19" s="48"/>
      <c r="SSX19" s="48"/>
      <c r="STI19" s="48"/>
      <c r="STT19" s="48"/>
      <c r="SUE19" s="48"/>
      <c r="SUP19" s="48"/>
      <c r="SVA19" s="48"/>
      <c r="SVL19" s="48"/>
      <c r="SVW19" s="48"/>
      <c r="SWH19" s="48"/>
      <c r="SWS19" s="48"/>
      <c r="SXD19" s="48"/>
      <c r="SXO19" s="48"/>
      <c r="SXZ19" s="48"/>
      <c r="SYK19" s="48"/>
      <c r="SYV19" s="48"/>
      <c r="SZG19" s="48"/>
      <c r="SZR19" s="48"/>
      <c r="TAC19" s="48"/>
      <c r="TAN19" s="48"/>
      <c r="TAY19" s="48"/>
      <c r="TBJ19" s="48"/>
      <c r="TBU19" s="48"/>
      <c r="TCF19" s="48"/>
      <c r="TCQ19" s="48"/>
      <c r="TDB19" s="48"/>
      <c r="TDM19" s="48"/>
      <c r="TDX19" s="48"/>
      <c r="TEI19" s="48"/>
      <c r="TET19" s="48"/>
      <c r="TFE19" s="48"/>
      <c r="TFP19" s="48"/>
      <c r="TGA19" s="48"/>
      <c r="TGL19" s="48"/>
      <c r="TGW19" s="48"/>
      <c r="THH19" s="48"/>
      <c r="THS19" s="48"/>
      <c r="TID19" s="48"/>
      <c r="TIO19" s="48"/>
      <c r="TIZ19" s="48"/>
      <c r="TJK19" s="48"/>
      <c r="TJV19" s="48"/>
      <c r="TKG19" s="48"/>
      <c r="TKR19" s="48"/>
      <c r="TLC19" s="48"/>
      <c r="TLN19" s="48"/>
      <c r="TLY19" s="48"/>
      <c r="TMJ19" s="48"/>
      <c r="TMU19" s="48"/>
      <c r="TNF19" s="48"/>
      <c r="TNQ19" s="48"/>
      <c r="TOB19" s="48"/>
      <c r="TOM19" s="48"/>
      <c r="TOX19" s="48"/>
      <c r="TPI19" s="48"/>
      <c r="TPT19" s="48"/>
      <c r="TQE19" s="48"/>
      <c r="TQP19" s="48"/>
      <c r="TRA19" s="48"/>
      <c r="TRL19" s="48"/>
      <c r="TRW19" s="48"/>
      <c r="TSH19" s="48"/>
      <c r="TSS19" s="48"/>
      <c r="TTD19" s="48"/>
      <c r="TTO19" s="48"/>
      <c r="TTZ19" s="48"/>
      <c r="TUK19" s="48"/>
      <c r="TUV19" s="48"/>
      <c r="TVG19" s="48"/>
      <c r="TVR19" s="48"/>
      <c r="TWC19" s="48"/>
      <c r="TWN19" s="48"/>
      <c r="TWY19" s="48"/>
      <c r="TXJ19" s="48"/>
      <c r="TXU19" s="48"/>
      <c r="TYF19" s="48"/>
      <c r="TYQ19" s="48"/>
      <c r="TZB19" s="48"/>
      <c r="TZM19" s="48"/>
      <c r="TZX19" s="48"/>
      <c r="UAI19" s="48"/>
      <c r="UAT19" s="48"/>
      <c r="UBE19" s="48"/>
      <c r="UBP19" s="48"/>
      <c r="UCA19" s="48"/>
      <c r="UCL19" s="48"/>
      <c r="UCW19" s="48"/>
      <c r="UDH19" s="48"/>
      <c r="UDS19" s="48"/>
      <c r="UED19" s="48"/>
      <c r="UEO19" s="48"/>
      <c r="UEZ19" s="48"/>
      <c r="UFK19" s="48"/>
      <c r="UFV19" s="48"/>
      <c r="UGG19" s="48"/>
      <c r="UGR19" s="48"/>
      <c r="UHC19" s="48"/>
      <c r="UHN19" s="48"/>
      <c r="UHY19" s="48"/>
      <c r="UIJ19" s="48"/>
      <c r="UIU19" s="48"/>
      <c r="UJF19" s="48"/>
      <c r="UJQ19" s="48"/>
      <c r="UKB19" s="48"/>
      <c r="UKM19" s="48"/>
      <c r="UKX19" s="48"/>
      <c r="ULI19" s="48"/>
      <c r="ULT19" s="48"/>
      <c r="UME19" s="48"/>
      <c r="UMP19" s="48"/>
      <c r="UNA19" s="48"/>
      <c r="UNL19" s="48"/>
      <c r="UNW19" s="48"/>
      <c r="UOH19" s="48"/>
      <c r="UOS19" s="48"/>
      <c r="UPD19" s="48"/>
      <c r="UPO19" s="48"/>
      <c r="UPZ19" s="48"/>
      <c r="UQK19" s="48"/>
      <c r="UQV19" s="48"/>
      <c r="URG19" s="48"/>
      <c r="URR19" s="48"/>
      <c r="USC19" s="48"/>
      <c r="USN19" s="48"/>
      <c r="USY19" s="48"/>
      <c r="UTJ19" s="48"/>
      <c r="UTU19" s="48"/>
      <c r="UUF19" s="48"/>
      <c r="UUQ19" s="48"/>
      <c r="UVB19" s="48"/>
      <c r="UVM19" s="48"/>
      <c r="UVX19" s="48"/>
      <c r="UWI19" s="48"/>
      <c r="UWT19" s="48"/>
      <c r="UXE19" s="48"/>
      <c r="UXP19" s="48"/>
      <c r="UYA19" s="48"/>
      <c r="UYL19" s="48"/>
      <c r="UYW19" s="48"/>
      <c r="UZH19" s="48"/>
      <c r="UZS19" s="48"/>
      <c r="VAD19" s="48"/>
      <c r="VAO19" s="48"/>
      <c r="VAZ19" s="48"/>
      <c r="VBK19" s="48"/>
      <c r="VBV19" s="48"/>
      <c r="VCG19" s="48"/>
      <c r="VCR19" s="48"/>
      <c r="VDC19" s="48"/>
      <c r="VDN19" s="48"/>
      <c r="VDY19" s="48"/>
      <c r="VEJ19" s="48"/>
      <c r="VEU19" s="48"/>
      <c r="VFF19" s="48"/>
      <c r="VFQ19" s="48"/>
      <c r="VGB19" s="48"/>
      <c r="VGM19" s="48"/>
      <c r="VGX19" s="48"/>
      <c r="VHI19" s="48"/>
      <c r="VHT19" s="48"/>
      <c r="VIE19" s="48"/>
      <c r="VIP19" s="48"/>
      <c r="VJA19" s="48"/>
      <c r="VJL19" s="48"/>
      <c r="VJW19" s="48"/>
      <c r="VKH19" s="48"/>
      <c r="VKS19" s="48"/>
      <c r="VLD19" s="48"/>
      <c r="VLO19" s="48"/>
      <c r="VLZ19" s="48"/>
      <c r="VMK19" s="48"/>
      <c r="VMV19" s="48"/>
      <c r="VNG19" s="48"/>
      <c r="VNR19" s="48"/>
      <c r="VOC19" s="48"/>
      <c r="VON19" s="48"/>
      <c r="VOY19" s="48"/>
      <c r="VPJ19" s="48"/>
      <c r="VPU19" s="48"/>
      <c r="VQF19" s="48"/>
      <c r="VQQ19" s="48"/>
      <c r="VRB19" s="48"/>
      <c r="VRM19" s="48"/>
      <c r="VRX19" s="48"/>
      <c r="VSI19" s="48"/>
      <c r="VST19" s="48"/>
      <c r="VTE19" s="48"/>
      <c r="VTP19" s="48"/>
      <c r="VUA19" s="48"/>
      <c r="VUL19" s="48"/>
      <c r="VUW19" s="48"/>
      <c r="VVH19" s="48"/>
      <c r="VVS19" s="48"/>
      <c r="VWD19" s="48"/>
      <c r="VWO19" s="48"/>
      <c r="VWZ19" s="48"/>
      <c r="VXK19" s="48"/>
      <c r="VXV19" s="48"/>
      <c r="VYG19" s="48"/>
      <c r="VYR19" s="48"/>
      <c r="VZC19" s="48"/>
      <c r="VZN19" s="48"/>
      <c r="VZY19" s="48"/>
      <c r="WAJ19" s="48"/>
      <c r="WAU19" s="48"/>
      <c r="WBF19" s="48"/>
      <c r="WBQ19" s="48"/>
      <c r="WCB19" s="48"/>
      <c r="WCM19" s="48"/>
      <c r="WCX19" s="48"/>
      <c r="WDI19" s="48"/>
      <c r="WDT19" s="48"/>
      <c r="WEE19" s="48"/>
      <c r="WEP19" s="48"/>
      <c r="WFA19" s="48"/>
      <c r="WFL19" s="48"/>
      <c r="WFW19" s="48"/>
      <c r="WGH19" s="48"/>
      <c r="WGS19" s="48"/>
      <c r="WHD19" s="48"/>
      <c r="WHO19" s="48"/>
      <c r="WHZ19" s="48"/>
      <c r="WIK19" s="48"/>
      <c r="WIV19" s="48"/>
      <c r="WJG19" s="48"/>
      <c r="WJR19" s="48"/>
      <c r="WKC19" s="48"/>
      <c r="WKN19" s="48"/>
      <c r="WKY19" s="48"/>
      <c r="WLJ19" s="48"/>
      <c r="WLU19" s="48"/>
      <c r="WMF19" s="48"/>
      <c r="WMQ19" s="48"/>
      <c r="WNB19" s="48"/>
      <c r="WNM19" s="48"/>
      <c r="WNX19" s="48"/>
      <c r="WOI19" s="48"/>
      <c r="WOT19" s="48"/>
      <c r="WPE19" s="48"/>
      <c r="WPP19" s="48"/>
      <c r="WQA19" s="48"/>
      <c r="WQL19" s="48"/>
      <c r="WQW19" s="48"/>
      <c r="WRH19" s="48"/>
      <c r="WRS19" s="48"/>
      <c r="WSD19" s="48"/>
      <c r="WSO19" s="48"/>
      <c r="WSZ19" s="48"/>
      <c r="WTK19" s="48"/>
      <c r="WTV19" s="48"/>
      <c r="WUG19" s="48"/>
      <c r="WUR19" s="48"/>
      <c r="WVC19" s="48"/>
      <c r="WVN19" s="48"/>
      <c r="WVY19" s="48"/>
      <c r="WWJ19" s="48"/>
      <c r="WWU19" s="48"/>
      <c r="WXF19" s="48"/>
      <c r="WXQ19" s="48"/>
      <c r="WYB19" s="48"/>
      <c r="WYM19" s="48"/>
      <c r="WYX19" s="48"/>
      <c r="WZI19" s="48"/>
      <c r="WZT19" s="48"/>
      <c r="XAE19" s="48"/>
      <c r="XAP19" s="48"/>
      <c r="XBA19" s="48"/>
      <c r="XBL19" s="48"/>
      <c r="XBW19" s="48"/>
      <c r="XCH19" s="48"/>
      <c r="XCS19" s="48"/>
      <c r="XDD19" s="48"/>
      <c r="XDO19" s="48"/>
      <c r="XDZ19" s="48"/>
      <c r="XEK19" s="48"/>
      <c r="XEV19" s="48"/>
    </row>
    <row r="20" spans="1:1020 1031:2043 2054:3066 3077:4089 4100:5112 5123:6135 6146:7158 7169:8192 8203:9215 9226:10238 10249:11261 11272:12284 12295:13307 13318:14330 14341:15353 15364:16376" s="47" customFormat="1" ht="9" customHeight="1">
      <c r="F20" s="48"/>
      <c r="I20" s="49"/>
      <c r="S20" s="48"/>
      <c r="AD20" s="48"/>
      <c r="AO20" s="48"/>
      <c r="AZ20" s="48"/>
      <c r="BK20" s="48"/>
      <c r="BV20" s="48"/>
      <c r="CG20" s="48"/>
      <c r="CR20" s="48"/>
      <c r="DC20" s="48"/>
      <c r="DN20" s="48"/>
      <c r="DY20" s="48"/>
      <c r="EJ20" s="48"/>
      <c r="EU20" s="48"/>
      <c r="FF20" s="48"/>
      <c r="FQ20" s="48"/>
      <c r="GB20" s="48"/>
      <c r="GM20" s="48"/>
      <c r="GX20" s="48"/>
      <c r="HI20" s="48"/>
      <c r="HT20" s="48"/>
      <c r="IE20" s="48"/>
      <c r="IP20" s="48"/>
      <c r="JA20" s="48"/>
      <c r="JL20" s="48"/>
      <c r="JW20" s="48"/>
      <c r="KH20" s="48"/>
      <c r="KS20" s="48"/>
      <c r="LD20" s="48"/>
      <c r="LO20" s="48"/>
      <c r="LZ20" s="48"/>
      <c r="MK20" s="48"/>
      <c r="MV20" s="48"/>
      <c r="NG20" s="48"/>
      <c r="NR20" s="48"/>
      <c r="OC20" s="48"/>
      <c r="ON20" s="48"/>
      <c r="OY20" s="48"/>
      <c r="PJ20" s="48"/>
      <c r="PU20" s="48"/>
      <c r="QF20" s="48"/>
      <c r="QQ20" s="48"/>
      <c r="RB20" s="48"/>
      <c r="RM20" s="48"/>
      <c r="RX20" s="48"/>
      <c r="SI20" s="48"/>
      <c r="ST20" s="48"/>
      <c r="TE20" s="48"/>
      <c r="TP20" s="48"/>
      <c r="UA20" s="48"/>
      <c r="UL20" s="48"/>
      <c r="UW20" s="48"/>
      <c r="VH20" s="48"/>
      <c r="VS20" s="48"/>
      <c r="WD20" s="48"/>
      <c r="WO20" s="48"/>
      <c r="WZ20" s="48"/>
      <c r="XK20" s="48"/>
      <c r="XV20" s="48"/>
      <c r="YG20" s="48"/>
      <c r="YR20" s="48"/>
      <c r="ZC20" s="48"/>
      <c r="ZN20" s="48"/>
      <c r="ZY20" s="48"/>
      <c r="AAJ20" s="48"/>
      <c r="AAU20" s="48"/>
      <c r="ABF20" s="48"/>
      <c r="ABQ20" s="48"/>
      <c r="ACB20" s="48"/>
      <c r="ACM20" s="48"/>
      <c r="ACX20" s="48"/>
      <c r="ADI20" s="48"/>
      <c r="ADT20" s="48"/>
      <c r="AEE20" s="48"/>
      <c r="AEP20" s="48"/>
      <c r="AFA20" s="48"/>
      <c r="AFL20" s="48"/>
      <c r="AFW20" s="48"/>
      <c r="AGH20" s="48"/>
      <c r="AGS20" s="48"/>
      <c r="AHD20" s="48"/>
      <c r="AHO20" s="48"/>
      <c r="AHZ20" s="48"/>
      <c r="AIK20" s="48"/>
      <c r="AIV20" s="48"/>
      <c r="AJG20" s="48"/>
      <c r="AJR20" s="48"/>
      <c r="AKC20" s="48"/>
      <c r="AKN20" s="48"/>
      <c r="AKY20" s="48"/>
      <c r="ALJ20" s="48"/>
      <c r="ALU20" s="48"/>
      <c r="AMF20" s="48"/>
      <c r="AMQ20" s="48"/>
      <c r="ANB20" s="48"/>
      <c r="ANM20" s="48"/>
      <c r="ANX20" s="48"/>
      <c r="AOI20" s="48"/>
      <c r="AOT20" s="48"/>
      <c r="APE20" s="48"/>
      <c r="APP20" s="48"/>
      <c r="AQA20" s="48"/>
      <c r="AQL20" s="48"/>
      <c r="AQW20" s="48"/>
      <c r="ARH20" s="48"/>
      <c r="ARS20" s="48"/>
      <c r="ASD20" s="48"/>
      <c r="ASO20" s="48"/>
      <c r="ASZ20" s="48"/>
      <c r="ATK20" s="48"/>
      <c r="ATV20" s="48"/>
      <c r="AUG20" s="48"/>
      <c r="AUR20" s="48"/>
      <c r="AVC20" s="48"/>
      <c r="AVN20" s="48"/>
      <c r="AVY20" s="48"/>
      <c r="AWJ20" s="48"/>
      <c r="AWU20" s="48"/>
      <c r="AXF20" s="48"/>
      <c r="AXQ20" s="48"/>
      <c r="AYB20" s="48"/>
      <c r="AYM20" s="48"/>
      <c r="AYX20" s="48"/>
      <c r="AZI20" s="48"/>
      <c r="AZT20" s="48"/>
      <c r="BAE20" s="48"/>
      <c r="BAP20" s="48"/>
      <c r="BBA20" s="48"/>
      <c r="BBL20" s="48"/>
      <c r="BBW20" s="48"/>
      <c r="BCH20" s="48"/>
      <c r="BCS20" s="48"/>
      <c r="BDD20" s="48"/>
      <c r="BDO20" s="48"/>
      <c r="BDZ20" s="48"/>
      <c r="BEK20" s="48"/>
      <c r="BEV20" s="48"/>
      <c r="BFG20" s="48"/>
      <c r="BFR20" s="48"/>
      <c r="BGC20" s="48"/>
      <c r="BGN20" s="48"/>
      <c r="BGY20" s="48"/>
      <c r="BHJ20" s="48"/>
      <c r="BHU20" s="48"/>
      <c r="BIF20" s="48"/>
      <c r="BIQ20" s="48"/>
      <c r="BJB20" s="48"/>
      <c r="BJM20" s="48"/>
      <c r="BJX20" s="48"/>
      <c r="BKI20" s="48"/>
      <c r="BKT20" s="48"/>
      <c r="BLE20" s="48"/>
      <c r="BLP20" s="48"/>
      <c r="BMA20" s="48"/>
      <c r="BML20" s="48"/>
      <c r="BMW20" s="48"/>
      <c r="BNH20" s="48"/>
      <c r="BNS20" s="48"/>
      <c r="BOD20" s="48"/>
      <c r="BOO20" s="48"/>
      <c r="BOZ20" s="48"/>
      <c r="BPK20" s="48"/>
      <c r="BPV20" s="48"/>
      <c r="BQG20" s="48"/>
      <c r="BQR20" s="48"/>
      <c r="BRC20" s="48"/>
      <c r="BRN20" s="48"/>
      <c r="BRY20" s="48"/>
      <c r="BSJ20" s="48"/>
      <c r="BSU20" s="48"/>
      <c r="BTF20" s="48"/>
      <c r="BTQ20" s="48"/>
      <c r="BUB20" s="48"/>
      <c r="BUM20" s="48"/>
      <c r="BUX20" s="48"/>
      <c r="BVI20" s="48"/>
      <c r="BVT20" s="48"/>
      <c r="BWE20" s="48"/>
      <c r="BWP20" s="48"/>
      <c r="BXA20" s="48"/>
      <c r="BXL20" s="48"/>
      <c r="BXW20" s="48"/>
      <c r="BYH20" s="48"/>
      <c r="BYS20" s="48"/>
      <c r="BZD20" s="48"/>
      <c r="BZO20" s="48"/>
      <c r="BZZ20" s="48"/>
      <c r="CAK20" s="48"/>
      <c r="CAV20" s="48"/>
      <c r="CBG20" s="48"/>
      <c r="CBR20" s="48"/>
      <c r="CCC20" s="48"/>
      <c r="CCN20" s="48"/>
      <c r="CCY20" s="48"/>
      <c r="CDJ20" s="48"/>
      <c r="CDU20" s="48"/>
      <c r="CEF20" s="48"/>
      <c r="CEQ20" s="48"/>
      <c r="CFB20" s="48"/>
      <c r="CFM20" s="48"/>
      <c r="CFX20" s="48"/>
      <c r="CGI20" s="48"/>
      <c r="CGT20" s="48"/>
      <c r="CHE20" s="48"/>
      <c r="CHP20" s="48"/>
      <c r="CIA20" s="48"/>
      <c r="CIL20" s="48"/>
      <c r="CIW20" s="48"/>
      <c r="CJH20" s="48"/>
      <c r="CJS20" s="48"/>
      <c r="CKD20" s="48"/>
      <c r="CKO20" s="48"/>
      <c r="CKZ20" s="48"/>
      <c r="CLK20" s="48"/>
      <c r="CLV20" s="48"/>
      <c r="CMG20" s="48"/>
      <c r="CMR20" s="48"/>
      <c r="CNC20" s="48"/>
      <c r="CNN20" s="48"/>
      <c r="CNY20" s="48"/>
      <c r="COJ20" s="48"/>
      <c r="COU20" s="48"/>
      <c r="CPF20" s="48"/>
      <c r="CPQ20" s="48"/>
      <c r="CQB20" s="48"/>
      <c r="CQM20" s="48"/>
      <c r="CQX20" s="48"/>
      <c r="CRI20" s="48"/>
      <c r="CRT20" s="48"/>
      <c r="CSE20" s="48"/>
      <c r="CSP20" s="48"/>
      <c r="CTA20" s="48"/>
      <c r="CTL20" s="48"/>
      <c r="CTW20" s="48"/>
      <c r="CUH20" s="48"/>
      <c r="CUS20" s="48"/>
      <c r="CVD20" s="48"/>
      <c r="CVO20" s="48"/>
      <c r="CVZ20" s="48"/>
      <c r="CWK20" s="48"/>
      <c r="CWV20" s="48"/>
      <c r="CXG20" s="48"/>
      <c r="CXR20" s="48"/>
      <c r="CYC20" s="48"/>
      <c r="CYN20" s="48"/>
      <c r="CYY20" s="48"/>
      <c r="CZJ20" s="48"/>
      <c r="CZU20" s="48"/>
      <c r="DAF20" s="48"/>
      <c r="DAQ20" s="48"/>
      <c r="DBB20" s="48"/>
      <c r="DBM20" s="48"/>
      <c r="DBX20" s="48"/>
      <c r="DCI20" s="48"/>
      <c r="DCT20" s="48"/>
      <c r="DDE20" s="48"/>
      <c r="DDP20" s="48"/>
      <c r="DEA20" s="48"/>
      <c r="DEL20" s="48"/>
      <c r="DEW20" s="48"/>
      <c r="DFH20" s="48"/>
      <c r="DFS20" s="48"/>
      <c r="DGD20" s="48"/>
      <c r="DGO20" s="48"/>
      <c r="DGZ20" s="48"/>
      <c r="DHK20" s="48"/>
      <c r="DHV20" s="48"/>
      <c r="DIG20" s="48"/>
      <c r="DIR20" s="48"/>
      <c r="DJC20" s="48"/>
      <c r="DJN20" s="48"/>
      <c r="DJY20" s="48"/>
      <c r="DKJ20" s="48"/>
      <c r="DKU20" s="48"/>
      <c r="DLF20" s="48"/>
      <c r="DLQ20" s="48"/>
      <c r="DMB20" s="48"/>
      <c r="DMM20" s="48"/>
      <c r="DMX20" s="48"/>
      <c r="DNI20" s="48"/>
      <c r="DNT20" s="48"/>
      <c r="DOE20" s="48"/>
      <c r="DOP20" s="48"/>
      <c r="DPA20" s="48"/>
      <c r="DPL20" s="48"/>
      <c r="DPW20" s="48"/>
      <c r="DQH20" s="48"/>
      <c r="DQS20" s="48"/>
      <c r="DRD20" s="48"/>
      <c r="DRO20" s="48"/>
      <c r="DRZ20" s="48"/>
      <c r="DSK20" s="48"/>
      <c r="DSV20" s="48"/>
      <c r="DTG20" s="48"/>
      <c r="DTR20" s="48"/>
      <c r="DUC20" s="48"/>
      <c r="DUN20" s="48"/>
      <c r="DUY20" s="48"/>
      <c r="DVJ20" s="48"/>
      <c r="DVU20" s="48"/>
      <c r="DWF20" s="48"/>
      <c r="DWQ20" s="48"/>
      <c r="DXB20" s="48"/>
      <c r="DXM20" s="48"/>
      <c r="DXX20" s="48"/>
      <c r="DYI20" s="48"/>
      <c r="DYT20" s="48"/>
      <c r="DZE20" s="48"/>
      <c r="DZP20" s="48"/>
      <c r="EAA20" s="48"/>
      <c r="EAL20" s="48"/>
      <c r="EAW20" s="48"/>
      <c r="EBH20" s="48"/>
      <c r="EBS20" s="48"/>
      <c r="ECD20" s="48"/>
      <c r="ECO20" s="48"/>
      <c r="ECZ20" s="48"/>
      <c r="EDK20" s="48"/>
      <c r="EDV20" s="48"/>
      <c r="EEG20" s="48"/>
      <c r="EER20" s="48"/>
      <c r="EFC20" s="48"/>
      <c r="EFN20" s="48"/>
      <c r="EFY20" s="48"/>
      <c r="EGJ20" s="48"/>
      <c r="EGU20" s="48"/>
      <c r="EHF20" s="48"/>
      <c r="EHQ20" s="48"/>
      <c r="EIB20" s="48"/>
      <c r="EIM20" s="48"/>
      <c r="EIX20" s="48"/>
      <c r="EJI20" s="48"/>
      <c r="EJT20" s="48"/>
      <c r="EKE20" s="48"/>
      <c r="EKP20" s="48"/>
      <c r="ELA20" s="48"/>
      <c r="ELL20" s="48"/>
      <c r="ELW20" s="48"/>
      <c r="EMH20" s="48"/>
      <c r="EMS20" s="48"/>
      <c r="END20" s="48"/>
      <c r="ENO20" s="48"/>
      <c r="ENZ20" s="48"/>
      <c r="EOK20" s="48"/>
      <c r="EOV20" s="48"/>
      <c r="EPG20" s="48"/>
      <c r="EPR20" s="48"/>
      <c r="EQC20" s="48"/>
      <c r="EQN20" s="48"/>
      <c r="EQY20" s="48"/>
      <c r="ERJ20" s="48"/>
      <c r="ERU20" s="48"/>
      <c r="ESF20" s="48"/>
      <c r="ESQ20" s="48"/>
      <c r="ETB20" s="48"/>
      <c r="ETM20" s="48"/>
      <c r="ETX20" s="48"/>
      <c r="EUI20" s="48"/>
      <c r="EUT20" s="48"/>
      <c r="EVE20" s="48"/>
      <c r="EVP20" s="48"/>
      <c r="EWA20" s="48"/>
      <c r="EWL20" s="48"/>
      <c r="EWW20" s="48"/>
      <c r="EXH20" s="48"/>
      <c r="EXS20" s="48"/>
      <c r="EYD20" s="48"/>
      <c r="EYO20" s="48"/>
      <c r="EYZ20" s="48"/>
      <c r="EZK20" s="48"/>
      <c r="EZV20" s="48"/>
      <c r="FAG20" s="48"/>
      <c r="FAR20" s="48"/>
      <c r="FBC20" s="48"/>
      <c r="FBN20" s="48"/>
      <c r="FBY20" s="48"/>
      <c r="FCJ20" s="48"/>
      <c r="FCU20" s="48"/>
      <c r="FDF20" s="48"/>
      <c r="FDQ20" s="48"/>
      <c r="FEB20" s="48"/>
      <c r="FEM20" s="48"/>
      <c r="FEX20" s="48"/>
      <c r="FFI20" s="48"/>
      <c r="FFT20" s="48"/>
      <c r="FGE20" s="48"/>
      <c r="FGP20" s="48"/>
      <c r="FHA20" s="48"/>
      <c r="FHL20" s="48"/>
      <c r="FHW20" s="48"/>
      <c r="FIH20" s="48"/>
      <c r="FIS20" s="48"/>
      <c r="FJD20" s="48"/>
      <c r="FJO20" s="48"/>
      <c r="FJZ20" s="48"/>
      <c r="FKK20" s="48"/>
      <c r="FKV20" s="48"/>
      <c r="FLG20" s="48"/>
      <c r="FLR20" s="48"/>
      <c r="FMC20" s="48"/>
      <c r="FMN20" s="48"/>
      <c r="FMY20" s="48"/>
      <c r="FNJ20" s="48"/>
      <c r="FNU20" s="48"/>
      <c r="FOF20" s="48"/>
      <c r="FOQ20" s="48"/>
      <c r="FPB20" s="48"/>
      <c r="FPM20" s="48"/>
      <c r="FPX20" s="48"/>
      <c r="FQI20" s="48"/>
      <c r="FQT20" s="48"/>
      <c r="FRE20" s="48"/>
      <c r="FRP20" s="48"/>
      <c r="FSA20" s="48"/>
      <c r="FSL20" s="48"/>
      <c r="FSW20" s="48"/>
      <c r="FTH20" s="48"/>
      <c r="FTS20" s="48"/>
      <c r="FUD20" s="48"/>
      <c r="FUO20" s="48"/>
      <c r="FUZ20" s="48"/>
      <c r="FVK20" s="48"/>
      <c r="FVV20" s="48"/>
      <c r="FWG20" s="48"/>
      <c r="FWR20" s="48"/>
      <c r="FXC20" s="48"/>
      <c r="FXN20" s="48"/>
      <c r="FXY20" s="48"/>
      <c r="FYJ20" s="48"/>
      <c r="FYU20" s="48"/>
      <c r="FZF20" s="48"/>
      <c r="FZQ20" s="48"/>
      <c r="GAB20" s="48"/>
      <c r="GAM20" s="48"/>
      <c r="GAX20" s="48"/>
      <c r="GBI20" s="48"/>
      <c r="GBT20" s="48"/>
      <c r="GCE20" s="48"/>
      <c r="GCP20" s="48"/>
      <c r="GDA20" s="48"/>
      <c r="GDL20" s="48"/>
      <c r="GDW20" s="48"/>
      <c r="GEH20" s="48"/>
      <c r="GES20" s="48"/>
      <c r="GFD20" s="48"/>
      <c r="GFO20" s="48"/>
      <c r="GFZ20" s="48"/>
      <c r="GGK20" s="48"/>
      <c r="GGV20" s="48"/>
      <c r="GHG20" s="48"/>
      <c r="GHR20" s="48"/>
      <c r="GIC20" s="48"/>
      <c r="GIN20" s="48"/>
      <c r="GIY20" s="48"/>
      <c r="GJJ20" s="48"/>
      <c r="GJU20" s="48"/>
      <c r="GKF20" s="48"/>
      <c r="GKQ20" s="48"/>
      <c r="GLB20" s="48"/>
      <c r="GLM20" s="48"/>
      <c r="GLX20" s="48"/>
      <c r="GMI20" s="48"/>
      <c r="GMT20" s="48"/>
      <c r="GNE20" s="48"/>
      <c r="GNP20" s="48"/>
      <c r="GOA20" s="48"/>
      <c r="GOL20" s="48"/>
      <c r="GOW20" s="48"/>
      <c r="GPH20" s="48"/>
      <c r="GPS20" s="48"/>
      <c r="GQD20" s="48"/>
      <c r="GQO20" s="48"/>
      <c r="GQZ20" s="48"/>
      <c r="GRK20" s="48"/>
      <c r="GRV20" s="48"/>
      <c r="GSG20" s="48"/>
      <c r="GSR20" s="48"/>
      <c r="GTC20" s="48"/>
      <c r="GTN20" s="48"/>
      <c r="GTY20" s="48"/>
      <c r="GUJ20" s="48"/>
      <c r="GUU20" s="48"/>
      <c r="GVF20" s="48"/>
      <c r="GVQ20" s="48"/>
      <c r="GWB20" s="48"/>
      <c r="GWM20" s="48"/>
      <c r="GWX20" s="48"/>
      <c r="GXI20" s="48"/>
      <c r="GXT20" s="48"/>
      <c r="GYE20" s="48"/>
      <c r="GYP20" s="48"/>
      <c r="GZA20" s="48"/>
      <c r="GZL20" s="48"/>
      <c r="GZW20" s="48"/>
      <c r="HAH20" s="48"/>
      <c r="HAS20" s="48"/>
      <c r="HBD20" s="48"/>
      <c r="HBO20" s="48"/>
      <c r="HBZ20" s="48"/>
      <c r="HCK20" s="48"/>
      <c r="HCV20" s="48"/>
      <c r="HDG20" s="48"/>
      <c r="HDR20" s="48"/>
      <c r="HEC20" s="48"/>
      <c r="HEN20" s="48"/>
      <c r="HEY20" s="48"/>
      <c r="HFJ20" s="48"/>
      <c r="HFU20" s="48"/>
      <c r="HGF20" s="48"/>
      <c r="HGQ20" s="48"/>
      <c r="HHB20" s="48"/>
      <c r="HHM20" s="48"/>
      <c r="HHX20" s="48"/>
      <c r="HII20" s="48"/>
      <c r="HIT20" s="48"/>
      <c r="HJE20" s="48"/>
      <c r="HJP20" s="48"/>
      <c r="HKA20" s="48"/>
      <c r="HKL20" s="48"/>
      <c r="HKW20" s="48"/>
      <c r="HLH20" s="48"/>
      <c r="HLS20" s="48"/>
      <c r="HMD20" s="48"/>
      <c r="HMO20" s="48"/>
      <c r="HMZ20" s="48"/>
      <c r="HNK20" s="48"/>
      <c r="HNV20" s="48"/>
      <c r="HOG20" s="48"/>
      <c r="HOR20" s="48"/>
      <c r="HPC20" s="48"/>
      <c r="HPN20" s="48"/>
      <c r="HPY20" s="48"/>
      <c r="HQJ20" s="48"/>
      <c r="HQU20" s="48"/>
      <c r="HRF20" s="48"/>
      <c r="HRQ20" s="48"/>
      <c r="HSB20" s="48"/>
      <c r="HSM20" s="48"/>
      <c r="HSX20" s="48"/>
      <c r="HTI20" s="48"/>
      <c r="HTT20" s="48"/>
      <c r="HUE20" s="48"/>
      <c r="HUP20" s="48"/>
      <c r="HVA20" s="48"/>
      <c r="HVL20" s="48"/>
      <c r="HVW20" s="48"/>
      <c r="HWH20" s="48"/>
      <c r="HWS20" s="48"/>
      <c r="HXD20" s="48"/>
      <c r="HXO20" s="48"/>
      <c r="HXZ20" s="48"/>
      <c r="HYK20" s="48"/>
      <c r="HYV20" s="48"/>
      <c r="HZG20" s="48"/>
      <c r="HZR20" s="48"/>
      <c r="IAC20" s="48"/>
      <c r="IAN20" s="48"/>
      <c r="IAY20" s="48"/>
      <c r="IBJ20" s="48"/>
      <c r="IBU20" s="48"/>
      <c r="ICF20" s="48"/>
      <c r="ICQ20" s="48"/>
      <c r="IDB20" s="48"/>
      <c r="IDM20" s="48"/>
      <c r="IDX20" s="48"/>
      <c r="IEI20" s="48"/>
      <c r="IET20" s="48"/>
      <c r="IFE20" s="48"/>
      <c r="IFP20" s="48"/>
      <c r="IGA20" s="48"/>
      <c r="IGL20" s="48"/>
      <c r="IGW20" s="48"/>
      <c r="IHH20" s="48"/>
      <c r="IHS20" s="48"/>
      <c r="IID20" s="48"/>
      <c r="IIO20" s="48"/>
      <c r="IIZ20" s="48"/>
      <c r="IJK20" s="48"/>
      <c r="IJV20" s="48"/>
      <c r="IKG20" s="48"/>
      <c r="IKR20" s="48"/>
      <c r="ILC20" s="48"/>
      <c r="ILN20" s="48"/>
      <c r="ILY20" s="48"/>
      <c r="IMJ20" s="48"/>
      <c r="IMU20" s="48"/>
      <c r="INF20" s="48"/>
      <c r="INQ20" s="48"/>
      <c r="IOB20" s="48"/>
      <c r="IOM20" s="48"/>
      <c r="IOX20" s="48"/>
      <c r="IPI20" s="48"/>
      <c r="IPT20" s="48"/>
      <c r="IQE20" s="48"/>
      <c r="IQP20" s="48"/>
      <c r="IRA20" s="48"/>
      <c r="IRL20" s="48"/>
      <c r="IRW20" s="48"/>
      <c r="ISH20" s="48"/>
      <c r="ISS20" s="48"/>
      <c r="ITD20" s="48"/>
      <c r="ITO20" s="48"/>
      <c r="ITZ20" s="48"/>
      <c r="IUK20" s="48"/>
      <c r="IUV20" s="48"/>
      <c r="IVG20" s="48"/>
      <c r="IVR20" s="48"/>
      <c r="IWC20" s="48"/>
      <c r="IWN20" s="48"/>
      <c r="IWY20" s="48"/>
      <c r="IXJ20" s="48"/>
      <c r="IXU20" s="48"/>
      <c r="IYF20" s="48"/>
      <c r="IYQ20" s="48"/>
      <c r="IZB20" s="48"/>
      <c r="IZM20" s="48"/>
      <c r="IZX20" s="48"/>
      <c r="JAI20" s="48"/>
      <c r="JAT20" s="48"/>
      <c r="JBE20" s="48"/>
      <c r="JBP20" s="48"/>
      <c r="JCA20" s="48"/>
      <c r="JCL20" s="48"/>
      <c r="JCW20" s="48"/>
      <c r="JDH20" s="48"/>
      <c r="JDS20" s="48"/>
      <c r="JED20" s="48"/>
      <c r="JEO20" s="48"/>
      <c r="JEZ20" s="48"/>
      <c r="JFK20" s="48"/>
      <c r="JFV20" s="48"/>
      <c r="JGG20" s="48"/>
      <c r="JGR20" s="48"/>
      <c r="JHC20" s="48"/>
      <c r="JHN20" s="48"/>
      <c r="JHY20" s="48"/>
      <c r="JIJ20" s="48"/>
      <c r="JIU20" s="48"/>
      <c r="JJF20" s="48"/>
      <c r="JJQ20" s="48"/>
      <c r="JKB20" s="48"/>
      <c r="JKM20" s="48"/>
      <c r="JKX20" s="48"/>
      <c r="JLI20" s="48"/>
      <c r="JLT20" s="48"/>
      <c r="JME20" s="48"/>
      <c r="JMP20" s="48"/>
      <c r="JNA20" s="48"/>
      <c r="JNL20" s="48"/>
      <c r="JNW20" s="48"/>
      <c r="JOH20" s="48"/>
      <c r="JOS20" s="48"/>
      <c r="JPD20" s="48"/>
      <c r="JPO20" s="48"/>
      <c r="JPZ20" s="48"/>
      <c r="JQK20" s="48"/>
      <c r="JQV20" s="48"/>
      <c r="JRG20" s="48"/>
      <c r="JRR20" s="48"/>
      <c r="JSC20" s="48"/>
      <c r="JSN20" s="48"/>
      <c r="JSY20" s="48"/>
      <c r="JTJ20" s="48"/>
      <c r="JTU20" s="48"/>
      <c r="JUF20" s="48"/>
      <c r="JUQ20" s="48"/>
      <c r="JVB20" s="48"/>
      <c r="JVM20" s="48"/>
      <c r="JVX20" s="48"/>
      <c r="JWI20" s="48"/>
      <c r="JWT20" s="48"/>
      <c r="JXE20" s="48"/>
      <c r="JXP20" s="48"/>
      <c r="JYA20" s="48"/>
      <c r="JYL20" s="48"/>
      <c r="JYW20" s="48"/>
      <c r="JZH20" s="48"/>
      <c r="JZS20" s="48"/>
      <c r="KAD20" s="48"/>
      <c r="KAO20" s="48"/>
      <c r="KAZ20" s="48"/>
      <c r="KBK20" s="48"/>
      <c r="KBV20" s="48"/>
      <c r="KCG20" s="48"/>
      <c r="KCR20" s="48"/>
      <c r="KDC20" s="48"/>
      <c r="KDN20" s="48"/>
      <c r="KDY20" s="48"/>
      <c r="KEJ20" s="48"/>
      <c r="KEU20" s="48"/>
      <c r="KFF20" s="48"/>
      <c r="KFQ20" s="48"/>
      <c r="KGB20" s="48"/>
      <c r="KGM20" s="48"/>
      <c r="KGX20" s="48"/>
      <c r="KHI20" s="48"/>
      <c r="KHT20" s="48"/>
      <c r="KIE20" s="48"/>
      <c r="KIP20" s="48"/>
      <c r="KJA20" s="48"/>
      <c r="KJL20" s="48"/>
      <c r="KJW20" s="48"/>
      <c r="KKH20" s="48"/>
      <c r="KKS20" s="48"/>
      <c r="KLD20" s="48"/>
      <c r="KLO20" s="48"/>
      <c r="KLZ20" s="48"/>
      <c r="KMK20" s="48"/>
      <c r="KMV20" s="48"/>
      <c r="KNG20" s="48"/>
      <c r="KNR20" s="48"/>
      <c r="KOC20" s="48"/>
      <c r="KON20" s="48"/>
      <c r="KOY20" s="48"/>
      <c r="KPJ20" s="48"/>
      <c r="KPU20" s="48"/>
      <c r="KQF20" s="48"/>
      <c r="KQQ20" s="48"/>
      <c r="KRB20" s="48"/>
      <c r="KRM20" s="48"/>
      <c r="KRX20" s="48"/>
      <c r="KSI20" s="48"/>
      <c r="KST20" s="48"/>
      <c r="KTE20" s="48"/>
      <c r="KTP20" s="48"/>
      <c r="KUA20" s="48"/>
      <c r="KUL20" s="48"/>
      <c r="KUW20" s="48"/>
      <c r="KVH20" s="48"/>
      <c r="KVS20" s="48"/>
      <c r="KWD20" s="48"/>
      <c r="KWO20" s="48"/>
      <c r="KWZ20" s="48"/>
      <c r="KXK20" s="48"/>
      <c r="KXV20" s="48"/>
      <c r="KYG20" s="48"/>
      <c r="KYR20" s="48"/>
      <c r="KZC20" s="48"/>
      <c r="KZN20" s="48"/>
      <c r="KZY20" s="48"/>
      <c r="LAJ20" s="48"/>
      <c r="LAU20" s="48"/>
      <c r="LBF20" s="48"/>
      <c r="LBQ20" s="48"/>
      <c r="LCB20" s="48"/>
      <c r="LCM20" s="48"/>
      <c r="LCX20" s="48"/>
      <c r="LDI20" s="48"/>
      <c r="LDT20" s="48"/>
      <c r="LEE20" s="48"/>
      <c r="LEP20" s="48"/>
      <c r="LFA20" s="48"/>
      <c r="LFL20" s="48"/>
      <c r="LFW20" s="48"/>
      <c r="LGH20" s="48"/>
      <c r="LGS20" s="48"/>
      <c r="LHD20" s="48"/>
      <c r="LHO20" s="48"/>
      <c r="LHZ20" s="48"/>
      <c r="LIK20" s="48"/>
      <c r="LIV20" s="48"/>
      <c r="LJG20" s="48"/>
      <c r="LJR20" s="48"/>
      <c r="LKC20" s="48"/>
      <c r="LKN20" s="48"/>
      <c r="LKY20" s="48"/>
      <c r="LLJ20" s="48"/>
      <c r="LLU20" s="48"/>
      <c r="LMF20" s="48"/>
      <c r="LMQ20" s="48"/>
      <c r="LNB20" s="48"/>
      <c r="LNM20" s="48"/>
      <c r="LNX20" s="48"/>
      <c r="LOI20" s="48"/>
      <c r="LOT20" s="48"/>
      <c r="LPE20" s="48"/>
      <c r="LPP20" s="48"/>
      <c r="LQA20" s="48"/>
      <c r="LQL20" s="48"/>
      <c r="LQW20" s="48"/>
      <c r="LRH20" s="48"/>
      <c r="LRS20" s="48"/>
      <c r="LSD20" s="48"/>
      <c r="LSO20" s="48"/>
      <c r="LSZ20" s="48"/>
      <c r="LTK20" s="48"/>
      <c r="LTV20" s="48"/>
      <c r="LUG20" s="48"/>
      <c r="LUR20" s="48"/>
      <c r="LVC20" s="48"/>
      <c r="LVN20" s="48"/>
      <c r="LVY20" s="48"/>
      <c r="LWJ20" s="48"/>
      <c r="LWU20" s="48"/>
      <c r="LXF20" s="48"/>
      <c r="LXQ20" s="48"/>
      <c r="LYB20" s="48"/>
      <c r="LYM20" s="48"/>
      <c r="LYX20" s="48"/>
      <c r="LZI20" s="48"/>
      <c r="LZT20" s="48"/>
      <c r="MAE20" s="48"/>
      <c r="MAP20" s="48"/>
      <c r="MBA20" s="48"/>
      <c r="MBL20" s="48"/>
      <c r="MBW20" s="48"/>
      <c r="MCH20" s="48"/>
      <c r="MCS20" s="48"/>
      <c r="MDD20" s="48"/>
      <c r="MDO20" s="48"/>
      <c r="MDZ20" s="48"/>
      <c r="MEK20" s="48"/>
      <c r="MEV20" s="48"/>
      <c r="MFG20" s="48"/>
      <c r="MFR20" s="48"/>
      <c r="MGC20" s="48"/>
      <c r="MGN20" s="48"/>
      <c r="MGY20" s="48"/>
      <c r="MHJ20" s="48"/>
      <c r="MHU20" s="48"/>
      <c r="MIF20" s="48"/>
      <c r="MIQ20" s="48"/>
      <c r="MJB20" s="48"/>
      <c r="MJM20" s="48"/>
      <c r="MJX20" s="48"/>
      <c r="MKI20" s="48"/>
      <c r="MKT20" s="48"/>
      <c r="MLE20" s="48"/>
      <c r="MLP20" s="48"/>
      <c r="MMA20" s="48"/>
      <c r="MML20" s="48"/>
      <c r="MMW20" s="48"/>
      <c r="MNH20" s="48"/>
      <c r="MNS20" s="48"/>
      <c r="MOD20" s="48"/>
      <c r="MOO20" s="48"/>
      <c r="MOZ20" s="48"/>
      <c r="MPK20" s="48"/>
      <c r="MPV20" s="48"/>
      <c r="MQG20" s="48"/>
      <c r="MQR20" s="48"/>
      <c r="MRC20" s="48"/>
      <c r="MRN20" s="48"/>
      <c r="MRY20" s="48"/>
      <c r="MSJ20" s="48"/>
      <c r="MSU20" s="48"/>
      <c r="MTF20" s="48"/>
      <c r="MTQ20" s="48"/>
      <c r="MUB20" s="48"/>
      <c r="MUM20" s="48"/>
      <c r="MUX20" s="48"/>
      <c r="MVI20" s="48"/>
      <c r="MVT20" s="48"/>
      <c r="MWE20" s="48"/>
      <c r="MWP20" s="48"/>
      <c r="MXA20" s="48"/>
      <c r="MXL20" s="48"/>
      <c r="MXW20" s="48"/>
      <c r="MYH20" s="48"/>
      <c r="MYS20" s="48"/>
      <c r="MZD20" s="48"/>
      <c r="MZO20" s="48"/>
      <c r="MZZ20" s="48"/>
      <c r="NAK20" s="48"/>
      <c r="NAV20" s="48"/>
      <c r="NBG20" s="48"/>
      <c r="NBR20" s="48"/>
      <c r="NCC20" s="48"/>
      <c r="NCN20" s="48"/>
      <c r="NCY20" s="48"/>
      <c r="NDJ20" s="48"/>
      <c r="NDU20" s="48"/>
      <c r="NEF20" s="48"/>
      <c r="NEQ20" s="48"/>
      <c r="NFB20" s="48"/>
      <c r="NFM20" s="48"/>
      <c r="NFX20" s="48"/>
      <c r="NGI20" s="48"/>
      <c r="NGT20" s="48"/>
      <c r="NHE20" s="48"/>
      <c r="NHP20" s="48"/>
      <c r="NIA20" s="48"/>
      <c r="NIL20" s="48"/>
      <c r="NIW20" s="48"/>
      <c r="NJH20" s="48"/>
      <c r="NJS20" s="48"/>
      <c r="NKD20" s="48"/>
      <c r="NKO20" s="48"/>
      <c r="NKZ20" s="48"/>
      <c r="NLK20" s="48"/>
      <c r="NLV20" s="48"/>
      <c r="NMG20" s="48"/>
      <c r="NMR20" s="48"/>
      <c r="NNC20" s="48"/>
      <c r="NNN20" s="48"/>
      <c r="NNY20" s="48"/>
      <c r="NOJ20" s="48"/>
      <c r="NOU20" s="48"/>
      <c r="NPF20" s="48"/>
      <c r="NPQ20" s="48"/>
      <c r="NQB20" s="48"/>
      <c r="NQM20" s="48"/>
      <c r="NQX20" s="48"/>
      <c r="NRI20" s="48"/>
      <c r="NRT20" s="48"/>
      <c r="NSE20" s="48"/>
      <c r="NSP20" s="48"/>
      <c r="NTA20" s="48"/>
      <c r="NTL20" s="48"/>
      <c r="NTW20" s="48"/>
      <c r="NUH20" s="48"/>
      <c r="NUS20" s="48"/>
      <c r="NVD20" s="48"/>
      <c r="NVO20" s="48"/>
      <c r="NVZ20" s="48"/>
      <c r="NWK20" s="48"/>
      <c r="NWV20" s="48"/>
      <c r="NXG20" s="48"/>
      <c r="NXR20" s="48"/>
      <c r="NYC20" s="48"/>
      <c r="NYN20" s="48"/>
      <c r="NYY20" s="48"/>
      <c r="NZJ20" s="48"/>
      <c r="NZU20" s="48"/>
      <c r="OAF20" s="48"/>
      <c r="OAQ20" s="48"/>
      <c r="OBB20" s="48"/>
      <c r="OBM20" s="48"/>
      <c r="OBX20" s="48"/>
      <c r="OCI20" s="48"/>
      <c r="OCT20" s="48"/>
      <c r="ODE20" s="48"/>
      <c r="ODP20" s="48"/>
      <c r="OEA20" s="48"/>
      <c r="OEL20" s="48"/>
      <c r="OEW20" s="48"/>
      <c r="OFH20" s="48"/>
      <c r="OFS20" s="48"/>
      <c r="OGD20" s="48"/>
      <c r="OGO20" s="48"/>
      <c r="OGZ20" s="48"/>
      <c r="OHK20" s="48"/>
      <c r="OHV20" s="48"/>
      <c r="OIG20" s="48"/>
      <c r="OIR20" s="48"/>
      <c r="OJC20" s="48"/>
      <c r="OJN20" s="48"/>
      <c r="OJY20" s="48"/>
      <c r="OKJ20" s="48"/>
      <c r="OKU20" s="48"/>
      <c r="OLF20" s="48"/>
      <c r="OLQ20" s="48"/>
      <c r="OMB20" s="48"/>
      <c r="OMM20" s="48"/>
      <c r="OMX20" s="48"/>
      <c r="ONI20" s="48"/>
      <c r="ONT20" s="48"/>
      <c r="OOE20" s="48"/>
      <c r="OOP20" s="48"/>
      <c r="OPA20" s="48"/>
      <c r="OPL20" s="48"/>
      <c r="OPW20" s="48"/>
      <c r="OQH20" s="48"/>
      <c r="OQS20" s="48"/>
      <c r="ORD20" s="48"/>
      <c r="ORO20" s="48"/>
      <c r="ORZ20" s="48"/>
      <c r="OSK20" s="48"/>
      <c r="OSV20" s="48"/>
      <c r="OTG20" s="48"/>
      <c r="OTR20" s="48"/>
      <c r="OUC20" s="48"/>
      <c r="OUN20" s="48"/>
      <c r="OUY20" s="48"/>
      <c r="OVJ20" s="48"/>
      <c r="OVU20" s="48"/>
      <c r="OWF20" s="48"/>
      <c r="OWQ20" s="48"/>
      <c r="OXB20" s="48"/>
      <c r="OXM20" s="48"/>
      <c r="OXX20" s="48"/>
      <c r="OYI20" s="48"/>
      <c r="OYT20" s="48"/>
      <c r="OZE20" s="48"/>
      <c r="OZP20" s="48"/>
      <c r="PAA20" s="48"/>
      <c r="PAL20" s="48"/>
      <c r="PAW20" s="48"/>
      <c r="PBH20" s="48"/>
      <c r="PBS20" s="48"/>
      <c r="PCD20" s="48"/>
      <c r="PCO20" s="48"/>
      <c r="PCZ20" s="48"/>
      <c r="PDK20" s="48"/>
      <c r="PDV20" s="48"/>
      <c r="PEG20" s="48"/>
      <c r="PER20" s="48"/>
      <c r="PFC20" s="48"/>
      <c r="PFN20" s="48"/>
      <c r="PFY20" s="48"/>
      <c r="PGJ20" s="48"/>
      <c r="PGU20" s="48"/>
      <c r="PHF20" s="48"/>
      <c r="PHQ20" s="48"/>
      <c r="PIB20" s="48"/>
      <c r="PIM20" s="48"/>
      <c r="PIX20" s="48"/>
      <c r="PJI20" s="48"/>
      <c r="PJT20" s="48"/>
      <c r="PKE20" s="48"/>
      <c r="PKP20" s="48"/>
      <c r="PLA20" s="48"/>
      <c r="PLL20" s="48"/>
      <c r="PLW20" s="48"/>
      <c r="PMH20" s="48"/>
      <c r="PMS20" s="48"/>
      <c r="PND20" s="48"/>
      <c r="PNO20" s="48"/>
      <c r="PNZ20" s="48"/>
      <c r="POK20" s="48"/>
      <c r="POV20" s="48"/>
      <c r="PPG20" s="48"/>
      <c r="PPR20" s="48"/>
      <c r="PQC20" s="48"/>
      <c r="PQN20" s="48"/>
      <c r="PQY20" s="48"/>
      <c r="PRJ20" s="48"/>
      <c r="PRU20" s="48"/>
      <c r="PSF20" s="48"/>
      <c r="PSQ20" s="48"/>
      <c r="PTB20" s="48"/>
      <c r="PTM20" s="48"/>
      <c r="PTX20" s="48"/>
      <c r="PUI20" s="48"/>
      <c r="PUT20" s="48"/>
      <c r="PVE20" s="48"/>
      <c r="PVP20" s="48"/>
      <c r="PWA20" s="48"/>
      <c r="PWL20" s="48"/>
      <c r="PWW20" s="48"/>
      <c r="PXH20" s="48"/>
      <c r="PXS20" s="48"/>
      <c r="PYD20" s="48"/>
      <c r="PYO20" s="48"/>
      <c r="PYZ20" s="48"/>
      <c r="PZK20" s="48"/>
      <c r="PZV20" s="48"/>
      <c r="QAG20" s="48"/>
      <c r="QAR20" s="48"/>
      <c r="QBC20" s="48"/>
      <c r="QBN20" s="48"/>
      <c r="QBY20" s="48"/>
      <c r="QCJ20" s="48"/>
      <c r="QCU20" s="48"/>
      <c r="QDF20" s="48"/>
      <c r="QDQ20" s="48"/>
      <c r="QEB20" s="48"/>
      <c r="QEM20" s="48"/>
      <c r="QEX20" s="48"/>
      <c r="QFI20" s="48"/>
      <c r="QFT20" s="48"/>
      <c r="QGE20" s="48"/>
      <c r="QGP20" s="48"/>
      <c r="QHA20" s="48"/>
      <c r="QHL20" s="48"/>
      <c r="QHW20" s="48"/>
      <c r="QIH20" s="48"/>
      <c r="QIS20" s="48"/>
      <c r="QJD20" s="48"/>
      <c r="QJO20" s="48"/>
      <c r="QJZ20" s="48"/>
      <c r="QKK20" s="48"/>
      <c r="QKV20" s="48"/>
      <c r="QLG20" s="48"/>
      <c r="QLR20" s="48"/>
      <c r="QMC20" s="48"/>
      <c r="QMN20" s="48"/>
      <c r="QMY20" s="48"/>
      <c r="QNJ20" s="48"/>
      <c r="QNU20" s="48"/>
      <c r="QOF20" s="48"/>
      <c r="QOQ20" s="48"/>
      <c r="QPB20" s="48"/>
      <c r="QPM20" s="48"/>
      <c r="QPX20" s="48"/>
      <c r="QQI20" s="48"/>
      <c r="QQT20" s="48"/>
      <c r="QRE20" s="48"/>
      <c r="QRP20" s="48"/>
      <c r="QSA20" s="48"/>
      <c r="QSL20" s="48"/>
      <c r="QSW20" s="48"/>
      <c r="QTH20" s="48"/>
      <c r="QTS20" s="48"/>
      <c r="QUD20" s="48"/>
      <c r="QUO20" s="48"/>
      <c r="QUZ20" s="48"/>
      <c r="QVK20" s="48"/>
      <c r="QVV20" s="48"/>
      <c r="QWG20" s="48"/>
      <c r="QWR20" s="48"/>
      <c r="QXC20" s="48"/>
      <c r="QXN20" s="48"/>
      <c r="QXY20" s="48"/>
      <c r="QYJ20" s="48"/>
      <c r="QYU20" s="48"/>
      <c r="QZF20" s="48"/>
      <c r="QZQ20" s="48"/>
      <c r="RAB20" s="48"/>
      <c r="RAM20" s="48"/>
      <c r="RAX20" s="48"/>
      <c r="RBI20" s="48"/>
      <c r="RBT20" s="48"/>
      <c r="RCE20" s="48"/>
      <c r="RCP20" s="48"/>
      <c r="RDA20" s="48"/>
      <c r="RDL20" s="48"/>
      <c r="RDW20" s="48"/>
      <c r="REH20" s="48"/>
      <c r="RES20" s="48"/>
      <c r="RFD20" s="48"/>
      <c r="RFO20" s="48"/>
      <c r="RFZ20" s="48"/>
      <c r="RGK20" s="48"/>
      <c r="RGV20" s="48"/>
      <c r="RHG20" s="48"/>
      <c r="RHR20" s="48"/>
      <c r="RIC20" s="48"/>
      <c r="RIN20" s="48"/>
      <c r="RIY20" s="48"/>
      <c r="RJJ20" s="48"/>
      <c r="RJU20" s="48"/>
      <c r="RKF20" s="48"/>
      <c r="RKQ20" s="48"/>
      <c r="RLB20" s="48"/>
      <c r="RLM20" s="48"/>
      <c r="RLX20" s="48"/>
      <c r="RMI20" s="48"/>
      <c r="RMT20" s="48"/>
      <c r="RNE20" s="48"/>
      <c r="RNP20" s="48"/>
      <c r="ROA20" s="48"/>
      <c r="ROL20" s="48"/>
      <c r="ROW20" s="48"/>
      <c r="RPH20" s="48"/>
      <c r="RPS20" s="48"/>
      <c r="RQD20" s="48"/>
      <c r="RQO20" s="48"/>
      <c r="RQZ20" s="48"/>
      <c r="RRK20" s="48"/>
      <c r="RRV20" s="48"/>
      <c r="RSG20" s="48"/>
      <c r="RSR20" s="48"/>
      <c r="RTC20" s="48"/>
      <c r="RTN20" s="48"/>
      <c r="RTY20" s="48"/>
      <c r="RUJ20" s="48"/>
      <c r="RUU20" s="48"/>
      <c r="RVF20" s="48"/>
      <c r="RVQ20" s="48"/>
      <c r="RWB20" s="48"/>
      <c r="RWM20" s="48"/>
      <c r="RWX20" s="48"/>
      <c r="RXI20" s="48"/>
      <c r="RXT20" s="48"/>
      <c r="RYE20" s="48"/>
      <c r="RYP20" s="48"/>
      <c r="RZA20" s="48"/>
      <c r="RZL20" s="48"/>
      <c r="RZW20" s="48"/>
      <c r="SAH20" s="48"/>
      <c r="SAS20" s="48"/>
      <c r="SBD20" s="48"/>
      <c r="SBO20" s="48"/>
      <c r="SBZ20" s="48"/>
      <c r="SCK20" s="48"/>
      <c r="SCV20" s="48"/>
      <c r="SDG20" s="48"/>
      <c r="SDR20" s="48"/>
      <c r="SEC20" s="48"/>
      <c r="SEN20" s="48"/>
      <c r="SEY20" s="48"/>
      <c r="SFJ20" s="48"/>
      <c r="SFU20" s="48"/>
      <c r="SGF20" s="48"/>
      <c r="SGQ20" s="48"/>
      <c r="SHB20" s="48"/>
      <c r="SHM20" s="48"/>
      <c r="SHX20" s="48"/>
      <c r="SII20" s="48"/>
      <c r="SIT20" s="48"/>
      <c r="SJE20" s="48"/>
      <c r="SJP20" s="48"/>
      <c r="SKA20" s="48"/>
      <c r="SKL20" s="48"/>
      <c r="SKW20" s="48"/>
      <c r="SLH20" s="48"/>
      <c r="SLS20" s="48"/>
      <c r="SMD20" s="48"/>
      <c r="SMO20" s="48"/>
      <c r="SMZ20" s="48"/>
      <c r="SNK20" s="48"/>
      <c r="SNV20" s="48"/>
      <c r="SOG20" s="48"/>
      <c r="SOR20" s="48"/>
      <c r="SPC20" s="48"/>
      <c r="SPN20" s="48"/>
      <c r="SPY20" s="48"/>
      <c r="SQJ20" s="48"/>
      <c r="SQU20" s="48"/>
      <c r="SRF20" s="48"/>
      <c r="SRQ20" s="48"/>
      <c r="SSB20" s="48"/>
      <c r="SSM20" s="48"/>
      <c r="SSX20" s="48"/>
      <c r="STI20" s="48"/>
      <c r="STT20" s="48"/>
      <c r="SUE20" s="48"/>
      <c r="SUP20" s="48"/>
      <c r="SVA20" s="48"/>
      <c r="SVL20" s="48"/>
      <c r="SVW20" s="48"/>
      <c r="SWH20" s="48"/>
      <c r="SWS20" s="48"/>
      <c r="SXD20" s="48"/>
      <c r="SXO20" s="48"/>
      <c r="SXZ20" s="48"/>
      <c r="SYK20" s="48"/>
      <c r="SYV20" s="48"/>
      <c r="SZG20" s="48"/>
      <c r="SZR20" s="48"/>
      <c r="TAC20" s="48"/>
      <c r="TAN20" s="48"/>
      <c r="TAY20" s="48"/>
      <c r="TBJ20" s="48"/>
      <c r="TBU20" s="48"/>
      <c r="TCF20" s="48"/>
      <c r="TCQ20" s="48"/>
      <c r="TDB20" s="48"/>
      <c r="TDM20" s="48"/>
      <c r="TDX20" s="48"/>
      <c r="TEI20" s="48"/>
      <c r="TET20" s="48"/>
      <c r="TFE20" s="48"/>
      <c r="TFP20" s="48"/>
      <c r="TGA20" s="48"/>
      <c r="TGL20" s="48"/>
      <c r="TGW20" s="48"/>
      <c r="THH20" s="48"/>
      <c r="THS20" s="48"/>
      <c r="TID20" s="48"/>
      <c r="TIO20" s="48"/>
      <c r="TIZ20" s="48"/>
      <c r="TJK20" s="48"/>
      <c r="TJV20" s="48"/>
      <c r="TKG20" s="48"/>
      <c r="TKR20" s="48"/>
      <c r="TLC20" s="48"/>
      <c r="TLN20" s="48"/>
      <c r="TLY20" s="48"/>
      <c r="TMJ20" s="48"/>
      <c r="TMU20" s="48"/>
      <c r="TNF20" s="48"/>
      <c r="TNQ20" s="48"/>
      <c r="TOB20" s="48"/>
      <c r="TOM20" s="48"/>
      <c r="TOX20" s="48"/>
      <c r="TPI20" s="48"/>
      <c r="TPT20" s="48"/>
      <c r="TQE20" s="48"/>
      <c r="TQP20" s="48"/>
      <c r="TRA20" s="48"/>
      <c r="TRL20" s="48"/>
      <c r="TRW20" s="48"/>
      <c r="TSH20" s="48"/>
      <c r="TSS20" s="48"/>
      <c r="TTD20" s="48"/>
      <c r="TTO20" s="48"/>
      <c r="TTZ20" s="48"/>
      <c r="TUK20" s="48"/>
      <c r="TUV20" s="48"/>
      <c r="TVG20" s="48"/>
      <c r="TVR20" s="48"/>
      <c r="TWC20" s="48"/>
      <c r="TWN20" s="48"/>
      <c r="TWY20" s="48"/>
      <c r="TXJ20" s="48"/>
      <c r="TXU20" s="48"/>
      <c r="TYF20" s="48"/>
      <c r="TYQ20" s="48"/>
      <c r="TZB20" s="48"/>
      <c r="TZM20" s="48"/>
      <c r="TZX20" s="48"/>
      <c r="UAI20" s="48"/>
      <c r="UAT20" s="48"/>
      <c r="UBE20" s="48"/>
      <c r="UBP20" s="48"/>
      <c r="UCA20" s="48"/>
      <c r="UCL20" s="48"/>
      <c r="UCW20" s="48"/>
      <c r="UDH20" s="48"/>
      <c r="UDS20" s="48"/>
      <c r="UED20" s="48"/>
      <c r="UEO20" s="48"/>
      <c r="UEZ20" s="48"/>
      <c r="UFK20" s="48"/>
      <c r="UFV20" s="48"/>
      <c r="UGG20" s="48"/>
      <c r="UGR20" s="48"/>
      <c r="UHC20" s="48"/>
      <c r="UHN20" s="48"/>
      <c r="UHY20" s="48"/>
      <c r="UIJ20" s="48"/>
      <c r="UIU20" s="48"/>
      <c r="UJF20" s="48"/>
      <c r="UJQ20" s="48"/>
      <c r="UKB20" s="48"/>
      <c r="UKM20" s="48"/>
      <c r="UKX20" s="48"/>
      <c r="ULI20" s="48"/>
      <c r="ULT20" s="48"/>
      <c r="UME20" s="48"/>
      <c r="UMP20" s="48"/>
      <c r="UNA20" s="48"/>
      <c r="UNL20" s="48"/>
      <c r="UNW20" s="48"/>
      <c r="UOH20" s="48"/>
      <c r="UOS20" s="48"/>
      <c r="UPD20" s="48"/>
      <c r="UPO20" s="48"/>
      <c r="UPZ20" s="48"/>
      <c r="UQK20" s="48"/>
      <c r="UQV20" s="48"/>
      <c r="URG20" s="48"/>
      <c r="URR20" s="48"/>
      <c r="USC20" s="48"/>
      <c r="USN20" s="48"/>
      <c r="USY20" s="48"/>
      <c r="UTJ20" s="48"/>
      <c r="UTU20" s="48"/>
      <c r="UUF20" s="48"/>
      <c r="UUQ20" s="48"/>
      <c r="UVB20" s="48"/>
      <c r="UVM20" s="48"/>
      <c r="UVX20" s="48"/>
      <c r="UWI20" s="48"/>
      <c r="UWT20" s="48"/>
      <c r="UXE20" s="48"/>
      <c r="UXP20" s="48"/>
      <c r="UYA20" s="48"/>
      <c r="UYL20" s="48"/>
      <c r="UYW20" s="48"/>
      <c r="UZH20" s="48"/>
      <c r="UZS20" s="48"/>
      <c r="VAD20" s="48"/>
      <c r="VAO20" s="48"/>
      <c r="VAZ20" s="48"/>
      <c r="VBK20" s="48"/>
      <c r="VBV20" s="48"/>
      <c r="VCG20" s="48"/>
      <c r="VCR20" s="48"/>
      <c r="VDC20" s="48"/>
      <c r="VDN20" s="48"/>
      <c r="VDY20" s="48"/>
      <c r="VEJ20" s="48"/>
      <c r="VEU20" s="48"/>
      <c r="VFF20" s="48"/>
      <c r="VFQ20" s="48"/>
      <c r="VGB20" s="48"/>
      <c r="VGM20" s="48"/>
      <c r="VGX20" s="48"/>
      <c r="VHI20" s="48"/>
      <c r="VHT20" s="48"/>
      <c r="VIE20" s="48"/>
      <c r="VIP20" s="48"/>
      <c r="VJA20" s="48"/>
      <c r="VJL20" s="48"/>
      <c r="VJW20" s="48"/>
      <c r="VKH20" s="48"/>
      <c r="VKS20" s="48"/>
      <c r="VLD20" s="48"/>
      <c r="VLO20" s="48"/>
      <c r="VLZ20" s="48"/>
      <c r="VMK20" s="48"/>
      <c r="VMV20" s="48"/>
      <c r="VNG20" s="48"/>
      <c r="VNR20" s="48"/>
      <c r="VOC20" s="48"/>
      <c r="VON20" s="48"/>
      <c r="VOY20" s="48"/>
      <c r="VPJ20" s="48"/>
      <c r="VPU20" s="48"/>
      <c r="VQF20" s="48"/>
      <c r="VQQ20" s="48"/>
      <c r="VRB20" s="48"/>
      <c r="VRM20" s="48"/>
      <c r="VRX20" s="48"/>
      <c r="VSI20" s="48"/>
      <c r="VST20" s="48"/>
      <c r="VTE20" s="48"/>
      <c r="VTP20" s="48"/>
      <c r="VUA20" s="48"/>
      <c r="VUL20" s="48"/>
      <c r="VUW20" s="48"/>
      <c r="VVH20" s="48"/>
      <c r="VVS20" s="48"/>
      <c r="VWD20" s="48"/>
      <c r="VWO20" s="48"/>
      <c r="VWZ20" s="48"/>
      <c r="VXK20" s="48"/>
      <c r="VXV20" s="48"/>
      <c r="VYG20" s="48"/>
      <c r="VYR20" s="48"/>
      <c r="VZC20" s="48"/>
      <c r="VZN20" s="48"/>
      <c r="VZY20" s="48"/>
      <c r="WAJ20" s="48"/>
      <c r="WAU20" s="48"/>
      <c r="WBF20" s="48"/>
      <c r="WBQ20" s="48"/>
      <c r="WCB20" s="48"/>
      <c r="WCM20" s="48"/>
      <c r="WCX20" s="48"/>
      <c r="WDI20" s="48"/>
      <c r="WDT20" s="48"/>
      <c r="WEE20" s="48"/>
      <c r="WEP20" s="48"/>
      <c r="WFA20" s="48"/>
      <c r="WFL20" s="48"/>
      <c r="WFW20" s="48"/>
      <c r="WGH20" s="48"/>
      <c r="WGS20" s="48"/>
      <c r="WHD20" s="48"/>
      <c r="WHO20" s="48"/>
      <c r="WHZ20" s="48"/>
      <c r="WIK20" s="48"/>
      <c r="WIV20" s="48"/>
      <c r="WJG20" s="48"/>
      <c r="WJR20" s="48"/>
      <c r="WKC20" s="48"/>
      <c r="WKN20" s="48"/>
      <c r="WKY20" s="48"/>
      <c r="WLJ20" s="48"/>
      <c r="WLU20" s="48"/>
      <c r="WMF20" s="48"/>
      <c r="WMQ20" s="48"/>
      <c r="WNB20" s="48"/>
      <c r="WNM20" s="48"/>
      <c r="WNX20" s="48"/>
      <c r="WOI20" s="48"/>
      <c r="WOT20" s="48"/>
      <c r="WPE20" s="48"/>
      <c r="WPP20" s="48"/>
      <c r="WQA20" s="48"/>
      <c r="WQL20" s="48"/>
      <c r="WQW20" s="48"/>
      <c r="WRH20" s="48"/>
      <c r="WRS20" s="48"/>
      <c r="WSD20" s="48"/>
      <c r="WSO20" s="48"/>
      <c r="WSZ20" s="48"/>
      <c r="WTK20" s="48"/>
      <c r="WTV20" s="48"/>
      <c r="WUG20" s="48"/>
      <c r="WUR20" s="48"/>
      <c r="WVC20" s="48"/>
      <c r="WVN20" s="48"/>
      <c r="WVY20" s="48"/>
      <c r="WWJ20" s="48"/>
      <c r="WWU20" s="48"/>
      <c r="WXF20" s="48"/>
      <c r="WXQ20" s="48"/>
      <c r="WYB20" s="48"/>
      <c r="WYM20" s="48"/>
      <c r="WYX20" s="48"/>
      <c r="WZI20" s="48"/>
      <c r="WZT20" s="48"/>
      <c r="XAE20" s="48"/>
      <c r="XAP20" s="48"/>
      <c r="XBA20" s="48"/>
      <c r="XBL20" s="48"/>
      <c r="XBW20" s="48"/>
      <c r="XCH20" s="48"/>
      <c r="XCS20" s="48"/>
      <c r="XDD20" s="48"/>
      <c r="XDO20" s="48"/>
      <c r="XDZ20" s="48"/>
      <c r="XEK20" s="48"/>
      <c r="XEV20" s="48"/>
    </row>
    <row r="21" spans="1:1020 1031:2043 2054:3066 3077:4089 4100:5112 5123:6135 6146:7158 7169:8192 8203:9215 9226:10238 10249:11261 11272:12284 12295:13307 13318:14330 14341:15353 15364:16376" ht="15" hidden="1" customHeight="1">
      <c r="A21" t="str">
        <f ca="1">IF(COUNTIF(B21:T21,"n/a")&gt;0,"n/a","")</f>
        <v/>
      </c>
      <c r="D21" s="47" t="s">
        <v>641</v>
      </c>
      <c r="G21" s="427" t="str">
        <f ca="1">Lists!D10</f>
        <v>Miniflex</v>
      </c>
      <c r="H21" s="427"/>
      <c r="I21" s="11"/>
    </row>
    <row r="22" spans="1:1020 1031:2043 2054:3066 3077:4089 4100:5112 5123:6135 6146:7158 7169:8192 8203:9215 9226:10238 10249:11261 11272:12284 12295:13307 13318:14330 14341:15353 15364:16376" ht="7.2" customHeight="1">
      <c r="D22" s="47"/>
      <c r="G22" s="402"/>
      <c r="H22" s="402"/>
      <c r="I22" s="11"/>
    </row>
    <row r="23" spans="1:1020 1031:2043 2054:3066 3077:4089 4100:5112 5123:6135 6146:7158 7169:8192 8203:9215 9226:10238 10249:11261 11272:12284 12295:13307 13318:14330 14341:15353 15364:16376" s="47" customFormat="1" ht="17.25" customHeight="1">
      <c r="D23" s="47" t="s">
        <v>7</v>
      </c>
      <c r="F23" s="48"/>
      <c r="I23" s="49" t="s">
        <v>13</v>
      </c>
      <c r="M23" s="344"/>
      <c r="S23" s="48"/>
      <c r="AD23" s="48"/>
      <c r="AO23" s="48"/>
      <c r="AZ23" s="48"/>
      <c r="BK23" s="48"/>
      <c r="BV23" s="48"/>
      <c r="CG23" s="48"/>
      <c r="CR23" s="48"/>
      <c r="DC23" s="48"/>
      <c r="DN23" s="48"/>
      <c r="DY23" s="48"/>
      <c r="EJ23" s="48"/>
      <c r="EU23" s="48"/>
      <c r="FF23" s="48"/>
      <c r="FQ23" s="48"/>
      <c r="GB23" s="48"/>
      <c r="GM23" s="48"/>
      <c r="GX23" s="48"/>
      <c r="HI23" s="48"/>
      <c r="HT23" s="48"/>
      <c r="IE23" s="48"/>
      <c r="IP23" s="48"/>
      <c r="JA23" s="48"/>
      <c r="JL23" s="48"/>
      <c r="JW23" s="48"/>
      <c r="KH23" s="48"/>
      <c r="KS23" s="48"/>
      <c r="LD23" s="48"/>
      <c r="LO23" s="48"/>
      <c r="LZ23" s="48"/>
      <c r="MK23" s="48"/>
      <c r="MV23" s="48"/>
      <c r="NG23" s="48"/>
      <c r="NR23" s="48"/>
      <c r="OC23" s="48"/>
      <c r="ON23" s="48"/>
      <c r="OY23" s="48"/>
      <c r="PJ23" s="48"/>
      <c r="PU23" s="48"/>
      <c r="QF23" s="48"/>
      <c r="QQ23" s="48"/>
      <c r="RB23" s="48"/>
      <c r="RM23" s="48"/>
      <c r="RX23" s="48"/>
      <c r="SI23" s="48"/>
      <c r="ST23" s="48"/>
      <c r="TE23" s="48"/>
      <c r="TP23" s="48"/>
      <c r="UA23" s="48"/>
      <c r="UL23" s="48"/>
      <c r="UW23" s="48"/>
      <c r="VH23" s="48"/>
      <c r="VS23" s="48"/>
      <c r="WD23" s="48"/>
      <c r="WO23" s="48"/>
      <c r="WZ23" s="48"/>
      <c r="XK23" s="48"/>
      <c r="XV23" s="48"/>
      <c r="YG23" s="48"/>
      <c r="YR23" s="48"/>
      <c r="ZC23" s="48"/>
      <c r="ZN23" s="48"/>
      <c r="ZY23" s="48"/>
      <c r="AAJ23" s="48"/>
      <c r="AAU23" s="48"/>
      <c r="ABF23" s="48"/>
      <c r="ABQ23" s="48"/>
      <c r="ACB23" s="48"/>
      <c r="ACM23" s="48"/>
      <c r="ACX23" s="48"/>
      <c r="ADI23" s="48"/>
      <c r="ADT23" s="48"/>
      <c r="AEE23" s="48"/>
      <c r="AEP23" s="48"/>
      <c r="AFA23" s="48"/>
      <c r="AFL23" s="48"/>
      <c r="AFW23" s="48"/>
      <c r="AGH23" s="48"/>
      <c r="AGS23" s="48"/>
      <c r="AHD23" s="48"/>
      <c r="AHO23" s="48"/>
      <c r="AHZ23" s="48"/>
      <c r="AIK23" s="48"/>
      <c r="AIV23" s="48"/>
      <c r="AJG23" s="48"/>
      <c r="AJR23" s="48"/>
      <c r="AKC23" s="48"/>
      <c r="AKN23" s="48"/>
      <c r="AKY23" s="48"/>
      <c r="ALJ23" s="48"/>
      <c r="ALU23" s="48"/>
      <c r="AMF23" s="48"/>
      <c r="AMQ23" s="48"/>
      <c r="ANB23" s="48"/>
      <c r="ANM23" s="48"/>
      <c r="ANX23" s="48"/>
      <c r="AOI23" s="48"/>
      <c r="AOT23" s="48"/>
      <c r="APE23" s="48"/>
      <c r="APP23" s="48"/>
      <c r="AQA23" s="48"/>
      <c r="AQL23" s="48"/>
      <c r="AQW23" s="48"/>
      <c r="ARH23" s="48"/>
      <c r="ARS23" s="48"/>
      <c r="ASD23" s="48"/>
      <c r="ASO23" s="48"/>
      <c r="ASZ23" s="48"/>
      <c r="ATK23" s="48"/>
      <c r="ATV23" s="48"/>
      <c r="AUG23" s="48"/>
      <c r="AUR23" s="48"/>
      <c r="AVC23" s="48"/>
      <c r="AVN23" s="48"/>
      <c r="AVY23" s="48"/>
      <c r="AWJ23" s="48"/>
      <c r="AWU23" s="48"/>
      <c r="AXF23" s="48"/>
      <c r="AXQ23" s="48"/>
      <c r="AYB23" s="48"/>
      <c r="AYM23" s="48"/>
      <c r="AYX23" s="48"/>
      <c r="AZI23" s="48"/>
      <c r="AZT23" s="48"/>
      <c r="BAE23" s="48"/>
      <c r="BAP23" s="48"/>
      <c r="BBA23" s="48"/>
      <c r="BBL23" s="48"/>
      <c r="BBW23" s="48"/>
      <c r="BCH23" s="48"/>
      <c r="BCS23" s="48"/>
      <c r="BDD23" s="48"/>
      <c r="BDO23" s="48"/>
      <c r="BDZ23" s="48"/>
      <c r="BEK23" s="48"/>
      <c r="BEV23" s="48"/>
      <c r="BFG23" s="48"/>
      <c r="BFR23" s="48"/>
      <c r="BGC23" s="48"/>
      <c r="BGN23" s="48"/>
      <c r="BGY23" s="48"/>
      <c r="BHJ23" s="48"/>
      <c r="BHU23" s="48"/>
      <c r="BIF23" s="48"/>
      <c r="BIQ23" s="48"/>
      <c r="BJB23" s="48"/>
      <c r="BJM23" s="48"/>
      <c r="BJX23" s="48"/>
      <c r="BKI23" s="48"/>
      <c r="BKT23" s="48"/>
      <c r="BLE23" s="48"/>
      <c r="BLP23" s="48"/>
      <c r="BMA23" s="48"/>
      <c r="BML23" s="48"/>
      <c r="BMW23" s="48"/>
      <c r="BNH23" s="48"/>
      <c r="BNS23" s="48"/>
      <c r="BOD23" s="48"/>
      <c r="BOO23" s="48"/>
      <c r="BOZ23" s="48"/>
      <c r="BPK23" s="48"/>
      <c r="BPV23" s="48"/>
      <c r="BQG23" s="48"/>
      <c r="BQR23" s="48"/>
      <c r="BRC23" s="48"/>
      <c r="BRN23" s="48"/>
      <c r="BRY23" s="48"/>
      <c r="BSJ23" s="48"/>
      <c r="BSU23" s="48"/>
      <c r="BTF23" s="48"/>
      <c r="BTQ23" s="48"/>
      <c r="BUB23" s="48"/>
      <c r="BUM23" s="48"/>
      <c r="BUX23" s="48"/>
      <c r="BVI23" s="48"/>
      <c r="BVT23" s="48"/>
      <c r="BWE23" s="48"/>
      <c r="BWP23" s="48"/>
      <c r="BXA23" s="48"/>
      <c r="BXL23" s="48"/>
      <c r="BXW23" s="48"/>
      <c r="BYH23" s="48"/>
      <c r="BYS23" s="48"/>
      <c r="BZD23" s="48"/>
      <c r="BZO23" s="48"/>
      <c r="BZZ23" s="48"/>
      <c r="CAK23" s="48"/>
      <c r="CAV23" s="48"/>
      <c r="CBG23" s="48"/>
      <c r="CBR23" s="48"/>
      <c r="CCC23" s="48"/>
      <c r="CCN23" s="48"/>
      <c r="CCY23" s="48"/>
      <c r="CDJ23" s="48"/>
      <c r="CDU23" s="48"/>
      <c r="CEF23" s="48"/>
      <c r="CEQ23" s="48"/>
      <c r="CFB23" s="48"/>
      <c r="CFM23" s="48"/>
      <c r="CFX23" s="48"/>
      <c r="CGI23" s="48"/>
      <c r="CGT23" s="48"/>
      <c r="CHE23" s="48"/>
      <c r="CHP23" s="48"/>
      <c r="CIA23" s="48"/>
      <c r="CIL23" s="48"/>
      <c r="CIW23" s="48"/>
      <c r="CJH23" s="48"/>
      <c r="CJS23" s="48"/>
      <c r="CKD23" s="48"/>
      <c r="CKO23" s="48"/>
      <c r="CKZ23" s="48"/>
      <c r="CLK23" s="48"/>
      <c r="CLV23" s="48"/>
      <c r="CMG23" s="48"/>
      <c r="CMR23" s="48"/>
      <c r="CNC23" s="48"/>
      <c r="CNN23" s="48"/>
      <c r="CNY23" s="48"/>
      <c r="COJ23" s="48"/>
      <c r="COU23" s="48"/>
      <c r="CPF23" s="48"/>
      <c r="CPQ23" s="48"/>
      <c r="CQB23" s="48"/>
      <c r="CQM23" s="48"/>
      <c r="CQX23" s="48"/>
      <c r="CRI23" s="48"/>
      <c r="CRT23" s="48"/>
      <c r="CSE23" s="48"/>
      <c r="CSP23" s="48"/>
      <c r="CTA23" s="48"/>
      <c r="CTL23" s="48"/>
      <c r="CTW23" s="48"/>
      <c r="CUH23" s="48"/>
      <c r="CUS23" s="48"/>
      <c r="CVD23" s="48"/>
      <c r="CVO23" s="48"/>
      <c r="CVZ23" s="48"/>
      <c r="CWK23" s="48"/>
      <c r="CWV23" s="48"/>
      <c r="CXG23" s="48"/>
      <c r="CXR23" s="48"/>
      <c r="CYC23" s="48"/>
      <c r="CYN23" s="48"/>
      <c r="CYY23" s="48"/>
      <c r="CZJ23" s="48"/>
      <c r="CZU23" s="48"/>
      <c r="DAF23" s="48"/>
      <c r="DAQ23" s="48"/>
      <c r="DBB23" s="48"/>
      <c r="DBM23" s="48"/>
      <c r="DBX23" s="48"/>
      <c r="DCI23" s="48"/>
      <c r="DCT23" s="48"/>
      <c r="DDE23" s="48"/>
      <c r="DDP23" s="48"/>
      <c r="DEA23" s="48"/>
      <c r="DEL23" s="48"/>
      <c r="DEW23" s="48"/>
      <c r="DFH23" s="48"/>
      <c r="DFS23" s="48"/>
      <c r="DGD23" s="48"/>
      <c r="DGO23" s="48"/>
      <c r="DGZ23" s="48"/>
      <c r="DHK23" s="48"/>
      <c r="DHV23" s="48"/>
      <c r="DIG23" s="48"/>
      <c r="DIR23" s="48"/>
      <c r="DJC23" s="48"/>
      <c r="DJN23" s="48"/>
      <c r="DJY23" s="48"/>
      <c r="DKJ23" s="48"/>
      <c r="DKU23" s="48"/>
      <c r="DLF23" s="48"/>
      <c r="DLQ23" s="48"/>
      <c r="DMB23" s="48"/>
      <c r="DMM23" s="48"/>
      <c r="DMX23" s="48"/>
      <c r="DNI23" s="48"/>
      <c r="DNT23" s="48"/>
      <c r="DOE23" s="48"/>
      <c r="DOP23" s="48"/>
      <c r="DPA23" s="48"/>
      <c r="DPL23" s="48"/>
      <c r="DPW23" s="48"/>
      <c r="DQH23" s="48"/>
      <c r="DQS23" s="48"/>
      <c r="DRD23" s="48"/>
      <c r="DRO23" s="48"/>
      <c r="DRZ23" s="48"/>
      <c r="DSK23" s="48"/>
      <c r="DSV23" s="48"/>
      <c r="DTG23" s="48"/>
      <c r="DTR23" s="48"/>
      <c r="DUC23" s="48"/>
      <c r="DUN23" s="48"/>
      <c r="DUY23" s="48"/>
      <c r="DVJ23" s="48"/>
      <c r="DVU23" s="48"/>
      <c r="DWF23" s="48"/>
      <c r="DWQ23" s="48"/>
      <c r="DXB23" s="48"/>
      <c r="DXM23" s="48"/>
      <c r="DXX23" s="48"/>
      <c r="DYI23" s="48"/>
      <c r="DYT23" s="48"/>
      <c r="DZE23" s="48"/>
      <c r="DZP23" s="48"/>
      <c r="EAA23" s="48"/>
      <c r="EAL23" s="48"/>
      <c r="EAW23" s="48"/>
      <c r="EBH23" s="48"/>
      <c r="EBS23" s="48"/>
      <c r="ECD23" s="48"/>
      <c r="ECO23" s="48"/>
      <c r="ECZ23" s="48"/>
      <c r="EDK23" s="48"/>
      <c r="EDV23" s="48"/>
      <c r="EEG23" s="48"/>
      <c r="EER23" s="48"/>
      <c r="EFC23" s="48"/>
      <c r="EFN23" s="48"/>
      <c r="EFY23" s="48"/>
      <c r="EGJ23" s="48"/>
      <c r="EGU23" s="48"/>
      <c r="EHF23" s="48"/>
      <c r="EHQ23" s="48"/>
      <c r="EIB23" s="48"/>
      <c r="EIM23" s="48"/>
      <c r="EIX23" s="48"/>
      <c r="EJI23" s="48"/>
      <c r="EJT23" s="48"/>
      <c r="EKE23" s="48"/>
      <c r="EKP23" s="48"/>
      <c r="ELA23" s="48"/>
      <c r="ELL23" s="48"/>
      <c r="ELW23" s="48"/>
      <c r="EMH23" s="48"/>
      <c r="EMS23" s="48"/>
      <c r="END23" s="48"/>
      <c r="ENO23" s="48"/>
      <c r="ENZ23" s="48"/>
      <c r="EOK23" s="48"/>
      <c r="EOV23" s="48"/>
      <c r="EPG23" s="48"/>
      <c r="EPR23" s="48"/>
      <c r="EQC23" s="48"/>
      <c r="EQN23" s="48"/>
      <c r="EQY23" s="48"/>
      <c r="ERJ23" s="48"/>
      <c r="ERU23" s="48"/>
      <c r="ESF23" s="48"/>
      <c r="ESQ23" s="48"/>
      <c r="ETB23" s="48"/>
      <c r="ETM23" s="48"/>
      <c r="ETX23" s="48"/>
      <c r="EUI23" s="48"/>
      <c r="EUT23" s="48"/>
      <c r="EVE23" s="48"/>
      <c r="EVP23" s="48"/>
      <c r="EWA23" s="48"/>
      <c r="EWL23" s="48"/>
      <c r="EWW23" s="48"/>
      <c r="EXH23" s="48"/>
      <c r="EXS23" s="48"/>
      <c r="EYD23" s="48"/>
      <c r="EYO23" s="48"/>
      <c r="EYZ23" s="48"/>
      <c r="EZK23" s="48"/>
      <c r="EZV23" s="48"/>
      <c r="FAG23" s="48"/>
      <c r="FAR23" s="48"/>
      <c r="FBC23" s="48"/>
      <c r="FBN23" s="48"/>
      <c r="FBY23" s="48"/>
      <c r="FCJ23" s="48"/>
      <c r="FCU23" s="48"/>
      <c r="FDF23" s="48"/>
      <c r="FDQ23" s="48"/>
      <c r="FEB23" s="48"/>
      <c r="FEM23" s="48"/>
      <c r="FEX23" s="48"/>
      <c r="FFI23" s="48"/>
      <c r="FFT23" s="48"/>
      <c r="FGE23" s="48"/>
      <c r="FGP23" s="48"/>
      <c r="FHA23" s="48"/>
      <c r="FHL23" s="48"/>
      <c r="FHW23" s="48"/>
      <c r="FIH23" s="48"/>
      <c r="FIS23" s="48"/>
      <c r="FJD23" s="48"/>
      <c r="FJO23" s="48"/>
      <c r="FJZ23" s="48"/>
      <c r="FKK23" s="48"/>
      <c r="FKV23" s="48"/>
      <c r="FLG23" s="48"/>
      <c r="FLR23" s="48"/>
      <c r="FMC23" s="48"/>
      <c r="FMN23" s="48"/>
      <c r="FMY23" s="48"/>
      <c r="FNJ23" s="48"/>
      <c r="FNU23" s="48"/>
      <c r="FOF23" s="48"/>
      <c r="FOQ23" s="48"/>
      <c r="FPB23" s="48"/>
      <c r="FPM23" s="48"/>
      <c r="FPX23" s="48"/>
      <c r="FQI23" s="48"/>
      <c r="FQT23" s="48"/>
      <c r="FRE23" s="48"/>
      <c r="FRP23" s="48"/>
      <c r="FSA23" s="48"/>
      <c r="FSL23" s="48"/>
      <c r="FSW23" s="48"/>
      <c r="FTH23" s="48"/>
      <c r="FTS23" s="48"/>
      <c r="FUD23" s="48"/>
      <c r="FUO23" s="48"/>
      <c r="FUZ23" s="48"/>
      <c r="FVK23" s="48"/>
      <c r="FVV23" s="48"/>
      <c r="FWG23" s="48"/>
      <c r="FWR23" s="48"/>
      <c r="FXC23" s="48"/>
      <c r="FXN23" s="48"/>
      <c r="FXY23" s="48"/>
      <c r="FYJ23" s="48"/>
      <c r="FYU23" s="48"/>
      <c r="FZF23" s="48"/>
      <c r="FZQ23" s="48"/>
      <c r="GAB23" s="48"/>
      <c r="GAM23" s="48"/>
      <c r="GAX23" s="48"/>
      <c r="GBI23" s="48"/>
      <c r="GBT23" s="48"/>
      <c r="GCE23" s="48"/>
      <c r="GCP23" s="48"/>
      <c r="GDA23" s="48"/>
      <c r="GDL23" s="48"/>
      <c r="GDW23" s="48"/>
      <c r="GEH23" s="48"/>
      <c r="GES23" s="48"/>
      <c r="GFD23" s="48"/>
      <c r="GFO23" s="48"/>
      <c r="GFZ23" s="48"/>
      <c r="GGK23" s="48"/>
      <c r="GGV23" s="48"/>
      <c r="GHG23" s="48"/>
      <c r="GHR23" s="48"/>
      <c r="GIC23" s="48"/>
      <c r="GIN23" s="48"/>
      <c r="GIY23" s="48"/>
      <c r="GJJ23" s="48"/>
      <c r="GJU23" s="48"/>
      <c r="GKF23" s="48"/>
      <c r="GKQ23" s="48"/>
      <c r="GLB23" s="48"/>
      <c r="GLM23" s="48"/>
      <c r="GLX23" s="48"/>
      <c r="GMI23" s="48"/>
      <c r="GMT23" s="48"/>
      <c r="GNE23" s="48"/>
      <c r="GNP23" s="48"/>
      <c r="GOA23" s="48"/>
      <c r="GOL23" s="48"/>
      <c r="GOW23" s="48"/>
      <c r="GPH23" s="48"/>
      <c r="GPS23" s="48"/>
      <c r="GQD23" s="48"/>
      <c r="GQO23" s="48"/>
      <c r="GQZ23" s="48"/>
      <c r="GRK23" s="48"/>
      <c r="GRV23" s="48"/>
      <c r="GSG23" s="48"/>
      <c r="GSR23" s="48"/>
      <c r="GTC23" s="48"/>
      <c r="GTN23" s="48"/>
      <c r="GTY23" s="48"/>
      <c r="GUJ23" s="48"/>
      <c r="GUU23" s="48"/>
      <c r="GVF23" s="48"/>
      <c r="GVQ23" s="48"/>
      <c r="GWB23" s="48"/>
      <c r="GWM23" s="48"/>
      <c r="GWX23" s="48"/>
      <c r="GXI23" s="48"/>
      <c r="GXT23" s="48"/>
      <c r="GYE23" s="48"/>
      <c r="GYP23" s="48"/>
      <c r="GZA23" s="48"/>
      <c r="GZL23" s="48"/>
      <c r="GZW23" s="48"/>
      <c r="HAH23" s="48"/>
      <c r="HAS23" s="48"/>
      <c r="HBD23" s="48"/>
      <c r="HBO23" s="48"/>
      <c r="HBZ23" s="48"/>
      <c r="HCK23" s="48"/>
      <c r="HCV23" s="48"/>
      <c r="HDG23" s="48"/>
      <c r="HDR23" s="48"/>
      <c r="HEC23" s="48"/>
      <c r="HEN23" s="48"/>
      <c r="HEY23" s="48"/>
      <c r="HFJ23" s="48"/>
      <c r="HFU23" s="48"/>
      <c r="HGF23" s="48"/>
      <c r="HGQ23" s="48"/>
      <c r="HHB23" s="48"/>
      <c r="HHM23" s="48"/>
      <c r="HHX23" s="48"/>
      <c r="HII23" s="48"/>
      <c r="HIT23" s="48"/>
      <c r="HJE23" s="48"/>
      <c r="HJP23" s="48"/>
      <c r="HKA23" s="48"/>
      <c r="HKL23" s="48"/>
      <c r="HKW23" s="48"/>
      <c r="HLH23" s="48"/>
      <c r="HLS23" s="48"/>
      <c r="HMD23" s="48"/>
      <c r="HMO23" s="48"/>
      <c r="HMZ23" s="48"/>
      <c r="HNK23" s="48"/>
      <c r="HNV23" s="48"/>
      <c r="HOG23" s="48"/>
      <c r="HOR23" s="48"/>
      <c r="HPC23" s="48"/>
      <c r="HPN23" s="48"/>
      <c r="HPY23" s="48"/>
      <c r="HQJ23" s="48"/>
      <c r="HQU23" s="48"/>
      <c r="HRF23" s="48"/>
      <c r="HRQ23" s="48"/>
      <c r="HSB23" s="48"/>
      <c r="HSM23" s="48"/>
      <c r="HSX23" s="48"/>
      <c r="HTI23" s="48"/>
      <c r="HTT23" s="48"/>
      <c r="HUE23" s="48"/>
      <c r="HUP23" s="48"/>
      <c r="HVA23" s="48"/>
      <c r="HVL23" s="48"/>
      <c r="HVW23" s="48"/>
      <c r="HWH23" s="48"/>
      <c r="HWS23" s="48"/>
      <c r="HXD23" s="48"/>
      <c r="HXO23" s="48"/>
      <c r="HXZ23" s="48"/>
      <c r="HYK23" s="48"/>
      <c r="HYV23" s="48"/>
      <c r="HZG23" s="48"/>
      <c r="HZR23" s="48"/>
      <c r="IAC23" s="48"/>
      <c r="IAN23" s="48"/>
      <c r="IAY23" s="48"/>
      <c r="IBJ23" s="48"/>
      <c r="IBU23" s="48"/>
      <c r="ICF23" s="48"/>
      <c r="ICQ23" s="48"/>
      <c r="IDB23" s="48"/>
      <c r="IDM23" s="48"/>
      <c r="IDX23" s="48"/>
      <c r="IEI23" s="48"/>
      <c r="IET23" s="48"/>
      <c r="IFE23" s="48"/>
      <c r="IFP23" s="48"/>
      <c r="IGA23" s="48"/>
      <c r="IGL23" s="48"/>
      <c r="IGW23" s="48"/>
      <c r="IHH23" s="48"/>
      <c r="IHS23" s="48"/>
      <c r="IID23" s="48"/>
      <c r="IIO23" s="48"/>
      <c r="IIZ23" s="48"/>
      <c r="IJK23" s="48"/>
      <c r="IJV23" s="48"/>
      <c r="IKG23" s="48"/>
      <c r="IKR23" s="48"/>
      <c r="ILC23" s="48"/>
      <c r="ILN23" s="48"/>
      <c r="ILY23" s="48"/>
      <c r="IMJ23" s="48"/>
      <c r="IMU23" s="48"/>
      <c r="INF23" s="48"/>
      <c r="INQ23" s="48"/>
      <c r="IOB23" s="48"/>
      <c r="IOM23" s="48"/>
      <c r="IOX23" s="48"/>
      <c r="IPI23" s="48"/>
      <c r="IPT23" s="48"/>
      <c r="IQE23" s="48"/>
      <c r="IQP23" s="48"/>
      <c r="IRA23" s="48"/>
      <c r="IRL23" s="48"/>
      <c r="IRW23" s="48"/>
      <c r="ISH23" s="48"/>
      <c r="ISS23" s="48"/>
      <c r="ITD23" s="48"/>
      <c r="ITO23" s="48"/>
      <c r="ITZ23" s="48"/>
      <c r="IUK23" s="48"/>
      <c r="IUV23" s="48"/>
      <c r="IVG23" s="48"/>
      <c r="IVR23" s="48"/>
      <c r="IWC23" s="48"/>
      <c r="IWN23" s="48"/>
      <c r="IWY23" s="48"/>
      <c r="IXJ23" s="48"/>
      <c r="IXU23" s="48"/>
      <c r="IYF23" s="48"/>
      <c r="IYQ23" s="48"/>
      <c r="IZB23" s="48"/>
      <c r="IZM23" s="48"/>
      <c r="IZX23" s="48"/>
      <c r="JAI23" s="48"/>
      <c r="JAT23" s="48"/>
      <c r="JBE23" s="48"/>
      <c r="JBP23" s="48"/>
      <c r="JCA23" s="48"/>
      <c r="JCL23" s="48"/>
      <c r="JCW23" s="48"/>
      <c r="JDH23" s="48"/>
      <c r="JDS23" s="48"/>
      <c r="JED23" s="48"/>
      <c r="JEO23" s="48"/>
      <c r="JEZ23" s="48"/>
      <c r="JFK23" s="48"/>
      <c r="JFV23" s="48"/>
      <c r="JGG23" s="48"/>
      <c r="JGR23" s="48"/>
      <c r="JHC23" s="48"/>
      <c r="JHN23" s="48"/>
      <c r="JHY23" s="48"/>
      <c r="JIJ23" s="48"/>
      <c r="JIU23" s="48"/>
      <c r="JJF23" s="48"/>
      <c r="JJQ23" s="48"/>
      <c r="JKB23" s="48"/>
      <c r="JKM23" s="48"/>
      <c r="JKX23" s="48"/>
      <c r="JLI23" s="48"/>
      <c r="JLT23" s="48"/>
      <c r="JME23" s="48"/>
      <c r="JMP23" s="48"/>
      <c r="JNA23" s="48"/>
      <c r="JNL23" s="48"/>
      <c r="JNW23" s="48"/>
      <c r="JOH23" s="48"/>
      <c r="JOS23" s="48"/>
      <c r="JPD23" s="48"/>
      <c r="JPO23" s="48"/>
      <c r="JPZ23" s="48"/>
      <c r="JQK23" s="48"/>
      <c r="JQV23" s="48"/>
      <c r="JRG23" s="48"/>
      <c r="JRR23" s="48"/>
      <c r="JSC23" s="48"/>
      <c r="JSN23" s="48"/>
      <c r="JSY23" s="48"/>
      <c r="JTJ23" s="48"/>
      <c r="JTU23" s="48"/>
      <c r="JUF23" s="48"/>
      <c r="JUQ23" s="48"/>
      <c r="JVB23" s="48"/>
      <c r="JVM23" s="48"/>
      <c r="JVX23" s="48"/>
      <c r="JWI23" s="48"/>
      <c r="JWT23" s="48"/>
      <c r="JXE23" s="48"/>
      <c r="JXP23" s="48"/>
      <c r="JYA23" s="48"/>
      <c r="JYL23" s="48"/>
      <c r="JYW23" s="48"/>
      <c r="JZH23" s="48"/>
      <c r="JZS23" s="48"/>
      <c r="KAD23" s="48"/>
      <c r="KAO23" s="48"/>
      <c r="KAZ23" s="48"/>
      <c r="KBK23" s="48"/>
      <c r="KBV23" s="48"/>
      <c r="KCG23" s="48"/>
      <c r="KCR23" s="48"/>
      <c r="KDC23" s="48"/>
      <c r="KDN23" s="48"/>
      <c r="KDY23" s="48"/>
      <c r="KEJ23" s="48"/>
      <c r="KEU23" s="48"/>
      <c r="KFF23" s="48"/>
      <c r="KFQ23" s="48"/>
      <c r="KGB23" s="48"/>
      <c r="KGM23" s="48"/>
      <c r="KGX23" s="48"/>
      <c r="KHI23" s="48"/>
      <c r="KHT23" s="48"/>
      <c r="KIE23" s="48"/>
      <c r="KIP23" s="48"/>
      <c r="KJA23" s="48"/>
      <c r="KJL23" s="48"/>
      <c r="KJW23" s="48"/>
      <c r="KKH23" s="48"/>
      <c r="KKS23" s="48"/>
      <c r="KLD23" s="48"/>
      <c r="KLO23" s="48"/>
      <c r="KLZ23" s="48"/>
      <c r="KMK23" s="48"/>
      <c r="KMV23" s="48"/>
      <c r="KNG23" s="48"/>
      <c r="KNR23" s="48"/>
      <c r="KOC23" s="48"/>
      <c r="KON23" s="48"/>
      <c r="KOY23" s="48"/>
      <c r="KPJ23" s="48"/>
      <c r="KPU23" s="48"/>
      <c r="KQF23" s="48"/>
      <c r="KQQ23" s="48"/>
      <c r="KRB23" s="48"/>
      <c r="KRM23" s="48"/>
      <c r="KRX23" s="48"/>
      <c r="KSI23" s="48"/>
      <c r="KST23" s="48"/>
      <c r="KTE23" s="48"/>
      <c r="KTP23" s="48"/>
      <c r="KUA23" s="48"/>
      <c r="KUL23" s="48"/>
      <c r="KUW23" s="48"/>
      <c r="KVH23" s="48"/>
      <c r="KVS23" s="48"/>
      <c r="KWD23" s="48"/>
      <c r="KWO23" s="48"/>
      <c r="KWZ23" s="48"/>
      <c r="KXK23" s="48"/>
      <c r="KXV23" s="48"/>
      <c r="KYG23" s="48"/>
      <c r="KYR23" s="48"/>
      <c r="KZC23" s="48"/>
      <c r="KZN23" s="48"/>
      <c r="KZY23" s="48"/>
      <c r="LAJ23" s="48"/>
      <c r="LAU23" s="48"/>
      <c r="LBF23" s="48"/>
      <c r="LBQ23" s="48"/>
      <c r="LCB23" s="48"/>
      <c r="LCM23" s="48"/>
      <c r="LCX23" s="48"/>
      <c r="LDI23" s="48"/>
      <c r="LDT23" s="48"/>
      <c r="LEE23" s="48"/>
      <c r="LEP23" s="48"/>
      <c r="LFA23" s="48"/>
      <c r="LFL23" s="48"/>
      <c r="LFW23" s="48"/>
      <c r="LGH23" s="48"/>
      <c r="LGS23" s="48"/>
      <c r="LHD23" s="48"/>
      <c r="LHO23" s="48"/>
      <c r="LHZ23" s="48"/>
      <c r="LIK23" s="48"/>
      <c r="LIV23" s="48"/>
      <c r="LJG23" s="48"/>
      <c r="LJR23" s="48"/>
      <c r="LKC23" s="48"/>
      <c r="LKN23" s="48"/>
      <c r="LKY23" s="48"/>
      <c r="LLJ23" s="48"/>
      <c r="LLU23" s="48"/>
      <c r="LMF23" s="48"/>
      <c r="LMQ23" s="48"/>
      <c r="LNB23" s="48"/>
      <c r="LNM23" s="48"/>
      <c r="LNX23" s="48"/>
      <c r="LOI23" s="48"/>
      <c r="LOT23" s="48"/>
      <c r="LPE23" s="48"/>
      <c r="LPP23" s="48"/>
      <c r="LQA23" s="48"/>
      <c r="LQL23" s="48"/>
      <c r="LQW23" s="48"/>
      <c r="LRH23" s="48"/>
      <c r="LRS23" s="48"/>
      <c r="LSD23" s="48"/>
      <c r="LSO23" s="48"/>
      <c r="LSZ23" s="48"/>
      <c r="LTK23" s="48"/>
      <c r="LTV23" s="48"/>
      <c r="LUG23" s="48"/>
      <c r="LUR23" s="48"/>
      <c r="LVC23" s="48"/>
      <c r="LVN23" s="48"/>
      <c r="LVY23" s="48"/>
      <c r="LWJ23" s="48"/>
      <c r="LWU23" s="48"/>
      <c r="LXF23" s="48"/>
      <c r="LXQ23" s="48"/>
      <c r="LYB23" s="48"/>
      <c r="LYM23" s="48"/>
      <c r="LYX23" s="48"/>
      <c r="LZI23" s="48"/>
      <c r="LZT23" s="48"/>
      <c r="MAE23" s="48"/>
      <c r="MAP23" s="48"/>
      <c r="MBA23" s="48"/>
      <c r="MBL23" s="48"/>
      <c r="MBW23" s="48"/>
      <c r="MCH23" s="48"/>
      <c r="MCS23" s="48"/>
      <c r="MDD23" s="48"/>
      <c r="MDO23" s="48"/>
      <c r="MDZ23" s="48"/>
      <c r="MEK23" s="48"/>
      <c r="MEV23" s="48"/>
      <c r="MFG23" s="48"/>
      <c r="MFR23" s="48"/>
      <c r="MGC23" s="48"/>
      <c r="MGN23" s="48"/>
      <c r="MGY23" s="48"/>
      <c r="MHJ23" s="48"/>
      <c r="MHU23" s="48"/>
      <c r="MIF23" s="48"/>
      <c r="MIQ23" s="48"/>
      <c r="MJB23" s="48"/>
      <c r="MJM23" s="48"/>
      <c r="MJX23" s="48"/>
      <c r="MKI23" s="48"/>
      <c r="MKT23" s="48"/>
      <c r="MLE23" s="48"/>
      <c r="MLP23" s="48"/>
      <c r="MMA23" s="48"/>
      <c r="MML23" s="48"/>
      <c r="MMW23" s="48"/>
      <c r="MNH23" s="48"/>
      <c r="MNS23" s="48"/>
      <c r="MOD23" s="48"/>
      <c r="MOO23" s="48"/>
      <c r="MOZ23" s="48"/>
      <c r="MPK23" s="48"/>
      <c r="MPV23" s="48"/>
      <c r="MQG23" s="48"/>
      <c r="MQR23" s="48"/>
      <c r="MRC23" s="48"/>
      <c r="MRN23" s="48"/>
      <c r="MRY23" s="48"/>
      <c r="MSJ23" s="48"/>
      <c r="MSU23" s="48"/>
      <c r="MTF23" s="48"/>
      <c r="MTQ23" s="48"/>
      <c r="MUB23" s="48"/>
      <c r="MUM23" s="48"/>
      <c r="MUX23" s="48"/>
      <c r="MVI23" s="48"/>
      <c r="MVT23" s="48"/>
      <c r="MWE23" s="48"/>
      <c r="MWP23" s="48"/>
      <c r="MXA23" s="48"/>
      <c r="MXL23" s="48"/>
      <c r="MXW23" s="48"/>
      <c r="MYH23" s="48"/>
      <c r="MYS23" s="48"/>
      <c r="MZD23" s="48"/>
      <c r="MZO23" s="48"/>
      <c r="MZZ23" s="48"/>
      <c r="NAK23" s="48"/>
      <c r="NAV23" s="48"/>
      <c r="NBG23" s="48"/>
      <c r="NBR23" s="48"/>
      <c r="NCC23" s="48"/>
      <c r="NCN23" s="48"/>
      <c r="NCY23" s="48"/>
      <c r="NDJ23" s="48"/>
      <c r="NDU23" s="48"/>
      <c r="NEF23" s="48"/>
      <c r="NEQ23" s="48"/>
      <c r="NFB23" s="48"/>
      <c r="NFM23" s="48"/>
      <c r="NFX23" s="48"/>
      <c r="NGI23" s="48"/>
      <c r="NGT23" s="48"/>
      <c r="NHE23" s="48"/>
      <c r="NHP23" s="48"/>
      <c r="NIA23" s="48"/>
      <c r="NIL23" s="48"/>
      <c r="NIW23" s="48"/>
      <c r="NJH23" s="48"/>
      <c r="NJS23" s="48"/>
      <c r="NKD23" s="48"/>
      <c r="NKO23" s="48"/>
      <c r="NKZ23" s="48"/>
      <c r="NLK23" s="48"/>
      <c r="NLV23" s="48"/>
      <c r="NMG23" s="48"/>
      <c r="NMR23" s="48"/>
      <c r="NNC23" s="48"/>
      <c r="NNN23" s="48"/>
      <c r="NNY23" s="48"/>
      <c r="NOJ23" s="48"/>
      <c r="NOU23" s="48"/>
      <c r="NPF23" s="48"/>
      <c r="NPQ23" s="48"/>
      <c r="NQB23" s="48"/>
      <c r="NQM23" s="48"/>
      <c r="NQX23" s="48"/>
      <c r="NRI23" s="48"/>
      <c r="NRT23" s="48"/>
      <c r="NSE23" s="48"/>
      <c r="NSP23" s="48"/>
      <c r="NTA23" s="48"/>
      <c r="NTL23" s="48"/>
      <c r="NTW23" s="48"/>
      <c r="NUH23" s="48"/>
      <c r="NUS23" s="48"/>
      <c r="NVD23" s="48"/>
      <c r="NVO23" s="48"/>
      <c r="NVZ23" s="48"/>
      <c r="NWK23" s="48"/>
      <c r="NWV23" s="48"/>
      <c r="NXG23" s="48"/>
      <c r="NXR23" s="48"/>
      <c r="NYC23" s="48"/>
      <c r="NYN23" s="48"/>
      <c r="NYY23" s="48"/>
      <c r="NZJ23" s="48"/>
      <c r="NZU23" s="48"/>
      <c r="OAF23" s="48"/>
      <c r="OAQ23" s="48"/>
      <c r="OBB23" s="48"/>
      <c r="OBM23" s="48"/>
      <c r="OBX23" s="48"/>
      <c r="OCI23" s="48"/>
      <c r="OCT23" s="48"/>
      <c r="ODE23" s="48"/>
      <c r="ODP23" s="48"/>
      <c r="OEA23" s="48"/>
      <c r="OEL23" s="48"/>
      <c r="OEW23" s="48"/>
      <c r="OFH23" s="48"/>
      <c r="OFS23" s="48"/>
      <c r="OGD23" s="48"/>
      <c r="OGO23" s="48"/>
      <c r="OGZ23" s="48"/>
      <c r="OHK23" s="48"/>
      <c r="OHV23" s="48"/>
      <c r="OIG23" s="48"/>
      <c r="OIR23" s="48"/>
      <c r="OJC23" s="48"/>
      <c r="OJN23" s="48"/>
      <c r="OJY23" s="48"/>
      <c r="OKJ23" s="48"/>
      <c r="OKU23" s="48"/>
      <c r="OLF23" s="48"/>
      <c r="OLQ23" s="48"/>
      <c r="OMB23" s="48"/>
      <c r="OMM23" s="48"/>
      <c r="OMX23" s="48"/>
      <c r="ONI23" s="48"/>
      <c r="ONT23" s="48"/>
      <c r="OOE23" s="48"/>
      <c r="OOP23" s="48"/>
      <c r="OPA23" s="48"/>
      <c r="OPL23" s="48"/>
      <c r="OPW23" s="48"/>
      <c r="OQH23" s="48"/>
      <c r="OQS23" s="48"/>
      <c r="ORD23" s="48"/>
      <c r="ORO23" s="48"/>
      <c r="ORZ23" s="48"/>
      <c r="OSK23" s="48"/>
      <c r="OSV23" s="48"/>
      <c r="OTG23" s="48"/>
      <c r="OTR23" s="48"/>
      <c r="OUC23" s="48"/>
      <c r="OUN23" s="48"/>
      <c r="OUY23" s="48"/>
      <c r="OVJ23" s="48"/>
      <c r="OVU23" s="48"/>
      <c r="OWF23" s="48"/>
      <c r="OWQ23" s="48"/>
      <c r="OXB23" s="48"/>
      <c r="OXM23" s="48"/>
      <c r="OXX23" s="48"/>
      <c r="OYI23" s="48"/>
      <c r="OYT23" s="48"/>
      <c r="OZE23" s="48"/>
      <c r="OZP23" s="48"/>
      <c r="PAA23" s="48"/>
      <c r="PAL23" s="48"/>
      <c r="PAW23" s="48"/>
      <c r="PBH23" s="48"/>
      <c r="PBS23" s="48"/>
      <c r="PCD23" s="48"/>
      <c r="PCO23" s="48"/>
      <c r="PCZ23" s="48"/>
      <c r="PDK23" s="48"/>
      <c r="PDV23" s="48"/>
      <c r="PEG23" s="48"/>
      <c r="PER23" s="48"/>
      <c r="PFC23" s="48"/>
      <c r="PFN23" s="48"/>
      <c r="PFY23" s="48"/>
      <c r="PGJ23" s="48"/>
      <c r="PGU23" s="48"/>
      <c r="PHF23" s="48"/>
      <c r="PHQ23" s="48"/>
      <c r="PIB23" s="48"/>
      <c r="PIM23" s="48"/>
      <c r="PIX23" s="48"/>
      <c r="PJI23" s="48"/>
      <c r="PJT23" s="48"/>
      <c r="PKE23" s="48"/>
      <c r="PKP23" s="48"/>
      <c r="PLA23" s="48"/>
      <c r="PLL23" s="48"/>
      <c r="PLW23" s="48"/>
      <c r="PMH23" s="48"/>
      <c r="PMS23" s="48"/>
      <c r="PND23" s="48"/>
      <c r="PNO23" s="48"/>
      <c r="PNZ23" s="48"/>
      <c r="POK23" s="48"/>
      <c r="POV23" s="48"/>
      <c r="PPG23" s="48"/>
      <c r="PPR23" s="48"/>
      <c r="PQC23" s="48"/>
      <c r="PQN23" s="48"/>
      <c r="PQY23" s="48"/>
      <c r="PRJ23" s="48"/>
      <c r="PRU23" s="48"/>
      <c r="PSF23" s="48"/>
      <c r="PSQ23" s="48"/>
      <c r="PTB23" s="48"/>
      <c r="PTM23" s="48"/>
      <c r="PTX23" s="48"/>
      <c r="PUI23" s="48"/>
      <c r="PUT23" s="48"/>
      <c r="PVE23" s="48"/>
      <c r="PVP23" s="48"/>
      <c r="PWA23" s="48"/>
      <c r="PWL23" s="48"/>
      <c r="PWW23" s="48"/>
      <c r="PXH23" s="48"/>
      <c r="PXS23" s="48"/>
      <c r="PYD23" s="48"/>
      <c r="PYO23" s="48"/>
      <c r="PYZ23" s="48"/>
      <c r="PZK23" s="48"/>
      <c r="PZV23" s="48"/>
      <c r="QAG23" s="48"/>
      <c r="QAR23" s="48"/>
      <c r="QBC23" s="48"/>
      <c r="QBN23" s="48"/>
      <c r="QBY23" s="48"/>
      <c r="QCJ23" s="48"/>
      <c r="QCU23" s="48"/>
      <c r="QDF23" s="48"/>
      <c r="QDQ23" s="48"/>
      <c r="QEB23" s="48"/>
      <c r="QEM23" s="48"/>
      <c r="QEX23" s="48"/>
      <c r="QFI23" s="48"/>
      <c r="QFT23" s="48"/>
      <c r="QGE23" s="48"/>
      <c r="QGP23" s="48"/>
      <c r="QHA23" s="48"/>
      <c r="QHL23" s="48"/>
      <c r="QHW23" s="48"/>
      <c r="QIH23" s="48"/>
      <c r="QIS23" s="48"/>
      <c r="QJD23" s="48"/>
      <c r="QJO23" s="48"/>
      <c r="QJZ23" s="48"/>
      <c r="QKK23" s="48"/>
      <c r="QKV23" s="48"/>
      <c r="QLG23" s="48"/>
      <c r="QLR23" s="48"/>
      <c r="QMC23" s="48"/>
      <c r="QMN23" s="48"/>
      <c r="QMY23" s="48"/>
      <c r="QNJ23" s="48"/>
      <c r="QNU23" s="48"/>
      <c r="QOF23" s="48"/>
      <c r="QOQ23" s="48"/>
      <c r="QPB23" s="48"/>
      <c r="QPM23" s="48"/>
      <c r="QPX23" s="48"/>
      <c r="QQI23" s="48"/>
      <c r="QQT23" s="48"/>
      <c r="QRE23" s="48"/>
      <c r="QRP23" s="48"/>
      <c r="QSA23" s="48"/>
      <c r="QSL23" s="48"/>
      <c r="QSW23" s="48"/>
      <c r="QTH23" s="48"/>
      <c r="QTS23" s="48"/>
      <c r="QUD23" s="48"/>
      <c r="QUO23" s="48"/>
      <c r="QUZ23" s="48"/>
      <c r="QVK23" s="48"/>
      <c r="QVV23" s="48"/>
      <c r="QWG23" s="48"/>
      <c r="QWR23" s="48"/>
      <c r="QXC23" s="48"/>
      <c r="QXN23" s="48"/>
      <c r="QXY23" s="48"/>
      <c r="QYJ23" s="48"/>
      <c r="QYU23" s="48"/>
      <c r="QZF23" s="48"/>
      <c r="QZQ23" s="48"/>
      <c r="RAB23" s="48"/>
      <c r="RAM23" s="48"/>
      <c r="RAX23" s="48"/>
      <c r="RBI23" s="48"/>
      <c r="RBT23" s="48"/>
      <c r="RCE23" s="48"/>
      <c r="RCP23" s="48"/>
      <c r="RDA23" s="48"/>
      <c r="RDL23" s="48"/>
      <c r="RDW23" s="48"/>
      <c r="REH23" s="48"/>
      <c r="RES23" s="48"/>
      <c r="RFD23" s="48"/>
      <c r="RFO23" s="48"/>
      <c r="RFZ23" s="48"/>
      <c r="RGK23" s="48"/>
      <c r="RGV23" s="48"/>
      <c r="RHG23" s="48"/>
      <c r="RHR23" s="48"/>
      <c r="RIC23" s="48"/>
      <c r="RIN23" s="48"/>
      <c r="RIY23" s="48"/>
      <c r="RJJ23" s="48"/>
      <c r="RJU23" s="48"/>
      <c r="RKF23" s="48"/>
      <c r="RKQ23" s="48"/>
      <c r="RLB23" s="48"/>
      <c r="RLM23" s="48"/>
      <c r="RLX23" s="48"/>
      <c r="RMI23" s="48"/>
      <c r="RMT23" s="48"/>
      <c r="RNE23" s="48"/>
      <c r="RNP23" s="48"/>
      <c r="ROA23" s="48"/>
      <c r="ROL23" s="48"/>
      <c r="ROW23" s="48"/>
      <c r="RPH23" s="48"/>
      <c r="RPS23" s="48"/>
      <c r="RQD23" s="48"/>
      <c r="RQO23" s="48"/>
      <c r="RQZ23" s="48"/>
      <c r="RRK23" s="48"/>
      <c r="RRV23" s="48"/>
      <c r="RSG23" s="48"/>
      <c r="RSR23" s="48"/>
      <c r="RTC23" s="48"/>
      <c r="RTN23" s="48"/>
      <c r="RTY23" s="48"/>
      <c r="RUJ23" s="48"/>
      <c r="RUU23" s="48"/>
      <c r="RVF23" s="48"/>
      <c r="RVQ23" s="48"/>
      <c r="RWB23" s="48"/>
      <c r="RWM23" s="48"/>
      <c r="RWX23" s="48"/>
      <c r="RXI23" s="48"/>
      <c r="RXT23" s="48"/>
      <c r="RYE23" s="48"/>
      <c r="RYP23" s="48"/>
      <c r="RZA23" s="48"/>
      <c r="RZL23" s="48"/>
      <c r="RZW23" s="48"/>
      <c r="SAH23" s="48"/>
      <c r="SAS23" s="48"/>
      <c r="SBD23" s="48"/>
      <c r="SBO23" s="48"/>
      <c r="SBZ23" s="48"/>
      <c r="SCK23" s="48"/>
      <c r="SCV23" s="48"/>
      <c r="SDG23" s="48"/>
      <c r="SDR23" s="48"/>
      <c r="SEC23" s="48"/>
      <c r="SEN23" s="48"/>
      <c r="SEY23" s="48"/>
      <c r="SFJ23" s="48"/>
      <c r="SFU23" s="48"/>
      <c r="SGF23" s="48"/>
      <c r="SGQ23" s="48"/>
      <c r="SHB23" s="48"/>
      <c r="SHM23" s="48"/>
      <c r="SHX23" s="48"/>
      <c r="SII23" s="48"/>
      <c r="SIT23" s="48"/>
      <c r="SJE23" s="48"/>
      <c r="SJP23" s="48"/>
      <c r="SKA23" s="48"/>
      <c r="SKL23" s="48"/>
      <c r="SKW23" s="48"/>
      <c r="SLH23" s="48"/>
      <c r="SLS23" s="48"/>
      <c r="SMD23" s="48"/>
      <c r="SMO23" s="48"/>
      <c r="SMZ23" s="48"/>
      <c r="SNK23" s="48"/>
      <c r="SNV23" s="48"/>
      <c r="SOG23" s="48"/>
      <c r="SOR23" s="48"/>
      <c r="SPC23" s="48"/>
      <c r="SPN23" s="48"/>
      <c r="SPY23" s="48"/>
      <c r="SQJ23" s="48"/>
      <c r="SQU23" s="48"/>
      <c r="SRF23" s="48"/>
      <c r="SRQ23" s="48"/>
      <c r="SSB23" s="48"/>
      <c r="SSM23" s="48"/>
      <c r="SSX23" s="48"/>
      <c r="STI23" s="48"/>
      <c r="STT23" s="48"/>
      <c r="SUE23" s="48"/>
      <c r="SUP23" s="48"/>
      <c r="SVA23" s="48"/>
      <c r="SVL23" s="48"/>
      <c r="SVW23" s="48"/>
      <c r="SWH23" s="48"/>
      <c r="SWS23" s="48"/>
      <c r="SXD23" s="48"/>
      <c r="SXO23" s="48"/>
      <c r="SXZ23" s="48"/>
      <c r="SYK23" s="48"/>
      <c r="SYV23" s="48"/>
      <c r="SZG23" s="48"/>
      <c r="SZR23" s="48"/>
      <c r="TAC23" s="48"/>
      <c r="TAN23" s="48"/>
      <c r="TAY23" s="48"/>
      <c r="TBJ23" s="48"/>
      <c r="TBU23" s="48"/>
      <c r="TCF23" s="48"/>
      <c r="TCQ23" s="48"/>
      <c r="TDB23" s="48"/>
      <c r="TDM23" s="48"/>
      <c r="TDX23" s="48"/>
      <c r="TEI23" s="48"/>
      <c r="TET23" s="48"/>
      <c r="TFE23" s="48"/>
      <c r="TFP23" s="48"/>
      <c r="TGA23" s="48"/>
      <c r="TGL23" s="48"/>
      <c r="TGW23" s="48"/>
      <c r="THH23" s="48"/>
      <c r="THS23" s="48"/>
      <c r="TID23" s="48"/>
      <c r="TIO23" s="48"/>
      <c r="TIZ23" s="48"/>
      <c r="TJK23" s="48"/>
      <c r="TJV23" s="48"/>
      <c r="TKG23" s="48"/>
      <c r="TKR23" s="48"/>
      <c r="TLC23" s="48"/>
      <c r="TLN23" s="48"/>
      <c r="TLY23" s="48"/>
      <c r="TMJ23" s="48"/>
      <c r="TMU23" s="48"/>
      <c r="TNF23" s="48"/>
      <c r="TNQ23" s="48"/>
      <c r="TOB23" s="48"/>
      <c r="TOM23" s="48"/>
      <c r="TOX23" s="48"/>
      <c r="TPI23" s="48"/>
      <c r="TPT23" s="48"/>
      <c r="TQE23" s="48"/>
      <c r="TQP23" s="48"/>
      <c r="TRA23" s="48"/>
      <c r="TRL23" s="48"/>
      <c r="TRW23" s="48"/>
      <c r="TSH23" s="48"/>
      <c r="TSS23" s="48"/>
      <c r="TTD23" s="48"/>
      <c r="TTO23" s="48"/>
      <c r="TTZ23" s="48"/>
      <c r="TUK23" s="48"/>
      <c r="TUV23" s="48"/>
      <c r="TVG23" s="48"/>
      <c r="TVR23" s="48"/>
      <c r="TWC23" s="48"/>
      <c r="TWN23" s="48"/>
      <c r="TWY23" s="48"/>
      <c r="TXJ23" s="48"/>
      <c r="TXU23" s="48"/>
      <c r="TYF23" s="48"/>
      <c r="TYQ23" s="48"/>
      <c r="TZB23" s="48"/>
      <c r="TZM23" s="48"/>
      <c r="TZX23" s="48"/>
      <c r="UAI23" s="48"/>
      <c r="UAT23" s="48"/>
      <c r="UBE23" s="48"/>
      <c r="UBP23" s="48"/>
      <c r="UCA23" s="48"/>
      <c r="UCL23" s="48"/>
      <c r="UCW23" s="48"/>
      <c r="UDH23" s="48"/>
      <c r="UDS23" s="48"/>
      <c r="UED23" s="48"/>
      <c r="UEO23" s="48"/>
      <c r="UEZ23" s="48"/>
      <c r="UFK23" s="48"/>
      <c r="UFV23" s="48"/>
      <c r="UGG23" s="48"/>
      <c r="UGR23" s="48"/>
      <c r="UHC23" s="48"/>
      <c r="UHN23" s="48"/>
      <c r="UHY23" s="48"/>
      <c r="UIJ23" s="48"/>
      <c r="UIU23" s="48"/>
      <c r="UJF23" s="48"/>
      <c r="UJQ23" s="48"/>
      <c r="UKB23" s="48"/>
      <c r="UKM23" s="48"/>
      <c r="UKX23" s="48"/>
      <c r="ULI23" s="48"/>
      <c r="ULT23" s="48"/>
      <c r="UME23" s="48"/>
      <c r="UMP23" s="48"/>
      <c r="UNA23" s="48"/>
      <c r="UNL23" s="48"/>
      <c r="UNW23" s="48"/>
      <c r="UOH23" s="48"/>
      <c r="UOS23" s="48"/>
      <c r="UPD23" s="48"/>
      <c r="UPO23" s="48"/>
      <c r="UPZ23" s="48"/>
      <c r="UQK23" s="48"/>
      <c r="UQV23" s="48"/>
      <c r="URG23" s="48"/>
      <c r="URR23" s="48"/>
      <c r="USC23" s="48"/>
      <c r="USN23" s="48"/>
      <c r="USY23" s="48"/>
      <c r="UTJ23" s="48"/>
      <c r="UTU23" s="48"/>
      <c r="UUF23" s="48"/>
      <c r="UUQ23" s="48"/>
      <c r="UVB23" s="48"/>
      <c r="UVM23" s="48"/>
      <c r="UVX23" s="48"/>
      <c r="UWI23" s="48"/>
      <c r="UWT23" s="48"/>
      <c r="UXE23" s="48"/>
      <c r="UXP23" s="48"/>
      <c r="UYA23" s="48"/>
      <c r="UYL23" s="48"/>
      <c r="UYW23" s="48"/>
      <c r="UZH23" s="48"/>
      <c r="UZS23" s="48"/>
      <c r="VAD23" s="48"/>
      <c r="VAO23" s="48"/>
      <c r="VAZ23" s="48"/>
      <c r="VBK23" s="48"/>
      <c r="VBV23" s="48"/>
      <c r="VCG23" s="48"/>
      <c r="VCR23" s="48"/>
      <c r="VDC23" s="48"/>
      <c r="VDN23" s="48"/>
      <c r="VDY23" s="48"/>
      <c r="VEJ23" s="48"/>
      <c r="VEU23" s="48"/>
      <c r="VFF23" s="48"/>
      <c r="VFQ23" s="48"/>
      <c r="VGB23" s="48"/>
      <c r="VGM23" s="48"/>
      <c r="VGX23" s="48"/>
      <c r="VHI23" s="48"/>
      <c r="VHT23" s="48"/>
      <c r="VIE23" s="48"/>
      <c r="VIP23" s="48"/>
      <c r="VJA23" s="48"/>
      <c r="VJL23" s="48"/>
      <c r="VJW23" s="48"/>
      <c r="VKH23" s="48"/>
      <c r="VKS23" s="48"/>
      <c r="VLD23" s="48"/>
      <c r="VLO23" s="48"/>
      <c r="VLZ23" s="48"/>
      <c r="VMK23" s="48"/>
      <c r="VMV23" s="48"/>
      <c r="VNG23" s="48"/>
      <c r="VNR23" s="48"/>
      <c r="VOC23" s="48"/>
      <c r="VON23" s="48"/>
      <c r="VOY23" s="48"/>
      <c r="VPJ23" s="48"/>
      <c r="VPU23" s="48"/>
      <c r="VQF23" s="48"/>
      <c r="VQQ23" s="48"/>
      <c r="VRB23" s="48"/>
      <c r="VRM23" s="48"/>
      <c r="VRX23" s="48"/>
      <c r="VSI23" s="48"/>
      <c r="VST23" s="48"/>
      <c r="VTE23" s="48"/>
      <c r="VTP23" s="48"/>
      <c r="VUA23" s="48"/>
      <c r="VUL23" s="48"/>
      <c r="VUW23" s="48"/>
      <c r="VVH23" s="48"/>
      <c r="VVS23" s="48"/>
      <c r="VWD23" s="48"/>
      <c r="VWO23" s="48"/>
      <c r="VWZ23" s="48"/>
      <c r="VXK23" s="48"/>
      <c r="VXV23" s="48"/>
      <c r="VYG23" s="48"/>
      <c r="VYR23" s="48"/>
      <c r="VZC23" s="48"/>
      <c r="VZN23" s="48"/>
      <c r="VZY23" s="48"/>
      <c r="WAJ23" s="48"/>
      <c r="WAU23" s="48"/>
      <c r="WBF23" s="48"/>
      <c r="WBQ23" s="48"/>
      <c r="WCB23" s="48"/>
      <c r="WCM23" s="48"/>
      <c r="WCX23" s="48"/>
      <c r="WDI23" s="48"/>
      <c r="WDT23" s="48"/>
      <c r="WEE23" s="48"/>
      <c r="WEP23" s="48"/>
      <c r="WFA23" s="48"/>
      <c r="WFL23" s="48"/>
      <c r="WFW23" s="48"/>
      <c r="WGH23" s="48"/>
      <c r="WGS23" s="48"/>
      <c r="WHD23" s="48"/>
      <c r="WHO23" s="48"/>
      <c r="WHZ23" s="48"/>
      <c r="WIK23" s="48"/>
      <c r="WIV23" s="48"/>
      <c r="WJG23" s="48"/>
      <c r="WJR23" s="48"/>
      <c r="WKC23" s="48"/>
      <c r="WKN23" s="48"/>
      <c r="WKY23" s="48"/>
      <c r="WLJ23" s="48"/>
      <c r="WLU23" s="48"/>
      <c r="WMF23" s="48"/>
      <c r="WMQ23" s="48"/>
      <c r="WNB23" s="48"/>
      <c r="WNM23" s="48"/>
      <c r="WNX23" s="48"/>
      <c r="WOI23" s="48"/>
      <c r="WOT23" s="48"/>
      <c r="WPE23" s="48"/>
      <c r="WPP23" s="48"/>
      <c r="WQA23" s="48"/>
      <c r="WQL23" s="48"/>
      <c r="WQW23" s="48"/>
      <c r="WRH23" s="48"/>
      <c r="WRS23" s="48"/>
      <c r="WSD23" s="48"/>
      <c r="WSO23" s="48"/>
      <c r="WSZ23" s="48"/>
      <c r="WTK23" s="48"/>
      <c r="WTV23" s="48"/>
      <c r="WUG23" s="48"/>
      <c r="WUR23" s="48"/>
      <c r="WVC23" s="48"/>
      <c r="WVN23" s="48"/>
      <c r="WVY23" s="48"/>
      <c r="WWJ23" s="48"/>
      <c r="WWU23" s="48"/>
      <c r="WXF23" s="48"/>
      <c r="WXQ23" s="48"/>
      <c r="WYB23" s="48"/>
      <c r="WYM23" s="48"/>
      <c r="WYX23" s="48"/>
      <c r="WZI23" s="48"/>
      <c r="WZT23" s="48"/>
      <c r="XAE23" s="48"/>
      <c r="XAP23" s="48"/>
      <c r="XBA23" s="48"/>
      <c r="XBL23" s="48"/>
      <c r="XBW23" s="48"/>
      <c r="XCH23" s="48"/>
      <c r="XCS23" s="48"/>
      <c r="XDD23" s="48"/>
      <c r="XDO23" s="48"/>
      <c r="XDZ23" s="48"/>
      <c r="XEK23" s="48"/>
      <c r="XEV23" s="48"/>
    </row>
    <row r="24" spans="1:1020 1031:2043 2054:3066 3077:4089 4100:5112 5123:6135 6146:7158 7169:8192 8203:9215 9226:10238 10249:11261 11272:12284 12295:13307 13318:14330 14341:15353 15364:16376" ht="4.05" customHeight="1">
      <c r="I24" s="11"/>
      <c r="M24" s="47"/>
    </row>
    <row r="25" spans="1:1020 1031:2043 2054:3066 3077:4089 4100:5112 5123:6135 6146:7158 7169:8192 8203:9215 9226:10238 10249:11261 11272:12284 12295:13307 13318:14330 14341:15353 15364:16376" s="47" customFormat="1" ht="17.25" customHeight="1">
      <c r="D25" s="47" t="s">
        <v>11</v>
      </c>
      <c r="F25" s="48"/>
      <c r="I25" s="49" t="str">
        <f>IF(Selected_Customer_Category_ID=1,"Not Applicable to Small Power Users but used for LPU tariff conversions","Select the appropriate transmission zone (km)")</f>
        <v>Select the appropriate transmission zone (km)</v>
      </c>
      <c r="L25" s="49"/>
      <c r="S25" s="48"/>
      <c r="AD25" s="48"/>
      <c r="AO25" s="48"/>
      <c r="AZ25" s="48"/>
      <c r="BK25" s="48"/>
      <c r="BV25" s="48"/>
      <c r="CG25" s="48"/>
      <c r="CR25" s="48"/>
      <c r="DC25" s="48"/>
      <c r="DN25" s="48"/>
      <c r="DY25" s="48"/>
      <c r="EJ25" s="48"/>
      <c r="EU25" s="48"/>
      <c r="FF25" s="48"/>
      <c r="FQ25" s="48"/>
      <c r="GB25" s="48"/>
      <c r="GM25" s="48"/>
      <c r="GX25" s="48"/>
      <c r="HI25" s="48"/>
      <c r="HT25" s="48"/>
      <c r="IE25" s="48"/>
      <c r="IP25" s="48"/>
      <c r="JA25" s="48"/>
      <c r="JL25" s="48"/>
      <c r="JW25" s="48"/>
      <c r="KH25" s="48"/>
      <c r="KS25" s="48"/>
      <c r="LD25" s="48"/>
      <c r="LO25" s="48"/>
      <c r="LZ25" s="48"/>
      <c r="MK25" s="48"/>
      <c r="MV25" s="48"/>
      <c r="NG25" s="48"/>
      <c r="NR25" s="48"/>
      <c r="OC25" s="48"/>
      <c r="ON25" s="48"/>
      <c r="OY25" s="48"/>
      <c r="PJ25" s="48"/>
      <c r="PU25" s="48"/>
      <c r="QF25" s="48"/>
      <c r="QQ25" s="48"/>
      <c r="RB25" s="48"/>
      <c r="RM25" s="48"/>
      <c r="RX25" s="48"/>
      <c r="SI25" s="48"/>
      <c r="ST25" s="48"/>
      <c r="TE25" s="48"/>
      <c r="TP25" s="48"/>
      <c r="UA25" s="48"/>
      <c r="UL25" s="48"/>
      <c r="UW25" s="48"/>
      <c r="VH25" s="48"/>
      <c r="VS25" s="48"/>
      <c r="WD25" s="48"/>
      <c r="WO25" s="48"/>
      <c r="WZ25" s="48"/>
      <c r="XK25" s="48"/>
      <c r="XV25" s="48"/>
      <c r="YG25" s="48"/>
      <c r="YR25" s="48"/>
      <c r="ZC25" s="48"/>
      <c r="ZN25" s="48"/>
      <c r="ZY25" s="48"/>
      <c r="AAJ25" s="48"/>
      <c r="AAU25" s="48"/>
      <c r="ABF25" s="48"/>
      <c r="ABQ25" s="48"/>
      <c r="ACB25" s="48"/>
      <c r="ACM25" s="48"/>
      <c r="ACX25" s="48"/>
      <c r="ADI25" s="48"/>
      <c r="ADT25" s="48"/>
      <c r="AEE25" s="48"/>
      <c r="AEP25" s="48"/>
      <c r="AFA25" s="48"/>
      <c r="AFL25" s="48"/>
      <c r="AFW25" s="48"/>
      <c r="AGH25" s="48"/>
      <c r="AGS25" s="48"/>
      <c r="AHD25" s="48"/>
      <c r="AHO25" s="48"/>
      <c r="AHZ25" s="48"/>
      <c r="AIK25" s="48"/>
      <c r="AIV25" s="48"/>
      <c r="AJG25" s="48"/>
      <c r="AJR25" s="48"/>
      <c r="AKC25" s="48"/>
      <c r="AKN25" s="48"/>
      <c r="AKY25" s="48"/>
      <c r="ALJ25" s="48"/>
      <c r="ALU25" s="48"/>
      <c r="AMF25" s="48"/>
      <c r="AMQ25" s="48"/>
      <c r="ANB25" s="48"/>
      <c r="ANM25" s="48"/>
      <c r="ANX25" s="48"/>
      <c r="AOI25" s="48"/>
      <c r="AOT25" s="48"/>
      <c r="APE25" s="48"/>
      <c r="APP25" s="48"/>
      <c r="AQA25" s="48"/>
      <c r="AQL25" s="48"/>
      <c r="AQW25" s="48"/>
      <c r="ARH25" s="48"/>
      <c r="ARS25" s="48"/>
      <c r="ASD25" s="48"/>
      <c r="ASO25" s="48"/>
      <c r="ASZ25" s="48"/>
      <c r="ATK25" s="48"/>
      <c r="ATV25" s="48"/>
      <c r="AUG25" s="48"/>
      <c r="AUR25" s="48"/>
      <c r="AVC25" s="48"/>
      <c r="AVN25" s="48"/>
      <c r="AVY25" s="48"/>
      <c r="AWJ25" s="48"/>
      <c r="AWU25" s="48"/>
      <c r="AXF25" s="48"/>
      <c r="AXQ25" s="48"/>
      <c r="AYB25" s="48"/>
      <c r="AYM25" s="48"/>
      <c r="AYX25" s="48"/>
      <c r="AZI25" s="48"/>
      <c r="AZT25" s="48"/>
      <c r="BAE25" s="48"/>
      <c r="BAP25" s="48"/>
      <c r="BBA25" s="48"/>
      <c r="BBL25" s="48"/>
      <c r="BBW25" s="48"/>
      <c r="BCH25" s="48"/>
      <c r="BCS25" s="48"/>
      <c r="BDD25" s="48"/>
      <c r="BDO25" s="48"/>
      <c r="BDZ25" s="48"/>
      <c r="BEK25" s="48"/>
      <c r="BEV25" s="48"/>
      <c r="BFG25" s="48"/>
      <c r="BFR25" s="48"/>
      <c r="BGC25" s="48"/>
      <c r="BGN25" s="48"/>
      <c r="BGY25" s="48"/>
      <c r="BHJ25" s="48"/>
      <c r="BHU25" s="48"/>
      <c r="BIF25" s="48"/>
      <c r="BIQ25" s="48"/>
      <c r="BJB25" s="48"/>
      <c r="BJM25" s="48"/>
      <c r="BJX25" s="48"/>
      <c r="BKI25" s="48"/>
      <c r="BKT25" s="48"/>
      <c r="BLE25" s="48"/>
      <c r="BLP25" s="48"/>
      <c r="BMA25" s="48"/>
      <c r="BML25" s="48"/>
      <c r="BMW25" s="48"/>
      <c r="BNH25" s="48"/>
      <c r="BNS25" s="48"/>
      <c r="BOD25" s="48"/>
      <c r="BOO25" s="48"/>
      <c r="BOZ25" s="48"/>
      <c r="BPK25" s="48"/>
      <c r="BPV25" s="48"/>
      <c r="BQG25" s="48"/>
      <c r="BQR25" s="48"/>
      <c r="BRC25" s="48"/>
      <c r="BRN25" s="48"/>
      <c r="BRY25" s="48"/>
      <c r="BSJ25" s="48"/>
      <c r="BSU25" s="48"/>
      <c r="BTF25" s="48"/>
      <c r="BTQ25" s="48"/>
      <c r="BUB25" s="48"/>
      <c r="BUM25" s="48"/>
      <c r="BUX25" s="48"/>
      <c r="BVI25" s="48"/>
      <c r="BVT25" s="48"/>
      <c r="BWE25" s="48"/>
      <c r="BWP25" s="48"/>
      <c r="BXA25" s="48"/>
      <c r="BXL25" s="48"/>
      <c r="BXW25" s="48"/>
      <c r="BYH25" s="48"/>
      <c r="BYS25" s="48"/>
      <c r="BZD25" s="48"/>
      <c r="BZO25" s="48"/>
      <c r="BZZ25" s="48"/>
      <c r="CAK25" s="48"/>
      <c r="CAV25" s="48"/>
      <c r="CBG25" s="48"/>
      <c r="CBR25" s="48"/>
      <c r="CCC25" s="48"/>
      <c r="CCN25" s="48"/>
      <c r="CCY25" s="48"/>
      <c r="CDJ25" s="48"/>
      <c r="CDU25" s="48"/>
      <c r="CEF25" s="48"/>
      <c r="CEQ25" s="48"/>
      <c r="CFB25" s="48"/>
      <c r="CFM25" s="48"/>
      <c r="CFX25" s="48"/>
      <c r="CGI25" s="48"/>
      <c r="CGT25" s="48"/>
      <c r="CHE25" s="48"/>
      <c r="CHP25" s="48"/>
      <c r="CIA25" s="48"/>
      <c r="CIL25" s="48"/>
      <c r="CIW25" s="48"/>
      <c r="CJH25" s="48"/>
      <c r="CJS25" s="48"/>
      <c r="CKD25" s="48"/>
      <c r="CKO25" s="48"/>
      <c r="CKZ25" s="48"/>
      <c r="CLK25" s="48"/>
      <c r="CLV25" s="48"/>
      <c r="CMG25" s="48"/>
      <c r="CMR25" s="48"/>
      <c r="CNC25" s="48"/>
      <c r="CNN25" s="48"/>
      <c r="CNY25" s="48"/>
      <c r="COJ25" s="48"/>
      <c r="COU25" s="48"/>
      <c r="CPF25" s="48"/>
      <c r="CPQ25" s="48"/>
      <c r="CQB25" s="48"/>
      <c r="CQM25" s="48"/>
      <c r="CQX25" s="48"/>
      <c r="CRI25" s="48"/>
      <c r="CRT25" s="48"/>
      <c r="CSE25" s="48"/>
      <c r="CSP25" s="48"/>
      <c r="CTA25" s="48"/>
      <c r="CTL25" s="48"/>
      <c r="CTW25" s="48"/>
      <c r="CUH25" s="48"/>
      <c r="CUS25" s="48"/>
      <c r="CVD25" s="48"/>
      <c r="CVO25" s="48"/>
      <c r="CVZ25" s="48"/>
      <c r="CWK25" s="48"/>
      <c r="CWV25" s="48"/>
      <c r="CXG25" s="48"/>
      <c r="CXR25" s="48"/>
      <c r="CYC25" s="48"/>
      <c r="CYN25" s="48"/>
      <c r="CYY25" s="48"/>
      <c r="CZJ25" s="48"/>
      <c r="CZU25" s="48"/>
      <c r="DAF25" s="48"/>
      <c r="DAQ25" s="48"/>
      <c r="DBB25" s="48"/>
      <c r="DBM25" s="48"/>
      <c r="DBX25" s="48"/>
      <c r="DCI25" s="48"/>
      <c r="DCT25" s="48"/>
      <c r="DDE25" s="48"/>
      <c r="DDP25" s="48"/>
      <c r="DEA25" s="48"/>
      <c r="DEL25" s="48"/>
      <c r="DEW25" s="48"/>
      <c r="DFH25" s="48"/>
      <c r="DFS25" s="48"/>
      <c r="DGD25" s="48"/>
      <c r="DGO25" s="48"/>
      <c r="DGZ25" s="48"/>
      <c r="DHK25" s="48"/>
      <c r="DHV25" s="48"/>
      <c r="DIG25" s="48"/>
      <c r="DIR25" s="48"/>
      <c r="DJC25" s="48"/>
      <c r="DJN25" s="48"/>
      <c r="DJY25" s="48"/>
      <c r="DKJ25" s="48"/>
      <c r="DKU25" s="48"/>
      <c r="DLF25" s="48"/>
      <c r="DLQ25" s="48"/>
      <c r="DMB25" s="48"/>
      <c r="DMM25" s="48"/>
      <c r="DMX25" s="48"/>
      <c r="DNI25" s="48"/>
      <c r="DNT25" s="48"/>
      <c r="DOE25" s="48"/>
      <c r="DOP25" s="48"/>
      <c r="DPA25" s="48"/>
      <c r="DPL25" s="48"/>
      <c r="DPW25" s="48"/>
      <c r="DQH25" s="48"/>
      <c r="DQS25" s="48"/>
      <c r="DRD25" s="48"/>
      <c r="DRO25" s="48"/>
      <c r="DRZ25" s="48"/>
      <c r="DSK25" s="48"/>
      <c r="DSV25" s="48"/>
      <c r="DTG25" s="48"/>
      <c r="DTR25" s="48"/>
      <c r="DUC25" s="48"/>
      <c r="DUN25" s="48"/>
      <c r="DUY25" s="48"/>
      <c r="DVJ25" s="48"/>
      <c r="DVU25" s="48"/>
      <c r="DWF25" s="48"/>
      <c r="DWQ25" s="48"/>
      <c r="DXB25" s="48"/>
      <c r="DXM25" s="48"/>
      <c r="DXX25" s="48"/>
      <c r="DYI25" s="48"/>
      <c r="DYT25" s="48"/>
      <c r="DZE25" s="48"/>
      <c r="DZP25" s="48"/>
      <c r="EAA25" s="48"/>
      <c r="EAL25" s="48"/>
      <c r="EAW25" s="48"/>
      <c r="EBH25" s="48"/>
      <c r="EBS25" s="48"/>
      <c r="ECD25" s="48"/>
      <c r="ECO25" s="48"/>
      <c r="ECZ25" s="48"/>
      <c r="EDK25" s="48"/>
      <c r="EDV25" s="48"/>
      <c r="EEG25" s="48"/>
      <c r="EER25" s="48"/>
      <c r="EFC25" s="48"/>
      <c r="EFN25" s="48"/>
      <c r="EFY25" s="48"/>
      <c r="EGJ25" s="48"/>
      <c r="EGU25" s="48"/>
      <c r="EHF25" s="48"/>
      <c r="EHQ25" s="48"/>
      <c r="EIB25" s="48"/>
      <c r="EIM25" s="48"/>
      <c r="EIX25" s="48"/>
      <c r="EJI25" s="48"/>
      <c r="EJT25" s="48"/>
      <c r="EKE25" s="48"/>
      <c r="EKP25" s="48"/>
      <c r="ELA25" s="48"/>
      <c r="ELL25" s="48"/>
      <c r="ELW25" s="48"/>
      <c r="EMH25" s="48"/>
      <c r="EMS25" s="48"/>
      <c r="END25" s="48"/>
      <c r="ENO25" s="48"/>
      <c r="ENZ25" s="48"/>
      <c r="EOK25" s="48"/>
      <c r="EOV25" s="48"/>
      <c r="EPG25" s="48"/>
      <c r="EPR25" s="48"/>
      <c r="EQC25" s="48"/>
      <c r="EQN25" s="48"/>
      <c r="EQY25" s="48"/>
      <c r="ERJ25" s="48"/>
      <c r="ERU25" s="48"/>
      <c r="ESF25" s="48"/>
      <c r="ESQ25" s="48"/>
      <c r="ETB25" s="48"/>
      <c r="ETM25" s="48"/>
      <c r="ETX25" s="48"/>
      <c r="EUI25" s="48"/>
      <c r="EUT25" s="48"/>
      <c r="EVE25" s="48"/>
      <c r="EVP25" s="48"/>
      <c r="EWA25" s="48"/>
      <c r="EWL25" s="48"/>
      <c r="EWW25" s="48"/>
      <c r="EXH25" s="48"/>
      <c r="EXS25" s="48"/>
      <c r="EYD25" s="48"/>
      <c r="EYO25" s="48"/>
      <c r="EYZ25" s="48"/>
      <c r="EZK25" s="48"/>
      <c r="EZV25" s="48"/>
      <c r="FAG25" s="48"/>
      <c r="FAR25" s="48"/>
      <c r="FBC25" s="48"/>
      <c r="FBN25" s="48"/>
      <c r="FBY25" s="48"/>
      <c r="FCJ25" s="48"/>
      <c r="FCU25" s="48"/>
      <c r="FDF25" s="48"/>
      <c r="FDQ25" s="48"/>
      <c r="FEB25" s="48"/>
      <c r="FEM25" s="48"/>
      <c r="FEX25" s="48"/>
      <c r="FFI25" s="48"/>
      <c r="FFT25" s="48"/>
      <c r="FGE25" s="48"/>
      <c r="FGP25" s="48"/>
      <c r="FHA25" s="48"/>
      <c r="FHL25" s="48"/>
      <c r="FHW25" s="48"/>
      <c r="FIH25" s="48"/>
      <c r="FIS25" s="48"/>
      <c r="FJD25" s="48"/>
      <c r="FJO25" s="48"/>
      <c r="FJZ25" s="48"/>
      <c r="FKK25" s="48"/>
      <c r="FKV25" s="48"/>
      <c r="FLG25" s="48"/>
      <c r="FLR25" s="48"/>
      <c r="FMC25" s="48"/>
      <c r="FMN25" s="48"/>
      <c r="FMY25" s="48"/>
      <c r="FNJ25" s="48"/>
      <c r="FNU25" s="48"/>
      <c r="FOF25" s="48"/>
      <c r="FOQ25" s="48"/>
      <c r="FPB25" s="48"/>
      <c r="FPM25" s="48"/>
      <c r="FPX25" s="48"/>
      <c r="FQI25" s="48"/>
      <c r="FQT25" s="48"/>
      <c r="FRE25" s="48"/>
      <c r="FRP25" s="48"/>
      <c r="FSA25" s="48"/>
      <c r="FSL25" s="48"/>
      <c r="FSW25" s="48"/>
      <c r="FTH25" s="48"/>
      <c r="FTS25" s="48"/>
      <c r="FUD25" s="48"/>
      <c r="FUO25" s="48"/>
      <c r="FUZ25" s="48"/>
      <c r="FVK25" s="48"/>
      <c r="FVV25" s="48"/>
      <c r="FWG25" s="48"/>
      <c r="FWR25" s="48"/>
      <c r="FXC25" s="48"/>
      <c r="FXN25" s="48"/>
      <c r="FXY25" s="48"/>
      <c r="FYJ25" s="48"/>
      <c r="FYU25" s="48"/>
      <c r="FZF25" s="48"/>
      <c r="FZQ25" s="48"/>
      <c r="GAB25" s="48"/>
      <c r="GAM25" s="48"/>
      <c r="GAX25" s="48"/>
      <c r="GBI25" s="48"/>
      <c r="GBT25" s="48"/>
      <c r="GCE25" s="48"/>
      <c r="GCP25" s="48"/>
      <c r="GDA25" s="48"/>
      <c r="GDL25" s="48"/>
      <c r="GDW25" s="48"/>
      <c r="GEH25" s="48"/>
      <c r="GES25" s="48"/>
      <c r="GFD25" s="48"/>
      <c r="GFO25" s="48"/>
      <c r="GFZ25" s="48"/>
      <c r="GGK25" s="48"/>
      <c r="GGV25" s="48"/>
      <c r="GHG25" s="48"/>
      <c r="GHR25" s="48"/>
      <c r="GIC25" s="48"/>
      <c r="GIN25" s="48"/>
      <c r="GIY25" s="48"/>
      <c r="GJJ25" s="48"/>
      <c r="GJU25" s="48"/>
      <c r="GKF25" s="48"/>
      <c r="GKQ25" s="48"/>
      <c r="GLB25" s="48"/>
      <c r="GLM25" s="48"/>
      <c r="GLX25" s="48"/>
      <c r="GMI25" s="48"/>
      <c r="GMT25" s="48"/>
      <c r="GNE25" s="48"/>
      <c r="GNP25" s="48"/>
      <c r="GOA25" s="48"/>
      <c r="GOL25" s="48"/>
      <c r="GOW25" s="48"/>
      <c r="GPH25" s="48"/>
      <c r="GPS25" s="48"/>
      <c r="GQD25" s="48"/>
      <c r="GQO25" s="48"/>
      <c r="GQZ25" s="48"/>
      <c r="GRK25" s="48"/>
      <c r="GRV25" s="48"/>
      <c r="GSG25" s="48"/>
      <c r="GSR25" s="48"/>
      <c r="GTC25" s="48"/>
      <c r="GTN25" s="48"/>
      <c r="GTY25" s="48"/>
      <c r="GUJ25" s="48"/>
      <c r="GUU25" s="48"/>
      <c r="GVF25" s="48"/>
      <c r="GVQ25" s="48"/>
      <c r="GWB25" s="48"/>
      <c r="GWM25" s="48"/>
      <c r="GWX25" s="48"/>
      <c r="GXI25" s="48"/>
      <c r="GXT25" s="48"/>
      <c r="GYE25" s="48"/>
      <c r="GYP25" s="48"/>
      <c r="GZA25" s="48"/>
      <c r="GZL25" s="48"/>
      <c r="GZW25" s="48"/>
      <c r="HAH25" s="48"/>
      <c r="HAS25" s="48"/>
      <c r="HBD25" s="48"/>
      <c r="HBO25" s="48"/>
      <c r="HBZ25" s="48"/>
      <c r="HCK25" s="48"/>
      <c r="HCV25" s="48"/>
      <c r="HDG25" s="48"/>
      <c r="HDR25" s="48"/>
      <c r="HEC25" s="48"/>
      <c r="HEN25" s="48"/>
      <c r="HEY25" s="48"/>
      <c r="HFJ25" s="48"/>
      <c r="HFU25" s="48"/>
      <c r="HGF25" s="48"/>
      <c r="HGQ25" s="48"/>
      <c r="HHB25" s="48"/>
      <c r="HHM25" s="48"/>
      <c r="HHX25" s="48"/>
      <c r="HII25" s="48"/>
      <c r="HIT25" s="48"/>
      <c r="HJE25" s="48"/>
      <c r="HJP25" s="48"/>
      <c r="HKA25" s="48"/>
      <c r="HKL25" s="48"/>
      <c r="HKW25" s="48"/>
      <c r="HLH25" s="48"/>
      <c r="HLS25" s="48"/>
      <c r="HMD25" s="48"/>
      <c r="HMO25" s="48"/>
      <c r="HMZ25" s="48"/>
      <c r="HNK25" s="48"/>
      <c r="HNV25" s="48"/>
      <c r="HOG25" s="48"/>
      <c r="HOR25" s="48"/>
      <c r="HPC25" s="48"/>
      <c r="HPN25" s="48"/>
      <c r="HPY25" s="48"/>
      <c r="HQJ25" s="48"/>
      <c r="HQU25" s="48"/>
      <c r="HRF25" s="48"/>
      <c r="HRQ25" s="48"/>
      <c r="HSB25" s="48"/>
      <c r="HSM25" s="48"/>
      <c r="HSX25" s="48"/>
      <c r="HTI25" s="48"/>
      <c r="HTT25" s="48"/>
      <c r="HUE25" s="48"/>
      <c r="HUP25" s="48"/>
      <c r="HVA25" s="48"/>
      <c r="HVL25" s="48"/>
      <c r="HVW25" s="48"/>
      <c r="HWH25" s="48"/>
      <c r="HWS25" s="48"/>
      <c r="HXD25" s="48"/>
      <c r="HXO25" s="48"/>
      <c r="HXZ25" s="48"/>
      <c r="HYK25" s="48"/>
      <c r="HYV25" s="48"/>
      <c r="HZG25" s="48"/>
      <c r="HZR25" s="48"/>
      <c r="IAC25" s="48"/>
      <c r="IAN25" s="48"/>
      <c r="IAY25" s="48"/>
      <c r="IBJ25" s="48"/>
      <c r="IBU25" s="48"/>
      <c r="ICF25" s="48"/>
      <c r="ICQ25" s="48"/>
      <c r="IDB25" s="48"/>
      <c r="IDM25" s="48"/>
      <c r="IDX25" s="48"/>
      <c r="IEI25" s="48"/>
      <c r="IET25" s="48"/>
      <c r="IFE25" s="48"/>
      <c r="IFP25" s="48"/>
      <c r="IGA25" s="48"/>
      <c r="IGL25" s="48"/>
      <c r="IGW25" s="48"/>
      <c r="IHH25" s="48"/>
      <c r="IHS25" s="48"/>
      <c r="IID25" s="48"/>
      <c r="IIO25" s="48"/>
      <c r="IIZ25" s="48"/>
      <c r="IJK25" s="48"/>
      <c r="IJV25" s="48"/>
      <c r="IKG25" s="48"/>
      <c r="IKR25" s="48"/>
      <c r="ILC25" s="48"/>
      <c r="ILN25" s="48"/>
      <c r="ILY25" s="48"/>
      <c r="IMJ25" s="48"/>
      <c r="IMU25" s="48"/>
      <c r="INF25" s="48"/>
      <c r="INQ25" s="48"/>
      <c r="IOB25" s="48"/>
      <c r="IOM25" s="48"/>
      <c r="IOX25" s="48"/>
      <c r="IPI25" s="48"/>
      <c r="IPT25" s="48"/>
      <c r="IQE25" s="48"/>
      <c r="IQP25" s="48"/>
      <c r="IRA25" s="48"/>
      <c r="IRL25" s="48"/>
      <c r="IRW25" s="48"/>
      <c r="ISH25" s="48"/>
      <c r="ISS25" s="48"/>
      <c r="ITD25" s="48"/>
      <c r="ITO25" s="48"/>
      <c r="ITZ25" s="48"/>
      <c r="IUK25" s="48"/>
      <c r="IUV25" s="48"/>
      <c r="IVG25" s="48"/>
      <c r="IVR25" s="48"/>
      <c r="IWC25" s="48"/>
      <c r="IWN25" s="48"/>
      <c r="IWY25" s="48"/>
      <c r="IXJ25" s="48"/>
      <c r="IXU25" s="48"/>
      <c r="IYF25" s="48"/>
      <c r="IYQ25" s="48"/>
      <c r="IZB25" s="48"/>
      <c r="IZM25" s="48"/>
      <c r="IZX25" s="48"/>
      <c r="JAI25" s="48"/>
      <c r="JAT25" s="48"/>
      <c r="JBE25" s="48"/>
      <c r="JBP25" s="48"/>
      <c r="JCA25" s="48"/>
      <c r="JCL25" s="48"/>
      <c r="JCW25" s="48"/>
      <c r="JDH25" s="48"/>
      <c r="JDS25" s="48"/>
      <c r="JED25" s="48"/>
      <c r="JEO25" s="48"/>
      <c r="JEZ25" s="48"/>
      <c r="JFK25" s="48"/>
      <c r="JFV25" s="48"/>
      <c r="JGG25" s="48"/>
      <c r="JGR25" s="48"/>
      <c r="JHC25" s="48"/>
      <c r="JHN25" s="48"/>
      <c r="JHY25" s="48"/>
      <c r="JIJ25" s="48"/>
      <c r="JIU25" s="48"/>
      <c r="JJF25" s="48"/>
      <c r="JJQ25" s="48"/>
      <c r="JKB25" s="48"/>
      <c r="JKM25" s="48"/>
      <c r="JKX25" s="48"/>
      <c r="JLI25" s="48"/>
      <c r="JLT25" s="48"/>
      <c r="JME25" s="48"/>
      <c r="JMP25" s="48"/>
      <c r="JNA25" s="48"/>
      <c r="JNL25" s="48"/>
      <c r="JNW25" s="48"/>
      <c r="JOH25" s="48"/>
      <c r="JOS25" s="48"/>
      <c r="JPD25" s="48"/>
      <c r="JPO25" s="48"/>
      <c r="JPZ25" s="48"/>
      <c r="JQK25" s="48"/>
      <c r="JQV25" s="48"/>
      <c r="JRG25" s="48"/>
      <c r="JRR25" s="48"/>
      <c r="JSC25" s="48"/>
      <c r="JSN25" s="48"/>
      <c r="JSY25" s="48"/>
      <c r="JTJ25" s="48"/>
      <c r="JTU25" s="48"/>
      <c r="JUF25" s="48"/>
      <c r="JUQ25" s="48"/>
      <c r="JVB25" s="48"/>
      <c r="JVM25" s="48"/>
      <c r="JVX25" s="48"/>
      <c r="JWI25" s="48"/>
      <c r="JWT25" s="48"/>
      <c r="JXE25" s="48"/>
      <c r="JXP25" s="48"/>
      <c r="JYA25" s="48"/>
      <c r="JYL25" s="48"/>
      <c r="JYW25" s="48"/>
      <c r="JZH25" s="48"/>
      <c r="JZS25" s="48"/>
      <c r="KAD25" s="48"/>
      <c r="KAO25" s="48"/>
      <c r="KAZ25" s="48"/>
      <c r="KBK25" s="48"/>
      <c r="KBV25" s="48"/>
      <c r="KCG25" s="48"/>
      <c r="KCR25" s="48"/>
      <c r="KDC25" s="48"/>
      <c r="KDN25" s="48"/>
      <c r="KDY25" s="48"/>
      <c r="KEJ25" s="48"/>
      <c r="KEU25" s="48"/>
      <c r="KFF25" s="48"/>
      <c r="KFQ25" s="48"/>
      <c r="KGB25" s="48"/>
      <c r="KGM25" s="48"/>
      <c r="KGX25" s="48"/>
      <c r="KHI25" s="48"/>
      <c r="KHT25" s="48"/>
      <c r="KIE25" s="48"/>
      <c r="KIP25" s="48"/>
      <c r="KJA25" s="48"/>
      <c r="KJL25" s="48"/>
      <c r="KJW25" s="48"/>
      <c r="KKH25" s="48"/>
      <c r="KKS25" s="48"/>
      <c r="KLD25" s="48"/>
      <c r="KLO25" s="48"/>
      <c r="KLZ25" s="48"/>
      <c r="KMK25" s="48"/>
      <c r="KMV25" s="48"/>
      <c r="KNG25" s="48"/>
      <c r="KNR25" s="48"/>
      <c r="KOC25" s="48"/>
      <c r="KON25" s="48"/>
      <c r="KOY25" s="48"/>
      <c r="KPJ25" s="48"/>
      <c r="KPU25" s="48"/>
      <c r="KQF25" s="48"/>
      <c r="KQQ25" s="48"/>
      <c r="KRB25" s="48"/>
      <c r="KRM25" s="48"/>
      <c r="KRX25" s="48"/>
      <c r="KSI25" s="48"/>
      <c r="KST25" s="48"/>
      <c r="KTE25" s="48"/>
      <c r="KTP25" s="48"/>
      <c r="KUA25" s="48"/>
      <c r="KUL25" s="48"/>
      <c r="KUW25" s="48"/>
      <c r="KVH25" s="48"/>
      <c r="KVS25" s="48"/>
      <c r="KWD25" s="48"/>
      <c r="KWO25" s="48"/>
      <c r="KWZ25" s="48"/>
      <c r="KXK25" s="48"/>
      <c r="KXV25" s="48"/>
      <c r="KYG25" s="48"/>
      <c r="KYR25" s="48"/>
      <c r="KZC25" s="48"/>
      <c r="KZN25" s="48"/>
      <c r="KZY25" s="48"/>
      <c r="LAJ25" s="48"/>
      <c r="LAU25" s="48"/>
      <c r="LBF25" s="48"/>
      <c r="LBQ25" s="48"/>
      <c r="LCB25" s="48"/>
      <c r="LCM25" s="48"/>
      <c r="LCX25" s="48"/>
      <c r="LDI25" s="48"/>
      <c r="LDT25" s="48"/>
      <c r="LEE25" s="48"/>
      <c r="LEP25" s="48"/>
      <c r="LFA25" s="48"/>
      <c r="LFL25" s="48"/>
      <c r="LFW25" s="48"/>
      <c r="LGH25" s="48"/>
      <c r="LGS25" s="48"/>
      <c r="LHD25" s="48"/>
      <c r="LHO25" s="48"/>
      <c r="LHZ25" s="48"/>
      <c r="LIK25" s="48"/>
      <c r="LIV25" s="48"/>
      <c r="LJG25" s="48"/>
      <c r="LJR25" s="48"/>
      <c r="LKC25" s="48"/>
      <c r="LKN25" s="48"/>
      <c r="LKY25" s="48"/>
      <c r="LLJ25" s="48"/>
      <c r="LLU25" s="48"/>
      <c r="LMF25" s="48"/>
      <c r="LMQ25" s="48"/>
      <c r="LNB25" s="48"/>
      <c r="LNM25" s="48"/>
      <c r="LNX25" s="48"/>
      <c r="LOI25" s="48"/>
      <c r="LOT25" s="48"/>
      <c r="LPE25" s="48"/>
      <c r="LPP25" s="48"/>
      <c r="LQA25" s="48"/>
      <c r="LQL25" s="48"/>
      <c r="LQW25" s="48"/>
      <c r="LRH25" s="48"/>
      <c r="LRS25" s="48"/>
      <c r="LSD25" s="48"/>
      <c r="LSO25" s="48"/>
      <c r="LSZ25" s="48"/>
      <c r="LTK25" s="48"/>
      <c r="LTV25" s="48"/>
      <c r="LUG25" s="48"/>
      <c r="LUR25" s="48"/>
      <c r="LVC25" s="48"/>
      <c r="LVN25" s="48"/>
      <c r="LVY25" s="48"/>
      <c r="LWJ25" s="48"/>
      <c r="LWU25" s="48"/>
      <c r="LXF25" s="48"/>
      <c r="LXQ25" s="48"/>
      <c r="LYB25" s="48"/>
      <c r="LYM25" s="48"/>
      <c r="LYX25" s="48"/>
      <c r="LZI25" s="48"/>
      <c r="LZT25" s="48"/>
      <c r="MAE25" s="48"/>
      <c r="MAP25" s="48"/>
      <c r="MBA25" s="48"/>
      <c r="MBL25" s="48"/>
      <c r="MBW25" s="48"/>
      <c r="MCH25" s="48"/>
      <c r="MCS25" s="48"/>
      <c r="MDD25" s="48"/>
      <c r="MDO25" s="48"/>
      <c r="MDZ25" s="48"/>
      <c r="MEK25" s="48"/>
      <c r="MEV25" s="48"/>
      <c r="MFG25" s="48"/>
      <c r="MFR25" s="48"/>
      <c r="MGC25" s="48"/>
      <c r="MGN25" s="48"/>
      <c r="MGY25" s="48"/>
      <c r="MHJ25" s="48"/>
      <c r="MHU25" s="48"/>
      <c r="MIF25" s="48"/>
      <c r="MIQ25" s="48"/>
      <c r="MJB25" s="48"/>
      <c r="MJM25" s="48"/>
      <c r="MJX25" s="48"/>
      <c r="MKI25" s="48"/>
      <c r="MKT25" s="48"/>
      <c r="MLE25" s="48"/>
      <c r="MLP25" s="48"/>
      <c r="MMA25" s="48"/>
      <c r="MML25" s="48"/>
      <c r="MMW25" s="48"/>
      <c r="MNH25" s="48"/>
      <c r="MNS25" s="48"/>
      <c r="MOD25" s="48"/>
      <c r="MOO25" s="48"/>
      <c r="MOZ25" s="48"/>
      <c r="MPK25" s="48"/>
      <c r="MPV25" s="48"/>
      <c r="MQG25" s="48"/>
      <c r="MQR25" s="48"/>
      <c r="MRC25" s="48"/>
      <c r="MRN25" s="48"/>
      <c r="MRY25" s="48"/>
      <c r="MSJ25" s="48"/>
      <c r="MSU25" s="48"/>
      <c r="MTF25" s="48"/>
      <c r="MTQ25" s="48"/>
      <c r="MUB25" s="48"/>
      <c r="MUM25" s="48"/>
      <c r="MUX25" s="48"/>
      <c r="MVI25" s="48"/>
      <c r="MVT25" s="48"/>
      <c r="MWE25" s="48"/>
      <c r="MWP25" s="48"/>
      <c r="MXA25" s="48"/>
      <c r="MXL25" s="48"/>
      <c r="MXW25" s="48"/>
      <c r="MYH25" s="48"/>
      <c r="MYS25" s="48"/>
      <c r="MZD25" s="48"/>
      <c r="MZO25" s="48"/>
      <c r="MZZ25" s="48"/>
      <c r="NAK25" s="48"/>
      <c r="NAV25" s="48"/>
      <c r="NBG25" s="48"/>
      <c r="NBR25" s="48"/>
      <c r="NCC25" s="48"/>
      <c r="NCN25" s="48"/>
      <c r="NCY25" s="48"/>
      <c r="NDJ25" s="48"/>
      <c r="NDU25" s="48"/>
      <c r="NEF25" s="48"/>
      <c r="NEQ25" s="48"/>
      <c r="NFB25" s="48"/>
      <c r="NFM25" s="48"/>
      <c r="NFX25" s="48"/>
      <c r="NGI25" s="48"/>
      <c r="NGT25" s="48"/>
      <c r="NHE25" s="48"/>
      <c r="NHP25" s="48"/>
      <c r="NIA25" s="48"/>
      <c r="NIL25" s="48"/>
      <c r="NIW25" s="48"/>
      <c r="NJH25" s="48"/>
      <c r="NJS25" s="48"/>
      <c r="NKD25" s="48"/>
      <c r="NKO25" s="48"/>
      <c r="NKZ25" s="48"/>
      <c r="NLK25" s="48"/>
      <c r="NLV25" s="48"/>
      <c r="NMG25" s="48"/>
      <c r="NMR25" s="48"/>
      <c r="NNC25" s="48"/>
      <c r="NNN25" s="48"/>
      <c r="NNY25" s="48"/>
      <c r="NOJ25" s="48"/>
      <c r="NOU25" s="48"/>
      <c r="NPF25" s="48"/>
      <c r="NPQ25" s="48"/>
      <c r="NQB25" s="48"/>
      <c r="NQM25" s="48"/>
      <c r="NQX25" s="48"/>
      <c r="NRI25" s="48"/>
      <c r="NRT25" s="48"/>
      <c r="NSE25" s="48"/>
      <c r="NSP25" s="48"/>
      <c r="NTA25" s="48"/>
      <c r="NTL25" s="48"/>
      <c r="NTW25" s="48"/>
      <c r="NUH25" s="48"/>
      <c r="NUS25" s="48"/>
      <c r="NVD25" s="48"/>
      <c r="NVO25" s="48"/>
      <c r="NVZ25" s="48"/>
      <c r="NWK25" s="48"/>
      <c r="NWV25" s="48"/>
      <c r="NXG25" s="48"/>
      <c r="NXR25" s="48"/>
      <c r="NYC25" s="48"/>
      <c r="NYN25" s="48"/>
      <c r="NYY25" s="48"/>
      <c r="NZJ25" s="48"/>
      <c r="NZU25" s="48"/>
      <c r="OAF25" s="48"/>
      <c r="OAQ25" s="48"/>
      <c r="OBB25" s="48"/>
      <c r="OBM25" s="48"/>
      <c r="OBX25" s="48"/>
      <c r="OCI25" s="48"/>
      <c r="OCT25" s="48"/>
      <c r="ODE25" s="48"/>
      <c r="ODP25" s="48"/>
      <c r="OEA25" s="48"/>
      <c r="OEL25" s="48"/>
      <c r="OEW25" s="48"/>
      <c r="OFH25" s="48"/>
      <c r="OFS25" s="48"/>
      <c r="OGD25" s="48"/>
      <c r="OGO25" s="48"/>
      <c r="OGZ25" s="48"/>
      <c r="OHK25" s="48"/>
      <c r="OHV25" s="48"/>
      <c r="OIG25" s="48"/>
      <c r="OIR25" s="48"/>
      <c r="OJC25" s="48"/>
      <c r="OJN25" s="48"/>
      <c r="OJY25" s="48"/>
      <c r="OKJ25" s="48"/>
      <c r="OKU25" s="48"/>
      <c r="OLF25" s="48"/>
      <c r="OLQ25" s="48"/>
      <c r="OMB25" s="48"/>
      <c r="OMM25" s="48"/>
      <c r="OMX25" s="48"/>
      <c r="ONI25" s="48"/>
      <c r="ONT25" s="48"/>
      <c r="OOE25" s="48"/>
      <c r="OOP25" s="48"/>
      <c r="OPA25" s="48"/>
      <c r="OPL25" s="48"/>
      <c r="OPW25" s="48"/>
      <c r="OQH25" s="48"/>
      <c r="OQS25" s="48"/>
      <c r="ORD25" s="48"/>
      <c r="ORO25" s="48"/>
      <c r="ORZ25" s="48"/>
      <c r="OSK25" s="48"/>
      <c r="OSV25" s="48"/>
      <c r="OTG25" s="48"/>
      <c r="OTR25" s="48"/>
      <c r="OUC25" s="48"/>
      <c r="OUN25" s="48"/>
      <c r="OUY25" s="48"/>
      <c r="OVJ25" s="48"/>
      <c r="OVU25" s="48"/>
      <c r="OWF25" s="48"/>
      <c r="OWQ25" s="48"/>
      <c r="OXB25" s="48"/>
      <c r="OXM25" s="48"/>
      <c r="OXX25" s="48"/>
      <c r="OYI25" s="48"/>
      <c r="OYT25" s="48"/>
      <c r="OZE25" s="48"/>
      <c r="OZP25" s="48"/>
      <c r="PAA25" s="48"/>
      <c r="PAL25" s="48"/>
      <c r="PAW25" s="48"/>
      <c r="PBH25" s="48"/>
      <c r="PBS25" s="48"/>
      <c r="PCD25" s="48"/>
      <c r="PCO25" s="48"/>
      <c r="PCZ25" s="48"/>
      <c r="PDK25" s="48"/>
      <c r="PDV25" s="48"/>
      <c r="PEG25" s="48"/>
      <c r="PER25" s="48"/>
      <c r="PFC25" s="48"/>
      <c r="PFN25" s="48"/>
      <c r="PFY25" s="48"/>
      <c r="PGJ25" s="48"/>
      <c r="PGU25" s="48"/>
      <c r="PHF25" s="48"/>
      <c r="PHQ25" s="48"/>
      <c r="PIB25" s="48"/>
      <c r="PIM25" s="48"/>
      <c r="PIX25" s="48"/>
      <c r="PJI25" s="48"/>
      <c r="PJT25" s="48"/>
      <c r="PKE25" s="48"/>
      <c r="PKP25" s="48"/>
      <c r="PLA25" s="48"/>
      <c r="PLL25" s="48"/>
      <c r="PLW25" s="48"/>
      <c r="PMH25" s="48"/>
      <c r="PMS25" s="48"/>
      <c r="PND25" s="48"/>
      <c r="PNO25" s="48"/>
      <c r="PNZ25" s="48"/>
      <c r="POK25" s="48"/>
      <c r="POV25" s="48"/>
      <c r="PPG25" s="48"/>
      <c r="PPR25" s="48"/>
      <c r="PQC25" s="48"/>
      <c r="PQN25" s="48"/>
      <c r="PQY25" s="48"/>
      <c r="PRJ25" s="48"/>
      <c r="PRU25" s="48"/>
      <c r="PSF25" s="48"/>
      <c r="PSQ25" s="48"/>
      <c r="PTB25" s="48"/>
      <c r="PTM25" s="48"/>
      <c r="PTX25" s="48"/>
      <c r="PUI25" s="48"/>
      <c r="PUT25" s="48"/>
      <c r="PVE25" s="48"/>
      <c r="PVP25" s="48"/>
      <c r="PWA25" s="48"/>
      <c r="PWL25" s="48"/>
      <c r="PWW25" s="48"/>
      <c r="PXH25" s="48"/>
      <c r="PXS25" s="48"/>
      <c r="PYD25" s="48"/>
      <c r="PYO25" s="48"/>
      <c r="PYZ25" s="48"/>
      <c r="PZK25" s="48"/>
      <c r="PZV25" s="48"/>
      <c r="QAG25" s="48"/>
      <c r="QAR25" s="48"/>
      <c r="QBC25" s="48"/>
      <c r="QBN25" s="48"/>
      <c r="QBY25" s="48"/>
      <c r="QCJ25" s="48"/>
      <c r="QCU25" s="48"/>
      <c r="QDF25" s="48"/>
      <c r="QDQ25" s="48"/>
      <c r="QEB25" s="48"/>
      <c r="QEM25" s="48"/>
      <c r="QEX25" s="48"/>
      <c r="QFI25" s="48"/>
      <c r="QFT25" s="48"/>
      <c r="QGE25" s="48"/>
      <c r="QGP25" s="48"/>
      <c r="QHA25" s="48"/>
      <c r="QHL25" s="48"/>
      <c r="QHW25" s="48"/>
      <c r="QIH25" s="48"/>
      <c r="QIS25" s="48"/>
      <c r="QJD25" s="48"/>
      <c r="QJO25" s="48"/>
      <c r="QJZ25" s="48"/>
      <c r="QKK25" s="48"/>
      <c r="QKV25" s="48"/>
      <c r="QLG25" s="48"/>
      <c r="QLR25" s="48"/>
      <c r="QMC25" s="48"/>
      <c r="QMN25" s="48"/>
      <c r="QMY25" s="48"/>
      <c r="QNJ25" s="48"/>
      <c r="QNU25" s="48"/>
      <c r="QOF25" s="48"/>
      <c r="QOQ25" s="48"/>
      <c r="QPB25" s="48"/>
      <c r="QPM25" s="48"/>
      <c r="QPX25" s="48"/>
      <c r="QQI25" s="48"/>
      <c r="QQT25" s="48"/>
      <c r="QRE25" s="48"/>
      <c r="QRP25" s="48"/>
      <c r="QSA25" s="48"/>
      <c r="QSL25" s="48"/>
      <c r="QSW25" s="48"/>
      <c r="QTH25" s="48"/>
      <c r="QTS25" s="48"/>
      <c r="QUD25" s="48"/>
      <c r="QUO25" s="48"/>
      <c r="QUZ25" s="48"/>
      <c r="QVK25" s="48"/>
      <c r="QVV25" s="48"/>
      <c r="QWG25" s="48"/>
      <c r="QWR25" s="48"/>
      <c r="QXC25" s="48"/>
      <c r="QXN25" s="48"/>
      <c r="QXY25" s="48"/>
      <c r="QYJ25" s="48"/>
      <c r="QYU25" s="48"/>
      <c r="QZF25" s="48"/>
      <c r="QZQ25" s="48"/>
      <c r="RAB25" s="48"/>
      <c r="RAM25" s="48"/>
      <c r="RAX25" s="48"/>
      <c r="RBI25" s="48"/>
      <c r="RBT25" s="48"/>
      <c r="RCE25" s="48"/>
      <c r="RCP25" s="48"/>
      <c r="RDA25" s="48"/>
      <c r="RDL25" s="48"/>
      <c r="RDW25" s="48"/>
      <c r="REH25" s="48"/>
      <c r="RES25" s="48"/>
      <c r="RFD25" s="48"/>
      <c r="RFO25" s="48"/>
      <c r="RFZ25" s="48"/>
      <c r="RGK25" s="48"/>
      <c r="RGV25" s="48"/>
      <c r="RHG25" s="48"/>
      <c r="RHR25" s="48"/>
      <c r="RIC25" s="48"/>
      <c r="RIN25" s="48"/>
      <c r="RIY25" s="48"/>
      <c r="RJJ25" s="48"/>
      <c r="RJU25" s="48"/>
      <c r="RKF25" s="48"/>
      <c r="RKQ25" s="48"/>
      <c r="RLB25" s="48"/>
      <c r="RLM25" s="48"/>
      <c r="RLX25" s="48"/>
      <c r="RMI25" s="48"/>
      <c r="RMT25" s="48"/>
      <c r="RNE25" s="48"/>
      <c r="RNP25" s="48"/>
      <c r="ROA25" s="48"/>
      <c r="ROL25" s="48"/>
      <c r="ROW25" s="48"/>
      <c r="RPH25" s="48"/>
      <c r="RPS25" s="48"/>
      <c r="RQD25" s="48"/>
      <c r="RQO25" s="48"/>
      <c r="RQZ25" s="48"/>
      <c r="RRK25" s="48"/>
      <c r="RRV25" s="48"/>
      <c r="RSG25" s="48"/>
      <c r="RSR25" s="48"/>
      <c r="RTC25" s="48"/>
      <c r="RTN25" s="48"/>
      <c r="RTY25" s="48"/>
      <c r="RUJ25" s="48"/>
      <c r="RUU25" s="48"/>
      <c r="RVF25" s="48"/>
      <c r="RVQ25" s="48"/>
      <c r="RWB25" s="48"/>
      <c r="RWM25" s="48"/>
      <c r="RWX25" s="48"/>
      <c r="RXI25" s="48"/>
      <c r="RXT25" s="48"/>
      <c r="RYE25" s="48"/>
      <c r="RYP25" s="48"/>
      <c r="RZA25" s="48"/>
      <c r="RZL25" s="48"/>
      <c r="RZW25" s="48"/>
      <c r="SAH25" s="48"/>
      <c r="SAS25" s="48"/>
      <c r="SBD25" s="48"/>
      <c r="SBO25" s="48"/>
      <c r="SBZ25" s="48"/>
      <c r="SCK25" s="48"/>
      <c r="SCV25" s="48"/>
      <c r="SDG25" s="48"/>
      <c r="SDR25" s="48"/>
      <c r="SEC25" s="48"/>
      <c r="SEN25" s="48"/>
      <c r="SEY25" s="48"/>
      <c r="SFJ25" s="48"/>
      <c r="SFU25" s="48"/>
      <c r="SGF25" s="48"/>
      <c r="SGQ25" s="48"/>
      <c r="SHB25" s="48"/>
      <c r="SHM25" s="48"/>
      <c r="SHX25" s="48"/>
      <c r="SII25" s="48"/>
      <c r="SIT25" s="48"/>
      <c r="SJE25" s="48"/>
      <c r="SJP25" s="48"/>
      <c r="SKA25" s="48"/>
      <c r="SKL25" s="48"/>
      <c r="SKW25" s="48"/>
      <c r="SLH25" s="48"/>
      <c r="SLS25" s="48"/>
      <c r="SMD25" s="48"/>
      <c r="SMO25" s="48"/>
      <c r="SMZ25" s="48"/>
      <c r="SNK25" s="48"/>
      <c r="SNV25" s="48"/>
      <c r="SOG25" s="48"/>
      <c r="SOR25" s="48"/>
      <c r="SPC25" s="48"/>
      <c r="SPN25" s="48"/>
      <c r="SPY25" s="48"/>
      <c r="SQJ25" s="48"/>
      <c r="SQU25" s="48"/>
      <c r="SRF25" s="48"/>
      <c r="SRQ25" s="48"/>
      <c r="SSB25" s="48"/>
      <c r="SSM25" s="48"/>
      <c r="SSX25" s="48"/>
      <c r="STI25" s="48"/>
      <c r="STT25" s="48"/>
      <c r="SUE25" s="48"/>
      <c r="SUP25" s="48"/>
      <c r="SVA25" s="48"/>
      <c r="SVL25" s="48"/>
      <c r="SVW25" s="48"/>
      <c r="SWH25" s="48"/>
      <c r="SWS25" s="48"/>
      <c r="SXD25" s="48"/>
      <c r="SXO25" s="48"/>
      <c r="SXZ25" s="48"/>
      <c r="SYK25" s="48"/>
      <c r="SYV25" s="48"/>
      <c r="SZG25" s="48"/>
      <c r="SZR25" s="48"/>
      <c r="TAC25" s="48"/>
      <c r="TAN25" s="48"/>
      <c r="TAY25" s="48"/>
      <c r="TBJ25" s="48"/>
      <c r="TBU25" s="48"/>
      <c r="TCF25" s="48"/>
      <c r="TCQ25" s="48"/>
      <c r="TDB25" s="48"/>
      <c r="TDM25" s="48"/>
      <c r="TDX25" s="48"/>
      <c r="TEI25" s="48"/>
      <c r="TET25" s="48"/>
      <c r="TFE25" s="48"/>
      <c r="TFP25" s="48"/>
      <c r="TGA25" s="48"/>
      <c r="TGL25" s="48"/>
      <c r="TGW25" s="48"/>
      <c r="THH25" s="48"/>
      <c r="THS25" s="48"/>
      <c r="TID25" s="48"/>
      <c r="TIO25" s="48"/>
      <c r="TIZ25" s="48"/>
      <c r="TJK25" s="48"/>
      <c r="TJV25" s="48"/>
      <c r="TKG25" s="48"/>
      <c r="TKR25" s="48"/>
      <c r="TLC25" s="48"/>
      <c r="TLN25" s="48"/>
      <c r="TLY25" s="48"/>
      <c r="TMJ25" s="48"/>
      <c r="TMU25" s="48"/>
      <c r="TNF25" s="48"/>
      <c r="TNQ25" s="48"/>
      <c r="TOB25" s="48"/>
      <c r="TOM25" s="48"/>
      <c r="TOX25" s="48"/>
      <c r="TPI25" s="48"/>
      <c r="TPT25" s="48"/>
      <c r="TQE25" s="48"/>
      <c r="TQP25" s="48"/>
      <c r="TRA25" s="48"/>
      <c r="TRL25" s="48"/>
      <c r="TRW25" s="48"/>
      <c r="TSH25" s="48"/>
      <c r="TSS25" s="48"/>
      <c r="TTD25" s="48"/>
      <c r="TTO25" s="48"/>
      <c r="TTZ25" s="48"/>
      <c r="TUK25" s="48"/>
      <c r="TUV25" s="48"/>
      <c r="TVG25" s="48"/>
      <c r="TVR25" s="48"/>
      <c r="TWC25" s="48"/>
      <c r="TWN25" s="48"/>
      <c r="TWY25" s="48"/>
      <c r="TXJ25" s="48"/>
      <c r="TXU25" s="48"/>
      <c r="TYF25" s="48"/>
      <c r="TYQ25" s="48"/>
      <c r="TZB25" s="48"/>
      <c r="TZM25" s="48"/>
      <c r="TZX25" s="48"/>
      <c r="UAI25" s="48"/>
      <c r="UAT25" s="48"/>
      <c r="UBE25" s="48"/>
      <c r="UBP25" s="48"/>
      <c r="UCA25" s="48"/>
      <c r="UCL25" s="48"/>
      <c r="UCW25" s="48"/>
      <c r="UDH25" s="48"/>
      <c r="UDS25" s="48"/>
      <c r="UED25" s="48"/>
      <c r="UEO25" s="48"/>
      <c r="UEZ25" s="48"/>
      <c r="UFK25" s="48"/>
      <c r="UFV25" s="48"/>
      <c r="UGG25" s="48"/>
      <c r="UGR25" s="48"/>
      <c r="UHC25" s="48"/>
      <c r="UHN25" s="48"/>
      <c r="UHY25" s="48"/>
      <c r="UIJ25" s="48"/>
      <c r="UIU25" s="48"/>
      <c r="UJF25" s="48"/>
      <c r="UJQ25" s="48"/>
      <c r="UKB25" s="48"/>
      <c r="UKM25" s="48"/>
      <c r="UKX25" s="48"/>
      <c r="ULI25" s="48"/>
      <c r="ULT25" s="48"/>
      <c r="UME25" s="48"/>
      <c r="UMP25" s="48"/>
      <c r="UNA25" s="48"/>
      <c r="UNL25" s="48"/>
      <c r="UNW25" s="48"/>
      <c r="UOH25" s="48"/>
      <c r="UOS25" s="48"/>
      <c r="UPD25" s="48"/>
      <c r="UPO25" s="48"/>
      <c r="UPZ25" s="48"/>
      <c r="UQK25" s="48"/>
      <c r="UQV25" s="48"/>
      <c r="URG25" s="48"/>
      <c r="URR25" s="48"/>
      <c r="USC25" s="48"/>
      <c r="USN25" s="48"/>
      <c r="USY25" s="48"/>
      <c r="UTJ25" s="48"/>
      <c r="UTU25" s="48"/>
      <c r="UUF25" s="48"/>
      <c r="UUQ25" s="48"/>
      <c r="UVB25" s="48"/>
      <c r="UVM25" s="48"/>
      <c r="UVX25" s="48"/>
      <c r="UWI25" s="48"/>
      <c r="UWT25" s="48"/>
      <c r="UXE25" s="48"/>
      <c r="UXP25" s="48"/>
      <c r="UYA25" s="48"/>
      <c r="UYL25" s="48"/>
      <c r="UYW25" s="48"/>
      <c r="UZH25" s="48"/>
      <c r="UZS25" s="48"/>
      <c r="VAD25" s="48"/>
      <c r="VAO25" s="48"/>
      <c r="VAZ25" s="48"/>
      <c r="VBK25" s="48"/>
      <c r="VBV25" s="48"/>
      <c r="VCG25" s="48"/>
      <c r="VCR25" s="48"/>
      <c r="VDC25" s="48"/>
      <c r="VDN25" s="48"/>
      <c r="VDY25" s="48"/>
      <c r="VEJ25" s="48"/>
      <c r="VEU25" s="48"/>
      <c r="VFF25" s="48"/>
      <c r="VFQ25" s="48"/>
      <c r="VGB25" s="48"/>
      <c r="VGM25" s="48"/>
      <c r="VGX25" s="48"/>
      <c r="VHI25" s="48"/>
      <c r="VHT25" s="48"/>
      <c r="VIE25" s="48"/>
      <c r="VIP25" s="48"/>
      <c r="VJA25" s="48"/>
      <c r="VJL25" s="48"/>
      <c r="VJW25" s="48"/>
      <c r="VKH25" s="48"/>
      <c r="VKS25" s="48"/>
      <c r="VLD25" s="48"/>
      <c r="VLO25" s="48"/>
      <c r="VLZ25" s="48"/>
      <c r="VMK25" s="48"/>
      <c r="VMV25" s="48"/>
      <c r="VNG25" s="48"/>
      <c r="VNR25" s="48"/>
      <c r="VOC25" s="48"/>
      <c r="VON25" s="48"/>
      <c r="VOY25" s="48"/>
      <c r="VPJ25" s="48"/>
      <c r="VPU25" s="48"/>
      <c r="VQF25" s="48"/>
      <c r="VQQ25" s="48"/>
      <c r="VRB25" s="48"/>
      <c r="VRM25" s="48"/>
      <c r="VRX25" s="48"/>
      <c r="VSI25" s="48"/>
      <c r="VST25" s="48"/>
      <c r="VTE25" s="48"/>
      <c r="VTP25" s="48"/>
      <c r="VUA25" s="48"/>
      <c r="VUL25" s="48"/>
      <c r="VUW25" s="48"/>
      <c r="VVH25" s="48"/>
      <c r="VVS25" s="48"/>
      <c r="VWD25" s="48"/>
      <c r="VWO25" s="48"/>
      <c r="VWZ25" s="48"/>
      <c r="VXK25" s="48"/>
      <c r="VXV25" s="48"/>
      <c r="VYG25" s="48"/>
      <c r="VYR25" s="48"/>
      <c r="VZC25" s="48"/>
      <c r="VZN25" s="48"/>
      <c r="VZY25" s="48"/>
      <c r="WAJ25" s="48"/>
      <c r="WAU25" s="48"/>
      <c r="WBF25" s="48"/>
      <c r="WBQ25" s="48"/>
      <c r="WCB25" s="48"/>
      <c r="WCM25" s="48"/>
      <c r="WCX25" s="48"/>
      <c r="WDI25" s="48"/>
      <c r="WDT25" s="48"/>
      <c r="WEE25" s="48"/>
      <c r="WEP25" s="48"/>
      <c r="WFA25" s="48"/>
      <c r="WFL25" s="48"/>
      <c r="WFW25" s="48"/>
      <c r="WGH25" s="48"/>
      <c r="WGS25" s="48"/>
      <c r="WHD25" s="48"/>
      <c r="WHO25" s="48"/>
      <c r="WHZ25" s="48"/>
      <c r="WIK25" s="48"/>
      <c r="WIV25" s="48"/>
      <c r="WJG25" s="48"/>
      <c r="WJR25" s="48"/>
      <c r="WKC25" s="48"/>
      <c r="WKN25" s="48"/>
      <c r="WKY25" s="48"/>
      <c r="WLJ25" s="48"/>
      <c r="WLU25" s="48"/>
      <c r="WMF25" s="48"/>
      <c r="WMQ25" s="48"/>
      <c r="WNB25" s="48"/>
      <c r="WNM25" s="48"/>
      <c r="WNX25" s="48"/>
      <c r="WOI25" s="48"/>
      <c r="WOT25" s="48"/>
      <c r="WPE25" s="48"/>
      <c r="WPP25" s="48"/>
      <c r="WQA25" s="48"/>
      <c r="WQL25" s="48"/>
      <c r="WQW25" s="48"/>
      <c r="WRH25" s="48"/>
      <c r="WRS25" s="48"/>
      <c r="WSD25" s="48"/>
      <c r="WSO25" s="48"/>
      <c r="WSZ25" s="48"/>
      <c r="WTK25" s="48"/>
      <c r="WTV25" s="48"/>
      <c r="WUG25" s="48"/>
      <c r="WUR25" s="48"/>
      <c r="WVC25" s="48"/>
      <c r="WVN25" s="48"/>
      <c r="WVY25" s="48"/>
      <c r="WWJ25" s="48"/>
      <c r="WWU25" s="48"/>
      <c r="WXF25" s="48"/>
      <c r="WXQ25" s="48"/>
      <c r="WYB25" s="48"/>
      <c r="WYM25" s="48"/>
      <c r="WYX25" s="48"/>
      <c r="WZI25" s="48"/>
      <c r="WZT25" s="48"/>
      <c r="XAE25" s="48"/>
      <c r="XAP25" s="48"/>
      <c r="XBA25" s="48"/>
      <c r="XBL25" s="48"/>
      <c r="XBW25" s="48"/>
      <c r="XCH25" s="48"/>
      <c r="XCS25" s="48"/>
      <c r="XDD25" s="48"/>
      <c r="XDO25" s="48"/>
      <c r="XDZ25" s="48"/>
      <c r="XEK25" s="48"/>
      <c r="XEV25" s="48"/>
    </row>
    <row r="26" spans="1:1020 1031:2043 2054:3066 3077:4089 4100:5112 5123:6135 6146:7158 7169:8192 8203:9215 9226:10238 10249:11261 11272:12284 12295:13307 13318:14330 14341:15353 15364:16376" s="47" customFormat="1" ht="4.8" customHeight="1">
      <c r="F26" s="48"/>
      <c r="I26" s="49"/>
      <c r="S26" s="343"/>
      <c r="AD26" s="48"/>
      <c r="AO26" s="48"/>
      <c r="AZ26" s="48"/>
      <c r="BK26" s="48"/>
      <c r="BV26" s="48"/>
      <c r="CG26" s="48"/>
      <c r="CR26" s="48"/>
      <c r="DC26" s="48"/>
      <c r="DN26" s="48"/>
      <c r="DY26" s="48"/>
      <c r="EJ26" s="48"/>
      <c r="EU26" s="48"/>
      <c r="FF26" s="48"/>
      <c r="FQ26" s="48"/>
      <c r="GB26" s="48"/>
      <c r="GM26" s="48"/>
      <c r="GX26" s="48"/>
      <c r="HI26" s="48"/>
      <c r="HT26" s="48"/>
      <c r="IE26" s="48"/>
      <c r="IP26" s="48"/>
      <c r="JA26" s="48"/>
      <c r="JL26" s="48"/>
      <c r="JW26" s="48"/>
      <c r="KH26" s="48"/>
      <c r="KS26" s="48"/>
      <c r="LD26" s="48"/>
      <c r="LO26" s="48"/>
      <c r="LZ26" s="48"/>
      <c r="MK26" s="48"/>
      <c r="MV26" s="48"/>
      <c r="NG26" s="48"/>
      <c r="NR26" s="48"/>
      <c r="OC26" s="48"/>
      <c r="ON26" s="48"/>
      <c r="OY26" s="48"/>
      <c r="PJ26" s="48"/>
      <c r="PU26" s="48"/>
      <c r="QF26" s="48"/>
      <c r="QQ26" s="48"/>
      <c r="RB26" s="48"/>
      <c r="RM26" s="48"/>
      <c r="RX26" s="48"/>
      <c r="SI26" s="48"/>
      <c r="ST26" s="48"/>
      <c r="TE26" s="48"/>
      <c r="TP26" s="48"/>
      <c r="UA26" s="48"/>
      <c r="UL26" s="48"/>
      <c r="UW26" s="48"/>
      <c r="VH26" s="48"/>
      <c r="VS26" s="48"/>
      <c r="WD26" s="48"/>
      <c r="WO26" s="48"/>
      <c r="WZ26" s="48"/>
      <c r="XK26" s="48"/>
      <c r="XV26" s="48"/>
      <c r="YG26" s="48"/>
      <c r="YR26" s="48"/>
      <c r="ZC26" s="48"/>
      <c r="ZN26" s="48"/>
      <c r="ZY26" s="48"/>
      <c r="AAJ26" s="48"/>
      <c r="AAU26" s="48"/>
      <c r="ABF26" s="48"/>
      <c r="ABQ26" s="48"/>
      <c r="ACB26" s="48"/>
      <c r="ACM26" s="48"/>
      <c r="ACX26" s="48"/>
      <c r="ADI26" s="48"/>
      <c r="ADT26" s="48"/>
      <c r="AEE26" s="48"/>
      <c r="AEP26" s="48"/>
      <c r="AFA26" s="48"/>
      <c r="AFL26" s="48"/>
      <c r="AFW26" s="48"/>
      <c r="AGH26" s="48"/>
      <c r="AGS26" s="48"/>
      <c r="AHD26" s="48"/>
      <c r="AHO26" s="48"/>
      <c r="AHZ26" s="48"/>
      <c r="AIK26" s="48"/>
      <c r="AIV26" s="48"/>
      <c r="AJG26" s="48"/>
      <c r="AJR26" s="48"/>
      <c r="AKC26" s="48"/>
      <c r="AKN26" s="48"/>
      <c r="AKY26" s="48"/>
      <c r="ALJ26" s="48"/>
      <c r="ALU26" s="48"/>
      <c r="AMF26" s="48"/>
      <c r="AMQ26" s="48"/>
      <c r="ANB26" s="48"/>
      <c r="ANM26" s="48"/>
      <c r="ANX26" s="48"/>
      <c r="AOI26" s="48"/>
      <c r="AOT26" s="48"/>
      <c r="APE26" s="48"/>
      <c r="APP26" s="48"/>
      <c r="AQA26" s="48"/>
      <c r="AQL26" s="48"/>
      <c r="AQW26" s="48"/>
      <c r="ARH26" s="48"/>
      <c r="ARS26" s="48"/>
      <c r="ASD26" s="48"/>
      <c r="ASO26" s="48"/>
      <c r="ASZ26" s="48"/>
      <c r="ATK26" s="48"/>
      <c r="ATV26" s="48"/>
      <c r="AUG26" s="48"/>
      <c r="AUR26" s="48"/>
      <c r="AVC26" s="48"/>
      <c r="AVN26" s="48"/>
      <c r="AVY26" s="48"/>
      <c r="AWJ26" s="48"/>
      <c r="AWU26" s="48"/>
      <c r="AXF26" s="48"/>
      <c r="AXQ26" s="48"/>
      <c r="AYB26" s="48"/>
      <c r="AYM26" s="48"/>
      <c r="AYX26" s="48"/>
      <c r="AZI26" s="48"/>
      <c r="AZT26" s="48"/>
      <c r="BAE26" s="48"/>
      <c r="BAP26" s="48"/>
      <c r="BBA26" s="48"/>
      <c r="BBL26" s="48"/>
      <c r="BBW26" s="48"/>
      <c r="BCH26" s="48"/>
      <c r="BCS26" s="48"/>
      <c r="BDD26" s="48"/>
      <c r="BDO26" s="48"/>
      <c r="BDZ26" s="48"/>
      <c r="BEK26" s="48"/>
      <c r="BEV26" s="48"/>
      <c r="BFG26" s="48"/>
      <c r="BFR26" s="48"/>
      <c r="BGC26" s="48"/>
      <c r="BGN26" s="48"/>
      <c r="BGY26" s="48"/>
      <c r="BHJ26" s="48"/>
      <c r="BHU26" s="48"/>
      <c r="BIF26" s="48"/>
      <c r="BIQ26" s="48"/>
      <c r="BJB26" s="48"/>
      <c r="BJM26" s="48"/>
      <c r="BJX26" s="48"/>
      <c r="BKI26" s="48"/>
      <c r="BKT26" s="48"/>
      <c r="BLE26" s="48"/>
      <c r="BLP26" s="48"/>
      <c r="BMA26" s="48"/>
      <c r="BML26" s="48"/>
      <c r="BMW26" s="48"/>
      <c r="BNH26" s="48"/>
      <c r="BNS26" s="48"/>
      <c r="BOD26" s="48"/>
      <c r="BOO26" s="48"/>
      <c r="BOZ26" s="48"/>
      <c r="BPK26" s="48"/>
      <c r="BPV26" s="48"/>
      <c r="BQG26" s="48"/>
      <c r="BQR26" s="48"/>
      <c r="BRC26" s="48"/>
      <c r="BRN26" s="48"/>
      <c r="BRY26" s="48"/>
      <c r="BSJ26" s="48"/>
      <c r="BSU26" s="48"/>
      <c r="BTF26" s="48"/>
      <c r="BTQ26" s="48"/>
      <c r="BUB26" s="48"/>
      <c r="BUM26" s="48"/>
      <c r="BUX26" s="48"/>
      <c r="BVI26" s="48"/>
      <c r="BVT26" s="48"/>
      <c r="BWE26" s="48"/>
      <c r="BWP26" s="48"/>
      <c r="BXA26" s="48"/>
      <c r="BXL26" s="48"/>
      <c r="BXW26" s="48"/>
      <c r="BYH26" s="48"/>
      <c r="BYS26" s="48"/>
      <c r="BZD26" s="48"/>
      <c r="BZO26" s="48"/>
      <c r="BZZ26" s="48"/>
      <c r="CAK26" s="48"/>
      <c r="CAV26" s="48"/>
      <c r="CBG26" s="48"/>
      <c r="CBR26" s="48"/>
      <c r="CCC26" s="48"/>
      <c r="CCN26" s="48"/>
      <c r="CCY26" s="48"/>
      <c r="CDJ26" s="48"/>
      <c r="CDU26" s="48"/>
      <c r="CEF26" s="48"/>
      <c r="CEQ26" s="48"/>
      <c r="CFB26" s="48"/>
      <c r="CFM26" s="48"/>
      <c r="CFX26" s="48"/>
      <c r="CGI26" s="48"/>
      <c r="CGT26" s="48"/>
      <c r="CHE26" s="48"/>
      <c r="CHP26" s="48"/>
      <c r="CIA26" s="48"/>
      <c r="CIL26" s="48"/>
      <c r="CIW26" s="48"/>
      <c r="CJH26" s="48"/>
      <c r="CJS26" s="48"/>
      <c r="CKD26" s="48"/>
      <c r="CKO26" s="48"/>
      <c r="CKZ26" s="48"/>
      <c r="CLK26" s="48"/>
      <c r="CLV26" s="48"/>
      <c r="CMG26" s="48"/>
      <c r="CMR26" s="48"/>
      <c r="CNC26" s="48"/>
      <c r="CNN26" s="48"/>
      <c r="CNY26" s="48"/>
      <c r="COJ26" s="48"/>
      <c r="COU26" s="48"/>
      <c r="CPF26" s="48"/>
      <c r="CPQ26" s="48"/>
      <c r="CQB26" s="48"/>
      <c r="CQM26" s="48"/>
      <c r="CQX26" s="48"/>
      <c r="CRI26" s="48"/>
      <c r="CRT26" s="48"/>
      <c r="CSE26" s="48"/>
      <c r="CSP26" s="48"/>
      <c r="CTA26" s="48"/>
      <c r="CTL26" s="48"/>
      <c r="CTW26" s="48"/>
      <c r="CUH26" s="48"/>
      <c r="CUS26" s="48"/>
      <c r="CVD26" s="48"/>
      <c r="CVO26" s="48"/>
      <c r="CVZ26" s="48"/>
      <c r="CWK26" s="48"/>
      <c r="CWV26" s="48"/>
      <c r="CXG26" s="48"/>
      <c r="CXR26" s="48"/>
      <c r="CYC26" s="48"/>
      <c r="CYN26" s="48"/>
      <c r="CYY26" s="48"/>
      <c r="CZJ26" s="48"/>
      <c r="CZU26" s="48"/>
      <c r="DAF26" s="48"/>
      <c r="DAQ26" s="48"/>
      <c r="DBB26" s="48"/>
      <c r="DBM26" s="48"/>
      <c r="DBX26" s="48"/>
      <c r="DCI26" s="48"/>
      <c r="DCT26" s="48"/>
      <c r="DDE26" s="48"/>
      <c r="DDP26" s="48"/>
      <c r="DEA26" s="48"/>
      <c r="DEL26" s="48"/>
      <c r="DEW26" s="48"/>
      <c r="DFH26" s="48"/>
      <c r="DFS26" s="48"/>
      <c r="DGD26" s="48"/>
      <c r="DGO26" s="48"/>
      <c r="DGZ26" s="48"/>
      <c r="DHK26" s="48"/>
      <c r="DHV26" s="48"/>
      <c r="DIG26" s="48"/>
      <c r="DIR26" s="48"/>
      <c r="DJC26" s="48"/>
      <c r="DJN26" s="48"/>
      <c r="DJY26" s="48"/>
      <c r="DKJ26" s="48"/>
      <c r="DKU26" s="48"/>
      <c r="DLF26" s="48"/>
      <c r="DLQ26" s="48"/>
      <c r="DMB26" s="48"/>
      <c r="DMM26" s="48"/>
      <c r="DMX26" s="48"/>
      <c r="DNI26" s="48"/>
      <c r="DNT26" s="48"/>
      <c r="DOE26" s="48"/>
      <c r="DOP26" s="48"/>
      <c r="DPA26" s="48"/>
      <c r="DPL26" s="48"/>
      <c r="DPW26" s="48"/>
      <c r="DQH26" s="48"/>
      <c r="DQS26" s="48"/>
      <c r="DRD26" s="48"/>
      <c r="DRO26" s="48"/>
      <c r="DRZ26" s="48"/>
      <c r="DSK26" s="48"/>
      <c r="DSV26" s="48"/>
      <c r="DTG26" s="48"/>
      <c r="DTR26" s="48"/>
      <c r="DUC26" s="48"/>
      <c r="DUN26" s="48"/>
      <c r="DUY26" s="48"/>
      <c r="DVJ26" s="48"/>
      <c r="DVU26" s="48"/>
      <c r="DWF26" s="48"/>
      <c r="DWQ26" s="48"/>
      <c r="DXB26" s="48"/>
      <c r="DXM26" s="48"/>
      <c r="DXX26" s="48"/>
      <c r="DYI26" s="48"/>
      <c r="DYT26" s="48"/>
      <c r="DZE26" s="48"/>
      <c r="DZP26" s="48"/>
      <c r="EAA26" s="48"/>
      <c r="EAL26" s="48"/>
      <c r="EAW26" s="48"/>
      <c r="EBH26" s="48"/>
      <c r="EBS26" s="48"/>
      <c r="ECD26" s="48"/>
      <c r="ECO26" s="48"/>
      <c r="ECZ26" s="48"/>
      <c r="EDK26" s="48"/>
      <c r="EDV26" s="48"/>
      <c r="EEG26" s="48"/>
      <c r="EER26" s="48"/>
      <c r="EFC26" s="48"/>
      <c r="EFN26" s="48"/>
      <c r="EFY26" s="48"/>
      <c r="EGJ26" s="48"/>
      <c r="EGU26" s="48"/>
      <c r="EHF26" s="48"/>
      <c r="EHQ26" s="48"/>
      <c r="EIB26" s="48"/>
      <c r="EIM26" s="48"/>
      <c r="EIX26" s="48"/>
      <c r="EJI26" s="48"/>
      <c r="EJT26" s="48"/>
      <c r="EKE26" s="48"/>
      <c r="EKP26" s="48"/>
      <c r="ELA26" s="48"/>
      <c r="ELL26" s="48"/>
      <c r="ELW26" s="48"/>
      <c r="EMH26" s="48"/>
      <c r="EMS26" s="48"/>
      <c r="END26" s="48"/>
      <c r="ENO26" s="48"/>
      <c r="ENZ26" s="48"/>
      <c r="EOK26" s="48"/>
      <c r="EOV26" s="48"/>
      <c r="EPG26" s="48"/>
      <c r="EPR26" s="48"/>
      <c r="EQC26" s="48"/>
      <c r="EQN26" s="48"/>
      <c r="EQY26" s="48"/>
      <c r="ERJ26" s="48"/>
      <c r="ERU26" s="48"/>
      <c r="ESF26" s="48"/>
      <c r="ESQ26" s="48"/>
      <c r="ETB26" s="48"/>
      <c r="ETM26" s="48"/>
      <c r="ETX26" s="48"/>
      <c r="EUI26" s="48"/>
      <c r="EUT26" s="48"/>
      <c r="EVE26" s="48"/>
      <c r="EVP26" s="48"/>
      <c r="EWA26" s="48"/>
      <c r="EWL26" s="48"/>
      <c r="EWW26" s="48"/>
      <c r="EXH26" s="48"/>
      <c r="EXS26" s="48"/>
      <c r="EYD26" s="48"/>
      <c r="EYO26" s="48"/>
      <c r="EYZ26" s="48"/>
      <c r="EZK26" s="48"/>
      <c r="EZV26" s="48"/>
      <c r="FAG26" s="48"/>
      <c r="FAR26" s="48"/>
      <c r="FBC26" s="48"/>
      <c r="FBN26" s="48"/>
      <c r="FBY26" s="48"/>
      <c r="FCJ26" s="48"/>
      <c r="FCU26" s="48"/>
      <c r="FDF26" s="48"/>
      <c r="FDQ26" s="48"/>
      <c r="FEB26" s="48"/>
      <c r="FEM26" s="48"/>
      <c r="FEX26" s="48"/>
      <c r="FFI26" s="48"/>
      <c r="FFT26" s="48"/>
      <c r="FGE26" s="48"/>
      <c r="FGP26" s="48"/>
      <c r="FHA26" s="48"/>
      <c r="FHL26" s="48"/>
      <c r="FHW26" s="48"/>
      <c r="FIH26" s="48"/>
      <c r="FIS26" s="48"/>
      <c r="FJD26" s="48"/>
      <c r="FJO26" s="48"/>
      <c r="FJZ26" s="48"/>
      <c r="FKK26" s="48"/>
      <c r="FKV26" s="48"/>
      <c r="FLG26" s="48"/>
      <c r="FLR26" s="48"/>
      <c r="FMC26" s="48"/>
      <c r="FMN26" s="48"/>
      <c r="FMY26" s="48"/>
      <c r="FNJ26" s="48"/>
      <c r="FNU26" s="48"/>
      <c r="FOF26" s="48"/>
      <c r="FOQ26" s="48"/>
      <c r="FPB26" s="48"/>
      <c r="FPM26" s="48"/>
      <c r="FPX26" s="48"/>
      <c r="FQI26" s="48"/>
      <c r="FQT26" s="48"/>
      <c r="FRE26" s="48"/>
      <c r="FRP26" s="48"/>
      <c r="FSA26" s="48"/>
      <c r="FSL26" s="48"/>
      <c r="FSW26" s="48"/>
      <c r="FTH26" s="48"/>
      <c r="FTS26" s="48"/>
      <c r="FUD26" s="48"/>
      <c r="FUO26" s="48"/>
      <c r="FUZ26" s="48"/>
      <c r="FVK26" s="48"/>
      <c r="FVV26" s="48"/>
      <c r="FWG26" s="48"/>
      <c r="FWR26" s="48"/>
      <c r="FXC26" s="48"/>
      <c r="FXN26" s="48"/>
      <c r="FXY26" s="48"/>
      <c r="FYJ26" s="48"/>
      <c r="FYU26" s="48"/>
      <c r="FZF26" s="48"/>
      <c r="FZQ26" s="48"/>
      <c r="GAB26" s="48"/>
      <c r="GAM26" s="48"/>
      <c r="GAX26" s="48"/>
      <c r="GBI26" s="48"/>
      <c r="GBT26" s="48"/>
      <c r="GCE26" s="48"/>
      <c r="GCP26" s="48"/>
      <c r="GDA26" s="48"/>
      <c r="GDL26" s="48"/>
      <c r="GDW26" s="48"/>
      <c r="GEH26" s="48"/>
      <c r="GES26" s="48"/>
      <c r="GFD26" s="48"/>
      <c r="GFO26" s="48"/>
      <c r="GFZ26" s="48"/>
      <c r="GGK26" s="48"/>
      <c r="GGV26" s="48"/>
      <c r="GHG26" s="48"/>
      <c r="GHR26" s="48"/>
      <c r="GIC26" s="48"/>
      <c r="GIN26" s="48"/>
      <c r="GIY26" s="48"/>
      <c r="GJJ26" s="48"/>
      <c r="GJU26" s="48"/>
      <c r="GKF26" s="48"/>
      <c r="GKQ26" s="48"/>
      <c r="GLB26" s="48"/>
      <c r="GLM26" s="48"/>
      <c r="GLX26" s="48"/>
      <c r="GMI26" s="48"/>
      <c r="GMT26" s="48"/>
      <c r="GNE26" s="48"/>
      <c r="GNP26" s="48"/>
      <c r="GOA26" s="48"/>
      <c r="GOL26" s="48"/>
      <c r="GOW26" s="48"/>
      <c r="GPH26" s="48"/>
      <c r="GPS26" s="48"/>
      <c r="GQD26" s="48"/>
      <c r="GQO26" s="48"/>
      <c r="GQZ26" s="48"/>
      <c r="GRK26" s="48"/>
      <c r="GRV26" s="48"/>
      <c r="GSG26" s="48"/>
      <c r="GSR26" s="48"/>
      <c r="GTC26" s="48"/>
      <c r="GTN26" s="48"/>
      <c r="GTY26" s="48"/>
      <c r="GUJ26" s="48"/>
      <c r="GUU26" s="48"/>
      <c r="GVF26" s="48"/>
      <c r="GVQ26" s="48"/>
      <c r="GWB26" s="48"/>
      <c r="GWM26" s="48"/>
      <c r="GWX26" s="48"/>
      <c r="GXI26" s="48"/>
      <c r="GXT26" s="48"/>
      <c r="GYE26" s="48"/>
      <c r="GYP26" s="48"/>
      <c r="GZA26" s="48"/>
      <c r="GZL26" s="48"/>
      <c r="GZW26" s="48"/>
      <c r="HAH26" s="48"/>
      <c r="HAS26" s="48"/>
      <c r="HBD26" s="48"/>
      <c r="HBO26" s="48"/>
      <c r="HBZ26" s="48"/>
      <c r="HCK26" s="48"/>
      <c r="HCV26" s="48"/>
      <c r="HDG26" s="48"/>
      <c r="HDR26" s="48"/>
      <c r="HEC26" s="48"/>
      <c r="HEN26" s="48"/>
      <c r="HEY26" s="48"/>
      <c r="HFJ26" s="48"/>
      <c r="HFU26" s="48"/>
      <c r="HGF26" s="48"/>
      <c r="HGQ26" s="48"/>
      <c r="HHB26" s="48"/>
      <c r="HHM26" s="48"/>
      <c r="HHX26" s="48"/>
      <c r="HII26" s="48"/>
      <c r="HIT26" s="48"/>
      <c r="HJE26" s="48"/>
      <c r="HJP26" s="48"/>
      <c r="HKA26" s="48"/>
      <c r="HKL26" s="48"/>
      <c r="HKW26" s="48"/>
      <c r="HLH26" s="48"/>
      <c r="HLS26" s="48"/>
      <c r="HMD26" s="48"/>
      <c r="HMO26" s="48"/>
      <c r="HMZ26" s="48"/>
      <c r="HNK26" s="48"/>
      <c r="HNV26" s="48"/>
      <c r="HOG26" s="48"/>
      <c r="HOR26" s="48"/>
      <c r="HPC26" s="48"/>
      <c r="HPN26" s="48"/>
      <c r="HPY26" s="48"/>
      <c r="HQJ26" s="48"/>
      <c r="HQU26" s="48"/>
      <c r="HRF26" s="48"/>
      <c r="HRQ26" s="48"/>
      <c r="HSB26" s="48"/>
      <c r="HSM26" s="48"/>
      <c r="HSX26" s="48"/>
      <c r="HTI26" s="48"/>
      <c r="HTT26" s="48"/>
      <c r="HUE26" s="48"/>
      <c r="HUP26" s="48"/>
      <c r="HVA26" s="48"/>
      <c r="HVL26" s="48"/>
      <c r="HVW26" s="48"/>
      <c r="HWH26" s="48"/>
      <c r="HWS26" s="48"/>
      <c r="HXD26" s="48"/>
      <c r="HXO26" s="48"/>
      <c r="HXZ26" s="48"/>
      <c r="HYK26" s="48"/>
      <c r="HYV26" s="48"/>
      <c r="HZG26" s="48"/>
      <c r="HZR26" s="48"/>
      <c r="IAC26" s="48"/>
      <c r="IAN26" s="48"/>
      <c r="IAY26" s="48"/>
      <c r="IBJ26" s="48"/>
      <c r="IBU26" s="48"/>
      <c r="ICF26" s="48"/>
      <c r="ICQ26" s="48"/>
      <c r="IDB26" s="48"/>
      <c r="IDM26" s="48"/>
      <c r="IDX26" s="48"/>
      <c r="IEI26" s="48"/>
      <c r="IET26" s="48"/>
      <c r="IFE26" s="48"/>
      <c r="IFP26" s="48"/>
      <c r="IGA26" s="48"/>
      <c r="IGL26" s="48"/>
      <c r="IGW26" s="48"/>
      <c r="IHH26" s="48"/>
      <c r="IHS26" s="48"/>
      <c r="IID26" s="48"/>
      <c r="IIO26" s="48"/>
      <c r="IIZ26" s="48"/>
      <c r="IJK26" s="48"/>
      <c r="IJV26" s="48"/>
      <c r="IKG26" s="48"/>
      <c r="IKR26" s="48"/>
      <c r="ILC26" s="48"/>
      <c r="ILN26" s="48"/>
      <c r="ILY26" s="48"/>
      <c r="IMJ26" s="48"/>
      <c r="IMU26" s="48"/>
      <c r="INF26" s="48"/>
      <c r="INQ26" s="48"/>
      <c r="IOB26" s="48"/>
      <c r="IOM26" s="48"/>
      <c r="IOX26" s="48"/>
      <c r="IPI26" s="48"/>
      <c r="IPT26" s="48"/>
      <c r="IQE26" s="48"/>
      <c r="IQP26" s="48"/>
      <c r="IRA26" s="48"/>
      <c r="IRL26" s="48"/>
      <c r="IRW26" s="48"/>
      <c r="ISH26" s="48"/>
      <c r="ISS26" s="48"/>
      <c r="ITD26" s="48"/>
      <c r="ITO26" s="48"/>
      <c r="ITZ26" s="48"/>
      <c r="IUK26" s="48"/>
      <c r="IUV26" s="48"/>
      <c r="IVG26" s="48"/>
      <c r="IVR26" s="48"/>
      <c r="IWC26" s="48"/>
      <c r="IWN26" s="48"/>
      <c r="IWY26" s="48"/>
      <c r="IXJ26" s="48"/>
      <c r="IXU26" s="48"/>
      <c r="IYF26" s="48"/>
      <c r="IYQ26" s="48"/>
      <c r="IZB26" s="48"/>
      <c r="IZM26" s="48"/>
      <c r="IZX26" s="48"/>
      <c r="JAI26" s="48"/>
      <c r="JAT26" s="48"/>
      <c r="JBE26" s="48"/>
      <c r="JBP26" s="48"/>
      <c r="JCA26" s="48"/>
      <c r="JCL26" s="48"/>
      <c r="JCW26" s="48"/>
      <c r="JDH26" s="48"/>
      <c r="JDS26" s="48"/>
      <c r="JED26" s="48"/>
      <c r="JEO26" s="48"/>
      <c r="JEZ26" s="48"/>
      <c r="JFK26" s="48"/>
      <c r="JFV26" s="48"/>
      <c r="JGG26" s="48"/>
      <c r="JGR26" s="48"/>
      <c r="JHC26" s="48"/>
      <c r="JHN26" s="48"/>
      <c r="JHY26" s="48"/>
      <c r="JIJ26" s="48"/>
      <c r="JIU26" s="48"/>
      <c r="JJF26" s="48"/>
      <c r="JJQ26" s="48"/>
      <c r="JKB26" s="48"/>
      <c r="JKM26" s="48"/>
      <c r="JKX26" s="48"/>
      <c r="JLI26" s="48"/>
      <c r="JLT26" s="48"/>
      <c r="JME26" s="48"/>
      <c r="JMP26" s="48"/>
      <c r="JNA26" s="48"/>
      <c r="JNL26" s="48"/>
      <c r="JNW26" s="48"/>
      <c r="JOH26" s="48"/>
      <c r="JOS26" s="48"/>
      <c r="JPD26" s="48"/>
      <c r="JPO26" s="48"/>
      <c r="JPZ26" s="48"/>
      <c r="JQK26" s="48"/>
      <c r="JQV26" s="48"/>
      <c r="JRG26" s="48"/>
      <c r="JRR26" s="48"/>
      <c r="JSC26" s="48"/>
      <c r="JSN26" s="48"/>
      <c r="JSY26" s="48"/>
      <c r="JTJ26" s="48"/>
      <c r="JTU26" s="48"/>
      <c r="JUF26" s="48"/>
      <c r="JUQ26" s="48"/>
      <c r="JVB26" s="48"/>
      <c r="JVM26" s="48"/>
      <c r="JVX26" s="48"/>
      <c r="JWI26" s="48"/>
      <c r="JWT26" s="48"/>
      <c r="JXE26" s="48"/>
      <c r="JXP26" s="48"/>
      <c r="JYA26" s="48"/>
      <c r="JYL26" s="48"/>
      <c r="JYW26" s="48"/>
      <c r="JZH26" s="48"/>
      <c r="JZS26" s="48"/>
      <c r="KAD26" s="48"/>
      <c r="KAO26" s="48"/>
      <c r="KAZ26" s="48"/>
      <c r="KBK26" s="48"/>
      <c r="KBV26" s="48"/>
      <c r="KCG26" s="48"/>
      <c r="KCR26" s="48"/>
      <c r="KDC26" s="48"/>
      <c r="KDN26" s="48"/>
      <c r="KDY26" s="48"/>
      <c r="KEJ26" s="48"/>
      <c r="KEU26" s="48"/>
      <c r="KFF26" s="48"/>
      <c r="KFQ26" s="48"/>
      <c r="KGB26" s="48"/>
      <c r="KGM26" s="48"/>
      <c r="KGX26" s="48"/>
      <c r="KHI26" s="48"/>
      <c r="KHT26" s="48"/>
      <c r="KIE26" s="48"/>
      <c r="KIP26" s="48"/>
      <c r="KJA26" s="48"/>
      <c r="KJL26" s="48"/>
      <c r="KJW26" s="48"/>
      <c r="KKH26" s="48"/>
      <c r="KKS26" s="48"/>
      <c r="KLD26" s="48"/>
      <c r="KLO26" s="48"/>
      <c r="KLZ26" s="48"/>
      <c r="KMK26" s="48"/>
      <c r="KMV26" s="48"/>
      <c r="KNG26" s="48"/>
      <c r="KNR26" s="48"/>
      <c r="KOC26" s="48"/>
      <c r="KON26" s="48"/>
      <c r="KOY26" s="48"/>
      <c r="KPJ26" s="48"/>
      <c r="KPU26" s="48"/>
      <c r="KQF26" s="48"/>
      <c r="KQQ26" s="48"/>
      <c r="KRB26" s="48"/>
      <c r="KRM26" s="48"/>
      <c r="KRX26" s="48"/>
      <c r="KSI26" s="48"/>
      <c r="KST26" s="48"/>
      <c r="KTE26" s="48"/>
      <c r="KTP26" s="48"/>
      <c r="KUA26" s="48"/>
      <c r="KUL26" s="48"/>
      <c r="KUW26" s="48"/>
      <c r="KVH26" s="48"/>
      <c r="KVS26" s="48"/>
      <c r="KWD26" s="48"/>
      <c r="KWO26" s="48"/>
      <c r="KWZ26" s="48"/>
      <c r="KXK26" s="48"/>
      <c r="KXV26" s="48"/>
      <c r="KYG26" s="48"/>
      <c r="KYR26" s="48"/>
      <c r="KZC26" s="48"/>
      <c r="KZN26" s="48"/>
      <c r="KZY26" s="48"/>
      <c r="LAJ26" s="48"/>
      <c r="LAU26" s="48"/>
      <c r="LBF26" s="48"/>
      <c r="LBQ26" s="48"/>
      <c r="LCB26" s="48"/>
      <c r="LCM26" s="48"/>
      <c r="LCX26" s="48"/>
      <c r="LDI26" s="48"/>
      <c r="LDT26" s="48"/>
      <c r="LEE26" s="48"/>
      <c r="LEP26" s="48"/>
      <c r="LFA26" s="48"/>
      <c r="LFL26" s="48"/>
      <c r="LFW26" s="48"/>
      <c r="LGH26" s="48"/>
      <c r="LGS26" s="48"/>
      <c r="LHD26" s="48"/>
      <c r="LHO26" s="48"/>
      <c r="LHZ26" s="48"/>
      <c r="LIK26" s="48"/>
      <c r="LIV26" s="48"/>
      <c r="LJG26" s="48"/>
      <c r="LJR26" s="48"/>
      <c r="LKC26" s="48"/>
      <c r="LKN26" s="48"/>
      <c r="LKY26" s="48"/>
      <c r="LLJ26" s="48"/>
      <c r="LLU26" s="48"/>
      <c r="LMF26" s="48"/>
      <c r="LMQ26" s="48"/>
      <c r="LNB26" s="48"/>
      <c r="LNM26" s="48"/>
      <c r="LNX26" s="48"/>
      <c r="LOI26" s="48"/>
      <c r="LOT26" s="48"/>
      <c r="LPE26" s="48"/>
      <c r="LPP26" s="48"/>
      <c r="LQA26" s="48"/>
      <c r="LQL26" s="48"/>
      <c r="LQW26" s="48"/>
      <c r="LRH26" s="48"/>
      <c r="LRS26" s="48"/>
      <c r="LSD26" s="48"/>
      <c r="LSO26" s="48"/>
      <c r="LSZ26" s="48"/>
      <c r="LTK26" s="48"/>
      <c r="LTV26" s="48"/>
      <c r="LUG26" s="48"/>
      <c r="LUR26" s="48"/>
      <c r="LVC26" s="48"/>
      <c r="LVN26" s="48"/>
      <c r="LVY26" s="48"/>
      <c r="LWJ26" s="48"/>
      <c r="LWU26" s="48"/>
      <c r="LXF26" s="48"/>
      <c r="LXQ26" s="48"/>
      <c r="LYB26" s="48"/>
      <c r="LYM26" s="48"/>
      <c r="LYX26" s="48"/>
      <c r="LZI26" s="48"/>
      <c r="LZT26" s="48"/>
      <c r="MAE26" s="48"/>
      <c r="MAP26" s="48"/>
      <c r="MBA26" s="48"/>
      <c r="MBL26" s="48"/>
      <c r="MBW26" s="48"/>
      <c r="MCH26" s="48"/>
      <c r="MCS26" s="48"/>
      <c r="MDD26" s="48"/>
      <c r="MDO26" s="48"/>
      <c r="MDZ26" s="48"/>
      <c r="MEK26" s="48"/>
      <c r="MEV26" s="48"/>
      <c r="MFG26" s="48"/>
      <c r="MFR26" s="48"/>
      <c r="MGC26" s="48"/>
      <c r="MGN26" s="48"/>
      <c r="MGY26" s="48"/>
      <c r="MHJ26" s="48"/>
      <c r="MHU26" s="48"/>
      <c r="MIF26" s="48"/>
      <c r="MIQ26" s="48"/>
      <c r="MJB26" s="48"/>
      <c r="MJM26" s="48"/>
      <c r="MJX26" s="48"/>
      <c r="MKI26" s="48"/>
      <c r="MKT26" s="48"/>
      <c r="MLE26" s="48"/>
      <c r="MLP26" s="48"/>
      <c r="MMA26" s="48"/>
      <c r="MML26" s="48"/>
      <c r="MMW26" s="48"/>
      <c r="MNH26" s="48"/>
      <c r="MNS26" s="48"/>
      <c r="MOD26" s="48"/>
      <c r="MOO26" s="48"/>
      <c r="MOZ26" s="48"/>
      <c r="MPK26" s="48"/>
      <c r="MPV26" s="48"/>
      <c r="MQG26" s="48"/>
      <c r="MQR26" s="48"/>
      <c r="MRC26" s="48"/>
      <c r="MRN26" s="48"/>
      <c r="MRY26" s="48"/>
      <c r="MSJ26" s="48"/>
      <c r="MSU26" s="48"/>
      <c r="MTF26" s="48"/>
      <c r="MTQ26" s="48"/>
      <c r="MUB26" s="48"/>
      <c r="MUM26" s="48"/>
      <c r="MUX26" s="48"/>
      <c r="MVI26" s="48"/>
      <c r="MVT26" s="48"/>
      <c r="MWE26" s="48"/>
      <c r="MWP26" s="48"/>
      <c r="MXA26" s="48"/>
      <c r="MXL26" s="48"/>
      <c r="MXW26" s="48"/>
      <c r="MYH26" s="48"/>
      <c r="MYS26" s="48"/>
      <c r="MZD26" s="48"/>
      <c r="MZO26" s="48"/>
      <c r="MZZ26" s="48"/>
      <c r="NAK26" s="48"/>
      <c r="NAV26" s="48"/>
      <c r="NBG26" s="48"/>
      <c r="NBR26" s="48"/>
      <c r="NCC26" s="48"/>
      <c r="NCN26" s="48"/>
      <c r="NCY26" s="48"/>
      <c r="NDJ26" s="48"/>
      <c r="NDU26" s="48"/>
      <c r="NEF26" s="48"/>
      <c r="NEQ26" s="48"/>
      <c r="NFB26" s="48"/>
      <c r="NFM26" s="48"/>
      <c r="NFX26" s="48"/>
      <c r="NGI26" s="48"/>
      <c r="NGT26" s="48"/>
      <c r="NHE26" s="48"/>
      <c r="NHP26" s="48"/>
      <c r="NIA26" s="48"/>
      <c r="NIL26" s="48"/>
      <c r="NIW26" s="48"/>
      <c r="NJH26" s="48"/>
      <c r="NJS26" s="48"/>
      <c r="NKD26" s="48"/>
      <c r="NKO26" s="48"/>
      <c r="NKZ26" s="48"/>
      <c r="NLK26" s="48"/>
      <c r="NLV26" s="48"/>
      <c r="NMG26" s="48"/>
      <c r="NMR26" s="48"/>
      <c r="NNC26" s="48"/>
      <c r="NNN26" s="48"/>
      <c r="NNY26" s="48"/>
      <c r="NOJ26" s="48"/>
      <c r="NOU26" s="48"/>
      <c r="NPF26" s="48"/>
      <c r="NPQ26" s="48"/>
      <c r="NQB26" s="48"/>
      <c r="NQM26" s="48"/>
      <c r="NQX26" s="48"/>
      <c r="NRI26" s="48"/>
      <c r="NRT26" s="48"/>
      <c r="NSE26" s="48"/>
      <c r="NSP26" s="48"/>
      <c r="NTA26" s="48"/>
      <c r="NTL26" s="48"/>
      <c r="NTW26" s="48"/>
      <c r="NUH26" s="48"/>
      <c r="NUS26" s="48"/>
      <c r="NVD26" s="48"/>
      <c r="NVO26" s="48"/>
      <c r="NVZ26" s="48"/>
      <c r="NWK26" s="48"/>
      <c r="NWV26" s="48"/>
      <c r="NXG26" s="48"/>
      <c r="NXR26" s="48"/>
      <c r="NYC26" s="48"/>
      <c r="NYN26" s="48"/>
      <c r="NYY26" s="48"/>
      <c r="NZJ26" s="48"/>
      <c r="NZU26" s="48"/>
      <c r="OAF26" s="48"/>
      <c r="OAQ26" s="48"/>
      <c r="OBB26" s="48"/>
      <c r="OBM26" s="48"/>
      <c r="OBX26" s="48"/>
      <c r="OCI26" s="48"/>
      <c r="OCT26" s="48"/>
      <c r="ODE26" s="48"/>
      <c r="ODP26" s="48"/>
      <c r="OEA26" s="48"/>
      <c r="OEL26" s="48"/>
      <c r="OEW26" s="48"/>
      <c r="OFH26" s="48"/>
      <c r="OFS26" s="48"/>
      <c r="OGD26" s="48"/>
      <c r="OGO26" s="48"/>
      <c r="OGZ26" s="48"/>
      <c r="OHK26" s="48"/>
      <c r="OHV26" s="48"/>
      <c r="OIG26" s="48"/>
      <c r="OIR26" s="48"/>
      <c r="OJC26" s="48"/>
      <c r="OJN26" s="48"/>
      <c r="OJY26" s="48"/>
      <c r="OKJ26" s="48"/>
      <c r="OKU26" s="48"/>
      <c r="OLF26" s="48"/>
      <c r="OLQ26" s="48"/>
      <c r="OMB26" s="48"/>
      <c r="OMM26" s="48"/>
      <c r="OMX26" s="48"/>
      <c r="ONI26" s="48"/>
      <c r="ONT26" s="48"/>
      <c r="OOE26" s="48"/>
      <c r="OOP26" s="48"/>
      <c r="OPA26" s="48"/>
      <c r="OPL26" s="48"/>
      <c r="OPW26" s="48"/>
      <c r="OQH26" s="48"/>
      <c r="OQS26" s="48"/>
      <c r="ORD26" s="48"/>
      <c r="ORO26" s="48"/>
      <c r="ORZ26" s="48"/>
      <c r="OSK26" s="48"/>
      <c r="OSV26" s="48"/>
      <c r="OTG26" s="48"/>
      <c r="OTR26" s="48"/>
      <c r="OUC26" s="48"/>
      <c r="OUN26" s="48"/>
      <c r="OUY26" s="48"/>
      <c r="OVJ26" s="48"/>
      <c r="OVU26" s="48"/>
      <c r="OWF26" s="48"/>
      <c r="OWQ26" s="48"/>
      <c r="OXB26" s="48"/>
      <c r="OXM26" s="48"/>
      <c r="OXX26" s="48"/>
      <c r="OYI26" s="48"/>
      <c r="OYT26" s="48"/>
      <c r="OZE26" s="48"/>
      <c r="OZP26" s="48"/>
      <c r="PAA26" s="48"/>
      <c r="PAL26" s="48"/>
      <c r="PAW26" s="48"/>
      <c r="PBH26" s="48"/>
      <c r="PBS26" s="48"/>
      <c r="PCD26" s="48"/>
      <c r="PCO26" s="48"/>
      <c r="PCZ26" s="48"/>
      <c r="PDK26" s="48"/>
      <c r="PDV26" s="48"/>
      <c r="PEG26" s="48"/>
      <c r="PER26" s="48"/>
      <c r="PFC26" s="48"/>
      <c r="PFN26" s="48"/>
      <c r="PFY26" s="48"/>
      <c r="PGJ26" s="48"/>
      <c r="PGU26" s="48"/>
      <c r="PHF26" s="48"/>
      <c r="PHQ26" s="48"/>
      <c r="PIB26" s="48"/>
      <c r="PIM26" s="48"/>
      <c r="PIX26" s="48"/>
      <c r="PJI26" s="48"/>
      <c r="PJT26" s="48"/>
      <c r="PKE26" s="48"/>
      <c r="PKP26" s="48"/>
      <c r="PLA26" s="48"/>
      <c r="PLL26" s="48"/>
      <c r="PLW26" s="48"/>
      <c r="PMH26" s="48"/>
      <c r="PMS26" s="48"/>
      <c r="PND26" s="48"/>
      <c r="PNO26" s="48"/>
      <c r="PNZ26" s="48"/>
      <c r="POK26" s="48"/>
      <c r="POV26" s="48"/>
      <c r="PPG26" s="48"/>
      <c r="PPR26" s="48"/>
      <c r="PQC26" s="48"/>
      <c r="PQN26" s="48"/>
      <c r="PQY26" s="48"/>
      <c r="PRJ26" s="48"/>
      <c r="PRU26" s="48"/>
      <c r="PSF26" s="48"/>
      <c r="PSQ26" s="48"/>
      <c r="PTB26" s="48"/>
      <c r="PTM26" s="48"/>
      <c r="PTX26" s="48"/>
      <c r="PUI26" s="48"/>
      <c r="PUT26" s="48"/>
      <c r="PVE26" s="48"/>
      <c r="PVP26" s="48"/>
      <c r="PWA26" s="48"/>
      <c r="PWL26" s="48"/>
      <c r="PWW26" s="48"/>
      <c r="PXH26" s="48"/>
      <c r="PXS26" s="48"/>
      <c r="PYD26" s="48"/>
      <c r="PYO26" s="48"/>
      <c r="PYZ26" s="48"/>
      <c r="PZK26" s="48"/>
      <c r="PZV26" s="48"/>
      <c r="QAG26" s="48"/>
      <c r="QAR26" s="48"/>
      <c r="QBC26" s="48"/>
      <c r="QBN26" s="48"/>
      <c r="QBY26" s="48"/>
      <c r="QCJ26" s="48"/>
      <c r="QCU26" s="48"/>
      <c r="QDF26" s="48"/>
      <c r="QDQ26" s="48"/>
      <c r="QEB26" s="48"/>
      <c r="QEM26" s="48"/>
      <c r="QEX26" s="48"/>
      <c r="QFI26" s="48"/>
      <c r="QFT26" s="48"/>
      <c r="QGE26" s="48"/>
      <c r="QGP26" s="48"/>
      <c r="QHA26" s="48"/>
      <c r="QHL26" s="48"/>
      <c r="QHW26" s="48"/>
      <c r="QIH26" s="48"/>
      <c r="QIS26" s="48"/>
      <c r="QJD26" s="48"/>
      <c r="QJO26" s="48"/>
      <c r="QJZ26" s="48"/>
      <c r="QKK26" s="48"/>
      <c r="QKV26" s="48"/>
      <c r="QLG26" s="48"/>
      <c r="QLR26" s="48"/>
      <c r="QMC26" s="48"/>
      <c r="QMN26" s="48"/>
      <c r="QMY26" s="48"/>
      <c r="QNJ26" s="48"/>
      <c r="QNU26" s="48"/>
      <c r="QOF26" s="48"/>
      <c r="QOQ26" s="48"/>
      <c r="QPB26" s="48"/>
      <c r="QPM26" s="48"/>
      <c r="QPX26" s="48"/>
      <c r="QQI26" s="48"/>
      <c r="QQT26" s="48"/>
      <c r="QRE26" s="48"/>
      <c r="QRP26" s="48"/>
      <c r="QSA26" s="48"/>
      <c r="QSL26" s="48"/>
      <c r="QSW26" s="48"/>
      <c r="QTH26" s="48"/>
      <c r="QTS26" s="48"/>
      <c r="QUD26" s="48"/>
      <c r="QUO26" s="48"/>
      <c r="QUZ26" s="48"/>
      <c r="QVK26" s="48"/>
      <c r="QVV26" s="48"/>
      <c r="QWG26" s="48"/>
      <c r="QWR26" s="48"/>
      <c r="QXC26" s="48"/>
      <c r="QXN26" s="48"/>
      <c r="QXY26" s="48"/>
      <c r="QYJ26" s="48"/>
      <c r="QYU26" s="48"/>
      <c r="QZF26" s="48"/>
      <c r="QZQ26" s="48"/>
      <c r="RAB26" s="48"/>
      <c r="RAM26" s="48"/>
      <c r="RAX26" s="48"/>
      <c r="RBI26" s="48"/>
      <c r="RBT26" s="48"/>
      <c r="RCE26" s="48"/>
      <c r="RCP26" s="48"/>
      <c r="RDA26" s="48"/>
      <c r="RDL26" s="48"/>
      <c r="RDW26" s="48"/>
      <c r="REH26" s="48"/>
      <c r="RES26" s="48"/>
      <c r="RFD26" s="48"/>
      <c r="RFO26" s="48"/>
      <c r="RFZ26" s="48"/>
      <c r="RGK26" s="48"/>
      <c r="RGV26" s="48"/>
      <c r="RHG26" s="48"/>
      <c r="RHR26" s="48"/>
      <c r="RIC26" s="48"/>
      <c r="RIN26" s="48"/>
      <c r="RIY26" s="48"/>
      <c r="RJJ26" s="48"/>
      <c r="RJU26" s="48"/>
      <c r="RKF26" s="48"/>
      <c r="RKQ26" s="48"/>
      <c r="RLB26" s="48"/>
      <c r="RLM26" s="48"/>
      <c r="RLX26" s="48"/>
      <c r="RMI26" s="48"/>
      <c r="RMT26" s="48"/>
      <c r="RNE26" s="48"/>
      <c r="RNP26" s="48"/>
      <c r="ROA26" s="48"/>
      <c r="ROL26" s="48"/>
      <c r="ROW26" s="48"/>
      <c r="RPH26" s="48"/>
      <c r="RPS26" s="48"/>
      <c r="RQD26" s="48"/>
      <c r="RQO26" s="48"/>
      <c r="RQZ26" s="48"/>
      <c r="RRK26" s="48"/>
      <c r="RRV26" s="48"/>
      <c r="RSG26" s="48"/>
      <c r="RSR26" s="48"/>
      <c r="RTC26" s="48"/>
      <c r="RTN26" s="48"/>
      <c r="RTY26" s="48"/>
      <c r="RUJ26" s="48"/>
      <c r="RUU26" s="48"/>
      <c r="RVF26" s="48"/>
      <c r="RVQ26" s="48"/>
      <c r="RWB26" s="48"/>
      <c r="RWM26" s="48"/>
      <c r="RWX26" s="48"/>
      <c r="RXI26" s="48"/>
      <c r="RXT26" s="48"/>
      <c r="RYE26" s="48"/>
      <c r="RYP26" s="48"/>
      <c r="RZA26" s="48"/>
      <c r="RZL26" s="48"/>
      <c r="RZW26" s="48"/>
      <c r="SAH26" s="48"/>
      <c r="SAS26" s="48"/>
      <c r="SBD26" s="48"/>
      <c r="SBO26" s="48"/>
      <c r="SBZ26" s="48"/>
      <c r="SCK26" s="48"/>
      <c r="SCV26" s="48"/>
      <c r="SDG26" s="48"/>
      <c r="SDR26" s="48"/>
      <c r="SEC26" s="48"/>
      <c r="SEN26" s="48"/>
      <c r="SEY26" s="48"/>
      <c r="SFJ26" s="48"/>
      <c r="SFU26" s="48"/>
      <c r="SGF26" s="48"/>
      <c r="SGQ26" s="48"/>
      <c r="SHB26" s="48"/>
      <c r="SHM26" s="48"/>
      <c r="SHX26" s="48"/>
      <c r="SII26" s="48"/>
      <c r="SIT26" s="48"/>
      <c r="SJE26" s="48"/>
      <c r="SJP26" s="48"/>
      <c r="SKA26" s="48"/>
      <c r="SKL26" s="48"/>
      <c r="SKW26" s="48"/>
      <c r="SLH26" s="48"/>
      <c r="SLS26" s="48"/>
      <c r="SMD26" s="48"/>
      <c r="SMO26" s="48"/>
      <c r="SMZ26" s="48"/>
      <c r="SNK26" s="48"/>
      <c r="SNV26" s="48"/>
      <c r="SOG26" s="48"/>
      <c r="SOR26" s="48"/>
      <c r="SPC26" s="48"/>
      <c r="SPN26" s="48"/>
      <c r="SPY26" s="48"/>
      <c r="SQJ26" s="48"/>
      <c r="SQU26" s="48"/>
      <c r="SRF26" s="48"/>
      <c r="SRQ26" s="48"/>
      <c r="SSB26" s="48"/>
      <c r="SSM26" s="48"/>
      <c r="SSX26" s="48"/>
      <c r="STI26" s="48"/>
      <c r="STT26" s="48"/>
      <c r="SUE26" s="48"/>
      <c r="SUP26" s="48"/>
      <c r="SVA26" s="48"/>
      <c r="SVL26" s="48"/>
      <c r="SVW26" s="48"/>
      <c r="SWH26" s="48"/>
      <c r="SWS26" s="48"/>
      <c r="SXD26" s="48"/>
      <c r="SXO26" s="48"/>
      <c r="SXZ26" s="48"/>
      <c r="SYK26" s="48"/>
      <c r="SYV26" s="48"/>
      <c r="SZG26" s="48"/>
      <c r="SZR26" s="48"/>
      <c r="TAC26" s="48"/>
      <c r="TAN26" s="48"/>
      <c r="TAY26" s="48"/>
      <c r="TBJ26" s="48"/>
      <c r="TBU26" s="48"/>
      <c r="TCF26" s="48"/>
      <c r="TCQ26" s="48"/>
      <c r="TDB26" s="48"/>
      <c r="TDM26" s="48"/>
      <c r="TDX26" s="48"/>
      <c r="TEI26" s="48"/>
      <c r="TET26" s="48"/>
      <c r="TFE26" s="48"/>
      <c r="TFP26" s="48"/>
      <c r="TGA26" s="48"/>
      <c r="TGL26" s="48"/>
      <c r="TGW26" s="48"/>
      <c r="THH26" s="48"/>
      <c r="THS26" s="48"/>
      <c r="TID26" s="48"/>
      <c r="TIO26" s="48"/>
      <c r="TIZ26" s="48"/>
      <c r="TJK26" s="48"/>
      <c r="TJV26" s="48"/>
      <c r="TKG26" s="48"/>
      <c r="TKR26" s="48"/>
      <c r="TLC26" s="48"/>
      <c r="TLN26" s="48"/>
      <c r="TLY26" s="48"/>
      <c r="TMJ26" s="48"/>
      <c r="TMU26" s="48"/>
      <c r="TNF26" s="48"/>
      <c r="TNQ26" s="48"/>
      <c r="TOB26" s="48"/>
      <c r="TOM26" s="48"/>
      <c r="TOX26" s="48"/>
      <c r="TPI26" s="48"/>
      <c r="TPT26" s="48"/>
      <c r="TQE26" s="48"/>
      <c r="TQP26" s="48"/>
      <c r="TRA26" s="48"/>
      <c r="TRL26" s="48"/>
      <c r="TRW26" s="48"/>
      <c r="TSH26" s="48"/>
      <c r="TSS26" s="48"/>
      <c r="TTD26" s="48"/>
      <c r="TTO26" s="48"/>
      <c r="TTZ26" s="48"/>
      <c r="TUK26" s="48"/>
      <c r="TUV26" s="48"/>
      <c r="TVG26" s="48"/>
      <c r="TVR26" s="48"/>
      <c r="TWC26" s="48"/>
      <c r="TWN26" s="48"/>
      <c r="TWY26" s="48"/>
      <c r="TXJ26" s="48"/>
      <c r="TXU26" s="48"/>
      <c r="TYF26" s="48"/>
      <c r="TYQ26" s="48"/>
      <c r="TZB26" s="48"/>
      <c r="TZM26" s="48"/>
      <c r="TZX26" s="48"/>
      <c r="UAI26" s="48"/>
      <c r="UAT26" s="48"/>
      <c r="UBE26" s="48"/>
      <c r="UBP26" s="48"/>
      <c r="UCA26" s="48"/>
      <c r="UCL26" s="48"/>
      <c r="UCW26" s="48"/>
      <c r="UDH26" s="48"/>
      <c r="UDS26" s="48"/>
      <c r="UED26" s="48"/>
      <c r="UEO26" s="48"/>
      <c r="UEZ26" s="48"/>
      <c r="UFK26" s="48"/>
      <c r="UFV26" s="48"/>
      <c r="UGG26" s="48"/>
      <c r="UGR26" s="48"/>
      <c r="UHC26" s="48"/>
      <c r="UHN26" s="48"/>
      <c r="UHY26" s="48"/>
      <c r="UIJ26" s="48"/>
      <c r="UIU26" s="48"/>
      <c r="UJF26" s="48"/>
      <c r="UJQ26" s="48"/>
      <c r="UKB26" s="48"/>
      <c r="UKM26" s="48"/>
      <c r="UKX26" s="48"/>
      <c r="ULI26" s="48"/>
      <c r="ULT26" s="48"/>
      <c r="UME26" s="48"/>
      <c r="UMP26" s="48"/>
      <c r="UNA26" s="48"/>
      <c r="UNL26" s="48"/>
      <c r="UNW26" s="48"/>
      <c r="UOH26" s="48"/>
      <c r="UOS26" s="48"/>
      <c r="UPD26" s="48"/>
      <c r="UPO26" s="48"/>
      <c r="UPZ26" s="48"/>
      <c r="UQK26" s="48"/>
      <c r="UQV26" s="48"/>
      <c r="URG26" s="48"/>
      <c r="URR26" s="48"/>
      <c r="USC26" s="48"/>
      <c r="USN26" s="48"/>
      <c r="USY26" s="48"/>
      <c r="UTJ26" s="48"/>
      <c r="UTU26" s="48"/>
      <c r="UUF26" s="48"/>
      <c r="UUQ26" s="48"/>
      <c r="UVB26" s="48"/>
      <c r="UVM26" s="48"/>
      <c r="UVX26" s="48"/>
      <c r="UWI26" s="48"/>
      <c r="UWT26" s="48"/>
      <c r="UXE26" s="48"/>
      <c r="UXP26" s="48"/>
      <c r="UYA26" s="48"/>
      <c r="UYL26" s="48"/>
      <c r="UYW26" s="48"/>
      <c r="UZH26" s="48"/>
      <c r="UZS26" s="48"/>
      <c r="VAD26" s="48"/>
      <c r="VAO26" s="48"/>
      <c r="VAZ26" s="48"/>
      <c r="VBK26" s="48"/>
      <c r="VBV26" s="48"/>
      <c r="VCG26" s="48"/>
      <c r="VCR26" s="48"/>
      <c r="VDC26" s="48"/>
      <c r="VDN26" s="48"/>
      <c r="VDY26" s="48"/>
      <c r="VEJ26" s="48"/>
      <c r="VEU26" s="48"/>
      <c r="VFF26" s="48"/>
      <c r="VFQ26" s="48"/>
      <c r="VGB26" s="48"/>
      <c r="VGM26" s="48"/>
      <c r="VGX26" s="48"/>
      <c r="VHI26" s="48"/>
      <c r="VHT26" s="48"/>
      <c r="VIE26" s="48"/>
      <c r="VIP26" s="48"/>
      <c r="VJA26" s="48"/>
      <c r="VJL26" s="48"/>
      <c r="VJW26" s="48"/>
      <c r="VKH26" s="48"/>
      <c r="VKS26" s="48"/>
      <c r="VLD26" s="48"/>
      <c r="VLO26" s="48"/>
      <c r="VLZ26" s="48"/>
      <c r="VMK26" s="48"/>
      <c r="VMV26" s="48"/>
      <c r="VNG26" s="48"/>
      <c r="VNR26" s="48"/>
      <c r="VOC26" s="48"/>
      <c r="VON26" s="48"/>
      <c r="VOY26" s="48"/>
      <c r="VPJ26" s="48"/>
      <c r="VPU26" s="48"/>
      <c r="VQF26" s="48"/>
      <c r="VQQ26" s="48"/>
      <c r="VRB26" s="48"/>
      <c r="VRM26" s="48"/>
      <c r="VRX26" s="48"/>
      <c r="VSI26" s="48"/>
      <c r="VST26" s="48"/>
      <c r="VTE26" s="48"/>
      <c r="VTP26" s="48"/>
      <c r="VUA26" s="48"/>
      <c r="VUL26" s="48"/>
      <c r="VUW26" s="48"/>
      <c r="VVH26" s="48"/>
      <c r="VVS26" s="48"/>
      <c r="VWD26" s="48"/>
      <c r="VWO26" s="48"/>
      <c r="VWZ26" s="48"/>
      <c r="VXK26" s="48"/>
      <c r="VXV26" s="48"/>
      <c r="VYG26" s="48"/>
      <c r="VYR26" s="48"/>
      <c r="VZC26" s="48"/>
      <c r="VZN26" s="48"/>
      <c r="VZY26" s="48"/>
      <c r="WAJ26" s="48"/>
      <c r="WAU26" s="48"/>
      <c r="WBF26" s="48"/>
      <c r="WBQ26" s="48"/>
      <c r="WCB26" s="48"/>
      <c r="WCM26" s="48"/>
      <c r="WCX26" s="48"/>
      <c r="WDI26" s="48"/>
      <c r="WDT26" s="48"/>
      <c r="WEE26" s="48"/>
      <c r="WEP26" s="48"/>
      <c r="WFA26" s="48"/>
      <c r="WFL26" s="48"/>
      <c r="WFW26" s="48"/>
      <c r="WGH26" s="48"/>
      <c r="WGS26" s="48"/>
      <c r="WHD26" s="48"/>
      <c r="WHO26" s="48"/>
      <c r="WHZ26" s="48"/>
      <c r="WIK26" s="48"/>
      <c r="WIV26" s="48"/>
      <c r="WJG26" s="48"/>
      <c r="WJR26" s="48"/>
      <c r="WKC26" s="48"/>
      <c r="WKN26" s="48"/>
      <c r="WKY26" s="48"/>
      <c r="WLJ26" s="48"/>
      <c r="WLU26" s="48"/>
      <c r="WMF26" s="48"/>
      <c r="WMQ26" s="48"/>
      <c r="WNB26" s="48"/>
      <c r="WNM26" s="48"/>
      <c r="WNX26" s="48"/>
      <c r="WOI26" s="48"/>
      <c r="WOT26" s="48"/>
      <c r="WPE26" s="48"/>
      <c r="WPP26" s="48"/>
      <c r="WQA26" s="48"/>
      <c r="WQL26" s="48"/>
      <c r="WQW26" s="48"/>
      <c r="WRH26" s="48"/>
      <c r="WRS26" s="48"/>
      <c r="WSD26" s="48"/>
      <c r="WSO26" s="48"/>
      <c r="WSZ26" s="48"/>
      <c r="WTK26" s="48"/>
      <c r="WTV26" s="48"/>
      <c r="WUG26" s="48"/>
      <c r="WUR26" s="48"/>
      <c r="WVC26" s="48"/>
      <c r="WVN26" s="48"/>
      <c r="WVY26" s="48"/>
      <c r="WWJ26" s="48"/>
      <c r="WWU26" s="48"/>
      <c r="WXF26" s="48"/>
      <c r="WXQ26" s="48"/>
      <c r="WYB26" s="48"/>
      <c r="WYM26" s="48"/>
      <c r="WYX26" s="48"/>
      <c r="WZI26" s="48"/>
      <c r="WZT26" s="48"/>
      <c r="XAE26" s="48"/>
      <c r="XAP26" s="48"/>
      <c r="XBA26" s="48"/>
      <c r="XBL26" s="48"/>
      <c r="XBW26" s="48"/>
      <c r="XCH26" s="48"/>
      <c r="XCS26" s="48"/>
      <c r="XDD26" s="48"/>
      <c r="XDO26" s="48"/>
      <c r="XDZ26" s="48"/>
      <c r="XEK26" s="48"/>
      <c r="XEV26" s="48"/>
    </row>
    <row r="27" spans="1:1020 1031:2043 2054:3066 3077:4089 4100:5112 5123:6135 6146:7158 7169:8192 8203:9215 9226:10238 10249:11261 11272:12284 12295:13307 13318:14330 14341:15353 15364:16376" ht="15" customHeight="1">
      <c r="D27" t="s">
        <v>567</v>
      </c>
      <c r="G27" s="427"/>
      <c r="H27" s="427"/>
      <c r="I27" s="49" t="s">
        <v>19</v>
      </c>
      <c r="P27">
        <f>IF(D36&lt;=TOU_Period,YEAR(TOU_Period),YEAR(TOU_Period)+1)</f>
        <v>2027</v>
      </c>
    </row>
    <row r="28" spans="1:1020 1031:2043 2054:3066 3077:4089 4100:5112 5123:6135 6146:7158 7169:8192 8203:9215 9226:10238 10249:11261 11272:12284 12295:13307 13318:14330 14341:15353 15364:16376" ht="9.6" customHeight="1"/>
    <row r="29" spans="1:1020 1031:2043 2054:3066 3077:4089 4100:5112 5123:6135 6146:7158 7169:8192 8203:9215 9226:10238 10249:11261 11272:12284 12295:13307 13318:14330 14341:15353 15364:16376" ht="15" customHeight="1">
      <c r="D29" t="s">
        <v>609</v>
      </c>
      <c r="G29" s="436" t="s">
        <v>558</v>
      </c>
      <c r="H29" s="436"/>
    </row>
    <row r="30" spans="1:1020 1031:2043 2054:3066 3077:4089 4100:5112 5123:6135 6146:7158 7169:8192 8203:9215 9226:10238 10249:11261 11272:12284 12295:13307 13318:14330 14341:15353 15364:16376" ht="10.8" customHeight="1"/>
    <row r="31" spans="1:1020 1031:2043 2054:3066 3077:4089 4100:5112 5123:6135 6146:7158 7169:8192 8203:9215 9226:10238 10249:11261 11272:12284 12295:13307 13318:14330 14341:15353 15364:16376" ht="12.6" thickBot="1">
      <c r="B31" s="8" t="s">
        <v>568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</row>
    <row r="32" spans="1:1020 1031:2043 2054:3066 3077:4089 4100:5112 5123:6135 6146:7158 7169:8192 8203:9215 9226:10238 10249:11261 11272:12284 12295:13307 13318:14330 14341:15353 15364:16376" ht="12.6" thickTop="1">
      <c r="B32" s="3"/>
    </row>
    <row r="33" spans="1:19" ht="32.25" customHeight="1">
      <c r="G33" s="1" t="s">
        <v>14</v>
      </c>
      <c r="H33" s="1" t="s">
        <v>15</v>
      </c>
      <c r="I33" s="1" t="s">
        <v>16</v>
      </c>
      <c r="J33" s="1" t="s">
        <v>17</v>
      </c>
      <c r="K33" s="1" t="s">
        <v>319</v>
      </c>
      <c r="L33" s="1" t="s">
        <v>239</v>
      </c>
      <c r="M33" s="1" t="s">
        <v>238</v>
      </c>
      <c r="O33" s="1" t="s">
        <v>308</v>
      </c>
      <c r="P33" s="1" t="s">
        <v>23</v>
      </c>
      <c r="Q33" s="1" t="s">
        <v>25</v>
      </c>
      <c r="R33" s="1" t="s">
        <v>307</v>
      </c>
    </row>
    <row r="34" spans="1:19" ht="12.6" thickBot="1">
      <c r="D34" s="10" t="s">
        <v>236</v>
      </c>
      <c r="E34" s="10" t="s">
        <v>237</v>
      </c>
      <c r="F34" s="13"/>
      <c r="G34" s="14" t="s">
        <v>18</v>
      </c>
      <c r="H34" s="14" t="s">
        <v>18</v>
      </c>
      <c r="I34" s="14" t="s">
        <v>18</v>
      </c>
      <c r="J34" s="14" t="s">
        <v>19</v>
      </c>
      <c r="K34" s="14" t="s">
        <v>19</v>
      </c>
      <c r="L34" s="14" t="s">
        <v>20</v>
      </c>
      <c r="M34" s="14" t="s">
        <v>18</v>
      </c>
    </row>
    <row r="35" spans="1:19" ht="3.6" customHeight="1"/>
    <row r="36" spans="1:19">
      <c r="A36" s="186" t="str">
        <f t="shared" ref="A36:A47" si="0">TEXT(D36, "mmmm")</f>
        <v>April</v>
      </c>
      <c r="C36">
        <f>D36-EOMONTH(D36,-1)</f>
        <v>30</v>
      </c>
      <c r="D36" s="64">
        <f>DATE(YEAR(Period)-1,R36+1,)</f>
        <v>46142</v>
      </c>
      <c r="E36" t="str">
        <f>INDEX(List_Seasons,R36,0)</f>
        <v>Low Demand</v>
      </c>
      <c r="G36" s="4"/>
      <c r="H36" s="4"/>
      <c r="I36" s="4"/>
      <c r="J36" s="4"/>
      <c r="K36" s="4"/>
      <c r="L36" s="4"/>
      <c r="M36" s="224">
        <f>SUM($G36:$I36)</f>
        <v>0</v>
      </c>
      <c r="O36">
        <f t="shared" ref="O36:O47" si="1">INDEX(P36:Q36,0,Selected_Tariff_Category_ID)</f>
        <v>2027</v>
      </c>
      <c r="P36">
        <f t="shared" ref="P36:P47" si="2">IF(D36&lt;=TOU_Period,YEAR(TOU_Period),YEAR(TOU_Period)+1)</f>
        <v>2027</v>
      </c>
      <c r="Q36">
        <f>IF(Selected_Tariff_Category_ID = 2, YEAR(Municipality_Period), IF(D36&lt;=EOMONTH(Municipality_Period,-12),YEAR(Municipality_Period)-1,YEAR(Municipality_Period)))</f>
        <v>2026</v>
      </c>
      <c r="R36">
        <f>MONTH(Period)+IF(Selected_Tariff_Category_ID=2, 4, 1)</f>
        <v>4</v>
      </c>
      <c r="S36" s="228" t="str">
        <f>IF(Selected_Tariff_Category_ID = 2, "Apr " &amp; YEAR(Municipality_Period), "")</f>
        <v/>
      </c>
    </row>
    <row r="37" spans="1:19">
      <c r="A37" s="186" t="str">
        <f t="shared" si="0"/>
        <v>May</v>
      </c>
      <c r="C37">
        <f t="shared" ref="C37:C47" si="3">D37-EOMONTH(D37,-1)</f>
        <v>31</v>
      </c>
      <c r="D37" s="64">
        <f>EOMONTH(D36,1)</f>
        <v>46173</v>
      </c>
      <c r="E37" t="str">
        <f t="shared" ref="E37:E47" si="4">INDEX(List_Seasons,R37,0)</f>
        <v>Low Demand</v>
      </c>
      <c r="G37" s="4"/>
      <c r="H37" s="4"/>
      <c r="I37" s="4"/>
      <c r="J37" s="4"/>
      <c r="K37" s="4"/>
      <c r="L37" s="4"/>
      <c r="M37" s="224">
        <f t="shared" ref="M37:M47" si="5">SUM($G37:$I37)</f>
        <v>0</v>
      </c>
      <c r="O37">
        <f t="shared" si="1"/>
        <v>2027</v>
      </c>
      <c r="P37">
        <f t="shared" si="2"/>
        <v>2027</v>
      </c>
      <c r="Q37">
        <f>IF(Selected_Tariff_Category_ID = 2, YEAR(Municipality_Period), IF(D37&lt;=EOMONTH(Municipality_Period,-12),YEAR(Municipality_Period)-1,YEAR(Municipality_Period)))</f>
        <v>2026</v>
      </c>
      <c r="R37">
        <f t="shared" ref="R37:R47" si="6">MONTH(D37)</f>
        <v>5</v>
      </c>
      <c r="S37" s="228" t="str">
        <f>IF(Selected_Tariff_Category_ID = 2, "May " &amp; YEAR(Municipality_Period), "")</f>
        <v/>
      </c>
    </row>
    <row r="38" spans="1:19">
      <c r="A38" s="186" t="str">
        <f t="shared" si="0"/>
        <v>June</v>
      </c>
      <c r="C38">
        <f t="shared" si="3"/>
        <v>30</v>
      </c>
      <c r="D38" s="64">
        <f t="shared" ref="D38:D47" si="7">EOMONTH(D37,1)</f>
        <v>46203</v>
      </c>
      <c r="E38" t="str">
        <f>INDEX(List_Seasons,R38,0)</f>
        <v>High Demand</v>
      </c>
      <c r="G38" s="4"/>
      <c r="H38" s="4"/>
      <c r="I38" s="4"/>
      <c r="J38" s="4"/>
      <c r="K38" s="4"/>
      <c r="L38" s="4"/>
      <c r="M38" s="224">
        <f t="shared" si="5"/>
        <v>0</v>
      </c>
      <c r="O38">
        <f t="shared" si="1"/>
        <v>2027</v>
      </c>
      <c r="P38">
        <f t="shared" si="2"/>
        <v>2027</v>
      </c>
      <c r="Q38">
        <f>IF(Selected_Tariff_Category_ID = 2, YEAR(Municipality_Period), IF(D38&lt;=EOMONTH(Municipality_Period,-12),YEAR(Municipality_Period)-1,YEAR(Municipality_Period)))</f>
        <v>2026</v>
      </c>
      <c r="R38">
        <f t="shared" si="6"/>
        <v>6</v>
      </c>
      <c r="S38" s="228" t="str">
        <f>IF(Selected_Tariff_Category_ID = 2, "Jun " &amp; YEAR(Municipality_Period), "")</f>
        <v/>
      </c>
    </row>
    <row r="39" spans="1:19">
      <c r="A39" s="186" t="str">
        <f t="shared" si="0"/>
        <v>July</v>
      </c>
      <c r="C39">
        <f t="shared" si="3"/>
        <v>31</v>
      </c>
      <c r="D39" s="64">
        <f t="shared" si="7"/>
        <v>46234</v>
      </c>
      <c r="E39" t="str">
        <f t="shared" si="4"/>
        <v>High Demand</v>
      </c>
      <c r="G39" s="4"/>
      <c r="H39" s="4"/>
      <c r="I39" s="4"/>
      <c r="J39" s="4"/>
      <c r="K39" s="4"/>
      <c r="L39" s="4"/>
      <c r="M39" s="224">
        <f t="shared" si="5"/>
        <v>0</v>
      </c>
      <c r="O39">
        <f t="shared" si="1"/>
        <v>2027</v>
      </c>
      <c r="P39">
        <f t="shared" si="2"/>
        <v>2027</v>
      </c>
      <c r="Q39">
        <f t="shared" ref="Q39:Q47" si="8">IF(D39&lt;=EOMONTH(Municipality_Period,-12),YEAR(Municipality_Period)-1,YEAR(Municipality_Period))</f>
        <v>2027</v>
      </c>
      <c r="R39">
        <f t="shared" si="6"/>
        <v>7</v>
      </c>
    </row>
    <row r="40" spans="1:19">
      <c r="A40" s="186" t="str">
        <f t="shared" si="0"/>
        <v>August</v>
      </c>
      <c r="C40">
        <f t="shared" si="3"/>
        <v>31</v>
      </c>
      <c r="D40" s="64">
        <f t="shared" si="7"/>
        <v>46265</v>
      </c>
      <c r="E40" t="str">
        <f t="shared" si="4"/>
        <v>High Demand</v>
      </c>
      <c r="G40" s="4"/>
      <c r="H40" s="4"/>
      <c r="I40" s="4"/>
      <c r="J40" s="4"/>
      <c r="K40" s="4"/>
      <c r="L40" s="4"/>
      <c r="M40" s="224">
        <f t="shared" si="5"/>
        <v>0</v>
      </c>
      <c r="O40">
        <f t="shared" si="1"/>
        <v>2027</v>
      </c>
      <c r="P40">
        <f t="shared" si="2"/>
        <v>2027</v>
      </c>
      <c r="Q40">
        <f t="shared" si="8"/>
        <v>2027</v>
      </c>
      <c r="R40">
        <f t="shared" si="6"/>
        <v>8</v>
      </c>
    </row>
    <row r="41" spans="1:19">
      <c r="A41" s="186" t="str">
        <f t="shared" si="0"/>
        <v>September</v>
      </c>
      <c r="C41">
        <f t="shared" si="3"/>
        <v>30</v>
      </c>
      <c r="D41" s="64">
        <f t="shared" si="7"/>
        <v>46295</v>
      </c>
      <c r="E41" t="str">
        <f t="shared" si="4"/>
        <v>Low Demand</v>
      </c>
      <c r="G41" s="4"/>
      <c r="H41" s="4"/>
      <c r="I41" s="4"/>
      <c r="J41" s="4"/>
      <c r="K41" s="4"/>
      <c r="L41" s="4"/>
      <c r="M41" s="224">
        <f t="shared" si="5"/>
        <v>0</v>
      </c>
      <c r="O41">
        <f t="shared" si="1"/>
        <v>2027</v>
      </c>
      <c r="P41">
        <f t="shared" si="2"/>
        <v>2027</v>
      </c>
      <c r="Q41">
        <f t="shared" si="8"/>
        <v>2027</v>
      </c>
      <c r="R41">
        <f t="shared" si="6"/>
        <v>9</v>
      </c>
    </row>
    <row r="42" spans="1:19">
      <c r="A42" s="186" t="str">
        <f t="shared" si="0"/>
        <v>October</v>
      </c>
      <c r="C42">
        <f t="shared" si="3"/>
        <v>31</v>
      </c>
      <c r="D42" s="64">
        <f t="shared" si="7"/>
        <v>46326</v>
      </c>
      <c r="E42" t="str">
        <f t="shared" si="4"/>
        <v>Low Demand</v>
      </c>
      <c r="G42" s="4"/>
      <c r="H42" s="4"/>
      <c r="I42" s="4"/>
      <c r="J42" s="4"/>
      <c r="K42" s="4"/>
      <c r="L42" s="4"/>
      <c r="M42" s="224">
        <f t="shared" si="5"/>
        <v>0</v>
      </c>
      <c r="O42">
        <f t="shared" si="1"/>
        <v>2027</v>
      </c>
      <c r="P42">
        <f t="shared" si="2"/>
        <v>2027</v>
      </c>
      <c r="Q42">
        <f t="shared" si="8"/>
        <v>2027</v>
      </c>
      <c r="R42">
        <f t="shared" si="6"/>
        <v>10</v>
      </c>
    </row>
    <row r="43" spans="1:19">
      <c r="A43" s="186" t="str">
        <f t="shared" si="0"/>
        <v>November</v>
      </c>
      <c r="C43">
        <f t="shared" si="3"/>
        <v>30</v>
      </c>
      <c r="D43" s="64">
        <f t="shared" si="7"/>
        <v>46356</v>
      </c>
      <c r="E43" t="str">
        <f t="shared" si="4"/>
        <v>Low Demand</v>
      </c>
      <c r="G43" s="4"/>
      <c r="H43" s="4"/>
      <c r="I43" s="4"/>
      <c r="J43" s="4"/>
      <c r="K43" s="4"/>
      <c r="L43" s="4"/>
      <c r="M43" s="224">
        <f t="shared" si="5"/>
        <v>0</v>
      </c>
      <c r="O43">
        <f t="shared" si="1"/>
        <v>2027</v>
      </c>
      <c r="P43">
        <f t="shared" si="2"/>
        <v>2027</v>
      </c>
      <c r="Q43">
        <f t="shared" si="8"/>
        <v>2027</v>
      </c>
      <c r="R43">
        <f t="shared" si="6"/>
        <v>11</v>
      </c>
    </row>
    <row r="44" spans="1:19">
      <c r="A44" s="186" t="str">
        <f t="shared" si="0"/>
        <v>December</v>
      </c>
      <c r="C44">
        <f t="shared" si="3"/>
        <v>31</v>
      </c>
      <c r="D44" s="64">
        <f t="shared" si="7"/>
        <v>46387</v>
      </c>
      <c r="E44" t="str">
        <f t="shared" si="4"/>
        <v>Low Demand</v>
      </c>
      <c r="G44" s="4"/>
      <c r="H44" s="4"/>
      <c r="I44" s="4"/>
      <c r="J44" s="4"/>
      <c r="K44" s="4"/>
      <c r="L44" s="4"/>
      <c r="M44" s="224">
        <f t="shared" si="5"/>
        <v>0</v>
      </c>
      <c r="O44">
        <f t="shared" si="1"/>
        <v>2027</v>
      </c>
      <c r="P44">
        <f t="shared" si="2"/>
        <v>2027</v>
      </c>
      <c r="Q44">
        <f t="shared" si="8"/>
        <v>2027</v>
      </c>
      <c r="R44">
        <f t="shared" si="6"/>
        <v>12</v>
      </c>
    </row>
    <row r="45" spans="1:19">
      <c r="A45" s="186" t="str">
        <f t="shared" si="0"/>
        <v>January</v>
      </c>
      <c r="C45">
        <f t="shared" si="3"/>
        <v>31</v>
      </c>
      <c r="D45" s="64">
        <f t="shared" si="7"/>
        <v>46418</v>
      </c>
      <c r="E45" t="str">
        <f t="shared" si="4"/>
        <v>Low Demand</v>
      </c>
      <c r="G45" s="4"/>
      <c r="H45" s="4"/>
      <c r="I45" s="4"/>
      <c r="J45" s="4"/>
      <c r="K45" s="4"/>
      <c r="L45" s="4"/>
      <c r="M45" s="224">
        <f t="shared" si="5"/>
        <v>0</v>
      </c>
      <c r="O45">
        <f t="shared" si="1"/>
        <v>2027</v>
      </c>
      <c r="P45">
        <f t="shared" si="2"/>
        <v>2027</v>
      </c>
      <c r="Q45">
        <f t="shared" si="8"/>
        <v>2027</v>
      </c>
      <c r="R45">
        <f t="shared" si="6"/>
        <v>1</v>
      </c>
    </row>
    <row r="46" spans="1:19">
      <c r="A46" s="186" t="str">
        <f t="shared" si="0"/>
        <v>February</v>
      </c>
      <c r="C46">
        <f t="shared" si="3"/>
        <v>28</v>
      </c>
      <c r="D46" s="64">
        <f t="shared" si="7"/>
        <v>46446</v>
      </c>
      <c r="E46" t="str">
        <f t="shared" si="4"/>
        <v>Low Demand</v>
      </c>
      <c r="G46" s="4"/>
      <c r="H46" s="4"/>
      <c r="I46" s="4"/>
      <c r="J46" s="4"/>
      <c r="K46" s="4"/>
      <c r="L46" s="4"/>
      <c r="M46" s="224">
        <f t="shared" si="5"/>
        <v>0</v>
      </c>
      <c r="O46">
        <f t="shared" si="1"/>
        <v>2027</v>
      </c>
      <c r="P46">
        <f t="shared" si="2"/>
        <v>2027</v>
      </c>
      <c r="Q46">
        <f t="shared" si="8"/>
        <v>2027</v>
      </c>
      <c r="R46">
        <f t="shared" si="6"/>
        <v>2</v>
      </c>
    </row>
    <row r="47" spans="1:19">
      <c r="A47" s="186" t="str">
        <f t="shared" si="0"/>
        <v>March</v>
      </c>
      <c r="C47">
        <f t="shared" si="3"/>
        <v>31</v>
      </c>
      <c r="D47" s="64">
        <f t="shared" si="7"/>
        <v>46477</v>
      </c>
      <c r="E47" t="str">
        <f t="shared" si="4"/>
        <v>Low Demand</v>
      </c>
      <c r="G47" s="4"/>
      <c r="H47" s="4"/>
      <c r="I47" s="4"/>
      <c r="J47" s="4"/>
      <c r="K47" s="4"/>
      <c r="L47" s="4"/>
      <c r="M47" s="224">
        <f t="shared" si="5"/>
        <v>0</v>
      </c>
      <c r="O47">
        <f t="shared" si="1"/>
        <v>2027</v>
      </c>
      <c r="P47">
        <f t="shared" si="2"/>
        <v>2027</v>
      </c>
      <c r="Q47">
        <f t="shared" si="8"/>
        <v>2027</v>
      </c>
      <c r="R47">
        <f t="shared" si="6"/>
        <v>3</v>
      </c>
    </row>
    <row r="48" spans="1:19" ht="4.05" customHeight="1"/>
    <row r="49" spans="2:28">
      <c r="D49" s="7" t="s">
        <v>24</v>
      </c>
      <c r="E49" s="7"/>
      <c r="F49" s="7"/>
      <c r="G49" s="6">
        <f>SUM(G36:G47)</f>
        <v>0</v>
      </c>
      <c r="H49" s="6">
        <f t="shared" ref="H49:M49" si="9">SUM(H36:H47)</f>
        <v>0</v>
      </c>
      <c r="I49" s="6">
        <f t="shared" si="9"/>
        <v>0</v>
      </c>
      <c r="J49" s="6"/>
      <c r="K49" s="6"/>
      <c r="L49" s="6">
        <f t="shared" si="9"/>
        <v>0</v>
      </c>
      <c r="M49" s="6">
        <f t="shared" si="9"/>
        <v>0</v>
      </c>
      <c r="O49" s="40"/>
      <c r="P49" s="40"/>
      <c r="Q49" s="40"/>
      <c r="R49" s="40"/>
    </row>
    <row r="50" spans="2:28"/>
    <row r="51" spans="2:28" ht="12.6" thickBot="1">
      <c r="B51" s="8" t="s">
        <v>325</v>
      </c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</row>
    <row r="52" spans="2:28" ht="12.6" thickTop="1">
      <c r="B52" s="3"/>
    </row>
    <row r="53" spans="2:28" ht="22.8">
      <c r="C53" s="24"/>
      <c r="D53" s="22" t="s">
        <v>237</v>
      </c>
      <c r="E53" s="23" t="s">
        <v>148</v>
      </c>
      <c r="F53" s="22"/>
      <c r="G53" s="23" t="str">
        <f>G$33</f>
        <v>Peak energy</v>
      </c>
      <c r="H53" s="23" t="str">
        <f t="shared" ref="H53:M53" si="10">H$33</f>
        <v>Standard energy</v>
      </c>
      <c r="I53" s="23" t="str">
        <f t="shared" si="10"/>
        <v>Off-peak energy</v>
      </c>
      <c r="J53" s="23" t="str">
        <f t="shared" si="10"/>
        <v>Chargeable demand</v>
      </c>
      <c r="K53" s="23" t="str">
        <f t="shared" si="10"/>
        <v>Utilised capacity</v>
      </c>
      <c r="L53" s="23" t="str">
        <f t="shared" si="10"/>
        <v>Excess reactive energy</v>
      </c>
      <c r="M53" s="23" t="str">
        <f t="shared" si="10"/>
        <v>Total energy</v>
      </c>
      <c r="AB53" t="s">
        <v>166</v>
      </c>
    </row>
    <row r="54" spans="2:28" ht="4.05" customHeight="1">
      <c r="G54" s="5"/>
      <c r="H54" s="5"/>
      <c r="I54" s="5"/>
      <c r="J54" s="5"/>
      <c r="K54" s="5"/>
      <c r="L54" s="5"/>
      <c r="M54" s="5"/>
      <c r="AB54" t="s">
        <v>167</v>
      </c>
    </row>
    <row r="55" spans="2:28">
      <c r="D55" t="s">
        <v>21</v>
      </c>
      <c r="E55">
        <f>SUMIFS(C$36:C$47,$E$36:$E$47,$D55,$O$36:$O$47,$P55)</f>
        <v>273</v>
      </c>
      <c r="G55" s="5">
        <f t="shared" ref="G55:M56" si="11">SUMIFS(G$36:G$47,$E$36:$E$47,$D55,$O$36:$O$47,$P55)</f>
        <v>0</v>
      </c>
      <c r="H55" s="5">
        <f t="shared" si="11"/>
        <v>0</v>
      </c>
      <c r="I55" s="5">
        <f t="shared" si="11"/>
        <v>0</v>
      </c>
      <c r="J55" s="5">
        <f t="shared" si="11"/>
        <v>0</v>
      </c>
      <c r="K55" s="5">
        <f t="shared" si="11"/>
        <v>0</v>
      </c>
      <c r="L55" s="5">
        <f t="shared" si="11"/>
        <v>0</v>
      </c>
      <c r="M55" s="5">
        <f t="shared" si="11"/>
        <v>0</v>
      </c>
      <c r="P55">
        <f>YEAR(TOU_Period)</f>
        <v>2027</v>
      </c>
      <c r="Q55">
        <f>COUNTIF($E$36:$E$47,D55)</f>
        <v>9</v>
      </c>
      <c r="AB55" t="s">
        <v>168</v>
      </c>
    </row>
    <row r="56" spans="2:28">
      <c r="D56" t="s">
        <v>22</v>
      </c>
      <c r="E56" s="5">
        <f>SUMIFS(C$36:C$47,$E$36:$E$47,$D56,$O$36:$O$47,$P56)</f>
        <v>92</v>
      </c>
      <c r="G56" s="5">
        <f t="shared" si="11"/>
        <v>0</v>
      </c>
      <c r="H56" s="5">
        <f t="shared" si="11"/>
        <v>0</v>
      </c>
      <c r="I56" s="5">
        <f t="shared" si="11"/>
        <v>0</v>
      </c>
      <c r="J56" s="5">
        <f t="shared" si="11"/>
        <v>0</v>
      </c>
      <c r="K56" s="5">
        <f t="shared" si="11"/>
        <v>0</v>
      </c>
      <c r="L56" s="5">
        <f t="shared" si="11"/>
        <v>0</v>
      </c>
      <c r="M56" s="5">
        <f t="shared" si="11"/>
        <v>0</v>
      </c>
      <c r="P56">
        <f>YEAR(TOU_Period)</f>
        <v>2027</v>
      </c>
      <c r="Q56">
        <f>COUNTIF($E$36:$E$47,D56)</f>
        <v>3</v>
      </c>
      <c r="AB56" t="s">
        <v>169</v>
      </c>
    </row>
    <row r="57" spans="2:28" ht="4.05" customHeight="1">
      <c r="G57" s="5"/>
      <c r="H57" s="5"/>
      <c r="I57" s="5"/>
      <c r="J57" s="5"/>
      <c r="K57" s="5"/>
      <c r="L57" s="5"/>
      <c r="M57" s="5"/>
      <c r="AB57" t="s">
        <v>176</v>
      </c>
    </row>
    <row r="58" spans="2:28">
      <c r="D58" s="7" t="s">
        <v>24</v>
      </c>
      <c r="E58" s="6">
        <f>SUM(E55:E56)</f>
        <v>365</v>
      </c>
      <c r="F58" s="7"/>
      <c r="G58" s="6">
        <f>SUM(G55:G56)</f>
        <v>0</v>
      </c>
      <c r="H58" s="6">
        <f t="shared" ref="H58:M58" si="12">SUM(H55:H56)</f>
        <v>0</v>
      </c>
      <c r="I58" s="6">
        <f t="shared" si="12"/>
        <v>0</v>
      </c>
      <c r="J58" s="6"/>
      <c r="K58" s="6"/>
      <c r="L58" s="6">
        <f t="shared" si="12"/>
        <v>0</v>
      </c>
      <c r="M58" s="6">
        <f t="shared" si="12"/>
        <v>0</v>
      </c>
      <c r="AB58" t="s">
        <v>177</v>
      </c>
    </row>
    <row r="59" spans="2:28">
      <c r="AB59" t="s">
        <v>171</v>
      </c>
    </row>
    <row r="60" spans="2:28">
      <c r="AB60" t="s">
        <v>172</v>
      </c>
    </row>
    <row r="61" spans="2:28">
      <c r="C61" s="3" t="s">
        <v>428</v>
      </c>
      <c r="AB61" t="s">
        <v>173</v>
      </c>
    </row>
    <row r="62" spans="2:28">
      <c r="C62" s="418" t="s">
        <v>427</v>
      </c>
      <c r="D62" s="419"/>
      <c r="E62" s="419"/>
      <c r="F62" s="419"/>
      <c r="G62" s="420"/>
      <c r="AB62" t="s">
        <v>174</v>
      </c>
    </row>
    <row r="63" spans="2:28">
      <c r="C63" s="421"/>
      <c r="D63" s="422"/>
      <c r="E63" s="422"/>
      <c r="F63" s="422"/>
      <c r="G63" s="423"/>
      <c r="AB63" t="s">
        <v>344</v>
      </c>
    </row>
    <row r="64" spans="2:28">
      <c r="C64" s="421"/>
      <c r="D64" s="422"/>
      <c r="E64" s="422"/>
      <c r="F64" s="422"/>
      <c r="G64" s="423"/>
      <c r="AB64" t="s">
        <v>178</v>
      </c>
    </row>
    <row r="65" spans="1:28">
      <c r="C65" s="424"/>
      <c r="D65" s="425"/>
      <c r="E65" s="425"/>
      <c r="F65" s="425"/>
      <c r="G65" s="426"/>
      <c r="AB65" t="s">
        <v>179</v>
      </c>
    </row>
    <row r="66" spans="1:28">
      <c r="AB66" t="s">
        <v>180</v>
      </c>
    </row>
    <row r="67" spans="1:28" ht="15.6">
      <c r="B67" s="437" t="s">
        <v>581</v>
      </c>
      <c r="C67" s="438"/>
      <c r="D67" s="438"/>
      <c r="E67" s="438"/>
      <c r="F67" s="438"/>
      <c r="G67" s="438"/>
      <c r="H67" s="438"/>
      <c r="I67" s="438"/>
      <c r="J67" s="438"/>
      <c r="K67" s="438"/>
      <c r="L67" s="438"/>
      <c r="M67" s="438"/>
      <c r="N67" s="438"/>
      <c r="O67" s="439"/>
      <c r="P67" s="359"/>
      <c r="AB67" t="s">
        <v>181</v>
      </c>
    </row>
    <row r="68" spans="1:28" hidden="1">
      <c r="B68" s="345"/>
      <c r="O68" s="346"/>
      <c r="AB68" t="s">
        <v>183</v>
      </c>
    </row>
    <row r="69" spans="1:28" hidden="1">
      <c r="B69" s="345"/>
      <c r="O69" s="346"/>
      <c r="AB69" t="s">
        <v>41</v>
      </c>
    </row>
    <row r="70" spans="1:28" ht="12.6" hidden="1" thickBot="1">
      <c r="B70" s="347" t="s">
        <v>614</v>
      </c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348"/>
      <c r="P70" s="8"/>
      <c r="Q70" s="8"/>
      <c r="R70" s="8"/>
      <c r="AB70" t="s">
        <v>42</v>
      </c>
    </row>
    <row r="71" spans="1:28" ht="12.6" hidden="1" thickTop="1">
      <c r="B71" s="349"/>
      <c r="O71" s="346"/>
      <c r="AB71" t="s">
        <v>43</v>
      </c>
    </row>
    <row r="72" spans="1:28" ht="24" hidden="1">
      <c r="B72" s="345"/>
      <c r="G72" s="1" t="s">
        <v>14</v>
      </c>
      <c r="H72" s="1" t="s">
        <v>15</v>
      </c>
      <c r="I72" s="1" t="s">
        <v>16</v>
      </c>
      <c r="J72" s="1" t="s">
        <v>17</v>
      </c>
      <c r="K72" s="1" t="s">
        <v>319</v>
      </c>
      <c r="L72" s="1" t="s">
        <v>239</v>
      </c>
      <c r="M72" s="1" t="s">
        <v>238</v>
      </c>
      <c r="N72" s="1" t="s">
        <v>578</v>
      </c>
      <c r="O72" s="350" t="s">
        <v>308</v>
      </c>
      <c r="P72" s="1" t="s">
        <v>23</v>
      </c>
      <c r="Q72" s="1" t="s">
        <v>25</v>
      </c>
      <c r="R72" s="1" t="s">
        <v>307</v>
      </c>
      <c r="AB72" t="s">
        <v>44</v>
      </c>
    </row>
    <row r="73" spans="1:28" ht="12.6" hidden="1" thickBot="1">
      <c r="B73" s="345"/>
      <c r="D73" s="10" t="s">
        <v>236</v>
      </c>
      <c r="E73" s="10" t="s">
        <v>237</v>
      </c>
      <c r="F73" s="13"/>
      <c r="G73" s="14" t="s">
        <v>18</v>
      </c>
      <c r="H73" s="14" t="s">
        <v>18</v>
      </c>
      <c r="I73" s="14" t="s">
        <v>18</v>
      </c>
      <c r="J73" s="14" t="s">
        <v>19</v>
      </c>
      <c r="K73" s="14" t="s">
        <v>19</v>
      </c>
      <c r="L73" s="14" t="s">
        <v>20</v>
      </c>
      <c r="M73" s="14" t="s">
        <v>18</v>
      </c>
      <c r="N73" s="14" t="s">
        <v>19</v>
      </c>
      <c r="O73" s="346"/>
      <c r="AB73" t="s">
        <v>45</v>
      </c>
    </row>
    <row r="74" spans="1:28" hidden="1">
      <c r="B74" s="345"/>
      <c r="O74" s="346"/>
      <c r="AB74" t="s">
        <v>46</v>
      </c>
    </row>
    <row r="75" spans="1:28" hidden="1">
      <c r="A75" s="186" t="str">
        <f t="shared" ref="A75:A86" si="13">TEXT(D75, "mmmm")</f>
        <v>April</v>
      </c>
      <c r="B75" s="345"/>
      <c r="C75">
        <f>D75-EOMONTH(D75,-1)</f>
        <v>30</v>
      </c>
      <c r="D75" s="64">
        <f>DATE(YEAR(Period)-1,R75+1,)</f>
        <v>46142</v>
      </c>
      <c r="E75" t="str">
        <f>INDEX(List_Seasons,R75,0)</f>
        <v>Low Demand</v>
      </c>
      <c r="G75" s="351" cm="1">
        <f t="array" aca="1" ref="G75" ca="1">IF(OR(Selected_Base_Tariff="RURAFLEX",Selected_Base_Tariff="NIGHTSAVE RURAL"),SUM((TEXT('HOURLY DATA'!$B$4:$B$8763,"mmmm")=$A75)*('HOURLY DATA'!$U$4:$U$8763=1)*('HOURLY DATA'!$H$4:$H$8763)),SUM((TEXT('HOURLY DATA'!$B$4:$B$8763,"mmmm")=$A75)*('HOURLY DATA'!$G$4:$G$8763=1)*('HOURLY DATA'!$H$4:$H$8763)))</f>
        <v>1155687.270111084</v>
      </c>
      <c r="H75" s="351" cm="1">
        <f t="array" aca="1" ref="H75" ca="1">IF(OR(Selected_Base_Tariff="RURAFLEX",Selected_Base_Tariff="NIGHTSAVE RURAL"),SUM((TEXT('HOURLY DATA'!$B$4:$B$8763,"mmmm")=$A75)*('HOURLY DATA'!$U$4:$U$8763=2)*('HOURLY DATA'!$H$4:$H$8763)),SUM((TEXT('HOURLY DATA'!$B$4:$B$8763,"mmmm")=$A75)*('HOURLY DATA'!$G$4:$G$8763=2)*('HOURLY DATA'!$H$4:$H$8763)))</f>
        <v>3147409.2007456776</v>
      </c>
      <c r="I75" s="351" cm="1">
        <f t="array" aca="1" ref="I75" ca="1">IF(OR(Selected_Base_Tariff="RURAFLEX",Selected_Base_Tariff="NIGHTSAVE RURAL"),SUM((TEXT('HOURLY DATA'!$B$4:$B$8763,"mmmm")=$A75)*('HOURLY DATA'!$U$4:$U$8763=3)*('HOURLY DATA'!$H$4:$H$8763)),SUM((TEXT('HOURLY DATA'!$B$4:$B$8763,"mmmm")=$A75)*('HOURLY DATA'!$G$4:$G$8763=3)*('HOURLY DATA'!$H$4:$H$8763)))</f>
        <v>4720805.3177490234</v>
      </c>
      <c r="J75" s="351" cm="1">
        <f t="array" ref="J75">MAX(IF((TEXT('HOURLY DATA'!$B$4:$B$8763,"mmmm")=$A75)*OR('HOURLY DATA'!$G$4:$G$8763=2,'HOURLY DATA'!$G$4:$G$8763=1),'HOURLY DATA'!$M$4:$M$8763))</f>
        <v>14316.819128286515</v>
      </c>
      <c r="K75" s="351">
        <f t="shared" ref="K75:K86" si="14">MAX(N75,$G$27)</f>
        <v>14316.819128286515</v>
      </c>
      <c r="L75" s="366" t="str" cm="1">
        <f t="array" aca="1" ref="L75" ca="1">IF(OR($A75="June",$A75="July", $A75="August",Selected_Base_Tariff="Transflex 1", Selected_Base_Tariff="Transflex 2"),SUM((TEXT('HOURLY DATA'!$B$4:$B$8763,"mmmm")=$A75)*('HOURLY DATA'!$G$4:$G$8763=1+2)*('HOURLY DATA'!$N$4:$N$8763)),"")</f>
        <v/>
      </c>
      <c r="M75" s="352">
        <f ca="1">SUM($G75:$I75)</f>
        <v>9023901.788605785</v>
      </c>
      <c r="N75" s="353" cm="1">
        <f t="array" ref="N75">MAX(IF((TEXT('HOURLY DATA'!$B$4:$B$8763,"mmmm")=$A75),'HOURLY DATA'!$M$4:$M$8763))</f>
        <v>14316.819128286515</v>
      </c>
      <c r="O75" s="346">
        <f t="shared" ref="O75:O86" si="15">INDEX(P75:Q75,0,Selected_Tariff_Category_ID)</f>
        <v>2027</v>
      </c>
      <c r="P75">
        <f t="shared" ref="P75:P86" si="16">IF(D75&lt;=TOU_Period,YEAR(TOU_Period),YEAR(TOU_Period)+1)</f>
        <v>2027</v>
      </c>
      <c r="Q75">
        <f>IF(Selected_Tariff_Category_ID = 2, YEAR(Municipality_Period), IF(D75&lt;=EOMONTH(Municipality_Period,-12),YEAR(Municipality_Period)-1,YEAR(Municipality_Period)))</f>
        <v>2026</v>
      </c>
      <c r="R75">
        <f>MONTH(Period)+IF(Selected_Tariff_Category_ID=2, 4, 1)</f>
        <v>4</v>
      </c>
      <c r="AB75" t="s">
        <v>402</v>
      </c>
    </row>
    <row r="76" spans="1:28" hidden="1">
      <c r="A76" s="186" t="str">
        <f t="shared" si="13"/>
        <v>May</v>
      </c>
      <c r="B76" s="345"/>
      <c r="C76">
        <f t="shared" ref="C76:C86" si="17">D76-EOMONTH(D76,-1)</f>
        <v>31</v>
      </c>
      <c r="D76" s="64">
        <f>EOMONTH(D75,1)</f>
        <v>46173</v>
      </c>
      <c r="E76" t="str">
        <f>INDEX(List_Seasons,R76,0)</f>
        <v>Low Demand</v>
      </c>
      <c r="G76" s="351" cm="1">
        <f t="array" aca="1" ref="G76" ca="1">IF(OR(Selected_Base_Tariff="RURAFLEX",Selected_Base_Tariff="NIGHTSAVE RURAL"),SUM((TEXT('HOURLY DATA'!$B$4:$B$8763,"mmmm")=$A76)*('HOURLY DATA'!$U$4:$U$8763=1)*('HOURLY DATA'!$H$4:$H$8763)),SUM((TEXT('HOURLY DATA'!$B$4:$B$8763,"mmmm")=$A76)*('HOURLY DATA'!$G$4:$G$8763=1)*('HOURLY DATA'!$H$4:$H$8763)))</f>
        <v>1289422.9617919922</v>
      </c>
      <c r="H76" s="351" cm="1">
        <f t="array" aca="1" ref="H76" ca="1">IF(OR(Selected_Base_Tariff="RURAFLEX",Selected_Base_Tariff="NIGHTSAVE RURAL"),SUM((TEXT('HOURLY DATA'!$B$4:$B$8763,"mmmm")=$A76)*('HOURLY DATA'!$U$4:$U$8763=2)*('HOURLY DATA'!$H$4:$H$8763)),SUM((TEXT('HOURLY DATA'!$B$4:$B$8763,"mmmm")=$A76)*('HOURLY DATA'!$G$4:$G$8763=2)*('HOURLY DATA'!$H$4:$H$8763)))</f>
        <v>3409054.7205505371</v>
      </c>
      <c r="I76" s="351" cm="1">
        <f t="array" aca="1" ref="I76" ca="1">IF(OR(Selected_Base_Tariff="RURAFLEX",Selected_Base_Tariff="NIGHTSAVE RURAL"),SUM((TEXT('HOURLY DATA'!$B$4:$B$8763,"mmmm")=$A76)*('HOURLY DATA'!$U$4:$U$8763=3)*('HOURLY DATA'!$H$4:$H$8763)),SUM((TEXT('HOURLY DATA'!$B$4:$B$8763,"mmmm")=$A76)*('HOURLY DATA'!$G$4:$G$8763=3)*('HOURLY DATA'!$H$4:$H$8763)))</f>
        <v>4704049.6041488647</v>
      </c>
      <c r="J76" s="351" cm="1">
        <f t="array" ref="J76">MAX(IF((TEXT('HOURLY DATA'!$B$4:$B$8763,"mmmm")=$A76)*OR('HOURLY DATA'!$G$4:$G$8763=2,'HOURLY DATA'!$G$4:$G$8763=1),'HOURLY DATA'!$M$4:$M$8763))</f>
        <v>14141.118815542899</v>
      </c>
      <c r="K76" s="351">
        <f t="shared" si="14"/>
        <v>14141.118815542899</v>
      </c>
      <c r="L76" s="366" t="str" cm="1">
        <f t="array" aca="1" ref="L76" ca="1">IF(OR($A76="June",$A76="July", $A76="August",Selected_Base_Tariff="Transflex 1", Selected_Base_Tariff="Transflex 2"),SUM((TEXT('HOURLY DATA'!$B$4:$B$8763,"mmmm")=$A76)*('HOURLY DATA'!$G$4:$G$8763=1+2)*('HOURLY DATA'!$N$4:$N$8763)),"")</f>
        <v/>
      </c>
      <c r="M76" s="352">
        <f t="shared" ref="M76:M86" ca="1" si="18">SUM($G76:$I76)</f>
        <v>9402527.286491394</v>
      </c>
      <c r="N76" s="353" cm="1">
        <f t="array" ref="N76">MAX(IF((TEXT('HOURLY DATA'!$B$4:$B$8763,"mmmm")=$A76),'HOURLY DATA'!$M$4:$M$8763))</f>
        <v>14141.118815542899</v>
      </c>
      <c r="O76" s="346">
        <f t="shared" si="15"/>
        <v>2027</v>
      </c>
      <c r="P76">
        <f t="shared" si="16"/>
        <v>2027</v>
      </c>
      <c r="Q76">
        <f>IF(Selected_Tariff_Category_ID = 2, YEAR(Municipality_Period), IF(D76&lt;=EOMONTH(Municipality_Period,-12),YEAR(Municipality_Period)-1,YEAR(Municipality_Period)))</f>
        <v>2026</v>
      </c>
      <c r="R76">
        <f t="shared" ref="R76:R86" si="19">MONTH(D76)</f>
        <v>5</v>
      </c>
      <c r="AB76" t="s">
        <v>403</v>
      </c>
    </row>
    <row r="77" spans="1:28" hidden="1">
      <c r="A77" s="186" t="str">
        <f t="shared" si="13"/>
        <v>June</v>
      </c>
      <c r="B77" s="345"/>
      <c r="C77">
        <f t="shared" si="17"/>
        <v>30</v>
      </c>
      <c r="D77" s="64">
        <f t="shared" ref="D77:D86" si="20">EOMONTH(D76,1)</f>
        <v>46203</v>
      </c>
      <c r="E77" t="str">
        <f>INDEX(List_Seasons,R77,0)</f>
        <v>High Demand</v>
      </c>
      <c r="G77" s="351" cm="1">
        <f t="array" aca="1" ref="G77" ca="1">IF(OR(Selected_Base_Tariff="RURAFLEX",Selected_Base_Tariff="NIGHTSAVE RURAL"),SUM((TEXT('HOURLY DATA'!$B$4:$B$8763,"mmmm")=$A77)*('HOURLY DATA'!$U$4:$U$8763=1)*('HOURLY DATA'!$H$4:$H$8763)),SUM((TEXT('HOURLY DATA'!$B$4:$B$8763,"mmmm")=$A77)*('HOURLY DATA'!$G$4:$G$8763=1)*('HOURLY DATA'!$H$4:$H$8763)))</f>
        <v>1206351.8733062744</v>
      </c>
      <c r="H77" s="351" cm="1">
        <f t="array" aca="1" ref="H77" ca="1">IF(OR(Selected_Base_Tariff="RURAFLEX",Selected_Base_Tariff="NIGHTSAVE RURAL"),SUM((TEXT('HOURLY DATA'!$B$4:$B$8763,"mmmm")=$A77)*('HOURLY DATA'!$U$4:$U$8763=2)*('HOURLY DATA'!$H$4:$H$8763)),SUM((TEXT('HOURLY DATA'!$B$4:$B$8763,"mmmm")=$A77)*('HOURLY DATA'!$G$4:$G$8763=2)*('HOURLY DATA'!$H$4:$H$8763)))</f>
        <v>3152362.3751220703</v>
      </c>
      <c r="I77" s="351" cm="1">
        <f t="array" aca="1" ref="I77" ca="1">IF(OR(Selected_Base_Tariff="RURAFLEX",Selected_Base_Tariff="NIGHTSAVE RURAL"),SUM((TEXT('HOURLY DATA'!$B$4:$B$8763,"mmmm")=$A77)*('HOURLY DATA'!$U$4:$U$8763=3)*('HOURLY DATA'!$H$4:$H$8763)),SUM((TEXT('HOURLY DATA'!$B$4:$B$8763,"mmmm")=$A77)*('HOURLY DATA'!$G$4:$G$8763=3)*('HOURLY DATA'!$H$4:$H$8763)))</f>
        <v>3909578.5521469116</v>
      </c>
      <c r="J77" s="351" cm="1">
        <f t="array" ref="J77">MAX(IF((TEXT('HOURLY DATA'!$B$4:$B$8763,"mmmm")=$A77)*OR('HOURLY DATA'!$G$4:$G$8763=2,'HOURLY DATA'!$G$4:$G$8763=1),'HOURLY DATA'!$M$4:$M$8763))</f>
        <v>14898.507556827093</v>
      </c>
      <c r="K77" s="351">
        <f t="shared" si="14"/>
        <v>14898.507556827093</v>
      </c>
      <c r="L77" s="366" cm="1">
        <f t="array" aca="1" ref="L77" ca="1">IF(OR($A77="June",$A77="July",$A77="August",Selected_Base_Tariff="Transflex 1",Selected_Base_Tariff="Transflex 2"),IF(OR(Selected_Base_Tariff="Megaflex",Selected_Base_Tariff="Municflex"),(SUM((TEXT('HOURLY DATA'!$B$4:$B$8763,"mmmm")=$A77)*('HOURLY DATA'!$G$4:$G$8763=1)*('HOURLY DATA'!$N$4:$N$8763))+SUM((TEXT('HOURLY DATA'!$B$4:$B$8763,"mmmm")=$A77)*('HOURLY DATA'!$G$4:$G$8763=2)*('HOURLY DATA'!$N$4:$N$8763))),SUM((TEXT('HOURLY DATA'!$B$4:$B$8763,"mmmm")=$A77)*('HOURLY DATA'!$G$4:$G$8763)*('HOURLY DATA'!$N$4:$N$8763))))</f>
        <v>85413.571795654338</v>
      </c>
      <c r="M77" s="352">
        <f t="shared" ca="1" si="18"/>
        <v>8268292.8005752563</v>
      </c>
      <c r="N77" s="353" cm="1">
        <f t="array" ref="N77">MAX(IF((TEXT('HOURLY DATA'!$B$4:$B$8763,"mmmm")=$A77),'HOURLY DATA'!$M$4:$M$8763))</f>
        <v>14898.507556827093</v>
      </c>
      <c r="O77" s="346">
        <f t="shared" si="15"/>
        <v>2027</v>
      </c>
      <c r="P77">
        <f t="shared" si="16"/>
        <v>2027</v>
      </c>
      <c r="Q77">
        <f>IF(Selected_Tariff_Category_ID = 2, YEAR(Municipality_Period), IF(D77&lt;=EOMONTH(Municipality_Period,-12),YEAR(Municipality_Period)-1,YEAR(Municipality_Period)))</f>
        <v>2026</v>
      </c>
      <c r="R77">
        <f t="shared" si="19"/>
        <v>6</v>
      </c>
      <c r="AB77" t="s">
        <v>348</v>
      </c>
    </row>
    <row r="78" spans="1:28" hidden="1">
      <c r="A78" s="186" t="str">
        <f t="shared" si="13"/>
        <v>July</v>
      </c>
      <c r="B78" s="345"/>
      <c r="C78">
        <f t="shared" si="17"/>
        <v>31</v>
      </c>
      <c r="D78" s="64">
        <f t="shared" si="20"/>
        <v>46234</v>
      </c>
      <c r="E78" t="str">
        <f t="shared" ref="E78:E86" si="21">INDEX(List_Seasons,R78,0)</f>
        <v>High Demand</v>
      </c>
      <c r="G78" s="351" cm="1">
        <f t="array" aca="1" ref="G78" ca="1">IF(OR(Selected_Base_Tariff="RURAFLEX",Selected_Base_Tariff="NIGHTSAVE RURAL"),SUM((TEXT('HOURLY DATA'!$B$4:$B$8763,"mmmm")=$A78)*('HOURLY DATA'!$U$4:$U$8763=1)*('HOURLY DATA'!$H$4:$H$8763)),SUM((TEXT('HOURLY DATA'!$B$4:$B$8763,"mmmm")=$A78)*('HOURLY DATA'!$G$4:$G$8763=1)*('HOURLY DATA'!$H$4:$H$8763)))</f>
        <v>1485576.7768554688</v>
      </c>
      <c r="H78" s="351" cm="1">
        <f t="array" aca="1" ref="H78" ca="1">IF(OR(Selected_Base_Tariff="RURAFLEX",Selected_Base_Tariff="NIGHTSAVE RURAL"),SUM((TEXT('HOURLY DATA'!$B$4:$B$8763,"mmmm")=$A78)*('HOURLY DATA'!$U$4:$U$8763=2)*('HOURLY DATA'!$H$4:$H$8763)),SUM((TEXT('HOURLY DATA'!$B$4:$B$8763,"mmmm")=$A78)*('HOURLY DATA'!$G$4:$G$8763=2)*('HOURLY DATA'!$H$4:$H$8763)))</f>
        <v>3694241.0331115723</v>
      </c>
      <c r="I78" s="351" cm="1">
        <f t="array" aca="1" ref="I78" ca="1">IF(OR(Selected_Base_Tariff="RURAFLEX",Selected_Base_Tariff="NIGHTSAVE RURAL"),SUM((TEXT('HOURLY DATA'!$B$4:$B$8763,"mmmm")=$A78)*('HOURLY DATA'!$U$4:$U$8763=3)*('HOURLY DATA'!$H$4:$H$8763)),SUM((TEXT('HOURLY DATA'!$B$4:$B$8763,"mmmm")=$A78)*('HOURLY DATA'!$G$4:$G$8763=3)*('HOURLY DATA'!$H$4:$H$8763)))</f>
        <v>4379669.7303161621</v>
      </c>
      <c r="J78" s="351" cm="1">
        <f t="array" ref="J78">MAX(IF((TEXT('HOURLY DATA'!$B$4:$B$8763,"mmmm")=$A78)*OR('HOURLY DATA'!$G$4:$G$8763=2,'HOURLY DATA'!$G$4:$G$8763=1),'HOURLY DATA'!$M$4:$M$8763))</f>
        <v>15055.205121411609</v>
      </c>
      <c r="K78" s="351">
        <f t="shared" si="14"/>
        <v>15055.205121411609</v>
      </c>
      <c r="L78" s="366" cm="1">
        <f t="array" aca="1" ref="L78" ca="1">IF(OR($A78="June",$A78="July",$A78="August",Selected_Base_Tariff="Transflex 1",Selected_Base_Tariff="Transflex 2"),IF(OR(Selected_Base_Tariff="Megaflex",Selected_Base_Tariff="Municflex"),(SUM((TEXT('HOURLY DATA'!$B$4:$B$8763,"mmmm")=$A78)*('HOURLY DATA'!$G$4:$G$8763=1)*('HOURLY DATA'!$N$4:$N$8763))+SUM((TEXT('HOURLY DATA'!$B$4:$B$8763,"mmmm")=$A78)*('HOURLY DATA'!$G$4:$G$8763=2)*('HOURLY DATA'!$N$4:$N$8763))),SUM((TEXT('HOURLY DATA'!$B$4:$B$8763,"mmmm")=$A78)*('HOURLY DATA'!$G$4:$G$8763)*('HOURLY DATA'!$N$4:$N$8763))))</f>
        <v>535328.07839965797</v>
      </c>
      <c r="M78" s="352">
        <f t="shared" ca="1" si="18"/>
        <v>9559487.5402832031</v>
      </c>
      <c r="N78" s="353" cm="1">
        <f t="array" ref="N78">MAX(IF((TEXT('HOURLY DATA'!$B$4:$B$8763,"mmmm")=$A78),'HOURLY DATA'!$M$4:$M$8763))</f>
        <v>15055.205121411609</v>
      </c>
      <c r="O78" s="346">
        <f t="shared" si="15"/>
        <v>2027</v>
      </c>
      <c r="P78">
        <f t="shared" si="16"/>
        <v>2027</v>
      </c>
      <c r="Q78">
        <f t="shared" ref="Q78:Q86" si="22">IF(D78&lt;=EOMONTH(Municipality_Period,-12),YEAR(Municipality_Period)-1,YEAR(Municipality_Period))</f>
        <v>2027</v>
      </c>
      <c r="R78">
        <f t="shared" si="19"/>
        <v>7</v>
      </c>
      <c r="AB78" t="s">
        <v>347</v>
      </c>
    </row>
    <row r="79" spans="1:28" hidden="1">
      <c r="A79" s="186" t="str">
        <f t="shared" si="13"/>
        <v>August</v>
      </c>
      <c r="B79" s="345"/>
      <c r="C79">
        <f t="shared" si="17"/>
        <v>31</v>
      </c>
      <c r="D79" s="64">
        <f t="shared" si="20"/>
        <v>46265</v>
      </c>
      <c r="E79" t="str">
        <f t="shared" si="21"/>
        <v>High Demand</v>
      </c>
      <c r="G79" s="351" cm="1">
        <f t="array" aca="1" ref="G79" ca="1">IF(OR(Selected_Base_Tariff="RURAFLEX",Selected_Base_Tariff="NIGHTSAVE RURAL"),SUM((TEXT('HOURLY DATA'!$B$4:$B$8763,"mmmm")=$A79)*('HOURLY DATA'!$U$4:$U$8763=1)*('HOURLY DATA'!$H$4:$H$8763)),SUM((TEXT('HOURLY DATA'!$B$4:$B$8763,"mmmm")=$A79)*('HOURLY DATA'!$G$4:$G$8763=1)*('HOURLY DATA'!$H$4:$H$8763)))</f>
        <v>1017666.6984024048</v>
      </c>
      <c r="H79" s="351" cm="1">
        <f t="array" aca="1" ref="H79" ca="1">IF(OR(Selected_Base_Tariff="RURAFLEX",Selected_Base_Tariff="NIGHTSAVE RURAL"),SUM((TEXT('HOURLY DATA'!$B$4:$B$8763,"mmmm")=$A79)*('HOURLY DATA'!$U$4:$U$8763=2)*('HOURLY DATA'!$H$4:$H$8763)),SUM((TEXT('HOURLY DATA'!$B$4:$B$8763,"mmmm")=$A79)*('HOURLY DATA'!$G$4:$G$8763=2)*('HOURLY DATA'!$H$4:$H$8763)))</f>
        <v>2781162.0622193604</v>
      </c>
      <c r="I79" s="351" cm="1">
        <f t="array" aca="1" ref="I79" ca="1">IF(OR(Selected_Base_Tariff="RURAFLEX",Selected_Base_Tariff="NIGHTSAVE RURAL"),SUM((TEXT('HOURLY DATA'!$B$4:$B$8763,"mmmm")=$A79)*('HOURLY DATA'!$U$4:$U$8763=3)*('HOURLY DATA'!$H$4:$H$8763)),SUM((TEXT('HOURLY DATA'!$B$4:$B$8763,"mmmm")=$A79)*('HOURLY DATA'!$G$4:$G$8763=3)*('HOURLY DATA'!$H$4:$H$8763)))</f>
        <v>3766160.5638275146</v>
      </c>
      <c r="J79" s="351" cm="1">
        <f t="array" ref="J79">MAX(IF((TEXT('HOURLY DATA'!$B$4:$B$8763,"mmmm")=$A79)*OR('HOURLY DATA'!$G$4:$G$8763=2,'HOURLY DATA'!$G$4:$G$8763=1),'HOURLY DATA'!$M$4:$M$8763))</f>
        <v>16683.613796156798</v>
      </c>
      <c r="K79" s="351">
        <f t="shared" si="14"/>
        <v>16683.613796156798</v>
      </c>
      <c r="L79" s="366" cm="1">
        <f t="array" aca="1" ref="L79" ca="1">IF(OR($A79="June",$A79="July",$A79="August",Selected_Base_Tariff="Transflex 1",Selected_Base_Tariff="Transflex 2"),IF(OR(Selected_Base_Tariff="Megaflex",Selected_Base_Tariff="Municflex"),(SUM((TEXT('HOURLY DATA'!$B$4:$B$8763,"mmmm")=$A79)*('HOURLY DATA'!$G$4:$G$8763=1)*('HOURLY DATA'!$N$4:$N$8763))+SUM((TEXT('HOURLY DATA'!$B$4:$B$8763,"mmmm")=$A79)*('HOURLY DATA'!$G$4:$G$8763=2)*('HOURLY DATA'!$N$4:$N$8763))),SUM((TEXT('HOURLY DATA'!$B$4:$B$8763,"mmmm")=$A79)*('HOURLY DATA'!$G$4:$G$8763)*('HOURLY DATA'!$N$4:$N$8763))))</f>
        <v>3524214.9165998851</v>
      </c>
      <c r="M79" s="352">
        <f t="shared" ca="1" si="18"/>
        <v>7564989.3244492803</v>
      </c>
      <c r="N79" s="353" cm="1">
        <f t="array" ref="N79">MAX(IF((TEXT('HOURLY DATA'!$B$4:$B$8763,"mmmm")=$A79),'HOURLY DATA'!$M$4:$M$8763))</f>
        <v>16683.613796156798</v>
      </c>
      <c r="O79" s="346">
        <f t="shared" si="15"/>
        <v>2027</v>
      </c>
      <c r="P79">
        <f t="shared" si="16"/>
        <v>2027</v>
      </c>
      <c r="Q79">
        <f t="shared" si="22"/>
        <v>2027</v>
      </c>
      <c r="R79">
        <f t="shared" si="19"/>
        <v>8</v>
      </c>
      <c r="AB79" t="s">
        <v>349</v>
      </c>
    </row>
    <row r="80" spans="1:28" hidden="1">
      <c r="A80" s="186" t="str">
        <f t="shared" si="13"/>
        <v>September</v>
      </c>
      <c r="B80" s="345"/>
      <c r="C80">
        <f t="shared" si="17"/>
        <v>30</v>
      </c>
      <c r="D80" s="64">
        <f t="shared" si="20"/>
        <v>46295</v>
      </c>
      <c r="E80" t="str">
        <f t="shared" si="21"/>
        <v>Low Demand</v>
      </c>
      <c r="G80" s="351" cm="1">
        <f t="array" aca="1" ref="G80" ca="1">IF(OR(Selected_Base_Tariff="RURAFLEX",Selected_Base_Tariff="NIGHTSAVE RURAL"),SUM((TEXT('HOURLY DATA'!$B$4:$B$8763,"mmmm")=$A80)*('HOURLY DATA'!$U$4:$U$8763=1)*('HOURLY DATA'!$H$4:$H$8763)),SUM((TEXT('HOURLY DATA'!$B$4:$B$8763,"mmmm")=$A80)*('HOURLY DATA'!$G$4:$G$8763=1)*('HOURLY DATA'!$H$4:$H$8763)))</f>
        <v>1197758.7837524414</v>
      </c>
      <c r="H80" s="351" cm="1">
        <f t="array" aca="1" ref="H80" ca="1">IF(OR(Selected_Base_Tariff="RURAFLEX",Selected_Base_Tariff="NIGHTSAVE RURAL"),SUM((TEXT('HOURLY DATA'!$B$4:$B$8763,"mmmm")=$A80)*('HOURLY DATA'!$U$4:$U$8763=2)*('HOURLY DATA'!$H$4:$H$8763)),SUM((TEXT('HOURLY DATA'!$B$4:$B$8763,"mmmm")=$A80)*('HOURLY DATA'!$G$4:$G$8763=2)*('HOURLY DATA'!$H$4:$H$8763)))</f>
        <v>3126564.2872619629</v>
      </c>
      <c r="I80" s="351" cm="1">
        <f t="array" aca="1" ref="I80" ca="1">IF(OR(Selected_Base_Tariff="RURAFLEX",Selected_Base_Tariff="NIGHTSAVE RURAL"),SUM((TEXT('HOURLY DATA'!$B$4:$B$8763,"mmmm")=$A80)*('HOURLY DATA'!$U$4:$U$8763=3)*('HOURLY DATA'!$H$4:$H$8763)),SUM((TEXT('HOURLY DATA'!$B$4:$B$8763,"mmmm")=$A80)*('HOURLY DATA'!$G$4:$G$8763=3)*('HOURLY DATA'!$H$4:$H$8763)))</f>
        <v>4035114.8547058105</v>
      </c>
      <c r="J80" s="351" cm="1">
        <f t="array" ref="J80">MAX(IF((TEXT('HOURLY DATA'!$B$4:$B$8763,"mmmm")=$A80)*OR('HOURLY DATA'!$G$4:$G$8763=2,'HOURLY DATA'!$G$4:$G$8763=1),'HOURLY DATA'!$M$4:$M$8763))</f>
        <v>16609.482103468694</v>
      </c>
      <c r="K80" s="351">
        <f t="shared" si="14"/>
        <v>16609.482103468694</v>
      </c>
      <c r="L80" s="366" t="str" cm="1">
        <f t="array" aca="1" ref="L80" ca="1">IF(OR($A80="June",$A80="July", $A80="August",Selected_Base_Tariff="Transflex 1", Selected_Base_Tariff="Transflex 2"),SUM((TEXT('HOURLY DATA'!$B$4:$B$8763,"mmmm")=$A80)*('HOURLY DATA'!$G$4:$G$8763=1+2)*('HOURLY DATA'!$N$4:$N$8763)),"")</f>
        <v/>
      </c>
      <c r="M80" s="352">
        <f t="shared" ca="1" si="18"/>
        <v>8359437.9257202148</v>
      </c>
      <c r="N80" s="353" cm="1">
        <f t="array" ref="N80">MAX(IF((TEXT('HOURLY DATA'!$B$4:$B$8763,"mmmm")=$A80),'HOURLY DATA'!$M$4:$M$8763))</f>
        <v>16609.482103468694</v>
      </c>
      <c r="O80" s="346">
        <f t="shared" si="15"/>
        <v>2027</v>
      </c>
      <c r="P80">
        <f t="shared" si="16"/>
        <v>2027</v>
      </c>
      <c r="Q80">
        <f t="shared" si="22"/>
        <v>2027</v>
      </c>
      <c r="R80">
        <f t="shared" si="19"/>
        <v>9</v>
      </c>
      <c r="AB80" t="s">
        <v>535</v>
      </c>
    </row>
    <row r="81" spans="1:28" hidden="1">
      <c r="A81" s="186" t="str">
        <f t="shared" si="13"/>
        <v>October</v>
      </c>
      <c r="B81" s="345"/>
      <c r="C81">
        <f t="shared" si="17"/>
        <v>31</v>
      </c>
      <c r="D81" s="64">
        <f t="shared" si="20"/>
        <v>46326</v>
      </c>
      <c r="E81" t="str">
        <f t="shared" si="21"/>
        <v>Low Demand</v>
      </c>
      <c r="G81" s="351" cm="1">
        <f t="array" aca="1" ref="G81" ca="1">IF(OR(Selected_Base_Tariff="RURAFLEX",Selected_Base_Tariff="NIGHTSAVE RURAL"),SUM((TEXT('HOURLY DATA'!$B$4:$B$8763,"mmmm")=$A81)*('HOURLY DATA'!$U$4:$U$8763=1)*('HOURLY DATA'!$H$4:$H$8763)),SUM((TEXT('HOURLY DATA'!$B$4:$B$8763,"mmmm")=$A81)*('HOURLY DATA'!$G$4:$G$8763=1)*('HOURLY DATA'!$H$4:$H$8763)))</f>
        <v>1237885.7206726074</v>
      </c>
      <c r="H81" s="351" cm="1">
        <f t="array" aca="1" ref="H81" ca="1">IF(OR(Selected_Base_Tariff="RURAFLEX",Selected_Base_Tariff="NIGHTSAVE RURAL"),SUM((TEXT('HOURLY DATA'!$B$4:$B$8763,"mmmm")=$A81)*('HOURLY DATA'!$U$4:$U$8763=2)*('HOURLY DATA'!$H$4:$H$8763)),SUM((TEXT('HOURLY DATA'!$B$4:$B$8763,"mmmm")=$A81)*('HOURLY DATA'!$G$4:$G$8763=2)*('HOURLY DATA'!$H$4:$H$8763)))</f>
        <v>3209657.3922729492</v>
      </c>
      <c r="I81" s="351" cm="1">
        <f t="array" aca="1" ref="I81" ca="1">IF(OR(Selected_Base_Tariff="RURAFLEX",Selected_Base_Tariff="NIGHTSAVE RURAL"),SUM((TEXT('HOURLY DATA'!$B$4:$B$8763,"mmmm")=$A81)*('HOURLY DATA'!$U$4:$U$8763=3)*('HOURLY DATA'!$H$4:$H$8763)),SUM((TEXT('HOURLY DATA'!$B$4:$B$8763,"mmmm")=$A81)*('HOURLY DATA'!$G$4:$G$8763=3)*('HOURLY DATA'!$H$4:$H$8763)))</f>
        <v>3973412.4558105469</v>
      </c>
      <c r="J81" s="351" cm="1">
        <f t="array" ref="J81">MAX(IF((TEXT('HOURLY DATA'!$B$4:$B$8763,"mmmm")=$A81)*OR('HOURLY DATA'!$G$4:$G$8763=2,'HOURLY DATA'!$G$4:$G$8763=1),'HOURLY DATA'!$M$4:$M$8763))</f>
        <v>17871.291541377319</v>
      </c>
      <c r="K81" s="351">
        <f t="shared" si="14"/>
        <v>17871.291541377319</v>
      </c>
      <c r="L81" s="366" t="str" cm="1">
        <f t="array" aca="1" ref="L81" ca="1">IF(OR($A81="June",$A81="July", $A81="August",Selected_Base_Tariff="Transflex 1", Selected_Base_Tariff="Transflex 2"),SUM((TEXT('HOURLY DATA'!$B$4:$B$8763,"mmmm")=$A81)*('HOURLY DATA'!$G$4:$G$8763=1+2)*('HOURLY DATA'!$N$4:$N$8763)),"")</f>
        <v/>
      </c>
      <c r="M81" s="352">
        <f t="shared" ca="1" si="18"/>
        <v>8420955.5687561035</v>
      </c>
      <c r="N81" s="353" cm="1">
        <f t="array" ref="N81">MAX(IF((TEXT('HOURLY DATA'!$B$4:$B$8763,"mmmm")=$A81),'HOURLY DATA'!$M$4:$M$8763))</f>
        <v>17871.291541377319</v>
      </c>
      <c r="O81" s="346">
        <f t="shared" si="15"/>
        <v>2027</v>
      </c>
      <c r="P81">
        <f t="shared" si="16"/>
        <v>2027</v>
      </c>
      <c r="Q81">
        <f t="shared" si="22"/>
        <v>2027</v>
      </c>
      <c r="R81">
        <f t="shared" si="19"/>
        <v>10</v>
      </c>
      <c r="AB81" t="s">
        <v>536</v>
      </c>
    </row>
    <row r="82" spans="1:28" hidden="1">
      <c r="A82" s="186" t="str">
        <f t="shared" si="13"/>
        <v>November</v>
      </c>
      <c r="B82" s="345"/>
      <c r="C82">
        <f t="shared" si="17"/>
        <v>30</v>
      </c>
      <c r="D82" s="64">
        <f t="shared" si="20"/>
        <v>46356</v>
      </c>
      <c r="E82" t="str">
        <f t="shared" si="21"/>
        <v>Low Demand</v>
      </c>
      <c r="G82" s="351" cm="1">
        <f t="array" aca="1" ref="G82" ca="1">IF(OR(Selected_Base_Tariff="RURAFLEX",Selected_Base_Tariff="NIGHTSAVE RURAL"),SUM((TEXT('HOURLY DATA'!$B$4:$B$8763,"mmmm")=$A82)*('HOURLY DATA'!$U$4:$U$8763=1)*('HOURLY DATA'!$H$4:$H$8763)),SUM((TEXT('HOURLY DATA'!$B$4:$B$8763,"mmmm")=$A82)*('HOURLY DATA'!$G$4:$G$8763=1)*('HOURLY DATA'!$H$4:$H$8763)))</f>
        <v>1201932.4559506373</v>
      </c>
      <c r="H82" s="351" cm="1">
        <f t="array" aca="1" ref="H82" ca="1">IF(OR(Selected_Base_Tariff="RURAFLEX",Selected_Base_Tariff="NIGHTSAVE RURAL"),SUM((TEXT('HOURLY DATA'!$B$4:$B$8763,"mmmm")=$A82)*('HOURLY DATA'!$U$4:$U$8763=2)*('HOURLY DATA'!$H$4:$H$8763)),SUM((TEXT('HOURLY DATA'!$B$4:$B$8763,"mmmm")=$A82)*('HOURLY DATA'!$G$4:$G$8763=2)*('HOURLY DATA'!$H$4:$H$8763)))</f>
        <v>3092171.6223144531</v>
      </c>
      <c r="I82" s="351" cm="1">
        <f t="array" aca="1" ref="I82" ca="1">IF(OR(Selected_Base_Tariff="RURAFLEX",Selected_Base_Tariff="NIGHTSAVE RURAL"),SUM((TEXT('HOURLY DATA'!$B$4:$B$8763,"mmmm")=$A82)*('HOURLY DATA'!$U$4:$U$8763=3)*('HOURLY DATA'!$H$4:$H$8763)),SUM((TEXT('HOURLY DATA'!$B$4:$B$8763,"mmmm")=$A82)*('HOURLY DATA'!$G$4:$G$8763=3)*('HOURLY DATA'!$H$4:$H$8763)))</f>
        <v>4276611.7138977051</v>
      </c>
      <c r="J82" s="351" cm="1">
        <f t="array" ref="J82">MAX(IF((TEXT('HOURLY DATA'!$B$4:$B$8763,"mmmm")=$A82)*OR('HOURLY DATA'!$G$4:$G$8763=2,'HOURLY DATA'!$G$4:$G$8763=1),'HOURLY DATA'!$M$4:$M$8763))</f>
        <v>17312.015303077478</v>
      </c>
      <c r="K82" s="351">
        <f t="shared" si="14"/>
        <v>17312.015303077478</v>
      </c>
      <c r="L82" s="366" t="str" cm="1">
        <f t="array" aca="1" ref="L82" ca="1">IF(OR($A82="June",$A82="July", $A82="August",Selected_Base_Tariff="Transflex 1", Selected_Base_Tariff="Transflex 2"),SUM((TEXT('HOURLY DATA'!$B$4:$B$8763,"mmmm")=$A82)*('HOURLY DATA'!$G$4:$G$8763=1+2)*('HOURLY DATA'!$N$4:$N$8763)),"")</f>
        <v/>
      </c>
      <c r="M82" s="352">
        <f t="shared" ca="1" si="18"/>
        <v>8570715.7921627946</v>
      </c>
      <c r="N82" s="353" cm="1">
        <f t="array" ref="N82">MAX(IF((TEXT('HOURLY DATA'!$B$4:$B$8763,"mmmm")=$A82),'HOURLY DATA'!$M$4:$M$8763))</f>
        <v>17312.015303077478</v>
      </c>
      <c r="O82" s="346">
        <f t="shared" si="15"/>
        <v>2027</v>
      </c>
      <c r="P82">
        <f t="shared" si="16"/>
        <v>2027</v>
      </c>
      <c r="Q82">
        <f t="shared" si="22"/>
        <v>2027</v>
      </c>
      <c r="R82">
        <f t="shared" si="19"/>
        <v>11</v>
      </c>
      <c r="AB82" t="s">
        <v>537</v>
      </c>
    </row>
    <row r="83" spans="1:28" hidden="1">
      <c r="A83" s="186" t="str">
        <f t="shared" si="13"/>
        <v>December</v>
      </c>
      <c r="B83" s="345"/>
      <c r="C83">
        <f t="shared" si="17"/>
        <v>31</v>
      </c>
      <c r="D83" s="64">
        <f t="shared" si="20"/>
        <v>46387</v>
      </c>
      <c r="E83" t="str">
        <f t="shared" si="21"/>
        <v>Low Demand</v>
      </c>
      <c r="G83" s="351" cm="1">
        <f t="array" aca="1" ref="G83" ca="1">IF(OR(Selected_Base_Tariff="RURAFLEX",Selected_Base_Tariff="NIGHTSAVE RURAL"),SUM((TEXT('HOURLY DATA'!$B$4:$B$8763,"mmmm")=$A83)*('HOURLY DATA'!$U$4:$U$8763=1)*('HOURLY DATA'!$H$4:$H$8763)),SUM((TEXT('HOURLY DATA'!$B$4:$B$8763,"mmmm")=$A83)*('HOURLY DATA'!$G$4:$G$8763=1)*('HOURLY DATA'!$H$4:$H$8763)))</f>
        <v>1215567.2946472168</v>
      </c>
      <c r="H83" s="351" cm="1">
        <f t="array" aca="1" ref="H83" ca="1">IF(OR(Selected_Base_Tariff="RURAFLEX",Selected_Base_Tariff="NIGHTSAVE RURAL"),SUM((TEXT('HOURLY DATA'!$B$4:$B$8763,"mmmm")=$A83)*('HOURLY DATA'!$U$4:$U$8763=2)*('HOURLY DATA'!$H$4:$H$8763)),SUM((TEXT('HOURLY DATA'!$B$4:$B$8763,"mmmm")=$A83)*('HOURLY DATA'!$G$4:$G$8763=2)*('HOURLY DATA'!$H$4:$H$8763)))</f>
        <v>3164626.7137756348</v>
      </c>
      <c r="I83" s="351" cm="1">
        <f t="array" aca="1" ref="I83" ca="1">IF(OR(Selected_Base_Tariff="RURAFLEX",Selected_Base_Tariff="NIGHTSAVE RURAL"),SUM((TEXT('HOURLY DATA'!$B$4:$B$8763,"mmmm")=$A83)*('HOURLY DATA'!$U$4:$U$8763=3)*('HOURLY DATA'!$H$4:$H$8763)),SUM((TEXT('HOURLY DATA'!$B$4:$B$8763,"mmmm")=$A83)*('HOURLY DATA'!$G$4:$G$8763=3)*('HOURLY DATA'!$H$4:$H$8763)))</f>
        <v>4580670.2730407715</v>
      </c>
      <c r="J83" s="351" cm="1">
        <f t="array" ref="J83">MAX(IF((TEXT('HOURLY DATA'!$B$4:$B$8763,"mmmm")=$A83)*OR('HOURLY DATA'!$G$4:$G$8763=2,'HOURLY DATA'!$G$4:$G$8763=1),'HOURLY DATA'!$M$4:$M$8763))</f>
        <v>14591.781036230388</v>
      </c>
      <c r="K83" s="351">
        <f t="shared" si="14"/>
        <v>14591.781036230388</v>
      </c>
      <c r="L83" s="366" t="str" cm="1">
        <f t="array" aca="1" ref="L83" ca="1">IF(OR($A83="June",$A83="July", $A83="August",Selected_Base_Tariff="Transflex 1", Selected_Base_Tariff="Transflex 2"),SUM((TEXT('HOURLY DATA'!$B$4:$B$8763,"mmmm")=$A83)*('HOURLY DATA'!$G$4:$G$8763=1+2)*('HOURLY DATA'!$N$4:$N$8763)),"")</f>
        <v/>
      </c>
      <c r="M83" s="352">
        <f t="shared" ca="1" si="18"/>
        <v>8960864.281463623</v>
      </c>
      <c r="N83" s="353" cm="1">
        <f t="array" ref="N83">MAX(IF((TEXT('HOURLY DATA'!$B$4:$B$8763,"mmmm")=$A83),'HOURLY DATA'!$M$4:$M$8763))</f>
        <v>14591.781036230388</v>
      </c>
      <c r="O83" s="346">
        <f t="shared" si="15"/>
        <v>2027</v>
      </c>
      <c r="P83">
        <f t="shared" si="16"/>
        <v>2027</v>
      </c>
      <c r="Q83">
        <f t="shared" si="22"/>
        <v>2027</v>
      </c>
      <c r="R83">
        <f t="shared" si="19"/>
        <v>12</v>
      </c>
      <c r="AB83" t="s">
        <v>538</v>
      </c>
    </row>
    <row r="84" spans="1:28" hidden="1">
      <c r="A84" s="186" t="str">
        <f t="shared" si="13"/>
        <v>January</v>
      </c>
      <c r="B84" s="345"/>
      <c r="C84">
        <f t="shared" si="17"/>
        <v>31</v>
      </c>
      <c r="D84" s="64">
        <f t="shared" si="20"/>
        <v>46418</v>
      </c>
      <c r="E84" t="str">
        <f t="shared" si="21"/>
        <v>Low Demand</v>
      </c>
      <c r="G84" s="351" cm="1">
        <f t="array" aca="1" ref="G84" ca="1">IF(OR(Selected_Base_Tariff="RURAFLEX",Selected_Base_Tariff="NIGHTSAVE RURAL"),SUM((TEXT('HOURLY DATA'!$B$4:$B$8763,"mmmm")=$A84)*('HOURLY DATA'!$U$4:$U$8763=1)*('HOURLY DATA'!$H$4:$H$8763)),SUM((TEXT('HOURLY DATA'!$B$4:$B$8763,"mmmm")=$A84)*('HOURLY DATA'!$G$4:$G$8763=1)*('HOURLY DATA'!$H$4:$H$8763)))</f>
        <v>1275056.8410339355</v>
      </c>
      <c r="H84" s="351" cm="1">
        <f t="array" aca="1" ref="H84" ca="1">IF(OR(Selected_Base_Tariff="RURAFLEX",Selected_Base_Tariff="NIGHTSAVE RURAL"),SUM((TEXT('HOURLY DATA'!$B$4:$B$8763,"mmmm")=$A84)*('HOURLY DATA'!$U$4:$U$8763=2)*('HOURLY DATA'!$H$4:$H$8763)),SUM((TEXT('HOURLY DATA'!$B$4:$B$8763,"mmmm")=$A84)*('HOURLY DATA'!$G$4:$G$8763=2)*('HOURLY DATA'!$H$4:$H$8763)))</f>
        <v>3342656.1524047852</v>
      </c>
      <c r="I84" s="351" cm="1">
        <f t="array" aca="1" ref="I84" ca="1">IF(OR(Selected_Base_Tariff="RURAFLEX",Selected_Base_Tariff="NIGHTSAVE RURAL"),SUM((TEXT('HOURLY DATA'!$B$4:$B$8763,"mmmm")=$A84)*('HOURLY DATA'!$U$4:$U$8763=3)*('HOURLY DATA'!$H$4:$H$8763)),SUM((TEXT('HOURLY DATA'!$B$4:$B$8763,"mmmm")=$A84)*('HOURLY DATA'!$G$4:$G$8763=3)*('HOURLY DATA'!$H$4:$H$8763)))</f>
        <v>4808972.780456543</v>
      </c>
      <c r="J84" s="351" cm="1">
        <f t="array" ref="J84">MAX(IF((TEXT('HOURLY DATA'!$B$4:$B$8763,"mmmm")=$A84)*OR('HOURLY DATA'!$G$4:$G$8763=2,'HOURLY DATA'!$G$4:$G$8763=1),'HOURLY DATA'!$M$4:$M$8763))</f>
        <v>14978.277524296316</v>
      </c>
      <c r="K84" s="351">
        <f t="shared" si="14"/>
        <v>14978.277524296316</v>
      </c>
      <c r="L84" s="366" t="str" cm="1">
        <f t="array" aca="1" ref="L84" ca="1">IF(OR($A84="June",$A84="July", $A84="August",Selected_Base_Tariff="Transflex 1", Selected_Base_Tariff="Transflex 2"),SUM((TEXT('HOURLY DATA'!$B$4:$B$8763,"mmmm")=$A84)*('HOURLY DATA'!$G$4:$G$8763=1+2)*('HOURLY DATA'!$N$4:$N$8763)),"")</f>
        <v/>
      </c>
      <c r="M84" s="352">
        <f t="shared" ca="1" si="18"/>
        <v>9426685.7738952637</v>
      </c>
      <c r="N84" s="353" cm="1">
        <f t="array" ref="N84">MAX(IF((TEXT('HOURLY DATA'!$B$4:$B$8763,"mmmm")=$A84),'HOURLY DATA'!$M$4:$M$8763))</f>
        <v>14978.277524296316</v>
      </c>
      <c r="O84" s="346">
        <f t="shared" si="15"/>
        <v>2027</v>
      </c>
      <c r="P84">
        <f t="shared" si="16"/>
        <v>2027</v>
      </c>
      <c r="Q84">
        <f t="shared" si="22"/>
        <v>2027</v>
      </c>
      <c r="R84">
        <f t="shared" si="19"/>
        <v>1</v>
      </c>
      <c r="AB84" t="s">
        <v>465</v>
      </c>
    </row>
    <row r="85" spans="1:28" hidden="1">
      <c r="A85" s="186" t="str">
        <f t="shared" si="13"/>
        <v>February</v>
      </c>
      <c r="B85" s="345"/>
      <c r="C85">
        <f t="shared" si="17"/>
        <v>28</v>
      </c>
      <c r="D85" s="64">
        <f t="shared" si="20"/>
        <v>46446</v>
      </c>
      <c r="E85" t="str">
        <f t="shared" si="21"/>
        <v>Low Demand</v>
      </c>
      <c r="G85" s="351" cm="1">
        <f t="array" aca="1" ref="G85" ca="1">IF(OR(Selected_Base_Tariff="RURAFLEX",Selected_Base_Tariff="NIGHTSAVE RURAL"),SUM((TEXT('HOURLY DATA'!$B$4:$B$8763,"mmmm")=$A85)*('HOURLY DATA'!$U$4:$U$8763=1)*('HOURLY DATA'!$H$4:$H$8763)),SUM((TEXT('HOURLY DATA'!$B$4:$B$8763,"mmmm")=$A85)*('HOURLY DATA'!$G$4:$G$8763=1)*('HOURLY DATA'!$H$4:$H$8763)))</f>
        <v>1119165.8379821777</v>
      </c>
      <c r="H85" s="351" cm="1">
        <f t="array" aca="1" ref="H85" ca="1">IF(OR(Selected_Base_Tariff="RURAFLEX",Selected_Base_Tariff="NIGHTSAVE RURAL"),SUM((TEXT('HOURLY DATA'!$B$4:$B$8763,"mmmm")=$A85)*('HOURLY DATA'!$U$4:$U$8763=2)*('HOURLY DATA'!$H$4:$H$8763)),SUM((TEXT('HOURLY DATA'!$B$4:$B$8763,"mmmm")=$A85)*('HOURLY DATA'!$G$4:$G$8763=2)*('HOURLY DATA'!$H$4:$H$8763)))</f>
        <v>2721886.6312408447</v>
      </c>
      <c r="I85" s="351" cm="1">
        <f t="array" aca="1" ref="I85" ca="1">IF(OR(Selected_Base_Tariff="RURAFLEX",Selected_Base_Tariff="NIGHTSAVE RURAL"),SUM((TEXT('HOURLY DATA'!$B$4:$B$8763,"mmmm")=$A85)*('HOURLY DATA'!$U$4:$U$8763=3)*('HOURLY DATA'!$H$4:$H$8763)),SUM((TEXT('HOURLY DATA'!$B$4:$B$8763,"mmmm")=$A85)*('HOURLY DATA'!$G$4:$G$8763=3)*('HOURLY DATA'!$H$4:$H$8763)))</f>
        <v>3473686.390712738</v>
      </c>
      <c r="J85" s="351" cm="1">
        <f t="array" ref="J85">MAX(IF((TEXT('HOURLY DATA'!$B$4:$B$8763,"mmmm")=$A85)*OR('HOURLY DATA'!$G$4:$G$8763=2,'HOURLY DATA'!$G$4:$G$8763=1),'HOURLY DATA'!$M$4:$M$8763))</f>
        <v>16542.256813102147</v>
      </c>
      <c r="K85" s="351">
        <f t="shared" si="14"/>
        <v>16542.256813102147</v>
      </c>
      <c r="L85" s="366" t="str" cm="1">
        <f t="array" aca="1" ref="L85" ca="1">IF(OR($A85="June",$A85="July", $A85="August",Selected_Base_Tariff="Transflex 1", Selected_Base_Tariff="Transflex 2"),SUM((TEXT('HOURLY DATA'!$B$4:$B$8763,"mmmm")=$A85)*('HOURLY DATA'!$G$4:$G$8763=1+2)*('HOURLY DATA'!$N$4:$N$8763)),"")</f>
        <v/>
      </c>
      <c r="M85" s="352">
        <f t="shared" ca="1" si="18"/>
        <v>7314738.8599357605</v>
      </c>
      <c r="N85" s="353" cm="1">
        <f t="array" ref="N85">MAX(IF((TEXT('HOURLY DATA'!$B$4:$B$8763,"mmmm")=$A85),'HOURLY DATA'!$M$4:$M$8763))</f>
        <v>16542.256813102147</v>
      </c>
      <c r="O85" s="346">
        <f t="shared" si="15"/>
        <v>2027</v>
      </c>
      <c r="P85">
        <f t="shared" si="16"/>
        <v>2027</v>
      </c>
      <c r="Q85">
        <f t="shared" si="22"/>
        <v>2027</v>
      </c>
      <c r="R85">
        <f t="shared" si="19"/>
        <v>2</v>
      </c>
      <c r="AB85" t="s">
        <v>466</v>
      </c>
    </row>
    <row r="86" spans="1:28" hidden="1">
      <c r="A86" s="186" t="str">
        <f t="shared" si="13"/>
        <v>March</v>
      </c>
      <c r="B86" s="345"/>
      <c r="C86">
        <f t="shared" si="17"/>
        <v>31</v>
      </c>
      <c r="D86" s="64">
        <f t="shared" si="20"/>
        <v>46477</v>
      </c>
      <c r="E86" t="str">
        <f t="shared" si="21"/>
        <v>Low Demand</v>
      </c>
      <c r="G86" s="351" cm="1">
        <f t="array" aca="1" ref="G86" ca="1">IF(OR(Selected_Base_Tariff="RURAFLEX",Selected_Base_Tariff="NIGHTSAVE RURAL"),SUM((TEXT('HOURLY DATA'!$B$4:$B$8763,"mmmm")=$A86)*('HOURLY DATA'!$U$4:$U$8763=1)*('HOURLY DATA'!$H$4:$H$8763)),SUM((TEXT('HOURLY DATA'!$B$4:$B$8763,"mmmm")=$A86)*('HOURLY DATA'!$G$4:$G$8763=1)*('HOURLY DATA'!$H$4:$H$8763)))</f>
        <v>1190167.5836791992</v>
      </c>
      <c r="H86" s="351" cm="1">
        <f t="array" aca="1" ref="H86" ca="1">IF(OR(Selected_Base_Tariff="RURAFLEX",Selected_Base_Tariff="NIGHTSAVE RURAL"),SUM((TEXT('HOURLY DATA'!$B$4:$B$8763,"mmmm")=$A86)*('HOURLY DATA'!$U$4:$U$8763=2)*('HOURLY DATA'!$H$4:$H$8763)),SUM((TEXT('HOURLY DATA'!$B$4:$B$8763,"mmmm")=$A86)*('HOURLY DATA'!$G$4:$G$8763=2)*('HOURLY DATA'!$H$4:$H$8763)))</f>
        <v>3112374.7198034665</v>
      </c>
      <c r="I86" s="351" cm="1">
        <f t="array" aca="1" ref="I86" ca="1">IF(OR(Selected_Base_Tariff="RURAFLEX",Selected_Base_Tariff="NIGHTSAVE RURAL"),SUM((TEXT('HOURLY DATA'!$B$4:$B$8763,"mmmm")=$A86)*('HOURLY DATA'!$U$4:$U$8763=3)*('HOURLY DATA'!$H$4:$H$8763)),SUM((TEXT('HOURLY DATA'!$B$4:$B$8763,"mmmm")=$A86)*('HOURLY DATA'!$G$4:$G$8763=3)*('HOURLY DATA'!$H$4:$H$8763)))</f>
        <v>4646237.933013916</v>
      </c>
      <c r="J86" s="351" cm="1">
        <f t="array" ref="J86">MAX(IF((TEXT('HOURLY DATA'!$B$4:$B$8763,"mmmm")=$A86)*OR('HOURLY DATA'!$G$4:$G$8763=2,'HOURLY DATA'!$G$4:$G$8763=1),'HOURLY DATA'!$M$4:$M$8763))</f>
        <v>15803.264294459861</v>
      </c>
      <c r="K86" s="351">
        <f t="shared" si="14"/>
        <v>15803.264294459861</v>
      </c>
      <c r="L86" s="366" t="str" cm="1">
        <f t="array" aca="1" ref="L86" ca="1">IF(OR($A86="June",$A86="July", $A86="August",Selected_Base_Tariff="Transflex 1", Selected_Base_Tariff="Transflex 2"),SUM((TEXT('HOURLY DATA'!$B$4:$B$8763,"mmmm")=$A86)*('HOURLY DATA'!$G$4:$G$8763=1+2)*('HOURLY DATA'!$N$4:$N$8763)),"")</f>
        <v/>
      </c>
      <c r="M86" s="352">
        <f t="shared" ca="1" si="18"/>
        <v>8948780.2364965826</v>
      </c>
      <c r="N86" s="353" cm="1">
        <f t="array" ref="N86">MAX(IF((TEXT('HOURLY DATA'!$B$4:$B$8763,"mmmm")=$A86),'HOURLY DATA'!$M$4:$M$8763))</f>
        <v>15803.264294459861</v>
      </c>
      <c r="O86" s="346">
        <f t="shared" si="15"/>
        <v>2027</v>
      </c>
      <c r="P86">
        <f t="shared" si="16"/>
        <v>2027</v>
      </c>
      <c r="Q86">
        <f t="shared" si="22"/>
        <v>2027</v>
      </c>
      <c r="R86">
        <f t="shared" si="19"/>
        <v>3</v>
      </c>
      <c r="AB86" t="s">
        <v>467</v>
      </c>
    </row>
    <row r="87" spans="1:28" hidden="1">
      <c r="B87" s="345"/>
      <c r="O87" s="346"/>
      <c r="AB87" t="s">
        <v>468</v>
      </c>
    </row>
    <row r="88" spans="1:28" hidden="1">
      <c r="B88" s="345"/>
      <c r="D88" s="7" t="s">
        <v>24</v>
      </c>
      <c r="E88" s="7"/>
      <c r="F88" s="7"/>
      <c r="G88" s="6">
        <f ca="1">SUM(G75:G86)</f>
        <v>14592240.098185439</v>
      </c>
      <c r="H88" s="6">
        <f ca="1">SUM(H75:H86)</f>
        <v>37954166.910823315</v>
      </c>
      <c r="I88" s="6">
        <f ca="1">SUM(I75:I86)</f>
        <v>51274970.169826508</v>
      </c>
      <c r="J88" s="6"/>
      <c r="K88" s="6"/>
      <c r="L88" s="6">
        <f ca="1">SUM(L75:L86)</f>
        <v>4144956.5667951973</v>
      </c>
      <c r="M88" s="6">
        <f ca="1">SUM(M75:M86)</f>
        <v>103821377.17883526</v>
      </c>
      <c r="O88" s="354"/>
      <c r="P88" s="40"/>
      <c r="Q88" s="40"/>
      <c r="R88" s="40"/>
      <c r="AB88" t="s">
        <v>469</v>
      </c>
    </row>
    <row r="89" spans="1:28" hidden="1">
      <c r="B89" s="345"/>
      <c r="O89" s="346"/>
    </row>
    <row r="90" spans="1:28" ht="12.6" hidden="1" thickBot="1">
      <c r="B90" s="347" t="s">
        <v>615</v>
      </c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348"/>
      <c r="P90" s="8"/>
      <c r="Q90" s="8"/>
      <c r="R90" s="8"/>
    </row>
    <row r="91" spans="1:28" ht="12.6" hidden="1" thickTop="1">
      <c r="B91" s="349"/>
      <c r="O91" s="346"/>
    </row>
    <row r="92" spans="1:28" ht="22.8" hidden="1">
      <c r="B92" s="345"/>
      <c r="C92" s="24"/>
      <c r="D92" s="22" t="s">
        <v>237</v>
      </c>
      <c r="E92" s="23" t="s">
        <v>148</v>
      </c>
      <c r="F92" s="22"/>
      <c r="G92" s="23" t="str">
        <f>G$33</f>
        <v>Peak energy</v>
      </c>
      <c r="H92" s="23" t="str">
        <f t="shared" ref="H92:M92" si="23">H$33</f>
        <v>Standard energy</v>
      </c>
      <c r="I92" s="23" t="str">
        <f t="shared" si="23"/>
        <v>Off-peak energy</v>
      </c>
      <c r="J92" s="23" t="str">
        <f t="shared" si="23"/>
        <v>Chargeable demand</v>
      </c>
      <c r="K92" s="23" t="str">
        <f t="shared" si="23"/>
        <v>Utilised capacity</v>
      </c>
      <c r="L92" s="23" t="str">
        <f t="shared" si="23"/>
        <v>Excess reactive energy</v>
      </c>
      <c r="M92" s="23" t="str">
        <f t="shared" si="23"/>
        <v>Total energy</v>
      </c>
      <c r="O92" s="346"/>
    </row>
    <row r="93" spans="1:28" hidden="1">
      <c r="B93" s="345"/>
      <c r="G93" s="355"/>
      <c r="H93" s="355"/>
      <c r="I93" s="355"/>
      <c r="J93" s="355"/>
      <c r="K93" s="355"/>
      <c r="L93" s="355"/>
      <c r="M93" s="355"/>
      <c r="O93" s="346"/>
    </row>
    <row r="94" spans="1:28" hidden="1">
      <c r="B94" s="345"/>
      <c r="D94" t="s">
        <v>21</v>
      </c>
      <c r="E94">
        <f>SUMIFS(C$36:C$47,$E$36:$E$47,$D94,$O$36:$O$47,$P94)</f>
        <v>273</v>
      </c>
      <c r="G94" s="355">
        <f t="shared" ref="G94:M95" ca="1" si="24">SUMIFS(G$75:G$86,$E$75:$E$86,$D94,$O$75:$O$86,$P94)</f>
        <v>10882644.749621291</v>
      </c>
      <c r="H94" s="355">
        <f t="shared" ca="1" si="24"/>
        <v>28326401.440370314</v>
      </c>
      <c r="I94" s="355">
        <f t="shared" ca="1" si="24"/>
        <v>39219561.323535919</v>
      </c>
      <c r="J94" s="355">
        <f t="shared" si="24"/>
        <v>142166.30655984161</v>
      </c>
      <c r="K94" s="355">
        <f t="shared" si="24"/>
        <v>142166.30655984161</v>
      </c>
      <c r="L94" s="355">
        <f t="shared" ca="1" si="24"/>
        <v>0</v>
      </c>
      <c r="M94" s="355">
        <f t="shared" ca="1" si="24"/>
        <v>78428607.513527527</v>
      </c>
      <c r="O94" s="346"/>
      <c r="P94">
        <f>YEAR(TOU_Period)</f>
        <v>2027</v>
      </c>
      <c r="Q94">
        <f>COUNTIF($E$36:$E$47,D94)</f>
        <v>9</v>
      </c>
    </row>
    <row r="95" spans="1:28" hidden="1">
      <c r="B95" s="345"/>
      <c r="D95" t="s">
        <v>22</v>
      </c>
      <c r="E95" s="355">
        <f>SUMIFS(C$36:C$47,$E$36:$E$47,$D95,$O$36:$O$47,$P95)</f>
        <v>92</v>
      </c>
      <c r="G95" s="355">
        <f t="shared" ca="1" si="24"/>
        <v>3709595.3485641479</v>
      </c>
      <c r="H95" s="355">
        <f t="shared" ca="1" si="24"/>
        <v>9627765.4704530034</v>
      </c>
      <c r="I95" s="355">
        <f t="shared" ca="1" si="24"/>
        <v>12055408.846290588</v>
      </c>
      <c r="J95" s="355">
        <f t="shared" si="24"/>
        <v>46637.326474395501</v>
      </c>
      <c r="K95" s="355">
        <f t="shared" si="24"/>
        <v>46637.326474395501</v>
      </c>
      <c r="L95" s="355">
        <f t="shared" ca="1" si="24"/>
        <v>4144956.5667951973</v>
      </c>
      <c r="M95" s="355">
        <f t="shared" ca="1" si="24"/>
        <v>25392769.665307738</v>
      </c>
      <c r="O95" s="346"/>
      <c r="P95">
        <f>YEAR(TOU_Period)</f>
        <v>2027</v>
      </c>
      <c r="Q95">
        <f>COUNTIF($E$36:$E$47,D95)</f>
        <v>3</v>
      </c>
    </row>
    <row r="96" spans="1:28" hidden="1">
      <c r="B96" s="345"/>
      <c r="G96" s="355"/>
      <c r="H96" s="355"/>
      <c r="I96" s="355"/>
      <c r="J96" s="355"/>
      <c r="K96" s="355"/>
      <c r="L96" s="355"/>
      <c r="M96" s="355"/>
      <c r="O96" s="346"/>
    </row>
    <row r="97" spans="2:18" hidden="1">
      <c r="B97" s="345"/>
      <c r="D97" s="7" t="s">
        <v>24</v>
      </c>
      <c r="E97" s="6">
        <f>SUM(E94:E95)</f>
        <v>365</v>
      </c>
      <c r="F97" s="7"/>
      <c r="G97" s="6">
        <f ca="1">SUM(G94:G95)</f>
        <v>14592240.098185439</v>
      </c>
      <c r="H97" s="6">
        <f ca="1">SUM(H94:H95)</f>
        <v>37954166.910823315</v>
      </c>
      <c r="I97" s="6">
        <f ca="1">SUM(I94:I95)</f>
        <v>51274970.169826508</v>
      </c>
      <c r="J97" s="6"/>
      <c r="K97" s="6"/>
      <c r="L97" s="6">
        <f ca="1">SUM(L94:L95)</f>
        <v>4144956.5667951973</v>
      </c>
      <c r="M97" s="6">
        <f ca="1">SUM(M94:M95)</f>
        <v>103821377.17883527</v>
      </c>
      <c r="O97" s="346"/>
    </row>
    <row r="98" spans="2:18" hidden="1">
      <c r="B98" s="345"/>
      <c r="O98" s="346"/>
    </row>
    <row r="99" spans="2:18" hidden="1">
      <c r="B99" s="345"/>
      <c r="O99" s="346"/>
    </row>
    <row r="100" spans="2:18" hidden="1">
      <c r="B100" s="345"/>
      <c r="C100" s="3" t="s">
        <v>428</v>
      </c>
      <c r="O100" s="346"/>
    </row>
    <row r="101" spans="2:18" hidden="1">
      <c r="B101" s="345"/>
      <c r="C101" s="418" t="s">
        <v>427</v>
      </c>
      <c r="D101" s="419"/>
      <c r="E101" s="419"/>
      <c r="F101" s="419"/>
      <c r="G101" s="420"/>
      <c r="O101" s="346"/>
    </row>
    <row r="102" spans="2:18" hidden="1">
      <c r="B102" s="345"/>
      <c r="C102" s="421"/>
      <c r="D102" s="422"/>
      <c r="E102" s="422"/>
      <c r="F102" s="422"/>
      <c r="G102" s="423"/>
      <c r="O102" s="346"/>
    </row>
    <row r="103" spans="2:18" hidden="1">
      <c r="B103" s="345"/>
      <c r="C103" s="421"/>
      <c r="D103" s="422"/>
      <c r="E103" s="422"/>
      <c r="F103" s="422"/>
      <c r="G103" s="423"/>
      <c r="O103" s="346"/>
    </row>
    <row r="104" spans="2:18" hidden="1">
      <c r="B104" s="345"/>
      <c r="C104" s="424"/>
      <c r="D104" s="425"/>
      <c r="E104" s="425"/>
      <c r="F104" s="425"/>
      <c r="G104" s="426"/>
      <c r="O104" s="346"/>
    </row>
    <row r="105" spans="2:18" hidden="1">
      <c r="B105" s="345"/>
      <c r="O105" s="346"/>
    </row>
    <row r="106" spans="2:18" hidden="1">
      <c r="B106" s="345"/>
      <c r="O106" s="346"/>
    </row>
    <row r="107" spans="2:18" hidden="1">
      <c r="B107" s="345"/>
      <c r="O107" s="346"/>
    </row>
    <row r="108" spans="2:18" hidden="1">
      <c r="B108" s="345"/>
      <c r="O108" s="346"/>
    </row>
    <row r="109" spans="2:18" hidden="1">
      <c r="B109" s="345"/>
      <c r="O109" s="346"/>
    </row>
    <row r="110" spans="2:18" hidden="1">
      <c r="B110" s="345"/>
      <c r="O110" s="346"/>
      <c r="P110">
        <f>IF(D117&lt;=TOU_Period,YEAR(TOU_Period),YEAR(TOU_Period)+1)</f>
        <v>2027</v>
      </c>
    </row>
    <row r="111" spans="2:18">
      <c r="B111" s="345"/>
      <c r="O111" s="346"/>
    </row>
    <row r="112" spans="2:18" ht="12.6" thickBot="1">
      <c r="B112" s="347" t="s">
        <v>616</v>
      </c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348"/>
      <c r="P112" s="8"/>
      <c r="Q112" s="8"/>
      <c r="R112" s="8"/>
    </row>
    <row r="113" spans="1:18" ht="12.6" thickTop="1">
      <c r="B113" s="349"/>
      <c r="O113" s="346"/>
    </row>
    <row r="114" spans="1:18" ht="24">
      <c r="B114" s="345"/>
      <c r="G114" s="1" t="s">
        <v>14</v>
      </c>
      <c r="H114" s="1" t="s">
        <v>15</v>
      </c>
      <c r="I114" s="1" t="s">
        <v>16</v>
      </c>
      <c r="J114" s="1" t="s">
        <v>17</v>
      </c>
      <c r="K114" s="1" t="s">
        <v>319</v>
      </c>
      <c r="L114" s="1" t="s">
        <v>239</v>
      </c>
      <c r="M114" s="1" t="s">
        <v>238</v>
      </c>
      <c r="N114" s="1" t="s">
        <v>578</v>
      </c>
      <c r="O114" s="350" t="s">
        <v>308</v>
      </c>
      <c r="P114" s="1" t="s">
        <v>23</v>
      </c>
      <c r="Q114" s="1" t="s">
        <v>25</v>
      </c>
      <c r="R114" s="1" t="s">
        <v>307</v>
      </c>
    </row>
    <row r="115" spans="1:18" ht="12.6" thickBot="1">
      <c r="B115" s="345"/>
      <c r="D115" s="10" t="s">
        <v>236</v>
      </c>
      <c r="E115" s="10" t="s">
        <v>237</v>
      </c>
      <c r="F115" s="13"/>
      <c r="G115" s="14" t="s">
        <v>18</v>
      </c>
      <c r="H115" s="14" t="s">
        <v>18</v>
      </c>
      <c r="I115" s="14" t="s">
        <v>18</v>
      </c>
      <c r="J115" s="14" t="s">
        <v>19</v>
      </c>
      <c r="K115" s="14" t="s">
        <v>19</v>
      </c>
      <c r="L115" s="14" t="s">
        <v>20</v>
      </c>
      <c r="M115" s="14" t="s">
        <v>18</v>
      </c>
      <c r="N115" s="14" t="s">
        <v>19</v>
      </c>
      <c r="O115" s="346"/>
    </row>
    <row r="116" spans="1:18">
      <c r="B116" s="345"/>
      <c r="O116" s="346"/>
    </row>
    <row r="117" spans="1:18">
      <c r="A117" s="186" t="str">
        <f t="shared" ref="A117:A128" si="25">TEXT(D117, "mmmm")</f>
        <v>April</v>
      </c>
      <c r="B117" s="345"/>
      <c r="C117">
        <f>D117-EOMONTH(D117,-1)</f>
        <v>30</v>
      </c>
      <c r="D117" s="64">
        <f>DATE(YEAR(Period)-1,R117+1,)</f>
        <v>46142</v>
      </c>
      <c r="E117" t="str">
        <f>INDEX(List_Seasons,R117,0)</f>
        <v>Low Demand</v>
      </c>
      <c r="G117" s="351" cm="1">
        <f t="array" aca="1" ref="G117" ca="1">IF(OR(Selected_Base_Tariff="RURAFLEX",Selected_Base_Tariff="NIGHTSAVE RURAL"),SUM((TEXT('HOURLY DATA'!$B$4:$B$8763,"mmmm")=$A117)*('HOURLY DATA'!$V$4:$V$8763=1)*('HOURLY DATA'!$H$4:$H$8763)),SUM((TEXT('HOURLY DATA'!$B$4:$B$8763,"mmmm")=$A117)*('HOURLY DATA'!$F$4:$F$8763=1)*('HOURLY DATA'!$H$4:$H$8763)))</f>
        <v>1155687.270111084</v>
      </c>
      <c r="H117" s="351" cm="1">
        <f t="array" aca="1" ref="H117" ca="1">IF(OR(Selected_Base_Tariff="RURAFLEX",Selected_Base_Tariff="NIGHTSAVE RURAL"),SUM((TEXT('HOURLY DATA'!$B$4:$B$8763,"mmmm")=$A117)*('HOURLY DATA'!$V$4:$V$8763=2)*('HOURLY DATA'!$H$4:$H$8763)),SUM((TEXT('HOURLY DATA'!$B$4:$B$8763,"mmmm")=$A117)*('HOURLY DATA'!$F$4:$F$8763=2)*('HOURLY DATA'!$H$4:$H$8763)))</f>
        <v>3147409.2007456776</v>
      </c>
      <c r="I117" s="351" cm="1">
        <f t="array" aca="1" ref="I117" ca="1">IF(OR(Selected_Base_Tariff="RURAFLEX",Selected_Base_Tariff="NIGHTSAVE RURAL"),SUM((TEXT('HOURLY DATA'!$B$4:$B$8763,"mmmm")=$A117)*('HOURLY DATA'!$V$4:$V$8763=3)*('HOURLY DATA'!$H$4:$H$8763)),SUM((TEXT('HOURLY DATA'!$B$4:$B$8763,"mmmm")=$A117)*('HOURLY DATA'!$F$4:$F$8763=3)*('HOURLY DATA'!$H$4:$H$8763)))</f>
        <v>4720805.3177490234</v>
      </c>
      <c r="J117" s="351" cm="1">
        <f t="array" ref="J117">MAX(IF((TEXT('HOURLY DATA'!$B$4:$B$8763,"mmmm")=$A117)*OR('HOURLY DATA'!$F$4:$F$8763=2,'HOURLY DATA'!$F$4:$F$8763=1),'HOURLY DATA'!$M$4:$M$8763))</f>
        <v>14316.819128286515</v>
      </c>
      <c r="K117" s="351">
        <f t="shared" ref="K117:K128" si="26">MAX(N117,$G$27)</f>
        <v>14316.819128286515</v>
      </c>
      <c r="L117" s="351" t="str" cm="1">
        <f t="array" aca="1" ref="L117" ca="1">IF(OR($A117="June",$A117="July", $A117="August",Selected_Base_Tariff="Transflex 1", Selected_Base_Tariff="Transflex 2"),SUM((TEXT('HOURLY DATA'!$B$4:$B$8763,"mmmm")=$A117)*('HOURLY DATA'!$F$4:$F$8763=1+2)*('HOURLY DATA'!$N$4:$N$8763)),"")</f>
        <v/>
      </c>
      <c r="M117" s="352">
        <f ca="1">SUM($G117:$I117)</f>
        <v>9023901.788605785</v>
      </c>
      <c r="N117" s="353" cm="1">
        <f t="array" ref="N117">MAX(IF((TEXT('HOURLY DATA'!$B$4:$B$8763,"mmmm")=$A117),'HOURLY DATA'!$M$4:$M$8763))</f>
        <v>14316.819128286515</v>
      </c>
      <c r="O117" s="346">
        <f t="shared" ref="O117:O128" si="27">INDEX(P117:Q117,0,Selected_Tariff_Category_ID)</f>
        <v>2027</v>
      </c>
      <c r="P117">
        <f t="shared" ref="P117:P128" si="28">IF(D117&lt;=TOU_Period,YEAR(TOU_Period),YEAR(TOU_Period)+1)</f>
        <v>2027</v>
      </c>
      <c r="Q117">
        <f>IF(Selected_Tariff_Category_ID = 2, YEAR(Municipality_Period), IF(D117&lt;=EOMONTH(Municipality_Period,-12),YEAR(Municipality_Period)-1,YEAR(Municipality_Period)))</f>
        <v>2026</v>
      </c>
      <c r="R117">
        <f>MONTH(Period)+IF(Selected_Tariff_Category_ID=2, 4, 1)</f>
        <v>4</v>
      </c>
    </row>
    <row r="118" spans="1:18">
      <c r="A118" s="186" t="str">
        <f t="shared" si="25"/>
        <v>May</v>
      </c>
      <c r="B118" s="345"/>
      <c r="C118">
        <f t="shared" ref="C118:C128" si="29">D118-EOMONTH(D118,-1)</f>
        <v>31</v>
      </c>
      <c r="D118" s="64">
        <f>EOMONTH(D117,1)</f>
        <v>46173</v>
      </c>
      <c r="E118" t="str">
        <f>INDEX(List_Seasons,R118,0)</f>
        <v>Low Demand</v>
      </c>
      <c r="G118" s="351" cm="1">
        <f t="array" aca="1" ref="G118" ca="1">IF(OR(Selected_Base_Tariff="RURAFLEX",Selected_Base_Tariff="NIGHTSAVE RURAL"),SUM((TEXT('HOURLY DATA'!$B$4:$B$8763,"mmmm")=$A118)*('HOURLY DATA'!$V$4:$V$8763=1)*('HOURLY DATA'!$H$4:$H$8763)),SUM((TEXT('HOURLY DATA'!$B$4:$B$8763,"mmmm")=$A118)*('HOURLY DATA'!$F$4:$F$8763=1)*('HOURLY DATA'!$H$4:$H$8763)))</f>
        <v>1289422.9617919922</v>
      </c>
      <c r="H118" s="351" cm="1">
        <f t="array" aca="1" ref="H118" ca="1">IF(OR(Selected_Base_Tariff="RURAFLEX",Selected_Base_Tariff="NIGHTSAVE RURAL"),SUM((TEXT('HOURLY DATA'!$B$4:$B$8763,"mmmm")=$A118)*('HOURLY DATA'!$V$4:$V$8763=2)*('HOURLY DATA'!$H$4:$H$8763)),SUM((TEXT('HOURLY DATA'!$B$4:$B$8763,"mmmm")=$A118)*('HOURLY DATA'!$F$4:$F$8763=2)*('HOURLY DATA'!$H$4:$H$8763)))</f>
        <v>3409054.7205505371</v>
      </c>
      <c r="I118" s="351" cm="1">
        <f t="array" aca="1" ref="I118" ca="1">IF(OR(Selected_Base_Tariff="RURAFLEX",Selected_Base_Tariff="NIGHTSAVE RURAL"),SUM((TEXT('HOURLY DATA'!$B$4:$B$8763,"mmmm")=$A118)*('HOURLY DATA'!$V$4:$V$8763=3)*('HOURLY DATA'!$H$4:$H$8763)),SUM((TEXT('HOURLY DATA'!$B$4:$B$8763,"mmmm")=$A118)*('HOURLY DATA'!$F$4:$F$8763=3)*('HOURLY DATA'!$H$4:$H$8763)))</f>
        <v>4704049.6041488647</v>
      </c>
      <c r="J118" s="351" cm="1">
        <f t="array" ref="J118">MAX(IF((TEXT('HOURLY DATA'!$B$4:$B$8763,"mmmm")=$A118)*OR('HOURLY DATA'!$F$4:$F$8763=2,'HOURLY DATA'!$F$4:$F$8763=1),'HOURLY DATA'!$M$4:$M$8763))</f>
        <v>14141.118815542899</v>
      </c>
      <c r="K118" s="351">
        <f t="shared" si="26"/>
        <v>14141.118815542899</v>
      </c>
      <c r="L118" s="351" t="str" cm="1">
        <f t="array" aca="1" ref="L118" ca="1">IF(OR($A118="June",$A118="July", $A118="August",Selected_Base_Tariff="Transflex 1", Selected_Base_Tariff="Transflex 2"),SUM((TEXT('HOURLY DATA'!$B$4:$B$8763,"mmmm")=$A118)*('HOURLY DATA'!$F$4:$F$8763=1+2)*('HOURLY DATA'!$N$4:$N$8763)),"")</f>
        <v/>
      </c>
      <c r="M118" s="352">
        <f t="shared" ref="M118:M128" ca="1" si="30">SUM($G118:$I118)</f>
        <v>9402527.286491394</v>
      </c>
      <c r="N118" s="353" cm="1">
        <f t="array" ref="N118">MAX(IF((TEXT('HOURLY DATA'!$B$4:$B$8763,"mmmm")=$A118),'HOURLY DATA'!$M$4:$M$8763))</f>
        <v>14141.118815542899</v>
      </c>
      <c r="O118" s="346">
        <f t="shared" si="27"/>
        <v>2027</v>
      </c>
      <c r="P118">
        <f t="shared" si="28"/>
        <v>2027</v>
      </c>
      <c r="Q118">
        <f>IF(Selected_Tariff_Category_ID = 2, YEAR(Municipality_Period), IF(D118&lt;=EOMONTH(Municipality_Period,-12),YEAR(Municipality_Period)-1,YEAR(Municipality_Period)))</f>
        <v>2026</v>
      </c>
      <c r="R118">
        <f t="shared" ref="R118:R128" si="31">MONTH(D118)</f>
        <v>5</v>
      </c>
    </row>
    <row r="119" spans="1:18">
      <c r="A119" s="186" t="str">
        <f t="shared" si="25"/>
        <v>June</v>
      </c>
      <c r="B119" s="345"/>
      <c r="C119">
        <f t="shared" si="29"/>
        <v>30</v>
      </c>
      <c r="D119" s="64">
        <f t="shared" ref="D119:D128" si="32">EOMONTH(D118,1)</f>
        <v>46203</v>
      </c>
      <c r="E119" t="str">
        <f>INDEX(List_Seasons,R119,0)</f>
        <v>High Demand</v>
      </c>
      <c r="G119" s="351" cm="1">
        <f t="array" aca="1" ref="G119" ca="1">IF(OR(Selected_Base_Tariff="RURAFLEX",Selected_Base_Tariff="NIGHTSAVE RURAL"),SUM((TEXT('HOURLY DATA'!$B$4:$B$8763,"mmmm")=$A119)*('HOURLY DATA'!$V$4:$V$8763=1)*('HOURLY DATA'!$H$4:$H$8763)),SUM((TEXT('HOURLY DATA'!$B$4:$B$8763,"mmmm")=$A119)*('HOURLY DATA'!$F$4:$F$8763=1)*('HOURLY DATA'!$H$4:$H$8763)))</f>
        <v>1206351.8733062744</v>
      </c>
      <c r="H119" s="351" cm="1">
        <f t="array" aca="1" ref="H119" ca="1">IF(OR(Selected_Base_Tariff="RURAFLEX",Selected_Base_Tariff="NIGHTSAVE RURAL"),SUM((TEXT('HOURLY DATA'!$B$4:$B$8763,"mmmm")=$A119)*('HOURLY DATA'!$V$4:$V$8763=2)*('HOURLY DATA'!$H$4:$H$8763)),SUM((TEXT('HOURLY DATA'!$B$4:$B$8763,"mmmm")=$A119)*('HOURLY DATA'!$F$4:$F$8763=2)*('HOURLY DATA'!$H$4:$H$8763)))</f>
        <v>3152362.3751220703</v>
      </c>
      <c r="I119" s="351" cm="1">
        <f t="array" aca="1" ref="I119" ca="1">IF(OR(Selected_Base_Tariff="RURAFLEX",Selected_Base_Tariff="NIGHTSAVE RURAL"),SUM((TEXT('HOURLY DATA'!$B$4:$B$8763,"mmmm")=$A119)*('HOURLY DATA'!$V$4:$V$8763=3)*('HOURLY DATA'!$H$4:$H$8763)),SUM((TEXT('HOURLY DATA'!$B$4:$B$8763,"mmmm")=$A119)*('HOURLY DATA'!$F$4:$F$8763=3)*('HOURLY DATA'!$H$4:$H$8763)))</f>
        <v>3909578.5521469116</v>
      </c>
      <c r="J119" s="351" cm="1">
        <f t="array" ref="J119">MAX(IF((TEXT('HOURLY DATA'!$B$4:$B$8763,"mmmm")=$A119)*OR('HOURLY DATA'!$F$4:$F$8763=2,'HOURLY DATA'!$F$4:$F$8763=1),'HOURLY DATA'!$M$4:$M$8763))</f>
        <v>14898.507556827093</v>
      </c>
      <c r="K119" s="351">
        <f t="shared" si="26"/>
        <v>14898.507556827093</v>
      </c>
      <c r="L119" s="351" cm="1">
        <f t="array" aca="1" ref="L119" ca="1">IF(OR($A119="June",$A119="July",$A119="August",Selected_Base_Tariff="Transflex 1",Selected_Base_Tariff="Transflex 2"),IF(OR(Selected_Base_Tariff="Megaflex",Selected_Base_Tariff="Municflex"),(SUM((TEXT('HOURLY DATA'!$B$4:$B$8763,"mmmm")=$A119)*('HOURLY DATA'!$F$4:$F$8763=1)*('HOURLY DATA'!$N$4:$N$8763))+SUM((TEXT('HOURLY DATA'!$B$4:$B$8763,"mmmm")=$A119)*('HOURLY DATA'!$F$4:$F$8763=2)*('HOURLY DATA'!$N$4:$N$8763))),SUM((TEXT('HOURLY DATA'!$B$4:$B$8763,"mmmm")=$A119)*('HOURLY DATA'!$F$4:$F$8763)*('HOURLY DATA'!$N$4:$N$8763))))</f>
        <v>85413.571795654338</v>
      </c>
      <c r="M119" s="352">
        <f t="shared" ca="1" si="30"/>
        <v>8268292.8005752563</v>
      </c>
      <c r="N119" s="353" cm="1">
        <f t="array" ref="N119">MAX(IF((TEXT('HOURLY DATA'!$B$4:$B$8763,"mmmm")=$A119),'HOURLY DATA'!$M$4:$M$8763))</f>
        <v>14898.507556827093</v>
      </c>
      <c r="O119" s="346">
        <f t="shared" si="27"/>
        <v>2027</v>
      </c>
      <c r="P119">
        <f t="shared" si="28"/>
        <v>2027</v>
      </c>
      <c r="Q119">
        <f>IF(Selected_Tariff_Category_ID = 2, YEAR(Municipality_Period), IF(D119&lt;=EOMONTH(Municipality_Period,-12),YEAR(Municipality_Period)-1,YEAR(Municipality_Period)))</f>
        <v>2026</v>
      </c>
      <c r="R119">
        <f t="shared" si="31"/>
        <v>6</v>
      </c>
    </row>
    <row r="120" spans="1:18">
      <c r="A120" s="186" t="str">
        <f t="shared" si="25"/>
        <v>July</v>
      </c>
      <c r="B120" s="345"/>
      <c r="C120">
        <f t="shared" si="29"/>
        <v>31</v>
      </c>
      <c r="D120" s="64">
        <f t="shared" si="32"/>
        <v>46234</v>
      </c>
      <c r="E120" t="str">
        <f t="shared" ref="E120:E128" si="33">INDEX(List_Seasons,R120,0)</f>
        <v>High Demand</v>
      </c>
      <c r="G120" s="351" cm="1">
        <f t="array" aca="1" ref="G120" ca="1">IF(OR(Selected_Base_Tariff="RURAFLEX",Selected_Base_Tariff="NIGHTSAVE RURAL"),SUM((TEXT('HOURLY DATA'!$B$4:$B$8763,"mmmm")=$A120)*('HOURLY DATA'!$V$4:$V$8763=1)*('HOURLY DATA'!$H$4:$H$8763)),SUM((TEXT('HOURLY DATA'!$B$4:$B$8763,"mmmm")=$A120)*('HOURLY DATA'!$F$4:$F$8763=1)*('HOURLY DATA'!$H$4:$H$8763)))</f>
        <v>1485576.7768554688</v>
      </c>
      <c r="H120" s="351" cm="1">
        <f t="array" aca="1" ref="H120" ca="1">IF(OR(Selected_Base_Tariff="RURAFLEX",Selected_Base_Tariff="NIGHTSAVE RURAL"),SUM((TEXT('HOURLY DATA'!$B$4:$B$8763,"mmmm")=$A120)*('HOURLY DATA'!$V$4:$V$8763=2)*('HOURLY DATA'!$H$4:$H$8763)),SUM((TEXT('HOURLY DATA'!$B$4:$B$8763,"mmmm")=$A120)*('HOURLY DATA'!$F$4:$F$8763=2)*('HOURLY DATA'!$H$4:$H$8763)))</f>
        <v>3694241.0331115723</v>
      </c>
      <c r="I120" s="351" cm="1">
        <f t="array" aca="1" ref="I120" ca="1">IF(OR(Selected_Base_Tariff="RURAFLEX",Selected_Base_Tariff="NIGHTSAVE RURAL"),SUM((TEXT('HOURLY DATA'!$B$4:$B$8763,"mmmm")=$A120)*('HOURLY DATA'!$V$4:$V$8763=3)*('HOURLY DATA'!$H$4:$H$8763)),SUM((TEXT('HOURLY DATA'!$B$4:$B$8763,"mmmm")=$A120)*('HOURLY DATA'!$F$4:$F$8763=3)*('HOURLY DATA'!$H$4:$H$8763)))</f>
        <v>4379669.7303161621</v>
      </c>
      <c r="J120" s="351" cm="1">
        <f t="array" ref="J120">MAX(IF((TEXT('HOURLY DATA'!$B$4:$B$8763,"mmmm")=$A120)*OR('HOURLY DATA'!$F$4:$F$8763=2,'HOURLY DATA'!$F$4:$F$8763=1),'HOURLY DATA'!$M$4:$M$8763))</f>
        <v>15055.205121411609</v>
      </c>
      <c r="K120" s="351">
        <f t="shared" si="26"/>
        <v>15055.205121411609</v>
      </c>
      <c r="L120" s="351" cm="1">
        <f t="array" aca="1" ref="L120" ca="1">IF(OR($A120="June",$A120="July",$A120="August",Selected_Base_Tariff="Transflex 1",Selected_Base_Tariff="Transflex 2"),IF(OR(Selected_Base_Tariff="Megaflex",Selected_Base_Tariff="Municflex"),(SUM((TEXT('HOURLY DATA'!$B$4:$B$8763,"mmmm")=$A120)*('HOURLY DATA'!$F$4:$F$8763=1)*('HOURLY DATA'!$N$4:$N$8763))+SUM((TEXT('HOURLY DATA'!$B$4:$B$8763,"mmmm")=$A120)*('HOURLY DATA'!$F$4:$F$8763=2)*('HOURLY DATA'!$N$4:$N$8763))),SUM((TEXT('HOURLY DATA'!$B$4:$B$8763,"mmmm")=$A120)*('HOURLY DATA'!$F$4:$F$8763)*('HOURLY DATA'!$N$4:$N$8763))))</f>
        <v>535328.07839965797</v>
      </c>
      <c r="M120" s="352">
        <f t="shared" ca="1" si="30"/>
        <v>9559487.5402832031</v>
      </c>
      <c r="N120" s="353" cm="1">
        <f t="array" ref="N120">MAX(IF((TEXT('HOURLY DATA'!$B$4:$B$8763,"mmmm")=$A120),'HOURLY DATA'!$M$4:$M$8763))</f>
        <v>15055.205121411609</v>
      </c>
      <c r="O120" s="346">
        <f t="shared" si="27"/>
        <v>2027</v>
      </c>
      <c r="P120">
        <f t="shared" si="28"/>
        <v>2027</v>
      </c>
      <c r="Q120">
        <f t="shared" ref="Q120:Q128" si="34">IF(D120&lt;=EOMONTH(Municipality_Period,-12),YEAR(Municipality_Period)-1,YEAR(Municipality_Period))</f>
        <v>2027</v>
      </c>
      <c r="R120">
        <f t="shared" si="31"/>
        <v>7</v>
      </c>
    </row>
    <row r="121" spans="1:18">
      <c r="A121" s="186" t="str">
        <f t="shared" si="25"/>
        <v>August</v>
      </c>
      <c r="B121" s="345"/>
      <c r="C121">
        <f t="shared" si="29"/>
        <v>31</v>
      </c>
      <c r="D121" s="64">
        <f t="shared" si="32"/>
        <v>46265</v>
      </c>
      <c r="E121" t="str">
        <f t="shared" si="33"/>
        <v>High Demand</v>
      </c>
      <c r="G121" s="351" cm="1">
        <f t="array" aca="1" ref="G121" ca="1">IF(OR(Selected_Base_Tariff="RURAFLEX",Selected_Base_Tariff="NIGHTSAVE RURAL"),SUM((TEXT('HOURLY DATA'!$B$4:$B$8763,"mmmm")=$A121)*('HOURLY DATA'!$V$4:$V$8763=1)*('HOURLY DATA'!$H$4:$H$8763)),SUM((TEXT('HOURLY DATA'!$B$4:$B$8763,"mmmm")=$A121)*('HOURLY DATA'!$F$4:$F$8763=1)*('HOURLY DATA'!$H$4:$H$8763)))</f>
        <v>1017666.6984024048</v>
      </c>
      <c r="H121" s="351" cm="1">
        <f t="array" aca="1" ref="H121" ca="1">IF(OR(Selected_Base_Tariff="RURAFLEX",Selected_Base_Tariff="NIGHTSAVE RURAL"),SUM((TEXT('HOURLY DATA'!$B$4:$B$8763,"mmmm")=$A121)*('HOURLY DATA'!$V$4:$V$8763=2)*('HOURLY DATA'!$H$4:$H$8763)),SUM((TEXT('HOURLY DATA'!$B$4:$B$8763,"mmmm")=$A121)*('HOURLY DATA'!$F$4:$F$8763=2)*('HOURLY DATA'!$H$4:$H$8763)))</f>
        <v>2781162.0622193604</v>
      </c>
      <c r="I121" s="351" cm="1">
        <f t="array" aca="1" ref="I121" ca="1">IF(OR(Selected_Base_Tariff="RURAFLEX",Selected_Base_Tariff="NIGHTSAVE RURAL"),SUM((TEXT('HOURLY DATA'!$B$4:$B$8763,"mmmm")=$A121)*('HOURLY DATA'!$V$4:$V$8763=3)*('HOURLY DATA'!$H$4:$H$8763)),SUM((TEXT('HOURLY DATA'!$B$4:$B$8763,"mmmm")=$A121)*('HOURLY DATA'!$F$4:$F$8763=3)*('HOURLY DATA'!$H$4:$H$8763)))</f>
        <v>3766160.5638275146</v>
      </c>
      <c r="J121" s="351" cm="1">
        <f t="array" ref="J121">MAX(IF((TEXT('HOURLY DATA'!$B$4:$B$8763,"mmmm")=$A121)*OR('HOURLY DATA'!$F$4:$F$8763=2,'HOURLY DATA'!$F$4:$F$8763=1),'HOURLY DATA'!$M$4:$M$8763))</f>
        <v>16683.613796156798</v>
      </c>
      <c r="K121" s="351">
        <f t="shared" si="26"/>
        <v>16683.613796156798</v>
      </c>
      <c r="L121" s="351" cm="1">
        <f t="array" aca="1" ref="L121" ca="1">IF(OR($A121="June",$A121="July",$A121="August",Selected_Base_Tariff="Transflex 1",Selected_Base_Tariff="Transflex 2"),IF(OR(Selected_Base_Tariff="Megaflex",Selected_Base_Tariff="Municflex"),(SUM((TEXT('HOURLY DATA'!$B$4:$B$8763,"mmmm")=$A121)*('HOURLY DATA'!$F$4:$F$8763=1)*('HOURLY DATA'!$N$4:$N$8763))+SUM((TEXT('HOURLY DATA'!$B$4:$B$8763,"mmmm")=$A121)*('HOURLY DATA'!$F$4:$F$8763=2)*('HOURLY DATA'!$N$4:$N$8763))),SUM((TEXT('HOURLY DATA'!$B$4:$B$8763,"mmmm")=$A121)*('HOURLY DATA'!$F$4:$F$8763)*('HOURLY DATA'!$N$4:$N$8763))))</f>
        <v>3524214.9165998851</v>
      </c>
      <c r="M121" s="352">
        <f t="shared" ca="1" si="30"/>
        <v>7564989.3244492803</v>
      </c>
      <c r="N121" s="353" cm="1">
        <f t="array" ref="N121">MAX(IF((TEXT('HOURLY DATA'!$B$4:$B$8763,"mmmm")=$A121),'HOURLY DATA'!$M$4:$M$8763))</f>
        <v>16683.613796156798</v>
      </c>
      <c r="O121" s="346">
        <f t="shared" si="27"/>
        <v>2027</v>
      </c>
      <c r="P121">
        <f t="shared" si="28"/>
        <v>2027</v>
      </c>
      <c r="Q121">
        <f t="shared" si="34"/>
        <v>2027</v>
      </c>
      <c r="R121">
        <f t="shared" si="31"/>
        <v>8</v>
      </c>
    </row>
    <row r="122" spans="1:18">
      <c r="A122" s="186" t="str">
        <f t="shared" si="25"/>
        <v>September</v>
      </c>
      <c r="B122" s="345"/>
      <c r="C122">
        <f t="shared" si="29"/>
        <v>30</v>
      </c>
      <c r="D122" s="64">
        <f t="shared" si="32"/>
        <v>46295</v>
      </c>
      <c r="E122" t="str">
        <f t="shared" si="33"/>
        <v>Low Demand</v>
      </c>
      <c r="G122" s="351" cm="1">
        <f t="array" aca="1" ref="G122" ca="1">IF(OR(Selected_Base_Tariff="RURAFLEX",Selected_Base_Tariff="NIGHTSAVE RURAL"),SUM((TEXT('HOURLY DATA'!$B$4:$B$8763,"mmmm")=$A122)*('HOURLY DATA'!$V$4:$V$8763=1)*('HOURLY DATA'!$H$4:$H$8763)),SUM((TEXT('HOURLY DATA'!$B$4:$B$8763,"mmmm")=$A122)*('HOURLY DATA'!$F$4:$F$8763=1)*('HOURLY DATA'!$H$4:$H$8763)))</f>
        <v>1197758.7837524414</v>
      </c>
      <c r="H122" s="351" cm="1">
        <f t="array" aca="1" ref="H122" ca="1">IF(OR(Selected_Base_Tariff="RURAFLEX",Selected_Base_Tariff="NIGHTSAVE RURAL"),SUM((TEXT('HOURLY DATA'!$B$4:$B$8763,"mmmm")=$A122)*('HOURLY DATA'!$V$4:$V$8763=2)*('HOURLY DATA'!$H$4:$H$8763)),SUM((TEXT('HOURLY DATA'!$B$4:$B$8763,"mmmm")=$A122)*('HOURLY DATA'!$F$4:$F$8763=2)*('HOURLY DATA'!$H$4:$H$8763)))</f>
        <v>3126564.2872619629</v>
      </c>
      <c r="I122" s="351" cm="1">
        <f t="array" aca="1" ref="I122" ca="1">IF(OR(Selected_Base_Tariff="RURAFLEX",Selected_Base_Tariff="NIGHTSAVE RURAL"),SUM((TEXT('HOURLY DATA'!$B$4:$B$8763,"mmmm")=$A122)*('HOURLY DATA'!$V$4:$V$8763=3)*('HOURLY DATA'!$H$4:$H$8763)),SUM((TEXT('HOURLY DATA'!$B$4:$B$8763,"mmmm")=$A122)*('HOURLY DATA'!$F$4:$F$8763=3)*('HOURLY DATA'!$H$4:$H$8763)))</f>
        <v>4035114.8547058105</v>
      </c>
      <c r="J122" s="351" cm="1">
        <f t="array" ref="J122">MAX(IF((TEXT('HOURLY DATA'!$B$4:$B$8763,"mmmm")=$A122)*OR('HOURLY DATA'!$F$4:$F$8763=2,'HOURLY DATA'!$F$4:$F$8763=1),'HOURLY DATA'!$M$4:$M$8763))</f>
        <v>16609.482103468694</v>
      </c>
      <c r="K122" s="351">
        <f t="shared" si="26"/>
        <v>16609.482103468694</v>
      </c>
      <c r="L122" s="351" t="str" cm="1">
        <f t="array" aca="1" ref="L122" ca="1">IF(OR($A122="June",$A122="July", $A122="August",Selected_Base_Tariff="Transflex 1", Selected_Base_Tariff="Transflex 2"),SUM((TEXT('HOURLY DATA'!$B$4:$B$8763,"mmmm")=$A122)*('HOURLY DATA'!$F$4:$F$8763=1+2)*('HOURLY DATA'!$N$4:$N$8763)),"")</f>
        <v/>
      </c>
      <c r="M122" s="352">
        <f t="shared" ca="1" si="30"/>
        <v>8359437.9257202148</v>
      </c>
      <c r="N122" s="353" cm="1">
        <f t="array" ref="N122">MAX(IF((TEXT('HOURLY DATA'!$B$4:$B$8763,"mmmm")=$A122),'HOURLY DATA'!$M$4:$M$8763))</f>
        <v>16609.482103468694</v>
      </c>
      <c r="O122" s="346">
        <f t="shared" si="27"/>
        <v>2027</v>
      </c>
      <c r="P122">
        <f t="shared" si="28"/>
        <v>2027</v>
      </c>
      <c r="Q122">
        <f t="shared" si="34"/>
        <v>2027</v>
      </c>
      <c r="R122">
        <f t="shared" si="31"/>
        <v>9</v>
      </c>
    </row>
    <row r="123" spans="1:18">
      <c r="A123" s="186" t="str">
        <f t="shared" si="25"/>
        <v>October</v>
      </c>
      <c r="B123" s="345"/>
      <c r="C123">
        <f t="shared" si="29"/>
        <v>31</v>
      </c>
      <c r="D123" s="64">
        <f t="shared" si="32"/>
        <v>46326</v>
      </c>
      <c r="E123" t="str">
        <f t="shared" si="33"/>
        <v>Low Demand</v>
      </c>
      <c r="G123" s="351" cm="1">
        <f t="array" aca="1" ref="G123" ca="1">IF(OR(Selected_Base_Tariff="RURAFLEX",Selected_Base_Tariff="NIGHTSAVE RURAL"),SUM((TEXT('HOURLY DATA'!$B$4:$B$8763,"mmmm")=$A123)*('HOURLY DATA'!$V$4:$V$8763=1)*('HOURLY DATA'!$H$4:$H$8763)),SUM((TEXT('HOURLY DATA'!$B$4:$B$8763,"mmmm")=$A123)*('HOURLY DATA'!$F$4:$F$8763=1)*('HOURLY DATA'!$H$4:$H$8763)))</f>
        <v>1237885.7206726074</v>
      </c>
      <c r="H123" s="351" cm="1">
        <f t="array" aca="1" ref="H123" ca="1">IF(OR(Selected_Base_Tariff="RURAFLEX",Selected_Base_Tariff="NIGHTSAVE RURAL"),SUM((TEXT('HOURLY DATA'!$B$4:$B$8763,"mmmm")=$A123)*('HOURLY DATA'!$V$4:$V$8763=2)*('HOURLY DATA'!$H$4:$H$8763)),SUM((TEXT('HOURLY DATA'!$B$4:$B$8763,"mmmm")=$A123)*('HOURLY DATA'!$F$4:$F$8763=2)*('HOURLY DATA'!$H$4:$H$8763)))</f>
        <v>3209657.3922729492</v>
      </c>
      <c r="I123" s="351" cm="1">
        <f t="array" aca="1" ref="I123" ca="1">IF(OR(Selected_Base_Tariff="RURAFLEX",Selected_Base_Tariff="NIGHTSAVE RURAL"),SUM((TEXT('HOURLY DATA'!$B$4:$B$8763,"mmmm")=$A123)*('HOURLY DATA'!$V$4:$V$8763=3)*('HOURLY DATA'!$H$4:$H$8763)),SUM((TEXT('HOURLY DATA'!$B$4:$B$8763,"mmmm")=$A123)*('HOURLY DATA'!$F$4:$F$8763=3)*('HOURLY DATA'!$H$4:$H$8763)))</f>
        <v>3973412.4558105469</v>
      </c>
      <c r="J123" s="351" cm="1">
        <f t="array" ref="J123">MAX(IF((TEXT('HOURLY DATA'!$B$4:$B$8763,"mmmm")=$A123)*OR('HOURLY DATA'!$F$4:$F$8763=2,'HOURLY DATA'!$F$4:$F$8763=1),'HOURLY DATA'!$M$4:$M$8763))</f>
        <v>17871.291541377319</v>
      </c>
      <c r="K123" s="351">
        <f t="shared" si="26"/>
        <v>17871.291541377319</v>
      </c>
      <c r="L123" s="351" t="str" cm="1">
        <f t="array" aca="1" ref="L123" ca="1">IF(OR($A123="June",$A123="July", $A123="August",Selected_Base_Tariff="Transflex 1", Selected_Base_Tariff="Transflex 2"),SUM((TEXT('HOURLY DATA'!$B$4:$B$8763,"mmmm")=$A123)*('HOURLY DATA'!$F$4:$F$8763=1+2)*('HOURLY DATA'!$N$4:$N$8763)),"")</f>
        <v/>
      </c>
      <c r="M123" s="352">
        <f t="shared" ca="1" si="30"/>
        <v>8420955.5687561035</v>
      </c>
      <c r="N123" s="353" cm="1">
        <f t="array" ref="N123">MAX(IF((TEXT('HOURLY DATA'!$B$4:$B$8763,"mmmm")=$A123),'HOURLY DATA'!$M$4:$M$8763))</f>
        <v>17871.291541377319</v>
      </c>
      <c r="O123" s="346">
        <f t="shared" si="27"/>
        <v>2027</v>
      </c>
      <c r="P123">
        <f t="shared" si="28"/>
        <v>2027</v>
      </c>
      <c r="Q123">
        <f t="shared" si="34"/>
        <v>2027</v>
      </c>
      <c r="R123">
        <f t="shared" si="31"/>
        <v>10</v>
      </c>
    </row>
    <row r="124" spans="1:18">
      <c r="A124" s="186" t="str">
        <f t="shared" si="25"/>
        <v>November</v>
      </c>
      <c r="B124" s="345"/>
      <c r="C124">
        <f t="shared" si="29"/>
        <v>30</v>
      </c>
      <c r="D124" s="64">
        <f t="shared" si="32"/>
        <v>46356</v>
      </c>
      <c r="E124" t="str">
        <f t="shared" si="33"/>
        <v>Low Demand</v>
      </c>
      <c r="G124" s="351" cm="1">
        <f t="array" aca="1" ref="G124" ca="1">IF(OR(Selected_Base_Tariff="RURAFLEX",Selected_Base_Tariff="NIGHTSAVE RURAL"),SUM((TEXT('HOURLY DATA'!$B$4:$B$8763,"mmmm")=$A124)*('HOURLY DATA'!$V$4:$V$8763=1)*('HOURLY DATA'!$H$4:$H$8763)),SUM((TEXT('HOURLY DATA'!$B$4:$B$8763,"mmmm")=$A124)*('HOURLY DATA'!$F$4:$F$8763=1)*('HOURLY DATA'!$H$4:$H$8763)))</f>
        <v>1201932.4559506373</v>
      </c>
      <c r="H124" s="351" cm="1">
        <f t="array" aca="1" ref="H124" ca="1">IF(OR(Selected_Base_Tariff="RURAFLEX",Selected_Base_Tariff="NIGHTSAVE RURAL"),SUM((TEXT('HOURLY DATA'!$B$4:$B$8763,"mmmm")=$A124)*('HOURLY DATA'!$V$4:$V$8763=2)*('HOURLY DATA'!$H$4:$H$8763)),SUM((TEXT('HOURLY DATA'!$B$4:$B$8763,"mmmm")=$A124)*('HOURLY DATA'!$F$4:$F$8763=2)*('HOURLY DATA'!$H$4:$H$8763)))</f>
        <v>3092171.6223144531</v>
      </c>
      <c r="I124" s="351" cm="1">
        <f t="array" aca="1" ref="I124" ca="1">IF(OR(Selected_Base_Tariff="RURAFLEX",Selected_Base_Tariff="NIGHTSAVE RURAL"),SUM((TEXT('HOURLY DATA'!$B$4:$B$8763,"mmmm")=$A124)*('HOURLY DATA'!$V$4:$V$8763=3)*('HOURLY DATA'!$H$4:$H$8763)),SUM((TEXT('HOURLY DATA'!$B$4:$B$8763,"mmmm")=$A124)*('HOURLY DATA'!$F$4:$F$8763=3)*('HOURLY DATA'!$H$4:$H$8763)))</f>
        <v>4276611.7138977051</v>
      </c>
      <c r="J124" s="351" cm="1">
        <f t="array" ref="J124">MAX(IF((TEXT('HOURLY DATA'!$B$4:$B$8763,"mmmm")=$A124)*OR('HOURLY DATA'!$F$4:$F$8763=2,'HOURLY DATA'!$F$4:$F$8763=1),'HOURLY DATA'!$M$4:$M$8763))</f>
        <v>17312.015303077478</v>
      </c>
      <c r="K124" s="351">
        <f t="shared" si="26"/>
        <v>17312.015303077478</v>
      </c>
      <c r="L124" s="351" t="str" cm="1">
        <f t="array" aca="1" ref="L124" ca="1">IF(OR($A124="June",$A124="July", $A124="August",Selected_Base_Tariff="Transflex 1", Selected_Base_Tariff="Transflex 2"),SUM((TEXT('HOURLY DATA'!$B$4:$B$8763,"mmmm")=$A124)*('HOURLY DATA'!$F$4:$F$8763=1+2)*('HOURLY DATA'!$N$4:$N$8763)),"")</f>
        <v/>
      </c>
      <c r="M124" s="352">
        <f t="shared" ca="1" si="30"/>
        <v>8570715.7921627946</v>
      </c>
      <c r="N124" s="353" cm="1">
        <f t="array" ref="N124">MAX(IF((TEXT('HOURLY DATA'!$B$4:$B$8763,"mmmm")=$A124),'HOURLY DATA'!$M$4:$M$8763))</f>
        <v>17312.015303077478</v>
      </c>
      <c r="O124" s="346">
        <f t="shared" si="27"/>
        <v>2027</v>
      </c>
      <c r="P124">
        <f t="shared" si="28"/>
        <v>2027</v>
      </c>
      <c r="Q124">
        <f t="shared" si="34"/>
        <v>2027</v>
      </c>
      <c r="R124">
        <f t="shared" si="31"/>
        <v>11</v>
      </c>
    </row>
    <row r="125" spans="1:18">
      <c r="A125" s="186" t="str">
        <f t="shared" si="25"/>
        <v>December</v>
      </c>
      <c r="B125" s="345"/>
      <c r="C125">
        <f t="shared" si="29"/>
        <v>31</v>
      </c>
      <c r="D125" s="64">
        <f t="shared" si="32"/>
        <v>46387</v>
      </c>
      <c r="E125" t="str">
        <f t="shared" si="33"/>
        <v>Low Demand</v>
      </c>
      <c r="G125" s="351" cm="1">
        <f t="array" aca="1" ref="G125" ca="1">IF(OR(Selected_Base_Tariff="RURAFLEX",Selected_Base_Tariff="NIGHTSAVE RURAL"),SUM((TEXT('HOURLY DATA'!$B$4:$B$8763,"mmmm")=$A125)*('HOURLY DATA'!$V$4:$V$8763=1)*('HOURLY DATA'!$H$4:$H$8763)),SUM((TEXT('HOURLY DATA'!$B$4:$B$8763,"mmmm")=$A125)*('HOURLY DATA'!$F$4:$F$8763=1)*('HOURLY DATA'!$H$4:$H$8763)))</f>
        <v>1215567.2946472168</v>
      </c>
      <c r="H125" s="351" cm="1">
        <f t="array" aca="1" ref="H125" ca="1">IF(OR(Selected_Base_Tariff="RURAFLEX",Selected_Base_Tariff="NIGHTSAVE RURAL"),SUM((TEXT('HOURLY DATA'!$B$4:$B$8763,"mmmm")=$A125)*('HOURLY DATA'!$V$4:$V$8763=2)*('HOURLY DATA'!$H$4:$H$8763)),SUM((TEXT('HOURLY DATA'!$B$4:$B$8763,"mmmm")=$A125)*('HOURLY DATA'!$F$4:$F$8763=2)*('HOURLY DATA'!$H$4:$H$8763)))</f>
        <v>3164626.7137756348</v>
      </c>
      <c r="I125" s="351" cm="1">
        <f t="array" aca="1" ref="I125" ca="1">IF(OR(Selected_Base_Tariff="RURAFLEX",Selected_Base_Tariff="NIGHTSAVE RURAL"),SUM((TEXT('HOURLY DATA'!$B$4:$B$8763,"mmmm")=$A125)*('HOURLY DATA'!$V$4:$V$8763=3)*('HOURLY DATA'!$H$4:$H$8763)),SUM((TEXT('HOURLY DATA'!$B$4:$B$8763,"mmmm")=$A125)*('HOURLY DATA'!$F$4:$F$8763=3)*('HOURLY DATA'!$H$4:$H$8763)))</f>
        <v>4580670.2730407715</v>
      </c>
      <c r="J125" s="351" cm="1">
        <f t="array" ref="J125">MAX(IF((TEXT('HOURLY DATA'!$B$4:$B$8763,"mmmm")=$A125)*OR('HOURLY DATA'!$F$4:$F$8763=2,'HOURLY DATA'!$F$4:$F$8763=1),'HOURLY DATA'!$M$4:$M$8763))</f>
        <v>14591.781036230388</v>
      </c>
      <c r="K125" s="351">
        <f t="shared" si="26"/>
        <v>14591.781036230388</v>
      </c>
      <c r="L125" s="351" t="str" cm="1">
        <f t="array" aca="1" ref="L125" ca="1">IF(OR($A125="June",$A125="July", $A125="August",Selected_Base_Tariff="Transflex 1", Selected_Base_Tariff="Transflex 2"),SUM((TEXT('HOURLY DATA'!$B$4:$B$8763,"mmmm")=$A125)*('HOURLY DATA'!$F$4:$F$8763=1+2)*('HOURLY DATA'!$N$4:$N$8763)),"")</f>
        <v/>
      </c>
      <c r="M125" s="352">
        <f t="shared" ca="1" si="30"/>
        <v>8960864.281463623</v>
      </c>
      <c r="N125" s="353" cm="1">
        <f t="array" ref="N125">MAX(IF((TEXT('HOURLY DATA'!$B$4:$B$8763,"mmmm")=$A125),'HOURLY DATA'!$M$4:$M$8763))</f>
        <v>14591.781036230388</v>
      </c>
      <c r="O125" s="346">
        <f t="shared" si="27"/>
        <v>2027</v>
      </c>
      <c r="P125">
        <f t="shared" si="28"/>
        <v>2027</v>
      </c>
      <c r="Q125">
        <f t="shared" si="34"/>
        <v>2027</v>
      </c>
      <c r="R125">
        <f t="shared" si="31"/>
        <v>12</v>
      </c>
    </row>
    <row r="126" spans="1:18">
      <c r="A126" s="186" t="str">
        <f t="shared" si="25"/>
        <v>January</v>
      </c>
      <c r="B126" s="345"/>
      <c r="C126">
        <f t="shared" si="29"/>
        <v>31</v>
      </c>
      <c r="D126" s="64">
        <f t="shared" si="32"/>
        <v>46418</v>
      </c>
      <c r="E126" t="str">
        <f t="shared" si="33"/>
        <v>Low Demand</v>
      </c>
      <c r="G126" s="351" cm="1">
        <f t="array" aca="1" ref="G126" ca="1">IF(OR(Selected_Base_Tariff="RURAFLEX",Selected_Base_Tariff="NIGHTSAVE RURAL"),SUM((TEXT('HOURLY DATA'!$B$4:$B$8763,"mmmm")=$A126)*('HOURLY DATA'!$V$4:$V$8763=1)*('HOURLY DATA'!$H$4:$H$8763)),SUM((TEXT('HOURLY DATA'!$B$4:$B$8763,"mmmm")=$A126)*('HOURLY DATA'!$F$4:$F$8763=1)*('HOURLY DATA'!$H$4:$H$8763)))</f>
        <v>1275056.8410339355</v>
      </c>
      <c r="H126" s="351" cm="1">
        <f t="array" aca="1" ref="H126" ca="1">IF(OR(Selected_Base_Tariff="RURAFLEX",Selected_Base_Tariff="NIGHTSAVE RURAL"),SUM((TEXT('HOURLY DATA'!$B$4:$B$8763,"mmmm")=$A126)*('HOURLY DATA'!$V$4:$V$8763=2)*('HOURLY DATA'!$H$4:$H$8763)),SUM((TEXT('HOURLY DATA'!$B$4:$B$8763,"mmmm")=$A126)*('HOURLY DATA'!$F$4:$F$8763=2)*('HOURLY DATA'!$H$4:$H$8763)))</f>
        <v>3342656.1524047852</v>
      </c>
      <c r="I126" s="351" cm="1">
        <f t="array" aca="1" ref="I126" ca="1">IF(OR(Selected_Base_Tariff="RURAFLEX",Selected_Base_Tariff="NIGHTSAVE RURAL"),SUM((TEXT('HOURLY DATA'!$B$4:$B$8763,"mmmm")=$A126)*('HOURLY DATA'!$V$4:$V$8763=3)*('HOURLY DATA'!$H$4:$H$8763)),SUM((TEXT('HOURLY DATA'!$B$4:$B$8763,"mmmm")=$A126)*('HOURLY DATA'!$F$4:$F$8763=3)*('HOURLY DATA'!$H$4:$H$8763)))</f>
        <v>4808972.780456543</v>
      </c>
      <c r="J126" s="351" cm="1">
        <f t="array" ref="J126">MAX(IF((TEXT('HOURLY DATA'!$B$4:$B$8763,"mmmm")=$A126)*OR('HOURLY DATA'!$F$4:$F$8763=2,'HOURLY DATA'!$F$4:$F$8763=1),'HOURLY DATA'!$M$4:$M$8763))</f>
        <v>14978.277524296316</v>
      </c>
      <c r="K126" s="351">
        <f t="shared" si="26"/>
        <v>14978.277524296316</v>
      </c>
      <c r="L126" s="351" t="str" cm="1">
        <f t="array" aca="1" ref="L126" ca="1">IF(OR($A126="June",$A126="July", $A126="August",Selected_Base_Tariff="Transflex 1", Selected_Base_Tariff="Transflex 2"),SUM((TEXT('HOURLY DATA'!$B$4:$B$8763,"mmmm")=$A126)*('HOURLY DATA'!$F$4:$F$8763=1+2)*('HOURLY DATA'!$N$4:$N$8763)),"")</f>
        <v/>
      </c>
      <c r="M126" s="352">
        <f t="shared" ca="1" si="30"/>
        <v>9426685.7738952637</v>
      </c>
      <c r="N126" s="353" cm="1">
        <f t="array" ref="N126">MAX(IF((TEXT('HOURLY DATA'!$B$4:$B$8763,"mmmm")=$A126),'HOURLY DATA'!$M$4:$M$8763))</f>
        <v>14978.277524296316</v>
      </c>
      <c r="O126" s="346">
        <f t="shared" si="27"/>
        <v>2027</v>
      </c>
      <c r="P126">
        <f t="shared" si="28"/>
        <v>2027</v>
      </c>
      <c r="Q126">
        <f t="shared" si="34"/>
        <v>2027</v>
      </c>
      <c r="R126">
        <f t="shared" si="31"/>
        <v>1</v>
      </c>
    </row>
    <row r="127" spans="1:18">
      <c r="A127" s="186" t="str">
        <f t="shared" si="25"/>
        <v>February</v>
      </c>
      <c r="B127" s="345"/>
      <c r="C127">
        <f t="shared" si="29"/>
        <v>28</v>
      </c>
      <c r="D127" s="64">
        <f t="shared" si="32"/>
        <v>46446</v>
      </c>
      <c r="E127" t="str">
        <f t="shared" si="33"/>
        <v>Low Demand</v>
      </c>
      <c r="G127" s="351" cm="1">
        <f t="array" aca="1" ref="G127" ca="1">IF(OR(Selected_Base_Tariff="RURAFLEX",Selected_Base_Tariff="NIGHTSAVE RURAL"),SUM((TEXT('HOURLY DATA'!$B$4:$B$8763,"mmmm")=$A127)*('HOURLY DATA'!$V$4:$V$8763=1)*('HOURLY DATA'!$H$4:$H$8763)),SUM((TEXT('HOURLY DATA'!$B$4:$B$8763,"mmmm")=$A127)*('HOURLY DATA'!$F$4:$F$8763=1)*('HOURLY DATA'!$H$4:$H$8763)))</f>
        <v>1119165.8379821777</v>
      </c>
      <c r="H127" s="351" cm="1">
        <f t="array" aca="1" ref="H127" ca="1">IF(OR(Selected_Base_Tariff="RURAFLEX",Selected_Base_Tariff="NIGHTSAVE RURAL"),SUM((TEXT('HOURLY DATA'!$B$4:$B$8763,"mmmm")=$A127)*('HOURLY DATA'!$V$4:$V$8763=2)*('HOURLY DATA'!$H$4:$H$8763)),SUM((TEXT('HOURLY DATA'!$B$4:$B$8763,"mmmm")=$A127)*('HOURLY DATA'!$F$4:$F$8763=2)*('HOURLY DATA'!$H$4:$H$8763)))</f>
        <v>2721886.6312408447</v>
      </c>
      <c r="I127" s="351" cm="1">
        <f t="array" aca="1" ref="I127" ca="1">IF(OR(Selected_Base_Tariff="RURAFLEX",Selected_Base_Tariff="NIGHTSAVE RURAL"),SUM((TEXT('HOURLY DATA'!$B$4:$B$8763,"mmmm")=$A127)*('HOURLY DATA'!$V$4:$V$8763=3)*('HOURLY DATA'!$H$4:$H$8763)),SUM((TEXT('HOURLY DATA'!$B$4:$B$8763,"mmmm")=$A127)*('HOURLY DATA'!$F$4:$F$8763=3)*('HOURLY DATA'!$H$4:$H$8763)))</f>
        <v>3473686.390712738</v>
      </c>
      <c r="J127" s="351" cm="1">
        <f t="array" ref="J127">MAX(IF((TEXT('HOURLY DATA'!$B$4:$B$8763,"mmmm")=$A127)*OR('HOURLY DATA'!$F$4:$F$8763=2,'HOURLY DATA'!$F$4:$F$8763=1),'HOURLY DATA'!$M$4:$M$8763))</f>
        <v>16542.256813102147</v>
      </c>
      <c r="K127" s="351">
        <f t="shared" si="26"/>
        <v>16542.256813102147</v>
      </c>
      <c r="L127" s="351" t="str" cm="1">
        <f t="array" aca="1" ref="L127" ca="1">IF(OR($A127="June",$A127="July", $A127="August",Selected_Base_Tariff="Transflex 1", Selected_Base_Tariff="Transflex 2"),SUM((TEXT('HOURLY DATA'!$B$4:$B$8763,"mmmm")=$A127)*('HOURLY DATA'!$F$4:$F$8763=1+2)*('HOURLY DATA'!$N$4:$N$8763)),"")</f>
        <v/>
      </c>
      <c r="M127" s="352">
        <f t="shared" ca="1" si="30"/>
        <v>7314738.8599357605</v>
      </c>
      <c r="N127" s="353" cm="1">
        <f t="array" ref="N127">MAX(IF((TEXT('HOURLY DATA'!$B$4:$B$8763,"mmmm")=$A127),'HOURLY DATA'!$M$4:$M$8763))</f>
        <v>16542.256813102147</v>
      </c>
      <c r="O127" s="346">
        <f t="shared" si="27"/>
        <v>2027</v>
      </c>
      <c r="P127">
        <f t="shared" si="28"/>
        <v>2027</v>
      </c>
      <c r="Q127">
        <f t="shared" si="34"/>
        <v>2027</v>
      </c>
      <c r="R127">
        <f t="shared" si="31"/>
        <v>2</v>
      </c>
    </row>
    <row r="128" spans="1:18">
      <c r="A128" s="186" t="str">
        <f t="shared" si="25"/>
        <v>March</v>
      </c>
      <c r="B128" s="345"/>
      <c r="C128">
        <f t="shared" si="29"/>
        <v>31</v>
      </c>
      <c r="D128" s="64">
        <f t="shared" si="32"/>
        <v>46477</v>
      </c>
      <c r="E128" t="str">
        <f t="shared" si="33"/>
        <v>Low Demand</v>
      </c>
      <c r="G128" s="351" cm="1">
        <f t="array" aca="1" ref="G128" ca="1">IF(OR(Selected_Base_Tariff="RURAFLEX",Selected_Base_Tariff="NIGHTSAVE RURAL"),SUM((TEXT('HOURLY DATA'!$B$4:$B$8763,"mmmm")=$A128)*('HOURLY DATA'!$V$4:$V$8763=1)*('HOURLY DATA'!$H$4:$H$8763)),SUM((TEXT('HOURLY DATA'!$B$4:$B$8763,"mmmm")=$A128)*('HOURLY DATA'!$F$4:$F$8763=1)*('HOURLY DATA'!$H$4:$H$8763)))</f>
        <v>1190167.5836791992</v>
      </c>
      <c r="H128" s="351" cm="1">
        <f t="array" aca="1" ref="H128" ca="1">IF(OR(Selected_Base_Tariff="RURAFLEX",Selected_Base_Tariff="NIGHTSAVE RURAL"),SUM((TEXT('HOURLY DATA'!$B$4:$B$8763,"mmmm")=$A128)*('HOURLY DATA'!$V$4:$V$8763=2)*('HOURLY DATA'!$H$4:$H$8763)),SUM((TEXT('HOURLY DATA'!$B$4:$B$8763,"mmmm")=$A128)*('HOURLY DATA'!$F$4:$F$8763=2)*('HOURLY DATA'!$H$4:$H$8763)))</f>
        <v>3112374.7198034665</v>
      </c>
      <c r="I128" s="351" cm="1">
        <f t="array" aca="1" ref="I128" ca="1">IF(OR(Selected_Base_Tariff="RURAFLEX",Selected_Base_Tariff="NIGHTSAVE RURAL"),SUM((TEXT('HOURLY DATA'!$B$4:$B$8763,"mmmm")=$A128)*('HOURLY DATA'!$V$4:$V$8763=3)*('HOURLY DATA'!$H$4:$H$8763)),SUM((TEXT('HOURLY DATA'!$B$4:$B$8763,"mmmm")=$A128)*('HOURLY DATA'!$F$4:$F$8763=3)*('HOURLY DATA'!$H$4:$H$8763)))</f>
        <v>4646237.933013916</v>
      </c>
      <c r="J128" s="351" cm="1">
        <f t="array" ref="J128">MAX(IF((TEXT('HOURLY DATA'!$B$4:$B$8763,"mmmm")=$A128)*OR('HOURLY DATA'!$F$4:$F$8763=2,'HOURLY DATA'!$F$4:$F$8763=1),'HOURLY DATA'!$M$4:$M$8763))</f>
        <v>15803.264294459861</v>
      </c>
      <c r="K128" s="351">
        <f t="shared" si="26"/>
        <v>15803.264294459861</v>
      </c>
      <c r="L128" s="351" t="str" cm="1">
        <f t="array" aca="1" ref="L128" ca="1">IF(OR($A128="June",$A128="July", $A128="August",Selected_Base_Tariff="Transflex 1", Selected_Base_Tariff="Transflex 2"),SUM((TEXT('HOURLY DATA'!$B$4:$B$8763,"mmmm")=$A128)*('HOURLY DATA'!$F$4:$F$8763=1+2)*('HOURLY DATA'!$N$4:$N$8763)),"")</f>
        <v/>
      </c>
      <c r="M128" s="352">
        <f t="shared" ca="1" si="30"/>
        <v>8948780.2364965826</v>
      </c>
      <c r="N128" s="353" cm="1">
        <f t="array" ref="N128">MAX(IF((TEXT('HOURLY DATA'!$B$4:$B$8763,"mmmm")=$A128),'HOURLY DATA'!$M$4:$M$8763))</f>
        <v>15803.264294459861</v>
      </c>
      <c r="O128" s="346">
        <f t="shared" si="27"/>
        <v>2027</v>
      </c>
      <c r="P128">
        <f t="shared" si="28"/>
        <v>2027</v>
      </c>
      <c r="Q128">
        <f t="shared" si="34"/>
        <v>2027</v>
      </c>
      <c r="R128">
        <f t="shared" si="31"/>
        <v>3</v>
      </c>
    </row>
    <row r="129" spans="2:18">
      <c r="B129" s="345"/>
      <c r="O129" s="346"/>
    </row>
    <row r="130" spans="2:18">
      <c r="B130" s="345"/>
      <c r="D130" s="7" t="s">
        <v>24</v>
      </c>
      <c r="E130" s="7"/>
      <c r="F130" s="7"/>
      <c r="G130" s="6">
        <f ca="1">SUM(G117:G128)</f>
        <v>14592240.098185439</v>
      </c>
      <c r="H130" s="6">
        <f ca="1">SUM(H117:H128)</f>
        <v>37954166.910823315</v>
      </c>
      <c r="I130" s="6">
        <f ca="1">SUM(I117:I128)</f>
        <v>51274970.169826508</v>
      </c>
      <c r="J130" s="6"/>
      <c r="K130" s="6"/>
      <c r="L130" s="6">
        <f ca="1">SUM(L117:L128)</f>
        <v>4144956.5667951973</v>
      </c>
      <c r="M130" s="6">
        <f ca="1">SUM(M117:M128)</f>
        <v>103821377.17883526</v>
      </c>
      <c r="O130" s="354"/>
      <c r="P130" s="40"/>
      <c r="Q130" s="40"/>
      <c r="R130" s="40"/>
    </row>
    <row r="131" spans="2:18">
      <c r="B131" s="345"/>
      <c r="O131" s="346"/>
    </row>
    <row r="132" spans="2:18" ht="12.6" thickBot="1">
      <c r="B132" s="347" t="s">
        <v>617</v>
      </c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348"/>
      <c r="P132" s="8"/>
      <c r="Q132" s="8"/>
      <c r="R132" s="8"/>
    </row>
    <row r="133" spans="2:18" ht="12.6" thickTop="1">
      <c r="B133" s="349"/>
      <c r="O133" s="346"/>
    </row>
    <row r="134" spans="2:18" ht="22.8">
      <c r="B134" s="345"/>
      <c r="C134" s="24"/>
      <c r="D134" s="22" t="s">
        <v>237</v>
      </c>
      <c r="E134" s="23" t="s">
        <v>148</v>
      </c>
      <c r="F134" s="22"/>
      <c r="G134" s="23" t="str">
        <f>G$33</f>
        <v>Peak energy</v>
      </c>
      <c r="H134" s="23" t="str">
        <f t="shared" ref="H134:M134" si="35">H$33</f>
        <v>Standard energy</v>
      </c>
      <c r="I134" s="23" t="str">
        <f t="shared" si="35"/>
        <v>Off-peak energy</v>
      </c>
      <c r="J134" s="23" t="str">
        <f t="shared" si="35"/>
        <v>Chargeable demand</v>
      </c>
      <c r="K134" s="23" t="str">
        <f t="shared" si="35"/>
        <v>Utilised capacity</v>
      </c>
      <c r="L134" s="23" t="str">
        <f t="shared" si="35"/>
        <v>Excess reactive energy</v>
      </c>
      <c r="M134" s="23" t="str">
        <f t="shared" si="35"/>
        <v>Total energy</v>
      </c>
      <c r="O134" s="346"/>
    </row>
    <row r="135" spans="2:18">
      <c r="B135" s="345"/>
      <c r="G135" s="355"/>
      <c r="H135" s="355"/>
      <c r="I135" s="355"/>
      <c r="J135" s="355"/>
      <c r="K135" s="355"/>
      <c r="L135" s="355"/>
      <c r="M135" s="355"/>
      <c r="O135" s="346"/>
    </row>
    <row r="136" spans="2:18">
      <c r="B136" s="345"/>
      <c r="D136" t="s">
        <v>21</v>
      </c>
      <c r="E136">
        <f>SUMIFS(C$36:C$47,$E$36:$E$47,$D136,$O$36:$O$47,$P136)</f>
        <v>273</v>
      </c>
      <c r="G136" s="355">
        <f t="shared" ref="G136:L137" ca="1" si="36">SUMIFS(G$117:G$128,$E$117:$E$128,$D136,$O$117:$O$128,$P136)</f>
        <v>10882644.749621291</v>
      </c>
      <c r="H136" s="355">
        <f t="shared" ca="1" si="36"/>
        <v>28326401.440370314</v>
      </c>
      <c r="I136" s="355">
        <f t="shared" ca="1" si="36"/>
        <v>39219561.323535919</v>
      </c>
      <c r="J136" s="355">
        <f t="shared" si="36"/>
        <v>142166.30655984161</v>
      </c>
      <c r="K136" s="355">
        <f t="shared" si="36"/>
        <v>142166.30655984161</v>
      </c>
      <c r="L136" s="355">
        <f t="shared" ca="1" si="36"/>
        <v>0</v>
      </c>
      <c r="M136" s="355">
        <f ca="1">SUMIFS(M$75:M$86,$E$75:$E$86,$D136,$O$75:$O$86,$P136)</f>
        <v>78428607.513527527</v>
      </c>
      <c r="O136" s="346"/>
      <c r="P136">
        <f>YEAR(TOU_Period)</f>
        <v>2027</v>
      </c>
      <c r="Q136">
        <f>COUNTIF($E$36:$E$47,D136)</f>
        <v>9</v>
      </c>
    </row>
    <row r="137" spans="2:18">
      <c r="B137" s="345"/>
      <c r="D137" t="s">
        <v>22</v>
      </c>
      <c r="E137" s="355">
        <f>SUMIFS(C$36:C$47,$E$36:$E$47,$D137,$O$36:$O$47,$P137)</f>
        <v>92</v>
      </c>
      <c r="G137" s="355">
        <f t="shared" ca="1" si="36"/>
        <v>3709595.3485641479</v>
      </c>
      <c r="H137" s="355">
        <f t="shared" ca="1" si="36"/>
        <v>9627765.4704530034</v>
      </c>
      <c r="I137" s="355">
        <f t="shared" ca="1" si="36"/>
        <v>12055408.846290588</v>
      </c>
      <c r="J137" s="355">
        <f t="shared" si="36"/>
        <v>46637.326474395501</v>
      </c>
      <c r="K137" s="355">
        <f t="shared" si="36"/>
        <v>46637.326474395501</v>
      </c>
      <c r="L137" s="355">
        <f t="shared" ca="1" si="36"/>
        <v>4144956.5667951973</v>
      </c>
      <c r="M137" s="355">
        <f ca="1">SUMIFS(M$75:M$86,$E$75:$E$86,$D137,$O$75:$O$86,$P137)</f>
        <v>25392769.665307738</v>
      </c>
      <c r="O137" s="346"/>
      <c r="P137">
        <f>YEAR(TOU_Period)</f>
        <v>2027</v>
      </c>
      <c r="Q137">
        <f>COUNTIF($E$36:$E$47,D137)</f>
        <v>3</v>
      </c>
    </row>
    <row r="138" spans="2:18">
      <c r="B138" s="345"/>
      <c r="G138" s="355"/>
      <c r="H138" s="355"/>
      <c r="I138" s="355"/>
      <c r="J138" s="355"/>
      <c r="K138" s="355"/>
      <c r="L138" s="355"/>
      <c r="M138" s="355"/>
      <c r="O138" s="346"/>
    </row>
    <row r="139" spans="2:18">
      <c r="B139" s="345"/>
      <c r="D139" s="7" t="s">
        <v>24</v>
      </c>
      <c r="E139" s="6">
        <f>SUM(E136:E137)</f>
        <v>365</v>
      </c>
      <c r="F139" s="7"/>
      <c r="G139" s="6">
        <f ca="1">SUM(G136:G137)</f>
        <v>14592240.098185439</v>
      </c>
      <c r="H139" s="6">
        <f ca="1">SUM(H136:H137)</f>
        <v>37954166.910823315</v>
      </c>
      <c r="I139" s="6">
        <f ca="1">SUM(I136:I137)</f>
        <v>51274970.169826508</v>
      </c>
      <c r="J139" s="6"/>
      <c r="K139" s="6"/>
      <c r="L139" s="6">
        <f ca="1">SUM(L136:L137)</f>
        <v>4144956.5667951973</v>
      </c>
      <c r="M139" s="6">
        <f ca="1">SUM(M136:M137)</f>
        <v>103821377.17883527</v>
      </c>
      <c r="O139" s="346"/>
    </row>
    <row r="140" spans="2:18">
      <c r="B140" s="356"/>
      <c r="C140" s="357"/>
      <c r="D140" s="357"/>
      <c r="E140" s="357"/>
      <c r="F140" s="357"/>
      <c r="G140" s="357"/>
      <c r="H140" s="357"/>
      <c r="I140" s="357"/>
      <c r="J140" s="357"/>
      <c r="K140" s="357"/>
      <c r="L140" s="357"/>
      <c r="M140" s="357"/>
      <c r="N140" s="357"/>
      <c r="O140" s="358"/>
    </row>
    <row r="141" spans="2:18"/>
    <row r="142" spans="2:18" hidden="1">
      <c r="C142" s="3" t="s">
        <v>428</v>
      </c>
    </row>
    <row r="143" spans="2:18" hidden="1">
      <c r="C143" s="418" t="s">
        <v>427</v>
      </c>
      <c r="D143" s="428"/>
      <c r="E143" s="428"/>
      <c r="F143" s="428"/>
      <c r="G143" s="429"/>
    </row>
    <row r="144" spans="2:18" hidden="1">
      <c r="C144" s="430"/>
      <c r="D144" s="431"/>
      <c r="E144" s="431"/>
      <c r="F144" s="431"/>
      <c r="G144" s="432"/>
    </row>
    <row r="145" spans="3:7" hidden="1">
      <c r="C145" s="430"/>
      <c r="D145" s="431"/>
      <c r="E145" s="431"/>
      <c r="F145" s="431"/>
      <c r="G145" s="432"/>
    </row>
    <row r="146" spans="3:7" hidden="1">
      <c r="C146" s="433"/>
      <c r="D146" s="434"/>
      <c r="E146" s="434"/>
      <c r="F146" s="434"/>
      <c r="G146" s="435"/>
    </row>
    <row r="149" spans="3:7"/>
    <row r="150" spans="3:7"/>
    <row r="151" spans="3:7"/>
    <row r="152" spans="3:7"/>
    <row r="153" spans="3:7"/>
    <row r="154" spans="3:7"/>
    <row r="155" spans="3:7"/>
    <row r="156" spans="3:7"/>
    <row r="157" spans="3:7"/>
    <row r="158" spans="3:7"/>
    <row r="159" spans="3:7"/>
    <row r="160" spans="3:7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 spans="16:16"/>
    <row r="178" spans="16:16"/>
    <row r="179" spans="16:16"/>
    <row r="180" spans="16:16">
      <c r="P180" t="s">
        <v>556</v>
      </c>
    </row>
    <row r="181" spans="16:16">
      <c r="P181" t="s">
        <v>558</v>
      </c>
    </row>
    <row r="182" spans="16:16"/>
    <row r="183" spans="16:16"/>
    <row r="184" spans="16:16"/>
    <row r="185" spans="16:16"/>
    <row r="186" spans="16:16"/>
    <row r="187" spans="16:16"/>
    <row r="188" spans="16:16"/>
    <row r="189" spans="16:16"/>
    <row r="190" spans="16:16"/>
    <row r="191" spans="16:16"/>
    <row r="192" spans="16:16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</sheetData>
  <sheetProtection algorithmName="SHA-512" hashValue="I66pZLAk03jMcS2vZgF9/rvPUGk8zWzNRgPJZipjcN7EHdplAPOLKF9XUZAm1LW5+U4RapNuUe4Bks0mudu1+g==" saltValue="I/Dhg9/S8GDC5UpIrPZKsQ==" spinCount="100000" sheet="1" objects="1" scenarios="1"/>
  <mergeCells count="11">
    <mergeCell ref="E2:H2"/>
    <mergeCell ref="C62:G65"/>
    <mergeCell ref="G27:H27"/>
    <mergeCell ref="C143:G146"/>
    <mergeCell ref="C101:G104"/>
    <mergeCell ref="G29:H29"/>
    <mergeCell ref="G8:H8"/>
    <mergeCell ref="G9:H9"/>
    <mergeCell ref="G10:H10"/>
    <mergeCell ref="B67:O67"/>
    <mergeCell ref="G21:H21"/>
  </mergeCells>
  <phoneticPr fontId="35" type="noConversion"/>
  <conditionalFormatting sqref="D21:T21">
    <cfRule type="expression" priority="1">
      <formula>$T$21="Local Authority"</formula>
    </cfRule>
  </conditionalFormatting>
  <dataValidations count="1">
    <dataValidation type="list" allowBlank="1" showInputMessage="1" showErrorMessage="1" sqref="G29:H29" xr:uid="{7ED2360C-5257-479E-A236-F1DE11E5708A}">
      <formula1>$P$180:$P$181</formula1>
    </dataValidation>
  </dataValidations>
  <pageMargins left="0.7" right="0.7" top="0.75" bottom="0.75" header="0.3" footer="0.3"/>
  <pageSetup paperSize="9" scale="77" orientation="landscape" r:id="rId1"/>
  <ignoredErrors>
    <ignoredError sqref="M48" formulaRange="1"/>
    <ignoredError sqref="I25 K75:K86 G75:J86 K117:K128 G117:J128 L117:L118 L122:L128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dbxTariff">
              <controlPr defaultSize="0" autoLine="0" autoPict="0">
                <anchor moveWithCells="1">
                  <from>
                    <xdr:col>6</xdr:col>
                    <xdr:colOff>15240</xdr:colOff>
                    <xdr:row>18</xdr:row>
                    <xdr:rowOff>15240</xdr:rowOff>
                  </from>
                  <to>
                    <xdr:col>7</xdr:col>
                    <xdr:colOff>784860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dbxCategory">
              <controlPr defaultSize="0" autoLine="0" autoPict="0">
                <anchor moveWithCells="1">
                  <from>
                    <xdr:col>6</xdr:col>
                    <xdr:colOff>15240</xdr:colOff>
                    <xdr:row>12</xdr:row>
                    <xdr:rowOff>15240</xdr:rowOff>
                  </from>
                  <to>
                    <xdr:col>7</xdr:col>
                    <xdr:colOff>784860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6</xdr:col>
                    <xdr:colOff>15240</xdr:colOff>
                    <xdr:row>16</xdr:row>
                    <xdr:rowOff>15240</xdr:rowOff>
                  </from>
                  <to>
                    <xdr:col>7</xdr:col>
                    <xdr:colOff>784860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Drop Down 11">
              <controlPr defaultSize="0" autoLine="0" autoPict="0">
                <anchor moveWithCells="1">
                  <from>
                    <xdr:col>6</xdr:col>
                    <xdr:colOff>15240</xdr:colOff>
                    <xdr:row>22</xdr:row>
                    <xdr:rowOff>0</xdr:rowOff>
                  </from>
                  <to>
                    <xdr:col>7</xdr:col>
                    <xdr:colOff>784860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8" name="Drop Down 13">
              <controlPr defaultSize="0" autoLine="0" autoPict="0">
                <anchor moveWithCells="1">
                  <from>
                    <xdr:col>6</xdr:col>
                    <xdr:colOff>15240</xdr:colOff>
                    <xdr:row>24</xdr:row>
                    <xdr:rowOff>15240</xdr:rowOff>
                  </from>
                  <to>
                    <xdr:col>7</xdr:col>
                    <xdr:colOff>784860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9" name="Drop Down 15">
              <controlPr defaultSize="0" autoLine="0" autoPict="0">
                <anchor moveWithCells="1">
                  <from>
                    <xdr:col>6</xdr:col>
                    <xdr:colOff>15240</xdr:colOff>
                    <xdr:row>14</xdr:row>
                    <xdr:rowOff>15240</xdr:rowOff>
                  </from>
                  <to>
                    <xdr:col>7</xdr:col>
                    <xdr:colOff>784860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BDFB42BD-9505-48FC-AD82-C1616A1F54D9}">
            <xm:f>Lists!$E$8=1</xm:f>
            <x14:dxf>
              <font>
                <color theme="7" tint="0.39994506668294322"/>
              </font>
            </x14:dxf>
          </x14:cfRule>
          <xm:sqref>D25:D26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 filterMode="1">
    <pageSetUpPr fitToPage="1"/>
  </sheetPr>
  <dimension ref="A2:Y123"/>
  <sheetViews>
    <sheetView showGridLines="0" topLeftCell="B1" zoomScale="80" zoomScaleNormal="80" workbookViewId="0">
      <pane ySplit="4" topLeftCell="A5" activePane="bottomLeft" state="frozen"/>
      <selection activeCell="A5" sqref="A5"/>
      <selection pane="bottomLeft" activeCell="I12" sqref="I12"/>
    </sheetView>
  </sheetViews>
  <sheetFormatPr defaultColWidth="0" defaultRowHeight="12" outlineLevelRow="1"/>
  <cols>
    <col min="1" max="1" width="3.28515625" customWidth="1"/>
    <col min="2" max="2" width="2.7109375" customWidth="1"/>
    <col min="3" max="3" width="40" customWidth="1"/>
    <col min="4" max="4" width="15" customWidth="1"/>
    <col min="5" max="6" width="13.28515625" customWidth="1"/>
    <col min="7" max="8" width="18.7109375" customWidth="1"/>
    <col min="9" max="9" width="13.85546875" customWidth="1"/>
    <col min="10" max="10" width="8.28515625" hidden="1" customWidth="1"/>
    <col min="11" max="11" width="12.28515625" customWidth="1"/>
    <col min="12" max="12" width="3.140625" customWidth="1"/>
    <col min="13" max="13" width="2.7109375" customWidth="1"/>
    <col min="14" max="14" width="39.85546875" customWidth="1"/>
    <col min="15" max="16" width="13.28515625" customWidth="1"/>
    <col min="17" max="17" width="12.28515625" customWidth="1"/>
    <col min="18" max="19" width="18.7109375" customWidth="1"/>
    <col min="20" max="20" width="18" customWidth="1"/>
    <col min="21" max="21" width="18" hidden="1" customWidth="1"/>
    <col min="22" max="22" width="13.140625" customWidth="1"/>
    <col min="23" max="23" width="24.140625" customWidth="1"/>
    <col min="24" max="25" width="0" hidden="1" customWidth="1"/>
    <col min="26" max="16384" width="9.28515625" hidden="1"/>
  </cols>
  <sheetData>
    <row r="2" spans="2:22">
      <c r="R2" s="342"/>
      <c r="S2" s="342"/>
    </row>
    <row r="4" spans="2:22" ht="22.8" customHeight="1">
      <c r="B4" s="2" t="str">
        <f>"High demand vs low demand cost comparison for "&amp;New_Period&amp;" rates"</f>
        <v>High demand vs low demand cost comparison for 2026/27 rates</v>
      </c>
      <c r="C4" s="2"/>
      <c r="D4" s="2"/>
      <c r="E4" s="2"/>
      <c r="F4" s="2"/>
      <c r="G4" s="2"/>
      <c r="H4" s="2"/>
      <c r="I4" s="41" t="str">
        <f ca="1">D10</f>
        <v>Miniflex</v>
      </c>
      <c r="J4" s="41"/>
      <c r="K4" s="41"/>
      <c r="M4" s="2" t="str">
        <f>B4</f>
        <v>High demand vs low demand cost comparison for 2026/27 rates</v>
      </c>
      <c r="N4" s="2"/>
      <c r="O4" s="2"/>
      <c r="P4" s="2"/>
      <c r="Q4" s="2"/>
      <c r="R4" s="2"/>
      <c r="S4" s="2"/>
      <c r="T4" s="41" t="str">
        <f ca="1">I4</f>
        <v>Miniflex</v>
      </c>
      <c r="U4" s="41"/>
      <c r="V4" s="41"/>
    </row>
    <row r="5" spans="2:22" ht="15.6">
      <c r="I5" s="261"/>
      <c r="J5" s="261"/>
      <c r="K5" s="261"/>
      <c r="T5" s="261"/>
      <c r="U5" s="261"/>
      <c r="V5" s="261"/>
    </row>
    <row r="6" spans="2:22" ht="13.2">
      <c r="B6" s="34" t="s">
        <v>22</v>
      </c>
      <c r="C6" s="34"/>
      <c r="D6" s="34"/>
      <c r="E6" s="34"/>
      <c r="F6" s="34"/>
      <c r="G6" s="34"/>
      <c r="H6" s="34"/>
      <c r="I6" s="34"/>
      <c r="J6" s="34"/>
      <c r="K6" s="34"/>
      <c r="M6" s="34" t="s">
        <v>21</v>
      </c>
      <c r="N6" s="34"/>
      <c r="O6" s="34"/>
      <c r="P6" s="34"/>
      <c r="Q6" s="34"/>
      <c r="R6" s="34"/>
      <c r="S6" s="34"/>
      <c r="T6" s="34"/>
      <c r="U6" s="34"/>
      <c r="V6" s="34"/>
    </row>
    <row r="8" spans="2:22" ht="34.799999999999997" customHeight="1">
      <c r="B8" s="3" t="s">
        <v>327</v>
      </c>
      <c r="D8" s="3">
        <f>Customer_Name</f>
        <v>0</v>
      </c>
      <c r="F8" s="3" t="s">
        <v>198</v>
      </c>
      <c r="H8" t="s">
        <v>576</v>
      </c>
      <c r="I8" s="301" t="s">
        <v>613</v>
      </c>
      <c r="J8" s="301" t="s">
        <v>612</v>
      </c>
      <c r="M8" s="3" t="str">
        <f>B8</f>
        <v>Customer Name:</v>
      </c>
      <c r="O8" s="3">
        <f t="shared" ref="O8:O16" si="0">D8</f>
        <v>0</v>
      </c>
      <c r="Q8" s="3" t="s">
        <v>197</v>
      </c>
      <c r="S8" t="s">
        <v>576</v>
      </c>
      <c r="T8" s="301" t="s">
        <v>613</v>
      </c>
      <c r="U8" s="301" t="s">
        <v>612</v>
      </c>
    </row>
    <row r="9" spans="2:22">
      <c r="B9" s="3" t="str">
        <f>Inputs!D10</f>
        <v>Point of delivery ID</v>
      </c>
      <c r="D9" s="3">
        <f>Delivery_ID</f>
        <v>0</v>
      </c>
      <c r="F9" t="s">
        <v>232</v>
      </c>
      <c r="H9" s="5">
        <f>TOU_High_UC</f>
        <v>0</v>
      </c>
      <c r="I9" s="5">
        <f>TOU_High_UC_New_TOU</f>
        <v>46637.326474395501</v>
      </c>
      <c r="J9" s="5">
        <f>TOU_High_UC_Exist_TOU</f>
        <v>46637.326474395501</v>
      </c>
      <c r="K9" s="31" t="s">
        <v>19</v>
      </c>
      <c r="M9" s="3" t="str">
        <f>B9</f>
        <v>Point of delivery ID</v>
      </c>
      <c r="O9" s="3">
        <f t="shared" si="0"/>
        <v>0</v>
      </c>
      <c r="Q9" t="s">
        <v>232</v>
      </c>
      <c r="S9" s="5">
        <f>TOU_Low_UC</f>
        <v>0</v>
      </c>
      <c r="T9" s="5">
        <f>TOU_Low_UC_New_TOU</f>
        <v>142166.30655984161</v>
      </c>
      <c r="U9" s="5">
        <f>TOU_Low_UC_Exist_TOU</f>
        <v>142166.30655984161</v>
      </c>
      <c r="V9" s="31" t="s">
        <v>19</v>
      </c>
    </row>
    <row r="10" spans="2:22">
      <c r="B10" s="3"/>
      <c r="C10" t="s">
        <v>31</v>
      </c>
      <c r="D10" t="str">
        <f ca="1">Selected_Base_Tariff</f>
        <v>Miniflex</v>
      </c>
      <c r="F10" t="s">
        <v>233</v>
      </c>
      <c r="H10" s="5">
        <f>TOU_High_Demand</f>
        <v>0</v>
      </c>
      <c r="I10" s="5">
        <f>TOU_High_Demand_New_TOU</f>
        <v>46637.326474395501</v>
      </c>
      <c r="J10" s="5">
        <f>TOU_High_Demand_Exist_TOU</f>
        <v>46637.326474395501</v>
      </c>
      <c r="K10" s="31" t="s">
        <v>19</v>
      </c>
      <c r="M10" s="3"/>
      <c r="N10" t="str">
        <f t="shared" ref="N10:N16" si="1">C10</f>
        <v>Tariff</v>
      </c>
      <c r="O10" t="str">
        <f t="shared" ca="1" si="0"/>
        <v>Miniflex</v>
      </c>
      <c r="Q10" t="s">
        <v>233</v>
      </c>
      <c r="S10" s="5">
        <f>TOU_Low_Demand</f>
        <v>0</v>
      </c>
      <c r="T10" s="5">
        <f>TOU_Low_Demand_New_TOU</f>
        <v>142166.30655984161</v>
      </c>
      <c r="U10" s="5">
        <f>TOU_Low_Demand_Exist_TOU</f>
        <v>142166.30655984161</v>
      </c>
      <c r="V10" s="31" t="s">
        <v>19</v>
      </c>
    </row>
    <row r="11" spans="2:22">
      <c r="C11" t="s">
        <v>32</v>
      </c>
      <c r="D11" t="str">
        <f ca="1">INDEX(Full_Tariff_Type,MATCH(D10,Full_Tariff_List,0))</f>
        <v>Urban</v>
      </c>
      <c r="F11" t="s">
        <v>133</v>
      </c>
      <c r="H11" s="5">
        <f>TOU_High_Peak</f>
        <v>0</v>
      </c>
      <c r="I11" s="5">
        <f ca="1">TOU_High_Peak_New_TOU</f>
        <v>3709595.3485641479</v>
      </c>
      <c r="J11" s="5">
        <f ca="1">TOU_High_Peak_Exist_TOU</f>
        <v>3709595.3485641479</v>
      </c>
      <c r="K11" s="31" t="s">
        <v>18</v>
      </c>
      <c r="N11" t="str">
        <f t="shared" si="1"/>
        <v>Tariff Category</v>
      </c>
      <c r="O11" t="str">
        <f t="shared" ca="1" si="0"/>
        <v>Urban</v>
      </c>
      <c r="Q11" t="s">
        <v>133</v>
      </c>
      <c r="S11" s="5">
        <f>TOU_Low_Peak</f>
        <v>0</v>
      </c>
      <c r="T11" s="5">
        <f ca="1">TOU_Low_Peak_New_TOU</f>
        <v>10882644.749621291</v>
      </c>
      <c r="U11" s="5">
        <f ca="1">TOU_Low_Peak_Exist_TOU</f>
        <v>10882644.749621291</v>
      </c>
      <c r="V11" s="31" t="s">
        <v>18</v>
      </c>
    </row>
    <row r="12" spans="2:22">
      <c r="C12" t="s">
        <v>95</v>
      </c>
      <c r="D12" t="str">
        <f ca="1">Selected_Supply_Voltage</f>
        <v>&lt; 500V</v>
      </c>
      <c r="F12" t="s">
        <v>134</v>
      </c>
      <c r="H12" s="5">
        <f>TOU_High_Standard</f>
        <v>0</v>
      </c>
      <c r="I12" s="5">
        <f ca="1">TOU_High_Standard_New_TOU</f>
        <v>9627765.4704530034</v>
      </c>
      <c r="J12" s="5">
        <f ca="1">TOU_High_Standard_Exist_TOU</f>
        <v>9627765.4704530034</v>
      </c>
      <c r="K12" s="31" t="s">
        <v>18</v>
      </c>
      <c r="N12" t="str">
        <f t="shared" si="1"/>
        <v>Supply voltage</v>
      </c>
      <c r="O12" t="str">
        <f t="shared" ca="1" si="0"/>
        <v>&lt; 500V</v>
      </c>
      <c r="Q12" t="s">
        <v>134</v>
      </c>
      <c r="S12" s="5">
        <f>TOU_Low_Standard</f>
        <v>0</v>
      </c>
      <c r="T12" s="5">
        <f ca="1">TOU_Low_Standard_New_TOU</f>
        <v>28326401.440370314</v>
      </c>
      <c r="U12" s="5">
        <f ca="1">TOU_Low_Standard_Exist_TOU</f>
        <v>28326401.440370314</v>
      </c>
      <c r="V12" s="31" t="s">
        <v>18</v>
      </c>
    </row>
    <row r="13" spans="2:22">
      <c r="C13" t="s">
        <v>66</v>
      </c>
      <c r="D13" t="str">
        <f ca="1">Selected_Transmission</f>
        <v>[0 - 300km]</v>
      </c>
      <c r="F13" t="s">
        <v>135</v>
      </c>
      <c r="H13" s="5">
        <f>TOU_High_OffPeak</f>
        <v>0</v>
      </c>
      <c r="I13" s="5">
        <f ca="1">TOU_High_OffPeak_New_TOU</f>
        <v>12055408.846290588</v>
      </c>
      <c r="J13" s="5">
        <f ca="1">TOU_High_OffPeak_Exist_TOU</f>
        <v>12055408.846290588</v>
      </c>
      <c r="K13" s="31" t="s">
        <v>18</v>
      </c>
      <c r="N13" t="str">
        <f t="shared" si="1"/>
        <v>Transmission zone</v>
      </c>
      <c r="O13" t="str">
        <f t="shared" ca="1" si="0"/>
        <v>[0 - 300km]</v>
      </c>
      <c r="Q13" t="s">
        <v>135</v>
      </c>
      <c r="S13" s="5">
        <f>TOU_Low_OffPeak</f>
        <v>0</v>
      </c>
      <c r="T13" s="5">
        <f ca="1">TOU_Low_OffPeak_New_TOU</f>
        <v>39219561.323535919</v>
      </c>
      <c r="U13" s="5">
        <f ca="1">TOU_Low_OffPeak_Exist_TOU</f>
        <v>39219561.323535919</v>
      </c>
      <c r="V13" s="31" t="s">
        <v>18</v>
      </c>
    </row>
    <row r="14" spans="2:22">
      <c r="C14" t="s">
        <v>316</v>
      </c>
      <c r="D14" t="str">
        <f>Selected_Tariff_Category</f>
        <v>Non-Local Authority</v>
      </c>
      <c r="F14" t="s">
        <v>136</v>
      </c>
      <c r="H14" s="32">
        <f>SUM(H11:H13)</f>
        <v>0</v>
      </c>
      <c r="I14" s="32">
        <f ca="1">SUM(I11:I13)</f>
        <v>25392769.665307738</v>
      </c>
      <c r="J14" s="32">
        <f ca="1">SUM(J11:J13)</f>
        <v>25392769.665307738</v>
      </c>
      <c r="K14" s="31" t="s">
        <v>18</v>
      </c>
      <c r="N14" t="str">
        <f t="shared" si="1"/>
        <v>Tariff Classification</v>
      </c>
      <c r="O14" t="str">
        <f t="shared" si="0"/>
        <v>Non-Local Authority</v>
      </c>
      <c r="Q14" t="s">
        <v>136</v>
      </c>
      <c r="S14" s="32">
        <f>SUM(S11:S13)</f>
        <v>0</v>
      </c>
      <c r="T14" s="32">
        <f ca="1">SUM(T11:T13)</f>
        <v>78428607.513527527</v>
      </c>
      <c r="U14" s="32">
        <f ca="1">SUM(U11:U13)</f>
        <v>78428607.513527527</v>
      </c>
      <c r="V14" s="31" t="s">
        <v>18</v>
      </c>
    </row>
    <row r="15" spans="2:22">
      <c r="C15" t="s">
        <v>96</v>
      </c>
      <c r="D15" s="27">
        <f>PODs</f>
        <v>1</v>
      </c>
      <c r="F15" t="s">
        <v>137</v>
      </c>
      <c r="H15" s="5">
        <f>TOU_High_Excess_RE</f>
        <v>0</v>
      </c>
      <c r="I15" s="5">
        <f ca="1">TOU_High_Excess_RE_New_TOU</f>
        <v>4144956.5667951973</v>
      </c>
      <c r="J15" s="5">
        <f ca="1">TOU_High_Excess_RE_Exist_TOU</f>
        <v>4144956.5667951973</v>
      </c>
      <c r="K15" s="31" t="s">
        <v>20</v>
      </c>
      <c r="N15" t="str">
        <f t="shared" si="1"/>
        <v>No of PODS</v>
      </c>
      <c r="O15" s="27">
        <f t="shared" si="0"/>
        <v>1</v>
      </c>
      <c r="Q15" t="s">
        <v>137</v>
      </c>
      <c r="S15" s="5">
        <f>TOU_Low_Excess_RE</f>
        <v>0</v>
      </c>
      <c r="T15" s="5">
        <f ca="1">TOU_Low_Excess_RE_New_TOU</f>
        <v>0</v>
      </c>
      <c r="U15" s="5">
        <f ca="1">TOU_Low_Excess_RE_Exist_TOU</f>
        <v>0</v>
      </c>
      <c r="V15" s="31" t="s">
        <v>20</v>
      </c>
    </row>
    <row r="16" spans="2:22">
      <c r="C16" t="s">
        <v>97</v>
      </c>
      <c r="D16" t="str">
        <f ca="1">Selected_Supply_Size</f>
        <v>&gt;100kVA &amp; ≤500kVA</v>
      </c>
      <c r="F16" t="s">
        <v>148</v>
      </c>
      <c r="H16" s="5">
        <f>TOU_High_Days</f>
        <v>92</v>
      </c>
      <c r="I16" s="5">
        <f>TOU_High_Days</f>
        <v>92</v>
      </c>
      <c r="J16" s="5">
        <f>TOU_High_Days</f>
        <v>92</v>
      </c>
      <c r="K16" s="31" t="s">
        <v>162</v>
      </c>
      <c r="N16" t="str">
        <f t="shared" si="1"/>
        <v>Size of supply</v>
      </c>
      <c r="O16" t="str">
        <f t="shared" ca="1" si="0"/>
        <v>&gt;100kVA &amp; ≤500kVA</v>
      </c>
      <c r="Q16" t="s">
        <v>148</v>
      </c>
      <c r="S16" s="5">
        <f>TOU_Low_Days</f>
        <v>273</v>
      </c>
      <c r="T16" s="5">
        <f>TOU_Low_Days</f>
        <v>273</v>
      </c>
      <c r="U16" s="5">
        <f>TOU_Low_Days</f>
        <v>273</v>
      </c>
      <c r="V16" s="31" t="s">
        <v>162</v>
      </c>
    </row>
    <row r="18" spans="1:22" ht="22.8">
      <c r="B18" s="24" t="s">
        <v>101</v>
      </c>
      <c r="C18" s="24"/>
      <c r="D18" s="23" t="s">
        <v>110</v>
      </c>
      <c r="E18" s="23" t="str">
        <f>Current_Period &amp;" Rates"</f>
        <v>2025/26 Rates</v>
      </c>
      <c r="F18" s="23" t="str">
        <f>New_Period &amp;" Rates"</f>
        <v>2026/27 Rates</v>
      </c>
      <c r="G18" s="23" t="str">
        <f>Current_Period&amp;" Charges"</f>
        <v>2025/26 Charges</v>
      </c>
      <c r="H18" s="23" t="str">
        <f>New_Period&amp;" Charges"</f>
        <v>2026/27 Charges</v>
      </c>
      <c r="I18" s="23" t="s">
        <v>141</v>
      </c>
      <c r="J18" s="23"/>
      <c r="K18" s="23"/>
      <c r="M18" s="24" t="s">
        <v>101</v>
      </c>
      <c r="N18" s="24"/>
      <c r="O18" s="23" t="s">
        <v>110</v>
      </c>
      <c r="P18" s="23" t="str">
        <f>Current_Period &amp;" Rates"</f>
        <v>2025/26 Rates</v>
      </c>
      <c r="Q18" s="23" t="str">
        <f>New_Period &amp;" Rates"</f>
        <v>2026/27 Rates</v>
      </c>
      <c r="R18" s="23" t="str">
        <f>Current_Period&amp;" Charges"</f>
        <v>2025/26 Charges</v>
      </c>
      <c r="S18" s="23" t="str">
        <f>New_Period&amp;" Charges"</f>
        <v>2026/27 Charges</v>
      </c>
      <c r="T18" s="23" t="s">
        <v>141</v>
      </c>
      <c r="U18" s="23"/>
      <c r="V18" s="23"/>
    </row>
    <row r="20" spans="1:22">
      <c r="A20" s="66" t="str">
        <f t="shared" ref="A20:A34" ca="1" si="2">IF(COUNTIF(B20:T20,"n/a")&gt;0,"n/a","")</f>
        <v>n/a</v>
      </c>
      <c r="C20" t="s">
        <v>98</v>
      </c>
      <c r="D20" s="55" t="s">
        <v>115</v>
      </c>
      <c r="E20" s="25" t="str">
        <f ca="1">'Rates Table'!E10</f>
        <v>n/a</v>
      </c>
      <c r="F20" s="25" t="str">
        <f ca="1">'Rates Table'!AT10</f>
        <v>n/a</v>
      </c>
      <c r="G20" s="58">
        <f ca="1">IFERROR(E20*(IF(Inputs!$G$29="No",High_Utilised_Capacity,High_Utilised_Capacity_Exist_TOU)),0)</f>
        <v>0</v>
      </c>
      <c r="H20" s="58">
        <f ca="1">IFERROR(F20*(IF(Inputs!$G$29="No",High_Utilised_Capacity,High_Utilised_Capacity_New_TOU)),0)</f>
        <v>0</v>
      </c>
      <c r="I20" s="33">
        <f ca="1">IFERROR(H20/G20-1,0)</f>
        <v>0</v>
      </c>
      <c r="J20" s="33"/>
      <c r="K20" s="33"/>
      <c r="N20" t="str">
        <f t="shared" ref="N20:Q25" si="3">C20</f>
        <v>Transmission network charge</v>
      </c>
      <c r="O20" s="55" t="str">
        <f t="shared" si="3"/>
        <v>R/kVA</v>
      </c>
      <c r="P20" s="25" t="str">
        <f t="shared" ca="1" si="3"/>
        <v>n/a</v>
      </c>
      <c r="Q20" s="25" t="str">
        <f t="shared" ca="1" si="3"/>
        <v>n/a</v>
      </c>
      <c r="R20" s="58">
        <f ca="1">IFERROR(P20*(IF(Inputs!$G$29="No",Low_Utilised_Capacity,Low_Utilised_Capacity_Exist_TOU)),0)</f>
        <v>0</v>
      </c>
      <c r="S20" s="58">
        <f ca="1">IFERROR(Q20*(IF(Inputs!$G$29="No",Low_Utilised_Capacity,Low_Utilised_Capacity_New_TOU)),0)</f>
        <v>0</v>
      </c>
      <c r="T20" s="33">
        <f ca="1">IFERROR(S20/R20-1,0)</f>
        <v>0</v>
      </c>
      <c r="U20" s="33"/>
      <c r="V20" s="33"/>
    </row>
    <row r="21" spans="1:22" ht="13.8" customHeight="1">
      <c r="A21" s="66" t="str">
        <f t="shared" ca="1" si="2"/>
        <v>n/a</v>
      </c>
      <c r="C21" t="s">
        <v>389</v>
      </c>
      <c r="D21" s="55" t="s">
        <v>115</v>
      </c>
      <c r="E21" s="25">
        <f ca="1">'Rates Table'!E11</f>
        <v>0</v>
      </c>
      <c r="F21" s="25" t="str">
        <f ca="1">'Rates Table'!AT11</f>
        <v>n/a</v>
      </c>
      <c r="G21" s="58">
        <f ca="1">IFERROR(E21*(IF(Inputs!$G$29="No",High_Utilised_Capacity,High_Utilised_Capacity_Exist_TOU)),0)</f>
        <v>0</v>
      </c>
      <c r="H21" s="58">
        <f ca="1">IFERROR(F21*(IF(Inputs!$G$29="No",High_Utilised_Capacity,High_Utilised_Capacity_New_TOU)),0)</f>
        <v>0</v>
      </c>
      <c r="I21" s="33">
        <f t="shared" ref="I21:I28" ca="1" si="4">IFERROR(H21/G21-1,0)</f>
        <v>0</v>
      </c>
      <c r="J21" s="33"/>
      <c r="K21" s="33"/>
      <c r="N21" t="str">
        <f t="shared" si="3"/>
        <v>Distribution network capacity charge</v>
      </c>
      <c r="O21" s="55" t="str">
        <f t="shared" si="3"/>
        <v>R/kVA</v>
      </c>
      <c r="P21" s="25">
        <f t="shared" ca="1" si="3"/>
        <v>0</v>
      </c>
      <c r="Q21" s="42" t="str">
        <f t="shared" ca="1" si="3"/>
        <v>n/a</v>
      </c>
      <c r="R21" s="58">
        <f ca="1">IFERROR(P21*(IF(Inputs!$G$29="No",Low_Utilised_Capacity,Low_Utilised_Capacity_Exist_TOU)),0)</f>
        <v>0</v>
      </c>
      <c r="S21" s="58">
        <f ca="1">IFERROR(Q21*(IF(Inputs!$G$29="No",Low_Utilised_Capacity,Low_Utilised_Capacity_New_TOU)),0)</f>
        <v>0</v>
      </c>
      <c r="T21" s="33">
        <f t="shared" ref="T21:T26" ca="1" si="5">IFERROR(S21/R21-1,0)</f>
        <v>0</v>
      </c>
      <c r="U21" s="33"/>
      <c r="V21" s="33"/>
    </row>
    <row r="22" spans="1:22">
      <c r="A22" s="66" t="str">
        <f t="shared" ca="1" si="2"/>
        <v/>
      </c>
      <c r="C22" t="s">
        <v>99</v>
      </c>
      <c r="D22" s="55" t="s">
        <v>115</v>
      </c>
      <c r="E22" s="25">
        <f ca="1">'Rates Table'!E12</f>
        <v>0</v>
      </c>
      <c r="F22" s="25">
        <f ca="1">'Rates Table'!AT12</f>
        <v>0</v>
      </c>
      <c r="G22" s="58">
        <f ca="1">IFERROR(E22*(IF(Inputs!$G$29="No",High_Demand,High_Demand_Exist_TOU)),0)</f>
        <v>0</v>
      </c>
      <c r="H22" s="58">
        <f ca="1">IFERROR(F22*(IF(Inputs!$G$29="No",High_Demand,High_Demand_New_TOU)),0)</f>
        <v>0</v>
      </c>
      <c r="I22" s="33">
        <f t="shared" ca="1" si="4"/>
        <v>0</v>
      </c>
      <c r="J22" s="33"/>
      <c r="K22" s="33"/>
      <c r="N22" t="str">
        <f t="shared" si="3"/>
        <v>Distribution network demand charge</v>
      </c>
      <c r="O22" s="55" t="str">
        <f t="shared" si="3"/>
        <v>R/kVA</v>
      </c>
      <c r="P22" s="25">
        <f t="shared" ca="1" si="3"/>
        <v>0</v>
      </c>
      <c r="Q22" s="42">
        <f t="shared" ca="1" si="3"/>
        <v>0</v>
      </c>
      <c r="R22" s="58">
        <f ca="1">IFERROR(P22*(IF(Inputs!$G$29="No",Low_Demand,Low_Demand_Exist_TOU)),0)</f>
        <v>0</v>
      </c>
      <c r="S22" s="58">
        <f ca="1">IFERROR(Q22*(IF(Inputs!$G$29="No",Low_Demand,Low_Demand_New_TOU)),0)</f>
        <v>0</v>
      </c>
      <c r="T22" s="33">
        <f t="shared" ca="1" si="5"/>
        <v>0</v>
      </c>
      <c r="U22" s="33"/>
      <c r="V22" s="33"/>
    </row>
    <row r="23" spans="1:22">
      <c r="A23" s="66" t="str">
        <f t="shared" ca="1" si="2"/>
        <v/>
      </c>
      <c r="C23" t="s">
        <v>317</v>
      </c>
      <c r="D23" s="55" t="s">
        <v>106</v>
      </c>
      <c r="E23" s="25">
        <f ca="1">'Rates Table'!E13</f>
        <v>29.7</v>
      </c>
      <c r="F23" s="25">
        <f ca="1">'Rates Table'!AT13</f>
        <v>32.299999999999997</v>
      </c>
      <c r="G23" s="58">
        <f ca="1">IFERROR(IF(Inputs!$G$29="No",E23*IF('Workings High'!$E$2="Miniflex",(High_Peak+High_Standard),High_Total_Energy),E23*IF('Workings High'!$E$2="Miniflex",(High_Peak_Exist_TOU+High_Standard_Exist_TOU),High_Total_Energy_Exist_TOU)),0)/100</f>
        <v>0</v>
      </c>
      <c r="H23" s="58">
        <f ca="1">IFERROR(IF(Inputs!$G$29="No",F23*IF('Bill Comparison'!$D$10="Miniflex",(High_Peak+High_Standard),High_Total_Energy),F23*IF('Bill Comparison'!$D$10="Miniflex",(High_Peak_New_TOU+High_Standard_New_TOU),High_Total_Energy_New_TOU)),0)/100</f>
        <v>0</v>
      </c>
      <c r="I23" s="33">
        <f ca="1">IFERROR(H23/G23-1,0)</f>
        <v>0</v>
      </c>
      <c r="J23" s="33"/>
      <c r="K23" s="33"/>
      <c r="N23" t="str">
        <f t="shared" si="3"/>
        <v>Network demand charge</v>
      </c>
      <c r="O23" s="55" t="str">
        <f t="shared" si="3"/>
        <v>c/kWh</v>
      </c>
      <c r="P23" s="25">
        <f t="shared" ca="1" si="3"/>
        <v>29.7</v>
      </c>
      <c r="Q23" s="25">
        <f t="shared" ca="1" si="3"/>
        <v>32.299999999999997</v>
      </c>
      <c r="R23" s="58">
        <f ca="1">IFERROR(IF(Inputs!$G$29="No",P23*IF('Workings Low'!$E$2="Miniflex",(Low_Peak+Low_Standard),Low_Total_Energy),P23*IF('Workings Low'!$E$2="Miniflex",(Low_Peak_Exist_TOU+Low_Standard_Exist_TOU),Low_Total_Energy_Exist_TOU)),0)/100</f>
        <v>0</v>
      </c>
      <c r="S23" s="58">
        <f ca="1">IFERROR(IF(Inputs!$G$29="No",Q23*IF('Bill Comparison'!$D$10="Miniflex",(Low_Peak+Low_Standard),Low_Total_Energy),Q23*IF('Bill Comparison'!$D$10="Miniflex",(Low_Peak_New_TOU+Low_Standard_New_TOU),Low_Total_Energy_New_TOU)),0)/100</f>
        <v>0</v>
      </c>
      <c r="T23" s="33">
        <f t="shared" ca="1" si="5"/>
        <v>0</v>
      </c>
      <c r="U23" s="33"/>
      <c r="V23" s="33"/>
    </row>
    <row r="24" spans="1:22" ht="21.6" customHeight="1">
      <c r="A24" s="66" t="str">
        <f t="shared" ca="1" si="2"/>
        <v/>
      </c>
      <c r="C24" t="s">
        <v>144</v>
      </c>
      <c r="D24" s="55" t="s">
        <v>115</v>
      </c>
      <c r="E24" s="25">
        <f ca="1">'Rates Table'!E15</f>
        <v>0</v>
      </c>
      <c r="F24" s="25">
        <f ca="1">'Rates Table'!AT15</f>
        <v>0</v>
      </c>
      <c r="G24" s="58">
        <f ca="1">IFERROR(E24*(IF(Inputs!$G$29="No",High_Utilised_Capacity,High_Utilised_Capacity_Exist_TOU)),0)</f>
        <v>0</v>
      </c>
      <c r="H24" s="58">
        <f ca="1">IFERROR(F24*(IF(Inputs!$G$29="No",High_Utilised_Capacity,High_Utilised_Capacity_New_TOU)),0)</f>
        <v>0</v>
      </c>
      <c r="I24" s="33">
        <f t="shared" ca="1" si="4"/>
        <v>0</v>
      </c>
      <c r="J24" s="33"/>
      <c r="K24" s="33"/>
      <c r="N24" t="str">
        <f t="shared" si="3"/>
        <v>LV Subsidy Charge</v>
      </c>
      <c r="O24" s="55" t="str">
        <f t="shared" si="3"/>
        <v>R/kVA</v>
      </c>
      <c r="P24" s="25">
        <f t="shared" ca="1" si="3"/>
        <v>0</v>
      </c>
      <c r="Q24" s="25">
        <f t="shared" ca="1" si="3"/>
        <v>0</v>
      </c>
      <c r="R24" s="58">
        <f ca="1">IFERROR(E24*(IF(Inputs!$G$29="No",Low_Utilised_Capacity,Low_Utilised_Capacity_Exist_TOU)),0)</f>
        <v>0</v>
      </c>
      <c r="S24" s="58">
        <f ca="1">IFERROR(F24*(IF(Inputs!$G$29="No",Low_Utilised_Capacity,Low_Utilised_Capacity_New_TOU)),0)</f>
        <v>0</v>
      </c>
      <c r="T24" s="33">
        <f t="shared" ca="1" si="5"/>
        <v>0</v>
      </c>
      <c r="U24" s="33"/>
      <c r="V24" s="33"/>
    </row>
    <row r="25" spans="1:22" ht="21.6" hidden="1" customHeight="1">
      <c r="A25" s="66" t="str">
        <f t="shared" ca="1" si="2"/>
        <v/>
      </c>
      <c r="C25" t="s">
        <v>387</v>
      </c>
      <c r="D25" s="55" t="str">
        <f ca="1">IF(Table_1=1,"R/kVA","R/day")</f>
        <v>R/kVA</v>
      </c>
      <c r="E25" s="25">
        <f ca="1">'Rates Table'!E16</f>
        <v>49.85</v>
      </c>
      <c r="F25" s="25">
        <f ca="1">'Rates Table'!AT16</f>
        <v>54.22</v>
      </c>
      <c r="G25" s="58">
        <f ca="1">IFERROR(IF(Inputs!$G$29="No", IF(AND(Table_1=1,$D$10&lt;&gt;"Transflex 1",$D$10&lt;&gt;"Transflex 2"), E25*High_Utilised_Capacity, IF($D$10="Homepower Bulk",E25*3*Inputs!$G$27,E25*PODs*High_Days)), IF(AND(Table_1=1,$D$10&lt;&gt;"Transflex 1",$D$10&lt;&gt;"Transflex 2"), E25*High_Utilised_Capacity_Exist_TOU, IF($D$10="Homepower Bulk",E25*3*Inputs!$G$27,E25*PODs*High_Days))),0)</f>
        <v>0</v>
      </c>
      <c r="H25" s="58">
        <f ca="1">IFERROR(IF(Inputs!$G$29="No", IF(AND('Rates Table'!AT68,$D$10&lt;&gt;"Transflex 1",$D$10&lt;&gt;"Transflex 2"), F25*High_Utilised_Capacity, IF($D$10="Homepower Bulk",F25*3*Inputs!$G$27,F25*PODs*High_Days)), IF(AND('Rates Table'!AT68,$D$10&lt;&gt;"Transflex 1",$D$10&lt;&gt;"Transflex 2"), F25*High_Utilised_Capacity_New_TOU, IF($D$10="Homepower Bulk",F25*3*Inputs!$G$27,F25*PODs*High_Days))),0)</f>
        <v>0</v>
      </c>
      <c r="I25" s="33">
        <f t="shared" ca="1" si="4"/>
        <v>0</v>
      </c>
      <c r="J25" s="33"/>
      <c r="K25" s="33"/>
      <c r="N25" t="str">
        <f t="shared" si="3"/>
        <v>Network capacity charge</v>
      </c>
      <c r="O25" s="55" t="str">
        <f t="shared" ca="1" si="3"/>
        <v>R/kVA</v>
      </c>
      <c r="P25" s="25">
        <f t="shared" ca="1" si="3"/>
        <v>49.85</v>
      </c>
      <c r="Q25" s="25">
        <f t="shared" ca="1" si="3"/>
        <v>54.22</v>
      </c>
      <c r="R25" s="58">
        <f ca="1">IFERROR(IF(Inputs!$G$29="No", IF(AND(Table_1=1,$D$10&lt;&gt;"Transflex 1",$D$10&lt;&gt;"Transflex 2"), P25*Low_Utilised_Capacity, IF($D$10="Homepower Bulk",P25*9*Inputs!$G$27,P25*PODs*Low_Days)), IF(AND(Table_1=1,$D$10&lt;&gt;"Transflex 1",$D$10&lt;&gt;"Transflex 2"), P25*Low_Utilised_Capacity_Exist_TOU, IF($D$10="Homepower Bulk",P25*9*Inputs!$G$27,P25*PODs*Low_Days))),0)</f>
        <v>0</v>
      </c>
      <c r="S25" s="58">
        <f ca="1">IFERROR(IF(Inputs!$G$29="No", IF(AND(Table_1=1,$D$10&lt;&gt;"Transflex 1",$D$10&lt;&gt;"Transflex 2"), Q25*Low_Utilised_Capacity, IF($D$10="Homepower Bulk",Q25*9*Inputs!$G$27,Q25*PODs*Low_Days)), IF(AND(Table_1=1,$D$10&lt;&gt;"Transflex 1",$D$10&lt;&gt;"Transflex 2"), Q25*Low_Utilised_Capacity_Exist_TOU, IF($D$10="Homepower Bulk",Q25*9*Inputs!$G$27,Q25*PODs*Low_Days))),0)</f>
        <v>0</v>
      </c>
      <c r="T25" s="33">
        <f t="shared" ca="1" si="5"/>
        <v>0</v>
      </c>
      <c r="U25" s="33"/>
      <c r="V25" s="33"/>
    </row>
    <row r="26" spans="1:22" ht="14.4" hidden="1" customHeight="1">
      <c r="A26" s="66" t="str">
        <f t="shared" ca="1" si="2"/>
        <v>n/a</v>
      </c>
      <c r="C26" s="301" t="s">
        <v>545</v>
      </c>
      <c r="D26" s="55" t="s">
        <v>106</v>
      </c>
      <c r="E26" s="25" t="str">
        <f ca="1">'Rates Table'!E14</f>
        <v>n/a</v>
      </c>
      <c r="F26" s="25" t="str">
        <f ca="1">'Rates Table'!AT14</f>
        <v>n/a</v>
      </c>
      <c r="G26" s="58">
        <f ca="1">IFERROR(E26*IF(Inputs!$G$29="No",High_Total_Energy,High_Total_Energy_Exist_TOU),0)/100</f>
        <v>0</v>
      </c>
      <c r="H26" s="58">
        <f ca="1">IFERROR(F26*IF(Inputs!$G$29="No",High_Total_Energy,High_Total_Energy_New_TOU),0)/100</f>
        <v>0</v>
      </c>
      <c r="I26" s="33">
        <f t="shared" ca="1" si="4"/>
        <v>0</v>
      </c>
      <c r="J26" s="33"/>
      <c r="K26" s="33"/>
      <c r="N26" s="301" t="s">
        <v>545</v>
      </c>
      <c r="O26" s="55" t="s">
        <v>106</v>
      </c>
      <c r="P26" s="25" t="str">
        <f ca="1">'Rates Table'!E14</f>
        <v>n/a</v>
      </c>
      <c r="Q26" s="25" t="str">
        <f ca="1">'Rates Table'!AT14</f>
        <v>n/a</v>
      </c>
      <c r="R26" s="58">
        <f ca="1">IFERROR(P26*IF(Inputs!$G$29="No",Low_Total_Energy,Low_Total_Energy_Exist_TOU),0)/100</f>
        <v>0</v>
      </c>
      <c r="S26" s="58" cm="1">
        <f t="array" aca="1" ref="S26" ca="1">IFERROR(Q26*IF(Inputs!$G$29=No,Low_Total_Energy,Low_Total_Energy_New_TOU),0)/100</f>
        <v>0</v>
      </c>
      <c r="T26" s="33">
        <f t="shared" ca="1" si="5"/>
        <v>0</v>
      </c>
      <c r="U26" s="33"/>
      <c r="V26" s="33"/>
    </row>
    <row r="27" spans="1:22">
      <c r="A27" s="66" t="str">
        <f t="shared" si="2"/>
        <v/>
      </c>
    </row>
    <row r="28" spans="1:22">
      <c r="A28" s="66" t="str">
        <f t="shared" ca="1" si="2"/>
        <v/>
      </c>
      <c r="B28" s="7" t="s">
        <v>119</v>
      </c>
      <c r="C28" s="7"/>
      <c r="D28" s="6"/>
      <c r="E28" s="6"/>
      <c r="F28" s="6"/>
      <c r="G28" s="59">
        <f ca="1">SUM(G20:G26)</f>
        <v>0</v>
      </c>
      <c r="H28" s="59">
        <f ca="1">SUM(H20:H26)</f>
        <v>0</v>
      </c>
      <c r="I28" s="36">
        <f t="shared" ca="1" si="4"/>
        <v>0</v>
      </c>
      <c r="J28" s="36"/>
      <c r="K28" s="36"/>
      <c r="M28" s="7" t="s">
        <v>119</v>
      </c>
      <c r="N28" s="7"/>
      <c r="O28" s="6"/>
      <c r="P28" s="6"/>
      <c r="Q28" s="6"/>
      <c r="R28" s="59">
        <f ca="1">SUM(R20:R26)</f>
        <v>0</v>
      </c>
      <c r="S28" s="59">
        <f ca="1">SUM(S20:S26)</f>
        <v>0</v>
      </c>
      <c r="T28" s="36">
        <f ca="1">IFERROR(S28/R28-1,0)</f>
        <v>0</v>
      </c>
      <c r="U28" s="36"/>
      <c r="V28" s="36"/>
    </row>
    <row r="29" spans="1:22">
      <c r="A29" s="66" t="str">
        <f t="shared" si="2"/>
        <v/>
      </c>
    </row>
    <row r="30" spans="1:22" ht="22.8">
      <c r="A30" s="66" t="str">
        <f t="shared" si="2"/>
        <v/>
      </c>
      <c r="B30" s="24" t="s">
        <v>187</v>
      </c>
      <c r="C30" s="24"/>
      <c r="D30" s="23" t="s">
        <v>110</v>
      </c>
      <c r="E30" s="23" t="str">
        <f>E18</f>
        <v>2025/26 Rates</v>
      </c>
      <c r="F30" s="23" t="str">
        <f>F18</f>
        <v>2026/27 Rates</v>
      </c>
      <c r="G30" s="23" t="str">
        <f>G18</f>
        <v>2025/26 Charges</v>
      </c>
      <c r="H30" s="23" t="str">
        <f>H18</f>
        <v>2026/27 Charges</v>
      </c>
      <c r="I30" s="23" t="s">
        <v>141</v>
      </c>
      <c r="J30" s="23"/>
      <c r="K30" s="23"/>
      <c r="M30" s="24" t="s">
        <v>187</v>
      </c>
      <c r="N30" s="24"/>
      <c r="O30" s="23" t="s">
        <v>110</v>
      </c>
      <c r="P30" s="23" t="str">
        <f>P18</f>
        <v>2025/26 Rates</v>
      </c>
      <c r="Q30" s="23" t="str">
        <f>Q18</f>
        <v>2026/27 Rates</v>
      </c>
      <c r="R30" s="23" t="str">
        <f>R18</f>
        <v>2025/26 Charges</v>
      </c>
      <c r="S30" s="23" t="str">
        <f>S18</f>
        <v>2026/27 Charges</v>
      </c>
      <c r="T30" s="23" t="s">
        <v>141</v>
      </c>
      <c r="U30" s="23"/>
      <c r="V30" s="23"/>
    </row>
    <row r="31" spans="1:22">
      <c r="A31" s="66" t="str">
        <f t="shared" si="2"/>
        <v/>
      </c>
    </row>
    <row r="32" spans="1:22">
      <c r="A32" s="66" t="str">
        <f t="shared" ca="1" si="2"/>
        <v/>
      </c>
      <c r="C32" t="s">
        <v>309</v>
      </c>
      <c r="D32" s="55" t="s">
        <v>106</v>
      </c>
      <c r="E32" s="25">
        <f ca="1">'Rates Table'!E22</f>
        <v>684.59</v>
      </c>
      <c r="F32" s="25">
        <f ca="1">'Rates Table'!AT22</f>
        <v>739.28</v>
      </c>
      <c r="G32" s="58">
        <f ca="1">IFERROR(E32*IF(Inputs!$G$29="No",High_Peak,High_Peak_Exist_TOU),0)/100</f>
        <v>0</v>
      </c>
      <c r="H32" s="58">
        <f ca="1">IFERROR(F32*IF(Inputs!$G$29="No",High_Peak,High_Peak_New_TOU),0)/100</f>
        <v>0</v>
      </c>
      <c r="I32" s="33">
        <f ca="1">IFERROR(H32/G32-1,0)</f>
        <v>0</v>
      </c>
      <c r="J32" s="33"/>
      <c r="K32" s="33"/>
      <c r="N32" t="s">
        <v>120</v>
      </c>
      <c r="O32" s="55" t="str">
        <f>D32</f>
        <v>c/kWh</v>
      </c>
      <c r="P32" s="25">
        <f ca="1">'Rates Table'!E37</f>
        <v>284.12</v>
      </c>
      <c r="Q32" s="25">
        <f ca="1">'Rates Table'!AT37</f>
        <v>306.82</v>
      </c>
      <c r="R32" s="58">
        <f ca="1">IFERROR(P32*IF(Inputs!$G$29="No",Low_Peak,Low_Peak_Exist_TOU),0)/100</f>
        <v>0</v>
      </c>
      <c r="S32" s="58">
        <f ca="1">IFERROR(Q32*IF(Inputs!$G$29="No",Low_Peak,Low_Peak_New_TOU),0)/100</f>
        <v>0</v>
      </c>
      <c r="T32" s="33">
        <f ca="1">IFERROR(S32/R32-1,0)</f>
        <v>0</v>
      </c>
      <c r="U32" s="33"/>
      <c r="V32" s="33"/>
    </row>
    <row r="33" spans="1:22">
      <c r="A33" s="66" t="str">
        <f t="shared" ca="1" si="2"/>
        <v/>
      </c>
      <c r="C33" t="s">
        <v>310</v>
      </c>
      <c r="D33" s="55" t="s">
        <v>106</v>
      </c>
      <c r="E33" s="25">
        <f ca="1">'Rates Table'!E23</f>
        <v>171.15</v>
      </c>
      <c r="F33" s="25">
        <f ca="1">'Rates Table'!AT23</f>
        <v>184.82</v>
      </c>
      <c r="G33" s="58">
        <f ca="1">IFERROR(E33*IF(Inputs!$G$29="No",High_Standard,High_Standard_Exist_TOU),0)/100</f>
        <v>0</v>
      </c>
      <c r="H33" s="58">
        <f ca="1">IFERROR(F33*IF(Inputs!$G$29="No",High_Standard,High_Standard_New_TOU),0)/100</f>
        <v>0</v>
      </c>
      <c r="I33" s="33">
        <f ca="1">IFERROR(H33/G33-1,0)</f>
        <v>0</v>
      </c>
      <c r="J33" s="33"/>
      <c r="K33" s="33"/>
      <c r="N33" t="s">
        <v>121</v>
      </c>
      <c r="O33" s="55" t="str">
        <f>D33</f>
        <v>c/kWh</v>
      </c>
      <c r="P33" s="25">
        <f ca="1">'Rates Table'!E38</f>
        <v>159.74</v>
      </c>
      <c r="Q33" s="25">
        <f ca="1">'Rates Table'!AT38</f>
        <v>172.5</v>
      </c>
      <c r="R33" s="58">
        <f ca="1">IFERROR(P33*IF(Inputs!$G$29="No",Low_Standard,Low_Standard_Exist_TOU),0)/100</f>
        <v>0</v>
      </c>
      <c r="S33" s="58">
        <f ca="1">IFERROR(Q33*IF(Inputs!$G$29="No",Low_Standard,Low_Standard_New_TOU),0)/100</f>
        <v>0</v>
      </c>
      <c r="T33" s="33">
        <f ca="1">IFERROR(S33/R33-1,0)</f>
        <v>0</v>
      </c>
      <c r="U33" s="33"/>
      <c r="V33" s="33"/>
    </row>
    <row r="34" spans="1:22">
      <c r="A34" s="66" t="str">
        <f t="shared" ca="1" si="2"/>
        <v/>
      </c>
      <c r="C34" t="s">
        <v>311</v>
      </c>
      <c r="D34" s="55" t="s">
        <v>106</v>
      </c>
      <c r="E34" s="25">
        <f ca="1">'Rates Table'!E24</f>
        <v>114.09</v>
      </c>
      <c r="F34" s="25">
        <f ca="1">'Rates Table'!AT24</f>
        <v>123.2</v>
      </c>
      <c r="G34" s="58">
        <f ca="1">IFERROR(E34*IF(Inputs!$G$29="No",High_OffPeak,High_OffPeak_Exist_TOU),0)/100</f>
        <v>0</v>
      </c>
      <c r="H34" s="58">
        <f ca="1">IFERROR(F34*IF(Inputs!$G$29="No",High_OffPeak,High_OffPeak_New_TOU),0)/100</f>
        <v>0</v>
      </c>
      <c r="I34" s="33">
        <f ca="1">IFERROR(H34/G34-1,0)</f>
        <v>0</v>
      </c>
      <c r="J34" s="33"/>
      <c r="K34" s="33"/>
      <c r="N34" t="s">
        <v>122</v>
      </c>
      <c r="O34" s="55" t="str">
        <f>D34</f>
        <v>c/kWh</v>
      </c>
      <c r="P34" s="25">
        <f ca="1">'Rates Table'!E39</f>
        <v>114.09</v>
      </c>
      <c r="Q34" s="25">
        <f ca="1">'Rates Table'!AT39</f>
        <v>123.2</v>
      </c>
      <c r="R34" s="58">
        <f ca="1">IFERROR(P34*IF(Inputs!$G$29="No",Low_OffPeak,Low_OffPeak_Exist_TOU),0)/100</f>
        <v>0</v>
      </c>
      <c r="S34" s="58">
        <f ca="1">IFERROR(Q34*IF(Inputs!$G$29="No",Low_OffPeak,Low_OffPeak_New_TOU),0)/100</f>
        <v>0</v>
      </c>
      <c r="T34" s="33">
        <f ca="1">IFERROR(S34/R34-1,0)</f>
        <v>0</v>
      </c>
      <c r="U34" s="33"/>
      <c r="V34" s="33"/>
    </row>
    <row r="35" spans="1:22">
      <c r="A35" s="66" t="str">
        <f ca="1">A34</f>
        <v/>
      </c>
      <c r="C35" s="294" t="s">
        <v>312</v>
      </c>
      <c r="D35" s="297"/>
      <c r="E35" s="298"/>
      <c r="F35" s="298"/>
      <c r="G35" s="295">
        <f ca="1">SUM(G32:G34)</f>
        <v>0</v>
      </c>
      <c r="H35" s="295">
        <f ca="1">SUM(H32:H34)</f>
        <v>0</v>
      </c>
      <c r="I35" s="296">
        <f ca="1">IFERROR(H35/G35-1,0)</f>
        <v>0</v>
      </c>
      <c r="J35" s="296"/>
      <c r="K35" s="296"/>
      <c r="N35" s="294" t="str">
        <f>C35</f>
        <v>Sub Total (TOU)</v>
      </c>
      <c r="O35" s="297"/>
      <c r="P35" s="297"/>
      <c r="Q35" s="297"/>
      <c r="R35" s="295">
        <f ca="1">SUM(R32:R34)</f>
        <v>0</v>
      </c>
      <c r="S35" s="295">
        <f ca="1">SUM(S32:S34)</f>
        <v>0</v>
      </c>
      <c r="T35" s="296">
        <f ca="1">IFERROR(S35/R35-1,0)</f>
        <v>0</v>
      </c>
      <c r="U35" s="296"/>
      <c r="V35" s="296"/>
    </row>
    <row r="36" spans="1:22">
      <c r="A36" s="66" t="str">
        <f ca="1">IF(COUNTIF(B33:T33,"n/a")&gt;0,"n/a","")</f>
        <v/>
      </c>
      <c r="C36" s="291"/>
      <c r="D36" s="40"/>
      <c r="E36" s="40"/>
      <c r="F36" s="40"/>
      <c r="G36" s="292"/>
      <c r="H36" s="292"/>
      <c r="I36" s="293"/>
      <c r="J36" s="293"/>
      <c r="K36" s="293"/>
      <c r="N36" s="291"/>
      <c r="O36" s="40"/>
      <c r="P36" s="40"/>
      <c r="Q36" s="40"/>
      <c r="R36" s="292"/>
      <c r="S36" s="292"/>
      <c r="T36" s="293"/>
      <c r="U36" s="293"/>
      <c r="V36" s="293"/>
    </row>
    <row r="37" spans="1:22">
      <c r="A37" s="66" t="str">
        <f t="shared" ref="A37:A68" ca="1" si="6">IF(COUNTIF(B37:T37,"n/a")&gt;0,"n/a","")</f>
        <v/>
      </c>
      <c r="C37" t="s">
        <v>507</v>
      </c>
      <c r="D37" s="55" t="str">
        <f ca="1">IFERROR(IF(Table_1=1, "R/kVA", "R/POD/day"),"R/kVA")</f>
        <v>R/kVA</v>
      </c>
      <c r="E37" s="25">
        <f ca="1">'Rates Table'!E30</f>
        <v>3.49</v>
      </c>
      <c r="F37" s="25">
        <f ca="1">'Rates Table'!AT30</f>
        <v>5.29</v>
      </c>
      <c r="G37" s="58">
        <f ca="1">IFERROR(IF(Inputs!$G$29="No", IF(AND(Table_1=1,$D$10&lt;&gt;"Transflex 1",$D$10&lt;&gt;"Transflex 2"), E37*High_Utilised_Capacity, IF($D$10="Homepower Bulk",E37*3*Inputs!$G$27,E37*PODs*High_Days)), IF(AND(Table_1=1,$D$10&lt;&gt;"Transflex 1",$D$10&lt;&gt;"Transflex 2"), E37*High_Utilised_Capacity_Exist_TOU, IF($D$10="Homepower Bulk",E37*3*Inputs!$G$27,E37*PODs*High_Days))),0)</f>
        <v>0</v>
      </c>
      <c r="H37" s="58">
        <f ca="1">IFERROR(IF(Inputs!$G$29="No", IF(AND(Table_1=1,$D$10&lt;&gt;"Transflex 1",$D$10&lt;&gt;"Transflex 2"), F37*High_Utilised_Capacity, IF($D$10="Homepower Bulk",F37*3*Inputs!$G$27,F37*PODs*High_Days)), IF(AND(Table_1=1,$D$10&lt;&gt;"Transflex 1",$D$10&lt;&gt;"Transflex 2"), F37*High_Utilised_Capacity_Exist_TOU, IF($D$10="Homepower Bulk",F37*3*Inputs!$G$27,F37*PODs*High_Days))),0)</f>
        <v>0</v>
      </c>
      <c r="I37" s="33">
        <f ca="1">IFERROR(H37/G37-1,0)</f>
        <v>0</v>
      </c>
      <c r="J37" s="33"/>
      <c r="K37" s="33"/>
      <c r="N37" t="s">
        <v>507</v>
      </c>
      <c r="O37" s="55" t="str">
        <f ca="1">IFERROR(IF(Table_1=1, "R/kVA", "R/POD/day"),"R/kVA")</f>
        <v>R/kVA</v>
      </c>
      <c r="P37" s="25">
        <f ca="1">'Rates Table'!E45</f>
        <v>3.49</v>
      </c>
      <c r="Q37" s="25">
        <f ca="1">'Rates Table'!AT45</f>
        <v>5.29</v>
      </c>
      <c r="R37" s="58">
        <f ca="1">IFERROR(IF(Inputs!$G$29="No", IF(AND(Table_1=1,$D$10&lt;&gt;"Transflex 1",$D$10&lt;&gt;"Transflex 2"), P37*Low_Utilised_Capacity, IF($D$10="Homepower Bulk",P37*9*Inputs!$G$27,P37*PODs*Low_Days)), IF(AND(Table_1=1,$D$10&lt;&gt;"Transflex 1",$D$10&lt;&gt;"Transflex 2"), P37*Low_Utilised_Capacity_Exist_TOU, IF($D$10="Homepower Bulk",P37*9*Inputs!$G$27,P37*PODs*Low_Days))),0)</f>
        <v>0</v>
      </c>
      <c r="S37" s="58">
        <f ca="1">IFERROR(IF(Inputs!$G$29="No", IF(AND(Table_1=1,$D$10&lt;&gt;"Transflex 1",$D$10&lt;&gt;"Transflex 2"), Q37*Low_Utilised_Capacity, IF($D$10="Homepower Bulk",Q37*9*Inputs!$G$27,Q37*PODs*Low_Days)), IF(AND(Table_1=1,$D$10&lt;&gt;"Transflex 1",$D$10&lt;&gt;"Transflex 2"), Q37*Low_Utilised_Capacity_Exist_TOU, IF($D$10="Homepower Bulk",Q37*9*Inputs!$G$27,Q37*PODs*Low_Days))),0)</f>
        <v>0</v>
      </c>
      <c r="T37" s="33">
        <f ca="1">IFERROR(S37/R37-1,0)</f>
        <v>0</v>
      </c>
      <c r="U37" s="33"/>
      <c r="V37" s="33"/>
    </row>
    <row r="38" spans="1:22">
      <c r="A38" s="66" t="str">
        <f t="shared" ca="1" si="6"/>
        <v/>
      </c>
      <c r="C38" t="s">
        <v>533</v>
      </c>
      <c r="D38" s="55" t="s">
        <v>106</v>
      </c>
      <c r="E38" s="25">
        <f ca="1">'Rates Table'!E31</f>
        <v>22.78</v>
      </c>
      <c r="F38" s="25">
        <f ca="1">'Rates Table'!AT31</f>
        <v>24.78</v>
      </c>
      <c r="G38" s="58">
        <f ca="1">IFERROR(E38*IF(Inputs!$G$29="No",High_Total_Energy,High_Total_Energy_Exist_TOU),0)/100</f>
        <v>0</v>
      </c>
      <c r="H38" s="58">
        <f ca="1">IFERROR(F38*IF(Inputs!$G$29="No",High_Total_Energy,High_Total_Energy_New_TOU),0)/100</f>
        <v>0</v>
      </c>
      <c r="I38" s="33">
        <f ca="1">IFERROR(H38/G38-1,0)</f>
        <v>0</v>
      </c>
      <c r="J38" s="33"/>
      <c r="K38" s="33"/>
      <c r="N38" t="s">
        <v>533</v>
      </c>
      <c r="O38" s="55" t="s">
        <v>106</v>
      </c>
      <c r="P38" s="25">
        <f ca="1">'Rates Table'!E46</f>
        <v>22.78</v>
      </c>
      <c r="Q38" s="25">
        <f ca="1">'Rates Table'!AT46</f>
        <v>24.78</v>
      </c>
      <c r="R38" s="58">
        <f ca="1">IFERROR(P38*IF(Inputs!$G$29="No",Low_Total_Energy,Low_Total_Energy_Exist_TOU),0)/100</f>
        <v>0</v>
      </c>
      <c r="S38" s="58">
        <f ca="1">IFERROR(Q38*IF(Inputs!$G$29="No",Low_Total_Energy,Low_Total_Energy_New_TOU),0)/100</f>
        <v>0</v>
      </c>
      <c r="T38" s="33">
        <f ca="1">IFERROR(S38/R38-1,0)</f>
        <v>0</v>
      </c>
      <c r="U38" s="33"/>
      <c r="V38" s="33"/>
    </row>
    <row r="39" spans="1:22">
      <c r="A39" s="66" t="str">
        <f t="shared" si="6"/>
        <v/>
      </c>
      <c r="D39" s="3"/>
      <c r="O39" s="3"/>
    </row>
    <row r="40" spans="1:22" hidden="1">
      <c r="A40" s="66" t="str">
        <f t="shared" ca="1" si="6"/>
        <v>n/a</v>
      </c>
      <c r="C40" t="s">
        <v>326</v>
      </c>
      <c r="D40" s="55" t="s">
        <v>106</v>
      </c>
      <c r="E40" s="25" t="str">
        <f ca="1">'Rates Table'!E26</f>
        <v>n/a</v>
      </c>
      <c r="F40" s="42" t="str">
        <f ca="1">'Rates Table'!AT26</f>
        <v>n/a</v>
      </c>
      <c r="G40" s="58">
        <f ca="1">IFERROR(E40*IF(Inputs!$G$29="No",High_Total_Energy,High_Total_Energy_Exist_TOU),0)/100</f>
        <v>0</v>
      </c>
      <c r="H40" s="58">
        <f ca="1">IFERROR(F40*IF(Inputs!$G$29="No",High_Total_Energy,High_Total_Energy_New_TOU),0)/100</f>
        <v>0</v>
      </c>
      <c r="I40" s="33">
        <f ca="1">IFERROR(H40/G40-1,0)</f>
        <v>0</v>
      </c>
      <c r="J40" s="33"/>
      <c r="K40" s="33"/>
      <c r="N40" t="str">
        <f t="shared" ref="N40:O42" si="7">C40</f>
        <v>Sub Total (non-TOU)</v>
      </c>
      <c r="O40" s="55" t="str">
        <f t="shared" si="7"/>
        <v>c/kWh</v>
      </c>
      <c r="P40" s="25" t="str">
        <f ca="1">'Rates Table'!E41</f>
        <v>n/a</v>
      </c>
      <c r="Q40" s="42" t="str">
        <f ca="1">'Rates Table'!AT41</f>
        <v>n/a</v>
      </c>
      <c r="R40" s="58">
        <f ca="1">IFERROR(P40*IF(Inputs!$G$29="No",Low_Total_Energy,Low_Total_Energy_Exist_TOU),0)/100</f>
        <v>0</v>
      </c>
      <c r="S40" s="58">
        <f ca="1">IFERROR(Q40*IF(Inputs!$G$29="No",Low_Total_Energy,Low_Total_Energy_New_TOU),0)/100</f>
        <v>0</v>
      </c>
      <c r="T40" s="33">
        <f ca="1">IFERROR(S40/R40-1,0)</f>
        <v>0</v>
      </c>
      <c r="U40" s="33"/>
      <c r="V40" s="33"/>
    </row>
    <row r="41" spans="1:22" hidden="1">
      <c r="A41" s="66" t="str">
        <f t="shared" ca="1" si="6"/>
        <v>n/a</v>
      </c>
      <c r="C41" t="s">
        <v>192</v>
      </c>
      <c r="D41" s="55" t="s">
        <v>106</v>
      </c>
      <c r="E41" s="25" t="str">
        <f ca="1">'Rates Table'!E27</f>
        <v>n/a</v>
      </c>
      <c r="F41" s="42" t="str">
        <f ca="1">'Rates Table'!AT27</f>
        <v>n/a</v>
      </c>
      <c r="G41" s="58">
        <f ca="1">IFERROR(E41*(High_Block_1),0)/100</f>
        <v>0</v>
      </c>
      <c r="H41" s="58">
        <f ca="1">IFERROR(F41*(High_Block_1),0)/100</f>
        <v>0</v>
      </c>
      <c r="I41" s="33">
        <f ca="1">IFERROR(H41/G41-1,0)</f>
        <v>0</v>
      </c>
      <c r="J41" s="33"/>
      <c r="K41" s="33"/>
      <c r="N41" t="str">
        <f t="shared" si="7"/>
        <v>Energy - Block 1</v>
      </c>
      <c r="O41" s="55" t="str">
        <f t="shared" si="7"/>
        <v>c/kWh</v>
      </c>
      <c r="P41" s="25" t="str">
        <f ca="1">'Rates Table'!E42</f>
        <v>n/a</v>
      </c>
      <c r="Q41" s="42" t="str">
        <f ca="1">'Rates Table'!AT42</f>
        <v>n/a</v>
      </c>
      <c r="R41" s="58">
        <f ca="1">IFERROR(P41*(Low_Block_1),0)/100</f>
        <v>0</v>
      </c>
      <c r="S41" s="58">
        <f ca="1">IFERROR(Q41*(Low_Block_1),0)/100</f>
        <v>0</v>
      </c>
      <c r="T41" s="33">
        <f ca="1">IFERROR(S41/R41-1,0)</f>
        <v>0</v>
      </c>
      <c r="U41" s="33"/>
      <c r="V41" s="33"/>
    </row>
    <row r="42" spans="1:22" hidden="1">
      <c r="A42" s="66" t="str">
        <f t="shared" ca="1" si="6"/>
        <v>n/a</v>
      </c>
      <c r="C42" t="s">
        <v>193</v>
      </c>
      <c r="D42" s="55" t="s">
        <v>106</v>
      </c>
      <c r="E42" s="25" t="str">
        <f ca="1">'Rates Table'!E28</f>
        <v>n/a</v>
      </c>
      <c r="F42" s="42" t="str">
        <f ca="1">'Rates Table'!AT28</f>
        <v>n/a</v>
      </c>
      <c r="G42" s="58">
        <f ca="1">IFERROR(E42*(High_Block_2),0)/100</f>
        <v>0</v>
      </c>
      <c r="H42" s="58">
        <f ca="1">IFERROR(F42*(High_Block_2),0)/100</f>
        <v>0</v>
      </c>
      <c r="I42" s="33">
        <f ca="1">IFERROR(H42/G42-1,0)</f>
        <v>0</v>
      </c>
      <c r="J42" s="33"/>
      <c r="K42" s="33"/>
      <c r="N42" t="str">
        <f t="shared" si="7"/>
        <v>Energy - Block 2</v>
      </c>
      <c r="O42" s="55" t="str">
        <f t="shared" si="7"/>
        <v>c/kWh</v>
      </c>
      <c r="P42" s="25" t="str">
        <f ca="1">'Rates Table'!E43</f>
        <v>n/a</v>
      </c>
      <c r="Q42" s="42" t="str">
        <f ca="1">'Rates Table'!AT43</f>
        <v>n/a</v>
      </c>
      <c r="R42" s="58">
        <f ca="1">IFERROR(P42*(Low_Block_2),0)/100</f>
        <v>0</v>
      </c>
      <c r="S42" s="58">
        <f ca="1">IFERROR(Q42*(Low_Block_2),0)/100</f>
        <v>0</v>
      </c>
      <c r="T42" s="33">
        <f ca="1">IFERROR(S42/R42-1,0)</f>
        <v>0</v>
      </c>
      <c r="U42" s="33"/>
      <c r="V42" s="33"/>
    </row>
    <row r="43" spans="1:22" hidden="1">
      <c r="A43" s="66" t="str">
        <f t="shared" ca="1" si="6"/>
        <v>n/a</v>
      </c>
      <c r="C43" t="s">
        <v>149</v>
      </c>
      <c r="D43" s="55" t="s">
        <v>115</v>
      </c>
      <c r="E43" s="25" t="str">
        <f ca="1">'Rates Table'!E29</f>
        <v>n/a</v>
      </c>
      <c r="F43" s="25" t="str">
        <f ca="1">'Rates Table'!AT29</f>
        <v>n/a</v>
      </c>
      <c r="G43" s="58">
        <f ca="1">IFERROR(E43*IF(Inputs!$G$29="No",High_Demand,High_Demand_Exist_TOU),0)</f>
        <v>0</v>
      </c>
      <c r="H43" s="58">
        <f ca="1">IFERROR(F43*IF(Inputs!$G$29="No",High_Demand,High_Demand_New_TOU),0)</f>
        <v>0</v>
      </c>
      <c r="I43" s="33">
        <f ca="1">IFERROR(H43/G43-1,0)</f>
        <v>0</v>
      </c>
      <c r="J43" s="33"/>
      <c r="K43" s="33"/>
      <c r="N43" t="s">
        <v>149</v>
      </c>
      <c r="O43" s="55" t="str">
        <f>D43</f>
        <v>R/kVA</v>
      </c>
      <c r="P43" s="25" t="str">
        <f ca="1">'Rates Table'!E44</f>
        <v>n/a</v>
      </c>
      <c r="Q43" s="42" t="str">
        <f ca="1">'Rates Table'!AT44</f>
        <v>n/a</v>
      </c>
      <c r="R43" s="58">
        <f ca="1">IFERROR(P43*IF(Inputs!$G$29="No",Low_Demand,Low_Demand_Exist_TOU),0)</f>
        <v>0</v>
      </c>
      <c r="S43" s="58">
        <f ca="1">IFERROR(Q43*IF(Inputs!$G$29="No",Low_Demand,Low_Demand_New_TOU),0)</f>
        <v>0</v>
      </c>
      <c r="T43" s="33">
        <f ca="1">IFERROR(S43/R43-1,0)</f>
        <v>0</v>
      </c>
      <c r="U43" s="33"/>
      <c r="V43" s="33"/>
    </row>
    <row r="44" spans="1:22">
      <c r="A44" s="66" t="str">
        <f t="shared" si="6"/>
        <v/>
      </c>
    </row>
    <row r="45" spans="1:22">
      <c r="A45" s="66" t="str">
        <f t="shared" ca="1" si="6"/>
        <v/>
      </c>
      <c r="B45" s="7" t="s">
        <v>123</v>
      </c>
      <c r="C45" s="7"/>
      <c r="D45" s="6"/>
      <c r="E45" s="6"/>
      <c r="F45" s="6"/>
      <c r="G45" s="59">
        <f ca="1">SUM(G35:G43)</f>
        <v>0</v>
      </c>
      <c r="H45" s="59">
        <f ca="1">SUM(H35:H43)</f>
        <v>0</v>
      </c>
      <c r="I45" s="36">
        <f ca="1">IFERROR(H45/G45-1,0)</f>
        <v>0</v>
      </c>
      <c r="J45" s="36"/>
      <c r="K45" s="36"/>
      <c r="M45" s="7" t="s">
        <v>123</v>
      </c>
      <c r="N45" s="7"/>
      <c r="O45" s="6"/>
      <c r="P45" s="6"/>
      <c r="Q45" s="6"/>
      <c r="R45" s="59">
        <f ca="1">SUM(R35:R43)</f>
        <v>0</v>
      </c>
      <c r="S45" s="59">
        <f ca="1">SUM(S35:S43)</f>
        <v>0</v>
      </c>
      <c r="T45" s="36">
        <f ca="1">IFERROR(S45/R45-1,0)</f>
        <v>0</v>
      </c>
      <c r="U45" s="36"/>
      <c r="V45" s="36"/>
    </row>
    <row r="46" spans="1:22">
      <c r="A46" s="66" t="str">
        <f t="shared" si="6"/>
        <v/>
      </c>
    </row>
    <row r="47" spans="1:22" ht="22.8">
      <c r="A47" s="66" t="str">
        <f t="shared" si="6"/>
        <v/>
      </c>
      <c r="B47" s="24" t="s">
        <v>142</v>
      </c>
      <c r="C47" s="24"/>
      <c r="D47" s="23" t="s">
        <v>110</v>
      </c>
      <c r="E47" s="23" t="str">
        <f>E18</f>
        <v>2025/26 Rates</v>
      </c>
      <c r="F47" s="23" t="str">
        <f>F18</f>
        <v>2026/27 Rates</v>
      </c>
      <c r="G47" s="23" t="str">
        <f>G18</f>
        <v>2025/26 Charges</v>
      </c>
      <c r="H47" s="23" t="str">
        <f>H18</f>
        <v>2026/27 Charges</v>
      </c>
      <c r="I47" s="23" t="s">
        <v>141</v>
      </c>
      <c r="J47" s="23"/>
      <c r="K47" s="23"/>
      <c r="M47" s="24" t="s">
        <v>142</v>
      </c>
      <c r="N47" s="24"/>
      <c r="O47" s="23" t="s">
        <v>110</v>
      </c>
      <c r="P47" s="23" t="str">
        <f>P18</f>
        <v>2025/26 Rates</v>
      </c>
      <c r="Q47" s="23" t="str">
        <f>Q18</f>
        <v>2026/27 Rates</v>
      </c>
      <c r="R47" s="23" t="str">
        <f>R18</f>
        <v>2025/26 Charges</v>
      </c>
      <c r="S47" s="23" t="str">
        <f>S18</f>
        <v>2026/27 Charges</v>
      </c>
      <c r="T47" s="23" t="s">
        <v>141</v>
      </c>
      <c r="U47" s="23"/>
      <c r="V47" s="23"/>
    </row>
    <row r="48" spans="1:22">
      <c r="A48" s="66" t="str">
        <f t="shared" si="6"/>
        <v/>
      </c>
    </row>
    <row r="49" spans="1:22">
      <c r="A49" s="66" t="str">
        <f t="shared" ca="1" si="6"/>
        <v/>
      </c>
      <c r="C49" t="s">
        <v>391</v>
      </c>
      <c r="D49" s="55" t="s">
        <v>106</v>
      </c>
      <c r="E49" s="25">
        <f ca="1">'Rates Table'!E52</f>
        <v>0.41</v>
      </c>
      <c r="F49" s="25">
        <f ca="1">'Rates Table'!AT52</f>
        <v>0.45</v>
      </c>
      <c r="G49" s="58">
        <f ca="1">IFERROR(E49*IF(Inputs!$G$29="No",High_Total_Energy,High_Total_Energy_Exist_TOU),0)/100</f>
        <v>0</v>
      </c>
      <c r="H49" s="58">
        <f ca="1">IFERROR(F49*IF(Inputs!$G$29="No",High_Total_Energy,High_Total_Energy_New_TOU),0)/100</f>
        <v>0</v>
      </c>
      <c r="I49" s="33">
        <f t="shared" ref="I49:I54" ca="1" si="8">IFERROR(H49/G49-1,0)</f>
        <v>0</v>
      </c>
      <c r="J49" s="33"/>
      <c r="K49" s="33"/>
      <c r="N49" t="str">
        <f>C49</f>
        <v xml:space="preserve">Ancillary service charge </v>
      </c>
      <c r="O49" s="55" t="str">
        <f>D49</f>
        <v>c/kWh</v>
      </c>
      <c r="P49" s="25">
        <f ca="1">E49</f>
        <v>0.41</v>
      </c>
      <c r="Q49" s="25">
        <f ca="1">F49</f>
        <v>0.45</v>
      </c>
      <c r="R49" s="58">
        <f ca="1">IFERROR(P49*IF(Inputs!$G$29="No",Low_Total_Energy,Low_Total_Energy_Exist_TOU),0)/100</f>
        <v>0</v>
      </c>
      <c r="S49" s="58">
        <f ca="1">IFERROR(Q49*IF(Inputs!$G$29="No",Low_Total_Energy,Low_Total_Energy_New_TOU),0)/100</f>
        <v>0</v>
      </c>
      <c r="T49" s="33">
        <f t="shared" ref="T49:T54" ca="1" si="9">IFERROR(S49/R49-1,0)</f>
        <v>0</v>
      </c>
      <c r="U49" s="33"/>
      <c r="V49" s="33"/>
    </row>
    <row r="50" spans="1:22">
      <c r="A50" s="66" t="str">
        <f t="shared" ca="1" si="6"/>
        <v/>
      </c>
      <c r="C50" t="s">
        <v>116</v>
      </c>
      <c r="D50" s="55" t="s">
        <v>109</v>
      </c>
      <c r="E50" s="25">
        <f ca="1">'Rates Table'!E53</f>
        <v>13.81</v>
      </c>
      <c r="F50" s="25">
        <f ca="1">'Rates Table'!AT53</f>
        <v>15.02</v>
      </c>
      <c r="G50" s="58">
        <f ca="1">IFERROR(E50*IF(Inputs!$G$29="No",High_Excess_RE,High_Excess_RE_Exist_TOU),0)/100</f>
        <v>0</v>
      </c>
      <c r="H50" s="58">
        <f ca="1">IFERROR(F50*IF(Inputs!$G$29="No",High_Excess_RE,High_Excess_RE_New_TOU),0)/100</f>
        <v>0</v>
      </c>
      <c r="I50" s="33">
        <f t="shared" ca="1" si="8"/>
        <v>0</v>
      </c>
      <c r="J50" s="33"/>
      <c r="K50" s="33"/>
      <c r="N50" t="str">
        <f t="shared" ref="N50:O54" si="10">C50</f>
        <v>Reactive energy charge</v>
      </c>
      <c r="O50" s="55" t="str">
        <f t="shared" si="10"/>
        <v>c/kVArh</v>
      </c>
      <c r="P50" s="25">
        <f ca="1">IF(OR($D$10="Transflex 1",$D$10="Transflex 2"), 'Rates Table'!E53,0)</f>
        <v>0</v>
      </c>
      <c r="Q50" s="25">
        <f ca="1">IF(OR($D$10="Transflex 1",$D$10="Transflex 2"), 'Rates Table'!AT53,0)</f>
        <v>0</v>
      </c>
      <c r="R50" s="58">
        <f ca="1">IFERROR(P50*IF(Inputs!$G$29="No",Low_Excess_RE,Low_Excess_RE_Exist_TOU),0)/100</f>
        <v>0</v>
      </c>
      <c r="S50" s="58">
        <f ca="1">IFERROR(Q50*IF(Inputs!$G$29="No",Low_Excess_RE,Low_Excess_RE_New_TOU),0)/100</f>
        <v>0</v>
      </c>
      <c r="T50" s="33">
        <f t="shared" ca="1" si="9"/>
        <v>0</v>
      </c>
      <c r="U50" s="33"/>
      <c r="V50" s="33"/>
    </row>
    <row r="51" spans="1:22">
      <c r="A51" s="66" t="str">
        <f t="shared" ca="1" si="6"/>
        <v/>
      </c>
      <c r="C51" t="s">
        <v>314</v>
      </c>
      <c r="D51" s="55" t="s">
        <v>106</v>
      </c>
      <c r="E51" s="25">
        <f ca="1">'Rates Table'!E54</f>
        <v>4.9400000000000004</v>
      </c>
      <c r="F51" s="25">
        <f ca="1">'Rates Table'!AT54</f>
        <v>5.37</v>
      </c>
      <c r="G51" s="58">
        <f ca="1">IFERROR(E51*IF(Inputs!$G$29="No",High_Total_Energy,High_Total_Energy_Exist_TOU),0)/100</f>
        <v>0</v>
      </c>
      <c r="H51" s="58">
        <f ca="1">IFERROR(F51*IF(Inputs!$G$29="No",High_Total_Energy,High_Total_Energy_New_TOU),0)/100</f>
        <v>0</v>
      </c>
      <c r="I51" s="33">
        <f t="shared" ca="1" si="8"/>
        <v>0</v>
      </c>
      <c r="J51" s="33"/>
      <c r="K51" s="33"/>
      <c r="N51" t="str">
        <f t="shared" si="10"/>
        <v>Electrification and rural subsidy charge</v>
      </c>
      <c r="O51" s="55" t="str">
        <f t="shared" si="10"/>
        <v>c/kWh</v>
      </c>
      <c r="P51" s="25">
        <f t="shared" ref="P51:Q54" ca="1" si="11">E51</f>
        <v>4.9400000000000004</v>
      </c>
      <c r="Q51" s="25">
        <f t="shared" ca="1" si="11"/>
        <v>5.37</v>
      </c>
      <c r="R51" s="58">
        <f ca="1">IFERROR(P51*IF(Inputs!$G$29="No",Low_Total_Energy,Low_Total_Energy_Exist_TOU),0)/100</f>
        <v>0</v>
      </c>
      <c r="S51" s="58">
        <f ca="1">IFERROR(Q51*IF(Inputs!$G$29="No",Low_Total_Energy,Low_Total_Energy_New_TOU),0)/100</f>
        <v>0</v>
      </c>
      <c r="T51" s="33">
        <f t="shared" ca="1" si="9"/>
        <v>0</v>
      </c>
      <c r="U51" s="33"/>
      <c r="V51" s="33"/>
    </row>
    <row r="52" spans="1:22" ht="16.8" customHeight="1">
      <c r="A52" s="66" t="str">
        <f t="shared" ca="1" si="6"/>
        <v/>
      </c>
      <c r="C52" t="s">
        <v>315</v>
      </c>
      <c r="D52" s="55" t="s">
        <v>106</v>
      </c>
      <c r="E52" s="25">
        <f ca="1">'Rates Table'!E55</f>
        <v>4.6900000000000004</v>
      </c>
      <c r="F52" s="25">
        <f ca="1">'Rates Table'!AT55</f>
        <v>5.0999999999999996</v>
      </c>
      <c r="G52" s="58">
        <f ca="1">IFERROR(E52*IF(Inputs!$G$29="No",High_Total_Energy,High_Total_Energy_Exist_TOU),0)/100</f>
        <v>0</v>
      </c>
      <c r="H52" s="58">
        <f ca="1">IFERROR(F52*IF(Inputs!$G$29="No",High_Total_Energy,High_Total_Energy_New_TOU),0)/100</f>
        <v>0</v>
      </c>
      <c r="I52" s="33">
        <f t="shared" ca="1" si="8"/>
        <v>0</v>
      </c>
      <c r="J52" s="33"/>
      <c r="K52" s="33"/>
      <c r="N52" t="str">
        <f t="shared" si="10"/>
        <v>Affordability subsidy charge</v>
      </c>
      <c r="O52" s="55" t="str">
        <f t="shared" si="10"/>
        <v>c/kWh</v>
      </c>
      <c r="P52" s="25">
        <f t="shared" ca="1" si="11"/>
        <v>4.6900000000000004</v>
      </c>
      <c r="Q52" s="25">
        <f t="shared" ca="1" si="11"/>
        <v>5.0999999999999996</v>
      </c>
      <c r="R52" s="58">
        <f ca="1">IFERROR(P52*IF(Inputs!$G$29="No",Low_Total_Energy,Low_Total_Energy_Exist_TOU),0)/100</f>
        <v>0</v>
      </c>
      <c r="S52" s="58">
        <f ca="1">IFERROR(Q52*IF(Inputs!$G$29="No",Low_Total_Energy,Low_Total_Energy_New_TOU),0)/100</f>
        <v>0</v>
      </c>
      <c r="T52" s="33">
        <f t="shared" ca="1" si="9"/>
        <v>0</v>
      </c>
      <c r="U52" s="33"/>
      <c r="V52" s="33"/>
    </row>
    <row r="53" spans="1:22">
      <c r="A53" s="66" t="str">
        <f t="shared" ca="1" si="6"/>
        <v/>
      </c>
      <c r="C53" t="s">
        <v>126</v>
      </c>
      <c r="D53" s="55" t="s">
        <v>147</v>
      </c>
      <c r="E53" s="25">
        <f ca="1">'Rates Table'!E56</f>
        <v>12.4</v>
      </c>
      <c r="F53" s="25">
        <f ca="1">'Rates Table'!AT56</f>
        <v>13.49</v>
      </c>
      <c r="G53" s="58">
        <f ca="1">IFERROR(E53*PODs*High_Days,0)</f>
        <v>1140.8</v>
      </c>
      <c r="H53" s="58">
        <f ca="1">IFERROR(F53*PODs*High_Days,0)</f>
        <v>1241.08</v>
      </c>
      <c r="I53" s="33">
        <f t="shared" ca="1" si="8"/>
        <v>8.7903225806451601E-2</v>
      </c>
      <c r="J53" s="33"/>
      <c r="K53" s="33"/>
      <c r="N53" t="str">
        <f t="shared" si="10"/>
        <v>Administration charge</v>
      </c>
      <c r="O53" s="55" t="str">
        <f t="shared" si="10"/>
        <v>R/day</v>
      </c>
      <c r="P53" s="25">
        <f t="shared" ca="1" si="11"/>
        <v>12.4</v>
      </c>
      <c r="Q53" s="25">
        <f t="shared" ca="1" si="11"/>
        <v>13.49</v>
      </c>
      <c r="R53" s="58">
        <f ca="1">IFERROR(P53*PODs*Low_Days,0)</f>
        <v>3385.2000000000003</v>
      </c>
      <c r="S53" s="58">
        <f ca="1">IFERROR(Q53*PODs*Low_Days,0)</f>
        <v>3682.77</v>
      </c>
      <c r="T53" s="33">
        <f t="shared" ca="1" si="9"/>
        <v>8.7903225806451601E-2</v>
      </c>
      <c r="U53" s="33"/>
      <c r="V53" s="33"/>
    </row>
    <row r="54" spans="1:22">
      <c r="A54" s="66" t="str">
        <f t="shared" ca="1" si="6"/>
        <v/>
      </c>
      <c r="C54" t="s">
        <v>127</v>
      </c>
      <c r="D54" s="55" t="str">
        <f ca="1">IF(Table_1=1,"R/day","R/day")</f>
        <v>R/day</v>
      </c>
      <c r="E54" s="25">
        <f ca="1">'Rates Table'!E57</f>
        <v>64.28</v>
      </c>
      <c r="F54" s="25">
        <f ca="1">'Rates Table'!AT57</f>
        <v>69.91</v>
      </c>
      <c r="G54" s="58">
        <f ca="1">IFERROR(IF(Table_1=1, E54*1*High_Days, E54*PODs*High_Days),0)</f>
        <v>5913.76</v>
      </c>
      <c r="H54" s="58">
        <f ca="1">IFERROR(IF('Rates Table'!AT68,F54*PODs*High_Days,F54*PODs*High_Days),0)</f>
        <v>6431.7199999999993</v>
      </c>
      <c r="I54" s="33">
        <f t="shared" ca="1" si="8"/>
        <v>8.7585563161169722E-2</v>
      </c>
      <c r="J54" s="33"/>
      <c r="K54" s="33"/>
      <c r="N54" t="str">
        <f t="shared" si="10"/>
        <v>Service charge</v>
      </c>
      <c r="O54" s="55" t="str">
        <f t="shared" ca="1" si="10"/>
        <v>R/day</v>
      </c>
      <c r="P54" s="25">
        <f t="shared" ca="1" si="11"/>
        <v>64.28</v>
      </c>
      <c r="Q54" s="25">
        <f t="shared" ca="1" si="11"/>
        <v>69.91</v>
      </c>
      <c r="R54" s="58">
        <f ca="1">IFERROR(IF(Table_1=1, P54*1*Low_Days, P54*PODs*Low_Days),0)</f>
        <v>17548.439999999999</v>
      </c>
      <c r="S54" s="58">
        <f ca="1">IFERROR(IF('Rates Table'!AT68, Q54*PODs*Low_Days, Q54*PODs*Low_Days),0)</f>
        <v>19085.43</v>
      </c>
      <c r="T54" s="33">
        <f t="shared" ca="1" si="9"/>
        <v>8.7585563161169944E-2</v>
      </c>
      <c r="U54" s="33"/>
      <c r="V54" s="33"/>
    </row>
    <row r="55" spans="1:22">
      <c r="A55" s="66" t="str">
        <f t="shared" si="6"/>
        <v/>
      </c>
    </row>
    <row r="56" spans="1:22">
      <c r="A56" s="66" t="str">
        <f t="shared" ca="1" si="6"/>
        <v/>
      </c>
      <c r="B56" s="7" t="s">
        <v>143</v>
      </c>
      <c r="C56" s="7"/>
      <c r="D56" s="6"/>
      <c r="E56" s="6"/>
      <c r="F56" s="6"/>
      <c r="G56" s="59">
        <f ca="1">SUM(G49:G54)</f>
        <v>7054.56</v>
      </c>
      <c r="H56" s="59">
        <f ca="1">SUM(H49:H54)</f>
        <v>7672.7999999999993</v>
      </c>
      <c r="I56" s="36">
        <f ca="1">IFERROR(H56/G56-1,0)</f>
        <v>8.7636932707355175E-2</v>
      </c>
      <c r="J56" s="36"/>
      <c r="K56" s="36"/>
      <c r="M56" s="7" t="s">
        <v>143</v>
      </c>
      <c r="N56" s="7"/>
      <c r="O56" s="6"/>
      <c r="P56" s="6"/>
      <c r="Q56" s="6"/>
      <c r="R56" s="59">
        <f ca="1">SUM(R49:R54)</f>
        <v>20933.64</v>
      </c>
      <c r="S56" s="59">
        <f ca="1">SUM(S49:S54)</f>
        <v>22768.2</v>
      </c>
      <c r="T56" s="36">
        <f ca="1">IFERROR(S56/R56-1,0)</f>
        <v>8.7636932707355397E-2</v>
      </c>
      <c r="U56" s="36"/>
      <c r="V56" s="36"/>
    </row>
    <row r="57" spans="1:22">
      <c r="A57" s="66" t="str">
        <f t="shared" si="6"/>
        <v/>
      </c>
    </row>
    <row r="58" spans="1:22">
      <c r="A58" s="66" t="str">
        <f t="shared" ca="1" si="6"/>
        <v/>
      </c>
      <c r="B58" s="7" t="s">
        <v>128</v>
      </c>
      <c r="C58" s="7"/>
      <c r="D58" s="6"/>
      <c r="E58" s="6"/>
      <c r="F58" s="6"/>
      <c r="G58" s="59">
        <f ca="1">G56+G45+G28</f>
        <v>7054.56</v>
      </c>
      <c r="H58" s="59">
        <f ca="1">H56+H45+H28</f>
        <v>7672.7999999999993</v>
      </c>
      <c r="I58" s="36">
        <f ca="1">IFERROR(H58/G58-1,0)</f>
        <v>8.7636932707355175E-2</v>
      </c>
      <c r="J58" s="36"/>
      <c r="K58" s="36"/>
      <c r="M58" s="7" t="s">
        <v>128</v>
      </c>
      <c r="N58" s="7"/>
      <c r="O58" s="6"/>
      <c r="P58" s="6"/>
      <c r="Q58" s="6"/>
      <c r="R58" s="59">
        <f ca="1">R56+R45+R28</f>
        <v>20933.64</v>
      </c>
      <c r="S58" s="59">
        <f ca="1">S56+S45+S28</f>
        <v>22768.2</v>
      </c>
      <c r="T58" s="36">
        <f ca="1">IFERROR(S58/R58-1,0)</f>
        <v>8.7636932707355397E-2</v>
      </c>
      <c r="U58" s="36"/>
      <c r="V58" s="36"/>
    </row>
    <row r="59" spans="1:22">
      <c r="A59" s="66" t="str">
        <f t="shared" ca="1" si="6"/>
        <v/>
      </c>
      <c r="B59" t="s">
        <v>129</v>
      </c>
      <c r="D59" s="404">
        <f>VAT</f>
        <v>0.15</v>
      </c>
      <c r="G59" s="58">
        <f ca="1">G58*$D59</f>
        <v>1058.184</v>
      </c>
      <c r="H59" s="58">
        <f ca="1">H58*$D59</f>
        <v>1150.9199999999998</v>
      </c>
      <c r="M59" t="s">
        <v>129</v>
      </c>
      <c r="O59" s="404">
        <f>VAT</f>
        <v>0.15</v>
      </c>
      <c r="R59" s="58">
        <f ca="1">R58*$D59</f>
        <v>3140.0459999999998</v>
      </c>
      <c r="S59" s="58">
        <f ca="1">S58*$D59</f>
        <v>3415.23</v>
      </c>
    </row>
    <row r="60" spans="1:22">
      <c r="A60" s="66" t="str">
        <f t="shared" si="6"/>
        <v/>
      </c>
    </row>
    <row r="61" spans="1:22" ht="12.6" thickBot="1">
      <c r="A61" s="66" t="str">
        <f t="shared" ca="1" si="6"/>
        <v/>
      </c>
      <c r="B61" s="35" t="s">
        <v>130</v>
      </c>
      <c r="C61" s="35"/>
      <c r="D61" s="37"/>
      <c r="E61" s="37"/>
      <c r="F61" s="37"/>
      <c r="G61" s="60">
        <f ca="1">SUM(G58:G59)</f>
        <v>8112.7440000000006</v>
      </c>
      <c r="H61" s="60">
        <f ca="1">SUM(H58:H59)</f>
        <v>8823.7199999999993</v>
      </c>
      <c r="I61" s="38">
        <f ca="1">IFERROR(H61/G61-1,0)</f>
        <v>8.7636932707355175E-2</v>
      </c>
      <c r="J61" s="38"/>
      <c r="K61" s="38"/>
      <c r="M61" s="35" t="s">
        <v>130</v>
      </c>
      <c r="N61" s="35"/>
      <c r="O61" s="37"/>
      <c r="P61" s="37"/>
      <c r="Q61" s="37"/>
      <c r="R61" s="60">
        <f ca="1">SUM(R58:R59)</f>
        <v>24073.685999999998</v>
      </c>
      <c r="S61" s="60">
        <f ca="1">SUM(S58:S59)</f>
        <v>26183.43</v>
      </c>
      <c r="T61" s="38">
        <f ca="1">IFERROR(S61/R61-1,0)</f>
        <v>8.7636932707355397E-2</v>
      </c>
      <c r="U61" s="38"/>
      <c r="V61" s="38"/>
    </row>
    <row r="62" spans="1:22">
      <c r="A62" s="66" t="str">
        <f t="shared" si="6"/>
        <v/>
      </c>
    </row>
    <row r="63" spans="1:22">
      <c r="A63" s="66" t="str">
        <f t="shared" ca="1" si="6"/>
        <v/>
      </c>
      <c r="B63" s="3" t="s">
        <v>318</v>
      </c>
      <c r="D63" s="3" t="s">
        <v>106</v>
      </c>
      <c r="G63" s="45">
        <f ca="1">IFERROR(G58/IF(Inputs!$G$29="No",High_Total_Energy,High_Total_Energy_Exist_TOU)*100,0)</f>
        <v>0</v>
      </c>
      <c r="H63" s="45">
        <f ca="1">IFERROR(H58/IF(Inputs!$G$29="No",High_Total_Energy,High_Total_Energy_Exist_TOU)*100,0)</f>
        <v>0</v>
      </c>
      <c r="I63" s="46">
        <f ca="1">IFERROR(H63/G63-1,0)</f>
        <v>0</v>
      </c>
      <c r="J63" s="46"/>
      <c r="K63" s="46"/>
      <c r="M63" s="3" t="s">
        <v>318</v>
      </c>
      <c r="O63" s="3" t="s">
        <v>106</v>
      </c>
      <c r="R63" s="45">
        <f ca="1">IFERROR(R58/IF(Inputs!$G$29="No",Low_Total_Energy,Low_Total_Energy_Exist_TOU)*100,0)</f>
        <v>0</v>
      </c>
      <c r="S63" s="45">
        <f ca="1">IFERROR(S58/IF(Inputs!$G$29="No",Low_Total_Energy,Low_Total_Energy_New_TOU)*100,0)</f>
        <v>0</v>
      </c>
      <c r="T63" s="46">
        <f ca="1">IFERROR(S63/R63-1,0)</f>
        <v>0</v>
      </c>
      <c r="U63" s="46"/>
      <c r="V63" s="46"/>
    </row>
    <row r="64" spans="1:22">
      <c r="A64" s="66" t="str">
        <f t="shared" si="6"/>
        <v/>
      </c>
    </row>
    <row r="65" spans="1:22" ht="13.2">
      <c r="A65" s="66" t="str">
        <f t="shared" si="6"/>
        <v/>
      </c>
      <c r="B65" s="34" t="s">
        <v>199</v>
      </c>
      <c r="C65" s="34"/>
      <c r="D65" s="34"/>
      <c r="E65" s="34"/>
      <c r="F65" s="34"/>
      <c r="G65" s="34"/>
      <c r="H65" s="34"/>
      <c r="I65" s="34"/>
      <c r="J65" s="34"/>
      <c r="K65" s="34"/>
      <c r="M65" s="34"/>
      <c r="N65" s="34"/>
      <c r="O65" s="34"/>
      <c r="P65" s="34"/>
      <c r="Q65" s="34"/>
      <c r="R65" s="34"/>
      <c r="S65" s="34"/>
      <c r="T65" s="34"/>
      <c r="U65" s="34"/>
      <c r="V65" s="34"/>
    </row>
    <row r="66" spans="1:22">
      <c r="A66" s="66" t="str">
        <f t="shared" si="6"/>
        <v/>
      </c>
    </row>
    <row r="67" spans="1:22" ht="22.8">
      <c r="A67" s="66" t="str">
        <f t="shared" si="6"/>
        <v/>
      </c>
      <c r="B67" s="24" t="s">
        <v>101</v>
      </c>
      <c r="C67" s="24"/>
      <c r="D67" s="23" t="s">
        <v>110</v>
      </c>
      <c r="E67" s="23" t="str">
        <f>E$18</f>
        <v>2025/26 Rates</v>
      </c>
      <c r="F67" s="23" t="str">
        <f>F$18</f>
        <v>2026/27 Rates</v>
      </c>
      <c r="G67" s="23" t="str">
        <f>G$18</f>
        <v>2025/26 Charges</v>
      </c>
      <c r="H67" s="23" t="str">
        <f>H$18</f>
        <v>2026/27 Charges</v>
      </c>
      <c r="I67" s="23" t="s">
        <v>141</v>
      </c>
      <c r="J67" s="23"/>
      <c r="K67" s="23"/>
    </row>
    <row r="68" spans="1:22">
      <c r="A68" s="66" t="str">
        <f t="shared" si="6"/>
        <v/>
      </c>
    </row>
    <row r="69" spans="1:22">
      <c r="A69" s="66" t="str">
        <f t="shared" ref="A69:A74" ca="1" si="12">A20</f>
        <v>n/a</v>
      </c>
      <c r="C69" t="str">
        <f t="shared" ref="C69:D74" si="13">C20</f>
        <v>Transmission network charge</v>
      </c>
      <c r="D69" s="55" t="str">
        <f t="shared" si="13"/>
        <v>R/kVA</v>
      </c>
      <c r="E69" s="25"/>
      <c r="F69" s="25"/>
      <c r="G69" s="58">
        <f t="shared" ref="G69:H75" ca="1" si="14">G20+R20</f>
        <v>0</v>
      </c>
      <c r="H69" s="58">
        <f t="shared" ca="1" si="14"/>
        <v>0</v>
      </c>
      <c r="I69" s="33">
        <f t="shared" ref="I69:I75" ca="1" si="15">IFERROR(H69/G69-1,0)</f>
        <v>0</v>
      </c>
      <c r="J69" s="33"/>
      <c r="K69" s="33"/>
    </row>
    <row r="70" spans="1:22">
      <c r="A70" s="66" t="str">
        <f t="shared" ca="1" si="12"/>
        <v>n/a</v>
      </c>
      <c r="C70" t="str">
        <f t="shared" si="13"/>
        <v>Distribution network capacity charge</v>
      </c>
      <c r="D70" s="55" t="str">
        <f t="shared" si="13"/>
        <v>R/kVA</v>
      </c>
      <c r="E70" s="25"/>
      <c r="F70" s="25"/>
      <c r="G70" s="58">
        <f t="shared" ca="1" si="14"/>
        <v>0</v>
      </c>
      <c r="H70" s="58">
        <f t="shared" ca="1" si="14"/>
        <v>0</v>
      </c>
      <c r="I70" s="33">
        <f t="shared" ca="1" si="15"/>
        <v>0</v>
      </c>
      <c r="J70" s="33"/>
      <c r="K70" s="33"/>
    </row>
    <row r="71" spans="1:22">
      <c r="A71" s="66" t="str">
        <f t="shared" ca="1" si="12"/>
        <v/>
      </c>
      <c r="C71" t="str">
        <f t="shared" si="13"/>
        <v>Distribution network demand charge</v>
      </c>
      <c r="D71" s="55" t="str">
        <f t="shared" si="13"/>
        <v>R/kVA</v>
      </c>
      <c r="E71" s="25"/>
      <c r="F71" s="25"/>
      <c r="G71" s="58">
        <f t="shared" ca="1" si="14"/>
        <v>0</v>
      </c>
      <c r="H71" s="58">
        <f t="shared" ca="1" si="14"/>
        <v>0</v>
      </c>
      <c r="I71" s="33">
        <f t="shared" ca="1" si="15"/>
        <v>0</v>
      </c>
      <c r="J71" s="33"/>
      <c r="K71" s="33"/>
    </row>
    <row r="72" spans="1:22">
      <c r="A72" s="66" t="str">
        <f t="shared" ca="1" si="12"/>
        <v/>
      </c>
      <c r="C72" t="str">
        <f t="shared" si="13"/>
        <v>Network demand charge</v>
      </c>
      <c r="D72" s="55" t="str">
        <f t="shared" si="13"/>
        <v>c/kWh</v>
      </c>
      <c r="E72" s="25"/>
      <c r="F72" s="25"/>
      <c r="G72" s="58">
        <f t="shared" ca="1" si="14"/>
        <v>0</v>
      </c>
      <c r="H72" s="58">
        <f t="shared" ca="1" si="14"/>
        <v>0</v>
      </c>
      <c r="I72" s="33">
        <f t="shared" ca="1" si="15"/>
        <v>0</v>
      </c>
      <c r="J72" s="33"/>
      <c r="K72" s="33"/>
    </row>
    <row r="73" spans="1:22">
      <c r="A73" s="66" t="str">
        <f t="shared" ca="1" si="12"/>
        <v/>
      </c>
      <c r="C73" t="str">
        <f t="shared" si="13"/>
        <v>LV Subsidy Charge</v>
      </c>
      <c r="D73" s="55" t="str">
        <f t="shared" si="13"/>
        <v>R/kVA</v>
      </c>
      <c r="E73" s="25"/>
      <c r="F73" s="25"/>
      <c r="G73" s="58">
        <f t="shared" ca="1" si="14"/>
        <v>0</v>
      </c>
      <c r="H73" s="58">
        <f t="shared" ca="1" si="14"/>
        <v>0</v>
      </c>
      <c r="I73" s="33">
        <f t="shared" ca="1" si="15"/>
        <v>0</v>
      </c>
      <c r="J73" s="33"/>
      <c r="K73" s="33"/>
    </row>
    <row r="74" spans="1:22" hidden="1">
      <c r="A74" s="66" t="str">
        <f t="shared" ca="1" si="12"/>
        <v/>
      </c>
      <c r="C74" t="str">
        <f t="shared" si="13"/>
        <v>Network capacity charge</v>
      </c>
      <c r="D74" s="55" t="str">
        <f t="shared" ca="1" si="13"/>
        <v>R/kVA</v>
      </c>
      <c r="E74" s="25"/>
      <c r="F74" s="25"/>
      <c r="G74" s="58">
        <f t="shared" ca="1" si="14"/>
        <v>0</v>
      </c>
      <c r="H74" s="58">
        <f t="shared" ca="1" si="14"/>
        <v>0</v>
      </c>
      <c r="I74" s="33">
        <f t="shared" ca="1" si="15"/>
        <v>0</v>
      </c>
      <c r="J74" s="33"/>
      <c r="K74" s="33"/>
    </row>
    <row r="75" spans="1:22" ht="24" hidden="1">
      <c r="A75" s="66" t="str">
        <f ca="1">A26</f>
        <v>n/a</v>
      </c>
      <c r="C75" s="301" t="s">
        <v>545</v>
      </c>
      <c r="D75" s="55" t="str">
        <f>D26</f>
        <v>c/kWh</v>
      </c>
      <c r="E75" s="25"/>
      <c r="F75" s="25"/>
      <c r="G75" s="58">
        <f t="shared" ca="1" si="14"/>
        <v>0</v>
      </c>
      <c r="H75" s="58">
        <f t="shared" ca="1" si="14"/>
        <v>0</v>
      </c>
      <c r="I75" s="33">
        <f t="shared" ca="1" si="15"/>
        <v>0</v>
      </c>
      <c r="J75" s="33"/>
      <c r="K75" s="33"/>
    </row>
    <row r="76" spans="1:22">
      <c r="A76" s="66" t="str">
        <f t="shared" ref="A76:A83" si="16">A27</f>
        <v/>
      </c>
    </row>
    <row r="77" spans="1:22">
      <c r="A77" s="66" t="str">
        <f t="shared" ca="1" si="16"/>
        <v/>
      </c>
      <c r="B77" s="7" t="s">
        <v>119</v>
      </c>
      <c r="C77" s="7"/>
      <c r="D77" s="6"/>
      <c r="E77" s="6"/>
      <c r="F77" s="6"/>
      <c r="G77" s="59">
        <f ca="1">SUM(G69:G75)</f>
        <v>0</v>
      </c>
      <c r="H77" s="59">
        <f ca="1">SUM(H69:H75)</f>
        <v>0</v>
      </c>
      <c r="I77" s="36">
        <f ca="1">IFERROR(H77/G77-1,0)</f>
        <v>0</v>
      </c>
      <c r="J77" s="36"/>
      <c r="K77" s="36"/>
    </row>
    <row r="78" spans="1:22">
      <c r="A78" s="66" t="str">
        <f t="shared" si="16"/>
        <v/>
      </c>
    </row>
    <row r="79" spans="1:22" ht="22.8">
      <c r="A79" s="66" t="str">
        <f t="shared" si="16"/>
        <v/>
      </c>
      <c r="B79" s="24" t="s">
        <v>187</v>
      </c>
      <c r="C79" s="24"/>
      <c r="D79" s="23" t="s">
        <v>110</v>
      </c>
      <c r="E79" s="23" t="str">
        <f>E$18</f>
        <v>2025/26 Rates</v>
      </c>
      <c r="F79" s="23" t="str">
        <f>F$18</f>
        <v>2026/27 Rates</v>
      </c>
      <c r="G79" s="23" t="str">
        <f>G$18</f>
        <v>2025/26 Charges</v>
      </c>
      <c r="H79" s="23" t="str">
        <f>H$18</f>
        <v>2026/27 Charges</v>
      </c>
      <c r="I79" s="23" t="s">
        <v>141</v>
      </c>
      <c r="J79" s="23"/>
      <c r="K79" s="23"/>
    </row>
    <row r="80" spans="1:22">
      <c r="A80" s="66" t="str">
        <f t="shared" si="16"/>
        <v/>
      </c>
    </row>
    <row r="81" spans="1:11">
      <c r="A81" s="66" t="str">
        <f t="shared" ca="1" si="16"/>
        <v/>
      </c>
      <c r="C81" t="s">
        <v>120</v>
      </c>
      <c r="D81" s="55" t="str">
        <f>D32</f>
        <v>c/kWh</v>
      </c>
      <c r="E81" s="25"/>
      <c r="F81" s="25"/>
      <c r="G81" s="58">
        <f t="shared" ref="G81:H83" ca="1" si="17">G32+R32</f>
        <v>0</v>
      </c>
      <c r="H81" s="58">
        <f t="shared" ca="1" si="17"/>
        <v>0</v>
      </c>
      <c r="I81" s="33">
        <f ca="1">IFERROR(H81/G81-1,0)</f>
        <v>0</v>
      </c>
      <c r="J81" s="33"/>
      <c r="K81" s="33"/>
    </row>
    <row r="82" spans="1:11">
      <c r="A82" s="66" t="str">
        <f t="shared" ca="1" si="16"/>
        <v/>
      </c>
      <c r="C82" t="s">
        <v>121</v>
      </c>
      <c r="D82" s="55" t="str">
        <f>D33</f>
        <v>c/kWh</v>
      </c>
      <c r="E82" s="25"/>
      <c r="F82" s="25"/>
      <c r="G82" s="58">
        <f t="shared" ca="1" si="17"/>
        <v>0</v>
      </c>
      <c r="H82" s="58">
        <f t="shared" ca="1" si="17"/>
        <v>0</v>
      </c>
      <c r="I82" s="33">
        <f ca="1">IFERROR(H82/G82-1,0)</f>
        <v>0</v>
      </c>
      <c r="J82" s="33"/>
      <c r="K82" s="33"/>
    </row>
    <row r="83" spans="1:11">
      <c r="A83" s="66" t="str">
        <f t="shared" ca="1" si="16"/>
        <v/>
      </c>
      <c r="C83" t="s">
        <v>122</v>
      </c>
      <c r="D83" s="55" t="str">
        <f>D34</f>
        <v>c/kWh</v>
      </c>
      <c r="E83" s="25"/>
      <c r="F83" s="25"/>
      <c r="G83" s="58">
        <f t="shared" ca="1" si="17"/>
        <v>0</v>
      </c>
      <c r="H83" s="58">
        <f t="shared" ca="1" si="17"/>
        <v>0</v>
      </c>
      <c r="I83" s="33">
        <f ca="1">IFERROR(H83/G83-1,0)</f>
        <v>0</v>
      </c>
      <c r="J83" s="33"/>
      <c r="K83" s="33"/>
    </row>
    <row r="84" spans="1:11">
      <c r="A84" s="66" t="e">
        <f>#REF!</f>
        <v>#REF!</v>
      </c>
    </row>
    <row r="85" spans="1:11">
      <c r="A85" s="66" t="e">
        <f>#REF!</f>
        <v>#REF!</v>
      </c>
      <c r="C85" s="7" t="s">
        <v>312</v>
      </c>
      <c r="D85" s="6"/>
      <c r="E85" s="6"/>
      <c r="F85" s="6"/>
      <c r="G85" s="59">
        <f ca="1">SUM(G81:G83)</f>
        <v>0</v>
      </c>
      <c r="H85" s="59">
        <f ca="1">SUM(H81:H83)</f>
        <v>0</v>
      </c>
      <c r="I85" s="36">
        <f ca="1">IFERROR(H85/G85-1,0)</f>
        <v>0</v>
      </c>
      <c r="J85" s="36"/>
      <c r="K85" s="36"/>
    </row>
    <row r="86" spans="1:11">
      <c r="A86" s="66" t="str">
        <f>A39</f>
        <v/>
      </c>
      <c r="D86" s="3"/>
      <c r="G86" s="58"/>
      <c r="H86" s="58"/>
    </row>
    <row r="87" spans="1:11" hidden="1">
      <c r="A87" s="66" t="str">
        <f ca="1">A40</f>
        <v>n/a</v>
      </c>
      <c r="C87" t="str">
        <f>C40</f>
        <v>Sub Total (non-TOU)</v>
      </c>
      <c r="D87" s="55" t="str">
        <f>D40</f>
        <v>c/kWh</v>
      </c>
      <c r="E87" s="25"/>
      <c r="F87" s="25"/>
      <c r="G87" s="58">
        <f t="shared" ref="G87:H90" ca="1" si="18">G40+R40</f>
        <v>0</v>
      </c>
      <c r="H87" s="58">
        <f t="shared" ca="1" si="18"/>
        <v>0</v>
      </c>
      <c r="I87" s="33">
        <f ca="1">IFERROR(H87/G87-1,0)</f>
        <v>0</v>
      </c>
      <c r="J87" s="33"/>
      <c r="K87" s="33"/>
    </row>
    <row r="88" spans="1:11" hidden="1">
      <c r="A88" s="66" t="str">
        <f ca="1">A41</f>
        <v>n/a</v>
      </c>
      <c r="C88" t="s">
        <v>192</v>
      </c>
      <c r="D88" s="55" t="str">
        <f>D41</f>
        <v>c/kWh</v>
      </c>
      <c r="E88" s="25"/>
      <c r="F88" s="25"/>
      <c r="G88" s="58">
        <f t="shared" ca="1" si="18"/>
        <v>0</v>
      </c>
      <c r="H88" s="58">
        <f t="shared" ca="1" si="18"/>
        <v>0</v>
      </c>
      <c r="I88" s="33">
        <f ca="1">IFERROR(H88/G88-1,0)</f>
        <v>0</v>
      </c>
      <c r="J88" s="33"/>
      <c r="K88" s="33"/>
    </row>
    <row r="89" spans="1:11" hidden="1">
      <c r="A89" s="66" t="str">
        <f ca="1">A42</f>
        <v>n/a</v>
      </c>
      <c r="C89" t="s">
        <v>193</v>
      </c>
      <c r="D89" s="55" t="str">
        <f>D42</f>
        <v>c/kWh</v>
      </c>
      <c r="E89" s="25"/>
      <c r="F89" s="25"/>
      <c r="G89" s="58">
        <f t="shared" ca="1" si="18"/>
        <v>0</v>
      </c>
      <c r="H89" s="58">
        <f t="shared" ca="1" si="18"/>
        <v>0</v>
      </c>
      <c r="I89" s="33">
        <f ca="1">IFERROR(H89/G89-1,0)</f>
        <v>0</v>
      </c>
      <c r="J89" s="33"/>
      <c r="K89" s="33"/>
    </row>
    <row r="90" spans="1:11" hidden="1">
      <c r="A90" s="66" t="str">
        <f ca="1">A43</f>
        <v>n/a</v>
      </c>
      <c r="C90" t="str">
        <f>C43</f>
        <v>Energy Demand</v>
      </c>
      <c r="D90" s="55" t="str">
        <f>D43</f>
        <v>R/kVA</v>
      </c>
      <c r="E90" s="25"/>
      <c r="F90" s="25"/>
      <c r="G90" s="58">
        <f t="shared" ca="1" si="18"/>
        <v>0</v>
      </c>
      <c r="H90" s="58">
        <f t="shared" ca="1" si="18"/>
        <v>0</v>
      </c>
      <c r="I90" s="33">
        <f ca="1">IFERROR(H90/G90-1,0)</f>
        <v>0</v>
      </c>
      <c r="J90" s="33"/>
      <c r="K90" s="33"/>
    </row>
    <row r="91" spans="1:11">
      <c r="A91" s="66"/>
      <c r="D91" s="55"/>
      <c r="E91" s="25"/>
      <c r="F91" s="25"/>
      <c r="G91" s="58"/>
      <c r="H91" s="58"/>
      <c r="I91" s="33"/>
      <c r="J91" s="33"/>
      <c r="K91" s="33"/>
    </row>
    <row r="92" spans="1:11">
      <c r="A92" s="66" t="str">
        <f ca="1">A37</f>
        <v/>
      </c>
      <c r="C92" t="s">
        <v>507</v>
      </c>
      <c r="D92" s="55" t="str">
        <f ca="1">IFERROR(IF(Table_1=1, "R/kVA", "R/POD/day"),"R/kVA")</f>
        <v>R/kVA</v>
      </c>
      <c r="G92" s="65">
        <f ca="1">G37+R37</f>
        <v>0</v>
      </c>
      <c r="H92" s="65">
        <f ca="1">H37+S37</f>
        <v>0</v>
      </c>
      <c r="I92" s="33">
        <f ca="1">IFERROR(H92/G92-1,0)</f>
        <v>0</v>
      </c>
      <c r="J92" s="33"/>
      <c r="K92" s="33"/>
    </row>
    <row r="93" spans="1:11">
      <c r="A93" s="66" t="str">
        <f ca="1">A38</f>
        <v/>
      </c>
      <c r="C93" t="s">
        <v>533</v>
      </c>
      <c r="D93" s="55" t="s">
        <v>106</v>
      </c>
      <c r="G93" s="65">
        <f ca="1">G38+R38</f>
        <v>0</v>
      </c>
      <c r="H93" s="65">
        <f ca="1">H38+S38</f>
        <v>0</v>
      </c>
      <c r="I93" s="33">
        <f ca="1">IFERROR(H93/G93-1,0)</f>
        <v>0</v>
      </c>
      <c r="J93" s="33"/>
      <c r="K93" s="33"/>
    </row>
    <row r="94" spans="1:11">
      <c r="A94" s="66" t="str">
        <f t="shared" ref="A94:A103" ca="1" si="19">A45</f>
        <v/>
      </c>
      <c r="B94" s="7" t="s">
        <v>123</v>
      </c>
      <c r="C94" s="7"/>
      <c r="D94" s="6"/>
      <c r="E94" s="6"/>
      <c r="F94" s="6"/>
      <c r="G94" s="59">
        <f ca="1">SUM(G85:G93)</f>
        <v>0</v>
      </c>
      <c r="H94" s="59">
        <f ca="1">SUM(H85:H93)</f>
        <v>0</v>
      </c>
      <c r="I94" s="36">
        <f ca="1">IFERROR(H94/G94-1,0)</f>
        <v>0</v>
      </c>
      <c r="J94" s="36"/>
      <c r="K94" s="36"/>
    </row>
    <row r="95" spans="1:11">
      <c r="A95" s="66" t="str">
        <f t="shared" si="19"/>
        <v/>
      </c>
    </row>
    <row r="96" spans="1:11" ht="22.8">
      <c r="A96" s="66" t="str">
        <f t="shared" si="19"/>
        <v/>
      </c>
      <c r="B96" s="24" t="s">
        <v>142</v>
      </c>
      <c r="C96" s="24"/>
      <c r="D96" s="23" t="s">
        <v>110</v>
      </c>
      <c r="E96" s="23" t="str">
        <f>E$18</f>
        <v>2025/26 Rates</v>
      </c>
      <c r="F96" s="23" t="str">
        <f>F$18</f>
        <v>2026/27 Rates</v>
      </c>
      <c r="G96" s="23" t="str">
        <f>G$18</f>
        <v>2025/26 Charges</v>
      </c>
      <c r="H96" s="23" t="str">
        <f>H$18</f>
        <v>2026/27 Charges</v>
      </c>
      <c r="I96" s="23" t="s">
        <v>141</v>
      </c>
      <c r="J96" s="23"/>
      <c r="K96" s="23"/>
    </row>
    <row r="97" spans="1:11">
      <c r="A97" s="66" t="str">
        <f t="shared" si="19"/>
        <v/>
      </c>
    </row>
    <row r="98" spans="1:11">
      <c r="A98" s="66" t="str">
        <f t="shared" ca="1" si="19"/>
        <v/>
      </c>
      <c r="C98" t="s">
        <v>391</v>
      </c>
      <c r="D98" s="55" t="str">
        <f t="shared" ref="D98:D103" si="20">D49</f>
        <v>c/kWh</v>
      </c>
      <c r="E98" s="25"/>
      <c r="F98" s="25"/>
      <c r="G98" s="58">
        <f t="shared" ref="G98:H103" ca="1" si="21">G49+R49</f>
        <v>0</v>
      </c>
      <c r="H98" s="58">
        <f t="shared" ca="1" si="21"/>
        <v>0</v>
      </c>
      <c r="I98" s="33">
        <f t="shared" ref="I98:I103" ca="1" si="22">IFERROR(H98/G98-1,0)</f>
        <v>0</v>
      </c>
      <c r="J98" s="33"/>
      <c r="K98" s="33"/>
    </row>
    <row r="99" spans="1:11">
      <c r="A99" s="66" t="str">
        <f t="shared" ca="1" si="19"/>
        <v/>
      </c>
      <c r="C99" t="s">
        <v>116</v>
      </c>
      <c r="D99" s="55" t="str">
        <f t="shared" si="20"/>
        <v>c/kVArh</v>
      </c>
      <c r="E99" s="25"/>
      <c r="F99" s="25"/>
      <c r="G99" s="58">
        <f t="shared" ca="1" si="21"/>
        <v>0</v>
      </c>
      <c r="H99" s="58">
        <f t="shared" ca="1" si="21"/>
        <v>0</v>
      </c>
      <c r="I99" s="33">
        <f t="shared" ca="1" si="22"/>
        <v>0</v>
      </c>
      <c r="J99" s="33"/>
      <c r="K99" s="33"/>
    </row>
    <row r="100" spans="1:11">
      <c r="A100" s="66" t="str">
        <f t="shared" ca="1" si="19"/>
        <v/>
      </c>
      <c r="C100" t="s">
        <v>124</v>
      </c>
      <c r="D100" s="55" t="str">
        <f t="shared" si="20"/>
        <v>c/kWh</v>
      </c>
      <c r="E100" s="25"/>
      <c r="F100" s="25"/>
      <c r="G100" s="58">
        <f t="shared" ca="1" si="21"/>
        <v>0</v>
      </c>
      <c r="H100" s="58">
        <f t="shared" ca="1" si="21"/>
        <v>0</v>
      </c>
      <c r="I100" s="33">
        <f t="shared" ca="1" si="22"/>
        <v>0</v>
      </c>
      <c r="J100" s="33"/>
      <c r="K100" s="33"/>
    </row>
    <row r="101" spans="1:11">
      <c r="A101" s="66" t="str">
        <f t="shared" ca="1" si="19"/>
        <v/>
      </c>
      <c r="C101" t="s">
        <v>125</v>
      </c>
      <c r="D101" s="55" t="str">
        <f t="shared" si="20"/>
        <v>c/kWh</v>
      </c>
      <c r="E101" s="25"/>
      <c r="F101" s="25"/>
      <c r="G101" s="58">
        <f t="shared" ca="1" si="21"/>
        <v>0</v>
      </c>
      <c r="H101" s="58">
        <f t="shared" ca="1" si="21"/>
        <v>0</v>
      </c>
      <c r="I101" s="33">
        <f t="shared" ca="1" si="22"/>
        <v>0</v>
      </c>
      <c r="J101" s="33"/>
      <c r="K101" s="33"/>
    </row>
    <row r="102" spans="1:11">
      <c r="A102" s="66" t="str">
        <f t="shared" ca="1" si="19"/>
        <v/>
      </c>
      <c r="C102" t="s">
        <v>126</v>
      </c>
      <c r="D102" s="55" t="str">
        <f t="shared" si="20"/>
        <v>R/day</v>
      </c>
      <c r="E102" s="25"/>
      <c r="F102" s="25"/>
      <c r="G102" s="58">
        <f t="shared" ca="1" si="21"/>
        <v>4526</v>
      </c>
      <c r="H102" s="58">
        <f t="shared" ca="1" si="21"/>
        <v>4923.8500000000004</v>
      </c>
      <c r="I102" s="33">
        <f t="shared" ca="1" si="22"/>
        <v>8.7903225806451601E-2</v>
      </c>
      <c r="J102" s="33"/>
      <c r="K102" s="33"/>
    </row>
    <row r="103" spans="1:11">
      <c r="A103" s="66" t="str">
        <f t="shared" ca="1" si="19"/>
        <v/>
      </c>
      <c r="C103" t="s">
        <v>127</v>
      </c>
      <c r="D103" s="55" t="str">
        <f t="shared" ca="1" si="20"/>
        <v>R/day</v>
      </c>
      <c r="E103" s="25"/>
      <c r="F103" s="25"/>
      <c r="G103" s="58">
        <f t="shared" ca="1" si="21"/>
        <v>23462.199999999997</v>
      </c>
      <c r="H103" s="58">
        <f t="shared" ca="1" si="21"/>
        <v>25517.15</v>
      </c>
      <c r="I103" s="33">
        <f t="shared" ca="1" si="22"/>
        <v>8.7585563161170166E-2</v>
      </c>
      <c r="J103" s="33"/>
      <c r="K103" s="33"/>
    </row>
    <row r="104" spans="1:11">
      <c r="A104" s="65"/>
    </row>
    <row r="105" spans="1:11">
      <c r="B105" s="7" t="s">
        <v>143</v>
      </c>
      <c r="C105" s="7"/>
      <c r="D105" s="6"/>
      <c r="E105" s="6"/>
      <c r="F105" s="6"/>
      <c r="G105" s="59">
        <f ca="1">SUM(G98:G103)</f>
        <v>27988.199999999997</v>
      </c>
      <c r="H105" s="59">
        <f ca="1">SUM(H98:H103)</f>
        <v>30441</v>
      </c>
      <c r="I105" s="36">
        <f ca="1">IFERROR(H105/G105-1,0)</f>
        <v>8.7636932707355397E-2</v>
      </c>
      <c r="J105" s="36"/>
      <c r="K105" s="36"/>
    </row>
    <row r="107" spans="1:11">
      <c r="B107" s="7" t="s">
        <v>128</v>
      </c>
      <c r="C107" s="7"/>
      <c r="D107" s="6"/>
      <c r="E107" s="6"/>
      <c r="F107" s="6"/>
      <c r="G107" s="59">
        <f ca="1">G105+G94+G77</f>
        <v>27988.199999999997</v>
      </c>
      <c r="H107" s="59">
        <f ca="1">H105+H94+H77</f>
        <v>30441</v>
      </c>
      <c r="I107" s="36">
        <f ca="1">IFERROR(H107/G107-1,0)</f>
        <v>8.7636932707355397E-2</v>
      </c>
      <c r="J107" s="36"/>
      <c r="K107" s="36"/>
    </row>
    <row r="108" spans="1:11">
      <c r="B108" t="s">
        <v>129</v>
      </c>
      <c r="D108" s="404">
        <f>VAT</f>
        <v>0.15</v>
      </c>
      <c r="G108" s="58">
        <f ca="1">G107*$D108</f>
        <v>4198.2299999999996</v>
      </c>
      <c r="H108" s="58">
        <f ca="1">H107*$D108</f>
        <v>4566.1499999999996</v>
      </c>
    </row>
    <row r="110" spans="1:11" ht="12.6" thickBot="1">
      <c r="B110" s="35" t="s">
        <v>130</v>
      </c>
      <c r="C110" s="35"/>
      <c r="D110" s="37"/>
      <c r="E110" s="37"/>
      <c r="F110" s="37"/>
      <c r="G110" s="60">
        <f ca="1">SUM(G107:G108)</f>
        <v>32186.429999999997</v>
      </c>
      <c r="H110" s="60">
        <f ca="1">SUM(H107:H108)</f>
        <v>35007.15</v>
      </c>
      <c r="I110" s="38">
        <f ca="1">IFERROR(H110/G110-1,0)</f>
        <v>8.7636932707355397E-2</v>
      </c>
      <c r="J110" s="38"/>
      <c r="K110" s="38"/>
    </row>
    <row r="112" spans="1:11">
      <c r="B112" s="3" t="s">
        <v>318</v>
      </c>
      <c r="D112" s="3" t="s">
        <v>106</v>
      </c>
      <c r="G112" s="45">
        <f ca="1">IFERROR(G107/(IF(Inputs!$G$29="No",(High_Total_Energy+Low_Total_Energy),(High_Total_Energy_Exist_TOU+Low_Total_Energy_Exist_TOU)))*100,0)</f>
        <v>0</v>
      </c>
      <c r="H112" s="45">
        <f ca="1">IFERROR(H107/(IF(Inputs!$G$29="No",(High_Total_Energy+Low_Total_Energy),(High_Total_Energy_New_TOU+Low_Total_Energy_New_TOU)))*100,0)</f>
        <v>0</v>
      </c>
      <c r="I112" s="46">
        <f ca="1">IFERROR(H112/G112-1,0)</f>
        <v>0</v>
      </c>
      <c r="J112" s="46"/>
      <c r="K112" s="46"/>
    </row>
    <row r="113" spans="2:18">
      <c r="B113" s="3"/>
      <c r="D113" s="3"/>
      <c r="G113" s="45"/>
      <c r="H113" s="45"/>
      <c r="I113" s="46"/>
      <c r="J113" s="46"/>
      <c r="K113" s="46"/>
    </row>
    <row r="114" spans="2:18">
      <c r="B114" s="24" t="s">
        <v>200</v>
      </c>
      <c r="C114" s="24"/>
      <c r="D114" s="24"/>
      <c r="E114" s="23" t="str">
        <f>G114</f>
        <v>2025/26</v>
      </c>
      <c r="F114" s="23" t="str">
        <f>H114</f>
        <v>2026/27</v>
      </c>
      <c r="G114" s="23" t="str">
        <f>Current_Period</f>
        <v>2025/26</v>
      </c>
      <c r="H114" s="23" t="str">
        <f>New_Period</f>
        <v>2026/27</v>
      </c>
      <c r="I114" s="23" t="s">
        <v>141</v>
      </c>
      <c r="J114" s="23"/>
      <c r="K114" s="23"/>
    </row>
    <row r="116" spans="2:18">
      <c r="C116" t="s">
        <v>22</v>
      </c>
      <c r="E116" s="65">
        <f ca="1">G116</f>
        <v>8112.7440000000006</v>
      </c>
      <c r="F116" s="65">
        <f ca="1">H116</f>
        <v>8823.7199999999993</v>
      </c>
      <c r="G116" s="58">
        <f ca="1">G61</f>
        <v>8112.7440000000006</v>
      </c>
      <c r="H116" s="58">
        <f ca="1">H61</f>
        <v>8823.7199999999993</v>
      </c>
      <c r="I116" s="33">
        <f ca="1">IFERROR(H116/G116-1,0)</f>
        <v>8.7636932707355175E-2</v>
      </c>
      <c r="J116" s="33"/>
      <c r="K116" s="33"/>
    </row>
    <row r="117" spans="2:18">
      <c r="C117" t="s">
        <v>21</v>
      </c>
      <c r="E117" s="65">
        <f ca="1">G117</f>
        <v>24073.685999999998</v>
      </c>
      <c r="F117" s="65">
        <f ca="1">H117</f>
        <v>26183.43</v>
      </c>
      <c r="G117" s="58">
        <f ca="1">R61</f>
        <v>24073.685999999998</v>
      </c>
      <c r="H117" s="58">
        <f ca="1">S61</f>
        <v>26183.43</v>
      </c>
      <c r="I117" s="33">
        <f ca="1">IFERROR(H117/G117-1,0)</f>
        <v>8.7636932707355397E-2</v>
      </c>
      <c r="J117" s="33"/>
      <c r="K117" s="33"/>
    </row>
    <row r="118" spans="2:18">
      <c r="C118" s="7" t="s">
        <v>24</v>
      </c>
      <c r="D118" s="7"/>
      <c r="E118" s="7"/>
      <c r="F118" s="7"/>
      <c r="G118" s="59">
        <f ca="1">SUM(G116:G117)</f>
        <v>32186.43</v>
      </c>
      <c r="H118" s="59">
        <f ca="1">SUM(H116:H117)</f>
        <v>35007.15</v>
      </c>
      <c r="I118" s="36">
        <f ca="1">IFERROR(H118/G118-1,0)</f>
        <v>8.7636932707355175E-2</v>
      </c>
      <c r="J118" s="36"/>
      <c r="K118" s="36"/>
    </row>
    <row r="120" spans="2:18" hidden="1" outlineLevel="1">
      <c r="B120" s="3" t="s">
        <v>189</v>
      </c>
      <c r="R120" s="3"/>
    </row>
    <row r="121" spans="2:18" hidden="1" outlineLevel="1">
      <c r="C121" t="s">
        <v>190</v>
      </c>
      <c r="D121" s="5">
        <f ca="1">IF(High_Total_Energy / High_Months &gt; Block_1_Upper, Block_1_Upper * High_Months, High_Total_Energy)</f>
        <v>0</v>
      </c>
      <c r="E121" s="4">
        <f ca="1">IF(D10 = Lists!B21,  Block1_max_HL20A,  Block1_max_HL60A)</f>
        <v>600</v>
      </c>
      <c r="N121" t="s">
        <v>190</v>
      </c>
      <c r="O121" s="5">
        <f ca="1">IF(Low_Total_Energy / Low_Months &gt; Block_1_Upper, Block_1_Upper * Low_Months, Low_Total_Energy)</f>
        <v>0</v>
      </c>
    </row>
    <row r="122" spans="2:18" hidden="1" outlineLevel="1">
      <c r="C122" t="s">
        <v>191</v>
      </c>
      <c r="D122" s="5">
        <f ca="1">High_Total_Energy - D121</f>
        <v>0</v>
      </c>
      <c r="N122" t="s">
        <v>191</v>
      </c>
      <c r="O122" s="5">
        <f ca="1">Low_Total_Energy - O121</f>
        <v>0</v>
      </c>
    </row>
    <row r="123" spans="2:18" collapsed="1"/>
  </sheetData>
  <sheetProtection algorithmName="SHA-512" hashValue="9Vwktof8uYLObWpsNWVu3T+jJ6kxVMpwzh5sUPXcm8Gwo35DV5DTyrdhUyg+2POnvt+2a3/KToQSsgrq2QKR/w==" saltValue="L4SFBrxtD55MP45BqYmu/A==" spinCount="100000" sheet="1" objects="1" scenarios="1"/>
  <autoFilter ref="A18:I112" xr:uid="{00000000-0009-0000-0000-000002000000}">
    <filterColumn colId="0" hiddenButton="1">
      <customFilters>
        <customFilter operator="notEqual" val="n/a"/>
      </customFilters>
    </filterColumn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conditionalFormatting sqref="E116:F117">
    <cfRule type="dataBar" priority="1">
      <dataBar showValue="0">
        <cfvo type="min"/>
        <cfvo type="max"/>
        <color theme="5"/>
      </dataBar>
      <extLst>
        <ext xmlns:x14="http://schemas.microsoft.com/office/spreadsheetml/2009/9/main" uri="{B025F937-C7B1-47D3-B67F-A62EFF666E3E}">
          <x14:id>{01AE71C1-0E69-40D9-AF60-ABA62EAFD0DE}</x14:id>
        </ext>
      </extLst>
    </cfRule>
  </conditionalFormatting>
  <pageMargins left="0.19685039370078741" right="0.19685039370078741" top="0.39370078740157483" bottom="0.31496062992125984" header="0.31496062992125984" footer="0.31496062992125984"/>
  <pageSetup paperSize="9" scale="60" orientation="landscape" r:id="rId1"/>
  <rowBreaks count="1" manualBreakCount="1">
    <brk id="64" max="17" man="1"/>
  </rowBreaks>
  <ignoredErrors>
    <ignoredError sqref="A36" formula="1"/>
    <ignoredError sqref="E121" unlockedFormula="1"/>
    <ignoredError sqref="E23" evalError="1"/>
  </ignoredError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1AE71C1-0E69-40D9-AF60-ABA62EAFD0D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E116:F117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8">
    <pageSetUpPr fitToPage="1"/>
  </sheetPr>
  <dimension ref="B2:AF125"/>
  <sheetViews>
    <sheetView showGridLines="0" zoomScale="90" zoomScaleNormal="90" workbookViewId="0">
      <pane xSplit="4" ySplit="13" topLeftCell="E55" activePane="bottomRight" state="frozen"/>
      <selection pane="topRight" activeCell="E1" sqref="E1"/>
      <selection pane="bottomLeft" activeCell="A14" sqref="A14"/>
      <selection pane="bottomRight" activeCell="E62" sqref="E62"/>
    </sheetView>
  </sheetViews>
  <sheetFormatPr defaultColWidth="9.28515625" defaultRowHeight="13.8"/>
  <cols>
    <col min="1" max="1" width="1.7109375" style="77" customWidth="1"/>
    <col min="2" max="2" width="4.42578125" style="77" customWidth="1"/>
    <col min="3" max="3" width="28" style="77" customWidth="1"/>
    <col min="4" max="4" width="19.42578125" style="77" customWidth="1"/>
    <col min="5" max="6" width="18.7109375" style="77" customWidth="1"/>
    <col min="7" max="7" width="19" style="77" customWidth="1"/>
    <col min="8" max="8" width="21.28515625" style="77" customWidth="1"/>
    <col min="9" max="11" width="18.7109375" style="77" customWidth="1"/>
    <col min="12" max="12" width="19.140625" style="77" customWidth="1"/>
    <col min="13" max="13" width="19.140625" style="77" hidden="1" customWidth="1"/>
    <col min="14" max="14" width="22.140625" style="77" customWidth="1"/>
    <col min="15" max="17" width="18.7109375" style="77" customWidth="1"/>
    <col min="18" max="18" width="21.28515625" style="77" customWidth="1"/>
    <col min="19" max="19" width="21.28515625" style="77" hidden="1" customWidth="1"/>
    <col min="20" max="20" width="22.28515625" style="77" customWidth="1"/>
    <col min="21" max="21" width="6.28515625" style="77" customWidth="1"/>
    <col min="22" max="30" width="9.28515625" style="77"/>
    <col min="31" max="31" width="14.85546875" style="230" hidden="1" customWidth="1"/>
    <col min="32" max="32" width="14.5703125" style="232" hidden="1" customWidth="1"/>
    <col min="33" max="33" width="9.28515625" style="77" customWidth="1"/>
    <col min="34" max="16384" width="9.28515625" style="77"/>
  </cols>
  <sheetData>
    <row r="2" spans="2:32" ht="33" customHeight="1">
      <c r="B2"/>
      <c r="C2"/>
      <c r="D2"/>
      <c r="E2"/>
      <c r="F2"/>
      <c r="G2"/>
      <c r="H2"/>
      <c r="I2"/>
    </row>
    <row r="3" spans="2:32" ht="3.75" customHeight="1">
      <c r="B3"/>
      <c r="C3"/>
      <c r="D3"/>
      <c r="E3"/>
      <c r="F3"/>
      <c r="G3"/>
    </row>
    <row r="4" spans="2:32" ht="18" customHeight="1">
      <c r="B4" s="163" t="str">
        <f>"Cost comparison for " &amp; New_Period &amp; " rates"</f>
        <v>Cost comparison for 2026/27 rates</v>
      </c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233" t="str">
        <f ca="1">D8</f>
        <v>Miniflex</v>
      </c>
      <c r="S4" s="233"/>
      <c r="T4" s="233"/>
      <c r="U4" s="233"/>
    </row>
    <row r="5" spans="2:32" ht="36.6" customHeight="1">
      <c r="R5" s="261"/>
      <c r="S5" s="261"/>
      <c r="T5" s="261"/>
      <c r="U5" s="261"/>
    </row>
    <row r="6" spans="2:32" ht="27.6" customHeight="1">
      <c r="B6"/>
      <c r="C6" s="3" t="s">
        <v>327</v>
      </c>
      <c r="D6" s="3">
        <f>Customer_Name</f>
        <v>0</v>
      </c>
      <c r="E6"/>
      <c r="I6" s="175" t="s">
        <v>369</v>
      </c>
      <c r="K6" s="301" t="s">
        <v>576</v>
      </c>
      <c r="M6" s="299" t="s">
        <v>612</v>
      </c>
      <c r="N6" s="299" t="s">
        <v>613</v>
      </c>
      <c r="Q6" s="301" t="s">
        <v>576</v>
      </c>
      <c r="S6" s="299" t="s">
        <v>612</v>
      </c>
      <c r="T6" s="299" t="s">
        <v>613</v>
      </c>
    </row>
    <row r="7" spans="2:32">
      <c r="B7"/>
      <c r="C7" s="3" t="str">
        <f>Inputs!D10</f>
        <v>Point of delivery ID</v>
      </c>
      <c r="D7" s="3">
        <f>Delivery_ID</f>
        <v>0</v>
      </c>
      <c r="E7"/>
      <c r="I7" s="176" t="s">
        <v>232</v>
      </c>
      <c r="K7" s="5">
        <f>TOU_High_UC + TOU_Low_UC</f>
        <v>0</v>
      </c>
      <c r="M7" s="5">
        <f>TOU_High_UC_Exist_TOU + TOU_Low_UC_Exist_TOU</f>
        <v>188803.63303423711</v>
      </c>
      <c r="N7" s="5">
        <f>TOU_High_UC_New_TOU + TOU_Low_UC_New_TOU</f>
        <v>188803.63303423711</v>
      </c>
      <c r="O7" s="31" t="s">
        <v>19</v>
      </c>
      <c r="P7" t="s">
        <v>133</v>
      </c>
      <c r="Q7" s="5">
        <f>TOU_High_Peak + TOU_Low_Peak</f>
        <v>0</v>
      </c>
      <c r="S7" s="5">
        <f ca="1">TOU_High_Peak_Exist_TOU + TOU_Low_Peak_Exist_TOU</f>
        <v>14592240.098185439</v>
      </c>
      <c r="T7" s="5">
        <f ca="1">TOU_High_Peak_New_TOU + TOU_Low_Peak_New_TOU</f>
        <v>14592240.098185439</v>
      </c>
      <c r="U7" s="31" t="s">
        <v>18</v>
      </c>
    </row>
    <row r="8" spans="2:32">
      <c r="B8"/>
      <c r="C8" t="s">
        <v>31</v>
      </c>
      <c r="D8" t="str">
        <f ca="1">Selected_Base_Tariff</f>
        <v>Miniflex</v>
      </c>
      <c r="E8"/>
      <c r="F8" t="s">
        <v>316</v>
      </c>
      <c r="H8" t="str">
        <f>Selected_Tariff_Category</f>
        <v>Non-Local Authority</v>
      </c>
      <c r="I8" s="176" t="s">
        <v>233</v>
      </c>
      <c r="K8" s="5">
        <f>TOU_High_Demand + TOU_Low_Demand</f>
        <v>0</v>
      </c>
      <c r="M8" s="5">
        <f>TOU_High_Demand_Exist_TOU + TOU_Low_Demand_Exist_TOU</f>
        <v>188803.63303423711</v>
      </c>
      <c r="N8" s="5">
        <f>TOU_High_Demand_New_TOU + TOU_Low_Demand_New_TOU</f>
        <v>188803.63303423711</v>
      </c>
      <c r="O8" s="31" t="s">
        <v>19</v>
      </c>
      <c r="P8" t="s">
        <v>134</v>
      </c>
      <c r="Q8" s="5">
        <f>TOU_High_Standard + TOU_Low_Standard</f>
        <v>0</v>
      </c>
      <c r="S8" s="5">
        <f ca="1">TOU_High_Standard_Exist_TOU + TOU_Low_Standard_Exist_TOU</f>
        <v>37954166.910823315</v>
      </c>
      <c r="T8" s="5">
        <f ca="1">TOU_High_Standard_New_TOU + TOU_Low_Standard_New_TOU</f>
        <v>37954166.910823315</v>
      </c>
      <c r="U8" s="31" t="s">
        <v>18</v>
      </c>
    </row>
    <row r="9" spans="2:32">
      <c r="B9"/>
      <c r="C9" t="s">
        <v>32</v>
      </c>
      <c r="D9" t="str">
        <f ca="1">INDEX(Full_Tariff_Type,MATCH(D8,Full_Tariff_List,0))</f>
        <v>Urban</v>
      </c>
      <c r="E9"/>
      <c r="F9" t="s">
        <v>96</v>
      </c>
      <c r="H9" s="27">
        <f>PODs</f>
        <v>1</v>
      </c>
      <c r="I9" s="176" t="s">
        <v>137</v>
      </c>
      <c r="K9" s="5">
        <f>TOU_High_Excess_RE + TOU_Low_Excess_RE</f>
        <v>0</v>
      </c>
      <c r="M9" s="5">
        <f ca="1">TOU_High_Excess_RE_Exist_TOU + TOU_Low_Excess_RE_Exist_TOU</f>
        <v>4144956.5667951973</v>
      </c>
      <c r="N9" s="5">
        <f ca="1">TOU_High_Excess_RE_New_TOU + TOU_Low_Excess_RE_New_TOU</f>
        <v>4144956.5667951973</v>
      </c>
      <c r="O9" s="31" t="s">
        <v>20</v>
      </c>
      <c r="P9" t="s">
        <v>135</v>
      </c>
      <c r="Q9" s="5">
        <f>TOU_High_OffPeak + TOU_Low_OffPeak</f>
        <v>0</v>
      </c>
      <c r="S9" s="5">
        <f ca="1">TOU_High_OffPeak_Exist_TOU + TOU_Low_OffPeak_Exist_TOU</f>
        <v>51274970.169826508</v>
      </c>
      <c r="T9" s="5">
        <f ca="1">TOU_High_OffPeak_New_TOU + TOU_Low_OffPeak_New_TOU</f>
        <v>51274970.169826508</v>
      </c>
      <c r="U9" s="31" t="s">
        <v>18</v>
      </c>
    </row>
    <row r="10" spans="2:32">
      <c r="B10"/>
      <c r="C10" t="s">
        <v>95</v>
      </c>
      <c r="D10" t="str">
        <f ca="1">Selected_Supply_Voltage</f>
        <v>&lt; 500V</v>
      </c>
      <c r="E10"/>
      <c r="F10" t="s">
        <v>97</v>
      </c>
      <c r="H10" t="str">
        <f ca="1">Selected_Supply_Size</f>
        <v>&gt;100kVA &amp; ≤500kVA</v>
      </c>
      <c r="I10" s="176" t="s">
        <v>148</v>
      </c>
      <c r="K10" s="5">
        <f>TOU_High_Days + TOU_Low_Days</f>
        <v>365</v>
      </c>
      <c r="O10" s="31" t="s">
        <v>162</v>
      </c>
      <c r="P10" t="s">
        <v>136</v>
      </c>
      <c r="Q10" s="32">
        <f>SUM(Q7:Q9)</f>
        <v>0</v>
      </c>
      <c r="S10" s="5">
        <f ca="1">SUM(S7:S9)</f>
        <v>103821377.17883526</v>
      </c>
      <c r="T10" s="5">
        <f ca="1">SUM(T7:T9)</f>
        <v>103821377.17883526</v>
      </c>
      <c r="U10" s="31" t="s">
        <v>18</v>
      </c>
    </row>
    <row r="11" spans="2:32">
      <c r="B11"/>
      <c r="C11" t="s">
        <v>66</v>
      </c>
      <c r="D11" t="str">
        <f ca="1">Selected_Transmission</f>
        <v>[0 - 300km]</v>
      </c>
      <c r="E11"/>
      <c r="I11" s="177"/>
      <c r="T11" s="5"/>
    </row>
    <row r="12" spans="2:32">
      <c r="B12"/>
      <c r="T12" s="5"/>
    </row>
    <row r="13" spans="2:32" ht="18" customHeight="1">
      <c r="B13" s="155" t="s">
        <v>101</v>
      </c>
      <c r="C13" s="155"/>
      <c r="D13" s="155"/>
      <c r="E13" s="164">
        <f>Inputs!D36</f>
        <v>46142</v>
      </c>
      <c r="F13" s="164">
        <f>Inputs!D37</f>
        <v>46173</v>
      </c>
      <c r="G13" s="164">
        <f>Inputs!D38</f>
        <v>46203</v>
      </c>
      <c r="H13" s="164">
        <f>Inputs!D39</f>
        <v>46234</v>
      </c>
      <c r="I13" s="164">
        <f>Inputs!D40</f>
        <v>46265</v>
      </c>
      <c r="J13" s="164">
        <f>Inputs!D41</f>
        <v>46295</v>
      </c>
      <c r="K13" s="164">
        <f>Inputs!D42</f>
        <v>46326</v>
      </c>
      <c r="L13" s="164">
        <f>Inputs!D43</f>
        <v>46356</v>
      </c>
      <c r="M13" s="164"/>
      <c r="N13" s="164">
        <f>Inputs!D44</f>
        <v>46387</v>
      </c>
      <c r="O13" s="164">
        <f>Inputs!D45</f>
        <v>46418</v>
      </c>
      <c r="P13" s="164">
        <f>Inputs!D46</f>
        <v>46446</v>
      </c>
      <c r="Q13" s="164">
        <f>Inputs!D47</f>
        <v>46477</v>
      </c>
      <c r="R13" s="156" t="s">
        <v>24</v>
      </c>
      <c r="S13" s="156"/>
      <c r="T13" s="156"/>
      <c r="U13" s="156"/>
      <c r="AE13" s="230" t="s">
        <v>440</v>
      </c>
      <c r="AF13" s="230">
        <f ca="1">SUM(AF14:AF96)</f>
        <v>-9.0949470177292824E-13</v>
      </c>
    </row>
    <row r="14" spans="2:32">
      <c r="B14"/>
      <c r="C14" s="442" t="s">
        <v>384</v>
      </c>
      <c r="D14" t="str">
        <f>New_Period</f>
        <v>2026/27</v>
      </c>
      <c r="E14" s="138">
        <f ca="1">IFERROR( 'Rates Table'!$AT$10*IF(Inputs!$G$29="No", Inputs!$K$36,Inputs!$K$117), 0)</f>
        <v>0</v>
      </c>
      <c r="F14" s="138">
        <f ca="1">IFERROR( 'Rates Table'!$AT$10*IF(Inputs!$G$29="No", Inputs!$K$37,Inputs!$K$118), 0)</f>
        <v>0</v>
      </c>
      <c r="G14" s="138">
        <f ca="1">IFERROR( 'Rates Table'!$AT$10*IF(Inputs!$G$29="No", Inputs!$K$38,Inputs!$K$119), 0)</f>
        <v>0</v>
      </c>
      <c r="H14" s="138">
        <f ca="1">IFERROR( 'Rates Table'!$AT$10*IF(Inputs!$G$29="No", Inputs!$K$39,Inputs!$K$120), 0)</f>
        <v>0</v>
      </c>
      <c r="I14" s="138">
        <f ca="1">IFERROR( 'Rates Table'!$AT$10*IF(Inputs!$G$29="No", Inputs!$K$40,Inputs!$K$121), 0)</f>
        <v>0</v>
      </c>
      <c r="J14" s="138">
        <f ca="1">IFERROR( 'Rates Table'!$AT$10*IF(Inputs!$G$29="No", Inputs!$K$41,Inputs!$K$122), 0)</f>
        <v>0</v>
      </c>
      <c r="K14" s="138">
        <f ca="1">IFERROR( 'Rates Table'!$AT$10*IF(Inputs!$G$29="No", Inputs!$K$42,Inputs!$K$123), 0)</f>
        <v>0</v>
      </c>
      <c r="L14" s="138">
        <f ca="1">IFERROR( 'Rates Table'!$AT$10*IF(Inputs!$G$29="No", Inputs!$K$43,Inputs!$K$124), 0)</f>
        <v>0</v>
      </c>
      <c r="M14" s="138"/>
      <c r="N14" s="138">
        <f ca="1">IFERROR( 'Rates Table'!$AT$10*IF(Inputs!$G$29="No", Inputs!$K$44,Inputs!$K$125), 0)</f>
        <v>0</v>
      </c>
      <c r="O14" s="138">
        <f ca="1">IFERROR( 'Rates Table'!$AT$10*IF(Inputs!$G$29="No", Inputs!$K$45,Inputs!$K$126), 0)</f>
        <v>0</v>
      </c>
      <c r="P14" s="138">
        <f ca="1">IFERROR( 'Rates Table'!$AT$10*IF(Inputs!$G$29="No", Inputs!$K$46,Inputs!$K$127), 0)</f>
        <v>0</v>
      </c>
      <c r="Q14" s="138">
        <f ca="1">IFERROR( 'Rates Table'!$AT$10*IF(Inputs!$G$29="No", Inputs!$K$47,Inputs!$K$128), 0)</f>
        <v>0</v>
      </c>
      <c r="R14" s="138">
        <f ca="1">SUM(E14:Q14)</f>
        <v>0</v>
      </c>
      <c r="S14" s="138"/>
      <c r="T14" s="138"/>
      <c r="U14" s="138"/>
      <c r="AE14" s="231">
        <f ca="1">'Bill Comparison'!H69</f>
        <v>0</v>
      </c>
      <c r="AF14" s="230">
        <f ca="1">IFERROR(R14 - AE14, "")</f>
        <v>0</v>
      </c>
    </row>
    <row r="15" spans="2:32">
      <c r="B15"/>
      <c r="C15" s="443"/>
      <c r="D15" t="str">
        <f>Current_Period</f>
        <v>2025/26</v>
      </c>
      <c r="E15" s="138">
        <f ca="1">IFERROR('Rates Table'!$E$10*IF(Inputs!$G$29="No", Inputs!$K$36,Inputs!$K$75),0)</f>
        <v>0</v>
      </c>
      <c r="F15" s="138">
        <f ca="1">IFERROR('Rates Table'!$E$10*IF(Inputs!$G$29="No", Inputs!$K$37,Inputs!$K$76),0)</f>
        <v>0</v>
      </c>
      <c r="G15" s="138">
        <f ca="1">IFERROR('Rates Table'!$E$10*IF(Inputs!$G$29="No", Inputs!$K$38,Inputs!$K$77),0)</f>
        <v>0</v>
      </c>
      <c r="H15" s="138">
        <f ca="1">IFERROR('Rates Table'!$E$10*IF(Inputs!$G$29="No", Inputs!$K$39,Inputs!$K$78),0)</f>
        <v>0</v>
      </c>
      <c r="I15" s="138">
        <f ca="1">IFERROR('Rates Table'!$E$10*IF(Inputs!$G$29="No", Inputs!$K$40,Inputs!$K$79),0)</f>
        <v>0</v>
      </c>
      <c r="J15" s="138">
        <f ca="1">IFERROR('Rates Table'!$E$10*IF(Inputs!$G$29="No", Inputs!$K$41,Inputs!$K$80),0)</f>
        <v>0</v>
      </c>
      <c r="K15" s="138">
        <f ca="1">IFERROR('Rates Table'!$E$10*IF(Inputs!$G$29="No", Inputs!$K$42,Inputs!$K$81),0)</f>
        <v>0</v>
      </c>
      <c r="L15" s="138">
        <f ca="1">IFERROR('Rates Table'!$E$10*IF(Inputs!$G$29="No", Inputs!$K$43,Inputs!$K$82),0)</f>
        <v>0</v>
      </c>
      <c r="M15" s="138"/>
      <c r="N15" s="138">
        <f ca="1">IFERROR('Rates Table'!$E$10*IF(Inputs!$G$29="No", Inputs!$K$44,Inputs!$K$83),0)</f>
        <v>0</v>
      </c>
      <c r="O15" s="138">
        <f ca="1">IFERROR('Rates Table'!$E$10*IF(Inputs!$G$29="No", Inputs!$K$45,Inputs!$K$84),0)</f>
        <v>0</v>
      </c>
      <c r="P15" s="138">
        <f ca="1">IFERROR('Rates Table'!$E$10*IF(Inputs!$G$29="No", Inputs!$K$46,Inputs!$K$85),0)</f>
        <v>0</v>
      </c>
      <c r="Q15" s="138">
        <f ca="1">IFERROR('Rates Table'!$E$10*IF(Inputs!$G$29="No", Inputs!$K$47,Inputs!$K$86),0)</f>
        <v>0</v>
      </c>
      <c r="R15" s="138">
        <f ca="1">SUM(E15:Q15)</f>
        <v>0</v>
      </c>
      <c r="S15" s="138"/>
      <c r="T15" s="138"/>
      <c r="U15" s="138"/>
      <c r="AE15" s="231">
        <f ca="1">'Bill Comparison'!G69</f>
        <v>0</v>
      </c>
      <c r="AF15" s="230">
        <f ca="1">IFERROR(R15 - AE15, "")</f>
        <v>0</v>
      </c>
    </row>
    <row r="16" spans="2:32">
      <c r="B16"/>
      <c r="C16" s="152"/>
      <c r="D16" s="178" t="s">
        <v>370</v>
      </c>
      <c r="E16" s="179" t="str">
        <f ca="1">IFERROR((E14 - E15) / E15, "")</f>
        <v/>
      </c>
      <c r="F16" s="179" t="str">
        <f t="shared" ref="F16:R16" ca="1" si="0">IFERROR((F14 - F15) / F15, "")</f>
        <v/>
      </c>
      <c r="G16" s="179" t="str">
        <f t="shared" ca="1" si="0"/>
        <v/>
      </c>
      <c r="H16" s="179" t="str">
        <f t="shared" ca="1" si="0"/>
        <v/>
      </c>
      <c r="I16" s="179" t="str">
        <f t="shared" ca="1" si="0"/>
        <v/>
      </c>
      <c r="J16" s="179" t="str">
        <f t="shared" ca="1" si="0"/>
        <v/>
      </c>
      <c r="K16" s="179" t="str">
        <f t="shared" ca="1" si="0"/>
        <v/>
      </c>
      <c r="L16" s="179" t="str">
        <f t="shared" ca="1" si="0"/>
        <v/>
      </c>
      <c r="M16" s="179"/>
      <c r="N16" s="179" t="str">
        <f t="shared" ca="1" si="0"/>
        <v/>
      </c>
      <c r="O16" s="179" t="str">
        <f t="shared" ca="1" si="0"/>
        <v/>
      </c>
      <c r="P16" s="179" t="str">
        <f t="shared" ca="1" si="0"/>
        <v/>
      </c>
      <c r="Q16" s="179" t="str">
        <f t="shared" ca="1" si="0"/>
        <v/>
      </c>
      <c r="R16" s="179" t="str">
        <f t="shared" ca="1" si="0"/>
        <v/>
      </c>
      <c r="S16" s="361"/>
      <c r="T16" s="361"/>
      <c r="U16" s="361"/>
    </row>
    <row r="17" spans="2:32">
      <c r="B17"/>
      <c r="C17" s="442" t="s">
        <v>389</v>
      </c>
      <c r="D17" t="str">
        <f>New_Period</f>
        <v>2026/27</v>
      </c>
      <c r="E17" s="138">
        <f ca="1">IFERROR( 'Rates Table'!$AT$11*IF(Inputs!$G$29="No", Inputs!$K$36,Inputs!$K$117), 0)</f>
        <v>0</v>
      </c>
      <c r="F17" s="138">
        <f ca="1">IFERROR( 'Rates Table'!$AT$11*IF(Inputs!$G$29="No", Inputs!$K$37,Inputs!$K$118), 0)</f>
        <v>0</v>
      </c>
      <c r="G17" s="138">
        <f ca="1">IFERROR( 'Rates Table'!$AT$11*IF(Inputs!$G$29="No", Inputs!$K$38,Inputs!$K$119), 0)</f>
        <v>0</v>
      </c>
      <c r="H17" s="138">
        <f ca="1">IFERROR( 'Rates Table'!$AT$11*IF(Inputs!$G$29="No", Inputs!$K$39,Inputs!$K$120), 0)</f>
        <v>0</v>
      </c>
      <c r="I17" s="138">
        <f ca="1">IFERROR( 'Rates Table'!$AT$11*IF(Inputs!$G$29="No", Inputs!$K$40,Inputs!$K$121), 0)</f>
        <v>0</v>
      </c>
      <c r="J17" s="138">
        <f ca="1">IFERROR( 'Rates Table'!$AT$11*IF(Inputs!$G$29="No", Inputs!$K$41,Inputs!$K$122), 0)</f>
        <v>0</v>
      </c>
      <c r="K17" s="138">
        <f ca="1">IFERROR( 'Rates Table'!$AT$11*IF(Inputs!$G$29="No", Inputs!$K$42,Inputs!$K$123), 0)</f>
        <v>0</v>
      </c>
      <c r="L17" s="138">
        <f ca="1">IFERROR( 'Rates Table'!$AT$11*IF(Inputs!$G$29="No", Inputs!$K$43,Inputs!$K$124), 0)</f>
        <v>0</v>
      </c>
      <c r="M17" s="138"/>
      <c r="N17" s="138">
        <f ca="1">IFERROR( 'Rates Table'!$AT$11*IF(Inputs!$G$29="No", Inputs!$K$44,Inputs!$K$125), 0)</f>
        <v>0</v>
      </c>
      <c r="O17" s="138">
        <f ca="1">IFERROR( 'Rates Table'!$AT$11*IF(Inputs!$G$29="No", Inputs!$K$45,Inputs!$K$126), 0)</f>
        <v>0</v>
      </c>
      <c r="P17" s="138">
        <f ca="1">IFERROR( 'Rates Table'!$AT$11*IF(Inputs!$G$29="No", Inputs!$K$46,Inputs!$K$127), 0)</f>
        <v>0</v>
      </c>
      <c r="Q17" s="138">
        <f ca="1">IFERROR( 'Rates Table'!$AT$11*IF(Inputs!$G$29="No", Inputs!$K$47,Inputs!$K$128), 0)</f>
        <v>0</v>
      </c>
      <c r="R17" s="138">
        <f ca="1">SUM(E17:Q17)</f>
        <v>0</v>
      </c>
      <c r="S17" s="138"/>
      <c r="T17" s="138"/>
      <c r="U17" s="138"/>
      <c r="AE17" s="231">
        <f ca="1">'Bill Comparison'!H70</f>
        <v>0</v>
      </c>
      <c r="AF17" s="230">
        <f ca="1">IFERROR(R17 - AE17, "")</f>
        <v>0</v>
      </c>
    </row>
    <row r="18" spans="2:32">
      <c r="B18"/>
      <c r="C18" s="443"/>
      <c r="D18" t="str">
        <f>Current_Period</f>
        <v>2025/26</v>
      </c>
      <c r="E18" s="138">
        <f ca="1">IFERROR('Rates Table'!$E$11*IF(Inputs!$G$29="No", Inputs!$K$36,Inputs!$K$75),0)</f>
        <v>0</v>
      </c>
      <c r="F18" s="138">
        <f ca="1">IFERROR('Rates Table'!$E$11*IF(Inputs!$G$29="No", Inputs!$K$37,Inputs!$K$76),0)</f>
        <v>0</v>
      </c>
      <c r="G18" s="138">
        <f ca="1">IFERROR('Rates Table'!$E$11*IF(Inputs!$G$29="No", Inputs!$K$38,Inputs!$K$77),0)</f>
        <v>0</v>
      </c>
      <c r="H18" s="138">
        <f ca="1">IFERROR('Rates Table'!$E$11*IF(Inputs!$G$29="No", Inputs!$K$39,Inputs!$K$78),0)</f>
        <v>0</v>
      </c>
      <c r="I18" s="138">
        <f ca="1">IFERROR('Rates Table'!$E$11*IF(Inputs!$G$29="No", Inputs!$K$40,Inputs!$K$79),0)</f>
        <v>0</v>
      </c>
      <c r="J18" s="138">
        <f ca="1">IFERROR('Rates Table'!$E$11*IF(Inputs!$G$29="No", Inputs!$K$41,Inputs!$K$80),0)</f>
        <v>0</v>
      </c>
      <c r="K18" s="138">
        <f ca="1">IFERROR('Rates Table'!$E$11*IF(Inputs!$G$29="No", Inputs!$K$42,Inputs!$K$81),0)</f>
        <v>0</v>
      </c>
      <c r="L18" s="138">
        <f ca="1">IFERROR('Rates Table'!$E$11*IF(Inputs!$G$29="No", Inputs!$K$43,Inputs!$K$82),0)</f>
        <v>0</v>
      </c>
      <c r="M18" s="138"/>
      <c r="N18" s="138">
        <f ca="1">IFERROR('Rates Table'!$E$11*IF(Inputs!$G$29="No", Inputs!$K$44,Inputs!$K$83),0)</f>
        <v>0</v>
      </c>
      <c r="O18" s="138">
        <f ca="1">IFERROR('Rates Table'!$E$11*IF(Inputs!$G$29="No", Inputs!$K$45,Inputs!$K$84),0)</f>
        <v>0</v>
      </c>
      <c r="P18" s="138">
        <f ca="1">IFERROR('Rates Table'!$E$11*IF(Inputs!$G$29="No", Inputs!$K$46,Inputs!$K$85),0)</f>
        <v>0</v>
      </c>
      <c r="Q18" s="138">
        <f ca="1">IFERROR('Rates Table'!$E$11*IF(Inputs!$G$29="No", Inputs!$K$47,Inputs!$K$86),0)</f>
        <v>0</v>
      </c>
      <c r="R18" s="138">
        <f ca="1">SUM(E18:Q18)</f>
        <v>0</v>
      </c>
      <c r="S18" s="138"/>
      <c r="T18" s="138"/>
      <c r="U18" s="138"/>
      <c r="AE18" s="231">
        <f ca="1">'Bill Comparison'!G70</f>
        <v>0</v>
      </c>
      <c r="AF18" s="230">
        <f ca="1">IFERROR(R18 - AE18, "")</f>
        <v>0</v>
      </c>
    </row>
    <row r="19" spans="2:32">
      <c r="B19"/>
      <c r="C19" s="152"/>
      <c r="D19" s="178" t="s">
        <v>370</v>
      </c>
      <c r="E19" s="179" t="str">
        <f t="shared" ref="E19:R19" ca="1" si="1">IFERROR((E17 - E18) / E18, "")</f>
        <v/>
      </c>
      <c r="F19" s="179" t="str">
        <f t="shared" ca="1" si="1"/>
        <v/>
      </c>
      <c r="G19" s="179" t="str">
        <f t="shared" ca="1" si="1"/>
        <v/>
      </c>
      <c r="H19" s="179" t="str">
        <f t="shared" ca="1" si="1"/>
        <v/>
      </c>
      <c r="I19" s="179" t="str">
        <f t="shared" ca="1" si="1"/>
        <v/>
      </c>
      <c r="J19" s="179" t="str">
        <f t="shared" ca="1" si="1"/>
        <v/>
      </c>
      <c r="K19" s="179" t="str">
        <f t="shared" ca="1" si="1"/>
        <v/>
      </c>
      <c r="L19" s="179" t="str">
        <f t="shared" ca="1" si="1"/>
        <v/>
      </c>
      <c r="M19" s="179"/>
      <c r="N19" s="179" t="str">
        <f t="shared" ca="1" si="1"/>
        <v/>
      </c>
      <c r="O19" s="179" t="str">
        <f t="shared" ca="1" si="1"/>
        <v/>
      </c>
      <c r="P19" s="179" t="str">
        <f t="shared" ca="1" si="1"/>
        <v/>
      </c>
      <c r="Q19" s="179" t="str">
        <f t="shared" ca="1" si="1"/>
        <v/>
      </c>
      <c r="R19" s="179" t="str">
        <f t="shared" ca="1" si="1"/>
        <v/>
      </c>
      <c r="S19" s="361"/>
      <c r="T19" s="361"/>
      <c r="U19" s="361"/>
    </row>
    <row r="20" spans="2:32">
      <c r="B20"/>
      <c r="C20" s="440" t="s">
        <v>372</v>
      </c>
      <c r="D20" t="str">
        <f>New_Period</f>
        <v>2026/27</v>
      </c>
      <c r="E20" s="138">
        <f ca="1">IFERROR( 'Rates Table'!$AT$12*IF(Inputs!$G$29="No", Inputs!$J$36,Inputs!$J$117), 0)</f>
        <v>0</v>
      </c>
      <c r="F20" s="138">
        <f ca="1">IFERROR( 'Rates Table'!$AT$12*IF(Inputs!$G$29="No", Inputs!$J$37,Inputs!$J$118), 0)</f>
        <v>0</v>
      </c>
      <c r="G20" s="138">
        <f ca="1">IFERROR( 'Rates Table'!$AT$12*IF(Inputs!$G$29="No", Inputs!$J$38,Inputs!$J$119), 0)</f>
        <v>0</v>
      </c>
      <c r="H20" s="138">
        <f ca="1">IFERROR( 'Rates Table'!$AT$12*IF(Inputs!$G$29="No", Inputs!$J$39,Inputs!$J$120), 0)</f>
        <v>0</v>
      </c>
      <c r="I20" s="138">
        <f ca="1">IFERROR( 'Rates Table'!$AT$12*IF(Inputs!$G$29="No", Inputs!$J$40,Inputs!$J$121), 0)</f>
        <v>0</v>
      </c>
      <c r="J20" s="138">
        <f ca="1">IFERROR( 'Rates Table'!$AT$12*IF(Inputs!$G$29="No", Inputs!$J$41,Inputs!$J$122), 0)</f>
        <v>0</v>
      </c>
      <c r="K20" s="138">
        <f ca="1">IFERROR( 'Rates Table'!$AT$12*IF(Inputs!$G$29="No", Inputs!$J$42,Inputs!$J$123), 0)</f>
        <v>0</v>
      </c>
      <c r="L20" s="138">
        <f ca="1">IFERROR( 'Rates Table'!$AT$12*IF(Inputs!$G$29="No", Inputs!$J$43,Inputs!$J$124), 0)</f>
        <v>0</v>
      </c>
      <c r="M20" s="138"/>
      <c r="N20" s="138">
        <f ca="1">IFERROR( 'Rates Table'!$AT$12*IF(Inputs!$G$29="No", Inputs!$J$44,Inputs!$J$125), 0)</f>
        <v>0</v>
      </c>
      <c r="O20" s="138">
        <f ca="1">IFERROR( 'Rates Table'!$AT$12*IF(Inputs!$G$29="No", Inputs!$J$45,Inputs!$J$126), 0)</f>
        <v>0</v>
      </c>
      <c r="P20" s="138">
        <f ca="1">IFERROR( 'Rates Table'!$AT$12*IF(Inputs!$G$29="No", Inputs!$J$46,Inputs!$J$127), 0)</f>
        <v>0</v>
      </c>
      <c r="Q20" s="138">
        <f ca="1">IFERROR( 'Rates Table'!$AT$12*IF(Inputs!$G$29="No", Inputs!$J$47,Inputs!$J$128), 0)</f>
        <v>0</v>
      </c>
      <c r="R20" s="138">
        <f ca="1">SUM(E20:Q20)</f>
        <v>0</v>
      </c>
      <c r="S20" s="138"/>
      <c r="T20" s="138"/>
      <c r="U20" s="138"/>
      <c r="AE20" s="231">
        <f ca="1">'Bill Comparison'!H71</f>
        <v>0</v>
      </c>
      <c r="AF20" s="230">
        <f ca="1">IFERROR(R20 - AE20, "")</f>
        <v>0</v>
      </c>
    </row>
    <row r="21" spans="2:32">
      <c r="B21"/>
      <c r="C21" s="442"/>
      <c r="D21" t="str">
        <f>Current_Period</f>
        <v>2025/26</v>
      </c>
      <c r="E21" s="138">
        <f ca="1">IFERROR('Rates Table'!$E$12*IF(Inputs!$G$29="No", Inputs!$J$36,Inputs!$J$75),0)</f>
        <v>0</v>
      </c>
      <c r="F21" s="138">
        <f ca="1">IFERROR('Rates Table'!$E$12*IF(Inputs!$G$29="No", Inputs!$J$37,Inputs!$J$76),0)</f>
        <v>0</v>
      </c>
      <c r="G21" s="138">
        <f ca="1">IFERROR('Rates Table'!$E$12*IF(Inputs!$G$29="No", Inputs!$J$38,Inputs!$J$77),0)</f>
        <v>0</v>
      </c>
      <c r="H21" s="138">
        <f ca="1">IFERROR('Rates Table'!$E$12*IF(Inputs!$G$29="No", Inputs!$J$39,Inputs!$J$78),0)</f>
        <v>0</v>
      </c>
      <c r="I21" s="138">
        <f ca="1">IFERROR('Rates Table'!$E$12*IF(Inputs!$G$29="No", Inputs!$J$40,Inputs!$J$79),0)</f>
        <v>0</v>
      </c>
      <c r="J21" s="138">
        <f ca="1">IFERROR('Rates Table'!$E$12*IF(Inputs!$G$29="No", Inputs!$J$41,Inputs!$J$80),0)</f>
        <v>0</v>
      </c>
      <c r="K21" s="138">
        <f ca="1">IFERROR('Rates Table'!$E$12*IF(Inputs!$G$29="No", Inputs!$J$42,Inputs!$J$81),0)</f>
        <v>0</v>
      </c>
      <c r="L21" s="138">
        <f ca="1">IFERROR('Rates Table'!$E$12*IF(Inputs!$G$29="No", Inputs!$J$43,Inputs!$J$82),0)</f>
        <v>0</v>
      </c>
      <c r="M21" s="138"/>
      <c r="N21" s="138">
        <f ca="1">IFERROR('Rates Table'!$E$12*IF(Inputs!$G$29="No", Inputs!$J$44,Inputs!$J$83),0)</f>
        <v>0</v>
      </c>
      <c r="O21" s="138">
        <f ca="1">IFERROR('Rates Table'!$E$12*IF(Inputs!$G$29="No", Inputs!$J$45,Inputs!$J$84),0)</f>
        <v>0</v>
      </c>
      <c r="P21" s="138">
        <f ca="1">IFERROR('Rates Table'!$E$12*IF(Inputs!$G$29="No", Inputs!$J$46,Inputs!$J$85),0)</f>
        <v>0</v>
      </c>
      <c r="Q21" s="138">
        <f ca="1">IFERROR('Rates Table'!$E$12*IF(Inputs!$G$29="No", Inputs!$J$47,Inputs!$J$86),0)</f>
        <v>0</v>
      </c>
      <c r="R21" s="138">
        <f ca="1">SUM(E21:Q21)</f>
        <v>0</v>
      </c>
      <c r="S21" s="138"/>
      <c r="T21" s="138"/>
      <c r="U21" s="138"/>
      <c r="AE21" s="231">
        <f ca="1">'Bill Comparison'!G71</f>
        <v>0</v>
      </c>
      <c r="AF21" s="230">
        <f ca="1">IFERROR(R21 - AE21, "")</f>
        <v>0</v>
      </c>
    </row>
    <row r="22" spans="2:32">
      <c r="B22"/>
      <c r="C22" s="152"/>
      <c r="D22" s="178" t="s">
        <v>370</v>
      </c>
      <c r="E22" s="179" t="str">
        <f t="shared" ref="E22:R22" ca="1" si="2">IFERROR((E20 - E21) / E21, "")</f>
        <v/>
      </c>
      <c r="F22" s="179" t="str">
        <f t="shared" ca="1" si="2"/>
        <v/>
      </c>
      <c r="G22" s="179" t="str">
        <f t="shared" ca="1" si="2"/>
        <v/>
      </c>
      <c r="H22" s="179" t="str">
        <f t="shared" ca="1" si="2"/>
        <v/>
      </c>
      <c r="I22" s="179" t="str">
        <f t="shared" ca="1" si="2"/>
        <v/>
      </c>
      <c r="J22" s="179" t="str">
        <f t="shared" ca="1" si="2"/>
        <v/>
      </c>
      <c r="K22" s="179" t="str">
        <f t="shared" ca="1" si="2"/>
        <v/>
      </c>
      <c r="L22" s="179" t="str">
        <f t="shared" ca="1" si="2"/>
        <v/>
      </c>
      <c r="M22" s="179"/>
      <c r="N22" s="179" t="str">
        <f t="shared" ca="1" si="2"/>
        <v/>
      </c>
      <c r="O22" s="179" t="str">
        <f t="shared" ca="1" si="2"/>
        <v/>
      </c>
      <c r="P22" s="179" t="str">
        <f t="shared" ca="1" si="2"/>
        <v/>
      </c>
      <c r="Q22" s="179" t="str">
        <f t="shared" ca="1" si="2"/>
        <v/>
      </c>
      <c r="R22" s="179" t="str">
        <f t="shared" ca="1" si="2"/>
        <v/>
      </c>
      <c r="S22" s="361"/>
      <c r="T22" s="361"/>
      <c r="U22" s="361"/>
    </row>
    <row r="23" spans="2:32">
      <c r="B23"/>
      <c r="C23" s="440" t="s">
        <v>371</v>
      </c>
      <c r="D23" t="str">
        <f>New_Period</f>
        <v>2026/27</v>
      </c>
      <c r="E23" s="138">
        <f ca="1">IFERROR(IF(Inputs!$G$29="No", 'Rates Table'!$AT$13*IF($D$8="Miniflex", (Inputs!$G$36+Inputs!$H$36), Inputs!$M$36), 'Rates Table'!$AT$13*IF($D$8="Miniflex", (Inputs!$G$117+Inputs!$H$117), Inputs!$M$117)),0)/100</f>
        <v>0</v>
      </c>
      <c r="F23" s="138">
        <f ca="1">IFERROR(IF(Inputs!$G$29="No", 'Rates Table'!$AT$13*IF($D$8="Miniflex", (Inputs!$G$37+Inputs!$H$37), Inputs!$M$37), 'Rates Table'!$AT$13*IF($D$8="Miniflex", (Inputs!$G$118+Inputs!$H$118), Inputs!$M$118)),0)/100</f>
        <v>0</v>
      </c>
      <c r="G23" s="138">
        <f ca="1">IFERROR(IF(Inputs!$G$29="No", 'Rates Table'!$AT$13*IF($D$8="Miniflex", (Inputs!$G$38+Inputs!$H$38), Inputs!$M$38), 'Rates Table'!$AT$13*IF($D$8="Miniflex", (Inputs!$G$119+Inputs!$H$119), Inputs!$M$119)),0)/100</f>
        <v>0</v>
      </c>
      <c r="H23" s="138">
        <f ca="1">IFERROR(IF(Inputs!$G$29="No", 'Rates Table'!$AT$13*IF($D$8="Miniflex", (Inputs!$G$39+Inputs!$H$39), Inputs!$M$39), 'Rates Table'!$AT$13*IF($D$8="Miniflex", (Inputs!$G$120+Inputs!$H$120), Inputs!$M$120)),0)/100</f>
        <v>0</v>
      </c>
      <c r="I23" s="138">
        <f ca="1">IFERROR(IF(Inputs!$G$29="No", 'Rates Table'!$AT$13*IF($D$8="Miniflex", (Inputs!$G$40+Inputs!$H$40), Inputs!$M$40), 'Rates Table'!$AT$13*IF($D$8="Miniflex", (Inputs!$G$121+Inputs!$H$121), Inputs!$M$121)),0)/100</f>
        <v>0</v>
      </c>
      <c r="J23" s="138">
        <f ca="1">IFERROR(IF(Inputs!$G$29="No", 'Rates Table'!$AT$13*IF($D$8="Miniflex", (Inputs!$G$41+Inputs!$H$41), Inputs!$M$41), 'Rates Table'!$AT$13*IF($D$8="Miniflex", (Inputs!$G$122+Inputs!$H$122), Inputs!$M$122)),0)/100</f>
        <v>0</v>
      </c>
      <c r="K23" s="138">
        <f ca="1">IFERROR(IF(Inputs!$G$29="No", 'Rates Table'!$AT$13*IF($D$8="Miniflex", (Inputs!$G$42+Inputs!$H$42), Inputs!$M$42), 'Rates Table'!$AT$13*IF($D$8="Miniflex", (Inputs!$G$123+Inputs!$H$123), Inputs!$M$123)),0)/100</f>
        <v>0</v>
      </c>
      <c r="L23" s="138">
        <f ca="1">IFERROR(IF(Inputs!$G$29="No", 'Rates Table'!$AT$13*IF($D$8="Miniflex", (Inputs!$G$43+Inputs!$H$43), Inputs!$M$43), 'Rates Table'!$AT$13*IF($D$8="Miniflex", (Inputs!$G$124+Inputs!$H$124), Inputs!$M$124)),0)/100</f>
        <v>0</v>
      </c>
      <c r="M23" s="138"/>
      <c r="N23" s="138">
        <f ca="1">IFERROR(IF(Inputs!$G$29="No", 'Rates Table'!$AT$13*IF($D$8="Miniflex", (Inputs!$G$44+Inputs!$H$44), Inputs!$M$44), 'Rates Table'!$AT$13*IF($D$8="Miniflex", (Inputs!$G$125+Inputs!$H$125), Inputs!$M$125)),0)/100</f>
        <v>0</v>
      </c>
      <c r="O23" s="138">
        <f ca="1">IFERROR(IF(Inputs!$G$29="No", 'Rates Table'!$AT$13*IF($D$8="Miniflex", (Inputs!$G$45+Inputs!$H$45), Inputs!$M$45), 'Rates Table'!$AT$13*IF($D$8="Miniflex", (Inputs!$G$126+Inputs!$H$126), Inputs!$M$126)),0)/100</f>
        <v>0</v>
      </c>
      <c r="P23" s="138">
        <f ca="1">IFERROR(IF(Inputs!$G$29="No", 'Rates Table'!$AT$13*IF($D$8="Miniflex", (Inputs!$G$46+Inputs!$H$46), Inputs!$M$46), 'Rates Table'!$AT$13*IF($D$8="Miniflex", (Inputs!$G$127+Inputs!$H$127), Inputs!$M$127)),0)/100</f>
        <v>0</v>
      </c>
      <c r="Q23" s="138">
        <f ca="1">IFERROR(IF(Inputs!$G$29="No", 'Rates Table'!$AT$13*IF($D$8="Miniflex", (Inputs!$G$47+Inputs!$H$47), Inputs!$M$47), 'Rates Table'!$AT$13*IF($D$8="Miniflex", (Inputs!$G$128+Inputs!$H$128), Inputs!$M$128)),0)/100</f>
        <v>0</v>
      </c>
      <c r="R23" s="138">
        <f ca="1">SUM(E23:Q23)</f>
        <v>0</v>
      </c>
      <c r="S23" s="138"/>
      <c r="T23" s="138"/>
      <c r="U23" s="138"/>
      <c r="AE23" s="231">
        <f ca="1">'Bill Comparison'!H72</f>
        <v>0</v>
      </c>
      <c r="AF23" s="230">
        <f ca="1">IFERROR(R23 - AE23, "")</f>
        <v>0</v>
      </c>
    </row>
    <row r="24" spans="2:32">
      <c r="B24"/>
      <c r="C24" s="441"/>
      <c r="D24" t="str">
        <f>Current_Period</f>
        <v>2025/26</v>
      </c>
      <c r="E24" s="138">
        <f ca="1">IFERROR(IF(Inputs!$G$29="No", 'Rates Table'!$E$13*IF('Rates Table'!E2="Miniflex", (Inputs!$G$36+Inputs!$H$36), Inputs!$M$36), 'Rates Table'!$E$13*IF('Rates Table'!E2="Miniflex", (Inputs!$G$75+Inputs!$H$75), Inputs!$M$75)),0)/100</f>
        <v>0</v>
      </c>
      <c r="F24" s="138">
        <f ca="1">IFERROR(IF(Inputs!$G$29="No", 'Rates Table'!$E$13*IF('Rates Table'!E2="Miniflex", (Inputs!$G$37+Inputs!$H$37), Inputs!$M$37), 'Rates Table'!$E$13*IF('Rates Table'!E2="Miniflex", (Inputs!$G$76+Inputs!$H$76), Inputs!$M$76)),0)/100</f>
        <v>0</v>
      </c>
      <c r="G24" s="138">
        <f ca="1">IFERROR(IF(Inputs!$G$29="No", 'Rates Table'!$E$13*IF('Rates Table'!E2="Miniflex", (Inputs!$G$38+Inputs!$H$38), Inputs!$M$38), 'Rates Table'!$E$13*IF('Rates Table'!E2="Miniflex", (Inputs!$G$77+Inputs!$H$77), Inputs!$M$77)),0)/100</f>
        <v>0</v>
      </c>
      <c r="H24" s="138">
        <f ca="1">IFERROR(IF(Inputs!$G$29="No", 'Rates Table'!$E$13*IF('Rates Table'!E2="Miniflex", (Inputs!$G$39+Inputs!$H$39), Inputs!$M$39), 'Rates Table'!$E$13*IF('Rates Table'!E2="Miniflex", (Inputs!$G$78+Inputs!$H$78), Inputs!$M$78)),0)/100</f>
        <v>0</v>
      </c>
      <c r="I24" s="138">
        <f ca="1">IFERROR(IF(Inputs!$G$29="No", 'Rates Table'!$E$13*IF('Rates Table'!E2="Miniflex", (Inputs!$G$40+Inputs!$H$40), Inputs!$M$40), 'Rates Table'!$E$13*IF('Rates Table'!E2="Miniflex", (Inputs!$G$79+Inputs!$H$79), Inputs!$M$79)),0)/100</f>
        <v>0</v>
      </c>
      <c r="J24" s="138">
        <f ca="1">IFERROR(IF(Inputs!$G$29="No", 'Rates Table'!$E$13*IF('Rates Table'!E2="Miniflex", (Inputs!$G$41+Inputs!$H$41), Inputs!$M$41), 'Rates Table'!$E$13*IF('Rates Table'!E2="Miniflex", (Inputs!$G$80+Inputs!$H$80), Inputs!$M$80)),0)/100</f>
        <v>0</v>
      </c>
      <c r="K24" s="138">
        <f ca="1">IFERROR(IF(Inputs!$G$29="No", 'Rates Table'!$E$13*IF('Rates Table'!E2="Miniflex", (Inputs!$G$42+Inputs!$H$42), Inputs!$M$42), 'Rates Table'!$E$13*IF('Rates Table'!E2="Miniflex", (Inputs!$G$81+Inputs!$H$81), Inputs!$M$81)),0)/100</f>
        <v>0</v>
      </c>
      <c r="L24" s="138">
        <f ca="1">IFERROR(IF(Inputs!$G$29="No", 'Rates Table'!$E$13*IF('Rates Table'!E2="Miniflex", (Inputs!$G$43+Inputs!$H$43), Inputs!$M$43), 'Rates Table'!$E$13*IF('Rates Table'!E2="Miniflex", (Inputs!$G$82+Inputs!$H$82), Inputs!$M$82)),0)/100</f>
        <v>0</v>
      </c>
      <c r="M24" s="138"/>
      <c r="N24" s="138">
        <f ca="1">IFERROR(IF(Inputs!$G$29="No", 'Rates Table'!$E$13*IF('Rates Table'!E2="Miniflex", (Inputs!$G$44+Inputs!$H$44), Inputs!$M$44), 'Rates Table'!$E$13*IF('Rates Table'!E2="Miniflex", (Inputs!$G$83+Inputs!$H$83), Inputs!$M$83)),0)/100</f>
        <v>0</v>
      </c>
      <c r="O24" s="138">
        <f ca="1">IFERROR(IF(Inputs!$G$29="No", 'Rates Table'!$E$13*IF('Rates Table'!E2="Miniflex", (Inputs!$G$45+Inputs!$H$45), Inputs!$M$45), 'Rates Table'!$E$13*IF('Rates Table'!E2="Miniflex", (Inputs!$G$84+Inputs!$H$84), Inputs!$M$84)),0)/100</f>
        <v>0</v>
      </c>
      <c r="P24" s="138">
        <f ca="1">IFERROR(IF(Inputs!$G$29="No", 'Rates Table'!$E$13*IF('Rates Table'!E2="Miniflex", (Inputs!$G$46+Inputs!$H$46), Inputs!$M$46), 'Rates Table'!$E$13*IF('Rates Table'!E2="Miniflex", (Inputs!$G$85+Inputs!$H$85), Inputs!$M$85)),0)/100</f>
        <v>0</v>
      </c>
      <c r="Q24" s="138">
        <f ca="1">IFERROR(IF(Inputs!$G$29="No", 'Rates Table'!$E$13*IF('Rates Table'!E2="Miniflex", (Inputs!$G$47+Inputs!$H$47), Inputs!$M$47), 'Rates Table'!$E$13*IF('Rates Table'!E2="Miniflex", (Inputs!$G$86+Inputs!$H$86), Inputs!$M$86)),0)/100</f>
        <v>0</v>
      </c>
      <c r="R24" s="138">
        <f ca="1">SUM(E24:Q24)</f>
        <v>0</v>
      </c>
      <c r="S24" s="138"/>
      <c r="T24" s="138"/>
      <c r="U24" s="138"/>
      <c r="AE24" s="231">
        <f ca="1">'Bill Comparison'!G72</f>
        <v>0</v>
      </c>
      <c r="AF24" s="230">
        <f ca="1">IFERROR(R24 - AE24, "")</f>
        <v>0</v>
      </c>
    </row>
    <row r="25" spans="2:32">
      <c r="B25"/>
      <c r="C25" s="152"/>
      <c r="D25" s="178" t="s">
        <v>370</v>
      </c>
      <c r="E25" s="179" t="str">
        <f ca="1">IFERROR((E23 - E24) / E24, "")</f>
        <v/>
      </c>
      <c r="F25" s="179" t="str">
        <f t="shared" ref="F25:Q25" ca="1" si="3">IFERROR((F23 - F24) / F24, "")</f>
        <v/>
      </c>
      <c r="G25" s="179" t="str">
        <f t="shared" ca="1" si="3"/>
        <v/>
      </c>
      <c r="H25" s="179" t="str">
        <f t="shared" ca="1" si="3"/>
        <v/>
      </c>
      <c r="I25" s="179" t="str">
        <f t="shared" ca="1" si="3"/>
        <v/>
      </c>
      <c r="J25" s="179" t="str">
        <f t="shared" ca="1" si="3"/>
        <v/>
      </c>
      <c r="K25" s="179" t="str">
        <f t="shared" ca="1" si="3"/>
        <v/>
      </c>
      <c r="L25" s="179" t="str">
        <f t="shared" ca="1" si="3"/>
        <v/>
      </c>
      <c r="M25" s="179"/>
      <c r="N25" s="179" t="str">
        <f t="shared" ca="1" si="3"/>
        <v/>
      </c>
      <c r="O25" s="179" t="str">
        <f t="shared" ca="1" si="3"/>
        <v/>
      </c>
      <c r="P25" s="179" t="str">
        <f t="shared" ca="1" si="3"/>
        <v/>
      </c>
      <c r="Q25" s="179" t="str">
        <f t="shared" ca="1" si="3"/>
        <v/>
      </c>
      <c r="R25" s="179" t="str">
        <f ca="1">IFERROR((R23 - R24) / R24, "")</f>
        <v/>
      </c>
      <c r="S25" s="361"/>
      <c r="T25" s="361"/>
      <c r="U25" s="361"/>
    </row>
    <row r="26" spans="2:32">
      <c r="B26"/>
      <c r="C26" s="440" t="s">
        <v>545</v>
      </c>
      <c r="D26" t="str">
        <f>New_Period</f>
        <v>2026/27</v>
      </c>
      <c r="E26" s="138">
        <f ca="1">IFERROR( 'Rates Table'!$AT$14*IF(Inputs!$G$29="No", Inputs!$M$36,Inputs!$M$117), 0)/100</f>
        <v>0</v>
      </c>
      <c r="F26" s="138">
        <f ca="1">IFERROR( 'Rates Table'!$AT$14*IF(Inputs!$G$29="No", Inputs!$M$37,Inputs!$M$118), 0)/100</f>
        <v>0</v>
      </c>
      <c r="G26" s="138">
        <f ca="1">IFERROR( 'Rates Table'!$AT$14*IF(Inputs!$G$29="No", Inputs!$M$38,Inputs!$M$119), 0)/100</f>
        <v>0</v>
      </c>
      <c r="H26" s="138">
        <f ca="1">IFERROR( 'Rates Table'!$AT$14*IF(Inputs!$G$29="No", Inputs!$M$39,Inputs!$M$120), 0)/100</f>
        <v>0</v>
      </c>
      <c r="I26" s="138">
        <f ca="1">IFERROR( 'Rates Table'!$AT$14*IF(Inputs!$G$29="No", Inputs!$M$40,Inputs!$M$121), 0)/100</f>
        <v>0</v>
      </c>
      <c r="J26" s="138">
        <f ca="1">IFERROR( 'Rates Table'!$AT$14*IF(Inputs!$G$29="No", Inputs!$M$41,Inputs!$M$122), 0)/100</f>
        <v>0</v>
      </c>
      <c r="K26" s="138">
        <f ca="1">IFERROR( 'Rates Table'!$AT$14*IF(Inputs!$G$29="No", Inputs!$M$42,Inputs!$M$123), 0)/100</f>
        <v>0</v>
      </c>
      <c r="L26" s="138">
        <f ca="1">IFERROR( 'Rates Table'!$AT$14*IF(Inputs!$G$29="No", Inputs!$M$43,Inputs!$M$124), 0)/100</f>
        <v>0</v>
      </c>
      <c r="M26" s="138"/>
      <c r="N26" s="138">
        <f ca="1">IFERROR( 'Rates Table'!$AT$14*IF(Inputs!$G$29="No", Inputs!$M$44,Inputs!$M$125), 0)/100</f>
        <v>0</v>
      </c>
      <c r="O26" s="138">
        <f ca="1">IFERROR( 'Rates Table'!$AT$14*IF(Inputs!$G$29="No", Inputs!$M$45,Inputs!$M$126), 0)/100</f>
        <v>0</v>
      </c>
      <c r="P26" s="138">
        <f ca="1">IFERROR( 'Rates Table'!$AT$14*IF(Inputs!$G$29="No", Inputs!$M$46,Inputs!$M$127), 0)/100</f>
        <v>0</v>
      </c>
      <c r="Q26" s="138">
        <f ca="1">IFERROR( 'Rates Table'!$AT$14*IF(Inputs!$G$29="No", Inputs!$M$47,Inputs!$M$128), 0)/100</f>
        <v>0</v>
      </c>
      <c r="R26" s="138">
        <f ca="1">SUM(E26:Q26)</f>
        <v>0</v>
      </c>
      <c r="S26" s="138"/>
      <c r="T26" s="138"/>
      <c r="U26" s="138"/>
    </row>
    <row r="27" spans="2:32" ht="17.399999999999999" customHeight="1">
      <c r="B27"/>
      <c r="C27" s="441"/>
      <c r="D27" t="str">
        <f>Current_Period</f>
        <v>2025/26</v>
      </c>
      <c r="E27" s="138">
        <f ca="1">IFERROR('Rates Table'!$E$14*IF(Inputs!$G$29="No", Inputs!$M$36,Inputs!$M$75),0)/100</f>
        <v>0</v>
      </c>
      <c r="F27" s="138">
        <f ca="1">IFERROR('Rates Table'!$E$14*IF(Inputs!$G$29="No", Inputs!$M$37,Inputs!$M$76),0)/100</f>
        <v>0</v>
      </c>
      <c r="G27" s="138">
        <f ca="1">IFERROR('Rates Table'!$E$14*IF(Inputs!$G$29="No", Inputs!$M$38,Inputs!$M$77),0)/100</f>
        <v>0</v>
      </c>
      <c r="H27" s="138">
        <f ca="1">IFERROR('Rates Table'!$E$14*IF(Inputs!$G$29="No", Inputs!$M$39,Inputs!$M$78),0)/100</f>
        <v>0</v>
      </c>
      <c r="I27" s="138">
        <f ca="1">IFERROR('Rates Table'!$E$14*IF(Inputs!$G$29="No", Inputs!$M$40,Inputs!$M$79),0)/100</f>
        <v>0</v>
      </c>
      <c r="J27" s="138">
        <f ca="1">IFERROR('Rates Table'!$E$14*IF(Inputs!$G$29="No", Inputs!$M$41,Inputs!$M$80),0)/100</f>
        <v>0</v>
      </c>
      <c r="K27" s="138">
        <f ca="1">IFERROR('Rates Table'!$E$14*IF(Inputs!$G$29="No", Inputs!$M$42,Inputs!$M$81),0)/100</f>
        <v>0</v>
      </c>
      <c r="L27" s="138">
        <f ca="1">IFERROR('Rates Table'!$E$14*IF(Inputs!$G$29="No", Inputs!$M$43,Inputs!$M$82),0)/100</f>
        <v>0</v>
      </c>
      <c r="M27" s="138"/>
      <c r="N27" s="138">
        <f ca="1">IFERROR('Rates Table'!$E$14*IF(Inputs!$G$29="No", Inputs!$M$44,Inputs!$M$83),0)/100</f>
        <v>0</v>
      </c>
      <c r="O27" s="138">
        <f ca="1">IFERROR('Rates Table'!$E$14*IF(Inputs!$G$29="No", Inputs!$M$45,Inputs!$M$84),0)/100</f>
        <v>0</v>
      </c>
      <c r="P27" s="138">
        <f ca="1">IFERROR('Rates Table'!$E$14*IF(Inputs!$G$29="No", Inputs!$M$46,Inputs!$M$85),0)/100</f>
        <v>0</v>
      </c>
      <c r="Q27" s="138">
        <f ca="1">IFERROR('Rates Table'!$E$14*IF(Inputs!$G$29="No", Inputs!$M$47,Inputs!$M$86),0)/100</f>
        <v>0</v>
      </c>
      <c r="R27" s="138">
        <f ca="1">SUM(E27:Q27)</f>
        <v>0</v>
      </c>
      <c r="S27" s="138"/>
      <c r="T27" s="138"/>
      <c r="U27" s="138"/>
    </row>
    <row r="28" spans="2:32">
      <c r="B28"/>
      <c r="C28" s="152"/>
      <c r="D28" s="178" t="s">
        <v>370</v>
      </c>
      <c r="E28" s="179" t="str">
        <f ca="1">IFERROR((E26 - E27) / E27, "")</f>
        <v/>
      </c>
      <c r="F28" s="179" t="str">
        <f t="shared" ref="F28:R28" ca="1" si="4">IFERROR((F26 - F27) / F27, "")</f>
        <v/>
      </c>
      <c r="G28" s="179" t="str">
        <f t="shared" ca="1" si="4"/>
        <v/>
      </c>
      <c r="H28" s="179" t="str">
        <f t="shared" ca="1" si="4"/>
        <v/>
      </c>
      <c r="I28" s="179" t="str">
        <f t="shared" ca="1" si="4"/>
        <v/>
      </c>
      <c r="J28" s="179" t="str">
        <f t="shared" ca="1" si="4"/>
        <v/>
      </c>
      <c r="K28" s="179" t="str">
        <f t="shared" ca="1" si="4"/>
        <v/>
      </c>
      <c r="L28" s="179" t="str">
        <f t="shared" ca="1" si="4"/>
        <v/>
      </c>
      <c r="M28" s="179"/>
      <c r="N28" s="179" t="str">
        <f t="shared" ca="1" si="4"/>
        <v/>
      </c>
      <c r="O28" s="179" t="str">
        <f t="shared" ca="1" si="4"/>
        <v/>
      </c>
      <c r="P28" s="179" t="str">
        <f t="shared" ca="1" si="4"/>
        <v/>
      </c>
      <c r="Q28" s="179" t="str">
        <f t="shared" ca="1" si="4"/>
        <v/>
      </c>
      <c r="R28" s="179" t="str">
        <f t="shared" ca="1" si="4"/>
        <v/>
      </c>
      <c r="S28" s="361"/>
      <c r="T28" s="361"/>
      <c r="U28" s="361"/>
    </row>
    <row r="29" spans="2:32">
      <c r="B29"/>
      <c r="C29" s="440" t="s">
        <v>373</v>
      </c>
      <c r="D29" t="str">
        <f>New_Period</f>
        <v>2026/27</v>
      </c>
      <c r="E29" s="138">
        <f ca="1">IFERROR( 'Rates Table'!$AT$15*IF(Inputs!$G$29="No", Inputs!$K$36,Inputs!$K$117), 0)</f>
        <v>0</v>
      </c>
      <c r="F29" s="138">
        <f ca="1">IFERROR( 'Rates Table'!$AT$15*IF(Inputs!$G$29="No", Inputs!$K$37,Inputs!$K$118), 0)</f>
        <v>0</v>
      </c>
      <c r="G29" s="138">
        <f ca="1">IFERROR( 'Rates Table'!$AT$15*IF(Inputs!$G$29="No", Inputs!$K$38,Inputs!$K$119), 0)</f>
        <v>0</v>
      </c>
      <c r="H29" s="138">
        <f ca="1">IFERROR( 'Rates Table'!$AT$15*IF(Inputs!$G$29="No", Inputs!$K$39,Inputs!$K$120), 0)</f>
        <v>0</v>
      </c>
      <c r="I29" s="138">
        <f ca="1">IFERROR( 'Rates Table'!$AT$15*IF(Inputs!$G$29="No", Inputs!$K$40,Inputs!$K$121), 0)</f>
        <v>0</v>
      </c>
      <c r="J29" s="138">
        <f ca="1">IFERROR( 'Rates Table'!$AT$15*IF(Inputs!$G$29="No", Inputs!$K$41,Inputs!$K$122), 0)</f>
        <v>0</v>
      </c>
      <c r="K29" s="138">
        <f ca="1">IFERROR( 'Rates Table'!$AT$15*IF(Inputs!$G$29="No", Inputs!$K$42,Inputs!$K$123), 0)</f>
        <v>0</v>
      </c>
      <c r="L29" s="138">
        <f ca="1">IFERROR( 'Rates Table'!$AT$15*IF(Inputs!$G$29="No", Inputs!$K$43,Inputs!$K$124), 0)</f>
        <v>0</v>
      </c>
      <c r="M29" s="138"/>
      <c r="N29" s="138">
        <f ca="1">IFERROR( 'Rates Table'!$AT$15*IF(Inputs!$G$29="No", Inputs!$K$44,Inputs!$K$125), 0)</f>
        <v>0</v>
      </c>
      <c r="O29" s="138">
        <f ca="1">IFERROR( 'Rates Table'!$AT$15*IF(Inputs!$G$29="No", Inputs!$K$45,Inputs!$K$126), 0)</f>
        <v>0</v>
      </c>
      <c r="P29" s="138">
        <f ca="1">IFERROR( 'Rates Table'!$AT$15*IF(Inputs!$G$29="No", Inputs!$K$46,Inputs!$K$127), 0)</f>
        <v>0</v>
      </c>
      <c r="Q29" s="138">
        <f ca="1">IFERROR( 'Rates Table'!$AT$15*IF(Inputs!$G$29="No", Inputs!$K$47,Inputs!$K$128), 0)</f>
        <v>0</v>
      </c>
      <c r="R29" s="138">
        <f ca="1">SUM(E29:Q29)</f>
        <v>0</v>
      </c>
      <c r="S29" s="138"/>
      <c r="T29" s="138"/>
      <c r="U29" s="138"/>
      <c r="AF29" s="230">
        <f ca="1">IFERROR(R29 - AE29, "")</f>
        <v>0</v>
      </c>
    </row>
    <row r="30" spans="2:32">
      <c r="B30"/>
      <c r="C30" s="441"/>
      <c r="D30" t="str">
        <f>Current_Period</f>
        <v>2025/26</v>
      </c>
      <c r="E30" s="138">
        <f ca="1">IFERROR('Rates Table'!$E$15*IF(Inputs!$G$29="No", Inputs!$K$36,Inputs!$K$75),0)</f>
        <v>0</v>
      </c>
      <c r="F30" s="138">
        <f ca="1">IFERROR('Rates Table'!$E$15*IF(Inputs!$G$29="No", Inputs!$K$37,Inputs!$K$76),0)</f>
        <v>0</v>
      </c>
      <c r="G30" s="138">
        <f ca="1">IFERROR('Rates Table'!$E$15*IF(Inputs!$G$29="No", Inputs!$K$38,Inputs!$K$77),0)</f>
        <v>0</v>
      </c>
      <c r="H30" s="138">
        <f ca="1">IFERROR('Rates Table'!$E$15*IF(Inputs!$G$29="No", Inputs!$K$39,Inputs!$K$78),0)</f>
        <v>0</v>
      </c>
      <c r="I30" s="138">
        <f ca="1">IFERROR('Rates Table'!$E$15*IF(Inputs!$G$29="No", Inputs!$K$40,Inputs!$K$79),0)</f>
        <v>0</v>
      </c>
      <c r="J30" s="138">
        <f ca="1">IFERROR('Rates Table'!$E$15*IF(Inputs!$G$29="No", Inputs!$K$41,Inputs!$K$80),0)</f>
        <v>0</v>
      </c>
      <c r="K30" s="138">
        <f ca="1">IFERROR('Rates Table'!$E$15*IF(Inputs!$G$29="No", Inputs!$K$42,Inputs!$K$81),0)</f>
        <v>0</v>
      </c>
      <c r="L30" s="138">
        <f ca="1">IFERROR('Rates Table'!$E$15*IF(Inputs!$G$29="No", Inputs!$K$43,Inputs!$K$82),0)</f>
        <v>0</v>
      </c>
      <c r="M30" s="138"/>
      <c r="N30" s="138">
        <f ca="1">IFERROR('Rates Table'!$E$15*IF(Inputs!$G$29="No", Inputs!$K$44,Inputs!$K$83),0)</f>
        <v>0</v>
      </c>
      <c r="O30" s="138">
        <f ca="1">IFERROR('Rates Table'!$E$15*IF(Inputs!$G$29="No", Inputs!$K$45,Inputs!$K$84),0)</f>
        <v>0</v>
      </c>
      <c r="P30" s="138">
        <f ca="1">IFERROR('Rates Table'!$E$15*IF(Inputs!$G$29="No", Inputs!$K$46,Inputs!$K$85),0)</f>
        <v>0</v>
      </c>
      <c r="Q30" s="138">
        <f ca="1">IFERROR('Rates Table'!$E$15*IF(Inputs!$G$29="No", Inputs!$K$47,Inputs!$K$86),0)</f>
        <v>0</v>
      </c>
      <c r="R30" s="138">
        <f ca="1">SUM(E30:Q30)</f>
        <v>0</v>
      </c>
      <c r="S30" s="138"/>
      <c r="T30" s="138"/>
      <c r="U30" s="138"/>
      <c r="AF30" s="230">
        <f ca="1">IFERROR(R30 - AE30, "")</f>
        <v>0</v>
      </c>
    </row>
    <row r="31" spans="2:32">
      <c r="B31"/>
      <c r="C31"/>
      <c r="D31" s="178" t="s">
        <v>370</v>
      </c>
      <c r="E31" s="179" t="str">
        <f ca="1">IFERROR((E29 - E30) / E30, "")</f>
        <v/>
      </c>
      <c r="F31" s="179" t="str">
        <f t="shared" ref="F31:Q31" ca="1" si="5">IFERROR((F29 - F30) / F30, "")</f>
        <v/>
      </c>
      <c r="G31" s="179" t="str">
        <f t="shared" ca="1" si="5"/>
        <v/>
      </c>
      <c r="H31" s="179" t="str">
        <f t="shared" ca="1" si="5"/>
        <v/>
      </c>
      <c r="I31" s="179" t="str">
        <f t="shared" ca="1" si="5"/>
        <v/>
      </c>
      <c r="J31" s="179" t="str">
        <f t="shared" ca="1" si="5"/>
        <v/>
      </c>
      <c r="K31" s="179" t="str">
        <f t="shared" ca="1" si="5"/>
        <v/>
      </c>
      <c r="L31" s="179" t="str">
        <f t="shared" ca="1" si="5"/>
        <v/>
      </c>
      <c r="M31" s="179"/>
      <c r="N31" s="179" t="str">
        <f t="shared" ca="1" si="5"/>
        <v/>
      </c>
      <c r="O31" s="179" t="str">
        <f t="shared" ca="1" si="5"/>
        <v/>
      </c>
      <c r="P31" s="179" t="str">
        <f t="shared" ca="1" si="5"/>
        <v/>
      </c>
      <c r="Q31" s="179" t="str">
        <f t="shared" ca="1" si="5"/>
        <v/>
      </c>
      <c r="R31" s="179" t="str">
        <f ca="1">IFERROR((R29 - R30) / R30, "")</f>
        <v/>
      </c>
      <c r="S31" s="361"/>
      <c r="T31" s="361"/>
      <c r="U31" s="361"/>
    </row>
    <row r="32" spans="2:32">
      <c r="B32"/>
      <c r="C32" s="440" t="s">
        <v>385</v>
      </c>
      <c r="D32" t="str">
        <f>New_Period</f>
        <v>2026/27</v>
      </c>
      <c r="E32" s="138">
        <f ca="1">IFERROR(IF(Inputs!$G$29="No", IF(AND('Rates Table'!AT68,$D$8&lt;&gt;"Transflex 1",$D$8&lt;&gt;"Transflex 2"), 'Rates Table'!$AT$16*Inputs!$K$36, IF($D$8="Homepower Bulk",'Rates Table'!$AT$16*Inputs!$G$27,'Rates Table'!$AT$16*PODs*(TOU_High_Days + TOU_Low_Days)/12)), IF(AND('Rates Table'!AT68,$D$8&lt;&gt;"Transflex 1",$D$8&lt;&gt;"Transflex 2"), 'Rates Table'!$AT$16*Inputs!$K$117, IF($D$8="Homepower Bulk",'Rates Table'!$AT$16*Inputs!$G$27,'Rates Table'!$AT$16*PODs*(TOU_High_Days + TOU_Low_Days)/12))),0)</f>
        <v>0</v>
      </c>
      <c r="F32" s="138">
        <f ca="1">IFERROR(IF(Inputs!$G$29="No", IF(AND('Rates Table'!AT68,$D$8&lt;&gt;"Transflex 1",$D$8&lt;&gt;"Transflex 2"), 'Rates Table'!$AT$16*Inputs!$K$37, IF($D$8="Homepower Bulk",'Rates Table'!$AT$16*Inputs!$G$27,'Rates Table'!$AT$16*PODs*(TOU_High_Days + TOU_Low_Days)/12)), IF(AND('Rates Table'!AT68,$D$8&lt;&gt;"Transflex 1",$D$8&lt;&gt;"Transflex 2"), 'Rates Table'!$AT$16*Inputs!$K$118, IF($D$8="Homepower Bulk",'Rates Table'!$AT$16*Inputs!$G$27,'Rates Table'!$AT$16*PODs*(TOU_High_Days + TOU_Low_Days)/12))),0)</f>
        <v>0</v>
      </c>
      <c r="G32" s="138">
        <f ca="1">IFERROR(IF(Inputs!$G$29="No", IF(AND('Rates Table'!AT68,$D$8&lt;&gt;"Transflex 1",$D$8&lt;&gt;"Transflex 2"), 'Rates Table'!$AT$16*Inputs!$K$38, IF($D$8="Homepower Bulk",'Rates Table'!$AT$16*Inputs!$G$27,'Rates Table'!$AT$16*PODs*(TOU_High_Days + TOU_Low_Days)/12)), IF(AND('Rates Table'!AT68,$D$8&lt;&gt;"Transflex 1",$D$8&lt;&gt;"Transflex 2"), 'Rates Table'!$AT$16*Inputs!$K$119, IF($D$8="Homepower Bulk",'Rates Table'!$AT$16*Inputs!$G$27,'Rates Table'!$AT$16*PODs*(TOU_High_Days + TOU_Low_Days)/12))),0)</f>
        <v>0</v>
      </c>
      <c r="H32" s="138">
        <f ca="1">IFERROR(IF(Inputs!$G$29="No", IF(AND('Rates Table'!AT68,$D$8&lt;&gt;"Transflex 1",$D$8&lt;&gt;"Transflex 2"), 'Rates Table'!$AT$16*Inputs!$K$39, IF($D$8="Homepower Bulk",'Rates Table'!$AT$16*Inputs!$G$27,'Rates Table'!$AT$16*PODs*(TOU_High_Days + TOU_Low_Days)/12)), IF(AND('Rates Table'!AT68,$D$8&lt;&gt;"Transflex 1",$D$8&lt;&gt;"Transflex 2"), 'Rates Table'!$AT$16*Inputs!$K$120, IF($D$8="Homepower Bulk",'Rates Table'!$AT$16*Inputs!$G$27,'Rates Table'!$AT$16*PODs*(TOU_High_Days + TOU_Low_Days)/12))),0)</f>
        <v>0</v>
      </c>
      <c r="I32" s="138">
        <f ca="1">IFERROR(IF(Inputs!$G$29="No", IF(AND('Rates Table'!AT68,$D$8&lt;&gt;"Transflex 1",$D$8&lt;&gt;"Transflex 2"), 'Rates Table'!$AT$16*Inputs!$K$40, IF($D$8="Homepower Bulk",'Rates Table'!$AT$16*Inputs!$G$27,'Rates Table'!$AT$16*PODs*(TOU_High_Days + TOU_Low_Days)/12)), IF(AND('Rates Table'!AT68,$D$8&lt;&gt;"Transflex 1",$D$8&lt;&gt;"Transflex 2"), 'Rates Table'!$AT$16*Inputs!$K$121, IF($D$8="Homepower Bulk",'Rates Table'!$AT$16*Inputs!$G$27,'Rates Table'!$AT$16*PODs*(TOU_High_Days + TOU_Low_Days)/12))),0)</f>
        <v>0</v>
      </c>
      <c r="J32" s="138">
        <f ca="1">IFERROR(IF(Inputs!$G$29="No", IF(AND('Rates Table'!AT68,$D$8&lt;&gt;"Transflex 1",$D$8&lt;&gt;"Transflex 2"), 'Rates Table'!$AT$16*Inputs!$K$41, IF($D$8="Homepower Bulk",'Rates Table'!$AT$16*Inputs!$G$27,'Rates Table'!$AT$16*PODs*(TOU_High_Days + TOU_Low_Days)/12)), IF(AND('Rates Table'!AT68,$D$8&lt;&gt;"Transflex 1",$D$8&lt;&gt;"Transflex 2"), 'Rates Table'!$AT$16*Inputs!$K$122, IF($D$8="Homepower Bulk",'Rates Table'!$AT$16*Inputs!$G$27,'Rates Table'!$AT$16*PODs*(TOU_High_Days + TOU_Low_Days)/12))),0)</f>
        <v>0</v>
      </c>
      <c r="K32" s="138">
        <f ca="1">IFERROR(IF(Inputs!$G$29="No", IF(AND('Rates Table'!AT68,$D$8&lt;&gt;"Transflex 1",$D$8&lt;&gt;"Transflex 2"), 'Rates Table'!$AT$16*Inputs!$K$42, IF($D$8="Homepower Bulk",'Rates Table'!$AT$16*Inputs!$G$27,'Rates Table'!$AT$16*PODs*(TOU_High_Days + TOU_Low_Days)/12)), IF(AND('Rates Table'!AT68,$D$8&lt;&gt;"Transflex 1",$D$8&lt;&gt;"Transflex 2"), 'Rates Table'!$AT$16*Inputs!$K$123, IF($D$8="Homepower Bulk",'Rates Table'!$AT$16*Inputs!$G$27,'Rates Table'!$AT$16*PODs*(TOU_High_Days + TOU_Low_Days)/12))),0)</f>
        <v>0</v>
      </c>
      <c r="L32" s="138">
        <f ca="1">IFERROR(IF(Inputs!$G$29="No", IF(AND('Rates Table'!AT68,$D$8&lt;&gt;"Transflex 1",$D$8&lt;&gt;"Transflex 2"), 'Rates Table'!$AT$16*Inputs!$K$43, IF($D$8="Homepower Bulk",'Rates Table'!$AT$16*Inputs!$G$27,'Rates Table'!$AT$16*PODs*(TOU_High_Days + TOU_Low_Days)/12)), IF(AND('Rates Table'!AT68,$D$8&lt;&gt;"Transflex 1",$D$8&lt;&gt;"Transflex 2"), 'Rates Table'!$AT$16*Inputs!$K$124, IF($D$8="Homepower Bulk",'Rates Table'!$AT$16*Inputs!$G$27,'Rates Table'!$AT$16*PODs*(TOU_High_Days + TOU_Low_Days)/12))),0)</f>
        <v>0</v>
      </c>
      <c r="M32" s="138"/>
      <c r="N32" s="138">
        <f ca="1">IFERROR(IF(Inputs!$G$29="No", IF(AND('Rates Table'!AT68,$D$8&lt;&gt;"Transflex 1",$D$8&lt;&gt;"Transflex 2"), 'Rates Table'!$AT$16*Inputs!$K$44, IF($D$8="Homepower Bulk",'Rates Table'!$AT$16*Inputs!$G$27,'Rates Table'!$AT$16*PODs*(TOU_High_Days + TOU_Low_Days)/12)), IF(AND('Rates Table'!AT68,$D$8&lt;&gt;"Transflex 1",$D$8&lt;&gt;"Transflex 2"), 'Rates Table'!$AT$16*Inputs!$K$125, IF($D$8="Homepower Bulk",'Rates Table'!$AT$16*Inputs!$G$27,'Rates Table'!$AT$16*PODs*(TOU_High_Days + TOU_Low_Days)/12))),0)</f>
        <v>0</v>
      </c>
      <c r="O32" s="138">
        <f ca="1">IFERROR(IF(Inputs!$G$29="No", IF(AND('Rates Table'!AT68,$D$8&lt;&gt;"Transflex 1",$D$8&lt;&gt;"Transflex 2"), 'Rates Table'!$AT$16*Inputs!$K$45, IF($D$8="Homepower Bulk",'Rates Table'!$AT$16*Inputs!$G$27,'Rates Table'!$AT$16*PODs*(TOU_High_Days + TOU_Low_Days)/12)), IF(AND('Rates Table'!AT68,$D$8&lt;&gt;"Transflex 1",$D$8&lt;&gt;"Transflex 2"), 'Rates Table'!$AT$16*Inputs!$K$126, IF($D$8="Homepower Bulk",'Rates Table'!$AT$16*Inputs!$G$27,'Rates Table'!$AT$16*PODs*(TOU_High_Days + TOU_Low_Days)/12))),0)</f>
        <v>0</v>
      </c>
      <c r="P32" s="138">
        <f ca="1">IFERROR(IF(Inputs!$G$29="No", IF(AND('Rates Table'!AT68,$D$8&lt;&gt;"Transflex 1",$D$8&lt;&gt;"Transflex 2"), 'Rates Table'!$AT$16*Inputs!$K$46, IF($D$8="Homepower Bulk",'Rates Table'!$AT$16*Inputs!$G$27,'Rates Table'!$AT$16*PODs*(TOU_High_Days + TOU_Low_Days)/12)), IF(AND('Rates Table'!AT68,$D$8&lt;&gt;"Transflex 1",$D$8&lt;&gt;"Transflex 2"), 'Rates Table'!$AT$16*Inputs!$K$127, IF($D$8="Homepower Bulk",'Rates Table'!$AT$16*Inputs!$G$27,'Rates Table'!$AT$16*PODs*(TOU_High_Days + TOU_Low_Days)/12))),0)</f>
        <v>0</v>
      </c>
      <c r="Q32" s="138">
        <f ca="1">IFERROR(IF(Inputs!$G$29="No", IF(AND('Rates Table'!AT68,$D$8&lt;&gt;"Transflex 1",$D$8&lt;&gt;"Transflex 2"), 'Rates Table'!$AT$16*Inputs!$K$47, IF($D$8="Homepower Bulk",'Rates Table'!$AT$16*Inputs!$G$27,'Rates Table'!$AT$16*PODs*(TOU_High_Days + TOU_Low_Days)/12)), IF(AND('Rates Table'!AT68,$D$8&lt;&gt;"Transflex 1",$D$8&lt;&gt;"Transflex 2"), 'Rates Table'!$AT$16*Inputs!$K$128, IF($D$8="Homepower Bulk",'Rates Table'!$AT$16*Inputs!$G$27,'Rates Table'!$AT$16*PODs*(TOU_High_Days + TOU_Low_Days)/12))),0)</f>
        <v>0</v>
      </c>
      <c r="R32" s="138">
        <f ca="1">SUM(E32:Q32)</f>
        <v>0</v>
      </c>
      <c r="S32" s="138"/>
      <c r="T32" s="138"/>
      <c r="U32" s="138"/>
      <c r="AE32" s="231">
        <f ca="1">'Bill Comparison'!H74</f>
        <v>0</v>
      </c>
      <c r="AF32" s="230">
        <f ca="1">IFERROR(R32 - AE32, "")</f>
        <v>0</v>
      </c>
    </row>
    <row r="33" spans="2:32">
      <c r="B33"/>
      <c r="C33" s="441"/>
      <c r="D33" t="str">
        <f>Current_Period</f>
        <v>2025/26</v>
      </c>
      <c r="E33" s="138">
        <f ca="1">IFERROR(IF(Inputs!$G$29="No", IF(AND(Table_1=1,'Rates Table'!E2&lt;&gt;"Transflex 1",'Rates Table'!E2&lt;&gt;"Transflex 2"), 'Rates Table'!$E$16*Inputs!$K$36, IF($D$8="Homepower Bulk",'Rates Table'!$E$16*Inputs!$G$27,'Rates Table'!$E$16*PODs*(TOU_High_Days + TOU_Low_Days)/12)), IF(AND(Table_1=1,'Rates Table'!E2&lt;&gt;"Transflex 1",'Rates Table'!E2&lt;&gt;"Transflex 2"), 'Rates Table'!$E$16*Inputs!$K$75, IF($D$8="Homepower Bulk",'Rates Table'!$E$16*Inputs!$G$27,'Rates Table'!$E$16*PODs*(TOU_High_Days + TOU_Low_Days)/12))),0)</f>
        <v>0</v>
      </c>
      <c r="F33" s="138">
        <f ca="1">IFERROR(IF(Inputs!$G$29="No", IF(AND(Table_1=1,'Rates Table'!E2&lt;&gt;"Transflex 1",'Rates Table'!E2&lt;&gt;"Transflex 2"), 'Rates Table'!$E$16*Inputs!$K$37, IF($D$8="Homepower Bulk",'Rates Table'!$E$16*Inputs!$G$27,'Rates Table'!$E$16*PODs*(TOU_High_Days + TOU_Low_Days)/12)), IF(AND(Table_1=1,'Rates Table'!E2&lt;&gt;"Transflex 1",'Rates Table'!E2&lt;&gt;"Transflex 2"), 'Rates Table'!$E$16*Inputs!$K$76, IF($D$8="Homepower Bulk",'Rates Table'!$E$16*Inputs!$G$27,'Rates Table'!$E$16*PODs*(TOU_High_Days + TOU_Low_Days)/12))),0)</f>
        <v>0</v>
      </c>
      <c r="G33" s="138">
        <f ca="1">IFERROR(IF(Inputs!$G$29="No", IF(AND(Table_1=1,'Rates Table'!E2&lt;&gt;"Transflex 1",'Rates Table'!E2&lt;&gt;"Transflex 2"), 'Rates Table'!$E$16*Inputs!$K$38, IF($D$8="Homepower Bulk",'Rates Table'!$E$16*Inputs!$G$27,'Rates Table'!$E$16*PODs*(TOU_High_Days + TOU_Low_Days)/12)), IF(AND(Table_1=1,'Rates Table'!E2&lt;&gt;"Transflex 1",'Rates Table'!E2&lt;&gt;"Transflex 2"), 'Rates Table'!$E$16*Inputs!$K$77, IF($D$8="Homepower Bulk",'Rates Table'!$E$16*Inputs!$G$27,'Rates Table'!$E$16*PODs*(TOU_High_Days + TOU_Low_Days)/12))),0)</f>
        <v>0</v>
      </c>
      <c r="H33" s="138">
        <f ca="1">IFERROR(IF(Inputs!$G$29="No", IF(AND(Table_1=1,'Rates Table'!E2&lt;&gt;"Transflex 1",'Rates Table'!E2&lt;&gt;"Transflex 2"), 'Rates Table'!$E$16*Inputs!$K$39, IF($D$8="Homepower Bulk",'Rates Table'!$E$16*Inputs!$G$27,'Rates Table'!$E$16*PODs*(TOU_High_Days + TOU_Low_Days)/12)), IF(AND(Table_1=1,'Rates Table'!E2&lt;&gt;"Transflex 1",'Rates Table'!E2&lt;&gt;"Transflex 2"), 'Rates Table'!$E$16*Inputs!$K$78, IF($D$8="Homepower Bulk",'Rates Table'!$E$16*Inputs!$G$27,'Rates Table'!$E$16*PODs*(TOU_High_Days + TOU_Low_Days)/12))),0)</f>
        <v>0</v>
      </c>
      <c r="I33" s="138">
        <f ca="1">IFERROR(IF(Inputs!$G$29="No", IF(AND(Table_1=1,'Rates Table'!E2&lt;&gt;"Transflex 1",'Rates Table'!E2&lt;&gt;"Transflex 2"), 'Rates Table'!$E$16*Inputs!$K$40, IF($D$8="Homepower Bulk",'Rates Table'!$E$16*Inputs!$G$27,'Rates Table'!$E$16*PODs*(TOU_High_Days + TOU_Low_Days)/12)), IF(AND(Table_1=1,'Rates Table'!E2&lt;&gt;"Transflex 1",'Rates Table'!E2&lt;&gt;"Transflex 2"), 'Rates Table'!$E$16*Inputs!$K$79, IF($D$8="Homepower Bulk",'Rates Table'!$E$16*Inputs!$G$27,'Rates Table'!$E$16*PODs*(TOU_High_Days + TOU_Low_Days)/12))),0)</f>
        <v>0</v>
      </c>
      <c r="J33" s="138">
        <f ca="1">IFERROR(IF(Inputs!$G$29="No", IF(AND(Table_1=1,'Rates Table'!E2&lt;&gt;"Transflex 1",'Rates Table'!E2&lt;&gt;"Transflex 2"), 'Rates Table'!$E$16*Inputs!$K$41, IF($D$8="Homepower Bulk",'Rates Table'!$E$16*Inputs!$G$27,'Rates Table'!$E$16*PODs*(TOU_High_Days + TOU_Low_Days)/12)), IF(AND(Table_1=1,'Rates Table'!E2&lt;&gt;"Transflex 1",'Rates Table'!E2&lt;&gt;"Transflex 2"), 'Rates Table'!$E$16*Inputs!$K$80, IF($D$8="Homepower Bulk",'Rates Table'!$E$16*Inputs!$G$27,'Rates Table'!$E$16*PODs*(TOU_High_Days + TOU_Low_Days)/12))),0)</f>
        <v>0</v>
      </c>
      <c r="K33" s="138">
        <f ca="1">IFERROR(IF(Inputs!$G$29="No", IF(AND(Table_1=1,'Rates Table'!E2&lt;&gt;"Transflex 1",'Rates Table'!E2&lt;&gt;"Transflex 2"), 'Rates Table'!$E$16*Inputs!$K$42, IF($D$8="Homepower Bulk",'Rates Table'!$E$16*Inputs!$G$27,'Rates Table'!$E$16*PODs*(TOU_High_Days + TOU_Low_Days)/12)), IF(AND(Table_1=1,'Rates Table'!E2&lt;&gt;"Transflex 1",'Rates Table'!E2&lt;&gt;"Transflex 2"), 'Rates Table'!$E$16*Inputs!$K$81, IF($D$8="Homepower Bulk",'Rates Table'!$E$16*Inputs!$G$27,'Rates Table'!$E$16*PODs*(TOU_High_Days + TOU_Low_Days)/12))),0)</f>
        <v>0</v>
      </c>
      <c r="L33" s="138">
        <f ca="1">IFERROR(IF(Inputs!$G$29="No", IF(AND(Table_1=1,'Rates Table'!E2&lt;&gt;"Transflex 1",'Rates Table'!E2&lt;&gt;"Transflex 2"), 'Rates Table'!$E$16*Inputs!$K$43, IF($D$8="Homepower Bulk",'Rates Table'!$E$16*Inputs!$G$27,'Rates Table'!$E$16*PODs*(TOU_High_Days + TOU_Low_Days)/12)), IF(AND(Table_1=1,'Rates Table'!E2&lt;&gt;"Transflex 1",'Rates Table'!E2&lt;&gt;"Transflex 2"), 'Rates Table'!$E$16*Inputs!$K$82, IF($D$8="Homepower Bulk",'Rates Table'!$E$16*Inputs!$G$27,'Rates Table'!$E$16*PODs*(TOU_High_Days + TOU_Low_Days)/12))),0)</f>
        <v>0</v>
      </c>
      <c r="M33" s="138"/>
      <c r="N33" s="138">
        <f ca="1">IFERROR(IF(Inputs!$G$29="No", IF(AND(Table_1=1,'Rates Table'!E2&lt;&gt;"Transflex 1",'Rates Table'!E2&lt;&gt;"Transflex 2"), 'Rates Table'!$E$16*Inputs!$K$44, IF($D$8="Homepower Bulk",'Rates Table'!$E$16*Inputs!$G$27,'Rates Table'!$E$16*PODs*(TOU_High_Days + TOU_Low_Days)/12)), IF(AND(Table_1=1,'Rates Table'!E2&lt;&gt;"Transflex 1",'Rates Table'!E2&lt;&gt;"Transflex 2"), 'Rates Table'!$E$16*Inputs!$K$83, IF($D$8="Homepower Bulk",'Rates Table'!$E$16*Inputs!$G$27,'Rates Table'!$E$16*PODs*(TOU_High_Days + TOU_Low_Days)/12))),0)</f>
        <v>0</v>
      </c>
      <c r="O33" s="138">
        <f ca="1">IFERROR(IF(Inputs!$G$29="No", IF(AND(Table_1=1,'Rates Table'!E2&lt;&gt;"Transflex 1",'Rates Table'!E2&lt;&gt;"Transflex 2"), 'Rates Table'!$E$16*Inputs!$K$45, IF($D$8="Homepower Bulk",'Rates Table'!$E$16*Inputs!$G$27,'Rates Table'!$E$16*PODs*(TOU_High_Days + TOU_Low_Days)/12)), IF(AND(Table_1=1,'Rates Table'!E2&lt;&gt;"Transflex 1",'Rates Table'!E2&lt;&gt;"Transflex 2"), 'Rates Table'!$E$16*Inputs!$K$84, IF($D$8="Homepower Bulk",'Rates Table'!$E$16*Inputs!$G$27,'Rates Table'!$E$16*PODs*(TOU_High_Days + TOU_Low_Days)/12))),0)</f>
        <v>0</v>
      </c>
      <c r="P33" s="138">
        <f ca="1">IFERROR(IF(Inputs!$G$29="No", IF(AND(Table_1=1,'Rates Table'!E2&lt;&gt;"Transflex 1",'Rates Table'!E2&lt;&gt;"Transflex 2"), 'Rates Table'!$E$16*Inputs!$K$46, IF($D$8="Homepower Bulk",'Rates Table'!$E$16*Inputs!$G$27,'Rates Table'!$E$16*PODs*(TOU_High_Days + TOU_Low_Days)/12)), IF(AND(Table_1=1,'Rates Table'!E2&lt;&gt;"Transflex 1",'Rates Table'!E2&lt;&gt;"Transflex 2"), 'Rates Table'!$E$16*Inputs!$K$85, IF($D$8="Homepower Bulk",'Rates Table'!$E$16*Inputs!$G$27,'Rates Table'!$E$16*PODs*(TOU_High_Days + TOU_Low_Days)/12))),0)</f>
        <v>0</v>
      </c>
      <c r="Q33" s="138">
        <f ca="1">IFERROR(IF(Inputs!$G$29="No", IF(AND(Table_1=1,'Rates Table'!E2&lt;&gt;"Transflex 1",'Rates Table'!E2&lt;&gt;"Transflex 2"), 'Rates Table'!$E$16*Inputs!$K$47, IF($D$8="Homepower Bulk",'Rates Table'!$E$16*Inputs!$G$27,'Rates Table'!$E$16*PODs*(TOU_High_Days + TOU_Low_Days)/12)), IF(AND(Table_1=1,'Rates Table'!E2&lt;&gt;"Transflex 1",'Rates Table'!E2&lt;&gt;"Transflex 2"), 'Rates Table'!$E$16*Inputs!$K$86, IF($D$8="Homepower Bulk",'Rates Table'!$E$16*Inputs!$G$27,'Rates Table'!$E$16*PODs*(TOU_High_Days + TOU_Low_Days)/12))),0)</f>
        <v>0</v>
      </c>
      <c r="R33" s="138">
        <f ca="1">SUM(E33:Q33)</f>
        <v>0</v>
      </c>
      <c r="S33" s="138"/>
      <c r="T33" s="138"/>
      <c r="U33" s="138"/>
      <c r="AE33" s="231">
        <f ca="1">'Bill Comparison'!G74</f>
        <v>0</v>
      </c>
      <c r="AF33" s="230">
        <f ca="1">IFERROR(R33 - AE33, "")</f>
        <v>0</v>
      </c>
    </row>
    <row r="34" spans="2:32">
      <c r="B34"/>
      <c r="C34"/>
      <c r="D34" s="178" t="s">
        <v>370</v>
      </c>
      <c r="E34" s="179" t="str">
        <f ca="1">IFERROR((E32 - E33) / E33, "")</f>
        <v/>
      </c>
      <c r="F34" s="179" t="str">
        <f t="shared" ref="F34:Q34" ca="1" si="6">IFERROR((F32 - F33) / F33, "")</f>
        <v/>
      </c>
      <c r="G34" s="179" t="str">
        <f t="shared" ca="1" si="6"/>
        <v/>
      </c>
      <c r="H34" s="179" t="str">
        <f t="shared" ca="1" si="6"/>
        <v/>
      </c>
      <c r="I34" s="179" t="str">
        <f t="shared" ca="1" si="6"/>
        <v/>
      </c>
      <c r="J34" s="179" t="str">
        <f t="shared" ca="1" si="6"/>
        <v/>
      </c>
      <c r="K34" s="179" t="str">
        <f t="shared" ca="1" si="6"/>
        <v/>
      </c>
      <c r="L34" s="179" t="str">
        <f t="shared" ca="1" si="6"/>
        <v/>
      </c>
      <c r="M34" s="179"/>
      <c r="N34" s="179" t="str">
        <f t="shared" ca="1" si="6"/>
        <v/>
      </c>
      <c r="O34" s="179" t="str">
        <f t="shared" ca="1" si="6"/>
        <v/>
      </c>
      <c r="P34" s="179" t="str">
        <f t="shared" ca="1" si="6"/>
        <v/>
      </c>
      <c r="Q34" s="179" t="str">
        <f t="shared" ca="1" si="6"/>
        <v/>
      </c>
      <c r="R34" s="179" t="str">
        <f ca="1">IFERROR((R32 - R33) / R33, "")</f>
        <v/>
      </c>
      <c r="S34" s="361"/>
      <c r="T34" s="361"/>
      <c r="U34" s="361"/>
    </row>
    <row r="35" spans="2:32">
      <c r="B35"/>
      <c r="C35" s="448" t="s">
        <v>119</v>
      </c>
      <c r="D35" s="153" t="str">
        <f>New_Period</f>
        <v>2026/27</v>
      </c>
      <c r="E35" s="167">
        <f ca="1">SUM(E17,E20,E23,E26,E29,E32,E14)</f>
        <v>0</v>
      </c>
      <c r="F35" s="167">
        <f t="shared" ref="F35:R35" ca="1" si="7">SUM(F17,F20,F23,F26,F29,F32,F14)</f>
        <v>0</v>
      </c>
      <c r="G35" s="167">
        <f t="shared" ca="1" si="7"/>
        <v>0</v>
      </c>
      <c r="H35" s="167">
        <f t="shared" ca="1" si="7"/>
        <v>0</v>
      </c>
      <c r="I35" s="167">
        <f t="shared" ca="1" si="7"/>
        <v>0</v>
      </c>
      <c r="J35" s="167">
        <f t="shared" ca="1" si="7"/>
        <v>0</v>
      </c>
      <c r="K35" s="167">
        <f t="shared" ca="1" si="7"/>
        <v>0</v>
      </c>
      <c r="L35" s="167">
        <f t="shared" ca="1" si="7"/>
        <v>0</v>
      </c>
      <c r="M35" s="167"/>
      <c r="N35" s="167">
        <f t="shared" ca="1" si="7"/>
        <v>0</v>
      </c>
      <c r="O35" s="167">
        <f t="shared" ca="1" si="7"/>
        <v>0</v>
      </c>
      <c r="P35" s="167">
        <f t="shared" ca="1" si="7"/>
        <v>0</v>
      </c>
      <c r="Q35" s="167">
        <f t="shared" ca="1" si="7"/>
        <v>0</v>
      </c>
      <c r="R35" s="167">
        <f t="shared" ca="1" si="7"/>
        <v>0</v>
      </c>
      <c r="S35" s="168"/>
      <c r="T35" s="168"/>
      <c r="U35" s="168"/>
      <c r="AE35" s="230">
        <f ca="1">'Bill Comparison'!H77</f>
        <v>0</v>
      </c>
      <c r="AF35" s="232">
        <f ca="1">IFERROR(R35 - AE35, "")</f>
        <v>0</v>
      </c>
    </row>
    <row r="36" spans="2:32" ht="18" customHeight="1">
      <c r="B36"/>
      <c r="C36" s="443"/>
      <c r="D36" s="3" t="str">
        <f>Current_Period</f>
        <v>2025/26</v>
      </c>
      <c r="E36" s="168">
        <f ca="1">SUM(E18,E21,E24,E27,E30,E33,E15)</f>
        <v>0</v>
      </c>
      <c r="F36" s="168">
        <f t="shared" ref="F36:Q36" ca="1" si="8">SUM(F18,F21,F24,F27,F30,F33,F15)</f>
        <v>0</v>
      </c>
      <c r="G36" s="168">
        <f t="shared" ca="1" si="8"/>
        <v>0</v>
      </c>
      <c r="H36" s="168">
        <f t="shared" ca="1" si="8"/>
        <v>0</v>
      </c>
      <c r="I36" s="168">
        <f t="shared" ca="1" si="8"/>
        <v>0</v>
      </c>
      <c r="J36" s="168">
        <f t="shared" ca="1" si="8"/>
        <v>0</v>
      </c>
      <c r="K36" s="168">
        <f t="shared" ca="1" si="8"/>
        <v>0</v>
      </c>
      <c r="L36" s="168">
        <f t="shared" ca="1" si="8"/>
        <v>0</v>
      </c>
      <c r="M36" s="168"/>
      <c r="N36" s="168">
        <f t="shared" ca="1" si="8"/>
        <v>0</v>
      </c>
      <c r="O36" s="168">
        <f t="shared" ca="1" si="8"/>
        <v>0</v>
      </c>
      <c r="P36" s="168">
        <f t="shared" ca="1" si="8"/>
        <v>0</v>
      </c>
      <c r="Q36" s="168">
        <f t="shared" ca="1" si="8"/>
        <v>0</v>
      </c>
      <c r="R36" s="168">
        <f ca="1">SUM(R18,R21,R24,R27,R30,R33,R15)</f>
        <v>0</v>
      </c>
      <c r="S36" s="168"/>
      <c r="T36" s="168"/>
      <c r="U36" s="168"/>
      <c r="AE36" s="230">
        <f ca="1">'Bill Comparison'!G77</f>
        <v>0</v>
      </c>
      <c r="AF36" s="232">
        <f ca="1">IFERROR(R36 - AE36, "")</f>
        <v>0</v>
      </c>
    </row>
    <row r="37" spans="2:32">
      <c r="B37"/>
      <c r="C37" s="154"/>
      <c r="D37" s="180" t="s">
        <v>370</v>
      </c>
      <c r="E37" s="181" t="str">
        <f t="shared" ref="E37:R37" ca="1" si="9">IFERROR((E35 - E36) / E36, "")</f>
        <v/>
      </c>
      <c r="F37" s="181" t="str">
        <f t="shared" ca="1" si="9"/>
        <v/>
      </c>
      <c r="G37" s="181" t="str">
        <f t="shared" ca="1" si="9"/>
        <v/>
      </c>
      <c r="H37" s="181" t="str">
        <f t="shared" ca="1" si="9"/>
        <v/>
      </c>
      <c r="I37" s="181" t="str">
        <f t="shared" ca="1" si="9"/>
        <v/>
      </c>
      <c r="J37" s="181" t="str">
        <f t="shared" ca="1" si="9"/>
        <v/>
      </c>
      <c r="K37" s="181" t="str">
        <f t="shared" ca="1" si="9"/>
        <v/>
      </c>
      <c r="L37" s="181" t="str">
        <f t="shared" ca="1" si="9"/>
        <v/>
      </c>
      <c r="M37" s="181"/>
      <c r="N37" s="181" t="str">
        <f t="shared" ca="1" si="9"/>
        <v/>
      </c>
      <c r="O37" s="181" t="str">
        <f t="shared" ca="1" si="9"/>
        <v/>
      </c>
      <c r="P37" s="181" t="str">
        <f t="shared" ca="1" si="9"/>
        <v/>
      </c>
      <c r="Q37" s="181" t="str">
        <f t="shared" ca="1" si="9"/>
        <v/>
      </c>
      <c r="R37" s="181" t="str">
        <f t="shared" ca="1" si="9"/>
        <v/>
      </c>
      <c r="S37" s="362"/>
      <c r="T37" s="362"/>
      <c r="U37" s="362"/>
    </row>
    <row r="39" spans="2:32">
      <c r="B39" s="24" t="s">
        <v>187</v>
      </c>
      <c r="C39" s="24"/>
      <c r="D39" s="24"/>
      <c r="E39" s="165">
        <f>E$13</f>
        <v>46142</v>
      </c>
      <c r="F39" s="165">
        <f t="shared" ref="F39:Q39" si="10">F$13</f>
        <v>46173</v>
      </c>
      <c r="G39" s="165">
        <f t="shared" si="10"/>
        <v>46203</v>
      </c>
      <c r="H39" s="165">
        <f t="shared" si="10"/>
        <v>46234</v>
      </c>
      <c r="I39" s="165">
        <f t="shared" si="10"/>
        <v>46265</v>
      </c>
      <c r="J39" s="165">
        <f t="shared" si="10"/>
        <v>46295</v>
      </c>
      <c r="K39" s="165">
        <f t="shared" si="10"/>
        <v>46326</v>
      </c>
      <c r="L39" s="165">
        <f t="shared" si="10"/>
        <v>46356</v>
      </c>
      <c r="M39" s="165"/>
      <c r="N39" s="165">
        <f t="shared" si="10"/>
        <v>46387</v>
      </c>
      <c r="O39" s="165">
        <f t="shared" si="10"/>
        <v>46418</v>
      </c>
      <c r="P39" s="165">
        <f t="shared" si="10"/>
        <v>46446</v>
      </c>
      <c r="Q39" s="165">
        <f t="shared" si="10"/>
        <v>46477</v>
      </c>
      <c r="R39" s="150" t="s">
        <v>24</v>
      </c>
      <c r="S39" s="150"/>
      <c r="T39" s="150"/>
      <c r="U39" s="150"/>
    </row>
    <row r="40" spans="2:32">
      <c r="B40"/>
      <c r="C40" s="442" t="s">
        <v>374</v>
      </c>
      <c r="D40" t="str">
        <f>New_Period</f>
        <v>2026/27</v>
      </c>
      <c r="E40" s="138">
        <f ca="1">IFERROR(IF(AND(Inputs!$G$29="No", TOU_indicator_RTP="Y"),Inputs!$G$36*IF(Inputs!$E$36="High Demand",NewRate_kWh_P_high,NewRate_kWh_P_low)/100,Inputs!$G$117*IF(Inputs!$E$36="High Demand",NewRate_kWh_P_high,NewRate_kWh_P_low)/100),"")</f>
        <v>0</v>
      </c>
      <c r="F40" s="138">
        <f ca="1">IFERROR(IF(AND(Inputs!$G$29="No", TOU_indicator_RTP="Y"),Inputs!$G$37*IF(Inputs!$E$37="High Demand",NewRate_kWh_P_high,NewRate_kWh_P_low)/100,Inputs!$G$118*IF(Inputs!$E$37="High Demand",NewRate_kWh_P_high,NewRate_kWh_P_low)/100),"")</f>
        <v>0</v>
      </c>
      <c r="G40" s="138">
        <f ca="1">IFERROR(IF(AND(Inputs!$G$29="No", TOU_indicator_RTP="Y"),Inputs!$G$38*IF(Inputs!$E$38="High Demand",NewRate_kWh_P_high,NewRate_kWh_P_low)/100,Inputs!$G$119*IF(Inputs!$E$38="High Demand",NewRate_kWh_P_high,NewRate_kWh_P_low)/100),"")</f>
        <v>0</v>
      </c>
      <c r="H40" s="138">
        <f ca="1">IFERROR(IF(AND(Inputs!$G$29="No", TOU_indicator_RTP="Y"),Inputs!$G$39*IF(Inputs!$E$39="High Demand",NewRate_kWh_P_high,NewRate_kWh_P_low)/100,Inputs!$G$120*IF(Inputs!$E$39="High Demand",NewRate_kWh_P_high,NewRate_kWh_P_low)/100),"")</f>
        <v>0</v>
      </c>
      <c r="I40" s="138">
        <f ca="1">IFERROR(IF(AND(Inputs!$G$29="No", TOU_indicator_RTP="Y"),Inputs!$G$40*IF(Inputs!$E$40="High Demand",NewRate_kWh_P_high,NewRate_kWh_P_low)/100,Inputs!$G$121*IF(Inputs!$E$40="High Demand",NewRate_kWh_P_high,NewRate_kWh_P_low)/100),"")</f>
        <v>0</v>
      </c>
      <c r="J40" s="138">
        <f ca="1">IFERROR(IF(AND(Inputs!$G$29="No", TOU_indicator_RTP="Y"),Inputs!$G$41*IF(Inputs!$E$41="High Demand",NewRate_kWh_P_high,NewRate_kWh_P_low)/100,Inputs!$G$122*IF(Inputs!$E$41="High Demand",NewRate_kWh_P_high,NewRate_kWh_P_low)/100),"")</f>
        <v>0</v>
      </c>
      <c r="K40" s="138">
        <f ca="1">IFERROR(IF(AND(Inputs!$G$29="No", TOU_indicator_RTP="Y"),Inputs!$G$42*IF(Inputs!$E$42="High Demand",NewRate_kWh_P_high,NewRate_kWh_P_low)/100,Inputs!$G$123*IF(Inputs!$E$42="High Demand",NewRate_kWh_P_high,NewRate_kWh_P_low)/100),"")</f>
        <v>0</v>
      </c>
      <c r="L40" s="138">
        <f ca="1">IFERROR(IF(AND(Inputs!$G$29="No", TOU_indicator_RTP="Y"),Inputs!$G$43*IF(Inputs!$E$43="High Demand",NewRate_kWh_P_high,NewRate_kWh_P_low)/100,Inputs!$G$124*IF(Inputs!$E$43="High Demand",NewRate_kWh_P_high,NewRate_kWh_P_low)/100),"")</f>
        <v>0</v>
      </c>
      <c r="M40" s="138"/>
      <c r="N40" s="138">
        <f ca="1">IFERROR(IF(AND(Inputs!$G$29="No", TOU_indicator_RTP="Y"),Inputs!$G$44*IF(Inputs!$E$44="High Demand",NewRate_kWh_P_high,NewRate_kWh_P_low)/100,Inputs!$G$125*IF(Inputs!$E$44="High Demand",NewRate_kWh_P_high,NewRate_kWh_P_low)/100),"")</f>
        <v>0</v>
      </c>
      <c r="O40" s="138">
        <f ca="1">IFERROR(IF(AND(Inputs!$G$29="No", TOU_indicator_RTP="Y"),Inputs!$G$45*IF(Inputs!$E$45="High Demand",NewRate_kWh_P_high,NewRate_kWh_P_low)/100,Inputs!$G$126*IF(Inputs!$E$45="High Demand",NewRate_kWh_P_high,NewRate_kWh_P_low)/100),"")</f>
        <v>0</v>
      </c>
      <c r="P40" s="138">
        <f ca="1">IFERROR(IF(AND(Inputs!$G$29="No", TOU_indicator_RTP="Y"),Inputs!$G$46*IF(Inputs!$E$46="High Demand",NewRate_kWh_P_high,NewRate_kWh_P_low)/100,Inputs!$G$127*IF(Inputs!$E$46="High Demand",NewRate_kWh_P_high,NewRate_kWh_P_low)/100),"")</f>
        <v>0</v>
      </c>
      <c r="Q40" s="138">
        <f ca="1">IFERROR(IF(AND(Inputs!$G$29="No", TOU_indicator_RTP="Y"),Inputs!$G$47*IF(Inputs!$E$47="High Demand",NewRate_kWh_P_high,NewRate_kWh_P_low)/100,Inputs!$G$128*IF(Inputs!$E$47="High Demand",NewRate_kWh_P_high,NewRate_kWh_P_low)/100),"")</f>
        <v>0</v>
      </c>
      <c r="R40" s="138">
        <f ca="1">IF(E40 = "", "", SUM(E40:Q40))</f>
        <v>0</v>
      </c>
      <c r="S40" s="138"/>
      <c r="T40" s="138"/>
      <c r="U40" s="138"/>
      <c r="AE40" s="231">
        <f ca="1">'Bill Comparison'!H81</f>
        <v>0</v>
      </c>
      <c r="AF40" s="230">
        <f ca="1">IFERROR(R40 - AE40, "")</f>
        <v>0</v>
      </c>
    </row>
    <row r="41" spans="2:32">
      <c r="B41"/>
      <c r="C41" s="443"/>
      <c r="D41" t="str">
        <f>Current_Period</f>
        <v>2025/26</v>
      </c>
      <c r="E41" s="138">
        <f ca="1">IFERROR(IF(AND(Inputs!$G$29="No", Lists!H10="Y"),Inputs!$G$36*IF(Inputs!$E$36="High Demand",CurrRate_kWh_P_high,CurrRate_kWh_P_low)/100,Inputs!$G$75*IF(Inputs!$E$36="High Demand",CurrRate_kWh_P_high,CurrRate_kWh_P_low)/100),"")</f>
        <v>0</v>
      </c>
      <c r="F41" s="138">
        <f ca="1">IFERROR(IF(AND(Inputs!$G$29="No", Lists!H10="Y"),Inputs!$G$37*IF(Inputs!$E$37="High Demand",CurrRate_kWh_P_high,CurrRate_kWh_P_low)/100,Inputs!$G$76*IF(Inputs!$E$37="High Demand",CurrRate_kWh_P_high,CurrRate_kWh_P_low)/100),"")</f>
        <v>0</v>
      </c>
      <c r="G41" s="138">
        <f ca="1">IFERROR(IF(AND(Inputs!$G$29="No", Lists!H10="Y"),Inputs!$G$38*IF(Inputs!$E$38="High Demand",CurrRate_kWh_P_high,CurrRate_kWh_P_low)/100,Inputs!$G$77*IF(Inputs!$E$38="High Demand",CurrRate_kWh_P_high,CurrRate_kWh_P_low)/100),"")</f>
        <v>0</v>
      </c>
      <c r="H41" s="138">
        <f ca="1">IFERROR(IF(AND(Inputs!$G$29="No", Lists!H10="Y"),Inputs!$G$39*IF(Inputs!$E$39="High Demand",CurrRate_kWh_P_high,CurrRate_kWh_P_low)/100,Inputs!$G$78*IF(Inputs!$E$39="High Demand",CurrRate_kWh_P_high,CurrRate_kWh_P_low)/100),"")</f>
        <v>0</v>
      </c>
      <c r="I41" s="138">
        <f ca="1">IFERROR(IF(AND(Inputs!$G$29="No", Lists!H10="Y"),Inputs!$G$40*IF(Inputs!$E$40="High Demand",CurrRate_kWh_P_high,CurrRate_kWh_P_low)/100,Inputs!$G$79*IF(Inputs!$E$40="High Demand",CurrRate_kWh_P_high,CurrRate_kWh_P_low)/100),"")</f>
        <v>0</v>
      </c>
      <c r="J41" s="138">
        <f ca="1">IFERROR(IF(AND(Inputs!$G$29="No", Lists!H10="Y"),Inputs!$G$41*IF(Inputs!$E$41="High Demand",CurrRate_kWh_P_high,CurrRate_kWh_P_low)/100,Inputs!$G$80*IF(Inputs!$E$41="High Demand",CurrRate_kWh_P_high,CurrRate_kWh_P_low)/100),"")</f>
        <v>0</v>
      </c>
      <c r="K41" s="138">
        <f ca="1">IFERROR(IF(AND(Inputs!$G$29="No", Lists!H10="Y"),Inputs!$G$42*IF(Inputs!$E$42="High Demand",CurrRate_kWh_P_high,CurrRate_kWh_P_low)/100,Inputs!$G$81*IF(Inputs!$E$42="High Demand",CurrRate_kWh_P_high,CurrRate_kWh_P_low)/100),"")</f>
        <v>0</v>
      </c>
      <c r="L41" s="138">
        <f ca="1">IFERROR(IF(AND(Inputs!$G$29="No", Lists!H10="Y"),Inputs!$G$43*IF(Inputs!$E$43="High Demand",CurrRate_kWh_P_high,CurrRate_kWh_P_low)/100,Inputs!$G$82*IF(Inputs!$E$43="High Demand",CurrRate_kWh_P_high,CurrRate_kWh_P_low)/100),"")</f>
        <v>0</v>
      </c>
      <c r="M41" s="138"/>
      <c r="N41" s="138">
        <f ca="1">IFERROR(IF(AND(Inputs!$G$29="No", Lists!H10="Y"),Inputs!$G$44*IF(Inputs!$E$44="High Demand",CurrRate_kWh_P_high,CurrRate_kWh_P_low)/100,Inputs!$G$83*IF(Inputs!$E$44="High Demand",CurrRate_kWh_P_high,CurrRate_kWh_P_low)/100),"")</f>
        <v>0</v>
      </c>
      <c r="O41" s="138">
        <f ca="1">IFERROR(IF(AND(Inputs!$G$29="No", Lists!H10="Y"),Inputs!$G$45*IF(Inputs!$E$45="High Demand",CurrRate_kWh_P_high,CurrRate_kWh_P_low)/100,Inputs!$G$84*IF(Inputs!$E$45="High Demand",CurrRate_kWh_P_high,CurrRate_kWh_P_low)/100),"")</f>
        <v>0</v>
      </c>
      <c r="P41" s="138">
        <f ca="1">IFERROR(IF(AND(Inputs!$G$29="No", Lists!H10="Y"),Inputs!$G$46*IF(Inputs!$E$46="High Demand",CurrRate_kWh_P_high,CurrRate_kWh_P_low)/100,Inputs!$G$85*IF(Inputs!$E$46="High Demand",CurrRate_kWh_P_high,CurrRate_kWh_P_low)/100),"")</f>
        <v>0</v>
      </c>
      <c r="Q41" s="138">
        <f ca="1">IFERROR(IF(AND(Inputs!$G$29="No", Lists!H10="Y"),Inputs!$G$47*IF(Inputs!$E$47="High Demand",CurrRate_kWh_P_high,CurrRate_kWh_P_low)/100,Inputs!$G$86*IF(Inputs!$E$47="High Demand",CurrRate_kWh_P_high,CurrRate_kWh_P_low)/100),"")</f>
        <v>0</v>
      </c>
      <c r="R41" s="138">
        <f ca="1">IF(E41 = "", "", SUM(E41:Q41))</f>
        <v>0</v>
      </c>
      <c r="S41" s="138"/>
      <c r="T41" s="138"/>
      <c r="U41" s="138"/>
      <c r="AE41" s="231">
        <f ca="1">'Bill Comparison'!G81</f>
        <v>0</v>
      </c>
      <c r="AF41" s="230">
        <f ca="1">IFERROR(R41 - AE41, "")</f>
        <v>0</v>
      </c>
    </row>
    <row r="42" spans="2:32">
      <c r="B42"/>
      <c r="C42" s="152"/>
      <c r="D42" s="151" t="s">
        <v>370</v>
      </c>
      <c r="E42" s="166" t="str">
        <f ca="1">IFERROR((E40 - E41) / E41, "")</f>
        <v/>
      </c>
      <c r="F42" s="166" t="str">
        <f t="shared" ref="F42:R42" ca="1" si="11">IFERROR((F40 - F41) / F41, "")</f>
        <v/>
      </c>
      <c r="G42" s="166" t="str">
        <f t="shared" ca="1" si="11"/>
        <v/>
      </c>
      <c r="H42" s="166" t="str">
        <f t="shared" ca="1" si="11"/>
        <v/>
      </c>
      <c r="I42" s="166" t="str">
        <f t="shared" ca="1" si="11"/>
        <v/>
      </c>
      <c r="J42" s="166" t="str">
        <f t="shared" ca="1" si="11"/>
        <v/>
      </c>
      <c r="K42" s="166" t="str">
        <f t="shared" ca="1" si="11"/>
        <v/>
      </c>
      <c r="L42" s="166" t="str">
        <f t="shared" ca="1" si="11"/>
        <v/>
      </c>
      <c r="M42" s="166"/>
      <c r="N42" s="166" t="str">
        <f t="shared" ca="1" si="11"/>
        <v/>
      </c>
      <c r="O42" s="166" t="str">
        <f t="shared" ca="1" si="11"/>
        <v/>
      </c>
      <c r="P42" s="166" t="str">
        <f t="shared" ca="1" si="11"/>
        <v/>
      </c>
      <c r="Q42" s="166" t="str">
        <f t="shared" ca="1" si="11"/>
        <v/>
      </c>
      <c r="R42" s="166" t="str">
        <f t="shared" ca="1" si="11"/>
        <v/>
      </c>
      <c r="S42" s="363"/>
      <c r="T42" s="363"/>
      <c r="U42" s="363"/>
    </row>
    <row r="43" spans="2:32">
      <c r="B43"/>
      <c r="C43" s="442" t="s">
        <v>375</v>
      </c>
      <c r="D43" t="str">
        <f>New_Period</f>
        <v>2026/27</v>
      </c>
      <c r="E43" s="138">
        <f ca="1">IFERROR(IF(AND(Inputs!$G$29="No", TOU_indicator_RTP="Y"),Inputs!$H$36*IF(Inputs!$E$36="High Demand",NewRate_kWh_S_high,NewRate_kWh_S_low)/100,Inputs!$H$117*IF(Inputs!$E$36="High Demand",NewRate_kWh_S_high,NewRate_kWh_S_low)/100),"")</f>
        <v>0</v>
      </c>
      <c r="F43" s="138">
        <f ca="1">IFERROR(IF(AND(Inputs!$G$29="No", TOU_indicator_RTP="Y"),Inputs!$H$37*IF(Inputs!$E$37="High Demand",NewRate_kWh_S_high,NewRate_kWh_S_low)/100,Inputs!$H$118*IF(Inputs!$E$37="High Demand",NewRate_kWh_S_high,NewRate_kWh_S_low)/100),"")</f>
        <v>0</v>
      </c>
      <c r="G43" s="138">
        <f ca="1">IFERROR(IF(AND(Inputs!$G$29="No", TOU_indicator_RTP="Y"),Inputs!$H$38*IF(Inputs!$E$38="High Demand",NewRate_kWh_S_high,NewRate_kWh_S_low)/100,Inputs!$H$119*IF(Inputs!$E$38="High Demand",NewRate_kWh_S_high,NewRate_kWh_S_low)/100),"")</f>
        <v>0</v>
      </c>
      <c r="H43" s="138">
        <f ca="1">IFERROR(IF(AND(Inputs!$G$29="No", TOU_indicator_RTP="Y"),Inputs!$H$39*IF(Inputs!$E$39="High Demand",NewRate_kWh_S_high,NewRate_kWh_S_low)/100,Inputs!$H$120*IF(Inputs!$E$39="High Demand",NewRate_kWh_S_high,NewRate_kWh_S_low)/100),"")</f>
        <v>0</v>
      </c>
      <c r="I43" s="138">
        <f ca="1">IFERROR(IF(AND(Inputs!$G$29="No", TOU_indicator_RTP="Y"),Inputs!$H$40*IF(Inputs!$E$40="High Demand",NewRate_kWh_S_high,NewRate_kWh_S_low)/100,Inputs!$H$121*IF(Inputs!$E$40="High Demand",NewRate_kWh_S_high,NewRate_kWh_S_low)/100),"")</f>
        <v>0</v>
      </c>
      <c r="J43" s="138">
        <f ca="1">IFERROR(IF(AND(Inputs!$G$29="No", TOU_indicator_RTP="Y"),Inputs!$H$41*IF(Inputs!$E$41="High Demand",NewRate_kWh_S_high,NewRate_kWh_S_low)/100,Inputs!$H$122*IF(Inputs!$E$41="High Demand",NewRate_kWh_S_high,NewRate_kWh_S_low)/100),"")</f>
        <v>0</v>
      </c>
      <c r="K43" s="138">
        <f ca="1">IFERROR(IF(AND(Inputs!$G$29="No", TOU_indicator_RTP="Y"),Inputs!$H$42*IF(Inputs!$E$42="High Demand",NewRate_kWh_S_high,NewRate_kWh_S_low)/100,Inputs!$H$123*IF(Inputs!$E$42="High Demand",NewRate_kWh_S_high,NewRate_kWh_S_low)/100),"")</f>
        <v>0</v>
      </c>
      <c r="L43" s="138">
        <f ca="1">IFERROR(IF(AND(Inputs!$G$29="No", TOU_indicator_RTP="Y"),Inputs!$H$43*IF(Inputs!$E$43="High Demand",NewRate_kWh_S_high,NewRate_kWh_S_low)/100,Inputs!$H$124*IF(Inputs!$E$43="High Demand",NewRate_kWh_S_high,NewRate_kWh_S_low)/100),"")</f>
        <v>0</v>
      </c>
      <c r="M43" s="138"/>
      <c r="N43" s="138">
        <f ca="1">IFERROR(IF(AND(Inputs!$G$29="No", TOU_indicator_RTP="Y"),Inputs!$H$44*IF(Inputs!$E$44="High Demand",NewRate_kWh_S_high,NewRate_kWh_S_low)/100,Inputs!$H$125*IF(Inputs!$E$44="High Demand",NewRate_kWh_S_high,NewRate_kWh_S_low)/100),"")</f>
        <v>0</v>
      </c>
      <c r="O43" s="138">
        <f ca="1">IFERROR(IF(AND(Inputs!$G$29="No", TOU_indicator_RTP="Y"),Inputs!$H$45*IF(Inputs!$E$45="High Demand",NewRate_kWh_S_high,NewRate_kWh_S_low)/100,Inputs!$H$126*IF(Inputs!$E$45="High Demand",NewRate_kWh_S_high,NewRate_kWh_S_low)/100),"")</f>
        <v>0</v>
      </c>
      <c r="P43" s="138">
        <f ca="1">IFERROR(IF(AND(Inputs!$G$29="No", TOU_indicator_RTP="Y"),Inputs!$H$46*IF(Inputs!$E$46="High Demand",NewRate_kWh_S_high,NewRate_kWh_S_low)/100,Inputs!$H$127*IF(Inputs!$E$46="High Demand",NewRate_kWh_S_high,NewRate_kWh_S_low)/100),"")</f>
        <v>0</v>
      </c>
      <c r="Q43" s="138">
        <f ca="1">IFERROR(IF(AND(Inputs!$G$29="No", TOU_indicator_RTP="Y"),Inputs!$H$47*IF(Inputs!$E$47="High Demand",NewRate_kWh_S_high,NewRate_kWh_S_low)/100,Inputs!$H$128*IF(Inputs!$E$47="High Demand",NewRate_kWh_S_high,NewRate_kWh_S_low)/100),"")</f>
        <v>0</v>
      </c>
      <c r="R43" s="138">
        <f ca="1">IF(E43 = "", "", SUM(E43:Q43))</f>
        <v>0</v>
      </c>
      <c r="S43" s="138"/>
      <c r="T43" s="138"/>
      <c r="U43" s="138"/>
      <c r="AE43" s="231">
        <f ca="1">'Bill Comparison'!H82</f>
        <v>0</v>
      </c>
      <c r="AF43" s="230">
        <f ca="1">IFERROR(R43 - AE43, "")</f>
        <v>0</v>
      </c>
    </row>
    <row r="44" spans="2:32">
      <c r="B44"/>
      <c r="C44" s="443"/>
      <c r="D44" t="str">
        <f>Current_Period</f>
        <v>2025/26</v>
      </c>
      <c r="E44" s="138">
        <f ca="1">IFERROR(IF(AND(Inputs!$G$29="No", Lists!H10="Y"),Inputs!$H$36*IF(Inputs!$E$36="High Demand",CurrRate_kWh_S_high,CurrRate_kWh_S_low)/100,Inputs!$H$75*IF(Inputs!$E$36="High Demand",CurrRate_kWh_S_high,CurrRate_kWh_S_low)/100),"")</f>
        <v>0</v>
      </c>
      <c r="F44" s="138">
        <f ca="1">IFERROR(IF(AND(Inputs!$G$29="No", Lists!H10="Y"),Inputs!$H$37*IF(Inputs!$E$37="High Demand",CurrRate_kWh_S_high,CurrRate_kWh_S_low)/100,Inputs!$H$76*IF(Inputs!$E$37="High Demand",CurrRate_kWh_S_high,CurrRate_kWh_S_low)/100),"")</f>
        <v>0</v>
      </c>
      <c r="G44" s="138">
        <f ca="1">IFERROR(IF(AND(Inputs!$G$29="No", Lists!H10="Y"),Inputs!$H$38*IF(Inputs!$E$38="High Demand",CurrRate_kWh_S_high,CurrRate_kWh_S_low)/100,Inputs!$H$77*IF(Inputs!$E$38="High Demand",CurrRate_kWh_S_high,CurrRate_kWh_S_low)/100),"")</f>
        <v>0</v>
      </c>
      <c r="H44" s="138">
        <f ca="1">IFERROR(IF(AND(Inputs!$G$29="No", Lists!H10="Y"),Inputs!$H$39*IF(Inputs!$E$39="High Demand",CurrRate_kWh_S_high,CurrRate_kWh_S_low)/100,Inputs!$H$78*IF(Inputs!$E$39="High Demand",CurrRate_kWh_S_high,CurrRate_kWh_S_low)/100),"")</f>
        <v>0</v>
      </c>
      <c r="I44" s="138">
        <f ca="1">IFERROR(IF(AND(Inputs!$G$29="No", Lists!H10="Y"),Inputs!$H$40*IF(Inputs!$E$40="High Demand",CurrRate_kWh_S_high,CurrRate_kWh_S_low)/100,Inputs!$H$79*IF(Inputs!$E$40="High Demand",CurrRate_kWh_S_high,CurrRate_kWh_S_low)/100),"")</f>
        <v>0</v>
      </c>
      <c r="J44" s="138">
        <f ca="1">IFERROR(IF(AND(Inputs!$G$29="No", Lists!H10="Y"),Inputs!$H$41*IF(Inputs!$E$41="High Demand",CurrRate_kWh_S_high,CurrRate_kWh_S_low)/100,Inputs!$H$80*IF(Inputs!$E$41="High Demand",CurrRate_kWh_S_high,CurrRate_kWh_S_low)/100),"")</f>
        <v>0</v>
      </c>
      <c r="K44" s="138">
        <f ca="1">IFERROR(IF(AND(Inputs!$G$29="No", Lists!H10="Y"),Inputs!$H$42*IF(Inputs!$E$42="High Demand",CurrRate_kWh_S_high,CurrRate_kWh_S_low)/100,Inputs!$H$81*IF(Inputs!$E$42="High Demand",CurrRate_kWh_S_high,CurrRate_kWh_S_low)/100),"")</f>
        <v>0</v>
      </c>
      <c r="L44" s="138">
        <f ca="1">IFERROR(IF(AND(Inputs!$G$29="No", Lists!H10="Y"),Inputs!$H$43*IF(Inputs!$E$43="High Demand",CurrRate_kWh_S_high,CurrRate_kWh_S_low)/100,Inputs!$H$82*IF(Inputs!$E$43="High Demand",CurrRate_kWh_S_high,CurrRate_kWh_S_low)/100),"")</f>
        <v>0</v>
      </c>
      <c r="M44" s="138"/>
      <c r="N44" s="138">
        <f ca="1">IFERROR(IF(AND(Inputs!$G$29="No", Lists!H10="Y"),Inputs!$H$44*IF(Inputs!$E$44="High Demand",CurrRate_kWh_S_high,CurrRate_kWh_S_low)/100,Inputs!$H$83*IF(Inputs!$E$44="High Demand",CurrRate_kWh_S_high,CurrRate_kWh_S_low)/100),"")</f>
        <v>0</v>
      </c>
      <c r="O44" s="138">
        <f ca="1">IFERROR(IF(AND(Inputs!$G$29="No", Lists!H10="Y"),Inputs!$H$45*IF(Inputs!$E$45="High Demand",CurrRate_kWh_S_high,CurrRate_kWh_S_low)/100,Inputs!$H$84*IF(Inputs!$E$45="High Demand",CurrRate_kWh_S_high,CurrRate_kWh_S_low)/100),"")</f>
        <v>0</v>
      </c>
      <c r="P44" s="138">
        <f ca="1">IFERROR(IF(AND(Inputs!$G$29="No", Lists!H10="Y"),Inputs!$H$46*IF(Inputs!$E$46="High Demand",CurrRate_kWh_S_high,CurrRate_kWh_S_low)/100,Inputs!$H$85*IF(Inputs!$E$46="High Demand",CurrRate_kWh_S_high,CurrRate_kWh_S_low)/100),"")</f>
        <v>0</v>
      </c>
      <c r="Q44" s="138">
        <f ca="1">IFERROR(IF(AND(Inputs!$G$29="No", Lists!H10="Y"),Inputs!$H$47*IF(Inputs!$E$47="High Demand",CurrRate_kWh_S_high,CurrRate_kWh_S_low)/100,Inputs!$H$86*IF(Inputs!$E$47="High Demand",CurrRate_kWh_S_high,CurrRate_kWh_S_low)/100),"")</f>
        <v>0</v>
      </c>
      <c r="R44" s="138">
        <f ca="1">IF(E44 = "", "", SUM(E44:Q44))</f>
        <v>0</v>
      </c>
      <c r="S44" s="138"/>
      <c r="T44" s="138"/>
      <c r="U44" s="138"/>
      <c r="AE44" s="231">
        <f ca="1">'Bill Comparison'!G82</f>
        <v>0</v>
      </c>
      <c r="AF44" s="230">
        <f ca="1">IFERROR(R44 - AE44, "")</f>
        <v>0</v>
      </c>
    </row>
    <row r="45" spans="2:32">
      <c r="B45"/>
      <c r="C45" s="152"/>
      <c r="D45" s="178" t="s">
        <v>370</v>
      </c>
      <c r="E45" s="179" t="str">
        <f t="shared" ref="E45:R45" ca="1" si="12">IFERROR((E43 - E44) / E44, "")</f>
        <v/>
      </c>
      <c r="F45" s="179" t="str">
        <f t="shared" ca="1" si="12"/>
        <v/>
      </c>
      <c r="G45" s="179" t="str">
        <f t="shared" ca="1" si="12"/>
        <v/>
      </c>
      <c r="H45" s="179" t="str">
        <f t="shared" ca="1" si="12"/>
        <v/>
      </c>
      <c r="I45" s="179" t="str">
        <f t="shared" ca="1" si="12"/>
        <v/>
      </c>
      <c r="J45" s="179" t="str">
        <f t="shared" ca="1" si="12"/>
        <v/>
      </c>
      <c r="K45" s="179" t="str">
        <f t="shared" ca="1" si="12"/>
        <v/>
      </c>
      <c r="L45" s="179" t="str">
        <f t="shared" ca="1" si="12"/>
        <v/>
      </c>
      <c r="M45" s="179"/>
      <c r="N45" s="179" t="str">
        <f t="shared" ca="1" si="12"/>
        <v/>
      </c>
      <c r="O45" s="179" t="str">
        <f t="shared" ca="1" si="12"/>
        <v/>
      </c>
      <c r="P45" s="179" t="str">
        <f t="shared" ca="1" si="12"/>
        <v/>
      </c>
      <c r="Q45" s="179" t="str">
        <f t="shared" ca="1" si="12"/>
        <v/>
      </c>
      <c r="R45" s="179" t="str">
        <f t="shared" ca="1" si="12"/>
        <v/>
      </c>
      <c r="S45" s="361"/>
      <c r="T45" s="361"/>
      <c r="U45" s="361"/>
    </row>
    <row r="46" spans="2:32">
      <c r="B46"/>
      <c r="C46" s="442" t="s">
        <v>376</v>
      </c>
      <c r="D46" t="str">
        <f>New_Period</f>
        <v>2026/27</v>
      </c>
      <c r="E46" s="138">
        <f ca="1">IFERROR(IF(AND(Inputs!$G$29="No", TOU_indicator_RTP="Y"),Inputs!$I$36*IF(Inputs!$E$36="High Demand",NewRate_kWh_O_high,NewRate_kWh_O_low)/100,Inputs!$I$117*IF(Inputs!$E$36="High Demand",NewRate_kWh_O_high,NewRate_kWh_O_low)/100),"")</f>
        <v>0</v>
      </c>
      <c r="F46" s="138">
        <f ca="1">IFERROR(IF(AND(Inputs!$G$29="No", TOU_indicator_RTP="Y"),Inputs!$I$37*IF(Inputs!$E$37="High Demand",NewRate_kWh_O_high,NewRate_kWh_O_low)/100,Inputs!$I$118*IF(Inputs!$E$37="High Demand",NewRate_kWh_O_high,NewRate_kWh_O_low)/100),"")</f>
        <v>0</v>
      </c>
      <c r="G46" s="138">
        <f ca="1">IFERROR(IF(AND(Inputs!$G$29="No", TOU_indicator_RTP="Y"),Inputs!$I$38*IF(Inputs!$E$38="High Demand",NewRate_kWh_O_high,NewRate_kWh_O_low)/100,Inputs!$I$119*IF(Inputs!$E$38="High Demand",NewRate_kWh_O_high,NewRate_kWh_O_low)/100),"")</f>
        <v>0</v>
      </c>
      <c r="H46" s="138">
        <f ca="1">IFERROR(IF(AND(Inputs!$G$29="No", TOU_indicator_RTP="Y"),Inputs!$I$39*IF(Inputs!$E$39="High Demand",NewRate_kWh_O_high,NewRate_kWh_O_low)/100,Inputs!$I$120*IF(Inputs!$E$39="High Demand",NewRate_kWh_O_high,NewRate_kWh_O_low)/100),"")</f>
        <v>0</v>
      </c>
      <c r="I46" s="138">
        <f ca="1">IFERROR(IF(AND(Inputs!$G$29="No", TOU_indicator_RTP="Y"),Inputs!$I$40*IF(Inputs!$E$40="High Demand",NewRate_kWh_O_high,NewRate_kWh_O_low)/100,Inputs!$I$121*IF(Inputs!$E$40="High Demand",NewRate_kWh_O_high,NewRate_kWh_O_low)/100),"")</f>
        <v>0</v>
      </c>
      <c r="J46" s="138">
        <f ca="1">IFERROR(IF(AND(Inputs!$G$29="No", TOU_indicator_RTP="Y"),Inputs!$I$41*IF(Inputs!$E$41="High Demand",NewRate_kWh_O_high,NewRate_kWh_O_low)/100,Inputs!$I$122*IF(Inputs!$E$41="High Demand",NewRate_kWh_O_high,NewRate_kWh_O_low)/100),"")</f>
        <v>0</v>
      </c>
      <c r="K46" s="138">
        <f ca="1">IFERROR(IF(AND(Inputs!$G$29="No", TOU_indicator_RTP="Y"),Inputs!$I$42*IF(Inputs!$E$42="High Demand",NewRate_kWh_O_high,NewRate_kWh_O_low)/100,Inputs!$I$123*IF(Inputs!$E$42="High Demand",NewRate_kWh_O_high,NewRate_kWh_O_low)/100),"")</f>
        <v>0</v>
      </c>
      <c r="L46" s="138">
        <f ca="1">IFERROR(IF(AND(Inputs!$G$29="No", TOU_indicator_RTP="Y"),Inputs!$I$43*IF(Inputs!$E$43="High Demand",NewRate_kWh_O_high,NewRate_kWh_O_low)/100,Inputs!$I$124*IF(Inputs!$E$43="High Demand",NewRate_kWh_O_high,NewRate_kWh_O_low)/100),"")</f>
        <v>0</v>
      </c>
      <c r="M46" s="138"/>
      <c r="N46" s="138">
        <f ca="1">IFERROR(IF(AND(Inputs!$G$29="No", TOU_indicator_RTP="Y"),Inputs!$I$44*IF(Inputs!$E$44="High Demand",NewRate_kWh_O_high,NewRate_kWh_O_low)/100,Inputs!$I$125*IF(Inputs!$E$44="High Demand",NewRate_kWh_O_high,NewRate_kWh_O_low)/100),"")</f>
        <v>0</v>
      </c>
      <c r="O46" s="138">
        <f ca="1">IFERROR(IF(AND(Inputs!$G$29="No", TOU_indicator_RTP="Y"),Inputs!$I$45*IF(Inputs!$E$45="High Demand",NewRate_kWh_O_high,NewRate_kWh_O_low)/100,Inputs!$I$126*IF(Inputs!$E$45="High Demand",NewRate_kWh_O_high,NewRate_kWh_O_low)/100),"")</f>
        <v>0</v>
      </c>
      <c r="P46" s="138">
        <f ca="1">IFERROR(IF(AND(Inputs!$G$29="No", TOU_indicator_RTP="Y"),Inputs!$I$46*IF(Inputs!$E$46="High Demand",NewRate_kWh_O_high,NewRate_kWh_O_low)/100,Inputs!$I$127*IF(Inputs!$E$46="High Demand",NewRate_kWh_O_high,NewRate_kWh_O_low)/100),"")</f>
        <v>0</v>
      </c>
      <c r="Q46" s="138">
        <f ca="1">IFERROR(IF(AND(Inputs!$G$29="No", TOU_indicator_RTP="Y"),Inputs!$I$47*IF(Inputs!$E$47="High Demand",NewRate_kWh_O_high,NewRate_kWh_O_low)/100,Inputs!$I$128*IF(Inputs!$E$47="High Demand",NewRate_kWh_O_high,NewRate_kWh_O_low)/100),"")</f>
        <v>0</v>
      </c>
      <c r="R46" s="138">
        <f ca="1">IF(E46 = "", "", SUM(E46:Q46))</f>
        <v>0</v>
      </c>
      <c r="S46" s="138"/>
      <c r="T46" s="138"/>
      <c r="U46" s="138"/>
      <c r="AE46" s="231">
        <f ca="1">'Bill Comparison'!H83</f>
        <v>0</v>
      </c>
      <c r="AF46" s="230">
        <f ca="1">IFERROR(R46 - AE46, "")</f>
        <v>0</v>
      </c>
    </row>
    <row r="47" spans="2:32">
      <c r="B47"/>
      <c r="C47" s="443"/>
      <c r="D47" t="str">
        <f>Current_Period</f>
        <v>2025/26</v>
      </c>
      <c r="E47" s="138">
        <f ca="1">IFERROR(IF(AND(Inputs!$G$29="No", Lists!H10="Y"),Inputs!$I$36*IF(Inputs!$E$36="High Demand",CurrRate_kWh_O_high,CurrRate_kWh_O_low)/100,Inputs!$I$75*IF(Inputs!$E$36="High Demand",CurrRate_kWh_O_high,CurrRate_kWh_O_low)/100),"")</f>
        <v>0</v>
      </c>
      <c r="F47" s="138">
        <f ca="1">IFERROR(IF(AND(Inputs!$G$29="No", Lists!H10="Y"),Inputs!$I$37*IF(Inputs!$E$37="High Demand",CurrRate_kWh_O_high,CurrRate_kWh_O_low)/100,Inputs!$I$76*IF(Inputs!$E$37="High Demand",CurrRate_kWh_O_high,CurrRate_kWh_O_low)/100),"")</f>
        <v>0</v>
      </c>
      <c r="G47" s="138">
        <f ca="1">IFERROR(IF(AND(Inputs!$G$29="No", Lists!H10="Y"),Inputs!$I$38*IF(Inputs!$E$38="High Demand",CurrRate_kWh_O_high,CurrRate_kWh_O_low)/100,Inputs!$I$77*IF(Inputs!$E$38="High Demand",CurrRate_kWh_O_high,CurrRate_kWh_O_low)/100),"")</f>
        <v>0</v>
      </c>
      <c r="H47" s="138">
        <f ca="1">IFERROR(IF(AND(Inputs!$G$29="No", Lists!H10="Y"),Inputs!$I$39*IF(Inputs!$E$39="High Demand",CurrRate_kWh_O_high,CurrRate_kWh_O_low)/100,Inputs!$I$78*IF(Inputs!$E$39="High Demand",CurrRate_kWh_O_high,CurrRate_kWh_O_low)/100),"")</f>
        <v>0</v>
      </c>
      <c r="I47" s="138">
        <f ca="1">IFERROR(IF(AND(Inputs!$G$29="No", Lists!H10="Y"),Inputs!$I$40*IF(Inputs!$E$40="High Demand",CurrRate_kWh_O_high,CurrRate_kWh_O_low)/100,Inputs!$I$79*IF(Inputs!$E$40="High Demand",CurrRate_kWh_O_high,CurrRate_kWh_O_low)/100),"")</f>
        <v>0</v>
      </c>
      <c r="J47" s="138">
        <f ca="1">IFERROR(IF(AND(Inputs!$G$29="No", Lists!H10="Y"),Inputs!$I$41*IF(Inputs!$E$41="High Demand",CurrRate_kWh_O_high,CurrRate_kWh_O_low)/100,Inputs!$I$80*IF(Inputs!$E$41="High Demand",CurrRate_kWh_O_high,CurrRate_kWh_O_low)/100),"")</f>
        <v>0</v>
      </c>
      <c r="K47" s="138">
        <f ca="1">IFERROR(IF(AND(Inputs!$G$29="No", Lists!H10="Y"),Inputs!$I$42*IF(Inputs!$E$42="High Demand",CurrRate_kWh_O_high,CurrRate_kWh_O_low)/100,Inputs!$I$81*IF(Inputs!$E$42="High Demand",CurrRate_kWh_O_high,CurrRate_kWh_O_low)/100),"")</f>
        <v>0</v>
      </c>
      <c r="L47" s="138">
        <f ca="1">IFERROR(IF(AND(Inputs!$G$29="No", Lists!H10="Y"),Inputs!$I$43*IF(Inputs!$E$43="High Demand",CurrRate_kWh_O_high,CurrRate_kWh_O_low)/100,Inputs!$I$82*IF(Inputs!$E$43="High Demand",CurrRate_kWh_O_high,CurrRate_kWh_O_low)/100),"")</f>
        <v>0</v>
      </c>
      <c r="M47" s="138"/>
      <c r="N47" s="138">
        <f ca="1">IFERROR(IF(AND(Inputs!$G$29="No", Lists!H10="Y"),Inputs!$I$44*IF(Inputs!$E$44="High Demand",CurrRate_kWh_O_high,CurrRate_kWh_O_low)/100,Inputs!$I$83*IF(Inputs!$E$44="High Demand",CurrRate_kWh_O_high,CurrRate_kWh_O_low)/100),"")</f>
        <v>0</v>
      </c>
      <c r="O47" s="138">
        <f ca="1">IFERROR(IF(AND(Inputs!$G$29="No", Lists!H10="Y"),Inputs!$I$45*IF(Inputs!$E$45="High Demand",CurrRate_kWh_O_high,CurrRate_kWh_O_low)/100,Inputs!$I$84*IF(Inputs!$E$45="High Demand",CurrRate_kWh_O_high,CurrRate_kWh_O_low)/100),"")</f>
        <v>0</v>
      </c>
      <c r="P47" s="138">
        <f ca="1">IFERROR(IF(AND(Inputs!$G$29="No", Lists!H10="Y"),Inputs!$I$46*IF(Inputs!$E$46="High Demand",CurrRate_kWh_O_high,CurrRate_kWh_O_low)/100,Inputs!$I$85*IF(Inputs!$E$46="High Demand",CurrRate_kWh_O_high,CurrRate_kWh_O_low)/100),"")</f>
        <v>0</v>
      </c>
      <c r="Q47" s="138">
        <f ca="1">IFERROR(IF(AND(Inputs!$G$29="No", Lists!H10="Y"),Inputs!$I$47*IF(Inputs!$E$47="High Demand",CurrRate_kWh_O_high,CurrRate_kWh_O_low)/100,Inputs!$I$86*IF(Inputs!$E$47="High Demand",CurrRate_kWh_O_high,CurrRate_kWh_O_low)/100),"")</f>
        <v>0</v>
      </c>
      <c r="R47" s="138">
        <f ca="1">IF(E47 = "", "", SUM(E47:Q47))</f>
        <v>0</v>
      </c>
      <c r="S47" s="138"/>
      <c r="T47" s="138"/>
      <c r="U47" s="138"/>
      <c r="AE47" s="231">
        <f ca="1">'Bill Comparison'!G83</f>
        <v>0</v>
      </c>
      <c r="AF47" s="230">
        <f ca="1">IFERROR(R47 - AE47, "")</f>
        <v>0</v>
      </c>
    </row>
    <row r="48" spans="2:32">
      <c r="B48"/>
      <c r="C48" s="152"/>
      <c r="D48" s="178" t="s">
        <v>370</v>
      </c>
      <c r="E48" s="179" t="str">
        <f t="shared" ref="E48:R48" ca="1" si="13">IFERROR((E46 - E47) / E47, "")</f>
        <v/>
      </c>
      <c r="F48" s="179" t="str">
        <f t="shared" ca="1" si="13"/>
        <v/>
      </c>
      <c r="G48" s="179" t="str">
        <f t="shared" ca="1" si="13"/>
        <v/>
      </c>
      <c r="H48" s="179" t="str">
        <f t="shared" ca="1" si="13"/>
        <v/>
      </c>
      <c r="I48" s="179" t="str">
        <f t="shared" ca="1" si="13"/>
        <v/>
      </c>
      <c r="J48" s="179" t="str">
        <f t="shared" ca="1" si="13"/>
        <v/>
      </c>
      <c r="K48" s="179" t="str">
        <f t="shared" ca="1" si="13"/>
        <v/>
      </c>
      <c r="L48" s="179" t="str">
        <f t="shared" ca="1" si="13"/>
        <v/>
      </c>
      <c r="M48" s="179"/>
      <c r="N48" s="179" t="str">
        <f t="shared" ca="1" si="13"/>
        <v/>
      </c>
      <c r="O48" s="179" t="str">
        <f t="shared" ca="1" si="13"/>
        <v/>
      </c>
      <c r="P48" s="179" t="str">
        <f t="shared" ca="1" si="13"/>
        <v/>
      </c>
      <c r="Q48" s="179" t="str">
        <f t="shared" ca="1" si="13"/>
        <v/>
      </c>
      <c r="R48" s="179" t="str">
        <f t="shared" ca="1" si="13"/>
        <v/>
      </c>
      <c r="S48" s="361"/>
      <c r="T48" s="361"/>
      <c r="U48" s="361"/>
    </row>
    <row r="49" spans="2:32">
      <c r="B49"/>
      <c r="C49" s="442" t="s">
        <v>377</v>
      </c>
      <c r="D49" t="str">
        <f>New_Period</f>
        <v>2026/27</v>
      </c>
      <c r="E49" s="138" t="str">
        <f ca="1">IFERROR(IF(AND(Inputs!$G$29="No", TOU_indicator ="N"),Inputs!$M$36*IF(Inputs!$E$36="High Demand",NewRate_kWh_H_nontou,NewRate_kWh_L_nontou)/100,Inputs!$M$117*IF(Inputs!$E$36="High Demand",NewRate_kWh_H_nontou,NewRate_kWh_L_nontou)/100),"")</f>
        <v/>
      </c>
      <c r="F49" s="138" t="str">
        <f ca="1">IFERROR(IF(AND(Inputs!$G$29="No", TOU_indicator ="N"),Inputs!$M$37*IF(Inputs!$E$37="High Demand",NewRate_kWh_H_nontou,NewRate_kWh_L_nontou)/100,Inputs!$M$118*IF(Inputs!$E$37="High Demand",NewRate_kWh_H_nontou,NewRate_kWh_L_nontou)/100),"")</f>
        <v/>
      </c>
      <c r="G49" s="138" t="str">
        <f ca="1">IFERROR(IF(AND(Inputs!$G$29="No", TOU_indicator ="N"),Inputs!$M$38*IF(Inputs!$E$38="High Demand",NewRate_kWh_H_nontou,NewRate_kWh_L_nontou)/100,Inputs!$M$119*IF(Inputs!$E$38="High Demand",NewRate_kWh_H_nontou,NewRate_kWh_L_nontou)/100),"")</f>
        <v/>
      </c>
      <c r="H49" s="138" t="str">
        <f ca="1">IFERROR(IF(AND(Inputs!$G$29="No", TOU_indicator ="N"),Inputs!$M$39*IF(Inputs!$E$39="High Demand",NewRate_kWh_H_nontou,NewRate_kWh_L_nontou)/100,Inputs!$M$120*IF(Inputs!$E$39="High Demand",NewRate_kWh_H_nontou,NewRate_kWh_L_nontou)/100),"")</f>
        <v/>
      </c>
      <c r="I49" s="138" t="str">
        <f ca="1">IFERROR(IF(AND(Inputs!$G$29="No", TOU_indicator ="N"),Inputs!$M$40*IF(Inputs!$E$40="High Demand",NewRate_kWh_H_nontou,NewRate_kWh_L_nontou)/100,Inputs!$M$121*IF(Inputs!$E$40="High Demand",NewRate_kWh_H_nontou,NewRate_kWh_L_nontou)/100),"")</f>
        <v/>
      </c>
      <c r="J49" s="138" t="str">
        <f ca="1">IFERROR(IF(AND(Inputs!$G$29="No", TOU_indicator ="N"),Inputs!$M$41*IF(Inputs!$E$41="High Demand",NewRate_kWh_H_nontou,NewRate_kWh_L_nontou)/100,Inputs!$M$122*IF(Inputs!$E$41="High Demand",NewRate_kWh_H_nontou,NewRate_kWh_L_nontou)/100),"")</f>
        <v/>
      </c>
      <c r="K49" s="138" t="str">
        <f ca="1">IFERROR(IF(AND(Inputs!$G$29="No", TOU_indicator ="N"),Inputs!$M$42*IF(Inputs!$E$42="High Demand",NewRate_kWh_H_nontou,NewRate_kWh_L_nontou)/100,Inputs!$M$123*IF(Inputs!$E$42="High Demand",NewRate_kWh_H_nontou,NewRate_kWh_L_nontou)/100),"")</f>
        <v/>
      </c>
      <c r="L49" s="138" t="str">
        <f ca="1">IFERROR(IF(AND(Inputs!$G$29="No", TOU_indicator ="N"),Inputs!$M$43*IF(Inputs!$E$43="High Demand",NewRate_kWh_H_nontou,NewRate_kWh_L_nontou)/100,Inputs!$M$124*IF(Inputs!$E$43="High Demand",NewRate_kWh_H_nontou,NewRate_kWh_L_nontou)/100),"")</f>
        <v/>
      </c>
      <c r="M49" s="138"/>
      <c r="N49" s="138" t="str">
        <f ca="1">IFERROR(IF(AND(Inputs!$G$29="No", TOU_indicator ="N"),Inputs!$M$44*IF(Inputs!$E$44="High Demand",NewRate_kWh_H_nontou,NewRate_kWh_L_nontou)/100,Inputs!$M$125*IF(Inputs!$E$44="High Demand",NewRate_kWh_H_nontou,NewRate_kWh_L_nontou)/100),"")</f>
        <v/>
      </c>
      <c r="O49" s="138" t="str">
        <f ca="1">IFERROR(IF(AND(Inputs!$G$29="No", TOU_indicator ="N"),Inputs!$M$45*IF(Inputs!$E$45="High Demand",NewRate_kWh_H_nontou,NewRate_kWh_L_nontou)/100,Inputs!$M$126*IF(Inputs!$E$45="High Demand",NewRate_kWh_H_nontou,NewRate_kWh_L_nontou)/100),"")</f>
        <v/>
      </c>
      <c r="P49" s="138" t="str">
        <f ca="1">IFERROR(IF(AND(Inputs!$G$29="No", TOU_indicator ="N"),Inputs!$M$46*IF(Inputs!$E$46="High Demand",NewRate_kWh_H_nontou,NewRate_kWh_L_nontou)/100,Inputs!$M$127*IF(Inputs!$E$46="High Demand",NewRate_kWh_H_nontou,NewRate_kWh_L_nontou)/100),"")</f>
        <v/>
      </c>
      <c r="Q49" s="138" t="str">
        <f ca="1">IFERROR(IF(AND(Inputs!$G$29="No", TOU_indicator ="N"),Inputs!$M$47*IF(Inputs!$E$47="High Demand",NewRate_kWh_H_nontou,NewRate_kWh_L_nontou)/100,Inputs!$M$128*IF(Inputs!$E$47="High Demand",NewRate_kWh_H_nontou,NewRate_kWh_L_nontou)/100),"")</f>
        <v/>
      </c>
      <c r="R49" s="138" t="str">
        <f ca="1">IF(E49 = "", "", SUM(E49:Q49))</f>
        <v/>
      </c>
      <c r="S49" s="138"/>
      <c r="T49" s="138"/>
      <c r="U49" s="138"/>
      <c r="AE49" s="231">
        <f ca="1">'Bill Comparison'!H87</f>
        <v>0</v>
      </c>
      <c r="AF49" s="230" t="str">
        <f ca="1">IFERROR(R49 - AE49, "")</f>
        <v/>
      </c>
    </row>
    <row r="50" spans="2:32">
      <c r="B50"/>
      <c r="C50" s="443"/>
      <c r="D50" t="str">
        <f>Current_Period</f>
        <v>2025/26</v>
      </c>
      <c r="E50" s="138" t="str">
        <f ca="1">IFERROR(IF(AND(Inputs!$G$29="No", Lists!H10="N"),Inputs!$M$36*IF(Inputs!$E$36="High Demand",CurrRate_kWh_H_nontou,CurrRate_kWh_L_nontou)/100,Inputs!$M$75*IF(Inputs!$E$36="High Demand",CurrRate_kWh_H_nontou,CurrRate_kWh_L_nontou)/100),"")</f>
        <v/>
      </c>
      <c r="F50" s="138" t="str">
        <f ca="1">IFERROR(IF(AND(Inputs!$G$29="No", Lists!H10="N"),Inputs!$M$37*IF(Inputs!$E$37="High Demand",CurrRate_kWh_H_nontou,CurrRate_kWh_L_nontou)/100,Inputs!$M$76*IF(Inputs!$E$37="High Demand",CurrRate_kWh_H_nontou,CurrRate_kWh_L_nontou)/100),"")</f>
        <v/>
      </c>
      <c r="G50" s="138" t="str">
        <f ca="1">IFERROR(IF(AND(Inputs!$G$29="No", Lists!H10="N"),Inputs!$M$38*IF(Inputs!$E$38="High Demand",CurrRate_kWh_H_nontou,CurrRate_kWh_L_nontou)/100,Inputs!$M$77*IF(Inputs!$E$38="High Demand",CurrRate_kWh_H_nontou,CurrRate_kWh_L_nontou)/100),"")</f>
        <v/>
      </c>
      <c r="H50" s="138" t="str">
        <f ca="1">IFERROR(IF(AND(Inputs!$G$29="No", Lists!H10="N"),Inputs!$M$39*IF(Inputs!$E$39="High Demand",CurrRate_kWh_H_nontou,CurrRate_kWh_L_nontou)/100,Inputs!$M$78*IF(Inputs!$E$39="High Demand",CurrRate_kWh_H_nontou,CurrRate_kWh_L_nontou)/100),"")</f>
        <v/>
      </c>
      <c r="I50" s="138" t="str">
        <f ca="1">IFERROR(IF(AND(Inputs!$G$29="No", Lists!H10="N"),Inputs!$M$40*IF(Inputs!$E$40="High Demand",CurrRate_kWh_H_nontou,CurrRate_kWh_L_nontou)/100,Inputs!$M$79*IF(Inputs!$E$40="High Demand",CurrRate_kWh_H_nontou,CurrRate_kWh_L_nontou)/100),"")</f>
        <v/>
      </c>
      <c r="J50" s="138" t="str">
        <f ca="1">IFERROR(IF(AND(Inputs!$G$29="No", Lists!H10="N"),Inputs!$M$41*IF(Inputs!$E$41="High Demand",CurrRate_kWh_H_nontou,CurrRate_kWh_L_nontou)/100,Inputs!$M$80*IF(Inputs!$E$41="High Demand",CurrRate_kWh_H_nontou,CurrRate_kWh_L_nontou)/100),"")</f>
        <v/>
      </c>
      <c r="K50" s="138" t="str">
        <f ca="1">IFERROR(IF(AND(Inputs!$G$29="No", Lists!H10="N"),Inputs!$M$42*IF(Inputs!$E$42="High Demand",CurrRate_kWh_H_nontou,CurrRate_kWh_L_nontou)/100,Inputs!$M$81*IF(Inputs!$E$42="High Demand",CurrRate_kWh_H_nontou,CurrRate_kWh_L_nontou)/100),"")</f>
        <v/>
      </c>
      <c r="L50" s="138" t="str">
        <f ca="1">IFERROR(IF(AND(Inputs!$G$29="No", Lists!H10="N"),Inputs!$M$43*IF(Inputs!$E$43="High Demand",CurrRate_kWh_H_nontou,CurrRate_kWh_L_nontou)/100,Inputs!$M$82*IF(Inputs!$E$43="High Demand",CurrRate_kWh_H_nontou,CurrRate_kWh_L_nontou)/100),"")</f>
        <v/>
      </c>
      <c r="M50" s="138"/>
      <c r="N50" s="138" t="str">
        <f ca="1">IFERROR(IF(AND(Inputs!$G$29="No", Lists!H10="N"),Inputs!$M$44*IF(Inputs!$E$44="High Demand",CurrRate_kWh_H_nontou,CurrRate_kWh_L_nontou)/100,Inputs!$M$83*IF(Inputs!$E$44="High Demand",CurrRate_kWh_H_nontou,CurrRate_kWh_L_nontou)/100),"")</f>
        <v/>
      </c>
      <c r="O50" s="138" t="str">
        <f ca="1">IFERROR(IF(AND(Inputs!$G$29="No", Lists!H10="N"),Inputs!$M$45*IF(Inputs!$E$45="High Demand",CurrRate_kWh_H_nontou,CurrRate_kWh_L_nontou)/100,Inputs!$M$84*IF(Inputs!$E$45="High Demand",CurrRate_kWh_H_nontou,CurrRate_kWh_L_nontou)/100),"")</f>
        <v/>
      </c>
      <c r="P50" s="138" t="str">
        <f ca="1">IFERROR(IF(AND(Inputs!$G$29="No", Lists!H10="N"),Inputs!$M$46*IF(Inputs!$E$46="High Demand",CurrRate_kWh_H_nontou,CurrRate_kWh_L_nontou)/100,Inputs!$M$85*IF(Inputs!$E$46="High Demand",CurrRate_kWh_H_nontou,CurrRate_kWh_L_nontou)/100),"")</f>
        <v/>
      </c>
      <c r="Q50" s="138" t="str">
        <f ca="1">IFERROR(IF(AND(Inputs!$G$29="No", Lists!H10="N"),Inputs!$M$47*IF(Inputs!$E$47="High Demand",CurrRate_kWh_H_nontou,CurrRate_kWh_L_nontou)/100,Inputs!$M$86*IF(Inputs!$E$47="High Demand",CurrRate_kWh_H_nontou,CurrRate_kWh_L_nontou)/100),"")</f>
        <v/>
      </c>
      <c r="R50" s="138" t="str">
        <f ca="1">IF(E50 = "", "", SUM(E50:Q50))</f>
        <v/>
      </c>
      <c r="S50" s="138"/>
      <c r="T50" s="138"/>
      <c r="U50" s="138"/>
      <c r="AE50" s="231">
        <f ca="1">'Bill Comparison'!G87</f>
        <v>0</v>
      </c>
      <c r="AF50" s="230" t="str">
        <f ca="1">IFERROR(R50 - AE50, "")</f>
        <v/>
      </c>
    </row>
    <row r="51" spans="2:32">
      <c r="B51"/>
      <c r="C51" s="152"/>
      <c r="D51" s="178" t="s">
        <v>370</v>
      </c>
      <c r="E51" s="179" t="str">
        <f ca="1">IFERROR((E49 - E50) / E50, "")</f>
        <v/>
      </c>
      <c r="F51" s="179" t="str">
        <f t="shared" ref="F51:R51" ca="1" si="14">IFERROR((F49 - F50) / F50, "")</f>
        <v/>
      </c>
      <c r="G51" s="179" t="str">
        <f t="shared" ca="1" si="14"/>
        <v/>
      </c>
      <c r="H51" s="179" t="str">
        <f t="shared" ca="1" si="14"/>
        <v/>
      </c>
      <c r="I51" s="179" t="str">
        <f t="shared" ca="1" si="14"/>
        <v/>
      </c>
      <c r="J51" s="179" t="str">
        <f t="shared" ca="1" si="14"/>
        <v/>
      </c>
      <c r="K51" s="179" t="str">
        <f t="shared" ca="1" si="14"/>
        <v/>
      </c>
      <c r="L51" s="179" t="str">
        <f t="shared" ca="1" si="14"/>
        <v/>
      </c>
      <c r="M51" s="179"/>
      <c r="N51" s="179" t="str">
        <f t="shared" ca="1" si="14"/>
        <v/>
      </c>
      <c r="O51" s="179" t="str">
        <f t="shared" ca="1" si="14"/>
        <v/>
      </c>
      <c r="P51" s="179" t="str">
        <f t="shared" ca="1" si="14"/>
        <v/>
      </c>
      <c r="Q51" s="179" t="str">
        <f t="shared" ca="1" si="14"/>
        <v/>
      </c>
      <c r="R51" s="179" t="str">
        <f t="shared" ca="1" si="14"/>
        <v/>
      </c>
      <c r="S51" s="361"/>
      <c r="T51" s="361"/>
      <c r="U51" s="361"/>
    </row>
    <row r="52" spans="2:32">
      <c r="B52"/>
      <c r="C52" s="442" t="s">
        <v>378</v>
      </c>
      <c r="D52" t="str">
        <f>New_Period</f>
        <v>2026/27</v>
      </c>
      <c r="E52" s="138" t="str">
        <f ca="1">IFERROR(IF(AND(Inputs!$G$29="No", TOU_indicator ="N"),Inputs!$J$36*IF(Inputs!$E$36="High Demand",NewRate_EDC_H,NewRate_EDC_L),Inputs!$J$117*IF(Inputs!$E$36="High Demand",NewRate_EDC_H,NewRate_EDC_L)),"")</f>
        <v/>
      </c>
      <c r="F52" s="138" t="str">
        <f ca="1">IFERROR(IF(AND(Inputs!$G$29="No", TOU_indicator ="N"),Inputs!$J$37*IF(Inputs!$E$37="High Demand",NewRate_EDC_H,NewRate_EDC_L),Inputs!$J$118*IF(Inputs!$E$37="High Demand",NewRate_EDC_H,NewRate_EDC_L)),"")</f>
        <v/>
      </c>
      <c r="G52" s="138" t="str">
        <f ca="1">IFERROR(IF(AND(Inputs!$G$29="No", TOU_indicator ="N"),Inputs!$J$38*IF(Inputs!$E$38="High Demand",NewRate_EDC_H,NewRate_EDC_L),Inputs!$J$119*IF(Inputs!$E$38="High Demand",NewRate_EDC_H,NewRate_EDC_L)),"")</f>
        <v/>
      </c>
      <c r="H52" s="138" t="str">
        <f ca="1">IFERROR(IF(AND(Inputs!$G$29="No", TOU_indicator ="N"),Inputs!$J$39*IF(Inputs!$E$39="High Demand",NewRate_EDC_H,NewRate_EDC_L),Inputs!$J$120*IF(Inputs!$E$39="High Demand",NewRate_EDC_H,NewRate_EDC_L)),"")</f>
        <v/>
      </c>
      <c r="I52" s="138" t="str">
        <f ca="1">IFERROR(IF(AND(Inputs!$G$29="No", TOU_indicator ="N"),Inputs!$J$40*IF(Inputs!$E$40="High Demand",NewRate_EDC_H,NewRate_EDC_L),Inputs!$J$121*IF(Inputs!$E$40="High Demand",NewRate_EDC_H,NewRate_EDC_L)),"")</f>
        <v/>
      </c>
      <c r="J52" s="138" t="str">
        <f ca="1">IFERROR(IF(AND(Inputs!$G$29="No", TOU_indicator ="N"),Inputs!$J$41*IF(Inputs!$E$41="High Demand",NewRate_EDC_H,NewRate_EDC_L),Inputs!$J$122*IF(Inputs!$E$41="High Demand",NewRate_EDC_H,NewRate_EDC_L)),"")</f>
        <v/>
      </c>
      <c r="K52" s="138" t="str">
        <f ca="1">IFERROR(IF(AND(Inputs!$G$29="No", TOU_indicator ="N"),Inputs!$J$42*IF(Inputs!$E$42="High Demand",NewRate_EDC_H,NewRate_EDC_L),Inputs!$J$123*IF(Inputs!$E$42="High Demand",NewRate_EDC_H,NewRate_EDC_L)),"")</f>
        <v/>
      </c>
      <c r="L52" s="138" t="str">
        <f ca="1">IFERROR(IF(AND(Inputs!$G$29="No", TOU_indicator ="N"),Inputs!$J$43*IF(Inputs!$E$43="High Demand",NewRate_EDC_H,NewRate_EDC_L),Inputs!$J$124*IF(Inputs!$E$43="High Demand",NewRate_EDC_H,NewRate_EDC_L)),"")</f>
        <v/>
      </c>
      <c r="M52" s="138"/>
      <c r="N52" s="138" t="str">
        <f ca="1">IFERROR(IF(AND(Inputs!$G$29="No", TOU_indicator ="N"),Inputs!$J$44*IF(Inputs!$E$44="High Demand",NewRate_EDC_H,NewRate_EDC_L),Inputs!$J$125*IF(Inputs!$E$44="High Demand",NewRate_EDC_H,NewRate_EDC_L)),"")</f>
        <v/>
      </c>
      <c r="O52" s="138" t="str">
        <f ca="1">IFERROR(IF(AND(Inputs!$G$29="No", TOU_indicator ="N"),Inputs!$J$45*IF(Inputs!$E$45="High Demand",NewRate_EDC_H,NewRate_EDC_L),Inputs!$J$126*IF(Inputs!$E$45="High Demand",NewRate_EDC_H,NewRate_EDC_L)),"")</f>
        <v/>
      </c>
      <c r="P52" s="138" t="str">
        <f ca="1">IFERROR(IF(AND(Inputs!$G$29="No", TOU_indicator ="N"),Inputs!$J$46*IF(Inputs!$E$46="High Demand",NewRate_EDC_H,NewRate_EDC_L),Inputs!$J$127*IF(Inputs!$E$46="High Demand",NewRate_EDC_H,NewRate_EDC_L)),"")</f>
        <v/>
      </c>
      <c r="Q52" s="138" t="str">
        <f ca="1">IFERROR(IF(AND(Inputs!$G$29="No", TOU_indicator ="N"),Inputs!$J$47*IF(Inputs!$E$47="High Demand",NewRate_EDC_H,NewRate_EDC_L),Inputs!$J$128*IF(Inputs!$E$47="High Demand",NewRate_EDC_H,NewRate_EDC_L)),"")</f>
        <v/>
      </c>
      <c r="R52" s="138" t="str">
        <f ca="1">IF(E52 = "", "", SUM(E52:Q52))</f>
        <v/>
      </c>
      <c r="S52" s="138"/>
      <c r="T52" s="138"/>
      <c r="U52" s="138"/>
      <c r="AE52" s="231">
        <f ca="1">'Bill Comparison'!H90</f>
        <v>0</v>
      </c>
      <c r="AF52" s="230" t="str">
        <f ca="1">IFERROR(R52 - AE52, "")</f>
        <v/>
      </c>
    </row>
    <row r="53" spans="2:32">
      <c r="B53"/>
      <c r="C53" s="443"/>
      <c r="D53" t="str">
        <f>Current_Period</f>
        <v>2025/26</v>
      </c>
      <c r="E53" s="138" t="str">
        <f ca="1">IFERROR(IF(AND(Inputs!$G$29="No", Lists!H10="N"),Inputs!$J$36*IF(Inputs!$E$36="High Demand",CurrRate_EDC_H,CurrRate_EDC_L),Inputs!$J$75*IF(Inputs!$E$36="High Demand",CurrRate_EDC_H,CurrRate_EDC_L)),"")</f>
        <v/>
      </c>
      <c r="F53" s="138" t="str">
        <f ca="1">IFERROR(IF(AND(Inputs!$G$29="No", Lists!H10="N"),Inputs!$J$37*IF(Inputs!$E$37="High Demand",CurrRate_EDC_H,CurrRate_EDC_L),Inputs!$J$76*IF(Inputs!$E$37="High Demand",CurrRate_EDC_H,CurrRate_EDC_L)),"")</f>
        <v/>
      </c>
      <c r="G53" s="138" t="str">
        <f ca="1">IFERROR(IF(AND(Inputs!$G$29="No", Lists!H10="N"),Inputs!$J$38*IF(Inputs!$E$38="High Demand",CurrRate_EDC_H,CurrRate_EDC_L),Inputs!$J$77*IF(Inputs!$E$38="High Demand",CurrRate_EDC_H,CurrRate_EDC_L)),"")</f>
        <v/>
      </c>
      <c r="H53" s="138" t="str">
        <f ca="1">IFERROR(IF(AND(Inputs!$G$29="No", Lists!H10="N"),Inputs!$J$39*IF(Inputs!$E$39="High Demand",CurrRate_EDC_H,CurrRate_EDC_L),Inputs!$J$78*IF(Inputs!$E$39="High Demand",CurrRate_EDC_H,CurrRate_EDC_L)),"")</f>
        <v/>
      </c>
      <c r="I53" s="138" t="str">
        <f ca="1">IFERROR(IF(AND(Inputs!$G$29="No", Lists!H10="N"),Inputs!$J$40*IF(Inputs!$E$40="High Demand",CurrRate_EDC_H,CurrRate_EDC_L),Inputs!$J$79*IF(Inputs!$E$40="High Demand",CurrRate_EDC_H,CurrRate_EDC_L)),"")</f>
        <v/>
      </c>
      <c r="J53" s="138" t="str">
        <f ca="1">IFERROR(IF(AND(Inputs!$G$29="No", Lists!H10="N"),Inputs!$J$41*IF(Inputs!$E$41="High Demand",CurrRate_EDC_H,CurrRate_EDC_L),Inputs!$J$80*IF(Inputs!$E$41="High Demand",CurrRate_EDC_H,CurrRate_EDC_L)),"")</f>
        <v/>
      </c>
      <c r="K53" s="138" t="str">
        <f ca="1">IFERROR(IF(AND(Inputs!$G$29="No", Lists!H10="N"),Inputs!$J$42*IF(Inputs!$E$42="High Demand",CurrRate_EDC_H,CurrRate_EDC_L),Inputs!$J$81*IF(Inputs!$E$42="High Demand",CurrRate_EDC_H,CurrRate_EDC_L)),"")</f>
        <v/>
      </c>
      <c r="L53" s="138" t="str">
        <f ca="1">IFERROR(IF(AND(Inputs!$G$29="No", Lists!H10="N"),Inputs!$J$43*IF(Inputs!$E$43="High Demand",CurrRate_EDC_H,CurrRate_EDC_L),Inputs!$J$82*IF(Inputs!$E$43="High Demand",CurrRate_EDC_H,CurrRate_EDC_L)),"")</f>
        <v/>
      </c>
      <c r="M53" s="138"/>
      <c r="N53" s="138" t="str">
        <f ca="1">IFERROR(IF(AND(Inputs!$G$29="No", Lists!H10="N"),Inputs!$J$44*IF(Inputs!$E$44="High Demand",CurrRate_EDC_H,CurrRate_EDC_L),Inputs!$J$83*IF(Inputs!$E$44="High Demand",CurrRate_EDC_H,CurrRate_EDC_L)),"")</f>
        <v/>
      </c>
      <c r="O53" s="138" t="str">
        <f ca="1">IFERROR(IF(AND(Inputs!$G$29="No", Lists!H10="N"),Inputs!$J$45*IF(Inputs!$E$45="High Demand",CurrRate_EDC_H,CurrRate_EDC_L),Inputs!$J$84*IF(Inputs!$E$45="High Demand",CurrRate_EDC_H,CurrRate_EDC_L)),"")</f>
        <v/>
      </c>
      <c r="P53" s="138" t="str">
        <f ca="1">IFERROR(IF(AND(Inputs!$G$29="No", Lists!H10="N"),Inputs!$J$46*IF(Inputs!$E$46="High Demand",CurrRate_EDC_H,CurrRate_EDC_L),Inputs!$J$85*IF(Inputs!$E$46="High Demand",CurrRate_EDC_H,CurrRate_EDC_L)),"")</f>
        <v/>
      </c>
      <c r="Q53" s="138" t="str">
        <f ca="1">IFERROR(IF(AND(Inputs!$G$29="No", Lists!H10="N"),Inputs!$J$47*IF(Inputs!$E$47="High Demand",CurrRate_EDC_H,CurrRate_EDC_L),Inputs!$J$86*IF(Inputs!$E$47="High Demand",CurrRate_EDC_H,CurrRate_EDC_L)),"")</f>
        <v/>
      </c>
      <c r="R53" s="138" t="str">
        <f ca="1">IF(E53 = "", "", SUM(E53:Q53))</f>
        <v/>
      </c>
      <c r="S53" s="138"/>
      <c r="T53" s="138"/>
      <c r="U53" s="138"/>
      <c r="AE53" s="231">
        <f ca="1">'Bill Comparison'!G90</f>
        <v>0</v>
      </c>
      <c r="AF53" s="230" t="str">
        <f ca="1">IFERROR(R53 - AE53, "")</f>
        <v/>
      </c>
    </row>
    <row r="54" spans="2:32">
      <c r="B54"/>
      <c r="C54" s="152"/>
      <c r="D54" s="178" t="s">
        <v>370</v>
      </c>
      <c r="E54" s="179" t="str">
        <f t="shared" ref="E54:R54" ca="1" si="15">IFERROR((E52 - E53) / E53, "")</f>
        <v/>
      </c>
      <c r="F54" s="179" t="str">
        <f t="shared" ca="1" si="15"/>
        <v/>
      </c>
      <c r="G54" s="179" t="str">
        <f t="shared" ca="1" si="15"/>
        <v/>
      </c>
      <c r="H54" s="179" t="str">
        <f t="shared" ca="1" si="15"/>
        <v/>
      </c>
      <c r="I54" s="179" t="str">
        <f t="shared" ca="1" si="15"/>
        <v/>
      </c>
      <c r="J54" s="179" t="str">
        <f t="shared" ca="1" si="15"/>
        <v/>
      </c>
      <c r="K54" s="179" t="str">
        <f t="shared" ca="1" si="15"/>
        <v/>
      </c>
      <c r="L54" s="179" t="str">
        <f t="shared" ca="1" si="15"/>
        <v/>
      </c>
      <c r="M54" s="179"/>
      <c r="N54" s="179" t="str">
        <f t="shared" ca="1" si="15"/>
        <v/>
      </c>
      <c r="O54" s="179" t="str">
        <f t="shared" ca="1" si="15"/>
        <v/>
      </c>
      <c r="P54" s="179" t="str">
        <f t="shared" ca="1" si="15"/>
        <v/>
      </c>
      <c r="Q54" s="179" t="str">
        <f t="shared" ca="1" si="15"/>
        <v/>
      </c>
      <c r="R54" s="179" t="str">
        <f t="shared" ca="1" si="15"/>
        <v/>
      </c>
      <c r="S54" s="361"/>
      <c r="T54" s="361"/>
      <c r="U54" s="361"/>
    </row>
    <row r="55" spans="2:32">
      <c r="B55"/>
      <c r="C55" s="442" t="s">
        <v>386</v>
      </c>
      <c r="D55" t="str">
        <f>New_Period</f>
        <v>2026/27</v>
      </c>
      <c r="E55" s="138">
        <f ca="1">IFERROR('Rates Table'!$AT$27*(IF(Inputs!$M$36 &gt; Block_1_Upper, Block_1_Upper, Inputs!$M$36)),0)/100</f>
        <v>0</v>
      </c>
      <c r="F55" s="138">
        <f ca="1">IFERROR('Rates Table'!$AT$27*(IF(Inputs!$M$37 &gt; Block_1_Upper, Block_1_Upper, Inputs!$M$37)),0)/100</f>
        <v>0</v>
      </c>
      <c r="G55" s="138">
        <f ca="1">IFERROR('Rates Table'!$AT$27*(IF(Inputs!$M$38 &gt; Block_1_Upper, Block_1_Upper, Inputs!$M$38)),0)/100</f>
        <v>0</v>
      </c>
      <c r="H55" s="138">
        <f ca="1">IFERROR('Rates Table'!$AT$27*(IF(Inputs!$M$39 &gt; Block_1_Upper, Block_1_Upper, Inputs!$M$39)),0)/100</f>
        <v>0</v>
      </c>
      <c r="I55" s="138">
        <f ca="1">IFERROR('Rates Table'!$AT$27*(IF(Inputs!$M$40 &gt; Block_1_Upper, Block_1_Upper, Inputs!$M$40)),0)/100</f>
        <v>0</v>
      </c>
      <c r="J55" s="138">
        <f ca="1">IFERROR('Rates Table'!$AT$27*(IF(Inputs!$M$41 &gt; Block_1_Upper, Block_1_Upper, Inputs!$M$41)),0)/100</f>
        <v>0</v>
      </c>
      <c r="K55" s="138">
        <f ca="1">IFERROR('Rates Table'!$AT$27*(IF(Inputs!$M$42 &gt; Block_1_Upper, Block_1_Upper, Inputs!$M$42)),0)/100</f>
        <v>0</v>
      </c>
      <c r="L55" s="138">
        <f ca="1">IFERROR('Rates Table'!$AT$27*(IF(Inputs!$M$43 &gt; Block_1_Upper, Block_1_Upper, Inputs!$M$43)),0)/100</f>
        <v>0</v>
      </c>
      <c r="M55" s="138"/>
      <c r="N55" s="138">
        <f ca="1">IFERROR('Rates Table'!$AT$27*(IF(Inputs!$M$44 &gt; Block_1_Upper, Block_1_Upper, Inputs!$M$44)),0)/100</f>
        <v>0</v>
      </c>
      <c r="O55" s="138">
        <f ca="1">IFERROR('Rates Table'!$AT$27*(IF(Inputs!$M$45 &gt; Block_1_Upper, Block_1_Upper, Inputs!$M$45)),0)/100</f>
        <v>0</v>
      </c>
      <c r="P55" s="138">
        <f ca="1">IFERROR('Rates Table'!$AT$27*(IF(Inputs!$M$46 &gt; Block_1_Upper, Block_1_Upper, Inputs!$M$46)),0)/100</f>
        <v>0</v>
      </c>
      <c r="Q55" s="138">
        <f ca="1">IFERROR('Rates Table'!$AT$27*(IF(Inputs!$M$47 &gt; Block_1_Upper, Block_1_Upper, Inputs!$M$47)),0)/100</f>
        <v>0</v>
      </c>
      <c r="R55" s="138">
        <f ca="1">IF(E55 = "", "", SUM(E55:Q55))</f>
        <v>0</v>
      </c>
      <c r="S55" s="138"/>
      <c r="T55" s="138"/>
      <c r="U55" s="138"/>
      <c r="AE55" s="231"/>
      <c r="AF55" s="230">
        <f ca="1">IFERROR(R55 - AE55, "")</f>
        <v>0</v>
      </c>
    </row>
    <row r="56" spans="2:32" ht="18" customHeight="1">
      <c r="B56"/>
      <c r="C56" s="443"/>
      <c r="D56" t="str">
        <f>Current_Period</f>
        <v>2025/26</v>
      </c>
      <c r="E56" s="138">
        <f ca="1">IFERROR('Rates Table'!$E$27*(IF(Inputs!$M$36 &gt; Block_1_Upper, Block_1_Upper, Inputs!$M$36)),0)/100</f>
        <v>0</v>
      </c>
      <c r="F56" s="138">
        <f ca="1">IFERROR('Rates Table'!$E$27*(IF(Inputs!$M$37 &gt; Block_1_Upper, Block_1_Upper, Inputs!$M$37)),0)/100</f>
        <v>0</v>
      </c>
      <c r="G56" s="138">
        <f ca="1">IFERROR('Rates Table'!$E$27*(IF(Inputs!$M$38 &gt; Block_1_Upper, Block_1_Upper, Inputs!$M$38)),0)/100</f>
        <v>0</v>
      </c>
      <c r="H56" s="138">
        <f ca="1">IFERROR('Rates Table'!$E$27*(IF(Inputs!$M$39 &gt; Block_1_Upper, Block_1_Upper, Inputs!$M$39)),0)/100</f>
        <v>0</v>
      </c>
      <c r="I56" s="138">
        <f ca="1">IFERROR('Rates Table'!$E$27*(IF(Inputs!$M$40 &gt; Block_1_Upper, Block_1_Upper, Inputs!$M$40)),0)/100</f>
        <v>0</v>
      </c>
      <c r="J56" s="138">
        <f ca="1">IFERROR('Rates Table'!$E$27*(IF(Inputs!$M$41 &gt; Block_1_Upper, Block_1_Upper, Inputs!$M$41)),0)/100</f>
        <v>0</v>
      </c>
      <c r="K56" s="138">
        <f ca="1">IFERROR('Rates Table'!$E$27*(IF(Inputs!$M$42 &gt; Block_1_Upper, Block_1_Upper, Inputs!$M$42)),0)/100</f>
        <v>0</v>
      </c>
      <c r="L56" s="138">
        <f ca="1">IFERROR('Rates Table'!$E$27*(IF(Inputs!$M$43 &gt; Block_1_Upper, Block_1_Upper, Inputs!$M$43)),0)/100</f>
        <v>0</v>
      </c>
      <c r="M56" s="138"/>
      <c r="N56" s="138">
        <f ca="1">IFERROR('Rates Table'!$E$27*(IF(Inputs!$M$44 &gt; Block_1_Upper, Block_1_Upper, Inputs!$M$44)),0)/100</f>
        <v>0</v>
      </c>
      <c r="O56" s="138">
        <f ca="1">IFERROR('Rates Table'!$E$27*(IF(Inputs!$M$45 &gt; Block_1_Upper, Block_1_Upper, Inputs!$M$45)),0)/100</f>
        <v>0</v>
      </c>
      <c r="P56" s="138">
        <f ca="1">IFERROR('Rates Table'!$E$27*(IF(Inputs!$M$46 &gt; Block_1_Upper, Block_1_Upper, Inputs!$M$46)),0)/100</f>
        <v>0</v>
      </c>
      <c r="Q56" s="138">
        <f ca="1">IFERROR('Rates Table'!$E$27*(IF(Inputs!$M$47 &gt; Block_1_Upper, Block_1_Upper, Inputs!$M$47)),0)/100</f>
        <v>0</v>
      </c>
      <c r="R56" s="138">
        <f ca="1">IF(E56 = "", "", SUM(E56:Q56))</f>
        <v>0</v>
      </c>
      <c r="S56" s="138"/>
      <c r="T56" s="138"/>
      <c r="U56" s="138"/>
      <c r="AE56" s="231"/>
      <c r="AF56" s="230">
        <f ca="1">IFERROR(R56 - AE56, "")</f>
        <v>0</v>
      </c>
    </row>
    <row r="57" spans="2:32">
      <c r="B57"/>
      <c r="C57" s="152"/>
      <c r="D57" s="178" t="s">
        <v>370</v>
      </c>
      <c r="E57" s="179" t="str">
        <f ca="1">IFERROR((E55 - E56) / E56, "")</f>
        <v/>
      </c>
      <c r="F57" s="179" t="str">
        <f t="shared" ref="F57:Q57" ca="1" si="16">IFERROR((F55 - F56) / F56, "")</f>
        <v/>
      </c>
      <c r="G57" s="179" t="str">
        <f t="shared" ca="1" si="16"/>
        <v/>
      </c>
      <c r="H57" s="179" t="str">
        <f t="shared" ca="1" si="16"/>
        <v/>
      </c>
      <c r="I57" s="179" t="str">
        <f t="shared" ca="1" si="16"/>
        <v/>
      </c>
      <c r="J57" s="179" t="str">
        <f t="shared" ca="1" si="16"/>
        <v/>
      </c>
      <c r="K57" s="179" t="str">
        <f t="shared" ca="1" si="16"/>
        <v/>
      </c>
      <c r="L57" s="179" t="str">
        <f t="shared" ca="1" si="16"/>
        <v/>
      </c>
      <c r="M57" s="179"/>
      <c r="N57" s="179" t="str">
        <f t="shared" ca="1" si="16"/>
        <v/>
      </c>
      <c r="O57" s="179" t="str">
        <f t="shared" ca="1" si="16"/>
        <v/>
      </c>
      <c r="P57" s="179" t="str">
        <f t="shared" ca="1" si="16"/>
        <v/>
      </c>
      <c r="Q57" s="179" t="str">
        <f t="shared" ca="1" si="16"/>
        <v/>
      </c>
      <c r="R57" s="179" t="str">
        <f ca="1">IFERROR((R55 - R56) / R56, "")</f>
        <v/>
      </c>
      <c r="S57" s="361"/>
      <c r="T57" s="361"/>
      <c r="U57" s="361"/>
    </row>
    <row r="58" spans="2:32">
      <c r="B58"/>
      <c r="C58" s="442" t="s">
        <v>193</v>
      </c>
      <c r="D58" t="str">
        <f>New_Period</f>
        <v>2026/27</v>
      </c>
      <c r="E58" s="187">
        <f ca="1">IFERROR('Rates Table'!$AT$28*(Inputs!$M$36-IF(Inputs!$M$36 &gt; Block_1_Upper, Block_1_Upper, Inputs!$M$36)),0)/100</f>
        <v>0</v>
      </c>
      <c r="F58" s="187">
        <f ca="1">IFERROR('Rates Table'!$AT$28*(Inputs!$M$37-IF(Inputs!$M$37 &gt; Block_1_Upper, Block_1_Upper, Inputs!$M$37)),0)/100</f>
        <v>0</v>
      </c>
      <c r="G58" s="187">
        <f ca="1">IFERROR('Rates Table'!$AT$28*(Inputs!$M$38-IF(Inputs!$M$38 &gt; Block_1_Upper, Block_1_Upper, Inputs!$M$38)),0)/100</f>
        <v>0</v>
      </c>
      <c r="H58" s="187">
        <f ca="1">IFERROR('Rates Table'!$AT$28*(Inputs!$M$39-IF(Inputs!$M$39 &gt; Block_1_Upper, Block_1_Upper, Inputs!$M$39)),0)/100</f>
        <v>0</v>
      </c>
      <c r="I58" s="187">
        <f ca="1">IFERROR('Rates Table'!$AT$28*(Inputs!$M$40-IF(Inputs!$M$40 &gt; Block_1_Upper, Block_1_Upper, Inputs!$M$40)),0)/100</f>
        <v>0</v>
      </c>
      <c r="J58" s="187">
        <f ca="1">IFERROR('Rates Table'!$AT$28*(Inputs!$M$41-IF(Inputs!$M$41 &gt; Block_1_Upper, Block_1_Upper, Inputs!$M$41)),0)/100</f>
        <v>0</v>
      </c>
      <c r="K58" s="187">
        <f ca="1">IFERROR('Rates Table'!$AT$28*(Inputs!$M$42-IF(Inputs!$M$42 &gt; Block_1_Upper, Block_1_Upper, Inputs!$M$42)),0)/100</f>
        <v>0</v>
      </c>
      <c r="L58" s="187">
        <f ca="1">IFERROR('Rates Table'!$AT$28*(Inputs!$M$43-IF(Inputs!$M$43 &gt; Block_1_Upper, Block_1_Upper, Inputs!$M$43)),0)/100</f>
        <v>0</v>
      </c>
      <c r="M58" s="187"/>
      <c r="N58" s="187">
        <f ca="1">IFERROR('Rates Table'!$AT$28*(Inputs!$M$44-IF(Inputs!$M$44 &gt; Block_1_Upper, Block_1_Upper, Inputs!$M$44)),0)/100</f>
        <v>0</v>
      </c>
      <c r="O58" s="187">
        <f ca="1">IFERROR('Rates Table'!$AT$28*(Inputs!$M$45-IF(Inputs!$M$45 &gt; Block_1_Upper, Block_1_Upper, Inputs!$M$45)),0)/100</f>
        <v>0</v>
      </c>
      <c r="P58" s="187">
        <f ca="1">IFERROR('Rates Table'!$AT$28*(Inputs!$M$46-IF(Inputs!$M$46 &gt; Block_1_Upper, Block_1_Upper, Inputs!$M$46)),0)/100</f>
        <v>0</v>
      </c>
      <c r="Q58" s="187">
        <f ca="1">IFERROR('Rates Table'!$AT$28*(Inputs!$M$47-IF(Inputs!$M$47 &gt; Block_1_Upper, Block_1_Upper, Inputs!$M$47)),0)/100</f>
        <v>0</v>
      </c>
      <c r="R58" s="138">
        <f ca="1">IF(E58 = "", "", SUM(E58:Q58))</f>
        <v>0</v>
      </c>
      <c r="S58" s="138"/>
      <c r="T58" s="138"/>
      <c r="U58" s="138"/>
    </row>
    <row r="59" spans="2:32">
      <c r="B59"/>
      <c r="C59" s="443"/>
      <c r="D59" t="str">
        <f>Current_Period</f>
        <v>2025/26</v>
      </c>
      <c r="E59" s="187">
        <f ca="1">IFERROR('Rates Table'!$E$28*(Inputs!$M$36-IF(Inputs!$M$36 &gt; Block_1_Upper, Block_1_Upper, Inputs!$M$36)),0)/100</f>
        <v>0</v>
      </c>
      <c r="F59" s="187">
        <f ca="1">IFERROR('Rates Table'!$E$28*(Inputs!$M$37-IF(Inputs!$M$37 &gt; Block_1_Upper, Block_1_Upper, Inputs!$M$37)),0)/100</f>
        <v>0</v>
      </c>
      <c r="G59" s="187">
        <f ca="1">IFERROR('Rates Table'!$E$28*(Inputs!$M$38-IF(Inputs!$M$38 &gt; Block_1_Upper, Block_1_Upper, Inputs!$M$38)),0)/100</f>
        <v>0</v>
      </c>
      <c r="H59" s="187">
        <f ca="1">IFERROR('Rates Table'!$E$28*(Inputs!$M$39-IF(Inputs!$M$39 &gt; Block_1_Upper, Block_1_Upper, Inputs!$M$39)),0)/100</f>
        <v>0</v>
      </c>
      <c r="I59" s="187">
        <f ca="1">IFERROR('Rates Table'!$E$28*(Inputs!$M$40-IF(Inputs!$M$40 &gt; Block_1_Upper, Block_1_Upper, Inputs!$M$40)),0)/100</f>
        <v>0</v>
      </c>
      <c r="J59" s="187">
        <f ca="1">IFERROR('Rates Table'!$E$28*(Inputs!$M$41-IF(Inputs!$M$41 &gt; Block_1_Upper, Block_1_Upper, Inputs!$M$41)),0)/100</f>
        <v>0</v>
      </c>
      <c r="K59" s="187">
        <f ca="1">IFERROR('Rates Table'!$E$28*(Inputs!$M$42-IF(Inputs!$M$42 &gt; Block_1_Upper, Block_1_Upper, Inputs!$M$42)),0)/100</f>
        <v>0</v>
      </c>
      <c r="L59" s="187">
        <f ca="1">IFERROR('Rates Table'!$E$28*(Inputs!$M$43-IF(Inputs!$M$43 &gt; Block_1_Upper, Block_1_Upper, Inputs!$M$43)),0)/100</f>
        <v>0</v>
      </c>
      <c r="M59" s="187"/>
      <c r="N59" s="187">
        <f ca="1">IFERROR('Rates Table'!$E$28*(Inputs!$M$44-IF(Inputs!$M$44 &gt; Block_1_Upper, Block_1_Upper, Inputs!$M$44)),0)/100</f>
        <v>0</v>
      </c>
      <c r="O59" s="187">
        <f ca="1">IFERROR('Rates Table'!$E$28*(Inputs!$M$45-IF(Inputs!$M$45 &gt; Block_1_Upper, Block_1_Upper, Inputs!$M$45)),0)/100</f>
        <v>0</v>
      </c>
      <c r="P59" s="187">
        <f ca="1">IFERROR('Rates Table'!$E$28*(Inputs!$M$46-IF(Inputs!$M$46 &gt; Block_1_Upper, Block_1_Upper, Inputs!$M$46)),0)/100</f>
        <v>0</v>
      </c>
      <c r="Q59" s="187">
        <f ca="1">IFERROR('Rates Table'!$E$28*(Inputs!$M$47-IF(Inputs!$M$47 &gt; Block_1_Upper, Block_1_Upper, Inputs!$M$47)),0)/100</f>
        <v>0</v>
      </c>
      <c r="R59" s="138">
        <f ca="1">IF(E59 = "", "", SUM(E59:Q59))</f>
        <v>0</v>
      </c>
      <c r="S59" s="138"/>
      <c r="T59" s="138"/>
      <c r="U59" s="138"/>
    </row>
    <row r="60" spans="2:32">
      <c r="B60"/>
      <c r="C60" s="152"/>
      <c r="D60" s="178" t="s">
        <v>370</v>
      </c>
      <c r="E60" s="179" t="str">
        <f ca="1">IFERROR((E58 - E59) / E59, "")</f>
        <v/>
      </c>
      <c r="F60" s="179" t="str">
        <f t="shared" ref="F60:R60" ca="1" si="17">IFERROR((F58 - F59) / F59, "")</f>
        <v/>
      </c>
      <c r="G60" s="179" t="str">
        <f t="shared" ca="1" si="17"/>
        <v/>
      </c>
      <c r="H60" s="179" t="str">
        <f t="shared" ca="1" si="17"/>
        <v/>
      </c>
      <c r="I60" s="179" t="str">
        <f t="shared" ca="1" si="17"/>
        <v/>
      </c>
      <c r="J60" s="179" t="str">
        <f t="shared" ca="1" si="17"/>
        <v/>
      </c>
      <c r="K60" s="179" t="str">
        <f t="shared" ca="1" si="17"/>
        <v/>
      </c>
      <c r="L60" s="179" t="str">
        <f t="shared" ca="1" si="17"/>
        <v/>
      </c>
      <c r="M60" s="179"/>
      <c r="N60" s="179" t="str">
        <f t="shared" ca="1" si="17"/>
        <v/>
      </c>
      <c r="O60" s="179" t="str">
        <f t="shared" ca="1" si="17"/>
        <v/>
      </c>
      <c r="P60" s="179" t="str">
        <f t="shared" ca="1" si="17"/>
        <v/>
      </c>
      <c r="Q60" s="179" t="str">
        <f t="shared" ca="1" si="17"/>
        <v/>
      </c>
      <c r="R60" s="179" t="str">
        <f t="shared" ca="1" si="17"/>
        <v/>
      </c>
      <c r="S60" s="361"/>
      <c r="T60" s="361"/>
      <c r="U60" s="361"/>
    </row>
    <row r="61" spans="2:32">
      <c r="B61"/>
      <c r="C61" s="442" t="s">
        <v>507</v>
      </c>
      <c r="D61" t="str">
        <f>New_Period</f>
        <v>2026/27</v>
      </c>
      <c r="E61" s="187">
        <f ca="1">IFERROR(IF(Inputs!$G$29="No", IF(AND('Rates Table'!AT68,$D$8&lt;&gt;"Transflex 1",$D$8&lt;&gt;"Transflex 2"), 'Rates Table'!$AT$30*Inputs!$K$36, IF($D$8="Homepower Bulk",'Rates Table'!$AT$30*Inputs!$G$27,'Rates Table'!$AT$30*PODs*(TOU_High_Days + TOU_Low_Days)/12)), IF(AND('Rates Table'!AT68,$D$8&lt;&gt;"Transflex 1",$D$8&lt;&gt;"Transflex 2"), 'Rates Table'!$AT$30*Inputs!$K$117, IF($D$8="Homepower Bulk",'Rates Table'!$AT$30*Inputs!$G$27,'Rates Table'!$AT$30*PODs*(TOU_High_Days + TOU_Low_Days)/12))),0)</f>
        <v>0</v>
      </c>
      <c r="F61" s="187">
        <f ca="1">IFERROR(IF(Inputs!$G$29="No", IF(AND('Rates Table'!AT68,$D$8&lt;&gt;"Transflex 1",$D$8&lt;&gt;"Transflex 2"), 'Rates Table'!$AT$30*Inputs!$K$37, IF($D$8="Homepower Bulk",'Rates Table'!$AT$30*Inputs!$G$27,'Rates Table'!$AT$30*PODs*(TOU_High_Days + TOU_Low_Days)/12)), IF(AND('Rates Table'!AT68,$D$8&lt;&gt;"Transflex 1",$D$8&lt;&gt;"Transflex 2"), 'Rates Table'!$AT$30*Inputs!$K$118, IF($D$8="Homepower Bulk",'Rates Table'!$AT$30*Inputs!$G$27,'Rates Table'!$AT$30*PODs*(TOU_High_Days + TOU_Low_Days)/12))),0)</f>
        <v>0</v>
      </c>
      <c r="G61" s="187">
        <f ca="1">IFERROR(IF(Inputs!$G$29="No", IF(AND('Rates Table'!AT68,$D$8&lt;&gt;"Transflex 1",$D$8&lt;&gt;"Transflex 2"), 'Rates Table'!$AT$30*Inputs!$K$38, IF($D$8="Homepower Bulk",'Rates Table'!$AT$30*Inputs!$G$27,'Rates Table'!$AT$30*PODs*(TOU_High_Days + TOU_Low_Days)/12)), IF(AND('Rates Table'!AT68,$D$8&lt;&gt;"Transflex 1",$D$8&lt;&gt;"Transflex 2"), 'Rates Table'!$AT$30*Inputs!$K$119, IF($D$8="Homepower Bulk",'Rates Table'!$AT$30*Inputs!$G$27,'Rates Table'!$AT$30*PODs*(TOU_High_Days + TOU_Low_Days)/12))),0)</f>
        <v>0</v>
      </c>
      <c r="H61" s="187">
        <f ca="1">IFERROR(IF(Inputs!$G$29="No", IF(AND('Rates Table'!AT68,$D$8&lt;&gt;"Transflex 1",$D$8&lt;&gt;"Transflex 2"), 'Rates Table'!$AT$30*Inputs!$K$39, IF($D$8="Homepower Bulk",'Rates Table'!$AT$30*Inputs!$G$27,'Rates Table'!$AT$30*PODs*(TOU_High_Days + TOU_Low_Days)/12)), IF(AND('Rates Table'!AT68,$D$8&lt;&gt;"Transflex 1",$D$8&lt;&gt;"Transflex 2"), 'Rates Table'!$AT$30*Inputs!$K$120, IF($D$8="Homepower Bulk",'Rates Table'!$AT$30*Inputs!$G$27,'Rates Table'!$AT$30*PODs*(TOU_High_Days + TOU_Low_Days)/12))),0)</f>
        <v>0</v>
      </c>
      <c r="I61" s="187">
        <f ca="1">IFERROR(IF(Inputs!$G$29="No", IF(AND('Rates Table'!AT68,$D$8&lt;&gt;"Transflex 1",$D$8&lt;&gt;"Transflex 2"), 'Rates Table'!$AT$30*Inputs!$K$40, IF($D$8="Homepower Bulk",'Rates Table'!$AT$30*Inputs!$G$27,'Rates Table'!$AT$30*PODs*(TOU_High_Days + TOU_Low_Days)/12)), IF(AND('Rates Table'!AT68,$D$8&lt;&gt;"Transflex 1",$D$8&lt;&gt;"Transflex 2"), 'Rates Table'!$AT$30*Inputs!$K$121, IF($D$8="Homepower Bulk",'Rates Table'!$AT$30*Inputs!$G$27,'Rates Table'!$AT$30*PODs*(TOU_High_Days + TOU_Low_Days)/12))),0)</f>
        <v>0</v>
      </c>
      <c r="J61" s="187">
        <f ca="1">IFERROR(IF(Inputs!$G$29="No", IF(AND('Rates Table'!AT68,$D$8&lt;&gt;"Transflex 1",$D$8&lt;&gt;"Transflex 2"), 'Rates Table'!$AT$30*Inputs!$K$41, IF($D$8="Homepower Bulk",'Rates Table'!$AT$30*Inputs!$G$27,'Rates Table'!$AT$30*PODs*(TOU_High_Days + TOU_Low_Days)/12)), IF(AND('Rates Table'!AT68,$D$8&lt;&gt;"Transflex 1",$D$8&lt;&gt;"Transflex 2"), 'Rates Table'!$AT$30*Inputs!$K$122, IF($D$8="Homepower Bulk",'Rates Table'!$AT$30*Inputs!$G$27,'Rates Table'!$AT$30*PODs*(TOU_High_Days + TOU_Low_Days)/12))),0)</f>
        <v>0</v>
      </c>
      <c r="K61" s="187">
        <f ca="1">IFERROR(IF(Inputs!$G$29="No", IF(AND('Rates Table'!AT68,$D$8&lt;&gt;"Transflex 1",$D$8&lt;&gt;"Transflex 2"), 'Rates Table'!$AT$30*Inputs!$K$42, IF($D$8="Homepower Bulk",'Rates Table'!$AT$30*Inputs!$G$27,'Rates Table'!$AT$30*PODs*(TOU_High_Days + TOU_Low_Days)/12)), IF(AND('Rates Table'!AT68,$D$8&lt;&gt;"Transflex 1",$D$8&lt;&gt;"Transflex 2"), 'Rates Table'!$AT$30*Inputs!$K$123, IF($D$8="Homepower Bulk",'Rates Table'!$AT$30*Inputs!$G$27,'Rates Table'!$AT$30*PODs*(TOU_High_Days + TOU_Low_Days)/12))),0)</f>
        <v>0</v>
      </c>
      <c r="L61" s="187">
        <f ca="1">IFERROR(IF(Inputs!$G$29="No", IF(AND('Rates Table'!AT68,$D$8&lt;&gt;"Transflex 1",$D$8&lt;&gt;"Transflex 2"), 'Rates Table'!$AT$30*Inputs!$K$43, IF($D$8="Homepower Bulk",'Rates Table'!$AT$30*Inputs!$G$27,'Rates Table'!$AT$30*PODs*(TOU_High_Days + TOU_Low_Days)/12)), IF(AND('Rates Table'!AT68,$D$8&lt;&gt;"Transflex 1",$D$8&lt;&gt;"Transflex 2"), 'Rates Table'!$AT$30*Inputs!$K$124, IF($D$8="Homepower Bulk",'Rates Table'!$AT$30*Inputs!$G$27,'Rates Table'!$AT$30*PODs*(TOU_High_Days + TOU_Low_Days)/12))),0)</f>
        <v>0</v>
      </c>
      <c r="M61" s="187"/>
      <c r="N61" s="187">
        <f ca="1">IFERROR(IF(Inputs!$G$29="No", IF(AND('Rates Table'!AT68,$D$8&lt;&gt;"Transflex 1",$D$8&lt;&gt;"Transflex 2"), 'Rates Table'!$AT$30*Inputs!$K$44, IF($D$8="Homepower Bulk",'Rates Table'!$AT$30*Inputs!$G$27,'Rates Table'!$AT$30*PODs*(TOU_High_Days + TOU_Low_Days)/12)), IF(AND('Rates Table'!AT68,$D$8&lt;&gt;"Transflex 1",$D$8&lt;&gt;"Transflex 2"), 'Rates Table'!$AT$30*Inputs!$K$125, IF($D$8="Homepower Bulk",'Rates Table'!$AT$30*Inputs!$G$27,'Rates Table'!$AT$30*PODs*(TOU_High_Days + TOU_Low_Days)/12))),0)</f>
        <v>0</v>
      </c>
      <c r="O61" s="187">
        <f ca="1">IFERROR(IF(Inputs!$G$29="No", IF(AND('Rates Table'!AT68,$D$8&lt;&gt;"Transflex 1",$D$8&lt;&gt;"Transflex 2"), 'Rates Table'!$AT$30*Inputs!$K$45, IF($D$8="Homepower Bulk",'Rates Table'!$AT$30*Inputs!$G$27,'Rates Table'!$AT$30*PODs*(TOU_High_Days + TOU_Low_Days)/12)), IF(AND('Rates Table'!AT68,$D$8&lt;&gt;"Transflex 1",$D$8&lt;&gt;"Transflex 2"), 'Rates Table'!$AT$30*Inputs!$K$126, IF($D$8="Homepower Bulk",'Rates Table'!$AT$30*Inputs!$G$27,'Rates Table'!$AT$30*PODs*(TOU_High_Days + TOU_Low_Days)/12))),0)</f>
        <v>0</v>
      </c>
      <c r="P61" s="187">
        <f ca="1">IFERROR(IF(Inputs!$G$29="No", IF(AND('Rates Table'!AT68,$D$8&lt;&gt;"Transflex 1",$D$8&lt;&gt;"Transflex 2"), 'Rates Table'!$AT$30*Inputs!$K$46, IF($D$8="Homepower Bulk",'Rates Table'!$AT$30*Inputs!$G$27,'Rates Table'!$AT$30*PODs*(TOU_High_Days + TOU_Low_Days)/12)), IF(AND('Rates Table'!AT68,$D$8&lt;&gt;"Transflex 1",$D$8&lt;&gt;"Transflex 2"), 'Rates Table'!$AT$30*Inputs!$K$127, IF($D$8="Homepower Bulk",'Rates Table'!$AT$30*Inputs!$G$27,'Rates Table'!$AT$30*PODs*(TOU_High_Days + TOU_Low_Days)/12))),0)</f>
        <v>0</v>
      </c>
      <c r="Q61" s="187">
        <f ca="1">IFERROR(IF(Inputs!$G$29="No", IF(AND('Rates Table'!AT68,$D$8&lt;&gt;"Transflex 1",$D$8&lt;&gt;"Transflex 2"), 'Rates Table'!$AT$30*Inputs!$K$47, IF($D$8="Homepower Bulk",'Rates Table'!$AT$30*Inputs!$G$27,'Rates Table'!$AT$30*PODs*(TOU_High_Days + TOU_Low_Days)/12)), IF(AND('Rates Table'!AT68,$D$8&lt;&gt;"Transflex 1",$D$8&lt;&gt;"Transflex 2"), 'Rates Table'!$AT$30*Inputs!$K$128, IF($D$8="Homepower Bulk",'Rates Table'!$AT$30*Inputs!$G$27,'Rates Table'!$AT$30*PODs*(TOU_High_Days + TOU_Low_Days)/12))),0)</f>
        <v>0</v>
      </c>
      <c r="R61" s="138">
        <f ca="1">SUM(E61:Q61)</f>
        <v>0</v>
      </c>
      <c r="S61" s="138"/>
      <c r="T61" s="138"/>
      <c r="U61" s="138"/>
      <c r="AE61" s="231">
        <f ca="1">'Bill Comparison'!H92</f>
        <v>0</v>
      </c>
      <c r="AF61" s="230">
        <f ca="1">IFERROR(R61 - AE61, "")</f>
        <v>0</v>
      </c>
    </row>
    <row r="62" spans="2:32">
      <c r="B62"/>
      <c r="C62" s="443"/>
      <c r="D62" t="str">
        <f>Current_Period</f>
        <v>2025/26</v>
      </c>
      <c r="E62" s="187">
        <f ca="1">IFERROR(IF(Inputs!$G$29="No", IF(AND(Table_1=1,'Rates Table'!E2&lt;&gt;"Transflex 1",'Rates Table'!E2&lt;&gt;"Transflex 2"), 'Rates Table'!$E$30*Inputs!$K$36, IF($D$8="Homepower Bulk",'Rates Table'!$E$30*Inputs!$G$27,'Rates Table'!$E$30*PODs*(TOU_High_Days + TOU_Low_Days)/12)), IF(AND(Table_1=1,'Rates Table'!E2&lt;&gt;"Transflex 1",'Rates Table'!E2&lt;&gt;"Transflex 2"), 'Rates Table'!$E$30*Inputs!$K$75, IF($D$8="Homepower Bulk",'Rates Table'!$E$30*Inputs!$G$27,'Rates Table'!$E$30*PODs*(TOU_High_Days + TOU_Low_Days)/12))),0)</f>
        <v>0</v>
      </c>
      <c r="F62" s="187">
        <f ca="1">IFERROR(IF(Inputs!$G$29="No", IF(AND(Table_1=1,'Rates Table'!E2&lt;&gt;"Transflex 1",'Rates Table'!E2&lt;&gt;"Transflex 2"), 'Rates Table'!$E$30*Inputs!$K$37, IF($D$8="Homepower Bulk",'Rates Table'!$E$30*Inputs!$G$27,'Rates Table'!$E$30*PODs*(TOU_High_Days + TOU_Low_Days)/12)), IF(AND(Table_1=1,'Rates Table'!E2&lt;&gt;"Transflex 1",'Rates Table'!E2&lt;&gt;"Transflex 2"), 'Rates Table'!$E$30*Inputs!$K$76, IF($D$8="Homepower Bulk",'Rates Table'!$E$30*Inputs!$G$27,'Rates Table'!$E$30*PODs*(TOU_High_Days + TOU_Low_Days)/12))),0)</f>
        <v>0</v>
      </c>
      <c r="G62" s="187">
        <f ca="1">IFERROR(IF(Inputs!$G$29="No", IF(AND(Table_1=1,'Rates Table'!E2&lt;&gt;"Transflex 1",'Rates Table'!E2&lt;&gt;"Transflex 2"), 'Rates Table'!$E$30*Inputs!$K$38, IF($D$8="Homepower Bulk",'Rates Table'!$E$30*Inputs!$G$27,'Rates Table'!$E$30*PODs*(TOU_High_Days + TOU_Low_Days)/12)), IF(AND(Table_1=1,'Rates Table'!E2&lt;&gt;"Transflex 1",'Rates Table'!E2&lt;&gt;"Transflex 2"), 'Rates Table'!$E$30*Inputs!$K$77, IF($D$8="Homepower Bulk",'Rates Table'!$E$30*Inputs!$G$27,'Rates Table'!$E$30*PODs*(TOU_High_Days + TOU_Low_Days)/12))),0)</f>
        <v>0</v>
      </c>
      <c r="H62" s="187">
        <f ca="1">IFERROR(IF(Inputs!$G$29="No", IF(AND(Table_1=1,'Rates Table'!E2&lt;&gt;"Transflex 1",'Rates Table'!E2&lt;&gt;"Transflex 2"), 'Rates Table'!$E$30*Inputs!$K$39, IF($D$8="Homepower Bulk",'Rates Table'!$E$30*Inputs!$G$27,'Rates Table'!$E$30*PODs*(TOU_High_Days + TOU_Low_Days)/12)), IF(AND(Table_1=1,'Rates Table'!E2&lt;&gt;"Transflex 1",'Rates Table'!E2&lt;&gt;"Transflex 2"), 'Rates Table'!$E$30*Inputs!$K$78, IF($D$8="Homepower Bulk",'Rates Table'!$E$30*Inputs!$G$27,'Rates Table'!$E$30*PODs*(TOU_High_Days + TOU_Low_Days)/12))),0)</f>
        <v>0</v>
      </c>
      <c r="I62" s="187">
        <f ca="1">IFERROR(IF(Inputs!$G$29="No", IF(AND(Table_1=1,'Rates Table'!E2&lt;&gt;"Transflex 1",'Rates Table'!E2&lt;&gt;"Transflex 2"), 'Rates Table'!$E$30*Inputs!$K$40, IF($D$8="Homepower Bulk",'Rates Table'!$E$30*Inputs!$G$27,'Rates Table'!$E$30*PODs*(TOU_High_Days + TOU_Low_Days)/12)), IF(AND(Table_1=1,'Rates Table'!E2&lt;&gt;"Transflex 1",'Rates Table'!E2&lt;&gt;"Transflex 2"), 'Rates Table'!$E$30*Inputs!$K$79, IF($D$8="Homepower Bulk",'Rates Table'!$E$30*Inputs!$G$27,'Rates Table'!$E$30*PODs*(TOU_High_Days + TOU_Low_Days)/12))),0)</f>
        <v>0</v>
      </c>
      <c r="J62" s="187">
        <f ca="1">IFERROR(IF(Inputs!$G$29="No", IF(AND(Table_1=1,'Rates Table'!E2&lt;&gt;"Transflex 1",'Rates Table'!E2&lt;&gt;"Transflex 2"), 'Rates Table'!$E$30*Inputs!$K$41, IF($D$8="Homepower Bulk",'Rates Table'!$E$30*Inputs!$G$27,'Rates Table'!$E$30*PODs*(TOU_High_Days + TOU_Low_Days)/12)), IF(AND(Table_1=1,'Rates Table'!E2&lt;&gt;"Transflex 1",'Rates Table'!E2&lt;&gt;"Transflex 2"), 'Rates Table'!$E$30*Inputs!$K$80, IF($D$8="Homepower Bulk",'Rates Table'!$E$30*Inputs!$G$27,'Rates Table'!$E$30*PODs*(TOU_High_Days + TOU_Low_Days)/12))),0)</f>
        <v>0</v>
      </c>
      <c r="K62" s="187">
        <f ca="1">IFERROR(IF(Inputs!$G$29="No", IF(AND(Table_1=1,'Rates Table'!E2&lt;&gt;"Transflex 1",'Rates Table'!E2&lt;&gt;"Transflex 2"), 'Rates Table'!$E$30*Inputs!$K$42, IF($D$8="Homepower Bulk",'Rates Table'!$E$30*Inputs!$G$27,'Rates Table'!$E$30*PODs*(TOU_High_Days + TOU_Low_Days)/12)), IF(AND(Table_1=1,'Rates Table'!E2&lt;&gt;"Transflex 1",'Rates Table'!E2&lt;&gt;"Transflex 2"), 'Rates Table'!$E$30*Inputs!$K$81, IF($D$8="Homepower Bulk",'Rates Table'!$E$30*Inputs!$G$27,'Rates Table'!$E$30*PODs*(TOU_High_Days + TOU_Low_Days)/12))),0)</f>
        <v>0</v>
      </c>
      <c r="L62" s="187">
        <f ca="1">IFERROR(IF(Inputs!$G$29="No", IF(AND(Table_1=1,'Rates Table'!E2&lt;&gt;"Transflex 1",'Rates Table'!E2&lt;&gt;"Transflex 2"), 'Rates Table'!$E$30*Inputs!$K$43, IF($D$8="Homepower Bulk",'Rates Table'!$E$30*Inputs!$G$27,'Rates Table'!$E$30*PODs*(TOU_High_Days + TOU_Low_Days)/12)), IF(AND(Table_1=1,'Rates Table'!E2&lt;&gt;"Transflex 1",'Rates Table'!E2&lt;&gt;"Transflex 2"), 'Rates Table'!$E$30*Inputs!$K$82, IF($D$8="Homepower Bulk",'Rates Table'!$E$30*Inputs!$G$27,'Rates Table'!$E$30*PODs*(TOU_High_Days + TOU_Low_Days)/12))),0)</f>
        <v>0</v>
      </c>
      <c r="M62" s="187"/>
      <c r="N62" s="187">
        <f ca="1">IFERROR(IF(Inputs!$G$29="No", IF(AND(Table_1=1,'Rates Table'!E2&lt;&gt;"Transflex 1",'Rates Table'!E2&lt;&gt;"Transflex 2"), 'Rates Table'!$E$30*Inputs!$K$44, IF($D$8="Homepower Bulk",'Rates Table'!$E$30*Inputs!$G$27,'Rates Table'!$E$30*PODs*(TOU_High_Days + TOU_Low_Days)/12)), IF(AND(Table_1=1,'Rates Table'!E2&lt;&gt;"Transflex 1",'Rates Table'!E2&lt;&gt;"Transflex 2"), 'Rates Table'!$E$30*Inputs!$K$83, IF($D$8="Homepower Bulk",'Rates Table'!$E$30*Inputs!$G$27,'Rates Table'!$E$30*PODs*(TOU_High_Days + TOU_Low_Days)/12))),0)</f>
        <v>0</v>
      </c>
      <c r="O62" s="187">
        <f ca="1">IFERROR(IF(Inputs!$G$29="No", IF(AND(Table_1=1,'Rates Table'!E2&lt;&gt;"Transflex 1",'Rates Table'!E2&lt;&gt;"Transflex 2"), 'Rates Table'!$E$30*Inputs!$K$45, IF($D$8="Homepower Bulk",'Rates Table'!$E$30*Inputs!$G$27,'Rates Table'!$E$30*PODs*(TOU_High_Days + TOU_Low_Days)/12)), IF(AND(Table_1=1,'Rates Table'!E2&lt;&gt;"Transflex 1",'Rates Table'!E2&lt;&gt;"Transflex 2"), 'Rates Table'!$E$30*Inputs!$K$84, IF($D$8="Homepower Bulk",'Rates Table'!$E$30*Inputs!$G$27,'Rates Table'!$E$30*PODs*(TOU_High_Days + TOU_Low_Days)/12))),0)</f>
        <v>0</v>
      </c>
      <c r="P62" s="187">
        <f ca="1">IFERROR(IF(Inputs!$G$29="No", IF(AND(Table_1=1,'Rates Table'!E2&lt;&gt;"Transflex 1",'Rates Table'!E2&lt;&gt;"Transflex 2"), 'Rates Table'!$E$30*Inputs!$K$46, IF($D$8="Homepower Bulk",'Rates Table'!$E$30*Inputs!$G$27,'Rates Table'!$E$30*PODs*(TOU_High_Days + TOU_Low_Days)/12)), IF(AND(Table_1=1,'Rates Table'!E2&lt;&gt;"Transflex 1",'Rates Table'!E2&lt;&gt;"Transflex 2"), 'Rates Table'!$E$30*Inputs!$K$85, IF($D$8="Homepower Bulk",'Rates Table'!$E$30*Inputs!$G$27,'Rates Table'!$E$30*PODs*(TOU_High_Days + TOU_Low_Days)/12))),0)</f>
        <v>0</v>
      </c>
      <c r="Q62" s="187">
        <f ca="1">IFERROR(IF(Inputs!$G$29="No", IF(AND(Table_1=1,'Rates Table'!E2&lt;&gt;"Transflex 1",'Rates Table'!E2&lt;&gt;"Transflex 2"), 'Rates Table'!$E$30*Inputs!$K$47, IF($D$8="Homepower Bulk",'Rates Table'!$E$30*Inputs!$G$27,'Rates Table'!$E$30*PODs*(TOU_High_Days + TOU_Low_Days)/12)), IF(AND(Table_1=1,'Rates Table'!E2&lt;&gt;"Transflex 1",'Rates Table'!E2&lt;&gt;"Transflex 2"), 'Rates Table'!$E$30*Inputs!$K$86, IF($D$8="Homepower Bulk",'Rates Table'!$E$30*Inputs!$G$27,'Rates Table'!$E$30*PODs*(TOU_High_Days + TOU_Low_Days)/12))),0)</f>
        <v>0</v>
      </c>
      <c r="R62" s="138">
        <f ca="1">SUM(E62:Q62)</f>
        <v>0</v>
      </c>
      <c r="S62" s="138"/>
      <c r="T62" s="138"/>
      <c r="U62" s="138"/>
      <c r="AE62" s="231">
        <f ca="1">'Bill Comparison'!G92</f>
        <v>0</v>
      </c>
      <c r="AF62" s="230">
        <f ca="1">IFERROR(R62 - AE62, "")</f>
        <v>0</v>
      </c>
    </row>
    <row r="63" spans="2:32">
      <c r="B63"/>
      <c r="C63" s="152"/>
      <c r="D63" s="178" t="s">
        <v>370</v>
      </c>
      <c r="E63" s="179" t="str">
        <f ca="1">IFERROR((E61 - E62) / E62, "")</f>
        <v/>
      </c>
      <c r="F63" s="179" t="str">
        <f t="shared" ref="F63:R63" ca="1" si="18">IFERROR((F61 - F62) / F62, "")</f>
        <v/>
      </c>
      <c r="G63" s="179" t="str">
        <f t="shared" ca="1" si="18"/>
        <v/>
      </c>
      <c r="H63" s="179" t="str">
        <f t="shared" ca="1" si="18"/>
        <v/>
      </c>
      <c r="I63" s="179" t="str">
        <f t="shared" ca="1" si="18"/>
        <v/>
      </c>
      <c r="J63" s="179" t="str">
        <f t="shared" ca="1" si="18"/>
        <v/>
      </c>
      <c r="K63" s="179" t="str">
        <f t="shared" ca="1" si="18"/>
        <v/>
      </c>
      <c r="L63" s="179" t="str">
        <f t="shared" ca="1" si="18"/>
        <v/>
      </c>
      <c r="M63" s="179"/>
      <c r="N63" s="179" t="str">
        <f t="shared" ca="1" si="18"/>
        <v/>
      </c>
      <c r="O63" s="179" t="str">
        <f t="shared" ca="1" si="18"/>
        <v/>
      </c>
      <c r="P63" s="179" t="str">
        <f t="shared" ca="1" si="18"/>
        <v/>
      </c>
      <c r="Q63" s="179" t="str">
        <f t="shared" ca="1" si="18"/>
        <v/>
      </c>
      <c r="R63" s="179" t="str">
        <f t="shared" ca="1" si="18"/>
        <v/>
      </c>
      <c r="S63" s="361"/>
      <c r="T63" s="361"/>
      <c r="U63" s="361"/>
    </row>
    <row r="64" spans="2:32">
      <c r="B64"/>
      <c r="C64" s="442" t="s">
        <v>533</v>
      </c>
      <c r="D64" t="str">
        <f>New_Period</f>
        <v>2026/27</v>
      </c>
      <c r="E64" s="138">
        <f ca="1">IFERROR( 'Rates Table'!$AT$31*IF(Inputs!$G$29="No", Inputs!$M$36,Inputs!$M$117), 0)/100</f>
        <v>0</v>
      </c>
      <c r="F64" s="138">
        <f ca="1">IFERROR( 'Rates Table'!$AT$31*IF(Inputs!$G$29="No", Inputs!$M$37,Inputs!$M$118), 0)/100</f>
        <v>0</v>
      </c>
      <c r="G64" s="138">
        <f ca="1">IFERROR( 'Rates Table'!$AT$31*IF(Inputs!$G$29="No", Inputs!$M$38,Inputs!$M$119), 0)/100</f>
        <v>0</v>
      </c>
      <c r="H64" s="138">
        <f ca="1">IFERROR( 'Rates Table'!$AT$31*IF(Inputs!$G$29="No", Inputs!$M$39,Inputs!$M$120), 0)/100</f>
        <v>0</v>
      </c>
      <c r="I64" s="138">
        <f ca="1">IFERROR( 'Rates Table'!$AT$31*IF(Inputs!$G$29="No", Inputs!$M$40,Inputs!$M$121), 0)/100</f>
        <v>0</v>
      </c>
      <c r="J64" s="138">
        <f ca="1">IFERROR( 'Rates Table'!$AT$31*IF(Inputs!$G$29="No", Inputs!$M$41,Inputs!$M$122), 0)/100</f>
        <v>0</v>
      </c>
      <c r="K64" s="138">
        <f ca="1">IFERROR( 'Rates Table'!$AT$31*IF(Inputs!$G$29="No", Inputs!$M$42,Inputs!$M$123), 0)/100</f>
        <v>0</v>
      </c>
      <c r="L64" s="138">
        <f ca="1">IFERROR( 'Rates Table'!$AT$31*IF(Inputs!$G$29="No", Inputs!$M$43,Inputs!$M$124), 0)/100</f>
        <v>0</v>
      </c>
      <c r="M64" s="138"/>
      <c r="N64" s="138">
        <f ca="1">IFERROR( 'Rates Table'!$AT$31*IF(Inputs!$G$29="No", Inputs!$M$44,Inputs!$M$125), 0)/100</f>
        <v>0</v>
      </c>
      <c r="O64" s="138">
        <f ca="1">IFERROR( 'Rates Table'!$AT$31*IF(Inputs!$G$29="No", Inputs!$M$45,Inputs!$M$126), 0)/100</f>
        <v>0</v>
      </c>
      <c r="P64" s="138">
        <f ca="1">IFERROR( 'Rates Table'!$AT$31*IF(Inputs!$G$29="No", Inputs!$M$46,Inputs!$M$127), 0)/100</f>
        <v>0</v>
      </c>
      <c r="Q64" s="138">
        <f ca="1">IFERROR( 'Rates Table'!$AT$31*IF(Inputs!$G$29="No", Inputs!$M$47,Inputs!$M$128), 0)/100</f>
        <v>0</v>
      </c>
      <c r="R64" s="138">
        <f ca="1">SUM(E64:Q64)</f>
        <v>0</v>
      </c>
      <c r="S64" s="138"/>
      <c r="T64" s="138"/>
      <c r="U64" s="138"/>
      <c r="AE64" s="230">
        <f ca="1">'Bill Comparison'!H93</f>
        <v>0</v>
      </c>
      <c r="AF64" s="232">
        <f ca="1">IFERROR(R64 - AE64, "")</f>
        <v>0</v>
      </c>
    </row>
    <row r="65" spans="2:32">
      <c r="B65"/>
      <c r="C65" s="443"/>
      <c r="D65" t="str">
        <f>Current_Period</f>
        <v>2025/26</v>
      </c>
      <c r="E65" s="138">
        <f ca="1">IFERROR('Rates Table'!$E$31*IF(Inputs!$G$29="No", Inputs!$M$36,Inputs!$M$75),0)/100</f>
        <v>0</v>
      </c>
      <c r="F65" s="138">
        <f ca="1">IFERROR('Rates Table'!$E$31*IF(Inputs!$G$29="No", Inputs!$M$37,Inputs!$M$76),0)/100</f>
        <v>0</v>
      </c>
      <c r="G65" s="138">
        <f ca="1">IFERROR('Rates Table'!$E$31*IF(Inputs!$G$29="No", Inputs!$M$38,Inputs!$M$77),0)/100</f>
        <v>0</v>
      </c>
      <c r="H65" s="138">
        <f ca="1">IFERROR('Rates Table'!$E$31*IF(Inputs!$G$29="No", Inputs!$M$39,Inputs!$M$78),0)/100</f>
        <v>0</v>
      </c>
      <c r="I65" s="138">
        <f ca="1">IFERROR('Rates Table'!$E$31*IF(Inputs!$G$29="No", Inputs!$M$40,Inputs!$M$79),0)/100</f>
        <v>0</v>
      </c>
      <c r="J65" s="138">
        <f ca="1">IFERROR('Rates Table'!$E$31*IF(Inputs!$G$29="No", Inputs!$M$41,Inputs!$M$80),0)/100</f>
        <v>0</v>
      </c>
      <c r="K65" s="138">
        <f ca="1">IFERROR('Rates Table'!$E$31*IF(Inputs!$G$29="No", Inputs!$M$42,Inputs!$M$81),0)/100</f>
        <v>0</v>
      </c>
      <c r="L65" s="138">
        <f ca="1">IFERROR('Rates Table'!$E$31*IF(Inputs!$G$29="No", Inputs!$M$43,Inputs!$M$82),0)/100</f>
        <v>0</v>
      </c>
      <c r="M65" s="138"/>
      <c r="N65" s="138">
        <f ca="1">IFERROR('Rates Table'!$E$31*IF(Inputs!$G$29="No", Inputs!$M$44,Inputs!$M$83),0)/100</f>
        <v>0</v>
      </c>
      <c r="O65" s="138">
        <f ca="1">IFERROR('Rates Table'!$E$31*IF(Inputs!$G$29="No", Inputs!$M$45,Inputs!$M$84),0)/100</f>
        <v>0</v>
      </c>
      <c r="P65" s="138">
        <f ca="1">IFERROR('Rates Table'!$E$31*IF(Inputs!$G$29="No", Inputs!$M$46,Inputs!$M$85),0)/100</f>
        <v>0</v>
      </c>
      <c r="Q65" s="138">
        <f ca="1">IFERROR('Rates Table'!$E$31*IF(Inputs!$G$29="No", Inputs!$M$47,Inputs!$M$86),0)/100</f>
        <v>0</v>
      </c>
      <c r="R65" s="138">
        <f ca="1">SUM(E65:Q65)</f>
        <v>0</v>
      </c>
      <c r="S65" s="138"/>
      <c r="T65" s="138"/>
      <c r="U65" s="138"/>
      <c r="AE65" s="230">
        <f ca="1">'Bill Comparison'!G93</f>
        <v>0</v>
      </c>
      <c r="AF65" s="232">
        <f ca="1">IFERROR(R65 - AE65, "")</f>
        <v>0</v>
      </c>
    </row>
    <row r="66" spans="2:32">
      <c r="B66"/>
      <c r="C66" s="152"/>
      <c r="D66" s="178" t="s">
        <v>370</v>
      </c>
      <c r="E66" s="179" t="str">
        <f ca="1">IFERROR((E64 - E65) / E65, "")</f>
        <v/>
      </c>
      <c r="F66" s="179" t="str">
        <f t="shared" ref="F66:R66" ca="1" si="19">IFERROR((F64 - F65) / F65, "")</f>
        <v/>
      </c>
      <c r="G66" s="179" t="str">
        <f t="shared" ca="1" si="19"/>
        <v/>
      </c>
      <c r="H66" s="179" t="str">
        <f t="shared" ca="1" si="19"/>
        <v/>
      </c>
      <c r="I66" s="179" t="str">
        <f t="shared" ca="1" si="19"/>
        <v/>
      </c>
      <c r="J66" s="179" t="str">
        <f t="shared" ca="1" si="19"/>
        <v/>
      </c>
      <c r="K66" s="179" t="str">
        <f t="shared" ca="1" si="19"/>
        <v/>
      </c>
      <c r="L66" s="179" t="str">
        <f t="shared" ca="1" si="19"/>
        <v/>
      </c>
      <c r="M66" s="179"/>
      <c r="N66" s="179" t="str">
        <f t="shared" ca="1" si="19"/>
        <v/>
      </c>
      <c r="O66" s="179" t="str">
        <f t="shared" ca="1" si="19"/>
        <v/>
      </c>
      <c r="P66" s="179" t="str">
        <f t="shared" ca="1" si="19"/>
        <v/>
      </c>
      <c r="Q66" s="179" t="str">
        <f t="shared" ca="1" si="19"/>
        <v/>
      </c>
      <c r="R66" s="179" t="str">
        <f t="shared" ca="1" si="19"/>
        <v/>
      </c>
      <c r="S66" s="361"/>
      <c r="T66" s="361"/>
      <c r="U66" s="361"/>
    </row>
    <row r="67" spans="2:32">
      <c r="B67"/>
      <c r="C67" s="448" t="s">
        <v>123</v>
      </c>
      <c r="D67" s="153" t="str">
        <f>New_Period</f>
        <v>2026/27</v>
      </c>
      <c r="E67" s="167">
        <f ca="1">SUM(E40,E43,E46,E49,E52,E55,E58,E61,E64)</f>
        <v>0</v>
      </c>
      <c r="F67" s="167">
        <f t="shared" ref="F67:Q67" ca="1" si="20">SUM(F40,F43,F46,F49,F52,F55,F58,F61,F64)</f>
        <v>0</v>
      </c>
      <c r="G67" s="167">
        <f t="shared" ca="1" si="20"/>
        <v>0</v>
      </c>
      <c r="H67" s="167">
        <f t="shared" ca="1" si="20"/>
        <v>0</v>
      </c>
      <c r="I67" s="167">
        <f t="shared" ca="1" si="20"/>
        <v>0</v>
      </c>
      <c r="J67" s="167">
        <f t="shared" ca="1" si="20"/>
        <v>0</v>
      </c>
      <c r="K67" s="167">
        <f t="shared" ca="1" si="20"/>
        <v>0</v>
      </c>
      <c r="L67" s="167">
        <f t="shared" ca="1" si="20"/>
        <v>0</v>
      </c>
      <c r="M67" s="167"/>
      <c r="N67" s="167">
        <f t="shared" ca="1" si="20"/>
        <v>0</v>
      </c>
      <c r="O67" s="167">
        <f t="shared" ca="1" si="20"/>
        <v>0</v>
      </c>
      <c r="P67" s="167">
        <f t="shared" ca="1" si="20"/>
        <v>0</v>
      </c>
      <c r="Q67" s="167">
        <f t="shared" ca="1" si="20"/>
        <v>0</v>
      </c>
      <c r="R67" s="167">
        <f ca="1">IF(E67 = "", "", SUM(E67:Q67))</f>
        <v>0</v>
      </c>
      <c r="S67" s="168"/>
      <c r="T67" s="168"/>
      <c r="U67" s="168"/>
      <c r="AE67" s="230">
        <f ca="1">'Bill Comparison'!H94</f>
        <v>0</v>
      </c>
      <c r="AF67" s="232">
        <f ca="1">IFERROR(R67 - AE67, "")</f>
        <v>0</v>
      </c>
    </row>
    <row r="68" spans="2:32">
      <c r="B68"/>
      <c r="C68" s="443"/>
      <c r="D68" s="3" t="str">
        <f>Current_Period</f>
        <v>2025/26</v>
      </c>
      <c r="E68" s="168">
        <f ca="1">SUM(E41,E44,E47,E50,E53,E56,E59,E62,E65)</f>
        <v>0</v>
      </c>
      <c r="F68" s="168">
        <f t="shared" ref="F68:Q68" ca="1" si="21">SUM(F41,F44,F47,F50,F53,F56,F59,F62,F65)</f>
        <v>0</v>
      </c>
      <c r="G68" s="168">
        <f t="shared" ca="1" si="21"/>
        <v>0</v>
      </c>
      <c r="H68" s="168">
        <f t="shared" ca="1" si="21"/>
        <v>0</v>
      </c>
      <c r="I68" s="168">
        <f t="shared" ca="1" si="21"/>
        <v>0</v>
      </c>
      <c r="J68" s="168">
        <f t="shared" ca="1" si="21"/>
        <v>0</v>
      </c>
      <c r="K68" s="168">
        <f t="shared" ca="1" si="21"/>
        <v>0</v>
      </c>
      <c r="L68" s="168">
        <f t="shared" ca="1" si="21"/>
        <v>0</v>
      </c>
      <c r="M68" s="168"/>
      <c r="N68" s="168">
        <f t="shared" ca="1" si="21"/>
        <v>0</v>
      </c>
      <c r="O68" s="168">
        <f t="shared" ca="1" si="21"/>
        <v>0</v>
      </c>
      <c r="P68" s="168">
        <f t="shared" ca="1" si="21"/>
        <v>0</v>
      </c>
      <c r="Q68" s="168">
        <f t="shared" ca="1" si="21"/>
        <v>0</v>
      </c>
      <c r="R68" s="168">
        <f ca="1">IF(E68 = "", "", SUM(E68:Q68))</f>
        <v>0</v>
      </c>
      <c r="S68" s="168"/>
      <c r="T68" s="168"/>
      <c r="U68" s="168"/>
      <c r="AE68" s="230">
        <f ca="1">'Bill Comparison'!G94</f>
        <v>0</v>
      </c>
      <c r="AF68" s="232">
        <f ca="1">IFERROR(R68 - AE68, "")</f>
        <v>0</v>
      </c>
    </row>
    <row r="69" spans="2:32">
      <c r="B69"/>
      <c r="C69" s="154"/>
      <c r="D69" s="180" t="s">
        <v>370</v>
      </c>
      <c r="E69" s="181" t="str">
        <f t="shared" ref="E69:R69" ca="1" si="22">IFERROR((E67 - E68) / E68, "")</f>
        <v/>
      </c>
      <c r="F69" s="181" t="str">
        <f t="shared" ca="1" si="22"/>
        <v/>
      </c>
      <c r="G69" s="181" t="str">
        <f t="shared" ca="1" si="22"/>
        <v/>
      </c>
      <c r="H69" s="181" t="str">
        <f t="shared" ca="1" si="22"/>
        <v/>
      </c>
      <c r="I69" s="181" t="str">
        <f t="shared" ca="1" si="22"/>
        <v/>
      </c>
      <c r="J69" s="181" t="str">
        <f t="shared" ca="1" si="22"/>
        <v/>
      </c>
      <c r="K69" s="181" t="str">
        <f t="shared" ca="1" si="22"/>
        <v/>
      </c>
      <c r="L69" s="181" t="str">
        <f t="shared" ca="1" si="22"/>
        <v/>
      </c>
      <c r="M69" s="181"/>
      <c r="N69" s="181" t="str">
        <f t="shared" ca="1" si="22"/>
        <v/>
      </c>
      <c r="O69" s="181" t="str">
        <f t="shared" ca="1" si="22"/>
        <v/>
      </c>
      <c r="P69" s="181" t="str">
        <f t="shared" ca="1" si="22"/>
        <v/>
      </c>
      <c r="Q69" s="181" t="str">
        <f t="shared" ca="1" si="22"/>
        <v/>
      </c>
      <c r="R69" s="181" t="str">
        <f t="shared" ca="1" si="22"/>
        <v/>
      </c>
      <c r="S69" s="362"/>
      <c r="T69" s="362"/>
      <c r="U69" s="362"/>
    </row>
    <row r="71" spans="2:32">
      <c r="B71" s="24" t="s">
        <v>142</v>
      </c>
      <c r="C71" s="24"/>
      <c r="D71" s="24"/>
      <c r="E71" s="165">
        <f>E$13</f>
        <v>46142</v>
      </c>
      <c r="F71" s="165">
        <f t="shared" ref="F71:Q71" si="23">F$13</f>
        <v>46173</v>
      </c>
      <c r="G71" s="165">
        <f t="shared" si="23"/>
        <v>46203</v>
      </c>
      <c r="H71" s="165">
        <f t="shared" si="23"/>
        <v>46234</v>
      </c>
      <c r="I71" s="165">
        <f t="shared" si="23"/>
        <v>46265</v>
      </c>
      <c r="J71" s="165">
        <f t="shared" si="23"/>
        <v>46295</v>
      </c>
      <c r="K71" s="165">
        <f t="shared" si="23"/>
        <v>46326</v>
      </c>
      <c r="L71" s="165">
        <f t="shared" si="23"/>
        <v>46356</v>
      </c>
      <c r="M71" s="165"/>
      <c r="N71" s="165">
        <f t="shared" si="23"/>
        <v>46387</v>
      </c>
      <c r="O71" s="165">
        <f t="shared" si="23"/>
        <v>46418</v>
      </c>
      <c r="P71" s="165">
        <f t="shared" si="23"/>
        <v>46446</v>
      </c>
      <c r="Q71" s="165">
        <f t="shared" si="23"/>
        <v>46477</v>
      </c>
      <c r="R71" s="150" t="s">
        <v>24</v>
      </c>
      <c r="S71" s="150"/>
      <c r="T71" s="150"/>
      <c r="U71" s="150"/>
    </row>
    <row r="72" spans="2:32">
      <c r="B72"/>
      <c r="C72" s="442" t="s">
        <v>390</v>
      </c>
      <c r="D72" t="str">
        <f>New_Period</f>
        <v>2026/27</v>
      </c>
      <c r="E72" s="138">
        <f ca="1">IFERROR( 'Rates Table'!$AT$52*IF(Inputs!$G$29="No", Inputs!$M$36,Inputs!$M$117), 0)/100</f>
        <v>0</v>
      </c>
      <c r="F72" s="138">
        <f ca="1">IFERROR( 'Rates Table'!$AT$52*IF(Inputs!$G$29="No", Inputs!$M$37,Inputs!$M$118), 0)/100</f>
        <v>0</v>
      </c>
      <c r="G72" s="138">
        <f ca="1">IFERROR( 'Rates Table'!$AT$52*IF(Inputs!$G$29="No", Inputs!$M$38,Inputs!$M$119), 0)/100</f>
        <v>0</v>
      </c>
      <c r="H72" s="138">
        <f ca="1">IFERROR( 'Rates Table'!$AT$52*IF(Inputs!$G$29="No", Inputs!$M$39,Inputs!$M$120), 0)/100</f>
        <v>0</v>
      </c>
      <c r="I72" s="138">
        <f ca="1">IFERROR( 'Rates Table'!$AT$52*IF(Inputs!$G$29="No", Inputs!$M$40,Inputs!$M$121), 0)/100</f>
        <v>0</v>
      </c>
      <c r="J72" s="138">
        <f ca="1">IFERROR( 'Rates Table'!$AT$52*IF(Inputs!$G$29="No", Inputs!$M$41,Inputs!$M$122), 0)/100</f>
        <v>0</v>
      </c>
      <c r="K72" s="138">
        <f ca="1">IFERROR( 'Rates Table'!$AT$52*IF(Inputs!$G$29="No", Inputs!$M$42,Inputs!$M$123), 0)/100</f>
        <v>0</v>
      </c>
      <c r="L72" s="138">
        <f ca="1">IFERROR( 'Rates Table'!$AT$52*IF(Inputs!$G$29="No", Inputs!$M$43,Inputs!$M$124), 0)/100</f>
        <v>0</v>
      </c>
      <c r="M72" s="138"/>
      <c r="N72" s="138">
        <f ca="1">IFERROR( 'Rates Table'!$AT$52*IF(Inputs!$G$29="No", Inputs!$M$44,Inputs!$M$125), 0)/100</f>
        <v>0</v>
      </c>
      <c r="O72" s="138">
        <f ca="1">IFERROR( 'Rates Table'!$AT$52*IF(Inputs!$G$29="No", Inputs!$M$45,Inputs!$M$126), 0)/100</f>
        <v>0</v>
      </c>
      <c r="P72" s="138">
        <f ca="1">IFERROR( 'Rates Table'!$AT$52*IF(Inputs!$G$29="No", Inputs!$M$46,Inputs!$M$127), 0)/100</f>
        <v>0</v>
      </c>
      <c r="Q72" s="138">
        <f ca="1">IFERROR( 'Rates Table'!$AT$52*IF(Inputs!$G$29="No", Inputs!$M$47,Inputs!$M$128), 0)/100</f>
        <v>0</v>
      </c>
      <c r="R72" s="138">
        <f ca="1">SUM(E72:Q72)</f>
        <v>0</v>
      </c>
      <c r="S72" s="138"/>
      <c r="T72" s="138"/>
      <c r="U72" s="138"/>
      <c r="AE72" s="231">
        <f ca="1">'Bill Comparison'!H98</f>
        <v>0</v>
      </c>
      <c r="AF72" s="230">
        <f ca="1">IFERROR(R72 - AE72, "")</f>
        <v>0</v>
      </c>
    </row>
    <row r="73" spans="2:32">
      <c r="B73"/>
      <c r="C73" s="443"/>
      <c r="D73" t="str">
        <f>Current_Period</f>
        <v>2025/26</v>
      </c>
      <c r="E73" s="138">
        <f ca="1">IFERROR('Rates Table'!$E$52*IF(Inputs!$G$29="No", Inputs!$M$36,Inputs!$M$75),0)/100</f>
        <v>0</v>
      </c>
      <c r="F73" s="138">
        <f ca="1">IFERROR('Rates Table'!$E$52*IF(Inputs!$G$29="No", Inputs!$M$37,Inputs!$M$76),0)/100</f>
        <v>0</v>
      </c>
      <c r="G73" s="138">
        <f ca="1">IFERROR('Rates Table'!$E$52*IF(Inputs!$G$29="No", Inputs!$M$38,Inputs!$M$77),0)/100</f>
        <v>0</v>
      </c>
      <c r="H73" s="138">
        <f ca="1">IFERROR('Rates Table'!$E$52*IF(Inputs!$G$29="No", Inputs!$M$39,Inputs!$M$78),0)/100</f>
        <v>0</v>
      </c>
      <c r="I73" s="138">
        <f ca="1">IFERROR('Rates Table'!$E$52*IF(Inputs!$G$29="No", Inputs!$M$40,Inputs!$M$79),0)/100</f>
        <v>0</v>
      </c>
      <c r="J73" s="138">
        <f ca="1">IFERROR('Rates Table'!$E$52*IF(Inputs!$G$29="No", Inputs!$M$41,Inputs!$M$80),0)/100</f>
        <v>0</v>
      </c>
      <c r="K73" s="138">
        <f ca="1">IFERROR('Rates Table'!$E$52*IF(Inputs!$G$29="No", Inputs!$M$42,Inputs!$M$81),0)/100</f>
        <v>0</v>
      </c>
      <c r="L73" s="138">
        <f ca="1">IFERROR('Rates Table'!$E$52*IF(Inputs!$G$29="No", Inputs!$M$43,Inputs!$M$82),0)/100</f>
        <v>0</v>
      </c>
      <c r="M73" s="138"/>
      <c r="N73" s="138">
        <f ca="1">IFERROR('Rates Table'!$E$52*IF(Inputs!$G$29="No", Inputs!$M$44,Inputs!$M$83),0)/100</f>
        <v>0</v>
      </c>
      <c r="O73" s="138">
        <f ca="1">IFERROR('Rates Table'!$E$52*IF(Inputs!$G$29="No", Inputs!$M$45,Inputs!$M$84),0)/100</f>
        <v>0</v>
      </c>
      <c r="P73" s="138">
        <f ca="1">IFERROR('Rates Table'!$E$52*IF(Inputs!$G$29="No", Inputs!$M$46,Inputs!$M$85),0)/100</f>
        <v>0</v>
      </c>
      <c r="Q73" s="138">
        <f ca="1">IFERROR('Rates Table'!$E$52*IF(Inputs!$G$29="No", Inputs!$M$47,Inputs!$M$86),0)/100</f>
        <v>0</v>
      </c>
      <c r="R73" s="138">
        <f ca="1">SUM(E73:Q73)</f>
        <v>0</v>
      </c>
      <c r="S73" s="138"/>
      <c r="T73" s="138"/>
      <c r="U73" s="138"/>
      <c r="AE73" s="231">
        <f ca="1">'Bill Comparison'!G98</f>
        <v>0</v>
      </c>
      <c r="AF73" s="230">
        <f ca="1">IFERROR(R73 - AE73, "")</f>
        <v>0</v>
      </c>
    </row>
    <row r="74" spans="2:32">
      <c r="B74"/>
      <c r="C74" s="152"/>
      <c r="D74" s="178" t="s">
        <v>370</v>
      </c>
      <c r="E74" s="179" t="str">
        <f t="shared" ref="E74:R74" ca="1" si="24">IFERROR((E72 - E73) / E73, "")</f>
        <v/>
      </c>
      <c r="F74" s="179" t="str">
        <f t="shared" ca="1" si="24"/>
        <v/>
      </c>
      <c r="G74" s="179" t="str">
        <f t="shared" ca="1" si="24"/>
        <v/>
      </c>
      <c r="H74" s="179" t="str">
        <f t="shared" ca="1" si="24"/>
        <v/>
      </c>
      <c r="I74" s="179" t="str">
        <f t="shared" ca="1" si="24"/>
        <v/>
      </c>
      <c r="J74" s="179" t="str">
        <f t="shared" ca="1" si="24"/>
        <v/>
      </c>
      <c r="K74" s="179" t="str">
        <f t="shared" ca="1" si="24"/>
        <v/>
      </c>
      <c r="L74" s="179" t="str">
        <f t="shared" ca="1" si="24"/>
        <v/>
      </c>
      <c r="M74" s="179"/>
      <c r="N74" s="179" t="str">
        <f t="shared" ca="1" si="24"/>
        <v/>
      </c>
      <c r="O74" s="179" t="str">
        <f t="shared" ca="1" si="24"/>
        <v/>
      </c>
      <c r="P74" s="179" t="str">
        <f t="shared" ca="1" si="24"/>
        <v/>
      </c>
      <c r="Q74" s="179" t="str">
        <f t="shared" ca="1" si="24"/>
        <v/>
      </c>
      <c r="R74" s="179" t="str">
        <f t="shared" ca="1" si="24"/>
        <v/>
      </c>
      <c r="S74" s="361"/>
      <c r="T74" s="361"/>
      <c r="U74" s="361"/>
    </row>
    <row r="75" spans="2:32">
      <c r="B75"/>
      <c r="C75" s="442" t="s">
        <v>116</v>
      </c>
      <c r="D75" t="str">
        <f>New_Period</f>
        <v>2026/27</v>
      </c>
      <c r="E75" s="138" t="str">
        <f ca="1">IFERROR(IF(OR(Inputs!$E$36="High Demand", $D$8= "Transflex 1",$D$8= "Transflex 2"), 'Rates Table'!$AT$53*IF(Inputs!$G$29="No",Inputs!$L$36,Inputs!$L$117)/100, ""),0)</f>
        <v/>
      </c>
      <c r="F75" s="138" t="str">
        <f ca="1">IFERROR(IF(OR(Inputs!$E$37="High Demand", $D$8= "Transflex 1",$D$8= "Transflex 2"), 'Rates Table'!$AT$53*IF(Inputs!$G$29="No",Inputs!$L$37,Inputs!$L$118)/100, ""),0)</f>
        <v/>
      </c>
      <c r="G75" s="138">
        <f ca="1">IFERROR(IF(OR(Inputs!$E$38="High Demand", $D$8= "Transflex 1",$D$8= "Transflex 2"), 'Rates Table'!$AT$53*IF(Inputs!$G$29="No",Inputs!$L$38,Inputs!$L$119)/100, ""),0)</f>
        <v>0</v>
      </c>
      <c r="H75" s="138">
        <f ca="1">IFERROR(IF(OR(Inputs!$E$39="High Demand", $D$8= "Transflex 1",$D$8= "Transflex 2"), 'Rates Table'!$AT$53*IF(Inputs!$G$29="No",Inputs!$L$39,Inputs!$L$120)/100, ""),0)</f>
        <v>0</v>
      </c>
      <c r="I75" s="138">
        <f ca="1">IFERROR(IF(OR(Inputs!$E$40="High Demand", $D$8= "Transflex 1",$D$8= "Transflex 2"), 'Rates Table'!$AT$53*IF(Inputs!$G$29="No",Inputs!$L$40,Inputs!$L$121)/100, ""),0)</f>
        <v>0</v>
      </c>
      <c r="J75" s="138" t="str">
        <f ca="1">IFERROR(IF(OR(Inputs!$E$41="High Demand", $D$8= "Transflex 1",$D$8= "Transflex 2"), 'Rates Table'!$AT$53*IF(Inputs!$G$29="No",Inputs!$L$41,Inputs!$L$122)/100, ""),0)</f>
        <v/>
      </c>
      <c r="K75" s="138" t="str">
        <f ca="1">IFERROR(IF(OR(Inputs!$E$42="High Demand", $D$8= "Transflex 1",$D$8= "Transflex 2"), 'Rates Table'!$AT$53*IF(Inputs!$G$29="No",Inputs!$L$42,Inputs!$L$123)/100, ""),0)</f>
        <v/>
      </c>
      <c r="L75" s="138" t="str">
        <f ca="1">IFERROR(IF(OR(Inputs!$E$43="High Demand", $D$8= "Transflex 1",$D$8= "Transflex 2"), 'Rates Table'!$AT$53*IF(Inputs!$G$29="No",Inputs!$L$43,Inputs!$L$124)/100, ""),0)</f>
        <v/>
      </c>
      <c r="M75" s="138"/>
      <c r="N75" s="138" t="str">
        <f ca="1">IFERROR(IF(OR(Inputs!$E$44="High Demand", $D$8= "Transflex 1",$D$8= "Transflex 2"), 'Rates Table'!$AT$53*IF(Inputs!$G$29="No",Inputs!$L$44,Inputs!$L$125)/100, ""),0)</f>
        <v/>
      </c>
      <c r="O75" s="138" t="str">
        <f ca="1">IFERROR(IF(OR(Inputs!$E$45="High Demand", $D$8= "Transflex 1",$D$8= "Transflex 2"), 'Rates Table'!$AT$53*IF(Inputs!$G$29="No",Inputs!$L$45,Inputs!$L$126)/100, ""),0)</f>
        <v/>
      </c>
      <c r="P75" s="138" t="str">
        <f ca="1">IFERROR(IF(OR(Inputs!$E$46="High Demand", $D$8= "Transflex 1",$D$8= "Transflex 2"), 'Rates Table'!$AT$53*IF(Inputs!$G$29="No",Inputs!$L$46,Inputs!$L$127)/100, ""),0)</f>
        <v/>
      </c>
      <c r="Q75" s="138" t="str">
        <f ca="1">IFERROR(IF(OR(Inputs!$E$47="High Demand", $D$8= "Transflex 1",$D$8= "Transflex 2"), 'Rates Table'!$AT$53*IF(Inputs!$G$29="No",Inputs!$L$47,Inputs!$L$128)/100, ""),0)</f>
        <v/>
      </c>
      <c r="R75" s="138">
        <f ca="1">SUM(E75:Q75)</f>
        <v>0</v>
      </c>
      <c r="S75" s="138"/>
      <c r="T75" s="138"/>
      <c r="U75" s="138"/>
      <c r="AE75" s="231">
        <f ca="1">'Bill Comparison'!H99</f>
        <v>0</v>
      </c>
      <c r="AF75" s="230">
        <f ca="1">IFERROR(R75 - AE75, "")</f>
        <v>0</v>
      </c>
    </row>
    <row r="76" spans="2:32">
      <c r="B76"/>
      <c r="C76" s="443"/>
      <c r="D76" t="str">
        <f>Current_Period</f>
        <v>2025/26</v>
      </c>
      <c r="E76" s="138" t="str">
        <f ca="1">IFERROR(IF(OR(Inputs!$E$36="High Demand", 'Rates Table'!E2= "Transflex 1",'Rates Table'!E2= "Transflex 2"), 'Rates Table'!$E$53*IF(Inputs!$G$29="No",Inputs!$L$36,Inputs!$L$75)/100, ""),0)</f>
        <v/>
      </c>
      <c r="F76" s="138" t="str">
        <f ca="1">IFERROR(IF(OR(Inputs!$E$37="High Demand", 'Rates Table'!E2= "Transflex 1",'Rates Table'!E2= "Transflex 2"), 'Rates Table'!$E$53*IF(Inputs!$G$29="No",Inputs!$L$37,Inputs!$L$76)/100, ""),0)</f>
        <v/>
      </c>
      <c r="G76" s="138">
        <f ca="1">IFERROR(IF(OR(Inputs!$E$38="High Demand", 'Rates Table'!E2= "Transflex 1",'Rates Table'!E2= "Transflex 2"), 'Rates Table'!$E$53*IF(Inputs!$G$29="No",Inputs!$L$38,Inputs!$L$77)/100, ""),0)</f>
        <v>0</v>
      </c>
      <c r="H76" s="138">
        <f ca="1">IFERROR(IF(OR(Inputs!$E$39="High Demand", 'Rates Table'!E2= "Transflex 1",'Rates Table'!E2= "Transflex 2"), 'Rates Table'!$E$53*IF(Inputs!$G$29="No",Inputs!$L$39,Inputs!$L$78)/100, ""),0)</f>
        <v>0</v>
      </c>
      <c r="I76" s="138">
        <f ca="1">IFERROR(IF(OR(Inputs!$E$40="High Demand", 'Rates Table'!E2= "Transflex 1",'Rates Table'!E2= "Transflex 2"), 'Rates Table'!$E$53*IF(Inputs!$G$29="No",Inputs!$L$40,Inputs!$L$79)/100, ""),0)</f>
        <v>0</v>
      </c>
      <c r="J76" s="138" t="str">
        <f ca="1">IFERROR(IF(OR(Inputs!$E$41="High Demand", 'Rates Table'!E2= "Transflex 1",'Rates Table'!E2= "Transflex 2"), 'Rates Table'!$E$53*IF(Inputs!$G$29="No",Inputs!$L$41,Inputs!$L$80)/100, ""),0)</f>
        <v/>
      </c>
      <c r="K76" s="138" t="str">
        <f ca="1">IFERROR(IF(OR(Inputs!$E$42="High Demand", 'Rates Table'!E2= "Transflex 1",'Rates Table'!E2= "Transflex 2"), 'Rates Table'!$E$53*IF(Inputs!$G$29="No",Inputs!$L$42,Inputs!$L$81)/100, ""),0)</f>
        <v/>
      </c>
      <c r="L76" s="138" t="str">
        <f ca="1">IFERROR(IF(OR(Inputs!$E$43="High Demand", 'Rates Table'!E2= "Transflex 1",'Rates Table'!E2= "Transflex 2"), 'Rates Table'!$E$53*IF(Inputs!$G$29="No",Inputs!$L$43,Inputs!$L$82)/100, ""),0)</f>
        <v/>
      </c>
      <c r="M76" s="138"/>
      <c r="N76" s="138" t="str">
        <f ca="1">IFERROR(IF(OR(Inputs!$E$44="High Demand", 'Rates Table'!E2= "Transflex 1",'Rates Table'!E2= "Transflex 2"), 'Rates Table'!$E$53*IF(Inputs!$G$29="No",Inputs!$L$44,Inputs!$L$83)/100, ""),0)</f>
        <v/>
      </c>
      <c r="O76" s="138" t="str">
        <f ca="1">IFERROR(IF(OR(Inputs!$E$45="High Demand", 'Rates Table'!E2= "Transflex 1",'Rates Table'!E2= "Transflex 2"), 'Rates Table'!$E$53*IF(Inputs!$G$29="No",Inputs!$L$45,Inputs!$L$84)/100, ""),0)</f>
        <v/>
      </c>
      <c r="P76" s="138" t="str">
        <f ca="1">IFERROR(IF(OR(Inputs!$E$46="High Demand", 'Rates Table'!E2= "Transflex 1",'Rates Table'!E2= "Transflex 2"), 'Rates Table'!$E$53*IF(Inputs!$G$29="No",Inputs!$L$46,Inputs!$L$85)/100, ""),0)</f>
        <v/>
      </c>
      <c r="Q76" s="138" t="str">
        <f ca="1">IFERROR(IF(OR(Inputs!$E$47="High Demand", 'Rates Table'!E2= "Transflex 1",'Rates Table'!E2= "Transflex 2"), 'Rates Table'!$E$53*IF(Inputs!$G$29="No",Inputs!$L$47,Inputs!$L$86)/100, ""),0)</f>
        <v/>
      </c>
      <c r="R76" s="138">
        <f ca="1">SUM(E76:Q76)</f>
        <v>0</v>
      </c>
      <c r="S76" s="138"/>
      <c r="T76" s="138"/>
      <c r="U76" s="138"/>
      <c r="AE76" s="231">
        <f ca="1">'Bill Comparison'!G99</f>
        <v>0</v>
      </c>
      <c r="AF76" s="230">
        <f ca="1">IFERROR(R76 - AE76, "")</f>
        <v>0</v>
      </c>
    </row>
    <row r="77" spans="2:32">
      <c r="B77"/>
      <c r="C77" s="152"/>
      <c r="D77" s="178" t="s">
        <v>370</v>
      </c>
      <c r="E77" s="179" t="str">
        <f t="shared" ref="E77:R77" ca="1" si="25">IFERROR((E75 - E76) / E76, "")</f>
        <v/>
      </c>
      <c r="F77" s="179" t="str">
        <f t="shared" ca="1" si="25"/>
        <v/>
      </c>
      <c r="G77" s="179" t="str">
        <f t="shared" ca="1" si="25"/>
        <v/>
      </c>
      <c r="H77" s="179" t="str">
        <f t="shared" ca="1" si="25"/>
        <v/>
      </c>
      <c r="I77" s="179" t="str">
        <f t="shared" ca="1" si="25"/>
        <v/>
      </c>
      <c r="J77" s="179" t="str">
        <f t="shared" ca="1" si="25"/>
        <v/>
      </c>
      <c r="K77" s="179" t="str">
        <f t="shared" ca="1" si="25"/>
        <v/>
      </c>
      <c r="L77" s="179" t="str">
        <f t="shared" ca="1" si="25"/>
        <v/>
      </c>
      <c r="M77" s="179"/>
      <c r="N77" s="179" t="str">
        <f t="shared" ca="1" si="25"/>
        <v/>
      </c>
      <c r="O77" s="179" t="str">
        <f t="shared" ca="1" si="25"/>
        <v/>
      </c>
      <c r="P77" s="179" t="str">
        <f t="shared" ca="1" si="25"/>
        <v/>
      </c>
      <c r="Q77" s="179" t="str">
        <f t="shared" ca="1" si="25"/>
        <v/>
      </c>
      <c r="R77" s="179" t="str">
        <f t="shared" ca="1" si="25"/>
        <v/>
      </c>
      <c r="S77" s="361"/>
      <c r="T77" s="361"/>
      <c r="U77" s="361"/>
    </row>
    <row r="78" spans="2:32">
      <c r="B78"/>
      <c r="C78" s="442" t="s">
        <v>314</v>
      </c>
      <c r="D78" t="str">
        <f>New_Period</f>
        <v>2026/27</v>
      </c>
      <c r="E78" s="138">
        <f ca="1">IFERROR( 'Rates Table'!$AT$54*IF(Inputs!$G$29="No", Inputs!$M$36,Inputs!$M$117), 0)/100</f>
        <v>0</v>
      </c>
      <c r="F78" s="138">
        <f ca="1">IFERROR( 'Rates Table'!$AT$54*IF(Inputs!$G$29="No", Inputs!$M$37,Inputs!$M$118), 0)/100</f>
        <v>0</v>
      </c>
      <c r="G78" s="138">
        <f ca="1">IFERROR( 'Rates Table'!$AT$54*IF(Inputs!$G$29="No", Inputs!$M$38,Inputs!$M$119), 0)/100</f>
        <v>0</v>
      </c>
      <c r="H78" s="138">
        <f ca="1">IFERROR( 'Rates Table'!$AT$54*IF(Inputs!$G$29="No", Inputs!$M$39,Inputs!$M$120), 0)/100</f>
        <v>0</v>
      </c>
      <c r="I78" s="138">
        <f ca="1">IFERROR( 'Rates Table'!$AT$54*IF(Inputs!$G$29="No", Inputs!$M$40,Inputs!$M$121), 0)/100</f>
        <v>0</v>
      </c>
      <c r="J78" s="138">
        <f ca="1">IFERROR( 'Rates Table'!$AT$54*IF(Inputs!$G$29="No", Inputs!$M$41,Inputs!$M$122), 0)/100</f>
        <v>0</v>
      </c>
      <c r="K78" s="138">
        <f ca="1">IFERROR( 'Rates Table'!$AT$54*IF(Inputs!$G$29="No", Inputs!$M$42,Inputs!$M$123), 0)/100</f>
        <v>0</v>
      </c>
      <c r="L78" s="138">
        <f ca="1">IFERROR( 'Rates Table'!$AT$54*IF(Inputs!$G$29="No", Inputs!$M$43,Inputs!$M$124), 0)/100</f>
        <v>0</v>
      </c>
      <c r="M78" s="138"/>
      <c r="N78" s="138">
        <f ca="1">IFERROR( 'Rates Table'!$AT$54*IF(Inputs!$G$29="No", Inputs!$M$44,Inputs!$M$125), 0)/100</f>
        <v>0</v>
      </c>
      <c r="O78" s="138">
        <f ca="1">IFERROR( 'Rates Table'!$AT$54*IF(Inputs!$G$29="No", Inputs!$M$45,Inputs!$M$126), 0)/100</f>
        <v>0</v>
      </c>
      <c r="P78" s="138">
        <f ca="1">IFERROR( 'Rates Table'!$AT$54*IF(Inputs!$G$29="No", Inputs!$M$46,Inputs!$M$127), 0)/100</f>
        <v>0</v>
      </c>
      <c r="Q78" s="138">
        <f ca="1">IFERROR( 'Rates Table'!$AT$54*IF(Inputs!$G$29="No", Inputs!$M$47,Inputs!$M$128), 0)/100</f>
        <v>0</v>
      </c>
      <c r="R78" s="138">
        <f ca="1">SUM(E78:Q78)</f>
        <v>0</v>
      </c>
      <c r="S78" s="138"/>
      <c r="T78" s="138"/>
      <c r="U78" s="138"/>
      <c r="AE78" s="231">
        <f ca="1">'Bill Comparison'!H100</f>
        <v>0</v>
      </c>
      <c r="AF78" s="230">
        <f ca="1">IFERROR(R78 - AE78, "")</f>
        <v>0</v>
      </c>
    </row>
    <row r="79" spans="2:32">
      <c r="B79"/>
      <c r="C79" s="443"/>
      <c r="D79" t="str">
        <f>Current_Period</f>
        <v>2025/26</v>
      </c>
      <c r="E79" s="138">
        <f ca="1">IFERROR('Rates Table'!$E$54*IF(Inputs!$G$29="No", Inputs!$M$36,Inputs!$M$75),0)/100</f>
        <v>0</v>
      </c>
      <c r="F79" s="138">
        <f ca="1">IFERROR('Rates Table'!$E$54*IF(Inputs!$G$29="No", Inputs!$M$37,Inputs!$M$76),0)/100</f>
        <v>0</v>
      </c>
      <c r="G79" s="138">
        <f ca="1">IFERROR('Rates Table'!$E$54*IF(Inputs!$G$29="No", Inputs!$M$38,Inputs!$M$77),0)/100</f>
        <v>0</v>
      </c>
      <c r="H79" s="138">
        <f ca="1">IFERROR('Rates Table'!$E$54*IF(Inputs!$G$29="No", Inputs!$M$39,Inputs!$M$78),0)/100</f>
        <v>0</v>
      </c>
      <c r="I79" s="138">
        <f ca="1">IFERROR('Rates Table'!$E$54*IF(Inputs!$G$29="No", Inputs!$M$40,Inputs!$M$79),0)/100</f>
        <v>0</v>
      </c>
      <c r="J79" s="138">
        <f ca="1">IFERROR('Rates Table'!$E$54*IF(Inputs!$G$29="No", Inputs!$M$41,Inputs!$M$80),0)/100</f>
        <v>0</v>
      </c>
      <c r="K79" s="138">
        <f ca="1">IFERROR('Rates Table'!$E$54*IF(Inputs!$G$29="No", Inputs!$M$42,Inputs!$M$81),0)/100</f>
        <v>0</v>
      </c>
      <c r="L79" s="138">
        <f ca="1">IFERROR('Rates Table'!$E$54*IF(Inputs!$G$29="No", Inputs!$M$43,Inputs!$M$82),0)/100</f>
        <v>0</v>
      </c>
      <c r="M79" s="138"/>
      <c r="N79" s="138">
        <f ca="1">IFERROR('Rates Table'!$E$54*IF(Inputs!$G$29="No", Inputs!$M$44,Inputs!$M$83),0)/100</f>
        <v>0</v>
      </c>
      <c r="O79" s="138">
        <f ca="1">IFERROR('Rates Table'!$E$54*IF(Inputs!$G$29="No", Inputs!$M$45,Inputs!$M$84),0)/100</f>
        <v>0</v>
      </c>
      <c r="P79" s="138">
        <f ca="1">IFERROR('Rates Table'!$E$54*IF(Inputs!$G$29="No", Inputs!$M$46,Inputs!$M$85),0)/100</f>
        <v>0</v>
      </c>
      <c r="Q79" s="138">
        <f ca="1">IFERROR('Rates Table'!$E$54*IF(Inputs!$G$29="No", Inputs!$M$47,Inputs!$M$86),0)/100</f>
        <v>0</v>
      </c>
      <c r="R79" s="138">
        <f ca="1">SUM(E79:Q79)</f>
        <v>0</v>
      </c>
      <c r="S79" s="138"/>
      <c r="T79" s="138"/>
      <c r="U79" s="138"/>
      <c r="AE79" s="231">
        <f ca="1">'Bill Comparison'!G100</f>
        <v>0</v>
      </c>
      <c r="AF79" s="230">
        <f ca="1">IFERROR(R79 - AE79, "")</f>
        <v>0</v>
      </c>
    </row>
    <row r="80" spans="2:32">
      <c r="B80"/>
      <c r="C80" s="152"/>
      <c r="D80" s="178" t="s">
        <v>370</v>
      </c>
      <c r="E80" s="179" t="str">
        <f t="shared" ref="E80:R80" ca="1" si="26">IFERROR((E78 - E79) / E79, "")</f>
        <v/>
      </c>
      <c r="F80" s="179" t="str">
        <f t="shared" ca="1" si="26"/>
        <v/>
      </c>
      <c r="G80" s="179" t="str">
        <f t="shared" ca="1" si="26"/>
        <v/>
      </c>
      <c r="H80" s="179" t="str">
        <f t="shared" ca="1" si="26"/>
        <v/>
      </c>
      <c r="I80" s="179" t="str">
        <f t="shared" ca="1" si="26"/>
        <v/>
      </c>
      <c r="J80" s="179" t="str">
        <f t="shared" ca="1" si="26"/>
        <v/>
      </c>
      <c r="K80" s="179" t="str">
        <f t="shared" ca="1" si="26"/>
        <v/>
      </c>
      <c r="L80" s="179" t="str">
        <f t="shared" ca="1" si="26"/>
        <v/>
      </c>
      <c r="M80" s="179"/>
      <c r="N80" s="179" t="str">
        <f t="shared" ca="1" si="26"/>
        <v/>
      </c>
      <c r="O80" s="179" t="str">
        <f t="shared" ca="1" si="26"/>
        <v/>
      </c>
      <c r="P80" s="179" t="str">
        <f t="shared" ca="1" si="26"/>
        <v/>
      </c>
      <c r="Q80" s="179" t="str">
        <f t="shared" ca="1" si="26"/>
        <v/>
      </c>
      <c r="R80" s="179" t="str">
        <f t="shared" ca="1" si="26"/>
        <v/>
      </c>
      <c r="S80" s="361"/>
      <c r="T80" s="361"/>
      <c r="U80" s="361"/>
    </row>
    <row r="81" spans="2:32">
      <c r="B81"/>
      <c r="C81" s="442" t="s">
        <v>379</v>
      </c>
      <c r="D81" t="str">
        <f>New_Period</f>
        <v>2026/27</v>
      </c>
      <c r="E81" s="138">
        <f ca="1">IFERROR( 'Rates Table'!$AT$55*IF(Inputs!$G$29="No", Inputs!$M$36,Inputs!$M$117), 0)/100</f>
        <v>0</v>
      </c>
      <c r="F81" s="138">
        <f ca="1">IFERROR( 'Rates Table'!$AT$55*IF(Inputs!$G$29="No", Inputs!$M$37,Inputs!$M$118), 0)/100</f>
        <v>0</v>
      </c>
      <c r="G81" s="138">
        <f ca="1">IFERROR( 'Rates Table'!$AT$55*IF(Inputs!$G$29="No", Inputs!$M$38,Inputs!$M$119), 0)/100</f>
        <v>0</v>
      </c>
      <c r="H81" s="138">
        <f ca="1">IFERROR( 'Rates Table'!$AT$55*IF(Inputs!$G$29="No", Inputs!$M$39,Inputs!$M$120), 0)/100</f>
        <v>0</v>
      </c>
      <c r="I81" s="138">
        <f ca="1">IFERROR( 'Rates Table'!$AT$55*IF(Inputs!$G$29="No", Inputs!$M$40,Inputs!$M$121), 0)/100</f>
        <v>0</v>
      </c>
      <c r="J81" s="138">
        <f ca="1">IFERROR( 'Rates Table'!$AT$55*IF(Inputs!$G$29="No", Inputs!$M$41,Inputs!$M$122), 0)/100</f>
        <v>0</v>
      </c>
      <c r="K81" s="138">
        <f ca="1">IFERROR( 'Rates Table'!$AT$55*IF(Inputs!$G$29="No", Inputs!$M$42,Inputs!$M$123), 0)/100</f>
        <v>0</v>
      </c>
      <c r="L81" s="138">
        <f ca="1">IFERROR( 'Rates Table'!$AT$55*IF(Inputs!$G$29="No", Inputs!$M$43,Inputs!$M$124), 0)/100</f>
        <v>0</v>
      </c>
      <c r="M81" s="138"/>
      <c r="N81" s="138">
        <f ca="1">IFERROR( 'Rates Table'!$AT$55*IF(Inputs!$G$29="No", Inputs!$M$44,Inputs!$M$125), 0)/100</f>
        <v>0</v>
      </c>
      <c r="O81" s="138">
        <f ca="1">IFERROR( 'Rates Table'!$AT$55*IF(Inputs!$G$29="No", Inputs!$M$45,Inputs!$M$126), 0)/100</f>
        <v>0</v>
      </c>
      <c r="P81" s="138">
        <f ca="1">IFERROR( 'Rates Table'!$AT$55*IF(Inputs!$G$29="No", Inputs!$M$46,Inputs!$M$127), 0)/100</f>
        <v>0</v>
      </c>
      <c r="Q81" s="138">
        <f ca="1">IFERROR( 'Rates Table'!$AT$55*IF(Inputs!$G$29="No", Inputs!$M$47,Inputs!$M$128), 0)/100</f>
        <v>0</v>
      </c>
      <c r="R81" s="138">
        <f ca="1">SUM(E81:Q81)</f>
        <v>0</v>
      </c>
      <c r="S81" s="138"/>
      <c r="T81" s="138"/>
      <c r="U81" s="138"/>
      <c r="AE81" s="231">
        <f ca="1">'Bill Comparison'!H101</f>
        <v>0</v>
      </c>
      <c r="AF81" s="230">
        <f ca="1">IFERROR(R81 - AE81, "")</f>
        <v>0</v>
      </c>
    </row>
    <row r="82" spans="2:32">
      <c r="B82"/>
      <c r="C82" s="443"/>
      <c r="D82" t="str">
        <f>Current_Period</f>
        <v>2025/26</v>
      </c>
      <c r="E82" s="138">
        <f ca="1">IFERROR('Rates Table'!$E$55*IF(Inputs!$G$29="No", Inputs!$M$36,Inputs!$M$75),0)/100</f>
        <v>0</v>
      </c>
      <c r="F82" s="138">
        <f ca="1">IFERROR('Rates Table'!$E$55*IF(Inputs!$G$29="No", Inputs!$M$37,Inputs!$M$76),0)/100</f>
        <v>0</v>
      </c>
      <c r="G82" s="138">
        <f ca="1">IFERROR('Rates Table'!$E$55*IF(Inputs!$G$29="No", Inputs!$M$38,Inputs!$M$77),0)/100</f>
        <v>0</v>
      </c>
      <c r="H82" s="138">
        <f ca="1">IFERROR('Rates Table'!$E$55*IF(Inputs!$G$29="No", Inputs!$M$39,Inputs!$M$78),0)/100</f>
        <v>0</v>
      </c>
      <c r="I82" s="138">
        <f ca="1">IFERROR('Rates Table'!$E$55*IF(Inputs!$G$29="No", Inputs!$M$40,Inputs!$M$79),0)/100</f>
        <v>0</v>
      </c>
      <c r="J82" s="138">
        <f ca="1">IFERROR('Rates Table'!$E$55*IF(Inputs!$G$29="No", Inputs!$M$41,Inputs!$M$80),0)/100</f>
        <v>0</v>
      </c>
      <c r="K82" s="138">
        <f ca="1">IFERROR('Rates Table'!$E$55*IF(Inputs!$G$29="No", Inputs!$M$42,Inputs!$M$81),0)/100</f>
        <v>0</v>
      </c>
      <c r="L82" s="138">
        <f ca="1">IFERROR('Rates Table'!$E$55*IF(Inputs!$G$29="No", Inputs!$M$43,Inputs!$M$82),0)/100</f>
        <v>0</v>
      </c>
      <c r="M82" s="138"/>
      <c r="N82" s="138">
        <f ca="1">IFERROR('Rates Table'!$E$55*IF(Inputs!$G$29="No", Inputs!$M$44,Inputs!$M$83),0)/100</f>
        <v>0</v>
      </c>
      <c r="O82" s="138">
        <f ca="1">IFERROR('Rates Table'!$E$55*IF(Inputs!$G$29="No", Inputs!$M$45,Inputs!$M$84),0)/100</f>
        <v>0</v>
      </c>
      <c r="P82" s="138">
        <f ca="1">IFERROR('Rates Table'!$E$55*IF(Inputs!$G$29="No", Inputs!$M$46,Inputs!$M$85),0)/100</f>
        <v>0</v>
      </c>
      <c r="Q82" s="138">
        <f ca="1">IFERROR('Rates Table'!$E$55*IF(Inputs!$G$29="No", Inputs!$M$47,Inputs!$M$86),0)/100</f>
        <v>0</v>
      </c>
      <c r="R82" s="138">
        <f ca="1">SUM(E82:Q82)</f>
        <v>0</v>
      </c>
      <c r="S82" s="138"/>
      <c r="T82" s="138"/>
      <c r="U82" s="138"/>
      <c r="AE82" s="231">
        <f ca="1">'Bill Comparison'!G101</f>
        <v>0</v>
      </c>
      <c r="AF82" s="230">
        <f ca="1">IFERROR(R82 - AE82, "")</f>
        <v>0</v>
      </c>
    </row>
    <row r="83" spans="2:32">
      <c r="B83"/>
      <c r="C83" s="152"/>
      <c r="D83" s="178" t="s">
        <v>370</v>
      </c>
      <c r="E83" s="179" t="str">
        <f t="shared" ref="E83:R83" ca="1" si="27">IFERROR((E81 - E82) / E82, "")</f>
        <v/>
      </c>
      <c r="F83" s="179" t="str">
        <f t="shared" ca="1" si="27"/>
        <v/>
      </c>
      <c r="G83" s="179" t="str">
        <f t="shared" ca="1" si="27"/>
        <v/>
      </c>
      <c r="H83" s="179" t="str">
        <f t="shared" ca="1" si="27"/>
        <v/>
      </c>
      <c r="I83" s="179" t="str">
        <f t="shared" ca="1" si="27"/>
        <v/>
      </c>
      <c r="J83" s="179" t="str">
        <f t="shared" ca="1" si="27"/>
        <v/>
      </c>
      <c r="K83" s="179" t="str">
        <f t="shared" ca="1" si="27"/>
        <v/>
      </c>
      <c r="L83" s="179" t="str">
        <f t="shared" ca="1" si="27"/>
        <v/>
      </c>
      <c r="M83" s="179"/>
      <c r="N83" s="179" t="str">
        <f t="shared" ca="1" si="27"/>
        <v/>
      </c>
      <c r="O83" s="179" t="str">
        <f t="shared" ca="1" si="27"/>
        <v/>
      </c>
      <c r="P83" s="179" t="str">
        <f t="shared" ca="1" si="27"/>
        <v/>
      </c>
      <c r="Q83" s="179" t="str">
        <f t="shared" ca="1" si="27"/>
        <v/>
      </c>
      <c r="R83" s="179" t="str">
        <f t="shared" ca="1" si="27"/>
        <v/>
      </c>
      <c r="S83" s="361"/>
      <c r="T83" s="361"/>
      <c r="U83" s="361"/>
    </row>
    <row r="84" spans="2:32" ht="12" customHeight="1">
      <c r="B84"/>
      <c r="C84" s="442" t="s">
        <v>126</v>
      </c>
      <c r="D84" t="str">
        <f>New_Period</f>
        <v>2026/27</v>
      </c>
      <c r="E84" s="138">
        <f ca="1">IFERROR('Rates Table'!$AT$56*PODs*(TOU_High_Days + TOU_Low_Days)/12,0)</f>
        <v>410.32083333333338</v>
      </c>
      <c r="F84" s="138">
        <f ca="1">IFERROR('Rates Table'!$AT$56*PODs*(TOU_High_Days + TOU_Low_Days)/12,0)</f>
        <v>410.32083333333338</v>
      </c>
      <c r="G84" s="138">
        <f ca="1">IFERROR('Rates Table'!$AT$56*PODs*(TOU_High_Days + TOU_Low_Days)/12,0)</f>
        <v>410.32083333333338</v>
      </c>
      <c r="H84" s="138">
        <f ca="1">IFERROR('Rates Table'!$AT$56*PODs*(TOU_High_Days + TOU_Low_Days)/12,0)</f>
        <v>410.32083333333338</v>
      </c>
      <c r="I84" s="138">
        <f ca="1">IFERROR('Rates Table'!$AT$56*PODs*(TOU_High_Days + TOU_Low_Days)/12,0)</f>
        <v>410.32083333333338</v>
      </c>
      <c r="J84" s="138">
        <f ca="1">IFERROR('Rates Table'!$AT$56*PODs*(TOU_High_Days + TOU_Low_Days)/12,0)</f>
        <v>410.32083333333338</v>
      </c>
      <c r="K84" s="138">
        <f ca="1">IFERROR('Rates Table'!$AT$56*PODs*(TOU_High_Days + TOU_Low_Days)/12,0)</f>
        <v>410.32083333333338</v>
      </c>
      <c r="L84" s="138">
        <f ca="1">IFERROR('Rates Table'!$AT$56*PODs*(TOU_High_Days + TOU_Low_Days)/12,0)</f>
        <v>410.32083333333338</v>
      </c>
      <c r="M84" s="138"/>
      <c r="N84" s="138">
        <f ca="1">IFERROR('Rates Table'!$AT$56*PODs*(TOU_High_Days + TOU_Low_Days)/12,0)</f>
        <v>410.32083333333338</v>
      </c>
      <c r="O84" s="138">
        <f ca="1">IFERROR('Rates Table'!$AT$56*PODs*(TOU_High_Days + TOU_Low_Days)/12,0)</f>
        <v>410.32083333333338</v>
      </c>
      <c r="P84" s="138">
        <f ca="1">IFERROR('Rates Table'!$AT$56*PODs*(TOU_High_Days + TOU_Low_Days)/12,0)</f>
        <v>410.32083333333338</v>
      </c>
      <c r="Q84" s="138">
        <f ca="1">IFERROR('Rates Table'!$AT$56*PODs*(TOU_High_Days + TOU_Low_Days)/12,0)</f>
        <v>410.32083333333338</v>
      </c>
      <c r="R84" s="138">
        <f ca="1">SUM(E84:Q84)</f>
        <v>4923.8499999999995</v>
      </c>
      <c r="S84" s="138"/>
      <c r="T84" s="138"/>
      <c r="U84" s="138"/>
      <c r="AE84" s="231">
        <f ca="1">'Bill Comparison'!H102</f>
        <v>4923.8500000000004</v>
      </c>
      <c r="AF84" s="230">
        <f ca="1">IFERROR(R84 - AE84, "")</f>
        <v>-9.0949470177292824E-13</v>
      </c>
    </row>
    <row r="85" spans="2:32" ht="18" customHeight="1">
      <c r="B85"/>
      <c r="C85" s="443"/>
      <c r="D85" t="str">
        <f>Current_Period</f>
        <v>2025/26</v>
      </c>
      <c r="E85" s="138">
        <f ca="1">IFERROR('Rates Table'!$E$56*PODs*(TOU_High_Days + TOU_Low_Days)/12,0)</f>
        <v>377.16666666666669</v>
      </c>
      <c r="F85" s="138">
        <f ca="1">IFERROR('Rates Table'!$E$56*PODs*(TOU_High_Days + TOU_Low_Days)/12,0)</f>
        <v>377.16666666666669</v>
      </c>
      <c r="G85" s="138">
        <f ca="1">IFERROR('Rates Table'!$E$56*PODs*(TOU_High_Days + TOU_Low_Days)/12,0)</f>
        <v>377.16666666666669</v>
      </c>
      <c r="H85" s="138">
        <f ca="1">IFERROR('Rates Table'!$E$56*PODs*(TOU_High_Days + TOU_Low_Days)/12,0)</f>
        <v>377.16666666666669</v>
      </c>
      <c r="I85" s="138">
        <f ca="1">IFERROR('Rates Table'!$E$56*PODs*(TOU_High_Days + TOU_Low_Days)/12,0)</f>
        <v>377.16666666666669</v>
      </c>
      <c r="J85" s="138">
        <f ca="1">IFERROR('Rates Table'!$E$56*PODs*(TOU_High_Days + TOU_Low_Days)/12,0)</f>
        <v>377.16666666666669</v>
      </c>
      <c r="K85" s="138">
        <f ca="1">IFERROR('Rates Table'!$E$56*PODs*(TOU_High_Days + TOU_Low_Days)/12,0)</f>
        <v>377.16666666666669</v>
      </c>
      <c r="L85" s="138">
        <f ca="1">IFERROR('Rates Table'!$E$56*PODs*(TOU_High_Days + TOU_Low_Days)/12,0)</f>
        <v>377.16666666666669</v>
      </c>
      <c r="M85" s="138"/>
      <c r="N85" s="138">
        <f ca="1">IFERROR('Rates Table'!$E$56*PODs*(TOU_High_Days + TOU_Low_Days)/12,0)</f>
        <v>377.16666666666669</v>
      </c>
      <c r="O85" s="138">
        <f ca="1">IFERROR('Rates Table'!$E$56*PODs*(TOU_High_Days + TOU_Low_Days)/12,0)</f>
        <v>377.16666666666669</v>
      </c>
      <c r="P85" s="138">
        <f ca="1">IFERROR('Rates Table'!$E$56*PODs*(TOU_High_Days + TOU_Low_Days)/12,0)</f>
        <v>377.16666666666669</v>
      </c>
      <c r="Q85" s="138">
        <f ca="1">IFERROR('Rates Table'!$E$56*PODs*(TOU_High_Days + TOU_Low_Days)/12,0)</f>
        <v>377.16666666666669</v>
      </c>
      <c r="R85" s="138">
        <f ca="1">SUM(E85:Q85)</f>
        <v>4526</v>
      </c>
      <c r="S85" s="138"/>
      <c r="T85" s="138"/>
      <c r="U85" s="138"/>
      <c r="AE85" s="231">
        <f ca="1">'Bill Comparison'!G102</f>
        <v>4526</v>
      </c>
      <c r="AF85" s="230">
        <f ca="1">IFERROR(R85 - AE85, "")</f>
        <v>0</v>
      </c>
    </row>
    <row r="86" spans="2:32">
      <c r="B86"/>
      <c r="C86" s="152"/>
      <c r="D86" s="178" t="s">
        <v>370</v>
      </c>
      <c r="E86" s="179">
        <f t="shared" ref="E86:R86" ca="1" si="28">IFERROR((E84 - E85) / E85, "")</f>
        <v>8.7903225806451685E-2</v>
      </c>
      <c r="F86" s="179">
        <f t="shared" ca="1" si="28"/>
        <v>8.7903225806451685E-2</v>
      </c>
      <c r="G86" s="179">
        <f t="shared" ca="1" si="28"/>
        <v>8.7903225806451685E-2</v>
      </c>
      <c r="H86" s="179">
        <f t="shared" ca="1" si="28"/>
        <v>8.7903225806451685E-2</v>
      </c>
      <c r="I86" s="179">
        <f t="shared" ca="1" si="28"/>
        <v>8.7903225806451685E-2</v>
      </c>
      <c r="J86" s="179">
        <f t="shared" ca="1" si="28"/>
        <v>8.7903225806451685E-2</v>
      </c>
      <c r="K86" s="179">
        <f t="shared" ca="1" si="28"/>
        <v>8.7903225806451685E-2</v>
      </c>
      <c r="L86" s="179">
        <f t="shared" ca="1" si="28"/>
        <v>8.7903225806451685E-2</v>
      </c>
      <c r="M86" s="179"/>
      <c r="N86" s="179">
        <f t="shared" ca="1" si="28"/>
        <v>8.7903225806451685E-2</v>
      </c>
      <c r="O86" s="179">
        <f t="shared" ca="1" si="28"/>
        <v>8.7903225806451685E-2</v>
      </c>
      <c r="P86" s="179">
        <f t="shared" ca="1" si="28"/>
        <v>8.7903225806451685E-2</v>
      </c>
      <c r="Q86" s="179">
        <f t="shared" ca="1" si="28"/>
        <v>8.7903225806451685E-2</v>
      </c>
      <c r="R86" s="179">
        <f t="shared" ca="1" si="28"/>
        <v>8.790322580645149E-2</v>
      </c>
      <c r="S86" s="361"/>
      <c r="T86" s="361"/>
      <c r="U86" s="361"/>
    </row>
    <row r="87" spans="2:32">
      <c r="B87"/>
      <c r="C87" s="442" t="s">
        <v>127</v>
      </c>
      <c r="D87" t="str">
        <f>New_Period</f>
        <v>2026/27</v>
      </c>
      <c r="E87" s="138">
        <f ca="1">IFERROR(IF(Table_1=1, 'Rates Table'!$AT$57 * PODs * (TOU_High_Days + TOU_Low_Days)/12, 'Rates Table'!$AT$57 * PODs * (TOU_High_Days + TOU_Low_Days)/12),0)</f>
        <v>2126.4291666666663</v>
      </c>
      <c r="F87" s="138">
        <f ca="1">IFERROR(IF(Table_1=1, 'Rates Table'!$AT$57 * PODs * (TOU_High_Days + TOU_Low_Days)/12, 'Rates Table'!$AT$57 * PODs * (TOU_High_Days + TOU_Low_Days)/12),0)</f>
        <v>2126.4291666666663</v>
      </c>
      <c r="G87" s="138">
        <f ca="1">IFERROR(IF(Table_1=1, 'Rates Table'!$AT$57 * PODs * (TOU_High_Days + TOU_Low_Days)/12, 'Rates Table'!$AT$57 * PODs * (TOU_High_Days + TOU_Low_Days)/12),0)</f>
        <v>2126.4291666666663</v>
      </c>
      <c r="H87" s="138">
        <f ca="1">IFERROR(IF(Table_1=1, 'Rates Table'!$AT$57 * PODs * (TOU_High_Days + TOU_Low_Days)/12, 'Rates Table'!$AT$57 * PODs * (TOU_High_Days + TOU_Low_Days)/12),0)</f>
        <v>2126.4291666666663</v>
      </c>
      <c r="I87" s="138">
        <f ca="1">IFERROR(IF(Table_1=1, 'Rates Table'!$AT$57 * PODs * (TOU_High_Days + TOU_Low_Days)/12, 'Rates Table'!$AT$57 * PODs * (TOU_High_Days + TOU_Low_Days)/12),0)</f>
        <v>2126.4291666666663</v>
      </c>
      <c r="J87" s="138">
        <f ca="1">IFERROR(IF(Table_1=1, 'Rates Table'!$AT$57 * PODs * (TOU_High_Days + TOU_Low_Days)/12, 'Rates Table'!$AT$57 * PODs * (TOU_High_Days + TOU_Low_Days)/12),0)</f>
        <v>2126.4291666666663</v>
      </c>
      <c r="K87" s="138">
        <f ca="1">IFERROR(IF(Table_1=1, 'Rates Table'!$AT$57 * PODs * (TOU_High_Days + TOU_Low_Days)/12, 'Rates Table'!$AT$57 * PODs * (TOU_High_Days + TOU_Low_Days)/12),0)</f>
        <v>2126.4291666666663</v>
      </c>
      <c r="L87" s="138">
        <f ca="1">IFERROR(IF(Table_1=1, 'Rates Table'!$AT$57 * PODs * (TOU_High_Days + TOU_Low_Days)/12, 'Rates Table'!$AT$57 * PODs * (TOU_High_Days + TOU_Low_Days)/12),0)</f>
        <v>2126.4291666666663</v>
      </c>
      <c r="M87" s="138"/>
      <c r="N87" s="138">
        <f ca="1">IFERROR(IF(Table_1=1, 'Rates Table'!$AT$57 * PODs * (TOU_High_Days + TOU_Low_Days)/12, 'Rates Table'!$AT$57 * PODs * (TOU_High_Days + TOU_Low_Days)/12),0)</f>
        <v>2126.4291666666663</v>
      </c>
      <c r="O87" s="138">
        <f ca="1">IFERROR(IF(Table_1=1, 'Rates Table'!$AT$57 * PODs * (TOU_High_Days + TOU_Low_Days)/12, 'Rates Table'!$AT$57 * PODs * (TOU_High_Days + TOU_Low_Days)/12),0)</f>
        <v>2126.4291666666663</v>
      </c>
      <c r="P87" s="138">
        <f ca="1">IFERROR(IF(Table_1=1, 'Rates Table'!$AT$57 * PODs * (TOU_High_Days + TOU_Low_Days)/12, 'Rates Table'!$AT$57 * PODs * (TOU_High_Days + TOU_Low_Days)/12),0)</f>
        <v>2126.4291666666663</v>
      </c>
      <c r="Q87" s="138">
        <f ca="1">IFERROR(IF(Table_1=1, 'Rates Table'!$AT$57 * PODs * (TOU_High_Days + TOU_Low_Days)/12, 'Rates Table'!$AT$57 * PODs * (TOU_High_Days + TOU_Low_Days)/12),0)</f>
        <v>2126.4291666666663</v>
      </c>
      <c r="R87" s="138">
        <f ca="1">SUM(E87:Q87)</f>
        <v>25517.149999999991</v>
      </c>
      <c r="S87" s="138"/>
      <c r="T87" s="138"/>
      <c r="U87" s="138"/>
      <c r="AE87" s="231">
        <f ca="1">'Bill Comparison'!H103</f>
        <v>25517.15</v>
      </c>
      <c r="AF87" s="230">
        <f ca="1">IFERROR(R87 - AE87, "")</f>
        <v>-1.0913936421275139E-11</v>
      </c>
    </row>
    <row r="88" spans="2:32">
      <c r="B88"/>
      <c r="C88" s="443"/>
      <c r="D88" t="str">
        <f>Current_Period</f>
        <v>2025/26</v>
      </c>
      <c r="E88" s="138">
        <f ca="1">IFERROR(IF(Table_1=1, 'Rates Table'!$E$57 * 1 * (TOU_High_Days + TOU_Low_Days)/12, 'Rates Table'!$E$57 * PODs * (TOU_High_Days + TOU_Low_Days)/12),0)</f>
        <v>1955.1833333333334</v>
      </c>
      <c r="F88" s="138">
        <f ca="1">IFERROR(IF(Table_1=1, 'Rates Table'!$E$57 * 1 * (TOU_High_Days + TOU_Low_Days)/12, 'Rates Table'!$E$57 * PODs * (TOU_High_Days + TOU_Low_Days)/12),0)</f>
        <v>1955.1833333333334</v>
      </c>
      <c r="G88" s="138">
        <f ca="1">IFERROR(IF(Table_1=1, 'Rates Table'!$E$57 * 1 * (TOU_High_Days + TOU_Low_Days)/12, 'Rates Table'!$E$57 * PODs * (TOU_High_Days + TOU_Low_Days)/12),0)</f>
        <v>1955.1833333333334</v>
      </c>
      <c r="H88" s="138">
        <f ca="1">IFERROR(IF(Table_1=1, 'Rates Table'!$E$57 * 1 * (TOU_High_Days + TOU_Low_Days)/12, 'Rates Table'!$E$57 * PODs * (TOU_High_Days + TOU_Low_Days)/12),0)</f>
        <v>1955.1833333333334</v>
      </c>
      <c r="I88" s="138">
        <f ca="1">IFERROR(IF(Table_1=1, 'Rates Table'!$E$57 * 1 * (TOU_High_Days + TOU_Low_Days)/12, 'Rates Table'!$E$57 * PODs * (TOU_High_Days + TOU_Low_Days)/12),0)</f>
        <v>1955.1833333333334</v>
      </c>
      <c r="J88" s="138">
        <f ca="1">IFERROR(IF(Table_1=1, 'Rates Table'!$E$57 * 1 * (TOU_High_Days + TOU_Low_Days)/12, 'Rates Table'!$E$57 * PODs * (TOU_High_Days + TOU_Low_Days)/12),0)</f>
        <v>1955.1833333333334</v>
      </c>
      <c r="K88" s="138">
        <f ca="1">IFERROR(IF(Table_1=1, 'Rates Table'!$E$57 * 1 * (TOU_High_Days + TOU_Low_Days)/12, 'Rates Table'!$E$57 * PODs * (TOU_High_Days + TOU_Low_Days)/12),0)</f>
        <v>1955.1833333333334</v>
      </c>
      <c r="L88" s="138">
        <f ca="1">IFERROR(IF(Table_1=1, 'Rates Table'!$E$57 * 1 * (TOU_High_Days + TOU_Low_Days)/12, 'Rates Table'!$E$57 * PODs * (TOU_High_Days + TOU_Low_Days)/12),0)</f>
        <v>1955.1833333333334</v>
      </c>
      <c r="M88" s="138"/>
      <c r="N88" s="138">
        <f ca="1">IFERROR(IF(Table_1=1, 'Rates Table'!$E$57 * 1 * (TOU_High_Days + TOU_Low_Days)/12, 'Rates Table'!$E$57 * PODs * (TOU_High_Days + TOU_Low_Days)/12),0)</f>
        <v>1955.1833333333334</v>
      </c>
      <c r="O88" s="138">
        <f ca="1">IFERROR(IF(Table_1=1, 'Rates Table'!$E$57 * 1 * (TOU_High_Days + TOU_Low_Days)/12, 'Rates Table'!$E$57 * PODs * (TOU_High_Days + TOU_Low_Days)/12),0)</f>
        <v>1955.1833333333334</v>
      </c>
      <c r="P88" s="138">
        <f ca="1">IFERROR(IF(Table_1=1, 'Rates Table'!$E$57 * 1 * (TOU_High_Days + TOU_Low_Days)/12, 'Rates Table'!$E$57 * PODs * (TOU_High_Days + TOU_Low_Days)/12),0)</f>
        <v>1955.1833333333334</v>
      </c>
      <c r="Q88" s="138">
        <f ca="1">IFERROR(IF(Table_1=1, 'Rates Table'!$E$57 * 1 * (TOU_High_Days + TOU_Low_Days)/12, 'Rates Table'!$E$57 * PODs * (TOU_High_Days + TOU_Low_Days)/12),0)</f>
        <v>1955.1833333333334</v>
      </c>
      <c r="R88" s="138">
        <f ca="1">SUM(E88:Q88)</f>
        <v>23462.200000000008</v>
      </c>
      <c r="S88" s="138"/>
      <c r="T88" s="138"/>
      <c r="U88" s="138"/>
      <c r="AE88" s="231">
        <f ca="1">'Bill Comparison'!G103</f>
        <v>23462.199999999997</v>
      </c>
      <c r="AF88" s="230">
        <f ca="1">IFERROR(R88 - AE88, "")</f>
        <v>1.0913936421275139E-11</v>
      </c>
    </row>
    <row r="89" spans="2:32" ht="12" customHeight="1">
      <c r="B89"/>
      <c r="C89" s="152"/>
      <c r="D89" s="178" t="s">
        <v>370</v>
      </c>
      <c r="E89" s="179">
        <f t="shared" ref="E89:R89" ca="1" si="29">IFERROR((E87 - E88) / E88, "")</f>
        <v>8.758556316116968E-2</v>
      </c>
      <c r="F89" s="179">
        <f t="shared" ca="1" si="29"/>
        <v>8.758556316116968E-2</v>
      </c>
      <c r="G89" s="179">
        <f t="shared" ca="1" si="29"/>
        <v>8.758556316116968E-2</v>
      </c>
      <c r="H89" s="179">
        <f t="shared" ca="1" si="29"/>
        <v>8.758556316116968E-2</v>
      </c>
      <c r="I89" s="179">
        <f t="shared" ca="1" si="29"/>
        <v>8.758556316116968E-2</v>
      </c>
      <c r="J89" s="179">
        <f t="shared" ca="1" si="29"/>
        <v>8.758556316116968E-2</v>
      </c>
      <c r="K89" s="179">
        <f t="shared" ca="1" si="29"/>
        <v>8.758556316116968E-2</v>
      </c>
      <c r="L89" s="179">
        <f t="shared" ca="1" si="29"/>
        <v>8.758556316116968E-2</v>
      </c>
      <c r="M89" s="179"/>
      <c r="N89" s="179">
        <f t="shared" ca="1" si="29"/>
        <v>8.758556316116968E-2</v>
      </c>
      <c r="O89" s="179">
        <f t="shared" ca="1" si="29"/>
        <v>8.758556316116968E-2</v>
      </c>
      <c r="P89" s="179">
        <f t="shared" ca="1" si="29"/>
        <v>8.758556316116968E-2</v>
      </c>
      <c r="Q89" s="179">
        <f t="shared" ca="1" si="29"/>
        <v>8.758556316116968E-2</v>
      </c>
      <c r="R89" s="179">
        <f t="shared" ca="1" si="29"/>
        <v>8.7585563161169111E-2</v>
      </c>
      <c r="S89" s="361"/>
      <c r="T89" s="361"/>
      <c r="U89" s="361"/>
    </row>
    <row r="90" spans="2:32">
      <c r="B90"/>
      <c r="C90" s="448" t="s">
        <v>143</v>
      </c>
      <c r="D90" s="153" t="str">
        <f>New_Period</f>
        <v>2026/27</v>
      </c>
      <c r="E90" s="167">
        <f ca="1">SUM(E75,E78,E81,E84,E87,E72)</f>
        <v>2536.7499999999995</v>
      </c>
      <c r="F90" s="167">
        <f t="shared" ref="F90:Q90" ca="1" si="30">SUM(F75,F78,F81,F84,F87,F72)</f>
        <v>2536.7499999999995</v>
      </c>
      <c r="G90" s="167">
        <f t="shared" ca="1" si="30"/>
        <v>2536.7499999999995</v>
      </c>
      <c r="H90" s="167">
        <f t="shared" ca="1" si="30"/>
        <v>2536.7499999999995</v>
      </c>
      <c r="I90" s="167">
        <f t="shared" ca="1" si="30"/>
        <v>2536.7499999999995</v>
      </c>
      <c r="J90" s="167">
        <f t="shared" ca="1" si="30"/>
        <v>2536.7499999999995</v>
      </c>
      <c r="K90" s="167">
        <f t="shared" ca="1" si="30"/>
        <v>2536.7499999999995</v>
      </c>
      <c r="L90" s="167">
        <f t="shared" ca="1" si="30"/>
        <v>2536.7499999999995</v>
      </c>
      <c r="M90" s="167"/>
      <c r="N90" s="167">
        <f t="shared" ca="1" si="30"/>
        <v>2536.7499999999995</v>
      </c>
      <c r="O90" s="167">
        <f t="shared" ca="1" si="30"/>
        <v>2536.7499999999995</v>
      </c>
      <c r="P90" s="167">
        <f t="shared" ca="1" si="30"/>
        <v>2536.7499999999995</v>
      </c>
      <c r="Q90" s="167">
        <f t="shared" ca="1" si="30"/>
        <v>2536.7499999999995</v>
      </c>
      <c r="R90" s="167">
        <f ca="1">SUM(R75,R78,R81,R84,R87,R72)</f>
        <v>30440.999999999989</v>
      </c>
      <c r="S90" s="168"/>
      <c r="T90" s="168"/>
      <c r="U90" s="168"/>
    </row>
    <row r="91" spans="2:32">
      <c r="B91"/>
      <c r="C91" s="443"/>
      <c r="D91" s="3" t="str">
        <f>Current_Period</f>
        <v>2025/26</v>
      </c>
      <c r="E91" s="168">
        <f t="shared" ref="E91:R91" ca="1" si="31">SUM(E76,E79,E82,E85,E88,E73)</f>
        <v>2332.35</v>
      </c>
      <c r="F91" s="168">
        <f t="shared" ca="1" si="31"/>
        <v>2332.35</v>
      </c>
      <c r="G91" s="168">
        <f t="shared" ca="1" si="31"/>
        <v>2332.35</v>
      </c>
      <c r="H91" s="168">
        <f t="shared" ca="1" si="31"/>
        <v>2332.35</v>
      </c>
      <c r="I91" s="168">
        <f t="shared" ca="1" si="31"/>
        <v>2332.35</v>
      </c>
      <c r="J91" s="168">
        <f t="shared" ca="1" si="31"/>
        <v>2332.35</v>
      </c>
      <c r="K91" s="168">
        <f t="shared" ca="1" si="31"/>
        <v>2332.35</v>
      </c>
      <c r="L91" s="168">
        <f t="shared" ca="1" si="31"/>
        <v>2332.35</v>
      </c>
      <c r="M91" s="168"/>
      <c r="N91" s="168">
        <f t="shared" ca="1" si="31"/>
        <v>2332.35</v>
      </c>
      <c r="O91" s="168">
        <f t="shared" ca="1" si="31"/>
        <v>2332.35</v>
      </c>
      <c r="P91" s="168">
        <f t="shared" ca="1" si="31"/>
        <v>2332.35</v>
      </c>
      <c r="Q91" s="168">
        <f t="shared" ca="1" si="31"/>
        <v>2332.35</v>
      </c>
      <c r="R91" s="168">
        <f t="shared" ca="1" si="31"/>
        <v>27988.200000000008</v>
      </c>
      <c r="S91" s="168"/>
      <c r="T91" s="168"/>
      <c r="U91" s="168"/>
    </row>
    <row r="92" spans="2:32">
      <c r="B92"/>
      <c r="C92" s="154"/>
      <c r="D92" s="180" t="s">
        <v>370</v>
      </c>
      <c r="E92" s="181">
        <f t="shared" ref="E92:R92" ca="1" si="32">IFERROR((E90 - E91) / E91, "")</f>
        <v>8.7636932707355092E-2</v>
      </c>
      <c r="F92" s="181">
        <f t="shared" ca="1" si="32"/>
        <v>8.7636932707355092E-2</v>
      </c>
      <c r="G92" s="181">
        <f t="shared" ca="1" si="32"/>
        <v>8.7636932707355092E-2</v>
      </c>
      <c r="H92" s="181">
        <f t="shared" ca="1" si="32"/>
        <v>8.7636932707355092E-2</v>
      </c>
      <c r="I92" s="181">
        <f t="shared" ca="1" si="32"/>
        <v>8.7636932707355092E-2</v>
      </c>
      <c r="J92" s="181">
        <f t="shared" ca="1" si="32"/>
        <v>8.7636932707355092E-2</v>
      </c>
      <c r="K92" s="181">
        <f t="shared" ca="1" si="32"/>
        <v>8.7636932707355092E-2</v>
      </c>
      <c r="L92" s="181">
        <f t="shared" ca="1" si="32"/>
        <v>8.7636932707355092E-2</v>
      </c>
      <c r="M92" s="181"/>
      <c r="N92" s="181">
        <f t="shared" ca="1" si="32"/>
        <v>8.7636932707355092E-2</v>
      </c>
      <c r="O92" s="181">
        <f t="shared" ca="1" si="32"/>
        <v>8.7636932707355092E-2</v>
      </c>
      <c r="P92" s="181">
        <f t="shared" ca="1" si="32"/>
        <v>8.7636932707355092E-2</v>
      </c>
      <c r="Q92" s="181">
        <f t="shared" ca="1" si="32"/>
        <v>8.7636932707355092E-2</v>
      </c>
      <c r="R92" s="181">
        <f t="shared" ca="1" si="32"/>
        <v>8.7636932707354537E-2</v>
      </c>
      <c r="S92" s="362"/>
      <c r="T92" s="362"/>
      <c r="U92" s="362"/>
    </row>
    <row r="94" spans="2:32">
      <c r="B94" s="24" t="s">
        <v>382</v>
      </c>
      <c r="C94" s="24"/>
      <c r="D94" s="24"/>
      <c r="E94" s="165">
        <f>E$13</f>
        <v>46142</v>
      </c>
      <c r="F94" s="165">
        <f t="shared" ref="F94:Q94" si="33">F$13</f>
        <v>46173</v>
      </c>
      <c r="G94" s="165">
        <f t="shared" si="33"/>
        <v>46203</v>
      </c>
      <c r="H94" s="165">
        <f t="shared" si="33"/>
        <v>46234</v>
      </c>
      <c r="I94" s="165">
        <f t="shared" si="33"/>
        <v>46265</v>
      </c>
      <c r="J94" s="165">
        <f t="shared" si="33"/>
        <v>46295</v>
      </c>
      <c r="K94" s="165">
        <f t="shared" si="33"/>
        <v>46326</v>
      </c>
      <c r="L94" s="165">
        <f t="shared" si="33"/>
        <v>46356</v>
      </c>
      <c r="M94" s="165"/>
      <c r="N94" s="165">
        <f t="shared" si="33"/>
        <v>46387</v>
      </c>
      <c r="O94" s="165">
        <f t="shared" si="33"/>
        <v>46418</v>
      </c>
      <c r="P94" s="165">
        <f t="shared" si="33"/>
        <v>46446</v>
      </c>
      <c r="Q94" s="165">
        <f t="shared" si="33"/>
        <v>46477</v>
      </c>
      <c r="R94" s="150" t="s">
        <v>24</v>
      </c>
      <c r="S94" s="150"/>
      <c r="T94" s="150"/>
      <c r="U94" s="150"/>
    </row>
    <row r="95" spans="2:32">
      <c r="B95" s="444"/>
      <c r="C95" s="444" t="s">
        <v>380</v>
      </c>
      <c r="D95" s="160" t="str">
        <f>New_Period</f>
        <v>2026/27</v>
      </c>
      <c r="E95" s="169">
        <f t="shared" ref="E95:R95" ca="1" si="34">SUM(E35, E67, E90)</f>
        <v>2536.7499999999995</v>
      </c>
      <c r="F95" s="169">
        <f t="shared" ca="1" si="34"/>
        <v>2536.7499999999995</v>
      </c>
      <c r="G95" s="169">
        <f t="shared" ca="1" si="34"/>
        <v>2536.7499999999995</v>
      </c>
      <c r="H95" s="169">
        <f t="shared" ca="1" si="34"/>
        <v>2536.7499999999995</v>
      </c>
      <c r="I95" s="169">
        <f t="shared" ca="1" si="34"/>
        <v>2536.7499999999995</v>
      </c>
      <c r="J95" s="169">
        <f t="shared" ca="1" si="34"/>
        <v>2536.7499999999995</v>
      </c>
      <c r="K95" s="169">
        <f t="shared" ca="1" si="34"/>
        <v>2536.7499999999995</v>
      </c>
      <c r="L95" s="169">
        <f t="shared" ca="1" si="34"/>
        <v>2536.7499999999995</v>
      </c>
      <c r="M95" s="169"/>
      <c r="N95" s="169">
        <f t="shared" ca="1" si="34"/>
        <v>2536.7499999999995</v>
      </c>
      <c r="O95" s="169">
        <f t="shared" ca="1" si="34"/>
        <v>2536.7499999999995</v>
      </c>
      <c r="P95" s="169">
        <f t="shared" ca="1" si="34"/>
        <v>2536.7499999999995</v>
      </c>
      <c r="Q95" s="169">
        <f t="shared" ca="1" si="34"/>
        <v>2536.7499999999995</v>
      </c>
      <c r="R95" s="169">
        <f t="shared" ca="1" si="34"/>
        <v>30440.999999999989</v>
      </c>
      <c r="S95" s="170"/>
      <c r="T95" s="170"/>
      <c r="U95" s="170"/>
      <c r="AE95" s="231">
        <f ca="1">'Bill Comparison'!H107</f>
        <v>30441</v>
      </c>
      <c r="AF95" s="230">
        <f ca="1">IFERROR(R95 - AE95, "")</f>
        <v>-1.0913936421275139E-11</v>
      </c>
    </row>
    <row r="96" spans="2:32">
      <c r="B96" s="445"/>
      <c r="C96" s="445"/>
      <c r="D96" s="161" t="str">
        <f>Current_Period</f>
        <v>2025/26</v>
      </c>
      <c r="E96" s="170">
        <f t="shared" ref="E96:R96" ca="1" si="35">SUM(E36, E68, E91)</f>
        <v>2332.35</v>
      </c>
      <c r="F96" s="170">
        <f t="shared" ca="1" si="35"/>
        <v>2332.35</v>
      </c>
      <c r="G96" s="170">
        <f t="shared" ca="1" si="35"/>
        <v>2332.35</v>
      </c>
      <c r="H96" s="170">
        <f t="shared" ca="1" si="35"/>
        <v>2332.35</v>
      </c>
      <c r="I96" s="170">
        <f t="shared" ca="1" si="35"/>
        <v>2332.35</v>
      </c>
      <c r="J96" s="170">
        <f t="shared" ca="1" si="35"/>
        <v>2332.35</v>
      </c>
      <c r="K96" s="170">
        <f t="shared" ca="1" si="35"/>
        <v>2332.35</v>
      </c>
      <c r="L96" s="170">
        <f t="shared" ca="1" si="35"/>
        <v>2332.35</v>
      </c>
      <c r="M96" s="170"/>
      <c r="N96" s="170">
        <f t="shared" ca="1" si="35"/>
        <v>2332.35</v>
      </c>
      <c r="O96" s="170">
        <f t="shared" ca="1" si="35"/>
        <v>2332.35</v>
      </c>
      <c r="P96" s="170">
        <f t="shared" ca="1" si="35"/>
        <v>2332.35</v>
      </c>
      <c r="Q96" s="170">
        <f t="shared" ca="1" si="35"/>
        <v>2332.35</v>
      </c>
      <c r="R96" s="170">
        <f t="shared" ca="1" si="35"/>
        <v>27988.200000000008</v>
      </c>
      <c r="S96" s="170"/>
      <c r="T96" s="170"/>
      <c r="U96" s="170"/>
      <c r="AE96" s="231">
        <f ca="1">'Bill Comparison'!G107</f>
        <v>27988.199999999997</v>
      </c>
      <c r="AF96" s="230">
        <f ca="1">IFERROR(R96 - AE96, "")</f>
        <v>1.0913936421275139E-11</v>
      </c>
    </row>
    <row r="97" spans="2:21">
      <c r="B97" s="162"/>
      <c r="C97" s="162"/>
      <c r="D97" s="182" t="s">
        <v>370</v>
      </c>
      <c r="E97" s="183">
        <f t="shared" ref="E97:R97" ca="1" si="36">IFERROR((E95 - E96) / E96, "")</f>
        <v>8.7636932707355092E-2</v>
      </c>
      <c r="F97" s="183">
        <f t="shared" ca="1" si="36"/>
        <v>8.7636932707355092E-2</v>
      </c>
      <c r="G97" s="183">
        <f t="shared" ca="1" si="36"/>
        <v>8.7636932707355092E-2</v>
      </c>
      <c r="H97" s="183">
        <f t="shared" ca="1" si="36"/>
        <v>8.7636932707355092E-2</v>
      </c>
      <c r="I97" s="183">
        <f t="shared" ca="1" si="36"/>
        <v>8.7636932707355092E-2</v>
      </c>
      <c r="J97" s="183">
        <f t="shared" ca="1" si="36"/>
        <v>8.7636932707355092E-2</v>
      </c>
      <c r="K97" s="183">
        <f t="shared" ca="1" si="36"/>
        <v>8.7636932707355092E-2</v>
      </c>
      <c r="L97" s="183">
        <f t="shared" ca="1" si="36"/>
        <v>8.7636932707355092E-2</v>
      </c>
      <c r="M97" s="183"/>
      <c r="N97" s="183">
        <f t="shared" ca="1" si="36"/>
        <v>8.7636932707355092E-2</v>
      </c>
      <c r="O97" s="183">
        <f t="shared" ca="1" si="36"/>
        <v>8.7636932707355092E-2</v>
      </c>
      <c r="P97" s="183">
        <f t="shared" ca="1" si="36"/>
        <v>8.7636932707355092E-2</v>
      </c>
      <c r="Q97" s="183">
        <f t="shared" ca="1" si="36"/>
        <v>8.7636932707355092E-2</v>
      </c>
      <c r="R97" s="183">
        <f t="shared" ca="1" si="36"/>
        <v>8.7636932707354537E-2</v>
      </c>
      <c r="S97" s="364"/>
      <c r="T97" s="364"/>
      <c r="U97" s="364"/>
    </row>
    <row r="99" spans="2:21">
      <c r="B99" s="446"/>
      <c r="C99" s="446" t="s">
        <v>381</v>
      </c>
      <c r="D99" s="157" t="str">
        <f>New_Period</f>
        <v>2026/27</v>
      </c>
      <c r="E99" s="171">
        <f t="shared" ref="E99:R99" ca="1" si="37">E95 * (1 + VAT)</f>
        <v>2917.2624999999994</v>
      </c>
      <c r="F99" s="171">
        <f t="shared" ca="1" si="37"/>
        <v>2917.2624999999994</v>
      </c>
      <c r="G99" s="171">
        <f t="shared" ca="1" si="37"/>
        <v>2917.2624999999994</v>
      </c>
      <c r="H99" s="171">
        <f t="shared" ca="1" si="37"/>
        <v>2917.2624999999994</v>
      </c>
      <c r="I99" s="171">
        <f t="shared" ca="1" si="37"/>
        <v>2917.2624999999994</v>
      </c>
      <c r="J99" s="171">
        <f t="shared" ca="1" si="37"/>
        <v>2917.2624999999994</v>
      </c>
      <c r="K99" s="171">
        <f t="shared" ca="1" si="37"/>
        <v>2917.2624999999994</v>
      </c>
      <c r="L99" s="171">
        <f t="shared" ca="1" si="37"/>
        <v>2917.2624999999994</v>
      </c>
      <c r="M99" s="171"/>
      <c r="N99" s="171">
        <f t="shared" ca="1" si="37"/>
        <v>2917.2624999999994</v>
      </c>
      <c r="O99" s="171">
        <f t="shared" ca="1" si="37"/>
        <v>2917.2624999999994</v>
      </c>
      <c r="P99" s="171">
        <f t="shared" ca="1" si="37"/>
        <v>2917.2624999999994</v>
      </c>
      <c r="Q99" s="171">
        <f t="shared" ca="1" si="37"/>
        <v>2917.2624999999994</v>
      </c>
      <c r="R99" s="171">
        <f t="shared" ca="1" si="37"/>
        <v>35007.149999999987</v>
      </c>
      <c r="S99" s="172"/>
      <c r="T99" s="172"/>
      <c r="U99" s="172"/>
    </row>
    <row r="100" spans="2:21">
      <c r="B100" s="447"/>
      <c r="C100" s="447"/>
      <c r="D100" s="158" t="str">
        <f>Current_Period</f>
        <v>2025/26</v>
      </c>
      <c r="E100" s="172">
        <f t="shared" ref="E100:R100" ca="1" si="38">E96 * (1 + VAT)</f>
        <v>2682.2024999999999</v>
      </c>
      <c r="F100" s="172">
        <f t="shared" ca="1" si="38"/>
        <v>2682.2024999999999</v>
      </c>
      <c r="G100" s="172">
        <f t="shared" ca="1" si="38"/>
        <v>2682.2024999999999</v>
      </c>
      <c r="H100" s="172">
        <f t="shared" ca="1" si="38"/>
        <v>2682.2024999999999</v>
      </c>
      <c r="I100" s="172">
        <f t="shared" ca="1" si="38"/>
        <v>2682.2024999999999</v>
      </c>
      <c r="J100" s="172">
        <f t="shared" ca="1" si="38"/>
        <v>2682.2024999999999</v>
      </c>
      <c r="K100" s="172">
        <f t="shared" ca="1" si="38"/>
        <v>2682.2024999999999</v>
      </c>
      <c r="L100" s="172">
        <f t="shared" ca="1" si="38"/>
        <v>2682.2024999999999</v>
      </c>
      <c r="M100" s="172"/>
      <c r="N100" s="172">
        <f t="shared" ca="1" si="38"/>
        <v>2682.2024999999999</v>
      </c>
      <c r="O100" s="172">
        <f t="shared" ca="1" si="38"/>
        <v>2682.2024999999999</v>
      </c>
      <c r="P100" s="172">
        <f t="shared" ca="1" si="38"/>
        <v>2682.2024999999999</v>
      </c>
      <c r="Q100" s="172">
        <f t="shared" ca="1" si="38"/>
        <v>2682.2024999999999</v>
      </c>
      <c r="R100" s="172">
        <f t="shared" ca="1" si="38"/>
        <v>32186.430000000008</v>
      </c>
      <c r="S100" s="172"/>
      <c r="T100" s="172"/>
      <c r="U100" s="172"/>
    </row>
    <row r="101" spans="2:21">
      <c r="B101" s="159"/>
      <c r="C101" s="159"/>
      <c r="D101" s="184" t="s">
        <v>370</v>
      </c>
      <c r="E101" s="185">
        <f t="shared" ref="E101:R101" ca="1" si="39">IFERROR((E99 - E100) / E100, "")</f>
        <v>8.763693270735505E-2</v>
      </c>
      <c r="F101" s="185">
        <f t="shared" ca="1" si="39"/>
        <v>8.763693270735505E-2</v>
      </c>
      <c r="G101" s="185">
        <f t="shared" ca="1" si="39"/>
        <v>8.763693270735505E-2</v>
      </c>
      <c r="H101" s="185">
        <f t="shared" ca="1" si="39"/>
        <v>8.763693270735505E-2</v>
      </c>
      <c r="I101" s="185">
        <f t="shared" ca="1" si="39"/>
        <v>8.763693270735505E-2</v>
      </c>
      <c r="J101" s="185">
        <f t="shared" ca="1" si="39"/>
        <v>8.763693270735505E-2</v>
      </c>
      <c r="K101" s="185">
        <f t="shared" ca="1" si="39"/>
        <v>8.763693270735505E-2</v>
      </c>
      <c r="L101" s="185">
        <f t="shared" ca="1" si="39"/>
        <v>8.763693270735505E-2</v>
      </c>
      <c r="M101" s="185"/>
      <c r="N101" s="185">
        <f t="shared" ca="1" si="39"/>
        <v>8.763693270735505E-2</v>
      </c>
      <c r="O101" s="185">
        <f t="shared" ca="1" si="39"/>
        <v>8.763693270735505E-2</v>
      </c>
      <c r="P101" s="185">
        <f t="shared" ca="1" si="39"/>
        <v>8.763693270735505E-2</v>
      </c>
      <c r="Q101" s="185">
        <f t="shared" ca="1" si="39"/>
        <v>8.763693270735505E-2</v>
      </c>
      <c r="R101" s="185">
        <f t="shared" ca="1" si="39"/>
        <v>8.7636932707354578E-2</v>
      </c>
      <c r="S101" s="365"/>
      <c r="T101" s="365"/>
      <c r="U101" s="365"/>
    </row>
    <row r="123" spans="3:5">
      <c r="C123" s="3"/>
      <c r="D123"/>
      <c r="E123" s="5"/>
    </row>
    <row r="124" spans="3:5">
      <c r="C124"/>
      <c r="D124" s="5"/>
      <c r="E124" s="5"/>
    </row>
    <row r="125" spans="3:5">
      <c r="C125"/>
      <c r="D125" s="5"/>
      <c r="E125"/>
    </row>
  </sheetData>
  <sheetProtection algorithmName="SHA-512" hashValue="uQwG1Z0lWHt5FU/pNoiD0laISK9nLYyGJYz5H1ufYUSdUhHNpc35rfdC76H+od4SuBWlEMwECQ5zlubraz9SEw==" saltValue="qhYHKX/w3b/ZFcT2ZJGAgQ==" spinCount="100000" sheet="1" objects="1" scenarios="1"/>
  <mergeCells count="29">
    <mergeCell ref="C14:C15"/>
    <mergeCell ref="C32:C33"/>
    <mergeCell ref="C55:C56"/>
    <mergeCell ref="C61:C62"/>
    <mergeCell ref="C72:C73"/>
    <mergeCell ref="C17:C18"/>
    <mergeCell ref="C20:C21"/>
    <mergeCell ref="C23:C24"/>
    <mergeCell ref="C29:C30"/>
    <mergeCell ref="C40:C41"/>
    <mergeCell ref="C43:C44"/>
    <mergeCell ref="C46:C47"/>
    <mergeCell ref="C49:C50"/>
    <mergeCell ref="C52:C53"/>
    <mergeCell ref="C35:C36"/>
    <mergeCell ref="C67:C68"/>
    <mergeCell ref="C26:C27"/>
    <mergeCell ref="C58:C59"/>
    <mergeCell ref="C95:C96"/>
    <mergeCell ref="C99:C100"/>
    <mergeCell ref="B95:B96"/>
    <mergeCell ref="B99:B100"/>
    <mergeCell ref="C75:C76"/>
    <mergeCell ref="C78:C79"/>
    <mergeCell ref="C81:C82"/>
    <mergeCell ref="C84:C85"/>
    <mergeCell ref="C87:C88"/>
    <mergeCell ref="C90:C91"/>
    <mergeCell ref="C64:C65"/>
  </mergeCells>
  <pageMargins left="0.19685039370078741" right="0.19685039370078741" top="0.39370078740157483" bottom="0.31496062992125984" header="0.31496062992125984" footer="0.31496062992125984"/>
  <pageSetup paperSize="9" scale="42" orientation="portrait" r:id="rId1"/>
  <ignoredErrors>
    <ignoredError sqref="R45:R53 R69:R70 R19 R22 R25 R74 R77 R80 R83 R86 R16 R42 R57:R63" formula="1"/>
    <ignoredError sqref="D9:D10" evalError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pageSetUpPr fitToPage="1"/>
  </sheetPr>
  <dimension ref="A1:V36"/>
  <sheetViews>
    <sheetView showGridLines="0" zoomScale="90" zoomScaleNormal="90" workbookViewId="0">
      <selection activeCell="H13" sqref="H13"/>
    </sheetView>
  </sheetViews>
  <sheetFormatPr defaultColWidth="0" defaultRowHeight="12" zeroHeight="1"/>
  <cols>
    <col min="1" max="2" width="2.7109375" customWidth="1"/>
    <col min="3" max="3" width="47.140625" customWidth="1"/>
    <col min="4" max="5" width="18.7109375" customWidth="1"/>
    <col min="6" max="6" width="15.7109375" customWidth="1"/>
    <col min="7" max="7" width="2.7109375" customWidth="1"/>
    <col min="8" max="9" width="18.7109375" customWidth="1"/>
    <col min="10" max="10" width="15.7109375" customWidth="1"/>
    <col min="11" max="11" width="2.7109375" customWidth="1"/>
    <col min="12" max="13" width="18.7109375" customWidth="1"/>
    <col min="14" max="14" width="15.7109375" customWidth="1"/>
    <col min="15" max="15" width="2.7109375" customWidth="1"/>
    <col min="16" max="17" width="18.7109375" customWidth="1"/>
    <col min="18" max="18" width="15.7109375" customWidth="1"/>
    <col min="19" max="19" width="2.7109375" customWidth="1"/>
    <col min="20" max="20" width="12.42578125" customWidth="1"/>
    <col min="21" max="21" width="12.42578125" hidden="1" customWidth="1"/>
    <col min="22" max="22" width="11" hidden="1" customWidth="1"/>
    <col min="23" max="24" width="9.28515625" hidden="1" customWidth="1"/>
    <col min="25" max="16384" width="9.28515625" hidden="1"/>
  </cols>
  <sheetData>
    <row r="1" spans="2:20" ht="4.05" customHeight="1"/>
    <row r="2" spans="2:20" ht="33" customHeight="1">
      <c r="D2" s="415" t="str">
        <f ca="1">IF(OR(Selected_Tariff_Category_ID=2,Selected_Base_Tariff="Nightsave Urban"),Inputs!G21,"")</f>
        <v/>
      </c>
      <c r="E2" s="415" t="str">
        <f ca="1">IF(OR(Selected_Tariff_Category_ID=2,Selected_Base_Tariff="Nightsave Urban"),Selected_Base_Tariff,"")</f>
        <v/>
      </c>
      <c r="H2" s="63" t="s">
        <v>321</v>
      </c>
    </row>
    <row r="3" spans="2:20" ht="4.05" customHeight="1"/>
    <row r="4" spans="2:20" ht="15">
      <c r="B4" s="2" t="s">
        <v>241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41" t="str">
        <f>Selected_Tariff_Category</f>
        <v>Non-Local Authority</v>
      </c>
    </row>
    <row r="5" spans="2:20" ht="17.25" customHeight="1"/>
    <row r="6" spans="2:20" ht="17.25" customHeight="1">
      <c r="D6" s="449"/>
      <c r="E6" s="449"/>
      <c r="F6" s="449"/>
      <c r="H6" s="57">
        <v>4</v>
      </c>
      <c r="I6">
        <f ca="1">MATCH(Selected_Base_Tariff,Compare_Tariff_List,0)</f>
        <v>2</v>
      </c>
      <c r="J6" s="186">
        <f ca="1">MATCH(H8,Full_Tariff_List,0)</f>
        <v>20</v>
      </c>
      <c r="L6" s="57">
        <v>2</v>
      </c>
      <c r="N6" s="186">
        <f ca="1">MATCH(L8,Full_Tariff_List,0)</f>
        <v>18</v>
      </c>
      <c r="P6" s="57">
        <v>2</v>
      </c>
      <c r="R6" s="186">
        <f ca="1">MATCH(P8,Full_Tariff_List,0)</f>
        <v>18</v>
      </c>
      <c r="T6" s="57"/>
    </row>
    <row r="7" spans="2:20" ht="4.05" customHeight="1">
      <c r="D7" s="50"/>
      <c r="E7" s="50"/>
      <c r="F7" s="50"/>
      <c r="T7" s="57"/>
    </row>
    <row r="8" spans="2:20" ht="9.6" customHeight="1">
      <c r="D8" s="406" t="str">
        <f ca="1">'Bill Comparison'!I4</f>
        <v>Miniflex</v>
      </c>
      <c r="E8" s="407"/>
      <c r="F8" s="407"/>
      <c r="H8" s="409" t="str">
        <f ca="1">IFERROR(INDEX(Compare_Tariff_List,Dropdown_Compare_1),$D$8)</f>
        <v>Nightsave Rural</v>
      </c>
      <c r="I8" s="409"/>
      <c r="J8" s="409"/>
      <c r="K8" s="186"/>
      <c r="L8" s="409" t="str">
        <f ca="1">IFERROR(INDEX(Compare_Tariff_List,Dropdown_Compare_2),$D$8)</f>
        <v>Miniflex</v>
      </c>
      <c r="M8" s="409"/>
      <c r="N8" s="409"/>
      <c r="O8" s="186"/>
      <c r="P8" s="409" t="str">
        <f ca="1">IFERROR(INDEX(Compare_Tariff_List,Dropdown_Compare_3),$D$8)</f>
        <v>Miniflex</v>
      </c>
      <c r="Q8" s="409"/>
      <c r="R8" s="409"/>
      <c r="T8" s="57"/>
    </row>
    <row r="9" spans="2:20" ht="11.4" customHeight="1">
      <c r="D9" s="406"/>
      <c r="E9" s="406"/>
      <c r="F9" s="67"/>
      <c r="G9" s="47"/>
      <c r="H9" s="414" t="str">
        <f ca="1">IFERROR(INDEX(Compare_Tariff_List,Dropdown_Compare_1),$D$8)</f>
        <v>Nightsave Rural</v>
      </c>
      <c r="I9" s="68"/>
      <c r="J9" s="68"/>
      <c r="K9" s="47"/>
      <c r="L9" s="414" t="str">
        <f ca="1">IFERROR(INDEX(Compare_Tariff_List,Dropdown_Compare_2),$D$8)</f>
        <v>Miniflex</v>
      </c>
      <c r="M9" s="68"/>
      <c r="N9" s="68"/>
      <c r="O9" s="47"/>
      <c r="P9" s="414" t="str">
        <f ca="1">IFERROR(INDEX(Compare_Tariff_List,Dropdown_Compare_3),$D$8)</f>
        <v>Miniflex</v>
      </c>
      <c r="Q9" s="68"/>
      <c r="R9" s="68"/>
      <c r="T9" s="57"/>
    </row>
    <row r="10" spans="2:20" ht="17.25" customHeight="1">
      <c r="D10" s="405" t="str">
        <f ca="1">'Rates Table'!E2</f>
        <v>Miniflex</v>
      </c>
      <c r="E10" s="405" t="str">
        <f ca="1">Selected_Base_Tariff</f>
        <v>Miniflex</v>
      </c>
      <c r="F10" s="67"/>
      <c r="G10" s="47"/>
      <c r="H10" s="450" t="str">
        <f ca="1">H8</f>
        <v>Nightsave Rural</v>
      </c>
      <c r="I10" s="450"/>
      <c r="J10" s="68"/>
      <c r="K10" s="47"/>
      <c r="L10" s="450" t="str">
        <f ca="1">L8</f>
        <v>Miniflex</v>
      </c>
      <c r="M10" s="450"/>
      <c r="N10" s="68"/>
      <c r="O10" s="47"/>
      <c r="P10" s="450" t="str">
        <f ca="1">P8</f>
        <v>Miniflex</v>
      </c>
      <c r="Q10" s="450"/>
      <c r="R10" s="68"/>
      <c r="T10" s="57"/>
    </row>
    <row r="11" spans="2:20">
      <c r="B11" s="22" t="s">
        <v>208</v>
      </c>
      <c r="C11" s="22"/>
      <c r="D11" s="23" t="str">
        <f>Current_Period</f>
        <v>2025/26</v>
      </c>
      <c r="E11" s="23" t="str">
        <f>New_Period</f>
        <v>2026/27</v>
      </c>
      <c r="F11" s="23" t="s">
        <v>141</v>
      </c>
      <c r="H11" s="23" t="str">
        <f>Current_Period</f>
        <v>2025/26</v>
      </c>
      <c r="I11" s="23" t="str">
        <f>New_Period</f>
        <v>2026/27</v>
      </c>
      <c r="J11" s="23" t="s">
        <v>141</v>
      </c>
      <c r="L11" s="23" t="str">
        <f>Current_Period</f>
        <v>2025/26</v>
      </c>
      <c r="M11" s="23" t="str">
        <f>New_Period</f>
        <v>2026/27</v>
      </c>
      <c r="N11" s="23" t="s">
        <v>141</v>
      </c>
      <c r="P11" s="23" t="str">
        <f>Current_Period</f>
        <v>2025/26</v>
      </c>
      <c r="Q11" s="23" t="str">
        <f>New_Period</f>
        <v>2026/27</v>
      </c>
      <c r="R11" s="23" t="s">
        <v>141</v>
      </c>
      <c r="T11" s="57"/>
    </row>
    <row r="12" spans="2:20">
      <c r="D12" s="50"/>
      <c r="E12" s="50"/>
      <c r="F12" s="50"/>
      <c r="T12" s="57"/>
    </row>
    <row r="13" spans="2:20">
      <c r="C13" t="s">
        <v>206</v>
      </c>
      <c r="D13" s="61">
        <f ca="1">'Bill Comparison'!G116</f>
        <v>8112.7440000000006</v>
      </c>
      <c r="E13" s="61">
        <f ca="1">'Bill Comparison'!H116</f>
        <v>8823.7199999999993</v>
      </c>
      <c r="F13" s="51">
        <f ca="1">IFERROR(E13/D13-1,0)</f>
        <v>8.7636932707355175E-2</v>
      </c>
      <c r="H13" s="58">
        <f ca="1">IFERROR(INDEX(High_Total_Costs_Current,0,J$6),"")</f>
        <v>8112.7440000000006</v>
      </c>
      <c r="I13" s="58">
        <f ca="1">IFERROR(INDEX(High_Total_Costs_New,0,J$6),"")</f>
        <v>8823.7199999999993</v>
      </c>
      <c r="J13" s="33">
        <f ca="1">IFERROR(I13/H13-1,0)</f>
        <v>8.7636932707355175E-2</v>
      </c>
      <c r="L13" s="58">
        <f ca="1">IFERROR(INDEX(High_Total_Costs_Current,0,N$6),"")</f>
        <v>8112.7440000000006</v>
      </c>
      <c r="M13" s="58">
        <f ca="1">IFERROR(INDEX(High_Total_Costs_New,0,N$6),"")</f>
        <v>8823.7199999999993</v>
      </c>
      <c r="N13" s="33">
        <f ca="1">IFERROR(M13/L13-1,0)</f>
        <v>8.7636932707355175E-2</v>
      </c>
      <c r="P13" s="58">
        <f ca="1">IFERROR(INDEX(High_Total_Costs_Current,0,R$6),"")</f>
        <v>8112.7440000000006</v>
      </c>
      <c r="Q13" s="58">
        <f ca="1">IFERROR(INDEX(High_Total_Costs_New,0,R$6),"")</f>
        <v>8823.7199999999993</v>
      </c>
      <c r="R13" s="33">
        <f ca="1">IFERROR(Q13/P13-1,0)</f>
        <v>8.7636932707355175E-2</v>
      </c>
      <c r="T13" s="57"/>
    </row>
    <row r="14" spans="2:20">
      <c r="C14" t="s">
        <v>207</v>
      </c>
      <c r="D14" s="61">
        <f ca="1">'Bill Comparison'!G117</f>
        <v>24073.685999999998</v>
      </c>
      <c r="E14" s="61">
        <f ca="1">'Bill Comparison'!H117</f>
        <v>26183.43</v>
      </c>
      <c r="F14" s="51">
        <f ca="1">IFERROR(E14/D14-1,0)</f>
        <v>8.7636932707355397E-2</v>
      </c>
      <c r="H14" s="58">
        <f ca="1">IFERROR(INDEX(Low_Total_Costs_Current,0,J$6),"")</f>
        <v>24073.685999999998</v>
      </c>
      <c r="I14" s="58">
        <f ca="1">IFERROR(INDEX(Low_Total_Costs_New,0,J$6),"")</f>
        <v>26183.43</v>
      </c>
      <c r="J14" s="33">
        <f ca="1">IFERROR(I14/H14-1,0)</f>
        <v>8.7636932707355397E-2</v>
      </c>
      <c r="L14" s="58">
        <f ca="1">IFERROR(INDEX(Low_Total_Costs_Current,0,N$6),"")</f>
        <v>24073.685999999998</v>
      </c>
      <c r="M14" s="58">
        <f ca="1">IFERROR(INDEX(Low_Total_Costs_New,0,N$6),"")</f>
        <v>26183.43</v>
      </c>
      <c r="N14" s="33">
        <f ca="1">IFERROR(M14/L14-1,0)</f>
        <v>8.7636932707355397E-2</v>
      </c>
      <c r="P14" s="58">
        <f ca="1">IFERROR(INDEX(Low_Total_Costs_Current,0,R$6),"")</f>
        <v>24073.685999999998</v>
      </c>
      <c r="Q14" s="58">
        <f ca="1">IFERROR(INDEX(Low_Total_Costs_New,0,R$6),"")</f>
        <v>26183.43</v>
      </c>
      <c r="R14" s="33">
        <f ca="1">IFERROR(Q14/P14-1,0)</f>
        <v>8.7636932707355397E-2</v>
      </c>
      <c r="T14" s="57"/>
    </row>
    <row r="15" spans="2:20" ht="4.05" customHeight="1">
      <c r="D15" s="50"/>
      <c r="E15" s="50"/>
      <c r="F15" s="50"/>
      <c r="T15" s="57"/>
    </row>
    <row r="16" spans="2:20">
      <c r="C16" s="7" t="s">
        <v>24</v>
      </c>
      <c r="D16" s="62">
        <f ca="1">SUM(D13:D14)</f>
        <v>32186.43</v>
      </c>
      <c r="E16" s="62">
        <f ca="1">SUM(E13:E14)</f>
        <v>35007.15</v>
      </c>
      <c r="F16" s="52">
        <f ca="1">IFERROR(E16/D16-1,0)</f>
        <v>8.7636932707355175E-2</v>
      </c>
      <c r="H16" s="59">
        <f ca="1">SUM(H13:H14)</f>
        <v>32186.43</v>
      </c>
      <c r="I16" s="59">
        <f ca="1">SUM(I13:I14)</f>
        <v>35007.15</v>
      </c>
      <c r="J16" s="36">
        <f ca="1">IFERROR(I16/H16-1,0)</f>
        <v>8.7636932707355175E-2</v>
      </c>
      <c r="L16" s="59">
        <f ca="1">SUM(L13:L14)</f>
        <v>32186.43</v>
      </c>
      <c r="M16" s="59">
        <f ca="1">SUM(M13:M14)</f>
        <v>35007.15</v>
      </c>
      <c r="N16" s="36">
        <f ca="1">IFERROR(M16/L16-1,0)</f>
        <v>8.7636932707355175E-2</v>
      </c>
      <c r="P16" s="59">
        <f ca="1">SUM(P13:P14)</f>
        <v>32186.43</v>
      </c>
      <c r="Q16" s="59">
        <f ca="1">SUM(Q13:Q14)</f>
        <v>35007.15</v>
      </c>
      <c r="R16" s="36">
        <f ca="1">IFERROR(Q16/P16-1,0)</f>
        <v>8.7636932707355175E-2</v>
      </c>
      <c r="T16" s="57"/>
    </row>
    <row r="17" spans="2:20" ht="13.2" customHeight="1">
      <c r="D17" s="50"/>
      <c r="E17" s="50"/>
      <c r="F17" s="50"/>
      <c r="T17" s="57"/>
    </row>
    <row r="18" spans="2:20">
      <c r="C18" s="3" t="s">
        <v>131</v>
      </c>
      <c r="D18" s="53">
        <f ca="1">'Bill Comparison'!G112</f>
        <v>0</v>
      </c>
      <c r="E18" s="53">
        <f ca="1">'Bill Comparison'!H112</f>
        <v>0</v>
      </c>
      <c r="F18" s="54">
        <f ca="1">IFERROR(E18/D18-1,0)</f>
        <v>0</v>
      </c>
      <c r="H18" s="45">
        <f ca="1">IFERROR(H16/IF(Inputs!$G$29="No",(High_Total_Energy+Low_Total_Energy),(High_Total_Energy_Exist_TOU+Low_Total_Energy_Exist_TOU))/(1+VAT)*100,0)</f>
        <v>0</v>
      </c>
      <c r="I18" s="45">
        <f ca="1">IFERROR(I16/(IF(Inputs!$G$29="No",(High_Total_Energy+Low_Total_Energy),(High_Total_Energy_New_TOU+Low_Total_Energy_New_TOU)))/(1+VAT)*100,0)</f>
        <v>0</v>
      </c>
      <c r="J18" s="46">
        <f ca="1">IFERROR(I18/H18-1,0)</f>
        <v>0</v>
      </c>
      <c r="L18" s="45">
        <f ca="1">IFERROR(L16/IF(Inputs!$G$29="No",(High_Total_Energy+Low_Total_Energy),(High_Total_Energy_Exist_TOU+Low_Total_Energy_Exist_TOU))/(1+VAT)*100,0)</f>
        <v>0</v>
      </c>
      <c r="M18" s="45">
        <f ca="1">IFERROR(M16/(IF(Inputs!$G$29="No",(High_Total_Energy+Low_Total_Energy),(High_Total_Energy_New_TOU+Low_Total_Energy_New_TOU)))/(1+VAT)*100,0)</f>
        <v>0</v>
      </c>
      <c r="N18" s="46">
        <f ca="1">IFERROR(M18/L18-1,0)</f>
        <v>0</v>
      </c>
      <c r="P18" s="45">
        <f ca="1">IFERROR(P16/IF(Inputs!$G$29="No",(High_Total_Energy+Low_Total_Energy),(High_Total_Energy_Exist_TOU+Low_Total_Energy_Exist_TOU))/(1+VAT)*100,0)</f>
        <v>0</v>
      </c>
      <c r="Q18" s="45">
        <f ca="1">IFERROR(Q16/(IF(Inputs!$G$29="No",(High_Total_Energy+Low_Total_Energy),(High_Total_Energy_New_TOU+Low_Total_Energy_New_TOU)))/(1+VAT)*100,0)</f>
        <v>0</v>
      </c>
      <c r="R18" s="46">
        <f ca="1">IFERROR(Q18/P18-1,0)</f>
        <v>0</v>
      </c>
      <c r="T18" s="57"/>
    </row>
    <row r="19" spans="2:20" ht="15" customHeight="1"/>
    <row r="20" spans="2:20">
      <c r="B20" s="22" t="s">
        <v>228</v>
      </c>
      <c r="C20" s="22"/>
      <c r="D20" s="23" t="str">
        <f>Current_Period</f>
        <v>2025/26</v>
      </c>
      <c r="E20" s="23" t="str">
        <f>New_Period</f>
        <v>2026/27</v>
      </c>
      <c r="F20" s="23" t="s">
        <v>141</v>
      </c>
    </row>
    <row r="21" spans="2:20"/>
    <row r="22" spans="2:20">
      <c r="C22" s="410" t="str">
        <f ca="1">IF(D10&lt;&gt;E10,D10&amp;C32&amp;E10&amp;D32,IF(D8="",E2,D8))</f>
        <v>Miniflex</v>
      </c>
      <c r="D22" s="408">
        <f ca="1">D16</f>
        <v>32186.43</v>
      </c>
      <c r="E22" s="408">
        <f ca="1">E16</f>
        <v>35007.15</v>
      </c>
      <c r="F22" s="54">
        <f ca="1">IFERROR(E22/D22-1,0)</f>
        <v>8.7636932707355175E-2</v>
      </c>
    </row>
    <row r="23" spans="2:20">
      <c r="C23" t="str">
        <f ca="1">H8</f>
        <v>Nightsave Rural</v>
      </c>
      <c r="D23" s="58">
        <f ca="1">H16</f>
        <v>32186.43</v>
      </c>
      <c r="E23" s="58">
        <f ca="1">I16</f>
        <v>35007.15</v>
      </c>
      <c r="F23" s="33">
        <f ca="1">IFERROR(E23/D23-1,0)</f>
        <v>8.7636932707355175E-2</v>
      </c>
    </row>
    <row r="24" spans="2:20">
      <c r="C24" t="str">
        <f ca="1">L8</f>
        <v>Miniflex</v>
      </c>
      <c r="D24" s="58">
        <f ca="1">L16</f>
        <v>32186.43</v>
      </c>
      <c r="E24" s="58">
        <f ca="1">M16</f>
        <v>35007.15</v>
      </c>
      <c r="F24" s="33">
        <f ca="1">IFERROR(E24/D24-1,0)</f>
        <v>8.7636932707355175E-2</v>
      </c>
    </row>
    <row r="25" spans="2:20">
      <c r="C25" t="str">
        <f ca="1">P8</f>
        <v>Miniflex</v>
      </c>
      <c r="D25" s="58">
        <f ca="1">P16</f>
        <v>32186.43</v>
      </c>
      <c r="E25" s="58">
        <f ca="1">Q16</f>
        <v>35007.15</v>
      </c>
      <c r="F25" s="33">
        <f ca="1">IFERROR(E25/D25-1,0)</f>
        <v>8.7636932707355175E-2</v>
      </c>
    </row>
    <row r="26" spans="2:20">
      <c r="D26" s="58"/>
      <c r="E26" s="58"/>
      <c r="F26" s="33"/>
    </row>
    <row r="27" spans="2:20"/>
    <row r="28" spans="2:20"/>
    <row r="29" spans="2:20"/>
    <row r="30" spans="2:20"/>
    <row r="31" spans="2:20" ht="66" customHeight="1"/>
    <row r="32" spans="2:20">
      <c r="C32" s="186" t="s">
        <v>646</v>
      </c>
      <c r="D32" s="186" t="s">
        <v>645</v>
      </c>
    </row>
    <row r="33" customFormat="1" hidden="1"/>
    <row r="34" customFormat="1" hidden="1"/>
    <row r="35" customFormat="1" hidden="1"/>
    <row r="36" customFormat="1" hidden="1"/>
  </sheetData>
  <sheetProtection algorithmName="SHA-512" hashValue="jSYL4NCcaa623vlNIhfFiEywCdwmv8IMugr9eQG+83/gCHvvVy55BCL8beb96eXVbgMxHy6m+Udw12cesU3tLg==" saltValue="W67Ywo29ZdPn/ORspa9b5w==" spinCount="100000" sheet="1" objects="1" scenarios="1"/>
  <mergeCells count="4">
    <mergeCell ref="D6:F6"/>
    <mergeCell ref="H10:I10"/>
    <mergeCell ref="L10:M10"/>
    <mergeCell ref="P10:Q10"/>
  </mergeCells>
  <pageMargins left="0.19685039370078741" right="0.19685039370078741" top="0.39370078740157483" bottom="0.31496062992125984" header="0.31496062992125984" footer="0.31496062992125984"/>
  <pageSetup paperSize="9" scale="72" orientation="landscape" r:id="rId1"/>
  <ignoredErrors>
    <ignoredError sqref="I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4" name="Drop Down 1">
              <controlPr defaultSize="0" autoLine="0" autoPict="0">
                <anchor moveWithCells="1">
                  <from>
                    <xdr:col>7</xdr:col>
                    <xdr:colOff>114300</xdr:colOff>
                    <xdr:row>5</xdr:row>
                    <xdr:rowOff>15240</xdr:rowOff>
                  </from>
                  <to>
                    <xdr:col>9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0" r:id="rId5" name="Drop Down 2">
              <controlPr defaultSize="0" autoLine="0" autoPict="0">
                <anchor moveWithCells="1">
                  <from>
                    <xdr:col>11</xdr:col>
                    <xdr:colOff>22860</xdr:colOff>
                    <xdr:row>5</xdr:row>
                    <xdr:rowOff>15240</xdr:rowOff>
                  </from>
                  <to>
                    <xdr:col>12</xdr:col>
                    <xdr:colOff>967740</xdr:colOff>
                    <xdr:row>5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1" r:id="rId6" name="Drop Down 3">
              <controlPr defaultSize="0" autoLine="0" autoPict="0">
                <anchor moveWithCells="1">
                  <from>
                    <xdr:col>15</xdr:col>
                    <xdr:colOff>22860</xdr:colOff>
                    <xdr:row>5</xdr:row>
                    <xdr:rowOff>15240</xdr:rowOff>
                  </from>
                  <to>
                    <xdr:col>16</xdr:col>
                    <xdr:colOff>967740</xdr:colOff>
                    <xdr:row>5</xdr:row>
                    <xdr:rowOff>213360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F2E38-E368-45F6-8718-B9676F54B962}">
  <sheetPr codeName="Sheet19">
    <tabColor theme="0" tint="-0.14999847407452621"/>
  </sheetPr>
  <dimension ref="B1:Z8763"/>
  <sheetViews>
    <sheetView showGridLines="0" topLeftCell="D1" zoomScale="90" zoomScaleNormal="90" workbookViewId="0">
      <selection activeCell="C17" sqref="C17"/>
    </sheetView>
  </sheetViews>
  <sheetFormatPr defaultColWidth="11.140625" defaultRowHeight="13.2"/>
  <cols>
    <col min="1" max="1" width="11.140625" style="312"/>
    <col min="2" max="2" width="16.5703125" style="312" customWidth="1"/>
    <col min="3" max="4" width="9.7109375" style="312" customWidth="1"/>
    <col min="5" max="5" width="11.140625" style="312"/>
    <col min="6" max="6" width="11.85546875" style="312" customWidth="1"/>
    <col min="7" max="7" width="13.42578125" style="312" hidden="1" customWidth="1"/>
    <col min="8" max="8" width="11.140625" style="312"/>
    <col min="9" max="9" width="11.140625" style="312" customWidth="1"/>
    <col min="10" max="10" width="8.140625" style="312" customWidth="1"/>
    <col min="11" max="11" width="23.85546875" style="312" customWidth="1"/>
    <col min="12" max="12" width="30" style="312" customWidth="1"/>
    <col min="13" max="13" width="16.5703125" style="312" customWidth="1"/>
    <col min="14" max="14" width="12" style="312" customWidth="1"/>
    <col min="15" max="15" width="10.85546875" style="312" customWidth="1"/>
    <col min="16" max="16" width="19.85546875" style="312" customWidth="1"/>
    <col min="17" max="17" width="13" style="312" customWidth="1"/>
    <col min="18" max="18" width="17.7109375" style="312" hidden="1" customWidth="1"/>
    <col min="19" max="19" width="9.85546875" style="312" customWidth="1"/>
    <col min="20" max="20" width="26.28515625" style="312" customWidth="1"/>
    <col min="21" max="21" width="26.28515625" style="312" hidden="1" customWidth="1"/>
    <col min="22" max="22" width="17.140625" style="312" customWidth="1"/>
    <col min="23" max="16384" width="11.140625" style="312"/>
  </cols>
  <sheetData>
    <row r="1" spans="2:26" ht="13.8" thickBot="1">
      <c r="B1" s="367" t="s">
        <v>651</v>
      </c>
      <c r="C1" s="367"/>
      <c r="D1" s="367"/>
      <c r="E1" s="367"/>
      <c r="F1" s="367"/>
      <c r="G1" s="367"/>
      <c r="H1" s="367"/>
      <c r="I1" s="367"/>
      <c r="J1" s="367"/>
      <c r="K1" s="367"/>
    </row>
    <row r="2" spans="2:26">
      <c r="M2" s="312" t="s">
        <v>592</v>
      </c>
      <c r="P2" s="314"/>
      <c r="T2" s="314" t="s">
        <v>593</v>
      </c>
    </row>
    <row r="3" spans="2:26" ht="28.8">
      <c r="B3" s="326" t="s">
        <v>560</v>
      </c>
      <c r="C3" s="326" t="s">
        <v>561</v>
      </c>
      <c r="D3" s="327" t="s">
        <v>594</v>
      </c>
      <c r="E3" s="327" t="s">
        <v>237</v>
      </c>
      <c r="F3" s="327" t="s">
        <v>620</v>
      </c>
      <c r="G3" s="327" t="s">
        <v>621</v>
      </c>
      <c r="H3" s="327" t="s">
        <v>18</v>
      </c>
      <c r="I3" s="327" t="s">
        <v>20</v>
      </c>
      <c r="J3" s="314"/>
      <c r="L3" s="314"/>
      <c r="M3" s="327" t="s">
        <v>19</v>
      </c>
      <c r="N3" s="327" t="s">
        <v>582</v>
      </c>
      <c r="T3" s="327" t="s">
        <v>562</v>
      </c>
      <c r="U3" s="327" t="s">
        <v>623</v>
      </c>
      <c r="V3" s="327" t="s">
        <v>620</v>
      </c>
    </row>
    <row r="4" spans="2:26">
      <c r="B4" s="318">
        <v>46113</v>
      </c>
      <c r="C4" s="312">
        <v>0</v>
      </c>
      <c r="D4" s="368">
        <f>IFERROR((INDEX(METADATA!$T$2:$T$20,MATCH(B4,METADATA!$S$2:$S$20,0))),0)</f>
        <v>0</v>
      </c>
      <c r="E4" s="312" t="str">
        <f t="shared" ref="E4:E67" si="0">IF(B4="","",IF(AND(MONTH(B4)&gt;=MONTH($Z$9),MONTH(B4)&lt;=MONTH($Z$11)),"HI","LO"))</f>
        <v>LO</v>
      </c>
      <c r="F4" s="369">
        <f>VLOOKUP(C4,METADATA!$A$5:$H$29,IF(E4="HI",2,IF(E4="LO",6,10))+IF(D4=1,2,IF(D4=7,1,(IF(WEEKDAY(B4)=1,2,IF(WEEKDAY(B4)=7,1,0))))))</f>
        <v>3</v>
      </c>
      <c r="G4" s="369">
        <f>VLOOKUP(C4,METADATA!$J$5:$Q$29,IF(E4="HI",2,IF(E4="LO",6,10))+IF(D4=1,2,IF(D4=7,1,(IF(WEEKDAY(B4)=1,2,IF(WEEKDAY(B4)=7,1,0))))))</f>
        <v>3</v>
      </c>
      <c r="H4" s="370">
        <v>13316.91552734375</v>
      </c>
      <c r="I4" s="370">
        <v>1957.5615673065186</v>
      </c>
      <c r="M4" s="371">
        <f t="shared" ref="M4:M67" si="1">SQRT(H4^2+I4^2)</f>
        <v>13460.02549968627</v>
      </c>
      <c r="N4" s="329">
        <f>IF(H4=0,0,(IF(I4-(0.3*H4)&lt;0,0,(I4-(0.3*H4)))))</f>
        <v>0</v>
      </c>
      <c r="T4" s="328">
        <v>0</v>
      </c>
      <c r="U4" s="328">
        <f>VLOOKUP(C4,METADATA!$J$5:$Q$29,IF(E4="HI",2,IF(E4="LO",6,10))+IF(T4=1,2,IF(D4=7,1,(IF(WEEKDAY(B4)=1,2,IF(WEEKDAY(B4)=7,1,0))))))</f>
        <v>3</v>
      </c>
      <c r="V4" s="328">
        <f>VLOOKUP(C4,METADATA!$A$5:$H$29,IF(E4="HI",2,IF(E4="LO",6,10))+IF(T4=1,2,IF(D4=7,1,(IF(WEEKDAY(B4)=1,2,IF(WEEKDAY(B4)=7,1,0))))))</f>
        <v>3</v>
      </c>
      <c r="Z4" s="330"/>
    </row>
    <row r="5" spans="2:26">
      <c r="B5" s="318">
        <v>46113</v>
      </c>
      <c r="C5" s="312">
        <v>1</v>
      </c>
      <c r="D5" s="368">
        <f>IFERROR((INDEX(METADATA!$T$2:$T$20,MATCH(B5,METADATA!$S$2:$S$20,0))),0)</f>
        <v>0</v>
      </c>
      <c r="E5" s="312" t="str">
        <f t="shared" si="0"/>
        <v>LO</v>
      </c>
      <c r="F5" s="369">
        <f>VLOOKUP(C5,METADATA!$A$5:$H$29,IF(E5="HI",2,IF(E5="LO",6,10))+IF(D5=1,2,IF(D5=7,1,(IF(WEEKDAY(B5)=1,2,IF(WEEKDAY(B5)=7,1,0))))))</f>
        <v>3</v>
      </c>
      <c r="G5" s="369">
        <f>VLOOKUP(C5,METADATA!$J$5:$Q$29,IF(E5="HI",2,IF(E5="LO",6,10))+IF(D5=1,2,IF(D5=7,1,(IF(WEEKDAY(B5)=1,2,IF(WEEKDAY(B5)=7,1,0))))))</f>
        <v>3</v>
      </c>
      <c r="H5" s="370">
        <v>13230.459777832031</v>
      </c>
      <c r="I5" s="370">
        <v>1922.136510848999</v>
      </c>
      <c r="K5" s="312" t="s">
        <v>608</v>
      </c>
      <c r="M5" s="371">
        <f t="shared" si="1"/>
        <v>13369.355807187194</v>
      </c>
      <c r="N5" s="329">
        <f t="shared" ref="N5:N67" si="2">IF(H5=0,0,(IF(I5-(0.3*H5)&lt;0,0,(I5-(0.3*H5)))))</f>
        <v>0</v>
      </c>
      <c r="T5" s="331">
        <v>0</v>
      </c>
      <c r="U5" s="328">
        <f>VLOOKUP(C5,METADATA!$J$5:$Q$29,IF(E5="HI",2,IF(E5="LO",6,10))+IF(T5=1,2,IF(D5=7,1,(IF(WEEKDAY(B5)=1,2,IF(WEEKDAY(B5)=7,1,0))))))</f>
        <v>3</v>
      </c>
      <c r="V5" s="328">
        <f>VLOOKUP(C5,METADATA!$A$5:$H$29,IF(E5="HI",2,IF(E5="LO",6,10))+IF(T5=1,2,IF(D5=7,1,(IF(WEEKDAY(B5)=1,2,IF(WEEKDAY(B5)=7,1,0))))))</f>
        <v>3</v>
      </c>
      <c r="Z5" s="330"/>
    </row>
    <row r="6" spans="2:26">
      <c r="B6" s="318">
        <v>46113</v>
      </c>
      <c r="C6" s="312">
        <v>2</v>
      </c>
      <c r="D6" s="368">
        <f>IFERROR((INDEX(METADATA!$T$2:$T$20,MATCH(B6,METADATA!$S$2:$S$20,0))),0)</f>
        <v>0</v>
      </c>
      <c r="E6" s="312" t="str">
        <f t="shared" si="0"/>
        <v>LO</v>
      </c>
      <c r="F6" s="369">
        <f>VLOOKUP(C6,METADATA!$A$5:$H$29,IF(E6="HI",2,IF(E6="LO",6,10))+IF(D6=1,2,IF(D6=7,1,(IF(WEEKDAY(B6)=1,2,IF(WEEKDAY(B6)=7,1,0))))))</f>
        <v>3</v>
      </c>
      <c r="G6" s="369">
        <f>VLOOKUP(C6,METADATA!$J$5:$Q$29,IF(E6="HI",2,IF(E6="LO",6,10))+IF(D6=1,2,IF(D6=7,1,(IF(WEEKDAY(B6)=1,2,IF(WEEKDAY(B6)=7,1,0))))))</f>
        <v>3</v>
      </c>
      <c r="H6" s="370">
        <v>13246.240112304688</v>
      </c>
      <c r="I6" s="370">
        <v>1936.6309518814087</v>
      </c>
      <c r="M6" s="371">
        <f t="shared" si="1"/>
        <v>13387.061535550465</v>
      </c>
      <c r="N6" s="329">
        <f t="shared" si="2"/>
        <v>0</v>
      </c>
      <c r="T6" s="331">
        <v>0</v>
      </c>
      <c r="U6" s="328">
        <f>VLOOKUP(C6,METADATA!$J$5:$Q$29,IF(E6="HI",2,IF(E6="LO",6,10))+IF(T6=1,2,IF(D6=7,1,(IF(WEEKDAY(B6)=1,2,IF(WEEKDAY(B6)=7,1,0))))))</f>
        <v>3</v>
      </c>
      <c r="V6" s="328">
        <f>VLOOKUP(C6,METADATA!$A$5:$H$29,IF(E6="HI",2,IF(E6="LO",6,10))+IF(T6=1,2,IF(D6=7,1,(IF(WEEKDAY(B6)=1,2,IF(WEEKDAY(B6)=7,1,0))))))</f>
        <v>3</v>
      </c>
      <c r="Z6" s="330"/>
    </row>
    <row r="7" spans="2:26" ht="13.8" thickBot="1">
      <c r="B7" s="318">
        <v>46113</v>
      </c>
      <c r="C7" s="312">
        <v>3</v>
      </c>
      <c r="D7" s="368">
        <f>IFERROR((INDEX(METADATA!$T$2:$T$20,MATCH(B7,METADATA!$S$2:$S$20,0))),0)</f>
        <v>0</v>
      </c>
      <c r="E7" s="312" t="str">
        <f t="shared" si="0"/>
        <v>LO</v>
      </c>
      <c r="F7" s="369">
        <f>VLOOKUP(C7,METADATA!$A$5:$H$29,IF(E7="HI",2,IF(E7="LO",6,10))+IF(D7=1,2,IF(D7=7,1,(IF(WEEKDAY(B7)=1,2,IF(WEEKDAY(B7)=7,1,0))))))</f>
        <v>3</v>
      </c>
      <c r="G7" s="369">
        <f>VLOOKUP(C7,METADATA!$J$5:$Q$29,IF(E7="HI",2,IF(E7="LO",6,10))+IF(D7=1,2,IF(D7=7,1,(IF(WEEKDAY(B7)=1,2,IF(WEEKDAY(B7)=7,1,0))))))</f>
        <v>3</v>
      </c>
      <c r="H7" s="370">
        <v>13328.434997558594</v>
      </c>
      <c r="I7" s="370">
        <v>1952.2315711975098</v>
      </c>
      <c r="M7" s="371">
        <f t="shared" si="1"/>
        <v>13470.649115455612</v>
      </c>
      <c r="N7" s="329">
        <f t="shared" si="2"/>
        <v>0</v>
      </c>
      <c r="T7" s="331">
        <v>0</v>
      </c>
      <c r="U7" s="328">
        <f>VLOOKUP(C7,METADATA!$J$5:$Q$29,IF(E7="HI",2,IF(E7="LO",6,10))+IF(T7=1,2,IF(D7=7,1,(IF(WEEKDAY(B7)=1,2,IF(WEEKDAY(B7)=7,1,0))))))</f>
        <v>3</v>
      </c>
      <c r="V7" s="328">
        <f>VLOOKUP(C7,METADATA!$A$5:$H$29,IF(E7="HI",2,IF(E7="LO",6,10))+IF(T7=1,2,IF(D7=7,1,(IF(WEEKDAY(B7)=1,2,IF(WEEKDAY(B7)=7,1,0))))))</f>
        <v>3</v>
      </c>
      <c r="Z7" s="330"/>
    </row>
    <row r="8" spans="2:26" ht="15" thickBot="1">
      <c r="B8" s="318">
        <v>46113</v>
      </c>
      <c r="C8" s="312">
        <v>4</v>
      </c>
      <c r="D8" s="368">
        <f>IFERROR((INDEX(METADATA!$T$2:$T$20,MATCH(B8,METADATA!$S$2:$S$20,0))),0)</f>
        <v>0</v>
      </c>
      <c r="E8" s="312" t="str">
        <f t="shared" si="0"/>
        <v>LO</v>
      </c>
      <c r="F8" s="369">
        <f>VLOOKUP(C8,METADATA!$A$5:$H$29,IF(E8="HI",2,IF(E8="LO",6,10))+IF(D8=1,2,IF(D8=7,1,(IF(WEEKDAY(B8)=1,2,IF(WEEKDAY(B8)=7,1,0))))))</f>
        <v>3</v>
      </c>
      <c r="G8" s="369">
        <f>VLOOKUP(C8,METADATA!$J$5:$Q$29,IF(E8="HI",2,IF(E8="LO",6,10))+IF(D8=1,2,IF(D8=7,1,(IF(WEEKDAY(B8)=1,2,IF(WEEKDAY(B8)=7,1,0))))))</f>
        <v>3</v>
      </c>
      <c r="H8" s="370">
        <v>13274.430236816401</v>
      </c>
      <c r="I8" s="370">
        <v>1962.8159236907959</v>
      </c>
      <c r="M8" s="371">
        <f t="shared" si="1"/>
        <v>13418.760913825079</v>
      </c>
      <c r="N8" s="329">
        <f t="shared" si="2"/>
        <v>0</v>
      </c>
      <c r="P8" s="372" t="s">
        <v>595</v>
      </c>
      <c r="T8" s="331">
        <v>0</v>
      </c>
      <c r="U8" s="328">
        <f>VLOOKUP(C8,METADATA!$J$5:$Q$29,IF(E8="HI",2,IF(E8="LO",6,10))+IF(T8=1,2,IF(D8=7,1,(IF(WEEKDAY(B8)=1,2,IF(WEEKDAY(B8)=7,1,0))))))</f>
        <v>3</v>
      </c>
      <c r="V8" s="328">
        <f>VLOOKUP(C8,METADATA!$A$5:$H$29,IF(E8="HI",2,IF(E8="LO",6,10))+IF(T8=1,2,IF(D8=7,1,(IF(WEEKDAY(B8)=1,2,IF(WEEKDAY(B8)=7,1,0))))))</f>
        <v>3</v>
      </c>
      <c r="Z8" s="330"/>
    </row>
    <row r="9" spans="2:26" ht="13.8" thickBot="1">
      <c r="B9" s="318">
        <v>46113</v>
      </c>
      <c r="C9" s="312">
        <v>5</v>
      </c>
      <c r="D9" s="368">
        <f>IFERROR((INDEX(METADATA!$T$2:$T$20,MATCH(B9,METADATA!$S$2:$S$20,0))),0)</f>
        <v>0</v>
      </c>
      <c r="E9" s="312" t="str">
        <f t="shared" si="0"/>
        <v>LO</v>
      </c>
      <c r="F9" s="369">
        <f>VLOOKUP(C9,METADATA!$A$5:$H$29,IF(E9="HI",2,IF(E9="LO",6,10))+IF(D9=1,2,IF(D9=7,1,(IF(WEEKDAY(B9)=1,2,IF(WEEKDAY(B9)=7,1,0))))))</f>
        <v>3</v>
      </c>
      <c r="G9" s="369">
        <f>VLOOKUP(C9,METADATA!$J$5:$Q$29,IF(E9="HI",2,IF(E9="LO",6,10))+IF(D9=1,2,IF(D9=7,1,(IF(WEEKDAY(B9)=1,2,IF(WEEKDAY(B9)=7,1,0))))))</f>
        <v>3</v>
      </c>
      <c r="H9" s="370">
        <v>13287.92529296875</v>
      </c>
      <c r="I9" s="370">
        <v>1869.9829664230347</v>
      </c>
      <c r="M9" s="371">
        <f t="shared" si="1"/>
        <v>13418.859671605145</v>
      </c>
      <c r="N9" s="329">
        <f t="shared" si="2"/>
        <v>0</v>
      </c>
      <c r="P9" s="373" t="s">
        <v>563</v>
      </c>
      <c r="Q9" s="374" t="s">
        <v>564</v>
      </c>
      <c r="R9" s="375" t="s">
        <v>572</v>
      </c>
      <c r="T9" s="331">
        <v>0</v>
      </c>
      <c r="U9" s="328">
        <f>VLOOKUP(C9,METADATA!$J$5:$Q$29,IF(E9="HI",2,IF(E9="LO",6,10))+IF(T9=1,2,IF(D9=7,1,(IF(WEEKDAY(B9)=1,2,IF(WEEKDAY(B9)=7,1,0))))))</f>
        <v>3</v>
      </c>
      <c r="V9" s="328">
        <f>VLOOKUP(C9,METADATA!$A$5:$H$29,IF(E9="HI",2,IF(E9="LO",6,10))+IF(T9=1,2,IF(D9=7,1,(IF(WEEKDAY(B9)=1,2,IF(WEEKDAY(B9)=7,1,0))))))</f>
        <v>3</v>
      </c>
      <c r="Z9" s="332"/>
    </row>
    <row r="10" spans="2:26">
      <c r="B10" s="318">
        <v>46113</v>
      </c>
      <c r="C10" s="312">
        <v>6</v>
      </c>
      <c r="D10" s="368">
        <f>IFERROR((INDEX(METADATA!$T$2:$T$20,MATCH(B10,METADATA!$S$2:$S$20,0))),0)</f>
        <v>0</v>
      </c>
      <c r="E10" s="312" t="str">
        <f t="shared" si="0"/>
        <v>LO</v>
      </c>
      <c r="F10" s="369">
        <f>VLOOKUP(C10,METADATA!$A$5:$H$29,IF(E10="HI",2,IF(E10="LO",6,10))+IF(D10=1,2,IF(D10=7,1,(IF(WEEKDAY(B10)=1,2,IF(WEEKDAY(B10)=7,1,0))))))</f>
        <v>2</v>
      </c>
      <c r="G10" s="369">
        <f>VLOOKUP(C10,METADATA!$J$5:$Q$29,IF(E10="HI",2,IF(E10="LO",6,10))+IF(D10=1,2,IF(D10=7,1,(IF(WEEKDAY(B10)=1,2,IF(WEEKDAY(B10)=7,1,0))))))</f>
        <v>2</v>
      </c>
      <c r="H10" s="370">
        <v>13325.134948730469</v>
      </c>
      <c r="I10" s="370">
        <v>1910.7865676879883</v>
      </c>
      <c r="M10" s="371">
        <f t="shared" si="1"/>
        <v>13461.43850816602</v>
      </c>
      <c r="N10" s="329">
        <f t="shared" si="2"/>
        <v>0</v>
      </c>
      <c r="P10" s="376" t="s">
        <v>309</v>
      </c>
      <c r="Q10" s="377">
        <f ca="1">TOU_Low_Peak_Exist_TOU/TOU_Low_Total_Energy_Exist_TOU</f>
        <v>0.13875861238189433</v>
      </c>
      <c r="R10" s="378">
        <f ca="1">TOU_Low_Peak_New_TOU/TOU_Low_Total_Energy_New_TOU</f>
        <v>0.13875861238189433</v>
      </c>
      <c r="T10" s="331">
        <v>0</v>
      </c>
      <c r="U10" s="328">
        <f>VLOOKUP(C10,METADATA!$J$5:$Q$29,IF(E10="HI",2,IF(E10="LO",6,10))+IF(T10=1,2,IF(D10=7,1,(IF(WEEKDAY(B10)=1,2,IF(WEEKDAY(B10)=7,1,0))))))</f>
        <v>2</v>
      </c>
      <c r="V10" s="328">
        <f>VLOOKUP(C10,METADATA!$A$5:$H$29,IF(E10="HI",2,IF(E10="LO",6,10))+IF(T10=1,2,IF(D10=7,1,(IF(WEEKDAY(B10)=1,2,IF(WEEKDAY(B10)=7,1,0))))))</f>
        <v>2</v>
      </c>
      <c r="Z10" s="332"/>
    </row>
    <row r="11" spans="2:26">
      <c r="B11" s="318">
        <v>46113</v>
      </c>
      <c r="C11" s="312">
        <v>7</v>
      </c>
      <c r="D11" s="368">
        <f>IFERROR((INDEX(METADATA!$T$2:$T$20,MATCH(B11,METADATA!$S$2:$S$20,0))),0)</f>
        <v>0</v>
      </c>
      <c r="E11" s="312" t="str">
        <f t="shared" si="0"/>
        <v>LO</v>
      </c>
      <c r="F11" s="369">
        <f>VLOOKUP(C11,METADATA!$A$5:$H$29,IF(E11="HI",2,IF(E11="LO",6,10))+IF(D11=1,2,IF(D11=7,1,(IF(WEEKDAY(B11)=1,2,IF(WEEKDAY(B11)=7,1,0))))))</f>
        <v>1</v>
      </c>
      <c r="G11" s="369">
        <f>VLOOKUP(C11,METADATA!$J$5:$Q$29,IF(E11="HI",2,IF(E11="LO",6,10))+IF(D11=1,2,IF(D11=7,1,(IF(WEEKDAY(B11)=1,2,IF(WEEKDAY(B11)=7,1,0))))))</f>
        <v>1</v>
      </c>
      <c r="H11" s="370">
        <v>12828.589782714844</v>
      </c>
      <c r="I11" s="370">
        <v>1672.9899787902832</v>
      </c>
      <c r="M11" s="371">
        <f t="shared" si="1"/>
        <v>12937.218065809528</v>
      </c>
      <c r="N11" s="329">
        <f t="shared" si="2"/>
        <v>0</v>
      </c>
      <c r="P11" s="379" t="s">
        <v>310</v>
      </c>
      <c r="Q11" s="399">
        <f ca="1">TOU_Low_Standard_Exist_TOU/TOU_Low_Total_Energy_Exist_TOU</f>
        <v>0.36117435127844794</v>
      </c>
      <c r="R11" s="381">
        <f ca="1">TOU_Low_Standard_New_TOU/TOU_Low_Total_Energy_New_TOU</f>
        <v>0.36117435127844794</v>
      </c>
      <c r="T11" s="331">
        <v>0</v>
      </c>
      <c r="U11" s="328">
        <f>VLOOKUP(C11,METADATA!$J$5:$Q$29,IF(E11="HI",2,IF(E11="LO",6,10))+IF(T11=1,2,IF(D11=7,1,(IF(WEEKDAY(B11)=1,2,IF(WEEKDAY(B11)=7,1,0))))))</f>
        <v>1</v>
      </c>
      <c r="V11" s="328">
        <f>VLOOKUP(C11,METADATA!$A$5:$H$29,IF(E11="HI",2,IF(E11="LO",6,10))+IF(T11=1,2,IF(D11=7,1,(IF(WEEKDAY(B11)=1,2,IF(WEEKDAY(B11)=7,1,0))))))</f>
        <v>1</v>
      </c>
      <c r="Z11" s="332"/>
    </row>
    <row r="12" spans="2:26" ht="13.8" thickBot="1">
      <c r="B12" s="318">
        <v>46113</v>
      </c>
      <c r="C12" s="312">
        <v>8</v>
      </c>
      <c r="D12" s="368">
        <f>IFERROR((INDEX(METADATA!$T$2:$T$20,MATCH(B12,METADATA!$S$2:$S$20,0))),0)</f>
        <v>0</v>
      </c>
      <c r="E12" s="312" t="str">
        <f t="shared" si="0"/>
        <v>LO</v>
      </c>
      <c r="F12" s="369">
        <f>VLOOKUP(C12,METADATA!$A$5:$H$29,IF(E12="HI",2,IF(E12="LO",6,10))+IF(D12=1,2,IF(D12=7,1,(IF(WEEKDAY(B12)=1,2,IF(WEEKDAY(B12)=7,1,0))))))</f>
        <v>1</v>
      </c>
      <c r="G12" s="369">
        <f>VLOOKUP(C12,METADATA!$J$5:$Q$29,IF(E12="HI",2,IF(E12="LO",6,10))+IF(D12=1,2,IF(D12=7,1,(IF(WEEKDAY(B12)=1,2,IF(WEEKDAY(B12)=7,1,0))))))</f>
        <v>1</v>
      </c>
      <c r="H12" s="370">
        <v>12644.89990234375</v>
      </c>
      <c r="I12" s="370">
        <v>1549.463981628418</v>
      </c>
      <c r="M12" s="371">
        <f t="shared" si="1"/>
        <v>12739.479273920766</v>
      </c>
      <c r="N12" s="329">
        <f t="shared" si="2"/>
        <v>0</v>
      </c>
      <c r="P12" s="382" t="s">
        <v>565</v>
      </c>
      <c r="Q12" s="384">
        <f ca="1">TOU_Low_OffPeak_Exist_TOU/TOU_Low_Total_Energy_Exist_TOU</f>
        <v>0.50006703633965766</v>
      </c>
      <c r="R12" s="384">
        <f ca="1">TOU_Low_OffPeak_New_TOU/TOU_Low_Total_Energy_New_TOU</f>
        <v>0.50006703633965766</v>
      </c>
      <c r="T12" s="331">
        <v>0</v>
      </c>
      <c r="U12" s="328">
        <f>VLOOKUP(C12,METADATA!$J$5:$Q$29,IF(E12="HI",2,IF(E12="LO",6,10))+IF(T12=1,2,IF(D12=7,1,(IF(WEEKDAY(B12)=1,2,IF(WEEKDAY(B12)=7,1,0))))))</f>
        <v>1</v>
      </c>
      <c r="V12" s="328">
        <f>VLOOKUP(C12,METADATA!$A$5:$H$29,IF(E12="HI",2,IF(E12="LO",6,10))+IF(T12=1,2,IF(D12=7,1,(IF(WEEKDAY(B12)=1,2,IF(WEEKDAY(B12)=7,1,0))))))</f>
        <v>1</v>
      </c>
      <c r="Z12" s="330"/>
    </row>
    <row r="13" spans="2:26" ht="13.8" thickBot="1">
      <c r="B13" s="318">
        <v>46113</v>
      </c>
      <c r="C13" s="312">
        <v>9</v>
      </c>
      <c r="D13" s="368">
        <f>IFERROR((INDEX(METADATA!$T$2:$T$20,MATCH(B13,METADATA!$S$2:$S$20,0))),0)</f>
        <v>0</v>
      </c>
      <c r="E13" s="312" t="str">
        <f t="shared" si="0"/>
        <v>LO</v>
      </c>
      <c r="F13" s="369">
        <f>VLOOKUP(C13,METADATA!$A$5:$H$29,IF(E13="HI",2,IF(E13="LO",6,10))+IF(D13=1,2,IF(D13=7,1,(IF(WEEKDAY(B13)=1,2,IF(WEEKDAY(B13)=7,1,0))))))</f>
        <v>2</v>
      </c>
      <c r="G13" s="369">
        <f>VLOOKUP(C13,METADATA!$J$5:$Q$29,IF(E13="HI",2,IF(E13="LO",6,10))+IF(D13=1,2,IF(D13=7,1,(IF(WEEKDAY(B13)=1,2,IF(WEEKDAY(B13)=7,1,0))))))</f>
        <v>2</v>
      </c>
      <c r="H13" s="370">
        <v>12412.855285644531</v>
      </c>
      <c r="I13" s="370">
        <v>1444.1275501251221</v>
      </c>
      <c r="M13" s="371">
        <f t="shared" si="1"/>
        <v>12496.578760740227</v>
      </c>
      <c r="N13" s="329">
        <f t="shared" si="2"/>
        <v>0</v>
      </c>
      <c r="P13" s="385" t="s">
        <v>566</v>
      </c>
      <c r="Q13" s="336" t="s">
        <v>564</v>
      </c>
      <c r="R13" s="386" t="s">
        <v>572</v>
      </c>
      <c r="T13" s="331">
        <v>0</v>
      </c>
      <c r="U13" s="328">
        <f>VLOOKUP(C13,METADATA!$J$5:$Q$29,IF(E13="HI",2,IF(E13="LO",6,10))+IF(T13=1,2,IF(D13=7,1,(IF(WEEKDAY(B13)=1,2,IF(WEEKDAY(B13)=7,1,0))))))</f>
        <v>2</v>
      </c>
      <c r="V13" s="328">
        <f>VLOOKUP(C13,METADATA!$A$5:$H$29,IF(E13="HI",2,IF(E13="LO",6,10))+IF(T13=1,2,IF(D13=7,1,(IF(WEEKDAY(B13)=1,2,IF(WEEKDAY(B13)=7,1,0))))))</f>
        <v>2</v>
      </c>
      <c r="Z13" s="330"/>
    </row>
    <row r="14" spans="2:26">
      <c r="B14" s="318">
        <v>46113</v>
      </c>
      <c r="C14" s="312">
        <v>10</v>
      </c>
      <c r="D14" s="368">
        <f>IFERROR((INDEX(METADATA!$T$2:$T$20,MATCH(B14,METADATA!$S$2:$S$20,0))),0)</f>
        <v>0</v>
      </c>
      <c r="E14" s="312" t="str">
        <f t="shared" si="0"/>
        <v>LO</v>
      </c>
      <c r="F14" s="369">
        <f>VLOOKUP(C14,METADATA!$A$5:$H$29,IF(E14="HI",2,IF(E14="LO",6,10))+IF(D14=1,2,IF(D14=7,1,(IF(WEEKDAY(B14)=1,2,IF(WEEKDAY(B14)=7,1,0))))))</f>
        <v>2</v>
      </c>
      <c r="G14" s="369">
        <f>VLOOKUP(C14,METADATA!$J$5:$Q$29,IF(E14="HI",2,IF(E14="LO",6,10))+IF(D14=1,2,IF(D14=7,1,(IF(WEEKDAY(B14)=1,2,IF(WEEKDAY(B14)=7,1,0))))))</f>
        <v>2</v>
      </c>
      <c r="H14" s="370">
        <v>10762.175231933594</v>
      </c>
      <c r="I14" s="370">
        <v>1013.7144592404366</v>
      </c>
      <c r="M14" s="371">
        <f t="shared" si="1"/>
        <v>10809.811872910555</v>
      </c>
      <c r="N14" s="329">
        <f t="shared" si="2"/>
        <v>0</v>
      </c>
      <c r="P14" s="387" t="s">
        <v>309</v>
      </c>
      <c r="Q14" s="335">
        <f ca="1">TOU_High_Peak_Exist_TOU/TOU_High_Total_Energy_Exist_TOU</f>
        <v>0.14608864639261049</v>
      </c>
      <c r="R14" s="388">
        <f ca="1">TOU_High_Peak_New_TOU/TOU_High_Total_Energy_New_TOU</f>
        <v>0.14608864639261049</v>
      </c>
      <c r="T14" s="331">
        <v>0</v>
      </c>
      <c r="U14" s="328">
        <f>VLOOKUP(C14,METADATA!$J$5:$Q$29,IF(E14="HI",2,IF(E14="LO",6,10))+IF(T14=1,2,IF(D14=7,1,(IF(WEEKDAY(B14)=1,2,IF(WEEKDAY(B14)=7,1,0))))))</f>
        <v>2</v>
      </c>
      <c r="V14" s="328">
        <f>VLOOKUP(C14,METADATA!$A$5:$H$29,IF(E14="HI",2,IF(E14="LO",6,10))+IF(T14=1,2,IF(D14=7,1,(IF(WEEKDAY(B14)=1,2,IF(WEEKDAY(B14)=7,1,0))))))</f>
        <v>2</v>
      </c>
      <c r="Z14" s="330"/>
    </row>
    <row r="15" spans="2:26">
      <c r="B15" s="318">
        <v>46113</v>
      </c>
      <c r="C15" s="312">
        <v>11</v>
      </c>
      <c r="D15" s="368">
        <f>IFERROR((INDEX(METADATA!$T$2:$T$20,MATCH(B15,METADATA!$S$2:$S$20,0))),0)</f>
        <v>0</v>
      </c>
      <c r="E15" s="312" t="str">
        <f t="shared" si="0"/>
        <v>LO</v>
      </c>
      <c r="F15" s="369">
        <f>VLOOKUP(C15,METADATA!$A$5:$H$29,IF(E15="HI",2,IF(E15="LO",6,10))+IF(D15=1,2,IF(D15=7,1,(IF(WEEKDAY(B15)=1,2,IF(WEEKDAY(B15)=7,1,0))))))</f>
        <v>2</v>
      </c>
      <c r="G15" s="369">
        <f>VLOOKUP(C15,METADATA!$J$5:$Q$29,IF(E15="HI",2,IF(E15="LO",6,10))+IF(D15=1,2,IF(D15=7,1,(IF(WEEKDAY(B15)=1,2,IF(WEEKDAY(B15)=7,1,0))))))</f>
        <v>2</v>
      </c>
      <c r="H15" s="370">
        <v>10622.069946289063</v>
      </c>
      <c r="I15" s="370">
        <v>989.15997314453125</v>
      </c>
      <c r="M15" s="371">
        <f t="shared" si="1"/>
        <v>10668.027343249951</v>
      </c>
      <c r="N15" s="329">
        <f t="shared" si="2"/>
        <v>0</v>
      </c>
      <c r="P15" s="379" t="s">
        <v>310</v>
      </c>
      <c r="Q15" s="380">
        <f ca="1">TOU_High_Standard_Exist_TOU/TOU_High_Total_Energy_Exist_TOU</f>
        <v>0.37915381415075439</v>
      </c>
      <c r="R15" s="381">
        <f ca="1">TOU_High_Standard_New_TOU/TOU_High_Total_Energy_New_TOU</f>
        <v>0.37915381415075439</v>
      </c>
      <c r="T15" s="331">
        <v>0</v>
      </c>
      <c r="U15" s="328">
        <f>VLOOKUP(C15,METADATA!$J$5:$Q$29,IF(E15="HI",2,IF(E15="LO",6,10))+IF(T15=1,2,IF(D15=7,1,(IF(WEEKDAY(B15)=1,2,IF(WEEKDAY(B15)=7,1,0))))))</f>
        <v>2</v>
      </c>
      <c r="V15" s="328">
        <f>VLOOKUP(C15,METADATA!$A$5:$H$29,IF(E15="HI",2,IF(E15="LO",6,10))+IF(T15=1,2,IF(D15=7,1,(IF(WEEKDAY(B15)=1,2,IF(WEEKDAY(B15)=7,1,0))))))</f>
        <v>2</v>
      </c>
      <c r="Z15" s="330"/>
    </row>
    <row r="16" spans="2:26" ht="13.8" thickBot="1">
      <c r="B16" s="318">
        <v>46113</v>
      </c>
      <c r="C16" s="312">
        <v>12</v>
      </c>
      <c r="D16" s="368">
        <f>IFERROR((INDEX(METADATA!$T$2:$T$20,MATCH(B16,METADATA!$S$2:$S$20,0))),0)</f>
        <v>0</v>
      </c>
      <c r="E16" s="312" t="str">
        <f t="shared" si="0"/>
        <v>LO</v>
      </c>
      <c r="F16" s="369">
        <f>VLOOKUP(C16,METADATA!$A$5:$H$29,IF(E16="HI",2,IF(E16="LO",6,10))+IF(D16=1,2,IF(D16=7,1,(IF(WEEKDAY(B16)=1,2,IF(WEEKDAY(B16)=7,1,0))))))</f>
        <v>2</v>
      </c>
      <c r="G16" s="369">
        <f>VLOOKUP(C16,METADATA!$J$5:$Q$29,IF(E16="HI",2,IF(E16="LO",6,10))+IF(D16=1,2,IF(D16=7,1,(IF(WEEKDAY(B16)=1,2,IF(WEEKDAY(B16)=7,1,0))))))</f>
        <v>2</v>
      </c>
      <c r="H16" s="370">
        <v>8771.9598693847656</v>
      </c>
      <c r="I16" s="370">
        <v>593.90399259328842</v>
      </c>
      <c r="M16" s="371">
        <f t="shared" si="1"/>
        <v>8792.0419643285968</v>
      </c>
      <c r="N16" s="329">
        <f t="shared" si="2"/>
        <v>0</v>
      </c>
      <c r="P16" s="382" t="s">
        <v>565</v>
      </c>
      <c r="Q16" s="383">
        <f ca="1">TOU_High_OffPeak_Exist_TOU/TOU_High_Total_Energy_Exist_TOU</f>
        <v>0.47475753945663524</v>
      </c>
      <c r="R16" s="384">
        <f ca="1">TOU_High_OffPeak_New_TOU/TOU_High_Total_Energy_New_TOU</f>
        <v>0.47475753945663524</v>
      </c>
      <c r="T16" s="331">
        <v>0</v>
      </c>
      <c r="U16" s="328">
        <f>VLOOKUP(C16,METADATA!$J$5:$Q$29,IF(E16="HI",2,IF(E16="LO",6,10))+IF(T16=1,2,IF(D16=7,1,(IF(WEEKDAY(B16)=1,2,IF(WEEKDAY(B16)=7,1,0))))))</f>
        <v>2</v>
      </c>
      <c r="V16" s="328">
        <f>VLOOKUP(C16,METADATA!$A$5:$H$29,IF(E16="HI",2,IF(E16="LO",6,10))+IF(T16=1,2,IF(D16=7,1,(IF(WEEKDAY(B16)=1,2,IF(WEEKDAY(B16)=7,1,0))))))</f>
        <v>2</v>
      </c>
    </row>
    <row r="17" spans="2:22" ht="13.8" thickBot="1">
      <c r="B17" s="318">
        <v>46113</v>
      </c>
      <c r="C17" s="312">
        <v>13</v>
      </c>
      <c r="D17" s="368">
        <f>IFERROR((INDEX(METADATA!$T$2:$T$20,MATCH(B17,METADATA!$S$2:$S$20,0))),0)</f>
        <v>0</v>
      </c>
      <c r="E17" s="312" t="str">
        <f t="shared" si="0"/>
        <v>LO</v>
      </c>
      <c r="F17" s="369">
        <f>VLOOKUP(C17,METADATA!$A$5:$H$29,IF(E17="HI",2,IF(E17="LO",6,10))+IF(D17=1,2,IF(D17=7,1,(IF(WEEKDAY(B17)=1,2,IF(WEEKDAY(B17)=7,1,0))))))</f>
        <v>2</v>
      </c>
      <c r="G17" s="369">
        <f>VLOOKUP(C17,METADATA!$J$5:$Q$29,IF(E17="HI",2,IF(E17="LO",6,10))+IF(D17=1,2,IF(D17=7,1,(IF(WEEKDAY(B17)=1,2,IF(WEEKDAY(B17)=7,1,0))))))</f>
        <v>2</v>
      </c>
      <c r="H17" s="370">
        <v>8715.2748413085938</v>
      </c>
      <c r="I17" s="370">
        <v>557.32499313354492</v>
      </c>
      <c r="M17" s="371">
        <f t="shared" si="1"/>
        <v>8733.0765888956812</v>
      </c>
      <c r="N17" s="329">
        <f t="shared" si="2"/>
        <v>0</v>
      </c>
      <c r="P17" s="385" t="s">
        <v>199</v>
      </c>
      <c r="Q17" s="336" t="s">
        <v>564</v>
      </c>
      <c r="R17" s="386" t="s">
        <v>572</v>
      </c>
      <c r="T17" s="331">
        <v>0</v>
      </c>
      <c r="U17" s="328">
        <f>VLOOKUP(C17,METADATA!$J$5:$Q$29,IF(E17="HI",2,IF(E17="LO",6,10))+IF(T17=1,2,IF(D17=7,1,(IF(WEEKDAY(B17)=1,2,IF(WEEKDAY(B17)=7,1,0))))))</f>
        <v>2</v>
      </c>
      <c r="V17" s="328">
        <f>VLOOKUP(C17,METADATA!$A$5:$H$29,IF(E17="HI",2,IF(E17="LO",6,10))+IF(T17=1,2,IF(D17=7,1,(IF(WEEKDAY(B17)=1,2,IF(WEEKDAY(B17)=7,1,0))))))</f>
        <v>2</v>
      </c>
    </row>
    <row r="18" spans="2:22">
      <c r="B18" s="318">
        <v>46113</v>
      </c>
      <c r="C18" s="312">
        <v>14</v>
      </c>
      <c r="D18" s="368">
        <f>IFERROR((INDEX(METADATA!$T$2:$T$20,MATCH(B18,METADATA!$S$2:$S$20,0))),0)</f>
        <v>0</v>
      </c>
      <c r="E18" s="312" t="str">
        <f t="shared" si="0"/>
        <v>LO</v>
      </c>
      <c r="F18" s="369">
        <f>VLOOKUP(C18,METADATA!$A$5:$H$29,IF(E18="HI",2,IF(E18="LO",6,10))+IF(D18=1,2,IF(D18=7,1,(IF(WEEKDAY(B18)=1,2,IF(WEEKDAY(B18)=7,1,0))))))</f>
        <v>2</v>
      </c>
      <c r="G18" s="369">
        <f>VLOOKUP(C18,METADATA!$J$5:$Q$29,IF(E18="HI",2,IF(E18="LO",6,10))+IF(D18=1,2,IF(D18=7,1,(IF(WEEKDAY(B18)=1,2,IF(WEEKDAY(B18)=7,1,0))))))</f>
        <v>2</v>
      </c>
      <c r="H18" s="370">
        <v>12899.640075683594</v>
      </c>
      <c r="I18" s="370">
        <v>1868.4729690551758</v>
      </c>
      <c r="M18" s="371">
        <f t="shared" si="1"/>
        <v>13034.258909438315</v>
      </c>
      <c r="N18" s="329">
        <f t="shared" si="2"/>
        <v>0</v>
      </c>
      <c r="P18" s="387" t="s">
        <v>309</v>
      </c>
      <c r="Q18" s="337">
        <f ca="1">(TOU_Low_Peak_Exist_TOU+TOU_High_Peak_Exist_TOU)/Annual_Total_Energy_Exist_TOU</f>
        <v>0.14055140178934336</v>
      </c>
      <c r="R18" s="389">
        <f ca="1">(TOU_Low_Peak_New_TOU+TOU_High_Peak_New_TOU)/Annual_Total_Energy_New_TOU</f>
        <v>0.14055140178934336</v>
      </c>
      <c r="T18" s="331">
        <v>0</v>
      </c>
      <c r="U18" s="328">
        <f>VLOOKUP(C18,METADATA!$J$5:$Q$29,IF(E18="HI",2,IF(E18="LO",6,10))+IF(T18=1,2,IF(D18=7,1,(IF(WEEKDAY(B18)=1,2,IF(WEEKDAY(B18)=7,1,0))))))</f>
        <v>2</v>
      </c>
      <c r="V18" s="328">
        <f>VLOOKUP(C18,METADATA!$A$5:$H$29,IF(E18="HI",2,IF(E18="LO",6,10))+IF(T18=1,2,IF(D18=7,1,(IF(WEEKDAY(B18)=1,2,IF(WEEKDAY(B18)=7,1,0))))))</f>
        <v>2</v>
      </c>
    </row>
    <row r="19" spans="2:22">
      <c r="B19" s="318">
        <v>46113</v>
      </c>
      <c r="C19" s="312">
        <v>15</v>
      </c>
      <c r="D19" s="368">
        <f>IFERROR((INDEX(METADATA!$T$2:$T$20,MATCH(B19,METADATA!$S$2:$S$20,0))),0)</f>
        <v>0</v>
      </c>
      <c r="E19" s="312" t="str">
        <f t="shared" si="0"/>
        <v>LO</v>
      </c>
      <c r="F19" s="369">
        <f>VLOOKUP(C19,METADATA!$A$5:$H$29,IF(E19="HI",2,IF(E19="LO",6,10))+IF(D19=1,2,IF(D19=7,1,(IF(WEEKDAY(B19)=1,2,IF(WEEKDAY(B19)=7,1,0))))))</f>
        <v>2</v>
      </c>
      <c r="G19" s="369">
        <f>VLOOKUP(C19,METADATA!$J$5:$Q$29,IF(E19="HI",2,IF(E19="LO",6,10))+IF(D19=1,2,IF(D19=7,1,(IF(WEEKDAY(B19)=1,2,IF(WEEKDAY(B19)=7,1,0))))))</f>
        <v>2</v>
      </c>
      <c r="H19" s="370">
        <v>13597.029602050781</v>
      </c>
      <c r="I19" s="370">
        <v>2196.6950569152832</v>
      </c>
      <c r="M19" s="371">
        <f t="shared" si="1"/>
        <v>13773.332319091167</v>
      </c>
      <c r="N19" s="329">
        <f t="shared" si="2"/>
        <v>0</v>
      </c>
      <c r="P19" s="379" t="s">
        <v>310</v>
      </c>
      <c r="Q19" s="390">
        <f ca="1">(TOU_Low_Standard_Exist_TOU+TOU_High_Standard_Exist_TOU)/Annual_Total_Energy_Exist_TOU</f>
        <v>0.36557179207367074</v>
      </c>
      <c r="R19" s="391">
        <f ca="1">(TOU_Low_Standard_New_TOU+TOU_High_Standard_New_TOU)/Annual_Total_Energy_New_TOU</f>
        <v>0.36557179207367074</v>
      </c>
      <c r="T19" s="331">
        <v>0</v>
      </c>
      <c r="U19" s="328">
        <f>VLOOKUP(C19,METADATA!$J$5:$Q$29,IF(E19="HI",2,IF(E19="LO",6,10))+IF(T19=1,2,IF(D19=7,1,(IF(WEEKDAY(B19)=1,2,IF(WEEKDAY(B19)=7,1,0))))))</f>
        <v>2</v>
      </c>
      <c r="V19" s="328">
        <f>VLOOKUP(C19,METADATA!$A$5:$H$29,IF(E19="HI",2,IF(E19="LO",6,10))+IF(T19=1,2,IF(D19=7,1,(IF(WEEKDAY(B19)=1,2,IF(WEEKDAY(B19)=7,1,0))))))</f>
        <v>2</v>
      </c>
    </row>
    <row r="20" spans="2:22" ht="13.8" thickBot="1">
      <c r="B20" s="318">
        <v>46113</v>
      </c>
      <c r="C20" s="312">
        <v>16</v>
      </c>
      <c r="D20" s="368">
        <f>IFERROR((INDEX(METADATA!$T$2:$T$20,MATCH(B20,METADATA!$S$2:$S$20,0))),0)</f>
        <v>0</v>
      </c>
      <c r="E20" s="312" t="str">
        <f t="shared" si="0"/>
        <v>LO</v>
      </c>
      <c r="F20" s="369">
        <f>VLOOKUP(C20,METADATA!$A$5:$H$29,IF(E20="HI",2,IF(E20="LO",6,10))+IF(D20=1,2,IF(D20=7,1,(IF(WEEKDAY(B20)=1,2,IF(WEEKDAY(B20)=7,1,0))))))</f>
        <v>2</v>
      </c>
      <c r="G20" s="369">
        <f>VLOOKUP(C20,METADATA!$J$5:$Q$29,IF(E20="HI",2,IF(E20="LO",6,10))+IF(D20=1,2,IF(D20=7,1,(IF(WEEKDAY(B20)=1,2,IF(WEEKDAY(B20)=7,1,0))))))</f>
        <v>2</v>
      </c>
      <c r="H20" s="370">
        <v>13477.724853515625</v>
      </c>
      <c r="I20" s="370">
        <v>2133.3379821777344</v>
      </c>
      <c r="M20" s="371">
        <f t="shared" si="1"/>
        <v>13645.519344212405</v>
      </c>
      <c r="N20" s="329">
        <f t="shared" si="2"/>
        <v>0</v>
      </c>
      <c r="P20" s="382" t="s">
        <v>565</v>
      </c>
      <c r="Q20" s="392">
        <f ca="1">(TOU_Low_OffPeak_Exist_TOU+TOU_High_OffPeak_Exist_TOU)/Annual_Total_Energy_Exist_TOU</f>
        <v>0.49387680613698576</v>
      </c>
      <c r="R20" s="393">
        <f ca="1">(TOU_Low_OffPeak_New_TOU+TOU_High_OffPeak_New_TOU)/Annual_Total_Energy_New_TOU</f>
        <v>0.49387680613698576</v>
      </c>
      <c r="T20" s="331">
        <v>0</v>
      </c>
      <c r="U20" s="328">
        <f>VLOOKUP(C20,METADATA!$J$5:$Q$29,IF(E20="HI",2,IF(E20="LO",6,10))+IF(T20=1,2,IF(D20=7,1,(IF(WEEKDAY(B20)=1,2,IF(WEEKDAY(B20)=7,1,0))))))</f>
        <v>2</v>
      </c>
      <c r="V20" s="328">
        <f>VLOOKUP(C20,METADATA!$A$5:$H$29,IF(E20="HI",2,IF(E20="LO",6,10))+IF(T20=1,2,IF(D20=7,1,(IF(WEEKDAY(B20)=1,2,IF(WEEKDAY(B20)=7,1,0))))))</f>
        <v>2</v>
      </c>
    </row>
    <row r="21" spans="2:22">
      <c r="B21" s="318">
        <v>46113</v>
      </c>
      <c r="C21" s="312">
        <v>17</v>
      </c>
      <c r="D21" s="368">
        <f>IFERROR((INDEX(METADATA!$T$2:$T$20,MATCH(B21,METADATA!$S$2:$S$20,0))),0)</f>
        <v>0</v>
      </c>
      <c r="E21" s="312" t="str">
        <f t="shared" si="0"/>
        <v>LO</v>
      </c>
      <c r="F21" s="369">
        <f>VLOOKUP(C21,METADATA!$A$5:$H$29,IF(E21="HI",2,IF(E21="LO",6,10))+IF(D21=1,2,IF(D21=7,1,(IF(WEEKDAY(B21)=1,2,IF(WEEKDAY(B21)=7,1,0))))))</f>
        <v>2</v>
      </c>
      <c r="G21" s="369">
        <f>VLOOKUP(C21,METADATA!$J$5:$Q$29,IF(E21="HI",2,IF(E21="LO",6,10))+IF(D21=1,2,IF(D21=7,1,(IF(WEEKDAY(B21)=1,2,IF(WEEKDAY(B21)=7,1,0))))))</f>
        <v>2</v>
      </c>
      <c r="H21" s="370">
        <v>13554.884826660156</v>
      </c>
      <c r="I21" s="370">
        <v>1996.7274322509766</v>
      </c>
      <c r="M21" s="371">
        <f t="shared" si="1"/>
        <v>13701.161377880537</v>
      </c>
      <c r="N21" s="329">
        <f t="shared" si="2"/>
        <v>0</v>
      </c>
      <c r="T21" s="331">
        <v>0</v>
      </c>
      <c r="U21" s="328">
        <f>VLOOKUP(C21,METADATA!$J$5:$Q$29,IF(E21="HI",2,IF(E21="LO",6,10))+IF(T21=1,2,IF(D21=7,1,(IF(WEEKDAY(B21)=1,2,IF(WEEKDAY(B21)=7,1,0))))))</f>
        <v>2</v>
      </c>
      <c r="V21" s="328">
        <f>VLOOKUP(C21,METADATA!$A$5:$H$29,IF(E21="HI",2,IF(E21="LO",6,10))+IF(T21=1,2,IF(D21=7,1,(IF(WEEKDAY(B21)=1,2,IF(WEEKDAY(B21)=7,1,0))))))</f>
        <v>2</v>
      </c>
    </row>
    <row r="22" spans="2:22">
      <c r="B22" s="318">
        <v>46113</v>
      </c>
      <c r="C22" s="312">
        <v>18</v>
      </c>
      <c r="D22" s="368">
        <f>IFERROR((INDEX(METADATA!$T$2:$T$20,MATCH(B22,METADATA!$S$2:$S$20,0))),0)</f>
        <v>0</v>
      </c>
      <c r="E22" s="312" t="str">
        <f t="shared" si="0"/>
        <v>LO</v>
      </c>
      <c r="F22" s="369">
        <f>VLOOKUP(C22,METADATA!$A$5:$H$29,IF(E22="HI",2,IF(E22="LO",6,10))+IF(D22=1,2,IF(D22=7,1,(IF(WEEKDAY(B22)=1,2,IF(WEEKDAY(B22)=7,1,0))))))</f>
        <v>1</v>
      </c>
      <c r="G22" s="369">
        <f>VLOOKUP(C22,METADATA!$J$5:$Q$29,IF(E22="HI",2,IF(E22="LO",6,10))+IF(D22=1,2,IF(D22=7,1,(IF(WEEKDAY(B22)=1,2,IF(WEEKDAY(B22)=7,1,0))))))</f>
        <v>1</v>
      </c>
      <c r="H22" s="370">
        <v>13541.549865722656</v>
      </c>
      <c r="I22" s="370">
        <v>1935.7200164794922</v>
      </c>
      <c r="M22" s="371">
        <f t="shared" si="1"/>
        <v>13679.202635682121</v>
      </c>
      <c r="N22" s="329">
        <f t="shared" si="2"/>
        <v>0</v>
      </c>
      <c r="T22" s="331">
        <v>0</v>
      </c>
      <c r="U22" s="328">
        <f>VLOOKUP(C22,METADATA!$J$5:$Q$29,IF(E22="HI",2,IF(E22="LO",6,10))+IF(T22=1,2,IF(D22=7,1,(IF(WEEKDAY(B22)=1,2,IF(WEEKDAY(B22)=7,1,0))))))</f>
        <v>1</v>
      </c>
      <c r="V22" s="328">
        <f>VLOOKUP(C22,METADATA!$A$5:$H$29,IF(E22="HI",2,IF(E22="LO",6,10))+IF(T22=1,2,IF(D22=7,1,(IF(WEEKDAY(B22)=1,2,IF(WEEKDAY(B22)=7,1,0))))))</f>
        <v>1</v>
      </c>
    </row>
    <row r="23" spans="2:22">
      <c r="B23" s="318">
        <v>46113</v>
      </c>
      <c r="C23" s="312">
        <v>19</v>
      </c>
      <c r="D23" s="368">
        <f>IFERROR((INDEX(METADATA!$T$2:$T$20,MATCH(B23,METADATA!$S$2:$S$20,0))),0)</f>
        <v>0</v>
      </c>
      <c r="E23" s="312" t="str">
        <f t="shared" si="0"/>
        <v>LO</v>
      </c>
      <c r="F23" s="369">
        <f>VLOOKUP(C23,METADATA!$A$5:$H$29,IF(E23="HI",2,IF(E23="LO",6,10))+IF(D23=1,2,IF(D23=7,1,(IF(WEEKDAY(B23)=1,2,IF(WEEKDAY(B23)=7,1,0))))))</f>
        <v>1</v>
      </c>
      <c r="G23" s="369">
        <f>VLOOKUP(C23,METADATA!$J$5:$Q$29,IF(E23="HI",2,IF(E23="LO",6,10))+IF(D23=1,2,IF(D23=7,1,(IF(WEEKDAY(B23)=1,2,IF(WEEKDAY(B23)=7,1,0))))))</f>
        <v>1</v>
      </c>
      <c r="H23" s="370">
        <v>13134.845275878906</v>
      </c>
      <c r="I23" s="370">
        <v>1672.8229703903198</v>
      </c>
      <c r="M23" s="371">
        <f t="shared" si="1"/>
        <v>13240.940189863555</v>
      </c>
      <c r="N23" s="329">
        <f t="shared" si="2"/>
        <v>0</v>
      </c>
      <c r="T23" s="331">
        <v>0</v>
      </c>
      <c r="U23" s="328">
        <f>VLOOKUP(C23,METADATA!$J$5:$Q$29,IF(E23="HI",2,IF(E23="LO",6,10))+IF(T23=1,2,IF(D23=7,1,(IF(WEEKDAY(B23)=1,2,IF(WEEKDAY(B23)=7,1,0))))))</f>
        <v>1</v>
      </c>
      <c r="V23" s="328">
        <f>VLOOKUP(C23,METADATA!$A$5:$H$29,IF(E23="HI",2,IF(E23="LO",6,10))+IF(T23=1,2,IF(D23=7,1,(IF(WEEKDAY(B23)=1,2,IF(WEEKDAY(B23)=7,1,0))))))</f>
        <v>1</v>
      </c>
    </row>
    <row r="24" spans="2:22">
      <c r="B24" s="318">
        <v>46113</v>
      </c>
      <c r="C24" s="312">
        <v>20</v>
      </c>
      <c r="D24" s="368">
        <f>IFERROR((INDEX(METADATA!$T$2:$T$20,MATCH(B24,METADATA!$S$2:$S$20,0))),0)</f>
        <v>0</v>
      </c>
      <c r="E24" s="312" t="str">
        <f t="shared" si="0"/>
        <v>LO</v>
      </c>
      <c r="F24" s="369">
        <f>VLOOKUP(C24,METADATA!$A$5:$H$29,IF(E24="HI",2,IF(E24="LO",6,10))+IF(D24=1,2,IF(D24=7,1,(IF(WEEKDAY(B24)=1,2,IF(WEEKDAY(B24)=7,1,0))))))</f>
        <v>1</v>
      </c>
      <c r="G24" s="369">
        <f>VLOOKUP(C24,METADATA!$J$5:$Q$29,IF(E24="HI",2,IF(E24="LO",6,10))+IF(D24=1,2,IF(D24=7,1,(IF(WEEKDAY(B24)=1,2,IF(WEEKDAY(B24)=7,1,0))))))</f>
        <v>1</v>
      </c>
      <c r="H24" s="370">
        <v>13216.104919433594</v>
      </c>
      <c r="I24" s="370">
        <v>1754.9050149917603</v>
      </c>
      <c r="M24" s="371">
        <f t="shared" si="1"/>
        <v>13332.108642413625</v>
      </c>
      <c r="N24" s="329">
        <f t="shared" si="2"/>
        <v>0</v>
      </c>
      <c r="P24" s="314" t="s">
        <v>596</v>
      </c>
      <c r="Q24" s="394">
        <v>1</v>
      </c>
      <c r="T24" s="331">
        <v>0</v>
      </c>
      <c r="U24" s="328">
        <f>VLOOKUP(C24,METADATA!$J$5:$Q$29,IF(E24="HI",2,IF(E24="LO",6,10))+IF(T24=1,2,IF(D24=7,1,(IF(WEEKDAY(B24)=1,2,IF(WEEKDAY(B24)=7,1,0))))))</f>
        <v>1</v>
      </c>
      <c r="V24" s="328">
        <f>VLOOKUP(C24,METADATA!$A$5:$H$29,IF(E24="HI",2,IF(E24="LO",6,10))+IF(T24=1,2,IF(D24=7,1,(IF(WEEKDAY(B24)=1,2,IF(WEEKDAY(B24)=7,1,0))))))</f>
        <v>1</v>
      </c>
    </row>
    <row r="25" spans="2:22">
      <c r="B25" s="318">
        <v>46113</v>
      </c>
      <c r="C25" s="312">
        <v>21</v>
      </c>
      <c r="D25" s="368">
        <f>IFERROR((INDEX(METADATA!$T$2:$T$20,MATCH(B25,METADATA!$S$2:$S$20,0))),0)</f>
        <v>0</v>
      </c>
      <c r="E25" s="312" t="str">
        <f t="shared" si="0"/>
        <v>LO</v>
      </c>
      <c r="F25" s="369">
        <f>VLOOKUP(C25,METADATA!$A$5:$H$29,IF(E25="HI",2,IF(E25="LO",6,10))+IF(D25=1,2,IF(D25=7,1,(IF(WEEKDAY(B25)=1,2,IF(WEEKDAY(B25)=7,1,0))))))</f>
        <v>2</v>
      </c>
      <c r="G25" s="369">
        <f>VLOOKUP(C25,METADATA!$J$5:$Q$29,IF(E25="HI",2,IF(E25="LO",6,10))+IF(D25=1,2,IF(D25=7,1,(IF(WEEKDAY(B25)=1,2,IF(WEEKDAY(B25)=7,1,0))))))</f>
        <v>2</v>
      </c>
      <c r="H25" s="370">
        <v>13379.794738769531</v>
      </c>
      <c r="I25" s="370">
        <v>1770.6944971084595</v>
      </c>
      <c r="M25" s="371">
        <f t="shared" si="1"/>
        <v>13496.453839942365</v>
      </c>
      <c r="N25" s="329">
        <f t="shared" si="2"/>
        <v>0</v>
      </c>
      <c r="P25" s="314" t="s">
        <v>597</v>
      </c>
      <c r="Q25" s="394">
        <v>2</v>
      </c>
      <c r="T25" s="331">
        <v>0</v>
      </c>
      <c r="U25" s="328">
        <f>VLOOKUP(C25,METADATA!$J$5:$Q$29,IF(E25="HI",2,IF(E25="LO",6,10))+IF(T25=1,2,IF(D25=7,1,(IF(WEEKDAY(B25)=1,2,IF(WEEKDAY(B25)=7,1,0))))))</f>
        <v>2</v>
      </c>
      <c r="V25" s="328">
        <f>VLOOKUP(C25,METADATA!$A$5:$H$29,IF(E25="HI",2,IF(E25="LO",6,10))+IF(T25=1,2,IF(D25=7,1,(IF(WEEKDAY(B25)=1,2,IF(WEEKDAY(B25)=7,1,0))))))</f>
        <v>2</v>
      </c>
    </row>
    <row r="26" spans="2:22">
      <c r="B26" s="318">
        <v>46113</v>
      </c>
      <c r="C26" s="312">
        <v>22</v>
      </c>
      <c r="D26" s="368">
        <f>IFERROR((INDEX(METADATA!$T$2:$T$20,MATCH(B26,METADATA!$S$2:$S$20,0))),0)</f>
        <v>0</v>
      </c>
      <c r="E26" s="312" t="str">
        <f t="shared" si="0"/>
        <v>LO</v>
      </c>
      <c r="F26" s="369">
        <f>VLOOKUP(C26,METADATA!$A$5:$H$29,IF(E26="HI",2,IF(E26="LO",6,10))+IF(D26=1,2,IF(D26=7,1,(IF(WEEKDAY(B26)=1,2,IF(WEEKDAY(B26)=7,1,0))))))</f>
        <v>3</v>
      </c>
      <c r="G26" s="369">
        <f>VLOOKUP(C26,METADATA!$J$5:$Q$29,IF(E26="HI",2,IF(E26="LO",6,10))+IF(D26=1,2,IF(D26=7,1,(IF(WEEKDAY(B26)=1,2,IF(WEEKDAY(B26)=7,1,0))))))</f>
        <v>3</v>
      </c>
      <c r="H26" s="370">
        <v>13383.704833984375</v>
      </c>
      <c r="I26" s="370">
        <v>1810.0345268249512</v>
      </c>
      <c r="M26" s="371">
        <f t="shared" si="1"/>
        <v>13505.546270755402</v>
      </c>
      <c r="N26" s="329">
        <f t="shared" si="2"/>
        <v>0</v>
      </c>
      <c r="P26" s="314" t="s">
        <v>598</v>
      </c>
      <c r="Q26" s="394">
        <v>3</v>
      </c>
      <c r="T26" s="331">
        <v>0</v>
      </c>
      <c r="U26" s="328">
        <f>VLOOKUP(C26,METADATA!$J$5:$Q$29,IF(E26="HI",2,IF(E26="LO",6,10))+IF(T26=1,2,IF(D26=7,1,(IF(WEEKDAY(B26)=1,2,IF(WEEKDAY(B26)=7,1,0))))))</f>
        <v>3</v>
      </c>
      <c r="V26" s="328">
        <f>VLOOKUP(C26,METADATA!$A$5:$H$29,IF(E26="HI",2,IF(E26="LO",6,10))+IF(T26=1,2,IF(D26=7,1,(IF(WEEKDAY(B26)=1,2,IF(WEEKDAY(B26)=7,1,0))))))</f>
        <v>3</v>
      </c>
    </row>
    <row r="27" spans="2:22">
      <c r="B27" s="318">
        <v>46113</v>
      </c>
      <c r="C27" s="312">
        <v>23</v>
      </c>
      <c r="D27" s="368">
        <f>IFERROR((INDEX(METADATA!$T$2:$T$20,MATCH(B27,METADATA!$S$2:$S$20,0))),0)</f>
        <v>0</v>
      </c>
      <c r="E27" s="312" t="str">
        <f t="shared" si="0"/>
        <v>LO</v>
      </c>
      <c r="F27" s="369">
        <f>VLOOKUP(C27,METADATA!$A$5:$H$29,IF(E27="HI",2,IF(E27="LO",6,10))+IF(D27=1,2,IF(D27=7,1,(IF(WEEKDAY(B27)=1,2,IF(WEEKDAY(B27)=7,1,0))))))</f>
        <v>3</v>
      </c>
      <c r="G27" s="369">
        <f>VLOOKUP(C27,METADATA!$J$5:$Q$29,IF(E27="HI",2,IF(E27="LO",6,10))+IF(D27=1,2,IF(D27=7,1,(IF(WEEKDAY(B27)=1,2,IF(WEEKDAY(B27)=7,1,0))))))</f>
        <v>3</v>
      </c>
      <c r="H27" s="370">
        <v>13447.7353515625</v>
      </c>
      <c r="I27" s="370">
        <v>1862.06298828125</v>
      </c>
      <c r="M27" s="371">
        <f t="shared" si="1"/>
        <v>13576.040094887416</v>
      </c>
      <c r="N27" s="329">
        <f t="shared" si="2"/>
        <v>0</v>
      </c>
      <c r="Q27" s="394"/>
      <c r="T27" s="331">
        <v>0</v>
      </c>
      <c r="U27" s="328">
        <f>VLOOKUP(C27,METADATA!$J$5:$Q$29,IF(E27="HI",2,IF(E27="LO",6,10))+IF(T27=1,2,IF(D27=7,1,(IF(WEEKDAY(B27)=1,2,IF(WEEKDAY(B27)=7,1,0))))))</f>
        <v>3</v>
      </c>
      <c r="V27" s="328">
        <f>VLOOKUP(C27,METADATA!$A$5:$H$29,IF(E27="HI",2,IF(E27="LO",6,10))+IF(T27=1,2,IF(D27=7,1,(IF(WEEKDAY(B27)=1,2,IF(WEEKDAY(B27)=7,1,0))))))</f>
        <v>3</v>
      </c>
    </row>
    <row r="28" spans="2:22">
      <c r="B28" s="318">
        <f t="shared" ref="B28:B91" si="3">B4+1</f>
        <v>46114</v>
      </c>
      <c r="C28" s="312">
        <v>0</v>
      </c>
      <c r="D28" s="368">
        <f>IFERROR((INDEX(METADATA!$T$2:$T$20,MATCH(B28,METADATA!$S$2:$S$20,0))),0)</f>
        <v>0</v>
      </c>
      <c r="E28" s="312" t="str">
        <f t="shared" si="0"/>
        <v>LO</v>
      </c>
      <c r="F28" s="369">
        <f>VLOOKUP(C28,METADATA!$A$5:$H$29,IF(E28="HI",2,IF(E28="LO",6,10))+IF(D28=1,2,IF(D28=7,1,(IF(WEEKDAY(B28)=1,2,IF(WEEKDAY(B28)=7,1,0))))))</f>
        <v>3</v>
      </c>
      <c r="G28" s="369">
        <f>VLOOKUP(C28,METADATA!$J$5:$Q$29,IF(E28="HI",2,IF(E28="LO",6,10))+IF(D28=1,2,IF(D28=7,1,(IF(WEEKDAY(B28)=1,2,IF(WEEKDAY(B28)=7,1,0))))))</f>
        <v>3</v>
      </c>
      <c r="H28" s="370">
        <v>13470.899841308594</v>
      </c>
      <c r="I28" s="370">
        <v>1906.8465118408203</v>
      </c>
      <c r="M28" s="371">
        <f t="shared" si="1"/>
        <v>13605.190412276022</v>
      </c>
      <c r="N28" s="329">
        <f t="shared" si="2"/>
        <v>0</v>
      </c>
      <c r="P28" s="312" t="s">
        <v>548</v>
      </c>
      <c r="Q28" s="395" t="s">
        <v>580</v>
      </c>
      <c r="T28" s="331">
        <v>0</v>
      </c>
      <c r="U28" s="328">
        <f>VLOOKUP(C28,METADATA!$J$5:$Q$29,IF(E28="HI",2,IF(E28="LO",6,10))+IF(T28=1,2,IF(D28=7,1,(IF(WEEKDAY(B28)=1,2,IF(WEEKDAY(B28)=7,1,0))))))</f>
        <v>3</v>
      </c>
      <c r="V28" s="328">
        <f>VLOOKUP(C28,METADATA!$A$5:$H$29,IF(E28="HI",2,IF(E28="LO",6,10))+IF(T28=1,2,IF(D28=7,1,(IF(WEEKDAY(B28)=1,2,IF(WEEKDAY(B28)=7,1,0))))))</f>
        <v>3</v>
      </c>
    </row>
    <row r="29" spans="2:22">
      <c r="B29" s="318">
        <f t="shared" si="3"/>
        <v>46114</v>
      </c>
      <c r="C29" s="312">
        <v>1</v>
      </c>
      <c r="D29" s="368">
        <f>IFERROR((INDEX(METADATA!$T$2:$T$20,MATCH(B29,METADATA!$S$2:$S$20,0))),0)</f>
        <v>0</v>
      </c>
      <c r="E29" s="312" t="str">
        <f t="shared" si="0"/>
        <v>LO</v>
      </c>
      <c r="F29" s="369">
        <f>VLOOKUP(C29,METADATA!$A$5:$H$29,IF(E29="HI",2,IF(E29="LO",6,10))+IF(D29=1,2,IF(D29=7,1,(IF(WEEKDAY(B29)=1,2,IF(WEEKDAY(B29)=7,1,0))))))</f>
        <v>3</v>
      </c>
      <c r="G29" s="369">
        <f>VLOOKUP(C29,METADATA!$J$5:$Q$29,IF(E29="HI",2,IF(E29="LO",6,10))+IF(D29=1,2,IF(D29=7,1,(IF(WEEKDAY(B29)=1,2,IF(WEEKDAY(B29)=7,1,0))))))</f>
        <v>3</v>
      </c>
      <c r="H29" s="370">
        <v>13567.504943847656</v>
      </c>
      <c r="I29" s="370">
        <v>1976.4735622406006</v>
      </c>
      <c r="M29" s="371">
        <f t="shared" si="1"/>
        <v>13710.712532307234</v>
      </c>
      <c r="N29" s="329">
        <f t="shared" si="2"/>
        <v>0</v>
      </c>
      <c r="P29" s="312" t="s">
        <v>549</v>
      </c>
      <c r="Q29" s="395" t="s">
        <v>579</v>
      </c>
      <c r="T29" s="331">
        <v>0</v>
      </c>
      <c r="U29" s="328">
        <f>VLOOKUP(C29,METADATA!$J$5:$Q$29,IF(E29="HI",2,IF(E29="LO",6,10))+IF(T29=1,2,IF(D29=7,1,(IF(WEEKDAY(B29)=1,2,IF(WEEKDAY(B29)=7,1,0))))))</f>
        <v>3</v>
      </c>
      <c r="V29" s="328">
        <f>VLOOKUP(C29,METADATA!$A$5:$H$29,IF(E29="HI",2,IF(E29="LO",6,10))+IF(T29=1,2,IF(D29=7,1,(IF(WEEKDAY(B29)=1,2,IF(WEEKDAY(B29)=7,1,0))))))</f>
        <v>3</v>
      </c>
    </row>
    <row r="30" spans="2:22">
      <c r="B30" s="318">
        <f t="shared" si="3"/>
        <v>46114</v>
      </c>
      <c r="C30" s="312">
        <v>2</v>
      </c>
      <c r="D30" s="368">
        <f>IFERROR((INDEX(METADATA!$T$2:$T$20,MATCH(B30,METADATA!$S$2:$S$20,0))),0)</f>
        <v>0</v>
      </c>
      <c r="E30" s="312" t="str">
        <f t="shared" si="0"/>
        <v>LO</v>
      </c>
      <c r="F30" s="369">
        <f>VLOOKUP(C30,METADATA!$A$5:$H$29,IF(E30="HI",2,IF(E30="LO",6,10))+IF(D30=1,2,IF(D30=7,1,(IF(WEEKDAY(B30)=1,2,IF(WEEKDAY(B30)=7,1,0))))))</f>
        <v>3</v>
      </c>
      <c r="G30" s="369">
        <f>VLOOKUP(C30,METADATA!$J$5:$Q$29,IF(E30="HI",2,IF(E30="LO",6,10))+IF(D30=1,2,IF(D30=7,1,(IF(WEEKDAY(B30)=1,2,IF(WEEKDAY(B30)=7,1,0))))))</f>
        <v>3</v>
      </c>
      <c r="H30" s="370">
        <v>13631.890014648438</v>
      </c>
      <c r="I30" s="370">
        <v>2006.8789672851563</v>
      </c>
      <c r="M30" s="371">
        <f t="shared" si="1"/>
        <v>13778.823917911255</v>
      </c>
      <c r="N30" s="329">
        <f t="shared" si="2"/>
        <v>0</v>
      </c>
      <c r="T30" s="331">
        <v>0</v>
      </c>
      <c r="U30" s="328">
        <f>VLOOKUP(C30,METADATA!$J$5:$Q$29,IF(E30="HI",2,IF(E30="LO",6,10))+IF(T30=1,2,IF(D30=7,1,(IF(WEEKDAY(B30)=1,2,IF(WEEKDAY(B30)=7,1,0))))))</f>
        <v>3</v>
      </c>
      <c r="V30" s="328">
        <f>VLOOKUP(C30,METADATA!$A$5:$H$29,IF(E30="HI",2,IF(E30="LO",6,10))+IF(T30=1,2,IF(D30=7,1,(IF(WEEKDAY(B30)=1,2,IF(WEEKDAY(B30)=7,1,0))))))</f>
        <v>3</v>
      </c>
    </row>
    <row r="31" spans="2:22">
      <c r="B31" s="318">
        <f t="shared" si="3"/>
        <v>46114</v>
      </c>
      <c r="C31" s="312">
        <v>3</v>
      </c>
      <c r="D31" s="368">
        <f>IFERROR((INDEX(METADATA!$T$2:$T$20,MATCH(B31,METADATA!$S$2:$S$20,0))),0)</f>
        <v>0</v>
      </c>
      <c r="E31" s="312" t="str">
        <f t="shared" si="0"/>
        <v>LO</v>
      </c>
      <c r="F31" s="369">
        <f>VLOOKUP(C31,METADATA!$A$5:$H$29,IF(E31="HI",2,IF(E31="LO",6,10))+IF(D31=1,2,IF(D31=7,1,(IF(WEEKDAY(B31)=1,2,IF(WEEKDAY(B31)=7,1,0))))))</f>
        <v>3</v>
      </c>
      <c r="G31" s="369">
        <f>VLOOKUP(C31,METADATA!$J$5:$Q$29,IF(E31="HI",2,IF(E31="LO",6,10))+IF(D31=1,2,IF(D31=7,1,(IF(WEEKDAY(B31)=1,2,IF(WEEKDAY(B31)=7,1,0))))))</f>
        <v>3</v>
      </c>
      <c r="H31" s="370">
        <v>13573.004516601563</v>
      </c>
      <c r="I31" s="370">
        <v>2013.9115180969238</v>
      </c>
      <c r="M31" s="371">
        <f t="shared" si="1"/>
        <v>13721.599440677819</v>
      </c>
      <c r="N31" s="329">
        <f t="shared" si="2"/>
        <v>0</v>
      </c>
      <c r="P31" s="312" t="s">
        <v>599</v>
      </c>
      <c r="Q31" s="312">
        <v>1</v>
      </c>
      <c r="T31" s="331">
        <v>0</v>
      </c>
      <c r="U31" s="328">
        <f>VLOOKUP(C31,METADATA!$J$5:$Q$29,IF(E31="HI",2,IF(E31="LO",6,10))+IF(T31=1,2,IF(D31=7,1,(IF(WEEKDAY(B31)=1,2,IF(WEEKDAY(B31)=7,1,0))))))</f>
        <v>3</v>
      </c>
      <c r="V31" s="328">
        <f>VLOOKUP(C31,METADATA!$A$5:$H$29,IF(E31="HI",2,IF(E31="LO",6,10))+IF(T31=1,2,IF(D31=7,1,(IF(WEEKDAY(B31)=1,2,IF(WEEKDAY(B31)=7,1,0))))))</f>
        <v>3</v>
      </c>
    </row>
    <row r="32" spans="2:22">
      <c r="B32" s="318">
        <f t="shared" si="3"/>
        <v>46114</v>
      </c>
      <c r="C32" s="312">
        <v>4</v>
      </c>
      <c r="D32" s="368">
        <f>IFERROR((INDEX(METADATA!$T$2:$T$20,MATCH(B32,METADATA!$S$2:$S$20,0))),0)</f>
        <v>0</v>
      </c>
      <c r="E32" s="312" t="str">
        <f t="shared" si="0"/>
        <v>LO</v>
      </c>
      <c r="F32" s="369">
        <f>VLOOKUP(C32,METADATA!$A$5:$H$29,IF(E32="HI",2,IF(E32="LO",6,10))+IF(D32=1,2,IF(D32=7,1,(IF(WEEKDAY(B32)=1,2,IF(WEEKDAY(B32)=7,1,0))))))</f>
        <v>3</v>
      </c>
      <c r="G32" s="369">
        <f>VLOOKUP(C32,METADATA!$J$5:$Q$29,IF(E32="HI",2,IF(E32="LO",6,10))+IF(D32=1,2,IF(D32=7,1,(IF(WEEKDAY(B32)=1,2,IF(WEEKDAY(B32)=7,1,0))))))</f>
        <v>3</v>
      </c>
      <c r="H32" s="370">
        <v>13487.190002441406</v>
      </c>
      <c r="I32" s="370">
        <v>1980.7200012207031</v>
      </c>
      <c r="M32" s="371">
        <f t="shared" si="1"/>
        <v>13631.857756197105</v>
      </c>
      <c r="N32" s="329">
        <f t="shared" si="2"/>
        <v>0</v>
      </c>
      <c r="P32" s="312" t="s">
        <v>599</v>
      </c>
      <c r="Q32" s="312">
        <v>7</v>
      </c>
      <c r="T32" s="331">
        <v>0</v>
      </c>
      <c r="U32" s="328">
        <f>VLOOKUP(C32,METADATA!$J$5:$Q$29,IF(E32="HI",2,IF(E32="LO",6,10))+IF(T32=1,2,IF(D32=7,1,(IF(WEEKDAY(B32)=1,2,IF(WEEKDAY(B32)=7,1,0))))))</f>
        <v>3</v>
      </c>
      <c r="V32" s="328">
        <f>VLOOKUP(C32,METADATA!$A$5:$H$29,IF(E32="HI",2,IF(E32="LO",6,10))+IF(T32=1,2,IF(D32=7,1,(IF(WEEKDAY(B32)=1,2,IF(WEEKDAY(B32)=7,1,0))))))</f>
        <v>3</v>
      </c>
    </row>
    <row r="33" spans="2:22">
      <c r="B33" s="318">
        <f t="shared" si="3"/>
        <v>46114</v>
      </c>
      <c r="C33" s="312">
        <v>5</v>
      </c>
      <c r="D33" s="368">
        <f>IFERROR((INDEX(METADATA!$T$2:$T$20,MATCH(B33,METADATA!$S$2:$S$20,0))),0)</f>
        <v>0</v>
      </c>
      <c r="E33" s="312" t="str">
        <f t="shared" si="0"/>
        <v>LO</v>
      </c>
      <c r="F33" s="369">
        <f>VLOOKUP(C33,METADATA!$A$5:$H$29,IF(E33="HI",2,IF(E33="LO",6,10))+IF(D33=1,2,IF(D33=7,1,(IF(WEEKDAY(B33)=1,2,IF(WEEKDAY(B33)=7,1,0))))))</f>
        <v>3</v>
      </c>
      <c r="G33" s="369">
        <f>VLOOKUP(C33,METADATA!$J$5:$Q$29,IF(E33="HI",2,IF(E33="LO",6,10))+IF(D33=1,2,IF(D33=7,1,(IF(WEEKDAY(B33)=1,2,IF(WEEKDAY(B33)=7,1,0))))))</f>
        <v>3</v>
      </c>
      <c r="H33" s="370">
        <v>13520.590026855469</v>
      </c>
      <c r="I33" s="370">
        <v>1958.304988861084</v>
      </c>
      <c r="M33" s="371">
        <f t="shared" si="1"/>
        <v>13661.673144373706</v>
      </c>
      <c r="N33" s="329">
        <f t="shared" si="2"/>
        <v>0</v>
      </c>
      <c r="P33" s="312" t="s">
        <v>600</v>
      </c>
      <c r="Q33" s="312">
        <v>0</v>
      </c>
      <c r="T33" s="331">
        <v>0</v>
      </c>
      <c r="U33" s="328">
        <f>VLOOKUP(C33,METADATA!$J$5:$Q$29,IF(E33="HI",2,IF(E33="LO",6,10))+IF(T33=1,2,IF(D33=7,1,(IF(WEEKDAY(B33)=1,2,IF(WEEKDAY(B33)=7,1,0))))))</f>
        <v>3</v>
      </c>
      <c r="V33" s="328">
        <f>VLOOKUP(C33,METADATA!$A$5:$H$29,IF(E33="HI",2,IF(E33="LO",6,10))+IF(T33=1,2,IF(D33=7,1,(IF(WEEKDAY(B33)=1,2,IF(WEEKDAY(B33)=7,1,0))))))</f>
        <v>3</v>
      </c>
    </row>
    <row r="34" spans="2:22">
      <c r="B34" s="318">
        <f t="shared" si="3"/>
        <v>46114</v>
      </c>
      <c r="C34" s="312">
        <v>6</v>
      </c>
      <c r="D34" s="368">
        <f>IFERROR((INDEX(METADATA!$T$2:$T$20,MATCH(B34,METADATA!$S$2:$S$20,0))),0)</f>
        <v>0</v>
      </c>
      <c r="E34" s="312" t="str">
        <f t="shared" si="0"/>
        <v>LO</v>
      </c>
      <c r="F34" s="369">
        <f>VLOOKUP(C34,METADATA!$A$5:$H$29,IF(E34="HI",2,IF(E34="LO",6,10))+IF(D34=1,2,IF(D34=7,1,(IF(WEEKDAY(B34)=1,2,IF(WEEKDAY(B34)=7,1,0))))))</f>
        <v>2</v>
      </c>
      <c r="G34" s="369">
        <f>VLOOKUP(C34,METADATA!$J$5:$Q$29,IF(E34="HI",2,IF(E34="LO",6,10))+IF(D34=1,2,IF(D34=7,1,(IF(WEEKDAY(B34)=1,2,IF(WEEKDAY(B34)=7,1,0))))))</f>
        <v>2</v>
      </c>
      <c r="H34" s="370">
        <v>13526.26708984375</v>
      </c>
      <c r="I34" s="370">
        <v>1961.9269828796387</v>
      </c>
      <c r="M34" s="371">
        <f t="shared" si="1"/>
        <v>13667.811049028345</v>
      </c>
      <c r="N34" s="329">
        <f t="shared" si="2"/>
        <v>0</v>
      </c>
      <c r="T34" s="331">
        <v>0</v>
      </c>
      <c r="U34" s="328">
        <f>VLOOKUP(C34,METADATA!$J$5:$Q$29,IF(E34="HI",2,IF(E34="LO",6,10))+IF(T34=1,2,IF(D34=7,1,(IF(WEEKDAY(B34)=1,2,IF(WEEKDAY(B34)=7,1,0))))))</f>
        <v>2</v>
      </c>
      <c r="V34" s="328">
        <f>VLOOKUP(C34,METADATA!$A$5:$H$29,IF(E34="HI",2,IF(E34="LO",6,10))+IF(T34=1,2,IF(D34=7,1,(IF(WEEKDAY(B34)=1,2,IF(WEEKDAY(B34)=7,1,0))))))</f>
        <v>2</v>
      </c>
    </row>
    <row r="35" spans="2:22">
      <c r="B35" s="318">
        <f t="shared" si="3"/>
        <v>46114</v>
      </c>
      <c r="C35" s="312">
        <v>7</v>
      </c>
      <c r="D35" s="368">
        <f>IFERROR((INDEX(METADATA!$T$2:$T$20,MATCH(B35,METADATA!$S$2:$S$20,0))),0)</f>
        <v>0</v>
      </c>
      <c r="E35" s="312" t="str">
        <f t="shared" si="0"/>
        <v>LO</v>
      </c>
      <c r="F35" s="369">
        <f>VLOOKUP(C35,METADATA!$A$5:$H$29,IF(E35="HI",2,IF(E35="LO",6,10))+IF(D35=1,2,IF(D35=7,1,(IF(WEEKDAY(B35)=1,2,IF(WEEKDAY(B35)=7,1,0))))))</f>
        <v>1</v>
      </c>
      <c r="G35" s="369">
        <f>VLOOKUP(C35,METADATA!$J$5:$Q$29,IF(E35="HI",2,IF(E35="LO",6,10))+IF(D35=1,2,IF(D35=7,1,(IF(WEEKDAY(B35)=1,2,IF(WEEKDAY(B35)=7,1,0))))))</f>
        <v>1</v>
      </c>
      <c r="H35" s="370">
        <v>13572.849548339844</v>
      </c>
      <c r="I35" s="370">
        <v>1914.7439308166504</v>
      </c>
      <c r="M35" s="371">
        <f t="shared" si="1"/>
        <v>13707.242216524384</v>
      </c>
      <c r="N35" s="329">
        <f t="shared" si="2"/>
        <v>0</v>
      </c>
      <c r="P35" s="312" t="s">
        <v>601</v>
      </c>
      <c r="Q35" s="314" t="s">
        <v>602</v>
      </c>
      <c r="T35" s="331">
        <v>0</v>
      </c>
      <c r="U35" s="328">
        <f>VLOOKUP(C35,METADATA!$J$5:$Q$29,IF(E35="HI",2,IF(E35="LO",6,10))+IF(T35=1,2,IF(D35=7,1,(IF(WEEKDAY(B35)=1,2,IF(WEEKDAY(B35)=7,1,0))))))</f>
        <v>1</v>
      </c>
      <c r="V35" s="328">
        <f>VLOOKUP(C35,METADATA!$A$5:$H$29,IF(E35="HI",2,IF(E35="LO",6,10))+IF(T35=1,2,IF(D35=7,1,(IF(WEEKDAY(B35)=1,2,IF(WEEKDAY(B35)=7,1,0))))))</f>
        <v>1</v>
      </c>
    </row>
    <row r="36" spans="2:22">
      <c r="B36" s="318">
        <f t="shared" si="3"/>
        <v>46114</v>
      </c>
      <c r="C36" s="312">
        <v>8</v>
      </c>
      <c r="D36" s="368">
        <f>IFERROR((INDEX(METADATA!$T$2:$T$20,MATCH(B36,METADATA!$S$2:$S$20,0))),0)</f>
        <v>0</v>
      </c>
      <c r="E36" s="312" t="str">
        <f t="shared" si="0"/>
        <v>LO</v>
      </c>
      <c r="F36" s="369">
        <f>VLOOKUP(C36,METADATA!$A$5:$H$29,IF(E36="HI",2,IF(E36="LO",6,10))+IF(D36=1,2,IF(D36=7,1,(IF(WEEKDAY(B36)=1,2,IF(WEEKDAY(B36)=7,1,0))))))</f>
        <v>1</v>
      </c>
      <c r="G36" s="369">
        <f>VLOOKUP(C36,METADATA!$J$5:$Q$29,IF(E36="HI",2,IF(E36="LO",6,10))+IF(D36=1,2,IF(D36=7,1,(IF(WEEKDAY(B36)=1,2,IF(WEEKDAY(B36)=7,1,0))))))</f>
        <v>1</v>
      </c>
      <c r="H36" s="370">
        <v>13606.57470703125</v>
      </c>
      <c r="I36" s="370">
        <v>1911.2399559020996</v>
      </c>
      <c r="M36" s="371">
        <f t="shared" si="1"/>
        <v>13740.149687214445</v>
      </c>
      <c r="N36" s="329">
        <f t="shared" si="2"/>
        <v>0</v>
      </c>
      <c r="T36" s="331">
        <v>0</v>
      </c>
      <c r="U36" s="328">
        <f>VLOOKUP(C36,METADATA!$J$5:$Q$29,IF(E36="HI",2,IF(E36="LO",6,10))+IF(T36=1,2,IF(D36=7,1,(IF(WEEKDAY(B36)=1,2,IF(WEEKDAY(B36)=7,1,0))))))</f>
        <v>1</v>
      </c>
      <c r="V36" s="328">
        <f>VLOOKUP(C36,METADATA!$A$5:$H$29,IF(E36="HI",2,IF(E36="LO",6,10))+IF(T36=1,2,IF(D36=7,1,(IF(WEEKDAY(B36)=1,2,IF(WEEKDAY(B36)=7,1,0))))))</f>
        <v>1</v>
      </c>
    </row>
    <row r="37" spans="2:22">
      <c r="B37" s="318">
        <f t="shared" si="3"/>
        <v>46114</v>
      </c>
      <c r="C37" s="312">
        <v>9</v>
      </c>
      <c r="D37" s="368">
        <f>IFERROR((INDEX(METADATA!$T$2:$T$20,MATCH(B37,METADATA!$S$2:$S$20,0))),0)</f>
        <v>0</v>
      </c>
      <c r="E37" s="312" t="str">
        <f t="shared" si="0"/>
        <v>LO</v>
      </c>
      <c r="F37" s="369">
        <f>VLOOKUP(C37,METADATA!$A$5:$H$29,IF(E37="HI",2,IF(E37="LO",6,10))+IF(D37=1,2,IF(D37=7,1,(IF(WEEKDAY(B37)=1,2,IF(WEEKDAY(B37)=7,1,0))))))</f>
        <v>2</v>
      </c>
      <c r="G37" s="369">
        <f>VLOOKUP(C37,METADATA!$J$5:$Q$29,IF(E37="HI",2,IF(E37="LO",6,10))+IF(D37=1,2,IF(D37=7,1,(IF(WEEKDAY(B37)=1,2,IF(WEEKDAY(B37)=7,1,0))))))</f>
        <v>2</v>
      </c>
      <c r="H37" s="370">
        <v>13744.200073242188</v>
      </c>
      <c r="I37" s="370">
        <v>1979.0645599365234</v>
      </c>
      <c r="M37" s="371">
        <f t="shared" si="1"/>
        <v>13885.954493145484</v>
      </c>
      <c r="N37" s="329">
        <f t="shared" si="2"/>
        <v>0</v>
      </c>
      <c r="T37" s="331">
        <v>0</v>
      </c>
      <c r="U37" s="328">
        <f>VLOOKUP(C37,METADATA!$J$5:$Q$29,IF(E37="HI",2,IF(E37="LO",6,10))+IF(T37=1,2,IF(D37=7,1,(IF(WEEKDAY(B37)=1,2,IF(WEEKDAY(B37)=7,1,0))))))</f>
        <v>2</v>
      </c>
      <c r="V37" s="328">
        <f>VLOOKUP(C37,METADATA!$A$5:$H$29,IF(E37="HI",2,IF(E37="LO",6,10))+IF(T37=1,2,IF(D37=7,1,(IF(WEEKDAY(B37)=1,2,IF(WEEKDAY(B37)=7,1,0))))))</f>
        <v>2</v>
      </c>
    </row>
    <row r="38" spans="2:22">
      <c r="B38" s="318">
        <f t="shared" si="3"/>
        <v>46114</v>
      </c>
      <c r="C38" s="312">
        <v>10</v>
      </c>
      <c r="D38" s="368">
        <f>IFERROR((INDEX(METADATA!$T$2:$T$20,MATCH(B38,METADATA!$S$2:$S$20,0))),0)</f>
        <v>0</v>
      </c>
      <c r="E38" s="312" t="str">
        <f t="shared" si="0"/>
        <v>LO</v>
      </c>
      <c r="F38" s="369">
        <f>VLOOKUP(C38,METADATA!$A$5:$H$29,IF(E38="HI",2,IF(E38="LO",6,10))+IF(D38=1,2,IF(D38=7,1,(IF(WEEKDAY(B38)=1,2,IF(WEEKDAY(B38)=7,1,0))))))</f>
        <v>2</v>
      </c>
      <c r="G38" s="369">
        <f>VLOOKUP(C38,METADATA!$J$5:$Q$29,IF(E38="HI",2,IF(E38="LO",6,10))+IF(D38=1,2,IF(D38=7,1,(IF(WEEKDAY(B38)=1,2,IF(WEEKDAY(B38)=7,1,0))))))</f>
        <v>2</v>
      </c>
      <c r="H38" s="370">
        <v>13738.354736328125</v>
      </c>
      <c r="I38" s="370">
        <v>1995.2410049438477</v>
      </c>
      <c r="M38" s="371">
        <f t="shared" si="1"/>
        <v>13882.484558932481</v>
      </c>
      <c r="N38" s="329">
        <f t="shared" si="2"/>
        <v>0</v>
      </c>
      <c r="T38" s="331">
        <v>0</v>
      </c>
      <c r="U38" s="328">
        <f>VLOOKUP(C38,METADATA!$J$5:$Q$29,IF(E38="HI",2,IF(E38="LO",6,10))+IF(T38=1,2,IF(D38=7,1,(IF(WEEKDAY(B38)=1,2,IF(WEEKDAY(B38)=7,1,0))))))</f>
        <v>2</v>
      </c>
      <c r="V38" s="328">
        <f>VLOOKUP(C38,METADATA!$A$5:$H$29,IF(E38="HI",2,IF(E38="LO",6,10))+IF(T38=1,2,IF(D38=7,1,(IF(WEEKDAY(B38)=1,2,IF(WEEKDAY(B38)=7,1,0))))))</f>
        <v>2</v>
      </c>
    </row>
    <row r="39" spans="2:22">
      <c r="B39" s="318">
        <f t="shared" si="3"/>
        <v>46114</v>
      </c>
      <c r="C39" s="312">
        <v>11</v>
      </c>
      <c r="D39" s="368">
        <f>IFERROR((INDEX(METADATA!$T$2:$T$20,MATCH(B39,METADATA!$S$2:$S$20,0))),0)</f>
        <v>0</v>
      </c>
      <c r="E39" s="312" t="str">
        <f t="shared" si="0"/>
        <v>LO</v>
      </c>
      <c r="F39" s="369">
        <f>VLOOKUP(C39,METADATA!$A$5:$H$29,IF(E39="HI",2,IF(E39="LO",6,10))+IF(D39=1,2,IF(D39=7,1,(IF(WEEKDAY(B39)=1,2,IF(WEEKDAY(B39)=7,1,0))))))</f>
        <v>2</v>
      </c>
      <c r="G39" s="369">
        <f>VLOOKUP(C39,METADATA!$J$5:$Q$29,IF(E39="HI",2,IF(E39="LO",6,10))+IF(D39=1,2,IF(D39=7,1,(IF(WEEKDAY(B39)=1,2,IF(WEEKDAY(B39)=7,1,0))))))</f>
        <v>2</v>
      </c>
      <c r="H39" s="370">
        <v>13606.0400390625</v>
      </c>
      <c r="I39" s="370">
        <v>2088.1924705505371</v>
      </c>
      <c r="M39" s="371">
        <f t="shared" si="1"/>
        <v>13765.350461889295</v>
      </c>
      <c r="N39" s="329">
        <f t="shared" si="2"/>
        <v>0</v>
      </c>
      <c r="T39" s="331">
        <v>0</v>
      </c>
      <c r="U39" s="328">
        <f>VLOOKUP(C39,METADATA!$J$5:$Q$29,IF(E39="HI",2,IF(E39="LO",6,10))+IF(T39=1,2,IF(D39=7,1,(IF(WEEKDAY(B39)=1,2,IF(WEEKDAY(B39)=7,1,0))))))</f>
        <v>2</v>
      </c>
      <c r="V39" s="328">
        <f>VLOOKUP(C39,METADATA!$A$5:$H$29,IF(E39="HI",2,IF(E39="LO",6,10))+IF(T39=1,2,IF(D39=7,1,(IF(WEEKDAY(B39)=1,2,IF(WEEKDAY(B39)=7,1,0))))))</f>
        <v>2</v>
      </c>
    </row>
    <row r="40" spans="2:22">
      <c r="B40" s="318">
        <f t="shared" si="3"/>
        <v>46114</v>
      </c>
      <c r="C40" s="312">
        <v>12</v>
      </c>
      <c r="D40" s="368">
        <f>IFERROR((INDEX(METADATA!$T$2:$T$20,MATCH(B40,METADATA!$S$2:$S$20,0))),0)</f>
        <v>0</v>
      </c>
      <c r="E40" s="312" t="str">
        <f t="shared" si="0"/>
        <v>LO</v>
      </c>
      <c r="F40" s="369">
        <f>VLOOKUP(C40,METADATA!$A$5:$H$29,IF(E40="HI",2,IF(E40="LO",6,10))+IF(D40=1,2,IF(D40=7,1,(IF(WEEKDAY(B40)=1,2,IF(WEEKDAY(B40)=7,1,0))))))</f>
        <v>2</v>
      </c>
      <c r="G40" s="369">
        <f>VLOOKUP(C40,METADATA!$J$5:$Q$29,IF(E40="HI",2,IF(E40="LO",6,10))+IF(D40=1,2,IF(D40=7,1,(IF(WEEKDAY(B40)=1,2,IF(WEEKDAY(B40)=7,1,0))))))</f>
        <v>2</v>
      </c>
      <c r="H40" s="370">
        <v>13549.85986328125</v>
      </c>
      <c r="I40" s="370">
        <v>2042.3999900817871</v>
      </c>
      <c r="M40" s="371">
        <f t="shared" si="1"/>
        <v>13702.923047074528</v>
      </c>
      <c r="N40" s="329">
        <f t="shared" si="2"/>
        <v>0</v>
      </c>
      <c r="T40" s="331">
        <v>0</v>
      </c>
      <c r="U40" s="328">
        <f>VLOOKUP(C40,METADATA!$J$5:$Q$29,IF(E40="HI",2,IF(E40="LO",6,10))+IF(T40=1,2,IF(D40=7,1,(IF(WEEKDAY(B40)=1,2,IF(WEEKDAY(B40)=7,1,0))))))</f>
        <v>2</v>
      </c>
      <c r="V40" s="328">
        <f>VLOOKUP(C40,METADATA!$A$5:$H$29,IF(E40="HI",2,IF(E40="LO",6,10))+IF(T40=1,2,IF(D40=7,1,(IF(WEEKDAY(B40)=1,2,IF(WEEKDAY(B40)=7,1,0))))))</f>
        <v>2</v>
      </c>
    </row>
    <row r="41" spans="2:22">
      <c r="B41" s="318">
        <f t="shared" si="3"/>
        <v>46114</v>
      </c>
      <c r="C41" s="312">
        <v>13</v>
      </c>
      <c r="D41" s="368">
        <f>IFERROR((INDEX(METADATA!$T$2:$T$20,MATCH(B41,METADATA!$S$2:$S$20,0))),0)</f>
        <v>0</v>
      </c>
      <c r="E41" s="312" t="str">
        <f t="shared" si="0"/>
        <v>LO</v>
      </c>
      <c r="F41" s="369">
        <f>VLOOKUP(C41,METADATA!$A$5:$H$29,IF(E41="HI",2,IF(E41="LO",6,10))+IF(D41=1,2,IF(D41=7,1,(IF(WEEKDAY(B41)=1,2,IF(WEEKDAY(B41)=7,1,0))))))</f>
        <v>2</v>
      </c>
      <c r="G41" s="369">
        <f>VLOOKUP(C41,METADATA!$J$5:$Q$29,IF(E41="HI",2,IF(E41="LO",6,10))+IF(D41=1,2,IF(D41=7,1,(IF(WEEKDAY(B41)=1,2,IF(WEEKDAY(B41)=7,1,0))))))</f>
        <v>2</v>
      </c>
      <c r="H41" s="370">
        <v>13475.475036621094</v>
      </c>
      <c r="I41" s="370">
        <v>2001.6455001831055</v>
      </c>
      <c r="M41" s="371">
        <f t="shared" si="1"/>
        <v>13623.326031883755</v>
      </c>
      <c r="N41" s="329">
        <f t="shared" si="2"/>
        <v>0</v>
      </c>
      <c r="T41" s="331">
        <v>0</v>
      </c>
      <c r="U41" s="328">
        <f>VLOOKUP(C41,METADATA!$J$5:$Q$29,IF(E41="HI",2,IF(E41="LO",6,10))+IF(T41=1,2,IF(D41=7,1,(IF(WEEKDAY(B41)=1,2,IF(WEEKDAY(B41)=7,1,0))))))</f>
        <v>2</v>
      </c>
      <c r="V41" s="328">
        <f>VLOOKUP(C41,METADATA!$A$5:$H$29,IF(E41="HI",2,IF(E41="LO",6,10))+IF(T41=1,2,IF(D41=7,1,(IF(WEEKDAY(B41)=1,2,IF(WEEKDAY(B41)=7,1,0))))))</f>
        <v>2</v>
      </c>
    </row>
    <row r="42" spans="2:22">
      <c r="B42" s="318">
        <f t="shared" si="3"/>
        <v>46114</v>
      </c>
      <c r="C42" s="312">
        <v>14</v>
      </c>
      <c r="D42" s="368">
        <f>IFERROR((INDEX(METADATA!$T$2:$T$20,MATCH(B42,METADATA!$S$2:$S$20,0))),0)</f>
        <v>0</v>
      </c>
      <c r="E42" s="312" t="str">
        <f t="shared" si="0"/>
        <v>LO</v>
      </c>
      <c r="F42" s="369">
        <f>VLOOKUP(C42,METADATA!$A$5:$H$29,IF(E42="HI",2,IF(E42="LO",6,10))+IF(D42=1,2,IF(D42=7,1,(IF(WEEKDAY(B42)=1,2,IF(WEEKDAY(B42)=7,1,0))))))</f>
        <v>2</v>
      </c>
      <c r="G42" s="369">
        <f>VLOOKUP(C42,METADATA!$J$5:$Q$29,IF(E42="HI",2,IF(E42="LO",6,10))+IF(D42=1,2,IF(D42=7,1,(IF(WEEKDAY(B42)=1,2,IF(WEEKDAY(B42)=7,1,0))))))</f>
        <v>2</v>
      </c>
      <c r="H42" s="370">
        <v>13540.845275878906</v>
      </c>
      <c r="I42" s="370">
        <v>2047.5120544433594</v>
      </c>
      <c r="M42" s="371">
        <f t="shared" si="1"/>
        <v>13694.772593890815</v>
      </c>
      <c r="N42" s="329">
        <f t="shared" si="2"/>
        <v>0</v>
      </c>
      <c r="T42" s="331">
        <v>0</v>
      </c>
      <c r="U42" s="328">
        <f>VLOOKUP(C42,METADATA!$J$5:$Q$29,IF(E42="HI",2,IF(E42="LO",6,10))+IF(T42=1,2,IF(D42=7,1,(IF(WEEKDAY(B42)=1,2,IF(WEEKDAY(B42)=7,1,0))))))</f>
        <v>2</v>
      </c>
      <c r="V42" s="328">
        <f>VLOOKUP(C42,METADATA!$A$5:$H$29,IF(E42="HI",2,IF(E42="LO",6,10))+IF(T42=1,2,IF(D42=7,1,(IF(WEEKDAY(B42)=1,2,IF(WEEKDAY(B42)=7,1,0))))))</f>
        <v>2</v>
      </c>
    </row>
    <row r="43" spans="2:22">
      <c r="B43" s="318">
        <f t="shared" si="3"/>
        <v>46114</v>
      </c>
      <c r="C43" s="312">
        <v>15</v>
      </c>
      <c r="D43" s="368">
        <f>IFERROR((INDEX(METADATA!$T$2:$T$20,MATCH(B43,METADATA!$S$2:$S$20,0))),0)</f>
        <v>0</v>
      </c>
      <c r="E43" s="312" t="str">
        <f t="shared" si="0"/>
        <v>LO</v>
      </c>
      <c r="F43" s="369">
        <f>VLOOKUP(C43,METADATA!$A$5:$H$29,IF(E43="HI",2,IF(E43="LO",6,10))+IF(D43=1,2,IF(D43=7,1,(IF(WEEKDAY(B43)=1,2,IF(WEEKDAY(B43)=7,1,0))))))</f>
        <v>2</v>
      </c>
      <c r="G43" s="369">
        <f>VLOOKUP(C43,METADATA!$J$5:$Q$29,IF(E43="HI",2,IF(E43="LO",6,10))+IF(D43=1,2,IF(D43=7,1,(IF(WEEKDAY(B43)=1,2,IF(WEEKDAY(B43)=7,1,0))))))</f>
        <v>2</v>
      </c>
      <c r="H43" s="370">
        <v>12428.365051269531</v>
      </c>
      <c r="I43" s="370">
        <v>1786.923528137384</v>
      </c>
      <c r="M43" s="371">
        <f t="shared" si="1"/>
        <v>12556.167948185022</v>
      </c>
      <c r="N43" s="329">
        <f t="shared" si="2"/>
        <v>0</v>
      </c>
      <c r="T43" s="331">
        <v>0</v>
      </c>
      <c r="U43" s="328">
        <f>VLOOKUP(C43,METADATA!$J$5:$Q$29,IF(E43="HI",2,IF(E43="LO",6,10))+IF(T43=1,2,IF(D43=7,1,(IF(WEEKDAY(B43)=1,2,IF(WEEKDAY(B43)=7,1,0))))))</f>
        <v>2</v>
      </c>
      <c r="V43" s="328">
        <f>VLOOKUP(C43,METADATA!$A$5:$H$29,IF(E43="HI",2,IF(E43="LO",6,10))+IF(T43=1,2,IF(D43=7,1,(IF(WEEKDAY(B43)=1,2,IF(WEEKDAY(B43)=7,1,0))))))</f>
        <v>2</v>
      </c>
    </row>
    <row r="44" spans="2:22">
      <c r="B44" s="318">
        <f t="shared" si="3"/>
        <v>46114</v>
      </c>
      <c r="C44" s="312">
        <v>16</v>
      </c>
      <c r="D44" s="368">
        <f>IFERROR((INDEX(METADATA!$T$2:$T$20,MATCH(B44,METADATA!$S$2:$S$20,0))),0)</f>
        <v>0</v>
      </c>
      <c r="E44" s="312" t="str">
        <f t="shared" si="0"/>
        <v>LO</v>
      </c>
      <c r="F44" s="369">
        <f>VLOOKUP(C44,METADATA!$A$5:$H$29,IF(E44="HI",2,IF(E44="LO",6,10))+IF(D44=1,2,IF(D44=7,1,(IF(WEEKDAY(B44)=1,2,IF(WEEKDAY(B44)=7,1,0))))))</f>
        <v>2</v>
      </c>
      <c r="G44" s="369">
        <f>VLOOKUP(C44,METADATA!$J$5:$Q$29,IF(E44="HI",2,IF(E44="LO",6,10))+IF(D44=1,2,IF(D44=7,1,(IF(WEEKDAY(B44)=1,2,IF(WEEKDAY(B44)=7,1,0))))))</f>
        <v>2</v>
      </c>
      <c r="H44" s="370">
        <v>13105.18994140625</v>
      </c>
      <c r="I44" s="370">
        <v>1910.0360543727875</v>
      </c>
      <c r="M44" s="371">
        <f t="shared" si="1"/>
        <v>13243.649086612781</v>
      </c>
      <c r="N44" s="329">
        <f t="shared" si="2"/>
        <v>0</v>
      </c>
      <c r="T44" s="331">
        <v>0</v>
      </c>
      <c r="U44" s="328">
        <f>VLOOKUP(C44,METADATA!$J$5:$Q$29,IF(E44="HI",2,IF(E44="LO",6,10))+IF(T44=1,2,IF(D44=7,1,(IF(WEEKDAY(B44)=1,2,IF(WEEKDAY(B44)=7,1,0))))))</f>
        <v>2</v>
      </c>
      <c r="V44" s="328">
        <f>VLOOKUP(C44,METADATA!$A$5:$H$29,IF(E44="HI",2,IF(E44="LO",6,10))+IF(T44=1,2,IF(D44=7,1,(IF(WEEKDAY(B44)=1,2,IF(WEEKDAY(B44)=7,1,0))))))</f>
        <v>2</v>
      </c>
    </row>
    <row r="45" spans="2:22">
      <c r="B45" s="318">
        <f t="shared" si="3"/>
        <v>46114</v>
      </c>
      <c r="C45" s="312">
        <v>17</v>
      </c>
      <c r="D45" s="368">
        <f>IFERROR((INDEX(METADATA!$T$2:$T$20,MATCH(B45,METADATA!$S$2:$S$20,0))),0)</f>
        <v>0</v>
      </c>
      <c r="E45" s="312" t="str">
        <f t="shared" si="0"/>
        <v>LO</v>
      </c>
      <c r="F45" s="369">
        <f>VLOOKUP(C45,METADATA!$A$5:$H$29,IF(E45="HI",2,IF(E45="LO",6,10))+IF(D45=1,2,IF(D45=7,1,(IF(WEEKDAY(B45)=1,2,IF(WEEKDAY(B45)=7,1,0))))))</f>
        <v>2</v>
      </c>
      <c r="G45" s="369">
        <f>VLOOKUP(C45,METADATA!$J$5:$Q$29,IF(E45="HI",2,IF(E45="LO",6,10))+IF(D45=1,2,IF(D45=7,1,(IF(WEEKDAY(B45)=1,2,IF(WEEKDAY(B45)=7,1,0))))))</f>
        <v>2</v>
      </c>
      <c r="H45" s="370">
        <v>13417.855285644531</v>
      </c>
      <c r="I45" s="370">
        <v>2002.6595039367676</v>
      </c>
      <c r="M45" s="371">
        <f t="shared" si="1"/>
        <v>13566.483905390045</v>
      </c>
      <c r="N45" s="329">
        <f t="shared" si="2"/>
        <v>0</v>
      </c>
      <c r="T45" s="331">
        <v>0</v>
      </c>
      <c r="U45" s="328">
        <f>VLOOKUP(C45,METADATA!$J$5:$Q$29,IF(E45="HI",2,IF(E45="LO",6,10))+IF(T45=1,2,IF(D45=7,1,(IF(WEEKDAY(B45)=1,2,IF(WEEKDAY(B45)=7,1,0))))))</f>
        <v>2</v>
      </c>
      <c r="V45" s="328">
        <f>VLOOKUP(C45,METADATA!$A$5:$H$29,IF(E45="HI",2,IF(E45="LO",6,10))+IF(T45=1,2,IF(D45=7,1,(IF(WEEKDAY(B45)=1,2,IF(WEEKDAY(B45)=7,1,0))))))</f>
        <v>2</v>
      </c>
    </row>
    <row r="46" spans="2:22">
      <c r="B46" s="318">
        <f t="shared" si="3"/>
        <v>46114</v>
      </c>
      <c r="C46" s="312">
        <v>18</v>
      </c>
      <c r="D46" s="368">
        <f>IFERROR((INDEX(METADATA!$T$2:$T$20,MATCH(B46,METADATA!$S$2:$S$20,0))),0)</f>
        <v>0</v>
      </c>
      <c r="E46" s="312" t="str">
        <f t="shared" si="0"/>
        <v>LO</v>
      </c>
      <c r="F46" s="369">
        <f>VLOOKUP(C46,METADATA!$A$5:$H$29,IF(E46="HI",2,IF(E46="LO",6,10))+IF(D46=1,2,IF(D46=7,1,(IF(WEEKDAY(B46)=1,2,IF(WEEKDAY(B46)=7,1,0))))))</f>
        <v>1</v>
      </c>
      <c r="G46" s="369">
        <f>VLOOKUP(C46,METADATA!$J$5:$Q$29,IF(E46="HI",2,IF(E46="LO",6,10))+IF(D46=1,2,IF(D46=7,1,(IF(WEEKDAY(B46)=1,2,IF(WEEKDAY(B46)=7,1,0))))))</f>
        <v>1</v>
      </c>
      <c r="H46" s="370">
        <v>13304.649963378906</v>
      </c>
      <c r="I46" s="370">
        <v>1961.4460678100586</v>
      </c>
      <c r="M46" s="371">
        <f t="shared" si="1"/>
        <v>13448.456466262805</v>
      </c>
      <c r="N46" s="329">
        <f t="shared" si="2"/>
        <v>0</v>
      </c>
      <c r="T46" s="331">
        <v>0</v>
      </c>
      <c r="U46" s="328">
        <f>VLOOKUP(C46,METADATA!$J$5:$Q$29,IF(E46="HI",2,IF(E46="LO",6,10))+IF(T46=1,2,IF(D46=7,1,(IF(WEEKDAY(B46)=1,2,IF(WEEKDAY(B46)=7,1,0))))))</f>
        <v>1</v>
      </c>
      <c r="V46" s="328">
        <f>VLOOKUP(C46,METADATA!$A$5:$H$29,IF(E46="HI",2,IF(E46="LO",6,10))+IF(T46=1,2,IF(D46=7,1,(IF(WEEKDAY(B46)=1,2,IF(WEEKDAY(B46)=7,1,0))))))</f>
        <v>1</v>
      </c>
    </row>
    <row r="47" spans="2:22">
      <c r="B47" s="318">
        <f t="shared" si="3"/>
        <v>46114</v>
      </c>
      <c r="C47" s="312">
        <v>19</v>
      </c>
      <c r="D47" s="368">
        <f>IFERROR((INDEX(METADATA!$T$2:$T$20,MATCH(B47,METADATA!$S$2:$S$20,0))),0)</f>
        <v>0</v>
      </c>
      <c r="E47" s="312" t="str">
        <f t="shared" si="0"/>
        <v>LO</v>
      </c>
      <c r="F47" s="369">
        <f>VLOOKUP(C47,METADATA!$A$5:$H$29,IF(E47="HI",2,IF(E47="LO",6,10))+IF(D47=1,2,IF(D47=7,1,(IF(WEEKDAY(B47)=1,2,IF(WEEKDAY(B47)=7,1,0))))))</f>
        <v>1</v>
      </c>
      <c r="G47" s="369">
        <f>VLOOKUP(C47,METADATA!$J$5:$Q$29,IF(E47="HI",2,IF(E47="LO",6,10))+IF(D47=1,2,IF(D47=7,1,(IF(WEEKDAY(B47)=1,2,IF(WEEKDAY(B47)=7,1,0))))))</f>
        <v>1</v>
      </c>
      <c r="H47" s="370">
        <v>13437.255310058594</v>
      </c>
      <c r="I47" s="370">
        <v>1781.3040103912354</v>
      </c>
      <c r="M47" s="371">
        <f t="shared" si="1"/>
        <v>13554.810004021958</v>
      </c>
      <c r="N47" s="329">
        <f t="shared" si="2"/>
        <v>0</v>
      </c>
      <c r="T47" s="331">
        <v>0</v>
      </c>
      <c r="U47" s="328">
        <f>VLOOKUP(C47,METADATA!$J$5:$Q$29,IF(E47="HI",2,IF(E47="LO",6,10))+IF(T47=1,2,IF(D47=7,1,(IF(WEEKDAY(B47)=1,2,IF(WEEKDAY(B47)=7,1,0))))))</f>
        <v>1</v>
      </c>
      <c r="V47" s="328">
        <f>VLOOKUP(C47,METADATA!$A$5:$H$29,IF(E47="HI",2,IF(E47="LO",6,10))+IF(T47=1,2,IF(D47=7,1,(IF(WEEKDAY(B47)=1,2,IF(WEEKDAY(B47)=7,1,0))))))</f>
        <v>1</v>
      </c>
    </row>
    <row r="48" spans="2:22">
      <c r="B48" s="318">
        <f t="shared" si="3"/>
        <v>46114</v>
      </c>
      <c r="C48" s="312">
        <v>20</v>
      </c>
      <c r="D48" s="368">
        <f>IFERROR((INDEX(METADATA!$T$2:$T$20,MATCH(B48,METADATA!$S$2:$S$20,0))),0)</f>
        <v>0</v>
      </c>
      <c r="E48" s="312" t="str">
        <f t="shared" si="0"/>
        <v>LO</v>
      </c>
      <c r="F48" s="369">
        <f>VLOOKUP(C48,METADATA!$A$5:$H$29,IF(E48="HI",2,IF(E48="LO",6,10))+IF(D48=1,2,IF(D48=7,1,(IF(WEEKDAY(B48)=1,2,IF(WEEKDAY(B48)=7,1,0))))))</f>
        <v>1</v>
      </c>
      <c r="G48" s="369">
        <f>VLOOKUP(C48,METADATA!$J$5:$Q$29,IF(E48="HI",2,IF(E48="LO",6,10))+IF(D48=1,2,IF(D48=7,1,(IF(WEEKDAY(B48)=1,2,IF(WEEKDAY(B48)=7,1,0))))))</f>
        <v>1</v>
      </c>
      <c r="H48" s="370">
        <v>13417.415100097656</v>
      </c>
      <c r="I48" s="370">
        <v>1666.5364875793457</v>
      </c>
      <c r="M48" s="371">
        <f t="shared" si="1"/>
        <v>13520.516699918013</v>
      </c>
      <c r="N48" s="329">
        <f t="shared" si="2"/>
        <v>0</v>
      </c>
      <c r="T48" s="331">
        <v>0</v>
      </c>
      <c r="U48" s="328">
        <f>VLOOKUP(C48,METADATA!$J$5:$Q$29,IF(E48="HI",2,IF(E48="LO",6,10))+IF(T48=1,2,IF(D48=7,1,(IF(WEEKDAY(B48)=1,2,IF(WEEKDAY(B48)=7,1,0))))))</f>
        <v>1</v>
      </c>
      <c r="V48" s="328">
        <f>VLOOKUP(C48,METADATA!$A$5:$H$29,IF(E48="HI",2,IF(E48="LO",6,10))+IF(T48=1,2,IF(D48=7,1,(IF(WEEKDAY(B48)=1,2,IF(WEEKDAY(B48)=7,1,0))))))</f>
        <v>1</v>
      </c>
    </row>
    <row r="49" spans="2:22">
      <c r="B49" s="318">
        <f t="shared" si="3"/>
        <v>46114</v>
      </c>
      <c r="C49" s="312">
        <v>21</v>
      </c>
      <c r="D49" s="368">
        <f>IFERROR((INDEX(METADATA!$T$2:$T$20,MATCH(B49,METADATA!$S$2:$S$20,0))),0)</f>
        <v>0</v>
      </c>
      <c r="E49" s="312" t="str">
        <f t="shared" si="0"/>
        <v>LO</v>
      </c>
      <c r="F49" s="369">
        <f>VLOOKUP(C49,METADATA!$A$5:$H$29,IF(E49="HI",2,IF(E49="LO",6,10))+IF(D49=1,2,IF(D49=7,1,(IF(WEEKDAY(B49)=1,2,IF(WEEKDAY(B49)=7,1,0))))))</f>
        <v>2</v>
      </c>
      <c r="G49" s="369">
        <f>VLOOKUP(C49,METADATA!$J$5:$Q$29,IF(E49="HI",2,IF(E49="LO",6,10))+IF(D49=1,2,IF(D49=7,1,(IF(WEEKDAY(B49)=1,2,IF(WEEKDAY(B49)=7,1,0))))))</f>
        <v>2</v>
      </c>
      <c r="H49" s="370">
        <v>13446.275390625</v>
      </c>
      <c r="I49" s="370">
        <v>1705.00852394104</v>
      </c>
      <c r="M49" s="371">
        <f t="shared" si="1"/>
        <v>13553.943188136769</v>
      </c>
      <c r="N49" s="329">
        <f t="shared" si="2"/>
        <v>0</v>
      </c>
      <c r="T49" s="331">
        <v>0</v>
      </c>
      <c r="U49" s="328">
        <f>VLOOKUP(C49,METADATA!$J$5:$Q$29,IF(E49="HI",2,IF(E49="LO",6,10))+IF(T49=1,2,IF(D49=7,1,(IF(WEEKDAY(B49)=1,2,IF(WEEKDAY(B49)=7,1,0))))))</f>
        <v>2</v>
      </c>
      <c r="V49" s="328">
        <f>VLOOKUP(C49,METADATA!$A$5:$H$29,IF(E49="HI",2,IF(E49="LO",6,10))+IF(T49=1,2,IF(D49=7,1,(IF(WEEKDAY(B49)=1,2,IF(WEEKDAY(B49)=7,1,0))))))</f>
        <v>2</v>
      </c>
    </row>
    <row r="50" spans="2:22">
      <c r="B50" s="318">
        <f t="shared" si="3"/>
        <v>46114</v>
      </c>
      <c r="C50" s="312">
        <v>22</v>
      </c>
      <c r="D50" s="368">
        <f>IFERROR((INDEX(METADATA!$T$2:$T$20,MATCH(B50,METADATA!$S$2:$S$20,0))),0)</f>
        <v>0</v>
      </c>
      <c r="E50" s="312" t="str">
        <f t="shared" si="0"/>
        <v>LO</v>
      </c>
      <c r="F50" s="369">
        <f>VLOOKUP(C50,METADATA!$A$5:$H$29,IF(E50="HI",2,IF(E50="LO",6,10))+IF(D50=1,2,IF(D50=7,1,(IF(WEEKDAY(B50)=1,2,IF(WEEKDAY(B50)=7,1,0))))))</f>
        <v>3</v>
      </c>
      <c r="G50" s="369">
        <f>VLOOKUP(C50,METADATA!$J$5:$Q$29,IF(E50="HI",2,IF(E50="LO",6,10))+IF(D50=1,2,IF(D50=7,1,(IF(WEEKDAY(B50)=1,2,IF(WEEKDAY(B50)=7,1,0))))))</f>
        <v>3</v>
      </c>
      <c r="H50" s="370">
        <v>13421.109741210938</v>
      </c>
      <c r="I50" s="370">
        <v>1687.0315036773682</v>
      </c>
      <c r="M50" s="371">
        <f t="shared" si="1"/>
        <v>13526.72399289743</v>
      </c>
      <c r="N50" s="329">
        <f t="shared" si="2"/>
        <v>0</v>
      </c>
      <c r="T50" s="331">
        <v>0</v>
      </c>
      <c r="U50" s="328">
        <f>VLOOKUP(C50,METADATA!$J$5:$Q$29,IF(E50="HI",2,IF(E50="LO",6,10))+IF(T50=1,2,IF(D50=7,1,(IF(WEEKDAY(B50)=1,2,IF(WEEKDAY(B50)=7,1,0))))))</f>
        <v>3</v>
      </c>
      <c r="V50" s="328">
        <f>VLOOKUP(C50,METADATA!$A$5:$H$29,IF(E50="HI",2,IF(E50="LO",6,10))+IF(T50=1,2,IF(D50=7,1,(IF(WEEKDAY(B50)=1,2,IF(WEEKDAY(B50)=7,1,0))))))</f>
        <v>3</v>
      </c>
    </row>
    <row r="51" spans="2:22">
      <c r="B51" s="318">
        <f t="shared" si="3"/>
        <v>46114</v>
      </c>
      <c r="C51" s="312">
        <v>23</v>
      </c>
      <c r="D51" s="368">
        <f>IFERROR((INDEX(METADATA!$T$2:$T$20,MATCH(B51,METADATA!$S$2:$S$20,0))),0)</f>
        <v>0</v>
      </c>
      <c r="E51" s="312" t="str">
        <f t="shared" si="0"/>
        <v>LO</v>
      </c>
      <c r="F51" s="369">
        <f>VLOOKUP(C51,METADATA!$A$5:$H$29,IF(E51="HI",2,IF(E51="LO",6,10))+IF(D51=1,2,IF(D51=7,1,(IF(WEEKDAY(B51)=1,2,IF(WEEKDAY(B51)=7,1,0))))))</f>
        <v>3</v>
      </c>
      <c r="G51" s="369">
        <f>VLOOKUP(C51,METADATA!$J$5:$Q$29,IF(E51="HI",2,IF(E51="LO",6,10))+IF(D51=1,2,IF(D51=7,1,(IF(WEEKDAY(B51)=1,2,IF(WEEKDAY(B51)=7,1,0))))))</f>
        <v>3</v>
      </c>
      <c r="H51" s="370">
        <v>13373.295104980469</v>
      </c>
      <c r="I51" s="370">
        <v>1693.2239561080933</v>
      </c>
      <c r="M51" s="371">
        <f t="shared" si="1"/>
        <v>13480.060434969604</v>
      </c>
      <c r="N51" s="329">
        <f t="shared" si="2"/>
        <v>0</v>
      </c>
      <c r="T51" s="331">
        <v>0</v>
      </c>
      <c r="U51" s="328">
        <f>VLOOKUP(C51,METADATA!$J$5:$Q$29,IF(E51="HI",2,IF(E51="LO",6,10))+IF(T51=1,2,IF(D51=7,1,(IF(WEEKDAY(B51)=1,2,IF(WEEKDAY(B51)=7,1,0))))))</f>
        <v>3</v>
      </c>
      <c r="V51" s="328">
        <f>VLOOKUP(C51,METADATA!$A$5:$H$29,IF(E51="HI",2,IF(E51="LO",6,10))+IF(T51=1,2,IF(D51=7,1,(IF(WEEKDAY(B51)=1,2,IF(WEEKDAY(B51)=7,1,0))))))</f>
        <v>3</v>
      </c>
    </row>
    <row r="52" spans="2:22">
      <c r="B52" s="318">
        <f t="shared" si="3"/>
        <v>46115</v>
      </c>
      <c r="C52" s="312">
        <v>0</v>
      </c>
      <c r="D52" s="368">
        <f>IFERROR((INDEX(METADATA!$T$2:$T$20,MATCH(B52,METADATA!$S$2:$S$20,0))),0)</f>
        <v>1</v>
      </c>
      <c r="E52" s="312" t="str">
        <f t="shared" si="0"/>
        <v>LO</v>
      </c>
      <c r="F52" s="369">
        <f>VLOOKUP(C52,METADATA!$A$5:$H$29,IF(E52="HI",2,IF(E52="LO",6,10))+IF(D52=1,2,IF(D52=7,1,(IF(WEEKDAY(B52)=1,2,IF(WEEKDAY(B52)=7,1,0))))))</f>
        <v>3</v>
      </c>
      <c r="G52" s="369">
        <f>VLOOKUP(C52,METADATA!$J$5:$Q$29,IF(E52="HI",2,IF(E52="LO",6,10))+IF(D52=1,2,IF(D52=7,1,(IF(WEEKDAY(B52)=1,2,IF(WEEKDAY(B52)=7,1,0))))))</f>
        <v>3</v>
      </c>
      <c r="H52" s="370">
        <v>13314.625061035156</v>
      </c>
      <c r="I52" s="370">
        <v>1727.8795175552368</v>
      </c>
      <c r="M52" s="371">
        <f t="shared" si="1"/>
        <v>13426.273054840363</v>
      </c>
      <c r="N52" s="329">
        <f t="shared" si="2"/>
        <v>0</v>
      </c>
      <c r="T52" s="331">
        <v>0</v>
      </c>
      <c r="U52" s="328">
        <f>VLOOKUP(C52,METADATA!$J$5:$Q$29,IF(E52="HI",2,IF(E52="LO",6,10))+IF(T52=1,2,IF(D52=7,1,(IF(WEEKDAY(B52)=1,2,IF(WEEKDAY(B52)=7,1,0))))))</f>
        <v>3</v>
      </c>
      <c r="V52" s="328">
        <f>VLOOKUP(C52,METADATA!$A$5:$H$29,IF(E52="HI",2,IF(E52="LO",6,10))+IF(T52=1,2,IF(D52=7,1,(IF(WEEKDAY(B52)=1,2,IF(WEEKDAY(B52)=7,1,0))))))</f>
        <v>3</v>
      </c>
    </row>
    <row r="53" spans="2:22">
      <c r="B53" s="318">
        <f t="shared" si="3"/>
        <v>46115</v>
      </c>
      <c r="C53" s="312">
        <v>1</v>
      </c>
      <c r="D53" s="368">
        <f>IFERROR((INDEX(METADATA!$T$2:$T$20,MATCH(B53,METADATA!$S$2:$S$20,0))),0)</f>
        <v>1</v>
      </c>
      <c r="E53" s="312" t="str">
        <f t="shared" si="0"/>
        <v>LO</v>
      </c>
      <c r="F53" s="369">
        <f>VLOOKUP(C53,METADATA!$A$5:$H$29,IF(E53="HI",2,IF(E53="LO",6,10))+IF(D53=1,2,IF(D53=7,1,(IF(WEEKDAY(B53)=1,2,IF(WEEKDAY(B53)=7,1,0))))))</f>
        <v>3</v>
      </c>
      <c r="G53" s="369">
        <f>VLOOKUP(C53,METADATA!$J$5:$Q$29,IF(E53="HI",2,IF(E53="LO",6,10))+IF(D53=1,2,IF(D53=7,1,(IF(WEEKDAY(B53)=1,2,IF(WEEKDAY(B53)=7,1,0))))))</f>
        <v>3</v>
      </c>
      <c r="H53" s="370">
        <v>13408.844665527344</v>
      </c>
      <c r="I53" s="370">
        <v>1700.0180225372314</v>
      </c>
      <c r="M53" s="371">
        <f t="shared" si="1"/>
        <v>13516.182025305538</v>
      </c>
      <c r="N53" s="329">
        <f t="shared" si="2"/>
        <v>0</v>
      </c>
      <c r="T53" s="331">
        <v>0</v>
      </c>
      <c r="U53" s="328">
        <f>VLOOKUP(C53,METADATA!$J$5:$Q$29,IF(E53="HI",2,IF(E53="LO",6,10))+IF(T53=1,2,IF(D53=7,1,(IF(WEEKDAY(B53)=1,2,IF(WEEKDAY(B53)=7,1,0))))))</f>
        <v>3</v>
      </c>
      <c r="V53" s="328">
        <f>VLOOKUP(C53,METADATA!$A$5:$H$29,IF(E53="HI",2,IF(E53="LO",6,10))+IF(T53=1,2,IF(D53=7,1,(IF(WEEKDAY(B53)=1,2,IF(WEEKDAY(B53)=7,1,0))))))</f>
        <v>3</v>
      </c>
    </row>
    <row r="54" spans="2:22">
      <c r="B54" s="318">
        <f t="shared" si="3"/>
        <v>46115</v>
      </c>
      <c r="C54" s="312">
        <v>2</v>
      </c>
      <c r="D54" s="368">
        <f>IFERROR((INDEX(METADATA!$T$2:$T$20,MATCH(B54,METADATA!$S$2:$S$20,0))),0)</f>
        <v>1</v>
      </c>
      <c r="E54" s="312" t="str">
        <f t="shared" si="0"/>
        <v>LO</v>
      </c>
      <c r="F54" s="369">
        <f>VLOOKUP(C54,METADATA!$A$5:$H$29,IF(E54="HI",2,IF(E54="LO",6,10))+IF(D54=1,2,IF(D54=7,1,(IF(WEEKDAY(B54)=1,2,IF(WEEKDAY(B54)=7,1,0))))))</f>
        <v>3</v>
      </c>
      <c r="G54" s="369">
        <f>VLOOKUP(C54,METADATA!$J$5:$Q$29,IF(E54="HI",2,IF(E54="LO",6,10))+IF(D54=1,2,IF(D54=7,1,(IF(WEEKDAY(B54)=1,2,IF(WEEKDAY(B54)=7,1,0))))))</f>
        <v>3</v>
      </c>
      <c r="H54" s="370">
        <v>13246.599853515625</v>
      </c>
      <c r="I54" s="370">
        <v>1678.7244608402252</v>
      </c>
      <c r="M54" s="371">
        <f t="shared" si="1"/>
        <v>13352.547453373214</v>
      </c>
      <c r="N54" s="329">
        <f t="shared" si="2"/>
        <v>0</v>
      </c>
      <c r="T54" s="331">
        <v>0</v>
      </c>
      <c r="U54" s="328">
        <f>VLOOKUP(C54,METADATA!$J$5:$Q$29,IF(E54="HI",2,IF(E54="LO",6,10))+IF(T54=1,2,IF(D54=7,1,(IF(WEEKDAY(B54)=1,2,IF(WEEKDAY(B54)=7,1,0))))))</f>
        <v>3</v>
      </c>
      <c r="V54" s="328">
        <f>VLOOKUP(C54,METADATA!$A$5:$H$29,IF(E54="HI",2,IF(E54="LO",6,10))+IF(T54=1,2,IF(D54=7,1,(IF(WEEKDAY(B54)=1,2,IF(WEEKDAY(B54)=7,1,0))))))</f>
        <v>3</v>
      </c>
    </row>
    <row r="55" spans="2:22">
      <c r="B55" s="318">
        <f t="shared" si="3"/>
        <v>46115</v>
      </c>
      <c r="C55" s="312">
        <v>3</v>
      </c>
      <c r="D55" s="368">
        <f>IFERROR((INDEX(METADATA!$T$2:$T$20,MATCH(B55,METADATA!$S$2:$S$20,0))),0)</f>
        <v>1</v>
      </c>
      <c r="E55" s="312" t="str">
        <f t="shared" si="0"/>
        <v>LO</v>
      </c>
      <c r="F55" s="369">
        <f>VLOOKUP(C55,METADATA!$A$5:$H$29,IF(E55="HI",2,IF(E55="LO",6,10))+IF(D55=1,2,IF(D55=7,1,(IF(WEEKDAY(B55)=1,2,IF(WEEKDAY(B55)=7,1,0))))))</f>
        <v>3</v>
      </c>
      <c r="G55" s="369">
        <f>VLOOKUP(C55,METADATA!$J$5:$Q$29,IF(E55="HI",2,IF(E55="LO",6,10))+IF(D55=1,2,IF(D55=7,1,(IF(WEEKDAY(B55)=1,2,IF(WEEKDAY(B55)=7,1,0))))))</f>
        <v>3</v>
      </c>
      <c r="H55" s="370">
        <v>13238.94970703125</v>
      </c>
      <c r="I55" s="370">
        <v>1709.7579479217529</v>
      </c>
      <c r="M55" s="371">
        <f t="shared" si="1"/>
        <v>13348.897392136341</v>
      </c>
      <c r="N55" s="329">
        <f t="shared" si="2"/>
        <v>0</v>
      </c>
      <c r="T55" s="331">
        <v>0</v>
      </c>
      <c r="U55" s="328">
        <f>VLOOKUP(C55,METADATA!$J$5:$Q$29,IF(E55="HI",2,IF(E55="LO",6,10))+IF(T55=1,2,IF(D55=7,1,(IF(WEEKDAY(B55)=1,2,IF(WEEKDAY(B55)=7,1,0))))))</f>
        <v>3</v>
      </c>
      <c r="V55" s="328">
        <f>VLOOKUP(C55,METADATA!$A$5:$H$29,IF(E55="HI",2,IF(E55="LO",6,10))+IF(T55=1,2,IF(D55=7,1,(IF(WEEKDAY(B55)=1,2,IF(WEEKDAY(B55)=7,1,0))))))</f>
        <v>3</v>
      </c>
    </row>
    <row r="56" spans="2:22">
      <c r="B56" s="318">
        <f t="shared" si="3"/>
        <v>46115</v>
      </c>
      <c r="C56" s="312">
        <v>4</v>
      </c>
      <c r="D56" s="368">
        <f>IFERROR((INDEX(METADATA!$T$2:$T$20,MATCH(B56,METADATA!$S$2:$S$20,0))),0)</f>
        <v>1</v>
      </c>
      <c r="E56" s="312" t="str">
        <f t="shared" si="0"/>
        <v>LO</v>
      </c>
      <c r="F56" s="369">
        <f>VLOOKUP(C56,METADATA!$A$5:$H$29,IF(E56="HI",2,IF(E56="LO",6,10))+IF(D56=1,2,IF(D56=7,1,(IF(WEEKDAY(B56)=1,2,IF(WEEKDAY(B56)=7,1,0))))))</f>
        <v>3</v>
      </c>
      <c r="G56" s="369">
        <f>VLOOKUP(C56,METADATA!$J$5:$Q$29,IF(E56="HI",2,IF(E56="LO",6,10))+IF(D56=1,2,IF(D56=7,1,(IF(WEEKDAY(B56)=1,2,IF(WEEKDAY(B56)=7,1,0))))))</f>
        <v>3</v>
      </c>
      <c r="H56" s="370">
        <v>13315.965087890625</v>
      </c>
      <c r="I56" s="370">
        <v>1697.1620218753815</v>
      </c>
      <c r="M56" s="371">
        <f t="shared" si="1"/>
        <v>13423.683739958198</v>
      </c>
      <c r="N56" s="329">
        <f t="shared" si="2"/>
        <v>0</v>
      </c>
      <c r="T56" s="331">
        <v>0</v>
      </c>
      <c r="U56" s="328">
        <f>VLOOKUP(C56,METADATA!$J$5:$Q$29,IF(E56="HI",2,IF(E56="LO",6,10))+IF(T56=1,2,IF(D56=7,1,(IF(WEEKDAY(B56)=1,2,IF(WEEKDAY(B56)=7,1,0))))))</f>
        <v>3</v>
      </c>
      <c r="V56" s="328">
        <f>VLOOKUP(C56,METADATA!$A$5:$H$29,IF(E56="HI",2,IF(E56="LO",6,10))+IF(T56=1,2,IF(D56=7,1,(IF(WEEKDAY(B56)=1,2,IF(WEEKDAY(B56)=7,1,0))))))</f>
        <v>3</v>
      </c>
    </row>
    <row r="57" spans="2:22">
      <c r="B57" s="318">
        <f t="shared" si="3"/>
        <v>46115</v>
      </c>
      <c r="C57" s="312">
        <v>5</v>
      </c>
      <c r="D57" s="368">
        <f>IFERROR((INDEX(METADATA!$T$2:$T$20,MATCH(B57,METADATA!$S$2:$S$20,0))),0)</f>
        <v>1</v>
      </c>
      <c r="E57" s="312" t="str">
        <f t="shared" si="0"/>
        <v>LO</v>
      </c>
      <c r="F57" s="369">
        <f>VLOOKUP(C57,METADATA!$A$5:$H$29,IF(E57="HI",2,IF(E57="LO",6,10))+IF(D57=1,2,IF(D57=7,1,(IF(WEEKDAY(B57)=1,2,IF(WEEKDAY(B57)=7,1,0))))))</f>
        <v>3</v>
      </c>
      <c r="G57" s="369">
        <f>VLOOKUP(C57,METADATA!$J$5:$Q$29,IF(E57="HI",2,IF(E57="LO",6,10))+IF(D57=1,2,IF(D57=7,1,(IF(WEEKDAY(B57)=1,2,IF(WEEKDAY(B57)=7,1,0))))))</f>
        <v>3</v>
      </c>
      <c r="H57" s="370">
        <v>13327.045104980469</v>
      </c>
      <c r="I57" s="370">
        <v>1659.9824962615967</v>
      </c>
      <c r="M57" s="371">
        <f t="shared" si="1"/>
        <v>13430.028783218551</v>
      </c>
      <c r="N57" s="329">
        <f t="shared" si="2"/>
        <v>0</v>
      </c>
      <c r="T57" s="331">
        <v>0</v>
      </c>
      <c r="U57" s="328">
        <f>VLOOKUP(C57,METADATA!$J$5:$Q$29,IF(E57="HI",2,IF(E57="LO",6,10))+IF(T57=1,2,IF(D57=7,1,(IF(WEEKDAY(B57)=1,2,IF(WEEKDAY(B57)=7,1,0))))))</f>
        <v>3</v>
      </c>
      <c r="V57" s="328">
        <f>VLOOKUP(C57,METADATA!$A$5:$H$29,IF(E57="HI",2,IF(E57="LO",6,10))+IF(T57=1,2,IF(D57=7,1,(IF(WEEKDAY(B57)=1,2,IF(WEEKDAY(B57)=7,1,0))))))</f>
        <v>3</v>
      </c>
    </row>
    <row r="58" spans="2:22">
      <c r="B58" s="318">
        <f t="shared" si="3"/>
        <v>46115</v>
      </c>
      <c r="C58" s="312">
        <v>6</v>
      </c>
      <c r="D58" s="368">
        <f>IFERROR((INDEX(METADATA!$T$2:$T$20,MATCH(B58,METADATA!$S$2:$S$20,0))),0)</f>
        <v>1</v>
      </c>
      <c r="E58" s="312" t="str">
        <f t="shared" si="0"/>
        <v>LO</v>
      </c>
      <c r="F58" s="369">
        <f>VLOOKUP(C58,METADATA!$A$5:$H$29,IF(E58="HI",2,IF(E58="LO",6,10))+IF(D58=1,2,IF(D58=7,1,(IF(WEEKDAY(B58)=1,2,IF(WEEKDAY(B58)=7,1,0))))))</f>
        <v>3</v>
      </c>
      <c r="G58" s="369">
        <f>VLOOKUP(C58,METADATA!$J$5:$Q$29,IF(E58="HI",2,IF(E58="LO",6,10))+IF(D58=1,2,IF(D58=7,1,(IF(WEEKDAY(B58)=1,2,IF(WEEKDAY(B58)=7,1,0))))))</f>
        <v>3</v>
      </c>
      <c r="H58" s="370">
        <v>13309.920166015625</v>
      </c>
      <c r="I58" s="370">
        <v>1658.5925048589706</v>
      </c>
      <c r="M58" s="371">
        <f t="shared" si="1"/>
        <v>13412.863375241088</v>
      </c>
      <c r="N58" s="329">
        <f t="shared" si="2"/>
        <v>0</v>
      </c>
      <c r="T58" s="331">
        <v>0</v>
      </c>
      <c r="U58" s="328">
        <f>VLOOKUP(C58,METADATA!$J$5:$Q$29,IF(E58="HI",2,IF(E58="LO",6,10))+IF(T58=1,2,IF(D58=7,1,(IF(WEEKDAY(B58)=1,2,IF(WEEKDAY(B58)=7,1,0))))))</f>
        <v>2</v>
      </c>
      <c r="V58" s="328">
        <f>VLOOKUP(C58,METADATA!$A$5:$H$29,IF(E58="HI",2,IF(E58="LO",6,10))+IF(T58=1,2,IF(D58=7,1,(IF(WEEKDAY(B58)=1,2,IF(WEEKDAY(B58)=7,1,0))))))</f>
        <v>2</v>
      </c>
    </row>
    <row r="59" spans="2:22">
      <c r="B59" s="318">
        <f t="shared" si="3"/>
        <v>46115</v>
      </c>
      <c r="C59" s="312">
        <v>7</v>
      </c>
      <c r="D59" s="368">
        <f>IFERROR((INDEX(METADATA!$T$2:$T$20,MATCH(B59,METADATA!$S$2:$S$20,0))),0)</f>
        <v>1</v>
      </c>
      <c r="E59" s="312" t="str">
        <f t="shared" si="0"/>
        <v>LO</v>
      </c>
      <c r="F59" s="369">
        <f>VLOOKUP(C59,METADATA!$A$5:$H$29,IF(E59="HI",2,IF(E59="LO",6,10))+IF(D59=1,2,IF(D59=7,1,(IF(WEEKDAY(B59)=1,2,IF(WEEKDAY(B59)=7,1,0))))))</f>
        <v>3</v>
      </c>
      <c r="G59" s="369">
        <f>VLOOKUP(C59,METADATA!$J$5:$Q$29,IF(E59="HI",2,IF(E59="LO",6,10))+IF(D59=1,2,IF(D59=7,1,(IF(WEEKDAY(B59)=1,2,IF(WEEKDAY(B59)=7,1,0))))))</f>
        <v>3</v>
      </c>
      <c r="H59" s="370">
        <v>13379.944885253906</v>
      </c>
      <c r="I59" s="370">
        <v>1716.4320526123047</v>
      </c>
      <c r="M59" s="371">
        <f t="shared" si="1"/>
        <v>13489.590954645995</v>
      </c>
      <c r="N59" s="329">
        <f t="shared" si="2"/>
        <v>0</v>
      </c>
      <c r="T59" s="331">
        <v>0</v>
      </c>
      <c r="U59" s="328">
        <f>VLOOKUP(C59,METADATA!$J$5:$Q$29,IF(E59="HI",2,IF(E59="LO",6,10))+IF(T59=1,2,IF(D59=7,1,(IF(WEEKDAY(B59)=1,2,IF(WEEKDAY(B59)=7,1,0))))))</f>
        <v>1</v>
      </c>
      <c r="V59" s="328">
        <f>VLOOKUP(C59,METADATA!$A$5:$H$29,IF(E59="HI",2,IF(E59="LO",6,10))+IF(T59=1,2,IF(D59=7,1,(IF(WEEKDAY(B59)=1,2,IF(WEEKDAY(B59)=7,1,0))))))</f>
        <v>1</v>
      </c>
    </row>
    <row r="60" spans="2:22">
      <c r="B60" s="318">
        <f t="shared" si="3"/>
        <v>46115</v>
      </c>
      <c r="C60" s="312">
        <v>8</v>
      </c>
      <c r="D60" s="368">
        <f>IFERROR((INDEX(METADATA!$T$2:$T$20,MATCH(B60,METADATA!$S$2:$S$20,0))),0)</f>
        <v>1</v>
      </c>
      <c r="E60" s="312" t="str">
        <f t="shared" si="0"/>
        <v>LO</v>
      </c>
      <c r="F60" s="369">
        <f>VLOOKUP(C60,METADATA!$A$5:$H$29,IF(E60="HI",2,IF(E60="LO",6,10))+IF(D60=1,2,IF(D60=7,1,(IF(WEEKDAY(B60)=1,2,IF(WEEKDAY(B60)=7,1,0))))))</f>
        <v>3</v>
      </c>
      <c r="G60" s="369">
        <f>VLOOKUP(C60,METADATA!$J$5:$Q$29,IF(E60="HI",2,IF(E60="LO",6,10))+IF(D60=1,2,IF(D60=7,1,(IF(WEEKDAY(B60)=1,2,IF(WEEKDAY(B60)=7,1,0))))))</f>
        <v>3</v>
      </c>
      <c r="H60" s="370">
        <v>13425.3447265625</v>
      </c>
      <c r="I60" s="370">
        <v>1855.6790218353271</v>
      </c>
      <c r="M60" s="371">
        <f t="shared" si="1"/>
        <v>13552.985857703801</v>
      </c>
      <c r="N60" s="329">
        <f t="shared" si="2"/>
        <v>0</v>
      </c>
      <c r="T60" s="331">
        <v>0</v>
      </c>
      <c r="U60" s="328">
        <f>VLOOKUP(C60,METADATA!$J$5:$Q$29,IF(E60="HI",2,IF(E60="LO",6,10))+IF(T60=1,2,IF(D60=7,1,(IF(WEEKDAY(B60)=1,2,IF(WEEKDAY(B60)=7,1,0))))))</f>
        <v>1</v>
      </c>
      <c r="V60" s="328">
        <f>VLOOKUP(C60,METADATA!$A$5:$H$29,IF(E60="HI",2,IF(E60="LO",6,10))+IF(T60=1,2,IF(D60=7,1,(IF(WEEKDAY(B60)=1,2,IF(WEEKDAY(B60)=7,1,0))))))</f>
        <v>1</v>
      </c>
    </row>
    <row r="61" spans="2:22">
      <c r="B61" s="318">
        <f t="shared" si="3"/>
        <v>46115</v>
      </c>
      <c r="C61" s="312">
        <v>9</v>
      </c>
      <c r="D61" s="368">
        <f>IFERROR((INDEX(METADATA!$T$2:$T$20,MATCH(B61,METADATA!$S$2:$S$20,0))),0)</f>
        <v>1</v>
      </c>
      <c r="E61" s="312" t="str">
        <f t="shared" si="0"/>
        <v>LO</v>
      </c>
      <c r="F61" s="369">
        <f>VLOOKUP(C61,METADATA!$A$5:$H$29,IF(E61="HI",2,IF(E61="LO",6,10))+IF(D61=1,2,IF(D61=7,1,(IF(WEEKDAY(B61)=1,2,IF(WEEKDAY(B61)=7,1,0))))))</f>
        <v>3</v>
      </c>
      <c r="G61" s="369">
        <f>VLOOKUP(C61,METADATA!$J$5:$Q$29,IF(E61="HI",2,IF(E61="LO",6,10))+IF(D61=1,2,IF(D61=7,1,(IF(WEEKDAY(B61)=1,2,IF(WEEKDAY(B61)=7,1,0))))))</f>
        <v>3</v>
      </c>
      <c r="H61" s="370">
        <v>13427.635131835938</v>
      </c>
      <c r="I61" s="370">
        <v>1828.7550430297852</v>
      </c>
      <c r="M61" s="371">
        <f t="shared" si="1"/>
        <v>13551.595117960156</v>
      </c>
      <c r="N61" s="329">
        <f t="shared" si="2"/>
        <v>0</v>
      </c>
      <c r="T61" s="331">
        <v>0</v>
      </c>
      <c r="U61" s="328">
        <f>VLOOKUP(C61,METADATA!$J$5:$Q$29,IF(E61="HI",2,IF(E61="LO",6,10))+IF(T61=1,2,IF(D61=7,1,(IF(WEEKDAY(B61)=1,2,IF(WEEKDAY(B61)=7,1,0))))))</f>
        <v>2</v>
      </c>
      <c r="V61" s="328">
        <f>VLOOKUP(C61,METADATA!$A$5:$H$29,IF(E61="HI",2,IF(E61="LO",6,10))+IF(T61=1,2,IF(D61=7,1,(IF(WEEKDAY(B61)=1,2,IF(WEEKDAY(B61)=7,1,0))))))</f>
        <v>2</v>
      </c>
    </row>
    <row r="62" spans="2:22">
      <c r="B62" s="318">
        <f t="shared" si="3"/>
        <v>46115</v>
      </c>
      <c r="C62" s="312">
        <v>10</v>
      </c>
      <c r="D62" s="368">
        <f>IFERROR((INDEX(METADATA!$T$2:$T$20,MATCH(B62,METADATA!$S$2:$S$20,0))),0)</f>
        <v>1</v>
      </c>
      <c r="E62" s="312" t="str">
        <f t="shared" si="0"/>
        <v>LO</v>
      </c>
      <c r="F62" s="369">
        <f>VLOOKUP(C62,METADATA!$A$5:$H$29,IF(E62="HI",2,IF(E62="LO",6,10))+IF(D62=1,2,IF(D62=7,1,(IF(WEEKDAY(B62)=1,2,IF(WEEKDAY(B62)=7,1,0))))))</f>
        <v>3</v>
      </c>
      <c r="G62" s="369">
        <f>VLOOKUP(C62,METADATA!$J$5:$Q$29,IF(E62="HI",2,IF(E62="LO",6,10))+IF(D62=1,2,IF(D62=7,1,(IF(WEEKDAY(B62)=1,2,IF(WEEKDAY(B62)=7,1,0))))))</f>
        <v>3</v>
      </c>
      <c r="H62" s="370">
        <v>13435.874938964844</v>
      </c>
      <c r="I62" s="370">
        <v>1799.663990020752</v>
      </c>
      <c r="M62" s="371">
        <f t="shared" si="1"/>
        <v>13555.866842532829</v>
      </c>
      <c r="N62" s="329">
        <f t="shared" si="2"/>
        <v>0</v>
      </c>
      <c r="T62" s="331">
        <v>0</v>
      </c>
      <c r="U62" s="328">
        <f>VLOOKUP(C62,METADATA!$J$5:$Q$29,IF(E62="HI",2,IF(E62="LO",6,10))+IF(T62=1,2,IF(D62=7,1,(IF(WEEKDAY(B62)=1,2,IF(WEEKDAY(B62)=7,1,0))))))</f>
        <v>2</v>
      </c>
      <c r="V62" s="328">
        <f>VLOOKUP(C62,METADATA!$A$5:$H$29,IF(E62="HI",2,IF(E62="LO",6,10))+IF(T62=1,2,IF(D62=7,1,(IF(WEEKDAY(B62)=1,2,IF(WEEKDAY(B62)=7,1,0))))))</f>
        <v>2</v>
      </c>
    </row>
    <row r="63" spans="2:22">
      <c r="B63" s="318">
        <f t="shared" si="3"/>
        <v>46115</v>
      </c>
      <c r="C63" s="312">
        <v>11</v>
      </c>
      <c r="D63" s="368">
        <f>IFERROR((INDEX(METADATA!$T$2:$T$20,MATCH(B63,METADATA!$S$2:$S$20,0))),0)</f>
        <v>1</v>
      </c>
      <c r="E63" s="312" t="str">
        <f t="shared" si="0"/>
        <v>LO</v>
      </c>
      <c r="F63" s="369">
        <f>VLOOKUP(C63,METADATA!$A$5:$H$29,IF(E63="HI",2,IF(E63="LO",6,10))+IF(D63=1,2,IF(D63=7,1,(IF(WEEKDAY(B63)=1,2,IF(WEEKDAY(B63)=7,1,0))))))</f>
        <v>3</v>
      </c>
      <c r="G63" s="369">
        <f>VLOOKUP(C63,METADATA!$J$5:$Q$29,IF(E63="HI",2,IF(E63="LO",6,10))+IF(D63=1,2,IF(D63=7,1,(IF(WEEKDAY(B63)=1,2,IF(WEEKDAY(B63)=7,1,0))))))</f>
        <v>3</v>
      </c>
      <c r="H63" s="370">
        <v>13365.239929199219</v>
      </c>
      <c r="I63" s="370">
        <v>1871.8289527893066</v>
      </c>
      <c r="M63" s="371">
        <f t="shared" si="1"/>
        <v>13495.680123415843</v>
      </c>
      <c r="N63" s="329">
        <f t="shared" si="2"/>
        <v>0</v>
      </c>
      <c r="T63" s="331">
        <v>0</v>
      </c>
      <c r="U63" s="328">
        <f>VLOOKUP(C63,METADATA!$J$5:$Q$29,IF(E63="HI",2,IF(E63="LO",6,10))+IF(T63=1,2,IF(D63=7,1,(IF(WEEKDAY(B63)=1,2,IF(WEEKDAY(B63)=7,1,0))))))</f>
        <v>2</v>
      </c>
      <c r="V63" s="328">
        <f>VLOOKUP(C63,METADATA!$A$5:$H$29,IF(E63="HI",2,IF(E63="LO",6,10))+IF(T63=1,2,IF(D63=7,1,(IF(WEEKDAY(B63)=1,2,IF(WEEKDAY(B63)=7,1,0))))))</f>
        <v>2</v>
      </c>
    </row>
    <row r="64" spans="2:22">
      <c r="B64" s="318">
        <f t="shared" si="3"/>
        <v>46115</v>
      </c>
      <c r="C64" s="312">
        <v>12</v>
      </c>
      <c r="D64" s="368">
        <f>IFERROR((INDEX(METADATA!$T$2:$T$20,MATCH(B64,METADATA!$S$2:$S$20,0))),0)</f>
        <v>1</v>
      </c>
      <c r="E64" s="312" t="str">
        <f t="shared" si="0"/>
        <v>LO</v>
      </c>
      <c r="F64" s="369">
        <f>VLOOKUP(C64,METADATA!$A$5:$H$29,IF(E64="HI",2,IF(E64="LO",6,10))+IF(D64=1,2,IF(D64=7,1,(IF(WEEKDAY(B64)=1,2,IF(WEEKDAY(B64)=7,1,0))))))</f>
        <v>3</v>
      </c>
      <c r="G64" s="369">
        <f>VLOOKUP(C64,METADATA!$J$5:$Q$29,IF(E64="HI",2,IF(E64="LO",6,10))+IF(D64=1,2,IF(D64=7,1,(IF(WEEKDAY(B64)=1,2,IF(WEEKDAY(B64)=7,1,0))))))</f>
        <v>3</v>
      </c>
      <c r="H64" s="370">
        <v>13338.865051269531</v>
      </c>
      <c r="I64" s="370">
        <v>1871.4485549926758</v>
      </c>
      <c r="M64" s="371">
        <f t="shared" si="1"/>
        <v>13469.507806522251</v>
      </c>
      <c r="N64" s="329">
        <f t="shared" si="2"/>
        <v>0</v>
      </c>
      <c r="T64" s="331">
        <v>0</v>
      </c>
      <c r="U64" s="328">
        <f>VLOOKUP(C64,METADATA!$J$5:$Q$29,IF(E64="HI",2,IF(E64="LO",6,10))+IF(T64=1,2,IF(D64=7,1,(IF(WEEKDAY(B64)=1,2,IF(WEEKDAY(B64)=7,1,0))))))</f>
        <v>2</v>
      </c>
      <c r="V64" s="328">
        <f>VLOOKUP(C64,METADATA!$A$5:$H$29,IF(E64="HI",2,IF(E64="LO",6,10))+IF(T64=1,2,IF(D64=7,1,(IF(WEEKDAY(B64)=1,2,IF(WEEKDAY(B64)=7,1,0))))))</f>
        <v>2</v>
      </c>
    </row>
    <row r="65" spans="2:22">
      <c r="B65" s="318">
        <f t="shared" si="3"/>
        <v>46115</v>
      </c>
      <c r="C65" s="312">
        <v>13</v>
      </c>
      <c r="D65" s="368">
        <f>IFERROR((INDEX(METADATA!$T$2:$T$20,MATCH(B65,METADATA!$S$2:$S$20,0))),0)</f>
        <v>1</v>
      </c>
      <c r="E65" s="312" t="str">
        <f t="shared" si="0"/>
        <v>LO</v>
      </c>
      <c r="F65" s="369">
        <f>VLOOKUP(C65,METADATA!$A$5:$H$29,IF(E65="HI",2,IF(E65="LO",6,10))+IF(D65=1,2,IF(D65=7,1,(IF(WEEKDAY(B65)=1,2,IF(WEEKDAY(B65)=7,1,0))))))</f>
        <v>3</v>
      </c>
      <c r="G65" s="369">
        <f>VLOOKUP(C65,METADATA!$J$5:$Q$29,IF(E65="HI",2,IF(E65="LO",6,10))+IF(D65=1,2,IF(D65=7,1,(IF(WEEKDAY(B65)=1,2,IF(WEEKDAY(B65)=7,1,0))))))</f>
        <v>3</v>
      </c>
      <c r="H65" s="370">
        <v>13350.349487304688</v>
      </c>
      <c r="I65" s="370">
        <v>1837.8245220184326</v>
      </c>
      <c r="M65" s="371">
        <f t="shared" si="1"/>
        <v>13476.254316645587</v>
      </c>
      <c r="N65" s="329">
        <f t="shared" si="2"/>
        <v>0</v>
      </c>
      <c r="T65" s="331">
        <v>0</v>
      </c>
      <c r="U65" s="328">
        <f>VLOOKUP(C65,METADATA!$J$5:$Q$29,IF(E65="HI",2,IF(E65="LO",6,10))+IF(T65=1,2,IF(D65=7,1,(IF(WEEKDAY(B65)=1,2,IF(WEEKDAY(B65)=7,1,0))))))</f>
        <v>2</v>
      </c>
      <c r="V65" s="328">
        <f>VLOOKUP(C65,METADATA!$A$5:$H$29,IF(E65="HI",2,IF(E65="LO",6,10))+IF(T65=1,2,IF(D65=7,1,(IF(WEEKDAY(B65)=1,2,IF(WEEKDAY(B65)=7,1,0))))))</f>
        <v>2</v>
      </c>
    </row>
    <row r="66" spans="2:22">
      <c r="B66" s="318">
        <f t="shared" si="3"/>
        <v>46115</v>
      </c>
      <c r="C66" s="312">
        <v>14</v>
      </c>
      <c r="D66" s="368">
        <f>IFERROR((INDEX(METADATA!$T$2:$T$20,MATCH(B66,METADATA!$S$2:$S$20,0))),0)</f>
        <v>1</v>
      </c>
      <c r="E66" s="312" t="str">
        <f t="shared" si="0"/>
        <v>LO</v>
      </c>
      <c r="F66" s="369">
        <f>VLOOKUP(C66,METADATA!$A$5:$H$29,IF(E66="HI",2,IF(E66="LO",6,10))+IF(D66=1,2,IF(D66=7,1,(IF(WEEKDAY(B66)=1,2,IF(WEEKDAY(B66)=7,1,0))))))</f>
        <v>3</v>
      </c>
      <c r="G66" s="369">
        <f>VLOOKUP(C66,METADATA!$J$5:$Q$29,IF(E66="HI",2,IF(E66="LO",6,10))+IF(D66=1,2,IF(D66=7,1,(IF(WEEKDAY(B66)=1,2,IF(WEEKDAY(B66)=7,1,0))))))</f>
        <v>3</v>
      </c>
      <c r="H66" s="370">
        <v>13337.854919433594</v>
      </c>
      <c r="I66" s="370">
        <v>1915.0570526123047</v>
      </c>
      <c r="M66" s="371">
        <f t="shared" si="1"/>
        <v>13474.636075479702</v>
      </c>
      <c r="N66" s="329">
        <f t="shared" si="2"/>
        <v>0</v>
      </c>
      <c r="T66" s="331">
        <v>0</v>
      </c>
      <c r="U66" s="328">
        <f>VLOOKUP(C66,METADATA!$J$5:$Q$29,IF(E66="HI",2,IF(E66="LO",6,10))+IF(T66=1,2,IF(D66=7,1,(IF(WEEKDAY(B66)=1,2,IF(WEEKDAY(B66)=7,1,0))))))</f>
        <v>2</v>
      </c>
      <c r="V66" s="328">
        <f>VLOOKUP(C66,METADATA!$A$5:$H$29,IF(E66="HI",2,IF(E66="LO",6,10))+IF(T66=1,2,IF(D66=7,1,(IF(WEEKDAY(B66)=1,2,IF(WEEKDAY(B66)=7,1,0))))))</f>
        <v>2</v>
      </c>
    </row>
    <row r="67" spans="2:22">
      <c r="B67" s="318">
        <f t="shared" si="3"/>
        <v>46115</v>
      </c>
      <c r="C67" s="312">
        <v>15</v>
      </c>
      <c r="D67" s="368">
        <f>IFERROR((INDEX(METADATA!$T$2:$T$20,MATCH(B67,METADATA!$S$2:$S$20,0))),0)</f>
        <v>1</v>
      </c>
      <c r="E67" s="312" t="str">
        <f t="shared" si="0"/>
        <v>LO</v>
      </c>
      <c r="F67" s="369">
        <f>VLOOKUP(C67,METADATA!$A$5:$H$29,IF(E67="HI",2,IF(E67="LO",6,10))+IF(D67=1,2,IF(D67=7,1,(IF(WEEKDAY(B67)=1,2,IF(WEEKDAY(B67)=7,1,0))))))</f>
        <v>3</v>
      </c>
      <c r="G67" s="369">
        <f>VLOOKUP(C67,METADATA!$J$5:$Q$29,IF(E67="HI",2,IF(E67="LO",6,10))+IF(D67=1,2,IF(D67=7,1,(IF(WEEKDAY(B67)=1,2,IF(WEEKDAY(B67)=7,1,0))))))</f>
        <v>3</v>
      </c>
      <c r="H67" s="370">
        <v>13260.654907226563</v>
      </c>
      <c r="I67" s="370">
        <v>1844.0635261535645</v>
      </c>
      <c r="M67" s="371">
        <f t="shared" si="1"/>
        <v>13388.261233522515</v>
      </c>
      <c r="N67" s="329">
        <f t="shared" si="2"/>
        <v>0</v>
      </c>
      <c r="T67" s="331">
        <v>0</v>
      </c>
      <c r="U67" s="328">
        <f>VLOOKUP(C67,METADATA!$J$5:$Q$29,IF(E67="HI",2,IF(E67="LO",6,10))+IF(T67=1,2,IF(D67=7,1,(IF(WEEKDAY(B67)=1,2,IF(WEEKDAY(B67)=7,1,0))))))</f>
        <v>2</v>
      </c>
      <c r="V67" s="328">
        <f>VLOOKUP(C67,METADATA!$A$5:$H$29,IF(E67="HI",2,IF(E67="LO",6,10))+IF(T67=1,2,IF(D67=7,1,(IF(WEEKDAY(B67)=1,2,IF(WEEKDAY(B67)=7,1,0))))))</f>
        <v>2</v>
      </c>
    </row>
    <row r="68" spans="2:22">
      <c r="B68" s="318">
        <f t="shared" si="3"/>
        <v>46115</v>
      </c>
      <c r="C68" s="312">
        <v>16</v>
      </c>
      <c r="D68" s="368">
        <f>IFERROR((INDEX(METADATA!$T$2:$T$20,MATCH(B68,METADATA!$S$2:$S$20,0))),0)</f>
        <v>1</v>
      </c>
      <c r="E68" s="312" t="str">
        <f t="shared" ref="E68:E131" si="4">IF(B68="","",IF(AND(MONTH(B68)&gt;=MONTH($Z$9),MONTH(B68)&lt;=MONTH($Z$11)),"HI","LO"))</f>
        <v>LO</v>
      </c>
      <c r="F68" s="369">
        <f>VLOOKUP(C68,METADATA!$A$5:$H$29,IF(E68="HI",2,IF(E68="LO",6,10))+IF(D68=1,2,IF(D68=7,1,(IF(WEEKDAY(B68)=1,2,IF(WEEKDAY(B68)=7,1,0))))))</f>
        <v>3</v>
      </c>
      <c r="G68" s="369">
        <f>VLOOKUP(C68,METADATA!$J$5:$Q$29,IF(E68="HI",2,IF(E68="LO",6,10))+IF(D68=1,2,IF(D68=7,1,(IF(WEEKDAY(B68)=1,2,IF(WEEKDAY(B68)=7,1,0))))))</f>
        <v>3</v>
      </c>
      <c r="H68" s="370">
        <v>12846.93994140625</v>
      </c>
      <c r="I68" s="370">
        <v>1681.8950448036194</v>
      </c>
      <c r="M68" s="371">
        <f t="shared" ref="M68:M131" si="5">SQRT(H68^2+I68^2)</f>
        <v>12956.567323169906</v>
      </c>
      <c r="N68" s="329">
        <f t="shared" ref="N68:N131" si="6">IF(H68=0,0,(IF(I68-(0.3*H68)&lt;0,0,(I68-(0.3*H68)))))</f>
        <v>0</v>
      </c>
      <c r="T68" s="331">
        <v>0</v>
      </c>
      <c r="U68" s="328">
        <f>VLOOKUP(C68,METADATA!$J$5:$Q$29,IF(E68="HI",2,IF(E68="LO",6,10))+IF(T68=1,2,IF(D68=7,1,(IF(WEEKDAY(B68)=1,2,IF(WEEKDAY(B68)=7,1,0))))))</f>
        <v>2</v>
      </c>
      <c r="V68" s="328">
        <f>VLOOKUP(C68,METADATA!$A$5:$H$29,IF(E68="HI",2,IF(E68="LO",6,10))+IF(T68=1,2,IF(D68=7,1,(IF(WEEKDAY(B68)=1,2,IF(WEEKDAY(B68)=7,1,0))))))</f>
        <v>2</v>
      </c>
    </row>
    <row r="69" spans="2:22">
      <c r="B69" s="318">
        <f t="shared" si="3"/>
        <v>46115</v>
      </c>
      <c r="C69" s="312">
        <v>17</v>
      </c>
      <c r="D69" s="368">
        <f>IFERROR((INDEX(METADATA!$T$2:$T$20,MATCH(B69,METADATA!$S$2:$S$20,0))),0)</f>
        <v>1</v>
      </c>
      <c r="E69" s="312" t="str">
        <f t="shared" si="4"/>
        <v>LO</v>
      </c>
      <c r="F69" s="369">
        <f>VLOOKUP(C69,METADATA!$A$5:$H$29,IF(E69="HI",2,IF(E69="LO",6,10))+IF(D69=1,2,IF(D69=7,1,(IF(WEEKDAY(B69)=1,2,IF(WEEKDAY(B69)=7,1,0))))))</f>
        <v>3</v>
      </c>
      <c r="G69" s="369">
        <f>VLOOKUP(C69,METADATA!$J$5:$Q$29,IF(E69="HI",2,IF(E69="LO",6,10))+IF(D69=1,2,IF(D69=7,1,(IF(WEEKDAY(B69)=1,2,IF(WEEKDAY(B69)=7,1,0))))))</f>
        <v>3</v>
      </c>
      <c r="H69" s="370">
        <v>12703.919616699219</v>
      </c>
      <c r="I69" s="370">
        <v>1704.551001906395</v>
      </c>
      <c r="M69" s="371">
        <f t="shared" si="5"/>
        <v>12817.76375760044</v>
      </c>
      <c r="N69" s="329">
        <f t="shared" si="6"/>
        <v>0</v>
      </c>
      <c r="T69" s="331">
        <v>0</v>
      </c>
      <c r="U69" s="328">
        <f>VLOOKUP(C69,METADATA!$J$5:$Q$29,IF(E69="HI",2,IF(E69="LO",6,10))+IF(T69=1,2,IF(D69=7,1,(IF(WEEKDAY(B69)=1,2,IF(WEEKDAY(B69)=7,1,0))))))</f>
        <v>2</v>
      </c>
      <c r="V69" s="328">
        <f>VLOOKUP(C69,METADATA!$A$5:$H$29,IF(E69="HI",2,IF(E69="LO",6,10))+IF(T69=1,2,IF(D69=7,1,(IF(WEEKDAY(B69)=1,2,IF(WEEKDAY(B69)=7,1,0))))))</f>
        <v>2</v>
      </c>
    </row>
    <row r="70" spans="2:22">
      <c r="B70" s="318">
        <f t="shared" si="3"/>
        <v>46115</v>
      </c>
      <c r="C70" s="312">
        <v>18</v>
      </c>
      <c r="D70" s="368">
        <f>IFERROR((INDEX(METADATA!$T$2:$T$20,MATCH(B70,METADATA!$S$2:$S$20,0))),0)</f>
        <v>1</v>
      </c>
      <c r="E70" s="312" t="str">
        <f t="shared" si="4"/>
        <v>LO</v>
      </c>
      <c r="F70" s="369">
        <f>VLOOKUP(C70,METADATA!$A$5:$H$29,IF(E70="HI",2,IF(E70="LO",6,10))+IF(D70=1,2,IF(D70=7,1,(IF(WEEKDAY(B70)=1,2,IF(WEEKDAY(B70)=7,1,0))))))</f>
        <v>2</v>
      </c>
      <c r="G70" s="369">
        <f>VLOOKUP(C70,METADATA!$J$5:$Q$29,IF(E70="HI",2,IF(E70="LO",6,10))+IF(D70=1,2,IF(D70=7,1,(IF(WEEKDAY(B70)=1,2,IF(WEEKDAY(B70)=7,1,0))))))</f>
        <v>2</v>
      </c>
      <c r="H70" s="370">
        <v>13422.750122070313</v>
      </c>
      <c r="I70" s="370">
        <v>1855.9934940338135</v>
      </c>
      <c r="M70" s="371">
        <f t="shared" si="5"/>
        <v>13550.458763061655</v>
      </c>
      <c r="N70" s="329">
        <f t="shared" si="6"/>
        <v>0</v>
      </c>
      <c r="T70" s="331">
        <v>0</v>
      </c>
      <c r="U70" s="328">
        <f>VLOOKUP(C70,METADATA!$J$5:$Q$29,IF(E70="HI",2,IF(E70="LO",6,10))+IF(T70=1,2,IF(D70=7,1,(IF(WEEKDAY(B70)=1,2,IF(WEEKDAY(B70)=7,1,0))))))</f>
        <v>1</v>
      </c>
      <c r="V70" s="328">
        <f>VLOOKUP(C70,METADATA!$A$5:$H$29,IF(E70="HI",2,IF(E70="LO",6,10))+IF(T70=1,2,IF(D70=7,1,(IF(WEEKDAY(B70)=1,2,IF(WEEKDAY(B70)=7,1,0))))))</f>
        <v>1</v>
      </c>
    </row>
    <row r="71" spans="2:22">
      <c r="B71" s="318">
        <f t="shared" si="3"/>
        <v>46115</v>
      </c>
      <c r="C71" s="312">
        <v>19</v>
      </c>
      <c r="D71" s="368">
        <f>IFERROR((INDEX(METADATA!$T$2:$T$20,MATCH(B71,METADATA!$S$2:$S$20,0))),0)</f>
        <v>1</v>
      </c>
      <c r="E71" s="312" t="str">
        <f t="shared" si="4"/>
        <v>LO</v>
      </c>
      <c r="F71" s="369">
        <f>VLOOKUP(C71,METADATA!$A$5:$H$29,IF(E71="HI",2,IF(E71="LO",6,10))+IF(D71=1,2,IF(D71=7,1,(IF(WEEKDAY(B71)=1,2,IF(WEEKDAY(B71)=7,1,0))))))</f>
        <v>2</v>
      </c>
      <c r="G71" s="369">
        <f>VLOOKUP(C71,METADATA!$J$5:$Q$29,IF(E71="HI",2,IF(E71="LO",6,10))+IF(D71=1,2,IF(D71=7,1,(IF(WEEKDAY(B71)=1,2,IF(WEEKDAY(B71)=7,1,0))))))</f>
        <v>2</v>
      </c>
      <c r="H71" s="370">
        <v>13558.480102539063</v>
      </c>
      <c r="I71" s="370">
        <v>1876.9439716339111</v>
      </c>
      <c r="M71" s="371">
        <f t="shared" si="5"/>
        <v>13687.779270707157</v>
      </c>
      <c r="N71" s="329">
        <f t="shared" si="6"/>
        <v>0</v>
      </c>
      <c r="T71" s="331">
        <v>0</v>
      </c>
      <c r="U71" s="328">
        <f>VLOOKUP(C71,METADATA!$J$5:$Q$29,IF(E71="HI",2,IF(E71="LO",6,10))+IF(T71=1,2,IF(D71=7,1,(IF(WEEKDAY(B71)=1,2,IF(WEEKDAY(B71)=7,1,0))))))</f>
        <v>1</v>
      </c>
      <c r="V71" s="328">
        <f>VLOOKUP(C71,METADATA!$A$5:$H$29,IF(E71="HI",2,IF(E71="LO",6,10))+IF(T71=1,2,IF(D71=7,1,(IF(WEEKDAY(B71)=1,2,IF(WEEKDAY(B71)=7,1,0))))))</f>
        <v>1</v>
      </c>
    </row>
    <row r="72" spans="2:22">
      <c r="B72" s="318">
        <f t="shared" si="3"/>
        <v>46115</v>
      </c>
      <c r="C72" s="312">
        <v>20</v>
      </c>
      <c r="D72" s="368">
        <f>IFERROR((INDEX(METADATA!$T$2:$T$20,MATCH(B72,METADATA!$S$2:$S$20,0))),0)</f>
        <v>1</v>
      </c>
      <c r="E72" s="312" t="str">
        <f t="shared" si="4"/>
        <v>LO</v>
      </c>
      <c r="F72" s="369">
        <f>VLOOKUP(C72,METADATA!$A$5:$H$29,IF(E72="HI",2,IF(E72="LO",6,10))+IF(D72=1,2,IF(D72=7,1,(IF(WEEKDAY(B72)=1,2,IF(WEEKDAY(B72)=7,1,0))))))</f>
        <v>3</v>
      </c>
      <c r="G72" s="369">
        <f>VLOOKUP(C72,METADATA!$J$5:$Q$29,IF(E72="HI",2,IF(E72="LO",6,10))+IF(D72=1,2,IF(D72=7,1,(IF(WEEKDAY(B72)=1,2,IF(WEEKDAY(B72)=7,1,0))))))</f>
        <v>3</v>
      </c>
      <c r="H72" s="370">
        <v>13471.965454101563</v>
      </c>
      <c r="I72" s="370">
        <v>1967.9054794311523</v>
      </c>
      <c r="M72" s="371">
        <f t="shared" si="5"/>
        <v>13614.936840561584</v>
      </c>
      <c r="N72" s="329">
        <f t="shared" si="6"/>
        <v>0</v>
      </c>
      <c r="T72" s="331">
        <v>0</v>
      </c>
      <c r="U72" s="328">
        <f>VLOOKUP(C72,METADATA!$J$5:$Q$29,IF(E72="HI",2,IF(E72="LO",6,10))+IF(T72=1,2,IF(D72=7,1,(IF(WEEKDAY(B72)=1,2,IF(WEEKDAY(B72)=7,1,0))))))</f>
        <v>1</v>
      </c>
      <c r="V72" s="328">
        <f>VLOOKUP(C72,METADATA!$A$5:$H$29,IF(E72="HI",2,IF(E72="LO",6,10))+IF(T72=1,2,IF(D72=7,1,(IF(WEEKDAY(B72)=1,2,IF(WEEKDAY(B72)=7,1,0))))))</f>
        <v>1</v>
      </c>
    </row>
    <row r="73" spans="2:22">
      <c r="B73" s="318">
        <f t="shared" si="3"/>
        <v>46115</v>
      </c>
      <c r="C73" s="312">
        <v>21</v>
      </c>
      <c r="D73" s="368">
        <f>IFERROR((INDEX(METADATA!$T$2:$T$20,MATCH(B73,METADATA!$S$2:$S$20,0))),0)</f>
        <v>1</v>
      </c>
      <c r="E73" s="312" t="str">
        <f t="shared" si="4"/>
        <v>LO</v>
      </c>
      <c r="F73" s="369">
        <f>VLOOKUP(C73,METADATA!$A$5:$H$29,IF(E73="HI",2,IF(E73="LO",6,10))+IF(D73=1,2,IF(D73=7,1,(IF(WEEKDAY(B73)=1,2,IF(WEEKDAY(B73)=7,1,0))))))</f>
        <v>3</v>
      </c>
      <c r="G73" s="369">
        <f>VLOOKUP(C73,METADATA!$J$5:$Q$29,IF(E73="HI",2,IF(E73="LO",6,10))+IF(D73=1,2,IF(D73=7,1,(IF(WEEKDAY(B73)=1,2,IF(WEEKDAY(B73)=7,1,0))))))</f>
        <v>3</v>
      </c>
      <c r="H73" s="370">
        <v>13589.725219726563</v>
      </c>
      <c r="I73" s="370">
        <v>2145.5975112915039</v>
      </c>
      <c r="M73" s="371">
        <f t="shared" si="5"/>
        <v>13758.06019132539</v>
      </c>
      <c r="N73" s="329">
        <f t="shared" si="6"/>
        <v>0</v>
      </c>
      <c r="T73" s="331">
        <v>0</v>
      </c>
      <c r="U73" s="328">
        <f>VLOOKUP(C73,METADATA!$J$5:$Q$29,IF(E73="HI",2,IF(E73="LO",6,10))+IF(T73=1,2,IF(D73=7,1,(IF(WEEKDAY(B73)=1,2,IF(WEEKDAY(B73)=7,1,0))))))</f>
        <v>2</v>
      </c>
      <c r="V73" s="328">
        <f>VLOOKUP(C73,METADATA!$A$5:$H$29,IF(E73="HI",2,IF(E73="LO",6,10))+IF(T73=1,2,IF(D73=7,1,(IF(WEEKDAY(B73)=1,2,IF(WEEKDAY(B73)=7,1,0))))))</f>
        <v>2</v>
      </c>
    </row>
    <row r="74" spans="2:22">
      <c r="B74" s="318">
        <f t="shared" si="3"/>
        <v>46115</v>
      </c>
      <c r="C74" s="312">
        <v>22</v>
      </c>
      <c r="D74" s="368">
        <f>IFERROR((INDEX(METADATA!$T$2:$T$20,MATCH(B74,METADATA!$S$2:$S$20,0))),0)</f>
        <v>1</v>
      </c>
      <c r="E74" s="312" t="str">
        <f t="shared" si="4"/>
        <v>LO</v>
      </c>
      <c r="F74" s="369">
        <f>VLOOKUP(C74,METADATA!$A$5:$H$29,IF(E74="HI",2,IF(E74="LO",6,10))+IF(D74=1,2,IF(D74=7,1,(IF(WEEKDAY(B74)=1,2,IF(WEEKDAY(B74)=7,1,0))))))</f>
        <v>3</v>
      </c>
      <c r="G74" s="369">
        <f>VLOOKUP(C74,METADATA!$J$5:$Q$29,IF(E74="HI",2,IF(E74="LO",6,10))+IF(D74=1,2,IF(D74=7,1,(IF(WEEKDAY(B74)=1,2,IF(WEEKDAY(B74)=7,1,0))))))</f>
        <v>3</v>
      </c>
      <c r="H74" s="370">
        <v>13546.825134277344</v>
      </c>
      <c r="I74" s="370">
        <v>2106.1925258636475</v>
      </c>
      <c r="M74" s="371">
        <f t="shared" si="5"/>
        <v>13709.577607449921</v>
      </c>
      <c r="N74" s="329">
        <f t="shared" si="6"/>
        <v>0</v>
      </c>
      <c r="T74" s="331">
        <v>0</v>
      </c>
      <c r="U74" s="328">
        <f>VLOOKUP(C74,METADATA!$J$5:$Q$29,IF(E74="HI",2,IF(E74="LO",6,10))+IF(T74=1,2,IF(D74=7,1,(IF(WEEKDAY(B74)=1,2,IF(WEEKDAY(B74)=7,1,0))))))</f>
        <v>3</v>
      </c>
      <c r="V74" s="328">
        <f>VLOOKUP(C74,METADATA!$A$5:$H$29,IF(E74="HI",2,IF(E74="LO",6,10))+IF(T74=1,2,IF(D74=7,1,(IF(WEEKDAY(B74)=1,2,IF(WEEKDAY(B74)=7,1,0))))))</f>
        <v>3</v>
      </c>
    </row>
    <row r="75" spans="2:22">
      <c r="B75" s="318">
        <f t="shared" si="3"/>
        <v>46115</v>
      </c>
      <c r="C75" s="312">
        <v>23</v>
      </c>
      <c r="D75" s="368">
        <f>IFERROR((INDEX(METADATA!$T$2:$T$20,MATCH(B75,METADATA!$S$2:$S$20,0))),0)</f>
        <v>1</v>
      </c>
      <c r="E75" s="312" t="str">
        <f t="shared" si="4"/>
        <v>LO</v>
      </c>
      <c r="F75" s="369">
        <f>VLOOKUP(C75,METADATA!$A$5:$H$29,IF(E75="HI",2,IF(E75="LO",6,10))+IF(D75=1,2,IF(D75=7,1,(IF(WEEKDAY(B75)=1,2,IF(WEEKDAY(B75)=7,1,0))))))</f>
        <v>3</v>
      </c>
      <c r="G75" s="369">
        <f>VLOOKUP(C75,METADATA!$J$5:$Q$29,IF(E75="HI",2,IF(E75="LO",6,10))+IF(D75=1,2,IF(D75=7,1,(IF(WEEKDAY(B75)=1,2,IF(WEEKDAY(B75)=7,1,0))))))</f>
        <v>3</v>
      </c>
      <c r="H75" s="370">
        <v>13552.094848632813</v>
      </c>
      <c r="I75" s="370">
        <v>2093.8074760437012</v>
      </c>
      <c r="M75" s="371">
        <f t="shared" si="5"/>
        <v>13712.888263712955</v>
      </c>
      <c r="N75" s="329">
        <f t="shared" si="6"/>
        <v>0</v>
      </c>
      <c r="T75" s="331">
        <v>0</v>
      </c>
      <c r="U75" s="328">
        <f>VLOOKUP(C75,METADATA!$J$5:$Q$29,IF(E75="HI",2,IF(E75="LO",6,10))+IF(T75=1,2,IF(D75=7,1,(IF(WEEKDAY(B75)=1,2,IF(WEEKDAY(B75)=7,1,0))))))</f>
        <v>3</v>
      </c>
      <c r="V75" s="328">
        <f>VLOOKUP(C75,METADATA!$A$5:$H$29,IF(E75="HI",2,IF(E75="LO",6,10))+IF(T75=1,2,IF(D75=7,1,(IF(WEEKDAY(B75)=1,2,IF(WEEKDAY(B75)=7,1,0))))))</f>
        <v>3</v>
      </c>
    </row>
    <row r="76" spans="2:22">
      <c r="B76" s="318">
        <f t="shared" si="3"/>
        <v>46116</v>
      </c>
      <c r="C76" s="312">
        <v>0</v>
      </c>
      <c r="D76" s="368">
        <f>IFERROR((INDEX(METADATA!$T$2:$T$20,MATCH(B76,METADATA!$S$2:$S$20,0))),0)</f>
        <v>0</v>
      </c>
      <c r="E76" s="312" t="str">
        <f t="shared" si="4"/>
        <v>LO</v>
      </c>
      <c r="F76" s="369">
        <f>VLOOKUP(C76,METADATA!$A$5:$H$29,IF(E76="HI",2,IF(E76="LO",6,10))+IF(D76=1,2,IF(D76=7,1,(IF(WEEKDAY(B76)=1,2,IF(WEEKDAY(B76)=7,1,0))))))</f>
        <v>3</v>
      </c>
      <c r="G76" s="369">
        <f>VLOOKUP(C76,METADATA!$J$5:$Q$29,IF(E76="HI",2,IF(E76="LO",6,10))+IF(D76=1,2,IF(D76=7,1,(IF(WEEKDAY(B76)=1,2,IF(WEEKDAY(B76)=7,1,0))))))</f>
        <v>3</v>
      </c>
      <c r="H76" s="370">
        <v>13553.46484375</v>
      </c>
      <c r="I76" s="370">
        <v>2131.7305698394775</v>
      </c>
      <c r="M76" s="371">
        <f t="shared" si="5"/>
        <v>13720.083253871142</v>
      </c>
      <c r="N76" s="329">
        <f t="shared" si="6"/>
        <v>0</v>
      </c>
      <c r="T76" s="331">
        <v>0</v>
      </c>
      <c r="U76" s="328">
        <f>VLOOKUP(C76,METADATA!$J$5:$Q$29,IF(E76="HI",2,IF(E76="LO",6,10))+IF(T76=1,2,IF(D76=7,1,(IF(WEEKDAY(B76)=1,2,IF(WEEKDAY(B76)=7,1,0))))))</f>
        <v>3</v>
      </c>
      <c r="V76" s="328">
        <f>VLOOKUP(C76,METADATA!$A$5:$H$29,IF(E76="HI",2,IF(E76="LO",6,10))+IF(T76=1,2,IF(D76=7,1,(IF(WEEKDAY(B76)=1,2,IF(WEEKDAY(B76)=7,1,0))))))</f>
        <v>3</v>
      </c>
    </row>
    <row r="77" spans="2:22">
      <c r="B77" s="318">
        <f t="shared" si="3"/>
        <v>46116</v>
      </c>
      <c r="C77" s="312">
        <v>1</v>
      </c>
      <c r="D77" s="368">
        <f>IFERROR((INDEX(METADATA!$T$2:$T$20,MATCH(B77,METADATA!$S$2:$S$20,0))),0)</f>
        <v>0</v>
      </c>
      <c r="E77" s="312" t="str">
        <f t="shared" si="4"/>
        <v>LO</v>
      </c>
      <c r="F77" s="369">
        <f>VLOOKUP(C77,METADATA!$A$5:$H$29,IF(E77="HI",2,IF(E77="LO",6,10))+IF(D77=1,2,IF(D77=7,1,(IF(WEEKDAY(B77)=1,2,IF(WEEKDAY(B77)=7,1,0))))))</f>
        <v>3</v>
      </c>
      <c r="G77" s="369">
        <f>VLOOKUP(C77,METADATA!$J$5:$Q$29,IF(E77="HI",2,IF(E77="LO",6,10))+IF(D77=1,2,IF(D77=7,1,(IF(WEEKDAY(B77)=1,2,IF(WEEKDAY(B77)=7,1,0))))))</f>
        <v>3</v>
      </c>
      <c r="H77" s="370">
        <v>13619.894958496094</v>
      </c>
      <c r="I77" s="370">
        <v>2076.7895259857178</v>
      </c>
      <c r="M77" s="371">
        <f t="shared" si="5"/>
        <v>13777.321706910647</v>
      </c>
      <c r="N77" s="329">
        <f t="shared" si="6"/>
        <v>0</v>
      </c>
      <c r="T77" s="331">
        <v>0</v>
      </c>
      <c r="U77" s="328">
        <f>VLOOKUP(C77,METADATA!$J$5:$Q$29,IF(E77="HI",2,IF(E77="LO",6,10))+IF(T77=1,2,IF(D77=7,1,(IF(WEEKDAY(B77)=1,2,IF(WEEKDAY(B77)=7,1,0))))))</f>
        <v>3</v>
      </c>
      <c r="V77" s="328">
        <f>VLOOKUP(C77,METADATA!$A$5:$H$29,IF(E77="HI",2,IF(E77="LO",6,10))+IF(T77=1,2,IF(D77=7,1,(IF(WEEKDAY(B77)=1,2,IF(WEEKDAY(B77)=7,1,0))))))</f>
        <v>3</v>
      </c>
    </row>
    <row r="78" spans="2:22">
      <c r="B78" s="318">
        <f t="shared" si="3"/>
        <v>46116</v>
      </c>
      <c r="C78" s="312">
        <v>2</v>
      </c>
      <c r="D78" s="368">
        <f>IFERROR((INDEX(METADATA!$T$2:$T$20,MATCH(B78,METADATA!$S$2:$S$20,0))),0)</f>
        <v>0</v>
      </c>
      <c r="E78" s="312" t="str">
        <f t="shared" si="4"/>
        <v>LO</v>
      </c>
      <c r="F78" s="369">
        <f>VLOOKUP(C78,METADATA!$A$5:$H$29,IF(E78="HI",2,IF(E78="LO",6,10))+IF(D78=1,2,IF(D78=7,1,(IF(WEEKDAY(B78)=1,2,IF(WEEKDAY(B78)=7,1,0))))))</f>
        <v>3</v>
      </c>
      <c r="G78" s="369">
        <f>VLOOKUP(C78,METADATA!$J$5:$Q$29,IF(E78="HI",2,IF(E78="LO",6,10))+IF(D78=1,2,IF(D78=7,1,(IF(WEEKDAY(B78)=1,2,IF(WEEKDAY(B78)=7,1,0))))))</f>
        <v>3</v>
      </c>
      <c r="H78" s="370">
        <v>13475.364501953125</v>
      </c>
      <c r="I78" s="370">
        <v>2027.5209884643555</v>
      </c>
      <c r="M78" s="371">
        <f t="shared" si="5"/>
        <v>13627.042592549635</v>
      </c>
      <c r="N78" s="329">
        <f t="shared" si="6"/>
        <v>0</v>
      </c>
      <c r="T78" s="331">
        <v>0</v>
      </c>
      <c r="U78" s="328">
        <f>VLOOKUP(C78,METADATA!$J$5:$Q$29,IF(E78="HI",2,IF(E78="LO",6,10))+IF(T78=1,2,IF(D78=7,1,(IF(WEEKDAY(B78)=1,2,IF(WEEKDAY(B78)=7,1,0))))))</f>
        <v>3</v>
      </c>
      <c r="V78" s="328">
        <f>VLOOKUP(C78,METADATA!$A$5:$H$29,IF(E78="HI",2,IF(E78="LO",6,10))+IF(T78=1,2,IF(D78=7,1,(IF(WEEKDAY(B78)=1,2,IF(WEEKDAY(B78)=7,1,0))))))</f>
        <v>3</v>
      </c>
    </row>
    <row r="79" spans="2:22">
      <c r="B79" s="318">
        <f t="shared" si="3"/>
        <v>46116</v>
      </c>
      <c r="C79" s="312">
        <v>3</v>
      </c>
      <c r="D79" s="368">
        <f>IFERROR((INDEX(METADATA!$T$2:$T$20,MATCH(B79,METADATA!$S$2:$S$20,0))),0)</f>
        <v>0</v>
      </c>
      <c r="E79" s="312" t="str">
        <f t="shared" si="4"/>
        <v>LO</v>
      </c>
      <c r="F79" s="369">
        <f>VLOOKUP(C79,METADATA!$A$5:$H$29,IF(E79="HI",2,IF(E79="LO",6,10))+IF(D79=1,2,IF(D79=7,1,(IF(WEEKDAY(B79)=1,2,IF(WEEKDAY(B79)=7,1,0))))))</f>
        <v>3</v>
      </c>
      <c r="G79" s="369">
        <f>VLOOKUP(C79,METADATA!$J$5:$Q$29,IF(E79="HI",2,IF(E79="LO",6,10))+IF(D79=1,2,IF(D79=7,1,(IF(WEEKDAY(B79)=1,2,IF(WEEKDAY(B79)=7,1,0))))))</f>
        <v>3</v>
      </c>
      <c r="H79" s="370">
        <v>13298.067687988281</v>
      </c>
      <c r="I79" s="370">
        <v>1891.4865317344666</v>
      </c>
      <c r="M79" s="371">
        <f t="shared" si="5"/>
        <v>13431.914440393479</v>
      </c>
      <c r="N79" s="329">
        <f t="shared" si="6"/>
        <v>0</v>
      </c>
      <c r="T79" s="331">
        <v>0</v>
      </c>
      <c r="U79" s="328">
        <f>VLOOKUP(C79,METADATA!$J$5:$Q$29,IF(E79="HI",2,IF(E79="LO",6,10))+IF(T79=1,2,IF(D79=7,1,(IF(WEEKDAY(B79)=1,2,IF(WEEKDAY(B79)=7,1,0))))))</f>
        <v>3</v>
      </c>
      <c r="V79" s="328">
        <f>VLOOKUP(C79,METADATA!$A$5:$H$29,IF(E79="HI",2,IF(E79="LO",6,10))+IF(T79=1,2,IF(D79=7,1,(IF(WEEKDAY(B79)=1,2,IF(WEEKDAY(B79)=7,1,0))))))</f>
        <v>3</v>
      </c>
    </row>
    <row r="80" spans="2:22">
      <c r="B80" s="318">
        <f t="shared" si="3"/>
        <v>46116</v>
      </c>
      <c r="C80" s="312">
        <v>4</v>
      </c>
      <c r="D80" s="368">
        <f>IFERROR((INDEX(METADATA!$T$2:$T$20,MATCH(B80,METADATA!$S$2:$S$20,0))),0)</f>
        <v>0</v>
      </c>
      <c r="E80" s="312" t="str">
        <f t="shared" si="4"/>
        <v>LO</v>
      </c>
      <c r="F80" s="369">
        <f>VLOOKUP(C80,METADATA!$A$5:$H$29,IF(E80="HI",2,IF(E80="LO",6,10))+IF(D80=1,2,IF(D80=7,1,(IF(WEEKDAY(B80)=1,2,IF(WEEKDAY(B80)=7,1,0))))))</f>
        <v>3</v>
      </c>
      <c r="G80" s="369">
        <f>VLOOKUP(C80,METADATA!$J$5:$Q$29,IF(E80="HI",2,IF(E80="LO",6,10))+IF(D80=1,2,IF(D80=7,1,(IF(WEEKDAY(B80)=1,2,IF(WEEKDAY(B80)=7,1,0))))))</f>
        <v>3</v>
      </c>
      <c r="H80" s="370">
        <v>13557.580078125</v>
      </c>
      <c r="I80" s="370">
        <v>1956.6965446472168</v>
      </c>
      <c r="M80" s="371">
        <f t="shared" si="5"/>
        <v>13698.052377714368</v>
      </c>
      <c r="N80" s="329">
        <f t="shared" si="6"/>
        <v>0</v>
      </c>
      <c r="T80" s="331">
        <v>0</v>
      </c>
      <c r="U80" s="328">
        <f>VLOOKUP(C80,METADATA!$J$5:$Q$29,IF(E80="HI",2,IF(E80="LO",6,10))+IF(T80=1,2,IF(D80=7,1,(IF(WEEKDAY(B80)=1,2,IF(WEEKDAY(B80)=7,1,0))))))</f>
        <v>3</v>
      </c>
      <c r="V80" s="328">
        <f>VLOOKUP(C80,METADATA!$A$5:$H$29,IF(E80="HI",2,IF(E80="LO",6,10))+IF(T80=1,2,IF(D80=7,1,(IF(WEEKDAY(B80)=1,2,IF(WEEKDAY(B80)=7,1,0))))))</f>
        <v>3</v>
      </c>
    </row>
    <row r="81" spans="2:22">
      <c r="B81" s="318">
        <f t="shared" si="3"/>
        <v>46116</v>
      </c>
      <c r="C81" s="312">
        <v>5</v>
      </c>
      <c r="D81" s="368">
        <f>IFERROR((INDEX(METADATA!$T$2:$T$20,MATCH(B81,METADATA!$S$2:$S$20,0))),0)</f>
        <v>0</v>
      </c>
      <c r="E81" s="312" t="str">
        <f t="shared" si="4"/>
        <v>LO</v>
      </c>
      <c r="F81" s="369">
        <f>VLOOKUP(C81,METADATA!$A$5:$H$29,IF(E81="HI",2,IF(E81="LO",6,10))+IF(D81=1,2,IF(D81=7,1,(IF(WEEKDAY(B81)=1,2,IF(WEEKDAY(B81)=7,1,0))))))</f>
        <v>3</v>
      </c>
      <c r="G81" s="369">
        <f>VLOOKUP(C81,METADATA!$J$5:$Q$29,IF(E81="HI",2,IF(E81="LO",6,10))+IF(D81=1,2,IF(D81=7,1,(IF(WEEKDAY(B81)=1,2,IF(WEEKDAY(B81)=7,1,0))))))</f>
        <v>3</v>
      </c>
      <c r="H81" s="370">
        <v>13637.344787597656</v>
      </c>
      <c r="I81" s="370">
        <v>1956.6969738006592</v>
      </c>
      <c r="M81" s="371">
        <f t="shared" si="5"/>
        <v>13777.003879766371</v>
      </c>
      <c r="N81" s="329">
        <f t="shared" si="6"/>
        <v>0</v>
      </c>
      <c r="T81" s="331">
        <v>0</v>
      </c>
      <c r="U81" s="328">
        <f>VLOOKUP(C81,METADATA!$J$5:$Q$29,IF(E81="HI",2,IF(E81="LO",6,10))+IF(T81=1,2,IF(D81=7,1,(IF(WEEKDAY(B81)=1,2,IF(WEEKDAY(B81)=7,1,0))))))</f>
        <v>3</v>
      </c>
      <c r="V81" s="328">
        <f>VLOOKUP(C81,METADATA!$A$5:$H$29,IF(E81="HI",2,IF(E81="LO",6,10))+IF(T81=1,2,IF(D81=7,1,(IF(WEEKDAY(B81)=1,2,IF(WEEKDAY(B81)=7,1,0))))))</f>
        <v>3</v>
      </c>
    </row>
    <row r="82" spans="2:22">
      <c r="B82" s="318">
        <f t="shared" si="3"/>
        <v>46116</v>
      </c>
      <c r="C82" s="312">
        <v>6</v>
      </c>
      <c r="D82" s="368">
        <f>IFERROR((INDEX(METADATA!$T$2:$T$20,MATCH(B82,METADATA!$S$2:$S$20,0))),0)</f>
        <v>0</v>
      </c>
      <c r="E82" s="312" t="str">
        <f t="shared" si="4"/>
        <v>LO</v>
      </c>
      <c r="F82" s="369">
        <f>VLOOKUP(C82,METADATA!$A$5:$H$29,IF(E82="HI",2,IF(E82="LO",6,10))+IF(D82=1,2,IF(D82=7,1,(IF(WEEKDAY(B82)=1,2,IF(WEEKDAY(B82)=7,1,0))))))</f>
        <v>3</v>
      </c>
      <c r="G82" s="369">
        <f>VLOOKUP(C82,METADATA!$J$5:$Q$29,IF(E82="HI",2,IF(E82="LO",6,10))+IF(D82=1,2,IF(D82=7,1,(IF(WEEKDAY(B82)=1,2,IF(WEEKDAY(B82)=7,1,0))))))</f>
        <v>3</v>
      </c>
      <c r="H82" s="370">
        <v>13524.01513671875</v>
      </c>
      <c r="I82" s="370">
        <v>1922.3285694122314</v>
      </c>
      <c r="M82" s="371">
        <f t="shared" si="5"/>
        <v>13659.953607057982</v>
      </c>
      <c r="N82" s="329">
        <f t="shared" si="6"/>
        <v>0</v>
      </c>
      <c r="T82" s="331">
        <v>0</v>
      </c>
      <c r="U82" s="328">
        <f>VLOOKUP(C82,METADATA!$J$5:$Q$29,IF(E82="HI",2,IF(E82="LO",6,10))+IF(T82=1,2,IF(D82=7,1,(IF(WEEKDAY(B82)=1,2,IF(WEEKDAY(B82)=7,1,0))))))</f>
        <v>3</v>
      </c>
      <c r="V82" s="328">
        <f>VLOOKUP(C82,METADATA!$A$5:$H$29,IF(E82="HI",2,IF(E82="LO",6,10))+IF(T82=1,2,IF(D82=7,1,(IF(WEEKDAY(B82)=1,2,IF(WEEKDAY(B82)=7,1,0))))))</f>
        <v>3</v>
      </c>
    </row>
    <row r="83" spans="2:22">
      <c r="B83" s="318">
        <f t="shared" si="3"/>
        <v>46116</v>
      </c>
      <c r="C83" s="312">
        <v>7</v>
      </c>
      <c r="D83" s="368">
        <f>IFERROR((INDEX(METADATA!$T$2:$T$20,MATCH(B83,METADATA!$S$2:$S$20,0))),0)</f>
        <v>0</v>
      </c>
      <c r="E83" s="312" t="str">
        <f t="shared" si="4"/>
        <v>LO</v>
      </c>
      <c r="F83" s="369">
        <f>VLOOKUP(C83,METADATA!$A$5:$H$29,IF(E83="HI",2,IF(E83="LO",6,10))+IF(D83=1,2,IF(D83=7,1,(IF(WEEKDAY(B83)=1,2,IF(WEEKDAY(B83)=7,1,0))))))</f>
        <v>2</v>
      </c>
      <c r="G83" s="369">
        <f>VLOOKUP(C83,METADATA!$J$5:$Q$29,IF(E83="HI",2,IF(E83="LO",6,10))+IF(D83=1,2,IF(D83=7,1,(IF(WEEKDAY(B83)=1,2,IF(WEEKDAY(B83)=7,1,0))))))</f>
        <v>2</v>
      </c>
      <c r="H83" s="370">
        <v>13486.659973144531</v>
      </c>
      <c r="I83" s="370">
        <v>1908.8165016174316</v>
      </c>
      <c r="M83" s="371">
        <f t="shared" si="5"/>
        <v>13621.071091073045</v>
      </c>
      <c r="N83" s="329">
        <f t="shared" si="6"/>
        <v>0</v>
      </c>
      <c r="T83" s="331">
        <v>0</v>
      </c>
      <c r="U83" s="328">
        <f>VLOOKUP(C83,METADATA!$J$5:$Q$29,IF(E83="HI",2,IF(E83="LO",6,10))+IF(T83=1,2,IF(D83=7,1,(IF(WEEKDAY(B83)=1,2,IF(WEEKDAY(B83)=7,1,0))))))</f>
        <v>2</v>
      </c>
      <c r="V83" s="328">
        <f>VLOOKUP(C83,METADATA!$A$5:$H$29,IF(E83="HI",2,IF(E83="LO",6,10))+IF(T83=1,2,IF(D83=7,1,(IF(WEEKDAY(B83)=1,2,IF(WEEKDAY(B83)=7,1,0))))))</f>
        <v>2</v>
      </c>
    </row>
    <row r="84" spans="2:22">
      <c r="B84" s="318">
        <f t="shared" si="3"/>
        <v>46116</v>
      </c>
      <c r="C84" s="312">
        <v>8</v>
      </c>
      <c r="D84" s="368">
        <f>IFERROR((INDEX(METADATA!$T$2:$T$20,MATCH(B84,METADATA!$S$2:$S$20,0))),0)</f>
        <v>0</v>
      </c>
      <c r="E84" s="312" t="str">
        <f t="shared" si="4"/>
        <v>LO</v>
      </c>
      <c r="F84" s="369">
        <f>VLOOKUP(C84,METADATA!$A$5:$H$29,IF(E84="HI",2,IF(E84="LO",6,10))+IF(D84=1,2,IF(D84=7,1,(IF(WEEKDAY(B84)=1,2,IF(WEEKDAY(B84)=7,1,0))))))</f>
        <v>2</v>
      </c>
      <c r="G84" s="369">
        <f>VLOOKUP(C84,METADATA!$J$5:$Q$29,IF(E84="HI",2,IF(E84="LO",6,10))+IF(D84=1,2,IF(D84=7,1,(IF(WEEKDAY(B84)=1,2,IF(WEEKDAY(B84)=7,1,0))))))</f>
        <v>2</v>
      </c>
      <c r="H84" s="370">
        <v>13572.43505859375</v>
      </c>
      <c r="I84" s="370">
        <v>2046.9354400634766</v>
      </c>
      <c r="M84" s="371">
        <f t="shared" si="5"/>
        <v>13725.922122594626</v>
      </c>
      <c r="N84" s="329">
        <f t="shared" si="6"/>
        <v>0</v>
      </c>
      <c r="T84" s="331">
        <v>0</v>
      </c>
      <c r="U84" s="328">
        <f>VLOOKUP(C84,METADATA!$J$5:$Q$29,IF(E84="HI",2,IF(E84="LO",6,10))+IF(T84=1,2,IF(D84=7,1,(IF(WEEKDAY(B84)=1,2,IF(WEEKDAY(B84)=7,1,0))))))</f>
        <v>2</v>
      </c>
      <c r="V84" s="328">
        <f>VLOOKUP(C84,METADATA!$A$5:$H$29,IF(E84="HI",2,IF(E84="LO",6,10))+IF(T84=1,2,IF(D84=7,1,(IF(WEEKDAY(B84)=1,2,IF(WEEKDAY(B84)=7,1,0))))))</f>
        <v>2</v>
      </c>
    </row>
    <row r="85" spans="2:22">
      <c r="B85" s="318">
        <f t="shared" si="3"/>
        <v>46116</v>
      </c>
      <c r="C85" s="312">
        <v>9</v>
      </c>
      <c r="D85" s="368">
        <f>IFERROR((INDEX(METADATA!$T$2:$T$20,MATCH(B85,METADATA!$S$2:$S$20,0))),0)</f>
        <v>0</v>
      </c>
      <c r="E85" s="312" t="str">
        <f t="shared" si="4"/>
        <v>LO</v>
      </c>
      <c r="F85" s="369">
        <f>VLOOKUP(C85,METADATA!$A$5:$H$29,IF(E85="HI",2,IF(E85="LO",6,10))+IF(D85=1,2,IF(D85=7,1,(IF(WEEKDAY(B85)=1,2,IF(WEEKDAY(B85)=7,1,0))))))</f>
        <v>2</v>
      </c>
      <c r="G85" s="369">
        <f>VLOOKUP(C85,METADATA!$J$5:$Q$29,IF(E85="HI",2,IF(E85="LO",6,10))+IF(D85=1,2,IF(D85=7,1,(IF(WEEKDAY(B85)=1,2,IF(WEEKDAY(B85)=7,1,0))))))</f>
        <v>2</v>
      </c>
      <c r="H85" s="370">
        <v>13638.069946289063</v>
      </c>
      <c r="I85" s="370">
        <v>2077.0784912109375</v>
      </c>
      <c r="M85" s="371">
        <f t="shared" si="5"/>
        <v>13795.332794772441</v>
      </c>
      <c r="N85" s="329">
        <f t="shared" si="6"/>
        <v>0</v>
      </c>
      <c r="T85" s="331">
        <v>0</v>
      </c>
      <c r="U85" s="328">
        <f>VLOOKUP(C85,METADATA!$J$5:$Q$29,IF(E85="HI",2,IF(E85="LO",6,10))+IF(T85=1,2,IF(D85=7,1,(IF(WEEKDAY(B85)=1,2,IF(WEEKDAY(B85)=7,1,0))))))</f>
        <v>2</v>
      </c>
      <c r="V85" s="328">
        <f>VLOOKUP(C85,METADATA!$A$5:$H$29,IF(E85="HI",2,IF(E85="LO",6,10))+IF(T85=1,2,IF(D85=7,1,(IF(WEEKDAY(B85)=1,2,IF(WEEKDAY(B85)=7,1,0))))))</f>
        <v>2</v>
      </c>
    </row>
    <row r="86" spans="2:22">
      <c r="B86" s="318">
        <f t="shared" si="3"/>
        <v>46116</v>
      </c>
      <c r="C86" s="312">
        <v>10</v>
      </c>
      <c r="D86" s="368">
        <f>IFERROR((INDEX(METADATA!$T$2:$T$20,MATCH(B86,METADATA!$S$2:$S$20,0))),0)</f>
        <v>0</v>
      </c>
      <c r="E86" s="312" t="str">
        <f t="shared" si="4"/>
        <v>LO</v>
      </c>
      <c r="F86" s="369">
        <f>VLOOKUP(C86,METADATA!$A$5:$H$29,IF(E86="HI",2,IF(E86="LO",6,10))+IF(D86=1,2,IF(D86=7,1,(IF(WEEKDAY(B86)=1,2,IF(WEEKDAY(B86)=7,1,0))))))</f>
        <v>2</v>
      </c>
      <c r="G86" s="369">
        <f>VLOOKUP(C86,METADATA!$J$5:$Q$29,IF(E86="HI",2,IF(E86="LO",6,10))+IF(D86=1,2,IF(D86=7,1,(IF(WEEKDAY(B86)=1,2,IF(WEEKDAY(B86)=7,1,0))))))</f>
        <v>2</v>
      </c>
      <c r="H86" s="370">
        <v>13593.769653320313</v>
      </c>
      <c r="I86" s="370">
        <v>2027.786506652832</v>
      </c>
      <c r="M86" s="371">
        <f t="shared" si="5"/>
        <v>13744.180277633714</v>
      </c>
      <c r="N86" s="329">
        <f t="shared" si="6"/>
        <v>0</v>
      </c>
      <c r="T86" s="331">
        <v>0</v>
      </c>
      <c r="U86" s="328">
        <f>VLOOKUP(C86,METADATA!$J$5:$Q$29,IF(E86="HI",2,IF(E86="LO",6,10))+IF(T86=1,2,IF(D86=7,1,(IF(WEEKDAY(B86)=1,2,IF(WEEKDAY(B86)=7,1,0))))))</f>
        <v>2</v>
      </c>
      <c r="V86" s="328">
        <f>VLOOKUP(C86,METADATA!$A$5:$H$29,IF(E86="HI",2,IF(E86="LO",6,10))+IF(T86=1,2,IF(D86=7,1,(IF(WEEKDAY(B86)=1,2,IF(WEEKDAY(B86)=7,1,0))))))</f>
        <v>2</v>
      </c>
    </row>
    <row r="87" spans="2:22">
      <c r="B87" s="318">
        <f t="shared" si="3"/>
        <v>46116</v>
      </c>
      <c r="C87" s="312">
        <v>11</v>
      </c>
      <c r="D87" s="368">
        <f>IFERROR((INDEX(METADATA!$T$2:$T$20,MATCH(B87,METADATA!$S$2:$S$20,0))),0)</f>
        <v>0</v>
      </c>
      <c r="E87" s="312" t="str">
        <f t="shared" si="4"/>
        <v>LO</v>
      </c>
      <c r="F87" s="369">
        <f>VLOOKUP(C87,METADATA!$A$5:$H$29,IF(E87="HI",2,IF(E87="LO",6,10))+IF(D87=1,2,IF(D87=7,1,(IF(WEEKDAY(B87)=1,2,IF(WEEKDAY(B87)=7,1,0))))))</f>
        <v>2</v>
      </c>
      <c r="G87" s="369">
        <f>VLOOKUP(C87,METADATA!$J$5:$Q$29,IF(E87="HI",2,IF(E87="LO",6,10))+IF(D87=1,2,IF(D87=7,1,(IF(WEEKDAY(B87)=1,2,IF(WEEKDAY(B87)=7,1,0))))))</f>
        <v>2</v>
      </c>
      <c r="H87" s="370">
        <v>13609.824645996094</v>
      </c>
      <c r="I87" s="370">
        <v>1977.7674903869629</v>
      </c>
      <c r="M87" s="371">
        <f t="shared" si="5"/>
        <v>13752.777579121763</v>
      </c>
      <c r="N87" s="329">
        <f t="shared" si="6"/>
        <v>0</v>
      </c>
      <c r="T87" s="331">
        <v>0</v>
      </c>
      <c r="U87" s="328">
        <f>VLOOKUP(C87,METADATA!$J$5:$Q$29,IF(E87="HI",2,IF(E87="LO",6,10))+IF(T87=1,2,IF(D87=7,1,(IF(WEEKDAY(B87)=1,2,IF(WEEKDAY(B87)=7,1,0))))))</f>
        <v>2</v>
      </c>
      <c r="V87" s="328">
        <f>VLOOKUP(C87,METADATA!$A$5:$H$29,IF(E87="HI",2,IF(E87="LO",6,10))+IF(T87=1,2,IF(D87=7,1,(IF(WEEKDAY(B87)=1,2,IF(WEEKDAY(B87)=7,1,0))))))</f>
        <v>2</v>
      </c>
    </row>
    <row r="88" spans="2:22">
      <c r="B88" s="318">
        <f t="shared" si="3"/>
        <v>46116</v>
      </c>
      <c r="C88" s="312">
        <v>12</v>
      </c>
      <c r="D88" s="368">
        <f>IFERROR((INDEX(METADATA!$T$2:$T$20,MATCH(B88,METADATA!$S$2:$S$20,0))),0)</f>
        <v>0</v>
      </c>
      <c r="E88" s="312" t="str">
        <f t="shared" si="4"/>
        <v>LO</v>
      </c>
      <c r="F88" s="369">
        <f>VLOOKUP(C88,METADATA!$A$5:$H$29,IF(E88="HI",2,IF(E88="LO",6,10))+IF(D88=1,2,IF(D88=7,1,(IF(WEEKDAY(B88)=1,2,IF(WEEKDAY(B88)=7,1,0))))))</f>
        <v>3</v>
      </c>
      <c r="G88" s="369">
        <f>VLOOKUP(C88,METADATA!$J$5:$Q$29,IF(E88="HI",2,IF(E88="LO",6,10))+IF(D88=1,2,IF(D88=7,1,(IF(WEEKDAY(B88)=1,2,IF(WEEKDAY(B88)=7,1,0))))))</f>
        <v>3</v>
      </c>
      <c r="H88" s="370">
        <v>13547.170104980469</v>
      </c>
      <c r="I88" s="370">
        <v>1850.0874919891357</v>
      </c>
      <c r="M88" s="371">
        <f t="shared" si="5"/>
        <v>13672.916352457189</v>
      </c>
      <c r="N88" s="329">
        <f t="shared" si="6"/>
        <v>0</v>
      </c>
      <c r="T88" s="331">
        <v>0</v>
      </c>
      <c r="U88" s="328">
        <f>VLOOKUP(C88,METADATA!$J$5:$Q$29,IF(E88="HI",2,IF(E88="LO",6,10))+IF(T88=1,2,IF(D88=7,1,(IF(WEEKDAY(B88)=1,2,IF(WEEKDAY(B88)=7,1,0))))))</f>
        <v>3</v>
      </c>
      <c r="V88" s="328">
        <f>VLOOKUP(C88,METADATA!$A$5:$H$29,IF(E88="HI",2,IF(E88="LO",6,10))+IF(T88=1,2,IF(D88=7,1,(IF(WEEKDAY(B88)=1,2,IF(WEEKDAY(B88)=7,1,0))))))</f>
        <v>3</v>
      </c>
    </row>
    <row r="89" spans="2:22">
      <c r="B89" s="318">
        <f t="shared" si="3"/>
        <v>46116</v>
      </c>
      <c r="C89" s="312">
        <v>13</v>
      </c>
      <c r="D89" s="368">
        <f>IFERROR((INDEX(METADATA!$T$2:$T$20,MATCH(B89,METADATA!$S$2:$S$20,0))),0)</f>
        <v>0</v>
      </c>
      <c r="E89" s="312" t="str">
        <f t="shared" si="4"/>
        <v>LO</v>
      </c>
      <c r="F89" s="369">
        <f>VLOOKUP(C89,METADATA!$A$5:$H$29,IF(E89="HI",2,IF(E89="LO",6,10))+IF(D89=1,2,IF(D89=7,1,(IF(WEEKDAY(B89)=1,2,IF(WEEKDAY(B89)=7,1,0))))))</f>
        <v>3</v>
      </c>
      <c r="G89" s="369">
        <f>VLOOKUP(C89,METADATA!$J$5:$Q$29,IF(E89="HI",2,IF(E89="LO",6,10))+IF(D89=1,2,IF(D89=7,1,(IF(WEEKDAY(B89)=1,2,IF(WEEKDAY(B89)=7,1,0))))))</f>
        <v>3</v>
      </c>
      <c r="H89" s="370">
        <v>13468.264892578125</v>
      </c>
      <c r="I89" s="370">
        <v>1860.5999813079834</v>
      </c>
      <c r="M89" s="371">
        <f t="shared" si="5"/>
        <v>13596.175620633021</v>
      </c>
      <c r="N89" s="329">
        <f t="shared" si="6"/>
        <v>0</v>
      </c>
      <c r="T89" s="331">
        <v>0</v>
      </c>
      <c r="U89" s="328">
        <f>VLOOKUP(C89,METADATA!$J$5:$Q$29,IF(E89="HI",2,IF(E89="LO",6,10))+IF(T89=1,2,IF(D89=7,1,(IF(WEEKDAY(B89)=1,2,IF(WEEKDAY(B89)=7,1,0))))))</f>
        <v>3</v>
      </c>
      <c r="V89" s="328">
        <f>VLOOKUP(C89,METADATA!$A$5:$H$29,IF(E89="HI",2,IF(E89="LO",6,10))+IF(T89=1,2,IF(D89=7,1,(IF(WEEKDAY(B89)=1,2,IF(WEEKDAY(B89)=7,1,0))))))</f>
        <v>3</v>
      </c>
    </row>
    <row r="90" spans="2:22">
      <c r="B90" s="318">
        <f t="shared" si="3"/>
        <v>46116</v>
      </c>
      <c r="C90" s="312">
        <v>14</v>
      </c>
      <c r="D90" s="368">
        <f>IFERROR((INDEX(METADATA!$T$2:$T$20,MATCH(B90,METADATA!$S$2:$S$20,0))),0)</f>
        <v>0</v>
      </c>
      <c r="E90" s="312" t="str">
        <f t="shared" si="4"/>
        <v>LO</v>
      </c>
      <c r="F90" s="369">
        <f>VLOOKUP(C90,METADATA!$A$5:$H$29,IF(E90="HI",2,IF(E90="LO",6,10))+IF(D90=1,2,IF(D90=7,1,(IF(WEEKDAY(B90)=1,2,IF(WEEKDAY(B90)=7,1,0))))))</f>
        <v>3</v>
      </c>
      <c r="G90" s="369">
        <f>VLOOKUP(C90,METADATA!$J$5:$Q$29,IF(E90="HI",2,IF(E90="LO",6,10))+IF(D90=1,2,IF(D90=7,1,(IF(WEEKDAY(B90)=1,2,IF(WEEKDAY(B90)=7,1,0))))))</f>
        <v>3</v>
      </c>
      <c r="H90" s="370">
        <v>13474.620178222656</v>
      </c>
      <c r="I90" s="370">
        <v>1823.3270206451416</v>
      </c>
      <c r="M90" s="371">
        <f t="shared" si="5"/>
        <v>13597.422931260904</v>
      </c>
      <c r="N90" s="329">
        <f t="shared" si="6"/>
        <v>0</v>
      </c>
      <c r="T90" s="331">
        <v>0</v>
      </c>
      <c r="U90" s="328">
        <f>VLOOKUP(C90,METADATA!$J$5:$Q$29,IF(E90="HI",2,IF(E90="LO",6,10))+IF(T90=1,2,IF(D90=7,1,(IF(WEEKDAY(B90)=1,2,IF(WEEKDAY(B90)=7,1,0))))))</f>
        <v>3</v>
      </c>
      <c r="V90" s="328">
        <f>VLOOKUP(C90,METADATA!$A$5:$H$29,IF(E90="HI",2,IF(E90="LO",6,10))+IF(T90=1,2,IF(D90=7,1,(IF(WEEKDAY(B90)=1,2,IF(WEEKDAY(B90)=7,1,0))))))</f>
        <v>3</v>
      </c>
    </row>
    <row r="91" spans="2:22">
      <c r="B91" s="318">
        <f t="shared" si="3"/>
        <v>46116</v>
      </c>
      <c r="C91" s="312">
        <v>15</v>
      </c>
      <c r="D91" s="368">
        <f>IFERROR((INDEX(METADATA!$T$2:$T$20,MATCH(B91,METADATA!$S$2:$S$20,0))),0)</f>
        <v>0</v>
      </c>
      <c r="E91" s="312" t="str">
        <f t="shared" si="4"/>
        <v>LO</v>
      </c>
      <c r="F91" s="369">
        <f>VLOOKUP(C91,METADATA!$A$5:$H$29,IF(E91="HI",2,IF(E91="LO",6,10))+IF(D91=1,2,IF(D91=7,1,(IF(WEEKDAY(B91)=1,2,IF(WEEKDAY(B91)=7,1,0))))))</f>
        <v>3</v>
      </c>
      <c r="G91" s="369">
        <f>VLOOKUP(C91,METADATA!$J$5:$Q$29,IF(E91="HI",2,IF(E91="LO",6,10))+IF(D91=1,2,IF(D91=7,1,(IF(WEEKDAY(B91)=1,2,IF(WEEKDAY(B91)=7,1,0))))))</f>
        <v>3</v>
      </c>
      <c r="H91" s="370">
        <v>13411.3798828125</v>
      </c>
      <c r="I91" s="370">
        <v>1861.4155292510986</v>
      </c>
      <c r="M91" s="371">
        <f t="shared" si="5"/>
        <v>13539.940108200071</v>
      </c>
      <c r="N91" s="329">
        <f t="shared" si="6"/>
        <v>0</v>
      </c>
      <c r="T91" s="331">
        <v>0</v>
      </c>
      <c r="U91" s="328">
        <f>VLOOKUP(C91,METADATA!$J$5:$Q$29,IF(E91="HI",2,IF(E91="LO",6,10))+IF(T91=1,2,IF(D91=7,1,(IF(WEEKDAY(B91)=1,2,IF(WEEKDAY(B91)=7,1,0))))))</f>
        <v>3</v>
      </c>
      <c r="V91" s="328">
        <f>VLOOKUP(C91,METADATA!$A$5:$H$29,IF(E91="HI",2,IF(E91="LO",6,10))+IF(T91=1,2,IF(D91=7,1,(IF(WEEKDAY(B91)=1,2,IF(WEEKDAY(B91)=7,1,0))))))</f>
        <v>3</v>
      </c>
    </row>
    <row r="92" spans="2:22">
      <c r="B92" s="318">
        <f t="shared" ref="B92:B155" si="7">B68+1</f>
        <v>46116</v>
      </c>
      <c r="C92" s="312">
        <v>16</v>
      </c>
      <c r="D92" s="368">
        <f>IFERROR((INDEX(METADATA!$T$2:$T$20,MATCH(B92,METADATA!$S$2:$S$20,0))),0)</f>
        <v>0</v>
      </c>
      <c r="E92" s="312" t="str">
        <f t="shared" si="4"/>
        <v>LO</v>
      </c>
      <c r="F92" s="369">
        <f>VLOOKUP(C92,METADATA!$A$5:$H$29,IF(E92="HI",2,IF(E92="LO",6,10))+IF(D92=1,2,IF(D92=7,1,(IF(WEEKDAY(B92)=1,2,IF(WEEKDAY(B92)=7,1,0))))))</f>
        <v>3</v>
      </c>
      <c r="G92" s="369">
        <f>VLOOKUP(C92,METADATA!$J$5:$Q$29,IF(E92="HI",2,IF(E92="LO",6,10))+IF(D92=1,2,IF(D92=7,1,(IF(WEEKDAY(B92)=1,2,IF(WEEKDAY(B92)=7,1,0))))))</f>
        <v>3</v>
      </c>
      <c r="H92" s="370">
        <v>13405.545043945313</v>
      </c>
      <c r="I92" s="370">
        <v>1878.2659587860107</v>
      </c>
      <c r="M92" s="371">
        <f t="shared" si="5"/>
        <v>13536.488500980638</v>
      </c>
      <c r="N92" s="329">
        <f t="shared" si="6"/>
        <v>0</v>
      </c>
      <c r="T92" s="331">
        <v>0</v>
      </c>
      <c r="U92" s="328">
        <f>VLOOKUP(C92,METADATA!$J$5:$Q$29,IF(E92="HI",2,IF(E92="LO",6,10))+IF(T92=1,2,IF(D92=7,1,(IF(WEEKDAY(B92)=1,2,IF(WEEKDAY(B92)=7,1,0))))))</f>
        <v>3</v>
      </c>
      <c r="V92" s="328">
        <f>VLOOKUP(C92,METADATA!$A$5:$H$29,IF(E92="HI",2,IF(E92="LO",6,10))+IF(T92=1,2,IF(D92=7,1,(IF(WEEKDAY(B92)=1,2,IF(WEEKDAY(B92)=7,1,0))))))</f>
        <v>3</v>
      </c>
    </row>
    <row r="93" spans="2:22">
      <c r="B93" s="318">
        <f t="shared" si="7"/>
        <v>46116</v>
      </c>
      <c r="C93" s="312">
        <v>17</v>
      </c>
      <c r="D93" s="368">
        <f>IFERROR((INDEX(METADATA!$T$2:$T$20,MATCH(B93,METADATA!$S$2:$S$20,0))),0)</f>
        <v>0</v>
      </c>
      <c r="E93" s="312" t="str">
        <f t="shared" si="4"/>
        <v>LO</v>
      </c>
      <c r="F93" s="369">
        <f>VLOOKUP(C93,METADATA!$A$5:$H$29,IF(E93="HI",2,IF(E93="LO",6,10))+IF(D93=1,2,IF(D93=7,1,(IF(WEEKDAY(B93)=1,2,IF(WEEKDAY(B93)=7,1,0))))))</f>
        <v>3</v>
      </c>
      <c r="G93" s="369">
        <f>VLOOKUP(C93,METADATA!$J$5:$Q$29,IF(E93="HI",2,IF(E93="LO",6,10))+IF(D93=1,2,IF(D93=7,1,(IF(WEEKDAY(B93)=1,2,IF(WEEKDAY(B93)=7,1,0))))))</f>
        <v>3</v>
      </c>
      <c r="H93" s="370">
        <v>13444.6201171875</v>
      </c>
      <c r="I93" s="370">
        <v>1831.8705368041992</v>
      </c>
      <c r="M93" s="371">
        <f t="shared" si="5"/>
        <v>13568.845188854286</v>
      </c>
      <c r="N93" s="329">
        <f t="shared" si="6"/>
        <v>0</v>
      </c>
      <c r="T93" s="331">
        <v>0</v>
      </c>
      <c r="U93" s="328">
        <f>VLOOKUP(C93,METADATA!$J$5:$Q$29,IF(E93="HI",2,IF(E93="LO",6,10))+IF(T93=1,2,IF(D93=7,1,(IF(WEEKDAY(B93)=1,2,IF(WEEKDAY(B93)=7,1,0))))))</f>
        <v>3</v>
      </c>
      <c r="V93" s="328">
        <f>VLOOKUP(C93,METADATA!$A$5:$H$29,IF(E93="HI",2,IF(E93="LO",6,10))+IF(T93=1,2,IF(D93=7,1,(IF(WEEKDAY(B93)=1,2,IF(WEEKDAY(B93)=7,1,0))))))</f>
        <v>3</v>
      </c>
    </row>
    <row r="94" spans="2:22">
      <c r="B94" s="318">
        <f t="shared" si="7"/>
        <v>46116</v>
      </c>
      <c r="C94" s="312">
        <v>18</v>
      </c>
      <c r="D94" s="368">
        <f>IFERROR((INDEX(METADATA!$T$2:$T$20,MATCH(B94,METADATA!$S$2:$S$20,0))),0)</f>
        <v>0</v>
      </c>
      <c r="E94" s="312" t="str">
        <f t="shared" si="4"/>
        <v>LO</v>
      </c>
      <c r="F94" s="369">
        <f>VLOOKUP(C94,METADATA!$A$5:$H$29,IF(E94="HI",2,IF(E94="LO",6,10))+IF(D94=1,2,IF(D94=7,1,(IF(WEEKDAY(B94)=1,2,IF(WEEKDAY(B94)=7,1,0))))))</f>
        <v>2</v>
      </c>
      <c r="G94" s="369">
        <f>VLOOKUP(C94,METADATA!$J$5:$Q$29,IF(E94="HI",2,IF(E94="LO",6,10))+IF(D94=1,2,IF(D94=7,1,(IF(WEEKDAY(B94)=1,2,IF(WEEKDAY(B94)=7,1,0))))))</f>
        <v>2</v>
      </c>
      <c r="H94" s="370">
        <v>13222.175048828125</v>
      </c>
      <c r="I94" s="370">
        <v>1773.720469892025</v>
      </c>
      <c r="M94" s="371">
        <f t="shared" si="5"/>
        <v>13340.614578315612</v>
      </c>
      <c r="N94" s="329">
        <f t="shared" si="6"/>
        <v>0</v>
      </c>
      <c r="T94" s="331">
        <v>0</v>
      </c>
      <c r="U94" s="328">
        <f>VLOOKUP(C94,METADATA!$J$5:$Q$29,IF(E94="HI",2,IF(E94="LO",6,10))+IF(T94=1,2,IF(D94=7,1,(IF(WEEKDAY(B94)=1,2,IF(WEEKDAY(B94)=7,1,0))))))</f>
        <v>2</v>
      </c>
      <c r="V94" s="328">
        <f>VLOOKUP(C94,METADATA!$A$5:$H$29,IF(E94="HI",2,IF(E94="LO",6,10))+IF(T94=1,2,IF(D94=7,1,(IF(WEEKDAY(B94)=1,2,IF(WEEKDAY(B94)=7,1,0))))))</f>
        <v>2</v>
      </c>
    </row>
    <row r="95" spans="2:22">
      <c r="B95" s="318">
        <f t="shared" si="7"/>
        <v>46116</v>
      </c>
      <c r="C95" s="312">
        <v>19</v>
      </c>
      <c r="D95" s="368">
        <f>IFERROR((INDEX(METADATA!$T$2:$T$20,MATCH(B95,METADATA!$S$2:$S$20,0))),0)</f>
        <v>0</v>
      </c>
      <c r="E95" s="312" t="str">
        <f t="shared" si="4"/>
        <v>LO</v>
      </c>
      <c r="F95" s="369">
        <f>VLOOKUP(C95,METADATA!$A$5:$H$29,IF(E95="HI",2,IF(E95="LO",6,10))+IF(D95=1,2,IF(D95=7,1,(IF(WEEKDAY(B95)=1,2,IF(WEEKDAY(B95)=7,1,0))))))</f>
        <v>2</v>
      </c>
      <c r="G95" s="369">
        <f>VLOOKUP(C95,METADATA!$J$5:$Q$29,IF(E95="HI",2,IF(E95="LO",6,10))+IF(D95=1,2,IF(D95=7,1,(IF(WEEKDAY(B95)=1,2,IF(WEEKDAY(B95)=7,1,0))))))</f>
        <v>2</v>
      </c>
      <c r="H95" s="370">
        <v>13337.355102539063</v>
      </c>
      <c r="I95" s="370">
        <v>1787.4244906902313</v>
      </c>
      <c r="M95" s="371">
        <f t="shared" si="5"/>
        <v>13456.594199170308</v>
      </c>
      <c r="N95" s="329">
        <f t="shared" si="6"/>
        <v>0</v>
      </c>
      <c r="T95" s="331">
        <v>0</v>
      </c>
      <c r="U95" s="328">
        <f>VLOOKUP(C95,METADATA!$J$5:$Q$29,IF(E95="HI",2,IF(E95="LO",6,10))+IF(T95=1,2,IF(D95=7,1,(IF(WEEKDAY(B95)=1,2,IF(WEEKDAY(B95)=7,1,0))))))</f>
        <v>2</v>
      </c>
      <c r="V95" s="328">
        <f>VLOOKUP(C95,METADATA!$A$5:$H$29,IF(E95="HI",2,IF(E95="LO",6,10))+IF(T95=1,2,IF(D95=7,1,(IF(WEEKDAY(B95)=1,2,IF(WEEKDAY(B95)=7,1,0))))))</f>
        <v>2</v>
      </c>
    </row>
    <row r="96" spans="2:22">
      <c r="B96" s="318">
        <f t="shared" si="7"/>
        <v>46116</v>
      </c>
      <c r="C96" s="312">
        <v>20</v>
      </c>
      <c r="D96" s="368">
        <f>IFERROR((INDEX(METADATA!$T$2:$T$20,MATCH(B96,METADATA!$S$2:$S$20,0))),0)</f>
        <v>0</v>
      </c>
      <c r="E96" s="312" t="str">
        <f t="shared" si="4"/>
        <v>LO</v>
      </c>
      <c r="F96" s="369">
        <f>VLOOKUP(C96,METADATA!$A$5:$H$29,IF(E96="HI",2,IF(E96="LO",6,10))+IF(D96=1,2,IF(D96=7,1,(IF(WEEKDAY(B96)=1,2,IF(WEEKDAY(B96)=7,1,0))))))</f>
        <v>3</v>
      </c>
      <c r="G96" s="369">
        <f>VLOOKUP(C96,METADATA!$J$5:$Q$29,IF(E96="HI",2,IF(E96="LO",6,10))+IF(D96=1,2,IF(D96=7,1,(IF(WEEKDAY(B96)=1,2,IF(WEEKDAY(B96)=7,1,0))))))</f>
        <v>3</v>
      </c>
      <c r="H96" s="370">
        <v>13473.544677734375</v>
      </c>
      <c r="I96" s="370">
        <v>1785.8635349273682</v>
      </c>
      <c r="M96" s="371">
        <f t="shared" si="5"/>
        <v>13591.383842283596</v>
      </c>
      <c r="N96" s="329">
        <f t="shared" si="6"/>
        <v>0</v>
      </c>
      <c r="T96" s="331">
        <v>0</v>
      </c>
      <c r="U96" s="328">
        <f>VLOOKUP(C96,METADATA!$J$5:$Q$29,IF(E96="HI",2,IF(E96="LO",6,10))+IF(T96=1,2,IF(D96=7,1,(IF(WEEKDAY(B96)=1,2,IF(WEEKDAY(B96)=7,1,0))))))</f>
        <v>3</v>
      </c>
      <c r="V96" s="328">
        <f>VLOOKUP(C96,METADATA!$A$5:$H$29,IF(E96="HI",2,IF(E96="LO",6,10))+IF(T96=1,2,IF(D96=7,1,(IF(WEEKDAY(B96)=1,2,IF(WEEKDAY(B96)=7,1,0))))))</f>
        <v>3</v>
      </c>
    </row>
    <row r="97" spans="2:22">
      <c r="B97" s="318">
        <f t="shared" si="7"/>
        <v>46116</v>
      </c>
      <c r="C97" s="312">
        <v>21</v>
      </c>
      <c r="D97" s="368">
        <f>IFERROR((INDEX(METADATA!$T$2:$T$20,MATCH(B97,METADATA!$S$2:$S$20,0))),0)</f>
        <v>0</v>
      </c>
      <c r="E97" s="312" t="str">
        <f t="shared" si="4"/>
        <v>LO</v>
      </c>
      <c r="F97" s="369">
        <f>VLOOKUP(C97,METADATA!$A$5:$H$29,IF(E97="HI",2,IF(E97="LO",6,10))+IF(D97=1,2,IF(D97=7,1,(IF(WEEKDAY(B97)=1,2,IF(WEEKDAY(B97)=7,1,0))))))</f>
        <v>3</v>
      </c>
      <c r="G97" s="369">
        <f>VLOOKUP(C97,METADATA!$J$5:$Q$29,IF(E97="HI",2,IF(E97="LO",6,10))+IF(D97=1,2,IF(D97=7,1,(IF(WEEKDAY(B97)=1,2,IF(WEEKDAY(B97)=7,1,0))))))</f>
        <v>3</v>
      </c>
      <c r="H97" s="370">
        <v>13625.83984375</v>
      </c>
      <c r="I97" s="370">
        <v>1875.8634672164917</v>
      </c>
      <c r="M97" s="371">
        <f t="shared" si="5"/>
        <v>13754.358407252681</v>
      </c>
      <c r="N97" s="329">
        <f t="shared" si="6"/>
        <v>0</v>
      </c>
      <c r="T97" s="331">
        <v>0</v>
      </c>
      <c r="U97" s="328">
        <f>VLOOKUP(C97,METADATA!$J$5:$Q$29,IF(E97="HI",2,IF(E97="LO",6,10))+IF(T97=1,2,IF(D97=7,1,(IF(WEEKDAY(B97)=1,2,IF(WEEKDAY(B97)=7,1,0))))))</f>
        <v>3</v>
      </c>
      <c r="V97" s="328">
        <f>VLOOKUP(C97,METADATA!$A$5:$H$29,IF(E97="HI",2,IF(E97="LO",6,10))+IF(T97=1,2,IF(D97=7,1,(IF(WEEKDAY(B97)=1,2,IF(WEEKDAY(B97)=7,1,0))))))</f>
        <v>3</v>
      </c>
    </row>
    <row r="98" spans="2:22">
      <c r="B98" s="318">
        <f t="shared" si="7"/>
        <v>46116</v>
      </c>
      <c r="C98" s="312">
        <v>22</v>
      </c>
      <c r="D98" s="368">
        <f>IFERROR((INDEX(METADATA!$T$2:$T$20,MATCH(B98,METADATA!$S$2:$S$20,0))),0)</f>
        <v>0</v>
      </c>
      <c r="E98" s="312" t="str">
        <f t="shared" si="4"/>
        <v>LO</v>
      </c>
      <c r="F98" s="369">
        <f>VLOOKUP(C98,METADATA!$A$5:$H$29,IF(E98="HI",2,IF(E98="LO",6,10))+IF(D98=1,2,IF(D98=7,1,(IF(WEEKDAY(B98)=1,2,IF(WEEKDAY(B98)=7,1,0))))))</f>
        <v>3</v>
      </c>
      <c r="G98" s="369">
        <f>VLOOKUP(C98,METADATA!$J$5:$Q$29,IF(E98="HI",2,IF(E98="LO",6,10))+IF(D98=1,2,IF(D98=7,1,(IF(WEEKDAY(B98)=1,2,IF(WEEKDAY(B98)=7,1,0))))))</f>
        <v>3</v>
      </c>
      <c r="H98" s="370">
        <v>13583.034973144531</v>
      </c>
      <c r="I98" s="370">
        <v>1867.6544876098633</v>
      </c>
      <c r="M98" s="371">
        <f t="shared" si="5"/>
        <v>13710.834123668652</v>
      </c>
      <c r="N98" s="329">
        <f t="shared" si="6"/>
        <v>0</v>
      </c>
      <c r="T98" s="331">
        <v>0</v>
      </c>
      <c r="U98" s="328">
        <f>VLOOKUP(C98,METADATA!$J$5:$Q$29,IF(E98="HI",2,IF(E98="LO",6,10))+IF(T98=1,2,IF(D98=7,1,(IF(WEEKDAY(B98)=1,2,IF(WEEKDAY(B98)=7,1,0))))))</f>
        <v>3</v>
      </c>
      <c r="V98" s="328">
        <f>VLOOKUP(C98,METADATA!$A$5:$H$29,IF(E98="HI",2,IF(E98="LO",6,10))+IF(T98=1,2,IF(D98=7,1,(IF(WEEKDAY(B98)=1,2,IF(WEEKDAY(B98)=7,1,0))))))</f>
        <v>3</v>
      </c>
    </row>
    <row r="99" spans="2:22">
      <c r="B99" s="318">
        <f t="shared" si="7"/>
        <v>46116</v>
      </c>
      <c r="C99" s="312">
        <v>23</v>
      </c>
      <c r="D99" s="368">
        <f>IFERROR((INDEX(METADATA!$T$2:$T$20,MATCH(B99,METADATA!$S$2:$S$20,0))),0)</f>
        <v>0</v>
      </c>
      <c r="E99" s="312" t="str">
        <f t="shared" si="4"/>
        <v>LO</v>
      </c>
      <c r="F99" s="369">
        <f>VLOOKUP(C99,METADATA!$A$5:$H$29,IF(E99="HI",2,IF(E99="LO",6,10))+IF(D99=1,2,IF(D99=7,1,(IF(WEEKDAY(B99)=1,2,IF(WEEKDAY(B99)=7,1,0))))))</f>
        <v>3</v>
      </c>
      <c r="G99" s="369">
        <f>VLOOKUP(C99,METADATA!$J$5:$Q$29,IF(E99="HI",2,IF(E99="LO",6,10))+IF(D99=1,2,IF(D99=7,1,(IF(WEEKDAY(B99)=1,2,IF(WEEKDAY(B99)=7,1,0))))))</f>
        <v>3</v>
      </c>
      <c r="H99" s="370">
        <v>13546.375427246094</v>
      </c>
      <c r="I99" s="370">
        <v>1890.3384790420532</v>
      </c>
      <c r="M99" s="371">
        <f t="shared" si="5"/>
        <v>13677.633815146675</v>
      </c>
      <c r="N99" s="329">
        <f t="shared" si="6"/>
        <v>0</v>
      </c>
      <c r="T99" s="331">
        <v>0</v>
      </c>
      <c r="U99" s="328">
        <f>VLOOKUP(C99,METADATA!$J$5:$Q$29,IF(E99="HI",2,IF(E99="LO",6,10))+IF(T99=1,2,IF(D99=7,1,(IF(WEEKDAY(B99)=1,2,IF(WEEKDAY(B99)=7,1,0))))))</f>
        <v>3</v>
      </c>
      <c r="V99" s="328">
        <f>VLOOKUP(C99,METADATA!$A$5:$H$29,IF(E99="HI",2,IF(E99="LO",6,10))+IF(T99=1,2,IF(D99=7,1,(IF(WEEKDAY(B99)=1,2,IF(WEEKDAY(B99)=7,1,0))))))</f>
        <v>3</v>
      </c>
    </row>
    <row r="100" spans="2:22">
      <c r="B100" s="318">
        <f t="shared" si="7"/>
        <v>46117</v>
      </c>
      <c r="C100" s="312">
        <v>0</v>
      </c>
      <c r="D100" s="368">
        <f>IFERROR((INDEX(METADATA!$T$2:$T$20,MATCH(B100,METADATA!$S$2:$S$20,0))),0)</f>
        <v>0</v>
      </c>
      <c r="E100" s="312" t="str">
        <f t="shared" si="4"/>
        <v>LO</v>
      </c>
      <c r="F100" s="369">
        <f>VLOOKUP(C100,METADATA!$A$5:$H$29,IF(E100="HI",2,IF(E100="LO",6,10))+IF(D100=1,2,IF(D100=7,1,(IF(WEEKDAY(B100)=1,2,IF(WEEKDAY(B100)=7,1,0))))))</f>
        <v>3</v>
      </c>
      <c r="G100" s="369">
        <f>VLOOKUP(C100,METADATA!$J$5:$Q$29,IF(E100="HI",2,IF(E100="LO",6,10))+IF(D100=1,2,IF(D100=7,1,(IF(WEEKDAY(B100)=1,2,IF(WEEKDAY(B100)=7,1,0))))))</f>
        <v>3</v>
      </c>
      <c r="H100" s="370">
        <v>13523.519897460938</v>
      </c>
      <c r="I100" s="370">
        <v>1926.862021446228</v>
      </c>
      <c r="M100" s="371">
        <f t="shared" si="5"/>
        <v>13660.102037199931</v>
      </c>
      <c r="N100" s="329">
        <f t="shared" si="6"/>
        <v>0</v>
      </c>
      <c r="T100" s="331">
        <v>0</v>
      </c>
      <c r="U100" s="328">
        <f>VLOOKUP(C100,METADATA!$J$5:$Q$29,IF(E100="HI",2,IF(E100="LO",6,10))+IF(T100=1,2,IF(D100=7,1,(IF(WEEKDAY(B100)=1,2,IF(WEEKDAY(B100)=7,1,0))))))</f>
        <v>3</v>
      </c>
      <c r="V100" s="328">
        <f>VLOOKUP(C100,METADATA!$A$5:$H$29,IF(E100="HI",2,IF(E100="LO",6,10))+IF(T100=1,2,IF(D100=7,1,(IF(WEEKDAY(B100)=1,2,IF(WEEKDAY(B100)=7,1,0))))))</f>
        <v>3</v>
      </c>
    </row>
    <row r="101" spans="2:22">
      <c r="B101" s="318">
        <f t="shared" si="7"/>
        <v>46117</v>
      </c>
      <c r="C101" s="312">
        <v>1</v>
      </c>
      <c r="D101" s="368">
        <f>IFERROR((INDEX(METADATA!$T$2:$T$20,MATCH(B101,METADATA!$S$2:$S$20,0))),0)</f>
        <v>0</v>
      </c>
      <c r="E101" s="312" t="str">
        <f t="shared" si="4"/>
        <v>LO</v>
      </c>
      <c r="F101" s="369">
        <f>VLOOKUP(C101,METADATA!$A$5:$H$29,IF(E101="HI",2,IF(E101="LO",6,10))+IF(D101=1,2,IF(D101=7,1,(IF(WEEKDAY(B101)=1,2,IF(WEEKDAY(B101)=7,1,0))))))</f>
        <v>3</v>
      </c>
      <c r="G101" s="369">
        <f>VLOOKUP(C101,METADATA!$J$5:$Q$29,IF(E101="HI",2,IF(E101="LO",6,10))+IF(D101=1,2,IF(D101=7,1,(IF(WEEKDAY(B101)=1,2,IF(WEEKDAY(B101)=7,1,0))))))</f>
        <v>3</v>
      </c>
      <c r="H101" s="370">
        <v>13520.154968261719</v>
      </c>
      <c r="I101" s="370">
        <v>1955.2099666595459</v>
      </c>
      <c r="M101" s="371">
        <f t="shared" si="5"/>
        <v>13660.799258445199</v>
      </c>
      <c r="N101" s="329">
        <f t="shared" si="6"/>
        <v>0</v>
      </c>
      <c r="T101" s="331">
        <v>0</v>
      </c>
      <c r="U101" s="328">
        <f>VLOOKUP(C101,METADATA!$J$5:$Q$29,IF(E101="HI",2,IF(E101="LO",6,10))+IF(T101=1,2,IF(D101=7,1,(IF(WEEKDAY(B101)=1,2,IF(WEEKDAY(B101)=7,1,0))))))</f>
        <v>3</v>
      </c>
      <c r="V101" s="328">
        <f>VLOOKUP(C101,METADATA!$A$5:$H$29,IF(E101="HI",2,IF(E101="LO",6,10))+IF(T101=1,2,IF(D101=7,1,(IF(WEEKDAY(B101)=1,2,IF(WEEKDAY(B101)=7,1,0))))))</f>
        <v>3</v>
      </c>
    </row>
    <row r="102" spans="2:22">
      <c r="B102" s="318">
        <f t="shared" si="7"/>
        <v>46117</v>
      </c>
      <c r="C102" s="312">
        <v>2</v>
      </c>
      <c r="D102" s="368">
        <f>IFERROR((INDEX(METADATA!$T$2:$T$20,MATCH(B102,METADATA!$S$2:$S$20,0))),0)</f>
        <v>0</v>
      </c>
      <c r="E102" s="312" t="str">
        <f t="shared" si="4"/>
        <v>LO</v>
      </c>
      <c r="F102" s="369">
        <f>VLOOKUP(C102,METADATA!$A$5:$H$29,IF(E102="HI",2,IF(E102="LO",6,10))+IF(D102=1,2,IF(D102=7,1,(IF(WEEKDAY(B102)=1,2,IF(WEEKDAY(B102)=7,1,0))))))</f>
        <v>3</v>
      </c>
      <c r="G102" s="369">
        <f>VLOOKUP(C102,METADATA!$J$5:$Q$29,IF(E102="HI",2,IF(E102="LO",6,10))+IF(D102=1,2,IF(D102=7,1,(IF(WEEKDAY(B102)=1,2,IF(WEEKDAY(B102)=7,1,0))))))</f>
        <v>3</v>
      </c>
      <c r="H102" s="370">
        <v>13566.954711914063</v>
      </c>
      <c r="I102" s="370">
        <v>1937.0884675979614</v>
      </c>
      <c r="M102" s="371">
        <f t="shared" si="5"/>
        <v>13704.545665086025</v>
      </c>
      <c r="N102" s="329">
        <f t="shared" si="6"/>
        <v>0</v>
      </c>
      <c r="T102" s="331">
        <v>0</v>
      </c>
      <c r="U102" s="328">
        <f>VLOOKUP(C102,METADATA!$J$5:$Q$29,IF(E102="HI",2,IF(E102="LO",6,10))+IF(T102=1,2,IF(D102=7,1,(IF(WEEKDAY(B102)=1,2,IF(WEEKDAY(B102)=7,1,0))))))</f>
        <v>3</v>
      </c>
      <c r="V102" s="328">
        <f>VLOOKUP(C102,METADATA!$A$5:$H$29,IF(E102="HI",2,IF(E102="LO",6,10))+IF(T102=1,2,IF(D102=7,1,(IF(WEEKDAY(B102)=1,2,IF(WEEKDAY(B102)=7,1,0))))))</f>
        <v>3</v>
      </c>
    </row>
    <row r="103" spans="2:22">
      <c r="B103" s="318">
        <f t="shared" si="7"/>
        <v>46117</v>
      </c>
      <c r="C103" s="312">
        <v>3</v>
      </c>
      <c r="D103" s="368">
        <f>IFERROR((INDEX(METADATA!$T$2:$T$20,MATCH(B103,METADATA!$S$2:$S$20,0))),0)</f>
        <v>0</v>
      </c>
      <c r="E103" s="312" t="str">
        <f t="shared" si="4"/>
        <v>LO</v>
      </c>
      <c r="F103" s="369">
        <f>VLOOKUP(C103,METADATA!$A$5:$H$29,IF(E103="HI",2,IF(E103="LO",6,10))+IF(D103=1,2,IF(D103=7,1,(IF(WEEKDAY(B103)=1,2,IF(WEEKDAY(B103)=7,1,0))))))</f>
        <v>3</v>
      </c>
      <c r="G103" s="369">
        <f>VLOOKUP(C103,METADATA!$J$5:$Q$29,IF(E103="HI",2,IF(E103="LO",6,10))+IF(D103=1,2,IF(D103=7,1,(IF(WEEKDAY(B103)=1,2,IF(WEEKDAY(B103)=7,1,0))))))</f>
        <v>3</v>
      </c>
      <c r="H103" s="370">
        <v>13679.367126464844</v>
      </c>
      <c r="I103" s="370">
        <v>1991.0150260925293</v>
      </c>
      <c r="M103" s="371">
        <f t="shared" si="5"/>
        <v>13823.502660857459</v>
      </c>
      <c r="N103" s="329">
        <f t="shared" si="6"/>
        <v>0</v>
      </c>
      <c r="T103" s="331">
        <v>0</v>
      </c>
      <c r="U103" s="328">
        <f>VLOOKUP(C103,METADATA!$J$5:$Q$29,IF(E103="HI",2,IF(E103="LO",6,10))+IF(T103=1,2,IF(D103=7,1,(IF(WEEKDAY(B103)=1,2,IF(WEEKDAY(B103)=7,1,0))))))</f>
        <v>3</v>
      </c>
      <c r="V103" s="328">
        <f>VLOOKUP(C103,METADATA!$A$5:$H$29,IF(E103="HI",2,IF(E103="LO",6,10))+IF(T103=1,2,IF(D103=7,1,(IF(WEEKDAY(B103)=1,2,IF(WEEKDAY(B103)=7,1,0))))))</f>
        <v>3</v>
      </c>
    </row>
    <row r="104" spans="2:22">
      <c r="B104" s="318">
        <f t="shared" si="7"/>
        <v>46117</v>
      </c>
      <c r="C104" s="312">
        <v>4</v>
      </c>
      <c r="D104" s="368">
        <f>IFERROR((INDEX(METADATA!$T$2:$T$20,MATCH(B104,METADATA!$S$2:$S$20,0))),0)</f>
        <v>0</v>
      </c>
      <c r="E104" s="312" t="str">
        <f t="shared" si="4"/>
        <v>LO</v>
      </c>
      <c r="F104" s="369">
        <f>VLOOKUP(C104,METADATA!$A$5:$H$29,IF(E104="HI",2,IF(E104="LO",6,10))+IF(D104=1,2,IF(D104=7,1,(IF(WEEKDAY(B104)=1,2,IF(WEEKDAY(B104)=7,1,0))))))</f>
        <v>3</v>
      </c>
      <c r="G104" s="369">
        <f>VLOOKUP(C104,METADATA!$J$5:$Q$29,IF(E104="HI",2,IF(E104="LO",6,10))+IF(D104=1,2,IF(D104=7,1,(IF(WEEKDAY(B104)=1,2,IF(WEEKDAY(B104)=7,1,0))))))</f>
        <v>3</v>
      </c>
      <c r="H104" s="370">
        <v>13596.144958496094</v>
      </c>
      <c r="I104" s="370">
        <v>1991.1354560852051</v>
      </c>
      <c r="M104" s="371">
        <f t="shared" si="5"/>
        <v>13741.17091578874</v>
      </c>
      <c r="N104" s="329">
        <f t="shared" si="6"/>
        <v>0</v>
      </c>
      <c r="T104" s="331">
        <v>0</v>
      </c>
      <c r="U104" s="328">
        <f>VLOOKUP(C104,METADATA!$J$5:$Q$29,IF(E104="HI",2,IF(E104="LO",6,10))+IF(T104=1,2,IF(D104=7,1,(IF(WEEKDAY(B104)=1,2,IF(WEEKDAY(B104)=7,1,0))))))</f>
        <v>3</v>
      </c>
      <c r="V104" s="328">
        <f>VLOOKUP(C104,METADATA!$A$5:$H$29,IF(E104="HI",2,IF(E104="LO",6,10))+IF(T104=1,2,IF(D104=7,1,(IF(WEEKDAY(B104)=1,2,IF(WEEKDAY(B104)=7,1,0))))))</f>
        <v>3</v>
      </c>
    </row>
    <row r="105" spans="2:22">
      <c r="B105" s="318">
        <f t="shared" si="7"/>
        <v>46117</v>
      </c>
      <c r="C105" s="312">
        <v>5</v>
      </c>
      <c r="D105" s="368">
        <f>IFERROR((INDEX(METADATA!$T$2:$T$20,MATCH(B105,METADATA!$S$2:$S$20,0))),0)</f>
        <v>0</v>
      </c>
      <c r="E105" s="312" t="str">
        <f t="shared" si="4"/>
        <v>LO</v>
      </c>
      <c r="F105" s="369">
        <f>VLOOKUP(C105,METADATA!$A$5:$H$29,IF(E105="HI",2,IF(E105="LO",6,10))+IF(D105=1,2,IF(D105=7,1,(IF(WEEKDAY(B105)=1,2,IF(WEEKDAY(B105)=7,1,0))))))</f>
        <v>3</v>
      </c>
      <c r="G105" s="369">
        <f>VLOOKUP(C105,METADATA!$J$5:$Q$29,IF(E105="HI",2,IF(E105="LO",6,10))+IF(D105=1,2,IF(D105=7,1,(IF(WEEKDAY(B105)=1,2,IF(WEEKDAY(B105)=7,1,0))))))</f>
        <v>3</v>
      </c>
      <c r="H105" s="370">
        <v>13660.607543945313</v>
      </c>
      <c r="I105" s="370">
        <v>1924.9194421768188</v>
      </c>
      <c r="M105" s="371">
        <f t="shared" si="5"/>
        <v>13795.561363299643</v>
      </c>
      <c r="N105" s="329">
        <f t="shared" si="6"/>
        <v>0</v>
      </c>
      <c r="T105" s="331">
        <v>0</v>
      </c>
      <c r="U105" s="328">
        <f>VLOOKUP(C105,METADATA!$J$5:$Q$29,IF(E105="HI",2,IF(E105="LO",6,10))+IF(T105=1,2,IF(D105=7,1,(IF(WEEKDAY(B105)=1,2,IF(WEEKDAY(B105)=7,1,0))))))</f>
        <v>3</v>
      </c>
      <c r="V105" s="328">
        <f>VLOOKUP(C105,METADATA!$A$5:$H$29,IF(E105="HI",2,IF(E105="LO",6,10))+IF(T105=1,2,IF(D105=7,1,(IF(WEEKDAY(B105)=1,2,IF(WEEKDAY(B105)=7,1,0))))))</f>
        <v>3</v>
      </c>
    </row>
    <row r="106" spans="2:22">
      <c r="B106" s="318">
        <f t="shared" si="7"/>
        <v>46117</v>
      </c>
      <c r="C106" s="312">
        <v>6</v>
      </c>
      <c r="D106" s="368">
        <f>IFERROR((INDEX(METADATA!$T$2:$T$20,MATCH(B106,METADATA!$S$2:$S$20,0))),0)</f>
        <v>0</v>
      </c>
      <c r="E106" s="312" t="str">
        <f t="shared" si="4"/>
        <v>LO</v>
      </c>
      <c r="F106" s="369">
        <f>VLOOKUP(C106,METADATA!$A$5:$H$29,IF(E106="HI",2,IF(E106="LO",6,10))+IF(D106=1,2,IF(D106=7,1,(IF(WEEKDAY(B106)=1,2,IF(WEEKDAY(B106)=7,1,0))))))</f>
        <v>3</v>
      </c>
      <c r="G106" s="369">
        <f>VLOOKUP(C106,METADATA!$J$5:$Q$29,IF(E106="HI",2,IF(E106="LO",6,10))+IF(D106=1,2,IF(D106=7,1,(IF(WEEKDAY(B106)=1,2,IF(WEEKDAY(B106)=7,1,0))))))</f>
        <v>3</v>
      </c>
      <c r="H106" s="370">
        <v>13638.009582519531</v>
      </c>
      <c r="I106" s="370">
        <v>1955.1830272674561</v>
      </c>
      <c r="M106" s="371">
        <f t="shared" si="5"/>
        <v>13777.447007446963</v>
      </c>
      <c r="N106" s="329">
        <f t="shared" si="6"/>
        <v>0</v>
      </c>
      <c r="T106" s="331">
        <v>0</v>
      </c>
      <c r="U106" s="328">
        <f>VLOOKUP(C106,METADATA!$J$5:$Q$29,IF(E106="HI",2,IF(E106="LO",6,10))+IF(T106=1,2,IF(D106=7,1,(IF(WEEKDAY(B106)=1,2,IF(WEEKDAY(B106)=7,1,0))))))</f>
        <v>3</v>
      </c>
      <c r="V106" s="328">
        <f>VLOOKUP(C106,METADATA!$A$5:$H$29,IF(E106="HI",2,IF(E106="LO",6,10))+IF(T106=1,2,IF(D106=7,1,(IF(WEEKDAY(B106)=1,2,IF(WEEKDAY(B106)=7,1,0))))))</f>
        <v>3</v>
      </c>
    </row>
    <row r="107" spans="2:22">
      <c r="B107" s="318">
        <f t="shared" si="7"/>
        <v>46117</v>
      </c>
      <c r="C107" s="312">
        <v>7</v>
      </c>
      <c r="D107" s="368">
        <f>IFERROR((INDEX(METADATA!$T$2:$T$20,MATCH(B107,METADATA!$S$2:$S$20,0))),0)</f>
        <v>0</v>
      </c>
      <c r="E107" s="312" t="str">
        <f t="shared" si="4"/>
        <v>LO</v>
      </c>
      <c r="F107" s="369">
        <f>VLOOKUP(C107,METADATA!$A$5:$H$29,IF(E107="HI",2,IF(E107="LO",6,10))+IF(D107=1,2,IF(D107=7,1,(IF(WEEKDAY(B107)=1,2,IF(WEEKDAY(B107)=7,1,0))))))</f>
        <v>3</v>
      </c>
      <c r="G107" s="369">
        <f>VLOOKUP(C107,METADATA!$J$5:$Q$29,IF(E107="HI",2,IF(E107="LO",6,10))+IF(D107=1,2,IF(D107=7,1,(IF(WEEKDAY(B107)=1,2,IF(WEEKDAY(B107)=7,1,0))))))</f>
        <v>3</v>
      </c>
      <c r="H107" s="370">
        <v>13666.544921875</v>
      </c>
      <c r="I107" s="370">
        <v>1914.2404556274414</v>
      </c>
      <c r="M107" s="371">
        <f t="shared" si="5"/>
        <v>13799.955312376491</v>
      </c>
      <c r="N107" s="329">
        <f t="shared" si="6"/>
        <v>0</v>
      </c>
      <c r="T107" s="331">
        <v>0</v>
      </c>
      <c r="U107" s="328">
        <f>VLOOKUP(C107,METADATA!$J$5:$Q$29,IF(E107="HI",2,IF(E107="LO",6,10))+IF(T107=1,2,IF(D107=7,1,(IF(WEEKDAY(B107)=1,2,IF(WEEKDAY(B107)=7,1,0))))))</f>
        <v>3</v>
      </c>
      <c r="V107" s="328">
        <f>VLOOKUP(C107,METADATA!$A$5:$H$29,IF(E107="HI",2,IF(E107="LO",6,10))+IF(T107=1,2,IF(D107=7,1,(IF(WEEKDAY(B107)=1,2,IF(WEEKDAY(B107)=7,1,0))))))</f>
        <v>3</v>
      </c>
    </row>
    <row r="108" spans="2:22">
      <c r="B108" s="318">
        <f t="shared" si="7"/>
        <v>46117</v>
      </c>
      <c r="C108" s="312">
        <v>8</v>
      </c>
      <c r="D108" s="368">
        <f>IFERROR((INDEX(METADATA!$T$2:$T$20,MATCH(B108,METADATA!$S$2:$S$20,0))),0)</f>
        <v>0</v>
      </c>
      <c r="E108" s="312" t="str">
        <f t="shared" si="4"/>
        <v>LO</v>
      </c>
      <c r="F108" s="369">
        <f>VLOOKUP(C108,METADATA!$A$5:$H$29,IF(E108="HI",2,IF(E108="LO",6,10))+IF(D108=1,2,IF(D108=7,1,(IF(WEEKDAY(B108)=1,2,IF(WEEKDAY(B108)=7,1,0))))))</f>
        <v>3</v>
      </c>
      <c r="G108" s="369">
        <f>VLOOKUP(C108,METADATA!$J$5:$Q$29,IF(E108="HI",2,IF(E108="LO",6,10))+IF(D108=1,2,IF(D108=7,1,(IF(WEEKDAY(B108)=1,2,IF(WEEKDAY(B108)=7,1,0))))))</f>
        <v>3</v>
      </c>
      <c r="H108" s="370">
        <v>13698.044860839844</v>
      </c>
      <c r="I108" s="370">
        <v>1998.2629566192627</v>
      </c>
      <c r="M108" s="371">
        <f t="shared" si="5"/>
        <v>13843.030298795766</v>
      </c>
      <c r="N108" s="329">
        <f t="shared" si="6"/>
        <v>0</v>
      </c>
      <c r="T108" s="331">
        <v>0</v>
      </c>
      <c r="U108" s="328">
        <f>VLOOKUP(C108,METADATA!$J$5:$Q$29,IF(E108="HI",2,IF(E108="LO",6,10))+IF(T108=1,2,IF(D108=7,1,(IF(WEEKDAY(B108)=1,2,IF(WEEKDAY(B108)=7,1,0))))))</f>
        <v>3</v>
      </c>
      <c r="V108" s="328">
        <f>VLOOKUP(C108,METADATA!$A$5:$H$29,IF(E108="HI",2,IF(E108="LO",6,10))+IF(T108=1,2,IF(D108=7,1,(IF(WEEKDAY(B108)=1,2,IF(WEEKDAY(B108)=7,1,0))))))</f>
        <v>3</v>
      </c>
    </row>
    <row r="109" spans="2:22">
      <c r="B109" s="318">
        <f t="shared" si="7"/>
        <v>46117</v>
      </c>
      <c r="C109" s="312">
        <v>9</v>
      </c>
      <c r="D109" s="368">
        <f>IFERROR((INDEX(METADATA!$T$2:$T$20,MATCH(B109,METADATA!$S$2:$S$20,0))),0)</f>
        <v>0</v>
      </c>
      <c r="E109" s="312" t="str">
        <f t="shared" si="4"/>
        <v>LO</v>
      </c>
      <c r="F109" s="369">
        <f>VLOOKUP(C109,METADATA!$A$5:$H$29,IF(E109="HI",2,IF(E109="LO",6,10))+IF(D109=1,2,IF(D109=7,1,(IF(WEEKDAY(B109)=1,2,IF(WEEKDAY(B109)=7,1,0))))))</f>
        <v>3</v>
      </c>
      <c r="G109" s="369">
        <f>VLOOKUP(C109,METADATA!$J$5:$Q$29,IF(E109="HI",2,IF(E109="LO",6,10))+IF(D109=1,2,IF(D109=7,1,(IF(WEEKDAY(B109)=1,2,IF(WEEKDAY(B109)=7,1,0))))))</f>
        <v>3</v>
      </c>
      <c r="H109" s="370">
        <v>13697.390319824219</v>
      </c>
      <c r="I109" s="370">
        <v>2056.8969669342041</v>
      </c>
      <c r="M109" s="371">
        <f t="shared" si="5"/>
        <v>13850.968439289629</v>
      </c>
      <c r="N109" s="329">
        <f t="shared" si="6"/>
        <v>0</v>
      </c>
      <c r="T109" s="331">
        <v>0</v>
      </c>
      <c r="U109" s="328">
        <f>VLOOKUP(C109,METADATA!$J$5:$Q$29,IF(E109="HI",2,IF(E109="LO",6,10))+IF(T109=1,2,IF(D109=7,1,(IF(WEEKDAY(B109)=1,2,IF(WEEKDAY(B109)=7,1,0))))))</f>
        <v>3</v>
      </c>
      <c r="V109" s="328">
        <f>VLOOKUP(C109,METADATA!$A$5:$H$29,IF(E109="HI",2,IF(E109="LO",6,10))+IF(T109=1,2,IF(D109=7,1,(IF(WEEKDAY(B109)=1,2,IF(WEEKDAY(B109)=7,1,0))))))</f>
        <v>3</v>
      </c>
    </row>
    <row r="110" spans="2:22">
      <c r="B110" s="318">
        <f t="shared" si="7"/>
        <v>46117</v>
      </c>
      <c r="C110" s="312">
        <v>10</v>
      </c>
      <c r="D110" s="368">
        <f>IFERROR((INDEX(METADATA!$T$2:$T$20,MATCH(B110,METADATA!$S$2:$S$20,0))),0)</f>
        <v>0</v>
      </c>
      <c r="E110" s="312" t="str">
        <f t="shared" si="4"/>
        <v>LO</v>
      </c>
      <c r="F110" s="369">
        <f>VLOOKUP(C110,METADATA!$A$5:$H$29,IF(E110="HI",2,IF(E110="LO",6,10))+IF(D110=1,2,IF(D110=7,1,(IF(WEEKDAY(B110)=1,2,IF(WEEKDAY(B110)=7,1,0))))))</f>
        <v>3</v>
      </c>
      <c r="G110" s="369">
        <f>VLOOKUP(C110,METADATA!$J$5:$Q$29,IF(E110="HI",2,IF(E110="LO",6,10))+IF(D110=1,2,IF(D110=7,1,(IF(WEEKDAY(B110)=1,2,IF(WEEKDAY(B110)=7,1,0))))))</f>
        <v>3</v>
      </c>
      <c r="H110" s="370">
        <v>13744.709838867188</v>
      </c>
      <c r="I110" s="370">
        <v>2042.6620025634766</v>
      </c>
      <c r="M110" s="371">
        <f t="shared" si="5"/>
        <v>13895.665389299249</v>
      </c>
      <c r="N110" s="329">
        <f t="shared" si="6"/>
        <v>0</v>
      </c>
      <c r="T110" s="331">
        <v>0</v>
      </c>
      <c r="U110" s="328">
        <f>VLOOKUP(C110,METADATA!$J$5:$Q$29,IF(E110="HI",2,IF(E110="LO",6,10))+IF(T110=1,2,IF(D110=7,1,(IF(WEEKDAY(B110)=1,2,IF(WEEKDAY(B110)=7,1,0))))))</f>
        <v>3</v>
      </c>
      <c r="V110" s="328">
        <f>VLOOKUP(C110,METADATA!$A$5:$H$29,IF(E110="HI",2,IF(E110="LO",6,10))+IF(T110=1,2,IF(D110=7,1,(IF(WEEKDAY(B110)=1,2,IF(WEEKDAY(B110)=7,1,0))))))</f>
        <v>3</v>
      </c>
    </row>
    <row r="111" spans="2:22">
      <c r="B111" s="318">
        <f t="shared" si="7"/>
        <v>46117</v>
      </c>
      <c r="C111" s="312">
        <v>11</v>
      </c>
      <c r="D111" s="368">
        <f>IFERROR((INDEX(METADATA!$T$2:$T$20,MATCH(B111,METADATA!$S$2:$S$20,0))),0)</f>
        <v>0</v>
      </c>
      <c r="E111" s="312" t="str">
        <f t="shared" si="4"/>
        <v>LO</v>
      </c>
      <c r="F111" s="369">
        <f>VLOOKUP(C111,METADATA!$A$5:$H$29,IF(E111="HI",2,IF(E111="LO",6,10))+IF(D111=1,2,IF(D111=7,1,(IF(WEEKDAY(B111)=1,2,IF(WEEKDAY(B111)=7,1,0))))))</f>
        <v>3</v>
      </c>
      <c r="G111" s="369">
        <f>VLOOKUP(C111,METADATA!$J$5:$Q$29,IF(E111="HI",2,IF(E111="LO",6,10))+IF(D111=1,2,IF(D111=7,1,(IF(WEEKDAY(B111)=1,2,IF(WEEKDAY(B111)=7,1,0))))))</f>
        <v>3</v>
      </c>
      <c r="H111" s="370">
        <v>13806.724853515625</v>
      </c>
      <c r="I111" s="370">
        <v>2090.3764877319336</v>
      </c>
      <c r="M111" s="371">
        <f t="shared" si="5"/>
        <v>13964.072652387216</v>
      </c>
      <c r="N111" s="329">
        <f t="shared" si="6"/>
        <v>0</v>
      </c>
      <c r="T111" s="331">
        <v>0</v>
      </c>
      <c r="U111" s="328">
        <f>VLOOKUP(C111,METADATA!$J$5:$Q$29,IF(E111="HI",2,IF(E111="LO",6,10))+IF(T111=1,2,IF(D111=7,1,(IF(WEEKDAY(B111)=1,2,IF(WEEKDAY(B111)=7,1,0))))))</f>
        <v>3</v>
      </c>
      <c r="V111" s="328">
        <f>VLOOKUP(C111,METADATA!$A$5:$H$29,IF(E111="HI",2,IF(E111="LO",6,10))+IF(T111=1,2,IF(D111=7,1,(IF(WEEKDAY(B111)=1,2,IF(WEEKDAY(B111)=7,1,0))))))</f>
        <v>3</v>
      </c>
    </row>
    <row r="112" spans="2:22">
      <c r="B112" s="318">
        <f t="shared" si="7"/>
        <v>46117</v>
      </c>
      <c r="C112" s="312">
        <v>12</v>
      </c>
      <c r="D112" s="368">
        <f>IFERROR((INDEX(METADATA!$T$2:$T$20,MATCH(B112,METADATA!$S$2:$S$20,0))),0)</f>
        <v>0</v>
      </c>
      <c r="E112" s="312" t="str">
        <f t="shared" si="4"/>
        <v>LO</v>
      </c>
      <c r="F112" s="369">
        <f>VLOOKUP(C112,METADATA!$A$5:$H$29,IF(E112="HI",2,IF(E112="LO",6,10))+IF(D112=1,2,IF(D112=7,1,(IF(WEEKDAY(B112)=1,2,IF(WEEKDAY(B112)=7,1,0))))))</f>
        <v>3</v>
      </c>
      <c r="G112" s="369">
        <f>VLOOKUP(C112,METADATA!$J$5:$Q$29,IF(E112="HI",2,IF(E112="LO",6,10))+IF(D112=1,2,IF(D112=7,1,(IF(WEEKDAY(B112)=1,2,IF(WEEKDAY(B112)=7,1,0))))))</f>
        <v>3</v>
      </c>
      <c r="H112" s="370">
        <v>13816.005065917969</v>
      </c>
      <c r="I112" s="370">
        <v>2089.3195724487305</v>
      </c>
      <c r="M112" s="371">
        <f t="shared" si="5"/>
        <v>13973.090290171616</v>
      </c>
      <c r="N112" s="329">
        <f t="shared" si="6"/>
        <v>0</v>
      </c>
      <c r="T112" s="331">
        <v>0</v>
      </c>
      <c r="U112" s="328">
        <f>VLOOKUP(C112,METADATA!$J$5:$Q$29,IF(E112="HI",2,IF(E112="LO",6,10))+IF(T112=1,2,IF(D112=7,1,(IF(WEEKDAY(B112)=1,2,IF(WEEKDAY(B112)=7,1,0))))))</f>
        <v>3</v>
      </c>
      <c r="V112" s="328">
        <f>VLOOKUP(C112,METADATA!$A$5:$H$29,IF(E112="HI",2,IF(E112="LO",6,10))+IF(T112=1,2,IF(D112=7,1,(IF(WEEKDAY(B112)=1,2,IF(WEEKDAY(B112)=7,1,0))))))</f>
        <v>3</v>
      </c>
    </row>
    <row r="113" spans="2:22">
      <c r="B113" s="318">
        <f t="shared" si="7"/>
        <v>46117</v>
      </c>
      <c r="C113" s="312">
        <v>13</v>
      </c>
      <c r="D113" s="368">
        <f>IFERROR((INDEX(METADATA!$T$2:$T$20,MATCH(B113,METADATA!$S$2:$S$20,0))),0)</f>
        <v>0</v>
      </c>
      <c r="E113" s="312" t="str">
        <f t="shared" si="4"/>
        <v>LO</v>
      </c>
      <c r="F113" s="369">
        <f>VLOOKUP(C113,METADATA!$A$5:$H$29,IF(E113="HI",2,IF(E113="LO",6,10))+IF(D113=1,2,IF(D113=7,1,(IF(WEEKDAY(B113)=1,2,IF(WEEKDAY(B113)=7,1,0))))))</f>
        <v>3</v>
      </c>
      <c r="G113" s="369">
        <f>VLOOKUP(C113,METADATA!$J$5:$Q$29,IF(E113="HI",2,IF(E113="LO",6,10))+IF(D113=1,2,IF(D113=7,1,(IF(WEEKDAY(B113)=1,2,IF(WEEKDAY(B113)=7,1,0))))))</f>
        <v>3</v>
      </c>
      <c r="H113" s="370">
        <v>13834.045104980469</v>
      </c>
      <c r="I113" s="370">
        <v>2098.5600109100342</v>
      </c>
      <c r="M113" s="371">
        <f t="shared" si="5"/>
        <v>13992.310677154963</v>
      </c>
      <c r="N113" s="329">
        <f t="shared" si="6"/>
        <v>0</v>
      </c>
      <c r="T113" s="331">
        <v>0</v>
      </c>
      <c r="U113" s="328">
        <f>VLOOKUP(C113,METADATA!$J$5:$Q$29,IF(E113="HI",2,IF(E113="LO",6,10))+IF(T113=1,2,IF(D113=7,1,(IF(WEEKDAY(B113)=1,2,IF(WEEKDAY(B113)=7,1,0))))))</f>
        <v>3</v>
      </c>
      <c r="V113" s="328">
        <f>VLOOKUP(C113,METADATA!$A$5:$H$29,IF(E113="HI",2,IF(E113="LO",6,10))+IF(T113=1,2,IF(D113=7,1,(IF(WEEKDAY(B113)=1,2,IF(WEEKDAY(B113)=7,1,0))))))</f>
        <v>3</v>
      </c>
    </row>
    <row r="114" spans="2:22">
      <c r="B114" s="318">
        <f t="shared" si="7"/>
        <v>46117</v>
      </c>
      <c r="C114" s="312">
        <v>14</v>
      </c>
      <c r="D114" s="368">
        <f>IFERROR((INDEX(METADATA!$T$2:$T$20,MATCH(B114,METADATA!$S$2:$S$20,0))),0)</f>
        <v>0</v>
      </c>
      <c r="E114" s="312" t="str">
        <f t="shared" si="4"/>
        <v>LO</v>
      </c>
      <c r="F114" s="369">
        <f>VLOOKUP(C114,METADATA!$A$5:$H$29,IF(E114="HI",2,IF(E114="LO",6,10))+IF(D114=1,2,IF(D114=7,1,(IF(WEEKDAY(B114)=1,2,IF(WEEKDAY(B114)=7,1,0))))))</f>
        <v>3</v>
      </c>
      <c r="G114" s="369">
        <f>VLOOKUP(C114,METADATA!$J$5:$Q$29,IF(E114="HI",2,IF(E114="LO",6,10))+IF(D114=1,2,IF(D114=7,1,(IF(WEEKDAY(B114)=1,2,IF(WEEKDAY(B114)=7,1,0))))))</f>
        <v>3</v>
      </c>
      <c r="H114" s="370">
        <v>13772.204895019531</v>
      </c>
      <c r="I114" s="370">
        <v>2099.9779624938965</v>
      </c>
      <c r="M114" s="371">
        <f t="shared" si="5"/>
        <v>13931.386690253055</v>
      </c>
      <c r="N114" s="329">
        <f t="shared" si="6"/>
        <v>0</v>
      </c>
      <c r="T114" s="331">
        <v>0</v>
      </c>
      <c r="U114" s="328">
        <f>VLOOKUP(C114,METADATA!$J$5:$Q$29,IF(E114="HI",2,IF(E114="LO",6,10))+IF(T114=1,2,IF(D114=7,1,(IF(WEEKDAY(B114)=1,2,IF(WEEKDAY(B114)=7,1,0))))))</f>
        <v>3</v>
      </c>
      <c r="V114" s="328">
        <f>VLOOKUP(C114,METADATA!$A$5:$H$29,IF(E114="HI",2,IF(E114="LO",6,10))+IF(T114=1,2,IF(D114=7,1,(IF(WEEKDAY(B114)=1,2,IF(WEEKDAY(B114)=7,1,0))))))</f>
        <v>3</v>
      </c>
    </row>
    <row r="115" spans="2:22">
      <c r="B115" s="318">
        <f t="shared" si="7"/>
        <v>46117</v>
      </c>
      <c r="C115" s="312">
        <v>15</v>
      </c>
      <c r="D115" s="368">
        <f>IFERROR((INDEX(METADATA!$T$2:$T$20,MATCH(B115,METADATA!$S$2:$S$20,0))),0)</f>
        <v>0</v>
      </c>
      <c r="E115" s="312" t="str">
        <f t="shared" si="4"/>
        <v>LO</v>
      </c>
      <c r="F115" s="369">
        <f>VLOOKUP(C115,METADATA!$A$5:$H$29,IF(E115="HI",2,IF(E115="LO",6,10))+IF(D115=1,2,IF(D115=7,1,(IF(WEEKDAY(B115)=1,2,IF(WEEKDAY(B115)=7,1,0))))))</f>
        <v>3</v>
      </c>
      <c r="G115" s="369">
        <f>VLOOKUP(C115,METADATA!$J$5:$Q$29,IF(E115="HI",2,IF(E115="LO",6,10))+IF(D115=1,2,IF(D115=7,1,(IF(WEEKDAY(B115)=1,2,IF(WEEKDAY(B115)=7,1,0))))))</f>
        <v>3</v>
      </c>
      <c r="H115" s="370">
        <v>13677.275329589844</v>
      </c>
      <c r="I115" s="370">
        <v>2125.223934173584</v>
      </c>
      <c r="M115" s="371">
        <f t="shared" si="5"/>
        <v>13841.403007346878</v>
      </c>
      <c r="N115" s="329">
        <f t="shared" si="6"/>
        <v>0</v>
      </c>
      <c r="T115" s="331">
        <v>0</v>
      </c>
      <c r="U115" s="328">
        <f>VLOOKUP(C115,METADATA!$J$5:$Q$29,IF(E115="HI",2,IF(E115="LO",6,10))+IF(T115=1,2,IF(D115=7,1,(IF(WEEKDAY(B115)=1,2,IF(WEEKDAY(B115)=7,1,0))))))</f>
        <v>3</v>
      </c>
      <c r="V115" s="328">
        <f>VLOOKUP(C115,METADATA!$A$5:$H$29,IF(E115="HI",2,IF(E115="LO",6,10))+IF(T115=1,2,IF(D115=7,1,(IF(WEEKDAY(B115)=1,2,IF(WEEKDAY(B115)=7,1,0))))))</f>
        <v>3</v>
      </c>
    </row>
    <row r="116" spans="2:22">
      <c r="B116" s="318">
        <f t="shared" si="7"/>
        <v>46117</v>
      </c>
      <c r="C116" s="312">
        <v>16</v>
      </c>
      <c r="D116" s="368">
        <f>IFERROR((INDEX(METADATA!$T$2:$T$20,MATCH(B116,METADATA!$S$2:$S$20,0))),0)</f>
        <v>0</v>
      </c>
      <c r="E116" s="312" t="str">
        <f t="shared" si="4"/>
        <v>LO</v>
      </c>
      <c r="F116" s="369">
        <f>VLOOKUP(C116,METADATA!$A$5:$H$29,IF(E116="HI",2,IF(E116="LO",6,10))+IF(D116=1,2,IF(D116=7,1,(IF(WEEKDAY(B116)=1,2,IF(WEEKDAY(B116)=7,1,0))))))</f>
        <v>3</v>
      </c>
      <c r="G116" s="369">
        <f>VLOOKUP(C116,METADATA!$J$5:$Q$29,IF(E116="HI",2,IF(E116="LO",6,10))+IF(D116=1,2,IF(D116=7,1,(IF(WEEKDAY(B116)=1,2,IF(WEEKDAY(B116)=7,1,0))))))</f>
        <v>3</v>
      </c>
      <c r="H116" s="370">
        <v>13637.049560546875</v>
      </c>
      <c r="I116" s="370">
        <v>2022.4083957672119</v>
      </c>
      <c r="M116" s="371">
        <f t="shared" si="5"/>
        <v>13786.198041377522</v>
      </c>
      <c r="N116" s="329">
        <f t="shared" si="6"/>
        <v>0</v>
      </c>
      <c r="T116" s="331">
        <v>0</v>
      </c>
      <c r="U116" s="328">
        <f>VLOOKUP(C116,METADATA!$J$5:$Q$29,IF(E116="HI",2,IF(E116="LO",6,10))+IF(T116=1,2,IF(D116=7,1,(IF(WEEKDAY(B116)=1,2,IF(WEEKDAY(B116)=7,1,0))))))</f>
        <v>3</v>
      </c>
      <c r="V116" s="328">
        <f>VLOOKUP(C116,METADATA!$A$5:$H$29,IF(E116="HI",2,IF(E116="LO",6,10))+IF(T116=1,2,IF(D116=7,1,(IF(WEEKDAY(B116)=1,2,IF(WEEKDAY(B116)=7,1,0))))))</f>
        <v>3</v>
      </c>
    </row>
    <row r="117" spans="2:22">
      <c r="B117" s="318">
        <f t="shared" si="7"/>
        <v>46117</v>
      </c>
      <c r="C117" s="312">
        <v>17</v>
      </c>
      <c r="D117" s="368">
        <f>IFERROR((INDEX(METADATA!$T$2:$T$20,MATCH(B117,METADATA!$S$2:$S$20,0))),0)</f>
        <v>0</v>
      </c>
      <c r="E117" s="312" t="str">
        <f t="shared" si="4"/>
        <v>LO</v>
      </c>
      <c r="F117" s="369">
        <f>VLOOKUP(C117,METADATA!$A$5:$H$29,IF(E117="HI",2,IF(E117="LO",6,10))+IF(D117=1,2,IF(D117=7,1,(IF(WEEKDAY(B117)=1,2,IF(WEEKDAY(B117)=7,1,0))))))</f>
        <v>3</v>
      </c>
      <c r="G117" s="369">
        <f>VLOOKUP(C117,METADATA!$J$5:$Q$29,IF(E117="HI",2,IF(E117="LO",6,10))+IF(D117=1,2,IF(D117=7,1,(IF(WEEKDAY(B117)=1,2,IF(WEEKDAY(B117)=7,1,0))))))</f>
        <v>3</v>
      </c>
      <c r="H117" s="370">
        <v>13685.254760742188</v>
      </c>
      <c r="I117" s="370">
        <v>2017.7750434875488</v>
      </c>
      <c r="M117" s="371">
        <f t="shared" si="5"/>
        <v>13833.206930879689</v>
      </c>
      <c r="N117" s="329">
        <f t="shared" si="6"/>
        <v>0</v>
      </c>
      <c r="T117" s="331">
        <v>0</v>
      </c>
      <c r="U117" s="328">
        <f>VLOOKUP(C117,METADATA!$J$5:$Q$29,IF(E117="HI",2,IF(E117="LO",6,10))+IF(T117=1,2,IF(D117=7,1,(IF(WEEKDAY(B117)=1,2,IF(WEEKDAY(B117)=7,1,0))))))</f>
        <v>3</v>
      </c>
      <c r="V117" s="328">
        <f>VLOOKUP(C117,METADATA!$A$5:$H$29,IF(E117="HI",2,IF(E117="LO",6,10))+IF(T117=1,2,IF(D117=7,1,(IF(WEEKDAY(B117)=1,2,IF(WEEKDAY(B117)=7,1,0))))))</f>
        <v>3</v>
      </c>
    </row>
    <row r="118" spans="2:22">
      <c r="B118" s="318">
        <f t="shared" si="7"/>
        <v>46117</v>
      </c>
      <c r="C118" s="312">
        <v>18</v>
      </c>
      <c r="D118" s="368">
        <f>IFERROR((INDEX(METADATA!$T$2:$T$20,MATCH(B118,METADATA!$S$2:$S$20,0))),0)</f>
        <v>0</v>
      </c>
      <c r="E118" s="312" t="str">
        <f t="shared" si="4"/>
        <v>LO</v>
      </c>
      <c r="F118" s="369">
        <f>VLOOKUP(C118,METADATA!$A$5:$H$29,IF(E118="HI",2,IF(E118="LO",6,10))+IF(D118=1,2,IF(D118=7,1,(IF(WEEKDAY(B118)=1,2,IF(WEEKDAY(B118)=7,1,0))))))</f>
        <v>2</v>
      </c>
      <c r="G118" s="369">
        <f>VLOOKUP(C118,METADATA!$J$5:$Q$29,IF(E118="HI",2,IF(E118="LO",6,10))+IF(D118=1,2,IF(D118=7,1,(IF(WEEKDAY(B118)=1,2,IF(WEEKDAY(B118)=7,1,0))))))</f>
        <v>2</v>
      </c>
      <c r="H118" s="370">
        <v>13722.035217285156</v>
      </c>
      <c r="I118" s="370">
        <v>2014.1529369354248</v>
      </c>
      <c r="M118" s="371">
        <f t="shared" si="5"/>
        <v>13869.068554080322</v>
      </c>
      <c r="N118" s="329">
        <f t="shared" si="6"/>
        <v>0</v>
      </c>
      <c r="T118" s="331">
        <v>0</v>
      </c>
      <c r="U118" s="328">
        <f>VLOOKUP(C118,METADATA!$J$5:$Q$29,IF(E118="HI",2,IF(E118="LO",6,10))+IF(T118=1,2,IF(D118=7,1,(IF(WEEKDAY(B118)=1,2,IF(WEEKDAY(B118)=7,1,0))))))</f>
        <v>2</v>
      </c>
      <c r="V118" s="328">
        <f>VLOOKUP(C118,METADATA!$A$5:$H$29,IF(E118="HI",2,IF(E118="LO",6,10))+IF(T118=1,2,IF(D118=7,1,(IF(WEEKDAY(B118)=1,2,IF(WEEKDAY(B118)=7,1,0))))))</f>
        <v>2</v>
      </c>
    </row>
    <row r="119" spans="2:22">
      <c r="B119" s="318">
        <f t="shared" si="7"/>
        <v>46117</v>
      </c>
      <c r="C119" s="312">
        <v>19</v>
      </c>
      <c r="D119" s="368">
        <f>IFERROR((INDEX(METADATA!$T$2:$T$20,MATCH(B119,METADATA!$S$2:$S$20,0))),0)</f>
        <v>0</v>
      </c>
      <c r="E119" s="312" t="str">
        <f t="shared" si="4"/>
        <v>LO</v>
      </c>
      <c r="F119" s="369">
        <f>VLOOKUP(C119,METADATA!$A$5:$H$29,IF(E119="HI",2,IF(E119="LO",6,10))+IF(D119=1,2,IF(D119=7,1,(IF(WEEKDAY(B119)=1,2,IF(WEEKDAY(B119)=7,1,0))))))</f>
        <v>2</v>
      </c>
      <c r="G119" s="369">
        <f>VLOOKUP(C119,METADATA!$J$5:$Q$29,IF(E119="HI",2,IF(E119="LO",6,10))+IF(D119=1,2,IF(D119=7,1,(IF(WEEKDAY(B119)=1,2,IF(WEEKDAY(B119)=7,1,0))))))</f>
        <v>2</v>
      </c>
      <c r="H119" s="370">
        <v>13752.045043945313</v>
      </c>
      <c r="I119" s="370">
        <v>2065.5599498748779</v>
      </c>
      <c r="M119" s="371">
        <f t="shared" si="5"/>
        <v>13906.303635302515</v>
      </c>
      <c r="N119" s="329">
        <f t="shared" si="6"/>
        <v>0</v>
      </c>
      <c r="T119" s="331">
        <v>0</v>
      </c>
      <c r="U119" s="328">
        <f>VLOOKUP(C119,METADATA!$J$5:$Q$29,IF(E119="HI",2,IF(E119="LO",6,10))+IF(T119=1,2,IF(D119=7,1,(IF(WEEKDAY(B119)=1,2,IF(WEEKDAY(B119)=7,1,0))))))</f>
        <v>2</v>
      </c>
      <c r="V119" s="328">
        <f>VLOOKUP(C119,METADATA!$A$5:$H$29,IF(E119="HI",2,IF(E119="LO",6,10))+IF(T119=1,2,IF(D119=7,1,(IF(WEEKDAY(B119)=1,2,IF(WEEKDAY(B119)=7,1,0))))))</f>
        <v>2</v>
      </c>
    </row>
    <row r="120" spans="2:22">
      <c r="B120" s="318">
        <f t="shared" si="7"/>
        <v>46117</v>
      </c>
      <c r="C120" s="312">
        <v>20</v>
      </c>
      <c r="D120" s="368">
        <f>IFERROR((INDEX(METADATA!$T$2:$T$20,MATCH(B120,METADATA!$S$2:$S$20,0))),0)</f>
        <v>0</v>
      </c>
      <c r="E120" s="312" t="str">
        <f t="shared" si="4"/>
        <v>LO</v>
      </c>
      <c r="F120" s="369">
        <f>VLOOKUP(C120,METADATA!$A$5:$H$29,IF(E120="HI",2,IF(E120="LO",6,10))+IF(D120=1,2,IF(D120=7,1,(IF(WEEKDAY(B120)=1,2,IF(WEEKDAY(B120)=7,1,0))))))</f>
        <v>3</v>
      </c>
      <c r="G120" s="369">
        <f>VLOOKUP(C120,METADATA!$J$5:$Q$29,IF(E120="HI",2,IF(E120="LO",6,10))+IF(D120=1,2,IF(D120=7,1,(IF(WEEKDAY(B120)=1,2,IF(WEEKDAY(B120)=7,1,0))))))</f>
        <v>3</v>
      </c>
      <c r="H120" s="370">
        <v>13784.39013671875</v>
      </c>
      <c r="I120" s="370">
        <v>2116.1039905548096</v>
      </c>
      <c r="M120" s="371">
        <f t="shared" si="5"/>
        <v>13945.870626823955</v>
      </c>
      <c r="N120" s="329">
        <f t="shared" si="6"/>
        <v>0</v>
      </c>
      <c r="T120" s="331">
        <v>0</v>
      </c>
      <c r="U120" s="328">
        <f>VLOOKUP(C120,METADATA!$J$5:$Q$29,IF(E120="HI",2,IF(E120="LO",6,10))+IF(T120=1,2,IF(D120=7,1,(IF(WEEKDAY(B120)=1,2,IF(WEEKDAY(B120)=7,1,0))))))</f>
        <v>3</v>
      </c>
      <c r="V120" s="328">
        <f>VLOOKUP(C120,METADATA!$A$5:$H$29,IF(E120="HI",2,IF(E120="LO",6,10))+IF(T120=1,2,IF(D120=7,1,(IF(WEEKDAY(B120)=1,2,IF(WEEKDAY(B120)=7,1,0))))))</f>
        <v>3</v>
      </c>
    </row>
    <row r="121" spans="2:22">
      <c r="B121" s="318">
        <f t="shared" si="7"/>
        <v>46117</v>
      </c>
      <c r="C121" s="312">
        <v>21</v>
      </c>
      <c r="D121" s="368">
        <f>IFERROR((INDEX(METADATA!$T$2:$T$20,MATCH(B121,METADATA!$S$2:$S$20,0))),0)</f>
        <v>0</v>
      </c>
      <c r="E121" s="312" t="str">
        <f t="shared" si="4"/>
        <v>LO</v>
      </c>
      <c r="F121" s="369">
        <f>VLOOKUP(C121,METADATA!$A$5:$H$29,IF(E121="HI",2,IF(E121="LO",6,10))+IF(D121=1,2,IF(D121=7,1,(IF(WEEKDAY(B121)=1,2,IF(WEEKDAY(B121)=7,1,0))))))</f>
        <v>3</v>
      </c>
      <c r="G121" s="369">
        <f>VLOOKUP(C121,METADATA!$J$5:$Q$29,IF(E121="HI",2,IF(E121="LO",6,10))+IF(D121=1,2,IF(D121=7,1,(IF(WEEKDAY(B121)=1,2,IF(WEEKDAY(B121)=7,1,0))))))</f>
        <v>3</v>
      </c>
      <c r="H121" s="370">
        <v>13758.900329589844</v>
      </c>
      <c r="I121" s="370">
        <v>2062.3190135955811</v>
      </c>
      <c r="M121" s="371">
        <f t="shared" si="5"/>
        <v>13912.602128768916</v>
      </c>
      <c r="N121" s="329">
        <f t="shared" si="6"/>
        <v>0</v>
      </c>
      <c r="T121" s="331">
        <v>0</v>
      </c>
      <c r="U121" s="328">
        <f>VLOOKUP(C121,METADATA!$J$5:$Q$29,IF(E121="HI",2,IF(E121="LO",6,10))+IF(T121=1,2,IF(D121=7,1,(IF(WEEKDAY(B121)=1,2,IF(WEEKDAY(B121)=7,1,0))))))</f>
        <v>3</v>
      </c>
      <c r="V121" s="328">
        <f>VLOOKUP(C121,METADATA!$A$5:$H$29,IF(E121="HI",2,IF(E121="LO",6,10))+IF(T121=1,2,IF(D121=7,1,(IF(WEEKDAY(B121)=1,2,IF(WEEKDAY(B121)=7,1,0))))))</f>
        <v>3</v>
      </c>
    </row>
    <row r="122" spans="2:22">
      <c r="B122" s="318">
        <f t="shared" si="7"/>
        <v>46117</v>
      </c>
      <c r="C122" s="312">
        <v>22</v>
      </c>
      <c r="D122" s="368">
        <f>IFERROR((INDEX(METADATA!$T$2:$T$20,MATCH(B122,METADATA!$S$2:$S$20,0))),0)</f>
        <v>0</v>
      </c>
      <c r="E122" s="312" t="str">
        <f t="shared" si="4"/>
        <v>LO</v>
      </c>
      <c r="F122" s="369">
        <f>VLOOKUP(C122,METADATA!$A$5:$H$29,IF(E122="HI",2,IF(E122="LO",6,10))+IF(D122=1,2,IF(D122=7,1,(IF(WEEKDAY(B122)=1,2,IF(WEEKDAY(B122)=7,1,0))))))</f>
        <v>3</v>
      </c>
      <c r="G122" s="369">
        <f>VLOOKUP(C122,METADATA!$J$5:$Q$29,IF(E122="HI",2,IF(E122="LO",6,10))+IF(D122=1,2,IF(D122=7,1,(IF(WEEKDAY(B122)=1,2,IF(WEEKDAY(B122)=7,1,0))))))</f>
        <v>3</v>
      </c>
      <c r="H122" s="370">
        <v>13737.169921875</v>
      </c>
      <c r="I122" s="370">
        <v>2098.6800117492676</v>
      </c>
      <c r="M122" s="371">
        <f t="shared" si="5"/>
        <v>13896.556956821467</v>
      </c>
      <c r="N122" s="329">
        <f t="shared" si="6"/>
        <v>0</v>
      </c>
      <c r="T122" s="331">
        <v>0</v>
      </c>
      <c r="U122" s="328">
        <f>VLOOKUP(C122,METADATA!$J$5:$Q$29,IF(E122="HI",2,IF(E122="LO",6,10))+IF(T122=1,2,IF(D122=7,1,(IF(WEEKDAY(B122)=1,2,IF(WEEKDAY(B122)=7,1,0))))))</f>
        <v>3</v>
      </c>
      <c r="V122" s="328">
        <f>VLOOKUP(C122,METADATA!$A$5:$H$29,IF(E122="HI",2,IF(E122="LO",6,10))+IF(T122=1,2,IF(D122=7,1,(IF(WEEKDAY(B122)=1,2,IF(WEEKDAY(B122)=7,1,0))))))</f>
        <v>3</v>
      </c>
    </row>
    <row r="123" spans="2:22">
      <c r="B123" s="318">
        <f t="shared" si="7"/>
        <v>46117</v>
      </c>
      <c r="C123" s="312">
        <v>23</v>
      </c>
      <c r="D123" s="368">
        <f>IFERROR((INDEX(METADATA!$T$2:$T$20,MATCH(B123,METADATA!$S$2:$S$20,0))),0)</f>
        <v>0</v>
      </c>
      <c r="E123" s="312" t="str">
        <f t="shared" si="4"/>
        <v>LO</v>
      </c>
      <c r="F123" s="369">
        <f>VLOOKUP(C123,METADATA!$A$5:$H$29,IF(E123="HI",2,IF(E123="LO",6,10))+IF(D123=1,2,IF(D123=7,1,(IF(WEEKDAY(B123)=1,2,IF(WEEKDAY(B123)=7,1,0))))))</f>
        <v>3</v>
      </c>
      <c r="G123" s="369">
        <f>VLOOKUP(C123,METADATA!$J$5:$Q$29,IF(E123="HI",2,IF(E123="LO",6,10))+IF(D123=1,2,IF(D123=7,1,(IF(WEEKDAY(B123)=1,2,IF(WEEKDAY(B123)=7,1,0))))))</f>
        <v>3</v>
      </c>
      <c r="H123" s="370">
        <v>13719.775268554688</v>
      </c>
      <c r="I123" s="370">
        <v>2150.9040203094482</v>
      </c>
      <c r="M123" s="371">
        <f t="shared" si="5"/>
        <v>13887.354734586001</v>
      </c>
      <c r="N123" s="329">
        <f t="shared" si="6"/>
        <v>0</v>
      </c>
      <c r="T123" s="331">
        <v>0</v>
      </c>
      <c r="U123" s="328">
        <f>VLOOKUP(C123,METADATA!$J$5:$Q$29,IF(E123="HI",2,IF(E123="LO",6,10))+IF(T123=1,2,IF(D123=7,1,(IF(WEEKDAY(B123)=1,2,IF(WEEKDAY(B123)=7,1,0))))))</f>
        <v>3</v>
      </c>
      <c r="V123" s="328">
        <f>VLOOKUP(C123,METADATA!$A$5:$H$29,IF(E123="HI",2,IF(E123="LO",6,10))+IF(T123=1,2,IF(D123=7,1,(IF(WEEKDAY(B123)=1,2,IF(WEEKDAY(B123)=7,1,0))))))</f>
        <v>3</v>
      </c>
    </row>
    <row r="124" spans="2:22">
      <c r="B124" s="318">
        <f t="shared" si="7"/>
        <v>46118</v>
      </c>
      <c r="C124" s="312">
        <v>0</v>
      </c>
      <c r="D124" s="368">
        <f>IFERROR((INDEX(METADATA!$T$2:$T$20,MATCH(B124,METADATA!$S$2:$S$20,0))),0)</f>
        <v>1</v>
      </c>
      <c r="E124" s="312" t="str">
        <f t="shared" si="4"/>
        <v>LO</v>
      </c>
      <c r="F124" s="369">
        <f>VLOOKUP(C124,METADATA!$A$5:$H$29,IF(E124="HI",2,IF(E124="LO",6,10))+IF(D124=1,2,IF(D124=7,1,(IF(WEEKDAY(B124)=1,2,IF(WEEKDAY(B124)=7,1,0))))))</f>
        <v>3</v>
      </c>
      <c r="G124" s="369">
        <f>VLOOKUP(C124,METADATA!$J$5:$Q$29,IF(E124="HI",2,IF(E124="LO",6,10))+IF(D124=1,2,IF(D124=7,1,(IF(WEEKDAY(B124)=1,2,IF(WEEKDAY(B124)=7,1,0))))))</f>
        <v>3</v>
      </c>
      <c r="H124" s="370">
        <v>13800.694580078125</v>
      </c>
      <c r="I124" s="370">
        <v>2110.7764492034912</v>
      </c>
      <c r="M124" s="371">
        <f t="shared" si="5"/>
        <v>13961.180040065017</v>
      </c>
      <c r="N124" s="329">
        <f t="shared" si="6"/>
        <v>0</v>
      </c>
      <c r="T124" s="331">
        <v>0</v>
      </c>
      <c r="U124" s="328">
        <f>VLOOKUP(C124,METADATA!$J$5:$Q$29,IF(E124="HI",2,IF(E124="LO",6,10))+IF(T124=1,2,IF(D124=7,1,(IF(WEEKDAY(B124)=1,2,IF(WEEKDAY(B124)=7,1,0))))))</f>
        <v>3</v>
      </c>
      <c r="V124" s="328">
        <f>VLOOKUP(C124,METADATA!$A$5:$H$29,IF(E124="HI",2,IF(E124="LO",6,10))+IF(T124=1,2,IF(D124=7,1,(IF(WEEKDAY(B124)=1,2,IF(WEEKDAY(B124)=7,1,0))))))</f>
        <v>3</v>
      </c>
    </row>
    <row r="125" spans="2:22">
      <c r="B125" s="318">
        <f t="shared" si="7"/>
        <v>46118</v>
      </c>
      <c r="C125" s="312">
        <v>1</v>
      </c>
      <c r="D125" s="368">
        <f>IFERROR((INDEX(METADATA!$T$2:$T$20,MATCH(B125,METADATA!$S$2:$S$20,0))),0)</f>
        <v>1</v>
      </c>
      <c r="E125" s="312" t="str">
        <f t="shared" si="4"/>
        <v>LO</v>
      </c>
      <c r="F125" s="369">
        <f>VLOOKUP(C125,METADATA!$A$5:$H$29,IF(E125="HI",2,IF(E125="LO",6,10))+IF(D125=1,2,IF(D125=7,1,(IF(WEEKDAY(B125)=1,2,IF(WEEKDAY(B125)=7,1,0))))))</f>
        <v>3</v>
      </c>
      <c r="G125" s="369">
        <f>VLOOKUP(C125,METADATA!$J$5:$Q$29,IF(E125="HI",2,IF(E125="LO",6,10))+IF(D125=1,2,IF(D125=7,1,(IF(WEEKDAY(B125)=1,2,IF(WEEKDAY(B125)=7,1,0))))))</f>
        <v>3</v>
      </c>
      <c r="H125" s="370">
        <v>13677.324890136719</v>
      </c>
      <c r="I125" s="370">
        <v>2058.2855472564697</v>
      </c>
      <c r="M125" s="371">
        <f t="shared" si="5"/>
        <v>13831.332385001753</v>
      </c>
      <c r="N125" s="329">
        <f t="shared" si="6"/>
        <v>0</v>
      </c>
      <c r="T125" s="331">
        <v>0</v>
      </c>
      <c r="U125" s="328">
        <f>VLOOKUP(C125,METADATA!$J$5:$Q$29,IF(E125="HI",2,IF(E125="LO",6,10))+IF(T125=1,2,IF(D125=7,1,(IF(WEEKDAY(B125)=1,2,IF(WEEKDAY(B125)=7,1,0))))))</f>
        <v>3</v>
      </c>
      <c r="V125" s="328">
        <f>VLOOKUP(C125,METADATA!$A$5:$H$29,IF(E125="HI",2,IF(E125="LO",6,10))+IF(T125=1,2,IF(D125=7,1,(IF(WEEKDAY(B125)=1,2,IF(WEEKDAY(B125)=7,1,0))))))</f>
        <v>3</v>
      </c>
    </row>
    <row r="126" spans="2:22">
      <c r="B126" s="318">
        <f t="shared" si="7"/>
        <v>46118</v>
      </c>
      <c r="C126" s="312">
        <v>2</v>
      </c>
      <c r="D126" s="368">
        <f>IFERROR((INDEX(METADATA!$T$2:$T$20,MATCH(B126,METADATA!$S$2:$S$20,0))),0)</f>
        <v>1</v>
      </c>
      <c r="E126" s="312" t="str">
        <f t="shared" si="4"/>
        <v>LO</v>
      </c>
      <c r="F126" s="369">
        <f>VLOOKUP(C126,METADATA!$A$5:$H$29,IF(E126="HI",2,IF(E126="LO",6,10))+IF(D126=1,2,IF(D126=7,1,(IF(WEEKDAY(B126)=1,2,IF(WEEKDAY(B126)=7,1,0))))))</f>
        <v>3</v>
      </c>
      <c r="G126" s="369">
        <f>VLOOKUP(C126,METADATA!$J$5:$Q$29,IF(E126="HI",2,IF(E126="LO",6,10))+IF(D126=1,2,IF(D126=7,1,(IF(WEEKDAY(B126)=1,2,IF(WEEKDAY(B126)=7,1,0))))))</f>
        <v>3</v>
      </c>
      <c r="H126" s="370">
        <v>13370.367309570313</v>
      </c>
      <c r="I126" s="370">
        <v>1910.2294938564301</v>
      </c>
      <c r="M126" s="371">
        <f t="shared" si="5"/>
        <v>13506.13559505551</v>
      </c>
      <c r="N126" s="329">
        <f t="shared" si="6"/>
        <v>0</v>
      </c>
      <c r="T126" s="331">
        <v>0</v>
      </c>
      <c r="U126" s="328">
        <f>VLOOKUP(C126,METADATA!$J$5:$Q$29,IF(E126="HI",2,IF(E126="LO",6,10))+IF(T126=1,2,IF(D126=7,1,(IF(WEEKDAY(B126)=1,2,IF(WEEKDAY(B126)=7,1,0))))))</f>
        <v>3</v>
      </c>
      <c r="V126" s="328">
        <f>VLOOKUP(C126,METADATA!$A$5:$H$29,IF(E126="HI",2,IF(E126="LO",6,10))+IF(T126=1,2,IF(D126=7,1,(IF(WEEKDAY(B126)=1,2,IF(WEEKDAY(B126)=7,1,0))))))</f>
        <v>3</v>
      </c>
    </row>
    <row r="127" spans="2:22">
      <c r="B127" s="318">
        <f t="shared" si="7"/>
        <v>46118</v>
      </c>
      <c r="C127" s="312">
        <v>3</v>
      </c>
      <c r="D127" s="368">
        <f>IFERROR((INDEX(METADATA!$T$2:$T$20,MATCH(B127,METADATA!$S$2:$S$20,0))),0)</f>
        <v>1</v>
      </c>
      <c r="E127" s="312" t="str">
        <f t="shared" si="4"/>
        <v>LO</v>
      </c>
      <c r="F127" s="369">
        <f>VLOOKUP(C127,METADATA!$A$5:$H$29,IF(E127="HI",2,IF(E127="LO",6,10))+IF(D127=1,2,IF(D127=7,1,(IF(WEEKDAY(B127)=1,2,IF(WEEKDAY(B127)=7,1,0))))))</f>
        <v>3</v>
      </c>
      <c r="G127" s="369">
        <f>VLOOKUP(C127,METADATA!$J$5:$Q$29,IF(E127="HI",2,IF(E127="LO",6,10))+IF(D127=1,2,IF(D127=7,1,(IF(WEEKDAY(B127)=1,2,IF(WEEKDAY(B127)=7,1,0))))))</f>
        <v>3</v>
      </c>
      <c r="H127" s="370">
        <v>13475.324829101563</v>
      </c>
      <c r="I127" s="370">
        <v>2021.904504776001</v>
      </c>
      <c r="M127" s="371">
        <f t="shared" si="5"/>
        <v>13626.168833396807</v>
      </c>
      <c r="N127" s="329">
        <f t="shared" si="6"/>
        <v>0</v>
      </c>
      <c r="T127" s="331">
        <v>0</v>
      </c>
      <c r="U127" s="328">
        <f>VLOOKUP(C127,METADATA!$J$5:$Q$29,IF(E127="HI",2,IF(E127="LO",6,10))+IF(T127=1,2,IF(D127=7,1,(IF(WEEKDAY(B127)=1,2,IF(WEEKDAY(B127)=7,1,0))))))</f>
        <v>3</v>
      </c>
      <c r="V127" s="328">
        <f>VLOOKUP(C127,METADATA!$A$5:$H$29,IF(E127="HI",2,IF(E127="LO",6,10))+IF(T127=1,2,IF(D127=7,1,(IF(WEEKDAY(B127)=1,2,IF(WEEKDAY(B127)=7,1,0))))))</f>
        <v>3</v>
      </c>
    </row>
    <row r="128" spans="2:22">
      <c r="B128" s="318">
        <f t="shared" si="7"/>
        <v>46118</v>
      </c>
      <c r="C128" s="312">
        <v>4</v>
      </c>
      <c r="D128" s="368">
        <f>IFERROR((INDEX(METADATA!$T$2:$T$20,MATCH(B128,METADATA!$S$2:$S$20,0))),0)</f>
        <v>1</v>
      </c>
      <c r="E128" s="312" t="str">
        <f t="shared" si="4"/>
        <v>LO</v>
      </c>
      <c r="F128" s="369">
        <f>VLOOKUP(C128,METADATA!$A$5:$H$29,IF(E128="HI",2,IF(E128="LO",6,10))+IF(D128=1,2,IF(D128=7,1,(IF(WEEKDAY(B128)=1,2,IF(WEEKDAY(B128)=7,1,0))))))</f>
        <v>3</v>
      </c>
      <c r="G128" s="369">
        <f>VLOOKUP(C128,METADATA!$J$5:$Q$29,IF(E128="HI",2,IF(E128="LO",6,10))+IF(D128=1,2,IF(D128=7,1,(IF(WEEKDAY(B128)=1,2,IF(WEEKDAY(B128)=7,1,0))))))</f>
        <v>3</v>
      </c>
      <c r="H128" s="370">
        <v>13481.270385742188</v>
      </c>
      <c r="I128" s="370">
        <v>2031.4089450836182</v>
      </c>
      <c r="M128" s="371">
        <f t="shared" si="5"/>
        <v>13633.461538276148</v>
      </c>
      <c r="N128" s="329">
        <f t="shared" si="6"/>
        <v>0</v>
      </c>
      <c r="T128" s="331">
        <v>0</v>
      </c>
      <c r="U128" s="328">
        <f>VLOOKUP(C128,METADATA!$J$5:$Q$29,IF(E128="HI",2,IF(E128="LO",6,10))+IF(T128=1,2,IF(D128=7,1,(IF(WEEKDAY(B128)=1,2,IF(WEEKDAY(B128)=7,1,0))))))</f>
        <v>3</v>
      </c>
      <c r="V128" s="328">
        <f>VLOOKUP(C128,METADATA!$A$5:$H$29,IF(E128="HI",2,IF(E128="LO",6,10))+IF(T128=1,2,IF(D128=7,1,(IF(WEEKDAY(B128)=1,2,IF(WEEKDAY(B128)=7,1,0))))))</f>
        <v>3</v>
      </c>
    </row>
    <row r="129" spans="2:22">
      <c r="B129" s="318">
        <f t="shared" si="7"/>
        <v>46118</v>
      </c>
      <c r="C129" s="312">
        <v>5</v>
      </c>
      <c r="D129" s="368">
        <f>IFERROR((INDEX(METADATA!$T$2:$T$20,MATCH(B129,METADATA!$S$2:$S$20,0))),0)</f>
        <v>1</v>
      </c>
      <c r="E129" s="312" t="str">
        <f t="shared" si="4"/>
        <v>LO</v>
      </c>
      <c r="F129" s="369">
        <f>VLOOKUP(C129,METADATA!$A$5:$H$29,IF(E129="HI",2,IF(E129="LO",6,10))+IF(D129=1,2,IF(D129=7,1,(IF(WEEKDAY(B129)=1,2,IF(WEEKDAY(B129)=7,1,0))))))</f>
        <v>3</v>
      </c>
      <c r="G129" s="369">
        <f>VLOOKUP(C129,METADATA!$J$5:$Q$29,IF(E129="HI",2,IF(E129="LO",6,10))+IF(D129=1,2,IF(D129=7,1,(IF(WEEKDAY(B129)=1,2,IF(WEEKDAY(B129)=7,1,0))))))</f>
        <v>3</v>
      </c>
      <c r="H129" s="370">
        <v>12258.259735107422</v>
      </c>
      <c r="I129" s="370">
        <v>1650.8894911537645</v>
      </c>
      <c r="M129" s="371">
        <f t="shared" si="5"/>
        <v>12368.927513950342</v>
      </c>
      <c r="N129" s="329">
        <f t="shared" si="6"/>
        <v>0</v>
      </c>
      <c r="T129" s="331">
        <v>0</v>
      </c>
      <c r="U129" s="328">
        <f>VLOOKUP(C129,METADATA!$J$5:$Q$29,IF(E129="HI",2,IF(E129="LO",6,10))+IF(T129=1,2,IF(D129=7,1,(IF(WEEKDAY(B129)=1,2,IF(WEEKDAY(B129)=7,1,0))))))</f>
        <v>3</v>
      </c>
      <c r="V129" s="328">
        <f>VLOOKUP(C129,METADATA!$A$5:$H$29,IF(E129="HI",2,IF(E129="LO",6,10))+IF(T129=1,2,IF(D129=7,1,(IF(WEEKDAY(B129)=1,2,IF(WEEKDAY(B129)=7,1,0))))))</f>
        <v>3</v>
      </c>
    </row>
    <row r="130" spans="2:22">
      <c r="B130" s="318">
        <f t="shared" si="7"/>
        <v>46118</v>
      </c>
      <c r="C130" s="312">
        <v>6</v>
      </c>
      <c r="D130" s="368">
        <f>IFERROR((INDEX(METADATA!$T$2:$T$20,MATCH(B130,METADATA!$S$2:$S$20,0))),0)</f>
        <v>1</v>
      </c>
      <c r="E130" s="312" t="str">
        <f t="shared" si="4"/>
        <v>LO</v>
      </c>
      <c r="F130" s="369">
        <f>VLOOKUP(C130,METADATA!$A$5:$H$29,IF(E130="HI",2,IF(E130="LO",6,10))+IF(D130=1,2,IF(D130=7,1,(IF(WEEKDAY(B130)=1,2,IF(WEEKDAY(B130)=7,1,0))))))</f>
        <v>3</v>
      </c>
      <c r="G130" s="369">
        <f>VLOOKUP(C130,METADATA!$J$5:$Q$29,IF(E130="HI",2,IF(E130="LO",6,10))+IF(D130=1,2,IF(D130=7,1,(IF(WEEKDAY(B130)=1,2,IF(WEEKDAY(B130)=7,1,0))))))</f>
        <v>3</v>
      </c>
      <c r="H130" s="370">
        <v>11878.200073242188</v>
      </c>
      <c r="I130" s="370">
        <v>1563.2160415649414</v>
      </c>
      <c r="M130" s="371">
        <f t="shared" si="5"/>
        <v>11980.621076245448</v>
      </c>
      <c r="N130" s="329">
        <f t="shared" si="6"/>
        <v>0</v>
      </c>
      <c r="T130" s="331">
        <v>0</v>
      </c>
      <c r="U130" s="328">
        <f>VLOOKUP(C130,METADATA!$J$5:$Q$29,IF(E130="HI",2,IF(E130="LO",6,10))+IF(T130=1,2,IF(D130=7,1,(IF(WEEKDAY(B130)=1,2,IF(WEEKDAY(B130)=7,1,0))))))</f>
        <v>2</v>
      </c>
      <c r="V130" s="328">
        <f>VLOOKUP(C130,METADATA!$A$5:$H$29,IF(E130="HI",2,IF(E130="LO",6,10))+IF(T130=1,2,IF(D130=7,1,(IF(WEEKDAY(B130)=1,2,IF(WEEKDAY(B130)=7,1,0))))))</f>
        <v>2</v>
      </c>
    </row>
    <row r="131" spans="2:22">
      <c r="B131" s="318">
        <f t="shared" si="7"/>
        <v>46118</v>
      </c>
      <c r="C131" s="312">
        <v>7</v>
      </c>
      <c r="D131" s="368">
        <f>IFERROR((INDEX(METADATA!$T$2:$T$20,MATCH(B131,METADATA!$S$2:$S$20,0))),0)</f>
        <v>1</v>
      </c>
      <c r="E131" s="312" t="str">
        <f t="shared" si="4"/>
        <v>LO</v>
      </c>
      <c r="F131" s="369">
        <f>VLOOKUP(C131,METADATA!$A$5:$H$29,IF(E131="HI",2,IF(E131="LO",6,10))+IF(D131=1,2,IF(D131=7,1,(IF(WEEKDAY(B131)=1,2,IF(WEEKDAY(B131)=7,1,0))))))</f>
        <v>3</v>
      </c>
      <c r="G131" s="369">
        <f>VLOOKUP(C131,METADATA!$J$5:$Q$29,IF(E131="HI",2,IF(E131="LO",6,10))+IF(D131=1,2,IF(D131=7,1,(IF(WEEKDAY(B131)=1,2,IF(WEEKDAY(B131)=7,1,0))))))</f>
        <v>3</v>
      </c>
      <c r="H131" s="370">
        <v>13665.48046875</v>
      </c>
      <c r="I131" s="370">
        <v>1988.2529850006104</v>
      </c>
      <c r="M131" s="371">
        <f t="shared" si="5"/>
        <v>13809.362996682778</v>
      </c>
      <c r="N131" s="329">
        <f t="shared" si="6"/>
        <v>0</v>
      </c>
      <c r="T131" s="331">
        <v>0</v>
      </c>
      <c r="U131" s="328">
        <f>VLOOKUP(C131,METADATA!$J$5:$Q$29,IF(E131="HI",2,IF(E131="LO",6,10))+IF(T131=1,2,IF(D131=7,1,(IF(WEEKDAY(B131)=1,2,IF(WEEKDAY(B131)=7,1,0))))))</f>
        <v>1</v>
      </c>
      <c r="V131" s="328">
        <f>VLOOKUP(C131,METADATA!$A$5:$H$29,IF(E131="HI",2,IF(E131="LO",6,10))+IF(T131=1,2,IF(D131=7,1,(IF(WEEKDAY(B131)=1,2,IF(WEEKDAY(B131)=7,1,0))))))</f>
        <v>1</v>
      </c>
    </row>
    <row r="132" spans="2:22">
      <c r="B132" s="318">
        <f t="shared" si="7"/>
        <v>46118</v>
      </c>
      <c r="C132" s="312">
        <v>8</v>
      </c>
      <c r="D132" s="368">
        <f>IFERROR((INDEX(METADATA!$T$2:$T$20,MATCH(B132,METADATA!$S$2:$S$20,0))),0)</f>
        <v>1</v>
      </c>
      <c r="E132" s="312" t="str">
        <f t="shared" ref="E132:E195" si="8">IF(B132="","",IF(AND(MONTH(B132)&gt;=MONTH($Z$9),MONTH(B132)&lt;=MONTH($Z$11)),"HI","LO"))</f>
        <v>LO</v>
      </c>
      <c r="F132" s="369">
        <f>VLOOKUP(C132,METADATA!$A$5:$H$29,IF(E132="HI",2,IF(E132="LO",6,10))+IF(D132=1,2,IF(D132=7,1,(IF(WEEKDAY(B132)=1,2,IF(WEEKDAY(B132)=7,1,0))))))</f>
        <v>3</v>
      </c>
      <c r="G132" s="369">
        <f>VLOOKUP(C132,METADATA!$J$5:$Q$29,IF(E132="HI",2,IF(E132="LO",6,10))+IF(D132=1,2,IF(D132=7,1,(IF(WEEKDAY(B132)=1,2,IF(WEEKDAY(B132)=7,1,0))))))</f>
        <v>3</v>
      </c>
      <c r="H132" s="370">
        <v>13826.525146484375</v>
      </c>
      <c r="I132" s="370">
        <v>2082.4049797058105</v>
      </c>
      <c r="M132" s="371">
        <f t="shared" ref="M132:M195" si="9">SQRT(H132^2+I132^2)</f>
        <v>13982.460732141119</v>
      </c>
      <c r="N132" s="329">
        <f t="shared" ref="N132:N195" si="10">IF(H132=0,0,(IF(I132-(0.3*H132)&lt;0,0,(I132-(0.3*H132)))))</f>
        <v>0</v>
      </c>
      <c r="T132" s="331">
        <v>0</v>
      </c>
      <c r="U132" s="328">
        <f>VLOOKUP(C132,METADATA!$J$5:$Q$29,IF(E132="HI",2,IF(E132="LO",6,10))+IF(T132=1,2,IF(D132=7,1,(IF(WEEKDAY(B132)=1,2,IF(WEEKDAY(B132)=7,1,0))))))</f>
        <v>1</v>
      </c>
      <c r="V132" s="328">
        <f>VLOOKUP(C132,METADATA!$A$5:$H$29,IF(E132="HI",2,IF(E132="LO",6,10))+IF(T132=1,2,IF(D132=7,1,(IF(WEEKDAY(B132)=1,2,IF(WEEKDAY(B132)=7,1,0))))))</f>
        <v>1</v>
      </c>
    </row>
    <row r="133" spans="2:22">
      <c r="B133" s="318">
        <f t="shared" si="7"/>
        <v>46118</v>
      </c>
      <c r="C133" s="312">
        <v>9</v>
      </c>
      <c r="D133" s="368">
        <f>IFERROR((INDEX(METADATA!$T$2:$T$20,MATCH(B133,METADATA!$S$2:$S$20,0))),0)</f>
        <v>1</v>
      </c>
      <c r="E133" s="312" t="str">
        <f t="shared" si="8"/>
        <v>LO</v>
      </c>
      <c r="F133" s="369">
        <f>VLOOKUP(C133,METADATA!$A$5:$H$29,IF(E133="HI",2,IF(E133="LO",6,10))+IF(D133=1,2,IF(D133=7,1,(IF(WEEKDAY(B133)=1,2,IF(WEEKDAY(B133)=7,1,0))))))</f>
        <v>3</v>
      </c>
      <c r="G133" s="369">
        <f>VLOOKUP(C133,METADATA!$J$5:$Q$29,IF(E133="HI",2,IF(E133="LO",6,10))+IF(D133=1,2,IF(D133=7,1,(IF(WEEKDAY(B133)=1,2,IF(WEEKDAY(B133)=7,1,0))))))</f>
        <v>3</v>
      </c>
      <c r="H133" s="370">
        <v>13816.840026855469</v>
      </c>
      <c r="I133" s="370">
        <v>1994.5235290527344</v>
      </c>
      <c r="M133" s="371">
        <f t="shared" si="9"/>
        <v>13960.057035544676</v>
      </c>
      <c r="N133" s="329">
        <f t="shared" si="10"/>
        <v>0</v>
      </c>
      <c r="T133" s="331">
        <v>0</v>
      </c>
      <c r="U133" s="328">
        <f>VLOOKUP(C133,METADATA!$J$5:$Q$29,IF(E133="HI",2,IF(E133="LO",6,10))+IF(T133=1,2,IF(D133=7,1,(IF(WEEKDAY(B133)=1,2,IF(WEEKDAY(B133)=7,1,0))))))</f>
        <v>2</v>
      </c>
      <c r="V133" s="328">
        <f>VLOOKUP(C133,METADATA!$A$5:$H$29,IF(E133="HI",2,IF(E133="LO",6,10))+IF(T133=1,2,IF(D133=7,1,(IF(WEEKDAY(B133)=1,2,IF(WEEKDAY(B133)=7,1,0))))))</f>
        <v>2</v>
      </c>
    </row>
    <row r="134" spans="2:22">
      <c r="B134" s="318">
        <f t="shared" si="7"/>
        <v>46118</v>
      </c>
      <c r="C134" s="312">
        <v>10</v>
      </c>
      <c r="D134" s="368">
        <f>IFERROR((INDEX(METADATA!$T$2:$T$20,MATCH(B134,METADATA!$S$2:$S$20,0))),0)</f>
        <v>1</v>
      </c>
      <c r="E134" s="312" t="str">
        <f t="shared" si="8"/>
        <v>LO</v>
      </c>
      <c r="F134" s="369">
        <f>VLOOKUP(C134,METADATA!$A$5:$H$29,IF(E134="HI",2,IF(E134="LO",6,10))+IF(D134=1,2,IF(D134=7,1,(IF(WEEKDAY(B134)=1,2,IF(WEEKDAY(B134)=7,1,0))))))</f>
        <v>3</v>
      </c>
      <c r="G134" s="369">
        <f>VLOOKUP(C134,METADATA!$J$5:$Q$29,IF(E134="HI",2,IF(E134="LO",6,10))+IF(D134=1,2,IF(D134=7,1,(IF(WEEKDAY(B134)=1,2,IF(WEEKDAY(B134)=7,1,0))))))</f>
        <v>3</v>
      </c>
      <c r="H134" s="370">
        <v>13039.0849609375</v>
      </c>
      <c r="I134" s="370">
        <v>1550.5429363250732</v>
      </c>
      <c r="M134" s="371">
        <f t="shared" si="9"/>
        <v>13130.952745933331</v>
      </c>
      <c r="N134" s="329">
        <f t="shared" si="10"/>
        <v>0</v>
      </c>
      <c r="T134" s="331">
        <v>0</v>
      </c>
      <c r="U134" s="328">
        <f>VLOOKUP(C134,METADATA!$J$5:$Q$29,IF(E134="HI",2,IF(E134="LO",6,10))+IF(T134=1,2,IF(D134=7,1,(IF(WEEKDAY(B134)=1,2,IF(WEEKDAY(B134)=7,1,0))))))</f>
        <v>2</v>
      </c>
      <c r="V134" s="328">
        <f>VLOOKUP(C134,METADATA!$A$5:$H$29,IF(E134="HI",2,IF(E134="LO",6,10))+IF(T134=1,2,IF(D134=7,1,(IF(WEEKDAY(B134)=1,2,IF(WEEKDAY(B134)=7,1,0))))))</f>
        <v>2</v>
      </c>
    </row>
    <row r="135" spans="2:22">
      <c r="B135" s="318">
        <f t="shared" si="7"/>
        <v>46118</v>
      </c>
      <c r="C135" s="312">
        <v>11</v>
      </c>
      <c r="D135" s="368">
        <f>IFERROR((INDEX(METADATA!$T$2:$T$20,MATCH(B135,METADATA!$S$2:$S$20,0))),0)</f>
        <v>1</v>
      </c>
      <c r="E135" s="312" t="str">
        <f t="shared" si="8"/>
        <v>LO</v>
      </c>
      <c r="F135" s="369">
        <f>VLOOKUP(C135,METADATA!$A$5:$H$29,IF(E135="HI",2,IF(E135="LO",6,10))+IF(D135=1,2,IF(D135=7,1,(IF(WEEKDAY(B135)=1,2,IF(WEEKDAY(B135)=7,1,0))))))</f>
        <v>3</v>
      </c>
      <c r="G135" s="369">
        <f>VLOOKUP(C135,METADATA!$J$5:$Q$29,IF(E135="HI",2,IF(E135="LO",6,10))+IF(D135=1,2,IF(D135=7,1,(IF(WEEKDAY(B135)=1,2,IF(WEEKDAY(B135)=7,1,0))))))</f>
        <v>3</v>
      </c>
      <c r="H135" s="370">
        <v>12759.215454101563</v>
      </c>
      <c r="I135" s="370">
        <v>1394.1625118255615</v>
      </c>
      <c r="M135" s="371">
        <f t="shared" si="9"/>
        <v>12835.157502483711</v>
      </c>
      <c r="N135" s="329">
        <f t="shared" si="10"/>
        <v>0</v>
      </c>
      <c r="T135" s="331">
        <v>0</v>
      </c>
      <c r="U135" s="328">
        <f>VLOOKUP(C135,METADATA!$J$5:$Q$29,IF(E135="HI",2,IF(E135="LO",6,10))+IF(T135=1,2,IF(D135=7,1,(IF(WEEKDAY(B135)=1,2,IF(WEEKDAY(B135)=7,1,0))))))</f>
        <v>2</v>
      </c>
      <c r="V135" s="328">
        <f>VLOOKUP(C135,METADATA!$A$5:$H$29,IF(E135="HI",2,IF(E135="LO",6,10))+IF(T135=1,2,IF(D135=7,1,(IF(WEEKDAY(B135)=1,2,IF(WEEKDAY(B135)=7,1,0))))))</f>
        <v>2</v>
      </c>
    </row>
    <row r="136" spans="2:22">
      <c r="B136" s="318">
        <f t="shared" si="7"/>
        <v>46118</v>
      </c>
      <c r="C136" s="312">
        <v>12</v>
      </c>
      <c r="D136" s="368">
        <f>IFERROR((INDEX(METADATA!$T$2:$T$20,MATCH(B136,METADATA!$S$2:$S$20,0))),0)</f>
        <v>1</v>
      </c>
      <c r="E136" s="312" t="str">
        <f t="shared" si="8"/>
        <v>LO</v>
      </c>
      <c r="F136" s="369">
        <f>VLOOKUP(C136,METADATA!$A$5:$H$29,IF(E136="HI",2,IF(E136="LO",6,10))+IF(D136=1,2,IF(D136=7,1,(IF(WEEKDAY(B136)=1,2,IF(WEEKDAY(B136)=7,1,0))))))</f>
        <v>3</v>
      </c>
      <c r="G136" s="369">
        <f>VLOOKUP(C136,METADATA!$J$5:$Q$29,IF(E136="HI",2,IF(E136="LO",6,10))+IF(D136=1,2,IF(D136=7,1,(IF(WEEKDAY(B136)=1,2,IF(WEEKDAY(B136)=7,1,0))))))</f>
        <v>3</v>
      </c>
      <c r="H136" s="370">
        <v>12900.050354003906</v>
      </c>
      <c r="I136" s="370">
        <v>1499.2300624847412</v>
      </c>
      <c r="M136" s="371">
        <f t="shared" si="9"/>
        <v>12986.87760457048</v>
      </c>
      <c r="N136" s="329">
        <f t="shared" si="10"/>
        <v>0</v>
      </c>
      <c r="T136" s="331">
        <v>0</v>
      </c>
      <c r="U136" s="328">
        <f>VLOOKUP(C136,METADATA!$J$5:$Q$29,IF(E136="HI",2,IF(E136="LO",6,10))+IF(T136=1,2,IF(D136=7,1,(IF(WEEKDAY(B136)=1,2,IF(WEEKDAY(B136)=7,1,0))))))</f>
        <v>2</v>
      </c>
      <c r="V136" s="328">
        <f>VLOOKUP(C136,METADATA!$A$5:$H$29,IF(E136="HI",2,IF(E136="LO",6,10))+IF(T136=1,2,IF(D136=7,1,(IF(WEEKDAY(B136)=1,2,IF(WEEKDAY(B136)=7,1,0))))))</f>
        <v>2</v>
      </c>
    </row>
    <row r="137" spans="2:22">
      <c r="B137" s="318">
        <f t="shared" si="7"/>
        <v>46118</v>
      </c>
      <c r="C137" s="312">
        <v>13</v>
      </c>
      <c r="D137" s="368">
        <f>IFERROR((INDEX(METADATA!$T$2:$T$20,MATCH(B137,METADATA!$S$2:$S$20,0))),0)</f>
        <v>1</v>
      </c>
      <c r="E137" s="312" t="str">
        <f t="shared" si="8"/>
        <v>LO</v>
      </c>
      <c r="F137" s="369">
        <f>VLOOKUP(C137,METADATA!$A$5:$H$29,IF(E137="HI",2,IF(E137="LO",6,10))+IF(D137=1,2,IF(D137=7,1,(IF(WEEKDAY(B137)=1,2,IF(WEEKDAY(B137)=7,1,0))))))</f>
        <v>3</v>
      </c>
      <c r="G137" s="369">
        <f>VLOOKUP(C137,METADATA!$J$5:$Q$29,IF(E137="HI",2,IF(E137="LO",6,10))+IF(D137=1,2,IF(D137=7,1,(IF(WEEKDAY(B137)=1,2,IF(WEEKDAY(B137)=7,1,0))))))</f>
        <v>3</v>
      </c>
      <c r="H137" s="370">
        <v>13709.319946289063</v>
      </c>
      <c r="I137" s="370">
        <v>1988.5199661254883</v>
      </c>
      <c r="M137" s="371">
        <f t="shared" si="9"/>
        <v>13852.785461610196</v>
      </c>
      <c r="N137" s="329">
        <f t="shared" si="10"/>
        <v>0</v>
      </c>
      <c r="T137" s="331">
        <v>0</v>
      </c>
      <c r="U137" s="328">
        <f>VLOOKUP(C137,METADATA!$J$5:$Q$29,IF(E137="HI",2,IF(E137="LO",6,10))+IF(T137=1,2,IF(D137=7,1,(IF(WEEKDAY(B137)=1,2,IF(WEEKDAY(B137)=7,1,0))))))</f>
        <v>2</v>
      </c>
      <c r="V137" s="328">
        <f>VLOOKUP(C137,METADATA!$A$5:$H$29,IF(E137="HI",2,IF(E137="LO",6,10))+IF(T137=1,2,IF(D137=7,1,(IF(WEEKDAY(B137)=1,2,IF(WEEKDAY(B137)=7,1,0))))))</f>
        <v>2</v>
      </c>
    </row>
    <row r="138" spans="2:22">
      <c r="B138" s="318">
        <f t="shared" si="7"/>
        <v>46118</v>
      </c>
      <c r="C138" s="312">
        <v>14</v>
      </c>
      <c r="D138" s="368">
        <f>IFERROR((INDEX(METADATA!$T$2:$T$20,MATCH(B138,METADATA!$S$2:$S$20,0))),0)</f>
        <v>1</v>
      </c>
      <c r="E138" s="312" t="str">
        <f t="shared" si="8"/>
        <v>LO</v>
      </c>
      <c r="F138" s="369">
        <f>VLOOKUP(C138,METADATA!$A$5:$H$29,IF(E138="HI",2,IF(E138="LO",6,10))+IF(D138=1,2,IF(D138=7,1,(IF(WEEKDAY(B138)=1,2,IF(WEEKDAY(B138)=7,1,0))))))</f>
        <v>3</v>
      </c>
      <c r="G138" s="369">
        <f>VLOOKUP(C138,METADATA!$J$5:$Q$29,IF(E138="HI",2,IF(E138="LO",6,10))+IF(D138=1,2,IF(D138=7,1,(IF(WEEKDAY(B138)=1,2,IF(WEEKDAY(B138)=7,1,0))))))</f>
        <v>3</v>
      </c>
      <c r="H138" s="370">
        <v>13736.110107421875</v>
      </c>
      <c r="I138" s="370">
        <v>2061.3124389648438</v>
      </c>
      <c r="M138" s="371">
        <f t="shared" si="9"/>
        <v>13889.91468131639</v>
      </c>
      <c r="N138" s="329">
        <f t="shared" si="10"/>
        <v>0</v>
      </c>
      <c r="T138" s="331">
        <v>0</v>
      </c>
      <c r="U138" s="328">
        <f>VLOOKUP(C138,METADATA!$J$5:$Q$29,IF(E138="HI",2,IF(E138="LO",6,10))+IF(T138=1,2,IF(D138=7,1,(IF(WEEKDAY(B138)=1,2,IF(WEEKDAY(B138)=7,1,0))))))</f>
        <v>2</v>
      </c>
      <c r="V138" s="328">
        <f>VLOOKUP(C138,METADATA!$A$5:$H$29,IF(E138="HI",2,IF(E138="LO",6,10))+IF(T138=1,2,IF(D138=7,1,(IF(WEEKDAY(B138)=1,2,IF(WEEKDAY(B138)=7,1,0))))))</f>
        <v>2</v>
      </c>
    </row>
    <row r="139" spans="2:22">
      <c r="B139" s="318">
        <f t="shared" si="7"/>
        <v>46118</v>
      </c>
      <c r="C139" s="312">
        <v>15</v>
      </c>
      <c r="D139" s="368">
        <f>IFERROR((INDEX(METADATA!$T$2:$T$20,MATCH(B139,METADATA!$S$2:$S$20,0))),0)</f>
        <v>1</v>
      </c>
      <c r="E139" s="312" t="str">
        <f t="shared" si="8"/>
        <v>LO</v>
      </c>
      <c r="F139" s="369">
        <f>VLOOKUP(C139,METADATA!$A$5:$H$29,IF(E139="HI",2,IF(E139="LO",6,10))+IF(D139=1,2,IF(D139=7,1,(IF(WEEKDAY(B139)=1,2,IF(WEEKDAY(B139)=7,1,0))))))</f>
        <v>3</v>
      </c>
      <c r="G139" s="369">
        <f>VLOOKUP(C139,METADATA!$J$5:$Q$29,IF(E139="HI",2,IF(E139="LO",6,10))+IF(D139=1,2,IF(D139=7,1,(IF(WEEKDAY(B139)=1,2,IF(WEEKDAY(B139)=7,1,0))))))</f>
        <v>3</v>
      </c>
      <c r="H139" s="370">
        <v>13659.635314941406</v>
      </c>
      <c r="I139" s="370">
        <v>2106.2384414672852</v>
      </c>
      <c r="M139" s="371">
        <f t="shared" si="9"/>
        <v>13821.066431701605</v>
      </c>
      <c r="N139" s="329">
        <f t="shared" si="10"/>
        <v>0</v>
      </c>
      <c r="T139" s="331">
        <v>0</v>
      </c>
      <c r="U139" s="328">
        <f>VLOOKUP(C139,METADATA!$J$5:$Q$29,IF(E139="HI",2,IF(E139="LO",6,10))+IF(T139=1,2,IF(D139=7,1,(IF(WEEKDAY(B139)=1,2,IF(WEEKDAY(B139)=7,1,0))))))</f>
        <v>2</v>
      </c>
      <c r="V139" s="328">
        <f>VLOOKUP(C139,METADATA!$A$5:$H$29,IF(E139="HI",2,IF(E139="LO",6,10))+IF(T139=1,2,IF(D139=7,1,(IF(WEEKDAY(B139)=1,2,IF(WEEKDAY(B139)=7,1,0))))))</f>
        <v>2</v>
      </c>
    </row>
    <row r="140" spans="2:22">
      <c r="B140" s="318">
        <f t="shared" si="7"/>
        <v>46118</v>
      </c>
      <c r="C140" s="312">
        <v>16</v>
      </c>
      <c r="D140" s="368">
        <f>IFERROR((INDEX(METADATA!$T$2:$T$20,MATCH(B140,METADATA!$S$2:$S$20,0))),0)</f>
        <v>1</v>
      </c>
      <c r="E140" s="312" t="str">
        <f t="shared" si="8"/>
        <v>LO</v>
      </c>
      <c r="F140" s="369">
        <f>VLOOKUP(C140,METADATA!$A$5:$H$29,IF(E140="HI",2,IF(E140="LO",6,10))+IF(D140=1,2,IF(D140=7,1,(IF(WEEKDAY(B140)=1,2,IF(WEEKDAY(B140)=7,1,0))))))</f>
        <v>3</v>
      </c>
      <c r="G140" s="369">
        <f>VLOOKUP(C140,METADATA!$J$5:$Q$29,IF(E140="HI",2,IF(E140="LO",6,10))+IF(D140=1,2,IF(D140=7,1,(IF(WEEKDAY(B140)=1,2,IF(WEEKDAY(B140)=7,1,0))))))</f>
        <v>3</v>
      </c>
      <c r="H140" s="370">
        <v>13652.035034179688</v>
      </c>
      <c r="I140" s="370">
        <v>2154.7460289001465</v>
      </c>
      <c r="M140" s="371">
        <f t="shared" si="9"/>
        <v>13821.034368799266</v>
      </c>
      <c r="N140" s="329">
        <f t="shared" si="10"/>
        <v>0</v>
      </c>
      <c r="T140" s="331">
        <v>0</v>
      </c>
      <c r="U140" s="328">
        <f>VLOOKUP(C140,METADATA!$J$5:$Q$29,IF(E140="HI",2,IF(E140="LO",6,10))+IF(T140=1,2,IF(D140=7,1,(IF(WEEKDAY(B140)=1,2,IF(WEEKDAY(B140)=7,1,0))))))</f>
        <v>2</v>
      </c>
      <c r="V140" s="328">
        <f>VLOOKUP(C140,METADATA!$A$5:$H$29,IF(E140="HI",2,IF(E140="LO",6,10))+IF(T140=1,2,IF(D140=7,1,(IF(WEEKDAY(B140)=1,2,IF(WEEKDAY(B140)=7,1,0))))))</f>
        <v>2</v>
      </c>
    </row>
    <row r="141" spans="2:22">
      <c r="B141" s="318">
        <f t="shared" si="7"/>
        <v>46118</v>
      </c>
      <c r="C141" s="312">
        <v>17</v>
      </c>
      <c r="D141" s="368">
        <f>IFERROR((INDEX(METADATA!$T$2:$T$20,MATCH(B141,METADATA!$S$2:$S$20,0))),0)</f>
        <v>1</v>
      </c>
      <c r="E141" s="312" t="str">
        <f t="shared" si="8"/>
        <v>LO</v>
      </c>
      <c r="F141" s="369">
        <f>VLOOKUP(C141,METADATA!$A$5:$H$29,IF(E141="HI",2,IF(E141="LO",6,10))+IF(D141=1,2,IF(D141=7,1,(IF(WEEKDAY(B141)=1,2,IF(WEEKDAY(B141)=7,1,0))))))</f>
        <v>3</v>
      </c>
      <c r="G141" s="369">
        <f>VLOOKUP(C141,METADATA!$J$5:$Q$29,IF(E141="HI",2,IF(E141="LO",6,10))+IF(D141=1,2,IF(D141=7,1,(IF(WEEKDAY(B141)=1,2,IF(WEEKDAY(B141)=7,1,0))))))</f>
        <v>3</v>
      </c>
      <c r="H141" s="370">
        <v>13712.895202636719</v>
      </c>
      <c r="I141" s="370">
        <v>2124.7680130004883</v>
      </c>
      <c r="M141" s="371">
        <f t="shared" si="9"/>
        <v>13876.531769414401</v>
      </c>
      <c r="N141" s="329">
        <f t="shared" si="10"/>
        <v>0</v>
      </c>
      <c r="T141" s="331">
        <v>0</v>
      </c>
      <c r="U141" s="328">
        <f>VLOOKUP(C141,METADATA!$J$5:$Q$29,IF(E141="HI",2,IF(E141="LO",6,10))+IF(T141=1,2,IF(D141=7,1,(IF(WEEKDAY(B141)=1,2,IF(WEEKDAY(B141)=7,1,0))))))</f>
        <v>2</v>
      </c>
      <c r="V141" s="328">
        <f>VLOOKUP(C141,METADATA!$A$5:$H$29,IF(E141="HI",2,IF(E141="LO",6,10))+IF(T141=1,2,IF(D141=7,1,(IF(WEEKDAY(B141)=1,2,IF(WEEKDAY(B141)=7,1,0))))))</f>
        <v>2</v>
      </c>
    </row>
    <row r="142" spans="2:22">
      <c r="B142" s="318">
        <f t="shared" si="7"/>
        <v>46118</v>
      </c>
      <c r="C142" s="312">
        <v>18</v>
      </c>
      <c r="D142" s="368">
        <f>IFERROR((INDEX(METADATA!$T$2:$T$20,MATCH(B142,METADATA!$S$2:$S$20,0))),0)</f>
        <v>1</v>
      </c>
      <c r="E142" s="312" t="str">
        <f t="shared" si="8"/>
        <v>LO</v>
      </c>
      <c r="F142" s="369">
        <f>VLOOKUP(C142,METADATA!$A$5:$H$29,IF(E142="HI",2,IF(E142="LO",6,10))+IF(D142=1,2,IF(D142=7,1,(IF(WEEKDAY(B142)=1,2,IF(WEEKDAY(B142)=7,1,0))))))</f>
        <v>2</v>
      </c>
      <c r="G142" s="369">
        <f>VLOOKUP(C142,METADATA!$J$5:$Q$29,IF(E142="HI",2,IF(E142="LO",6,10))+IF(D142=1,2,IF(D142=7,1,(IF(WEEKDAY(B142)=1,2,IF(WEEKDAY(B142)=7,1,0))))))</f>
        <v>2</v>
      </c>
      <c r="H142" s="370">
        <v>13568.040222167969</v>
      </c>
      <c r="I142" s="370">
        <v>2068.9439849853516</v>
      </c>
      <c r="M142" s="371">
        <f t="shared" si="9"/>
        <v>13724.876854943905</v>
      </c>
      <c r="N142" s="329">
        <f t="shared" si="10"/>
        <v>0</v>
      </c>
      <c r="T142" s="331">
        <v>0</v>
      </c>
      <c r="U142" s="328">
        <f>VLOOKUP(C142,METADATA!$J$5:$Q$29,IF(E142="HI",2,IF(E142="LO",6,10))+IF(T142=1,2,IF(D142=7,1,(IF(WEEKDAY(B142)=1,2,IF(WEEKDAY(B142)=7,1,0))))))</f>
        <v>1</v>
      </c>
      <c r="V142" s="328">
        <f>VLOOKUP(C142,METADATA!$A$5:$H$29,IF(E142="HI",2,IF(E142="LO",6,10))+IF(T142=1,2,IF(D142=7,1,(IF(WEEKDAY(B142)=1,2,IF(WEEKDAY(B142)=7,1,0))))))</f>
        <v>1</v>
      </c>
    </row>
    <row r="143" spans="2:22">
      <c r="B143" s="318">
        <f t="shared" si="7"/>
        <v>46118</v>
      </c>
      <c r="C143" s="312">
        <v>19</v>
      </c>
      <c r="D143" s="368">
        <f>IFERROR((INDEX(METADATA!$T$2:$T$20,MATCH(B143,METADATA!$S$2:$S$20,0))),0)</f>
        <v>1</v>
      </c>
      <c r="E143" s="312" t="str">
        <f t="shared" si="8"/>
        <v>LO</v>
      </c>
      <c r="F143" s="369">
        <f>VLOOKUP(C143,METADATA!$A$5:$H$29,IF(E143="HI",2,IF(E143="LO",6,10))+IF(D143=1,2,IF(D143=7,1,(IF(WEEKDAY(B143)=1,2,IF(WEEKDAY(B143)=7,1,0))))))</f>
        <v>2</v>
      </c>
      <c r="G143" s="369">
        <f>VLOOKUP(C143,METADATA!$J$5:$Q$29,IF(E143="HI",2,IF(E143="LO",6,10))+IF(D143=1,2,IF(D143=7,1,(IF(WEEKDAY(B143)=1,2,IF(WEEKDAY(B143)=7,1,0))))))</f>
        <v>2</v>
      </c>
      <c r="H143" s="370">
        <v>13549.980224609375</v>
      </c>
      <c r="I143" s="370">
        <v>2036.0394458770752</v>
      </c>
      <c r="M143" s="371">
        <f t="shared" si="9"/>
        <v>13702.095486182854</v>
      </c>
      <c r="N143" s="329">
        <f t="shared" si="10"/>
        <v>0</v>
      </c>
      <c r="T143" s="331">
        <v>0</v>
      </c>
      <c r="U143" s="328">
        <f>VLOOKUP(C143,METADATA!$J$5:$Q$29,IF(E143="HI",2,IF(E143="LO",6,10))+IF(T143=1,2,IF(D143=7,1,(IF(WEEKDAY(B143)=1,2,IF(WEEKDAY(B143)=7,1,0))))))</f>
        <v>1</v>
      </c>
      <c r="V143" s="328">
        <f>VLOOKUP(C143,METADATA!$A$5:$H$29,IF(E143="HI",2,IF(E143="LO",6,10))+IF(T143=1,2,IF(D143=7,1,(IF(WEEKDAY(B143)=1,2,IF(WEEKDAY(B143)=7,1,0))))))</f>
        <v>1</v>
      </c>
    </row>
    <row r="144" spans="2:22">
      <c r="B144" s="318">
        <f t="shared" si="7"/>
        <v>46118</v>
      </c>
      <c r="C144" s="312">
        <v>20</v>
      </c>
      <c r="D144" s="368">
        <f>IFERROR((INDEX(METADATA!$T$2:$T$20,MATCH(B144,METADATA!$S$2:$S$20,0))),0)</f>
        <v>1</v>
      </c>
      <c r="E144" s="312" t="str">
        <f t="shared" si="8"/>
        <v>LO</v>
      </c>
      <c r="F144" s="369">
        <f>VLOOKUP(C144,METADATA!$A$5:$H$29,IF(E144="HI",2,IF(E144="LO",6,10))+IF(D144=1,2,IF(D144=7,1,(IF(WEEKDAY(B144)=1,2,IF(WEEKDAY(B144)=7,1,0))))))</f>
        <v>3</v>
      </c>
      <c r="G144" s="369">
        <f>VLOOKUP(C144,METADATA!$J$5:$Q$29,IF(E144="HI",2,IF(E144="LO",6,10))+IF(D144=1,2,IF(D144=7,1,(IF(WEEKDAY(B144)=1,2,IF(WEEKDAY(B144)=7,1,0))))))</f>
        <v>3</v>
      </c>
      <c r="H144" s="370">
        <v>13647.635070800781</v>
      </c>
      <c r="I144" s="370">
        <v>2063.2554817199707</v>
      </c>
      <c r="M144" s="371">
        <f t="shared" si="9"/>
        <v>13802.715899727811</v>
      </c>
      <c r="N144" s="329">
        <f t="shared" si="10"/>
        <v>0</v>
      </c>
      <c r="T144" s="331">
        <v>0</v>
      </c>
      <c r="U144" s="328">
        <f>VLOOKUP(C144,METADATA!$J$5:$Q$29,IF(E144="HI",2,IF(E144="LO",6,10))+IF(T144=1,2,IF(D144=7,1,(IF(WEEKDAY(B144)=1,2,IF(WEEKDAY(B144)=7,1,0))))))</f>
        <v>1</v>
      </c>
      <c r="V144" s="328">
        <f>VLOOKUP(C144,METADATA!$A$5:$H$29,IF(E144="HI",2,IF(E144="LO",6,10))+IF(T144=1,2,IF(D144=7,1,(IF(WEEKDAY(B144)=1,2,IF(WEEKDAY(B144)=7,1,0))))))</f>
        <v>1</v>
      </c>
    </row>
    <row r="145" spans="2:22">
      <c r="B145" s="318">
        <f t="shared" si="7"/>
        <v>46118</v>
      </c>
      <c r="C145" s="312">
        <v>21</v>
      </c>
      <c r="D145" s="368">
        <f>IFERROR((INDEX(METADATA!$T$2:$T$20,MATCH(B145,METADATA!$S$2:$S$20,0))),0)</f>
        <v>1</v>
      </c>
      <c r="E145" s="312" t="str">
        <f t="shared" si="8"/>
        <v>LO</v>
      </c>
      <c r="F145" s="369">
        <f>VLOOKUP(C145,METADATA!$A$5:$H$29,IF(E145="HI",2,IF(E145="LO",6,10))+IF(D145=1,2,IF(D145=7,1,(IF(WEEKDAY(B145)=1,2,IF(WEEKDAY(B145)=7,1,0))))))</f>
        <v>3</v>
      </c>
      <c r="G145" s="369">
        <f>VLOOKUP(C145,METADATA!$J$5:$Q$29,IF(E145="HI",2,IF(E145="LO",6,10))+IF(D145=1,2,IF(D145=7,1,(IF(WEEKDAY(B145)=1,2,IF(WEEKDAY(B145)=7,1,0))))))</f>
        <v>3</v>
      </c>
      <c r="H145" s="370">
        <v>13532.249694824219</v>
      </c>
      <c r="I145" s="370">
        <v>2056.511510848999</v>
      </c>
      <c r="M145" s="371">
        <f t="shared" si="9"/>
        <v>13687.622927204146</v>
      </c>
      <c r="N145" s="329">
        <f t="shared" si="10"/>
        <v>0</v>
      </c>
      <c r="T145" s="331">
        <v>0</v>
      </c>
      <c r="U145" s="328">
        <f>VLOOKUP(C145,METADATA!$J$5:$Q$29,IF(E145="HI",2,IF(E145="LO",6,10))+IF(T145=1,2,IF(D145=7,1,(IF(WEEKDAY(B145)=1,2,IF(WEEKDAY(B145)=7,1,0))))))</f>
        <v>2</v>
      </c>
      <c r="V145" s="328">
        <f>VLOOKUP(C145,METADATA!$A$5:$H$29,IF(E145="HI",2,IF(E145="LO",6,10))+IF(T145=1,2,IF(D145=7,1,(IF(WEEKDAY(B145)=1,2,IF(WEEKDAY(B145)=7,1,0))))))</f>
        <v>2</v>
      </c>
    </row>
    <row r="146" spans="2:22">
      <c r="B146" s="318">
        <f t="shared" si="7"/>
        <v>46118</v>
      </c>
      <c r="C146" s="312">
        <v>22</v>
      </c>
      <c r="D146" s="368">
        <f>IFERROR((INDEX(METADATA!$T$2:$T$20,MATCH(B146,METADATA!$S$2:$S$20,0))),0)</f>
        <v>1</v>
      </c>
      <c r="E146" s="312" t="str">
        <f t="shared" si="8"/>
        <v>LO</v>
      </c>
      <c r="F146" s="369">
        <f>VLOOKUP(C146,METADATA!$A$5:$H$29,IF(E146="HI",2,IF(E146="LO",6,10))+IF(D146=1,2,IF(D146=7,1,(IF(WEEKDAY(B146)=1,2,IF(WEEKDAY(B146)=7,1,0))))))</f>
        <v>3</v>
      </c>
      <c r="G146" s="369">
        <f>VLOOKUP(C146,METADATA!$J$5:$Q$29,IF(E146="HI",2,IF(E146="LO",6,10))+IF(D146=1,2,IF(D146=7,1,(IF(WEEKDAY(B146)=1,2,IF(WEEKDAY(B146)=7,1,0))))))</f>
        <v>3</v>
      </c>
      <c r="H146" s="370">
        <v>13607.874694824219</v>
      </c>
      <c r="I146" s="370">
        <v>2085.9150199890137</v>
      </c>
      <c r="M146" s="371">
        <f t="shared" si="9"/>
        <v>13766.818629612766</v>
      </c>
      <c r="N146" s="329">
        <f t="shared" si="10"/>
        <v>0</v>
      </c>
      <c r="T146" s="331">
        <v>0</v>
      </c>
      <c r="U146" s="328">
        <f>VLOOKUP(C146,METADATA!$J$5:$Q$29,IF(E146="HI",2,IF(E146="LO",6,10))+IF(T146=1,2,IF(D146=7,1,(IF(WEEKDAY(B146)=1,2,IF(WEEKDAY(B146)=7,1,0))))))</f>
        <v>3</v>
      </c>
      <c r="V146" s="328">
        <f>VLOOKUP(C146,METADATA!$A$5:$H$29,IF(E146="HI",2,IF(E146="LO",6,10))+IF(T146=1,2,IF(D146=7,1,(IF(WEEKDAY(B146)=1,2,IF(WEEKDAY(B146)=7,1,0))))))</f>
        <v>3</v>
      </c>
    </row>
    <row r="147" spans="2:22">
      <c r="B147" s="318">
        <f t="shared" si="7"/>
        <v>46118</v>
      </c>
      <c r="C147" s="312">
        <v>23</v>
      </c>
      <c r="D147" s="368">
        <f>IFERROR((INDEX(METADATA!$T$2:$T$20,MATCH(B147,METADATA!$S$2:$S$20,0))),0)</f>
        <v>1</v>
      </c>
      <c r="E147" s="312" t="str">
        <f t="shared" si="8"/>
        <v>LO</v>
      </c>
      <c r="F147" s="369">
        <f>VLOOKUP(C147,METADATA!$A$5:$H$29,IF(E147="HI",2,IF(E147="LO",6,10))+IF(D147=1,2,IF(D147=7,1,(IF(WEEKDAY(B147)=1,2,IF(WEEKDAY(B147)=7,1,0))))))</f>
        <v>3</v>
      </c>
      <c r="G147" s="369">
        <f>VLOOKUP(C147,METADATA!$J$5:$Q$29,IF(E147="HI",2,IF(E147="LO",6,10))+IF(D147=1,2,IF(D147=7,1,(IF(WEEKDAY(B147)=1,2,IF(WEEKDAY(B147)=7,1,0))))))</f>
        <v>3</v>
      </c>
      <c r="H147" s="370">
        <v>13626.820007324219</v>
      </c>
      <c r="I147" s="370">
        <v>2058.4795036315918</v>
      </c>
      <c r="M147" s="371">
        <f t="shared" si="9"/>
        <v>13781.420876632532</v>
      </c>
      <c r="N147" s="329">
        <f t="shared" si="10"/>
        <v>0</v>
      </c>
      <c r="T147" s="331">
        <v>0</v>
      </c>
      <c r="U147" s="328">
        <f>VLOOKUP(C147,METADATA!$J$5:$Q$29,IF(E147="HI",2,IF(E147="LO",6,10))+IF(T147=1,2,IF(D147=7,1,(IF(WEEKDAY(B147)=1,2,IF(WEEKDAY(B147)=7,1,0))))))</f>
        <v>3</v>
      </c>
      <c r="V147" s="328">
        <f>VLOOKUP(C147,METADATA!$A$5:$H$29,IF(E147="HI",2,IF(E147="LO",6,10))+IF(T147=1,2,IF(D147=7,1,(IF(WEEKDAY(B147)=1,2,IF(WEEKDAY(B147)=7,1,0))))))</f>
        <v>3</v>
      </c>
    </row>
    <row r="148" spans="2:22">
      <c r="B148" s="318">
        <f t="shared" si="7"/>
        <v>46119</v>
      </c>
      <c r="C148" s="312">
        <v>0</v>
      </c>
      <c r="D148" s="368">
        <f>IFERROR((INDEX(METADATA!$T$2:$T$20,MATCH(B148,METADATA!$S$2:$S$20,0))),0)</f>
        <v>0</v>
      </c>
      <c r="E148" s="312" t="str">
        <f t="shared" si="8"/>
        <v>LO</v>
      </c>
      <c r="F148" s="369">
        <f>VLOOKUP(C148,METADATA!$A$5:$H$29,IF(E148="HI",2,IF(E148="LO",6,10))+IF(D148=1,2,IF(D148=7,1,(IF(WEEKDAY(B148)=1,2,IF(WEEKDAY(B148)=7,1,0))))))</f>
        <v>3</v>
      </c>
      <c r="G148" s="369">
        <f>VLOOKUP(C148,METADATA!$J$5:$Q$29,IF(E148="HI",2,IF(E148="LO",6,10))+IF(D148=1,2,IF(D148=7,1,(IF(WEEKDAY(B148)=1,2,IF(WEEKDAY(B148)=7,1,0))))))</f>
        <v>3</v>
      </c>
      <c r="H148" s="370">
        <v>13672.970031738281</v>
      </c>
      <c r="I148" s="370">
        <v>2055.573938369751</v>
      </c>
      <c r="M148" s="371">
        <f t="shared" si="9"/>
        <v>13826.622642746785</v>
      </c>
      <c r="N148" s="329">
        <f t="shared" si="10"/>
        <v>0</v>
      </c>
      <c r="T148" s="331">
        <v>0</v>
      </c>
      <c r="U148" s="328">
        <f>VLOOKUP(C148,METADATA!$J$5:$Q$29,IF(E148="HI",2,IF(E148="LO",6,10))+IF(T148=1,2,IF(D148=7,1,(IF(WEEKDAY(B148)=1,2,IF(WEEKDAY(B148)=7,1,0))))))</f>
        <v>3</v>
      </c>
      <c r="V148" s="328">
        <f>VLOOKUP(C148,METADATA!$A$5:$H$29,IF(E148="HI",2,IF(E148="LO",6,10))+IF(T148=1,2,IF(D148=7,1,(IF(WEEKDAY(B148)=1,2,IF(WEEKDAY(B148)=7,1,0))))))</f>
        <v>3</v>
      </c>
    </row>
    <row r="149" spans="2:22">
      <c r="B149" s="318">
        <f t="shared" si="7"/>
        <v>46119</v>
      </c>
      <c r="C149" s="312">
        <v>1</v>
      </c>
      <c r="D149" s="368">
        <f>IFERROR((INDEX(METADATA!$T$2:$T$20,MATCH(B149,METADATA!$S$2:$S$20,0))),0)</f>
        <v>0</v>
      </c>
      <c r="E149" s="312" t="str">
        <f t="shared" si="8"/>
        <v>LO</v>
      </c>
      <c r="F149" s="369">
        <f>VLOOKUP(C149,METADATA!$A$5:$H$29,IF(E149="HI",2,IF(E149="LO",6,10))+IF(D149=1,2,IF(D149=7,1,(IF(WEEKDAY(B149)=1,2,IF(WEEKDAY(B149)=7,1,0))))))</f>
        <v>3</v>
      </c>
      <c r="G149" s="369">
        <f>VLOOKUP(C149,METADATA!$J$5:$Q$29,IF(E149="HI",2,IF(E149="LO",6,10))+IF(D149=1,2,IF(D149=7,1,(IF(WEEKDAY(B149)=1,2,IF(WEEKDAY(B149)=7,1,0))))))</f>
        <v>3</v>
      </c>
      <c r="H149" s="370">
        <v>13660.320068359375</v>
      </c>
      <c r="I149" s="370">
        <v>2083.7044849395752</v>
      </c>
      <c r="M149" s="371">
        <f t="shared" si="9"/>
        <v>13818.327277589686</v>
      </c>
      <c r="N149" s="329">
        <f t="shared" si="10"/>
        <v>0</v>
      </c>
      <c r="T149" s="331">
        <v>0</v>
      </c>
      <c r="U149" s="328">
        <f>VLOOKUP(C149,METADATA!$J$5:$Q$29,IF(E149="HI",2,IF(E149="LO",6,10))+IF(T149=1,2,IF(D149=7,1,(IF(WEEKDAY(B149)=1,2,IF(WEEKDAY(B149)=7,1,0))))))</f>
        <v>3</v>
      </c>
      <c r="V149" s="328">
        <f>VLOOKUP(C149,METADATA!$A$5:$H$29,IF(E149="HI",2,IF(E149="LO",6,10))+IF(T149=1,2,IF(D149=7,1,(IF(WEEKDAY(B149)=1,2,IF(WEEKDAY(B149)=7,1,0))))))</f>
        <v>3</v>
      </c>
    </row>
    <row r="150" spans="2:22">
      <c r="B150" s="318">
        <f t="shared" si="7"/>
        <v>46119</v>
      </c>
      <c r="C150" s="312">
        <v>2</v>
      </c>
      <c r="D150" s="368">
        <f>IFERROR((INDEX(METADATA!$T$2:$T$20,MATCH(B150,METADATA!$S$2:$S$20,0))),0)</f>
        <v>0</v>
      </c>
      <c r="E150" s="312" t="str">
        <f t="shared" si="8"/>
        <v>LO</v>
      </c>
      <c r="F150" s="369">
        <f>VLOOKUP(C150,METADATA!$A$5:$H$29,IF(E150="HI",2,IF(E150="LO",6,10))+IF(D150=1,2,IF(D150=7,1,(IF(WEEKDAY(B150)=1,2,IF(WEEKDAY(B150)=7,1,0))))))</f>
        <v>3</v>
      </c>
      <c r="G150" s="369">
        <f>VLOOKUP(C150,METADATA!$J$5:$Q$29,IF(E150="HI",2,IF(E150="LO",6,10))+IF(D150=1,2,IF(D150=7,1,(IF(WEEKDAY(B150)=1,2,IF(WEEKDAY(B150)=7,1,0))))))</f>
        <v>3</v>
      </c>
      <c r="H150" s="370">
        <v>13679.330505371094</v>
      </c>
      <c r="I150" s="370">
        <v>2073.0950088500977</v>
      </c>
      <c r="M150" s="371">
        <f t="shared" si="9"/>
        <v>13835.526950242818</v>
      </c>
      <c r="N150" s="329">
        <f t="shared" si="10"/>
        <v>0</v>
      </c>
      <c r="T150" s="331">
        <v>0</v>
      </c>
      <c r="U150" s="328">
        <f>VLOOKUP(C150,METADATA!$J$5:$Q$29,IF(E150="HI",2,IF(E150="LO",6,10))+IF(T150=1,2,IF(D150=7,1,(IF(WEEKDAY(B150)=1,2,IF(WEEKDAY(B150)=7,1,0))))))</f>
        <v>3</v>
      </c>
      <c r="V150" s="328">
        <f>VLOOKUP(C150,METADATA!$A$5:$H$29,IF(E150="HI",2,IF(E150="LO",6,10))+IF(T150=1,2,IF(D150=7,1,(IF(WEEKDAY(B150)=1,2,IF(WEEKDAY(B150)=7,1,0))))))</f>
        <v>3</v>
      </c>
    </row>
    <row r="151" spans="2:22">
      <c r="B151" s="318">
        <f t="shared" si="7"/>
        <v>46119</v>
      </c>
      <c r="C151" s="312">
        <v>3</v>
      </c>
      <c r="D151" s="368">
        <f>IFERROR((INDEX(METADATA!$T$2:$T$20,MATCH(B151,METADATA!$S$2:$S$20,0))),0)</f>
        <v>0</v>
      </c>
      <c r="E151" s="312" t="str">
        <f t="shared" si="8"/>
        <v>LO</v>
      </c>
      <c r="F151" s="369">
        <f>VLOOKUP(C151,METADATA!$A$5:$H$29,IF(E151="HI",2,IF(E151="LO",6,10))+IF(D151=1,2,IF(D151=7,1,(IF(WEEKDAY(B151)=1,2,IF(WEEKDAY(B151)=7,1,0))))))</f>
        <v>3</v>
      </c>
      <c r="G151" s="369">
        <f>VLOOKUP(C151,METADATA!$J$5:$Q$29,IF(E151="HI",2,IF(E151="LO",6,10))+IF(D151=1,2,IF(D151=7,1,(IF(WEEKDAY(B151)=1,2,IF(WEEKDAY(B151)=7,1,0))))))</f>
        <v>3</v>
      </c>
      <c r="H151" s="370">
        <v>13586.385437011719</v>
      </c>
      <c r="I151" s="370">
        <v>2035.7755374908447</v>
      </c>
      <c r="M151" s="371">
        <f t="shared" si="9"/>
        <v>13738.058497549435</v>
      </c>
      <c r="N151" s="329">
        <f t="shared" si="10"/>
        <v>0</v>
      </c>
      <c r="T151" s="331">
        <v>0</v>
      </c>
      <c r="U151" s="328">
        <f>VLOOKUP(C151,METADATA!$J$5:$Q$29,IF(E151="HI",2,IF(E151="LO",6,10))+IF(T151=1,2,IF(D151=7,1,(IF(WEEKDAY(B151)=1,2,IF(WEEKDAY(B151)=7,1,0))))))</f>
        <v>3</v>
      </c>
      <c r="V151" s="328">
        <f>VLOOKUP(C151,METADATA!$A$5:$H$29,IF(E151="HI",2,IF(E151="LO",6,10))+IF(T151=1,2,IF(D151=7,1,(IF(WEEKDAY(B151)=1,2,IF(WEEKDAY(B151)=7,1,0))))))</f>
        <v>3</v>
      </c>
    </row>
    <row r="152" spans="2:22">
      <c r="B152" s="318">
        <f t="shared" si="7"/>
        <v>46119</v>
      </c>
      <c r="C152" s="312">
        <v>4</v>
      </c>
      <c r="D152" s="368">
        <f>IFERROR((INDEX(METADATA!$T$2:$T$20,MATCH(B152,METADATA!$S$2:$S$20,0))),0)</f>
        <v>0</v>
      </c>
      <c r="E152" s="312" t="str">
        <f t="shared" si="8"/>
        <v>LO</v>
      </c>
      <c r="F152" s="369">
        <f>VLOOKUP(C152,METADATA!$A$5:$H$29,IF(E152="HI",2,IF(E152="LO",6,10))+IF(D152=1,2,IF(D152=7,1,(IF(WEEKDAY(B152)=1,2,IF(WEEKDAY(B152)=7,1,0))))))</f>
        <v>3</v>
      </c>
      <c r="G152" s="369">
        <f>VLOOKUP(C152,METADATA!$J$5:$Q$29,IF(E152="HI",2,IF(E152="LO",6,10))+IF(D152=1,2,IF(D152=7,1,(IF(WEEKDAY(B152)=1,2,IF(WEEKDAY(B152)=7,1,0))))))</f>
        <v>3</v>
      </c>
      <c r="H152" s="370">
        <v>12963.6396484375</v>
      </c>
      <c r="I152" s="370">
        <v>2128.0809936523438</v>
      </c>
      <c r="M152" s="371">
        <f t="shared" si="9"/>
        <v>13137.148916339691</v>
      </c>
      <c r="N152" s="329">
        <f t="shared" si="10"/>
        <v>0</v>
      </c>
      <c r="T152" s="331">
        <v>0</v>
      </c>
      <c r="U152" s="328">
        <f>VLOOKUP(C152,METADATA!$J$5:$Q$29,IF(E152="HI",2,IF(E152="LO",6,10))+IF(T152=1,2,IF(D152=7,1,(IF(WEEKDAY(B152)=1,2,IF(WEEKDAY(B152)=7,1,0))))))</f>
        <v>3</v>
      </c>
      <c r="V152" s="328">
        <f>VLOOKUP(C152,METADATA!$A$5:$H$29,IF(E152="HI",2,IF(E152="LO",6,10))+IF(T152=1,2,IF(D152=7,1,(IF(WEEKDAY(B152)=1,2,IF(WEEKDAY(B152)=7,1,0))))))</f>
        <v>3</v>
      </c>
    </row>
    <row r="153" spans="2:22">
      <c r="B153" s="318">
        <f t="shared" si="7"/>
        <v>46119</v>
      </c>
      <c r="C153" s="312">
        <v>5</v>
      </c>
      <c r="D153" s="368">
        <f>IFERROR((INDEX(METADATA!$T$2:$T$20,MATCH(B153,METADATA!$S$2:$S$20,0))),0)</f>
        <v>0</v>
      </c>
      <c r="E153" s="312" t="str">
        <f t="shared" si="8"/>
        <v>LO</v>
      </c>
      <c r="F153" s="369">
        <f>VLOOKUP(C153,METADATA!$A$5:$H$29,IF(E153="HI",2,IF(E153="LO",6,10))+IF(D153=1,2,IF(D153=7,1,(IF(WEEKDAY(B153)=1,2,IF(WEEKDAY(B153)=7,1,0))))))</f>
        <v>3</v>
      </c>
      <c r="G153" s="369">
        <f>VLOOKUP(C153,METADATA!$J$5:$Q$29,IF(E153="HI",2,IF(E153="LO",6,10))+IF(D153=1,2,IF(D153=7,1,(IF(WEEKDAY(B153)=1,2,IF(WEEKDAY(B153)=7,1,0))))))</f>
        <v>3</v>
      </c>
      <c r="H153" s="370">
        <v>7057.1824951171875</v>
      </c>
      <c r="I153" s="370">
        <v>261.50451586296549</v>
      </c>
      <c r="M153" s="371">
        <f t="shared" si="9"/>
        <v>7062.0258694800305</v>
      </c>
      <c r="N153" s="329">
        <f t="shared" si="10"/>
        <v>0</v>
      </c>
      <c r="T153" s="331">
        <v>0</v>
      </c>
      <c r="U153" s="328">
        <f>VLOOKUP(C153,METADATA!$J$5:$Q$29,IF(E153="HI",2,IF(E153="LO",6,10))+IF(T153=1,2,IF(D153=7,1,(IF(WEEKDAY(B153)=1,2,IF(WEEKDAY(B153)=7,1,0))))))</f>
        <v>3</v>
      </c>
      <c r="V153" s="328">
        <f>VLOOKUP(C153,METADATA!$A$5:$H$29,IF(E153="HI",2,IF(E153="LO",6,10))+IF(T153=1,2,IF(D153=7,1,(IF(WEEKDAY(B153)=1,2,IF(WEEKDAY(B153)=7,1,0))))))</f>
        <v>3</v>
      </c>
    </row>
    <row r="154" spans="2:22">
      <c r="B154" s="318">
        <f t="shared" si="7"/>
        <v>46119</v>
      </c>
      <c r="C154" s="312">
        <v>6</v>
      </c>
      <c r="D154" s="368">
        <f>IFERROR((INDEX(METADATA!$T$2:$T$20,MATCH(B154,METADATA!$S$2:$S$20,0))),0)</f>
        <v>0</v>
      </c>
      <c r="E154" s="312" t="str">
        <f t="shared" si="8"/>
        <v>LO</v>
      </c>
      <c r="F154" s="369">
        <f>VLOOKUP(C154,METADATA!$A$5:$H$29,IF(E154="HI",2,IF(E154="LO",6,10))+IF(D154=1,2,IF(D154=7,1,(IF(WEEKDAY(B154)=1,2,IF(WEEKDAY(B154)=7,1,0))))))</f>
        <v>2</v>
      </c>
      <c r="G154" s="369">
        <f>VLOOKUP(C154,METADATA!$J$5:$Q$29,IF(E154="HI",2,IF(E154="LO",6,10))+IF(D154=1,2,IF(D154=7,1,(IF(WEEKDAY(B154)=1,2,IF(WEEKDAY(B154)=7,1,0))))))</f>
        <v>2</v>
      </c>
      <c r="H154" s="370">
        <v>6049.0575256347656</v>
      </c>
      <c r="I154" s="370">
        <v>0</v>
      </c>
      <c r="M154" s="371">
        <f t="shared" si="9"/>
        <v>6049.0575256347656</v>
      </c>
      <c r="N154" s="329">
        <f t="shared" si="10"/>
        <v>0</v>
      </c>
      <c r="T154" s="331">
        <v>0</v>
      </c>
      <c r="U154" s="328">
        <f>VLOOKUP(C154,METADATA!$J$5:$Q$29,IF(E154="HI",2,IF(E154="LO",6,10))+IF(T154=1,2,IF(D154=7,1,(IF(WEEKDAY(B154)=1,2,IF(WEEKDAY(B154)=7,1,0))))))</f>
        <v>2</v>
      </c>
      <c r="V154" s="328">
        <f>VLOOKUP(C154,METADATA!$A$5:$H$29,IF(E154="HI",2,IF(E154="LO",6,10))+IF(T154=1,2,IF(D154=7,1,(IF(WEEKDAY(B154)=1,2,IF(WEEKDAY(B154)=7,1,0))))))</f>
        <v>2</v>
      </c>
    </row>
    <row r="155" spans="2:22">
      <c r="B155" s="318">
        <f t="shared" si="7"/>
        <v>46119</v>
      </c>
      <c r="C155" s="312">
        <v>7</v>
      </c>
      <c r="D155" s="368">
        <f>IFERROR((INDEX(METADATA!$T$2:$T$20,MATCH(B155,METADATA!$S$2:$S$20,0))),0)</f>
        <v>0</v>
      </c>
      <c r="E155" s="312" t="str">
        <f t="shared" si="8"/>
        <v>LO</v>
      </c>
      <c r="F155" s="369">
        <f>VLOOKUP(C155,METADATA!$A$5:$H$29,IF(E155="HI",2,IF(E155="LO",6,10))+IF(D155=1,2,IF(D155=7,1,(IF(WEEKDAY(B155)=1,2,IF(WEEKDAY(B155)=7,1,0))))))</f>
        <v>1</v>
      </c>
      <c r="G155" s="369">
        <f>VLOOKUP(C155,METADATA!$J$5:$Q$29,IF(E155="HI",2,IF(E155="LO",6,10))+IF(D155=1,2,IF(D155=7,1,(IF(WEEKDAY(B155)=1,2,IF(WEEKDAY(B155)=7,1,0))))))</f>
        <v>1</v>
      </c>
      <c r="H155" s="370">
        <v>5371.0799560546875</v>
      </c>
      <c r="I155" s="370">
        <v>0.23999999463558197</v>
      </c>
      <c r="M155" s="371">
        <f t="shared" si="9"/>
        <v>5371.0799614167372</v>
      </c>
      <c r="N155" s="329">
        <f t="shared" si="10"/>
        <v>0</v>
      </c>
      <c r="T155" s="331">
        <v>0</v>
      </c>
      <c r="U155" s="328">
        <f>VLOOKUP(C155,METADATA!$J$5:$Q$29,IF(E155="HI",2,IF(E155="LO",6,10))+IF(T155=1,2,IF(D155=7,1,(IF(WEEKDAY(B155)=1,2,IF(WEEKDAY(B155)=7,1,0))))))</f>
        <v>1</v>
      </c>
      <c r="V155" s="328">
        <f>VLOOKUP(C155,METADATA!$A$5:$H$29,IF(E155="HI",2,IF(E155="LO",6,10))+IF(T155=1,2,IF(D155=7,1,(IF(WEEKDAY(B155)=1,2,IF(WEEKDAY(B155)=7,1,0))))))</f>
        <v>1</v>
      </c>
    </row>
    <row r="156" spans="2:22">
      <c r="B156" s="318">
        <f t="shared" ref="B156:B219" si="11">B132+1</f>
        <v>46119</v>
      </c>
      <c r="C156" s="312">
        <v>8</v>
      </c>
      <c r="D156" s="368">
        <f>IFERROR((INDEX(METADATA!$T$2:$T$20,MATCH(B156,METADATA!$S$2:$S$20,0))),0)</f>
        <v>0</v>
      </c>
      <c r="E156" s="312" t="str">
        <f t="shared" si="8"/>
        <v>LO</v>
      </c>
      <c r="F156" s="369">
        <f>VLOOKUP(C156,METADATA!$A$5:$H$29,IF(E156="HI",2,IF(E156="LO",6,10))+IF(D156=1,2,IF(D156=7,1,(IF(WEEKDAY(B156)=1,2,IF(WEEKDAY(B156)=7,1,0))))))</f>
        <v>1</v>
      </c>
      <c r="G156" s="369">
        <f>VLOOKUP(C156,METADATA!$J$5:$Q$29,IF(E156="HI",2,IF(E156="LO",6,10))+IF(D156=1,2,IF(D156=7,1,(IF(WEEKDAY(B156)=1,2,IF(WEEKDAY(B156)=7,1,0))))))</f>
        <v>1</v>
      </c>
      <c r="H156" s="370">
        <v>5101.222412109375</v>
      </c>
      <c r="I156" s="370">
        <v>0</v>
      </c>
      <c r="M156" s="371">
        <f t="shared" si="9"/>
        <v>5101.222412109375</v>
      </c>
      <c r="N156" s="329">
        <f t="shared" si="10"/>
        <v>0</v>
      </c>
      <c r="T156" s="331">
        <v>0</v>
      </c>
      <c r="U156" s="328">
        <f>VLOOKUP(C156,METADATA!$J$5:$Q$29,IF(E156="HI",2,IF(E156="LO",6,10))+IF(T156=1,2,IF(D156=7,1,(IF(WEEKDAY(B156)=1,2,IF(WEEKDAY(B156)=7,1,0))))))</f>
        <v>1</v>
      </c>
      <c r="V156" s="328">
        <f>VLOOKUP(C156,METADATA!$A$5:$H$29,IF(E156="HI",2,IF(E156="LO",6,10))+IF(T156=1,2,IF(D156=7,1,(IF(WEEKDAY(B156)=1,2,IF(WEEKDAY(B156)=7,1,0))))))</f>
        <v>1</v>
      </c>
    </row>
    <row r="157" spans="2:22">
      <c r="B157" s="318">
        <f t="shared" si="11"/>
        <v>46119</v>
      </c>
      <c r="C157" s="312">
        <v>9</v>
      </c>
      <c r="D157" s="368">
        <f>IFERROR((INDEX(METADATA!$T$2:$T$20,MATCH(B157,METADATA!$S$2:$S$20,0))),0)</f>
        <v>0</v>
      </c>
      <c r="E157" s="312" t="str">
        <f t="shared" si="8"/>
        <v>LO</v>
      </c>
      <c r="F157" s="369">
        <f>VLOOKUP(C157,METADATA!$A$5:$H$29,IF(E157="HI",2,IF(E157="LO",6,10))+IF(D157=1,2,IF(D157=7,1,(IF(WEEKDAY(B157)=1,2,IF(WEEKDAY(B157)=7,1,0))))))</f>
        <v>2</v>
      </c>
      <c r="G157" s="369">
        <f>VLOOKUP(C157,METADATA!$J$5:$Q$29,IF(E157="HI",2,IF(E157="LO",6,10))+IF(D157=1,2,IF(D157=7,1,(IF(WEEKDAY(B157)=1,2,IF(WEEKDAY(B157)=7,1,0))))))</f>
        <v>2</v>
      </c>
      <c r="H157" s="370">
        <v>5110.4848937988281</v>
      </c>
      <c r="I157" s="370">
        <v>0</v>
      </c>
      <c r="M157" s="371">
        <f t="shared" si="9"/>
        <v>5110.4848937988281</v>
      </c>
      <c r="N157" s="329">
        <f t="shared" si="10"/>
        <v>0</v>
      </c>
      <c r="T157" s="331">
        <v>0</v>
      </c>
      <c r="U157" s="328">
        <f>VLOOKUP(C157,METADATA!$J$5:$Q$29,IF(E157="HI",2,IF(E157="LO",6,10))+IF(T157=1,2,IF(D157=7,1,(IF(WEEKDAY(B157)=1,2,IF(WEEKDAY(B157)=7,1,0))))))</f>
        <v>2</v>
      </c>
      <c r="V157" s="328">
        <f>VLOOKUP(C157,METADATA!$A$5:$H$29,IF(E157="HI",2,IF(E157="LO",6,10))+IF(T157=1,2,IF(D157=7,1,(IF(WEEKDAY(B157)=1,2,IF(WEEKDAY(B157)=7,1,0))))))</f>
        <v>2</v>
      </c>
    </row>
    <row r="158" spans="2:22">
      <c r="B158" s="318">
        <f t="shared" si="11"/>
        <v>46119</v>
      </c>
      <c r="C158" s="312">
        <v>10</v>
      </c>
      <c r="D158" s="368">
        <f>IFERROR((INDEX(METADATA!$T$2:$T$20,MATCH(B158,METADATA!$S$2:$S$20,0))),0)</f>
        <v>0</v>
      </c>
      <c r="E158" s="312" t="str">
        <f t="shared" si="8"/>
        <v>LO</v>
      </c>
      <c r="F158" s="369">
        <f>VLOOKUP(C158,METADATA!$A$5:$H$29,IF(E158="HI",2,IF(E158="LO",6,10))+IF(D158=1,2,IF(D158=7,1,(IF(WEEKDAY(B158)=1,2,IF(WEEKDAY(B158)=7,1,0))))))</f>
        <v>2</v>
      </c>
      <c r="G158" s="369">
        <f>VLOOKUP(C158,METADATA!$J$5:$Q$29,IF(E158="HI",2,IF(E158="LO",6,10))+IF(D158=1,2,IF(D158=7,1,(IF(WEEKDAY(B158)=1,2,IF(WEEKDAY(B158)=7,1,0))))))</f>
        <v>2</v>
      </c>
      <c r="H158" s="370">
        <v>5053.1075134277344</v>
      </c>
      <c r="I158" s="370">
        <v>0.57599997520446777</v>
      </c>
      <c r="M158" s="371">
        <f t="shared" si="9"/>
        <v>5053.1075462566387</v>
      </c>
      <c r="N158" s="329">
        <f t="shared" si="10"/>
        <v>0</v>
      </c>
      <c r="T158" s="331">
        <v>0</v>
      </c>
      <c r="U158" s="328">
        <f>VLOOKUP(C158,METADATA!$J$5:$Q$29,IF(E158="HI",2,IF(E158="LO",6,10))+IF(T158=1,2,IF(D158=7,1,(IF(WEEKDAY(B158)=1,2,IF(WEEKDAY(B158)=7,1,0))))))</f>
        <v>2</v>
      </c>
      <c r="V158" s="328">
        <f>VLOOKUP(C158,METADATA!$A$5:$H$29,IF(E158="HI",2,IF(E158="LO",6,10))+IF(T158=1,2,IF(D158=7,1,(IF(WEEKDAY(B158)=1,2,IF(WEEKDAY(B158)=7,1,0))))))</f>
        <v>2</v>
      </c>
    </row>
    <row r="159" spans="2:22">
      <c r="B159" s="318">
        <f t="shared" si="11"/>
        <v>46119</v>
      </c>
      <c r="C159" s="312">
        <v>11</v>
      </c>
      <c r="D159" s="368">
        <f>IFERROR((INDEX(METADATA!$T$2:$T$20,MATCH(B159,METADATA!$S$2:$S$20,0))),0)</f>
        <v>0</v>
      </c>
      <c r="E159" s="312" t="str">
        <f t="shared" si="8"/>
        <v>LO</v>
      </c>
      <c r="F159" s="369">
        <f>VLOOKUP(C159,METADATA!$A$5:$H$29,IF(E159="HI",2,IF(E159="LO",6,10))+IF(D159=1,2,IF(D159=7,1,(IF(WEEKDAY(B159)=1,2,IF(WEEKDAY(B159)=7,1,0))))))</f>
        <v>2</v>
      </c>
      <c r="G159" s="369">
        <f>VLOOKUP(C159,METADATA!$J$5:$Q$29,IF(E159="HI",2,IF(E159="LO",6,10))+IF(D159=1,2,IF(D159=7,1,(IF(WEEKDAY(B159)=1,2,IF(WEEKDAY(B159)=7,1,0))))))</f>
        <v>2</v>
      </c>
      <c r="H159" s="370">
        <v>5229.3350524902344</v>
      </c>
      <c r="I159" s="370">
        <v>0</v>
      </c>
      <c r="M159" s="371">
        <f t="shared" si="9"/>
        <v>5229.3350524902344</v>
      </c>
      <c r="N159" s="329">
        <f t="shared" si="10"/>
        <v>0</v>
      </c>
      <c r="T159" s="331">
        <v>0</v>
      </c>
      <c r="U159" s="328">
        <f>VLOOKUP(C159,METADATA!$J$5:$Q$29,IF(E159="HI",2,IF(E159="LO",6,10))+IF(T159=1,2,IF(D159=7,1,(IF(WEEKDAY(B159)=1,2,IF(WEEKDAY(B159)=7,1,0))))))</f>
        <v>2</v>
      </c>
      <c r="V159" s="328">
        <f>VLOOKUP(C159,METADATA!$A$5:$H$29,IF(E159="HI",2,IF(E159="LO",6,10))+IF(T159=1,2,IF(D159=7,1,(IF(WEEKDAY(B159)=1,2,IF(WEEKDAY(B159)=7,1,0))))))</f>
        <v>2</v>
      </c>
    </row>
    <row r="160" spans="2:22">
      <c r="B160" s="318">
        <f t="shared" si="11"/>
        <v>46119</v>
      </c>
      <c r="C160" s="312">
        <v>12</v>
      </c>
      <c r="D160" s="368">
        <f>IFERROR((INDEX(METADATA!$T$2:$T$20,MATCH(B160,METADATA!$S$2:$S$20,0))),0)</f>
        <v>0</v>
      </c>
      <c r="E160" s="312" t="str">
        <f t="shared" si="8"/>
        <v>LO</v>
      </c>
      <c r="F160" s="369">
        <f>VLOOKUP(C160,METADATA!$A$5:$H$29,IF(E160="HI",2,IF(E160="LO",6,10))+IF(D160=1,2,IF(D160=7,1,(IF(WEEKDAY(B160)=1,2,IF(WEEKDAY(B160)=7,1,0))))))</f>
        <v>2</v>
      </c>
      <c r="G160" s="369">
        <f>VLOOKUP(C160,METADATA!$J$5:$Q$29,IF(E160="HI",2,IF(E160="LO",6,10))+IF(D160=1,2,IF(D160=7,1,(IF(WEEKDAY(B160)=1,2,IF(WEEKDAY(B160)=7,1,0))))))</f>
        <v>2</v>
      </c>
      <c r="H160" s="370">
        <v>5856.7225341796875</v>
      </c>
      <c r="I160" s="370">
        <v>11.880000114440918</v>
      </c>
      <c r="M160" s="371">
        <f t="shared" si="9"/>
        <v>5856.7345830907225</v>
      </c>
      <c r="N160" s="329">
        <f t="shared" si="10"/>
        <v>0</v>
      </c>
      <c r="T160" s="331">
        <v>0</v>
      </c>
      <c r="U160" s="328">
        <f>VLOOKUP(C160,METADATA!$J$5:$Q$29,IF(E160="HI",2,IF(E160="LO",6,10))+IF(T160=1,2,IF(D160=7,1,(IF(WEEKDAY(B160)=1,2,IF(WEEKDAY(B160)=7,1,0))))))</f>
        <v>2</v>
      </c>
      <c r="V160" s="328">
        <f>VLOOKUP(C160,METADATA!$A$5:$H$29,IF(E160="HI",2,IF(E160="LO",6,10))+IF(T160=1,2,IF(D160=7,1,(IF(WEEKDAY(B160)=1,2,IF(WEEKDAY(B160)=7,1,0))))))</f>
        <v>2</v>
      </c>
    </row>
    <row r="161" spans="2:22">
      <c r="B161" s="318">
        <f t="shared" si="11"/>
        <v>46119</v>
      </c>
      <c r="C161" s="312">
        <v>13</v>
      </c>
      <c r="D161" s="368">
        <f>IFERROR((INDEX(METADATA!$T$2:$T$20,MATCH(B161,METADATA!$S$2:$S$20,0))),0)</f>
        <v>0</v>
      </c>
      <c r="E161" s="312" t="str">
        <f t="shared" si="8"/>
        <v>LO</v>
      </c>
      <c r="F161" s="369">
        <f>VLOOKUP(C161,METADATA!$A$5:$H$29,IF(E161="HI",2,IF(E161="LO",6,10))+IF(D161=1,2,IF(D161=7,1,(IF(WEEKDAY(B161)=1,2,IF(WEEKDAY(B161)=7,1,0))))))</f>
        <v>2</v>
      </c>
      <c r="G161" s="369">
        <f>VLOOKUP(C161,METADATA!$J$5:$Q$29,IF(E161="HI",2,IF(E161="LO",6,10))+IF(D161=1,2,IF(D161=7,1,(IF(WEEKDAY(B161)=1,2,IF(WEEKDAY(B161)=7,1,0))))))</f>
        <v>2</v>
      </c>
      <c r="H161" s="370">
        <v>11406.179992675781</v>
      </c>
      <c r="I161" s="370">
        <v>1252.9425258636475</v>
      </c>
      <c r="M161" s="371">
        <f t="shared" si="9"/>
        <v>11474.79006337087</v>
      </c>
      <c r="N161" s="329">
        <f t="shared" si="10"/>
        <v>0</v>
      </c>
      <c r="T161" s="331">
        <v>0</v>
      </c>
      <c r="U161" s="328">
        <f>VLOOKUP(C161,METADATA!$J$5:$Q$29,IF(E161="HI",2,IF(E161="LO",6,10))+IF(T161=1,2,IF(D161=7,1,(IF(WEEKDAY(B161)=1,2,IF(WEEKDAY(B161)=7,1,0))))))</f>
        <v>2</v>
      </c>
      <c r="V161" s="328">
        <f>VLOOKUP(C161,METADATA!$A$5:$H$29,IF(E161="HI",2,IF(E161="LO",6,10))+IF(T161=1,2,IF(D161=7,1,(IF(WEEKDAY(B161)=1,2,IF(WEEKDAY(B161)=7,1,0))))))</f>
        <v>2</v>
      </c>
    </row>
    <row r="162" spans="2:22">
      <c r="B162" s="318">
        <f t="shared" si="11"/>
        <v>46119</v>
      </c>
      <c r="C162" s="312">
        <v>14</v>
      </c>
      <c r="D162" s="368">
        <f>IFERROR((INDEX(METADATA!$T$2:$T$20,MATCH(B162,METADATA!$S$2:$S$20,0))),0)</f>
        <v>0</v>
      </c>
      <c r="E162" s="312" t="str">
        <f t="shared" si="8"/>
        <v>LO</v>
      </c>
      <c r="F162" s="369">
        <f>VLOOKUP(C162,METADATA!$A$5:$H$29,IF(E162="HI",2,IF(E162="LO",6,10))+IF(D162=1,2,IF(D162=7,1,(IF(WEEKDAY(B162)=1,2,IF(WEEKDAY(B162)=7,1,0))))))</f>
        <v>2</v>
      </c>
      <c r="G162" s="369">
        <f>VLOOKUP(C162,METADATA!$J$5:$Q$29,IF(E162="HI",2,IF(E162="LO",6,10))+IF(D162=1,2,IF(D162=7,1,(IF(WEEKDAY(B162)=1,2,IF(WEEKDAY(B162)=7,1,0))))))</f>
        <v>2</v>
      </c>
      <c r="H162" s="370">
        <v>13563.535278320313</v>
      </c>
      <c r="I162" s="370">
        <v>1851.910961151123</v>
      </c>
      <c r="M162" s="371">
        <f t="shared" si="9"/>
        <v>13689.377759937497</v>
      </c>
      <c r="N162" s="329">
        <f t="shared" si="10"/>
        <v>0</v>
      </c>
      <c r="T162" s="331">
        <v>0</v>
      </c>
      <c r="U162" s="328">
        <f>VLOOKUP(C162,METADATA!$J$5:$Q$29,IF(E162="HI",2,IF(E162="LO",6,10))+IF(T162=1,2,IF(D162=7,1,(IF(WEEKDAY(B162)=1,2,IF(WEEKDAY(B162)=7,1,0))))))</f>
        <v>2</v>
      </c>
      <c r="V162" s="328">
        <f>VLOOKUP(C162,METADATA!$A$5:$H$29,IF(E162="HI",2,IF(E162="LO",6,10))+IF(T162=1,2,IF(D162=7,1,(IF(WEEKDAY(B162)=1,2,IF(WEEKDAY(B162)=7,1,0))))))</f>
        <v>2</v>
      </c>
    </row>
    <row r="163" spans="2:22">
      <c r="B163" s="318">
        <f t="shared" si="11"/>
        <v>46119</v>
      </c>
      <c r="C163" s="312">
        <v>15</v>
      </c>
      <c r="D163" s="368">
        <f>IFERROR((INDEX(METADATA!$T$2:$T$20,MATCH(B163,METADATA!$S$2:$S$20,0))),0)</f>
        <v>0</v>
      </c>
      <c r="E163" s="312" t="str">
        <f t="shared" si="8"/>
        <v>LO</v>
      </c>
      <c r="F163" s="369">
        <f>VLOOKUP(C163,METADATA!$A$5:$H$29,IF(E163="HI",2,IF(E163="LO",6,10))+IF(D163=1,2,IF(D163=7,1,(IF(WEEKDAY(B163)=1,2,IF(WEEKDAY(B163)=7,1,0))))))</f>
        <v>2</v>
      </c>
      <c r="G163" s="369">
        <f>VLOOKUP(C163,METADATA!$J$5:$Q$29,IF(E163="HI",2,IF(E163="LO",6,10))+IF(D163=1,2,IF(D163=7,1,(IF(WEEKDAY(B163)=1,2,IF(WEEKDAY(B163)=7,1,0))))))</f>
        <v>2</v>
      </c>
      <c r="H163" s="370">
        <v>13603.854614257813</v>
      </c>
      <c r="I163" s="370">
        <v>1880.8339767456055</v>
      </c>
      <c r="M163" s="371">
        <f t="shared" si="9"/>
        <v>13733.258783476856</v>
      </c>
      <c r="N163" s="329">
        <f t="shared" si="10"/>
        <v>0</v>
      </c>
      <c r="T163" s="331">
        <v>0</v>
      </c>
      <c r="U163" s="328">
        <f>VLOOKUP(C163,METADATA!$J$5:$Q$29,IF(E163="HI",2,IF(E163="LO",6,10))+IF(T163=1,2,IF(D163=7,1,(IF(WEEKDAY(B163)=1,2,IF(WEEKDAY(B163)=7,1,0))))))</f>
        <v>2</v>
      </c>
      <c r="V163" s="328">
        <f>VLOOKUP(C163,METADATA!$A$5:$H$29,IF(E163="HI",2,IF(E163="LO",6,10))+IF(T163=1,2,IF(D163=7,1,(IF(WEEKDAY(B163)=1,2,IF(WEEKDAY(B163)=7,1,0))))))</f>
        <v>2</v>
      </c>
    </row>
    <row r="164" spans="2:22">
      <c r="B164" s="318">
        <f t="shared" si="11"/>
        <v>46119</v>
      </c>
      <c r="C164" s="312">
        <v>16</v>
      </c>
      <c r="D164" s="368">
        <f>IFERROR((INDEX(METADATA!$T$2:$T$20,MATCH(B164,METADATA!$S$2:$S$20,0))),0)</f>
        <v>0</v>
      </c>
      <c r="E164" s="312" t="str">
        <f t="shared" si="8"/>
        <v>LO</v>
      </c>
      <c r="F164" s="369">
        <f>VLOOKUP(C164,METADATA!$A$5:$H$29,IF(E164="HI",2,IF(E164="LO",6,10))+IF(D164=1,2,IF(D164=7,1,(IF(WEEKDAY(B164)=1,2,IF(WEEKDAY(B164)=7,1,0))))))</f>
        <v>2</v>
      </c>
      <c r="G164" s="369">
        <f>VLOOKUP(C164,METADATA!$J$5:$Q$29,IF(E164="HI",2,IF(E164="LO",6,10))+IF(D164=1,2,IF(D164=7,1,(IF(WEEKDAY(B164)=1,2,IF(WEEKDAY(B164)=7,1,0))))))</f>
        <v>2</v>
      </c>
      <c r="H164" s="370">
        <v>13547.840209960938</v>
      </c>
      <c r="I164" s="370">
        <v>1935.1669826507568</v>
      </c>
      <c r="M164" s="371">
        <f t="shared" si="9"/>
        <v>13685.351497326477</v>
      </c>
      <c r="N164" s="329">
        <f t="shared" si="10"/>
        <v>0</v>
      </c>
      <c r="T164" s="331">
        <v>0</v>
      </c>
      <c r="U164" s="328">
        <f>VLOOKUP(C164,METADATA!$J$5:$Q$29,IF(E164="HI",2,IF(E164="LO",6,10))+IF(T164=1,2,IF(D164=7,1,(IF(WEEKDAY(B164)=1,2,IF(WEEKDAY(B164)=7,1,0))))))</f>
        <v>2</v>
      </c>
      <c r="V164" s="328">
        <f>VLOOKUP(C164,METADATA!$A$5:$H$29,IF(E164="HI",2,IF(E164="LO",6,10))+IF(T164=1,2,IF(D164=7,1,(IF(WEEKDAY(B164)=1,2,IF(WEEKDAY(B164)=7,1,0))))))</f>
        <v>2</v>
      </c>
    </row>
    <row r="165" spans="2:22">
      <c r="B165" s="318">
        <f t="shared" si="11"/>
        <v>46119</v>
      </c>
      <c r="C165" s="312">
        <v>17</v>
      </c>
      <c r="D165" s="368">
        <f>IFERROR((INDEX(METADATA!$T$2:$T$20,MATCH(B165,METADATA!$S$2:$S$20,0))),0)</f>
        <v>0</v>
      </c>
      <c r="E165" s="312" t="str">
        <f t="shared" si="8"/>
        <v>LO</v>
      </c>
      <c r="F165" s="369">
        <f>VLOOKUP(C165,METADATA!$A$5:$H$29,IF(E165="HI",2,IF(E165="LO",6,10))+IF(D165=1,2,IF(D165=7,1,(IF(WEEKDAY(B165)=1,2,IF(WEEKDAY(B165)=7,1,0))))))</f>
        <v>2</v>
      </c>
      <c r="G165" s="369">
        <f>VLOOKUP(C165,METADATA!$J$5:$Q$29,IF(E165="HI",2,IF(E165="LO",6,10))+IF(D165=1,2,IF(D165=7,1,(IF(WEEKDAY(B165)=1,2,IF(WEEKDAY(B165)=7,1,0))))))</f>
        <v>2</v>
      </c>
      <c r="H165" s="370">
        <v>13472.329895019531</v>
      </c>
      <c r="I165" s="370">
        <v>2012.7124614715576</v>
      </c>
      <c r="M165" s="371">
        <f t="shared" si="9"/>
        <v>13621.845846022479</v>
      </c>
      <c r="N165" s="329">
        <f t="shared" si="10"/>
        <v>0</v>
      </c>
      <c r="T165" s="331">
        <v>0</v>
      </c>
      <c r="U165" s="328">
        <f>VLOOKUP(C165,METADATA!$J$5:$Q$29,IF(E165="HI",2,IF(E165="LO",6,10))+IF(T165=1,2,IF(D165=7,1,(IF(WEEKDAY(B165)=1,2,IF(WEEKDAY(B165)=7,1,0))))))</f>
        <v>2</v>
      </c>
      <c r="V165" s="328">
        <f>VLOOKUP(C165,METADATA!$A$5:$H$29,IF(E165="HI",2,IF(E165="LO",6,10))+IF(T165=1,2,IF(D165=7,1,(IF(WEEKDAY(B165)=1,2,IF(WEEKDAY(B165)=7,1,0))))))</f>
        <v>2</v>
      </c>
    </row>
    <row r="166" spans="2:22">
      <c r="B166" s="318">
        <f t="shared" si="11"/>
        <v>46119</v>
      </c>
      <c r="C166" s="312">
        <v>18</v>
      </c>
      <c r="D166" s="368">
        <f>IFERROR((INDEX(METADATA!$T$2:$T$20,MATCH(B166,METADATA!$S$2:$S$20,0))),0)</f>
        <v>0</v>
      </c>
      <c r="E166" s="312" t="str">
        <f t="shared" si="8"/>
        <v>LO</v>
      </c>
      <c r="F166" s="369">
        <f>VLOOKUP(C166,METADATA!$A$5:$H$29,IF(E166="HI",2,IF(E166="LO",6,10))+IF(D166=1,2,IF(D166=7,1,(IF(WEEKDAY(B166)=1,2,IF(WEEKDAY(B166)=7,1,0))))))</f>
        <v>1</v>
      </c>
      <c r="G166" s="369">
        <f>VLOOKUP(C166,METADATA!$J$5:$Q$29,IF(E166="HI",2,IF(E166="LO",6,10))+IF(D166=1,2,IF(D166=7,1,(IF(WEEKDAY(B166)=1,2,IF(WEEKDAY(B166)=7,1,0))))))</f>
        <v>1</v>
      </c>
      <c r="H166" s="370">
        <v>13340.565368652344</v>
      </c>
      <c r="I166" s="370">
        <v>1887.4300174713135</v>
      </c>
      <c r="M166" s="371">
        <f t="shared" si="9"/>
        <v>13473.421110695606</v>
      </c>
      <c r="N166" s="329">
        <f t="shared" si="10"/>
        <v>0</v>
      </c>
      <c r="T166" s="331">
        <v>0</v>
      </c>
      <c r="U166" s="328">
        <f>VLOOKUP(C166,METADATA!$J$5:$Q$29,IF(E166="HI",2,IF(E166="LO",6,10))+IF(T166=1,2,IF(D166=7,1,(IF(WEEKDAY(B166)=1,2,IF(WEEKDAY(B166)=7,1,0))))))</f>
        <v>1</v>
      </c>
      <c r="V166" s="328">
        <f>VLOOKUP(C166,METADATA!$A$5:$H$29,IF(E166="HI",2,IF(E166="LO",6,10))+IF(T166=1,2,IF(D166=7,1,(IF(WEEKDAY(B166)=1,2,IF(WEEKDAY(B166)=7,1,0))))))</f>
        <v>1</v>
      </c>
    </row>
    <row r="167" spans="2:22">
      <c r="B167" s="318">
        <f t="shared" si="11"/>
        <v>46119</v>
      </c>
      <c r="C167" s="312">
        <v>19</v>
      </c>
      <c r="D167" s="368">
        <f>IFERROR((INDEX(METADATA!$T$2:$T$20,MATCH(B167,METADATA!$S$2:$S$20,0))),0)</f>
        <v>0</v>
      </c>
      <c r="E167" s="312" t="str">
        <f t="shared" si="8"/>
        <v>LO</v>
      </c>
      <c r="F167" s="369">
        <f>VLOOKUP(C167,METADATA!$A$5:$H$29,IF(E167="HI",2,IF(E167="LO",6,10))+IF(D167=1,2,IF(D167=7,1,(IF(WEEKDAY(B167)=1,2,IF(WEEKDAY(B167)=7,1,0))))))</f>
        <v>1</v>
      </c>
      <c r="G167" s="369">
        <f>VLOOKUP(C167,METADATA!$J$5:$Q$29,IF(E167="HI",2,IF(E167="LO",6,10))+IF(D167=1,2,IF(D167=7,1,(IF(WEEKDAY(B167)=1,2,IF(WEEKDAY(B167)=7,1,0))))))</f>
        <v>1</v>
      </c>
      <c r="H167" s="370">
        <v>13415.7548828125</v>
      </c>
      <c r="I167" s="370">
        <v>2137.4889545440674</v>
      </c>
      <c r="M167" s="371">
        <f t="shared" si="9"/>
        <v>13584.967357579677</v>
      </c>
      <c r="N167" s="329">
        <f t="shared" si="10"/>
        <v>0</v>
      </c>
      <c r="T167" s="331">
        <v>0</v>
      </c>
      <c r="U167" s="328">
        <f>VLOOKUP(C167,METADATA!$J$5:$Q$29,IF(E167="HI",2,IF(E167="LO",6,10))+IF(T167=1,2,IF(D167=7,1,(IF(WEEKDAY(B167)=1,2,IF(WEEKDAY(B167)=7,1,0))))))</f>
        <v>1</v>
      </c>
      <c r="V167" s="328">
        <f>VLOOKUP(C167,METADATA!$A$5:$H$29,IF(E167="HI",2,IF(E167="LO",6,10))+IF(T167=1,2,IF(D167=7,1,(IF(WEEKDAY(B167)=1,2,IF(WEEKDAY(B167)=7,1,0))))))</f>
        <v>1</v>
      </c>
    </row>
    <row r="168" spans="2:22">
      <c r="B168" s="318">
        <f t="shared" si="11"/>
        <v>46119</v>
      </c>
      <c r="C168" s="312">
        <v>20</v>
      </c>
      <c r="D168" s="368">
        <f>IFERROR((INDEX(METADATA!$T$2:$T$20,MATCH(B168,METADATA!$S$2:$S$20,0))),0)</f>
        <v>0</v>
      </c>
      <c r="E168" s="312" t="str">
        <f t="shared" si="8"/>
        <v>LO</v>
      </c>
      <c r="F168" s="369">
        <f>VLOOKUP(C168,METADATA!$A$5:$H$29,IF(E168="HI",2,IF(E168="LO",6,10))+IF(D168=1,2,IF(D168=7,1,(IF(WEEKDAY(B168)=1,2,IF(WEEKDAY(B168)=7,1,0))))))</f>
        <v>1</v>
      </c>
      <c r="G168" s="369">
        <f>VLOOKUP(C168,METADATA!$J$5:$Q$29,IF(E168="HI",2,IF(E168="LO",6,10))+IF(D168=1,2,IF(D168=7,1,(IF(WEEKDAY(B168)=1,2,IF(WEEKDAY(B168)=7,1,0))))))</f>
        <v>1</v>
      </c>
      <c r="H168" s="370">
        <v>13421.914978027344</v>
      </c>
      <c r="I168" s="370">
        <v>2704.2015008926392</v>
      </c>
      <c r="M168" s="371">
        <f t="shared" si="9"/>
        <v>13691.621797100033</v>
      </c>
      <c r="N168" s="329">
        <f t="shared" si="10"/>
        <v>0</v>
      </c>
      <c r="T168" s="331">
        <v>0</v>
      </c>
      <c r="U168" s="328">
        <f>VLOOKUP(C168,METADATA!$J$5:$Q$29,IF(E168="HI",2,IF(E168="LO",6,10))+IF(T168=1,2,IF(D168=7,1,(IF(WEEKDAY(B168)=1,2,IF(WEEKDAY(B168)=7,1,0))))))</f>
        <v>1</v>
      </c>
      <c r="V168" s="328">
        <f>VLOOKUP(C168,METADATA!$A$5:$H$29,IF(E168="HI",2,IF(E168="LO",6,10))+IF(T168=1,2,IF(D168=7,1,(IF(WEEKDAY(B168)=1,2,IF(WEEKDAY(B168)=7,1,0))))))</f>
        <v>1</v>
      </c>
    </row>
    <row r="169" spans="2:22">
      <c r="B169" s="318">
        <f t="shared" si="11"/>
        <v>46119</v>
      </c>
      <c r="C169" s="312">
        <v>21</v>
      </c>
      <c r="D169" s="368">
        <f>IFERROR((INDEX(METADATA!$T$2:$T$20,MATCH(B169,METADATA!$S$2:$S$20,0))),0)</f>
        <v>0</v>
      </c>
      <c r="E169" s="312" t="str">
        <f t="shared" si="8"/>
        <v>LO</v>
      </c>
      <c r="F169" s="369">
        <f>VLOOKUP(C169,METADATA!$A$5:$H$29,IF(E169="HI",2,IF(E169="LO",6,10))+IF(D169=1,2,IF(D169=7,1,(IF(WEEKDAY(B169)=1,2,IF(WEEKDAY(B169)=7,1,0))))))</f>
        <v>2</v>
      </c>
      <c r="G169" s="369">
        <f>VLOOKUP(C169,METADATA!$J$5:$Q$29,IF(E169="HI",2,IF(E169="LO",6,10))+IF(D169=1,2,IF(D169=7,1,(IF(WEEKDAY(B169)=1,2,IF(WEEKDAY(B169)=7,1,0))))))</f>
        <v>2</v>
      </c>
      <c r="H169" s="370">
        <v>13520.129638671875</v>
      </c>
      <c r="I169" s="370">
        <v>2747.7099494934082</v>
      </c>
      <c r="M169" s="371">
        <f t="shared" si="9"/>
        <v>13796.514611054445</v>
      </c>
      <c r="N169" s="329">
        <f t="shared" si="10"/>
        <v>0</v>
      </c>
      <c r="T169" s="331">
        <v>0</v>
      </c>
      <c r="U169" s="328">
        <f>VLOOKUP(C169,METADATA!$J$5:$Q$29,IF(E169="HI",2,IF(E169="LO",6,10))+IF(T169=1,2,IF(D169=7,1,(IF(WEEKDAY(B169)=1,2,IF(WEEKDAY(B169)=7,1,0))))))</f>
        <v>2</v>
      </c>
      <c r="V169" s="328">
        <f>VLOOKUP(C169,METADATA!$A$5:$H$29,IF(E169="HI",2,IF(E169="LO",6,10))+IF(T169=1,2,IF(D169=7,1,(IF(WEEKDAY(B169)=1,2,IF(WEEKDAY(B169)=7,1,0))))))</f>
        <v>2</v>
      </c>
    </row>
    <row r="170" spans="2:22">
      <c r="B170" s="318">
        <f t="shared" si="11"/>
        <v>46119</v>
      </c>
      <c r="C170" s="312">
        <v>22</v>
      </c>
      <c r="D170" s="368">
        <f>IFERROR((INDEX(METADATA!$T$2:$T$20,MATCH(B170,METADATA!$S$2:$S$20,0))),0)</f>
        <v>0</v>
      </c>
      <c r="E170" s="312" t="str">
        <f t="shared" si="8"/>
        <v>LO</v>
      </c>
      <c r="F170" s="369">
        <f>VLOOKUP(C170,METADATA!$A$5:$H$29,IF(E170="HI",2,IF(E170="LO",6,10))+IF(D170=1,2,IF(D170=7,1,(IF(WEEKDAY(B170)=1,2,IF(WEEKDAY(B170)=7,1,0))))))</f>
        <v>3</v>
      </c>
      <c r="G170" s="369">
        <f>VLOOKUP(C170,METADATA!$J$5:$Q$29,IF(E170="HI",2,IF(E170="LO",6,10))+IF(D170=1,2,IF(D170=7,1,(IF(WEEKDAY(B170)=1,2,IF(WEEKDAY(B170)=7,1,0))))))</f>
        <v>3</v>
      </c>
      <c r="H170" s="370">
        <v>13526.864807128906</v>
      </c>
      <c r="I170" s="370">
        <v>2805.865535736084</v>
      </c>
      <c r="M170" s="371">
        <f t="shared" si="9"/>
        <v>13814.809188511223</v>
      </c>
      <c r="N170" s="329">
        <f t="shared" si="10"/>
        <v>0</v>
      </c>
      <c r="T170" s="331">
        <v>0</v>
      </c>
      <c r="U170" s="328">
        <f>VLOOKUP(C170,METADATA!$J$5:$Q$29,IF(E170="HI",2,IF(E170="LO",6,10))+IF(T170=1,2,IF(D170=7,1,(IF(WEEKDAY(B170)=1,2,IF(WEEKDAY(B170)=7,1,0))))))</f>
        <v>3</v>
      </c>
      <c r="V170" s="328">
        <f>VLOOKUP(C170,METADATA!$A$5:$H$29,IF(E170="HI",2,IF(E170="LO",6,10))+IF(T170=1,2,IF(D170=7,1,(IF(WEEKDAY(B170)=1,2,IF(WEEKDAY(B170)=7,1,0))))))</f>
        <v>3</v>
      </c>
    </row>
    <row r="171" spans="2:22">
      <c r="B171" s="318">
        <f t="shared" si="11"/>
        <v>46119</v>
      </c>
      <c r="C171" s="312">
        <v>23</v>
      </c>
      <c r="D171" s="368">
        <f>IFERROR((INDEX(METADATA!$T$2:$T$20,MATCH(B171,METADATA!$S$2:$S$20,0))),0)</f>
        <v>0</v>
      </c>
      <c r="E171" s="312" t="str">
        <f t="shared" si="8"/>
        <v>LO</v>
      </c>
      <c r="F171" s="369">
        <f>VLOOKUP(C171,METADATA!$A$5:$H$29,IF(E171="HI",2,IF(E171="LO",6,10))+IF(D171=1,2,IF(D171=7,1,(IF(WEEKDAY(B171)=1,2,IF(WEEKDAY(B171)=7,1,0))))))</f>
        <v>3</v>
      </c>
      <c r="G171" s="369">
        <f>VLOOKUP(C171,METADATA!$J$5:$Q$29,IF(E171="HI",2,IF(E171="LO",6,10))+IF(D171=1,2,IF(D171=7,1,(IF(WEEKDAY(B171)=1,2,IF(WEEKDAY(B171)=7,1,0))))))</f>
        <v>3</v>
      </c>
      <c r="H171" s="370">
        <v>13577.099792480469</v>
      </c>
      <c r="I171" s="370">
        <v>2876.4005584716797</v>
      </c>
      <c r="M171" s="371">
        <f t="shared" si="9"/>
        <v>13878.448002127232</v>
      </c>
      <c r="N171" s="329">
        <f t="shared" si="10"/>
        <v>0</v>
      </c>
      <c r="T171" s="331">
        <v>0</v>
      </c>
      <c r="U171" s="328">
        <f>VLOOKUP(C171,METADATA!$J$5:$Q$29,IF(E171="HI",2,IF(E171="LO",6,10))+IF(T171=1,2,IF(D171=7,1,(IF(WEEKDAY(B171)=1,2,IF(WEEKDAY(B171)=7,1,0))))))</f>
        <v>3</v>
      </c>
      <c r="V171" s="328">
        <f>VLOOKUP(C171,METADATA!$A$5:$H$29,IF(E171="HI",2,IF(E171="LO",6,10))+IF(T171=1,2,IF(D171=7,1,(IF(WEEKDAY(B171)=1,2,IF(WEEKDAY(B171)=7,1,0))))))</f>
        <v>3</v>
      </c>
    </row>
    <row r="172" spans="2:22">
      <c r="B172" s="318">
        <f t="shared" si="11"/>
        <v>46120</v>
      </c>
      <c r="C172" s="312">
        <v>0</v>
      </c>
      <c r="D172" s="368">
        <f>IFERROR((INDEX(METADATA!$T$2:$T$20,MATCH(B172,METADATA!$S$2:$S$20,0))),0)</f>
        <v>0</v>
      </c>
      <c r="E172" s="312" t="str">
        <f t="shared" si="8"/>
        <v>LO</v>
      </c>
      <c r="F172" s="369">
        <f>VLOOKUP(C172,METADATA!$A$5:$H$29,IF(E172="HI",2,IF(E172="LO",6,10))+IF(D172=1,2,IF(D172=7,1,(IF(WEEKDAY(B172)=1,2,IF(WEEKDAY(B172)=7,1,0))))))</f>
        <v>3</v>
      </c>
      <c r="G172" s="369">
        <f>VLOOKUP(C172,METADATA!$J$5:$Q$29,IF(E172="HI",2,IF(E172="LO",6,10))+IF(D172=1,2,IF(D172=7,1,(IF(WEEKDAY(B172)=1,2,IF(WEEKDAY(B172)=7,1,0))))))</f>
        <v>3</v>
      </c>
      <c r="H172" s="370">
        <v>13549.305053710938</v>
      </c>
      <c r="I172" s="370">
        <v>2751.7405090332031</v>
      </c>
      <c r="M172" s="371">
        <f t="shared" si="9"/>
        <v>13825.908406595607</v>
      </c>
      <c r="N172" s="329">
        <f t="shared" si="10"/>
        <v>0</v>
      </c>
      <c r="T172" s="331">
        <v>0</v>
      </c>
      <c r="U172" s="328">
        <f>VLOOKUP(C172,METADATA!$J$5:$Q$29,IF(E172="HI",2,IF(E172="LO",6,10))+IF(T172=1,2,IF(D172=7,1,(IF(WEEKDAY(B172)=1,2,IF(WEEKDAY(B172)=7,1,0))))))</f>
        <v>3</v>
      </c>
      <c r="V172" s="328">
        <f>VLOOKUP(C172,METADATA!$A$5:$H$29,IF(E172="HI",2,IF(E172="LO",6,10))+IF(T172=1,2,IF(D172=7,1,(IF(WEEKDAY(B172)=1,2,IF(WEEKDAY(B172)=7,1,0))))))</f>
        <v>3</v>
      </c>
    </row>
    <row r="173" spans="2:22">
      <c r="B173" s="318">
        <f t="shared" si="11"/>
        <v>46120</v>
      </c>
      <c r="C173" s="312">
        <v>1</v>
      </c>
      <c r="D173" s="368">
        <f>IFERROR((INDEX(METADATA!$T$2:$T$20,MATCH(B173,METADATA!$S$2:$S$20,0))),0)</f>
        <v>0</v>
      </c>
      <c r="E173" s="312" t="str">
        <f t="shared" si="8"/>
        <v>LO</v>
      </c>
      <c r="F173" s="369">
        <f>VLOOKUP(C173,METADATA!$A$5:$H$29,IF(E173="HI",2,IF(E173="LO",6,10))+IF(D173=1,2,IF(D173=7,1,(IF(WEEKDAY(B173)=1,2,IF(WEEKDAY(B173)=7,1,0))))))</f>
        <v>3</v>
      </c>
      <c r="G173" s="369">
        <f>VLOOKUP(C173,METADATA!$J$5:$Q$29,IF(E173="HI",2,IF(E173="LO",6,10))+IF(D173=1,2,IF(D173=7,1,(IF(WEEKDAY(B173)=1,2,IF(WEEKDAY(B173)=7,1,0))))))</f>
        <v>3</v>
      </c>
      <c r="H173" s="370">
        <v>13479.13525390625</v>
      </c>
      <c r="I173" s="370">
        <v>2686.4440288543701</v>
      </c>
      <c r="M173" s="371">
        <f t="shared" si="9"/>
        <v>13744.237654859784</v>
      </c>
      <c r="N173" s="329">
        <f t="shared" si="10"/>
        <v>0</v>
      </c>
      <c r="T173" s="331">
        <v>0</v>
      </c>
      <c r="U173" s="328">
        <f>VLOOKUP(C173,METADATA!$J$5:$Q$29,IF(E173="HI",2,IF(E173="LO",6,10))+IF(T173=1,2,IF(D173=7,1,(IF(WEEKDAY(B173)=1,2,IF(WEEKDAY(B173)=7,1,0))))))</f>
        <v>3</v>
      </c>
      <c r="V173" s="328">
        <f>VLOOKUP(C173,METADATA!$A$5:$H$29,IF(E173="HI",2,IF(E173="LO",6,10))+IF(T173=1,2,IF(D173=7,1,(IF(WEEKDAY(B173)=1,2,IF(WEEKDAY(B173)=7,1,0))))))</f>
        <v>3</v>
      </c>
    </row>
    <row r="174" spans="2:22">
      <c r="B174" s="318">
        <f t="shared" si="11"/>
        <v>46120</v>
      </c>
      <c r="C174" s="312">
        <v>2</v>
      </c>
      <c r="D174" s="368">
        <f>IFERROR((INDEX(METADATA!$T$2:$T$20,MATCH(B174,METADATA!$S$2:$S$20,0))),0)</f>
        <v>0</v>
      </c>
      <c r="E174" s="312" t="str">
        <f t="shared" si="8"/>
        <v>LO</v>
      </c>
      <c r="F174" s="369">
        <f>VLOOKUP(C174,METADATA!$A$5:$H$29,IF(E174="HI",2,IF(E174="LO",6,10))+IF(D174=1,2,IF(D174=7,1,(IF(WEEKDAY(B174)=1,2,IF(WEEKDAY(B174)=7,1,0))))))</f>
        <v>3</v>
      </c>
      <c r="G174" s="369">
        <f>VLOOKUP(C174,METADATA!$J$5:$Q$29,IF(E174="HI",2,IF(E174="LO",6,10))+IF(D174=1,2,IF(D174=7,1,(IF(WEEKDAY(B174)=1,2,IF(WEEKDAY(B174)=7,1,0))))))</f>
        <v>3</v>
      </c>
      <c r="H174" s="370">
        <v>13401.39501953125</v>
      </c>
      <c r="I174" s="370">
        <v>2647.53244972229</v>
      </c>
      <c r="M174" s="371">
        <f t="shared" si="9"/>
        <v>13660.410555391427</v>
      </c>
      <c r="N174" s="329">
        <f t="shared" si="10"/>
        <v>0</v>
      </c>
      <c r="T174" s="331">
        <v>0</v>
      </c>
      <c r="U174" s="328">
        <f>VLOOKUP(C174,METADATA!$J$5:$Q$29,IF(E174="HI",2,IF(E174="LO",6,10))+IF(T174=1,2,IF(D174=7,1,(IF(WEEKDAY(B174)=1,2,IF(WEEKDAY(B174)=7,1,0))))))</f>
        <v>3</v>
      </c>
      <c r="V174" s="328">
        <f>VLOOKUP(C174,METADATA!$A$5:$H$29,IF(E174="HI",2,IF(E174="LO",6,10))+IF(T174=1,2,IF(D174=7,1,(IF(WEEKDAY(B174)=1,2,IF(WEEKDAY(B174)=7,1,0))))))</f>
        <v>3</v>
      </c>
    </row>
    <row r="175" spans="2:22">
      <c r="B175" s="318">
        <f t="shared" si="11"/>
        <v>46120</v>
      </c>
      <c r="C175" s="312">
        <v>3</v>
      </c>
      <c r="D175" s="368">
        <f>IFERROR((INDEX(METADATA!$T$2:$T$20,MATCH(B175,METADATA!$S$2:$S$20,0))),0)</f>
        <v>0</v>
      </c>
      <c r="E175" s="312" t="str">
        <f t="shared" si="8"/>
        <v>LO</v>
      </c>
      <c r="F175" s="369">
        <f>VLOOKUP(C175,METADATA!$A$5:$H$29,IF(E175="HI",2,IF(E175="LO",6,10))+IF(D175=1,2,IF(D175=7,1,(IF(WEEKDAY(B175)=1,2,IF(WEEKDAY(B175)=7,1,0))))))</f>
        <v>3</v>
      </c>
      <c r="G175" s="369">
        <f>VLOOKUP(C175,METADATA!$J$5:$Q$29,IF(E175="HI",2,IF(E175="LO",6,10))+IF(D175=1,2,IF(D175=7,1,(IF(WEEKDAY(B175)=1,2,IF(WEEKDAY(B175)=7,1,0))))))</f>
        <v>3</v>
      </c>
      <c r="H175" s="370">
        <v>13422.345092773438</v>
      </c>
      <c r="I175" s="370">
        <v>2617.6810626983643</v>
      </c>
      <c r="M175" s="371">
        <f t="shared" si="9"/>
        <v>13675.218533373014</v>
      </c>
      <c r="N175" s="329">
        <f t="shared" si="10"/>
        <v>0</v>
      </c>
      <c r="T175" s="331">
        <v>0</v>
      </c>
      <c r="U175" s="328">
        <f>VLOOKUP(C175,METADATA!$J$5:$Q$29,IF(E175="HI",2,IF(E175="LO",6,10))+IF(T175=1,2,IF(D175=7,1,(IF(WEEKDAY(B175)=1,2,IF(WEEKDAY(B175)=7,1,0))))))</f>
        <v>3</v>
      </c>
      <c r="V175" s="328">
        <f>VLOOKUP(C175,METADATA!$A$5:$H$29,IF(E175="HI",2,IF(E175="LO",6,10))+IF(T175=1,2,IF(D175=7,1,(IF(WEEKDAY(B175)=1,2,IF(WEEKDAY(B175)=7,1,0))))))</f>
        <v>3</v>
      </c>
    </row>
    <row r="176" spans="2:22">
      <c r="B176" s="318">
        <f t="shared" si="11"/>
        <v>46120</v>
      </c>
      <c r="C176" s="312">
        <v>4</v>
      </c>
      <c r="D176" s="368">
        <f>IFERROR((INDEX(METADATA!$T$2:$T$20,MATCH(B176,METADATA!$S$2:$S$20,0))),0)</f>
        <v>0</v>
      </c>
      <c r="E176" s="312" t="str">
        <f t="shared" si="8"/>
        <v>LO</v>
      </c>
      <c r="F176" s="369">
        <f>VLOOKUP(C176,METADATA!$A$5:$H$29,IF(E176="HI",2,IF(E176="LO",6,10))+IF(D176=1,2,IF(D176=7,1,(IF(WEEKDAY(B176)=1,2,IF(WEEKDAY(B176)=7,1,0))))))</f>
        <v>3</v>
      </c>
      <c r="G176" s="369">
        <f>VLOOKUP(C176,METADATA!$J$5:$Q$29,IF(E176="HI",2,IF(E176="LO",6,10))+IF(D176=1,2,IF(D176=7,1,(IF(WEEKDAY(B176)=1,2,IF(WEEKDAY(B176)=7,1,0))))))</f>
        <v>3</v>
      </c>
      <c r="H176" s="370">
        <v>13439.090148925781</v>
      </c>
      <c r="I176" s="370">
        <v>2657.9758968353271</v>
      </c>
      <c r="M176" s="371">
        <f t="shared" si="9"/>
        <v>13699.415312308462</v>
      </c>
      <c r="N176" s="329">
        <f t="shared" si="10"/>
        <v>0</v>
      </c>
      <c r="T176" s="331">
        <v>0</v>
      </c>
      <c r="U176" s="328">
        <f>VLOOKUP(C176,METADATA!$J$5:$Q$29,IF(E176="HI",2,IF(E176="LO",6,10))+IF(T176=1,2,IF(D176=7,1,(IF(WEEKDAY(B176)=1,2,IF(WEEKDAY(B176)=7,1,0))))))</f>
        <v>3</v>
      </c>
      <c r="V176" s="328">
        <f>VLOOKUP(C176,METADATA!$A$5:$H$29,IF(E176="HI",2,IF(E176="LO",6,10))+IF(T176=1,2,IF(D176=7,1,(IF(WEEKDAY(B176)=1,2,IF(WEEKDAY(B176)=7,1,0))))))</f>
        <v>3</v>
      </c>
    </row>
    <row r="177" spans="2:22">
      <c r="B177" s="318">
        <f t="shared" si="11"/>
        <v>46120</v>
      </c>
      <c r="C177" s="312">
        <v>5</v>
      </c>
      <c r="D177" s="368">
        <f>IFERROR((INDEX(METADATA!$T$2:$T$20,MATCH(B177,METADATA!$S$2:$S$20,0))),0)</f>
        <v>0</v>
      </c>
      <c r="E177" s="312" t="str">
        <f t="shared" si="8"/>
        <v>LO</v>
      </c>
      <c r="F177" s="369">
        <f>VLOOKUP(C177,METADATA!$A$5:$H$29,IF(E177="HI",2,IF(E177="LO",6,10))+IF(D177=1,2,IF(D177=7,1,(IF(WEEKDAY(B177)=1,2,IF(WEEKDAY(B177)=7,1,0))))))</f>
        <v>3</v>
      </c>
      <c r="G177" s="369">
        <f>VLOOKUP(C177,METADATA!$J$5:$Q$29,IF(E177="HI",2,IF(E177="LO",6,10))+IF(D177=1,2,IF(D177=7,1,(IF(WEEKDAY(B177)=1,2,IF(WEEKDAY(B177)=7,1,0))))))</f>
        <v>3</v>
      </c>
      <c r="H177" s="370">
        <v>13388.655212402344</v>
      </c>
      <c r="I177" s="370">
        <v>2638.0289554595947</v>
      </c>
      <c r="M177" s="371">
        <f t="shared" si="9"/>
        <v>13646.072151591157</v>
      </c>
      <c r="N177" s="329">
        <f t="shared" si="10"/>
        <v>0</v>
      </c>
      <c r="T177" s="331">
        <v>0</v>
      </c>
      <c r="U177" s="328">
        <f>VLOOKUP(C177,METADATA!$J$5:$Q$29,IF(E177="HI",2,IF(E177="LO",6,10))+IF(T177=1,2,IF(D177=7,1,(IF(WEEKDAY(B177)=1,2,IF(WEEKDAY(B177)=7,1,0))))))</f>
        <v>3</v>
      </c>
      <c r="V177" s="328">
        <f>VLOOKUP(C177,METADATA!$A$5:$H$29,IF(E177="HI",2,IF(E177="LO",6,10))+IF(T177=1,2,IF(D177=7,1,(IF(WEEKDAY(B177)=1,2,IF(WEEKDAY(B177)=7,1,0))))))</f>
        <v>3</v>
      </c>
    </row>
    <row r="178" spans="2:22">
      <c r="B178" s="318">
        <f t="shared" si="11"/>
        <v>46120</v>
      </c>
      <c r="C178" s="312">
        <v>6</v>
      </c>
      <c r="D178" s="368">
        <f>IFERROR((INDEX(METADATA!$T$2:$T$20,MATCH(B178,METADATA!$S$2:$S$20,0))),0)</f>
        <v>0</v>
      </c>
      <c r="E178" s="312" t="str">
        <f t="shared" si="8"/>
        <v>LO</v>
      </c>
      <c r="F178" s="369">
        <f>VLOOKUP(C178,METADATA!$A$5:$H$29,IF(E178="HI",2,IF(E178="LO",6,10))+IF(D178=1,2,IF(D178=7,1,(IF(WEEKDAY(B178)=1,2,IF(WEEKDAY(B178)=7,1,0))))))</f>
        <v>2</v>
      </c>
      <c r="G178" s="369">
        <f>VLOOKUP(C178,METADATA!$J$5:$Q$29,IF(E178="HI",2,IF(E178="LO",6,10))+IF(D178=1,2,IF(D178=7,1,(IF(WEEKDAY(B178)=1,2,IF(WEEKDAY(B178)=7,1,0))))))</f>
        <v>2</v>
      </c>
      <c r="H178" s="370">
        <v>12716.72509765625</v>
      </c>
      <c r="I178" s="370">
        <v>2534.331570148468</v>
      </c>
      <c r="M178" s="371">
        <f t="shared" si="9"/>
        <v>12966.801213746263</v>
      </c>
      <c r="N178" s="329">
        <f t="shared" si="10"/>
        <v>0</v>
      </c>
      <c r="T178" s="331">
        <v>0</v>
      </c>
      <c r="U178" s="328">
        <f>VLOOKUP(C178,METADATA!$J$5:$Q$29,IF(E178="HI",2,IF(E178="LO",6,10))+IF(T178=1,2,IF(D178=7,1,(IF(WEEKDAY(B178)=1,2,IF(WEEKDAY(B178)=7,1,0))))))</f>
        <v>2</v>
      </c>
      <c r="V178" s="328">
        <f>VLOOKUP(C178,METADATA!$A$5:$H$29,IF(E178="HI",2,IF(E178="LO",6,10))+IF(T178=1,2,IF(D178=7,1,(IF(WEEKDAY(B178)=1,2,IF(WEEKDAY(B178)=7,1,0))))))</f>
        <v>2</v>
      </c>
    </row>
    <row r="179" spans="2:22">
      <c r="B179" s="318">
        <f t="shared" si="11"/>
        <v>46120</v>
      </c>
      <c r="C179" s="312">
        <v>7</v>
      </c>
      <c r="D179" s="368">
        <f>IFERROR((INDEX(METADATA!$T$2:$T$20,MATCH(B179,METADATA!$S$2:$S$20,0))),0)</f>
        <v>0</v>
      </c>
      <c r="E179" s="312" t="str">
        <f t="shared" si="8"/>
        <v>LO</v>
      </c>
      <c r="F179" s="369">
        <f>VLOOKUP(C179,METADATA!$A$5:$H$29,IF(E179="HI",2,IF(E179="LO",6,10))+IF(D179=1,2,IF(D179=7,1,(IF(WEEKDAY(B179)=1,2,IF(WEEKDAY(B179)=7,1,0))))))</f>
        <v>1</v>
      </c>
      <c r="G179" s="369">
        <f>VLOOKUP(C179,METADATA!$J$5:$Q$29,IF(E179="HI",2,IF(E179="LO",6,10))+IF(D179=1,2,IF(D179=7,1,(IF(WEEKDAY(B179)=1,2,IF(WEEKDAY(B179)=7,1,0))))))</f>
        <v>1</v>
      </c>
      <c r="H179" s="370">
        <v>12305.959838867188</v>
      </c>
      <c r="I179" s="370">
        <v>2446.343993127346</v>
      </c>
      <c r="M179" s="371">
        <f t="shared" si="9"/>
        <v>12546.762390693561</v>
      </c>
      <c r="N179" s="329">
        <f t="shared" si="10"/>
        <v>0</v>
      </c>
      <c r="T179" s="331">
        <v>0</v>
      </c>
      <c r="U179" s="328">
        <f>VLOOKUP(C179,METADATA!$J$5:$Q$29,IF(E179="HI",2,IF(E179="LO",6,10))+IF(T179=1,2,IF(D179=7,1,(IF(WEEKDAY(B179)=1,2,IF(WEEKDAY(B179)=7,1,0))))))</f>
        <v>1</v>
      </c>
      <c r="V179" s="328">
        <f>VLOOKUP(C179,METADATA!$A$5:$H$29,IF(E179="HI",2,IF(E179="LO",6,10))+IF(T179=1,2,IF(D179=7,1,(IF(WEEKDAY(B179)=1,2,IF(WEEKDAY(B179)=7,1,0))))))</f>
        <v>1</v>
      </c>
    </row>
    <row r="180" spans="2:22">
      <c r="B180" s="318">
        <f t="shared" si="11"/>
        <v>46120</v>
      </c>
      <c r="C180" s="312">
        <v>8</v>
      </c>
      <c r="D180" s="368">
        <f>IFERROR((INDEX(METADATA!$T$2:$T$20,MATCH(B180,METADATA!$S$2:$S$20,0))),0)</f>
        <v>0</v>
      </c>
      <c r="E180" s="312" t="str">
        <f t="shared" si="8"/>
        <v>LO</v>
      </c>
      <c r="F180" s="369">
        <f>VLOOKUP(C180,METADATA!$A$5:$H$29,IF(E180="HI",2,IF(E180="LO",6,10))+IF(D180=1,2,IF(D180=7,1,(IF(WEEKDAY(B180)=1,2,IF(WEEKDAY(B180)=7,1,0))))))</f>
        <v>1</v>
      </c>
      <c r="G180" s="369">
        <f>VLOOKUP(C180,METADATA!$J$5:$Q$29,IF(E180="HI",2,IF(E180="LO",6,10))+IF(D180=1,2,IF(D180=7,1,(IF(WEEKDAY(B180)=1,2,IF(WEEKDAY(B180)=7,1,0))))))</f>
        <v>1</v>
      </c>
      <c r="H180" s="370">
        <v>13557.5595703125</v>
      </c>
      <c r="I180" s="370">
        <v>2813.7799415588379</v>
      </c>
      <c r="M180" s="371">
        <f t="shared" si="9"/>
        <v>13846.471718892539</v>
      </c>
      <c r="N180" s="329">
        <f t="shared" si="10"/>
        <v>0</v>
      </c>
      <c r="T180" s="331">
        <v>0</v>
      </c>
      <c r="U180" s="328">
        <f>VLOOKUP(C180,METADATA!$J$5:$Q$29,IF(E180="HI",2,IF(E180="LO",6,10))+IF(T180=1,2,IF(D180=7,1,(IF(WEEKDAY(B180)=1,2,IF(WEEKDAY(B180)=7,1,0))))))</f>
        <v>1</v>
      </c>
      <c r="V180" s="328">
        <f>VLOOKUP(C180,METADATA!$A$5:$H$29,IF(E180="HI",2,IF(E180="LO",6,10))+IF(T180=1,2,IF(D180=7,1,(IF(WEEKDAY(B180)=1,2,IF(WEEKDAY(B180)=7,1,0))))))</f>
        <v>1</v>
      </c>
    </row>
    <row r="181" spans="2:22">
      <c r="B181" s="318">
        <f t="shared" si="11"/>
        <v>46120</v>
      </c>
      <c r="C181" s="312">
        <v>9</v>
      </c>
      <c r="D181" s="368">
        <f>IFERROR((INDEX(METADATA!$T$2:$T$20,MATCH(B181,METADATA!$S$2:$S$20,0))),0)</f>
        <v>0</v>
      </c>
      <c r="E181" s="312" t="str">
        <f t="shared" si="8"/>
        <v>LO</v>
      </c>
      <c r="F181" s="369">
        <f>VLOOKUP(C181,METADATA!$A$5:$H$29,IF(E181="HI",2,IF(E181="LO",6,10))+IF(D181=1,2,IF(D181=7,1,(IF(WEEKDAY(B181)=1,2,IF(WEEKDAY(B181)=7,1,0))))))</f>
        <v>2</v>
      </c>
      <c r="G181" s="369">
        <f>VLOOKUP(C181,METADATA!$J$5:$Q$29,IF(E181="HI",2,IF(E181="LO",6,10))+IF(D181=1,2,IF(D181=7,1,(IF(WEEKDAY(B181)=1,2,IF(WEEKDAY(B181)=7,1,0))))))</f>
        <v>2</v>
      </c>
      <c r="H181" s="370">
        <v>13491.414672851563</v>
      </c>
      <c r="I181" s="370">
        <v>2815.2724990844727</v>
      </c>
      <c r="M181" s="371">
        <f t="shared" si="9"/>
        <v>13782.018325301115</v>
      </c>
      <c r="N181" s="329">
        <f t="shared" si="10"/>
        <v>0</v>
      </c>
      <c r="T181" s="331">
        <v>0</v>
      </c>
      <c r="U181" s="328">
        <f>VLOOKUP(C181,METADATA!$J$5:$Q$29,IF(E181="HI",2,IF(E181="LO",6,10))+IF(T181=1,2,IF(D181=7,1,(IF(WEEKDAY(B181)=1,2,IF(WEEKDAY(B181)=7,1,0))))))</f>
        <v>2</v>
      </c>
      <c r="V181" s="328">
        <f>VLOOKUP(C181,METADATA!$A$5:$H$29,IF(E181="HI",2,IF(E181="LO",6,10))+IF(T181=1,2,IF(D181=7,1,(IF(WEEKDAY(B181)=1,2,IF(WEEKDAY(B181)=7,1,0))))))</f>
        <v>2</v>
      </c>
    </row>
    <row r="182" spans="2:22">
      <c r="B182" s="318">
        <f t="shared" si="11"/>
        <v>46120</v>
      </c>
      <c r="C182" s="312">
        <v>10</v>
      </c>
      <c r="D182" s="368">
        <f>IFERROR((INDEX(METADATA!$T$2:$T$20,MATCH(B182,METADATA!$S$2:$S$20,0))),0)</f>
        <v>0</v>
      </c>
      <c r="E182" s="312" t="str">
        <f t="shared" si="8"/>
        <v>LO</v>
      </c>
      <c r="F182" s="369">
        <f>VLOOKUP(C182,METADATA!$A$5:$H$29,IF(E182="HI",2,IF(E182="LO",6,10))+IF(D182=1,2,IF(D182=7,1,(IF(WEEKDAY(B182)=1,2,IF(WEEKDAY(B182)=7,1,0))))))</f>
        <v>2</v>
      </c>
      <c r="G182" s="369">
        <f>VLOOKUP(C182,METADATA!$J$5:$Q$29,IF(E182="HI",2,IF(E182="LO",6,10))+IF(D182=1,2,IF(D182=7,1,(IF(WEEKDAY(B182)=1,2,IF(WEEKDAY(B182)=7,1,0))))))</f>
        <v>2</v>
      </c>
      <c r="H182" s="370">
        <v>13435.9150390625</v>
      </c>
      <c r="I182" s="370">
        <v>2827.17600440979</v>
      </c>
      <c r="M182" s="371">
        <f t="shared" si="9"/>
        <v>13730.139733331791</v>
      </c>
      <c r="N182" s="329">
        <f t="shared" si="10"/>
        <v>0</v>
      </c>
      <c r="T182" s="331">
        <v>0</v>
      </c>
      <c r="U182" s="328">
        <f>VLOOKUP(C182,METADATA!$J$5:$Q$29,IF(E182="HI",2,IF(E182="LO",6,10))+IF(T182=1,2,IF(D182=7,1,(IF(WEEKDAY(B182)=1,2,IF(WEEKDAY(B182)=7,1,0))))))</f>
        <v>2</v>
      </c>
      <c r="V182" s="328">
        <f>VLOOKUP(C182,METADATA!$A$5:$H$29,IF(E182="HI",2,IF(E182="LO",6,10))+IF(T182=1,2,IF(D182=7,1,(IF(WEEKDAY(B182)=1,2,IF(WEEKDAY(B182)=7,1,0))))))</f>
        <v>2</v>
      </c>
    </row>
    <row r="183" spans="2:22">
      <c r="B183" s="318">
        <f t="shared" si="11"/>
        <v>46120</v>
      </c>
      <c r="C183" s="312">
        <v>11</v>
      </c>
      <c r="D183" s="368">
        <f>IFERROR((INDEX(METADATA!$T$2:$T$20,MATCH(B183,METADATA!$S$2:$S$20,0))),0)</f>
        <v>0</v>
      </c>
      <c r="E183" s="312" t="str">
        <f t="shared" si="8"/>
        <v>LO</v>
      </c>
      <c r="F183" s="369">
        <f>VLOOKUP(C183,METADATA!$A$5:$H$29,IF(E183="HI",2,IF(E183="LO",6,10))+IF(D183=1,2,IF(D183=7,1,(IF(WEEKDAY(B183)=1,2,IF(WEEKDAY(B183)=7,1,0))))))</f>
        <v>2</v>
      </c>
      <c r="G183" s="369">
        <f>VLOOKUP(C183,METADATA!$J$5:$Q$29,IF(E183="HI",2,IF(E183="LO",6,10))+IF(D183=1,2,IF(D183=7,1,(IF(WEEKDAY(B183)=1,2,IF(WEEKDAY(B183)=7,1,0))))))</f>
        <v>2</v>
      </c>
      <c r="H183" s="370">
        <v>13515.079895019531</v>
      </c>
      <c r="I183" s="370">
        <v>2804.2330894470215</v>
      </c>
      <c r="M183" s="371">
        <f t="shared" si="9"/>
        <v>13802.938375168917</v>
      </c>
      <c r="N183" s="329">
        <f t="shared" si="10"/>
        <v>0</v>
      </c>
      <c r="T183" s="331">
        <v>0</v>
      </c>
      <c r="U183" s="328">
        <f>VLOOKUP(C183,METADATA!$J$5:$Q$29,IF(E183="HI",2,IF(E183="LO",6,10))+IF(T183=1,2,IF(D183=7,1,(IF(WEEKDAY(B183)=1,2,IF(WEEKDAY(B183)=7,1,0))))))</f>
        <v>2</v>
      </c>
      <c r="V183" s="328">
        <f>VLOOKUP(C183,METADATA!$A$5:$H$29,IF(E183="HI",2,IF(E183="LO",6,10))+IF(T183=1,2,IF(D183=7,1,(IF(WEEKDAY(B183)=1,2,IF(WEEKDAY(B183)=7,1,0))))))</f>
        <v>2</v>
      </c>
    </row>
    <row r="184" spans="2:22">
      <c r="B184" s="318">
        <f t="shared" si="11"/>
        <v>46120</v>
      </c>
      <c r="C184" s="312">
        <v>12</v>
      </c>
      <c r="D184" s="368">
        <f>IFERROR((INDEX(METADATA!$T$2:$T$20,MATCH(B184,METADATA!$S$2:$S$20,0))),0)</f>
        <v>0</v>
      </c>
      <c r="E184" s="312" t="str">
        <f t="shared" si="8"/>
        <v>LO</v>
      </c>
      <c r="F184" s="369">
        <f>VLOOKUP(C184,METADATA!$A$5:$H$29,IF(E184="HI",2,IF(E184="LO",6,10))+IF(D184=1,2,IF(D184=7,1,(IF(WEEKDAY(B184)=1,2,IF(WEEKDAY(B184)=7,1,0))))))</f>
        <v>2</v>
      </c>
      <c r="G184" s="369">
        <f>VLOOKUP(C184,METADATA!$J$5:$Q$29,IF(E184="HI",2,IF(E184="LO",6,10))+IF(D184=1,2,IF(D184=7,1,(IF(WEEKDAY(B184)=1,2,IF(WEEKDAY(B184)=7,1,0))))))</f>
        <v>2</v>
      </c>
      <c r="H184" s="370">
        <v>13466.685180664063</v>
      </c>
      <c r="I184" s="370">
        <v>2872.3930644989014</v>
      </c>
      <c r="M184" s="371">
        <f t="shared" si="9"/>
        <v>13769.613345047073</v>
      </c>
      <c r="N184" s="329">
        <f t="shared" si="10"/>
        <v>0</v>
      </c>
      <c r="T184" s="331">
        <v>0</v>
      </c>
      <c r="U184" s="328">
        <f>VLOOKUP(C184,METADATA!$J$5:$Q$29,IF(E184="HI",2,IF(E184="LO",6,10))+IF(T184=1,2,IF(D184=7,1,(IF(WEEKDAY(B184)=1,2,IF(WEEKDAY(B184)=7,1,0))))))</f>
        <v>2</v>
      </c>
      <c r="V184" s="328">
        <f>VLOOKUP(C184,METADATA!$A$5:$H$29,IF(E184="HI",2,IF(E184="LO",6,10))+IF(T184=1,2,IF(D184=7,1,(IF(WEEKDAY(B184)=1,2,IF(WEEKDAY(B184)=7,1,0))))))</f>
        <v>2</v>
      </c>
    </row>
    <row r="185" spans="2:22">
      <c r="B185" s="318">
        <f t="shared" si="11"/>
        <v>46120</v>
      </c>
      <c r="C185" s="312">
        <v>13</v>
      </c>
      <c r="D185" s="368">
        <f>IFERROR((INDEX(METADATA!$T$2:$T$20,MATCH(B185,METADATA!$S$2:$S$20,0))),0)</f>
        <v>0</v>
      </c>
      <c r="E185" s="312" t="str">
        <f t="shared" si="8"/>
        <v>LO</v>
      </c>
      <c r="F185" s="369">
        <f>VLOOKUP(C185,METADATA!$A$5:$H$29,IF(E185="HI",2,IF(E185="LO",6,10))+IF(D185=1,2,IF(D185=7,1,(IF(WEEKDAY(B185)=1,2,IF(WEEKDAY(B185)=7,1,0))))))</f>
        <v>2</v>
      </c>
      <c r="G185" s="369">
        <f>VLOOKUP(C185,METADATA!$J$5:$Q$29,IF(E185="HI",2,IF(E185="LO",6,10))+IF(D185=1,2,IF(D185=7,1,(IF(WEEKDAY(B185)=1,2,IF(WEEKDAY(B185)=7,1,0))))))</f>
        <v>2</v>
      </c>
      <c r="H185" s="370">
        <v>13374.354919433594</v>
      </c>
      <c r="I185" s="370">
        <v>2871.2399673461914</v>
      </c>
      <c r="M185" s="371">
        <f t="shared" si="9"/>
        <v>13679.085805018685</v>
      </c>
      <c r="N185" s="329">
        <f t="shared" si="10"/>
        <v>0</v>
      </c>
      <c r="T185" s="331">
        <v>0</v>
      </c>
      <c r="U185" s="328">
        <f>VLOOKUP(C185,METADATA!$J$5:$Q$29,IF(E185="HI",2,IF(E185="LO",6,10))+IF(T185=1,2,IF(D185=7,1,(IF(WEEKDAY(B185)=1,2,IF(WEEKDAY(B185)=7,1,0))))))</f>
        <v>2</v>
      </c>
      <c r="V185" s="328">
        <f>VLOOKUP(C185,METADATA!$A$5:$H$29,IF(E185="HI",2,IF(E185="LO",6,10))+IF(T185=1,2,IF(D185=7,1,(IF(WEEKDAY(B185)=1,2,IF(WEEKDAY(B185)=7,1,0))))))</f>
        <v>2</v>
      </c>
    </row>
    <row r="186" spans="2:22">
      <c r="B186" s="318">
        <f t="shared" si="11"/>
        <v>46120</v>
      </c>
      <c r="C186" s="312">
        <v>14</v>
      </c>
      <c r="D186" s="368">
        <f>IFERROR((INDEX(METADATA!$T$2:$T$20,MATCH(B186,METADATA!$S$2:$S$20,0))),0)</f>
        <v>0</v>
      </c>
      <c r="E186" s="312" t="str">
        <f t="shared" si="8"/>
        <v>LO</v>
      </c>
      <c r="F186" s="369">
        <f>VLOOKUP(C186,METADATA!$A$5:$H$29,IF(E186="HI",2,IF(E186="LO",6,10))+IF(D186=1,2,IF(D186=7,1,(IF(WEEKDAY(B186)=1,2,IF(WEEKDAY(B186)=7,1,0))))))</f>
        <v>2</v>
      </c>
      <c r="G186" s="369">
        <f>VLOOKUP(C186,METADATA!$J$5:$Q$29,IF(E186="HI",2,IF(E186="LO",6,10))+IF(D186=1,2,IF(D186=7,1,(IF(WEEKDAY(B186)=1,2,IF(WEEKDAY(B186)=7,1,0))))))</f>
        <v>2</v>
      </c>
      <c r="H186" s="370">
        <v>13345.095092773438</v>
      </c>
      <c r="I186" s="370">
        <v>2841.8639640808105</v>
      </c>
      <c r="M186" s="371">
        <f t="shared" si="9"/>
        <v>13644.330464537525</v>
      </c>
      <c r="N186" s="329">
        <f t="shared" si="10"/>
        <v>0</v>
      </c>
      <c r="T186" s="331">
        <v>0</v>
      </c>
      <c r="U186" s="328">
        <f>VLOOKUP(C186,METADATA!$J$5:$Q$29,IF(E186="HI",2,IF(E186="LO",6,10))+IF(T186=1,2,IF(D186=7,1,(IF(WEEKDAY(B186)=1,2,IF(WEEKDAY(B186)=7,1,0))))))</f>
        <v>2</v>
      </c>
      <c r="V186" s="328">
        <f>VLOOKUP(C186,METADATA!$A$5:$H$29,IF(E186="HI",2,IF(E186="LO",6,10))+IF(T186=1,2,IF(D186=7,1,(IF(WEEKDAY(B186)=1,2,IF(WEEKDAY(B186)=7,1,0))))))</f>
        <v>2</v>
      </c>
    </row>
    <row r="187" spans="2:22">
      <c r="B187" s="318">
        <f t="shared" si="11"/>
        <v>46120</v>
      </c>
      <c r="C187" s="312">
        <v>15</v>
      </c>
      <c r="D187" s="368">
        <f>IFERROR((INDEX(METADATA!$T$2:$T$20,MATCH(B187,METADATA!$S$2:$S$20,0))),0)</f>
        <v>0</v>
      </c>
      <c r="E187" s="312" t="str">
        <f t="shared" si="8"/>
        <v>LO</v>
      </c>
      <c r="F187" s="369">
        <f>VLOOKUP(C187,METADATA!$A$5:$H$29,IF(E187="HI",2,IF(E187="LO",6,10))+IF(D187=1,2,IF(D187=7,1,(IF(WEEKDAY(B187)=1,2,IF(WEEKDAY(B187)=7,1,0))))))</f>
        <v>2</v>
      </c>
      <c r="G187" s="369">
        <f>VLOOKUP(C187,METADATA!$J$5:$Q$29,IF(E187="HI",2,IF(E187="LO",6,10))+IF(D187=1,2,IF(D187=7,1,(IF(WEEKDAY(B187)=1,2,IF(WEEKDAY(B187)=7,1,0))))))</f>
        <v>2</v>
      </c>
      <c r="H187" s="370">
        <v>13214.530517578125</v>
      </c>
      <c r="I187" s="370">
        <v>2818.871021270752</v>
      </c>
      <c r="M187" s="371">
        <f t="shared" si="9"/>
        <v>13511.841126751144</v>
      </c>
      <c r="N187" s="329">
        <f t="shared" si="10"/>
        <v>0</v>
      </c>
      <c r="T187" s="331">
        <v>0</v>
      </c>
      <c r="U187" s="328">
        <f>VLOOKUP(C187,METADATA!$J$5:$Q$29,IF(E187="HI",2,IF(E187="LO",6,10))+IF(T187=1,2,IF(D187=7,1,(IF(WEEKDAY(B187)=1,2,IF(WEEKDAY(B187)=7,1,0))))))</f>
        <v>2</v>
      </c>
      <c r="V187" s="328">
        <f>VLOOKUP(C187,METADATA!$A$5:$H$29,IF(E187="HI",2,IF(E187="LO",6,10))+IF(T187=1,2,IF(D187=7,1,(IF(WEEKDAY(B187)=1,2,IF(WEEKDAY(B187)=7,1,0))))))</f>
        <v>2</v>
      </c>
    </row>
    <row r="188" spans="2:22">
      <c r="B188" s="318">
        <f t="shared" si="11"/>
        <v>46120</v>
      </c>
      <c r="C188" s="312">
        <v>16</v>
      </c>
      <c r="D188" s="368">
        <f>IFERROR((INDEX(METADATA!$T$2:$T$20,MATCH(B188,METADATA!$S$2:$S$20,0))),0)</f>
        <v>0</v>
      </c>
      <c r="E188" s="312" t="str">
        <f t="shared" si="8"/>
        <v>LO</v>
      </c>
      <c r="F188" s="369">
        <f>VLOOKUP(C188,METADATA!$A$5:$H$29,IF(E188="HI",2,IF(E188="LO",6,10))+IF(D188=1,2,IF(D188=7,1,(IF(WEEKDAY(B188)=1,2,IF(WEEKDAY(B188)=7,1,0))))))</f>
        <v>2</v>
      </c>
      <c r="G188" s="369">
        <f>VLOOKUP(C188,METADATA!$J$5:$Q$29,IF(E188="HI",2,IF(E188="LO",6,10))+IF(D188=1,2,IF(D188=7,1,(IF(WEEKDAY(B188)=1,2,IF(WEEKDAY(B188)=7,1,0))))))</f>
        <v>2</v>
      </c>
      <c r="H188" s="370">
        <v>12951.770202636719</v>
      </c>
      <c r="I188" s="370">
        <v>2716.7290172576904</v>
      </c>
      <c r="M188" s="371">
        <f t="shared" si="9"/>
        <v>13233.630187334022</v>
      </c>
      <c r="N188" s="329">
        <f t="shared" si="10"/>
        <v>0</v>
      </c>
      <c r="T188" s="331">
        <v>0</v>
      </c>
      <c r="U188" s="328">
        <f>VLOOKUP(C188,METADATA!$J$5:$Q$29,IF(E188="HI",2,IF(E188="LO",6,10))+IF(T188=1,2,IF(D188=7,1,(IF(WEEKDAY(B188)=1,2,IF(WEEKDAY(B188)=7,1,0))))))</f>
        <v>2</v>
      </c>
      <c r="V188" s="328">
        <f>VLOOKUP(C188,METADATA!$A$5:$H$29,IF(E188="HI",2,IF(E188="LO",6,10))+IF(T188=1,2,IF(D188=7,1,(IF(WEEKDAY(B188)=1,2,IF(WEEKDAY(B188)=7,1,0))))))</f>
        <v>2</v>
      </c>
    </row>
    <row r="189" spans="2:22">
      <c r="B189" s="318">
        <f t="shared" si="11"/>
        <v>46120</v>
      </c>
      <c r="C189" s="312">
        <v>17</v>
      </c>
      <c r="D189" s="368">
        <f>IFERROR((INDEX(METADATA!$T$2:$T$20,MATCH(B189,METADATA!$S$2:$S$20,0))),0)</f>
        <v>0</v>
      </c>
      <c r="E189" s="312" t="str">
        <f t="shared" si="8"/>
        <v>LO</v>
      </c>
      <c r="F189" s="369">
        <f>VLOOKUP(C189,METADATA!$A$5:$H$29,IF(E189="HI",2,IF(E189="LO",6,10))+IF(D189=1,2,IF(D189=7,1,(IF(WEEKDAY(B189)=1,2,IF(WEEKDAY(B189)=7,1,0))))))</f>
        <v>2</v>
      </c>
      <c r="G189" s="369">
        <f>VLOOKUP(C189,METADATA!$J$5:$Q$29,IF(E189="HI",2,IF(E189="LO",6,10))+IF(D189=1,2,IF(D189=7,1,(IF(WEEKDAY(B189)=1,2,IF(WEEKDAY(B189)=7,1,0))))))</f>
        <v>2</v>
      </c>
      <c r="H189" s="370">
        <v>6269.6474914550781</v>
      </c>
      <c r="I189" s="370">
        <v>12.913499593734741</v>
      </c>
      <c r="M189" s="371">
        <f t="shared" si="9"/>
        <v>6269.6607903124004</v>
      </c>
      <c r="N189" s="329">
        <f t="shared" si="10"/>
        <v>0</v>
      </c>
      <c r="T189" s="331">
        <v>0</v>
      </c>
      <c r="U189" s="328">
        <f>VLOOKUP(C189,METADATA!$J$5:$Q$29,IF(E189="HI",2,IF(E189="LO",6,10))+IF(T189=1,2,IF(D189=7,1,(IF(WEEKDAY(B189)=1,2,IF(WEEKDAY(B189)=7,1,0))))))</f>
        <v>2</v>
      </c>
      <c r="V189" s="328">
        <f>VLOOKUP(C189,METADATA!$A$5:$H$29,IF(E189="HI",2,IF(E189="LO",6,10))+IF(T189=1,2,IF(D189=7,1,(IF(WEEKDAY(B189)=1,2,IF(WEEKDAY(B189)=7,1,0))))))</f>
        <v>2</v>
      </c>
    </row>
    <row r="190" spans="2:22">
      <c r="B190" s="318">
        <f t="shared" si="11"/>
        <v>46120</v>
      </c>
      <c r="C190" s="312">
        <v>18</v>
      </c>
      <c r="D190" s="368">
        <f>IFERROR((INDEX(METADATA!$T$2:$T$20,MATCH(B190,METADATA!$S$2:$S$20,0))),0)</f>
        <v>0</v>
      </c>
      <c r="E190" s="312" t="str">
        <f t="shared" si="8"/>
        <v>LO</v>
      </c>
      <c r="F190" s="369">
        <f>VLOOKUP(C190,METADATA!$A$5:$H$29,IF(E190="HI",2,IF(E190="LO",6,10))+IF(D190=1,2,IF(D190=7,1,(IF(WEEKDAY(B190)=1,2,IF(WEEKDAY(B190)=7,1,0))))))</f>
        <v>1</v>
      </c>
      <c r="G190" s="369">
        <f>VLOOKUP(C190,METADATA!$J$5:$Q$29,IF(E190="HI",2,IF(E190="LO",6,10))+IF(D190=1,2,IF(D190=7,1,(IF(WEEKDAY(B190)=1,2,IF(WEEKDAY(B190)=7,1,0))))))</f>
        <v>1</v>
      </c>
      <c r="H190" s="370">
        <v>6071.637451171875</v>
      </c>
      <c r="I190" s="370">
        <v>0.57599997520446777</v>
      </c>
      <c r="M190" s="371">
        <f t="shared" si="9"/>
        <v>6071.6374784936615</v>
      </c>
      <c r="N190" s="329">
        <f t="shared" si="10"/>
        <v>0</v>
      </c>
      <c r="T190" s="331">
        <v>0</v>
      </c>
      <c r="U190" s="328">
        <f>VLOOKUP(C190,METADATA!$J$5:$Q$29,IF(E190="HI",2,IF(E190="LO",6,10))+IF(T190=1,2,IF(D190=7,1,(IF(WEEKDAY(B190)=1,2,IF(WEEKDAY(B190)=7,1,0))))))</f>
        <v>1</v>
      </c>
      <c r="V190" s="328">
        <f>VLOOKUP(C190,METADATA!$A$5:$H$29,IF(E190="HI",2,IF(E190="LO",6,10))+IF(T190=1,2,IF(D190=7,1,(IF(WEEKDAY(B190)=1,2,IF(WEEKDAY(B190)=7,1,0))))))</f>
        <v>1</v>
      </c>
    </row>
    <row r="191" spans="2:22">
      <c r="B191" s="318">
        <f t="shared" si="11"/>
        <v>46120</v>
      </c>
      <c r="C191" s="312">
        <v>19</v>
      </c>
      <c r="D191" s="368">
        <f>IFERROR((INDEX(METADATA!$T$2:$T$20,MATCH(B191,METADATA!$S$2:$S$20,0))),0)</f>
        <v>0</v>
      </c>
      <c r="E191" s="312" t="str">
        <f t="shared" si="8"/>
        <v>LO</v>
      </c>
      <c r="F191" s="369">
        <f>VLOOKUP(C191,METADATA!$A$5:$H$29,IF(E191="HI",2,IF(E191="LO",6,10))+IF(D191=1,2,IF(D191=7,1,(IF(WEEKDAY(B191)=1,2,IF(WEEKDAY(B191)=7,1,0))))))</f>
        <v>1</v>
      </c>
      <c r="G191" s="369">
        <f>VLOOKUP(C191,METADATA!$J$5:$Q$29,IF(E191="HI",2,IF(E191="LO",6,10))+IF(D191=1,2,IF(D191=7,1,(IF(WEEKDAY(B191)=1,2,IF(WEEKDAY(B191)=7,1,0))))))</f>
        <v>1</v>
      </c>
      <c r="H191" s="370">
        <v>6133.7049560546875</v>
      </c>
      <c r="I191" s="370">
        <v>0</v>
      </c>
      <c r="M191" s="371">
        <f t="shared" si="9"/>
        <v>6133.7049560546875</v>
      </c>
      <c r="N191" s="329">
        <f t="shared" si="10"/>
        <v>0</v>
      </c>
      <c r="T191" s="331">
        <v>0</v>
      </c>
      <c r="U191" s="328">
        <f>VLOOKUP(C191,METADATA!$J$5:$Q$29,IF(E191="HI",2,IF(E191="LO",6,10))+IF(T191=1,2,IF(D191=7,1,(IF(WEEKDAY(B191)=1,2,IF(WEEKDAY(B191)=7,1,0))))))</f>
        <v>1</v>
      </c>
      <c r="V191" s="328">
        <f>VLOOKUP(C191,METADATA!$A$5:$H$29,IF(E191="HI",2,IF(E191="LO",6,10))+IF(T191=1,2,IF(D191=7,1,(IF(WEEKDAY(B191)=1,2,IF(WEEKDAY(B191)=7,1,0))))))</f>
        <v>1</v>
      </c>
    </row>
    <row r="192" spans="2:22">
      <c r="B192" s="318">
        <f t="shared" si="11"/>
        <v>46120</v>
      </c>
      <c r="C192" s="312">
        <v>20</v>
      </c>
      <c r="D192" s="368">
        <f>IFERROR((INDEX(METADATA!$T$2:$T$20,MATCH(B192,METADATA!$S$2:$S$20,0))),0)</f>
        <v>0</v>
      </c>
      <c r="E192" s="312" t="str">
        <f t="shared" si="8"/>
        <v>LO</v>
      </c>
      <c r="F192" s="369">
        <f>VLOOKUP(C192,METADATA!$A$5:$H$29,IF(E192="HI",2,IF(E192="LO",6,10))+IF(D192=1,2,IF(D192=7,1,(IF(WEEKDAY(B192)=1,2,IF(WEEKDAY(B192)=7,1,0))))))</f>
        <v>1</v>
      </c>
      <c r="G192" s="369">
        <f>VLOOKUP(C192,METADATA!$J$5:$Q$29,IF(E192="HI",2,IF(E192="LO",6,10))+IF(D192=1,2,IF(D192=7,1,(IF(WEEKDAY(B192)=1,2,IF(WEEKDAY(B192)=7,1,0))))))</f>
        <v>1</v>
      </c>
      <c r="H192" s="370">
        <v>9087.5248718261719</v>
      </c>
      <c r="I192" s="370">
        <v>881.63999176025391</v>
      </c>
      <c r="M192" s="371">
        <f t="shared" si="9"/>
        <v>9130.1915298163549</v>
      </c>
      <c r="N192" s="329">
        <f t="shared" si="10"/>
        <v>0</v>
      </c>
      <c r="T192" s="331">
        <v>0</v>
      </c>
      <c r="U192" s="328">
        <f>VLOOKUP(C192,METADATA!$J$5:$Q$29,IF(E192="HI",2,IF(E192="LO",6,10))+IF(T192=1,2,IF(D192=7,1,(IF(WEEKDAY(B192)=1,2,IF(WEEKDAY(B192)=7,1,0))))))</f>
        <v>1</v>
      </c>
      <c r="V192" s="328">
        <f>VLOOKUP(C192,METADATA!$A$5:$H$29,IF(E192="HI",2,IF(E192="LO",6,10))+IF(T192=1,2,IF(D192=7,1,(IF(WEEKDAY(B192)=1,2,IF(WEEKDAY(B192)=7,1,0))))))</f>
        <v>1</v>
      </c>
    </row>
    <row r="193" spans="2:22">
      <c r="B193" s="318">
        <f t="shared" si="11"/>
        <v>46120</v>
      </c>
      <c r="C193" s="312">
        <v>21</v>
      </c>
      <c r="D193" s="368">
        <f>IFERROR((INDEX(METADATA!$T$2:$T$20,MATCH(B193,METADATA!$S$2:$S$20,0))),0)</f>
        <v>0</v>
      </c>
      <c r="E193" s="312" t="str">
        <f t="shared" si="8"/>
        <v>LO</v>
      </c>
      <c r="F193" s="369">
        <f>VLOOKUP(C193,METADATA!$A$5:$H$29,IF(E193="HI",2,IF(E193="LO",6,10))+IF(D193=1,2,IF(D193=7,1,(IF(WEEKDAY(B193)=1,2,IF(WEEKDAY(B193)=7,1,0))))))</f>
        <v>2</v>
      </c>
      <c r="G193" s="369">
        <f>VLOOKUP(C193,METADATA!$J$5:$Q$29,IF(E193="HI",2,IF(E193="LO",6,10))+IF(D193=1,2,IF(D193=7,1,(IF(WEEKDAY(B193)=1,2,IF(WEEKDAY(B193)=7,1,0))))))</f>
        <v>2</v>
      </c>
      <c r="H193" s="370">
        <v>12148.090087890625</v>
      </c>
      <c r="I193" s="370">
        <v>2381.4480112791061</v>
      </c>
      <c r="M193" s="371">
        <f t="shared" si="9"/>
        <v>12379.312881332778</v>
      </c>
      <c r="N193" s="329">
        <f t="shared" si="10"/>
        <v>0</v>
      </c>
      <c r="T193" s="331">
        <v>0</v>
      </c>
      <c r="U193" s="328">
        <f>VLOOKUP(C193,METADATA!$J$5:$Q$29,IF(E193="HI",2,IF(E193="LO",6,10))+IF(T193=1,2,IF(D193=7,1,(IF(WEEKDAY(B193)=1,2,IF(WEEKDAY(B193)=7,1,0))))))</f>
        <v>2</v>
      </c>
      <c r="V193" s="328">
        <f>VLOOKUP(C193,METADATA!$A$5:$H$29,IF(E193="HI",2,IF(E193="LO",6,10))+IF(T193=1,2,IF(D193=7,1,(IF(WEEKDAY(B193)=1,2,IF(WEEKDAY(B193)=7,1,0))))))</f>
        <v>2</v>
      </c>
    </row>
    <row r="194" spans="2:22">
      <c r="B194" s="318">
        <f t="shared" si="11"/>
        <v>46120</v>
      </c>
      <c r="C194" s="312">
        <v>22</v>
      </c>
      <c r="D194" s="368">
        <f>IFERROR((INDEX(METADATA!$T$2:$T$20,MATCH(B194,METADATA!$S$2:$S$20,0))),0)</f>
        <v>0</v>
      </c>
      <c r="E194" s="312" t="str">
        <f t="shared" si="8"/>
        <v>LO</v>
      </c>
      <c r="F194" s="369">
        <f>VLOOKUP(C194,METADATA!$A$5:$H$29,IF(E194="HI",2,IF(E194="LO",6,10))+IF(D194=1,2,IF(D194=7,1,(IF(WEEKDAY(B194)=1,2,IF(WEEKDAY(B194)=7,1,0))))))</f>
        <v>3</v>
      </c>
      <c r="G194" s="369">
        <f>VLOOKUP(C194,METADATA!$J$5:$Q$29,IF(E194="HI",2,IF(E194="LO",6,10))+IF(D194=1,2,IF(D194=7,1,(IF(WEEKDAY(B194)=1,2,IF(WEEKDAY(B194)=7,1,0))))))</f>
        <v>3</v>
      </c>
      <c r="H194" s="370">
        <v>11600.025268554688</v>
      </c>
      <c r="I194" s="370">
        <v>2300.0160012245178</v>
      </c>
      <c r="M194" s="371">
        <f t="shared" si="9"/>
        <v>11825.847108642833</v>
      </c>
      <c r="N194" s="329">
        <f t="shared" si="10"/>
        <v>0</v>
      </c>
      <c r="T194" s="331">
        <v>0</v>
      </c>
      <c r="U194" s="328">
        <f>VLOOKUP(C194,METADATA!$J$5:$Q$29,IF(E194="HI",2,IF(E194="LO",6,10))+IF(T194=1,2,IF(D194=7,1,(IF(WEEKDAY(B194)=1,2,IF(WEEKDAY(B194)=7,1,0))))))</f>
        <v>3</v>
      </c>
      <c r="V194" s="328">
        <f>VLOOKUP(C194,METADATA!$A$5:$H$29,IF(E194="HI",2,IF(E194="LO",6,10))+IF(T194=1,2,IF(D194=7,1,(IF(WEEKDAY(B194)=1,2,IF(WEEKDAY(B194)=7,1,0))))))</f>
        <v>3</v>
      </c>
    </row>
    <row r="195" spans="2:22">
      <c r="B195" s="318">
        <f t="shared" si="11"/>
        <v>46120</v>
      </c>
      <c r="C195" s="312">
        <v>23</v>
      </c>
      <c r="D195" s="368">
        <f>IFERROR((INDEX(METADATA!$T$2:$T$20,MATCH(B195,METADATA!$S$2:$S$20,0))),0)</f>
        <v>0</v>
      </c>
      <c r="E195" s="312" t="str">
        <f t="shared" si="8"/>
        <v>LO</v>
      </c>
      <c r="F195" s="369">
        <f>VLOOKUP(C195,METADATA!$A$5:$H$29,IF(E195="HI",2,IF(E195="LO",6,10))+IF(D195=1,2,IF(D195=7,1,(IF(WEEKDAY(B195)=1,2,IF(WEEKDAY(B195)=7,1,0))))))</f>
        <v>3</v>
      </c>
      <c r="G195" s="369">
        <f>VLOOKUP(C195,METADATA!$J$5:$Q$29,IF(E195="HI",2,IF(E195="LO",6,10))+IF(D195=1,2,IF(D195=7,1,(IF(WEEKDAY(B195)=1,2,IF(WEEKDAY(B195)=7,1,0))))))</f>
        <v>3</v>
      </c>
      <c r="H195" s="370">
        <v>10823.144836425781</v>
      </c>
      <c r="I195" s="370">
        <v>2182.5599975585938</v>
      </c>
      <c r="M195" s="371">
        <f t="shared" si="9"/>
        <v>11041.015908565345</v>
      </c>
      <c r="N195" s="329">
        <f t="shared" si="10"/>
        <v>0</v>
      </c>
      <c r="T195" s="331">
        <v>0</v>
      </c>
      <c r="U195" s="328">
        <f>VLOOKUP(C195,METADATA!$J$5:$Q$29,IF(E195="HI",2,IF(E195="LO",6,10))+IF(T195=1,2,IF(D195=7,1,(IF(WEEKDAY(B195)=1,2,IF(WEEKDAY(B195)=7,1,0))))))</f>
        <v>3</v>
      </c>
      <c r="V195" s="328">
        <f>VLOOKUP(C195,METADATA!$A$5:$H$29,IF(E195="HI",2,IF(E195="LO",6,10))+IF(T195=1,2,IF(D195=7,1,(IF(WEEKDAY(B195)=1,2,IF(WEEKDAY(B195)=7,1,0))))))</f>
        <v>3</v>
      </c>
    </row>
    <row r="196" spans="2:22">
      <c r="B196" s="318">
        <f t="shared" si="11"/>
        <v>46121</v>
      </c>
      <c r="C196" s="312">
        <v>0</v>
      </c>
      <c r="D196" s="368">
        <f>IFERROR((INDEX(METADATA!$T$2:$T$20,MATCH(B196,METADATA!$S$2:$S$20,0))),0)</f>
        <v>0</v>
      </c>
      <c r="E196" s="312" t="str">
        <f t="shared" ref="E196:E259" si="12">IF(B196="","",IF(AND(MONTH(B196)&gt;=MONTH($Z$9),MONTH(B196)&lt;=MONTH($Z$11)),"HI","LO"))</f>
        <v>LO</v>
      </c>
      <c r="F196" s="369">
        <f>VLOOKUP(C196,METADATA!$A$5:$H$29,IF(E196="HI",2,IF(E196="LO",6,10))+IF(D196=1,2,IF(D196=7,1,(IF(WEEKDAY(B196)=1,2,IF(WEEKDAY(B196)=7,1,0))))))</f>
        <v>3</v>
      </c>
      <c r="G196" s="369">
        <f>VLOOKUP(C196,METADATA!$J$5:$Q$29,IF(E196="HI",2,IF(E196="LO",6,10))+IF(D196=1,2,IF(D196=7,1,(IF(WEEKDAY(B196)=1,2,IF(WEEKDAY(B196)=7,1,0))))))</f>
        <v>3</v>
      </c>
      <c r="H196" s="370">
        <v>6273.4075622558594</v>
      </c>
      <c r="I196" s="370">
        <v>123.72000271081924</v>
      </c>
      <c r="M196" s="371">
        <f t="shared" ref="M196:M259" si="13">SQRT(H196^2+I196^2)</f>
        <v>6274.6274057699848</v>
      </c>
      <c r="N196" s="329">
        <f t="shared" ref="N196:N259" si="14">IF(H196=0,0,(IF(I196-(0.3*H196)&lt;0,0,(I196-(0.3*H196)))))</f>
        <v>0</v>
      </c>
      <c r="T196" s="331">
        <v>0</v>
      </c>
      <c r="U196" s="328">
        <f>VLOOKUP(C196,METADATA!$J$5:$Q$29,IF(E196="HI",2,IF(E196="LO",6,10))+IF(T196=1,2,IF(D196=7,1,(IF(WEEKDAY(B196)=1,2,IF(WEEKDAY(B196)=7,1,0))))))</f>
        <v>3</v>
      </c>
      <c r="V196" s="328">
        <f>VLOOKUP(C196,METADATA!$A$5:$H$29,IF(E196="HI",2,IF(E196="LO",6,10))+IF(T196=1,2,IF(D196=7,1,(IF(WEEKDAY(B196)=1,2,IF(WEEKDAY(B196)=7,1,0))))))</f>
        <v>3</v>
      </c>
    </row>
    <row r="197" spans="2:22">
      <c r="B197" s="318">
        <f t="shared" si="11"/>
        <v>46121</v>
      </c>
      <c r="C197" s="312">
        <v>1</v>
      </c>
      <c r="D197" s="368">
        <f>IFERROR((INDEX(METADATA!$T$2:$T$20,MATCH(B197,METADATA!$S$2:$S$20,0))),0)</f>
        <v>0</v>
      </c>
      <c r="E197" s="312" t="str">
        <f t="shared" si="12"/>
        <v>LO</v>
      </c>
      <c r="F197" s="369">
        <f>VLOOKUP(C197,METADATA!$A$5:$H$29,IF(E197="HI",2,IF(E197="LO",6,10))+IF(D197=1,2,IF(D197=7,1,(IF(WEEKDAY(B197)=1,2,IF(WEEKDAY(B197)=7,1,0))))))</f>
        <v>3</v>
      </c>
      <c r="G197" s="369">
        <f>VLOOKUP(C197,METADATA!$J$5:$Q$29,IF(E197="HI",2,IF(E197="LO",6,10))+IF(D197=1,2,IF(D197=7,1,(IF(WEEKDAY(B197)=1,2,IF(WEEKDAY(B197)=7,1,0))))))</f>
        <v>3</v>
      </c>
      <c r="H197" s="370">
        <v>5828.0599365234375</v>
      </c>
      <c r="I197" s="370">
        <v>0</v>
      </c>
      <c r="M197" s="371">
        <f t="shared" si="13"/>
        <v>5828.0599365234375</v>
      </c>
      <c r="N197" s="329">
        <f t="shared" si="14"/>
        <v>0</v>
      </c>
      <c r="T197" s="331">
        <v>0</v>
      </c>
      <c r="U197" s="328">
        <f>VLOOKUP(C197,METADATA!$J$5:$Q$29,IF(E197="HI",2,IF(E197="LO",6,10))+IF(T197=1,2,IF(D197=7,1,(IF(WEEKDAY(B197)=1,2,IF(WEEKDAY(B197)=7,1,0))))))</f>
        <v>3</v>
      </c>
      <c r="V197" s="328">
        <f>VLOOKUP(C197,METADATA!$A$5:$H$29,IF(E197="HI",2,IF(E197="LO",6,10))+IF(T197=1,2,IF(D197=7,1,(IF(WEEKDAY(B197)=1,2,IF(WEEKDAY(B197)=7,1,0))))))</f>
        <v>3</v>
      </c>
    </row>
    <row r="198" spans="2:22">
      <c r="B198" s="318">
        <f t="shared" si="11"/>
        <v>46121</v>
      </c>
      <c r="C198" s="312">
        <v>2</v>
      </c>
      <c r="D198" s="368">
        <f>IFERROR((INDEX(METADATA!$T$2:$T$20,MATCH(B198,METADATA!$S$2:$S$20,0))),0)</f>
        <v>0</v>
      </c>
      <c r="E198" s="312" t="str">
        <f t="shared" si="12"/>
        <v>LO</v>
      </c>
      <c r="F198" s="369">
        <f>VLOOKUP(C198,METADATA!$A$5:$H$29,IF(E198="HI",2,IF(E198="LO",6,10))+IF(D198=1,2,IF(D198=7,1,(IF(WEEKDAY(B198)=1,2,IF(WEEKDAY(B198)=7,1,0))))))</f>
        <v>3</v>
      </c>
      <c r="G198" s="369">
        <f>VLOOKUP(C198,METADATA!$J$5:$Q$29,IF(E198="HI",2,IF(E198="LO",6,10))+IF(D198=1,2,IF(D198=7,1,(IF(WEEKDAY(B198)=1,2,IF(WEEKDAY(B198)=7,1,0))))))</f>
        <v>3</v>
      </c>
      <c r="H198" s="370">
        <v>5805.3626708984375</v>
      </c>
      <c r="I198" s="370">
        <v>0.43199998140335083</v>
      </c>
      <c r="M198" s="371">
        <f t="shared" si="13"/>
        <v>5805.3626869718501</v>
      </c>
      <c r="N198" s="329">
        <f t="shared" si="14"/>
        <v>0</v>
      </c>
      <c r="T198" s="331">
        <v>0</v>
      </c>
      <c r="U198" s="328">
        <f>VLOOKUP(C198,METADATA!$J$5:$Q$29,IF(E198="HI",2,IF(E198="LO",6,10))+IF(T198=1,2,IF(D198=7,1,(IF(WEEKDAY(B198)=1,2,IF(WEEKDAY(B198)=7,1,0))))))</f>
        <v>3</v>
      </c>
      <c r="V198" s="328">
        <f>VLOOKUP(C198,METADATA!$A$5:$H$29,IF(E198="HI",2,IF(E198="LO",6,10))+IF(T198=1,2,IF(D198=7,1,(IF(WEEKDAY(B198)=1,2,IF(WEEKDAY(B198)=7,1,0))))))</f>
        <v>3</v>
      </c>
    </row>
    <row r="199" spans="2:22">
      <c r="B199" s="318">
        <f t="shared" si="11"/>
        <v>46121</v>
      </c>
      <c r="C199" s="312">
        <v>3</v>
      </c>
      <c r="D199" s="368">
        <f>IFERROR((INDEX(METADATA!$T$2:$T$20,MATCH(B199,METADATA!$S$2:$S$20,0))),0)</f>
        <v>0</v>
      </c>
      <c r="E199" s="312" t="str">
        <f t="shared" si="12"/>
        <v>LO</v>
      </c>
      <c r="F199" s="369">
        <f>VLOOKUP(C199,METADATA!$A$5:$H$29,IF(E199="HI",2,IF(E199="LO",6,10))+IF(D199=1,2,IF(D199=7,1,(IF(WEEKDAY(B199)=1,2,IF(WEEKDAY(B199)=7,1,0))))))</f>
        <v>3</v>
      </c>
      <c r="G199" s="369">
        <f>VLOOKUP(C199,METADATA!$J$5:$Q$29,IF(E199="HI",2,IF(E199="LO",6,10))+IF(D199=1,2,IF(D199=7,1,(IF(WEEKDAY(B199)=1,2,IF(WEEKDAY(B199)=7,1,0))))))</f>
        <v>3</v>
      </c>
      <c r="H199" s="370">
        <v>5791.6299133300781</v>
      </c>
      <c r="I199" s="370">
        <v>0</v>
      </c>
      <c r="M199" s="371">
        <f t="shared" si="13"/>
        <v>5791.6299133300781</v>
      </c>
      <c r="N199" s="329">
        <f t="shared" si="14"/>
        <v>0</v>
      </c>
      <c r="T199" s="331">
        <v>0</v>
      </c>
      <c r="U199" s="328">
        <f>VLOOKUP(C199,METADATA!$J$5:$Q$29,IF(E199="HI",2,IF(E199="LO",6,10))+IF(T199=1,2,IF(D199=7,1,(IF(WEEKDAY(B199)=1,2,IF(WEEKDAY(B199)=7,1,0))))))</f>
        <v>3</v>
      </c>
      <c r="V199" s="328">
        <f>VLOOKUP(C199,METADATA!$A$5:$H$29,IF(E199="HI",2,IF(E199="LO",6,10))+IF(T199=1,2,IF(D199=7,1,(IF(WEEKDAY(B199)=1,2,IF(WEEKDAY(B199)=7,1,0))))))</f>
        <v>3</v>
      </c>
    </row>
    <row r="200" spans="2:22">
      <c r="B200" s="318">
        <f t="shared" si="11"/>
        <v>46121</v>
      </c>
      <c r="C200" s="312">
        <v>4</v>
      </c>
      <c r="D200" s="368">
        <f>IFERROR((INDEX(METADATA!$T$2:$T$20,MATCH(B200,METADATA!$S$2:$S$20,0))),0)</f>
        <v>0</v>
      </c>
      <c r="E200" s="312" t="str">
        <f t="shared" si="12"/>
        <v>LO</v>
      </c>
      <c r="F200" s="369">
        <f>VLOOKUP(C200,METADATA!$A$5:$H$29,IF(E200="HI",2,IF(E200="LO",6,10))+IF(D200=1,2,IF(D200=7,1,(IF(WEEKDAY(B200)=1,2,IF(WEEKDAY(B200)=7,1,0))))))</f>
        <v>3</v>
      </c>
      <c r="G200" s="369">
        <f>VLOOKUP(C200,METADATA!$J$5:$Q$29,IF(E200="HI",2,IF(E200="LO",6,10))+IF(D200=1,2,IF(D200=7,1,(IF(WEEKDAY(B200)=1,2,IF(WEEKDAY(B200)=7,1,0))))))</f>
        <v>3</v>
      </c>
      <c r="H200" s="370">
        <v>6847.7050476074219</v>
      </c>
      <c r="I200" s="370">
        <v>258.96000121533871</v>
      </c>
      <c r="M200" s="371">
        <f t="shared" si="13"/>
        <v>6852.5998497838473</v>
      </c>
      <c r="N200" s="329">
        <f t="shared" si="14"/>
        <v>0</v>
      </c>
      <c r="T200" s="331">
        <v>0</v>
      </c>
      <c r="U200" s="328">
        <f>VLOOKUP(C200,METADATA!$J$5:$Q$29,IF(E200="HI",2,IF(E200="LO",6,10))+IF(T200=1,2,IF(D200=7,1,(IF(WEEKDAY(B200)=1,2,IF(WEEKDAY(B200)=7,1,0))))))</f>
        <v>3</v>
      </c>
      <c r="V200" s="328">
        <f>VLOOKUP(C200,METADATA!$A$5:$H$29,IF(E200="HI",2,IF(E200="LO",6,10))+IF(T200=1,2,IF(D200=7,1,(IF(WEEKDAY(B200)=1,2,IF(WEEKDAY(B200)=7,1,0))))))</f>
        <v>3</v>
      </c>
    </row>
    <row r="201" spans="2:22">
      <c r="B201" s="318">
        <f t="shared" si="11"/>
        <v>46121</v>
      </c>
      <c r="C201" s="312">
        <v>5</v>
      </c>
      <c r="D201" s="368">
        <f>IFERROR((INDEX(METADATA!$T$2:$T$20,MATCH(B201,METADATA!$S$2:$S$20,0))),0)</f>
        <v>0</v>
      </c>
      <c r="E201" s="312" t="str">
        <f t="shared" si="12"/>
        <v>LO</v>
      </c>
      <c r="F201" s="369">
        <f>VLOOKUP(C201,METADATA!$A$5:$H$29,IF(E201="HI",2,IF(E201="LO",6,10))+IF(D201=1,2,IF(D201=7,1,(IF(WEEKDAY(B201)=1,2,IF(WEEKDAY(B201)=7,1,0))))))</f>
        <v>3</v>
      </c>
      <c r="G201" s="369">
        <f>VLOOKUP(C201,METADATA!$J$5:$Q$29,IF(E201="HI",2,IF(E201="LO",6,10))+IF(D201=1,2,IF(D201=7,1,(IF(WEEKDAY(B201)=1,2,IF(WEEKDAY(B201)=7,1,0))))))</f>
        <v>3</v>
      </c>
      <c r="H201" s="370">
        <v>11837.720153808594</v>
      </c>
      <c r="I201" s="370">
        <v>1521.1919445991516</v>
      </c>
      <c r="M201" s="371">
        <f t="shared" si="13"/>
        <v>11935.059420555874</v>
      </c>
      <c r="N201" s="329">
        <f t="shared" si="14"/>
        <v>0</v>
      </c>
      <c r="T201" s="331">
        <v>0</v>
      </c>
      <c r="U201" s="328">
        <f>VLOOKUP(C201,METADATA!$J$5:$Q$29,IF(E201="HI",2,IF(E201="LO",6,10))+IF(T201=1,2,IF(D201=7,1,(IF(WEEKDAY(B201)=1,2,IF(WEEKDAY(B201)=7,1,0))))))</f>
        <v>3</v>
      </c>
      <c r="V201" s="328">
        <f>VLOOKUP(C201,METADATA!$A$5:$H$29,IF(E201="HI",2,IF(E201="LO",6,10))+IF(T201=1,2,IF(D201=7,1,(IF(WEEKDAY(B201)=1,2,IF(WEEKDAY(B201)=7,1,0))))))</f>
        <v>3</v>
      </c>
    </row>
    <row r="202" spans="2:22">
      <c r="B202" s="318">
        <f t="shared" si="11"/>
        <v>46121</v>
      </c>
      <c r="C202" s="312">
        <v>6</v>
      </c>
      <c r="D202" s="368">
        <f>IFERROR((INDEX(METADATA!$T$2:$T$20,MATCH(B202,METADATA!$S$2:$S$20,0))),0)</f>
        <v>0</v>
      </c>
      <c r="E202" s="312" t="str">
        <f t="shared" si="12"/>
        <v>LO</v>
      </c>
      <c r="F202" s="369">
        <f>VLOOKUP(C202,METADATA!$A$5:$H$29,IF(E202="HI",2,IF(E202="LO",6,10))+IF(D202=1,2,IF(D202=7,1,(IF(WEEKDAY(B202)=1,2,IF(WEEKDAY(B202)=7,1,0))))))</f>
        <v>2</v>
      </c>
      <c r="G202" s="369">
        <f>VLOOKUP(C202,METADATA!$J$5:$Q$29,IF(E202="HI",2,IF(E202="LO",6,10))+IF(D202=1,2,IF(D202=7,1,(IF(WEEKDAY(B202)=1,2,IF(WEEKDAY(B202)=7,1,0))))))</f>
        <v>2</v>
      </c>
      <c r="H202" s="370">
        <v>13276.504333496094</v>
      </c>
      <c r="I202" s="370">
        <v>1817.926513671875</v>
      </c>
      <c r="M202" s="371">
        <f t="shared" si="13"/>
        <v>13400.38895429725</v>
      </c>
      <c r="N202" s="329">
        <f t="shared" si="14"/>
        <v>0</v>
      </c>
      <c r="T202" s="331">
        <v>0</v>
      </c>
      <c r="U202" s="328">
        <f>VLOOKUP(C202,METADATA!$J$5:$Q$29,IF(E202="HI",2,IF(E202="LO",6,10))+IF(T202=1,2,IF(D202=7,1,(IF(WEEKDAY(B202)=1,2,IF(WEEKDAY(B202)=7,1,0))))))</f>
        <v>2</v>
      </c>
      <c r="V202" s="328">
        <f>VLOOKUP(C202,METADATA!$A$5:$H$29,IF(E202="HI",2,IF(E202="LO",6,10))+IF(T202=1,2,IF(D202=7,1,(IF(WEEKDAY(B202)=1,2,IF(WEEKDAY(B202)=7,1,0))))))</f>
        <v>2</v>
      </c>
    </row>
    <row r="203" spans="2:22">
      <c r="B203" s="318">
        <f t="shared" si="11"/>
        <v>46121</v>
      </c>
      <c r="C203" s="312">
        <v>7</v>
      </c>
      <c r="D203" s="368">
        <f>IFERROR((INDEX(METADATA!$T$2:$T$20,MATCH(B203,METADATA!$S$2:$S$20,0))),0)</f>
        <v>0</v>
      </c>
      <c r="E203" s="312" t="str">
        <f t="shared" si="12"/>
        <v>LO</v>
      </c>
      <c r="F203" s="369">
        <f>VLOOKUP(C203,METADATA!$A$5:$H$29,IF(E203="HI",2,IF(E203="LO",6,10))+IF(D203=1,2,IF(D203=7,1,(IF(WEEKDAY(B203)=1,2,IF(WEEKDAY(B203)=7,1,0))))))</f>
        <v>1</v>
      </c>
      <c r="G203" s="369">
        <f>VLOOKUP(C203,METADATA!$J$5:$Q$29,IF(E203="HI",2,IF(E203="LO",6,10))+IF(D203=1,2,IF(D203=7,1,(IF(WEEKDAY(B203)=1,2,IF(WEEKDAY(B203)=7,1,0))))))</f>
        <v>1</v>
      </c>
      <c r="H203" s="370">
        <v>11896.569702148438</v>
      </c>
      <c r="I203" s="370">
        <v>1535.5935025940416</v>
      </c>
      <c r="M203" s="371">
        <f t="shared" si="13"/>
        <v>11995.266486547316</v>
      </c>
      <c r="N203" s="329">
        <f t="shared" si="14"/>
        <v>0</v>
      </c>
      <c r="T203" s="331">
        <v>0</v>
      </c>
      <c r="U203" s="328">
        <f>VLOOKUP(C203,METADATA!$J$5:$Q$29,IF(E203="HI",2,IF(E203="LO",6,10))+IF(T203=1,2,IF(D203=7,1,(IF(WEEKDAY(B203)=1,2,IF(WEEKDAY(B203)=7,1,0))))))</f>
        <v>1</v>
      </c>
      <c r="V203" s="328">
        <f>VLOOKUP(C203,METADATA!$A$5:$H$29,IF(E203="HI",2,IF(E203="LO",6,10))+IF(T203=1,2,IF(D203=7,1,(IF(WEEKDAY(B203)=1,2,IF(WEEKDAY(B203)=7,1,0))))))</f>
        <v>1</v>
      </c>
    </row>
    <row r="204" spans="2:22">
      <c r="B204" s="318">
        <f t="shared" si="11"/>
        <v>46121</v>
      </c>
      <c r="C204" s="312">
        <v>8</v>
      </c>
      <c r="D204" s="368">
        <f>IFERROR((INDEX(METADATA!$T$2:$T$20,MATCH(B204,METADATA!$S$2:$S$20,0))),0)</f>
        <v>0</v>
      </c>
      <c r="E204" s="312" t="str">
        <f t="shared" si="12"/>
        <v>LO</v>
      </c>
      <c r="F204" s="369">
        <f>VLOOKUP(C204,METADATA!$A$5:$H$29,IF(E204="HI",2,IF(E204="LO",6,10))+IF(D204=1,2,IF(D204=7,1,(IF(WEEKDAY(B204)=1,2,IF(WEEKDAY(B204)=7,1,0))))))</f>
        <v>1</v>
      </c>
      <c r="G204" s="369">
        <f>VLOOKUP(C204,METADATA!$J$5:$Q$29,IF(E204="HI",2,IF(E204="LO",6,10))+IF(D204=1,2,IF(D204=7,1,(IF(WEEKDAY(B204)=1,2,IF(WEEKDAY(B204)=7,1,0))))))</f>
        <v>1</v>
      </c>
      <c r="H204" s="370">
        <v>11422.925048828125</v>
      </c>
      <c r="I204" s="370">
        <v>1433.8800277709961</v>
      </c>
      <c r="M204" s="371">
        <f t="shared" si="13"/>
        <v>11512.568288839184</v>
      </c>
      <c r="N204" s="329">
        <f t="shared" si="14"/>
        <v>0</v>
      </c>
      <c r="T204" s="331">
        <v>0</v>
      </c>
      <c r="U204" s="328">
        <f>VLOOKUP(C204,METADATA!$J$5:$Q$29,IF(E204="HI",2,IF(E204="LO",6,10))+IF(T204=1,2,IF(D204=7,1,(IF(WEEKDAY(B204)=1,2,IF(WEEKDAY(B204)=7,1,0))))))</f>
        <v>1</v>
      </c>
      <c r="V204" s="328">
        <f>VLOOKUP(C204,METADATA!$A$5:$H$29,IF(E204="HI",2,IF(E204="LO",6,10))+IF(T204=1,2,IF(D204=7,1,(IF(WEEKDAY(B204)=1,2,IF(WEEKDAY(B204)=7,1,0))))))</f>
        <v>1</v>
      </c>
    </row>
    <row r="205" spans="2:22">
      <c r="B205" s="318">
        <f t="shared" si="11"/>
        <v>46121</v>
      </c>
      <c r="C205" s="312">
        <v>9</v>
      </c>
      <c r="D205" s="368">
        <f>IFERROR((INDEX(METADATA!$T$2:$T$20,MATCH(B205,METADATA!$S$2:$S$20,0))),0)</f>
        <v>0</v>
      </c>
      <c r="E205" s="312" t="str">
        <f t="shared" si="12"/>
        <v>LO</v>
      </c>
      <c r="F205" s="369">
        <f>VLOOKUP(C205,METADATA!$A$5:$H$29,IF(E205="HI",2,IF(E205="LO",6,10))+IF(D205=1,2,IF(D205=7,1,(IF(WEEKDAY(B205)=1,2,IF(WEEKDAY(B205)=7,1,0))))))</f>
        <v>2</v>
      </c>
      <c r="G205" s="369">
        <f>VLOOKUP(C205,METADATA!$J$5:$Q$29,IF(E205="HI",2,IF(E205="LO",6,10))+IF(D205=1,2,IF(D205=7,1,(IF(WEEKDAY(B205)=1,2,IF(WEEKDAY(B205)=7,1,0))))))</f>
        <v>2</v>
      </c>
      <c r="H205" s="370">
        <v>11197.319946289063</v>
      </c>
      <c r="I205" s="370">
        <v>1329.3599967956543</v>
      </c>
      <c r="M205" s="371">
        <f t="shared" si="13"/>
        <v>11275.955479720707</v>
      </c>
      <c r="N205" s="329">
        <f t="shared" si="14"/>
        <v>0</v>
      </c>
      <c r="T205" s="331">
        <v>0</v>
      </c>
      <c r="U205" s="328">
        <f>VLOOKUP(C205,METADATA!$J$5:$Q$29,IF(E205="HI",2,IF(E205="LO",6,10))+IF(T205=1,2,IF(D205=7,1,(IF(WEEKDAY(B205)=1,2,IF(WEEKDAY(B205)=7,1,0))))))</f>
        <v>2</v>
      </c>
      <c r="V205" s="328">
        <f>VLOOKUP(C205,METADATA!$A$5:$H$29,IF(E205="HI",2,IF(E205="LO",6,10))+IF(T205=1,2,IF(D205=7,1,(IF(WEEKDAY(B205)=1,2,IF(WEEKDAY(B205)=7,1,0))))))</f>
        <v>2</v>
      </c>
    </row>
    <row r="206" spans="2:22">
      <c r="B206" s="318">
        <f t="shared" si="11"/>
        <v>46121</v>
      </c>
      <c r="C206" s="312">
        <v>10</v>
      </c>
      <c r="D206" s="368">
        <f>IFERROR((INDEX(METADATA!$T$2:$T$20,MATCH(B206,METADATA!$S$2:$S$20,0))),0)</f>
        <v>0</v>
      </c>
      <c r="E206" s="312" t="str">
        <f t="shared" si="12"/>
        <v>LO</v>
      </c>
      <c r="F206" s="369">
        <f>VLOOKUP(C206,METADATA!$A$5:$H$29,IF(E206="HI",2,IF(E206="LO",6,10))+IF(D206=1,2,IF(D206=7,1,(IF(WEEKDAY(B206)=1,2,IF(WEEKDAY(B206)=7,1,0))))))</f>
        <v>2</v>
      </c>
      <c r="G206" s="369">
        <f>VLOOKUP(C206,METADATA!$J$5:$Q$29,IF(E206="HI",2,IF(E206="LO",6,10))+IF(D206=1,2,IF(D206=7,1,(IF(WEEKDAY(B206)=1,2,IF(WEEKDAY(B206)=7,1,0))))))</f>
        <v>2</v>
      </c>
      <c r="H206" s="370">
        <v>9508.4251098632813</v>
      </c>
      <c r="I206" s="370">
        <v>879.9360089302063</v>
      </c>
      <c r="M206" s="371">
        <f t="shared" si="13"/>
        <v>9549.0541651878048</v>
      </c>
      <c r="N206" s="329">
        <f t="shared" si="14"/>
        <v>0</v>
      </c>
      <c r="T206" s="331">
        <v>0</v>
      </c>
      <c r="U206" s="328">
        <f>VLOOKUP(C206,METADATA!$J$5:$Q$29,IF(E206="HI",2,IF(E206="LO",6,10))+IF(T206=1,2,IF(D206=7,1,(IF(WEEKDAY(B206)=1,2,IF(WEEKDAY(B206)=7,1,0))))))</f>
        <v>2</v>
      </c>
      <c r="V206" s="328">
        <f>VLOOKUP(C206,METADATA!$A$5:$H$29,IF(E206="HI",2,IF(E206="LO",6,10))+IF(T206=1,2,IF(D206=7,1,(IF(WEEKDAY(B206)=1,2,IF(WEEKDAY(B206)=7,1,0))))))</f>
        <v>2</v>
      </c>
    </row>
    <row r="207" spans="2:22">
      <c r="B207" s="318">
        <f t="shared" si="11"/>
        <v>46121</v>
      </c>
      <c r="C207" s="312">
        <v>11</v>
      </c>
      <c r="D207" s="368">
        <f>IFERROR((INDEX(METADATA!$T$2:$T$20,MATCH(B207,METADATA!$S$2:$S$20,0))),0)</f>
        <v>0</v>
      </c>
      <c r="E207" s="312" t="str">
        <f t="shared" si="12"/>
        <v>LO</v>
      </c>
      <c r="F207" s="369">
        <f>VLOOKUP(C207,METADATA!$A$5:$H$29,IF(E207="HI",2,IF(E207="LO",6,10))+IF(D207=1,2,IF(D207=7,1,(IF(WEEKDAY(B207)=1,2,IF(WEEKDAY(B207)=7,1,0))))))</f>
        <v>2</v>
      </c>
      <c r="G207" s="369">
        <f>VLOOKUP(C207,METADATA!$J$5:$Q$29,IF(E207="HI",2,IF(E207="LO",6,10))+IF(D207=1,2,IF(D207=7,1,(IF(WEEKDAY(B207)=1,2,IF(WEEKDAY(B207)=7,1,0))))))</f>
        <v>2</v>
      </c>
      <c r="H207" s="370">
        <v>7666.0001220703125</v>
      </c>
      <c r="I207" s="370">
        <v>297.16448873281479</v>
      </c>
      <c r="M207" s="371">
        <f t="shared" si="13"/>
        <v>7671.7575955543516</v>
      </c>
      <c r="N207" s="329">
        <f t="shared" si="14"/>
        <v>0</v>
      </c>
      <c r="T207" s="331">
        <v>0</v>
      </c>
      <c r="U207" s="328">
        <f>VLOOKUP(C207,METADATA!$J$5:$Q$29,IF(E207="HI",2,IF(E207="LO",6,10))+IF(T207=1,2,IF(D207=7,1,(IF(WEEKDAY(B207)=1,2,IF(WEEKDAY(B207)=7,1,0))))))</f>
        <v>2</v>
      </c>
      <c r="V207" s="328">
        <f>VLOOKUP(C207,METADATA!$A$5:$H$29,IF(E207="HI",2,IF(E207="LO",6,10))+IF(T207=1,2,IF(D207=7,1,(IF(WEEKDAY(B207)=1,2,IF(WEEKDAY(B207)=7,1,0))))))</f>
        <v>2</v>
      </c>
    </row>
    <row r="208" spans="2:22">
      <c r="B208" s="318">
        <f t="shared" si="11"/>
        <v>46121</v>
      </c>
      <c r="C208" s="312">
        <v>12</v>
      </c>
      <c r="D208" s="368">
        <f>IFERROR((INDEX(METADATA!$T$2:$T$20,MATCH(B208,METADATA!$S$2:$S$20,0))),0)</f>
        <v>0</v>
      </c>
      <c r="E208" s="312" t="str">
        <f t="shared" si="12"/>
        <v>LO</v>
      </c>
      <c r="F208" s="369">
        <f>VLOOKUP(C208,METADATA!$A$5:$H$29,IF(E208="HI",2,IF(E208="LO",6,10))+IF(D208=1,2,IF(D208=7,1,(IF(WEEKDAY(B208)=1,2,IF(WEEKDAY(B208)=7,1,0))))))</f>
        <v>2</v>
      </c>
      <c r="G208" s="369">
        <f>VLOOKUP(C208,METADATA!$J$5:$Q$29,IF(E208="HI",2,IF(E208="LO",6,10))+IF(D208=1,2,IF(D208=7,1,(IF(WEEKDAY(B208)=1,2,IF(WEEKDAY(B208)=7,1,0))))))</f>
        <v>2</v>
      </c>
      <c r="H208" s="370">
        <v>11406.654907226563</v>
      </c>
      <c r="I208" s="370">
        <v>1512.8654887676239</v>
      </c>
      <c r="M208" s="371">
        <f t="shared" si="13"/>
        <v>11506.543275878292</v>
      </c>
      <c r="N208" s="329">
        <f t="shared" si="14"/>
        <v>0</v>
      </c>
      <c r="T208" s="331">
        <v>0</v>
      </c>
      <c r="U208" s="328">
        <f>VLOOKUP(C208,METADATA!$J$5:$Q$29,IF(E208="HI",2,IF(E208="LO",6,10))+IF(T208=1,2,IF(D208=7,1,(IF(WEEKDAY(B208)=1,2,IF(WEEKDAY(B208)=7,1,0))))))</f>
        <v>2</v>
      </c>
      <c r="V208" s="328">
        <f>VLOOKUP(C208,METADATA!$A$5:$H$29,IF(E208="HI",2,IF(E208="LO",6,10))+IF(T208=1,2,IF(D208=7,1,(IF(WEEKDAY(B208)=1,2,IF(WEEKDAY(B208)=7,1,0))))))</f>
        <v>2</v>
      </c>
    </row>
    <row r="209" spans="2:22">
      <c r="B209" s="318">
        <f t="shared" si="11"/>
        <v>46121</v>
      </c>
      <c r="C209" s="312">
        <v>13</v>
      </c>
      <c r="D209" s="368">
        <f>IFERROR((INDEX(METADATA!$T$2:$T$20,MATCH(B209,METADATA!$S$2:$S$20,0))),0)</f>
        <v>0</v>
      </c>
      <c r="E209" s="312" t="str">
        <f t="shared" si="12"/>
        <v>LO</v>
      </c>
      <c r="F209" s="369">
        <f>VLOOKUP(C209,METADATA!$A$5:$H$29,IF(E209="HI",2,IF(E209="LO",6,10))+IF(D209=1,2,IF(D209=7,1,(IF(WEEKDAY(B209)=1,2,IF(WEEKDAY(B209)=7,1,0))))))</f>
        <v>2</v>
      </c>
      <c r="G209" s="369">
        <f>VLOOKUP(C209,METADATA!$J$5:$Q$29,IF(E209="HI",2,IF(E209="LO",6,10))+IF(D209=1,2,IF(D209=7,1,(IF(WEEKDAY(B209)=1,2,IF(WEEKDAY(B209)=7,1,0))))))</f>
        <v>2</v>
      </c>
      <c r="H209" s="370">
        <v>13278.659729003906</v>
      </c>
      <c r="I209" s="370">
        <v>2108.8090286254883</v>
      </c>
      <c r="M209" s="371">
        <f t="shared" si="13"/>
        <v>13445.068974084234</v>
      </c>
      <c r="N209" s="329">
        <f t="shared" si="14"/>
        <v>0</v>
      </c>
      <c r="T209" s="331">
        <v>0</v>
      </c>
      <c r="U209" s="328">
        <f>VLOOKUP(C209,METADATA!$J$5:$Q$29,IF(E209="HI",2,IF(E209="LO",6,10))+IF(T209=1,2,IF(D209=7,1,(IF(WEEKDAY(B209)=1,2,IF(WEEKDAY(B209)=7,1,0))))))</f>
        <v>2</v>
      </c>
      <c r="V209" s="328">
        <f>VLOOKUP(C209,METADATA!$A$5:$H$29,IF(E209="HI",2,IF(E209="LO",6,10))+IF(T209=1,2,IF(D209=7,1,(IF(WEEKDAY(B209)=1,2,IF(WEEKDAY(B209)=7,1,0))))))</f>
        <v>2</v>
      </c>
    </row>
    <row r="210" spans="2:22">
      <c r="B210" s="318">
        <f t="shared" si="11"/>
        <v>46121</v>
      </c>
      <c r="C210" s="312">
        <v>14</v>
      </c>
      <c r="D210" s="368">
        <f>IFERROR((INDEX(METADATA!$T$2:$T$20,MATCH(B210,METADATA!$S$2:$S$20,0))),0)</f>
        <v>0</v>
      </c>
      <c r="E210" s="312" t="str">
        <f t="shared" si="12"/>
        <v>LO</v>
      </c>
      <c r="F210" s="369">
        <f>VLOOKUP(C210,METADATA!$A$5:$H$29,IF(E210="HI",2,IF(E210="LO",6,10))+IF(D210=1,2,IF(D210=7,1,(IF(WEEKDAY(B210)=1,2,IF(WEEKDAY(B210)=7,1,0))))))</f>
        <v>2</v>
      </c>
      <c r="G210" s="369">
        <f>VLOOKUP(C210,METADATA!$J$5:$Q$29,IF(E210="HI",2,IF(E210="LO",6,10))+IF(D210=1,2,IF(D210=7,1,(IF(WEEKDAY(B210)=1,2,IF(WEEKDAY(B210)=7,1,0))))))</f>
        <v>2</v>
      </c>
      <c r="H210" s="370">
        <v>13201.840087890625</v>
      </c>
      <c r="I210" s="370">
        <v>2195.2984848022461</v>
      </c>
      <c r="M210" s="371">
        <f t="shared" si="13"/>
        <v>13383.120605584147</v>
      </c>
      <c r="N210" s="329">
        <f t="shared" si="14"/>
        <v>0</v>
      </c>
      <c r="T210" s="331">
        <v>0</v>
      </c>
      <c r="U210" s="328">
        <f>VLOOKUP(C210,METADATA!$J$5:$Q$29,IF(E210="HI",2,IF(E210="LO",6,10))+IF(T210=1,2,IF(D210=7,1,(IF(WEEKDAY(B210)=1,2,IF(WEEKDAY(B210)=7,1,0))))))</f>
        <v>2</v>
      </c>
      <c r="V210" s="328">
        <f>VLOOKUP(C210,METADATA!$A$5:$H$29,IF(E210="HI",2,IF(E210="LO",6,10))+IF(T210=1,2,IF(D210=7,1,(IF(WEEKDAY(B210)=1,2,IF(WEEKDAY(B210)=7,1,0))))))</f>
        <v>2</v>
      </c>
    </row>
    <row r="211" spans="2:22">
      <c r="B211" s="318">
        <f t="shared" si="11"/>
        <v>46121</v>
      </c>
      <c r="C211" s="312">
        <v>15</v>
      </c>
      <c r="D211" s="368">
        <f>IFERROR((INDEX(METADATA!$T$2:$T$20,MATCH(B211,METADATA!$S$2:$S$20,0))),0)</f>
        <v>0</v>
      </c>
      <c r="E211" s="312" t="str">
        <f t="shared" si="12"/>
        <v>LO</v>
      </c>
      <c r="F211" s="369">
        <f>VLOOKUP(C211,METADATA!$A$5:$H$29,IF(E211="HI",2,IF(E211="LO",6,10))+IF(D211=1,2,IF(D211=7,1,(IF(WEEKDAY(B211)=1,2,IF(WEEKDAY(B211)=7,1,0))))))</f>
        <v>2</v>
      </c>
      <c r="G211" s="369">
        <f>VLOOKUP(C211,METADATA!$J$5:$Q$29,IF(E211="HI",2,IF(E211="LO",6,10))+IF(D211=1,2,IF(D211=7,1,(IF(WEEKDAY(B211)=1,2,IF(WEEKDAY(B211)=7,1,0))))))</f>
        <v>2</v>
      </c>
      <c r="H211" s="370">
        <v>13093.215026855469</v>
      </c>
      <c r="I211" s="370">
        <v>2065.5149383544922</v>
      </c>
      <c r="M211" s="371">
        <f t="shared" si="13"/>
        <v>13255.13604985024</v>
      </c>
      <c r="N211" s="329">
        <f t="shared" si="14"/>
        <v>0</v>
      </c>
      <c r="T211" s="331">
        <v>0</v>
      </c>
      <c r="U211" s="328">
        <f>VLOOKUP(C211,METADATA!$J$5:$Q$29,IF(E211="HI",2,IF(E211="LO",6,10))+IF(T211=1,2,IF(D211=7,1,(IF(WEEKDAY(B211)=1,2,IF(WEEKDAY(B211)=7,1,0))))))</f>
        <v>2</v>
      </c>
      <c r="V211" s="328">
        <f>VLOOKUP(C211,METADATA!$A$5:$H$29,IF(E211="HI",2,IF(E211="LO",6,10))+IF(T211=1,2,IF(D211=7,1,(IF(WEEKDAY(B211)=1,2,IF(WEEKDAY(B211)=7,1,0))))))</f>
        <v>2</v>
      </c>
    </row>
    <row r="212" spans="2:22">
      <c r="B212" s="318">
        <f t="shared" si="11"/>
        <v>46121</v>
      </c>
      <c r="C212" s="312">
        <v>16</v>
      </c>
      <c r="D212" s="368">
        <f>IFERROR((INDEX(METADATA!$T$2:$T$20,MATCH(B212,METADATA!$S$2:$S$20,0))),0)</f>
        <v>0</v>
      </c>
      <c r="E212" s="312" t="str">
        <f t="shared" si="12"/>
        <v>LO</v>
      </c>
      <c r="F212" s="369">
        <f>VLOOKUP(C212,METADATA!$A$5:$H$29,IF(E212="HI",2,IF(E212="LO",6,10))+IF(D212=1,2,IF(D212=7,1,(IF(WEEKDAY(B212)=1,2,IF(WEEKDAY(B212)=7,1,0))))))</f>
        <v>2</v>
      </c>
      <c r="G212" s="369">
        <f>VLOOKUP(C212,METADATA!$J$5:$Q$29,IF(E212="HI",2,IF(E212="LO",6,10))+IF(D212=1,2,IF(D212=7,1,(IF(WEEKDAY(B212)=1,2,IF(WEEKDAY(B212)=7,1,0))))))</f>
        <v>2</v>
      </c>
      <c r="H212" s="370">
        <v>13057.219848632813</v>
      </c>
      <c r="I212" s="370">
        <v>2089.4189682006836</v>
      </c>
      <c r="M212" s="371">
        <f t="shared" si="13"/>
        <v>13223.337770782666</v>
      </c>
      <c r="N212" s="329">
        <f t="shared" si="14"/>
        <v>0</v>
      </c>
      <c r="T212" s="331">
        <v>0</v>
      </c>
      <c r="U212" s="328">
        <f>VLOOKUP(C212,METADATA!$J$5:$Q$29,IF(E212="HI",2,IF(E212="LO",6,10))+IF(T212=1,2,IF(D212=7,1,(IF(WEEKDAY(B212)=1,2,IF(WEEKDAY(B212)=7,1,0))))))</f>
        <v>2</v>
      </c>
      <c r="V212" s="328">
        <f>VLOOKUP(C212,METADATA!$A$5:$H$29,IF(E212="HI",2,IF(E212="LO",6,10))+IF(T212=1,2,IF(D212=7,1,(IF(WEEKDAY(B212)=1,2,IF(WEEKDAY(B212)=7,1,0))))))</f>
        <v>2</v>
      </c>
    </row>
    <row r="213" spans="2:22">
      <c r="B213" s="318">
        <f t="shared" si="11"/>
        <v>46121</v>
      </c>
      <c r="C213" s="312">
        <v>17</v>
      </c>
      <c r="D213" s="368">
        <f>IFERROR((INDEX(METADATA!$T$2:$T$20,MATCH(B213,METADATA!$S$2:$S$20,0))),0)</f>
        <v>0</v>
      </c>
      <c r="E213" s="312" t="str">
        <f t="shared" si="12"/>
        <v>LO</v>
      </c>
      <c r="F213" s="369">
        <f>VLOOKUP(C213,METADATA!$A$5:$H$29,IF(E213="HI",2,IF(E213="LO",6,10))+IF(D213=1,2,IF(D213=7,1,(IF(WEEKDAY(B213)=1,2,IF(WEEKDAY(B213)=7,1,0))))))</f>
        <v>2</v>
      </c>
      <c r="G213" s="369">
        <f>VLOOKUP(C213,METADATA!$J$5:$Q$29,IF(E213="HI",2,IF(E213="LO",6,10))+IF(D213=1,2,IF(D213=7,1,(IF(WEEKDAY(B213)=1,2,IF(WEEKDAY(B213)=7,1,0))))))</f>
        <v>2</v>
      </c>
      <c r="H213" s="370">
        <v>13152.500183105469</v>
      </c>
      <c r="I213" s="370">
        <v>2110.5355224609375</v>
      </c>
      <c r="M213" s="371">
        <f t="shared" si="13"/>
        <v>13320.759034610561</v>
      </c>
      <c r="N213" s="329">
        <f t="shared" si="14"/>
        <v>0</v>
      </c>
      <c r="T213" s="331">
        <v>0</v>
      </c>
      <c r="U213" s="328">
        <f>VLOOKUP(C213,METADATA!$J$5:$Q$29,IF(E213="HI",2,IF(E213="LO",6,10))+IF(T213=1,2,IF(D213=7,1,(IF(WEEKDAY(B213)=1,2,IF(WEEKDAY(B213)=7,1,0))))))</f>
        <v>2</v>
      </c>
      <c r="V213" s="328">
        <f>VLOOKUP(C213,METADATA!$A$5:$H$29,IF(E213="HI",2,IF(E213="LO",6,10))+IF(T213=1,2,IF(D213=7,1,(IF(WEEKDAY(B213)=1,2,IF(WEEKDAY(B213)=7,1,0))))))</f>
        <v>2</v>
      </c>
    </row>
    <row r="214" spans="2:22">
      <c r="B214" s="318">
        <f t="shared" si="11"/>
        <v>46121</v>
      </c>
      <c r="C214" s="312">
        <v>18</v>
      </c>
      <c r="D214" s="368">
        <f>IFERROR((INDEX(METADATA!$T$2:$T$20,MATCH(B214,METADATA!$S$2:$S$20,0))),0)</f>
        <v>0</v>
      </c>
      <c r="E214" s="312" t="str">
        <f t="shared" si="12"/>
        <v>LO</v>
      </c>
      <c r="F214" s="369">
        <f>VLOOKUP(C214,METADATA!$A$5:$H$29,IF(E214="HI",2,IF(E214="LO",6,10))+IF(D214=1,2,IF(D214=7,1,(IF(WEEKDAY(B214)=1,2,IF(WEEKDAY(B214)=7,1,0))))))</f>
        <v>1</v>
      </c>
      <c r="G214" s="369">
        <f>VLOOKUP(C214,METADATA!$J$5:$Q$29,IF(E214="HI",2,IF(E214="LO",6,10))+IF(D214=1,2,IF(D214=7,1,(IF(WEEKDAY(B214)=1,2,IF(WEEKDAY(B214)=7,1,0))))))</f>
        <v>1</v>
      </c>
      <c r="H214" s="370">
        <v>13234.804870605469</v>
      </c>
      <c r="I214" s="370">
        <v>2000.9999408721924</v>
      </c>
      <c r="M214" s="371">
        <f t="shared" si="13"/>
        <v>13385.21799323316</v>
      </c>
      <c r="N214" s="329">
        <f t="shared" si="14"/>
        <v>0</v>
      </c>
      <c r="T214" s="331">
        <v>0</v>
      </c>
      <c r="U214" s="328">
        <f>VLOOKUP(C214,METADATA!$J$5:$Q$29,IF(E214="HI",2,IF(E214="LO",6,10))+IF(T214=1,2,IF(D214=7,1,(IF(WEEKDAY(B214)=1,2,IF(WEEKDAY(B214)=7,1,0))))))</f>
        <v>1</v>
      </c>
      <c r="V214" s="328">
        <f>VLOOKUP(C214,METADATA!$A$5:$H$29,IF(E214="HI",2,IF(E214="LO",6,10))+IF(T214=1,2,IF(D214=7,1,(IF(WEEKDAY(B214)=1,2,IF(WEEKDAY(B214)=7,1,0))))))</f>
        <v>1</v>
      </c>
    </row>
    <row r="215" spans="2:22">
      <c r="B215" s="318">
        <f t="shared" si="11"/>
        <v>46121</v>
      </c>
      <c r="C215" s="312">
        <v>19</v>
      </c>
      <c r="D215" s="368">
        <f>IFERROR((INDEX(METADATA!$T$2:$T$20,MATCH(B215,METADATA!$S$2:$S$20,0))),0)</f>
        <v>0</v>
      </c>
      <c r="E215" s="312" t="str">
        <f t="shared" si="12"/>
        <v>LO</v>
      </c>
      <c r="F215" s="369">
        <f>VLOOKUP(C215,METADATA!$A$5:$H$29,IF(E215="HI",2,IF(E215="LO",6,10))+IF(D215=1,2,IF(D215=7,1,(IF(WEEKDAY(B215)=1,2,IF(WEEKDAY(B215)=7,1,0))))))</f>
        <v>1</v>
      </c>
      <c r="G215" s="369">
        <f>VLOOKUP(C215,METADATA!$J$5:$Q$29,IF(E215="HI",2,IF(E215="LO",6,10))+IF(D215=1,2,IF(D215=7,1,(IF(WEEKDAY(B215)=1,2,IF(WEEKDAY(B215)=7,1,0))))))</f>
        <v>1</v>
      </c>
      <c r="H215" s="370">
        <v>13372.435180664063</v>
      </c>
      <c r="I215" s="370">
        <v>2085.237476348877</v>
      </c>
      <c r="M215" s="371">
        <f t="shared" si="13"/>
        <v>13534.039973113413</v>
      </c>
      <c r="N215" s="329">
        <f t="shared" si="14"/>
        <v>0</v>
      </c>
      <c r="T215" s="331">
        <v>0</v>
      </c>
      <c r="U215" s="328">
        <f>VLOOKUP(C215,METADATA!$J$5:$Q$29,IF(E215="HI",2,IF(E215="LO",6,10))+IF(T215=1,2,IF(D215=7,1,(IF(WEEKDAY(B215)=1,2,IF(WEEKDAY(B215)=7,1,0))))))</f>
        <v>1</v>
      </c>
      <c r="V215" s="328">
        <f>VLOOKUP(C215,METADATA!$A$5:$H$29,IF(E215="HI",2,IF(E215="LO",6,10))+IF(T215=1,2,IF(D215=7,1,(IF(WEEKDAY(B215)=1,2,IF(WEEKDAY(B215)=7,1,0))))))</f>
        <v>1</v>
      </c>
    </row>
    <row r="216" spans="2:22">
      <c r="B216" s="318">
        <f t="shared" si="11"/>
        <v>46121</v>
      </c>
      <c r="C216" s="312">
        <v>20</v>
      </c>
      <c r="D216" s="368">
        <f>IFERROR((INDEX(METADATA!$T$2:$T$20,MATCH(B216,METADATA!$S$2:$S$20,0))),0)</f>
        <v>0</v>
      </c>
      <c r="E216" s="312" t="str">
        <f t="shared" si="12"/>
        <v>LO</v>
      </c>
      <c r="F216" s="369">
        <f>VLOOKUP(C216,METADATA!$A$5:$H$29,IF(E216="HI",2,IF(E216="LO",6,10))+IF(D216=1,2,IF(D216=7,1,(IF(WEEKDAY(B216)=1,2,IF(WEEKDAY(B216)=7,1,0))))))</f>
        <v>1</v>
      </c>
      <c r="G216" s="369">
        <f>VLOOKUP(C216,METADATA!$J$5:$Q$29,IF(E216="HI",2,IF(E216="LO",6,10))+IF(D216=1,2,IF(D216=7,1,(IF(WEEKDAY(B216)=1,2,IF(WEEKDAY(B216)=7,1,0))))))</f>
        <v>1</v>
      </c>
      <c r="H216" s="370">
        <v>13563.085266113281</v>
      </c>
      <c r="I216" s="370">
        <v>2163.3599510192871</v>
      </c>
      <c r="M216" s="371">
        <f t="shared" si="13"/>
        <v>13734.53341812285</v>
      </c>
      <c r="N216" s="329">
        <f t="shared" si="14"/>
        <v>0</v>
      </c>
      <c r="T216" s="331">
        <v>0</v>
      </c>
      <c r="U216" s="328">
        <f>VLOOKUP(C216,METADATA!$J$5:$Q$29,IF(E216="HI",2,IF(E216="LO",6,10))+IF(T216=1,2,IF(D216=7,1,(IF(WEEKDAY(B216)=1,2,IF(WEEKDAY(B216)=7,1,0))))))</f>
        <v>1</v>
      </c>
      <c r="V216" s="328">
        <f>VLOOKUP(C216,METADATA!$A$5:$H$29,IF(E216="HI",2,IF(E216="LO",6,10))+IF(T216=1,2,IF(D216=7,1,(IF(WEEKDAY(B216)=1,2,IF(WEEKDAY(B216)=7,1,0))))))</f>
        <v>1</v>
      </c>
    </row>
    <row r="217" spans="2:22">
      <c r="B217" s="318">
        <f t="shared" si="11"/>
        <v>46121</v>
      </c>
      <c r="C217" s="312">
        <v>21</v>
      </c>
      <c r="D217" s="368">
        <f>IFERROR((INDEX(METADATA!$T$2:$T$20,MATCH(B217,METADATA!$S$2:$S$20,0))),0)</f>
        <v>0</v>
      </c>
      <c r="E217" s="312" t="str">
        <f t="shared" si="12"/>
        <v>LO</v>
      </c>
      <c r="F217" s="369">
        <f>VLOOKUP(C217,METADATA!$A$5:$H$29,IF(E217="HI",2,IF(E217="LO",6,10))+IF(D217=1,2,IF(D217=7,1,(IF(WEEKDAY(B217)=1,2,IF(WEEKDAY(B217)=7,1,0))))))</f>
        <v>2</v>
      </c>
      <c r="G217" s="369">
        <f>VLOOKUP(C217,METADATA!$J$5:$Q$29,IF(E217="HI",2,IF(E217="LO",6,10))+IF(D217=1,2,IF(D217=7,1,(IF(WEEKDAY(B217)=1,2,IF(WEEKDAY(B217)=7,1,0))))))</f>
        <v>2</v>
      </c>
      <c r="H217" s="370">
        <v>13622.230285644531</v>
      </c>
      <c r="I217" s="370">
        <v>2055.1200141906738</v>
      </c>
      <c r="M217" s="371">
        <f t="shared" si="13"/>
        <v>13776.381100559687</v>
      </c>
      <c r="N217" s="329">
        <f t="shared" si="14"/>
        <v>0</v>
      </c>
      <c r="T217" s="331">
        <v>0</v>
      </c>
      <c r="U217" s="328">
        <f>VLOOKUP(C217,METADATA!$J$5:$Q$29,IF(E217="HI",2,IF(E217="LO",6,10))+IF(T217=1,2,IF(D217=7,1,(IF(WEEKDAY(B217)=1,2,IF(WEEKDAY(B217)=7,1,0))))))</f>
        <v>2</v>
      </c>
      <c r="V217" s="328">
        <f>VLOOKUP(C217,METADATA!$A$5:$H$29,IF(E217="HI",2,IF(E217="LO",6,10))+IF(T217=1,2,IF(D217=7,1,(IF(WEEKDAY(B217)=1,2,IF(WEEKDAY(B217)=7,1,0))))))</f>
        <v>2</v>
      </c>
    </row>
    <row r="218" spans="2:22">
      <c r="B218" s="318">
        <f t="shared" si="11"/>
        <v>46121</v>
      </c>
      <c r="C218" s="312">
        <v>22</v>
      </c>
      <c r="D218" s="368">
        <f>IFERROR((INDEX(METADATA!$T$2:$T$20,MATCH(B218,METADATA!$S$2:$S$20,0))),0)</f>
        <v>0</v>
      </c>
      <c r="E218" s="312" t="str">
        <f t="shared" si="12"/>
        <v>LO</v>
      </c>
      <c r="F218" s="369">
        <f>VLOOKUP(C218,METADATA!$A$5:$H$29,IF(E218="HI",2,IF(E218="LO",6,10))+IF(D218=1,2,IF(D218=7,1,(IF(WEEKDAY(B218)=1,2,IF(WEEKDAY(B218)=7,1,0))))))</f>
        <v>3</v>
      </c>
      <c r="G218" s="369">
        <f>VLOOKUP(C218,METADATA!$J$5:$Q$29,IF(E218="HI",2,IF(E218="LO",6,10))+IF(D218=1,2,IF(D218=7,1,(IF(WEEKDAY(B218)=1,2,IF(WEEKDAY(B218)=7,1,0))))))</f>
        <v>3</v>
      </c>
      <c r="H218" s="370">
        <v>13599.405029296875</v>
      </c>
      <c r="I218" s="370">
        <v>1883.4969825744629</v>
      </c>
      <c r="M218" s="371">
        <f t="shared" si="13"/>
        <v>13729.216220681801</v>
      </c>
      <c r="N218" s="329">
        <f t="shared" si="14"/>
        <v>0</v>
      </c>
      <c r="T218" s="331">
        <v>0</v>
      </c>
      <c r="U218" s="328">
        <f>VLOOKUP(C218,METADATA!$J$5:$Q$29,IF(E218="HI",2,IF(E218="LO",6,10))+IF(T218=1,2,IF(D218=7,1,(IF(WEEKDAY(B218)=1,2,IF(WEEKDAY(B218)=7,1,0))))))</f>
        <v>3</v>
      </c>
      <c r="V218" s="328">
        <f>VLOOKUP(C218,METADATA!$A$5:$H$29,IF(E218="HI",2,IF(E218="LO",6,10))+IF(T218=1,2,IF(D218=7,1,(IF(WEEKDAY(B218)=1,2,IF(WEEKDAY(B218)=7,1,0))))))</f>
        <v>3</v>
      </c>
    </row>
    <row r="219" spans="2:22">
      <c r="B219" s="318">
        <f t="shared" si="11"/>
        <v>46121</v>
      </c>
      <c r="C219" s="312">
        <v>23</v>
      </c>
      <c r="D219" s="368">
        <f>IFERROR((INDEX(METADATA!$T$2:$T$20,MATCH(B219,METADATA!$S$2:$S$20,0))),0)</f>
        <v>0</v>
      </c>
      <c r="E219" s="312" t="str">
        <f t="shared" si="12"/>
        <v>LO</v>
      </c>
      <c r="F219" s="369">
        <f>VLOOKUP(C219,METADATA!$A$5:$H$29,IF(E219="HI",2,IF(E219="LO",6,10))+IF(D219=1,2,IF(D219=7,1,(IF(WEEKDAY(B219)=1,2,IF(WEEKDAY(B219)=7,1,0))))))</f>
        <v>3</v>
      </c>
      <c r="G219" s="369">
        <f>VLOOKUP(C219,METADATA!$J$5:$Q$29,IF(E219="HI",2,IF(E219="LO",6,10))+IF(D219=1,2,IF(D219=7,1,(IF(WEEKDAY(B219)=1,2,IF(WEEKDAY(B219)=7,1,0))))))</f>
        <v>3</v>
      </c>
      <c r="H219" s="370">
        <v>13569.39453125</v>
      </c>
      <c r="I219" s="370">
        <v>1981.8259773254395</v>
      </c>
      <c r="M219" s="371">
        <f t="shared" si="13"/>
        <v>13713.354883073629</v>
      </c>
      <c r="N219" s="329">
        <f t="shared" si="14"/>
        <v>0</v>
      </c>
      <c r="T219" s="331">
        <v>0</v>
      </c>
      <c r="U219" s="328">
        <f>VLOOKUP(C219,METADATA!$J$5:$Q$29,IF(E219="HI",2,IF(E219="LO",6,10))+IF(T219=1,2,IF(D219=7,1,(IF(WEEKDAY(B219)=1,2,IF(WEEKDAY(B219)=7,1,0))))))</f>
        <v>3</v>
      </c>
      <c r="V219" s="328">
        <f>VLOOKUP(C219,METADATA!$A$5:$H$29,IF(E219="HI",2,IF(E219="LO",6,10))+IF(T219=1,2,IF(D219=7,1,(IF(WEEKDAY(B219)=1,2,IF(WEEKDAY(B219)=7,1,0))))))</f>
        <v>3</v>
      </c>
    </row>
    <row r="220" spans="2:22">
      <c r="B220" s="318">
        <f t="shared" ref="B220:B283" si="15">B196+1</f>
        <v>46122</v>
      </c>
      <c r="C220" s="312">
        <v>0</v>
      </c>
      <c r="D220" s="368">
        <f>IFERROR((INDEX(METADATA!$T$2:$T$20,MATCH(B220,METADATA!$S$2:$S$20,0))),0)</f>
        <v>0</v>
      </c>
      <c r="E220" s="312" t="str">
        <f t="shared" si="12"/>
        <v>LO</v>
      </c>
      <c r="F220" s="369">
        <f>VLOOKUP(C220,METADATA!$A$5:$H$29,IF(E220="HI",2,IF(E220="LO",6,10))+IF(D220=1,2,IF(D220=7,1,(IF(WEEKDAY(B220)=1,2,IF(WEEKDAY(B220)=7,1,0))))))</f>
        <v>3</v>
      </c>
      <c r="G220" s="369">
        <f>VLOOKUP(C220,METADATA!$J$5:$Q$29,IF(E220="HI",2,IF(E220="LO",6,10))+IF(D220=1,2,IF(D220=7,1,(IF(WEEKDAY(B220)=1,2,IF(WEEKDAY(B220)=7,1,0))))))</f>
        <v>3</v>
      </c>
      <c r="H220" s="370">
        <v>13738.8046875</v>
      </c>
      <c r="I220" s="370">
        <v>2091.8399696350098</v>
      </c>
      <c r="M220" s="371">
        <f t="shared" si="13"/>
        <v>13897.141745691255</v>
      </c>
      <c r="N220" s="329">
        <f t="shared" si="14"/>
        <v>0</v>
      </c>
      <c r="T220" s="331">
        <v>0</v>
      </c>
      <c r="U220" s="328">
        <f>VLOOKUP(C220,METADATA!$J$5:$Q$29,IF(E220="HI",2,IF(E220="LO",6,10))+IF(T220=1,2,IF(D220=7,1,(IF(WEEKDAY(B220)=1,2,IF(WEEKDAY(B220)=7,1,0))))))</f>
        <v>3</v>
      </c>
      <c r="V220" s="328">
        <f>VLOOKUP(C220,METADATA!$A$5:$H$29,IF(E220="HI",2,IF(E220="LO",6,10))+IF(T220=1,2,IF(D220=7,1,(IF(WEEKDAY(B220)=1,2,IF(WEEKDAY(B220)=7,1,0))))))</f>
        <v>3</v>
      </c>
    </row>
    <row r="221" spans="2:22">
      <c r="B221" s="318">
        <f t="shared" si="15"/>
        <v>46122</v>
      </c>
      <c r="C221" s="312">
        <v>1</v>
      </c>
      <c r="D221" s="368">
        <f>IFERROR((INDEX(METADATA!$T$2:$T$20,MATCH(B221,METADATA!$S$2:$S$20,0))),0)</f>
        <v>0</v>
      </c>
      <c r="E221" s="312" t="str">
        <f t="shared" si="12"/>
        <v>LO</v>
      </c>
      <c r="F221" s="369">
        <f>VLOOKUP(C221,METADATA!$A$5:$H$29,IF(E221="HI",2,IF(E221="LO",6,10))+IF(D221=1,2,IF(D221=7,1,(IF(WEEKDAY(B221)=1,2,IF(WEEKDAY(B221)=7,1,0))))))</f>
        <v>3</v>
      </c>
      <c r="G221" s="369">
        <f>VLOOKUP(C221,METADATA!$J$5:$Q$29,IF(E221="HI",2,IF(E221="LO",6,10))+IF(D221=1,2,IF(D221=7,1,(IF(WEEKDAY(B221)=1,2,IF(WEEKDAY(B221)=7,1,0))))))</f>
        <v>3</v>
      </c>
      <c r="H221" s="370">
        <v>13401.269775390625</v>
      </c>
      <c r="I221" s="370">
        <v>1959.0700225830078</v>
      </c>
      <c r="M221" s="371">
        <f t="shared" si="13"/>
        <v>13543.706543859465</v>
      </c>
      <c r="N221" s="329">
        <f t="shared" si="14"/>
        <v>0</v>
      </c>
      <c r="T221" s="331">
        <v>0</v>
      </c>
      <c r="U221" s="328">
        <f>VLOOKUP(C221,METADATA!$J$5:$Q$29,IF(E221="HI",2,IF(E221="LO",6,10))+IF(T221=1,2,IF(D221=7,1,(IF(WEEKDAY(B221)=1,2,IF(WEEKDAY(B221)=7,1,0))))))</f>
        <v>3</v>
      </c>
      <c r="V221" s="328">
        <f>VLOOKUP(C221,METADATA!$A$5:$H$29,IF(E221="HI",2,IF(E221="LO",6,10))+IF(T221=1,2,IF(D221=7,1,(IF(WEEKDAY(B221)=1,2,IF(WEEKDAY(B221)=7,1,0))))))</f>
        <v>3</v>
      </c>
    </row>
    <row r="222" spans="2:22">
      <c r="B222" s="318">
        <f t="shared" si="15"/>
        <v>46122</v>
      </c>
      <c r="C222" s="312">
        <v>2</v>
      </c>
      <c r="D222" s="368">
        <f>IFERROR((INDEX(METADATA!$T$2:$T$20,MATCH(B222,METADATA!$S$2:$S$20,0))),0)</f>
        <v>0</v>
      </c>
      <c r="E222" s="312" t="str">
        <f t="shared" si="12"/>
        <v>LO</v>
      </c>
      <c r="F222" s="369">
        <f>VLOOKUP(C222,METADATA!$A$5:$H$29,IF(E222="HI",2,IF(E222="LO",6,10))+IF(D222=1,2,IF(D222=7,1,(IF(WEEKDAY(B222)=1,2,IF(WEEKDAY(B222)=7,1,0))))))</f>
        <v>3</v>
      </c>
      <c r="G222" s="369">
        <f>VLOOKUP(C222,METADATA!$J$5:$Q$29,IF(E222="HI",2,IF(E222="LO",6,10))+IF(D222=1,2,IF(D222=7,1,(IF(WEEKDAY(B222)=1,2,IF(WEEKDAY(B222)=7,1,0))))))</f>
        <v>3</v>
      </c>
      <c r="H222" s="370">
        <v>11649.120056152344</v>
      </c>
      <c r="I222" s="370">
        <v>1502.0664970874786</v>
      </c>
      <c r="M222" s="371">
        <f t="shared" si="13"/>
        <v>11745.560942088863</v>
      </c>
      <c r="N222" s="329">
        <f t="shared" si="14"/>
        <v>0</v>
      </c>
      <c r="T222" s="331">
        <v>0</v>
      </c>
      <c r="U222" s="328">
        <f>VLOOKUP(C222,METADATA!$J$5:$Q$29,IF(E222="HI",2,IF(E222="LO",6,10))+IF(T222=1,2,IF(D222=7,1,(IF(WEEKDAY(B222)=1,2,IF(WEEKDAY(B222)=7,1,0))))))</f>
        <v>3</v>
      </c>
      <c r="V222" s="328">
        <f>VLOOKUP(C222,METADATA!$A$5:$H$29,IF(E222="HI",2,IF(E222="LO",6,10))+IF(T222=1,2,IF(D222=7,1,(IF(WEEKDAY(B222)=1,2,IF(WEEKDAY(B222)=7,1,0))))))</f>
        <v>3</v>
      </c>
    </row>
    <row r="223" spans="2:22">
      <c r="B223" s="318">
        <f t="shared" si="15"/>
        <v>46122</v>
      </c>
      <c r="C223" s="312">
        <v>3</v>
      </c>
      <c r="D223" s="368">
        <f>IFERROR((INDEX(METADATA!$T$2:$T$20,MATCH(B223,METADATA!$S$2:$S$20,0))),0)</f>
        <v>0</v>
      </c>
      <c r="E223" s="312" t="str">
        <f t="shared" si="12"/>
        <v>LO</v>
      </c>
      <c r="F223" s="369">
        <f>VLOOKUP(C223,METADATA!$A$5:$H$29,IF(E223="HI",2,IF(E223="LO",6,10))+IF(D223=1,2,IF(D223=7,1,(IF(WEEKDAY(B223)=1,2,IF(WEEKDAY(B223)=7,1,0))))))</f>
        <v>3</v>
      </c>
      <c r="G223" s="369">
        <f>VLOOKUP(C223,METADATA!$J$5:$Q$29,IF(E223="HI",2,IF(E223="LO",6,10))+IF(D223=1,2,IF(D223=7,1,(IF(WEEKDAY(B223)=1,2,IF(WEEKDAY(B223)=7,1,0))))))</f>
        <v>3</v>
      </c>
      <c r="H223" s="370">
        <v>12558.375061035156</v>
      </c>
      <c r="I223" s="370">
        <v>1675.4124993681908</v>
      </c>
      <c r="M223" s="371">
        <f t="shared" si="13"/>
        <v>12669.640532259347</v>
      </c>
      <c r="N223" s="329">
        <f t="shared" si="14"/>
        <v>0</v>
      </c>
      <c r="T223" s="331">
        <v>0</v>
      </c>
      <c r="U223" s="328">
        <f>VLOOKUP(C223,METADATA!$J$5:$Q$29,IF(E223="HI",2,IF(E223="LO",6,10))+IF(T223=1,2,IF(D223=7,1,(IF(WEEKDAY(B223)=1,2,IF(WEEKDAY(B223)=7,1,0))))))</f>
        <v>3</v>
      </c>
      <c r="V223" s="328">
        <f>VLOOKUP(C223,METADATA!$A$5:$H$29,IF(E223="HI",2,IF(E223="LO",6,10))+IF(T223=1,2,IF(D223=7,1,(IF(WEEKDAY(B223)=1,2,IF(WEEKDAY(B223)=7,1,0))))))</f>
        <v>3</v>
      </c>
    </row>
    <row r="224" spans="2:22">
      <c r="B224" s="318">
        <f t="shared" si="15"/>
        <v>46122</v>
      </c>
      <c r="C224" s="312">
        <v>4</v>
      </c>
      <c r="D224" s="368">
        <f>IFERROR((INDEX(METADATA!$T$2:$T$20,MATCH(B224,METADATA!$S$2:$S$20,0))),0)</f>
        <v>0</v>
      </c>
      <c r="E224" s="312" t="str">
        <f t="shared" si="12"/>
        <v>LO</v>
      </c>
      <c r="F224" s="369">
        <f>VLOOKUP(C224,METADATA!$A$5:$H$29,IF(E224="HI",2,IF(E224="LO",6,10))+IF(D224=1,2,IF(D224=7,1,(IF(WEEKDAY(B224)=1,2,IF(WEEKDAY(B224)=7,1,0))))))</f>
        <v>3</v>
      </c>
      <c r="G224" s="369">
        <f>VLOOKUP(C224,METADATA!$J$5:$Q$29,IF(E224="HI",2,IF(E224="LO",6,10))+IF(D224=1,2,IF(D224=7,1,(IF(WEEKDAY(B224)=1,2,IF(WEEKDAY(B224)=7,1,0))))))</f>
        <v>3</v>
      </c>
      <c r="H224" s="370">
        <v>13234.3349609375</v>
      </c>
      <c r="I224" s="370">
        <v>1879.5599479675293</v>
      </c>
      <c r="M224" s="371">
        <f t="shared" si="13"/>
        <v>13367.137593976367</v>
      </c>
      <c r="N224" s="329">
        <f t="shared" si="14"/>
        <v>0</v>
      </c>
      <c r="T224" s="331">
        <v>0</v>
      </c>
      <c r="U224" s="328">
        <f>VLOOKUP(C224,METADATA!$J$5:$Q$29,IF(E224="HI",2,IF(E224="LO",6,10))+IF(T224=1,2,IF(D224=7,1,(IF(WEEKDAY(B224)=1,2,IF(WEEKDAY(B224)=7,1,0))))))</f>
        <v>3</v>
      </c>
      <c r="V224" s="328">
        <f>VLOOKUP(C224,METADATA!$A$5:$H$29,IF(E224="HI",2,IF(E224="LO",6,10))+IF(T224=1,2,IF(D224=7,1,(IF(WEEKDAY(B224)=1,2,IF(WEEKDAY(B224)=7,1,0))))))</f>
        <v>3</v>
      </c>
    </row>
    <row r="225" spans="2:22">
      <c r="B225" s="318">
        <f t="shared" si="15"/>
        <v>46122</v>
      </c>
      <c r="C225" s="312">
        <v>5</v>
      </c>
      <c r="D225" s="368">
        <f>IFERROR((INDEX(METADATA!$T$2:$T$20,MATCH(B225,METADATA!$S$2:$S$20,0))),0)</f>
        <v>0</v>
      </c>
      <c r="E225" s="312" t="str">
        <f t="shared" si="12"/>
        <v>LO</v>
      </c>
      <c r="F225" s="369">
        <f>VLOOKUP(C225,METADATA!$A$5:$H$29,IF(E225="HI",2,IF(E225="LO",6,10))+IF(D225=1,2,IF(D225=7,1,(IF(WEEKDAY(B225)=1,2,IF(WEEKDAY(B225)=7,1,0))))))</f>
        <v>3</v>
      </c>
      <c r="G225" s="369">
        <f>VLOOKUP(C225,METADATA!$J$5:$Q$29,IF(E225="HI",2,IF(E225="LO",6,10))+IF(D225=1,2,IF(D225=7,1,(IF(WEEKDAY(B225)=1,2,IF(WEEKDAY(B225)=7,1,0))))))</f>
        <v>3</v>
      </c>
      <c r="H225" s="370">
        <v>13337.099975585938</v>
      </c>
      <c r="I225" s="370">
        <v>1812.7685375213623</v>
      </c>
      <c r="M225" s="371">
        <f t="shared" si="13"/>
        <v>13459.731257696112</v>
      </c>
      <c r="N225" s="329">
        <f t="shared" si="14"/>
        <v>0</v>
      </c>
      <c r="T225" s="331">
        <v>0</v>
      </c>
      <c r="U225" s="328">
        <f>VLOOKUP(C225,METADATA!$J$5:$Q$29,IF(E225="HI",2,IF(E225="LO",6,10))+IF(T225=1,2,IF(D225=7,1,(IF(WEEKDAY(B225)=1,2,IF(WEEKDAY(B225)=7,1,0))))))</f>
        <v>3</v>
      </c>
      <c r="V225" s="328">
        <f>VLOOKUP(C225,METADATA!$A$5:$H$29,IF(E225="HI",2,IF(E225="LO",6,10))+IF(T225=1,2,IF(D225=7,1,(IF(WEEKDAY(B225)=1,2,IF(WEEKDAY(B225)=7,1,0))))))</f>
        <v>3</v>
      </c>
    </row>
    <row r="226" spans="2:22">
      <c r="B226" s="318">
        <f t="shared" si="15"/>
        <v>46122</v>
      </c>
      <c r="C226" s="312">
        <v>6</v>
      </c>
      <c r="D226" s="368">
        <f>IFERROR((INDEX(METADATA!$T$2:$T$20,MATCH(B226,METADATA!$S$2:$S$20,0))),0)</f>
        <v>0</v>
      </c>
      <c r="E226" s="312" t="str">
        <f t="shared" si="12"/>
        <v>LO</v>
      </c>
      <c r="F226" s="369">
        <f>VLOOKUP(C226,METADATA!$A$5:$H$29,IF(E226="HI",2,IF(E226="LO",6,10))+IF(D226=1,2,IF(D226=7,1,(IF(WEEKDAY(B226)=1,2,IF(WEEKDAY(B226)=7,1,0))))))</f>
        <v>2</v>
      </c>
      <c r="G226" s="369">
        <f>VLOOKUP(C226,METADATA!$J$5:$Q$29,IF(E226="HI",2,IF(E226="LO",6,10))+IF(D226=1,2,IF(D226=7,1,(IF(WEEKDAY(B226)=1,2,IF(WEEKDAY(B226)=7,1,0))))))</f>
        <v>2</v>
      </c>
      <c r="H226" s="370">
        <v>13295.185302734375</v>
      </c>
      <c r="I226" s="370">
        <v>1898.1370162963867</v>
      </c>
      <c r="M226" s="371">
        <f t="shared" si="13"/>
        <v>13429.999120129483</v>
      </c>
      <c r="N226" s="329">
        <f t="shared" si="14"/>
        <v>0</v>
      </c>
      <c r="T226" s="331">
        <v>0</v>
      </c>
      <c r="U226" s="328">
        <f>VLOOKUP(C226,METADATA!$J$5:$Q$29,IF(E226="HI",2,IF(E226="LO",6,10))+IF(T226=1,2,IF(D226=7,1,(IF(WEEKDAY(B226)=1,2,IF(WEEKDAY(B226)=7,1,0))))))</f>
        <v>2</v>
      </c>
      <c r="V226" s="328">
        <f>VLOOKUP(C226,METADATA!$A$5:$H$29,IF(E226="HI",2,IF(E226="LO",6,10))+IF(T226=1,2,IF(D226=7,1,(IF(WEEKDAY(B226)=1,2,IF(WEEKDAY(B226)=7,1,0))))))</f>
        <v>2</v>
      </c>
    </row>
    <row r="227" spans="2:22">
      <c r="B227" s="318">
        <f t="shared" si="15"/>
        <v>46122</v>
      </c>
      <c r="C227" s="312">
        <v>7</v>
      </c>
      <c r="D227" s="368">
        <f>IFERROR((INDEX(METADATA!$T$2:$T$20,MATCH(B227,METADATA!$S$2:$S$20,0))),0)</f>
        <v>0</v>
      </c>
      <c r="E227" s="312" t="str">
        <f t="shared" si="12"/>
        <v>LO</v>
      </c>
      <c r="F227" s="369">
        <f>VLOOKUP(C227,METADATA!$A$5:$H$29,IF(E227="HI",2,IF(E227="LO",6,10))+IF(D227=1,2,IF(D227=7,1,(IF(WEEKDAY(B227)=1,2,IF(WEEKDAY(B227)=7,1,0))))))</f>
        <v>1</v>
      </c>
      <c r="G227" s="369">
        <f>VLOOKUP(C227,METADATA!$J$5:$Q$29,IF(E227="HI",2,IF(E227="LO",6,10))+IF(D227=1,2,IF(D227=7,1,(IF(WEEKDAY(B227)=1,2,IF(WEEKDAY(B227)=7,1,0))))))</f>
        <v>1</v>
      </c>
      <c r="H227" s="370">
        <v>13453.714904785156</v>
      </c>
      <c r="I227" s="370">
        <v>1941.2159957885742</v>
      </c>
      <c r="M227" s="371">
        <f t="shared" si="13"/>
        <v>13593.041024051377</v>
      </c>
      <c r="N227" s="329">
        <f t="shared" si="14"/>
        <v>0</v>
      </c>
      <c r="T227" s="331">
        <v>0</v>
      </c>
      <c r="U227" s="328">
        <f>VLOOKUP(C227,METADATA!$J$5:$Q$29,IF(E227="HI",2,IF(E227="LO",6,10))+IF(T227=1,2,IF(D227=7,1,(IF(WEEKDAY(B227)=1,2,IF(WEEKDAY(B227)=7,1,0))))))</f>
        <v>1</v>
      </c>
      <c r="V227" s="328">
        <f>VLOOKUP(C227,METADATA!$A$5:$H$29,IF(E227="HI",2,IF(E227="LO",6,10))+IF(T227=1,2,IF(D227=7,1,(IF(WEEKDAY(B227)=1,2,IF(WEEKDAY(B227)=7,1,0))))))</f>
        <v>1</v>
      </c>
    </row>
    <row r="228" spans="2:22">
      <c r="B228" s="318">
        <f t="shared" si="15"/>
        <v>46122</v>
      </c>
      <c r="C228" s="312">
        <v>8</v>
      </c>
      <c r="D228" s="368">
        <f>IFERROR((INDEX(METADATA!$T$2:$T$20,MATCH(B228,METADATA!$S$2:$S$20,0))),0)</f>
        <v>0</v>
      </c>
      <c r="E228" s="312" t="str">
        <f t="shared" si="12"/>
        <v>LO</v>
      </c>
      <c r="F228" s="369">
        <f>VLOOKUP(C228,METADATA!$A$5:$H$29,IF(E228="HI",2,IF(E228="LO",6,10))+IF(D228=1,2,IF(D228=7,1,(IF(WEEKDAY(B228)=1,2,IF(WEEKDAY(B228)=7,1,0))))))</f>
        <v>1</v>
      </c>
      <c r="G228" s="369">
        <f>VLOOKUP(C228,METADATA!$J$5:$Q$29,IF(E228="HI",2,IF(E228="LO",6,10))+IF(D228=1,2,IF(D228=7,1,(IF(WEEKDAY(B228)=1,2,IF(WEEKDAY(B228)=7,1,0))))))</f>
        <v>1</v>
      </c>
      <c r="H228" s="370">
        <v>13607.499633789063</v>
      </c>
      <c r="I228" s="370">
        <v>2113.3660507202148</v>
      </c>
      <c r="M228" s="371">
        <f t="shared" si="13"/>
        <v>13770.634057584502</v>
      </c>
      <c r="N228" s="329">
        <f t="shared" si="14"/>
        <v>0</v>
      </c>
      <c r="T228" s="331">
        <v>0</v>
      </c>
      <c r="U228" s="328">
        <f>VLOOKUP(C228,METADATA!$J$5:$Q$29,IF(E228="HI",2,IF(E228="LO",6,10))+IF(T228=1,2,IF(D228=7,1,(IF(WEEKDAY(B228)=1,2,IF(WEEKDAY(B228)=7,1,0))))))</f>
        <v>1</v>
      </c>
      <c r="V228" s="328">
        <f>VLOOKUP(C228,METADATA!$A$5:$H$29,IF(E228="HI",2,IF(E228="LO",6,10))+IF(T228=1,2,IF(D228=7,1,(IF(WEEKDAY(B228)=1,2,IF(WEEKDAY(B228)=7,1,0))))))</f>
        <v>1</v>
      </c>
    </row>
    <row r="229" spans="2:22">
      <c r="B229" s="318">
        <f t="shared" si="15"/>
        <v>46122</v>
      </c>
      <c r="C229" s="312">
        <v>9</v>
      </c>
      <c r="D229" s="368">
        <f>IFERROR((INDEX(METADATA!$T$2:$T$20,MATCH(B229,METADATA!$S$2:$S$20,0))),0)</f>
        <v>0</v>
      </c>
      <c r="E229" s="312" t="str">
        <f t="shared" si="12"/>
        <v>LO</v>
      </c>
      <c r="F229" s="369">
        <f>VLOOKUP(C229,METADATA!$A$5:$H$29,IF(E229="HI",2,IF(E229="LO",6,10))+IF(D229=1,2,IF(D229=7,1,(IF(WEEKDAY(B229)=1,2,IF(WEEKDAY(B229)=7,1,0))))))</f>
        <v>2</v>
      </c>
      <c r="G229" s="369">
        <f>VLOOKUP(C229,METADATA!$J$5:$Q$29,IF(E229="HI",2,IF(E229="LO",6,10))+IF(D229=1,2,IF(D229=7,1,(IF(WEEKDAY(B229)=1,2,IF(WEEKDAY(B229)=7,1,0))))))</f>
        <v>2</v>
      </c>
      <c r="H229" s="370">
        <v>13568.554748535156</v>
      </c>
      <c r="I229" s="370">
        <v>2088.6989707946777</v>
      </c>
      <c r="M229" s="371">
        <f t="shared" si="13"/>
        <v>13728.377229468699</v>
      </c>
      <c r="N229" s="329">
        <f t="shared" si="14"/>
        <v>0</v>
      </c>
      <c r="T229" s="331">
        <v>0</v>
      </c>
      <c r="U229" s="328">
        <f>VLOOKUP(C229,METADATA!$J$5:$Q$29,IF(E229="HI",2,IF(E229="LO",6,10))+IF(T229=1,2,IF(D229=7,1,(IF(WEEKDAY(B229)=1,2,IF(WEEKDAY(B229)=7,1,0))))))</f>
        <v>2</v>
      </c>
      <c r="V229" s="328">
        <f>VLOOKUP(C229,METADATA!$A$5:$H$29,IF(E229="HI",2,IF(E229="LO",6,10))+IF(T229=1,2,IF(D229=7,1,(IF(WEEKDAY(B229)=1,2,IF(WEEKDAY(B229)=7,1,0))))))</f>
        <v>2</v>
      </c>
    </row>
    <row r="230" spans="2:22">
      <c r="B230" s="318">
        <f t="shared" si="15"/>
        <v>46122</v>
      </c>
      <c r="C230" s="312">
        <v>10</v>
      </c>
      <c r="D230" s="368">
        <f>IFERROR((INDEX(METADATA!$T$2:$T$20,MATCH(B230,METADATA!$S$2:$S$20,0))),0)</f>
        <v>0</v>
      </c>
      <c r="E230" s="312" t="str">
        <f t="shared" si="12"/>
        <v>LO</v>
      </c>
      <c r="F230" s="369">
        <f>VLOOKUP(C230,METADATA!$A$5:$H$29,IF(E230="HI",2,IF(E230="LO",6,10))+IF(D230=1,2,IF(D230=7,1,(IF(WEEKDAY(B230)=1,2,IF(WEEKDAY(B230)=7,1,0))))))</f>
        <v>2</v>
      </c>
      <c r="G230" s="369">
        <f>VLOOKUP(C230,METADATA!$J$5:$Q$29,IF(E230="HI",2,IF(E230="LO",6,10))+IF(D230=1,2,IF(D230=7,1,(IF(WEEKDAY(B230)=1,2,IF(WEEKDAY(B230)=7,1,0))))))</f>
        <v>2</v>
      </c>
      <c r="H230" s="370">
        <v>13524.039978027344</v>
      </c>
      <c r="I230" s="370">
        <v>2060.87744140625</v>
      </c>
      <c r="M230" s="371">
        <f t="shared" si="13"/>
        <v>13680.163491558827</v>
      </c>
      <c r="N230" s="329">
        <f t="shared" si="14"/>
        <v>0</v>
      </c>
      <c r="T230" s="331">
        <v>0</v>
      </c>
      <c r="U230" s="328">
        <f>VLOOKUP(C230,METADATA!$J$5:$Q$29,IF(E230="HI",2,IF(E230="LO",6,10))+IF(T230=1,2,IF(D230=7,1,(IF(WEEKDAY(B230)=1,2,IF(WEEKDAY(B230)=7,1,0))))))</f>
        <v>2</v>
      </c>
      <c r="V230" s="328">
        <f>VLOOKUP(C230,METADATA!$A$5:$H$29,IF(E230="HI",2,IF(E230="LO",6,10))+IF(T230=1,2,IF(D230=7,1,(IF(WEEKDAY(B230)=1,2,IF(WEEKDAY(B230)=7,1,0))))))</f>
        <v>2</v>
      </c>
    </row>
    <row r="231" spans="2:22">
      <c r="B231" s="318">
        <f t="shared" si="15"/>
        <v>46122</v>
      </c>
      <c r="C231" s="312">
        <v>11</v>
      </c>
      <c r="D231" s="368">
        <f>IFERROR((INDEX(METADATA!$T$2:$T$20,MATCH(B231,METADATA!$S$2:$S$20,0))),0)</f>
        <v>0</v>
      </c>
      <c r="E231" s="312" t="str">
        <f t="shared" si="12"/>
        <v>LO</v>
      </c>
      <c r="F231" s="369">
        <f>VLOOKUP(C231,METADATA!$A$5:$H$29,IF(E231="HI",2,IF(E231="LO",6,10))+IF(D231=1,2,IF(D231=7,1,(IF(WEEKDAY(B231)=1,2,IF(WEEKDAY(B231)=7,1,0))))))</f>
        <v>2</v>
      </c>
      <c r="G231" s="369">
        <f>VLOOKUP(C231,METADATA!$J$5:$Q$29,IF(E231="HI",2,IF(E231="LO",6,10))+IF(D231=1,2,IF(D231=7,1,(IF(WEEKDAY(B231)=1,2,IF(WEEKDAY(B231)=7,1,0))))))</f>
        <v>2</v>
      </c>
      <c r="H231" s="370">
        <v>13468.144714355469</v>
      </c>
      <c r="I231" s="370">
        <v>2071.8724842071533</v>
      </c>
      <c r="M231" s="371">
        <f t="shared" si="13"/>
        <v>13626.576152417592</v>
      </c>
      <c r="N231" s="329">
        <f t="shared" si="14"/>
        <v>0</v>
      </c>
      <c r="T231" s="331">
        <v>0</v>
      </c>
      <c r="U231" s="328">
        <f>VLOOKUP(C231,METADATA!$J$5:$Q$29,IF(E231="HI",2,IF(E231="LO",6,10))+IF(T231=1,2,IF(D231=7,1,(IF(WEEKDAY(B231)=1,2,IF(WEEKDAY(B231)=7,1,0))))))</f>
        <v>2</v>
      </c>
      <c r="V231" s="328">
        <f>VLOOKUP(C231,METADATA!$A$5:$H$29,IF(E231="HI",2,IF(E231="LO",6,10))+IF(T231=1,2,IF(D231=7,1,(IF(WEEKDAY(B231)=1,2,IF(WEEKDAY(B231)=7,1,0))))))</f>
        <v>2</v>
      </c>
    </row>
    <row r="232" spans="2:22">
      <c r="B232" s="318">
        <f t="shared" si="15"/>
        <v>46122</v>
      </c>
      <c r="C232" s="312">
        <v>12</v>
      </c>
      <c r="D232" s="368">
        <f>IFERROR((INDEX(METADATA!$T$2:$T$20,MATCH(B232,METADATA!$S$2:$S$20,0))),0)</f>
        <v>0</v>
      </c>
      <c r="E232" s="312" t="str">
        <f t="shared" si="12"/>
        <v>LO</v>
      </c>
      <c r="F232" s="369">
        <f>VLOOKUP(C232,METADATA!$A$5:$H$29,IF(E232="HI",2,IF(E232="LO",6,10))+IF(D232=1,2,IF(D232=7,1,(IF(WEEKDAY(B232)=1,2,IF(WEEKDAY(B232)=7,1,0))))))</f>
        <v>2</v>
      </c>
      <c r="G232" s="369">
        <f>VLOOKUP(C232,METADATA!$J$5:$Q$29,IF(E232="HI",2,IF(E232="LO",6,10))+IF(D232=1,2,IF(D232=7,1,(IF(WEEKDAY(B232)=1,2,IF(WEEKDAY(B232)=7,1,0))))))</f>
        <v>2</v>
      </c>
      <c r="H232" s="370">
        <v>12987.280212402344</v>
      </c>
      <c r="I232" s="370">
        <v>1916.9770717024803</v>
      </c>
      <c r="M232" s="371">
        <f t="shared" si="13"/>
        <v>13127.994835803771</v>
      </c>
      <c r="N232" s="329">
        <f t="shared" si="14"/>
        <v>0</v>
      </c>
      <c r="T232" s="331">
        <v>0</v>
      </c>
      <c r="U232" s="328">
        <f>VLOOKUP(C232,METADATA!$J$5:$Q$29,IF(E232="HI",2,IF(E232="LO",6,10))+IF(T232=1,2,IF(D232=7,1,(IF(WEEKDAY(B232)=1,2,IF(WEEKDAY(B232)=7,1,0))))))</f>
        <v>2</v>
      </c>
      <c r="V232" s="328">
        <f>VLOOKUP(C232,METADATA!$A$5:$H$29,IF(E232="HI",2,IF(E232="LO",6,10))+IF(T232=1,2,IF(D232=7,1,(IF(WEEKDAY(B232)=1,2,IF(WEEKDAY(B232)=7,1,0))))))</f>
        <v>2</v>
      </c>
    </row>
    <row r="233" spans="2:22">
      <c r="B233" s="318">
        <f t="shared" si="15"/>
        <v>46122</v>
      </c>
      <c r="C233" s="312">
        <v>13</v>
      </c>
      <c r="D233" s="368">
        <f>IFERROR((INDEX(METADATA!$T$2:$T$20,MATCH(B233,METADATA!$S$2:$S$20,0))),0)</f>
        <v>0</v>
      </c>
      <c r="E233" s="312" t="str">
        <f t="shared" si="12"/>
        <v>LO</v>
      </c>
      <c r="F233" s="369">
        <f>VLOOKUP(C233,METADATA!$A$5:$H$29,IF(E233="HI",2,IF(E233="LO",6,10))+IF(D233=1,2,IF(D233=7,1,(IF(WEEKDAY(B233)=1,2,IF(WEEKDAY(B233)=7,1,0))))))</f>
        <v>2</v>
      </c>
      <c r="G233" s="369">
        <f>VLOOKUP(C233,METADATA!$J$5:$Q$29,IF(E233="HI",2,IF(E233="LO",6,10))+IF(D233=1,2,IF(D233=7,1,(IF(WEEKDAY(B233)=1,2,IF(WEEKDAY(B233)=7,1,0))))))</f>
        <v>2</v>
      </c>
      <c r="H233" s="370">
        <v>13353.645141601563</v>
      </c>
      <c r="I233" s="370">
        <v>2055.81396484375</v>
      </c>
      <c r="M233" s="371">
        <f t="shared" si="13"/>
        <v>13510.966272841686</v>
      </c>
      <c r="N233" s="329">
        <f t="shared" si="14"/>
        <v>0</v>
      </c>
      <c r="T233" s="331">
        <v>0</v>
      </c>
      <c r="U233" s="328">
        <f>VLOOKUP(C233,METADATA!$J$5:$Q$29,IF(E233="HI",2,IF(E233="LO",6,10))+IF(T233=1,2,IF(D233=7,1,(IF(WEEKDAY(B233)=1,2,IF(WEEKDAY(B233)=7,1,0))))))</f>
        <v>2</v>
      </c>
      <c r="V233" s="328">
        <f>VLOOKUP(C233,METADATA!$A$5:$H$29,IF(E233="HI",2,IF(E233="LO",6,10))+IF(T233=1,2,IF(D233=7,1,(IF(WEEKDAY(B233)=1,2,IF(WEEKDAY(B233)=7,1,0))))))</f>
        <v>2</v>
      </c>
    </row>
    <row r="234" spans="2:22">
      <c r="B234" s="318">
        <f t="shared" si="15"/>
        <v>46122</v>
      </c>
      <c r="C234" s="312">
        <v>14</v>
      </c>
      <c r="D234" s="368">
        <f>IFERROR((INDEX(METADATA!$T$2:$T$20,MATCH(B234,METADATA!$S$2:$S$20,0))),0)</f>
        <v>0</v>
      </c>
      <c r="E234" s="312" t="str">
        <f t="shared" si="12"/>
        <v>LO</v>
      </c>
      <c r="F234" s="369">
        <f>VLOOKUP(C234,METADATA!$A$5:$H$29,IF(E234="HI",2,IF(E234="LO",6,10))+IF(D234=1,2,IF(D234=7,1,(IF(WEEKDAY(B234)=1,2,IF(WEEKDAY(B234)=7,1,0))))))</f>
        <v>2</v>
      </c>
      <c r="G234" s="369">
        <f>VLOOKUP(C234,METADATA!$J$5:$Q$29,IF(E234="HI",2,IF(E234="LO",6,10))+IF(D234=1,2,IF(D234=7,1,(IF(WEEKDAY(B234)=1,2,IF(WEEKDAY(B234)=7,1,0))))))</f>
        <v>2</v>
      </c>
      <c r="H234" s="370">
        <v>13573.935607910156</v>
      </c>
      <c r="I234" s="370">
        <v>2188.2975044250488</v>
      </c>
      <c r="M234" s="371">
        <f t="shared" si="13"/>
        <v>13749.195389387851</v>
      </c>
      <c r="N234" s="329">
        <f t="shared" si="14"/>
        <v>0</v>
      </c>
      <c r="T234" s="331">
        <v>0</v>
      </c>
      <c r="U234" s="328">
        <f>VLOOKUP(C234,METADATA!$J$5:$Q$29,IF(E234="HI",2,IF(E234="LO",6,10))+IF(T234=1,2,IF(D234=7,1,(IF(WEEKDAY(B234)=1,2,IF(WEEKDAY(B234)=7,1,0))))))</f>
        <v>2</v>
      </c>
      <c r="V234" s="328">
        <f>VLOOKUP(C234,METADATA!$A$5:$H$29,IF(E234="HI",2,IF(E234="LO",6,10))+IF(T234=1,2,IF(D234=7,1,(IF(WEEKDAY(B234)=1,2,IF(WEEKDAY(B234)=7,1,0))))))</f>
        <v>2</v>
      </c>
    </row>
    <row r="235" spans="2:22">
      <c r="B235" s="318">
        <f t="shared" si="15"/>
        <v>46122</v>
      </c>
      <c r="C235" s="312">
        <v>15</v>
      </c>
      <c r="D235" s="368">
        <f>IFERROR((INDEX(METADATA!$T$2:$T$20,MATCH(B235,METADATA!$S$2:$S$20,0))),0)</f>
        <v>0</v>
      </c>
      <c r="E235" s="312" t="str">
        <f t="shared" si="12"/>
        <v>LO</v>
      </c>
      <c r="F235" s="369">
        <f>VLOOKUP(C235,METADATA!$A$5:$H$29,IF(E235="HI",2,IF(E235="LO",6,10))+IF(D235=1,2,IF(D235=7,1,(IF(WEEKDAY(B235)=1,2,IF(WEEKDAY(B235)=7,1,0))))))</f>
        <v>2</v>
      </c>
      <c r="G235" s="369">
        <f>VLOOKUP(C235,METADATA!$J$5:$Q$29,IF(E235="HI",2,IF(E235="LO",6,10))+IF(D235=1,2,IF(D235=7,1,(IF(WEEKDAY(B235)=1,2,IF(WEEKDAY(B235)=7,1,0))))))</f>
        <v>2</v>
      </c>
      <c r="H235" s="370">
        <v>13554.634826660156</v>
      </c>
      <c r="I235" s="370">
        <v>2280.1674728393555</v>
      </c>
      <c r="M235" s="371">
        <f t="shared" si="13"/>
        <v>13745.082356548577</v>
      </c>
      <c r="N235" s="329">
        <f t="shared" si="14"/>
        <v>0</v>
      </c>
      <c r="T235" s="331">
        <v>0</v>
      </c>
      <c r="U235" s="328">
        <f>VLOOKUP(C235,METADATA!$J$5:$Q$29,IF(E235="HI",2,IF(E235="LO",6,10))+IF(T235=1,2,IF(D235=7,1,(IF(WEEKDAY(B235)=1,2,IF(WEEKDAY(B235)=7,1,0))))))</f>
        <v>2</v>
      </c>
      <c r="V235" s="328">
        <f>VLOOKUP(C235,METADATA!$A$5:$H$29,IF(E235="HI",2,IF(E235="LO",6,10))+IF(T235=1,2,IF(D235=7,1,(IF(WEEKDAY(B235)=1,2,IF(WEEKDAY(B235)=7,1,0))))))</f>
        <v>2</v>
      </c>
    </row>
    <row r="236" spans="2:22">
      <c r="B236" s="318">
        <f t="shared" si="15"/>
        <v>46122</v>
      </c>
      <c r="C236" s="312">
        <v>16</v>
      </c>
      <c r="D236" s="368">
        <f>IFERROR((INDEX(METADATA!$T$2:$T$20,MATCH(B236,METADATA!$S$2:$S$20,0))),0)</f>
        <v>0</v>
      </c>
      <c r="E236" s="312" t="str">
        <f t="shared" si="12"/>
        <v>LO</v>
      </c>
      <c r="F236" s="369">
        <f>VLOOKUP(C236,METADATA!$A$5:$H$29,IF(E236="HI",2,IF(E236="LO",6,10))+IF(D236=1,2,IF(D236=7,1,(IF(WEEKDAY(B236)=1,2,IF(WEEKDAY(B236)=7,1,0))))))</f>
        <v>2</v>
      </c>
      <c r="G236" s="369">
        <f>VLOOKUP(C236,METADATA!$J$5:$Q$29,IF(E236="HI",2,IF(E236="LO",6,10))+IF(D236=1,2,IF(D236=7,1,(IF(WEEKDAY(B236)=1,2,IF(WEEKDAY(B236)=7,1,0))))))</f>
        <v>2</v>
      </c>
      <c r="H236" s="370">
        <v>13567.425170898438</v>
      </c>
      <c r="I236" s="370">
        <v>2217.7198867797852</v>
      </c>
      <c r="M236" s="371">
        <f t="shared" si="13"/>
        <v>13747.483670262969</v>
      </c>
      <c r="N236" s="329">
        <f t="shared" si="14"/>
        <v>0</v>
      </c>
      <c r="T236" s="331">
        <v>0</v>
      </c>
      <c r="U236" s="328">
        <f>VLOOKUP(C236,METADATA!$J$5:$Q$29,IF(E236="HI",2,IF(E236="LO",6,10))+IF(T236=1,2,IF(D236=7,1,(IF(WEEKDAY(B236)=1,2,IF(WEEKDAY(B236)=7,1,0))))))</f>
        <v>2</v>
      </c>
      <c r="V236" s="328">
        <f>VLOOKUP(C236,METADATA!$A$5:$H$29,IF(E236="HI",2,IF(E236="LO",6,10))+IF(T236=1,2,IF(D236=7,1,(IF(WEEKDAY(B236)=1,2,IF(WEEKDAY(B236)=7,1,0))))))</f>
        <v>2</v>
      </c>
    </row>
    <row r="237" spans="2:22">
      <c r="B237" s="318">
        <f t="shared" si="15"/>
        <v>46122</v>
      </c>
      <c r="C237" s="312">
        <v>17</v>
      </c>
      <c r="D237" s="368">
        <f>IFERROR((INDEX(METADATA!$T$2:$T$20,MATCH(B237,METADATA!$S$2:$S$20,0))),0)</f>
        <v>0</v>
      </c>
      <c r="E237" s="312" t="str">
        <f t="shared" si="12"/>
        <v>LO</v>
      </c>
      <c r="F237" s="369">
        <f>VLOOKUP(C237,METADATA!$A$5:$H$29,IF(E237="HI",2,IF(E237="LO",6,10))+IF(D237=1,2,IF(D237=7,1,(IF(WEEKDAY(B237)=1,2,IF(WEEKDAY(B237)=7,1,0))))))</f>
        <v>2</v>
      </c>
      <c r="G237" s="369">
        <f>VLOOKUP(C237,METADATA!$J$5:$Q$29,IF(E237="HI",2,IF(E237="LO",6,10))+IF(D237=1,2,IF(D237=7,1,(IF(WEEKDAY(B237)=1,2,IF(WEEKDAY(B237)=7,1,0))))))</f>
        <v>2</v>
      </c>
      <c r="H237" s="370">
        <v>13568.675354003906</v>
      </c>
      <c r="I237" s="370">
        <v>2250.2419090270996</v>
      </c>
      <c r="M237" s="371">
        <f t="shared" si="13"/>
        <v>13754.000854714783</v>
      </c>
      <c r="N237" s="329">
        <f t="shared" si="14"/>
        <v>0</v>
      </c>
      <c r="T237" s="331">
        <v>0</v>
      </c>
      <c r="U237" s="328">
        <f>VLOOKUP(C237,METADATA!$J$5:$Q$29,IF(E237="HI",2,IF(E237="LO",6,10))+IF(T237=1,2,IF(D237=7,1,(IF(WEEKDAY(B237)=1,2,IF(WEEKDAY(B237)=7,1,0))))))</f>
        <v>2</v>
      </c>
      <c r="V237" s="328">
        <f>VLOOKUP(C237,METADATA!$A$5:$H$29,IF(E237="HI",2,IF(E237="LO",6,10))+IF(T237=1,2,IF(D237=7,1,(IF(WEEKDAY(B237)=1,2,IF(WEEKDAY(B237)=7,1,0))))))</f>
        <v>2</v>
      </c>
    </row>
    <row r="238" spans="2:22">
      <c r="B238" s="318">
        <f t="shared" si="15"/>
        <v>46122</v>
      </c>
      <c r="C238" s="312">
        <v>18</v>
      </c>
      <c r="D238" s="368">
        <f>IFERROR((INDEX(METADATA!$T$2:$T$20,MATCH(B238,METADATA!$S$2:$S$20,0))),0)</f>
        <v>0</v>
      </c>
      <c r="E238" s="312" t="str">
        <f t="shared" si="12"/>
        <v>LO</v>
      </c>
      <c r="F238" s="369">
        <f>VLOOKUP(C238,METADATA!$A$5:$H$29,IF(E238="HI",2,IF(E238="LO",6,10))+IF(D238=1,2,IF(D238=7,1,(IF(WEEKDAY(B238)=1,2,IF(WEEKDAY(B238)=7,1,0))))))</f>
        <v>1</v>
      </c>
      <c r="G238" s="369">
        <f>VLOOKUP(C238,METADATA!$J$5:$Q$29,IF(E238="HI",2,IF(E238="LO",6,10))+IF(D238=1,2,IF(D238=7,1,(IF(WEEKDAY(B238)=1,2,IF(WEEKDAY(B238)=7,1,0))))))</f>
        <v>1</v>
      </c>
      <c r="H238" s="370">
        <v>13466.779968261719</v>
      </c>
      <c r="I238" s="370">
        <v>2165.9765129089355</v>
      </c>
      <c r="M238" s="371">
        <f t="shared" si="13"/>
        <v>13639.853993648474</v>
      </c>
      <c r="N238" s="329">
        <f t="shared" si="14"/>
        <v>0</v>
      </c>
      <c r="T238" s="331">
        <v>0</v>
      </c>
      <c r="U238" s="328">
        <f>VLOOKUP(C238,METADATA!$J$5:$Q$29,IF(E238="HI",2,IF(E238="LO",6,10))+IF(T238=1,2,IF(D238=7,1,(IF(WEEKDAY(B238)=1,2,IF(WEEKDAY(B238)=7,1,0))))))</f>
        <v>1</v>
      </c>
      <c r="V238" s="328">
        <f>VLOOKUP(C238,METADATA!$A$5:$H$29,IF(E238="HI",2,IF(E238="LO",6,10))+IF(T238=1,2,IF(D238=7,1,(IF(WEEKDAY(B238)=1,2,IF(WEEKDAY(B238)=7,1,0))))))</f>
        <v>1</v>
      </c>
    </row>
    <row r="239" spans="2:22">
      <c r="B239" s="318">
        <f t="shared" si="15"/>
        <v>46122</v>
      </c>
      <c r="C239" s="312">
        <v>19</v>
      </c>
      <c r="D239" s="368">
        <f>IFERROR((INDEX(METADATA!$T$2:$T$20,MATCH(B239,METADATA!$S$2:$S$20,0))),0)</f>
        <v>0</v>
      </c>
      <c r="E239" s="312" t="str">
        <f t="shared" si="12"/>
        <v>LO</v>
      </c>
      <c r="F239" s="369">
        <f>VLOOKUP(C239,METADATA!$A$5:$H$29,IF(E239="HI",2,IF(E239="LO",6,10))+IF(D239=1,2,IF(D239=7,1,(IF(WEEKDAY(B239)=1,2,IF(WEEKDAY(B239)=7,1,0))))))</f>
        <v>1</v>
      </c>
      <c r="G239" s="369">
        <f>VLOOKUP(C239,METADATA!$J$5:$Q$29,IF(E239="HI",2,IF(E239="LO",6,10))+IF(D239=1,2,IF(D239=7,1,(IF(WEEKDAY(B239)=1,2,IF(WEEKDAY(B239)=7,1,0))))))</f>
        <v>1</v>
      </c>
      <c r="H239" s="370">
        <v>13494.369873046875</v>
      </c>
      <c r="I239" s="370">
        <v>2136.8139839172363</v>
      </c>
      <c r="M239" s="371">
        <f t="shared" si="13"/>
        <v>13662.50314812258</v>
      </c>
      <c r="N239" s="329">
        <f t="shared" si="14"/>
        <v>0</v>
      </c>
      <c r="T239" s="331">
        <v>0</v>
      </c>
      <c r="U239" s="328">
        <f>VLOOKUP(C239,METADATA!$J$5:$Q$29,IF(E239="HI",2,IF(E239="LO",6,10))+IF(T239=1,2,IF(D239=7,1,(IF(WEEKDAY(B239)=1,2,IF(WEEKDAY(B239)=7,1,0))))))</f>
        <v>1</v>
      </c>
      <c r="V239" s="328">
        <f>VLOOKUP(C239,METADATA!$A$5:$H$29,IF(E239="HI",2,IF(E239="LO",6,10))+IF(T239=1,2,IF(D239=7,1,(IF(WEEKDAY(B239)=1,2,IF(WEEKDAY(B239)=7,1,0))))))</f>
        <v>1</v>
      </c>
    </row>
    <row r="240" spans="2:22">
      <c r="B240" s="318">
        <f t="shared" si="15"/>
        <v>46122</v>
      </c>
      <c r="C240" s="312">
        <v>20</v>
      </c>
      <c r="D240" s="368">
        <f>IFERROR((INDEX(METADATA!$T$2:$T$20,MATCH(B240,METADATA!$S$2:$S$20,0))),0)</f>
        <v>0</v>
      </c>
      <c r="E240" s="312" t="str">
        <f t="shared" si="12"/>
        <v>LO</v>
      </c>
      <c r="F240" s="369">
        <f>VLOOKUP(C240,METADATA!$A$5:$H$29,IF(E240="HI",2,IF(E240="LO",6,10))+IF(D240=1,2,IF(D240=7,1,(IF(WEEKDAY(B240)=1,2,IF(WEEKDAY(B240)=7,1,0))))))</f>
        <v>1</v>
      </c>
      <c r="G240" s="369">
        <f>VLOOKUP(C240,METADATA!$J$5:$Q$29,IF(E240="HI",2,IF(E240="LO",6,10))+IF(D240=1,2,IF(D240=7,1,(IF(WEEKDAY(B240)=1,2,IF(WEEKDAY(B240)=7,1,0))))))</f>
        <v>1</v>
      </c>
      <c r="H240" s="370">
        <v>13499.72998046875</v>
      </c>
      <c r="I240" s="370">
        <v>2091.5039520263672</v>
      </c>
      <c r="M240" s="371">
        <f t="shared" si="13"/>
        <v>13660.786885348469</v>
      </c>
      <c r="N240" s="329">
        <f t="shared" si="14"/>
        <v>0</v>
      </c>
      <c r="T240" s="331">
        <v>0</v>
      </c>
      <c r="U240" s="328">
        <f>VLOOKUP(C240,METADATA!$J$5:$Q$29,IF(E240="HI",2,IF(E240="LO",6,10))+IF(T240=1,2,IF(D240=7,1,(IF(WEEKDAY(B240)=1,2,IF(WEEKDAY(B240)=7,1,0))))))</f>
        <v>1</v>
      </c>
      <c r="V240" s="328">
        <f>VLOOKUP(C240,METADATA!$A$5:$H$29,IF(E240="HI",2,IF(E240="LO",6,10))+IF(T240=1,2,IF(D240=7,1,(IF(WEEKDAY(B240)=1,2,IF(WEEKDAY(B240)=7,1,0))))))</f>
        <v>1</v>
      </c>
    </row>
    <row r="241" spans="2:22">
      <c r="B241" s="318">
        <f t="shared" si="15"/>
        <v>46122</v>
      </c>
      <c r="C241" s="312">
        <v>21</v>
      </c>
      <c r="D241" s="368">
        <f>IFERROR((INDEX(METADATA!$T$2:$T$20,MATCH(B241,METADATA!$S$2:$S$20,0))),0)</f>
        <v>0</v>
      </c>
      <c r="E241" s="312" t="str">
        <f t="shared" si="12"/>
        <v>LO</v>
      </c>
      <c r="F241" s="369">
        <f>VLOOKUP(C241,METADATA!$A$5:$H$29,IF(E241="HI",2,IF(E241="LO",6,10))+IF(D241=1,2,IF(D241=7,1,(IF(WEEKDAY(B241)=1,2,IF(WEEKDAY(B241)=7,1,0))))))</f>
        <v>2</v>
      </c>
      <c r="G241" s="369">
        <f>VLOOKUP(C241,METADATA!$J$5:$Q$29,IF(E241="HI",2,IF(E241="LO",6,10))+IF(D241=1,2,IF(D241=7,1,(IF(WEEKDAY(B241)=1,2,IF(WEEKDAY(B241)=7,1,0))))))</f>
        <v>2</v>
      </c>
      <c r="H241" s="370">
        <v>13571.709899902344</v>
      </c>
      <c r="I241" s="370">
        <v>2101.6555347442627</v>
      </c>
      <c r="M241" s="371">
        <f t="shared" si="13"/>
        <v>13733.472452145104</v>
      </c>
      <c r="N241" s="329">
        <f t="shared" si="14"/>
        <v>0</v>
      </c>
      <c r="T241" s="331">
        <v>0</v>
      </c>
      <c r="U241" s="328">
        <f>VLOOKUP(C241,METADATA!$J$5:$Q$29,IF(E241="HI",2,IF(E241="LO",6,10))+IF(T241=1,2,IF(D241=7,1,(IF(WEEKDAY(B241)=1,2,IF(WEEKDAY(B241)=7,1,0))))))</f>
        <v>2</v>
      </c>
      <c r="V241" s="328">
        <f>VLOOKUP(C241,METADATA!$A$5:$H$29,IF(E241="HI",2,IF(E241="LO",6,10))+IF(T241=1,2,IF(D241=7,1,(IF(WEEKDAY(B241)=1,2,IF(WEEKDAY(B241)=7,1,0))))))</f>
        <v>2</v>
      </c>
    </row>
    <row r="242" spans="2:22">
      <c r="B242" s="318">
        <f t="shared" si="15"/>
        <v>46122</v>
      </c>
      <c r="C242" s="312">
        <v>22</v>
      </c>
      <c r="D242" s="368">
        <f>IFERROR((INDEX(METADATA!$T$2:$T$20,MATCH(B242,METADATA!$S$2:$S$20,0))),0)</f>
        <v>0</v>
      </c>
      <c r="E242" s="312" t="str">
        <f t="shared" si="12"/>
        <v>LO</v>
      </c>
      <c r="F242" s="369">
        <f>VLOOKUP(C242,METADATA!$A$5:$H$29,IF(E242="HI",2,IF(E242="LO",6,10))+IF(D242=1,2,IF(D242=7,1,(IF(WEEKDAY(B242)=1,2,IF(WEEKDAY(B242)=7,1,0))))))</f>
        <v>3</v>
      </c>
      <c r="G242" s="369">
        <f>VLOOKUP(C242,METADATA!$J$5:$Q$29,IF(E242="HI",2,IF(E242="LO",6,10))+IF(D242=1,2,IF(D242=7,1,(IF(WEEKDAY(B242)=1,2,IF(WEEKDAY(B242)=7,1,0))))))</f>
        <v>3</v>
      </c>
      <c r="H242" s="370">
        <v>13596.129638671875</v>
      </c>
      <c r="I242" s="370">
        <v>2168.0180168151855</v>
      </c>
      <c r="M242" s="371">
        <f t="shared" si="13"/>
        <v>13767.899014475923</v>
      </c>
      <c r="N242" s="329">
        <f t="shared" si="14"/>
        <v>0</v>
      </c>
      <c r="T242" s="331">
        <v>0</v>
      </c>
      <c r="U242" s="328">
        <f>VLOOKUP(C242,METADATA!$J$5:$Q$29,IF(E242="HI",2,IF(E242="LO",6,10))+IF(T242=1,2,IF(D242=7,1,(IF(WEEKDAY(B242)=1,2,IF(WEEKDAY(B242)=7,1,0))))))</f>
        <v>3</v>
      </c>
      <c r="V242" s="328">
        <f>VLOOKUP(C242,METADATA!$A$5:$H$29,IF(E242="HI",2,IF(E242="LO",6,10))+IF(T242=1,2,IF(D242=7,1,(IF(WEEKDAY(B242)=1,2,IF(WEEKDAY(B242)=7,1,0))))))</f>
        <v>3</v>
      </c>
    </row>
    <row r="243" spans="2:22">
      <c r="B243" s="318">
        <f t="shared" si="15"/>
        <v>46122</v>
      </c>
      <c r="C243" s="312">
        <v>23</v>
      </c>
      <c r="D243" s="368">
        <f>IFERROR((INDEX(METADATA!$T$2:$T$20,MATCH(B243,METADATA!$S$2:$S$20,0))),0)</f>
        <v>0</v>
      </c>
      <c r="E243" s="312" t="str">
        <f t="shared" si="12"/>
        <v>LO</v>
      </c>
      <c r="F243" s="369">
        <f>VLOOKUP(C243,METADATA!$A$5:$H$29,IF(E243="HI",2,IF(E243="LO",6,10))+IF(D243=1,2,IF(D243=7,1,(IF(WEEKDAY(B243)=1,2,IF(WEEKDAY(B243)=7,1,0))))))</f>
        <v>3</v>
      </c>
      <c r="G243" s="369">
        <f>VLOOKUP(C243,METADATA!$J$5:$Q$29,IF(E243="HI",2,IF(E243="LO",6,10))+IF(D243=1,2,IF(D243=7,1,(IF(WEEKDAY(B243)=1,2,IF(WEEKDAY(B243)=7,1,0))))))</f>
        <v>3</v>
      </c>
      <c r="H243" s="370">
        <v>13556.109802246094</v>
      </c>
      <c r="I243" s="370">
        <v>2113.3914699554443</v>
      </c>
      <c r="M243" s="371">
        <f t="shared" si="13"/>
        <v>13719.859200291856</v>
      </c>
      <c r="N243" s="329">
        <f t="shared" si="14"/>
        <v>0</v>
      </c>
      <c r="T243" s="331">
        <v>0</v>
      </c>
      <c r="U243" s="328">
        <f>VLOOKUP(C243,METADATA!$J$5:$Q$29,IF(E243="HI",2,IF(E243="LO",6,10))+IF(T243=1,2,IF(D243=7,1,(IF(WEEKDAY(B243)=1,2,IF(WEEKDAY(B243)=7,1,0))))))</f>
        <v>3</v>
      </c>
      <c r="V243" s="328">
        <f>VLOOKUP(C243,METADATA!$A$5:$H$29,IF(E243="HI",2,IF(E243="LO",6,10))+IF(T243=1,2,IF(D243=7,1,(IF(WEEKDAY(B243)=1,2,IF(WEEKDAY(B243)=7,1,0))))))</f>
        <v>3</v>
      </c>
    </row>
    <row r="244" spans="2:22">
      <c r="B244" s="318">
        <f t="shared" si="15"/>
        <v>46123</v>
      </c>
      <c r="C244" s="312">
        <v>0</v>
      </c>
      <c r="D244" s="368">
        <f>IFERROR((INDEX(METADATA!$T$2:$T$20,MATCH(B244,METADATA!$S$2:$S$20,0))),0)</f>
        <v>0</v>
      </c>
      <c r="E244" s="312" t="str">
        <f t="shared" si="12"/>
        <v>LO</v>
      </c>
      <c r="F244" s="369">
        <f>VLOOKUP(C244,METADATA!$A$5:$H$29,IF(E244="HI",2,IF(E244="LO",6,10))+IF(D244=1,2,IF(D244=7,1,(IF(WEEKDAY(B244)=1,2,IF(WEEKDAY(B244)=7,1,0))))))</f>
        <v>3</v>
      </c>
      <c r="G244" s="369">
        <f>VLOOKUP(C244,METADATA!$J$5:$Q$29,IF(E244="HI",2,IF(E244="LO",6,10))+IF(D244=1,2,IF(D244=7,1,(IF(WEEKDAY(B244)=1,2,IF(WEEKDAY(B244)=7,1,0))))))</f>
        <v>3</v>
      </c>
      <c r="H244" s="370">
        <v>13618.175048828125</v>
      </c>
      <c r="I244" s="370">
        <v>2077.5835800170898</v>
      </c>
      <c r="M244" s="371">
        <f t="shared" si="13"/>
        <v>13775.741184868475</v>
      </c>
      <c r="N244" s="329">
        <f t="shared" si="14"/>
        <v>0</v>
      </c>
      <c r="T244" s="331">
        <v>0</v>
      </c>
      <c r="U244" s="328">
        <f>VLOOKUP(C244,METADATA!$J$5:$Q$29,IF(E244="HI",2,IF(E244="LO",6,10))+IF(T244=1,2,IF(D244=7,1,(IF(WEEKDAY(B244)=1,2,IF(WEEKDAY(B244)=7,1,0))))))</f>
        <v>3</v>
      </c>
      <c r="V244" s="328">
        <f>VLOOKUP(C244,METADATA!$A$5:$H$29,IF(E244="HI",2,IF(E244="LO",6,10))+IF(T244=1,2,IF(D244=7,1,(IF(WEEKDAY(B244)=1,2,IF(WEEKDAY(B244)=7,1,0))))))</f>
        <v>3</v>
      </c>
    </row>
    <row r="245" spans="2:22">
      <c r="B245" s="318">
        <f t="shared" si="15"/>
        <v>46123</v>
      </c>
      <c r="C245" s="312">
        <v>1</v>
      </c>
      <c r="D245" s="368">
        <f>IFERROR((INDEX(METADATA!$T$2:$T$20,MATCH(B245,METADATA!$S$2:$S$20,0))),0)</f>
        <v>0</v>
      </c>
      <c r="E245" s="312" t="str">
        <f t="shared" si="12"/>
        <v>LO</v>
      </c>
      <c r="F245" s="369">
        <f>VLOOKUP(C245,METADATA!$A$5:$H$29,IF(E245="HI",2,IF(E245="LO",6,10))+IF(D245=1,2,IF(D245=7,1,(IF(WEEKDAY(B245)=1,2,IF(WEEKDAY(B245)=7,1,0))))))</f>
        <v>3</v>
      </c>
      <c r="G245" s="369">
        <f>VLOOKUP(C245,METADATA!$J$5:$Q$29,IF(E245="HI",2,IF(E245="LO",6,10))+IF(D245=1,2,IF(D245=7,1,(IF(WEEKDAY(B245)=1,2,IF(WEEKDAY(B245)=7,1,0))))))</f>
        <v>3</v>
      </c>
      <c r="H245" s="370">
        <v>13819.950073242188</v>
      </c>
      <c r="I245" s="370">
        <v>2148.2649803161621</v>
      </c>
      <c r="M245" s="371">
        <f t="shared" si="13"/>
        <v>13985.923725394741</v>
      </c>
      <c r="N245" s="329">
        <f t="shared" si="14"/>
        <v>0</v>
      </c>
      <c r="T245" s="331">
        <v>0</v>
      </c>
      <c r="U245" s="328">
        <f>VLOOKUP(C245,METADATA!$J$5:$Q$29,IF(E245="HI",2,IF(E245="LO",6,10))+IF(T245=1,2,IF(D245=7,1,(IF(WEEKDAY(B245)=1,2,IF(WEEKDAY(B245)=7,1,0))))))</f>
        <v>3</v>
      </c>
      <c r="V245" s="328">
        <f>VLOOKUP(C245,METADATA!$A$5:$H$29,IF(E245="HI",2,IF(E245="LO",6,10))+IF(T245=1,2,IF(D245=7,1,(IF(WEEKDAY(B245)=1,2,IF(WEEKDAY(B245)=7,1,0))))))</f>
        <v>3</v>
      </c>
    </row>
    <row r="246" spans="2:22">
      <c r="B246" s="318">
        <f t="shared" si="15"/>
        <v>46123</v>
      </c>
      <c r="C246" s="312">
        <v>2</v>
      </c>
      <c r="D246" s="368">
        <f>IFERROR((INDEX(METADATA!$T$2:$T$20,MATCH(B246,METADATA!$S$2:$S$20,0))),0)</f>
        <v>0</v>
      </c>
      <c r="E246" s="312" t="str">
        <f t="shared" si="12"/>
        <v>LO</v>
      </c>
      <c r="F246" s="369">
        <f>VLOOKUP(C246,METADATA!$A$5:$H$29,IF(E246="HI",2,IF(E246="LO",6,10))+IF(D246=1,2,IF(D246=7,1,(IF(WEEKDAY(B246)=1,2,IF(WEEKDAY(B246)=7,1,0))))))</f>
        <v>3</v>
      </c>
      <c r="G246" s="369">
        <f>VLOOKUP(C246,METADATA!$J$5:$Q$29,IF(E246="HI",2,IF(E246="LO",6,10))+IF(D246=1,2,IF(D246=7,1,(IF(WEEKDAY(B246)=1,2,IF(WEEKDAY(B246)=7,1,0))))))</f>
        <v>3</v>
      </c>
      <c r="H246" s="370">
        <v>13749.565185546875</v>
      </c>
      <c r="I246" s="370">
        <v>2129.1089897155762</v>
      </c>
      <c r="M246" s="371">
        <f t="shared" si="13"/>
        <v>13913.434079395725</v>
      </c>
      <c r="N246" s="329">
        <f t="shared" si="14"/>
        <v>0</v>
      </c>
      <c r="T246" s="331">
        <v>0</v>
      </c>
      <c r="U246" s="328">
        <f>VLOOKUP(C246,METADATA!$J$5:$Q$29,IF(E246="HI",2,IF(E246="LO",6,10))+IF(T246=1,2,IF(D246=7,1,(IF(WEEKDAY(B246)=1,2,IF(WEEKDAY(B246)=7,1,0))))))</f>
        <v>3</v>
      </c>
      <c r="V246" s="328">
        <f>VLOOKUP(C246,METADATA!$A$5:$H$29,IF(E246="HI",2,IF(E246="LO",6,10))+IF(T246=1,2,IF(D246=7,1,(IF(WEEKDAY(B246)=1,2,IF(WEEKDAY(B246)=7,1,0))))))</f>
        <v>3</v>
      </c>
    </row>
    <row r="247" spans="2:22">
      <c r="B247" s="318">
        <f t="shared" si="15"/>
        <v>46123</v>
      </c>
      <c r="C247" s="312">
        <v>3</v>
      </c>
      <c r="D247" s="368">
        <f>IFERROR((INDEX(METADATA!$T$2:$T$20,MATCH(B247,METADATA!$S$2:$S$20,0))),0)</f>
        <v>0</v>
      </c>
      <c r="E247" s="312" t="str">
        <f t="shared" si="12"/>
        <v>LO</v>
      </c>
      <c r="F247" s="369">
        <f>VLOOKUP(C247,METADATA!$A$5:$H$29,IF(E247="HI",2,IF(E247="LO",6,10))+IF(D247=1,2,IF(D247=7,1,(IF(WEEKDAY(B247)=1,2,IF(WEEKDAY(B247)=7,1,0))))))</f>
        <v>3</v>
      </c>
      <c r="G247" s="369">
        <f>VLOOKUP(C247,METADATA!$J$5:$Q$29,IF(E247="HI",2,IF(E247="LO",6,10))+IF(D247=1,2,IF(D247=7,1,(IF(WEEKDAY(B247)=1,2,IF(WEEKDAY(B247)=7,1,0))))))</f>
        <v>3</v>
      </c>
      <c r="H247" s="370">
        <v>13775.625061035156</v>
      </c>
      <c r="I247" s="370">
        <v>2142.4070434570313</v>
      </c>
      <c r="M247" s="371">
        <f t="shared" si="13"/>
        <v>13941.224973511982</v>
      </c>
      <c r="N247" s="329">
        <f t="shared" si="14"/>
        <v>0</v>
      </c>
      <c r="T247" s="331">
        <v>0</v>
      </c>
      <c r="U247" s="328">
        <f>VLOOKUP(C247,METADATA!$J$5:$Q$29,IF(E247="HI",2,IF(E247="LO",6,10))+IF(T247=1,2,IF(D247=7,1,(IF(WEEKDAY(B247)=1,2,IF(WEEKDAY(B247)=7,1,0))))))</f>
        <v>3</v>
      </c>
      <c r="V247" s="328">
        <f>VLOOKUP(C247,METADATA!$A$5:$H$29,IF(E247="HI",2,IF(E247="LO",6,10))+IF(T247=1,2,IF(D247=7,1,(IF(WEEKDAY(B247)=1,2,IF(WEEKDAY(B247)=7,1,0))))))</f>
        <v>3</v>
      </c>
    </row>
    <row r="248" spans="2:22">
      <c r="B248" s="318">
        <f t="shared" si="15"/>
        <v>46123</v>
      </c>
      <c r="C248" s="312">
        <v>4</v>
      </c>
      <c r="D248" s="368">
        <f>IFERROR((INDEX(METADATA!$T$2:$T$20,MATCH(B248,METADATA!$S$2:$S$20,0))),0)</f>
        <v>0</v>
      </c>
      <c r="E248" s="312" t="str">
        <f t="shared" si="12"/>
        <v>LO</v>
      </c>
      <c r="F248" s="369">
        <f>VLOOKUP(C248,METADATA!$A$5:$H$29,IF(E248="HI",2,IF(E248="LO",6,10))+IF(D248=1,2,IF(D248=7,1,(IF(WEEKDAY(B248)=1,2,IF(WEEKDAY(B248)=7,1,0))))))</f>
        <v>3</v>
      </c>
      <c r="G248" s="369">
        <f>VLOOKUP(C248,METADATA!$J$5:$Q$29,IF(E248="HI",2,IF(E248="LO",6,10))+IF(D248=1,2,IF(D248=7,1,(IF(WEEKDAY(B248)=1,2,IF(WEEKDAY(B248)=7,1,0))))))</f>
        <v>3</v>
      </c>
      <c r="H248" s="370">
        <v>13676.484741210938</v>
      </c>
      <c r="I248" s="370">
        <v>2143.2254791259766</v>
      </c>
      <c r="M248" s="371">
        <f t="shared" si="13"/>
        <v>13843.397355091356</v>
      </c>
      <c r="N248" s="329">
        <f t="shared" si="14"/>
        <v>0</v>
      </c>
      <c r="T248" s="331">
        <v>0</v>
      </c>
      <c r="U248" s="328">
        <f>VLOOKUP(C248,METADATA!$J$5:$Q$29,IF(E248="HI",2,IF(E248="LO",6,10))+IF(T248=1,2,IF(D248=7,1,(IF(WEEKDAY(B248)=1,2,IF(WEEKDAY(B248)=7,1,0))))))</f>
        <v>3</v>
      </c>
      <c r="V248" s="328">
        <f>VLOOKUP(C248,METADATA!$A$5:$H$29,IF(E248="HI",2,IF(E248="LO",6,10))+IF(T248=1,2,IF(D248=7,1,(IF(WEEKDAY(B248)=1,2,IF(WEEKDAY(B248)=7,1,0))))))</f>
        <v>3</v>
      </c>
    </row>
    <row r="249" spans="2:22">
      <c r="B249" s="318">
        <f t="shared" si="15"/>
        <v>46123</v>
      </c>
      <c r="C249" s="312">
        <v>5</v>
      </c>
      <c r="D249" s="368">
        <f>IFERROR((INDEX(METADATA!$T$2:$T$20,MATCH(B249,METADATA!$S$2:$S$20,0))),0)</f>
        <v>0</v>
      </c>
      <c r="E249" s="312" t="str">
        <f t="shared" si="12"/>
        <v>LO</v>
      </c>
      <c r="F249" s="369">
        <f>VLOOKUP(C249,METADATA!$A$5:$H$29,IF(E249="HI",2,IF(E249="LO",6,10))+IF(D249=1,2,IF(D249=7,1,(IF(WEEKDAY(B249)=1,2,IF(WEEKDAY(B249)=7,1,0))))))</f>
        <v>3</v>
      </c>
      <c r="G249" s="369">
        <f>VLOOKUP(C249,METADATA!$J$5:$Q$29,IF(E249="HI",2,IF(E249="LO",6,10))+IF(D249=1,2,IF(D249=7,1,(IF(WEEKDAY(B249)=1,2,IF(WEEKDAY(B249)=7,1,0))))))</f>
        <v>3</v>
      </c>
      <c r="H249" s="370">
        <v>13742.635070800781</v>
      </c>
      <c r="I249" s="370">
        <v>2131.0290222167969</v>
      </c>
      <c r="M249" s="371">
        <f t="shared" si="13"/>
        <v>13906.879714110346</v>
      </c>
      <c r="N249" s="329">
        <f t="shared" si="14"/>
        <v>0</v>
      </c>
      <c r="T249" s="331">
        <v>0</v>
      </c>
      <c r="U249" s="328">
        <f>VLOOKUP(C249,METADATA!$J$5:$Q$29,IF(E249="HI",2,IF(E249="LO",6,10))+IF(T249=1,2,IF(D249=7,1,(IF(WEEKDAY(B249)=1,2,IF(WEEKDAY(B249)=7,1,0))))))</f>
        <v>3</v>
      </c>
      <c r="V249" s="328">
        <f>VLOOKUP(C249,METADATA!$A$5:$H$29,IF(E249="HI",2,IF(E249="LO",6,10))+IF(T249=1,2,IF(D249=7,1,(IF(WEEKDAY(B249)=1,2,IF(WEEKDAY(B249)=7,1,0))))))</f>
        <v>3</v>
      </c>
    </row>
    <row r="250" spans="2:22">
      <c r="B250" s="318">
        <f t="shared" si="15"/>
        <v>46123</v>
      </c>
      <c r="C250" s="312">
        <v>6</v>
      </c>
      <c r="D250" s="368">
        <f>IFERROR((INDEX(METADATA!$T$2:$T$20,MATCH(B250,METADATA!$S$2:$S$20,0))),0)</f>
        <v>0</v>
      </c>
      <c r="E250" s="312" t="str">
        <f t="shared" si="12"/>
        <v>LO</v>
      </c>
      <c r="F250" s="369">
        <f>VLOOKUP(C250,METADATA!$A$5:$H$29,IF(E250="HI",2,IF(E250="LO",6,10))+IF(D250=1,2,IF(D250=7,1,(IF(WEEKDAY(B250)=1,2,IF(WEEKDAY(B250)=7,1,0))))))</f>
        <v>3</v>
      </c>
      <c r="G250" s="369">
        <f>VLOOKUP(C250,METADATA!$J$5:$Q$29,IF(E250="HI",2,IF(E250="LO",6,10))+IF(D250=1,2,IF(D250=7,1,(IF(WEEKDAY(B250)=1,2,IF(WEEKDAY(B250)=7,1,0))))))</f>
        <v>3</v>
      </c>
      <c r="H250" s="370">
        <v>13571.395080566406</v>
      </c>
      <c r="I250" s="370">
        <v>2149.6554622650146</v>
      </c>
      <c r="M250" s="371">
        <f t="shared" si="13"/>
        <v>13740.588889828115</v>
      </c>
      <c r="N250" s="329">
        <f t="shared" si="14"/>
        <v>0</v>
      </c>
      <c r="T250" s="331">
        <v>0</v>
      </c>
      <c r="U250" s="328">
        <f>VLOOKUP(C250,METADATA!$J$5:$Q$29,IF(E250="HI",2,IF(E250="LO",6,10))+IF(T250=1,2,IF(D250=7,1,(IF(WEEKDAY(B250)=1,2,IF(WEEKDAY(B250)=7,1,0))))))</f>
        <v>3</v>
      </c>
      <c r="V250" s="328">
        <f>VLOOKUP(C250,METADATA!$A$5:$H$29,IF(E250="HI",2,IF(E250="LO",6,10))+IF(T250=1,2,IF(D250=7,1,(IF(WEEKDAY(B250)=1,2,IF(WEEKDAY(B250)=7,1,0))))))</f>
        <v>3</v>
      </c>
    </row>
    <row r="251" spans="2:22">
      <c r="B251" s="318">
        <f t="shared" si="15"/>
        <v>46123</v>
      </c>
      <c r="C251" s="312">
        <v>7</v>
      </c>
      <c r="D251" s="368">
        <f>IFERROR((INDEX(METADATA!$T$2:$T$20,MATCH(B251,METADATA!$S$2:$S$20,0))),0)</f>
        <v>0</v>
      </c>
      <c r="E251" s="312" t="str">
        <f t="shared" si="12"/>
        <v>LO</v>
      </c>
      <c r="F251" s="369">
        <f>VLOOKUP(C251,METADATA!$A$5:$H$29,IF(E251="HI",2,IF(E251="LO",6,10))+IF(D251=1,2,IF(D251=7,1,(IF(WEEKDAY(B251)=1,2,IF(WEEKDAY(B251)=7,1,0))))))</f>
        <v>2</v>
      </c>
      <c r="G251" s="369">
        <f>VLOOKUP(C251,METADATA!$J$5:$Q$29,IF(E251="HI",2,IF(E251="LO",6,10))+IF(D251=1,2,IF(D251=7,1,(IF(WEEKDAY(B251)=1,2,IF(WEEKDAY(B251)=7,1,0))))))</f>
        <v>2</v>
      </c>
      <c r="H251" s="370">
        <v>13560.119995117188</v>
      </c>
      <c r="I251" s="370">
        <v>2115.0019836425781</v>
      </c>
      <c r="M251" s="371">
        <f t="shared" si="13"/>
        <v>13724.0696468937</v>
      </c>
      <c r="N251" s="329">
        <f t="shared" si="14"/>
        <v>0</v>
      </c>
      <c r="T251" s="331">
        <v>0</v>
      </c>
      <c r="U251" s="328">
        <f>VLOOKUP(C251,METADATA!$J$5:$Q$29,IF(E251="HI",2,IF(E251="LO",6,10))+IF(T251=1,2,IF(D251=7,1,(IF(WEEKDAY(B251)=1,2,IF(WEEKDAY(B251)=7,1,0))))))</f>
        <v>2</v>
      </c>
      <c r="V251" s="328">
        <f>VLOOKUP(C251,METADATA!$A$5:$H$29,IF(E251="HI",2,IF(E251="LO",6,10))+IF(T251=1,2,IF(D251=7,1,(IF(WEEKDAY(B251)=1,2,IF(WEEKDAY(B251)=7,1,0))))))</f>
        <v>2</v>
      </c>
    </row>
    <row r="252" spans="2:22">
      <c r="B252" s="318">
        <f t="shared" si="15"/>
        <v>46123</v>
      </c>
      <c r="C252" s="312">
        <v>8</v>
      </c>
      <c r="D252" s="368">
        <f>IFERROR((INDEX(METADATA!$T$2:$T$20,MATCH(B252,METADATA!$S$2:$S$20,0))),0)</f>
        <v>0</v>
      </c>
      <c r="E252" s="312" t="str">
        <f t="shared" si="12"/>
        <v>LO</v>
      </c>
      <c r="F252" s="369">
        <f>VLOOKUP(C252,METADATA!$A$5:$H$29,IF(E252="HI",2,IF(E252="LO",6,10))+IF(D252=1,2,IF(D252=7,1,(IF(WEEKDAY(B252)=1,2,IF(WEEKDAY(B252)=7,1,0))))))</f>
        <v>2</v>
      </c>
      <c r="G252" s="369">
        <f>VLOOKUP(C252,METADATA!$J$5:$Q$29,IF(E252="HI",2,IF(E252="LO",6,10))+IF(D252=1,2,IF(D252=7,1,(IF(WEEKDAY(B252)=1,2,IF(WEEKDAY(B252)=7,1,0))))))</f>
        <v>2</v>
      </c>
      <c r="H252" s="370">
        <v>13583.114501953125</v>
      </c>
      <c r="I252" s="370">
        <v>2118.6480255126953</v>
      </c>
      <c r="M252" s="371">
        <f t="shared" si="13"/>
        <v>13747.351345956724</v>
      </c>
      <c r="N252" s="329">
        <f t="shared" si="14"/>
        <v>0</v>
      </c>
      <c r="T252" s="331">
        <v>0</v>
      </c>
      <c r="U252" s="328">
        <f>VLOOKUP(C252,METADATA!$J$5:$Q$29,IF(E252="HI",2,IF(E252="LO",6,10))+IF(T252=1,2,IF(D252=7,1,(IF(WEEKDAY(B252)=1,2,IF(WEEKDAY(B252)=7,1,0))))))</f>
        <v>2</v>
      </c>
      <c r="V252" s="328">
        <f>VLOOKUP(C252,METADATA!$A$5:$H$29,IF(E252="HI",2,IF(E252="LO",6,10))+IF(T252=1,2,IF(D252=7,1,(IF(WEEKDAY(B252)=1,2,IF(WEEKDAY(B252)=7,1,0))))))</f>
        <v>2</v>
      </c>
    </row>
    <row r="253" spans="2:22">
      <c r="B253" s="318">
        <f t="shared" si="15"/>
        <v>46123</v>
      </c>
      <c r="C253" s="312">
        <v>9</v>
      </c>
      <c r="D253" s="368">
        <f>IFERROR((INDEX(METADATA!$T$2:$T$20,MATCH(B253,METADATA!$S$2:$S$20,0))),0)</f>
        <v>0</v>
      </c>
      <c r="E253" s="312" t="str">
        <f t="shared" si="12"/>
        <v>LO</v>
      </c>
      <c r="F253" s="369">
        <f>VLOOKUP(C253,METADATA!$A$5:$H$29,IF(E253="HI",2,IF(E253="LO",6,10))+IF(D253=1,2,IF(D253=7,1,(IF(WEEKDAY(B253)=1,2,IF(WEEKDAY(B253)=7,1,0))))))</f>
        <v>2</v>
      </c>
      <c r="G253" s="369">
        <f>VLOOKUP(C253,METADATA!$J$5:$Q$29,IF(E253="HI",2,IF(E253="LO",6,10))+IF(D253=1,2,IF(D253=7,1,(IF(WEEKDAY(B253)=1,2,IF(WEEKDAY(B253)=7,1,0))))))</f>
        <v>2</v>
      </c>
      <c r="H253" s="370">
        <v>13617.864868164063</v>
      </c>
      <c r="I253" s="370">
        <v>2157.3610134124756</v>
      </c>
      <c r="M253" s="371">
        <f t="shared" si="13"/>
        <v>13787.691979072099</v>
      </c>
      <c r="N253" s="329">
        <f t="shared" si="14"/>
        <v>0</v>
      </c>
      <c r="T253" s="331">
        <v>0</v>
      </c>
      <c r="U253" s="328">
        <f>VLOOKUP(C253,METADATA!$J$5:$Q$29,IF(E253="HI",2,IF(E253="LO",6,10))+IF(T253=1,2,IF(D253=7,1,(IF(WEEKDAY(B253)=1,2,IF(WEEKDAY(B253)=7,1,0))))))</f>
        <v>2</v>
      </c>
      <c r="V253" s="328">
        <f>VLOOKUP(C253,METADATA!$A$5:$H$29,IF(E253="HI",2,IF(E253="LO",6,10))+IF(T253=1,2,IF(D253=7,1,(IF(WEEKDAY(B253)=1,2,IF(WEEKDAY(B253)=7,1,0))))))</f>
        <v>2</v>
      </c>
    </row>
    <row r="254" spans="2:22">
      <c r="B254" s="318">
        <f t="shared" si="15"/>
        <v>46123</v>
      </c>
      <c r="C254" s="312">
        <v>10</v>
      </c>
      <c r="D254" s="368">
        <f>IFERROR((INDEX(METADATA!$T$2:$T$20,MATCH(B254,METADATA!$S$2:$S$20,0))),0)</f>
        <v>0</v>
      </c>
      <c r="E254" s="312" t="str">
        <f t="shared" si="12"/>
        <v>LO</v>
      </c>
      <c r="F254" s="369">
        <f>VLOOKUP(C254,METADATA!$A$5:$H$29,IF(E254="HI",2,IF(E254="LO",6,10))+IF(D254=1,2,IF(D254=7,1,(IF(WEEKDAY(B254)=1,2,IF(WEEKDAY(B254)=7,1,0))))))</f>
        <v>2</v>
      </c>
      <c r="G254" s="369">
        <f>VLOOKUP(C254,METADATA!$J$5:$Q$29,IF(E254="HI",2,IF(E254="LO",6,10))+IF(D254=1,2,IF(D254=7,1,(IF(WEEKDAY(B254)=1,2,IF(WEEKDAY(B254)=7,1,0))))))</f>
        <v>2</v>
      </c>
      <c r="H254" s="370">
        <v>13595.924743652344</v>
      </c>
      <c r="I254" s="370">
        <v>2136.7424659729004</v>
      </c>
      <c r="M254" s="371">
        <f t="shared" si="13"/>
        <v>13762.806327233919</v>
      </c>
      <c r="N254" s="329">
        <f t="shared" si="14"/>
        <v>0</v>
      </c>
      <c r="T254" s="331">
        <v>0</v>
      </c>
      <c r="U254" s="328">
        <f>VLOOKUP(C254,METADATA!$J$5:$Q$29,IF(E254="HI",2,IF(E254="LO",6,10))+IF(T254=1,2,IF(D254=7,1,(IF(WEEKDAY(B254)=1,2,IF(WEEKDAY(B254)=7,1,0))))))</f>
        <v>2</v>
      </c>
      <c r="V254" s="328">
        <f>VLOOKUP(C254,METADATA!$A$5:$H$29,IF(E254="HI",2,IF(E254="LO",6,10))+IF(T254=1,2,IF(D254=7,1,(IF(WEEKDAY(B254)=1,2,IF(WEEKDAY(B254)=7,1,0))))))</f>
        <v>2</v>
      </c>
    </row>
    <row r="255" spans="2:22">
      <c r="B255" s="318">
        <f t="shared" si="15"/>
        <v>46123</v>
      </c>
      <c r="C255" s="312">
        <v>11</v>
      </c>
      <c r="D255" s="368">
        <f>IFERROR((INDEX(METADATA!$T$2:$T$20,MATCH(B255,METADATA!$S$2:$S$20,0))),0)</f>
        <v>0</v>
      </c>
      <c r="E255" s="312" t="str">
        <f t="shared" si="12"/>
        <v>LO</v>
      </c>
      <c r="F255" s="369">
        <f>VLOOKUP(C255,METADATA!$A$5:$H$29,IF(E255="HI",2,IF(E255="LO",6,10))+IF(D255=1,2,IF(D255=7,1,(IF(WEEKDAY(B255)=1,2,IF(WEEKDAY(B255)=7,1,0))))))</f>
        <v>2</v>
      </c>
      <c r="G255" s="369">
        <f>VLOOKUP(C255,METADATA!$J$5:$Q$29,IF(E255="HI",2,IF(E255="LO",6,10))+IF(D255=1,2,IF(D255=7,1,(IF(WEEKDAY(B255)=1,2,IF(WEEKDAY(B255)=7,1,0))))))</f>
        <v>2</v>
      </c>
      <c r="H255" s="370">
        <v>13543.764953613281</v>
      </c>
      <c r="I255" s="370">
        <v>2111.257474899292</v>
      </c>
      <c r="M255" s="371">
        <f t="shared" si="13"/>
        <v>13707.332973413957</v>
      </c>
      <c r="N255" s="329">
        <f t="shared" si="14"/>
        <v>0</v>
      </c>
      <c r="T255" s="331">
        <v>0</v>
      </c>
      <c r="U255" s="328">
        <f>VLOOKUP(C255,METADATA!$J$5:$Q$29,IF(E255="HI",2,IF(E255="LO",6,10))+IF(T255=1,2,IF(D255=7,1,(IF(WEEKDAY(B255)=1,2,IF(WEEKDAY(B255)=7,1,0))))))</f>
        <v>2</v>
      </c>
      <c r="V255" s="328">
        <f>VLOOKUP(C255,METADATA!$A$5:$H$29,IF(E255="HI",2,IF(E255="LO",6,10))+IF(T255=1,2,IF(D255=7,1,(IF(WEEKDAY(B255)=1,2,IF(WEEKDAY(B255)=7,1,0))))))</f>
        <v>2</v>
      </c>
    </row>
    <row r="256" spans="2:22">
      <c r="B256" s="318">
        <f t="shared" si="15"/>
        <v>46123</v>
      </c>
      <c r="C256" s="312">
        <v>12</v>
      </c>
      <c r="D256" s="368">
        <f>IFERROR((INDEX(METADATA!$T$2:$T$20,MATCH(B256,METADATA!$S$2:$S$20,0))),0)</f>
        <v>0</v>
      </c>
      <c r="E256" s="312" t="str">
        <f t="shared" si="12"/>
        <v>LO</v>
      </c>
      <c r="F256" s="369">
        <f>VLOOKUP(C256,METADATA!$A$5:$H$29,IF(E256="HI",2,IF(E256="LO",6,10))+IF(D256=1,2,IF(D256=7,1,(IF(WEEKDAY(B256)=1,2,IF(WEEKDAY(B256)=7,1,0))))))</f>
        <v>3</v>
      </c>
      <c r="G256" s="369">
        <f>VLOOKUP(C256,METADATA!$J$5:$Q$29,IF(E256="HI",2,IF(E256="LO",6,10))+IF(D256=1,2,IF(D256=7,1,(IF(WEEKDAY(B256)=1,2,IF(WEEKDAY(B256)=7,1,0))))))</f>
        <v>3</v>
      </c>
      <c r="H256" s="370">
        <v>13242.8603515625</v>
      </c>
      <c r="I256" s="370">
        <v>2130.909984588623</v>
      </c>
      <c r="M256" s="371">
        <f t="shared" si="13"/>
        <v>13413.207209813972</v>
      </c>
      <c r="N256" s="329">
        <f t="shared" si="14"/>
        <v>0</v>
      </c>
      <c r="T256" s="331">
        <v>0</v>
      </c>
      <c r="U256" s="328">
        <f>VLOOKUP(C256,METADATA!$J$5:$Q$29,IF(E256="HI",2,IF(E256="LO",6,10))+IF(T256=1,2,IF(D256=7,1,(IF(WEEKDAY(B256)=1,2,IF(WEEKDAY(B256)=7,1,0))))))</f>
        <v>3</v>
      </c>
      <c r="V256" s="328">
        <f>VLOOKUP(C256,METADATA!$A$5:$H$29,IF(E256="HI",2,IF(E256="LO",6,10))+IF(T256=1,2,IF(D256=7,1,(IF(WEEKDAY(B256)=1,2,IF(WEEKDAY(B256)=7,1,0))))))</f>
        <v>3</v>
      </c>
    </row>
    <row r="257" spans="2:22">
      <c r="B257" s="318">
        <f t="shared" si="15"/>
        <v>46123</v>
      </c>
      <c r="C257" s="312">
        <v>13</v>
      </c>
      <c r="D257" s="368">
        <f>IFERROR((INDEX(METADATA!$T$2:$T$20,MATCH(B257,METADATA!$S$2:$S$20,0))),0)</f>
        <v>0</v>
      </c>
      <c r="E257" s="312" t="str">
        <f t="shared" si="12"/>
        <v>LO</v>
      </c>
      <c r="F257" s="369">
        <f>VLOOKUP(C257,METADATA!$A$5:$H$29,IF(E257="HI",2,IF(E257="LO",6,10))+IF(D257=1,2,IF(D257=7,1,(IF(WEEKDAY(B257)=1,2,IF(WEEKDAY(B257)=7,1,0))))))</f>
        <v>3</v>
      </c>
      <c r="G257" s="369">
        <f>VLOOKUP(C257,METADATA!$J$5:$Q$29,IF(E257="HI",2,IF(E257="LO",6,10))+IF(D257=1,2,IF(D257=7,1,(IF(WEEKDAY(B257)=1,2,IF(WEEKDAY(B257)=7,1,0))))))</f>
        <v>3</v>
      </c>
      <c r="H257" s="370">
        <v>13404.9697265625</v>
      </c>
      <c r="I257" s="370">
        <v>2179.3204803466797</v>
      </c>
      <c r="M257" s="371">
        <f t="shared" si="13"/>
        <v>13580.966501914199</v>
      </c>
      <c r="N257" s="329">
        <f t="shared" si="14"/>
        <v>0</v>
      </c>
      <c r="T257" s="331">
        <v>0</v>
      </c>
      <c r="U257" s="328">
        <f>VLOOKUP(C257,METADATA!$J$5:$Q$29,IF(E257="HI",2,IF(E257="LO",6,10))+IF(T257=1,2,IF(D257=7,1,(IF(WEEKDAY(B257)=1,2,IF(WEEKDAY(B257)=7,1,0))))))</f>
        <v>3</v>
      </c>
      <c r="V257" s="328">
        <f>VLOOKUP(C257,METADATA!$A$5:$H$29,IF(E257="HI",2,IF(E257="LO",6,10))+IF(T257=1,2,IF(D257=7,1,(IF(WEEKDAY(B257)=1,2,IF(WEEKDAY(B257)=7,1,0))))))</f>
        <v>3</v>
      </c>
    </row>
    <row r="258" spans="2:22">
      <c r="B258" s="318">
        <f t="shared" si="15"/>
        <v>46123</v>
      </c>
      <c r="C258" s="312">
        <v>14</v>
      </c>
      <c r="D258" s="368">
        <f>IFERROR((INDEX(METADATA!$T$2:$T$20,MATCH(B258,METADATA!$S$2:$S$20,0))),0)</f>
        <v>0</v>
      </c>
      <c r="E258" s="312" t="str">
        <f t="shared" si="12"/>
        <v>LO</v>
      </c>
      <c r="F258" s="369">
        <f>VLOOKUP(C258,METADATA!$A$5:$H$29,IF(E258="HI",2,IF(E258="LO",6,10))+IF(D258=1,2,IF(D258=7,1,(IF(WEEKDAY(B258)=1,2,IF(WEEKDAY(B258)=7,1,0))))))</f>
        <v>3</v>
      </c>
      <c r="G258" s="369">
        <f>VLOOKUP(C258,METADATA!$J$5:$Q$29,IF(E258="HI",2,IF(E258="LO",6,10))+IF(D258=1,2,IF(D258=7,1,(IF(WEEKDAY(B258)=1,2,IF(WEEKDAY(B258)=7,1,0))))))</f>
        <v>3</v>
      </c>
      <c r="H258" s="370">
        <v>13452.179870605469</v>
      </c>
      <c r="I258" s="370">
        <v>2213.5925178527832</v>
      </c>
      <c r="M258" s="371">
        <f t="shared" si="13"/>
        <v>13633.089712395235</v>
      </c>
      <c r="N258" s="329">
        <f t="shared" si="14"/>
        <v>0</v>
      </c>
      <c r="T258" s="331">
        <v>0</v>
      </c>
      <c r="U258" s="328">
        <f>VLOOKUP(C258,METADATA!$J$5:$Q$29,IF(E258="HI",2,IF(E258="LO",6,10))+IF(T258=1,2,IF(D258=7,1,(IF(WEEKDAY(B258)=1,2,IF(WEEKDAY(B258)=7,1,0))))))</f>
        <v>3</v>
      </c>
      <c r="V258" s="328">
        <f>VLOOKUP(C258,METADATA!$A$5:$H$29,IF(E258="HI",2,IF(E258="LO",6,10))+IF(T258=1,2,IF(D258=7,1,(IF(WEEKDAY(B258)=1,2,IF(WEEKDAY(B258)=7,1,0))))))</f>
        <v>3</v>
      </c>
    </row>
    <row r="259" spans="2:22">
      <c r="B259" s="318">
        <f t="shared" si="15"/>
        <v>46123</v>
      </c>
      <c r="C259" s="312">
        <v>15</v>
      </c>
      <c r="D259" s="368">
        <f>IFERROR((INDEX(METADATA!$T$2:$T$20,MATCH(B259,METADATA!$S$2:$S$20,0))),0)</f>
        <v>0</v>
      </c>
      <c r="E259" s="312" t="str">
        <f t="shared" si="12"/>
        <v>LO</v>
      </c>
      <c r="F259" s="369">
        <f>VLOOKUP(C259,METADATA!$A$5:$H$29,IF(E259="HI",2,IF(E259="LO",6,10))+IF(D259=1,2,IF(D259=7,1,(IF(WEEKDAY(B259)=1,2,IF(WEEKDAY(B259)=7,1,0))))))</f>
        <v>3</v>
      </c>
      <c r="G259" s="369">
        <f>VLOOKUP(C259,METADATA!$J$5:$Q$29,IF(E259="HI",2,IF(E259="LO",6,10))+IF(D259=1,2,IF(D259=7,1,(IF(WEEKDAY(B259)=1,2,IF(WEEKDAY(B259)=7,1,0))))))</f>
        <v>3</v>
      </c>
      <c r="H259" s="370">
        <v>13367.475158691406</v>
      </c>
      <c r="I259" s="370">
        <v>2218.5600662231445</v>
      </c>
      <c r="M259" s="371">
        <f t="shared" si="13"/>
        <v>13550.328441985157</v>
      </c>
      <c r="N259" s="329">
        <f t="shared" si="14"/>
        <v>0</v>
      </c>
      <c r="T259" s="331">
        <v>0</v>
      </c>
      <c r="U259" s="328">
        <f>VLOOKUP(C259,METADATA!$J$5:$Q$29,IF(E259="HI",2,IF(E259="LO",6,10))+IF(T259=1,2,IF(D259=7,1,(IF(WEEKDAY(B259)=1,2,IF(WEEKDAY(B259)=7,1,0))))))</f>
        <v>3</v>
      </c>
      <c r="V259" s="328">
        <f>VLOOKUP(C259,METADATA!$A$5:$H$29,IF(E259="HI",2,IF(E259="LO",6,10))+IF(T259=1,2,IF(D259=7,1,(IF(WEEKDAY(B259)=1,2,IF(WEEKDAY(B259)=7,1,0))))))</f>
        <v>3</v>
      </c>
    </row>
    <row r="260" spans="2:22">
      <c r="B260" s="318">
        <f t="shared" si="15"/>
        <v>46123</v>
      </c>
      <c r="C260" s="312">
        <v>16</v>
      </c>
      <c r="D260" s="368">
        <f>IFERROR((INDEX(METADATA!$T$2:$T$20,MATCH(B260,METADATA!$S$2:$S$20,0))),0)</f>
        <v>0</v>
      </c>
      <c r="E260" s="312" t="str">
        <f t="shared" ref="E260:E323" si="16">IF(B260="","",IF(AND(MONTH(B260)&gt;=MONTH($Z$9),MONTH(B260)&lt;=MONTH($Z$11)),"HI","LO"))</f>
        <v>LO</v>
      </c>
      <c r="F260" s="369">
        <f>VLOOKUP(C260,METADATA!$A$5:$H$29,IF(E260="HI",2,IF(E260="LO",6,10))+IF(D260=1,2,IF(D260=7,1,(IF(WEEKDAY(B260)=1,2,IF(WEEKDAY(B260)=7,1,0))))))</f>
        <v>3</v>
      </c>
      <c r="G260" s="369">
        <f>VLOOKUP(C260,METADATA!$J$5:$Q$29,IF(E260="HI",2,IF(E260="LO",6,10))+IF(D260=1,2,IF(D260=7,1,(IF(WEEKDAY(B260)=1,2,IF(WEEKDAY(B260)=7,1,0))))))</f>
        <v>3</v>
      </c>
      <c r="H260" s="370">
        <v>13146.880004882813</v>
      </c>
      <c r="I260" s="370">
        <v>1994.2565307617188</v>
      </c>
      <c r="M260" s="371">
        <f t="shared" ref="M260:M323" si="17">SQRT(H260^2+I260^2)</f>
        <v>13297.274644575604</v>
      </c>
      <c r="N260" s="329">
        <f t="shared" ref="N260:N323" si="18">IF(H260=0,0,(IF(I260-(0.3*H260)&lt;0,0,(I260-(0.3*H260)))))</f>
        <v>0</v>
      </c>
      <c r="T260" s="331">
        <v>0</v>
      </c>
      <c r="U260" s="328">
        <f>VLOOKUP(C260,METADATA!$J$5:$Q$29,IF(E260="HI",2,IF(E260="LO",6,10))+IF(T260=1,2,IF(D260=7,1,(IF(WEEKDAY(B260)=1,2,IF(WEEKDAY(B260)=7,1,0))))))</f>
        <v>3</v>
      </c>
      <c r="V260" s="328">
        <f>VLOOKUP(C260,METADATA!$A$5:$H$29,IF(E260="HI",2,IF(E260="LO",6,10))+IF(T260=1,2,IF(D260=7,1,(IF(WEEKDAY(B260)=1,2,IF(WEEKDAY(B260)=7,1,0))))))</f>
        <v>3</v>
      </c>
    </row>
    <row r="261" spans="2:22">
      <c r="B261" s="318">
        <f t="shared" si="15"/>
        <v>46123</v>
      </c>
      <c r="C261" s="312">
        <v>17</v>
      </c>
      <c r="D261" s="368">
        <f>IFERROR((INDEX(METADATA!$T$2:$T$20,MATCH(B261,METADATA!$S$2:$S$20,0))),0)</f>
        <v>0</v>
      </c>
      <c r="E261" s="312" t="str">
        <f t="shared" si="16"/>
        <v>LO</v>
      </c>
      <c r="F261" s="369">
        <f>VLOOKUP(C261,METADATA!$A$5:$H$29,IF(E261="HI",2,IF(E261="LO",6,10))+IF(D261=1,2,IF(D261=7,1,(IF(WEEKDAY(B261)=1,2,IF(WEEKDAY(B261)=7,1,0))))))</f>
        <v>3</v>
      </c>
      <c r="G261" s="369">
        <f>VLOOKUP(C261,METADATA!$J$5:$Q$29,IF(E261="HI",2,IF(E261="LO",6,10))+IF(D261=1,2,IF(D261=7,1,(IF(WEEKDAY(B261)=1,2,IF(WEEKDAY(B261)=7,1,0))))))</f>
        <v>3</v>
      </c>
      <c r="H261" s="370">
        <v>13476.080200195313</v>
      </c>
      <c r="I261" s="370">
        <v>2145.5269584655762</v>
      </c>
      <c r="M261" s="371">
        <f t="shared" si="17"/>
        <v>13645.806077018633</v>
      </c>
      <c r="N261" s="329">
        <f t="shared" si="18"/>
        <v>0</v>
      </c>
      <c r="T261" s="331">
        <v>0</v>
      </c>
      <c r="U261" s="328">
        <f>VLOOKUP(C261,METADATA!$J$5:$Q$29,IF(E261="HI",2,IF(E261="LO",6,10))+IF(T261=1,2,IF(D261=7,1,(IF(WEEKDAY(B261)=1,2,IF(WEEKDAY(B261)=7,1,0))))))</f>
        <v>3</v>
      </c>
      <c r="V261" s="328">
        <f>VLOOKUP(C261,METADATA!$A$5:$H$29,IF(E261="HI",2,IF(E261="LO",6,10))+IF(T261=1,2,IF(D261=7,1,(IF(WEEKDAY(B261)=1,2,IF(WEEKDAY(B261)=7,1,0))))))</f>
        <v>3</v>
      </c>
    </row>
    <row r="262" spans="2:22">
      <c r="B262" s="318">
        <f t="shared" si="15"/>
        <v>46123</v>
      </c>
      <c r="C262" s="312">
        <v>18</v>
      </c>
      <c r="D262" s="368">
        <f>IFERROR((INDEX(METADATA!$T$2:$T$20,MATCH(B262,METADATA!$S$2:$S$20,0))),0)</f>
        <v>0</v>
      </c>
      <c r="E262" s="312" t="str">
        <f t="shared" si="16"/>
        <v>LO</v>
      </c>
      <c r="F262" s="369">
        <f>VLOOKUP(C262,METADATA!$A$5:$H$29,IF(E262="HI",2,IF(E262="LO",6,10))+IF(D262=1,2,IF(D262=7,1,(IF(WEEKDAY(B262)=1,2,IF(WEEKDAY(B262)=7,1,0))))))</f>
        <v>2</v>
      </c>
      <c r="G262" s="369">
        <f>VLOOKUP(C262,METADATA!$J$5:$Q$29,IF(E262="HI",2,IF(E262="LO",6,10))+IF(D262=1,2,IF(D262=7,1,(IF(WEEKDAY(B262)=1,2,IF(WEEKDAY(B262)=7,1,0))))))</f>
        <v>2</v>
      </c>
      <c r="H262" s="370">
        <v>13526.105102539063</v>
      </c>
      <c r="I262" s="370">
        <v>2065.1040668487549</v>
      </c>
      <c r="M262" s="371">
        <f t="shared" si="17"/>
        <v>13682.842323576213</v>
      </c>
      <c r="N262" s="329">
        <f t="shared" si="18"/>
        <v>0</v>
      </c>
      <c r="T262" s="331">
        <v>0</v>
      </c>
      <c r="U262" s="328">
        <f>VLOOKUP(C262,METADATA!$J$5:$Q$29,IF(E262="HI",2,IF(E262="LO",6,10))+IF(T262=1,2,IF(D262=7,1,(IF(WEEKDAY(B262)=1,2,IF(WEEKDAY(B262)=7,1,0))))))</f>
        <v>2</v>
      </c>
      <c r="V262" s="328">
        <f>VLOOKUP(C262,METADATA!$A$5:$H$29,IF(E262="HI",2,IF(E262="LO",6,10))+IF(T262=1,2,IF(D262=7,1,(IF(WEEKDAY(B262)=1,2,IF(WEEKDAY(B262)=7,1,0))))))</f>
        <v>2</v>
      </c>
    </row>
    <row r="263" spans="2:22">
      <c r="B263" s="318">
        <f t="shared" si="15"/>
        <v>46123</v>
      </c>
      <c r="C263" s="312">
        <v>19</v>
      </c>
      <c r="D263" s="368">
        <f>IFERROR((INDEX(METADATA!$T$2:$T$20,MATCH(B263,METADATA!$S$2:$S$20,0))),0)</f>
        <v>0</v>
      </c>
      <c r="E263" s="312" t="str">
        <f t="shared" si="16"/>
        <v>LO</v>
      </c>
      <c r="F263" s="369">
        <f>VLOOKUP(C263,METADATA!$A$5:$H$29,IF(E263="HI",2,IF(E263="LO",6,10))+IF(D263=1,2,IF(D263=7,1,(IF(WEEKDAY(B263)=1,2,IF(WEEKDAY(B263)=7,1,0))))))</f>
        <v>2</v>
      </c>
      <c r="G263" s="369">
        <f>VLOOKUP(C263,METADATA!$J$5:$Q$29,IF(E263="HI",2,IF(E263="LO",6,10))+IF(D263=1,2,IF(D263=7,1,(IF(WEEKDAY(B263)=1,2,IF(WEEKDAY(B263)=7,1,0))))))</f>
        <v>2</v>
      </c>
      <c r="H263" s="370">
        <v>13569.409973144531</v>
      </c>
      <c r="I263" s="370">
        <v>2079.1194877624512</v>
      </c>
      <c r="M263" s="371">
        <f t="shared" si="17"/>
        <v>13727.768386145939</v>
      </c>
      <c r="N263" s="329">
        <f t="shared" si="18"/>
        <v>0</v>
      </c>
      <c r="T263" s="331">
        <v>0</v>
      </c>
      <c r="U263" s="328">
        <f>VLOOKUP(C263,METADATA!$J$5:$Q$29,IF(E263="HI",2,IF(E263="LO",6,10))+IF(T263=1,2,IF(D263=7,1,(IF(WEEKDAY(B263)=1,2,IF(WEEKDAY(B263)=7,1,0))))))</f>
        <v>2</v>
      </c>
      <c r="V263" s="328">
        <f>VLOOKUP(C263,METADATA!$A$5:$H$29,IF(E263="HI",2,IF(E263="LO",6,10))+IF(T263=1,2,IF(D263=7,1,(IF(WEEKDAY(B263)=1,2,IF(WEEKDAY(B263)=7,1,0))))))</f>
        <v>2</v>
      </c>
    </row>
    <row r="264" spans="2:22">
      <c r="B264" s="318">
        <f t="shared" si="15"/>
        <v>46123</v>
      </c>
      <c r="C264" s="312">
        <v>20</v>
      </c>
      <c r="D264" s="368">
        <f>IFERROR((INDEX(METADATA!$T$2:$T$20,MATCH(B264,METADATA!$S$2:$S$20,0))),0)</f>
        <v>0</v>
      </c>
      <c r="E264" s="312" t="str">
        <f t="shared" si="16"/>
        <v>LO</v>
      </c>
      <c r="F264" s="369">
        <f>VLOOKUP(C264,METADATA!$A$5:$H$29,IF(E264="HI",2,IF(E264="LO",6,10))+IF(D264=1,2,IF(D264=7,1,(IF(WEEKDAY(B264)=1,2,IF(WEEKDAY(B264)=7,1,0))))))</f>
        <v>3</v>
      </c>
      <c r="G264" s="369">
        <f>VLOOKUP(C264,METADATA!$J$5:$Q$29,IF(E264="HI",2,IF(E264="LO",6,10))+IF(D264=1,2,IF(D264=7,1,(IF(WEEKDAY(B264)=1,2,IF(WEEKDAY(B264)=7,1,0))))))</f>
        <v>3</v>
      </c>
      <c r="H264" s="370">
        <v>13593.720031738281</v>
      </c>
      <c r="I264" s="370">
        <v>2082.8654384613037</v>
      </c>
      <c r="M264" s="371">
        <f t="shared" si="17"/>
        <v>13752.365350586757</v>
      </c>
      <c r="N264" s="329">
        <f t="shared" si="18"/>
        <v>0</v>
      </c>
      <c r="T264" s="331">
        <v>0</v>
      </c>
      <c r="U264" s="328">
        <f>VLOOKUP(C264,METADATA!$J$5:$Q$29,IF(E264="HI",2,IF(E264="LO",6,10))+IF(T264=1,2,IF(D264=7,1,(IF(WEEKDAY(B264)=1,2,IF(WEEKDAY(B264)=7,1,0))))))</f>
        <v>3</v>
      </c>
      <c r="V264" s="328">
        <f>VLOOKUP(C264,METADATA!$A$5:$H$29,IF(E264="HI",2,IF(E264="LO",6,10))+IF(T264=1,2,IF(D264=7,1,(IF(WEEKDAY(B264)=1,2,IF(WEEKDAY(B264)=7,1,0))))))</f>
        <v>3</v>
      </c>
    </row>
    <row r="265" spans="2:22">
      <c r="B265" s="318">
        <f t="shared" si="15"/>
        <v>46123</v>
      </c>
      <c r="C265" s="312">
        <v>21</v>
      </c>
      <c r="D265" s="368">
        <f>IFERROR((INDEX(METADATA!$T$2:$T$20,MATCH(B265,METADATA!$S$2:$S$20,0))),0)</f>
        <v>0</v>
      </c>
      <c r="E265" s="312" t="str">
        <f t="shared" si="16"/>
        <v>LO</v>
      </c>
      <c r="F265" s="369">
        <f>VLOOKUP(C265,METADATA!$A$5:$H$29,IF(E265="HI",2,IF(E265="LO",6,10))+IF(D265=1,2,IF(D265=7,1,(IF(WEEKDAY(B265)=1,2,IF(WEEKDAY(B265)=7,1,0))))))</f>
        <v>3</v>
      </c>
      <c r="G265" s="369">
        <f>VLOOKUP(C265,METADATA!$J$5:$Q$29,IF(E265="HI",2,IF(E265="LO",6,10))+IF(D265=1,2,IF(D265=7,1,(IF(WEEKDAY(B265)=1,2,IF(WEEKDAY(B265)=7,1,0))))))</f>
        <v>3</v>
      </c>
      <c r="H265" s="370">
        <v>13735.400085449219</v>
      </c>
      <c r="I265" s="370">
        <v>2156.7350444793701</v>
      </c>
      <c r="M265" s="371">
        <f t="shared" si="17"/>
        <v>13903.694529133032</v>
      </c>
      <c r="N265" s="329">
        <f t="shared" si="18"/>
        <v>0</v>
      </c>
      <c r="T265" s="331">
        <v>0</v>
      </c>
      <c r="U265" s="328">
        <f>VLOOKUP(C265,METADATA!$J$5:$Q$29,IF(E265="HI",2,IF(E265="LO",6,10))+IF(T265=1,2,IF(D265=7,1,(IF(WEEKDAY(B265)=1,2,IF(WEEKDAY(B265)=7,1,0))))))</f>
        <v>3</v>
      </c>
      <c r="V265" s="328">
        <f>VLOOKUP(C265,METADATA!$A$5:$H$29,IF(E265="HI",2,IF(E265="LO",6,10))+IF(T265=1,2,IF(D265=7,1,(IF(WEEKDAY(B265)=1,2,IF(WEEKDAY(B265)=7,1,0))))))</f>
        <v>3</v>
      </c>
    </row>
    <row r="266" spans="2:22">
      <c r="B266" s="318">
        <f t="shared" si="15"/>
        <v>46123</v>
      </c>
      <c r="C266" s="312">
        <v>22</v>
      </c>
      <c r="D266" s="368">
        <f>IFERROR((INDEX(METADATA!$T$2:$T$20,MATCH(B266,METADATA!$S$2:$S$20,0))),0)</f>
        <v>0</v>
      </c>
      <c r="E266" s="312" t="str">
        <f t="shared" si="16"/>
        <v>LO</v>
      </c>
      <c r="F266" s="369">
        <f>VLOOKUP(C266,METADATA!$A$5:$H$29,IF(E266="HI",2,IF(E266="LO",6,10))+IF(D266=1,2,IF(D266=7,1,(IF(WEEKDAY(B266)=1,2,IF(WEEKDAY(B266)=7,1,0))))))</f>
        <v>3</v>
      </c>
      <c r="G266" s="369">
        <f>VLOOKUP(C266,METADATA!$J$5:$Q$29,IF(E266="HI",2,IF(E266="LO",6,10))+IF(D266=1,2,IF(D266=7,1,(IF(WEEKDAY(B266)=1,2,IF(WEEKDAY(B266)=7,1,0))))))</f>
        <v>3</v>
      </c>
      <c r="H266" s="370">
        <v>13626.194702148438</v>
      </c>
      <c r="I266" s="370">
        <v>2152.5344848632813</v>
      </c>
      <c r="M266" s="371">
        <f t="shared" si="17"/>
        <v>13795.165340414871</v>
      </c>
      <c r="N266" s="329">
        <f t="shared" si="18"/>
        <v>0</v>
      </c>
      <c r="T266" s="331">
        <v>0</v>
      </c>
      <c r="U266" s="328">
        <f>VLOOKUP(C266,METADATA!$J$5:$Q$29,IF(E266="HI",2,IF(E266="LO",6,10))+IF(T266=1,2,IF(D266=7,1,(IF(WEEKDAY(B266)=1,2,IF(WEEKDAY(B266)=7,1,0))))))</f>
        <v>3</v>
      </c>
      <c r="V266" s="328">
        <f>VLOOKUP(C266,METADATA!$A$5:$H$29,IF(E266="HI",2,IF(E266="LO",6,10))+IF(T266=1,2,IF(D266=7,1,(IF(WEEKDAY(B266)=1,2,IF(WEEKDAY(B266)=7,1,0))))))</f>
        <v>3</v>
      </c>
    </row>
    <row r="267" spans="2:22">
      <c r="B267" s="318">
        <f t="shared" si="15"/>
        <v>46123</v>
      </c>
      <c r="C267" s="312">
        <v>23</v>
      </c>
      <c r="D267" s="368">
        <f>IFERROR((INDEX(METADATA!$T$2:$T$20,MATCH(B267,METADATA!$S$2:$S$20,0))),0)</f>
        <v>0</v>
      </c>
      <c r="E267" s="312" t="str">
        <f t="shared" si="16"/>
        <v>LO</v>
      </c>
      <c r="F267" s="369">
        <f>VLOOKUP(C267,METADATA!$A$5:$H$29,IF(E267="HI",2,IF(E267="LO",6,10))+IF(D267=1,2,IF(D267=7,1,(IF(WEEKDAY(B267)=1,2,IF(WEEKDAY(B267)=7,1,0))))))</f>
        <v>3</v>
      </c>
      <c r="G267" s="369">
        <f>VLOOKUP(C267,METADATA!$J$5:$Q$29,IF(E267="HI",2,IF(E267="LO",6,10))+IF(D267=1,2,IF(D267=7,1,(IF(WEEKDAY(B267)=1,2,IF(WEEKDAY(B267)=7,1,0))))))</f>
        <v>3</v>
      </c>
      <c r="H267" s="370">
        <v>13643.875</v>
      </c>
      <c r="I267" s="370">
        <v>2105.7154884338379</v>
      </c>
      <c r="M267" s="371">
        <f t="shared" si="17"/>
        <v>13805.410632569216</v>
      </c>
      <c r="N267" s="329">
        <f t="shared" si="18"/>
        <v>0</v>
      </c>
      <c r="T267" s="331">
        <v>0</v>
      </c>
      <c r="U267" s="328">
        <f>VLOOKUP(C267,METADATA!$J$5:$Q$29,IF(E267="HI",2,IF(E267="LO",6,10))+IF(T267=1,2,IF(D267=7,1,(IF(WEEKDAY(B267)=1,2,IF(WEEKDAY(B267)=7,1,0))))))</f>
        <v>3</v>
      </c>
      <c r="V267" s="328">
        <f>VLOOKUP(C267,METADATA!$A$5:$H$29,IF(E267="HI",2,IF(E267="LO",6,10))+IF(T267=1,2,IF(D267=7,1,(IF(WEEKDAY(B267)=1,2,IF(WEEKDAY(B267)=7,1,0))))))</f>
        <v>3</v>
      </c>
    </row>
    <row r="268" spans="2:22">
      <c r="B268" s="318">
        <f t="shared" si="15"/>
        <v>46124</v>
      </c>
      <c r="C268" s="312">
        <v>0</v>
      </c>
      <c r="D268" s="368">
        <f>IFERROR((INDEX(METADATA!$T$2:$T$20,MATCH(B268,METADATA!$S$2:$S$20,0))),0)</f>
        <v>0</v>
      </c>
      <c r="E268" s="312" t="str">
        <f t="shared" si="16"/>
        <v>LO</v>
      </c>
      <c r="F268" s="369">
        <f>VLOOKUP(C268,METADATA!$A$5:$H$29,IF(E268="HI",2,IF(E268="LO",6,10))+IF(D268=1,2,IF(D268=7,1,(IF(WEEKDAY(B268)=1,2,IF(WEEKDAY(B268)=7,1,0))))))</f>
        <v>3</v>
      </c>
      <c r="G268" s="369">
        <f>VLOOKUP(C268,METADATA!$J$5:$Q$29,IF(E268="HI",2,IF(E268="LO",6,10))+IF(D268=1,2,IF(D268=7,1,(IF(WEEKDAY(B268)=1,2,IF(WEEKDAY(B268)=7,1,0))))))</f>
        <v>3</v>
      </c>
      <c r="H268" s="370">
        <v>13669.019714355469</v>
      </c>
      <c r="I268" s="370">
        <v>2140.2700080871582</v>
      </c>
      <c r="M268" s="371">
        <f t="shared" si="17"/>
        <v>13835.564883984891</v>
      </c>
      <c r="N268" s="329">
        <f t="shared" si="18"/>
        <v>0</v>
      </c>
      <c r="T268" s="331">
        <v>0</v>
      </c>
      <c r="U268" s="328">
        <f>VLOOKUP(C268,METADATA!$J$5:$Q$29,IF(E268="HI",2,IF(E268="LO",6,10))+IF(T268=1,2,IF(D268=7,1,(IF(WEEKDAY(B268)=1,2,IF(WEEKDAY(B268)=7,1,0))))))</f>
        <v>3</v>
      </c>
      <c r="V268" s="328">
        <f>VLOOKUP(C268,METADATA!$A$5:$H$29,IF(E268="HI",2,IF(E268="LO",6,10))+IF(T268=1,2,IF(D268=7,1,(IF(WEEKDAY(B268)=1,2,IF(WEEKDAY(B268)=7,1,0))))))</f>
        <v>3</v>
      </c>
    </row>
    <row r="269" spans="2:22">
      <c r="B269" s="318">
        <f t="shared" si="15"/>
        <v>46124</v>
      </c>
      <c r="C269" s="312">
        <v>1</v>
      </c>
      <c r="D269" s="368">
        <f>IFERROR((INDEX(METADATA!$T$2:$T$20,MATCH(B269,METADATA!$S$2:$S$20,0))),0)</f>
        <v>0</v>
      </c>
      <c r="E269" s="312" t="str">
        <f t="shared" si="16"/>
        <v>LO</v>
      </c>
      <c r="F269" s="369">
        <f>VLOOKUP(C269,METADATA!$A$5:$H$29,IF(E269="HI",2,IF(E269="LO",6,10))+IF(D269=1,2,IF(D269=7,1,(IF(WEEKDAY(B269)=1,2,IF(WEEKDAY(B269)=7,1,0))))))</f>
        <v>3</v>
      </c>
      <c r="G269" s="369">
        <f>VLOOKUP(C269,METADATA!$J$5:$Q$29,IF(E269="HI",2,IF(E269="LO",6,10))+IF(D269=1,2,IF(D269=7,1,(IF(WEEKDAY(B269)=1,2,IF(WEEKDAY(B269)=7,1,0))))))</f>
        <v>3</v>
      </c>
      <c r="H269" s="370">
        <v>13674.755187988281</v>
      </c>
      <c r="I269" s="370">
        <v>2110.8970146179199</v>
      </c>
      <c r="M269" s="371">
        <f t="shared" si="17"/>
        <v>13836.719830138039</v>
      </c>
      <c r="N269" s="329">
        <f t="shared" si="18"/>
        <v>0</v>
      </c>
      <c r="T269" s="331">
        <v>0</v>
      </c>
      <c r="U269" s="328">
        <f>VLOOKUP(C269,METADATA!$J$5:$Q$29,IF(E269="HI",2,IF(E269="LO",6,10))+IF(T269=1,2,IF(D269=7,1,(IF(WEEKDAY(B269)=1,2,IF(WEEKDAY(B269)=7,1,0))))))</f>
        <v>3</v>
      </c>
      <c r="V269" s="328">
        <f>VLOOKUP(C269,METADATA!$A$5:$H$29,IF(E269="HI",2,IF(E269="LO",6,10))+IF(T269=1,2,IF(D269=7,1,(IF(WEEKDAY(B269)=1,2,IF(WEEKDAY(B269)=7,1,0))))))</f>
        <v>3</v>
      </c>
    </row>
    <row r="270" spans="2:22">
      <c r="B270" s="318">
        <f t="shared" si="15"/>
        <v>46124</v>
      </c>
      <c r="C270" s="312">
        <v>2</v>
      </c>
      <c r="D270" s="368">
        <f>IFERROR((INDEX(METADATA!$T$2:$T$20,MATCH(B270,METADATA!$S$2:$S$20,0))),0)</f>
        <v>0</v>
      </c>
      <c r="E270" s="312" t="str">
        <f t="shared" si="16"/>
        <v>LO</v>
      </c>
      <c r="F270" s="369">
        <f>VLOOKUP(C270,METADATA!$A$5:$H$29,IF(E270="HI",2,IF(E270="LO",6,10))+IF(D270=1,2,IF(D270=7,1,(IF(WEEKDAY(B270)=1,2,IF(WEEKDAY(B270)=7,1,0))))))</f>
        <v>3</v>
      </c>
      <c r="G270" s="369">
        <f>VLOOKUP(C270,METADATA!$J$5:$Q$29,IF(E270="HI",2,IF(E270="LO",6,10))+IF(D270=1,2,IF(D270=7,1,(IF(WEEKDAY(B270)=1,2,IF(WEEKDAY(B270)=7,1,0))))))</f>
        <v>3</v>
      </c>
      <c r="H270" s="370">
        <v>13681.822448730469</v>
      </c>
      <c r="I270" s="370">
        <v>2112.1439895629883</v>
      </c>
      <c r="M270" s="371">
        <f t="shared" si="17"/>
        <v>13843.894601998098</v>
      </c>
      <c r="N270" s="329">
        <f t="shared" si="18"/>
        <v>0</v>
      </c>
      <c r="T270" s="331">
        <v>0</v>
      </c>
      <c r="U270" s="328">
        <f>VLOOKUP(C270,METADATA!$J$5:$Q$29,IF(E270="HI",2,IF(E270="LO",6,10))+IF(T270=1,2,IF(D270=7,1,(IF(WEEKDAY(B270)=1,2,IF(WEEKDAY(B270)=7,1,0))))))</f>
        <v>3</v>
      </c>
      <c r="V270" s="328">
        <f>VLOOKUP(C270,METADATA!$A$5:$H$29,IF(E270="HI",2,IF(E270="LO",6,10))+IF(T270=1,2,IF(D270=7,1,(IF(WEEKDAY(B270)=1,2,IF(WEEKDAY(B270)=7,1,0))))))</f>
        <v>3</v>
      </c>
    </row>
    <row r="271" spans="2:22">
      <c r="B271" s="318">
        <f t="shared" si="15"/>
        <v>46124</v>
      </c>
      <c r="C271" s="312">
        <v>3</v>
      </c>
      <c r="D271" s="368">
        <f>IFERROR((INDEX(METADATA!$T$2:$T$20,MATCH(B271,METADATA!$S$2:$S$20,0))),0)</f>
        <v>0</v>
      </c>
      <c r="E271" s="312" t="str">
        <f t="shared" si="16"/>
        <v>LO</v>
      </c>
      <c r="F271" s="369">
        <f>VLOOKUP(C271,METADATA!$A$5:$H$29,IF(E271="HI",2,IF(E271="LO",6,10))+IF(D271=1,2,IF(D271=7,1,(IF(WEEKDAY(B271)=1,2,IF(WEEKDAY(B271)=7,1,0))))))</f>
        <v>3</v>
      </c>
      <c r="G271" s="369">
        <f>VLOOKUP(C271,METADATA!$J$5:$Q$29,IF(E271="HI",2,IF(E271="LO",6,10))+IF(D271=1,2,IF(D271=7,1,(IF(WEEKDAY(B271)=1,2,IF(WEEKDAY(B271)=7,1,0))))))</f>
        <v>3</v>
      </c>
      <c r="H271" s="370">
        <v>13614.909606933594</v>
      </c>
      <c r="I271" s="370">
        <v>2112.5044708251953</v>
      </c>
      <c r="M271" s="371">
        <f t="shared" si="17"/>
        <v>13777.824165819113</v>
      </c>
      <c r="N271" s="329">
        <f t="shared" si="18"/>
        <v>0</v>
      </c>
      <c r="T271" s="331">
        <v>0</v>
      </c>
      <c r="U271" s="328">
        <f>VLOOKUP(C271,METADATA!$J$5:$Q$29,IF(E271="HI",2,IF(E271="LO",6,10))+IF(T271=1,2,IF(D271=7,1,(IF(WEEKDAY(B271)=1,2,IF(WEEKDAY(B271)=7,1,0))))))</f>
        <v>3</v>
      </c>
      <c r="V271" s="328">
        <f>VLOOKUP(C271,METADATA!$A$5:$H$29,IF(E271="HI",2,IF(E271="LO",6,10))+IF(T271=1,2,IF(D271=7,1,(IF(WEEKDAY(B271)=1,2,IF(WEEKDAY(B271)=7,1,0))))))</f>
        <v>3</v>
      </c>
    </row>
    <row r="272" spans="2:22">
      <c r="B272" s="318">
        <f t="shared" si="15"/>
        <v>46124</v>
      </c>
      <c r="C272" s="312">
        <v>4</v>
      </c>
      <c r="D272" s="368">
        <f>IFERROR((INDEX(METADATA!$T$2:$T$20,MATCH(B272,METADATA!$S$2:$S$20,0))),0)</f>
        <v>0</v>
      </c>
      <c r="E272" s="312" t="str">
        <f t="shared" si="16"/>
        <v>LO</v>
      </c>
      <c r="F272" s="369">
        <f>VLOOKUP(C272,METADATA!$A$5:$H$29,IF(E272="HI",2,IF(E272="LO",6,10))+IF(D272=1,2,IF(D272=7,1,(IF(WEEKDAY(B272)=1,2,IF(WEEKDAY(B272)=7,1,0))))))</f>
        <v>3</v>
      </c>
      <c r="G272" s="369">
        <f>VLOOKUP(C272,METADATA!$J$5:$Q$29,IF(E272="HI",2,IF(E272="LO",6,10))+IF(D272=1,2,IF(D272=7,1,(IF(WEEKDAY(B272)=1,2,IF(WEEKDAY(B272)=7,1,0))))))</f>
        <v>3</v>
      </c>
      <c r="H272" s="370">
        <v>13545.054992675781</v>
      </c>
      <c r="I272" s="370">
        <v>2106.8879928588867</v>
      </c>
      <c r="M272" s="371">
        <f t="shared" si="17"/>
        <v>13707.935357633696</v>
      </c>
      <c r="N272" s="329">
        <f t="shared" si="18"/>
        <v>0</v>
      </c>
      <c r="T272" s="331">
        <v>0</v>
      </c>
      <c r="U272" s="328">
        <f>VLOOKUP(C272,METADATA!$J$5:$Q$29,IF(E272="HI",2,IF(E272="LO",6,10))+IF(T272=1,2,IF(D272=7,1,(IF(WEEKDAY(B272)=1,2,IF(WEEKDAY(B272)=7,1,0))))))</f>
        <v>3</v>
      </c>
      <c r="V272" s="328">
        <f>VLOOKUP(C272,METADATA!$A$5:$H$29,IF(E272="HI",2,IF(E272="LO",6,10))+IF(T272=1,2,IF(D272=7,1,(IF(WEEKDAY(B272)=1,2,IF(WEEKDAY(B272)=7,1,0))))))</f>
        <v>3</v>
      </c>
    </row>
    <row r="273" spans="2:22">
      <c r="B273" s="318">
        <f t="shared" si="15"/>
        <v>46124</v>
      </c>
      <c r="C273" s="312">
        <v>5</v>
      </c>
      <c r="D273" s="368">
        <f>IFERROR((INDEX(METADATA!$T$2:$T$20,MATCH(B273,METADATA!$S$2:$S$20,0))),0)</f>
        <v>0</v>
      </c>
      <c r="E273" s="312" t="str">
        <f t="shared" si="16"/>
        <v>LO</v>
      </c>
      <c r="F273" s="369">
        <f>VLOOKUP(C273,METADATA!$A$5:$H$29,IF(E273="HI",2,IF(E273="LO",6,10))+IF(D273=1,2,IF(D273=7,1,(IF(WEEKDAY(B273)=1,2,IF(WEEKDAY(B273)=7,1,0))))))</f>
        <v>3</v>
      </c>
      <c r="G273" s="369">
        <f>VLOOKUP(C273,METADATA!$J$5:$Q$29,IF(E273="HI",2,IF(E273="LO",6,10))+IF(D273=1,2,IF(D273=7,1,(IF(WEEKDAY(B273)=1,2,IF(WEEKDAY(B273)=7,1,0))))))</f>
        <v>3</v>
      </c>
      <c r="H273" s="370">
        <v>13595.529846191406</v>
      </c>
      <c r="I273" s="370">
        <v>2018.9264888763428</v>
      </c>
      <c r="M273" s="371">
        <f t="shared" si="17"/>
        <v>13744.616981428324</v>
      </c>
      <c r="N273" s="329">
        <f t="shared" si="18"/>
        <v>0</v>
      </c>
      <c r="T273" s="331">
        <v>0</v>
      </c>
      <c r="U273" s="328">
        <f>VLOOKUP(C273,METADATA!$J$5:$Q$29,IF(E273="HI",2,IF(E273="LO",6,10))+IF(T273=1,2,IF(D273=7,1,(IF(WEEKDAY(B273)=1,2,IF(WEEKDAY(B273)=7,1,0))))))</f>
        <v>3</v>
      </c>
      <c r="V273" s="328">
        <f>VLOOKUP(C273,METADATA!$A$5:$H$29,IF(E273="HI",2,IF(E273="LO",6,10))+IF(T273=1,2,IF(D273=7,1,(IF(WEEKDAY(B273)=1,2,IF(WEEKDAY(B273)=7,1,0))))))</f>
        <v>3</v>
      </c>
    </row>
    <row r="274" spans="2:22">
      <c r="B274" s="318">
        <f t="shared" si="15"/>
        <v>46124</v>
      </c>
      <c r="C274" s="312">
        <v>6</v>
      </c>
      <c r="D274" s="368">
        <f>IFERROR((INDEX(METADATA!$T$2:$T$20,MATCH(B274,METADATA!$S$2:$S$20,0))),0)</f>
        <v>0</v>
      </c>
      <c r="E274" s="312" t="str">
        <f t="shared" si="16"/>
        <v>LO</v>
      </c>
      <c r="F274" s="369">
        <f>VLOOKUP(C274,METADATA!$A$5:$H$29,IF(E274="HI",2,IF(E274="LO",6,10))+IF(D274=1,2,IF(D274=7,1,(IF(WEEKDAY(B274)=1,2,IF(WEEKDAY(B274)=7,1,0))))))</f>
        <v>3</v>
      </c>
      <c r="G274" s="369">
        <f>VLOOKUP(C274,METADATA!$J$5:$Q$29,IF(E274="HI",2,IF(E274="LO",6,10))+IF(D274=1,2,IF(D274=7,1,(IF(WEEKDAY(B274)=1,2,IF(WEEKDAY(B274)=7,1,0))))))</f>
        <v>3</v>
      </c>
      <c r="H274" s="370">
        <v>13497.639526367188</v>
      </c>
      <c r="I274" s="370">
        <v>1956.7929725646973</v>
      </c>
      <c r="M274" s="371">
        <f t="shared" si="17"/>
        <v>13638.743033037481</v>
      </c>
      <c r="N274" s="329">
        <f t="shared" si="18"/>
        <v>0</v>
      </c>
      <c r="T274" s="331">
        <v>0</v>
      </c>
      <c r="U274" s="328">
        <f>VLOOKUP(C274,METADATA!$J$5:$Q$29,IF(E274="HI",2,IF(E274="LO",6,10))+IF(T274=1,2,IF(D274=7,1,(IF(WEEKDAY(B274)=1,2,IF(WEEKDAY(B274)=7,1,0))))))</f>
        <v>3</v>
      </c>
      <c r="V274" s="328">
        <f>VLOOKUP(C274,METADATA!$A$5:$H$29,IF(E274="HI",2,IF(E274="LO",6,10))+IF(T274=1,2,IF(D274=7,1,(IF(WEEKDAY(B274)=1,2,IF(WEEKDAY(B274)=7,1,0))))))</f>
        <v>3</v>
      </c>
    </row>
    <row r="275" spans="2:22">
      <c r="B275" s="318">
        <f t="shared" si="15"/>
        <v>46124</v>
      </c>
      <c r="C275" s="312">
        <v>7</v>
      </c>
      <c r="D275" s="368">
        <f>IFERROR((INDEX(METADATA!$T$2:$T$20,MATCH(B275,METADATA!$S$2:$S$20,0))),0)</f>
        <v>0</v>
      </c>
      <c r="E275" s="312" t="str">
        <f t="shared" si="16"/>
        <v>LO</v>
      </c>
      <c r="F275" s="369">
        <f>VLOOKUP(C275,METADATA!$A$5:$H$29,IF(E275="HI",2,IF(E275="LO",6,10))+IF(D275=1,2,IF(D275=7,1,(IF(WEEKDAY(B275)=1,2,IF(WEEKDAY(B275)=7,1,0))))))</f>
        <v>3</v>
      </c>
      <c r="G275" s="369">
        <f>VLOOKUP(C275,METADATA!$J$5:$Q$29,IF(E275="HI",2,IF(E275="LO",6,10))+IF(D275=1,2,IF(D275=7,1,(IF(WEEKDAY(B275)=1,2,IF(WEEKDAY(B275)=7,1,0))))))</f>
        <v>3</v>
      </c>
      <c r="H275" s="370">
        <v>13631.230102539063</v>
      </c>
      <c r="I275" s="370">
        <v>2013.5749702453613</v>
      </c>
      <c r="M275" s="371">
        <f t="shared" si="17"/>
        <v>13779.14795149416</v>
      </c>
      <c r="N275" s="329">
        <f t="shared" si="18"/>
        <v>0</v>
      </c>
      <c r="T275" s="331">
        <v>0</v>
      </c>
      <c r="U275" s="328">
        <f>VLOOKUP(C275,METADATA!$J$5:$Q$29,IF(E275="HI",2,IF(E275="LO",6,10))+IF(T275=1,2,IF(D275=7,1,(IF(WEEKDAY(B275)=1,2,IF(WEEKDAY(B275)=7,1,0))))))</f>
        <v>3</v>
      </c>
      <c r="V275" s="328">
        <f>VLOOKUP(C275,METADATA!$A$5:$H$29,IF(E275="HI",2,IF(E275="LO",6,10))+IF(T275=1,2,IF(D275=7,1,(IF(WEEKDAY(B275)=1,2,IF(WEEKDAY(B275)=7,1,0))))))</f>
        <v>3</v>
      </c>
    </row>
    <row r="276" spans="2:22">
      <c r="B276" s="318">
        <f t="shared" si="15"/>
        <v>46124</v>
      </c>
      <c r="C276" s="312">
        <v>8</v>
      </c>
      <c r="D276" s="368">
        <f>IFERROR((INDEX(METADATA!$T$2:$T$20,MATCH(B276,METADATA!$S$2:$S$20,0))),0)</f>
        <v>0</v>
      </c>
      <c r="E276" s="312" t="str">
        <f t="shared" si="16"/>
        <v>LO</v>
      </c>
      <c r="F276" s="369">
        <f>VLOOKUP(C276,METADATA!$A$5:$H$29,IF(E276="HI",2,IF(E276="LO",6,10))+IF(D276=1,2,IF(D276=7,1,(IF(WEEKDAY(B276)=1,2,IF(WEEKDAY(B276)=7,1,0))))))</f>
        <v>3</v>
      </c>
      <c r="G276" s="369">
        <f>VLOOKUP(C276,METADATA!$J$5:$Q$29,IF(E276="HI",2,IF(E276="LO",6,10))+IF(D276=1,2,IF(D276=7,1,(IF(WEEKDAY(B276)=1,2,IF(WEEKDAY(B276)=7,1,0))))))</f>
        <v>3</v>
      </c>
      <c r="H276" s="370">
        <v>13593.700073242188</v>
      </c>
      <c r="I276" s="370">
        <v>2198.2525520324707</v>
      </c>
      <c r="M276" s="371">
        <f t="shared" si="17"/>
        <v>13770.293967950791</v>
      </c>
      <c r="N276" s="329">
        <f t="shared" si="18"/>
        <v>0</v>
      </c>
      <c r="T276" s="331">
        <v>0</v>
      </c>
      <c r="U276" s="328">
        <f>VLOOKUP(C276,METADATA!$J$5:$Q$29,IF(E276="HI",2,IF(E276="LO",6,10))+IF(T276=1,2,IF(D276=7,1,(IF(WEEKDAY(B276)=1,2,IF(WEEKDAY(B276)=7,1,0))))))</f>
        <v>3</v>
      </c>
      <c r="V276" s="328">
        <f>VLOOKUP(C276,METADATA!$A$5:$H$29,IF(E276="HI",2,IF(E276="LO",6,10))+IF(T276=1,2,IF(D276=7,1,(IF(WEEKDAY(B276)=1,2,IF(WEEKDAY(B276)=7,1,0))))))</f>
        <v>3</v>
      </c>
    </row>
    <row r="277" spans="2:22">
      <c r="B277" s="318">
        <f t="shared" si="15"/>
        <v>46124</v>
      </c>
      <c r="C277" s="312">
        <v>9</v>
      </c>
      <c r="D277" s="368">
        <f>IFERROR((INDEX(METADATA!$T$2:$T$20,MATCH(B277,METADATA!$S$2:$S$20,0))),0)</f>
        <v>0</v>
      </c>
      <c r="E277" s="312" t="str">
        <f t="shared" si="16"/>
        <v>LO</v>
      </c>
      <c r="F277" s="369">
        <f>VLOOKUP(C277,METADATA!$A$5:$H$29,IF(E277="HI",2,IF(E277="LO",6,10))+IF(D277=1,2,IF(D277=7,1,(IF(WEEKDAY(B277)=1,2,IF(WEEKDAY(B277)=7,1,0))))))</f>
        <v>3</v>
      </c>
      <c r="G277" s="369">
        <f>VLOOKUP(C277,METADATA!$J$5:$Q$29,IF(E277="HI",2,IF(E277="LO",6,10))+IF(D277=1,2,IF(D277=7,1,(IF(WEEKDAY(B277)=1,2,IF(WEEKDAY(B277)=7,1,0))))))</f>
        <v>3</v>
      </c>
      <c r="H277" s="370">
        <v>13624.534729003906</v>
      </c>
      <c r="I277" s="370">
        <v>2129.6174545288086</v>
      </c>
      <c r="M277" s="371">
        <f t="shared" si="17"/>
        <v>13789.967987071881</v>
      </c>
      <c r="N277" s="329">
        <f t="shared" si="18"/>
        <v>0</v>
      </c>
      <c r="T277" s="331">
        <v>0</v>
      </c>
      <c r="U277" s="328">
        <f>VLOOKUP(C277,METADATA!$J$5:$Q$29,IF(E277="HI",2,IF(E277="LO",6,10))+IF(T277=1,2,IF(D277=7,1,(IF(WEEKDAY(B277)=1,2,IF(WEEKDAY(B277)=7,1,0))))))</f>
        <v>3</v>
      </c>
      <c r="V277" s="328">
        <f>VLOOKUP(C277,METADATA!$A$5:$H$29,IF(E277="HI",2,IF(E277="LO",6,10))+IF(T277=1,2,IF(D277=7,1,(IF(WEEKDAY(B277)=1,2,IF(WEEKDAY(B277)=7,1,0))))))</f>
        <v>3</v>
      </c>
    </row>
    <row r="278" spans="2:22">
      <c r="B278" s="318">
        <f t="shared" si="15"/>
        <v>46124</v>
      </c>
      <c r="C278" s="312">
        <v>10</v>
      </c>
      <c r="D278" s="368">
        <f>IFERROR((INDEX(METADATA!$T$2:$T$20,MATCH(B278,METADATA!$S$2:$S$20,0))),0)</f>
        <v>0</v>
      </c>
      <c r="E278" s="312" t="str">
        <f t="shared" si="16"/>
        <v>LO</v>
      </c>
      <c r="F278" s="369">
        <f>VLOOKUP(C278,METADATA!$A$5:$H$29,IF(E278="HI",2,IF(E278="LO",6,10))+IF(D278=1,2,IF(D278=7,1,(IF(WEEKDAY(B278)=1,2,IF(WEEKDAY(B278)=7,1,0))))))</f>
        <v>3</v>
      </c>
      <c r="G278" s="369">
        <f>VLOOKUP(C278,METADATA!$J$5:$Q$29,IF(E278="HI",2,IF(E278="LO",6,10))+IF(D278=1,2,IF(D278=7,1,(IF(WEEKDAY(B278)=1,2,IF(WEEKDAY(B278)=7,1,0))))))</f>
        <v>3</v>
      </c>
      <c r="H278" s="370">
        <v>13445.940124511719</v>
      </c>
      <c r="I278" s="370">
        <v>2126.349967956543</v>
      </c>
      <c r="M278" s="371">
        <f t="shared" si="17"/>
        <v>13613.033093994261</v>
      </c>
      <c r="N278" s="329">
        <f t="shared" si="18"/>
        <v>0</v>
      </c>
      <c r="T278" s="331">
        <v>0</v>
      </c>
      <c r="U278" s="328">
        <f>VLOOKUP(C278,METADATA!$J$5:$Q$29,IF(E278="HI",2,IF(E278="LO",6,10))+IF(T278=1,2,IF(D278=7,1,(IF(WEEKDAY(B278)=1,2,IF(WEEKDAY(B278)=7,1,0))))))</f>
        <v>3</v>
      </c>
      <c r="V278" s="328">
        <f>VLOOKUP(C278,METADATA!$A$5:$H$29,IF(E278="HI",2,IF(E278="LO",6,10))+IF(T278=1,2,IF(D278=7,1,(IF(WEEKDAY(B278)=1,2,IF(WEEKDAY(B278)=7,1,0))))))</f>
        <v>3</v>
      </c>
    </row>
    <row r="279" spans="2:22">
      <c r="B279" s="318">
        <f t="shared" si="15"/>
        <v>46124</v>
      </c>
      <c r="C279" s="312">
        <v>11</v>
      </c>
      <c r="D279" s="368">
        <f>IFERROR((INDEX(METADATA!$T$2:$T$20,MATCH(B279,METADATA!$S$2:$S$20,0))),0)</f>
        <v>0</v>
      </c>
      <c r="E279" s="312" t="str">
        <f t="shared" si="16"/>
        <v>LO</v>
      </c>
      <c r="F279" s="369">
        <f>VLOOKUP(C279,METADATA!$A$5:$H$29,IF(E279="HI",2,IF(E279="LO",6,10))+IF(D279=1,2,IF(D279=7,1,(IF(WEEKDAY(B279)=1,2,IF(WEEKDAY(B279)=7,1,0))))))</f>
        <v>3</v>
      </c>
      <c r="G279" s="369">
        <f>VLOOKUP(C279,METADATA!$J$5:$Q$29,IF(E279="HI",2,IF(E279="LO",6,10))+IF(D279=1,2,IF(D279=7,1,(IF(WEEKDAY(B279)=1,2,IF(WEEKDAY(B279)=7,1,0))))))</f>
        <v>3</v>
      </c>
      <c r="H279" s="370">
        <v>8365.7950439453125</v>
      </c>
      <c r="I279" s="370">
        <v>616.56650222139433</v>
      </c>
      <c r="M279" s="371">
        <f t="shared" si="17"/>
        <v>8388.4850222767564</v>
      </c>
      <c r="N279" s="329">
        <f t="shared" si="18"/>
        <v>0</v>
      </c>
      <c r="T279" s="331">
        <v>0</v>
      </c>
      <c r="U279" s="328">
        <f>VLOOKUP(C279,METADATA!$J$5:$Q$29,IF(E279="HI",2,IF(E279="LO",6,10))+IF(T279=1,2,IF(D279=7,1,(IF(WEEKDAY(B279)=1,2,IF(WEEKDAY(B279)=7,1,0))))))</f>
        <v>3</v>
      </c>
      <c r="V279" s="328">
        <f>VLOOKUP(C279,METADATA!$A$5:$H$29,IF(E279="HI",2,IF(E279="LO",6,10))+IF(T279=1,2,IF(D279=7,1,(IF(WEEKDAY(B279)=1,2,IF(WEEKDAY(B279)=7,1,0))))))</f>
        <v>3</v>
      </c>
    </row>
    <row r="280" spans="2:22">
      <c r="B280" s="318">
        <f t="shared" si="15"/>
        <v>46124</v>
      </c>
      <c r="C280" s="312">
        <v>12</v>
      </c>
      <c r="D280" s="368">
        <f>IFERROR((INDEX(METADATA!$T$2:$T$20,MATCH(B280,METADATA!$S$2:$S$20,0))),0)</f>
        <v>0</v>
      </c>
      <c r="E280" s="312" t="str">
        <f t="shared" si="16"/>
        <v>LO</v>
      </c>
      <c r="F280" s="369">
        <f>VLOOKUP(C280,METADATA!$A$5:$H$29,IF(E280="HI",2,IF(E280="LO",6,10))+IF(D280=1,2,IF(D280=7,1,(IF(WEEKDAY(B280)=1,2,IF(WEEKDAY(B280)=7,1,0))))))</f>
        <v>3</v>
      </c>
      <c r="G280" s="369">
        <f>VLOOKUP(C280,METADATA!$J$5:$Q$29,IF(E280="HI",2,IF(E280="LO",6,10))+IF(D280=1,2,IF(D280=7,1,(IF(WEEKDAY(B280)=1,2,IF(WEEKDAY(B280)=7,1,0))))))</f>
        <v>3</v>
      </c>
      <c r="H280" s="370">
        <v>11580.259887695313</v>
      </c>
      <c r="I280" s="370">
        <v>1664.3999805450439</v>
      </c>
      <c r="M280" s="371">
        <f t="shared" si="17"/>
        <v>11699.258368025017</v>
      </c>
      <c r="N280" s="329">
        <f t="shared" si="18"/>
        <v>0</v>
      </c>
      <c r="T280" s="331">
        <v>0</v>
      </c>
      <c r="U280" s="328">
        <f>VLOOKUP(C280,METADATA!$J$5:$Q$29,IF(E280="HI",2,IF(E280="LO",6,10))+IF(T280=1,2,IF(D280=7,1,(IF(WEEKDAY(B280)=1,2,IF(WEEKDAY(B280)=7,1,0))))))</f>
        <v>3</v>
      </c>
      <c r="V280" s="328">
        <f>VLOOKUP(C280,METADATA!$A$5:$H$29,IF(E280="HI",2,IF(E280="LO",6,10))+IF(T280=1,2,IF(D280=7,1,(IF(WEEKDAY(B280)=1,2,IF(WEEKDAY(B280)=7,1,0))))))</f>
        <v>3</v>
      </c>
    </row>
    <row r="281" spans="2:22">
      <c r="B281" s="318">
        <f t="shared" si="15"/>
        <v>46124</v>
      </c>
      <c r="C281" s="312">
        <v>13</v>
      </c>
      <c r="D281" s="368">
        <f>IFERROR((INDEX(METADATA!$T$2:$T$20,MATCH(B281,METADATA!$S$2:$S$20,0))),0)</f>
        <v>0</v>
      </c>
      <c r="E281" s="312" t="str">
        <f t="shared" si="16"/>
        <v>LO</v>
      </c>
      <c r="F281" s="369">
        <f>VLOOKUP(C281,METADATA!$A$5:$H$29,IF(E281="HI",2,IF(E281="LO",6,10))+IF(D281=1,2,IF(D281=7,1,(IF(WEEKDAY(B281)=1,2,IF(WEEKDAY(B281)=7,1,0))))))</f>
        <v>3</v>
      </c>
      <c r="G281" s="369">
        <f>VLOOKUP(C281,METADATA!$J$5:$Q$29,IF(E281="HI",2,IF(E281="LO",6,10))+IF(D281=1,2,IF(D281=7,1,(IF(WEEKDAY(B281)=1,2,IF(WEEKDAY(B281)=7,1,0))))))</f>
        <v>3</v>
      </c>
      <c r="H281" s="370">
        <v>13453.749877929688</v>
      </c>
      <c r="I281" s="370">
        <v>2285.8999938964844</v>
      </c>
      <c r="M281" s="371">
        <f t="shared" si="17"/>
        <v>13646.56456988311</v>
      </c>
      <c r="N281" s="329">
        <f t="shared" si="18"/>
        <v>0</v>
      </c>
      <c r="T281" s="331">
        <v>0</v>
      </c>
      <c r="U281" s="328">
        <f>VLOOKUP(C281,METADATA!$J$5:$Q$29,IF(E281="HI",2,IF(E281="LO",6,10))+IF(T281=1,2,IF(D281=7,1,(IF(WEEKDAY(B281)=1,2,IF(WEEKDAY(B281)=7,1,0))))))</f>
        <v>3</v>
      </c>
      <c r="V281" s="328">
        <f>VLOOKUP(C281,METADATA!$A$5:$H$29,IF(E281="HI",2,IF(E281="LO",6,10))+IF(T281=1,2,IF(D281=7,1,(IF(WEEKDAY(B281)=1,2,IF(WEEKDAY(B281)=7,1,0))))))</f>
        <v>3</v>
      </c>
    </row>
    <row r="282" spans="2:22">
      <c r="B282" s="318">
        <f t="shared" si="15"/>
        <v>46124</v>
      </c>
      <c r="C282" s="312">
        <v>14</v>
      </c>
      <c r="D282" s="368">
        <f>IFERROR((INDEX(METADATA!$T$2:$T$20,MATCH(B282,METADATA!$S$2:$S$20,0))),0)</f>
        <v>0</v>
      </c>
      <c r="E282" s="312" t="str">
        <f t="shared" si="16"/>
        <v>LO</v>
      </c>
      <c r="F282" s="369">
        <f>VLOOKUP(C282,METADATA!$A$5:$H$29,IF(E282="HI",2,IF(E282="LO",6,10))+IF(D282=1,2,IF(D282=7,1,(IF(WEEKDAY(B282)=1,2,IF(WEEKDAY(B282)=7,1,0))))))</f>
        <v>3</v>
      </c>
      <c r="G282" s="369">
        <f>VLOOKUP(C282,METADATA!$J$5:$Q$29,IF(E282="HI",2,IF(E282="LO",6,10))+IF(D282=1,2,IF(D282=7,1,(IF(WEEKDAY(B282)=1,2,IF(WEEKDAY(B282)=7,1,0))))))</f>
        <v>3</v>
      </c>
      <c r="H282" s="370">
        <v>13666.245178222656</v>
      </c>
      <c r="I282" s="370">
        <v>2269.1524848937988</v>
      </c>
      <c r="M282" s="371">
        <f t="shared" si="17"/>
        <v>13853.350146119663</v>
      </c>
      <c r="N282" s="329">
        <f t="shared" si="18"/>
        <v>0</v>
      </c>
      <c r="T282" s="331">
        <v>0</v>
      </c>
      <c r="U282" s="328">
        <f>VLOOKUP(C282,METADATA!$J$5:$Q$29,IF(E282="HI",2,IF(E282="LO",6,10))+IF(T282=1,2,IF(D282=7,1,(IF(WEEKDAY(B282)=1,2,IF(WEEKDAY(B282)=7,1,0))))))</f>
        <v>3</v>
      </c>
      <c r="V282" s="328">
        <f>VLOOKUP(C282,METADATA!$A$5:$H$29,IF(E282="HI",2,IF(E282="LO",6,10))+IF(T282=1,2,IF(D282=7,1,(IF(WEEKDAY(B282)=1,2,IF(WEEKDAY(B282)=7,1,0))))))</f>
        <v>3</v>
      </c>
    </row>
    <row r="283" spans="2:22">
      <c r="B283" s="318">
        <f t="shared" si="15"/>
        <v>46124</v>
      </c>
      <c r="C283" s="312">
        <v>15</v>
      </c>
      <c r="D283" s="368">
        <f>IFERROR((INDEX(METADATA!$T$2:$T$20,MATCH(B283,METADATA!$S$2:$S$20,0))),0)</f>
        <v>0</v>
      </c>
      <c r="E283" s="312" t="str">
        <f t="shared" si="16"/>
        <v>LO</v>
      </c>
      <c r="F283" s="369">
        <f>VLOOKUP(C283,METADATA!$A$5:$H$29,IF(E283="HI",2,IF(E283="LO",6,10))+IF(D283=1,2,IF(D283=7,1,(IF(WEEKDAY(B283)=1,2,IF(WEEKDAY(B283)=7,1,0))))))</f>
        <v>3</v>
      </c>
      <c r="G283" s="369">
        <f>VLOOKUP(C283,METADATA!$J$5:$Q$29,IF(E283="HI",2,IF(E283="LO",6,10))+IF(D283=1,2,IF(D283=7,1,(IF(WEEKDAY(B283)=1,2,IF(WEEKDAY(B283)=7,1,0))))))</f>
        <v>3</v>
      </c>
      <c r="H283" s="370">
        <v>13610.315002441406</v>
      </c>
      <c r="I283" s="370">
        <v>2196.001049041748</v>
      </c>
      <c r="M283" s="371">
        <f t="shared" si="17"/>
        <v>13786.337260965078</v>
      </c>
      <c r="N283" s="329">
        <f t="shared" si="18"/>
        <v>0</v>
      </c>
      <c r="T283" s="331">
        <v>0</v>
      </c>
      <c r="U283" s="328">
        <f>VLOOKUP(C283,METADATA!$J$5:$Q$29,IF(E283="HI",2,IF(E283="LO",6,10))+IF(T283=1,2,IF(D283=7,1,(IF(WEEKDAY(B283)=1,2,IF(WEEKDAY(B283)=7,1,0))))))</f>
        <v>3</v>
      </c>
      <c r="V283" s="328">
        <f>VLOOKUP(C283,METADATA!$A$5:$H$29,IF(E283="HI",2,IF(E283="LO",6,10))+IF(T283=1,2,IF(D283=7,1,(IF(WEEKDAY(B283)=1,2,IF(WEEKDAY(B283)=7,1,0))))))</f>
        <v>3</v>
      </c>
    </row>
    <row r="284" spans="2:22">
      <c r="B284" s="318">
        <f t="shared" ref="B284:B347" si="19">B260+1</f>
        <v>46124</v>
      </c>
      <c r="C284" s="312">
        <v>16</v>
      </c>
      <c r="D284" s="368">
        <f>IFERROR((INDEX(METADATA!$T$2:$T$20,MATCH(B284,METADATA!$S$2:$S$20,0))),0)</f>
        <v>0</v>
      </c>
      <c r="E284" s="312" t="str">
        <f t="shared" si="16"/>
        <v>LO</v>
      </c>
      <c r="F284" s="369">
        <f>VLOOKUP(C284,METADATA!$A$5:$H$29,IF(E284="HI",2,IF(E284="LO",6,10))+IF(D284=1,2,IF(D284=7,1,(IF(WEEKDAY(B284)=1,2,IF(WEEKDAY(B284)=7,1,0))))))</f>
        <v>3</v>
      </c>
      <c r="G284" s="369">
        <f>VLOOKUP(C284,METADATA!$J$5:$Q$29,IF(E284="HI",2,IF(E284="LO",6,10))+IF(D284=1,2,IF(D284=7,1,(IF(WEEKDAY(B284)=1,2,IF(WEEKDAY(B284)=7,1,0))))))</f>
        <v>3</v>
      </c>
      <c r="H284" s="370">
        <v>13739.0498046875</v>
      </c>
      <c r="I284" s="370">
        <v>2328.4775695800781</v>
      </c>
      <c r="M284" s="371">
        <f t="shared" si="17"/>
        <v>13934.966714266711</v>
      </c>
      <c r="N284" s="329">
        <f t="shared" si="18"/>
        <v>0</v>
      </c>
      <c r="T284" s="331">
        <v>0</v>
      </c>
      <c r="U284" s="328">
        <f>VLOOKUP(C284,METADATA!$J$5:$Q$29,IF(E284="HI",2,IF(E284="LO",6,10))+IF(T284=1,2,IF(D284=7,1,(IF(WEEKDAY(B284)=1,2,IF(WEEKDAY(B284)=7,1,0))))))</f>
        <v>3</v>
      </c>
      <c r="V284" s="328">
        <f>VLOOKUP(C284,METADATA!$A$5:$H$29,IF(E284="HI",2,IF(E284="LO",6,10))+IF(T284=1,2,IF(D284=7,1,(IF(WEEKDAY(B284)=1,2,IF(WEEKDAY(B284)=7,1,0))))))</f>
        <v>3</v>
      </c>
    </row>
    <row r="285" spans="2:22">
      <c r="B285" s="318">
        <f t="shared" si="19"/>
        <v>46124</v>
      </c>
      <c r="C285" s="312">
        <v>17</v>
      </c>
      <c r="D285" s="368">
        <f>IFERROR((INDEX(METADATA!$T$2:$T$20,MATCH(B285,METADATA!$S$2:$S$20,0))),0)</f>
        <v>0</v>
      </c>
      <c r="E285" s="312" t="str">
        <f t="shared" si="16"/>
        <v>LO</v>
      </c>
      <c r="F285" s="369">
        <f>VLOOKUP(C285,METADATA!$A$5:$H$29,IF(E285="HI",2,IF(E285="LO",6,10))+IF(D285=1,2,IF(D285=7,1,(IF(WEEKDAY(B285)=1,2,IF(WEEKDAY(B285)=7,1,0))))))</f>
        <v>3</v>
      </c>
      <c r="G285" s="369">
        <f>VLOOKUP(C285,METADATA!$J$5:$Q$29,IF(E285="HI",2,IF(E285="LO",6,10))+IF(D285=1,2,IF(D285=7,1,(IF(WEEKDAY(B285)=1,2,IF(WEEKDAY(B285)=7,1,0))))))</f>
        <v>3</v>
      </c>
      <c r="H285" s="370">
        <v>13740.094604492188</v>
      </c>
      <c r="I285" s="370">
        <v>2361.1694641113281</v>
      </c>
      <c r="M285" s="371">
        <f t="shared" si="17"/>
        <v>13941.496367988879</v>
      </c>
      <c r="N285" s="329">
        <f t="shared" si="18"/>
        <v>0</v>
      </c>
      <c r="T285" s="331">
        <v>0</v>
      </c>
      <c r="U285" s="328">
        <f>VLOOKUP(C285,METADATA!$J$5:$Q$29,IF(E285="HI",2,IF(E285="LO",6,10))+IF(T285=1,2,IF(D285=7,1,(IF(WEEKDAY(B285)=1,2,IF(WEEKDAY(B285)=7,1,0))))))</f>
        <v>3</v>
      </c>
      <c r="V285" s="328">
        <f>VLOOKUP(C285,METADATA!$A$5:$H$29,IF(E285="HI",2,IF(E285="LO",6,10))+IF(T285=1,2,IF(D285=7,1,(IF(WEEKDAY(B285)=1,2,IF(WEEKDAY(B285)=7,1,0))))))</f>
        <v>3</v>
      </c>
    </row>
    <row r="286" spans="2:22">
      <c r="B286" s="318">
        <f t="shared" si="19"/>
        <v>46124</v>
      </c>
      <c r="C286" s="312">
        <v>18</v>
      </c>
      <c r="D286" s="368">
        <f>IFERROR((INDEX(METADATA!$T$2:$T$20,MATCH(B286,METADATA!$S$2:$S$20,0))),0)</f>
        <v>0</v>
      </c>
      <c r="E286" s="312" t="str">
        <f t="shared" si="16"/>
        <v>LO</v>
      </c>
      <c r="F286" s="369">
        <f>VLOOKUP(C286,METADATA!$A$5:$H$29,IF(E286="HI",2,IF(E286="LO",6,10))+IF(D286=1,2,IF(D286=7,1,(IF(WEEKDAY(B286)=1,2,IF(WEEKDAY(B286)=7,1,0))))))</f>
        <v>2</v>
      </c>
      <c r="G286" s="369">
        <f>VLOOKUP(C286,METADATA!$J$5:$Q$29,IF(E286="HI",2,IF(E286="LO",6,10))+IF(D286=1,2,IF(D286=7,1,(IF(WEEKDAY(B286)=1,2,IF(WEEKDAY(B286)=7,1,0))))))</f>
        <v>2</v>
      </c>
      <c r="H286" s="370">
        <v>13805.204895019531</v>
      </c>
      <c r="I286" s="370">
        <v>2284.5605888366699</v>
      </c>
      <c r="M286" s="371">
        <f t="shared" si="17"/>
        <v>13992.958917882128</v>
      </c>
      <c r="N286" s="329">
        <f t="shared" si="18"/>
        <v>0</v>
      </c>
      <c r="T286" s="331">
        <v>0</v>
      </c>
      <c r="U286" s="328">
        <f>VLOOKUP(C286,METADATA!$J$5:$Q$29,IF(E286="HI",2,IF(E286="LO",6,10))+IF(T286=1,2,IF(D286=7,1,(IF(WEEKDAY(B286)=1,2,IF(WEEKDAY(B286)=7,1,0))))))</f>
        <v>2</v>
      </c>
      <c r="V286" s="328">
        <f>VLOOKUP(C286,METADATA!$A$5:$H$29,IF(E286="HI",2,IF(E286="LO",6,10))+IF(T286=1,2,IF(D286=7,1,(IF(WEEKDAY(B286)=1,2,IF(WEEKDAY(B286)=7,1,0))))))</f>
        <v>2</v>
      </c>
    </row>
    <row r="287" spans="2:22">
      <c r="B287" s="318">
        <f t="shared" si="19"/>
        <v>46124</v>
      </c>
      <c r="C287" s="312">
        <v>19</v>
      </c>
      <c r="D287" s="368">
        <f>IFERROR((INDEX(METADATA!$T$2:$T$20,MATCH(B287,METADATA!$S$2:$S$20,0))),0)</f>
        <v>0</v>
      </c>
      <c r="E287" s="312" t="str">
        <f t="shared" si="16"/>
        <v>LO</v>
      </c>
      <c r="F287" s="369">
        <f>VLOOKUP(C287,METADATA!$A$5:$H$29,IF(E287="HI",2,IF(E287="LO",6,10))+IF(D287=1,2,IF(D287=7,1,(IF(WEEKDAY(B287)=1,2,IF(WEEKDAY(B287)=7,1,0))))))</f>
        <v>2</v>
      </c>
      <c r="G287" s="369">
        <f>VLOOKUP(C287,METADATA!$J$5:$Q$29,IF(E287="HI",2,IF(E287="LO",6,10))+IF(D287=1,2,IF(D287=7,1,(IF(WEEKDAY(B287)=1,2,IF(WEEKDAY(B287)=7,1,0))))))</f>
        <v>2</v>
      </c>
      <c r="H287" s="370">
        <v>13818.590393066406</v>
      </c>
      <c r="I287" s="370">
        <v>2216.4255409240723</v>
      </c>
      <c r="M287" s="371">
        <f t="shared" si="17"/>
        <v>13995.212846891887</v>
      </c>
      <c r="N287" s="329">
        <f t="shared" si="18"/>
        <v>0</v>
      </c>
      <c r="T287" s="331">
        <v>0</v>
      </c>
      <c r="U287" s="328">
        <f>VLOOKUP(C287,METADATA!$J$5:$Q$29,IF(E287="HI",2,IF(E287="LO",6,10))+IF(T287=1,2,IF(D287=7,1,(IF(WEEKDAY(B287)=1,2,IF(WEEKDAY(B287)=7,1,0))))))</f>
        <v>2</v>
      </c>
      <c r="V287" s="328">
        <f>VLOOKUP(C287,METADATA!$A$5:$H$29,IF(E287="HI",2,IF(E287="LO",6,10))+IF(T287=1,2,IF(D287=7,1,(IF(WEEKDAY(B287)=1,2,IF(WEEKDAY(B287)=7,1,0))))))</f>
        <v>2</v>
      </c>
    </row>
    <row r="288" spans="2:22">
      <c r="B288" s="318">
        <f t="shared" si="19"/>
        <v>46124</v>
      </c>
      <c r="C288" s="312">
        <v>20</v>
      </c>
      <c r="D288" s="368">
        <f>IFERROR((INDEX(METADATA!$T$2:$T$20,MATCH(B288,METADATA!$S$2:$S$20,0))),0)</f>
        <v>0</v>
      </c>
      <c r="E288" s="312" t="str">
        <f t="shared" si="16"/>
        <v>LO</v>
      </c>
      <c r="F288" s="369">
        <f>VLOOKUP(C288,METADATA!$A$5:$H$29,IF(E288="HI",2,IF(E288="LO",6,10))+IF(D288=1,2,IF(D288=7,1,(IF(WEEKDAY(B288)=1,2,IF(WEEKDAY(B288)=7,1,0))))))</f>
        <v>3</v>
      </c>
      <c r="G288" s="369">
        <f>VLOOKUP(C288,METADATA!$J$5:$Q$29,IF(E288="HI",2,IF(E288="LO",6,10))+IF(D288=1,2,IF(D288=7,1,(IF(WEEKDAY(B288)=1,2,IF(WEEKDAY(B288)=7,1,0))))))</f>
        <v>3</v>
      </c>
      <c r="H288" s="370">
        <v>13650.604858398438</v>
      </c>
      <c r="I288" s="370">
        <v>2185.9204940795898</v>
      </c>
      <c r="M288" s="371">
        <f t="shared" si="17"/>
        <v>13824.516678950053</v>
      </c>
      <c r="N288" s="329">
        <f t="shared" si="18"/>
        <v>0</v>
      </c>
      <c r="T288" s="331">
        <v>0</v>
      </c>
      <c r="U288" s="328">
        <f>VLOOKUP(C288,METADATA!$J$5:$Q$29,IF(E288="HI",2,IF(E288="LO",6,10))+IF(T288=1,2,IF(D288=7,1,(IF(WEEKDAY(B288)=1,2,IF(WEEKDAY(B288)=7,1,0))))))</f>
        <v>3</v>
      </c>
      <c r="V288" s="328">
        <f>VLOOKUP(C288,METADATA!$A$5:$H$29,IF(E288="HI",2,IF(E288="LO",6,10))+IF(T288=1,2,IF(D288=7,1,(IF(WEEKDAY(B288)=1,2,IF(WEEKDAY(B288)=7,1,0))))))</f>
        <v>3</v>
      </c>
    </row>
    <row r="289" spans="2:22">
      <c r="B289" s="318">
        <f t="shared" si="19"/>
        <v>46124</v>
      </c>
      <c r="C289" s="312">
        <v>21</v>
      </c>
      <c r="D289" s="368">
        <f>IFERROR((INDEX(METADATA!$T$2:$T$20,MATCH(B289,METADATA!$S$2:$S$20,0))),0)</f>
        <v>0</v>
      </c>
      <c r="E289" s="312" t="str">
        <f t="shared" si="16"/>
        <v>LO</v>
      </c>
      <c r="F289" s="369">
        <f>VLOOKUP(C289,METADATA!$A$5:$H$29,IF(E289="HI",2,IF(E289="LO",6,10))+IF(D289=1,2,IF(D289=7,1,(IF(WEEKDAY(B289)=1,2,IF(WEEKDAY(B289)=7,1,0))))))</f>
        <v>3</v>
      </c>
      <c r="G289" s="369">
        <f>VLOOKUP(C289,METADATA!$J$5:$Q$29,IF(E289="HI",2,IF(E289="LO",6,10))+IF(D289=1,2,IF(D289=7,1,(IF(WEEKDAY(B289)=1,2,IF(WEEKDAY(B289)=7,1,0))))))</f>
        <v>3</v>
      </c>
      <c r="H289" s="370">
        <v>13625.39501953125</v>
      </c>
      <c r="I289" s="370">
        <v>2248.4645156860352</v>
      </c>
      <c r="M289" s="371">
        <f t="shared" si="17"/>
        <v>13809.669877175422</v>
      </c>
      <c r="N289" s="329">
        <f t="shared" si="18"/>
        <v>0</v>
      </c>
      <c r="T289" s="331">
        <v>0</v>
      </c>
      <c r="U289" s="328">
        <f>VLOOKUP(C289,METADATA!$J$5:$Q$29,IF(E289="HI",2,IF(E289="LO",6,10))+IF(T289=1,2,IF(D289=7,1,(IF(WEEKDAY(B289)=1,2,IF(WEEKDAY(B289)=7,1,0))))))</f>
        <v>3</v>
      </c>
      <c r="V289" s="328">
        <f>VLOOKUP(C289,METADATA!$A$5:$H$29,IF(E289="HI",2,IF(E289="LO",6,10))+IF(T289=1,2,IF(D289=7,1,(IF(WEEKDAY(B289)=1,2,IF(WEEKDAY(B289)=7,1,0))))))</f>
        <v>3</v>
      </c>
    </row>
    <row r="290" spans="2:22">
      <c r="B290" s="318">
        <f t="shared" si="19"/>
        <v>46124</v>
      </c>
      <c r="C290" s="312">
        <v>22</v>
      </c>
      <c r="D290" s="368">
        <f>IFERROR((INDEX(METADATA!$T$2:$T$20,MATCH(B290,METADATA!$S$2:$S$20,0))),0)</f>
        <v>0</v>
      </c>
      <c r="E290" s="312" t="str">
        <f t="shared" si="16"/>
        <v>LO</v>
      </c>
      <c r="F290" s="369">
        <f>VLOOKUP(C290,METADATA!$A$5:$H$29,IF(E290="HI",2,IF(E290="LO",6,10))+IF(D290=1,2,IF(D290=7,1,(IF(WEEKDAY(B290)=1,2,IF(WEEKDAY(B290)=7,1,0))))))</f>
        <v>3</v>
      </c>
      <c r="G290" s="369">
        <f>VLOOKUP(C290,METADATA!$J$5:$Q$29,IF(E290="HI",2,IF(E290="LO",6,10))+IF(D290=1,2,IF(D290=7,1,(IF(WEEKDAY(B290)=1,2,IF(WEEKDAY(B290)=7,1,0))))))</f>
        <v>3</v>
      </c>
      <c r="H290" s="370">
        <v>13591.080017089844</v>
      </c>
      <c r="I290" s="370">
        <v>2248.6784572601318</v>
      </c>
      <c r="M290" s="371">
        <f t="shared" si="17"/>
        <v>13775.848824485724</v>
      </c>
      <c r="N290" s="329">
        <f t="shared" si="18"/>
        <v>0</v>
      </c>
      <c r="T290" s="331">
        <v>0</v>
      </c>
      <c r="U290" s="328">
        <f>VLOOKUP(C290,METADATA!$J$5:$Q$29,IF(E290="HI",2,IF(E290="LO",6,10))+IF(T290=1,2,IF(D290=7,1,(IF(WEEKDAY(B290)=1,2,IF(WEEKDAY(B290)=7,1,0))))))</f>
        <v>3</v>
      </c>
      <c r="V290" s="328">
        <f>VLOOKUP(C290,METADATA!$A$5:$H$29,IF(E290="HI",2,IF(E290="LO",6,10))+IF(T290=1,2,IF(D290=7,1,(IF(WEEKDAY(B290)=1,2,IF(WEEKDAY(B290)=7,1,0))))))</f>
        <v>3</v>
      </c>
    </row>
    <row r="291" spans="2:22">
      <c r="B291" s="318">
        <f t="shared" si="19"/>
        <v>46124</v>
      </c>
      <c r="C291" s="312">
        <v>23</v>
      </c>
      <c r="D291" s="368">
        <f>IFERROR((INDEX(METADATA!$T$2:$T$20,MATCH(B291,METADATA!$S$2:$S$20,0))),0)</f>
        <v>0</v>
      </c>
      <c r="E291" s="312" t="str">
        <f t="shared" si="16"/>
        <v>LO</v>
      </c>
      <c r="F291" s="369">
        <f>VLOOKUP(C291,METADATA!$A$5:$H$29,IF(E291="HI",2,IF(E291="LO",6,10))+IF(D291=1,2,IF(D291=7,1,(IF(WEEKDAY(B291)=1,2,IF(WEEKDAY(B291)=7,1,0))))))</f>
        <v>3</v>
      </c>
      <c r="G291" s="369">
        <f>VLOOKUP(C291,METADATA!$J$5:$Q$29,IF(E291="HI",2,IF(E291="LO",6,10))+IF(D291=1,2,IF(D291=7,1,(IF(WEEKDAY(B291)=1,2,IF(WEEKDAY(B291)=7,1,0))))))</f>
        <v>3</v>
      </c>
      <c r="H291" s="370">
        <v>13457.225341796875</v>
      </c>
      <c r="I291" s="370">
        <v>2219.9524955749512</v>
      </c>
      <c r="M291" s="371">
        <f t="shared" si="17"/>
        <v>13639.101985926693</v>
      </c>
      <c r="N291" s="329">
        <f t="shared" si="18"/>
        <v>0</v>
      </c>
      <c r="T291" s="331">
        <v>0</v>
      </c>
      <c r="U291" s="328">
        <f>VLOOKUP(C291,METADATA!$J$5:$Q$29,IF(E291="HI",2,IF(E291="LO",6,10))+IF(T291=1,2,IF(D291=7,1,(IF(WEEKDAY(B291)=1,2,IF(WEEKDAY(B291)=7,1,0))))))</f>
        <v>3</v>
      </c>
      <c r="V291" s="328">
        <f>VLOOKUP(C291,METADATA!$A$5:$H$29,IF(E291="HI",2,IF(E291="LO",6,10))+IF(T291=1,2,IF(D291=7,1,(IF(WEEKDAY(B291)=1,2,IF(WEEKDAY(B291)=7,1,0))))))</f>
        <v>3</v>
      </c>
    </row>
    <row r="292" spans="2:22">
      <c r="B292" s="318">
        <f t="shared" si="19"/>
        <v>46125</v>
      </c>
      <c r="C292" s="312">
        <v>0</v>
      </c>
      <c r="D292" s="368">
        <f>IFERROR((INDEX(METADATA!$T$2:$T$20,MATCH(B292,METADATA!$S$2:$S$20,0))),0)</f>
        <v>0</v>
      </c>
      <c r="E292" s="312" t="str">
        <f t="shared" si="16"/>
        <v>LO</v>
      </c>
      <c r="F292" s="369">
        <f>VLOOKUP(C292,METADATA!$A$5:$H$29,IF(E292="HI",2,IF(E292="LO",6,10))+IF(D292=1,2,IF(D292=7,1,(IF(WEEKDAY(B292)=1,2,IF(WEEKDAY(B292)=7,1,0))))))</f>
        <v>3</v>
      </c>
      <c r="G292" s="369">
        <f>VLOOKUP(C292,METADATA!$J$5:$Q$29,IF(E292="HI",2,IF(E292="LO",6,10))+IF(D292=1,2,IF(D292=7,1,(IF(WEEKDAY(B292)=1,2,IF(WEEKDAY(B292)=7,1,0))))))</f>
        <v>3</v>
      </c>
      <c r="H292" s="370">
        <v>13345.069763183594</v>
      </c>
      <c r="I292" s="370">
        <v>2163.2640781402588</v>
      </c>
      <c r="M292" s="371">
        <f t="shared" si="17"/>
        <v>13519.267674545432</v>
      </c>
      <c r="N292" s="329">
        <f t="shared" si="18"/>
        <v>0</v>
      </c>
      <c r="T292" s="331">
        <v>0</v>
      </c>
      <c r="U292" s="328">
        <f>VLOOKUP(C292,METADATA!$J$5:$Q$29,IF(E292="HI",2,IF(E292="LO",6,10))+IF(T292=1,2,IF(D292=7,1,(IF(WEEKDAY(B292)=1,2,IF(WEEKDAY(B292)=7,1,0))))))</f>
        <v>3</v>
      </c>
      <c r="V292" s="328">
        <f>VLOOKUP(C292,METADATA!$A$5:$H$29,IF(E292="HI",2,IF(E292="LO",6,10))+IF(T292=1,2,IF(D292=7,1,(IF(WEEKDAY(B292)=1,2,IF(WEEKDAY(B292)=7,1,0))))))</f>
        <v>3</v>
      </c>
    </row>
    <row r="293" spans="2:22">
      <c r="B293" s="318">
        <f t="shared" si="19"/>
        <v>46125</v>
      </c>
      <c r="C293" s="312">
        <v>1</v>
      </c>
      <c r="D293" s="368">
        <f>IFERROR((INDEX(METADATA!$T$2:$T$20,MATCH(B293,METADATA!$S$2:$S$20,0))),0)</f>
        <v>0</v>
      </c>
      <c r="E293" s="312" t="str">
        <f t="shared" si="16"/>
        <v>LO</v>
      </c>
      <c r="F293" s="369">
        <f>VLOOKUP(C293,METADATA!$A$5:$H$29,IF(E293="HI",2,IF(E293="LO",6,10))+IF(D293=1,2,IF(D293=7,1,(IF(WEEKDAY(B293)=1,2,IF(WEEKDAY(B293)=7,1,0))))))</f>
        <v>3</v>
      </c>
      <c r="G293" s="369">
        <f>VLOOKUP(C293,METADATA!$J$5:$Q$29,IF(E293="HI",2,IF(E293="LO",6,10))+IF(D293=1,2,IF(D293=7,1,(IF(WEEKDAY(B293)=1,2,IF(WEEKDAY(B293)=7,1,0))))))</f>
        <v>3</v>
      </c>
      <c r="H293" s="370">
        <v>12553.764831542969</v>
      </c>
      <c r="I293" s="370">
        <v>1915.3690289855003</v>
      </c>
      <c r="M293" s="371">
        <f t="shared" si="17"/>
        <v>12699.041300936144</v>
      </c>
      <c r="N293" s="329">
        <f t="shared" si="18"/>
        <v>0</v>
      </c>
      <c r="T293" s="331">
        <v>0</v>
      </c>
      <c r="U293" s="328">
        <f>VLOOKUP(C293,METADATA!$J$5:$Q$29,IF(E293="HI",2,IF(E293="LO",6,10))+IF(T293=1,2,IF(D293=7,1,(IF(WEEKDAY(B293)=1,2,IF(WEEKDAY(B293)=7,1,0))))))</f>
        <v>3</v>
      </c>
      <c r="V293" s="328">
        <f>VLOOKUP(C293,METADATA!$A$5:$H$29,IF(E293="HI",2,IF(E293="LO",6,10))+IF(T293=1,2,IF(D293=7,1,(IF(WEEKDAY(B293)=1,2,IF(WEEKDAY(B293)=7,1,0))))))</f>
        <v>3</v>
      </c>
    </row>
    <row r="294" spans="2:22">
      <c r="B294" s="318">
        <f t="shared" si="19"/>
        <v>46125</v>
      </c>
      <c r="C294" s="312">
        <v>2</v>
      </c>
      <c r="D294" s="368">
        <f>IFERROR((INDEX(METADATA!$T$2:$T$20,MATCH(B294,METADATA!$S$2:$S$20,0))),0)</f>
        <v>0</v>
      </c>
      <c r="E294" s="312" t="str">
        <f t="shared" si="16"/>
        <v>LO</v>
      </c>
      <c r="F294" s="369">
        <f>VLOOKUP(C294,METADATA!$A$5:$H$29,IF(E294="HI",2,IF(E294="LO",6,10))+IF(D294=1,2,IF(D294=7,1,(IF(WEEKDAY(B294)=1,2,IF(WEEKDAY(B294)=7,1,0))))))</f>
        <v>3</v>
      </c>
      <c r="G294" s="369">
        <f>VLOOKUP(C294,METADATA!$J$5:$Q$29,IF(E294="HI",2,IF(E294="LO",6,10))+IF(D294=1,2,IF(D294=7,1,(IF(WEEKDAY(B294)=1,2,IF(WEEKDAY(B294)=7,1,0))))))</f>
        <v>3</v>
      </c>
      <c r="H294" s="370">
        <v>12843.8203125</v>
      </c>
      <c r="I294" s="370">
        <v>1991.682509124279</v>
      </c>
      <c r="M294" s="371">
        <f t="shared" si="17"/>
        <v>12997.327395927949</v>
      </c>
      <c r="N294" s="329">
        <f t="shared" si="18"/>
        <v>0</v>
      </c>
      <c r="T294" s="331">
        <v>0</v>
      </c>
      <c r="U294" s="328">
        <f>VLOOKUP(C294,METADATA!$J$5:$Q$29,IF(E294="HI",2,IF(E294="LO",6,10))+IF(T294=1,2,IF(D294=7,1,(IF(WEEKDAY(B294)=1,2,IF(WEEKDAY(B294)=7,1,0))))))</f>
        <v>3</v>
      </c>
      <c r="V294" s="328">
        <f>VLOOKUP(C294,METADATA!$A$5:$H$29,IF(E294="HI",2,IF(E294="LO",6,10))+IF(T294=1,2,IF(D294=7,1,(IF(WEEKDAY(B294)=1,2,IF(WEEKDAY(B294)=7,1,0))))))</f>
        <v>3</v>
      </c>
    </row>
    <row r="295" spans="2:22">
      <c r="B295" s="318">
        <f t="shared" si="19"/>
        <v>46125</v>
      </c>
      <c r="C295" s="312">
        <v>3</v>
      </c>
      <c r="D295" s="368">
        <f>IFERROR((INDEX(METADATA!$T$2:$T$20,MATCH(B295,METADATA!$S$2:$S$20,0))),0)</f>
        <v>0</v>
      </c>
      <c r="E295" s="312" t="str">
        <f t="shared" si="16"/>
        <v>LO</v>
      </c>
      <c r="F295" s="369">
        <f>VLOOKUP(C295,METADATA!$A$5:$H$29,IF(E295="HI",2,IF(E295="LO",6,10))+IF(D295=1,2,IF(D295=7,1,(IF(WEEKDAY(B295)=1,2,IF(WEEKDAY(B295)=7,1,0))))))</f>
        <v>3</v>
      </c>
      <c r="G295" s="369">
        <f>VLOOKUP(C295,METADATA!$J$5:$Q$29,IF(E295="HI",2,IF(E295="LO",6,10))+IF(D295=1,2,IF(D295=7,1,(IF(WEEKDAY(B295)=1,2,IF(WEEKDAY(B295)=7,1,0))))))</f>
        <v>3</v>
      </c>
      <c r="H295" s="370">
        <v>12214.279663085938</v>
      </c>
      <c r="I295" s="370">
        <v>1855.6830368041992</v>
      </c>
      <c r="M295" s="371">
        <f t="shared" si="17"/>
        <v>12354.439980070223</v>
      </c>
      <c r="N295" s="329">
        <f t="shared" si="18"/>
        <v>0</v>
      </c>
      <c r="T295" s="331">
        <v>0</v>
      </c>
      <c r="U295" s="328">
        <f>VLOOKUP(C295,METADATA!$J$5:$Q$29,IF(E295="HI",2,IF(E295="LO",6,10))+IF(T295=1,2,IF(D295=7,1,(IF(WEEKDAY(B295)=1,2,IF(WEEKDAY(B295)=7,1,0))))))</f>
        <v>3</v>
      </c>
      <c r="V295" s="328">
        <f>VLOOKUP(C295,METADATA!$A$5:$H$29,IF(E295="HI",2,IF(E295="LO",6,10))+IF(T295=1,2,IF(D295=7,1,(IF(WEEKDAY(B295)=1,2,IF(WEEKDAY(B295)=7,1,0))))))</f>
        <v>3</v>
      </c>
    </row>
    <row r="296" spans="2:22">
      <c r="B296" s="318">
        <f t="shared" si="19"/>
        <v>46125</v>
      </c>
      <c r="C296" s="312">
        <v>4</v>
      </c>
      <c r="D296" s="368">
        <f>IFERROR((INDEX(METADATA!$T$2:$T$20,MATCH(B296,METADATA!$S$2:$S$20,0))),0)</f>
        <v>0</v>
      </c>
      <c r="E296" s="312" t="str">
        <f t="shared" si="16"/>
        <v>LO</v>
      </c>
      <c r="F296" s="369">
        <f>VLOOKUP(C296,METADATA!$A$5:$H$29,IF(E296="HI",2,IF(E296="LO",6,10))+IF(D296=1,2,IF(D296=7,1,(IF(WEEKDAY(B296)=1,2,IF(WEEKDAY(B296)=7,1,0))))))</f>
        <v>3</v>
      </c>
      <c r="G296" s="369">
        <f>VLOOKUP(C296,METADATA!$J$5:$Q$29,IF(E296="HI",2,IF(E296="LO",6,10))+IF(D296=1,2,IF(D296=7,1,(IF(WEEKDAY(B296)=1,2,IF(WEEKDAY(B296)=7,1,0))))))</f>
        <v>3</v>
      </c>
      <c r="H296" s="370">
        <v>11180.374969482422</v>
      </c>
      <c r="I296" s="370">
        <v>1668.5999755859375</v>
      </c>
      <c r="M296" s="371">
        <f t="shared" si="17"/>
        <v>11304.203215474961</v>
      </c>
      <c r="N296" s="329">
        <f t="shared" si="18"/>
        <v>0</v>
      </c>
      <c r="T296" s="331">
        <v>0</v>
      </c>
      <c r="U296" s="328">
        <f>VLOOKUP(C296,METADATA!$J$5:$Q$29,IF(E296="HI",2,IF(E296="LO",6,10))+IF(T296=1,2,IF(D296=7,1,(IF(WEEKDAY(B296)=1,2,IF(WEEKDAY(B296)=7,1,0))))))</f>
        <v>3</v>
      </c>
      <c r="V296" s="328">
        <f>VLOOKUP(C296,METADATA!$A$5:$H$29,IF(E296="HI",2,IF(E296="LO",6,10))+IF(T296=1,2,IF(D296=7,1,(IF(WEEKDAY(B296)=1,2,IF(WEEKDAY(B296)=7,1,0))))))</f>
        <v>3</v>
      </c>
    </row>
    <row r="297" spans="2:22">
      <c r="B297" s="318">
        <f t="shared" si="19"/>
        <v>46125</v>
      </c>
      <c r="C297" s="312">
        <v>5</v>
      </c>
      <c r="D297" s="368">
        <f>IFERROR((INDEX(METADATA!$T$2:$T$20,MATCH(B297,METADATA!$S$2:$S$20,0))),0)</f>
        <v>0</v>
      </c>
      <c r="E297" s="312" t="str">
        <f t="shared" si="16"/>
        <v>LO</v>
      </c>
      <c r="F297" s="369">
        <f>VLOOKUP(C297,METADATA!$A$5:$H$29,IF(E297="HI",2,IF(E297="LO",6,10))+IF(D297=1,2,IF(D297=7,1,(IF(WEEKDAY(B297)=1,2,IF(WEEKDAY(B297)=7,1,0))))))</f>
        <v>3</v>
      </c>
      <c r="G297" s="369">
        <f>VLOOKUP(C297,METADATA!$J$5:$Q$29,IF(E297="HI",2,IF(E297="LO",6,10))+IF(D297=1,2,IF(D297=7,1,(IF(WEEKDAY(B297)=1,2,IF(WEEKDAY(B297)=7,1,0))))))</f>
        <v>3</v>
      </c>
      <c r="H297" s="370">
        <v>5688.1425476074219</v>
      </c>
      <c r="I297" s="370">
        <v>106.68000030517578</v>
      </c>
      <c r="M297" s="371">
        <f t="shared" si="17"/>
        <v>5689.1428409178625</v>
      </c>
      <c r="N297" s="329">
        <f t="shared" si="18"/>
        <v>0</v>
      </c>
      <c r="T297" s="331">
        <v>0</v>
      </c>
      <c r="U297" s="328">
        <f>VLOOKUP(C297,METADATA!$J$5:$Q$29,IF(E297="HI",2,IF(E297="LO",6,10))+IF(T297=1,2,IF(D297=7,1,(IF(WEEKDAY(B297)=1,2,IF(WEEKDAY(B297)=7,1,0))))))</f>
        <v>3</v>
      </c>
      <c r="V297" s="328">
        <f>VLOOKUP(C297,METADATA!$A$5:$H$29,IF(E297="HI",2,IF(E297="LO",6,10))+IF(T297=1,2,IF(D297=7,1,(IF(WEEKDAY(B297)=1,2,IF(WEEKDAY(B297)=7,1,0))))))</f>
        <v>3</v>
      </c>
    </row>
    <row r="298" spans="2:22">
      <c r="B298" s="318">
        <f t="shared" si="19"/>
        <v>46125</v>
      </c>
      <c r="C298" s="312">
        <v>6</v>
      </c>
      <c r="D298" s="368">
        <f>IFERROR((INDEX(METADATA!$T$2:$T$20,MATCH(B298,METADATA!$S$2:$S$20,0))),0)</f>
        <v>0</v>
      </c>
      <c r="E298" s="312" t="str">
        <f t="shared" si="16"/>
        <v>LO</v>
      </c>
      <c r="F298" s="369">
        <f>VLOOKUP(C298,METADATA!$A$5:$H$29,IF(E298="HI",2,IF(E298="LO",6,10))+IF(D298=1,2,IF(D298=7,1,(IF(WEEKDAY(B298)=1,2,IF(WEEKDAY(B298)=7,1,0))))))</f>
        <v>2</v>
      </c>
      <c r="G298" s="369">
        <f>VLOOKUP(C298,METADATA!$J$5:$Q$29,IF(E298="HI",2,IF(E298="LO",6,10))+IF(D298=1,2,IF(D298=7,1,(IF(WEEKDAY(B298)=1,2,IF(WEEKDAY(B298)=7,1,0))))))</f>
        <v>2</v>
      </c>
      <c r="H298" s="370">
        <v>4883.5199890136719</v>
      </c>
      <c r="I298" s="370">
        <v>0</v>
      </c>
      <c r="M298" s="371">
        <f t="shared" si="17"/>
        <v>4883.5199890136719</v>
      </c>
      <c r="N298" s="329">
        <f t="shared" si="18"/>
        <v>0</v>
      </c>
      <c r="T298" s="331">
        <v>0</v>
      </c>
      <c r="U298" s="328">
        <f>VLOOKUP(C298,METADATA!$J$5:$Q$29,IF(E298="HI",2,IF(E298="LO",6,10))+IF(T298=1,2,IF(D298=7,1,(IF(WEEKDAY(B298)=1,2,IF(WEEKDAY(B298)=7,1,0))))))</f>
        <v>2</v>
      </c>
      <c r="V298" s="328">
        <f>VLOOKUP(C298,METADATA!$A$5:$H$29,IF(E298="HI",2,IF(E298="LO",6,10))+IF(T298=1,2,IF(D298=7,1,(IF(WEEKDAY(B298)=1,2,IF(WEEKDAY(B298)=7,1,0))))))</f>
        <v>2</v>
      </c>
    </row>
    <row r="299" spans="2:22">
      <c r="B299" s="318">
        <f t="shared" si="19"/>
        <v>46125</v>
      </c>
      <c r="C299" s="312">
        <v>7</v>
      </c>
      <c r="D299" s="368">
        <f>IFERROR((INDEX(METADATA!$T$2:$T$20,MATCH(B299,METADATA!$S$2:$S$20,0))),0)</f>
        <v>0</v>
      </c>
      <c r="E299" s="312" t="str">
        <f t="shared" si="16"/>
        <v>LO</v>
      </c>
      <c r="F299" s="369">
        <f>VLOOKUP(C299,METADATA!$A$5:$H$29,IF(E299="HI",2,IF(E299="LO",6,10))+IF(D299=1,2,IF(D299=7,1,(IF(WEEKDAY(B299)=1,2,IF(WEEKDAY(B299)=7,1,0))))))</f>
        <v>1</v>
      </c>
      <c r="G299" s="369">
        <f>VLOOKUP(C299,METADATA!$J$5:$Q$29,IF(E299="HI",2,IF(E299="LO",6,10))+IF(D299=1,2,IF(D299=7,1,(IF(WEEKDAY(B299)=1,2,IF(WEEKDAY(B299)=7,1,0))))))</f>
        <v>1</v>
      </c>
      <c r="H299" s="370">
        <v>4597.7275695800781</v>
      </c>
      <c r="I299" s="370">
        <v>0</v>
      </c>
      <c r="M299" s="371">
        <f t="shared" si="17"/>
        <v>4597.7275695800781</v>
      </c>
      <c r="N299" s="329">
        <f t="shared" si="18"/>
        <v>0</v>
      </c>
      <c r="T299" s="331">
        <v>0</v>
      </c>
      <c r="U299" s="328">
        <f>VLOOKUP(C299,METADATA!$J$5:$Q$29,IF(E299="HI",2,IF(E299="LO",6,10))+IF(T299=1,2,IF(D299=7,1,(IF(WEEKDAY(B299)=1,2,IF(WEEKDAY(B299)=7,1,0))))))</f>
        <v>1</v>
      </c>
      <c r="V299" s="328">
        <f>VLOOKUP(C299,METADATA!$A$5:$H$29,IF(E299="HI",2,IF(E299="LO",6,10))+IF(T299=1,2,IF(D299=7,1,(IF(WEEKDAY(B299)=1,2,IF(WEEKDAY(B299)=7,1,0))))))</f>
        <v>1</v>
      </c>
    </row>
    <row r="300" spans="2:22">
      <c r="B300" s="318">
        <f t="shared" si="19"/>
        <v>46125</v>
      </c>
      <c r="C300" s="312">
        <v>8</v>
      </c>
      <c r="D300" s="368">
        <f>IFERROR((INDEX(METADATA!$T$2:$T$20,MATCH(B300,METADATA!$S$2:$S$20,0))),0)</f>
        <v>0</v>
      </c>
      <c r="E300" s="312" t="str">
        <f t="shared" si="16"/>
        <v>LO</v>
      </c>
      <c r="F300" s="369">
        <f>VLOOKUP(C300,METADATA!$A$5:$H$29,IF(E300="HI",2,IF(E300="LO",6,10))+IF(D300=1,2,IF(D300=7,1,(IF(WEEKDAY(B300)=1,2,IF(WEEKDAY(B300)=7,1,0))))))</f>
        <v>1</v>
      </c>
      <c r="G300" s="369">
        <f>VLOOKUP(C300,METADATA!$J$5:$Q$29,IF(E300="HI",2,IF(E300="LO",6,10))+IF(D300=1,2,IF(D300=7,1,(IF(WEEKDAY(B300)=1,2,IF(WEEKDAY(B300)=7,1,0))))))</f>
        <v>1</v>
      </c>
      <c r="H300" s="370">
        <v>4601.4475402832031</v>
      </c>
      <c r="I300" s="370">
        <v>0</v>
      </c>
      <c r="M300" s="371">
        <f t="shared" si="17"/>
        <v>4601.4475402832031</v>
      </c>
      <c r="N300" s="329">
        <f t="shared" si="18"/>
        <v>0</v>
      </c>
      <c r="T300" s="331">
        <v>0</v>
      </c>
      <c r="U300" s="328">
        <f>VLOOKUP(C300,METADATA!$J$5:$Q$29,IF(E300="HI",2,IF(E300="LO",6,10))+IF(T300=1,2,IF(D300=7,1,(IF(WEEKDAY(B300)=1,2,IF(WEEKDAY(B300)=7,1,0))))))</f>
        <v>1</v>
      </c>
      <c r="V300" s="328">
        <f>VLOOKUP(C300,METADATA!$A$5:$H$29,IF(E300="HI",2,IF(E300="LO",6,10))+IF(T300=1,2,IF(D300=7,1,(IF(WEEKDAY(B300)=1,2,IF(WEEKDAY(B300)=7,1,0))))))</f>
        <v>1</v>
      </c>
    </row>
    <row r="301" spans="2:22">
      <c r="B301" s="318">
        <f t="shared" si="19"/>
        <v>46125</v>
      </c>
      <c r="C301" s="312">
        <v>9</v>
      </c>
      <c r="D301" s="368">
        <f>IFERROR((INDEX(METADATA!$T$2:$T$20,MATCH(B301,METADATA!$S$2:$S$20,0))),0)</f>
        <v>0</v>
      </c>
      <c r="E301" s="312" t="str">
        <f t="shared" si="16"/>
        <v>LO</v>
      </c>
      <c r="F301" s="369">
        <f>VLOOKUP(C301,METADATA!$A$5:$H$29,IF(E301="HI",2,IF(E301="LO",6,10))+IF(D301=1,2,IF(D301=7,1,(IF(WEEKDAY(B301)=1,2,IF(WEEKDAY(B301)=7,1,0))))))</f>
        <v>2</v>
      </c>
      <c r="G301" s="369">
        <f>VLOOKUP(C301,METADATA!$J$5:$Q$29,IF(E301="HI",2,IF(E301="LO",6,10))+IF(D301=1,2,IF(D301=7,1,(IF(WEEKDAY(B301)=1,2,IF(WEEKDAY(B301)=7,1,0))))))</f>
        <v>2</v>
      </c>
      <c r="H301" s="370">
        <v>4590.9649047851563</v>
      </c>
      <c r="I301" s="370">
        <v>0</v>
      </c>
      <c r="M301" s="371">
        <f t="shared" si="17"/>
        <v>4590.9649047851563</v>
      </c>
      <c r="N301" s="329">
        <f t="shared" si="18"/>
        <v>0</v>
      </c>
      <c r="T301" s="331">
        <v>0</v>
      </c>
      <c r="U301" s="328">
        <f>VLOOKUP(C301,METADATA!$J$5:$Q$29,IF(E301="HI",2,IF(E301="LO",6,10))+IF(T301=1,2,IF(D301=7,1,(IF(WEEKDAY(B301)=1,2,IF(WEEKDAY(B301)=7,1,0))))))</f>
        <v>2</v>
      </c>
      <c r="V301" s="328">
        <f>VLOOKUP(C301,METADATA!$A$5:$H$29,IF(E301="HI",2,IF(E301="LO",6,10))+IF(T301=1,2,IF(D301=7,1,(IF(WEEKDAY(B301)=1,2,IF(WEEKDAY(B301)=7,1,0))))))</f>
        <v>2</v>
      </c>
    </row>
    <row r="302" spans="2:22">
      <c r="B302" s="318">
        <f t="shared" si="19"/>
        <v>46125</v>
      </c>
      <c r="C302" s="312">
        <v>10</v>
      </c>
      <c r="D302" s="368">
        <f>IFERROR((INDEX(METADATA!$T$2:$T$20,MATCH(B302,METADATA!$S$2:$S$20,0))),0)</f>
        <v>0</v>
      </c>
      <c r="E302" s="312" t="str">
        <f t="shared" si="16"/>
        <v>LO</v>
      </c>
      <c r="F302" s="369">
        <f>VLOOKUP(C302,METADATA!$A$5:$H$29,IF(E302="HI",2,IF(E302="LO",6,10))+IF(D302=1,2,IF(D302=7,1,(IF(WEEKDAY(B302)=1,2,IF(WEEKDAY(B302)=7,1,0))))))</f>
        <v>2</v>
      </c>
      <c r="G302" s="369">
        <f>VLOOKUP(C302,METADATA!$J$5:$Q$29,IF(E302="HI",2,IF(E302="LO",6,10))+IF(D302=1,2,IF(D302=7,1,(IF(WEEKDAY(B302)=1,2,IF(WEEKDAY(B302)=7,1,0))))))</f>
        <v>2</v>
      </c>
      <c r="H302" s="370">
        <v>4531.9900512695313</v>
      </c>
      <c r="I302" s="370">
        <v>0.35999998450279236</v>
      </c>
      <c r="M302" s="371">
        <f t="shared" si="17"/>
        <v>4531.9900655678848</v>
      </c>
      <c r="N302" s="329">
        <f t="shared" si="18"/>
        <v>0</v>
      </c>
      <c r="T302" s="331">
        <v>0</v>
      </c>
      <c r="U302" s="328">
        <f>VLOOKUP(C302,METADATA!$J$5:$Q$29,IF(E302="HI",2,IF(E302="LO",6,10))+IF(T302=1,2,IF(D302=7,1,(IF(WEEKDAY(B302)=1,2,IF(WEEKDAY(B302)=7,1,0))))))</f>
        <v>2</v>
      </c>
      <c r="V302" s="328">
        <f>VLOOKUP(C302,METADATA!$A$5:$H$29,IF(E302="HI",2,IF(E302="LO",6,10))+IF(T302=1,2,IF(D302=7,1,(IF(WEEKDAY(B302)=1,2,IF(WEEKDAY(B302)=7,1,0))))))</f>
        <v>2</v>
      </c>
    </row>
    <row r="303" spans="2:22">
      <c r="B303" s="318">
        <f t="shared" si="19"/>
        <v>46125</v>
      </c>
      <c r="C303" s="312">
        <v>11</v>
      </c>
      <c r="D303" s="368">
        <f>IFERROR((INDEX(METADATA!$T$2:$T$20,MATCH(B303,METADATA!$S$2:$S$20,0))),0)</f>
        <v>0</v>
      </c>
      <c r="E303" s="312" t="str">
        <f t="shared" si="16"/>
        <v>LO</v>
      </c>
      <c r="F303" s="369">
        <f>VLOOKUP(C303,METADATA!$A$5:$H$29,IF(E303="HI",2,IF(E303="LO",6,10))+IF(D303=1,2,IF(D303=7,1,(IF(WEEKDAY(B303)=1,2,IF(WEEKDAY(B303)=7,1,0))))))</f>
        <v>2</v>
      </c>
      <c r="G303" s="369">
        <f>VLOOKUP(C303,METADATA!$J$5:$Q$29,IF(E303="HI",2,IF(E303="LO",6,10))+IF(D303=1,2,IF(D303=7,1,(IF(WEEKDAY(B303)=1,2,IF(WEEKDAY(B303)=7,1,0))))))</f>
        <v>2</v>
      </c>
      <c r="H303" s="370">
        <v>4602.5950012207031</v>
      </c>
      <c r="I303" s="370">
        <v>0</v>
      </c>
      <c r="M303" s="371">
        <f t="shared" si="17"/>
        <v>4602.5950012207031</v>
      </c>
      <c r="N303" s="329">
        <f t="shared" si="18"/>
        <v>0</v>
      </c>
      <c r="T303" s="331">
        <v>0</v>
      </c>
      <c r="U303" s="328">
        <f>VLOOKUP(C303,METADATA!$J$5:$Q$29,IF(E303="HI",2,IF(E303="LO",6,10))+IF(T303=1,2,IF(D303=7,1,(IF(WEEKDAY(B303)=1,2,IF(WEEKDAY(B303)=7,1,0))))))</f>
        <v>2</v>
      </c>
      <c r="V303" s="328">
        <f>VLOOKUP(C303,METADATA!$A$5:$H$29,IF(E303="HI",2,IF(E303="LO",6,10))+IF(T303=1,2,IF(D303=7,1,(IF(WEEKDAY(B303)=1,2,IF(WEEKDAY(B303)=7,1,0))))))</f>
        <v>2</v>
      </c>
    </row>
    <row r="304" spans="2:22">
      <c r="B304" s="318">
        <f t="shared" si="19"/>
        <v>46125</v>
      </c>
      <c r="C304" s="312">
        <v>12</v>
      </c>
      <c r="D304" s="368">
        <f>IFERROR((INDEX(METADATA!$T$2:$T$20,MATCH(B304,METADATA!$S$2:$S$20,0))),0)</f>
        <v>0</v>
      </c>
      <c r="E304" s="312" t="str">
        <f t="shared" si="16"/>
        <v>LO</v>
      </c>
      <c r="F304" s="369">
        <f>VLOOKUP(C304,METADATA!$A$5:$H$29,IF(E304="HI",2,IF(E304="LO",6,10))+IF(D304=1,2,IF(D304=7,1,(IF(WEEKDAY(B304)=1,2,IF(WEEKDAY(B304)=7,1,0))))))</f>
        <v>2</v>
      </c>
      <c r="G304" s="369">
        <f>VLOOKUP(C304,METADATA!$J$5:$Q$29,IF(E304="HI",2,IF(E304="LO",6,10))+IF(D304=1,2,IF(D304=7,1,(IF(WEEKDAY(B304)=1,2,IF(WEEKDAY(B304)=7,1,0))))))</f>
        <v>2</v>
      </c>
      <c r="H304" s="370">
        <v>3183.7818879531696</v>
      </c>
      <c r="I304" s="370">
        <v>0</v>
      </c>
      <c r="M304" s="371">
        <f t="shared" si="17"/>
        <v>3183.7818879531696</v>
      </c>
      <c r="N304" s="329">
        <f t="shared" si="18"/>
        <v>0</v>
      </c>
      <c r="T304" s="331">
        <v>0</v>
      </c>
      <c r="U304" s="328">
        <f>VLOOKUP(C304,METADATA!$J$5:$Q$29,IF(E304="HI",2,IF(E304="LO",6,10))+IF(T304=1,2,IF(D304=7,1,(IF(WEEKDAY(B304)=1,2,IF(WEEKDAY(B304)=7,1,0))))))</f>
        <v>2</v>
      </c>
      <c r="V304" s="328">
        <f>VLOOKUP(C304,METADATA!$A$5:$H$29,IF(E304="HI",2,IF(E304="LO",6,10))+IF(T304=1,2,IF(D304=7,1,(IF(WEEKDAY(B304)=1,2,IF(WEEKDAY(B304)=7,1,0))))))</f>
        <v>2</v>
      </c>
    </row>
    <row r="305" spans="2:22">
      <c r="B305" s="318">
        <f t="shared" si="19"/>
        <v>46125</v>
      </c>
      <c r="C305" s="312">
        <v>13</v>
      </c>
      <c r="D305" s="368">
        <f>IFERROR((INDEX(METADATA!$T$2:$T$20,MATCH(B305,METADATA!$S$2:$S$20,0))),0)</f>
        <v>0</v>
      </c>
      <c r="E305" s="312" t="str">
        <f t="shared" si="16"/>
        <v>LO</v>
      </c>
      <c r="F305" s="369">
        <f>VLOOKUP(C305,METADATA!$A$5:$H$29,IF(E305="HI",2,IF(E305="LO",6,10))+IF(D305=1,2,IF(D305=7,1,(IF(WEEKDAY(B305)=1,2,IF(WEEKDAY(B305)=7,1,0))))))</f>
        <v>2</v>
      </c>
      <c r="G305" s="369">
        <f>VLOOKUP(C305,METADATA!$J$5:$Q$29,IF(E305="HI",2,IF(E305="LO",6,10))+IF(D305=1,2,IF(D305=7,1,(IF(WEEKDAY(B305)=1,2,IF(WEEKDAY(B305)=7,1,0))))))</f>
        <v>2</v>
      </c>
      <c r="H305" s="370">
        <v>3672.7976113867189</v>
      </c>
      <c r="I305" s="370">
        <v>0</v>
      </c>
      <c r="M305" s="371">
        <f t="shared" si="17"/>
        <v>3672.7976113867189</v>
      </c>
      <c r="N305" s="329">
        <f t="shared" si="18"/>
        <v>0</v>
      </c>
      <c r="T305" s="331">
        <v>0</v>
      </c>
      <c r="U305" s="328">
        <f>VLOOKUP(C305,METADATA!$J$5:$Q$29,IF(E305="HI",2,IF(E305="LO",6,10))+IF(T305=1,2,IF(D305=7,1,(IF(WEEKDAY(B305)=1,2,IF(WEEKDAY(B305)=7,1,0))))))</f>
        <v>2</v>
      </c>
      <c r="V305" s="328">
        <f>VLOOKUP(C305,METADATA!$A$5:$H$29,IF(E305="HI",2,IF(E305="LO",6,10))+IF(T305=1,2,IF(D305=7,1,(IF(WEEKDAY(B305)=1,2,IF(WEEKDAY(B305)=7,1,0))))))</f>
        <v>2</v>
      </c>
    </row>
    <row r="306" spans="2:22">
      <c r="B306" s="318">
        <f t="shared" si="19"/>
        <v>46125</v>
      </c>
      <c r="C306" s="312">
        <v>14</v>
      </c>
      <c r="D306" s="368">
        <f>IFERROR((INDEX(METADATA!$T$2:$T$20,MATCH(B306,METADATA!$S$2:$S$20,0))),0)</f>
        <v>0</v>
      </c>
      <c r="E306" s="312" t="str">
        <f t="shared" si="16"/>
        <v>LO</v>
      </c>
      <c r="F306" s="369">
        <f>VLOOKUP(C306,METADATA!$A$5:$H$29,IF(E306="HI",2,IF(E306="LO",6,10))+IF(D306=1,2,IF(D306=7,1,(IF(WEEKDAY(B306)=1,2,IF(WEEKDAY(B306)=7,1,0))))))</f>
        <v>2</v>
      </c>
      <c r="G306" s="369">
        <f>VLOOKUP(C306,METADATA!$J$5:$Q$29,IF(E306="HI",2,IF(E306="LO",6,10))+IF(D306=1,2,IF(D306=7,1,(IF(WEEKDAY(B306)=1,2,IF(WEEKDAY(B306)=7,1,0))))))</f>
        <v>2</v>
      </c>
      <c r="H306" s="370">
        <v>4176.1749877929688</v>
      </c>
      <c r="I306" s="370">
        <v>0</v>
      </c>
      <c r="M306" s="371">
        <f t="shared" si="17"/>
        <v>4176.1749877929688</v>
      </c>
      <c r="N306" s="329">
        <f t="shared" si="18"/>
        <v>0</v>
      </c>
      <c r="T306" s="331">
        <v>0</v>
      </c>
      <c r="U306" s="328">
        <f>VLOOKUP(C306,METADATA!$J$5:$Q$29,IF(E306="HI",2,IF(E306="LO",6,10))+IF(T306=1,2,IF(D306=7,1,(IF(WEEKDAY(B306)=1,2,IF(WEEKDAY(B306)=7,1,0))))))</f>
        <v>2</v>
      </c>
      <c r="V306" s="328">
        <f>VLOOKUP(C306,METADATA!$A$5:$H$29,IF(E306="HI",2,IF(E306="LO",6,10))+IF(T306=1,2,IF(D306=7,1,(IF(WEEKDAY(B306)=1,2,IF(WEEKDAY(B306)=7,1,0))))))</f>
        <v>2</v>
      </c>
    </row>
    <row r="307" spans="2:22">
      <c r="B307" s="318">
        <f t="shared" si="19"/>
        <v>46125</v>
      </c>
      <c r="C307" s="312">
        <v>15</v>
      </c>
      <c r="D307" s="368">
        <f>IFERROR((INDEX(METADATA!$T$2:$T$20,MATCH(B307,METADATA!$S$2:$S$20,0))),0)</f>
        <v>0</v>
      </c>
      <c r="E307" s="312" t="str">
        <f t="shared" si="16"/>
        <v>LO</v>
      </c>
      <c r="F307" s="369">
        <f>VLOOKUP(C307,METADATA!$A$5:$H$29,IF(E307="HI",2,IF(E307="LO",6,10))+IF(D307=1,2,IF(D307=7,1,(IF(WEEKDAY(B307)=1,2,IF(WEEKDAY(B307)=7,1,0))))))</f>
        <v>2</v>
      </c>
      <c r="G307" s="369">
        <f>VLOOKUP(C307,METADATA!$J$5:$Q$29,IF(E307="HI",2,IF(E307="LO",6,10))+IF(D307=1,2,IF(D307=7,1,(IF(WEEKDAY(B307)=1,2,IF(WEEKDAY(B307)=7,1,0))))))</f>
        <v>2</v>
      </c>
      <c r="H307" s="370">
        <v>4328.8174743652344</v>
      </c>
      <c r="I307" s="370">
        <v>0</v>
      </c>
      <c r="M307" s="371">
        <f t="shared" si="17"/>
        <v>4328.8174743652344</v>
      </c>
      <c r="N307" s="329">
        <f t="shared" si="18"/>
        <v>0</v>
      </c>
      <c r="T307" s="331">
        <v>0</v>
      </c>
      <c r="U307" s="328">
        <f>VLOOKUP(C307,METADATA!$J$5:$Q$29,IF(E307="HI",2,IF(E307="LO",6,10))+IF(T307=1,2,IF(D307=7,1,(IF(WEEKDAY(B307)=1,2,IF(WEEKDAY(B307)=7,1,0))))))</f>
        <v>2</v>
      </c>
      <c r="V307" s="328">
        <f>VLOOKUP(C307,METADATA!$A$5:$H$29,IF(E307="HI",2,IF(E307="LO",6,10))+IF(T307=1,2,IF(D307=7,1,(IF(WEEKDAY(B307)=1,2,IF(WEEKDAY(B307)=7,1,0))))))</f>
        <v>2</v>
      </c>
    </row>
    <row r="308" spans="2:22">
      <c r="B308" s="318">
        <f t="shared" si="19"/>
        <v>46125</v>
      </c>
      <c r="C308" s="312">
        <v>16</v>
      </c>
      <c r="D308" s="368">
        <f>IFERROR((INDEX(METADATA!$T$2:$T$20,MATCH(B308,METADATA!$S$2:$S$20,0))),0)</f>
        <v>0</v>
      </c>
      <c r="E308" s="312" t="str">
        <f t="shared" si="16"/>
        <v>LO</v>
      </c>
      <c r="F308" s="369">
        <f>VLOOKUP(C308,METADATA!$A$5:$H$29,IF(E308="HI",2,IF(E308="LO",6,10))+IF(D308=1,2,IF(D308=7,1,(IF(WEEKDAY(B308)=1,2,IF(WEEKDAY(B308)=7,1,0))))))</f>
        <v>2</v>
      </c>
      <c r="G308" s="369">
        <f>VLOOKUP(C308,METADATA!$J$5:$Q$29,IF(E308="HI",2,IF(E308="LO",6,10))+IF(D308=1,2,IF(D308=7,1,(IF(WEEKDAY(B308)=1,2,IF(WEEKDAY(B308)=7,1,0))))))</f>
        <v>2</v>
      </c>
      <c r="H308" s="370">
        <v>4330.24755859375</v>
      </c>
      <c r="I308" s="370">
        <v>0</v>
      </c>
      <c r="M308" s="371">
        <f t="shared" si="17"/>
        <v>4330.24755859375</v>
      </c>
      <c r="N308" s="329">
        <f t="shared" si="18"/>
        <v>0</v>
      </c>
      <c r="T308" s="331">
        <v>0</v>
      </c>
      <c r="U308" s="328">
        <f>VLOOKUP(C308,METADATA!$J$5:$Q$29,IF(E308="HI",2,IF(E308="LO",6,10))+IF(T308=1,2,IF(D308=7,1,(IF(WEEKDAY(B308)=1,2,IF(WEEKDAY(B308)=7,1,0))))))</f>
        <v>2</v>
      </c>
      <c r="V308" s="328">
        <f>VLOOKUP(C308,METADATA!$A$5:$H$29,IF(E308="HI",2,IF(E308="LO",6,10))+IF(T308=1,2,IF(D308=7,1,(IF(WEEKDAY(B308)=1,2,IF(WEEKDAY(B308)=7,1,0))))))</f>
        <v>2</v>
      </c>
    </row>
    <row r="309" spans="2:22">
      <c r="B309" s="318">
        <f t="shared" si="19"/>
        <v>46125</v>
      </c>
      <c r="C309" s="312">
        <v>17</v>
      </c>
      <c r="D309" s="368">
        <f>IFERROR((INDEX(METADATA!$T$2:$T$20,MATCH(B309,METADATA!$S$2:$S$20,0))),0)</f>
        <v>0</v>
      </c>
      <c r="E309" s="312" t="str">
        <f t="shared" si="16"/>
        <v>LO</v>
      </c>
      <c r="F309" s="369">
        <f>VLOOKUP(C309,METADATA!$A$5:$H$29,IF(E309="HI",2,IF(E309="LO",6,10))+IF(D309=1,2,IF(D309=7,1,(IF(WEEKDAY(B309)=1,2,IF(WEEKDAY(B309)=7,1,0))))))</f>
        <v>2</v>
      </c>
      <c r="G309" s="369">
        <f>VLOOKUP(C309,METADATA!$J$5:$Q$29,IF(E309="HI",2,IF(E309="LO",6,10))+IF(D309=1,2,IF(D309=7,1,(IF(WEEKDAY(B309)=1,2,IF(WEEKDAY(B309)=7,1,0))))))</f>
        <v>2</v>
      </c>
      <c r="H309" s="370">
        <v>4405.9099731445313</v>
      </c>
      <c r="I309" s="370">
        <v>0</v>
      </c>
      <c r="M309" s="371">
        <f t="shared" si="17"/>
        <v>4405.9099731445313</v>
      </c>
      <c r="N309" s="329">
        <f t="shared" si="18"/>
        <v>0</v>
      </c>
      <c r="T309" s="331">
        <v>0</v>
      </c>
      <c r="U309" s="328">
        <f>VLOOKUP(C309,METADATA!$J$5:$Q$29,IF(E309="HI",2,IF(E309="LO",6,10))+IF(T309=1,2,IF(D309=7,1,(IF(WEEKDAY(B309)=1,2,IF(WEEKDAY(B309)=7,1,0))))))</f>
        <v>2</v>
      </c>
      <c r="V309" s="328">
        <f>VLOOKUP(C309,METADATA!$A$5:$H$29,IF(E309="HI",2,IF(E309="LO",6,10))+IF(T309=1,2,IF(D309=7,1,(IF(WEEKDAY(B309)=1,2,IF(WEEKDAY(B309)=7,1,0))))))</f>
        <v>2</v>
      </c>
    </row>
    <row r="310" spans="2:22">
      <c r="B310" s="318">
        <f t="shared" si="19"/>
        <v>46125</v>
      </c>
      <c r="C310" s="312">
        <v>18</v>
      </c>
      <c r="D310" s="368">
        <f>IFERROR((INDEX(METADATA!$T$2:$T$20,MATCH(B310,METADATA!$S$2:$S$20,0))),0)</f>
        <v>0</v>
      </c>
      <c r="E310" s="312" t="str">
        <f t="shared" si="16"/>
        <v>LO</v>
      </c>
      <c r="F310" s="369">
        <f>VLOOKUP(C310,METADATA!$A$5:$H$29,IF(E310="HI",2,IF(E310="LO",6,10))+IF(D310=1,2,IF(D310=7,1,(IF(WEEKDAY(B310)=1,2,IF(WEEKDAY(B310)=7,1,0))))))</f>
        <v>1</v>
      </c>
      <c r="G310" s="369">
        <f>VLOOKUP(C310,METADATA!$J$5:$Q$29,IF(E310="HI",2,IF(E310="LO",6,10))+IF(D310=1,2,IF(D310=7,1,(IF(WEEKDAY(B310)=1,2,IF(WEEKDAY(B310)=7,1,0))))))</f>
        <v>1</v>
      </c>
      <c r="H310" s="370">
        <v>4616.1124877929688</v>
      </c>
      <c r="I310" s="370">
        <v>5.6160001158714294</v>
      </c>
      <c r="M310" s="371">
        <f t="shared" si="17"/>
        <v>4616.1159040274861</v>
      </c>
      <c r="N310" s="329">
        <f t="shared" si="18"/>
        <v>0</v>
      </c>
      <c r="T310" s="331">
        <v>0</v>
      </c>
      <c r="U310" s="328">
        <f>VLOOKUP(C310,METADATA!$J$5:$Q$29,IF(E310="HI",2,IF(E310="LO",6,10))+IF(T310=1,2,IF(D310=7,1,(IF(WEEKDAY(B310)=1,2,IF(WEEKDAY(B310)=7,1,0))))))</f>
        <v>1</v>
      </c>
      <c r="V310" s="328">
        <f>VLOOKUP(C310,METADATA!$A$5:$H$29,IF(E310="HI",2,IF(E310="LO",6,10))+IF(T310=1,2,IF(D310=7,1,(IF(WEEKDAY(B310)=1,2,IF(WEEKDAY(B310)=7,1,0))))))</f>
        <v>1</v>
      </c>
    </row>
    <row r="311" spans="2:22">
      <c r="B311" s="318">
        <f t="shared" si="19"/>
        <v>46125</v>
      </c>
      <c r="C311" s="312">
        <v>19</v>
      </c>
      <c r="D311" s="368">
        <f>IFERROR((INDEX(METADATA!$T$2:$T$20,MATCH(B311,METADATA!$S$2:$S$20,0))),0)</f>
        <v>0</v>
      </c>
      <c r="E311" s="312" t="str">
        <f t="shared" si="16"/>
        <v>LO</v>
      </c>
      <c r="F311" s="369">
        <f>VLOOKUP(C311,METADATA!$A$5:$H$29,IF(E311="HI",2,IF(E311="LO",6,10))+IF(D311=1,2,IF(D311=7,1,(IF(WEEKDAY(B311)=1,2,IF(WEEKDAY(B311)=7,1,0))))))</f>
        <v>1</v>
      </c>
      <c r="G311" s="369">
        <f>VLOOKUP(C311,METADATA!$J$5:$Q$29,IF(E311="HI",2,IF(E311="LO",6,10))+IF(D311=1,2,IF(D311=7,1,(IF(WEEKDAY(B311)=1,2,IF(WEEKDAY(B311)=7,1,0))))))</f>
        <v>1</v>
      </c>
      <c r="H311" s="370">
        <v>6295.1000366210938</v>
      </c>
      <c r="I311" s="370">
        <v>254.30301094055176</v>
      </c>
      <c r="M311" s="371">
        <f t="shared" si="17"/>
        <v>6300.2344791634796</v>
      </c>
      <c r="N311" s="329">
        <f t="shared" si="18"/>
        <v>0</v>
      </c>
      <c r="T311" s="331">
        <v>0</v>
      </c>
      <c r="U311" s="328">
        <f>VLOOKUP(C311,METADATA!$J$5:$Q$29,IF(E311="HI",2,IF(E311="LO",6,10))+IF(T311=1,2,IF(D311=7,1,(IF(WEEKDAY(B311)=1,2,IF(WEEKDAY(B311)=7,1,0))))))</f>
        <v>1</v>
      </c>
      <c r="V311" s="328">
        <f>VLOOKUP(C311,METADATA!$A$5:$H$29,IF(E311="HI",2,IF(E311="LO",6,10))+IF(T311=1,2,IF(D311=7,1,(IF(WEEKDAY(B311)=1,2,IF(WEEKDAY(B311)=7,1,0))))))</f>
        <v>1</v>
      </c>
    </row>
    <row r="312" spans="2:22">
      <c r="B312" s="318">
        <f t="shared" si="19"/>
        <v>46125</v>
      </c>
      <c r="C312" s="312">
        <v>20</v>
      </c>
      <c r="D312" s="368">
        <f>IFERROR((INDEX(METADATA!$T$2:$T$20,MATCH(B312,METADATA!$S$2:$S$20,0))),0)</f>
        <v>0</v>
      </c>
      <c r="E312" s="312" t="str">
        <f t="shared" si="16"/>
        <v>LO</v>
      </c>
      <c r="F312" s="369">
        <f>VLOOKUP(C312,METADATA!$A$5:$H$29,IF(E312="HI",2,IF(E312="LO",6,10))+IF(D312=1,2,IF(D312=7,1,(IF(WEEKDAY(B312)=1,2,IF(WEEKDAY(B312)=7,1,0))))))</f>
        <v>1</v>
      </c>
      <c r="G312" s="369">
        <f>VLOOKUP(C312,METADATA!$J$5:$Q$29,IF(E312="HI",2,IF(E312="LO",6,10))+IF(D312=1,2,IF(D312=7,1,(IF(WEEKDAY(B312)=1,2,IF(WEEKDAY(B312)=7,1,0))))))</f>
        <v>1</v>
      </c>
      <c r="H312" s="370">
        <v>6710.7749633789063</v>
      </c>
      <c r="I312" s="370">
        <v>376.41600680351257</v>
      </c>
      <c r="M312" s="371">
        <f t="shared" si="17"/>
        <v>6721.3235020560542</v>
      </c>
      <c r="N312" s="329">
        <f t="shared" si="18"/>
        <v>0</v>
      </c>
      <c r="T312" s="331">
        <v>0</v>
      </c>
      <c r="U312" s="328">
        <f>VLOOKUP(C312,METADATA!$J$5:$Q$29,IF(E312="HI",2,IF(E312="LO",6,10))+IF(T312=1,2,IF(D312=7,1,(IF(WEEKDAY(B312)=1,2,IF(WEEKDAY(B312)=7,1,0))))))</f>
        <v>1</v>
      </c>
      <c r="V312" s="328">
        <f>VLOOKUP(C312,METADATA!$A$5:$H$29,IF(E312="HI",2,IF(E312="LO",6,10))+IF(T312=1,2,IF(D312=7,1,(IF(WEEKDAY(B312)=1,2,IF(WEEKDAY(B312)=7,1,0))))))</f>
        <v>1</v>
      </c>
    </row>
    <row r="313" spans="2:22">
      <c r="B313" s="318">
        <f t="shared" si="19"/>
        <v>46125</v>
      </c>
      <c r="C313" s="312">
        <v>21</v>
      </c>
      <c r="D313" s="368">
        <f>IFERROR((INDEX(METADATA!$T$2:$T$20,MATCH(B313,METADATA!$S$2:$S$20,0))),0)</f>
        <v>0</v>
      </c>
      <c r="E313" s="312" t="str">
        <f t="shared" si="16"/>
        <v>LO</v>
      </c>
      <c r="F313" s="369">
        <f>VLOOKUP(C313,METADATA!$A$5:$H$29,IF(E313="HI",2,IF(E313="LO",6,10))+IF(D313=1,2,IF(D313=7,1,(IF(WEEKDAY(B313)=1,2,IF(WEEKDAY(B313)=7,1,0))))))</f>
        <v>2</v>
      </c>
      <c r="G313" s="369">
        <f>VLOOKUP(C313,METADATA!$J$5:$Q$29,IF(E313="HI",2,IF(E313="LO",6,10))+IF(D313=1,2,IF(D313=7,1,(IF(WEEKDAY(B313)=1,2,IF(WEEKDAY(B313)=7,1,0))))))</f>
        <v>2</v>
      </c>
      <c r="H313" s="370">
        <v>6771.6749877929688</v>
      </c>
      <c r="I313" s="370">
        <v>381.67099523544312</v>
      </c>
      <c r="M313" s="371">
        <f t="shared" si="17"/>
        <v>6782.4224941317916</v>
      </c>
      <c r="N313" s="329">
        <f t="shared" si="18"/>
        <v>0</v>
      </c>
      <c r="T313" s="331">
        <v>0</v>
      </c>
      <c r="U313" s="328">
        <f>VLOOKUP(C313,METADATA!$J$5:$Q$29,IF(E313="HI",2,IF(E313="LO",6,10))+IF(T313=1,2,IF(D313=7,1,(IF(WEEKDAY(B313)=1,2,IF(WEEKDAY(B313)=7,1,0))))))</f>
        <v>2</v>
      </c>
      <c r="V313" s="328">
        <f>VLOOKUP(C313,METADATA!$A$5:$H$29,IF(E313="HI",2,IF(E313="LO",6,10))+IF(T313=1,2,IF(D313=7,1,(IF(WEEKDAY(B313)=1,2,IF(WEEKDAY(B313)=7,1,0))))))</f>
        <v>2</v>
      </c>
    </row>
    <row r="314" spans="2:22">
      <c r="B314" s="318">
        <f t="shared" si="19"/>
        <v>46125</v>
      </c>
      <c r="C314" s="312">
        <v>22</v>
      </c>
      <c r="D314" s="368">
        <f>IFERROR((INDEX(METADATA!$T$2:$T$20,MATCH(B314,METADATA!$S$2:$S$20,0))),0)</f>
        <v>0</v>
      </c>
      <c r="E314" s="312" t="str">
        <f t="shared" si="16"/>
        <v>LO</v>
      </c>
      <c r="F314" s="369">
        <f>VLOOKUP(C314,METADATA!$A$5:$H$29,IF(E314="HI",2,IF(E314="LO",6,10))+IF(D314=1,2,IF(D314=7,1,(IF(WEEKDAY(B314)=1,2,IF(WEEKDAY(B314)=7,1,0))))))</f>
        <v>3</v>
      </c>
      <c r="G314" s="369">
        <f>VLOOKUP(C314,METADATA!$J$5:$Q$29,IF(E314="HI",2,IF(E314="LO",6,10))+IF(D314=1,2,IF(D314=7,1,(IF(WEEKDAY(B314)=1,2,IF(WEEKDAY(B314)=7,1,0))))))</f>
        <v>3</v>
      </c>
      <c r="H314" s="370">
        <v>6874.824951171875</v>
      </c>
      <c r="I314" s="370">
        <v>370.94401216506958</v>
      </c>
      <c r="M314" s="371">
        <f t="shared" si="17"/>
        <v>6884.8251662200173</v>
      </c>
      <c r="N314" s="329">
        <f t="shared" si="18"/>
        <v>0</v>
      </c>
      <c r="T314" s="331">
        <v>0</v>
      </c>
      <c r="U314" s="328">
        <f>VLOOKUP(C314,METADATA!$J$5:$Q$29,IF(E314="HI",2,IF(E314="LO",6,10))+IF(T314=1,2,IF(D314=7,1,(IF(WEEKDAY(B314)=1,2,IF(WEEKDAY(B314)=7,1,0))))))</f>
        <v>3</v>
      </c>
      <c r="V314" s="328">
        <f>VLOOKUP(C314,METADATA!$A$5:$H$29,IF(E314="HI",2,IF(E314="LO",6,10))+IF(T314=1,2,IF(D314=7,1,(IF(WEEKDAY(B314)=1,2,IF(WEEKDAY(B314)=7,1,0))))))</f>
        <v>3</v>
      </c>
    </row>
    <row r="315" spans="2:22">
      <c r="B315" s="318">
        <f t="shared" si="19"/>
        <v>46125</v>
      </c>
      <c r="C315" s="312">
        <v>23</v>
      </c>
      <c r="D315" s="368">
        <f>IFERROR((INDEX(METADATA!$T$2:$T$20,MATCH(B315,METADATA!$S$2:$S$20,0))),0)</f>
        <v>0</v>
      </c>
      <c r="E315" s="312" t="str">
        <f t="shared" si="16"/>
        <v>LO</v>
      </c>
      <c r="F315" s="369">
        <f>VLOOKUP(C315,METADATA!$A$5:$H$29,IF(E315="HI",2,IF(E315="LO",6,10))+IF(D315=1,2,IF(D315=7,1,(IF(WEEKDAY(B315)=1,2,IF(WEEKDAY(B315)=7,1,0))))))</f>
        <v>3</v>
      </c>
      <c r="G315" s="369">
        <f>VLOOKUP(C315,METADATA!$J$5:$Q$29,IF(E315="HI",2,IF(E315="LO",6,10))+IF(D315=1,2,IF(D315=7,1,(IF(WEEKDAY(B315)=1,2,IF(WEEKDAY(B315)=7,1,0))))))</f>
        <v>3</v>
      </c>
      <c r="H315" s="370">
        <v>5334.552490234375</v>
      </c>
      <c r="I315" s="370">
        <v>12.026000022888184</v>
      </c>
      <c r="M315" s="371">
        <f t="shared" si="17"/>
        <v>5334.5660456819096</v>
      </c>
      <c r="N315" s="329">
        <f t="shared" si="18"/>
        <v>0</v>
      </c>
      <c r="T315" s="331">
        <v>0</v>
      </c>
      <c r="U315" s="328">
        <f>VLOOKUP(C315,METADATA!$J$5:$Q$29,IF(E315="HI",2,IF(E315="LO",6,10))+IF(T315=1,2,IF(D315=7,1,(IF(WEEKDAY(B315)=1,2,IF(WEEKDAY(B315)=7,1,0))))))</f>
        <v>3</v>
      </c>
      <c r="V315" s="328">
        <f>VLOOKUP(C315,METADATA!$A$5:$H$29,IF(E315="HI",2,IF(E315="LO",6,10))+IF(T315=1,2,IF(D315=7,1,(IF(WEEKDAY(B315)=1,2,IF(WEEKDAY(B315)=7,1,0))))))</f>
        <v>3</v>
      </c>
    </row>
    <row r="316" spans="2:22">
      <c r="B316" s="318">
        <f t="shared" si="19"/>
        <v>46126</v>
      </c>
      <c r="C316" s="312">
        <v>0</v>
      </c>
      <c r="D316" s="368">
        <f>IFERROR((INDEX(METADATA!$T$2:$T$20,MATCH(B316,METADATA!$S$2:$S$20,0))),0)</f>
        <v>0</v>
      </c>
      <c r="E316" s="312" t="str">
        <f t="shared" si="16"/>
        <v>LO</v>
      </c>
      <c r="F316" s="369">
        <f>VLOOKUP(C316,METADATA!$A$5:$H$29,IF(E316="HI",2,IF(E316="LO",6,10))+IF(D316=1,2,IF(D316=7,1,(IF(WEEKDAY(B316)=1,2,IF(WEEKDAY(B316)=7,1,0))))))</f>
        <v>3</v>
      </c>
      <c r="G316" s="369">
        <f>VLOOKUP(C316,METADATA!$J$5:$Q$29,IF(E316="HI",2,IF(E316="LO",6,10))+IF(D316=1,2,IF(D316=7,1,(IF(WEEKDAY(B316)=1,2,IF(WEEKDAY(B316)=7,1,0))))))</f>
        <v>3</v>
      </c>
      <c r="H316" s="370">
        <v>5669.2025451660156</v>
      </c>
      <c r="I316" s="370">
        <v>0.35999999195337296</v>
      </c>
      <c r="M316" s="371">
        <f t="shared" si="17"/>
        <v>5669.202556596194</v>
      </c>
      <c r="N316" s="329">
        <f t="shared" si="18"/>
        <v>0</v>
      </c>
      <c r="T316" s="331">
        <v>0</v>
      </c>
      <c r="U316" s="328">
        <f>VLOOKUP(C316,METADATA!$J$5:$Q$29,IF(E316="HI",2,IF(E316="LO",6,10))+IF(T316=1,2,IF(D316=7,1,(IF(WEEKDAY(B316)=1,2,IF(WEEKDAY(B316)=7,1,0))))))</f>
        <v>3</v>
      </c>
      <c r="V316" s="328">
        <f>VLOOKUP(C316,METADATA!$A$5:$H$29,IF(E316="HI",2,IF(E316="LO",6,10))+IF(T316=1,2,IF(D316=7,1,(IF(WEEKDAY(B316)=1,2,IF(WEEKDAY(B316)=7,1,0))))))</f>
        <v>3</v>
      </c>
    </row>
    <row r="317" spans="2:22">
      <c r="B317" s="318">
        <f t="shared" si="19"/>
        <v>46126</v>
      </c>
      <c r="C317" s="312">
        <v>1</v>
      </c>
      <c r="D317" s="368">
        <f>IFERROR((INDEX(METADATA!$T$2:$T$20,MATCH(B317,METADATA!$S$2:$S$20,0))),0)</f>
        <v>0</v>
      </c>
      <c r="E317" s="312" t="str">
        <f t="shared" si="16"/>
        <v>LO</v>
      </c>
      <c r="F317" s="369">
        <f>VLOOKUP(C317,METADATA!$A$5:$H$29,IF(E317="HI",2,IF(E317="LO",6,10))+IF(D317=1,2,IF(D317=7,1,(IF(WEEKDAY(B317)=1,2,IF(WEEKDAY(B317)=7,1,0))))))</f>
        <v>3</v>
      </c>
      <c r="G317" s="369">
        <f>VLOOKUP(C317,METADATA!$J$5:$Q$29,IF(E317="HI",2,IF(E317="LO",6,10))+IF(D317=1,2,IF(D317=7,1,(IF(WEEKDAY(B317)=1,2,IF(WEEKDAY(B317)=7,1,0))))))</f>
        <v>3</v>
      </c>
      <c r="H317" s="370">
        <v>7228.87744140625</v>
      </c>
      <c r="I317" s="370">
        <v>234.60000610351563</v>
      </c>
      <c r="M317" s="371">
        <f t="shared" si="17"/>
        <v>7232.6831968319984</v>
      </c>
      <c r="N317" s="329">
        <f t="shared" si="18"/>
        <v>0</v>
      </c>
      <c r="T317" s="331">
        <v>0</v>
      </c>
      <c r="U317" s="328">
        <f>VLOOKUP(C317,METADATA!$J$5:$Q$29,IF(E317="HI",2,IF(E317="LO",6,10))+IF(T317=1,2,IF(D317=7,1,(IF(WEEKDAY(B317)=1,2,IF(WEEKDAY(B317)=7,1,0))))))</f>
        <v>3</v>
      </c>
      <c r="V317" s="328">
        <f>VLOOKUP(C317,METADATA!$A$5:$H$29,IF(E317="HI",2,IF(E317="LO",6,10))+IF(T317=1,2,IF(D317=7,1,(IF(WEEKDAY(B317)=1,2,IF(WEEKDAY(B317)=7,1,0))))))</f>
        <v>3</v>
      </c>
    </row>
    <row r="318" spans="2:22">
      <c r="B318" s="318">
        <f t="shared" si="19"/>
        <v>46126</v>
      </c>
      <c r="C318" s="312">
        <v>2</v>
      </c>
      <c r="D318" s="368">
        <f>IFERROR((INDEX(METADATA!$T$2:$T$20,MATCH(B318,METADATA!$S$2:$S$20,0))),0)</f>
        <v>0</v>
      </c>
      <c r="E318" s="312" t="str">
        <f t="shared" si="16"/>
        <v>LO</v>
      </c>
      <c r="F318" s="369">
        <f>VLOOKUP(C318,METADATA!$A$5:$H$29,IF(E318="HI",2,IF(E318="LO",6,10))+IF(D318=1,2,IF(D318=7,1,(IF(WEEKDAY(B318)=1,2,IF(WEEKDAY(B318)=7,1,0))))))</f>
        <v>3</v>
      </c>
      <c r="G318" s="369">
        <f>VLOOKUP(C318,METADATA!$J$5:$Q$29,IF(E318="HI",2,IF(E318="LO",6,10))+IF(D318=1,2,IF(D318=7,1,(IF(WEEKDAY(B318)=1,2,IF(WEEKDAY(B318)=7,1,0))))))</f>
        <v>3</v>
      </c>
      <c r="H318" s="370">
        <v>6001.6801147460938</v>
      </c>
      <c r="I318" s="370">
        <v>0</v>
      </c>
      <c r="M318" s="371">
        <f t="shared" si="17"/>
        <v>6001.6801147460938</v>
      </c>
      <c r="N318" s="329">
        <f t="shared" si="18"/>
        <v>0</v>
      </c>
      <c r="T318" s="331">
        <v>0</v>
      </c>
      <c r="U318" s="328">
        <f>VLOOKUP(C318,METADATA!$J$5:$Q$29,IF(E318="HI",2,IF(E318="LO",6,10))+IF(T318=1,2,IF(D318=7,1,(IF(WEEKDAY(B318)=1,2,IF(WEEKDAY(B318)=7,1,0))))))</f>
        <v>3</v>
      </c>
      <c r="V318" s="328">
        <f>VLOOKUP(C318,METADATA!$A$5:$H$29,IF(E318="HI",2,IF(E318="LO",6,10))+IF(T318=1,2,IF(D318=7,1,(IF(WEEKDAY(B318)=1,2,IF(WEEKDAY(B318)=7,1,0))))))</f>
        <v>3</v>
      </c>
    </row>
    <row r="319" spans="2:22">
      <c r="B319" s="318">
        <f t="shared" si="19"/>
        <v>46126</v>
      </c>
      <c r="C319" s="312">
        <v>3</v>
      </c>
      <c r="D319" s="368">
        <f>IFERROR((INDEX(METADATA!$T$2:$T$20,MATCH(B319,METADATA!$S$2:$S$20,0))),0)</f>
        <v>0</v>
      </c>
      <c r="E319" s="312" t="str">
        <f t="shared" si="16"/>
        <v>LO</v>
      </c>
      <c r="F319" s="369">
        <f>VLOOKUP(C319,METADATA!$A$5:$H$29,IF(E319="HI",2,IF(E319="LO",6,10))+IF(D319=1,2,IF(D319=7,1,(IF(WEEKDAY(B319)=1,2,IF(WEEKDAY(B319)=7,1,0))))))</f>
        <v>3</v>
      </c>
      <c r="G319" s="369">
        <f>VLOOKUP(C319,METADATA!$J$5:$Q$29,IF(E319="HI",2,IF(E319="LO",6,10))+IF(D319=1,2,IF(D319=7,1,(IF(WEEKDAY(B319)=1,2,IF(WEEKDAY(B319)=7,1,0))))))</f>
        <v>3</v>
      </c>
      <c r="H319" s="370">
        <v>6272.7374572753906</v>
      </c>
      <c r="I319" s="370">
        <v>31.319998681545258</v>
      </c>
      <c r="M319" s="371">
        <f t="shared" si="17"/>
        <v>6272.815647715398</v>
      </c>
      <c r="N319" s="329">
        <f t="shared" si="18"/>
        <v>0</v>
      </c>
      <c r="T319" s="331">
        <v>0</v>
      </c>
      <c r="U319" s="328">
        <f>VLOOKUP(C319,METADATA!$J$5:$Q$29,IF(E319="HI",2,IF(E319="LO",6,10))+IF(T319=1,2,IF(D319=7,1,(IF(WEEKDAY(B319)=1,2,IF(WEEKDAY(B319)=7,1,0))))))</f>
        <v>3</v>
      </c>
      <c r="V319" s="328">
        <f>VLOOKUP(C319,METADATA!$A$5:$H$29,IF(E319="HI",2,IF(E319="LO",6,10))+IF(T319=1,2,IF(D319=7,1,(IF(WEEKDAY(B319)=1,2,IF(WEEKDAY(B319)=7,1,0))))))</f>
        <v>3</v>
      </c>
    </row>
    <row r="320" spans="2:22">
      <c r="B320" s="318">
        <f t="shared" si="19"/>
        <v>46126</v>
      </c>
      <c r="C320" s="312">
        <v>4</v>
      </c>
      <c r="D320" s="368">
        <f>IFERROR((INDEX(METADATA!$T$2:$T$20,MATCH(B320,METADATA!$S$2:$S$20,0))),0)</f>
        <v>0</v>
      </c>
      <c r="E320" s="312" t="str">
        <f t="shared" si="16"/>
        <v>LO</v>
      </c>
      <c r="F320" s="369">
        <f>VLOOKUP(C320,METADATA!$A$5:$H$29,IF(E320="HI",2,IF(E320="LO",6,10))+IF(D320=1,2,IF(D320=7,1,(IF(WEEKDAY(B320)=1,2,IF(WEEKDAY(B320)=7,1,0))))))</f>
        <v>3</v>
      </c>
      <c r="G320" s="369">
        <f>VLOOKUP(C320,METADATA!$J$5:$Q$29,IF(E320="HI",2,IF(E320="LO",6,10))+IF(D320=1,2,IF(D320=7,1,(IF(WEEKDAY(B320)=1,2,IF(WEEKDAY(B320)=7,1,0))))))</f>
        <v>3</v>
      </c>
      <c r="H320" s="370">
        <v>8175.5800170898438</v>
      </c>
      <c r="I320" s="370">
        <v>323.99801206588745</v>
      </c>
      <c r="M320" s="371">
        <f t="shared" si="17"/>
        <v>8181.9975145230528</v>
      </c>
      <c r="N320" s="329">
        <f t="shared" si="18"/>
        <v>0</v>
      </c>
      <c r="T320" s="331">
        <v>0</v>
      </c>
      <c r="U320" s="328">
        <f>VLOOKUP(C320,METADATA!$J$5:$Q$29,IF(E320="HI",2,IF(E320="LO",6,10))+IF(T320=1,2,IF(D320=7,1,(IF(WEEKDAY(B320)=1,2,IF(WEEKDAY(B320)=7,1,0))))))</f>
        <v>3</v>
      </c>
      <c r="V320" s="328">
        <f>VLOOKUP(C320,METADATA!$A$5:$H$29,IF(E320="HI",2,IF(E320="LO",6,10))+IF(T320=1,2,IF(D320=7,1,(IF(WEEKDAY(B320)=1,2,IF(WEEKDAY(B320)=7,1,0))))))</f>
        <v>3</v>
      </c>
    </row>
    <row r="321" spans="2:22">
      <c r="B321" s="318">
        <f t="shared" si="19"/>
        <v>46126</v>
      </c>
      <c r="C321" s="312">
        <v>5</v>
      </c>
      <c r="D321" s="368">
        <f>IFERROR((INDEX(METADATA!$T$2:$T$20,MATCH(B321,METADATA!$S$2:$S$20,0))),0)</f>
        <v>0</v>
      </c>
      <c r="E321" s="312" t="str">
        <f t="shared" si="16"/>
        <v>LO</v>
      </c>
      <c r="F321" s="369">
        <f>VLOOKUP(C321,METADATA!$A$5:$H$29,IF(E321="HI",2,IF(E321="LO",6,10))+IF(D321=1,2,IF(D321=7,1,(IF(WEEKDAY(B321)=1,2,IF(WEEKDAY(B321)=7,1,0))))))</f>
        <v>3</v>
      </c>
      <c r="G321" s="369">
        <f>VLOOKUP(C321,METADATA!$J$5:$Q$29,IF(E321="HI",2,IF(E321="LO",6,10))+IF(D321=1,2,IF(D321=7,1,(IF(WEEKDAY(B321)=1,2,IF(WEEKDAY(B321)=7,1,0))))))</f>
        <v>3</v>
      </c>
      <c r="H321" s="370">
        <v>6550.0175170898438</v>
      </c>
      <c r="I321" s="370">
        <v>77.617998185334727</v>
      </c>
      <c r="M321" s="371">
        <f t="shared" si="17"/>
        <v>6550.4773893072934</v>
      </c>
      <c r="N321" s="329">
        <f t="shared" si="18"/>
        <v>0</v>
      </c>
      <c r="T321" s="331">
        <v>0</v>
      </c>
      <c r="U321" s="328">
        <f>VLOOKUP(C321,METADATA!$J$5:$Q$29,IF(E321="HI",2,IF(E321="LO",6,10))+IF(T321=1,2,IF(D321=7,1,(IF(WEEKDAY(B321)=1,2,IF(WEEKDAY(B321)=7,1,0))))))</f>
        <v>3</v>
      </c>
      <c r="V321" s="328">
        <f>VLOOKUP(C321,METADATA!$A$5:$H$29,IF(E321="HI",2,IF(E321="LO",6,10))+IF(T321=1,2,IF(D321=7,1,(IF(WEEKDAY(B321)=1,2,IF(WEEKDAY(B321)=7,1,0))))))</f>
        <v>3</v>
      </c>
    </row>
    <row r="322" spans="2:22">
      <c r="B322" s="318">
        <f t="shared" si="19"/>
        <v>46126</v>
      </c>
      <c r="C322" s="312">
        <v>6</v>
      </c>
      <c r="D322" s="368">
        <f>IFERROR((INDEX(METADATA!$T$2:$T$20,MATCH(B322,METADATA!$S$2:$S$20,0))),0)</f>
        <v>0</v>
      </c>
      <c r="E322" s="312" t="str">
        <f t="shared" si="16"/>
        <v>LO</v>
      </c>
      <c r="F322" s="369">
        <f>VLOOKUP(C322,METADATA!$A$5:$H$29,IF(E322="HI",2,IF(E322="LO",6,10))+IF(D322=1,2,IF(D322=7,1,(IF(WEEKDAY(B322)=1,2,IF(WEEKDAY(B322)=7,1,0))))))</f>
        <v>2</v>
      </c>
      <c r="G322" s="369">
        <f>VLOOKUP(C322,METADATA!$J$5:$Q$29,IF(E322="HI",2,IF(E322="LO",6,10))+IF(D322=1,2,IF(D322=7,1,(IF(WEEKDAY(B322)=1,2,IF(WEEKDAY(B322)=7,1,0))))))</f>
        <v>2</v>
      </c>
      <c r="H322" s="370">
        <v>7972.8574829101563</v>
      </c>
      <c r="I322" s="370">
        <v>397.07998595386744</v>
      </c>
      <c r="M322" s="371">
        <f t="shared" si="17"/>
        <v>7982.7394394431785</v>
      </c>
      <c r="N322" s="329">
        <f t="shared" si="18"/>
        <v>0</v>
      </c>
      <c r="T322" s="331">
        <v>0</v>
      </c>
      <c r="U322" s="328">
        <f>VLOOKUP(C322,METADATA!$J$5:$Q$29,IF(E322="HI",2,IF(E322="LO",6,10))+IF(T322=1,2,IF(D322=7,1,(IF(WEEKDAY(B322)=1,2,IF(WEEKDAY(B322)=7,1,0))))))</f>
        <v>2</v>
      </c>
      <c r="V322" s="328">
        <f>VLOOKUP(C322,METADATA!$A$5:$H$29,IF(E322="HI",2,IF(E322="LO",6,10))+IF(T322=1,2,IF(D322=7,1,(IF(WEEKDAY(B322)=1,2,IF(WEEKDAY(B322)=7,1,0))))))</f>
        <v>2</v>
      </c>
    </row>
    <row r="323" spans="2:22">
      <c r="B323" s="318">
        <f t="shared" si="19"/>
        <v>46126</v>
      </c>
      <c r="C323" s="312">
        <v>7</v>
      </c>
      <c r="D323" s="368">
        <f>IFERROR((INDEX(METADATA!$T$2:$T$20,MATCH(B323,METADATA!$S$2:$S$20,0))),0)</f>
        <v>0</v>
      </c>
      <c r="E323" s="312" t="str">
        <f t="shared" si="16"/>
        <v>LO</v>
      </c>
      <c r="F323" s="369">
        <f>VLOOKUP(C323,METADATA!$A$5:$H$29,IF(E323="HI",2,IF(E323="LO",6,10))+IF(D323=1,2,IF(D323=7,1,(IF(WEEKDAY(B323)=1,2,IF(WEEKDAY(B323)=7,1,0))))))</f>
        <v>1</v>
      </c>
      <c r="G323" s="369">
        <f>VLOOKUP(C323,METADATA!$J$5:$Q$29,IF(E323="HI",2,IF(E323="LO",6,10))+IF(D323=1,2,IF(D323=7,1,(IF(WEEKDAY(B323)=1,2,IF(WEEKDAY(B323)=7,1,0))))))</f>
        <v>1</v>
      </c>
      <c r="H323" s="370">
        <v>10803.022491455078</v>
      </c>
      <c r="I323" s="370">
        <v>1402.4399719238281</v>
      </c>
      <c r="M323" s="371">
        <f t="shared" si="17"/>
        <v>10893.673981983029</v>
      </c>
      <c r="N323" s="329">
        <f t="shared" si="18"/>
        <v>0</v>
      </c>
      <c r="T323" s="331">
        <v>0</v>
      </c>
      <c r="U323" s="328">
        <f>VLOOKUP(C323,METADATA!$J$5:$Q$29,IF(E323="HI",2,IF(E323="LO",6,10))+IF(T323=1,2,IF(D323=7,1,(IF(WEEKDAY(B323)=1,2,IF(WEEKDAY(B323)=7,1,0))))))</f>
        <v>1</v>
      </c>
      <c r="V323" s="328">
        <f>VLOOKUP(C323,METADATA!$A$5:$H$29,IF(E323="HI",2,IF(E323="LO",6,10))+IF(T323=1,2,IF(D323=7,1,(IF(WEEKDAY(B323)=1,2,IF(WEEKDAY(B323)=7,1,0))))))</f>
        <v>1</v>
      </c>
    </row>
    <row r="324" spans="2:22">
      <c r="B324" s="318">
        <f t="shared" si="19"/>
        <v>46126</v>
      </c>
      <c r="C324" s="312">
        <v>8</v>
      </c>
      <c r="D324" s="368">
        <f>IFERROR((INDEX(METADATA!$T$2:$T$20,MATCH(B324,METADATA!$S$2:$S$20,0))),0)</f>
        <v>0</v>
      </c>
      <c r="E324" s="312" t="str">
        <f t="shared" ref="E324:E387" si="20">IF(B324="","",IF(AND(MONTH(B324)&gt;=MONTH($Z$9),MONTH(B324)&lt;=MONTH($Z$11)),"HI","LO"))</f>
        <v>LO</v>
      </c>
      <c r="F324" s="369">
        <f>VLOOKUP(C324,METADATA!$A$5:$H$29,IF(E324="HI",2,IF(E324="LO",6,10))+IF(D324=1,2,IF(D324=7,1,(IF(WEEKDAY(B324)=1,2,IF(WEEKDAY(B324)=7,1,0))))))</f>
        <v>1</v>
      </c>
      <c r="G324" s="369">
        <f>VLOOKUP(C324,METADATA!$J$5:$Q$29,IF(E324="HI",2,IF(E324="LO",6,10))+IF(D324=1,2,IF(D324=7,1,(IF(WEEKDAY(B324)=1,2,IF(WEEKDAY(B324)=7,1,0))))))</f>
        <v>1</v>
      </c>
      <c r="H324" s="370">
        <v>11148.917083740234</v>
      </c>
      <c r="I324" s="370">
        <v>1577.760009765625</v>
      </c>
      <c r="M324" s="371">
        <f t="shared" ref="M324:M387" si="21">SQRT(H324^2+I324^2)</f>
        <v>11260.003498602053</v>
      </c>
      <c r="N324" s="329">
        <f t="shared" ref="N324:N387" si="22">IF(H324=0,0,(IF(I324-(0.3*H324)&lt;0,0,(I324-(0.3*H324)))))</f>
        <v>0</v>
      </c>
      <c r="T324" s="331">
        <v>0</v>
      </c>
      <c r="U324" s="328">
        <f>VLOOKUP(C324,METADATA!$J$5:$Q$29,IF(E324="HI",2,IF(E324="LO",6,10))+IF(T324=1,2,IF(D324=7,1,(IF(WEEKDAY(B324)=1,2,IF(WEEKDAY(B324)=7,1,0))))))</f>
        <v>1</v>
      </c>
      <c r="V324" s="328">
        <f>VLOOKUP(C324,METADATA!$A$5:$H$29,IF(E324="HI",2,IF(E324="LO",6,10))+IF(T324=1,2,IF(D324=7,1,(IF(WEEKDAY(B324)=1,2,IF(WEEKDAY(B324)=7,1,0))))))</f>
        <v>1</v>
      </c>
    </row>
    <row r="325" spans="2:22">
      <c r="B325" s="318">
        <f t="shared" si="19"/>
        <v>46126</v>
      </c>
      <c r="C325" s="312">
        <v>9</v>
      </c>
      <c r="D325" s="368">
        <f>IFERROR((INDEX(METADATA!$T$2:$T$20,MATCH(B325,METADATA!$S$2:$S$20,0))),0)</f>
        <v>0</v>
      </c>
      <c r="E325" s="312" t="str">
        <f t="shared" si="20"/>
        <v>LO</v>
      </c>
      <c r="F325" s="369">
        <f>VLOOKUP(C325,METADATA!$A$5:$H$29,IF(E325="HI",2,IF(E325="LO",6,10))+IF(D325=1,2,IF(D325=7,1,(IF(WEEKDAY(B325)=1,2,IF(WEEKDAY(B325)=7,1,0))))))</f>
        <v>2</v>
      </c>
      <c r="G325" s="369">
        <f>VLOOKUP(C325,METADATA!$J$5:$Q$29,IF(E325="HI",2,IF(E325="LO",6,10))+IF(D325=1,2,IF(D325=7,1,(IF(WEEKDAY(B325)=1,2,IF(WEEKDAY(B325)=7,1,0))))))</f>
        <v>2</v>
      </c>
      <c r="H325" s="370">
        <v>11106.930114746094</v>
      </c>
      <c r="I325" s="370">
        <v>1566.8400268554688</v>
      </c>
      <c r="M325" s="371">
        <f t="shared" si="21"/>
        <v>11216.901722116054</v>
      </c>
      <c r="N325" s="329">
        <f t="shared" si="22"/>
        <v>0</v>
      </c>
      <c r="T325" s="331">
        <v>0</v>
      </c>
      <c r="U325" s="328">
        <f>VLOOKUP(C325,METADATA!$J$5:$Q$29,IF(E325="HI",2,IF(E325="LO",6,10))+IF(T325=1,2,IF(D325=7,1,(IF(WEEKDAY(B325)=1,2,IF(WEEKDAY(B325)=7,1,0))))))</f>
        <v>2</v>
      </c>
      <c r="V325" s="328">
        <f>VLOOKUP(C325,METADATA!$A$5:$H$29,IF(E325="HI",2,IF(E325="LO",6,10))+IF(T325=1,2,IF(D325=7,1,(IF(WEEKDAY(B325)=1,2,IF(WEEKDAY(B325)=7,1,0))))))</f>
        <v>2</v>
      </c>
    </row>
    <row r="326" spans="2:22">
      <c r="B326" s="318">
        <f t="shared" si="19"/>
        <v>46126</v>
      </c>
      <c r="C326" s="312">
        <v>10</v>
      </c>
      <c r="D326" s="368">
        <f>IFERROR((INDEX(METADATA!$T$2:$T$20,MATCH(B326,METADATA!$S$2:$S$20,0))),0)</f>
        <v>0</v>
      </c>
      <c r="E326" s="312" t="str">
        <f t="shared" si="20"/>
        <v>LO</v>
      </c>
      <c r="F326" s="369">
        <f>VLOOKUP(C326,METADATA!$A$5:$H$29,IF(E326="HI",2,IF(E326="LO",6,10))+IF(D326=1,2,IF(D326=7,1,(IF(WEEKDAY(B326)=1,2,IF(WEEKDAY(B326)=7,1,0))))))</f>
        <v>2</v>
      </c>
      <c r="G326" s="369">
        <f>VLOOKUP(C326,METADATA!$J$5:$Q$29,IF(E326="HI",2,IF(E326="LO",6,10))+IF(D326=1,2,IF(D326=7,1,(IF(WEEKDAY(B326)=1,2,IF(WEEKDAY(B326)=7,1,0))))))</f>
        <v>2</v>
      </c>
      <c r="H326" s="370">
        <v>10510.327362060547</v>
      </c>
      <c r="I326" s="370">
        <v>870.9599757194519</v>
      </c>
      <c r="M326" s="371">
        <f t="shared" si="21"/>
        <v>10546.352570295754</v>
      </c>
      <c r="N326" s="329">
        <f t="shared" si="22"/>
        <v>0</v>
      </c>
      <c r="T326" s="331">
        <v>0</v>
      </c>
      <c r="U326" s="328">
        <f>VLOOKUP(C326,METADATA!$J$5:$Q$29,IF(E326="HI",2,IF(E326="LO",6,10))+IF(T326=1,2,IF(D326=7,1,(IF(WEEKDAY(B326)=1,2,IF(WEEKDAY(B326)=7,1,0))))))</f>
        <v>2</v>
      </c>
      <c r="V326" s="328">
        <f>VLOOKUP(C326,METADATA!$A$5:$H$29,IF(E326="HI",2,IF(E326="LO",6,10))+IF(T326=1,2,IF(D326=7,1,(IF(WEEKDAY(B326)=1,2,IF(WEEKDAY(B326)=7,1,0))))))</f>
        <v>2</v>
      </c>
    </row>
    <row r="327" spans="2:22">
      <c r="B327" s="318">
        <f t="shared" si="19"/>
        <v>46126</v>
      </c>
      <c r="C327" s="312">
        <v>11</v>
      </c>
      <c r="D327" s="368">
        <f>IFERROR((INDEX(METADATA!$T$2:$T$20,MATCH(B327,METADATA!$S$2:$S$20,0))),0)</f>
        <v>0</v>
      </c>
      <c r="E327" s="312" t="str">
        <f t="shared" si="20"/>
        <v>LO</v>
      </c>
      <c r="F327" s="369">
        <f>VLOOKUP(C327,METADATA!$A$5:$H$29,IF(E327="HI",2,IF(E327="LO",6,10))+IF(D327=1,2,IF(D327=7,1,(IF(WEEKDAY(B327)=1,2,IF(WEEKDAY(B327)=7,1,0))))))</f>
        <v>2</v>
      </c>
      <c r="G327" s="369">
        <f>VLOOKUP(C327,METADATA!$J$5:$Q$29,IF(E327="HI",2,IF(E327="LO",6,10))+IF(D327=1,2,IF(D327=7,1,(IF(WEEKDAY(B327)=1,2,IF(WEEKDAY(B327)=7,1,0))))))</f>
        <v>2</v>
      </c>
      <c r="H327" s="370">
        <v>12292.275207519531</v>
      </c>
      <c r="I327" s="370">
        <v>1283.7824935913086</v>
      </c>
      <c r="M327" s="371">
        <f t="shared" si="21"/>
        <v>12359.131331458973</v>
      </c>
      <c r="N327" s="329">
        <f t="shared" si="22"/>
        <v>0</v>
      </c>
      <c r="T327" s="331">
        <v>0</v>
      </c>
      <c r="U327" s="328">
        <f>VLOOKUP(C327,METADATA!$J$5:$Q$29,IF(E327="HI",2,IF(E327="LO",6,10))+IF(T327=1,2,IF(D327=7,1,(IF(WEEKDAY(B327)=1,2,IF(WEEKDAY(B327)=7,1,0))))))</f>
        <v>2</v>
      </c>
      <c r="V327" s="328">
        <f>VLOOKUP(C327,METADATA!$A$5:$H$29,IF(E327="HI",2,IF(E327="LO",6,10))+IF(T327=1,2,IF(D327=7,1,(IF(WEEKDAY(B327)=1,2,IF(WEEKDAY(B327)=7,1,0))))))</f>
        <v>2</v>
      </c>
    </row>
    <row r="328" spans="2:22">
      <c r="B328" s="318">
        <f t="shared" si="19"/>
        <v>46126</v>
      </c>
      <c r="C328" s="312">
        <v>12</v>
      </c>
      <c r="D328" s="368">
        <f>IFERROR((INDEX(METADATA!$T$2:$T$20,MATCH(B328,METADATA!$S$2:$S$20,0))),0)</f>
        <v>0</v>
      </c>
      <c r="E328" s="312" t="str">
        <f t="shared" si="20"/>
        <v>LO</v>
      </c>
      <c r="F328" s="369">
        <f>VLOOKUP(C328,METADATA!$A$5:$H$29,IF(E328="HI",2,IF(E328="LO",6,10))+IF(D328=1,2,IF(D328=7,1,(IF(WEEKDAY(B328)=1,2,IF(WEEKDAY(B328)=7,1,0))))))</f>
        <v>2</v>
      </c>
      <c r="G328" s="369">
        <f>VLOOKUP(C328,METADATA!$J$5:$Q$29,IF(E328="HI",2,IF(E328="LO",6,10))+IF(D328=1,2,IF(D328=7,1,(IF(WEEKDAY(B328)=1,2,IF(WEEKDAY(B328)=7,1,0))))))</f>
        <v>2</v>
      </c>
      <c r="H328" s="370">
        <v>12505.509948730469</v>
      </c>
      <c r="I328" s="370">
        <v>1247.5190238952637</v>
      </c>
      <c r="M328" s="371">
        <f t="shared" si="21"/>
        <v>12567.58062607029</v>
      </c>
      <c r="N328" s="329">
        <f t="shared" si="22"/>
        <v>0</v>
      </c>
      <c r="T328" s="331">
        <v>0</v>
      </c>
      <c r="U328" s="328">
        <f>VLOOKUP(C328,METADATA!$J$5:$Q$29,IF(E328="HI",2,IF(E328="LO",6,10))+IF(T328=1,2,IF(D328=7,1,(IF(WEEKDAY(B328)=1,2,IF(WEEKDAY(B328)=7,1,0))))))</f>
        <v>2</v>
      </c>
      <c r="V328" s="328">
        <f>VLOOKUP(C328,METADATA!$A$5:$H$29,IF(E328="HI",2,IF(E328="LO",6,10))+IF(T328=1,2,IF(D328=7,1,(IF(WEEKDAY(B328)=1,2,IF(WEEKDAY(B328)=7,1,0))))))</f>
        <v>2</v>
      </c>
    </row>
    <row r="329" spans="2:22">
      <c r="B329" s="318">
        <f t="shared" si="19"/>
        <v>46126</v>
      </c>
      <c r="C329" s="312">
        <v>13</v>
      </c>
      <c r="D329" s="368">
        <f>IFERROR((INDEX(METADATA!$T$2:$T$20,MATCH(B329,METADATA!$S$2:$S$20,0))),0)</f>
        <v>0</v>
      </c>
      <c r="E329" s="312" t="str">
        <f t="shared" si="20"/>
        <v>LO</v>
      </c>
      <c r="F329" s="369">
        <f>VLOOKUP(C329,METADATA!$A$5:$H$29,IF(E329="HI",2,IF(E329="LO",6,10))+IF(D329=1,2,IF(D329=7,1,(IF(WEEKDAY(B329)=1,2,IF(WEEKDAY(B329)=7,1,0))))))</f>
        <v>2</v>
      </c>
      <c r="G329" s="369">
        <f>VLOOKUP(C329,METADATA!$J$5:$Q$29,IF(E329="HI",2,IF(E329="LO",6,10))+IF(D329=1,2,IF(D329=7,1,(IF(WEEKDAY(B329)=1,2,IF(WEEKDAY(B329)=7,1,0))))))</f>
        <v>2</v>
      </c>
      <c r="H329" s="370">
        <v>12575.55517578125</v>
      </c>
      <c r="I329" s="370">
        <v>1152.7924957275391</v>
      </c>
      <c r="M329" s="371">
        <f t="shared" si="21"/>
        <v>12628.282484856138</v>
      </c>
      <c r="N329" s="329">
        <f t="shared" si="22"/>
        <v>0</v>
      </c>
      <c r="T329" s="331">
        <v>0</v>
      </c>
      <c r="U329" s="328">
        <f>VLOOKUP(C329,METADATA!$J$5:$Q$29,IF(E329="HI",2,IF(E329="LO",6,10))+IF(T329=1,2,IF(D329=7,1,(IF(WEEKDAY(B329)=1,2,IF(WEEKDAY(B329)=7,1,0))))))</f>
        <v>2</v>
      </c>
      <c r="V329" s="328">
        <f>VLOOKUP(C329,METADATA!$A$5:$H$29,IF(E329="HI",2,IF(E329="LO",6,10))+IF(T329=1,2,IF(D329=7,1,(IF(WEEKDAY(B329)=1,2,IF(WEEKDAY(B329)=7,1,0))))))</f>
        <v>2</v>
      </c>
    </row>
    <row r="330" spans="2:22">
      <c r="B330" s="318">
        <f t="shared" si="19"/>
        <v>46126</v>
      </c>
      <c r="C330" s="312">
        <v>14</v>
      </c>
      <c r="D330" s="368">
        <f>IFERROR((INDEX(METADATA!$T$2:$T$20,MATCH(B330,METADATA!$S$2:$S$20,0))),0)</f>
        <v>0</v>
      </c>
      <c r="E330" s="312" t="str">
        <f t="shared" si="20"/>
        <v>LO</v>
      </c>
      <c r="F330" s="369">
        <f>VLOOKUP(C330,METADATA!$A$5:$H$29,IF(E330="HI",2,IF(E330="LO",6,10))+IF(D330=1,2,IF(D330=7,1,(IF(WEEKDAY(B330)=1,2,IF(WEEKDAY(B330)=7,1,0))))))</f>
        <v>2</v>
      </c>
      <c r="G330" s="369">
        <f>VLOOKUP(C330,METADATA!$J$5:$Q$29,IF(E330="HI",2,IF(E330="LO",6,10))+IF(D330=1,2,IF(D330=7,1,(IF(WEEKDAY(B330)=1,2,IF(WEEKDAY(B330)=7,1,0))))))</f>
        <v>2</v>
      </c>
      <c r="H330" s="370">
        <v>11738.579833984375</v>
      </c>
      <c r="I330" s="370">
        <v>1124.711519241333</v>
      </c>
      <c r="M330" s="371">
        <f t="shared" si="21"/>
        <v>11792.337873396385</v>
      </c>
      <c r="N330" s="329">
        <f t="shared" si="22"/>
        <v>0</v>
      </c>
      <c r="T330" s="331">
        <v>0</v>
      </c>
      <c r="U330" s="328">
        <f>VLOOKUP(C330,METADATA!$J$5:$Q$29,IF(E330="HI",2,IF(E330="LO",6,10))+IF(T330=1,2,IF(D330=7,1,(IF(WEEKDAY(B330)=1,2,IF(WEEKDAY(B330)=7,1,0))))))</f>
        <v>2</v>
      </c>
      <c r="V330" s="328">
        <f>VLOOKUP(C330,METADATA!$A$5:$H$29,IF(E330="HI",2,IF(E330="LO",6,10))+IF(T330=1,2,IF(D330=7,1,(IF(WEEKDAY(B330)=1,2,IF(WEEKDAY(B330)=7,1,0))))))</f>
        <v>2</v>
      </c>
    </row>
    <row r="331" spans="2:22">
      <c r="B331" s="318">
        <f t="shared" si="19"/>
        <v>46126</v>
      </c>
      <c r="C331" s="312">
        <v>15</v>
      </c>
      <c r="D331" s="368">
        <f>IFERROR((INDEX(METADATA!$T$2:$T$20,MATCH(B331,METADATA!$S$2:$S$20,0))),0)</f>
        <v>0</v>
      </c>
      <c r="E331" s="312" t="str">
        <f t="shared" si="20"/>
        <v>LO</v>
      </c>
      <c r="F331" s="369">
        <f>VLOOKUP(C331,METADATA!$A$5:$H$29,IF(E331="HI",2,IF(E331="LO",6,10))+IF(D331=1,2,IF(D331=7,1,(IF(WEEKDAY(B331)=1,2,IF(WEEKDAY(B331)=7,1,0))))))</f>
        <v>2</v>
      </c>
      <c r="G331" s="369">
        <f>VLOOKUP(C331,METADATA!$J$5:$Q$29,IF(E331="HI",2,IF(E331="LO",6,10))+IF(D331=1,2,IF(D331=7,1,(IF(WEEKDAY(B331)=1,2,IF(WEEKDAY(B331)=7,1,0))))))</f>
        <v>2</v>
      </c>
      <c r="H331" s="370">
        <v>12206.194702148438</v>
      </c>
      <c r="I331" s="370">
        <v>1441.4164867401123</v>
      </c>
      <c r="M331" s="371">
        <f t="shared" si="21"/>
        <v>12291.007712754996</v>
      </c>
      <c r="N331" s="329">
        <f t="shared" si="22"/>
        <v>0</v>
      </c>
      <c r="T331" s="331">
        <v>0</v>
      </c>
      <c r="U331" s="328">
        <f>VLOOKUP(C331,METADATA!$J$5:$Q$29,IF(E331="HI",2,IF(E331="LO",6,10))+IF(T331=1,2,IF(D331=7,1,(IF(WEEKDAY(B331)=1,2,IF(WEEKDAY(B331)=7,1,0))))))</f>
        <v>2</v>
      </c>
      <c r="V331" s="328">
        <f>VLOOKUP(C331,METADATA!$A$5:$H$29,IF(E331="HI",2,IF(E331="LO",6,10))+IF(T331=1,2,IF(D331=7,1,(IF(WEEKDAY(B331)=1,2,IF(WEEKDAY(B331)=7,1,0))))))</f>
        <v>2</v>
      </c>
    </row>
    <row r="332" spans="2:22">
      <c r="B332" s="318">
        <f t="shared" si="19"/>
        <v>46126</v>
      </c>
      <c r="C332" s="312">
        <v>16</v>
      </c>
      <c r="D332" s="368">
        <f>IFERROR((INDEX(METADATA!$T$2:$T$20,MATCH(B332,METADATA!$S$2:$S$20,0))),0)</f>
        <v>0</v>
      </c>
      <c r="E332" s="312" t="str">
        <f t="shared" si="20"/>
        <v>LO</v>
      </c>
      <c r="F332" s="369">
        <f>VLOOKUP(C332,METADATA!$A$5:$H$29,IF(E332="HI",2,IF(E332="LO",6,10))+IF(D332=1,2,IF(D332=7,1,(IF(WEEKDAY(B332)=1,2,IF(WEEKDAY(B332)=7,1,0))))))</f>
        <v>2</v>
      </c>
      <c r="G332" s="369">
        <f>VLOOKUP(C332,METADATA!$J$5:$Q$29,IF(E332="HI",2,IF(E332="LO",6,10))+IF(D332=1,2,IF(D332=7,1,(IF(WEEKDAY(B332)=1,2,IF(WEEKDAY(B332)=7,1,0))))))</f>
        <v>2</v>
      </c>
      <c r="H332" s="370">
        <v>13550.579895019531</v>
      </c>
      <c r="I332" s="370">
        <v>2363.2075042724609</v>
      </c>
      <c r="M332" s="371">
        <f t="shared" si="21"/>
        <v>13755.106877067774</v>
      </c>
      <c r="N332" s="329">
        <f t="shared" si="22"/>
        <v>0</v>
      </c>
      <c r="T332" s="331">
        <v>0</v>
      </c>
      <c r="U332" s="328">
        <f>VLOOKUP(C332,METADATA!$J$5:$Q$29,IF(E332="HI",2,IF(E332="LO",6,10))+IF(T332=1,2,IF(D332=7,1,(IF(WEEKDAY(B332)=1,2,IF(WEEKDAY(B332)=7,1,0))))))</f>
        <v>2</v>
      </c>
      <c r="V332" s="328">
        <f>VLOOKUP(C332,METADATA!$A$5:$H$29,IF(E332="HI",2,IF(E332="LO",6,10))+IF(T332=1,2,IF(D332=7,1,(IF(WEEKDAY(B332)=1,2,IF(WEEKDAY(B332)=7,1,0))))))</f>
        <v>2</v>
      </c>
    </row>
    <row r="333" spans="2:22">
      <c r="B333" s="318">
        <f t="shared" si="19"/>
        <v>46126</v>
      </c>
      <c r="C333" s="312">
        <v>17</v>
      </c>
      <c r="D333" s="368">
        <f>IFERROR((INDEX(METADATA!$T$2:$T$20,MATCH(B333,METADATA!$S$2:$S$20,0))),0)</f>
        <v>0</v>
      </c>
      <c r="E333" s="312" t="str">
        <f t="shared" si="20"/>
        <v>LO</v>
      </c>
      <c r="F333" s="369">
        <f>VLOOKUP(C333,METADATA!$A$5:$H$29,IF(E333="HI",2,IF(E333="LO",6,10))+IF(D333=1,2,IF(D333=7,1,(IF(WEEKDAY(B333)=1,2,IF(WEEKDAY(B333)=7,1,0))))))</f>
        <v>2</v>
      </c>
      <c r="G333" s="369">
        <f>VLOOKUP(C333,METADATA!$J$5:$Q$29,IF(E333="HI",2,IF(E333="LO",6,10))+IF(D333=1,2,IF(D333=7,1,(IF(WEEKDAY(B333)=1,2,IF(WEEKDAY(B333)=7,1,0))))))</f>
        <v>2</v>
      </c>
      <c r="H333" s="370">
        <v>11452.779998779297</v>
      </c>
      <c r="I333" s="370">
        <v>1890.9385437965393</v>
      </c>
      <c r="M333" s="371">
        <f t="shared" si="21"/>
        <v>11607.834349130526</v>
      </c>
      <c r="N333" s="329">
        <f t="shared" si="22"/>
        <v>0</v>
      </c>
      <c r="T333" s="331">
        <v>0</v>
      </c>
      <c r="U333" s="328">
        <f>VLOOKUP(C333,METADATA!$J$5:$Q$29,IF(E333="HI",2,IF(E333="LO",6,10))+IF(T333=1,2,IF(D333=7,1,(IF(WEEKDAY(B333)=1,2,IF(WEEKDAY(B333)=7,1,0))))))</f>
        <v>2</v>
      </c>
      <c r="V333" s="328">
        <f>VLOOKUP(C333,METADATA!$A$5:$H$29,IF(E333="HI",2,IF(E333="LO",6,10))+IF(T333=1,2,IF(D333=7,1,(IF(WEEKDAY(B333)=1,2,IF(WEEKDAY(B333)=7,1,0))))))</f>
        <v>2</v>
      </c>
    </row>
    <row r="334" spans="2:22">
      <c r="B334" s="318">
        <f t="shared" si="19"/>
        <v>46126</v>
      </c>
      <c r="C334" s="312">
        <v>18</v>
      </c>
      <c r="D334" s="368">
        <f>IFERROR((INDEX(METADATA!$T$2:$T$20,MATCH(B334,METADATA!$S$2:$S$20,0))),0)</f>
        <v>0</v>
      </c>
      <c r="E334" s="312" t="str">
        <f t="shared" si="20"/>
        <v>LO</v>
      </c>
      <c r="F334" s="369">
        <f>VLOOKUP(C334,METADATA!$A$5:$H$29,IF(E334="HI",2,IF(E334="LO",6,10))+IF(D334=1,2,IF(D334=7,1,(IF(WEEKDAY(B334)=1,2,IF(WEEKDAY(B334)=7,1,0))))))</f>
        <v>1</v>
      </c>
      <c r="G334" s="369">
        <f>VLOOKUP(C334,METADATA!$J$5:$Q$29,IF(E334="HI",2,IF(E334="LO",6,10))+IF(D334=1,2,IF(D334=7,1,(IF(WEEKDAY(B334)=1,2,IF(WEEKDAY(B334)=7,1,0))))))</f>
        <v>1</v>
      </c>
      <c r="H334" s="370">
        <v>12422.094757080078</v>
      </c>
      <c r="I334" s="370">
        <v>2048.5175125002861</v>
      </c>
      <c r="M334" s="371">
        <f t="shared" si="21"/>
        <v>12589.871411293156</v>
      </c>
      <c r="N334" s="329">
        <f t="shared" si="22"/>
        <v>0</v>
      </c>
      <c r="T334" s="331">
        <v>0</v>
      </c>
      <c r="U334" s="328">
        <f>VLOOKUP(C334,METADATA!$J$5:$Q$29,IF(E334="HI",2,IF(E334="LO",6,10))+IF(T334=1,2,IF(D334=7,1,(IF(WEEKDAY(B334)=1,2,IF(WEEKDAY(B334)=7,1,0))))))</f>
        <v>1</v>
      </c>
      <c r="V334" s="328">
        <f>VLOOKUP(C334,METADATA!$A$5:$H$29,IF(E334="HI",2,IF(E334="LO",6,10))+IF(T334=1,2,IF(D334=7,1,(IF(WEEKDAY(B334)=1,2,IF(WEEKDAY(B334)=7,1,0))))))</f>
        <v>1</v>
      </c>
    </row>
    <row r="335" spans="2:22">
      <c r="B335" s="318">
        <f t="shared" si="19"/>
        <v>46126</v>
      </c>
      <c r="C335" s="312">
        <v>19</v>
      </c>
      <c r="D335" s="368">
        <f>IFERROR((INDEX(METADATA!$T$2:$T$20,MATCH(B335,METADATA!$S$2:$S$20,0))),0)</f>
        <v>0</v>
      </c>
      <c r="E335" s="312" t="str">
        <f t="shared" si="20"/>
        <v>LO</v>
      </c>
      <c r="F335" s="369">
        <f>VLOOKUP(C335,METADATA!$A$5:$H$29,IF(E335="HI",2,IF(E335="LO",6,10))+IF(D335=1,2,IF(D335=7,1,(IF(WEEKDAY(B335)=1,2,IF(WEEKDAY(B335)=7,1,0))))))</f>
        <v>1</v>
      </c>
      <c r="G335" s="369">
        <f>VLOOKUP(C335,METADATA!$J$5:$Q$29,IF(E335="HI",2,IF(E335="LO",6,10))+IF(D335=1,2,IF(D335=7,1,(IF(WEEKDAY(B335)=1,2,IF(WEEKDAY(B335)=7,1,0))))))</f>
        <v>1</v>
      </c>
      <c r="H335" s="370">
        <v>13658.655151367188</v>
      </c>
      <c r="I335" s="370">
        <v>2361.8664627075195</v>
      </c>
      <c r="M335" s="371">
        <f t="shared" si="21"/>
        <v>13861.359014599973</v>
      </c>
      <c r="N335" s="329">
        <f t="shared" si="22"/>
        <v>0</v>
      </c>
      <c r="T335" s="331">
        <v>0</v>
      </c>
      <c r="U335" s="328">
        <f>VLOOKUP(C335,METADATA!$J$5:$Q$29,IF(E335="HI",2,IF(E335="LO",6,10))+IF(T335=1,2,IF(D335=7,1,(IF(WEEKDAY(B335)=1,2,IF(WEEKDAY(B335)=7,1,0))))))</f>
        <v>1</v>
      </c>
      <c r="V335" s="328">
        <f>VLOOKUP(C335,METADATA!$A$5:$H$29,IF(E335="HI",2,IF(E335="LO",6,10))+IF(T335=1,2,IF(D335=7,1,(IF(WEEKDAY(B335)=1,2,IF(WEEKDAY(B335)=7,1,0))))))</f>
        <v>1</v>
      </c>
    </row>
    <row r="336" spans="2:22">
      <c r="B336" s="318">
        <f t="shared" si="19"/>
        <v>46126</v>
      </c>
      <c r="C336" s="312">
        <v>20</v>
      </c>
      <c r="D336" s="368">
        <f>IFERROR((INDEX(METADATA!$T$2:$T$20,MATCH(B336,METADATA!$S$2:$S$20,0))),0)</f>
        <v>0</v>
      </c>
      <c r="E336" s="312" t="str">
        <f t="shared" si="20"/>
        <v>LO</v>
      </c>
      <c r="F336" s="369">
        <f>VLOOKUP(C336,METADATA!$A$5:$H$29,IF(E336="HI",2,IF(E336="LO",6,10))+IF(D336=1,2,IF(D336=7,1,(IF(WEEKDAY(B336)=1,2,IF(WEEKDAY(B336)=7,1,0))))))</f>
        <v>1</v>
      </c>
      <c r="G336" s="369">
        <f>VLOOKUP(C336,METADATA!$J$5:$Q$29,IF(E336="HI",2,IF(E336="LO",6,10))+IF(D336=1,2,IF(D336=7,1,(IF(WEEKDAY(B336)=1,2,IF(WEEKDAY(B336)=7,1,0))))))</f>
        <v>1</v>
      </c>
      <c r="H336" s="370">
        <v>13688.90478515625</v>
      </c>
      <c r="I336" s="370">
        <v>2389.7514629364014</v>
      </c>
      <c r="M336" s="371">
        <f t="shared" si="21"/>
        <v>13895.935602602667</v>
      </c>
      <c r="N336" s="329">
        <f t="shared" si="22"/>
        <v>0</v>
      </c>
      <c r="T336" s="331">
        <v>0</v>
      </c>
      <c r="U336" s="328">
        <f>VLOOKUP(C336,METADATA!$J$5:$Q$29,IF(E336="HI",2,IF(E336="LO",6,10))+IF(T336=1,2,IF(D336=7,1,(IF(WEEKDAY(B336)=1,2,IF(WEEKDAY(B336)=7,1,0))))))</f>
        <v>1</v>
      </c>
      <c r="V336" s="328">
        <f>VLOOKUP(C336,METADATA!$A$5:$H$29,IF(E336="HI",2,IF(E336="LO",6,10))+IF(T336=1,2,IF(D336=7,1,(IF(WEEKDAY(B336)=1,2,IF(WEEKDAY(B336)=7,1,0))))))</f>
        <v>1</v>
      </c>
    </row>
    <row r="337" spans="2:22">
      <c r="B337" s="318">
        <f t="shared" si="19"/>
        <v>46126</v>
      </c>
      <c r="C337" s="312">
        <v>21</v>
      </c>
      <c r="D337" s="368">
        <f>IFERROR((INDEX(METADATA!$T$2:$T$20,MATCH(B337,METADATA!$S$2:$S$20,0))),0)</f>
        <v>0</v>
      </c>
      <c r="E337" s="312" t="str">
        <f t="shared" si="20"/>
        <v>LO</v>
      </c>
      <c r="F337" s="369">
        <f>VLOOKUP(C337,METADATA!$A$5:$H$29,IF(E337="HI",2,IF(E337="LO",6,10))+IF(D337=1,2,IF(D337=7,1,(IF(WEEKDAY(B337)=1,2,IF(WEEKDAY(B337)=7,1,0))))))</f>
        <v>2</v>
      </c>
      <c r="G337" s="369">
        <f>VLOOKUP(C337,METADATA!$J$5:$Q$29,IF(E337="HI",2,IF(E337="LO",6,10))+IF(D337=1,2,IF(D337=7,1,(IF(WEEKDAY(B337)=1,2,IF(WEEKDAY(B337)=7,1,0))))))</f>
        <v>2</v>
      </c>
      <c r="H337" s="370">
        <v>13656.799926757813</v>
      </c>
      <c r="I337" s="370">
        <v>2431.7504768371582</v>
      </c>
      <c r="M337" s="371">
        <f t="shared" si="21"/>
        <v>13871.61110401708</v>
      </c>
      <c r="N337" s="329">
        <f t="shared" si="22"/>
        <v>0</v>
      </c>
      <c r="T337" s="331">
        <v>0</v>
      </c>
      <c r="U337" s="328">
        <f>VLOOKUP(C337,METADATA!$J$5:$Q$29,IF(E337="HI",2,IF(E337="LO",6,10))+IF(T337=1,2,IF(D337=7,1,(IF(WEEKDAY(B337)=1,2,IF(WEEKDAY(B337)=7,1,0))))))</f>
        <v>2</v>
      </c>
      <c r="V337" s="328">
        <f>VLOOKUP(C337,METADATA!$A$5:$H$29,IF(E337="HI",2,IF(E337="LO",6,10))+IF(T337=1,2,IF(D337=7,1,(IF(WEEKDAY(B337)=1,2,IF(WEEKDAY(B337)=7,1,0))))))</f>
        <v>2</v>
      </c>
    </row>
    <row r="338" spans="2:22">
      <c r="B338" s="318">
        <f t="shared" si="19"/>
        <v>46126</v>
      </c>
      <c r="C338" s="312">
        <v>22</v>
      </c>
      <c r="D338" s="368">
        <f>IFERROR((INDEX(METADATA!$T$2:$T$20,MATCH(B338,METADATA!$S$2:$S$20,0))),0)</f>
        <v>0</v>
      </c>
      <c r="E338" s="312" t="str">
        <f t="shared" si="20"/>
        <v>LO</v>
      </c>
      <c r="F338" s="369">
        <f>VLOOKUP(C338,METADATA!$A$5:$H$29,IF(E338="HI",2,IF(E338="LO",6,10))+IF(D338=1,2,IF(D338=7,1,(IF(WEEKDAY(B338)=1,2,IF(WEEKDAY(B338)=7,1,0))))))</f>
        <v>3</v>
      </c>
      <c r="G338" s="369">
        <f>VLOOKUP(C338,METADATA!$J$5:$Q$29,IF(E338="HI",2,IF(E338="LO",6,10))+IF(D338=1,2,IF(D338=7,1,(IF(WEEKDAY(B338)=1,2,IF(WEEKDAY(B338)=7,1,0))))))</f>
        <v>3</v>
      </c>
      <c r="H338" s="370">
        <v>13599.47998046875</v>
      </c>
      <c r="I338" s="370">
        <v>2445.721040725708</v>
      </c>
      <c r="M338" s="371">
        <f t="shared" si="21"/>
        <v>13817.648394289774</v>
      </c>
      <c r="N338" s="329">
        <f t="shared" si="22"/>
        <v>0</v>
      </c>
      <c r="T338" s="331">
        <v>0</v>
      </c>
      <c r="U338" s="328">
        <f>VLOOKUP(C338,METADATA!$J$5:$Q$29,IF(E338="HI",2,IF(E338="LO",6,10))+IF(T338=1,2,IF(D338=7,1,(IF(WEEKDAY(B338)=1,2,IF(WEEKDAY(B338)=7,1,0))))))</f>
        <v>3</v>
      </c>
      <c r="V338" s="328">
        <f>VLOOKUP(C338,METADATA!$A$5:$H$29,IF(E338="HI",2,IF(E338="LO",6,10))+IF(T338=1,2,IF(D338=7,1,(IF(WEEKDAY(B338)=1,2,IF(WEEKDAY(B338)=7,1,0))))))</f>
        <v>3</v>
      </c>
    </row>
    <row r="339" spans="2:22">
      <c r="B339" s="318">
        <f t="shared" si="19"/>
        <v>46126</v>
      </c>
      <c r="C339" s="312">
        <v>23</v>
      </c>
      <c r="D339" s="368">
        <f>IFERROR((INDEX(METADATA!$T$2:$T$20,MATCH(B339,METADATA!$S$2:$S$20,0))),0)</f>
        <v>0</v>
      </c>
      <c r="E339" s="312" t="str">
        <f t="shared" si="20"/>
        <v>LO</v>
      </c>
      <c r="F339" s="369">
        <f>VLOOKUP(C339,METADATA!$A$5:$H$29,IF(E339="HI",2,IF(E339="LO",6,10))+IF(D339=1,2,IF(D339=7,1,(IF(WEEKDAY(B339)=1,2,IF(WEEKDAY(B339)=7,1,0))))))</f>
        <v>3</v>
      </c>
      <c r="G339" s="369">
        <f>VLOOKUP(C339,METADATA!$J$5:$Q$29,IF(E339="HI",2,IF(E339="LO",6,10))+IF(D339=1,2,IF(D339=7,1,(IF(WEEKDAY(B339)=1,2,IF(WEEKDAY(B339)=7,1,0))))))</f>
        <v>3</v>
      </c>
      <c r="H339" s="370">
        <v>13684.974914550781</v>
      </c>
      <c r="I339" s="370">
        <v>2460.5749988555908</v>
      </c>
      <c r="M339" s="371">
        <f t="shared" si="21"/>
        <v>13904.42259631364</v>
      </c>
      <c r="N339" s="329">
        <f t="shared" si="22"/>
        <v>0</v>
      </c>
      <c r="T339" s="331">
        <v>0</v>
      </c>
      <c r="U339" s="328">
        <f>VLOOKUP(C339,METADATA!$J$5:$Q$29,IF(E339="HI",2,IF(E339="LO",6,10))+IF(T339=1,2,IF(D339=7,1,(IF(WEEKDAY(B339)=1,2,IF(WEEKDAY(B339)=7,1,0))))))</f>
        <v>3</v>
      </c>
      <c r="V339" s="328">
        <f>VLOOKUP(C339,METADATA!$A$5:$H$29,IF(E339="HI",2,IF(E339="LO",6,10))+IF(T339=1,2,IF(D339=7,1,(IF(WEEKDAY(B339)=1,2,IF(WEEKDAY(B339)=7,1,0))))))</f>
        <v>3</v>
      </c>
    </row>
    <row r="340" spans="2:22">
      <c r="B340" s="318">
        <f t="shared" si="19"/>
        <v>46127</v>
      </c>
      <c r="C340" s="312">
        <v>0</v>
      </c>
      <c r="D340" s="368">
        <f>IFERROR((INDEX(METADATA!$T$2:$T$20,MATCH(B340,METADATA!$S$2:$S$20,0))),0)</f>
        <v>0</v>
      </c>
      <c r="E340" s="312" t="str">
        <f t="shared" si="20"/>
        <v>LO</v>
      </c>
      <c r="F340" s="369">
        <f>VLOOKUP(C340,METADATA!$A$5:$H$29,IF(E340="HI",2,IF(E340="LO",6,10))+IF(D340=1,2,IF(D340=7,1,(IF(WEEKDAY(B340)=1,2,IF(WEEKDAY(B340)=7,1,0))))))</f>
        <v>3</v>
      </c>
      <c r="G340" s="369">
        <f>VLOOKUP(C340,METADATA!$J$5:$Q$29,IF(E340="HI",2,IF(E340="LO",6,10))+IF(D340=1,2,IF(D340=7,1,(IF(WEEKDAY(B340)=1,2,IF(WEEKDAY(B340)=7,1,0))))))</f>
        <v>3</v>
      </c>
      <c r="H340" s="370">
        <v>13622.025024414063</v>
      </c>
      <c r="I340" s="370">
        <v>2472.3174953460693</v>
      </c>
      <c r="M340" s="371">
        <f t="shared" si="21"/>
        <v>13844.562815905643</v>
      </c>
      <c r="N340" s="329">
        <f t="shared" si="22"/>
        <v>0</v>
      </c>
      <c r="T340" s="331">
        <v>0</v>
      </c>
      <c r="U340" s="328">
        <f>VLOOKUP(C340,METADATA!$J$5:$Q$29,IF(E340="HI",2,IF(E340="LO",6,10))+IF(T340=1,2,IF(D340=7,1,(IF(WEEKDAY(B340)=1,2,IF(WEEKDAY(B340)=7,1,0))))))</f>
        <v>3</v>
      </c>
      <c r="V340" s="328">
        <f>VLOOKUP(C340,METADATA!$A$5:$H$29,IF(E340="HI",2,IF(E340="LO",6,10))+IF(T340=1,2,IF(D340=7,1,(IF(WEEKDAY(B340)=1,2,IF(WEEKDAY(B340)=7,1,0))))))</f>
        <v>3</v>
      </c>
    </row>
    <row r="341" spans="2:22">
      <c r="B341" s="318">
        <f t="shared" si="19"/>
        <v>46127</v>
      </c>
      <c r="C341" s="312">
        <v>1</v>
      </c>
      <c r="D341" s="368">
        <f>IFERROR((INDEX(METADATA!$T$2:$T$20,MATCH(B341,METADATA!$S$2:$S$20,0))),0)</f>
        <v>0</v>
      </c>
      <c r="E341" s="312" t="str">
        <f t="shared" si="20"/>
        <v>LO</v>
      </c>
      <c r="F341" s="369">
        <f>VLOOKUP(C341,METADATA!$A$5:$H$29,IF(E341="HI",2,IF(E341="LO",6,10))+IF(D341=1,2,IF(D341=7,1,(IF(WEEKDAY(B341)=1,2,IF(WEEKDAY(B341)=7,1,0))))))</f>
        <v>3</v>
      </c>
      <c r="G341" s="369">
        <f>VLOOKUP(C341,METADATA!$J$5:$Q$29,IF(E341="HI",2,IF(E341="LO",6,10))+IF(D341=1,2,IF(D341=7,1,(IF(WEEKDAY(B341)=1,2,IF(WEEKDAY(B341)=7,1,0))))))</f>
        <v>3</v>
      </c>
      <c r="H341" s="370">
        <v>13400.150451660156</v>
      </c>
      <c r="I341" s="370">
        <v>2442.4500179290771</v>
      </c>
      <c r="M341" s="371">
        <f t="shared" si="21"/>
        <v>13620.924866440224</v>
      </c>
      <c r="N341" s="329">
        <f t="shared" si="22"/>
        <v>0</v>
      </c>
      <c r="T341" s="331">
        <v>0</v>
      </c>
      <c r="U341" s="328">
        <f>VLOOKUP(C341,METADATA!$J$5:$Q$29,IF(E341="HI",2,IF(E341="LO",6,10))+IF(T341=1,2,IF(D341=7,1,(IF(WEEKDAY(B341)=1,2,IF(WEEKDAY(B341)=7,1,0))))))</f>
        <v>3</v>
      </c>
      <c r="V341" s="328">
        <f>VLOOKUP(C341,METADATA!$A$5:$H$29,IF(E341="HI",2,IF(E341="LO",6,10))+IF(T341=1,2,IF(D341=7,1,(IF(WEEKDAY(B341)=1,2,IF(WEEKDAY(B341)=7,1,0))))))</f>
        <v>3</v>
      </c>
    </row>
    <row r="342" spans="2:22">
      <c r="B342" s="318">
        <f t="shared" si="19"/>
        <v>46127</v>
      </c>
      <c r="C342" s="312">
        <v>2</v>
      </c>
      <c r="D342" s="368">
        <f>IFERROR((INDEX(METADATA!$T$2:$T$20,MATCH(B342,METADATA!$S$2:$S$20,0))),0)</f>
        <v>0</v>
      </c>
      <c r="E342" s="312" t="str">
        <f t="shared" si="20"/>
        <v>LO</v>
      </c>
      <c r="F342" s="369">
        <f>VLOOKUP(C342,METADATA!$A$5:$H$29,IF(E342="HI",2,IF(E342="LO",6,10))+IF(D342=1,2,IF(D342=7,1,(IF(WEEKDAY(B342)=1,2,IF(WEEKDAY(B342)=7,1,0))))))</f>
        <v>3</v>
      </c>
      <c r="G342" s="369">
        <f>VLOOKUP(C342,METADATA!$J$5:$Q$29,IF(E342="HI",2,IF(E342="LO",6,10))+IF(D342=1,2,IF(D342=7,1,(IF(WEEKDAY(B342)=1,2,IF(WEEKDAY(B342)=7,1,0))))))</f>
        <v>3</v>
      </c>
      <c r="H342" s="370">
        <v>13467.995483398438</v>
      </c>
      <c r="I342" s="370">
        <v>2415.8399744033813</v>
      </c>
      <c r="M342" s="371">
        <f t="shared" si="21"/>
        <v>13682.952354034052</v>
      </c>
      <c r="N342" s="329">
        <f t="shared" si="22"/>
        <v>0</v>
      </c>
      <c r="T342" s="331">
        <v>0</v>
      </c>
      <c r="U342" s="328">
        <f>VLOOKUP(C342,METADATA!$J$5:$Q$29,IF(E342="HI",2,IF(E342="LO",6,10))+IF(T342=1,2,IF(D342=7,1,(IF(WEEKDAY(B342)=1,2,IF(WEEKDAY(B342)=7,1,0))))))</f>
        <v>3</v>
      </c>
      <c r="V342" s="328">
        <f>VLOOKUP(C342,METADATA!$A$5:$H$29,IF(E342="HI",2,IF(E342="LO",6,10))+IF(T342=1,2,IF(D342=7,1,(IF(WEEKDAY(B342)=1,2,IF(WEEKDAY(B342)=7,1,0))))))</f>
        <v>3</v>
      </c>
    </row>
    <row r="343" spans="2:22">
      <c r="B343" s="318">
        <f t="shared" si="19"/>
        <v>46127</v>
      </c>
      <c r="C343" s="312">
        <v>3</v>
      </c>
      <c r="D343" s="368">
        <f>IFERROR((INDEX(METADATA!$T$2:$T$20,MATCH(B343,METADATA!$S$2:$S$20,0))),0)</f>
        <v>0</v>
      </c>
      <c r="E343" s="312" t="str">
        <f t="shared" si="20"/>
        <v>LO</v>
      </c>
      <c r="F343" s="369">
        <f>VLOOKUP(C343,METADATA!$A$5:$H$29,IF(E343="HI",2,IF(E343="LO",6,10))+IF(D343=1,2,IF(D343=7,1,(IF(WEEKDAY(B343)=1,2,IF(WEEKDAY(B343)=7,1,0))))))</f>
        <v>3</v>
      </c>
      <c r="G343" s="369">
        <f>VLOOKUP(C343,METADATA!$J$5:$Q$29,IF(E343="HI",2,IF(E343="LO",6,10))+IF(D343=1,2,IF(D343=7,1,(IF(WEEKDAY(B343)=1,2,IF(WEEKDAY(B343)=7,1,0))))))</f>
        <v>3</v>
      </c>
      <c r="H343" s="370">
        <v>13105.722839355469</v>
      </c>
      <c r="I343" s="370">
        <v>2304.215014398098</v>
      </c>
      <c r="M343" s="371">
        <f t="shared" si="21"/>
        <v>13306.741824149936</v>
      </c>
      <c r="N343" s="329">
        <f t="shared" si="22"/>
        <v>0</v>
      </c>
      <c r="T343" s="331">
        <v>0</v>
      </c>
      <c r="U343" s="328">
        <f>VLOOKUP(C343,METADATA!$J$5:$Q$29,IF(E343="HI",2,IF(E343="LO",6,10))+IF(T343=1,2,IF(D343=7,1,(IF(WEEKDAY(B343)=1,2,IF(WEEKDAY(B343)=7,1,0))))))</f>
        <v>3</v>
      </c>
      <c r="V343" s="328">
        <f>VLOOKUP(C343,METADATA!$A$5:$H$29,IF(E343="HI",2,IF(E343="LO",6,10))+IF(T343=1,2,IF(D343=7,1,(IF(WEEKDAY(B343)=1,2,IF(WEEKDAY(B343)=7,1,0))))))</f>
        <v>3</v>
      </c>
    </row>
    <row r="344" spans="2:22">
      <c r="B344" s="318">
        <f t="shared" si="19"/>
        <v>46127</v>
      </c>
      <c r="C344" s="312">
        <v>4</v>
      </c>
      <c r="D344" s="368">
        <f>IFERROR((INDEX(METADATA!$T$2:$T$20,MATCH(B344,METADATA!$S$2:$S$20,0))),0)</f>
        <v>0</v>
      </c>
      <c r="E344" s="312" t="str">
        <f t="shared" si="20"/>
        <v>LO</v>
      </c>
      <c r="F344" s="369">
        <f>VLOOKUP(C344,METADATA!$A$5:$H$29,IF(E344="HI",2,IF(E344="LO",6,10))+IF(D344=1,2,IF(D344=7,1,(IF(WEEKDAY(B344)=1,2,IF(WEEKDAY(B344)=7,1,0))))))</f>
        <v>3</v>
      </c>
      <c r="G344" s="369">
        <f>VLOOKUP(C344,METADATA!$J$5:$Q$29,IF(E344="HI",2,IF(E344="LO",6,10))+IF(D344=1,2,IF(D344=7,1,(IF(WEEKDAY(B344)=1,2,IF(WEEKDAY(B344)=7,1,0))))))</f>
        <v>3</v>
      </c>
      <c r="H344" s="370">
        <v>11377.994812011719</v>
      </c>
      <c r="I344" s="370">
        <v>1834.3220378418919</v>
      </c>
      <c r="M344" s="371">
        <f t="shared" si="21"/>
        <v>11524.9079510718</v>
      </c>
      <c r="N344" s="329">
        <f t="shared" si="22"/>
        <v>0</v>
      </c>
      <c r="T344" s="331">
        <v>0</v>
      </c>
      <c r="U344" s="328">
        <f>VLOOKUP(C344,METADATA!$J$5:$Q$29,IF(E344="HI",2,IF(E344="LO",6,10))+IF(T344=1,2,IF(D344=7,1,(IF(WEEKDAY(B344)=1,2,IF(WEEKDAY(B344)=7,1,0))))))</f>
        <v>3</v>
      </c>
      <c r="V344" s="328">
        <f>VLOOKUP(C344,METADATA!$A$5:$H$29,IF(E344="HI",2,IF(E344="LO",6,10))+IF(T344=1,2,IF(D344=7,1,(IF(WEEKDAY(B344)=1,2,IF(WEEKDAY(B344)=7,1,0))))))</f>
        <v>3</v>
      </c>
    </row>
    <row r="345" spans="2:22">
      <c r="B345" s="318">
        <f t="shared" si="19"/>
        <v>46127</v>
      </c>
      <c r="C345" s="312">
        <v>5</v>
      </c>
      <c r="D345" s="368">
        <f>IFERROR((INDEX(METADATA!$T$2:$T$20,MATCH(B345,METADATA!$S$2:$S$20,0))),0)</f>
        <v>0</v>
      </c>
      <c r="E345" s="312" t="str">
        <f t="shared" si="20"/>
        <v>LO</v>
      </c>
      <c r="F345" s="369">
        <f>VLOOKUP(C345,METADATA!$A$5:$H$29,IF(E345="HI",2,IF(E345="LO",6,10))+IF(D345=1,2,IF(D345=7,1,(IF(WEEKDAY(B345)=1,2,IF(WEEKDAY(B345)=7,1,0))))))</f>
        <v>3</v>
      </c>
      <c r="G345" s="369">
        <f>VLOOKUP(C345,METADATA!$J$5:$Q$29,IF(E345="HI",2,IF(E345="LO",6,10))+IF(D345=1,2,IF(D345=7,1,(IF(WEEKDAY(B345)=1,2,IF(WEEKDAY(B345)=7,1,0))))))</f>
        <v>3</v>
      </c>
      <c r="H345" s="370">
        <v>11477.640319824219</v>
      </c>
      <c r="I345" s="370">
        <v>1956.2400207519531</v>
      </c>
      <c r="M345" s="371">
        <f t="shared" si="21"/>
        <v>11643.156888492322</v>
      </c>
      <c r="N345" s="329">
        <f t="shared" si="22"/>
        <v>0</v>
      </c>
      <c r="T345" s="331">
        <v>0</v>
      </c>
      <c r="U345" s="328">
        <f>VLOOKUP(C345,METADATA!$J$5:$Q$29,IF(E345="HI",2,IF(E345="LO",6,10))+IF(T345=1,2,IF(D345=7,1,(IF(WEEKDAY(B345)=1,2,IF(WEEKDAY(B345)=7,1,0))))))</f>
        <v>3</v>
      </c>
      <c r="V345" s="328">
        <f>VLOOKUP(C345,METADATA!$A$5:$H$29,IF(E345="HI",2,IF(E345="LO",6,10))+IF(T345=1,2,IF(D345=7,1,(IF(WEEKDAY(B345)=1,2,IF(WEEKDAY(B345)=7,1,0))))))</f>
        <v>3</v>
      </c>
    </row>
    <row r="346" spans="2:22">
      <c r="B346" s="318">
        <f t="shared" si="19"/>
        <v>46127</v>
      </c>
      <c r="C346" s="312">
        <v>6</v>
      </c>
      <c r="D346" s="368">
        <f>IFERROR((INDEX(METADATA!$T$2:$T$20,MATCH(B346,METADATA!$S$2:$S$20,0))),0)</f>
        <v>0</v>
      </c>
      <c r="E346" s="312" t="str">
        <f t="shared" si="20"/>
        <v>LO</v>
      </c>
      <c r="F346" s="369">
        <f>VLOOKUP(C346,METADATA!$A$5:$H$29,IF(E346="HI",2,IF(E346="LO",6,10))+IF(D346=1,2,IF(D346=7,1,(IF(WEEKDAY(B346)=1,2,IF(WEEKDAY(B346)=7,1,0))))))</f>
        <v>2</v>
      </c>
      <c r="G346" s="369">
        <f>VLOOKUP(C346,METADATA!$J$5:$Q$29,IF(E346="HI",2,IF(E346="LO",6,10))+IF(D346=1,2,IF(D346=7,1,(IF(WEEKDAY(B346)=1,2,IF(WEEKDAY(B346)=7,1,0))))))</f>
        <v>2</v>
      </c>
      <c r="H346" s="370">
        <v>11469.855041503906</v>
      </c>
      <c r="I346" s="370">
        <v>1903.1999816894531</v>
      </c>
      <c r="M346" s="371">
        <f t="shared" si="21"/>
        <v>11626.682452162153</v>
      </c>
      <c r="N346" s="329">
        <f t="shared" si="22"/>
        <v>0</v>
      </c>
      <c r="T346" s="331">
        <v>0</v>
      </c>
      <c r="U346" s="328">
        <f>VLOOKUP(C346,METADATA!$J$5:$Q$29,IF(E346="HI",2,IF(E346="LO",6,10))+IF(T346=1,2,IF(D346=7,1,(IF(WEEKDAY(B346)=1,2,IF(WEEKDAY(B346)=7,1,0))))))</f>
        <v>2</v>
      </c>
      <c r="V346" s="328">
        <f>VLOOKUP(C346,METADATA!$A$5:$H$29,IF(E346="HI",2,IF(E346="LO",6,10))+IF(T346=1,2,IF(D346=7,1,(IF(WEEKDAY(B346)=1,2,IF(WEEKDAY(B346)=7,1,0))))))</f>
        <v>2</v>
      </c>
    </row>
    <row r="347" spans="2:22">
      <c r="B347" s="318">
        <f t="shared" si="19"/>
        <v>46127</v>
      </c>
      <c r="C347" s="312">
        <v>7</v>
      </c>
      <c r="D347" s="368">
        <f>IFERROR((INDEX(METADATA!$T$2:$T$20,MATCH(B347,METADATA!$S$2:$S$20,0))),0)</f>
        <v>0</v>
      </c>
      <c r="E347" s="312" t="str">
        <f t="shared" si="20"/>
        <v>LO</v>
      </c>
      <c r="F347" s="369">
        <f>VLOOKUP(C347,METADATA!$A$5:$H$29,IF(E347="HI",2,IF(E347="LO",6,10))+IF(D347=1,2,IF(D347=7,1,(IF(WEEKDAY(B347)=1,2,IF(WEEKDAY(B347)=7,1,0))))))</f>
        <v>1</v>
      </c>
      <c r="G347" s="369">
        <f>VLOOKUP(C347,METADATA!$J$5:$Q$29,IF(E347="HI",2,IF(E347="LO",6,10))+IF(D347=1,2,IF(D347=7,1,(IF(WEEKDAY(B347)=1,2,IF(WEEKDAY(B347)=7,1,0))))))</f>
        <v>1</v>
      </c>
      <c r="H347" s="370">
        <v>11580.862426757813</v>
      </c>
      <c r="I347" s="370">
        <v>1867.7999572753906</v>
      </c>
      <c r="M347" s="371">
        <f t="shared" si="21"/>
        <v>11730.51794371795</v>
      </c>
      <c r="N347" s="329">
        <f t="shared" si="22"/>
        <v>0</v>
      </c>
      <c r="T347" s="331">
        <v>0</v>
      </c>
      <c r="U347" s="328">
        <f>VLOOKUP(C347,METADATA!$J$5:$Q$29,IF(E347="HI",2,IF(E347="LO",6,10))+IF(T347=1,2,IF(D347=7,1,(IF(WEEKDAY(B347)=1,2,IF(WEEKDAY(B347)=7,1,0))))))</f>
        <v>1</v>
      </c>
      <c r="V347" s="328">
        <f>VLOOKUP(C347,METADATA!$A$5:$H$29,IF(E347="HI",2,IF(E347="LO",6,10))+IF(T347=1,2,IF(D347=7,1,(IF(WEEKDAY(B347)=1,2,IF(WEEKDAY(B347)=7,1,0))))))</f>
        <v>1</v>
      </c>
    </row>
    <row r="348" spans="2:22">
      <c r="B348" s="318">
        <f t="shared" ref="B348:B411" si="23">B324+1</f>
        <v>46127</v>
      </c>
      <c r="C348" s="312">
        <v>8</v>
      </c>
      <c r="D348" s="368">
        <f>IFERROR((INDEX(METADATA!$T$2:$T$20,MATCH(B348,METADATA!$S$2:$S$20,0))),0)</f>
        <v>0</v>
      </c>
      <c r="E348" s="312" t="str">
        <f t="shared" si="20"/>
        <v>LO</v>
      </c>
      <c r="F348" s="369">
        <f>VLOOKUP(C348,METADATA!$A$5:$H$29,IF(E348="HI",2,IF(E348="LO",6,10))+IF(D348=1,2,IF(D348=7,1,(IF(WEEKDAY(B348)=1,2,IF(WEEKDAY(B348)=7,1,0))))))</f>
        <v>1</v>
      </c>
      <c r="G348" s="369">
        <f>VLOOKUP(C348,METADATA!$J$5:$Q$29,IF(E348="HI",2,IF(E348="LO",6,10))+IF(D348=1,2,IF(D348=7,1,(IF(WEEKDAY(B348)=1,2,IF(WEEKDAY(B348)=7,1,0))))))</f>
        <v>1</v>
      </c>
      <c r="H348" s="370">
        <v>12133.345123291016</v>
      </c>
      <c r="I348" s="370">
        <v>1982.2764821052551</v>
      </c>
      <c r="M348" s="371">
        <f t="shared" si="21"/>
        <v>12294.205298936466</v>
      </c>
      <c r="N348" s="329">
        <f t="shared" si="22"/>
        <v>0</v>
      </c>
      <c r="T348" s="331">
        <v>0</v>
      </c>
      <c r="U348" s="328">
        <f>VLOOKUP(C348,METADATA!$J$5:$Q$29,IF(E348="HI",2,IF(E348="LO",6,10))+IF(T348=1,2,IF(D348=7,1,(IF(WEEKDAY(B348)=1,2,IF(WEEKDAY(B348)=7,1,0))))))</f>
        <v>1</v>
      </c>
      <c r="V348" s="328">
        <f>VLOOKUP(C348,METADATA!$A$5:$H$29,IF(E348="HI",2,IF(E348="LO",6,10))+IF(T348=1,2,IF(D348=7,1,(IF(WEEKDAY(B348)=1,2,IF(WEEKDAY(B348)=7,1,0))))))</f>
        <v>1</v>
      </c>
    </row>
    <row r="349" spans="2:22">
      <c r="B349" s="318">
        <f t="shared" si="23"/>
        <v>46127</v>
      </c>
      <c r="C349" s="312">
        <v>9</v>
      </c>
      <c r="D349" s="368">
        <f>IFERROR((INDEX(METADATA!$T$2:$T$20,MATCH(B349,METADATA!$S$2:$S$20,0))),0)</f>
        <v>0</v>
      </c>
      <c r="E349" s="312" t="str">
        <f t="shared" si="20"/>
        <v>LO</v>
      </c>
      <c r="F349" s="369">
        <f>VLOOKUP(C349,METADATA!$A$5:$H$29,IF(E349="HI",2,IF(E349="LO",6,10))+IF(D349=1,2,IF(D349=7,1,(IF(WEEKDAY(B349)=1,2,IF(WEEKDAY(B349)=7,1,0))))))</f>
        <v>2</v>
      </c>
      <c r="G349" s="369">
        <f>VLOOKUP(C349,METADATA!$J$5:$Q$29,IF(E349="HI",2,IF(E349="LO",6,10))+IF(D349=1,2,IF(D349=7,1,(IF(WEEKDAY(B349)=1,2,IF(WEEKDAY(B349)=7,1,0))))))</f>
        <v>2</v>
      </c>
      <c r="H349" s="370">
        <v>13535.715026855469</v>
      </c>
      <c r="I349" s="370">
        <v>2297.5229549407959</v>
      </c>
      <c r="M349" s="371">
        <f t="shared" si="21"/>
        <v>13729.318738259406</v>
      </c>
      <c r="N349" s="329">
        <f t="shared" si="22"/>
        <v>0</v>
      </c>
      <c r="T349" s="331">
        <v>0</v>
      </c>
      <c r="U349" s="328">
        <f>VLOOKUP(C349,METADATA!$J$5:$Q$29,IF(E349="HI",2,IF(E349="LO",6,10))+IF(T349=1,2,IF(D349=7,1,(IF(WEEKDAY(B349)=1,2,IF(WEEKDAY(B349)=7,1,0))))))</f>
        <v>2</v>
      </c>
      <c r="V349" s="328">
        <f>VLOOKUP(C349,METADATA!$A$5:$H$29,IF(E349="HI",2,IF(E349="LO",6,10))+IF(T349=1,2,IF(D349=7,1,(IF(WEEKDAY(B349)=1,2,IF(WEEKDAY(B349)=7,1,0))))))</f>
        <v>2</v>
      </c>
    </row>
    <row r="350" spans="2:22">
      <c r="B350" s="318">
        <f t="shared" si="23"/>
        <v>46127</v>
      </c>
      <c r="C350" s="312">
        <v>10</v>
      </c>
      <c r="D350" s="368">
        <f>IFERROR((INDEX(METADATA!$T$2:$T$20,MATCH(B350,METADATA!$S$2:$S$20,0))),0)</f>
        <v>0</v>
      </c>
      <c r="E350" s="312" t="str">
        <f t="shared" si="20"/>
        <v>LO</v>
      </c>
      <c r="F350" s="369">
        <f>VLOOKUP(C350,METADATA!$A$5:$H$29,IF(E350="HI",2,IF(E350="LO",6,10))+IF(D350=1,2,IF(D350=7,1,(IF(WEEKDAY(B350)=1,2,IF(WEEKDAY(B350)=7,1,0))))))</f>
        <v>2</v>
      </c>
      <c r="G350" s="369">
        <f>VLOOKUP(C350,METADATA!$J$5:$Q$29,IF(E350="HI",2,IF(E350="LO",6,10))+IF(D350=1,2,IF(D350=7,1,(IF(WEEKDAY(B350)=1,2,IF(WEEKDAY(B350)=7,1,0))))))</f>
        <v>2</v>
      </c>
      <c r="H350" s="370">
        <v>13513.204956054688</v>
      </c>
      <c r="I350" s="370">
        <v>2289.3839559555054</v>
      </c>
      <c r="M350" s="371">
        <f t="shared" si="21"/>
        <v>13705.764739047852</v>
      </c>
      <c r="N350" s="329">
        <f t="shared" si="22"/>
        <v>0</v>
      </c>
      <c r="T350" s="331">
        <v>0</v>
      </c>
      <c r="U350" s="328">
        <f>VLOOKUP(C350,METADATA!$J$5:$Q$29,IF(E350="HI",2,IF(E350="LO",6,10))+IF(T350=1,2,IF(D350=7,1,(IF(WEEKDAY(B350)=1,2,IF(WEEKDAY(B350)=7,1,0))))))</f>
        <v>2</v>
      </c>
      <c r="V350" s="328">
        <f>VLOOKUP(C350,METADATA!$A$5:$H$29,IF(E350="HI",2,IF(E350="LO",6,10))+IF(T350=1,2,IF(D350=7,1,(IF(WEEKDAY(B350)=1,2,IF(WEEKDAY(B350)=7,1,0))))))</f>
        <v>2</v>
      </c>
    </row>
    <row r="351" spans="2:22">
      <c r="B351" s="318">
        <f t="shared" si="23"/>
        <v>46127</v>
      </c>
      <c r="C351" s="312">
        <v>11</v>
      </c>
      <c r="D351" s="368">
        <f>IFERROR((INDEX(METADATA!$T$2:$T$20,MATCH(B351,METADATA!$S$2:$S$20,0))),0)</f>
        <v>0</v>
      </c>
      <c r="E351" s="312" t="str">
        <f t="shared" si="20"/>
        <v>LO</v>
      </c>
      <c r="F351" s="369">
        <f>VLOOKUP(C351,METADATA!$A$5:$H$29,IF(E351="HI",2,IF(E351="LO",6,10))+IF(D351=1,2,IF(D351=7,1,(IF(WEEKDAY(B351)=1,2,IF(WEEKDAY(B351)=7,1,0))))))</f>
        <v>2</v>
      </c>
      <c r="G351" s="369">
        <f>VLOOKUP(C351,METADATA!$J$5:$Q$29,IF(E351="HI",2,IF(E351="LO",6,10))+IF(D351=1,2,IF(D351=7,1,(IF(WEEKDAY(B351)=1,2,IF(WEEKDAY(B351)=7,1,0))))))</f>
        <v>2</v>
      </c>
      <c r="H351" s="370">
        <v>13634.279968261719</v>
      </c>
      <c r="I351" s="370">
        <v>2333.3259563446045</v>
      </c>
      <c r="M351" s="371">
        <f t="shared" si="21"/>
        <v>13832.497976558472</v>
      </c>
      <c r="N351" s="329">
        <f t="shared" si="22"/>
        <v>0</v>
      </c>
      <c r="T351" s="331">
        <v>0</v>
      </c>
      <c r="U351" s="328">
        <f>VLOOKUP(C351,METADATA!$J$5:$Q$29,IF(E351="HI",2,IF(E351="LO",6,10))+IF(T351=1,2,IF(D351=7,1,(IF(WEEKDAY(B351)=1,2,IF(WEEKDAY(B351)=7,1,0))))))</f>
        <v>2</v>
      </c>
      <c r="V351" s="328">
        <f>VLOOKUP(C351,METADATA!$A$5:$H$29,IF(E351="HI",2,IF(E351="LO",6,10))+IF(T351=1,2,IF(D351=7,1,(IF(WEEKDAY(B351)=1,2,IF(WEEKDAY(B351)=7,1,0))))))</f>
        <v>2</v>
      </c>
    </row>
    <row r="352" spans="2:22">
      <c r="B352" s="318">
        <f t="shared" si="23"/>
        <v>46127</v>
      </c>
      <c r="C352" s="312">
        <v>12</v>
      </c>
      <c r="D352" s="368">
        <f>IFERROR((INDEX(METADATA!$T$2:$T$20,MATCH(B352,METADATA!$S$2:$S$20,0))),0)</f>
        <v>0</v>
      </c>
      <c r="E352" s="312" t="str">
        <f t="shared" si="20"/>
        <v>LO</v>
      </c>
      <c r="F352" s="369">
        <f>VLOOKUP(C352,METADATA!$A$5:$H$29,IF(E352="HI",2,IF(E352="LO",6,10))+IF(D352=1,2,IF(D352=7,1,(IF(WEEKDAY(B352)=1,2,IF(WEEKDAY(B352)=7,1,0))))))</f>
        <v>2</v>
      </c>
      <c r="G352" s="369">
        <f>VLOOKUP(C352,METADATA!$J$5:$Q$29,IF(E352="HI",2,IF(E352="LO",6,10))+IF(D352=1,2,IF(D352=7,1,(IF(WEEKDAY(B352)=1,2,IF(WEEKDAY(B352)=7,1,0))))))</f>
        <v>2</v>
      </c>
      <c r="H352" s="370">
        <v>13560.460021972656</v>
      </c>
      <c r="I352" s="370">
        <v>2321.5455093383789</v>
      </c>
      <c r="M352" s="371">
        <f t="shared" si="21"/>
        <v>13757.748709707117</v>
      </c>
      <c r="N352" s="329">
        <f t="shared" si="22"/>
        <v>0</v>
      </c>
      <c r="T352" s="331">
        <v>0</v>
      </c>
      <c r="U352" s="328">
        <f>VLOOKUP(C352,METADATA!$J$5:$Q$29,IF(E352="HI",2,IF(E352="LO",6,10))+IF(T352=1,2,IF(D352=7,1,(IF(WEEKDAY(B352)=1,2,IF(WEEKDAY(B352)=7,1,0))))))</f>
        <v>2</v>
      </c>
      <c r="V352" s="328">
        <f>VLOOKUP(C352,METADATA!$A$5:$H$29,IF(E352="HI",2,IF(E352="LO",6,10))+IF(T352=1,2,IF(D352=7,1,(IF(WEEKDAY(B352)=1,2,IF(WEEKDAY(B352)=7,1,0))))))</f>
        <v>2</v>
      </c>
    </row>
    <row r="353" spans="2:22">
      <c r="B353" s="318">
        <f t="shared" si="23"/>
        <v>46127</v>
      </c>
      <c r="C353" s="312">
        <v>13</v>
      </c>
      <c r="D353" s="368">
        <f>IFERROR((INDEX(METADATA!$T$2:$T$20,MATCH(B353,METADATA!$S$2:$S$20,0))),0)</f>
        <v>0</v>
      </c>
      <c r="E353" s="312" t="str">
        <f t="shared" si="20"/>
        <v>LO</v>
      </c>
      <c r="F353" s="369">
        <f>VLOOKUP(C353,METADATA!$A$5:$H$29,IF(E353="HI",2,IF(E353="LO",6,10))+IF(D353=1,2,IF(D353=7,1,(IF(WEEKDAY(B353)=1,2,IF(WEEKDAY(B353)=7,1,0))))))</f>
        <v>2</v>
      </c>
      <c r="G353" s="369">
        <f>VLOOKUP(C353,METADATA!$J$5:$Q$29,IF(E353="HI",2,IF(E353="LO",6,10))+IF(D353=1,2,IF(D353=7,1,(IF(WEEKDAY(B353)=1,2,IF(WEEKDAY(B353)=7,1,0))))))</f>
        <v>2</v>
      </c>
      <c r="H353" s="370">
        <v>13462.260375976563</v>
      </c>
      <c r="I353" s="370">
        <v>1953.143985748291</v>
      </c>
      <c r="M353" s="371">
        <f t="shared" si="21"/>
        <v>13603.206455084526</v>
      </c>
      <c r="N353" s="329">
        <f t="shared" si="22"/>
        <v>0</v>
      </c>
      <c r="T353" s="331">
        <v>0</v>
      </c>
      <c r="U353" s="328">
        <f>VLOOKUP(C353,METADATA!$J$5:$Q$29,IF(E353="HI",2,IF(E353="LO",6,10))+IF(T353=1,2,IF(D353=7,1,(IF(WEEKDAY(B353)=1,2,IF(WEEKDAY(B353)=7,1,0))))))</f>
        <v>2</v>
      </c>
      <c r="V353" s="328">
        <f>VLOOKUP(C353,METADATA!$A$5:$H$29,IF(E353="HI",2,IF(E353="LO",6,10))+IF(T353=1,2,IF(D353=7,1,(IF(WEEKDAY(B353)=1,2,IF(WEEKDAY(B353)=7,1,0))))))</f>
        <v>2</v>
      </c>
    </row>
    <row r="354" spans="2:22">
      <c r="B354" s="318">
        <f t="shared" si="23"/>
        <v>46127</v>
      </c>
      <c r="C354" s="312">
        <v>14</v>
      </c>
      <c r="D354" s="368">
        <f>IFERROR((INDEX(METADATA!$T$2:$T$20,MATCH(B354,METADATA!$S$2:$S$20,0))),0)</f>
        <v>0</v>
      </c>
      <c r="E354" s="312" t="str">
        <f t="shared" si="20"/>
        <v>LO</v>
      </c>
      <c r="F354" s="369">
        <f>VLOOKUP(C354,METADATA!$A$5:$H$29,IF(E354="HI",2,IF(E354="LO",6,10))+IF(D354=1,2,IF(D354=7,1,(IF(WEEKDAY(B354)=1,2,IF(WEEKDAY(B354)=7,1,0))))))</f>
        <v>2</v>
      </c>
      <c r="G354" s="369">
        <f>VLOOKUP(C354,METADATA!$J$5:$Q$29,IF(E354="HI",2,IF(E354="LO",6,10))+IF(D354=1,2,IF(D354=7,1,(IF(WEEKDAY(B354)=1,2,IF(WEEKDAY(B354)=7,1,0))))))</f>
        <v>2</v>
      </c>
      <c r="H354" s="370">
        <v>13083.339904785156</v>
      </c>
      <c r="I354" s="370">
        <v>1576.0309715270996</v>
      </c>
      <c r="M354" s="371">
        <f t="shared" si="21"/>
        <v>13177.923079429334</v>
      </c>
      <c r="N354" s="329">
        <f t="shared" si="22"/>
        <v>0</v>
      </c>
      <c r="T354" s="331">
        <v>0</v>
      </c>
      <c r="U354" s="328">
        <f>VLOOKUP(C354,METADATA!$J$5:$Q$29,IF(E354="HI",2,IF(E354="LO",6,10))+IF(T354=1,2,IF(D354=7,1,(IF(WEEKDAY(B354)=1,2,IF(WEEKDAY(B354)=7,1,0))))))</f>
        <v>2</v>
      </c>
      <c r="V354" s="328">
        <f>VLOOKUP(C354,METADATA!$A$5:$H$29,IF(E354="HI",2,IF(E354="LO",6,10))+IF(T354=1,2,IF(D354=7,1,(IF(WEEKDAY(B354)=1,2,IF(WEEKDAY(B354)=7,1,0))))))</f>
        <v>2</v>
      </c>
    </row>
    <row r="355" spans="2:22">
      <c r="B355" s="318">
        <f t="shared" si="23"/>
        <v>46127</v>
      </c>
      <c r="C355" s="312">
        <v>15</v>
      </c>
      <c r="D355" s="368">
        <f>IFERROR((INDEX(METADATA!$T$2:$T$20,MATCH(B355,METADATA!$S$2:$S$20,0))),0)</f>
        <v>0</v>
      </c>
      <c r="E355" s="312" t="str">
        <f t="shared" si="20"/>
        <v>LO</v>
      </c>
      <c r="F355" s="369">
        <f>VLOOKUP(C355,METADATA!$A$5:$H$29,IF(E355="HI",2,IF(E355="LO",6,10))+IF(D355=1,2,IF(D355=7,1,(IF(WEEKDAY(B355)=1,2,IF(WEEKDAY(B355)=7,1,0))))))</f>
        <v>2</v>
      </c>
      <c r="G355" s="369">
        <f>VLOOKUP(C355,METADATA!$J$5:$Q$29,IF(E355="HI",2,IF(E355="LO",6,10))+IF(D355=1,2,IF(D355=7,1,(IF(WEEKDAY(B355)=1,2,IF(WEEKDAY(B355)=7,1,0))))))</f>
        <v>2</v>
      </c>
      <c r="H355" s="370">
        <v>13131.43505859375</v>
      </c>
      <c r="I355" s="370">
        <v>1763.78297996521</v>
      </c>
      <c r="M355" s="371">
        <f t="shared" si="21"/>
        <v>13249.359120292573</v>
      </c>
      <c r="N355" s="329">
        <f t="shared" si="22"/>
        <v>0</v>
      </c>
      <c r="T355" s="331">
        <v>0</v>
      </c>
      <c r="U355" s="328">
        <f>VLOOKUP(C355,METADATA!$J$5:$Q$29,IF(E355="HI",2,IF(E355="LO",6,10))+IF(T355=1,2,IF(D355=7,1,(IF(WEEKDAY(B355)=1,2,IF(WEEKDAY(B355)=7,1,0))))))</f>
        <v>2</v>
      </c>
      <c r="V355" s="328">
        <f>VLOOKUP(C355,METADATA!$A$5:$H$29,IF(E355="HI",2,IF(E355="LO",6,10))+IF(T355=1,2,IF(D355=7,1,(IF(WEEKDAY(B355)=1,2,IF(WEEKDAY(B355)=7,1,0))))))</f>
        <v>2</v>
      </c>
    </row>
    <row r="356" spans="2:22">
      <c r="B356" s="318">
        <f t="shared" si="23"/>
        <v>46127</v>
      </c>
      <c r="C356" s="312">
        <v>16</v>
      </c>
      <c r="D356" s="368">
        <f>IFERROR((INDEX(METADATA!$T$2:$T$20,MATCH(B356,METADATA!$S$2:$S$20,0))),0)</f>
        <v>0</v>
      </c>
      <c r="E356" s="312" t="str">
        <f t="shared" si="20"/>
        <v>LO</v>
      </c>
      <c r="F356" s="369">
        <f>VLOOKUP(C356,METADATA!$A$5:$H$29,IF(E356="HI",2,IF(E356="LO",6,10))+IF(D356=1,2,IF(D356=7,1,(IF(WEEKDAY(B356)=1,2,IF(WEEKDAY(B356)=7,1,0))))))</f>
        <v>2</v>
      </c>
      <c r="G356" s="369">
        <f>VLOOKUP(C356,METADATA!$J$5:$Q$29,IF(E356="HI",2,IF(E356="LO",6,10))+IF(D356=1,2,IF(D356=7,1,(IF(WEEKDAY(B356)=1,2,IF(WEEKDAY(B356)=7,1,0))))))</f>
        <v>2</v>
      </c>
      <c r="H356" s="370">
        <v>11692.279998779297</v>
      </c>
      <c r="I356" s="370">
        <v>1666.803018310573</v>
      </c>
      <c r="M356" s="371">
        <f t="shared" si="21"/>
        <v>11810.488722813448</v>
      </c>
      <c r="N356" s="329">
        <f t="shared" si="22"/>
        <v>0</v>
      </c>
      <c r="T356" s="331">
        <v>0</v>
      </c>
      <c r="U356" s="328">
        <f>VLOOKUP(C356,METADATA!$J$5:$Q$29,IF(E356="HI",2,IF(E356="LO",6,10))+IF(T356=1,2,IF(D356=7,1,(IF(WEEKDAY(B356)=1,2,IF(WEEKDAY(B356)=7,1,0))))))</f>
        <v>2</v>
      </c>
      <c r="V356" s="328">
        <f>VLOOKUP(C356,METADATA!$A$5:$H$29,IF(E356="HI",2,IF(E356="LO",6,10))+IF(T356=1,2,IF(D356=7,1,(IF(WEEKDAY(B356)=1,2,IF(WEEKDAY(B356)=7,1,0))))))</f>
        <v>2</v>
      </c>
    </row>
    <row r="357" spans="2:22">
      <c r="B357" s="318">
        <f t="shared" si="23"/>
        <v>46127</v>
      </c>
      <c r="C357" s="312">
        <v>17</v>
      </c>
      <c r="D357" s="368">
        <f>IFERROR((INDEX(METADATA!$T$2:$T$20,MATCH(B357,METADATA!$S$2:$S$20,0))),0)</f>
        <v>0</v>
      </c>
      <c r="E357" s="312" t="str">
        <f t="shared" si="20"/>
        <v>LO</v>
      </c>
      <c r="F357" s="369">
        <f>VLOOKUP(C357,METADATA!$A$5:$H$29,IF(E357="HI",2,IF(E357="LO",6,10))+IF(D357=1,2,IF(D357=7,1,(IF(WEEKDAY(B357)=1,2,IF(WEEKDAY(B357)=7,1,0))))))</f>
        <v>2</v>
      </c>
      <c r="G357" s="369">
        <f>VLOOKUP(C357,METADATA!$J$5:$Q$29,IF(E357="HI",2,IF(E357="LO",6,10))+IF(D357=1,2,IF(D357=7,1,(IF(WEEKDAY(B357)=1,2,IF(WEEKDAY(B357)=7,1,0))))))</f>
        <v>2</v>
      </c>
      <c r="H357" s="370">
        <v>11884.359710693359</v>
      </c>
      <c r="I357" s="370">
        <v>1821.6240043640137</v>
      </c>
      <c r="M357" s="371">
        <f t="shared" si="21"/>
        <v>12023.157644580177</v>
      </c>
      <c r="N357" s="329">
        <f t="shared" si="22"/>
        <v>0</v>
      </c>
      <c r="T357" s="331">
        <v>0</v>
      </c>
      <c r="U357" s="328">
        <f>VLOOKUP(C357,METADATA!$J$5:$Q$29,IF(E357="HI",2,IF(E357="LO",6,10))+IF(T357=1,2,IF(D357=7,1,(IF(WEEKDAY(B357)=1,2,IF(WEEKDAY(B357)=7,1,0))))))</f>
        <v>2</v>
      </c>
      <c r="V357" s="328">
        <f>VLOOKUP(C357,METADATA!$A$5:$H$29,IF(E357="HI",2,IF(E357="LO",6,10))+IF(T357=1,2,IF(D357=7,1,(IF(WEEKDAY(B357)=1,2,IF(WEEKDAY(B357)=7,1,0))))))</f>
        <v>2</v>
      </c>
    </row>
    <row r="358" spans="2:22">
      <c r="B358" s="318">
        <f t="shared" si="23"/>
        <v>46127</v>
      </c>
      <c r="C358" s="312">
        <v>18</v>
      </c>
      <c r="D358" s="368">
        <f>IFERROR((INDEX(METADATA!$T$2:$T$20,MATCH(B358,METADATA!$S$2:$S$20,0))),0)</f>
        <v>0</v>
      </c>
      <c r="E358" s="312" t="str">
        <f t="shared" si="20"/>
        <v>LO</v>
      </c>
      <c r="F358" s="369">
        <f>VLOOKUP(C358,METADATA!$A$5:$H$29,IF(E358="HI",2,IF(E358="LO",6,10))+IF(D358=1,2,IF(D358=7,1,(IF(WEEKDAY(B358)=1,2,IF(WEEKDAY(B358)=7,1,0))))))</f>
        <v>1</v>
      </c>
      <c r="G358" s="369">
        <f>VLOOKUP(C358,METADATA!$J$5:$Q$29,IF(E358="HI",2,IF(E358="LO",6,10))+IF(D358=1,2,IF(D358=7,1,(IF(WEEKDAY(B358)=1,2,IF(WEEKDAY(B358)=7,1,0))))))</f>
        <v>1</v>
      </c>
      <c r="H358" s="370">
        <v>8850.1348876953125</v>
      </c>
      <c r="I358" s="370">
        <v>536.42299604415894</v>
      </c>
      <c r="M358" s="371">
        <f t="shared" si="21"/>
        <v>8866.3767775279375</v>
      </c>
      <c r="N358" s="329">
        <f t="shared" si="22"/>
        <v>0</v>
      </c>
      <c r="T358" s="331">
        <v>0</v>
      </c>
      <c r="U358" s="328">
        <f>VLOOKUP(C358,METADATA!$J$5:$Q$29,IF(E358="HI",2,IF(E358="LO",6,10))+IF(T358=1,2,IF(D358=7,1,(IF(WEEKDAY(B358)=1,2,IF(WEEKDAY(B358)=7,1,0))))))</f>
        <v>1</v>
      </c>
      <c r="V358" s="328">
        <f>VLOOKUP(C358,METADATA!$A$5:$H$29,IF(E358="HI",2,IF(E358="LO",6,10))+IF(T358=1,2,IF(D358=7,1,(IF(WEEKDAY(B358)=1,2,IF(WEEKDAY(B358)=7,1,0))))))</f>
        <v>1</v>
      </c>
    </row>
    <row r="359" spans="2:22">
      <c r="B359" s="318">
        <f t="shared" si="23"/>
        <v>46127</v>
      </c>
      <c r="C359" s="312">
        <v>19</v>
      </c>
      <c r="D359" s="368">
        <f>IFERROR((INDEX(METADATA!$T$2:$T$20,MATCH(B359,METADATA!$S$2:$S$20,0))),0)</f>
        <v>0</v>
      </c>
      <c r="E359" s="312" t="str">
        <f t="shared" si="20"/>
        <v>LO</v>
      </c>
      <c r="F359" s="369">
        <f>VLOOKUP(C359,METADATA!$A$5:$H$29,IF(E359="HI",2,IF(E359="LO",6,10))+IF(D359=1,2,IF(D359=7,1,(IF(WEEKDAY(B359)=1,2,IF(WEEKDAY(B359)=7,1,0))))))</f>
        <v>1</v>
      </c>
      <c r="G359" s="369">
        <f>VLOOKUP(C359,METADATA!$J$5:$Q$29,IF(E359="HI",2,IF(E359="LO",6,10))+IF(D359=1,2,IF(D359=7,1,(IF(WEEKDAY(B359)=1,2,IF(WEEKDAY(B359)=7,1,0))))))</f>
        <v>1</v>
      </c>
      <c r="H359" s="370">
        <v>11458.159973144531</v>
      </c>
      <c r="I359" s="370">
        <v>1478.3280248641968</v>
      </c>
      <c r="M359" s="371">
        <f t="shared" si="21"/>
        <v>11553.133069400281</v>
      </c>
      <c r="N359" s="329">
        <f t="shared" si="22"/>
        <v>0</v>
      </c>
      <c r="T359" s="331">
        <v>0</v>
      </c>
      <c r="U359" s="328">
        <f>VLOOKUP(C359,METADATA!$J$5:$Q$29,IF(E359="HI",2,IF(E359="LO",6,10))+IF(T359=1,2,IF(D359=7,1,(IF(WEEKDAY(B359)=1,2,IF(WEEKDAY(B359)=7,1,0))))))</f>
        <v>1</v>
      </c>
      <c r="V359" s="328">
        <f>VLOOKUP(C359,METADATA!$A$5:$H$29,IF(E359="HI",2,IF(E359="LO",6,10))+IF(T359=1,2,IF(D359=7,1,(IF(WEEKDAY(B359)=1,2,IF(WEEKDAY(B359)=7,1,0))))))</f>
        <v>1</v>
      </c>
    </row>
    <row r="360" spans="2:22">
      <c r="B360" s="318">
        <f t="shared" si="23"/>
        <v>46127</v>
      </c>
      <c r="C360" s="312">
        <v>20</v>
      </c>
      <c r="D360" s="368">
        <f>IFERROR((INDEX(METADATA!$T$2:$T$20,MATCH(B360,METADATA!$S$2:$S$20,0))),0)</f>
        <v>0</v>
      </c>
      <c r="E360" s="312" t="str">
        <f t="shared" si="20"/>
        <v>LO</v>
      </c>
      <c r="F360" s="369">
        <f>VLOOKUP(C360,METADATA!$A$5:$H$29,IF(E360="HI",2,IF(E360="LO",6,10))+IF(D360=1,2,IF(D360=7,1,(IF(WEEKDAY(B360)=1,2,IF(WEEKDAY(B360)=7,1,0))))))</f>
        <v>1</v>
      </c>
      <c r="G360" s="369">
        <f>VLOOKUP(C360,METADATA!$J$5:$Q$29,IF(E360="HI",2,IF(E360="LO",6,10))+IF(D360=1,2,IF(D360=7,1,(IF(WEEKDAY(B360)=1,2,IF(WEEKDAY(B360)=7,1,0))))))</f>
        <v>1</v>
      </c>
      <c r="H360" s="370">
        <v>13584.735168457031</v>
      </c>
      <c r="I360" s="370">
        <v>2435.4959440231323</v>
      </c>
      <c r="M360" s="371">
        <f t="shared" si="21"/>
        <v>13801.32856251406</v>
      </c>
      <c r="N360" s="329">
        <f t="shared" si="22"/>
        <v>0</v>
      </c>
      <c r="T360" s="331">
        <v>0</v>
      </c>
      <c r="U360" s="328">
        <f>VLOOKUP(C360,METADATA!$J$5:$Q$29,IF(E360="HI",2,IF(E360="LO",6,10))+IF(T360=1,2,IF(D360=7,1,(IF(WEEKDAY(B360)=1,2,IF(WEEKDAY(B360)=7,1,0))))))</f>
        <v>1</v>
      </c>
      <c r="V360" s="328">
        <f>VLOOKUP(C360,METADATA!$A$5:$H$29,IF(E360="HI",2,IF(E360="LO",6,10))+IF(T360=1,2,IF(D360=7,1,(IF(WEEKDAY(B360)=1,2,IF(WEEKDAY(B360)=7,1,0))))))</f>
        <v>1</v>
      </c>
    </row>
    <row r="361" spans="2:22">
      <c r="B361" s="318">
        <f t="shared" si="23"/>
        <v>46127</v>
      </c>
      <c r="C361" s="312">
        <v>21</v>
      </c>
      <c r="D361" s="368">
        <f>IFERROR((INDEX(METADATA!$T$2:$T$20,MATCH(B361,METADATA!$S$2:$S$20,0))),0)</f>
        <v>0</v>
      </c>
      <c r="E361" s="312" t="str">
        <f t="shared" si="20"/>
        <v>LO</v>
      </c>
      <c r="F361" s="369">
        <f>VLOOKUP(C361,METADATA!$A$5:$H$29,IF(E361="HI",2,IF(E361="LO",6,10))+IF(D361=1,2,IF(D361=7,1,(IF(WEEKDAY(B361)=1,2,IF(WEEKDAY(B361)=7,1,0))))))</f>
        <v>2</v>
      </c>
      <c r="G361" s="369">
        <f>VLOOKUP(C361,METADATA!$J$5:$Q$29,IF(E361="HI",2,IF(E361="LO",6,10))+IF(D361=1,2,IF(D361=7,1,(IF(WEEKDAY(B361)=1,2,IF(WEEKDAY(B361)=7,1,0))))))</f>
        <v>2</v>
      </c>
      <c r="H361" s="370">
        <v>13747.589965820313</v>
      </c>
      <c r="I361" s="370">
        <v>2388.5515308380127</v>
      </c>
      <c r="M361" s="371">
        <f t="shared" si="21"/>
        <v>13953.544649435567</v>
      </c>
      <c r="N361" s="329">
        <f t="shared" si="22"/>
        <v>0</v>
      </c>
      <c r="T361" s="331">
        <v>0</v>
      </c>
      <c r="U361" s="328">
        <f>VLOOKUP(C361,METADATA!$J$5:$Q$29,IF(E361="HI",2,IF(E361="LO",6,10))+IF(T361=1,2,IF(D361=7,1,(IF(WEEKDAY(B361)=1,2,IF(WEEKDAY(B361)=7,1,0))))))</f>
        <v>2</v>
      </c>
      <c r="V361" s="328">
        <f>VLOOKUP(C361,METADATA!$A$5:$H$29,IF(E361="HI",2,IF(E361="LO",6,10))+IF(T361=1,2,IF(D361=7,1,(IF(WEEKDAY(B361)=1,2,IF(WEEKDAY(B361)=7,1,0))))))</f>
        <v>2</v>
      </c>
    </row>
    <row r="362" spans="2:22">
      <c r="B362" s="318">
        <f t="shared" si="23"/>
        <v>46127</v>
      </c>
      <c r="C362" s="312">
        <v>22</v>
      </c>
      <c r="D362" s="368">
        <f>IFERROR((INDEX(METADATA!$T$2:$T$20,MATCH(B362,METADATA!$S$2:$S$20,0))),0)</f>
        <v>0</v>
      </c>
      <c r="E362" s="312" t="str">
        <f t="shared" si="20"/>
        <v>LO</v>
      </c>
      <c r="F362" s="369">
        <f>VLOOKUP(C362,METADATA!$A$5:$H$29,IF(E362="HI",2,IF(E362="LO",6,10))+IF(D362=1,2,IF(D362=7,1,(IF(WEEKDAY(B362)=1,2,IF(WEEKDAY(B362)=7,1,0))))))</f>
        <v>3</v>
      </c>
      <c r="G362" s="369">
        <f>VLOOKUP(C362,METADATA!$J$5:$Q$29,IF(E362="HI",2,IF(E362="LO",6,10))+IF(D362=1,2,IF(D362=7,1,(IF(WEEKDAY(B362)=1,2,IF(WEEKDAY(B362)=7,1,0))))))</f>
        <v>3</v>
      </c>
      <c r="H362" s="370">
        <v>13638.284973144531</v>
      </c>
      <c r="I362" s="370">
        <v>2456.6884956359863</v>
      </c>
      <c r="M362" s="371">
        <f t="shared" si="21"/>
        <v>13857.782483979539</v>
      </c>
      <c r="N362" s="329">
        <f t="shared" si="22"/>
        <v>0</v>
      </c>
      <c r="T362" s="331">
        <v>0</v>
      </c>
      <c r="U362" s="328">
        <f>VLOOKUP(C362,METADATA!$J$5:$Q$29,IF(E362="HI",2,IF(E362="LO",6,10))+IF(T362=1,2,IF(D362=7,1,(IF(WEEKDAY(B362)=1,2,IF(WEEKDAY(B362)=7,1,0))))))</f>
        <v>3</v>
      </c>
      <c r="V362" s="328">
        <f>VLOOKUP(C362,METADATA!$A$5:$H$29,IF(E362="HI",2,IF(E362="LO",6,10))+IF(T362=1,2,IF(D362=7,1,(IF(WEEKDAY(B362)=1,2,IF(WEEKDAY(B362)=7,1,0))))))</f>
        <v>3</v>
      </c>
    </row>
    <row r="363" spans="2:22">
      <c r="B363" s="318">
        <f t="shared" si="23"/>
        <v>46127</v>
      </c>
      <c r="C363" s="312">
        <v>23</v>
      </c>
      <c r="D363" s="368">
        <f>IFERROR((INDEX(METADATA!$T$2:$T$20,MATCH(B363,METADATA!$S$2:$S$20,0))),0)</f>
        <v>0</v>
      </c>
      <c r="E363" s="312" t="str">
        <f t="shared" si="20"/>
        <v>LO</v>
      </c>
      <c r="F363" s="369">
        <f>VLOOKUP(C363,METADATA!$A$5:$H$29,IF(E363="HI",2,IF(E363="LO",6,10))+IF(D363=1,2,IF(D363=7,1,(IF(WEEKDAY(B363)=1,2,IF(WEEKDAY(B363)=7,1,0))))))</f>
        <v>3</v>
      </c>
      <c r="G363" s="369">
        <f>VLOOKUP(C363,METADATA!$J$5:$Q$29,IF(E363="HI",2,IF(E363="LO",6,10))+IF(D363=1,2,IF(D363=7,1,(IF(WEEKDAY(B363)=1,2,IF(WEEKDAY(B363)=7,1,0))))))</f>
        <v>3</v>
      </c>
      <c r="H363" s="370">
        <v>13681.584777832031</v>
      </c>
      <c r="I363" s="370">
        <v>2474.0614929199219</v>
      </c>
      <c r="M363" s="371">
        <f t="shared" si="21"/>
        <v>13903.479503482367</v>
      </c>
      <c r="N363" s="329">
        <f t="shared" si="22"/>
        <v>0</v>
      </c>
      <c r="T363" s="331">
        <v>0</v>
      </c>
      <c r="U363" s="328">
        <f>VLOOKUP(C363,METADATA!$J$5:$Q$29,IF(E363="HI",2,IF(E363="LO",6,10))+IF(T363=1,2,IF(D363=7,1,(IF(WEEKDAY(B363)=1,2,IF(WEEKDAY(B363)=7,1,0))))))</f>
        <v>3</v>
      </c>
      <c r="V363" s="328">
        <f>VLOOKUP(C363,METADATA!$A$5:$H$29,IF(E363="HI",2,IF(E363="LO",6,10))+IF(T363=1,2,IF(D363=7,1,(IF(WEEKDAY(B363)=1,2,IF(WEEKDAY(B363)=7,1,0))))))</f>
        <v>3</v>
      </c>
    </row>
    <row r="364" spans="2:22">
      <c r="B364" s="318">
        <f t="shared" si="23"/>
        <v>46128</v>
      </c>
      <c r="C364" s="312">
        <v>0</v>
      </c>
      <c r="D364" s="368">
        <f>IFERROR((INDEX(METADATA!$T$2:$T$20,MATCH(B364,METADATA!$S$2:$S$20,0))),0)</f>
        <v>0</v>
      </c>
      <c r="E364" s="312" t="str">
        <f t="shared" si="20"/>
        <v>LO</v>
      </c>
      <c r="F364" s="369">
        <f>VLOOKUP(C364,METADATA!$A$5:$H$29,IF(E364="HI",2,IF(E364="LO",6,10))+IF(D364=1,2,IF(D364=7,1,(IF(WEEKDAY(B364)=1,2,IF(WEEKDAY(B364)=7,1,0))))))</f>
        <v>3</v>
      </c>
      <c r="G364" s="369">
        <f>VLOOKUP(C364,METADATA!$J$5:$Q$29,IF(E364="HI",2,IF(E364="LO",6,10))+IF(D364=1,2,IF(D364=7,1,(IF(WEEKDAY(B364)=1,2,IF(WEEKDAY(B364)=7,1,0))))))</f>
        <v>3</v>
      </c>
      <c r="H364" s="370">
        <v>13636.775024414063</v>
      </c>
      <c r="I364" s="370">
        <v>2448.5765609741211</v>
      </c>
      <c r="M364" s="371">
        <f t="shared" si="21"/>
        <v>13854.860527678906</v>
      </c>
      <c r="N364" s="329">
        <f t="shared" si="22"/>
        <v>0</v>
      </c>
      <c r="T364" s="331">
        <v>0</v>
      </c>
      <c r="U364" s="328">
        <f>VLOOKUP(C364,METADATA!$J$5:$Q$29,IF(E364="HI",2,IF(E364="LO",6,10))+IF(T364=1,2,IF(D364=7,1,(IF(WEEKDAY(B364)=1,2,IF(WEEKDAY(B364)=7,1,0))))))</f>
        <v>3</v>
      </c>
      <c r="V364" s="328">
        <f>VLOOKUP(C364,METADATA!$A$5:$H$29,IF(E364="HI",2,IF(E364="LO",6,10))+IF(T364=1,2,IF(D364=7,1,(IF(WEEKDAY(B364)=1,2,IF(WEEKDAY(B364)=7,1,0))))))</f>
        <v>3</v>
      </c>
    </row>
    <row r="365" spans="2:22">
      <c r="B365" s="318">
        <f t="shared" si="23"/>
        <v>46128</v>
      </c>
      <c r="C365" s="312">
        <v>1</v>
      </c>
      <c r="D365" s="368">
        <f>IFERROR((INDEX(METADATA!$T$2:$T$20,MATCH(B365,METADATA!$S$2:$S$20,0))),0)</f>
        <v>0</v>
      </c>
      <c r="E365" s="312" t="str">
        <f t="shared" si="20"/>
        <v>LO</v>
      </c>
      <c r="F365" s="369">
        <f>VLOOKUP(C365,METADATA!$A$5:$H$29,IF(E365="HI",2,IF(E365="LO",6,10))+IF(D365=1,2,IF(D365=7,1,(IF(WEEKDAY(B365)=1,2,IF(WEEKDAY(B365)=7,1,0))))))</f>
        <v>3</v>
      </c>
      <c r="G365" s="369">
        <f>VLOOKUP(C365,METADATA!$J$5:$Q$29,IF(E365="HI",2,IF(E365="LO",6,10))+IF(D365=1,2,IF(D365=7,1,(IF(WEEKDAY(B365)=1,2,IF(WEEKDAY(B365)=7,1,0))))))</f>
        <v>3</v>
      </c>
      <c r="H365" s="370">
        <v>13599.549743652344</v>
      </c>
      <c r="I365" s="370">
        <v>2331.7440490722656</v>
      </c>
      <c r="M365" s="371">
        <f t="shared" si="21"/>
        <v>13797.999258604794</v>
      </c>
      <c r="N365" s="329">
        <f t="shared" si="22"/>
        <v>0</v>
      </c>
      <c r="T365" s="331">
        <v>0</v>
      </c>
      <c r="U365" s="328">
        <f>VLOOKUP(C365,METADATA!$J$5:$Q$29,IF(E365="HI",2,IF(E365="LO",6,10))+IF(T365=1,2,IF(D365=7,1,(IF(WEEKDAY(B365)=1,2,IF(WEEKDAY(B365)=7,1,0))))))</f>
        <v>3</v>
      </c>
      <c r="V365" s="328">
        <f>VLOOKUP(C365,METADATA!$A$5:$H$29,IF(E365="HI",2,IF(E365="LO",6,10))+IF(T365=1,2,IF(D365=7,1,(IF(WEEKDAY(B365)=1,2,IF(WEEKDAY(B365)=7,1,0))))))</f>
        <v>3</v>
      </c>
    </row>
    <row r="366" spans="2:22">
      <c r="B366" s="318">
        <f t="shared" si="23"/>
        <v>46128</v>
      </c>
      <c r="C366" s="312">
        <v>2</v>
      </c>
      <c r="D366" s="368">
        <f>IFERROR((INDEX(METADATA!$T$2:$T$20,MATCH(B366,METADATA!$S$2:$S$20,0))),0)</f>
        <v>0</v>
      </c>
      <c r="E366" s="312" t="str">
        <f t="shared" si="20"/>
        <v>LO</v>
      </c>
      <c r="F366" s="369">
        <f>VLOOKUP(C366,METADATA!$A$5:$H$29,IF(E366="HI",2,IF(E366="LO",6,10))+IF(D366=1,2,IF(D366=7,1,(IF(WEEKDAY(B366)=1,2,IF(WEEKDAY(B366)=7,1,0))))))</f>
        <v>3</v>
      </c>
      <c r="G366" s="369">
        <f>VLOOKUP(C366,METADATA!$J$5:$Q$29,IF(E366="HI",2,IF(E366="LO",6,10))+IF(D366=1,2,IF(D366=7,1,(IF(WEEKDAY(B366)=1,2,IF(WEEKDAY(B366)=7,1,0))))))</f>
        <v>3</v>
      </c>
      <c r="H366" s="370">
        <v>13541.305114746094</v>
      </c>
      <c r="I366" s="370">
        <v>2302.3929677009583</v>
      </c>
      <c r="M366" s="371">
        <f t="shared" si="21"/>
        <v>13735.645510436252</v>
      </c>
      <c r="N366" s="329">
        <f t="shared" si="22"/>
        <v>0</v>
      </c>
      <c r="T366" s="331">
        <v>0</v>
      </c>
      <c r="U366" s="328">
        <f>VLOOKUP(C366,METADATA!$J$5:$Q$29,IF(E366="HI",2,IF(E366="LO",6,10))+IF(T366=1,2,IF(D366=7,1,(IF(WEEKDAY(B366)=1,2,IF(WEEKDAY(B366)=7,1,0))))))</f>
        <v>3</v>
      </c>
      <c r="V366" s="328">
        <f>VLOOKUP(C366,METADATA!$A$5:$H$29,IF(E366="HI",2,IF(E366="LO",6,10))+IF(T366=1,2,IF(D366=7,1,(IF(WEEKDAY(B366)=1,2,IF(WEEKDAY(B366)=7,1,0))))))</f>
        <v>3</v>
      </c>
    </row>
    <row r="367" spans="2:22">
      <c r="B367" s="318">
        <f t="shared" si="23"/>
        <v>46128</v>
      </c>
      <c r="C367" s="312">
        <v>3</v>
      </c>
      <c r="D367" s="368">
        <f>IFERROR((INDEX(METADATA!$T$2:$T$20,MATCH(B367,METADATA!$S$2:$S$20,0))),0)</f>
        <v>0</v>
      </c>
      <c r="E367" s="312" t="str">
        <f t="shared" si="20"/>
        <v>LO</v>
      </c>
      <c r="F367" s="369">
        <f>VLOOKUP(C367,METADATA!$A$5:$H$29,IF(E367="HI",2,IF(E367="LO",6,10))+IF(D367=1,2,IF(D367=7,1,(IF(WEEKDAY(B367)=1,2,IF(WEEKDAY(B367)=7,1,0))))))</f>
        <v>3</v>
      </c>
      <c r="G367" s="369">
        <f>VLOOKUP(C367,METADATA!$J$5:$Q$29,IF(E367="HI",2,IF(E367="LO",6,10))+IF(D367=1,2,IF(D367=7,1,(IF(WEEKDAY(B367)=1,2,IF(WEEKDAY(B367)=7,1,0))))))</f>
        <v>3</v>
      </c>
      <c r="H367" s="370">
        <v>13486.730102539063</v>
      </c>
      <c r="I367" s="370">
        <v>2281.4865016937256</v>
      </c>
      <c r="M367" s="371">
        <f t="shared" si="21"/>
        <v>13678.343083727063</v>
      </c>
      <c r="N367" s="329">
        <f t="shared" si="22"/>
        <v>0</v>
      </c>
      <c r="T367" s="331">
        <v>0</v>
      </c>
      <c r="U367" s="328">
        <f>VLOOKUP(C367,METADATA!$J$5:$Q$29,IF(E367="HI",2,IF(E367="LO",6,10))+IF(T367=1,2,IF(D367=7,1,(IF(WEEKDAY(B367)=1,2,IF(WEEKDAY(B367)=7,1,0))))))</f>
        <v>3</v>
      </c>
      <c r="V367" s="328">
        <f>VLOOKUP(C367,METADATA!$A$5:$H$29,IF(E367="HI",2,IF(E367="LO",6,10))+IF(T367=1,2,IF(D367=7,1,(IF(WEEKDAY(B367)=1,2,IF(WEEKDAY(B367)=7,1,0))))))</f>
        <v>3</v>
      </c>
    </row>
    <row r="368" spans="2:22">
      <c r="B368" s="318">
        <f t="shared" si="23"/>
        <v>46128</v>
      </c>
      <c r="C368" s="312">
        <v>4</v>
      </c>
      <c r="D368" s="368">
        <f>IFERROR((INDEX(METADATA!$T$2:$T$20,MATCH(B368,METADATA!$S$2:$S$20,0))),0)</f>
        <v>0</v>
      </c>
      <c r="E368" s="312" t="str">
        <f t="shared" si="20"/>
        <v>LO</v>
      </c>
      <c r="F368" s="369">
        <f>VLOOKUP(C368,METADATA!$A$5:$H$29,IF(E368="HI",2,IF(E368="LO",6,10))+IF(D368=1,2,IF(D368=7,1,(IF(WEEKDAY(B368)=1,2,IF(WEEKDAY(B368)=7,1,0))))))</f>
        <v>3</v>
      </c>
      <c r="G368" s="369">
        <f>VLOOKUP(C368,METADATA!$J$5:$Q$29,IF(E368="HI",2,IF(E368="LO",6,10))+IF(D368=1,2,IF(D368=7,1,(IF(WEEKDAY(B368)=1,2,IF(WEEKDAY(B368)=7,1,0))))))</f>
        <v>3</v>
      </c>
      <c r="H368" s="370">
        <v>12690.944946289063</v>
      </c>
      <c r="I368" s="370">
        <v>2106.1235536932945</v>
      </c>
      <c r="M368" s="371">
        <f t="shared" si="21"/>
        <v>12864.518648327326</v>
      </c>
      <c r="N368" s="329">
        <f t="shared" si="22"/>
        <v>0</v>
      </c>
      <c r="T368" s="331">
        <v>0</v>
      </c>
      <c r="U368" s="328">
        <f>VLOOKUP(C368,METADATA!$J$5:$Q$29,IF(E368="HI",2,IF(E368="LO",6,10))+IF(T368=1,2,IF(D368=7,1,(IF(WEEKDAY(B368)=1,2,IF(WEEKDAY(B368)=7,1,0))))))</f>
        <v>3</v>
      </c>
      <c r="V368" s="328">
        <f>VLOOKUP(C368,METADATA!$A$5:$H$29,IF(E368="HI",2,IF(E368="LO",6,10))+IF(T368=1,2,IF(D368=7,1,(IF(WEEKDAY(B368)=1,2,IF(WEEKDAY(B368)=7,1,0))))))</f>
        <v>3</v>
      </c>
    </row>
    <row r="369" spans="2:22">
      <c r="B369" s="318">
        <f t="shared" si="23"/>
        <v>46128</v>
      </c>
      <c r="C369" s="312">
        <v>5</v>
      </c>
      <c r="D369" s="368">
        <f>IFERROR((INDEX(METADATA!$T$2:$T$20,MATCH(B369,METADATA!$S$2:$S$20,0))),0)</f>
        <v>0</v>
      </c>
      <c r="E369" s="312" t="str">
        <f t="shared" si="20"/>
        <v>LO</v>
      </c>
      <c r="F369" s="369">
        <f>VLOOKUP(C369,METADATA!$A$5:$H$29,IF(E369="HI",2,IF(E369="LO",6,10))+IF(D369=1,2,IF(D369=7,1,(IF(WEEKDAY(B369)=1,2,IF(WEEKDAY(B369)=7,1,0))))))</f>
        <v>3</v>
      </c>
      <c r="G369" s="369">
        <f>VLOOKUP(C369,METADATA!$J$5:$Q$29,IF(E369="HI",2,IF(E369="LO",6,10))+IF(D369=1,2,IF(D369=7,1,(IF(WEEKDAY(B369)=1,2,IF(WEEKDAY(B369)=7,1,0))))))</f>
        <v>3</v>
      </c>
      <c r="H369" s="370">
        <v>9504.3605041503906</v>
      </c>
      <c r="I369" s="370">
        <v>1094.640007019043</v>
      </c>
      <c r="M369" s="371">
        <f t="shared" si="21"/>
        <v>9567.1889987509148</v>
      </c>
      <c r="N369" s="329">
        <f t="shared" si="22"/>
        <v>0</v>
      </c>
      <c r="T369" s="331">
        <v>0</v>
      </c>
      <c r="U369" s="328">
        <f>VLOOKUP(C369,METADATA!$J$5:$Q$29,IF(E369="HI",2,IF(E369="LO",6,10))+IF(T369=1,2,IF(D369=7,1,(IF(WEEKDAY(B369)=1,2,IF(WEEKDAY(B369)=7,1,0))))))</f>
        <v>3</v>
      </c>
      <c r="V369" s="328">
        <f>VLOOKUP(C369,METADATA!$A$5:$H$29,IF(E369="HI",2,IF(E369="LO",6,10))+IF(T369=1,2,IF(D369=7,1,(IF(WEEKDAY(B369)=1,2,IF(WEEKDAY(B369)=7,1,0))))))</f>
        <v>3</v>
      </c>
    </row>
    <row r="370" spans="2:22">
      <c r="B370" s="318">
        <f t="shared" si="23"/>
        <v>46128</v>
      </c>
      <c r="C370" s="312">
        <v>6</v>
      </c>
      <c r="D370" s="368">
        <f>IFERROR((INDEX(METADATA!$T$2:$T$20,MATCH(B370,METADATA!$S$2:$S$20,0))),0)</f>
        <v>0</v>
      </c>
      <c r="E370" s="312" t="str">
        <f t="shared" si="20"/>
        <v>LO</v>
      </c>
      <c r="F370" s="369">
        <f>VLOOKUP(C370,METADATA!$A$5:$H$29,IF(E370="HI",2,IF(E370="LO",6,10))+IF(D370=1,2,IF(D370=7,1,(IF(WEEKDAY(B370)=1,2,IF(WEEKDAY(B370)=7,1,0))))))</f>
        <v>2</v>
      </c>
      <c r="G370" s="369">
        <f>VLOOKUP(C370,METADATA!$J$5:$Q$29,IF(E370="HI",2,IF(E370="LO",6,10))+IF(D370=1,2,IF(D370=7,1,(IF(WEEKDAY(B370)=1,2,IF(WEEKDAY(B370)=7,1,0))))))</f>
        <v>2</v>
      </c>
      <c r="H370" s="370">
        <v>6350.7650756835938</v>
      </c>
      <c r="I370" s="370">
        <v>0</v>
      </c>
      <c r="M370" s="371">
        <f t="shared" si="21"/>
        <v>6350.7650756835938</v>
      </c>
      <c r="N370" s="329">
        <f t="shared" si="22"/>
        <v>0</v>
      </c>
      <c r="T370" s="331">
        <v>0</v>
      </c>
      <c r="U370" s="328">
        <f>VLOOKUP(C370,METADATA!$J$5:$Q$29,IF(E370="HI",2,IF(E370="LO",6,10))+IF(T370=1,2,IF(D370=7,1,(IF(WEEKDAY(B370)=1,2,IF(WEEKDAY(B370)=7,1,0))))))</f>
        <v>2</v>
      </c>
      <c r="V370" s="328">
        <f>VLOOKUP(C370,METADATA!$A$5:$H$29,IF(E370="HI",2,IF(E370="LO",6,10))+IF(T370=1,2,IF(D370=7,1,(IF(WEEKDAY(B370)=1,2,IF(WEEKDAY(B370)=7,1,0))))))</f>
        <v>2</v>
      </c>
    </row>
    <row r="371" spans="2:22">
      <c r="B371" s="318">
        <f t="shared" si="23"/>
        <v>46128</v>
      </c>
      <c r="C371" s="312">
        <v>7</v>
      </c>
      <c r="D371" s="368">
        <f>IFERROR((INDEX(METADATA!$T$2:$T$20,MATCH(B371,METADATA!$S$2:$S$20,0))),0)</f>
        <v>0</v>
      </c>
      <c r="E371" s="312" t="str">
        <f t="shared" si="20"/>
        <v>LO</v>
      </c>
      <c r="F371" s="369">
        <f>VLOOKUP(C371,METADATA!$A$5:$H$29,IF(E371="HI",2,IF(E371="LO",6,10))+IF(D371=1,2,IF(D371=7,1,(IF(WEEKDAY(B371)=1,2,IF(WEEKDAY(B371)=7,1,0))))))</f>
        <v>1</v>
      </c>
      <c r="G371" s="369">
        <f>VLOOKUP(C371,METADATA!$J$5:$Q$29,IF(E371="HI",2,IF(E371="LO",6,10))+IF(D371=1,2,IF(D371=7,1,(IF(WEEKDAY(B371)=1,2,IF(WEEKDAY(B371)=7,1,0))))))</f>
        <v>1</v>
      </c>
      <c r="H371" s="370">
        <v>6222.6100463867188</v>
      </c>
      <c r="I371" s="370">
        <v>0</v>
      </c>
      <c r="M371" s="371">
        <f t="shared" si="21"/>
        <v>6222.6100463867188</v>
      </c>
      <c r="N371" s="329">
        <f t="shared" si="22"/>
        <v>0</v>
      </c>
      <c r="T371" s="331">
        <v>0</v>
      </c>
      <c r="U371" s="328">
        <f>VLOOKUP(C371,METADATA!$J$5:$Q$29,IF(E371="HI",2,IF(E371="LO",6,10))+IF(T371=1,2,IF(D371=7,1,(IF(WEEKDAY(B371)=1,2,IF(WEEKDAY(B371)=7,1,0))))))</f>
        <v>1</v>
      </c>
      <c r="V371" s="328">
        <f>VLOOKUP(C371,METADATA!$A$5:$H$29,IF(E371="HI",2,IF(E371="LO",6,10))+IF(T371=1,2,IF(D371=7,1,(IF(WEEKDAY(B371)=1,2,IF(WEEKDAY(B371)=7,1,0))))))</f>
        <v>1</v>
      </c>
    </row>
    <row r="372" spans="2:22">
      <c r="B372" s="318">
        <f t="shared" si="23"/>
        <v>46128</v>
      </c>
      <c r="C372" s="312">
        <v>8</v>
      </c>
      <c r="D372" s="368">
        <f>IFERROR((INDEX(METADATA!$T$2:$T$20,MATCH(B372,METADATA!$S$2:$S$20,0))),0)</f>
        <v>0</v>
      </c>
      <c r="E372" s="312" t="str">
        <f t="shared" si="20"/>
        <v>LO</v>
      </c>
      <c r="F372" s="369">
        <f>VLOOKUP(C372,METADATA!$A$5:$H$29,IF(E372="HI",2,IF(E372="LO",6,10))+IF(D372=1,2,IF(D372=7,1,(IF(WEEKDAY(B372)=1,2,IF(WEEKDAY(B372)=7,1,0))))))</f>
        <v>1</v>
      </c>
      <c r="G372" s="369">
        <f>VLOOKUP(C372,METADATA!$J$5:$Q$29,IF(E372="HI",2,IF(E372="LO",6,10))+IF(D372=1,2,IF(D372=7,1,(IF(WEEKDAY(B372)=1,2,IF(WEEKDAY(B372)=7,1,0))))))</f>
        <v>1</v>
      </c>
      <c r="H372" s="370">
        <v>5957.2525329589844</v>
      </c>
      <c r="I372" s="370">
        <v>0</v>
      </c>
      <c r="M372" s="371">
        <f t="shared" si="21"/>
        <v>5957.2525329589844</v>
      </c>
      <c r="N372" s="329">
        <f t="shared" si="22"/>
        <v>0</v>
      </c>
      <c r="T372" s="331">
        <v>0</v>
      </c>
      <c r="U372" s="328">
        <f>VLOOKUP(C372,METADATA!$J$5:$Q$29,IF(E372="HI",2,IF(E372="LO",6,10))+IF(T372=1,2,IF(D372=7,1,(IF(WEEKDAY(B372)=1,2,IF(WEEKDAY(B372)=7,1,0))))))</f>
        <v>1</v>
      </c>
      <c r="V372" s="328">
        <f>VLOOKUP(C372,METADATA!$A$5:$H$29,IF(E372="HI",2,IF(E372="LO",6,10))+IF(T372=1,2,IF(D372=7,1,(IF(WEEKDAY(B372)=1,2,IF(WEEKDAY(B372)=7,1,0))))))</f>
        <v>1</v>
      </c>
    </row>
    <row r="373" spans="2:22">
      <c r="B373" s="318">
        <f t="shared" si="23"/>
        <v>46128</v>
      </c>
      <c r="C373" s="312">
        <v>9</v>
      </c>
      <c r="D373" s="368">
        <f>IFERROR((INDEX(METADATA!$T$2:$T$20,MATCH(B373,METADATA!$S$2:$S$20,0))),0)</f>
        <v>0</v>
      </c>
      <c r="E373" s="312" t="str">
        <f t="shared" si="20"/>
        <v>LO</v>
      </c>
      <c r="F373" s="369">
        <f>VLOOKUP(C373,METADATA!$A$5:$H$29,IF(E373="HI",2,IF(E373="LO",6,10))+IF(D373=1,2,IF(D373=7,1,(IF(WEEKDAY(B373)=1,2,IF(WEEKDAY(B373)=7,1,0))))))</f>
        <v>2</v>
      </c>
      <c r="G373" s="369">
        <f>VLOOKUP(C373,METADATA!$J$5:$Q$29,IF(E373="HI",2,IF(E373="LO",6,10))+IF(D373=1,2,IF(D373=7,1,(IF(WEEKDAY(B373)=1,2,IF(WEEKDAY(B373)=7,1,0))))))</f>
        <v>2</v>
      </c>
      <c r="H373" s="370">
        <v>5767.7724609375</v>
      </c>
      <c r="I373" s="370">
        <v>0</v>
      </c>
      <c r="M373" s="371">
        <f t="shared" si="21"/>
        <v>5767.7724609375</v>
      </c>
      <c r="N373" s="329">
        <f t="shared" si="22"/>
        <v>0</v>
      </c>
      <c r="T373" s="331">
        <v>0</v>
      </c>
      <c r="U373" s="328">
        <f>VLOOKUP(C373,METADATA!$J$5:$Q$29,IF(E373="HI",2,IF(E373="LO",6,10))+IF(T373=1,2,IF(D373=7,1,(IF(WEEKDAY(B373)=1,2,IF(WEEKDAY(B373)=7,1,0))))))</f>
        <v>2</v>
      </c>
      <c r="V373" s="328">
        <f>VLOOKUP(C373,METADATA!$A$5:$H$29,IF(E373="HI",2,IF(E373="LO",6,10))+IF(T373=1,2,IF(D373=7,1,(IF(WEEKDAY(B373)=1,2,IF(WEEKDAY(B373)=7,1,0))))))</f>
        <v>2</v>
      </c>
    </row>
    <row r="374" spans="2:22">
      <c r="B374" s="318">
        <f t="shared" si="23"/>
        <v>46128</v>
      </c>
      <c r="C374" s="312">
        <v>10</v>
      </c>
      <c r="D374" s="368">
        <f>IFERROR((INDEX(METADATA!$T$2:$T$20,MATCH(B374,METADATA!$S$2:$S$20,0))),0)</f>
        <v>0</v>
      </c>
      <c r="E374" s="312" t="str">
        <f t="shared" si="20"/>
        <v>LO</v>
      </c>
      <c r="F374" s="369">
        <f>VLOOKUP(C374,METADATA!$A$5:$H$29,IF(E374="HI",2,IF(E374="LO",6,10))+IF(D374=1,2,IF(D374=7,1,(IF(WEEKDAY(B374)=1,2,IF(WEEKDAY(B374)=7,1,0))))))</f>
        <v>2</v>
      </c>
      <c r="G374" s="369">
        <f>VLOOKUP(C374,METADATA!$J$5:$Q$29,IF(E374="HI",2,IF(E374="LO",6,10))+IF(D374=1,2,IF(D374=7,1,(IF(WEEKDAY(B374)=1,2,IF(WEEKDAY(B374)=7,1,0))))))</f>
        <v>2</v>
      </c>
      <c r="H374" s="370">
        <v>7466.1249084472656</v>
      </c>
      <c r="I374" s="370">
        <v>251.83200535178185</v>
      </c>
      <c r="M374" s="371">
        <f t="shared" si="21"/>
        <v>7470.3708413609693</v>
      </c>
      <c r="N374" s="329">
        <f t="shared" si="22"/>
        <v>0</v>
      </c>
      <c r="T374" s="331">
        <v>0</v>
      </c>
      <c r="U374" s="328">
        <f>VLOOKUP(C374,METADATA!$J$5:$Q$29,IF(E374="HI",2,IF(E374="LO",6,10))+IF(T374=1,2,IF(D374=7,1,(IF(WEEKDAY(B374)=1,2,IF(WEEKDAY(B374)=7,1,0))))))</f>
        <v>2</v>
      </c>
      <c r="V374" s="328">
        <f>VLOOKUP(C374,METADATA!$A$5:$H$29,IF(E374="HI",2,IF(E374="LO",6,10))+IF(T374=1,2,IF(D374=7,1,(IF(WEEKDAY(B374)=1,2,IF(WEEKDAY(B374)=7,1,0))))))</f>
        <v>2</v>
      </c>
    </row>
    <row r="375" spans="2:22">
      <c r="B375" s="318">
        <f t="shared" si="23"/>
        <v>46128</v>
      </c>
      <c r="C375" s="312">
        <v>11</v>
      </c>
      <c r="D375" s="368">
        <f>IFERROR((INDEX(METADATA!$T$2:$T$20,MATCH(B375,METADATA!$S$2:$S$20,0))),0)</f>
        <v>0</v>
      </c>
      <c r="E375" s="312" t="str">
        <f t="shared" si="20"/>
        <v>LO</v>
      </c>
      <c r="F375" s="369">
        <f>VLOOKUP(C375,METADATA!$A$5:$H$29,IF(E375="HI",2,IF(E375="LO",6,10))+IF(D375=1,2,IF(D375=7,1,(IF(WEEKDAY(B375)=1,2,IF(WEEKDAY(B375)=7,1,0))))))</f>
        <v>2</v>
      </c>
      <c r="G375" s="369">
        <f>VLOOKUP(C375,METADATA!$J$5:$Q$29,IF(E375="HI",2,IF(E375="LO",6,10))+IF(D375=1,2,IF(D375=7,1,(IF(WEEKDAY(B375)=1,2,IF(WEEKDAY(B375)=7,1,0))))))</f>
        <v>2</v>
      </c>
      <c r="H375" s="370">
        <v>13008.804870605469</v>
      </c>
      <c r="I375" s="370">
        <v>2008.0524730682373</v>
      </c>
      <c r="M375" s="371">
        <f t="shared" si="21"/>
        <v>13162.87502394838</v>
      </c>
      <c r="N375" s="329">
        <f t="shared" si="22"/>
        <v>0</v>
      </c>
      <c r="T375" s="331">
        <v>0</v>
      </c>
      <c r="U375" s="328">
        <f>VLOOKUP(C375,METADATA!$J$5:$Q$29,IF(E375="HI",2,IF(E375="LO",6,10))+IF(T375=1,2,IF(D375=7,1,(IF(WEEKDAY(B375)=1,2,IF(WEEKDAY(B375)=7,1,0))))))</f>
        <v>2</v>
      </c>
      <c r="V375" s="328">
        <f>VLOOKUP(C375,METADATA!$A$5:$H$29,IF(E375="HI",2,IF(E375="LO",6,10))+IF(T375=1,2,IF(D375=7,1,(IF(WEEKDAY(B375)=1,2,IF(WEEKDAY(B375)=7,1,0))))))</f>
        <v>2</v>
      </c>
    </row>
    <row r="376" spans="2:22">
      <c r="B376" s="318">
        <f t="shared" si="23"/>
        <v>46128</v>
      </c>
      <c r="C376" s="312">
        <v>12</v>
      </c>
      <c r="D376" s="368">
        <f>IFERROR((INDEX(METADATA!$T$2:$T$20,MATCH(B376,METADATA!$S$2:$S$20,0))),0)</f>
        <v>0</v>
      </c>
      <c r="E376" s="312" t="str">
        <f t="shared" si="20"/>
        <v>LO</v>
      </c>
      <c r="F376" s="369">
        <f>VLOOKUP(C376,METADATA!$A$5:$H$29,IF(E376="HI",2,IF(E376="LO",6,10))+IF(D376=1,2,IF(D376=7,1,(IF(WEEKDAY(B376)=1,2,IF(WEEKDAY(B376)=7,1,0))))))</f>
        <v>2</v>
      </c>
      <c r="G376" s="369">
        <f>VLOOKUP(C376,METADATA!$J$5:$Q$29,IF(E376="HI",2,IF(E376="LO",6,10))+IF(D376=1,2,IF(D376=7,1,(IF(WEEKDAY(B376)=1,2,IF(WEEKDAY(B376)=7,1,0))))))</f>
        <v>2</v>
      </c>
      <c r="H376" s="370">
        <v>13069.635192871094</v>
      </c>
      <c r="I376" s="370">
        <v>1999.4414920806885</v>
      </c>
      <c r="M376" s="371">
        <f t="shared" si="21"/>
        <v>13221.69166010872</v>
      </c>
      <c r="N376" s="329">
        <f t="shared" si="22"/>
        <v>0</v>
      </c>
      <c r="T376" s="331">
        <v>0</v>
      </c>
      <c r="U376" s="328">
        <f>VLOOKUP(C376,METADATA!$J$5:$Q$29,IF(E376="HI",2,IF(E376="LO",6,10))+IF(T376=1,2,IF(D376=7,1,(IF(WEEKDAY(B376)=1,2,IF(WEEKDAY(B376)=7,1,0))))))</f>
        <v>2</v>
      </c>
      <c r="V376" s="328">
        <f>VLOOKUP(C376,METADATA!$A$5:$H$29,IF(E376="HI",2,IF(E376="LO",6,10))+IF(T376=1,2,IF(D376=7,1,(IF(WEEKDAY(B376)=1,2,IF(WEEKDAY(B376)=7,1,0))))))</f>
        <v>2</v>
      </c>
    </row>
    <row r="377" spans="2:22">
      <c r="B377" s="318">
        <f t="shared" si="23"/>
        <v>46128</v>
      </c>
      <c r="C377" s="312">
        <v>13</v>
      </c>
      <c r="D377" s="368">
        <f>IFERROR((INDEX(METADATA!$T$2:$T$20,MATCH(B377,METADATA!$S$2:$S$20,0))),0)</f>
        <v>0</v>
      </c>
      <c r="E377" s="312" t="str">
        <f t="shared" si="20"/>
        <v>LO</v>
      </c>
      <c r="F377" s="369">
        <f>VLOOKUP(C377,METADATA!$A$5:$H$29,IF(E377="HI",2,IF(E377="LO",6,10))+IF(D377=1,2,IF(D377=7,1,(IF(WEEKDAY(B377)=1,2,IF(WEEKDAY(B377)=7,1,0))))))</f>
        <v>2</v>
      </c>
      <c r="G377" s="369">
        <f>VLOOKUP(C377,METADATA!$J$5:$Q$29,IF(E377="HI",2,IF(E377="LO",6,10))+IF(D377=1,2,IF(D377=7,1,(IF(WEEKDAY(B377)=1,2,IF(WEEKDAY(B377)=7,1,0))))))</f>
        <v>2</v>
      </c>
      <c r="H377" s="370">
        <v>12358.800018310547</v>
      </c>
      <c r="I377" s="370">
        <v>1928.3780345916748</v>
      </c>
      <c r="M377" s="371">
        <f t="shared" si="21"/>
        <v>12508.340406979994</v>
      </c>
      <c r="N377" s="329">
        <f t="shared" si="22"/>
        <v>0</v>
      </c>
      <c r="T377" s="331">
        <v>0</v>
      </c>
      <c r="U377" s="328">
        <f>VLOOKUP(C377,METADATA!$J$5:$Q$29,IF(E377="HI",2,IF(E377="LO",6,10))+IF(T377=1,2,IF(D377=7,1,(IF(WEEKDAY(B377)=1,2,IF(WEEKDAY(B377)=7,1,0))))))</f>
        <v>2</v>
      </c>
      <c r="V377" s="328">
        <f>VLOOKUP(C377,METADATA!$A$5:$H$29,IF(E377="HI",2,IF(E377="LO",6,10))+IF(T377=1,2,IF(D377=7,1,(IF(WEEKDAY(B377)=1,2,IF(WEEKDAY(B377)=7,1,0))))))</f>
        <v>2</v>
      </c>
    </row>
    <row r="378" spans="2:22">
      <c r="B378" s="318">
        <f t="shared" si="23"/>
        <v>46128</v>
      </c>
      <c r="C378" s="312">
        <v>14</v>
      </c>
      <c r="D378" s="368">
        <f>IFERROR((INDEX(METADATA!$T$2:$T$20,MATCH(B378,METADATA!$S$2:$S$20,0))),0)</f>
        <v>0</v>
      </c>
      <c r="E378" s="312" t="str">
        <f t="shared" si="20"/>
        <v>LO</v>
      </c>
      <c r="F378" s="369">
        <f>VLOOKUP(C378,METADATA!$A$5:$H$29,IF(E378="HI",2,IF(E378="LO",6,10))+IF(D378=1,2,IF(D378=7,1,(IF(WEEKDAY(B378)=1,2,IF(WEEKDAY(B378)=7,1,0))))))</f>
        <v>2</v>
      </c>
      <c r="G378" s="369">
        <f>VLOOKUP(C378,METADATA!$J$5:$Q$29,IF(E378="HI",2,IF(E378="LO",6,10))+IF(D378=1,2,IF(D378=7,1,(IF(WEEKDAY(B378)=1,2,IF(WEEKDAY(B378)=7,1,0))))))</f>
        <v>2</v>
      </c>
      <c r="H378" s="370">
        <v>11290.637390136719</v>
      </c>
      <c r="I378" s="370">
        <v>1726.7999877929688</v>
      </c>
      <c r="M378" s="371">
        <f t="shared" si="21"/>
        <v>11421.923256325752</v>
      </c>
      <c r="N378" s="329">
        <f t="shared" si="22"/>
        <v>0</v>
      </c>
      <c r="T378" s="331">
        <v>0</v>
      </c>
      <c r="U378" s="328">
        <f>VLOOKUP(C378,METADATA!$J$5:$Q$29,IF(E378="HI",2,IF(E378="LO",6,10))+IF(T378=1,2,IF(D378=7,1,(IF(WEEKDAY(B378)=1,2,IF(WEEKDAY(B378)=7,1,0))))))</f>
        <v>2</v>
      </c>
      <c r="V378" s="328">
        <f>VLOOKUP(C378,METADATA!$A$5:$H$29,IF(E378="HI",2,IF(E378="LO",6,10))+IF(T378=1,2,IF(D378=7,1,(IF(WEEKDAY(B378)=1,2,IF(WEEKDAY(B378)=7,1,0))))))</f>
        <v>2</v>
      </c>
    </row>
    <row r="379" spans="2:22">
      <c r="B379" s="318">
        <f t="shared" si="23"/>
        <v>46128</v>
      </c>
      <c r="C379" s="312">
        <v>15</v>
      </c>
      <c r="D379" s="368">
        <f>IFERROR((INDEX(METADATA!$T$2:$T$20,MATCH(B379,METADATA!$S$2:$S$20,0))),0)</f>
        <v>0</v>
      </c>
      <c r="E379" s="312" t="str">
        <f t="shared" si="20"/>
        <v>LO</v>
      </c>
      <c r="F379" s="369">
        <f>VLOOKUP(C379,METADATA!$A$5:$H$29,IF(E379="HI",2,IF(E379="LO",6,10))+IF(D379=1,2,IF(D379=7,1,(IF(WEEKDAY(B379)=1,2,IF(WEEKDAY(B379)=7,1,0))))))</f>
        <v>2</v>
      </c>
      <c r="G379" s="369">
        <f>VLOOKUP(C379,METADATA!$J$5:$Q$29,IF(E379="HI",2,IF(E379="LO",6,10))+IF(D379=1,2,IF(D379=7,1,(IF(WEEKDAY(B379)=1,2,IF(WEEKDAY(B379)=7,1,0))))))</f>
        <v>2</v>
      </c>
      <c r="H379" s="370">
        <v>12088.402526855469</v>
      </c>
      <c r="I379" s="370">
        <v>1931.1584424972534</v>
      </c>
      <c r="M379" s="371">
        <f t="shared" si="21"/>
        <v>12241.684875102532</v>
      </c>
      <c r="N379" s="329">
        <f t="shared" si="22"/>
        <v>0</v>
      </c>
      <c r="T379" s="331">
        <v>0</v>
      </c>
      <c r="U379" s="328">
        <f>VLOOKUP(C379,METADATA!$J$5:$Q$29,IF(E379="HI",2,IF(E379="LO",6,10))+IF(T379=1,2,IF(D379=7,1,(IF(WEEKDAY(B379)=1,2,IF(WEEKDAY(B379)=7,1,0))))))</f>
        <v>2</v>
      </c>
      <c r="V379" s="328">
        <f>VLOOKUP(C379,METADATA!$A$5:$H$29,IF(E379="HI",2,IF(E379="LO",6,10))+IF(T379=1,2,IF(D379=7,1,(IF(WEEKDAY(B379)=1,2,IF(WEEKDAY(B379)=7,1,0))))))</f>
        <v>2</v>
      </c>
    </row>
    <row r="380" spans="2:22">
      <c r="B380" s="318">
        <f t="shared" si="23"/>
        <v>46128</v>
      </c>
      <c r="C380" s="312">
        <v>16</v>
      </c>
      <c r="D380" s="368">
        <f>IFERROR((INDEX(METADATA!$T$2:$T$20,MATCH(B380,METADATA!$S$2:$S$20,0))),0)</f>
        <v>0</v>
      </c>
      <c r="E380" s="312" t="str">
        <f t="shared" si="20"/>
        <v>LO</v>
      </c>
      <c r="F380" s="369">
        <f>VLOOKUP(C380,METADATA!$A$5:$H$29,IF(E380="HI",2,IF(E380="LO",6,10))+IF(D380=1,2,IF(D380=7,1,(IF(WEEKDAY(B380)=1,2,IF(WEEKDAY(B380)=7,1,0))))))</f>
        <v>2</v>
      </c>
      <c r="G380" s="369">
        <f>VLOOKUP(C380,METADATA!$J$5:$Q$29,IF(E380="HI",2,IF(E380="LO",6,10))+IF(D380=1,2,IF(D380=7,1,(IF(WEEKDAY(B380)=1,2,IF(WEEKDAY(B380)=7,1,0))))))</f>
        <v>2</v>
      </c>
      <c r="H380" s="370">
        <v>13492.630065917969</v>
      </c>
      <c r="I380" s="370">
        <v>2296.8474750518799</v>
      </c>
      <c r="M380" s="371">
        <f t="shared" si="21"/>
        <v>13686.729865799418</v>
      </c>
      <c r="N380" s="329">
        <f t="shared" si="22"/>
        <v>0</v>
      </c>
      <c r="T380" s="331">
        <v>0</v>
      </c>
      <c r="U380" s="328">
        <f>VLOOKUP(C380,METADATA!$J$5:$Q$29,IF(E380="HI",2,IF(E380="LO",6,10))+IF(T380=1,2,IF(D380=7,1,(IF(WEEKDAY(B380)=1,2,IF(WEEKDAY(B380)=7,1,0))))))</f>
        <v>2</v>
      </c>
      <c r="V380" s="328">
        <f>VLOOKUP(C380,METADATA!$A$5:$H$29,IF(E380="HI",2,IF(E380="LO",6,10))+IF(T380=1,2,IF(D380=7,1,(IF(WEEKDAY(B380)=1,2,IF(WEEKDAY(B380)=7,1,0))))))</f>
        <v>2</v>
      </c>
    </row>
    <row r="381" spans="2:22">
      <c r="B381" s="318">
        <f t="shared" si="23"/>
        <v>46128</v>
      </c>
      <c r="C381" s="312">
        <v>17</v>
      </c>
      <c r="D381" s="368">
        <f>IFERROR((INDEX(METADATA!$T$2:$T$20,MATCH(B381,METADATA!$S$2:$S$20,0))),0)</f>
        <v>0</v>
      </c>
      <c r="E381" s="312" t="str">
        <f t="shared" si="20"/>
        <v>LO</v>
      </c>
      <c r="F381" s="369">
        <f>VLOOKUP(C381,METADATA!$A$5:$H$29,IF(E381="HI",2,IF(E381="LO",6,10))+IF(D381=1,2,IF(D381=7,1,(IF(WEEKDAY(B381)=1,2,IF(WEEKDAY(B381)=7,1,0))))))</f>
        <v>2</v>
      </c>
      <c r="G381" s="369">
        <f>VLOOKUP(C381,METADATA!$J$5:$Q$29,IF(E381="HI",2,IF(E381="LO",6,10))+IF(D381=1,2,IF(D381=7,1,(IF(WEEKDAY(B381)=1,2,IF(WEEKDAY(B381)=7,1,0))))))</f>
        <v>2</v>
      </c>
      <c r="H381" s="370">
        <v>13476.060119628906</v>
      </c>
      <c r="I381" s="370">
        <v>2303.2809753417969</v>
      </c>
      <c r="M381" s="371">
        <f t="shared" si="21"/>
        <v>13671.477593852982</v>
      </c>
      <c r="N381" s="329">
        <f t="shared" si="22"/>
        <v>0</v>
      </c>
      <c r="T381" s="331">
        <v>0</v>
      </c>
      <c r="U381" s="328">
        <f>VLOOKUP(C381,METADATA!$J$5:$Q$29,IF(E381="HI",2,IF(E381="LO",6,10))+IF(T381=1,2,IF(D381=7,1,(IF(WEEKDAY(B381)=1,2,IF(WEEKDAY(B381)=7,1,0))))))</f>
        <v>2</v>
      </c>
      <c r="V381" s="328">
        <f>VLOOKUP(C381,METADATA!$A$5:$H$29,IF(E381="HI",2,IF(E381="LO",6,10))+IF(T381=1,2,IF(D381=7,1,(IF(WEEKDAY(B381)=1,2,IF(WEEKDAY(B381)=7,1,0))))))</f>
        <v>2</v>
      </c>
    </row>
    <row r="382" spans="2:22">
      <c r="B382" s="318">
        <f t="shared" si="23"/>
        <v>46128</v>
      </c>
      <c r="C382" s="312">
        <v>18</v>
      </c>
      <c r="D382" s="368">
        <f>IFERROR((INDEX(METADATA!$T$2:$T$20,MATCH(B382,METADATA!$S$2:$S$20,0))),0)</f>
        <v>0</v>
      </c>
      <c r="E382" s="312" t="str">
        <f t="shared" si="20"/>
        <v>LO</v>
      </c>
      <c r="F382" s="369">
        <f>VLOOKUP(C382,METADATA!$A$5:$H$29,IF(E382="HI",2,IF(E382="LO",6,10))+IF(D382=1,2,IF(D382=7,1,(IF(WEEKDAY(B382)=1,2,IF(WEEKDAY(B382)=7,1,0))))))</f>
        <v>1</v>
      </c>
      <c r="G382" s="369">
        <f>VLOOKUP(C382,METADATA!$J$5:$Q$29,IF(E382="HI",2,IF(E382="LO",6,10))+IF(D382=1,2,IF(D382=7,1,(IF(WEEKDAY(B382)=1,2,IF(WEEKDAY(B382)=7,1,0))))))</f>
        <v>1</v>
      </c>
      <c r="H382" s="370">
        <v>13554.81005859375</v>
      </c>
      <c r="I382" s="370">
        <v>2263.1749782562256</v>
      </c>
      <c r="M382" s="371">
        <f t="shared" si="21"/>
        <v>13742.446532796093</v>
      </c>
      <c r="N382" s="329">
        <f t="shared" si="22"/>
        <v>0</v>
      </c>
      <c r="T382" s="331">
        <v>0</v>
      </c>
      <c r="U382" s="328">
        <f>VLOOKUP(C382,METADATA!$J$5:$Q$29,IF(E382="HI",2,IF(E382="LO",6,10))+IF(T382=1,2,IF(D382=7,1,(IF(WEEKDAY(B382)=1,2,IF(WEEKDAY(B382)=7,1,0))))))</f>
        <v>1</v>
      </c>
      <c r="V382" s="328">
        <f>VLOOKUP(C382,METADATA!$A$5:$H$29,IF(E382="HI",2,IF(E382="LO",6,10))+IF(T382=1,2,IF(D382=7,1,(IF(WEEKDAY(B382)=1,2,IF(WEEKDAY(B382)=7,1,0))))))</f>
        <v>1</v>
      </c>
    </row>
    <row r="383" spans="2:22">
      <c r="B383" s="318">
        <f t="shared" si="23"/>
        <v>46128</v>
      </c>
      <c r="C383" s="312">
        <v>19</v>
      </c>
      <c r="D383" s="368">
        <f>IFERROR((INDEX(METADATA!$T$2:$T$20,MATCH(B383,METADATA!$S$2:$S$20,0))),0)</f>
        <v>0</v>
      </c>
      <c r="E383" s="312" t="str">
        <f t="shared" si="20"/>
        <v>LO</v>
      </c>
      <c r="F383" s="369">
        <f>VLOOKUP(C383,METADATA!$A$5:$H$29,IF(E383="HI",2,IF(E383="LO",6,10))+IF(D383=1,2,IF(D383=7,1,(IF(WEEKDAY(B383)=1,2,IF(WEEKDAY(B383)=7,1,0))))))</f>
        <v>1</v>
      </c>
      <c r="G383" s="369">
        <f>VLOOKUP(C383,METADATA!$J$5:$Q$29,IF(E383="HI",2,IF(E383="LO",6,10))+IF(D383=1,2,IF(D383=7,1,(IF(WEEKDAY(B383)=1,2,IF(WEEKDAY(B383)=7,1,0))))))</f>
        <v>1</v>
      </c>
      <c r="H383" s="370">
        <v>13569.735107421875</v>
      </c>
      <c r="I383" s="370">
        <v>2219.5665149688721</v>
      </c>
      <c r="M383" s="371">
        <f t="shared" si="21"/>
        <v>13750.061323498483</v>
      </c>
      <c r="N383" s="329">
        <f t="shared" si="22"/>
        <v>0</v>
      </c>
      <c r="T383" s="331">
        <v>0</v>
      </c>
      <c r="U383" s="328">
        <f>VLOOKUP(C383,METADATA!$J$5:$Q$29,IF(E383="HI",2,IF(E383="LO",6,10))+IF(T383=1,2,IF(D383=7,1,(IF(WEEKDAY(B383)=1,2,IF(WEEKDAY(B383)=7,1,0))))))</f>
        <v>1</v>
      </c>
      <c r="V383" s="328">
        <f>VLOOKUP(C383,METADATA!$A$5:$H$29,IF(E383="HI",2,IF(E383="LO",6,10))+IF(T383=1,2,IF(D383=7,1,(IF(WEEKDAY(B383)=1,2,IF(WEEKDAY(B383)=7,1,0))))))</f>
        <v>1</v>
      </c>
    </row>
    <row r="384" spans="2:22">
      <c r="B384" s="318">
        <f t="shared" si="23"/>
        <v>46128</v>
      </c>
      <c r="C384" s="312">
        <v>20</v>
      </c>
      <c r="D384" s="368">
        <f>IFERROR((INDEX(METADATA!$T$2:$T$20,MATCH(B384,METADATA!$S$2:$S$20,0))),0)</f>
        <v>0</v>
      </c>
      <c r="E384" s="312" t="str">
        <f t="shared" si="20"/>
        <v>LO</v>
      </c>
      <c r="F384" s="369">
        <f>VLOOKUP(C384,METADATA!$A$5:$H$29,IF(E384="HI",2,IF(E384="LO",6,10))+IF(D384=1,2,IF(D384=7,1,(IF(WEEKDAY(B384)=1,2,IF(WEEKDAY(B384)=7,1,0))))))</f>
        <v>1</v>
      </c>
      <c r="G384" s="369">
        <f>VLOOKUP(C384,METADATA!$J$5:$Q$29,IF(E384="HI",2,IF(E384="LO",6,10))+IF(D384=1,2,IF(D384=7,1,(IF(WEEKDAY(B384)=1,2,IF(WEEKDAY(B384)=7,1,0))))))</f>
        <v>1</v>
      </c>
      <c r="H384" s="370">
        <v>13470.999877929688</v>
      </c>
      <c r="I384" s="370">
        <v>2210.6180086135864</v>
      </c>
      <c r="M384" s="371">
        <f t="shared" si="21"/>
        <v>13651.178326107543</v>
      </c>
      <c r="N384" s="329">
        <f t="shared" si="22"/>
        <v>0</v>
      </c>
      <c r="T384" s="331">
        <v>0</v>
      </c>
      <c r="U384" s="328">
        <f>VLOOKUP(C384,METADATA!$J$5:$Q$29,IF(E384="HI",2,IF(E384="LO",6,10))+IF(T384=1,2,IF(D384=7,1,(IF(WEEKDAY(B384)=1,2,IF(WEEKDAY(B384)=7,1,0))))))</f>
        <v>1</v>
      </c>
      <c r="V384" s="328">
        <f>VLOOKUP(C384,METADATA!$A$5:$H$29,IF(E384="HI",2,IF(E384="LO",6,10))+IF(T384=1,2,IF(D384=7,1,(IF(WEEKDAY(B384)=1,2,IF(WEEKDAY(B384)=7,1,0))))))</f>
        <v>1</v>
      </c>
    </row>
    <row r="385" spans="2:22">
      <c r="B385" s="318">
        <f t="shared" si="23"/>
        <v>46128</v>
      </c>
      <c r="C385" s="312">
        <v>21</v>
      </c>
      <c r="D385" s="368">
        <f>IFERROR((INDEX(METADATA!$T$2:$T$20,MATCH(B385,METADATA!$S$2:$S$20,0))),0)</f>
        <v>0</v>
      </c>
      <c r="E385" s="312" t="str">
        <f t="shared" si="20"/>
        <v>LO</v>
      </c>
      <c r="F385" s="369">
        <f>VLOOKUP(C385,METADATA!$A$5:$H$29,IF(E385="HI",2,IF(E385="LO",6,10))+IF(D385=1,2,IF(D385=7,1,(IF(WEEKDAY(B385)=1,2,IF(WEEKDAY(B385)=7,1,0))))))</f>
        <v>2</v>
      </c>
      <c r="G385" s="369">
        <f>VLOOKUP(C385,METADATA!$J$5:$Q$29,IF(E385="HI",2,IF(E385="LO",6,10))+IF(D385=1,2,IF(D385=7,1,(IF(WEEKDAY(B385)=1,2,IF(WEEKDAY(B385)=7,1,0))))))</f>
        <v>2</v>
      </c>
      <c r="H385" s="370">
        <v>13500.315124511719</v>
      </c>
      <c r="I385" s="370">
        <v>2233.943510055542</v>
      </c>
      <c r="M385" s="371">
        <f t="shared" si="21"/>
        <v>13683.896085078954</v>
      </c>
      <c r="N385" s="329">
        <f t="shared" si="22"/>
        <v>0</v>
      </c>
      <c r="T385" s="331">
        <v>0</v>
      </c>
      <c r="U385" s="328">
        <f>VLOOKUP(C385,METADATA!$J$5:$Q$29,IF(E385="HI",2,IF(E385="LO",6,10))+IF(T385=1,2,IF(D385=7,1,(IF(WEEKDAY(B385)=1,2,IF(WEEKDAY(B385)=7,1,0))))))</f>
        <v>2</v>
      </c>
      <c r="V385" s="328">
        <f>VLOOKUP(C385,METADATA!$A$5:$H$29,IF(E385="HI",2,IF(E385="LO",6,10))+IF(T385=1,2,IF(D385=7,1,(IF(WEEKDAY(B385)=1,2,IF(WEEKDAY(B385)=7,1,0))))))</f>
        <v>2</v>
      </c>
    </row>
    <row r="386" spans="2:22">
      <c r="B386" s="318">
        <f t="shared" si="23"/>
        <v>46128</v>
      </c>
      <c r="C386" s="312">
        <v>22</v>
      </c>
      <c r="D386" s="368">
        <f>IFERROR((INDEX(METADATA!$T$2:$T$20,MATCH(B386,METADATA!$S$2:$S$20,0))),0)</f>
        <v>0</v>
      </c>
      <c r="E386" s="312" t="str">
        <f t="shared" si="20"/>
        <v>LO</v>
      </c>
      <c r="F386" s="369">
        <f>VLOOKUP(C386,METADATA!$A$5:$H$29,IF(E386="HI",2,IF(E386="LO",6,10))+IF(D386=1,2,IF(D386=7,1,(IF(WEEKDAY(B386)=1,2,IF(WEEKDAY(B386)=7,1,0))))))</f>
        <v>3</v>
      </c>
      <c r="G386" s="369">
        <f>VLOOKUP(C386,METADATA!$J$5:$Q$29,IF(E386="HI",2,IF(E386="LO",6,10))+IF(D386=1,2,IF(D386=7,1,(IF(WEEKDAY(B386)=1,2,IF(WEEKDAY(B386)=7,1,0))))))</f>
        <v>3</v>
      </c>
      <c r="H386" s="370">
        <v>13462.194519042969</v>
      </c>
      <c r="I386" s="370">
        <v>2204.474032998085</v>
      </c>
      <c r="M386" s="371">
        <f t="shared" si="21"/>
        <v>13641.495043825416</v>
      </c>
      <c r="N386" s="329">
        <f t="shared" si="22"/>
        <v>0</v>
      </c>
      <c r="T386" s="331">
        <v>0</v>
      </c>
      <c r="U386" s="328">
        <f>VLOOKUP(C386,METADATA!$J$5:$Q$29,IF(E386="HI",2,IF(E386="LO",6,10))+IF(T386=1,2,IF(D386=7,1,(IF(WEEKDAY(B386)=1,2,IF(WEEKDAY(B386)=7,1,0))))))</f>
        <v>3</v>
      </c>
      <c r="V386" s="328">
        <f>VLOOKUP(C386,METADATA!$A$5:$H$29,IF(E386="HI",2,IF(E386="LO",6,10))+IF(T386=1,2,IF(D386=7,1,(IF(WEEKDAY(B386)=1,2,IF(WEEKDAY(B386)=7,1,0))))))</f>
        <v>3</v>
      </c>
    </row>
    <row r="387" spans="2:22">
      <c r="B387" s="318">
        <f t="shared" si="23"/>
        <v>46128</v>
      </c>
      <c r="C387" s="312">
        <v>23</v>
      </c>
      <c r="D387" s="368">
        <f>IFERROR((INDEX(METADATA!$T$2:$T$20,MATCH(B387,METADATA!$S$2:$S$20,0))),0)</f>
        <v>0</v>
      </c>
      <c r="E387" s="312" t="str">
        <f t="shared" si="20"/>
        <v>LO</v>
      </c>
      <c r="F387" s="369">
        <f>VLOOKUP(C387,METADATA!$A$5:$H$29,IF(E387="HI",2,IF(E387="LO",6,10))+IF(D387=1,2,IF(D387=7,1,(IF(WEEKDAY(B387)=1,2,IF(WEEKDAY(B387)=7,1,0))))))</f>
        <v>3</v>
      </c>
      <c r="G387" s="369">
        <f>VLOOKUP(C387,METADATA!$J$5:$Q$29,IF(E387="HI",2,IF(E387="LO",6,10))+IF(D387=1,2,IF(D387=7,1,(IF(WEEKDAY(B387)=1,2,IF(WEEKDAY(B387)=7,1,0))))))</f>
        <v>3</v>
      </c>
      <c r="H387" s="370">
        <v>13548.439575195313</v>
      </c>
      <c r="I387" s="370">
        <v>2210.3740291595459</v>
      </c>
      <c r="M387" s="371">
        <f t="shared" si="21"/>
        <v>13727.562357225028</v>
      </c>
      <c r="N387" s="329">
        <f t="shared" si="22"/>
        <v>0</v>
      </c>
      <c r="T387" s="331">
        <v>0</v>
      </c>
      <c r="U387" s="328">
        <f>VLOOKUP(C387,METADATA!$J$5:$Q$29,IF(E387="HI",2,IF(E387="LO",6,10))+IF(T387=1,2,IF(D387=7,1,(IF(WEEKDAY(B387)=1,2,IF(WEEKDAY(B387)=7,1,0))))))</f>
        <v>3</v>
      </c>
      <c r="V387" s="328">
        <f>VLOOKUP(C387,METADATA!$A$5:$H$29,IF(E387="HI",2,IF(E387="LO",6,10))+IF(T387=1,2,IF(D387=7,1,(IF(WEEKDAY(B387)=1,2,IF(WEEKDAY(B387)=7,1,0))))))</f>
        <v>3</v>
      </c>
    </row>
    <row r="388" spans="2:22">
      <c r="B388" s="318">
        <f t="shared" si="23"/>
        <v>46129</v>
      </c>
      <c r="C388" s="312">
        <v>0</v>
      </c>
      <c r="D388" s="368">
        <f>IFERROR((INDEX(METADATA!$T$2:$T$20,MATCH(B388,METADATA!$S$2:$S$20,0))),0)</f>
        <v>0</v>
      </c>
      <c r="E388" s="312" t="str">
        <f t="shared" ref="E388:E451" si="24">IF(B388="","",IF(AND(MONTH(B388)&gt;=MONTH($Z$9),MONTH(B388)&lt;=MONTH($Z$11)),"HI","LO"))</f>
        <v>LO</v>
      </c>
      <c r="F388" s="369">
        <f>VLOOKUP(C388,METADATA!$A$5:$H$29,IF(E388="HI",2,IF(E388="LO",6,10))+IF(D388=1,2,IF(D388=7,1,(IF(WEEKDAY(B388)=1,2,IF(WEEKDAY(B388)=7,1,0))))))</f>
        <v>3</v>
      </c>
      <c r="G388" s="369">
        <f>VLOOKUP(C388,METADATA!$J$5:$Q$29,IF(E388="HI",2,IF(E388="LO",6,10))+IF(D388=1,2,IF(D388=7,1,(IF(WEEKDAY(B388)=1,2,IF(WEEKDAY(B388)=7,1,0))))))</f>
        <v>3</v>
      </c>
      <c r="H388" s="370">
        <v>13532.344604492188</v>
      </c>
      <c r="I388" s="370">
        <v>2086.9904623031616</v>
      </c>
      <c r="M388" s="371">
        <f t="shared" ref="M388:M451" si="25">SQRT(H388^2+I388^2)</f>
        <v>13692.32922787329</v>
      </c>
      <c r="N388" s="329">
        <f t="shared" ref="N388:N451" si="26">IF(H388=0,0,(IF(I388-(0.3*H388)&lt;0,0,(I388-(0.3*H388)))))</f>
        <v>0</v>
      </c>
      <c r="T388" s="331">
        <v>0</v>
      </c>
      <c r="U388" s="328">
        <f>VLOOKUP(C388,METADATA!$J$5:$Q$29,IF(E388="HI",2,IF(E388="LO",6,10))+IF(T388=1,2,IF(D388=7,1,(IF(WEEKDAY(B388)=1,2,IF(WEEKDAY(B388)=7,1,0))))))</f>
        <v>3</v>
      </c>
      <c r="V388" s="328">
        <f>VLOOKUP(C388,METADATA!$A$5:$H$29,IF(E388="HI",2,IF(E388="LO",6,10))+IF(T388=1,2,IF(D388=7,1,(IF(WEEKDAY(B388)=1,2,IF(WEEKDAY(B388)=7,1,0))))))</f>
        <v>3</v>
      </c>
    </row>
    <row r="389" spans="2:22">
      <c r="B389" s="318">
        <f t="shared" si="23"/>
        <v>46129</v>
      </c>
      <c r="C389" s="312">
        <v>1</v>
      </c>
      <c r="D389" s="368">
        <f>IFERROR((INDEX(METADATA!$T$2:$T$20,MATCH(B389,METADATA!$S$2:$S$20,0))),0)</f>
        <v>0</v>
      </c>
      <c r="E389" s="312" t="str">
        <f t="shared" si="24"/>
        <v>LO</v>
      </c>
      <c r="F389" s="369">
        <f>VLOOKUP(C389,METADATA!$A$5:$H$29,IF(E389="HI",2,IF(E389="LO",6,10))+IF(D389=1,2,IF(D389=7,1,(IF(WEEKDAY(B389)=1,2,IF(WEEKDAY(B389)=7,1,0))))))</f>
        <v>3</v>
      </c>
      <c r="G389" s="369">
        <f>VLOOKUP(C389,METADATA!$J$5:$Q$29,IF(E389="HI",2,IF(E389="LO",6,10))+IF(D389=1,2,IF(D389=7,1,(IF(WEEKDAY(B389)=1,2,IF(WEEKDAY(B389)=7,1,0))))))</f>
        <v>3</v>
      </c>
      <c r="H389" s="370">
        <v>13418.639709472656</v>
      </c>
      <c r="I389" s="370">
        <v>2125.947521686554</v>
      </c>
      <c r="M389" s="371">
        <f t="shared" si="25"/>
        <v>13586.005465831435</v>
      </c>
      <c r="N389" s="329">
        <f t="shared" si="26"/>
        <v>0</v>
      </c>
      <c r="T389" s="331">
        <v>0</v>
      </c>
      <c r="U389" s="328">
        <f>VLOOKUP(C389,METADATA!$J$5:$Q$29,IF(E389="HI",2,IF(E389="LO",6,10))+IF(T389=1,2,IF(D389=7,1,(IF(WEEKDAY(B389)=1,2,IF(WEEKDAY(B389)=7,1,0))))))</f>
        <v>3</v>
      </c>
      <c r="V389" s="328">
        <f>VLOOKUP(C389,METADATA!$A$5:$H$29,IF(E389="HI",2,IF(E389="LO",6,10))+IF(T389=1,2,IF(D389=7,1,(IF(WEEKDAY(B389)=1,2,IF(WEEKDAY(B389)=7,1,0))))))</f>
        <v>3</v>
      </c>
    </row>
    <row r="390" spans="2:22">
      <c r="B390" s="318">
        <f t="shared" si="23"/>
        <v>46129</v>
      </c>
      <c r="C390" s="312">
        <v>2</v>
      </c>
      <c r="D390" s="368">
        <f>IFERROR((INDEX(METADATA!$T$2:$T$20,MATCH(B390,METADATA!$S$2:$S$20,0))),0)</f>
        <v>0</v>
      </c>
      <c r="E390" s="312" t="str">
        <f t="shared" si="24"/>
        <v>LO</v>
      </c>
      <c r="F390" s="369">
        <f>VLOOKUP(C390,METADATA!$A$5:$H$29,IF(E390="HI",2,IF(E390="LO",6,10))+IF(D390=1,2,IF(D390=7,1,(IF(WEEKDAY(B390)=1,2,IF(WEEKDAY(B390)=7,1,0))))))</f>
        <v>3</v>
      </c>
      <c r="G390" s="369">
        <f>VLOOKUP(C390,METADATA!$J$5:$Q$29,IF(E390="HI",2,IF(E390="LO",6,10))+IF(D390=1,2,IF(D390=7,1,(IF(WEEKDAY(B390)=1,2,IF(WEEKDAY(B390)=7,1,0))))))</f>
        <v>3</v>
      </c>
      <c r="H390" s="370">
        <v>13367.239990234375</v>
      </c>
      <c r="I390" s="370">
        <v>2166.7899799346924</v>
      </c>
      <c r="M390" s="371">
        <f t="shared" si="25"/>
        <v>13541.716426423442</v>
      </c>
      <c r="N390" s="329">
        <f t="shared" si="26"/>
        <v>0</v>
      </c>
      <c r="T390" s="331">
        <v>0</v>
      </c>
      <c r="U390" s="328">
        <f>VLOOKUP(C390,METADATA!$J$5:$Q$29,IF(E390="HI",2,IF(E390="LO",6,10))+IF(T390=1,2,IF(D390=7,1,(IF(WEEKDAY(B390)=1,2,IF(WEEKDAY(B390)=7,1,0))))))</f>
        <v>3</v>
      </c>
      <c r="V390" s="328">
        <f>VLOOKUP(C390,METADATA!$A$5:$H$29,IF(E390="HI",2,IF(E390="LO",6,10))+IF(T390=1,2,IF(D390=7,1,(IF(WEEKDAY(B390)=1,2,IF(WEEKDAY(B390)=7,1,0))))))</f>
        <v>3</v>
      </c>
    </row>
    <row r="391" spans="2:22">
      <c r="B391" s="318">
        <f t="shared" si="23"/>
        <v>46129</v>
      </c>
      <c r="C391" s="312">
        <v>3</v>
      </c>
      <c r="D391" s="368">
        <f>IFERROR((INDEX(METADATA!$T$2:$T$20,MATCH(B391,METADATA!$S$2:$S$20,0))),0)</f>
        <v>0</v>
      </c>
      <c r="E391" s="312" t="str">
        <f t="shared" si="24"/>
        <v>LO</v>
      </c>
      <c r="F391" s="369">
        <f>VLOOKUP(C391,METADATA!$A$5:$H$29,IF(E391="HI",2,IF(E391="LO",6,10))+IF(D391=1,2,IF(D391=7,1,(IF(WEEKDAY(B391)=1,2,IF(WEEKDAY(B391)=7,1,0))))))</f>
        <v>3</v>
      </c>
      <c r="G391" s="369">
        <f>VLOOKUP(C391,METADATA!$J$5:$Q$29,IF(E391="HI",2,IF(E391="LO",6,10))+IF(D391=1,2,IF(D391=7,1,(IF(WEEKDAY(B391)=1,2,IF(WEEKDAY(B391)=7,1,0))))))</f>
        <v>3</v>
      </c>
      <c r="H391" s="370">
        <v>13492.164916992188</v>
      </c>
      <c r="I391" s="370">
        <v>2175.0464582443237</v>
      </c>
      <c r="M391" s="371">
        <f t="shared" si="25"/>
        <v>13666.358009463822</v>
      </c>
      <c r="N391" s="329">
        <f t="shared" si="26"/>
        <v>0</v>
      </c>
      <c r="T391" s="331">
        <v>0</v>
      </c>
      <c r="U391" s="328">
        <f>VLOOKUP(C391,METADATA!$J$5:$Q$29,IF(E391="HI",2,IF(E391="LO",6,10))+IF(T391=1,2,IF(D391=7,1,(IF(WEEKDAY(B391)=1,2,IF(WEEKDAY(B391)=7,1,0))))))</f>
        <v>3</v>
      </c>
      <c r="V391" s="328">
        <f>VLOOKUP(C391,METADATA!$A$5:$H$29,IF(E391="HI",2,IF(E391="LO",6,10))+IF(T391=1,2,IF(D391=7,1,(IF(WEEKDAY(B391)=1,2,IF(WEEKDAY(B391)=7,1,0))))))</f>
        <v>3</v>
      </c>
    </row>
    <row r="392" spans="2:22">
      <c r="B392" s="318">
        <f t="shared" si="23"/>
        <v>46129</v>
      </c>
      <c r="C392" s="312">
        <v>4</v>
      </c>
      <c r="D392" s="368">
        <f>IFERROR((INDEX(METADATA!$T$2:$T$20,MATCH(B392,METADATA!$S$2:$S$20,0))),0)</f>
        <v>0</v>
      </c>
      <c r="E392" s="312" t="str">
        <f t="shared" si="24"/>
        <v>LO</v>
      </c>
      <c r="F392" s="369">
        <f>VLOOKUP(C392,METADATA!$A$5:$H$29,IF(E392="HI",2,IF(E392="LO",6,10))+IF(D392=1,2,IF(D392=7,1,(IF(WEEKDAY(B392)=1,2,IF(WEEKDAY(B392)=7,1,0))))))</f>
        <v>3</v>
      </c>
      <c r="G392" s="369">
        <f>VLOOKUP(C392,METADATA!$J$5:$Q$29,IF(E392="HI",2,IF(E392="LO",6,10))+IF(D392=1,2,IF(D392=7,1,(IF(WEEKDAY(B392)=1,2,IF(WEEKDAY(B392)=7,1,0))))))</f>
        <v>3</v>
      </c>
      <c r="H392" s="370">
        <v>12478.544860839844</v>
      </c>
      <c r="I392" s="370">
        <v>1884.7234644889832</v>
      </c>
      <c r="M392" s="371">
        <f t="shared" si="25"/>
        <v>12620.073865932316</v>
      </c>
      <c r="N392" s="329">
        <f t="shared" si="26"/>
        <v>0</v>
      </c>
      <c r="T392" s="331">
        <v>0</v>
      </c>
      <c r="U392" s="328">
        <f>VLOOKUP(C392,METADATA!$J$5:$Q$29,IF(E392="HI",2,IF(E392="LO",6,10))+IF(T392=1,2,IF(D392=7,1,(IF(WEEKDAY(B392)=1,2,IF(WEEKDAY(B392)=7,1,0))))))</f>
        <v>3</v>
      </c>
      <c r="V392" s="328">
        <f>VLOOKUP(C392,METADATA!$A$5:$H$29,IF(E392="HI",2,IF(E392="LO",6,10))+IF(T392=1,2,IF(D392=7,1,(IF(WEEKDAY(B392)=1,2,IF(WEEKDAY(B392)=7,1,0))))))</f>
        <v>3</v>
      </c>
    </row>
    <row r="393" spans="2:22">
      <c r="B393" s="318">
        <f t="shared" si="23"/>
        <v>46129</v>
      </c>
      <c r="C393" s="312">
        <v>5</v>
      </c>
      <c r="D393" s="368">
        <f>IFERROR((INDEX(METADATA!$T$2:$T$20,MATCH(B393,METADATA!$S$2:$S$20,0))),0)</f>
        <v>0</v>
      </c>
      <c r="E393" s="312" t="str">
        <f t="shared" si="24"/>
        <v>LO</v>
      </c>
      <c r="F393" s="369">
        <f>VLOOKUP(C393,METADATA!$A$5:$H$29,IF(E393="HI",2,IF(E393="LO",6,10))+IF(D393=1,2,IF(D393=7,1,(IF(WEEKDAY(B393)=1,2,IF(WEEKDAY(B393)=7,1,0))))))</f>
        <v>3</v>
      </c>
      <c r="G393" s="369">
        <f>VLOOKUP(C393,METADATA!$J$5:$Q$29,IF(E393="HI",2,IF(E393="LO",6,10))+IF(D393=1,2,IF(D393=7,1,(IF(WEEKDAY(B393)=1,2,IF(WEEKDAY(B393)=7,1,0))))))</f>
        <v>3</v>
      </c>
      <c r="H393" s="370">
        <v>11395.709533691406</v>
      </c>
      <c r="I393" s="370">
        <v>1627.5599365234375</v>
      </c>
      <c r="M393" s="371">
        <f t="shared" si="25"/>
        <v>11511.348623130192</v>
      </c>
      <c r="N393" s="329">
        <f t="shared" si="26"/>
        <v>0</v>
      </c>
      <c r="T393" s="331">
        <v>0</v>
      </c>
      <c r="U393" s="328">
        <f>VLOOKUP(C393,METADATA!$J$5:$Q$29,IF(E393="HI",2,IF(E393="LO",6,10))+IF(T393=1,2,IF(D393=7,1,(IF(WEEKDAY(B393)=1,2,IF(WEEKDAY(B393)=7,1,0))))))</f>
        <v>3</v>
      </c>
      <c r="V393" s="328">
        <f>VLOOKUP(C393,METADATA!$A$5:$H$29,IF(E393="HI",2,IF(E393="LO",6,10))+IF(T393=1,2,IF(D393=7,1,(IF(WEEKDAY(B393)=1,2,IF(WEEKDAY(B393)=7,1,0))))))</f>
        <v>3</v>
      </c>
    </row>
    <row r="394" spans="2:22">
      <c r="B394" s="318">
        <f t="shared" si="23"/>
        <v>46129</v>
      </c>
      <c r="C394" s="312">
        <v>6</v>
      </c>
      <c r="D394" s="368">
        <f>IFERROR((INDEX(METADATA!$T$2:$T$20,MATCH(B394,METADATA!$S$2:$S$20,0))),0)</f>
        <v>0</v>
      </c>
      <c r="E394" s="312" t="str">
        <f t="shared" si="24"/>
        <v>LO</v>
      </c>
      <c r="F394" s="369">
        <f>VLOOKUP(C394,METADATA!$A$5:$H$29,IF(E394="HI",2,IF(E394="LO",6,10))+IF(D394=1,2,IF(D394=7,1,(IF(WEEKDAY(B394)=1,2,IF(WEEKDAY(B394)=7,1,0))))))</f>
        <v>2</v>
      </c>
      <c r="G394" s="369">
        <f>VLOOKUP(C394,METADATA!$J$5:$Q$29,IF(E394="HI",2,IF(E394="LO",6,10))+IF(D394=1,2,IF(D394=7,1,(IF(WEEKDAY(B394)=1,2,IF(WEEKDAY(B394)=7,1,0))))))</f>
        <v>2</v>
      </c>
      <c r="H394" s="370">
        <v>11951.042724609375</v>
      </c>
      <c r="I394" s="370">
        <v>1779.3809814453125</v>
      </c>
      <c r="M394" s="371">
        <f t="shared" si="25"/>
        <v>12082.781918191189</v>
      </c>
      <c r="N394" s="329">
        <f t="shared" si="26"/>
        <v>0</v>
      </c>
      <c r="T394" s="331">
        <v>0</v>
      </c>
      <c r="U394" s="328">
        <f>VLOOKUP(C394,METADATA!$J$5:$Q$29,IF(E394="HI",2,IF(E394="LO",6,10))+IF(T394=1,2,IF(D394=7,1,(IF(WEEKDAY(B394)=1,2,IF(WEEKDAY(B394)=7,1,0))))))</f>
        <v>2</v>
      </c>
      <c r="V394" s="328">
        <f>VLOOKUP(C394,METADATA!$A$5:$H$29,IF(E394="HI",2,IF(E394="LO",6,10))+IF(T394=1,2,IF(D394=7,1,(IF(WEEKDAY(B394)=1,2,IF(WEEKDAY(B394)=7,1,0))))))</f>
        <v>2</v>
      </c>
    </row>
    <row r="395" spans="2:22">
      <c r="B395" s="318">
        <f t="shared" si="23"/>
        <v>46129</v>
      </c>
      <c r="C395" s="312">
        <v>7</v>
      </c>
      <c r="D395" s="368">
        <f>IFERROR((INDEX(METADATA!$T$2:$T$20,MATCH(B395,METADATA!$S$2:$S$20,0))),0)</f>
        <v>0</v>
      </c>
      <c r="E395" s="312" t="str">
        <f t="shared" si="24"/>
        <v>LO</v>
      </c>
      <c r="F395" s="369">
        <f>VLOOKUP(C395,METADATA!$A$5:$H$29,IF(E395="HI",2,IF(E395="LO",6,10))+IF(D395=1,2,IF(D395=7,1,(IF(WEEKDAY(B395)=1,2,IF(WEEKDAY(B395)=7,1,0))))))</f>
        <v>1</v>
      </c>
      <c r="G395" s="369">
        <f>VLOOKUP(C395,METADATA!$J$5:$Q$29,IF(E395="HI",2,IF(E395="LO",6,10))+IF(D395=1,2,IF(D395=7,1,(IF(WEEKDAY(B395)=1,2,IF(WEEKDAY(B395)=7,1,0))))))</f>
        <v>1</v>
      </c>
      <c r="H395" s="370">
        <v>13641.88525390625</v>
      </c>
      <c r="I395" s="370">
        <v>2184.5289821624756</v>
      </c>
      <c r="M395" s="371">
        <f t="shared" si="25"/>
        <v>13815.686742057111</v>
      </c>
      <c r="N395" s="329">
        <f t="shared" si="26"/>
        <v>0</v>
      </c>
      <c r="T395" s="331">
        <v>0</v>
      </c>
      <c r="U395" s="328">
        <f>VLOOKUP(C395,METADATA!$J$5:$Q$29,IF(E395="HI",2,IF(E395="LO",6,10))+IF(T395=1,2,IF(D395=7,1,(IF(WEEKDAY(B395)=1,2,IF(WEEKDAY(B395)=7,1,0))))))</f>
        <v>1</v>
      </c>
      <c r="V395" s="328">
        <f>VLOOKUP(C395,METADATA!$A$5:$H$29,IF(E395="HI",2,IF(E395="LO",6,10))+IF(T395=1,2,IF(D395=7,1,(IF(WEEKDAY(B395)=1,2,IF(WEEKDAY(B395)=7,1,0))))))</f>
        <v>1</v>
      </c>
    </row>
    <row r="396" spans="2:22">
      <c r="B396" s="318">
        <f t="shared" si="23"/>
        <v>46129</v>
      </c>
      <c r="C396" s="312">
        <v>8</v>
      </c>
      <c r="D396" s="368">
        <f>IFERROR((INDEX(METADATA!$T$2:$T$20,MATCH(B396,METADATA!$S$2:$S$20,0))),0)</f>
        <v>0</v>
      </c>
      <c r="E396" s="312" t="str">
        <f t="shared" si="24"/>
        <v>LO</v>
      </c>
      <c r="F396" s="369">
        <f>VLOOKUP(C396,METADATA!$A$5:$H$29,IF(E396="HI",2,IF(E396="LO",6,10))+IF(D396=1,2,IF(D396=7,1,(IF(WEEKDAY(B396)=1,2,IF(WEEKDAY(B396)=7,1,0))))))</f>
        <v>1</v>
      </c>
      <c r="G396" s="369">
        <f>VLOOKUP(C396,METADATA!$J$5:$Q$29,IF(E396="HI",2,IF(E396="LO",6,10))+IF(D396=1,2,IF(D396=7,1,(IF(WEEKDAY(B396)=1,2,IF(WEEKDAY(B396)=7,1,0))))))</f>
        <v>1</v>
      </c>
      <c r="H396" s="370">
        <v>13690.014770507813</v>
      </c>
      <c r="I396" s="370">
        <v>2168.4239482879639</v>
      </c>
      <c r="M396" s="371">
        <f t="shared" si="25"/>
        <v>13860.684212412849</v>
      </c>
      <c r="N396" s="329">
        <f t="shared" si="26"/>
        <v>0</v>
      </c>
      <c r="T396" s="331">
        <v>0</v>
      </c>
      <c r="U396" s="328">
        <f>VLOOKUP(C396,METADATA!$J$5:$Q$29,IF(E396="HI",2,IF(E396="LO",6,10))+IF(T396=1,2,IF(D396=7,1,(IF(WEEKDAY(B396)=1,2,IF(WEEKDAY(B396)=7,1,0))))))</f>
        <v>1</v>
      </c>
      <c r="V396" s="328">
        <f>VLOOKUP(C396,METADATA!$A$5:$H$29,IF(E396="HI",2,IF(E396="LO",6,10))+IF(T396=1,2,IF(D396=7,1,(IF(WEEKDAY(B396)=1,2,IF(WEEKDAY(B396)=7,1,0))))))</f>
        <v>1</v>
      </c>
    </row>
    <row r="397" spans="2:22">
      <c r="B397" s="318">
        <f t="shared" si="23"/>
        <v>46129</v>
      </c>
      <c r="C397" s="312">
        <v>9</v>
      </c>
      <c r="D397" s="368">
        <f>IFERROR((INDEX(METADATA!$T$2:$T$20,MATCH(B397,METADATA!$S$2:$S$20,0))),0)</f>
        <v>0</v>
      </c>
      <c r="E397" s="312" t="str">
        <f t="shared" si="24"/>
        <v>LO</v>
      </c>
      <c r="F397" s="369">
        <f>VLOOKUP(C397,METADATA!$A$5:$H$29,IF(E397="HI",2,IF(E397="LO",6,10))+IF(D397=1,2,IF(D397=7,1,(IF(WEEKDAY(B397)=1,2,IF(WEEKDAY(B397)=7,1,0))))))</f>
        <v>2</v>
      </c>
      <c r="G397" s="369">
        <f>VLOOKUP(C397,METADATA!$J$5:$Q$29,IF(E397="HI",2,IF(E397="LO",6,10))+IF(D397=1,2,IF(D397=7,1,(IF(WEEKDAY(B397)=1,2,IF(WEEKDAY(B397)=7,1,0))))))</f>
        <v>2</v>
      </c>
      <c r="H397" s="370">
        <v>13660.875183105469</v>
      </c>
      <c r="I397" s="370">
        <v>2106.2885189056396</v>
      </c>
      <c r="M397" s="371">
        <f t="shared" si="25"/>
        <v>13822.299450281802</v>
      </c>
      <c r="N397" s="329">
        <f t="shared" si="26"/>
        <v>0</v>
      </c>
      <c r="T397" s="331">
        <v>0</v>
      </c>
      <c r="U397" s="328">
        <f>VLOOKUP(C397,METADATA!$J$5:$Q$29,IF(E397="HI",2,IF(E397="LO",6,10))+IF(T397=1,2,IF(D397=7,1,(IF(WEEKDAY(B397)=1,2,IF(WEEKDAY(B397)=7,1,0))))))</f>
        <v>2</v>
      </c>
      <c r="V397" s="328">
        <f>VLOOKUP(C397,METADATA!$A$5:$H$29,IF(E397="HI",2,IF(E397="LO",6,10))+IF(T397=1,2,IF(D397=7,1,(IF(WEEKDAY(B397)=1,2,IF(WEEKDAY(B397)=7,1,0))))))</f>
        <v>2</v>
      </c>
    </row>
    <row r="398" spans="2:22">
      <c r="B398" s="318">
        <f t="shared" si="23"/>
        <v>46129</v>
      </c>
      <c r="C398" s="312">
        <v>10</v>
      </c>
      <c r="D398" s="368">
        <f>IFERROR((INDEX(METADATA!$T$2:$T$20,MATCH(B398,METADATA!$S$2:$S$20,0))),0)</f>
        <v>0</v>
      </c>
      <c r="E398" s="312" t="str">
        <f t="shared" si="24"/>
        <v>LO</v>
      </c>
      <c r="F398" s="369">
        <f>VLOOKUP(C398,METADATA!$A$5:$H$29,IF(E398="HI",2,IF(E398="LO",6,10))+IF(D398=1,2,IF(D398=7,1,(IF(WEEKDAY(B398)=1,2,IF(WEEKDAY(B398)=7,1,0))))))</f>
        <v>2</v>
      </c>
      <c r="G398" s="369">
        <f>VLOOKUP(C398,METADATA!$J$5:$Q$29,IF(E398="HI",2,IF(E398="LO",6,10))+IF(D398=1,2,IF(D398=7,1,(IF(WEEKDAY(B398)=1,2,IF(WEEKDAY(B398)=7,1,0))))))</f>
        <v>2</v>
      </c>
      <c r="H398" s="370">
        <v>13546.725219726563</v>
      </c>
      <c r="I398" s="370">
        <v>2084.1114959716797</v>
      </c>
      <c r="M398" s="371">
        <f t="shared" si="25"/>
        <v>13706.103928776294</v>
      </c>
      <c r="N398" s="329">
        <f t="shared" si="26"/>
        <v>0</v>
      </c>
      <c r="T398" s="331">
        <v>0</v>
      </c>
      <c r="U398" s="328">
        <f>VLOOKUP(C398,METADATA!$J$5:$Q$29,IF(E398="HI",2,IF(E398="LO",6,10))+IF(T398=1,2,IF(D398=7,1,(IF(WEEKDAY(B398)=1,2,IF(WEEKDAY(B398)=7,1,0))))))</f>
        <v>2</v>
      </c>
      <c r="V398" s="328">
        <f>VLOOKUP(C398,METADATA!$A$5:$H$29,IF(E398="HI",2,IF(E398="LO",6,10))+IF(T398=1,2,IF(D398=7,1,(IF(WEEKDAY(B398)=1,2,IF(WEEKDAY(B398)=7,1,0))))))</f>
        <v>2</v>
      </c>
    </row>
    <row r="399" spans="2:22">
      <c r="B399" s="318">
        <f t="shared" si="23"/>
        <v>46129</v>
      </c>
      <c r="C399" s="312">
        <v>11</v>
      </c>
      <c r="D399" s="368">
        <f>IFERROR((INDEX(METADATA!$T$2:$T$20,MATCH(B399,METADATA!$S$2:$S$20,0))),0)</f>
        <v>0</v>
      </c>
      <c r="E399" s="312" t="str">
        <f t="shared" si="24"/>
        <v>LO</v>
      </c>
      <c r="F399" s="369">
        <f>VLOOKUP(C399,METADATA!$A$5:$H$29,IF(E399="HI",2,IF(E399="LO",6,10))+IF(D399=1,2,IF(D399=7,1,(IF(WEEKDAY(B399)=1,2,IF(WEEKDAY(B399)=7,1,0))))))</f>
        <v>2</v>
      </c>
      <c r="G399" s="369">
        <f>VLOOKUP(C399,METADATA!$J$5:$Q$29,IF(E399="HI",2,IF(E399="LO",6,10))+IF(D399=1,2,IF(D399=7,1,(IF(WEEKDAY(B399)=1,2,IF(WEEKDAY(B399)=7,1,0))))))</f>
        <v>2</v>
      </c>
      <c r="H399" s="370">
        <v>13731.805053710938</v>
      </c>
      <c r="I399" s="370">
        <v>2159.3770408630371</v>
      </c>
      <c r="M399" s="371">
        <f t="shared" si="25"/>
        <v>13900.553198981961</v>
      </c>
      <c r="N399" s="329">
        <f t="shared" si="26"/>
        <v>0</v>
      </c>
      <c r="T399" s="331">
        <v>0</v>
      </c>
      <c r="U399" s="328">
        <f>VLOOKUP(C399,METADATA!$J$5:$Q$29,IF(E399="HI",2,IF(E399="LO",6,10))+IF(T399=1,2,IF(D399=7,1,(IF(WEEKDAY(B399)=1,2,IF(WEEKDAY(B399)=7,1,0))))))</f>
        <v>2</v>
      </c>
      <c r="V399" s="328">
        <f>VLOOKUP(C399,METADATA!$A$5:$H$29,IF(E399="HI",2,IF(E399="LO",6,10))+IF(T399=1,2,IF(D399=7,1,(IF(WEEKDAY(B399)=1,2,IF(WEEKDAY(B399)=7,1,0))))))</f>
        <v>2</v>
      </c>
    </row>
    <row r="400" spans="2:22">
      <c r="B400" s="318">
        <f t="shared" si="23"/>
        <v>46129</v>
      </c>
      <c r="C400" s="312">
        <v>12</v>
      </c>
      <c r="D400" s="368">
        <f>IFERROR((INDEX(METADATA!$T$2:$T$20,MATCH(B400,METADATA!$S$2:$S$20,0))),0)</f>
        <v>0</v>
      </c>
      <c r="E400" s="312" t="str">
        <f t="shared" si="24"/>
        <v>LO</v>
      </c>
      <c r="F400" s="369">
        <f>VLOOKUP(C400,METADATA!$A$5:$H$29,IF(E400="HI",2,IF(E400="LO",6,10))+IF(D400=1,2,IF(D400=7,1,(IF(WEEKDAY(B400)=1,2,IF(WEEKDAY(B400)=7,1,0))))))</f>
        <v>2</v>
      </c>
      <c r="G400" s="369">
        <f>VLOOKUP(C400,METADATA!$J$5:$Q$29,IF(E400="HI",2,IF(E400="LO",6,10))+IF(D400=1,2,IF(D400=7,1,(IF(WEEKDAY(B400)=1,2,IF(WEEKDAY(B400)=7,1,0))))))</f>
        <v>2</v>
      </c>
      <c r="H400" s="370">
        <v>13687.005004882813</v>
      </c>
      <c r="I400" s="370">
        <v>2137.847053527832</v>
      </c>
      <c r="M400" s="371">
        <f t="shared" si="25"/>
        <v>13852.959829147156</v>
      </c>
      <c r="N400" s="329">
        <f t="shared" si="26"/>
        <v>0</v>
      </c>
      <c r="T400" s="331">
        <v>0</v>
      </c>
      <c r="U400" s="328">
        <f>VLOOKUP(C400,METADATA!$J$5:$Q$29,IF(E400="HI",2,IF(E400="LO",6,10))+IF(T400=1,2,IF(D400=7,1,(IF(WEEKDAY(B400)=1,2,IF(WEEKDAY(B400)=7,1,0))))))</f>
        <v>2</v>
      </c>
      <c r="V400" s="328">
        <f>VLOOKUP(C400,METADATA!$A$5:$H$29,IF(E400="HI",2,IF(E400="LO",6,10))+IF(T400=1,2,IF(D400=7,1,(IF(WEEKDAY(B400)=1,2,IF(WEEKDAY(B400)=7,1,0))))))</f>
        <v>2</v>
      </c>
    </row>
    <row r="401" spans="2:22">
      <c r="B401" s="318">
        <f t="shared" si="23"/>
        <v>46129</v>
      </c>
      <c r="C401" s="312">
        <v>13</v>
      </c>
      <c r="D401" s="368">
        <f>IFERROR((INDEX(METADATA!$T$2:$T$20,MATCH(B401,METADATA!$S$2:$S$20,0))),0)</f>
        <v>0</v>
      </c>
      <c r="E401" s="312" t="str">
        <f t="shared" si="24"/>
        <v>LO</v>
      </c>
      <c r="F401" s="369">
        <f>VLOOKUP(C401,METADATA!$A$5:$H$29,IF(E401="HI",2,IF(E401="LO",6,10))+IF(D401=1,2,IF(D401=7,1,(IF(WEEKDAY(B401)=1,2,IF(WEEKDAY(B401)=7,1,0))))))</f>
        <v>2</v>
      </c>
      <c r="G401" s="369">
        <f>VLOOKUP(C401,METADATA!$J$5:$Q$29,IF(E401="HI",2,IF(E401="LO",6,10))+IF(D401=1,2,IF(D401=7,1,(IF(WEEKDAY(B401)=1,2,IF(WEEKDAY(B401)=7,1,0))))))</f>
        <v>2</v>
      </c>
      <c r="H401" s="370">
        <v>13570.859741210938</v>
      </c>
      <c r="I401" s="370">
        <v>2117.3524923324585</v>
      </c>
      <c r="M401" s="371">
        <f t="shared" si="25"/>
        <v>13735.043345122949</v>
      </c>
      <c r="N401" s="329">
        <f t="shared" si="26"/>
        <v>0</v>
      </c>
      <c r="T401" s="331">
        <v>0</v>
      </c>
      <c r="U401" s="328">
        <f>VLOOKUP(C401,METADATA!$J$5:$Q$29,IF(E401="HI",2,IF(E401="LO",6,10))+IF(T401=1,2,IF(D401=7,1,(IF(WEEKDAY(B401)=1,2,IF(WEEKDAY(B401)=7,1,0))))))</f>
        <v>2</v>
      </c>
      <c r="V401" s="328">
        <f>VLOOKUP(C401,METADATA!$A$5:$H$29,IF(E401="HI",2,IF(E401="LO",6,10))+IF(T401=1,2,IF(D401=7,1,(IF(WEEKDAY(B401)=1,2,IF(WEEKDAY(B401)=7,1,0))))))</f>
        <v>2</v>
      </c>
    </row>
    <row r="402" spans="2:22">
      <c r="B402" s="318">
        <f t="shared" si="23"/>
        <v>46129</v>
      </c>
      <c r="C402" s="312">
        <v>14</v>
      </c>
      <c r="D402" s="368">
        <f>IFERROR((INDEX(METADATA!$T$2:$T$20,MATCH(B402,METADATA!$S$2:$S$20,0))),0)</f>
        <v>0</v>
      </c>
      <c r="E402" s="312" t="str">
        <f t="shared" si="24"/>
        <v>LO</v>
      </c>
      <c r="F402" s="369">
        <f>VLOOKUP(C402,METADATA!$A$5:$H$29,IF(E402="HI",2,IF(E402="LO",6,10))+IF(D402=1,2,IF(D402=7,1,(IF(WEEKDAY(B402)=1,2,IF(WEEKDAY(B402)=7,1,0))))))</f>
        <v>2</v>
      </c>
      <c r="G402" s="369">
        <f>VLOOKUP(C402,METADATA!$J$5:$Q$29,IF(E402="HI",2,IF(E402="LO",6,10))+IF(D402=1,2,IF(D402=7,1,(IF(WEEKDAY(B402)=1,2,IF(WEEKDAY(B402)=7,1,0))))))</f>
        <v>2</v>
      </c>
      <c r="H402" s="370">
        <v>13469.335327148438</v>
      </c>
      <c r="I402" s="370">
        <v>2075.8555115461349</v>
      </c>
      <c r="M402" s="371">
        <f t="shared" si="25"/>
        <v>13628.359045020254</v>
      </c>
      <c r="N402" s="329">
        <f t="shared" si="26"/>
        <v>0</v>
      </c>
      <c r="T402" s="331">
        <v>0</v>
      </c>
      <c r="U402" s="328">
        <f>VLOOKUP(C402,METADATA!$J$5:$Q$29,IF(E402="HI",2,IF(E402="LO",6,10))+IF(T402=1,2,IF(D402=7,1,(IF(WEEKDAY(B402)=1,2,IF(WEEKDAY(B402)=7,1,0))))))</f>
        <v>2</v>
      </c>
      <c r="V402" s="328">
        <f>VLOOKUP(C402,METADATA!$A$5:$H$29,IF(E402="HI",2,IF(E402="LO",6,10))+IF(T402=1,2,IF(D402=7,1,(IF(WEEKDAY(B402)=1,2,IF(WEEKDAY(B402)=7,1,0))))))</f>
        <v>2</v>
      </c>
    </row>
    <row r="403" spans="2:22">
      <c r="B403" s="318">
        <f t="shared" si="23"/>
        <v>46129</v>
      </c>
      <c r="C403" s="312">
        <v>15</v>
      </c>
      <c r="D403" s="368">
        <f>IFERROR((INDEX(METADATA!$T$2:$T$20,MATCH(B403,METADATA!$S$2:$S$20,0))),0)</f>
        <v>0</v>
      </c>
      <c r="E403" s="312" t="str">
        <f t="shared" si="24"/>
        <v>LO</v>
      </c>
      <c r="F403" s="369">
        <f>VLOOKUP(C403,METADATA!$A$5:$H$29,IF(E403="HI",2,IF(E403="LO",6,10))+IF(D403=1,2,IF(D403=7,1,(IF(WEEKDAY(B403)=1,2,IF(WEEKDAY(B403)=7,1,0))))))</f>
        <v>2</v>
      </c>
      <c r="G403" s="369">
        <f>VLOOKUP(C403,METADATA!$J$5:$Q$29,IF(E403="HI",2,IF(E403="LO",6,10))+IF(D403=1,2,IF(D403=7,1,(IF(WEEKDAY(B403)=1,2,IF(WEEKDAY(B403)=7,1,0))))))</f>
        <v>2</v>
      </c>
      <c r="H403" s="370">
        <v>13383.445068359375</v>
      </c>
      <c r="I403" s="370">
        <v>2116.3689988851547</v>
      </c>
      <c r="M403" s="371">
        <f t="shared" si="25"/>
        <v>13549.746109696485</v>
      </c>
      <c r="N403" s="329">
        <f t="shared" si="26"/>
        <v>0</v>
      </c>
      <c r="T403" s="331">
        <v>0</v>
      </c>
      <c r="U403" s="328">
        <f>VLOOKUP(C403,METADATA!$J$5:$Q$29,IF(E403="HI",2,IF(E403="LO",6,10))+IF(T403=1,2,IF(D403=7,1,(IF(WEEKDAY(B403)=1,2,IF(WEEKDAY(B403)=7,1,0))))))</f>
        <v>2</v>
      </c>
      <c r="V403" s="328">
        <f>VLOOKUP(C403,METADATA!$A$5:$H$29,IF(E403="HI",2,IF(E403="LO",6,10))+IF(T403=1,2,IF(D403=7,1,(IF(WEEKDAY(B403)=1,2,IF(WEEKDAY(B403)=7,1,0))))))</f>
        <v>2</v>
      </c>
    </row>
    <row r="404" spans="2:22">
      <c r="B404" s="318">
        <f t="shared" si="23"/>
        <v>46129</v>
      </c>
      <c r="C404" s="312">
        <v>16</v>
      </c>
      <c r="D404" s="368">
        <f>IFERROR((INDEX(METADATA!$T$2:$T$20,MATCH(B404,METADATA!$S$2:$S$20,0))),0)</f>
        <v>0</v>
      </c>
      <c r="E404" s="312" t="str">
        <f t="shared" si="24"/>
        <v>LO</v>
      </c>
      <c r="F404" s="369">
        <f>VLOOKUP(C404,METADATA!$A$5:$H$29,IF(E404="HI",2,IF(E404="LO",6,10))+IF(D404=1,2,IF(D404=7,1,(IF(WEEKDAY(B404)=1,2,IF(WEEKDAY(B404)=7,1,0))))))</f>
        <v>2</v>
      </c>
      <c r="G404" s="369">
        <f>VLOOKUP(C404,METADATA!$J$5:$Q$29,IF(E404="HI",2,IF(E404="LO",6,10))+IF(D404=1,2,IF(D404=7,1,(IF(WEEKDAY(B404)=1,2,IF(WEEKDAY(B404)=7,1,0))))))</f>
        <v>2</v>
      </c>
      <c r="H404" s="370">
        <v>13289.965515136719</v>
      </c>
      <c r="I404" s="370">
        <v>2041.9684841036797</v>
      </c>
      <c r="M404" s="371">
        <f t="shared" si="25"/>
        <v>13445.922009427091</v>
      </c>
      <c r="N404" s="329">
        <f t="shared" si="26"/>
        <v>0</v>
      </c>
      <c r="T404" s="331">
        <v>0</v>
      </c>
      <c r="U404" s="328">
        <f>VLOOKUP(C404,METADATA!$J$5:$Q$29,IF(E404="HI",2,IF(E404="LO",6,10))+IF(T404=1,2,IF(D404=7,1,(IF(WEEKDAY(B404)=1,2,IF(WEEKDAY(B404)=7,1,0))))))</f>
        <v>2</v>
      </c>
      <c r="V404" s="328">
        <f>VLOOKUP(C404,METADATA!$A$5:$H$29,IF(E404="HI",2,IF(E404="LO",6,10))+IF(T404=1,2,IF(D404=7,1,(IF(WEEKDAY(B404)=1,2,IF(WEEKDAY(B404)=7,1,0))))))</f>
        <v>2</v>
      </c>
    </row>
    <row r="405" spans="2:22">
      <c r="B405" s="318">
        <f t="shared" si="23"/>
        <v>46129</v>
      </c>
      <c r="C405" s="312">
        <v>17</v>
      </c>
      <c r="D405" s="368">
        <f>IFERROR((INDEX(METADATA!$T$2:$T$20,MATCH(B405,METADATA!$S$2:$S$20,0))),0)</f>
        <v>0</v>
      </c>
      <c r="E405" s="312" t="str">
        <f t="shared" si="24"/>
        <v>LO</v>
      </c>
      <c r="F405" s="369">
        <f>VLOOKUP(C405,METADATA!$A$5:$H$29,IF(E405="HI",2,IF(E405="LO",6,10))+IF(D405=1,2,IF(D405=7,1,(IF(WEEKDAY(B405)=1,2,IF(WEEKDAY(B405)=7,1,0))))))</f>
        <v>2</v>
      </c>
      <c r="G405" s="369">
        <f>VLOOKUP(C405,METADATA!$J$5:$Q$29,IF(E405="HI",2,IF(E405="LO",6,10))+IF(D405=1,2,IF(D405=7,1,(IF(WEEKDAY(B405)=1,2,IF(WEEKDAY(B405)=7,1,0))))))</f>
        <v>2</v>
      </c>
      <c r="H405" s="370">
        <v>13279.824768066406</v>
      </c>
      <c r="I405" s="370">
        <v>2033.9989957213402</v>
      </c>
      <c r="M405" s="371">
        <f t="shared" si="25"/>
        <v>13434.690088913305</v>
      </c>
      <c r="N405" s="329">
        <f t="shared" si="26"/>
        <v>0</v>
      </c>
      <c r="T405" s="331">
        <v>0</v>
      </c>
      <c r="U405" s="328">
        <f>VLOOKUP(C405,METADATA!$J$5:$Q$29,IF(E405="HI",2,IF(E405="LO",6,10))+IF(T405=1,2,IF(D405=7,1,(IF(WEEKDAY(B405)=1,2,IF(WEEKDAY(B405)=7,1,0))))))</f>
        <v>2</v>
      </c>
      <c r="V405" s="328">
        <f>VLOOKUP(C405,METADATA!$A$5:$H$29,IF(E405="HI",2,IF(E405="LO",6,10))+IF(T405=1,2,IF(D405=7,1,(IF(WEEKDAY(B405)=1,2,IF(WEEKDAY(B405)=7,1,0))))))</f>
        <v>2</v>
      </c>
    </row>
    <row r="406" spans="2:22">
      <c r="B406" s="318">
        <f t="shared" si="23"/>
        <v>46129</v>
      </c>
      <c r="C406" s="312">
        <v>18</v>
      </c>
      <c r="D406" s="368">
        <f>IFERROR((INDEX(METADATA!$T$2:$T$20,MATCH(B406,METADATA!$S$2:$S$20,0))),0)</f>
        <v>0</v>
      </c>
      <c r="E406" s="312" t="str">
        <f t="shared" si="24"/>
        <v>LO</v>
      </c>
      <c r="F406" s="369">
        <f>VLOOKUP(C406,METADATA!$A$5:$H$29,IF(E406="HI",2,IF(E406="LO",6,10))+IF(D406=1,2,IF(D406=7,1,(IF(WEEKDAY(B406)=1,2,IF(WEEKDAY(B406)=7,1,0))))))</f>
        <v>1</v>
      </c>
      <c r="G406" s="369">
        <f>VLOOKUP(C406,METADATA!$J$5:$Q$29,IF(E406="HI",2,IF(E406="LO",6,10))+IF(D406=1,2,IF(D406=7,1,(IF(WEEKDAY(B406)=1,2,IF(WEEKDAY(B406)=7,1,0))))))</f>
        <v>1</v>
      </c>
      <c r="H406" s="370">
        <v>13287.375</v>
      </c>
      <c r="I406" s="370">
        <v>2003.9045494496822</v>
      </c>
      <c r="M406" s="371">
        <f t="shared" si="25"/>
        <v>13437.632523399729</v>
      </c>
      <c r="N406" s="329">
        <f t="shared" si="26"/>
        <v>0</v>
      </c>
      <c r="T406" s="331">
        <v>0</v>
      </c>
      <c r="U406" s="328">
        <f>VLOOKUP(C406,METADATA!$J$5:$Q$29,IF(E406="HI",2,IF(E406="LO",6,10))+IF(T406=1,2,IF(D406=7,1,(IF(WEEKDAY(B406)=1,2,IF(WEEKDAY(B406)=7,1,0))))))</f>
        <v>1</v>
      </c>
      <c r="V406" s="328">
        <f>VLOOKUP(C406,METADATA!$A$5:$H$29,IF(E406="HI",2,IF(E406="LO",6,10))+IF(T406=1,2,IF(D406=7,1,(IF(WEEKDAY(B406)=1,2,IF(WEEKDAY(B406)=7,1,0))))))</f>
        <v>1</v>
      </c>
    </row>
    <row r="407" spans="2:22">
      <c r="B407" s="318">
        <f t="shared" si="23"/>
        <v>46129</v>
      </c>
      <c r="C407" s="312">
        <v>19</v>
      </c>
      <c r="D407" s="368">
        <f>IFERROR((INDEX(METADATA!$T$2:$T$20,MATCH(B407,METADATA!$S$2:$S$20,0))),0)</f>
        <v>0</v>
      </c>
      <c r="E407" s="312" t="str">
        <f t="shared" si="24"/>
        <v>LO</v>
      </c>
      <c r="F407" s="369">
        <f>VLOOKUP(C407,METADATA!$A$5:$H$29,IF(E407="HI",2,IF(E407="LO",6,10))+IF(D407=1,2,IF(D407=7,1,(IF(WEEKDAY(B407)=1,2,IF(WEEKDAY(B407)=7,1,0))))))</f>
        <v>1</v>
      </c>
      <c r="G407" s="369">
        <f>VLOOKUP(C407,METADATA!$J$5:$Q$29,IF(E407="HI",2,IF(E407="LO",6,10))+IF(D407=1,2,IF(D407=7,1,(IF(WEEKDAY(B407)=1,2,IF(WEEKDAY(B407)=7,1,0))))))</f>
        <v>1</v>
      </c>
      <c r="H407" s="370">
        <v>13372.550109863281</v>
      </c>
      <c r="I407" s="370">
        <v>2043.7194908261299</v>
      </c>
      <c r="M407" s="371">
        <f t="shared" si="25"/>
        <v>13527.818959388356</v>
      </c>
      <c r="N407" s="329">
        <f t="shared" si="26"/>
        <v>0</v>
      </c>
      <c r="T407" s="331">
        <v>0</v>
      </c>
      <c r="U407" s="328">
        <f>VLOOKUP(C407,METADATA!$J$5:$Q$29,IF(E407="HI",2,IF(E407="LO",6,10))+IF(T407=1,2,IF(D407=7,1,(IF(WEEKDAY(B407)=1,2,IF(WEEKDAY(B407)=7,1,0))))))</f>
        <v>1</v>
      </c>
      <c r="V407" s="328">
        <f>VLOOKUP(C407,METADATA!$A$5:$H$29,IF(E407="HI",2,IF(E407="LO",6,10))+IF(T407=1,2,IF(D407=7,1,(IF(WEEKDAY(B407)=1,2,IF(WEEKDAY(B407)=7,1,0))))))</f>
        <v>1</v>
      </c>
    </row>
    <row r="408" spans="2:22">
      <c r="B408" s="318">
        <f t="shared" si="23"/>
        <v>46129</v>
      </c>
      <c r="C408" s="312">
        <v>20</v>
      </c>
      <c r="D408" s="368">
        <f>IFERROR((INDEX(METADATA!$T$2:$T$20,MATCH(B408,METADATA!$S$2:$S$20,0))),0)</f>
        <v>0</v>
      </c>
      <c r="E408" s="312" t="str">
        <f t="shared" si="24"/>
        <v>LO</v>
      </c>
      <c r="F408" s="369">
        <f>VLOOKUP(C408,METADATA!$A$5:$H$29,IF(E408="HI",2,IF(E408="LO",6,10))+IF(D408=1,2,IF(D408=7,1,(IF(WEEKDAY(B408)=1,2,IF(WEEKDAY(B408)=7,1,0))))))</f>
        <v>1</v>
      </c>
      <c r="G408" s="369">
        <f>VLOOKUP(C408,METADATA!$J$5:$Q$29,IF(E408="HI",2,IF(E408="LO",6,10))+IF(D408=1,2,IF(D408=7,1,(IF(WEEKDAY(B408)=1,2,IF(WEEKDAY(B408)=7,1,0))))))</f>
        <v>1</v>
      </c>
      <c r="H408" s="370">
        <v>13143.980102539063</v>
      </c>
      <c r="I408" s="370">
        <v>1968.3360238075256</v>
      </c>
      <c r="M408" s="371">
        <f t="shared" si="25"/>
        <v>13290.54399332703</v>
      </c>
      <c r="N408" s="329">
        <f t="shared" si="26"/>
        <v>0</v>
      </c>
      <c r="T408" s="331">
        <v>0</v>
      </c>
      <c r="U408" s="328">
        <f>VLOOKUP(C408,METADATA!$J$5:$Q$29,IF(E408="HI",2,IF(E408="LO",6,10))+IF(T408=1,2,IF(D408=7,1,(IF(WEEKDAY(B408)=1,2,IF(WEEKDAY(B408)=7,1,0))))))</f>
        <v>1</v>
      </c>
      <c r="V408" s="328">
        <f>VLOOKUP(C408,METADATA!$A$5:$H$29,IF(E408="HI",2,IF(E408="LO",6,10))+IF(T408=1,2,IF(D408=7,1,(IF(WEEKDAY(B408)=1,2,IF(WEEKDAY(B408)=7,1,0))))))</f>
        <v>1</v>
      </c>
    </row>
    <row r="409" spans="2:22">
      <c r="B409" s="318">
        <f t="shared" si="23"/>
        <v>46129</v>
      </c>
      <c r="C409" s="312">
        <v>21</v>
      </c>
      <c r="D409" s="368">
        <f>IFERROR((INDEX(METADATA!$T$2:$T$20,MATCH(B409,METADATA!$S$2:$S$20,0))),0)</f>
        <v>0</v>
      </c>
      <c r="E409" s="312" t="str">
        <f t="shared" si="24"/>
        <v>LO</v>
      </c>
      <c r="F409" s="369">
        <f>VLOOKUP(C409,METADATA!$A$5:$H$29,IF(E409="HI",2,IF(E409="LO",6,10))+IF(D409=1,2,IF(D409=7,1,(IF(WEEKDAY(B409)=1,2,IF(WEEKDAY(B409)=7,1,0))))))</f>
        <v>2</v>
      </c>
      <c r="G409" s="369">
        <f>VLOOKUP(C409,METADATA!$J$5:$Q$29,IF(E409="HI",2,IF(E409="LO",6,10))+IF(D409=1,2,IF(D409=7,1,(IF(WEEKDAY(B409)=1,2,IF(WEEKDAY(B409)=7,1,0))))))</f>
        <v>2</v>
      </c>
      <c r="H409" s="370">
        <v>11291.142669677734</v>
      </c>
      <c r="I409" s="370">
        <v>1620.001500000013</v>
      </c>
      <c r="M409" s="371">
        <f t="shared" si="25"/>
        <v>11406.765871491338</v>
      </c>
      <c r="N409" s="329">
        <f t="shared" si="26"/>
        <v>0</v>
      </c>
      <c r="T409" s="331">
        <v>0</v>
      </c>
      <c r="U409" s="328">
        <f>VLOOKUP(C409,METADATA!$J$5:$Q$29,IF(E409="HI",2,IF(E409="LO",6,10))+IF(T409=1,2,IF(D409=7,1,(IF(WEEKDAY(B409)=1,2,IF(WEEKDAY(B409)=7,1,0))))))</f>
        <v>2</v>
      </c>
      <c r="V409" s="328">
        <f>VLOOKUP(C409,METADATA!$A$5:$H$29,IF(E409="HI",2,IF(E409="LO",6,10))+IF(T409=1,2,IF(D409=7,1,(IF(WEEKDAY(B409)=1,2,IF(WEEKDAY(B409)=7,1,0))))))</f>
        <v>2</v>
      </c>
    </row>
    <row r="410" spans="2:22">
      <c r="B410" s="318">
        <f t="shared" si="23"/>
        <v>46129</v>
      </c>
      <c r="C410" s="312">
        <v>22</v>
      </c>
      <c r="D410" s="368">
        <f>IFERROR((INDEX(METADATA!$T$2:$T$20,MATCH(B410,METADATA!$S$2:$S$20,0))),0)</f>
        <v>0</v>
      </c>
      <c r="E410" s="312" t="str">
        <f t="shared" si="24"/>
        <v>LO</v>
      </c>
      <c r="F410" s="369">
        <f>VLOOKUP(C410,METADATA!$A$5:$H$29,IF(E410="HI",2,IF(E410="LO",6,10))+IF(D410=1,2,IF(D410=7,1,(IF(WEEKDAY(B410)=1,2,IF(WEEKDAY(B410)=7,1,0))))))</f>
        <v>3</v>
      </c>
      <c r="G410" s="369">
        <f>VLOOKUP(C410,METADATA!$J$5:$Q$29,IF(E410="HI",2,IF(E410="LO",6,10))+IF(D410=1,2,IF(D410=7,1,(IF(WEEKDAY(B410)=1,2,IF(WEEKDAY(B410)=7,1,0))))))</f>
        <v>3</v>
      </c>
      <c r="H410" s="370">
        <v>12414.334838867188</v>
      </c>
      <c r="I410" s="370">
        <v>1906.8204944729805</v>
      </c>
      <c r="M410" s="371">
        <f t="shared" si="25"/>
        <v>12559.923323398665</v>
      </c>
      <c r="N410" s="329">
        <f t="shared" si="26"/>
        <v>0</v>
      </c>
      <c r="T410" s="331">
        <v>0</v>
      </c>
      <c r="U410" s="328">
        <f>VLOOKUP(C410,METADATA!$J$5:$Q$29,IF(E410="HI",2,IF(E410="LO",6,10))+IF(T410=1,2,IF(D410=7,1,(IF(WEEKDAY(B410)=1,2,IF(WEEKDAY(B410)=7,1,0))))))</f>
        <v>3</v>
      </c>
      <c r="V410" s="328">
        <f>VLOOKUP(C410,METADATA!$A$5:$H$29,IF(E410="HI",2,IF(E410="LO",6,10))+IF(T410=1,2,IF(D410=7,1,(IF(WEEKDAY(B410)=1,2,IF(WEEKDAY(B410)=7,1,0))))))</f>
        <v>3</v>
      </c>
    </row>
    <row r="411" spans="2:22">
      <c r="B411" s="318">
        <f t="shared" si="23"/>
        <v>46129</v>
      </c>
      <c r="C411" s="312">
        <v>23</v>
      </c>
      <c r="D411" s="368">
        <f>IFERROR((INDEX(METADATA!$T$2:$T$20,MATCH(B411,METADATA!$S$2:$S$20,0))),0)</f>
        <v>0</v>
      </c>
      <c r="E411" s="312" t="str">
        <f t="shared" si="24"/>
        <v>LO</v>
      </c>
      <c r="F411" s="369">
        <f>VLOOKUP(C411,METADATA!$A$5:$H$29,IF(E411="HI",2,IF(E411="LO",6,10))+IF(D411=1,2,IF(D411=7,1,(IF(WEEKDAY(B411)=1,2,IF(WEEKDAY(B411)=7,1,0))))))</f>
        <v>3</v>
      </c>
      <c r="G411" s="369">
        <f>VLOOKUP(C411,METADATA!$J$5:$Q$29,IF(E411="HI",2,IF(E411="LO",6,10))+IF(D411=1,2,IF(D411=7,1,(IF(WEEKDAY(B411)=1,2,IF(WEEKDAY(B411)=7,1,0))))))</f>
        <v>3</v>
      </c>
      <c r="H411" s="370">
        <v>13267.274963378906</v>
      </c>
      <c r="I411" s="370">
        <v>2039.7150115966797</v>
      </c>
      <c r="M411" s="371">
        <f t="shared" si="25"/>
        <v>13423.152471846306</v>
      </c>
      <c r="N411" s="329">
        <f t="shared" si="26"/>
        <v>0</v>
      </c>
      <c r="T411" s="331">
        <v>0</v>
      </c>
      <c r="U411" s="328">
        <f>VLOOKUP(C411,METADATA!$J$5:$Q$29,IF(E411="HI",2,IF(E411="LO",6,10))+IF(T411=1,2,IF(D411=7,1,(IF(WEEKDAY(B411)=1,2,IF(WEEKDAY(B411)=7,1,0))))))</f>
        <v>3</v>
      </c>
      <c r="V411" s="328">
        <f>VLOOKUP(C411,METADATA!$A$5:$H$29,IF(E411="HI",2,IF(E411="LO",6,10))+IF(T411=1,2,IF(D411=7,1,(IF(WEEKDAY(B411)=1,2,IF(WEEKDAY(B411)=7,1,0))))))</f>
        <v>3</v>
      </c>
    </row>
    <row r="412" spans="2:22">
      <c r="B412" s="318">
        <f t="shared" ref="B412:B475" si="27">B388+1</f>
        <v>46130</v>
      </c>
      <c r="C412" s="312">
        <v>0</v>
      </c>
      <c r="D412" s="368">
        <f>IFERROR((INDEX(METADATA!$T$2:$T$20,MATCH(B412,METADATA!$S$2:$S$20,0))),0)</f>
        <v>0</v>
      </c>
      <c r="E412" s="312" t="str">
        <f t="shared" si="24"/>
        <v>LO</v>
      </c>
      <c r="F412" s="369">
        <f>VLOOKUP(C412,METADATA!$A$5:$H$29,IF(E412="HI",2,IF(E412="LO",6,10))+IF(D412=1,2,IF(D412=7,1,(IF(WEEKDAY(B412)=1,2,IF(WEEKDAY(B412)=7,1,0))))))</f>
        <v>3</v>
      </c>
      <c r="G412" s="369">
        <f>VLOOKUP(C412,METADATA!$J$5:$Q$29,IF(E412="HI",2,IF(E412="LO",6,10))+IF(D412=1,2,IF(D412=7,1,(IF(WEEKDAY(B412)=1,2,IF(WEEKDAY(B412)=7,1,0))))))</f>
        <v>3</v>
      </c>
      <c r="H412" s="370">
        <v>13208.484985351563</v>
      </c>
      <c r="I412" s="370">
        <v>2133.2634847164154</v>
      </c>
      <c r="M412" s="371">
        <f t="shared" si="25"/>
        <v>13379.644565663248</v>
      </c>
      <c r="N412" s="329">
        <f t="shared" si="26"/>
        <v>0</v>
      </c>
      <c r="T412" s="331">
        <v>0</v>
      </c>
      <c r="U412" s="328">
        <f>VLOOKUP(C412,METADATA!$J$5:$Q$29,IF(E412="HI",2,IF(E412="LO",6,10))+IF(T412=1,2,IF(D412=7,1,(IF(WEEKDAY(B412)=1,2,IF(WEEKDAY(B412)=7,1,0))))))</f>
        <v>3</v>
      </c>
      <c r="V412" s="328">
        <f>VLOOKUP(C412,METADATA!$A$5:$H$29,IF(E412="HI",2,IF(E412="LO",6,10))+IF(T412=1,2,IF(D412=7,1,(IF(WEEKDAY(B412)=1,2,IF(WEEKDAY(B412)=7,1,0))))))</f>
        <v>3</v>
      </c>
    </row>
    <row r="413" spans="2:22">
      <c r="B413" s="318">
        <f t="shared" si="27"/>
        <v>46130</v>
      </c>
      <c r="C413" s="312">
        <v>1</v>
      </c>
      <c r="D413" s="368">
        <f>IFERROR((INDEX(METADATA!$T$2:$T$20,MATCH(B413,METADATA!$S$2:$S$20,0))),0)</f>
        <v>0</v>
      </c>
      <c r="E413" s="312" t="str">
        <f t="shared" si="24"/>
        <v>LO</v>
      </c>
      <c r="F413" s="369">
        <f>VLOOKUP(C413,METADATA!$A$5:$H$29,IF(E413="HI",2,IF(E413="LO",6,10))+IF(D413=1,2,IF(D413=7,1,(IF(WEEKDAY(B413)=1,2,IF(WEEKDAY(B413)=7,1,0))))))</f>
        <v>3</v>
      </c>
      <c r="G413" s="369">
        <f>VLOOKUP(C413,METADATA!$J$5:$Q$29,IF(E413="HI",2,IF(E413="LO",6,10))+IF(D413=1,2,IF(D413=7,1,(IF(WEEKDAY(B413)=1,2,IF(WEEKDAY(B413)=7,1,0))))))</f>
        <v>3</v>
      </c>
      <c r="H413" s="370">
        <v>13405.6845703125</v>
      </c>
      <c r="I413" s="370">
        <v>2144.4225463867188</v>
      </c>
      <c r="M413" s="371">
        <f t="shared" si="25"/>
        <v>13576.116044589717</v>
      </c>
      <c r="N413" s="329">
        <f t="shared" si="26"/>
        <v>0</v>
      </c>
      <c r="T413" s="331">
        <v>0</v>
      </c>
      <c r="U413" s="328">
        <f>VLOOKUP(C413,METADATA!$J$5:$Q$29,IF(E413="HI",2,IF(E413="LO",6,10))+IF(T413=1,2,IF(D413=7,1,(IF(WEEKDAY(B413)=1,2,IF(WEEKDAY(B413)=7,1,0))))))</f>
        <v>3</v>
      </c>
      <c r="V413" s="328">
        <f>VLOOKUP(C413,METADATA!$A$5:$H$29,IF(E413="HI",2,IF(E413="LO",6,10))+IF(T413=1,2,IF(D413=7,1,(IF(WEEKDAY(B413)=1,2,IF(WEEKDAY(B413)=7,1,0))))))</f>
        <v>3</v>
      </c>
    </row>
    <row r="414" spans="2:22">
      <c r="B414" s="318">
        <f t="shared" si="27"/>
        <v>46130</v>
      </c>
      <c r="C414" s="312">
        <v>2</v>
      </c>
      <c r="D414" s="368">
        <f>IFERROR((INDEX(METADATA!$T$2:$T$20,MATCH(B414,METADATA!$S$2:$S$20,0))),0)</f>
        <v>0</v>
      </c>
      <c r="E414" s="312" t="str">
        <f t="shared" si="24"/>
        <v>LO</v>
      </c>
      <c r="F414" s="369">
        <f>VLOOKUP(C414,METADATA!$A$5:$H$29,IF(E414="HI",2,IF(E414="LO",6,10))+IF(D414=1,2,IF(D414=7,1,(IF(WEEKDAY(B414)=1,2,IF(WEEKDAY(B414)=7,1,0))))))</f>
        <v>3</v>
      </c>
      <c r="G414" s="369">
        <f>VLOOKUP(C414,METADATA!$J$5:$Q$29,IF(E414="HI",2,IF(E414="LO",6,10))+IF(D414=1,2,IF(D414=7,1,(IF(WEEKDAY(B414)=1,2,IF(WEEKDAY(B414)=7,1,0))))))</f>
        <v>3</v>
      </c>
      <c r="H414" s="370">
        <v>13349.994812011719</v>
      </c>
      <c r="I414" s="370">
        <v>2117.3994987607002</v>
      </c>
      <c r="M414" s="371">
        <f t="shared" si="25"/>
        <v>13516.868798582454</v>
      </c>
      <c r="N414" s="329">
        <f t="shared" si="26"/>
        <v>0</v>
      </c>
      <c r="T414" s="331">
        <v>0</v>
      </c>
      <c r="U414" s="328">
        <f>VLOOKUP(C414,METADATA!$J$5:$Q$29,IF(E414="HI",2,IF(E414="LO",6,10))+IF(T414=1,2,IF(D414=7,1,(IF(WEEKDAY(B414)=1,2,IF(WEEKDAY(B414)=7,1,0))))))</f>
        <v>3</v>
      </c>
      <c r="V414" s="328">
        <f>VLOOKUP(C414,METADATA!$A$5:$H$29,IF(E414="HI",2,IF(E414="LO",6,10))+IF(T414=1,2,IF(D414=7,1,(IF(WEEKDAY(B414)=1,2,IF(WEEKDAY(B414)=7,1,0))))))</f>
        <v>3</v>
      </c>
    </row>
    <row r="415" spans="2:22">
      <c r="B415" s="318">
        <f t="shared" si="27"/>
        <v>46130</v>
      </c>
      <c r="C415" s="312">
        <v>3</v>
      </c>
      <c r="D415" s="368">
        <f>IFERROR((INDEX(METADATA!$T$2:$T$20,MATCH(B415,METADATA!$S$2:$S$20,0))),0)</f>
        <v>0</v>
      </c>
      <c r="E415" s="312" t="str">
        <f t="shared" si="24"/>
        <v>LO</v>
      </c>
      <c r="F415" s="369">
        <f>VLOOKUP(C415,METADATA!$A$5:$H$29,IF(E415="HI",2,IF(E415="LO",6,10))+IF(D415=1,2,IF(D415=7,1,(IF(WEEKDAY(B415)=1,2,IF(WEEKDAY(B415)=7,1,0))))))</f>
        <v>3</v>
      </c>
      <c r="G415" s="369">
        <f>VLOOKUP(C415,METADATA!$J$5:$Q$29,IF(E415="HI",2,IF(E415="LO",6,10))+IF(D415=1,2,IF(D415=7,1,(IF(WEEKDAY(B415)=1,2,IF(WEEKDAY(B415)=7,1,0))))))</f>
        <v>3</v>
      </c>
      <c r="H415" s="370">
        <v>13308.455261230469</v>
      </c>
      <c r="I415" s="370">
        <v>2168.7140073180199</v>
      </c>
      <c r="M415" s="371">
        <f t="shared" si="25"/>
        <v>13484.001701487223</v>
      </c>
      <c r="N415" s="329">
        <f t="shared" si="26"/>
        <v>0</v>
      </c>
      <c r="T415" s="331">
        <v>0</v>
      </c>
      <c r="U415" s="328">
        <f>VLOOKUP(C415,METADATA!$J$5:$Q$29,IF(E415="HI",2,IF(E415="LO",6,10))+IF(T415=1,2,IF(D415=7,1,(IF(WEEKDAY(B415)=1,2,IF(WEEKDAY(B415)=7,1,0))))))</f>
        <v>3</v>
      </c>
      <c r="V415" s="328">
        <f>VLOOKUP(C415,METADATA!$A$5:$H$29,IF(E415="HI",2,IF(E415="LO",6,10))+IF(T415=1,2,IF(D415=7,1,(IF(WEEKDAY(B415)=1,2,IF(WEEKDAY(B415)=7,1,0))))))</f>
        <v>3</v>
      </c>
    </row>
    <row r="416" spans="2:22">
      <c r="B416" s="318">
        <f t="shared" si="27"/>
        <v>46130</v>
      </c>
      <c r="C416" s="312">
        <v>4</v>
      </c>
      <c r="D416" s="368">
        <f>IFERROR((INDEX(METADATA!$T$2:$T$20,MATCH(B416,METADATA!$S$2:$S$20,0))),0)</f>
        <v>0</v>
      </c>
      <c r="E416" s="312" t="str">
        <f t="shared" si="24"/>
        <v>LO</v>
      </c>
      <c r="F416" s="369">
        <f>VLOOKUP(C416,METADATA!$A$5:$H$29,IF(E416="HI",2,IF(E416="LO",6,10))+IF(D416=1,2,IF(D416=7,1,(IF(WEEKDAY(B416)=1,2,IF(WEEKDAY(B416)=7,1,0))))))</f>
        <v>3</v>
      </c>
      <c r="G416" s="369">
        <f>VLOOKUP(C416,METADATA!$J$5:$Q$29,IF(E416="HI",2,IF(E416="LO",6,10))+IF(D416=1,2,IF(D416=7,1,(IF(WEEKDAY(B416)=1,2,IF(WEEKDAY(B416)=7,1,0))))))</f>
        <v>3</v>
      </c>
      <c r="H416" s="370">
        <v>13477.464782714844</v>
      </c>
      <c r="I416" s="370">
        <v>2165.2300109863281</v>
      </c>
      <c r="M416" s="371">
        <f t="shared" si="25"/>
        <v>13650.28490434521</v>
      </c>
      <c r="N416" s="329">
        <f t="shared" si="26"/>
        <v>0</v>
      </c>
      <c r="T416" s="331">
        <v>0</v>
      </c>
      <c r="U416" s="328">
        <f>VLOOKUP(C416,METADATA!$J$5:$Q$29,IF(E416="HI",2,IF(E416="LO",6,10))+IF(T416=1,2,IF(D416=7,1,(IF(WEEKDAY(B416)=1,2,IF(WEEKDAY(B416)=7,1,0))))))</f>
        <v>3</v>
      </c>
      <c r="V416" s="328">
        <f>VLOOKUP(C416,METADATA!$A$5:$H$29,IF(E416="HI",2,IF(E416="LO",6,10))+IF(T416=1,2,IF(D416=7,1,(IF(WEEKDAY(B416)=1,2,IF(WEEKDAY(B416)=7,1,0))))))</f>
        <v>3</v>
      </c>
    </row>
    <row r="417" spans="2:22">
      <c r="B417" s="318">
        <f t="shared" si="27"/>
        <v>46130</v>
      </c>
      <c r="C417" s="312">
        <v>5</v>
      </c>
      <c r="D417" s="368">
        <f>IFERROR((INDEX(METADATA!$T$2:$T$20,MATCH(B417,METADATA!$S$2:$S$20,0))),0)</f>
        <v>0</v>
      </c>
      <c r="E417" s="312" t="str">
        <f t="shared" si="24"/>
        <v>LO</v>
      </c>
      <c r="F417" s="369">
        <f>VLOOKUP(C417,METADATA!$A$5:$H$29,IF(E417="HI",2,IF(E417="LO",6,10))+IF(D417=1,2,IF(D417=7,1,(IF(WEEKDAY(B417)=1,2,IF(WEEKDAY(B417)=7,1,0))))))</f>
        <v>3</v>
      </c>
      <c r="G417" s="369">
        <f>VLOOKUP(C417,METADATA!$J$5:$Q$29,IF(E417="HI",2,IF(E417="LO",6,10))+IF(D417=1,2,IF(D417=7,1,(IF(WEEKDAY(B417)=1,2,IF(WEEKDAY(B417)=7,1,0))))))</f>
        <v>3</v>
      </c>
      <c r="H417" s="370">
        <v>13387.245239257813</v>
      </c>
      <c r="I417" s="370">
        <v>2043.1925201416016</v>
      </c>
      <c r="M417" s="371">
        <f t="shared" si="25"/>
        <v>13542.266086973537</v>
      </c>
      <c r="N417" s="329">
        <f t="shared" si="26"/>
        <v>0</v>
      </c>
      <c r="T417" s="331">
        <v>0</v>
      </c>
      <c r="U417" s="328">
        <f>VLOOKUP(C417,METADATA!$J$5:$Q$29,IF(E417="HI",2,IF(E417="LO",6,10))+IF(T417=1,2,IF(D417=7,1,(IF(WEEKDAY(B417)=1,2,IF(WEEKDAY(B417)=7,1,0))))))</f>
        <v>3</v>
      </c>
      <c r="V417" s="328">
        <f>VLOOKUP(C417,METADATA!$A$5:$H$29,IF(E417="HI",2,IF(E417="LO",6,10))+IF(T417=1,2,IF(D417=7,1,(IF(WEEKDAY(B417)=1,2,IF(WEEKDAY(B417)=7,1,0))))))</f>
        <v>3</v>
      </c>
    </row>
    <row r="418" spans="2:22">
      <c r="B418" s="318">
        <f t="shared" si="27"/>
        <v>46130</v>
      </c>
      <c r="C418" s="312">
        <v>6</v>
      </c>
      <c r="D418" s="368">
        <f>IFERROR((INDEX(METADATA!$T$2:$T$20,MATCH(B418,METADATA!$S$2:$S$20,0))),0)</f>
        <v>0</v>
      </c>
      <c r="E418" s="312" t="str">
        <f t="shared" si="24"/>
        <v>LO</v>
      </c>
      <c r="F418" s="369">
        <f>VLOOKUP(C418,METADATA!$A$5:$H$29,IF(E418="HI",2,IF(E418="LO",6,10))+IF(D418=1,2,IF(D418=7,1,(IF(WEEKDAY(B418)=1,2,IF(WEEKDAY(B418)=7,1,0))))))</f>
        <v>3</v>
      </c>
      <c r="G418" s="369">
        <f>VLOOKUP(C418,METADATA!$J$5:$Q$29,IF(E418="HI",2,IF(E418="LO",6,10))+IF(D418=1,2,IF(D418=7,1,(IF(WEEKDAY(B418)=1,2,IF(WEEKDAY(B418)=7,1,0))))))</f>
        <v>3</v>
      </c>
      <c r="H418" s="370">
        <v>13148.105224609375</v>
      </c>
      <c r="I418" s="370">
        <v>2099.8070597648621</v>
      </c>
      <c r="M418" s="371">
        <f t="shared" si="25"/>
        <v>13314.723455094316</v>
      </c>
      <c r="N418" s="329">
        <f t="shared" si="26"/>
        <v>0</v>
      </c>
      <c r="T418" s="331">
        <v>0</v>
      </c>
      <c r="U418" s="328">
        <f>VLOOKUP(C418,METADATA!$J$5:$Q$29,IF(E418="HI",2,IF(E418="LO",6,10))+IF(T418=1,2,IF(D418=7,1,(IF(WEEKDAY(B418)=1,2,IF(WEEKDAY(B418)=7,1,0))))))</f>
        <v>3</v>
      </c>
      <c r="V418" s="328">
        <f>VLOOKUP(C418,METADATA!$A$5:$H$29,IF(E418="HI",2,IF(E418="LO",6,10))+IF(T418=1,2,IF(D418=7,1,(IF(WEEKDAY(B418)=1,2,IF(WEEKDAY(B418)=7,1,0))))))</f>
        <v>3</v>
      </c>
    </row>
    <row r="419" spans="2:22">
      <c r="B419" s="318">
        <f t="shared" si="27"/>
        <v>46130</v>
      </c>
      <c r="C419" s="312">
        <v>7</v>
      </c>
      <c r="D419" s="368">
        <f>IFERROR((INDEX(METADATA!$T$2:$T$20,MATCH(B419,METADATA!$S$2:$S$20,0))),0)</f>
        <v>0</v>
      </c>
      <c r="E419" s="312" t="str">
        <f t="shared" si="24"/>
        <v>LO</v>
      </c>
      <c r="F419" s="369">
        <f>VLOOKUP(C419,METADATA!$A$5:$H$29,IF(E419="HI",2,IF(E419="LO",6,10))+IF(D419=1,2,IF(D419=7,1,(IF(WEEKDAY(B419)=1,2,IF(WEEKDAY(B419)=7,1,0))))))</f>
        <v>2</v>
      </c>
      <c r="G419" s="369">
        <f>VLOOKUP(C419,METADATA!$J$5:$Q$29,IF(E419="HI",2,IF(E419="LO",6,10))+IF(D419=1,2,IF(D419=7,1,(IF(WEEKDAY(B419)=1,2,IF(WEEKDAY(B419)=7,1,0))))))</f>
        <v>2</v>
      </c>
      <c r="H419" s="370">
        <v>13037.640258789063</v>
      </c>
      <c r="I419" s="370">
        <v>2087.9760207533836</v>
      </c>
      <c r="M419" s="371">
        <f t="shared" si="25"/>
        <v>13203.776254573479</v>
      </c>
      <c r="N419" s="329">
        <f t="shared" si="26"/>
        <v>0</v>
      </c>
      <c r="T419" s="331">
        <v>0</v>
      </c>
      <c r="U419" s="328">
        <f>VLOOKUP(C419,METADATA!$J$5:$Q$29,IF(E419="HI",2,IF(E419="LO",6,10))+IF(T419=1,2,IF(D419=7,1,(IF(WEEKDAY(B419)=1,2,IF(WEEKDAY(B419)=7,1,0))))))</f>
        <v>2</v>
      </c>
      <c r="V419" s="328">
        <f>VLOOKUP(C419,METADATA!$A$5:$H$29,IF(E419="HI",2,IF(E419="LO",6,10))+IF(T419=1,2,IF(D419=7,1,(IF(WEEKDAY(B419)=1,2,IF(WEEKDAY(B419)=7,1,0))))))</f>
        <v>2</v>
      </c>
    </row>
    <row r="420" spans="2:22">
      <c r="B420" s="318">
        <f t="shared" si="27"/>
        <v>46130</v>
      </c>
      <c r="C420" s="312">
        <v>8</v>
      </c>
      <c r="D420" s="368">
        <f>IFERROR((INDEX(METADATA!$T$2:$T$20,MATCH(B420,METADATA!$S$2:$S$20,0))),0)</f>
        <v>0</v>
      </c>
      <c r="E420" s="312" t="str">
        <f t="shared" si="24"/>
        <v>LO</v>
      </c>
      <c r="F420" s="369">
        <f>VLOOKUP(C420,METADATA!$A$5:$H$29,IF(E420="HI",2,IF(E420="LO",6,10))+IF(D420=1,2,IF(D420=7,1,(IF(WEEKDAY(B420)=1,2,IF(WEEKDAY(B420)=7,1,0))))))</f>
        <v>2</v>
      </c>
      <c r="G420" s="369">
        <f>VLOOKUP(C420,METADATA!$J$5:$Q$29,IF(E420="HI",2,IF(E420="LO",6,10))+IF(D420=1,2,IF(D420=7,1,(IF(WEEKDAY(B420)=1,2,IF(WEEKDAY(B420)=7,1,0))))))</f>
        <v>2</v>
      </c>
      <c r="H420" s="370">
        <v>13031.325012207031</v>
      </c>
      <c r="I420" s="370">
        <v>1980.7699853777885</v>
      </c>
      <c r="M420" s="371">
        <f t="shared" si="25"/>
        <v>13181.004563717672</v>
      </c>
      <c r="N420" s="329">
        <f t="shared" si="26"/>
        <v>0</v>
      </c>
      <c r="T420" s="331">
        <v>0</v>
      </c>
      <c r="U420" s="328">
        <f>VLOOKUP(C420,METADATA!$J$5:$Q$29,IF(E420="HI",2,IF(E420="LO",6,10))+IF(T420=1,2,IF(D420=7,1,(IF(WEEKDAY(B420)=1,2,IF(WEEKDAY(B420)=7,1,0))))))</f>
        <v>2</v>
      </c>
      <c r="V420" s="328">
        <f>VLOOKUP(C420,METADATA!$A$5:$H$29,IF(E420="HI",2,IF(E420="LO",6,10))+IF(T420=1,2,IF(D420=7,1,(IF(WEEKDAY(B420)=1,2,IF(WEEKDAY(B420)=7,1,0))))))</f>
        <v>2</v>
      </c>
    </row>
    <row r="421" spans="2:22">
      <c r="B421" s="318">
        <f t="shared" si="27"/>
        <v>46130</v>
      </c>
      <c r="C421" s="312">
        <v>9</v>
      </c>
      <c r="D421" s="368">
        <f>IFERROR((INDEX(METADATA!$T$2:$T$20,MATCH(B421,METADATA!$S$2:$S$20,0))),0)</f>
        <v>0</v>
      </c>
      <c r="E421" s="312" t="str">
        <f t="shared" si="24"/>
        <v>LO</v>
      </c>
      <c r="F421" s="369">
        <f>VLOOKUP(C421,METADATA!$A$5:$H$29,IF(E421="HI",2,IF(E421="LO",6,10))+IF(D421=1,2,IF(D421=7,1,(IF(WEEKDAY(B421)=1,2,IF(WEEKDAY(B421)=7,1,0))))))</f>
        <v>2</v>
      </c>
      <c r="G421" s="369">
        <f>VLOOKUP(C421,METADATA!$J$5:$Q$29,IF(E421="HI",2,IF(E421="LO",6,10))+IF(D421=1,2,IF(D421=7,1,(IF(WEEKDAY(B421)=1,2,IF(WEEKDAY(B421)=7,1,0))))))</f>
        <v>2</v>
      </c>
      <c r="H421" s="370">
        <v>12862.370361328125</v>
      </c>
      <c r="I421" s="370">
        <v>1931.9994730949402</v>
      </c>
      <c r="M421" s="371">
        <f t="shared" si="25"/>
        <v>13006.659574080169</v>
      </c>
      <c r="N421" s="329">
        <f t="shared" si="26"/>
        <v>0</v>
      </c>
      <c r="T421" s="331">
        <v>0</v>
      </c>
      <c r="U421" s="328">
        <f>VLOOKUP(C421,METADATA!$J$5:$Q$29,IF(E421="HI",2,IF(E421="LO",6,10))+IF(T421=1,2,IF(D421=7,1,(IF(WEEKDAY(B421)=1,2,IF(WEEKDAY(B421)=7,1,0))))))</f>
        <v>2</v>
      </c>
      <c r="V421" s="328">
        <f>VLOOKUP(C421,METADATA!$A$5:$H$29,IF(E421="HI",2,IF(E421="LO",6,10))+IF(T421=1,2,IF(D421=7,1,(IF(WEEKDAY(B421)=1,2,IF(WEEKDAY(B421)=7,1,0))))))</f>
        <v>2</v>
      </c>
    </row>
    <row r="422" spans="2:22">
      <c r="B422" s="318">
        <f t="shared" si="27"/>
        <v>46130</v>
      </c>
      <c r="C422" s="312">
        <v>10</v>
      </c>
      <c r="D422" s="368">
        <f>IFERROR((INDEX(METADATA!$T$2:$T$20,MATCH(B422,METADATA!$S$2:$S$20,0))),0)</f>
        <v>0</v>
      </c>
      <c r="E422" s="312" t="str">
        <f t="shared" si="24"/>
        <v>LO</v>
      </c>
      <c r="F422" s="369">
        <f>VLOOKUP(C422,METADATA!$A$5:$H$29,IF(E422="HI",2,IF(E422="LO",6,10))+IF(D422=1,2,IF(D422=7,1,(IF(WEEKDAY(B422)=1,2,IF(WEEKDAY(B422)=7,1,0))))))</f>
        <v>2</v>
      </c>
      <c r="G422" s="369">
        <f>VLOOKUP(C422,METADATA!$J$5:$Q$29,IF(E422="HI",2,IF(E422="LO",6,10))+IF(D422=1,2,IF(D422=7,1,(IF(WEEKDAY(B422)=1,2,IF(WEEKDAY(B422)=7,1,0))))))</f>
        <v>2</v>
      </c>
      <c r="H422" s="370">
        <v>13117.229736328125</v>
      </c>
      <c r="I422" s="370">
        <v>1975.6309762001038</v>
      </c>
      <c r="M422" s="371">
        <f t="shared" si="25"/>
        <v>13265.173715776667</v>
      </c>
      <c r="N422" s="329">
        <f t="shared" si="26"/>
        <v>0</v>
      </c>
      <c r="T422" s="331">
        <v>0</v>
      </c>
      <c r="U422" s="328">
        <f>VLOOKUP(C422,METADATA!$J$5:$Q$29,IF(E422="HI",2,IF(E422="LO",6,10))+IF(T422=1,2,IF(D422=7,1,(IF(WEEKDAY(B422)=1,2,IF(WEEKDAY(B422)=7,1,0))))))</f>
        <v>2</v>
      </c>
      <c r="V422" s="328">
        <f>VLOOKUP(C422,METADATA!$A$5:$H$29,IF(E422="HI",2,IF(E422="LO",6,10))+IF(T422=1,2,IF(D422=7,1,(IF(WEEKDAY(B422)=1,2,IF(WEEKDAY(B422)=7,1,0))))))</f>
        <v>2</v>
      </c>
    </row>
    <row r="423" spans="2:22">
      <c r="B423" s="318">
        <f t="shared" si="27"/>
        <v>46130</v>
      </c>
      <c r="C423" s="312">
        <v>11</v>
      </c>
      <c r="D423" s="368">
        <f>IFERROR((INDEX(METADATA!$T$2:$T$20,MATCH(B423,METADATA!$S$2:$S$20,0))),0)</f>
        <v>0</v>
      </c>
      <c r="E423" s="312" t="str">
        <f t="shared" si="24"/>
        <v>LO</v>
      </c>
      <c r="F423" s="369">
        <f>VLOOKUP(C423,METADATA!$A$5:$H$29,IF(E423="HI",2,IF(E423="LO",6,10))+IF(D423=1,2,IF(D423=7,1,(IF(WEEKDAY(B423)=1,2,IF(WEEKDAY(B423)=7,1,0))))))</f>
        <v>2</v>
      </c>
      <c r="G423" s="369">
        <f>VLOOKUP(C423,METADATA!$J$5:$Q$29,IF(E423="HI",2,IF(E423="LO",6,10))+IF(D423=1,2,IF(D423=7,1,(IF(WEEKDAY(B423)=1,2,IF(WEEKDAY(B423)=7,1,0))))))</f>
        <v>2</v>
      </c>
      <c r="H423" s="370">
        <v>12915.290100097656</v>
      </c>
      <c r="I423" s="370">
        <v>2015.2320030629635</v>
      </c>
      <c r="M423" s="371">
        <f t="shared" si="25"/>
        <v>13071.567556947777</v>
      </c>
      <c r="N423" s="329">
        <f t="shared" si="26"/>
        <v>0</v>
      </c>
      <c r="T423" s="331">
        <v>0</v>
      </c>
      <c r="U423" s="328">
        <f>VLOOKUP(C423,METADATA!$J$5:$Q$29,IF(E423="HI",2,IF(E423="LO",6,10))+IF(T423=1,2,IF(D423=7,1,(IF(WEEKDAY(B423)=1,2,IF(WEEKDAY(B423)=7,1,0))))))</f>
        <v>2</v>
      </c>
      <c r="V423" s="328">
        <f>VLOOKUP(C423,METADATA!$A$5:$H$29,IF(E423="HI",2,IF(E423="LO",6,10))+IF(T423=1,2,IF(D423=7,1,(IF(WEEKDAY(B423)=1,2,IF(WEEKDAY(B423)=7,1,0))))))</f>
        <v>2</v>
      </c>
    </row>
    <row r="424" spans="2:22">
      <c r="B424" s="318">
        <f t="shared" si="27"/>
        <v>46130</v>
      </c>
      <c r="C424" s="312">
        <v>12</v>
      </c>
      <c r="D424" s="368">
        <f>IFERROR((INDEX(METADATA!$T$2:$T$20,MATCH(B424,METADATA!$S$2:$S$20,0))),0)</f>
        <v>0</v>
      </c>
      <c r="E424" s="312" t="str">
        <f t="shared" si="24"/>
        <v>LO</v>
      </c>
      <c r="F424" s="369">
        <f>VLOOKUP(C424,METADATA!$A$5:$H$29,IF(E424="HI",2,IF(E424="LO",6,10))+IF(D424=1,2,IF(D424=7,1,(IF(WEEKDAY(B424)=1,2,IF(WEEKDAY(B424)=7,1,0))))))</f>
        <v>3</v>
      </c>
      <c r="G424" s="369">
        <f>VLOOKUP(C424,METADATA!$J$5:$Q$29,IF(E424="HI",2,IF(E424="LO",6,10))+IF(D424=1,2,IF(D424=7,1,(IF(WEEKDAY(B424)=1,2,IF(WEEKDAY(B424)=7,1,0))))))</f>
        <v>3</v>
      </c>
      <c r="H424" s="370">
        <v>12671.204956054688</v>
      </c>
      <c r="I424" s="370">
        <v>1961.8074951171875</v>
      </c>
      <c r="M424" s="371">
        <f t="shared" si="25"/>
        <v>12822.173126511856</v>
      </c>
      <c r="N424" s="329">
        <f t="shared" si="26"/>
        <v>0</v>
      </c>
      <c r="T424" s="331">
        <v>0</v>
      </c>
      <c r="U424" s="328">
        <f>VLOOKUP(C424,METADATA!$J$5:$Q$29,IF(E424="HI",2,IF(E424="LO",6,10))+IF(T424=1,2,IF(D424=7,1,(IF(WEEKDAY(B424)=1,2,IF(WEEKDAY(B424)=7,1,0))))))</f>
        <v>3</v>
      </c>
      <c r="V424" s="328">
        <f>VLOOKUP(C424,METADATA!$A$5:$H$29,IF(E424="HI",2,IF(E424="LO",6,10))+IF(T424=1,2,IF(D424=7,1,(IF(WEEKDAY(B424)=1,2,IF(WEEKDAY(B424)=7,1,0))))))</f>
        <v>3</v>
      </c>
    </row>
    <row r="425" spans="2:22">
      <c r="B425" s="318">
        <f t="shared" si="27"/>
        <v>46130</v>
      </c>
      <c r="C425" s="312">
        <v>13</v>
      </c>
      <c r="D425" s="368">
        <f>IFERROR((INDEX(METADATA!$T$2:$T$20,MATCH(B425,METADATA!$S$2:$S$20,0))),0)</f>
        <v>0</v>
      </c>
      <c r="E425" s="312" t="str">
        <f t="shared" si="24"/>
        <v>LO</v>
      </c>
      <c r="F425" s="369">
        <f>VLOOKUP(C425,METADATA!$A$5:$H$29,IF(E425="HI",2,IF(E425="LO",6,10))+IF(D425=1,2,IF(D425=7,1,(IF(WEEKDAY(B425)=1,2,IF(WEEKDAY(B425)=7,1,0))))))</f>
        <v>3</v>
      </c>
      <c r="G425" s="369">
        <f>VLOOKUP(C425,METADATA!$J$5:$Q$29,IF(E425="HI",2,IF(E425="LO",6,10))+IF(D425=1,2,IF(D425=7,1,(IF(WEEKDAY(B425)=1,2,IF(WEEKDAY(B425)=7,1,0))))))</f>
        <v>3</v>
      </c>
      <c r="H425" s="370">
        <v>11225.327941894531</v>
      </c>
      <c r="I425" s="370">
        <v>1663.9230439453386</v>
      </c>
      <c r="M425" s="371">
        <f t="shared" si="25"/>
        <v>11347.978996246442</v>
      </c>
      <c r="N425" s="329">
        <f t="shared" si="26"/>
        <v>0</v>
      </c>
      <c r="T425" s="331">
        <v>0</v>
      </c>
      <c r="U425" s="328">
        <f>VLOOKUP(C425,METADATA!$J$5:$Q$29,IF(E425="HI",2,IF(E425="LO",6,10))+IF(T425=1,2,IF(D425=7,1,(IF(WEEKDAY(B425)=1,2,IF(WEEKDAY(B425)=7,1,0))))))</f>
        <v>3</v>
      </c>
      <c r="V425" s="328">
        <f>VLOOKUP(C425,METADATA!$A$5:$H$29,IF(E425="HI",2,IF(E425="LO",6,10))+IF(T425=1,2,IF(D425=7,1,(IF(WEEKDAY(B425)=1,2,IF(WEEKDAY(B425)=7,1,0))))))</f>
        <v>3</v>
      </c>
    </row>
    <row r="426" spans="2:22">
      <c r="B426" s="318">
        <f t="shared" si="27"/>
        <v>46130</v>
      </c>
      <c r="C426" s="312">
        <v>14</v>
      </c>
      <c r="D426" s="368">
        <f>IFERROR((INDEX(METADATA!$T$2:$T$20,MATCH(B426,METADATA!$S$2:$S$20,0))),0)</f>
        <v>0</v>
      </c>
      <c r="E426" s="312" t="str">
        <f t="shared" si="24"/>
        <v>LO</v>
      </c>
      <c r="F426" s="369">
        <f>VLOOKUP(C426,METADATA!$A$5:$H$29,IF(E426="HI",2,IF(E426="LO",6,10))+IF(D426=1,2,IF(D426=7,1,(IF(WEEKDAY(B426)=1,2,IF(WEEKDAY(B426)=7,1,0))))))</f>
        <v>3</v>
      </c>
      <c r="G426" s="369">
        <f>VLOOKUP(C426,METADATA!$J$5:$Q$29,IF(E426="HI",2,IF(E426="LO",6,10))+IF(D426=1,2,IF(D426=7,1,(IF(WEEKDAY(B426)=1,2,IF(WEEKDAY(B426)=7,1,0))))))</f>
        <v>3</v>
      </c>
      <c r="H426" s="370">
        <v>11125.955047607422</v>
      </c>
      <c r="I426" s="370">
        <v>1731.8400268554688</v>
      </c>
      <c r="M426" s="371">
        <f t="shared" si="25"/>
        <v>11259.935417221532</v>
      </c>
      <c r="N426" s="329">
        <f t="shared" si="26"/>
        <v>0</v>
      </c>
      <c r="T426" s="331">
        <v>0</v>
      </c>
      <c r="U426" s="328">
        <f>VLOOKUP(C426,METADATA!$J$5:$Q$29,IF(E426="HI",2,IF(E426="LO",6,10))+IF(T426=1,2,IF(D426=7,1,(IF(WEEKDAY(B426)=1,2,IF(WEEKDAY(B426)=7,1,0))))))</f>
        <v>3</v>
      </c>
      <c r="V426" s="328">
        <f>VLOOKUP(C426,METADATA!$A$5:$H$29,IF(E426="HI",2,IF(E426="LO",6,10))+IF(T426=1,2,IF(D426=7,1,(IF(WEEKDAY(B426)=1,2,IF(WEEKDAY(B426)=7,1,0))))))</f>
        <v>3</v>
      </c>
    </row>
    <row r="427" spans="2:22">
      <c r="B427" s="318">
        <f t="shared" si="27"/>
        <v>46130</v>
      </c>
      <c r="C427" s="312">
        <v>15</v>
      </c>
      <c r="D427" s="368">
        <f>IFERROR((INDEX(METADATA!$T$2:$T$20,MATCH(B427,METADATA!$S$2:$S$20,0))),0)</f>
        <v>0</v>
      </c>
      <c r="E427" s="312" t="str">
        <f t="shared" si="24"/>
        <v>LO</v>
      </c>
      <c r="F427" s="369">
        <f>VLOOKUP(C427,METADATA!$A$5:$H$29,IF(E427="HI",2,IF(E427="LO",6,10))+IF(D427=1,2,IF(D427=7,1,(IF(WEEKDAY(B427)=1,2,IF(WEEKDAY(B427)=7,1,0))))))</f>
        <v>3</v>
      </c>
      <c r="G427" s="369">
        <f>VLOOKUP(C427,METADATA!$J$5:$Q$29,IF(E427="HI",2,IF(E427="LO",6,10))+IF(D427=1,2,IF(D427=7,1,(IF(WEEKDAY(B427)=1,2,IF(WEEKDAY(B427)=7,1,0))))))</f>
        <v>3</v>
      </c>
      <c r="H427" s="370">
        <v>12310.724731445313</v>
      </c>
      <c r="I427" s="370">
        <v>2037.5255182981491</v>
      </c>
      <c r="M427" s="371">
        <f t="shared" si="25"/>
        <v>12478.199134936714</v>
      </c>
      <c r="N427" s="329">
        <f t="shared" si="26"/>
        <v>0</v>
      </c>
      <c r="T427" s="331">
        <v>0</v>
      </c>
      <c r="U427" s="328">
        <f>VLOOKUP(C427,METADATA!$J$5:$Q$29,IF(E427="HI",2,IF(E427="LO",6,10))+IF(T427=1,2,IF(D427=7,1,(IF(WEEKDAY(B427)=1,2,IF(WEEKDAY(B427)=7,1,0))))))</f>
        <v>3</v>
      </c>
      <c r="V427" s="328">
        <f>VLOOKUP(C427,METADATA!$A$5:$H$29,IF(E427="HI",2,IF(E427="LO",6,10))+IF(T427=1,2,IF(D427=7,1,(IF(WEEKDAY(B427)=1,2,IF(WEEKDAY(B427)=7,1,0))))))</f>
        <v>3</v>
      </c>
    </row>
    <row r="428" spans="2:22">
      <c r="B428" s="318">
        <f t="shared" si="27"/>
        <v>46130</v>
      </c>
      <c r="C428" s="312">
        <v>16</v>
      </c>
      <c r="D428" s="368">
        <f>IFERROR((INDEX(METADATA!$T$2:$T$20,MATCH(B428,METADATA!$S$2:$S$20,0))),0)</f>
        <v>0</v>
      </c>
      <c r="E428" s="312" t="str">
        <f t="shared" si="24"/>
        <v>LO</v>
      </c>
      <c r="F428" s="369">
        <f>VLOOKUP(C428,METADATA!$A$5:$H$29,IF(E428="HI",2,IF(E428="LO",6,10))+IF(D428=1,2,IF(D428=7,1,(IF(WEEKDAY(B428)=1,2,IF(WEEKDAY(B428)=7,1,0))))))</f>
        <v>3</v>
      </c>
      <c r="G428" s="369">
        <f>VLOOKUP(C428,METADATA!$J$5:$Q$29,IF(E428="HI",2,IF(E428="LO",6,10))+IF(D428=1,2,IF(D428=7,1,(IF(WEEKDAY(B428)=1,2,IF(WEEKDAY(B428)=7,1,0))))))</f>
        <v>3</v>
      </c>
      <c r="H428" s="370">
        <v>12899.889953613281</v>
      </c>
      <c r="I428" s="370">
        <v>2083.1275305151939</v>
      </c>
      <c r="M428" s="371">
        <f t="shared" si="25"/>
        <v>13067.003525052069</v>
      </c>
      <c r="N428" s="329">
        <f t="shared" si="26"/>
        <v>0</v>
      </c>
      <c r="T428" s="331">
        <v>0</v>
      </c>
      <c r="U428" s="328">
        <f>VLOOKUP(C428,METADATA!$J$5:$Q$29,IF(E428="HI",2,IF(E428="LO",6,10))+IF(T428=1,2,IF(D428=7,1,(IF(WEEKDAY(B428)=1,2,IF(WEEKDAY(B428)=7,1,0))))))</f>
        <v>3</v>
      </c>
      <c r="V428" s="328">
        <f>VLOOKUP(C428,METADATA!$A$5:$H$29,IF(E428="HI",2,IF(E428="LO",6,10))+IF(T428=1,2,IF(D428=7,1,(IF(WEEKDAY(B428)=1,2,IF(WEEKDAY(B428)=7,1,0))))))</f>
        <v>3</v>
      </c>
    </row>
    <row r="429" spans="2:22">
      <c r="B429" s="318">
        <f t="shared" si="27"/>
        <v>46130</v>
      </c>
      <c r="C429" s="312">
        <v>17</v>
      </c>
      <c r="D429" s="368">
        <f>IFERROR((INDEX(METADATA!$T$2:$T$20,MATCH(B429,METADATA!$S$2:$S$20,0))),0)</f>
        <v>0</v>
      </c>
      <c r="E429" s="312" t="str">
        <f t="shared" si="24"/>
        <v>LO</v>
      </c>
      <c r="F429" s="369">
        <f>VLOOKUP(C429,METADATA!$A$5:$H$29,IF(E429="HI",2,IF(E429="LO",6,10))+IF(D429=1,2,IF(D429=7,1,(IF(WEEKDAY(B429)=1,2,IF(WEEKDAY(B429)=7,1,0))))))</f>
        <v>3</v>
      </c>
      <c r="G429" s="369">
        <f>VLOOKUP(C429,METADATA!$J$5:$Q$29,IF(E429="HI",2,IF(E429="LO",6,10))+IF(D429=1,2,IF(D429=7,1,(IF(WEEKDAY(B429)=1,2,IF(WEEKDAY(B429)=7,1,0))))))</f>
        <v>3</v>
      </c>
      <c r="H429" s="370">
        <v>12881.019958496094</v>
      </c>
      <c r="I429" s="370">
        <v>1997.2550048828125</v>
      </c>
      <c r="M429" s="371">
        <f t="shared" si="25"/>
        <v>13034.941608066532</v>
      </c>
      <c r="N429" s="329">
        <f t="shared" si="26"/>
        <v>0</v>
      </c>
      <c r="T429" s="331">
        <v>0</v>
      </c>
      <c r="U429" s="328">
        <f>VLOOKUP(C429,METADATA!$J$5:$Q$29,IF(E429="HI",2,IF(E429="LO",6,10))+IF(T429=1,2,IF(D429=7,1,(IF(WEEKDAY(B429)=1,2,IF(WEEKDAY(B429)=7,1,0))))))</f>
        <v>3</v>
      </c>
      <c r="V429" s="328">
        <f>VLOOKUP(C429,METADATA!$A$5:$H$29,IF(E429="HI",2,IF(E429="LO",6,10))+IF(T429=1,2,IF(D429=7,1,(IF(WEEKDAY(B429)=1,2,IF(WEEKDAY(B429)=7,1,0))))))</f>
        <v>3</v>
      </c>
    </row>
    <row r="430" spans="2:22">
      <c r="B430" s="318">
        <f t="shared" si="27"/>
        <v>46130</v>
      </c>
      <c r="C430" s="312">
        <v>18</v>
      </c>
      <c r="D430" s="368">
        <f>IFERROR((INDEX(METADATA!$T$2:$T$20,MATCH(B430,METADATA!$S$2:$S$20,0))),0)</f>
        <v>0</v>
      </c>
      <c r="E430" s="312" t="str">
        <f t="shared" si="24"/>
        <v>LO</v>
      </c>
      <c r="F430" s="369">
        <f>VLOOKUP(C430,METADATA!$A$5:$H$29,IF(E430="HI",2,IF(E430="LO",6,10))+IF(D430=1,2,IF(D430=7,1,(IF(WEEKDAY(B430)=1,2,IF(WEEKDAY(B430)=7,1,0))))))</f>
        <v>2</v>
      </c>
      <c r="G430" s="369">
        <f>VLOOKUP(C430,METADATA!$J$5:$Q$29,IF(E430="HI",2,IF(E430="LO",6,10))+IF(D430=1,2,IF(D430=7,1,(IF(WEEKDAY(B430)=1,2,IF(WEEKDAY(B430)=7,1,0))))))</f>
        <v>2</v>
      </c>
      <c r="H430" s="370">
        <v>12931.664916992188</v>
      </c>
      <c r="I430" s="370">
        <v>1914.8425140380859</v>
      </c>
      <c r="M430" s="371">
        <f t="shared" si="25"/>
        <v>13072.66535098846</v>
      </c>
      <c r="N430" s="329">
        <f t="shared" si="26"/>
        <v>0</v>
      </c>
      <c r="T430" s="331">
        <v>0</v>
      </c>
      <c r="U430" s="328">
        <f>VLOOKUP(C430,METADATA!$J$5:$Q$29,IF(E430="HI",2,IF(E430="LO",6,10))+IF(T430=1,2,IF(D430=7,1,(IF(WEEKDAY(B430)=1,2,IF(WEEKDAY(B430)=7,1,0))))))</f>
        <v>2</v>
      </c>
      <c r="V430" s="328">
        <f>VLOOKUP(C430,METADATA!$A$5:$H$29,IF(E430="HI",2,IF(E430="LO",6,10))+IF(T430=1,2,IF(D430=7,1,(IF(WEEKDAY(B430)=1,2,IF(WEEKDAY(B430)=7,1,0))))))</f>
        <v>2</v>
      </c>
    </row>
    <row r="431" spans="2:22">
      <c r="B431" s="318">
        <f t="shared" si="27"/>
        <v>46130</v>
      </c>
      <c r="C431" s="312">
        <v>19</v>
      </c>
      <c r="D431" s="368">
        <f>IFERROR((INDEX(METADATA!$T$2:$T$20,MATCH(B431,METADATA!$S$2:$S$20,0))),0)</f>
        <v>0</v>
      </c>
      <c r="E431" s="312" t="str">
        <f t="shared" si="24"/>
        <v>LO</v>
      </c>
      <c r="F431" s="369">
        <f>VLOOKUP(C431,METADATA!$A$5:$H$29,IF(E431="HI",2,IF(E431="LO",6,10))+IF(D431=1,2,IF(D431=7,1,(IF(WEEKDAY(B431)=1,2,IF(WEEKDAY(B431)=7,1,0))))))</f>
        <v>2</v>
      </c>
      <c r="G431" s="369">
        <f>VLOOKUP(C431,METADATA!$J$5:$Q$29,IF(E431="HI",2,IF(E431="LO",6,10))+IF(D431=1,2,IF(D431=7,1,(IF(WEEKDAY(B431)=1,2,IF(WEEKDAY(B431)=7,1,0))))))</f>
        <v>2</v>
      </c>
      <c r="H431" s="370">
        <v>12908.749816894531</v>
      </c>
      <c r="I431" s="370">
        <v>1899.3599689006805</v>
      </c>
      <c r="M431" s="371">
        <f t="shared" si="25"/>
        <v>13047.735057343745</v>
      </c>
      <c r="N431" s="329">
        <f t="shared" si="26"/>
        <v>0</v>
      </c>
      <c r="T431" s="331">
        <v>0</v>
      </c>
      <c r="U431" s="328">
        <f>VLOOKUP(C431,METADATA!$J$5:$Q$29,IF(E431="HI",2,IF(E431="LO",6,10))+IF(T431=1,2,IF(D431=7,1,(IF(WEEKDAY(B431)=1,2,IF(WEEKDAY(B431)=7,1,0))))))</f>
        <v>2</v>
      </c>
      <c r="V431" s="328">
        <f>VLOOKUP(C431,METADATA!$A$5:$H$29,IF(E431="HI",2,IF(E431="LO",6,10))+IF(T431=1,2,IF(D431=7,1,(IF(WEEKDAY(B431)=1,2,IF(WEEKDAY(B431)=7,1,0))))))</f>
        <v>2</v>
      </c>
    </row>
    <row r="432" spans="2:22">
      <c r="B432" s="318">
        <f t="shared" si="27"/>
        <v>46130</v>
      </c>
      <c r="C432" s="312">
        <v>20</v>
      </c>
      <c r="D432" s="368">
        <f>IFERROR((INDEX(METADATA!$T$2:$T$20,MATCH(B432,METADATA!$S$2:$S$20,0))),0)</f>
        <v>0</v>
      </c>
      <c r="E432" s="312" t="str">
        <f t="shared" si="24"/>
        <v>LO</v>
      </c>
      <c r="F432" s="369">
        <f>VLOOKUP(C432,METADATA!$A$5:$H$29,IF(E432="HI",2,IF(E432="LO",6,10))+IF(D432=1,2,IF(D432=7,1,(IF(WEEKDAY(B432)=1,2,IF(WEEKDAY(B432)=7,1,0))))))</f>
        <v>3</v>
      </c>
      <c r="G432" s="369">
        <f>VLOOKUP(C432,METADATA!$J$5:$Q$29,IF(E432="HI",2,IF(E432="LO",6,10))+IF(D432=1,2,IF(D432=7,1,(IF(WEEKDAY(B432)=1,2,IF(WEEKDAY(B432)=7,1,0))))))</f>
        <v>3</v>
      </c>
      <c r="H432" s="370">
        <v>12907.489990234375</v>
      </c>
      <c r="I432" s="370">
        <v>1884.9349975585938</v>
      </c>
      <c r="M432" s="371">
        <f t="shared" si="25"/>
        <v>13044.396413518787</v>
      </c>
      <c r="N432" s="329">
        <f t="shared" si="26"/>
        <v>0</v>
      </c>
      <c r="T432" s="331">
        <v>0</v>
      </c>
      <c r="U432" s="328">
        <f>VLOOKUP(C432,METADATA!$J$5:$Q$29,IF(E432="HI",2,IF(E432="LO",6,10))+IF(T432=1,2,IF(D432=7,1,(IF(WEEKDAY(B432)=1,2,IF(WEEKDAY(B432)=7,1,0))))))</f>
        <v>3</v>
      </c>
      <c r="V432" s="328">
        <f>VLOOKUP(C432,METADATA!$A$5:$H$29,IF(E432="HI",2,IF(E432="LO",6,10))+IF(T432=1,2,IF(D432=7,1,(IF(WEEKDAY(B432)=1,2,IF(WEEKDAY(B432)=7,1,0))))))</f>
        <v>3</v>
      </c>
    </row>
    <row r="433" spans="2:22">
      <c r="B433" s="318">
        <f t="shared" si="27"/>
        <v>46130</v>
      </c>
      <c r="C433" s="312">
        <v>21</v>
      </c>
      <c r="D433" s="368">
        <f>IFERROR((INDEX(METADATA!$T$2:$T$20,MATCH(B433,METADATA!$S$2:$S$20,0))),0)</f>
        <v>0</v>
      </c>
      <c r="E433" s="312" t="str">
        <f t="shared" si="24"/>
        <v>LO</v>
      </c>
      <c r="F433" s="369">
        <f>VLOOKUP(C433,METADATA!$A$5:$H$29,IF(E433="HI",2,IF(E433="LO",6,10))+IF(D433=1,2,IF(D433=7,1,(IF(WEEKDAY(B433)=1,2,IF(WEEKDAY(B433)=7,1,0))))))</f>
        <v>3</v>
      </c>
      <c r="G433" s="369">
        <f>VLOOKUP(C433,METADATA!$J$5:$Q$29,IF(E433="HI",2,IF(E433="LO",6,10))+IF(D433=1,2,IF(D433=7,1,(IF(WEEKDAY(B433)=1,2,IF(WEEKDAY(B433)=7,1,0))))))</f>
        <v>3</v>
      </c>
      <c r="H433" s="370">
        <v>13103.595336914063</v>
      </c>
      <c r="I433" s="370">
        <v>2055.0250353813171</v>
      </c>
      <c r="M433" s="371">
        <f t="shared" si="25"/>
        <v>13263.760351033185</v>
      </c>
      <c r="N433" s="329">
        <f t="shared" si="26"/>
        <v>0</v>
      </c>
      <c r="T433" s="331">
        <v>0</v>
      </c>
      <c r="U433" s="328">
        <f>VLOOKUP(C433,METADATA!$J$5:$Q$29,IF(E433="HI",2,IF(E433="LO",6,10))+IF(T433=1,2,IF(D433=7,1,(IF(WEEKDAY(B433)=1,2,IF(WEEKDAY(B433)=7,1,0))))))</f>
        <v>3</v>
      </c>
      <c r="V433" s="328">
        <f>VLOOKUP(C433,METADATA!$A$5:$H$29,IF(E433="HI",2,IF(E433="LO",6,10))+IF(T433=1,2,IF(D433=7,1,(IF(WEEKDAY(B433)=1,2,IF(WEEKDAY(B433)=7,1,0))))))</f>
        <v>3</v>
      </c>
    </row>
    <row r="434" spans="2:22">
      <c r="B434" s="318">
        <f t="shared" si="27"/>
        <v>46130</v>
      </c>
      <c r="C434" s="312">
        <v>22</v>
      </c>
      <c r="D434" s="368">
        <f>IFERROR((INDEX(METADATA!$T$2:$T$20,MATCH(B434,METADATA!$S$2:$S$20,0))),0)</f>
        <v>0</v>
      </c>
      <c r="E434" s="312" t="str">
        <f t="shared" si="24"/>
        <v>LO</v>
      </c>
      <c r="F434" s="369">
        <f>VLOOKUP(C434,METADATA!$A$5:$H$29,IF(E434="HI",2,IF(E434="LO",6,10))+IF(D434=1,2,IF(D434=7,1,(IF(WEEKDAY(B434)=1,2,IF(WEEKDAY(B434)=7,1,0))))))</f>
        <v>3</v>
      </c>
      <c r="G434" s="369">
        <f>VLOOKUP(C434,METADATA!$J$5:$Q$29,IF(E434="HI",2,IF(E434="LO",6,10))+IF(D434=1,2,IF(D434=7,1,(IF(WEEKDAY(B434)=1,2,IF(WEEKDAY(B434)=7,1,0))))))</f>
        <v>3</v>
      </c>
      <c r="H434" s="370">
        <v>13036.074768066406</v>
      </c>
      <c r="I434" s="370">
        <v>2095.2244577407837</v>
      </c>
      <c r="M434" s="371">
        <f t="shared" si="25"/>
        <v>13203.378767835631</v>
      </c>
      <c r="N434" s="329">
        <f t="shared" si="26"/>
        <v>0</v>
      </c>
      <c r="T434" s="331">
        <v>0</v>
      </c>
      <c r="U434" s="328">
        <f>VLOOKUP(C434,METADATA!$J$5:$Q$29,IF(E434="HI",2,IF(E434="LO",6,10))+IF(T434=1,2,IF(D434=7,1,(IF(WEEKDAY(B434)=1,2,IF(WEEKDAY(B434)=7,1,0))))))</f>
        <v>3</v>
      </c>
      <c r="V434" s="328">
        <f>VLOOKUP(C434,METADATA!$A$5:$H$29,IF(E434="HI",2,IF(E434="LO",6,10))+IF(T434=1,2,IF(D434=7,1,(IF(WEEKDAY(B434)=1,2,IF(WEEKDAY(B434)=7,1,0))))))</f>
        <v>3</v>
      </c>
    </row>
    <row r="435" spans="2:22">
      <c r="B435" s="318">
        <f t="shared" si="27"/>
        <v>46130</v>
      </c>
      <c r="C435" s="312">
        <v>23</v>
      </c>
      <c r="D435" s="368">
        <f>IFERROR((INDEX(METADATA!$T$2:$T$20,MATCH(B435,METADATA!$S$2:$S$20,0))),0)</f>
        <v>0</v>
      </c>
      <c r="E435" s="312" t="str">
        <f t="shared" si="24"/>
        <v>LO</v>
      </c>
      <c r="F435" s="369">
        <f>VLOOKUP(C435,METADATA!$A$5:$H$29,IF(E435="HI",2,IF(E435="LO",6,10))+IF(D435=1,2,IF(D435=7,1,(IF(WEEKDAY(B435)=1,2,IF(WEEKDAY(B435)=7,1,0))))))</f>
        <v>3</v>
      </c>
      <c r="G435" s="369">
        <f>VLOOKUP(C435,METADATA!$J$5:$Q$29,IF(E435="HI",2,IF(E435="LO",6,10))+IF(D435=1,2,IF(D435=7,1,(IF(WEEKDAY(B435)=1,2,IF(WEEKDAY(B435)=7,1,0))))))</f>
        <v>3</v>
      </c>
      <c r="H435" s="370">
        <v>13021.380187988281</v>
      </c>
      <c r="I435" s="370">
        <v>2103.8638944029808</v>
      </c>
      <c r="M435" s="371">
        <f t="shared" si="25"/>
        <v>13190.245838736524</v>
      </c>
      <c r="N435" s="329">
        <f t="shared" si="26"/>
        <v>0</v>
      </c>
      <c r="T435" s="331">
        <v>0</v>
      </c>
      <c r="U435" s="328">
        <f>VLOOKUP(C435,METADATA!$J$5:$Q$29,IF(E435="HI",2,IF(E435="LO",6,10))+IF(T435=1,2,IF(D435=7,1,(IF(WEEKDAY(B435)=1,2,IF(WEEKDAY(B435)=7,1,0))))))</f>
        <v>3</v>
      </c>
      <c r="V435" s="328">
        <f>VLOOKUP(C435,METADATA!$A$5:$H$29,IF(E435="HI",2,IF(E435="LO",6,10))+IF(T435=1,2,IF(D435=7,1,(IF(WEEKDAY(B435)=1,2,IF(WEEKDAY(B435)=7,1,0))))))</f>
        <v>3</v>
      </c>
    </row>
    <row r="436" spans="2:22">
      <c r="B436" s="318">
        <f t="shared" si="27"/>
        <v>46131</v>
      </c>
      <c r="C436" s="312">
        <v>0</v>
      </c>
      <c r="D436" s="368">
        <f>IFERROR((INDEX(METADATA!$T$2:$T$20,MATCH(B436,METADATA!$S$2:$S$20,0))),0)</f>
        <v>0</v>
      </c>
      <c r="E436" s="312" t="str">
        <f t="shared" si="24"/>
        <v>LO</v>
      </c>
      <c r="F436" s="369">
        <f>VLOOKUP(C436,METADATA!$A$5:$H$29,IF(E436="HI",2,IF(E436="LO",6,10))+IF(D436=1,2,IF(D436=7,1,(IF(WEEKDAY(B436)=1,2,IF(WEEKDAY(B436)=7,1,0))))))</f>
        <v>3</v>
      </c>
      <c r="G436" s="369">
        <f>VLOOKUP(C436,METADATA!$J$5:$Q$29,IF(E436="HI",2,IF(E436="LO",6,10))+IF(D436=1,2,IF(D436=7,1,(IF(WEEKDAY(B436)=1,2,IF(WEEKDAY(B436)=7,1,0))))))</f>
        <v>3</v>
      </c>
      <c r="H436" s="370">
        <v>12915.834899902344</v>
      </c>
      <c r="I436" s="370">
        <v>2113.4625232219696</v>
      </c>
      <c r="M436" s="371">
        <f t="shared" si="25"/>
        <v>13087.609216300705</v>
      </c>
      <c r="N436" s="329">
        <f t="shared" si="26"/>
        <v>0</v>
      </c>
      <c r="T436" s="331">
        <v>0</v>
      </c>
      <c r="U436" s="328">
        <f>VLOOKUP(C436,METADATA!$J$5:$Q$29,IF(E436="HI",2,IF(E436="LO",6,10))+IF(T436=1,2,IF(D436=7,1,(IF(WEEKDAY(B436)=1,2,IF(WEEKDAY(B436)=7,1,0))))))</f>
        <v>3</v>
      </c>
      <c r="V436" s="328">
        <f>VLOOKUP(C436,METADATA!$A$5:$H$29,IF(E436="HI",2,IF(E436="LO",6,10))+IF(T436=1,2,IF(D436=7,1,(IF(WEEKDAY(B436)=1,2,IF(WEEKDAY(B436)=7,1,0))))))</f>
        <v>3</v>
      </c>
    </row>
    <row r="437" spans="2:22">
      <c r="B437" s="318">
        <f t="shared" si="27"/>
        <v>46131</v>
      </c>
      <c r="C437" s="312">
        <v>1</v>
      </c>
      <c r="D437" s="368">
        <f>IFERROR((INDEX(METADATA!$T$2:$T$20,MATCH(B437,METADATA!$S$2:$S$20,0))),0)</f>
        <v>0</v>
      </c>
      <c r="E437" s="312" t="str">
        <f t="shared" si="24"/>
        <v>LO</v>
      </c>
      <c r="F437" s="369">
        <f>VLOOKUP(C437,METADATA!$A$5:$H$29,IF(E437="HI",2,IF(E437="LO",6,10))+IF(D437=1,2,IF(D437=7,1,(IF(WEEKDAY(B437)=1,2,IF(WEEKDAY(B437)=7,1,0))))))</f>
        <v>3</v>
      </c>
      <c r="G437" s="369">
        <f>VLOOKUP(C437,METADATA!$J$5:$Q$29,IF(E437="HI",2,IF(E437="LO",6,10))+IF(D437=1,2,IF(D437=7,1,(IF(WEEKDAY(B437)=1,2,IF(WEEKDAY(B437)=7,1,0))))))</f>
        <v>3</v>
      </c>
      <c r="H437" s="370">
        <v>13083.530212402344</v>
      </c>
      <c r="I437" s="370">
        <v>2105.5930079221725</v>
      </c>
      <c r="M437" s="371">
        <f t="shared" si="25"/>
        <v>13251.878536036153</v>
      </c>
      <c r="N437" s="329">
        <f t="shared" si="26"/>
        <v>0</v>
      </c>
      <c r="T437" s="331">
        <v>0</v>
      </c>
      <c r="U437" s="328">
        <f>VLOOKUP(C437,METADATA!$J$5:$Q$29,IF(E437="HI",2,IF(E437="LO",6,10))+IF(T437=1,2,IF(D437=7,1,(IF(WEEKDAY(B437)=1,2,IF(WEEKDAY(B437)=7,1,0))))))</f>
        <v>3</v>
      </c>
      <c r="V437" s="328">
        <f>VLOOKUP(C437,METADATA!$A$5:$H$29,IF(E437="HI",2,IF(E437="LO",6,10))+IF(T437=1,2,IF(D437=7,1,(IF(WEEKDAY(B437)=1,2,IF(WEEKDAY(B437)=7,1,0))))))</f>
        <v>3</v>
      </c>
    </row>
    <row r="438" spans="2:22">
      <c r="B438" s="318">
        <f t="shared" si="27"/>
        <v>46131</v>
      </c>
      <c r="C438" s="312">
        <v>2</v>
      </c>
      <c r="D438" s="368">
        <f>IFERROR((INDEX(METADATA!$T$2:$T$20,MATCH(B438,METADATA!$S$2:$S$20,0))),0)</f>
        <v>0</v>
      </c>
      <c r="E438" s="312" t="str">
        <f t="shared" si="24"/>
        <v>LO</v>
      </c>
      <c r="F438" s="369">
        <f>VLOOKUP(C438,METADATA!$A$5:$H$29,IF(E438="HI",2,IF(E438="LO",6,10))+IF(D438=1,2,IF(D438=7,1,(IF(WEEKDAY(B438)=1,2,IF(WEEKDAY(B438)=7,1,0))))))</f>
        <v>3</v>
      </c>
      <c r="G438" s="369">
        <f>VLOOKUP(C438,METADATA!$J$5:$Q$29,IF(E438="HI",2,IF(E438="LO",6,10))+IF(D438=1,2,IF(D438=7,1,(IF(WEEKDAY(B438)=1,2,IF(WEEKDAY(B438)=7,1,0))))))</f>
        <v>3</v>
      </c>
      <c r="H438" s="370">
        <v>13107.429809570313</v>
      </c>
      <c r="I438" s="370">
        <v>2186.0829474925995</v>
      </c>
      <c r="M438" s="371">
        <f t="shared" si="25"/>
        <v>13288.479027568594</v>
      </c>
      <c r="N438" s="329">
        <f t="shared" si="26"/>
        <v>0</v>
      </c>
      <c r="T438" s="331">
        <v>0</v>
      </c>
      <c r="U438" s="328">
        <f>VLOOKUP(C438,METADATA!$J$5:$Q$29,IF(E438="HI",2,IF(E438="LO",6,10))+IF(T438=1,2,IF(D438=7,1,(IF(WEEKDAY(B438)=1,2,IF(WEEKDAY(B438)=7,1,0))))))</f>
        <v>3</v>
      </c>
      <c r="V438" s="328">
        <f>VLOOKUP(C438,METADATA!$A$5:$H$29,IF(E438="HI",2,IF(E438="LO",6,10))+IF(T438=1,2,IF(D438=7,1,(IF(WEEKDAY(B438)=1,2,IF(WEEKDAY(B438)=7,1,0))))))</f>
        <v>3</v>
      </c>
    </row>
    <row r="439" spans="2:22">
      <c r="B439" s="318">
        <f t="shared" si="27"/>
        <v>46131</v>
      </c>
      <c r="C439" s="312">
        <v>3</v>
      </c>
      <c r="D439" s="368">
        <f>IFERROR((INDEX(METADATA!$T$2:$T$20,MATCH(B439,METADATA!$S$2:$S$20,0))),0)</f>
        <v>0</v>
      </c>
      <c r="E439" s="312" t="str">
        <f t="shared" si="24"/>
        <v>LO</v>
      </c>
      <c r="F439" s="369">
        <f>VLOOKUP(C439,METADATA!$A$5:$H$29,IF(E439="HI",2,IF(E439="LO",6,10))+IF(D439=1,2,IF(D439=7,1,(IF(WEEKDAY(B439)=1,2,IF(WEEKDAY(B439)=7,1,0))))))</f>
        <v>3</v>
      </c>
      <c r="G439" s="369">
        <f>VLOOKUP(C439,METADATA!$J$5:$Q$29,IF(E439="HI",2,IF(E439="LO",6,10))+IF(D439=1,2,IF(D439=7,1,(IF(WEEKDAY(B439)=1,2,IF(WEEKDAY(B439)=7,1,0))))))</f>
        <v>3</v>
      </c>
      <c r="H439" s="370">
        <v>13120.940124511719</v>
      </c>
      <c r="I439" s="370">
        <v>2181.1684529781342</v>
      </c>
      <c r="M439" s="371">
        <f t="shared" si="25"/>
        <v>13300.998668193626</v>
      </c>
      <c r="N439" s="329">
        <f t="shared" si="26"/>
        <v>0</v>
      </c>
      <c r="T439" s="331">
        <v>0</v>
      </c>
      <c r="U439" s="328">
        <f>VLOOKUP(C439,METADATA!$J$5:$Q$29,IF(E439="HI",2,IF(E439="LO",6,10))+IF(T439=1,2,IF(D439=7,1,(IF(WEEKDAY(B439)=1,2,IF(WEEKDAY(B439)=7,1,0))))))</f>
        <v>3</v>
      </c>
      <c r="V439" s="328">
        <f>VLOOKUP(C439,METADATA!$A$5:$H$29,IF(E439="HI",2,IF(E439="LO",6,10))+IF(T439=1,2,IF(D439=7,1,(IF(WEEKDAY(B439)=1,2,IF(WEEKDAY(B439)=7,1,0))))))</f>
        <v>3</v>
      </c>
    </row>
    <row r="440" spans="2:22">
      <c r="B440" s="318">
        <f t="shared" si="27"/>
        <v>46131</v>
      </c>
      <c r="C440" s="312">
        <v>4</v>
      </c>
      <c r="D440" s="368">
        <f>IFERROR((INDEX(METADATA!$T$2:$T$20,MATCH(B440,METADATA!$S$2:$S$20,0))),0)</f>
        <v>0</v>
      </c>
      <c r="E440" s="312" t="str">
        <f t="shared" si="24"/>
        <v>LO</v>
      </c>
      <c r="F440" s="369">
        <f>VLOOKUP(C440,METADATA!$A$5:$H$29,IF(E440="HI",2,IF(E440="LO",6,10))+IF(D440=1,2,IF(D440=7,1,(IF(WEEKDAY(B440)=1,2,IF(WEEKDAY(B440)=7,1,0))))))</f>
        <v>3</v>
      </c>
      <c r="G440" s="369">
        <f>VLOOKUP(C440,METADATA!$J$5:$Q$29,IF(E440="HI",2,IF(E440="LO",6,10))+IF(D440=1,2,IF(D440=7,1,(IF(WEEKDAY(B440)=1,2,IF(WEEKDAY(B440)=7,1,0))))))</f>
        <v>3</v>
      </c>
      <c r="H440" s="370">
        <v>12901.475036621094</v>
      </c>
      <c r="I440" s="370">
        <v>1998.7209890186787</v>
      </c>
      <c r="M440" s="371">
        <f t="shared" si="25"/>
        <v>13055.379876223482</v>
      </c>
      <c r="N440" s="329">
        <f t="shared" si="26"/>
        <v>0</v>
      </c>
      <c r="T440" s="331">
        <v>0</v>
      </c>
      <c r="U440" s="328">
        <f>VLOOKUP(C440,METADATA!$J$5:$Q$29,IF(E440="HI",2,IF(E440="LO",6,10))+IF(T440=1,2,IF(D440=7,1,(IF(WEEKDAY(B440)=1,2,IF(WEEKDAY(B440)=7,1,0))))))</f>
        <v>3</v>
      </c>
      <c r="V440" s="328">
        <f>VLOOKUP(C440,METADATA!$A$5:$H$29,IF(E440="HI",2,IF(E440="LO",6,10))+IF(T440=1,2,IF(D440=7,1,(IF(WEEKDAY(B440)=1,2,IF(WEEKDAY(B440)=7,1,0))))))</f>
        <v>3</v>
      </c>
    </row>
    <row r="441" spans="2:22">
      <c r="B441" s="318">
        <f t="shared" si="27"/>
        <v>46131</v>
      </c>
      <c r="C441" s="312">
        <v>5</v>
      </c>
      <c r="D441" s="368">
        <f>IFERROR((INDEX(METADATA!$T$2:$T$20,MATCH(B441,METADATA!$S$2:$S$20,0))),0)</f>
        <v>0</v>
      </c>
      <c r="E441" s="312" t="str">
        <f t="shared" si="24"/>
        <v>LO</v>
      </c>
      <c r="F441" s="369">
        <f>VLOOKUP(C441,METADATA!$A$5:$H$29,IF(E441="HI",2,IF(E441="LO",6,10))+IF(D441=1,2,IF(D441=7,1,(IF(WEEKDAY(B441)=1,2,IF(WEEKDAY(B441)=7,1,0))))))</f>
        <v>3</v>
      </c>
      <c r="G441" s="369">
        <f>VLOOKUP(C441,METADATA!$J$5:$Q$29,IF(E441="HI",2,IF(E441="LO",6,10))+IF(D441=1,2,IF(D441=7,1,(IF(WEEKDAY(B441)=1,2,IF(WEEKDAY(B441)=7,1,0))))))</f>
        <v>3</v>
      </c>
      <c r="H441" s="370">
        <v>12934.5546875</v>
      </c>
      <c r="I441" s="370">
        <v>1851.0225067138672</v>
      </c>
      <c r="M441" s="371">
        <f t="shared" si="25"/>
        <v>13066.330367945298</v>
      </c>
      <c r="N441" s="329">
        <f t="shared" si="26"/>
        <v>0</v>
      </c>
      <c r="T441" s="331">
        <v>0</v>
      </c>
      <c r="U441" s="328">
        <f>VLOOKUP(C441,METADATA!$J$5:$Q$29,IF(E441="HI",2,IF(E441="LO",6,10))+IF(T441=1,2,IF(D441=7,1,(IF(WEEKDAY(B441)=1,2,IF(WEEKDAY(B441)=7,1,0))))))</f>
        <v>3</v>
      </c>
      <c r="V441" s="328">
        <f>VLOOKUP(C441,METADATA!$A$5:$H$29,IF(E441="HI",2,IF(E441="LO",6,10))+IF(T441=1,2,IF(D441=7,1,(IF(WEEKDAY(B441)=1,2,IF(WEEKDAY(B441)=7,1,0))))))</f>
        <v>3</v>
      </c>
    </row>
    <row r="442" spans="2:22">
      <c r="B442" s="318">
        <f t="shared" si="27"/>
        <v>46131</v>
      </c>
      <c r="C442" s="312">
        <v>6</v>
      </c>
      <c r="D442" s="368">
        <f>IFERROR((INDEX(METADATA!$T$2:$T$20,MATCH(B442,METADATA!$S$2:$S$20,0))),0)</f>
        <v>0</v>
      </c>
      <c r="E442" s="312" t="str">
        <f t="shared" si="24"/>
        <v>LO</v>
      </c>
      <c r="F442" s="369">
        <f>VLOOKUP(C442,METADATA!$A$5:$H$29,IF(E442="HI",2,IF(E442="LO",6,10))+IF(D442=1,2,IF(D442=7,1,(IF(WEEKDAY(B442)=1,2,IF(WEEKDAY(B442)=7,1,0))))))</f>
        <v>3</v>
      </c>
      <c r="G442" s="369">
        <f>VLOOKUP(C442,METADATA!$J$5:$Q$29,IF(E442="HI",2,IF(E442="LO",6,10))+IF(D442=1,2,IF(D442=7,1,(IF(WEEKDAY(B442)=1,2,IF(WEEKDAY(B442)=7,1,0))))))</f>
        <v>3</v>
      </c>
      <c r="H442" s="370">
        <v>12836.450073242188</v>
      </c>
      <c r="I442" s="370">
        <v>1838.7380121946335</v>
      </c>
      <c r="M442" s="371">
        <f t="shared" si="25"/>
        <v>12967.47500326601</v>
      </c>
      <c r="N442" s="329">
        <f t="shared" si="26"/>
        <v>0</v>
      </c>
      <c r="T442" s="331">
        <v>0</v>
      </c>
      <c r="U442" s="328">
        <f>VLOOKUP(C442,METADATA!$J$5:$Q$29,IF(E442="HI",2,IF(E442="LO",6,10))+IF(T442=1,2,IF(D442=7,1,(IF(WEEKDAY(B442)=1,2,IF(WEEKDAY(B442)=7,1,0))))))</f>
        <v>3</v>
      </c>
      <c r="V442" s="328">
        <f>VLOOKUP(C442,METADATA!$A$5:$H$29,IF(E442="HI",2,IF(E442="LO",6,10))+IF(T442=1,2,IF(D442=7,1,(IF(WEEKDAY(B442)=1,2,IF(WEEKDAY(B442)=7,1,0))))))</f>
        <v>3</v>
      </c>
    </row>
    <row r="443" spans="2:22">
      <c r="B443" s="318">
        <f t="shared" si="27"/>
        <v>46131</v>
      </c>
      <c r="C443" s="312">
        <v>7</v>
      </c>
      <c r="D443" s="368">
        <f>IFERROR((INDEX(METADATA!$T$2:$T$20,MATCH(B443,METADATA!$S$2:$S$20,0))),0)</f>
        <v>0</v>
      </c>
      <c r="E443" s="312" t="str">
        <f t="shared" si="24"/>
        <v>LO</v>
      </c>
      <c r="F443" s="369">
        <f>VLOOKUP(C443,METADATA!$A$5:$H$29,IF(E443="HI",2,IF(E443="LO",6,10))+IF(D443=1,2,IF(D443=7,1,(IF(WEEKDAY(B443)=1,2,IF(WEEKDAY(B443)=7,1,0))))))</f>
        <v>3</v>
      </c>
      <c r="G443" s="369">
        <f>VLOOKUP(C443,METADATA!$J$5:$Q$29,IF(E443="HI",2,IF(E443="LO",6,10))+IF(D443=1,2,IF(D443=7,1,(IF(WEEKDAY(B443)=1,2,IF(WEEKDAY(B443)=7,1,0))))))</f>
        <v>3</v>
      </c>
      <c r="H443" s="370">
        <v>12319.55517578125</v>
      </c>
      <c r="I443" s="370">
        <v>1605.767979234457</v>
      </c>
      <c r="M443" s="371">
        <f t="shared" si="25"/>
        <v>12423.764748748799</v>
      </c>
      <c r="N443" s="329">
        <f t="shared" si="26"/>
        <v>0</v>
      </c>
      <c r="T443" s="331">
        <v>0</v>
      </c>
      <c r="U443" s="328">
        <f>VLOOKUP(C443,METADATA!$J$5:$Q$29,IF(E443="HI",2,IF(E443="LO",6,10))+IF(T443=1,2,IF(D443=7,1,(IF(WEEKDAY(B443)=1,2,IF(WEEKDAY(B443)=7,1,0))))))</f>
        <v>3</v>
      </c>
      <c r="V443" s="328">
        <f>VLOOKUP(C443,METADATA!$A$5:$H$29,IF(E443="HI",2,IF(E443="LO",6,10))+IF(T443=1,2,IF(D443=7,1,(IF(WEEKDAY(B443)=1,2,IF(WEEKDAY(B443)=7,1,0))))))</f>
        <v>3</v>
      </c>
    </row>
    <row r="444" spans="2:22">
      <c r="B444" s="318">
        <f t="shared" si="27"/>
        <v>46131</v>
      </c>
      <c r="C444" s="312">
        <v>8</v>
      </c>
      <c r="D444" s="368">
        <f>IFERROR((INDEX(METADATA!$T$2:$T$20,MATCH(B444,METADATA!$S$2:$S$20,0))),0)</f>
        <v>0</v>
      </c>
      <c r="E444" s="312" t="str">
        <f t="shared" si="24"/>
        <v>LO</v>
      </c>
      <c r="F444" s="369">
        <f>VLOOKUP(C444,METADATA!$A$5:$H$29,IF(E444="HI",2,IF(E444="LO",6,10))+IF(D444=1,2,IF(D444=7,1,(IF(WEEKDAY(B444)=1,2,IF(WEEKDAY(B444)=7,1,0))))))</f>
        <v>3</v>
      </c>
      <c r="G444" s="369">
        <f>VLOOKUP(C444,METADATA!$J$5:$Q$29,IF(E444="HI",2,IF(E444="LO",6,10))+IF(D444=1,2,IF(D444=7,1,(IF(WEEKDAY(B444)=1,2,IF(WEEKDAY(B444)=7,1,0))))))</f>
        <v>3</v>
      </c>
      <c r="H444" s="370">
        <v>7160.2300415039063</v>
      </c>
      <c r="I444" s="370">
        <v>265.75049388408661</v>
      </c>
      <c r="M444" s="371">
        <f t="shared" si="25"/>
        <v>7165.1599823210272</v>
      </c>
      <c r="N444" s="329">
        <f t="shared" si="26"/>
        <v>0</v>
      </c>
      <c r="T444" s="331">
        <v>0</v>
      </c>
      <c r="U444" s="328">
        <f>VLOOKUP(C444,METADATA!$J$5:$Q$29,IF(E444="HI",2,IF(E444="LO",6,10))+IF(T444=1,2,IF(D444=7,1,(IF(WEEKDAY(B444)=1,2,IF(WEEKDAY(B444)=7,1,0))))))</f>
        <v>3</v>
      </c>
      <c r="V444" s="328">
        <f>VLOOKUP(C444,METADATA!$A$5:$H$29,IF(E444="HI",2,IF(E444="LO",6,10))+IF(T444=1,2,IF(D444=7,1,(IF(WEEKDAY(B444)=1,2,IF(WEEKDAY(B444)=7,1,0))))))</f>
        <v>3</v>
      </c>
    </row>
    <row r="445" spans="2:22">
      <c r="B445" s="318">
        <f t="shared" si="27"/>
        <v>46131</v>
      </c>
      <c r="C445" s="312">
        <v>9</v>
      </c>
      <c r="D445" s="368">
        <f>IFERROR((INDEX(METADATA!$T$2:$T$20,MATCH(B445,METADATA!$S$2:$S$20,0))),0)</f>
        <v>0</v>
      </c>
      <c r="E445" s="312" t="str">
        <f t="shared" si="24"/>
        <v>LO</v>
      </c>
      <c r="F445" s="369">
        <f>VLOOKUP(C445,METADATA!$A$5:$H$29,IF(E445="HI",2,IF(E445="LO",6,10))+IF(D445=1,2,IF(D445=7,1,(IF(WEEKDAY(B445)=1,2,IF(WEEKDAY(B445)=7,1,0))))))</f>
        <v>3</v>
      </c>
      <c r="G445" s="369">
        <f>VLOOKUP(C445,METADATA!$J$5:$Q$29,IF(E445="HI",2,IF(E445="LO",6,10))+IF(D445=1,2,IF(D445=7,1,(IF(WEEKDAY(B445)=1,2,IF(WEEKDAY(B445)=7,1,0))))))</f>
        <v>3</v>
      </c>
      <c r="H445" s="370">
        <v>5394.1951293945313</v>
      </c>
      <c r="I445" s="370">
        <v>6.554499626159668</v>
      </c>
      <c r="M445" s="371">
        <f t="shared" si="25"/>
        <v>5394.1991115872825</v>
      </c>
      <c r="N445" s="329">
        <f t="shared" si="26"/>
        <v>0</v>
      </c>
      <c r="T445" s="331">
        <v>0</v>
      </c>
      <c r="U445" s="328">
        <f>VLOOKUP(C445,METADATA!$J$5:$Q$29,IF(E445="HI",2,IF(E445="LO",6,10))+IF(T445=1,2,IF(D445=7,1,(IF(WEEKDAY(B445)=1,2,IF(WEEKDAY(B445)=7,1,0))))))</f>
        <v>3</v>
      </c>
      <c r="V445" s="328">
        <f>VLOOKUP(C445,METADATA!$A$5:$H$29,IF(E445="HI",2,IF(E445="LO",6,10))+IF(T445=1,2,IF(D445=7,1,(IF(WEEKDAY(B445)=1,2,IF(WEEKDAY(B445)=7,1,0))))))</f>
        <v>3</v>
      </c>
    </row>
    <row r="446" spans="2:22">
      <c r="B446" s="318">
        <f t="shared" si="27"/>
        <v>46131</v>
      </c>
      <c r="C446" s="312">
        <v>10</v>
      </c>
      <c r="D446" s="368">
        <f>IFERROR((INDEX(METADATA!$T$2:$T$20,MATCH(B446,METADATA!$S$2:$S$20,0))),0)</f>
        <v>0</v>
      </c>
      <c r="E446" s="312" t="str">
        <f t="shared" si="24"/>
        <v>LO</v>
      </c>
      <c r="F446" s="369">
        <f>VLOOKUP(C446,METADATA!$A$5:$H$29,IF(E446="HI",2,IF(E446="LO",6,10))+IF(D446=1,2,IF(D446=7,1,(IF(WEEKDAY(B446)=1,2,IF(WEEKDAY(B446)=7,1,0))))))</f>
        <v>3</v>
      </c>
      <c r="G446" s="369">
        <f>VLOOKUP(C446,METADATA!$J$5:$Q$29,IF(E446="HI",2,IF(E446="LO",6,10))+IF(D446=1,2,IF(D446=7,1,(IF(WEEKDAY(B446)=1,2,IF(WEEKDAY(B446)=7,1,0))))))</f>
        <v>3</v>
      </c>
      <c r="H446" s="370">
        <v>5220.2400512695313</v>
      </c>
      <c r="I446" s="370">
        <v>0.28799998760223389</v>
      </c>
      <c r="M446" s="371">
        <f t="shared" si="25"/>
        <v>5220.2400592139929</v>
      </c>
      <c r="N446" s="329">
        <f t="shared" si="26"/>
        <v>0</v>
      </c>
      <c r="T446" s="331">
        <v>0</v>
      </c>
      <c r="U446" s="328">
        <f>VLOOKUP(C446,METADATA!$J$5:$Q$29,IF(E446="HI",2,IF(E446="LO",6,10))+IF(T446=1,2,IF(D446=7,1,(IF(WEEKDAY(B446)=1,2,IF(WEEKDAY(B446)=7,1,0))))))</f>
        <v>3</v>
      </c>
      <c r="V446" s="328">
        <f>VLOOKUP(C446,METADATA!$A$5:$H$29,IF(E446="HI",2,IF(E446="LO",6,10))+IF(T446=1,2,IF(D446=7,1,(IF(WEEKDAY(B446)=1,2,IF(WEEKDAY(B446)=7,1,0))))))</f>
        <v>3</v>
      </c>
    </row>
    <row r="447" spans="2:22">
      <c r="B447" s="318">
        <f t="shared" si="27"/>
        <v>46131</v>
      </c>
      <c r="C447" s="312">
        <v>11</v>
      </c>
      <c r="D447" s="368">
        <f>IFERROR((INDEX(METADATA!$T$2:$T$20,MATCH(B447,METADATA!$S$2:$S$20,0))),0)</f>
        <v>0</v>
      </c>
      <c r="E447" s="312" t="str">
        <f t="shared" si="24"/>
        <v>LO</v>
      </c>
      <c r="F447" s="369">
        <f>VLOOKUP(C447,METADATA!$A$5:$H$29,IF(E447="HI",2,IF(E447="LO",6,10))+IF(D447=1,2,IF(D447=7,1,(IF(WEEKDAY(B447)=1,2,IF(WEEKDAY(B447)=7,1,0))))))</f>
        <v>3</v>
      </c>
      <c r="G447" s="369">
        <f>VLOOKUP(C447,METADATA!$J$5:$Q$29,IF(E447="HI",2,IF(E447="LO",6,10))+IF(D447=1,2,IF(D447=7,1,(IF(WEEKDAY(B447)=1,2,IF(WEEKDAY(B447)=7,1,0))))))</f>
        <v>3</v>
      </c>
      <c r="H447" s="370">
        <v>5010.3101196289063</v>
      </c>
      <c r="I447" s="370">
        <v>0</v>
      </c>
      <c r="M447" s="371">
        <f t="shared" si="25"/>
        <v>5010.3101196289063</v>
      </c>
      <c r="N447" s="329">
        <f t="shared" si="26"/>
        <v>0</v>
      </c>
      <c r="T447" s="331">
        <v>0</v>
      </c>
      <c r="U447" s="328">
        <f>VLOOKUP(C447,METADATA!$J$5:$Q$29,IF(E447="HI",2,IF(E447="LO",6,10))+IF(T447=1,2,IF(D447=7,1,(IF(WEEKDAY(B447)=1,2,IF(WEEKDAY(B447)=7,1,0))))))</f>
        <v>3</v>
      </c>
      <c r="V447" s="328">
        <f>VLOOKUP(C447,METADATA!$A$5:$H$29,IF(E447="HI",2,IF(E447="LO",6,10))+IF(T447=1,2,IF(D447=7,1,(IF(WEEKDAY(B447)=1,2,IF(WEEKDAY(B447)=7,1,0))))))</f>
        <v>3</v>
      </c>
    </row>
    <row r="448" spans="2:22">
      <c r="B448" s="318">
        <f t="shared" si="27"/>
        <v>46131</v>
      </c>
      <c r="C448" s="312">
        <v>12</v>
      </c>
      <c r="D448" s="368">
        <f>IFERROR((INDEX(METADATA!$T$2:$T$20,MATCH(B448,METADATA!$S$2:$S$20,0))),0)</f>
        <v>0</v>
      </c>
      <c r="E448" s="312" t="str">
        <f t="shared" si="24"/>
        <v>LO</v>
      </c>
      <c r="F448" s="369">
        <f>VLOOKUP(C448,METADATA!$A$5:$H$29,IF(E448="HI",2,IF(E448="LO",6,10))+IF(D448=1,2,IF(D448=7,1,(IF(WEEKDAY(B448)=1,2,IF(WEEKDAY(B448)=7,1,0))))))</f>
        <v>3</v>
      </c>
      <c r="G448" s="369">
        <f>VLOOKUP(C448,METADATA!$J$5:$Q$29,IF(E448="HI",2,IF(E448="LO",6,10))+IF(D448=1,2,IF(D448=7,1,(IF(WEEKDAY(B448)=1,2,IF(WEEKDAY(B448)=7,1,0))))))</f>
        <v>3</v>
      </c>
      <c r="H448" s="370">
        <v>8747.5324096679688</v>
      </c>
      <c r="I448" s="370">
        <v>772.56000518798828</v>
      </c>
      <c r="M448" s="371">
        <f t="shared" si="25"/>
        <v>8781.5814190729652</v>
      </c>
      <c r="N448" s="329">
        <f t="shared" si="26"/>
        <v>0</v>
      </c>
      <c r="T448" s="331">
        <v>0</v>
      </c>
      <c r="U448" s="328">
        <f>VLOOKUP(C448,METADATA!$J$5:$Q$29,IF(E448="HI",2,IF(E448="LO",6,10))+IF(T448=1,2,IF(D448=7,1,(IF(WEEKDAY(B448)=1,2,IF(WEEKDAY(B448)=7,1,0))))))</f>
        <v>3</v>
      </c>
      <c r="V448" s="328">
        <f>VLOOKUP(C448,METADATA!$A$5:$H$29,IF(E448="HI",2,IF(E448="LO",6,10))+IF(T448=1,2,IF(D448=7,1,(IF(WEEKDAY(B448)=1,2,IF(WEEKDAY(B448)=7,1,0))))))</f>
        <v>3</v>
      </c>
    </row>
    <row r="449" spans="2:22">
      <c r="B449" s="318">
        <f t="shared" si="27"/>
        <v>46131</v>
      </c>
      <c r="C449" s="312">
        <v>13</v>
      </c>
      <c r="D449" s="368">
        <f>IFERROR((INDEX(METADATA!$T$2:$T$20,MATCH(B449,METADATA!$S$2:$S$20,0))),0)</f>
        <v>0</v>
      </c>
      <c r="E449" s="312" t="str">
        <f t="shared" si="24"/>
        <v>LO</v>
      </c>
      <c r="F449" s="369">
        <f>VLOOKUP(C449,METADATA!$A$5:$H$29,IF(E449="HI",2,IF(E449="LO",6,10))+IF(D449=1,2,IF(D449=7,1,(IF(WEEKDAY(B449)=1,2,IF(WEEKDAY(B449)=7,1,0))))))</f>
        <v>3</v>
      </c>
      <c r="G449" s="369">
        <f>VLOOKUP(C449,METADATA!$J$5:$Q$29,IF(E449="HI",2,IF(E449="LO",6,10))+IF(D449=1,2,IF(D449=7,1,(IF(WEEKDAY(B449)=1,2,IF(WEEKDAY(B449)=7,1,0))))))</f>
        <v>3</v>
      </c>
      <c r="H449" s="370">
        <v>11999.605163574219</v>
      </c>
      <c r="I449" s="370">
        <v>1634.2065550088882</v>
      </c>
      <c r="M449" s="371">
        <f t="shared" si="25"/>
        <v>12110.37386483634</v>
      </c>
      <c r="N449" s="329">
        <f t="shared" si="26"/>
        <v>0</v>
      </c>
      <c r="T449" s="331">
        <v>0</v>
      </c>
      <c r="U449" s="328">
        <f>VLOOKUP(C449,METADATA!$J$5:$Q$29,IF(E449="HI",2,IF(E449="LO",6,10))+IF(T449=1,2,IF(D449=7,1,(IF(WEEKDAY(B449)=1,2,IF(WEEKDAY(B449)=7,1,0))))))</f>
        <v>3</v>
      </c>
      <c r="V449" s="328">
        <f>VLOOKUP(C449,METADATA!$A$5:$H$29,IF(E449="HI",2,IF(E449="LO",6,10))+IF(T449=1,2,IF(D449=7,1,(IF(WEEKDAY(B449)=1,2,IF(WEEKDAY(B449)=7,1,0))))))</f>
        <v>3</v>
      </c>
    </row>
    <row r="450" spans="2:22">
      <c r="B450" s="318">
        <f t="shared" si="27"/>
        <v>46131</v>
      </c>
      <c r="C450" s="312">
        <v>14</v>
      </c>
      <c r="D450" s="368">
        <f>IFERROR((INDEX(METADATA!$T$2:$T$20,MATCH(B450,METADATA!$S$2:$S$20,0))),0)</f>
        <v>0</v>
      </c>
      <c r="E450" s="312" t="str">
        <f t="shared" si="24"/>
        <v>LO</v>
      </c>
      <c r="F450" s="369">
        <f>VLOOKUP(C450,METADATA!$A$5:$H$29,IF(E450="HI",2,IF(E450="LO",6,10))+IF(D450=1,2,IF(D450=7,1,(IF(WEEKDAY(B450)=1,2,IF(WEEKDAY(B450)=7,1,0))))))</f>
        <v>3</v>
      </c>
      <c r="G450" s="369">
        <f>VLOOKUP(C450,METADATA!$J$5:$Q$29,IF(E450="HI",2,IF(E450="LO",6,10))+IF(D450=1,2,IF(D450=7,1,(IF(WEEKDAY(B450)=1,2,IF(WEEKDAY(B450)=7,1,0))))))</f>
        <v>3</v>
      </c>
      <c r="H450" s="370">
        <v>13303.324584960938</v>
      </c>
      <c r="I450" s="370">
        <v>1981.8230113983154</v>
      </c>
      <c r="M450" s="371">
        <f t="shared" si="25"/>
        <v>13450.132618726626</v>
      </c>
      <c r="N450" s="329">
        <f t="shared" si="26"/>
        <v>0</v>
      </c>
      <c r="T450" s="331">
        <v>0</v>
      </c>
      <c r="U450" s="328">
        <f>VLOOKUP(C450,METADATA!$J$5:$Q$29,IF(E450="HI",2,IF(E450="LO",6,10))+IF(T450=1,2,IF(D450=7,1,(IF(WEEKDAY(B450)=1,2,IF(WEEKDAY(B450)=7,1,0))))))</f>
        <v>3</v>
      </c>
      <c r="V450" s="328">
        <f>VLOOKUP(C450,METADATA!$A$5:$H$29,IF(E450="HI",2,IF(E450="LO",6,10))+IF(T450=1,2,IF(D450=7,1,(IF(WEEKDAY(B450)=1,2,IF(WEEKDAY(B450)=7,1,0))))))</f>
        <v>3</v>
      </c>
    </row>
    <row r="451" spans="2:22">
      <c r="B451" s="318">
        <f t="shared" si="27"/>
        <v>46131</v>
      </c>
      <c r="C451" s="312">
        <v>15</v>
      </c>
      <c r="D451" s="368">
        <f>IFERROR((INDEX(METADATA!$T$2:$T$20,MATCH(B451,METADATA!$S$2:$S$20,0))),0)</f>
        <v>0</v>
      </c>
      <c r="E451" s="312" t="str">
        <f t="shared" si="24"/>
        <v>LO</v>
      </c>
      <c r="F451" s="369">
        <f>VLOOKUP(C451,METADATA!$A$5:$H$29,IF(E451="HI",2,IF(E451="LO",6,10))+IF(D451=1,2,IF(D451=7,1,(IF(WEEKDAY(B451)=1,2,IF(WEEKDAY(B451)=7,1,0))))))</f>
        <v>3</v>
      </c>
      <c r="G451" s="369">
        <f>VLOOKUP(C451,METADATA!$J$5:$Q$29,IF(E451="HI",2,IF(E451="LO",6,10))+IF(D451=1,2,IF(D451=7,1,(IF(WEEKDAY(B451)=1,2,IF(WEEKDAY(B451)=7,1,0))))))</f>
        <v>3</v>
      </c>
      <c r="H451" s="370">
        <v>13314.914733886719</v>
      </c>
      <c r="I451" s="370">
        <v>2787.5899963378906</v>
      </c>
      <c r="M451" s="371">
        <f t="shared" si="25"/>
        <v>13603.588216288992</v>
      </c>
      <c r="N451" s="329">
        <f t="shared" si="26"/>
        <v>0</v>
      </c>
      <c r="T451" s="331">
        <v>0</v>
      </c>
      <c r="U451" s="328">
        <f>VLOOKUP(C451,METADATA!$J$5:$Q$29,IF(E451="HI",2,IF(E451="LO",6,10))+IF(T451=1,2,IF(D451=7,1,(IF(WEEKDAY(B451)=1,2,IF(WEEKDAY(B451)=7,1,0))))))</f>
        <v>3</v>
      </c>
      <c r="V451" s="328">
        <f>VLOOKUP(C451,METADATA!$A$5:$H$29,IF(E451="HI",2,IF(E451="LO",6,10))+IF(T451=1,2,IF(D451=7,1,(IF(WEEKDAY(B451)=1,2,IF(WEEKDAY(B451)=7,1,0))))))</f>
        <v>3</v>
      </c>
    </row>
    <row r="452" spans="2:22">
      <c r="B452" s="318">
        <f t="shared" si="27"/>
        <v>46131</v>
      </c>
      <c r="C452" s="312">
        <v>16</v>
      </c>
      <c r="D452" s="368">
        <f>IFERROR((INDEX(METADATA!$T$2:$T$20,MATCH(B452,METADATA!$S$2:$S$20,0))),0)</f>
        <v>0</v>
      </c>
      <c r="E452" s="312" t="str">
        <f t="shared" ref="E452:E515" si="28">IF(B452="","",IF(AND(MONTH(B452)&gt;=MONTH($Z$9),MONTH(B452)&lt;=MONTH($Z$11)),"HI","LO"))</f>
        <v>LO</v>
      </c>
      <c r="F452" s="369">
        <f>VLOOKUP(C452,METADATA!$A$5:$H$29,IF(E452="HI",2,IF(E452="LO",6,10))+IF(D452=1,2,IF(D452=7,1,(IF(WEEKDAY(B452)=1,2,IF(WEEKDAY(B452)=7,1,0))))))</f>
        <v>3</v>
      </c>
      <c r="G452" s="369">
        <f>VLOOKUP(C452,METADATA!$J$5:$Q$29,IF(E452="HI",2,IF(E452="LO",6,10))+IF(D452=1,2,IF(D452=7,1,(IF(WEEKDAY(B452)=1,2,IF(WEEKDAY(B452)=7,1,0))))))</f>
        <v>3</v>
      </c>
      <c r="H452" s="370">
        <v>13378.71484375</v>
      </c>
      <c r="I452" s="370">
        <v>2209.6184997558594</v>
      </c>
      <c r="M452" s="371">
        <f t="shared" ref="M452:M515" si="29">SQRT(H452^2+I452^2)</f>
        <v>13559.956666038426</v>
      </c>
      <c r="N452" s="329">
        <f t="shared" ref="N452:N515" si="30">IF(H452=0,0,(IF(I452-(0.3*H452)&lt;0,0,(I452-(0.3*H452)))))</f>
        <v>0</v>
      </c>
      <c r="T452" s="331">
        <v>0</v>
      </c>
      <c r="U452" s="328">
        <f>VLOOKUP(C452,METADATA!$J$5:$Q$29,IF(E452="HI",2,IF(E452="LO",6,10))+IF(T452=1,2,IF(D452=7,1,(IF(WEEKDAY(B452)=1,2,IF(WEEKDAY(B452)=7,1,0))))))</f>
        <v>3</v>
      </c>
      <c r="V452" s="328">
        <f>VLOOKUP(C452,METADATA!$A$5:$H$29,IF(E452="HI",2,IF(E452="LO",6,10))+IF(T452=1,2,IF(D452=7,1,(IF(WEEKDAY(B452)=1,2,IF(WEEKDAY(B452)=7,1,0))))))</f>
        <v>3</v>
      </c>
    </row>
    <row r="453" spans="2:22">
      <c r="B453" s="318">
        <f t="shared" si="27"/>
        <v>46131</v>
      </c>
      <c r="C453" s="312">
        <v>17</v>
      </c>
      <c r="D453" s="368">
        <f>IFERROR((INDEX(METADATA!$T$2:$T$20,MATCH(B453,METADATA!$S$2:$S$20,0))),0)</f>
        <v>0</v>
      </c>
      <c r="E453" s="312" t="str">
        <f t="shared" si="28"/>
        <v>LO</v>
      </c>
      <c r="F453" s="369">
        <f>VLOOKUP(C453,METADATA!$A$5:$H$29,IF(E453="HI",2,IF(E453="LO",6,10))+IF(D453=1,2,IF(D453=7,1,(IF(WEEKDAY(B453)=1,2,IF(WEEKDAY(B453)=7,1,0))))))</f>
        <v>3</v>
      </c>
      <c r="G453" s="369">
        <f>VLOOKUP(C453,METADATA!$J$5:$Q$29,IF(E453="HI",2,IF(E453="LO",6,10))+IF(D453=1,2,IF(D453=7,1,(IF(WEEKDAY(B453)=1,2,IF(WEEKDAY(B453)=7,1,0))))))</f>
        <v>3</v>
      </c>
      <c r="H453" s="370">
        <v>13453.729797363281</v>
      </c>
      <c r="I453" s="370">
        <v>2144.7350010871887</v>
      </c>
      <c r="M453" s="371">
        <f t="shared" si="29"/>
        <v>13623.609422078611</v>
      </c>
      <c r="N453" s="329">
        <f t="shared" si="30"/>
        <v>0</v>
      </c>
      <c r="T453" s="331">
        <v>0</v>
      </c>
      <c r="U453" s="328">
        <f>VLOOKUP(C453,METADATA!$J$5:$Q$29,IF(E453="HI",2,IF(E453="LO",6,10))+IF(T453=1,2,IF(D453=7,1,(IF(WEEKDAY(B453)=1,2,IF(WEEKDAY(B453)=7,1,0))))))</f>
        <v>3</v>
      </c>
      <c r="V453" s="328">
        <f>VLOOKUP(C453,METADATA!$A$5:$H$29,IF(E453="HI",2,IF(E453="LO",6,10))+IF(T453=1,2,IF(D453=7,1,(IF(WEEKDAY(B453)=1,2,IF(WEEKDAY(B453)=7,1,0))))))</f>
        <v>3</v>
      </c>
    </row>
    <row r="454" spans="2:22">
      <c r="B454" s="318">
        <f t="shared" si="27"/>
        <v>46131</v>
      </c>
      <c r="C454" s="312">
        <v>18</v>
      </c>
      <c r="D454" s="368">
        <f>IFERROR((INDEX(METADATA!$T$2:$T$20,MATCH(B454,METADATA!$S$2:$S$20,0))),0)</f>
        <v>0</v>
      </c>
      <c r="E454" s="312" t="str">
        <f t="shared" si="28"/>
        <v>LO</v>
      </c>
      <c r="F454" s="369">
        <f>VLOOKUP(C454,METADATA!$A$5:$H$29,IF(E454="HI",2,IF(E454="LO",6,10))+IF(D454=1,2,IF(D454=7,1,(IF(WEEKDAY(B454)=1,2,IF(WEEKDAY(B454)=7,1,0))))))</f>
        <v>2</v>
      </c>
      <c r="G454" s="369">
        <f>VLOOKUP(C454,METADATA!$J$5:$Q$29,IF(E454="HI",2,IF(E454="LO",6,10))+IF(D454=1,2,IF(D454=7,1,(IF(WEEKDAY(B454)=1,2,IF(WEEKDAY(B454)=7,1,0))))))</f>
        <v>2</v>
      </c>
      <c r="H454" s="370">
        <v>13485.159912109375</v>
      </c>
      <c r="I454" s="370">
        <v>2054.6409776210785</v>
      </c>
      <c r="M454" s="371">
        <f t="shared" si="29"/>
        <v>13640.787638625618</v>
      </c>
      <c r="N454" s="329">
        <f t="shared" si="30"/>
        <v>0</v>
      </c>
      <c r="T454" s="331">
        <v>0</v>
      </c>
      <c r="U454" s="328">
        <f>VLOOKUP(C454,METADATA!$J$5:$Q$29,IF(E454="HI",2,IF(E454="LO",6,10))+IF(T454=1,2,IF(D454=7,1,(IF(WEEKDAY(B454)=1,2,IF(WEEKDAY(B454)=7,1,0))))))</f>
        <v>2</v>
      </c>
      <c r="V454" s="328">
        <f>VLOOKUP(C454,METADATA!$A$5:$H$29,IF(E454="HI",2,IF(E454="LO",6,10))+IF(T454=1,2,IF(D454=7,1,(IF(WEEKDAY(B454)=1,2,IF(WEEKDAY(B454)=7,1,0))))))</f>
        <v>2</v>
      </c>
    </row>
    <row r="455" spans="2:22">
      <c r="B455" s="318">
        <f t="shared" si="27"/>
        <v>46131</v>
      </c>
      <c r="C455" s="312">
        <v>19</v>
      </c>
      <c r="D455" s="368">
        <f>IFERROR((INDEX(METADATA!$T$2:$T$20,MATCH(B455,METADATA!$S$2:$S$20,0))),0)</f>
        <v>0</v>
      </c>
      <c r="E455" s="312" t="str">
        <f t="shared" si="28"/>
        <v>LO</v>
      </c>
      <c r="F455" s="369">
        <f>VLOOKUP(C455,METADATA!$A$5:$H$29,IF(E455="HI",2,IF(E455="LO",6,10))+IF(D455=1,2,IF(D455=7,1,(IF(WEEKDAY(B455)=1,2,IF(WEEKDAY(B455)=7,1,0))))))</f>
        <v>2</v>
      </c>
      <c r="G455" s="369">
        <f>VLOOKUP(C455,METADATA!$J$5:$Q$29,IF(E455="HI",2,IF(E455="LO",6,10))+IF(D455=1,2,IF(D455=7,1,(IF(WEEKDAY(B455)=1,2,IF(WEEKDAY(B455)=7,1,0))))))</f>
        <v>2</v>
      </c>
      <c r="H455" s="370">
        <v>13560.345336914063</v>
      </c>
      <c r="I455" s="370">
        <v>2116.0559579133987</v>
      </c>
      <c r="M455" s="371">
        <f t="shared" si="29"/>
        <v>13724.454760513721</v>
      </c>
      <c r="N455" s="329">
        <f t="shared" si="30"/>
        <v>0</v>
      </c>
      <c r="T455" s="331">
        <v>0</v>
      </c>
      <c r="U455" s="328">
        <f>VLOOKUP(C455,METADATA!$J$5:$Q$29,IF(E455="HI",2,IF(E455="LO",6,10))+IF(T455=1,2,IF(D455=7,1,(IF(WEEKDAY(B455)=1,2,IF(WEEKDAY(B455)=7,1,0))))))</f>
        <v>2</v>
      </c>
      <c r="V455" s="328">
        <f>VLOOKUP(C455,METADATA!$A$5:$H$29,IF(E455="HI",2,IF(E455="LO",6,10))+IF(T455=1,2,IF(D455=7,1,(IF(WEEKDAY(B455)=1,2,IF(WEEKDAY(B455)=7,1,0))))))</f>
        <v>2</v>
      </c>
    </row>
    <row r="456" spans="2:22">
      <c r="B456" s="318">
        <f t="shared" si="27"/>
        <v>46131</v>
      </c>
      <c r="C456" s="312">
        <v>20</v>
      </c>
      <c r="D456" s="368">
        <f>IFERROR((INDEX(METADATA!$T$2:$T$20,MATCH(B456,METADATA!$S$2:$S$20,0))),0)</f>
        <v>0</v>
      </c>
      <c r="E456" s="312" t="str">
        <f t="shared" si="28"/>
        <v>LO</v>
      </c>
      <c r="F456" s="369">
        <f>VLOOKUP(C456,METADATA!$A$5:$H$29,IF(E456="HI",2,IF(E456="LO",6,10))+IF(D456=1,2,IF(D456=7,1,(IF(WEEKDAY(B456)=1,2,IF(WEEKDAY(B456)=7,1,0))))))</f>
        <v>3</v>
      </c>
      <c r="G456" s="369">
        <f>VLOOKUP(C456,METADATA!$J$5:$Q$29,IF(E456="HI",2,IF(E456="LO",6,10))+IF(D456=1,2,IF(D456=7,1,(IF(WEEKDAY(B456)=1,2,IF(WEEKDAY(B456)=7,1,0))))))</f>
        <v>3</v>
      </c>
      <c r="H456" s="370">
        <v>13447.080200195313</v>
      </c>
      <c r="I456" s="370">
        <v>2040.3585422039032</v>
      </c>
      <c r="M456" s="371">
        <f t="shared" si="29"/>
        <v>13600.993672935418</v>
      </c>
      <c r="N456" s="329">
        <f t="shared" si="30"/>
        <v>0</v>
      </c>
      <c r="T456" s="331">
        <v>0</v>
      </c>
      <c r="U456" s="328">
        <f>VLOOKUP(C456,METADATA!$J$5:$Q$29,IF(E456="HI",2,IF(E456="LO",6,10))+IF(T456=1,2,IF(D456=7,1,(IF(WEEKDAY(B456)=1,2,IF(WEEKDAY(B456)=7,1,0))))))</f>
        <v>3</v>
      </c>
      <c r="V456" s="328">
        <f>VLOOKUP(C456,METADATA!$A$5:$H$29,IF(E456="HI",2,IF(E456="LO",6,10))+IF(T456=1,2,IF(D456=7,1,(IF(WEEKDAY(B456)=1,2,IF(WEEKDAY(B456)=7,1,0))))))</f>
        <v>3</v>
      </c>
    </row>
    <row r="457" spans="2:22">
      <c r="B457" s="318">
        <f t="shared" si="27"/>
        <v>46131</v>
      </c>
      <c r="C457" s="312">
        <v>21</v>
      </c>
      <c r="D457" s="368">
        <f>IFERROR((INDEX(METADATA!$T$2:$T$20,MATCH(B457,METADATA!$S$2:$S$20,0))),0)</f>
        <v>0</v>
      </c>
      <c r="E457" s="312" t="str">
        <f t="shared" si="28"/>
        <v>LO</v>
      </c>
      <c r="F457" s="369">
        <f>VLOOKUP(C457,METADATA!$A$5:$H$29,IF(E457="HI",2,IF(E457="LO",6,10))+IF(D457=1,2,IF(D457=7,1,(IF(WEEKDAY(B457)=1,2,IF(WEEKDAY(B457)=7,1,0))))))</f>
        <v>3</v>
      </c>
      <c r="G457" s="369">
        <f>VLOOKUP(C457,METADATA!$J$5:$Q$29,IF(E457="HI",2,IF(E457="LO",6,10))+IF(D457=1,2,IF(D457=7,1,(IF(WEEKDAY(B457)=1,2,IF(WEEKDAY(B457)=7,1,0))))))</f>
        <v>3</v>
      </c>
      <c r="H457" s="370">
        <v>13550.700256347656</v>
      </c>
      <c r="I457" s="370">
        <v>2216.6879754066467</v>
      </c>
      <c r="M457" s="371">
        <f t="shared" si="29"/>
        <v>13730.811447896765</v>
      </c>
      <c r="N457" s="329">
        <f t="shared" si="30"/>
        <v>0</v>
      </c>
      <c r="T457" s="331">
        <v>0</v>
      </c>
      <c r="U457" s="328">
        <f>VLOOKUP(C457,METADATA!$J$5:$Q$29,IF(E457="HI",2,IF(E457="LO",6,10))+IF(T457=1,2,IF(D457=7,1,(IF(WEEKDAY(B457)=1,2,IF(WEEKDAY(B457)=7,1,0))))))</f>
        <v>3</v>
      </c>
      <c r="V457" s="328">
        <f>VLOOKUP(C457,METADATA!$A$5:$H$29,IF(E457="HI",2,IF(E457="LO",6,10))+IF(T457=1,2,IF(D457=7,1,(IF(WEEKDAY(B457)=1,2,IF(WEEKDAY(B457)=7,1,0))))))</f>
        <v>3</v>
      </c>
    </row>
    <row r="458" spans="2:22">
      <c r="B458" s="318">
        <f t="shared" si="27"/>
        <v>46131</v>
      </c>
      <c r="C458" s="312">
        <v>22</v>
      </c>
      <c r="D458" s="368">
        <f>IFERROR((INDEX(METADATA!$T$2:$T$20,MATCH(B458,METADATA!$S$2:$S$20,0))),0)</f>
        <v>0</v>
      </c>
      <c r="E458" s="312" t="str">
        <f t="shared" si="28"/>
        <v>LO</v>
      </c>
      <c r="F458" s="369">
        <f>VLOOKUP(C458,METADATA!$A$5:$H$29,IF(E458="HI",2,IF(E458="LO",6,10))+IF(D458=1,2,IF(D458=7,1,(IF(WEEKDAY(B458)=1,2,IF(WEEKDAY(B458)=7,1,0))))))</f>
        <v>3</v>
      </c>
      <c r="G458" s="369">
        <f>VLOOKUP(C458,METADATA!$J$5:$Q$29,IF(E458="HI",2,IF(E458="LO",6,10))+IF(D458=1,2,IF(D458=7,1,(IF(WEEKDAY(B458)=1,2,IF(WEEKDAY(B458)=7,1,0))))))</f>
        <v>3</v>
      </c>
      <c r="H458" s="370">
        <v>13350.385009765625</v>
      </c>
      <c r="I458" s="370">
        <v>1974.4835290908813</v>
      </c>
      <c r="M458" s="371">
        <f t="shared" si="29"/>
        <v>13495.605400115472</v>
      </c>
      <c r="N458" s="329">
        <f t="shared" si="30"/>
        <v>0</v>
      </c>
      <c r="T458" s="331">
        <v>0</v>
      </c>
      <c r="U458" s="328">
        <f>VLOOKUP(C458,METADATA!$J$5:$Q$29,IF(E458="HI",2,IF(E458="LO",6,10))+IF(T458=1,2,IF(D458=7,1,(IF(WEEKDAY(B458)=1,2,IF(WEEKDAY(B458)=7,1,0))))))</f>
        <v>3</v>
      </c>
      <c r="V458" s="328">
        <f>VLOOKUP(C458,METADATA!$A$5:$H$29,IF(E458="HI",2,IF(E458="LO",6,10))+IF(T458=1,2,IF(D458=7,1,(IF(WEEKDAY(B458)=1,2,IF(WEEKDAY(B458)=7,1,0))))))</f>
        <v>3</v>
      </c>
    </row>
    <row r="459" spans="2:22">
      <c r="B459" s="318">
        <f t="shared" si="27"/>
        <v>46131</v>
      </c>
      <c r="C459" s="312">
        <v>23</v>
      </c>
      <c r="D459" s="368">
        <f>IFERROR((INDEX(METADATA!$T$2:$T$20,MATCH(B459,METADATA!$S$2:$S$20,0))),0)</f>
        <v>0</v>
      </c>
      <c r="E459" s="312" t="str">
        <f t="shared" si="28"/>
        <v>LO</v>
      </c>
      <c r="F459" s="369">
        <f>VLOOKUP(C459,METADATA!$A$5:$H$29,IF(E459="HI",2,IF(E459="LO",6,10))+IF(D459=1,2,IF(D459=7,1,(IF(WEEKDAY(B459)=1,2,IF(WEEKDAY(B459)=7,1,0))))))</f>
        <v>3</v>
      </c>
      <c r="G459" s="369">
        <f>VLOOKUP(C459,METADATA!$J$5:$Q$29,IF(E459="HI",2,IF(E459="LO",6,10))+IF(D459=1,2,IF(D459=7,1,(IF(WEEKDAY(B459)=1,2,IF(WEEKDAY(B459)=7,1,0))))))</f>
        <v>3</v>
      </c>
      <c r="H459" s="370">
        <v>13394.864990234375</v>
      </c>
      <c r="I459" s="370">
        <v>1948.103536605835</v>
      </c>
      <c r="M459" s="371">
        <f t="shared" si="29"/>
        <v>13535.786474968594</v>
      </c>
      <c r="N459" s="329">
        <f t="shared" si="30"/>
        <v>0</v>
      </c>
      <c r="T459" s="331">
        <v>0</v>
      </c>
      <c r="U459" s="328">
        <f>VLOOKUP(C459,METADATA!$J$5:$Q$29,IF(E459="HI",2,IF(E459="LO",6,10))+IF(T459=1,2,IF(D459=7,1,(IF(WEEKDAY(B459)=1,2,IF(WEEKDAY(B459)=7,1,0))))))</f>
        <v>3</v>
      </c>
      <c r="V459" s="328">
        <f>VLOOKUP(C459,METADATA!$A$5:$H$29,IF(E459="HI",2,IF(E459="LO",6,10))+IF(T459=1,2,IF(D459=7,1,(IF(WEEKDAY(B459)=1,2,IF(WEEKDAY(B459)=7,1,0))))))</f>
        <v>3</v>
      </c>
    </row>
    <row r="460" spans="2:22">
      <c r="B460" s="318">
        <f t="shared" si="27"/>
        <v>46132</v>
      </c>
      <c r="C460" s="312">
        <v>0</v>
      </c>
      <c r="D460" s="368">
        <f>IFERROR((INDEX(METADATA!$T$2:$T$20,MATCH(B460,METADATA!$S$2:$S$20,0))),0)</f>
        <v>0</v>
      </c>
      <c r="E460" s="312" t="str">
        <f t="shared" si="28"/>
        <v>LO</v>
      </c>
      <c r="F460" s="369">
        <f>VLOOKUP(C460,METADATA!$A$5:$H$29,IF(E460="HI",2,IF(E460="LO",6,10))+IF(D460=1,2,IF(D460=7,1,(IF(WEEKDAY(B460)=1,2,IF(WEEKDAY(B460)=7,1,0))))))</f>
        <v>3</v>
      </c>
      <c r="G460" s="369">
        <f>VLOOKUP(C460,METADATA!$J$5:$Q$29,IF(E460="HI",2,IF(E460="LO",6,10))+IF(D460=1,2,IF(D460=7,1,(IF(WEEKDAY(B460)=1,2,IF(WEEKDAY(B460)=7,1,0))))))</f>
        <v>3</v>
      </c>
      <c r="H460" s="370">
        <v>13317.325439453125</v>
      </c>
      <c r="I460" s="370">
        <v>2044.0794920921326</v>
      </c>
      <c r="M460" s="371">
        <f t="shared" si="29"/>
        <v>13473.285339155294</v>
      </c>
      <c r="N460" s="329">
        <f t="shared" si="30"/>
        <v>0</v>
      </c>
      <c r="T460" s="331">
        <v>0</v>
      </c>
      <c r="U460" s="328">
        <f>VLOOKUP(C460,METADATA!$J$5:$Q$29,IF(E460="HI",2,IF(E460="LO",6,10))+IF(T460=1,2,IF(D460=7,1,(IF(WEEKDAY(B460)=1,2,IF(WEEKDAY(B460)=7,1,0))))))</f>
        <v>3</v>
      </c>
      <c r="V460" s="328">
        <f>VLOOKUP(C460,METADATA!$A$5:$H$29,IF(E460="HI",2,IF(E460="LO",6,10))+IF(T460=1,2,IF(D460=7,1,(IF(WEEKDAY(B460)=1,2,IF(WEEKDAY(B460)=7,1,0))))))</f>
        <v>3</v>
      </c>
    </row>
    <row r="461" spans="2:22">
      <c r="B461" s="318">
        <f t="shared" si="27"/>
        <v>46132</v>
      </c>
      <c r="C461" s="312">
        <v>1</v>
      </c>
      <c r="D461" s="368">
        <f>IFERROR((INDEX(METADATA!$T$2:$T$20,MATCH(B461,METADATA!$S$2:$S$20,0))),0)</f>
        <v>0</v>
      </c>
      <c r="E461" s="312" t="str">
        <f t="shared" si="28"/>
        <v>LO</v>
      </c>
      <c r="F461" s="369">
        <f>VLOOKUP(C461,METADATA!$A$5:$H$29,IF(E461="HI",2,IF(E461="LO",6,10))+IF(D461=1,2,IF(D461=7,1,(IF(WEEKDAY(B461)=1,2,IF(WEEKDAY(B461)=7,1,0))))))</f>
        <v>3</v>
      </c>
      <c r="G461" s="369">
        <f>VLOOKUP(C461,METADATA!$J$5:$Q$29,IF(E461="HI",2,IF(E461="LO",6,10))+IF(D461=1,2,IF(D461=7,1,(IF(WEEKDAY(B461)=1,2,IF(WEEKDAY(B461)=7,1,0))))))</f>
        <v>3</v>
      </c>
      <c r="H461" s="370">
        <v>13252.214782714844</v>
      </c>
      <c r="I461" s="370">
        <v>2019.311511516571</v>
      </c>
      <c r="M461" s="371">
        <f t="shared" si="29"/>
        <v>13405.178686901163</v>
      </c>
      <c r="N461" s="329">
        <f t="shared" si="30"/>
        <v>0</v>
      </c>
      <c r="T461" s="331">
        <v>0</v>
      </c>
      <c r="U461" s="328">
        <f>VLOOKUP(C461,METADATA!$J$5:$Q$29,IF(E461="HI",2,IF(E461="LO",6,10))+IF(T461=1,2,IF(D461=7,1,(IF(WEEKDAY(B461)=1,2,IF(WEEKDAY(B461)=7,1,0))))))</f>
        <v>3</v>
      </c>
      <c r="V461" s="328">
        <f>VLOOKUP(C461,METADATA!$A$5:$H$29,IF(E461="HI",2,IF(E461="LO",6,10))+IF(T461=1,2,IF(D461=7,1,(IF(WEEKDAY(B461)=1,2,IF(WEEKDAY(B461)=7,1,0))))))</f>
        <v>3</v>
      </c>
    </row>
    <row r="462" spans="2:22">
      <c r="B462" s="318">
        <f t="shared" si="27"/>
        <v>46132</v>
      </c>
      <c r="C462" s="312">
        <v>2</v>
      </c>
      <c r="D462" s="368">
        <f>IFERROR((INDEX(METADATA!$T$2:$T$20,MATCH(B462,METADATA!$S$2:$S$20,0))),0)</f>
        <v>0</v>
      </c>
      <c r="E462" s="312" t="str">
        <f t="shared" si="28"/>
        <v>LO</v>
      </c>
      <c r="F462" s="369">
        <f>VLOOKUP(C462,METADATA!$A$5:$H$29,IF(E462="HI",2,IF(E462="LO",6,10))+IF(D462=1,2,IF(D462=7,1,(IF(WEEKDAY(B462)=1,2,IF(WEEKDAY(B462)=7,1,0))))))</f>
        <v>3</v>
      </c>
      <c r="G462" s="369">
        <f>VLOOKUP(C462,METADATA!$J$5:$Q$29,IF(E462="HI",2,IF(E462="LO",6,10))+IF(D462=1,2,IF(D462=7,1,(IF(WEEKDAY(B462)=1,2,IF(WEEKDAY(B462)=7,1,0))))))</f>
        <v>3</v>
      </c>
      <c r="H462" s="370">
        <v>13403.885437011719</v>
      </c>
      <c r="I462" s="370">
        <v>2074.387553691864</v>
      </c>
      <c r="M462" s="371">
        <f t="shared" si="29"/>
        <v>13563.451940101626</v>
      </c>
      <c r="N462" s="329">
        <f t="shared" si="30"/>
        <v>0</v>
      </c>
      <c r="T462" s="331">
        <v>0</v>
      </c>
      <c r="U462" s="328">
        <f>VLOOKUP(C462,METADATA!$J$5:$Q$29,IF(E462="HI",2,IF(E462="LO",6,10))+IF(T462=1,2,IF(D462=7,1,(IF(WEEKDAY(B462)=1,2,IF(WEEKDAY(B462)=7,1,0))))))</f>
        <v>3</v>
      </c>
      <c r="V462" s="328">
        <f>VLOOKUP(C462,METADATA!$A$5:$H$29,IF(E462="HI",2,IF(E462="LO",6,10))+IF(T462=1,2,IF(D462=7,1,(IF(WEEKDAY(B462)=1,2,IF(WEEKDAY(B462)=7,1,0))))))</f>
        <v>3</v>
      </c>
    </row>
    <row r="463" spans="2:22">
      <c r="B463" s="318">
        <f t="shared" si="27"/>
        <v>46132</v>
      </c>
      <c r="C463" s="312">
        <v>3</v>
      </c>
      <c r="D463" s="368">
        <f>IFERROR((INDEX(METADATA!$T$2:$T$20,MATCH(B463,METADATA!$S$2:$S$20,0))),0)</f>
        <v>0</v>
      </c>
      <c r="E463" s="312" t="str">
        <f t="shared" si="28"/>
        <v>LO</v>
      </c>
      <c r="F463" s="369">
        <f>VLOOKUP(C463,METADATA!$A$5:$H$29,IF(E463="HI",2,IF(E463="LO",6,10))+IF(D463=1,2,IF(D463=7,1,(IF(WEEKDAY(B463)=1,2,IF(WEEKDAY(B463)=7,1,0))))))</f>
        <v>3</v>
      </c>
      <c r="G463" s="369">
        <f>VLOOKUP(C463,METADATA!$J$5:$Q$29,IF(E463="HI",2,IF(E463="LO",6,10))+IF(D463=1,2,IF(D463=7,1,(IF(WEEKDAY(B463)=1,2,IF(WEEKDAY(B463)=7,1,0))))))</f>
        <v>3</v>
      </c>
      <c r="H463" s="370">
        <v>13414.294799804688</v>
      </c>
      <c r="I463" s="370">
        <v>2130.4069666862488</v>
      </c>
      <c r="M463" s="371">
        <f t="shared" si="29"/>
        <v>13582.412849702823</v>
      </c>
      <c r="N463" s="329">
        <f t="shared" si="30"/>
        <v>0</v>
      </c>
      <c r="T463" s="331">
        <v>0</v>
      </c>
      <c r="U463" s="328">
        <f>VLOOKUP(C463,METADATA!$J$5:$Q$29,IF(E463="HI",2,IF(E463="LO",6,10))+IF(T463=1,2,IF(D463=7,1,(IF(WEEKDAY(B463)=1,2,IF(WEEKDAY(B463)=7,1,0))))))</f>
        <v>3</v>
      </c>
      <c r="V463" s="328">
        <f>VLOOKUP(C463,METADATA!$A$5:$H$29,IF(E463="HI",2,IF(E463="LO",6,10))+IF(T463=1,2,IF(D463=7,1,(IF(WEEKDAY(B463)=1,2,IF(WEEKDAY(B463)=7,1,0))))))</f>
        <v>3</v>
      </c>
    </row>
    <row r="464" spans="2:22">
      <c r="B464" s="318">
        <f t="shared" si="27"/>
        <v>46132</v>
      </c>
      <c r="C464" s="312">
        <v>4</v>
      </c>
      <c r="D464" s="368">
        <f>IFERROR((INDEX(METADATA!$T$2:$T$20,MATCH(B464,METADATA!$S$2:$S$20,0))),0)</f>
        <v>0</v>
      </c>
      <c r="E464" s="312" t="str">
        <f t="shared" si="28"/>
        <v>LO</v>
      </c>
      <c r="F464" s="369">
        <f>VLOOKUP(C464,METADATA!$A$5:$H$29,IF(E464="HI",2,IF(E464="LO",6,10))+IF(D464=1,2,IF(D464=7,1,(IF(WEEKDAY(B464)=1,2,IF(WEEKDAY(B464)=7,1,0))))))</f>
        <v>3</v>
      </c>
      <c r="G464" s="369">
        <f>VLOOKUP(C464,METADATA!$J$5:$Q$29,IF(E464="HI",2,IF(E464="LO",6,10))+IF(D464=1,2,IF(D464=7,1,(IF(WEEKDAY(B464)=1,2,IF(WEEKDAY(B464)=7,1,0))))))</f>
        <v>3</v>
      </c>
      <c r="H464" s="370">
        <v>13391.059936523438</v>
      </c>
      <c r="I464" s="370">
        <v>2031.2409534454346</v>
      </c>
      <c r="M464" s="371">
        <f t="shared" si="29"/>
        <v>13544.239588641254</v>
      </c>
      <c r="N464" s="329">
        <f t="shared" si="30"/>
        <v>0</v>
      </c>
      <c r="T464" s="331">
        <v>0</v>
      </c>
      <c r="U464" s="328">
        <f>VLOOKUP(C464,METADATA!$J$5:$Q$29,IF(E464="HI",2,IF(E464="LO",6,10))+IF(T464=1,2,IF(D464=7,1,(IF(WEEKDAY(B464)=1,2,IF(WEEKDAY(B464)=7,1,0))))))</f>
        <v>3</v>
      </c>
      <c r="V464" s="328">
        <f>VLOOKUP(C464,METADATA!$A$5:$H$29,IF(E464="HI",2,IF(E464="LO",6,10))+IF(T464=1,2,IF(D464=7,1,(IF(WEEKDAY(B464)=1,2,IF(WEEKDAY(B464)=7,1,0))))))</f>
        <v>3</v>
      </c>
    </row>
    <row r="465" spans="2:22">
      <c r="B465" s="318">
        <f t="shared" si="27"/>
        <v>46132</v>
      </c>
      <c r="C465" s="312">
        <v>5</v>
      </c>
      <c r="D465" s="368">
        <f>IFERROR((INDEX(METADATA!$T$2:$T$20,MATCH(B465,METADATA!$S$2:$S$20,0))),0)</f>
        <v>0</v>
      </c>
      <c r="E465" s="312" t="str">
        <f t="shared" si="28"/>
        <v>LO</v>
      </c>
      <c r="F465" s="369">
        <f>VLOOKUP(C465,METADATA!$A$5:$H$29,IF(E465="HI",2,IF(E465="LO",6,10))+IF(D465=1,2,IF(D465=7,1,(IF(WEEKDAY(B465)=1,2,IF(WEEKDAY(B465)=7,1,0))))))</f>
        <v>3</v>
      </c>
      <c r="G465" s="369">
        <f>VLOOKUP(C465,METADATA!$J$5:$Q$29,IF(E465="HI",2,IF(E465="LO",6,10))+IF(D465=1,2,IF(D465=7,1,(IF(WEEKDAY(B465)=1,2,IF(WEEKDAY(B465)=7,1,0))))))</f>
        <v>3</v>
      </c>
      <c r="H465" s="370">
        <v>13416.560485839844</v>
      </c>
      <c r="I465" s="370">
        <v>1994.6155190467834</v>
      </c>
      <c r="M465" s="371">
        <f t="shared" si="29"/>
        <v>13564.018075003489</v>
      </c>
      <c r="N465" s="329">
        <f t="shared" si="30"/>
        <v>0</v>
      </c>
      <c r="T465" s="331">
        <v>0</v>
      </c>
      <c r="U465" s="328">
        <f>VLOOKUP(C465,METADATA!$J$5:$Q$29,IF(E465="HI",2,IF(E465="LO",6,10))+IF(T465=1,2,IF(D465=7,1,(IF(WEEKDAY(B465)=1,2,IF(WEEKDAY(B465)=7,1,0))))))</f>
        <v>3</v>
      </c>
      <c r="V465" s="328">
        <f>VLOOKUP(C465,METADATA!$A$5:$H$29,IF(E465="HI",2,IF(E465="LO",6,10))+IF(T465=1,2,IF(D465=7,1,(IF(WEEKDAY(B465)=1,2,IF(WEEKDAY(B465)=7,1,0))))))</f>
        <v>3</v>
      </c>
    </row>
    <row r="466" spans="2:22">
      <c r="B466" s="318">
        <f t="shared" si="27"/>
        <v>46132</v>
      </c>
      <c r="C466" s="312">
        <v>6</v>
      </c>
      <c r="D466" s="368">
        <f>IFERROR((INDEX(METADATA!$T$2:$T$20,MATCH(B466,METADATA!$S$2:$S$20,0))),0)</f>
        <v>0</v>
      </c>
      <c r="E466" s="312" t="str">
        <f t="shared" si="28"/>
        <v>LO</v>
      </c>
      <c r="F466" s="369">
        <f>VLOOKUP(C466,METADATA!$A$5:$H$29,IF(E466="HI",2,IF(E466="LO",6,10))+IF(D466=1,2,IF(D466=7,1,(IF(WEEKDAY(B466)=1,2,IF(WEEKDAY(B466)=7,1,0))))))</f>
        <v>2</v>
      </c>
      <c r="G466" s="369">
        <f>VLOOKUP(C466,METADATA!$J$5:$Q$29,IF(E466="HI",2,IF(E466="LO",6,10))+IF(D466=1,2,IF(D466=7,1,(IF(WEEKDAY(B466)=1,2,IF(WEEKDAY(B466)=7,1,0))))))</f>
        <v>2</v>
      </c>
      <c r="H466" s="370">
        <v>12774.070190429688</v>
      </c>
      <c r="I466" s="370">
        <v>1751.0900497436523</v>
      </c>
      <c r="M466" s="371">
        <f t="shared" si="29"/>
        <v>12893.532704124791</v>
      </c>
      <c r="N466" s="329">
        <f t="shared" si="30"/>
        <v>0</v>
      </c>
      <c r="T466" s="331">
        <v>0</v>
      </c>
      <c r="U466" s="328">
        <f>VLOOKUP(C466,METADATA!$J$5:$Q$29,IF(E466="HI",2,IF(E466="LO",6,10))+IF(T466=1,2,IF(D466=7,1,(IF(WEEKDAY(B466)=1,2,IF(WEEKDAY(B466)=7,1,0))))))</f>
        <v>2</v>
      </c>
      <c r="V466" s="328">
        <f>VLOOKUP(C466,METADATA!$A$5:$H$29,IF(E466="HI",2,IF(E466="LO",6,10))+IF(T466=1,2,IF(D466=7,1,(IF(WEEKDAY(B466)=1,2,IF(WEEKDAY(B466)=7,1,0))))))</f>
        <v>2</v>
      </c>
    </row>
    <row r="467" spans="2:22">
      <c r="B467" s="318">
        <f t="shared" si="27"/>
        <v>46132</v>
      </c>
      <c r="C467" s="312">
        <v>7</v>
      </c>
      <c r="D467" s="368">
        <f>IFERROR((INDEX(METADATA!$T$2:$T$20,MATCH(B467,METADATA!$S$2:$S$20,0))),0)</f>
        <v>0</v>
      </c>
      <c r="E467" s="312" t="str">
        <f t="shared" si="28"/>
        <v>LO</v>
      </c>
      <c r="F467" s="369">
        <f>VLOOKUP(C467,METADATA!$A$5:$H$29,IF(E467="HI",2,IF(E467="LO",6,10))+IF(D467=1,2,IF(D467=7,1,(IF(WEEKDAY(B467)=1,2,IF(WEEKDAY(B467)=7,1,0))))))</f>
        <v>1</v>
      </c>
      <c r="G467" s="369">
        <f>VLOOKUP(C467,METADATA!$J$5:$Q$29,IF(E467="HI",2,IF(E467="LO",6,10))+IF(D467=1,2,IF(D467=7,1,(IF(WEEKDAY(B467)=1,2,IF(WEEKDAY(B467)=7,1,0))))))</f>
        <v>1</v>
      </c>
      <c r="H467" s="370">
        <v>11263.765106201172</v>
      </c>
      <c r="I467" s="370">
        <v>1581.8415573730599</v>
      </c>
      <c r="M467" s="371">
        <f t="shared" si="29"/>
        <v>11374.296773001288</v>
      </c>
      <c r="N467" s="329">
        <f t="shared" si="30"/>
        <v>0</v>
      </c>
      <c r="T467" s="331">
        <v>0</v>
      </c>
      <c r="U467" s="328">
        <f>VLOOKUP(C467,METADATA!$J$5:$Q$29,IF(E467="HI",2,IF(E467="LO",6,10))+IF(T467=1,2,IF(D467=7,1,(IF(WEEKDAY(B467)=1,2,IF(WEEKDAY(B467)=7,1,0))))))</f>
        <v>1</v>
      </c>
      <c r="V467" s="328">
        <f>VLOOKUP(C467,METADATA!$A$5:$H$29,IF(E467="HI",2,IF(E467="LO",6,10))+IF(T467=1,2,IF(D467=7,1,(IF(WEEKDAY(B467)=1,2,IF(WEEKDAY(B467)=7,1,0))))))</f>
        <v>1</v>
      </c>
    </row>
    <row r="468" spans="2:22">
      <c r="B468" s="318">
        <f t="shared" si="27"/>
        <v>46132</v>
      </c>
      <c r="C468" s="312">
        <v>8</v>
      </c>
      <c r="D468" s="368">
        <f>IFERROR((INDEX(METADATA!$T$2:$T$20,MATCH(B468,METADATA!$S$2:$S$20,0))),0)</f>
        <v>0</v>
      </c>
      <c r="E468" s="312" t="str">
        <f t="shared" si="28"/>
        <v>LO</v>
      </c>
      <c r="F468" s="369">
        <f>VLOOKUP(C468,METADATA!$A$5:$H$29,IF(E468="HI",2,IF(E468="LO",6,10))+IF(D468=1,2,IF(D468=7,1,(IF(WEEKDAY(B468)=1,2,IF(WEEKDAY(B468)=7,1,0))))))</f>
        <v>1</v>
      </c>
      <c r="G468" s="369">
        <f>VLOOKUP(C468,METADATA!$J$5:$Q$29,IF(E468="HI",2,IF(E468="LO",6,10))+IF(D468=1,2,IF(D468=7,1,(IF(WEEKDAY(B468)=1,2,IF(WEEKDAY(B468)=7,1,0))))))</f>
        <v>1</v>
      </c>
      <c r="H468" s="370">
        <v>12657.899963378906</v>
      </c>
      <c r="I468" s="370">
        <v>1837.1970022618771</v>
      </c>
      <c r="M468" s="371">
        <f t="shared" si="29"/>
        <v>12790.532604548871</v>
      </c>
      <c r="N468" s="329">
        <f t="shared" si="30"/>
        <v>0</v>
      </c>
      <c r="T468" s="331">
        <v>0</v>
      </c>
      <c r="U468" s="328">
        <f>VLOOKUP(C468,METADATA!$J$5:$Q$29,IF(E468="HI",2,IF(E468="LO",6,10))+IF(T468=1,2,IF(D468=7,1,(IF(WEEKDAY(B468)=1,2,IF(WEEKDAY(B468)=7,1,0))))))</f>
        <v>1</v>
      </c>
      <c r="V468" s="328">
        <f>VLOOKUP(C468,METADATA!$A$5:$H$29,IF(E468="HI",2,IF(E468="LO",6,10))+IF(T468=1,2,IF(D468=7,1,(IF(WEEKDAY(B468)=1,2,IF(WEEKDAY(B468)=7,1,0))))))</f>
        <v>1</v>
      </c>
    </row>
    <row r="469" spans="2:22">
      <c r="B469" s="318">
        <f t="shared" si="27"/>
        <v>46132</v>
      </c>
      <c r="C469" s="312">
        <v>9</v>
      </c>
      <c r="D469" s="368">
        <f>IFERROR((INDEX(METADATA!$T$2:$T$20,MATCH(B469,METADATA!$S$2:$S$20,0))),0)</f>
        <v>0</v>
      </c>
      <c r="E469" s="312" t="str">
        <f t="shared" si="28"/>
        <v>LO</v>
      </c>
      <c r="F469" s="369">
        <f>VLOOKUP(C469,METADATA!$A$5:$H$29,IF(E469="HI",2,IF(E469="LO",6,10))+IF(D469=1,2,IF(D469=7,1,(IF(WEEKDAY(B469)=1,2,IF(WEEKDAY(B469)=7,1,0))))))</f>
        <v>2</v>
      </c>
      <c r="G469" s="369">
        <f>VLOOKUP(C469,METADATA!$J$5:$Q$29,IF(E469="HI",2,IF(E469="LO",6,10))+IF(D469=1,2,IF(D469=7,1,(IF(WEEKDAY(B469)=1,2,IF(WEEKDAY(B469)=7,1,0))))))</f>
        <v>2</v>
      </c>
      <c r="H469" s="370">
        <v>13528.000610351563</v>
      </c>
      <c r="I469" s="370">
        <v>2067.0489826202393</v>
      </c>
      <c r="M469" s="371">
        <f t="shared" si="29"/>
        <v>13685.009755576486</v>
      </c>
      <c r="N469" s="329">
        <f t="shared" si="30"/>
        <v>0</v>
      </c>
      <c r="T469" s="331">
        <v>0</v>
      </c>
      <c r="U469" s="328">
        <f>VLOOKUP(C469,METADATA!$J$5:$Q$29,IF(E469="HI",2,IF(E469="LO",6,10))+IF(T469=1,2,IF(D469=7,1,(IF(WEEKDAY(B469)=1,2,IF(WEEKDAY(B469)=7,1,0))))))</f>
        <v>2</v>
      </c>
      <c r="V469" s="328">
        <f>VLOOKUP(C469,METADATA!$A$5:$H$29,IF(E469="HI",2,IF(E469="LO",6,10))+IF(T469=1,2,IF(D469=7,1,(IF(WEEKDAY(B469)=1,2,IF(WEEKDAY(B469)=7,1,0))))))</f>
        <v>2</v>
      </c>
    </row>
    <row r="470" spans="2:22">
      <c r="B470" s="318">
        <f t="shared" si="27"/>
        <v>46132</v>
      </c>
      <c r="C470" s="312">
        <v>10</v>
      </c>
      <c r="D470" s="368">
        <f>IFERROR((INDEX(METADATA!$T$2:$T$20,MATCH(B470,METADATA!$S$2:$S$20,0))),0)</f>
        <v>0</v>
      </c>
      <c r="E470" s="312" t="str">
        <f t="shared" si="28"/>
        <v>LO</v>
      </c>
      <c r="F470" s="369">
        <f>VLOOKUP(C470,METADATA!$A$5:$H$29,IF(E470="HI",2,IF(E470="LO",6,10))+IF(D470=1,2,IF(D470=7,1,(IF(WEEKDAY(B470)=1,2,IF(WEEKDAY(B470)=7,1,0))))))</f>
        <v>2</v>
      </c>
      <c r="G470" s="369">
        <f>VLOOKUP(C470,METADATA!$J$5:$Q$29,IF(E470="HI",2,IF(E470="LO",6,10))+IF(D470=1,2,IF(D470=7,1,(IF(WEEKDAY(B470)=1,2,IF(WEEKDAY(B470)=7,1,0))))))</f>
        <v>2</v>
      </c>
      <c r="H470" s="370">
        <v>13468.57470703125</v>
      </c>
      <c r="I470" s="370">
        <v>1980.0739846229553</v>
      </c>
      <c r="M470" s="371">
        <f t="shared" si="29"/>
        <v>13613.346305132422</v>
      </c>
      <c r="N470" s="329">
        <f t="shared" si="30"/>
        <v>0</v>
      </c>
      <c r="T470" s="331">
        <v>0</v>
      </c>
      <c r="U470" s="328">
        <f>VLOOKUP(C470,METADATA!$J$5:$Q$29,IF(E470="HI",2,IF(E470="LO",6,10))+IF(T470=1,2,IF(D470=7,1,(IF(WEEKDAY(B470)=1,2,IF(WEEKDAY(B470)=7,1,0))))))</f>
        <v>2</v>
      </c>
      <c r="V470" s="328">
        <f>VLOOKUP(C470,METADATA!$A$5:$H$29,IF(E470="HI",2,IF(E470="LO",6,10))+IF(T470=1,2,IF(D470=7,1,(IF(WEEKDAY(B470)=1,2,IF(WEEKDAY(B470)=7,1,0))))))</f>
        <v>2</v>
      </c>
    </row>
    <row r="471" spans="2:22">
      <c r="B471" s="318">
        <f t="shared" si="27"/>
        <v>46132</v>
      </c>
      <c r="C471" s="312">
        <v>11</v>
      </c>
      <c r="D471" s="368">
        <f>IFERROR((INDEX(METADATA!$T$2:$T$20,MATCH(B471,METADATA!$S$2:$S$20,0))),0)</f>
        <v>0</v>
      </c>
      <c r="E471" s="312" t="str">
        <f t="shared" si="28"/>
        <v>LO</v>
      </c>
      <c r="F471" s="369">
        <f>VLOOKUP(C471,METADATA!$A$5:$H$29,IF(E471="HI",2,IF(E471="LO",6,10))+IF(D471=1,2,IF(D471=7,1,(IF(WEEKDAY(B471)=1,2,IF(WEEKDAY(B471)=7,1,0))))))</f>
        <v>2</v>
      </c>
      <c r="G471" s="369">
        <f>VLOOKUP(C471,METADATA!$J$5:$Q$29,IF(E471="HI",2,IF(E471="LO",6,10))+IF(D471=1,2,IF(D471=7,1,(IF(WEEKDAY(B471)=1,2,IF(WEEKDAY(B471)=7,1,0))))))</f>
        <v>2</v>
      </c>
      <c r="H471" s="370">
        <v>13457.640258789063</v>
      </c>
      <c r="I471" s="370">
        <v>1980.8854689598083</v>
      </c>
      <c r="M471" s="371">
        <f t="shared" si="29"/>
        <v>13602.646381352279</v>
      </c>
      <c r="N471" s="329">
        <f t="shared" si="30"/>
        <v>0</v>
      </c>
      <c r="T471" s="331">
        <v>0</v>
      </c>
      <c r="U471" s="328">
        <f>VLOOKUP(C471,METADATA!$J$5:$Q$29,IF(E471="HI",2,IF(E471="LO",6,10))+IF(T471=1,2,IF(D471=7,1,(IF(WEEKDAY(B471)=1,2,IF(WEEKDAY(B471)=7,1,0))))))</f>
        <v>2</v>
      </c>
      <c r="V471" s="328">
        <f>VLOOKUP(C471,METADATA!$A$5:$H$29,IF(E471="HI",2,IF(E471="LO",6,10))+IF(T471=1,2,IF(D471=7,1,(IF(WEEKDAY(B471)=1,2,IF(WEEKDAY(B471)=7,1,0))))))</f>
        <v>2</v>
      </c>
    </row>
    <row r="472" spans="2:22">
      <c r="B472" s="318">
        <f t="shared" si="27"/>
        <v>46132</v>
      </c>
      <c r="C472" s="312">
        <v>12</v>
      </c>
      <c r="D472" s="368">
        <f>IFERROR((INDEX(METADATA!$T$2:$T$20,MATCH(B472,METADATA!$S$2:$S$20,0))),0)</f>
        <v>0</v>
      </c>
      <c r="E472" s="312" t="str">
        <f t="shared" si="28"/>
        <v>LO</v>
      </c>
      <c r="F472" s="369">
        <f>VLOOKUP(C472,METADATA!$A$5:$H$29,IF(E472="HI",2,IF(E472="LO",6,10))+IF(D472=1,2,IF(D472=7,1,(IF(WEEKDAY(B472)=1,2,IF(WEEKDAY(B472)=7,1,0))))))</f>
        <v>2</v>
      </c>
      <c r="G472" s="369">
        <f>VLOOKUP(C472,METADATA!$J$5:$Q$29,IF(E472="HI",2,IF(E472="LO",6,10))+IF(D472=1,2,IF(D472=7,1,(IF(WEEKDAY(B472)=1,2,IF(WEEKDAY(B472)=7,1,0))))))</f>
        <v>2</v>
      </c>
      <c r="H472" s="370">
        <v>13505.054748535156</v>
      </c>
      <c r="I472" s="370">
        <v>2834.6841468811035</v>
      </c>
      <c r="M472" s="371">
        <f t="shared" si="29"/>
        <v>13799.345563232737</v>
      </c>
      <c r="N472" s="329">
        <f t="shared" si="30"/>
        <v>0</v>
      </c>
      <c r="T472" s="331">
        <v>0</v>
      </c>
      <c r="U472" s="328">
        <f>VLOOKUP(C472,METADATA!$J$5:$Q$29,IF(E472="HI",2,IF(E472="LO",6,10))+IF(T472=1,2,IF(D472=7,1,(IF(WEEKDAY(B472)=1,2,IF(WEEKDAY(B472)=7,1,0))))))</f>
        <v>2</v>
      </c>
      <c r="V472" s="328">
        <f>VLOOKUP(C472,METADATA!$A$5:$H$29,IF(E472="HI",2,IF(E472="LO",6,10))+IF(T472=1,2,IF(D472=7,1,(IF(WEEKDAY(B472)=1,2,IF(WEEKDAY(B472)=7,1,0))))))</f>
        <v>2</v>
      </c>
    </row>
    <row r="473" spans="2:22">
      <c r="B473" s="318">
        <f t="shared" si="27"/>
        <v>46132</v>
      </c>
      <c r="C473" s="312">
        <v>13</v>
      </c>
      <c r="D473" s="368">
        <f>IFERROR((INDEX(METADATA!$T$2:$T$20,MATCH(B473,METADATA!$S$2:$S$20,0))),0)</f>
        <v>0</v>
      </c>
      <c r="E473" s="312" t="str">
        <f t="shared" si="28"/>
        <v>LO</v>
      </c>
      <c r="F473" s="369">
        <f>VLOOKUP(C473,METADATA!$A$5:$H$29,IF(E473="HI",2,IF(E473="LO",6,10))+IF(D473=1,2,IF(D473=7,1,(IF(WEEKDAY(B473)=1,2,IF(WEEKDAY(B473)=7,1,0))))))</f>
        <v>2</v>
      </c>
      <c r="G473" s="369">
        <f>VLOOKUP(C473,METADATA!$J$5:$Q$29,IF(E473="HI",2,IF(E473="LO",6,10))+IF(D473=1,2,IF(D473=7,1,(IF(WEEKDAY(B473)=1,2,IF(WEEKDAY(B473)=7,1,0))))))</f>
        <v>2</v>
      </c>
      <c r="H473" s="370">
        <v>13500.549987792969</v>
      </c>
      <c r="I473" s="370">
        <v>2844.5680999755859</v>
      </c>
      <c r="M473" s="371">
        <f t="shared" si="29"/>
        <v>13796.971321572551</v>
      </c>
      <c r="N473" s="329">
        <f t="shared" si="30"/>
        <v>0</v>
      </c>
      <c r="T473" s="331">
        <v>0</v>
      </c>
      <c r="U473" s="328">
        <f>VLOOKUP(C473,METADATA!$J$5:$Q$29,IF(E473="HI",2,IF(E473="LO",6,10))+IF(T473=1,2,IF(D473=7,1,(IF(WEEKDAY(B473)=1,2,IF(WEEKDAY(B473)=7,1,0))))))</f>
        <v>2</v>
      </c>
      <c r="V473" s="328">
        <f>VLOOKUP(C473,METADATA!$A$5:$H$29,IF(E473="HI",2,IF(E473="LO",6,10))+IF(T473=1,2,IF(D473=7,1,(IF(WEEKDAY(B473)=1,2,IF(WEEKDAY(B473)=7,1,0))))))</f>
        <v>2</v>
      </c>
    </row>
    <row r="474" spans="2:22">
      <c r="B474" s="318">
        <f t="shared" si="27"/>
        <v>46132</v>
      </c>
      <c r="C474" s="312">
        <v>14</v>
      </c>
      <c r="D474" s="368">
        <f>IFERROR((INDEX(METADATA!$T$2:$T$20,MATCH(B474,METADATA!$S$2:$S$20,0))),0)</f>
        <v>0</v>
      </c>
      <c r="E474" s="312" t="str">
        <f t="shared" si="28"/>
        <v>LO</v>
      </c>
      <c r="F474" s="369">
        <f>VLOOKUP(C474,METADATA!$A$5:$H$29,IF(E474="HI",2,IF(E474="LO",6,10))+IF(D474=1,2,IF(D474=7,1,(IF(WEEKDAY(B474)=1,2,IF(WEEKDAY(B474)=7,1,0))))))</f>
        <v>2</v>
      </c>
      <c r="G474" s="369">
        <f>VLOOKUP(C474,METADATA!$J$5:$Q$29,IF(E474="HI",2,IF(E474="LO",6,10))+IF(D474=1,2,IF(D474=7,1,(IF(WEEKDAY(B474)=1,2,IF(WEEKDAY(B474)=7,1,0))))))</f>
        <v>2</v>
      </c>
      <c r="H474" s="370">
        <v>13467.199768066406</v>
      </c>
      <c r="I474" s="370">
        <v>2923.221019744873</v>
      </c>
      <c r="M474" s="371">
        <f t="shared" si="29"/>
        <v>13780.808783351074</v>
      </c>
      <c r="N474" s="329">
        <f t="shared" si="30"/>
        <v>0</v>
      </c>
      <c r="T474" s="331">
        <v>0</v>
      </c>
      <c r="U474" s="328">
        <f>VLOOKUP(C474,METADATA!$J$5:$Q$29,IF(E474="HI",2,IF(E474="LO",6,10))+IF(T474=1,2,IF(D474=7,1,(IF(WEEKDAY(B474)=1,2,IF(WEEKDAY(B474)=7,1,0))))))</f>
        <v>2</v>
      </c>
      <c r="V474" s="328">
        <f>VLOOKUP(C474,METADATA!$A$5:$H$29,IF(E474="HI",2,IF(E474="LO",6,10))+IF(T474=1,2,IF(D474=7,1,(IF(WEEKDAY(B474)=1,2,IF(WEEKDAY(B474)=7,1,0))))))</f>
        <v>2</v>
      </c>
    </row>
    <row r="475" spans="2:22">
      <c r="B475" s="318">
        <f t="shared" si="27"/>
        <v>46132</v>
      </c>
      <c r="C475" s="312">
        <v>15</v>
      </c>
      <c r="D475" s="368">
        <f>IFERROR((INDEX(METADATA!$T$2:$T$20,MATCH(B475,METADATA!$S$2:$S$20,0))),0)</f>
        <v>0</v>
      </c>
      <c r="E475" s="312" t="str">
        <f t="shared" si="28"/>
        <v>LO</v>
      </c>
      <c r="F475" s="369">
        <f>VLOOKUP(C475,METADATA!$A$5:$H$29,IF(E475="HI",2,IF(E475="LO",6,10))+IF(D475=1,2,IF(D475=7,1,(IF(WEEKDAY(B475)=1,2,IF(WEEKDAY(B475)=7,1,0))))))</f>
        <v>2</v>
      </c>
      <c r="G475" s="369">
        <f>VLOOKUP(C475,METADATA!$J$5:$Q$29,IF(E475="HI",2,IF(E475="LO",6,10))+IF(D475=1,2,IF(D475=7,1,(IF(WEEKDAY(B475)=1,2,IF(WEEKDAY(B475)=7,1,0))))))</f>
        <v>2</v>
      </c>
      <c r="H475" s="370">
        <v>13671.330139160156</v>
      </c>
      <c r="I475" s="370">
        <v>3144.0323829650879</v>
      </c>
      <c r="M475" s="371">
        <f t="shared" si="29"/>
        <v>14028.193304878643</v>
      </c>
      <c r="N475" s="329">
        <f t="shared" si="30"/>
        <v>0</v>
      </c>
      <c r="T475" s="331">
        <v>0</v>
      </c>
      <c r="U475" s="328">
        <f>VLOOKUP(C475,METADATA!$J$5:$Q$29,IF(E475="HI",2,IF(E475="LO",6,10))+IF(T475=1,2,IF(D475=7,1,(IF(WEEKDAY(B475)=1,2,IF(WEEKDAY(B475)=7,1,0))))))</f>
        <v>2</v>
      </c>
      <c r="V475" s="328">
        <f>VLOOKUP(C475,METADATA!$A$5:$H$29,IF(E475="HI",2,IF(E475="LO",6,10))+IF(T475=1,2,IF(D475=7,1,(IF(WEEKDAY(B475)=1,2,IF(WEEKDAY(B475)=7,1,0))))))</f>
        <v>2</v>
      </c>
    </row>
    <row r="476" spans="2:22">
      <c r="B476" s="318">
        <f t="shared" ref="B476:B539" si="31">B452+1</f>
        <v>46132</v>
      </c>
      <c r="C476" s="312">
        <v>16</v>
      </c>
      <c r="D476" s="368">
        <f>IFERROR((INDEX(METADATA!$T$2:$T$20,MATCH(B476,METADATA!$S$2:$S$20,0))),0)</f>
        <v>0</v>
      </c>
      <c r="E476" s="312" t="str">
        <f t="shared" si="28"/>
        <v>LO</v>
      </c>
      <c r="F476" s="369">
        <f>VLOOKUP(C476,METADATA!$A$5:$H$29,IF(E476="HI",2,IF(E476="LO",6,10))+IF(D476=1,2,IF(D476=7,1,(IF(WEEKDAY(B476)=1,2,IF(WEEKDAY(B476)=7,1,0))))))</f>
        <v>2</v>
      </c>
      <c r="G476" s="369">
        <f>VLOOKUP(C476,METADATA!$J$5:$Q$29,IF(E476="HI",2,IF(E476="LO",6,10))+IF(D476=1,2,IF(D476=7,1,(IF(WEEKDAY(B476)=1,2,IF(WEEKDAY(B476)=7,1,0))))))</f>
        <v>2</v>
      </c>
      <c r="H476" s="370">
        <v>13571.625</v>
      </c>
      <c r="I476" s="370">
        <v>3206.064998626709</v>
      </c>
      <c r="M476" s="371">
        <f t="shared" si="29"/>
        <v>13945.173283829939</v>
      </c>
      <c r="N476" s="329">
        <f t="shared" si="30"/>
        <v>0</v>
      </c>
      <c r="T476" s="331">
        <v>0</v>
      </c>
      <c r="U476" s="328">
        <f>VLOOKUP(C476,METADATA!$J$5:$Q$29,IF(E476="HI",2,IF(E476="LO",6,10))+IF(T476=1,2,IF(D476=7,1,(IF(WEEKDAY(B476)=1,2,IF(WEEKDAY(B476)=7,1,0))))))</f>
        <v>2</v>
      </c>
      <c r="V476" s="328">
        <f>VLOOKUP(C476,METADATA!$A$5:$H$29,IF(E476="HI",2,IF(E476="LO",6,10))+IF(T476=1,2,IF(D476=7,1,(IF(WEEKDAY(B476)=1,2,IF(WEEKDAY(B476)=7,1,0))))))</f>
        <v>2</v>
      </c>
    </row>
    <row r="477" spans="2:22">
      <c r="B477" s="318">
        <f t="shared" si="31"/>
        <v>46132</v>
      </c>
      <c r="C477" s="312">
        <v>17</v>
      </c>
      <c r="D477" s="368">
        <f>IFERROR((INDEX(METADATA!$T$2:$T$20,MATCH(B477,METADATA!$S$2:$S$20,0))),0)</f>
        <v>0</v>
      </c>
      <c r="E477" s="312" t="str">
        <f t="shared" si="28"/>
        <v>LO</v>
      </c>
      <c r="F477" s="369">
        <f>VLOOKUP(C477,METADATA!$A$5:$H$29,IF(E477="HI",2,IF(E477="LO",6,10))+IF(D477=1,2,IF(D477=7,1,(IF(WEEKDAY(B477)=1,2,IF(WEEKDAY(B477)=7,1,0))))))</f>
        <v>2</v>
      </c>
      <c r="G477" s="369">
        <f>VLOOKUP(C477,METADATA!$J$5:$Q$29,IF(E477="HI",2,IF(E477="LO",6,10))+IF(D477=1,2,IF(D477=7,1,(IF(WEEKDAY(B477)=1,2,IF(WEEKDAY(B477)=7,1,0))))))</f>
        <v>2</v>
      </c>
      <c r="H477" s="370">
        <v>13545.405090332031</v>
      </c>
      <c r="I477" s="370">
        <v>3166.369556427002</v>
      </c>
      <c r="M477" s="371">
        <f t="shared" si="29"/>
        <v>13910.567753656233</v>
      </c>
      <c r="N477" s="329">
        <f t="shared" si="30"/>
        <v>0</v>
      </c>
      <c r="T477" s="331">
        <v>0</v>
      </c>
      <c r="U477" s="328">
        <f>VLOOKUP(C477,METADATA!$J$5:$Q$29,IF(E477="HI",2,IF(E477="LO",6,10))+IF(T477=1,2,IF(D477=7,1,(IF(WEEKDAY(B477)=1,2,IF(WEEKDAY(B477)=7,1,0))))))</f>
        <v>2</v>
      </c>
      <c r="V477" s="328">
        <f>VLOOKUP(C477,METADATA!$A$5:$H$29,IF(E477="HI",2,IF(E477="LO",6,10))+IF(T477=1,2,IF(D477=7,1,(IF(WEEKDAY(B477)=1,2,IF(WEEKDAY(B477)=7,1,0))))))</f>
        <v>2</v>
      </c>
    </row>
    <row r="478" spans="2:22">
      <c r="B478" s="318">
        <f t="shared" si="31"/>
        <v>46132</v>
      </c>
      <c r="C478" s="312">
        <v>18</v>
      </c>
      <c r="D478" s="368">
        <f>IFERROR((INDEX(METADATA!$T$2:$T$20,MATCH(B478,METADATA!$S$2:$S$20,0))),0)</f>
        <v>0</v>
      </c>
      <c r="E478" s="312" t="str">
        <f t="shared" si="28"/>
        <v>LO</v>
      </c>
      <c r="F478" s="369">
        <f>VLOOKUP(C478,METADATA!$A$5:$H$29,IF(E478="HI",2,IF(E478="LO",6,10))+IF(D478=1,2,IF(D478=7,1,(IF(WEEKDAY(B478)=1,2,IF(WEEKDAY(B478)=7,1,0))))))</f>
        <v>1</v>
      </c>
      <c r="G478" s="369">
        <f>VLOOKUP(C478,METADATA!$J$5:$Q$29,IF(E478="HI",2,IF(E478="LO",6,10))+IF(D478=1,2,IF(D478=7,1,(IF(WEEKDAY(B478)=1,2,IF(WEEKDAY(B478)=7,1,0))))))</f>
        <v>1</v>
      </c>
      <c r="H478" s="370">
        <v>13594.450256347656</v>
      </c>
      <c r="I478" s="370">
        <v>3098.5769805908203</v>
      </c>
      <c r="M478" s="371">
        <f t="shared" si="29"/>
        <v>13943.107870089731</v>
      </c>
      <c r="N478" s="329">
        <f t="shared" si="30"/>
        <v>0</v>
      </c>
      <c r="T478" s="331">
        <v>0</v>
      </c>
      <c r="U478" s="328">
        <f>VLOOKUP(C478,METADATA!$J$5:$Q$29,IF(E478="HI",2,IF(E478="LO",6,10))+IF(T478=1,2,IF(D478=7,1,(IF(WEEKDAY(B478)=1,2,IF(WEEKDAY(B478)=7,1,0))))))</f>
        <v>1</v>
      </c>
      <c r="V478" s="328">
        <f>VLOOKUP(C478,METADATA!$A$5:$H$29,IF(E478="HI",2,IF(E478="LO",6,10))+IF(T478=1,2,IF(D478=7,1,(IF(WEEKDAY(B478)=1,2,IF(WEEKDAY(B478)=7,1,0))))))</f>
        <v>1</v>
      </c>
    </row>
    <row r="479" spans="2:22">
      <c r="B479" s="318">
        <f t="shared" si="31"/>
        <v>46132</v>
      </c>
      <c r="C479" s="312">
        <v>19</v>
      </c>
      <c r="D479" s="368">
        <f>IFERROR((INDEX(METADATA!$T$2:$T$20,MATCH(B479,METADATA!$S$2:$S$20,0))),0)</f>
        <v>0</v>
      </c>
      <c r="E479" s="312" t="str">
        <f t="shared" si="28"/>
        <v>LO</v>
      </c>
      <c r="F479" s="369">
        <f>VLOOKUP(C479,METADATA!$A$5:$H$29,IF(E479="HI",2,IF(E479="LO",6,10))+IF(D479=1,2,IF(D479=7,1,(IF(WEEKDAY(B479)=1,2,IF(WEEKDAY(B479)=7,1,0))))))</f>
        <v>1</v>
      </c>
      <c r="G479" s="369">
        <f>VLOOKUP(C479,METADATA!$J$5:$Q$29,IF(E479="HI",2,IF(E479="LO",6,10))+IF(D479=1,2,IF(D479=7,1,(IF(WEEKDAY(B479)=1,2,IF(WEEKDAY(B479)=7,1,0))))))</f>
        <v>1</v>
      </c>
      <c r="H479" s="370">
        <v>13627.664733886719</v>
      </c>
      <c r="I479" s="370">
        <v>3089.0824718475342</v>
      </c>
      <c r="M479" s="371">
        <f t="shared" si="29"/>
        <v>13973.391736335721</v>
      </c>
      <c r="N479" s="329">
        <f t="shared" si="30"/>
        <v>0</v>
      </c>
      <c r="T479" s="331">
        <v>0</v>
      </c>
      <c r="U479" s="328">
        <f>VLOOKUP(C479,METADATA!$J$5:$Q$29,IF(E479="HI",2,IF(E479="LO",6,10))+IF(T479=1,2,IF(D479=7,1,(IF(WEEKDAY(B479)=1,2,IF(WEEKDAY(B479)=7,1,0))))))</f>
        <v>1</v>
      </c>
      <c r="V479" s="328">
        <f>VLOOKUP(C479,METADATA!$A$5:$H$29,IF(E479="HI",2,IF(E479="LO",6,10))+IF(T479=1,2,IF(D479=7,1,(IF(WEEKDAY(B479)=1,2,IF(WEEKDAY(B479)=7,1,0))))))</f>
        <v>1</v>
      </c>
    </row>
    <row r="480" spans="2:22">
      <c r="B480" s="318">
        <f t="shared" si="31"/>
        <v>46132</v>
      </c>
      <c r="C480" s="312">
        <v>20</v>
      </c>
      <c r="D480" s="368">
        <f>IFERROR((INDEX(METADATA!$T$2:$T$20,MATCH(B480,METADATA!$S$2:$S$20,0))),0)</f>
        <v>0</v>
      </c>
      <c r="E480" s="312" t="str">
        <f t="shared" si="28"/>
        <v>LO</v>
      </c>
      <c r="F480" s="369">
        <f>VLOOKUP(C480,METADATA!$A$5:$H$29,IF(E480="HI",2,IF(E480="LO",6,10))+IF(D480=1,2,IF(D480=7,1,(IF(WEEKDAY(B480)=1,2,IF(WEEKDAY(B480)=7,1,0))))))</f>
        <v>1</v>
      </c>
      <c r="G480" s="369">
        <f>VLOOKUP(C480,METADATA!$J$5:$Q$29,IF(E480="HI",2,IF(E480="LO",6,10))+IF(D480=1,2,IF(D480=7,1,(IF(WEEKDAY(B480)=1,2,IF(WEEKDAY(B480)=7,1,0))))))</f>
        <v>1</v>
      </c>
      <c r="H480" s="370">
        <v>13642.810180664063</v>
      </c>
      <c r="I480" s="370">
        <v>3073.7930068969727</v>
      </c>
      <c r="M480" s="371">
        <f t="shared" si="29"/>
        <v>13984.794352255585</v>
      </c>
      <c r="N480" s="329">
        <f t="shared" si="30"/>
        <v>0</v>
      </c>
      <c r="T480" s="331">
        <v>0</v>
      </c>
      <c r="U480" s="328">
        <f>VLOOKUP(C480,METADATA!$J$5:$Q$29,IF(E480="HI",2,IF(E480="LO",6,10))+IF(T480=1,2,IF(D480=7,1,(IF(WEEKDAY(B480)=1,2,IF(WEEKDAY(B480)=7,1,0))))))</f>
        <v>1</v>
      </c>
      <c r="V480" s="328">
        <f>VLOOKUP(C480,METADATA!$A$5:$H$29,IF(E480="HI",2,IF(E480="LO",6,10))+IF(T480=1,2,IF(D480=7,1,(IF(WEEKDAY(B480)=1,2,IF(WEEKDAY(B480)=7,1,0))))))</f>
        <v>1</v>
      </c>
    </row>
    <row r="481" spans="2:22">
      <c r="B481" s="318">
        <f t="shared" si="31"/>
        <v>46132</v>
      </c>
      <c r="C481" s="312">
        <v>21</v>
      </c>
      <c r="D481" s="368">
        <f>IFERROR((INDEX(METADATA!$T$2:$T$20,MATCH(B481,METADATA!$S$2:$S$20,0))),0)</f>
        <v>0</v>
      </c>
      <c r="E481" s="312" t="str">
        <f t="shared" si="28"/>
        <v>LO</v>
      </c>
      <c r="F481" s="369">
        <f>VLOOKUP(C481,METADATA!$A$5:$H$29,IF(E481="HI",2,IF(E481="LO",6,10))+IF(D481=1,2,IF(D481=7,1,(IF(WEEKDAY(B481)=1,2,IF(WEEKDAY(B481)=7,1,0))))))</f>
        <v>2</v>
      </c>
      <c r="G481" s="369">
        <f>VLOOKUP(C481,METADATA!$J$5:$Q$29,IF(E481="HI",2,IF(E481="LO",6,10))+IF(D481=1,2,IF(D481=7,1,(IF(WEEKDAY(B481)=1,2,IF(WEEKDAY(B481)=7,1,0))))))</f>
        <v>2</v>
      </c>
      <c r="H481" s="370">
        <v>13617.630004882813</v>
      </c>
      <c r="I481" s="370">
        <v>2504.6244878768921</v>
      </c>
      <c r="M481" s="371">
        <f t="shared" si="29"/>
        <v>13846.046033982309</v>
      </c>
      <c r="N481" s="329">
        <f t="shared" si="30"/>
        <v>0</v>
      </c>
      <c r="T481" s="331">
        <v>0</v>
      </c>
      <c r="U481" s="328">
        <f>VLOOKUP(C481,METADATA!$J$5:$Q$29,IF(E481="HI",2,IF(E481="LO",6,10))+IF(T481=1,2,IF(D481=7,1,(IF(WEEKDAY(B481)=1,2,IF(WEEKDAY(B481)=7,1,0))))))</f>
        <v>2</v>
      </c>
      <c r="V481" s="328">
        <f>VLOOKUP(C481,METADATA!$A$5:$H$29,IF(E481="HI",2,IF(E481="LO",6,10))+IF(T481=1,2,IF(D481=7,1,(IF(WEEKDAY(B481)=1,2,IF(WEEKDAY(B481)=7,1,0))))))</f>
        <v>2</v>
      </c>
    </row>
    <row r="482" spans="2:22">
      <c r="B482" s="318">
        <f t="shared" si="31"/>
        <v>46132</v>
      </c>
      <c r="C482" s="312">
        <v>22</v>
      </c>
      <c r="D482" s="368">
        <f>IFERROR((INDEX(METADATA!$T$2:$T$20,MATCH(B482,METADATA!$S$2:$S$20,0))),0)</f>
        <v>0</v>
      </c>
      <c r="E482" s="312" t="str">
        <f t="shared" si="28"/>
        <v>LO</v>
      </c>
      <c r="F482" s="369">
        <f>VLOOKUP(C482,METADATA!$A$5:$H$29,IF(E482="HI",2,IF(E482="LO",6,10))+IF(D482=1,2,IF(D482=7,1,(IF(WEEKDAY(B482)=1,2,IF(WEEKDAY(B482)=7,1,0))))))</f>
        <v>3</v>
      </c>
      <c r="G482" s="369">
        <f>VLOOKUP(C482,METADATA!$J$5:$Q$29,IF(E482="HI",2,IF(E482="LO",6,10))+IF(D482=1,2,IF(D482=7,1,(IF(WEEKDAY(B482)=1,2,IF(WEEKDAY(B482)=7,1,0))))))</f>
        <v>3</v>
      </c>
      <c r="H482" s="370">
        <v>13574.4296875</v>
      </c>
      <c r="I482" s="370">
        <v>2220.9110126495361</v>
      </c>
      <c r="M482" s="371">
        <f t="shared" si="29"/>
        <v>13754.911379830455</v>
      </c>
      <c r="N482" s="329">
        <f t="shared" si="30"/>
        <v>0</v>
      </c>
      <c r="T482" s="331">
        <v>0</v>
      </c>
      <c r="U482" s="328">
        <f>VLOOKUP(C482,METADATA!$J$5:$Q$29,IF(E482="HI",2,IF(E482="LO",6,10))+IF(T482=1,2,IF(D482=7,1,(IF(WEEKDAY(B482)=1,2,IF(WEEKDAY(B482)=7,1,0))))))</f>
        <v>3</v>
      </c>
      <c r="V482" s="328">
        <f>VLOOKUP(C482,METADATA!$A$5:$H$29,IF(E482="HI",2,IF(E482="LO",6,10))+IF(T482=1,2,IF(D482=7,1,(IF(WEEKDAY(B482)=1,2,IF(WEEKDAY(B482)=7,1,0))))))</f>
        <v>3</v>
      </c>
    </row>
    <row r="483" spans="2:22">
      <c r="B483" s="318">
        <f t="shared" si="31"/>
        <v>46132</v>
      </c>
      <c r="C483" s="312">
        <v>23</v>
      </c>
      <c r="D483" s="368">
        <f>IFERROR((INDEX(METADATA!$T$2:$T$20,MATCH(B483,METADATA!$S$2:$S$20,0))),0)</f>
        <v>0</v>
      </c>
      <c r="E483" s="312" t="str">
        <f t="shared" si="28"/>
        <v>LO</v>
      </c>
      <c r="F483" s="369">
        <f>VLOOKUP(C483,METADATA!$A$5:$H$29,IF(E483="HI",2,IF(E483="LO",6,10))+IF(D483=1,2,IF(D483=7,1,(IF(WEEKDAY(B483)=1,2,IF(WEEKDAY(B483)=7,1,0))))))</f>
        <v>3</v>
      </c>
      <c r="G483" s="369">
        <f>VLOOKUP(C483,METADATA!$J$5:$Q$29,IF(E483="HI",2,IF(E483="LO",6,10))+IF(D483=1,2,IF(D483=7,1,(IF(WEEKDAY(B483)=1,2,IF(WEEKDAY(B483)=7,1,0))))))</f>
        <v>3</v>
      </c>
      <c r="H483" s="370">
        <v>13434.874938964844</v>
      </c>
      <c r="I483" s="370">
        <v>2293.8010454177856</v>
      </c>
      <c r="M483" s="371">
        <f t="shared" si="29"/>
        <v>13629.284202098999</v>
      </c>
      <c r="N483" s="329">
        <f t="shared" si="30"/>
        <v>0</v>
      </c>
      <c r="T483" s="331">
        <v>0</v>
      </c>
      <c r="U483" s="328">
        <f>VLOOKUP(C483,METADATA!$J$5:$Q$29,IF(E483="HI",2,IF(E483="LO",6,10))+IF(T483=1,2,IF(D483=7,1,(IF(WEEKDAY(B483)=1,2,IF(WEEKDAY(B483)=7,1,0))))))</f>
        <v>3</v>
      </c>
      <c r="V483" s="328">
        <f>VLOOKUP(C483,METADATA!$A$5:$H$29,IF(E483="HI",2,IF(E483="LO",6,10))+IF(T483=1,2,IF(D483=7,1,(IF(WEEKDAY(B483)=1,2,IF(WEEKDAY(B483)=7,1,0))))))</f>
        <v>3</v>
      </c>
    </row>
    <row r="484" spans="2:22">
      <c r="B484" s="318">
        <f t="shared" si="31"/>
        <v>46133</v>
      </c>
      <c r="C484" s="312">
        <v>0</v>
      </c>
      <c r="D484" s="368">
        <f>IFERROR((INDEX(METADATA!$T$2:$T$20,MATCH(B484,METADATA!$S$2:$S$20,0))),0)</f>
        <v>0</v>
      </c>
      <c r="E484" s="312" t="str">
        <f t="shared" si="28"/>
        <v>LO</v>
      </c>
      <c r="F484" s="369">
        <f>VLOOKUP(C484,METADATA!$A$5:$H$29,IF(E484="HI",2,IF(E484="LO",6,10))+IF(D484=1,2,IF(D484=7,1,(IF(WEEKDAY(B484)=1,2,IF(WEEKDAY(B484)=7,1,0))))))</f>
        <v>3</v>
      </c>
      <c r="G484" s="369">
        <f>VLOOKUP(C484,METADATA!$J$5:$Q$29,IF(E484="HI",2,IF(E484="LO",6,10))+IF(D484=1,2,IF(D484=7,1,(IF(WEEKDAY(B484)=1,2,IF(WEEKDAY(B484)=7,1,0))))))</f>
        <v>3</v>
      </c>
      <c r="H484" s="370">
        <v>13428.9697265625</v>
      </c>
      <c r="I484" s="370">
        <v>2276.0145397186279</v>
      </c>
      <c r="M484" s="371">
        <f t="shared" si="29"/>
        <v>13620.479804395391</v>
      </c>
      <c r="N484" s="329">
        <f t="shared" si="30"/>
        <v>0</v>
      </c>
      <c r="T484" s="331">
        <v>0</v>
      </c>
      <c r="U484" s="328">
        <f>VLOOKUP(C484,METADATA!$J$5:$Q$29,IF(E484="HI",2,IF(E484="LO",6,10))+IF(T484=1,2,IF(D484=7,1,(IF(WEEKDAY(B484)=1,2,IF(WEEKDAY(B484)=7,1,0))))))</f>
        <v>3</v>
      </c>
      <c r="V484" s="328">
        <f>VLOOKUP(C484,METADATA!$A$5:$H$29,IF(E484="HI",2,IF(E484="LO",6,10))+IF(T484=1,2,IF(D484=7,1,(IF(WEEKDAY(B484)=1,2,IF(WEEKDAY(B484)=7,1,0))))))</f>
        <v>3</v>
      </c>
    </row>
    <row r="485" spans="2:22">
      <c r="B485" s="318">
        <f t="shared" si="31"/>
        <v>46133</v>
      </c>
      <c r="C485" s="312">
        <v>1</v>
      </c>
      <c r="D485" s="368">
        <f>IFERROR((INDEX(METADATA!$T$2:$T$20,MATCH(B485,METADATA!$S$2:$S$20,0))),0)</f>
        <v>0</v>
      </c>
      <c r="E485" s="312" t="str">
        <f t="shared" si="28"/>
        <v>LO</v>
      </c>
      <c r="F485" s="369">
        <f>VLOOKUP(C485,METADATA!$A$5:$H$29,IF(E485="HI",2,IF(E485="LO",6,10))+IF(D485=1,2,IF(D485=7,1,(IF(WEEKDAY(B485)=1,2,IF(WEEKDAY(B485)=7,1,0))))))</f>
        <v>3</v>
      </c>
      <c r="G485" s="369">
        <f>VLOOKUP(C485,METADATA!$J$5:$Q$29,IF(E485="HI",2,IF(E485="LO",6,10))+IF(D485=1,2,IF(D485=7,1,(IF(WEEKDAY(B485)=1,2,IF(WEEKDAY(B485)=7,1,0))))))</f>
        <v>3</v>
      </c>
      <c r="H485" s="370">
        <v>13495.784973144531</v>
      </c>
      <c r="I485" s="370">
        <v>2269.658052444458</v>
      </c>
      <c r="M485" s="371">
        <f t="shared" si="29"/>
        <v>13685.304516757371</v>
      </c>
      <c r="N485" s="329">
        <f t="shared" si="30"/>
        <v>0</v>
      </c>
      <c r="T485" s="331">
        <v>0</v>
      </c>
      <c r="U485" s="328">
        <f>VLOOKUP(C485,METADATA!$J$5:$Q$29,IF(E485="HI",2,IF(E485="LO",6,10))+IF(T485=1,2,IF(D485=7,1,(IF(WEEKDAY(B485)=1,2,IF(WEEKDAY(B485)=7,1,0))))))</f>
        <v>3</v>
      </c>
      <c r="V485" s="328">
        <f>VLOOKUP(C485,METADATA!$A$5:$H$29,IF(E485="HI",2,IF(E485="LO",6,10))+IF(T485=1,2,IF(D485=7,1,(IF(WEEKDAY(B485)=1,2,IF(WEEKDAY(B485)=7,1,0))))))</f>
        <v>3</v>
      </c>
    </row>
    <row r="486" spans="2:22">
      <c r="B486" s="318">
        <f t="shared" si="31"/>
        <v>46133</v>
      </c>
      <c r="C486" s="312">
        <v>2</v>
      </c>
      <c r="D486" s="368">
        <f>IFERROR((INDEX(METADATA!$T$2:$T$20,MATCH(B486,METADATA!$S$2:$S$20,0))),0)</f>
        <v>0</v>
      </c>
      <c r="E486" s="312" t="str">
        <f t="shared" si="28"/>
        <v>LO</v>
      </c>
      <c r="F486" s="369">
        <f>VLOOKUP(C486,METADATA!$A$5:$H$29,IF(E486="HI",2,IF(E486="LO",6,10))+IF(D486=1,2,IF(D486=7,1,(IF(WEEKDAY(B486)=1,2,IF(WEEKDAY(B486)=7,1,0))))))</f>
        <v>3</v>
      </c>
      <c r="G486" s="369">
        <f>VLOOKUP(C486,METADATA!$J$5:$Q$29,IF(E486="HI",2,IF(E486="LO",6,10))+IF(D486=1,2,IF(D486=7,1,(IF(WEEKDAY(B486)=1,2,IF(WEEKDAY(B486)=7,1,0))))))</f>
        <v>3</v>
      </c>
      <c r="H486" s="370">
        <v>13447.54541015625</v>
      </c>
      <c r="I486" s="370">
        <v>2310.2620162963867</v>
      </c>
      <c r="M486" s="371">
        <f t="shared" si="29"/>
        <v>13644.551591831674</v>
      </c>
      <c r="N486" s="329">
        <f t="shared" si="30"/>
        <v>0</v>
      </c>
      <c r="T486" s="331">
        <v>0</v>
      </c>
      <c r="U486" s="328">
        <f>VLOOKUP(C486,METADATA!$J$5:$Q$29,IF(E486="HI",2,IF(E486="LO",6,10))+IF(T486=1,2,IF(D486=7,1,(IF(WEEKDAY(B486)=1,2,IF(WEEKDAY(B486)=7,1,0))))))</f>
        <v>3</v>
      </c>
      <c r="V486" s="328">
        <f>VLOOKUP(C486,METADATA!$A$5:$H$29,IF(E486="HI",2,IF(E486="LO",6,10))+IF(T486=1,2,IF(D486=7,1,(IF(WEEKDAY(B486)=1,2,IF(WEEKDAY(B486)=7,1,0))))))</f>
        <v>3</v>
      </c>
    </row>
    <row r="487" spans="2:22">
      <c r="B487" s="318">
        <f t="shared" si="31"/>
        <v>46133</v>
      </c>
      <c r="C487" s="312">
        <v>3</v>
      </c>
      <c r="D487" s="368">
        <f>IFERROR((INDEX(METADATA!$T$2:$T$20,MATCH(B487,METADATA!$S$2:$S$20,0))),0)</f>
        <v>0</v>
      </c>
      <c r="E487" s="312" t="str">
        <f t="shared" si="28"/>
        <v>LO</v>
      </c>
      <c r="F487" s="369">
        <f>VLOOKUP(C487,METADATA!$A$5:$H$29,IF(E487="HI",2,IF(E487="LO",6,10))+IF(D487=1,2,IF(D487=7,1,(IF(WEEKDAY(B487)=1,2,IF(WEEKDAY(B487)=7,1,0))))))</f>
        <v>3</v>
      </c>
      <c r="G487" s="369">
        <f>VLOOKUP(C487,METADATA!$J$5:$Q$29,IF(E487="HI",2,IF(E487="LO",6,10))+IF(D487=1,2,IF(D487=7,1,(IF(WEEKDAY(B487)=1,2,IF(WEEKDAY(B487)=7,1,0))))))</f>
        <v>3</v>
      </c>
      <c r="H487" s="370">
        <v>13454.774963378906</v>
      </c>
      <c r="I487" s="370">
        <v>2301.3604831695557</v>
      </c>
      <c r="M487" s="371">
        <f t="shared" si="29"/>
        <v>13650.173236580635</v>
      </c>
      <c r="N487" s="329">
        <f t="shared" si="30"/>
        <v>0</v>
      </c>
      <c r="T487" s="331">
        <v>0</v>
      </c>
      <c r="U487" s="328">
        <f>VLOOKUP(C487,METADATA!$J$5:$Q$29,IF(E487="HI",2,IF(E487="LO",6,10))+IF(T487=1,2,IF(D487=7,1,(IF(WEEKDAY(B487)=1,2,IF(WEEKDAY(B487)=7,1,0))))))</f>
        <v>3</v>
      </c>
      <c r="V487" s="328">
        <f>VLOOKUP(C487,METADATA!$A$5:$H$29,IF(E487="HI",2,IF(E487="LO",6,10))+IF(T487=1,2,IF(D487=7,1,(IF(WEEKDAY(B487)=1,2,IF(WEEKDAY(B487)=7,1,0))))))</f>
        <v>3</v>
      </c>
    </row>
    <row r="488" spans="2:22">
      <c r="B488" s="318">
        <f t="shared" si="31"/>
        <v>46133</v>
      </c>
      <c r="C488" s="312">
        <v>4</v>
      </c>
      <c r="D488" s="368">
        <f>IFERROR((INDEX(METADATA!$T$2:$T$20,MATCH(B488,METADATA!$S$2:$S$20,0))),0)</f>
        <v>0</v>
      </c>
      <c r="E488" s="312" t="str">
        <f t="shared" si="28"/>
        <v>LO</v>
      </c>
      <c r="F488" s="369">
        <f>VLOOKUP(C488,METADATA!$A$5:$H$29,IF(E488="HI",2,IF(E488="LO",6,10))+IF(D488=1,2,IF(D488=7,1,(IF(WEEKDAY(B488)=1,2,IF(WEEKDAY(B488)=7,1,0))))))</f>
        <v>3</v>
      </c>
      <c r="G488" s="369">
        <f>VLOOKUP(C488,METADATA!$J$5:$Q$29,IF(E488="HI",2,IF(E488="LO",6,10))+IF(D488=1,2,IF(D488=7,1,(IF(WEEKDAY(B488)=1,2,IF(WEEKDAY(B488)=7,1,0))))))</f>
        <v>3</v>
      </c>
      <c r="H488" s="370">
        <v>13440.434936523438</v>
      </c>
      <c r="I488" s="370">
        <v>2333.6644802093506</v>
      </c>
      <c r="M488" s="371">
        <f t="shared" si="29"/>
        <v>13641.52781726118</v>
      </c>
      <c r="N488" s="329">
        <f t="shared" si="30"/>
        <v>0</v>
      </c>
      <c r="T488" s="331">
        <v>0</v>
      </c>
      <c r="U488" s="328">
        <f>VLOOKUP(C488,METADATA!$J$5:$Q$29,IF(E488="HI",2,IF(E488="LO",6,10))+IF(T488=1,2,IF(D488=7,1,(IF(WEEKDAY(B488)=1,2,IF(WEEKDAY(B488)=7,1,0))))))</f>
        <v>3</v>
      </c>
      <c r="V488" s="328">
        <f>VLOOKUP(C488,METADATA!$A$5:$H$29,IF(E488="HI",2,IF(E488="LO",6,10))+IF(T488=1,2,IF(D488=7,1,(IF(WEEKDAY(B488)=1,2,IF(WEEKDAY(B488)=7,1,0))))))</f>
        <v>3</v>
      </c>
    </row>
    <row r="489" spans="2:22">
      <c r="B489" s="318">
        <f t="shared" si="31"/>
        <v>46133</v>
      </c>
      <c r="C489" s="312">
        <v>5</v>
      </c>
      <c r="D489" s="368">
        <f>IFERROR((INDEX(METADATA!$T$2:$T$20,MATCH(B489,METADATA!$S$2:$S$20,0))),0)</f>
        <v>0</v>
      </c>
      <c r="E489" s="312" t="str">
        <f t="shared" si="28"/>
        <v>LO</v>
      </c>
      <c r="F489" s="369">
        <f>VLOOKUP(C489,METADATA!$A$5:$H$29,IF(E489="HI",2,IF(E489="LO",6,10))+IF(D489=1,2,IF(D489=7,1,(IF(WEEKDAY(B489)=1,2,IF(WEEKDAY(B489)=7,1,0))))))</f>
        <v>3</v>
      </c>
      <c r="G489" s="369">
        <f>VLOOKUP(C489,METADATA!$J$5:$Q$29,IF(E489="HI",2,IF(E489="LO",6,10))+IF(D489=1,2,IF(D489=7,1,(IF(WEEKDAY(B489)=1,2,IF(WEEKDAY(B489)=7,1,0))))))</f>
        <v>3</v>
      </c>
      <c r="H489" s="370">
        <v>13524.629821777344</v>
      </c>
      <c r="I489" s="370">
        <v>2277.7450122833252</v>
      </c>
      <c r="M489" s="371">
        <f t="shared" si="29"/>
        <v>13715.091474616223</v>
      </c>
      <c r="N489" s="329">
        <f t="shared" si="30"/>
        <v>0</v>
      </c>
      <c r="T489" s="331">
        <v>0</v>
      </c>
      <c r="U489" s="328">
        <f>VLOOKUP(C489,METADATA!$J$5:$Q$29,IF(E489="HI",2,IF(E489="LO",6,10))+IF(T489=1,2,IF(D489=7,1,(IF(WEEKDAY(B489)=1,2,IF(WEEKDAY(B489)=7,1,0))))))</f>
        <v>3</v>
      </c>
      <c r="V489" s="328">
        <f>VLOOKUP(C489,METADATA!$A$5:$H$29,IF(E489="HI",2,IF(E489="LO",6,10))+IF(T489=1,2,IF(D489=7,1,(IF(WEEKDAY(B489)=1,2,IF(WEEKDAY(B489)=7,1,0))))))</f>
        <v>3</v>
      </c>
    </row>
    <row r="490" spans="2:22">
      <c r="B490" s="318">
        <f t="shared" si="31"/>
        <v>46133</v>
      </c>
      <c r="C490" s="312">
        <v>6</v>
      </c>
      <c r="D490" s="368">
        <f>IFERROR((INDEX(METADATA!$T$2:$T$20,MATCH(B490,METADATA!$S$2:$S$20,0))),0)</f>
        <v>0</v>
      </c>
      <c r="E490" s="312" t="str">
        <f t="shared" si="28"/>
        <v>LO</v>
      </c>
      <c r="F490" s="369">
        <f>VLOOKUP(C490,METADATA!$A$5:$H$29,IF(E490="HI",2,IF(E490="LO",6,10))+IF(D490=1,2,IF(D490=7,1,(IF(WEEKDAY(B490)=1,2,IF(WEEKDAY(B490)=7,1,0))))))</f>
        <v>2</v>
      </c>
      <c r="G490" s="369">
        <f>VLOOKUP(C490,METADATA!$J$5:$Q$29,IF(E490="HI",2,IF(E490="LO",6,10))+IF(D490=1,2,IF(D490=7,1,(IF(WEEKDAY(B490)=1,2,IF(WEEKDAY(B490)=7,1,0))))))</f>
        <v>2</v>
      </c>
      <c r="H490" s="370">
        <v>13322.920043945313</v>
      </c>
      <c r="I490" s="370">
        <v>2119.2709980010986</v>
      </c>
      <c r="M490" s="371">
        <f t="shared" si="29"/>
        <v>13490.422827336744</v>
      </c>
      <c r="N490" s="329">
        <f t="shared" si="30"/>
        <v>0</v>
      </c>
      <c r="T490" s="331">
        <v>0</v>
      </c>
      <c r="U490" s="328">
        <f>VLOOKUP(C490,METADATA!$J$5:$Q$29,IF(E490="HI",2,IF(E490="LO",6,10))+IF(T490=1,2,IF(D490=7,1,(IF(WEEKDAY(B490)=1,2,IF(WEEKDAY(B490)=7,1,0))))))</f>
        <v>2</v>
      </c>
      <c r="V490" s="328">
        <f>VLOOKUP(C490,METADATA!$A$5:$H$29,IF(E490="HI",2,IF(E490="LO",6,10))+IF(T490=1,2,IF(D490=7,1,(IF(WEEKDAY(B490)=1,2,IF(WEEKDAY(B490)=7,1,0))))))</f>
        <v>2</v>
      </c>
    </row>
    <row r="491" spans="2:22">
      <c r="B491" s="318">
        <f t="shared" si="31"/>
        <v>46133</v>
      </c>
      <c r="C491" s="312">
        <v>7</v>
      </c>
      <c r="D491" s="368">
        <f>IFERROR((INDEX(METADATA!$T$2:$T$20,MATCH(B491,METADATA!$S$2:$S$20,0))),0)</f>
        <v>0</v>
      </c>
      <c r="E491" s="312" t="str">
        <f t="shared" si="28"/>
        <v>LO</v>
      </c>
      <c r="F491" s="369">
        <f>VLOOKUP(C491,METADATA!$A$5:$H$29,IF(E491="HI",2,IF(E491="LO",6,10))+IF(D491=1,2,IF(D491=7,1,(IF(WEEKDAY(B491)=1,2,IF(WEEKDAY(B491)=7,1,0))))))</f>
        <v>1</v>
      </c>
      <c r="G491" s="369">
        <f>VLOOKUP(C491,METADATA!$J$5:$Q$29,IF(E491="HI",2,IF(E491="LO",6,10))+IF(D491=1,2,IF(D491=7,1,(IF(WEEKDAY(B491)=1,2,IF(WEEKDAY(B491)=7,1,0))))))</f>
        <v>1</v>
      </c>
      <c r="H491" s="370">
        <v>12761.414916992188</v>
      </c>
      <c r="I491" s="370">
        <v>1530.3584995269775</v>
      </c>
      <c r="M491" s="371">
        <f t="shared" si="29"/>
        <v>12852.848237674993</v>
      </c>
      <c r="N491" s="329">
        <f t="shared" si="30"/>
        <v>0</v>
      </c>
      <c r="T491" s="331">
        <v>0</v>
      </c>
      <c r="U491" s="328">
        <f>VLOOKUP(C491,METADATA!$J$5:$Q$29,IF(E491="HI",2,IF(E491="LO",6,10))+IF(T491=1,2,IF(D491=7,1,(IF(WEEKDAY(B491)=1,2,IF(WEEKDAY(B491)=7,1,0))))))</f>
        <v>1</v>
      </c>
      <c r="V491" s="328">
        <f>VLOOKUP(C491,METADATA!$A$5:$H$29,IF(E491="HI",2,IF(E491="LO",6,10))+IF(T491=1,2,IF(D491=7,1,(IF(WEEKDAY(B491)=1,2,IF(WEEKDAY(B491)=7,1,0))))))</f>
        <v>1</v>
      </c>
    </row>
    <row r="492" spans="2:22">
      <c r="B492" s="318">
        <f t="shared" si="31"/>
        <v>46133</v>
      </c>
      <c r="C492" s="312">
        <v>8</v>
      </c>
      <c r="D492" s="368">
        <f>IFERROR((INDEX(METADATA!$T$2:$T$20,MATCH(B492,METADATA!$S$2:$S$20,0))),0)</f>
        <v>0</v>
      </c>
      <c r="E492" s="312" t="str">
        <f t="shared" si="28"/>
        <v>LO</v>
      </c>
      <c r="F492" s="369">
        <f>VLOOKUP(C492,METADATA!$A$5:$H$29,IF(E492="HI",2,IF(E492="LO",6,10))+IF(D492=1,2,IF(D492=7,1,(IF(WEEKDAY(B492)=1,2,IF(WEEKDAY(B492)=7,1,0))))))</f>
        <v>1</v>
      </c>
      <c r="G492" s="369">
        <f>VLOOKUP(C492,METADATA!$J$5:$Q$29,IF(E492="HI",2,IF(E492="LO",6,10))+IF(D492=1,2,IF(D492=7,1,(IF(WEEKDAY(B492)=1,2,IF(WEEKDAY(B492)=7,1,0))))))</f>
        <v>1</v>
      </c>
      <c r="H492" s="370">
        <v>11844.0751953125</v>
      </c>
      <c r="I492" s="370">
        <v>1698.9154589693062</v>
      </c>
      <c r="M492" s="371">
        <f t="shared" si="29"/>
        <v>11965.301123203782</v>
      </c>
      <c r="N492" s="329">
        <f t="shared" si="30"/>
        <v>0</v>
      </c>
      <c r="T492" s="331">
        <v>0</v>
      </c>
      <c r="U492" s="328">
        <f>VLOOKUP(C492,METADATA!$J$5:$Q$29,IF(E492="HI",2,IF(E492="LO",6,10))+IF(T492=1,2,IF(D492=7,1,(IF(WEEKDAY(B492)=1,2,IF(WEEKDAY(B492)=7,1,0))))))</f>
        <v>1</v>
      </c>
      <c r="V492" s="328">
        <f>VLOOKUP(C492,METADATA!$A$5:$H$29,IF(E492="HI",2,IF(E492="LO",6,10))+IF(T492=1,2,IF(D492=7,1,(IF(WEEKDAY(B492)=1,2,IF(WEEKDAY(B492)=7,1,0))))))</f>
        <v>1</v>
      </c>
    </row>
    <row r="493" spans="2:22">
      <c r="B493" s="318">
        <f t="shared" si="31"/>
        <v>46133</v>
      </c>
      <c r="C493" s="312">
        <v>9</v>
      </c>
      <c r="D493" s="368">
        <f>IFERROR((INDEX(METADATA!$T$2:$T$20,MATCH(B493,METADATA!$S$2:$S$20,0))),0)</f>
        <v>0</v>
      </c>
      <c r="E493" s="312" t="str">
        <f t="shared" si="28"/>
        <v>LO</v>
      </c>
      <c r="F493" s="369">
        <f>VLOOKUP(C493,METADATA!$A$5:$H$29,IF(E493="HI",2,IF(E493="LO",6,10))+IF(D493=1,2,IF(D493=7,1,(IF(WEEKDAY(B493)=1,2,IF(WEEKDAY(B493)=7,1,0))))))</f>
        <v>2</v>
      </c>
      <c r="G493" s="369">
        <f>VLOOKUP(C493,METADATA!$J$5:$Q$29,IF(E493="HI",2,IF(E493="LO",6,10))+IF(D493=1,2,IF(D493=7,1,(IF(WEEKDAY(B493)=1,2,IF(WEEKDAY(B493)=7,1,0))))))</f>
        <v>2</v>
      </c>
      <c r="H493" s="370">
        <v>11369.814910888672</v>
      </c>
      <c r="I493" s="370">
        <v>1629.575984120369</v>
      </c>
      <c r="M493" s="371">
        <f t="shared" si="29"/>
        <v>11486.000565727318</v>
      </c>
      <c r="N493" s="329">
        <f t="shared" si="30"/>
        <v>0</v>
      </c>
      <c r="T493" s="331">
        <v>0</v>
      </c>
      <c r="U493" s="328">
        <f>VLOOKUP(C493,METADATA!$J$5:$Q$29,IF(E493="HI",2,IF(E493="LO",6,10))+IF(T493=1,2,IF(D493=7,1,(IF(WEEKDAY(B493)=1,2,IF(WEEKDAY(B493)=7,1,0))))))</f>
        <v>2</v>
      </c>
      <c r="V493" s="328">
        <f>VLOOKUP(C493,METADATA!$A$5:$H$29,IF(E493="HI",2,IF(E493="LO",6,10))+IF(T493=1,2,IF(D493=7,1,(IF(WEEKDAY(B493)=1,2,IF(WEEKDAY(B493)=7,1,0))))))</f>
        <v>2</v>
      </c>
    </row>
    <row r="494" spans="2:22">
      <c r="B494" s="318">
        <f t="shared" si="31"/>
        <v>46133</v>
      </c>
      <c r="C494" s="312">
        <v>10</v>
      </c>
      <c r="D494" s="368">
        <f>IFERROR((INDEX(METADATA!$T$2:$T$20,MATCH(B494,METADATA!$S$2:$S$20,0))),0)</f>
        <v>0</v>
      </c>
      <c r="E494" s="312" t="str">
        <f t="shared" si="28"/>
        <v>LO</v>
      </c>
      <c r="F494" s="369">
        <f>VLOOKUP(C494,METADATA!$A$5:$H$29,IF(E494="HI",2,IF(E494="LO",6,10))+IF(D494=1,2,IF(D494=7,1,(IF(WEEKDAY(B494)=1,2,IF(WEEKDAY(B494)=7,1,0))))))</f>
        <v>2</v>
      </c>
      <c r="G494" s="369">
        <f>VLOOKUP(C494,METADATA!$J$5:$Q$29,IF(E494="HI",2,IF(E494="LO",6,10))+IF(D494=1,2,IF(D494=7,1,(IF(WEEKDAY(B494)=1,2,IF(WEEKDAY(B494)=7,1,0))))))</f>
        <v>2</v>
      </c>
      <c r="H494" s="370">
        <v>13159.019592285156</v>
      </c>
      <c r="I494" s="370">
        <v>1922.5164604187012</v>
      </c>
      <c r="M494" s="371">
        <f t="shared" si="29"/>
        <v>13298.716711424657</v>
      </c>
      <c r="N494" s="329">
        <f t="shared" si="30"/>
        <v>0</v>
      </c>
      <c r="T494" s="331">
        <v>0</v>
      </c>
      <c r="U494" s="328">
        <f>VLOOKUP(C494,METADATA!$J$5:$Q$29,IF(E494="HI",2,IF(E494="LO",6,10))+IF(T494=1,2,IF(D494=7,1,(IF(WEEKDAY(B494)=1,2,IF(WEEKDAY(B494)=7,1,0))))))</f>
        <v>2</v>
      </c>
      <c r="V494" s="328">
        <f>VLOOKUP(C494,METADATA!$A$5:$H$29,IF(E494="HI",2,IF(E494="LO",6,10))+IF(T494=1,2,IF(D494=7,1,(IF(WEEKDAY(B494)=1,2,IF(WEEKDAY(B494)=7,1,0))))))</f>
        <v>2</v>
      </c>
    </row>
    <row r="495" spans="2:22">
      <c r="B495" s="318">
        <f t="shared" si="31"/>
        <v>46133</v>
      </c>
      <c r="C495" s="312">
        <v>11</v>
      </c>
      <c r="D495" s="368">
        <f>IFERROR((INDEX(METADATA!$T$2:$T$20,MATCH(B495,METADATA!$S$2:$S$20,0))),0)</f>
        <v>0</v>
      </c>
      <c r="E495" s="312" t="str">
        <f t="shared" si="28"/>
        <v>LO</v>
      </c>
      <c r="F495" s="369">
        <f>VLOOKUP(C495,METADATA!$A$5:$H$29,IF(E495="HI",2,IF(E495="LO",6,10))+IF(D495=1,2,IF(D495=7,1,(IF(WEEKDAY(B495)=1,2,IF(WEEKDAY(B495)=7,1,0))))))</f>
        <v>2</v>
      </c>
      <c r="G495" s="369">
        <f>VLOOKUP(C495,METADATA!$J$5:$Q$29,IF(E495="HI",2,IF(E495="LO",6,10))+IF(D495=1,2,IF(D495=7,1,(IF(WEEKDAY(B495)=1,2,IF(WEEKDAY(B495)=7,1,0))))))</f>
        <v>2</v>
      </c>
      <c r="H495" s="370">
        <v>13565.150268554688</v>
      </c>
      <c r="I495" s="370">
        <v>1998.9345283508301</v>
      </c>
      <c r="M495" s="371">
        <f t="shared" si="29"/>
        <v>13711.63889026773</v>
      </c>
      <c r="N495" s="329">
        <f t="shared" si="30"/>
        <v>0</v>
      </c>
      <c r="T495" s="331">
        <v>0</v>
      </c>
      <c r="U495" s="328">
        <f>VLOOKUP(C495,METADATA!$J$5:$Q$29,IF(E495="HI",2,IF(E495="LO",6,10))+IF(T495=1,2,IF(D495=7,1,(IF(WEEKDAY(B495)=1,2,IF(WEEKDAY(B495)=7,1,0))))))</f>
        <v>2</v>
      </c>
      <c r="V495" s="328">
        <f>VLOOKUP(C495,METADATA!$A$5:$H$29,IF(E495="HI",2,IF(E495="LO",6,10))+IF(T495=1,2,IF(D495=7,1,(IF(WEEKDAY(B495)=1,2,IF(WEEKDAY(B495)=7,1,0))))))</f>
        <v>2</v>
      </c>
    </row>
    <row r="496" spans="2:22">
      <c r="B496" s="318">
        <f t="shared" si="31"/>
        <v>46133</v>
      </c>
      <c r="C496" s="312">
        <v>12</v>
      </c>
      <c r="D496" s="368">
        <f>IFERROR((INDEX(METADATA!$T$2:$T$20,MATCH(B496,METADATA!$S$2:$S$20,0))),0)</f>
        <v>0</v>
      </c>
      <c r="E496" s="312" t="str">
        <f t="shared" si="28"/>
        <v>LO</v>
      </c>
      <c r="F496" s="369">
        <f>VLOOKUP(C496,METADATA!$A$5:$H$29,IF(E496="HI",2,IF(E496="LO",6,10))+IF(D496=1,2,IF(D496=7,1,(IF(WEEKDAY(B496)=1,2,IF(WEEKDAY(B496)=7,1,0))))))</f>
        <v>2</v>
      </c>
      <c r="G496" s="369">
        <f>VLOOKUP(C496,METADATA!$J$5:$Q$29,IF(E496="HI",2,IF(E496="LO",6,10))+IF(D496=1,2,IF(D496=7,1,(IF(WEEKDAY(B496)=1,2,IF(WEEKDAY(B496)=7,1,0))))))</f>
        <v>2</v>
      </c>
      <c r="H496" s="370">
        <v>13486.67041015625</v>
      </c>
      <c r="I496" s="370">
        <v>1996.5874977111816</v>
      </c>
      <c r="M496" s="371">
        <f t="shared" si="29"/>
        <v>13633.658364070912</v>
      </c>
      <c r="N496" s="329">
        <f t="shared" si="30"/>
        <v>0</v>
      </c>
      <c r="T496" s="331">
        <v>0</v>
      </c>
      <c r="U496" s="328">
        <f>VLOOKUP(C496,METADATA!$J$5:$Q$29,IF(E496="HI",2,IF(E496="LO",6,10))+IF(T496=1,2,IF(D496=7,1,(IF(WEEKDAY(B496)=1,2,IF(WEEKDAY(B496)=7,1,0))))))</f>
        <v>2</v>
      </c>
      <c r="V496" s="328">
        <f>VLOOKUP(C496,METADATA!$A$5:$H$29,IF(E496="HI",2,IF(E496="LO",6,10))+IF(T496=1,2,IF(D496=7,1,(IF(WEEKDAY(B496)=1,2,IF(WEEKDAY(B496)=7,1,0))))))</f>
        <v>2</v>
      </c>
    </row>
    <row r="497" spans="2:22">
      <c r="B497" s="318">
        <f t="shared" si="31"/>
        <v>46133</v>
      </c>
      <c r="C497" s="312">
        <v>13</v>
      </c>
      <c r="D497" s="368">
        <f>IFERROR((INDEX(METADATA!$T$2:$T$20,MATCH(B497,METADATA!$S$2:$S$20,0))),0)</f>
        <v>0</v>
      </c>
      <c r="E497" s="312" t="str">
        <f t="shared" si="28"/>
        <v>LO</v>
      </c>
      <c r="F497" s="369">
        <f>VLOOKUP(C497,METADATA!$A$5:$H$29,IF(E497="HI",2,IF(E497="LO",6,10))+IF(D497=1,2,IF(D497=7,1,(IF(WEEKDAY(B497)=1,2,IF(WEEKDAY(B497)=7,1,0))))))</f>
        <v>2</v>
      </c>
      <c r="G497" s="369">
        <f>VLOOKUP(C497,METADATA!$J$5:$Q$29,IF(E497="HI",2,IF(E497="LO",6,10))+IF(D497=1,2,IF(D497=7,1,(IF(WEEKDAY(B497)=1,2,IF(WEEKDAY(B497)=7,1,0))))))</f>
        <v>2</v>
      </c>
      <c r="H497" s="370">
        <v>13279.569763183594</v>
      </c>
      <c r="I497" s="370">
        <v>2034.7889976501465</v>
      </c>
      <c r="M497" s="371">
        <f t="shared" si="29"/>
        <v>13434.557654058359</v>
      </c>
      <c r="N497" s="329">
        <f t="shared" si="30"/>
        <v>0</v>
      </c>
      <c r="T497" s="331">
        <v>0</v>
      </c>
      <c r="U497" s="328">
        <f>VLOOKUP(C497,METADATA!$J$5:$Q$29,IF(E497="HI",2,IF(E497="LO",6,10))+IF(T497=1,2,IF(D497=7,1,(IF(WEEKDAY(B497)=1,2,IF(WEEKDAY(B497)=7,1,0))))))</f>
        <v>2</v>
      </c>
      <c r="V497" s="328">
        <f>VLOOKUP(C497,METADATA!$A$5:$H$29,IF(E497="HI",2,IF(E497="LO",6,10))+IF(T497=1,2,IF(D497=7,1,(IF(WEEKDAY(B497)=1,2,IF(WEEKDAY(B497)=7,1,0))))))</f>
        <v>2</v>
      </c>
    </row>
    <row r="498" spans="2:22">
      <c r="B498" s="318">
        <f t="shared" si="31"/>
        <v>46133</v>
      </c>
      <c r="C498" s="312">
        <v>14</v>
      </c>
      <c r="D498" s="368">
        <f>IFERROR((INDEX(METADATA!$T$2:$T$20,MATCH(B498,METADATA!$S$2:$S$20,0))),0)</f>
        <v>0</v>
      </c>
      <c r="E498" s="312" t="str">
        <f t="shared" si="28"/>
        <v>LO</v>
      </c>
      <c r="F498" s="369">
        <f>VLOOKUP(C498,METADATA!$A$5:$H$29,IF(E498="HI",2,IF(E498="LO",6,10))+IF(D498=1,2,IF(D498=7,1,(IF(WEEKDAY(B498)=1,2,IF(WEEKDAY(B498)=7,1,0))))))</f>
        <v>2</v>
      </c>
      <c r="G498" s="369">
        <f>VLOOKUP(C498,METADATA!$J$5:$Q$29,IF(E498="HI",2,IF(E498="LO",6,10))+IF(D498=1,2,IF(D498=7,1,(IF(WEEKDAY(B498)=1,2,IF(WEEKDAY(B498)=7,1,0))))))</f>
        <v>2</v>
      </c>
      <c r="H498" s="370">
        <v>13548.554748535156</v>
      </c>
      <c r="I498" s="370">
        <v>3066.7518577575684</v>
      </c>
      <c r="M498" s="371">
        <f t="shared" si="29"/>
        <v>13891.303132935875</v>
      </c>
      <c r="N498" s="329">
        <f t="shared" si="30"/>
        <v>0</v>
      </c>
      <c r="T498" s="331">
        <v>0</v>
      </c>
      <c r="U498" s="328">
        <f>VLOOKUP(C498,METADATA!$J$5:$Q$29,IF(E498="HI",2,IF(E498="LO",6,10))+IF(T498=1,2,IF(D498=7,1,(IF(WEEKDAY(B498)=1,2,IF(WEEKDAY(B498)=7,1,0))))))</f>
        <v>2</v>
      </c>
      <c r="V498" s="328">
        <f>VLOOKUP(C498,METADATA!$A$5:$H$29,IF(E498="HI",2,IF(E498="LO",6,10))+IF(T498=1,2,IF(D498=7,1,(IF(WEEKDAY(B498)=1,2,IF(WEEKDAY(B498)=7,1,0))))))</f>
        <v>2</v>
      </c>
    </row>
    <row r="499" spans="2:22">
      <c r="B499" s="318">
        <f t="shared" si="31"/>
        <v>46133</v>
      </c>
      <c r="C499" s="312">
        <v>15</v>
      </c>
      <c r="D499" s="368">
        <f>IFERROR((INDEX(METADATA!$T$2:$T$20,MATCH(B499,METADATA!$S$2:$S$20,0))),0)</f>
        <v>0</v>
      </c>
      <c r="E499" s="312" t="str">
        <f t="shared" si="28"/>
        <v>LO</v>
      </c>
      <c r="F499" s="369">
        <f>VLOOKUP(C499,METADATA!$A$5:$H$29,IF(E499="HI",2,IF(E499="LO",6,10))+IF(D499=1,2,IF(D499=7,1,(IF(WEEKDAY(B499)=1,2,IF(WEEKDAY(B499)=7,1,0))))))</f>
        <v>2</v>
      </c>
      <c r="G499" s="369">
        <f>VLOOKUP(C499,METADATA!$J$5:$Q$29,IF(E499="HI",2,IF(E499="LO",6,10))+IF(D499=1,2,IF(D499=7,1,(IF(WEEKDAY(B499)=1,2,IF(WEEKDAY(B499)=7,1,0))))))</f>
        <v>2</v>
      </c>
      <c r="H499" s="370">
        <v>13266.420166015625</v>
      </c>
      <c r="I499" s="370">
        <v>3062.1789703369141</v>
      </c>
      <c r="M499" s="371">
        <f t="shared" si="29"/>
        <v>13615.243077802161</v>
      </c>
      <c r="N499" s="329">
        <f t="shared" si="30"/>
        <v>0</v>
      </c>
      <c r="T499" s="331">
        <v>0</v>
      </c>
      <c r="U499" s="328">
        <f>VLOOKUP(C499,METADATA!$J$5:$Q$29,IF(E499="HI",2,IF(E499="LO",6,10))+IF(T499=1,2,IF(D499=7,1,(IF(WEEKDAY(B499)=1,2,IF(WEEKDAY(B499)=7,1,0))))))</f>
        <v>2</v>
      </c>
      <c r="V499" s="328">
        <f>VLOOKUP(C499,METADATA!$A$5:$H$29,IF(E499="HI",2,IF(E499="LO",6,10))+IF(T499=1,2,IF(D499=7,1,(IF(WEEKDAY(B499)=1,2,IF(WEEKDAY(B499)=7,1,0))))))</f>
        <v>2</v>
      </c>
    </row>
    <row r="500" spans="2:22">
      <c r="B500" s="318">
        <f t="shared" si="31"/>
        <v>46133</v>
      </c>
      <c r="C500" s="312">
        <v>16</v>
      </c>
      <c r="D500" s="368">
        <f>IFERROR((INDEX(METADATA!$T$2:$T$20,MATCH(B500,METADATA!$S$2:$S$20,0))),0)</f>
        <v>0</v>
      </c>
      <c r="E500" s="312" t="str">
        <f t="shared" si="28"/>
        <v>LO</v>
      </c>
      <c r="F500" s="369">
        <f>VLOOKUP(C500,METADATA!$A$5:$H$29,IF(E500="HI",2,IF(E500="LO",6,10))+IF(D500=1,2,IF(D500=7,1,(IF(WEEKDAY(B500)=1,2,IF(WEEKDAY(B500)=7,1,0))))))</f>
        <v>2</v>
      </c>
      <c r="G500" s="369">
        <f>VLOOKUP(C500,METADATA!$J$5:$Q$29,IF(E500="HI",2,IF(E500="LO",6,10))+IF(D500=1,2,IF(D500=7,1,(IF(WEEKDAY(B500)=1,2,IF(WEEKDAY(B500)=7,1,0))))))</f>
        <v>2</v>
      </c>
      <c r="H500" s="370">
        <v>13476.60986328125</v>
      </c>
      <c r="I500" s="370">
        <v>3152.971019744873</v>
      </c>
      <c r="M500" s="371">
        <f t="shared" si="29"/>
        <v>13840.528879289277</v>
      </c>
      <c r="N500" s="329">
        <f t="shared" si="30"/>
        <v>0</v>
      </c>
      <c r="T500" s="331">
        <v>0</v>
      </c>
      <c r="U500" s="328">
        <f>VLOOKUP(C500,METADATA!$J$5:$Q$29,IF(E500="HI",2,IF(E500="LO",6,10))+IF(T500=1,2,IF(D500=7,1,(IF(WEEKDAY(B500)=1,2,IF(WEEKDAY(B500)=7,1,0))))))</f>
        <v>2</v>
      </c>
      <c r="V500" s="328">
        <f>VLOOKUP(C500,METADATA!$A$5:$H$29,IF(E500="HI",2,IF(E500="LO",6,10))+IF(T500=1,2,IF(D500=7,1,(IF(WEEKDAY(B500)=1,2,IF(WEEKDAY(B500)=7,1,0))))))</f>
        <v>2</v>
      </c>
    </row>
    <row r="501" spans="2:22">
      <c r="B501" s="318">
        <f t="shared" si="31"/>
        <v>46133</v>
      </c>
      <c r="C501" s="312">
        <v>17</v>
      </c>
      <c r="D501" s="368">
        <f>IFERROR((INDEX(METADATA!$T$2:$T$20,MATCH(B501,METADATA!$S$2:$S$20,0))),0)</f>
        <v>0</v>
      </c>
      <c r="E501" s="312" t="str">
        <f t="shared" si="28"/>
        <v>LO</v>
      </c>
      <c r="F501" s="369">
        <f>VLOOKUP(C501,METADATA!$A$5:$H$29,IF(E501="HI",2,IF(E501="LO",6,10))+IF(D501=1,2,IF(D501=7,1,(IF(WEEKDAY(B501)=1,2,IF(WEEKDAY(B501)=7,1,0))))))</f>
        <v>2</v>
      </c>
      <c r="G501" s="369">
        <f>VLOOKUP(C501,METADATA!$J$5:$Q$29,IF(E501="HI",2,IF(E501="LO",6,10))+IF(D501=1,2,IF(D501=7,1,(IF(WEEKDAY(B501)=1,2,IF(WEEKDAY(B501)=7,1,0))))))</f>
        <v>2</v>
      </c>
      <c r="H501" s="370">
        <v>13546.915161132813</v>
      </c>
      <c r="I501" s="370">
        <v>3215.2209701538086</v>
      </c>
      <c r="M501" s="371">
        <f t="shared" si="29"/>
        <v>13923.237995159274</v>
      </c>
      <c r="N501" s="329">
        <f t="shared" si="30"/>
        <v>0</v>
      </c>
      <c r="T501" s="331">
        <v>0</v>
      </c>
      <c r="U501" s="328">
        <f>VLOOKUP(C501,METADATA!$J$5:$Q$29,IF(E501="HI",2,IF(E501="LO",6,10))+IF(T501=1,2,IF(D501=7,1,(IF(WEEKDAY(B501)=1,2,IF(WEEKDAY(B501)=7,1,0))))))</f>
        <v>2</v>
      </c>
      <c r="V501" s="328">
        <f>VLOOKUP(C501,METADATA!$A$5:$H$29,IF(E501="HI",2,IF(E501="LO",6,10))+IF(T501=1,2,IF(D501=7,1,(IF(WEEKDAY(B501)=1,2,IF(WEEKDAY(B501)=7,1,0))))))</f>
        <v>2</v>
      </c>
    </row>
    <row r="502" spans="2:22">
      <c r="B502" s="318">
        <f t="shared" si="31"/>
        <v>46133</v>
      </c>
      <c r="C502" s="312">
        <v>18</v>
      </c>
      <c r="D502" s="368">
        <f>IFERROR((INDEX(METADATA!$T$2:$T$20,MATCH(B502,METADATA!$S$2:$S$20,0))),0)</f>
        <v>0</v>
      </c>
      <c r="E502" s="312" t="str">
        <f t="shared" si="28"/>
        <v>LO</v>
      </c>
      <c r="F502" s="369">
        <f>VLOOKUP(C502,METADATA!$A$5:$H$29,IF(E502="HI",2,IF(E502="LO",6,10))+IF(D502=1,2,IF(D502=7,1,(IF(WEEKDAY(B502)=1,2,IF(WEEKDAY(B502)=7,1,0))))))</f>
        <v>1</v>
      </c>
      <c r="G502" s="369">
        <f>VLOOKUP(C502,METADATA!$J$5:$Q$29,IF(E502="HI",2,IF(E502="LO",6,10))+IF(D502=1,2,IF(D502=7,1,(IF(WEEKDAY(B502)=1,2,IF(WEEKDAY(B502)=7,1,0))))))</f>
        <v>1</v>
      </c>
      <c r="H502" s="370">
        <v>13541.455139160156</v>
      </c>
      <c r="I502" s="370">
        <v>3202.0850505828857</v>
      </c>
      <c r="M502" s="371">
        <f t="shared" si="29"/>
        <v>13914.896907884491</v>
      </c>
      <c r="N502" s="329">
        <f t="shared" si="30"/>
        <v>0</v>
      </c>
      <c r="T502" s="331">
        <v>0</v>
      </c>
      <c r="U502" s="328">
        <f>VLOOKUP(C502,METADATA!$J$5:$Q$29,IF(E502="HI",2,IF(E502="LO",6,10))+IF(T502=1,2,IF(D502=7,1,(IF(WEEKDAY(B502)=1,2,IF(WEEKDAY(B502)=7,1,0))))))</f>
        <v>1</v>
      </c>
      <c r="V502" s="328">
        <f>VLOOKUP(C502,METADATA!$A$5:$H$29,IF(E502="HI",2,IF(E502="LO",6,10))+IF(T502=1,2,IF(D502=7,1,(IF(WEEKDAY(B502)=1,2,IF(WEEKDAY(B502)=7,1,0))))))</f>
        <v>1</v>
      </c>
    </row>
    <row r="503" spans="2:22">
      <c r="B503" s="318">
        <f t="shared" si="31"/>
        <v>46133</v>
      </c>
      <c r="C503" s="312">
        <v>19</v>
      </c>
      <c r="D503" s="368">
        <f>IFERROR((INDEX(METADATA!$T$2:$T$20,MATCH(B503,METADATA!$S$2:$S$20,0))),0)</f>
        <v>0</v>
      </c>
      <c r="E503" s="312" t="str">
        <f t="shared" si="28"/>
        <v>LO</v>
      </c>
      <c r="F503" s="369">
        <f>VLOOKUP(C503,METADATA!$A$5:$H$29,IF(E503="HI",2,IF(E503="LO",6,10))+IF(D503=1,2,IF(D503=7,1,(IF(WEEKDAY(B503)=1,2,IF(WEEKDAY(B503)=7,1,0))))))</f>
        <v>1</v>
      </c>
      <c r="G503" s="369">
        <f>VLOOKUP(C503,METADATA!$J$5:$Q$29,IF(E503="HI",2,IF(E503="LO",6,10))+IF(D503=1,2,IF(D503=7,1,(IF(WEEKDAY(B503)=1,2,IF(WEEKDAY(B503)=7,1,0))))))</f>
        <v>1</v>
      </c>
      <c r="H503" s="370">
        <v>13497.770263671875</v>
      </c>
      <c r="I503" s="370">
        <v>3053.5845203399658</v>
      </c>
      <c r="M503" s="371">
        <f t="shared" si="29"/>
        <v>13838.86485640078</v>
      </c>
      <c r="N503" s="329">
        <f t="shared" si="30"/>
        <v>0</v>
      </c>
      <c r="T503" s="331">
        <v>0</v>
      </c>
      <c r="U503" s="328">
        <f>VLOOKUP(C503,METADATA!$J$5:$Q$29,IF(E503="HI",2,IF(E503="LO",6,10))+IF(T503=1,2,IF(D503=7,1,(IF(WEEKDAY(B503)=1,2,IF(WEEKDAY(B503)=7,1,0))))))</f>
        <v>1</v>
      </c>
      <c r="V503" s="328">
        <f>VLOOKUP(C503,METADATA!$A$5:$H$29,IF(E503="HI",2,IF(E503="LO",6,10))+IF(T503=1,2,IF(D503=7,1,(IF(WEEKDAY(B503)=1,2,IF(WEEKDAY(B503)=7,1,0))))))</f>
        <v>1</v>
      </c>
    </row>
    <row r="504" spans="2:22">
      <c r="B504" s="318">
        <f t="shared" si="31"/>
        <v>46133</v>
      </c>
      <c r="C504" s="312">
        <v>20</v>
      </c>
      <c r="D504" s="368">
        <f>IFERROR((INDEX(METADATA!$T$2:$T$20,MATCH(B504,METADATA!$S$2:$S$20,0))),0)</f>
        <v>0</v>
      </c>
      <c r="E504" s="312" t="str">
        <f t="shared" si="28"/>
        <v>LO</v>
      </c>
      <c r="F504" s="369">
        <f>VLOOKUP(C504,METADATA!$A$5:$H$29,IF(E504="HI",2,IF(E504="LO",6,10))+IF(D504=1,2,IF(D504=7,1,(IF(WEEKDAY(B504)=1,2,IF(WEEKDAY(B504)=7,1,0))))))</f>
        <v>1</v>
      </c>
      <c r="G504" s="369">
        <f>VLOOKUP(C504,METADATA!$J$5:$Q$29,IF(E504="HI",2,IF(E504="LO",6,10))+IF(D504=1,2,IF(D504=7,1,(IF(WEEKDAY(B504)=1,2,IF(WEEKDAY(B504)=7,1,0))))))</f>
        <v>1</v>
      </c>
      <c r="H504" s="370">
        <v>13417.919799804688</v>
      </c>
      <c r="I504" s="370">
        <v>2943.5240116119385</v>
      </c>
      <c r="M504" s="371">
        <f t="shared" si="29"/>
        <v>13736.990404048722</v>
      </c>
      <c r="N504" s="329">
        <f t="shared" si="30"/>
        <v>0</v>
      </c>
      <c r="T504" s="331">
        <v>0</v>
      </c>
      <c r="U504" s="328">
        <f>VLOOKUP(C504,METADATA!$J$5:$Q$29,IF(E504="HI",2,IF(E504="LO",6,10))+IF(T504=1,2,IF(D504=7,1,(IF(WEEKDAY(B504)=1,2,IF(WEEKDAY(B504)=7,1,0))))))</f>
        <v>1</v>
      </c>
      <c r="V504" s="328">
        <f>VLOOKUP(C504,METADATA!$A$5:$H$29,IF(E504="HI",2,IF(E504="LO",6,10))+IF(T504=1,2,IF(D504=7,1,(IF(WEEKDAY(B504)=1,2,IF(WEEKDAY(B504)=7,1,0))))))</f>
        <v>1</v>
      </c>
    </row>
    <row r="505" spans="2:22">
      <c r="B505" s="318">
        <f t="shared" si="31"/>
        <v>46133</v>
      </c>
      <c r="C505" s="312">
        <v>21</v>
      </c>
      <c r="D505" s="368">
        <f>IFERROR((INDEX(METADATA!$T$2:$T$20,MATCH(B505,METADATA!$S$2:$S$20,0))),0)</f>
        <v>0</v>
      </c>
      <c r="E505" s="312" t="str">
        <f t="shared" si="28"/>
        <v>LO</v>
      </c>
      <c r="F505" s="369">
        <f>VLOOKUP(C505,METADATA!$A$5:$H$29,IF(E505="HI",2,IF(E505="LO",6,10))+IF(D505=1,2,IF(D505=7,1,(IF(WEEKDAY(B505)=1,2,IF(WEEKDAY(B505)=7,1,0))))))</f>
        <v>2</v>
      </c>
      <c r="G505" s="369">
        <f>VLOOKUP(C505,METADATA!$J$5:$Q$29,IF(E505="HI",2,IF(E505="LO",6,10))+IF(D505=1,2,IF(D505=7,1,(IF(WEEKDAY(B505)=1,2,IF(WEEKDAY(B505)=7,1,0))))))</f>
        <v>2</v>
      </c>
      <c r="H505" s="370">
        <v>13486.824768066406</v>
      </c>
      <c r="I505" s="370">
        <v>2924.5699710845947</v>
      </c>
      <c r="M505" s="371">
        <f t="shared" si="29"/>
        <v>13800.273614689646</v>
      </c>
      <c r="N505" s="329">
        <f t="shared" si="30"/>
        <v>0</v>
      </c>
      <c r="T505" s="331">
        <v>0</v>
      </c>
      <c r="U505" s="328">
        <f>VLOOKUP(C505,METADATA!$J$5:$Q$29,IF(E505="HI",2,IF(E505="LO",6,10))+IF(T505=1,2,IF(D505=7,1,(IF(WEEKDAY(B505)=1,2,IF(WEEKDAY(B505)=7,1,0))))))</f>
        <v>2</v>
      </c>
      <c r="V505" s="328">
        <f>VLOOKUP(C505,METADATA!$A$5:$H$29,IF(E505="HI",2,IF(E505="LO",6,10))+IF(T505=1,2,IF(D505=7,1,(IF(WEEKDAY(B505)=1,2,IF(WEEKDAY(B505)=7,1,0))))))</f>
        <v>2</v>
      </c>
    </row>
    <row r="506" spans="2:22">
      <c r="B506" s="318">
        <f t="shared" si="31"/>
        <v>46133</v>
      </c>
      <c r="C506" s="312">
        <v>22</v>
      </c>
      <c r="D506" s="368">
        <f>IFERROR((INDEX(METADATA!$T$2:$T$20,MATCH(B506,METADATA!$S$2:$S$20,0))),0)</f>
        <v>0</v>
      </c>
      <c r="E506" s="312" t="str">
        <f t="shared" si="28"/>
        <v>LO</v>
      </c>
      <c r="F506" s="369">
        <f>VLOOKUP(C506,METADATA!$A$5:$H$29,IF(E506="HI",2,IF(E506="LO",6,10))+IF(D506=1,2,IF(D506=7,1,(IF(WEEKDAY(B506)=1,2,IF(WEEKDAY(B506)=7,1,0))))))</f>
        <v>3</v>
      </c>
      <c r="G506" s="369">
        <f>VLOOKUP(C506,METADATA!$J$5:$Q$29,IF(E506="HI",2,IF(E506="LO",6,10))+IF(D506=1,2,IF(D506=7,1,(IF(WEEKDAY(B506)=1,2,IF(WEEKDAY(B506)=7,1,0))))))</f>
        <v>3</v>
      </c>
      <c r="H506" s="370">
        <v>13352.670166015625</v>
      </c>
      <c r="I506" s="370">
        <v>2854.2514266967773</v>
      </c>
      <c r="M506" s="371">
        <f t="shared" si="29"/>
        <v>13654.323555899953</v>
      </c>
      <c r="N506" s="329">
        <f t="shared" si="30"/>
        <v>0</v>
      </c>
      <c r="T506" s="331">
        <v>0</v>
      </c>
      <c r="U506" s="328">
        <f>VLOOKUP(C506,METADATA!$J$5:$Q$29,IF(E506="HI",2,IF(E506="LO",6,10))+IF(T506=1,2,IF(D506=7,1,(IF(WEEKDAY(B506)=1,2,IF(WEEKDAY(B506)=7,1,0))))))</f>
        <v>3</v>
      </c>
      <c r="V506" s="328">
        <f>VLOOKUP(C506,METADATA!$A$5:$H$29,IF(E506="HI",2,IF(E506="LO",6,10))+IF(T506=1,2,IF(D506=7,1,(IF(WEEKDAY(B506)=1,2,IF(WEEKDAY(B506)=7,1,0))))))</f>
        <v>3</v>
      </c>
    </row>
    <row r="507" spans="2:22">
      <c r="B507" s="318">
        <f t="shared" si="31"/>
        <v>46133</v>
      </c>
      <c r="C507" s="312">
        <v>23</v>
      </c>
      <c r="D507" s="368">
        <f>IFERROR((INDEX(METADATA!$T$2:$T$20,MATCH(B507,METADATA!$S$2:$S$20,0))),0)</f>
        <v>0</v>
      </c>
      <c r="E507" s="312" t="str">
        <f t="shared" si="28"/>
        <v>LO</v>
      </c>
      <c r="F507" s="369">
        <f>VLOOKUP(C507,METADATA!$A$5:$H$29,IF(E507="HI",2,IF(E507="LO",6,10))+IF(D507=1,2,IF(D507=7,1,(IF(WEEKDAY(B507)=1,2,IF(WEEKDAY(B507)=7,1,0))))))</f>
        <v>3</v>
      </c>
      <c r="G507" s="369">
        <f>VLOOKUP(C507,METADATA!$J$5:$Q$29,IF(E507="HI",2,IF(E507="LO",6,10))+IF(D507=1,2,IF(D507=7,1,(IF(WEEKDAY(B507)=1,2,IF(WEEKDAY(B507)=7,1,0))))))</f>
        <v>3</v>
      </c>
      <c r="H507" s="370">
        <v>13387.875183105469</v>
      </c>
      <c r="I507" s="370">
        <v>2954.1519355773926</v>
      </c>
      <c r="M507" s="371">
        <f t="shared" si="29"/>
        <v>13709.931275425379</v>
      </c>
      <c r="N507" s="329">
        <f t="shared" si="30"/>
        <v>0</v>
      </c>
      <c r="T507" s="331">
        <v>0</v>
      </c>
      <c r="U507" s="328">
        <f>VLOOKUP(C507,METADATA!$J$5:$Q$29,IF(E507="HI",2,IF(E507="LO",6,10))+IF(T507=1,2,IF(D507=7,1,(IF(WEEKDAY(B507)=1,2,IF(WEEKDAY(B507)=7,1,0))))))</f>
        <v>3</v>
      </c>
      <c r="V507" s="328">
        <f>VLOOKUP(C507,METADATA!$A$5:$H$29,IF(E507="HI",2,IF(E507="LO",6,10))+IF(T507=1,2,IF(D507=7,1,(IF(WEEKDAY(B507)=1,2,IF(WEEKDAY(B507)=7,1,0))))))</f>
        <v>3</v>
      </c>
    </row>
    <row r="508" spans="2:22">
      <c r="B508" s="318">
        <f t="shared" si="31"/>
        <v>46134</v>
      </c>
      <c r="C508" s="312">
        <v>0</v>
      </c>
      <c r="D508" s="368">
        <f>IFERROR((INDEX(METADATA!$T$2:$T$20,MATCH(B508,METADATA!$S$2:$S$20,0))),0)</f>
        <v>0</v>
      </c>
      <c r="E508" s="312" t="str">
        <f t="shared" si="28"/>
        <v>LO</v>
      </c>
      <c r="F508" s="369">
        <f>VLOOKUP(C508,METADATA!$A$5:$H$29,IF(E508="HI",2,IF(E508="LO",6,10))+IF(D508=1,2,IF(D508=7,1,(IF(WEEKDAY(B508)=1,2,IF(WEEKDAY(B508)=7,1,0))))))</f>
        <v>3</v>
      </c>
      <c r="G508" s="369">
        <f>VLOOKUP(C508,METADATA!$J$5:$Q$29,IF(E508="HI",2,IF(E508="LO",6,10))+IF(D508=1,2,IF(D508=7,1,(IF(WEEKDAY(B508)=1,2,IF(WEEKDAY(B508)=7,1,0))))))</f>
        <v>3</v>
      </c>
      <c r="H508" s="370">
        <v>13311.915283203125</v>
      </c>
      <c r="I508" s="370">
        <v>3086.912483215332</v>
      </c>
      <c r="M508" s="371">
        <f t="shared" si="29"/>
        <v>13665.142413681886</v>
      </c>
      <c r="N508" s="329">
        <f t="shared" si="30"/>
        <v>0</v>
      </c>
      <c r="T508" s="331">
        <v>0</v>
      </c>
      <c r="U508" s="328">
        <f>VLOOKUP(C508,METADATA!$J$5:$Q$29,IF(E508="HI",2,IF(E508="LO",6,10))+IF(T508=1,2,IF(D508=7,1,(IF(WEEKDAY(B508)=1,2,IF(WEEKDAY(B508)=7,1,0))))))</f>
        <v>3</v>
      </c>
      <c r="V508" s="328">
        <f>VLOOKUP(C508,METADATA!$A$5:$H$29,IF(E508="HI",2,IF(E508="LO",6,10))+IF(T508=1,2,IF(D508=7,1,(IF(WEEKDAY(B508)=1,2,IF(WEEKDAY(B508)=7,1,0))))))</f>
        <v>3</v>
      </c>
    </row>
    <row r="509" spans="2:22">
      <c r="B509" s="318">
        <f t="shared" si="31"/>
        <v>46134</v>
      </c>
      <c r="C509" s="312">
        <v>1</v>
      </c>
      <c r="D509" s="368">
        <f>IFERROR((INDEX(METADATA!$T$2:$T$20,MATCH(B509,METADATA!$S$2:$S$20,0))),0)</f>
        <v>0</v>
      </c>
      <c r="E509" s="312" t="str">
        <f t="shared" si="28"/>
        <v>LO</v>
      </c>
      <c r="F509" s="369">
        <f>VLOOKUP(C509,METADATA!$A$5:$H$29,IF(E509="HI",2,IF(E509="LO",6,10))+IF(D509=1,2,IF(D509=7,1,(IF(WEEKDAY(B509)=1,2,IF(WEEKDAY(B509)=7,1,0))))))</f>
        <v>3</v>
      </c>
      <c r="G509" s="369">
        <f>VLOOKUP(C509,METADATA!$J$5:$Q$29,IF(E509="HI",2,IF(E509="LO",6,10))+IF(D509=1,2,IF(D509=7,1,(IF(WEEKDAY(B509)=1,2,IF(WEEKDAY(B509)=7,1,0))))))</f>
        <v>3</v>
      </c>
      <c r="H509" s="370">
        <v>13228.559814453125</v>
      </c>
      <c r="I509" s="370">
        <v>3034.444450378418</v>
      </c>
      <c r="M509" s="371">
        <f t="shared" si="29"/>
        <v>13572.127610916295</v>
      </c>
      <c r="N509" s="329">
        <f t="shared" si="30"/>
        <v>0</v>
      </c>
      <c r="T509" s="331">
        <v>0</v>
      </c>
      <c r="U509" s="328">
        <f>VLOOKUP(C509,METADATA!$J$5:$Q$29,IF(E509="HI",2,IF(E509="LO",6,10))+IF(T509=1,2,IF(D509=7,1,(IF(WEEKDAY(B509)=1,2,IF(WEEKDAY(B509)=7,1,0))))))</f>
        <v>3</v>
      </c>
      <c r="V509" s="328">
        <f>VLOOKUP(C509,METADATA!$A$5:$H$29,IF(E509="HI",2,IF(E509="LO",6,10))+IF(T509=1,2,IF(D509=7,1,(IF(WEEKDAY(B509)=1,2,IF(WEEKDAY(B509)=7,1,0))))))</f>
        <v>3</v>
      </c>
    </row>
    <row r="510" spans="2:22">
      <c r="B510" s="318">
        <f t="shared" si="31"/>
        <v>46134</v>
      </c>
      <c r="C510" s="312">
        <v>2</v>
      </c>
      <c r="D510" s="368">
        <f>IFERROR((INDEX(METADATA!$T$2:$T$20,MATCH(B510,METADATA!$S$2:$S$20,0))),0)</f>
        <v>0</v>
      </c>
      <c r="E510" s="312" t="str">
        <f t="shared" si="28"/>
        <v>LO</v>
      </c>
      <c r="F510" s="369">
        <f>VLOOKUP(C510,METADATA!$A$5:$H$29,IF(E510="HI",2,IF(E510="LO",6,10))+IF(D510=1,2,IF(D510=7,1,(IF(WEEKDAY(B510)=1,2,IF(WEEKDAY(B510)=7,1,0))))))</f>
        <v>3</v>
      </c>
      <c r="G510" s="369">
        <f>VLOOKUP(C510,METADATA!$J$5:$Q$29,IF(E510="HI",2,IF(E510="LO",6,10))+IF(D510=1,2,IF(D510=7,1,(IF(WEEKDAY(B510)=1,2,IF(WEEKDAY(B510)=7,1,0))))))</f>
        <v>3</v>
      </c>
      <c r="H510" s="370">
        <v>13131.344970703125</v>
      </c>
      <c r="I510" s="370">
        <v>2811.7890701293945</v>
      </c>
      <c r="M510" s="371">
        <f t="shared" si="29"/>
        <v>13429.012566622661</v>
      </c>
      <c r="N510" s="329">
        <f t="shared" si="30"/>
        <v>0</v>
      </c>
      <c r="T510" s="331">
        <v>0</v>
      </c>
      <c r="U510" s="328">
        <f>VLOOKUP(C510,METADATA!$J$5:$Q$29,IF(E510="HI",2,IF(E510="LO",6,10))+IF(T510=1,2,IF(D510=7,1,(IF(WEEKDAY(B510)=1,2,IF(WEEKDAY(B510)=7,1,0))))))</f>
        <v>3</v>
      </c>
      <c r="V510" s="328">
        <f>VLOOKUP(C510,METADATA!$A$5:$H$29,IF(E510="HI",2,IF(E510="LO",6,10))+IF(T510=1,2,IF(D510=7,1,(IF(WEEKDAY(B510)=1,2,IF(WEEKDAY(B510)=7,1,0))))))</f>
        <v>3</v>
      </c>
    </row>
    <row r="511" spans="2:22">
      <c r="B511" s="318">
        <f t="shared" si="31"/>
        <v>46134</v>
      </c>
      <c r="C511" s="312">
        <v>3</v>
      </c>
      <c r="D511" s="368">
        <f>IFERROR((INDEX(METADATA!$T$2:$T$20,MATCH(B511,METADATA!$S$2:$S$20,0))),0)</f>
        <v>0</v>
      </c>
      <c r="E511" s="312" t="str">
        <f t="shared" si="28"/>
        <v>LO</v>
      </c>
      <c r="F511" s="369">
        <f>VLOOKUP(C511,METADATA!$A$5:$H$29,IF(E511="HI",2,IF(E511="LO",6,10))+IF(D511=1,2,IF(D511=7,1,(IF(WEEKDAY(B511)=1,2,IF(WEEKDAY(B511)=7,1,0))))))</f>
        <v>3</v>
      </c>
      <c r="G511" s="369">
        <f>VLOOKUP(C511,METADATA!$J$5:$Q$29,IF(E511="HI",2,IF(E511="LO",6,10))+IF(D511=1,2,IF(D511=7,1,(IF(WEEKDAY(B511)=1,2,IF(WEEKDAY(B511)=7,1,0))))))</f>
        <v>3</v>
      </c>
      <c r="H511" s="370">
        <v>13280.085510253906</v>
      </c>
      <c r="I511" s="370">
        <v>2842.0774536132813</v>
      </c>
      <c r="M511" s="371">
        <f t="shared" si="29"/>
        <v>13580.79804032122</v>
      </c>
      <c r="N511" s="329">
        <f t="shared" si="30"/>
        <v>0</v>
      </c>
      <c r="T511" s="331">
        <v>0</v>
      </c>
      <c r="U511" s="328">
        <f>VLOOKUP(C511,METADATA!$J$5:$Q$29,IF(E511="HI",2,IF(E511="LO",6,10))+IF(T511=1,2,IF(D511=7,1,(IF(WEEKDAY(B511)=1,2,IF(WEEKDAY(B511)=7,1,0))))))</f>
        <v>3</v>
      </c>
      <c r="V511" s="328">
        <f>VLOOKUP(C511,METADATA!$A$5:$H$29,IF(E511="HI",2,IF(E511="LO",6,10))+IF(T511=1,2,IF(D511=7,1,(IF(WEEKDAY(B511)=1,2,IF(WEEKDAY(B511)=7,1,0))))))</f>
        <v>3</v>
      </c>
    </row>
    <row r="512" spans="2:22">
      <c r="B512" s="318">
        <f t="shared" si="31"/>
        <v>46134</v>
      </c>
      <c r="C512" s="312">
        <v>4</v>
      </c>
      <c r="D512" s="368">
        <f>IFERROR((INDEX(METADATA!$T$2:$T$20,MATCH(B512,METADATA!$S$2:$S$20,0))),0)</f>
        <v>0</v>
      </c>
      <c r="E512" s="312" t="str">
        <f t="shared" si="28"/>
        <v>LO</v>
      </c>
      <c r="F512" s="369">
        <f>VLOOKUP(C512,METADATA!$A$5:$H$29,IF(E512="HI",2,IF(E512="LO",6,10))+IF(D512=1,2,IF(D512=7,1,(IF(WEEKDAY(B512)=1,2,IF(WEEKDAY(B512)=7,1,0))))))</f>
        <v>3</v>
      </c>
      <c r="G512" s="369">
        <f>VLOOKUP(C512,METADATA!$J$5:$Q$29,IF(E512="HI",2,IF(E512="LO",6,10))+IF(D512=1,2,IF(D512=7,1,(IF(WEEKDAY(B512)=1,2,IF(WEEKDAY(B512)=7,1,0))))))</f>
        <v>3</v>
      </c>
      <c r="H512" s="370">
        <v>13297.994873046875</v>
      </c>
      <c r="I512" s="370">
        <v>2820.4249744415283</v>
      </c>
      <c r="M512" s="371">
        <f t="shared" si="29"/>
        <v>13593.80243640588</v>
      </c>
      <c r="N512" s="329">
        <f t="shared" si="30"/>
        <v>0</v>
      </c>
      <c r="T512" s="331">
        <v>0</v>
      </c>
      <c r="U512" s="328">
        <f>VLOOKUP(C512,METADATA!$J$5:$Q$29,IF(E512="HI",2,IF(E512="LO",6,10))+IF(T512=1,2,IF(D512=7,1,(IF(WEEKDAY(B512)=1,2,IF(WEEKDAY(B512)=7,1,0))))))</f>
        <v>3</v>
      </c>
      <c r="V512" s="328">
        <f>VLOOKUP(C512,METADATA!$A$5:$H$29,IF(E512="HI",2,IF(E512="LO",6,10))+IF(T512=1,2,IF(D512=7,1,(IF(WEEKDAY(B512)=1,2,IF(WEEKDAY(B512)=7,1,0))))))</f>
        <v>3</v>
      </c>
    </row>
    <row r="513" spans="2:22">
      <c r="B513" s="318">
        <f t="shared" si="31"/>
        <v>46134</v>
      </c>
      <c r="C513" s="312">
        <v>5</v>
      </c>
      <c r="D513" s="368">
        <f>IFERROR((INDEX(METADATA!$T$2:$T$20,MATCH(B513,METADATA!$S$2:$S$20,0))),0)</f>
        <v>0</v>
      </c>
      <c r="E513" s="312" t="str">
        <f t="shared" si="28"/>
        <v>LO</v>
      </c>
      <c r="F513" s="369">
        <f>VLOOKUP(C513,METADATA!$A$5:$H$29,IF(E513="HI",2,IF(E513="LO",6,10))+IF(D513=1,2,IF(D513=7,1,(IF(WEEKDAY(B513)=1,2,IF(WEEKDAY(B513)=7,1,0))))))</f>
        <v>3</v>
      </c>
      <c r="G513" s="369">
        <f>VLOOKUP(C513,METADATA!$J$5:$Q$29,IF(E513="HI",2,IF(E513="LO",6,10))+IF(D513=1,2,IF(D513=7,1,(IF(WEEKDAY(B513)=1,2,IF(WEEKDAY(B513)=7,1,0))))))</f>
        <v>3</v>
      </c>
      <c r="H513" s="370">
        <v>13112.005126953125</v>
      </c>
      <c r="I513" s="370">
        <v>2735.0200223922729</v>
      </c>
      <c r="M513" s="371">
        <f t="shared" si="29"/>
        <v>13394.215653487578</v>
      </c>
      <c r="N513" s="329">
        <f t="shared" si="30"/>
        <v>0</v>
      </c>
      <c r="T513" s="331">
        <v>0</v>
      </c>
      <c r="U513" s="328">
        <f>VLOOKUP(C513,METADATA!$J$5:$Q$29,IF(E513="HI",2,IF(E513="LO",6,10))+IF(T513=1,2,IF(D513=7,1,(IF(WEEKDAY(B513)=1,2,IF(WEEKDAY(B513)=7,1,0))))))</f>
        <v>3</v>
      </c>
      <c r="V513" s="328">
        <f>VLOOKUP(C513,METADATA!$A$5:$H$29,IF(E513="HI",2,IF(E513="LO",6,10))+IF(T513=1,2,IF(D513=7,1,(IF(WEEKDAY(B513)=1,2,IF(WEEKDAY(B513)=7,1,0))))))</f>
        <v>3</v>
      </c>
    </row>
    <row r="514" spans="2:22">
      <c r="B514" s="318">
        <f t="shared" si="31"/>
        <v>46134</v>
      </c>
      <c r="C514" s="312">
        <v>6</v>
      </c>
      <c r="D514" s="368">
        <f>IFERROR((INDEX(METADATA!$T$2:$T$20,MATCH(B514,METADATA!$S$2:$S$20,0))),0)</f>
        <v>0</v>
      </c>
      <c r="E514" s="312" t="str">
        <f t="shared" si="28"/>
        <v>LO</v>
      </c>
      <c r="F514" s="369">
        <f>VLOOKUP(C514,METADATA!$A$5:$H$29,IF(E514="HI",2,IF(E514="LO",6,10))+IF(D514=1,2,IF(D514=7,1,(IF(WEEKDAY(B514)=1,2,IF(WEEKDAY(B514)=7,1,0))))))</f>
        <v>2</v>
      </c>
      <c r="G514" s="369">
        <f>VLOOKUP(C514,METADATA!$J$5:$Q$29,IF(E514="HI",2,IF(E514="LO",6,10))+IF(D514=1,2,IF(D514=7,1,(IF(WEEKDAY(B514)=1,2,IF(WEEKDAY(B514)=7,1,0))))))</f>
        <v>2</v>
      </c>
      <c r="H514" s="370">
        <v>13316.76025390625</v>
      </c>
      <c r="I514" s="370">
        <v>2738.397988319397</v>
      </c>
      <c r="M514" s="371">
        <f t="shared" si="29"/>
        <v>13595.400957766893</v>
      </c>
      <c r="N514" s="329">
        <f t="shared" si="30"/>
        <v>0</v>
      </c>
      <c r="T514" s="331">
        <v>0</v>
      </c>
      <c r="U514" s="328">
        <f>VLOOKUP(C514,METADATA!$J$5:$Q$29,IF(E514="HI",2,IF(E514="LO",6,10))+IF(T514=1,2,IF(D514=7,1,(IF(WEEKDAY(B514)=1,2,IF(WEEKDAY(B514)=7,1,0))))))</f>
        <v>2</v>
      </c>
      <c r="V514" s="328">
        <f>VLOOKUP(C514,METADATA!$A$5:$H$29,IF(E514="HI",2,IF(E514="LO",6,10))+IF(T514=1,2,IF(D514=7,1,(IF(WEEKDAY(B514)=1,2,IF(WEEKDAY(B514)=7,1,0))))))</f>
        <v>2</v>
      </c>
    </row>
    <row r="515" spans="2:22">
      <c r="B515" s="318">
        <f t="shared" si="31"/>
        <v>46134</v>
      </c>
      <c r="C515" s="312">
        <v>7</v>
      </c>
      <c r="D515" s="368">
        <f>IFERROR((INDEX(METADATA!$T$2:$T$20,MATCH(B515,METADATA!$S$2:$S$20,0))),0)</f>
        <v>0</v>
      </c>
      <c r="E515" s="312" t="str">
        <f t="shared" si="28"/>
        <v>LO</v>
      </c>
      <c r="F515" s="369">
        <f>VLOOKUP(C515,METADATA!$A$5:$H$29,IF(E515="HI",2,IF(E515="LO",6,10))+IF(D515=1,2,IF(D515=7,1,(IF(WEEKDAY(B515)=1,2,IF(WEEKDAY(B515)=7,1,0))))))</f>
        <v>1</v>
      </c>
      <c r="G515" s="369">
        <f>VLOOKUP(C515,METADATA!$J$5:$Q$29,IF(E515="HI",2,IF(E515="LO",6,10))+IF(D515=1,2,IF(D515=7,1,(IF(WEEKDAY(B515)=1,2,IF(WEEKDAY(B515)=7,1,0))))))</f>
        <v>1</v>
      </c>
      <c r="H515" s="370">
        <v>13265.899963378906</v>
      </c>
      <c r="I515" s="370">
        <v>2696.6750183105469</v>
      </c>
      <c r="M515" s="371">
        <f t="shared" si="29"/>
        <v>13537.213819422248</v>
      </c>
      <c r="N515" s="329">
        <f t="shared" si="30"/>
        <v>0</v>
      </c>
      <c r="T515" s="331">
        <v>0</v>
      </c>
      <c r="U515" s="328">
        <f>VLOOKUP(C515,METADATA!$J$5:$Q$29,IF(E515="HI",2,IF(E515="LO",6,10))+IF(T515=1,2,IF(D515=7,1,(IF(WEEKDAY(B515)=1,2,IF(WEEKDAY(B515)=7,1,0))))))</f>
        <v>1</v>
      </c>
      <c r="V515" s="328">
        <f>VLOOKUP(C515,METADATA!$A$5:$H$29,IF(E515="HI",2,IF(E515="LO",6,10))+IF(T515=1,2,IF(D515=7,1,(IF(WEEKDAY(B515)=1,2,IF(WEEKDAY(B515)=7,1,0))))))</f>
        <v>1</v>
      </c>
    </row>
    <row r="516" spans="2:22">
      <c r="B516" s="318">
        <f t="shared" si="31"/>
        <v>46134</v>
      </c>
      <c r="C516" s="312">
        <v>8</v>
      </c>
      <c r="D516" s="368">
        <f>IFERROR((INDEX(METADATA!$T$2:$T$20,MATCH(B516,METADATA!$S$2:$S$20,0))),0)</f>
        <v>0</v>
      </c>
      <c r="E516" s="312" t="str">
        <f t="shared" ref="E516:E579" si="32">IF(B516="","",IF(AND(MONTH(B516)&gt;=MONTH($Z$9),MONTH(B516)&lt;=MONTH($Z$11)),"HI","LO"))</f>
        <v>LO</v>
      </c>
      <c r="F516" s="369">
        <f>VLOOKUP(C516,METADATA!$A$5:$H$29,IF(E516="HI",2,IF(E516="LO",6,10))+IF(D516=1,2,IF(D516=7,1,(IF(WEEKDAY(B516)=1,2,IF(WEEKDAY(B516)=7,1,0))))))</f>
        <v>1</v>
      </c>
      <c r="G516" s="369">
        <f>VLOOKUP(C516,METADATA!$J$5:$Q$29,IF(E516="HI",2,IF(E516="LO",6,10))+IF(D516=1,2,IF(D516=7,1,(IF(WEEKDAY(B516)=1,2,IF(WEEKDAY(B516)=7,1,0))))))</f>
        <v>1</v>
      </c>
      <c r="H516" s="370">
        <v>13336.9248046875</v>
      </c>
      <c r="I516" s="370">
        <v>2670.1285037994385</v>
      </c>
      <c r="M516" s="371">
        <f t="shared" ref="M516:M579" si="33">SQRT(H516^2+I516^2)</f>
        <v>13601.586285161409</v>
      </c>
      <c r="N516" s="329">
        <f t="shared" ref="N516:N579" si="34">IF(H516=0,0,(IF(I516-(0.3*H516)&lt;0,0,(I516-(0.3*H516)))))</f>
        <v>0</v>
      </c>
      <c r="T516" s="331">
        <v>0</v>
      </c>
      <c r="U516" s="328">
        <f>VLOOKUP(C516,METADATA!$J$5:$Q$29,IF(E516="HI",2,IF(E516="LO",6,10))+IF(T516=1,2,IF(D516=7,1,(IF(WEEKDAY(B516)=1,2,IF(WEEKDAY(B516)=7,1,0))))))</f>
        <v>1</v>
      </c>
      <c r="V516" s="328">
        <f>VLOOKUP(C516,METADATA!$A$5:$H$29,IF(E516="HI",2,IF(E516="LO",6,10))+IF(T516=1,2,IF(D516=7,1,(IF(WEEKDAY(B516)=1,2,IF(WEEKDAY(B516)=7,1,0))))))</f>
        <v>1</v>
      </c>
    </row>
    <row r="517" spans="2:22">
      <c r="B517" s="318">
        <f t="shared" si="31"/>
        <v>46134</v>
      </c>
      <c r="C517" s="312">
        <v>9</v>
      </c>
      <c r="D517" s="368">
        <f>IFERROR((INDEX(METADATA!$T$2:$T$20,MATCH(B517,METADATA!$S$2:$S$20,0))),0)</f>
        <v>0</v>
      </c>
      <c r="E517" s="312" t="str">
        <f t="shared" si="32"/>
        <v>LO</v>
      </c>
      <c r="F517" s="369">
        <f>VLOOKUP(C517,METADATA!$A$5:$H$29,IF(E517="HI",2,IF(E517="LO",6,10))+IF(D517=1,2,IF(D517=7,1,(IF(WEEKDAY(B517)=1,2,IF(WEEKDAY(B517)=7,1,0))))))</f>
        <v>2</v>
      </c>
      <c r="G517" s="369">
        <f>VLOOKUP(C517,METADATA!$J$5:$Q$29,IF(E517="HI",2,IF(E517="LO",6,10))+IF(D517=1,2,IF(D517=7,1,(IF(WEEKDAY(B517)=1,2,IF(WEEKDAY(B517)=7,1,0))))))</f>
        <v>2</v>
      </c>
      <c r="H517" s="370">
        <v>13249.970153808594</v>
      </c>
      <c r="I517" s="370">
        <v>2570.9680318832397</v>
      </c>
      <c r="M517" s="371">
        <f t="shared" si="33"/>
        <v>13497.095454125829</v>
      </c>
      <c r="N517" s="329">
        <f t="shared" si="34"/>
        <v>0</v>
      </c>
      <c r="T517" s="331">
        <v>0</v>
      </c>
      <c r="U517" s="328">
        <f>VLOOKUP(C517,METADATA!$J$5:$Q$29,IF(E517="HI",2,IF(E517="LO",6,10))+IF(T517=1,2,IF(D517=7,1,(IF(WEEKDAY(B517)=1,2,IF(WEEKDAY(B517)=7,1,0))))))</f>
        <v>2</v>
      </c>
      <c r="V517" s="328">
        <f>VLOOKUP(C517,METADATA!$A$5:$H$29,IF(E517="HI",2,IF(E517="LO",6,10))+IF(T517=1,2,IF(D517=7,1,(IF(WEEKDAY(B517)=1,2,IF(WEEKDAY(B517)=7,1,0))))))</f>
        <v>2</v>
      </c>
    </row>
    <row r="518" spans="2:22">
      <c r="B518" s="318">
        <f t="shared" si="31"/>
        <v>46134</v>
      </c>
      <c r="C518" s="312">
        <v>10</v>
      </c>
      <c r="D518" s="368">
        <f>IFERROR((INDEX(METADATA!$T$2:$T$20,MATCH(B518,METADATA!$S$2:$S$20,0))),0)</f>
        <v>0</v>
      </c>
      <c r="E518" s="312" t="str">
        <f t="shared" si="32"/>
        <v>LO</v>
      </c>
      <c r="F518" s="369">
        <f>VLOOKUP(C518,METADATA!$A$5:$H$29,IF(E518="HI",2,IF(E518="LO",6,10))+IF(D518=1,2,IF(D518=7,1,(IF(WEEKDAY(B518)=1,2,IF(WEEKDAY(B518)=7,1,0))))))</f>
        <v>2</v>
      </c>
      <c r="G518" s="369">
        <f>VLOOKUP(C518,METADATA!$J$5:$Q$29,IF(E518="HI",2,IF(E518="LO",6,10))+IF(D518=1,2,IF(D518=7,1,(IF(WEEKDAY(B518)=1,2,IF(WEEKDAY(B518)=7,1,0))))))</f>
        <v>2</v>
      </c>
      <c r="H518" s="370">
        <v>10819.304870605469</v>
      </c>
      <c r="I518" s="370">
        <v>1547.7939715385437</v>
      </c>
      <c r="M518" s="371">
        <f t="shared" si="33"/>
        <v>10929.456713919419</v>
      </c>
      <c r="N518" s="329">
        <f t="shared" si="34"/>
        <v>0</v>
      </c>
      <c r="T518" s="331">
        <v>0</v>
      </c>
      <c r="U518" s="328">
        <f>VLOOKUP(C518,METADATA!$J$5:$Q$29,IF(E518="HI",2,IF(E518="LO",6,10))+IF(T518=1,2,IF(D518=7,1,(IF(WEEKDAY(B518)=1,2,IF(WEEKDAY(B518)=7,1,0))))))</f>
        <v>2</v>
      </c>
      <c r="V518" s="328">
        <f>VLOOKUP(C518,METADATA!$A$5:$H$29,IF(E518="HI",2,IF(E518="LO",6,10))+IF(T518=1,2,IF(D518=7,1,(IF(WEEKDAY(B518)=1,2,IF(WEEKDAY(B518)=7,1,0))))))</f>
        <v>2</v>
      </c>
    </row>
    <row r="519" spans="2:22">
      <c r="B519" s="318">
        <f t="shared" si="31"/>
        <v>46134</v>
      </c>
      <c r="C519" s="312">
        <v>11</v>
      </c>
      <c r="D519" s="368">
        <f>IFERROR((INDEX(METADATA!$T$2:$T$20,MATCH(B519,METADATA!$S$2:$S$20,0))),0)</f>
        <v>0</v>
      </c>
      <c r="E519" s="312" t="str">
        <f t="shared" si="32"/>
        <v>LO</v>
      </c>
      <c r="F519" s="369">
        <f>VLOOKUP(C519,METADATA!$A$5:$H$29,IF(E519="HI",2,IF(E519="LO",6,10))+IF(D519=1,2,IF(D519=7,1,(IF(WEEKDAY(B519)=1,2,IF(WEEKDAY(B519)=7,1,0))))))</f>
        <v>2</v>
      </c>
      <c r="G519" s="369">
        <f>VLOOKUP(C519,METADATA!$J$5:$Q$29,IF(E519="HI",2,IF(E519="LO",6,10))+IF(D519=1,2,IF(D519=7,1,(IF(WEEKDAY(B519)=1,2,IF(WEEKDAY(B519)=7,1,0))))))</f>
        <v>2</v>
      </c>
      <c r="H519" s="370">
        <v>6739.0024719238281</v>
      </c>
      <c r="I519" s="370">
        <v>126.00149686436635</v>
      </c>
      <c r="M519" s="371">
        <f t="shared" si="33"/>
        <v>6740.1803161197049</v>
      </c>
      <c r="N519" s="329">
        <f t="shared" si="34"/>
        <v>0</v>
      </c>
      <c r="T519" s="331">
        <v>0</v>
      </c>
      <c r="U519" s="328">
        <f>VLOOKUP(C519,METADATA!$J$5:$Q$29,IF(E519="HI",2,IF(E519="LO",6,10))+IF(T519=1,2,IF(D519=7,1,(IF(WEEKDAY(B519)=1,2,IF(WEEKDAY(B519)=7,1,0))))))</f>
        <v>2</v>
      </c>
      <c r="V519" s="328">
        <f>VLOOKUP(C519,METADATA!$A$5:$H$29,IF(E519="HI",2,IF(E519="LO",6,10))+IF(T519=1,2,IF(D519=7,1,(IF(WEEKDAY(B519)=1,2,IF(WEEKDAY(B519)=7,1,0))))))</f>
        <v>2</v>
      </c>
    </row>
    <row r="520" spans="2:22">
      <c r="B520" s="318">
        <f t="shared" si="31"/>
        <v>46134</v>
      </c>
      <c r="C520" s="312">
        <v>12</v>
      </c>
      <c r="D520" s="368">
        <f>IFERROR((INDEX(METADATA!$T$2:$T$20,MATCH(B520,METADATA!$S$2:$S$20,0))),0)</f>
        <v>0</v>
      </c>
      <c r="E520" s="312" t="str">
        <f t="shared" si="32"/>
        <v>LO</v>
      </c>
      <c r="F520" s="369">
        <f>VLOOKUP(C520,METADATA!$A$5:$H$29,IF(E520="HI",2,IF(E520="LO",6,10))+IF(D520=1,2,IF(D520=7,1,(IF(WEEKDAY(B520)=1,2,IF(WEEKDAY(B520)=7,1,0))))))</f>
        <v>2</v>
      </c>
      <c r="G520" s="369">
        <f>VLOOKUP(C520,METADATA!$J$5:$Q$29,IF(E520="HI",2,IF(E520="LO",6,10))+IF(D520=1,2,IF(D520=7,1,(IF(WEEKDAY(B520)=1,2,IF(WEEKDAY(B520)=7,1,0))))))</f>
        <v>2</v>
      </c>
      <c r="H520" s="370">
        <v>7714.1426696777344</v>
      </c>
      <c r="I520" s="370">
        <v>618.239990234375</v>
      </c>
      <c r="M520" s="371">
        <f t="shared" si="33"/>
        <v>7738.8770382832499</v>
      </c>
      <c r="N520" s="329">
        <f t="shared" si="34"/>
        <v>0</v>
      </c>
      <c r="T520" s="331">
        <v>0</v>
      </c>
      <c r="U520" s="328">
        <f>VLOOKUP(C520,METADATA!$J$5:$Q$29,IF(E520="HI",2,IF(E520="LO",6,10))+IF(T520=1,2,IF(D520=7,1,(IF(WEEKDAY(B520)=1,2,IF(WEEKDAY(B520)=7,1,0))))))</f>
        <v>2</v>
      </c>
      <c r="V520" s="328">
        <f>VLOOKUP(C520,METADATA!$A$5:$H$29,IF(E520="HI",2,IF(E520="LO",6,10))+IF(T520=1,2,IF(D520=7,1,(IF(WEEKDAY(B520)=1,2,IF(WEEKDAY(B520)=7,1,0))))))</f>
        <v>2</v>
      </c>
    </row>
    <row r="521" spans="2:22">
      <c r="B521" s="318">
        <f t="shared" si="31"/>
        <v>46134</v>
      </c>
      <c r="C521" s="312">
        <v>13</v>
      </c>
      <c r="D521" s="368">
        <f>IFERROR((INDEX(METADATA!$T$2:$T$20,MATCH(B521,METADATA!$S$2:$S$20,0))),0)</f>
        <v>0</v>
      </c>
      <c r="E521" s="312" t="str">
        <f t="shared" si="32"/>
        <v>LO</v>
      </c>
      <c r="F521" s="369">
        <f>VLOOKUP(C521,METADATA!$A$5:$H$29,IF(E521="HI",2,IF(E521="LO",6,10))+IF(D521=1,2,IF(D521=7,1,(IF(WEEKDAY(B521)=1,2,IF(WEEKDAY(B521)=7,1,0))))))</f>
        <v>2</v>
      </c>
      <c r="G521" s="369">
        <f>VLOOKUP(C521,METADATA!$J$5:$Q$29,IF(E521="HI",2,IF(E521="LO",6,10))+IF(D521=1,2,IF(D521=7,1,(IF(WEEKDAY(B521)=1,2,IF(WEEKDAY(B521)=7,1,0))))))</f>
        <v>2</v>
      </c>
      <c r="H521" s="370">
        <v>9589.1448364257813</v>
      </c>
      <c r="I521" s="370">
        <v>1303.0800018310547</v>
      </c>
      <c r="M521" s="371">
        <f t="shared" si="33"/>
        <v>9677.2783459567418</v>
      </c>
      <c r="N521" s="329">
        <f t="shared" si="34"/>
        <v>0</v>
      </c>
      <c r="T521" s="331">
        <v>0</v>
      </c>
      <c r="U521" s="328">
        <f>VLOOKUP(C521,METADATA!$J$5:$Q$29,IF(E521="HI",2,IF(E521="LO",6,10))+IF(T521=1,2,IF(D521=7,1,(IF(WEEKDAY(B521)=1,2,IF(WEEKDAY(B521)=7,1,0))))))</f>
        <v>2</v>
      </c>
      <c r="V521" s="328">
        <f>VLOOKUP(C521,METADATA!$A$5:$H$29,IF(E521="HI",2,IF(E521="LO",6,10))+IF(T521=1,2,IF(D521=7,1,(IF(WEEKDAY(B521)=1,2,IF(WEEKDAY(B521)=7,1,0))))))</f>
        <v>2</v>
      </c>
    </row>
    <row r="522" spans="2:22">
      <c r="B522" s="318">
        <f t="shared" si="31"/>
        <v>46134</v>
      </c>
      <c r="C522" s="312">
        <v>14</v>
      </c>
      <c r="D522" s="368">
        <f>IFERROR((INDEX(METADATA!$T$2:$T$20,MATCH(B522,METADATA!$S$2:$S$20,0))),0)</f>
        <v>0</v>
      </c>
      <c r="E522" s="312" t="str">
        <f t="shared" si="32"/>
        <v>LO</v>
      </c>
      <c r="F522" s="369">
        <f>VLOOKUP(C522,METADATA!$A$5:$H$29,IF(E522="HI",2,IF(E522="LO",6,10))+IF(D522=1,2,IF(D522=7,1,(IF(WEEKDAY(B522)=1,2,IF(WEEKDAY(B522)=7,1,0))))))</f>
        <v>2</v>
      </c>
      <c r="G522" s="369">
        <f>VLOOKUP(C522,METADATA!$J$5:$Q$29,IF(E522="HI",2,IF(E522="LO",6,10))+IF(D522=1,2,IF(D522=7,1,(IF(WEEKDAY(B522)=1,2,IF(WEEKDAY(B522)=7,1,0))))))</f>
        <v>2</v>
      </c>
      <c r="H522" s="370">
        <v>7331.764892578125</v>
      </c>
      <c r="I522" s="370">
        <v>285.11800253391266</v>
      </c>
      <c r="M522" s="371">
        <f t="shared" si="33"/>
        <v>7337.3066390474678</v>
      </c>
      <c r="N522" s="329">
        <f t="shared" si="34"/>
        <v>0</v>
      </c>
      <c r="T522" s="331">
        <v>0</v>
      </c>
      <c r="U522" s="328">
        <f>VLOOKUP(C522,METADATA!$J$5:$Q$29,IF(E522="HI",2,IF(E522="LO",6,10))+IF(T522=1,2,IF(D522=7,1,(IF(WEEKDAY(B522)=1,2,IF(WEEKDAY(B522)=7,1,0))))))</f>
        <v>2</v>
      </c>
      <c r="V522" s="328">
        <f>VLOOKUP(C522,METADATA!$A$5:$H$29,IF(E522="HI",2,IF(E522="LO",6,10))+IF(T522=1,2,IF(D522=7,1,(IF(WEEKDAY(B522)=1,2,IF(WEEKDAY(B522)=7,1,0))))))</f>
        <v>2</v>
      </c>
    </row>
    <row r="523" spans="2:22">
      <c r="B523" s="318">
        <f t="shared" si="31"/>
        <v>46134</v>
      </c>
      <c r="C523" s="312">
        <v>15</v>
      </c>
      <c r="D523" s="368">
        <f>IFERROR((INDEX(METADATA!$T$2:$T$20,MATCH(B523,METADATA!$S$2:$S$20,0))),0)</f>
        <v>0</v>
      </c>
      <c r="E523" s="312" t="str">
        <f t="shared" si="32"/>
        <v>LO</v>
      </c>
      <c r="F523" s="369">
        <f>VLOOKUP(C523,METADATA!$A$5:$H$29,IF(E523="HI",2,IF(E523="LO",6,10))+IF(D523=1,2,IF(D523=7,1,(IF(WEEKDAY(B523)=1,2,IF(WEEKDAY(B523)=7,1,0))))))</f>
        <v>2</v>
      </c>
      <c r="G523" s="369">
        <f>VLOOKUP(C523,METADATA!$J$5:$Q$29,IF(E523="HI",2,IF(E523="LO",6,10))+IF(D523=1,2,IF(D523=7,1,(IF(WEEKDAY(B523)=1,2,IF(WEEKDAY(B523)=7,1,0))))))</f>
        <v>2</v>
      </c>
      <c r="H523" s="370">
        <v>10157.899841308594</v>
      </c>
      <c r="I523" s="370">
        <v>1289.3750381469727</v>
      </c>
      <c r="M523" s="371">
        <f t="shared" si="33"/>
        <v>10239.405118221159</v>
      </c>
      <c r="N523" s="329">
        <f t="shared" si="34"/>
        <v>0</v>
      </c>
      <c r="T523" s="331">
        <v>0</v>
      </c>
      <c r="U523" s="328">
        <f>VLOOKUP(C523,METADATA!$J$5:$Q$29,IF(E523="HI",2,IF(E523="LO",6,10))+IF(T523=1,2,IF(D523=7,1,(IF(WEEKDAY(B523)=1,2,IF(WEEKDAY(B523)=7,1,0))))))</f>
        <v>2</v>
      </c>
      <c r="V523" s="328">
        <f>VLOOKUP(C523,METADATA!$A$5:$H$29,IF(E523="HI",2,IF(E523="LO",6,10))+IF(T523=1,2,IF(D523=7,1,(IF(WEEKDAY(B523)=1,2,IF(WEEKDAY(B523)=7,1,0))))))</f>
        <v>2</v>
      </c>
    </row>
    <row r="524" spans="2:22">
      <c r="B524" s="318">
        <f t="shared" si="31"/>
        <v>46134</v>
      </c>
      <c r="C524" s="312">
        <v>16</v>
      </c>
      <c r="D524" s="368">
        <f>IFERROR((INDEX(METADATA!$T$2:$T$20,MATCH(B524,METADATA!$S$2:$S$20,0))),0)</f>
        <v>0</v>
      </c>
      <c r="E524" s="312" t="str">
        <f t="shared" si="32"/>
        <v>LO</v>
      </c>
      <c r="F524" s="369">
        <f>VLOOKUP(C524,METADATA!$A$5:$H$29,IF(E524="HI",2,IF(E524="LO",6,10))+IF(D524=1,2,IF(D524=7,1,(IF(WEEKDAY(B524)=1,2,IF(WEEKDAY(B524)=7,1,0))))))</f>
        <v>2</v>
      </c>
      <c r="G524" s="369">
        <f>VLOOKUP(C524,METADATA!$J$5:$Q$29,IF(E524="HI",2,IF(E524="LO",6,10))+IF(D524=1,2,IF(D524=7,1,(IF(WEEKDAY(B524)=1,2,IF(WEEKDAY(B524)=7,1,0))))))</f>
        <v>2</v>
      </c>
      <c r="H524" s="370">
        <v>13420.67529296875</v>
      </c>
      <c r="I524" s="370">
        <v>2801.1900081634521</v>
      </c>
      <c r="M524" s="371">
        <f t="shared" si="33"/>
        <v>13709.893901162643</v>
      </c>
      <c r="N524" s="329">
        <f t="shared" si="34"/>
        <v>0</v>
      </c>
      <c r="T524" s="331">
        <v>0</v>
      </c>
      <c r="U524" s="328">
        <f>VLOOKUP(C524,METADATA!$J$5:$Q$29,IF(E524="HI",2,IF(E524="LO",6,10))+IF(T524=1,2,IF(D524=7,1,(IF(WEEKDAY(B524)=1,2,IF(WEEKDAY(B524)=7,1,0))))))</f>
        <v>2</v>
      </c>
      <c r="V524" s="328">
        <f>VLOOKUP(C524,METADATA!$A$5:$H$29,IF(E524="HI",2,IF(E524="LO",6,10))+IF(T524=1,2,IF(D524=7,1,(IF(WEEKDAY(B524)=1,2,IF(WEEKDAY(B524)=7,1,0))))))</f>
        <v>2</v>
      </c>
    </row>
    <row r="525" spans="2:22">
      <c r="B525" s="318">
        <f t="shared" si="31"/>
        <v>46134</v>
      </c>
      <c r="C525" s="312">
        <v>17</v>
      </c>
      <c r="D525" s="368">
        <f>IFERROR((INDEX(METADATA!$T$2:$T$20,MATCH(B525,METADATA!$S$2:$S$20,0))),0)</f>
        <v>0</v>
      </c>
      <c r="E525" s="312" t="str">
        <f t="shared" si="32"/>
        <v>LO</v>
      </c>
      <c r="F525" s="369">
        <f>VLOOKUP(C525,METADATA!$A$5:$H$29,IF(E525="HI",2,IF(E525="LO",6,10))+IF(D525=1,2,IF(D525=7,1,(IF(WEEKDAY(B525)=1,2,IF(WEEKDAY(B525)=7,1,0))))))</f>
        <v>2</v>
      </c>
      <c r="G525" s="369">
        <f>VLOOKUP(C525,METADATA!$J$5:$Q$29,IF(E525="HI",2,IF(E525="LO",6,10))+IF(D525=1,2,IF(D525=7,1,(IF(WEEKDAY(B525)=1,2,IF(WEEKDAY(B525)=7,1,0))))))</f>
        <v>2</v>
      </c>
      <c r="H525" s="370">
        <v>13333.684875488281</v>
      </c>
      <c r="I525" s="370">
        <v>2745.1581058502197</v>
      </c>
      <c r="M525" s="371">
        <f t="shared" si="33"/>
        <v>13613.340713613985</v>
      </c>
      <c r="N525" s="329">
        <f t="shared" si="34"/>
        <v>0</v>
      </c>
      <c r="T525" s="331">
        <v>0</v>
      </c>
      <c r="U525" s="328">
        <f>VLOOKUP(C525,METADATA!$J$5:$Q$29,IF(E525="HI",2,IF(E525="LO",6,10))+IF(T525=1,2,IF(D525=7,1,(IF(WEEKDAY(B525)=1,2,IF(WEEKDAY(B525)=7,1,0))))))</f>
        <v>2</v>
      </c>
      <c r="V525" s="328">
        <f>VLOOKUP(C525,METADATA!$A$5:$H$29,IF(E525="HI",2,IF(E525="LO",6,10))+IF(T525=1,2,IF(D525=7,1,(IF(WEEKDAY(B525)=1,2,IF(WEEKDAY(B525)=7,1,0))))))</f>
        <v>2</v>
      </c>
    </row>
    <row r="526" spans="2:22">
      <c r="B526" s="318">
        <f t="shared" si="31"/>
        <v>46134</v>
      </c>
      <c r="C526" s="312">
        <v>18</v>
      </c>
      <c r="D526" s="368">
        <f>IFERROR((INDEX(METADATA!$T$2:$T$20,MATCH(B526,METADATA!$S$2:$S$20,0))),0)</f>
        <v>0</v>
      </c>
      <c r="E526" s="312" t="str">
        <f t="shared" si="32"/>
        <v>LO</v>
      </c>
      <c r="F526" s="369">
        <f>VLOOKUP(C526,METADATA!$A$5:$H$29,IF(E526="HI",2,IF(E526="LO",6,10))+IF(D526=1,2,IF(D526=7,1,(IF(WEEKDAY(B526)=1,2,IF(WEEKDAY(B526)=7,1,0))))))</f>
        <v>1</v>
      </c>
      <c r="G526" s="369">
        <f>VLOOKUP(C526,METADATA!$J$5:$Q$29,IF(E526="HI",2,IF(E526="LO",6,10))+IF(D526=1,2,IF(D526=7,1,(IF(WEEKDAY(B526)=1,2,IF(WEEKDAY(B526)=7,1,0))))))</f>
        <v>1</v>
      </c>
      <c r="H526" s="370">
        <v>13336.025207519531</v>
      </c>
      <c r="I526" s="370">
        <v>2731.379919052124</v>
      </c>
      <c r="M526" s="371">
        <f t="shared" si="33"/>
        <v>13612.861734323078</v>
      </c>
      <c r="N526" s="329">
        <f t="shared" si="34"/>
        <v>0</v>
      </c>
      <c r="T526" s="331">
        <v>0</v>
      </c>
      <c r="U526" s="328">
        <f>VLOOKUP(C526,METADATA!$J$5:$Q$29,IF(E526="HI",2,IF(E526="LO",6,10))+IF(T526=1,2,IF(D526=7,1,(IF(WEEKDAY(B526)=1,2,IF(WEEKDAY(B526)=7,1,0))))))</f>
        <v>1</v>
      </c>
      <c r="V526" s="328">
        <f>VLOOKUP(C526,METADATA!$A$5:$H$29,IF(E526="HI",2,IF(E526="LO",6,10))+IF(T526=1,2,IF(D526=7,1,(IF(WEEKDAY(B526)=1,2,IF(WEEKDAY(B526)=7,1,0))))))</f>
        <v>1</v>
      </c>
    </row>
    <row r="527" spans="2:22">
      <c r="B527" s="318">
        <f t="shared" si="31"/>
        <v>46134</v>
      </c>
      <c r="C527" s="312">
        <v>19</v>
      </c>
      <c r="D527" s="368">
        <f>IFERROR((INDEX(METADATA!$T$2:$T$20,MATCH(B527,METADATA!$S$2:$S$20,0))),0)</f>
        <v>0</v>
      </c>
      <c r="E527" s="312" t="str">
        <f t="shared" si="32"/>
        <v>LO</v>
      </c>
      <c r="F527" s="369">
        <f>VLOOKUP(C527,METADATA!$A$5:$H$29,IF(E527="HI",2,IF(E527="LO",6,10))+IF(D527=1,2,IF(D527=7,1,(IF(WEEKDAY(B527)=1,2,IF(WEEKDAY(B527)=7,1,0))))))</f>
        <v>1</v>
      </c>
      <c r="G527" s="369">
        <f>VLOOKUP(C527,METADATA!$J$5:$Q$29,IF(E527="HI",2,IF(E527="LO",6,10))+IF(D527=1,2,IF(D527=7,1,(IF(WEEKDAY(B527)=1,2,IF(WEEKDAY(B527)=7,1,0))))))</f>
        <v>1</v>
      </c>
      <c r="H527" s="370">
        <v>13535.165344238281</v>
      </c>
      <c r="I527" s="370">
        <v>2888.8239612579346</v>
      </c>
      <c r="M527" s="371">
        <f t="shared" si="33"/>
        <v>13840.014623366804</v>
      </c>
      <c r="N527" s="329">
        <f t="shared" si="34"/>
        <v>0</v>
      </c>
      <c r="T527" s="331">
        <v>0</v>
      </c>
      <c r="U527" s="328">
        <f>VLOOKUP(C527,METADATA!$J$5:$Q$29,IF(E527="HI",2,IF(E527="LO",6,10))+IF(T527=1,2,IF(D527=7,1,(IF(WEEKDAY(B527)=1,2,IF(WEEKDAY(B527)=7,1,0))))))</f>
        <v>1</v>
      </c>
      <c r="V527" s="328">
        <f>VLOOKUP(C527,METADATA!$A$5:$H$29,IF(E527="HI",2,IF(E527="LO",6,10))+IF(T527=1,2,IF(D527=7,1,(IF(WEEKDAY(B527)=1,2,IF(WEEKDAY(B527)=7,1,0))))))</f>
        <v>1</v>
      </c>
    </row>
    <row r="528" spans="2:22">
      <c r="B528" s="318">
        <f t="shared" si="31"/>
        <v>46134</v>
      </c>
      <c r="C528" s="312">
        <v>20</v>
      </c>
      <c r="D528" s="368">
        <f>IFERROR((INDEX(METADATA!$T$2:$T$20,MATCH(B528,METADATA!$S$2:$S$20,0))),0)</f>
        <v>0</v>
      </c>
      <c r="E528" s="312" t="str">
        <f t="shared" si="32"/>
        <v>LO</v>
      </c>
      <c r="F528" s="369">
        <f>VLOOKUP(C528,METADATA!$A$5:$H$29,IF(E528="HI",2,IF(E528="LO",6,10))+IF(D528=1,2,IF(D528=7,1,(IF(WEEKDAY(B528)=1,2,IF(WEEKDAY(B528)=7,1,0))))))</f>
        <v>1</v>
      </c>
      <c r="G528" s="369">
        <f>VLOOKUP(C528,METADATA!$J$5:$Q$29,IF(E528="HI",2,IF(E528="LO",6,10))+IF(D528=1,2,IF(D528=7,1,(IF(WEEKDAY(B528)=1,2,IF(WEEKDAY(B528)=7,1,0))))))</f>
        <v>1</v>
      </c>
      <c r="H528" s="370">
        <v>13524.540283203125</v>
      </c>
      <c r="I528" s="370">
        <v>2855.2030467987061</v>
      </c>
      <c r="M528" s="371">
        <f t="shared" si="33"/>
        <v>13822.63991828018</v>
      </c>
      <c r="N528" s="329">
        <f t="shared" si="34"/>
        <v>0</v>
      </c>
      <c r="T528" s="331">
        <v>0</v>
      </c>
      <c r="U528" s="328">
        <f>VLOOKUP(C528,METADATA!$J$5:$Q$29,IF(E528="HI",2,IF(E528="LO",6,10))+IF(T528=1,2,IF(D528=7,1,(IF(WEEKDAY(B528)=1,2,IF(WEEKDAY(B528)=7,1,0))))))</f>
        <v>1</v>
      </c>
      <c r="V528" s="328">
        <f>VLOOKUP(C528,METADATA!$A$5:$H$29,IF(E528="HI",2,IF(E528="LO",6,10))+IF(T528=1,2,IF(D528=7,1,(IF(WEEKDAY(B528)=1,2,IF(WEEKDAY(B528)=7,1,0))))))</f>
        <v>1</v>
      </c>
    </row>
    <row r="529" spans="2:22">
      <c r="B529" s="318">
        <f t="shared" si="31"/>
        <v>46134</v>
      </c>
      <c r="C529" s="312">
        <v>21</v>
      </c>
      <c r="D529" s="368">
        <f>IFERROR((INDEX(METADATA!$T$2:$T$20,MATCH(B529,METADATA!$S$2:$S$20,0))),0)</f>
        <v>0</v>
      </c>
      <c r="E529" s="312" t="str">
        <f t="shared" si="32"/>
        <v>LO</v>
      </c>
      <c r="F529" s="369">
        <f>VLOOKUP(C529,METADATA!$A$5:$H$29,IF(E529="HI",2,IF(E529="LO",6,10))+IF(D529=1,2,IF(D529=7,1,(IF(WEEKDAY(B529)=1,2,IF(WEEKDAY(B529)=7,1,0))))))</f>
        <v>2</v>
      </c>
      <c r="G529" s="369">
        <f>VLOOKUP(C529,METADATA!$J$5:$Q$29,IF(E529="HI",2,IF(E529="LO",6,10))+IF(D529=1,2,IF(D529=7,1,(IF(WEEKDAY(B529)=1,2,IF(WEEKDAY(B529)=7,1,0))))))</f>
        <v>2</v>
      </c>
      <c r="H529" s="370">
        <v>13513.874877929688</v>
      </c>
      <c r="I529" s="370">
        <v>2826.9659328460693</v>
      </c>
      <c r="M529" s="371">
        <f t="shared" si="33"/>
        <v>13806.395279065833</v>
      </c>
      <c r="N529" s="329">
        <f t="shared" si="34"/>
        <v>0</v>
      </c>
      <c r="T529" s="331">
        <v>0</v>
      </c>
      <c r="U529" s="328">
        <f>VLOOKUP(C529,METADATA!$J$5:$Q$29,IF(E529="HI",2,IF(E529="LO",6,10))+IF(T529=1,2,IF(D529=7,1,(IF(WEEKDAY(B529)=1,2,IF(WEEKDAY(B529)=7,1,0))))))</f>
        <v>2</v>
      </c>
      <c r="V529" s="328">
        <f>VLOOKUP(C529,METADATA!$A$5:$H$29,IF(E529="HI",2,IF(E529="LO",6,10))+IF(T529=1,2,IF(D529=7,1,(IF(WEEKDAY(B529)=1,2,IF(WEEKDAY(B529)=7,1,0))))))</f>
        <v>2</v>
      </c>
    </row>
    <row r="530" spans="2:22">
      <c r="B530" s="318">
        <f t="shared" si="31"/>
        <v>46134</v>
      </c>
      <c r="C530" s="312">
        <v>22</v>
      </c>
      <c r="D530" s="368">
        <f>IFERROR((INDEX(METADATA!$T$2:$T$20,MATCH(B530,METADATA!$S$2:$S$20,0))),0)</f>
        <v>0</v>
      </c>
      <c r="E530" s="312" t="str">
        <f t="shared" si="32"/>
        <v>LO</v>
      </c>
      <c r="F530" s="369">
        <f>VLOOKUP(C530,METADATA!$A$5:$H$29,IF(E530="HI",2,IF(E530="LO",6,10))+IF(D530=1,2,IF(D530=7,1,(IF(WEEKDAY(B530)=1,2,IF(WEEKDAY(B530)=7,1,0))))))</f>
        <v>3</v>
      </c>
      <c r="G530" s="369">
        <f>VLOOKUP(C530,METADATA!$J$5:$Q$29,IF(E530="HI",2,IF(E530="LO",6,10))+IF(D530=1,2,IF(D530=7,1,(IF(WEEKDAY(B530)=1,2,IF(WEEKDAY(B530)=7,1,0))))))</f>
        <v>3</v>
      </c>
      <c r="H530" s="370">
        <v>13575.984619140625</v>
      </c>
      <c r="I530" s="370">
        <v>2967.35546875</v>
      </c>
      <c r="M530" s="371">
        <f t="shared" si="33"/>
        <v>13896.494408917069</v>
      </c>
      <c r="N530" s="329">
        <f t="shared" si="34"/>
        <v>0</v>
      </c>
      <c r="T530" s="331">
        <v>0</v>
      </c>
      <c r="U530" s="328">
        <f>VLOOKUP(C530,METADATA!$J$5:$Q$29,IF(E530="HI",2,IF(E530="LO",6,10))+IF(T530=1,2,IF(D530=7,1,(IF(WEEKDAY(B530)=1,2,IF(WEEKDAY(B530)=7,1,0))))))</f>
        <v>3</v>
      </c>
      <c r="V530" s="328">
        <f>VLOOKUP(C530,METADATA!$A$5:$H$29,IF(E530="HI",2,IF(E530="LO",6,10))+IF(T530=1,2,IF(D530=7,1,(IF(WEEKDAY(B530)=1,2,IF(WEEKDAY(B530)=7,1,0))))))</f>
        <v>3</v>
      </c>
    </row>
    <row r="531" spans="2:22">
      <c r="B531" s="318">
        <f t="shared" si="31"/>
        <v>46134</v>
      </c>
      <c r="C531" s="312">
        <v>23</v>
      </c>
      <c r="D531" s="368">
        <f>IFERROR((INDEX(METADATA!$T$2:$T$20,MATCH(B531,METADATA!$S$2:$S$20,0))),0)</f>
        <v>0</v>
      </c>
      <c r="E531" s="312" t="str">
        <f t="shared" si="32"/>
        <v>LO</v>
      </c>
      <c r="F531" s="369">
        <f>VLOOKUP(C531,METADATA!$A$5:$H$29,IF(E531="HI",2,IF(E531="LO",6,10))+IF(D531=1,2,IF(D531=7,1,(IF(WEEKDAY(B531)=1,2,IF(WEEKDAY(B531)=7,1,0))))))</f>
        <v>3</v>
      </c>
      <c r="G531" s="369">
        <f>VLOOKUP(C531,METADATA!$J$5:$Q$29,IF(E531="HI",2,IF(E531="LO",6,10))+IF(D531=1,2,IF(D531=7,1,(IF(WEEKDAY(B531)=1,2,IF(WEEKDAY(B531)=7,1,0))))))</f>
        <v>3</v>
      </c>
      <c r="H531" s="370">
        <v>13611.239807128906</v>
      </c>
      <c r="I531" s="370">
        <v>3068.7735061645508</v>
      </c>
      <c r="M531" s="371">
        <f t="shared" si="33"/>
        <v>13952.892887115131</v>
      </c>
      <c r="N531" s="329">
        <f t="shared" si="34"/>
        <v>0</v>
      </c>
      <c r="T531" s="331">
        <v>0</v>
      </c>
      <c r="U531" s="328">
        <f>VLOOKUP(C531,METADATA!$J$5:$Q$29,IF(E531="HI",2,IF(E531="LO",6,10))+IF(T531=1,2,IF(D531=7,1,(IF(WEEKDAY(B531)=1,2,IF(WEEKDAY(B531)=7,1,0))))))</f>
        <v>3</v>
      </c>
      <c r="V531" s="328">
        <f>VLOOKUP(C531,METADATA!$A$5:$H$29,IF(E531="HI",2,IF(E531="LO",6,10))+IF(T531=1,2,IF(D531=7,1,(IF(WEEKDAY(B531)=1,2,IF(WEEKDAY(B531)=7,1,0))))))</f>
        <v>3</v>
      </c>
    </row>
    <row r="532" spans="2:22">
      <c r="B532" s="318">
        <f t="shared" si="31"/>
        <v>46135</v>
      </c>
      <c r="C532" s="312">
        <v>0</v>
      </c>
      <c r="D532" s="368">
        <f>IFERROR((INDEX(METADATA!$T$2:$T$20,MATCH(B532,METADATA!$S$2:$S$20,0))),0)</f>
        <v>0</v>
      </c>
      <c r="E532" s="312" t="str">
        <f t="shared" si="32"/>
        <v>LO</v>
      </c>
      <c r="F532" s="369">
        <f>VLOOKUP(C532,METADATA!$A$5:$H$29,IF(E532="HI",2,IF(E532="LO",6,10))+IF(D532=1,2,IF(D532=7,1,(IF(WEEKDAY(B532)=1,2,IF(WEEKDAY(B532)=7,1,0))))))</f>
        <v>3</v>
      </c>
      <c r="G532" s="369">
        <f>VLOOKUP(C532,METADATA!$J$5:$Q$29,IF(E532="HI",2,IF(E532="LO",6,10))+IF(D532=1,2,IF(D532=7,1,(IF(WEEKDAY(B532)=1,2,IF(WEEKDAY(B532)=7,1,0))))))</f>
        <v>3</v>
      </c>
      <c r="H532" s="370">
        <v>13485.369873046875</v>
      </c>
      <c r="I532" s="370">
        <v>2919.0559711456299</v>
      </c>
      <c r="M532" s="371">
        <f t="shared" si="33"/>
        <v>13797.684167118816</v>
      </c>
      <c r="N532" s="329">
        <f t="shared" si="34"/>
        <v>0</v>
      </c>
      <c r="T532" s="331">
        <v>0</v>
      </c>
      <c r="U532" s="328">
        <f>VLOOKUP(C532,METADATA!$J$5:$Q$29,IF(E532="HI",2,IF(E532="LO",6,10))+IF(T532=1,2,IF(D532=7,1,(IF(WEEKDAY(B532)=1,2,IF(WEEKDAY(B532)=7,1,0))))))</f>
        <v>3</v>
      </c>
      <c r="V532" s="328">
        <f>VLOOKUP(C532,METADATA!$A$5:$H$29,IF(E532="HI",2,IF(E532="LO",6,10))+IF(T532=1,2,IF(D532=7,1,(IF(WEEKDAY(B532)=1,2,IF(WEEKDAY(B532)=7,1,0))))))</f>
        <v>3</v>
      </c>
    </row>
    <row r="533" spans="2:22">
      <c r="B533" s="318">
        <f t="shared" si="31"/>
        <v>46135</v>
      </c>
      <c r="C533" s="312">
        <v>1</v>
      </c>
      <c r="D533" s="368">
        <f>IFERROR((INDEX(METADATA!$T$2:$T$20,MATCH(B533,METADATA!$S$2:$S$20,0))),0)</f>
        <v>0</v>
      </c>
      <c r="E533" s="312" t="str">
        <f t="shared" si="32"/>
        <v>LO</v>
      </c>
      <c r="F533" s="369">
        <f>VLOOKUP(C533,METADATA!$A$5:$H$29,IF(E533="HI",2,IF(E533="LO",6,10))+IF(D533=1,2,IF(D533=7,1,(IF(WEEKDAY(B533)=1,2,IF(WEEKDAY(B533)=7,1,0))))))</f>
        <v>3</v>
      </c>
      <c r="G533" s="369">
        <f>VLOOKUP(C533,METADATA!$J$5:$Q$29,IF(E533="HI",2,IF(E533="LO",6,10))+IF(D533=1,2,IF(D533=7,1,(IF(WEEKDAY(B533)=1,2,IF(WEEKDAY(B533)=7,1,0))))))</f>
        <v>3</v>
      </c>
      <c r="H533" s="370">
        <v>13455.035217285156</v>
      </c>
      <c r="I533" s="370">
        <v>2874.6204681396484</v>
      </c>
      <c r="M533" s="371">
        <f t="shared" si="33"/>
        <v>13758.685094667702</v>
      </c>
      <c r="N533" s="329">
        <f t="shared" si="34"/>
        <v>0</v>
      </c>
      <c r="T533" s="331">
        <v>0</v>
      </c>
      <c r="U533" s="328">
        <f>VLOOKUP(C533,METADATA!$J$5:$Q$29,IF(E533="HI",2,IF(E533="LO",6,10))+IF(T533=1,2,IF(D533=7,1,(IF(WEEKDAY(B533)=1,2,IF(WEEKDAY(B533)=7,1,0))))))</f>
        <v>3</v>
      </c>
      <c r="V533" s="328">
        <f>VLOOKUP(C533,METADATA!$A$5:$H$29,IF(E533="HI",2,IF(E533="LO",6,10))+IF(T533=1,2,IF(D533=7,1,(IF(WEEKDAY(B533)=1,2,IF(WEEKDAY(B533)=7,1,0))))))</f>
        <v>3</v>
      </c>
    </row>
    <row r="534" spans="2:22">
      <c r="B534" s="318">
        <f t="shared" si="31"/>
        <v>46135</v>
      </c>
      <c r="C534" s="312">
        <v>2</v>
      </c>
      <c r="D534" s="368">
        <f>IFERROR((INDEX(METADATA!$T$2:$T$20,MATCH(B534,METADATA!$S$2:$S$20,0))),0)</f>
        <v>0</v>
      </c>
      <c r="E534" s="312" t="str">
        <f t="shared" si="32"/>
        <v>LO</v>
      </c>
      <c r="F534" s="369">
        <f>VLOOKUP(C534,METADATA!$A$5:$H$29,IF(E534="HI",2,IF(E534="LO",6,10))+IF(D534=1,2,IF(D534=7,1,(IF(WEEKDAY(B534)=1,2,IF(WEEKDAY(B534)=7,1,0))))))</f>
        <v>3</v>
      </c>
      <c r="G534" s="369">
        <f>VLOOKUP(C534,METADATA!$J$5:$Q$29,IF(E534="HI",2,IF(E534="LO",6,10))+IF(D534=1,2,IF(D534=7,1,(IF(WEEKDAY(B534)=1,2,IF(WEEKDAY(B534)=7,1,0))))))</f>
        <v>3</v>
      </c>
      <c r="H534" s="370">
        <v>13420.279907226563</v>
      </c>
      <c r="I534" s="370">
        <v>3047.6055097579956</v>
      </c>
      <c r="M534" s="371">
        <f t="shared" si="33"/>
        <v>13761.969776576907</v>
      </c>
      <c r="N534" s="329">
        <f t="shared" si="34"/>
        <v>0</v>
      </c>
      <c r="T534" s="331">
        <v>0</v>
      </c>
      <c r="U534" s="328">
        <f>VLOOKUP(C534,METADATA!$J$5:$Q$29,IF(E534="HI",2,IF(E534="LO",6,10))+IF(T534=1,2,IF(D534=7,1,(IF(WEEKDAY(B534)=1,2,IF(WEEKDAY(B534)=7,1,0))))))</f>
        <v>3</v>
      </c>
      <c r="V534" s="328">
        <f>VLOOKUP(C534,METADATA!$A$5:$H$29,IF(E534="HI",2,IF(E534="LO",6,10))+IF(T534=1,2,IF(D534=7,1,(IF(WEEKDAY(B534)=1,2,IF(WEEKDAY(B534)=7,1,0))))))</f>
        <v>3</v>
      </c>
    </row>
    <row r="535" spans="2:22">
      <c r="B535" s="318">
        <f t="shared" si="31"/>
        <v>46135</v>
      </c>
      <c r="C535" s="312">
        <v>3</v>
      </c>
      <c r="D535" s="368">
        <f>IFERROR((INDEX(METADATA!$T$2:$T$20,MATCH(B535,METADATA!$S$2:$S$20,0))),0)</f>
        <v>0</v>
      </c>
      <c r="E535" s="312" t="str">
        <f t="shared" si="32"/>
        <v>LO</v>
      </c>
      <c r="F535" s="369">
        <f>VLOOKUP(C535,METADATA!$A$5:$H$29,IF(E535="HI",2,IF(E535="LO",6,10))+IF(D535=1,2,IF(D535=7,1,(IF(WEEKDAY(B535)=1,2,IF(WEEKDAY(B535)=7,1,0))))))</f>
        <v>3</v>
      </c>
      <c r="G535" s="369">
        <f>VLOOKUP(C535,METADATA!$J$5:$Q$29,IF(E535="HI",2,IF(E535="LO",6,10))+IF(D535=1,2,IF(D535=7,1,(IF(WEEKDAY(B535)=1,2,IF(WEEKDAY(B535)=7,1,0))))))</f>
        <v>3</v>
      </c>
      <c r="H535" s="370">
        <v>13602.022216796875</v>
      </c>
      <c r="I535" s="370">
        <v>3080.3800210952759</v>
      </c>
      <c r="M535" s="371">
        <f t="shared" si="33"/>
        <v>13946.46010500868</v>
      </c>
      <c r="N535" s="329">
        <f t="shared" si="34"/>
        <v>0</v>
      </c>
      <c r="T535" s="331">
        <v>0</v>
      </c>
      <c r="U535" s="328">
        <f>VLOOKUP(C535,METADATA!$J$5:$Q$29,IF(E535="HI",2,IF(E535="LO",6,10))+IF(T535=1,2,IF(D535=7,1,(IF(WEEKDAY(B535)=1,2,IF(WEEKDAY(B535)=7,1,0))))))</f>
        <v>3</v>
      </c>
      <c r="V535" s="328">
        <f>VLOOKUP(C535,METADATA!$A$5:$H$29,IF(E535="HI",2,IF(E535="LO",6,10))+IF(T535=1,2,IF(D535=7,1,(IF(WEEKDAY(B535)=1,2,IF(WEEKDAY(B535)=7,1,0))))))</f>
        <v>3</v>
      </c>
    </row>
    <row r="536" spans="2:22">
      <c r="B536" s="318">
        <f t="shared" si="31"/>
        <v>46135</v>
      </c>
      <c r="C536" s="312">
        <v>4</v>
      </c>
      <c r="D536" s="368">
        <f>IFERROR((INDEX(METADATA!$T$2:$T$20,MATCH(B536,METADATA!$S$2:$S$20,0))),0)</f>
        <v>0</v>
      </c>
      <c r="E536" s="312" t="str">
        <f t="shared" si="32"/>
        <v>LO</v>
      </c>
      <c r="F536" s="369">
        <f>VLOOKUP(C536,METADATA!$A$5:$H$29,IF(E536="HI",2,IF(E536="LO",6,10))+IF(D536=1,2,IF(D536=7,1,(IF(WEEKDAY(B536)=1,2,IF(WEEKDAY(B536)=7,1,0))))))</f>
        <v>3</v>
      </c>
      <c r="G536" s="369">
        <f>VLOOKUP(C536,METADATA!$J$5:$Q$29,IF(E536="HI",2,IF(E536="LO",6,10))+IF(D536=1,2,IF(D536=7,1,(IF(WEEKDAY(B536)=1,2,IF(WEEKDAY(B536)=7,1,0))))))</f>
        <v>3</v>
      </c>
      <c r="H536" s="370">
        <v>13520.015075683594</v>
      </c>
      <c r="I536" s="370">
        <v>3002.6845233440399</v>
      </c>
      <c r="M536" s="371">
        <f t="shared" si="33"/>
        <v>13849.437605673433</v>
      </c>
      <c r="N536" s="329">
        <f t="shared" si="34"/>
        <v>0</v>
      </c>
      <c r="T536" s="331">
        <v>0</v>
      </c>
      <c r="U536" s="328">
        <f>VLOOKUP(C536,METADATA!$J$5:$Q$29,IF(E536="HI",2,IF(E536="LO",6,10))+IF(T536=1,2,IF(D536=7,1,(IF(WEEKDAY(B536)=1,2,IF(WEEKDAY(B536)=7,1,0))))))</f>
        <v>3</v>
      </c>
      <c r="V536" s="328">
        <f>VLOOKUP(C536,METADATA!$A$5:$H$29,IF(E536="HI",2,IF(E536="LO",6,10))+IF(T536=1,2,IF(D536=7,1,(IF(WEEKDAY(B536)=1,2,IF(WEEKDAY(B536)=7,1,0))))))</f>
        <v>3</v>
      </c>
    </row>
    <row r="537" spans="2:22">
      <c r="B537" s="318">
        <f t="shared" si="31"/>
        <v>46135</v>
      </c>
      <c r="C537" s="312">
        <v>5</v>
      </c>
      <c r="D537" s="368">
        <f>IFERROR((INDEX(METADATA!$T$2:$T$20,MATCH(B537,METADATA!$S$2:$S$20,0))),0)</f>
        <v>0</v>
      </c>
      <c r="E537" s="312" t="str">
        <f t="shared" si="32"/>
        <v>LO</v>
      </c>
      <c r="F537" s="369">
        <f>VLOOKUP(C537,METADATA!$A$5:$H$29,IF(E537="HI",2,IF(E537="LO",6,10))+IF(D537=1,2,IF(D537=7,1,(IF(WEEKDAY(B537)=1,2,IF(WEEKDAY(B537)=7,1,0))))))</f>
        <v>3</v>
      </c>
      <c r="G537" s="369">
        <f>VLOOKUP(C537,METADATA!$J$5:$Q$29,IF(E537="HI",2,IF(E537="LO",6,10))+IF(D537=1,2,IF(D537=7,1,(IF(WEEKDAY(B537)=1,2,IF(WEEKDAY(B537)=7,1,0))))))</f>
        <v>3</v>
      </c>
      <c r="H537" s="370">
        <v>13598.244750976563</v>
      </c>
      <c r="I537" s="370">
        <v>2888.234023809433</v>
      </c>
      <c r="M537" s="371">
        <f t="shared" si="33"/>
        <v>13901.588257596757</v>
      </c>
      <c r="N537" s="329">
        <f t="shared" si="34"/>
        <v>0</v>
      </c>
      <c r="T537" s="331">
        <v>0</v>
      </c>
      <c r="U537" s="328">
        <f>VLOOKUP(C537,METADATA!$J$5:$Q$29,IF(E537="HI",2,IF(E537="LO",6,10))+IF(T537=1,2,IF(D537=7,1,(IF(WEEKDAY(B537)=1,2,IF(WEEKDAY(B537)=7,1,0))))))</f>
        <v>3</v>
      </c>
      <c r="V537" s="328">
        <f>VLOOKUP(C537,METADATA!$A$5:$H$29,IF(E537="HI",2,IF(E537="LO",6,10))+IF(T537=1,2,IF(D537=7,1,(IF(WEEKDAY(B537)=1,2,IF(WEEKDAY(B537)=7,1,0))))))</f>
        <v>3</v>
      </c>
    </row>
    <row r="538" spans="2:22">
      <c r="B538" s="318">
        <f t="shared" si="31"/>
        <v>46135</v>
      </c>
      <c r="C538" s="312">
        <v>6</v>
      </c>
      <c r="D538" s="368">
        <f>IFERROR((INDEX(METADATA!$T$2:$T$20,MATCH(B538,METADATA!$S$2:$S$20,0))),0)</f>
        <v>0</v>
      </c>
      <c r="E538" s="312" t="str">
        <f t="shared" si="32"/>
        <v>LO</v>
      </c>
      <c r="F538" s="369">
        <f>VLOOKUP(C538,METADATA!$A$5:$H$29,IF(E538="HI",2,IF(E538="LO",6,10))+IF(D538=1,2,IF(D538=7,1,(IF(WEEKDAY(B538)=1,2,IF(WEEKDAY(B538)=7,1,0))))))</f>
        <v>2</v>
      </c>
      <c r="G538" s="369">
        <f>VLOOKUP(C538,METADATA!$J$5:$Q$29,IF(E538="HI",2,IF(E538="LO",6,10))+IF(D538=1,2,IF(D538=7,1,(IF(WEEKDAY(B538)=1,2,IF(WEEKDAY(B538)=7,1,0))))))</f>
        <v>2</v>
      </c>
      <c r="H538" s="370">
        <v>13502.900207519531</v>
      </c>
      <c r="I538" s="370">
        <v>2821.4560489654541</v>
      </c>
      <c r="M538" s="371">
        <f t="shared" si="33"/>
        <v>13794.525299932389</v>
      </c>
      <c r="N538" s="329">
        <f t="shared" si="34"/>
        <v>0</v>
      </c>
      <c r="T538" s="331">
        <v>0</v>
      </c>
      <c r="U538" s="328">
        <f>VLOOKUP(C538,METADATA!$J$5:$Q$29,IF(E538="HI",2,IF(E538="LO",6,10))+IF(T538=1,2,IF(D538=7,1,(IF(WEEKDAY(B538)=1,2,IF(WEEKDAY(B538)=7,1,0))))))</f>
        <v>2</v>
      </c>
      <c r="V538" s="328">
        <f>VLOOKUP(C538,METADATA!$A$5:$H$29,IF(E538="HI",2,IF(E538="LO",6,10))+IF(T538=1,2,IF(D538=7,1,(IF(WEEKDAY(B538)=1,2,IF(WEEKDAY(B538)=7,1,0))))))</f>
        <v>2</v>
      </c>
    </row>
    <row r="539" spans="2:22">
      <c r="B539" s="318">
        <f t="shared" si="31"/>
        <v>46135</v>
      </c>
      <c r="C539" s="312">
        <v>7</v>
      </c>
      <c r="D539" s="368">
        <f>IFERROR((INDEX(METADATA!$T$2:$T$20,MATCH(B539,METADATA!$S$2:$S$20,0))),0)</f>
        <v>0</v>
      </c>
      <c r="E539" s="312" t="str">
        <f t="shared" si="32"/>
        <v>LO</v>
      </c>
      <c r="F539" s="369">
        <f>VLOOKUP(C539,METADATA!$A$5:$H$29,IF(E539="HI",2,IF(E539="LO",6,10))+IF(D539=1,2,IF(D539=7,1,(IF(WEEKDAY(B539)=1,2,IF(WEEKDAY(B539)=7,1,0))))))</f>
        <v>1</v>
      </c>
      <c r="G539" s="369">
        <f>VLOOKUP(C539,METADATA!$J$5:$Q$29,IF(E539="HI",2,IF(E539="LO",6,10))+IF(D539=1,2,IF(D539=7,1,(IF(WEEKDAY(B539)=1,2,IF(WEEKDAY(B539)=7,1,0))))))</f>
        <v>1</v>
      </c>
      <c r="H539" s="370">
        <v>13580.249938964844</v>
      </c>
      <c r="I539" s="370">
        <v>2852.6019477844238</v>
      </c>
      <c r="M539" s="371">
        <f t="shared" si="33"/>
        <v>13876.617969709267</v>
      </c>
      <c r="N539" s="329">
        <f t="shared" si="34"/>
        <v>0</v>
      </c>
      <c r="T539" s="331">
        <v>0</v>
      </c>
      <c r="U539" s="328">
        <f>VLOOKUP(C539,METADATA!$J$5:$Q$29,IF(E539="HI",2,IF(E539="LO",6,10))+IF(T539=1,2,IF(D539=7,1,(IF(WEEKDAY(B539)=1,2,IF(WEEKDAY(B539)=7,1,0))))))</f>
        <v>1</v>
      </c>
      <c r="V539" s="328">
        <f>VLOOKUP(C539,METADATA!$A$5:$H$29,IF(E539="HI",2,IF(E539="LO",6,10))+IF(T539=1,2,IF(D539=7,1,(IF(WEEKDAY(B539)=1,2,IF(WEEKDAY(B539)=7,1,0))))))</f>
        <v>1</v>
      </c>
    </row>
    <row r="540" spans="2:22">
      <c r="B540" s="318">
        <f t="shared" ref="B540:B603" si="35">B516+1</f>
        <v>46135</v>
      </c>
      <c r="C540" s="312">
        <v>8</v>
      </c>
      <c r="D540" s="368">
        <f>IFERROR((INDEX(METADATA!$T$2:$T$20,MATCH(B540,METADATA!$S$2:$S$20,0))),0)</f>
        <v>0</v>
      </c>
      <c r="E540" s="312" t="str">
        <f t="shared" si="32"/>
        <v>LO</v>
      </c>
      <c r="F540" s="369">
        <f>VLOOKUP(C540,METADATA!$A$5:$H$29,IF(E540="HI",2,IF(E540="LO",6,10))+IF(D540=1,2,IF(D540=7,1,(IF(WEEKDAY(B540)=1,2,IF(WEEKDAY(B540)=7,1,0))))))</f>
        <v>1</v>
      </c>
      <c r="G540" s="369">
        <f>VLOOKUP(C540,METADATA!$J$5:$Q$29,IF(E540="HI",2,IF(E540="LO",6,10))+IF(D540=1,2,IF(D540=7,1,(IF(WEEKDAY(B540)=1,2,IF(WEEKDAY(B540)=7,1,0))))))</f>
        <v>1</v>
      </c>
      <c r="H540" s="370">
        <v>13616.290161132813</v>
      </c>
      <c r="I540" s="370">
        <v>2987.8030281066895</v>
      </c>
      <c r="M540" s="371">
        <f t="shared" si="33"/>
        <v>13940.241199022552</v>
      </c>
      <c r="N540" s="329">
        <f t="shared" si="34"/>
        <v>0</v>
      </c>
      <c r="T540" s="331">
        <v>0</v>
      </c>
      <c r="U540" s="328">
        <f>VLOOKUP(C540,METADATA!$J$5:$Q$29,IF(E540="HI",2,IF(E540="LO",6,10))+IF(T540=1,2,IF(D540=7,1,(IF(WEEKDAY(B540)=1,2,IF(WEEKDAY(B540)=7,1,0))))))</f>
        <v>1</v>
      </c>
      <c r="V540" s="328">
        <f>VLOOKUP(C540,METADATA!$A$5:$H$29,IF(E540="HI",2,IF(E540="LO",6,10))+IF(T540=1,2,IF(D540=7,1,(IF(WEEKDAY(B540)=1,2,IF(WEEKDAY(B540)=7,1,0))))))</f>
        <v>1</v>
      </c>
    </row>
    <row r="541" spans="2:22">
      <c r="B541" s="318">
        <f t="shared" si="35"/>
        <v>46135</v>
      </c>
      <c r="C541" s="312">
        <v>9</v>
      </c>
      <c r="D541" s="368">
        <f>IFERROR((INDEX(METADATA!$T$2:$T$20,MATCH(B541,METADATA!$S$2:$S$20,0))),0)</f>
        <v>0</v>
      </c>
      <c r="E541" s="312" t="str">
        <f t="shared" si="32"/>
        <v>LO</v>
      </c>
      <c r="F541" s="369">
        <f>VLOOKUP(C541,METADATA!$A$5:$H$29,IF(E541="HI",2,IF(E541="LO",6,10))+IF(D541=1,2,IF(D541=7,1,(IF(WEEKDAY(B541)=1,2,IF(WEEKDAY(B541)=7,1,0))))))</f>
        <v>2</v>
      </c>
      <c r="G541" s="369">
        <f>VLOOKUP(C541,METADATA!$J$5:$Q$29,IF(E541="HI",2,IF(E541="LO",6,10))+IF(D541=1,2,IF(D541=7,1,(IF(WEEKDAY(B541)=1,2,IF(WEEKDAY(B541)=7,1,0))))))</f>
        <v>2</v>
      </c>
      <c r="H541" s="370">
        <v>13473.899963378906</v>
      </c>
      <c r="I541" s="370">
        <v>2786.4039287567139</v>
      </c>
      <c r="M541" s="371">
        <f t="shared" si="33"/>
        <v>13758.998040458213</v>
      </c>
      <c r="N541" s="329">
        <f t="shared" si="34"/>
        <v>0</v>
      </c>
      <c r="T541" s="331">
        <v>0</v>
      </c>
      <c r="U541" s="328">
        <f>VLOOKUP(C541,METADATA!$J$5:$Q$29,IF(E541="HI",2,IF(E541="LO",6,10))+IF(T541=1,2,IF(D541=7,1,(IF(WEEKDAY(B541)=1,2,IF(WEEKDAY(B541)=7,1,0))))))</f>
        <v>2</v>
      </c>
      <c r="V541" s="328">
        <f>VLOOKUP(C541,METADATA!$A$5:$H$29,IF(E541="HI",2,IF(E541="LO",6,10))+IF(T541=1,2,IF(D541=7,1,(IF(WEEKDAY(B541)=1,2,IF(WEEKDAY(B541)=7,1,0))))))</f>
        <v>2</v>
      </c>
    </row>
    <row r="542" spans="2:22">
      <c r="B542" s="318">
        <f t="shared" si="35"/>
        <v>46135</v>
      </c>
      <c r="C542" s="312">
        <v>10</v>
      </c>
      <c r="D542" s="368">
        <f>IFERROR((INDEX(METADATA!$T$2:$T$20,MATCH(B542,METADATA!$S$2:$S$20,0))),0)</f>
        <v>0</v>
      </c>
      <c r="E542" s="312" t="str">
        <f t="shared" si="32"/>
        <v>LO</v>
      </c>
      <c r="F542" s="369">
        <f>VLOOKUP(C542,METADATA!$A$5:$H$29,IF(E542="HI",2,IF(E542="LO",6,10))+IF(D542=1,2,IF(D542=7,1,(IF(WEEKDAY(B542)=1,2,IF(WEEKDAY(B542)=7,1,0))))))</f>
        <v>2</v>
      </c>
      <c r="G542" s="369">
        <f>VLOOKUP(C542,METADATA!$J$5:$Q$29,IF(E542="HI",2,IF(E542="LO",6,10))+IF(D542=1,2,IF(D542=7,1,(IF(WEEKDAY(B542)=1,2,IF(WEEKDAY(B542)=7,1,0))))))</f>
        <v>2</v>
      </c>
      <c r="H542" s="370">
        <v>13453.774536132813</v>
      </c>
      <c r="I542" s="370">
        <v>2666.5094566345215</v>
      </c>
      <c r="M542" s="371">
        <f t="shared" si="33"/>
        <v>13715.477459841382</v>
      </c>
      <c r="N542" s="329">
        <f t="shared" si="34"/>
        <v>0</v>
      </c>
      <c r="T542" s="331">
        <v>0</v>
      </c>
      <c r="U542" s="328">
        <f>VLOOKUP(C542,METADATA!$J$5:$Q$29,IF(E542="HI",2,IF(E542="LO",6,10))+IF(T542=1,2,IF(D542=7,1,(IF(WEEKDAY(B542)=1,2,IF(WEEKDAY(B542)=7,1,0))))))</f>
        <v>2</v>
      </c>
      <c r="V542" s="328">
        <f>VLOOKUP(C542,METADATA!$A$5:$H$29,IF(E542="HI",2,IF(E542="LO",6,10))+IF(T542=1,2,IF(D542=7,1,(IF(WEEKDAY(B542)=1,2,IF(WEEKDAY(B542)=7,1,0))))))</f>
        <v>2</v>
      </c>
    </row>
    <row r="543" spans="2:22">
      <c r="B543" s="318">
        <f t="shared" si="35"/>
        <v>46135</v>
      </c>
      <c r="C543" s="312">
        <v>11</v>
      </c>
      <c r="D543" s="368">
        <f>IFERROR((INDEX(METADATA!$T$2:$T$20,MATCH(B543,METADATA!$S$2:$S$20,0))),0)</f>
        <v>0</v>
      </c>
      <c r="E543" s="312" t="str">
        <f t="shared" si="32"/>
        <v>LO</v>
      </c>
      <c r="F543" s="369">
        <f>VLOOKUP(C543,METADATA!$A$5:$H$29,IF(E543="HI",2,IF(E543="LO",6,10))+IF(D543=1,2,IF(D543=7,1,(IF(WEEKDAY(B543)=1,2,IF(WEEKDAY(B543)=7,1,0))))))</f>
        <v>2</v>
      </c>
      <c r="G543" s="369">
        <f>VLOOKUP(C543,METADATA!$J$5:$Q$29,IF(E543="HI",2,IF(E543="LO",6,10))+IF(D543=1,2,IF(D543=7,1,(IF(WEEKDAY(B543)=1,2,IF(WEEKDAY(B543)=7,1,0))))))</f>
        <v>2</v>
      </c>
      <c r="H543" s="370">
        <v>13458.955322265625</v>
      </c>
      <c r="I543" s="370">
        <v>2743.7395095825195</v>
      </c>
      <c r="M543" s="371">
        <f t="shared" si="33"/>
        <v>13735.777548547674</v>
      </c>
      <c r="N543" s="329">
        <f t="shared" si="34"/>
        <v>0</v>
      </c>
      <c r="T543" s="331">
        <v>0</v>
      </c>
      <c r="U543" s="328">
        <f>VLOOKUP(C543,METADATA!$J$5:$Q$29,IF(E543="HI",2,IF(E543="LO",6,10))+IF(T543=1,2,IF(D543=7,1,(IF(WEEKDAY(B543)=1,2,IF(WEEKDAY(B543)=7,1,0))))))</f>
        <v>2</v>
      </c>
      <c r="V543" s="328">
        <f>VLOOKUP(C543,METADATA!$A$5:$H$29,IF(E543="HI",2,IF(E543="LO",6,10))+IF(T543=1,2,IF(D543=7,1,(IF(WEEKDAY(B543)=1,2,IF(WEEKDAY(B543)=7,1,0))))))</f>
        <v>2</v>
      </c>
    </row>
    <row r="544" spans="2:22">
      <c r="B544" s="318">
        <f t="shared" si="35"/>
        <v>46135</v>
      </c>
      <c r="C544" s="312">
        <v>12</v>
      </c>
      <c r="D544" s="368">
        <f>IFERROR((INDEX(METADATA!$T$2:$T$20,MATCH(B544,METADATA!$S$2:$S$20,0))),0)</f>
        <v>0</v>
      </c>
      <c r="E544" s="312" t="str">
        <f t="shared" si="32"/>
        <v>LO</v>
      </c>
      <c r="F544" s="369">
        <f>VLOOKUP(C544,METADATA!$A$5:$H$29,IF(E544="HI",2,IF(E544="LO",6,10))+IF(D544=1,2,IF(D544=7,1,(IF(WEEKDAY(B544)=1,2,IF(WEEKDAY(B544)=7,1,0))))))</f>
        <v>2</v>
      </c>
      <c r="G544" s="369">
        <f>VLOOKUP(C544,METADATA!$J$5:$Q$29,IF(E544="HI",2,IF(E544="LO",6,10))+IF(D544=1,2,IF(D544=7,1,(IF(WEEKDAY(B544)=1,2,IF(WEEKDAY(B544)=7,1,0))))))</f>
        <v>2</v>
      </c>
      <c r="H544" s="370">
        <v>13722.594970703125</v>
      </c>
      <c r="I544" s="370">
        <v>3039.8970069885254</v>
      </c>
      <c r="M544" s="371">
        <f t="shared" si="33"/>
        <v>14055.268995756165</v>
      </c>
      <c r="N544" s="329">
        <f t="shared" si="34"/>
        <v>0</v>
      </c>
      <c r="T544" s="331">
        <v>0</v>
      </c>
      <c r="U544" s="328">
        <f>VLOOKUP(C544,METADATA!$J$5:$Q$29,IF(E544="HI",2,IF(E544="LO",6,10))+IF(T544=1,2,IF(D544=7,1,(IF(WEEKDAY(B544)=1,2,IF(WEEKDAY(B544)=7,1,0))))))</f>
        <v>2</v>
      </c>
      <c r="V544" s="328">
        <f>VLOOKUP(C544,METADATA!$A$5:$H$29,IF(E544="HI",2,IF(E544="LO",6,10))+IF(T544=1,2,IF(D544=7,1,(IF(WEEKDAY(B544)=1,2,IF(WEEKDAY(B544)=7,1,0))))))</f>
        <v>2</v>
      </c>
    </row>
    <row r="545" spans="2:22">
      <c r="B545" s="318">
        <f t="shared" si="35"/>
        <v>46135</v>
      </c>
      <c r="C545" s="312">
        <v>13</v>
      </c>
      <c r="D545" s="368">
        <f>IFERROR((INDEX(METADATA!$T$2:$T$20,MATCH(B545,METADATA!$S$2:$S$20,0))),0)</f>
        <v>0</v>
      </c>
      <c r="E545" s="312" t="str">
        <f t="shared" si="32"/>
        <v>LO</v>
      </c>
      <c r="F545" s="369">
        <f>VLOOKUP(C545,METADATA!$A$5:$H$29,IF(E545="HI",2,IF(E545="LO",6,10))+IF(D545=1,2,IF(D545=7,1,(IF(WEEKDAY(B545)=1,2,IF(WEEKDAY(B545)=7,1,0))))))</f>
        <v>2</v>
      </c>
      <c r="G545" s="369">
        <f>VLOOKUP(C545,METADATA!$J$5:$Q$29,IF(E545="HI",2,IF(E545="LO",6,10))+IF(D545=1,2,IF(D545=7,1,(IF(WEEKDAY(B545)=1,2,IF(WEEKDAY(B545)=7,1,0))))))</f>
        <v>2</v>
      </c>
      <c r="H545" s="370">
        <v>13795.1396484375</v>
      </c>
      <c r="I545" s="370">
        <v>3230.3549766540527</v>
      </c>
      <c r="M545" s="371">
        <f t="shared" si="33"/>
        <v>14168.312221118149</v>
      </c>
      <c r="N545" s="329">
        <f t="shared" si="34"/>
        <v>0</v>
      </c>
      <c r="T545" s="331">
        <v>0</v>
      </c>
      <c r="U545" s="328">
        <f>VLOOKUP(C545,METADATA!$J$5:$Q$29,IF(E545="HI",2,IF(E545="LO",6,10))+IF(T545=1,2,IF(D545=7,1,(IF(WEEKDAY(B545)=1,2,IF(WEEKDAY(B545)=7,1,0))))))</f>
        <v>2</v>
      </c>
      <c r="V545" s="328">
        <f>VLOOKUP(C545,METADATA!$A$5:$H$29,IF(E545="HI",2,IF(E545="LO",6,10))+IF(T545=1,2,IF(D545=7,1,(IF(WEEKDAY(B545)=1,2,IF(WEEKDAY(B545)=7,1,0))))))</f>
        <v>2</v>
      </c>
    </row>
    <row r="546" spans="2:22">
      <c r="B546" s="318">
        <f t="shared" si="35"/>
        <v>46135</v>
      </c>
      <c r="C546" s="312">
        <v>14</v>
      </c>
      <c r="D546" s="368">
        <f>IFERROR((INDEX(METADATA!$T$2:$T$20,MATCH(B546,METADATA!$S$2:$S$20,0))),0)</f>
        <v>0</v>
      </c>
      <c r="E546" s="312" t="str">
        <f t="shared" si="32"/>
        <v>LO</v>
      </c>
      <c r="F546" s="369">
        <f>VLOOKUP(C546,METADATA!$A$5:$H$29,IF(E546="HI",2,IF(E546="LO",6,10))+IF(D546=1,2,IF(D546=7,1,(IF(WEEKDAY(B546)=1,2,IF(WEEKDAY(B546)=7,1,0))))))</f>
        <v>2</v>
      </c>
      <c r="G546" s="369">
        <f>VLOOKUP(C546,METADATA!$J$5:$Q$29,IF(E546="HI",2,IF(E546="LO",6,10))+IF(D546=1,2,IF(D546=7,1,(IF(WEEKDAY(B546)=1,2,IF(WEEKDAY(B546)=7,1,0))))))</f>
        <v>2</v>
      </c>
      <c r="H546" s="370">
        <v>13439.989990234375</v>
      </c>
      <c r="I546" s="370">
        <v>3163.0714659690857</v>
      </c>
      <c r="M546" s="371">
        <f t="shared" si="33"/>
        <v>13807.184797648941</v>
      </c>
      <c r="N546" s="329">
        <f t="shared" si="34"/>
        <v>0</v>
      </c>
      <c r="T546" s="331">
        <v>0</v>
      </c>
      <c r="U546" s="328">
        <f>VLOOKUP(C546,METADATA!$J$5:$Q$29,IF(E546="HI",2,IF(E546="LO",6,10))+IF(T546=1,2,IF(D546=7,1,(IF(WEEKDAY(B546)=1,2,IF(WEEKDAY(B546)=7,1,0))))))</f>
        <v>2</v>
      </c>
      <c r="V546" s="328">
        <f>VLOOKUP(C546,METADATA!$A$5:$H$29,IF(E546="HI",2,IF(E546="LO",6,10))+IF(T546=1,2,IF(D546=7,1,(IF(WEEKDAY(B546)=1,2,IF(WEEKDAY(B546)=7,1,0))))))</f>
        <v>2</v>
      </c>
    </row>
    <row r="547" spans="2:22">
      <c r="B547" s="318">
        <f t="shared" si="35"/>
        <v>46135</v>
      </c>
      <c r="C547" s="312">
        <v>15</v>
      </c>
      <c r="D547" s="368">
        <f>IFERROR((INDEX(METADATA!$T$2:$T$20,MATCH(B547,METADATA!$S$2:$S$20,0))),0)</f>
        <v>0</v>
      </c>
      <c r="E547" s="312" t="str">
        <f t="shared" si="32"/>
        <v>LO</v>
      </c>
      <c r="F547" s="369">
        <f>VLOOKUP(C547,METADATA!$A$5:$H$29,IF(E547="HI",2,IF(E547="LO",6,10))+IF(D547=1,2,IF(D547=7,1,(IF(WEEKDAY(B547)=1,2,IF(WEEKDAY(B547)=7,1,0))))))</f>
        <v>2</v>
      </c>
      <c r="G547" s="369">
        <f>VLOOKUP(C547,METADATA!$J$5:$Q$29,IF(E547="HI",2,IF(E547="LO",6,10))+IF(D547=1,2,IF(D547=7,1,(IF(WEEKDAY(B547)=1,2,IF(WEEKDAY(B547)=7,1,0))))))</f>
        <v>2</v>
      </c>
      <c r="H547" s="370">
        <v>13730.499938964844</v>
      </c>
      <c r="I547" s="370">
        <v>3183.6915683746338</v>
      </c>
      <c r="M547" s="371">
        <f t="shared" si="33"/>
        <v>14094.769262973172</v>
      </c>
      <c r="N547" s="329">
        <f t="shared" si="34"/>
        <v>0</v>
      </c>
      <c r="T547" s="331">
        <v>0</v>
      </c>
      <c r="U547" s="328">
        <f>VLOOKUP(C547,METADATA!$J$5:$Q$29,IF(E547="HI",2,IF(E547="LO",6,10))+IF(T547=1,2,IF(D547=7,1,(IF(WEEKDAY(B547)=1,2,IF(WEEKDAY(B547)=7,1,0))))))</f>
        <v>2</v>
      </c>
      <c r="V547" s="328">
        <f>VLOOKUP(C547,METADATA!$A$5:$H$29,IF(E547="HI",2,IF(E547="LO",6,10))+IF(T547=1,2,IF(D547=7,1,(IF(WEEKDAY(B547)=1,2,IF(WEEKDAY(B547)=7,1,0))))))</f>
        <v>2</v>
      </c>
    </row>
    <row r="548" spans="2:22">
      <c r="B548" s="318">
        <f t="shared" si="35"/>
        <v>46135</v>
      </c>
      <c r="C548" s="312">
        <v>16</v>
      </c>
      <c r="D548" s="368">
        <f>IFERROR((INDEX(METADATA!$T$2:$T$20,MATCH(B548,METADATA!$S$2:$S$20,0))),0)</f>
        <v>0</v>
      </c>
      <c r="E548" s="312" t="str">
        <f t="shared" si="32"/>
        <v>LO</v>
      </c>
      <c r="F548" s="369">
        <f>VLOOKUP(C548,METADATA!$A$5:$H$29,IF(E548="HI",2,IF(E548="LO",6,10))+IF(D548=1,2,IF(D548=7,1,(IF(WEEKDAY(B548)=1,2,IF(WEEKDAY(B548)=7,1,0))))))</f>
        <v>2</v>
      </c>
      <c r="G548" s="369">
        <f>VLOOKUP(C548,METADATA!$J$5:$Q$29,IF(E548="HI",2,IF(E548="LO",6,10))+IF(D548=1,2,IF(D548=7,1,(IF(WEEKDAY(B548)=1,2,IF(WEEKDAY(B548)=7,1,0))))))</f>
        <v>2</v>
      </c>
      <c r="H548" s="370">
        <v>13687.909729003906</v>
      </c>
      <c r="I548" s="370">
        <v>3269.1520099639893</v>
      </c>
      <c r="M548" s="371">
        <f t="shared" si="33"/>
        <v>14072.889810327208</v>
      </c>
      <c r="N548" s="329">
        <f t="shared" si="34"/>
        <v>0</v>
      </c>
      <c r="T548" s="331">
        <v>0</v>
      </c>
      <c r="U548" s="328">
        <f>VLOOKUP(C548,METADATA!$J$5:$Q$29,IF(E548="HI",2,IF(E548="LO",6,10))+IF(T548=1,2,IF(D548=7,1,(IF(WEEKDAY(B548)=1,2,IF(WEEKDAY(B548)=7,1,0))))))</f>
        <v>2</v>
      </c>
      <c r="V548" s="328">
        <f>VLOOKUP(C548,METADATA!$A$5:$H$29,IF(E548="HI",2,IF(E548="LO",6,10))+IF(T548=1,2,IF(D548=7,1,(IF(WEEKDAY(B548)=1,2,IF(WEEKDAY(B548)=7,1,0))))))</f>
        <v>2</v>
      </c>
    </row>
    <row r="549" spans="2:22">
      <c r="B549" s="318">
        <f t="shared" si="35"/>
        <v>46135</v>
      </c>
      <c r="C549" s="312">
        <v>17</v>
      </c>
      <c r="D549" s="368">
        <f>IFERROR((INDEX(METADATA!$T$2:$T$20,MATCH(B549,METADATA!$S$2:$S$20,0))),0)</f>
        <v>0</v>
      </c>
      <c r="E549" s="312" t="str">
        <f t="shared" si="32"/>
        <v>LO</v>
      </c>
      <c r="F549" s="369">
        <f>VLOOKUP(C549,METADATA!$A$5:$H$29,IF(E549="HI",2,IF(E549="LO",6,10))+IF(D549=1,2,IF(D549=7,1,(IF(WEEKDAY(B549)=1,2,IF(WEEKDAY(B549)=7,1,0))))))</f>
        <v>2</v>
      </c>
      <c r="G549" s="369">
        <f>VLOOKUP(C549,METADATA!$J$5:$Q$29,IF(E549="HI",2,IF(E549="LO",6,10))+IF(D549=1,2,IF(D549=7,1,(IF(WEEKDAY(B549)=1,2,IF(WEEKDAY(B549)=7,1,0))))))</f>
        <v>2</v>
      </c>
      <c r="H549" s="370">
        <v>13428.519836425781</v>
      </c>
      <c r="I549" s="370">
        <v>2963.3145027160645</v>
      </c>
      <c r="M549" s="371">
        <f t="shared" si="33"/>
        <v>13751.595465228318</v>
      </c>
      <c r="N549" s="329">
        <f t="shared" si="34"/>
        <v>0</v>
      </c>
      <c r="T549" s="331">
        <v>0</v>
      </c>
      <c r="U549" s="328">
        <f>VLOOKUP(C549,METADATA!$J$5:$Q$29,IF(E549="HI",2,IF(E549="LO",6,10))+IF(T549=1,2,IF(D549=7,1,(IF(WEEKDAY(B549)=1,2,IF(WEEKDAY(B549)=7,1,0))))))</f>
        <v>2</v>
      </c>
      <c r="V549" s="328">
        <f>VLOOKUP(C549,METADATA!$A$5:$H$29,IF(E549="HI",2,IF(E549="LO",6,10))+IF(T549=1,2,IF(D549=7,1,(IF(WEEKDAY(B549)=1,2,IF(WEEKDAY(B549)=7,1,0))))))</f>
        <v>2</v>
      </c>
    </row>
    <row r="550" spans="2:22">
      <c r="B550" s="318">
        <f t="shared" si="35"/>
        <v>46135</v>
      </c>
      <c r="C550" s="312">
        <v>18</v>
      </c>
      <c r="D550" s="368">
        <f>IFERROR((INDEX(METADATA!$T$2:$T$20,MATCH(B550,METADATA!$S$2:$S$20,0))),0)</f>
        <v>0</v>
      </c>
      <c r="E550" s="312" t="str">
        <f t="shared" si="32"/>
        <v>LO</v>
      </c>
      <c r="F550" s="369">
        <f>VLOOKUP(C550,METADATA!$A$5:$H$29,IF(E550="HI",2,IF(E550="LO",6,10))+IF(D550=1,2,IF(D550=7,1,(IF(WEEKDAY(B550)=1,2,IF(WEEKDAY(B550)=7,1,0))))))</f>
        <v>1</v>
      </c>
      <c r="G550" s="369">
        <f>VLOOKUP(C550,METADATA!$J$5:$Q$29,IF(E550="HI",2,IF(E550="LO",6,10))+IF(D550=1,2,IF(D550=7,1,(IF(WEEKDAY(B550)=1,2,IF(WEEKDAY(B550)=7,1,0))))))</f>
        <v>1</v>
      </c>
      <c r="H550" s="370">
        <v>13490.414672851563</v>
      </c>
      <c r="I550" s="370">
        <v>3069.1834378242493</v>
      </c>
      <c r="M550" s="371">
        <f t="shared" si="33"/>
        <v>13835.142753889582</v>
      </c>
      <c r="N550" s="329">
        <f t="shared" si="34"/>
        <v>0</v>
      </c>
      <c r="T550" s="331">
        <v>0</v>
      </c>
      <c r="U550" s="328">
        <f>VLOOKUP(C550,METADATA!$J$5:$Q$29,IF(E550="HI",2,IF(E550="LO",6,10))+IF(T550=1,2,IF(D550=7,1,(IF(WEEKDAY(B550)=1,2,IF(WEEKDAY(B550)=7,1,0))))))</f>
        <v>1</v>
      </c>
      <c r="V550" s="328">
        <f>VLOOKUP(C550,METADATA!$A$5:$H$29,IF(E550="HI",2,IF(E550="LO",6,10))+IF(T550=1,2,IF(D550=7,1,(IF(WEEKDAY(B550)=1,2,IF(WEEKDAY(B550)=7,1,0))))))</f>
        <v>1</v>
      </c>
    </row>
    <row r="551" spans="2:22">
      <c r="B551" s="318">
        <f t="shared" si="35"/>
        <v>46135</v>
      </c>
      <c r="C551" s="312">
        <v>19</v>
      </c>
      <c r="D551" s="368">
        <f>IFERROR((INDEX(METADATA!$T$2:$T$20,MATCH(B551,METADATA!$S$2:$S$20,0))),0)</f>
        <v>0</v>
      </c>
      <c r="E551" s="312" t="str">
        <f t="shared" si="32"/>
        <v>LO</v>
      </c>
      <c r="F551" s="369">
        <f>VLOOKUP(C551,METADATA!$A$5:$H$29,IF(E551="HI",2,IF(E551="LO",6,10))+IF(D551=1,2,IF(D551=7,1,(IF(WEEKDAY(B551)=1,2,IF(WEEKDAY(B551)=7,1,0))))))</f>
        <v>1</v>
      </c>
      <c r="G551" s="369">
        <f>VLOOKUP(C551,METADATA!$J$5:$Q$29,IF(E551="HI",2,IF(E551="LO",6,10))+IF(D551=1,2,IF(D551=7,1,(IF(WEEKDAY(B551)=1,2,IF(WEEKDAY(B551)=7,1,0))))))</f>
        <v>1</v>
      </c>
      <c r="H551" s="370">
        <v>12250.994995117188</v>
      </c>
      <c r="I551" s="370">
        <v>2487.8374980688095</v>
      </c>
      <c r="M551" s="371">
        <f t="shared" si="33"/>
        <v>12501.048507512625</v>
      </c>
      <c r="N551" s="329">
        <f t="shared" si="34"/>
        <v>0</v>
      </c>
      <c r="T551" s="331">
        <v>0</v>
      </c>
      <c r="U551" s="328">
        <f>VLOOKUP(C551,METADATA!$J$5:$Q$29,IF(E551="HI",2,IF(E551="LO",6,10))+IF(T551=1,2,IF(D551=7,1,(IF(WEEKDAY(B551)=1,2,IF(WEEKDAY(B551)=7,1,0))))))</f>
        <v>1</v>
      </c>
      <c r="V551" s="328">
        <f>VLOOKUP(C551,METADATA!$A$5:$H$29,IF(E551="HI",2,IF(E551="LO",6,10))+IF(T551=1,2,IF(D551=7,1,(IF(WEEKDAY(B551)=1,2,IF(WEEKDAY(B551)=7,1,0))))))</f>
        <v>1</v>
      </c>
    </row>
    <row r="552" spans="2:22">
      <c r="B552" s="318">
        <f t="shared" si="35"/>
        <v>46135</v>
      </c>
      <c r="C552" s="312">
        <v>20</v>
      </c>
      <c r="D552" s="368">
        <f>IFERROR((INDEX(METADATA!$T$2:$T$20,MATCH(B552,METADATA!$S$2:$S$20,0))),0)</f>
        <v>0</v>
      </c>
      <c r="E552" s="312" t="str">
        <f t="shared" si="32"/>
        <v>LO</v>
      </c>
      <c r="F552" s="369">
        <f>VLOOKUP(C552,METADATA!$A$5:$H$29,IF(E552="HI",2,IF(E552="LO",6,10))+IF(D552=1,2,IF(D552=7,1,(IF(WEEKDAY(B552)=1,2,IF(WEEKDAY(B552)=7,1,0))))))</f>
        <v>1</v>
      </c>
      <c r="G552" s="369">
        <f>VLOOKUP(C552,METADATA!$J$5:$Q$29,IF(E552="HI",2,IF(E552="LO",6,10))+IF(D552=1,2,IF(D552=7,1,(IF(WEEKDAY(B552)=1,2,IF(WEEKDAY(B552)=7,1,0))))))</f>
        <v>1</v>
      </c>
      <c r="H552" s="370">
        <v>8332.0950317382813</v>
      </c>
      <c r="I552" s="370">
        <v>301.24848532676697</v>
      </c>
      <c r="M552" s="371">
        <f t="shared" si="33"/>
        <v>8337.5391014273155</v>
      </c>
      <c r="N552" s="329">
        <f t="shared" si="34"/>
        <v>0</v>
      </c>
      <c r="T552" s="331">
        <v>0</v>
      </c>
      <c r="U552" s="328">
        <f>VLOOKUP(C552,METADATA!$J$5:$Q$29,IF(E552="HI",2,IF(E552="LO",6,10))+IF(T552=1,2,IF(D552=7,1,(IF(WEEKDAY(B552)=1,2,IF(WEEKDAY(B552)=7,1,0))))))</f>
        <v>1</v>
      </c>
      <c r="V552" s="328">
        <f>VLOOKUP(C552,METADATA!$A$5:$H$29,IF(E552="HI",2,IF(E552="LO",6,10))+IF(T552=1,2,IF(D552=7,1,(IF(WEEKDAY(B552)=1,2,IF(WEEKDAY(B552)=7,1,0))))))</f>
        <v>1</v>
      </c>
    </row>
    <row r="553" spans="2:22">
      <c r="B553" s="318">
        <f t="shared" si="35"/>
        <v>46135</v>
      </c>
      <c r="C553" s="312">
        <v>21</v>
      </c>
      <c r="D553" s="368">
        <f>IFERROR((INDEX(METADATA!$T$2:$T$20,MATCH(B553,METADATA!$S$2:$S$20,0))),0)</f>
        <v>0</v>
      </c>
      <c r="E553" s="312" t="str">
        <f t="shared" si="32"/>
        <v>LO</v>
      </c>
      <c r="F553" s="369">
        <f>VLOOKUP(C553,METADATA!$A$5:$H$29,IF(E553="HI",2,IF(E553="LO",6,10))+IF(D553=1,2,IF(D553=7,1,(IF(WEEKDAY(B553)=1,2,IF(WEEKDAY(B553)=7,1,0))))))</f>
        <v>2</v>
      </c>
      <c r="G553" s="369">
        <f>VLOOKUP(C553,METADATA!$J$5:$Q$29,IF(E553="HI",2,IF(E553="LO",6,10))+IF(D553=1,2,IF(D553=7,1,(IF(WEEKDAY(B553)=1,2,IF(WEEKDAY(B553)=7,1,0))))))</f>
        <v>2</v>
      </c>
      <c r="H553" s="370">
        <v>11103.480041503906</v>
      </c>
      <c r="I553" s="370">
        <v>1667.6920163631439</v>
      </c>
      <c r="M553" s="371">
        <f t="shared" si="33"/>
        <v>11228.021450528002</v>
      </c>
      <c r="N553" s="329">
        <f t="shared" si="34"/>
        <v>0</v>
      </c>
      <c r="T553" s="331">
        <v>0</v>
      </c>
      <c r="U553" s="328">
        <f>VLOOKUP(C553,METADATA!$J$5:$Q$29,IF(E553="HI",2,IF(E553="LO",6,10))+IF(T553=1,2,IF(D553=7,1,(IF(WEEKDAY(B553)=1,2,IF(WEEKDAY(B553)=7,1,0))))))</f>
        <v>2</v>
      </c>
      <c r="V553" s="328">
        <f>VLOOKUP(C553,METADATA!$A$5:$H$29,IF(E553="HI",2,IF(E553="LO",6,10))+IF(T553=1,2,IF(D553=7,1,(IF(WEEKDAY(B553)=1,2,IF(WEEKDAY(B553)=7,1,0))))))</f>
        <v>2</v>
      </c>
    </row>
    <row r="554" spans="2:22">
      <c r="B554" s="318">
        <f t="shared" si="35"/>
        <v>46135</v>
      </c>
      <c r="C554" s="312">
        <v>22</v>
      </c>
      <c r="D554" s="368">
        <f>IFERROR((INDEX(METADATA!$T$2:$T$20,MATCH(B554,METADATA!$S$2:$S$20,0))),0)</f>
        <v>0</v>
      </c>
      <c r="E554" s="312" t="str">
        <f t="shared" si="32"/>
        <v>LO</v>
      </c>
      <c r="F554" s="369">
        <f>VLOOKUP(C554,METADATA!$A$5:$H$29,IF(E554="HI",2,IF(E554="LO",6,10))+IF(D554=1,2,IF(D554=7,1,(IF(WEEKDAY(B554)=1,2,IF(WEEKDAY(B554)=7,1,0))))))</f>
        <v>3</v>
      </c>
      <c r="G554" s="369">
        <f>VLOOKUP(C554,METADATA!$J$5:$Q$29,IF(E554="HI",2,IF(E554="LO",6,10))+IF(D554=1,2,IF(D554=7,1,(IF(WEEKDAY(B554)=1,2,IF(WEEKDAY(B554)=7,1,0))))))</f>
        <v>3</v>
      </c>
      <c r="H554" s="370">
        <v>13921.899536132813</v>
      </c>
      <c r="I554" s="370">
        <v>3339.4645166397095</v>
      </c>
      <c r="M554" s="371">
        <f t="shared" si="33"/>
        <v>14316.819128286515</v>
      </c>
      <c r="N554" s="329">
        <f t="shared" si="34"/>
        <v>0</v>
      </c>
      <c r="T554" s="331">
        <v>0</v>
      </c>
      <c r="U554" s="328">
        <f>VLOOKUP(C554,METADATA!$J$5:$Q$29,IF(E554="HI",2,IF(E554="LO",6,10))+IF(T554=1,2,IF(D554=7,1,(IF(WEEKDAY(B554)=1,2,IF(WEEKDAY(B554)=7,1,0))))))</f>
        <v>3</v>
      </c>
      <c r="V554" s="328">
        <f>VLOOKUP(C554,METADATA!$A$5:$H$29,IF(E554="HI",2,IF(E554="LO",6,10))+IF(T554=1,2,IF(D554=7,1,(IF(WEEKDAY(B554)=1,2,IF(WEEKDAY(B554)=7,1,0))))))</f>
        <v>3</v>
      </c>
    </row>
    <row r="555" spans="2:22">
      <c r="B555" s="318">
        <f t="shared" si="35"/>
        <v>46135</v>
      </c>
      <c r="C555" s="312">
        <v>23</v>
      </c>
      <c r="D555" s="368">
        <f>IFERROR((INDEX(METADATA!$T$2:$T$20,MATCH(B555,METADATA!$S$2:$S$20,0))),0)</f>
        <v>0</v>
      </c>
      <c r="E555" s="312" t="str">
        <f t="shared" si="32"/>
        <v>LO</v>
      </c>
      <c r="F555" s="369">
        <f>VLOOKUP(C555,METADATA!$A$5:$H$29,IF(E555="HI",2,IF(E555="LO",6,10))+IF(D555=1,2,IF(D555=7,1,(IF(WEEKDAY(B555)=1,2,IF(WEEKDAY(B555)=7,1,0))))))</f>
        <v>3</v>
      </c>
      <c r="G555" s="369">
        <f>VLOOKUP(C555,METADATA!$J$5:$Q$29,IF(E555="HI",2,IF(E555="LO",6,10))+IF(D555=1,2,IF(D555=7,1,(IF(WEEKDAY(B555)=1,2,IF(WEEKDAY(B555)=7,1,0))))))</f>
        <v>3</v>
      </c>
      <c r="H555" s="370">
        <v>13692.44482421875</v>
      </c>
      <c r="I555" s="370">
        <v>3272.2329459190369</v>
      </c>
      <c r="M555" s="371">
        <f t="shared" si="33"/>
        <v>14078.016682637963</v>
      </c>
      <c r="N555" s="329">
        <f t="shared" si="34"/>
        <v>0</v>
      </c>
      <c r="T555" s="331">
        <v>0</v>
      </c>
      <c r="U555" s="328">
        <f>VLOOKUP(C555,METADATA!$J$5:$Q$29,IF(E555="HI",2,IF(E555="LO",6,10))+IF(T555=1,2,IF(D555=7,1,(IF(WEEKDAY(B555)=1,2,IF(WEEKDAY(B555)=7,1,0))))))</f>
        <v>3</v>
      </c>
      <c r="V555" s="328">
        <f>VLOOKUP(C555,METADATA!$A$5:$H$29,IF(E555="HI",2,IF(E555="LO",6,10))+IF(T555=1,2,IF(D555=7,1,(IF(WEEKDAY(B555)=1,2,IF(WEEKDAY(B555)=7,1,0))))))</f>
        <v>3</v>
      </c>
    </row>
    <row r="556" spans="2:22">
      <c r="B556" s="318">
        <f t="shared" si="35"/>
        <v>46136</v>
      </c>
      <c r="C556" s="312">
        <v>0</v>
      </c>
      <c r="D556" s="368">
        <f>IFERROR((INDEX(METADATA!$T$2:$T$20,MATCH(B556,METADATA!$S$2:$S$20,0))),0)</f>
        <v>0</v>
      </c>
      <c r="E556" s="312" t="str">
        <f t="shared" si="32"/>
        <v>LO</v>
      </c>
      <c r="F556" s="369">
        <f>VLOOKUP(C556,METADATA!$A$5:$H$29,IF(E556="HI",2,IF(E556="LO",6,10))+IF(D556=1,2,IF(D556=7,1,(IF(WEEKDAY(B556)=1,2,IF(WEEKDAY(B556)=7,1,0))))))</f>
        <v>3</v>
      </c>
      <c r="G556" s="369">
        <f>VLOOKUP(C556,METADATA!$J$5:$Q$29,IF(E556="HI",2,IF(E556="LO",6,10))+IF(D556=1,2,IF(D556=7,1,(IF(WEEKDAY(B556)=1,2,IF(WEEKDAY(B556)=7,1,0))))))</f>
        <v>3</v>
      </c>
      <c r="H556" s="370">
        <v>13631.115173339844</v>
      </c>
      <c r="I556" s="370">
        <v>3155.4819523096085</v>
      </c>
      <c r="M556" s="371">
        <f t="shared" si="33"/>
        <v>13991.582012774945</v>
      </c>
      <c r="N556" s="329">
        <f t="shared" si="34"/>
        <v>0</v>
      </c>
      <c r="T556" s="331">
        <v>0</v>
      </c>
      <c r="U556" s="328">
        <f>VLOOKUP(C556,METADATA!$J$5:$Q$29,IF(E556="HI",2,IF(E556="LO",6,10))+IF(T556=1,2,IF(D556=7,1,(IF(WEEKDAY(B556)=1,2,IF(WEEKDAY(B556)=7,1,0))))))</f>
        <v>3</v>
      </c>
      <c r="V556" s="328">
        <f>VLOOKUP(C556,METADATA!$A$5:$H$29,IF(E556="HI",2,IF(E556="LO",6,10))+IF(T556=1,2,IF(D556=7,1,(IF(WEEKDAY(B556)=1,2,IF(WEEKDAY(B556)=7,1,0))))))</f>
        <v>3</v>
      </c>
    </row>
    <row r="557" spans="2:22">
      <c r="B557" s="318">
        <f t="shared" si="35"/>
        <v>46136</v>
      </c>
      <c r="C557" s="312">
        <v>1</v>
      </c>
      <c r="D557" s="368">
        <f>IFERROR((INDEX(METADATA!$T$2:$T$20,MATCH(B557,METADATA!$S$2:$S$20,0))),0)</f>
        <v>0</v>
      </c>
      <c r="E557" s="312" t="str">
        <f t="shared" si="32"/>
        <v>LO</v>
      </c>
      <c r="F557" s="369">
        <f>VLOOKUP(C557,METADATA!$A$5:$H$29,IF(E557="HI",2,IF(E557="LO",6,10))+IF(D557=1,2,IF(D557=7,1,(IF(WEEKDAY(B557)=1,2,IF(WEEKDAY(B557)=7,1,0))))))</f>
        <v>3</v>
      </c>
      <c r="G557" s="369">
        <f>VLOOKUP(C557,METADATA!$J$5:$Q$29,IF(E557="HI",2,IF(E557="LO",6,10))+IF(D557=1,2,IF(D557=7,1,(IF(WEEKDAY(B557)=1,2,IF(WEEKDAY(B557)=7,1,0))))))</f>
        <v>3</v>
      </c>
      <c r="H557" s="370">
        <v>13666.05517578125</v>
      </c>
      <c r="I557" s="370">
        <v>3069.6453919410706</v>
      </c>
      <c r="M557" s="371">
        <f t="shared" si="33"/>
        <v>14006.562279865911</v>
      </c>
      <c r="N557" s="329">
        <f t="shared" si="34"/>
        <v>0</v>
      </c>
      <c r="T557" s="331">
        <v>0</v>
      </c>
      <c r="U557" s="328">
        <f>VLOOKUP(C557,METADATA!$J$5:$Q$29,IF(E557="HI",2,IF(E557="LO",6,10))+IF(T557=1,2,IF(D557=7,1,(IF(WEEKDAY(B557)=1,2,IF(WEEKDAY(B557)=7,1,0))))))</f>
        <v>3</v>
      </c>
      <c r="V557" s="328">
        <f>VLOOKUP(C557,METADATA!$A$5:$H$29,IF(E557="HI",2,IF(E557="LO",6,10))+IF(T557=1,2,IF(D557=7,1,(IF(WEEKDAY(B557)=1,2,IF(WEEKDAY(B557)=7,1,0))))))</f>
        <v>3</v>
      </c>
    </row>
    <row r="558" spans="2:22">
      <c r="B558" s="318">
        <f t="shared" si="35"/>
        <v>46136</v>
      </c>
      <c r="C558" s="312">
        <v>2</v>
      </c>
      <c r="D558" s="368">
        <f>IFERROR((INDEX(METADATA!$T$2:$T$20,MATCH(B558,METADATA!$S$2:$S$20,0))),0)</f>
        <v>0</v>
      </c>
      <c r="E558" s="312" t="str">
        <f t="shared" si="32"/>
        <v>LO</v>
      </c>
      <c r="F558" s="369">
        <f>VLOOKUP(C558,METADATA!$A$5:$H$29,IF(E558="HI",2,IF(E558="LO",6,10))+IF(D558=1,2,IF(D558=7,1,(IF(WEEKDAY(B558)=1,2,IF(WEEKDAY(B558)=7,1,0))))))</f>
        <v>3</v>
      </c>
      <c r="G558" s="369">
        <f>VLOOKUP(C558,METADATA!$J$5:$Q$29,IF(E558="HI",2,IF(E558="LO",6,10))+IF(D558=1,2,IF(D558=7,1,(IF(WEEKDAY(B558)=1,2,IF(WEEKDAY(B558)=7,1,0))))))</f>
        <v>3</v>
      </c>
      <c r="H558" s="370">
        <v>13713.140197753906</v>
      </c>
      <c r="I558" s="370">
        <v>3110.6315441131592</v>
      </c>
      <c r="M558" s="371">
        <f t="shared" si="33"/>
        <v>14061.516372229769</v>
      </c>
      <c r="N558" s="329">
        <f t="shared" si="34"/>
        <v>0</v>
      </c>
      <c r="T558" s="331">
        <v>0</v>
      </c>
      <c r="U558" s="328">
        <f>VLOOKUP(C558,METADATA!$J$5:$Q$29,IF(E558="HI",2,IF(E558="LO",6,10))+IF(T558=1,2,IF(D558=7,1,(IF(WEEKDAY(B558)=1,2,IF(WEEKDAY(B558)=7,1,0))))))</f>
        <v>3</v>
      </c>
      <c r="V558" s="328">
        <f>VLOOKUP(C558,METADATA!$A$5:$H$29,IF(E558="HI",2,IF(E558="LO",6,10))+IF(T558=1,2,IF(D558=7,1,(IF(WEEKDAY(B558)=1,2,IF(WEEKDAY(B558)=7,1,0))))))</f>
        <v>3</v>
      </c>
    </row>
    <row r="559" spans="2:22">
      <c r="B559" s="318">
        <f t="shared" si="35"/>
        <v>46136</v>
      </c>
      <c r="C559" s="312">
        <v>3</v>
      </c>
      <c r="D559" s="368">
        <f>IFERROR((INDEX(METADATA!$T$2:$T$20,MATCH(B559,METADATA!$S$2:$S$20,0))),0)</f>
        <v>0</v>
      </c>
      <c r="E559" s="312" t="str">
        <f t="shared" si="32"/>
        <v>LO</v>
      </c>
      <c r="F559" s="369">
        <f>VLOOKUP(C559,METADATA!$A$5:$H$29,IF(E559="HI",2,IF(E559="LO",6,10))+IF(D559=1,2,IF(D559=7,1,(IF(WEEKDAY(B559)=1,2,IF(WEEKDAY(B559)=7,1,0))))))</f>
        <v>3</v>
      </c>
      <c r="G559" s="369">
        <f>VLOOKUP(C559,METADATA!$J$5:$Q$29,IF(E559="HI",2,IF(E559="LO",6,10))+IF(D559=1,2,IF(D559=7,1,(IF(WEEKDAY(B559)=1,2,IF(WEEKDAY(B559)=7,1,0))))))</f>
        <v>3</v>
      </c>
      <c r="H559" s="370">
        <v>13677.22509765625</v>
      </c>
      <c r="I559" s="370">
        <v>3133.3294250965118</v>
      </c>
      <c r="M559" s="371">
        <f t="shared" si="33"/>
        <v>14031.544450206957</v>
      </c>
      <c r="N559" s="329">
        <f t="shared" si="34"/>
        <v>0</v>
      </c>
      <c r="T559" s="331">
        <v>0</v>
      </c>
      <c r="U559" s="328">
        <f>VLOOKUP(C559,METADATA!$J$5:$Q$29,IF(E559="HI",2,IF(E559="LO",6,10))+IF(T559=1,2,IF(D559=7,1,(IF(WEEKDAY(B559)=1,2,IF(WEEKDAY(B559)=7,1,0))))))</f>
        <v>3</v>
      </c>
      <c r="V559" s="328">
        <f>VLOOKUP(C559,METADATA!$A$5:$H$29,IF(E559="HI",2,IF(E559="LO",6,10))+IF(T559=1,2,IF(D559=7,1,(IF(WEEKDAY(B559)=1,2,IF(WEEKDAY(B559)=7,1,0))))))</f>
        <v>3</v>
      </c>
    </row>
    <row r="560" spans="2:22">
      <c r="B560" s="318">
        <f t="shared" si="35"/>
        <v>46136</v>
      </c>
      <c r="C560" s="312">
        <v>4</v>
      </c>
      <c r="D560" s="368">
        <f>IFERROR((INDEX(METADATA!$T$2:$T$20,MATCH(B560,METADATA!$S$2:$S$20,0))),0)</f>
        <v>0</v>
      </c>
      <c r="E560" s="312" t="str">
        <f t="shared" si="32"/>
        <v>LO</v>
      </c>
      <c r="F560" s="369">
        <f>VLOOKUP(C560,METADATA!$A$5:$H$29,IF(E560="HI",2,IF(E560="LO",6,10))+IF(D560=1,2,IF(D560=7,1,(IF(WEEKDAY(B560)=1,2,IF(WEEKDAY(B560)=7,1,0))))))</f>
        <v>3</v>
      </c>
      <c r="G560" s="369">
        <f>VLOOKUP(C560,METADATA!$J$5:$Q$29,IF(E560="HI",2,IF(E560="LO",6,10))+IF(D560=1,2,IF(D560=7,1,(IF(WEEKDAY(B560)=1,2,IF(WEEKDAY(B560)=7,1,0))))))</f>
        <v>3</v>
      </c>
      <c r="H560" s="370">
        <v>13594.815002441406</v>
      </c>
      <c r="I560" s="370">
        <v>3114.323037147522</v>
      </c>
      <c r="M560" s="371">
        <f t="shared" si="33"/>
        <v>13946.97110236892</v>
      </c>
      <c r="N560" s="329">
        <f t="shared" si="34"/>
        <v>0</v>
      </c>
      <c r="T560" s="331">
        <v>0</v>
      </c>
      <c r="U560" s="328">
        <f>VLOOKUP(C560,METADATA!$J$5:$Q$29,IF(E560="HI",2,IF(E560="LO",6,10))+IF(T560=1,2,IF(D560=7,1,(IF(WEEKDAY(B560)=1,2,IF(WEEKDAY(B560)=7,1,0))))))</f>
        <v>3</v>
      </c>
      <c r="V560" s="328">
        <f>VLOOKUP(C560,METADATA!$A$5:$H$29,IF(E560="HI",2,IF(E560="LO",6,10))+IF(T560=1,2,IF(D560=7,1,(IF(WEEKDAY(B560)=1,2,IF(WEEKDAY(B560)=7,1,0))))))</f>
        <v>3</v>
      </c>
    </row>
    <row r="561" spans="2:22">
      <c r="B561" s="318">
        <f t="shared" si="35"/>
        <v>46136</v>
      </c>
      <c r="C561" s="312">
        <v>5</v>
      </c>
      <c r="D561" s="368">
        <f>IFERROR((INDEX(METADATA!$T$2:$T$20,MATCH(B561,METADATA!$S$2:$S$20,0))),0)</f>
        <v>0</v>
      </c>
      <c r="E561" s="312" t="str">
        <f t="shared" si="32"/>
        <v>LO</v>
      </c>
      <c r="F561" s="369">
        <f>VLOOKUP(C561,METADATA!$A$5:$H$29,IF(E561="HI",2,IF(E561="LO",6,10))+IF(D561=1,2,IF(D561=7,1,(IF(WEEKDAY(B561)=1,2,IF(WEEKDAY(B561)=7,1,0))))))</f>
        <v>3</v>
      </c>
      <c r="G561" s="369">
        <f>VLOOKUP(C561,METADATA!$J$5:$Q$29,IF(E561="HI",2,IF(E561="LO",6,10))+IF(D561=1,2,IF(D561=7,1,(IF(WEEKDAY(B561)=1,2,IF(WEEKDAY(B561)=7,1,0))))))</f>
        <v>3</v>
      </c>
      <c r="H561" s="370">
        <v>13666.265380859375</v>
      </c>
      <c r="I561" s="370">
        <v>3077.5199560821056</v>
      </c>
      <c r="M561" s="371">
        <f t="shared" si="33"/>
        <v>14008.495227545285</v>
      </c>
      <c r="N561" s="329">
        <f t="shared" si="34"/>
        <v>0</v>
      </c>
      <c r="T561" s="331">
        <v>0</v>
      </c>
      <c r="U561" s="328">
        <f>VLOOKUP(C561,METADATA!$J$5:$Q$29,IF(E561="HI",2,IF(E561="LO",6,10))+IF(T561=1,2,IF(D561=7,1,(IF(WEEKDAY(B561)=1,2,IF(WEEKDAY(B561)=7,1,0))))))</f>
        <v>3</v>
      </c>
      <c r="V561" s="328">
        <f>VLOOKUP(C561,METADATA!$A$5:$H$29,IF(E561="HI",2,IF(E561="LO",6,10))+IF(T561=1,2,IF(D561=7,1,(IF(WEEKDAY(B561)=1,2,IF(WEEKDAY(B561)=7,1,0))))))</f>
        <v>3</v>
      </c>
    </row>
    <row r="562" spans="2:22">
      <c r="B562" s="318">
        <f t="shared" si="35"/>
        <v>46136</v>
      </c>
      <c r="C562" s="312">
        <v>6</v>
      </c>
      <c r="D562" s="368">
        <f>IFERROR((INDEX(METADATA!$T$2:$T$20,MATCH(B562,METADATA!$S$2:$S$20,0))),0)</f>
        <v>0</v>
      </c>
      <c r="E562" s="312" t="str">
        <f t="shared" si="32"/>
        <v>LO</v>
      </c>
      <c r="F562" s="369">
        <f>VLOOKUP(C562,METADATA!$A$5:$H$29,IF(E562="HI",2,IF(E562="LO",6,10))+IF(D562=1,2,IF(D562=7,1,(IF(WEEKDAY(B562)=1,2,IF(WEEKDAY(B562)=7,1,0))))))</f>
        <v>2</v>
      </c>
      <c r="G562" s="369">
        <f>VLOOKUP(C562,METADATA!$J$5:$Q$29,IF(E562="HI",2,IF(E562="LO",6,10))+IF(D562=1,2,IF(D562=7,1,(IF(WEEKDAY(B562)=1,2,IF(WEEKDAY(B562)=7,1,0))))))</f>
        <v>2</v>
      </c>
      <c r="H562" s="370">
        <v>13746.844970703125</v>
      </c>
      <c r="I562" s="370">
        <v>3109.0780091285706</v>
      </c>
      <c r="M562" s="371">
        <f t="shared" si="33"/>
        <v>14094.045292796269</v>
      </c>
      <c r="N562" s="329">
        <f t="shared" si="34"/>
        <v>0</v>
      </c>
      <c r="T562" s="331">
        <v>0</v>
      </c>
      <c r="U562" s="328">
        <f>VLOOKUP(C562,METADATA!$J$5:$Q$29,IF(E562="HI",2,IF(E562="LO",6,10))+IF(T562=1,2,IF(D562=7,1,(IF(WEEKDAY(B562)=1,2,IF(WEEKDAY(B562)=7,1,0))))))</f>
        <v>2</v>
      </c>
      <c r="V562" s="328">
        <f>VLOOKUP(C562,METADATA!$A$5:$H$29,IF(E562="HI",2,IF(E562="LO",6,10))+IF(T562=1,2,IF(D562=7,1,(IF(WEEKDAY(B562)=1,2,IF(WEEKDAY(B562)=7,1,0))))))</f>
        <v>2</v>
      </c>
    </row>
    <row r="563" spans="2:22">
      <c r="B563" s="318">
        <f t="shared" si="35"/>
        <v>46136</v>
      </c>
      <c r="C563" s="312">
        <v>7</v>
      </c>
      <c r="D563" s="368">
        <f>IFERROR((INDEX(METADATA!$T$2:$T$20,MATCH(B563,METADATA!$S$2:$S$20,0))),0)</f>
        <v>0</v>
      </c>
      <c r="E563" s="312" t="str">
        <f t="shared" si="32"/>
        <v>LO</v>
      </c>
      <c r="F563" s="369">
        <f>VLOOKUP(C563,METADATA!$A$5:$H$29,IF(E563="HI",2,IF(E563="LO",6,10))+IF(D563=1,2,IF(D563=7,1,(IF(WEEKDAY(B563)=1,2,IF(WEEKDAY(B563)=7,1,0))))))</f>
        <v>1</v>
      </c>
      <c r="G563" s="369">
        <f>VLOOKUP(C563,METADATA!$J$5:$Q$29,IF(E563="HI",2,IF(E563="LO",6,10))+IF(D563=1,2,IF(D563=7,1,(IF(WEEKDAY(B563)=1,2,IF(WEEKDAY(B563)=7,1,0))))))</f>
        <v>1</v>
      </c>
      <c r="H563" s="370">
        <v>13676.290283203125</v>
      </c>
      <c r="I563" s="370">
        <v>3028.2784948348999</v>
      </c>
      <c r="M563" s="371">
        <f t="shared" si="33"/>
        <v>14007.547485292196</v>
      </c>
      <c r="N563" s="329">
        <f t="shared" si="34"/>
        <v>0</v>
      </c>
      <c r="T563" s="331">
        <v>0</v>
      </c>
      <c r="U563" s="328">
        <f>VLOOKUP(C563,METADATA!$J$5:$Q$29,IF(E563="HI",2,IF(E563="LO",6,10))+IF(T563=1,2,IF(D563=7,1,(IF(WEEKDAY(B563)=1,2,IF(WEEKDAY(B563)=7,1,0))))))</f>
        <v>1</v>
      </c>
      <c r="V563" s="328">
        <f>VLOOKUP(C563,METADATA!$A$5:$H$29,IF(E563="HI",2,IF(E563="LO",6,10))+IF(T563=1,2,IF(D563=7,1,(IF(WEEKDAY(B563)=1,2,IF(WEEKDAY(B563)=7,1,0))))))</f>
        <v>1</v>
      </c>
    </row>
    <row r="564" spans="2:22">
      <c r="B564" s="318">
        <f t="shared" si="35"/>
        <v>46136</v>
      </c>
      <c r="C564" s="312">
        <v>8</v>
      </c>
      <c r="D564" s="368">
        <f>IFERROR((INDEX(METADATA!$T$2:$T$20,MATCH(B564,METADATA!$S$2:$S$20,0))),0)</f>
        <v>0</v>
      </c>
      <c r="E564" s="312" t="str">
        <f t="shared" si="32"/>
        <v>LO</v>
      </c>
      <c r="F564" s="369">
        <f>VLOOKUP(C564,METADATA!$A$5:$H$29,IF(E564="HI",2,IF(E564="LO",6,10))+IF(D564=1,2,IF(D564=7,1,(IF(WEEKDAY(B564)=1,2,IF(WEEKDAY(B564)=7,1,0))))))</f>
        <v>1</v>
      </c>
      <c r="G564" s="369">
        <f>VLOOKUP(C564,METADATA!$J$5:$Q$29,IF(E564="HI",2,IF(E564="LO",6,10))+IF(D564=1,2,IF(D564=7,1,(IF(WEEKDAY(B564)=1,2,IF(WEEKDAY(B564)=7,1,0))))))</f>
        <v>1</v>
      </c>
      <c r="H564" s="370">
        <v>13631.824951171875</v>
      </c>
      <c r="I564" s="370">
        <v>3027.6519436836243</v>
      </c>
      <c r="M564" s="371">
        <f t="shared" si="33"/>
        <v>13964.001138337226</v>
      </c>
      <c r="N564" s="329">
        <f t="shared" si="34"/>
        <v>0</v>
      </c>
      <c r="T564" s="331">
        <v>0</v>
      </c>
      <c r="U564" s="328">
        <f>VLOOKUP(C564,METADATA!$J$5:$Q$29,IF(E564="HI",2,IF(E564="LO",6,10))+IF(T564=1,2,IF(D564=7,1,(IF(WEEKDAY(B564)=1,2,IF(WEEKDAY(B564)=7,1,0))))))</f>
        <v>1</v>
      </c>
      <c r="V564" s="328">
        <f>VLOOKUP(C564,METADATA!$A$5:$H$29,IF(E564="HI",2,IF(E564="LO",6,10))+IF(T564=1,2,IF(D564=7,1,(IF(WEEKDAY(B564)=1,2,IF(WEEKDAY(B564)=7,1,0))))))</f>
        <v>1</v>
      </c>
    </row>
    <row r="565" spans="2:22">
      <c r="B565" s="318">
        <f t="shared" si="35"/>
        <v>46136</v>
      </c>
      <c r="C565" s="312">
        <v>9</v>
      </c>
      <c r="D565" s="368">
        <f>IFERROR((INDEX(METADATA!$T$2:$T$20,MATCH(B565,METADATA!$S$2:$S$20,0))),0)</f>
        <v>0</v>
      </c>
      <c r="E565" s="312" t="str">
        <f t="shared" si="32"/>
        <v>LO</v>
      </c>
      <c r="F565" s="369">
        <f>VLOOKUP(C565,METADATA!$A$5:$H$29,IF(E565="HI",2,IF(E565="LO",6,10))+IF(D565=1,2,IF(D565=7,1,(IF(WEEKDAY(B565)=1,2,IF(WEEKDAY(B565)=7,1,0))))))</f>
        <v>2</v>
      </c>
      <c r="G565" s="369">
        <f>VLOOKUP(C565,METADATA!$J$5:$Q$29,IF(E565="HI",2,IF(E565="LO",6,10))+IF(D565=1,2,IF(D565=7,1,(IF(WEEKDAY(B565)=1,2,IF(WEEKDAY(B565)=7,1,0))))))</f>
        <v>2</v>
      </c>
      <c r="H565" s="370">
        <v>13639.130065917969</v>
      </c>
      <c r="I565" s="370">
        <v>3007.1829273700714</v>
      </c>
      <c r="M565" s="371">
        <f t="shared" si="33"/>
        <v>13966.71107002982</v>
      </c>
      <c r="N565" s="329">
        <f t="shared" si="34"/>
        <v>0</v>
      </c>
      <c r="T565" s="331">
        <v>0</v>
      </c>
      <c r="U565" s="328">
        <f>VLOOKUP(C565,METADATA!$J$5:$Q$29,IF(E565="HI",2,IF(E565="LO",6,10))+IF(T565=1,2,IF(D565=7,1,(IF(WEEKDAY(B565)=1,2,IF(WEEKDAY(B565)=7,1,0))))))</f>
        <v>2</v>
      </c>
      <c r="V565" s="328">
        <f>VLOOKUP(C565,METADATA!$A$5:$H$29,IF(E565="HI",2,IF(E565="LO",6,10))+IF(T565=1,2,IF(D565=7,1,(IF(WEEKDAY(B565)=1,2,IF(WEEKDAY(B565)=7,1,0))))))</f>
        <v>2</v>
      </c>
    </row>
    <row r="566" spans="2:22">
      <c r="B566" s="318">
        <f t="shared" si="35"/>
        <v>46136</v>
      </c>
      <c r="C566" s="312">
        <v>10</v>
      </c>
      <c r="D566" s="368">
        <f>IFERROR((INDEX(METADATA!$T$2:$T$20,MATCH(B566,METADATA!$S$2:$S$20,0))),0)</f>
        <v>0</v>
      </c>
      <c r="E566" s="312" t="str">
        <f t="shared" si="32"/>
        <v>LO</v>
      </c>
      <c r="F566" s="369">
        <f>VLOOKUP(C566,METADATA!$A$5:$H$29,IF(E566="HI",2,IF(E566="LO",6,10))+IF(D566=1,2,IF(D566=7,1,(IF(WEEKDAY(B566)=1,2,IF(WEEKDAY(B566)=7,1,0))))))</f>
        <v>2</v>
      </c>
      <c r="G566" s="369">
        <f>VLOOKUP(C566,METADATA!$J$5:$Q$29,IF(E566="HI",2,IF(E566="LO",6,10))+IF(D566=1,2,IF(D566=7,1,(IF(WEEKDAY(B566)=1,2,IF(WEEKDAY(B566)=7,1,0))))))</f>
        <v>2</v>
      </c>
      <c r="H566" s="370">
        <v>13687.074951171875</v>
      </c>
      <c r="I566" s="370">
        <v>3029.2660393714905</v>
      </c>
      <c r="M566" s="371">
        <f t="shared" si="33"/>
        <v>14018.290675267295</v>
      </c>
      <c r="N566" s="329">
        <f t="shared" si="34"/>
        <v>0</v>
      </c>
      <c r="T566" s="331">
        <v>0</v>
      </c>
      <c r="U566" s="328">
        <f>VLOOKUP(C566,METADATA!$J$5:$Q$29,IF(E566="HI",2,IF(E566="LO",6,10))+IF(T566=1,2,IF(D566=7,1,(IF(WEEKDAY(B566)=1,2,IF(WEEKDAY(B566)=7,1,0))))))</f>
        <v>2</v>
      </c>
      <c r="V566" s="328">
        <f>VLOOKUP(C566,METADATA!$A$5:$H$29,IF(E566="HI",2,IF(E566="LO",6,10))+IF(T566=1,2,IF(D566=7,1,(IF(WEEKDAY(B566)=1,2,IF(WEEKDAY(B566)=7,1,0))))))</f>
        <v>2</v>
      </c>
    </row>
    <row r="567" spans="2:22">
      <c r="B567" s="318">
        <f t="shared" si="35"/>
        <v>46136</v>
      </c>
      <c r="C567" s="312">
        <v>11</v>
      </c>
      <c r="D567" s="368">
        <f>IFERROR((INDEX(METADATA!$T$2:$T$20,MATCH(B567,METADATA!$S$2:$S$20,0))),0)</f>
        <v>0</v>
      </c>
      <c r="E567" s="312" t="str">
        <f t="shared" si="32"/>
        <v>LO</v>
      </c>
      <c r="F567" s="369">
        <f>VLOOKUP(C567,METADATA!$A$5:$H$29,IF(E567="HI",2,IF(E567="LO",6,10))+IF(D567=1,2,IF(D567=7,1,(IF(WEEKDAY(B567)=1,2,IF(WEEKDAY(B567)=7,1,0))))))</f>
        <v>2</v>
      </c>
      <c r="G567" s="369">
        <f>VLOOKUP(C567,METADATA!$J$5:$Q$29,IF(E567="HI",2,IF(E567="LO",6,10))+IF(D567=1,2,IF(D567=7,1,(IF(WEEKDAY(B567)=1,2,IF(WEEKDAY(B567)=7,1,0))))))</f>
        <v>2</v>
      </c>
      <c r="H567" s="370">
        <v>13591.269775390625</v>
      </c>
      <c r="I567" s="370">
        <v>3019.6235461235046</v>
      </c>
      <c r="M567" s="371">
        <f t="shared" si="33"/>
        <v>13922.670019351541</v>
      </c>
      <c r="N567" s="329">
        <f t="shared" si="34"/>
        <v>0</v>
      </c>
      <c r="T567" s="331">
        <v>0</v>
      </c>
      <c r="U567" s="328">
        <f>VLOOKUP(C567,METADATA!$J$5:$Q$29,IF(E567="HI",2,IF(E567="LO",6,10))+IF(T567=1,2,IF(D567=7,1,(IF(WEEKDAY(B567)=1,2,IF(WEEKDAY(B567)=7,1,0))))))</f>
        <v>2</v>
      </c>
      <c r="V567" s="328">
        <f>VLOOKUP(C567,METADATA!$A$5:$H$29,IF(E567="HI",2,IF(E567="LO",6,10))+IF(T567=1,2,IF(D567=7,1,(IF(WEEKDAY(B567)=1,2,IF(WEEKDAY(B567)=7,1,0))))))</f>
        <v>2</v>
      </c>
    </row>
    <row r="568" spans="2:22">
      <c r="B568" s="318">
        <f t="shared" si="35"/>
        <v>46136</v>
      </c>
      <c r="C568" s="312">
        <v>12</v>
      </c>
      <c r="D568" s="368">
        <f>IFERROR((INDEX(METADATA!$T$2:$T$20,MATCH(B568,METADATA!$S$2:$S$20,0))),0)</f>
        <v>0</v>
      </c>
      <c r="E568" s="312" t="str">
        <f t="shared" si="32"/>
        <v>LO</v>
      </c>
      <c r="F568" s="369">
        <f>VLOOKUP(C568,METADATA!$A$5:$H$29,IF(E568="HI",2,IF(E568="LO",6,10))+IF(D568=1,2,IF(D568=7,1,(IF(WEEKDAY(B568)=1,2,IF(WEEKDAY(B568)=7,1,0))))))</f>
        <v>2</v>
      </c>
      <c r="G568" s="369">
        <f>VLOOKUP(C568,METADATA!$J$5:$Q$29,IF(E568="HI",2,IF(E568="LO",6,10))+IF(D568=1,2,IF(D568=7,1,(IF(WEEKDAY(B568)=1,2,IF(WEEKDAY(B568)=7,1,0))))))</f>
        <v>2</v>
      </c>
      <c r="H568" s="370">
        <v>13641.239929199219</v>
      </c>
      <c r="I568" s="370">
        <v>3127.5794672966003</v>
      </c>
      <c r="M568" s="371">
        <f t="shared" si="33"/>
        <v>13995.184176359895</v>
      </c>
      <c r="N568" s="329">
        <f t="shared" si="34"/>
        <v>0</v>
      </c>
      <c r="T568" s="331">
        <v>0</v>
      </c>
      <c r="U568" s="328">
        <f>VLOOKUP(C568,METADATA!$J$5:$Q$29,IF(E568="HI",2,IF(E568="LO",6,10))+IF(T568=1,2,IF(D568=7,1,(IF(WEEKDAY(B568)=1,2,IF(WEEKDAY(B568)=7,1,0))))))</f>
        <v>2</v>
      </c>
      <c r="V568" s="328">
        <f>VLOOKUP(C568,METADATA!$A$5:$H$29,IF(E568="HI",2,IF(E568="LO",6,10))+IF(T568=1,2,IF(D568=7,1,(IF(WEEKDAY(B568)=1,2,IF(WEEKDAY(B568)=7,1,0))))))</f>
        <v>2</v>
      </c>
    </row>
    <row r="569" spans="2:22">
      <c r="B569" s="318">
        <f t="shared" si="35"/>
        <v>46136</v>
      </c>
      <c r="C569" s="312">
        <v>13</v>
      </c>
      <c r="D569" s="368">
        <f>IFERROR((INDEX(METADATA!$T$2:$T$20,MATCH(B569,METADATA!$S$2:$S$20,0))),0)</f>
        <v>0</v>
      </c>
      <c r="E569" s="312" t="str">
        <f t="shared" si="32"/>
        <v>LO</v>
      </c>
      <c r="F569" s="369">
        <f>VLOOKUP(C569,METADATA!$A$5:$H$29,IF(E569="HI",2,IF(E569="LO",6,10))+IF(D569=1,2,IF(D569=7,1,(IF(WEEKDAY(B569)=1,2,IF(WEEKDAY(B569)=7,1,0))))))</f>
        <v>2</v>
      </c>
      <c r="G569" s="369">
        <f>VLOOKUP(C569,METADATA!$J$5:$Q$29,IF(E569="HI",2,IF(E569="LO",6,10))+IF(D569=1,2,IF(D569=7,1,(IF(WEEKDAY(B569)=1,2,IF(WEEKDAY(B569)=7,1,0))))))</f>
        <v>2</v>
      </c>
      <c r="H569" s="370">
        <v>13597.604736328125</v>
      </c>
      <c r="I569" s="370">
        <v>3150.9220428466797</v>
      </c>
      <c r="M569" s="371">
        <f t="shared" si="33"/>
        <v>13957.906873364293</v>
      </c>
      <c r="N569" s="329">
        <f t="shared" si="34"/>
        <v>0</v>
      </c>
      <c r="T569" s="331">
        <v>0</v>
      </c>
      <c r="U569" s="328">
        <f>VLOOKUP(C569,METADATA!$J$5:$Q$29,IF(E569="HI",2,IF(E569="LO",6,10))+IF(T569=1,2,IF(D569=7,1,(IF(WEEKDAY(B569)=1,2,IF(WEEKDAY(B569)=7,1,0))))))</f>
        <v>2</v>
      </c>
      <c r="V569" s="328">
        <f>VLOOKUP(C569,METADATA!$A$5:$H$29,IF(E569="HI",2,IF(E569="LO",6,10))+IF(T569=1,2,IF(D569=7,1,(IF(WEEKDAY(B569)=1,2,IF(WEEKDAY(B569)=7,1,0))))))</f>
        <v>2</v>
      </c>
    </row>
    <row r="570" spans="2:22">
      <c r="B570" s="318">
        <f t="shared" si="35"/>
        <v>46136</v>
      </c>
      <c r="C570" s="312">
        <v>14</v>
      </c>
      <c r="D570" s="368">
        <f>IFERROR((INDEX(METADATA!$T$2:$T$20,MATCH(B570,METADATA!$S$2:$S$20,0))),0)</f>
        <v>0</v>
      </c>
      <c r="E570" s="312" t="str">
        <f t="shared" si="32"/>
        <v>LO</v>
      </c>
      <c r="F570" s="369">
        <f>VLOOKUP(C570,METADATA!$A$5:$H$29,IF(E570="HI",2,IF(E570="LO",6,10))+IF(D570=1,2,IF(D570=7,1,(IF(WEEKDAY(B570)=1,2,IF(WEEKDAY(B570)=7,1,0))))))</f>
        <v>2</v>
      </c>
      <c r="G570" s="369">
        <f>VLOOKUP(C570,METADATA!$J$5:$Q$29,IF(E570="HI",2,IF(E570="LO",6,10))+IF(D570=1,2,IF(D570=7,1,(IF(WEEKDAY(B570)=1,2,IF(WEEKDAY(B570)=7,1,0))))))</f>
        <v>2</v>
      </c>
      <c r="H570" s="370">
        <v>13645.540222167969</v>
      </c>
      <c r="I570" s="370">
        <v>3216.9034633636475</v>
      </c>
      <c r="M570" s="371">
        <f t="shared" si="33"/>
        <v>14019.601843397868</v>
      </c>
      <c r="N570" s="329">
        <f t="shared" si="34"/>
        <v>0</v>
      </c>
      <c r="T570" s="331">
        <v>0</v>
      </c>
      <c r="U570" s="328">
        <f>VLOOKUP(C570,METADATA!$J$5:$Q$29,IF(E570="HI",2,IF(E570="LO",6,10))+IF(T570=1,2,IF(D570=7,1,(IF(WEEKDAY(B570)=1,2,IF(WEEKDAY(B570)=7,1,0))))))</f>
        <v>2</v>
      </c>
      <c r="V570" s="328">
        <f>VLOOKUP(C570,METADATA!$A$5:$H$29,IF(E570="HI",2,IF(E570="LO",6,10))+IF(T570=1,2,IF(D570=7,1,(IF(WEEKDAY(B570)=1,2,IF(WEEKDAY(B570)=7,1,0))))))</f>
        <v>2</v>
      </c>
    </row>
    <row r="571" spans="2:22">
      <c r="B571" s="318">
        <f t="shared" si="35"/>
        <v>46136</v>
      </c>
      <c r="C571" s="312">
        <v>15</v>
      </c>
      <c r="D571" s="368">
        <f>IFERROR((INDEX(METADATA!$T$2:$T$20,MATCH(B571,METADATA!$S$2:$S$20,0))),0)</f>
        <v>0</v>
      </c>
      <c r="E571" s="312" t="str">
        <f t="shared" si="32"/>
        <v>LO</v>
      </c>
      <c r="F571" s="369">
        <f>VLOOKUP(C571,METADATA!$A$5:$H$29,IF(E571="HI",2,IF(E571="LO",6,10))+IF(D571=1,2,IF(D571=7,1,(IF(WEEKDAY(B571)=1,2,IF(WEEKDAY(B571)=7,1,0))))))</f>
        <v>2</v>
      </c>
      <c r="G571" s="369">
        <f>VLOOKUP(C571,METADATA!$J$5:$Q$29,IF(E571="HI",2,IF(E571="LO",6,10))+IF(D571=1,2,IF(D571=7,1,(IF(WEEKDAY(B571)=1,2,IF(WEEKDAY(B571)=7,1,0))))))</f>
        <v>2</v>
      </c>
      <c r="H571" s="370">
        <v>13644.870056152344</v>
      </c>
      <c r="I571" s="370">
        <v>3237.5555200576782</v>
      </c>
      <c r="M571" s="371">
        <f t="shared" si="33"/>
        <v>14023.702955879335</v>
      </c>
      <c r="N571" s="329">
        <f t="shared" si="34"/>
        <v>0</v>
      </c>
      <c r="T571" s="331">
        <v>0</v>
      </c>
      <c r="U571" s="328">
        <f>VLOOKUP(C571,METADATA!$J$5:$Q$29,IF(E571="HI",2,IF(E571="LO",6,10))+IF(T571=1,2,IF(D571=7,1,(IF(WEEKDAY(B571)=1,2,IF(WEEKDAY(B571)=7,1,0))))))</f>
        <v>2</v>
      </c>
      <c r="V571" s="328">
        <f>VLOOKUP(C571,METADATA!$A$5:$H$29,IF(E571="HI",2,IF(E571="LO",6,10))+IF(T571=1,2,IF(D571=7,1,(IF(WEEKDAY(B571)=1,2,IF(WEEKDAY(B571)=7,1,0))))))</f>
        <v>2</v>
      </c>
    </row>
    <row r="572" spans="2:22">
      <c r="B572" s="318">
        <f t="shared" si="35"/>
        <v>46136</v>
      </c>
      <c r="C572" s="312">
        <v>16</v>
      </c>
      <c r="D572" s="368">
        <f>IFERROR((INDEX(METADATA!$T$2:$T$20,MATCH(B572,METADATA!$S$2:$S$20,0))),0)</f>
        <v>0</v>
      </c>
      <c r="E572" s="312" t="str">
        <f t="shared" si="32"/>
        <v>LO</v>
      </c>
      <c r="F572" s="369">
        <f>VLOOKUP(C572,METADATA!$A$5:$H$29,IF(E572="HI",2,IF(E572="LO",6,10))+IF(D572=1,2,IF(D572=7,1,(IF(WEEKDAY(B572)=1,2,IF(WEEKDAY(B572)=7,1,0))))))</f>
        <v>2</v>
      </c>
      <c r="G572" s="369">
        <f>VLOOKUP(C572,METADATA!$J$5:$Q$29,IF(E572="HI",2,IF(E572="LO",6,10))+IF(D572=1,2,IF(D572=7,1,(IF(WEEKDAY(B572)=1,2,IF(WEEKDAY(B572)=7,1,0))))))</f>
        <v>2</v>
      </c>
      <c r="H572" s="370">
        <v>13565.279663085938</v>
      </c>
      <c r="I572" s="370">
        <v>3244.8410263061523</v>
      </c>
      <c r="M572" s="371">
        <f t="shared" si="33"/>
        <v>13947.967795479472</v>
      </c>
      <c r="N572" s="329">
        <f t="shared" si="34"/>
        <v>0</v>
      </c>
      <c r="T572" s="331">
        <v>0</v>
      </c>
      <c r="U572" s="328">
        <f>VLOOKUP(C572,METADATA!$J$5:$Q$29,IF(E572="HI",2,IF(E572="LO",6,10))+IF(T572=1,2,IF(D572=7,1,(IF(WEEKDAY(B572)=1,2,IF(WEEKDAY(B572)=7,1,0))))))</f>
        <v>2</v>
      </c>
      <c r="V572" s="328">
        <f>VLOOKUP(C572,METADATA!$A$5:$H$29,IF(E572="HI",2,IF(E572="LO",6,10))+IF(T572=1,2,IF(D572=7,1,(IF(WEEKDAY(B572)=1,2,IF(WEEKDAY(B572)=7,1,0))))))</f>
        <v>2</v>
      </c>
    </row>
    <row r="573" spans="2:22">
      <c r="B573" s="318">
        <f t="shared" si="35"/>
        <v>46136</v>
      </c>
      <c r="C573" s="312">
        <v>17</v>
      </c>
      <c r="D573" s="368">
        <f>IFERROR((INDEX(METADATA!$T$2:$T$20,MATCH(B573,METADATA!$S$2:$S$20,0))),0)</f>
        <v>0</v>
      </c>
      <c r="E573" s="312" t="str">
        <f t="shared" si="32"/>
        <v>LO</v>
      </c>
      <c r="F573" s="369">
        <f>VLOOKUP(C573,METADATA!$A$5:$H$29,IF(E573="HI",2,IF(E573="LO",6,10))+IF(D573=1,2,IF(D573=7,1,(IF(WEEKDAY(B573)=1,2,IF(WEEKDAY(B573)=7,1,0))))))</f>
        <v>2</v>
      </c>
      <c r="G573" s="369">
        <f>VLOOKUP(C573,METADATA!$J$5:$Q$29,IF(E573="HI",2,IF(E573="LO",6,10))+IF(D573=1,2,IF(D573=7,1,(IF(WEEKDAY(B573)=1,2,IF(WEEKDAY(B573)=7,1,0))))))</f>
        <v>2</v>
      </c>
      <c r="H573" s="370">
        <v>13588.665222167969</v>
      </c>
      <c r="I573" s="370">
        <v>3172.5454587936401</v>
      </c>
      <c r="M573" s="371">
        <f t="shared" si="33"/>
        <v>13954.098581000113</v>
      </c>
      <c r="N573" s="329">
        <f t="shared" si="34"/>
        <v>0</v>
      </c>
      <c r="T573" s="331">
        <v>0</v>
      </c>
      <c r="U573" s="328">
        <f>VLOOKUP(C573,METADATA!$J$5:$Q$29,IF(E573="HI",2,IF(E573="LO",6,10))+IF(T573=1,2,IF(D573=7,1,(IF(WEEKDAY(B573)=1,2,IF(WEEKDAY(B573)=7,1,0))))))</f>
        <v>2</v>
      </c>
      <c r="V573" s="328">
        <f>VLOOKUP(C573,METADATA!$A$5:$H$29,IF(E573="HI",2,IF(E573="LO",6,10))+IF(T573=1,2,IF(D573=7,1,(IF(WEEKDAY(B573)=1,2,IF(WEEKDAY(B573)=7,1,0))))))</f>
        <v>2</v>
      </c>
    </row>
    <row r="574" spans="2:22">
      <c r="B574" s="318">
        <f t="shared" si="35"/>
        <v>46136</v>
      </c>
      <c r="C574" s="312">
        <v>18</v>
      </c>
      <c r="D574" s="368">
        <f>IFERROR((INDEX(METADATA!$T$2:$T$20,MATCH(B574,METADATA!$S$2:$S$20,0))),0)</f>
        <v>0</v>
      </c>
      <c r="E574" s="312" t="str">
        <f t="shared" si="32"/>
        <v>LO</v>
      </c>
      <c r="F574" s="369">
        <f>VLOOKUP(C574,METADATA!$A$5:$H$29,IF(E574="HI",2,IF(E574="LO",6,10))+IF(D574=1,2,IF(D574=7,1,(IF(WEEKDAY(B574)=1,2,IF(WEEKDAY(B574)=7,1,0))))))</f>
        <v>1</v>
      </c>
      <c r="G574" s="369">
        <f>VLOOKUP(C574,METADATA!$J$5:$Q$29,IF(E574="HI",2,IF(E574="LO",6,10))+IF(D574=1,2,IF(D574=7,1,(IF(WEEKDAY(B574)=1,2,IF(WEEKDAY(B574)=7,1,0))))))</f>
        <v>1</v>
      </c>
      <c r="H574" s="370">
        <v>13691.260009765625</v>
      </c>
      <c r="I574" s="370">
        <v>3021.4700546264648</v>
      </c>
      <c r="M574" s="371">
        <f t="shared" si="33"/>
        <v>14020.69477401216</v>
      </c>
      <c r="N574" s="329">
        <f t="shared" si="34"/>
        <v>0</v>
      </c>
      <c r="T574" s="331">
        <v>0</v>
      </c>
      <c r="U574" s="328">
        <f>VLOOKUP(C574,METADATA!$J$5:$Q$29,IF(E574="HI",2,IF(E574="LO",6,10))+IF(T574=1,2,IF(D574=7,1,(IF(WEEKDAY(B574)=1,2,IF(WEEKDAY(B574)=7,1,0))))))</f>
        <v>1</v>
      </c>
      <c r="V574" s="328">
        <f>VLOOKUP(C574,METADATA!$A$5:$H$29,IF(E574="HI",2,IF(E574="LO",6,10))+IF(T574=1,2,IF(D574=7,1,(IF(WEEKDAY(B574)=1,2,IF(WEEKDAY(B574)=7,1,0))))))</f>
        <v>1</v>
      </c>
    </row>
    <row r="575" spans="2:22">
      <c r="B575" s="318">
        <f t="shared" si="35"/>
        <v>46136</v>
      </c>
      <c r="C575" s="312">
        <v>19</v>
      </c>
      <c r="D575" s="368">
        <f>IFERROR((INDEX(METADATA!$T$2:$T$20,MATCH(B575,METADATA!$S$2:$S$20,0))),0)</f>
        <v>0</v>
      </c>
      <c r="E575" s="312" t="str">
        <f t="shared" si="32"/>
        <v>LO</v>
      </c>
      <c r="F575" s="369">
        <f>VLOOKUP(C575,METADATA!$A$5:$H$29,IF(E575="HI",2,IF(E575="LO",6,10))+IF(D575=1,2,IF(D575=7,1,(IF(WEEKDAY(B575)=1,2,IF(WEEKDAY(B575)=7,1,0))))))</f>
        <v>1</v>
      </c>
      <c r="G575" s="369">
        <f>VLOOKUP(C575,METADATA!$J$5:$Q$29,IF(E575="HI",2,IF(E575="LO",6,10))+IF(D575=1,2,IF(D575=7,1,(IF(WEEKDAY(B575)=1,2,IF(WEEKDAY(B575)=7,1,0))))))</f>
        <v>1</v>
      </c>
      <c r="H575" s="370">
        <v>13637.380310058594</v>
      </c>
      <c r="I575" s="370">
        <v>3100.2195243835449</v>
      </c>
      <c r="M575" s="371">
        <f t="shared" si="33"/>
        <v>13985.331702199372</v>
      </c>
      <c r="N575" s="329">
        <f t="shared" si="34"/>
        <v>0</v>
      </c>
      <c r="T575" s="331">
        <v>0</v>
      </c>
      <c r="U575" s="328">
        <f>VLOOKUP(C575,METADATA!$J$5:$Q$29,IF(E575="HI",2,IF(E575="LO",6,10))+IF(T575=1,2,IF(D575=7,1,(IF(WEEKDAY(B575)=1,2,IF(WEEKDAY(B575)=7,1,0))))))</f>
        <v>1</v>
      </c>
      <c r="V575" s="328">
        <f>VLOOKUP(C575,METADATA!$A$5:$H$29,IF(E575="HI",2,IF(E575="LO",6,10))+IF(T575=1,2,IF(D575=7,1,(IF(WEEKDAY(B575)=1,2,IF(WEEKDAY(B575)=7,1,0))))))</f>
        <v>1</v>
      </c>
    </row>
    <row r="576" spans="2:22">
      <c r="B576" s="318">
        <f t="shared" si="35"/>
        <v>46136</v>
      </c>
      <c r="C576" s="312">
        <v>20</v>
      </c>
      <c r="D576" s="368">
        <f>IFERROR((INDEX(METADATA!$T$2:$T$20,MATCH(B576,METADATA!$S$2:$S$20,0))),0)</f>
        <v>0</v>
      </c>
      <c r="E576" s="312" t="str">
        <f t="shared" si="32"/>
        <v>LO</v>
      </c>
      <c r="F576" s="369">
        <f>VLOOKUP(C576,METADATA!$A$5:$H$29,IF(E576="HI",2,IF(E576="LO",6,10))+IF(D576=1,2,IF(D576=7,1,(IF(WEEKDAY(B576)=1,2,IF(WEEKDAY(B576)=7,1,0))))))</f>
        <v>1</v>
      </c>
      <c r="G576" s="369">
        <f>VLOOKUP(C576,METADATA!$J$5:$Q$29,IF(E576="HI",2,IF(E576="LO",6,10))+IF(D576=1,2,IF(D576=7,1,(IF(WEEKDAY(B576)=1,2,IF(WEEKDAY(B576)=7,1,0))))))</f>
        <v>1</v>
      </c>
      <c r="H576" s="370">
        <v>13702.899536132813</v>
      </c>
      <c r="I576" s="370">
        <v>3205.287015914917</v>
      </c>
      <c r="M576" s="371">
        <f t="shared" si="33"/>
        <v>14072.786524059178</v>
      </c>
      <c r="N576" s="329">
        <f t="shared" si="34"/>
        <v>0</v>
      </c>
      <c r="T576" s="331">
        <v>0</v>
      </c>
      <c r="U576" s="328">
        <f>VLOOKUP(C576,METADATA!$J$5:$Q$29,IF(E576="HI",2,IF(E576="LO",6,10))+IF(T576=1,2,IF(D576=7,1,(IF(WEEKDAY(B576)=1,2,IF(WEEKDAY(B576)=7,1,0))))))</f>
        <v>1</v>
      </c>
      <c r="V576" s="328">
        <f>VLOOKUP(C576,METADATA!$A$5:$H$29,IF(E576="HI",2,IF(E576="LO",6,10))+IF(T576=1,2,IF(D576=7,1,(IF(WEEKDAY(B576)=1,2,IF(WEEKDAY(B576)=7,1,0))))))</f>
        <v>1</v>
      </c>
    </row>
    <row r="577" spans="2:22">
      <c r="B577" s="318">
        <f t="shared" si="35"/>
        <v>46136</v>
      </c>
      <c r="C577" s="312">
        <v>21</v>
      </c>
      <c r="D577" s="368">
        <f>IFERROR((INDEX(METADATA!$T$2:$T$20,MATCH(B577,METADATA!$S$2:$S$20,0))),0)</f>
        <v>0</v>
      </c>
      <c r="E577" s="312" t="str">
        <f t="shared" si="32"/>
        <v>LO</v>
      </c>
      <c r="F577" s="369">
        <f>VLOOKUP(C577,METADATA!$A$5:$H$29,IF(E577="HI",2,IF(E577="LO",6,10))+IF(D577=1,2,IF(D577=7,1,(IF(WEEKDAY(B577)=1,2,IF(WEEKDAY(B577)=7,1,0))))))</f>
        <v>2</v>
      </c>
      <c r="G577" s="369">
        <f>VLOOKUP(C577,METADATA!$J$5:$Q$29,IF(E577="HI",2,IF(E577="LO",6,10))+IF(D577=1,2,IF(D577=7,1,(IF(WEEKDAY(B577)=1,2,IF(WEEKDAY(B577)=7,1,0))))))</f>
        <v>2</v>
      </c>
      <c r="H577" s="370">
        <v>13610.215087890625</v>
      </c>
      <c r="I577" s="370">
        <v>3225.9700031280518</v>
      </c>
      <c r="M577" s="371">
        <f t="shared" si="33"/>
        <v>13987.309862862394</v>
      </c>
      <c r="N577" s="329">
        <f t="shared" si="34"/>
        <v>0</v>
      </c>
      <c r="T577" s="331">
        <v>0</v>
      </c>
      <c r="U577" s="328">
        <f>VLOOKUP(C577,METADATA!$J$5:$Q$29,IF(E577="HI",2,IF(E577="LO",6,10))+IF(T577=1,2,IF(D577=7,1,(IF(WEEKDAY(B577)=1,2,IF(WEEKDAY(B577)=7,1,0))))))</f>
        <v>2</v>
      </c>
      <c r="V577" s="328">
        <f>VLOOKUP(C577,METADATA!$A$5:$H$29,IF(E577="HI",2,IF(E577="LO",6,10))+IF(T577=1,2,IF(D577=7,1,(IF(WEEKDAY(B577)=1,2,IF(WEEKDAY(B577)=7,1,0))))))</f>
        <v>2</v>
      </c>
    </row>
    <row r="578" spans="2:22">
      <c r="B578" s="318">
        <f t="shared" si="35"/>
        <v>46136</v>
      </c>
      <c r="C578" s="312">
        <v>22</v>
      </c>
      <c r="D578" s="368">
        <f>IFERROR((INDEX(METADATA!$T$2:$T$20,MATCH(B578,METADATA!$S$2:$S$20,0))),0)</f>
        <v>0</v>
      </c>
      <c r="E578" s="312" t="str">
        <f t="shared" si="32"/>
        <v>LO</v>
      </c>
      <c r="F578" s="369">
        <f>VLOOKUP(C578,METADATA!$A$5:$H$29,IF(E578="HI",2,IF(E578="LO",6,10))+IF(D578=1,2,IF(D578=7,1,(IF(WEEKDAY(B578)=1,2,IF(WEEKDAY(B578)=7,1,0))))))</f>
        <v>3</v>
      </c>
      <c r="G578" s="369">
        <f>VLOOKUP(C578,METADATA!$J$5:$Q$29,IF(E578="HI",2,IF(E578="LO",6,10))+IF(D578=1,2,IF(D578=7,1,(IF(WEEKDAY(B578)=1,2,IF(WEEKDAY(B578)=7,1,0))))))</f>
        <v>3</v>
      </c>
      <c r="H578" s="370">
        <v>13546.934875488281</v>
      </c>
      <c r="I578" s="370">
        <v>2743.3760166168213</v>
      </c>
      <c r="M578" s="371">
        <f t="shared" si="33"/>
        <v>13821.923038755102</v>
      </c>
      <c r="N578" s="329">
        <f t="shared" si="34"/>
        <v>0</v>
      </c>
      <c r="T578" s="331">
        <v>0</v>
      </c>
      <c r="U578" s="328">
        <f>VLOOKUP(C578,METADATA!$J$5:$Q$29,IF(E578="HI",2,IF(E578="LO",6,10))+IF(T578=1,2,IF(D578=7,1,(IF(WEEKDAY(B578)=1,2,IF(WEEKDAY(B578)=7,1,0))))))</f>
        <v>3</v>
      </c>
      <c r="V578" s="328">
        <f>VLOOKUP(C578,METADATA!$A$5:$H$29,IF(E578="HI",2,IF(E578="LO",6,10))+IF(T578=1,2,IF(D578=7,1,(IF(WEEKDAY(B578)=1,2,IF(WEEKDAY(B578)=7,1,0))))))</f>
        <v>3</v>
      </c>
    </row>
    <row r="579" spans="2:22">
      <c r="B579" s="318">
        <f t="shared" si="35"/>
        <v>46136</v>
      </c>
      <c r="C579" s="312">
        <v>23</v>
      </c>
      <c r="D579" s="368">
        <f>IFERROR((INDEX(METADATA!$T$2:$T$20,MATCH(B579,METADATA!$S$2:$S$20,0))),0)</f>
        <v>0</v>
      </c>
      <c r="E579" s="312" t="str">
        <f t="shared" si="32"/>
        <v>LO</v>
      </c>
      <c r="F579" s="369">
        <f>VLOOKUP(C579,METADATA!$A$5:$H$29,IF(E579="HI",2,IF(E579="LO",6,10))+IF(D579=1,2,IF(D579=7,1,(IF(WEEKDAY(B579)=1,2,IF(WEEKDAY(B579)=7,1,0))))))</f>
        <v>3</v>
      </c>
      <c r="G579" s="369">
        <f>VLOOKUP(C579,METADATA!$J$5:$Q$29,IF(E579="HI",2,IF(E579="LO",6,10))+IF(D579=1,2,IF(D579=7,1,(IF(WEEKDAY(B579)=1,2,IF(WEEKDAY(B579)=7,1,0))))))</f>
        <v>3</v>
      </c>
      <c r="H579" s="370">
        <v>13546.094909667969</v>
      </c>
      <c r="I579" s="370">
        <v>2411.8805418014526</v>
      </c>
      <c r="M579" s="371">
        <f t="shared" si="33"/>
        <v>13759.137147715803</v>
      </c>
      <c r="N579" s="329">
        <f t="shared" si="34"/>
        <v>0</v>
      </c>
      <c r="T579" s="331">
        <v>0</v>
      </c>
      <c r="U579" s="328">
        <f>VLOOKUP(C579,METADATA!$J$5:$Q$29,IF(E579="HI",2,IF(E579="LO",6,10))+IF(T579=1,2,IF(D579=7,1,(IF(WEEKDAY(B579)=1,2,IF(WEEKDAY(B579)=7,1,0))))))</f>
        <v>3</v>
      </c>
      <c r="V579" s="328">
        <f>VLOOKUP(C579,METADATA!$A$5:$H$29,IF(E579="HI",2,IF(E579="LO",6,10))+IF(T579=1,2,IF(D579=7,1,(IF(WEEKDAY(B579)=1,2,IF(WEEKDAY(B579)=7,1,0))))))</f>
        <v>3</v>
      </c>
    </row>
    <row r="580" spans="2:22">
      <c r="B580" s="318">
        <f t="shared" si="35"/>
        <v>46137</v>
      </c>
      <c r="C580" s="312">
        <v>0</v>
      </c>
      <c r="D580" s="368">
        <f>IFERROR((INDEX(METADATA!$T$2:$T$20,MATCH(B580,METADATA!$S$2:$S$20,0))),0)</f>
        <v>0</v>
      </c>
      <c r="E580" s="312" t="str">
        <f t="shared" ref="E580:E643" si="36">IF(B580="","",IF(AND(MONTH(B580)&gt;=MONTH($Z$9),MONTH(B580)&lt;=MONTH($Z$11)),"HI","LO"))</f>
        <v>LO</v>
      </c>
      <c r="F580" s="369">
        <f>VLOOKUP(C580,METADATA!$A$5:$H$29,IF(E580="HI",2,IF(E580="LO",6,10))+IF(D580=1,2,IF(D580=7,1,(IF(WEEKDAY(B580)=1,2,IF(WEEKDAY(B580)=7,1,0))))))</f>
        <v>3</v>
      </c>
      <c r="G580" s="369">
        <f>VLOOKUP(C580,METADATA!$J$5:$Q$29,IF(E580="HI",2,IF(E580="LO",6,10))+IF(D580=1,2,IF(D580=7,1,(IF(WEEKDAY(B580)=1,2,IF(WEEKDAY(B580)=7,1,0))))))</f>
        <v>3</v>
      </c>
      <c r="H580" s="370">
        <v>13647.725280761719</v>
      </c>
      <c r="I580" s="370">
        <v>2304.9115114212036</v>
      </c>
      <c r="M580" s="371">
        <f t="shared" ref="M580:M643" si="37">SQRT(H580^2+I580^2)</f>
        <v>13840.990658714589</v>
      </c>
      <c r="N580" s="329">
        <f t="shared" ref="N580:N643" si="38">IF(H580=0,0,(IF(I580-(0.3*H580)&lt;0,0,(I580-(0.3*H580)))))</f>
        <v>0</v>
      </c>
      <c r="T580" s="331">
        <v>0</v>
      </c>
      <c r="U580" s="328">
        <f>VLOOKUP(C580,METADATA!$J$5:$Q$29,IF(E580="HI",2,IF(E580="LO",6,10))+IF(T580=1,2,IF(D580=7,1,(IF(WEEKDAY(B580)=1,2,IF(WEEKDAY(B580)=7,1,0))))))</f>
        <v>3</v>
      </c>
      <c r="V580" s="328">
        <f>VLOOKUP(C580,METADATA!$A$5:$H$29,IF(E580="HI",2,IF(E580="LO",6,10))+IF(T580=1,2,IF(D580=7,1,(IF(WEEKDAY(B580)=1,2,IF(WEEKDAY(B580)=7,1,0))))))</f>
        <v>3</v>
      </c>
    </row>
    <row r="581" spans="2:22">
      <c r="B581" s="318">
        <f t="shared" si="35"/>
        <v>46137</v>
      </c>
      <c r="C581" s="312">
        <v>1</v>
      </c>
      <c r="D581" s="368">
        <f>IFERROR((INDEX(METADATA!$T$2:$T$20,MATCH(B581,METADATA!$S$2:$S$20,0))),0)</f>
        <v>0</v>
      </c>
      <c r="E581" s="312" t="str">
        <f t="shared" si="36"/>
        <v>LO</v>
      </c>
      <c r="F581" s="369">
        <f>VLOOKUP(C581,METADATA!$A$5:$H$29,IF(E581="HI",2,IF(E581="LO",6,10))+IF(D581=1,2,IF(D581=7,1,(IF(WEEKDAY(B581)=1,2,IF(WEEKDAY(B581)=7,1,0))))))</f>
        <v>3</v>
      </c>
      <c r="G581" s="369">
        <f>VLOOKUP(C581,METADATA!$J$5:$Q$29,IF(E581="HI",2,IF(E581="LO",6,10))+IF(D581=1,2,IF(D581=7,1,(IF(WEEKDAY(B581)=1,2,IF(WEEKDAY(B581)=7,1,0))))))</f>
        <v>3</v>
      </c>
      <c r="H581" s="370">
        <v>11609.85986328125</v>
      </c>
      <c r="I581" s="370">
        <v>1687.1285332143307</v>
      </c>
      <c r="M581" s="371">
        <f t="shared" si="37"/>
        <v>11731.805007440878</v>
      </c>
      <c r="N581" s="329">
        <f t="shared" si="38"/>
        <v>0</v>
      </c>
      <c r="T581" s="331">
        <v>0</v>
      </c>
      <c r="U581" s="328">
        <f>VLOOKUP(C581,METADATA!$J$5:$Q$29,IF(E581="HI",2,IF(E581="LO",6,10))+IF(T581=1,2,IF(D581=7,1,(IF(WEEKDAY(B581)=1,2,IF(WEEKDAY(B581)=7,1,0))))))</f>
        <v>3</v>
      </c>
      <c r="V581" s="328">
        <f>VLOOKUP(C581,METADATA!$A$5:$H$29,IF(E581="HI",2,IF(E581="LO",6,10))+IF(T581=1,2,IF(D581=7,1,(IF(WEEKDAY(B581)=1,2,IF(WEEKDAY(B581)=7,1,0))))))</f>
        <v>3</v>
      </c>
    </row>
    <row r="582" spans="2:22">
      <c r="B582" s="318">
        <f t="shared" si="35"/>
        <v>46137</v>
      </c>
      <c r="C582" s="312">
        <v>2</v>
      </c>
      <c r="D582" s="368">
        <f>IFERROR((INDEX(METADATA!$T$2:$T$20,MATCH(B582,METADATA!$S$2:$S$20,0))),0)</f>
        <v>0</v>
      </c>
      <c r="E582" s="312" t="str">
        <f t="shared" si="36"/>
        <v>LO</v>
      </c>
      <c r="F582" s="369">
        <f>VLOOKUP(C582,METADATA!$A$5:$H$29,IF(E582="HI",2,IF(E582="LO",6,10))+IF(D582=1,2,IF(D582=7,1,(IF(WEEKDAY(B582)=1,2,IF(WEEKDAY(B582)=7,1,0))))))</f>
        <v>3</v>
      </c>
      <c r="G582" s="369">
        <f>VLOOKUP(C582,METADATA!$J$5:$Q$29,IF(E582="HI",2,IF(E582="LO",6,10))+IF(D582=1,2,IF(D582=7,1,(IF(WEEKDAY(B582)=1,2,IF(WEEKDAY(B582)=7,1,0))))))</f>
        <v>3</v>
      </c>
      <c r="H582" s="370">
        <v>6752.6250610351563</v>
      </c>
      <c r="I582" s="370">
        <v>283.46249151229858</v>
      </c>
      <c r="M582" s="371">
        <f t="shared" si="37"/>
        <v>6758.5720532531432</v>
      </c>
      <c r="N582" s="329">
        <f t="shared" si="38"/>
        <v>0</v>
      </c>
      <c r="T582" s="331">
        <v>0</v>
      </c>
      <c r="U582" s="328">
        <f>VLOOKUP(C582,METADATA!$J$5:$Q$29,IF(E582="HI",2,IF(E582="LO",6,10))+IF(T582=1,2,IF(D582=7,1,(IF(WEEKDAY(B582)=1,2,IF(WEEKDAY(B582)=7,1,0))))))</f>
        <v>3</v>
      </c>
      <c r="V582" s="328">
        <f>VLOOKUP(C582,METADATA!$A$5:$H$29,IF(E582="HI",2,IF(E582="LO",6,10))+IF(T582=1,2,IF(D582=7,1,(IF(WEEKDAY(B582)=1,2,IF(WEEKDAY(B582)=7,1,0))))))</f>
        <v>3</v>
      </c>
    </row>
    <row r="583" spans="2:22">
      <c r="B583" s="318">
        <f t="shared" si="35"/>
        <v>46137</v>
      </c>
      <c r="C583" s="312">
        <v>3</v>
      </c>
      <c r="D583" s="368">
        <f>IFERROR((INDEX(METADATA!$T$2:$T$20,MATCH(B583,METADATA!$S$2:$S$20,0))),0)</f>
        <v>0</v>
      </c>
      <c r="E583" s="312" t="str">
        <f t="shared" si="36"/>
        <v>LO</v>
      </c>
      <c r="F583" s="369">
        <f>VLOOKUP(C583,METADATA!$A$5:$H$29,IF(E583="HI",2,IF(E583="LO",6,10))+IF(D583=1,2,IF(D583=7,1,(IF(WEEKDAY(B583)=1,2,IF(WEEKDAY(B583)=7,1,0))))))</f>
        <v>3</v>
      </c>
      <c r="G583" s="369">
        <f>VLOOKUP(C583,METADATA!$J$5:$Q$29,IF(E583="HI",2,IF(E583="LO",6,10))+IF(D583=1,2,IF(D583=7,1,(IF(WEEKDAY(B583)=1,2,IF(WEEKDAY(B583)=7,1,0))))))</f>
        <v>3</v>
      </c>
      <c r="H583" s="370">
        <v>8417.3447875976563</v>
      </c>
      <c r="I583" s="370">
        <v>515.78549229050986</v>
      </c>
      <c r="M583" s="371">
        <f t="shared" si="37"/>
        <v>8433.1327481164899</v>
      </c>
      <c r="N583" s="329">
        <f t="shared" si="38"/>
        <v>0</v>
      </c>
      <c r="T583" s="331">
        <v>0</v>
      </c>
      <c r="U583" s="328">
        <f>VLOOKUP(C583,METADATA!$J$5:$Q$29,IF(E583="HI",2,IF(E583="LO",6,10))+IF(T583=1,2,IF(D583=7,1,(IF(WEEKDAY(B583)=1,2,IF(WEEKDAY(B583)=7,1,0))))))</f>
        <v>3</v>
      </c>
      <c r="V583" s="328">
        <f>VLOOKUP(C583,METADATA!$A$5:$H$29,IF(E583="HI",2,IF(E583="LO",6,10))+IF(T583=1,2,IF(D583=7,1,(IF(WEEKDAY(B583)=1,2,IF(WEEKDAY(B583)=7,1,0))))))</f>
        <v>3</v>
      </c>
    </row>
    <row r="584" spans="2:22">
      <c r="B584" s="318">
        <f t="shared" si="35"/>
        <v>46137</v>
      </c>
      <c r="C584" s="312">
        <v>4</v>
      </c>
      <c r="D584" s="368">
        <f>IFERROR((INDEX(METADATA!$T$2:$T$20,MATCH(B584,METADATA!$S$2:$S$20,0))),0)</f>
        <v>0</v>
      </c>
      <c r="E584" s="312" t="str">
        <f t="shared" si="36"/>
        <v>LO</v>
      </c>
      <c r="F584" s="369">
        <f>VLOOKUP(C584,METADATA!$A$5:$H$29,IF(E584="HI",2,IF(E584="LO",6,10))+IF(D584=1,2,IF(D584=7,1,(IF(WEEKDAY(B584)=1,2,IF(WEEKDAY(B584)=7,1,0))))))</f>
        <v>3</v>
      </c>
      <c r="G584" s="369">
        <f>VLOOKUP(C584,METADATA!$J$5:$Q$29,IF(E584="HI",2,IF(E584="LO",6,10))+IF(D584=1,2,IF(D584=7,1,(IF(WEEKDAY(B584)=1,2,IF(WEEKDAY(B584)=7,1,0))))))</f>
        <v>3</v>
      </c>
      <c r="H584" s="370">
        <v>12315.46484375</v>
      </c>
      <c r="I584" s="370">
        <v>1087.0075213313103</v>
      </c>
      <c r="M584" s="371">
        <f t="shared" si="37"/>
        <v>12363.343385552027</v>
      </c>
      <c r="N584" s="329">
        <f t="shared" si="38"/>
        <v>0</v>
      </c>
      <c r="T584" s="331">
        <v>0</v>
      </c>
      <c r="U584" s="328">
        <f>VLOOKUP(C584,METADATA!$J$5:$Q$29,IF(E584="HI",2,IF(E584="LO",6,10))+IF(T584=1,2,IF(D584=7,1,(IF(WEEKDAY(B584)=1,2,IF(WEEKDAY(B584)=7,1,0))))))</f>
        <v>3</v>
      </c>
      <c r="V584" s="328">
        <f>VLOOKUP(C584,METADATA!$A$5:$H$29,IF(E584="HI",2,IF(E584="LO",6,10))+IF(T584=1,2,IF(D584=7,1,(IF(WEEKDAY(B584)=1,2,IF(WEEKDAY(B584)=7,1,0))))))</f>
        <v>3</v>
      </c>
    </row>
    <row r="585" spans="2:22">
      <c r="B585" s="318">
        <f t="shared" si="35"/>
        <v>46137</v>
      </c>
      <c r="C585" s="312">
        <v>5</v>
      </c>
      <c r="D585" s="368">
        <f>IFERROR((INDEX(METADATA!$T$2:$T$20,MATCH(B585,METADATA!$S$2:$S$20,0))),0)</f>
        <v>0</v>
      </c>
      <c r="E585" s="312" t="str">
        <f t="shared" si="36"/>
        <v>LO</v>
      </c>
      <c r="F585" s="369">
        <f>VLOOKUP(C585,METADATA!$A$5:$H$29,IF(E585="HI",2,IF(E585="LO",6,10))+IF(D585=1,2,IF(D585=7,1,(IF(WEEKDAY(B585)=1,2,IF(WEEKDAY(B585)=7,1,0))))))</f>
        <v>3</v>
      </c>
      <c r="G585" s="369">
        <f>VLOOKUP(C585,METADATA!$J$5:$Q$29,IF(E585="HI",2,IF(E585="LO",6,10))+IF(D585=1,2,IF(D585=7,1,(IF(WEEKDAY(B585)=1,2,IF(WEEKDAY(B585)=7,1,0))))))</f>
        <v>3</v>
      </c>
      <c r="H585" s="370">
        <v>12406.540100097656</v>
      </c>
      <c r="I585" s="370">
        <v>1207.5580159127712</v>
      </c>
      <c r="M585" s="371">
        <f t="shared" si="37"/>
        <v>12465.168816230542</v>
      </c>
      <c r="N585" s="329">
        <f t="shared" si="38"/>
        <v>0</v>
      </c>
      <c r="T585" s="331">
        <v>0</v>
      </c>
      <c r="U585" s="328">
        <f>VLOOKUP(C585,METADATA!$J$5:$Q$29,IF(E585="HI",2,IF(E585="LO",6,10))+IF(T585=1,2,IF(D585=7,1,(IF(WEEKDAY(B585)=1,2,IF(WEEKDAY(B585)=7,1,0))))))</f>
        <v>3</v>
      </c>
      <c r="V585" s="328">
        <f>VLOOKUP(C585,METADATA!$A$5:$H$29,IF(E585="HI",2,IF(E585="LO",6,10))+IF(T585=1,2,IF(D585=7,1,(IF(WEEKDAY(B585)=1,2,IF(WEEKDAY(B585)=7,1,0))))))</f>
        <v>3</v>
      </c>
    </row>
    <row r="586" spans="2:22">
      <c r="B586" s="318">
        <f t="shared" si="35"/>
        <v>46137</v>
      </c>
      <c r="C586" s="312">
        <v>6</v>
      </c>
      <c r="D586" s="368">
        <f>IFERROR((INDEX(METADATA!$T$2:$T$20,MATCH(B586,METADATA!$S$2:$S$20,0))),0)</f>
        <v>0</v>
      </c>
      <c r="E586" s="312" t="str">
        <f t="shared" si="36"/>
        <v>LO</v>
      </c>
      <c r="F586" s="369">
        <f>VLOOKUP(C586,METADATA!$A$5:$H$29,IF(E586="HI",2,IF(E586="LO",6,10))+IF(D586=1,2,IF(D586=7,1,(IF(WEEKDAY(B586)=1,2,IF(WEEKDAY(B586)=7,1,0))))))</f>
        <v>3</v>
      </c>
      <c r="G586" s="369">
        <f>VLOOKUP(C586,METADATA!$J$5:$Q$29,IF(E586="HI",2,IF(E586="LO",6,10))+IF(D586=1,2,IF(D586=7,1,(IF(WEEKDAY(B586)=1,2,IF(WEEKDAY(B586)=7,1,0))))))</f>
        <v>3</v>
      </c>
      <c r="H586" s="370">
        <v>12445.739868164063</v>
      </c>
      <c r="I586" s="370">
        <v>1248.5539875030518</v>
      </c>
      <c r="M586" s="371">
        <f t="shared" si="37"/>
        <v>12508.210420588477</v>
      </c>
      <c r="N586" s="329">
        <f t="shared" si="38"/>
        <v>0</v>
      </c>
      <c r="T586" s="331">
        <v>0</v>
      </c>
      <c r="U586" s="328">
        <f>VLOOKUP(C586,METADATA!$J$5:$Q$29,IF(E586="HI",2,IF(E586="LO",6,10))+IF(T586=1,2,IF(D586=7,1,(IF(WEEKDAY(B586)=1,2,IF(WEEKDAY(B586)=7,1,0))))))</f>
        <v>3</v>
      </c>
      <c r="V586" s="328">
        <f>VLOOKUP(C586,METADATA!$A$5:$H$29,IF(E586="HI",2,IF(E586="LO",6,10))+IF(T586=1,2,IF(D586=7,1,(IF(WEEKDAY(B586)=1,2,IF(WEEKDAY(B586)=7,1,0))))))</f>
        <v>3</v>
      </c>
    </row>
    <row r="587" spans="2:22">
      <c r="B587" s="318">
        <f t="shared" si="35"/>
        <v>46137</v>
      </c>
      <c r="C587" s="312">
        <v>7</v>
      </c>
      <c r="D587" s="368">
        <f>IFERROR((INDEX(METADATA!$T$2:$T$20,MATCH(B587,METADATA!$S$2:$S$20,0))),0)</f>
        <v>0</v>
      </c>
      <c r="E587" s="312" t="str">
        <f t="shared" si="36"/>
        <v>LO</v>
      </c>
      <c r="F587" s="369">
        <f>VLOOKUP(C587,METADATA!$A$5:$H$29,IF(E587="HI",2,IF(E587="LO",6,10))+IF(D587=1,2,IF(D587=7,1,(IF(WEEKDAY(B587)=1,2,IF(WEEKDAY(B587)=7,1,0))))))</f>
        <v>2</v>
      </c>
      <c r="G587" s="369">
        <f>VLOOKUP(C587,METADATA!$J$5:$Q$29,IF(E587="HI",2,IF(E587="LO",6,10))+IF(D587=1,2,IF(D587=7,1,(IF(WEEKDAY(B587)=1,2,IF(WEEKDAY(B587)=7,1,0))))))</f>
        <v>2</v>
      </c>
      <c r="H587" s="370">
        <v>12424.704772949219</v>
      </c>
      <c r="I587" s="370">
        <v>1174.2930288314819</v>
      </c>
      <c r="M587" s="371">
        <f t="shared" si="37"/>
        <v>12480.074231049641</v>
      </c>
      <c r="N587" s="329">
        <f t="shared" si="38"/>
        <v>0</v>
      </c>
      <c r="T587" s="331">
        <v>0</v>
      </c>
      <c r="U587" s="328">
        <f>VLOOKUP(C587,METADATA!$J$5:$Q$29,IF(E587="HI",2,IF(E587="LO",6,10))+IF(T587=1,2,IF(D587=7,1,(IF(WEEKDAY(B587)=1,2,IF(WEEKDAY(B587)=7,1,0))))))</f>
        <v>2</v>
      </c>
      <c r="V587" s="328">
        <f>VLOOKUP(C587,METADATA!$A$5:$H$29,IF(E587="HI",2,IF(E587="LO",6,10))+IF(T587=1,2,IF(D587=7,1,(IF(WEEKDAY(B587)=1,2,IF(WEEKDAY(B587)=7,1,0))))))</f>
        <v>2</v>
      </c>
    </row>
    <row r="588" spans="2:22">
      <c r="B588" s="318">
        <f t="shared" si="35"/>
        <v>46137</v>
      </c>
      <c r="C588" s="312">
        <v>8</v>
      </c>
      <c r="D588" s="368">
        <f>IFERROR((INDEX(METADATA!$T$2:$T$20,MATCH(B588,METADATA!$S$2:$S$20,0))),0)</f>
        <v>0</v>
      </c>
      <c r="E588" s="312" t="str">
        <f t="shared" si="36"/>
        <v>LO</v>
      </c>
      <c r="F588" s="369">
        <f>VLOOKUP(C588,METADATA!$A$5:$H$29,IF(E588="HI",2,IF(E588="LO",6,10))+IF(D588=1,2,IF(D588=7,1,(IF(WEEKDAY(B588)=1,2,IF(WEEKDAY(B588)=7,1,0))))))</f>
        <v>2</v>
      </c>
      <c r="G588" s="369">
        <f>VLOOKUP(C588,METADATA!$J$5:$Q$29,IF(E588="HI",2,IF(E588="LO",6,10))+IF(D588=1,2,IF(D588=7,1,(IF(WEEKDAY(B588)=1,2,IF(WEEKDAY(B588)=7,1,0))))))</f>
        <v>2</v>
      </c>
      <c r="H588" s="370">
        <v>12438.580078125</v>
      </c>
      <c r="I588" s="370">
        <v>1140.5050077438354</v>
      </c>
      <c r="M588" s="371">
        <f t="shared" si="37"/>
        <v>12490.757624444439</v>
      </c>
      <c r="N588" s="329">
        <f t="shared" si="38"/>
        <v>0</v>
      </c>
      <c r="T588" s="331">
        <v>0</v>
      </c>
      <c r="U588" s="328">
        <f>VLOOKUP(C588,METADATA!$J$5:$Q$29,IF(E588="HI",2,IF(E588="LO",6,10))+IF(T588=1,2,IF(D588=7,1,(IF(WEEKDAY(B588)=1,2,IF(WEEKDAY(B588)=7,1,0))))))</f>
        <v>2</v>
      </c>
      <c r="V588" s="328">
        <f>VLOOKUP(C588,METADATA!$A$5:$H$29,IF(E588="HI",2,IF(E588="LO",6,10))+IF(T588=1,2,IF(D588=7,1,(IF(WEEKDAY(B588)=1,2,IF(WEEKDAY(B588)=7,1,0))))))</f>
        <v>2</v>
      </c>
    </row>
    <row r="589" spans="2:22">
      <c r="B589" s="318">
        <f t="shared" si="35"/>
        <v>46137</v>
      </c>
      <c r="C589" s="312">
        <v>9</v>
      </c>
      <c r="D589" s="368">
        <f>IFERROR((INDEX(METADATA!$T$2:$T$20,MATCH(B589,METADATA!$S$2:$S$20,0))),0)</f>
        <v>0</v>
      </c>
      <c r="E589" s="312" t="str">
        <f t="shared" si="36"/>
        <v>LO</v>
      </c>
      <c r="F589" s="369">
        <f>VLOOKUP(C589,METADATA!$A$5:$H$29,IF(E589="HI",2,IF(E589="LO",6,10))+IF(D589=1,2,IF(D589=7,1,(IF(WEEKDAY(B589)=1,2,IF(WEEKDAY(B589)=7,1,0))))))</f>
        <v>2</v>
      </c>
      <c r="G589" s="369">
        <f>VLOOKUP(C589,METADATA!$J$5:$Q$29,IF(E589="HI",2,IF(E589="LO",6,10))+IF(D589=1,2,IF(D589=7,1,(IF(WEEKDAY(B589)=1,2,IF(WEEKDAY(B589)=7,1,0))))))</f>
        <v>2</v>
      </c>
      <c r="H589" s="370">
        <v>12339.700134277344</v>
      </c>
      <c r="I589" s="370">
        <v>1107.8405103683472</v>
      </c>
      <c r="M589" s="371">
        <f t="shared" si="37"/>
        <v>12389.330490397675</v>
      </c>
      <c r="N589" s="329">
        <f t="shared" si="38"/>
        <v>0</v>
      </c>
      <c r="T589" s="331">
        <v>0</v>
      </c>
      <c r="U589" s="328">
        <f>VLOOKUP(C589,METADATA!$J$5:$Q$29,IF(E589="HI",2,IF(E589="LO",6,10))+IF(T589=1,2,IF(D589=7,1,(IF(WEEKDAY(B589)=1,2,IF(WEEKDAY(B589)=7,1,0))))))</f>
        <v>2</v>
      </c>
      <c r="V589" s="328">
        <f>VLOOKUP(C589,METADATA!$A$5:$H$29,IF(E589="HI",2,IF(E589="LO",6,10))+IF(T589=1,2,IF(D589=7,1,(IF(WEEKDAY(B589)=1,2,IF(WEEKDAY(B589)=7,1,0))))))</f>
        <v>2</v>
      </c>
    </row>
    <row r="590" spans="2:22">
      <c r="B590" s="318">
        <f t="shared" si="35"/>
        <v>46137</v>
      </c>
      <c r="C590" s="312">
        <v>10</v>
      </c>
      <c r="D590" s="368">
        <f>IFERROR((INDEX(METADATA!$T$2:$T$20,MATCH(B590,METADATA!$S$2:$S$20,0))),0)</f>
        <v>0</v>
      </c>
      <c r="E590" s="312" t="str">
        <f t="shared" si="36"/>
        <v>LO</v>
      </c>
      <c r="F590" s="369">
        <f>VLOOKUP(C590,METADATA!$A$5:$H$29,IF(E590="HI",2,IF(E590="LO",6,10))+IF(D590=1,2,IF(D590=7,1,(IF(WEEKDAY(B590)=1,2,IF(WEEKDAY(B590)=7,1,0))))))</f>
        <v>2</v>
      </c>
      <c r="G590" s="369">
        <f>VLOOKUP(C590,METADATA!$J$5:$Q$29,IF(E590="HI",2,IF(E590="LO",6,10))+IF(D590=1,2,IF(D590=7,1,(IF(WEEKDAY(B590)=1,2,IF(WEEKDAY(B590)=7,1,0))))))</f>
        <v>2</v>
      </c>
      <c r="H590" s="370">
        <v>12101.56005859375</v>
      </c>
      <c r="I590" s="370">
        <v>1037.1109986305237</v>
      </c>
      <c r="M590" s="371">
        <f t="shared" si="37"/>
        <v>12145.919276663746</v>
      </c>
      <c r="N590" s="329">
        <f t="shared" si="38"/>
        <v>0</v>
      </c>
      <c r="T590" s="331">
        <v>0</v>
      </c>
      <c r="U590" s="328">
        <f>VLOOKUP(C590,METADATA!$J$5:$Q$29,IF(E590="HI",2,IF(E590="LO",6,10))+IF(T590=1,2,IF(D590=7,1,(IF(WEEKDAY(B590)=1,2,IF(WEEKDAY(B590)=7,1,0))))))</f>
        <v>2</v>
      </c>
      <c r="V590" s="328">
        <f>VLOOKUP(C590,METADATA!$A$5:$H$29,IF(E590="HI",2,IF(E590="LO",6,10))+IF(T590=1,2,IF(D590=7,1,(IF(WEEKDAY(B590)=1,2,IF(WEEKDAY(B590)=7,1,0))))))</f>
        <v>2</v>
      </c>
    </row>
    <row r="591" spans="2:22">
      <c r="B591" s="318">
        <f t="shared" si="35"/>
        <v>46137</v>
      </c>
      <c r="C591" s="312">
        <v>11</v>
      </c>
      <c r="D591" s="368">
        <f>IFERROR((INDEX(METADATA!$T$2:$T$20,MATCH(B591,METADATA!$S$2:$S$20,0))),0)</f>
        <v>0</v>
      </c>
      <c r="E591" s="312" t="str">
        <f t="shared" si="36"/>
        <v>LO</v>
      </c>
      <c r="F591" s="369">
        <f>VLOOKUP(C591,METADATA!$A$5:$H$29,IF(E591="HI",2,IF(E591="LO",6,10))+IF(D591=1,2,IF(D591=7,1,(IF(WEEKDAY(B591)=1,2,IF(WEEKDAY(B591)=7,1,0))))))</f>
        <v>2</v>
      </c>
      <c r="G591" s="369">
        <f>VLOOKUP(C591,METADATA!$J$5:$Q$29,IF(E591="HI",2,IF(E591="LO",6,10))+IF(D591=1,2,IF(D591=7,1,(IF(WEEKDAY(B591)=1,2,IF(WEEKDAY(B591)=7,1,0))))))</f>
        <v>2</v>
      </c>
      <c r="H591" s="370">
        <v>5252.9225158691406</v>
      </c>
      <c r="I591" s="370">
        <v>38.451000213623047</v>
      </c>
      <c r="M591" s="371">
        <f t="shared" si="37"/>
        <v>5253.0632432079483</v>
      </c>
      <c r="N591" s="329">
        <f t="shared" si="38"/>
        <v>0</v>
      </c>
      <c r="T591" s="331">
        <v>0</v>
      </c>
      <c r="U591" s="328">
        <f>VLOOKUP(C591,METADATA!$J$5:$Q$29,IF(E591="HI",2,IF(E591="LO",6,10))+IF(T591=1,2,IF(D591=7,1,(IF(WEEKDAY(B591)=1,2,IF(WEEKDAY(B591)=7,1,0))))))</f>
        <v>2</v>
      </c>
      <c r="V591" s="328">
        <f>VLOOKUP(C591,METADATA!$A$5:$H$29,IF(E591="HI",2,IF(E591="LO",6,10))+IF(T591=1,2,IF(D591=7,1,(IF(WEEKDAY(B591)=1,2,IF(WEEKDAY(B591)=7,1,0))))))</f>
        <v>2</v>
      </c>
    </row>
    <row r="592" spans="2:22">
      <c r="B592" s="318">
        <f t="shared" si="35"/>
        <v>46137</v>
      </c>
      <c r="C592" s="312">
        <v>12</v>
      </c>
      <c r="D592" s="368">
        <f>IFERROR((INDEX(METADATA!$T$2:$T$20,MATCH(B592,METADATA!$S$2:$S$20,0))),0)</f>
        <v>0</v>
      </c>
      <c r="E592" s="312" t="str">
        <f t="shared" si="36"/>
        <v>LO</v>
      </c>
      <c r="F592" s="369">
        <f>VLOOKUP(C592,METADATA!$A$5:$H$29,IF(E592="HI",2,IF(E592="LO",6,10))+IF(D592=1,2,IF(D592=7,1,(IF(WEEKDAY(B592)=1,2,IF(WEEKDAY(B592)=7,1,0))))))</f>
        <v>3</v>
      </c>
      <c r="G592" s="369">
        <f>VLOOKUP(C592,METADATA!$J$5:$Q$29,IF(E592="HI",2,IF(E592="LO",6,10))+IF(D592=1,2,IF(D592=7,1,(IF(WEEKDAY(B592)=1,2,IF(WEEKDAY(B592)=7,1,0))))))</f>
        <v>3</v>
      </c>
      <c r="H592" s="370">
        <v>9488.8778076171875</v>
      </c>
      <c r="I592" s="370">
        <v>598.67998504638672</v>
      </c>
      <c r="M592" s="371">
        <f t="shared" si="37"/>
        <v>9507.7452517610673</v>
      </c>
      <c r="N592" s="329">
        <f t="shared" si="38"/>
        <v>0</v>
      </c>
      <c r="T592" s="331">
        <v>0</v>
      </c>
      <c r="U592" s="328">
        <f>VLOOKUP(C592,METADATA!$J$5:$Q$29,IF(E592="HI",2,IF(E592="LO",6,10))+IF(T592=1,2,IF(D592=7,1,(IF(WEEKDAY(B592)=1,2,IF(WEEKDAY(B592)=7,1,0))))))</f>
        <v>3</v>
      </c>
      <c r="V592" s="328">
        <f>VLOOKUP(C592,METADATA!$A$5:$H$29,IF(E592="HI",2,IF(E592="LO",6,10))+IF(T592=1,2,IF(D592=7,1,(IF(WEEKDAY(B592)=1,2,IF(WEEKDAY(B592)=7,1,0))))))</f>
        <v>3</v>
      </c>
    </row>
    <row r="593" spans="2:22">
      <c r="B593" s="318">
        <f t="shared" si="35"/>
        <v>46137</v>
      </c>
      <c r="C593" s="312">
        <v>13</v>
      </c>
      <c r="D593" s="368">
        <f>IFERROR((INDEX(METADATA!$T$2:$T$20,MATCH(B593,METADATA!$S$2:$S$20,0))),0)</f>
        <v>0</v>
      </c>
      <c r="E593" s="312" t="str">
        <f t="shared" si="36"/>
        <v>LO</v>
      </c>
      <c r="F593" s="369">
        <f>VLOOKUP(C593,METADATA!$A$5:$H$29,IF(E593="HI",2,IF(E593="LO",6,10))+IF(D593=1,2,IF(D593=7,1,(IF(WEEKDAY(B593)=1,2,IF(WEEKDAY(B593)=7,1,0))))))</f>
        <v>3</v>
      </c>
      <c r="G593" s="369">
        <f>VLOOKUP(C593,METADATA!$J$5:$Q$29,IF(E593="HI",2,IF(E593="LO",6,10))+IF(D593=1,2,IF(D593=7,1,(IF(WEEKDAY(B593)=1,2,IF(WEEKDAY(B593)=7,1,0))))))</f>
        <v>3</v>
      </c>
      <c r="H593" s="370">
        <v>11703.14990234375</v>
      </c>
      <c r="I593" s="370">
        <v>1001.3254971504211</v>
      </c>
      <c r="M593" s="371">
        <f t="shared" si="37"/>
        <v>11745.908665913083</v>
      </c>
      <c r="N593" s="329">
        <f t="shared" si="38"/>
        <v>0</v>
      </c>
      <c r="T593" s="331">
        <v>0</v>
      </c>
      <c r="U593" s="328">
        <f>VLOOKUP(C593,METADATA!$J$5:$Q$29,IF(E593="HI",2,IF(E593="LO",6,10))+IF(T593=1,2,IF(D593=7,1,(IF(WEEKDAY(B593)=1,2,IF(WEEKDAY(B593)=7,1,0))))))</f>
        <v>3</v>
      </c>
      <c r="V593" s="328">
        <f>VLOOKUP(C593,METADATA!$A$5:$H$29,IF(E593="HI",2,IF(E593="LO",6,10))+IF(T593=1,2,IF(D593=7,1,(IF(WEEKDAY(B593)=1,2,IF(WEEKDAY(B593)=7,1,0))))))</f>
        <v>3</v>
      </c>
    </row>
    <row r="594" spans="2:22">
      <c r="B594" s="318">
        <f t="shared" si="35"/>
        <v>46137</v>
      </c>
      <c r="C594" s="312">
        <v>14</v>
      </c>
      <c r="D594" s="368">
        <f>IFERROR((INDEX(METADATA!$T$2:$T$20,MATCH(B594,METADATA!$S$2:$S$20,0))),0)</f>
        <v>0</v>
      </c>
      <c r="E594" s="312" t="str">
        <f t="shared" si="36"/>
        <v>LO</v>
      </c>
      <c r="F594" s="369">
        <f>VLOOKUP(C594,METADATA!$A$5:$H$29,IF(E594="HI",2,IF(E594="LO",6,10))+IF(D594=1,2,IF(D594=7,1,(IF(WEEKDAY(B594)=1,2,IF(WEEKDAY(B594)=7,1,0))))))</f>
        <v>3</v>
      </c>
      <c r="G594" s="369">
        <f>VLOOKUP(C594,METADATA!$J$5:$Q$29,IF(E594="HI",2,IF(E594="LO",6,10))+IF(D594=1,2,IF(D594=7,1,(IF(WEEKDAY(B594)=1,2,IF(WEEKDAY(B594)=7,1,0))))))</f>
        <v>3</v>
      </c>
      <c r="H594" s="370">
        <v>12246.024597167969</v>
      </c>
      <c r="I594" s="370">
        <v>1170.4099922180176</v>
      </c>
      <c r="M594" s="371">
        <f t="shared" si="37"/>
        <v>12301.82823747457</v>
      </c>
      <c r="N594" s="329">
        <f t="shared" si="38"/>
        <v>0</v>
      </c>
      <c r="T594" s="331">
        <v>0</v>
      </c>
      <c r="U594" s="328">
        <f>VLOOKUP(C594,METADATA!$J$5:$Q$29,IF(E594="HI",2,IF(E594="LO",6,10))+IF(T594=1,2,IF(D594=7,1,(IF(WEEKDAY(B594)=1,2,IF(WEEKDAY(B594)=7,1,0))))))</f>
        <v>3</v>
      </c>
      <c r="V594" s="328">
        <f>VLOOKUP(C594,METADATA!$A$5:$H$29,IF(E594="HI",2,IF(E594="LO",6,10))+IF(T594=1,2,IF(D594=7,1,(IF(WEEKDAY(B594)=1,2,IF(WEEKDAY(B594)=7,1,0))))))</f>
        <v>3</v>
      </c>
    </row>
    <row r="595" spans="2:22">
      <c r="B595" s="318">
        <f t="shared" si="35"/>
        <v>46137</v>
      </c>
      <c r="C595" s="312">
        <v>15</v>
      </c>
      <c r="D595" s="368">
        <f>IFERROR((INDEX(METADATA!$T$2:$T$20,MATCH(B595,METADATA!$S$2:$S$20,0))),0)</f>
        <v>0</v>
      </c>
      <c r="E595" s="312" t="str">
        <f t="shared" si="36"/>
        <v>LO</v>
      </c>
      <c r="F595" s="369">
        <f>VLOOKUP(C595,METADATA!$A$5:$H$29,IF(E595="HI",2,IF(E595="LO",6,10))+IF(D595=1,2,IF(D595=7,1,(IF(WEEKDAY(B595)=1,2,IF(WEEKDAY(B595)=7,1,0))))))</f>
        <v>3</v>
      </c>
      <c r="G595" s="369">
        <f>VLOOKUP(C595,METADATA!$J$5:$Q$29,IF(E595="HI",2,IF(E595="LO",6,10))+IF(D595=1,2,IF(D595=7,1,(IF(WEEKDAY(B595)=1,2,IF(WEEKDAY(B595)=7,1,0))))))</f>
        <v>3</v>
      </c>
      <c r="H595" s="370">
        <v>10562.194641113281</v>
      </c>
      <c r="I595" s="370">
        <v>796.68051999807358</v>
      </c>
      <c r="M595" s="371">
        <f t="shared" si="37"/>
        <v>10592.197859165326</v>
      </c>
      <c r="N595" s="329">
        <f t="shared" si="38"/>
        <v>0</v>
      </c>
      <c r="T595" s="331">
        <v>0</v>
      </c>
      <c r="U595" s="328">
        <f>VLOOKUP(C595,METADATA!$J$5:$Q$29,IF(E595="HI",2,IF(E595="LO",6,10))+IF(T595=1,2,IF(D595=7,1,(IF(WEEKDAY(B595)=1,2,IF(WEEKDAY(B595)=7,1,0))))))</f>
        <v>3</v>
      </c>
      <c r="V595" s="328">
        <f>VLOOKUP(C595,METADATA!$A$5:$H$29,IF(E595="HI",2,IF(E595="LO",6,10))+IF(T595=1,2,IF(D595=7,1,(IF(WEEKDAY(B595)=1,2,IF(WEEKDAY(B595)=7,1,0))))))</f>
        <v>3</v>
      </c>
    </row>
    <row r="596" spans="2:22">
      <c r="B596" s="318">
        <f t="shared" si="35"/>
        <v>46137</v>
      </c>
      <c r="C596" s="312">
        <v>16</v>
      </c>
      <c r="D596" s="368">
        <f>IFERROR((INDEX(METADATA!$T$2:$T$20,MATCH(B596,METADATA!$S$2:$S$20,0))),0)</f>
        <v>0</v>
      </c>
      <c r="E596" s="312" t="str">
        <f t="shared" si="36"/>
        <v>LO</v>
      </c>
      <c r="F596" s="369">
        <f>VLOOKUP(C596,METADATA!$A$5:$H$29,IF(E596="HI",2,IF(E596="LO",6,10))+IF(D596=1,2,IF(D596=7,1,(IF(WEEKDAY(B596)=1,2,IF(WEEKDAY(B596)=7,1,0))))))</f>
        <v>3</v>
      </c>
      <c r="G596" s="369">
        <f>VLOOKUP(C596,METADATA!$J$5:$Q$29,IF(E596="HI",2,IF(E596="LO",6,10))+IF(D596=1,2,IF(D596=7,1,(IF(WEEKDAY(B596)=1,2,IF(WEEKDAY(B596)=7,1,0))))))</f>
        <v>3</v>
      </c>
      <c r="H596" s="370">
        <v>10773.059753417969</v>
      </c>
      <c r="I596" s="370">
        <v>1327.9199829101563</v>
      </c>
      <c r="M596" s="371">
        <f t="shared" si="37"/>
        <v>10854.592941779352</v>
      </c>
      <c r="N596" s="329">
        <f t="shared" si="38"/>
        <v>0</v>
      </c>
      <c r="T596" s="331">
        <v>0</v>
      </c>
      <c r="U596" s="328">
        <f>VLOOKUP(C596,METADATA!$J$5:$Q$29,IF(E596="HI",2,IF(E596="LO",6,10))+IF(T596=1,2,IF(D596=7,1,(IF(WEEKDAY(B596)=1,2,IF(WEEKDAY(B596)=7,1,0))))))</f>
        <v>3</v>
      </c>
      <c r="V596" s="328">
        <f>VLOOKUP(C596,METADATA!$A$5:$H$29,IF(E596="HI",2,IF(E596="LO",6,10))+IF(T596=1,2,IF(D596=7,1,(IF(WEEKDAY(B596)=1,2,IF(WEEKDAY(B596)=7,1,0))))))</f>
        <v>3</v>
      </c>
    </row>
    <row r="597" spans="2:22">
      <c r="B597" s="318">
        <f t="shared" si="35"/>
        <v>46137</v>
      </c>
      <c r="C597" s="312">
        <v>17</v>
      </c>
      <c r="D597" s="368">
        <f>IFERROR((INDEX(METADATA!$T$2:$T$20,MATCH(B597,METADATA!$S$2:$S$20,0))),0)</f>
        <v>0</v>
      </c>
      <c r="E597" s="312" t="str">
        <f t="shared" si="36"/>
        <v>LO</v>
      </c>
      <c r="F597" s="369">
        <f>VLOOKUP(C597,METADATA!$A$5:$H$29,IF(E597="HI",2,IF(E597="LO",6,10))+IF(D597=1,2,IF(D597=7,1,(IF(WEEKDAY(B597)=1,2,IF(WEEKDAY(B597)=7,1,0))))))</f>
        <v>3</v>
      </c>
      <c r="G597" s="369">
        <f>VLOOKUP(C597,METADATA!$J$5:$Q$29,IF(E597="HI",2,IF(E597="LO",6,10))+IF(D597=1,2,IF(D597=7,1,(IF(WEEKDAY(B597)=1,2,IF(WEEKDAY(B597)=7,1,0))))))</f>
        <v>3</v>
      </c>
      <c r="H597" s="370">
        <v>13062.179748535156</v>
      </c>
      <c r="I597" s="370">
        <v>2170.1484830379486</v>
      </c>
      <c r="M597" s="371">
        <f t="shared" si="37"/>
        <v>13241.226688697459</v>
      </c>
      <c r="N597" s="329">
        <f t="shared" si="38"/>
        <v>0</v>
      </c>
      <c r="T597" s="331">
        <v>0</v>
      </c>
      <c r="U597" s="328">
        <f>VLOOKUP(C597,METADATA!$J$5:$Q$29,IF(E597="HI",2,IF(E597="LO",6,10))+IF(T597=1,2,IF(D597=7,1,(IF(WEEKDAY(B597)=1,2,IF(WEEKDAY(B597)=7,1,0))))))</f>
        <v>3</v>
      </c>
      <c r="V597" s="328">
        <f>VLOOKUP(C597,METADATA!$A$5:$H$29,IF(E597="HI",2,IF(E597="LO",6,10))+IF(T597=1,2,IF(D597=7,1,(IF(WEEKDAY(B597)=1,2,IF(WEEKDAY(B597)=7,1,0))))))</f>
        <v>3</v>
      </c>
    </row>
    <row r="598" spans="2:22">
      <c r="B598" s="318">
        <f t="shared" si="35"/>
        <v>46137</v>
      </c>
      <c r="C598" s="312">
        <v>18</v>
      </c>
      <c r="D598" s="368">
        <f>IFERROR((INDEX(METADATA!$T$2:$T$20,MATCH(B598,METADATA!$S$2:$S$20,0))),0)</f>
        <v>0</v>
      </c>
      <c r="E598" s="312" t="str">
        <f t="shared" si="36"/>
        <v>LO</v>
      </c>
      <c r="F598" s="369">
        <f>VLOOKUP(C598,METADATA!$A$5:$H$29,IF(E598="HI",2,IF(E598="LO",6,10))+IF(D598=1,2,IF(D598=7,1,(IF(WEEKDAY(B598)=1,2,IF(WEEKDAY(B598)=7,1,0))))))</f>
        <v>2</v>
      </c>
      <c r="G598" s="369">
        <f>VLOOKUP(C598,METADATA!$J$5:$Q$29,IF(E598="HI",2,IF(E598="LO",6,10))+IF(D598=1,2,IF(D598=7,1,(IF(WEEKDAY(B598)=1,2,IF(WEEKDAY(B598)=7,1,0))))))</f>
        <v>2</v>
      </c>
      <c r="H598" s="370">
        <v>13358.360107421875</v>
      </c>
      <c r="I598" s="370">
        <v>2244.216010093689</v>
      </c>
      <c r="M598" s="371">
        <f t="shared" si="37"/>
        <v>13545.563489922484</v>
      </c>
      <c r="N598" s="329">
        <f t="shared" si="38"/>
        <v>0</v>
      </c>
      <c r="T598" s="331">
        <v>0</v>
      </c>
      <c r="U598" s="328">
        <f>VLOOKUP(C598,METADATA!$J$5:$Q$29,IF(E598="HI",2,IF(E598="LO",6,10))+IF(T598=1,2,IF(D598=7,1,(IF(WEEKDAY(B598)=1,2,IF(WEEKDAY(B598)=7,1,0))))))</f>
        <v>2</v>
      </c>
      <c r="V598" s="328">
        <f>VLOOKUP(C598,METADATA!$A$5:$H$29,IF(E598="HI",2,IF(E598="LO",6,10))+IF(T598=1,2,IF(D598=7,1,(IF(WEEKDAY(B598)=1,2,IF(WEEKDAY(B598)=7,1,0))))))</f>
        <v>2</v>
      </c>
    </row>
    <row r="599" spans="2:22">
      <c r="B599" s="318">
        <f t="shared" si="35"/>
        <v>46137</v>
      </c>
      <c r="C599" s="312">
        <v>19</v>
      </c>
      <c r="D599" s="368">
        <f>IFERROR((INDEX(METADATA!$T$2:$T$20,MATCH(B599,METADATA!$S$2:$S$20,0))),0)</f>
        <v>0</v>
      </c>
      <c r="E599" s="312" t="str">
        <f t="shared" si="36"/>
        <v>LO</v>
      </c>
      <c r="F599" s="369">
        <f>VLOOKUP(C599,METADATA!$A$5:$H$29,IF(E599="HI",2,IF(E599="LO",6,10))+IF(D599=1,2,IF(D599=7,1,(IF(WEEKDAY(B599)=1,2,IF(WEEKDAY(B599)=7,1,0))))))</f>
        <v>2</v>
      </c>
      <c r="G599" s="369">
        <f>VLOOKUP(C599,METADATA!$J$5:$Q$29,IF(E599="HI",2,IF(E599="LO",6,10))+IF(D599=1,2,IF(D599=7,1,(IF(WEEKDAY(B599)=1,2,IF(WEEKDAY(B599)=7,1,0))))))</f>
        <v>2</v>
      </c>
      <c r="H599" s="370">
        <v>13411.0751953125</v>
      </c>
      <c r="I599" s="370">
        <v>2289.8164720535278</v>
      </c>
      <c r="M599" s="371">
        <f t="shared" si="37"/>
        <v>13605.153338717424</v>
      </c>
      <c r="N599" s="329">
        <f t="shared" si="38"/>
        <v>0</v>
      </c>
      <c r="T599" s="331">
        <v>0</v>
      </c>
      <c r="U599" s="328">
        <f>VLOOKUP(C599,METADATA!$J$5:$Q$29,IF(E599="HI",2,IF(E599="LO",6,10))+IF(T599=1,2,IF(D599=7,1,(IF(WEEKDAY(B599)=1,2,IF(WEEKDAY(B599)=7,1,0))))))</f>
        <v>2</v>
      </c>
      <c r="V599" s="328">
        <f>VLOOKUP(C599,METADATA!$A$5:$H$29,IF(E599="HI",2,IF(E599="LO",6,10))+IF(T599=1,2,IF(D599=7,1,(IF(WEEKDAY(B599)=1,2,IF(WEEKDAY(B599)=7,1,0))))))</f>
        <v>2</v>
      </c>
    </row>
    <row r="600" spans="2:22">
      <c r="B600" s="318">
        <f t="shared" si="35"/>
        <v>46137</v>
      </c>
      <c r="C600" s="312">
        <v>20</v>
      </c>
      <c r="D600" s="368">
        <f>IFERROR((INDEX(METADATA!$T$2:$T$20,MATCH(B600,METADATA!$S$2:$S$20,0))),0)</f>
        <v>0</v>
      </c>
      <c r="E600" s="312" t="str">
        <f t="shared" si="36"/>
        <v>LO</v>
      </c>
      <c r="F600" s="369">
        <f>VLOOKUP(C600,METADATA!$A$5:$H$29,IF(E600="HI",2,IF(E600="LO",6,10))+IF(D600=1,2,IF(D600=7,1,(IF(WEEKDAY(B600)=1,2,IF(WEEKDAY(B600)=7,1,0))))))</f>
        <v>3</v>
      </c>
      <c r="G600" s="369">
        <f>VLOOKUP(C600,METADATA!$J$5:$Q$29,IF(E600="HI",2,IF(E600="LO",6,10))+IF(D600=1,2,IF(D600=7,1,(IF(WEEKDAY(B600)=1,2,IF(WEEKDAY(B600)=7,1,0))))))</f>
        <v>3</v>
      </c>
      <c r="H600" s="370">
        <v>13372.925231933594</v>
      </c>
      <c r="I600" s="370">
        <v>2265.7454862594604</v>
      </c>
      <c r="M600" s="371">
        <f t="shared" si="37"/>
        <v>13563.507358621931</v>
      </c>
      <c r="N600" s="329">
        <f t="shared" si="38"/>
        <v>0</v>
      </c>
      <c r="T600" s="331">
        <v>0</v>
      </c>
      <c r="U600" s="328">
        <f>VLOOKUP(C600,METADATA!$J$5:$Q$29,IF(E600="HI",2,IF(E600="LO",6,10))+IF(T600=1,2,IF(D600=7,1,(IF(WEEKDAY(B600)=1,2,IF(WEEKDAY(B600)=7,1,0))))))</f>
        <v>3</v>
      </c>
      <c r="V600" s="328">
        <f>VLOOKUP(C600,METADATA!$A$5:$H$29,IF(E600="HI",2,IF(E600="LO",6,10))+IF(T600=1,2,IF(D600=7,1,(IF(WEEKDAY(B600)=1,2,IF(WEEKDAY(B600)=7,1,0))))))</f>
        <v>3</v>
      </c>
    </row>
    <row r="601" spans="2:22">
      <c r="B601" s="318">
        <f t="shared" si="35"/>
        <v>46137</v>
      </c>
      <c r="C601" s="312">
        <v>21</v>
      </c>
      <c r="D601" s="368">
        <f>IFERROR((INDEX(METADATA!$T$2:$T$20,MATCH(B601,METADATA!$S$2:$S$20,0))),0)</f>
        <v>0</v>
      </c>
      <c r="E601" s="312" t="str">
        <f t="shared" si="36"/>
        <v>LO</v>
      </c>
      <c r="F601" s="369">
        <f>VLOOKUP(C601,METADATA!$A$5:$H$29,IF(E601="HI",2,IF(E601="LO",6,10))+IF(D601=1,2,IF(D601=7,1,(IF(WEEKDAY(B601)=1,2,IF(WEEKDAY(B601)=7,1,0))))))</f>
        <v>3</v>
      </c>
      <c r="G601" s="369">
        <f>VLOOKUP(C601,METADATA!$J$5:$Q$29,IF(E601="HI",2,IF(E601="LO",6,10))+IF(D601=1,2,IF(D601=7,1,(IF(WEEKDAY(B601)=1,2,IF(WEEKDAY(B601)=7,1,0))))))</f>
        <v>3</v>
      </c>
      <c r="H601" s="370">
        <v>13358.239990234375</v>
      </c>
      <c r="I601" s="370">
        <v>2304.8150520324707</v>
      </c>
      <c r="M601" s="371">
        <f t="shared" si="37"/>
        <v>13555.616845454593</v>
      </c>
      <c r="N601" s="329">
        <f t="shared" si="38"/>
        <v>0</v>
      </c>
      <c r="T601" s="331">
        <v>0</v>
      </c>
      <c r="U601" s="328">
        <f>VLOOKUP(C601,METADATA!$J$5:$Q$29,IF(E601="HI",2,IF(E601="LO",6,10))+IF(T601=1,2,IF(D601=7,1,(IF(WEEKDAY(B601)=1,2,IF(WEEKDAY(B601)=7,1,0))))))</f>
        <v>3</v>
      </c>
      <c r="V601" s="328">
        <f>VLOOKUP(C601,METADATA!$A$5:$H$29,IF(E601="HI",2,IF(E601="LO",6,10))+IF(T601=1,2,IF(D601=7,1,(IF(WEEKDAY(B601)=1,2,IF(WEEKDAY(B601)=7,1,0))))))</f>
        <v>3</v>
      </c>
    </row>
    <row r="602" spans="2:22">
      <c r="B602" s="318">
        <f t="shared" si="35"/>
        <v>46137</v>
      </c>
      <c r="C602" s="312">
        <v>22</v>
      </c>
      <c r="D602" s="368">
        <f>IFERROR((INDEX(METADATA!$T$2:$T$20,MATCH(B602,METADATA!$S$2:$S$20,0))),0)</f>
        <v>0</v>
      </c>
      <c r="E602" s="312" t="str">
        <f t="shared" si="36"/>
        <v>LO</v>
      </c>
      <c r="F602" s="369">
        <f>VLOOKUP(C602,METADATA!$A$5:$H$29,IF(E602="HI",2,IF(E602="LO",6,10))+IF(D602=1,2,IF(D602=7,1,(IF(WEEKDAY(B602)=1,2,IF(WEEKDAY(B602)=7,1,0))))))</f>
        <v>3</v>
      </c>
      <c r="G602" s="369">
        <f>VLOOKUP(C602,METADATA!$J$5:$Q$29,IF(E602="HI",2,IF(E602="LO",6,10))+IF(D602=1,2,IF(D602=7,1,(IF(WEEKDAY(B602)=1,2,IF(WEEKDAY(B602)=7,1,0))))))</f>
        <v>3</v>
      </c>
      <c r="H602" s="370">
        <v>13335.9150390625</v>
      </c>
      <c r="I602" s="370">
        <v>2267.376953125</v>
      </c>
      <c r="M602" s="371">
        <f t="shared" si="37"/>
        <v>13527.291974990994</v>
      </c>
      <c r="N602" s="329">
        <f t="shared" si="38"/>
        <v>0</v>
      </c>
      <c r="T602" s="331">
        <v>0</v>
      </c>
      <c r="U602" s="328">
        <f>VLOOKUP(C602,METADATA!$J$5:$Q$29,IF(E602="HI",2,IF(E602="LO",6,10))+IF(T602=1,2,IF(D602=7,1,(IF(WEEKDAY(B602)=1,2,IF(WEEKDAY(B602)=7,1,0))))))</f>
        <v>3</v>
      </c>
      <c r="V602" s="328">
        <f>VLOOKUP(C602,METADATA!$A$5:$H$29,IF(E602="HI",2,IF(E602="LO",6,10))+IF(T602=1,2,IF(D602=7,1,(IF(WEEKDAY(B602)=1,2,IF(WEEKDAY(B602)=7,1,0))))))</f>
        <v>3</v>
      </c>
    </row>
    <row r="603" spans="2:22">
      <c r="B603" s="318">
        <f t="shared" si="35"/>
        <v>46137</v>
      </c>
      <c r="C603" s="312">
        <v>23</v>
      </c>
      <c r="D603" s="368">
        <f>IFERROR((INDEX(METADATA!$T$2:$T$20,MATCH(B603,METADATA!$S$2:$S$20,0))),0)</f>
        <v>0</v>
      </c>
      <c r="E603" s="312" t="str">
        <f t="shared" si="36"/>
        <v>LO</v>
      </c>
      <c r="F603" s="369">
        <f>VLOOKUP(C603,METADATA!$A$5:$H$29,IF(E603="HI",2,IF(E603="LO",6,10))+IF(D603=1,2,IF(D603=7,1,(IF(WEEKDAY(B603)=1,2,IF(WEEKDAY(B603)=7,1,0))))))</f>
        <v>3</v>
      </c>
      <c r="G603" s="369">
        <f>VLOOKUP(C603,METADATA!$J$5:$Q$29,IF(E603="HI",2,IF(E603="LO",6,10))+IF(D603=1,2,IF(D603=7,1,(IF(WEEKDAY(B603)=1,2,IF(WEEKDAY(B603)=7,1,0))))))</f>
        <v>3</v>
      </c>
      <c r="H603" s="370">
        <v>13369.019653320313</v>
      </c>
      <c r="I603" s="370">
        <v>2301.7664594650269</v>
      </c>
      <c r="M603" s="371">
        <f t="shared" si="37"/>
        <v>13565.722071632712</v>
      </c>
      <c r="N603" s="329">
        <f t="shared" si="38"/>
        <v>0</v>
      </c>
      <c r="T603" s="331">
        <v>0</v>
      </c>
      <c r="U603" s="328">
        <f>VLOOKUP(C603,METADATA!$J$5:$Q$29,IF(E603="HI",2,IF(E603="LO",6,10))+IF(T603=1,2,IF(D603=7,1,(IF(WEEKDAY(B603)=1,2,IF(WEEKDAY(B603)=7,1,0))))))</f>
        <v>3</v>
      </c>
      <c r="V603" s="328">
        <f>VLOOKUP(C603,METADATA!$A$5:$H$29,IF(E603="HI",2,IF(E603="LO",6,10))+IF(T603=1,2,IF(D603=7,1,(IF(WEEKDAY(B603)=1,2,IF(WEEKDAY(B603)=7,1,0))))))</f>
        <v>3</v>
      </c>
    </row>
    <row r="604" spans="2:22">
      <c r="B604" s="318">
        <f t="shared" ref="B604:B667" si="39">B580+1</f>
        <v>46138</v>
      </c>
      <c r="C604" s="312">
        <v>0</v>
      </c>
      <c r="D604" s="368">
        <f>IFERROR((INDEX(METADATA!$T$2:$T$20,MATCH(B604,METADATA!$S$2:$S$20,0))),0)</f>
        <v>0</v>
      </c>
      <c r="E604" s="312" t="str">
        <f t="shared" si="36"/>
        <v>LO</v>
      </c>
      <c r="F604" s="369">
        <f>VLOOKUP(C604,METADATA!$A$5:$H$29,IF(E604="HI",2,IF(E604="LO",6,10))+IF(D604=1,2,IF(D604=7,1,(IF(WEEKDAY(B604)=1,2,IF(WEEKDAY(B604)=7,1,0))))))</f>
        <v>3</v>
      </c>
      <c r="G604" s="369">
        <f>VLOOKUP(C604,METADATA!$J$5:$Q$29,IF(E604="HI",2,IF(E604="LO",6,10))+IF(D604=1,2,IF(D604=7,1,(IF(WEEKDAY(B604)=1,2,IF(WEEKDAY(B604)=7,1,0))))))</f>
        <v>3</v>
      </c>
      <c r="H604" s="370">
        <v>13383.309631347656</v>
      </c>
      <c r="I604" s="370">
        <v>2376.9854316711426</v>
      </c>
      <c r="M604" s="371">
        <f t="shared" si="37"/>
        <v>13592.756763471483</v>
      </c>
      <c r="N604" s="329">
        <f t="shared" si="38"/>
        <v>0</v>
      </c>
      <c r="T604" s="331">
        <v>0</v>
      </c>
      <c r="U604" s="328">
        <f>VLOOKUP(C604,METADATA!$J$5:$Q$29,IF(E604="HI",2,IF(E604="LO",6,10))+IF(T604=1,2,IF(D604=7,1,(IF(WEEKDAY(B604)=1,2,IF(WEEKDAY(B604)=7,1,0))))))</f>
        <v>3</v>
      </c>
      <c r="V604" s="328">
        <f>VLOOKUP(C604,METADATA!$A$5:$H$29,IF(E604="HI",2,IF(E604="LO",6,10))+IF(T604=1,2,IF(D604=7,1,(IF(WEEKDAY(B604)=1,2,IF(WEEKDAY(B604)=7,1,0))))))</f>
        <v>3</v>
      </c>
    </row>
    <row r="605" spans="2:22">
      <c r="B605" s="318">
        <f t="shared" si="39"/>
        <v>46138</v>
      </c>
      <c r="C605" s="312">
        <v>1</v>
      </c>
      <c r="D605" s="368">
        <f>IFERROR((INDEX(METADATA!$T$2:$T$20,MATCH(B605,METADATA!$S$2:$S$20,0))),0)</f>
        <v>0</v>
      </c>
      <c r="E605" s="312" t="str">
        <f t="shared" si="36"/>
        <v>LO</v>
      </c>
      <c r="F605" s="369">
        <f>VLOOKUP(C605,METADATA!$A$5:$H$29,IF(E605="HI",2,IF(E605="LO",6,10))+IF(D605=1,2,IF(D605=7,1,(IF(WEEKDAY(B605)=1,2,IF(WEEKDAY(B605)=7,1,0))))))</f>
        <v>3</v>
      </c>
      <c r="G605" s="369">
        <f>VLOOKUP(C605,METADATA!$J$5:$Q$29,IF(E605="HI",2,IF(E605="LO",6,10))+IF(D605=1,2,IF(D605=7,1,(IF(WEEKDAY(B605)=1,2,IF(WEEKDAY(B605)=7,1,0))))))</f>
        <v>3</v>
      </c>
      <c r="H605" s="370">
        <v>13511.544921875</v>
      </c>
      <c r="I605" s="370">
        <v>2382.6959800720215</v>
      </c>
      <c r="M605" s="371">
        <f t="shared" si="37"/>
        <v>13720.025011248976</v>
      </c>
      <c r="N605" s="329">
        <f t="shared" si="38"/>
        <v>0</v>
      </c>
      <c r="T605" s="331">
        <v>0</v>
      </c>
      <c r="U605" s="328">
        <f>VLOOKUP(C605,METADATA!$J$5:$Q$29,IF(E605="HI",2,IF(E605="LO",6,10))+IF(T605=1,2,IF(D605=7,1,(IF(WEEKDAY(B605)=1,2,IF(WEEKDAY(B605)=7,1,0))))))</f>
        <v>3</v>
      </c>
      <c r="V605" s="328">
        <f>VLOOKUP(C605,METADATA!$A$5:$H$29,IF(E605="HI",2,IF(E605="LO",6,10))+IF(T605=1,2,IF(D605=7,1,(IF(WEEKDAY(B605)=1,2,IF(WEEKDAY(B605)=7,1,0))))))</f>
        <v>3</v>
      </c>
    </row>
    <row r="606" spans="2:22">
      <c r="B606" s="318">
        <f t="shared" si="39"/>
        <v>46138</v>
      </c>
      <c r="C606" s="312">
        <v>2</v>
      </c>
      <c r="D606" s="368">
        <f>IFERROR((INDEX(METADATA!$T$2:$T$20,MATCH(B606,METADATA!$S$2:$S$20,0))),0)</f>
        <v>0</v>
      </c>
      <c r="E606" s="312" t="str">
        <f t="shared" si="36"/>
        <v>LO</v>
      </c>
      <c r="F606" s="369">
        <f>VLOOKUP(C606,METADATA!$A$5:$H$29,IF(E606="HI",2,IF(E606="LO",6,10))+IF(D606=1,2,IF(D606=7,1,(IF(WEEKDAY(B606)=1,2,IF(WEEKDAY(B606)=7,1,0))))))</f>
        <v>3</v>
      </c>
      <c r="G606" s="369">
        <f>VLOOKUP(C606,METADATA!$J$5:$Q$29,IF(E606="HI",2,IF(E606="LO",6,10))+IF(D606=1,2,IF(D606=7,1,(IF(WEEKDAY(B606)=1,2,IF(WEEKDAY(B606)=7,1,0))))))</f>
        <v>3</v>
      </c>
      <c r="H606" s="370">
        <v>13521.27978515625</v>
      </c>
      <c r="I606" s="370">
        <v>2387.9729804992676</v>
      </c>
      <c r="M606" s="371">
        <f t="shared" si="37"/>
        <v>13730.528831187443</v>
      </c>
      <c r="N606" s="329">
        <f t="shared" si="38"/>
        <v>0</v>
      </c>
      <c r="T606" s="331">
        <v>0</v>
      </c>
      <c r="U606" s="328">
        <f>VLOOKUP(C606,METADATA!$J$5:$Q$29,IF(E606="HI",2,IF(E606="LO",6,10))+IF(T606=1,2,IF(D606=7,1,(IF(WEEKDAY(B606)=1,2,IF(WEEKDAY(B606)=7,1,0))))))</f>
        <v>3</v>
      </c>
      <c r="V606" s="328">
        <f>VLOOKUP(C606,METADATA!$A$5:$H$29,IF(E606="HI",2,IF(E606="LO",6,10))+IF(T606=1,2,IF(D606=7,1,(IF(WEEKDAY(B606)=1,2,IF(WEEKDAY(B606)=7,1,0))))))</f>
        <v>3</v>
      </c>
    </row>
    <row r="607" spans="2:22">
      <c r="B607" s="318">
        <f t="shared" si="39"/>
        <v>46138</v>
      </c>
      <c r="C607" s="312">
        <v>3</v>
      </c>
      <c r="D607" s="368">
        <f>IFERROR((INDEX(METADATA!$T$2:$T$20,MATCH(B607,METADATA!$S$2:$S$20,0))),0)</f>
        <v>0</v>
      </c>
      <c r="E607" s="312" t="str">
        <f t="shared" si="36"/>
        <v>LO</v>
      </c>
      <c r="F607" s="369">
        <f>VLOOKUP(C607,METADATA!$A$5:$H$29,IF(E607="HI",2,IF(E607="LO",6,10))+IF(D607=1,2,IF(D607=7,1,(IF(WEEKDAY(B607)=1,2,IF(WEEKDAY(B607)=7,1,0))))))</f>
        <v>3</v>
      </c>
      <c r="G607" s="369">
        <f>VLOOKUP(C607,METADATA!$J$5:$Q$29,IF(E607="HI",2,IF(E607="LO",6,10))+IF(D607=1,2,IF(D607=7,1,(IF(WEEKDAY(B607)=1,2,IF(WEEKDAY(B607)=7,1,0))))))</f>
        <v>3</v>
      </c>
      <c r="H607" s="370">
        <v>13263.715026855469</v>
      </c>
      <c r="I607" s="370">
        <v>2284.152533531189</v>
      </c>
      <c r="M607" s="371">
        <f t="shared" si="37"/>
        <v>13458.95572138004</v>
      </c>
      <c r="N607" s="329">
        <f t="shared" si="38"/>
        <v>0</v>
      </c>
      <c r="T607" s="331">
        <v>0</v>
      </c>
      <c r="U607" s="328">
        <f>VLOOKUP(C607,METADATA!$J$5:$Q$29,IF(E607="HI",2,IF(E607="LO",6,10))+IF(T607=1,2,IF(D607=7,1,(IF(WEEKDAY(B607)=1,2,IF(WEEKDAY(B607)=7,1,0))))))</f>
        <v>3</v>
      </c>
      <c r="V607" s="328">
        <f>VLOOKUP(C607,METADATA!$A$5:$H$29,IF(E607="HI",2,IF(E607="LO",6,10))+IF(T607=1,2,IF(D607=7,1,(IF(WEEKDAY(B607)=1,2,IF(WEEKDAY(B607)=7,1,0))))))</f>
        <v>3</v>
      </c>
    </row>
    <row r="608" spans="2:22">
      <c r="B608" s="318">
        <f t="shared" si="39"/>
        <v>46138</v>
      </c>
      <c r="C608" s="312">
        <v>4</v>
      </c>
      <c r="D608" s="368">
        <f>IFERROR((INDEX(METADATA!$T$2:$T$20,MATCH(B608,METADATA!$S$2:$S$20,0))),0)</f>
        <v>0</v>
      </c>
      <c r="E608" s="312" t="str">
        <f t="shared" si="36"/>
        <v>LO</v>
      </c>
      <c r="F608" s="369">
        <f>VLOOKUP(C608,METADATA!$A$5:$H$29,IF(E608="HI",2,IF(E608="LO",6,10))+IF(D608=1,2,IF(D608=7,1,(IF(WEEKDAY(B608)=1,2,IF(WEEKDAY(B608)=7,1,0))))))</f>
        <v>3</v>
      </c>
      <c r="G608" s="369">
        <f>VLOOKUP(C608,METADATA!$J$5:$Q$29,IF(E608="HI",2,IF(E608="LO",6,10))+IF(D608=1,2,IF(D608=7,1,(IF(WEEKDAY(B608)=1,2,IF(WEEKDAY(B608)=7,1,0))))))</f>
        <v>3</v>
      </c>
      <c r="H608" s="370">
        <v>13082.714599609375</v>
      </c>
      <c r="I608" s="370">
        <v>2097.6974639892578</v>
      </c>
      <c r="M608" s="371">
        <f t="shared" si="37"/>
        <v>13249.820977856993</v>
      </c>
      <c r="N608" s="329">
        <f t="shared" si="38"/>
        <v>0</v>
      </c>
      <c r="T608" s="331">
        <v>0</v>
      </c>
      <c r="U608" s="328">
        <f>VLOOKUP(C608,METADATA!$J$5:$Q$29,IF(E608="HI",2,IF(E608="LO",6,10))+IF(T608=1,2,IF(D608=7,1,(IF(WEEKDAY(B608)=1,2,IF(WEEKDAY(B608)=7,1,0))))))</f>
        <v>3</v>
      </c>
      <c r="V608" s="328">
        <f>VLOOKUP(C608,METADATA!$A$5:$H$29,IF(E608="HI",2,IF(E608="LO",6,10))+IF(T608=1,2,IF(D608=7,1,(IF(WEEKDAY(B608)=1,2,IF(WEEKDAY(B608)=7,1,0))))))</f>
        <v>3</v>
      </c>
    </row>
    <row r="609" spans="2:22">
      <c r="B609" s="318">
        <f t="shared" si="39"/>
        <v>46138</v>
      </c>
      <c r="C609" s="312">
        <v>5</v>
      </c>
      <c r="D609" s="368">
        <f>IFERROR((INDEX(METADATA!$T$2:$T$20,MATCH(B609,METADATA!$S$2:$S$20,0))),0)</f>
        <v>0</v>
      </c>
      <c r="E609" s="312" t="str">
        <f t="shared" si="36"/>
        <v>LO</v>
      </c>
      <c r="F609" s="369">
        <f>VLOOKUP(C609,METADATA!$A$5:$H$29,IF(E609="HI",2,IF(E609="LO",6,10))+IF(D609=1,2,IF(D609=7,1,(IF(WEEKDAY(B609)=1,2,IF(WEEKDAY(B609)=7,1,0))))))</f>
        <v>3</v>
      </c>
      <c r="G609" s="369">
        <f>VLOOKUP(C609,METADATA!$J$5:$Q$29,IF(E609="HI",2,IF(E609="LO",6,10))+IF(D609=1,2,IF(D609=7,1,(IF(WEEKDAY(B609)=1,2,IF(WEEKDAY(B609)=7,1,0))))))</f>
        <v>3</v>
      </c>
      <c r="H609" s="370">
        <v>13320.6650390625</v>
      </c>
      <c r="I609" s="370">
        <v>2207.469970703125</v>
      </c>
      <c r="M609" s="371">
        <f t="shared" si="37"/>
        <v>13502.334640885554</v>
      </c>
      <c r="N609" s="329">
        <f t="shared" si="38"/>
        <v>0</v>
      </c>
      <c r="T609" s="331">
        <v>0</v>
      </c>
      <c r="U609" s="328">
        <f>VLOOKUP(C609,METADATA!$J$5:$Q$29,IF(E609="HI",2,IF(E609="LO",6,10))+IF(T609=1,2,IF(D609=7,1,(IF(WEEKDAY(B609)=1,2,IF(WEEKDAY(B609)=7,1,0))))))</f>
        <v>3</v>
      </c>
      <c r="V609" s="328">
        <f>VLOOKUP(C609,METADATA!$A$5:$H$29,IF(E609="HI",2,IF(E609="LO",6,10))+IF(T609=1,2,IF(D609=7,1,(IF(WEEKDAY(B609)=1,2,IF(WEEKDAY(B609)=7,1,0))))))</f>
        <v>3</v>
      </c>
    </row>
    <row r="610" spans="2:22">
      <c r="B610" s="318">
        <f t="shared" si="39"/>
        <v>46138</v>
      </c>
      <c r="C610" s="312">
        <v>6</v>
      </c>
      <c r="D610" s="368">
        <f>IFERROR((INDEX(METADATA!$T$2:$T$20,MATCH(B610,METADATA!$S$2:$S$20,0))),0)</f>
        <v>0</v>
      </c>
      <c r="E610" s="312" t="str">
        <f t="shared" si="36"/>
        <v>LO</v>
      </c>
      <c r="F610" s="369">
        <f>VLOOKUP(C610,METADATA!$A$5:$H$29,IF(E610="HI",2,IF(E610="LO",6,10))+IF(D610=1,2,IF(D610=7,1,(IF(WEEKDAY(B610)=1,2,IF(WEEKDAY(B610)=7,1,0))))))</f>
        <v>3</v>
      </c>
      <c r="G610" s="369">
        <f>VLOOKUP(C610,METADATA!$J$5:$Q$29,IF(E610="HI",2,IF(E610="LO",6,10))+IF(D610=1,2,IF(D610=7,1,(IF(WEEKDAY(B610)=1,2,IF(WEEKDAY(B610)=7,1,0))))))</f>
        <v>3</v>
      </c>
      <c r="H610" s="370">
        <v>13453.100280761719</v>
      </c>
      <c r="I610" s="370">
        <v>2152.3450012207031</v>
      </c>
      <c r="M610" s="371">
        <f t="shared" si="37"/>
        <v>13624.187908587828</v>
      </c>
      <c r="N610" s="329">
        <f t="shared" si="38"/>
        <v>0</v>
      </c>
      <c r="T610" s="331">
        <v>0</v>
      </c>
      <c r="U610" s="328">
        <f>VLOOKUP(C610,METADATA!$J$5:$Q$29,IF(E610="HI",2,IF(E610="LO",6,10))+IF(T610=1,2,IF(D610=7,1,(IF(WEEKDAY(B610)=1,2,IF(WEEKDAY(B610)=7,1,0))))))</f>
        <v>3</v>
      </c>
      <c r="V610" s="328">
        <f>VLOOKUP(C610,METADATA!$A$5:$H$29,IF(E610="HI",2,IF(E610="LO",6,10))+IF(T610=1,2,IF(D610=7,1,(IF(WEEKDAY(B610)=1,2,IF(WEEKDAY(B610)=7,1,0))))))</f>
        <v>3</v>
      </c>
    </row>
    <row r="611" spans="2:22">
      <c r="B611" s="318">
        <f t="shared" si="39"/>
        <v>46138</v>
      </c>
      <c r="C611" s="312">
        <v>7</v>
      </c>
      <c r="D611" s="368">
        <f>IFERROR((INDEX(METADATA!$T$2:$T$20,MATCH(B611,METADATA!$S$2:$S$20,0))),0)</f>
        <v>0</v>
      </c>
      <c r="E611" s="312" t="str">
        <f t="shared" si="36"/>
        <v>LO</v>
      </c>
      <c r="F611" s="369">
        <f>VLOOKUP(C611,METADATA!$A$5:$H$29,IF(E611="HI",2,IF(E611="LO",6,10))+IF(D611=1,2,IF(D611=7,1,(IF(WEEKDAY(B611)=1,2,IF(WEEKDAY(B611)=7,1,0))))))</f>
        <v>3</v>
      </c>
      <c r="G611" s="369">
        <f>VLOOKUP(C611,METADATA!$J$5:$Q$29,IF(E611="HI",2,IF(E611="LO",6,10))+IF(D611=1,2,IF(D611=7,1,(IF(WEEKDAY(B611)=1,2,IF(WEEKDAY(B611)=7,1,0))))))</f>
        <v>3</v>
      </c>
      <c r="H611" s="370">
        <v>13221.505065917969</v>
      </c>
      <c r="I611" s="370">
        <v>2037.4325256347656</v>
      </c>
      <c r="M611" s="371">
        <f t="shared" si="37"/>
        <v>13377.568071387601</v>
      </c>
      <c r="N611" s="329">
        <f t="shared" si="38"/>
        <v>0</v>
      </c>
      <c r="T611" s="331">
        <v>0</v>
      </c>
      <c r="U611" s="328">
        <f>VLOOKUP(C611,METADATA!$J$5:$Q$29,IF(E611="HI",2,IF(E611="LO",6,10))+IF(T611=1,2,IF(D611=7,1,(IF(WEEKDAY(B611)=1,2,IF(WEEKDAY(B611)=7,1,0))))))</f>
        <v>3</v>
      </c>
      <c r="V611" s="328">
        <f>VLOOKUP(C611,METADATA!$A$5:$H$29,IF(E611="HI",2,IF(E611="LO",6,10))+IF(T611=1,2,IF(D611=7,1,(IF(WEEKDAY(B611)=1,2,IF(WEEKDAY(B611)=7,1,0))))))</f>
        <v>3</v>
      </c>
    </row>
    <row r="612" spans="2:22">
      <c r="B612" s="318">
        <f t="shared" si="39"/>
        <v>46138</v>
      </c>
      <c r="C612" s="312">
        <v>8</v>
      </c>
      <c r="D612" s="368">
        <f>IFERROR((INDEX(METADATA!$T$2:$T$20,MATCH(B612,METADATA!$S$2:$S$20,0))),0)</f>
        <v>0</v>
      </c>
      <c r="E612" s="312" t="str">
        <f t="shared" si="36"/>
        <v>LO</v>
      </c>
      <c r="F612" s="369">
        <f>VLOOKUP(C612,METADATA!$A$5:$H$29,IF(E612="HI",2,IF(E612="LO",6,10))+IF(D612=1,2,IF(D612=7,1,(IF(WEEKDAY(B612)=1,2,IF(WEEKDAY(B612)=7,1,0))))))</f>
        <v>3</v>
      </c>
      <c r="G612" s="369">
        <f>VLOOKUP(C612,METADATA!$J$5:$Q$29,IF(E612="HI",2,IF(E612="LO",6,10))+IF(D612=1,2,IF(D612=7,1,(IF(WEEKDAY(B612)=1,2,IF(WEEKDAY(B612)=7,1,0))))))</f>
        <v>3</v>
      </c>
      <c r="H612" s="370">
        <v>13136.120178222656</v>
      </c>
      <c r="I612" s="370">
        <v>1874.5445259511471</v>
      </c>
      <c r="M612" s="371">
        <f t="shared" si="37"/>
        <v>13269.196302582981</v>
      </c>
      <c r="N612" s="329">
        <f t="shared" si="38"/>
        <v>0</v>
      </c>
      <c r="T612" s="331">
        <v>0</v>
      </c>
      <c r="U612" s="328">
        <f>VLOOKUP(C612,METADATA!$J$5:$Q$29,IF(E612="HI",2,IF(E612="LO",6,10))+IF(T612=1,2,IF(D612=7,1,(IF(WEEKDAY(B612)=1,2,IF(WEEKDAY(B612)=7,1,0))))))</f>
        <v>3</v>
      </c>
      <c r="V612" s="328">
        <f>VLOOKUP(C612,METADATA!$A$5:$H$29,IF(E612="HI",2,IF(E612="LO",6,10))+IF(T612=1,2,IF(D612=7,1,(IF(WEEKDAY(B612)=1,2,IF(WEEKDAY(B612)=7,1,0))))))</f>
        <v>3</v>
      </c>
    </row>
    <row r="613" spans="2:22">
      <c r="B613" s="318">
        <f t="shared" si="39"/>
        <v>46138</v>
      </c>
      <c r="C613" s="312">
        <v>9</v>
      </c>
      <c r="D613" s="368">
        <f>IFERROR((INDEX(METADATA!$T$2:$T$20,MATCH(B613,METADATA!$S$2:$S$20,0))),0)</f>
        <v>0</v>
      </c>
      <c r="E613" s="312" t="str">
        <f t="shared" si="36"/>
        <v>LO</v>
      </c>
      <c r="F613" s="369">
        <f>VLOOKUP(C613,METADATA!$A$5:$H$29,IF(E613="HI",2,IF(E613="LO",6,10))+IF(D613=1,2,IF(D613=7,1,(IF(WEEKDAY(B613)=1,2,IF(WEEKDAY(B613)=7,1,0))))))</f>
        <v>3</v>
      </c>
      <c r="G613" s="369">
        <f>VLOOKUP(C613,METADATA!$J$5:$Q$29,IF(E613="HI",2,IF(E613="LO",6,10))+IF(D613=1,2,IF(D613=7,1,(IF(WEEKDAY(B613)=1,2,IF(WEEKDAY(B613)=7,1,0))))))</f>
        <v>3</v>
      </c>
      <c r="H613" s="370">
        <v>13182.494934082031</v>
      </c>
      <c r="I613" s="370">
        <v>1973.8309602737427</v>
      </c>
      <c r="M613" s="371">
        <f t="shared" si="37"/>
        <v>13329.447901051026</v>
      </c>
      <c r="N613" s="329">
        <f t="shared" si="38"/>
        <v>0</v>
      </c>
      <c r="T613" s="331">
        <v>0</v>
      </c>
      <c r="U613" s="328">
        <f>VLOOKUP(C613,METADATA!$J$5:$Q$29,IF(E613="HI",2,IF(E613="LO",6,10))+IF(T613=1,2,IF(D613=7,1,(IF(WEEKDAY(B613)=1,2,IF(WEEKDAY(B613)=7,1,0))))))</f>
        <v>3</v>
      </c>
      <c r="V613" s="328">
        <f>VLOOKUP(C613,METADATA!$A$5:$H$29,IF(E613="HI",2,IF(E613="LO",6,10))+IF(T613=1,2,IF(D613=7,1,(IF(WEEKDAY(B613)=1,2,IF(WEEKDAY(B613)=7,1,0))))))</f>
        <v>3</v>
      </c>
    </row>
    <row r="614" spans="2:22">
      <c r="B614" s="318">
        <f t="shared" si="39"/>
        <v>46138</v>
      </c>
      <c r="C614" s="312">
        <v>10</v>
      </c>
      <c r="D614" s="368">
        <f>IFERROR((INDEX(METADATA!$T$2:$T$20,MATCH(B614,METADATA!$S$2:$S$20,0))),0)</f>
        <v>0</v>
      </c>
      <c r="E614" s="312" t="str">
        <f t="shared" si="36"/>
        <v>LO</v>
      </c>
      <c r="F614" s="369">
        <f>VLOOKUP(C614,METADATA!$A$5:$H$29,IF(E614="HI",2,IF(E614="LO",6,10))+IF(D614=1,2,IF(D614=7,1,(IF(WEEKDAY(B614)=1,2,IF(WEEKDAY(B614)=7,1,0))))))</f>
        <v>3</v>
      </c>
      <c r="G614" s="369">
        <f>VLOOKUP(C614,METADATA!$J$5:$Q$29,IF(E614="HI",2,IF(E614="LO",6,10))+IF(D614=1,2,IF(D614=7,1,(IF(WEEKDAY(B614)=1,2,IF(WEEKDAY(B614)=7,1,0))))))</f>
        <v>3</v>
      </c>
      <c r="H614" s="370">
        <v>11694.695251464844</v>
      </c>
      <c r="I614" s="370">
        <v>1712.4259801636217</v>
      </c>
      <c r="M614" s="371">
        <f t="shared" si="37"/>
        <v>11819.403528189301</v>
      </c>
      <c r="N614" s="329">
        <f t="shared" si="38"/>
        <v>0</v>
      </c>
      <c r="T614" s="331">
        <v>0</v>
      </c>
      <c r="U614" s="328">
        <f>VLOOKUP(C614,METADATA!$J$5:$Q$29,IF(E614="HI",2,IF(E614="LO",6,10))+IF(T614=1,2,IF(D614=7,1,(IF(WEEKDAY(B614)=1,2,IF(WEEKDAY(B614)=7,1,0))))))</f>
        <v>3</v>
      </c>
      <c r="V614" s="328">
        <f>VLOOKUP(C614,METADATA!$A$5:$H$29,IF(E614="HI",2,IF(E614="LO",6,10))+IF(T614=1,2,IF(D614=7,1,(IF(WEEKDAY(B614)=1,2,IF(WEEKDAY(B614)=7,1,0))))))</f>
        <v>3</v>
      </c>
    </row>
    <row r="615" spans="2:22">
      <c r="B615" s="318">
        <f t="shared" si="39"/>
        <v>46138</v>
      </c>
      <c r="C615" s="312">
        <v>11</v>
      </c>
      <c r="D615" s="368">
        <f>IFERROR((INDEX(METADATA!$T$2:$T$20,MATCH(B615,METADATA!$S$2:$S$20,0))),0)</f>
        <v>0</v>
      </c>
      <c r="E615" s="312" t="str">
        <f t="shared" si="36"/>
        <v>LO</v>
      </c>
      <c r="F615" s="369">
        <f>VLOOKUP(C615,METADATA!$A$5:$H$29,IF(E615="HI",2,IF(E615="LO",6,10))+IF(D615=1,2,IF(D615=7,1,(IF(WEEKDAY(B615)=1,2,IF(WEEKDAY(B615)=7,1,0))))))</f>
        <v>3</v>
      </c>
      <c r="G615" s="369">
        <f>VLOOKUP(C615,METADATA!$J$5:$Q$29,IF(E615="HI",2,IF(E615="LO",6,10))+IF(D615=1,2,IF(D615=7,1,(IF(WEEKDAY(B615)=1,2,IF(WEEKDAY(B615)=7,1,0))))))</f>
        <v>3</v>
      </c>
      <c r="H615" s="370">
        <v>11988.065216064453</v>
      </c>
      <c r="I615" s="370">
        <v>1932.4559917449951</v>
      </c>
      <c r="M615" s="371">
        <f t="shared" si="37"/>
        <v>12142.820668388611</v>
      </c>
      <c r="N615" s="329">
        <f t="shared" si="38"/>
        <v>0</v>
      </c>
      <c r="T615" s="331">
        <v>0</v>
      </c>
      <c r="U615" s="328">
        <f>VLOOKUP(C615,METADATA!$J$5:$Q$29,IF(E615="HI",2,IF(E615="LO",6,10))+IF(T615=1,2,IF(D615=7,1,(IF(WEEKDAY(B615)=1,2,IF(WEEKDAY(B615)=7,1,0))))))</f>
        <v>3</v>
      </c>
      <c r="V615" s="328">
        <f>VLOOKUP(C615,METADATA!$A$5:$H$29,IF(E615="HI",2,IF(E615="LO",6,10))+IF(T615=1,2,IF(D615=7,1,(IF(WEEKDAY(B615)=1,2,IF(WEEKDAY(B615)=7,1,0))))))</f>
        <v>3</v>
      </c>
    </row>
    <row r="616" spans="2:22">
      <c r="B616" s="318">
        <f t="shared" si="39"/>
        <v>46138</v>
      </c>
      <c r="C616" s="312">
        <v>12</v>
      </c>
      <c r="D616" s="368">
        <f>IFERROR((INDEX(METADATA!$T$2:$T$20,MATCH(B616,METADATA!$S$2:$S$20,0))),0)</f>
        <v>0</v>
      </c>
      <c r="E616" s="312" t="str">
        <f t="shared" si="36"/>
        <v>LO</v>
      </c>
      <c r="F616" s="369">
        <f>VLOOKUP(C616,METADATA!$A$5:$H$29,IF(E616="HI",2,IF(E616="LO",6,10))+IF(D616=1,2,IF(D616=7,1,(IF(WEEKDAY(B616)=1,2,IF(WEEKDAY(B616)=7,1,0))))))</f>
        <v>3</v>
      </c>
      <c r="G616" s="369">
        <f>VLOOKUP(C616,METADATA!$J$5:$Q$29,IF(E616="HI",2,IF(E616="LO",6,10))+IF(D616=1,2,IF(D616=7,1,(IF(WEEKDAY(B616)=1,2,IF(WEEKDAY(B616)=7,1,0))))))</f>
        <v>3</v>
      </c>
      <c r="H616" s="370">
        <v>13185.28515625</v>
      </c>
      <c r="I616" s="370">
        <v>2284.0775375366211</v>
      </c>
      <c r="M616" s="371">
        <f t="shared" si="37"/>
        <v>13381.65740291934</v>
      </c>
      <c r="N616" s="329">
        <f t="shared" si="38"/>
        <v>0</v>
      </c>
      <c r="T616" s="331">
        <v>0</v>
      </c>
      <c r="U616" s="328">
        <f>VLOOKUP(C616,METADATA!$J$5:$Q$29,IF(E616="HI",2,IF(E616="LO",6,10))+IF(T616=1,2,IF(D616=7,1,(IF(WEEKDAY(B616)=1,2,IF(WEEKDAY(B616)=7,1,0))))))</f>
        <v>3</v>
      </c>
      <c r="V616" s="328">
        <f>VLOOKUP(C616,METADATA!$A$5:$H$29,IF(E616="HI",2,IF(E616="LO",6,10))+IF(T616=1,2,IF(D616=7,1,(IF(WEEKDAY(B616)=1,2,IF(WEEKDAY(B616)=7,1,0))))))</f>
        <v>3</v>
      </c>
    </row>
    <row r="617" spans="2:22">
      <c r="B617" s="318">
        <f t="shared" si="39"/>
        <v>46138</v>
      </c>
      <c r="C617" s="312">
        <v>13</v>
      </c>
      <c r="D617" s="368">
        <f>IFERROR((INDEX(METADATA!$T$2:$T$20,MATCH(B617,METADATA!$S$2:$S$20,0))),0)</f>
        <v>0</v>
      </c>
      <c r="E617" s="312" t="str">
        <f t="shared" si="36"/>
        <v>LO</v>
      </c>
      <c r="F617" s="369">
        <f>VLOOKUP(C617,METADATA!$A$5:$H$29,IF(E617="HI",2,IF(E617="LO",6,10))+IF(D617=1,2,IF(D617=7,1,(IF(WEEKDAY(B617)=1,2,IF(WEEKDAY(B617)=7,1,0))))))</f>
        <v>3</v>
      </c>
      <c r="G617" s="369">
        <f>VLOOKUP(C617,METADATA!$J$5:$Q$29,IF(E617="HI",2,IF(E617="LO",6,10))+IF(D617=1,2,IF(D617=7,1,(IF(WEEKDAY(B617)=1,2,IF(WEEKDAY(B617)=7,1,0))))))</f>
        <v>3</v>
      </c>
      <c r="H617" s="370">
        <v>13230.970336914063</v>
      </c>
      <c r="I617" s="370">
        <v>2240.1365127563477</v>
      </c>
      <c r="M617" s="371">
        <f t="shared" si="37"/>
        <v>13419.269266695708</v>
      </c>
      <c r="N617" s="329">
        <f t="shared" si="38"/>
        <v>0</v>
      </c>
      <c r="T617" s="331">
        <v>0</v>
      </c>
      <c r="U617" s="328">
        <f>VLOOKUP(C617,METADATA!$J$5:$Q$29,IF(E617="HI",2,IF(E617="LO",6,10))+IF(T617=1,2,IF(D617=7,1,(IF(WEEKDAY(B617)=1,2,IF(WEEKDAY(B617)=7,1,0))))))</f>
        <v>3</v>
      </c>
      <c r="V617" s="328">
        <f>VLOOKUP(C617,METADATA!$A$5:$H$29,IF(E617="HI",2,IF(E617="LO",6,10))+IF(T617=1,2,IF(D617=7,1,(IF(WEEKDAY(B617)=1,2,IF(WEEKDAY(B617)=7,1,0))))))</f>
        <v>3</v>
      </c>
    </row>
    <row r="618" spans="2:22">
      <c r="B618" s="318">
        <f t="shared" si="39"/>
        <v>46138</v>
      </c>
      <c r="C618" s="312">
        <v>14</v>
      </c>
      <c r="D618" s="368">
        <f>IFERROR((INDEX(METADATA!$T$2:$T$20,MATCH(B618,METADATA!$S$2:$S$20,0))),0)</f>
        <v>0</v>
      </c>
      <c r="E618" s="312" t="str">
        <f t="shared" si="36"/>
        <v>LO</v>
      </c>
      <c r="F618" s="369">
        <f>VLOOKUP(C618,METADATA!$A$5:$H$29,IF(E618="HI",2,IF(E618="LO",6,10))+IF(D618=1,2,IF(D618=7,1,(IF(WEEKDAY(B618)=1,2,IF(WEEKDAY(B618)=7,1,0))))))</f>
        <v>3</v>
      </c>
      <c r="G618" s="369">
        <f>VLOOKUP(C618,METADATA!$J$5:$Q$29,IF(E618="HI",2,IF(E618="LO",6,10))+IF(D618=1,2,IF(D618=7,1,(IF(WEEKDAY(B618)=1,2,IF(WEEKDAY(B618)=7,1,0))))))</f>
        <v>3</v>
      </c>
      <c r="H618" s="370">
        <v>13314.000122070313</v>
      </c>
      <c r="I618" s="370">
        <v>2405.9530372619629</v>
      </c>
      <c r="M618" s="371">
        <f t="shared" si="37"/>
        <v>13529.64187508296</v>
      </c>
      <c r="N618" s="329">
        <f t="shared" si="38"/>
        <v>0</v>
      </c>
      <c r="T618" s="331">
        <v>0</v>
      </c>
      <c r="U618" s="328">
        <f>VLOOKUP(C618,METADATA!$J$5:$Q$29,IF(E618="HI",2,IF(E618="LO",6,10))+IF(T618=1,2,IF(D618=7,1,(IF(WEEKDAY(B618)=1,2,IF(WEEKDAY(B618)=7,1,0))))))</f>
        <v>3</v>
      </c>
      <c r="V618" s="328">
        <f>VLOOKUP(C618,METADATA!$A$5:$H$29,IF(E618="HI",2,IF(E618="LO",6,10))+IF(T618=1,2,IF(D618=7,1,(IF(WEEKDAY(B618)=1,2,IF(WEEKDAY(B618)=7,1,0))))))</f>
        <v>3</v>
      </c>
    </row>
    <row r="619" spans="2:22">
      <c r="B619" s="318">
        <f t="shared" si="39"/>
        <v>46138</v>
      </c>
      <c r="C619" s="312">
        <v>15</v>
      </c>
      <c r="D619" s="368">
        <f>IFERROR((INDEX(METADATA!$T$2:$T$20,MATCH(B619,METADATA!$S$2:$S$20,0))),0)</f>
        <v>0</v>
      </c>
      <c r="E619" s="312" t="str">
        <f t="shared" si="36"/>
        <v>LO</v>
      </c>
      <c r="F619" s="369">
        <f>VLOOKUP(C619,METADATA!$A$5:$H$29,IF(E619="HI",2,IF(E619="LO",6,10))+IF(D619=1,2,IF(D619=7,1,(IF(WEEKDAY(B619)=1,2,IF(WEEKDAY(B619)=7,1,0))))))</f>
        <v>3</v>
      </c>
      <c r="G619" s="369">
        <f>VLOOKUP(C619,METADATA!$J$5:$Q$29,IF(E619="HI",2,IF(E619="LO",6,10))+IF(D619=1,2,IF(D619=7,1,(IF(WEEKDAY(B619)=1,2,IF(WEEKDAY(B619)=7,1,0))))))</f>
        <v>3</v>
      </c>
      <c r="H619" s="370">
        <v>13293.715026855469</v>
      </c>
      <c r="I619" s="370">
        <v>2373.4079990386963</v>
      </c>
      <c r="M619" s="371">
        <f t="shared" si="37"/>
        <v>13503.922568836944</v>
      </c>
      <c r="N619" s="329">
        <f t="shared" si="38"/>
        <v>0</v>
      </c>
      <c r="T619" s="331">
        <v>0</v>
      </c>
      <c r="U619" s="328">
        <f>VLOOKUP(C619,METADATA!$J$5:$Q$29,IF(E619="HI",2,IF(E619="LO",6,10))+IF(T619=1,2,IF(D619=7,1,(IF(WEEKDAY(B619)=1,2,IF(WEEKDAY(B619)=7,1,0))))))</f>
        <v>3</v>
      </c>
      <c r="V619" s="328">
        <f>VLOOKUP(C619,METADATA!$A$5:$H$29,IF(E619="HI",2,IF(E619="LO",6,10))+IF(T619=1,2,IF(D619=7,1,(IF(WEEKDAY(B619)=1,2,IF(WEEKDAY(B619)=7,1,0))))))</f>
        <v>3</v>
      </c>
    </row>
    <row r="620" spans="2:22">
      <c r="B620" s="318">
        <f t="shared" si="39"/>
        <v>46138</v>
      </c>
      <c r="C620" s="312">
        <v>16</v>
      </c>
      <c r="D620" s="368">
        <f>IFERROR((INDEX(METADATA!$T$2:$T$20,MATCH(B620,METADATA!$S$2:$S$20,0))),0)</f>
        <v>0</v>
      </c>
      <c r="E620" s="312" t="str">
        <f t="shared" si="36"/>
        <v>LO</v>
      </c>
      <c r="F620" s="369">
        <f>VLOOKUP(C620,METADATA!$A$5:$H$29,IF(E620="HI",2,IF(E620="LO",6,10))+IF(D620=1,2,IF(D620=7,1,(IF(WEEKDAY(B620)=1,2,IF(WEEKDAY(B620)=7,1,0))))))</f>
        <v>3</v>
      </c>
      <c r="G620" s="369">
        <f>VLOOKUP(C620,METADATA!$J$5:$Q$29,IF(E620="HI",2,IF(E620="LO",6,10))+IF(D620=1,2,IF(D620=7,1,(IF(WEEKDAY(B620)=1,2,IF(WEEKDAY(B620)=7,1,0))))))</f>
        <v>3</v>
      </c>
      <c r="H620" s="370">
        <v>13342.099975585938</v>
      </c>
      <c r="I620" s="370">
        <v>2365.9899654388428</v>
      </c>
      <c r="M620" s="371">
        <f t="shared" si="37"/>
        <v>13550.259786258253</v>
      </c>
      <c r="N620" s="329">
        <f t="shared" si="38"/>
        <v>0</v>
      </c>
      <c r="T620" s="331">
        <v>0</v>
      </c>
      <c r="U620" s="328">
        <f>VLOOKUP(C620,METADATA!$J$5:$Q$29,IF(E620="HI",2,IF(E620="LO",6,10))+IF(T620=1,2,IF(D620=7,1,(IF(WEEKDAY(B620)=1,2,IF(WEEKDAY(B620)=7,1,0))))))</f>
        <v>3</v>
      </c>
      <c r="V620" s="328">
        <f>VLOOKUP(C620,METADATA!$A$5:$H$29,IF(E620="HI",2,IF(E620="LO",6,10))+IF(T620=1,2,IF(D620=7,1,(IF(WEEKDAY(B620)=1,2,IF(WEEKDAY(B620)=7,1,0))))))</f>
        <v>3</v>
      </c>
    </row>
    <row r="621" spans="2:22">
      <c r="B621" s="318">
        <f t="shared" si="39"/>
        <v>46138</v>
      </c>
      <c r="C621" s="312">
        <v>17</v>
      </c>
      <c r="D621" s="368">
        <f>IFERROR((INDEX(METADATA!$T$2:$T$20,MATCH(B621,METADATA!$S$2:$S$20,0))),0)</f>
        <v>0</v>
      </c>
      <c r="E621" s="312" t="str">
        <f t="shared" si="36"/>
        <v>LO</v>
      </c>
      <c r="F621" s="369">
        <f>VLOOKUP(C621,METADATA!$A$5:$H$29,IF(E621="HI",2,IF(E621="LO",6,10))+IF(D621=1,2,IF(D621=7,1,(IF(WEEKDAY(B621)=1,2,IF(WEEKDAY(B621)=7,1,0))))))</f>
        <v>3</v>
      </c>
      <c r="G621" s="369">
        <f>VLOOKUP(C621,METADATA!$J$5:$Q$29,IF(E621="HI",2,IF(E621="LO",6,10))+IF(D621=1,2,IF(D621=7,1,(IF(WEEKDAY(B621)=1,2,IF(WEEKDAY(B621)=7,1,0))))))</f>
        <v>3</v>
      </c>
      <c r="H621" s="370">
        <v>13338.410095214844</v>
      </c>
      <c r="I621" s="370">
        <v>2199.937518119812</v>
      </c>
      <c r="M621" s="371">
        <f t="shared" si="37"/>
        <v>13518.613425635058</v>
      </c>
      <c r="N621" s="329">
        <f t="shared" si="38"/>
        <v>0</v>
      </c>
      <c r="T621" s="331">
        <v>0</v>
      </c>
      <c r="U621" s="328">
        <f>VLOOKUP(C621,METADATA!$J$5:$Q$29,IF(E621="HI",2,IF(E621="LO",6,10))+IF(T621=1,2,IF(D621=7,1,(IF(WEEKDAY(B621)=1,2,IF(WEEKDAY(B621)=7,1,0))))))</f>
        <v>3</v>
      </c>
      <c r="V621" s="328">
        <f>VLOOKUP(C621,METADATA!$A$5:$H$29,IF(E621="HI",2,IF(E621="LO",6,10))+IF(T621=1,2,IF(D621=7,1,(IF(WEEKDAY(B621)=1,2,IF(WEEKDAY(B621)=7,1,0))))))</f>
        <v>3</v>
      </c>
    </row>
    <row r="622" spans="2:22">
      <c r="B622" s="318">
        <f t="shared" si="39"/>
        <v>46138</v>
      </c>
      <c r="C622" s="312">
        <v>18</v>
      </c>
      <c r="D622" s="368">
        <f>IFERROR((INDEX(METADATA!$T$2:$T$20,MATCH(B622,METADATA!$S$2:$S$20,0))),0)</f>
        <v>0</v>
      </c>
      <c r="E622" s="312" t="str">
        <f t="shared" si="36"/>
        <v>LO</v>
      </c>
      <c r="F622" s="369">
        <f>VLOOKUP(C622,METADATA!$A$5:$H$29,IF(E622="HI",2,IF(E622="LO",6,10))+IF(D622=1,2,IF(D622=7,1,(IF(WEEKDAY(B622)=1,2,IF(WEEKDAY(B622)=7,1,0))))))</f>
        <v>2</v>
      </c>
      <c r="G622" s="369">
        <f>VLOOKUP(C622,METADATA!$J$5:$Q$29,IF(E622="HI",2,IF(E622="LO",6,10))+IF(D622=1,2,IF(D622=7,1,(IF(WEEKDAY(B622)=1,2,IF(WEEKDAY(B622)=7,1,0))))))</f>
        <v>2</v>
      </c>
      <c r="H622" s="370">
        <v>12909.139770507813</v>
      </c>
      <c r="I622" s="370">
        <v>1723.9694919586182</v>
      </c>
      <c r="M622" s="371">
        <f t="shared" si="37"/>
        <v>13023.746021161136</v>
      </c>
      <c r="N622" s="329">
        <f t="shared" si="38"/>
        <v>0</v>
      </c>
      <c r="T622" s="331">
        <v>0</v>
      </c>
      <c r="U622" s="328">
        <f>VLOOKUP(C622,METADATA!$J$5:$Q$29,IF(E622="HI",2,IF(E622="LO",6,10))+IF(T622=1,2,IF(D622=7,1,(IF(WEEKDAY(B622)=1,2,IF(WEEKDAY(B622)=7,1,0))))))</f>
        <v>2</v>
      </c>
      <c r="V622" s="328">
        <f>VLOOKUP(C622,METADATA!$A$5:$H$29,IF(E622="HI",2,IF(E622="LO",6,10))+IF(T622=1,2,IF(D622=7,1,(IF(WEEKDAY(B622)=1,2,IF(WEEKDAY(B622)=7,1,0))))))</f>
        <v>2</v>
      </c>
    </row>
    <row r="623" spans="2:22">
      <c r="B623" s="318">
        <f t="shared" si="39"/>
        <v>46138</v>
      </c>
      <c r="C623" s="312">
        <v>19</v>
      </c>
      <c r="D623" s="368">
        <f>IFERROR((INDEX(METADATA!$T$2:$T$20,MATCH(B623,METADATA!$S$2:$S$20,0))),0)</f>
        <v>0</v>
      </c>
      <c r="E623" s="312" t="str">
        <f t="shared" si="36"/>
        <v>LO</v>
      </c>
      <c r="F623" s="369">
        <f>VLOOKUP(C623,METADATA!$A$5:$H$29,IF(E623="HI",2,IF(E623="LO",6,10))+IF(D623=1,2,IF(D623=7,1,(IF(WEEKDAY(B623)=1,2,IF(WEEKDAY(B623)=7,1,0))))))</f>
        <v>2</v>
      </c>
      <c r="G623" s="369">
        <f>VLOOKUP(C623,METADATA!$J$5:$Q$29,IF(E623="HI",2,IF(E623="LO",6,10))+IF(D623=1,2,IF(D623=7,1,(IF(WEEKDAY(B623)=1,2,IF(WEEKDAY(B623)=7,1,0))))))</f>
        <v>2</v>
      </c>
      <c r="H623" s="370">
        <v>12281.350036621094</v>
      </c>
      <c r="I623" s="370">
        <v>1147.8474922180176</v>
      </c>
      <c r="M623" s="371">
        <f t="shared" si="37"/>
        <v>12334.87383751468</v>
      </c>
      <c r="N623" s="329">
        <f t="shared" si="38"/>
        <v>0</v>
      </c>
      <c r="T623" s="331">
        <v>0</v>
      </c>
      <c r="U623" s="328">
        <f>VLOOKUP(C623,METADATA!$J$5:$Q$29,IF(E623="HI",2,IF(E623="LO",6,10))+IF(T623=1,2,IF(D623=7,1,(IF(WEEKDAY(B623)=1,2,IF(WEEKDAY(B623)=7,1,0))))))</f>
        <v>2</v>
      </c>
      <c r="V623" s="328">
        <f>VLOOKUP(C623,METADATA!$A$5:$H$29,IF(E623="HI",2,IF(E623="LO",6,10))+IF(T623=1,2,IF(D623=7,1,(IF(WEEKDAY(B623)=1,2,IF(WEEKDAY(B623)=7,1,0))))))</f>
        <v>2</v>
      </c>
    </row>
    <row r="624" spans="2:22">
      <c r="B624" s="318">
        <f t="shared" si="39"/>
        <v>46138</v>
      </c>
      <c r="C624" s="312">
        <v>20</v>
      </c>
      <c r="D624" s="368">
        <f>IFERROR((INDEX(METADATA!$T$2:$T$20,MATCH(B624,METADATA!$S$2:$S$20,0))),0)</f>
        <v>0</v>
      </c>
      <c r="E624" s="312" t="str">
        <f t="shared" si="36"/>
        <v>LO</v>
      </c>
      <c r="F624" s="369">
        <f>VLOOKUP(C624,METADATA!$A$5:$H$29,IF(E624="HI",2,IF(E624="LO",6,10))+IF(D624=1,2,IF(D624=7,1,(IF(WEEKDAY(B624)=1,2,IF(WEEKDAY(B624)=7,1,0))))))</f>
        <v>3</v>
      </c>
      <c r="G624" s="369">
        <f>VLOOKUP(C624,METADATA!$J$5:$Q$29,IF(E624="HI",2,IF(E624="LO",6,10))+IF(D624=1,2,IF(D624=7,1,(IF(WEEKDAY(B624)=1,2,IF(WEEKDAY(B624)=7,1,0))))))</f>
        <v>3</v>
      </c>
      <c r="H624" s="370">
        <v>12168.465026855469</v>
      </c>
      <c r="I624" s="370">
        <v>828.69300651550293</v>
      </c>
      <c r="M624" s="371">
        <f t="shared" si="37"/>
        <v>12196.650081430244</v>
      </c>
      <c r="N624" s="329">
        <f t="shared" si="38"/>
        <v>0</v>
      </c>
      <c r="T624" s="331">
        <v>0</v>
      </c>
      <c r="U624" s="328">
        <f>VLOOKUP(C624,METADATA!$J$5:$Q$29,IF(E624="HI",2,IF(E624="LO",6,10))+IF(T624=1,2,IF(D624=7,1,(IF(WEEKDAY(B624)=1,2,IF(WEEKDAY(B624)=7,1,0))))))</f>
        <v>3</v>
      </c>
      <c r="V624" s="328">
        <f>VLOOKUP(C624,METADATA!$A$5:$H$29,IF(E624="HI",2,IF(E624="LO",6,10))+IF(T624=1,2,IF(D624=7,1,(IF(WEEKDAY(B624)=1,2,IF(WEEKDAY(B624)=7,1,0))))))</f>
        <v>3</v>
      </c>
    </row>
    <row r="625" spans="2:22">
      <c r="B625" s="318">
        <f t="shared" si="39"/>
        <v>46138</v>
      </c>
      <c r="C625" s="312">
        <v>21</v>
      </c>
      <c r="D625" s="368">
        <f>IFERROR((INDEX(METADATA!$T$2:$T$20,MATCH(B625,METADATA!$S$2:$S$20,0))),0)</f>
        <v>0</v>
      </c>
      <c r="E625" s="312" t="str">
        <f t="shared" si="36"/>
        <v>LO</v>
      </c>
      <c r="F625" s="369">
        <f>VLOOKUP(C625,METADATA!$A$5:$H$29,IF(E625="HI",2,IF(E625="LO",6,10))+IF(D625=1,2,IF(D625=7,1,(IF(WEEKDAY(B625)=1,2,IF(WEEKDAY(B625)=7,1,0))))))</f>
        <v>3</v>
      </c>
      <c r="G625" s="369">
        <f>VLOOKUP(C625,METADATA!$J$5:$Q$29,IF(E625="HI",2,IF(E625="LO",6,10))+IF(D625=1,2,IF(D625=7,1,(IF(WEEKDAY(B625)=1,2,IF(WEEKDAY(B625)=7,1,0))))))</f>
        <v>3</v>
      </c>
      <c r="H625" s="370">
        <v>12208.264953613281</v>
      </c>
      <c r="I625" s="370">
        <v>881.7379903793335</v>
      </c>
      <c r="M625" s="371">
        <f t="shared" si="37"/>
        <v>12240.065157559435</v>
      </c>
      <c r="N625" s="329">
        <f t="shared" si="38"/>
        <v>0</v>
      </c>
      <c r="T625" s="331">
        <v>0</v>
      </c>
      <c r="U625" s="328">
        <f>VLOOKUP(C625,METADATA!$J$5:$Q$29,IF(E625="HI",2,IF(E625="LO",6,10))+IF(T625=1,2,IF(D625=7,1,(IF(WEEKDAY(B625)=1,2,IF(WEEKDAY(B625)=7,1,0))))))</f>
        <v>3</v>
      </c>
      <c r="V625" s="328">
        <f>VLOOKUP(C625,METADATA!$A$5:$H$29,IF(E625="HI",2,IF(E625="LO",6,10))+IF(T625=1,2,IF(D625=7,1,(IF(WEEKDAY(B625)=1,2,IF(WEEKDAY(B625)=7,1,0))))))</f>
        <v>3</v>
      </c>
    </row>
    <row r="626" spans="2:22">
      <c r="B626" s="318">
        <f t="shared" si="39"/>
        <v>46138</v>
      </c>
      <c r="C626" s="312">
        <v>22</v>
      </c>
      <c r="D626" s="368">
        <f>IFERROR((INDEX(METADATA!$T$2:$T$20,MATCH(B626,METADATA!$S$2:$S$20,0))),0)</f>
        <v>0</v>
      </c>
      <c r="E626" s="312" t="str">
        <f t="shared" si="36"/>
        <v>LO</v>
      </c>
      <c r="F626" s="369">
        <f>VLOOKUP(C626,METADATA!$A$5:$H$29,IF(E626="HI",2,IF(E626="LO",6,10))+IF(D626=1,2,IF(D626=7,1,(IF(WEEKDAY(B626)=1,2,IF(WEEKDAY(B626)=7,1,0))))))</f>
        <v>3</v>
      </c>
      <c r="G626" s="369">
        <f>VLOOKUP(C626,METADATA!$J$5:$Q$29,IF(E626="HI",2,IF(E626="LO",6,10))+IF(D626=1,2,IF(D626=7,1,(IF(WEEKDAY(B626)=1,2,IF(WEEKDAY(B626)=7,1,0))))))</f>
        <v>3</v>
      </c>
      <c r="H626" s="370">
        <v>12250.010131835938</v>
      </c>
      <c r="I626" s="370">
        <v>925.89547729492188</v>
      </c>
      <c r="M626" s="371">
        <f t="shared" si="37"/>
        <v>12284.951390419023</v>
      </c>
      <c r="N626" s="329">
        <f t="shared" si="38"/>
        <v>0</v>
      </c>
      <c r="T626" s="331">
        <v>0</v>
      </c>
      <c r="U626" s="328">
        <f>VLOOKUP(C626,METADATA!$J$5:$Q$29,IF(E626="HI",2,IF(E626="LO",6,10))+IF(T626=1,2,IF(D626=7,1,(IF(WEEKDAY(B626)=1,2,IF(WEEKDAY(B626)=7,1,0))))))</f>
        <v>3</v>
      </c>
      <c r="V626" s="328">
        <f>VLOOKUP(C626,METADATA!$A$5:$H$29,IF(E626="HI",2,IF(E626="LO",6,10))+IF(T626=1,2,IF(D626=7,1,(IF(WEEKDAY(B626)=1,2,IF(WEEKDAY(B626)=7,1,0))))))</f>
        <v>3</v>
      </c>
    </row>
    <row r="627" spans="2:22">
      <c r="B627" s="318">
        <f t="shared" si="39"/>
        <v>46138</v>
      </c>
      <c r="C627" s="312">
        <v>23</v>
      </c>
      <c r="D627" s="368">
        <f>IFERROR((INDEX(METADATA!$T$2:$T$20,MATCH(B627,METADATA!$S$2:$S$20,0))),0)</f>
        <v>0</v>
      </c>
      <c r="E627" s="312" t="str">
        <f t="shared" si="36"/>
        <v>LO</v>
      </c>
      <c r="F627" s="369">
        <f>VLOOKUP(C627,METADATA!$A$5:$H$29,IF(E627="HI",2,IF(E627="LO",6,10))+IF(D627=1,2,IF(D627=7,1,(IF(WEEKDAY(B627)=1,2,IF(WEEKDAY(B627)=7,1,0))))))</f>
        <v>3</v>
      </c>
      <c r="G627" s="369">
        <f>VLOOKUP(C627,METADATA!$J$5:$Q$29,IF(E627="HI",2,IF(E627="LO",6,10))+IF(D627=1,2,IF(D627=7,1,(IF(WEEKDAY(B627)=1,2,IF(WEEKDAY(B627)=7,1,0))))))</f>
        <v>3</v>
      </c>
      <c r="H627" s="370">
        <v>12254.200073242188</v>
      </c>
      <c r="I627" s="370">
        <v>947.7130126953125</v>
      </c>
      <c r="M627" s="371">
        <f t="shared" si="37"/>
        <v>12290.792463851989</v>
      </c>
      <c r="N627" s="329">
        <f t="shared" si="38"/>
        <v>0</v>
      </c>
      <c r="T627" s="331">
        <v>0</v>
      </c>
      <c r="U627" s="328">
        <f>VLOOKUP(C627,METADATA!$J$5:$Q$29,IF(E627="HI",2,IF(E627="LO",6,10))+IF(T627=1,2,IF(D627=7,1,(IF(WEEKDAY(B627)=1,2,IF(WEEKDAY(B627)=7,1,0))))))</f>
        <v>3</v>
      </c>
      <c r="V627" s="328">
        <f>VLOOKUP(C627,METADATA!$A$5:$H$29,IF(E627="HI",2,IF(E627="LO",6,10))+IF(T627=1,2,IF(D627=7,1,(IF(WEEKDAY(B627)=1,2,IF(WEEKDAY(B627)=7,1,0))))))</f>
        <v>3</v>
      </c>
    </row>
    <row r="628" spans="2:22">
      <c r="B628" s="318">
        <f t="shared" si="39"/>
        <v>46139</v>
      </c>
      <c r="C628" s="312">
        <v>0</v>
      </c>
      <c r="D628" s="368">
        <f>IFERROR((INDEX(METADATA!$T$2:$T$20,MATCH(B628,METADATA!$S$2:$S$20,0))),0)</f>
        <v>7</v>
      </c>
      <c r="E628" s="312" t="str">
        <f t="shared" si="36"/>
        <v>LO</v>
      </c>
      <c r="F628" s="369">
        <f>VLOOKUP(C628,METADATA!$A$5:$H$29,IF(E628="HI",2,IF(E628="LO",6,10))+IF(D628=1,2,IF(D628=7,1,(IF(WEEKDAY(B628)=1,2,IF(WEEKDAY(B628)=7,1,0))))))</f>
        <v>3</v>
      </c>
      <c r="G628" s="369">
        <f>VLOOKUP(C628,METADATA!$J$5:$Q$29,IF(E628="HI",2,IF(E628="LO",6,10))+IF(D628=1,2,IF(D628=7,1,(IF(WEEKDAY(B628)=1,2,IF(WEEKDAY(B628)=7,1,0))))))</f>
        <v>3</v>
      </c>
      <c r="H628" s="370">
        <v>12232.880187988281</v>
      </c>
      <c r="I628" s="370">
        <v>864.9114990234375</v>
      </c>
      <c r="M628" s="371">
        <f t="shared" si="37"/>
        <v>12263.418348683175</v>
      </c>
      <c r="N628" s="329">
        <f t="shared" si="38"/>
        <v>0</v>
      </c>
      <c r="T628" s="331">
        <v>0</v>
      </c>
      <c r="U628" s="328">
        <f>VLOOKUP(C628,METADATA!$J$5:$Q$29,IF(E628="HI",2,IF(E628="LO",6,10))+IF(T628=1,2,IF(D628=7,1,(IF(WEEKDAY(B628)=1,2,IF(WEEKDAY(B628)=7,1,0))))))</f>
        <v>3</v>
      </c>
      <c r="V628" s="328">
        <f>VLOOKUP(C628,METADATA!$A$5:$H$29,IF(E628="HI",2,IF(E628="LO",6,10))+IF(T628=1,2,IF(D628=7,1,(IF(WEEKDAY(B628)=1,2,IF(WEEKDAY(B628)=7,1,0))))))</f>
        <v>3</v>
      </c>
    </row>
    <row r="629" spans="2:22">
      <c r="B629" s="318">
        <f t="shared" si="39"/>
        <v>46139</v>
      </c>
      <c r="C629" s="312">
        <v>1</v>
      </c>
      <c r="D629" s="368">
        <f>IFERROR((INDEX(METADATA!$T$2:$T$20,MATCH(B629,METADATA!$S$2:$S$20,0))),0)</f>
        <v>7</v>
      </c>
      <c r="E629" s="312" t="str">
        <f t="shared" si="36"/>
        <v>LO</v>
      </c>
      <c r="F629" s="369">
        <f>VLOOKUP(C629,METADATA!$A$5:$H$29,IF(E629="HI",2,IF(E629="LO",6,10))+IF(D629=1,2,IF(D629=7,1,(IF(WEEKDAY(B629)=1,2,IF(WEEKDAY(B629)=7,1,0))))))</f>
        <v>3</v>
      </c>
      <c r="G629" s="369">
        <f>VLOOKUP(C629,METADATA!$J$5:$Q$29,IF(E629="HI",2,IF(E629="LO",6,10))+IF(D629=1,2,IF(D629=7,1,(IF(WEEKDAY(B629)=1,2,IF(WEEKDAY(B629)=7,1,0))))))</f>
        <v>3</v>
      </c>
      <c r="H629" s="370">
        <v>12346.500061035156</v>
      </c>
      <c r="I629" s="370">
        <v>1077.2145099639893</v>
      </c>
      <c r="M629" s="371">
        <f t="shared" si="37"/>
        <v>12393.403683315495</v>
      </c>
      <c r="N629" s="329">
        <f t="shared" si="38"/>
        <v>0</v>
      </c>
      <c r="T629" s="331">
        <v>0</v>
      </c>
      <c r="U629" s="328">
        <f>VLOOKUP(C629,METADATA!$J$5:$Q$29,IF(E629="HI",2,IF(E629="LO",6,10))+IF(T629=1,2,IF(D629=7,1,(IF(WEEKDAY(B629)=1,2,IF(WEEKDAY(B629)=7,1,0))))))</f>
        <v>3</v>
      </c>
      <c r="V629" s="328">
        <f>VLOOKUP(C629,METADATA!$A$5:$H$29,IF(E629="HI",2,IF(E629="LO",6,10))+IF(T629=1,2,IF(D629=7,1,(IF(WEEKDAY(B629)=1,2,IF(WEEKDAY(B629)=7,1,0))))))</f>
        <v>3</v>
      </c>
    </row>
    <row r="630" spans="2:22">
      <c r="B630" s="318">
        <f t="shared" si="39"/>
        <v>46139</v>
      </c>
      <c r="C630" s="312">
        <v>2</v>
      </c>
      <c r="D630" s="368">
        <f>IFERROR((INDEX(METADATA!$T$2:$T$20,MATCH(B630,METADATA!$S$2:$S$20,0))),0)</f>
        <v>7</v>
      </c>
      <c r="E630" s="312" t="str">
        <f t="shared" si="36"/>
        <v>LO</v>
      </c>
      <c r="F630" s="369">
        <f>VLOOKUP(C630,METADATA!$A$5:$H$29,IF(E630="HI",2,IF(E630="LO",6,10))+IF(D630=1,2,IF(D630=7,1,(IF(WEEKDAY(B630)=1,2,IF(WEEKDAY(B630)=7,1,0))))))</f>
        <v>3</v>
      </c>
      <c r="G630" s="369">
        <f>VLOOKUP(C630,METADATA!$J$5:$Q$29,IF(E630="HI",2,IF(E630="LO",6,10))+IF(D630=1,2,IF(D630=7,1,(IF(WEEKDAY(B630)=1,2,IF(WEEKDAY(B630)=7,1,0))))))</f>
        <v>3</v>
      </c>
      <c r="H630" s="370">
        <v>13211.860046386719</v>
      </c>
      <c r="I630" s="370">
        <v>2014.6059989929199</v>
      </c>
      <c r="M630" s="371">
        <f t="shared" si="37"/>
        <v>13364.57568411687</v>
      </c>
      <c r="N630" s="329">
        <f t="shared" si="38"/>
        <v>0</v>
      </c>
      <c r="T630" s="331">
        <v>0</v>
      </c>
      <c r="U630" s="328">
        <f>VLOOKUP(C630,METADATA!$J$5:$Q$29,IF(E630="HI",2,IF(E630="LO",6,10))+IF(T630=1,2,IF(D630=7,1,(IF(WEEKDAY(B630)=1,2,IF(WEEKDAY(B630)=7,1,0))))))</f>
        <v>3</v>
      </c>
      <c r="V630" s="328">
        <f>VLOOKUP(C630,METADATA!$A$5:$H$29,IF(E630="HI",2,IF(E630="LO",6,10))+IF(T630=1,2,IF(D630=7,1,(IF(WEEKDAY(B630)=1,2,IF(WEEKDAY(B630)=7,1,0))))))</f>
        <v>3</v>
      </c>
    </row>
    <row r="631" spans="2:22">
      <c r="B631" s="318">
        <f t="shared" si="39"/>
        <v>46139</v>
      </c>
      <c r="C631" s="312">
        <v>3</v>
      </c>
      <c r="D631" s="368">
        <f>IFERROR((INDEX(METADATA!$T$2:$T$20,MATCH(B631,METADATA!$S$2:$S$20,0))),0)</f>
        <v>7</v>
      </c>
      <c r="E631" s="312" t="str">
        <f t="shared" si="36"/>
        <v>LO</v>
      </c>
      <c r="F631" s="369">
        <f>VLOOKUP(C631,METADATA!$A$5:$H$29,IF(E631="HI",2,IF(E631="LO",6,10))+IF(D631=1,2,IF(D631=7,1,(IF(WEEKDAY(B631)=1,2,IF(WEEKDAY(B631)=7,1,0))))))</f>
        <v>3</v>
      </c>
      <c r="G631" s="369">
        <f>VLOOKUP(C631,METADATA!$J$5:$Q$29,IF(E631="HI",2,IF(E631="LO",6,10))+IF(D631=1,2,IF(D631=7,1,(IF(WEEKDAY(B631)=1,2,IF(WEEKDAY(B631)=7,1,0))))))</f>
        <v>3</v>
      </c>
      <c r="H631" s="370">
        <v>13175.75</v>
      </c>
      <c r="I631" s="370">
        <v>2112.9374771118164</v>
      </c>
      <c r="M631" s="371">
        <f t="shared" si="37"/>
        <v>13344.095804687691</v>
      </c>
      <c r="N631" s="329">
        <f t="shared" si="38"/>
        <v>0</v>
      </c>
      <c r="T631" s="331">
        <v>0</v>
      </c>
      <c r="U631" s="328">
        <f>VLOOKUP(C631,METADATA!$J$5:$Q$29,IF(E631="HI",2,IF(E631="LO",6,10))+IF(T631=1,2,IF(D631=7,1,(IF(WEEKDAY(B631)=1,2,IF(WEEKDAY(B631)=7,1,0))))))</f>
        <v>3</v>
      </c>
      <c r="V631" s="328">
        <f>VLOOKUP(C631,METADATA!$A$5:$H$29,IF(E631="HI",2,IF(E631="LO",6,10))+IF(T631=1,2,IF(D631=7,1,(IF(WEEKDAY(B631)=1,2,IF(WEEKDAY(B631)=7,1,0))))))</f>
        <v>3</v>
      </c>
    </row>
    <row r="632" spans="2:22">
      <c r="B632" s="318">
        <f t="shared" si="39"/>
        <v>46139</v>
      </c>
      <c r="C632" s="312">
        <v>4</v>
      </c>
      <c r="D632" s="368">
        <f>IFERROR((INDEX(METADATA!$T$2:$T$20,MATCH(B632,METADATA!$S$2:$S$20,0))),0)</f>
        <v>7</v>
      </c>
      <c r="E632" s="312" t="str">
        <f t="shared" si="36"/>
        <v>LO</v>
      </c>
      <c r="F632" s="369">
        <f>VLOOKUP(C632,METADATA!$A$5:$H$29,IF(E632="HI",2,IF(E632="LO",6,10))+IF(D632=1,2,IF(D632=7,1,(IF(WEEKDAY(B632)=1,2,IF(WEEKDAY(B632)=7,1,0))))))</f>
        <v>3</v>
      </c>
      <c r="G632" s="369">
        <f>VLOOKUP(C632,METADATA!$J$5:$Q$29,IF(E632="HI",2,IF(E632="LO",6,10))+IF(D632=1,2,IF(D632=7,1,(IF(WEEKDAY(B632)=1,2,IF(WEEKDAY(B632)=7,1,0))))))</f>
        <v>3</v>
      </c>
      <c r="H632" s="370">
        <v>13158.429748535156</v>
      </c>
      <c r="I632" s="370">
        <v>2036.329532623291</v>
      </c>
      <c r="M632" s="371">
        <f t="shared" si="37"/>
        <v>13315.063327396108</v>
      </c>
      <c r="N632" s="329">
        <f t="shared" si="38"/>
        <v>0</v>
      </c>
      <c r="T632" s="331">
        <v>0</v>
      </c>
      <c r="U632" s="328">
        <f>VLOOKUP(C632,METADATA!$J$5:$Q$29,IF(E632="HI",2,IF(E632="LO",6,10))+IF(T632=1,2,IF(D632=7,1,(IF(WEEKDAY(B632)=1,2,IF(WEEKDAY(B632)=7,1,0))))))</f>
        <v>3</v>
      </c>
      <c r="V632" s="328">
        <f>VLOOKUP(C632,METADATA!$A$5:$H$29,IF(E632="HI",2,IF(E632="LO",6,10))+IF(T632=1,2,IF(D632=7,1,(IF(WEEKDAY(B632)=1,2,IF(WEEKDAY(B632)=7,1,0))))))</f>
        <v>3</v>
      </c>
    </row>
    <row r="633" spans="2:22">
      <c r="B633" s="318">
        <f t="shared" si="39"/>
        <v>46139</v>
      </c>
      <c r="C633" s="312">
        <v>5</v>
      </c>
      <c r="D633" s="368">
        <f>IFERROR((INDEX(METADATA!$T$2:$T$20,MATCH(B633,METADATA!$S$2:$S$20,0))),0)</f>
        <v>7</v>
      </c>
      <c r="E633" s="312" t="str">
        <f t="shared" si="36"/>
        <v>LO</v>
      </c>
      <c r="F633" s="369">
        <f>VLOOKUP(C633,METADATA!$A$5:$H$29,IF(E633="HI",2,IF(E633="LO",6,10))+IF(D633=1,2,IF(D633=7,1,(IF(WEEKDAY(B633)=1,2,IF(WEEKDAY(B633)=7,1,0))))))</f>
        <v>3</v>
      </c>
      <c r="G633" s="369">
        <f>VLOOKUP(C633,METADATA!$J$5:$Q$29,IF(E633="HI",2,IF(E633="LO",6,10))+IF(D633=1,2,IF(D633=7,1,(IF(WEEKDAY(B633)=1,2,IF(WEEKDAY(B633)=7,1,0))))))</f>
        <v>3</v>
      </c>
      <c r="H633" s="370">
        <v>13281.400024414063</v>
      </c>
      <c r="I633" s="370">
        <v>1998.8144454956055</v>
      </c>
      <c r="M633" s="371">
        <f t="shared" si="37"/>
        <v>13430.965929374839</v>
      </c>
      <c r="N633" s="329">
        <f t="shared" si="38"/>
        <v>0</v>
      </c>
      <c r="T633" s="331">
        <v>0</v>
      </c>
      <c r="U633" s="328">
        <f>VLOOKUP(C633,METADATA!$J$5:$Q$29,IF(E633="HI",2,IF(E633="LO",6,10))+IF(T633=1,2,IF(D633=7,1,(IF(WEEKDAY(B633)=1,2,IF(WEEKDAY(B633)=7,1,0))))))</f>
        <v>3</v>
      </c>
      <c r="V633" s="328">
        <f>VLOOKUP(C633,METADATA!$A$5:$H$29,IF(E633="HI",2,IF(E633="LO",6,10))+IF(T633=1,2,IF(D633=7,1,(IF(WEEKDAY(B633)=1,2,IF(WEEKDAY(B633)=7,1,0))))))</f>
        <v>3</v>
      </c>
    </row>
    <row r="634" spans="2:22">
      <c r="B634" s="318">
        <f t="shared" si="39"/>
        <v>46139</v>
      </c>
      <c r="C634" s="312">
        <v>6</v>
      </c>
      <c r="D634" s="368">
        <f>IFERROR((INDEX(METADATA!$T$2:$T$20,MATCH(B634,METADATA!$S$2:$S$20,0))),0)</f>
        <v>7</v>
      </c>
      <c r="E634" s="312" t="str">
        <f t="shared" si="36"/>
        <v>LO</v>
      </c>
      <c r="F634" s="369">
        <f>VLOOKUP(C634,METADATA!$A$5:$H$29,IF(E634="HI",2,IF(E634="LO",6,10))+IF(D634=1,2,IF(D634=7,1,(IF(WEEKDAY(B634)=1,2,IF(WEEKDAY(B634)=7,1,0))))))</f>
        <v>3</v>
      </c>
      <c r="G634" s="369">
        <f>VLOOKUP(C634,METADATA!$J$5:$Q$29,IF(E634="HI",2,IF(E634="LO",6,10))+IF(D634=1,2,IF(D634=7,1,(IF(WEEKDAY(B634)=1,2,IF(WEEKDAY(B634)=7,1,0))))))</f>
        <v>3</v>
      </c>
      <c r="H634" s="370">
        <v>13196.880187988281</v>
      </c>
      <c r="I634" s="370">
        <v>2073.3369903564453</v>
      </c>
      <c r="M634" s="371">
        <f t="shared" si="37"/>
        <v>13358.756415613616</v>
      </c>
      <c r="N634" s="329">
        <f t="shared" si="38"/>
        <v>0</v>
      </c>
      <c r="T634" s="331">
        <v>0</v>
      </c>
      <c r="U634" s="328">
        <f>VLOOKUP(C634,METADATA!$J$5:$Q$29,IF(E634="HI",2,IF(E634="LO",6,10))+IF(T634=1,2,IF(D634=7,1,(IF(WEEKDAY(B634)=1,2,IF(WEEKDAY(B634)=7,1,0))))))</f>
        <v>3</v>
      </c>
      <c r="V634" s="328">
        <f>VLOOKUP(C634,METADATA!$A$5:$H$29,IF(E634="HI",2,IF(E634="LO",6,10))+IF(T634=1,2,IF(D634=7,1,(IF(WEEKDAY(B634)=1,2,IF(WEEKDAY(B634)=7,1,0))))))</f>
        <v>3</v>
      </c>
    </row>
    <row r="635" spans="2:22">
      <c r="B635" s="318">
        <f t="shared" si="39"/>
        <v>46139</v>
      </c>
      <c r="C635" s="312">
        <v>7</v>
      </c>
      <c r="D635" s="368">
        <f>IFERROR((INDEX(METADATA!$T$2:$T$20,MATCH(B635,METADATA!$S$2:$S$20,0))),0)</f>
        <v>7</v>
      </c>
      <c r="E635" s="312" t="str">
        <f t="shared" si="36"/>
        <v>LO</v>
      </c>
      <c r="F635" s="369">
        <f>VLOOKUP(C635,METADATA!$A$5:$H$29,IF(E635="HI",2,IF(E635="LO",6,10))+IF(D635=1,2,IF(D635=7,1,(IF(WEEKDAY(B635)=1,2,IF(WEEKDAY(B635)=7,1,0))))))</f>
        <v>2</v>
      </c>
      <c r="G635" s="369">
        <f>VLOOKUP(C635,METADATA!$J$5:$Q$29,IF(E635="HI",2,IF(E635="LO",6,10))+IF(D635=1,2,IF(D635=7,1,(IF(WEEKDAY(B635)=1,2,IF(WEEKDAY(B635)=7,1,0))))))</f>
        <v>2</v>
      </c>
      <c r="H635" s="370">
        <v>13140.450378417969</v>
      </c>
      <c r="I635" s="370">
        <v>2079.2159843444824</v>
      </c>
      <c r="M635" s="371">
        <f t="shared" si="37"/>
        <v>13303.930819769717</v>
      </c>
      <c r="N635" s="329">
        <f t="shared" si="38"/>
        <v>0</v>
      </c>
      <c r="T635" s="331">
        <v>0</v>
      </c>
      <c r="U635" s="328">
        <f>VLOOKUP(C635,METADATA!$J$5:$Q$29,IF(E635="HI",2,IF(E635="LO",6,10))+IF(T635=1,2,IF(D635=7,1,(IF(WEEKDAY(B635)=1,2,IF(WEEKDAY(B635)=7,1,0))))))</f>
        <v>2</v>
      </c>
      <c r="V635" s="328">
        <f>VLOOKUP(C635,METADATA!$A$5:$H$29,IF(E635="HI",2,IF(E635="LO",6,10))+IF(T635=1,2,IF(D635=7,1,(IF(WEEKDAY(B635)=1,2,IF(WEEKDAY(B635)=7,1,0))))))</f>
        <v>2</v>
      </c>
    </row>
    <row r="636" spans="2:22">
      <c r="B636" s="318">
        <f t="shared" si="39"/>
        <v>46139</v>
      </c>
      <c r="C636" s="312">
        <v>8</v>
      </c>
      <c r="D636" s="368">
        <f>IFERROR((INDEX(METADATA!$T$2:$T$20,MATCH(B636,METADATA!$S$2:$S$20,0))),0)</f>
        <v>7</v>
      </c>
      <c r="E636" s="312" t="str">
        <f t="shared" si="36"/>
        <v>LO</v>
      </c>
      <c r="F636" s="369">
        <f>VLOOKUP(C636,METADATA!$A$5:$H$29,IF(E636="HI",2,IF(E636="LO",6,10))+IF(D636=1,2,IF(D636=7,1,(IF(WEEKDAY(B636)=1,2,IF(WEEKDAY(B636)=7,1,0))))))</f>
        <v>2</v>
      </c>
      <c r="G636" s="369">
        <f>VLOOKUP(C636,METADATA!$J$5:$Q$29,IF(E636="HI",2,IF(E636="LO",6,10))+IF(D636=1,2,IF(D636=7,1,(IF(WEEKDAY(B636)=1,2,IF(WEEKDAY(B636)=7,1,0))))))</f>
        <v>2</v>
      </c>
      <c r="H636" s="370">
        <v>13141.540161132813</v>
      </c>
      <c r="I636" s="370">
        <v>1949.9280204772949</v>
      </c>
      <c r="M636" s="371">
        <f t="shared" si="37"/>
        <v>13285.416707492057</v>
      </c>
      <c r="N636" s="329">
        <f t="shared" si="38"/>
        <v>0</v>
      </c>
      <c r="T636" s="331">
        <v>0</v>
      </c>
      <c r="U636" s="328">
        <f>VLOOKUP(C636,METADATA!$J$5:$Q$29,IF(E636="HI",2,IF(E636="LO",6,10))+IF(T636=1,2,IF(D636=7,1,(IF(WEEKDAY(B636)=1,2,IF(WEEKDAY(B636)=7,1,0))))))</f>
        <v>2</v>
      </c>
      <c r="V636" s="328">
        <f>VLOOKUP(C636,METADATA!$A$5:$H$29,IF(E636="HI",2,IF(E636="LO",6,10))+IF(T636=1,2,IF(D636=7,1,(IF(WEEKDAY(B636)=1,2,IF(WEEKDAY(B636)=7,1,0))))))</f>
        <v>2</v>
      </c>
    </row>
    <row r="637" spans="2:22">
      <c r="B637" s="318">
        <f t="shared" si="39"/>
        <v>46139</v>
      </c>
      <c r="C637" s="312">
        <v>9</v>
      </c>
      <c r="D637" s="368">
        <f>IFERROR((INDEX(METADATA!$T$2:$T$20,MATCH(B637,METADATA!$S$2:$S$20,0))),0)</f>
        <v>7</v>
      </c>
      <c r="E637" s="312" t="str">
        <f t="shared" si="36"/>
        <v>LO</v>
      </c>
      <c r="F637" s="369">
        <f>VLOOKUP(C637,METADATA!$A$5:$H$29,IF(E637="HI",2,IF(E637="LO",6,10))+IF(D637=1,2,IF(D637=7,1,(IF(WEEKDAY(B637)=1,2,IF(WEEKDAY(B637)=7,1,0))))))</f>
        <v>2</v>
      </c>
      <c r="G637" s="369">
        <f>VLOOKUP(C637,METADATA!$J$5:$Q$29,IF(E637="HI",2,IF(E637="LO",6,10))+IF(D637=1,2,IF(D637=7,1,(IF(WEEKDAY(B637)=1,2,IF(WEEKDAY(B637)=7,1,0))))))</f>
        <v>2</v>
      </c>
      <c r="H637" s="370">
        <v>13287.414794921875</v>
      </c>
      <c r="I637" s="370">
        <v>1878.3835048675537</v>
      </c>
      <c r="M637" s="371">
        <f t="shared" si="37"/>
        <v>13419.527432948869</v>
      </c>
      <c r="N637" s="329">
        <f t="shared" si="38"/>
        <v>0</v>
      </c>
      <c r="T637" s="331">
        <v>0</v>
      </c>
      <c r="U637" s="328">
        <f>VLOOKUP(C637,METADATA!$J$5:$Q$29,IF(E637="HI",2,IF(E637="LO",6,10))+IF(T637=1,2,IF(D637=7,1,(IF(WEEKDAY(B637)=1,2,IF(WEEKDAY(B637)=7,1,0))))))</f>
        <v>2</v>
      </c>
      <c r="V637" s="328">
        <f>VLOOKUP(C637,METADATA!$A$5:$H$29,IF(E637="HI",2,IF(E637="LO",6,10))+IF(T637=1,2,IF(D637=7,1,(IF(WEEKDAY(B637)=1,2,IF(WEEKDAY(B637)=7,1,0))))))</f>
        <v>2</v>
      </c>
    </row>
    <row r="638" spans="2:22">
      <c r="B638" s="318">
        <f t="shared" si="39"/>
        <v>46139</v>
      </c>
      <c r="C638" s="312">
        <v>10</v>
      </c>
      <c r="D638" s="368">
        <f>IFERROR((INDEX(METADATA!$T$2:$T$20,MATCH(B638,METADATA!$S$2:$S$20,0))),0)</f>
        <v>7</v>
      </c>
      <c r="E638" s="312" t="str">
        <f t="shared" si="36"/>
        <v>LO</v>
      </c>
      <c r="F638" s="369">
        <f>VLOOKUP(C638,METADATA!$A$5:$H$29,IF(E638="HI",2,IF(E638="LO",6,10))+IF(D638=1,2,IF(D638=7,1,(IF(WEEKDAY(B638)=1,2,IF(WEEKDAY(B638)=7,1,0))))))</f>
        <v>2</v>
      </c>
      <c r="G638" s="369">
        <f>VLOOKUP(C638,METADATA!$J$5:$Q$29,IF(E638="HI",2,IF(E638="LO",6,10))+IF(D638=1,2,IF(D638=7,1,(IF(WEEKDAY(B638)=1,2,IF(WEEKDAY(B638)=7,1,0))))))</f>
        <v>2</v>
      </c>
      <c r="H638" s="370">
        <v>13275.709655761719</v>
      </c>
      <c r="I638" s="370">
        <v>1866.6955089569092</v>
      </c>
      <c r="M638" s="371">
        <f t="shared" si="37"/>
        <v>13406.305195214854</v>
      </c>
      <c r="N638" s="329">
        <f t="shared" si="38"/>
        <v>0</v>
      </c>
      <c r="T638" s="331">
        <v>0</v>
      </c>
      <c r="U638" s="328">
        <f>VLOOKUP(C638,METADATA!$J$5:$Q$29,IF(E638="HI",2,IF(E638="LO",6,10))+IF(T638=1,2,IF(D638=7,1,(IF(WEEKDAY(B638)=1,2,IF(WEEKDAY(B638)=7,1,0))))))</f>
        <v>2</v>
      </c>
      <c r="V638" s="328">
        <f>VLOOKUP(C638,METADATA!$A$5:$H$29,IF(E638="HI",2,IF(E638="LO",6,10))+IF(T638=1,2,IF(D638=7,1,(IF(WEEKDAY(B638)=1,2,IF(WEEKDAY(B638)=7,1,0))))))</f>
        <v>2</v>
      </c>
    </row>
    <row r="639" spans="2:22">
      <c r="B639" s="318">
        <f t="shared" si="39"/>
        <v>46139</v>
      </c>
      <c r="C639" s="312">
        <v>11</v>
      </c>
      <c r="D639" s="368">
        <f>IFERROR((INDEX(METADATA!$T$2:$T$20,MATCH(B639,METADATA!$S$2:$S$20,0))),0)</f>
        <v>7</v>
      </c>
      <c r="E639" s="312" t="str">
        <f t="shared" si="36"/>
        <v>LO</v>
      </c>
      <c r="F639" s="369">
        <f>VLOOKUP(C639,METADATA!$A$5:$H$29,IF(E639="HI",2,IF(E639="LO",6,10))+IF(D639=1,2,IF(D639=7,1,(IF(WEEKDAY(B639)=1,2,IF(WEEKDAY(B639)=7,1,0))))))</f>
        <v>2</v>
      </c>
      <c r="G639" s="369">
        <f>VLOOKUP(C639,METADATA!$J$5:$Q$29,IF(E639="HI",2,IF(E639="LO",6,10))+IF(D639=1,2,IF(D639=7,1,(IF(WEEKDAY(B639)=1,2,IF(WEEKDAY(B639)=7,1,0))))))</f>
        <v>2</v>
      </c>
      <c r="H639" s="370">
        <v>13336.779846191406</v>
      </c>
      <c r="I639" s="370">
        <v>1907.6149845123291</v>
      </c>
      <c r="M639" s="371">
        <f t="shared" si="37"/>
        <v>13472.516156787982</v>
      </c>
      <c r="N639" s="329">
        <f t="shared" si="38"/>
        <v>0</v>
      </c>
      <c r="T639" s="331">
        <v>0</v>
      </c>
      <c r="U639" s="328">
        <f>VLOOKUP(C639,METADATA!$J$5:$Q$29,IF(E639="HI",2,IF(E639="LO",6,10))+IF(T639=1,2,IF(D639=7,1,(IF(WEEKDAY(B639)=1,2,IF(WEEKDAY(B639)=7,1,0))))))</f>
        <v>2</v>
      </c>
      <c r="V639" s="328">
        <f>VLOOKUP(C639,METADATA!$A$5:$H$29,IF(E639="HI",2,IF(E639="LO",6,10))+IF(T639=1,2,IF(D639=7,1,(IF(WEEKDAY(B639)=1,2,IF(WEEKDAY(B639)=7,1,0))))))</f>
        <v>2</v>
      </c>
    </row>
    <row r="640" spans="2:22">
      <c r="B640" s="318">
        <f t="shared" si="39"/>
        <v>46139</v>
      </c>
      <c r="C640" s="312">
        <v>12</v>
      </c>
      <c r="D640" s="368">
        <f>IFERROR((INDEX(METADATA!$T$2:$T$20,MATCH(B640,METADATA!$S$2:$S$20,0))),0)</f>
        <v>7</v>
      </c>
      <c r="E640" s="312" t="str">
        <f t="shared" si="36"/>
        <v>LO</v>
      </c>
      <c r="F640" s="369">
        <f>VLOOKUP(C640,METADATA!$A$5:$H$29,IF(E640="HI",2,IF(E640="LO",6,10))+IF(D640=1,2,IF(D640=7,1,(IF(WEEKDAY(B640)=1,2,IF(WEEKDAY(B640)=7,1,0))))))</f>
        <v>3</v>
      </c>
      <c r="G640" s="369">
        <f>VLOOKUP(C640,METADATA!$J$5:$Q$29,IF(E640="HI",2,IF(E640="LO",6,10))+IF(D640=1,2,IF(D640=7,1,(IF(WEEKDAY(B640)=1,2,IF(WEEKDAY(B640)=7,1,0))))))</f>
        <v>3</v>
      </c>
      <c r="H640" s="370">
        <v>12990.294921875</v>
      </c>
      <c r="I640" s="370">
        <v>1933.8740110397339</v>
      </c>
      <c r="M640" s="371">
        <f t="shared" si="37"/>
        <v>13133.454642548028</v>
      </c>
      <c r="N640" s="329">
        <f t="shared" si="38"/>
        <v>0</v>
      </c>
      <c r="T640" s="331">
        <v>0</v>
      </c>
      <c r="U640" s="328">
        <f>VLOOKUP(C640,METADATA!$J$5:$Q$29,IF(E640="HI",2,IF(E640="LO",6,10))+IF(T640=1,2,IF(D640=7,1,(IF(WEEKDAY(B640)=1,2,IF(WEEKDAY(B640)=7,1,0))))))</f>
        <v>3</v>
      </c>
      <c r="V640" s="328">
        <f>VLOOKUP(C640,METADATA!$A$5:$H$29,IF(E640="HI",2,IF(E640="LO",6,10))+IF(T640=1,2,IF(D640=7,1,(IF(WEEKDAY(B640)=1,2,IF(WEEKDAY(B640)=7,1,0))))))</f>
        <v>3</v>
      </c>
    </row>
    <row r="641" spans="2:22">
      <c r="B641" s="318">
        <f t="shared" si="39"/>
        <v>46139</v>
      </c>
      <c r="C641" s="312">
        <v>13</v>
      </c>
      <c r="D641" s="368">
        <f>IFERROR((INDEX(METADATA!$T$2:$T$20,MATCH(B641,METADATA!$S$2:$S$20,0))),0)</f>
        <v>7</v>
      </c>
      <c r="E641" s="312" t="str">
        <f t="shared" si="36"/>
        <v>LO</v>
      </c>
      <c r="F641" s="369">
        <f>VLOOKUP(C641,METADATA!$A$5:$H$29,IF(E641="HI",2,IF(E641="LO",6,10))+IF(D641=1,2,IF(D641=7,1,(IF(WEEKDAY(B641)=1,2,IF(WEEKDAY(B641)=7,1,0))))))</f>
        <v>3</v>
      </c>
      <c r="G641" s="369">
        <f>VLOOKUP(C641,METADATA!$J$5:$Q$29,IF(E641="HI",2,IF(E641="LO",6,10))+IF(D641=1,2,IF(D641=7,1,(IF(WEEKDAY(B641)=1,2,IF(WEEKDAY(B641)=7,1,0))))))</f>
        <v>3</v>
      </c>
      <c r="H641" s="370">
        <v>13216.439758300781</v>
      </c>
      <c r="I641" s="370">
        <v>2129.5449981689453</v>
      </c>
      <c r="M641" s="371">
        <f t="shared" si="37"/>
        <v>13386.90560899045</v>
      </c>
      <c r="N641" s="329">
        <f t="shared" si="38"/>
        <v>0</v>
      </c>
      <c r="T641" s="331">
        <v>0</v>
      </c>
      <c r="U641" s="328">
        <f>VLOOKUP(C641,METADATA!$J$5:$Q$29,IF(E641="HI",2,IF(E641="LO",6,10))+IF(T641=1,2,IF(D641=7,1,(IF(WEEKDAY(B641)=1,2,IF(WEEKDAY(B641)=7,1,0))))))</f>
        <v>3</v>
      </c>
      <c r="V641" s="328">
        <f>VLOOKUP(C641,METADATA!$A$5:$H$29,IF(E641="HI",2,IF(E641="LO",6,10))+IF(T641=1,2,IF(D641=7,1,(IF(WEEKDAY(B641)=1,2,IF(WEEKDAY(B641)=7,1,0))))))</f>
        <v>3</v>
      </c>
    </row>
    <row r="642" spans="2:22">
      <c r="B642" s="318">
        <f t="shared" si="39"/>
        <v>46139</v>
      </c>
      <c r="C642" s="312">
        <v>14</v>
      </c>
      <c r="D642" s="368">
        <f>IFERROR((INDEX(METADATA!$T$2:$T$20,MATCH(B642,METADATA!$S$2:$S$20,0))),0)</f>
        <v>7</v>
      </c>
      <c r="E642" s="312" t="str">
        <f t="shared" si="36"/>
        <v>LO</v>
      </c>
      <c r="F642" s="369">
        <f>VLOOKUP(C642,METADATA!$A$5:$H$29,IF(E642="HI",2,IF(E642="LO",6,10))+IF(D642=1,2,IF(D642=7,1,(IF(WEEKDAY(B642)=1,2,IF(WEEKDAY(B642)=7,1,0))))))</f>
        <v>3</v>
      </c>
      <c r="G642" s="369">
        <f>VLOOKUP(C642,METADATA!$J$5:$Q$29,IF(E642="HI",2,IF(E642="LO",6,10))+IF(D642=1,2,IF(D642=7,1,(IF(WEEKDAY(B642)=1,2,IF(WEEKDAY(B642)=7,1,0))))))</f>
        <v>3</v>
      </c>
      <c r="H642" s="370">
        <v>13265.420288085938</v>
      </c>
      <c r="I642" s="370">
        <v>2202.3105163574219</v>
      </c>
      <c r="M642" s="371">
        <f t="shared" si="37"/>
        <v>13446.990259162847</v>
      </c>
      <c r="N642" s="329">
        <f t="shared" si="38"/>
        <v>0</v>
      </c>
      <c r="T642" s="331">
        <v>0</v>
      </c>
      <c r="U642" s="328">
        <f>VLOOKUP(C642,METADATA!$J$5:$Q$29,IF(E642="HI",2,IF(E642="LO",6,10))+IF(T642=1,2,IF(D642=7,1,(IF(WEEKDAY(B642)=1,2,IF(WEEKDAY(B642)=7,1,0))))))</f>
        <v>3</v>
      </c>
      <c r="V642" s="328">
        <f>VLOOKUP(C642,METADATA!$A$5:$H$29,IF(E642="HI",2,IF(E642="LO",6,10))+IF(T642=1,2,IF(D642=7,1,(IF(WEEKDAY(B642)=1,2,IF(WEEKDAY(B642)=7,1,0))))))</f>
        <v>3</v>
      </c>
    </row>
    <row r="643" spans="2:22">
      <c r="B643" s="318">
        <f t="shared" si="39"/>
        <v>46139</v>
      </c>
      <c r="C643" s="312">
        <v>15</v>
      </c>
      <c r="D643" s="368">
        <f>IFERROR((INDEX(METADATA!$T$2:$T$20,MATCH(B643,METADATA!$S$2:$S$20,0))),0)</f>
        <v>7</v>
      </c>
      <c r="E643" s="312" t="str">
        <f t="shared" si="36"/>
        <v>LO</v>
      </c>
      <c r="F643" s="369">
        <f>VLOOKUP(C643,METADATA!$A$5:$H$29,IF(E643="HI",2,IF(E643="LO",6,10))+IF(D643=1,2,IF(D643=7,1,(IF(WEEKDAY(B643)=1,2,IF(WEEKDAY(B643)=7,1,0))))))</f>
        <v>3</v>
      </c>
      <c r="G643" s="369">
        <f>VLOOKUP(C643,METADATA!$J$5:$Q$29,IF(E643="HI",2,IF(E643="LO",6,10))+IF(D643=1,2,IF(D643=7,1,(IF(WEEKDAY(B643)=1,2,IF(WEEKDAY(B643)=7,1,0))))))</f>
        <v>3</v>
      </c>
      <c r="H643" s="370">
        <v>13330.145080566406</v>
      </c>
      <c r="I643" s="370">
        <v>2186.5420379638672</v>
      </c>
      <c r="M643" s="371">
        <f t="shared" si="37"/>
        <v>13508.283901100536</v>
      </c>
      <c r="N643" s="329">
        <f t="shared" si="38"/>
        <v>0</v>
      </c>
      <c r="T643" s="331">
        <v>0</v>
      </c>
      <c r="U643" s="328">
        <f>VLOOKUP(C643,METADATA!$J$5:$Q$29,IF(E643="HI",2,IF(E643="LO",6,10))+IF(T643=1,2,IF(D643=7,1,(IF(WEEKDAY(B643)=1,2,IF(WEEKDAY(B643)=7,1,0))))))</f>
        <v>3</v>
      </c>
      <c r="V643" s="328">
        <f>VLOOKUP(C643,METADATA!$A$5:$H$29,IF(E643="HI",2,IF(E643="LO",6,10))+IF(T643=1,2,IF(D643=7,1,(IF(WEEKDAY(B643)=1,2,IF(WEEKDAY(B643)=7,1,0))))))</f>
        <v>3</v>
      </c>
    </row>
    <row r="644" spans="2:22">
      <c r="B644" s="318">
        <f t="shared" si="39"/>
        <v>46139</v>
      </c>
      <c r="C644" s="312">
        <v>16</v>
      </c>
      <c r="D644" s="368">
        <f>IFERROR((INDEX(METADATA!$T$2:$T$20,MATCH(B644,METADATA!$S$2:$S$20,0))),0)</f>
        <v>7</v>
      </c>
      <c r="E644" s="312" t="str">
        <f t="shared" ref="E644:E707" si="40">IF(B644="","",IF(AND(MONTH(B644)&gt;=MONTH($Z$9),MONTH(B644)&lt;=MONTH($Z$11)),"HI","LO"))</f>
        <v>LO</v>
      </c>
      <c r="F644" s="369">
        <f>VLOOKUP(C644,METADATA!$A$5:$H$29,IF(E644="HI",2,IF(E644="LO",6,10))+IF(D644=1,2,IF(D644=7,1,(IF(WEEKDAY(B644)=1,2,IF(WEEKDAY(B644)=7,1,0))))))</f>
        <v>3</v>
      </c>
      <c r="G644" s="369">
        <f>VLOOKUP(C644,METADATA!$J$5:$Q$29,IF(E644="HI",2,IF(E644="LO",6,10))+IF(D644=1,2,IF(D644=7,1,(IF(WEEKDAY(B644)=1,2,IF(WEEKDAY(B644)=7,1,0))))))</f>
        <v>3</v>
      </c>
      <c r="H644" s="370">
        <v>13381.460205078125</v>
      </c>
      <c r="I644" s="370">
        <v>2159.4970054626465</v>
      </c>
      <c r="M644" s="371">
        <f t="shared" ref="M644:M707" si="41">SQRT(H644^2+I644^2)</f>
        <v>13554.589795958107</v>
      </c>
      <c r="N644" s="329">
        <f t="shared" ref="N644:N707" si="42">IF(H644=0,0,(IF(I644-(0.3*H644)&lt;0,0,(I644-(0.3*H644)))))</f>
        <v>0</v>
      </c>
      <c r="T644" s="331">
        <v>0</v>
      </c>
      <c r="U644" s="328">
        <f>VLOOKUP(C644,METADATA!$J$5:$Q$29,IF(E644="HI",2,IF(E644="LO",6,10))+IF(T644=1,2,IF(D644=7,1,(IF(WEEKDAY(B644)=1,2,IF(WEEKDAY(B644)=7,1,0))))))</f>
        <v>3</v>
      </c>
      <c r="V644" s="328">
        <f>VLOOKUP(C644,METADATA!$A$5:$H$29,IF(E644="HI",2,IF(E644="LO",6,10))+IF(T644=1,2,IF(D644=7,1,(IF(WEEKDAY(B644)=1,2,IF(WEEKDAY(B644)=7,1,0))))))</f>
        <v>3</v>
      </c>
    </row>
    <row r="645" spans="2:22">
      <c r="B645" s="318">
        <f t="shared" si="39"/>
        <v>46139</v>
      </c>
      <c r="C645" s="312">
        <v>17</v>
      </c>
      <c r="D645" s="368">
        <f>IFERROR((INDEX(METADATA!$T$2:$T$20,MATCH(B645,METADATA!$S$2:$S$20,0))),0)</f>
        <v>7</v>
      </c>
      <c r="E645" s="312" t="str">
        <f t="shared" si="40"/>
        <v>LO</v>
      </c>
      <c r="F645" s="369">
        <f>VLOOKUP(C645,METADATA!$A$5:$H$29,IF(E645="HI",2,IF(E645="LO",6,10))+IF(D645=1,2,IF(D645=7,1,(IF(WEEKDAY(B645)=1,2,IF(WEEKDAY(B645)=7,1,0))))))</f>
        <v>3</v>
      </c>
      <c r="G645" s="369">
        <f>VLOOKUP(C645,METADATA!$J$5:$Q$29,IF(E645="HI",2,IF(E645="LO",6,10))+IF(D645=1,2,IF(D645=7,1,(IF(WEEKDAY(B645)=1,2,IF(WEEKDAY(B645)=7,1,0))))))</f>
        <v>3</v>
      </c>
      <c r="H645" s="370">
        <v>13494.789794921875</v>
      </c>
      <c r="I645" s="370">
        <v>2139.2890625</v>
      </c>
      <c r="M645" s="371">
        <f t="shared" si="41"/>
        <v>13663.305211480116</v>
      </c>
      <c r="N645" s="329">
        <f t="shared" si="42"/>
        <v>0</v>
      </c>
      <c r="T645" s="331">
        <v>0</v>
      </c>
      <c r="U645" s="328">
        <f>VLOOKUP(C645,METADATA!$J$5:$Q$29,IF(E645="HI",2,IF(E645="LO",6,10))+IF(T645=1,2,IF(D645=7,1,(IF(WEEKDAY(B645)=1,2,IF(WEEKDAY(B645)=7,1,0))))))</f>
        <v>3</v>
      </c>
      <c r="V645" s="328">
        <f>VLOOKUP(C645,METADATA!$A$5:$H$29,IF(E645="HI",2,IF(E645="LO",6,10))+IF(T645=1,2,IF(D645=7,1,(IF(WEEKDAY(B645)=1,2,IF(WEEKDAY(B645)=7,1,0))))))</f>
        <v>3</v>
      </c>
    </row>
    <row r="646" spans="2:22">
      <c r="B646" s="318">
        <f t="shared" si="39"/>
        <v>46139</v>
      </c>
      <c r="C646" s="312">
        <v>18</v>
      </c>
      <c r="D646" s="368">
        <f>IFERROR((INDEX(METADATA!$T$2:$T$20,MATCH(B646,METADATA!$S$2:$S$20,0))),0)</f>
        <v>7</v>
      </c>
      <c r="E646" s="312" t="str">
        <f t="shared" si="40"/>
        <v>LO</v>
      </c>
      <c r="F646" s="369">
        <f>VLOOKUP(C646,METADATA!$A$5:$H$29,IF(E646="HI",2,IF(E646="LO",6,10))+IF(D646=1,2,IF(D646=7,1,(IF(WEEKDAY(B646)=1,2,IF(WEEKDAY(B646)=7,1,0))))))</f>
        <v>2</v>
      </c>
      <c r="G646" s="369">
        <f>VLOOKUP(C646,METADATA!$J$5:$Q$29,IF(E646="HI",2,IF(E646="LO",6,10))+IF(D646=1,2,IF(D646=7,1,(IF(WEEKDAY(B646)=1,2,IF(WEEKDAY(B646)=7,1,0))))))</f>
        <v>2</v>
      </c>
      <c r="H646" s="370">
        <v>13499.419738769531</v>
      </c>
      <c r="I646" s="370">
        <v>2090.2089614868164</v>
      </c>
      <c r="M646" s="371">
        <f t="shared" si="41"/>
        <v>13660.282090284967</v>
      </c>
      <c r="N646" s="329">
        <f t="shared" si="42"/>
        <v>0</v>
      </c>
      <c r="T646" s="331">
        <v>0</v>
      </c>
      <c r="U646" s="328">
        <f>VLOOKUP(C646,METADATA!$J$5:$Q$29,IF(E646="HI",2,IF(E646="LO",6,10))+IF(T646=1,2,IF(D646=7,1,(IF(WEEKDAY(B646)=1,2,IF(WEEKDAY(B646)=7,1,0))))))</f>
        <v>2</v>
      </c>
      <c r="V646" s="328">
        <f>VLOOKUP(C646,METADATA!$A$5:$H$29,IF(E646="HI",2,IF(E646="LO",6,10))+IF(T646=1,2,IF(D646=7,1,(IF(WEEKDAY(B646)=1,2,IF(WEEKDAY(B646)=7,1,0))))))</f>
        <v>2</v>
      </c>
    </row>
    <row r="647" spans="2:22">
      <c r="B647" s="318">
        <f t="shared" si="39"/>
        <v>46139</v>
      </c>
      <c r="C647" s="312">
        <v>19</v>
      </c>
      <c r="D647" s="368">
        <f>IFERROR((INDEX(METADATA!$T$2:$T$20,MATCH(B647,METADATA!$S$2:$S$20,0))),0)</f>
        <v>7</v>
      </c>
      <c r="E647" s="312" t="str">
        <f t="shared" si="40"/>
        <v>LO</v>
      </c>
      <c r="F647" s="369">
        <f>VLOOKUP(C647,METADATA!$A$5:$H$29,IF(E647="HI",2,IF(E647="LO",6,10))+IF(D647=1,2,IF(D647=7,1,(IF(WEEKDAY(B647)=1,2,IF(WEEKDAY(B647)=7,1,0))))))</f>
        <v>2</v>
      </c>
      <c r="G647" s="369">
        <f>VLOOKUP(C647,METADATA!$J$5:$Q$29,IF(E647="HI",2,IF(E647="LO",6,10))+IF(D647=1,2,IF(D647=7,1,(IF(WEEKDAY(B647)=1,2,IF(WEEKDAY(B647)=7,1,0))))))</f>
        <v>2</v>
      </c>
      <c r="H647" s="370">
        <v>13497.735107421875</v>
      </c>
      <c r="I647" s="370">
        <v>2154.0470085144043</v>
      </c>
      <c r="M647" s="371">
        <f t="shared" si="41"/>
        <v>13668.532164977294</v>
      </c>
      <c r="N647" s="329">
        <f t="shared" si="42"/>
        <v>0</v>
      </c>
      <c r="T647" s="331">
        <v>0</v>
      </c>
      <c r="U647" s="328">
        <f>VLOOKUP(C647,METADATA!$J$5:$Q$29,IF(E647="HI",2,IF(E647="LO",6,10))+IF(T647=1,2,IF(D647=7,1,(IF(WEEKDAY(B647)=1,2,IF(WEEKDAY(B647)=7,1,0))))))</f>
        <v>2</v>
      </c>
      <c r="V647" s="328">
        <f>VLOOKUP(C647,METADATA!$A$5:$H$29,IF(E647="HI",2,IF(E647="LO",6,10))+IF(T647=1,2,IF(D647=7,1,(IF(WEEKDAY(B647)=1,2,IF(WEEKDAY(B647)=7,1,0))))))</f>
        <v>2</v>
      </c>
    </row>
    <row r="648" spans="2:22">
      <c r="B648" s="318">
        <f t="shared" si="39"/>
        <v>46139</v>
      </c>
      <c r="C648" s="312">
        <v>20</v>
      </c>
      <c r="D648" s="368">
        <f>IFERROR((INDEX(METADATA!$T$2:$T$20,MATCH(B648,METADATA!$S$2:$S$20,0))),0)</f>
        <v>7</v>
      </c>
      <c r="E648" s="312" t="str">
        <f t="shared" si="40"/>
        <v>LO</v>
      </c>
      <c r="F648" s="369">
        <f>VLOOKUP(C648,METADATA!$A$5:$H$29,IF(E648="HI",2,IF(E648="LO",6,10))+IF(D648=1,2,IF(D648=7,1,(IF(WEEKDAY(B648)=1,2,IF(WEEKDAY(B648)=7,1,0))))))</f>
        <v>3</v>
      </c>
      <c r="G648" s="369">
        <f>VLOOKUP(C648,METADATA!$J$5:$Q$29,IF(E648="HI",2,IF(E648="LO",6,10))+IF(D648=1,2,IF(D648=7,1,(IF(WEEKDAY(B648)=1,2,IF(WEEKDAY(B648)=7,1,0))))))</f>
        <v>3</v>
      </c>
      <c r="H648" s="370">
        <v>13313.860412597656</v>
      </c>
      <c r="I648" s="370">
        <v>2140.2004890441895</v>
      </c>
      <c r="M648" s="371">
        <f t="shared" si="41"/>
        <v>13484.781689721196</v>
      </c>
      <c r="N648" s="329">
        <f t="shared" si="42"/>
        <v>0</v>
      </c>
      <c r="T648" s="331">
        <v>0</v>
      </c>
      <c r="U648" s="328">
        <f>VLOOKUP(C648,METADATA!$J$5:$Q$29,IF(E648="HI",2,IF(E648="LO",6,10))+IF(T648=1,2,IF(D648=7,1,(IF(WEEKDAY(B648)=1,2,IF(WEEKDAY(B648)=7,1,0))))))</f>
        <v>3</v>
      </c>
      <c r="V648" s="328">
        <f>VLOOKUP(C648,METADATA!$A$5:$H$29,IF(E648="HI",2,IF(E648="LO",6,10))+IF(T648=1,2,IF(D648=7,1,(IF(WEEKDAY(B648)=1,2,IF(WEEKDAY(B648)=7,1,0))))))</f>
        <v>3</v>
      </c>
    </row>
    <row r="649" spans="2:22">
      <c r="B649" s="318">
        <f t="shared" si="39"/>
        <v>46139</v>
      </c>
      <c r="C649" s="312">
        <v>21</v>
      </c>
      <c r="D649" s="368">
        <f>IFERROR((INDEX(METADATA!$T$2:$T$20,MATCH(B649,METADATA!$S$2:$S$20,0))),0)</f>
        <v>7</v>
      </c>
      <c r="E649" s="312" t="str">
        <f t="shared" si="40"/>
        <v>LO</v>
      </c>
      <c r="F649" s="369">
        <f>VLOOKUP(C649,METADATA!$A$5:$H$29,IF(E649="HI",2,IF(E649="LO",6,10))+IF(D649=1,2,IF(D649=7,1,(IF(WEEKDAY(B649)=1,2,IF(WEEKDAY(B649)=7,1,0))))))</f>
        <v>3</v>
      </c>
      <c r="G649" s="369">
        <f>VLOOKUP(C649,METADATA!$J$5:$Q$29,IF(E649="HI",2,IF(E649="LO",6,10))+IF(D649=1,2,IF(D649=7,1,(IF(WEEKDAY(B649)=1,2,IF(WEEKDAY(B649)=7,1,0))))))</f>
        <v>3</v>
      </c>
      <c r="H649" s="370">
        <v>13369.844665527344</v>
      </c>
      <c r="I649" s="370">
        <v>2136.0230350494385</v>
      </c>
      <c r="M649" s="371">
        <f t="shared" si="41"/>
        <v>13539.399572602611</v>
      </c>
      <c r="N649" s="329">
        <f t="shared" si="42"/>
        <v>0</v>
      </c>
      <c r="T649" s="331">
        <v>0</v>
      </c>
      <c r="U649" s="328">
        <f>VLOOKUP(C649,METADATA!$J$5:$Q$29,IF(E649="HI",2,IF(E649="LO",6,10))+IF(T649=1,2,IF(D649=7,1,(IF(WEEKDAY(B649)=1,2,IF(WEEKDAY(B649)=7,1,0))))))</f>
        <v>3</v>
      </c>
      <c r="V649" s="328">
        <f>VLOOKUP(C649,METADATA!$A$5:$H$29,IF(E649="HI",2,IF(E649="LO",6,10))+IF(T649=1,2,IF(D649=7,1,(IF(WEEKDAY(B649)=1,2,IF(WEEKDAY(B649)=7,1,0))))))</f>
        <v>3</v>
      </c>
    </row>
    <row r="650" spans="2:22">
      <c r="B650" s="318">
        <f t="shared" si="39"/>
        <v>46139</v>
      </c>
      <c r="C650" s="312">
        <v>22</v>
      </c>
      <c r="D650" s="368">
        <f>IFERROR((INDEX(METADATA!$T$2:$T$20,MATCH(B650,METADATA!$S$2:$S$20,0))),0)</f>
        <v>7</v>
      </c>
      <c r="E650" s="312" t="str">
        <f t="shared" si="40"/>
        <v>LO</v>
      </c>
      <c r="F650" s="369">
        <f>VLOOKUP(C650,METADATA!$A$5:$H$29,IF(E650="HI",2,IF(E650="LO",6,10))+IF(D650=1,2,IF(D650=7,1,(IF(WEEKDAY(B650)=1,2,IF(WEEKDAY(B650)=7,1,0))))))</f>
        <v>3</v>
      </c>
      <c r="G650" s="369">
        <f>VLOOKUP(C650,METADATA!$J$5:$Q$29,IF(E650="HI",2,IF(E650="LO",6,10))+IF(D650=1,2,IF(D650=7,1,(IF(WEEKDAY(B650)=1,2,IF(WEEKDAY(B650)=7,1,0))))))</f>
        <v>3</v>
      </c>
      <c r="H650" s="370">
        <v>13382.319396972656</v>
      </c>
      <c r="I650" s="370">
        <v>2151.6475448608398</v>
      </c>
      <c r="M650" s="371">
        <f t="shared" si="41"/>
        <v>13554.189743392863</v>
      </c>
      <c r="N650" s="329">
        <f t="shared" si="42"/>
        <v>0</v>
      </c>
      <c r="T650" s="331">
        <v>0</v>
      </c>
      <c r="U650" s="328">
        <f>VLOOKUP(C650,METADATA!$J$5:$Q$29,IF(E650="HI",2,IF(E650="LO",6,10))+IF(T650=1,2,IF(D650=7,1,(IF(WEEKDAY(B650)=1,2,IF(WEEKDAY(B650)=7,1,0))))))</f>
        <v>3</v>
      </c>
      <c r="V650" s="328">
        <f>VLOOKUP(C650,METADATA!$A$5:$H$29,IF(E650="HI",2,IF(E650="LO",6,10))+IF(T650=1,2,IF(D650=7,1,(IF(WEEKDAY(B650)=1,2,IF(WEEKDAY(B650)=7,1,0))))))</f>
        <v>3</v>
      </c>
    </row>
    <row r="651" spans="2:22">
      <c r="B651" s="318">
        <f t="shared" si="39"/>
        <v>46139</v>
      </c>
      <c r="C651" s="312">
        <v>23</v>
      </c>
      <c r="D651" s="368">
        <f>IFERROR((INDEX(METADATA!$T$2:$T$20,MATCH(B651,METADATA!$S$2:$S$20,0))),0)</f>
        <v>7</v>
      </c>
      <c r="E651" s="312" t="str">
        <f t="shared" si="40"/>
        <v>LO</v>
      </c>
      <c r="F651" s="369">
        <f>VLOOKUP(C651,METADATA!$A$5:$H$29,IF(E651="HI",2,IF(E651="LO",6,10))+IF(D651=1,2,IF(D651=7,1,(IF(WEEKDAY(B651)=1,2,IF(WEEKDAY(B651)=7,1,0))))))</f>
        <v>3</v>
      </c>
      <c r="G651" s="369">
        <f>VLOOKUP(C651,METADATA!$J$5:$Q$29,IF(E651="HI",2,IF(E651="LO",6,10))+IF(D651=1,2,IF(D651=7,1,(IF(WEEKDAY(B651)=1,2,IF(WEEKDAY(B651)=7,1,0))))))</f>
        <v>3</v>
      </c>
      <c r="H651" s="370">
        <v>13325.429931640625</v>
      </c>
      <c r="I651" s="370">
        <v>2232.3835258483887</v>
      </c>
      <c r="M651" s="371">
        <f t="shared" si="41"/>
        <v>13511.129452031135</v>
      </c>
      <c r="N651" s="329">
        <f t="shared" si="42"/>
        <v>0</v>
      </c>
      <c r="T651" s="331">
        <v>0</v>
      </c>
      <c r="U651" s="328">
        <f>VLOOKUP(C651,METADATA!$J$5:$Q$29,IF(E651="HI",2,IF(E651="LO",6,10))+IF(T651=1,2,IF(D651=7,1,(IF(WEEKDAY(B651)=1,2,IF(WEEKDAY(B651)=7,1,0))))))</f>
        <v>3</v>
      </c>
      <c r="V651" s="328">
        <f>VLOOKUP(C651,METADATA!$A$5:$H$29,IF(E651="HI",2,IF(E651="LO",6,10))+IF(T651=1,2,IF(D651=7,1,(IF(WEEKDAY(B651)=1,2,IF(WEEKDAY(B651)=7,1,0))))))</f>
        <v>3</v>
      </c>
    </row>
    <row r="652" spans="2:22">
      <c r="B652" s="318">
        <f t="shared" si="39"/>
        <v>46140</v>
      </c>
      <c r="C652" s="312">
        <v>0</v>
      </c>
      <c r="D652" s="368">
        <f>IFERROR((INDEX(METADATA!$T$2:$T$20,MATCH(B652,METADATA!$S$2:$S$20,0))),0)</f>
        <v>0</v>
      </c>
      <c r="E652" s="312" t="str">
        <f t="shared" si="40"/>
        <v>LO</v>
      </c>
      <c r="F652" s="369">
        <f>VLOOKUP(C652,METADATA!$A$5:$H$29,IF(E652="HI",2,IF(E652="LO",6,10))+IF(D652=1,2,IF(D652=7,1,(IF(WEEKDAY(B652)=1,2,IF(WEEKDAY(B652)=7,1,0))))))</f>
        <v>3</v>
      </c>
      <c r="G652" s="369">
        <f>VLOOKUP(C652,METADATA!$J$5:$Q$29,IF(E652="HI",2,IF(E652="LO",6,10))+IF(D652=1,2,IF(D652=7,1,(IF(WEEKDAY(B652)=1,2,IF(WEEKDAY(B652)=7,1,0))))))</f>
        <v>3</v>
      </c>
      <c r="H652" s="370">
        <v>13240.755249023438</v>
      </c>
      <c r="I652" s="370">
        <v>2133.4575080871582</v>
      </c>
      <c r="M652" s="371">
        <f t="shared" si="41"/>
        <v>13411.533860948015</v>
      </c>
      <c r="N652" s="329">
        <f t="shared" si="42"/>
        <v>0</v>
      </c>
      <c r="T652" s="331">
        <v>0</v>
      </c>
      <c r="U652" s="328">
        <f>VLOOKUP(C652,METADATA!$J$5:$Q$29,IF(E652="HI",2,IF(E652="LO",6,10))+IF(T652=1,2,IF(D652=7,1,(IF(WEEKDAY(B652)=1,2,IF(WEEKDAY(B652)=7,1,0))))))</f>
        <v>3</v>
      </c>
      <c r="V652" s="328">
        <f>VLOOKUP(C652,METADATA!$A$5:$H$29,IF(E652="HI",2,IF(E652="LO",6,10))+IF(T652=1,2,IF(D652=7,1,(IF(WEEKDAY(B652)=1,2,IF(WEEKDAY(B652)=7,1,0))))))</f>
        <v>3</v>
      </c>
    </row>
    <row r="653" spans="2:22">
      <c r="B653" s="318">
        <f t="shared" si="39"/>
        <v>46140</v>
      </c>
      <c r="C653" s="312">
        <v>1</v>
      </c>
      <c r="D653" s="368">
        <f>IFERROR((INDEX(METADATA!$T$2:$T$20,MATCH(B653,METADATA!$S$2:$S$20,0))),0)</f>
        <v>0</v>
      </c>
      <c r="E653" s="312" t="str">
        <f t="shared" si="40"/>
        <v>LO</v>
      </c>
      <c r="F653" s="369">
        <f>VLOOKUP(C653,METADATA!$A$5:$H$29,IF(E653="HI",2,IF(E653="LO",6,10))+IF(D653=1,2,IF(D653=7,1,(IF(WEEKDAY(B653)=1,2,IF(WEEKDAY(B653)=7,1,0))))))</f>
        <v>3</v>
      </c>
      <c r="G653" s="369">
        <f>VLOOKUP(C653,METADATA!$J$5:$Q$29,IF(E653="HI",2,IF(E653="LO",6,10))+IF(D653=1,2,IF(D653=7,1,(IF(WEEKDAY(B653)=1,2,IF(WEEKDAY(B653)=7,1,0))))))</f>
        <v>3</v>
      </c>
      <c r="H653" s="370">
        <v>13263.370178222656</v>
      </c>
      <c r="I653" s="370">
        <v>2049.8144378662109</v>
      </c>
      <c r="M653" s="371">
        <f t="shared" si="41"/>
        <v>13420.831856269226</v>
      </c>
      <c r="N653" s="329">
        <f t="shared" si="42"/>
        <v>0</v>
      </c>
      <c r="T653" s="331">
        <v>0</v>
      </c>
      <c r="U653" s="328">
        <f>VLOOKUP(C653,METADATA!$J$5:$Q$29,IF(E653="HI",2,IF(E653="LO",6,10))+IF(T653=1,2,IF(D653=7,1,(IF(WEEKDAY(B653)=1,2,IF(WEEKDAY(B653)=7,1,0))))))</f>
        <v>3</v>
      </c>
      <c r="V653" s="328">
        <f>VLOOKUP(C653,METADATA!$A$5:$H$29,IF(E653="HI",2,IF(E653="LO",6,10))+IF(T653=1,2,IF(D653=7,1,(IF(WEEKDAY(B653)=1,2,IF(WEEKDAY(B653)=7,1,0))))))</f>
        <v>3</v>
      </c>
    </row>
    <row r="654" spans="2:22">
      <c r="B654" s="318">
        <f t="shared" si="39"/>
        <v>46140</v>
      </c>
      <c r="C654" s="312">
        <v>2</v>
      </c>
      <c r="D654" s="368">
        <f>IFERROR((INDEX(METADATA!$T$2:$T$20,MATCH(B654,METADATA!$S$2:$S$20,0))),0)</f>
        <v>0</v>
      </c>
      <c r="E654" s="312" t="str">
        <f t="shared" si="40"/>
        <v>LO</v>
      </c>
      <c r="F654" s="369">
        <f>VLOOKUP(C654,METADATA!$A$5:$H$29,IF(E654="HI",2,IF(E654="LO",6,10))+IF(D654=1,2,IF(D654=7,1,(IF(WEEKDAY(B654)=1,2,IF(WEEKDAY(B654)=7,1,0))))))</f>
        <v>3</v>
      </c>
      <c r="G654" s="369">
        <f>VLOOKUP(C654,METADATA!$J$5:$Q$29,IF(E654="HI",2,IF(E654="LO",6,10))+IF(D654=1,2,IF(D654=7,1,(IF(WEEKDAY(B654)=1,2,IF(WEEKDAY(B654)=7,1,0))))))</f>
        <v>3</v>
      </c>
      <c r="H654" s="370">
        <v>13408.045043945313</v>
      </c>
      <c r="I654" s="370">
        <v>2045.23046875</v>
      </c>
      <c r="M654" s="371">
        <f t="shared" si="41"/>
        <v>13563.135314917779</v>
      </c>
      <c r="N654" s="329">
        <f t="shared" si="42"/>
        <v>0</v>
      </c>
      <c r="T654" s="331">
        <v>0</v>
      </c>
      <c r="U654" s="328">
        <f>VLOOKUP(C654,METADATA!$J$5:$Q$29,IF(E654="HI",2,IF(E654="LO",6,10))+IF(T654=1,2,IF(D654=7,1,(IF(WEEKDAY(B654)=1,2,IF(WEEKDAY(B654)=7,1,0))))))</f>
        <v>3</v>
      </c>
      <c r="V654" s="328">
        <f>VLOOKUP(C654,METADATA!$A$5:$H$29,IF(E654="HI",2,IF(E654="LO",6,10))+IF(T654=1,2,IF(D654=7,1,(IF(WEEKDAY(B654)=1,2,IF(WEEKDAY(B654)=7,1,0))))))</f>
        <v>3</v>
      </c>
    </row>
    <row r="655" spans="2:22">
      <c r="B655" s="318">
        <f t="shared" si="39"/>
        <v>46140</v>
      </c>
      <c r="C655" s="312">
        <v>3</v>
      </c>
      <c r="D655" s="368">
        <f>IFERROR((INDEX(METADATA!$T$2:$T$20,MATCH(B655,METADATA!$S$2:$S$20,0))),0)</f>
        <v>0</v>
      </c>
      <c r="E655" s="312" t="str">
        <f t="shared" si="40"/>
        <v>LO</v>
      </c>
      <c r="F655" s="369">
        <f>VLOOKUP(C655,METADATA!$A$5:$H$29,IF(E655="HI",2,IF(E655="LO",6,10))+IF(D655=1,2,IF(D655=7,1,(IF(WEEKDAY(B655)=1,2,IF(WEEKDAY(B655)=7,1,0))))))</f>
        <v>3</v>
      </c>
      <c r="G655" s="369">
        <f>VLOOKUP(C655,METADATA!$J$5:$Q$29,IF(E655="HI",2,IF(E655="LO",6,10))+IF(D655=1,2,IF(D655=7,1,(IF(WEEKDAY(B655)=1,2,IF(WEEKDAY(B655)=7,1,0))))))</f>
        <v>3</v>
      </c>
      <c r="H655" s="370">
        <v>13459.694885253906</v>
      </c>
      <c r="I655" s="370">
        <v>1996.1760139465332</v>
      </c>
      <c r="M655" s="371">
        <f t="shared" si="41"/>
        <v>13606.913870631564</v>
      </c>
      <c r="N655" s="329">
        <f t="shared" si="42"/>
        <v>0</v>
      </c>
      <c r="T655" s="331">
        <v>0</v>
      </c>
      <c r="U655" s="328">
        <f>VLOOKUP(C655,METADATA!$J$5:$Q$29,IF(E655="HI",2,IF(E655="LO",6,10))+IF(T655=1,2,IF(D655=7,1,(IF(WEEKDAY(B655)=1,2,IF(WEEKDAY(B655)=7,1,0))))))</f>
        <v>3</v>
      </c>
      <c r="V655" s="328">
        <f>VLOOKUP(C655,METADATA!$A$5:$H$29,IF(E655="HI",2,IF(E655="LO",6,10))+IF(T655=1,2,IF(D655=7,1,(IF(WEEKDAY(B655)=1,2,IF(WEEKDAY(B655)=7,1,0))))))</f>
        <v>3</v>
      </c>
    </row>
    <row r="656" spans="2:22">
      <c r="B656" s="318">
        <f t="shared" si="39"/>
        <v>46140</v>
      </c>
      <c r="C656" s="312">
        <v>4</v>
      </c>
      <c r="D656" s="368">
        <f>IFERROR((INDEX(METADATA!$T$2:$T$20,MATCH(B656,METADATA!$S$2:$S$20,0))),0)</f>
        <v>0</v>
      </c>
      <c r="E656" s="312" t="str">
        <f t="shared" si="40"/>
        <v>LO</v>
      </c>
      <c r="F656" s="369">
        <f>VLOOKUP(C656,METADATA!$A$5:$H$29,IF(E656="HI",2,IF(E656="LO",6,10))+IF(D656=1,2,IF(D656=7,1,(IF(WEEKDAY(B656)=1,2,IF(WEEKDAY(B656)=7,1,0))))))</f>
        <v>3</v>
      </c>
      <c r="G656" s="369">
        <f>VLOOKUP(C656,METADATA!$J$5:$Q$29,IF(E656="HI",2,IF(E656="LO",6,10))+IF(D656=1,2,IF(D656=7,1,(IF(WEEKDAY(B656)=1,2,IF(WEEKDAY(B656)=7,1,0))))))</f>
        <v>3</v>
      </c>
      <c r="H656" s="370">
        <v>13458.260009765625</v>
      </c>
      <c r="I656" s="370">
        <v>2103.841007232666</v>
      </c>
      <c r="M656" s="371">
        <f t="shared" si="41"/>
        <v>13621.707289256012</v>
      </c>
      <c r="N656" s="329">
        <f t="shared" si="42"/>
        <v>0</v>
      </c>
      <c r="T656" s="331">
        <v>0</v>
      </c>
      <c r="U656" s="328">
        <f>VLOOKUP(C656,METADATA!$J$5:$Q$29,IF(E656="HI",2,IF(E656="LO",6,10))+IF(T656=1,2,IF(D656=7,1,(IF(WEEKDAY(B656)=1,2,IF(WEEKDAY(B656)=7,1,0))))))</f>
        <v>3</v>
      </c>
      <c r="V656" s="328">
        <f>VLOOKUP(C656,METADATA!$A$5:$H$29,IF(E656="HI",2,IF(E656="LO",6,10))+IF(T656=1,2,IF(D656=7,1,(IF(WEEKDAY(B656)=1,2,IF(WEEKDAY(B656)=7,1,0))))))</f>
        <v>3</v>
      </c>
    </row>
    <row r="657" spans="2:22">
      <c r="B657" s="318">
        <f t="shared" si="39"/>
        <v>46140</v>
      </c>
      <c r="C657" s="312">
        <v>5</v>
      </c>
      <c r="D657" s="368">
        <f>IFERROR((INDEX(METADATA!$T$2:$T$20,MATCH(B657,METADATA!$S$2:$S$20,0))),0)</f>
        <v>0</v>
      </c>
      <c r="E657" s="312" t="str">
        <f t="shared" si="40"/>
        <v>LO</v>
      </c>
      <c r="F657" s="369">
        <f>VLOOKUP(C657,METADATA!$A$5:$H$29,IF(E657="HI",2,IF(E657="LO",6,10))+IF(D657=1,2,IF(D657=7,1,(IF(WEEKDAY(B657)=1,2,IF(WEEKDAY(B657)=7,1,0))))))</f>
        <v>3</v>
      </c>
      <c r="G657" s="369">
        <f>VLOOKUP(C657,METADATA!$J$5:$Q$29,IF(E657="HI",2,IF(E657="LO",6,10))+IF(D657=1,2,IF(D657=7,1,(IF(WEEKDAY(B657)=1,2,IF(WEEKDAY(B657)=7,1,0))))))</f>
        <v>3</v>
      </c>
      <c r="H657" s="370">
        <v>13457.700073242188</v>
      </c>
      <c r="I657" s="370">
        <v>2159.2294807434082</v>
      </c>
      <c r="M657" s="371">
        <f t="shared" si="41"/>
        <v>13629.818898718142</v>
      </c>
      <c r="N657" s="329">
        <f t="shared" si="42"/>
        <v>0</v>
      </c>
      <c r="T657" s="331">
        <v>0</v>
      </c>
      <c r="U657" s="328">
        <f>VLOOKUP(C657,METADATA!$J$5:$Q$29,IF(E657="HI",2,IF(E657="LO",6,10))+IF(T657=1,2,IF(D657=7,1,(IF(WEEKDAY(B657)=1,2,IF(WEEKDAY(B657)=7,1,0))))))</f>
        <v>3</v>
      </c>
      <c r="V657" s="328">
        <f>VLOOKUP(C657,METADATA!$A$5:$H$29,IF(E657="HI",2,IF(E657="LO",6,10))+IF(T657=1,2,IF(D657=7,1,(IF(WEEKDAY(B657)=1,2,IF(WEEKDAY(B657)=7,1,0))))))</f>
        <v>3</v>
      </c>
    </row>
    <row r="658" spans="2:22">
      <c r="B658" s="318">
        <f t="shared" si="39"/>
        <v>46140</v>
      </c>
      <c r="C658" s="312">
        <v>6</v>
      </c>
      <c r="D658" s="368">
        <f>IFERROR((INDEX(METADATA!$T$2:$T$20,MATCH(B658,METADATA!$S$2:$S$20,0))),0)</f>
        <v>0</v>
      </c>
      <c r="E658" s="312" t="str">
        <f t="shared" si="40"/>
        <v>LO</v>
      </c>
      <c r="F658" s="369">
        <f>VLOOKUP(C658,METADATA!$A$5:$H$29,IF(E658="HI",2,IF(E658="LO",6,10))+IF(D658=1,2,IF(D658=7,1,(IF(WEEKDAY(B658)=1,2,IF(WEEKDAY(B658)=7,1,0))))))</f>
        <v>2</v>
      </c>
      <c r="G658" s="369">
        <f>VLOOKUP(C658,METADATA!$J$5:$Q$29,IF(E658="HI",2,IF(E658="LO",6,10))+IF(D658=1,2,IF(D658=7,1,(IF(WEEKDAY(B658)=1,2,IF(WEEKDAY(B658)=7,1,0))))))</f>
        <v>2</v>
      </c>
      <c r="H658" s="370">
        <v>13524.475158691406</v>
      </c>
      <c r="I658" s="370">
        <v>2171.9049682617188</v>
      </c>
      <c r="M658" s="371">
        <f t="shared" si="41"/>
        <v>13697.758922875701</v>
      </c>
      <c r="N658" s="329">
        <f t="shared" si="42"/>
        <v>0</v>
      </c>
      <c r="T658" s="331">
        <v>0</v>
      </c>
      <c r="U658" s="328">
        <f>VLOOKUP(C658,METADATA!$J$5:$Q$29,IF(E658="HI",2,IF(E658="LO",6,10))+IF(T658=1,2,IF(D658=7,1,(IF(WEEKDAY(B658)=1,2,IF(WEEKDAY(B658)=7,1,0))))))</f>
        <v>2</v>
      </c>
      <c r="V658" s="328">
        <f>VLOOKUP(C658,METADATA!$A$5:$H$29,IF(E658="HI",2,IF(E658="LO",6,10))+IF(T658=1,2,IF(D658=7,1,(IF(WEEKDAY(B658)=1,2,IF(WEEKDAY(B658)=7,1,0))))))</f>
        <v>2</v>
      </c>
    </row>
    <row r="659" spans="2:22">
      <c r="B659" s="318">
        <f t="shared" si="39"/>
        <v>46140</v>
      </c>
      <c r="C659" s="312">
        <v>7</v>
      </c>
      <c r="D659" s="368">
        <f>IFERROR((INDEX(METADATA!$T$2:$T$20,MATCH(B659,METADATA!$S$2:$S$20,0))),0)</f>
        <v>0</v>
      </c>
      <c r="E659" s="312" t="str">
        <f t="shared" si="40"/>
        <v>LO</v>
      </c>
      <c r="F659" s="369">
        <f>VLOOKUP(C659,METADATA!$A$5:$H$29,IF(E659="HI",2,IF(E659="LO",6,10))+IF(D659=1,2,IF(D659=7,1,(IF(WEEKDAY(B659)=1,2,IF(WEEKDAY(B659)=7,1,0))))))</f>
        <v>1</v>
      </c>
      <c r="G659" s="369">
        <f>VLOOKUP(C659,METADATA!$J$5:$Q$29,IF(E659="HI",2,IF(E659="LO",6,10))+IF(D659=1,2,IF(D659=7,1,(IF(WEEKDAY(B659)=1,2,IF(WEEKDAY(B659)=7,1,0))))))</f>
        <v>1</v>
      </c>
      <c r="H659" s="370">
        <v>13577.154968261719</v>
      </c>
      <c r="I659" s="370">
        <v>2140.6825084686279</v>
      </c>
      <c r="M659" s="371">
        <f t="shared" si="41"/>
        <v>13744.877541624641</v>
      </c>
      <c r="N659" s="329">
        <f t="shared" si="42"/>
        <v>0</v>
      </c>
      <c r="T659" s="331">
        <v>0</v>
      </c>
      <c r="U659" s="328">
        <f>VLOOKUP(C659,METADATA!$J$5:$Q$29,IF(E659="HI",2,IF(E659="LO",6,10))+IF(T659=1,2,IF(D659=7,1,(IF(WEEKDAY(B659)=1,2,IF(WEEKDAY(B659)=7,1,0))))))</f>
        <v>1</v>
      </c>
      <c r="V659" s="328">
        <f>VLOOKUP(C659,METADATA!$A$5:$H$29,IF(E659="HI",2,IF(E659="LO",6,10))+IF(T659=1,2,IF(D659=7,1,(IF(WEEKDAY(B659)=1,2,IF(WEEKDAY(B659)=7,1,0))))))</f>
        <v>1</v>
      </c>
    </row>
    <row r="660" spans="2:22">
      <c r="B660" s="318">
        <f t="shared" si="39"/>
        <v>46140</v>
      </c>
      <c r="C660" s="312">
        <v>8</v>
      </c>
      <c r="D660" s="368">
        <f>IFERROR((INDEX(METADATA!$T$2:$T$20,MATCH(B660,METADATA!$S$2:$S$20,0))),0)</f>
        <v>0</v>
      </c>
      <c r="E660" s="312" t="str">
        <f t="shared" si="40"/>
        <v>LO</v>
      </c>
      <c r="F660" s="369">
        <f>VLOOKUP(C660,METADATA!$A$5:$H$29,IF(E660="HI",2,IF(E660="LO",6,10))+IF(D660=1,2,IF(D660=7,1,(IF(WEEKDAY(B660)=1,2,IF(WEEKDAY(B660)=7,1,0))))))</f>
        <v>1</v>
      </c>
      <c r="G660" s="369">
        <f>VLOOKUP(C660,METADATA!$J$5:$Q$29,IF(E660="HI",2,IF(E660="LO",6,10))+IF(D660=1,2,IF(D660=7,1,(IF(WEEKDAY(B660)=1,2,IF(WEEKDAY(B660)=7,1,0))))))</f>
        <v>1</v>
      </c>
      <c r="H660" s="370">
        <v>13628.609802246094</v>
      </c>
      <c r="I660" s="370">
        <v>2033.352029800415</v>
      </c>
      <c r="M660" s="371">
        <f t="shared" si="41"/>
        <v>13779.460280394576</v>
      </c>
      <c r="N660" s="329">
        <f t="shared" si="42"/>
        <v>0</v>
      </c>
      <c r="T660" s="331">
        <v>0</v>
      </c>
      <c r="U660" s="328">
        <f>VLOOKUP(C660,METADATA!$J$5:$Q$29,IF(E660="HI",2,IF(E660="LO",6,10))+IF(T660=1,2,IF(D660=7,1,(IF(WEEKDAY(B660)=1,2,IF(WEEKDAY(B660)=7,1,0))))))</f>
        <v>1</v>
      </c>
      <c r="V660" s="328">
        <f>VLOOKUP(C660,METADATA!$A$5:$H$29,IF(E660="HI",2,IF(E660="LO",6,10))+IF(T660=1,2,IF(D660=7,1,(IF(WEEKDAY(B660)=1,2,IF(WEEKDAY(B660)=7,1,0))))))</f>
        <v>1</v>
      </c>
    </row>
    <row r="661" spans="2:22">
      <c r="B661" s="318">
        <f t="shared" si="39"/>
        <v>46140</v>
      </c>
      <c r="C661" s="312">
        <v>9</v>
      </c>
      <c r="D661" s="368">
        <f>IFERROR((INDEX(METADATA!$T$2:$T$20,MATCH(B661,METADATA!$S$2:$S$20,0))),0)</f>
        <v>0</v>
      </c>
      <c r="E661" s="312" t="str">
        <f t="shared" si="40"/>
        <v>LO</v>
      </c>
      <c r="F661" s="369">
        <f>VLOOKUP(C661,METADATA!$A$5:$H$29,IF(E661="HI",2,IF(E661="LO",6,10))+IF(D661=1,2,IF(D661=7,1,(IF(WEEKDAY(B661)=1,2,IF(WEEKDAY(B661)=7,1,0))))))</f>
        <v>2</v>
      </c>
      <c r="G661" s="369">
        <f>VLOOKUP(C661,METADATA!$J$5:$Q$29,IF(E661="HI",2,IF(E661="LO",6,10))+IF(D661=1,2,IF(D661=7,1,(IF(WEEKDAY(B661)=1,2,IF(WEEKDAY(B661)=7,1,0))))))</f>
        <v>2</v>
      </c>
      <c r="H661" s="370">
        <v>12686.77001953125</v>
      </c>
      <c r="I661" s="370">
        <v>1586.6640150547028</v>
      </c>
      <c r="M661" s="371">
        <f t="shared" si="41"/>
        <v>12785.60269307421</v>
      </c>
      <c r="N661" s="329">
        <f t="shared" si="42"/>
        <v>0</v>
      </c>
      <c r="T661" s="331">
        <v>0</v>
      </c>
      <c r="U661" s="328">
        <f>VLOOKUP(C661,METADATA!$J$5:$Q$29,IF(E661="HI",2,IF(E661="LO",6,10))+IF(T661=1,2,IF(D661=7,1,(IF(WEEKDAY(B661)=1,2,IF(WEEKDAY(B661)=7,1,0))))))</f>
        <v>2</v>
      </c>
      <c r="V661" s="328">
        <f>VLOOKUP(C661,METADATA!$A$5:$H$29,IF(E661="HI",2,IF(E661="LO",6,10))+IF(T661=1,2,IF(D661=7,1,(IF(WEEKDAY(B661)=1,2,IF(WEEKDAY(B661)=7,1,0))))))</f>
        <v>2</v>
      </c>
    </row>
    <row r="662" spans="2:22">
      <c r="B662" s="318">
        <f t="shared" si="39"/>
        <v>46140</v>
      </c>
      <c r="C662" s="312">
        <v>10</v>
      </c>
      <c r="D662" s="368">
        <f>IFERROR((INDEX(METADATA!$T$2:$T$20,MATCH(B662,METADATA!$S$2:$S$20,0))),0)</f>
        <v>0</v>
      </c>
      <c r="E662" s="312" t="str">
        <f t="shared" si="40"/>
        <v>LO</v>
      </c>
      <c r="F662" s="369">
        <f>VLOOKUP(C662,METADATA!$A$5:$H$29,IF(E662="HI",2,IF(E662="LO",6,10))+IF(D662=1,2,IF(D662=7,1,(IF(WEEKDAY(B662)=1,2,IF(WEEKDAY(B662)=7,1,0))))))</f>
        <v>2</v>
      </c>
      <c r="G662" s="369">
        <f>VLOOKUP(C662,METADATA!$J$5:$Q$29,IF(E662="HI",2,IF(E662="LO",6,10))+IF(D662=1,2,IF(D662=7,1,(IF(WEEKDAY(B662)=1,2,IF(WEEKDAY(B662)=7,1,0))))))</f>
        <v>2</v>
      </c>
      <c r="H662" s="370">
        <v>10327.592681884766</v>
      </c>
      <c r="I662" s="370">
        <v>754.3205073242425</v>
      </c>
      <c r="M662" s="371">
        <f t="shared" si="41"/>
        <v>10355.103574116953</v>
      </c>
      <c r="N662" s="329">
        <f t="shared" si="42"/>
        <v>0</v>
      </c>
      <c r="T662" s="331">
        <v>0</v>
      </c>
      <c r="U662" s="328">
        <f>VLOOKUP(C662,METADATA!$J$5:$Q$29,IF(E662="HI",2,IF(E662="LO",6,10))+IF(T662=1,2,IF(D662=7,1,(IF(WEEKDAY(B662)=1,2,IF(WEEKDAY(B662)=7,1,0))))))</f>
        <v>2</v>
      </c>
      <c r="V662" s="328">
        <f>VLOOKUP(C662,METADATA!$A$5:$H$29,IF(E662="HI",2,IF(E662="LO",6,10))+IF(T662=1,2,IF(D662=7,1,(IF(WEEKDAY(B662)=1,2,IF(WEEKDAY(B662)=7,1,0))))))</f>
        <v>2</v>
      </c>
    </row>
    <row r="663" spans="2:22">
      <c r="B663" s="318">
        <f t="shared" si="39"/>
        <v>46140</v>
      </c>
      <c r="C663" s="312">
        <v>11</v>
      </c>
      <c r="D663" s="368">
        <f>IFERROR((INDEX(METADATA!$T$2:$T$20,MATCH(B663,METADATA!$S$2:$S$20,0))),0)</f>
        <v>0</v>
      </c>
      <c r="E663" s="312" t="str">
        <f t="shared" si="40"/>
        <v>LO</v>
      </c>
      <c r="F663" s="369">
        <f>VLOOKUP(C663,METADATA!$A$5:$H$29,IF(E663="HI",2,IF(E663="LO",6,10))+IF(D663=1,2,IF(D663=7,1,(IF(WEEKDAY(B663)=1,2,IF(WEEKDAY(B663)=7,1,0))))))</f>
        <v>2</v>
      </c>
      <c r="G663" s="369">
        <f>VLOOKUP(C663,METADATA!$J$5:$Q$29,IF(E663="HI",2,IF(E663="LO",6,10))+IF(D663=1,2,IF(D663=7,1,(IF(WEEKDAY(B663)=1,2,IF(WEEKDAY(B663)=7,1,0))))))</f>
        <v>2</v>
      </c>
      <c r="H663" s="370">
        <v>11962.355102539063</v>
      </c>
      <c r="I663" s="370">
        <v>1278.6679949760437</v>
      </c>
      <c r="M663" s="371">
        <f t="shared" si="41"/>
        <v>12030.500049483329</v>
      </c>
      <c r="N663" s="329">
        <f t="shared" si="42"/>
        <v>0</v>
      </c>
      <c r="T663" s="331">
        <v>0</v>
      </c>
      <c r="U663" s="328">
        <f>VLOOKUP(C663,METADATA!$J$5:$Q$29,IF(E663="HI",2,IF(E663="LO",6,10))+IF(T663=1,2,IF(D663=7,1,(IF(WEEKDAY(B663)=1,2,IF(WEEKDAY(B663)=7,1,0))))))</f>
        <v>2</v>
      </c>
      <c r="V663" s="328">
        <f>VLOOKUP(C663,METADATA!$A$5:$H$29,IF(E663="HI",2,IF(E663="LO",6,10))+IF(T663=1,2,IF(D663=7,1,(IF(WEEKDAY(B663)=1,2,IF(WEEKDAY(B663)=7,1,0))))))</f>
        <v>2</v>
      </c>
    </row>
    <row r="664" spans="2:22">
      <c r="B664" s="318">
        <f t="shared" si="39"/>
        <v>46140</v>
      </c>
      <c r="C664" s="312">
        <v>12</v>
      </c>
      <c r="D664" s="368">
        <f>IFERROR((INDEX(METADATA!$T$2:$T$20,MATCH(B664,METADATA!$S$2:$S$20,0))),0)</f>
        <v>0</v>
      </c>
      <c r="E664" s="312" t="str">
        <f t="shared" si="40"/>
        <v>LO</v>
      </c>
      <c r="F664" s="369">
        <f>VLOOKUP(C664,METADATA!$A$5:$H$29,IF(E664="HI",2,IF(E664="LO",6,10))+IF(D664=1,2,IF(D664=7,1,(IF(WEEKDAY(B664)=1,2,IF(WEEKDAY(B664)=7,1,0))))))</f>
        <v>2</v>
      </c>
      <c r="G664" s="369">
        <f>VLOOKUP(C664,METADATA!$J$5:$Q$29,IF(E664="HI",2,IF(E664="LO",6,10))+IF(D664=1,2,IF(D664=7,1,(IF(WEEKDAY(B664)=1,2,IF(WEEKDAY(B664)=7,1,0))))))</f>
        <v>2</v>
      </c>
      <c r="H664" s="370">
        <v>12561.685424804688</v>
      </c>
      <c r="I664" s="370">
        <v>1640.2324905395508</v>
      </c>
      <c r="M664" s="371">
        <f t="shared" si="41"/>
        <v>12668.318883528787</v>
      </c>
      <c r="N664" s="329">
        <f t="shared" si="42"/>
        <v>0</v>
      </c>
      <c r="T664" s="331">
        <v>0</v>
      </c>
      <c r="U664" s="328">
        <f>VLOOKUP(C664,METADATA!$J$5:$Q$29,IF(E664="HI",2,IF(E664="LO",6,10))+IF(T664=1,2,IF(D664=7,1,(IF(WEEKDAY(B664)=1,2,IF(WEEKDAY(B664)=7,1,0))))))</f>
        <v>2</v>
      </c>
      <c r="V664" s="328">
        <f>VLOOKUP(C664,METADATA!$A$5:$H$29,IF(E664="HI",2,IF(E664="LO",6,10))+IF(T664=1,2,IF(D664=7,1,(IF(WEEKDAY(B664)=1,2,IF(WEEKDAY(B664)=7,1,0))))))</f>
        <v>2</v>
      </c>
    </row>
    <row r="665" spans="2:22">
      <c r="B665" s="318">
        <f t="shared" si="39"/>
        <v>46140</v>
      </c>
      <c r="C665" s="312">
        <v>13</v>
      </c>
      <c r="D665" s="368">
        <f>IFERROR((INDEX(METADATA!$T$2:$T$20,MATCH(B665,METADATA!$S$2:$S$20,0))),0)</f>
        <v>0</v>
      </c>
      <c r="E665" s="312" t="str">
        <f t="shared" si="40"/>
        <v>LO</v>
      </c>
      <c r="F665" s="369">
        <f>VLOOKUP(C665,METADATA!$A$5:$H$29,IF(E665="HI",2,IF(E665="LO",6,10))+IF(D665=1,2,IF(D665=7,1,(IF(WEEKDAY(B665)=1,2,IF(WEEKDAY(B665)=7,1,0))))))</f>
        <v>2</v>
      </c>
      <c r="G665" s="369">
        <f>VLOOKUP(C665,METADATA!$J$5:$Q$29,IF(E665="HI",2,IF(E665="LO",6,10))+IF(D665=1,2,IF(D665=7,1,(IF(WEEKDAY(B665)=1,2,IF(WEEKDAY(B665)=7,1,0))))))</f>
        <v>2</v>
      </c>
      <c r="H665" s="370">
        <v>13447.174987792969</v>
      </c>
      <c r="I665" s="370">
        <v>2043.1215133666992</v>
      </c>
      <c r="M665" s="371">
        <f t="shared" si="41"/>
        <v>13601.502147583062</v>
      </c>
      <c r="N665" s="329">
        <f t="shared" si="42"/>
        <v>0</v>
      </c>
      <c r="T665" s="331">
        <v>0</v>
      </c>
      <c r="U665" s="328">
        <f>VLOOKUP(C665,METADATA!$J$5:$Q$29,IF(E665="HI",2,IF(E665="LO",6,10))+IF(T665=1,2,IF(D665=7,1,(IF(WEEKDAY(B665)=1,2,IF(WEEKDAY(B665)=7,1,0))))))</f>
        <v>2</v>
      </c>
      <c r="V665" s="328">
        <f>VLOOKUP(C665,METADATA!$A$5:$H$29,IF(E665="HI",2,IF(E665="LO",6,10))+IF(T665=1,2,IF(D665=7,1,(IF(WEEKDAY(B665)=1,2,IF(WEEKDAY(B665)=7,1,0))))))</f>
        <v>2</v>
      </c>
    </row>
    <row r="666" spans="2:22">
      <c r="B666" s="318">
        <f t="shared" si="39"/>
        <v>46140</v>
      </c>
      <c r="C666" s="312">
        <v>14</v>
      </c>
      <c r="D666" s="368">
        <f>IFERROR((INDEX(METADATA!$T$2:$T$20,MATCH(B666,METADATA!$S$2:$S$20,0))),0)</f>
        <v>0</v>
      </c>
      <c r="E666" s="312" t="str">
        <f t="shared" si="40"/>
        <v>LO</v>
      </c>
      <c r="F666" s="369">
        <f>VLOOKUP(C666,METADATA!$A$5:$H$29,IF(E666="HI",2,IF(E666="LO",6,10))+IF(D666=1,2,IF(D666=7,1,(IF(WEEKDAY(B666)=1,2,IF(WEEKDAY(B666)=7,1,0))))))</f>
        <v>2</v>
      </c>
      <c r="G666" s="369">
        <f>VLOOKUP(C666,METADATA!$J$5:$Q$29,IF(E666="HI",2,IF(E666="LO",6,10))+IF(D666=1,2,IF(D666=7,1,(IF(WEEKDAY(B666)=1,2,IF(WEEKDAY(B666)=7,1,0))))))</f>
        <v>2</v>
      </c>
      <c r="H666" s="370">
        <v>13417.519775390625</v>
      </c>
      <c r="I666" s="370">
        <v>2057.1590099334717</v>
      </c>
      <c r="M666" s="371">
        <f t="shared" si="41"/>
        <v>13574.304406309333</v>
      </c>
      <c r="N666" s="329">
        <f t="shared" si="42"/>
        <v>0</v>
      </c>
      <c r="T666" s="331">
        <v>0</v>
      </c>
      <c r="U666" s="328">
        <f>VLOOKUP(C666,METADATA!$J$5:$Q$29,IF(E666="HI",2,IF(E666="LO",6,10))+IF(T666=1,2,IF(D666=7,1,(IF(WEEKDAY(B666)=1,2,IF(WEEKDAY(B666)=7,1,0))))))</f>
        <v>2</v>
      </c>
      <c r="V666" s="328">
        <f>VLOOKUP(C666,METADATA!$A$5:$H$29,IF(E666="HI",2,IF(E666="LO",6,10))+IF(T666=1,2,IF(D666=7,1,(IF(WEEKDAY(B666)=1,2,IF(WEEKDAY(B666)=7,1,0))))))</f>
        <v>2</v>
      </c>
    </row>
    <row r="667" spans="2:22">
      <c r="B667" s="318">
        <f t="shared" si="39"/>
        <v>46140</v>
      </c>
      <c r="C667" s="312">
        <v>15</v>
      </c>
      <c r="D667" s="368">
        <f>IFERROR((INDEX(METADATA!$T$2:$T$20,MATCH(B667,METADATA!$S$2:$S$20,0))),0)</f>
        <v>0</v>
      </c>
      <c r="E667" s="312" t="str">
        <f t="shared" si="40"/>
        <v>LO</v>
      </c>
      <c r="F667" s="369">
        <f>VLOOKUP(C667,METADATA!$A$5:$H$29,IF(E667="HI",2,IF(E667="LO",6,10))+IF(D667=1,2,IF(D667=7,1,(IF(WEEKDAY(B667)=1,2,IF(WEEKDAY(B667)=7,1,0))))))</f>
        <v>2</v>
      </c>
      <c r="G667" s="369">
        <f>VLOOKUP(C667,METADATA!$J$5:$Q$29,IF(E667="HI",2,IF(E667="LO",6,10))+IF(D667=1,2,IF(D667=7,1,(IF(WEEKDAY(B667)=1,2,IF(WEEKDAY(B667)=7,1,0))))))</f>
        <v>2</v>
      </c>
      <c r="H667" s="370">
        <v>13687.289733886719</v>
      </c>
      <c r="I667" s="370">
        <v>2193.0014572143555</v>
      </c>
      <c r="M667" s="371">
        <f t="shared" si="41"/>
        <v>13861.859747187786</v>
      </c>
      <c r="N667" s="329">
        <f t="shared" si="42"/>
        <v>0</v>
      </c>
      <c r="T667" s="331">
        <v>0</v>
      </c>
      <c r="U667" s="328">
        <f>VLOOKUP(C667,METADATA!$J$5:$Q$29,IF(E667="HI",2,IF(E667="LO",6,10))+IF(T667=1,2,IF(D667=7,1,(IF(WEEKDAY(B667)=1,2,IF(WEEKDAY(B667)=7,1,0))))))</f>
        <v>2</v>
      </c>
      <c r="V667" s="328">
        <f>VLOOKUP(C667,METADATA!$A$5:$H$29,IF(E667="HI",2,IF(E667="LO",6,10))+IF(T667=1,2,IF(D667=7,1,(IF(WEEKDAY(B667)=1,2,IF(WEEKDAY(B667)=7,1,0))))))</f>
        <v>2</v>
      </c>
    </row>
    <row r="668" spans="2:22">
      <c r="B668" s="318">
        <f t="shared" ref="B668:B731" si="43">B644+1</f>
        <v>46140</v>
      </c>
      <c r="C668" s="312">
        <v>16</v>
      </c>
      <c r="D668" s="368">
        <f>IFERROR((INDEX(METADATA!$T$2:$T$20,MATCH(B668,METADATA!$S$2:$S$20,0))),0)</f>
        <v>0</v>
      </c>
      <c r="E668" s="312" t="str">
        <f t="shared" si="40"/>
        <v>LO</v>
      </c>
      <c r="F668" s="369">
        <f>VLOOKUP(C668,METADATA!$A$5:$H$29,IF(E668="HI",2,IF(E668="LO",6,10))+IF(D668=1,2,IF(D668=7,1,(IF(WEEKDAY(B668)=1,2,IF(WEEKDAY(B668)=7,1,0))))))</f>
        <v>2</v>
      </c>
      <c r="G668" s="369">
        <f>VLOOKUP(C668,METADATA!$J$5:$Q$29,IF(E668="HI",2,IF(E668="LO",6,10))+IF(D668=1,2,IF(D668=7,1,(IF(WEEKDAY(B668)=1,2,IF(WEEKDAY(B668)=7,1,0))))))</f>
        <v>2</v>
      </c>
      <c r="H668" s="370">
        <v>13824.344787597656</v>
      </c>
      <c r="I668" s="370">
        <v>2240.7580032348633</v>
      </c>
      <c r="M668" s="371">
        <f t="shared" si="41"/>
        <v>14004.767232461936</v>
      </c>
      <c r="N668" s="329">
        <f t="shared" si="42"/>
        <v>0</v>
      </c>
      <c r="T668" s="331">
        <v>0</v>
      </c>
      <c r="U668" s="328">
        <f>VLOOKUP(C668,METADATA!$J$5:$Q$29,IF(E668="HI",2,IF(E668="LO",6,10))+IF(T668=1,2,IF(D668=7,1,(IF(WEEKDAY(B668)=1,2,IF(WEEKDAY(B668)=7,1,0))))))</f>
        <v>2</v>
      </c>
      <c r="V668" s="328">
        <f>VLOOKUP(C668,METADATA!$A$5:$H$29,IF(E668="HI",2,IF(E668="LO",6,10))+IF(T668=1,2,IF(D668=7,1,(IF(WEEKDAY(B668)=1,2,IF(WEEKDAY(B668)=7,1,0))))))</f>
        <v>2</v>
      </c>
    </row>
    <row r="669" spans="2:22">
      <c r="B669" s="318">
        <f t="shared" si="43"/>
        <v>46140</v>
      </c>
      <c r="C669" s="312">
        <v>17</v>
      </c>
      <c r="D669" s="368">
        <f>IFERROR((INDEX(METADATA!$T$2:$T$20,MATCH(B669,METADATA!$S$2:$S$20,0))),0)</f>
        <v>0</v>
      </c>
      <c r="E669" s="312" t="str">
        <f t="shared" si="40"/>
        <v>LO</v>
      </c>
      <c r="F669" s="369">
        <f>VLOOKUP(C669,METADATA!$A$5:$H$29,IF(E669="HI",2,IF(E669="LO",6,10))+IF(D669=1,2,IF(D669=7,1,(IF(WEEKDAY(B669)=1,2,IF(WEEKDAY(B669)=7,1,0))))))</f>
        <v>2</v>
      </c>
      <c r="G669" s="369">
        <f>VLOOKUP(C669,METADATA!$J$5:$Q$29,IF(E669="HI",2,IF(E669="LO",6,10))+IF(D669=1,2,IF(D669=7,1,(IF(WEEKDAY(B669)=1,2,IF(WEEKDAY(B669)=7,1,0))))))</f>
        <v>2</v>
      </c>
      <c r="H669" s="370">
        <v>13729.024658203125</v>
      </c>
      <c r="I669" s="370">
        <v>2134.1065101623535</v>
      </c>
      <c r="M669" s="371">
        <f t="shared" si="41"/>
        <v>13893.902571353621</v>
      </c>
      <c r="N669" s="329">
        <f t="shared" si="42"/>
        <v>0</v>
      </c>
      <c r="T669" s="331">
        <v>0</v>
      </c>
      <c r="U669" s="328">
        <f>VLOOKUP(C669,METADATA!$J$5:$Q$29,IF(E669="HI",2,IF(E669="LO",6,10))+IF(T669=1,2,IF(D669=7,1,(IF(WEEKDAY(B669)=1,2,IF(WEEKDAY(B669)=7,1,0))))))</f>
        <v>2</v>
      </c>
      <c r="V669" s="328">
        <f>VLOOKUP(C669,METADATA!$A$5:$H$29,IF(E669="HI",2,IF(E669="LO",6,10))+IF(T669=1,2,IF(D669=7,1,(IF(WEEKDAY(B669)=1,2,IF(WEEKDAY(B669)=7,1,0))))))</f>
        <v>2</v>
      </c>
    </row>
    <row r="670" spans="2:22">
      <c r="B670" s="318">
        <f t="shared" si="43"/>
        <v>46140</v>
      </c>
      <c r="C670" s="312">
        <v>18</v>
      </c>
      <c r="D670" s="368">
        <f>IFERROR((INDEX(METADATA!$T$2:$T$20,MATCH(B670,METADATA!$S$2:$S$20,0))),0)</f>
        <v>0</v>
      </c>
      <c r="E670" s="312" t="str">
        <f t="shared" si="40"/>
        <v>LO</v>
      </c>
      <c r="F670" s="369">
        <f>VLOOKUP(C670,METADATA!$A$5:$H$29,IF(E670="HI",2,IF(E670="LO",6,10))+IF(D670=1,2,IF(D670=7,1,(IF(WEEKDAY(B670)=1,2,IF(WEEKDAY(B670)=7,1,0))))))</f>
        <v>1</v>
      </c>
      <c r="G670" s="369">
        <f>VLOOKUP(C670,METADATA!$J$5:$Q$29,IF(E670="HI",2,IF(E670="LO",6,10))+IF(D670=1,2,IF(D670=7,1,(IF(WEEKDAY(B670)=1,2,IF(WEEKDAY(B670)=7,1,0))))))</f>
        <v>1</v>
      </c>
      <c r="H670" s="370">
        <v>13844.820251464844</v>
      </c>
      <c r="I670" s="370">
        <v>2024.9970436096191</v>
      </c>
      <c r="M670" s="371">
        <f t="shared" si="41"/>
        <v>13992.128530784683</v>
      </c>
      <c r="N670" s="329">
        <f t="shared" si="42"/>
        <v>0</v>
      </c>
      <c r="T670" s="331">
        <v>0</v>
      </c>
      <c r="U670" s="328">
        <f>VLOOKUP(C670,METADATA!$J$5:$Q$29,IF(E670="HI",2,IF(E670="LO",6,10))+IF(T670=1,2,IF(D670=7,1,(IF(WEEKDAY(B670)=1,2,IF(WEEKDAY(B670)=7,1,0))))))</f>
        <v>1</v>
      </c>
      <c r="V670" s="328">
        <f>VLOOKUP(C670,METADATA!$A$5:$H$29,IF(E670="HI",2,IF(E670="LO",6,10))+IF(T670=1,2,IF(D670=7,1,(IF(WEEKDAY(B670)=1,2,IF(WEEKDAY(B670)=7,1,0))))))</f>
        <v>1</v>
      </c>
    </row>
    <row r="671" spans="2:22">
      <c r="B671" s="318">
        <f t="shared" si="43"/>
        <v>46140</v>
      </c>
      <c r="C671" s="312">
        <v>19</v>
      </c>
      <c r="D671" s="368">
        <f>IFERROR((INDEX(METADATA!$T$2:$T$20,MATCH(B671,METADATA!$S$2:$S$20,0))),0)</f>
        <v>0</v>
      </c>
      <c r="E671" s="312" t="str">
        <f t="shared" si="40"/>
        <v>LO</v>
      </c>
      <c r="F671" s="369">
        <f>VLOOKUP(C671,METADATA!$A$5:$H$29,IF(E671="HI",2,IF(E671="LO",6,10))+IF(D671=1,2,IF(D671=7,1,(IF(WEEKDAY(B671)=1,2,IF(WEEKDAY(B671)=7,1,0))))))</f>
        <v>1</v>
      </c>
      <c r="G671" s="369">
        <f>VLOOKUP(C671,METADATA!$J$5:$Q$29,IF(E671="HI",2,IF(E671="LO",6,10))+IF(D671=1,2,IF(D671=7,1,(IF(WEEKDAY(B671)=1,2,IF(WEEKDAY(B671)=7,1,0))))))</f>
        <v>1</v>
      </c>
      <c r="H671" s="370">
        <v>13869.984680175781</v>
      </c>
      <c r="I671" s="370">
        <v>2047.7555103302002</v>
      </c>
      <c r="M671" s="371">
        <f t="shared" si="41"/>
        <v>14020.334434613127</v>
      </c>
      <c r="N671" s="329">
        <f t="shared" si="42"/>
        <v>0</v>
      </c>
      <c r="T671" s="331">
        <v>0</v>
      </c>
      <c r="U671" s="328">
        <f>VLOOKUP(C671,METADATA!$J$5:$Q$29,IF(E671="HI",2,IF(E671="LO",6,10))+IF(T671=1,2,IF(D671=7,1,(IF(WEEKDAY(B671)=1,2,IF(WEEKDAY(B671)=7,1,0))))))</f>
        <v>1</v>
      </c>
      <c r="V671" s="328">
        <f>VLOOKUP(C671,METADATA!$A$5:$H$29,IF(E671="HI",2,IF(E671="LO",6,10))+IF(T671=1,2,IF(D671=7,1,(IF(WEEKDAY(B671)=1,2,IF(WEEKDAY(B671)=7,1,0))))))</f>
        <v>1</v>
      </c>
    </row>
    <row r="672" spans="2:22">
      <c r="B672" s="318">
        <f t="shared" si="43"/>
        <v>46140</v>
      </c>
      <c r="C672" s="312">
        <v>20</v>
      </c>
      <c r="D672" s="368">
        <f>IFERROR((INDEX(METADATA!$T$2:$T$20,MATCH(B672,METADATA!$S$2:$S$20,0))),0)</f>
        <v>0</v>
      </c>
      <c r="E672" s="312" t="str">
        <f t="shared" si="40"/>
        <v>LO</v>
      </c>
      <c r="F672" s="369">
        <f>VLOOKUP(C672,METADATA!$A$5:$H$29,IF(E672="HI",2,IF(E672="LO",6,10))+IF(D672=1,2,IF(D672=7,1,(IF(WEEKDAY(B672)=1,2,IF(WEEKDAY(B672)=7,1,0))))))</f>
        <v>1</v>
      </c>
      <c r="G672" s="369">
        <f>VLOOKUP(C672,METADATA!$J$5:$Q$29,IF(E672="HI",2,IF(E672="LO",6,10))+IF(D672=1,2,IF(D672=7,1,(IF(WEEKDAY(B672)=1,2,IF(WEEKDAY(B672)=7,1,0))))))</f>
        <v>1</v>
      </c>
      <c r="H672" s="370">
        <v>13906.880187988281</v>
      </c>
      <c r="I672" s="370">
        <v>2081.4235401153564</v>
      </c>
      <c r="M672" s="371">
        <f t="shared" si="41"/>
        <v>14061.779422121772</v>
      </c>
      <c r="N672" s="329">
        <f t="shared" si="42"/>
        <v>0</v>
      </c>
      <c r="T672" s="331">
        <v>0</v>
      </c>
      <c r="U672" s="328">
        <f>VLOOKUP(C672,METADATA!$J$5:$Q$29,IF(E672="HI",2,IF(E672="LO",6,10))+IF(T672=1,2,IF(D672=7,1,(IF(WEEKDAY(B672)=1,2,IF(WEEKDAY(B672)=7,1,0))))))</f>
        <v>1</v>
      </c>
      <c r="V672" s="328">
        <f>VLOOKUP(C672,METADATA!$A$5:$H$29,IF(E672="HI",2,IF(E672="LO",6,10))+IF(T672=1,2,IF(D672=7,1,(IF(WEEKDAY(B672)=1,2,IF(WEEKDAY(B672)=7,1,0))))))</f>
        <v>1</v>
      </c>
    </row>
    <row r="673" spans="2:22">
      <c r="B673" s="318">
        <f t="shared" si="43"/>
        <v>46140</v>
      </c>
      <c r="C673" s="312">
        <v>21</v>
      </c>
      <c r="D673" s="368">
        <f>IFERROR((INDEX(METADATA!$T$2:$T$20,MATCH(B673,METADATA!$S$2:$S$20,0))),0)</f>
        <v>0</v>
      </c>
      <c r="E673" s="312" t="str">
        <f t="shared" si="40"/>
        <v>LO</v>
      </c>
      <c r="F673" s="369">
        <f>VLOOKUP(C673,METADATA!$A$5:$H$29,IF(E673="HI",2,IF(E673="LO",6,10))+IF(D673=1,2,IF(D673=7,1,(IF(WEEKDAY(B673)=1,2,IF(WEEKDAY(B673)=7,1,0))))))</f>
        <v>2</v>
      </c>
      <c r="G673" s="369">
        <f>VLOOKUP(C673,METADATA!$J$5:$Q$29,IF(E673="HI",2,IF(E673="LO",6,10))+IF(D673=1,2,IF(D673=7,1,(IF(WEEKDAY(B673)=1,2,IF(WEEKDAY(B673)=7,1,0))))))</f>
        <v>2</v>
      </c>
      <c r="H673" s="370">
        <v>13564.185241699219</v>
      </c>
      <c r="I673" s="370">
        <v>2010.0705080032349</v>
      </c>
      <c r="M673" s="371">
        <f t="shared" si="41"/>
        <v>13712.312157994191</v>
      </c>
      <c r="N673" s="329">
        <f t="shared" si="42"/>
        <v>0</v>
      </c>
      <c r="T673" s="331">
        <v>0</v>
      </c>
      <c r="U673" s="328">
        <f>VLOOKUP(C673,METADATA!$J$5:$Q$29,IF(E673="HI",2,IF(E673="LO",6,10))+IF(T673=1,2,IF(D673=7,1,(IF(WEEKDAY(B673)=1,2,IF(WEEKDAY(B673)=7,1,0))))))</f>
        <v>2</v>
      </c>
      <c r="V673" s="328">
        <f>VLOOKUP(C673,METADATA!$A$5:$H$29,IF(E673="HI",2,IF(E673="LO",6,10))+IF(T673=1,2,IF(D673=7,1,(IF(WEEKDAY(B673)=1,2,IF(WEEKDAY(B673)=7,1,0))))))</f>
        <v>2</v>
      </c>
    </row>
    <row r="674" spans="2:22">
      <c r="B674" s="318">
        <f t="shared" si="43"/>
        <v>46140</v>
      </c>
      <c r="C674" s="312">
        <v>22</v>
      </c>
      <c r="D674" s="368">
        <f>IFERROR((INDEX(METADATA!$T$2:$T$20,MATCH(B674,METADATA!$S$2:$S$20,0))),0)</f>
        <v>0</v>
      </c>
      <c r="E674" s="312" t="str">
        <f t="shared" si="40"/>
        <v>LO</v>
      </c>
      <c r="F674" s="369">
        <f>VLOOKUP(C674,METADATA!$A$5:$H$29,IF(E674="HI",2,IF(E674="LO",6,10))+IF(D674=1,2,IF(D674=7,1,(IF(WEEKDAY(B674)=1,2,IF(WEEKDAY(B674)=7,1,0))))))</f>
        <v>3</v>
      </c>
      <c r="G674" s="369">
        <f>VLOOKUP(C674,METADATA!$J$5:$Q$29,IF(E674="HI",2,IF(E674="LO",6,10))+IF(D674=1,2,IF(D674=7,1,(IF(WEEKDAY(B674)=1,2,IF(WEEKDAY(B674)=7,1,0))))))</f>
        <v>3</v>
      </c>
      <c r="H674" s="370">
        <v>13536.504638671875</v>
      </c>
      <c r="I674" s="370">
        <v>2005.6805448532104</v>
      </c>
      <c r="M674" s="371">
        <f t="shared" si="41"/>
        <v>13684.287057818827</v>
      </c>
      <c r="N674" s="329">
        <f t="shared" si="42"/>
        <v>0</v>
      </c>
      <c r="T674" s="331">
        <v>0</v>
      </c>
      <c r="U674" s="328">
        <f>VLOOKUP(C674,METADATA!$J$5:$Q$29,IF(E674="HI",2,IF(E674="LO",6,10))+IF(T674=1,2,IF(D674=7,1,(IF(WEEKDAY(B674)=1,2,IF(WEEKDAY(B674)=7,1,0))))))</f>
        <v>3</v>
      </c>
      <c r="V674" s="328">
        <f>VLOOKUP(C674,METADATA!$A$5:$H$29,IF(E674="HI",2,IF(E674="LO",6,10))+IF(T674=1,2,IF(D674=7,1,(IF(WEEKDAY(B674)=1,2,IF(WEEKDAY(B674)=7,1,0))))))</f>
        <v>3</v>
      </c>
    </row>
    <row r="675" spans="2:22">
      <c r="B675" s="318">
        <f t="shared" si="43"/>
        <v>46140</v>
      </c>
      <c r="C675" s="312">
        <v>23</v>
      </c>
      <c r="D675" s="368">
        <f>IFERROR((INDEX(METADATA!$T$2:$T$20,MATCH(B675,METADATA!$S$2:$S$20,0))),0)</f>
        <v>0</v>
      </c>
      <c r="E675" s="312" t="str">
        <f t="shared" si="40"/>
        <v>LO</v>
      </c>
      <c r="F675" s="369">
        <f>VLOOKUP(C675,METADATA!$A$5:$H$29,IF(E675="HI",2,IF(E675="LO",6,10))+IF(D675=1,2,IF(D675=7,1,(IF(WEEKDAY(B675)=1,2,IF(WEEKDAY(B675)=7,1,0))))))</f>
        <v>3</v>
      </c>
      <c r="G675" s="369">
        <f>VLOOKUP(C675,METADATA!$J$5:$Q$29,IF(E675="HI",2,IF(E675="LO",6,10))+IF(D675=1,2,IF(D675=7,1,(IF(WEEKDAY(B675)=1,2,IF(WEEKDAY(B675)=7,1,0))))))</f>
        <v>3</v>
      </c>
      <c r="H675" s="370">
        <v>13610.960327148438</v>
      </c>
      <c r="I675" s="370">
        <v>2069.2090100646019</v>
      </c>
      <c r="M675" s="371">
        <f t="shared" si="41"/>
        <v>13767.347854780935</v>
      </c>
      <c r="N675" s="329">
        <f t="shared" si="42"/>
        <v>0</v>
      </c>
      <c r="T675" s="331">
        <v>0</v>
      </c>
      <c r="U675" s="328">
        <f>VLOOKUP(C675,METADATA!$J$5:$Q$29,IF(E675="HI",2,IF(E675="LO",6,10))+IF(T675=1,2,IF(D675=7,1,(IF(WEEKDAY(B675)=1,2,IF(WEEKDAY(B675)=7,1,0))))))</f>
        <v>3</v>
      </c>
      <c r="V675" s="328">
        <f>VLOOKUP(C675,METADATA!$A$5:$H$29,IF(E675="HI",2,IF(E675="LO",6,10))+IF(T675=1,2,IF(D675=7,1,(IF(WEEKDAY(B675)=1,2,IF(WEEKDAY(B675)=7,1,0))))))</f>
        <v>3</v>
      </c>
    </row>
    <row r="676" spans="2:22">
      <c r="B676" s="318">
        <f t="shared" si="43"/>
        <v>46141</v>
      </c>
      <c r="C676" s="312">
        <v>0</v>
      </c>
      <c r="D676" s="368">
        <f>IFERROR((INDEX(METADATA!$T$2:$T$20,MATCH(B676,METADATA!$S$2:$S$20,0))),0)</f>
        <v>0</v>
      </c>
      <c r="E676" s="312" t="str">
        <f t="shared" si="40"/>
        <v>LO</v>
      </c>
      <c r="F676" s="369">
        <f>VLOOKUP(C676,METADATA!$A$5:$H$29,IF(E676="HI",2,IF(E676="LO",6,10))+IF(D676=1,2,IF(D676=7,1,(IF(WEEKDAY(B676)=1,2,IF(WEEKDAY(B676)=7,1,0))))))</f>
        <v>3</v>
      </c>
      <c r="G676" s="369">
        <f>VLOOKUP(C676,METADATA!$J$5:$Q$29,IF(E676="HI",2,IF(E676="LO",6,10))+IF(D676=1,2,IF(D676=7,1,(IF(WEEKDAY(B676)=1,2,IF(WEEKDAY(B676)=7,1,0))))))</f>
        <v>3</v>
      </c>
      <c r="H676" s="370">
        <v>13485.410339355469</v>
      </c>
      <c r="I676" s="370">
        <v>2019.960045337677</v>
      </c>
      <c r="M676" s="371">
        <f t="shared" si="41"/>
        <v>13635.854597551117</v>
      </c>
      <c r="N676" s="329">
        <f t="shared" si="42"/>
        <v>0</v>
      </c>
      <c r="T676" s="331">
        <v>0</v>
      </c>
      <c r="U676" s="328">
        <f>VLOOKUP(C676,METADATA!$J$5:$Q$29,IF(E676="HI",2,IF(E676="LO",6,10))+IF(T676=1,2,IF(D676=7,1,(IF(WEEKDAY(B676)=1,2,IF(WEEKDAY(B676)=7,1,0))))))</f>
        <v>3</v>
      </c>
      <c r="V676" s="328">
        <f>VLOOKUP(C676,METADATA!$A$5:$H$29,IF(E676="HI",2,IF(E676="LO",6,10))+IF(T676=1,2,IF(D676=7,1,(IF(WEEKDAY(B676)=1,2,IF(WEEKDAY(B676)=7,1,0))))))</f>
        <v>3</v>
      </c>
    </row>
    <row r="677" spans="2:22">
      <c r="B677" s="318">
        <f t="shared" si="43"/>
        <v>46141</v>
      </c>
      <c r="C677" s="312">
        <v>1</v>
      </c>
      <c r="D677" s="368">
        <f>IFERROR((INDEX(METADATA!$T$2:$T$20,MATCH(B677,METADATA!$S$2:$S$20,0))),0)</f>
        <v>0</v>
      </c>
      <c r="E677" s="312" t="str">
        <f t="shared" si="40"/>
        <v>LO</v>
      </c>
      <c r="F677" s="369">
        <f>VLOOKUP(C677,METADATA!$A$5:$H$29,IF(E677="HI",2,IF(E677="LO",6,10))+IF(D677=1,2,IF(D677=7,1,(IF(WEEKDAY(B677)=1,2,IF(WEEKDAY(B677)=7,1,0))))))</f>
        <v>3</v>
      </c>
      <c r="G677" s="369">
        <f>VLOOKUP(C677,METADATA!$J$5:$Q$29,IF(E677="HI",2,IF(E677="LO",6,10))+IF(D677=1,2,IF(D677=7,1,(IF(WEEKDAY(B677)=1,2,IF(WEEKDAY(B677)=7,1,0))))))</f>
        <v>3</v>
      </c>
      <c r="H677" s="370">
        <v>13748.750305175781</v>
      </c>
      <c r="I677" s="370">
        <v>2138.5669736862183</v>
      </c>
      <c r="M677" s="371">
        <f t="shared" si="41"/>
        <v>13914.07933192177</v>
      </c>
      <c r="N677" s="329">
        <f t="shared" si="42"/>
        <v>0</v>
      </c>
      <c r="T677" s="331">
        <v>0</v>
      </c>
      <c r="U677" s="328">
        <f>VLOOKUP(C677,METADATA!$J$5:$Q$29,IF(E677="HI",2,IF(E677="LO",6,10))+IF(T677=1,2,IF(D677=7,1,(IF(WEEKDAY(B677)=1,2,IF(WEEKDAY(B677)=7,1,0))))))</f>
        <v>3</v>
      </c>
      <c r="V677" s="328">
        <f>VLOOKUP(C677,METADATA!$A$5:$H$29,IF(E677="HI",2,IF(E677="LO",6,10))+IF(T677=1,2,IF(D677=7,1,(IF(WEEKDAY(B677)=1,2,IF(WEEKDAY(B677)=7,1,0))))))</f>
        <v>3</v>
      </c>
    </row>
    <row r="678" spans="2:22">
      <c r="B678" s="318">
        <f t="shared" si="43"/>
        <v>46141</v>
      </c>
      <c r="C678" s="312">
        <v>2</v>
      </c>
      <c r="D678" s="368">
        <f>IFERROR((INDEX(METADATA!$T$2:$T$20,MATCH(B678,METADATA!$S$2:$S$20,0))),0)</f>
        <v>0</v>
      </c>
      <c r="E678" s="312" t="str">
        <f t="shared" si="40"/>
        <v>LO</v>
      </c>
      <c r="F678" s="369">
        <f>VLOOKUP(C678,METADATA!$A$5:$H$29,IF(E678="HI",2,IF(E678="LO",6,10))+IF(D678=1,2,IF(D678=7,1,(IF(WEEKDAY(B678)=1,2,IF(WEEKDAY(B678)=7,1,0))))))</f>
        <v>3</v>
      </c>
      <c r="G678" s="369">
        <f>VLOOKUP(C678,METADATA!$J$5:$Q$29,IF(E678="HI",2,IF(E678="LO",6,10))+IF(D678=1,2,IF(D678=7,1,(IF(WEEKDAY(B678)=1,2,IF(WEEKDAY(B678)=7,1,0))))))</f>
        <v>3</v>
      </c>
      <c r="H678" s="370">
        <v>13553.705139160156</v>
      </c>
      <c r="I678" s="370">
        <v>1990.7285194396973</v>
      </c>
      <c r="M678" s="371">
        <f t="shared" si="41"/>
        <v>13699.121250554977</v>
      </c>
      <c r="N678" s="329">
        <f t="shared" si="42"/>
        <v>0</v>
      </c>
      <c r="T678" s="331">
        <v>0</v>
      </c>
      <c r="U678" s="328">
        <f>VLOOKUP(C678,METADATA!$J$5:$Q$29,IF(E678="HI",2,IF(E678="LO",6,10))+IF(T678=1,2,IF(D678=7,1,(IF(WEEKDAY(B678)=1,2,IF(WEEKDAY(B678)=7,1,0))))))</f>
        <v>3</v>
      </c>
      <c r="V678" s="328">
        <f>VLOOKUP(C678,METADATA!$A$5:$H$29,IF(E678="HI",2,IF(E678="LO",6,10))+IF(T678=1,2,IF(D678=7,1,(IF(WEEKDAY(B678)=1,2,IF(WEEKDAY(B678)=7,1,0))))))</f>
        <v>3</v>
      </c>
    </row>
    <row r="679" spans="2:22">
      <c r="B679" s="318">
        <f t="shared" si="43"/>
        <v>46141</v>
      </c>
      <c r="C679" s="312">
        <v>3</v>
      </c>
      <c r="D679" s="368">
        <f>IFERROR((INDEX(METADATA!$T$2:$T$20,MATCH(B679,METADATA!$S$2:$S$20,0))),0)</f>
        <v>0</v>
      </c>
      <c r="E679" s="312" t="str">
        <f t="shared" si="40"/>
        <v>LO</v>
      </c>
      <c r="F679" s="369">
        <f>VLOOKUP(C679,METADATA!$A$5:$H$29,IF(E679="HI",2,IF(E679="LO",6,10))+IF(D679=1,2,IF(D679=7,1,(IF(WEEKDAY(B679)=1,2,IF(WEEKDAY(B679)=7,1,0))))))</f>
        <v>3</v>
      </c>
      <c r="G679" s="369">
        <f>VLOOKUP(C679,METADATA!$J$5:$Q$29,IF(E679="HI",2,IF(E679="LO",6,10))+IF(D679=1,2,IF(D679=7,1,(IF(WEEKDAY(B679)=1,2,IF(WEEKDAY(B679)=7,1,0))))))</f>
        <v>3</v>
      </c>
      <c r="H679" s="370">
        <v>9636.26513671875</v>
      </c>
      <c r="I679" s="370">
        <v>1113.4095295369625</v>
      </c>
      <c r="M679" s="371">
        <f t="shared" si="41"/>
        <v>9700.3755888937085</v>
      </c>
      <c r="N679" s="329">
        <f t="shared" si="42"/>
        <v>0</v>
      </c>
      <c r="T679" s="331">
        <v>0</v>
      </c>
      <c r="U679" s="328">
        <f>VLOOKUP(C679,METADATA!$J$5:$Q$29,IF(E679="HI",2,IF(E679="LO",6,10))+IF(T679=1,2,IF(D679=7,1,(IF(WEEKDAY(B679)=1,2,IF(WEEKDAY(B679)=7,1,0))))))</f>
        <v>3</v>
      </c>
      <c r="V679" s="328">
        <f>VLOOKUP(C679,METADATA!$A$5:$H$29,IF(E679="HI",2,IF(E679="LO",6,10))+IF(T679=1,2,IF(D679=7,1,(IF(WEEKDAY(B679)=1,2,IF(WEEKDAY(B679)=7,1,0))))))</f>
        <v>3</v>
      </c>
    </row>
    <row r="680" spans="2:22">
      <c r="B680" s="318">
        <f t="shared" si="43"/>
        <v>46141</v>
      </c>
      <c r="C680" s="312">
        <v>4</v>
      </c>
      <c r="D680" s="368">
        <f>IFERROR((INDEX(METADATA!$T$2:$T$20,MATCH(B680,METADATA!$S$2:$S$20,0))),0)</f>
        <v>0</v>
      </c>
      <c r="E680" s="312" t="str">
        <f t="shared" si="40"/>
        <v>LO</v>
      </c>
      <c r="F680" s="369">
        <f>VLOOKUP(C680,METADATA!$A$5:$H$29,IF(E680="HI",2,IF(E680="LO",6,10))+IF(D680=1,2,IF(D680=7,1,(IF(WEEKDAY(B680)=1,2,IF(WEEKDAY(B680)=7,1,0))))))</f>
        <v>3</v>
      </c>
      <c r="G680" s="369">
        <f>VLOOKUP(C680,METADATA!$J$5:$Q$29,IF(E680="HI",2,IF(E680="LO",6,10))+IF(D680=1,2,IF(D680=7,1,(IF(WEEKDAY(B680)=1,2,IF(WEEKDAY(B680)=7,1,0))))))</f>
        <v>3</v>
      </c>
      <c r="H680" s="370">
        <v>6352.9560241699219</v>
      </c>
      <c r="I680" s="370">
        <v>0</v>
      </c>
      <c r="M680" s="371">
        <f t="shared" si="41"/>
        <v>6352.9560241699219</v>
      </c>
      <c r="N680" s="329">
        <f t="shared" si="42"/>
        <v>0</v>
      </c>
      <c r="T680" s="331">
        <v>0</v>
      </c>
      <c r="U680" s="328">
        <f>VLOOKUP(C680,METADATA!$J$5:$Q$29,IF(E680="HI",2,IF(E680="LO",6,10))+IF(T680=1,2,IF(D680=7,1,(IF(WEEKDAY(B680)=1,2,IF(WEEKDAY(B680)=7,1,0))))))</f>
        <v>3</v>
      </c>
      <c r="V680" s="328">
        <f>VLOOKUP(C680,METADATA!$A$5:$H$29,IF(E680="HI",2,IF(E680="LO",6,10))+IF(T680=1,2,IF(D680=7,1,(IF(WEEKDAY(B680)=1,2,IF(WEEKDAY(B680)=7,1,0))))))</f>
        <v>3</v>
      </c>
    </row>
    <row r="681" spans="2:22">
      <c r="B681" s="318">
        <f t="shared" si="43"/>
        <v>46141</v>
      </c>
      <c r="C681" s="312">
        <v>5</v>
      </c>
      <c r="D681" s="368">
        <f>IFERROR((INDEX(METADATA!$T$2:$T$20,MATCH(B681,METADATA!$S$2:$S$20,0))),0)</f>
        <v>0</v>
      </c>
      <c r="E681" s="312" t="str">
        <f t="shared" si="40"/>
        <v>LO</v>
      </c>
      <c r="F681" s="369">
        <f>VLOOKUP(C681,METADATA!$A$5:$H$29,IF(E681="HI",2,IF(E681="LO",6,10))+IF(D681=1,2,IF(D681=7,1,(IF(WEEKDAY(B681)=1,2,IF(WEEKDAY(B681)=7,1,0))))))</f>
        <v>3</v>
      </c>
      <c r="G681" s="369">
        <f>VLOOKUP(C681,METADATA!$J$5:$Q$29,IF(E681="HI",2,IF(E681="LO",6,10))+IF(D681=1,2,IF(D681=7,1,(IF(WEEKDAY(B681)=1,2,IF(WEEKDAY(B681)=7,1,0))))))</f>
        <v>3</v>
      </c>
      <c r="H681" s="370">
        <v>10275.2470703125</v>
      </c>
      <c r="I681" s="370">
        <v>1777.3150329589844</v>
      </c>
      <c r="M681" s="371">
        <f t="shared" si="41"/>
        <v>10427.825808017107</v>
      </c>
      <c r="N681" s="329">
        <f t="shared" si="42"/>
        <v>0</v>
      </c>
      <c r="T681" s="331">
        <v>0</v>
      </c>
      <c r="U681" s="328">
        <f>VLOOKUP(C681,METADATA!$J$5:$Q$29,IF(E681="HI",2,IF(E681="LO",6,10))+IF(T681=1,2,IF(D681=7,1,(IF(WEEKDAY(B681)=1,2,IF(WEEKDAY(B681)=7,1,0))))))</f>
        <v>3</v>
      </c>
      <c r="V681" s="328">
        <f>VLOOKUP(C681,METADATA!$A$5:$H$29,IF(E681="HI",2,IF(E681="LO",6,10))+IF(T681=1,2,IF(D681=7,1,(IF(WEEKDAY(B681)=1,2,IF(WEEKDAY(B681)=7,1,0))))))</f>
        <v>3</v>
      </c>
    </row>
    <row r="682" spans="2:22">
      <c r="B682" s="318">
        <f t="shared" si="43"/>
        <v>46141</v>
      </c>
      <c r="C682" s="312">
        <v>6</v>
      </c>
      <c r="D682" s="368">
        <f>IFERROR((INDEX(METADATA!$T$2:$T$20,MATCH(B682,METADATA!$S$2:$S$20,0))),0)</f>
        <v>0</v>
      </c>
      <c r="E682" s="312" t="str">
        <f t="shared" si="40"/>
        <v>LO</v>
      </c>
      <c r="F682" s="369">
        <f>VLOOKUP(C682,METADATA!$A$5:$H$29,IF(E682="HI",2,IF(E682="LO",6,10))+IF(D682=1,2,IF(D682=7,1,(IF(WEEKDAY(B682)=1,2,IF(WEEKDAY(B682)=7,1,0))))))</f>
        <v>2</v>
      </c>
      <c r="G682" s="369">
        <f>VLOOKUP(C682,METADATA!$J$5:$Q$29,IF(E682="HI",2,IF(E682="LO",6,10))+IF(D682=1,2,IF(D682=7,1,(IF(WEEKDAY(B682)=1,2,IF(WEEKDAY(B682)=7,1,0))))))</f>
        <v>2</v>
      </c>
      <c r="H682" s="370">
        <v>11786.610168457031</v>
      </c>
      <c r="I682" s="370">
        <v>2409.5700073242188</v>
      </c>
      <c r="M682" s="371">
        <f t="shared" si="41"/>
        <v>12030.38681353892</v>
      </c>
      <c r="N682" s="329">
        <f t="shared" si="42"/>
        <v>0</v>
      </c>
      <c r="T682" s="331">
        <v>0</v>
      </c>
      <c r="U682" s="328">
        <f>VLOOKUP(C682,METADATA!$J$5:$Q$29,IF(E682="HI",2,IF(E682="LO",6,10))+IF(T682=1,2,IF(D682=7,1,(IF(WEEKDAY(B682)=1,2,IF(WEEKDAY(B682)=7,1,0))))))</f>
        <v>2</v>
      </c>
      <c r="V682" s="328">
        <f>VLOOKUP(C682,METADATA!$A$5:$H$29,IF(E682="HI",2,IF(E682="LO",6,10))+IF(T682=1,2,IF(D682=7,1,(IF(WEEKDAY(B682)=1,2,IF(WEEKDAY(B682)=7,1,0))))))</f>
        <v>2</v>
      </c>
    </row>
    <row r="683" spans="2:22">
      <c r="B683" s="318">
        <f t="shared" si="43"/>
        <v>46141</v>
      </c>
      <c r="C683" s="312">
        <v>7</v>
      </c>
      <c r="D683" s="368">
        <f>IFERROR((INDEX(METADATA!$T$2:$T$20,MATCH(B683,METADATA!$S$2:$S$20,0))),0)</f>
        <v>0</v>
      </c>
      <c r="E683" s="312" t="str">
        <f t="shared" si="40"/>
        <v>LO</v>
      </c>
      <c r="F683" s="369">
        <f>VLOOKUP(C683,METADATA!$A$5:$H$29,IF(E683="HI",2,IF(E683="LO",6,10))+IF(D683=1,2,IF(D683=7,1,(IF(WEEKDAY(B683)=1,2,IF(WEEKDAY(B683)=7,1,0))))))</f>
        <v>1</v>
      </c>
      <c r="G683" s="369">
        <f>VLOOKUP(C683,METADATA!$J$5:$Q$29,IF(E683="HI",2,IF(E683="LO",6,10))+IF(D683=1,2,IF(D683=7,1,(IF(WEEKDAY(B683)=1,2,IF(WEEKDAY(B683)=7,1,0))))))</f>
        <v>1</v>
      </c>
      <c r="H683" s="370">
        <v>12215.884948730469</v>
      </c>
      <c r="I683" s="370">
        <v>1861.3760032653809</v>
      </c>
      <c r="M683" s="371">
        <f t="shared" si="41"/>
        <v>12356.883333031506</v>
      </c>
      <c r="N683" s="329">
        <f t="shared" si="42"/>
        <v>0</v>
      </c>
      <c r="T683" s="331">
        <v>0</v>
      </c>
      <c r="U683" s="328">
        <f>VLOOKUP(C683,METADATA!$J$5:$Q$29,IF(E683="HI",2,IF(E683="LO",6,10))+IF(T683=1,2,IF(D683=7,1,(IF(WEEKDAY(B683)=1,2,IF(WEEKDAY(B683)=7,1,0))))))</f>
        <v>1</v>
      </c>
      <c r="V683" s="328">
        <f>VLOOKUP(C683,METADATA!$A$5:$H$29,IF(E683="HI",2,IF(E683="LO",6,10))+IF(T683=1,2,IF(D683=7,1,(IF(WEEKDAY(B683)=1,2,IF(WEEKDAY(B683)=7,1,0))))))</f>
        <v>1</v>
      </c>
    </row>
    <row r="684" spans="2:22">
      <c r="B684" s="318">
        <f t="shared" si="43"/>
        <v>46141</v>
      </c>
      <c r="C684" s="312">
        <v>8</v>
      </c>
      <c r="D684" s="368">
        <f>IFERROR((INDEX(METADATA!$T$2:$T$20,MATCH(B684,METADATA!$S$2:$S$20,0))),0)</f>
        <v>0</v>
      </c>
      <c r="E684" s="312" t="str">
        <f t="shared" si="40"/>
        <v>LO</v>
      </c>
      <c r="F684" s="369">
        <f>VLOOKUP(C684,METADATA!$A$5:$H$29,IF(E684="HI",2,IF(E684="LO",6,10))+IF(D684=1,2,IF(D684=7,1,(IF(WEEKDAY(B684)=1,2,IF(WEEKDAY(B684)=7,1,0))))))</f>
        <v>1</v>
      </c>
      <c r="G684" s="369">
        <f>VLOOKUP(C684,METADATA!$J$5:$Q$29,IF(E684="HI",2,IF(E684="LO",6,10))+IF(D684=1,2,IF(D684=7,1,(IF(WEEKDAY(B684)=1,2,IF(WEEKDAY(B684)=7,1,0))))))</f>
        <v>1</v>
      </c>
      <c r="H684" s="370">
        <v>12737.564636230469</v>
      </c>
      <c r="I684" s="370">
        <v>1942.7024803161621</v>
      </c>
      <c r="M684" s="371">
        <f t="shared" si="41"/>
        <v>12884.861108649002</v>
      </c>
      <c r="N684" s="329">
        <f t="shared" si="42"/>
        <v>0</v>
      </c>
      <c r="T684" s="331">
        <v>0</v>
      </c>
      <c r="U684" s="328">
        <f>VLOOKUP(C684,METADATA!$J$5:$Q$29,IF(E684="HI",2,IF(E684="LO",6,10))+IF(T684=1,2,IF(D684=7,1,(IF(WEEKDAY(B684)=1,2,IF(WEEKDAY(B684)=7,1,0))))))</f>
        <v>1</v>
      </c>
      <c r="V684" s="328">
        <f>VLOOKUP(C684,METADATA!$A$5:$H$29,IF(E684="HI",2,IF(E684="LO",6,10))+IF(T684=1,2,IF(D684=7,1,(IF(WEEKDAY(B684)=1,2,IF(WEEKDAY(B684)=7,1,0))))))</f>
        <v>1</v>
      </c>
    </row>
    <row r="685" spans="2:22">
      <c r="B685" s="318">
        <f t="shared" si="43"/>
        <v>46141</v>
      </c>
      <c r="C685" s="312">
        <v>9</v>
      </c>
      <c r="D685" s="368">
        <f>IFERROR((INDEX(METADATA!$T$2:$T$20,MATCH(B685,METADATA!$S$2:$S$20,0))),0)</f>
        <v>0</v>
      </c>
      <c r="E685" s="312" t="str">
        <f t="shared" si="40"/>
        <v>LO</v>
      </c>
      <c r="F685" s="369">
        <f>VLOOKUP(C685,METADATA!$A$5:$H$29,IF(E685="HI",2,IF(E685="LO",6,10))+IF(D685=1,2,IF(D685=7,1,(IF(WEEKDAY(B685)=1,2,IF(WEEKDAY(B685)=7,1,0))))))</f>
        <v>2</v>
      </c>
      <c r="G685" s="369">
        <f>VLOOKUP(C685,METADATA!$J$5:$Q$29,IF(E685="HI",2,IF(E685="LO",6,10))+IF(D685=1,2,IF(D685=7,1,(IF(WEEKDAY(B685)=1,2,IF(WEEKDAY(B685)=7,1,0))))))</f>
        <v>2</v>
      </c>
      <c r="H685" s="370">
        <v>12690.705017089844</v>
      </c>
      <c r="I685" s="370">
        <v>1904.2084465026855</v>
      </c>
      <c r="M685" s="371">
        <f t="shared" si="41"/>
        <v>12832.770692197437</v>
      </c>
      <c r="N685" s="329">
        <f t="shared" si="42"/>
        <v>0</v>
      </c>
      <c r="T685" s="331">
        <v>0</v>
      </c>
      <c r="U685" s="328">
        <f>VLOOKUP(C685,METADATA!$J$5:$Q$29,IF(E685="HI",2,IF(E685="LO",6,10))+IF(T685=1,2,IF(D685=7,1,(IF(WEEKDAY(B685)=1,2,IF(WEEKDAY(B685)=7,1,0))))))</f>
        <v>2</v>
      </c>
      <c r="V685" s="328">
        <f>VLOOKUP(C685,METADATA!$A$5:$H$29,IF(E685="HI",2,IF(E685="LO",6,10))+IF(T685=1,2,IF(D685=7,1,(IF(WEEKDAY(B685)=1,2,IF(WEEKDAY(B685)=7,1,0))))))</f>
        <v>2</v>
      </c>
    </row>
    <row r="686" spans="2:22">
      <c r="B686" s="318">
        <f t="shared" si="43"/>
        <v>46141</v>
      </c>
      <c r="C686" s="312">
        <v>10</v>
      </c>
      <c r="D686" s="368">
        <f>IFERROR((INDEX(METADATA!$T$2:$T$20,MATCH(B686,METADATA!$S$2:$S$20,0))),0)</f>
        <v>0</v>
      </c>
      <c r="E686" s="312" t="str">
        <f t="shared" si="40"/>
        <v>LO</v>
      </c>
      <c r="F686" s="369">
        <f>VLOOKUP(C686,METADATA!$A$5:$H$29,IF(E686="HI",2,IF(E686="LO",6,10))+IF(D686=1,2,IF(D686=7,1,(IF(WEEKDAY(B686)=1,2,IF(WEEKDAY(B686)=7,1,0))))))</f>
        <v>2</v>
      </c>
      <c r="G686" s="369">
        <f>VLOOKUP(C686,METADATA!$J$5:$Q$29,IF(E686="HI",2,IF(E686="LO",6,10))+IF(D686=1,2,IF(D686=7,1,(IF(WEEKDAY(B686)=1,2,IF(WEEKDAY(B686)=7,1,0))))))</f>
        <v>2</v>
      </c>
      <c r="H686" s="370">
        <v>12811.365112304688</v>
      </c>
      <c r="I686" s="370">
        <v>2056.971508026123</v>
      </c>
      <c r="M686" s="371">
        <f t="shared" si="41"/>
        <v>12975.446343984046</v>
      </c>
      <c r="N686" s="329">
        <f t="shared" si="42"/>
        <v>0</v>
      </c>
      <c r="T686" s="331">
        <v>0</v>
      </c>
      <c r="U686" s="328">
        <f>VLOOKUP(C686,METADATA!$J$5:$Q$29,IF(E686="HI",2,IF(E686="LO",6,10))+IF(T686=1,2,IF(D686=7,1,(IF(WEEKDAY(B686)=1,2,IF(WEEKDAY(B686)=7,1,0))))))</f>
        <v>2</v>
      </c>
      <c r="V686" s="328">
        <f>VLOOKUP(C686,METADATA!$A$5:$H$29,IF(E686="HI",2,IF(E686="LO",6,10))+IF(T686=1,2,IF(D686=7,1,(IF(WEEKDAY(B686)=1,2,IF(WEEKDAY(B686)=7,1,0))))))</f>
        <v>2</v>
      </c>
    </row>
    <row r="687" spans="2:22">
      <c r="B687" s="318">
        <f t="shared" si="43"/>
        <v>46141</v>
      </c>
      <c r="C687" s="312">
        <v>11</v>
      </c>
      <c r="D687" s="368">
        <f>IFERROR((INDEX(METADATA!$T$2:$T$20,MATCH(B687,METADATA!$S$2:$S$20,0))),0)</f>
        <v>0</v>
      </c>
      <c r="E687" s="312" t="str">
        <f t="shared" si="40"/>
        <v>LO</v>
      </c>
      <c r="F687" s="369">
        <f>VLOOKUP(C687,METADATA!$A$5:$H$29,IF(E687="HI",2,IF(E687="LO",6,10))+IF(D687=1,2,IF(D687=7,1,(IF(WEEKDAY(B687)=1,2,IF(WEEKDAY(B687)=7,1,0))))))</f>
        <v>2</v>
      </c>
      <c r="G687" s="369">
        <f>VLOOKUP(C687,METADATA!$J$5:$Q$29,IF(E687="HI",2,IF(E687="LO",6,10))+IF(D687=1,2,IF(D687=7,1,(IF(WEEKDAY(B687)=1,2,IF(WEEKDAY(B687)=7,1,0))))))</f>
        <v>2</v>
      </c>
      <c r="H687" s="370">
        <v>13731.690002441406</v>
      </c>
      <c r="I687" s="370">
        <v>2845.904052734375</v>
      </c>
      <c r="M687" s="371">
        <f t="shared" si="41"/>
        <v>14023.497431116077</v>
      </c>
      <c r="N687" s="329">
        <f t="shared" si="42"/>
        <v>0</v>
      </c>
      <c r="T687" s="331">
        <v>0</v>
      </c>
      <c r="U687" s="328">
        <f>VLOOKUP(C687,METADATA!$J$5:$Q$29,IF(E687="HI",2,IF(E687="LO",6,10))+IF(T687=1,2,IF(D687=7,1,(IF(WEEKDAY(B687)=1,2,IF(WEEKDAY(B687)=7,1,0))))))</f>
        <v>2</v>
      </c>
      <c r="V687" s="328">
        <f>VLOOKUP(C687,METADATA!$A$5:$H$29,IF(E687="HI",2,IF(E687="LO",6,10))+IF(T687=1,2,IF(D687=7,1,(IF(WEEKDAY(B687)=1,2,IF(WEEKDAY(B687)=7,1,0))))))</f>
        <v>2</v>
      </c>
    </row>
    <row r="688" spans="2:22">
      <c r="B688" s="318">
        <f t="shared" si="43"/>
        <v>46141</v>
      </c>
      <c r="C688" s="312">
        <v>12</v>
      </c>
      <c r="D688" s="368">
        <f>IFERROR((INDEX(METADATA!$T$2:$T$20,MATCH(B688,METADATA!$S$2:$S$20,0))),0)</f>
        <v>0</v>
      </c>
      <c r="E688" s="312" t="str">
        <f t="shared" si="40"/>
        <v>LO</v>
      </c>
      <c r="F688" s="369">
        <f>VLOOKUP(C688,METADATA!$A$5:$H$29,IF(E688="HI",2,IF(E688="LO",6,10))+IF(D688=1,2,IF(D688=7,1,(IF(WEEKDAY(B688)=1,2,IF(WEEKDAY(B688)=7,1,0))))))</f>
        <v>2</v>
      </c>
      <c r="G688" s="369">
        <f>VLOOKUP(C688,METADATA!$J$5:$Q$29,IF(E688="HI",2,IF(E688="LO",6,10))+IF(D688=1,2,IF(D688=7,1,(IF(WEEKDAY(B688)=1,2,IF(WEEKDAY(B688)=7,1,0))))))</f>
        <v>2</v>
      </c>
      <c r="H688" s="370">
        <v>13596.524780273438</v>
      </c>
      <c r="I688" s="370">
        <v>2694.7769470214844</v>
      </c>
      <c r="M688" s="371">
        <f t="shared" si="41"/>
        <v>13860.999563335541</v>
      </c>
      <c r="N688" s="329">
        <f t="shared" si="42"/>
        <v>0</v>
      </c>
      <c r="T688" s="331">
        <v>0</v>
      </c>
      <c r="U688" s="328">
        <f>VLOOKUP(C688,METADATA!$J$5:$Q$29,IF(E688="HI",2,IF(E688="LO",6,10))+IF(T688=1,2,IF(D688=7,1,(IF(WEEKDAY(B688)=1,2,IF(WEEKDAY(B688)=7,1,0))))))</f>
        <v>2</v>
      </c>
      <c r="V688" s="328">
        <f>VLOOKUP(C688,METADATA!$A$5:$H$29,IF(E688="HI",2,IF(E688="LO",6,10))+IF(T688=1,2,IF(D688=7,1,(IF(WEEKDAY(B688)=1,2,IF(WEEKDAY(B688)=7,1,0))))))</f>
        <v>2</v>
      </c>
    </row>
    <row r="689" spans="2:22">
      <c r="B689" s="318">
        <f t="shared" si="43"/>
        <v>46141</v>
      </c>
      <c r="C689" s="312">
        <v>13</v>
      </c>
      <c r="D689" s="368">
        <f>IFERROR((INDEX(METADATA!$T$2:$T$20,MATCH(B689,METADATA!$S$2:$S$20,0))),0)</f>
        <v>0</v>
      </c>
      <c r="E689" s="312" t="str">
        <f t="shared" si="40"/>
        <v>LO</v>
      </c>
      <c r="F689" s="369">
        <f>VLOOKUP(C689,METADATA!$A$5:$H$29,IF(E689="HI",2,IF(E689="LO",6,10))+IF(D689=1,2,IF(D689=7,1,(IF(WEEKDAY(B689)=1,2,IF(WEEKDAY(B689)=7,1,0))))))</f>
        <v>2</v>
      </c>
      <c r="G689" s="369">
        <f>VLOOKUP(C689,METADATA!$J$5:$Q$29,IF(E689="HI",2,IF(E689="LO",6,10))+IF(D689=1,2,IF(D689=7,1,(IF(WEEKDAY(B689)=1,2,IF(WEEKDAY(B689)=7,1,0))))))</f>
        <v>2</v>
      </c>
      <c r="H689" s="370">
        <v>13780.299865722656</v>
      </c>
      <c r="I689" s="370">
        <v>2782.1571388244629</v>
      </c>
      <c r="M689" s="371">
        <f t="shared" si="41"/>
        <v>14058.344950041159</v>
      </c>
      <c r="N689" s="329">
        <f t="shared" si="42"/>
        <v>0</v>
      </c>
      <c r="T689" s="331">
        <v>0</v>
      </c>
      <c r="U689" s="328">
        <f>VLOOKUP(C689,METADATA!$J$5:$Q$29,IF(E689="HI",2,IF(E689="LO",6,10))+IF(T689=1,2,IF(D689=7,1,(IF(WEEKDAY(B689)=1,2,IF(WEEKDAY(B689)=7,1,0))))))</f>
        <v>2</v>
      </c>
      <c r="V689" s="328">
        <f>VLOOKUP(C689,METADATA!$A$5:$H$29,IF(E689="HI",2,IF(E689="LO",6,10))+IF(T689=1,2,IF(D689=7,1,(IF(WEEKDAY(B689)=1,2,IF(WEEKDAY(B689)=7,1,0))))))</f>
        <v>2</v>
      </c>
    </row>
    <row r="690" spans="2:22">
      <c r="B690" s="318">
        <f t="shared" si="43"/>
        <v>46141</v>
      </c>
      <c r="C690" s="312">
        <v>14</v>
      </c>
      <c r="D690" s="368">
        <f>IFERROR((INDEX(METADATA!$T$2:$T$20,MATCH(B690,METADATA!$S$2:$S$20,0))),0)</f>
        <v>0</v>
      </c>
      <c r="E690" s="312" t="str">
        <f t="shared" si="40"/>
        <v>LO</v>
      </c>
      <c r="F690" s="369">
        <f>VLOOKUP(C690,METADATA!$A$5:$H$29,IF(E690="HI",2,IF(E690="LO",6,10))+IF(D690=1,2,IF(D690=7,1,(IF(WEEKDAY(B690)=1,2,IF(WEEKDAY(B690)=7,1,0))))))</f>
        <v>2</v>
      </c>
      <c r="G690" s="369">
        <f>VLOOKUP(C690,METADATA!$J$5:$Q$29,IF(E690="HI",2,IF(E690="LO",6,10))+IF(D690=1,2,IF(D690=7,1,(IF(WEEKDAY(B690)=1,2,IF(WEEKDAY(B690)=7,1,0))))))</f>
        <v>2</v>
      </c>
      <c r="H690" s="370">
        <v>13759.759948730469</v>
      </c>
      <c r="I690" s="370">
        <v>2953.1865425109863</v>
      </c>
      <c r="M690" s="371">
        <f t="shared" si="41"/>
        <v>14073.105719831536</v>
      </c>
      <c r="N690" s="329">
        <f t="shared" si="42"/>
        <v>0</v>
      </c>
      <c r="T690" s="331">
        <v>0</v>
      </c>
      <c r="U690" s="328">
        <f>VLOOKUP(C690,METADATA!$J$5:$Q$29,IF(E690="HI",2,IF(E690="LO",6,10))+IF(T690=1,2,IF(D690=7,1,(IF(WEEKDAY(B690)=1,2,IF(WEEKDAY(B690)=7,1,0))))))</f>
        <v>2</v>
      </c>
      <c r="V690" s="328">
        <f>VLOOKUP(C690,METADATA!$A$5:$H$29,IF(E690="HI",2,IF(E690="LO",6,10))+IF(T690=1,2,IF(D690=7,1,(IF(WEEKDAY(B690)=1,2,IF(WEEKDAY(B690)=7,1,0))))))</f>
        <v>2</v>
      </c>
    </row>
    <row r="691" spans="2:22">
      <c r="B691" s="318">
        <f t="shared" si="43"/>
        <v>46141</v>
      </c>
      <c r="C691" s="312">
        <v>15</v>
      </c>
      <c r="D691" s="368">
        <f>IFERROR((INDEX(METADATA!$T$2:$T$20,MATCH(B691,METADATA!$S$2:$S$20,0))),0)</f>
        <v>0</v>
      </c>
      <c r="E691" s="312" t="str">
        <f t="shared" si="40"/>
        <v>LO</v>
      </c>
      <c r="F691" s="369">
        <f>VLOOKUP(C691,METADATA!$A$5:$H$29,IF(E691="HI",2,IF(E691="LO",6,10))+IF(D691=1,2,IF(D691=7,1,(IF(WEEKDAY(B691)=1,2,IF(WEEKDAY(B691)=7,1,0))))))</f>
        <v>2</v>
      </c>
      <c r="G691" s="369">
        <f>VLOOKUP(C691,METADATA!$J$5:$Q$29,IF(E691="HI",2,IF(E691="LO",6,10))+IF(D691=1,2,IF(D691=7,1,(IF(WEEKDAY(B691)=1,2,IF(WEEKDAY(B691)=7,1,0))))))</f>
        <v>2</v>
      </c>
      <c r="H691" s="370">
        <v>13643.164611816406</v>
      </c>
      <c r="I691" s="370">
        <v>3062.235969543457</v>
      </c>
      <c r="M691" s="371">
        <f t="shared" si="41"/>
        <v>13982.60454129649</v>
      </c>
      <c r="N691" s="329">
        <f t="shared" si="42"/>
        <v>0</v>
      </c>
      <c r="T691" s="331">
        <v>0</v>
      </c>
      <c r="U691" s="328">
        <f>VLOOKUP(C691,METADATA!$J$5:$Q$29,IF(E691="HI",2,IF(E691="LO",6,10))+IF(T691=1,2,IF(D691=7,1,(IF(WEEKDAY(B691)=1,2,IF(WEEKDAY(B691)=7,1,0))))))</f>
        <v>2</v>
      </c>
      <c r="V691" s="328">
        <f>VLOOKUP(C691,METADATA!$A$5:$H$29,IF(E691="HI",2,IF(E691="LO",6,10))+IF(T691=1,2,IF(D691=7,1,(IF(WEEKDAY(B691)=1,2,IF(WEEKDAY(B691)=7,1,0))))))</f>
        <v>2</v>
      </c>
    </row>
    <row r="692" spans="2:22">
      <c r="B692" s="318">
        <f t="shared" si="43"/>
        <v>46141</v>
      </c>
      <c r="C692" s="312">
        <v>16</v>
      </c>
      <c r="D692" s="368">
        <f>IFERROR((INDEX(METADATA!$T$2:$T$20,MATCH(B692,METADATA!$S$2:$S$20,0))),0)</f>
        <v>0</v>
      </c>
      <c r="E692" s="312" t="str">
        <f t="shared" si="40"/>
        <v>LO</v>
      </c>
      <c r="F692" s="369">
        <f>VLOOKUP(C692,METADATA!$A$5:$H$29,IF(E692="HI",2,IF(E692="LO",6,10))+IF(D692=1,2,IF(D692=7,1,(IF(WEEKDAY(B692)=1,2,IF(WEEKDAY(B692)=7,1,0))))))</f>
        <v>2</v>
      </c>
      <c r="G692" s="369">
        <f>VLOOKUP(C692,METADATA!$J$5:$Q$29,IF(E692="HI",2,IF(E692="LO",6,10))+IF(D692=1,2,IF(D692=7,1,(IF(WEEKDAY(B692)=1,2,IF(WEEKDAY(B692)=7,1,0))))))</f>
        <v>2</v>
      </c>
      <c r="H692" s="370">
        <v>13561.025451660156</v>
      </c>
      <c r="I692" s="370">
        <v>2769.257568359375</v>
      </c>
      <c r="M692" s="371">
        <f t="shared" si="41"/>
        <v>13840.888655736315</v>
      </c>
      <c r="N692" s="329">
        <f t="shared" si="42"/>
        <v>0</v>
      </c>
      <c r="T692" s="331">
        <v>0</v>
      </c>
      <c r="U692" s="328">
        <f>VLOOKUP(C692,METADATA!$J$5:$Q$29,IF(E692="HI",2,IF(E692="LO",6,10))+IF(T692=1,2,IF(D692=7,1,(IF(WEEKDAY(B692)=1,2,IF(WEEKDAY(B692)=7,1,0))))))</f>
        <v>2</v>
      </c>
      <c r="V692" s="328">
        <f>VLOOKUP(C692,METADATA!$A$5:$H$29,IF(E692="HI",2,IF(E692="LO",6,10))+IF(T692=1,2,IF(D692=7,1,(IF(WEEKDAY(B692)=1,2,IF(WEEKDAY(B692)=7,1,0))))))</f>
        <v>2</v>
      </c>
    </row>
    <row r="693" spans="2:22">
      <c r="B693" s="318">
        <f t="shared" si="43"/>
        <v>46141</v>
      </c>
      <c r="C693" s="312">
        <v>17</v>
      </c>
      <c r="D693" s="368">
        <f>IFERROR((INDEX(METADATA!$T$2:$T$20,MATCH(B693,METADATA!$S$2:$S$20,0))),0)</f>
        <v>0</v>
      </c>
      <c r="E693" s="312" t="str">
        <f t="shared" si="40"/>
        <v>LO</v>
      </c>
      <c r="F693" s="369">
        <f>VLOOKUP(C693,METADATA!$A$5:$H$29,IF(E693="HI",2,IF(E693="LO",6,10))+IF(D693=1,2,IF(D693=7,1,(IF(WEEKDAY(B693)=1,2,IF(WEEKDAY(B693)=7,1,0))))))</f>
        <v>2</v>
      </c>
      <c r="G693" s="369">
        <f>VLOOKUP(C693,METADATA!$J$5:$Q$29,IF(E693="HI",2,IF(E693="LO",6,10))+IF(D693=1,2,IF(D693=7,1,(IF(WEEKDAY(B693)=1,2,IF(WEEKDAY(B693)=7,1,0))))))</f>
        <v>2</v>
      </c>
      <c r="H693" s="370">
        <v>13504.640197753906</v>
      </c>
      <c r="I693" s="370">
        <v>2689.2124481201172</v>
      </c>
      <c r="M693" s="371">
        <f t="shared" si="41"/>
        <v>13769.791954198687</v>
      </c>
      <c r="N693" s="329">
        <f t="shared" si="42"/>
        <v>0</v>
      </c>
      <c r="T693" s="331">
        <v>0</v>
      </c>
      <c r="U693" s="328">
        <f>VLOOKUP(C693,METADATA!$J$5:$Q$29,IF(E693="HI",2,IF(E693="LO",6,10))+IF(T693=1,2,IF(D693=7,1,(IF(WEEKDAY(B693)=1,2,IF(WEEKDAY(B693)=7,1,0))))))</f>
        <v>2</v>
      </c>
      <c r="V693" s="328">
        <f>VLOOKUP(C693,METADATA!$A$5:$H$29,IF(E693="HI",2,IF(E693="LO",6,10))+IF(T693=1,2,IF(D693=7,1,(IF(WEEKDAY(B693)=1,2,IF(WEEKDAY(B693)=7,1,0))))))</f>
        <v>2</v>
      </c>
    </row>
    <row r="694" spans="2:22">
      <c r="B694" s="318">
        <f t="shared" si="43"/>
        <v>46141</v>
      </c>
      <c r="C694" s="312">
        <v>18</v>
      </c>
      <c r="D694" s="368">
        <f>IFERROR((INDEX(METADATA!$T$2:$T$20,MATCH(B694,METADATA!$S$2:$S$20,0))),0)</f>
        <v>0</v>
      </c>
      <c r="E694" s="312" t="str">
        <f t="shared" si="40"/>
        <v>LO</v>
      </c>
      <c r="F694" s="369">
        <f>VLOOKUP(C694,METADATA!$A$5:$H$29,IF(E694="HI",2,IF(E694="LO",6,10))+IF(D694=1,2,IF(D694=7,1,(IF(WEEKDAY(B694)=1,2,IF(WEEKDAY(B694)=7,1,0))))))</f>
        <v>1</v>
      </c>
      <c r="G694" s="369">
        <f>VLOOKUP(C694,METADATA!$J$5:$Q$29,IF(E694="HI",2,IF(E694="LO",6,10))+IF(D694=1,2,IF(D694=7,1,(IF(WEEKDAY(B694)=1,2,IF(WEEKDAY(B694)=7,1,0))))))</f>
        <v>1</v>
      </c>
      <c r="H694" s="370">
        <v>13416.85986328125</v>
      </c>
      <c r="I694" s="370">
        <v>2705.4598693847656</v>
      </c>
      <c r="M694" s="371">
        <f t="shared" si="41"/>
        <v>13686.914980950922</v>
      </c>
      <c r="N694" s="329">
        <f t="shared" si="42"/>
        <v>0</v>
      </c>
      <c r="T694" s="331">
        <v>0</v>
      </c>
      <c r="U694" s="328">
        <f>VLOOKUP(C694,METADATA!$J$5:$Q$29,IF(E694="HI",2,IF(E694="LO",6,10))+IF(T694=1,2,IF(D694=7,1,(IF(WEEKDAY(B694)=1,2,IF(WEEKDAY(B694)=7,1,0))))))</f>
        <v>1</v>
      </c>
      <c r="V694" s="328">
        <f>VLOOKUP(C694,METADATA!$A$5:$H$29,IF(E694="HI",2,IF(E694="LO",6,10))+IF(T694=1,2,IF(D694=7,1,(IF(WEEKDAY(B694)=1,2,IF(WEEKDAY(B694)=7,1,0))))))</f>
        <v>1</v>
      </c>
    </row>
    <row r="695" spans="2:22">
      <c r="B695" s="318">
        <f t="shared" si="43"/>
        <v>46141</v>
      </c>
      <c r="C695" s="312">
        <v>19</v>
      </c>
      <c r="D695" s="368">
        <f>IFERROR((INDEX(METADATA!$T$2:$T$20,MATCH(B695,METADATA!$S$2:$S$20,0))),0)</f>
        <v>0</v>
      </c>
      <c r="E695" s="312" t="str">
        <f t="shared" si="40"/>
        <v>LO</v>
      </c>
      <c r="F695" s="369">
        <f>VLOOKUP(C695,METADATA!$A$5:$H$29,IF(E695="HI",2,IF(E695="LO",6,10))+IF(D695=1,2,IF(D695=7,1,(IF(WEEKDAY(B695)=1,2,IF(WEEKDAY(B695)=7,1,0))))))</f>
        <v>1</v>
      </c>
      <c r="G695" s="369">
        <f>VLOOKUP(C695,METADATA!$J$5:$Q$29,IF(E695="HI",2,IF(E695="LO",6,10))+IF(D695=1,2,IF(D695=7,1,(IF(WEEKDAY(B695)=1,2,IF(WEEKDAY(B695)=7,1,0))))))</f>
        <v>1</v>
      </c>
      <c r="H695" s="370">
        <v>13436.554809570313</v>
      </c>
      <c r="I695" s="370">
        <v>2781.8604822158813</v>
      </c>
      <c r="M695" s="371">
        <f t="shared" si="41"/>
        <v>13721.506946873636</v>
      </c>
      <c r="N695" s="329">
        <f t="shared" si="42"/>
        <v>0</v>
      </c>
      <c r="T695" s="331">
        <v>0</v>
      </c>
      <c r="U695" s="328">
        <f>VLOOKUP(C695,METADATA!$J$5:$Q$29,IF(E695="HI",2,IF(E695="LO",6,10))+IF(T695=1,2,IF(D695=7,1,(IF(WEEKDAY(B695)=1,2,IF(WEEKDAY(B695)=7,1,0))))))</f>
        <v>1</v>
      </c>
      <c r="V695" s="328">
        <f>VLOOKUP(C695,METADATA!$A$5:$H$29,IF(E695="HI",2,IF(E695="LO",6,10))+IF(T695=1,2,IF(D695=7,1,(IF(WEEKDAY(B695)=1,2,IF(WEEKDAY(B695)=7,1,0))))))</f>
        <v>1</v>
      </c>
    </row>
    <row r="696" spans="2:22">
      <c r="B696" s="318">
        <f t="shared" si="43"/>
        <v>46141</v>
      </c>
      <c r="C696" s="312">
        <v>20</v>
      </c>
      <c r="D696" s="368">
        <f>IFERROR((INDEX(METADATA!$T$2:$T$20,MATCH(B696,METADATA!$S$2:$S$20,0))),0)</f>
        <v>0</v>
      </c>
      <c r="E696" s="312" t="str">
        <f t="shared" si="40"/>
        <v>LO</v>
      </c>
      <c r="F696" s="369">
        <f>VLOOKUP(C696,METADATA!$A$5:$H$29,IF(E696="HI",2,IF(E696="LO",6,10))+IF(D696=1,2,IF(D696=7,1,(IF(WEEKDAY(B696)=1,2,IF(WEEKDAY(B696)=7,1,0))))))</f>
        <v>1</v>
      </c>
      <c r="G696" s="369">
        <f>VLOOKUP(C696,METADATA!$J$5:$Q$29,IF(E696="HI",2,IF(E696="LO",6,10))+IF(D696=1,2,IF(D696=7,1,(IF(WEEKDAY(B696)=1,2,IF(WEEKDAY(B696)=7,1,0))))))</f>
        <v>1</v>
      </c>
      <c r="H696" s="370">
        <v>13279.175048828125</v>
      </c>
      <c r="I696" s="370">
        <v>2777.6254758834839</v>
      </c>
      <c r="M696" s="371">
        <f t="shared" si="41"/>
        <v>13566.565271346186</v>
      </c>
      <c r="N696" s="329">
        <f t="shared" si="42"/>
        <v>0</v>
      </c>
      <c r="T696" s="331">
        <v>0</v>
      </c>
      <c r="U696" s="328">
        <f>VLOOKUP(C696,METADATA!$J$5:$Q$29,IF(E696="HI",2,IF(E696="LO",6,10))+IF(T696=1,2,IF(D696=7,1,(IF(WEEKDAY(B696)=1,2,IF(WEEKDAY(B696)=7,1,0))))))</f>
        <v>1</v>
      </c>
      <c r="V696" s="328">
        <f>VLOOKUP(C696,METADATA!$A$5:$H$29,IF(E696="HI",2,IF(E696="LO",6,10))+IF(T696=1,2,IF(D696=7,1,(IF(WEEKDAY(B696)=1,2,IF(WEEKDAY(B696)=7,1,0))))))</f>
        <v>1</v>
      </c>
    </row>
    <row r="697" spans="2:22">
      <c r="B697" s="318">
        <f t="shared" si="43"/>
        <v>46141</v>
      </c>
      <c r="C697" s="312">
        <v>21</v>
      </c>
      <c r="D697" s="368">
        <f>IFERROR((INDEX(METADATA!$T$2:$T$20,MATCH(B697,METADATA!$S$2:$S$20,0))),0)</f>
        <v>0</v>
      </c>
      <c r="E697" s="312" t="str">
        <f t="shared" si="40"/>
        <v>LO</v>
      </c>
      <c r="F697" s="369">
        <f>VLOOKUP(C697,METADATA!$A$5:$H$29,IF(E697="HI",2,IF(E697="LO",6,10))+IF(D697=1,2,IF(D697=7,1,(IF(WEEKDAY(B697)=1,2,IF(WEEKDAY(B697)=7,1,0))))))</f>
        <v>2</v>
      </c>
      <c r="G697" s="369">
        <f>VLOOKUP(C697,METADATA!$J$5:$Q$29,IF(E697="HI",2,IF(E697="LO",6,10))+IF(D697=1,2,IF(D697=7,1,(IF(WEEKDAY(B697)=1,2,IF(WEEKDAY(B697)=7,1,0))))))</f>
        <v>2</v>
      </c>
      <c r="H697" s="370">
        <v>13159.139953613281</v>
      </c>
      <c r="I697" s="370">
        <v>2678.5964512825012</v>
      </c>
      <c r="M697" s="371">
        <f t="shared" si="41"/>
        <v>13428.992637856518</v>
      </c>
      <c r="N697" s="329">
        <f t="shared" si="42"/>
        <v>0</v>
      </c>
      <c r="T697" s="331">
        <v>0</v>
      </c>
      <c r="U697" s="328">
        <f>VLOOKUP(C697,METADATA!$J$5:$Q$29,IF(E697="HI",2,IF(E697="LO",6,10))+IF(T697=1,2,IF(D697=7,1,(IF(WEEKDAY(B697)=1,2,IF(WEEKDAY(B697)=7,1,0))))))</f>
        <v>2</v>
      </c>
      <c r="V697" s="328">
        <f>VLOOKUP(C697,METADATA!$A$5:$H$29,IF(E697="HI",2,IF(E697="LO",6,10))+IF(T697=1,2,IF(D697=7,1,(IF(WEEKDAY(B697)=1,2,IF(WEEKDAY(B697)=7,1,0))))))</f>
        <v>2</v>
      </c>
    </row>
    <row r="698" spans="2:22">
      <c r="B698" s="318">
        <f t="shared" si="43"/>
        <v>46141</v>
      </c>
      <c r="C698" s="312">
        <v>22</v>
      </c>
      <c r="D698" s="368">
        <f>IFERROR((INDEX(METADATA!$T$2:$T$20,MATCH(B698,METADATA!$S$2:$S$20,0))),0)</f>
        <v>0</v>
      </c>
      <c r="E698" s="312" t="str">
        <f t="shared" si="40"/>
        <v>LO</v>
      </c>
      <c r="F698" s="369">
        <f>VLOOKUP(C698,METADATA!$A$5:$H$29,IF(E698="HI",2,IF(E698="LO",6,10))+IF(D698=1,2,IF(D698=7,1,(IF(WEEKDAY(B698)=1,2,IF(WEEKDAY(B698)=7,1,0))))))</f>
        <v>3</v>
      </c>
      <c r="G698" s="369">
        <f>VLOOKUP(C698,METADATA!$J$5:$Q$29,IF(E698="HI",2,IF(E698="LO",6,10))+IF(D698=1,2,IF(D698=7,1,(IF(WEEKDAY(B698)=1,2,IF(WEEKDAY(B698)=7,1,0))))))</f>
        <v>3</v>
      </c>
      <c r="H698" s="370">
        <v>13369.5</v>
      </c>
      <c r="I698" s="370">
        <v>2790.3455142974854</v>
      </c>
      <c r="M698" s="371">
        <f t="shared" si="41"/>
        <v>13657.58244855802</v>
      </c>
      <c r="N698" s="329">
        <f t="shared" si="42"/>
        <v>0</v>
      </c>
      <c r="T698" s="331">
        <v>0</v>
      </c>
      <c r="U698" s="328">
        <f>VLOOKUP(C698,METADATA!$J$5:$Q$29,IF(E698="HI",2,IF(E698="LO",6,10))+IF(T698=1,2,IF(D698=7,1,(IF(WEEKDAY(B698)=1,2,IF(WEEKDAY(B698)=7,1,0))))))</f>
        <v>3</v>
      </c>
      <c r="V698" s="328">
        <f>VLOOKUP(C698,METADATA!$A$5:$H$29,IF(E698="HI",2,IF(E698="LO",6,10))+IF(T698=1,2,IF(D698=7,1,(IF(WEEKDAY(B698)=1,2,IF(WEEKDAY(B698)=7,1,0))))))</f>
        <v>3</v>
      </c>
    </row>
    <row r="699" spans="2:22">
      <c r="B699" s="318">
        <f t="shared" si="43"/>
        <v>46141</v>
      </c>
      <c r="C699" s="312">
        <v>23</v>
      </c>
      <c r="D699" s="368">
        <f>IFERROR((INDEX(METADATA!$T$2:$T$20,MATCH(B699,METADATA!$S$2:$S$20,0))),0)</f>
        <v>0</v>
      </c>
      <c r="E699" s="312" t="str">
        <f t="shared" si="40"/>
        <v>LO</v>
      </c>
      <c r="F699" s="369">
        <f>VLOOKUP(C699,METADATA!$A$5:$H$29,IF(E699="HI",2,IF(E699="LO",6,10))+IF(D699=1,2,IF(D699=7,1,(IF(WEEKDAY(B699)=1,2,IF(WEEKDAY(B699)=7,1,0))))))</f>
        <v>3</v>
      </c>
      <c r="G699" s="369">
        <f>VLOOKUP(C699,METADATA!$J$5:$Q$29,IF(E699="HI",2,IF(E699="LO",6,10))+IF(D699=1,2,IF(D699=7,1,(IF(WEEKDAY(B699)=1,2,IF(WEEKDAY(B699)=7,1,0))))))</f>
        <v>3</v>
      </c>
      <c r="H699" s="370">
        <v>13480.964904785156</v>
      </c>
      <c r="I699" s="370">
        <v>2935.0475006103516</v>
      </c>
      <c r="M699" s="371">
        <f t="shared" si="41"/>
        <v>13796.772035330878</v>
      </c>
      <c r="N699" s="329">
        <f t="shared" si="42"/>
        <v>0</v>
      </c>
      <c r="T699" s="331">
        <v>0</v>
      </c>
      <c r="U699" s="328">
        <f>VLOOKUP(C699,METADATA!$J$5:$Q$29,IF(E699="HI",2,IF(E699="LO",6,10))+IF(T699=1,2,IF(D699=7,1,(IF(WEEKDAY(B699)=1,2,IF(WEEKDAY(B699)=7,1,0))))))</f>
        <v>3</v>
      </c>
      <c r="V699" s="328">
        <f>VLOOKUP(C699,METADATA!$A$5:$H$29,IF(E699="HI",2,IF(E699="LO",6,10))+IF(T699=1,2,IF(D699=7,1,(IF(WEEKDAY(B699)=1,2,IF(WEEKDAY(B699)=7,1,0))))))</f>
        <v>3</v>
      </c>
    </row>
    <row r="700" spans="2:22">
      <c r="B700" s="318">
        <f t="shared" si="43"/>
        <v>46142</v>
      </c>
      <c r="C700" s="312">
        <v>0</v>
      </c>
      <c r="D700" s="368">
        <f>IFERROR((INDEX(METADATA!$T$2:$T$20,MATCH(B700,METADATA!$S$2:$S$20,0))),0)</f>
        <v>0</v>
      </c>
      <c r="E700" s="312" t="str">
        <f t="shared" si="40"/>
        <v>LO</v>
      </c>
      <c r="F700" s="369">
        <f>VLOOKUP(C700,METADATA!$A$5:$H$29,IF(E700="HI",2,IF(E700="LO",6,10))+IF(D700=1,2,IF(D700=7,1,(IF(WEEKDAY(B700)=1,2,IF(WEEKDAY(B700)=7,1,0))))))</f>
        <v>3</v>
      </c>
      <c r="G700" s="369">
        <f>VLOOKUP(C700,METADATA!$J$5:$Q$29,IF(E700="HI",2,IF(E700="LO",6,10))+IF(D700=1,2,IF(D700=7,1,(IF(WEEKDAY(B700)=1,2,IF(WEEKDAY(B700)=7,1,0))))))</f>
        <v>3</v>
      </c>
      <c r="H700" s="370">
        <v>13456.110168457031</v>
      </c>
      <c r="I700" s="370">
        <v>2966.5769577026367</v>
      </c>
      <c r="M700" s="371">
        <f t="shared" si="41"/>
        <v>13779.240897510463</v>
      </c>
      <c r="N700" s="329">
        <f t="shared" si="42"/>
        <v>0</v>
      </c>
      <c r="T700" s="331">
        <v>0</v>
      </c>
      <c r="U700" s="328">
        <f>VLOOKUP(C700,METADATA!$J$5:$Q$29,IF(E700="HI",2,IF(E700="LO",6,10))+IF(T700=1,2,IF(D700=7,1,(IF(WEEKDAY(B700)=1,2,IF(WEEKDAY(B700)=7,1,0))))))</f>
        <v>3</v>
      </c>
      <c r="V700" s="328">
        <f>VLOOKUP(C700,METADATA!$A$5:$H$29,IF(E700="HI",2,IF(E700="LO",6,10))+IF(T700=1,2,IF(D700=7,1,(IF(WEEKDAY(B700)=1,2,IF(WEEKDAY(B700)=7,1,0))))))</f>
        <v>3</v>
      </c>
    </row>
    <row r="701" spans="2:22">
      <c r="B701" s="318">
        <f t="shared" si="43"/>
        <v>46142</v>
      </c>
      <c r="C701" s="312">
        <v>1</v>
      </c>
      <c r="D701" s="368">
        <f>IFERROR((INDEX(METADATA!$T$2:$T$20,MATCH(B701,METADATA!$S$2:$S$20,0))),0)</f>
        <v>0</v>
      </c>
      <c r="E701" s="312" t="str">
        <f t="shared" si="40"/>
        <v>LO</v>
      </c>
      <c r="F701" s="369">
        <f>VLOOKUP(C701,METADATA!$A$5:$H$29,IF(E701="HI",2,IF(E701="LO",6,10))+IF(D701=1,2,IF(D701=7,1,(IF(WEEKDAY(B701)=1,2,IF(WEEKDAY(B701)=7,1,0))))))</f>
        <v>3</v>
      </c>
      <c r="G701" s="369">
        <f>VLOOKUP(C701,METADATA!$J$5:$Q$29,IF(E701="HI",2,IF(E701="LO",6,10))+IF(D701=1,2,IF(D701=7,1,(IF(WEEKDAY(B701)=1,2,IF(WEEKDAY(B701)=7,1,0))))))</f>
        <v>3</v>
      </c>
      <c r="H701" s="370">
        <v>13452.659606933594</v>
      </c>
      <c r="I701" s="370">
        <v>2923.8055000305176</v>
      </c>
      <c r="M701" s="371">
        <f t="shared" si="41"/>
        <v>13766.723978566266</v>
      </c>
      <c r="N701" s="329">
        <f t="shared" si="42"/>
        <v>0</v>
      </c>
      <c r="T701" s="331">
        <v>0</v>
      </c>
      <c r="U701" s="328">
        <f>VLOOKUP(C701,METADATA!$J$5:$Q$29,IF(E701="HI",2,IF(E701="LO",6,10))+IF(T701=1,2,IF(D701=7,1,(IF(WEEKDAY(B701)=1,2,IF(WEEKDAY(B701)=7,1,0))))))</f>
        <v>3</v>
      </c>
      <c r="V701" s="328">
        <f>VLOOKUP(C701,METADATA!$A$5:$H$29,IF(E701="HI",2,IF(E701="LO",6,10))+IF(T701=1,2,IF(D701=7,1,(IF(WEEKDAY(B701)=1,2,IF(WEEKDAY(B701)=7,1,0))))))</f>
        <v>3</v>
      </c>
    </row>
    <row r="702" spans="2:22">
      <c r="B702" s="318">
        <f t="shared" si="43"/>
        <v>46142</v>
      </c>
      <c r="C702" s="312">
        <v>2</v>
      </c>
      <c r="D702" s="368">
        <f>IFERROR((INDEX(METADATA!$T$2:$T$20,MATCH(B702,METADATA!$S$2:$S$20,0))),0)</f>
        <v>0</v>
      </c>
      <c r="E702" s="312" t="str">
        <f t="shared" si="40"/>
        <v>LO</v>
      </c>
      <c r="F702" s="369">
        <f>VLOOKUP(C702,METADATA!$A$5:$H$29,IF(E702="HI",2,IF(E702="LO",6,10))+IF(D702=1,2,IF(D702=7,1,(IF(WEEKDAY(B702)=1,2,IF(WEEKDAY(B702)=7,1,0))))))</f>
        <v>3</v>
      </c>
      <c r="G702" s="369">
        <f>VLOOKUP(C702,METADATA!$J$5:$Q$29,IF(E702="HI",2,IF(E702="LO",6,10))+IF(D702=1,2,IF(D702=7,1,(IF(WEEKDAY(B702)=1,2,IF(WEEKDAY(B702)=7,1,0))))))</f>
        <v>3</v>
      </c>
      <c r="H702" s="370">
        <v>13351.235168457031</v>
      </c>
      <c r="I702" s="370">
        <v>2748.2860107421875</v>
      </c>
      <c r="M702" s="371">
        <f t="shared" si="41"/>
        <v>13631.161231541686</v>
      </c>
      <c r="N702" s="329">
        <f t="shared" si="42"/>
        <v>0</v>
      </c>
      <c r="T702" s="331">
        <v>0</v>
      </c>
      <c r="U702" s="328">
        <f>VLOOKUP(C702,METADATA!$J$5:$Q$29,IF(E702="HI",2,IF(E702="LO",6,10))+IF(T702=1,2,IF(D702=7,1,(IF(WEEKDAY(B702)=1,2,IF(WEEKDAY(B702)=7,1,0))))))</f>
        <v>3</v>
      </c>
      <c r="V702" s="328">
        <f>VLOOKUP(C702,METADATA!$A$5:$H$29,IF(E702="HI",2,IF(E702="LO",6,10))+IF(T702=1,2,IF(D702=7,1,(IF(WEEKDAY(B702)=1,2,IF(WEEKDAY(B702)=7,1,0))))))</f>
        <v>3</v>
      </c>
    </row>
    <row r="703" spans="2:22">
      <c r="B703" s="318">
        <f t="shared" si="43"/>
        <v>46142</v>
      </c>
      <c r="C703" s="312">
        <v>3</v>
      </c>
      <c r="D703" s="368">
        <f>IFERROR((INDEX(METADATA!$T$2:$T$20,MATCH(B703,METADATA!$S$2:$S$20,0))),0)</f>
        <v>0</v>
      </c>
      <c r="E703" s="312" t="str">
        <f t="shared" si="40"/>
        <v>LO</v>
      </c>
      <c r="F703" s="369">
        <f>VLOOKUP(C703,METADATA!$A$5:$H$29,IF(E703="HI",2,IF(E703="LO",6,10))+IF(D703=1,2,IF(D703=7,1,(IF(WEEKDAY(B703)=1,2,IF(WEEKDAY(B703)=7,1,0))))))</f>
        <v>3</v>
      </c>
      <c r="G703" s="369">
        <f>VLOOKUP(C703,METADATA!$J$5:$Q$29,IF(E703="HI",2,IF(E703="LO",6,10))+IF(D703=1,2,IF(D703=7,1,(IF(WEEKDAY(B703)=1,2,IF(WEEKDAY(B703)=7,1,0))))))</f>
        <v>3</v>
      </c>
      <c r="H703" s="370">
        <v>13498.999938964844</v>
      </c>
      <c r="I703" s="370">
        <v>2807.0340366363525</v>
      </c>
      <c r="M703" s="371">
        <f t="shared" si="41"/>
        <v>13787.764120226595</v>
      </c>
      <c r="N703" s="329">
        <f t="shared" si="42"/>
        <v>0</v>
      </c>
      <c r="T703" s="331">
        <v>0</v>
      </c>
      <c r="U703" s="328">
        <f>VLOOKUP(C703,METADATA!$J$5:$Q$29,IF(E703="HI",2,IF(E703="LO",6,10))+IF(T703=1,2,IF(D703=7,1,(IF(WEEKDAY(B703)=1,2,IF(WEEKDAY(B703)=7,1,0))))))</f>
        <v>3</v>
      </c>
      <c r="V703" s="328">
        <f>VLOOKUP(C703,METADATA!$A$5:$H$29,IF(E703="HI",2,IF(E703="LO",6,10))+IF(T703=1,2,IF(D703=7,1,(IF(WEEKDAY(B703)=1,2,IF(WEEKDAY(B703)=7,1,0))))))</f>
        <v>3</v>
      </c>
    </row>
    <row r="704" spans="2:22">
      <c r="B704" s="318">
        <f t="shared" si="43"/>
        <v>46142</v>
      </c>
      <c r="C704" s="312">
        <v>4</v>
      </c>
      <c r="D704" s="368">
        <f>IFERROR((INDEX(METADATA!$T$2:$T$20,MATCH(B704,METADATA!$S$2:$S$20,0))),0)</f>
        <v>0</v>
      </c>
      <c r="E704" s="312" t="str">
        <f t="shared" si="40"/>
        <v>LO</v>
      </c>
      <c r="F704" s="369">
        <f>VLOOKUP(C704,METADATA!$A$5:$H$29,IF(E704="HI",2,IF(E704="LO",6,10))+IF(D704=1,2,IF(D704=7,1,(IF(WEEKDAY(B704)=1,2,IF(WEEKDAY(B704)=7,1,0))))))</f>
        <v>3</v>
      </c>
      <c r="G704" s="369">
        <f>VLOOKUP(C704,METADATA!$J$5:$Q$29,IF(E704="HI",2,IF(E704="LO",6,10))+IF(D704=1,2,IF(D704=7,1,(IF(WEEKDAY(B704)=1,2,IF(WEEKDAY(B704)=7,1,0))))))</f>
        <v>3</v>
      </c>
      <c r="H704" s="370">
        <v>13442.519897460938</v>
      </c>
      <c r="I704" s="370">
        <v>2775.5709524154663</v>
      </c>
      <c r="M704" s="371">
        <f t="shared" si="41"/>
        <v>13726.07501456719</v>
      </c>
      <c r="N704" s="329">
        <f t="shared" si="42"/>
        <v>0</v>
      </c>
      <c r="T704" s="331">
        <v>0</v>
      </c>
      <c r="U704" s="328">
        <f>VLOOKUP(C704,METADATA!$J$5:$Q$29,IF(E704="HI",2,IF(E704="LO",6,10))+IF(T704=1,2,IF(D704=7,1,(IF(WEEKDAY(B704)=1,2,IF(WEEKDAY(B704)=7,1,0))))))</f>
        <v>3</v>
      </c>
      <c r="V704" s="328">
        <f>VLOOKUP(C704,METADATA!$A$5:$H$29,IF(E704="HI",2,IF(E704="LO",6,10))+IF(T704=1,2,IF(D704=7,1,(IF(WEEKDAY(B704)=1,2,IF(WEEKDAY(B704)=7,1,0))))))</f>
        <v>3</v>
      </c>
    </row>
    <row r="705" spans="2:22">
      <c r="B705" s="318">
        <f t="shared" si="43"/>
        <v>46142</v>
      </c>
      <c r="C705" s="312">
        <v>5</v>
      </c>
      <c r="D705" s="368">
        <f>IFERROR((INDEX(METADATA!$T$2:$T$20,MATCH(B705,METADATA!$S$2:$S$20,0))),0)</f>
        <v>0</v>
      </c>
      <c r="E705" s="312" t="str">
        <f t="shared" si="40"/>
        <v>LO</v>
      </c>
      <c r="F705" s="369">
        <f>VLOOKUP(C705,METADATA!$A$5:$H$29,IF(E705="HI",2,IF(E705="LO",6,10))+IF(D705=1,2,IF(D705=7,1,(IF(WEEKDAY(B705)=1,2,IF(WEEKDAY(B705)=7,1,0))))))</f>
        <v>3</v>
      </c>
      <c r="G705" s="369">
        <f>VLOOKUP(C705,METADATA!$J$5:$Q$29,IF(E705="HI",2,IF(E705="LO",6,10))+IF(D705=1,2,IF(D705=7,1,(IF(WEEKDAY(B705)=1,2,IF(WEEKDAY(B705)=7,1,0))))))</f>
        <v>3</v>
      </c>
      <c r="H705" s="370">
        <v>13480.565124511719</v>
      </c>
      <c r="I705" s="370">
        <v>2628.7479877471924</v>
      </c>
      <c r="M705" s="371">
        <f t="shared" si="41"/>
        <v>13734.480407328359</v>
      </c>
      <c r="N705" s="329">
        <f t="shared" si="42"/>
        <v>0</v>
      </c>
      <c r="T705" s="331">
        <v>0</v>
      </c>
      <c r="U705" s="328">
        <f>VLOOKUP(C705,METADATA!$J$5:$Q$29,IF(E705="HI",2,IF(E705="LO",6,10))+IF(T705=1,2,IF(D705=7,1,(IF(WEEKDAY(B705)=1,2,IF(WEEKDAY(B705)=7,1,0))))))</f>
        <v>3</v>
      </c>
      <c r="V705" s="328">
        <f>VLOOKUP(C705,METADATA!$A$5:$H$29,IF(E705="HI",2,IF(E705="LO",6,10))+IF(T705=1,2,IF(D705=7,1,(IF(WEEKDAY(B705)=1,2,IF(WEEKDAY(B705)=7,1,0))))))</f>
        <v>3</v>
      </c>
    </row>
    <row r="706" spans="2:22">
      <c r="B706" s="318">
        <f t="shared" si="43"/>
        <v>46142</v>
      </c>
      <c r="C706" s="312">
        <v>6</v>
      </c>
      <c r="D706" s="368">
        <f>IFERROR((INDEX(METADATA!$T$2:$T$20,MATCH(B706,METADATA!$S$2:$S$20,0))),0)</f>
        <v>0</v>
      </c>
      <c r="E706" s="312" t="str">
        <f t="shared" si="40"/>
        <v>LO</v>
      </c>
      <c r="F706" s="369">
        <f>VLOOKUP(C706,METADATA!$A$5:$H$29,IF(E706="HI",2,IF(E706="LO",6,10))+IF(D706=1,2,IF(D706=7,1,(IF(WEEKDAY(B706)=1,2,IF(WEEKDAY(B706)=7,1,0))))))</f>
        <v>2</v>
      </c>
      <c r="G706" s="369">
        <f>VLOOKUP(C706,METADATA!$J$5:$Q$29,IF(E706="HI",2,IF(E706="LO",6,10))+IF(D706=1,2,IF(D706=7,1,(IF(WEEKDAY(B706)=1,2,IF(WEEKDAY(B706)=7,1,0))))))</f>
        <v>2</v>
      </c>
      <c r="H706" s="370">
        <v>13621.979919433594</v>
      </c>
      <c r="I706" s="370">
        <v>2734.2835006713867</v>
      </c>
      <c r="M706" s="371">
        <f t="shared" si="41"/>
        <v>13893.690769104365</v>
      </c>
      <c r="N706" s="329">
        <f t="shared" si="42"/>
        <v>0</v>
      </c>
      <c r="T706" s="331">
        <v>0</v>
      </c>
      <c r="U706" s="328">
        <f>VLOOKUP(C706,METADATA!$J$5:$Q$29,IF(E706="HI",2,IF(E706="LO",6,10))+IF(T706=1,2,IF(D706=7,1,(IF(WEEKDAY(B706)=1,2,IF(WEEKDAY(B706)=7,1,0))))))</f>
        <v>2</v>
      </c>
      <c r="V706" s="328">
        <f>VLOOKUP(C706,METADATA!$A$5:$H$29,IF(E706="HI",2,IF(E706="LO",6,10))+IF(T706=1,2,IF(D706=7,1,(IF(WEEKDAY(B706)=1,2,IF(WEEKDAY(B706)=7,1,0))))))</f>
        <v>2</v>
      </c>
    </row>
    <row r="707" spans="2:22">
      <c r="B707" s="318">
        <f t="shared" si="43"/>
        <v>46142</v>
      </c>
      <c r="C707" s="312">
        <v>7</v>
      </c>
      <c r="D707" s="368">
        <f>IFERROR((INDEX(METADATA!$T$2:$T$20,MATCH(B707,METADATA!$S$2:$S$20,0))),0)</f>
        <v>0</v>
      </c>
      <c r="E707" s="312" t="str">
        <f t="shared" si="40"/>
        <v>LO</v>
      </c>
      <c r="F707" s="369">
        <f>VLOOKUP(C707,METADATA!$A$5:$H$29,IF(E707="HI",2,IF(E707="LO",6,10))+IF(D707=1,2,IF(D707=7,1,(IF(WEEKDAY(B707)=1,2,IF(WEEKDAY(B707)=7,1,0))))))</f>
        <v>1</v>
      </c>
      <c r="G707" s="369">
        <f>VLOOKUP(C707,METADATA!$J$5:$Q$29,IF(E707="HI",2,IF(E707="LO",6,10))+IF(D707=1,2,IF(D707=7,1,(IF(WEEKDAY(B707)=1,2,IF(WEEKDAY(B707)=7,1,0))))))</f>
        <v>1</v>
      </c>
      <c r="H707" s="370">
        <v>13617.955139160156</v>
      </c>
      <c r="I707" s="370">
        <v>2840.9394760131836</v>
      </c>
      <c r="M707" s="371">
        <f t="shared" si="41"/>
        <v>13911.133644622518</v>
      </c>
      <c r="N707" s="329">
        <f t="shared" si="42"/>
        <v>0</v>
      </c>
      <c r="T707" s="331">
        <v>0</v>
      </c>
      <c r="U707" s="328">
        <f>VLOOKUP(C707,METADATA!$J$5:$Q$29,IF(E707="HI",2,IF(E707="LO",6,10))+IF(T707=1,2,IF(D707=7,1,(IF(WEEKDAY(B707)=1,2,IF(WEEKDAY(B707)=7,1,0))))))</f>
        <v>1</v>
      </c>
      <c r="V707" s="328">
        <f>VLOOKUP(C707,METADATA!$A$5:$H$29,IF(E707="HI",2,IF(E707="LO",6,10))+IF(T707=1,2,IF(D707=7,1,(IF(WEEKDAY(B707)=1,2,IF(WEEKDAY(B707)=7,1,0))))))</f>
        <v>1</v>
      </c>
    </row>
    <row r="708" spans="2:22">
      <c r="B708" s="318">
        <f t="shared" si="43"/>
        <v>46142</v>
      </c>
      <c r="C708" s="312">
        <v>8</v>
      </c>
      <c r="D708" s="368">
        <f>IFERROR((INDEX(METADATA!$T$2:$T$20,MATCH(B708,METADATA!$S$2:$S$20,0))),0)</f>
        <v>0</v>
      </c>
      <c r="E708" s="312" t="str">
        <f t="shared" ref="E708:E771" si="44">IF(B708="","",IF(AND(MONTH(B708)&gt;=MONTH($Z$9),MONTH(B708)&lt;=MONTH($Z$11)),"HI","LO"))</f>
        <v>LO</v>
      </c>
      <c r="F708" s="369">
        <f>VLOOKUP(C708,METADATA!$A$5:$H$29,IF(E708="HI",2,IF(E708="LO",6,10))+IF(D708=1,2,IF(D708=7,1,(IF(WEEKDAY(B708)=1,2,IF(WEEKDAY(B708)=7,1,0))))))</f>
        <v>1</v>
      </c>
      <c r="G708" s="369">
        <f>VLOOKUP(C708,METADATA!$J$5:$Q$29,IF(E708="HI",2,IF(E708="LO",6,10))+IF(D708=1,2,IF(D708=7,1,(IF(WEEKDAY(B708)=1,2,IF(WEEKDAY(B708)=7,1,0))))))</f>
        <v>1</v>
      </c>
      <c r="H708" s="370">
        <v>13689.679870605469</v>
      </c>
      <c r="I708" s="370">
        <v>2902.5260162353516</v>
      </c>
      <c r="M708" s="371">
        <f t="shared" ref="M708:M771" si="45">SQRT(H708^2+I708^2)</f>
        <v>13993.998436279162</v>
      </c>
      <c r="N708" s="329">
        <f t="shared" ref="N708:N771" si="46">IF(H708=0,0,(IF(I708-(0.3*H708)&lt;0,0,(I708-(0.3*H708)))))</f>
        <v>0</v>
      </c>
      <c r="T708" s="331">
        <v>0</v>
      </c>
      <c r="U708" s="328">
        <f>VLOOKUP(C708,METADATA!$J$5:$Q$29,IF(E708="HI",2,IF(E708="LO",6,10))+IF(T708=1,2,IF(D708=7,1,(IF(WEEKDAY(B708)=1,2,IF(WEEKDAY(B708)=7,1,0))))))</f>
        <v>1</v>
      </c>
      <c r="V708" s="328">
        <f>VLOOKUP(C708,METADATA!$A$5:$H$29,IF(E708="HI",2,IF(E708="LO",6,10))+IF(T708=1,2,IF(D708=7,1,(IF(WEEKDAY(B708)=1,2,IF(WEEKDAY(B708)=7,1,0))))))</f>
        <v>1</v>
      </c>
    </row>
    <row r="709" spans="2:22">
      <c r="B709" s="318">
        <f t="shared" si="43"/>
        <v>46142</v>
      </c>
      <c r="C709" s="312">
        <v>9</v>
      </c>
      <c r="D709" s="368">
        <f>IFERROR((INDEX(METADATA!$T$2:$T$20,MATCH(B709,METADATA!$S$2:$S$20,0))),0)</f>
        <v>0</v>
      </c>
      <c r="E709" s="312" t="str">
        <f t="shared" si="44"/>
        <v>LO</v>
      </c>
      <c r="F709" s="369">
        <f>VLOOKUP(C709,METADATA!$A$5:$H$29,IF(E709="HI",2,IF(E709="LO",6,10))+IF(D709=1,2,IF(D709=7,1,(IF(WEEKDAY(B709)=1,2,IF(WEEKDAY(B709)=7,1,0))))))</f>
        <v>2</v>
      </c>
      <c r="G709" s="369">
        <f>VLOOKUP(C709,METADATA!$J$5:$Q$29,IF(E709="HI",2,IF(E709="LO",6,10))+IF(D709=1,2,IF(D709=7,1,(IF(WEEKDAY(B709)=1,2,IF(WEEKDAY(B709)=7,1,0))))))</f>
        <v>2</v>
      </c>
      <c r="H709" s="370">
        <v>10601.774932861328</v>
      </c>
      <c r="I709" s="370">
        <v>1597.8339627151727</v>
      </c>
      <c r="M709" s="371">
        <f t="shared" si="45"/>
        <v>10721.506661820105</v>
      </c>
      <c r="N709" s="329">
        <f t="shared" si="46"/>
        <v>0</v>
      </c>
      <c r="T709" s="331">
        <v>0</v>
      </c>
      <c r="U709" s="328">
        <f>VLOOKUP(C709,METADATA!$J$5:$Q$29,IF(E709="HI",2,IF(E709="LO",6,10))+IF(T709=1,2,IF(D709=7,1,(IF(WEEKDAY(B709)=1,2,IF(WEEKDAY(B709)=7,1,0))))))</f>
        <v>2</v>
      </c>
      <c r="V709" s="328">
        <f>VLOOKUP(C709,METADATA!$A$5:$H$29,IF(E709="HI",2,IF(E709="LO",6,10))+IF(T709=1,2,IF(D709=7,1,(IF(WEEKDAY(B709)=1,2,IF(WEEKDAY(B709)=7,1,0))))))</f>
        <v>2</v>
      </c>
    </row>
    <row r="710" spans="2:22">
      <c r="B710" s="318">
        <f t="shared" si="43"/>
        <v>46142</v>
      </c>
      <c r="C710" s="312">
        <v>10</v>
      </c>
      <c r="D710" s="368">
        <f>IFERROR((INDEX(METADATA!$T$2:$T$20,MATCH(B710,METADATA!$S$2:$S$20,0))),0)</f>
        <v>0</v>
      </c>
      <c r="E710" s="312" t="str">
        <f t="shared" si="44"/>
        <v>LO</v>
      </c>
      <c r="F710" s="369">
        <f>VLOOKUP(C710,METADATA!$A$5:$H$29,IF(E710="HI",2,IF(E710="LO",6,10))+IF(D710=1,2,IF(D710=7,1,(IF(WEEKDAY(B710)=1,2,IF(WEEKDAY(B710)=7,1,0))))))</f>
        <v>2</v>
      </c>
      <c r="G710" s="369">
        <f>VLOOKUP(C710,METADATA!$J$5:$Q$29,IF(E710="HI",2,IF(E710="LO",6,10))+IF(D710=1,2,IF(D710=7,1,(IF(WEEKDAY(B710)=1,2,IF(WEEKDAY(B710)=7,1,0))))))</f>
        <v>2</v>
      </c>
      <c r="H710" s="370">
        <v>10669.695098876953</v>
      </c>
      <c r="I710" s="370">
        <v>1715.6149883270264</v>
      </c>
      <c r="M710" s="371">
        <f t="shared" si="45"/>
        <v>10806.744574161601</v>
      </c>
      <c r="N710" s="329">
        <f t="shared" si="46"/>
        <v>0</v>
      </c>
      <c r="T710" s="331">
        <v>0</v>
      </c>
      <c r="U710" s="328">
        <f>VLOOKUP(C710,METADATA!$J$5:$Q$29,IF(E710="HI",2,IF(E710="LO",6,10))+IF(T710=1,2,IF(D710=7,1,(IF(WEEKDAY(B710)=1,2,IF(WEEKDAY(B710)=7,1,0))))))</f>
        <v>2</v>
      </c>
      <c r="V710" s="328">
        <f>VLOOKUP(C710,METADATA!$A$5:$H$29,IF(E710="HI",2,IF(E710="LO",6,10))+IF(T710=1,2,IF(D710=7,1,(IF(WEEKDAY(B710)=1,2,IF(WEEKDAY(B710)=7,1,0))))))</f>
        <v>2</v>
      </c>
    </row>
    <row r="711" spans="2:22">
      <c r="B711" s="318">
        <f t="shared" si="43"/>
        <v>46142</v>
      </c>
      <c r="C711" s="312">
        <v>11</v>
      </c>
      <c r="D711" s="368">
        <f>IFERROR((INDEX(METADATA!$T$2:$T$20,MATCH(B711,METADATA!$S$2:$S$20,0))),0)</f>
        <v>0</v>
      </c>
      <c r="E711" s="312" t="str">
        <f t="shared" si="44"/>
        <v>LO</v>
      </c>
      <c r="F711" s="369">
        <f>VLOOKUP(C711,METADATA!$A$5:$H$29,IF(E711="HI",2,IF(E711="LO",6,10))+IF(D711=1,2,IF(D711=7,1,(IF(WEEKDAY(B711)=1,2,IF(WEEKDAY(B711)=7,1,0))))))</f>
        <v>2</v>
      </c>
      <c r="G711" s="369">
        <f>VLOOKUP(C711,METADATA!$J$5:$Q$29,IF(E711="HI",2,IF(E711="LO",6,10))+IF(D711=1,2,IF(D711=7,1,(IF(WEEKDAY(B711)=1,2,IF(WEEKDAY(B711)=7,1,0))))))</f>
        <v>2</v>
      </c>
      <c r="H711" s="370">
        <v>13060.66015625</v>
      </c>
      <c r="I711" s="370">
        <v>2683.2920265197754</v>
      </c>
      <c r="M711" s="371">
        <f t="shared" si="45"/>
        <v>13333.450409276697</v>
      </c>
      <c r="N711" s="329">
        <f t="shared" si="46"/>
        <v>0</v>
      </c>
      <c r="T711" s="331">
        <v>0</v>
      </c>
      <c r="U711" s="328">
        <f>VLOOKUP(C711,METADATA!$J$5:$Q$29,IF(E711="HI",2,IF(E711="LO",6,10))+IF(T711=1,2,IF(D711=7,1,(IF(WEEKDAY(B711)=1,2,IF(WEEKDAY(B711)=7,1,0))))))</f>
        <v>2</v>
      </c>
      <c r="V711" s="328">
        <f>VLOOKUP(C711,METADATA!$A$5:$H$29,IF(E711="HI",2,IF(E711="LO",6,10))+IF(T711=1,2,IF(D711=7,1,(IF(WEEKDAY(B711)=1,2,IF(WEEKDAY(B711)=7,1,0))))))</f>
        <v>2</v>
      </c>
    </row>
    <row r="712" spans="2:22">
      <c r="B712" s="318">
        <f t="shared" si="43"/>
        <v>46142</v>
      </c>
      <c r="C712" s="312">
        <v>12</v>
      </c>
      <c r="D712" s="368">
        <f>IFERROR((INDEX(METADATA!$T$2:$T$20,MATCH(B712,METADATA!$S$2:$S$20,0))),0)</f>
        <v>0</v>
      </c>
      <c r="E712" s="312" t="str">
        <f t="shared" si="44"/>
        <v>LO</v>
      </c>
      <c r="F712" s="369">
        <f>VLOOKUP(C712,METADATA!$A$5:$H$29,IF(E712="HI",2,IF(E712="LO",6,10))+IF(D712=1,2,IF(D712=7,1,(IF(WEEKDAY(B712)=1,2,IF(WEEKDAY(B712)=7,1,0))))))</f>
        <v>2</v>
      </c>
      <c r="G712" s="369">
        <f>VLOOKUP(C712,METADATA!$J$5:$Q$29,IF(E712="HI",2,IF(E712="LO",6,10))+IF(D712=1,2,IF(D712=7,1,(IF(WEEKDAY(B712)=1,2,IF(WEEKDAY(B712)=7,1,0))))))</f>
        <v>2</v>
      </c>
      <c r="H712" s="370">
        <v>12359.73486328125</v>
      </c>
      <c r="I712" s="370">
        <v>2512.7319261431694</v>
      </c>
      <c r="M712" s="371">
        <f t="shared" si="45"/>
        <v>12612.567844149309</v>
      </c>
      <c r="N712" s="329">
        <f t="shared" si="46"/>
        <v>0</v>
      </c>
      <c r="T712" s="331">
        <v>0</v>
      </c>
      <c r="U712" s="328">
        <f>VLOOKUP(C712,METADATA!$J$5:$Q$29,IF(E712="HI",2,IF(E712="LO",6,10))+IF(T712=1,2,IF(D712=7,1,(IF(WEEKDAY(B712)=1,2,IF(WEEKDAY(B712)=7,1,0))))))</f>
        <v>2</v>
      </c>
      <c r="V712" s="328">
        <f>VLOOKUP(C712,METADATA!$A$5:$H$29,IF(E712="HI",2,IF(E712="LO",6,10))+IF(T712=1,2,IF(D712=7,1,(IF(WEEKDAY(B712)=1,2,IF(WEEKDAY(B712)=7,1,0))))))</f>
        <v>2</v>
      </c>
    </row>
    <row r="713" spans="2:22">
      <c r="B713" s="318">
        <f t="shared" si="43"/>
        <v>46142</v>
      </c>
      <c r="C713" s="312">
        <v>13</v>
      </c>
      <c r="D713" s="368">
        <f>IFERROR((INDEX(METADATA!$T$2:$T$20,MATCH(B713,METADATA!$S$2:$S$20,0))),0)</f>
        <v>0</v>
      </c>
      <c r="E713" s="312" t="str">
        <f t="shared" si="44"/>
        <v>LO</v>
      </c>
      <c r="F713" s="369">
        <f>VLOOKUP(C713,METADATA!$A$5:$H$29,IF(E713="HI",2,IF(E713="LO",6,10))+IF(D713=1,2,IF(D713=7,1,(IF(WEEKDAY(B713)=1,2,IF(WEEKDAY(B713)=7,1,0))))))</f>
        <v>2</v>
      </c>
      <c r="G713" s="369">
        <f>VLOOKUP(C713,METADATA!$J$5:$Q$29,IF(E713="HI",2,IF(E713="LO",6,10))+IF(D713=1,2,IF(D713=7,1,(IF(WEEKDAY(B713)=1,2,IF(WEEKDAY(B713)=7,1,0))))))</f>
        <v>2</v>
      </c>
      <c r="H713" s="370">
        <v>12802.660095214844</v>
      </c>
      <c r="I713" s="370">
        <v>2461.4360873699188</v>
      </c>
      <c r="M713" s="371">
        <f t="shared" si="45"/>
        <v>13037.130555678787</v>
      </c>
      <c r="N713" s="329">
        <f t="shared" si="46"/>
        <v>0</v>
      </c>
      <c r="T713" s="331">
        <v>0</v>
      </c>
      <c r="U713" s="328">
        <f>VLOOKUP(C713,METADATA!$J$5:$Q$29,IF(E713="HI",2,IF(E713="LO",6,10))+IF(T713=1,2,IF(D713=7,1,(IF(WEEKDAY(B713)=1,2,IF(WEEKDAY(B713)=7,1,0))))))</f>
        <v>2</v>
      </c>
      <c r="V713" s="328">
        <f>VLOOKUP(C713,METADATA!$A$5:$H$29,IF(E713="HI",2,IF(E713="LO",6,10))+IF(T713=1,2,IF(D713=7,1,(IF(WEEKDAY(B713)=1,2,IF(WEEKDAY(B713)=7,1,0))))))</f>
        <v>2</v>
      </c>
    </row>
    <row r="714" spans="2:22">
      <c r="B714" s="318">
        <f t="shared" si="43"/>
        <v>46142</v>
      </c>
      <c r="C714" s="312">
        <v>14</v>
      </c>
      <c r="D714" s="368">
        <f>IFERROR((INDEX(METADATA!$T$2:$T$20,MATCH(B714,METADATA!$S$2:$S$20,0))),0)</f>
        <v>0</v>
      </c>
      <c r="E714" s="312" t="str">
        <f t="shared" si="44"/>
        <v>LO</v>
      </c>
      <c r="F714" s="369">
        <f>VLOOKUP(C714,METADATA!$A$5:$H$29,IF(E714="HI",2,IF(E714="LO",6,10))+IF(D714=1,2,IF(D714=7,1,(IF(WEEKDAY(B714)=1,2,IF(WEEKDAY(B714)=7,1,0))))))</f>
        <v>2</v>
      </c>
      <c r="G714" s="369">
        <f>VLOOKUP(C714,METADATA!$J$5:$Q$29,IF(E714="HI",2,IF(E714="LO",6,10))+IF(D714=1,2,IF(D714=7,1,(IF(WEEKDAY(B714)=1,2,IF(WEEKDAY(B714)=7,1,0))))))</f>
        <v>2</v>
      </c>
      <c r="H714" s="370">
        <v>13595.210144042969</v>
      </c>
      <c r="I714" s="370">
        <v>2821.5610389709473</v>
      </c>
      <c r="M714" s="371">
        <f t="shared" si="45"/>
        <v>13884.917916837954</v>
      </c>
      <c r="N714" s="329">
        <f t="shared" si="46"/>
        <v>0</v>
      </c>
      <c r="T714" s="331">
        <v>0</v>
      </c>
      <c r="U714" s="328">
        <f>VLOOKUP(C714,METADATA!$J$5:$Q$29,IF(E714="HI",2,IF(E714="LO",6,10))+IF(T714=1,2,IF(D714=7,1,(IF(WEEKDAY(B714)=1,2,IF(WEEKDAY(B714)=7,1,0))))))</f>
        <v>2</v>
      </c>
      <c r="V714" s="328">
        <f>VLOOKUP(C714,METADATA!$A$5:$H$29,IF(E714="HI",2,IF(E714="LO",6,10))+IF(T714=1,2,IF(D714=7,1,(IF(WEEKDAY(B714)=1,2,IF(WEEKDAY(B714)=7,1,0))))))</f>
        <v>2</v>
      </c>
    </row>
    <row r="715" spans="2:22">
      <c r="B715" s="318">
        <f t="shared" si="43"/>
        <v>46142</v>
      </c>
      <c r="C715" s="312">
        <v>15</v>
      </c>
      <c r="D715" s="368">
        <f>IFERROR((INDEX(METADATA!$T$2:$T$20,MATCH(B715,METADATA!$S$2:$S$20,0))),0)</f>
        <v>0</v>
      </c>
      <c r="E715" s="312" t="str">
        <f t="shared" si="44"/>
        <v>LO</v>
      </c>
      <c r="F715" s="369">
        <f>VLOOKUP(C715,METADATA!$A$5:$H$29,IF(E715="HI",2,IF(E715="LO",6,10))+IF(D715=1,2,IF(D715=7,1,(IF(WEEKDAY(B715)=1,2,IF(WEEKDAY(B715)=7,1,0))))))</f>
        <v>2</v>
      </c>
      <c r="G715" s="369">
        <f>VLOOKUP(C715,METADATA!$J$5:$Q$29,IF(E715="HI",2,IF(E715="LO",6,10))+IF(D715=1,2,IF(D715=7,1,(IF(WEEKDAY(B715)=1,2,IF(WEEKDAY(B715)=7,1,0))))))</f>
        <v>2</v>
      </c>
      <c r="H715" s="370">
        <v>13586.049926757813</v>
      </c>
      <c r="I715" s="370">
        <v>2816.6894340515137</v>
      </c>
      <c r="M715" s="371">
        <f t="shared" si="45"/>
        <v>13874.959170399508</v>
      </c>
      <c r="N715" s="329">
        <f t="shared" si="46"/>
        <v>0</v>
      </c>
      <c r="T715" s="331">
        <v>0</v>
      </c>
      <c r="U715" s="328">
        <f>VLOOKUP(C715,METADATA!$J$5:$Q$29,IF(E715="HI",2,IF(E715="LO",6,10))+IF(T715=1,2,IF(D715=7,1,(IF(WEEKDAY(B715)=1,2,IF(WEEKDAY(B715)=7,1,0))))))</f>
        <v>2</v>
      </c>
      <c r="V715" s="328">
        <f>VLOOKUP(C715,METADATA!$A$5:$H$29,IF(E715="HI",2,IF(E715="LO",6,10))+IF(T715=1,2,IF(D715=7,1,(IF(WEEKDAY(B715)=1,2,IF(WEEKDAY(B715)=7,1,0))))))</f>
        <v>2</v>
      </c>
    </row>
    <row r="716" spans="2:22">
      <c r="B716" s="318">
        <f t="shared" si="43"/>
        <v>46142</v>
      </c>
      <c r="C716" s="312">
        <v>16</v>
      </c>
      <c r="D716" s="368">
        <f>IFERROR((INDEX(METADATA!$T$2:$T$20,MATCH(B716,METADATA!$S$2:$S$20,0))),0)</f>
        <v>0</v>
      </c>
      <c r="E716" s="312" t="str">
        <f t="shared" si="44"/>
        <v>LO</v>
      </c>
      <c r="F716" s="369">
        <f>VLOOKUP(C716,METADATA!$A$5:$H$29,IF(E716="HI",2,IF(E716="LO",6,10))+IF(D716=1,2,IF(D716=7,1,(IF(WEEKDAY(B716)=1,2,IF(WEEKDAY(B716)=7,1,0))))))</f>
        <v>2</v>
      </c>
      <c r="G716" s="369">
        <f>VLOOKUP(C716,METADATA!$J$5:$Q$29,IF(E716="HI",2,IF(E716="LO",6,10))+IF(D716=1,2,IF(D716=7,1,(IF(WEEKDAY(B716)=1,2,IF(WEEKDAY(B716)=7,1,0))))))</f>
        <v>2</v>
      </c>
      <c r="H716" s="370">
        <v>13485.100158691406</v>
      </c>
      <c r="I716" s="370">
        <v>2784.5274505615234</v>
      </c>
      <c r="M716" s="371">
        <f t="shared" si="45"/>
        <v>13769.586755341266</v>
      </c>
      <c r="N716" s="329">
        <f t="shared" si="46"/>
        <v>0</v>
      </c>
      <c r="T716" s="331">
        <v>0</v>
      </c>
      <c r="U716" s="328">
        <f>VLOOKUP(C716,METADATA!$J$5:$Q$29,IF(E716="HI",2,IF(E716="LO",6,10))+IF(T716=1,2,IF(D716=7,1,(IF(WEEKDAY(B716)=1,2,IF(WEEKDAY(B716)=7,1,0))))))</f>
        <v>2</v>
      </c>
      <c r="V716" s="328">
        <f>VLOOKUP(C716,METADATA!$A$5:$H$29,IF(E716="HI",2,IF(E716="LO",6,10))+IF(T716=1,2,IF(D716=7,1,(IF(WEEKDAY(B716)=1,2,IF(WEEKDAY(B716)=7,1,0))))))</f>
        <v>2</v>
      </c>
    </row>
    <row r="717" spans="2:22">
      <c r="B717" s="318">
        <f t="shared" si="43"/>
        <v>46142</v>
      </c>
      <c r="C717" s="312">
        <v>17</v>
      </c>
      <c r="D717" s="368">
        <f>IFERROR((INDEX(METADATA!$T$2:$T$20,MATCH(B717,METADATA!$S$2:$S$20,0))),0)</f>
        <v>0</v>
      </c>
      <c r="E717" s="312" t="str">
        <f t="shared" si="44"/>
        <v>LO</v>
      </c>
      <c r="F717" s="369">
        <f>VLOOKUP(C717,METADATA!$A$5:$H$29,IF(E717="HI",2,IF(E717="LO",6,10))+IF(D717=1,2,IF(D717=7,1,(IF(WEEKDAY(B717)=1,2,IF(WEEKDAY(B717)=7,1,0))))))</f>
        <v>2</v>
      </c>
      <c r="G717" s="369">
        <f>VLOOKUP(C717,METADATA!$J$5:$Q$29,IF(E717="HI",2,IF(E717="LO",6,10))+IF(D717=1,2,IF(D717=7,1,(IF(WEEKDAY(B717)=1,2,IF(WEEKDAY(B717)=7,1,0))))))</f>
        <v>2</v>
      </c>
      <c r="H717" s="370">
        <v>13472.829772949219</v>
      </c>
      <c r="I717" s="370">
        <v>2697.4570922851563</v>
      </c>
      <c r="M717" s="371">
        <f t="shared" si="45"/>
        <v>13740.211674336986</v>
      </c>
      <c r="N717" s="329">
        <f t="shared" si="46"/>
        <v>0</v>
      </c>
      <c r="T717" s="331">
        <v>0</v>
      </c>
      <c r="U717" s="328">
        <f>VLOOKUP(C717,METADATA!$J$5:$Q$29,IF(E717="HI",2,IF(E717="LO",6,10))+IF(T717=1,2,IF(D717=7,1,(IF(WEEKDAY(B717)=1,2,IF(WEEKDAY(B717)=7,1,0))))))</f>
        <v>2</v>
      </c>
      <c r="V717" s="328">
        <f>VLOOKUP(C717,METADATA!$A$5:$H$29,IF(E717="HI",2,IF(E717="LO",6,10))+IF(T717=1,2,IF(D717=7,1,(IF(WEEKDAY(B717)=1,2,IF(WEEKDAY(B717)=7,1,0))))))</f>
        <v>2</v>
      </c>
    </row>
    <row r="718" spans="2:22">
      <c r="B718" s="318">
        <f t="shared" si="43"/>
        <v>46142</v>
      </c>
      <c r="C718" s="312">
        <v>18</v>
      </c>
      <c r="D718" s="368">
        <f>IFERROR((INDEX(METADATA!$T$2:$T$20,MATCH(B718,METADATA!$S$2:$S$20,0))),0)</f>
        <v>0</v>
      </c>
      <c r="E718" s="312" t="str">
        <f t="shared" si="44"/>
        <v>LO</v>
      </c>
      <c r="F718" s="369">
        <f>VLOOKUP(C718,METADATA!$A$5:$H$29,IF(E718="HI",2,IF(E718="LO",6,10))+IF(D718=1,2,IF(D718=7,1,(IF(WEEKDAY(B718)=1,2,IF(WEEKDAY(B718)=7,1,0))))))</f>
        <v>1</v>
      </c>
      <c r="G718" s="369">
        <f>VLOOKUP(C718,METADATA!$J$5:$Q$29,IF(E718="HI",2,IF(E718="LO",6,10))+IF(D718=1,2,IF(D718=7,1,(IF(WEEKDAY(B718)=1,2,IF(WEEKDAY(B718)=7,1,0))))))</f>
        <v>1</v>
      </c>
      <c r="H718" s="370">
        <v>13564.169799804688</v>
      </c>
      <c r="I718" s="370">
        <v>2714.7629356384277</v>
      </c>
      <c r="M718" s="371">
        <f t="shared" si="45"/>
        <v>13833.171731553459</v>
      </c>
      <c r="N718" s="329">
        <f t="shared" si="46"/>
        <v>0</v>
      </c>
      <c r="T718" s="331">
        <v>0</v>
      </c>
      <c r="U718" s="328">
        <f>VLOOKUP(C718,METADATA!$J$5:$Q$29,IF(E718="HI",2,IF(E718="LO",6,10))+IF(T718=1,2,IF(D718=7,1,(IF(WEEKDAY(B718)=1,2,IF(WEEKDAY(B718)=7,1,0))))))</f>
        <v>1</v>
      </c>
      <c r="V718" s="328">
        <f>VLOOKUP(C718,METADATA!$A$5:$H$29,IF(E718="HI",2,IF(E718="LO",6,10))+IF(T718=1,2,IF(D718=7,1,(IF(WEEKDAY(B718)=1,2,IF(WEEKDAY(B718)=7,1,0))))))</f>
        <v>1</v>
      </c>
    </row>
    <row r="719" spans="2:22">
      <c r="B719" s="318">
        <f t="shared" si="43"/>
        <v>46142</v>
      </c>
      <c r="C719" s="312">
        <v>19</v>
      </c>
      <c r="D719" s="368">
        <f>IFERROR((INDEX(METADATA!$T$2:$T$20,MATCH(B719,METADATA!$S$2:$S$20,0))),0)</f>
        <v>0</v>
      </c>
      <c r="E719" s="312" t="str">
        <f t="shared" si="44"/>
        <v>LO</v>
      </c>
      <c r="F719" s="369">
        <f>VLOOKUP(C719,METADATA!$A$5:$H$29,IF(E719="HI",2,IF(E719="LO",6,10))+IF(D719=1,2,IF(D719=7,1,(IF(WEEKDAY(B719)=1,2,IF(WEEKDAY(B719)=7,1,0))))))</f>
        <v>1</v>
      </c>
      <c r="G719" s="369">
        <f>VLOOKUP(C719,METADATA!$J$5:$Q$29,IF(E719="HI",2,IF(E719="LO",6,10))+IF(D719=1,2,IF(D719=7,1,(IF(WEEKDAY(B719)=1,2,IF(WEEKDAY(B719)=7,1,0))))))</f>
        <v>1</v>
      </c>
      <c r="H719" s="370">
        <v>13504.065124511719</v>
      </c>
      <c r="I719" s="370">
        <v>2786.5015487670898</v>
      </c>
      <c r="M719" s="371">
        <f t="shared" si="45"/>
        <v>13788.55923468203</v>
      </c>
      <c r="N719" s="329">
        <f t="shared" si="46"/>
        <v>0</v>
      </c>
      <c r="T719" s="331">
        <v>0</v>
      </c>
      <c r="U719" s="328">
        <f>VLOOKUP(C719,METADATA!$J$5:$Q$29,IF(E719="HI",2,IF(E719="LO",6,10))+IF(T719=1,2,IF(D719=7,1,(IF(WEEKDAY(B719)=1,2,IF(WEEKDAY(B719)=7,1,0))))))</f>
        <v>1</v>
      </c>
      <c r="V719" s="328">
        <f>VLOOKUP(C719,METADATA!$A$5:$H$29,IF(E719="HI",2,IF(E719="LO",6,10))+IF(T719=1,2,IF(D719=7,1,(IF(WEEKDAY(B719)=1,2,IF(WEEKDAY(B719)=7,1,0))))))</f>
        <v>1</v>
      </c>
    </row>
    <row r="720" spans="2:22">
      <c r="B720" s="318">
        <f t="shared" si="43"/>
        <v>46142</v>
      </c>
      <c r="C720" s="312">
        <v>20</v>
      </c>
      <c r="D720" s="368">
        <f>IFERROR((INDEX(METADATA!$T$2:$T$20,MATCH(B720,METADATA!$S$2:$S$20,0))),0)</f>
        <v>0</v>
      </c>
      <c r="E720" s="312" t="str">
        <f t="shared" si="44"/>
        <v>LO</v>
      </c>
      <c r="F720" s="369">
        <f>VLOOKUP(C720,METADATA!$A$5:$H$29,IF(E720="HI",2,IF(E720="LO",6,10))+IF(D720=1,2,IF(D720=7,1,(IF(WEEKDAY(B720)=1,2,IF(WEEKDAY(B720)=7,1,0))))))</f>
        <v>1</v>
      </c>
      <c r="G720" s="369">
        <f>VLOOKUP(C720,METADATA!$J$5:$Q$29,IF(E720="HI",2,IF(E720="LO",6,10))+IF(D720=1,2,IF(D720=7,1,(IF(WEEKDAY(B720)=1,2,IF(WEEKDAY(B720)=7,1,0))))))</f>
        <v>1</v>
      </c>
      <c r="H720" s="370">
        <v>13355.649536132813</v>
      </c>
      <c r="I720" s="370">
        <v>2723.2755174636841</v>
      </c>
      <c r="M720" s="371">
        <f t="shared" si="45"/>
        <v>13630.466025636164</v>
      </c>
      <c r="N720" s="329">
        <f t="shared" si="46"/>
        <v>0</v>
      </c>
      <c r="T720" s="331">
        <v>0</v>
      </c>
      <c r="U720" s="328">
        <f>VLOOKUP(C720,METADATA!$J$5:$Q$29,IF(E720="HI",2,IF(E720="LO",6,10))+IF(T720=1,2,IF(D720=7,1,(IF(WEEKDAY(B720)=1,2,IF(WEEKDAY(B720)=7,1,0))))))</f>
        <v>1</v>
      </c>
      <c r="V720" s="328">
        <f>VLOOKUP(C720,METADATA!$A$5:$H$29,IF(E720="HI",2,IF(E720="LO",6,10))+IF(T720=1,2,IF(D720=7,1,(IF(WEEKDAY(B720)=1,2,IF(WEEKDAY(B720)=7,1,0))))))</f>
        <v>1</v>
      </c>
    </row>
    <row r="721" spans="2:22">
      <c r="B721" s="318">
        <f t="shared" si="43"/>
        <v>46142</v>
      </c>
      <c r="C721" s="312">
        <v>21</v>
      </c>
      <c r="D721" s="368">
        <f>IFERROR((INDEX(METADATA!$T$2:$T$20,MATCH(B721,METADATA!$S$2:$S$20,0))),0)</f>
        <v>0</v>
      </c>
      <c r="E721" s="312" t="str">
        <f t="shared" si="44"/>
        <v>LO</v>
      </c>
      <c r="F721" s="369">
        <f>VLOOKUP(C721,METADATA!$A$5:$H$29,IF(E721="HI",2,IF(E721="LO",6,10))+IF(D721=1,2,IF(D721=7,1,(IF(WEEKDAY(B721)=1,2,IF(WEEKDAY(B721)=7,1,0))))))</f>
        <v>2</v>
      </c>
      <c r="G721" s="369">
        <f>VLOOKUP(C721,METADATA!$J$5:$Q$29,IF(E721="HI",2,IF(E721="LO",6,10))+IF(D721=1,2,IF(D721=7,1,(IF(WEEKDAY(B721)=1,2,IF(WEEKDAY(B721)=7,1,0))))))</f>
        <v>2</v>
      </c>
      <c r="H721" s="370">
        <v>13212.475280761719</v>
      </c>
      <c r="I721" s="370">
        <v>2621.6020011901855</v>
      </c>
      <c r="M721" s="371">
        <f t="shared" si="45"/>
        <v>13470.051970849401</v>
      </c>
      <c r="N721" s="329">
        <f t="shared" si="46"/>
        <v>0</v>
      </c>
      <c r="T721" s="331">
        <v>0</v>
      </c>
      <c r="U721" s="328">
        <f>VLOOKUP(C721,METADATA!$J$5:$Q$29,IF(E721="HI",2,IF(E721="LO",6,10))+IF(T721=1,2,IF(D721=7,1,(IF(WEEKDAY(B721)=1,2,IF(WEEKDAY(B721)=7,1,0))))))</f>
        <v>2</v>
      </c>
      <c r="V721" s="328">
        <f>VLOOKUP(C721,METADATA!$A$5:$H$29,IF(E721="HI",2,IF(E721="LO",6,10))+IF(T721=1,2,IF(D721=7,1,(IF(WEEKDAY(B721)=1,2,IF(WEEKDAY(B721)=7,1,0))))))</f>
        <v>2</v>
      </c>
    </row>
    <row r="722" spans="2:22">
      <c r="B722" s="318">
        <f t="shared" si="43"/>
        <v>46142</v>
      </c>
      <c r="C722" s="312">
        <v>22</v>
      </c>
      <c r="D722" s="368">
        <f>IFERROR((INDEX(METADATA!$T$2:$T$20,MATCH(B722,METADATA!$S$2:$S$20,0))),0)</f>
        <v>0</v>
      </c>
      <c r="E722" s="312" t="str">
        <f t="shared" si="44"/>
        <v>LO</v>
      </c>
      <c r="F722" s="369">
        <f>VLOOKUP(C722,METADATA!$A$5:$H$29,IF(E722="HI",2,IF(E722="LO",6,10))+IF(D722=1,2,IF(D722=7,1,(IF(WEEKDAY(B722)=1,2,IF(WEEKDAY(B722)=7,1,0))))))</f>
        <v>3</v>
      </c>
      <c r="G722" s="369">
        <f>VLOOKUP(C722,METADATA!$J$5:$Q$29,IF(E722="HI",2,IF(E722="LO",6,10))+IF(D722=1,2,IF(D722=7,1,(IF(WEEKDAY(B722)=1,2,IF(WEEKDAY(B722)=7,1,0))))))</f>
        <v>3</v>
      </c>
      <c r="H722" s="370">
        <v>12947.829772949219</v>
      </c>
      <c r="I722" s="370">
        <v>2474.3044691085815</v>
      </c>
      <c r="M722" s="371">
        <f t="shared" si="45"/>
        <v>13182.127234825224</v>
      </c>
      <c r="N722" s="329">
        <f t="shared" si="46"/>
        <v>0</v>
      </c>
      <c r="T722" s="331">
        <v>0</v>
      </c>
      <c r="U722" s="328">
        <f>VLOOKUP(C722,METADATA!$J$5:$Q$29,IF(E722="HI",2,IF(E722="LO",6,10))+IF(T722=1,2,IF(D722=7,1,(IF(WEEKDAY(B722)=1,2,IF(WEEKDAY(B722)=7,1,0))))))</f>
        <v>3</v>
      </c>
      <c r="V722" s="328">
        <f>VLOOKUP(C722,METADATA!$A$5:$H$29,IF(E722="HI",2,IF(E722="LO",6,10))+IF(T722=1,2,IF(D722=7,1,(IF(WEEKDAY(B722)=1,2,IF(WEEKDAY(B722)=7,1,0))))))</f>
        <v>3</v>
      </c>
    </row>
    <row r="723" spans="2:22">
      <c r="B723" s="318">
        <f t="shared" si="43"/>
        <v>46142</v>
      </c>
      <c r="C723" s="312">
        <v>23</v>
      </c>
      <c r="D723" s="368">
        <f>IFERROR((INDEX(METADATA!$T$2:$T$20,MATCH(B723,METADATA!$S$2:$S$20,0))),0)</f>
        <v>0</v>
      </c>
      <c r="E723" s="312" t="str">
        <f t="shared" si="44"/>
        <v>LO</v>
      </c>
      <c r="F723" s="369">
        <f>VLOOKUP(C723,METADATA!$A$5:$H$29,IF(E723="HI",2,IF(E723="LO",6,10))+IF(D723=1,2,IF(D723=7,1,(IF(WEEKDAY(B723)=1,2,IF(WEEKDAY(B723)=7,1,0))))))</f>
        <v>3</v>
      </c>
      <c r="G723" s="369">
        <f>VLOOKUP(C723,METADATA!$J$5:$Q$29,IF(E723="HI",2,IF(E723="LO",6,10))+IF(D723=1,2,IF(D723=7,1,(IF(WEEKDAY(B723)=1,2,IF(WEEKDAY(B723)=7,1,0))))))</f>
        <v>3</v>
      </c>
      <c r="H723" s="370">
        <v>13085.310485839844</v>
      </c>
      <c r="I723" s="370">
        <v>2539.5051229000092</v>
      </c>
      <c r="M723" s="371">
        <f t="shared" si="45"/>
        <v>13329.457482585913</v>
      </c>
      <c r="N723" s="329">
        <f t="shared" si="46"/>
        <v>0</v>
      </c>
      <c r="T723" s="331">
        <v>0</v>
      </c>
      <c r="U723" s="328">
        <f>VLOOKUP(C723,METADATA!$J$5:$Q$29,IF(E723="HI",2,IF(E723="LO",6,10))+IF(T723=1,2,IF(D723=7,1,(IF(WEEKDAY(B723)=1,2,IF(WEEKDAY(B723)=7,1,0))))))</f>
        <v>3</v>
      </c>
      <c r="V723" s="328">
        <f>VLOOKUP(C723,METADATA!$A$5:$H$29,IF(E723="HI",2,IF(E723="LO",6,10))+IF(T723=1,2,IF(D723=7,1,(IF(WEEKDAY(B723)=1,2,IF(WEEKDAY(B723)=7,1,0))))))</f>
        <v>3</v>
      </c>
    </row>
    <row r="724" spans="2:22">
      <c r="B724" s="318">
        <f t="shared" si="43"/>
        <v>46143</v>
      </c>
      <c r="C724" s="312">
        <v>0</v>
      </c>
      <c r="D724" s="368">
        <f>IFERROR((INDEX(METADATA!$T$2:$T$20,MATCH(B724,METADATA!$S$2:$S$20,0))),0)</f>
        <v>7</v>
      </c>
      <c r="E724" s="312" t="str">
        <f t="shared" si="44"/>
        <v>LO</v>
      </c>
      <c r="F724" s="369">
        <f>VLOOKUP(C724,METADATA!$A$5:$H$29,IF(E724="HI",2,IF(E724="LO",6,10))+IF(D724=1,2,IF(D724=7,1,(IF(WEEKDAY(B724)=1,2,IF(WEEKDAY(B724)=7,1,0))))))</f>
        <v>3</v>
      </c>
      <c r="G724" s="369">
        <f>VLOOKUP(C724,METADATA!$J$5:$Q$29,IF(E724="HI",2,IF(E724="LO",6,10))+IF(D724=1,2,IF(D724=7,1,(IF(WEEKDAY(B724)=1,2,IF(WEEKDAY(B724)=7,1,0))))))</f>
        <v>3</v>
      </c>
      <c r="H724" s="370">
        <v>13189.075256347656</v>
      </c>
      <c r="I724" s="370">
        <v>2748.4320631027222</v>
      </c>
      <c r="M724" s="371">
        <f t="shared" si="45"/>
        <v>13472.400859649815</v>
      </c>
      <c r="N724" s="329">
        <f t="shared" si="46"/>
        <v>0</v>
      </c>
      <c r="T724" s="331">
        <v>0</v>
      </c>
      <c r="U724" s="328">
        <f>VLOOKUP(C724,METADATA!$J$5:$Q$29,IF(E724="HI",2,IF(E724="LO",6,10))+IF(T724=1,2,IF(D724=7,1,(IF(WEEKDAY(B724)=1,2,IF(WEEKDAY(B724)=7,1,0))))))</f>
        <v>3</v>
      </c>
      <c r="V724" s="328">
        <f>VLOOKUP(C724,METADATA!$A$5:$H$29,IF(E724="HI",2,IF(E724="LO",6,10))+IF(T724=1,2,IF(D724=7,1,(IF(WEEKDAY(B724)=1,2,IF(WEEKDAY(B724)=7,1,0))))))</f>
        <v>3</v>
      </c>
    </row>
    <row r="725" spans="2:22">
      <c r="B725" s="318">
        <f t="shared" si="43"/>
        <v>46143</v>
      </c>
      <c r="C725" s="312">
        <v>1</v>
      </c>
      <c r="D725" s="368">
        <f>IFERROR((INDEX(METADATA!$T$2:$T$20,MATCH(B725,METADATA!$S$2:$S$20,0))),0)</f>
        <v>7</v>
      </c>
      <c r="E725" s="312" t="str">
        <f t="shared" si="44"/>
        <v>LO</v>
      </c>
      <c r="F725" s="369">
        <f>VLOOKUP(C725,METADATA!$A$5:$H$29,IF(E725="HI",2,IF(E725="LO",6,10))+IF(D725=1,2,IF(D725=7,1,(IF(WEEKDAY(B725)=1,2,IF(WEEKDAY(B725)=7,1,0))))))</f>
        <v>3</v>
      </c>
      <c r="G725" s="369">
        <f>VLOOKUP(C725,METADATA!$J$5:$Q$29,IF(E725="HI",2,IF(E725="LO",6,10))+IF(D725=1,2,IF(D725=7,1,(IF(WEEKDAY(B725)=1,2,IF(WEEKDAY(B725)=7,1,0))))))</f>
        <v>3</v>
      </c>
      <c r="H725" s="370">
        <v>12570.130126953125</v>
      </c>
      <c r="I725" s="370">
        <v>2484.058543920517</v>
      </c>
      <c r="M725" s="371">
        <f t="shared" si="45"/>
        <v>12813.224350574648</v>
      </c>
      <c r="N725" s="329">
        <f t="shared" si="46"/>
        <v>0</v>
      </c>
      <c r="T725" s="331">
        <v>0</v>
      </c>
      <c r="U725" s="328">
        <f>VLOOKUP(C725,METADATA!$J$5:$Q$29,IF(E725="HI",2,IF(E725="LO",6,10))+IF(T725=1,2,IF(D725=7,1,(IF(WEEKDAY(B725)=1,2,IF(WEEKDAY(B725)=7,1,0))))))</f>
        <v>3</v>
      </c>
      <c r="V725" s="328">
        <f>VLOOKUP(C725,METADATA!$A$5:$H$29,IF(E725="HI",2,IF(E725="LO",6,10))+IF(T725=1,2,IF(D725=7,1,(IF(WEEKDAY(B725)=1,2,IF(WEEKDAY(B725)=7,1,0))))))</f>
        <v>3</v>
      </c>
    </row>
    <row r="726" spans="2:22">
      <c r="B726" s="318">
        <f t="shared" si="43"/>
        <v>46143</v>
      </c>
      <c r="C726" s="312">
        <v>2</v>
      </c>
      <c r="D726" s="368">
        <f>IFERROR((INDEX(METADATA!$T$2:$T$20,MATCH(B726,METADATA!$S$2:$S$20,0))),0)</f>
        <v>7</v>
      </c>
      <c r="E726" s="312" t="str">
        <f t="shared" si="44"/>
        <v>LO</v>
      </c>
      <c r="F726" s="369">
        <f>VLOOKUP(C726,METADATA!$A$5:$H$29,IF(E726="HI",2,IF(E726="LO",6,10))+IF(D726=1,2,IF(D726=7,1,(IF(WEEKDAY(B726)=1,2,IF(WEEKDAY(B726)=7,1,0))))))</f>
        <v>3</v>
      </c>
      <c r="G726" s="369">
        <f>VLOOKUP(C726,METADATA!$J$5:$Q$29,IF(E726="HI",2,IF(E726="LO",6,10))+IF(D726=1,2,IF(D726=7,1,(IF(WEEKDAY(B726)=1,2,IF(WEEKDAY(B726)=7,1,0))))))</f>
        <v>3</v>
      </c>
      <c r="H726" s="370">
        <v>13516.474975585938</v>
      </c>
      <c r="I726" s="370">
        <v>2658.5039386749268</v>
      </c>
      <c r="M726" s="371">
        <f t="shared" si="45"/>
        <v>13775.439701061849</v>
      </c>
      <c r="N726" s="329">
        <f t="shared" si="46"/>
        <v>0</v>
      </c>
      <c r="T726" s="331">
        <v>0</v>
      </c>
      <c r="U726" s="328">
        <f>VLOOKUP(C726,METADATA!$J$5:$Q$29,IF(E726="HI",2,IF(E726="LO",6,10))+IF(T726=1,2,IF(D726=7,1,(IF(WEEKDAY(B726)=1,2,IF(WEEKDAY(B726)=7,1,0))))))</f>
        <v>3</v>
      </c>
      <c r="V726" s="328">
        <f>VLOOKUP(C726,METADATA!$A$5:$H$29,IF(E726="HI",2,IF(E726="LO",6,10))+IF(T726=1,2,IF(D726=7,1,(IF(WEEKDAY(B726)=1,2,IF(WEEKDAY(B726)=7,1,0))))))</f>
        <v>3</v>
      </c>
    </row>
    <row r="727" spans="2:22">
      <c r="B727" s="318">
        <f t="shared" si="43"/>
        <v>46143</v>
      </c>
      <c r="C727" s="312">
        <v>3</v>
      </c>
      <c r="D727" s="368">
        <f>IFERROR((INDEX(METADATA!$T$2:$T$20,MATCH(B727,METADATA!$S$2:$S$20,0))),0)</f>
        <v>7</v>
      </c>
      <c r="E727" s="312" t="str">
        <f t="shared" si="44"/>
        <v>LO</v>
      </c>
      <c r="F727" s="369">
        <f>VLOOKUP(C727,METADATA!$A$5:$H$29,IF(E727="HI",2,IF(E727="LO",6,10))+IF(D727=1,2,IF(D727=7,1,(IF(WEEKDAY(B727)=1,2,IF(WEEKDAY(B727)=7,1,0))))))</f>
        <v>3</v>
      </c>
      <c r="G727" s="369">
        <f>VLOOKUP(C727,METADATA!$J$5:$Q$29,IF(E727="HI",2,IF(E727="LO",6,10))+IF(D727=1,2,IF(D727=7,1,(IF(WEEKDAY(B727)=1,2,IF(WEEKDAY(B727)=7,1,0))))))</f>
        <v>3</v>
      </c>
      <c r="H727" s="370">
        <v>13240.97265625</v>
      </c>
      <c r="I727" s="370">
        <v>2632.0319719314575</v>
      </c>
      <c r="M727" s="371">
        <f t="shared" si="45"/>
        <v>13500.035154947916</v>
      </c>
      <c r="N727" s="329">
        <f t="shared" si="46"/>
        <v>0</v>
      </c>
      <c r="T727" s="331">
        <v>0</v>
      </c>
      <c r="U727" s="328">
        <f>VLOOKUP(C727,METADATA!$J$5:$Q$29,IF(E727="HI",2,IF(E727="LO",6,10))+IF(T727=1,2,IF(D727=7,1,(IF(WEEKDAY(B727)=1,2,IF(WEEKDAY(B727)=7,1,0))))))</f>
        <v>3</v>
      </c>
      <c r="V727" s="328">
        <f>VLOOKUP(C727,METADATA!$A$5:$H$29,IF(E727="HI",2,IF(E727="LO",6,10))+IF(T727=1,2,IF(D727=7,1,(IF(WEEKDAY(B727)=1,2,IF(WEEKDAY(B727)=7,1,0))))))</f>
        <v>3</v>
      </c>
    </row>
    <row r="728" spans="2:22">
      <c r="B728" s="318">
        <f t="shared" si="43"/>
        <v>46143</v>
      </c>
      <c r="C728" s="312">
        <v>4</v>
      </c>
      <c r="D728" s="368">
        <f>IFERROR((INDEX(METADATA!$T$2:$T$20,MATCH(B728,METADATA!$S$2:$S$20,0))),0)</f>
        <v>7</v>
      </c>
      <c r="E728" s="312" t="str">
        <f t="shared" si="44"/>
        <v>LO</v>
      </c>
      <c r="F728" s="369">
        <f>VLOOKUP(C728,METADATA!$A$5:$H$29,IF(E728="HI",2,IF(E728="LO",6,10))+IF(D728=1,2,IF(D728=7,1,(IF(WEEKDAY(B728)=1,2,IF(WEEKDAY(B728)=7,1,0))))))</f>
        <v>3</v>
      </c>
      <c r="G728" s="369">
        <f>VLOOKUP(C728,METADATA!$J$5:$Q$29,IF(E728="HI",2,IF(E728="LO",6,10))+IF(D728=1,2,IF(D728=7,1,(IF(WEEKDAY(B728)=1,2,IF(WEEKDAY(B728)=7,1,0))))))</f>
        <v>3</v>
      </c>
      <c r="H728" s="370">
        <v>13456.249938964844</v>
      </c>
      <c r="I728" s="370">
        <v>2703.963565826416</v>
      </c>
      <c r="M728" s="371">
        <f t="shared" si="45"/>
        <v>13725.235203274589</v>
      </c>
      <c r="N728" s="329">
        <f t="shared" si="46"/>
        <v>0</v>
      </c>
      <c r="T728" s="331">
        <v>0</v>
      </c>
      <c r="U728" s="328">
        <f>VLOOKUP(C728,METADATA!$J$5:$Q$29,IF(E728="HI",2,IF(E728="LO",6,10))+IF(T728=1,2,IF(D728=7,1,(IF(WEEKDAY(B728)=1,2,IF(WEEKDAY(B728)=7,1,0))))))</f>
        <v>3</v>
      </c>
      <c r="V728" s="328">
        <f>VLOOKUP(C728,METADATA!$A$5:$H$29,IF(E728="HI",2,IF(E728="LO",6,10))+IF(T728=1,2,IF(D728=7,1,(IF(WEEKDAY(B728)=1,2,IF(WEEKDAY(B728)=7,1,0))))))</f>
        <v>3</v>
      </c>
    </row>
    <row r="729" spans="2:22">
      <c r="B729" s="318">
        <f t="shared" si="43"/>
        <v>46143</v>
      </c>
      <c r="C729" s="312">
        <v>5</v>
      </c>
      <c r="D729" s="368">
        <f>IFERROR((INDEX(METADATA!$T$2:$T$20,MATCH(B729,METADATA!$S$2:$S$20,0))),0)</f>
        <v>7</v>
      </c>
      <c r="E729" s="312" t="str">
        <f t="shared" si="44"/>
        <v>LO</v>
      </c>
      <c r="F729" s="369">
        <f>VLOOKUP(C729,METADATA!$A$5:$H$29,IF(E729="HI",2,IF(E729="LO",6,10))+IF(D729=1,2,IF(D729=7,1,(IF(WEEKDAY(B729)=1,2,IF(WEEKDAY(B729)=7,1,0))))))</f>
        <v>3</v>
      </c>
      <c r="G729" s="369">
        <f>VLOOKUP(C729,METADATA!$J$5:$Q$29,IF(E729="HI",2,IF(E729="LO",6,10))+IF(D729=1,2,IF(D729=7,1,(IF(WEEKDAY(B729)=1,2,IF(WEEKDAY(B729)=7,1,0))))))</f>
        <v>3</v>
      </c>
      <c r="H729" s="370">
        <v>13434.904724121094</v>
      </c>
      <c r="I729" s="370">
        <v>2678.4405460357666</v>
      </c>
      <c r="M729" s="371">
        <f t="shared" si="45"/>
        <v>13699.295920041279</v>
      </c>
      <c r="N729" s="329">
        <f t="shared" si="46"/>
        <v>0</v>
      </c>
      <c r="T729" s="331">
        <v>0</v>
      </c>
      <c r="U729" s="328">
        <f>VLOOKUP(C729,METADATA!$J$5:$Q$29,IF(E729="HI",2,IF(E729="LO",6,10))+IF(T729=1,2,IF(D729=7,1,(IF(WEEKDAY(B729)=1,2,IF(WEEKDAY(B729)=7,1,0))))))</f>
        <v>3</v>
      </c>
      <c r="V729" s="328">
        <f>VLOOKUP(C729,METADATA!$A$5:$H$29,IF(E729="HI",2,IF(E729="LO",6,10))+IF(T729=1,2,IF(D729=7,1,(IF(WEEKDAY(B729)=1,2,IF(WEEKDAY(B729)=7,1,0))))))</f>
        <v>3</v>
      </c>
    </row>
    <row r="730" spans="2:22">
      <c r="B730" s="318">
        <f t="shared" si="43"/>
        <v>46143</v>
      </c>
      <c r="C730" s="312">
        <v>6</v>
      </c>
      <c r="D730" s="368">
        <f>IFERROR((INDEX(METADATA!$T$2:$T$20,MATCH(B730,METADATA!$S$2:$S$20,0))),0)</f>
        <v>7</v>
      </c>
      <c r="E730" s="312" t="str">
        <f t="shared" si="44"/>
        <v>LO</v>
      </c>
      <c r="F730" s="369">
        <f>VLOOKUP(C730,METADATA!$A$5:$H$29,IF(E730="HI",2,IF(E730="LO",6,10))+IF(D730=1,2,IF(D730=7,1,(IF(WEEKDAY(B730)=1,2,IF(WEEKDAY(B730)=7,1,0))))))</f>
        <v>3</v>
      </c>
      <c r="G730" s="369">
        <f>VLOOKUP(C730,METADATA!$J$5:$Q$29,IF(E730="HI",2,IF(E730="LO",6,10))+IF(D730=1,2,IF(D730=7,1,(IF(WEEKDAY(B730)=1,2,IF(WEEKDAY(B730)=7,1,0))))))</f>
        <v>3</v>
      </c>
      <c r="H730" s="370">
        <v>13453.56005859375</v>
      </c>
      <c r="I730" s="370">
        <v>2654.5819454193115</v>
      </c>
      <c r="M730" s="371">
        <f t="shared" si="45"/>
        <v>13712.953130348518</v>
      </c>
      <c r="N730" s="329">
        <f t="shared" si="46"/>
        <v>0</v>
      </c>
      <c r="T730" s="331">
        <v>0</v>
      </c>
      <c r="U730" s="328">
        <f>VLOOKUP(C730,METADATA!$J$5:$Q$29,IF(E730="HI",2,IF(E730="LO",6,10))+IF(T730=1,2,IF(D730=7,1,(IF(WEEKDAY(B730)=1,2,IF(WEEKDAY(B730)=7,1,0))))))</f>
        <v>3</v>
      </c>
      <c r="V730" s="328">
        <f>VLOOKUP(C730,METADATA!$A$5:$H$29,IF(E730="HI",2,IF(E730="LO",6,10))+IF(T730=1,2,IF(D730=7,1,(IF(WEEKDAY(B730)=1,2,IF(WEEKDAY(B730)=7,1,0))))))</f>
        <v>3</v>
      </c>
    </row>
    <row r="731" spans="2:22">
      <c r="B731" s="318">
        <f t="shared" si="43"/>
        <v>46143</v>
      </c>
      <c r="C731" s="312">
        <v>7</v>
      </c>
      <c r="D731" s="368">
        <f>IFERROR((INDEX(METADATA!$T$2:$T$20,MATCH(B731,METADATA!$S$2:$S$20,0))),0)</f>
        <v>7</v>
      </c>
      <c r="E731" s="312" t="str">
        <f t="shared" si="44"/>
        <v>LO</v>
      </c>
      <c r="F731" s="369">
        <f>VLOOKUP(C731,METADATA!$A$5:$H$29,IF(E731="HI",2,IF(E731="LO",6,10))+IF(D731=1,2,IF(D731=7,1,(IF(WEEKDAY(B731)=1,2,IF(WEEKDAY(B731)=7,1,0))))))</f>
        <v>2</v>
      </c>
      <c r="G731" s="369">
        <f>VLOOKUP(C731,METADATA!$J$5:$Q$29,IF(E731="HI",2,IF(E731="LO",6,10))+IF(D731=1,2,IF(D731=7,1,(IF(WEEKDAY(B731)=1,2,IF(WEEKDAY(B731)=7,1,0))))))</f>
        <v>2</v>
      </c>
      <c r="H731" s="370">
        <v>13363.869995117188</v>
      </c>
      <c r="I731" s="370">
        <v>2602.7184772491455</v>
      </c>
      <c r="M731" s="371">
        <f t="shared" si="45"/>
        <v>13614.961061942393</v>
      </c>
      <c r="N731" s="329">
        <f t="shared" si="46"/>
        <v>0</v>
      </c>
      <c r="T731" s="331">
        <v>0</v>
      </c>
      <c r="U731" s="328">
        <f>VLOOKUP(C731,METADATA!$J$5:$Q$29,IF(E731="HI",2,IF(E731="LO",6,10))+IF(T731=1,2,IF(D731=7,1,(IF(WEEKDAY(B731)=1,2,IF(WEEKDAY(B731)=7,1,0))))))</f>
        <v>2</v>
      </c>
      <c r="V731" s="328">
        <f>VLOOKUP(C731,METADATA!$A$5:$H$29,IF(E731="HI",2,IF(E731="LO",6,10))+IF(T731=1,2,IF(D731=7,1,(IF(WEEKDAY(B731)=1,2,IF(WEEKDAY(B731)=7,1,0))))))</f>
        <v>2</v>
      </c>
    </row>
    <row r="732" spans="2:22">
      <c r="B732" s="318">
        <f t="shared" ref="B732:B795" si="47">B708+1</f>
        <v>46143</v>
      </c>
      <c r="C732" s="312">
        <v>8</v>
      </c>
      <c r="D732" s="368">
        <f>IFERROR((INDEX(METADATA!$T$2:$T$20,MATCH(B732,METADATA!$S$2:$S$20,0))),0)</f>
        <v>7</v>
      </c>
      <c r="E732" s="312" t="str">
        <f t="shared" si="44"/>
        <v>LO</v>
      </c>
      <c r="F732" s="369">
        <f>VLOOKUP(C732,METADATA!$A$5:$H$29,IF(E732="HI",2,IF(E732="LO",6,10))+IF(D732=1,2,IF(D732=7,1,(IF(WEEKDAY(B732)=1,2,IF(WEEKDAY(B732)=7,1,0))))))</f>
        <v>2</v>
      </c>
      <c r="G732" s="369">
        <f>VLOOKUP(C732,METADATA!$J$5:$Q$29,IF(E732="HI",2,IF(E732="LO",6,10))+IF(D732=1,2,IF(D732=7,1,(IF(WEEKDAY(B732)=1,2,IF(WEEKDAY(B732)=7,1,0))))))</f>
        <v>2</v>
      </c>
      <c r="H732" s="370">
        <v>13520.300048828125</v>
      </c>
      <c r="I732" s="370">
        <v>2649.5993919372559</v>
      </c>
      <c r="M732" s="371">
        <f t="shared" si="45"/>
        <v>13777.477648252458</v>
      </c>
      <c r="N732" s="329">
        <f t="shared" si="46"/>
        <v>0</v>
      </c>
      <c r="T732" s="331">
        <v>0</v>
      </c>
      <c r="U732" s="328">
        <f>VLOOKUP(C732,METADATA!$J$5:$Q$29,IF(E732="HI",2,IF(E732="LO",6,10))+IF(T732=1,2,IF(D732=7,1,(IF(WEEKDAY(B732)=1,2,IF(WEEKDAY(B732)=7,1,0))))))</f>
        <v>2</v>
      </c>
      <c r="V732" s="328">
        <f>VLOOKUP(C732,METADATA!$A$5:$H$29,IF(E732="HI",2,IF(E732="LO",6,10))+IF(T732=1,2,IF(D732=7,1,(IF(WEEKDAY(B732)=1,2,IF(WEEKDAY(B732)=7,1,0))))))</f>
        <v>2</v>
      </c>
    </row>
    <row r="733" spans="2:22">
      <c r="B733" s="318">
        <f t="shared" si="47"/>
        <v>46143</v>
      </c>
      <c r="C733" s="312">
        <v>9</v>
      </c>
      <c r="D733" s="368">
        <f>IFERROR((INDEX(METADATA!$T$2:$T$20,MATCH(B733,METADATA!$S$2:$S$20,0))),0)</f>
        <v>7</v>
      </c>
      <c r="E733" s="312" t="str">
        <f t="shared" si="44"/>
        <v>LO</v>
      </c>
      <c r="F733" s="369">
        <f>VLOOKUP(C733,METADATA!$A$5:$H$29,IF(E733="HI",2,IF(E733="LO",6,10))+IF(D733=1,2,IF(D733=7,1,(IF(WEEKDAY(B733)=1,2,IF(WEEKDAY(B733)=7,1,0))))))</f>
        <v>2</v>
      </c>
      <c r="G733" s="369">
        <f>VLOOKUP(C733,METADATA!$J$5:$Q$29,IF(E733="HI",2,IF(E733="LO",6,10))+IF(D733=1,2,IF(D733=7,1,(IF(WEEKDAY(B733)=1,2,IF(WEEKDAY(B733)=7,1,0))))))</f>
        <v>2</v>
      </c>
      <c r="H733" s="370">
        <v>13446.279907226563</v>
      </c>
      <c r="I733" s="370">
        <v>2573.5580348968506</v>
      </c>
      <c r="M733" s="371">
        <f t="shared" si="45"/>
        <v>13690.348582211736</v>
      </c>
      <c r="N733" s="329">
        <f t="shared" si="46"/>
        <v>0</v>
      </c>
      <c r="T733" s="331">
        <v>0</v>
      </c>
      <c r="U733" s="328">
        <f>VLOOKUP(C733,METADATA!$J$5:$Q$29,IF(E733="HI",2,IF(E733="LO",6,10))+IF(T733=1,2,IF(D733=7,1,(IF(WEEKDAY(B733)=1,2,IF(WEEKDAY(B733)=7,1,0))))))</f>
        <v>2</v>
      </c>
      <c r="V733" s="328">
        <f>VLOOKUP(C733,METADATA!$A$5:$H$29,IF(E733="HI",2,IF(E733="LO",6,10))+IF(T733=1,2,IF(D733=7,1,(IF(WEEKDAY(B733)=1,2,IF(WEEKDAY(B733)=7,1,0))))))</f>
        <v>2</v>
      </c>
    </row>
    <row r="734" spans="2:22">
      <c r="B734" s="318">
        <f t="shared" si="47"/>
        <v>46143</v>
      </c>
      <c r="C734" s="312">
        <v>10</v>
      </c>
      <c r="D734" s="368">
        <f>IFERROR((INDEX(METADATA!$T$2:$T$20,MATCH(B734,METADATA!$S$2:$S$20,0))),0)</f>
        <v>7</v>
      </c>
      <c r="E734" s="312" t="str">
        <f t="shared" si="44"/>
        <v>LO</v>
      </c>
      <c r="F734" s="369">
        <f>VLOOKUP(C734,METADATA!$A$5:$H$29,IF(E734="HI",2,IF(E734="LO",6,10))+IF(D734=1,2,IF(D734=7,1,(IF(WEEKDAY(B734)=1,2,IF(WEEKDAY(B734)=7,1,0))))))</f>
        <v>2</v>
      </c>
      <c r="G734" s="369">
        <f>VLOOKUP(C734,METADATA!$J$5:$Q$29,IF(E734="HI",2,IF(E734="LO",6,10))+IF(D734=1,2,IF(D734=7,1,(IF(WEEKDAY(B734)=1,2,IF(WEEKDAY(B734)=7,1,0))))))</f>
        <v>2</v>
      </c>
      <c r="H734" s="370">
        <v>13474.580688476563</v>
      </c>
      <c r="I734" s="370">
        <v>2619.9225730895996</v>
      </c>
      <c r="M734" s="371">
        <f t="shared" si="45"/>
        <v>13726.919502177097</v>
      </c>
      <c r="N734" s="329">
        <f t="shared" si="46"/>
        <v>0</v>
      </c>
      <c r="T734" s="331">
        <v>0</v>
      </c>
      <c r="U734" s="328">
        <f>VLOOKUP(C734,METADATA!$J$5:$Q$29,IF(E734="HI",2,IF(E734="LO",6,10))+IF(T734=1,2,IF(D734=7,1,(IF(WEEKDAY(B734)=1,2,IF(WEEKDAY(B734)=7,1,0))))))</f>
        <v>2</v>
      </c>
      <c r="V734" s="328">
        <f>VLOOKUP(C734,METADATA!$A$5:$H$29,IF(E734="HI",2,IF(E734="LO",6,10))+IF(T734=1,2,IF(D734=7,1,(IF(WEEKDAY(B734)=1,2,IF(WEEKDAY(B734)=7,1,0))))))</f>
        <v>2</v>
      </c>
    </row>
    <row r="735" spans="2:22">
      <c r="B735" s="318">
        <f t="shared" si="47"/>
        <v>46143</v>
      </c>
      <c r="C735" s="312">
        <v>11</v>
      </c>
      <c r="D735" s="368">
        <f>IFERROR((INDEX(METADATA!$T$2:$T$20,MATCH(B735,METADATA!$S$2:$S$20,0))),0)</f>
        <v>7</v>
      </c>
      <c r="E735" s="312" t="str">
        <f t="shared" si="44"/>
        <v>LO</v>
      </c>
      <c r="F735" s="369">
        <f>VLOOKUP(C735,METADATA!$A$5:$H$29,IF(E735="HI",2,IF(E735="LO",6,10))+IF(D735=1,2,IF(D735=7,1,(IF(WEEKDAY(B735)=1,2,IF(WEEKDAY(B735)=7,1,0))))))</f>
        <v>2</v>
      </c>
      <c r="G735" s="369">
        <f>VLOOKUP(C735,METADATA!$J$5:$Q$29,IF(E735="HI",2,IF(E735="LO",6,10))+IF(D735=1,2,IF(D735=7,1,(IF(WEEKDAY(B735)=1,2,IF(WEEKDAY(B735)=7,1,0))))))</f>
        <v>2</v>
      </c>
      <c r="H735" s="370">
        <v>13192.204772949219</v>
      </c>
      <c r="I735" s="370">
        <v>2514.0475006103516</v>
      </c>
      <c r="M735" s="371">
        <f t="shared" si="45"/>
        <v>13429.620307616642</v>
      </c>
      <c r="N735" s="329">
        <f t="shared" si="46"/>
        <v>0</v>
      </c>
      <c r="T735" s="331">
        <v>0</v>
      </c>
      <c r="U735" s="328">
        <f>VLOOKUP(C735,METADATA!$J$5:$Q$29,IF(E735="HI",2,IF(E735="LO",6,10))+IF(T735=1,2,IF(D735=7,1,(IF(WEEKDAY(B735)=1,2,IF(WEEKDAY(B735)=7,1,0))))))</f>
        <v>2</v>
      </c>
      <c r="V735" s="328">
        <f>VLOOKUP(C735,METADATA!$A$5:$H$29,IF(E735="HI",2,IF(E735="LO",6,10))+IF(T735=1,2,IF(D735=7,1,(IF(WEEKDAY(B735)=1,2,IF(WEEKDAY(B735)=7,1,0))))))</f>
        <v>2</v>
      </c>
    </row>
    <row r="736" spans="2:22">
      <c r="B736" s="318">
        <f t="shared" si="47"/>
        <v>46143</v>
      </c>
      <c r="C736" s="312">
        <v>12</v>
      </c>
      <c r="D736" s="368">
        <f>IFERROR((INDEX(METADATA!$T$2:$T$20,MATCH(B736,METADATA!$S$2:$S$20,0))),0)</f>
        <v>7</v>
      </c>
      <c r="E736" s="312" t="str">
        <f t="shared" si="44"/>
        <v>LO</v>
      </c>
      <c r="F736" s="369">
        <f>VLOOKUP(C736,METADATA!$A$5:$H$29,IF(E736="HI",2,IF(E736="LO",6,10))+IF(D736=1,2,IF(D736=7,1,(IF(WEEKDAY(B736)=1,2,IF(WEEKDAY(B736)=7,1,0))))))</f>
        <v>3</v>
      </c>
      <c r="G736" s="369">
        <f>VLOOKUP(C736,METADATA!$J$5:$Q$29,IF(E736="HI",2,IF(E736="LO",6,10))+IF(D736=1,2,IF(D736=7,1,(IF(WEEKDAY(B736)=1,2,IF(WEEKDAY(B736)=7,1,0))))))</f>
        <v>3</v>
      </c>
      <c r="H736" s="370">
        <v>13397.200073242188</v>
      </c>
      <c r="I736" s="370">
        <v>2602.4544944763184</v>
      </c>
      <c r="M736" s="371">
        <f t="shared" si="45"/>
        <v>13647.62760329796</v>
      </c>
      <c r="N736" s="329">
        <f t="shared" si="46"/>
        <v>0</v>
      </c>
      <c r="T736" s="331">
        <v>0</v>
      </c>
      <c r="U736" s="328">
        <f>VLOOKUP(C736,METADATA!$J$5:$Q$29,IF(E736="HI",2,IF(E736="LO",6,10))+IF(T736=1,2,IF(D736=7,1,(IF(WEEKDAY(B736)=1,2,IF(WEEKDAY(B736)=7,1,0))))))</f>
        <v>3</v>
      </c>
      <c r="V736" s="328">
        <f>VLOOKUP(C736,METADATA!$A$5:$H$29,IF(E736="HI",2,IF(E736="LO",6,10))+IF(T736=1,2,IF(D736=7,1,(IF(WEEKDAY(B736)=1,2,IF(WEEKDAY(B736)=7,1,0))))))</f>
        <v>3</v>
      </c>
    </row>
    <row r="737" spans="2:22">
      <c r="B737" s="318">
        <f t="shared" si="47"/>
        <v>46143</v>
      </c>
      <c r="C737" s="312">
        <v>13</v>
      </c>
      <c r="D737" s="368">
        <f>IFERROR((INDEX(METADATA!$T$2:$T$20,MATCH(B737,METADATA!$S$2:$S$20,0))),0)</f>
        <v>7</v>
      </c>
      <c r="E737" s="312" t="str">
        <f t="shared" si="44"/>
        <v>LO</v>
      </c>
      <c r="F737" s="369">
        <f>VLOOKUP(C737,METADATA!$A$5:$H$29,IF(E737="HI",2,IF(E737="LO",6,10))+IF(D737=1,2,IF(D737=7,1,(IF(WEEKDAY(B737)=1,2,IF(WEEKDAY(B737)=7,1,0))))))</f>
        <v>3</v>
      </c>
      <c r="G737" s="369">
        <f>VLOOKUP(C737,METADATA!$J$5:$Q$29,IF(E737="HI",2,IF(E737="LO",6,10))+IF(D737=1,2,IF(D737=7,1,(IF(WEEKDAY(B737)=1,2,IF(WEEKDAY(B737)=7,1,0))))))</f>
        <v>3</v>
      </c>
      <c r="H737" s="370">
        <v>13578.880065917969</v>
      </c>
      <c r="I737" s="370">
        <v>2716.3239212036133</v>
      </c>
      <c r="M737" s="371">
        <f t="shared" si="45"/>
        <v>13847.902349796064</v>
      </c>
      <c r="N737" s="329">
        <f t="shared" si="46"/>
        <v>0</v>
      </c>
      <c r="T737" s="331">
        <v>0</v>
      </c>
      <c r="U737" s="328">
        <f>VLOOKUP(C737,METADATA!$J$5:$Q$29,IF(E737="HI",2,IF(E737="LO",6,10))+IF(T737=1,2,IF(D737=7,1,(IF(WEEKDAY(B737)=1,2,IF(WEEKDAY(B737)=7,1,0))))))</f>
        <v>3</v>
      </c>
      <c r="V737" s="328">
        <f>VLOOKUP(C737,METADATA!$A$5:$H$29,IF(E737="HI",2,IF(E737="LO",6,10))+IF(T737=1,2,IF(D737=7,1,(IF(WEEKDAY(B737)=1,2,IF(WEEKDAY(B737)=7,1,0))))))</f>
        <v>3</v>
      </c>
    </row>
    <row r="738" spans="2:22">
      <c r="B738" s="318">
        <f t="shared" si="47"/>
        <v>46143</v>
      </c>
      <c r="C738" s="312">
        <v>14</v>
      </c>
      <c r="D738" s="368">
        <f>IFERROR((INDEX(METADATA!$T$2:$T$20,MATCH(B738,METADATA!$S$2:$S$20,0))),0)</f>
        <v>7</v>
      </c>
      <c r="E738" s="312" t="str">
        <f t="shared" si="44"/>
        <v>LO</v>
      </c>
      <c r="F738" s="369">
        <f>VLOOKUP(C738,METADATA!$A$5:$H$29,IF(E738="HI",2,IF(E738="LO",6,10))+IF(D738=1,2,IF(D738=7,1,(IF(WEEKDAY(B738)=1,2,IF(WEEKDAY(B738)=7,1,0))))))</f>
        <v>3</v>
      </c>
      <c r="G738" s="369">
        <f>VLOOKUP(C738,METADATA!$J$5:$Q$29,IF(E738="HI",2,IF(E738="LO",6,10))+IF(D738=1,2,IF(D738=7,1,(IF(WEEKDAY(B738)=1,2,IF(WEEKDAY(B738)=7,1,0))))))</f>
        <v>3</v>
      </c>
      <c r="H738" s="370">
        <v>13461.005126953125</v>
      </c>
      <c r="I738" s="370">
        <v>2726.125545501709</v>
      </c>
      <c r="M738" s="371">
        <f t="shared" si="45"/>
        <v>13734.278995189201</v>
      </c>
      <c r="N738" s="329">
        <f t="shared" si="46"/>
        <v>0</v>
      </c>
      <c r="T738" s="331">
        <v>0</v>
      </c>
      <c r="U738" s="328">
        <f>VLOOKUP(C738,METADATA!$J$5:$Q$29,IF(E738="HI",2,IF(E738="LO",6,10))+IF(T738=1,2,IF(D738=7,1,(IF(WEEKDAY(B738)=1,2,IF(WEEKDAY(B738)=7,1,0))))))</f>
        <v>3</v>
      </c>
      <c r="V738" s="328">
        <f>VLOOKUP(C738,METADATA!$A$5:$H$29,IF(E738="HI",2,IF(E738="LO",6,10))+IF(T738=1,2,IF(D738=7,1,(IF(WEEKDAY(B738)=1,2,IF(WEEKDAY(B738)=7,1,0))))))</f>
        <v>3</v>
      </c>
    </row>
    <row r="739" spans="2:22">
      <c r="B739" s="318">
        <f t="shared" si="47"/>
        <v>46143</v>
      </c>
      <c r="C739" s="312">
        <v>15</v>
      </c>
      <c r="D739" s="368">
        <f>IFERROR((INDEX(METADATA!$T$2:$T$20,MATCH(B739,METADATA!$S$2:$S$20,0))),0)</f>
        <v>7</v>
      </c>
      <c r="E739" s="312" t="str">
        <f t="shared" si="44"/>
        <v>LO</v>
      </c>
      <c r="F739" s="369">
        <f>VLOOKUP(C739,METADATA!$A$5:$H$29,IF(E739="HI",2,IF(E739="LO",6,10))+IF(D739=1,2,IF(D739=7,1,(IF(WEEKDAY(B739)=1,2,IF(WEEKDAY(B739)=7,1,0))))))</f>
        <v>3</v>
      </c>
      <c r="G739" s="369">
        <f>VLOOKUP(C739,METADATA!$J$5:$Q$29,IF(E739="HI",2,IF(E739="LO",6,10))+IF(D739=1,2,IF(D739=7,1,(IF(WEEKDAY(B739)=1,2,IF(WEEKDAY(B739)=7,1,0))))))</f>
        <v>3</v>
      </c>
      <c r="H739" s="370">
        <v>13344.020080566406</v>
      </c>
      <c r="I739" s="370">
        <v>2676.1069488525391</v>
      </c>
      <c r="M739" s="371">
        <f t="shared" si="45"/>
        <v>13609.717863065947</v>
      </c>
      <c r="N739" s="329">
        <f t="shared" si="46"/>
        <v>0</v>
      </c>
      <c r="T739" s="331">
        <v>0</v>
      </c>
      <c r="U739" s="328">
        <f>VLOOKUP(C739,METADATA!$J$5:$Q$29,IF(E739="HI",2,IF(E739="LO",6,10))+IF(T739=1,2,IF(D739=7,1,(IF(WEEKDAY(B739)=1,2,IF(WEEKDAY(B739)=7,1,0))))))</f>
        <v>3</v>
      </c>
      <c r="V739" s="328">
        <f>VLOOKUP(C739,METADATA!$A$5:$H$29,IF(E739="HI",2,IF(E739="LO",6,10))+IF(T739=1,2,IF(D739=7,1,(IF(WEEKDAY(B739)=1,2,IF(WEEKDAY(B739)=7,1,0))))))</f>
        <v>3</v>
      </c>
    </row>
    <row r="740" spans="2:22">
      <c r="B740" s="318">
        <f t="shared" si="47"/>
        <v>46143</v>
      </c>
      <c r="C740" s="312">
        <v>16</v>
      </c>
      <c r="D740" s="368">
        <f>IFERROR((INDEX(METADATA!$T$2:$T$20,MATCH(B740,METADATA!$S$2:$S$20,0))),0)</f>
        <v>7</v>
      </c>
      <c r="E740" s="312" t="str">
        <f t="shared" si="44"/>
        <v>LO</v>
      </c>
      <c r="F740" s="369">
        <f>VLOOKUP(C740,METADATA!$A$5:$H$29,IF(E740="HI",2,IF(E740="LO",6,10))+IF(D740=1,2,IF(D740=7,1,(IF(WEEKDAY(B740)=1,2,IF(WEEKDAY(B740)=7,1,0))))))</f>
        <v>3</v>
      </c>
      <c r="G740" s="369">
        <f>VLOOKUP(C740,METADATA!$J$5:$Q$29,IF(E740="HI",2,IF(E740="LO",6,10))+IF(D740=1,2,IF(D740=7,1,(IF(WEEKDAY(B740)=1,2,IF(WEEKDAY(B740)=7,1,0))))))</f>
        <v>3</v>
      </c>
      <c r="H740" s="370">
        <v>12822.604675292969</v>
      </c>
      <c r="I740" s="370">
        <v>2492.5605235099792</v>
      </c>
      <c r="M740" s="371">
        <f t="shared" si="45"/>
        <v>13062.620281635895</v>
      </c>
      <c r="N740" s="329">
        <f t="shared" si="46"/>
        <v>0</v>
      </c>
      <c r="T740" s="331">
        <v>0</v>
      </c>
      <c r="U740" s="328">
        <f>VLOOKUP(C740,METADATA!$J$5:$Q$29,IF(E740="HI",2,IF(E740="LO",6,10))+IF(T740=1,2,IF(D740=7,1,(IF(WEEKDAY(B740)=1,2,IF(WEEKDAY(B740)=7,1,0))))))</f>
        <v>3</v>
      </c>
      <c r="V740" s="328">
        <f>VLOOKUP(C740,METADATA!$A$5:$H$29,IF(E740="HI",2,IF(E740="LO",6,10))+IF(T740=1,2,IF(D740=7,1,(IF(WEEKDAY(B740)=1,2,IF(WEEKDAY(B740)=7,1,0))))))</f>
        <v>3</v>
      </c>
    </row>
    <row r="741" spans="2:22">
      <c r="B741" s="318">
        <f t="shared" si="47"/>
        <v>46143</v>
      </c>
      <c r="C741" s="312">
        <v>17</v>
      </c>
      <c r="D741" s="368">
        <f>IFERROR((INDEX(METADATA!$T$2:$T$20,MATCH(B741,METADATA!$S$2:$S$20,0))),0)</f>
        <v>7</v>
      </c>
      <c r="E741" s="312" t="str">
        <f t="shared" si="44"/>
        <v>LO</v>
      </c>
      <c r="F741" s="369">
        <f>VLOOKUP(C741,METADATA!$A$5:$H$29,IF(E741="HI",2,IF(E741="LO",6,10))+IF(D741=1,2,IF(D741=7,1,(IF(WEEKDAY(B741)=1,2,IF(WEEKDAY(B741)=7,1,0))))))</f>
        <v>3</v>
      </c>
      <c r="G741" s="369">
        <f>VLOOKUP(C741,METADATA!$J$5:$Q$29,IF(E741="HI",2,IF(E741="LO",6,10))+IF(D741=1,2,IF(D741=7,1,(IF(WEEKDAY(B741)=1,2,IF(WEEKDAY(B741)=7,1,0))))))</f>
        <v>3</v>
      </c>
      <c r="H741" s="370">
        <v>13159.465026855469</v>
      </c>
      <c r="I741" s="370">
        <v>2495.489990234375</v>
      </c>
      <c r="M741" s="371">
        <f t="shared" si="45"/>
        <v>13393.990819930861</v>
      </c>
      <c r="N741" s="329">
        <f t="shared" si="46"/>
        <v>0</v>
      </c>
      <c r="T741" s="331">
        <v>0</v>
      </c>
      <c r="U741" s="328">
        <f>VLOOKUP(C741,METADATA!$J$5:$Q$29,IF(E741="HI",2,IF(E741="LO",6,10))+IF(T741=1,2,IF(D741=7,1,(IF(WEEKDAY(B741)=1,2,IF(WEEKDAY(B741)=7,1,0))))))</f>
        <v>3</v>
      </c>
      <c r="V741" s="328">
        <f>VLOOKUP(C741,METADATA!$A$5:$H$29,IF(E741="HI",2,IF(E741="LO",6,10))+IF(T741=1,2,IF(D741=7,1,(IF(WEEKDAY(B741)=1,2,IF(WEEKDAY(B741)=7,1,0))))))</f>
        <v>3</v>
      </c>
    </row>
    <row r="742" spans="2:22">
      <c r="B742" s="318">
        <f t="shared" si="47"/>
        <v>46143</v>
      </c>
      <c r="C742" s="312">
        <v>18</v>
      </c>
      <c r="D742" s="368">
        <f>IFERROR((INDEX(METADATA!$T$2:$T$20,MATCH(B742,METADATA!$S$2:$S$20,0))),0)</f>
        <v>7</v>
      </c>
      <c r="E742" s="312" t="str">
        <f t="shared" si="44"/>
        <v>LO</v>
      </c>
      <c r="F742" s="369">
        <f>VLOOKUP(C742,METADATA!$A$5:$H$29,IF(E742="HI",2,IF(E742="LO",6,10))+IF(D742=1,2,IF(D742=7,1,(IF(WEEKDAY(B742)=1,2,IF(WEEKDAY(B742)=7,1,0))))))</f>
        <v>2</v>
      </c>
      <c r="G742" s="369">
        <f>VLOOKUP(C742,METADATA!$J$5:$Q$29,IF(E742="HI",2,IF(E742="LO",6,10))+IF(D742=1,2,IF(D742=7,1,(IF(WEEKDAY(B742)=1,2,IF(WEEKDAY(B742)=7,1,0))))))</f>
        <v>2</v>
      </c>
      <c r="H742" s="370">
        <v>13487.860046386719</v>
      </c>
      <c r="I742" s="370">
        <v>2569.6290168762207</v>
      </c>
      <c r="M742" s="371">
        <f t="shared" si="45"/>
        <v>13730.453813158812</v>
      </c>
      <c r="N742" s="329">
        <f t="shared" si="46"/>
        <v>0</v>
      </c>
      <c r="T742" s="331">
        <v>0</v>
      </c>
      <c r="U742" s="328">
        <f>VLOOKUP(C742,METADATA!$J$5:$Q$29,IF(E742="HI",2,IF(E742="LO",6,10))+IF(T742=1,2,IF(D742=7,1,(IF(WEEKDAY(B742)=1,2,IF(WEEKDAY(B742)=7,1,0))))))</f>
        <v>2</v>
      </c>
      <c r="V742" s="328">
        <f>VLOOKUP(C742,METADATA!$A$5:$H$29,IF(E742="HI",2,IF(E742="LO",6,10))+IF(T742=1,2,IF(D742=7,1,(IF(WEEKDAY(B742)=1,2,IF(WEEKDAY(B742)=7,1,0))))))</f>
        <v>2</v>
      </c>
    </row>
    <row r="743" spans="2:22">
      <c r="B743" s="318">
        <f t="shared" si="47"/>
        <v>46143</v>
      </c>
      <c r="C743" s="312">
        <v>19</v>
      </c>
      <c r="D743" s="368">
        <f>IFERROR((INDEX(METADATA!$T$2:$T$20,MATCH(B743,METADATA!$S$2:$S$20,0))),0)</f>
        <v>7</v>
      </c>
      <c r="E743" s="312" t="str">
        <f t="shared" si="44"/>
        <v>LO</v>
      </c>
      <c r="F743" s="369">
        <f>VLOOKUP(C743,METADATA!$A$5:$H$29,IF(E743="HI",2,IF(E743="LO",6,10))+IF(D743=1,2,IF(D743=7,1,(IF(WEEKDAY(B743)=1,2,IF(WEEKDAY(B743)=7,1,0))))))</f>
        <v>2</v>
      </c>
      <c r="G743" s="369">
        <f>VLOOKUP(C743,METADATA!$J$5:$Q$29,IF(E743="HI",2,IF(E743="LO",6,10))+IF(D743=1,2,IF(D743=7,1,(IF(WEEKDAY(B743)=1,2,IF(WEEKDAY(B743)=7,1,0))))))</f>
        <v>2</v>
      </c>
      <c r="H743" s="370">
        <v>13529.020263671875</v>
      </c>
      <c r="I743" s="370">
        <v>2745.8220863342285</v>
      </c>
      <c r="M743" s="371">
        <f t="shared" si="45"/>
        <v>13804.851619073821</v>
      </c>
      <c r="N743" s="329">
        <f t="shared" si="46"/>
        <v>0</v>
      </c>
      <c r="T743" s="331">
        <v>0</v>
      </c>
      <c r="U743" s="328">
        <f>VLOOKUP(C743,METADATA!$J$5:$Q$29,IF(E743="HI",2,IF(E743="LO",6,10))+IF(T743=1,2,IF(D743=7,1,(IF(WEEKDAY(B743)=1,2,IF(WEEKDAY(B743)=7,1,0))))))</f>
        <v>2</v>
      </c>
      <c r="V743" s="328">
        <f>VLOOKUP(C743,METADATA!$A$5:$H$29,IF(E743="HI",2,IF(E743="LO",6,10))+IF(T743=1,2,IF(D743=7,1,(IF(WEEKDAY(B743)=1,2,IF(WEEKDAY(B743)=7,1,0))))))</f>
        <v>2</v>
      </c>
    </row>
    <row r="744" spans="2:22">
      <c r="B744" s="318">
        <f t="shared" si="47"/>
        <v>46143</v>
      </c>
      <c r="C744" s="312">
        <v>20</v>
      </c>
      <c r="D744" s="368">
        <f>IFERROR((INDEX(METADATA!$T$2:$T$20,MATCH(B744,METADATA!$S$2:$S$20,0))),0)</f>
        <v>7</v>
      </c>
      <c r="E744" s="312" t="str">
        <f t="shared" si="44"/>
        <v>LO</v>
      </c>
      <c r="F744" s="369">
        <f>VLOOKUP(C744,METADATA!$A$5:$H$29,IF(E744="HI",2,IF(E744="LO",6,10))+IF(D744=1,2,IF(D744=7,1,(IF(WEEKDAY(B744)=1,2,IF(WEEKDAY(B744)=7,1,0))))))</f>
        <v>3</v>
      </c>
      <c r="G744" s="369">
        <f>VLOOKUP(C744,METADATA!$J$5:$Q$29,IF(E744="HI",2,IF(E744="LO",6,10))+IF(D744=1,2,IF(D744=7,1,(IF(WEEKDAY(B744)=1,2,IF(WEEKDAY(B744)=7,1,0))))))</f>
        <v>3</v>
      </c>
      <c r="H744" s="370">
        <v>13572.715026855469</v>
      </c>
      <c r="I744" s="370">
        <v>2792.0825271606445</v>
      </c>
      <c r="M744" s="371">
        <f t="shared" si="45"/>
        <v>13856.923108637935</v>
      </c>
      <c r="N744" s="329">
        <f t="shared" si="46"/>
        <v>0</v>
      </c>
      <c r="T744" s="331">
        <v>0</v>
      </c>
      <c r="U744" s="328">
        <f>VLOOKUP(C744,METADATA!$J$5:$Q$29,IF(E744="HI",2,IF(E744="LO",6,10))+IF(T744=1,2,IF(D744=7,1,(IF(WEEKDAY(B744)=1,2,IF(WEEKDAY(B744)=7,1,0))))))</f>
        <v>3</v>
      </c>
      <c r="V744" s="328">
        <f>VLOOKUP(C744,METADATA!$A$5:$H$29,IF(E744="HI",2,IF(E744="LO",6,10))+IF(T744=1,2,IF(D744=7,1,(IF(WEEKDAY(B744)=1,2,IF(WEEKDAY(B744)=7,1,0))))))</f>
        <v>3</v>
      </c>
    </row>
    <row r="745" spans="2:22">
      <c r="B745" s="318">
        <f t="shared" si="47"/>
        <v>46143</v>
      </c>
      <c r="C745" s="312">
        <v>21</v>
      </c>
      <c r="D745" s="368">
        <f>IFERROR((INDEX(METADATA!$T$2:$T$20,MATCH(B745,METADATA!$S$2:$S$20,0))),0)</f>
        <v>7</v>
      </c>
      <c r="E745" s="312" t="str">
        <f t="shared" si="44"/>
        <v>LO</v>
      </c>
      <c r="F745" s="369">
        <f>VLOOKUP(C745,METADATA!$A$5:$H$29,IF(E745="HI",2,IF(E745="LO",6,10))+IF(D745=1,2,IF(D745=7,1,(IF(WEEKDAY(B745)=1,2,IF(WEEKDAY(B745)=7,1,0))))))</f>
        <v>3</v>
      </c>
      <c r="G745" s="369">
        <f>VLOOKUP(C745,METADATA!$J$5:$Q$29,IF(E745="HI",2,IF(E745="LO",6,10))+IF(D745=1,2,IF(D745=7,1,(IF(WEEKDAY(B745)=1,2,IF(WEEKDAY(B745)=7,1,0))))))</f>
        <v>3</v>
      </c>
      <c r="H745" s="370">
        <v>13452.919921875</v>
      </c>
      <c r="I745" s="370">
        <v>2782.6164436340332</v>
      </c>
      <c r="M745" s="371">
        <f t="shared" si="45"/>
        <v>13737.685711092818</v>
      </c>
      <c r="N745" s="329">
        <f t="shared" si="46"/>
        <v>0</v>
      </c>
      <c r="T745" s="331">
        <v>0</v>
      </c>
      <c r="U745" s="328">
        <f>VLOOKUP(C745,METADATA!$J$5:$Q$29,IF(E745="HI",2,IF(E745="LO",6,10))+IF(T745=1,2,IF(D745=7,1,(IF(WEEKDAY(B745)=1,2,IF(WEEKDAY(B745)=7,1,0))))))</f>
        <v>3</v>
      </c>
      <c r="V745" s="328">
        <f>VLOOKUP(C745,METADATA!$A$5:$H$29,IF(E745="HI",2,IF(E745="LO",6,10))+IF(T745=1,2,IF(D745=7,1,(IF(WEEKDAY(B745)=1,2,IF(WEEKDAY(B745)=7,1,0))))))</f>
        <v>3</v>
      </c>
    </row>
    <row r="746" spans="2:22">
      <c r="B746" s="318">
        <f t="shared" si="47"/>
        <v>46143</v>
      </c>
      <c r="C746" s="312">
        <v>22</v>
      </c>
      <c r="D746" s="368">
        <f>IFERROR((INDEX(METADATA!$T$2:$T$20,MATCH(B746,METADATA!$S$2:$S$20,0))),0)</f>
        <v>7</v>
      </c>
      <c r="E746" s="312" t="str">
        <f t="shared" si="44"/>
        <v>LO</v>
      </c>
      <c r="F746" s="369">
        <f>VLOOKUP(C746,METADATA!$A$5:$H$29,IF(E746="HI",2,IF(E746="LO",6,10))+IF(D746=1,2,IF(D746=7,1,(IF(WEEKDAY(B746)=1,2,IF(WEEKDAY(B746)=7,1,0))))))</f>
        <v>3</v>
      </c>
      <c r="G746" s="369">
        <f>VLOOKUP(C746,METADATA!$J$5:$Q$29,IF(E746="HI",2,IF(E746="LO",6,10))+IF(D746=1,2,IF(D746=7,1,(IF(WEEKDAY(B746)=1,2,IF(WEEKDAY(B746)=7,1,0))))))</f>
        <v>3</v>
      </c>
      <c r="H746" s="370">
        <v>13530.815185546875</v>
      </c>
      <c r="I746" s="370">
        <v>2919.9804878234863</v>
      </c>
      <c r="M746" s="371">
        <f t="shared" si="45"/>
        <v>13842.299145542831</v>
      </c>
      <c r="N746" s="329">
        <f t="shared" si="46"/>
        <v>0</v>
      </c>
      <c r="T746" s="331">
        <v>0</v>
      </c>
      <c r="U746" s="328">
        <f>VLOOKUP(C746,METADATA!$J$5:$Q$29,IF(E746="HI",2,IF(E746="LO",6,10))+IF(T746=1,2,IF(D746=7,1,(IF(WEEKDAY(B746)=1,2,IF(WEEKDAY(B746)=7,1,0))))))</f>
        <v>3</v>
      </c>
      <c r="V746" s="328">
        <f>VLOOKUP(C746,METADATA!$A$5:$H$29,IF(E746="HI",2,IF(E746="LO",6,10))+IF(T746=1,2,IF(D746=7,1,(IF(WEEKDAY(B746)=1,2,IF(WEEKDAY(B746)=7,1,0))))))</f>
        <v>3</v>
      </c>
    </row>
    <row r="747" spans="2:22">
      <c r="B747" s="318">
        <f t="shared" si="47"/>
        <v>46143</v>
      </c>
      <c r="C747" s="312">
        <v>23</v>
      </c>
      <c r="D747" s="368">
        <f>IFERROR((INDEX(METADATA!$T$2:$T$20,MATCH(B747,METADATA!$S$2:$S$20,0))),0)</f>
        <v>7</v>
      </c>
      <c r="E747" s="312" t="str">
        <f t="shared" si="44"/>
        <v>LO</v>
      </c>
      <c r="F747" s="369">
        <f>VLOOKUP(C747,METADATA!$A$5:$H$29,IF(E747="HI",2,IF(E747="LO",6,10))+IF(D747=1,2,IF(D747=7,1,(IF(WEEKDAY(B747)=1,2,IF(WEEKDAY(B747)=7,1,0))))))</f>
        <v>3</v>
      </c>
      <c r="G747" s="369">
        <f>VLOOKUP(C747,METADATA!$J$5:$Q$29,IF(E747="HI",2,IF(E747="LO",6,10))+IF(D747=1,2,IF(D747=7,1,(IF(WEEKDAY(B747)=1,2,IF(WEEKDAY(B747)=7,1,0))))))</f>
        <v>3</v>
      </c>
      <c r="H747" s="370">
        <v>13580.020080566406</v>
      </c>
      <c r="I747" s="370">
        <v>2960.9000053405762</v>
      </c>
      <c r="M747" s="371">
        <f t="shared" si="45"/>
        <v>13899.060192337201</v>
      </c>
      <c r="N747" s="329">
        <f t="shared" si="46"/>
        <v>0</v>
      </c>
      <c r="T747" s="331">
        <v>0</v>
      </c>
      <c r="U747" s="328">
        <f>VLOOKUP(C747,METADATA!$J$5:$Q$29,IF(E747="HI",2,IF(E747="LO",6,10))+IF(T747=1,2,IF(D747=7,1,(IF(WEEKDAY(B747)=1,2,IF(WEEKDAY(B747)=7,1,0))))))</f>
        <v>3</v>
      </c>
      <c r="V747" s="328">
        <f>VLOOKUP(C747,METADATA!$A$5:$H$29,IF(E747="HI",2,IF(E747="LO",6,10))+IF(T747=1,2,IF(D747=7,1,(IF(WEEKDAY(B747)=1,2,IF(WEEKDAY(B747)=7,1,0))))))</f>
        <v>3</v>
      </c>
    </row>
    <row r="748" spans="2:22">
      <c r="B748" s="318">
        <f t="shared" si="47"/>
        <v>46144</v>
      </c>
      <c r="C748" s="312">
        <v>0</v>
      </c>
      <c r="D748" s="368">
        <f>IFERROR((INDEX(METADATA!$T$2:$T$20,MATCH(B748,METADATA!$S$2:$S$20,0))),0)</f>
        <v>0</v>
      </c>
      <c r="E748" s="312" t="str">
        <f t="shared" si="44"/>
        <v>LO</v>
      </c>
      <c r="F748" s="369">
        <f>VLOOKUP(C748,METADATA!$A$5:$H$29,IF(E748="HI",2,IF(E748="LO",6,10))+IF(D748=1,2,IF(D748=7,1,(IF(WEEKDAY(B748)=1,2,IF(WEEKDAY(B748)=7,1,0))))))</f>
        <v>3</v>
      </c>
      <c r="G748" s="369">
        <f>VLOOKUP(C748,METADATA!$J$5:$Q$29,IF(E748="HI",2,IF(E748="LO",6,10))+IF(D748=1,2,IF(D748=7,1,(IF(WEEKDAY(B748)=1,2,IF(WEEKDAY(B748)=7,1,0))))))</f>
        <v>3</v>
      </c>
      <c r="H748" s="370">
        <v>13491.539855957031</v>
      </c>
      <c r="I748" s="370">
        <v>2872.7990436553955</v>
      </c>
      <c r="M748" s="371">
        <f t="shared" si="45"/>
        <v>13794.006743151333</v>
      </c>
      <c r="N748" s="329">
        <f t="shared" si="46"/>
        <v>0</v>
      </c>
      <c r="T748" s="331">
        <v>0</v>
      </c>
      <c r="U748" s="328">
        <f>VLOOKUP(C748,METADATA!$J$5:$Q$29,IF(E748="HI",2,IF(E748="LO",6,10))+IF(T748=1,2,IF(D748=7,1,(IF(WEEKDAY(B748)=1,2,IF(WEEKDAY(B748)=7,1,0))))))</f>
        <v>3</v>
      </c>
      <c r="V748" s="328">
        <f>VLOOKUP(C748,METADATA!$A$5:$H$29,IF(E748="HI",2,IF(E748="LO",6,10))+IF(T748=1,2,IF(D748=7,1,(IF(WEEKDAY(B748)=1,2,IF(WEEKDAY(B748)=7,1,0))))))</f>
        <v>3</v>
      </c>
    </row>
    <row r="749" spans="2:22">
      <c r="B749" s="318">
        <f t="shared" si="47"/>
        <v>46144</v>
      </c>
      <c r="C749" s="312">
        <v>1</v>
      </c>
      <c r="D749" s="368">
        <f>IFERROR((INDEX(METADATA!$T$2:$T$20,MATCH(B749,METADATA!$S$2:$S$20,0))),0)</f>
        <v>0</v>
      </c>
      <c r="E749" s="312" t="str">
        <f t="shared" si="44"/>
        <v>LO</v>
      </c>
      <c r="F749" s="369">
        <f>VLOOKUP(C749,METADATA!$A$5:$H$29,IF(E749="HI",2,IF(E749="LO",6,10))+IF(D749=1,2,IF(D749=7,1,(IF(WEEKDAY(B749)=1,2,IF(WEEKDAY(B749)=7,1,0))))))</f>
        <v>3</v>
      </c>
      <c r="G749" s="369">
        <f>VLOOKUP(C749,METADATA!$J$5:$Q$29,IF(E749="HI",2,IF(E749="LO",6,10))+IF(D749=1,2,IF(D749=7,1,(IF(WEEKDAY(B749)=1,2,IF(WEEKDAY(B749)=7,1,0))))))</f>
        <v>3</v>
      </c>
      <c r="H749" s="370">
        <v>13529.835083007813</v>
      </c>
      <c r="I749" s="370">
        <v>2846.8149948120117</v>
      </c>
      <c r="M749" s="371">
        <f t="shared" si="45"/>
        <v>13826.091023426525</v>
      </c>
      <c r="N749" s="329">
        <f t="shared" si="46"/>
        <v>0</v>
      </c>
      <c r="T749" s="331">
        <v>0</v>
      </c>
      <c r="U749" s="328">
        <f>VLOOKUP(C749,METADATA!$J$5:$Q$29,IF(E749="HI",2,IF(E749="LO",6,10))+IF(T749=1,2,IF(D749=7,1,(IF(WEEKDAY(B749)=1,2,IF(WEEKDAY(B749)=7,1,0))))))</f>
        <v>3</v>
      </c>
      <c r="V749" s="328">
        <f>VLOOKUP(C749,METADATA!$A$5:$H$29,IF(E749="HI",2,IF(E749="LO",6,10))+IF(T749=1,2,IF(D749=7,1,(IF(WEEKDAY(B749)=1,2,IF(WEEKDAY(B749)=7,1,0))))))</f>
        <v>3</v>
      </c>
    </row>
    <row r="750" spans="2:22">
      <c r="B750" s="318">
        <f t="shared" si="47"/>
        <v>46144</v>
      </c>
      <c r="C750" s="312">
        <v>2</v>
      </c>
      <c r="D750" s="368">
        <f>IFERROR((INDEX(METADATA!$T$2:$T$20,MATCH(B750,METADATA!$S$2:$S$20,0))),0)</f>
        <v>0</v>
      </c>
      <c r="E750" s="312" t="str">
        <f t="shared" si="44"/>
        <v>LO</v>
      </c>
      <c r="F750" s="369">
        <f>VLOOKUP(C750,METADATA!$A$5:$H$29,IF(E750="HI",2,IF(E750="LO",6,10))+IF(D750=1,2,IF(D750=7,1,(IF(WEEKDAY(B750)=1,2,IF(WEEKDAY(B750)=7,1,0))))))</f>
        <v>3</v>
      </c>
      <c r="G750" s="369">
        <f>VLOOKUP(C750,METADATA!$J$5:$Q$29,IF(E750="HI",2,IF(E750="LO",6,10))+IF(D750=1,2,IF(D750=7,1,(IF(WEEKDAY(B750)=1,2,IF(WEEKDAY(B750)=7,1,0))))))</f>
        <v>3</v>
      </c>
      <c r="H750" s="370">
        <v>13497.830444335938</v>
      </c>
      <c r="I750" s="370">
        <v>2832.1204795837402</v>
      </c>
      <c r="M750" s="371">
        <f t="shared" si="45"/>
        <v>13791.748733025835</v>
      </c>
      <c r="N750" s="329">
        <f t="shared" si="46"/>
        <v>0</v>
      </c>
      <c r="T750" s="331">
        <v>0</v>
      </c>
      <c r="U750" s="328">
        <f>VLOOKUP(C750,METADATA!$J$5:$Q$29,IF(E750="HI",2,IF(E750="LO",6,10))+IF(T750=1,2,IF(D750=7,1,(IF(WEEKDAY(B750)=1,2,IF(WEEKDAY(B750)=7,1,0))))))</f>
        <v>3</v>
      </c>
      <c r="V750" s="328">
        <f>VLOOKUP(C750,METADATA!$A$5:$H$29,IF(E750="HI",2,IF(E750="LO",6,10))+IF(T750=1,2,IF(D750=7,1,(IF(WEEKDAY(B750)=1,2,IF(WEEKDAY(B750)=7,1,0))))))</f>
        <v>3</v>
      </c>
    </row>
    <row r="751" spans="2:22">
      <c r="B751" s="318">
        <f t="shared" si="47"/>
        <v>46144</v>
      </c>
      <c r="C751" s="312">
        <v>3</v>
      </c>
      <c r="D751" s="368">
        <f>IFERROR((INDEX(METADATA!$T$2:$T$20,MATCH(B751,METADATA!$S$2:$S$20,0))),0)</f>
        <v>0</v>
      </c>
      <c r="E751" s="312" t="str">
        <f t="shared" si="44"/>
        <v>LO</v>
      </c>
      <c r="F751" s="369">
        <f>VLOOKUP(C751,METADATA!$A$5:$H$29,IF(E751="HI",2,IF(E751="LO",6,10))+IF(D751=1,2,IF(D751=7,1,(IF(WEEKDAY(B751)=1,2,IF(WEEKDAY(B751)=7,1,0))))))</f>
        <v>3</v>
      </c>
      <c r="G751" s="369">
        <f>VLOOKUP(C751,METADATA!$J$5:$Q$29,IF(E751="HI",2,IF(E751="LO",6,10))+IF(D751=1,2,IF(D751=7,1,(IF(WEEKDAY(B751)=1,2,IF(WEEKDAY(B751)=7,1,0))))))</f>
        <v>3</v>
      </c>
      <c r="H751" s="370">
        <v>13491.889892578125</v>
      </c>
      <c r="I751" s="370">
        <v>2830.5510330200195</v>
      </c>
      <c r="M751" s="371">
        <f t="shared" si="45"/>
        <v>13785.61250086417</v>
      </c>
      <c r="N751" s="329">
        <f t="shared" si="46"/>
        <v>0</v>
      </c>
      <c r="T751" s="331">
        <v>0</v>
      </c>
      <c r="U751" s="328">
        <f>VLOOKUP(C751,METADATA!$J$5:$Q$29,IF(E751="HI",2,IF(E751="LO",6,10))+IF(T751=1,2,IF(D751=7,1,(IF(WEEKDAY(B751)=1,2,IF(WEEKDAY(B751)=7,1,0))))))</f>
        <v>3</v>
      </c>
      <c r="V751" s="328">
        <f>VLOOKUP(C751,METADATA!$A$5:$H$29,IF(E751="HI",2,IF(E751="LO",6,10))+IF(T751=1,2,IF(D751=7,1,(IF(WEEKDAY(B751)=1,2,IF(WEEKDAY(B751)=7,1,0))))))</f>
        <v>3</v>
      </c>
    </row>
    <row r="752" spans="2:22">
      <c r="B752" s="318">
        <f t="shared" si="47"/>
        <v>46144</v>
      </c>
      <c r="C752" s="312">
        <v>4</v>
      </c>
      <c r="D752" s="368">
        <f>IFERROR((INDEX(METADATA!$T$2:$T$20,MATCH(B752,METADATA!$S$2:$S$20,0))),0)</f>
        <v>0</v>
      </c>
      <c r="E752" s="312" t="str">
        <f t="shared" si="44"/>
        <v>LO</v>
      </c>
      <c r="F752" s="369">
        <f>VLOOKUP(C752,METADATA!$A$5:$H$29,IF(E752="HI",2,IF(E752="LO",6,10))+IF(D752=1,2,IF(D752=7,1,(IF(WEEKDAY(B752)=1,2,IF(WEEKDAY(B752)=7,1,0))))))</f>
        <v>3</v>
      </c>
      <c r="G752" s="369">
        <f>VLOOKUP(C752,METADATA!$J$5:$Q$29,IF(E752="HI",2,IF(E752="LO",6,10))+IF(D752=1,2,IF(D752=7,1,(IF(WEEKDAY(B752)=1,2,IF(WEEKDAY(B752)=7,1,0))))))</f>
        <v>3</v>
      </c>
      <c r="H752" s="370">
        <v>13510.144592285156</v>
      </c>
      <c r="I752" s="370">
        <v>2839.2884902954102</v>
      </c>
      <c r="M752" s="371">
        <f t="shared" si="45"/>
        <v>13805.273124265808</v>
      </c>
      <c r="N752" s="329">
        <f t="shared" si="46"/>
        <v>0</v>
      </c>
      <c r="T752" s="331">
        <v>0</v>
      </c>
      <c r="U752" s="328">
        <f>VLOOKUP(C752,METADATA!$J$5:$Q$29,IF(E752="HI",2,IF(E752="LO",6,10))+IF(T752=1,2,IF(D752=7,1,(IF(WEEKDAY(B752)=1,2,IF(WEEKDAY(B752)=7,1,0))))))</f>
        <v>3</v>
      </c>
      <c r="V752" s="328">
        <f>VLOOKUP(C752,METADATA!$A$5:$H$29,IF(E752="HI",2,IF(E752="LO",6,10))+IF(T752=1,2,IF(D752=7,1,(IF(WEEKDAY(B752)=1,2,IF(WEEKDAY(B752)=7,1,0))))))</f>
        <v>3</v>
      </c>
    </row>
    <row r="753" spans="2:22">
      <c r="B753" s="318">
        <f t="shared" si="47"/>
        <v>46144</v>
      </c>
      <c r="C753" s="312">
        <v>5</v>
      </c>
      <c r="D753" s="368">
        <f>IFERROR((INDEX(METADATA!$T$2:$T$20,MATCH(B753,METADATA!$S$2:$S$20,0))),0)</f>
        <v>0</v>
      </c>
      <c r="E753" s="312" t="str">
        <f t="shared" si="44"/>
        <v>LO</v>
      </c>
      <c r="F753" s="369">
        <f>VLOOKUP(C753,METADATA!$A$5:$H$29,IF(E753="HI",2,IF(E753="LO",6,10))+IF(D753=1,2,IF(D753=7,1,(IF(WEEKDAY(B753)=1,2,IF(WEEKDAY(B753)=7,1,0))))))</f>
        <v>3</v>
      </c>
      <c r="G753" s="369">
        <f>VLOOKUP(C753,METADATA!$J$5:$Q$29,IF(E753="HI",2,IF(E753="LO",6,10))+IF(D753=1,2,IF(D753=7,1,(IF(WEEKDAY(B753)=1,2,IF(WEEKDAY(B753)=7,1,0))))))</f>
        <v>3</v>
      </c>
      <c r="H753" s="370">
        <v>13630.040100097656</v>
      </c>
      <c r="I753" s="370">
        <v>2698.9735145568848</v>
      </c>
      <c r="M753" s="371">
        <f t="shared" si="45"/>
        <v>13894.691474176376</v>
      </c>
      <c r="N753" s="329">
        <f t="shared" si="46"/>
        <v>0</v>
      </c>
      <c r="T753" s="331">
        <v>0</v>
      </c>
      <c r="U753" s="328">
        <f>VLOOKUP(C753,METADATA!$J$5:$Q$29,IF(E753="HI",2,IF(E753="LO",6,10))+IF(T753=1,2,IF(D753=7,1,(IF(WEEKDAY(B753)=1,2,IF(WEEKDAY(B753)=7,1,0))))))</f>
        <v>3</v>
      </c>
      <c r="V753" s="328">
        <f>VLOOKUP(C753,METADATA!$A$5:$H$29,IF(E753="HI",2,IF(E753="LO",6,10))+IF(T753=1,2,IF(D753=7,1,(IF(WEEKDAY(B753)=1,2,IF(WEEKDAY(B753)=7,1,0))))))</f>
        <v>3</v>
      </c>
    </row>
    <row r="754" spans="2:22">
      <c r="B754" s="318">
        <f t="shared" si="47"/>
        <v>46144</v>
      </c>
      <c r="C754" s="312">
        <v>6</v>
      </c>
      <c r="D754" s="368">
        <f>IFERROR((INDEX(METADATA!$T$2:$T$20,MATCH(B754,METADATA!$S$2:$S$20,0))),0)</f>
        <v>0</v>
      </c>
      <c r="E754" s="312" t="str">
        <f t="shared" si="44"/>
        <v>LO</v>
      </c>
      <c r="F754" s="369">
        <f>VLOOKUP(C754,METADATA!$A$5:$H$29,IF(E754="HI",2,IF(E754="LO",6,10))+IF(D754=1,2,IF(D754=7,1,(IF(WEEKDAY(B754)=1,2,IF(WEEKDAY(B754)=7,1,0))))))</f>
        <v>3</v>
      </c>
      <c r="G754" s="369">
        <f>VLOOKUP(C754,METADATA!$J$5:$Q$29,IF(E754="HI",2,IF(E754="LO",6,10))+IF(D754=1,2,IF(D754=7,1,(IF(WEEKDAY(B754)=1,2,IF(WEEKDAY(B754)=7,1,0))))))</f>
        <v>3</v>
      </c>
      <c r="H754" s="370">
        <v>13205.299987792969</v>
      </c>
      <c r="I754" s="370">
        <v>2753.404109954834</v>
      </c>
      <c r="M754" s="371">
        <f t="shared" si="45"/>
        <v>13489.298794241351</v>
      </c>
      <c r="N754" s="329">
        <f t="shared" si="46"/>
        <v>0</v>
      </c>
      <c r="T754" s="331">
        <v>0</v>
      </c>
      <c r="U754" s="328">
        <f>VLOOKUP(C754,METADATA!$J$5:$Q$29,IF(E754="HI",2,IF(E754="LO",6,10))+IF(T754=1,2,IF(D754=7,1,(IF(WEEKDAY(B754)=1,2,IF(WEEKDAY(B754)=7,1,0))))))</f>
        <v>3</v>
      </c>
      <c r="V754" s="328">
        <f>VLOOKUP(C754,METADATA!$A$5:$H$29,IF(E754="HI",2,IF(E754="LO",6,10))+IF(T754=1,2,IF(D754=7,1,(IF(WEEKDAY(B754)=1,2,IF(WEEKDAY(B754)=7,1,0))))))</f>
        <v>3</v>
      </c>
    </row>
    <row r="755" spans="2:22">
      <c r="B755" s="318">
        <f t="shared" si="47"/>
        <v>46144</v>
      </c>
      <c r="C755" s="312">
        <v>7</v>
      </c>
      <c r="D755" s="368">
        <f>IFERROR((INDEX(METADATA!$T$2:$T$20,MATCH(B755,METADATA!$S$2:$S$20,0))),0)</f>
        <v>0</v>
      </c>
      <c r="E755" s="312" t="str">
        <f t="shared" si="44"/>
        <v>LO</v>
      </c>
      <c r="F755" s="369">
        <f>VLOOKUP(C755,METADATA!$A$5:$H$29,IF(E755="HI",2,IF(E755="LO",6,10))+IF(D755=1,2,IF(D755=7,1,(IF(WEEKDAY(B755)=1,2,IF(WEEKDAY(B755)=7,1,0))))))</f>
        <v>2</v>
      </c>
      <c r="G755" s="369">
        <f>VLOOKUP(C755,METADATA!$J$5:$Q$29,IF(E755="HI",2,IF(E755="LO",6,10))+IF(D755=1,2,IF(D755=7,1,(IF(WEEKDAY(B755)=1,2,IF(WEEKDAY(B755)=7,1,0))))))</f>
        <v>2</v>
      </c>
      <c r="H755" s="370">
        <v>13125.26025390625</v>
      </c>
      <c r="I755" s="370">
        <v>2658.6634483337402</v>
      </c>
      <c r="M755" s="371">
        <f t="shared" si="45"/>
        <v>13391.823925973527</v>
      </c>
      <c r="N755" s="329">
        <f t="shared" si="46"/>
        <v>0</v>
      </c>
      <c r="T755" s="331">
        <v>0</v>
      </c>
      <c r="U755" s="328">
        <f>VLOOKUP(C755,METADATA!$J$5:$Q$29,IF(E755="HI",2,IF(E755="LO",6,10))+IF(T755=1,2,IF(D755=7,1,(IF(WEEKDAY(B755)=1,2,IF(WEEKDAY(B755)=7,1,0))))))</f>
        <v>2</v>
      </c>
      <c r="V755" s="328">
        <f>VLOOKUP(C755,METADATA!$A$5:$H$29,IF(E755="HI",2,IF(E755="LO",6,10))+IF(T755=1,2,IF(D755=7,1,(IF(WEEKDAY(B755)=1,2,IF(WEEKDAY(B755)=7,1,0))))))</f>
        <v>2</v>
      </c>
    </row>
    <row r="756" spans="2:22">
      <c r="B756" s="318">
        <f t="shared" si="47"/>
        <v>46144</v>
      </c>
      <c r="C756" s="312">
        <v>8</v>
      </c>
      <c r="D756" s="368">
        <f>IFERROR((INDEX(METADATA!$T$2:$T$20,MATCH(B756,METADATA!$S$2:$S$20,0))),0)</f>
        <v>0</v>
      </c>
      <c r="E756" s="312" t="str">
        <f t="shared" si="44"/>
        <v>LO</v>
      </c>
      <c r="F756" s="369">
        <f>VLOOKUP(C756,METADATA!$A$5:$H$29,IF(E756="HI",2,IF(E756="LO",6,10))+IF(D756=1,2,IF(D756=7,1,(IF(WEEKDAY(B756)=1,2,IF(WEEKDAY(B756)=7,1,0))))))</f>
        <v>2</v>
      </c>
      <c r="G756" s="369">
        <f>VLOOKUP(C756,METADATA!$J$5:$Q$29,IF(E756="HI",2,IF(E756="LO",6,10))+IF(D756=1,2,IF(D756=7,1,(IF(WEEKDAY(B756)=1,2,IF(WEEKDAY(B756)=7,1,0))))))</f>
        <v>2</v>
      </c>
      <c r="H756" s="370">
        <v>13326.415100097656</v>
      </c>
      <c r="I756" s="370">
        <v>2662.2705326080322</v>
      </c>
      <c r="M756" s="371">
        <f t="shared" si="45"/>
        <v>13589.739651991273</v>
      </c>
      <c r="N756" s="329">
        <f t="shared" si="46"/>
        <v>0</v>
      </c>
      <c r="T756" s="331">
        <v>0</v>
      </c>
      <c r="U756" s="328">
        <f>VLOOKUP(C756,METADATA!$J$5:$Q$29,IF(E756="HI",2,IF(E756="LO",6,10))+IF(T756=1,2,IF(D756=7,1,(IF(WEEKDAY(B756)=1,2,IF(WEEKDAY(B756)=7,1,0))))))</f>
        <v>2</v>
      </c>
      <c r="V756" s="328">
        <f>VLOOKUP(C756,METADATA!$A$5:$H$29,IF(E756="HI",2,IF(E756="LO",6,10))+IF(T756=1,2,IF(D756=7,1,(IF(WEEKDAY(B756)=1,2,IF(WEEKDAY(B756)=7,1,0))))))</f>
        <v>2</v>
      </c>
    </row>
    <row r="757" spans="2:22">
      <c r="B757" s="318">
        <f t="shared" si="47"/>
        <v>46144</v>
      </c>
      <c r="C757" s="312">
        <v>9</v>
      </c>
      <c r="D757" s="368">
        <f>IFERROR((INDEX(METADATA!$T$2:$T$20,MATCH(B757,METADATA!$S$2:$S$20,0))),0)</f>
        <v>0</v>
      </c>
      <c r="E757" s="312" t="str">
        <f t="shared" si="44"/>
        <v>LO</v>
      </c>
      <c r="F757" s="369">
        <f>VLOOKUP(C757,METADATA!$A$5:$H$29,IF(E757="HI",2,IF(E757="LO",6,10))+IF(D757=1,2,IF(D757=7,1,(IF(WEEKDAY(B757)=1,2,IF(WEEKDAY(B757)=7,1,0))))))</f>
        <v>2</v>
      </c>
      <c r="G757" s="369">
        <f>VLOOKUP(C757,METADATA!$J$5:$Q$29,IF(E757="HI",2,IF(E757="LO",6,10))+IF(D757=1,2,IF(D757=7,1,(IF(WEEKDAY(B757)=1,2,IF(WEEKDAY(B757)=7,1,0))))))</f>
        <v>2</v>
      </c>
      <c r="H757" s="370">
        <v>13460.320190429688</v>
      </c>
      <c r="I757" s="370">
        <v>2642.1950416564941</v>
      </c>
      <c r="M757" s="371">
        <f t="shared" si="45"/>
        <v>13717.194110569524</v>
      </c>
      <c r="N757" s="329">
        <f t="shared" si="46"/>
        <v>0</v>
      </c>
      <c r="T757" s="331">
        <v>0</v>
      </c>
      <c r="U757" s="328">
        <f>VLOOKUP(C757,METADATA!$J$5:$Q$29,IF(E757="HI",2,IF(E757="LO",6,10))+IF(T757=1,2,IF(D757=7,1,(IF(WEEKDAY(B757)=1,2,IF(WEEKDAY(B757)=7,1,0))))))</f>
        <v>2</v>
      </c>
      <c r="V757" s="328">
        <f>VLOOKUP(C757,METADATA!$A$5:$H$29,IF(E757="HI",2,IF(E757="LO",6,10))+IF(T757=1,2,IF(D757=7,1,(IF(WEEKDAY(B757)=1,2,IF(WEEKDAY(B757)=7,1,0))))))</f>
        <v>2</v>
      </c>
    </row>
    <row r="758" spans="2:22">
      <c r="B758" s="318">
        <f t="shared" si="47"/>
        <v>46144</v>
      </c>
      <c r="C758" s="312">
        <v>10</v>
      </c>
      <c r="D758" s="368">
        <f>IFERROR((INDEX(METADATA!$T$2:$T$20,MATCH(B758,METADATA!$S$2:$S$20,0))),0)</f>
        <v>0</v>
      </c>
      <c r="E758" s="312" t="str">
        <f t="shared" si="44"/>
        <v>LO</v>
      </c>
      <c r="F758" s="369">
        <f>VLOOKUP(C758,METADATA!$A$5:$H$29,IF(E758="HI",2,IF(E758="LO",6,10))+IF(D758=1,2,IF(D758=7,1,(IF(WEEKDAY(B758)=1,2,IF(WEEKDAY(B758)=7,1,0))))))</f>
        <v>2</v>
      </c>
      <c r="G758" s="369">
        <f>VLOOKUP(C758,METADATA!$J$5:$Q$29,IF(E758="HI",2,IF(E758="LO",6,10))+IF(D758=1,2,IF(D758=7,1,(IF(WEEKDAY(B758)=1,2,IF(WEEKDAY(B758)=7,1,0))))))</f>
        <v>2</v>
      </c>
      <c r="H758" s="370">
        <v>13505.535034179688</v>
      </c>
      <c r="I758" s="370">
        <v>2614.089542388916</v>
      </c>
      <c r="M758" s="371">
        <f t="shared" si="45"/>
        <v>13756.196447240858</v>
      </c>
      <c r="N758" s="329">
        <f t="shared" si="46"/>
        <v>0</v>
      </c>
      <c r="T758" s="331">
        <v>0</v>
      </c>
      <c r="U758" s="328">
        <f>VLOOKUP(C758,METADATA!$J$5:$Q$29,IF(E758="HI",2,IF(E758="LO",6,10))+IF(T758=1,2,IF(D758=7,1,(IF(WEEKDAY(B758)=1,2,IF(WEEKDAY(B758)=7,1,0))))))</f>
        <v>2</v>
      </c>
      <c r="V758" s="328">
        <f>VLOOKUP(C758,METADATA!$A$5:$H$29,IF(E758="HI",2,IF(E758="LO",6,10))+IF(T758=1,2,IF(D758=7,1,(IF(WEEKDAY(B758)=1,2,IF(WEEKDAY(B758)=7,1,0))))))</f>
        <v>2</v>
      </c>
    </row>
    <row r="759" spans="2:22">
      <c r="B759" s="318">
        <f t="shared" si="47"/>
        <v>46144</v>
      </c>
      <c r="C759" s="312">
        <v>11</v>
      </c>
      <c r="D759" s="368">
        <f>IFERROR((INDEX(METADATA!$T$2:$T$20,MATCH(B759,METADATA!$S$2:$S$20,0))),0)</f>
        <v>0</v>
      </c>
      <c r="E759" s="312" t="str">
        <f t="shared" si="44"/>
        <v>LO</v>
      </c>
      <c r="F759" s="369">
        <f>VLOOKUP(C759,METADATA!$A$5:$H$29,IF(E759="HI",2,IF(E759="LO",6,10))+IF(D759=1,2,IF(D759=7,1,(IF(WEEKDAY(B759)=1,2,IF(WEEKDAY(B759)=7,1,0))))))</f>
        <v>2</v>
      </c>
      <c r="G759" s="369">
        <f>VLOOKUP(C759,METADATA!$J$5:$Q$29,IF(E759="HI",2,IF(E759="LO",6,10))+IF(D759=1,2,IF(D759=7,1,(IF(WEEKDAY(B759)=1,2,IF(WEEKDAY(B759)=7,1,0))))))</f>
        <v>2</v>
      </c>
      <c r="H759" s="370">
        <v>13577.375183105469</v>
      </c>
      <c r="I759" s="370">
        <v>2694.2869071960449</v>
      </c>
      <c r="M759" s="371">
        <f t="shared" si="45"/>
        <v>13842.120458986632</v>
      </c>
      <c r="N759" s="329">
        <f t="shared" si="46"/>
        <v>0</v>
      </c>
      <c r="T759" s="331">
        <v>0</v>
      </c>
      <c r="U759" s="328">
        <f>VLOOKUP(C759,METADATA!$J$5:$Q$29,IF(E759="HI",2,IF(E759="LO",6,10))+IF(T759=1,2,IF(D759=7,1,(IF(WEEKDAY(B759)=1,2,IF(WEEKDAY(B759)=7,1,0))))))</f>
        <v>2</v>
      </c>
      <c r="V759" s="328">
        <f>VLOOKUP(C759,METADATA!$A$5:$H$29,IF(E759="HI",2,IF(E759="LO",6,10))+IF(T759=1,2,IF(D759=7,1,(IF(WEEKDAY(B759)=1,2,IF(WEEKDAY(B759)=7,1,0))))))</f>
        <v>2</v>
      </c>
    </row>
    <row r="760" spans="2:22">
      <c r="B760" s="318">
        <f t="shared" si="47"/>
        <v>46144</v>
      </c>
      <c r="C760" s="312">
        <v>12</v>
      </c>
      <c r="D760" s="368">
        <f>IFERROR((INDEX(METADATA!$T$2:$T$20,MATCH(B760,METADATA!$S$2:$S$20,0))),0)</f>
        <v>0</v>
      </c>
      <c r="E760" s="312" t="str">
        <f t="shared" si="44"/>
        <v>LO</v>
      </c>
      <c r="F760" s="369">
        <f>VLOOKUP(C760,METADATA!$A$5:$H$29,IF(E760="HI",2,IF(E760="LO",6,10))+IF(D760=1,2,IF(D760=7,1,(IF(WEEKDAY(B760)=1,2,IF(WEEKDAY(B760)=7,1,0))))))</f>
        <v>3</v>
      </c>
      <c r="G760" s="369">
        <f>VLOOKUP(C760,METADATA!$J$5:$Q$29,IF(E760="HI",2,IF(E760="LO",6,10))+IF(D760=1,2,IF(D760=7,1,(IF(WEEKDAY(B760)=1,2,IF(WEEKDAY(B760)=7,1,0))))))</f>
        <v>3</v>
      </c>
      <c r="H760" s="370">
        <v>13672.800476074219</v>
      </c>
      <c r="I760" s="370">
        <v>2360.6329460144043</v>
      </c>
      <c r="M760" s="371">
        <f t="shared" si="45"/>
        <v>13875.087775014039</v>
      </c>
      <c r="N760" s="329">
        <f t="shared" si="46"/>
        <v>0</v>
      </c>
      <c r="T760" s="331">
        <v>0</v>
      </c>
      <c r="U760" s="328">
        <f>VLOOKUP(C760,METADATA!$J$5:$Q$29,IF(E760="HI",2,IF(E760="LO",6,10))+IF(T760=1,2,IF(D760=7,1,(IF(WEEKDAY(B760)=1,2,IF(WEEKDAY(B760)=7,1,0))))))</f>
        <v>3</v>
      </c>
      <c r="V760" s="328">
        <f>VLOOKUP(C760,METADATA!$A$5:$H$29,IF(E760="HI",2,IF(E760="LO",6,10))+IF(T760=1,2,IF(D760=7,1,(IF(WEEKDAY(B760)=1,2,IF(WEEKDAY(B760)=7,1,0))))))</f>
        <v>3</v>
      </c>
    </row>
    <row r="761" spans="2:22">
      <c r="B761" s="318">
        <f t="shared" si="47"/>
        <v>46144</v>
      </c>
      <c r="C761" s="312">
        <v>13</v>
      </c>
      <c r="D761" s="368">
        <f>IFERROR((INDEX(METADATA!$T$2:$T$20,MATCH(B761,METADATA!$S$2:$S$20,0))),0)</f>
        <v>0</v>
      </c>
      <c r="E761" s="312" t="str">
        <f t="shared" si="44"/>
        <v>LO</v>
      </c>
      <c r="F761" s="369">
        <f>VLOOKUP(C761,METADATA!$A$5:$H$29,IF(E761="HI",2,IF(E761="LO",6,10))+IF(D761=1,2,IF(D761=7,1,(IF(WEEKDAY(B761)=1,2,IF(WEEKDAY(B761)=7,1,0))))))</f>
        <v>3</v>
      </c>
      <c r="G761" s="369">
        <f>VLOOKUP(C761,METADATA!$J$5:$Q$29,IF(E761="HI",2,IF(E761="LO",6,10))+IF(D761=1,2,IF(D761=7,1,(IF(WEEKDAY(B761)=1,2,IF(WEEKDAY(B761)=7,1,0))))))</f>
        <v>3</v>
      </c>
      <c r="H761" s="370">
        <v>13655.649963378906</v>
      </c>
      <c r="I761" s="370">
        <v>1962.3594932556152</v>
      </c>
      <c r="M761" s="371">
        <f t="shared" si="45"/>
        <v>13795.928047909671</v>
      </c>
      <c r="N761" s="329">
        <f t="shared" si="46"/>
        <v>0</v>
      </c>
      <c r="T761" s="331">
        <v>0</v>
      </c>
      <c r="U761" s="328">
        <f>VLOOKUP(C761,METADATA!$J$5:$Q$29,IF(E761="HI",2,IF(E761="LO",6,10))+IF(T761=1,2,IF(D761=7,1,(IF(WEEKDAY(B761)=1,2,IF(WEEKDAY(B761)=7,1,0))))))</f>
        <v>3</v>
      </c>
      <c r="V761" s="328">
        <f>VLOOKUP(C761,METADATA!$A$5:$H$29,IF(E761="HI",2,IF(E761="LO",6,10))+IF(T761=1,2,IF(D761=7,1,(IF(WEEKDAY(B761)=1,2,IF(WEEKDAY(B761)=7,1,0))))))</f>
        <v>3</v>
      </c>
    </row>
    <row r="762" spans="2:22">
      <c r="B762" s="318">
        <f t="shared" si="47"/>
        <v>46144</v>
      </c>
      <c r="C762" s="312">
        <v>14</v>
      </c>
      <c r="D762" s="368">
        <f>IFERROR((INDEX(METADATA!$T$2:$T$20,MATCH(B762,METADATA!$S$2:$S$20,0))),0)</f>
        <v>0</v>
      </c>
      <c r="E762" s="312" t="str">
        <f t="shared" si="44"/>
        <v>LO</v>
      </c>
      <c r="F762" s="369">
        <f>VLOOKUP(C762,METADATA!$A$5:$H$29,IF(E762="HI",2,IF(E762="LO",6,10))+IF(D762=1,2,IF(D762=7,1,(IF(WEEKDAY(B762)=1,2,IF(WEEKDAY(B762)=7,1,0))))))</f>
        <v>3</v>
      </c>
      <c r="G762" s="369">
        <f>VLOOKUP(C762,METADATA!$J$5:$Q$29,IF(E762="HI",2,IF(E762="LO",6,10))+IF(D762=1,2,IF(D762=7,1,(IF(WEEKDAY(B762)=1,2,IF(WEEKDAY(B762)=7,1,0))))))</f>
        <v>3</v>
      </c>
      <c r="H762" s="370">
        <v>13036.255065917969</v>
      </c>
      <c r="I762" s="370">
        <v>1835.8560056686401</v>
      </c>
      <c r="M762" s="371">
        <f t="shared" si="45"/>
        <v>13164.889419103432</v>
      </c>
      <c r="N762" s="329">
        <f t="shared" si="46"/>
        <v>0</v>
      </c>
      <c r="T762" s="331">
        <v>0</v>
      </c>
      <c r="U762" s="328">
        <f>VLOOKUP(C762,METADATA!$J$5:$Q$29,IF(E762="HI",2,IF(E762="LO",6,10))+IF(T762=1,2,IF(D762=7,1,(IF(WEEKDAY(B762)=1,2,IF(WEEKDAY(B762)=7,1,0))))))</f>
        <v>3</v>
      </c>
      <c r="V762" s="328">
        <f>VLOOKUP(C762,METADATA!$A$5:$H$29,IF(E762="HI",2,IF(E762="LO",6,10))+IF(T762=1,2,IF(D762=7,1,(IF(WEEKDAY(B762)=1,2,IF(WEEKDAY(B762)=7,1,0))))))</f>
        <v>3</v>
      </c>
    </row>
    <row r="763" spans="2:22">
      <c r="B763" s="318">
        <f t="shared" si="47"/>
        <v>46144</v>
      </c>
      <c r="C763" s="312">
        <v>15</v>
      </c>
      <c r="D763" s="368">
        <f>IFERROR((INDEX(METADATA!$T$2:$T$20,MATCH(B763,METADATA!$S$2:$S$20,0))),0)</f>
        <v>0</v>
      </c>
      <c r="E763" s="312" t="str">
        <f t="shared" si="44"/>
        <v>LO</v>
      </c>
      <c r="F763" s="369">
        <f>VLOOKUP(C763,METADATA!$A$5:$H$29,IF(E763="HI",2,IF(E763="LO",6,10))+IF(D763=1,2,IF(D763=7,1,(IF(WEEKDAY(B763)=1,2,IF(WEEKDAY(B763)=7,1,0))))))</f>
        <v>3</v>
      </c>
      <c r="G763" s="369">
        <f>VLOOKUP(C763,METADATA!$J$5:$Q$29,IF(E763="HI",2,IF(E763="LO",6,10))+IF(D763=1,2,IF(D763=7,1,(IF(WEEKDAY(B763)=1,2,IF(WEEKDAY(B763)=7,1,0))))))</f>
        <v>3</v>
      </c>
      <c r="H763" s="370">
        <v>13487.159851074219</v>
      </c>
      <c r="I763" s="370">
        <v>2012.1825103759766</v>
      </c>
      <c r="M763" s="371">
        <f t="shared" si="45"/>
        <v>13636.43499245647</v>
      </c>
      <c r="N763" s="329">
        <f t="shared" si="46"/>
        <v>0</v>
      </c>
      <c r="T763" s="331">
        <v>0</v>
      </c>
      <c r="U763" s="328">
        <f>VLOOKUP(C763,METADATA!$J$5:$Q$29,IF(E763="HI",2,IF(E763="LO",6,10))+IF(T763=1,2,IF(D763=7,1,(IF(WEEKDAY(B763)=1,2,IF(WEEKDAY(B763)=7,1,0))))))</f>
        <v>3</v>
      </c>
      <c r="V763" s="328">
        <f>VLOOKUP(C763,METADATA!$A$5:$H$29,IF(E763="HI",2,IF(E763="LO",6,10))+IF(T763=1,2,IF(D763=7,1,(IF(WEEKDAY(B763)=1,2,IF(WEEKDAY(B763)=7,1,0))))))</f>
        <v>3</v>
      </c>
    </row>
    <row r="764" spans="2:22">
      <c r="B764" s="318">
        <f t="shared" si="47"/>
        <v>46144</v>
      </c>
      <c r="C764" s="312">
        <v>16</v>
      </c>
      <c r="D764" s="368">
        <f>IFERROR((INDEX(METADATA!$T$2:$T$20,MATCH(B764,METADATA!$S$2:$S$20,0))),0)</f>
        <v>0</v>
      </c>
      <c r="E764" s="312" t="str">
        <f t="shared" si="44"/>
        <v>LO</v>
      </c>
      <c r="F764" s="369">
        <f>VLOOKUP(C764,METADATA!$A$5:$H$29,IF(E764="HI",2,IF(E764="LO",6,10))+IF(D764=1,2,IF(D764=7,1,(IF(WEEKDAY(B764)=1,2,IF(WEEKDAY(B764)=7,1,0))))))</f>
        <v>3</v>
      </c>
      <c r="G764" s="369">
        <f>VLOOKUP(C764,METADATA!$J$5:$Q$29,IF(E764="HI",2,IF(E764="LO",6,10))+IF(D764=1,2,IF(D764=7,1,(IF(WEEKDAY(B764)=1,2,IF(WEEKDAY(B764)=7,1,0))))))</f>
        <v>3</v>
      </c>
      <c r="H764" s="370">
        <v>12891.340576171875</v>
      </c>
      <c r="I764" s="370">
        <v>1687.8725201487541</v>
      </c>
      <c r="M764" s="371">
        <f t="shared" si="45"/>
        <v>13001.368216273575</v>
      </c>
      <c r="N764" s="329">
        <f t="shared" si="46"/>
        <v>0</v>
      </c>
      <c r="T764" s="331">
        <v>0</v>
      </c>
      <c r="U764" s="328">
        <f>VLOOKUP(C764,METADATA!$J$5:$Q$29,IF(E764="HI",2,IF(E764="LO",6,10))+IF(T764=1,2,IF(D764=7,1,(IF(WEEKDAY(B764)=1,2,IF(WEEKDAY(B764)=7,1,0))))))</f>
        <v>3</v>
      </c>
      <c r="V764" s="328">
        <f>VLOOKUP(C764,METADATA!$A$5:$H$29,IF(E764="HI",2,IF(E764="LO",6,10))+IF(T764=1,2,IF(D764=7,1,(IF(WEEKDAY(B764)=1,2,IF(WEEKDAY(B764)=7,1,0))))))</f>
        <v>3</v>
      </c>
    </row>
    <row r="765" spans="2:22">
      <c r="B765" s="318">
        <f t="shared" si="47"/>
        <v>46144</v>
      </c>
      <c r="C765" s="312">
        <v>17</v>
      </c>
      <c r="D765" s="368">
        <f>IFERROR((INDEX(METADATA!$T$2:$T$20,MATCH(B765,METADATA!$S$2:$S$20,0))),0)</f>
        <v>0</v>
      </c>
      <c r="E765" s="312" t="str">
        <f t="shared" si="44"/>
        <v>LO</v>
      </c>
      <c r="F765" s="369">
        <f>VLOOKUP(C765,METADATA!$A$5:$H$29,IF(E765="HI",2,IF(E765="LO",6,10))+IF(D765=1,2,IF(D765=7,1,(IF(WEEKDAY(B765)=1,2,IF(WEEKDAY(B765)=7,1,0))))))</f>
        <v>3</v>
      </c>
      <c r="G765" s="369">
        <f>VLOOKUP(C765,METADATA!$J$5:$Q$29,IF(E765="HI",2,IF(E765="LO",6,10))+IF(D765=1,2,IF(D765=7,1,(IF(WEEKDAY(B765)=1,2,IF(WEEKDAY(B765)=7,1,0))))))</f>
        <v>3</v>
      </c>
      <c r="H765" s="370">
        <v>12887.520080566406</v>
      </c>
      <c r="I765" s="370">
        <v>1668.0005283355713</v>
      </c>
      <c r="M765" s="371">
        <f t="shared" si="45"/>
        <v>12995.014412825023</v>
      </c>
      <c r="N765" s="329">
        <f t="shared" si="46"/>
        <v>0</v>
      </c>
      <c r="T765" s="331">
        <v>0</v>
      </c>
      <c r="U765" s="328">
        <f>VLOOKUP(C765,METADATA!$J$5:$Q$29,IF(E765="HI",2,IF(E765="LO",6,10))+IF(T765=1,2,IF(D765=7,1,(IF(WEEKDAY(B765)=1,2,IF(WEEKDAY(B765)=7,1,0))))))</f>
        <v>3</v>
      </c>
      <c r="V765" s="328">
        <f>VLOOKUP(C765,METADATA!$A$5:$H$29,IF(E765="HI",2,IF(E765="LO",6,10))+IF(T765=1,2,IF(D765=7,1,(IF(WEEKDAY(B765)=1,2,IF(WEEKDAY(B765)=7,1,0))))))</f>
        <v>3</v>
      </c>
    </row>
    <row r="766" spans="2:22">
      <c r="B766" s="318">
        <f t="shared" si="47"/>
        <v>46144</v>
      </c>
      <c r="C766" s="312">
        <v>18</v>
      </c>
      <c r="D766" s="368">
        <f>IFERROR((INDEX(METADATA!$T$2:$T$20,MATCH(B766,METADATA!$S$2:$S$20,0))),0)</f>
        <v>0</v>
      </c>
      <c r="E766" s="312" t="str">
        <f t="shared" si="44"/>
        <v>LO</v>
      </c>
      <c r="F766" s="369">
        <f>VLOOKUP(C766,METADATA!$A$5:$H$29,IF(E766="HI",2,IF(E766="LO",6,10))+IF(D766=1,2,IF(D766=7,1,(IF(WEEKDAY(B766)=1,2,IF(WEEKDAY(B766)=7,1,0))))))</f>
        <v>2</v>
      </c>
      <c r="G766" s="369">
        <f>VLOOKUP(C766,METADATA!$J$5:$Q$29,IF(E766="HI",2,IF(E766="LO",6,10))+IF(D766=1,2,IF(D766=7,1,(IF(WEEKDAY(B766)=1,2,IF(WEEKDAY(B766)=7,1,0))))))</f>
        <v>2</v>
      </c>
      <c r="H766" s="370">
        <v>13240.360107421875</v>
      </c>
      <c r="I766" s="370">
        <v>1709.9025497436523</v>
      </c>
      <c r="M766" s="371">
        <f t="shared" si="45"/>
        <v>13350.314696808777</v>
      </c>
      <c r="N766" s="329">
        <f t="shared" si="46"/>
        <v>0</v>
      </c>
      <c r="T766" s="331">
        <v>0</v>
      </c>
      <c r="U766" s="328">
        <f>VLOOKUP(C766,METADATA!$J$5:$Q$29,IF(E766="HI",2,IF(E766="LO",6,10))+IF(T766=1,2,IF(D766=7,1,(IF(WEEKDAY(B766)=1,2,IF(WEEKDAY(B766)=7,1,0))))))</f>
        <v>2</v>
      </c>
      <c r="V766" s="328">
        <f>VLOOKUP(C766,METADATA!$A$5:$H$29,IF(E766="HI",2,IF(E766="LO",6,10))+IF(T766=1,2,IF(D766=7,1,(IF(WEEKDAY(B766)=1,2,IF(WEEKDAY(B766)=7,1,0))))))</f>
        <v>2</v>
      </c>
    </row>
    <row r="767" spans="2:22">
      <c r="B767" s="318">
        <f t="shared" si="47"/>
        <v>46144</v>
      </c>
      <c r="C767" s="312">
        <v>19</v>
      </c>
      <c r="D767" s="368">
        <f>IFERROR((INDEX(METADATA!$T$2:$T$20,MATCH(B767,METADATA!$S$2:$S$20,0))),0)</f>
        <v>0</v>
      </c>
      <c r="E767" s="312" t="str">
        <f t="shared" si="44"/>
        <v>LO</v>
      </c>
      <c r="F767" s="369">
        <f>VLOOKUP(C767,METADATA!$A$5:$H$29,IF(E767="HI",2,IF(E767="LO",6,10))+IF(D767=1,2,IF(D767=7,1,(IF(WEEKDAY(B767)=1,2,IF(WEEKDAY(B767)=7,1,0))))))</f>
        <v>2</v>
      </c>
      <c r="G767" s="369">
        <f>VLOOKUP(C767,METADATA!$J$5:$Q$29,IF(E767="HI",2,IF(E767="LO",6,10))+IF(D767=1,2,IF(D767=7,1,(IF(WEEKDAY(B767)=1,2,IF(WEEKDAY(B767)=7,1,0))))))</f>
        <v>2</v>
      </c>
      <c r="H767" s="370">
        <v>12822.62548828125</v>
      </c>
      <c r="I767" s="370">
        <v>1555.1284673213959</v>
      </c>
      <c r="M767" s="371">
        <f t="shared" si="45"/>
        <v>12916.584260654725</v>
      </c>
      <c r="N767" s="329">
        <f t="shared" si="46"/>
        <v>0</v>
      </c>
      <c r="T767" s="331">
        <v>0</v>
      </c>
      <c r="U767" s="328">
        <f>VLOOKUP(C767,METADATA!$J$5:$Q$29,IF(E767="HI",2,IF(E767="LO",6,10))+IF(T767=1,2,IF(D767=7,1,(IF(WEEKDAY(B767)=1,2,IF(WEEKDAY(B767)=7,1,0))))))</f>
        <v>2</v>
      </c>
      <c r="V767" s="328">
        <f>VLOOKUP(C767,METADATA!$A$5:$H$29,IF(E767="HI",2,IF(E767="LO",6,10))+IF(T767=1,2,IF(D767=7,1,(IF(WEEKDAY(B767)=1,2,IF(WEEKDAY(B767)=7,1,0))))))</f>
        <v>2</v>
      </c>
    </row>
    <row r="768" spans="2:22">
      <c r="B768" s="318">
        <f t="shared" si="47"/>
        <v>46144</v>
      </c>
      <c r="C768" s="312">
        <v>20</v>
      </c>
      <c r="D768" s="368">
        <f>IFERROR((INDEX(METADATA!$T$2:$T$20,MATCH(B768,METADATA!$S$2:$S$20,0))),0)</f>
        <v>0</v>
      </c>
      <c r="E768" s="312" t="str">
        <f t="shared" si="44"/>
        <v>LO</v>
      </c>
      <c r="F768" s="369">
        <f>VLOOKUP(C768,METADATA!$A$5:$H$29,IF(E768="HI",2,IF(E768="LO",6,10))+IF(D768=1,2,IF(D768=7,1,(IF(WEEKDAY(B768)=1,2,IF(WEEKDAY(B768)=7,1,0))))))</f>
        <v>3</v>
      </c>
      <c r="G768" s="369">
        <f>VLOOKUP(C768,METADATA!$J$5:$Q$29,IF(E768="HI",2,IF(E768="LO",6,10))+IF(D768=1,2,IF(D768=7,1,(IF(WEEKDAY(B768)=1,2,IF(WEEKDAY(B768)=7,1,0))))))</f>
        <v>3</v>
      </c>
      <c r="H768" s="370">
        <v>12221.494567871094</v>
      </c>
      <c r="I768" s="370">
        <v>1420.7054957151413</v>
      </c>
      <c r="M768" s="371">
        <f t="shared" si="45"/>
        <v>12303.793462914511</v>
      </c>
      <c r="N768" s="329">
        <f t="shared" si="46"/>
        <v>0</v>
      </c>
      <c r="T768" s="331">
        <v>0</v>
      </c>
      <c r="U768" s="328">
        <f>VLOOKUP(C768,METADATA!$J$5:$Q$29,IF(E768="HI",2,IF(E768="LO",6,10))+IF(T768=1,2,IF(D768=7,1,(IF(WEEKDAY(B768)=1,2,IF(WEEKDAY(B768)=7,1,0))))))</f>
        <v>3</v>
      </c>
      <c r="V768" s="328">
        <f>VLOOKUP(C768,METADATA!$A$5:$H$29,IF(E768="HI",2,IF(E768="LO",6,10))+IF(T768=1,2,IF(D768=7,1,(IF(WEEKDAY(B768)=1,2,IF(WEEKDAY(B768)=7,1,0))))))</f>
        <v>3</v>
      </c>
    </row>
    <row r="769" spans="2:22">
      <c r="B769" s="318">
        <f t="shared" si="47"/>
        <v>46144</v>
      </c>
      <c r="C769" s="312">
        <v>21</v>
      </c>
      <c r="D769" s="368">
        <f>IFERROR((INDEX(METADATA!$T$2:$T$20,MATCH(B769,METADATA!$S$2:$S$20,0))),0)</f>
        <v>0</v>
      </c>
      <c r="E769" s="312" t="str">
        <f t="shared" si="44"/>
        <v>LO</v>
      </c>
      <c r="F769" s="369">
        <f>VLOOKUP(C769,METADATA!$A$5:$H$29,IF(E769="HI",2,IF(E769="LO",6,10))+IF(D769=1,2,IF(D769=7,1,(IF(WEEKDAY(B769)=1,2,IF(WEEKDAY(B769)=7,1,0))))))</f>
        <v>3</v>
      </c>
      <c r="G769" s="369">
        <f>VLOOKUP(C769,METADATA!$J$5:$Q$29,IF(E769="HI",2,IF(E769="LO",6,10))+IF(D769=1,2,IF(D769=7,1,(IF(WEEKDAY(B769)=1,2,IF(WEEKDAY(B769)=7,1,0))))))</f>
        <v>3</v>
      </c>
      <c r="H769" s="370">
        <v>12579.009704589844</v>
      </c>
      <c r="I769" s="370">
        <v>1550.9500016570091</v>
      </c>
      <c r="M769" s="371">
        <f t="shared" si="45"/>
        <v>12674.262544850701</v>
      </c>
      <c r="N769" s="329">
        <f t="shared" si="46"/>
        <v>0</v>
      </c>
      <c r="T769" s="331">
        <v>0</v>
      </c>
      <c r="U769" s="328">
        <f>VLOOKUP(C769,METADATA!$J$5:$Q$29,IF(E769="HI",2,IF(E769="LO",6,10))+IF(T769=1,2,IF(D769=7,1,(IF(WEEKDAY(B769)=1,2,IF(WEEKDAY(B769)=7,1,0))))))</f>
        <v>3</v>
      </c>
      <c r="V769" s="328">
        <f>VLOOKUP(C769,METADATA!$A$5:$H$29,IF(E769="HI",2,IF(E769="LO",6,10))+IF(T769=1,2,IF(D769=7,1,(IF(WEEKDAY(B769)=1,2,IF(WEEKDAY(B769)=7,1,0))))))</f>
        <v>3</v>
      </c>
    </row>
    <row r="770" spans="2:22">
      <c r="B770" s="318">
        <f t="shared" si="47"/>
        <v>46144</v>
      </c>
      <c r="C770" s="312">
        <v>22</v>
      </c>
      <c r="D770" s="368">
        <f>IFERROR((INDEX(METADATA!$T$2:$T$20,MATCH(B770,METADATA!$S$2:$S$20,0))),0)</f>
        <v>0</v>
      </c>
      <c r="E770" s="312" t="str">
        <f t="shared" si="44"/>
        <v>LO</v>
      </c>
      <c r="F770" s="369">
        <f>VLOOKUP(C770,METADATA!$A$5:$H$29,IF(E770="HI",2,IF(E770="LO",6,10))+IF(D770=1,2,IF(D770=7,1,(IF(WEEKDAY(B770)=1,2,IF(WEEKDAY(B770)=7,1,0))))))</f>
        <v>3</v>
      </c>
      <c r="G770" s="369">
        <f>VLOOKUP(C770,METADATA!$J$5:$Q$29,IF(E770="HI",2,IF(E770="LO",6,10))+IF(D770=1,2,IF(D770=7,1,(IF(WEEKDAY(B770)=1,2,IF(WEEKDAY(B770)=7,1,0))))))</f>
        <v>3</v>
      </c>
      <c r="H770" s="370">
        <v>12844.614807128906</v>
      </c>
      <c r="I770" s="370">
        <v>1746.9114856719971</v>
      </c>
      <c r="M770" s="371">
        <f t="shared" si="45"/>
        <v>12962.863467702184</v>
      </c>
      <c r="N770" s="329">
        <f t="shared" si="46"/>
        <v>0</v>
      </c>
      <c r="T770" s="331">
        <v>0</v>
      </c>
      <c r="U770" s="328">
        <f>VLOOKUP(C770,METADATA!$J$5:$Q$29,IF(E770="HI",2,IF(E770="LO",6,10))+IF(T770=1,2,IF(D770=7,1,(IF(WEEKDAY(B770)=1,2,IF(WEEKDAY(B770)=7,1,0))))))</f>
        <v>3</v>
      </c>
      <c r="V770" s="328">
        <f>VLOOKUP(C770,METADATA!$A$5:$H$29,IF(E770="HI",2,IF(E770="LO",6,10))+IF(T770=1,2,IF(D770=7,1,(IF(WEEKDAY(B770)=1,2,IF(WEEKDAY(B770)=7,1,0))))))</f>
        <v>3</v>
      </c>
    </row>
    <row r="771" spans="2:22">
      <c r="B771" s="318">
        <f t="shared" si="47"/>
        <v>46144</v>
      </c>
      <c r="C771" s="312">
        <v>23</v>
      </c>
      <c r="D771" s="368">
        <f>IFERROR((INDEX(METADATA!$T$2:$T$20,MATCH(B771,METADATA!$S$2:$S$20,0))),0)</f>
        <v>0</v>
      </c>
      <c r="E771" s="312" t="str">
        <f t="shared" si="44"/>
        <v>LO</v>
      </c>
      <c r="F771" s="369">
        <f>VLOOKUP(C771,METADATA!$A$5:$H$29,IF(E771="HI",2,IF(E771="LO",6,10))+IF(D771=1,2,IF(D771=7,1,(IF(WEEKDAY(B771)=1,2,IF(WEEKDAY(B771)=7,1,0))))))</f>
        <v>3</v>
      </c>
      <c r="G771" s="369">
        <f>VLOOKUP(C771,METADATA!$J$5:$Q$29,IF(E771="HI",2,IF(E771="LO",6,10))+IF(D771=1,2,IF(D771=7,1,(IF(WEEKDAY(B771)=1,2,IF(WEEKDAY(B771)=7,1,0))))))</f>
        <v>3</v>
      </c>
      <c r="H771" s="370">
        <v>12788.774963378906</v>
      </c>
      <c r="I771" s="370">
        <v>1772.7370257377625</v>
      </c>
      <c r="M771" s="371">
        <f t="shared" si="45"/>
        <v>12911.055790537375</v>
      </c>
      <c r="N771" s="329">
        <f t="shared" si="46"/>
        <v>0</v>
      </c>
      <c r="T771" s="331">
        <v>0</v>
      </c>
      <c r="U771" s="328">
        <f>VLOOKUP(C771,METADATA!$J$5:$Q$29,IF(E771="HI",2,IF(E771="LO",6,10))+IF(T771=1,2,IF(D771=7,1,(IF(WEEKDAY(B771)=1,2,IF(WEEKDAY(B771)=7,1,0))))))</f>
        <v>3</v>
      </c>
      <c r="V771" s="328">
        <f>VLOOKUP(C771,METADATA!$A$5:$H$29,IF(E771="HI",2,IF(E771="LO",6,10))+IF(T771=1,2,IF(D771=7,1,(IF(WEEKDAY(B771)=1,2,IF(WEEKDAY(B771)=7,1,0))))))</f>
        <v>3</v>
      </c>
    </row>
    <row r="772" spans="2:22">
      <c r="B772" s="318">
        <f t="shared" si="47"/>
        <v>46145</v>
      </c>
      <c r="C772" s="312">
        <v>0</v>
      </c>
      <c r="D772" s="368">
        <f>IFERROR((INDEX(METADATA!$T$2:$T$20,MATCH(B772,METADATA!$S$2:$S$20,0))),0)</f>
        <v>0</v>
      </c>
      <c r="E772" s="312" t="str">
        <f t="shared" ref="E772:E835" si="48">IF(B772="","",IF(AND(MONTH(B772)&gt;=MONTH($Z$9),MONTH(B772)&lt;=MONTH($Z$11)),"HI","LO"))</f>
        <v>LO</v>
      </c>
      <c r="F772" s="369">
        <f>VLOOKUP(C772,METADATA!$A$5:$H$29,IF(E772="HI",2,IF(E772="LO",6,10))+IF(D772=1,2,IF(D772=7,1,(IF(WEEKDAY(B772)=1,2,IF(WEEKDAY(B772)=7,1,0))))))</f>
        <v>3</v>
      </c>
      <c r="G772" s="369">
        <f>VLOOKUP(C772,METADATA!$J$5:$Q$29,IF(E772="HI",2,IF(E772="LO",6,10))+IF(D772=1,2,IF(D772=7,1,(IF(WEEKDAY(B772)=1,2,IF(WEEKDAY(B772)=7,1,0))))))</f>
        <v>3</v>
      </c>
      <c r="H772" s="370">
        <v>12963.329895019531</v>
      </c>
      <c r="I772" s="370">
        <v>1799.7849464416504</v>
      </c>
      <c r="M772" s="371">
        <f t="shared" ref="M772:M835" si="49">SQRT(H772^2+I772^2)</f>
        <v>13087.671596603615</v>
      </c>
      <c r="N772" s="329">
        <f t="shared" ref="N772:N835" si="50">IF(H772=0,0,(IF(I772-(0.3*H772)&lt;0,0,(I772-(0.3*H772)))))</f>
        <v>0</v>
      </c>
      <c r="T772" s="331">
        <v>0</v>
      </c>
      <c r="U772" s="328">
        <f>VLOOKUP(C772,METADATA!$J$5:$Q$29,IF(E772="HI",2,IF(E772="LO",6,10))+IF(T772=1,2,IF(D772=7,1,(IF(WEEKDAY(B772)=1,2,IF(WEEKDAY(B772)=7,1,0))))))</f>
        <v>3</v>
      </c>
      <c r="V772" s="328">
        <f>VLOOKUP(C772,METADATA!$A$5:$H$29,IF(E772="HI",2,IF(E772="LO",6,10))+IF(T772=1,2,IF(D772=7,1,(IF(WEEKDAY(B772)=1,2,IF(WEEKDAY(B772)=7,1,0))))))</f>
        <v>3</v>
      </c>
    </row>
    <row r="773" spans="2:22">
      <c r="B773" s="318">
        <f t="shared" si="47"/>
        <v>46145</v>
      </c>
      <c r="C773" s="312">
        <v>1</v>
      </c>
      <c r="D773" s="368">
        <f>IFERROR((INDEX(METADATA!$T$2:$T$20,MATCH(B773,METADATA!$S$2:$S$20,0))),0)</f>
        <v>0</v>
      </c>
      <c r="E773" s="312" t="str">
        <f t="shared" si="48"/>
        <v>LO</v>
      </c>
      <c r="F773" s="369">
        <f>VLOOKUP(C773,METADATA!$A$5:$H$29,IF(E773="HI",2,IF(E773="LO",6,10))+IF(D773=1,2,IF(D773=7,1,(IF(WEEKDAY(B773)=1,2,IF(WEEKDAY(B773)=7,1,0))))))</f>
        <v>3</v>
      </c>
      <c r="G773" s="369">
        <f>VLOOKUP(C773,METADATA!$J$5:$Q$29,IF(E773="HI",2,IF(E773="LO",6,10))+IF(D773=1,2,IF(D773=7,1,(IF(WEEKDAY(B773)=1,2,IF(WEEKDAY(B773)=7,1,0))))))</f>
        <v>3</v>
      </c>
      <c r="H773" s="370">
        <v>12958.335327148438</v>
      </c>
      <c r="I773" s="370">
        <v>1811.6394996643066</v>
      </c>
      <c r="M773" s="371">
        <f t="shared" si="49"/>
        <v>13084.360592996782</v>
      </c>
      <c r="N773" s="329">
        <f t="shared" si="50"/>
        <v>0</v>
      </c>
      <c r="T773" s="331">
        <v>0</v>
      </c>
      <c r="U773" s="328">
        <f>VLOOKUP(C773,METADATA!$J$5:$Q$29,IF(E773="HI",2,IF(E773="LO",6,10))+IF(T773=1,2,IF(D773=7,1,(IF(WEEKDAY(B773)=1,2,IF(WEEKDAY(B773)=7,1,0))))))</f>
        <v>3</v>
      </c>
      <c r="V773" s="328">
        <f>VLOOKUP(C773,METADATA!$A$5:$H$29,IF(E773="HI",2,IF(E773="LO",6,10))+IF(T773=1,2,IF(D773=7,1,(IF(WEEKDAY(B773)=1,2,IF(WEEKDAY(B773)=7,1,0))))))</f>
        <v>3</v>
      </c>
    </row>
    <row r="774" spans="2:22">
      <c r="B774" s="318">
        <f t="shared" si="47"/>
        <v>46145</v>
      </c>
      <c r="C774" s="312">
        <v>2</v>
      </c>
      <c r="D774" s="368">
        <f>IFERROR((INDEX(METADATA!$T$2:$T$20,MATCH(B774,METADATA!$S$2:$S$20,0))),0)</f>
        <v>0</v>
      </c>
      <c r="E774" s="312" t="str">
        <f t="shared" si="48"/>
        <v>LO</v>
      </c>
      <c r="F774" s="369">
        <f>VLOOKUP(C774,METADATA!$A$5:$H$29,IF(E774="HI",2,IF(E774="LO",6,10))+IF(D774=1,2,IF(D774=7,1,(IF(WEEKDAY(B774)=1,2,IF(WEEKDAY(B774)=7,1,0))))))</f>
        <v>3</v>
      </c>
      <c r="G774" s="369">
        <f>VLOOKUP(C774,METADATA!$J$5:$Q$29,IF(E774="HI",2,IF(E774="LO",6,10))+IF(D774=1,2,IF(D774=7,1,(IF(WEEKDAY(B774)=1,2,IF(WEEKDAY(B774)=7,1,0))))))</f>
        <v>3</v>
      </c>
      <c r="H774" s="370">
        <v>13045.359619140625</v>
      </c>
      <c r="I774" s="370">
        <v>1845.9810161590576</v>
      </c>
      <c r="M774" s="371">
        <f t="shared" si="49"/>
        <v>13175.31986346914</v>
      </c>
      <c r="N774" s="329">
        <f t="shared" si="50"/>
        <v>0</v>
      </c>
      <c r="T774" s="331">
        <v>0</v>
      </c>
      <c r="U774" s="328">
        <f>VLOOKUP(C774,METADATA!$J$5:$Q$29,IF(E774="HI",2,IF(E774="LO",6,10))+IF(T774=1,2,IF(D774=7,1,(IF(WEEKDAY(B774)=1,2,IF(WEEKDAY(B774)=7,1,0))))))</f>
        <v>3</v>
      </c>
      <c r="V774" s="328">
        <f>VLOOKUP(C774,METADATA!$A$5:$H$29,IF(E774="HI",2,IF(E774="LO",6,10))+IF(T774=1,2,IF(D774=7,1,(IF(WEEKDAY(B774)=1,2,IF(WEEKDAY(B774)=7,1,0))))))</f>
        <v>3</v>
      </c>
    </row>
    <row r="775" spans="2:22">
      <c r="B775" s="318">
        <f t="shared" si="47"/>
        <v>46145</v>
      </c>
      <c r="C775" s="312">
        <v>3</v>
      </c>
      <c r="D775" s="368">
        <f>IFERROR((INDEX(METADATA!$T$2:$T$20,MATCH(B775,METADATA!$S$2:$S$20,0))),0)</f>
        <v>0</v>
      </c>
      <c r="E775" s="312" t="str">
        <f t="shared" si="48"/>
        <v>LO</v>
      </c>
      <c r="F775" s="369">
        <f>VLOOKUP(C775,METADATA!$A$5:$H$29,IF(E775="HI",2,IF(E775="LO",6,10))+IF(D775=1,2,IF(D775=7,1,(IF(WEEKDAY(B775)=1,2,IF(WEEKDAY(B775)=7,1,0))))))</f>
        <v>3</v>
      </c>
      <c r="G775" s="369">
        <f>VLOOKUP(C775,METADATA!$J$5:$Q$29,IF(E775="HI",2,IF(E775="LO",6,10))+IF(D775=1,2,IF(D775=7,1,(IF(WEEKDAY(B775)=1,2,IF(WEEKDAY(B775)=7,1,0))))))</f>
        <v>3</v>
      </c>
      <c r="H775" s="370">
        <v>12206.105163574219</v>
      </c>
      <c r="I775" s="370">
        <v>1387.9924697875977</v>
      </c>
      <c r="M775" s="371">
        <f t="shared" si="49"/>
        <v>12284.76806294772</v>
      </c>
      <c r="N775" s="329">
        <f t="shared" si="50"/>
        <v>0</v>
      </c>
      <c r="T775" s="331">
        <v>0</v>
      </c>
      <c r="U775" s="328">
        <f>VLOOKUP(C775,METADATA!$J$5:$Q$29,IF(E775="HI",2,IF(E775="LO",6,10))+IF(T775=1,2,IF(D775=7,1,(IF(WEEKDAY(B775)=1,2,IF(WEEKDAY(B775)=7,1,0))))))</f>
        <v>3</v>
      </c>
      <c r="V775" s="328">
        <f>VLOOKUP(C775,METADATA!$A$5:$H$29,IF(E775="HI",2,IF(E775="LO",6,10))+IF(T775=1,2,IF(D775=7,1,(IF(WEEKDAY(B775)=1,2,IF(WEEKDAY(B775)=7,1,0))))))</f>
        <v>3</v>
      </c>
    </row>
    <row r="776" spans="2:22">
      <c r="B776" s="318">
        <f t="shared" si="47"/>
        <v>46145</v>
      </c>
      <c r="C776" s="312">
        <v>4</v>
      </c>
      <c r="D776" s="368">
        <f>IFERROR((INDEX(METADATA!$T$2:$T$20,MATCH(B776,METADATA!$S$2:$S$20,0))),0)</f>
        <v>0</v>
      </c>
      <c r="E776" s="312" t="str">
        <f t="shared" si="48"/>
        <v>LO</v>
      </c>
      <c r="F776" s="369">
        <f>VLOOKUP(C776,METADATA!$A$5:$H$29,IF(E776="HI",2,IF(E776="LO",6,10))+IF(D776=1,2,IF(D776=7,1,(IF(WEEKDAY(B776)=1,2,IF(WEEKDAY(B776)=7,1,0))))))</f>
        <v>3</v>
      </c>
      <c r="G776" s="369">
        <f>VLOOKUP(C776,METADATA!$J$5:$Q$29,IF(E776="HI",2,IF(E776="LO",6,10))+IF(D776=1,2,IF(D776=7,1,(IF(WEEKDAY(B776)=1,2,IF(WEEKDAY(B776)=7,1,0))))))</f>
        <v>3</v>
      </c>
      <c r="H776" s="370">
        <v>11696.069946289063</v>
      </c>
      <c r="I776" s="370">
        <v>1102.368495464325</v>
      </c>
      <c r="M776" s="371">
        <f t="shared" si="49"/>
        <v>11747.904855261575</v>
      </c>
      <c r="N776" s="329">
        <f t="shared" si="50"/>
        <v>0</v>
      </c>
      <c r="T776" s="331">
        <v>0</v>
      </c>
      <c r="U776" s="328">
        <f>VLOOKUP(C776,METADATA!$J$5:$Q$29,IF(E776="HI",2,IF(E776="LO",6,10))+IF(T776=1,2,IF(D776=7,1,(IF(WEEKDAY(B776)=1,2,IF(WEEKDAY(B776)=7,1,0))))))</f>
        <v>3</v>
      </c>
      <c r="V776" s="328">
        <f>VLOOKUP(C776,METADATA!$A$5:$H$29,IF(E776="HI",2,IF(E776="LO",6,10))+IF(T776=1,2,IF(D776=7,1,(IF(WEEKDAY(B776)=1,2,IF(WEEKDAY(B776)=7,1,0))))))</f>
        <v>3</v>
      </c>
    </row>
    <row r="777" spans="2:22">
      <c r="B777" s="318">
        <f t="shared" si="47"/>
        <v>46145</v>
      </c>
      <c r="C777" s="312">
        <v>5</v>
      </c>
      <c r="D777" s="368">
        <f>IFERROR((INDEX(METADATA!$T$2:$T$20,MATCH(B777,METADATA!$S$2:$S$20,0))),0)</f>
        <v>0</v>
      </c>
      <c r="E777" s="312" t="str">
        <f t="shared" si="48"/>
        <v>LO</v>
      </c>
      <c r="F777" s="369">
        <f>VLOOKUP(C777,METADATA!$A$5:$H$29,IF(E777="HI",2,IF(E777="LO",6,10))+IF(D777=1,2,IF(D777=7,1,(IF(WEEKDAY(B777)=1,2,IF(WEEKDAY(B777)=7,1,0))))))</f>
        <v>3</v>
      </c>
      <c r="G777" s="369">
        <f>VLOOKUP(C777,METADATA!$J$5:$Q$29,IF(E777="HI",2,IF(E777="LO",6,10))+IF(D777=1,2,IF(D777=7,1,(IF(WEEKDAY(B777)=1,2,IF(WEEKDAY(B777)=7,1,0))))))</f>
        <v>3</v>
      </c>
      <c r="H777" s="370">
        <v>12810.859924316406</v>
      </c>
      <c r="I777" s="370">
        <v>1508.4020328521729</v>
      </c>
      <c r="M777" s="371">
        <f t="shared" si="49"/>
        <v>12899.356910062173</v>
      </c>
      <c r="N777" s="329">
        <f t="shared" si="50"/>
        <v>0</v>
      </c>
      <c r="T777" s="331">
        <v>0</v>
      </c>
      <c r="U777" s="328">
        <f>VLOOKUP(C777,METADATA!$J$5:$Q$29,IF(E777="HI",2,IF(E777="LO",6,10))+IF(T777=1,2,IF(D777=7,1,(IF(WEEKDAY(B777)=1,2,IF(WEEKDAY(B777)=7,1,0))))))</f>
        <v>3</v>
      </c>
      <c r="V777" s="328">
        <f>VLOOKUP(C777,METADATA!$A$5:$H$29,IF(E777="HI",2,IF(E777="LO",6,10))+IF(T777=1,2,IF(D777=7,1,(IF(WEEKDAY(B777)=1,2,IF(WEEKDAY(B777)=7,1,0))))))</f>
        <v>3</v>
      </c>
    </row>
    <row r="778" spans="2:22">
      <c r="B778" s="318">
        <f t="shared" si="47"/>
        <v>46145</v>
      </c>
      <c r="C778" s="312">
        <v>6</v>
      </c>
      <c r="D778" s="368">
        <f>IFERROR((INDEX(METADATA!$T$2:$T$20,MATCH(B778,METADATA!$S$2:$S$20,0))),0)</f>
        <v>0</v>
      </c>
      <c r="E778" s="312" t="str">
        <f t="shared" si="48"/>
        <v>LO</v>
      </c>
      <c r="F778" s="369">
        <f>VLOOKUP(C778,METADATA!$A$5:$H$29,IF(E778="HI",2,IF(E778="LO",6,10))+IF(D778=1,2,IF(D778=7,1,(IF(WEEKDAY(B778)=1,2,IF(WEEKDAY(B778)=7,1,0))))))</f>
        <v>3</v>
      </c>
      <c r="G778" s="369">
        <f>VLOOKUP(C778,METADATA!$J$5:$Q$29,IF(E778="HI",2,IF(E778="LO",6,10))+IF(D778=1,2,IF(D778=7,1,(IF(WEEKDAY(B778)=1,2,IF(WEEKDAY(B778)=7,1,0))))))</f>
        <v>3</v>
      </c>
      <c r="H778" s="370">
        <v>7936.0249633789063</v>
      </c>
      <c r="I778" s="370">
        <v>401.52000427246094</v>
      </c>
      <c r="M778" s="371">
        <f t="shared" si="49"/>
        <v>7946.1758433352152</v>
      </c>
      <c r="N778" s="329">
        <f t="shared" si="50"/>
        <v>0</v>
      </c>
      <c r="T778" s="331">
        <v>0</v>
      </c>
      <c r="U778" s="328">
        <f>VLOOKUP(C778,METADATA!$J$5:$Q$29,IF(E778="HI",2,IF(E778="LO",6,10))+IF(T778=1,2,IF(D778=7,1,(IF(WEEKDAY(B778)=1,2,IF(WEEKDAY(B778)=7,1,0))))))</f>
        <v>3</v>
      </c>
      <c r="V778" s="328">
        <f>VLOOKUP(C778,METADATA!$A$5:$H$29,IF(E778="HI",2,IF(E778="LO",6,10))+IF(T778=1,2,IF(D778=7,1,(IF(WEEKDAY(B778)=1,2,IF(WEEKDAY(B778)=7,1,0))))))</f>
        <v>3</v>
      </c>
    </row>
    <row r="779" spans="2:22">
      <c r="B779" s="318">
        <f t="shared" si="47"/>
        <v>46145</v>
      </c>
      <c r="C779" s="312">
        <v>7</v>
      </c>
      <c r="D779" s="368">
        <f>IFERROR((INDEX(METADATA!$T$2:$T$20,MATCH(B779,METADATA!$S$2:$S$20,0))),0)</f>
        <v>0</v>
      </c>
      <c r="E779" s="312" t="str">
        <f t="shared" si="48"/>
        <v>LO</v>
      </c>
      <c r="F779" s="369">
        <f>VLOOKUP(C779,METADATA!$A$5:$H$29,IF(E779="HI",2,IF(E779="LO",6,10))+IF(D779=1,2,IF(D779=7,1,(IF(WEEKDAY(B779)=1,2,IF(WEEKDAY(B779)=7,1,0))))))</f>
        <v>3</v>
      </c>
      <c r="G779" s="369">
        <f>VLOOKUP(C779,METADATA!$J$5:$Q$29,IF(E779="HI",2,IF(E779="LO",6,10))+IF(D779=1,2,IF(D779=7,1,(IF(WEEKDAY(B779)=1,2,IF(WEEKDAY(B779)=7,1,0))))))</f>
        <v>3</v>
      </c>
      <c r="H779" s="370">
        <v>6560.8574523925781</v>
      </c>
      <c r="I779" s="370">
        <v>0</v>
      </c>
      <c r="M779" s="371">
        <f t="shared" si="49"/>
        <v>6560.8574523925781</v>
      </c>
      <c r="N779" s="329">
        <f t="shared" si="50"/>
        <v>0</v>
      </c>
      <c r="T779" s="331">
        <v>0</v>
      </c>
      <c r="U779" s="328">
        <f>VLOOKUP(C779,METADATA!$J$5:$Q$29,IF(E779="HI",2,IF(E779="LO",6,10))+IF(T779=1,2,IF(D779=7,1,(IF(WEEKDAY(B779)=1,2,IF(WEEKDAY(B779)=7,1,0))))))</f>
        <v>3</v>
      </c>
      <c r="V779" s="328">
        <f>VLOOKUP(C779,METADATA!$A$5:$H$29,IF(E779="HI",2,IF(E779="LO",6,10))+IF(T779=1,2,IF(D779=7,1,(IF(WEEKDAY(B779)=1,2,IF(WEEKDAY(B779)=7,1,0))))))</f>
        <v>3</v>
      </c>
    </row>
    <row r="780" spans="2:22">
      <c r="B780" s="318">
        <f t="shared" si="47"/>
        <v>46145</v>
      </c>
      <c r="C780" s="312">
        <v>8</v>
      </c>
      <c r="D780" s="368">
        <f>IFERROR((INDEX(METADATA!$T$2:$T$20,MATCH(B780,METADATA!$S$2:$S$20,0))),0)</f>
        <v>0</v>
      </c>
      <c r="E780" s="312" t="str">
        <f t="shared" si="48"/>
        <v>LO</v>
      </c>
      <c r="F780" s="369">
        <f>VLOOKUP(C780,METADATA!$A$5:$H$29,IF(E780="HI",2,IF(E780="LO",6,10))+IF(D780=1,2,IF(D780=7,1,(IF(WEEKDAY(B780)=1,2,IF(WEEKDAY(B780)=7,1,0))))))</f>
        <v>3</v>
      </c>
      <c r="G780" s="369">
        <f>VLOOKUP(C780,METADATA!$J$5:$Q$29,IF(E780="HI",2,IF(E780="LO",6,10))+IF(D780=1,2,IF(D780=7,1,(IF(WEEKDAY(B780)=1,2,IF(WEEKDAY(B780)=7,1,0))))))</f>
        <v>3</v>
      </c>
      <c r="H780" s="370">
        <v>6643.4097900390625</v>
      </c>
      <c r="I780" s="370">
        <v>0</v>
      </c>
      <c r="M780" s="371">
        <f t="shared" si="49"/>
        <v>6643.4097900390625</v>
      </c>
      <c r="N780" s="329">
        <f t="shared" si="50"/>
        <v>0</v>
      </c>
      <c r="T780" s="331">
        <v>0</v>
      </c>
      <c r="U780" s="328">
        <f>VLOOKUP(C780,METADATA!$J$5:$Q$29,IF(E780="HI",2,IF(E780="LO",6,10))+IF(T780=1,2,IF(D780=7,1,(IF(WEEKDAY(B780)=1,2,IF(WEEKDAY(B780)=7,1,0))))))</f>
        <v>3</v>
      </c>
      <c r="V780" s="328">
        <f>VLOOKUP(C780,METADATA!$A$5:$H$29,IF(E780="HI",2,IF(E780="LO",6,10))+IF(T780=1,2,IF(D780=7,1,(IF(WEEKDAY(B780)=1,2,IF(WEEKDAY(B780)=7,1,0))))))</f>
        <v>3</v>
      </c>
    </row>
    <row r="781" spans="2:22">
      <c r="B781" s="318">
        <f t="shared" si="47"/>
        <v>46145</v>
      </c>
      <c r="C781" s="312">
        <v>9</v>
      </c>
      <c r="D781" s="368">
        <f>IFERROR((INDEX(METADATA!$T$2:$T$20,MATCH(B781,METADATA!$S$2:$S$20,0))),0)</f>
        <v>0</v>
      </c>
      <c r="E781" s="312" t="str">
        <f t="shared" si="48"/>
        <v>LO</v>
      </c>
      <c r="F781" s="369">
        <f>VLOOKUP(C781,METADATA!$A$5:$H$29,IF(E781="HI",2,IF(E781="LO",6,10))+IF(D781=1,2,IF(D781=7,1,(IF(WEEKDAY(B781)=1,2,IF(WEEKDAY(B781)=7,1,0))))))</f>
        <v>3</v>
      </c>
      <c r="G781" s="369">
        <f>VLOOKUP(C781,METADATA!$J$5:$Q$29,IF(E781="HI",2,IF(E781="LO",6,10))+IF(D781=1,2,IF(D781=7,1,(IF(WEEKDAY(B781)=1,2,IF(WEEKDAY(B781)=7,1,0))))))</f>
        <v>3</v>
      </c>
      <c r="H781" s="370">
        <v>5665.6998596191406</v>
      </c>
      <c r="I781" s="370">
        <v>0</v>
      </c>
      <c r="M781" s="371">
        <f t="shared" si="49"/>
        <v>5665.6998596191406</v>
      </c>
      <c r="N781" s="329">
        <f t="shared" si="50"/>
        <v>0</v>
      </c>
      <c r="T781" s="331">
        <v>0</v>
      </c>
      <c r="U781" s="328">
        <f>VLOOKUP(C781,METADATA!$J$5:$Q$29,IF(E781="HI",2,IF(E781="LO",6,10))+IF(T781=1,2,IF(D781=7,1,(IF(WEEKDAY(B781)=1,2,IF(WEEKDAY(B781)=7,1,0))))))</f>
        <v>3</v>
      </c>
      <c r="V781" s="328">
        <f>VLOOKUP(C781,METADATA!$A$5:$H$29,IF(E781="HI",2,IF(E781="LO",6,10))+IF(T781=1,2,IF(D781=7,1,(IF(WEEKDAY(B781)=1,2,IF(WEEKDAY(B781)=7,1,0))))))</f>
        <v>3</v>
      </c>
    </row>
    <row r="782" spans="2:22">
      <c r="B782" s="318">
        <f t="shared" si="47"/>
        <v>46145</v>
      </c>
      <c r="C782" s="312">
        <v>10</v>
      </c>
      <c r="D782" s="368">
        <f>IFERROR((INDEX(METADATA!$T$2:$T$20,MATCH(B782,METADATA!$S$2:$S$20,0))),0)</f>
        <v>0</v>
      </c>
      <c r="E782" s="312" t="str">
        <f t="shared" si="48"/>
        <v>LO</v>
      </c>
      <c r="F782" s="369">
        <f>VLOOKUP(C782,METADATA!$A$5:$H$29,IF(E782="HI",2,IF(E782="LO",6,10))+IF(D782=1,2,IF(D782=7,1,(IF(WEEKDAY(B782)=1,2,IF(WEEKDAY(B782)=7,1,0))))))</f>
        <v>3</v>
      </c>
      <c r="G782" s="369">
        <f>VLOOKUP(C782,METADATA!$J$5:$Q$29,IF(E782="HI",2,IF(E782="LO",6,10))+IF(D782=1,2,IF(D782=7,1,(IF(WEEKDAY(B782)=1,2,IF(WEEKDAY(B782)=7,1,0))))))</f>
        <v>3</v>
      </c>
      <c r="H782" s="370">
        <v>4790.945068359375</v>
      </c>
      <c r="I782" s="370">
        <v>0.43199998140335083</v>
      </c>
      <c r="M782" s="371">
        <f t="shared" si="49"/>
        <v>4790.9450878361149</v>
      </c>
      <c r="N782" s="329">
        <f t="shared" si="50"/>
        <v>0</v>
      </c>
      <c r="T782" s="331">
        <v>0</v>
      </c>
      <c r="U782" s="328">
        <f>VLOOKUP(C782,METADATA!$J$5:$Q$29,IF(E782="HI",2,IF(E782="LO",6,10))+IF(T782=1,2,IF(D782=7,1,(IF(WEEKDAY(B782)=1,2,IF(WEEKDAY(B782)=7,1,0))))))</f>
        <v>3</v>
      </c>
      <c r="V782" s="328">
        <f>VLOOKUP(C782,METADATA!$A$5:$H$29,IF(E782="HI",2,IF(E782="LO",6,10))+IF(T782=1,2,IF(D782=7,1,(IF(WEEKDAY(B782)=1,2,IF(WEEKDAY(B782)=7,1,0))))))</f>
        <v>3</v>
      </c>
    </row>
    <row r="783" spans="2:22">
      <c r="B783" s="318">
        <f t="shared" si="47"/>
        <v>46145</v>
      </c>
      <c r="C783" s="312">
        <v>11</v>
      </c>
      <c r="D783" s="368">
        <f>IFERROR((INDEX(METADATA!$T$2:$T$20,MATCH(B783,METADATA!$S$2:$S$20,0))),0)</f>
        <v>0</v>
      </c>
      <c r="E783" s="312" t="str">
        <f t="shared" si="48"/>
        <v>LO</v>
      </c>
      <c r="F783" s="369">
        <f>VLOOKUP(C783,METADATA!$A$5:$H$29,IF(E783="HI",2,IF(E783="LO",6,10))+IF(D783=1,2,IF(D783=7,1,(IF(WEEKDAY(B783)=1,2,IF(WEEKDAY(B783)=7,1,0))))))</f>
        <v>3</v>
      </c>
      <c r="G783" s="369">
        <f>VLOOKUP(C783,METADATA!$J$5:$Q$29,IF(E783="HI",2,IF(E783="LO",6,10))+IF(D783=1,2,IF(D783=7,1,(IF(WEEKDAY(B783)=1,2,IF(WEEKDAY(B783)=7,1,0))))))</f>
        <v>3</v>
      </c>
      <c r="H783" s="370">
        <v>5398.5350341796875</v>
      </c>
      <c r="I783" s="370">
        <v>44.928001403808594</v>
      </c>
      <c r="M783" s="371">
        <f t="shared" si="49"/>
        <v>5398.7219821524077</v>
      </c>
      <c r="N783" s="329">
        <f t="shared" si="50"/>
        <v>0</v>
      </c>
      <c r="T783" s="331">
        <v>0</v>
      </c>
      <c r="U783" s="328">
        <f>VLOOKUP(C783,METADATA!$J$5:$Q$29,IF(E783="HI",2,IF(E783="LO",6,10))+IF(T783=1,2,IF(D783=7,1,(IF(WEEKDAY(B783)=1,2,IF(WEEKDAY(B783)=7,1,0))))))</f>
        <v>3</v>
      </c>
      <c r="V783" s="328">
        <f>VLOOKUP(C783,METADATA!$A$5:$H$29,IF(E783="HI",2,IF(E783="LO",6,10))+IF(T783=1,2,IF(D783=7,1,(IF(WEEKDAY(B783)=1,2,IF(WEEKDAY(B783)=7,1,0))))))</f>
        <v>3</v>
      </c>
    </row>
    <row r="784" spans="2:22">
      <c r="B784" s="318">
        <f t="shared" si="47"/>
        <v>46145</v>
      </c>
      <c r="C784" s="312">
        <v>12</v>
      </c>
      <c r="D784" s="368">
        <f>IFERROR((INDEX(METADATA!$T$2:$T$20,MATCH(B784,METADATA!$S$2:$S$20,0))),0)</f>
        <v>0</v>
      </c>
      <c r="E784" s="312" t="str">
        <f t="shared" si="48"/>
        <v>LO</v>
      </c>
      <c r="F784" s="369">
        <f>VLOOKUP(C784,METADATA!$A$5:$H$29,IF(E784="HI",2,IF(E784="LO",6,10))+IF(D784=1,2,IF(D784=7,1,(IF(WEEKDAY(B784)=1,2,IF(WEEKDAY(B784)=7,1,0))))))</f>
        <v>3</v>
      </c>
      <c r="G784" s="369">
        <f>VLOOKUP(C784,METADATA!$J$5:$Q$29,IF(E784="HI",2,IF(E784="LO",6,10))+IF(D784=1,2,IF(D784=7,1,(IF(WEEKDAY(B784)=1,2,IF(WEEKDAY(B784)=7,1,0))))))</f>
        <v>3</v>
      </c>
      <c r="H784" s="370">
        <v>6412.1751098632813</v>
      </c>
      <c r="I784" s="370">
        <v>213.83800303936005</v>
      </c>
      <c r="M784" s="371">
        <f t="shared" si="49"/>
        <v>6415.739733740299</v>
      </c>
      <c r="N784" s="329">
        <f t="shared" si="50"/>
        <v>0</v>
      </c>
      <c r="T784" s="331">
        <v>0</v>
      </c>
      <c r="U784" s="328">
        <f>VLOOKUP(C784,METADATA!$J$5:$Q$29,IF(E784="HI",2,IF(E784="LO",6,10))+IF(T784=1,2,IF(D784=7,1,(IF(WEEKDAY(B784)=1,2,IF(WEEKDAY(B784)=7,1,0))))))</f>
        <v>3</v>
      </c>
      <c r="V784" s="328">
        <f>VLOOKUP(C784,METADATA!$A$5:$H$29,IF(E784="HI",2,IF(E784="LO",6,10))+IF(T784=1,2,IF(D784=7,1,(IF(WEEKDAY(B784)=1,2,IF(WEEKDAY(B784)=7,1,0))))))</f>
        <v>3</v>
      </c>
    </row>
    <row r="785" spans="2:22">
      <c r="B785" s="318">
        <f t="shared" si="47"/>
        <v>46145</v>
      </c>
      <c r="C785" s="312">
        <v>13</v>
      </c>
      <c r="D785" s="368">
        <f>IFERROR((INDEX(METADATA!$T$2:$T$20,MATCH(B785,METADATA!$S$2:$S$20,0))),0)</f>
        <v>0</v>
      </c>
      <c r="E785" s="312" t="str">
        <f t="shared" si="48"/>
        <v>LO</v>
      </c>
      <c r="F785" s="369">
        <f>VLOOKUP(C785,METADATA!$A$5:$H$29,IF(E785="HI",2,IF(E785="LO",6,10))+IF(D785=1,2,IF(D785=7,1,(IF(WEEKDAY(B785)=1,2,IF(WEEKDAY(B785)=7,1,0))))))</f>
        <v>3</v>
      </c>
      <c r="G785" s="369">
        <f>VLOOKUP(C785,METADATA!$J$5:$Q$29,IF(E785="HI",2,IF(E785="LO",6,10))+IF(D785=1,2,IF(D785=7,1,(IF(WEEKDAY(B785)=1,2,IF(WEEKDAY(B785)=7,1,0))))))</f>
        <v>3</v>
      </c>
      <c r="H785" s="370">
        <v>6864.8599853515625</v>
      </c>
      <c r="I785" s="370">
        <v>131.64199938974343</v>
      </c>
      <c r="M785" s="371">
        <f t="shared" si="49"/>
        <v>6866.1220666752188</v>
      </c>
      <c r="N785" s="329">
        <f t="shared" si="50"/>
        <v>0</v>
      </c>
      <c r="T785" s="331">
        <v>0</v>
      </c>
      <c r="U785" s="328">
        <f>VLOOKUP(C785,METADATA!$J$5:$Q$29,IF(E785="HI",2,IF(E785="LO",6,10))+IF(T785=1,2,IF(D785=7,1,(IF(WEEKDAY(B785)=1,2,IF(WEEKDAY(B785)=7,1,0))))))</f>
        <v>3</v>
      </c>
      <c r="V785" s="328">
        <f>VLOOKUP(C785,METADATA!$A$5:$H$29,IF(E785="HI",2,IF(E785="LO",6,10))+IF(T785=1,2,IF(D785=7,1,(IF(WEEKDAY(B785)=1,2,IF(WEEKDAY(B785)=7,1,0))))))</f>
        <v>3</v>
      </c>
    </row>
    <row r="786" spans="2:22">
      <c r="B786" s="318">
        <f t="shared" si="47"/>
        <v>46145</v>
      </c>
      <c r="C786" s="312">
        <v>14</v>
      </c>
      <c r="D786" s="368">
        <f>IFERROR((INDEX(METADATA!$T$2:$T$20,MATCH(B786,METADATA!$S$2:$S$20,0))),0)</f>
        <v>0</v>
      </c>
      <c r="E786" s="312" t="str">
        <f t="shared" si="48"/>
        <v>LO</v>
      </c>
      <c r="F786" s="369">
        <f>VLOOKUP(C786,METADATA!$A$5:$H$29,IF(E786="HI",2,IF(E786="LO",6,10))+IF(D786=1,2,IF(D786=7,1,(IF(WEEKDAY(B786)=1,2,IF(WEEKDAY(B786)=7,1,0))))))</f>
        <v>3</v>
      </c>
      <c r="G786" s="369">
        <f>VLOOKUP(C786,METADATA!$J$5:$Q$29,IF(E786="HI",2,IF(E786="LO",6,10))+IF(D786=1,2,IF(D786=7,1,(IF(WEEKDAY(B786)=1,2,IF(WEEKDAY(B786)=7,1,0))))))</f>
        <v>3</v>
      </c>
      <c r="H786" s="370">
        <v>11728.405151367188</v>
      </c>
      <c r="I786" s="370">
        <v>1363.846996307373</v>
      </c>
      <c r="M786" s="371">
        <f t="shared" si="49"/>
        <v>11807.436894769035</v>
      </c>
      <c r="N786" s="329">
        <f t="shared" si="50"/>
        <v>0</v>
      </c>
      <c r="T786" s="331">
        <v>0</v>
      </c>
      <c r="U786" s="328">
        <f>VLOOKUP(C786,METADATA!$J$5:$Q$29,IF(E786="HI",2,IF(E786="LO",6,10))+IF(T786=1,2,IF(D786=7,1,(IF(WEEKDAY(B786)=1,2,IF(WEEKDAY(B786)=7,1,0))))))</f>
        <v>3</v>
      </c>
      <c r="V786" s="328">
        <f>VLOOKUP(C786,METADATA!$A$5:$H$29,IF(E786="HI",2,IF(E786="LO",6,10))+IF(T786=1,2,IF(D786=7,1,(IF(WEEKDAY(B786)=1,2,IF(WEEKDAY(B786)=7,1,0))))))</f>
        <v>3</v>
      </c>
    </row>
    <row r="787" spans="2:22">
      <c r="B787" s="318">
        <f t="shared" si="47"/>
        <v>46145</v>
      </c>
      <c r="C787" s="312">
        <v>15</v>
      </c>
      <c r="D787" s="368">
        <f>IFERROR((INDEX(METADATA!$T$2:$T$20,MATCH(B787,METADATA!$S$2:$S$20,0))),0)</f>
        <v>0</v>
      </c>
      <c r="E787" s="312" t="str">
        <f t="shared" si="48"/>
        <v>LO</v>
      </c>
      <c r="F787" s="369">
        <f>VLOOKUP(C787,METADATA!$A$5:$H$29,IF(E787="HI",2,IF(E787="LO",6,10))+IF(D787=1,2,IF(D787=7,1,(IF(WEEKDAY(B787)=1,2,IF(WEEKDAY(B787)=7,1,0))))))</f>
        <v>3</v>
      </c>
      <c r="G787" s="369">
        <f>VLOOKUP(C787,METADATA!$J$5:$Q$29,IF(E787="HI",2,IF(E787="LO",6,10))+IF(D787=1,2,IF(D787=7,1,(IF(WEEKDAY(B787)=1,2,IF(WEEKDAY(B787)=7,1,0))))))</f>
        <v>3</v>
      </c>
      <c r="H787" s="370">
        <v>13000.494934082031</v>
      </c>
      <c r="I787" s="370">
        <v>1690.3190040588379</v>
      </c>
      <c r="M787" s="371">
        <f t="shared" si="49"/>
        <v>13109.921695669085</v>
      </c>
      <c r="N787" s="329">
        <f t="shared" si="50"/>
        <v>0</v>
      </c>
      <c r="T787" s="331">
        <v>0</v>
      </c>
      <c r="U787" s="328">
        <f>VLOOKUP(C787,METADATA!$J$5:$Q$29,IF(E787="HI",2,IF(E787="LO",6,10))+IF(T787=1,2,IF(D787=7,1,(IF(WEEKDAY(B787)=1,2,IF(WEEKDAY(B787)=7,1,0))))))</f>
        <v>3</v>
      </c>
      <c r="V787" s="328">
        <f>VLOOKUP(C787,METADATA!$A$5:$H$29,IF(E787="HI",2,IF(E787="LO",6,10))+IF(T787=1,2,IF(D787=7,1,(IF(WEEKDAY(B787)=1,2,IF(WEEKDAY(B787)=7,1,0))))))</f>
        <v>3</v>
      </c>
    </row>
    <row r="788" spans="2:22">
      <c r="B788" s="318">
        <f t="shared" si="47"/>
        <v>46145</v>
      </c>
      <c r="C788" s="312">
        <v>16</v>
      </c>
      <c r="D788" s="368">
        <f>IFERROR((INDEX(METADATA!$T$2:$T$20,MATCH(B788,METADATA!$S$2:$S$20,0))),0)</f>
        <v>0</v>
      </c>
      <c r="E788" s="312" t="str">
        <f t="shared" si="48"/>
        <v>LO</v>
      </c>
      <c r="F788" s="369">
        <f>VLOOKUP(C788,METADATA!$A$5:$H$29,IF(E788="HI",2,IF(E788="LO",6,10))+IF(D788=1,2,IF(D788=7,1,(IF(WEEKDAY(B788)=1,2,IF(WEEKDAY(B788)=7,1,0))))))</f>
        <v>3</v>
      </c>
      <c r="G788" s="369">
        <f>VLOOKUP(C788,METADATA!$J$5:$Q$29,IF(E788="HI",2,IF(E788="LO",6,10))+IF(D788=1,2,IF(D788=7,1,(IF(WEEKDAY(B788)=1,2,IF(WEEKDAY(B788)=7,1,0))))))</f>
        <v>3</v>
      </c>
      <c r="H788" s="370">
        <v>13083.720153808594</v>
      </c>
      <c r="I788" s="370">
        <v>1718.2299957275391</v>
      </c>
      <c r="M788" s="371">
        <f t="shared" si="49"/>
        <v>13196.061813336395</v>
      </c>
      <c r="N788" s="329">
        <f t="shared" si="50"/>
        <v>0</v>
      </c>
      <c r="T788" s="331">
        <v>0</v>
      </c>
      <c r="U788" s="328">
        <f>VLOOKUP(C788,METADATA!$J$5:$Q$29,IF(E788="HI",2,IF(E788="LO",6,10))+IF(T788=1,2,IF(D788=7,1,(IF(WEEKDAY(B788)=1,2,IF(WEEKDAY(B788)=7,1,0))))))</f>
        <v>3</v>
      </c>
      <c r="V788" s="328">
        <f>VLOOKUP(C788,METADATA!$A$5:$H$29,IF(E788="HI",2,IF(E788="LO",6,10))+IF(T788=1,2,IF(D788=7,1,(IF(WEEKDAY(B788)=1,2,IF(WEEKDAY(B788)=7,1,0))))))</f>
        <v>3</v>
      </c>
    </row>
    <row r="789" spans="2:22">
      <c r="B789" s="318">
        <f t="shared" si="47"/>
        <v>46145</v>
      </c>
      <c r="C789" s="312">
        <v>17</v>
      </c>
      <c r="D789" s="368">
        <f>IFERROR((INDEX(METADATA!$T$2:$T$20,MATCH(B789,METADATA!$S$2:$S$20,0))),0)</f>
        <v>0</v>
      </c>
      <c r="E789" s="312" t="str">
        <f t="shared" si="48"/>
        <v>LO</v>
      </c>
      <c r="F789" s="369">
        <f>VLOOKUP(C789,METADATA!$A$5:$H$29,IF(E789="HI",2,IF(E789="LO",6,10))+IF(D789=1,2,IF(D789=7,1,(IF(WEEKDAY(B789)=1,2,IF(WEEKDAY(B789)=7,1,0))))))</f>
        <v>3</v>
      </c>
      <c r="G789" s="369">
        <f>VLOOKUP(C789,METADATA!$J$5:$Q$29,IF(E789="HI",2,IF(E789="LO",6,10))+IF(D789=1,2,IF(D789=7,1,(IF(WEEKDAY(B789)=1,2,IF(WEEKDAY(B789)=7,1,0))))))</f>
        <v>3</v>
      </c>
      <c r="H789" s="370">
        <v>13144.410034179688</v>
      </c>
      <c r="I789" s="370">
        <v>1718.1125030517578</v>
      </c>
      <c r="M789" s="371">
        <f t="shared" si="49"/>
        <v>13256.222151117807</v>
      </c>
      <c r="N789" s="329">
        <f t="shared" si="50"/>
        <v>0</v>
      </c>
      <c r="T789" s="331">
        <v>0</v>
      </c>
      <c r="U789" s="328">
        <f>VLOOKUP(C789,METADATA!$J$5:$Q$29,IF(E789="HI",2,IF(E789="LO",6,10))+IF(T789=1,2,IF(D789=7,1,(IF(WEEKDAY(B789)=1,2,IF(WEEKDAY(B789)=7,1,0))))))</f>
        <v>3</v>
      </c>
      <c r="V789" s="328">
        <f>VLOOKUP(C789,METADATA!$A$5:$H$29,IF(E789="HI",2,IF(E789="LO",6,10))+IF(T789=1,2,IF(D789=7,1,(IF(WEEKDAY(B789)=1,2,IF(WEEKDAY(B789)=7,1,0))))))</f>
        <v>3</v>
      </c>
    </row>
    <row r="790" spans="2:22">
      <c r="B790" s="318">
        <f t="shared" si="47"/>
        <v>46145</v>
      </c>
      <c r="C790" s="312">
        <v>18</v>
      </c>
      <c r="D790" s="368">
        <f>IFERROR((INDEX(METADATA!$T$2:$T$20,MATCH(B790,METADATA!$S$2:$S$20,0))),0)</f>
        <v>0</v>
      </c>
      <c r="E790" s="312" t="str">
        <f t="shared" si="48"/>
        <v>LO</v>
      </c>
      <c r="F790" s="369">
        <f>VLOOKUP(C790,METADATA!$A$5:$H$29,IF(E790="HI",2,IF(E790="LO",6,10))+IF(D790=1,2,IF(D790=7,1,(IF(WEEKDAY(B790)=1,2,IF(WEEKDAY(B790)=7,1,0))))))</f>
        <v>2</v>
      </c>
      <c r="G790" s="369">
        <f>VLOOKUP(C790,METADATA!$J$5:$Q$29,IF(E790="HI",2,IF(E790="LO",6,10))+IF(D790=1,2,IF(D790=7,1,(IF(WEEKDAY(B790)=1,2,IF(WEEKDAY(B790)=7,1,0))))))</f>
        <v>2</v>
      </c>
      <c r="H790" s="370">
        <v>13327.594970703125</v>
      </c>
      <c r="I790" s="370">
        <v>1923.2419910430908</v>
      </c>
      <c r="M790" s="371">
        <f t="shared" si="49"/>
        <v>13465.646938013138</v>
      </c>
      <c r="N790" s="329">
        <f t="shared" si="50"/>
        <v>0</v>
      </c>
      <c r="T790" s="331">
        <v>0</v>
      </c>
      <c r="U790" s="328">
        <f>VLOOKUP(C790,METADATA!$J$5:$Q$29,IF(E790="HI",2,IF(E790="LO",6,10))+IF(T790=1,2,IF(D790=7,1,(IF(WEEKDAY(B790)=1,2,IF(WEEKDAY(B790)=7,1,0))))))</f>
        <v>2</v>
      </c>
      <c r="V790" s="328">
        <f>VLOOKUP(C790,METADATA!$A$5:$H$29,IF(E790="HI",2,IF(E790="LO",6,10))+IF(T790=1,2,IF(D790=7,1,(IF(WEEKDAY(B790)=1,2,IF(WEEKDAY(B790)=7,1,0))))))</f>
        <v>2</v>
      </c>
    </row>
    <row r="791" spans="2:22">
      <c r="B791" s="318">
        <f t="shared" si="47"/>
        <v>46145</v>
      </c>
      <c r="C791" s="312">
        <v>19</v>
      </c>
      <c r="D791" s="368">
        <f>IFERROR((INDEX(METADATA!$T$2:$T$20,MATCH(B791,METADATA!$S$2:$S$20,0))),0)</f>
        <v>0</v>
      </c>
      <c r="E791" s="312" t="str">
        <f t="shared" si="48"/>
        <v>LO</v>
      </c>
      <c r="F791" s="369">
        <f>VLOOKUP(C791,METADATA!$A$5:$H$29,IF(E791="HI",2,IF(E791="LO",6,10))+IF(D791=1,2,IF(D791=7,1,(IF(WEEKDAY(B791)=1,2,IF(WEEKDAY(B791)=7,1,0))))))</f>
        <v>2</v>
      </c>
      <c r="G791" s="369">
        <f>VLOOKUP(C791,METADATA!$J$5:$Q$29,IF(E791="HI",2,IF(E791="LO",6,10))+IF(D791=1,2,IF(D791=7,1,(IF(WEEKDAY(B791)=1,2,IF(WEEKDAY(B791)=7,1,0))))))</f>
        <v>2</v>
      </c>
      <c r="H791" s="370">
        <v>13329.449951171875</v>
      </c>
      <c r="I791" s="370">
        <v>1968.0234909057617</v>
      </c>
      <c r="M791" s="371">
        <f t="shared" si="49"/>
        <v>13473.950885377042</v>
      </c>
      <c r="N791" s="329">
        <f t="shared" si="50"/>
        <v>0</v>
      </c>
      <c r="T791" s="331">
        <v>0</v>
      </c>
      <c r="U791" s="328">
        <f>VLOOKUP(C791,METADATA!$J$5:$Q$29,IF(E791="HI",2,IF(E791="LO",6,10))+IF(T791=1,2,IF(D791=7,1,(IF(WEEKDAY(B791)=1,2,IF(WEEKDAY(B791)=7,1,0))))))</f>
        <v>2</v>
      </c>
      <c r="V791" s="328">
        <f>VLOOKUP(C791,METADATA!$A$5:$H$29,IF(E791="HI",2,IF(E791="LO",6,10))+IF(T791=1,2,IF(D791=7,1,(IF(WEEKDAY(B791)=1,2,IF(WEEKDAY(B791)=7,1,0))))))</f>
        <v>2</v>
      </c>
    </row>
    <row r="792" spans="2:22">
      <c r="B792" s="318">
        <f t="shared" si="47"/>
        <v>46145</v>
      </c>
      <c r="C792" s="312">
        <v>20</v>
      </c>
      <c r="D792" s="368">
        <f>IFERROR((INDEX(METADATA!$T$2:$T$20,MATCH(B792,METADATA!$S$2:$S$20,0))),0)</f>
        <v>0</v>
      </c>
      <c r="E792" s="312" t="str">
        <f t="shared" si="48"/>
        <v>LO</v>
      </c>
      <c r="F792" s="369">
        <f>VLOOKUP(C792,METADATA!$A$5:$H$29,IF(E792="HI",2,IF(E792="LO",6,10))+IF(D792=1,2,IF(D792=7,1,(IF(WEEKDAY(B792)=1,2,IF(WEEKDAY(B792)=7,1,0))))))</f>
        <v>3</v>
      </c>
      <c r="G792" s="369">
        <f>VLOOKUP(C792,METADATA!$J$5:$Q$29,IF(E792="HI",2,IF(E792="LO",6,10))+IF(D792=1,2,IF(D792=7,1,(IF(WEEKDAY(B792)=1,2,IF(WEEKDAY(B792)=7,1,0))))))</f>
        <v>3</v>
      </c>
      <c r="H792" s="370">
        <v>13235.755004882813</v>
      </c>
      <c r="I792" s="370">
        <v>1798.5354700088501</v>
      </c>
      <c r="M792" s="371">
        <f t="shared" si="49"/>
        <v>13357.392724112007</v>
      </c>
      <c r="N792" s="329">
        <f t="shared" si="50"/>
        <v>0</v>
      </c>
      <c r="T792" s="331">
        <v>0</v>
      </c>
      <c r="U792" s="328">
        <f>VLOOKUP(C792,METADATA!$J$5:$Q$29,IF(E792="HI",2,IF(E792="LO",6,10))+IF(T792=1,2,IF(D792=7,1,(IF(WEEKDAY(B792)=1,2,IF(WEEKDAY(B792)=7,1,0))))))</f>
        <v>3</v>
      </c>
      <c r="V792" s="328">
        <f>VLOOKUP(C792,METADATA!$A$5:$H$29,IF(E792="HI",2,IF(E792="LO",6,10))+IF(T792=1,2,IF(D792=7,1,(IF(WEEKDAY(B792)=1,2,IF(WEEKDAY(B792)=7,1,0))))))</f>
        <v>3</v>
      </c>
    </row>
    <row r="793" spans="2:22">
      <c r="B793" s="318">
        <f t="shared" si="47"/>
        <v>46145</v>
      </c>
      <c r="C793" s="312">
        <v>21</v>
      </c>
      <c r="D793" s="368">
        <f>IFERROR((INDEX(METADATA!$T$2:$T$20,MATCH(B793,METADATA!$S$2:$S$20,0))),0)</f>
        <v>0</v>
      </c>
      <c r="E793" s="312" t="str">
        <f t="shared" si="48"/>
        <v>LO</v>
      </c>
      <c r="F793" s="369">
        <f>VLOOKUP(C793,METADATA!$A$5:$H$29,IF(E793="HI",2,IF(E793="LO",6,10))+IF(D793=1,2,IF(D793=7,1,(IF(WEEKDAY(B793)=1,2,IF(WEEKDAY(B793)=7,1,0))))))</f>
        <v>3</v>
      </c>
      <c r="G793" s="369">
        <f>VLOOKUP(C793,METADATA!$J$5:$Q$29,IF(E793="HI",2,IF(E793="LO",6,10))+IF(D793=1,2,IF(D793=7,1,(IF(WEEKDAY(B793)=1,2,IF(WEEKDAY(B793)=7,1,0))))))</f>
        <v>3</v>
      </c>
      <c r="H793" s="370">
        <v>13461.915588378906</v>
      </c>
      <c r="I793" s="370">
        <v>1908.8894906044006</v>
      </c>
      <c r="M793" s="371">
        <f t="shared" si="49"/>
        <v>13596.581570232238</v>
      </c>
      <c r="N793" s="329">
        <f t="shared" si="50"/>
        <v>0</v>
      </c>
      <c r="T793" s="331">
        <v>0</v>
      </c>
      <c r="U793" s="328">
        <f>VLOOKUP(C793,METADATA!$J$5:$Q$29,IF(E793="HI",2,IF(E793="LO",6,10))+IF(T793=1,2,IF(D793=7,1,(IF(WEEKDAY(B793)=1,2,IF(WEEKDAY(B793)=7,1,0))))))</f>
        <v>3</v>
      </c>
      <c r="V793" s="328">
        <f>VLOOKUP(C793,METADATA!$A$5:$H$29,IF(E793="HI",2,IF(E793="LO",6,10))+IF(T793=1,2,IF(D793=7,1,(IF(WEEKDAY(B793)=1,2,IF(WEEKDAY(B793)=7,1,0))))))</f>
        <v>3</v>
      </c>
    </row>
    <row r="794" spans="2:22">
      <c r="B794" s="318">
        <f t="shared" si="47"/>
        <v>46145</v>
      </c>
      <c r="C794" s="312">
        <v>22</v>
      </c>
      <c r="D794" s="368">
        <f>IFERROR((INDEX(METADATA!$T$2:$T$20,MATCH(B794,METADATA!$S$2:$S$20,0))),0)</f>
        <v>0</v>
      </c>
      <c r="E794" s="312" t="str">
        <f t="shared" si="48"/>
        <v>LO</v>
      </c>
      <c r="F794" s="369">
        <f>VLOOKUP(C794,METADATA!$A$5:$H$29,IF(E794="HI",2,IF(E794="LO",6,10))+IF(D794=1,2,IF(D794=7,1,(IF(WEEKDAY(B794)=1,2,IF(WEEKDAY(B794)=7,1,0))))))</f>
        <v>3</v>
      </c>
      <c r="G794" s="369">
        <f>VLOOKUP(C794,METADATA!$J$5:$Q$29,IF(E794="HI",2,IF(E794="LO",6,10))+IF(D794=1,2,IF(D794=7,1,(IF(WEEKDAY(B794)=1,2,IF(WEEKDAY(B794)=7,1,0))))))</f>
        <v>3</v>
      </c>
      <c r="H794" s="370">
        <v>13515.0302734375</v>
      </c>
      <c r="I794" s="370">
        <v>1995.5259709358215</v>
      </c>
      <c r="M794" s="371">
        <f t="shared" si="49"/>
        <v>13661.558007511861</v>
      </c>
      <c r="N794" s="329">
        <f t="shared" si="50"/>
        <v>0</v>
      </c>
      <c r="T794" s="331">
        <v>0</v>
      </c>
      <c r="U794" s="328">
        <f>VLOOKUP(C794,METADATA!$J$5:$Q$29,IF(E794="HI",2,IF(E794="LO",6,10))+IF(T794=1,2,IF(D794=7,1,(IF(WEEKDAY(B794)=1,2,IF(WEEKDAY(B794)=7,1,0))))))</f>
        <v>3</v>
      </c>
      <c r="V794" s="328">
        <f>VLOOKUP(C794,METADATA!$A$5:$H$29,IF(E794="HI",2,IF(E794="LO",6,10))+IF(T794=1,2,IF(D794=7,1,(IF(WEEKDAY(B794)=1,2,IF(WEEKDAY(B794)=7,1,0))))))</f>
        <v>3</v>
      </c>
    </row>
    <row r="795" spans="2:22">
      <c r="B795" s="318">
        <f t="shared" si="47"/>
        <v>46145</v>
      </c>
      <c r="C795" s="312">
        <v>23</v>
      </c>
      <c r="D795" s="368">
        <f>IFERROR((INDEX(METADATA!$T$2:$T$20,MATCH(B795,METADATA!$S$2:$S$20,0))),0)</f>
        <v>0</v>
      </c>
      <c r="E795" s="312" t="str">
        <f t="shared" si="48"/>
        <v>LO</v>
      </c>
      <c r="F795" s="369">
        <f>VLOOKUP(C795,METADATA!$A$5:$H$29,IF(E795="HI",2,IF(E795="LO",6,10))+IF(D795=1,2,IF(D795=7,1,(IF(WEEKDAY(B795)=1,2,IF(WEEKDAY(B795)=7,1,0))))))</f>
        <v>3</v>
      </c>
      <c r="G795" s="369">
        <f>VLOOKUP(C795,METADATA!$J$5:$Q$29,IF(E795="HI",2,IF(E795="LO",6,10))+IF(D795=1,2,IF(D795=7,1,(IF(WEEKDAY(B795)=1,2,IF(WEEKDAY(B795)=7,1,0))))))</f>
        <v>3</v>
      </c>
      <c r="H795" s="370">
        <v>13290.714904785156</v>
      </c>
      <c r="I795" s="370">
        <v>1860.9129999876022</v>
      </c>
      <c r="M795" s="371">
        <f t="shared" si="49"/>
        <v>13420.361391326285</v>
      </c>
      <c r="N795" s="329">
        <f t="shared" si="50"/>
        <v>0</v>
      </c>
      <c r="T795" s="331">
        <v>0</v>
      </c>
      <c r="U795" s="328">
        <f>VLOOKUP(C795,METADATA!$J$5:$Q$29,IF(E795="HI",2,IF(E795="LO",6,10))+IF(T795=1,2,IF(D795=7,1,(IF(WEEKDAY(B795)=1,2,IF(WEEKDAY(B795)=7,1,0))))))</f>
        <v>3</v>
      </c>
      <c r="V795" s="328">
        <f>VLOOKUP(C795,METADATA!$A$5:$H$29,IF(E795="HI",2,IF(E795="LO",6,10))+IF(T795=1,2,IF(D795=7,1,(IF(WEEKDAY(B795)=1,2,IF(WEEKDAY(B795)=7,1,0))))))</f>
        <v>3</v>
      </c>
    </row>
    <row r="796" spans="2:22">
      <c r="B796" s="318">
        <f t="shared" ref="B796:B859" si="51">B772+1</f>
        <v>46146</v>
      </c>
      <c r="C796" s="312">
        <v>0</v>
      </c>
      <c r="D796" s="368">
        <f>IFERROR((INDEX(METADATA!$T$2:$T$20,MATCH(B796,METADATA!$S$2:$S$20,0))),0)</f>
        <v>0</v>
      </c>
      <c r="E796" s="312" t="str">
        <f t="shared" si="48"/>
        <v>LO</v>
      </c>
      <c r="F796" s="369">
        <f>VLOOKUP(C796,METADATA!$A$5:$H$29,IF(E796="HI",2,IF(E796="LO",6,10))+IF(D796=1,2,IF(D796=7,1,(IF(WEEKDAY(B796)=1,2,IF(WEEKDAY(B796)=7,1,0))))))</f>
        <v>3</v>
      </c>
      <c r="G796" s="369">
        <f>VLOOKUP(C796,METADATA!$J$5:$Q$29,IF(E796="HI",2,IF(E796="LO",6,10))+IF(D796=1,2,IF(D796=7,1,(IF(WEEKDAY(B796)=1,2,IF(WEEKDAY(B796)=7,1,0))))))</f>
        <v>3</v>
      </c>
      <c r="H796" s="370">
        <v>11907.962646484375</v>
      </c>
      <c r="I796" s="370">
        <v>1564.5139740600716</v>
      </c>
      <c r="M796" s="371">
        <f t="shared" si="49"/>
        <v>12010.298845786327</v>
      </c>
      <c r="N796" s="329">
        <f t="shared" si="50"/>
        <v>0</v>
      </c>
      <c r="T796" s="331">
        <v>0</v>
      </c>
      <c r="U796" s="328">
        <f>VLOOKUP(C796,METADATA!$J$5:$Q$29,IF(E796="HI",2,IF(E796="LO",6,10))+IF(T796=1,2,IF(D796=7,1,(IF(WEEKDAY(B796)=1,2,IF(WEEKDAY(B796)=7,1,0))))))</f>
        <v>3</v>
      </c>
      <c r="V796" s="328">
        <f>VLOOKUP(C796,METADATA!$A$5:$H$29,IF(E796="HI",2,IF(E796="LO",6,10))+IF(T796=1,2,IF(D796=7,1,(IF(WEEKDAY(B796)=1,2,IF(WEEKDAY(B796)=7,1,0))))))</f>
        <v>3</v>
      </c>
    </row>
    <row r="797" spans="2:22">
      <c r="B797" s="318">
        <f t="shared" si="51"/>
        <v>46146</v>
      </c>
      <c r="C797" s="312">
        <v>1</v>
      </c>
      <c r="D797" s="368">
        <f>IFERROR((INDEX(METADATA!$T$2:$T$20,MATCH(B797,METADATA!$S$2:$S$20,0))),0)</f>
        <v>0</v>
      </c>
      <c r="E797" s="312" t="str">
        <f t="shared" si="48"/>
        <v>LO</v>
      </c>
      <c r="F797" s="369">
        <f>VLOOKUP(C797,METADATA!$A$5:$H$29,IF(E797="HI",2,IF(E797="LO",6,10))+IF(D797=1,2,IF(D797=7,1,(IF(WEEKDAY(B797)=1,2,IF(WEEKDAY(B797)=7,1,0))))))</f>
        <v>3</v>
      </c>
      <c r="G797" s="369">
        <f>VLOOKUP(C797,METADATA!$J$5:$Q$29,IF(E797="HI",2,IF(E797="LO",6,10))+IF(D797=1,2,IF(D797=7,1,(IF(WEEKDAY(B797)=1,2,IF(WEEKDAY(B797)=7,1,0))))))</f>
        <v>3</v>
      </c>
      <c r="H797" s="370">
        <v>11375.577850341797</v>
      </c>
      <c r="I797" s="370">
        <v>1443.0000305175781</v>
      </c>
      <c r="M797" s="371">
        <f t="shared" si="49"/>
        <v>11466.73539056608</v>
      </c>
      <c r="N797" s="329">
        <f t="shared" si="50"/>
        <v>0</v>
      </c>
      <c r="T797" s="331">
        <v>0</v>
      </c>
      <c r="U797" s="328">
        <f>VLOOKUP(C797,METADATA!$J$5:$Q$29,IF(E797="HI",2,IF(E797="LO",6,10))+IF(T797=1,2,IF(D797=7,1,(IF(WEEKDAY(B797)=1,2,IF(WEEKDAY(B797)=7,1,0))))))</f>
        <v>3</v>
      </c>
      <c r="V797" s="328">
        <f>VLOOKUP(C797,METADATA!$A$5:$H$29,IF(E797="HI",2,IF(E797="LO",6,10))+IF(T797=1,2,IF(D797=7,1,(IF(WEEKDAY(B797)=1,2,IF(WEEKDAY(B797)=7,1,0))))))</f>
        <v>3</v>
      </c>
    </row>
    <row r="798" spans="2:22">
      <c r="B798" s="318">
        <f t="shared" si="51"/>
        <v>46146</v>
      </c>
      <c r="C798" s="312">
        <v>2</v>
      </c>
      <c r="D798" s="368">
        <f>IFERROR((INDEX(METADATA!$T$2:$T$20,MATCH(B798,METADATA!$S$2:$S$20,0))),0)</f>
        <v>0</v>
      </c>
      <c r="E798" s="312" t="str">
        <f t="shared" si="48"/>
        <v>LO</v>
      </c>
      <c r="F798" s="369">
        <f>VLOOKUP(C798,METADATA!$A$5:$H$29,IF(E798="HI",2,IF(E798="LO",6,10))+IF(D798=1,2,IF(D798=7,1,(IF(WEEKDAY(B798)=1,2,IF(WEEKDAY(B798)=7,1,0))))))</f>
        <v>3</v>
      </c>
      <c r="G798" s="369">
        <f>VLOOKUP(C798,METADATA!$J$5:$Q$29,IF(E798="HI",2,IF(E798="LO",6,10))+IF(D798=1,2,IF(D798=7,1,(IF(WEEKDAY(B798)=1,2,IF(WEEKDAY(B798)=7,1,0))))))</f>
        <v>3</v>
      </c>
      <c r="H798" s="370">
        <v>12565.842346191406</v>
      </c>
      <c r="I798" s="370">
        <v>1540.2949475646019</v>
      </c>
      <c r="M798" s="371">
        <f t="shared" si="49"/>
        <v>12659.89345906316</v>
      </c>
      <c r="N798" s="329">
        <f t="shared" si="50"/>
        <v>0</v>
      </c>
      <c r="T798" s="331">
        <v>0</v>
      </c>
      <c r="U798" s="328">
        <f>VLOOKUP(C798,METADATA!$J$5:$Q$29,IF(E798="HI",2,IF(E798="LO",6,10))+IF(T798=1,2,IF(D798=7,1,(IF(WEEKDAY(B798)=1,2,IF(WEEKDAY(B798)=7,1,0))))))</f>
        <v>3</v>
      </c>
      <c r="V798" s="328">
        <f>VLOOKUP(C798,METADATA!$A$5:$H$29,IF(E798="HI",2,IF(E798="LO",6,10))+IF(T798=1,2,IF(D798=7,1,(IF(WEEKDAY(B798)=1,2,IF(WEEKDAY(B798)=7,1,0))))))</f>
        <v>3</v>
      </c>
    </row>
    <row r="799" spans="2:22">
      <c r="B799" s="318">
        <f t="shared" si="51"/>
        <v>46146</v>
      </c>
      <c r="C799" s="312">
        <v>3</v>
      </c>
      <c r="D799" s="368">
        <f>IFERROR((INDEX(METADATA!$T$2:$T$20,MATCH(B799,METADATA!$S$2:$S$20,0))),0)</f>
        <v>0</v>
      </c>
      <c r="E799" s="312" t="str">
        <f t="shared" si="48"/>
        <v>LO</v>
      </c>
      <c r="F799" s="369">
        <f>VLOOKUP(C799,METADATA!$A$5:$H$29,IF(E799="HI",2,IF(E799="LO",6,10))+IF(D799=1,2,IF(D799=7,1,(IF(WEEKDAY(B799)=1,2,IF(WEEKDAY(B799)=7,1,0))))))</f>
        <v>3</v>
      </c>
      <c r="G799" s="369">
        <f>VLOOKUP(C799,METADATA!$J$5:$Q$29,IF(E799="HI",2,IF(E799="LO",6,10))+IF(D799=1,2,IF(D799=7,1,(IF(WEEKDAY(B799)=1,2,IF(WEEKDAY(B799)=7,1,0))))))</f>
        <v>3</v>
      </c>
      <c r="H799" s="370">
        <v>13280.507507324219</v>
      </c>
      <c r="I799" s="370">
        <v>1689.2399597167969</v>
      </c>
      <c r="M799" s="371">
        <f t="shared" si="49"/>
        <v>13387.50952543448</v>
      </c>
      <c r="N799" s="329">
        <f t="shared" si="50"/>
        <v>0</v>
      </c>
      <c r="T799" s="331">
        <v>0</v>
      </c>
      <c r="U799" s="328">
        <f>VLOOKUP(C799,METADATA!$J$5:$Q$29,IF(E799="HI",2,IF(E799="LO",6,10))+IF(T799=1,2,IF(D799=7,1,(IF(WEEKDAY(B799)=1,2,IF(WEEKDAY(B799)=7,1,0))))))</f>
        <v>3</v>
      </c>
      <c r="V799" s="328">
        <f>VLOOKUP(C799,METADATA!$A$5:$H$29,IF(E799="HI",2,IF(E799="LO",6,10))+IF(T799=1,2,IF(D799=7,1,(IF(WEEKDAY(B799)=1,2,IF(WEEKDAY(B799)=7,1,0))))))</f>
        <v>3</v>
      </c>
    </row>
    <row r="800" spans="2:22">
      <c r="B800" s="318">
        <f t="shared" si="51"/>
        <v>46146</v>
      </c>
      <c r="C800" s="312">
        <v>4</v>
      </c>
      <c r="D800" s="368">
        <f>IFERROR((INDEX(METADATA!$T$2:$T$20,MATCH(B800,METADATA!$S$2:$S$20,0))),0)</f>
        <v>0</v>
      </c>
      <c r="E800" s="312" t="str">
        <f t="shared" si="48"/>
        <v>LO</v>
      </c>
      <c r="F800" s="369">
        <f>VLOOKUP(C800,METADATA!$A$5:$H$29,IF(E800="HI",2,IF(E800="LO",6,10))+IF(D800=1,2,IF(D800=7,1,(IF(WEEKDAY(B800)=1,2,IF(WEEKDAY(B800)=7,1,0))))))</f>
        <v>3</v>
      </c>
      <c r="G800" s="369">
        <f>VLOOKUP(C800,METADATA!$J$5:$Q$29,IF(E800="HI",2,IF(E800="LO",6,10))+IF(D800=1,2,IF(D800=7,1,(IF(WEEKDAY(B800)=1,2,IF(WEEKDAY(B800)=7,1,0))))))</f>
        <v>3</v>
      </c>
      <c r="H800" s="370">
        <v>13277.104919433594</v>
      </c>
      <c r="I800" s="370">
        <v>1654.7500152587891</v>
      </c>
      <c r="M800" s="371">
        <f t="shared" si="49"/>
        <v>13379.824836471018</v>
      </c>
      <c r="N800" s="329">
        <f t="shared" si="50"/>
        <v>0</v>
      </c>
      <c r="T800" s="331">
        <v>0</v>
      </c>
      <c r="U800" s="328">
        <f>VLOOKUP(C800,METADATA!$J$5:$Q$29,IF(E800="HI",2,IF(E800="LO",6,10))+IF(T800=1,2,IF(D800=7,1,(IF(WEEKDAY(B800)=1,2,IF(WEEKDAY(B800)=7,1,0))))))</f>
        <v>3</v>
      </c>
      <c r="V800" s="328">
        <f>VLOOKUP(C800,METADATA!$A$5:$H$29,IF(E800="HI",2,IF(E800="LO",6,10))+IF(T800=1,2,IF(D800=7,1,(IF(WEEKDAY(B800)=1,2,IF(WEEKDAY(B800)=7,1,0))))))</f>
        <v>3</v>
      </c>
    </row>
    <row r="801" spans="2:22">
      <c r="B801" s="318">
        <f t="shared" si="51"/>
        <v>46146</v>
      </c>
      <c r="C801" s="312">
        <v>5</v>
      </c>
      <c r="D801" s="368">
        <f>IFERROR((INDEX(METADATA!$T$2:$T$20,MATCH(B801,METADATA!$S$2:$S$20,0))),0)</f>
        <v>0</v>
      </c>
      <c r="E801" s="312" t="str">
        <f t="shared" si="48"/>
        <v>LO</v>
      </c>
      <c r="F801" s="369">
        <f>VLOOKUP(C801,METADATA!$A$5:$H$29,IF(E801="HI",2,IF(E801="LO",6,10))+IF(D801=1,2,IF(D801=7,1,(IF(WEEKDAY(B801)=1,2,IF(WEEKDAY(B801)=7,1,0))))))</f>
        <v>3</v>
      </c>
      <c r="G801" s="369">
        <f>VLOOKUP(C801,METADATA!$J$5:$Q$29,IF(E801="HI",2,IF(E801="LO",6,10))+IF(D801=1,2,IF(D801=7,1,(IF(WEEKDAY(B801)=1,2,IF(WEEKDAY(B801)=7,1,0))))))</f>
        <v>3</v>
      </c>
      <c r="H801" s="370">
        <v>13297.0146484375</v>
      </c>
      <c r="I801" s="370">
        <v>1576.2975311279297</v>
      </c>
      <c r="M801" s="371">
        <f t="shared" si="49"/>
        <v>13390.119957169967</v>
      </c>
      <c r="N801" s="329">
        <f t="shared" si="50"/>
        <v>0</v>
      </c>
      <c r="T801" s="331">
        <v>0</v>
      </c>
      <c r="U801" s="328">
        <f>VLOOKUP(C801,METADATA!$J$5:$Q$29,IF(E801="HI",2,IF(E801="LO",6,10))+IF(T801=1,2,IF(D801=7,1,(IF(WEEKDAY(B801)=1,2,IF(WEEKDAY(B801)=7,1,0))))))</f>
        <v>3</v>
      </c>
      <c r="V801" s="328">
        <f>VLOOKUP(C801,METADATA!$A$5:$H$29,IF(E801="HI",2,IF(E801="LO",6,10))+IF(T801=1,2,IF(D801=7,1,(IF(WEEKDAY(B801)=1,2,IF(WEEKDAY(B801)=7,1,0))))))</f>
        <v>3</v>
      </c>
    </row>
    <row r="802" spans="2:22">
      <c r="B802" s="318">
        <f t="shared" si="51"/>
        <v>46146</v>
      </c>
      <c r="C802" s="312">
        <v>6</v>
      </c>
      <c r="D802" s="368">
        <f>IFERROR((INDEX(METADATA!$T$2:$T$20,MATCH(B802,METADATA!$S$2:$S$20,0))),0)</f>
        <v>0</v>
      </c>
      <c r="E802" s="312" t="str">
        <f t="shared" si="48"/>
        <v>LO</v>
      </c>
      <c r="F802" s="369">
        <f>VLOOKUP(C802,METADATA!$A$5:$H$29,IF(E802="HI",2,IF(E802="LO",6,10))+IF(D802=1,2,IF(D802=7,1,(IF(WEEKDAY(B802)=1,2,IF(WEEKDAY(B802)=7,1,0))))))</f>
        <v>2</v>
      </c>
      <c r="G802" s="369">
        <f>VLOOKUP(C802,METADATA!$J$5:$Q$29,IF(E802="HI",2,IF(E802="LO",6,10))+IF(D802=1,2,IF(D802=7,1,(IF(WEEKDAY(B802)=1,2,IF(WEEKDAY(B802)=7,1,0))))))</f>
        <v>2</v>
      </c>
      <c r="H802" s="370">
        <v>13265.395202636719</v>
      </c>
      <c r="I802" s="370">
        <v>1527.8400115966797</v>
      </c>
      <c r="M802" s="371">
        <f t="shared" si="49"/>
        <v>13353.089716734963</v>
      </c>
      <c r="N802" s="329">
        <f t="shared" si="50"/>
        <v>0</v>
      </c>
      <c r="T802" s="331">
        <v>0</v>
      </c>
      <c r="U802" s="328">
        <f>VLOOKUP(C802,METADATA!$J$5:$Q$29,IF(E802="HI",2,IF(E802="LO",6,10))+IF(T802=1,2,IF(D802=7,1,(IF(WEEKDAY(B802)=1,2,IF(WEEKDAY(B802)=7,1,0))))))</f>
        <v>2</v>
      </c>
      <c r="V802" s="328">
        <f>VLOOKUP(C802,METADATA!$A$5:$H$29,IF(E802="HI",2,IF(E802="LO",6,10))+IF(T802=1,2,IF(D802=7,1,(IF(WEEKDAY(B802)=1,2,IF(WEEKDAY(B802)=7,1,0))))))</f>
        <v>2</v>
      </c>
    </row>
    <row r="803" spans="2:22">
      <c r="B803" s="318">
        <f t="shared" si="51"/>
        <v>46146</v>
      </c>
      <c r="C803" s="312">
        <v>7</v>
      </c>
      <c r="D803" s="368">
        <f>IFERROR((INDEX(METADATA!$T$2:$T$20,MATCH(B803,METADATA!$S$2:$S$20,0))),0)</f>
        <v>0</v>
      </c>
      <c r="E803" s="312" t="str">
        <f t="shared" si="48"/>
        <v>LO</v>
      </c>
      <c r="F803" s="369">
        <f>VLOOKUP(C803,METADATA!$A$5:$H$29,IF(E803="HI",2,IF(E803="LO",6,10))+IF(D803=1,2,IF(D803=7,1,(IF(WEEKDAY(B803)=1,2,IF(WEEKDAY(B803)=7,1,0))))))</f>
        <v>1</v>
      </c>
      <c r="G803" s="369">
        <f>VLOOKUP(C803,METADATA!$J$5:$Q$29,IF(E803="HI",2,IF(E803="LO",6,10))+IF(D803=1,2,IF(D803=7,1,(IF(WEEKDAY(B803)=1,2,IF(WEEKDAY(B803)=7,1,0))))))</f>
        <v>1</v>
      </c>
      <c r="H803" s="370">
        <v>13396.965209960938</v>
      </c>
      <c r="I803" s="370">
        <v>1528.1275024414063</v>
      </c>
      <c r="M803" s="371">
        <f t="shared" si="49"/>
        <v>13483.836638754621</v>
      </c>
      <c r="N803" s="329">
        <f t="shared" si="50"/>
        <v>0</v>
      </c>
      <c r="T803" s="331">
        <v>0</v>
      </c>
      <c r="U803" s="328">
        <f>VLOOKUP(C803,METADATA!$J$5:$Q$29,IF(E803="HI",2,IF(E803="LO",6,10))+IF(T803=1,2,IF(D803=7,1,(IF(WEEKDAY(B803)=1,2,IF(WEEKDAY(B803)=7,1,0))))))</f>
        <v>1</v>
      </c>
      <c r="V803" s="328">
        <f>VLOOKUP(C803,METADATA!$A$5:$H$29,IF(E803="HI",2,IF(E803="LO",6,10))+IF(T803=1,2,IF(D803=7,1,(IF(WEEKDAY(B803)=1,2,IF(WEEKDAY(B803)=7,1,0))))))</f>
        <v>1</v>
      </c>
    </row>
    <row r="804" spans="2:22">
      <c r="B804" s="318">
        <f t="shared" si="51"/>
        <v>46146</v>
      </c>
      <c r="C804" s="312">
        <v>8</v>
      </c>
      <c r="D804" s="368">
        <f>IFERROR((INDEX(METADATA!$T$2:$T$20,MATCH(B804,METADATA!$S$2:$S$20,0))),0)</f>
        <v>0</v>
      </c>
      <c r="E804" s="312" t="str">
        <f t="shared" si="48"/>
        <v>LO</v>
      </c>
      <c r="F804" s="369">
        <f>VLOOKUP(C804,METADATA!$A$5:$H$29,IF(E804="HI",2,IF(E804="LO",6,10))+IF(D804=1,2,IF(D804=7,1,(IF(WEEKDAY(B804)=1,2,IF(WEEKDAY(B804)=7,1,0))))))</f>
        <v>1</v>
      </c>
      <c r="G804" s="369">
        <f>VLOOKUP(C804,METADATA!$J$5:$Q$29,IF(E804="HI",2,IF(E804="LO",6,10))+IF(D804=1,2,IF(D804=7,1,(IF(WEEKDAY(B804)=1,2,IF(WEEKDAY(B804)=7,1,0))))))</f>
        <v>1</v>
      </c>
      <c r="H804" s="370">
        <v>12538.030029296875</v>
      </c>
      <c r="I804" s="370">
        <v>860.85699653625488</v>
      </c>
      <c r="M804" s="371">
        <f t="shared" si="49"/>
        <v>12567.548360123212</v>
      </c>
      <c r="N804" s="329">
        <f t="shared" si="50"/>
        <v>0</v>
      </c>
      <c r="T804" s="331">
        <v>0</v>
      </c>
      <c r="U804" s="328">
        <f>VLOOKUP(C804,METADATA!$J$5:$Q$29,IF(E804="HI",2,IF(E804="LO",6,10))+IF(T804=1,2,IF(D804=7,1,(IF(WEEKDAY(B804)=1,2,IF(WEEKDAY(B804)=7,1,0))))))</f>
        <v>1</v>
      </c>
      <c r="V804" s="328">
        <f>VLOOKUP(C804,METADATA!$A$5:$H$29,IF(E804="HI",2,IF(E804="LO",6,10))+IF(T804=1,2,IF(D804=7,1,(IF(WEEKDAY(B804)=1,2,IF(WEEKDAY(B804)=7,1,0))))))</f>
        <v>1</v>
      </c>
    </row>
    <row r="805" spans="2:22">
      <c r="B805" s="318">
        <f t="shared" si="51"/>
        <v>46146</v>
      </c>
      <c r="C805" s="312">
        <v>9</v>
      </c>
      <c r="D805" s="368">
        <f>IFERROR((INDEX(METADATA!$T$2:$T$20,MATCH(B805,METADATA!$S$2:$S$20,0))),0)</f>
        <v>0</v>
      </c>
      <c r="E805" s="312" t="str">
        <f t="shared" si="48"/>
        <v>LO</v>
      </c>
      <c r="F805" s="369">
        <f>VLOOKUP(C805,METADATA!$A$5:$H$29,IF(E805="HI",2,IF(E805="LO",6,10))+IF(D805=1,2,IF(D805=7,1,(IF(WEEKDAY(B805)=1,2,IF(WEEKDAY(B805)=7,1,0))))))</f>
        <v>2</v>
      </c>
      <c r="G805" s="369">
        <f>VLOOKUP(C805,METADATA!$J$5:$Q$29,IF(E805="HI",2,IF(E805="LO",6,10))+IF(D805=1,2,IF(D805=7,1,(IF(WEEKDAY(B805)=1,2,IF(WEEKDAY(B805)=7,1,0))))))</f>
        <v>2</v>
      </c>
      <c r="H805" s="370">
        <v>11180.3447265625</v>
      </c>
      <c r="I805" s="370">
        <v>914.44902229309082</v>
      </c>
      <c r="M805" s="371">
        <f t="shared" si="49"/>
        <v>11217.679136931431</v>
      </c>
      <c r="N805" s="329">
        <f t="shared" si="50"/>
        <v>0</v>
      </c>
      <c r="T805" s="331">
        <v>0</v>
      </c>
      <c r="U805" s="328">
        <f>VLOOKUP(C805,METADATA!$J$5:$Q$29,IF(E805="HI",2,IF(E805="LO",6,10))+IF(T805=1,2,IF(D805=7,1,(IF(WEEKDAY(B805)=1,2,IF(WEEKDAY(B805)=7,1,0))))))</f>
        <v>2</v>
      </c>
      <c r="V805" s="328">
        <f>VLOOKUP(C805,METADATA!$A$5:$H$29,IF(E805="HI",2,IF(E805="LO",6,10))+IF(T805=1,2,IF(D805=7,1,(IF(WEEKDAY(B805)=1,2,IF(WEEKDAY(B805)=7,1,0))))))</f>
        <v>2</v>
      </c>
    </row>
    <row r="806" spans="2:22">
      <c r="B806" s="318">
        <f t="shared" si="51"/>
        <v>46146</v>
      </c>
      <c r="C806" s="312">
        <v>10</v>
      </c>
      <c r="D806" s="368">
        <f>IFERROR((INDEX(METADATA!$T$2:$T$20,MATCH(B806,METADATA!$S$2:$S$20,0))),0)</f>
        <v>0</v>
      </c>
      <c r="E806" s="312" t="str">
        <f t="shared" si="48"/>
        <v>LO</v>
      </c>
      <c r="F806" s="369">
        <f>VLOOKUP(C806,METADATA!$A$5:$H$29,IF(E806="HI",2,IF(E806="LO",6,10))+IF(D806=1,2,IF(D806=7,1,(IF(WEEKDAY(B806)=1,2,IF(WEEKDAY(B806)=7,1,0))))))</f>
        <v>2</v>
      </c>
      <c r="G806" s="369">
        <f>VLOOKUP(C806,METADATA!$J$5:$Q$29,IF(E806="HI",2,IF(E806="LO",6,10))+IF(D806=1,2,IF(D806=7,1,(IF(WEEKDAY(B806)=1,2,IF(WEEKDAY(B806)=7,1,0))))))</f>
        <v>2</v>
      </c>
      <c r="H806" s="370">
        <v>5855.7723999023438</v>
      </c>
      <c r="I806" s="370">
        <v>0</v>
      </c>
      <c r="M806" s="371">
        <f t="shared" si="49"/>
        <v>5855.7723999023438</v>
      </c>
      <c r="N806" s="329">
        <f t="shared" si="50"/>
        <v>0</v>
      </c>
      <c r="T806" s="331">
        <v>0</v>
      </c>
      <c r="U806" s="328">
        <f>VLOOKUP(C806,METADATA!$J$5:$Q$29,IF(E806="HI",2,IF(E806="LO",6,10))+IF(T806=1,2,IF(D806=7,1,(IF(WEEKDAY(B806)=1,2,IF(WEEKDAY(B806)=7,1,0))))))</f>
        <v>2</v>
      </c>
      <c r="V806" s="328">
        <f>VLOOKUP(C806,METADATA!$A$5:$H$29,IF(E806="HI",2,IF(E806="LO",6,10))+IF(T806=1,2,IF(D806=7,1,(IF(WEEKDAY(B806)=1,2,IF(WEEKDAY(B806)=7,1,0))))))</f>
        <v>2</v>
      </c>
    </row>
    <row r="807" spans="2:22">
      <c r="B807" s="318">
        <f t="shared" si="51"/>
        <v>46146</v>
      </c>
      <c r="C807" s="312">
        <v>11</v>
      </c>
      <c r="D807" s="368">
        <f>IFERROR((INDEX(METADATA!$T$2:$T$20,MATCH(B807,METADATA!$S$2:$S$20,0))),0)</f>
        <v>0</v>
      </c>
      <c r="E807" s="312" t="str">
        <f t="shared" si="48"/>
        <v>LO</v>
      </c>
      <c r="F807" s="369">
        <f>VLOOKUP(C807,METADATA!$A$5:$H$29,IF(E807="HI",2,IF(E807="LO",6,10))+IF(D807=1,2,IF(D807=7,1,(IF(WEEKDAY(B807)=1,2,IF(WEEKDAY(B807)=7,1,0))))))</f>
        <v>2</v>
      </c>
      <c r="G807" s="369">
        <f>VLOOKUP(C807,METADATA!$J$5:$Q$29,IF(E807="HI",2,IF(E807="LO",6,10))+IF(D807=1,2,IF(D807=7,1,(IF(WEEKDAY(B807)=1,2,IF(WEEKDAY(B807)=7,1,0))))))</f>
        <v>2</v>
      </c>
      <c r="H807" s="370">
        <v>9200.9199829101563</v>
      </c>
      <c r="I807" s="370">
        <v>771.1199951171875</v>
      </c>
      <c r="M807" s="371">
        <f t="shared" si="49"/>
        <v>9233.1768410869809</v>
      </c>
      <c r="N807" s="329">
        <f t="shared" si="50"/>
        <v>0</v>
      </c>
      <c r="T807" s="331">
        <v>0</v>
      </c>
      <c r="U807" s="328">
        <f>VLOOKUP(C807,METADATA!$J$5:$Q$29,IF(E807="HI",2,IF(E807="LO",6,10))+IF(T807=1,2,IF(D807=7,1,(IF(WEEKDAY(B807)=1,2,IF(WEEKDAY(B807)=7,1,0))))))</f>
        <v>2</v>
      </c>
      <c r="V807" s="328">
        <f>VLOOKUP(C807,METADATA!$A$5:$H$29,IF(E807="HI",2,IF(E807="LO",6,10))+IF(T807=1,2,IF(D807=7,1,(IF(WEEKDAY(B807)=1,2,IF(WEEKDAY(B807)=7,1,0))))))</f>
        <v>2</v>
      </c>
    </row>
    <row r="808" spans="2:22">
      <c r="B808" s="318">
        <f t="shared" si="51"/>
        <v>46146</v>
      </c>
      <c r="C808" s="312">
        <v>12</v>
      </c>
      <c r="D808" s="368">
        <f>IFERROR((INDEX(METADATA!$T$2:$T$20,MATCH(B808,METADATA!$S$2:$S$20,0))),0)</f>
        <v>0</v>
      </c>
      <c r="E808" s="312" t="str">
        <f t="shared" si="48"/>
        <v>LO</v>
      </c>
      <c r="F808" s="369">
        <f>VLOOKUP(C808,METADATA!$A$5:$H$29,IF(E808="HI",2,IF(E808="LO",6,10))+IF(D808=1,2,IF(D808=7,1,(IF(WEEKDAY(B808)=1,2,IF(WEEKDAY(B808)=7,1,0))))))</f>
        <v>2</v>
      </c>
      <c r="G808" s="369">
        <f>VLOOKUP(C808,METADATA!$J$5:$Q$29,IF(E808="HI",2,IF(E808="LO",6,10))+IF(D808=1,2,IF(D808=7,1,(IF(WEEKDAY(B808)=1,2,IF(WEEKDAY(B808)=7,1,0))))))</f>
        <v>2</v>
      </c>
      <c r="H808" s="370">
        <v>10875.364929199219</v>
      </c>
      <c r="I808" s="370">
        <v>1409.2560567259789</v>
      </c>
      <c r="M808" s="371">
        <f t="shared" si="49"/>
        <v>10966.292216454711</v>
      </c>
      <c r="N808" s="329">
        <f t="shared" si="50"/>
        <v>0</v>
      </c>
      <c r="T808" s="331">
        <v>0</v>
      </c>
      <c r="U808" s="328">
        <f>VLOOKUP(C808,METADATA!$J$5:$Q$29,IF(E808="HI",2,IF(E808="LO",6,10))+IF(T808=1,2,IF(D808=7,1,(IF(WEEKDAY(B808)=1,2,IF(WEEKDAY(B808)=7,1,0))))))</f>
        <v>2</v>
      </c>
      <c r="V808" s="328">
        <f>VLOOKUP(C808,METADATA!$A$5:$H$29,IF(E808="HI",2,IF(E808="LO",6,10))+IF(T808=1,2,IF(D808=7,1,(IF(WEEKDAY(B808)=1,2,IF(WEEKDAY(B808)=7,1,0))))))</f>
        <v>2</v>
      </c>
    </row>
    <row r="809" spans="2:22">
      <c r="B809" s="318">
        <f t="shared" si="51"/>
        <v>46146</v>
      </c>
      <c r="C809" s="312">
        <v>13</v>
      </c>
      <c r="D809" s="368">
        <f>IFERROR((INDEX(METADATA!$T$2:$T$20,MATCH(B809,METADATA!$S$2:$S$20,0))),0)</f>
        <v>0</v>
      </c>
      <c r="E809" s="312" t="str">
        <f t="shared" si="48"/>
        <v>LO</v>
      </c>
      <c r="F809" s="369">
        <f>VLOOKUP(C809,METADATA!$A$5:$H$29,IF(E809="HI",2,IF(E809="LO",6,10))+IF(D809=1,2,IF(D809=7,1,(IF(WEEKDAY(B809)=1,2,IF(WEEKDAY(B809)=7,1,0))))))</f>
        <v>2</v>
      </c>
      <c r="G809" s="369">
        <f>VLOOKUP(C809,METADATA!$J$5:$Q$29,IF(E809="HI",2,IF(E809="LO",6,10))+IF(D809=1,2,IF(D809=7,1,(IF(WEEKDAY(B809)=1,2,IF(WEEKDAY(B809)=7,1,0))))))</f>
        <v>2</v>
      </c>
      <c r="H809" s="370">
        <v>12838.189758300781</v>
      </c>
      <c r="I809" s="370">
        <v>1794.3094887733459</v>
      </c>
      <c r="M809" s="371">
        <f t="shared" si="49"/>
        <v>12962.972761355364</v>
      </c>
      <c r="N809" s="329">
        <f t="shared" si="50"/>
        <v>0</v>
      </c>
      <c r="T809" s="331">
        <v>0</v>
      </c>
      <c r="U809" s="328">
        <f>VLOOKUP(C809,METADATA!$J$5:$Q$29,IF(E809="HI",2,IF(E809="LO",6,10))+IF(T809=1,2,IF(D809=7,1,(IF(WEEKDAY(B809)=1,2,IF(WEEKDAY(B809)=7,1,0))))))</f>
        <v>2</v>
      </c>
      <c r="V809" s="328">
        <f>VLOOKUP(C809,METADATA!$A$5:$H$29,IF(E809="HI",2,IF(E809="LO",6,10))+IF(T809=1,2,IF(D809=7,1,(IF(WEEKDAY(B809)=1,2,IF(WEEKDAY(B809)=7,1,0))))))</f>
        <v>2</v>
      </c>
    </row>
    <row r="810" spans="2:22">
      <c r="B810" s="318">
        <f t="shared" si="51"/>
        <v>46146</v>
      </c>
      <c r="C810" s="312">
        <v>14</v>
      </c>
      <c r="D810" s="368">
        <f>IFERROR((INDEX(METADATA!$T$2:$T$20,MATCH(B810,METADATA!$S$2:$S$20,0))),0)</f>
        <v>0</v>
      </c>
      <c r="E810" s="312" t="str">
        <f t="shared" si="48"/>
        <v>LO</v>
      </c>
      <c r="F810" s="369">
        <f>VLOOKUP(C810,METADATA!$A$5:$H$29,IF(E810="HI",2,IF(E810="LO",6,10))+IF(D810=1,2,IF(D810=7,1,(IF(WEEKDAY(B810)=1,2,IF(WEEKDAY(B810)=7,1,0))))))</f>
        <v>2</v>
      </c>
      <c r="G810" s="369">
        <f>VLOOKUP(C810,METADATA!$J$5:$Q$29,IF(E810="HI",2,IF(E810="LO",6,10))+IF(D810=1,2,IF(D810=7,1,(IF(WEEKDAY(B810)=1,2,IF(WEEKDAY(B810)=7,1,0))))))</f>
        <v>2</v>
      </c>
      <c r="H810" s="370">
        <v>13028.010009765625</v>
      </c>
      <c r="I810" s="370">
        <v>1950.6729612350464</v>
      </c>
      <c r="M810" s="371">
        <f t="shared" si="49"/>
        <v>13173.236876950434</v>
      </c>
      <c r="N810" s="329">
        <f t="shared" si="50"/>
        <v>0</v>
      </c>
      <c r="T810" s="331">
        <v>0</v>
      </c>
      <c r="U810" s="328">
        <f>VLOOKUP(C810,METADATA!$J$5:$Q$29,IF(E810="HI",2,IF(E810="LO",6,10))+IF(T810=1,2,IF(D810=7,1,(IF(WEEKDAY(B810)=1,2,IF(WEEKDAY(B810)=7,1,0))))))</f>
        <v>2</v>
      </c>
      <c r="V810" s="328">
        <f>VLOOKUP(C810,METADATA!$A$5:$H$29,IF(E810="HI",2,IF(E810="LO",6,10))+IF(T810=1,2,IF(D810=7,1,(IF(WEEKDAY(B810)=1,2,IF(WEEKDAY(B810)=7,1,0))))))</f>
        <v>2</v>
      </c>
    </row>
    <row r="811" spans="2:22">
      <c r="B811" s="318">
        <f t="shared" si="51"/>
        <v>46146</v>
      </c>
      <c r="C811" s="312">
        <v>15</v>
      </c>
      <c r="D811" s="368">
        <f>IFERROR((INDEX(METADATA!$T$2:$T$20,MATCH(B811,METADATA!$S$2:$S$20,0))),0)</f>
        <v>0</v>
      </c>
      <c r="E811" s="312" t="str">
        <f t="shared" si="48"/>
        <v>LO</v>
      </c>
      <c r="F811" s="369">
        <f>VLOOKUP(C811,METADATA!$A$5:$H$29,IF(E811="HI",2,IF(E811="LO",6,10))+IF(D811=1,2,IF(D811=7,1,(IF(WEEKDAY(B811)=1,2,IF(WEEKDAY(B811)=7,1,0))))))</f>
        <v>2</v>
      </c>
      <c r="G811" s="369">
        <f>VLOOKUP(C811,METADATA!$J$5:$Q$29,IF(E811="HI",2,IF(E811="LO",6,10))+IF(D811=1,2,IF(D811=7,1,(IF(WEEKDAY(B811)=1,2,IF(WEEKDAY(B811)=7,1,0))))))</f>
        <v>2</v>
      </c>
      <c r="H811" s="370">
        <v>13071.4501953125</v>
      </c>
      <c r="I811" s="370">
        <v>1928.0165071487427</v>
      </c>
      <c r="M811" s="371">
        <f t="shared" si="49"/>
        <v>13212.874700850425</v>
      </c>
      <c r="N811" s="329">
        <f t="shared" si="50"/>
        <v>0</v>
      </c>
      <c r="T811" s="331">
        <v>0</v>
      </c>
      <c r="U811" s="328">
        <f>VLOOKUP(C811,METADATA!$J$5:$Q$29,IF(E811="HI",2,IF(E811="LO",6,10))+IF(T811=1,2,IF(D811=7,1,(IF(WEEKDAY(B811)=1,2,IF(WEEKDAY(B811)=7,1,0))))))</f>
        <v>2</v>
      </c>
      <c r="V811" s="328">
        <f>VLOOKUP(C811,METADATA!$A$5:$H$29,IF(E811="HI",2,IF(E811="LO",6,10))+IF(T811=1,2,IF(D811=7,1,(IF(WEEKDAY(B811)=1,2,IF(WEEKDAY(B811)=7,1,0))))))</f>
        <v>2</v>
      </c>
    </row>
    <row r="812" spans="2:22">
      <c r="B812" s="318">
        <f t="shared" si="51"/>
        <v>46146</v>
      </c>
      <c r="C812" s="312">
        <v>16</v>
      </c>
      <c r="D812" s="368">
        <f>IFERROR((INDEX(METADATA!$T$2:$T$20,MATCH(B812,METADATA!$S$2:$S$20,0))),0)</f>
        <v>0</v>
      </c>
      <c r="E812" s="312" t="str">
        <f t="shared" si="48"/>
        <v>LO</v>
      </c>
      <c r="F812" s="369">
        <f>VLOOKUP(C812,METADATA!$A$5:$H$29,IF(E812="HI",2,IF(E812="LO",6,10))+IF(D812=1,2,IF(D812=7,1,(IF(WEEKDAY(B812)=1,2,IF(WEEKDAY(B812)=7,1,0))))))</f>
        <v>2</v>
      </c>
      <c r="G812" s="369">
        <f>VLOOKUP(C812,METADATA!$J$5:$Q$29,IF(E812="HI",2,IF(E812="LO",6,10))+IF(D812=1,2,IF(D812=7,1,(IF(WEEKDAY(B812)=1,2,IF(WEEKDAY(B812)=7,1,0))))))</f>
        <v>2</v>
      </c>
      <c r="H812" s="370">
        <v>13104.445007324219</v>
      </c>
      <c r="I812" s="370">
        <v>1862.1119890213013</v>
      </c>
      <c r="M812" s="371">
        <f t="shared" si="49"/>
        <v>13236.084768905097</v>
      </c>
      <c r="N812" s="329">
        <f t="shared" si="50"/>
        <v>0</v>
      </c>
      <c r="T812" s="331">
        <v>0</v>
      </c>
      <c r="U812" s="328">
        <f>VLOOKUP(C812,METADATA!$J$5:$Q$29,IF(E812="HI",2,IF(E812="LO",6,10))+IF(T812=1,2,IF(D812=7,1,(IF(WEEKDAY(B812)=1,2,IF(WEEKDAY(B812)=7,1,0))))))</f>
        <v>2</v>
      </c>
      <c r="V812" s="328">
        <f>VLOOKUP(C812,METADATA!$A$5:$H$29,IF(E812="HI",2,IF(E812="LO",6,10))+IF(T812=1,2,IF(D812=7,1,(IF(WEEKDAY(B812)=1,2,IF(WEEKDAY(B812)=7,1,0))))))</f>
        <v>2</v>
      </c>
    </row>
    <row r="813" spans="2:22">
      <c r="B813" s="318">
        <f t="shared" si="51"/>
        <v>46146</v>
      </c>
      <c r="C813" s="312">
        <v>17</v>
      </c>
      <c r="D813" s="368">
        <f>IFERROR((INDEX(METADATA!$T$2:$T$20,MATCH(B813,METADATA!$S$2:$S$20,0))),0)</f>
        <v>0</v>
      </c>
      <c r="E813" s="312" t="str">
        <f t="shared" si="48"/>
        <v>LO</v>
      </c>
      <c r="F813" s="369">
        <f>VLOOKUP(C813,METADATA!$A$5:$H$29,IF(E813="HI",2,IF(E813="LO",6,10))+IF(D813=1,2,IF(D813=7,1,(IF(WEEKDAY(B813)=1,2,IF(WEEKDAY(B813)=7,1,0))))))</f>
        <v>2</v>
      </c>
      <c r="G813" s="369">
        <f>VLOOKUP(C813,METADATA!$J$5:$Q$29,IF(E813="HI",2,IF(E813="LO",6,10))+IF(D813=1,2,IF(D813=7,1,(IF(WEEKDAY(B813)=1,2,IF(WEEKDAY(B813)=7,1,0))))))</f>
        <v>2</v>
      </c>
      <c r="H813" s="370">
        <v>13135.579895019531</v>
      </c>
      <c r="I813" s="370">
        <v>1748.8789753913879</v>
      </c>
      <c r="M813" s="371">
        <f t="shared" si="49"/>
        <v>13251.491872578246</v>
      </c>
      <c r="N813" s="329">
        <f t="shared" si="50"/>
        <v>0</v>
      </c>
      <c r="T813" s="331">
        <v>0</v>
      </c>
      <c r="U813" s="328">
        <f>VLOOKUP(C813,METADATA!$J$5:$Q$29,IF(E813="HI",2,IF(E813="LO",6,10))+IF(T813=1,2,IF(D813=7,1,(IF(WEEKDAY(B813)=1,2,IF(WEEKDAY(B813)=7,1,0))))))</f>
        <v>2</v>
      </c>
      <c r="V813" s="328">
        <f>VLOOKUP(C813,METADATA!$A$5:$H$29,IF(E813="HI",2,IF(E813="LO",6,10))+IF(T813=1,2,IF(D813=7,1,(IF(WEEKDAY(B813)=1,2,IF(WEEKDAY(B813)=7,1,0))))))</f>
        <v>2</v>
      </c>
    </row>
    <row r="814" spans="2:22">
      <c r="B814" s="318">
        <f t="shared" si="51"/>
        <v>46146</v>
      </c>
      <c r="C814" s="312">
        <v>18</v>
      </c>
      <c r="D814" s="368">
        <f>IFERROR((INDEX(METADATA!$T$2:$T$20,MATCH(B814,METADATA!$S$2:$S$20,0))),0)</f>
        <v>0</v>
      </c>
      <c r="E814" s="312" t="str">
        <f t="shared" si="48"/>
        <v>LO</v>
      </c>
      <c r="F814" s="369">
        <f>VLOOKUP(C814,METADATA!$A$5:$H$29,IF(E814="HI",2,IF(E814="LO",6,10))+IF(D814=1,2,IF(D814=7,1,(IF(WEEKDAY(B814)=1,2,IF(WEEKDAY(B814)=7,1,0))))))</f>
        <v>1</v>
      </c>
      <c r="G814" s="369">
        <f>VLOOKUP(C814,METADATA!$J$5:$Q$29,IF(E814="HI",2,IF(E814="LO",6,10))+IF(D814=1,2,IF(D814=7,1,(IF(WEEKDAY(B814)=1,2,IF(WEEKDAY(B814)=7,1,0))))))</f>
        <v>1</v>
      </c>
      <c r="H814" s="370">
        <v>12337.66015625</v>
      </c>
      <c r="I814" s="370">
        <v>1561.153977394104</v>
      </c>
      <c r="M814" s="371">
        <f t="shared" si="49"/>
        <v>12436.038753246637</v>
      </c>
      <c r="N814" s="329">
        <f t="shared" si="50"/>
        <v>0</v>
      </c>
      <c r="T814" s="331">
        <v>0</v>
      </c>
      <c r="U814" s="328">
        <f>VLOOKUP(C814,METADATA!$J$5:$Q$29,IF(E814="HI",2,IF(E814="LO",6,10))+IF(T814=1,2,IF(D814=7,1,(IF(WEEKDAY(B814)=1,2,IF(WEEKDAY(B814)=7,1,0))))))</f>
        <v>1</v>
      </c>
      <c r="V814" s="328">
        <f>VLOOKUP(C814,METADATA!$A$5:$H$29,IF(E814="HI",2,IF(E814="LO",6,10))+IF(T814=1,2,IF(D814=7,1,(IF(WEEKDAY(B814)=1,2,IF(WEEKDAY(B814)=7,1,0))))))</f>
        <v>1</v>
      </c>
    </row>
    <row r="815" spans="2:22">
      <c r="B815" s="318">
        <f t="shared" si="51"/>
        <v>46146</v>
      </c>
      <c r="C815" s="312">
        <v>19</v>
      </c>
      <c r="D815" s="368">
        <f>IFERROR((INDEX(METADATA!$T$2:$T$20,MATCH(B815,METADATA!$S$2:$S$20,0))),0)</f>
        <v>0</v>
      </c>
      <c r="E815" s="312" t="str">
        <f t="shared" si="48"/>
        <v>LO</v>
      </c>
      <c r="F815" s="369">
        <f>VLOOKUP(C815,METADATA!$A$5:$H$29,IF(E815="HI",2,IF(E815="LO",6,10))+IF(D815=1,2,IF(D815=7,1,(IF(WEEKDAY(B815)=1,2,IF(WEEKDAY(B815)=7,1,0))))))</f>
        <v>1</v>
      </c>
      <c r="G815" s="369">
        <f>VLOOKUP(C815,METADATA!$J$5:$Q$29,IF(E815="HI",2,IF(E815="LO",6,10))+IF(D815=1,2,IF(D815=7,1,(IF(WEEKDAY(B815)=1,2,IF(WEEKDAY(B815)=7,1,0))))))</f>
        <v>1</v>
      </c>
      <c r="H815" s="370">
        <v>11690.942230224609</v>
      </c>
      <c r="I815" s="370">
        <v>1511.9495286941528</v>
      </c>
      <c r="M815" s="371">
        <f t="shared" si="49"/>
        <v>11788.304441596665</v>
      </c>
      <c r="N815" s="329">
        <f t="shared" si="50"/>
        <v>0</v>
      </c>
      <c r="T815" s="331">
        <v>0</v>
      </c>
      <c r="U815" s="328">
        <f>VLOOKUP(C815,METADATA!$J$5:$Q$29,IF(E815="HI",2,IF(E815="LO",6,10))+IF(T815=1,2,IF(D815=7,1,(IF(WEEKDAY(B815)=1,2,IF(WEEKDAY(B815)=7,1,0))))))</f>
        <v>1</v>
      </c>
      <c r="V815" s="328">
        <f>VLOOKUP(C815,METADATA!$A$5:$H$29,IF(E815="HI",2,IF(E815="LO",6,10))+IF(T815=1,2,IF(D815=7,1,(IF(WEEKDAY(B815)=1,2,IF(WEEKDAY(B815)=7,1,0))))))</f>
        <v>1</v>
      </c>
    </row>
    <row r="816" spans="2:22">
      <c r="B816" s="318">
        <f t="shared" si="51"/>
        <v>46146</v>
      </c>
      <c r="C816" s="312">
        <v>20</v>
      </c>
      <c r="D816" s="368">
        <f>IFERROR((INDEX(METADATA!$T$2:$T$20,MATCH(B816,METADATA!$S$2:$S$20,0))),0)</f>
        <v>0</v>
      </c>
      <c r="E816" s="312" t="str">
        <f t="shared" si="48"/>
        <v>LO</v>
      </c>
      <c r="F816" s="369">
        <f>VLOOKUP(C816,METADATA!$A$5:$H$29,IF(E816="HI",2,IF(E816="LO",6,10))+IF(D816=1,2,IF(D816=7,1,(IF(WEEKDAY(B816)=1,2,IF(WEEKDAY(B816)=7,1,0))))))</f>
        <v>1</v>
      </c>
      <c r="G816" s="369">
        <f>VLOOKUP(C816,METADATA!$J$5:$Q$29,IF(E816="HI",2,IF(E816="LO",6,10))+IF(D816=1,2,IF(D816=7,1,(IF(WEEKDAY(B816)=1,2,IF(WEEKDAY(B816)=7,1,0))))))</f>
        <v>1</v>
      </c>
      <c r="H816" s="370">
        <v>13103.67041015625</v>
      </c>
      <c r="I816" s="370">
        <v>1778.9290409088135</v>
      </c>
      <c r="M816" s="371">
        <f t="shared" si="49"/>
        <v>13223.871095507291</v>
      </c>
      <c r="N816" s="329">
        <f t="shared" si="50"/>
        <v>0</v>
      </c>
      <c r="T816" s="331">
        <v>0</v>
      </c>
      <c r="U816" s="328">
        <f>VLOOKUP(C816,METADATA!$J$5:$Q$29,IF(E816="HI",2,IF(E816="LO",6,10))+IF(T816=1,2,IF(D816=7,1,(IF(WEEKDAY(B816)=1,2,IF(WEEKDAY(B816)=7,1,0))))))</f>
        <v>1</v>
      </c>
      <c r="V816" s="328">
        <f>VLOOKUP(C816,METADATA!$A$5:$H$29,IF(E816="HI",2,IF(E816="LO",6,10))+IF(T816=1,2,IF(D816=7,1,(IF(WEEKDAY(B816)=1,2,IF(WEEKDAY(B816)=7,1,0))))))</f>
        <v>1</v>
      </c>
    </row>
    <row r="817" spans="2:22">
      <c r="B817" s="318">
        <f t="shared" si="51"/>
        <v>46146</v>
      </c>
      <c r="C817" s="312">
        <v>21</v>
      </c>
      <c r="D817" s="368">
        <f>IFERROR((INDEX(METADATA!$T$2:$T$20,MATCH(B817,METADATA!$S$2:$S$20,0))),0)</f>
        <v>0</v>
      </c>
      <c r="E817" s="312" t="str">
        <f t="shared" si="48"/>
        <v>LO</v>
      </c>
      <c r="F817" s="369">
        <f>VLOOKUP(C817,METADATA!$A$5:$H$29,IF(E817="HI",2,IF(E817="LO",6,10))+IF(D817=1,2,IF(D817=7,1,(IF(WEEKDAY(B817)=1,2,IF(WEEKDAY(B817)=7,1,0))))))</f>
        <v>2</v>
      </c>
      <c r="G817" s="369">
        <f>VLOOKUP(C817,METADATA!$J$5:$Q$29,IF(E817="HI",2,IF(E817="LO",6,10))+IF(D817=1,2,IF(D817=7,1,(IF(WEEKDAY(B817)=1,2,IF(WEEKDAY(B817)=7,1,0))))))</f>
        <v>2</v>
      </c>
      <c r="H817" s="370">
        <v>13160.360107421875</v>
      </c>
      <c r="I817" s="370">
        <v>1802.401002407074</v>
      </c>
      <c r="M817" s="371">
        <f t="shared" si="49"/>
        <v>13283.212244427141</v>
      </c>
      <c r="N817" s="329">
        <f t="shared" si="50"/>
        <v>0</v>
      </c>
      <c r="T817" s="331">
        <v>0</v>
      </c>
      <c r="U817" s="328">
        <f>VLOOKUP(C817,METADATA!$J$5:$Q$29,IF(E817="HI",2,IF(E817="LO",6,10))+IF(T817=1,2,IF(D817=7,1,(IF(WEEKDAY(B817)=1,2,IF(WEEKDAY(B817)=7,1,0))))))</f>
        <v>2</v>
      </c>
      <c r="V817" s="328">
        <f>VLOOKUP(C817,METADATA!$A$5:$H$29,IF(E817="HI",2,IF(E817="LO",6,10))+IF(T817=1,2,IF(D817=7,1,(IF(WEEKDAY(B817)=1,2,IF(WEEKDAY(B817)=7,1,0))))))</f>
        <v>2</v>
      </c>
    </row>
    <row r="818" spans="2:22">
      <c r="B818" s="318">
        <f t="shared" si="51"/>
        <v>46146</v>
      </c>
      <c r="C818" s="312">
        <v>22</v>
      </c>
      <c r="D818" s="368">
        <f>IFERROR((INDEX(METADATA!$T$2:$T$20,MATCH(B818,METADATA!$S$2:$S$20,0))),0)</f>
        <v>0</v>
      </c>
      <c r="E818" s="312" t="str">
        <f t="shared" si="48"/>
        <v>LO</v>
      </c>
      <c r="F818" s="369">
        <f>VLOOKUP(C818,METADATA!$A$5:$H$29,IF(E818="HI",2,IF(E818="LO",6,10))+IF(D818=1,2,IF(D818=7,1,(IF(WEEKDAY(B818)=1,2,IF(WEEKDAY(B818)=7,1,0))))))</f>
        <v>3</v>
      </c>
      <c r="G818" s="369">
        <f>VLOOKUP(C818,METADATA!$J$5:$Q$29,IF(E818="HI",2,IF(E818="LO",6,10))+IF(D818=1,2,IF(D818=7,1,(IF(WEEKDAY(B818)=1,2,IF(WEEKDAY(B818)=7,1,0))))))</f>
        <v>3</v>
      </c>
      <c r="H818" s="370">
        <v>13186.109680175781</v>
      </c>
      <c r="I818" s="370">
        <v>1765.246018409729</v>
      </c>
      <c r="M818" s="371">
        <f t="shared" si="49"/>
        <v>13303.74315759053</v>
      </c>
      <c r="N818" s="329">
        <f t="shared" si="50"/>
        <v>0</v>
      </c>
      <c r="T818" s="331">
        <v>0</v>
      </c>
      <c r="U818" s="328">
        <f>VLOOKUP(C818,METADATA!$J$5:$Q$29,IF(E818="HI",2,IF(E818="LO",6,10))+IF(T818=1,2,IF(D818=7,1,(IF(WEEKDAY(B818)=1,2,IF(WEEKDAY(B818)=7,1,0))))))</f>
        <v>3</v>
      </c>
      <c r="V818" s="328">
        <f>VLOOKUP(C818,METADATA!$A$5:$H$29,IF(E818="HI",2,IF(E818="LO",6,10))+IF(T818=1,2,IF(D818=7,1,(IF(WEEKDAY(B818)=1,2,IF(WEEKDAY(B818)=7,1,0))))))</f>
        <v>3</v>
      </c>
    </row>
    <row r="819" spans="2:22">
      <c r="B819" s="318">
        <f t="shared" si="51"/>
        <v>46146</v>
      </c>
      <c r="C819" s="312">
        <v>23</v>
      </c>
      <c r="D819" s="368">
        <f>IFERROR((INDEX(METADATA!$T$2:$T$20,MATCH(B819,METADATA!$S$2:$S$20,0))),0)</f>
        <v>0</v>
      </c>
      <c r="E819" s="312" t="str">
        <f t="shared" si="48"/>
        <v>LO</v>
      </c>
      <c r="F819" s="369">
        <f>VLOOKUP(C819,METADATA!$A$5:$H$29,IF(E819="HI",2,IF(E819="LO",6,10))+IF(D819=1,2,IF(D819=7,1,(IF(WEEKDAY(B819)=1,2,IF(WEEKDAY(B819)=7,1,0))))))</f>
        <v>3</v>
      </c>
      <c r="G819" s="369">
        <f>VLOOKUP(C819,METADATA!$J$5:$Q$29,IF(E819="HI",2,IF(E819="LO",6,10))+IF(D819=1,2,IF(D819=7,1,(IF(WEEKDAY(B819)=1,2,IF(WEEKDAY(B819)=7,1,0))))))</f>
        <v>3</v>
      </c>
      <c r="H819" s="370">
        <v>13214.689880371094</v>
      </c>
      <c r="I819" s="370">
        <v>1660.5845594406128</v>
      </c>
      <c r="M819" s="371">
        <f t="shared" si="49"/>
        <v>13318.617409980465</v>
      </c>
      <c r="N819" s="329">
        <f t="shared" si="50"/>
        <v>0</v>
      </c>
      <c r="T819" s="331">
        <v>0</v>
      </c>
      <c r="U819" s="328">
        <f>VLOOKUP(C819,METADATA!$J$5:$Q$29,IF(E819="HI",2,IF(E819="LO",6,10))+IF(T819=1,2,IF(D819=7,1,(IF(WEEKDAY(B819)=1,2,IF(WEEKDAY(B819)=7,1,0))))))</f>
        <v>3</v>
      </c>
      <c r="V819" s="328">
        <f>VLOOKUP(C819,METADATA!$A$5:$H$29,IF(E819="HI",2,IF(E819="LO",6,10))+IF(T819=1,2,IF(D819=7,1,(IF(WEEKDAY(B819)=1,2,IF(WEEKDAY(B819)=7,1,0))))))</f>
        <v>3</v>
      </c>
    </row>
    <row r="820" spans="2:22">
      <c r="B820" s="318">
        <f t="shared" si="51"/>
        <v>46147</v>
      </c>
      <c r="C820" s="312">
        <v>0</v>
      </c>
      <c r="D820" s="368">
        <f>IFERROR((INDEX(METADATA!$T$2:$T$20,MATCH(B820,METADATA!$S$2:$S$20,0))),0)</f>
        <v>0</v>
      </c>
      <c r="E820" s="312" t="str">
        <f t="shared" si="48"/>
        <v>LO</v>
      </c>
      <c r="F820" s="369">
        <f>VLOOKUP(C820,METADATA!$A$5:$H$29,IF(E820="HI",2,IF(E820="LO",6,10))+IF(D820=1,2,IF(D820=7,1,(IF(WEEKDAY(B820)=1,2,IF(WEEKDAY(B820)=7,1,0))))))</f>
        <v>3</v>
      </c>
      <c r="G820" s="369">
        <f>VLOOKUP(C820,METADATA!$J$5:$Q$29,IF(E820="HI",2,IF(E820="LO",6,10))+IF(D820=1,2,IF(D820=7,1,(IF(WEEKDAY(B820)=1,2,IF(WEEKDAY(B820)=7,1,0))))))</f>
        <v>3</v>
      </c>
      <c r="H820" s="370">
        <v>13164.265014648438</v>
      </c>
      <c r="I820" s="370">
        <v>1639.9919738769531</v>
      </c>
      <c r="M820" s="371">
        <f t="shared" si="49"/>
        <v>13266.026045891726</v>
      </c>
      <c r="N820" s="329">
        <f t="shared" si="50"/>
        <v>0</v>
      </c>
      <c r="T820" s="331">
        <v>0</v>
      </c>
      <c r="U820" s="328">
        <f>VLOOKUP(C820,METADATA!$J$5:$Q$29,IF(E820="HI",2,IF(E820="LO",6,10))+IF(T820=1,2,IF(D820=7,1,(IF(WEEKDAY(B820)=1,2,IF(WEEKDAY(B820)=7,1,0))))))</f>
        <v>3</v>
      </c>
      <c r="V820" s="328">
        <f>VLOOKUP(C820,METADATA!$A$5:$H$29,IF(E820="HI",2,IF(E820="LO",6,10))+IF(T820=1,2,IF(D820=7,1,(IF(WEEKDAY(B820)=1,2,IF(WEEKDAY(B820)=7,1,0))))))</f>
        <v>3</v>
      </c>
    </row>
    <row r="821" spans="2:22">
      <c r="B821" s="318">
        <f t="shared" si="51"/>
        <v>46147</v>
      </c>
      <c r="C821" s="312">
        <v>1</v>
      </c>
      <c r="D821" s="368">
        <f>IFERROR((INDEX(METADATA!$T$2:$T$20,MATCH(B821,METADATA!$S$2:$S$20,0))),0)</f>
        <v>0</v>
      </c>
      <c r="E821" s="312" t="str">
        <f t="shared" si="48"/>
        <v>LO</v>
      </c>
      <c r="F821" s="369">
        <f>VLOOKUP(C821,METADATA!$A$5:$H$29,IF(E821="HI",2,IF(E821="LO",6,10))+IF(D821=1,2,IF(D821=7,1,(IF(WEEKDAY(B821)=1,2,IF(WEEKDAY(B821)=7,1,0))))))</f>
        <v>3</v>
      </c>
      <c r="G821" s="369">
        <f>VLOOKUP(C821,METADATA!$J$5:$Q$29,IF(E821="HI",2,IF(E821="LO",6,10))+IF(D821=1,2,IF(D821=7,1,(IF(WEEKDAY(B821)=1,2,IF(WEEKDAY(B821)=7,1,0))))))</f>
        <v>3</v>
      </c>
      <c r="H821" s="370">
        <v>13164.200256347656</v>
      </c>
      <c r="I821" s="370">
        <v>1711.5579900741577</v>
      </c>
      <c r="M821" s="371">
        <f t="shared" si="49"/>
        <v>13274.999026086984</v>
      </c>
      <c r="N821" s="329">
        <f t="shared" si="50"/>
        <v>0</v>
      </c>
      <c r="T821" s="331">
        <v>0</v>
      </c>
      <c r="U821" s="328">
        <f>VLOOKUP(C821,METADATA!$J$5:$Q$29,IF(E821="HI",2,IF(E821="LO",6,10))+IF(T821=1,2,IF(D821=7,1,(IF(WEEKDAY(B821)=1,2,IF(WEEKDAY(B821)=7,1,0))))))</f>
        <v>3</v>
      </c>
      <c r="V821" s="328">
        <f>VLOOKUP(C821,METADATA!$A$5:$H$29,IF(E821="HI",2,IF(E821="LO",6,10))+IF(T821=1,2,IF(D821=7,1,(IF(WEEKDAY(B821)=1,2,IF(WEEKDAY(B821)=7,1,0))))))</f>
        <v>3</v>
      </c>
    </row>
    <row r="822" spans="2:22">
      <c r="B822" s="318">
        <f t="shared" si="51"/>
        <v>46147</v>
      </c>
      <c r="C822" s="312">
        <v>2</v>
      </c>
      <c r="D822" s="368">
        <f>IFERROR((INDEX(METADATA!$T$2:$T$20,MATCH(B822,METADATA!$S$2:$S$20,0))),0)</f>
        <v>0</v>
      </c>
      <c r="E822" s="312" t="str">
        <f t="shared" si="48"/>
        <v>LO</v>
      </c>
      <c r="F822" s="369">
        <f>VLOOKUP(C822,METADATA!$A$5:$H$29,IF(E822="HI",2,IF(E822="LO",6,10))+IF(D822=1,2,IF(D822=7,1,(IF(WEEKDAY(B822)=1,2,IF(WEEKDAY(B822)=7,1,0))))))</f>
        <v>3</v>
      </c>
      <c r="G822" s="369">
        <f>VLOOKUP(C822,METADATA!$J$5:$Q$29,IF(E822="HI",2,IF(E822="LO",6,10))+IF(D822=1,2,IF(D822=7,1,(IF(WEEKDAY(B822)=1,2,IF(WEEKDAY(B822)=7,1,0))))))</f>
        <v>3</v>
      </c>
      <c r="H822" s="370">
        <v>13052.184814453125</v>
      </c>
      <c r="I822" s="370">
        <v>1676.5449829101563</v>
      </c>
      <c r="M822" s="371">
        <f t="shared" si="49"/>
        <v>13159.419877424763</v>
      </c>
      <c r="N822" s="329">
        <f t="shared" si="50"/>
        <v>0</v>
      </c>
      <c r="T822" s="331">
        <v>0</v>
      </c>
      <c r="U822" s="328">
        <f>VLOOKUP(C822,METADATA!$J$5:$Q$29,IF(E822="HI",2,IF(E822="LO",6,10))+IF(T822=1,2,IF(D822=7,1,(IF(WEEKDAY(B822)=1,2,IF(WEEKDAY(B822)=7,1,0))))))</f>
        <v>3</v>
      </c>
      <c r="V822" s="328">
        <f>VLOOKUP(C822,METADATA!$A$5:$H$29,IF(E822="HI",2,IF(E822="LO",6,10))+IF(T822=1,2,IF(D822=7,1,(IF(WEEKDAY(B822)=1,2,IF(WEEKDAY(B822)=7,1,0))))))</f>
        <v>3</v>
      </c>
    </row>
    <row r="823" spans="2:22">
      <c r="B823" s="318">
        <f t="shared" si="51"/>
        <v>46147</v>
      </c>
      <c r="C823" s="312">
        <v>3</v>
      </c>
      <c r="D823" s="368">
        <f>IFERROR((INDEX(METADATA!$T$2:$T$20,MATCH(B823,METADATA!$S$2:$S$20,0))),0)</f>
        <v>0</v>
      </c>
      <c r="E823" s="312" t="str">
        <f t="shared" si="48"/>
        <v>LO</v>
      </c>
      <c r="F823" s="369">
        <f>VLOOKUP(C823,METADATA!$A$5:$H$29,IF(E823="HI",2,IF(E823="LO",6,10))+IF(D823=1,2,IF(D823=7,1,(IF(WEEKDAY(B823)=1,2,IF(WEEKDAY(B823)=7,1,0))))))</f>
        <v>3</v>
      </c>
      <c r="G823" s="369">
        <f>VLOOKUP(C823,METADATA!$J$5:$Q$29,IF(E823="HI",2,IF(E823="LO",6,10))+IF(D823=1,2,IF(D823=7,1,(IF(WEEKDAY(B823)=1,2,IF(WEEKDAY(B823)=7,1,0))))))</f>
        <v>3</v>
      </c>
      <c r="H823" s="370">
        <v>13036.143249511719</v>
      </c>
      <c r="I823" s="370">
        <v>1733.5704741477966</v>
      </c>
      <c r="M823" s="371">
        <f t="shared" si="49"/>
        <v>13150.904813381738</v>
      </c>
      <c r="N823" s="329">
        <f t="shared" si="50"/>
        <v>0</v>
      </c>
      <c r="T823" s="331">
        <v>0</v>
      </c>
      <c r="U823" s="328">
        <f>VLOOKUP(C823,METADATA!$J$5:$Q$29,IF(E823="HI",2,IF(E823="LO",6,10))+IF(T823=1,2,IF(D823=7,1,(IF(WEEKDAY(B823)=1,2,IF(WEEKDAY(B823)=7,1,0))))))</f>
        <v>3</v>
      </c>
      <c r="V823" s="328">
        <f>VLOOKUP(C823,METADATA!$A$5:$H$29,IF(E823="HI",2,IF(E823="LO",6,10))+IF(T823=1,2,IF(D823=7,1,(IF(WEEKDAY(B823)=1,2,IF(WEEKDAY(B823)=7,1,0))))))</f>
        <v>3</v>
      </c>
    </row>
    <row r="824" spans="2:22">
      <c r="B824" s="318">
        <f t="shared" si="51"/>
        <v>46147</v>
      </c>
      <c r="C824" s="312">
        <v>4</v>
      </c>
      <c r="D824" s="368">
        <f>IFERROR((INDEX(METADATA!$T$2:$T$20,MATCH(B824,METADATA!$S$2:$S$20,0))),0)</f>
        <v>0</v>
      </c>
      <c r="E824" s="312" t="str">
        <f t="shared" si="48"/>
        <v>LO</v>
      </c>
      <c r="F824" s="369">
        <f>VLOOKUP(C824,METADATA!$A$5:$H$29,IF(E824="HI",2,IF(E824="LO",6,10))+IF(D824=1,2,IF(D824=7,1,(IF(WEEKDAY(B824)=1,2,IF(WEEKDAY(B824)=7,1,0))))))</f>
        <v>3</v>
      </c>
      <c r="G824" s="369">
        <f>VLOOKUP(C824,METADATA!$J$5:$Q$29,IF(E824="HI",2,IF(E824="LO",6,10))+IF(D824=1,2,IF(D824=7,1,(IF(WEEKDAY(B824)=1,2,IF(WEEKDAY(B824)=7,1,0))))))</f>
        <v>3</v>
      </c>
      <c r="H824" s="370">
        <v>13292.884643554688</v>
      </c>
      <c r="I824" s="370">
        <v>1787.180507183075</v>
      </c>
      <c r="M824" s="371">
        <f t="shared" si="49"/>
        <v>13412.486581991692</v>
      </c>
      <c r="N824" s="329">
        <f t="shared" si="50"/>
        <v>0</v>
      </c>
      <c r="T824" s="331">
        <v>0</v>
      </c>
      <c r="U824" s="328">
        <f>VLOOKUP(C824,METADATA!$J$5:$Q$29,IF(E824="HI",2,IF(E824="LO",6,10))+IF(T824=1,2,IF(D824=7,1,(IF(WEEKDAY(B824)=1,2,IF(WEEKDAY(B824)=7,1,0))))))</f>
        <v>3</v>
      </c>
      <c r="V824" s="328">
        <f>VLOOKUP(C824,METADATA!$A$5:$H$29,IF(E824="HI",2,IF(E824="LO",6,10))+IF(T824=1,2,IF(D824=7,1,(IF(WEEKDAY(B824)=1,2,IF(WEEKDAY(B824)=7,1,0))))))</f>
        <v>3</v>
      </c>
    </row>
    <row r="825" spans="2:22">
      <c r="B825" s="318">
        <f t="shared" si="51"/>
        <v>46147</v>
      </c>
      <c r="C825" s="312">
        <v>5</v>
      </c>
      <c r="D825" s="368">
        <f>IFERROR((INDEX(METADATA!$T$2:$T$20,MATCH(B825,METADATA!$S$2:$S$20,0))),0)</f>
        <v>0</v>
      </c>
      <c r="E825" s="312" t="str">
        <f t="shared" si="48"/>
        <v>LO</v>
      </c>
      <c r="F825" s="369">
        <f>VLOOKUP(C825,METADATA!$A$5:$H$29,IF(E825="HI",2,IF(E825="LO",6,10))+IF(D825=1,2,IF(D825=7,1,(IF(WEEKDAY(B825)=1,2,IF(WEEKDAY(B825)=7,1,0))))))</f>
        <v>3</v>
      </c>
      <c r="G825" s="369">
        <f>VLOOKUP(C825,METADATA!$J$5:$Q$29,IF(E825="HI",2,IF(E825="LO",6,10))+IF(D825=1,2,IF(D825=7,1,(IF(WEEKDAY(B825)=1,2,IF(WEEKDAY(B825)=7,1,0))))))</f>
        <v>3</v>
      </c>
      <c r="H825" s="370">
        <v>13180.789855957031</v>
      </c>
      <c r="I825" s="370">
        <v>1691.1390171051025</v>
      </c>
      <c r="M825" s="371">
        <f t="shared" si="49"/>
        <v>13288.836382545876</v>
      </c>
      <c r="N825" s="329">
        <f t="shared" si="50"/>
        <v>0</v>
      </c>
      <c r="T825" s="331">
        <v>0</v>
      </c>
      <c r="U825" s="328">
        <f>VLOOKUP(C825,METADATA!$J$5:$Q$29,IF(E825="HI",2,IF(E825="LO",6,10))+IF(T825=1,2,IF(D825=7,1,(IF(WEEKDAY(B825)=1,2,IF(WEEKDAY(B825)=7,1,0))))))</f>
        <v>3</v>
      </c>
      <c r="V825" s="328">
        <f>VLOOKUP(C825,METADATA!$A$5:$H$29,IF(E825="HI",2,IF(E825="LO",6,10))+IF(T825=1,2,IF(D825=7,1,(IF(WEEKDAY(B825)=1,2,IF(WEEKDAY(B825)=7,1,0))))))</f>
        <v>3</v>
      </c>
    </row>
    <row r="826" spans="2:22">
      <c r="B826" s="318">
        <f t="shared" si="51"/>
        <v>46147</v>
      </c>
      <c r="C826" s="312">
        <v>6</v>
      </c>
      <c r="D826" s="368">
        <f>IFERROR((INDEX(METADATA!$T$2:$T$20,MATCH(B826,METADATA!$S$2:$S$20,0))),0)</f>
        <v>0</v>
      </c>
      <c r="E826" s="312" t="str">
        <f t="shared" si="48"/>
        <v>LO</v>
      </c>
      <c r="F826" s="369">
        <f>VLOOKUP(C826,METADATA!$A$5:$H$29,IF(E826="HI",2,IF(E826="LO",6,10))+IF(D826=1,2,IF(D826=7,1,(IF(WEEKDAY(B826)=1,2,IF(WEEKDAY(B826)=7,1,0))))))</f>
        <v>2</v>
      </c>
      <c r="G826" s="369">
        <f>VLOOKUP(C826,METADATA!$J$5:$Q$29,IF(E826="HI",2,IF(E826="LO",6,10))+IF(D826=1,2,IF(D826=7,1,(IF(WEEKDAY(B826)=1,2,IF(WEEKDAY(B826)=7,1,0))))))</f>
        <v>2</v>
      </c>
      <c r="H826" s="370">
        <v>13132.694946289063</v>
      </c>
      <c r="I826" s="370">
        <v>1624.1769762039185</v>
      </c>
      <c r="M826" s="371">
        <f t="shared" si="49"/>
        <v>13232.748293620534</v>
      </c>
      <c r="N826" s="329">
        <f t="shared" si="50"/>
        <v>0</v>
      </c>
      <c r="T826" s="331">
        <v>0</v>
      </c>
      <c r="U826" s="328">
        <f>VLOOKUP(C826,METADATA!$J$5:$Q$29,IF(E826="HI",2,IF(E826="LO",6,10))+IF(T826=1,2,IF(D826=7,1,(IF(WEEKDAY(B826)=1,2,IF(WEEKDAY(B826)=7,1,0))))))</f>
        <v>2</v>
      </c>
      <c r="V826" s="328">
        <f>VLOOKUP(C826,METADATA!$A$5:$H$29,IF(E826="HI",2,IF(E826="LO",6,10))+IF(T826=1,2,IF(D826=7,1,(IF(WEEKDAY(B826)=1,2,IF(WEEKDAY(B826)=7,1,0))))))</f>
        <v>2</v>
      </c>
    </row>
    <row r="827" spans="2:22">
      <c r="B827" s="318">
        <f t="shared" si="51"/>
        <v>46147</v>
      </c>
      <c r="C827" s="312">
        <v>7</v>
      </c>
      <c r="D827" s="368">
        <f>IFERROR((INDEX(METADATA!$T$2:$T$20,MATCH(B827,METADATA!$S$2:$S$20,0))),0)</f>
        <v>0</v>
      </c>
      <c r="E827" s="312" t="str">
        <f t="shared" si="48"/>
        <v>LO</v>
      </c>
      <c r="F827" s="369">
        <f>VLOOKUP(C827,METADATA!$A$5:$H$29,IF(E827="HI",2,IF(E827="LO",6,10))+IF(D827=1,2,IF(D827=7,1,(IF(WEEKDAY(B827)=1,2,IF(WEEKDAY(B827)=7,1,0))))))</f>
        <v>1</v>
      </c>
      <c r="G827" s="369">
        <f>VLOOKUP(C827,METADATA!$J$5:$Q$29,IF(E827="HI",2,IF(E827="LO",6,10))+IF(D827=1,2,IF(D827=7,1,(IF(WEEKDAY(B827)=1,2,IF(WEEKDAY(B827)=7,1,0))))))</f>
        <v>1</v>
      </c>
      <c r="H827" s="370">
        <v>12871.034851074219</v>
      </c>
      <c r="I827" s="370">
        <v>1533.6960244476795</v>
      </c>
      <c r="M827" s="371">
        <f t="shared" si="49"/>
        <v>12962.089400747618</v>
      </c>
      <c r="N827" s="329">
        <f t="shared" si="50"/>
        <v>0</v>
      </c>
      <c r="T827" s="331">
        <v>0</v>
      </c>
      <c r="U827" s="328">
        <f>VLOOKUP(C827,METADATA!$J$5:$Q$29,IF(E827="HI",2,IF(E827="LO",6,10))+IF(T827=1,2,IF(D827=7,1,(IF(WEEKDAY(B827)=1,2,IF(WEEKDAY(B827)=7,1,0))))))</f>
        <v>1</v>
      </c>
      <c r="V827" s="328">
        <f>VLOOKUP(C827,METADATA!$A$5:$H$29,IF(E827="HI",2,IF(E827="LO",6,10))+IF(T827=1,2,IF(D827=7,1,(IF(WEEKDAY(B827)=1,2,IF(WEEKDAY(B827)=7,1,0))))))</f>
        <v>1</v>
      </c>
    </row>
    <row r="828" spans="2:22">
      <c r="B828" s="318">
        <f t="shared" si="51"/>
        <v>46147</v>
      </c>
      <c r="C828" s="312">
        <v>8</v>
      </c>
      <c r="D828" s="368">
        <f>IFERROR((INDEX(METADATA!$T$2:$T$20,MATCH(B828,METADATA!$S$2:$S$20,0))),0)</f>
        <v>0</v>
      </c>
      <c r="E828" s="312" t="str">
        <f t="shared" si="48"/>
        <v>LO</v>
      </c>
      <c r="F828" s="369">
        <f>VLOOKUP(C828,METADATA!$A$5:$H$29,IF(E828="HI",2,IF(E828="LO",6,10))+IF(D828=1,2,IF(D828=7,1,(IF(WEEKDAY(B828)=1,2,IF(WEEKDAY(B828)=7,1,0))))))</f>
        <v>1</v>
      </c>
      <c r="G828" s="369">
        <f>VLOOKUP(C828,METADATA!$J$5:$Q$29,IF(E828="HI",2,IF(E828="LO",6,10))+IF(D828=1,2,IF(D828=7,1,(IF(WEEKDAY(B828)=1,2,IF(WEEKDAY(B828)=7,1,0))))))</f>
        <v>1</v>
      </c>
      <c r="H828" s="370">
        <v>13111.445129394531</v>
      </c>
      <c r="I828" s="370">
        <v>1592.4469785690308</v>
      </c>
      <c r="M828" s="371">
        <f t="shared" si="49"/>
        <v>13207.796211354762</v>
      </c>
      <c r="N828" s="329">
        <f t="shared" si="50"/>
        <v>0</v>
      </c>
      <c r="T828" s="331">
        <v>0</v>
      </c>
      <c r="U828" s="328">
        <f>VLOOKUP(C828,METADATA!$J$5:$Q$29,IF(E828="HI",2,IF(E828="LO",6,10))+IF(T828=1,2,IF(D828=7,1,(IF(WEEKDAY(B828)=1,2,IF(WEEKDAY(B828)=7,1,0))))))</f>
        <v>1</v>
      </c>
      <c r="V828" s="328">
        <f>VLOOKUP(C828,METADATA!$A$5:$H$29,IF(E828="HI",2,IF(E828="LO",6,10))+IF(T828=1,2,IF(D828=7,1,(IF(WEEKDAY(B828)=1,2,IF(WEEKDAY(B828)=7,1,0))))))</f>
        <v>1</v>
      </c>
    </row>
    <row r="829" spans="2:22">
      <c r="B829" s="318">
        <f t="shared" si="51"/>
        <v>46147</v>
      </c>
      <c r="C829" s="312">
        <v>9</v>
      </c>
      <c r="D829" s="368">
        <f>IFERROR((INDEX(METADATA!$T$2:$T$20,MATCH(B829,METADATA!$S$2:$S$20,0))),0)</f>
        <v>0</v>
      </c>
      <c r="E829" s="312" t="str">
        <f t="shared" si="48"/>
        <v>LO</v>
      </c>
      <c r="F829" s="369">
        <f>VLOOKUP(C829,METADATA!$A$5:$H$29,IF(E829="HI",2,IF(E829="LO",6,10))+IF(D829=1,2,IF(D829=7,1,(IF(WEEKDAY(B829)=1,2,IF(WEEKDAY(B829)=7,1,0))))))</f>
        <v>2</v>
      </c>
      <c r="G829" s="369">
        <f>VLOOKUP(C829,METADATA!$J$5:$Q$29,IF(E829="HI",2,IF(E829="LO",6,10))+IF(D829=1,2,IF(D829=7,1,(IF(WEEKDAY(B829)=1,2,IF(WEEKDAY(B829)=7,1,0))))))</f>
        <v>2</v>
      </c>
      <c r="H829" s="370">
        <v>13013.160217285156</v>
      </c>
      <c r="I829" s="370">
        <v>1424.4709854125977</v>
      </c>
      <c r="M829" s="371">
        <f t="shared" si="49"/>
        <v>13090.892117385101</v>
      </c>
      <c r="N829" s="329">
        <f t="shared" si="50"/>
        <v>0</v>
      </c>
      <c r="T829" s="331">
        <v>0</v>
      </c>
      <c r="U829" s="328">
        <f>VLOOKUP(C829,METADATA!$J$5:$Q$29,IF(E829="HI",2,IF(E829="LO",6,10))+IF(T829=1,2,IF(D829=7,1,(IF(WEEKDAY(B829)=1,2,IF(WEEKDAY(B829)=7,1,0))))))</f>
        <v>2</v>
      </c>
      <c r="V829" s="328">
        <f>VLOOKUP(C829,METADATA!$A$5:$H$29,IF(E829="HI",2,IF(E829="LO",6,10))+IF(T829=1,2,IF(D829=7,1,(IF(WEEKDAY(B829)=1,2,IF(WEEKDAY(B829)=7,1,0))))))</f>
        <v>2</v>
      </c>
    </row>
    <row r="830" spans="2:22">
      <c r="B830" s="318">
        <f t="shared" si="51"/>
        <v>46147</v>
      </c>
      <c r="C830" s="312">
        <v>10</v>
      </c>
      <c r="D830" s="368">
        <f>IFERROR((INDEX(METADATA!$T$2:$T$20,MATCH(B830,METADATA!$S$2:$S$20,0))),0)</f>
        <v>0</v>
      </c>
      <c r="E830" s="312" t="str">
        <f t="shared" si="48"/>
        <v>LO</v>
      </c>
      <c r="F830" s="369">
        <f>VLOOKUP(C830,METADATA!$A$5:$H$29,IF(E830="HI",2,IF(E830="LO",6,10))+IF(D830=1,2,IF(D830=7,1,(IF(WEEKDAY(B830)=1,2,IF(WEEKDAY(B830)=7,1,0))))))</f>
        <v>2</v>
      </c>
      <c r="G830" s="369">
        <f>VLOOKUP(C830,METADATA!$J$5:$Q$29,IF(E830="HI",2,IF(E830="LO",6,10))+IF(D830=1,2,IF(D830=7,1,(IF(WEEKDAY(B830)=1,2,IF(WEEKDAY(B830)=7,1,0))))))</f>
        <v>2</v>
      </c>
      <c r="H830" s="370">
        <v>12859.950012207031</v>
      </c>
      <c r="I830" s="370">
        <v>1434.7455139160156</v>
      </c>
      <c r="M830" s="371">
        <f t="shared" si="49"/>
        <v>12939.737594177315</v>
      </c>
      <c r="N830" s="329">
        <f t="shared" si="50"/>
        <v>0</v>
      </c>
      <c r="T830" s="331">
        <v>0</v>
      </c>
      <c r="U830" s="328">
        <f>VLOOKUP(C830,METADATA!$J$5:$Q$29,IF(E830="HI",2,IF(E830="LO",6,10))+IF(T830=1,2,IF(D830=7,1,(IF(WEEKDAY(B830)=1,2,IF(WEEKDAY(B830)=7,1,0))))))</f>
        <v>2</v>
      </c>
      <c r="V830" s="328">
        <f>VLOOKUP(C830,METADATA!$A$5:$H$29,IF(E830="HI",2,IF(E830="LO",6,10))+IF(T830=1,2,IF(D830=7,1,(IF(WEEKDAY(B830)=1,2,IF(WEEKDAY(B830)=7,1,0))))))</f>
        <v>2</v>
      </c>
    </row>
    <row r="831" spans="2:22">
      <c r="B831" s="318">
        <f t="shared" si="51"/>
        <v>46147</v>
      </c>
      <c r="C831" s="312">
        <v>11</v>
      </c>
      <c r="D831" s="368">
        <f>IFERROR((INDEX(METADATA!$T$2:$T$20,MATCH(B831,METADATA!$S$2:$S$20,0))),0)</f>
        <v>0</v>
      </c>
      <c r="E831" s="312" t="str">
        <f t="shared" si="48"/>
        <v>LO</v>
      </c>
      <c r="F831" s="369">
        <f>VLOOKUP(C831,METADATA!$A$5:$H$29,IF(E831="HI",2,IF(E831="LO",6,10))+IF(D831=1,2,IF(D831=7,1,(IF(WEEKDAY(B831)=1,2,IF(WEEKDAY(B831)=7,1,0))))))</f>
        <v>2</v>
      </c>
      <c r="G831" s="369">
        <f>VLOOKUP(C831,METADATA!$J$5:$Q$29,IF(E831="HI",2,IF(E831="LO",6,10))+IF(D831=1,2,IF(D831=7,1,(IF(WEEKDAY(B831)=1,2,IF(WEEKDAY(B831)=7,1,0))))))</f>
        <v>2</v>
      </c>
      <c r="H831" s="370">
        <v>13395.2802734375</v>
      </c>
      <c r="I831" s="370">
        <v>1770.5020427703857</v>
      </c>
      <c r="M831" s="371">
        <f t="shared" si="49"/>
        <v>13511.780455861393</v>
      </c>
      <c r="N831" s="329">
        <f t="shared" si="50"/>
        <v>0</v>
      </c>
      <c r="T831" s="331">
        <v>0</v>
      </c>
      <c r="U831" s="328">
        <f>VLOOKUP(C831,METADATA!$J$5:$Q$29,IF(E831="HI",2,IF(E831="LO",6,10))+IF(T831=1,2,IF(D831=7,1,(IF(WEEKDAY(B831)=1,2,IF(WEEKDAY(B831)=7,1,0))))))</f>
        <v>2</v>
      </c>
      <c r="V831" s="328">
        <f>VLOOKUP(C831,METADATA!$A$5:$H$29,IF(E831="HI",2,IF(E831="LO",6,10))+IF(T831=1,2,IF(D831=7,1,(IF(WEEKDAY(B831)=1,2,IF(WEEKDAY(B831)=7,1,0))))))</f>
        <v>2</v>
      </c>
    </row>
    <row r="832" spans="2:22">
      <c r="B832" s="318">
        <f t="shared" si="51"/>
        <v>46147</v>
      </c>
      <c r="C832" s="312">
        <v>12</v>
      </c>
      <c r="D832" s="368">
        <f>IFERROR((INDEX(METADATA!$T$2:$T$20,MATCH(B832,METADATA!$S$2:$S$20,0))),0)</f>
        <v>0</v>
      </c>
      <c r="E832" s="312" t="str">
        <f t="shared" si="48"/>
        <v>LO</v>
      </c>
      <c r="F832" s="369">
        <f>VLOOKUP(C832,METADATA!$A$5:$H$29,IF(E832="HI",2,IF(E832="LO",6,10))+IF(D832=1,2,IF(D832=7,1,(IF(WEEKDAY(B832)=1,2,IF(WEEKDAY(B832)=7,1,0))))))</f>
        <v>2</v>
      </c>
      <c r="G832" s="369">
        <f>VLOOKUP(C832,METADATA!$J$5:$Q$29,IF(E832="HI",2,IF(E832="LO",6,10))+IF(D832=1,2,IF(D832=7,1,(IF(WEEKDAY(B832)=1,2,IF(WEEKDAY(B832)=7,1,0))))))</f>
        <v>2</v>
      </c>
      <c r="H832" s="370">
        <v>13237.499816894531</v>
      </c>
      <c r="I832" s="370">
        <v>1750.9684829711914</v>
      </c>
      <c r="M832" s="371">
        <f t="shared" si="49"/>
        <v>13352.800905826507</v>
      </c>
      <c r="N832" s="329">
        <f t="shared" si="50"/>
        <v>0</v>
      </c>
      <c r="T832" s="331">
        <v>0</v>
      </c>
      <c r="U832" s="328">
        <f>VLOOKUP(C832,METADATA!$J$5:$Q$29,IF(E832="HI",2,IF(E832="LO",6,10))+IF(T832=1,2,IF(D832=7,1,(IF(WEEKDAY(B832)=1,2,IF(WEEKDAY(B832)=7,1,0))))))</f>
        <v>2</v>
      </c>
      <c r="V832" s="328">
        <f>VLOOKUP(C832,METADATA!$A$5:$H$29,IF(E832="HI",2,IF(E832="LO",6,10))+IF(T832=1,2,IF(D832=7,1,(IF(WEEKDAY(B832)=1,2,IF(WEEKDAY(B832)=7,1,0))))))</f>
        <v>2</v>
      </c>
    </row>
    <row r="833" spans="2:22">
      <c r="B833" s="318">
        <f t="shared" si="51"/>
        <v>46147</v>
      </c>
      <c r="C833" s="312">
        <v>13</v>
      </c>
      <c r="D833" s="368">
        <f>IFERROR((INDEX(METADATA!$T$2:$T$20,MATCH(B833,METADATA!$S$2:$S$20,0))),0)</f>
        <v>0</v>
      </c>
      <c r="E833" s="312" t="str">
        <f t="shared" si="48"/>
        <v>LO</v>
      </c>
      <c r="F833" s="369">
        <f>VLOOKUP(C833,METADATA!$A$5:$H$29,IF(E833="HI",2,IF(E833="LO",6,10))+IF(D833=1,2,IF(D833=7,1,(IF(WEEKDAY(B833)=1,2,IF(WEEKDAY(B833)=7,1,0))))))</f>
        <v>2</v>
      </c>
      <c r="G833" s="369">
        <f>VLOOKUP(C833,METADATA!$J$5:$Q$29,IF(E833="HI",2,IF(E833="LO",6,10))+IF(D833=1,2,IF(D833=7,1,(IF(WEEKDAY(B833)=1,2,IF(WEEKDAY(B833)=7,1,0))))))</f>
        <v>2</v>
      </c>
      <c r="H833" s="370">
        <v>11377.782531738281</v>
      </c>
      <c r="I833" s="370">
        <v>1427.5940036436077</v>
      </c>
      <c r="M833" s="371">
        <f t="shared" si="49"/>
        <v>11466.994374236345</v>
      </c>
      <c r="N833" s="329">
        <f t="shared" si="50"/>
        <v>0</v>
      </c>
      <c r="T833" s="331">
        <v>0</v>
      </c>
      <c r="U833" s="328">
        <f>VLOOKUP(C833,METADATA!$J$5:$Q$29,IF(E833="HI",2,IF(E833="LO",6,10))+IF(T833=1,2,IF(D833=7,1,(IF(WEEKDAY(B833)=1,2,IF(WEEKDAY(B833)=7,1,0))))))</f>
        <v>2</v>
      </c>
      <c r="V833" s="328">
        <f>VLOOKUP(C833,METADATA!$A$5:$H$29,IF(E833="HI",2,IF(E833="LO",6,10))+IF(T833=1,2,IF(D833=7,1,(IF(WEEKDAY(B833)=1,2,IF(WEEKDAY(B833)=7,1,0))))))</f>
        <v>2</v>
      </c>
    </row>
    <row r="834" spans="2:22">
      <c r="B834" s="318">
        <f t="shared" si="51"/>
        <v>46147</v>
      </c>
      <c r="C834" s="312">
        <v>14</v>
      </c>
      <c r="D834" s="368">
        <f>IFERROR((INDEX(METADATA!$T$2:$T$20,MATCH(B834,METADATA!$S$2:$S$20,0))),0)</f>
        <v>0</v>
      </c>
      <c r="E834" s="312" t="str">
        <f t="shared" si="48"/>
        <v>LO</v>
      </c>
      <c r="F834" s="369">
        <f>VLOOKUP(C834,METADATA!$A$5:$H$29,IF(E834="HI",2,IF(E834="LO",6,10))+IF(D834=1,2,IF(D834=7,1,(IF(WEEKDAY(B834)=1,2,IF(WEEKDAY(B834)=7,1,0))))))</f>
        <v>2</v>
      </c>
      <c r="G834" s="369">
        <f>VLOOKUP(C834,METADATA!$J$5:$Q$29,IF(E834="HI",2,IF(E834="LO",6,10))+IF(D834=1,2,IF(D834=7,1,(IF(WEEKDAY(B834)=1,2,IF(WEEKDAY(B834)=7,1,0))))))</f>
        <v>2</v>
      </c>
      <c r="H834" s="370">
        <v>11288.62744140625</v>
      </c>
      <c r="I834" s="370">
        <v>1340.2799682617188</v>
      </c>
      <c r="M834" s="371">
        <f t="shared" si="49"/>
        <v>11367.913612628918</v>
      </c>
      <c r="N834" s="329">
        <f t="shared" si="50"/>
        <v>0</v>
      </c>
      <c r="T834" s="331">
        <v>0</v>
      </c>
      <c r="U834" s="328">
        <f>VLOOKUP(C834,METADATA!$J$5:$Q$29,IF(E834="HI",2,IF(E834="LO",6,10))+IF(T834=1,2,IF(D834=7,1,(IF(WEEKDAY(B834)=1,2,IF(WEEKDAY(B834)=7,1,0))))))</f>
        <v>2</v>
      </c>
      <c r="V834" s="328">
        <f>VLOOKUP(C834,METADATA!$A$5:$H$29,IF(E834="HI",2,IF(E834="LO",6,10))+IF(T834=1,2,IF(D834=7,1,(IF(WEEKDAY(B834)=1,2,IF(WEEKDAY(B834)=7,1,0))))))</f>
        <v>2</v>
      </c>
    </row>
    <row r="835" spans="2:22">
      <c r="B835" s="318">
        <f t="shared" si="51"/>
        <v>46147</v>
      </c>
      <c r="C835" s="312">
        <v>15</v>
      </c>
      <c r="D835" s="368">
        <f>IFERROR((INDEX(METADATA!$T$2:$T$20,MATCH(B835,METADATA!$S$2:$S$20,0))),0)</f>
        <v>0</v>
      </c>
      <c r="E835" s="312" t="str">
        <f t="shared" si="48"/>
        <v>LO</v>
      </c>
      <c r="F835" s="369">
        <f>VLOOKUP(C835,METADATA!$A$5:$H$29,IF(E835="HI",2,IF(E835="LO",6,10))+IF(D835=1,2,IF(D835=7,1,(IF(WEEKDAY(B835)=1,2,IF(WEEKDAY(B835)=7,1,0))))))</f>
        <v>2</v>
      </c>
      <c r="G835" s="369">
        <f>VLOOKUP(C835,METADATA!$J$5:$Q$29,IF(E835="HI",2,IF(E835="LO",6,10))+IF(D835=1,2,IF(D835=7,1,(IF(WEEKDAY(B835)=1,2,IF(WEEKDAY(B835)=7,1,0))))))</f>
        <v>2</v>
      </c>
      <c r="H835" s="370">
        <v>12313.464721679688</v>
      </c>
      <c r="I835" s="370">
        <v>1571.8315162658691</v>
      </c>
      <c r="M835" s="371">
        <f t="shared" si="49"/>
        <v>12413.382607797799</v>
      </c>
      <c r="N835" s="329">
        <f t="shared" si="50"/>
        <v>0</v>
      </c>
      <c r="T835" s="331">
        <v>0</v>
      </c>
      <c r="U835" s="328">
        <f>VLOOKUP(C835,METADATA!$J$5:$Q$29,IF(E835="HI",2,IF(E835="LO",6,10))+IF(T835=1,2,IF(D835=7,1,(IF(WEEKDAY(B835)=1,2,IF(WEEKDAY(B835)=7,1,0))))))</f>
        <v>2</v>
      </c>
      <c r="V835" s="328">
        <f>VLOOKUP(C835,METADATA!$A$5:$H$29,IF(E835="HI",2,IF(E835="LO",6,10))+IF(T835=1,2,IF(D835=7,1,(IF(WEEKDAY(B835)=1,2,IF(WEEKDAY(B835)=7,1,0))))))</f>
        <v>2</v>
      </c>
    </row>
    <row r="836" spans="2:22">
      <c r="B836" s="318">
        <f t="shared" si="51"/>
        <v>46147</v>
      </c>
      <c r="C836" s="312">
        <v>16</v>
      </c>
      <c r="D836" s="368">
        <f>IFERROR((INDEX(METADATA!$T$2:$T$20,MATCH(B836,METADATA!$S$2:$S$20,0))),0)</f>
        <v>0</v>
      </c>
      <c r="E836" s="312" t="str">
        <f t="shared" ref="E836:E899" si="52">IF(B836="","",IF(AND(MONTH(B836)&gt;=MONTH($Z$9),MONTH(B836)&lt;=MONTH($Z$11)),"HI","LO"))</f>
        <v>LO</v>
      </c>
      <c r="F836" s="369">
        <f>VLOOKUP(C836,METADATA!$A$5:$H$29,IF(E836="HI",2,IF(E836="LO",6,10))+IF(D836=1,2,IF(D836=7,1,(IF(WEEKDAY(B836)=1,2,IF(WEEKDAY(B836)=7,1,0))))))</f>
        <v>2</v>
      </c>
      <c r="G836" s="369">
        <f>VLOOKUP(C836,METADATA!$J$5:$Q$29,IF(E836="HI",2,IF(E836="LO",6,10))+IF(D836=1,2,IF(D836=7,1,(IF(WEEKDAY(B836)=1,2,IF(WEEKDAY(B836)=7,1,0))))))</f>
        <v>2</v>
      </c>
      <c r="H836" s="370">
        <v>13412.020202636719</v>
      </c>
      <c r="I836" s="370">
        <v>1758.8879661560059</v>
      </c>
      <c r="M836" s="371">
        <f t="shared" ref="M836:M899" si="53">SQRT(H836^2+I836^2)</f>
        <v>13526.861158207543</v>
      </c>
      <c r="N836" s="329">
        <f t="shared" ref="N836:N899" si="54">IF(H836=0,0,(IF(I836-(0.3*H836)&lt;0,0,(I836-(0.3*H836)))))</f>
        <v>0</v>
      </c>
      <c r="T836" s="331">
        <v>0</v>
      </c>
      <c r="U836" s="328">
        <f>VLOOKUP(C836,METADATA!$J$5:$Q$29,IF(E836="HI",2,IF(E836="LO",6,10))+IF(T836=1,2,IF(D836=7,1,(IF(WEEKDAY(B836)=1,2,IF(WEEKDAY(B836)=7,1,0))))))</f>
        <v>2</v>
      </c>
      <c r="V836" s="328">
        <f>VLOOKUP(C836,METADATA!$A$5:$H$29,IF(E836="HI",2,IF(E836="LO",6,10))+IF(T836=1,2,IF(D836=7,1,(IF(WEEKDAY(B836)=1,2,IF(WEEKDAY(B836)=7,1,0))))))</f>
        <v>2</v>
      </c>
    </row>
    <row r="837" spans="2:22">
      <c r="B837" s="318">
        <f t="shared" si="51"/>
        <v>46147</v>
      </c>
      <c r="C837" s="312">
        <v>17</v>
      </c>
      <c r="D837" s="368">
        <f>IFERROR((INDEX(METADATA!$T$2:$T$20,MATCH(B837,METADATA!$S$2:$S$20,0))),0)</f>
        <v>0</v>
      </c>
      <c r="E837" s="312" t="str">
        <f t="shared" si="52"/>
        <v>LO</v>
      </c>
      <c r="F837" s="369">
        <f>VLOOKUP(C837,METADATA!$A$5:$H$29,IF(E837="HI",2,IF(E837="LO",6,10))+IF(D837=1,2,IF(D837=7,1,(IF(WEEKDAY(B837)=1,2,IF(WEEKDAY(B837)=7,1,0))))))</f>
        <v>2</v>
      </c>
      <c r="G837" s="369">
        <f>VLOOKUP(C837,METADATA!$J$5:$Q$29,IF(E837="HI",2,IF(E837="LO",6,10))+IF(D837=1,2,IF(D837=7,1,(IF(WEEKDAY(B837)=1,2,IF(WEEKDAY(B837)=7,1,0))))))</f>
        <v>2</v>
      </c>
      <c r="H837" s="370">
        <v>13283.44970703125</v>
      </c>
      <c r="I837" s="370">
        <v>1753.7984771728516</v>
      </c>
      <c r="M837" s="371">
        <f t="shared" si="53"/>
        <v>13398.725507217558</v>
      </c>
      <c r="N837" s="329">
        <f t="shared" si="54"/>
        <v>0</v>
      </c>
      <c r="T837" s="331">
        <v>0</v>
      </c>
      <c r="U837" s="328">
        <f>VLOOKUP(C837,METADATA!$J$5:$Q$29,IF(E837="HI",2,IF(E837="LO",6,10))+IF(T837=1,2,IF(D837=7,1,(IF(WEEKDAY(B837)=1,2,IF(WEEKDAY(B837)=7,1,0))))))</f>
        <v>2</v>
      </c>
      <c r="V837" s="328">
        <f>VLOOKUP(C837,METADATA!$A$5:$H$29,IF(E837="HI",2,IF(E837="LO",6,10))+IF(T837=1,2,IF(D837=7,1,(IF(WEEKDAY(B837)=1,2,IF(WEEKDAY(B837)=7,1,0))))))</f>
        <v>2</v>
      </c>
    </row>
    <row r="838" spans="2:22">
      <c r="B838" s="318">
        <f t="shared" si="51"/>
        <v>46147</v>
      </c>
      <c r="C838" s="312">
        <v>18</v>
      </c>
      <c r="D838" s="368">
        <f>IFERROR((INDEX(METADATA!$T$2:$T$20,MATCH(B838,METADATA!$S$2:$S$20,0))),0)</f>
        <v>0</v>
      </c>
      <c r="E838" s="312" t="str">
        <f t="shared" si="52"/>
        <v>LO</v>
      </c>
      <c r="F838" s="369">
        <f>VLOOKUP(C838,METADATA!$A$5:$H$29,IF(E838="HI",2,IF(E838="LO",6,10))+IF(D838=1,2,IF(D838=7,1,(IF(WEEKDAY(B838)=1,2,IF(WEEKDAY(B838)=7,1,0))))))</f>
        <v>1</v>
      </c>
      <c r="G838" s="369">
        <f>VLOOKUP(C838,METADATA!$J$5:$Q$29,IF(E838="HI",2,IF(E838="LO",6,10))+IF(D838=1,2,IF(D838=7,1,(IF(WEEKDAY(B838)=1,2,IF(WEEKDAY(B838)=7,1,0))))))</f>
        <v>1</v>
      </c>
      <c r="H838" s="370">
        <v>13338.519958496094</v>
      </c>
      <c r="I838" s="370">
        <v>1796.663013458252</v>
      </c>
      <c r="M838" s="371">
        <f t="shared" si="53"/>
        <v>13458.978886495346</v>
      </c>
      <c r="N838" s="329">
        <f t="shared" si="54"/>
        <v>0</v>
      </c>
      <c r="T838" s="331">
        <v>0</v>
      </c>
      <c r="U838" s="328">
        <f>VLOOKUP(C838,METADATA!$J$5:$Q$29,IF(E838="HI",2,IF(E838="LO",6,10))+IF(T838=1,2,IF(D838=7,1,(IF(WEEKDAY(B838)=1,2,IF(WEEKDAY(B838)=7,1,0))))))</f>
        <v>1</v>
      </c>
      <c r="V838" s="328">
        <f>VLOOKUP(C838,METADATA!$A$5:$H$29,IF(E838="HI",2,IF(E838="LO",6,10))+IF(T838=1,2,IF(D838=7,1,(IF(WEEKDAY(B838)=1,2,IF(WEEKDAY(B838)=7,1,0))))))</f>
        <v>1</v>
      </c>
    </row>
    <row r="839" spans="2:22">
      <c r="B839" s="318">
        <f t="shared" si="51"/>
        <v>46147</v>
      </c>
      <c r="C839" s="312">
        <v>19</v>
      </c>
      <c r="D839" s="368">
        <f>IFERROR((INDEX(METADATA!$T$2:$T$20,MATCH(B839,METADATA!$S$2:$S$20,0))),0)</f>
        <v>0</v>
      </c>
      <c r="E839" s="312" t="str">
        <f t="shared" si="52"/>
        <v>LO</v>
      </c>
      <c r="F839" s="369">
        <f>VLOOKUP(C839,METADATA!$A$5:$H$29,IF(E839="HI",2,IF(E839="LO",6,10))+IF(D839=1,2,IF(D839=7,1,(IF(WEEKDAY(B839)=1,2,IF(WEEKDAY(B839)=7,1,0))))))</f>
        <v>1</v>
      </c>
      <c r="G839" s="369">
        <f>VLOOKUP(C839,METADATA!$J$5:$Q$29,IF(E839="HI",2,IF(E839="LO",6,10))+IF(D839=1,2,IF(D839=7,1,(IF(WEEKDAY(B839)=1,2,IF(WEEKDAY(B839)=7,1,0))))))</f>
        <v>1</v>
      </c>
      <c r="H839" s="370">
        <v>13437.955200195313</v>
      </c>
      <c r="I839" s="370">
        <v>1846.4894828796387</v>
      </c>
      <c r="M839" s="371">
        <f t="shared" si="53"/>
        <v>13564.22365536787</v>
      </c>
      <c r="N839" s="329">
        <f t="shared" si="54"/>
        <v>0</v>
      </c>
      <c r="T839" s="331">
        <v>0</v>
      </c>
      <c r="U839" s="328">
        <f>VLOOKUP(C839,METADATA!$J$5:$Q$29,IF(E839="HI",2,IF(E839="LO",6,10))+IF(T839=1,2,IF(D839=7,1,(IF(WEEKDAY(B839)=1,2,IF(WEEKDAY(B839)=7,1,0))))))</f>
        <v>1</v>
      </c>
      <c r="V839" s="328">
        <f>VLOOKUP(C839,METADATA!$A$5:$H$29,IF(E839="HI",2,IF(E839="LO",6,10))+IF(T839=1,2,IF(D839=7,1,(IF(WEEKDAY(B839)=1,2,IF(WEEKDAY(B839)=7,1,0))))))</f>
        <v>1</v>
      </c>
    </row>
    <row r="840" spans="2:22">
      <c r="B840" s="318">
        <f t="shared" si="51"/>
        <v>46147</v>
      </c>
      <c r="C840" s="312">
        <v>20</v>
      </c>
      <c r="D840" s="368">
        <f>IFERROR((INDEX(METADATA!$T$2:$T$20,MATCH(B840,METADATA!$S$2:$S$20,0))),0)</f>
        <v>0</v>
      </c>
      <c r="E840" s="312" t="str">
        <f t="shared" si="52"/>
        <v>LO</v>
      </c>
      <c r="F840" s="369">
        <f>VLOOKUP(C840,METADATA!$A$5:$H$29,IF(E840="HI",2,IF(E840="LO",6,10))+IF(D840=1,2,IF(D840=7,1,(IF(WEEKDAY(B840)=1,2,IF(WEEKDAY(B840)=7,1,0))))))</f>
        <v>1</v>
      </c>
      <c r="G840" s="369">
        <f>VLOOKUP(C840,METADATA!$J$5:$Q$29,IF(E840="HI",2,IF(E840="LO",6,10))+IF(D840=1,2,IF(D840=7,1,(IF(WEEKDAY(B840)=1,2,IF(WEEKDAY(B840)=7,1,0))))))</f>
        <v>1</v>
      </c>
      <c r="H840" s="370">
        <v>13309.110046386719</v>
      </c>
      <c r="I840" s="370">
        <v>1808.3279762268066</v>
      </c>
      <c r="M840" s="371">
        <f t="shared" si="53"/>
        <v>13431.398300118883</v>
      </c>
      <c r="N840" s="329">
        <f t="shared" si="54"/>
        <v>0</v>
      </c>
      <c r="T840" s="331">
        <v>0</v>
      </c>
      <c r="U840" s="328">
        <f>VLOOKUP(C840,METADATA!$J$5:$Q$29,IF(E840="HI",2,IF(E840="LO",6,10))+IF(T840=1,2,IF(D840=7,1,(IF(WEEKDAY(B840)=1,2,IF(WEEKDAY(B840)=7,1,0))))))</f>
        <v>1</v>
      </c>
      <c r="V840" s="328">
        <f>VLOOKUP(C840,METADATA!$A$5:$H$29,IF(E840="HI",2,IF(E840="LO",6,10))+IF(T840=1,2,IF(D840=7,1,(IF(WEEKDAY(B840)=1,2,IF(WEEKDAY(B840)=7,1,0))))))</f>
        <v>1</v>
      </c>
    </row>
    <row r="841" spans="2:22">
      <c r="B841" s="318">
        <f t="shared" si="51"/>
        <v>46147</v>
      </c>
      <c r="C841" s="312">
        <v>21</v>
      </c>
      <c r="D841" s="368">
        <f>IFERROR((INDEX(METADATA!$T$2:$T$20,MATCH(B841,METADATA!$S$2:$S$20,0))),0)</f>
        <v>0</v>
      </c>
      <c r="E841" s="312" t="str">
        <f t="shared" si="52"/>
        <v>LO</v>
      </c>
      <c r="F841" s="369">
        <f>VLOOKUP(C841,METADATA!$A$5:$H$29,IF(E841="HI",2,IF(E841="LO",6,10))+IF(D841=1,2,IF(D841=7,1,(IF(WEEKDAY(B841)=1,2,IF(WEEKDAY(B841)=7,1,0))))))</f>
        <v>2</v>
      </c>
      <c r="G841" s="369">
        <f>VLOOKUP(C841,METADATA!$J$5:$Q$29,IF(E841="HI",2,IF(E841="LO",6,10))+IF(D841=1,2,IF(D841=7,1,(IF(WEEKDAY(B841)=1,2,IF(WEEKDAY(B841)=7,1,0))))))</f>
        <v>2</v>
      </c>
      <c r="H841" s="370">
        <v>13249.205261230469</v>
      </c>
      <c r="I841" s="370">
        <v>1792.2000732421875</v>
      </c>
      <c r="M841" s="371">
        <f t="shared" si="53"/>
        <v>13369.869900516851</v>
      </c>
      <c r="N841" s="329">
        <f t="shared" si="54"/>
        <v>0</v>
      </c>
      <c r="T841" s="331">
        <v>0</v>
      </c>
      <c r="U841" s="328">
        <f>VLOOKUP(C841,METADATA!$J$5:$Q$29,IF(E841="HI",2,IF(E841="LO",6,10))+IF(T841=1,2,IF(D841=7,1,(IF(WEEKDAY(B841)=1,2,IF(WEEKDAY(B841)=7,1,0))))))</f>
        <v>2</v>
      </c>
      <c r="V841" s="328">
        <f>VLOOKUP(C841,METADATA!$A$5:$H$29,IF(E841="HI",2,IF(E841="LO",6,10))+IF(T841=1,2,IF(D841=7,1,(IF(WEEKDAY(B841)=1,2,IF(WEEKDAY(B841)=7,1,0))))))</f>
        <v>2</v>
      </c>
    </row>
    <row r="842" spans="2:22">
      <c r="B842" s="318">
        <f t="shared" si="51"/>
        <v>46147</v>
      </c>
      <c r="C842" s="312">
        <v>22</v>
      </c>
      <c r="D842" s="368">
        <f>IFERROR((INDEX(METADATA!$T$2:$T$20,MATCH(B842,METADATA!$S$2:$S$20,0))),0)</f>
        <v>0</v>
      </c>
      <c r="E842" s="312" t="str">
        <f t="shared" si="52"/>
        <v>LO</v>
      </c>
      <c r="F842" s="369">
        <f>VLOOKUP(C842,METADATA!$A$5:$H$29,IF(E842="HI",2,IF(E842="LO",6,10))+IF(D842=1,2,IF(D842=7,1,(IF(WEEKDAY(B842)=1,2,IF(WEEKDAY(B842)=7,1,0))))))</f>
        <v>3</v>
      </c>
      <c r="G842" s="369">
        <f>VLOOKUP(C842,METADATA!$J$5:$Q$29,IF(E842="HI",2,IF(E842="LO",6,10))+IF(D842=1,2,IF(D842=7,1,(IF(WEEKDAY(B842)=1,2,IF(WEEKDAY(B842)=7,1,0))))))</f>
        <v>3</v>
      </c>
      <c r="H842" s="370">
        <v>13374.190063476563</v>
      </c>
      <c r="I842" s="370">
        <v>1862.7359762191772</v>
      </c>
      <c r="M842" s="371">
        <f t="shared" si="53"/>
        <v>13503.286458158858</v>
      </c>
      <c r="N842" s="329">
        <f t="shared" si="54"/>
        <v>0</v>
      </c>
      <c r="T842" s="331">
        <v>0</v>
      </c>
      <c r="U842" s="328">
        <f>VLOOKUP(C842,METADATA!$J$5:$Q$29,IF(E842="HI",2,IF(E842="LO",6,10))+IF(T842=1,2,IF(D842=7,1,(IF(WEEKDAY(B842)=1,2,IF(WEEKDAY(B842)=7,1,0))))))</f>
        <v>3</v>
      </c>
      <c r="V842" s="328">
        <f>VLOOKUP(C842,METADATA!$A$5:$H$29,IF(E842="HI",2,IF(E842="LO",6,10))+IF(T842=1,2,IF(D842=7,1,(IF(WEEKDAY(B842)=1,2,IF(WEEKDAY(B842)=7,1,0))))))</f>
        <v>3</v>
      </c>
    </row>
    <row r="843" spans="2:22">
      <c r="B843" s="318">
        <f t="shared" si="51"/>
        <v>46147</v>
      </c>
      <c r="C843" s="312">
        <v>23</v>
      </c>
      <c r="D843" s="368">
        <f>IFERROR((INDEX(METADATA!$T$2:$T$20,MATCH(B843,METADATA!$S$2:$S$20,0))),0)</f>
        <v>0</v>
      </c>
      <c r="E843" s="312" t="str">
        <f t="shared" si="52"/>
        <v>LO</v>
      </c>
      <c r="F843" s="369">
        <f>VLOOKUP(C843,METADATA!$A$5:$H$29,IF(E843="HI",2,IF(E843="LO",6,10))+IF(D843=1,2,IF(D843=7,1,(IF(WEEKDAY(B843)=1,2,IF(WEEKDAY(B843)=7,1,0))))))</f>
        <v>3</v>
      </c>
      <c r="G843" s="369">
        <f>VLOOKUP(C843,METADATA!$J$5:$Q$29,IF(E843="HI",2,IF(E843="LO",6,10))+IF(D843=1,2,IF(D843=7,1,(IF(WEEKDAY(B843)=1,2,IF(WEEKDAY(B843)=7,1,0))))))</f>
        <v>3</v>
      </c>
      <c r="H843" s="370">
        <v>13379.4404296875</v>
      </c>
      <c r="I843" s="370">
        <v>1969.4409942626953</v>
      </c>
      <c r="M843" s="371">
        <f t="shared" si="53"/>
        <v>13523.613571876374</v>
      </c>
      <c r="N843" s="329">
        <f t="shared" si="54"/>
        <v>0</v>
      </c>
      <c r="T843" s="331">
        <v>0</v>
      </c>
      <c r="U843" s="328">
        <f>VLOOKUP(C843,METADATA!$J$5:$Q$29,IF(E843="HI",2,IF(E843="LO",6,10))+IF(T843=1,2,IF(D843=7,1,(IF(WEEKDAY(B843)=1,2,IF(WEEKDAY(B843)=7,1,0))))))</f>
        <v>3</v>
      </c>
      <c r="V843" s="328">
        <f>VLOOKUP(C843,METADATA!$A$5:$H$29,IF(E843="HI",2,IF(E843="LO",6,10))+IF(T843=1,2,IF(D843=7,1,(IF(WEEKDAY(B843)=1,2,IF(WEEKDAY(B843)=7,1,0))))))</f>
        <v>3</v>
      </c>
    </row>
    <row r="844" spans="2:22">
      <c r="B844" s="318">
        <f t="shared" si="51"/>
        <v>46148</v>
      </c>
      <c r="C844" s="312">
        <v>0</v>
      </c>
      <c r="D844" s="368">
        <f>IFERROR((INDEX(METADATA!$T$2:$T$20,MATCH(B844,METADATA!$S$2:$S$20,0))),0)</f>
        <v>0</v>
      </c>
      <c r="E844" s="312" t="str">
        <f t="shared" si="52"/>
        <v>LO</v>
      </c>
      <c r="F844" s="369">
        <f>VLOOKUP(C844,METADATA!$A$5:$H$29,IF(E844="HI",2,IF(E844="LO",6,10))+IF(D844=1,2,IF(D844=7,1,(IF(WEEKDAY(B844)=1,2,IF(WEEKDAY(B844)=7,1,0))))))</f>
        <v>3</v>
      </c>
      <c r="G844" s="369">
        <f>VLOOKUP(C844,METADATA!$J$5:$Q$29,IF(E844="HI",2,IF(E844="LO",6,10))+IF(D844=1,2,IF(D844=7,1,(IF(WEEKDAY(B844)=1,2,IF(WEEKDAY(B844)=7,1,0))))))</f>
        <v>3</v>
      </c>
      <c r="H844" s="370">
        <v>13296.934448242188</v>
      </c>
      <c r="I844" s="370">
        <v>2004.0689716339111</v>
      </c>
      <c r="M844" s="371">
        <f t="shared" si="53"/>
        <v>13447.109658358391</v>
      </c>
      <c r="N844" s="329">
        <f t="shared" si="54"/>
        <v>0</v>
      </c>
      <c r="T844" s="331">
        <v>0</v>
      </c>
      <c r="U844" s="328">
        <f>VLOOKUP(C844,METADATA!$J$5:$Q$29,IF(E844="HI",2,IF(E844="LO",6,10))+IF(T844=1,2,IF(D844=7,1,(IF(WEEKDAY(B844)=1,2,IF(WEEKDAY(B844)=7,1,0))))))</f>
        <v>3</v>
      </c>
      <c r="V844" s="328">
        <f>VLOOKUP(C844,METADATA!$A$5:$H$29,IF(E844="HI",2,IF(E844="LO",6,10))+IF(T844=1,2,IF(D844=7,1,(IF(WEEKDAY(B844)=1,2,IF(WEEKDAY(B844)=7,1,0))))))</f>
        <v>3</v>
      </c>
    </row>
    <row r="845" spans="2:22">
      <c r="B845" s="318">
        <f t="shared" si="51"/>
        <v>46148</v>
      </c>
      <c r="C845" s="312">
        <v>1</v>
      </c>
      <c r="D845" s="368">
        <f>IFERROR((INDEX(METADATA!$T$2:$T$20,MATCH(B845,METADATA!$S$2:$S$20,0))),0)</f>
        <v>0</v>
      </c>
      <c r="E845" s="312" t="str">
        <f t="shared" si="52"/>
        <v>LO</v>
      </c>
      <c r="F845" s="369">
        <f>VLOOKUP(C845,METADATA!$A$5:$H$29,IF(E845="HI",2,IF(E845="LO",6,10))+IF(D845=1,2,IF(D845=7,1,(IF(WEEKDAY(B845)=1,2,IF(WEEKDAY(B845)=7,1,0))))))</f>
        <v>3</v>
      </c>
      <c r="G845" s="369">
        <f>VLOOKUP(C845,METADATA!$J$5:$Q$29,IF(E845="HI",2,IF(E845="LO",6,10))+IF(D845=1,2,IF(D845=7,1,(IF(WEEKDAY(B845)=1,2,IF(WEEKDAY(B845)=7,1,0))))))</f>
        <v>3</v>
      </c>
      <c r="H845" s="370">
        <v>13198.324645996094</v>
      </c>
      <c r="I845" s="370">
        <v>1917.5294971466064</v>
      </c>
      <c r="M845" s="371">
        <f t="shared" si="53"/>
        <v>13336.892172974003</v>
      </c>
      <c r="N845" s="329">
        <f t="shared" si="54"/>
        <v>0</v>
      </c>
      <c r="T845" s="331">
        <v>0</v>
      </c>
      <c r="U845" s="328">
        <f>VLOOKUP(C845,METADATA!$J$5:$Q$29,IF(E845="HI",2,IF(E845="LO",6,10))+IF(T845=1,2,IF(D845=7,1,(IF(WEEKDAY(B845)=1,2,IF(WEEKDAY(B845)=7,1,0))))))</f>
        <v>3</v>
      </c>
      <c r="V845" s="328">
        <f>VLOOKUP(C845,METADATA!$A$5:$H$29,IF(E845="HI",2,IF(E845="LO",6,10))+IF(T845=1,2,IF(D845=7,1,(IF(WEEKDAY(B845)=1,2,IF(WEEKDAY(B845)=7,1,0))))))</f>
        <v>3</v>
      </c>
    </row>
    <row r="846" spans="2:22">
      <c r="B846" s="318">
        <f t="shared" si="51"/>
        <v>46148</v>
      </c>
      <c r="C846" s="312">
        <v>2</v>
      </c>
      <c r="D846" s="368">
        <f>IFERROR((INDEX(METADATA!$T$2:$T$20,MATCH(B846,METADATA!$S$2:$S$20,0))),0)</f>
        <v>0</v>
      </c>
      <c r="E846" s="312" t="str">
        <f t="shared" si="52"/>
        <v>LO</v>
      </c>
      <c r="F846" s="369">
        <f>VLOOKUP(C846,METADATA!$A$5:$H$29,IF(E846="HI",2,IF(E846="LO",6,10))+IF(D846=1,2,IF(D846=7,1,(IF(WEEKDAY(B846)=1,2,IF(WEEKDAY(B846)=7,1,0))))))</f>
        <v>3</v>
      </c>
      <c r="G846" s="369">
        <f>VLOOKUP(C846,METADATA!$J$5:$Q$29,IF(E846="HI",2,IF(E846="LO",6,10))+IF(D846=1,2,IF(D846=7,1,(IF(WEEKDAY(B846)=1,2,IF(WEEKDAY(B846)=7,1,0))))))</f>
        <v>3</v>
      </c>
      <c r="H846" s="370">
        <v>13108.76025390625</v>
      </c>
      <c r="I846" s="370">
        <v>1715.1849632263184</v>
      </c>
      <c r="M846" s="371">
        <f t="shared" si="53"/>
        <v>13220.493744655299</v>
      </c>
      <c r="N846" s="329">
        <f t="shared" si="54"/>
        <v>0</v>
      </c>
      <c r="T846" s="331">
        <v>0</v>
      </c>
      <c r="U846" s="328">
        <f>VLOOKUP(C846,METADATA!$J$5:$Q$29,IF(E846="HI",2,IF(E846="LO",6,10))+IF(T846=1,2,IF(D846=7,1,(IF(WEEKDAY(B846)=1,2,IF(WEEKDAY(B846)=7,1,0))))))</f>
        <v>3</v>
      </c>
      <c r="V846" s="328">
        <f>VLOOKUP(C846,METADATA!$A$5:$H$29,IF(E846="HI",2,IF(E846="LO",6,10))+IF(T846=1,2,IF(D846=7,1,(IF(WEEKDAY(B846)=1,2,IF(WEEKDAY(B846)=7,1,0))))))</f>
        <v>3</v>
      </c>
    </row>
    <row r="847" spans="2:22">
      <c r="B847" s="318">
        <f t="shared" si="51"/>
        <v>46148</v>
      </c>
      <c r="C847" s="312">
        <v>3</v>
      </c>
      <c r="D847" s="368">
        <f>IFERROR((INDEX(METADATA!$T$2:$T$20,MATCH(B847,METADATA!$S$2:$S$20,0))),0)</f>
        <v>0</v>
      </c>
      <c r="E847" s="312" t="str">
        <f t="shared" si="52"/>
        <v>LO</v>
      </c>
      <c r="F847" s="369">
        <f>VLOOKUP(C847,METADATA!$A$5:$H$29,IF(E847="HI",2,IF(E847="LO",6,10))+IF(D847=1,2,IF(D847=7,1,(IF(WEEKDAY(B847)=1,2,IF(WEEKDAY(B847)=7,1,0))))))</f>
        <v>3</v>
      </c>
      <c r="G847" s="369">
        <f>VLOOKUP(C847,METADATA!$J$5:$Q$29,IF(E847="HI",2,IF(E847="LO",6,10))+IF(D847=1,2,IF(D847=7,1,(IF(WEEKDAY(B847)=1,2,IF(WEEKDAY(B847)=7,1,0))))))</f>
        <v>3</v>
      </c>
      <c r="H847" s="370">
        <v>13258.932434082031</v>
      </c>
      <c r="I847" s="370">
        <v>1706.4194993972778</v>
      </c>
      <c r="M847" s="371">
        <f t="shared" si="53"/>
        <v>13368.289224858792</v>
      </c>
      <c r="N847" s="329">
        <f t="shared" si="54"/>
        <v>0</v>
      </c>
      <c r="T847" s="331">
        <v>0</v>
      </c>
      <c r="U847" s="328">
        <f>VLOOKUP(C847,METADATA!$J$5:$Q$29,IF(E847="HI",2,IF(E847="LO",6,10))+IF(T847=1,2,IF(D847=7,1,(IF(WEEKDAY(B847)=1,2,IF(WEEKDAY(B847)=7,1,0))))))</f>
        <v>3</v>
      </c>
      <c r="V847" s="328">
        <f>VLOOKUP(C847,METADATA!$A$5:$H$29,IF(E847="HI",2,IF(E847="LO",6,10))+IF(T847=1,2,IF(D847=7,1,(IF(WEEKDAY(B847)=1,2,IF(WEEKDAY(B847)=7,1,0))))))</f>
        <v>3</v>
      </c>
    </row>
    <row r="848" spans="2:22">
      <c r="B848" s="318">
        <f t="shared" si="51"/>
        <v>46148</v>
      </c>
      <c r="C848" s="312">
        <v>4</v>
      </c>
      <c r="D848" s="368">
        <f>IFERROR((INDEX(METADATA!$T$2:$T$20,MATCH(B848,METADATA!$S$2:$S$20,0))),0)</f>
        <v>0</v>
      </c>
      <c r="E848" s="312" t="str">
        <f t="shared" si="52"/>
        <v>LO</v>
      </c>
      <c r="F848" s="369">
        <f>VLOOKUP(C848,METADATA!$A$5:$H$29,IF(E848="HI",2,IF(E848="LO",6,10))+IF(D848=1,2,IF(D848=7,1,(IF(WEEKDAY(B848)=1,2,IF(WEEKDAY(B848)=7,1,0))))))</f>
        <v>3</v>
      </c>
      <c r="G848" s="369">
        <f>VLOOKUP(C848,METADATA!$J$5:$Q$29,IF(E848="HI",2,IF(E848="LO",6,10))+IF(D848=1,2,IF(D848=7,1,(IF(WEEKDAY(B848)=1,2,IF(WEEKDAY(B848)=7,1,0))))))</f>
        <v>3</v>
      </c>
      <c r="H848" s="370">
        <v>13253.160217285156</v>
      </c>
      <c r="I848" s="370">
        <v>1916.3525047302246</v>
      </c>
      <c r="M848" s="371">
        <f t="shared" si="53"/>
        <v>13390.991847783933</v>
      </c>
      <c r="N848" s="329">
        <f t="shared" si="54"/>
        <v>0</v>
      </c>
      <c r="T848" s="331">
        <v>0</v>
      </c>
      <c r="U848" s="328">
        <f>VLOOKUP(C848,METADATA!$J$5:$Q$29,IF(E848="HI",2,IF(E848="LO",6,10))+IF(T848=1,2,IF(D848=7,1,(IF(WEEKDAY(B848)=1,2,IF(WEEKDAY(B848)=7,1,0))))))</f>
        <v>3</v>
      </c>
      <c r="V848" s="328">
        <f>VLOOKUP(C848,METADATA!$A$5:$H$29,IF(E848="HI",2,IF(E848="LO",6,10))+IF(T848=1,2,IF(D848=7,1,(IF(WEEKDAY(B848)=1,2,IF(WEEKDAY(B848)=7,1,0))))))</f>
        <v>3</v>
      </c>
    </row>
    <row r="849" spans="2:22">
      <c r="B849" s="318">
        <f t="shared" si="51"/>
        <v>46148</v>
      </c>
      <c r="C849" s="312">
        <v>5</v>
      </c>
      <c r="D849" s="368">
        <f>IFERROR((INDEX(METADATA!$T$2:$T$20,MATCH(B849,METADATA!$S$2:$S$20,0))),0)</f>
        <v>0</v>
      </c>
      <c r="E849" s="312" t="str">
        <f t="shared" si="52"/>
        <v>LO</v>
      </c>
      <c r="F849" s="369">
        <f>VLOOKUP(C849,METADATA!$A$5:$H$29,IF(E849="HI",2,IF(E849="LO",6,10))+IF(D849=1,2,IF(D849=7,1,(IF(WEEKDAY(B849)=1,2,IF(WEEKDAY(B849)=7,1,0))))))</f>
        <v>3</v>
      </c>
      <c r="G849" s="369">
        <f>VLOOKUP(C849,METADATA!$J$5:$Q$29,IF(E849="HI",2,IF(E849="LO",6,10))+IF(D849=1,2,IF(D849=7,1,(IF(WEEKDAY(B849)=1,2,IF(WEEKDAY(B849)=7,1,0))))))</f>
        <v>3</v>
      </c>
      <c r="H849" s="370">
        <v>13383.219909667969</v>
      </c>
      <c r="I849" s="370">
        <v>1724.6894435882568</v>
      </c>
      <c r="M849" s="371">
        <f t="shared" si="53"/>
        <v>13493.892278633244</v>
      </c>
      <c r="N849" s="329">
        <f t="shared" si="54"/>
        <v>0</v>
      </c>
      <c r="T849" s="331">
        <v>0</v>
      </c>
      <c r="U849" s="328">
        <f>VLOOKUP(C849,METADATA!$J$5:$Q$29,IF(E849="HI",2,IF(E849="LO",6,10))+IF(T849=1,2,IF(D849=7,1,(IF(WEEKDAY(B849)=1,2,IF(WEEKDAY(B849)=7,1,0))))))</f>
        <v>3</v>
      </c>
      <c r="V849" s="328">
        <f>VLOOKUP(C849,METADATA!$A$5:$H$29,IF(E849="HI",2,IF(E849="LO",6,10))+IF(T849=1,2,IF(D849=7,1,(IF(WEEKDAY(B849)=1,2,IF(WEEKDAY(B849)=7,1,0))))))</f>
        <v>3</v>
      </c>
    </row>
    <row r="850" spans="2:22">
      <c r="B850" s="318">
        <f t="shared" si="51"/>
        <v>46148</v>
      </c>
      <c r="C850" s="312">
        <v>6</v>
      </c>
      <c r="D850" s="368">
        <f>IFERROR((INDEX(METADATA!$T$2:$T$20,MATCH(B850,METADATA!$S$2:$S$20,0))),0)</f>
        <v>0</v>
      </c>
      <c r="E850" s="312" t="str">
        <f t="shared" si="52"/>
        <v>LO</v>
      </c>
      <c r="F850" s="369">
        <f>VLOOKUP(C850,METADATA!$A$5:$H$29,IF(E850="HI",2,IF(E850="LO",6,10))+IF(D850=1,2,IF(D850=7,1,(IF(WEEKDAY(B850)=1,2,IF(WEEKDAY(B850)=7,1,0))))))</f>
        <v>2</v>
      </c>
      <c r="G850" s="369">
        <f>VLOOKUP(C850,METADATA!$J$5:$Q$29,IF(E850="HI",2,IF(E850="LO",6,10))+IF(D850=1,2,IF(D850=7,1,(IF(WEEKDAY(B850)=1,2,IF(WEEKDAY(B850)=7,1,0))))))</f>
        <v>2</v>
      </c>
      <c r="H850" s="370">
        <v>13316.994873046875</v>
      </c>
      <c r="I850" s="370">
        <v>1636.7980308532715</v>
      </c>
      <c r="M850" s="371">
        <f t="shared" si="53"/>
        <v>13417.207617181823</v>
      </c>
      <c r="N850" s="329">
        <f t="shared" si="54"/>
        <v>0</v>
      </c>
      <c r="T850" s="331">
        <v>0</v>
      </c>
      <c r="U850" s="328">
        <f>VLOOKUP(C850,METADATA!$J$5:$Q$29,IF(E850="HI",2,IF(E850="LO",6,10))+IF(T850=1,2,IF(D850=7,1,(IF(WEEKDAY(B850)=1,2,IF(WEEKDAY(B850)=7,1,0))))))</f>
        <v>2</v>
      </c>
      <c r="V850" s="328">
        <f>VLOOKUP(C850,METADATA!$A$5:$H$29,IF(E850="HI",2,IF(E850="LO",6,10))+IF(T850=1,2,IF(D850=7,1,(IF(WEEKDAY(B850)=1,2,IF(WEEKDAY(B850)=7,1,0))))))</f>
        <v>2</v>
      </c>
    </row>
    <row r="851" spans="2:22">
      <c r="B851" s="318">
        <f t="shared" si="51"/>
        <v>46148</v>
      </c>
      <c r="C851" s="312">
        <v>7</v>
      </c>
      <c r="D851" s="368">
        <f>IFERROR((INDEX(METADATA!$T$2:$T$20,MATCH(B851,METADATA!$S$2:$S$20,0))),0)</f>
        <v>0</v>
      </c>
      <c r="E851" s="312" t="str">
        <f t="shared" si="52"/>
        <v>LO</v>
      </c>
      <c r="F851" s="369">
        <f>VLOOKUP(C851,METADATA!$A$5:$H$29,IF(E851="HI",2,IF(E851="LO",6,10))+IF(D851=1,2,IF(D851=7,1,(IF(WEEKDAY(B851)=1,2,IF(WEEKDAY(B851)=7,1,0))))))</f>
        <v>1</v>
      </c>
      <c r="G851" s="369">
        <f>VLOOKUP(C851,METADATA!$J$5:$Q$29,IF(E851="HI",2,IF(E851="LO",6,10))+IF(D851=1,2,IF(D851=7,1,(IF(WEEKDAY(B851)=1,2,IF(WEEKDAY(B851)=7,1,0))))))</f>
        <v>1</v>
      </c>
      <c r="H851" s="370">
        <v>13354.014953613281</v>
      </c>
      <c r="I851" s="370">
        <v>1723.5844535827637</v>
      </c>
      <c r="M851" s="371">
        <f t="shared" si="53"/>
        <v>13464.785878355411</v>
      </c>
      <c r="N851" s="329">
        <f t="shared" si="54"/>
        <v>0</v>
      </c>
      <c r="T851" s="331">
        <v>0</v>
      </c>
      <c r="U851" s="328">
        <f>VLOOKUP(C851,METADATA!$J$5:$Q$29,IF(E851="HI",2,IF(E851="LO",6,10))+IF(T851=1,2,IF(D851=7,1,(IF(WEEKDAY(B851)=1,2,IF(WEEKDAY(B851)=7,1,0))))))</f>
        <v>1</v>
      </c>
      <c r="V851" s="328">
        <f>VLOOKUP(C851,METADATA!$A$5:$H$29,IF(E851="HI",2,IF(E851="LO",6,10))+IF(T851=1,2,IF(D851=7,1,(IF(WEEKDAY(B851)=1,2,IF(WEEKDAY(B851)=7,1,0))))))</f>
        <v>1</v>
      </c>
    </row>
    <row r="852" spans="2:22">
      <c r="B852" s="318">
        <f t="shared" si="51"/>
        <v>46148</v>
      </c>
      <c r="C852" s="312">
        <v>8</v>
      </c>
      <c r="D852" s="368">
        <f>IFERROR((INDEX(METADATA!$T$2:$T$20,MATCH(B852,METADATA!$S$2:$S$20,0))),0)</f>
        <v>0</v>
      </c>
      <c r="E852" s="312" t="str">
        <f t="shared" si="52"/>
        <v>LO</v>
      </c>
      <c r="F852" s="369">
        <f>VLOOKUP(C852,METADATA!$A$5:$H$29,IF(E852="HI",2,IF(E852="LO",6,10))+IF(D852=1,2,IF(D852=7,1,(IF(WEEKDAY(B852)=1,2,IF(WEEKDAY(B852)=7,1,0))))))</f>
        <v>1</v>
      </c>
      <c r="G852" s="369">
        <f>VLOOKUP(C852,METADATA!$J$5:$Q$29,IF(E852="HI",2,IF(E852="LO",6,10))+IF(D852=1,2,IF(D852=7,1,(IF(WEEKDAY(B852)=1,2,IF(WEEKDAY(B852)=7,1,0))))))</f>
        <v>1</v>
      </c>
      <c r="H852" s="370">
        <v>8328.925048828125</v>
      </c>
      <c r="I852" s="370">
        <v>504.72000408172607</v>
      </c>
      <c r="M852" s="371">
        <f t="shared" si="53"/>
        <v>8344.2036619150695</v>
      </c>
      <c r="N852" s="329">
        <f t="shared" si="54"/>
        <v>0</v>
      </c>
      <c r="T852" s="331">
        <v>0</v>
      </c>
      <c r="U852" s="328">
        <f>VLOOKUP(C852,METADATA!$J$5:$Q$29,IF(E852="HI",2,IF(E852="LO",6,10))+IF(T852=1,2,IF(D852=7,1,(IF(WEEKDAY(B852)=1,2,IF(WEEKDAY(B852)=7,1,0))))))</f>
        <v>1</v>
      </c>
      <c r="V852" s="328">
        <f>VLOOKUP(C852,METADATA!$A$5:$H$29,IF(E852="HI",2,IF(E852="LO",6,10))+IF(T852=1,2,IF(D852=7,1,(IF(WEEKDAY(B852)=1,2,IF(WEEKDAY(B852)=7,1,0))))))</f>
        <v>1</v>
      </c>
    </row>
    <row r="853" spans="2:22">
      <c r="B853" s="318">
        <f t="shared" si="51"/>
        <v>46148</v>
      </c>
      <c r="C853" s="312">
        <v>9</v>
      </c>
      <c r="D853" s="368">
        <f>IFERROR((INDEX(METADATA!$T$2:$T$20,MATCH(B853,METADATA!$S$2:$S$20,0))),0)</f>
        <v>0</v>
      </c>
      <c r="E853" s="312" t="str">
        <f t="shared" si="52"/>
        <v>LO</v>
      </c>
      <c r="F853" s="369">
        <f>VLOOKUP(C853,METADATA!$A$5:$H$29,IF(E853="HI",2,IF(E853="LO",6,10))+IF(D853=1,2,IF(D853=7,1,(IF(WEEKDAY(B853)=1,2,IF(WEEKDAY(B853)=7,1,0))))))</f>
        <v>2</v>
      </c>
      <c r="G853" s="369">
        <f>VLOOKUP(C853,METADATA!$J$5:$Q$29,IF(E853="HI",2,IF(E853="LO",6,10))+IF(D853=1,2,IF(D853=7,1,(IF(WEEKDAY(B853)=1,2,IF(WEEKDAY(B853)=7,1,0))))))</f>
        <v>2</v>
      </c>
      <c r="H853" s="370">
        <v>6603.6549987792969</v>
      </c>
      <c r="I853" s="370">
        <v>192.02650398015976</v>
      </c>
      <c r="M853" s="371">
        <f t="shared" si="53"/>
        <v>6606.4463610275106</v>
      </c>
      <c r="N853" s="329">
        <f t="shared" si="54"/>
        <v>0</v>
      </c>
      <c r="T853" s="331">
        <v>0</v>
      </c>
      <c r="U853" s="328">
        <f>VLOOKUP(C853,METADATA!$J$5:$Q$29,IF(E853="HI",2,IF(E853="LO",6,10))+IF(T853=1,2,IF(D853=7,1,(IF(WEEKDAY(B853)=1,2,IF(WEEKDAY(B853)=7,1,0))))))</f>
        <v>2</v>
      </c>
      <c r="V853" s="328">
        <f>VLOOKUP(C853,METADATA!$A$5:$H$29,IF(E853="HI",2,IF(E853="LO",6,10))+IF(T853=1,2,IF(D853=7,1,(IF(WEEKDAY(B853)=1,2,IF(WEEKDAY(B853)=7,1,0))))))</f>
        <v>2</v>
      </c>
    </row>
    <row r="854" spans="2:22">
      <c r="B854" s="318">
        <f t="shared" si="51"/>
        <v>46148</v>
      </c>
      <c r="C854" s="312">
        <v>10</v>
      </c>
      <c r="D854" s="368">
        <f>IFERROR((INDEX(METADATA!$T$2:$T$20,MATCH(B854,METADATA!$S$2:$S$20,0))),0)</f>
        <v>0</v>
      </c>
      <c r="E854" s="312" t="str">
        <f t="shared" si="52"/>
        <v>LO</v>
      </c>
      <c r="F854" s="369">
        <f>VLOOKUP(C854,METADATA!$A$5:$H$29,IF(E854="HI",2,IF(E854="LO",6,10))+IF(D854=1,2,IF(D854=7,1,(IF(WEEKDAY(B854)=1,2,IF(WEEKDAY(B854)=7,1,0))))))</f>
        <v>2</v>
      </c>
      <c r="G854" s="369">
        <f>VLOOKUP(C854,METADATA!$J$5:$Q$29,IF(E854="HI",2,IF(E854="LO",6,10))+IF(D854=1,2,IF(D854=7,1,(IF(WEEKDAY(B854)=1,2,IF(WEEKDAY(B854)=7,1,0))))))</f>
        <v>2</v>
      </c>
      <c r="H854" s="370">
        <v>5314.0699462890625</v>
      </c>
      <c r="I854" s="370">
        <v>0</v>
      </c>
      <c r="M854" s="371">
        <f t="shared" si="53"/>
        <v>5314.0699462890625</v>
      </c>
      <c r="N854" s="329">
        <f t="shared" si="54"/>
        <v>0</v>
      </c>
      <c r="T854" s="331">
        <v>0</v>
      </c>
      <c r="U854" s="328">
        <f>VLOOKUP(C854,METADATA!$J$5:$Q$29,IF(E854="HI",2,IF(E854="LO",6,10))+IF(T854=1,2,IF(D854=7,1,(IF(WEEKDAY(B854)=1,2,IF(WEEKDAY(B854)=7,1,0))))))</f>
        <v>2</v>
      </c>
      <c r="V854" s="328">
        <f>VLOOKUP(C854,METADATA!$A$5:$H$29,IF(E854="HI",2,IF(E854="LO",6,10))+IF(T854=1,2,IF(D854=7,1,(IF(WEEKDAY(B854)=1,2,IF(WEEKDAY(B854)=7,1,0))))))</f>
        <v>2</v>
      </c>
    </row>
    <row r="855" spans="2:22">
      <c r="B855" s="318">
        <f t="shared" si="51"/>
        <v>46148</v>
      </c>
      <c r="C855" s="312">
        <v>11</v>
      </c>
      <c r="D855" s="368">
        <f>IFERROR((INDEX(METADATA!$T$2:$T$20,MATCH(B855,METADATA!$S$2:$S$20,0))),0)</f>
        <v>0</v>
      </c>
      <c r="E855" s="312" t="str">
        <f t="shared" si="52"/>
        <v>LO</v>
      </c>
      <c r="F855" s="369">
        <f>VLOOKUP(C855,METADATA!$A$5:$H$29,IF(E855="HI",2,IF(E855="LO",6,10))+IF(D855=1,2,IF(D855=7,1,(IF(WEEKDAY(B855)=1,2,IF(WEEKDAY(B855)=7,1,0))))))</f>
        <v>2</v>
      </c>
      <c r="G855" s="369">
        <f>VLOOKUP(C855,METADATA!$J$5:$Q$29,IF(E855="HI",2,IF(E855="LO",6,10))+IF(D855=1,2,IF(D855=7,1,(IF(WEEKDAY(B855)=1,2,IF(WEEKDAY(B855)=7,1,0))))))</f>
        <v>2</v>
      </c>
      <c r="H855" s="370">
        <v>5534.2850036621094</v>
      </c>
      <c r="I855" s="370">
        <v>0</v>
      </c>
      <c r="M855" s="371">
        <f t="shared" si="53"/>
        <v>5534.2850036621094</v>
      </c>
      <c r="N855" s="329">
        <f t="shared" si="54"/>
        <v>0</v>
      </c>
      <c r="T855" s="331">
        <v>0</v>
      </c>
      <c r="U855" s="328">
        <f>VLOOKUP(C855,METADATA!$J$5:$Q$29,IF(E855="HI",2,IF(E855="LO",6,10))+IF(T855=1,2,IF(D855=7,1,(IF(WEEKDAY(B855)=1,2,IF(WEEKDAY(B855)=7,1,0))))))</f>
        <v>2</v>
      </c>
      <c r="V855" s="328">
        <f>VLOOKUP(C855,METADATA!$A$5:$H$29,IF(E855="HI",2,IF(E855="LO",6,10))+IF(T855=1,2,IF(D855=7,1,(IF(WEEKDAY(B855)=1,2,IF(WEEKDAY(B855)=7,1,0))))))</f>
        <v>2</v>
      </c>
    </row>
    <row r="856" spans="2:22">
      <c r="B856" s="318">
        <f t="shared" si="51"/>
        <v>46148</v>
      </c>
      <c r="C856" s="312">
        <v>12</v>
      </c>
      <c r="D856" s="368">
        <f>IFERROR((INDEX(METADATA!$T$2:$T$20,MATCH(B856,METADATA!$S$2:$S$20,0))),0)</f>
        <v>0</v>
      </c>
      <c r="E856" s="312" t="str">
        <f t="shared" si="52"/>
        <v>LO</v>
      </c>
      <c r="F856" s="369">
        <f>VLOOKUP(C856,METADATA!$A$5:$H$29,IF(E856="HI",2,IF(E856="LO",6,10))+IF(D856=1,2,IF(D856=7,1,(IF(WEEKDAY(B856)=1,2,IF(WEEKDAY(B856)=7,1,0))))))</f>
        <v>2</v>
      </c>
      <c r="G856" s="369">
        <f>VLOOKUP(C856,METADATA!$J$5:$Q$29,IF(E856="HI",2,IF(E856="LO",6,10))+IF(D856=1,2,IF(D856=7,1,(IF(WEEKDAY(B856)=1,2,IF(WEEKDAY(B856)=7,1,0))))))</f>
        <v>2</v>
      </c>
      <c r="H856" s="370">
        <v>5575.5400695800781</v>
      </c>
      <c r="I856" s="370">
        <v>0</v>
      </c>
      <c r="M856" s="371">
        <f t="shared" si="53"/>
        <v>5575.5400695800781</v>
      </c>
      <c r="N856" s="329">
        <f t="shared" si="54"/>
        <v>0</v>
      </c>
      <c r="T856" s="331">
        <v>0</v>
      </c>
      <c r="U856" s="328">
        <f>VLOOKUP(C856,METADATA!$J$5:$Q$29,IF(E856="HI",2,IF(E856="LO",6,10))+IF(T856=1,2,IF(D856=7,1,(IF(WEEKDAY(B856)=1,2,IF(WEEKDAY(B856)=7,1,0))))))</f>
        <v>2</v>
      </c>
      <c r="V856" s="328">
        <f>VLOOKUP(C856,METADATA!$A$5:$H$29,IF(E856="HI",2,IF(E856="LO",6,10))+IF(T856=1,2,IF(D856=7,1,(IF(WEEKDAY(B856)=1,2,IF(WEEKDAY(B856)=7,1,0))))))</f>
        <v>2</v>
      </c>
    </row>
    <row r="857" spans="2:22">
      <c r="B857" s="318">
        <f t="shared" si="51"/>
        <v>46148</v>
      </c>
      <c r="C857" s="312">
        <v>13</v>
      </c>
      <c r="D857" s="368">
        <f>IFERROR((INDEX(METADATA!$T$2:$T$20,MATCH(B857,METADATA!$S$2:$S$20,0))),0)</f>
        <v>0</v>
      </c>
      <c r="E857" s="312" t="str">
        <f t="shared" si="52"/>
        <v>LO</v>
      </c>
      <c r="F857" s="369">
        <f>VLOOKUP(C857,METADATA!$A$5:$H$29,IF(E857="HI",2,IF(E857="LO",6,10))+IF(D857=1,2,IF(D857=7,1,(IF(WEEKDAY(B857)=1,2,IF(WEEKDAY(B857)=7,1,0))))))</f>
        <v>2</v>
      </c>
      <c r="G857" s="369">
        <f>VLOOKUP(C857,METADATA!$J$5:$Q$29,IF(E857="HI",2,IF(E857="LO",6,10))+IF(D857=1,2,IF(D857=7,1,(IF(WEEKDAY(B857)=1,2,IF(WEEKDAY(B857)=7,1,0))))))</f>
        <v>2</v>
      </c>
      <c r="H857" s="370">
        <v>5683.7125244140625</v>
      </c>
      <c r="I857" s="370">
        <v>0</v>
      </c>
      <c r="M857" s="371">
        <f t="shared" si="53"/>
        <v>5683.7125244140625</v>
      </c>
      <c r="N857" s="329">
        <f t="shared" si="54"/>
        <v>0</v>
      </c>
      <c r="T857" s="331">
        <v>0</v>
      </c>
      <c r="U857" s="328">
        <f>VLOOKUP(C857,METADATA!$J$5:$Q$29,IF(E857="HI",2,IF(E857="LO",6,10))+IF(T857=1,2,IF(D857=7,1,(IF(WEEKDAY(B857)=1,2,IF(WEEKDAY(B857)=7,1,0))))))</f>
        <v>2</v>
      </c>
      <c r="V857" s="328">
        <f>VLOOKUP(C857,METADATA!$A$5:$H$29,IF(E857="HI",2,IF(E857="LO",6,10))+IF(T857=1,2,IF(D857=7,1,(IF(WEEKDAY(B857)=1,2,IF(WEEKDAY(B857)=7,1,0))))))</f>
        <v>2</v>
      </c>
    </row>
    <row r="858" spans="2:22">
      <c r="B858" s="318">
        <f t="shared" si="51"/>
        <v>46148</v>
      </c>
      <c r="C858" s="312">
        <v>14</v>
      </c>
      <c r="D858" s="368">
        <f>IFERROR((INDEX(METADATA!$T$2:$T$20,MATCH(B858,METADATA!$S$2:$S$20,0))),0)</f>
        <v>0</v>
      </c>
      <c r="E858" s="312" t="str">
        <f t="shared" si="52"/>
        <v>LO</v>
      </c>
      <c r="F858" s="369">
        <f>VLOOKUP(C858,METADATA!$A$5:$H$29,IF(E858="HI",2,IF(E858="LO",6,10))+IF(D858=1,2,IF(D858=7,1,(IF(WEEKDAY(B858)=1,2,IF(WEEKDAY(B858)=7,1,0))))))</f>
        <v>2</v>
      </c>
      <c r="G858" s="369">
        <f>VLOOKUP(C858,METADATA!$J$5:$Q$29,IF(E858="HI",2,IF(E858="LO",6,10))+IF(D858=1,2,IF(D858=7,1,(IF(WEEKDAY(B858)=1,2,IF(WEEKDAY(B858)=7,1,0))))))</f>
        <v>2</v>
      </c>
      <c r="H858" s="370">
        <v>10035.565002441406</v>
      </c>
      <c r="I858" s="370">
        <v>1095.2400360107422</v>
      </c>
      <c r="M858" s="371">
        <f t="shared" si="53"/>
        <v>10095.15307732912</v>
      </c>
      <c r="N858" s="329">
        <f t="shared" si="54"/>
        <v>0</v>
      </c>
      <c r="T858" s="331">
        <v>0</v>
      </c>
      <c r="U858" s="328">
        <f>VLOOKUP(C858,METADATA!$J$5:$Q$29,IF(E858="HI",2,IF(E858="LO",6,10))+IF(T858=1,2,IF(D858=7,1,(IF(WEEKDAY(B858)=1,2,IF(WEEKDAY(B858)=7,1,0))))))</f>
        <v>2</v>
      </c>
      <c r="V858" s="328">
        <f>VLOOKUP(C858,METADATA!$A$5:$H$29,IF(E858="HI",2,IF(E858="LO",6,10))+IF(T858=1,2,IF(D858=7,1,(IF(WEEKDAY(B858)=1,2,IF(WEEKDAY(B858)=7,1,0))))))</f>
        <v>2</v>
      </c>
    </row>
    <row r="859" spans="2:22">
      <c r="B859" s="318">
        <f t="shared" si="51"/>
        <v>46148</v>
      </c>
      <c r="C859" s="312">
        <v>15</v>
      </c>
      <c r="D859" s="368">
        <f>IFERROR((INDEX(METADATA!$T$2:$T$20,MATCH(B859,METADATA!$S$2:$S$20,0))),0)</f>
        <v>0</v>
      </c>
      <c r="E859" s="312" t="str">
        <f t="shared" si="52"/>
        <v>LO</v>
      </c>
      <c r="F859" s="369">
        <f>VLOOKUP(C859,METADATA!$A$5:$H$29,IF(E859="HI",2,IF(E859="LO",6,10))+IF(D859=1,2,IF(D859=7,1,(IF(WEEKDAY(B859)=1,2,IF(WEEKDAY(B859)=7,1,0))))))</f>
        <v>2</v>
      </c>
      <c r="G859" s="369">
        <f>VLOOKUP(C859,METADATA!$J$5:$Q$29,IF(E859="HI",2,IF(E859="LO",6,10))+IF(D859=1,2,IF(D859=7,1,(IF(WEEKDAY(B859)=1,2,IF(WEEKDAY(B859)=7,1,0))))))</f>
        <v>2</v>
      </c>
      <c r="H859" s="370">
        <v>13338.040100097656</v>
      </c>
      <c r="I859" s="370">
        <v>2098.462516784668</v>
      </c>
      <c r="M859" s="371">
        <f t="shared" si="53"/>
        <v>13502.105711560822</v>
      </c>
      <c r="N859" s="329">
        <f t="shared" si="54"/>
        <v>0</v>
      </c>
      <c r="T859" s="331">
        <v>0</v>
      </c>
      <c r="U859" s="328">
        <f>VLOOKUP(C859,METADATA!$J$5:$Q$29,IF(E859="HI",2,IF(E859="LO",6,10))+IF(T859=1,2,IF(D859=7,1,(IF(WEEKDAY(B859)=1,2,IF(WEEKDAY(B859)=7,1,0))))))</f>
        <v>2</v>
      </c>
      <c r="V859" s="328">
        <f>VLOOKUP(C859,METADATA!$A$5:$H$29,IF(E859="HI",2,IF(E859="LO",6,10))+IF(T859=1,2,IF(D859=7,1,(IF(WEEKDAY(B859)=1,2,IF(WEEKDAY(B859)=7,1,0))))))</f>
        <v>2</v>
      </c>
    </row>
    <row r="860" spans="2:22">
      <c r="B860" s="318">
        <f t="shared" ref="B860:B923" si="55">B836+1</f>
        <v>46148</v>
      </c>
      <c r="C860" s="312">
        <v>16</v>
      </c>
      <c r="D860" s="368">
        <f>IFERROR((INDEX(METADATA!$T$2:$T$20,MATCH(B860,METADATA!$S$2:$S$20,0))),0)</f>
        <v>0</v>
      </c>
      <c r="E860" s="312" t="str">
        <f t="shared" si="52"/>
        <v>LO</v>
      </c>
      <c r="F860" s="369">
        <f>VLOOKUP(C860,METADATA!$A$5:$H$29,IF(E860="HI",2,IF(E860="LO",6,10))+IF(D860=1,2,IF(D860=7,1,(IF(WEEKDAY(B860)=1,2,IF(WEEKDAY(B860)=7,1,0))))))</f>
        <v>2</v>
      </c>
      <c r="G860" s="369">
        <f>VLOOKUP(C860,METADATA!$J$5:$Q$29,IF(E860="HI",2,IF(E860="LO",6,10))+IF(D860=1,2,IF(D860=7,1,(IF(WEEKDAY(B860)=1,2,IF(WEEKDAY(B860)=7,1,0))))))</f>
        <v>2</v>
      </c>
      <c r="H860" s="370">
        <v>13251.18505859375</v>
      </c>
      <c r="I860" s="370">
        <v>2090.8319873809814</v>
      </c>
      <c r="M860" s="371">
        <f t="shared" si="53"/>
        <v>13415.121462609042</v>
      </c>
      <c r="N860" s="329">
        <f t="shared" si="54"/>
        <v>0</v>
      </c>
      <c r="T860" s="331">
        <v>0</v>
      </c>
      <c r="U860" s="328">
        <f>VLOOKUP(C860,METADATA!$J$5:$Q$29,IF(E860="HI",2,IF(E860="LO",6,10))+IF(T860=1,2,IF(D860=7,1,(IF(WEEKDAY(B860)=1,2,IF(WEEKDAY(B860)=7,1,0))))))</f>
        <v>2</v>
      </c>
      <c r="V860" s="328">
        <f>VLOOKUP(C860,METADATA!$A$5:$H$29,IF(E860="HI",2,IF(E860="LO",6,10))+IF(T860=1,2,IF(D860=7,1,(IF(WEEKDAY(B860)=1,2,IF(WEEKDAY(B860)=7,1,0))))))</f>
        <v>2</v>
      </c>
    </row>
    <row r="861" spans="2:22">
      <c r="B861" s="318">
        <f t="shared" si="55"/>
        <v>46148</v>
      </c>
      <c r="C861" s="312">
        <v>17</v>
      </c>
      <c r="D861" s="368">
        <f>IFERROR((INDEX(METADATA!$T$2:$T$20,MATCH(B861,METADATA!$S$2:$S$20,0))),0)</f>
        <v>0</v>
      </c>
      <c r="E861" s="312" t="str">
        <f t="shared" si="52"/>
        <v>LO</v>
      </c>
      <c r="F861" s="369">
        <f>VLOOKUP(C861,METADATA!$A$5:$H$29,IF(E861="HI",2,IF(E861="LO",6,10))+IF(D861=1,2,IF(D861=7,1,(IF(WEEKDAY(B861)=1,2,IF(WEEKDAY(B861)=7,1,0))))))</f>
        <v>2</v>
      </c>
      <c r="G861" s="369">
        <f>VLOOKUP(C861,METADATA!$J$5:$Q$29,IF(E861="HI",2,IF(E861="LO",6,10))+IF(D861=1,2,IF(D861=7,1,(IF(WEEKDAY(B861)=1,2,IF(WEEKDAY(B861)=7,1,0))))))</f>
        <v>2</v>
      </c>
      <c r="H861" s="370">
        <v>13193.680114746094</v>
      </c>
      <c r="I861" s="370">
        <v>2049.4074974060059</v>
      </c>
      <c r="M861" s="371">
        <f t="shared" si="53"/>
        <v>13351.901215207909</v>
      </c>
      <c r="N861" s="329">
        <f t="shared" si="54"/>
        <v>0</v>
      </c>
      <c r="T861" s="331">
        <v>0</v>
      </c>
      <c r="U861" s="328">
        <f>VLOOKUP(C861,METADATA!$J$5:$Q$29,IF(E861="HI",2,IF(E861="LO",6,10))+IF(T861=1,2,IF(D861=7,1,(IF(WEEKDAY(B861)=1,2,IF(WEEKDAY(B861)=7,1,0))))))</f>
        <v>2</v>
      </c>
      <c r="V861" s="328">
        <f>VLOOKUP(C861,METADATA!$A$5:$H$29,IF(E861="HI",2,IF(E861="LO",6,10))+IF(T861=1,2,IF(D861=7,1,(IF(WEEKDAY(B861)=1,2,IF(WEEKDAY(B861)=7,1,0))))))</f>
        <v>2</v>
      </c>
    </row>
    <row r="862" spans="2:22">
      <c r="B862" s="318">
        <f t="shared" si="55"/>
        <v>46148</v>
      </c>
      <c r="C862" s="312">
        <v>18</v>
      </c>
      <c r="D862" s="368">
        <f>IFERROR((INDEX(METADATA!$T$2:$T$20,MATCH(B862,METADATA!$S$2:$S$20,0))),0)</f>
        <v>0</v>
      </c>
      <c r="E862" s="312" t="str">
        <f t="shared" si="52"/>
        <v>LO</v>
      </c>
      <c r="F862" s="369">
        <f>VLOOKUP(C862,METADATA!$A$5:$H$29,IF(E862="HI",2,IF(E862="LO",6,10))+IF(D862=1,2,IF(D862=7,1,(IF(WEEKDAY(B862)=1,2,IF(WEEKDAY(B862)=7,1,0))))))</f>
        <v>1</v>
      </c>
      <c r="G862" s="369">
        <f>VLOOKUP(C862,METADATA!$J$5:$Q$29,IF(E862="HI",2,IF(E862="LO",6,10))+IF(D862=1,2,IF(D862=7,1,(IF(WEEKDAY(B862)=1,2,IF(WEEKDAY(B862)=7,1,0))))))</f>
        <v>1</v>
      </c>
      <c r="H862" s="370">
        <v>13217.489990234375</v>
      </c>
      <c r="I862" s="370">
        <v>1905.4789886474609</v>
      </c>
      <c r="M862" s="371">
        <f t="shared" si="53"/>
        <v>13354.133884985686</v>
      </c>
      <c r="N862" s="329">
        <f t="shared" si="54"/>
        <v>0</v>
      </c>
      <c r="T862" s="331">
        <v>0</v>
      </c>
      <c r="U862" s="328">
        <f>VLOOKUP(C862,METADATA!$J$5:$Q$29,IF(E862="HI",2,IF(E862="LO",6,10))+IF(T862=1,2,IF(D862=7,1,(IF(WEEKDAY(B862)=1,2,IF(WEEKDAY(B862)=7,1,0))))))</f>
        <v>1</v>
      </c>
      <c r="V862" s="328">
        <f>VLOOKUP(C862,METADATA!$A$5:$H$29,IF(E862="HI",2,IF(E862="LO",6,10))+IF(T862=1,2,IF(D862=7,1,(IF(WEEKDAY(B862)=1,2,IF(WEEKDAY(B862)=7,1,0))))))</f>
        <v>1</v>
      </c>
    </row>
    <row r="863" spans="2:22">
      <c r="B863" s="318">
        <f t="shared" si="55"/>
        <v>46148</v>
      </c>
      <c r="C863" s="312">
        <v>19</v>
      </c>
      <c r="D863" s="368">
        <f>IFERROR((INDEX(METADATA!$T$2:$T$20,MATCH(B863,METADATA!$S$2:$S$20,0))),0)</f>
        <v>0</v>
      </c>
      <c r="E863" s="312" t="str">
        <f t="shared" si="52"/>
        <v>LO</v>
      </c>
      <c r="F863" s="369">
        <f>VLOOKUP(C863,METADATA!$A$5:$H$29,IF(E863="HI",2,IF(E863="LO",6,10))+IF(D863=1,2,IF(D863=7,1,(IF(WEEKDAY(B863)=1,2,IF(WEEKDAY(B863)=7,1,0))))))</f>
        <v>1</v>
      </c>
      <c r="G863" s="369">
        <f>VLOOKUP(C863,METADATA!$J$5:$Q$29,IF(E863="HI",2,IF(E863="LO",6,10))+IF(D863=1,2,IF(D863=7,1,(IF(WEEKDAY(B863)=1,2,IF(WEEKDAY(B863)=7,1,0))))))</f>
        <v>1</v>
      </c>
      <c r="H863" s="370">
        <v>13133.734497070313</v>
      </c>
      <c r="I863" s="370">
        <v>1956.8164834976196</v>
      </c>
      <c r="M863" s="371">
        <f t="shared" si="53"/>
        <v>13278.708995592257</v>
      </c>
      <c r="N863" s="329">
        <f t="shared" si="54"/>
        <v>0</v>
      </c>
      <c r="T863" s="331">
        <v>0</v>
      </c>
      <c r="U863" s="328">
        <f>VLOOKUP(C863,METADATA!$J$5:$Q$29,IF(E863="HI",2,IF(E863="LO",6,10))+IF(T863=1,2,IF(D863=7,1,(IF(WEEKDAY(B863)=1,2,IF(WEEKDAY(B863)=7,1,0))))))</f>
        <v>1</v>
      </c>
      <c r="V863" s="328">
        <f>VLOOKUP(C863,METADATA!$A$5:$H$29,IF(E863="HI",2,IF(E863="LO",6,10))+IF(T863=1,2,IF(D863=7,1,(IF(WEEKDAY(B863)=1,2,IF(WEEKDAY(B863)=7,1,0))))))</f>
        <v>1</v>
      </c>
    </row>
    <row r="864" spans="2:22">
      <c r="B864" s="318">
        <f t="shared" si="55"/>
        <v>46148</v>
      </c>
      <c r="C864" s="312">
        <v>20</v>
      </c>
      <c r="D864" s="368">
        <f>IFERROR((INDEX(METADATA!$T$2:$T$20,MATCH(B864,METADATA!$S$2:$S$20,0))),0)</f>
        <v>0</v>
      </c>
      <c r="E864" s="312" t="str">
        <f t="shared" si="52"/>
        <v>LO</v>
      </c>
      <c r="F864" s="369">
        <f>VLOOKUP(C864,METADATA!$A$5:$H$29,IF(E864="HI",2,IF(E864="LO",6,10))+IF(D864=1,2,IF(D864=7,1,(IF(WEEKDAY(B864)=1,2,IF(WEEKDAY(B864)=7,1,0))))))</f>
        <v>1</v>
      </c>
      <c r="G864" s="369">
        <f>VLOOKUP(C864,METADATA!$J$5:$Q$29,IF(E864="HI",2,IF(E864="LO",6,10))+IF(D864=1,2,IF(D864=7,1,(IF(WEEKDAY(B864)=1,2,IF(WEEKDAY(B864)=7,1,0))))))</f>
        <v>1</v>
      </c>
      <c r="H864" s="370">
        <v>13095.385070800781</v>
      </c>
      <c r="I864" s="370">
        <v>1996.2734699249268</v>
      </c>
      <c r="M864" s="371">
        <f t="shared" si="53"/>
        <v>13246.668181821347</v>
      </c>
      <c r="N864" s="329">
        <f t="shared" si="54"/>
        <v>0</v>
      </c>
      <c r="T864" s="331">
        <v>0</v>
      </c>
      <c r="U864" s="328">
        <f>VLOOKUP(C864,METADATA!$J$5:$Q$29,IF(E864="HI",2,IF(E864="LO",6,10))+IF(T864=1,2,IF(D864=7,1,(IF(WEEKDAY(B864)=1,2,IF(WEEKDAY(B864)=7,1,0))))))</f>
        <v>1</v>
      </c>
      <c r="V864" s="328">
        <f>VLOOKUP(C864,METADATA!$A$5:$H$29,IF(E864="HI",2,IF(E864="LO",6,10))+IF(T864=1,2,IF(D864=7,1,(IF(WEEKDAY(B864)=1,2,IF(WEEKDAY(B864)=7,1,0))))))</f>
        <v>1</v>
      </c>
    </row>
    <row r="865" spans="2:22">
      <c r="B865" s="318">
        <f t="shared" si="55"/>
        <v>46148</v>
      </c>
      <c r="C865" s="312">
        <v>21</v>
      </c>
      <c r="D865" s="368">
        <f>IFERROR((INDEX(METADATA!$T$2:$T$20,MATCH(B865,METADATA!$S$2:$S$20,0))),0)</f>
        <v>0</v>
      </c>
      <c r="E865" s="312" t="str">
        <f t="shared" si="52"/>
        <v>LO</v>
      </c>
      <c r="F865" s="369">
        <f>VLOOKUP(C865,METADATA!$A$5:$H$29,IF(E865="HI",2,IF(E865="LO",6,10))+IF(D865=1,2,IF(D865=7,1,(IF(WEEKDAY(B865)=1,2,IF(WEEKDAY(B865)=7,1,0))))))</f>
        <v>2</v>
      </c>
      <c r="G865" s="369">
        <f>VLOOKUP(C865,METADATA!$J$5:$Q$29,IF(E865="HI",2,IF(E865="LO",6,10))+IF(D865=1,2,IF(D865=7,1,(IF(WEEKDAY(B865)=1,2,IF(WEEKDAY(B865)=7,1,0))))))</f>
        <v>2</v>
      </c>
      <c r="H865" s="370">
        <v>12759.114868164063</v>
      </c>
      <c r="I865" s="370">
        <v>1864.9655203819275</v>
      </c>
      <c r="M865" s="371">
        <f t="shared" si="53"/>
        <v>12894.693040596921</v>
      </c>
      <c r="N865" s="329">
        <f t="shared" si="54"/>
        <v>0</v>
      </c>
      <c r="T865" s="331">
        <v>0</v>
      </c>
      <c r="U865" s="328">
        <f>VLOOKUP(C865,METADATA!$J$5:$Q$29,IF(E865="HI",2,IF(E865="LO",6,10))+IF(T865=1,2,IF(D865=7,1,(IF(WEEKDAY(B865)=1,2,IF(WEEKDAY(B865)=7,1,0))))))</f>
        <v>2</v>
      </c>
      <c r="V865" s="328">
        <f>VLOOKUP(C865,METADATA!$A$5:$H$29,IF(E865="HI",2,IF(E865="LO",6,10))+IF(T865=1,2,IF(D865=7,1,(IF(WEEKDAY(B865)=1,2,IF(WEEKDAY(B865)=7,1,0))))))</f>
        <v>2</v>
      </c>
    </row>
    <row r="866" spans="2:22">
      <c r="B866" s="318">
        <f t="shared" si="55"/>
        <v>46148</v>
      </c>
      <c r="C866" s="312">
        <v>22</v>
      </c>
      <c r="D866" s="368">
        <f>IFERROR((INDEX(METADATA!$T$2:$T$20,MATCH(B866,METADATA!$S$2:$S$20,0))),0)</f>
        <v>0</v>
      </c>
      <c r="E866" s="312" t="str">
        <f t="shared" si="52"/>
        <v>LO</v>
      </c>
      <c r="F866" s="369">
        <f>VLOOKUP(C866,METADATA!$A$5:$H$29,IF(E866="HI",2,IF(E866="LO",6,10))+IF(D866=1,2,IF(D866=7,1,(IF(WEEKDAY(B866)=1,2,IF(WEEKDAY(B866)=7,1,0))))))</f>
        <v>3</v>
      </c>
      <c r="G866" s="369">
        <f>VLOOKUP(C866,METADATA!$J$5:$Q$29,IF(E866="HI",2,IF(E866="LO",6,10))+IF(D866=1,2,IF(D866=7,1,(IF(WEEKDAY(B866)=1,2,IF(WEEKDAY(B866)=7,1,0))))))</f>
        <v>3</v>
      </c>
      <c r="H866" s="370">
        <v>12784.04541015625</v>
      </c>
      <c r="I866" s="370">
        <v>1870.9220628738403</v>
      </c>
      <c r="M866" s="371">
        <f t="shared" si="53"/>
        <v>12920.223156520369</v>
      </c>
      <c r="N866" s="329">
        <f t="shared" si="54"/>
        <v>0</v>
      </c>
      <c r="T866" s="331">
        <v>0</v>
      </c>
      <c r="U866" s="328">
        <f>VLOOKUP(C866,METADATA!$J$5:$Q$29,IF(E866="HI",2,IF(E866="LO",6,10))+IF(T866=1,2,IF(D866=7,1,(IF(WEEKDAY(B866)=1,2,IF(WEEKDAY(B866)=7,1,0))))))</f>
        <v>3</v>
      </c>
      <c r="V866" s="328">
        <f>VLOOKUP(C866,METADATA!$A$5:$H$29,IF(E866="HI",2,IF(E866="LO",6,10))+IF(T866=1,2,IF(D866=7,1,(IF(WEEKDAY(B866)=1,2,IF(WEEKDAY(B866)=7,1,0))))))</f>
        <v>3</v>
      </c>
    </row>
    <row r="867" spans="2:22">
      <c r="B867" s="318">
        <f t="shared" si="55"/>
        <v>46148</v>
      </c>
      <c r="C867" s="312">
        <v>23</v>
      </c>
      <c r="D867" s="368">
        <f>IFERROR((INDEX(METADATA!$T$2:$T$20,MATCH(B867,METADATA!$S$2:$S$20,0))),0)</f>
        <v>0</v>
      </c>
      <c r="E867" s="312" t="str">
        <f t="shared" si="52"/>
        <v>LO</v>
      </c>
      <c r="F867" s="369">
        <f>VLOOKUP(C867,METADATA!$A$5:$H$29,IF(E867="HI",2,IF(E867="LO",6,10))+IF(D867=1,2,IF(D867=7,1,(IF(WEEKDAY(B867)=1,2,IF(WEEKDAY(B867)=7,1,0))))))</f>
        <v>3</v>
      </c>
      <c r="G867" s="369">
        <f>VLOOKUP(C867,METADATA!$J$5:$Q$29,IF(E867="HI",2,IF(E867="LO",6,10))+IF(D867=1,2,IF(D867=7,1,(IF(WEEKDAY(B867)=1,2,IF(WEEKDAY(B867)=7,1,0))))))</f>
        <v>3</v>
      </c>
      <c r="H867" s="370">
        <v>12818.839721679688</v>
      </c>
      <c r="I867" s="370">
        <v>1916.8060331344604</v>
      </c>
      <c r="M867" s="371">
        <f t="shared" si="53"/>
        <v>12961.357844715716</v>
      </c>
      <c r="N867" s="329">
        <f t="shared" si="54"/>
        <v>0</v>
      </c>
      <c r="T867" s="331">
        <v>0</v>
      </c>
      <c r="U867" s="328">
        <f>VLOOKUP(C867,METADATA!$J$5:$Q$29,IF(E867="HI",2,IF(E867="LO",6,10))+IF(T867=1,2,IF(D867=7,1,(IF(WEEKDAY(B867)=1,2,IF(WEEKDAY(B867)=7,1,0))))))</f>
        <v>3</v>
      </c>
      <c r="V867" s="328">
        <f>VLOOKUP(C867,METADATA!$A$5:$H$29,IF(E867="HI",2,IF(E867="LO",6,10))+IF(T867=1,2,IF(D867=7,1,(IF(WEEKDAY(B867)=1,2,IF(WEEKDAY(B867)=7,1,0))))))</f>
        <v>3</v>
      </c>
    </row>
    <row r="868" spans="2:22">
      <c r="B868" s="318">
        <f t="shared" si="55"/>
        <v>46149</v>
      </c>
      <c r="C868" s="312">
        <v>0</v>
      </c>
      <c r="D868" s="368">
        <f>IFERROR((INDEX(METADATA!$T$2:$T$20,MATCH(B868,METADATA!$S$2:$S$20,0))),0)</f>
        <v>0</v>
      </c>
      <c r="E868" s="312" t="str">
        <f t="shared" si="52"/>
        <v>LO</v>
      </c>
      <c r="F868" s="369">
        <f>VLOOKUP(C868,METADATA!$A$5:$H$29,IF(E868="HI",2,IF(E868="LO",6,10))+IF(D868=1,2,IF(D868=7,1,(IF(WEEKDAY(B868)=1,2,IF(WEEKDAY(B868)=7,1,0))))))</f>
        <v>3</v>
      </c>
      <c r="G868" s="369">
        <f>VLOOKUP(C868,METADATA!$J$5:$Q$29,IF(E868="HI",2,IF(E868="LO",6,10))+IF(D868=1,2,IF(D868=7,1,(IF(WEEKDAY(B868)=1,2,IF(WEEKDAY(B868)=7,1,0))))))</f>
        <v>3</v>
      </c>
      <c r="H868" s="370">
        <v>12653.309631347656</v>
      </c>
      <c r="I868" s="370">
        <v>1905.2664804458618</v>
      </c>
      <c r="M868" s="371">
        <f t="shared" si="53"/>
        <v>12795.947990995663</v>
      </c>
      <c r="N868" s="329">
        <f t="shared" si="54"/>
        <v>0</v>
      </c>
      <c r="T868" s="331">
        <v>0</v>
      </c>
      <c r="U868" s="328">
        <f>VLOOKUP(C868,METADATA!$J$5:$Q$29,IF(E868="HI",2,IF(E868="LO",6,10))+IF(T868=1,2,IF(D868=7,1,(IF(WEEKDAY(B868)=1,2,IF(WEEKDAY(B868)=7,1,0))))))</f>
        <v>3</v>
      </c>
      <c r="V868" s="328">
        <f>VLOOKUP(C868,METADATA!$A$5:$H$29,IF(E868="HI",2,IF(E868="LO",6,10))+IF(T868=1,2,IF(D868=7,1,(IF(WEEKDAY(B868)=1,2,IF(WEEKDAY(B868)=7,1,0))))))</f>
        <v>3</v>
      </c>
    </row>
    <row r="869" spans="2:22">
      <c r="B869" s="318">
        <f t="shared" si="55"/>
        <v>46149</v>
      </c>
      <c r="C869" s="312">
        <v>1</v>
      </c>
      <c r="D869" s="368">
        <f>IFERROR((INDEX(METADATA!$T$2:$T$20,MATCH(B869,METADATA!$S$2:$S$20,0))),0)</f>
        <v>0</v>
      </c>
      <c r="E869" s="312" t="str">
        <f t="shared" si="52"/>
        <v>LO</v>
      </c>
      <c r="F869" s="369">
        <f>VLOOKUP(C869,METADATA!$A$5:$H$29,IF(E869="HI",2,IF(E869="LO",6,10))+IF(D869=1,2,IF(D869=7,1,(IF(WEEKDAY(B869)=1,2,IF(WEEKDAY(B869)=7,1,0))))))</f>
        <v>3</v>
      </c>
      <c r="G869" s="369">
        <f>VLOOKUP(C869,METADATA!$J$5:$Q$29,IF(E869="HI",2,IF(E869="LO",6,10))+IF(D869=1,2,IF(D869=7,1,(IF(WEEKDAY(B869)=1,2,IF(WEEKDAY(B869)=7,1,0))))))</f>
        <v>3</v>
      </c>
      <c r="H869" s="370">
        <v>12791.579772949219</v>
      </c>
      <c r="I869" s="370">
        <v>1839.9119839668274</v>
      </c>
      <c r="M869" s="371">
        <f t="shared" si="53"/>
        <v>12923.226733152535</v>
      </c>
      <c r="N869" s="329">
        <f t="shared" si="54"/>
        <v>0</v>
      </c>
      <c r="T869" s="331">
        <v>0</v>
      </c>
      <c r="U869" s="328">
        <f>VLOOKUP(C869,METADATA!$J$5:$Q$29,IF(E869="HI",2,IF(E869="LO",6,10))+IF(T869=1,2,IF(D869=7,1,(IF(WEEKDAY(B869)=1,2,IF(WEEKDAY(B869)=7,1,0))))))</f>
        <v>3</v>
      </c>
      <c r="V869" s="328">
        <f>VLOOKUP(C869,METADATA!$A$5:$H$29,IF(E869="HI",2,IF(E869="LO",6,10))+IF(T869=1,2,IF(D869=7,1,(IF(WEEKDAY(B869)=1,2,IF(WEEKDAY(B869)=7,1,0))))))</f>
        <v>3</v>
      </c>
    </row>
    <row r="870" spans="2:22">
      <c r="B870" s="318">
        <f t="shared" si="55"/>
        <v>46149</v>
      </c>
      <c r="C870" s="312">
        <v>2</v>
      </c>
      <c r="D870" s="368">
        <f>IFERROR((INDEX(METADATA!$T$2:$T$20,MATCH(B870,METADATA!$S$2:$S$20,0))),0)</f>
        <v>0</v>
      </c>
      <c r="E870" s="312" t="str">
        <f t="shared" si="52"/>
        <v>LO</v>
      </c>
      <c r="F870" s="369">
        <f>VLOOKUP(C870,METADATA!$A$5:$H$29,IF(E870="HI",2,IF(E870="LO",6,10))+IF(D870=1,2,IF(D870=7,1,(IF(WEEKDAY(B870)=1,2,IF(WEEKDAY(B870)=7,1,0))))))</f>
        <v>3</v>
      </c>
      <c r="G870" s="369">
        <f>VLOOKUP(C870,METADATA!$J$5:$Q$29,IF(E870="HI",2,IF(E870="LO",6,10))+IF(D870=1,2,IF(D870=7,1,(IF(WEEKDAY(B870)=1,2,IF(WEEKDAY(B870)=7,1,0))))))</f>
        <v>3</v>
      </c>
      <c r="H870" s="370">
        <v>12742.339660644531</v>
      </c>
      <c r="I870" s="370">
        <v>1817.7094511985779</v>
      </c>
      <c r="M870" s="371">
        <f t="shared" si="53"/>
        <v>12871.335893224572</v>
      </c>
      <c r="N870" s="329">
        <f t="shared" si="54"/>
        <v>0</v>
      </c>
      <c r="T870" s="331">
        <v>0</v>
      </c>
      <c r="U870" s="328">
        <f>VLOOKUP(C870,METADATA!$J$5:$Q$29,IF(E870="HI",2,IF(E870="LO",6,10))+IF(T870=1,2,IF(D870=7,1,(IF(WEEKDAY(B870)=1,2,IF(WEEKDAY(B870)=7,1,0))))))</f>
        <v>3</v>
      </c>
      <c r="V870" s="328">
        <f>VLOOKUP(C870,METADATA!$A$5:$H$29,IF(E870="HI",2,IF(E870="LO",6,10))+IF(T870=1,2,IF(D870=7,1,(IF(WEEKDAY(B870)=1,2,IF(WEEKDAY(B870)=7,1,0))))))</f>
        <v>3</v>
      </c>
    </row>
    <row r="871" spans="2:22">
      <c r="B871" s="318">
        <f t="shared" si="55"/>
        <v>46149</v>
      </c>
      <c r="C871" s="312">
        <v>3</v>
      </c>
      <c r="D871" s="368">
        <f>IFERROR((INDEX(METADATA!$T$2:$T$20,MATCH(B871,METADATA!$S$2:$S$20,0))),0)</f>
        <v>0</v>
      </c>
      <c r="E871" s="312" t="str">
        <f t="shared" si="52"/>
        <v>LO</v>
      </c>
      <c r="F871" s="369">
        <f>VLOOKUP(C871,METADATA!$A$5:$H$29,IF(E871="HI",2,IF(E871="LO",6,10))+IF(D871=1,2,IF(D871=7,1,(IF(WEEKDAY(B871)=1,2,IF(WEEKDAY(B871)=7,1,0))))))</f>
        <v>3</v>
      </c>
      <c r="G871" s="369">
        <f>VLOOKUP(C871,METADATA!$J$5:$Q$29,IF(E871="HI",2,IF(E871="LO",6,10))+IF(D871=1,2,IF(D871=7,1,(IF(WEEKDAY(B871)=1,2,IF(WEEKDAY(B871)=7,1,0))))))</f>
        <v>3</v>
      </c>
      <c r="H871" s="370">
        <v>12701.965209960938</v>
      </c>
      <c r="I871" s="370">
        <v>1865.0154914855957</v>
      </c>
      <c r="M871" s="371">
        <f t="shared" si="53"/>
        <v>12838.154188922146</v>
      </c>
      <c r="N871" s="329">
        <f t="shared" si="54"/>
        <v>0</v>
      </c>
      <c r="T871" s="331">
        <v>0</v>
      </c>
      <c r="U871" s="328">
        <f>VLOOKUP(C871,METADATA!$J$5:$Q$29,IF(E871="HI",2,IF(E871="LO",6,10))+IF(T871=1,2,IF(D871=7,1,(IF(WEEKDAY(B871)=1,2,IF(WEEKDAY(B871)=7,1,0))))))</f>
        <v>3</v>
      </c>
      <c r="V871" s="328">
        <f>VLOOKUP(C871,METADATA!$A$5:$H$29,IF(E871="HI",2,IF(E871="LO",6,10))+IF(T871=1,2,IF(D871=7,1,(IF(WEEKDAY(B871)=1,2,IF(WEEKDAY(B871)=7,1,0))))))</f>
        <v>3</v>
      </c>
    </row>
    <row r="872" spans="2:22">
      <c r="B872" s="318">
        <f t="shared" si="55"/>
        <v>46149</v>
      </c>
      <c r="C872" s="312">
        <v>4</v>
      </c>
      <c r="D872" s="368">
        <f>IFERROR((INDEX(METADATA!$T$2:$T$20,MATCH(B872,METADATA!$S$2:$S$20,0))),0)</f>
        <v>0</v>
      </c>
      <c r="E872" s="312" t="str">
        <f t="shared" si="52"/>
        <v>LO</v>
      </c>
      <c r="F872" s="369">
        <f>VLOOKUP(C872,METADATA!$A$5:$H$29,IF(E872="HI",2,IF(E872="LO",6,10))+IF(D872=1,2,IF(D872=7,1,(IF(WEEKDAY(B872)=1,2,IF(WEEKDAY(B872)=7,1,0))))))</f>
        <v>3</v>
      </c>
      <c r="G872" s="369">
        <f>VLOOKUP(C872,METADATA!$J$5:$Q$29,IF(E872="HI",2,IF(E872="LO",6,10))+IF(D872=1,2,IF(D872=7,1,(IF(WEEKDAY(B872)=1,2,IF(WEEKDAY(B872)=7,1,0))))))</f>
        <v>3</v>
      </c>
      <c r="H872" s="370">
        <v>12962.005004882813</v>
      </c>
      <c r="I872" s="370">
        <v>1924.1290003061295</v>
      </c>
      <c r="M872" s="371">
        <f t="shared" si="53"/>
        <v>13104.039306886489</v>
      </c>
      <c r="N872" s="329">
        <f t="shared" si="54"/>
        <v>0</v>
      </c>
      <c r="T872" s="331">
        <v>0</v>
      </c>
      <c r="U872" s="328">
        <f>VLOOKUP(C872,METADATA!$J$5:$Q$29,IF(E872="HI",2,IF(E872="LO",6,10))+IF(T872=1,2,IF(D872=7,1,(IF(WEEKDAY(B872)=1,2,IF(WEEKDAY(B872)=7,1,0))))))</f>
        <v>3</v>
      </c>
      <c r="V872" s="328">
        <f>VLOOKUP(C872,METADATA!$A$5:$H$29,IF(E872="HI",2,IF(E872="LO",6,10))+IF(T872=1,2,IF(D872=7,1,(IF(WEEKDAY(B872)=1,2,IF(WEEKDAY(B872)=7,1,0))))))</f>
        <v>3</v>
      </c>
    </row>
    <row r="873" spans="2:22">
      <c r="B873" s="318">
        <f t="shared" si="55"/>
        <v>46149</v>
      </c>
      <c r="C873" s="312">
        <v>5</v>
      </c>
      <c r="D873" s="368">
        <f>IFERROR((INDEX(METADATA!$T$2:$T$20,MATCH(B873,METADATA!$S$2:$S$20,0))),0)</f>
        <v>0</v>
      </c>
      <c r="E873" s="312" t="str">
        <f t="shared" si="52"/>
        <v>LO</v>
      </c>
      <c r="F873" s="369">
        <f>VLOOKUP(C873,METADATA!$A$5:$H$29,IF(E873="HI",2,IF(E873="LO",6,10))+IF(D873=1,2,IF(D873=7,1,(IF(WEEKDAY(B873)=1,2,IF(WEEKDAY(B873)=7,1,0))))))</f>
        <v>3</v>
      </c>
      <c r="G873" s="369">
        <f>VLOOKUP(C873,METADATA!$J$5:$Q$29,IF(E873="HI",2,IF(E873="LO",6,10))+IF(D873=1,2,IF(D873=7,1,(IF(WEEKDAY(B873)=1,2,IF(WEEKDAY(B873)=7,1,0))))))</f>
        <v>3</v>
      </c>
      <c r="H873" s="370">
        <v>12822.345092773438</v>
      </c>
      <c r="I873" s="370">
        <v>1745.2564407587051</v>
      </c>
      <c r="M873" s="371">
        <f t="shared" si="53"/>
        <v>12940.573933260486</v>
      </c>
      <c r="N873" s="329">
        <f t="shared" si="54"/>
        <v>0</v>
      </c>
      <c r="T873" s="331">
        <v>0</v>
      </c>
      <c r="U873" s="328">
        <f>VLOOKUP(C873,METADATA!$J$5:$Q$29,IF(E873="HI",2,IF(E873="LO",6,10))+IF(T873=1,2,IF(D873=7,1,(IF(WEEKDAY(B873)=1,2,IF(WEEKDAY(B873)=7,1,0))))))</f>
        <v>3</v>
      </c>
      <c r="V873" s="328">
        <f>VLOOKUP(C873,METADATA!$A$5:$H$29,IF(E873="HI",2,IF(E873="LO",6,10))+IF(T873=1,2,IF(D873=7,1,(IF(WEEKDAY(B873)=1,2,IF(WEEKDAY(B873)=7,1,0))))))</f>
        <v>3</v>
      </c>
    </row>
    <row r="874" spans="2:22">
      <c r="B874" s="318">
        <f t="shared" si="55"/>
        <v>46149</v>
      </c>
      <c r="C874" s="312">
        <v>6</v>
      </c>
      <c r="D874" s="368">
        <f>IFERROR((INDEX(METADATA!$T$2:$T$20,MATCH(B874,METADATA!$S$2:$S$20,0))),0)</f>
        <v>0</v>
      </c>
      <c r="E874" s="312" t="str">
        <f t="shared" si="52"/>
        <v>LO</v>
      </c>
      <c r="F874" s="369">
        <f>VLOOKUP(C874,METADATA!$A$5:$H$29,IF(E874="HI",2,IF(E874="LO",6,10))+IF(D874=1,2,IF(D874=7,1,(IF(WEEKDAY(B874)=1,2,IF(WEEKDAY(B874)=7,1,0))))))</f>
        <v>2</v>
      </c>
      <c r="G874" s="369">
        <f>VLOOKUP(C874,METADATA!$J$5:$Q$29,IF(E874="HI",2,IF(E874="LO",6,10))+IF(D874=1,2,IF(D874=7,1,(IF(WEEKDAY(B874)=1,2,IF(WEEKDAY(B874)=7,1,0))))))</f>
        <v>2</v>
      </c>
      <c r="H874" s="370">
        <v>12846.644958496094</v>
      </c>
      <c r="I874" s="370">
        <v>1758.5520052909851</v>
      </c>
      <c r="M874" s="371">
        <f t="shared" si="53"/>
        <v>12966.448698273789</v>
      </c>
      <c r="N874" s="329">
        <f t="shared" si="54"/>
        <v>0</v>
      </c>
      <c r="T874" s="331">
        <v>0</v>
      </c>
      <c r="U874" s="328">
        <f>VLOOKUP(C874,METADATA!$J$5:$Q$29,IF(E874="HI",2,IF(E874="LO",6,10))+IF(T874=1,2,IF(D874=7,1,(IF(WEEKDAY(B874)=1,2,IF(WEEKDAY(B874)=7,1,0))))))</f>
        <v>2</v>
      </c>
      <c r="V874" s="328">
        <f>VLOOKUP(C874,METADATA!$A$5:$H$29,IF(E874="HI",2,IF(E874="LO",6,10))+IF(T874=1,2,IF(D874=7,1,(IF(WEEKDAY(B874)=1,2,IF(WEEKDAY(B874)=7,1,0))))))</f>
        <v>2</v>
      </c>
    </row>
    <row r="875" spans="2:22">
      <c r="B875" s="318">
        <f t="shared" si="55"/>
        <v>46149</v>
      </c>
      <c r="C875" s="312">
        <v>7</v>
      </c>
      <c r="D875" s="368">
        <f>IFERROR((INDEX(METADATA!$T$2:$T$20,MATCH(B875,METADATA!$S$2:$S$20,0))),0)</f>
        <v>0</v>
      </c>
      <c r="E875" s="312" t="str">
        <f t="shared" si="52"/>
        <v>LO</v>
      </c>
      <c r="F875" s="369">
        <f>VLOOKUP(C875,METADATA!$A$5:$H$29,IF(E875="HI",2,IF(E875="LO",6,10))+IF(D875=1,2,IF(D875=7,1,(IF(WEEKDAY(B875)=1,2,IF(WEEKDAY(B875)=7,1,0))))))</f>
        <v>1</v>
      </c>
      <c r="G875" s="369">
        <f>VLOOKUP(C875,METADATA!$J$5:$Q$29,IF(E875="HI",2,IF(E875="LO",6,10))+IF(D875=1,2,IF(D875=7,1,(IF(WEEKDAY(B875)=1,2,IF(WEEKDAY(B875)=7,1,0))))))</f>
        <v>1</v>
      </c>
      <c r="H875" s="370">
        <v>12865.750122070313</v>
      </c>
      <c r="I875" s="370">
        <v>1759.6564455032349</v>
      </c>
      <c r="M875" s="371">
        <f t="shared" si="53"/>
        <v>12985.527213392352</v>
      </c>
      <c r="N875" s="329">
        <f t="shared" si="54"/>
        <v>0</v>
      </c>
      <c r="T875" s="331">
        <v>0</v>
      </c>
      <c r="U875" s="328">
        <f>VLOOKUP(C875,METADATA!$J$5:$Q$29,IF(E875="HI",2,IF(E875="LO",6,10))+IF(T875=1,2,IF(D875=7,1,(IF(WEEKDAY(B875)=1,2,IF(WEEKDAY(B875)=7,1,0))))))</f>
        <v>1</v>
      </c>
      <c r="V875" s="328">
        <f>VLOOKUP(C875,METADATA!$A$5:$H$29,IF(E875="HI",2,IF(E875="LO",6,10))+IF(T875=1,2,IF(D875=7,1,(IF(WEEKDAY(B875)=1,2,IF(WEEKDAY(B875)=7,1,0))))))</f>
        <v>1</v>
      </c>
    </row>
    <row r="876" spans="2:22">
      <c r="B876" s="318">
        <f t="shared" si="55"/>
        <v>46149</v>
      </c>
      <c r="C876" s="312">
        <v>8</v>
      </c>
      <c r="D876" s="368">
        <f>IFERROR((INDEX(METADATA!$T$2:$T$20,MATCH(B876,METADATA!$S$2:$S$20,0))),0)</f>
        <v>0</v>
      </c>
      <c r="E876" s="312" t="str">
        <f t="shared" si="52"/>
        <v>LO</v>
      </c>
      <c r="F876" s="369">
        <f>VLOOKUP(C876,METADATA!$A$5:$H$29,IF(E876="HI",2,IF(E876="LO",6,10))+IF(D876=1,2,IF(D876=7,1,(IF(WEEKDAY(B876)=1,2,IF(WEEKDAY(B876)=7,1,0))))))</f>
        <v>1</v>
      </c>
      <c r="G876" s="369">
        <f>VLOOKUP(C876,METADATA!$J$5:$Q$29,IF(E876="HI",2,IF(E876="LO",6,10))+IF(D876=1,2,IF(D876=7,1,(IF(WEEKDAY(B876)=1,2,IF(WEEKDAY(B876)=7,1,0))))))</f>
        <v>1</v>
      </c>
      <c r="H876" s="370">
        <v>11218.177825927734</v>
      </c>
      <c r="I876" s="370">
        <v>1464.0489572908264</v>
      </c>
      <c r="M876" s="371">
        <f t="shared" si="53"/>
        <v>11313.308670918559</v>
      </c>
      <c r="N876" s="329">
        <f t="shared" si="54"/>
        <v>0</v>
      </c>
      <c r="T876" s="331">
        <v>0</v>
      </c>
      <c r="U876" s="328">
        <f>VLOOKUP(C876,METADATA!$J$5:$Q$29,IF(E876="HI",2,IF(E876="LO",6,10))+IF(T876=1,2,IF(D876=7,1,(IF(WEEKDAY(B876)=1,2,IF(WEEKDAY(B876)=7,1,0))))))</f>
        <v>1</v>
      </c>
      <c r="V876" s="328">
        <f>VLOOKUP(C876,METADATA!$A$5:$H$29,IF(E876="HI",2,IF(E876="LO",6,10))+IF(T876=1,2,IF(D876=7,1,(IF(WEEKDAY(B876)=1,2,IF(WEEKDAY(B876)=7,1,0))))))</f>
        <v>1</v>
      </c>
    </row>
    <row r="877" spans="2:22">
      <c r="B877" s="318">
        <f t="shared" si="55"/>
        <v>46149</v>
      </c>
      <c r="C877" s="312">
        <v>9</v>
      </c>
      <c r="D877" s="368">
        <f>IFERROR((INDEX(METADATA!$T$2:$T$20,MATCH(B877,METADATA!$S$2:$S$20,0))),0)</f>
        <v>0</v>
      </c>
      <c r="E877" s="312" t="str">
        <f t="shared" si="52"/>
        <v>LO</v>
      </c>
      <c r="F877" s="369">
        <f>VLOOKUP(C877,METADATA!$A$5:$H$29,IF(E877="HI",2,IF(E877="LO",6,10))+IF(D877=1,2,IF(D877=7,1,(IF(WEEKDAY(B877)=1,2,IF(WEEKDAY(B877)=7,1,0))))))</f>
        <v>2</v>
      </c>
      <c r="G877" s="369">
        <f>VLOOKUP(C877,METADATA!$J$5:$Q$29,IF(E877="HI",2,IF(E877="LO",6,10))+IF(D877=1,2,IF(D877=7,1,(IF(WEEKDAY(B877)=1,2,IF(WEEKDAY(B877)=7,1,0))))))</f>
        <v>2</v>
      </c>
      <c r="H877" s="370">
        <v>10674.752502441406</v>
      </c>
      <c r="I877" s="370">
        <v>1330.199951171875</v>
      </c>
      <c r="M877" s="371">
        <f t="shared" si="53"/>
        <v>10757.312531412143</v>
      </c>
      <c r="N877" s="329">
        <f t="shared" si="54"/>
        <v>0</v>
      </c>
      <c r="T877" s="331">
        <v>0</v>
      </c>
      <c r="U877" s="328">
        <f>VLOOKUP(C877,METADATA!$J$5:$Q$29,IF(E877="HI",2,IF(E877="LO",6,10))+IF(T877=1,2,IF(D877=7,1,(IF(WEEKDAY(B877)=1,2,IF(WEEKDAY(B877)=7,1,0))))))</f>
        <v>2</v>
      </c>
      <c r="V877" s="328">
        <f>VLOOKUP(C877,METADATA!$A$5:$H$29,IF(E877="HI",2,IF(E877="LO",6,10))+IF(T877=1,2,IF(D877=7,1,(IF(WEEKDAY(B877)=1,2,IF(WEEKDAY(B877)=7,1,0))))))</f>
        <v>2</v>
      </c>
    </row>
    <row r="878" spans="2:22">
      <c r="B878" s="318">
        <f t="shared" si="55"/>
        <v>46149</v>
      </c>
      <c r="C878" s="312">
        <v>10</v>
      </c>
      <c r="D878" s="368">
        <f>IFERROR((INDEX(METADATA!$T$2:$T$20,MATCH(B878,METADATA!$S$2:$S$20,0))),0)</f>
        <v>0</v>
      </c>
      <c r="E878" s="312" t="str">
        <f t="shared" si="52"/>
        <v>LO</v>
      </c>
      <c r="F878" s="369">
        <f>VLOOKUP(C878,METADATA!$A$5:$H$29,IF(E878="HI",2,IF(E878="LO",6,10))+IF(D878=1,2,IF(D878=7,1,(IF(WEEKDAY(B878)=1,2,IF(WEEKDAY(B878)=7,1,0))))))</f>
        <v>2</v>
      </c>
      <c r="G878" s="369">
        <f>VLOOKUP(C878,METADATA!$J$5:$Q$29,IF(E878="HI",2,IF(E878="LO",6,10))+IF(D878=1,2,IF(D878=7,1,(IF(WEEKDAY(B878)=1,2,IF(WEEKDAY(B878)=7,1,0))))))</f>
        <v>2</v>
      </c>
      <c r="H878" s="370">
        <v>10683.807342529297</v>
      </c>
      <c r="I878" s="370">
        <v>1182.7200317382813</v>
      </c>
      <c r="M878" s="371">
        <f t="shared" si="53"/>
        <v>10749.072797490857</v>
      </c>
      <c r="N878" s="329">
        <f t="shared" si="54"/>
        <v>0</v>
      </c>
      <c r="T878" s="331">
        <v>0</v>
      </c>
      <c r="U878" s="328">
        <f>VLOOKUP(C878,METADATA!$J$5:$Q$29,IF(E878="HI",2,IF(E878="LO",6,10))+IF(T878=1,2,IF(D878=7,1,(IF(WEEKDAY(B878)=1,2,IF(WEEKDAY(B878)=7,1,0))))))</f>
        <v>2</v>
      </c>
      <c r="V878" s="328">
        <f>VLOOKUP(C878,METADATA!$A$5:$H$29,IF(E878="HI",2,IF(E878="LO",6,10))+IF(T878=1,2,IF(D878=7,1,(IF(WEEKDAY(B878)=1,2,IF(WEEKDAY(B878)=7,1,0))))))</f>
        <v>2</v>
      </c>
    </row>
    <row r="879" spans="2:22">
      <c r="B879" s="318">
        <f t="shared" si="55"/>
        <v>46149</v>
      </c>
      <c r="C879" s="312">
        <v>11</v>
      </c>
      <c r="D879" s="368">
        <f>IFERROR((INDEX(METADATA!$T$2:$T$20,MATCH(B879,METADATA!$S$2:$S$20,0))),0)</f>
        <v>0</v>
      </c>
      <c r="E879" s="312" t="str">
        <f t="shared" si="52"/>
        <v>LO</v>
      </c>
      <c r="F879" s="369">
        <f>VLOOKUP(C879,METADATA!$A$5:$H$29,IF(E879="HI",2,IF(E879="LO",6,10))+IF(D879=1,2,IF(D879=7,1,(IF(WEEKDAY(B879)=1,2,IF(WEEKDAY(B879)=7,1,0))))))</f>
        <v>2</v>
      </c>
      <c r="G879" s="369">
        <f>VLOOKUP(C879,METADATA!$J$5:$Q$29,IF(E879="HI",2,IF(E879="LO",6,10))+IF(D879=1,2,IF(D879=7,1,(IF(WEEKDAY(B879)=1,2,IF(WEEKDAY(B879)=7,1,0))))))</f>
        <v>2</v>
      </c>
      <c r="H879" s="370">
        <v>12479.320007324219</v>
      </c>
      <c r="I879" s="370">
        <v>1720.5105133056641</v>
      </c>
      <c r="M879" s="371">
        <f t="shared" si="53"/>
        <v>12597.364179525726</v>
      </c>
      <c r="N879" s="329">
        <f t="shared" si="54"/>
        <v>0</v>
      </c>
      <c r="T879" s="331">
        <v>0</v>
      </c>
      <c r="U879" s="328">
        <f>VLOOKUP(C879,METADATA!$J$5:$Q$29,IF(E879="HI",2,IF(E879="LO",6,10))+IF(T879=1,2,IF(D879=7,1,(IF(WEEKDAY(B879)=1,2,IF(WEEKDAY(B879)=7,1,0))))))</f>
        <v>2</v>
      </c>
      <c r="V879" s="328">
        <f>VLOOKUP(C879,METADATA!$A$5:$H$29,IF(E879="HI",2,IF(E879="LO",6,10))+IF(T879=1,2,IF(D879=7,1,(IF(WEEKDAY(B879)=1,2,IF(WEEKDAY(B879)=7,1,0))))))</f>
        <v>2</v>
      </c>
    </row>
    <row r="880" spans="2:22">
      <c r="B880" s="318">
        <f t="shared" si="55"/>
        <v>46149</v>
      </c>
      <c r="C880" s="312">
        <v>12</v>
      </c>
      <c r="D880" s="368">
        <f>IFERROR((INDEX(METADATA!$T$2:$T$20,MATCH(B880,METADATA!$S$2:$S$20,0))),0)</f>
        <v>0</v>
      </c>
      <c r="E880" s="312" t="str">
        <f t="shared" si="52"/>
        <v>LO</v>
      </c>
      <c r="F880" s="369">
        <f>VLOOKUP(C880,METADATA!$A$5:$H$29,IF(E880="HI",2,IF(E880="LO",6,10))+IF(D880=1,2,IF(D880=7,1,(IF(WEEKDAY(B880)=1,2,IF(WEEKDAY(B880)=7,1,0))))))</f>
        <v>2</v>
      </c>
      <c r="G880" s="369">
        <f>VLOOKUP(C880,METADATA!$J$5:$Q$29,IF(E880="HI",2,IF(E880="LO",6,10))+IF(D880=1,2,IF(D880=7,1,(IF(WEEKDAY(B880)=1,2,IF(WEEKDAY(B880)=7,1,0))))))</f>
        <v>2</v>
      </c>
      <c r="H880" s="370">
        <v>12567.640258789063</v>
      </c>
      <c r="I880" s="370">
        <v>1694.0860075950623</v>
      </c>
      <c r="M880" s="371">
        <f t="shared" si="53"/>
        <v>12681.305495707647</v>
      </c>
      <c r="N880" s="329">
        <f t="shared" si="54"/>
        <v>0</v>
      </c>
      <c r="T880" s="331">
        <v>0</v>
      </c>
      <c r="U880" s="328">
        <f>VLOOKUP(C880,METADATA!$J$5:$Q$29,IF(E880="HI",2,IF(E880="LO",6,10))+IF(T880=1,2,IF(D880=7,1,(IF(WEEKDAY(B880)=1,2,IF(WEEKDAY(B880)=7,1,0))))))</f>
        <v>2</v>
      </c>
      <c r="V880" s="328">
        <f>VLOOKUP(C880,METADATA!$A$5:$H$29,IF(E880="HI",2,IF(E880="LO",6,10))+IF(T880=1,2,IF(D880=7,1,(IF(WEEKDAY(B880)=1,2,IF(WEEKDAY(B880)=7,1,0))))))</f>
        <v>2</v>
      </c>
    </row>
    <row r="881" spans="2:22">
      <c r="B881" s="318">
        <f t="shared" si="55"/>
        <v>46149</v>
      </c>
      <c r="C881" s="312">
        <v>13</v>
      </c>
      <c r="D881" s="368">
        <f>IFERROR((INDEX(METADATA!$T$2:$T$20,MATCH(B881,METADATA!$S$2:$S$20,0))),0)</f>
        <v>0</v>
      </c>
      <c r="E881" s="312" t="str">
        <f t="shared" si="52"/>
        <v>LO</v>
      </c>
      <c r="F881" s="369">
        <f>VLOOKUP(C881,METADATA!$A$5:$H$29,IF(E881="HI",2,IF(E881="LO",6,10))+IF(D881=1,2,IF(D881=7,1,(IF(WEEKDAY(B881)=1,2,IF(WEEKDAY(B881)=7,1,0))))))</f>
        <v>2</v>
      </c>
      <c r="G881" s="369">
        <f>VLOOKUP(C881,METADATA!$J$5:$Q$29,IF(E881="HI",2,IF(E881="LO",6,10))+IF(D881=1,2,IF(D881=7,1,(IF(WEEKDAY(B881)=1,2,IF(WEEKDAY(B881)=7,1,0))))))</f>
        <v>2</v>
      </c>
      <c r="H881" s="370">
        <v>12680.2451171875</v>
      </c>
      <c r="I881" s="370">
        <v>1802.4975280761719</v>
      </c>
      <c r="M881" s="371">
        <f t="shared" si="53"/>
        <v>12807.716953878944</v>
      </c>
      <c r="N881" s="329">
        <f t="shared" si="54"/>
        <v>0</v>
      </c>
      <c r="T881" s="331">
        <v>0</v>
      </c>
      <c r="U881" s="328">
        <f>VLOOKUP(C881,METADATA!$J$5:$Q$29,IF(E881="HI",2,IF(E881="LO",6,10))+IF(T881=1,2,IF(D881=7,1,(IF(WEEKDAY(B881)=1,2,IF(WEEKDAY(B881)=7,1,0))))))</f>
        <v>2</v>
      </c>
      <c r="V881" s="328">
        <f>VLOOKUP(C881,METADATA!$A$5:$H$29,IF(E881="HI",2,IF(E881="LO",6,10))+IF(T881=1,2,IF(D881=7,1,(IF(WEEKDAY(B881)=1,2,IF(WEEKDAY(B881)=7,1,0))))))</f>
        <v>2</v>
      </c>
    </row>
    <row r="882" spans="2:22">
      <c r="B882" s="318">
        <f t="shared" si="55"/>
        <v>46149</v>
      </c>
      <c r="C882" s="312">
        <v>14</v>
      </c>
      <c r="D882" s="368">
        <f>IFERROR((INDEX(METADATA!$T$2:$T$20,MATCH(B882,METADATA!$S$2:$S$20,0))),0)</f>
        <v>0</v>
      </c>
      <c r="E882" s="312" t="str">
        <f t="shared" si="52"/>
        <v>LO</v>
      </c>
      <c r="F882" s="369">
        <f>VLOOKUP(C882,METADATA!$A$5:$H$29,IF(E882="HI",2,IF(E882="LO",6,10))+IF(D882=1,2,IF(D882=7,1,(IF(WEEKDAY(B882)=1,2,IF(WEEKDAY(B882)=7,1,0))))))</f>
        <v>2</v>
      </c>
      <c r="G882" s="369">
        <f>VLOOKUP(C882,METADATA!$J$5:$Q$29,IF(E882="HI",2,IF(E882="LO",6,10))+IF(D882=1,2,IF(D882=7,1,(IF(WEEKDAY(B882)=1,2,IF(WEEKDAY(B882)=7,1,0))))))</f>
        <v>2</v>
      </c>
      <c r="H882" s="370">
        <v>12640.975036621094</v>
      </c>
      <c r="I882" s="370">
        <v>1923.3355588912964</v>
      </c>
      <c r="M882" s="371">
        <f t="shared" si="53"/>
        <v>12786.456489136204</v>
      </c>
      <c r="N882" s="329">
        <f t="shared" si="54"/>
        <v>0</v>
      </c>
      <c r="T882" s="331">
        <v>0</v>
      </c>
      <c r="U882" s="328">
        <f>VLOOKUP(C882,METADATA!$J$5:$Q$29,IF(E882="HI",2,IF(E882="LO",6,10))+IF(T882=1,2,IF(D882=7,1,(IF(WEEKDAY(B882)=1,2,IF(WEEKDAY(B882)=7,1,0))))))</f>
        <v>2</v>
      </c>
      <c r="V882" s="328">
        <f>VLOOKUP(C882,METADATA!$A$5:$H$29,IF(E882="HI",2,IF(E882="LO",6,10))+IF(T882=1,2,IF(D882=7,1,(IF(WEEKDAY(B882)=1,2,IF(WEEKDAY(B882)=7,1,0))))))</f>
        <v>2</v>
      </c>
    </row>
    <row r="883" spans="2:22">
      <c r="B883" s="318">
        <f t="shared" si="55"/>
        <v>46149</v>
      </c>
      <c r="C883" s="312">
        <v>15</v>
      </c>
      <c r="D883" s="368">
        <f>IFERROR((INDEX(METADATA!$T$2:$T$20,MATCH(B883,METADATA!$S$2:$S$20,0))),0)</f>
        <v>0</v>
      </c>
      <c r="E883" s="312" t="str">
        <f t="shared" si="52"/>
        <v>LO</v>
      </c>
      <c r="F883" s="369">
        <f>VLOOKUP(C883,METADATA!$A$5:$H$29,IF(E883="HI",2,IF(E883="LO",6,10))+IF(D883=1,2,IF(D883=7,1,(IF(WEEKDAY(B883)=1,2,IF(WEEKDAY(B883)=7,1,0))))))</f>
        <v>2</v>
      </c>
      <c r="G883" s="369">
        <f>VLOOKUP(C883,METADATA!$J$5:$Q$29,IF(E883="HI",2,IF(E883="LO",6,10))+IF(D883=1,2,IF(D883=7,1,(IF(WEEKDAY(B883)=1,2,IF(WEEKDAY(B883)=7,1,0))))))</f>
        <v>2</v>
      </c>
      <c r="H883" s="370">
        <v>12713.605041503906</v>
      </c>
      <c r="I883" s="370">
        <v>1922.952983379364</v>
      </c>
      <c r="M883" s="371">
        <f t="shared" si="53"/>
        <v>12858.207547229946</v>
      </c>
      <c r="N883" s="329">
        <f t="shared" si="54"/>
        <v>0</v>
      </c>
      <c r="T883" s="331">
        <v>0</v>
      </c>
      <c r="U883" s="328">
        <f>VLOOKUP(C883,METADATA!$J$5:$Q$29,IF(E883="HI",2,IF(E883="LO",6,10))+IF(T883=1,2,IF(D883=7,1,(IF(WEEKDAY(B883)=1,2,IF(WEEKDAY(B883)=7,1,0))))))</f>
        <v>2</v>
      </c>
      <c r="V883" s="328">
        <f>VLOOKUP(C883,METADATA!$A$5:$H$29,IF(E883="HI",2,IF(E883="LO",6,10))+IF(T883=1,2,IF(D883=7,1,(IF(WEEKDAY(B883)=1,2,IF(WEEKDAY(B883)=7,1,0))))))</f>
        <v>2</v>
      </c>
    </row>
    <row r="884" spans="2:22">
      <c r="B884" s="318">
        <f t="shared" si="55"/>
        <v>46149</v>
      </c>
      <c r="C884" s="312">
        <v>16</v>
      </c>
      <c r="D884" s="368">
        <f>IFERROR((INDEX(METADATA!$T$2:$T$20,MATCH(B884,METADATA!$S$2:$S$20,0))),0)</f>
        <v>0</v>
      </c>
      <c r="E884" s="312" t="str">
        <f t="shared" si="52"/>
        <v>LO</v>
      </c>
      <c r="F884" s="369">
        <f>VLOOKUP(C884,METADATA!$A$5:$H$29,IF(E884="HI",2,IF(E884="LO",6,10))+IF(D884=1,2,IF(D884=7,1,(IF(WEEKDAY(B884)=1,2,IF(WEEKDAY(B884)=7,1,0))))))</f>
        <v>2</v>
      </c>
      <c r="G884" s="369">
        <f>VLOOKUP(C884,METADATA!$J$5:$Q$29,IF(E884="HI",2,IF(E884="LO",6,10))+IF(D884=1,2,IF(D884=7,1,(IF(WEEKDAY(B884)=1,2,IF(WEEKDAY(B884)=7,1,0))))))</f>
        <v>2</v>
      </c>
      <c r="H884" s="370">
        <v>12574.789916992188</v>
      </c>
      <c r="I884" s="370">
        <v>1726.8229532241821</v>
      </c>
      <c r="M884" s="371">
        <f t="shared" si="53"/>
        <v>12692.803432192206</v>
      </c>
      <c r="N884" s="329">
        <f t="shared" si="54"/>
        <v>0</v>
      </c>
      <c r="T884" s="331">
        <v>0</v>
      </c>
      <c r="U884" s="328">
        <f>VLOOKUP(C884,METADATA!$J$5:$Q$29,IF(E884="HI",2,IF(E884="LO",6,10))+IF(T884=1,2,IF(D884=7,1,(IF(WEEKDAY(B884)=1,2,IF(WEEKDAY(B884)=7,1,0))))))</f>
        <v>2</v>
      </c>
      <c r="V884" s="328">
        <f>VLOOKUP(C884,METADATA!$A$5:$H$29,IF(E884="HI",2,IF(E884="LO",6,10))+IF(T884=1,2,IF(D884=7,1,(IF(WEEKDAY(B884)=1,2,IF(WEEKDAY(B884)=7,1,0))))))</f>
        <v>2</v>
      </c>
    </row>
    <row r="885" spans="2:22">
      <c r="B885" s="318">
        <f t="shared" si="55"/>
        <v>46149</v>
      </c>
      <c r="C885" s="312">
        <v>17</v>
      </c>
      <c r="D885" s="368">
        <f>IFERROR((INDEX(METADATA!$T$2:$T$20,MATCH(B885,METADATA!$S$2:$S$20,0))),0)</f>
        <v>0</v>
      </c>
      <c r="E885" s="312" t="str">
        <f t="shared" si="52"/>
        <v>LO</v>
      </c>
      <c r="F885" s="369">
        <f>VLOOKUP(C885,METADATA!$A$5:$H$29,IF(E885="HI",2,IF(E885="LO",6,10))+IF(D885=1,2,IF(D885=7,1,(IF(WEEKDAY(B885)=1,2,IF(WEEKDAY(B885)=7,1,0))))))</f>
        <v>2</v>
      </c>
      <c r="G885" s="369">
        <f>VLOOKUP(C885,METADATA!$J$5:$Q$29,IF(E885="HI",2,IF(E885="LO",6,10))+IF(D885=1,2,IF(D885=7,1,(IF(WEEKDAY(B885)=1,2,IF(WEEKDAY(B885)=7,1,0))))))</f>
        <v>2</v>
      </c>
      <c r="H885" s="370">
        <v>12614.860107421875</v>
      </c>
      <c r="I885" s="370">
        <v>1779.0955142974854</v>
      </c>
      <c r="M885" s="371">
        <f t="shared" si="53"/>
        <v>12739.69687154358</v>
      </c>
      <c r="N885" s="329">
        <f t="shared" si="54"/>
        <v>0</v>
      </c>
      <c r="T885" s="331">
        <v>0</v>
      </c>
      <c r="U885" s="328">
        <f>VLOOKUP(C885,METADATA!$J$5:$Q$29,IF(E885="HI",2,IF(E885="LO",6,10))+IF(T885=1,2,IF(D885=7,1,(IF(WEEKDAY(B885)=1,2,IF(WEEKDAY(B885)=7,1,0))))))</f>
        <v>2</v>
      </c>
      <c r="V885" s="328">
        <f>VLOOKUP(C885,METADATA!$A$5:$H$29,IF(E885="HI",2,IF(E885="LO",6,10))+IF(T885=1,2,IF(D885=7,1,(IF(WEEKDAY(B885)=1,2,IF(WEEKDAY(B885)=7,1,0))))))</f>
        <v>2</v>
      </c>
    </row>
    <row r="886" spans="2:22">
      <c r="B886" s="318">
        <f t="shared" si="55"/>
        <v>46149</v>
      </c>
      <c r="C886" s="312">
        <v>18</v>
      </c>
      <c r="D886" s="368">
        <f>IFERROR((INDEX(METADATA!$T$2:$T$20,MATCH(B886,METADATA!$S$2:$S$20,0))),0)</f>
        <v>0</v>
      </c>
      <c r="E886" s="312" t="str">
        <f t="shared" si="52"/>
        <v>LO</v>
      </c>
      <c r="F886" s="369">
        <f>VLOOKUP(C886,METADATA!$A$5:$H$29,IF(E886="HI",2,IF(E886="LO",6,10))+IF(D886=1,2,IF(D886=7,1,(IF(WEEKDAY(B886)=1,2,IF(WEEKDAY(B886)=7,1,0))))))</f>
        <v>1</v>
      </c>
      <c r="G886" s="369">
        <f>VLOOKUP(C886,METADATA!$J$5:$Q$29,IF(E886="HI",2,IF(E886="LO",6,10))+IF(D886=1,2,IF(D886=7,1,(IF(WEEKDAY(B886)=1,2,IF(WEEKDAY(B886)=7,1,0))))))</f>
        <v>1</v>
      </c>
      <c r="H886" s="370">
        <v>12526.625183105469</v>
      </c>
      <c r="I886" s="370">
        <v>1731.0975112915039</v>
      </c>
      <c r="M886" s="371">
        <f t="shared" si="53"/>
        <v>12645.672661887613</v>
      </c>
      <c r="N886" s="329">
        <f t="shared" si="54"/>
        <v>0</v>
      </c>
      <c r="T886" s="331">
        <v>0</v>
      </c>
      <c r="U886" s="328">
        <f>VLOOKUP(C886,METADATA!$J$5:$Q$29,IF(E886="HI",2,IF(E886="LO",6,10))+IF(T886=1,2,IF(D886=7,1,(IF(WEEKDAY(B886)=1,2,IF(WEEKDAY(B886)=7,1,0))))))</f>
        <v>1</v>
      </c>
      <c r="V886" s="328">
        <f>VLOOKUP(C886,METADATA!$A$5:$H$29,IF(E886="HI",2,IF(E886="LO",6,10))+IF(T886=1,2,IF(D886=7,1,(IF(WEEKDAY(B886)=1,2,IF(WEEKDAY(B886)=7,1,0))))))</f>
        <v>1</v>
      </c>
    </row>
    <row r="887" spans="2:22">
      <c r="B887" s="318">
        <f t="shared" si="55"/>
        <v>46149</v>
      </c>
      <c r="C887" s="312">
        <v>19</v>
      </c>
      <c r="D887" s="368">
        <f>IFERROR((INDEX(METADATA!$T$2:$T$20,MATCH(B887,METADATA!$S$2:$S$20,0))),0)</f>
        <v>0</v>
      </c>
      <c r="E887" s="312" t="str">
        <f t="shared" si="52"/>
        <v>LO</v>
      </c>
      <c r="F887" s="369">
        <f>VLOOKUP(C887,METADATA!$A$5:$H$29,IF(E887="HI",2,IF(E887="LO",6,10))+IF(D887=1,2,IF(D887=7,1,(IF(WEEKDAY(B887)=1,2,IF(WEEKDAY(B887)=7,1,0))))))</f>
        <v>1</v>
      </c>
      <c r="G887" s="369">
        <f>VLOOKUP(C887,METADATA!$J$5:$Q$29,IF(E887="HI",2,IF(E887="LO",6,10))+IF(D887=1,2,IF(D887=7,1,(IF(WEEKDAY(B887)=1,2,IF(WEEKDAY(B887)=7,1,0))))))</f>
        <v>1</v>
      </c>
      <c r="H887" s="370">
        <v>12572.664978027344</v>
      </c>
      <c r="I887" s="370">
        <v>1734.1675086021423</v>
      </c>
      <c r="M887" s="371">
        <f t="shared" si="53"/>
        <v>12691.69971271014</v>
      </c>
      <c r="N887" s="329">
        <f t="shared" si="54"/>
        <v>0</v>
      </c>
      <c r="T887" s="331">
        <v>0</v>
      </c>
      <c r="U887" s="328">
        <f>VLOOKUP(C887,METADATA!$J$5:$Q$29,IF(E887="HI",2,IF(E887="LO",6,10))+IF(T887=1,2,IF(D887=7,1,(IF(WEEKDAY(B887)=1,2,IF(WEEKDAY(B887)=7,1,0))))))</f>
        <v>1</v>
      </c>
      <c r="V887" s="328">
        <f>VLOOKUP(C887,METADATA!$A$5:$H$29,IF(E887="HI",2,IF(E887="LO",6,10))+IF(T887=1,2,IF(D887=7,1,(IF(WEEKDAY(B887)=1,2,IF(WEEKDAY(B887)=7,1,0))))))</f>
        <v>1</v>
      </c>
    </row>
    <row r="888" spans="2:22">
      <c r="B888" s="318">
        <f t="shared" si="55"/>
        <v>46149</v>
      </c>
      <c r="C888" s="312">
        <v>20</v>
      </c>
      <c r="D888" s="368">
        <f>IFERROR((INDEX(METADATA!$T$2:$T$20,MATCH(B888,METADATA!$S$2:$S$20,0))),0)</f>
        <v>0</v>
      </c>
      <c r="E888" s="312" t="str">
        <f t="shared" si="52"/>
        <v>LO</v>
      </c>
      <c r="F888" s="369">
        <f>VLOOKUP(C888,METADATA!$A$5:$H$29,IF(E888="HI",2,IF(E888="LO",6,10))+IF(D888=1,2,IF(D888=7,1,(IF(WEEKDAY(B888)=1,2,IF(WEEKDAY(B888)=7,1,0))))))</f>
        <v>1</v>
      </c>
      <c r="G888" s="369">
        <f>VLOOKUP(C888,METADATA!$J$5:$Q$29,IF(E888="HI",2,IF(E888="LO",6,10))+IF(D888=1,2,IF(D888=7,1,(IF(WEEKDAY(B888)=1,2,IF(WEEKDAY(B888)=7,1,0))))))</f>
        <v>1</v>
      </c>
      <c r="H888" s="370">
        <v>12593.484924316406</v>
      </c>
      <c r="I888" s="370">
        <v>1821.5275020599365</v>
      </c>
      <c r="M888" s="371">
        <f t="shared" si="53"/>
        <v>12724.536336532869</v>
      </c>
      <c r="N888" s="329">
        <f t="shared" si="54"/>
        <v>0</v>
      </c>
      <c r="T888" s="331">
        <v>0</v>
      </c>
      <c r="U888" s="328">
        <f>VLOOKUP(C888,METADATA!$J$5:$Q$29,IF(E888="HI",2,IF(E888="LO",6,10))+IF(T888=1,2,IF(D888=7,1,(IF(WEEKDAY(B888)=1,2,IF(WEEKDAY(B888)=7,1,0))))))</f>
        <v>1</v>
      </c>
      <c r="V888" s="328">
        <f>VLOOKUP(C888,METADATA!$A$5:$H$29,IF(E888="HI",2,IF(E888="LO",6,10))+IF(T888=1,2,IF(D888=7,1,(IF(WEEKDAY(B888)=1,2,IF(WEEKDAY(B888)=7,1,0))))))</f>
        <v>1</v>
      </c>
    </row>
    <row r="889" spans="2:22">
      <c r="B889" s="318">
        <f t="shared" si="55"/>
        <v>46149</v>
      </c>
      <c r="C889" s="312">
        <v>21</v>
      </c>
      <c r="D889" s="368">
        <f>IFERROR((INDEX(METADATA!$T$2:$T$20,MATCH(B889,METADATA!$S$2:$S$20,0))),0)</f>
        <v>0</v>
      </c>
      <c r="E889" s="312" t="str">
        <f t="shared" si="52"/>
        <v>LO</v>
      </c>
      <c r="F889" s="369">
        <f>VLOOKUP(C889,METADATA!$A$5:$H$29,IF(E889="HI",2,IF(E889="LO",6,10))+IF(D889=1,2,IF(D889=7,1,(IF(WEEKDAY(B889)=1,2,IF(WEEKDAY(B889)=7,1,0))))))</f>
        <v>2</v>
      </c>
      <c r="G889" s="369">
        <f>VLOOKUP(C889,METADATA!$J$5:$Q$29,IF(E889="HI",2,IF(E889="LO",6,10))+IF(D889=1,2,IF(D889=7,1,(IF(WEEKDAY(B889)=1,2,IF(WEEKDAY(B889)=7,1,0))))))</f>
        <v>2</v>
      </c>
      <c r="H889" s="370">
        <v>12402.015319824219</v>
      </c>
      <c r="I889" s="370">
        <v>1794.3369932174683</v>
      </c>
      <c r="M889" s="371">
        <f t="shared" si="53"/>
        <v>12531.146365691502</v>
      </c>
      <c r="N889" s="329">
        <f t="shared" si="54"/>
        <v>0</v>
      </c>
      <c r="T889" s="331">
        <v>0</v>
      </c>
      <c r="U889" s="328">
        <f>VLOOKUP(C889,METADATA!$J$5:$Q$29,IF(E889="HI",2,IF(E889="LO",6,10))+IF(T889=1,2,IF(D889=7,1,(IF(WEEKDAY(B889)=1,2,IF(WEEKDAY(B889)=7,1,0))))))</f>
        <v>2</v>
      </c>
      <c r="V889" s="328">
        <f>VLOOKUP(C889,METADATA!$A$5:$H$29,IF(E889="HI",2,IF(E889="LO",6,10))+IF(T889=1,2,IF(D889=7,1,(IF(WEEKDAY(B889)=1,2,IF(WEEKDAY(B889)=7,1,0))))))</f>
        <v>2</v>
      </c>
    </row>
    <row r="890" spans="2:22">
      <c r="B890" s="318">
        <f t="shared" si="55"/>
        <v>46149</v>
      </c>
      <c r="C890" s="312">
        <v>22</v>
      </c>
      <c r="D890" s="368">
        <f>IFERROR((INDEX(METADATA!$T$2:$T$20,MATCH(B890,METADATA!$S$2:$S$20,0))),0)</f>
        <v>0</v>
      </c>
      <c r="E890" s="312" t="str">
        <f t="shared" si="52"/>
        <v>LO</v>
      </c>
      <c r="F890" s="369">
        <f>VLOOKUP(C890,METADATA!$A$5:$H$29,IF(E890="HI",2,IF(E890="LO",6,10))+IF(D890=1,2,IF(D890=7,1,(IF(WEEKDAY(B890)=1,2,IF(WEEKDAY(B890)=7,1,0))))))</f>
        <v>3</v>
      </c>
      <c r="G890" s="369">
        <f>VLOOKUP(C890,METADATA!$J$5:$Q$29,IF(E890="HI",2,IF(E890="LO",6,10))+IF(D890=1,2,IF(D890=7,1,(IF(WEEKDAY(B890)=1,2,IF(WEEKDAY(B890)=7,1,0))))))</f>
        <v>3</v>
      </c>
      <c r="H890" s="370">
        <v>12613.184753417969</v>
      </c>
      <c r="I890" s="370">
        <v>1975.9210090637207</v>
      </c>
      <c r="M890" s="371">
        <f t="shared" si="53"/>
        <v>12767.015839964908</v>
      </c>
      <c r="N890" s="329">
        <f t="shared" si="54"/>
        <v>0</v>
      </c>
      <c r="T890" s="331">
        <v>0</v>
      </c>
      <c r="U890" s="328">
        <f>VLOOKUP(C890,METADATA!$J$5:$Q$29,IF(E890="HI",2,IF(E890="LO",6,10))+IF(T890=1,2,IF(D890=7,1,(IF(WEEKDAY(B890)=1,2,IF(WEEKDAY(B890)=7,1,0))))))</f>
        <v>3</v>
      </c>
      <c r="V890" s="328">
        <f>VLOOKUP(C890,METADATA!$A$5:$H$29,IF(E890="HI",2,IF(E890="LO",6,10))+IF(T890=1,2,IF(D890=7,1,(IF(WEEKDAY(B890)=1,2,IF(WEEKDAY(B890)=7,1,0))))))</f>
        <v>3</v>
      </c>
    </row>
    <row r="891" spans="2:22">
      <c r="B891" s="318">
        <f t="shared" si="55"/>
        <v>46149</v>
      </c>
      <c r="C891" s="312">
        <v>23</v>
      </c>
      <c r="D891" s="368">
        <f>IFERROR((INDEX(METADATA!$T$2:$T$20,MATCH(B891,METADATA!$S$2:$S$20,0))),0)</f>
        <v>0</v>
      </c>
      <c r="E891" s="312" t="str">
        <f t="shared" si="52"/>
        <v>LO</v>
      </c>
      <c r="F891" s="369">
        <f>VLOOKUP(C891,METADATA!$A$5:$H$29,IF(E891="HI",2,IF(E891="LO",6,10))+IF(D891=1,2,IF(D891=7,1,(IF(WEEKDAY(B891)=1,2,IF(WEEKDAY(B891)=7,1,0))))))</f>
        <v>3</v>
      </c>
      <c r="G891" s="369">
        <f>VLOOKUP(C891,METADATA!$J$5:$Q$29,IF(E891="HI",2,IF(E891="LO",6,10))+IF(D891=1,2,IF(D891=7,1,(IF(WEEKDAY(B891)=1,2,IF(WEEKDAY(B891)=7,1,0))))))</f>
        <v>3</v>
      </c>
      <c r="H891" s="370">
        <v>12614.785217285156</v>
      </c>
      <c r="I891" s="370">
        <v>1922.6865730285645</v>
      </c>
      <c r="M891" s="371">
        <f t="shared" si="53"/>
        <v>12760.467457594978</v>
      </c>
      <c r="N891" s="329">
        <f t="shared" si="54"/>
        <v>0</v>
      </c>
      <c r="T891" s="331">
        <v>0</v>
      </c>
      <c r="U891" s="328">
        <f>VLOOKUP(C891,METADATA!$J$5:$Q$29,IF(E891="HI",2,IF(E891="LO",6,10))+IF(T891=1,2,IF(D891=7,1,(IF(WEEKDAY(B891)=1,2,IF(WEEKDAY(B891)=7,1,0))))))</f>
        <v>3</v>
      </c>
      <c r="V891" s="328">
        <f>VLOOKUP(C891,METADATA!$A$5:$H$29,IF(E891="HI",2,IF(E891="LO",6,10))+IF(T891=1,2,IF(D891=7,1,(IF(WEEKDAY(B891)=1,2,IF(WEEKDAY(B891)=7,1,0))))))</f>
        <v>3</v>
      </c>
    </row>
    <row r="892" spans="2:22">
      <c r="B892" s="318">
        <f t="shared" si="55"/>
        <v>46150</v>
      </c>
      <c r="C892" s="312">
        <v>0</v>
      </c>
      <c r="D892" s="368">
        <f>IFERROR((INDEX(METADATA!$T$2:$T$20,MATCH(B892,METADATA!$S$2:$S$20,0))),0)</f>
        <v>0</v>
      </c>
      <c r="E892" s="312" t="str">
        <f t="shared" si="52"/>
        <v>LO</v>
      </c>
      <c r="F892" s="369">
        <f>VLOOKUP(C892,METADATA!$A$5:$H$29,IF(E892="HI",2,IF(E892="LO",6,10))+IF(D892=1,2,IF(D892=7,1,(IF(WEEKDAY(B892)=1,2,IF(WEEKDAY(B892)=7,1,0))))))</f>
        <v>3</v>
      </c>
      <c r="G892" s="369">
        <f>VLOOKUP(C892,METADATA!$J$5:$Q$29,IF(E892="HI",2,IF(E892="LO",6,10))+IF(D892=1,2,IF(D892=7,1,(IF(WEEKDAY(B892)=1,2,IF(WEEKDAY(B892)=7,1,0))))))</f>
        <v>3</v>
      </c>
      <c r="H892" s="370">
        <v>12516.744934082031</v>
      </c>
      <c r="I892" s="370">
        <v>1847.3520107269287</v>
      </c>
      <c r="M892" s="371">
        <f t="shared" si="53"/>
        <v>12652.336274238249</v>
      </c>
      <c r="N892" s="329">
        <f t="shared" si="54"/>
        <v>0</v>
      </c>
      <c r="T892" s="331">
        <v>0</v>
      </c>
      <c r="U892" s="328">
        <f>VLOOKUP(C892,METADATA!$J$5:$Q$29,IF(E892="HI",2,IF(E892="LO",6,10))+IF(T892=1,2,IF(D892=7,1,(IF(WEEKDAY(B892)=1,2,IF(WEEKDAY(B892)=7,1,0))))))</f>
        <v>3</v>
      </c>
      <c r="V892" s="328">
        <f>VLOOKUP(C892,METADATA!$A$5:$H$29,IF(E892="HI",2,IF(E892="LO",6,10))+IF(T892=1,2,IF(D892=7,1,(IF(WEEKDAY(B892)=1,2,IF(WEEKDAY(B892)=7,1,0))))))</f>
        <v>3</v>
      </c>
    </row>
    <row r="893" spans="2:22">
      <c r="B893" s="318">
        <f t="shared" si="55"/>
        <v>46150</v>
      </c>
      <c r="C893" s="312">
        <v>1</v>
      </c>
      <c r="D893" s="368">
        <f>IFERROR((INDEX(METADATA!$T$2:$T$20,MATCH(B893,METADATA!$S$2:$S$20,0))),0)</f>
        <v>0</v>
      </c>
      <c r="E893" s="312" t="str">
        <f t="shared" si="52"/>
        <v>LO</v>
      </c>
      <c r="F893" s="369">
        <f>VLOOKUP(C893,METADATA!$A$5:$H$29,IF(E893="HI",2,IF(E893="LO",6,10))+IF(D893=1,2,IF(D893=7,1,(IF(WEEKDAY(B893)=1,2,IF(WEEKDAY(B893)=7,1,0))))))</f>
        <v>3</v>
      </c>
      <c r="G893" s="369">
        <f>VLOOKUP(C893,METADATA!$J$5:$Q$29,IF(E893="HI",2,IF(E893="LO",6,10))+IF(D893=1,2,IF(D893=7,1,(IF(WEEKDAY(B893)=1,2,IF(WEEKDAY(B893)=7,1,0))))))</f>
        <v>3</v>
      </c>
      <c r="H893" s="370">
        <v>12266.500061035156</v>
      </c>
      <c r="I893" s="370">
        <v>1760.1370162963867</v>
      </c>
      <c r="M893" s="371">
        <f t="shared" si="53"/>
        <v>12392.138881706913</v>
      </c>
      <c r="N893" s="329">
        <f t="shared" si="54"/>
        <v>0</v>
      </c>
      <c r="T893" s="331">
        <v>0</v>
      </c>
      <c r="U893" s="328">
        <f>VLOOKUP(C893,METADATA!$J$5:$Q$29,IF(E893="HI",2,IF(E893="LO",6,10))+IF(T893=1,2,IF(D893=7,1,(IF(WEEKDAY(B893)=1,2,IF(WEEKDAY(B893)=7,1,0))))))</f>
        <v>3</v>
      </c>
      <c r="V893" s="328">
        <f>VLOOKUP(C893,METADATA!$A$5:$H$29,IF(E893="HI",2,IF(E893="LO",6,10))+IF(T893=1,2,IF(D893=7,1,(IF(WEEKDAY(B893)=1,2,IF(WEEKDAY(B893)=7,1,0))))))</f>
        <v>3</v>
      </c>
    </row>
    <row r="894" spans="2:22">
      <c r="B894" s="318">
        <f t="shared" si="55"/>
        <v>46150</v>
      </c>
      <c r="C894" s="312">
        <v>2</v>
      </c>
      <c r="D894" s="368">
        <f>IFERROR((INDEX(METADATA!$T$2:$T$20,MATCH(B894,METADATA!$S$2:$S$20,0))),0)</f>
        <v>0</v>
      </c>
      <c r="E894" s="312" t="str">
        <f t="shared" si="52"/>
        <v>LO</v>
      </c>
      <c r="F894" s="369">
        <f>VLOOKUP(C894,METADATA!$A$5:$H$29,IF(E894="HI",2,IF(E894="LO",6,10))+IF(D894=1,2,IF(D894=7,1,(IF(WEEKDAY(B894)=1,2,IF(WEEKDAY(B894)=7,1,0))))))</f>
        <v>3</v>
      </c>
      <c r="G894" s="369">
        <f>VLOOKUP(C894,METADATA!$J$5:$Q$29,IF(E894="HI",2,IF(E894="LO",6,10))+IF(D894=1,2,IF(D894=7,1,(IF(WEEKDAY(B894)=1,2,IF(WEEKDAY(B894)=7,1,0))))))</f>
        <v>3</v>
      </c>
      <c r="H894" s="370">
        <v>12428.049987792969</v>
      </c>
      <c r="I894" s="370">
        <v>1840.0759944915771</v>
      </c>
      <c r="M894" s="371">
        <f t="shared" si="53"/>
        <v>12563.530800081042</v>
      </c>
      <c r="N894" s="329">
        <f t="shared" si="54"/>
        <v>0</v>
      </c>
      <c r="T894" s="331">
        <v>0</v>
      </c>
      <c r="U894" s="328">
        <f>VLOOKUP(C894,METADATA!$J$5:$Q$29,IF(E894="HI",2,IF(E894="LO",6,10))+IF(T894=1,2,IF(D894=7,1,(IF(WEEKDAY(B894)=1,2,IF(WEEKDAY(B894)=7,1,0))))))</f>
        <v>3</v>
      </c>
      <c r="V894" s="328">
        <f>VLOOKUP(C894,METADATA!$A$5:$H$29,IF(E894="HI",2,IF(E894="LO",6,10))+IF(T894=1,2,IF(D894=7,1,(IF(WEEKDAY(B894)=1,2,IF(WEEKDAY(B894)=7,1,0))))))</f>
        <v>3</v>
      </c>
    </row>
    <row r="895" spans="2:22">
      <c r="B895" s="318">
        <f t="shared" si="55"/>
        <v>46150</v>
      </c>
      <c r="C895" s="312">
        <v>3</v>
      </c>
      <c r="D895" s="368">
        <f>IFERROR((INDEX(METADATA!$T$2:$T$20,MATCH(B895,METADATA!$S$2:$S$20,0))),0)</f>
        <v>0</v>
      </c>
      <c r="E895" s="312" t="str">
        <f t="shared" si="52"/>
        <v>LO</v>
      </c>
      <c r="F895" s="369">
        <f>VLOOKUP(C895,METADATA!$A$5:$H$29,IF(E895="HI",2,IF(E895="LO",6,10))+IF(D895=1,2,IF(D895=7,1,(IF(WEEKDAY(B895)=1,2,IF(WEEKDAY(B895)=7,1,0))))))</f>
        <v>3</v>
      </c>
      <c r="G895" s="369">
        <f>VLOOKUP(C895,METADATA!$J$5:$Q$29,IF(E895="HI",2,IF(E895="LO",6,10))+IF(D895=1,2,IF(D895=7,1,(IF(WEEKDAY(B895)=1,2,IF(WEEKDAY(B895)=7,1,0))))))</f>
        <v>3</v>
      </c>
      <c r="H895" s="370">
        <v>12246.019897460938</v>
      </c>
      <c r="I895" s="370">
        <v>1766.7835006713867</v>
      </c>
      <c r="M895" s="371">
        <f t="shared" si="53"/>
        <v>12372.814039952827</v>
      </c>
      <c r="N895" s="329">
        <f t="shared" si="54"/>
        <v>0</v>
      </c>
      <c r="T895" s="331">
        <v>0</v>
      </c>
      <c r="U895" s="328">
        <f>VLOOKUP(C895,METADATA!$J$5:$Q$29,IF(E895="HI",2,IF(E895="LO",6,10))+IF(T895=1,2,IF(D895=7,1,(IF(WEEKDAY(B895)=1,2,IF(WEEKDAY(B895)=7,1,0))))))</f>
        <v>3</v>
      </c>
      <c r="V895" s="328">
        <f>VLOOKUP(C895,METADATA!$A$5:$H$29,IF(E895="HI",2,IF(E895="LO",6,10))+IF(T895=1,2,IF(D895=7,1,(IF(WEEKDAY(B895)=1,2,IF(WEEKDAY(B895)=7,1,0))))))</f>
        <v>3</v>
      </c>
    </row>
    <row r="896" spans="2:22">
      <c r="B896" s="318">
        <f t="shared" si="55"/>
        <v>46150</v>
      </c>
      <c r="C896" s="312">
        <v>4</v>
      </c>
      <c r="D896" s="368">
        <f>IFERROR((INDEX(METADATA!$T$2:$T$20,MATCH(B896,METADATA!$S$2:$S$20,0))),0)</f>
        <v>0</v>
      </c>
      <c r="E896" s="312" t="str">
        <f t="shared" si="52"/>
        <v>LO</v>
      </c>
      <c r="F896" s="369">
        <f>VLOOKUP(C896,METADATA!$A$5:$H$29,IF(E896="HI",2,IF(E896="LO",6,10))+IF(D896=1,2,IF(D896=7,1,(IF(WEEKDAY(B896)=1,2,IF(WEEKDAY(B896)=7,1,0))))))</f>
        <v>3</v>
      </c>
      <c r="G896" s="369">
        <f>VLOOKUP(C896,METADATA!$J$5:$Q$29,IF(E896="HI",2,IF(E896="LO",6,10))+IF(D896=1,2,IF(D896=7,1,(IF(WEEKDAY(B896)=1,2,IF(WEEKDAY(B896)=7,1,0))))))</f>
        <v>3</v>
      </c>
      <c r="H896" s="370">
        <v>12502.100341796875</v>
      </c>
      <c r="I896" s="370">
        <v>1815.1450271606445</v>
      </c>
      <c r="M896" s="371">
        <f t="shared" si="53"/>
        <v>12633.181088941279</v>
      </c>
      <c r="N896" s="329">
        <f t="shared" si="54"/>
        <v>0</v>
      </c>
      <c r="T896" s="331">
        <v>0</v>
      </c>
      <c r="U896" s="328">
        <f>VLOOKUP(C896,METADATA!$J$5:$Q$29,IF(E896="HI",2,IF(E896="LO",6,10))+IF(T896=1,2,IF(D896=7,1,(IF(WEEKDAY(B896)=1,2,IF(WEEKDAY(B896)=7,1,0))))))</f>
        <v>3</v>
      </c>
      <c r="V896" s="328">
        <f>VLOOKUP(C896,METADATA!$A$5:$H$29,IF(E896="HI",2,IF(E896="LO",6,10))+IF(T896=1,2,IF(D896=7,1,(IF(WEEKDAY(B896)=1,2,IF(WEEKDAY(B896)=7,1,0))))))</f>
        <v>3</v>
      </c>
    </row>
    <row r="897" spans="2:22">
      <c r="B897" s="318">
        <f t="shared" si="55"/>
        <v>46150</v>
      </c>
      <c r="C897" s="312">
        <v>5</v>
      </c>
      <c r="D897" s="368">
        <f>IFERROR((INDEX(METADATA!$T$2:$T$20,MATCH(B897,METADATA!$S$2:$S$20,0))),0)</f>
        <v>0</v>
      </c>
      <c r="E897" s="312" t="str">
        <f t="shared" si="52"/>
        <v>LO</v>
      </c>
      <c r="F897" s="369">
        <f>VLOOKUP(C897,METADATA!$A$5:$H$29,IF(E897="HI",2,IF(E897="LO",6,10))+IF(D897=1,2,IF(D897=7,1,(IF(WEEKDAY(B897)=1,2,IF(WEEKDAY(B897)=7,1,0))))))</f>
        <v>3</v>
      </c>
      <c r="G897" s="369">
        <f>VLOOKUP(C897,METADATA!$J$5:$Q$29,IF(E897="HI",2,IF(E897="LO",6,10))+IF(D897=1,2,IF(D897=7,1,(IF(WEEKDAY(B897)=1,2,IF(WEEKDAY(B897)=7,1,0))))))</f>
        <v>3</v>
      </c>
      <c r="H897" s="370">
        <v>12446.43017578125</v>
      </c>
      <c r="I897" s="370">
        <v>1744.8980140686035</v>
      </c>
      <c r="M897" s="371">
        <f t="shared" si="53"/>
        <v>12568.145973058183</v>
      </c>
      <c r="N897" s="329">
        <f t="shared" si="54"/>
        <v>0</v>
      </c>
      <c r="T897" s="331">
        <v>0</v>
      </c>
      <c r="U897" s="328">
        <f>VLOOKUP(C897,METADATA!$J$5:$Q$29,IF(E897="HI",2,IF(E897="LO",6,10))+IF(T897=1,2,IF(D897=7,1,(IF(WEEKDAY(B897)=1,2,IF(WEEKDAY(B897)=7,1,0))))))</f>
        <v>3</v>
      </c>
      <c r="V897" s="328">
        <f>VLOOKUP(C897,METADATA!$A$5:$H$29,IF(E897="HI",2,IF(E897="LO",6,10))+IF(T897=1,2,IF(D897=7,1,(IF(WEEKDAY(B897)=1,2,IF(WEEKDAY(B897)=7,1,0))))))</f>
        <v>3</v>
      </c>
    </row>
    <row r="898" spans="2:22">
      <c r="B898" s="318">
        <f t="shared" si="55"/>
        <v>46150</v>
      </c>
      <c r="C898" s="312">
        <v>6</v>
      </c>
      <c r="D898" s="368">
        <f>IFERROR((INDEX(METADATA!$T$2:$T$20,MATCH(B898,METADATA!$S$2:$S$20,0))),0)</f>
        <v>0</v>
      </c>
      <c r="E898" s="312" t="str">
        <f t="shared" si="52"/>
        <v>LO</v>
      </c>
      <c r="F898" s="369">
        <f>VLOOKUP(C898,METADATA!$A$5:$H$29,IF(E898="HI",2,IF(E898="LO",6,10))+IF(D898=1,2,IF(D898=7,1,(IF(WEEKDAY(B898)=1,2,IF(WEEKDAY(B898)=7,1,0))))))</f>
        <v>2</v>
      </c>
      <c r="G898" s="369">
        <f>VLOOKUP(C898,METADATA!$J$5:$Q$29,IF(E898="HI",2,IF(E898="LO",6,10))+IF(D898=1,2,IF(D898=7,1,(IF(WEEKDAY(B898)=1,2,IF(WEEKDAY(B898)=7,1,0))))))</f>
        <v>2</v>
      </c>
      <c r="H898" s="370">
        <v>12479.559814453125</v>
      </c>
      <c r="I898" s="370">
        <v>1813.5825080871582</v>
      </c>
      <c r="M898" s="371">
        <f t="shared" si="53"/>
        <v>12610.650049706122</v>
      </c>
      <c r="N898" s="329">
        <f t="shared" si="54"/>
        <v>0</v>
      </c>
      <c r="T898" s="331">
        <v>0</v>
      </c>
      <c r="U898" s="328">
        <f>VLOOKUP(C898,METADATA!$J$5:$Q$29,IF(E898="HI",2,IF(E898="LO",6,10))+IF(T898=1,2,IF(D898=7,1,(IF(WEEKDAY(B898)=1,2,IF(WEEKDAY(B898)=7,1,0))))))</f>
        <v>2</v>
      </c>
      <c r="V898" s="328">
        <f>VLOOKUP(C898,METADATA!$A$5:$H$29,IF(E898="HI",2,IF(E898="LO",6,10))+IF(T898=1,2,IF(D898=7,1,(IF(WEEKDAY(B898)=1,2,IF(WEEKDAY(B898)=7,1,0))))))</f>
        <v>2</v>
      </c>
    </row>
    <row r="899" spans="2:22">
      <c r="B899" s="318">
        <f t="shared" si="55"/>
        <v>46150</v>
      </c>
      <c r="C899" s="312">
        <v>7</v>
      </c>
      <c r="D899" s="368">
        <f>IFERROR((INDEX(METADATA!$T$2:$T$20,MATCH(B899,METADATA!$S$2:$S$20,0))),0)</f>
        <v>0</v>
      </c>
      <c r="E899" s="312" t="str">
        <f t="shared" si="52"/>
        <v>LO</v>
      </c>
      <c r="F899" s="369">
        <f>VLOOKUP(C899,METADATA!$A$5:$H$29,IF(E899="HI",2,IF(E899="LO",6,10))+IF(D899=1,2,IF(D899=7,1,(IF(WEEKDAY(B899)=1,2,IF(WEEKDAY(B899)=7,1,0))))))</f>
        <v>1</v>
      </c>
      <c r="G899" s="369">
        <f>VLOOKUP(C899,METADATA!$J$5:$Q$29,IF(E899="HI",2,IF(E899="LO",6,10))+IF(D899=1,2,IF(D899=7,1,(IF(WEEKDAY(B899)=1,2,IF(WEEKDAY(B899)=7,1,0))))))</f>
        <v>1</v>
      </c>
      <c r="H899" s="370">
        <v>12394.164794921875</v>
      </c>
      <c r="I899" s="370">
        <v>1760.2314739227295</v>
      </c>
      <c r="M899" s="371">
        <f t="shared" si="53"/>
        <v>12518.535689347575</v>
      </c>
      <c r="N899" s="329">
        <f t="shared" si="54"/>
        <v>0</v>
      </c>
      <c r="T899" s="331">
        <v>0</v>
      </c>
      <c r="U899" s="328">
        <f>VLOOKUP(C899,METADATA!$J$5:$Q$29,IF(E899="HI",2,IF(E899="LO",6,10))+IF(T899=1,2,IF(D899=7,1,(IF(WEEKDAY(B899)=1,2,IF(WEEKDAY(B899)=7,1,0))))))</f>
        <v>1</v>
      </c>
      <c r="V899" s="328">
        <f>VLOOKUP(C899,METADATA!$A$5:$H$29,IF(E899="HI",2,IF(E899="LO",6,10))+IF(T899=1,2,IF(D899=7,1,(IF(WEEKDAY(B899)=1,2,IF(WEEKDAY(B899)=7,1,0))))))</f>
        <v>1</v>
      </c>
    </row>
    <row r="900" spans="2:22">
      <c r="B900" s="318">
        <f t="shared" si="55"/>
        <v>46150</v>
      </c>
      <c r="C900" s="312">
        <v>8</v>
      </c>
      <c r="D900" s="368">
        <f>IFERROR((INDEX(METADATA!$T$2:$T$20,MATCH(B900,METADATA!$S$2:$S$20,0))),0)</f>
        <v>0</v>
      </c>
      <c r="E900" s="312" t="str">
        <f t="shared" ref="E900:E963" si="56">IF(B900="","",IF(AND(MONTH(B900)&gt;=MONTH($Z$9),MONTH(B900)&lt;=MONTH($Z$11)),"HI","LO"))</f>
        <v>LO</v>
      </c>
      <c r="F900" s="369">
        <f>VLOOKUP(C900,METADATA!$A$5:$H$29,IF(E900="HI",2,IF(E900="LO",6,10))+IF(D900=1,2,IF(D900=7,1,(IF(WEEKDAY(B900)=1,2,IF(WEEKDAY(B900)=7,1,0))))))</f>
        <v>1</v>
      </c>
      <c r="G900" s="369">
        <f>VLOOKUP(C900,METADATA!$J$5:$Q$29,IF(E900="HI",2,IF(E900="LO",6,10))+IF(D900=1,2,IF(D900=7,1,(IF(WEEKDAY(B900)=1,2,IF(WEEKDAY(B900)=7,1,0))))))</f>
        <v>1</v>
      </c>
      <c r="H900" s="370">
        <v>12058.235046386719</v>
      </c>
      <c r="I900" s="370">
        <v>1548.5759456157684</v>
      </c>
      <c r="M900" s="371">
        <f t="shared" ref="M900:M963" si="57">SQRT(H900^2+I900^2)</f>
        <v>12157.266135659311</v>
      </c>
      <c r="N900" s="329">
        <f t="shared" ref="N900:N963" si="58">IF(H900=0,0,(IF(I900-(0.3*H900)&lt;0,0,(I900-(0.3*H900)))))</f>
        <v>0</v>
      </c>
      <c r="T900" s="331">
        <v>0</v>
      </c>
      <c r="U900" s="328">
        <f>VLOOKUP(C900,METADATA!$J$5:$Q$29,IF(E900="HI",2,IF(E900="LO",6,10))+IF(T900=1,2,IF(D900=7,1,(IF(WEEKDAY(B900)=1,2,IF(WEEKDAY(B900)=7,1,0))))))</f>
        <v>1</v>
      </c>
      <c r="V900" s="328">
        <f>VLOOKUP(C900,METADATA!$A$5:$H$29,IF(E900="HI",2,IF(E900="LO",6,10))+IF(T900=1,2,IF(D900=7,1,(IF(WEEKDAY(B900)=1,2,IF(WEEKDAY(B900)=7,1,0))))))</f>
        <v>1</v>
      </c>
    </row>
    <row r="901" spans="2:22">
      <c r="B901" s="318">
        <f t="shared" si="55"/>
        <v>46150</v>
      </c>
      <c r="C901" s="312">
        <v>9</v>
      </c>
      <c r="D901" s="368">
        <f>IFERROR((INDEX(METADATA!$T$2:$T$20,MATCH(B901,METADATA!$S$2:$S$20,0))),0)</f>
        <v>0</v>
      </c>
      <c r="E901" s="312" t="str">
        <f t="shared" si="56"/>
        <v>LO</v>
      </c>
      <c r="F901" s="369">
        <f>VLOOKUP(C901,METADATA!$A$5:$H$29,IF(E901="HI",2,IF(E901="LO",6,10))+IF(D901=1,2,IF(D901=7,1,(IF(WEEKDAY(B901)=1,2,IF(WEEKDAY(B901)=7,1,0))))))</f>
        <v>2</v>
      </c>
      <c r="G901" s="369">
        <f>VLOOKUP(C901,METADATA!$J$5:$Q$29,IF(E901="HI",2,IF(E901="LO",6,10))+IF(D901=1,2,IF(D901=7,1,(IF(WEEKDAY(B901)=1,2,IF(WEEKDAY(B901)=7,1,0))))))</f>
        <v>2</v>
      </c>
      <c r="H901" s="370">
        <v>10448.119903564453</v>
      </c>
      <c r="I901" s="370">
        <v>1222.7064670349937</v>
      </c>
      <c r="M901" s="371">
        <f t="shared" si="57"/>
        <v>10519.421116382255</v>
      </c>
      <c r="N901" s="329">
        <f t="shared" si="58"/>
        <v>0</v>
      </c>
      <c r="T901" s="331">
        <v>0</v>
      </c>
      <c r="U901" s="328">
        <f>VLOOKUP(C901,METADATA!$J$5:$Q$29,IF(E901="HI",2,IF(E901="LO",6,10))+IF(T901=1,2,IF(D901=7,1,(IF(WEEKDAY(B901)=1,2,IF(WEEKDAY(B901)=7,1,0))))))</f>
        <v>2</v>
      </c>
      <c r="V901" s="328">
        <f>VLOOKUP(C901,METADATA!$A$5:$H$29,IF(E901="HI",2,IF(E901="LO",6,10))+IF(T901=1,2,IF(D901=7,1,(IF(WEEKDAY(B901)=1,2,IF(WEEKDAY(B901)=7,1,0))))))</f>
        <v>2</v>
      </c>
    </row>
    <row r="902" spans="2:22">
      <c r="B902" s="318">
        <f t="shared" si="55"/>
        <v>46150</v>
      </c>
      <c r="C902" s="312">
        <v>10</v>
      </c>
      <c r="D902" s="368">
        <f>IFERROR((INDEX(METADATA!$T$2:$T$20,MATCH(B902,METADATA!$S$2:$S$20,0))),0)</f>
        <v>0</v>
      </c>
      <c r="E902" s="312" t="str">
        <f t="shared" si="56"/>
        <v>LO</v>
      </c>
      <c r="F902" s="369">
        <f>VLOOKUP(C902,METADATA!$A$5:$H$29,IF(E902="HI",2,IF(E902="LO",6,10))+IF(D902=1,2,IF(D902=7,1,(IF(WEEKDAY(B902)=1,2,IF(WEEKDAY(B902)=7,1,0))))))</f>
        <v>2</v>
      </c>
      <c r="G902" s="369">
        <f>VLOOKUP(C902,METADATA!$J$5:$Q$29,IF(E902="HI",2,IF(E902="LO",6,10))+IF(D902=1,2,IF(D902=7,1,(IF(WEEKDAY(B902)=1,2,IF(WEEKDAY(B902)=7,1,0))))))</f>
        <v>2</v>
      </c>
      <c r="H902" s="370">
        <v>11808.730224609375</v>
      </c>
      <c r="I902" s="370">
        <v>1565.2795052528381</v>
      </c>
      <c r="M902" s="371">
        <f t="shared" si="57"/>
        <v>11912.019536886579</v>
      </c>
      <c r="N902" s="329">
        <f t="shared" si="58"/>
        <v>0</v>
      </c>
      <c r="T902" s="331">
        <v>0</v>
      </c>
      <c r="U902" s="328">
        <f>VLOOKUP(C902,METADATA!$J$5:$Q$29,IF(E902="HI",2,IF(E902="LO",6,10))+IF(T902=1,2,IF(D902=7,1,(IF(WEEKDAY(B902)=1,2,IF(WEEKDAY(B902)=7,1,0))))))</f>
        <v>2</v>
      </c>
      <c r="V902" s="328">
        <f>VLOOKUP(C902,METADATA!$A$5:$H$29,IF(E902="HI",2,IF(E902="LO",6,10))+IF(T902=1,2,IF(D902=7,1,(IF(WEEKDAY(B902)=1,2,IF(WEEKDAY(B902)=7,1,0))))))</f>
        <v>2</v>
      </c>
    </row>
    <row r="903" spans="2:22">
      <c r="B903" s="318">
        <f t="shared" si="55"/>
        <v>46150</v>
      </c>
      <c r="C903" s="312">
        <v>11</v>
      </c>
      <c r="D903" s="368">
        <f>IFERROR((INDEX(METADATA!$T$2:$T$20,MATCH(B903,METADATA!$S$2:$S$20,0))),0)</f>
        <v>0</v>
      </c>
      <c r="E903" s="312" t="str">
        <f t="shared" si="56"/>
        <v>LO</v>
      </c>
      <c r="F903" s="369">
        <f>VLOOKUP(C903,METADATA!$A$5:$H$29,IF(E903="HI",2,IF(E903="LO",6,10))+IF(D903=1,2,IF(D903=7,1,(IF(WEEKDAY(B903)=1,2,IF(WEEKDAY(B903)=7,1,0))))))</f>
        <v>2</v>
      </c>
      <c r="G903" s="369">
        <f>VLOOKUP(C903,METADATA!$J$5:$Q$29,IF(E903="HI",2,IF(E903="LO",6,10))+IF(D903=1,2,IF(D903=7,1,(IF(WEEKDAY(B903)=1,2,IF(WEEKDAY(B903)=7,1,0))))))</f>
        <v>2</v>
      </c>
      <c r="H903" s="370">
        <v>12514.035278320313</v>
      </c>
      <c r="I903" s="370">
        <v>1758.7424926757813</v>
      </c>
      <c r="M903" s="371">
        <f t="shared" si="57"/>
        <v>12637.019193725582</v>
      </c>
      <c r="N903" s="329">
        <f t="shared" si="58"/>
        <v>0</v>
      </c>
      <c r="T903" s="331">
        <v>0</v>
      </c>
      <c r="U903" s="328">
        <f>VLOOKUP(C903,METADATA!$J$5:$Q$29,IF(E903="HI",2,IF(E903="LO",6,10))+IF(T903=1,2,IF(D903=7,1,(IF(WEEKDAY(B903)=1,2,IF(WEEKDAY(B903)=7,1,0))))))</f>
        <v>2</v>
      </c>
      <c r="V903" s="328">
        <f>VLOOKUP(C903,METADATA!$A$5:$H$29,IF(E903="HI",2,IF(E903="LO",6,10))+IF(T903=1,2,IF(D903=7,1,(IF(WEEKDAY(B903)=1,2,IF(WEEKDAY(B903)=7,1,0))))))</f>
        <v>2</v>
      </c>
    </row>
    <row r="904" spans="2:22">
      <c r="B904" s="318">
        <f t="shared" si="55"/>
        <v>46150</v>
      </c>
      <c r="C904" s="312">
        <v>12</v>
      </c>
      <c r="D904" s="368">
        <f>IFERROR((INDEX(METADATA!$T$2:$T$20,MATCH(B904,METADATA!$S$2:$S$20,0))),0)</f>
        <v>0</v>
      </c>
      <c r="E904" s="312" t="str">
        <f t="shared" si="56"/>
        <v>LO</v>
      </c>
      <c r="F904" s="369">
        <f>VLOOKUP(C904,METADATA!$A$5:$H$29,IF(E904="HI",2,IF(E904="LO",6,10))+IF(D904=1,2,IF(D904=7,1,(IF(WEEKDAY(B904)=1,2,IF(WEEKDAY(B904)=7,1,0))))))</f>
        <v>2</v>
      </c>
      <c r="G904" s="369">
        <f>VLOOKUP(C904,METADATA!$J$5:$Q$29,IF(E904="HI",2,IF(E904="LO",6,10))+IF(D904=1,2,IF(D904=7,1,(IF(WEEKDAY(B904)=1,2,IF(WEEKDAY(B904)=7,1,0))))))</f>
        <v>2</v>
      </c>
      <c r="H904" s="370">
        <v>12373.58544921875</v>
      </c>
      <c r="I904" s="370">
        <v>1809.2895011901855</v>
      </c>
      <c r="M904" s="371">
        <f t="shared" si="57"/>
        <v>12505.164747744629</v>
      </c>
      <c r="N904" s="329">
        <f t="shared" si="58"/>
        <v>0</v>
      </c>
      <c r="T904" s="331">
        <v>0</v>
      </c>
      <c r="U904" s="328">
        <f>VLOOKUP(C904,METADATA!$J$5:$Q$29,IF(E904="HI",2,IF(E904="LO",6,10))+IF(T904=1,2,IF(D904=7,1,(IF(WEEKDAY(B904)=1,2,IF(WEEKDAY(B904)=7,1,0))))))</f>
        <v>2</v>
      </c>
      <c r="V904" s="328">
        <f>VLOOKUP(C904,METADATA!$A$5:$H$29,IF(E904="HI",2,IF(E904="LO",6,10))+IF(T904=1,2,IF(D904=7,1,(IF(WEEKDAY(B904)=1,2,IF(WEEKDAY(B904)=7,1,0))))))</f>
        <v>2</v>
      </c>
    </row>
    <row r="905" spans="2:22">
      <c r="B905" s="318">
        <f t="shared" si="55"/>
        <v>46150</v>
      </c>
      <c r="C905" s="312">
        <v>13</v>
      </c>
      <c r="D905" s="368">
        <f>IFERROR((INDEX(METADATA!$T$2:$T$20,MATCH(B905,METADATA!$S$2:$S$20,0))),0)</f>
        <v>0</v>
      </c>
      <c r="E905" s="312" t="str">
        <f t="shared" si="56"/>
        <v>LO</v>
      </c>
      <c r="F905" s="369">
        <f>VLOOKUP(C905,METADATA!$A$5:$H$29,IF(E905="HI",2,IF(E905="LO",6,10))+IF(D905=1,2,IF(D905=7,1,(IF(WEEKDAY(B905)=1,2,IF(WEEKDAY(B905)=7,1,0))))))</f>
        <v>2</v>
      </c>
      <c r="G905" s="369">
        <f>VLOOKUP(C905,METADATA!$J$5:$Q$29,IF(E905="HI",2,IF(E905="LO",6,10))+IF(D905=1,2,IF(D905=7,1,(IF(WEEKDAY(B905)=1,2,IF(WEEKDAY(B905)=7,1,0))))))</f>
        <v>2</v>
      </c>
      <c r="H905" s="370">
        <v>12466.079772949219</v>
      </c>
      <c r="I905" s="370">
        <v>1860.2145042419434</v>
      </c>
      <c r="M905" s="371">
        <f t="shared" si="57"/>
        <v>12604.108175802276</v>
      </c>
      <c r="N905" s="329">
        <f t="shared" si="58"/>
        <v>0</v>
      </c>
      <c r="T905" s="331">
        <v>0</v>
      </c>
      <c r="U905" s="328">
        <f>VLOOKUP(C905,METADATA!$J$5:$Q$29,IF(E905="HI",2,IF(E905="LO",6,10))+IF(T905=1,2,IF(D905=7,1,(IF(WEEKDAY(B905)=1,2,IF(WEEKDAY(B905)=7,1,0))))))</f>
        <v>2</v>
      </c>
      <c r="V905" s="328">
        <f>VLOOKUP(C905,METADATA!$A$5:$H$29,IF(E905="HI",2,IF(E905="LO",6,10))+IF(T905=1,2,IF(D905=7,1,(IF(WEEKDAY(B905)=1,2,IF(WEEKDAY(B905)=7,1,0))))))</f>
        <v>2</v>
      </c>
    </row>
    <row r="906" spans="2:22">
      <c r="B906" s="318">
        <f t="shared" si="55"/>
        <v>46150</v>
      </c>
      <c r="C906" s="312">
        <v>14</v>
      </c>
      <c r="D906" s="368">
        <f>IFERROR((INDEX(METADATA!$T$2:$T$20,MATCH(B906,METADATA!$S$2:$S$20,0))),0)</f>
        <v>0</v>
      </c>
      <c r="E906" s="312" t="str">
        <f t="shared" si="56"/>
        <v>LO</v>
      </c>
      <c r="F906" s="369">
        <f>VLOOKUP(C906,METADATA!$A$5:$H$29,IF(E906="HI",2,IF(E906="LO",6,10))+IF(D906=1,2,IF(D906=7,1,(IF(WEEKDAY(B906)=1,2,IF(WEEKDAY(B906)=7,1,0))))))</f>
        <v>2</v>
      </c>
      <c r="G906" s="369">
        <f>VLOOKUP(C906,METADATA!$J$5:$Q$29,IF(E906="HI",2,IF(E906="LO",6,10))+IF(D906=1,2,IF(D906=7,1,(IF(WEEKDAY(B906)=1,2,IF(WEEKDAY(B906)=7,1,0))))))</f>
        <v>2</v>
      </c>
      <c r="H906" s="370">
        <v>12438.109985351563</v>
      </c>
      <c r="I906" s="370">
        <v>2075.3270072937012</v>
      </c>
      <c r="M906" s="371">
        <f t="shared" si="57"/>
        <v>12610.05797746009</v>
      </c>
      <c r="N906" s="329">
        <f t="shared" si="58"/>
        <v>0</v>
      </c>
      <c r="T906" s="331">
        <v>0</v>
      </c>
      <c r="U906" s="328">
        <f>VLOOKUP(C906,METADATA!$J$5:$Q$29,IF(E906="HI",2,IF(E906="LO",6,10))+IF(T906=1,2,IF(D906=7,1,(IF(WEEKDAY(B906)=1,2,IF(WEEKDAY(B906)=7,1,0))))))</f>
        <v>2</v>
      </c>
      <c r="V906" s="328">
        <f>VLOOKUP(C906,METADATA!$A$5:$H$29,IF(E906="HI",2,IF(E906="LO",6,10))+IF(T906=1,2,IF(D906=7,1,(IF(WEEKDAY(B906)=1,2,IF(WEEKDAY(B906)=7,1,0))))))</f>
        <v>2</v>
      </c>
    </row>
    <row r="907" spans="2:22">
      <c r="B907" s="318">
        <f t="shared" si="55"/>
        <v>46150</v>
      </c>
      <c r="C907" s="312">
        <v>15</v>
      </c>
      <c r="D907" s="368">
        <f>IFERROR((INDEX(METADATA!$T$2:$T$20,MATCH(B907,METADATA!$S$2:$S$20,0))),0)</f>
        <v>0</v>
      </c>
      <c r="E907" s="312" t="str">
        <f t="shared" si="56"/>
        <v>LO</v>
      </c>
      <c r="F907" s="369">
        <f>VLOOKUP(C907,METADATA!$A$5:$H$29,IF(E907="HI",2,IF(E907="LO",6,10))+IF(D907=1,2,IF(D907=7,1,(IF(WEEKDAY(B907)=1,2,IF(WEEKDAY(B907)=7,1,0))))))</f>
        <v>2</v>
      </c>
      <c r="G907" s="369">
        <f>VLOOKUP(C907,METADATA!$J$5:$Q$29,IF(E907="HI",2,IF(E907="LO",6,10))+IF(D907=1,2,IF(D907=7,1,(IF(WEEKDAY(B907)=1,2,IF(WEEKDAY(B907)=7,1,0))))))</f>
        <v>2</v>
      </c>
      <c r="H907" s="370">
        <v>12397.190246582031</v>
      </c>
      <c r="I907" s="370">
        <v>2002.8730430603027</v>
      </c>
      <c r="M907" s="371">
        <f t="shared" si="57"/>
        <v>12557.938781367198</v>
      </c>
      <c r="N907" s="329">
        <f t="shared" si="58"/>
        <v>0</v>
      </c>
      <c r="T907" s="331">
        <v>0</v>
      </c>
      <c r="U907" s="328">
        <f>VLOOKUP(C907,METADATA!$J$5:$Q$29,IF(E907="HI",2,IF(E907="LO",6,10))+IF(T907=1,2,IF(D907=7,1,(IF(WEEKDAY(B907)=1,2,IF(WEEKDAY(B907)=7,1,0))))))</f>
        <v>2</v>
      </c>
      <c r="V907" s="328">
        <f>VLOOKUP(C907,METADATA!$A$5:$H$29,IF(E907="HI",2,IF(E907="LO",6,10))+IF(T907=1,2,IF(D907=7,1,(IF(WEEKDAY(B907)=1,2,IF(WEEKDAY(B907)=7,1,0))))))</f>
        <v>2</v>
      </c>
    </row>
    <row r="908" spans="2:22">
      <c r="B908" s="318">
        <f t="shared" si="55"/>
        <v>46150</v>
      </c>
      <c r="C908" s="312">
        <v>16</v>
      </c>
      <c r="D908" s="368">
        <f>IFERROR((INDEX(METADATA!$T$2:$T$20,MATCH(B908,METADATA!$S$2:$S$20,0))),0)</f>
        <v>0</v>
      </c>
      <c r="E908" s="312" t="str">
        <f t="shared" si="56"/>
        <v>LO</v>
      </c>
      <c r="F908" s="369">
        <f>VLOOKUP(C908,METADATA!$A$5:$H$29,IF(E908="HI",2,IF(E908="LO",6,10))+IF(D908=1,2,IF(D908=7,1,(IF(WEEKDAY(B908)=1,2,IF(WEEKDAY(B908)=7,1,0))))))</f>
        <v>2</v>
      </c>
      <c r="G908" s="369">
        <f>VLOOKUP(C908,METADATA!$J$5:$Q$29,IF(E908="HI",2,IF(E908="LO",6,10))+IF(D908=1,2,IF(D908=7,1,(IF(WEEKDAY(B908)=1,2,IF(WEEKDAY(B908)=7,1,0))))))</f>
        <v>2</v>
      </c>
      <c r="H908" s="370">
        <v>10386.477386474609</v>
      </c>
      <c r="I908" s="370">
        <v>1476.8180270195007</v>
      </c>
      <c r="M908" s="371">
        <f t="shared" si="57"/>
        <v>10490.943903418711</v>
      </c>
      <c r="N908" s="329">
        <f t="shared" si="58"/>
        <v>0</v>
      </c>
      <c r="T908" s="331">
        <v>0</v>
      </c>
      <c r="U908" s="328">
        <f>VLOOKUP(C908,METADATA!$J$5:$Q$29,IF(E908="HI",2,IF(E908="LO",6,10))+IF(T908=1,2,IF(D908=7,1,(IF(WEEKDAY(B908)=1,2,IF(WEEKDAY(B908)=7,1,0))))))</f>
        <v>2</v>
      </c>
      <c r="V908" s="328">
        <f>VLOOKUP(C908,METADATA!$A$5:$H$29,IF(E908="HI",2,IF(E908="LO",6,10))+IF(T908=1,2,IF(D908=7,1,(IF(WEEKDAY(B908)=1,2,IF(WEEKDAY(B908)=7,1,0))))))</f>
        <v>2</v>
      </c>
    </row>
    <row r="909" spans="2:22">
      <c r="B909" s="318">
        <f t="shared" si="55"/>
        <v>46150</v>
      </c>
      <c r="C909" s="312">
        <v>17</v>
      </c>
      <c r="D909" s="368">
        <f>IFERROR((INDEX(METADATA!$T$2:$T$20,MATCH(B909,METADATA!$S$2:$S$20,0))),0)</f>
        <v>0</v>
      </c>
      <c r="E909" s="312" t="str">
        <f t="shared" si="56"/>
        <v>LO</v>
      </c>
      <c r="F909" s="369">
        <f>VLOOKUP(C909,METADATA!$A$5:$H$29,IF(E909="HI",2,IF(E909="LO",6,10))+IF(D909=1,2,IF(D909=7,1,(IF(WEEKDAY(B909)=1,2,IF(WEEKDAY(B909)=7,1,0))))))</f>
        <v>2</v>
      </c>
      <c r="G909" s="369">
        <f>VLOOKUP(C909,METADATA!$J$5:$Q$29,IF(E909="HI",2,IF(E909="LO",6,10))+IF(D909=1,2,IF(D909=7,1,(IF(WEEKDAY(B909)=1,2,IF(WEEKDAY(B909)=7,1,0))))))</f>
        <v>2</v>
      </c>
      <c r="H909" s="370">
        <v>10802.669952392578</v>
      </c>
      <c r="I909" s="370">
        <v>1523.7320058345795</v>
      </c>
      <c r="M909" s="371">
        <f t="shared" si="57"/>
        <v>10909.602986632013</v>
      </c>
      <c r="N909" s="329">
        <f t="shared" si="58"/>
        <v>0</v>
      </c>
      <c r="T909" s="331">
        <v>0</v>
      </c>
      <c r="U909" s="328">
        <f>VLOOKUP(C909,METADATA!$J$5:$Q$29,IF(E909="HI",2,IF(E909="LO",6,10))+IF(T909=1,2,IF(D909=7,1,(IF(WEEKDAY(B909)=1,2,IF(WEEKDAY(B909)=7,1,0))))))</f>
        <v>2</v>
      </c>
      <c r="V909" s="328">
        <f>VLOOKUP(C909,METADATA!$A$5:$H$29,IF(E909="HI",2,IF(E909="LO",6,10))+IF(T909=1,2,IF(D909=7,1,(IF(WEEKDAY(B909)=1,2,IF(WEEKDAY(B909)=7,1,0))))))</f>
        <v>2</v>
      </c>
    </row>
    <row r="910" spans="2:22">
      <c r="B910" s="318">
        <f t="shared" si="55"/>
        <v>46150</v>
      </c>
      <c r="C910" s="312">
        <v>18</v>
      </c>
      <c r="D910" s="368">
        <f>IFERROR((INDEX(METADATA!$T$2:$T$20,MATCH(B910,METADATA!$S$2:$S$20,0))),0)</f>
        <v>0</v>
      </c>
      <c r="E910" s="312" t="str">
        <f t="shared" si="56"/>
        <v>LO</v>
      </c>
      <c r="F910" s="369">
        <f>VLOOKUP(C910,METADATA!$A$5:$H$29,IF(E910="HI",2,IF(E910="LO",6,10))+IF(D910=1,2,IF(D910=7,1,(IF(WEEKDAY(B910)=1,2,IF(WEEKDAY(B910)=7,1,0))))))</f>
        <v>1</v>
      </c>
      <c r="G910" s="369">
        <f>VLOOKUP(C910,METADATA!$J$5:$Q$29,IF(E910="HI",2,IF(E910="LO",6,10))+IF(D910=1,2,IF(D910=7,1,(IF(WEEKDAY(B910)=1,2,IF(WEEKDAY(B910)=7,1,0))))))</f>
        <v>1</v>
      </c>
      <c r="H910" s="370">
        <v>12482.874755859375</v>
      </c>
      <c r="I910" s="370">
        <v>1880.619556427002</v>
      </c>
      <c r="M910" s="371">
        <f t="shared" si="57"/>
        <v>12623.743188392535</v>
      </c>
      <c r="N910" s="329">
        <f t="shared" si="58"/>
        <v>0</v>
      </c>
      <c r="T910" s="331">
        <v>0</v>
      </c>
      <c r="U910" s="328">
        <f>VLOOKUP(C910,METADATA!$J$5:$Q$29,IF(E910="HI",2,IF(E910="LO",6,10))+IF(T910=1,2,IF(D910=7,1,(IF(WEEKDAY(B910)=1,2,IF(WEEKDAY(B910)=7,1,0))))))</f>
        <v>1</v>
      </c>
      <c r="V910" s="328">
        <f>VLOOKUP(C910,METADATA!$A$5:$H$29,IF(E910="HI",2,IF(E910="LO",6,10))+IF(T910=1,2,IF(D910=7,1,(IF(WEEKDAY(B910)=1,2,IF(WEEKDAY(B910)=7,1,0))))))</f>
        <v>1</v>
      </c>
    </row>
    <row r="911" spans="2:22">
      <c r="B911" s="318">
        <f t="shared" si="55"/>
        <v>46150</v>
      </c>
      <c r="C911" s="312">
        <v>19</v>
      </c>
      <c r="D911" s="368">
        <f>IFERROR((INDEX(METADATA!$T$2:$T$20,MATCH(B911,METADATA!$S$2:$S$20,0))),0)</f>
        <v>0</v>
      </c>
      <c r="E911" s="312" t="str">
        <f t="shared" si="56"/>
        <v>LO</v>
      </c>
      <c r="F911" s="369">
        <f>VLOOKUP(C911,METADATA!$A$5:$H$29,IF(E911="HI",2,IF(E911="LO",6,10))+IF(D911=1,2,IF(D911=7,1,(IF(WEEKDAY(B911)=1,2,IF(WEEKDAY(B911)=7,1,0))))))</f>
        <v>1</v>
      </c>
      <c r="G911" s="369">
        <f>VLOOKUP(C911,METADATA!$J$5:$Q$29,IF(E911="HI",2,IF(E911="LO",6,10))+IF(D911=1,2,IF(D911=7,1,(IF(WEEKDAY(B911)=1,2,IF(WEEKDAY(B911)=7,1,0))))))</f>
        <v>1</v>
      </c>
      <c r="H911" s="370">
        <v>12476.8349609375</v>
      </c>
      <c r="I911" s="370">
        <v>1896.0240116119385</v>
      </c>
      <c r="M911" s="371">
        <f t="shared" si="57"/>
        <v>12620.0759781818</v>
      </c>
      <c r="N911" s="329">
        <f t="shared" si="58"/>
        <v>0</v>
      </c>
      <c r="T911" s="331">
        <v>0</v>
      </c>
      <c r="U911" s="328">
        <f>VLOOKUP(C911,METADATA!$J$5:$Q$29,IF(E911="HI",2,IF(E911="LO",6,10))+IF(T911=1,2,IF(D911=7,1,(IF(WEEKDAY(B911)=1,2,IF(WEEKDAY(B911)=7,1,0))))))</f>
        <v>1</v>
      </c>
      <c r="V911" s="328">
        <f>VLOOKUP(C911,METADATA!$A$5:$H$29,IF(E911="HI",2,IF(E911="LO",6,10))+IF(T911=1,2,IF(D911=7,1,(IF(WEEKDAY(B911)=1,2,IF(WEEKDAY(B911)=7,1,0))))))</f>
        <v>1</v>
      </c>
    </row>
    <row r="912" spans="2:22">
      <c r="B912" s="318">
        <f t="shared" si="55"/>
        <v>46150</v>
      </c>
      <c r="C912" s="312">
        <v>20</v>
      </c>
      <c r="D912" s="368">
        <f>IFERROR((INDEX(METADATA!$T$2:$T$20,MATCH(B912,METADATA!$S$2:$S$20,0))),0)</f>
        <v>0</v>
      </c>
      <c r="E912" s="312" t="str">
        <f t="shared" si="56"/>
        <v>LO</v>
      </c>
      <c r="F912" s="369">
        <f>VLOOKUP(C912,METADATA!$A$5:$H$29,IF(E912="HI",2,IF(E912="LO",6,10))+IF(D912=1,2,IF(D912=7,1,(IF(WEEKDAY(B912)=1,2,IF(WEEKDAY(B912)=7,1,0))))))</f>
        <v>1</v>
      </c>
      <c r="G912" s="369">
        <f>VLOOKUP(C912,METADATA!$J$5:$Q$29,IF(E912="HI",2,IF(E912="LO",6,10))+IF(D912=1,2,IF(D912=7,1,(IF(WEEKDAY(B912)=1,2,IF(WEEKDAY(B912)=7,1,0))))))</f>
        <v>1</v>
      </c>
      <c r="H912" s="370">
        <v>12518.075134277344</v>
      </c>
      <c r="I912" s="370">
        <v>1901.9265480041504</v>
      </c>
      <c r="M912" s="371">
        <f t="shared" si="57"/>
        <v>12661.734859860861</v>
      </c>
      <c r="N912" s="329">
        <f t="shared" si="58"/>
        <v>0</v>
      </c>
      <c r="T912" s="331">
        <v>0</v>
      </c>
      <c r="U912" s="328">
        <f>VLOOKUP(C912,METADATA!$J$5:$Q$29,IF(E912="HI",2,IF(E912="LO",6,10))+IF(T912=1,2,IF(D912=7,1,(IF(WEEKDAY(B912)=1,2,IF(WEEKDAY(B912)=7,1,0))))))</f>
        <v>1</v>
      </c>
      <c r="V912" s="328">
        <f>VLOOKUP(C912,METADATA!$A$5:$H$29,IF(E912="HI",2,IF(E912="LO",6,10))+IF(T912=1,2,IF(D912=7,1,(IF(WEEKDAY(B912)=1,2,IF(WEEKDAY(B912)=7,1,0))))))</f>
        <v>1</v>
      </c>
    </row>
    <row r="913" spans="2:22">
      <c r="B913" s="318">
        <f t="shared" si="55"/>
        <v>46150</v>
      </c>
      <c r="C913" s="312">
        <v>21</v>
      </c>
      <c r="D913" s="368">
        <f>IFERROR((INDEX(METADATA!$T$2:$T$20,MATCH(B913,METADATA!$S$2:$S$20,0))),0)</f>
        <v>0</v>
      </c>
      <c r="E913" s="312" t="str">
        <f t="shared" si="56"/>
        <v>LO</v>
      </c>
      <c r="F913" s="369">
        <f>VLOOKUP(C913,METADATA!$A$5:$H$29,IF(E913="HI",2,IF(E913="LO",6,10))+IF(D913=1,2,IF(D913=7,1,(IF(WEEKDAY(B913)=1,2,IF(WEEKDAY(B913)=7,1,0))))))</f>
        <v>2</v>
      </c>
      <c r="G913" s="369">
        <f>VLOOKUP(C913,METADATA!$J$5:$Q$29,IF(E913="HI",2,IF(E913="LO",6,10))+IF(D913=1,2,IF(D913=7,1,(IF(WEEKDAY(B913)=1,2,IF(WEEKDAY(B913)=7,1,0))))))</f>
        <v>2</v>
      </c>
      <c r="H913" s="370">
        <v>12895.874816894531</v>
      </c>
      <c r="I913" s="370">
        <v>1910.0404968261719</v>
      </c>
      <c r="M913" s="371">
        <f t="shared" si="57"/>
        <v>13036.55790431395</v>
      </c>
      <c r="N913" s="329">
        <f t="shared" si="58"/>
        <v>0</v>
      </c>
      <c r="T913" s="331">
        <v>0</v>
      </c>
      <c r="U913" s="328">
        <f>VLOOKUP(C913,METADATA!$J$5:$Q$29,IF(E913="HI",2,IF(E913="LO",6,10))+IF(T913=1,2,IF(D913=7,1,(IF(WEEKDAY(B913)=1,2,IF(WEEKDAY(B913)=7,1,0))))))</f>
        <v>2</v>
      </c>
      <c r="V913" s="328">
        <f>VLOOKUP(C913,METADATA!$A$5:$H$29,IF(E913="HI",2,IF(E913="LO",6,10))+IF(T913=1,2,IF(D913=7,1,(IF(WEEKDAY(B913)=1,2,IF(WEEKDAY(B913)=7,1,0))))))</f>
        <v>2</v>
      </c>
    </row>
    <row r="914" spans="2:22">
      <c r="B914" s="318">
        <f t="shared" si="55"/>
        <v>46150</v>
      </c>
      <c r="C914" s="312">
        <v>22</v>
      </c>
      <c r="D914" s="368">
        <f>IFERROR((INDEX(METADATA!$T$2:$T$20,MATCH(B914,METADATA!$S$2:$S$20,0))),0)</f>
        <v>0</v>
      </c>
      <c r="E914" s="312" t="str">
        <f t="shared" si="56"/>
        <v>LO</v>
      </c>
      <c r="F914" s="369">
        <f>VLOOKUP(C914,METADATA!$A$5:$H$29,IF(E914="HI",2,IF(E914="LO",6,10))+IF(D914=1,2,IF(D914=7,1,(IF(WEEKDAY(B914)=1,2,IF(WEEKDAY(B914)=7,1,0))))))</f>
        <v>3</v>
      </c>
      <c r="G914" s="369">
        <f>VLOOKUP(C914,METADATA!$J$5:$Q$29,IF(E914="HI",2,IF(E914="LO",6,10))+IF(D914=1,2,IF(D914=7,1,(IF(WEEKDAY(B914)=1,2,IF(WEEKDAY(B914)=7,1,0))))))</f>
        <v>3</v>
      </c>
      <c r="H914" s="370">
        <v>13016.029724121094</v>
      </c>
      <c r="I914" s="370">
        <v>1962.7679290771484</v>
      </c>
      <c r="M914" s="371">
        <f t="shared" si="57"/>
        <v>13163.186837639951</v>
      </c>
      <c r="N914" s="329">
        <f t="shared" si="58"/>
        <v>0</v>
      </c>
      <c r="T914" s="331">
        <v>0</v>
      </c>
      <c r="U914" s="328">
        <f>VLOOKUP(C914,METADATA!$J$5:$Q$29,IF(E914="HI",2,IF(E914="LO",6,10))+IF(T914=1,2,IF(D914=7,1,(IF(WEEKDAY(B914)=1,2,IF(WEEKDAY(B914)=7,1,0))))))</f>
        <v>3</v>
      </c>
      <c r="V914" s="328">
        <f>VLOOKUP(C914,METADATA!$A$5:$H$29,IF(E914="HI",2,IF(E914="LO",6,10))+IF(T914=1,2,IF(D914=7,1,(IF(WEEKDAY(B914)=1,2,IF(WEEKDAY(B914)=7,1,0))))))</f>
        <v>3</v>
      </c>
    </row>
    <row r="915" spans="2:22">
      <c r="B915" s="318">
        <f t="shared" si="55"/>
        <v>46150</v>
      </c>
      <c r="C915" s="312">
        <v>23</v>
      </c>
      <c r="D915" s="368">
        <f>IFERROR((INDEX(METADATA!$T$2:$T$20,MATCH(B915,METADATA!$S$2:$S$20,0))),0)</f>
        <v>0</v>
      </c>
      <c r="E915" s="312" t="str">
        <f t="shared" si="56"/>
        <v>LO</v>
      </c>
      <c r="F915" s="369">
        <f>VLOOKUP(C915,METADATA!$A$5:$H$29,IF(E915="HI",2,IF(E915="LO",6,10))+IF(D915=1,2,IF(D915=7,1,(IF(WEEKDAY(B915)=1,2,IF(WEEKDAY(B915)=7,1,0))))))</f>
        <v>3</v>
      </c>
      <c r="G915" s="369">
        <f>VLOOKUP(C915,METADATA!$J$5:$Q$29,IF(E915="HI",2,IF(E915="LO",6,10))+IF(D915=1,2,IF(D915=7,1,(IF(WEEKDAY(B915)=1,2,IF(WEEKDAY(B915)=7,1,0))))))</f>
        <v>3</v>
      </c>
      <c r="H915" s="370">
        <v>13006.079711914063</v>
      </c>
      <c r="I915" s="370">
        <v>1949.4715232849121</v>
      </c>
      <c r="M915" s="371">
        <f t="shared" si="57"/>
        <v>13151.37060130089</v>
      </c>
      <c r="N915" s="329">
        <f t="shared" si="58"/>
        <v>0</v>
      </c>
      <c r="T915" s="331">
        <v>0</v>
      </c>
      <c r="U915" s="328">
        <f>VLOOKUP(C915,METADATA!$J$5:$Q$29,IF(E915="HI",2,IF(E915="LO",6,10))+IF(T915=1,2,IF(D915=7,1,(IF(WEEKDAY(B915)=1,2,IF(WEEKDAY(B915)=7,1,0))))))</f>
        <v>3</v>
      </c>
      <c r="V915" s="328">
        <f>VLOOKUP(C915,METADATA!$A$5:$H$29,IF(E915="HI",2,IF(E915="LO",6,10))+IF(T915=1,2,IF(D915=7,1,(IF(WEEKDAY(B915)=1,2,IF(WEEKDAY(B915)=7,1,0))))))</f>
        <v>3</v>
      </c>
    </row>
    <row r="916" spans="2:22">
      <c r="B916" s="318">
        <f t="shared" si="55"/>
        <v>46151</v>
      </c>
      <c r="C916" s="312">
        <v>0</v>
      </c>
      <c r="D916" s="368">
        <f>IFERROR((INDEX(METADATA!$T$2:$T$20,MATCH(B916,METADATA!$S$2:$S$20,0))),0)</f>
        <v>0</v>
      </c>
      <c r="E916" s="312" t="str">
        <f t="shared" si="56"/>
        <v>LO</v>
      </c>
      <c r="F916" s="369">
        <f>VLOOKUP(C916,METADATA!$A$5:$H$29,IF(E916="HI",2,IF(E916="LO",6,10))+IF(D916=1,2,IF(D916=7,1,(IF(WEEKDAY(B916)=1,2,IF(WEEKDAY(B916)=7,1,0))))))</f>
        <v>3</v>
      </c>
      <c r="G916" s="369">
        <f>VLOOKUP(C916,METADATA!$J$5:$Q$29,IF(E916="HI",2,IF(E916="LO",6,10))+IF(D916=1,2,IF(D916=7,1,(IF(WEEKDAY(B916)=1,2,IF(WEEKDAY(B916)=7,1,0))))))</f>
        <v>3</v>
      </c>
      <c r="H916" s="370">
        <v>13030.314819335938</v>
      </c>
      <c r="I916" s="370">
        <v>1973.950984954834</v>
      </c>
      <c r="M916" s="371">
        <f t="shared" si="57"/>
        <v>13178.982767346268</v>
      </c>
      <c r="N916" s="329">
        <f t="shared" si="58"/>
        <v>0</v>
      </c>
      <c r="T916" s="331">
        <v>0</v>
      </c>
      <c r="U916" s="328">
        <f>VLOOKUP(C916,METADATA!$J$5:$Q$29,IF(E916="HI",2,IF(E916="LO",6,10))+IF(T916=1,2,IF(D916=7,1,(IF(WEEKDAY(B916)=1,2,IF(WEEKDAY(B916)=7,1,0))))))</f>
        <v>3</v>
      </c>
      <c r="V916" s="328">
        <f>VLOOKUP(C916,METADATA!$A$5:$H$29,IF(E916="HI",2,IF(E916="LO",6,10))+IF(T916=1,2,IF(D916=7,1,(IF(WEEKDAY(B916)=1,2,IF(WEEKDAY(B916)=7,1,0))))))</f>
        <v>3</v>
      </c>
    </row>
    <row r="917" spans="2:22">
      <c r="B917" s="318">
        <f t="shared" si="55"/>
        <v>46151</v>
      </c>
      <c r="C917" s="312">
        <v>1</v>
      </c>
      <c r="D917" s="368">
        <f>IFERROR((INDEX(METADATA!$T$2:$T$20,MATCH(B917,METADATA!$S$2:$S$20,0))),0)</f>
        <v>0</v>
      </c>
      <c r="E917" s="312" t="str">
        <f t="shared" si="56"/>
        <v>LO</v>
      </c>
      <c r="F917" s="369">
        <f>VLOOKUP(C917,METADATA!$A$5:$H$29,IF(E917="HI",2,IF(E917="LO",6,10))+IF(D917=1,2,IF(D917=7,1,(IF(WEEKDAY(B917)=1,2,IF(WEEKDAY(B917)=7,1,0))))))</f>
        <v>3</v>
      </c>
      <c r="G917" s="369">
        <f>VLOOKUP(C917,METADATA!$J$5:$Q$29,IF(E917="HI",2,IF(E917="LO",6,10))+IF(D917=1,2,IF(D917=7,1,(IF(WEEKDAY(B917)=1,2,IF(WEEKDAY(B917)=7,1,0))))))</f>
        <v>3</v>
      </c>
      <c r="H917" s="370">
        <v>12998.184936523438</v>
      </c>
      <c r="I917" s="370">
        <v>1949.6639976501465</v>
      </c>
      <c r="M917" s="371">
        <f t="shared" si="57"/>
        <v>13143.591645657512</v>
      </c>
      <c r="N917" s="329">
        <f t="shared" si="58"/>
        <v>0</v>
      </c>
      <c r="T917" s="331">
        <v>0</v>
      </c>
      <c r="U917" s="328">
        <f>VLOOKUP(C917,METADATA!$J$5:$Q$29,IF(E917="HI",2,IF(E917="LO",6,10))+IF(T917=1,2,IF(D917=7,1,(IF(WEEKDAY(B917)=1,2,IF(WEEKDAY(B917)=7,1,0))))))</f>
        <v>3</v>
      </c>
      <c r="V917" s="328">
        <f>VLOOKUP(C917,METADATA!$A$5:$H$29,IF(E917="HI",2,IF(E917="LO",6,10))+IF(T917=1,2,IF(D917=7,1,(IF(WEEKDAY(B917)=1,2,IF(WEEKDAY(B917)=7,1,0))))))</f>
        <v>3</v>
      </c>
    </row>
    <row r="918" spans="2:22">
      <c r="B918" s="318">
        <f t="shared" si="55"/>
        <v>46151</v>
      </c>
      <c r="C918" s="312">
        <v>2</v>
      </c>
      <c r="D918" s="368">
        <f>IFERROR((INDEX(METADATA!$T$2:$T$20,MATCH(B918,METADATA!$S$2:$S$20,0))),0)</f>
        <v>0</v>
      </c>
      <c r="E918" s="312" t="str">
        <f t="shared" si="56"/>
        <v>LO</v>
      </c>
      <c r="F918" s="369">
        <f>VLOOKUP(C918,METADATA!$A$5:$H$29,IF(E918="HI",2,IF(E918="LO",6,10))+IF(D918=1,2,IF(D918=7,1,(IF(WEEKDAY(B918)=1,2,IF(WEEKDAY(B918)=7,1,0))))))</f>
        <v>3</v>
      </c>
      <c r="G918" s="369">
        <f>VLOOKUP(C918,METADATA!$J$5:$Q$29,IF(E918="HI",2,IF(E918="LO",6,10))+IF(D918=1,2,IF(D918=7,1,(IF(WEEKDAY(B918)=1,2,IF(WEEKDAY(B918)=7,1,0))))))</f>
        <v>3</v>
      </c>
      <c r="H918" s="370">
        <v>13005.184936523438</v>
      </c>
      <c r="I918" s="370">
        <v>2003.1865081787109</v>
      </c>
      <c r="M918" s="371">
        <f t="shared" si="57"/>
        <v>13158.555825763149</v>
      </c>
      <c r="N918" s="329">
        <f t="shared" si="58"/>
        <v>0</v>
      </c>
      <c r="T918" s="331">
        <v>0</v>
      </c>
      <c r="U918" s="328">
        <f>VLOOKUP(C918,METADATA!$J$5:$Q$29,IF(E918="HI",2,IF(E918="LO",6,10))+IF(T918=1,2,IF(D918=7,1,(IF(WEEKDAY(B918)=1,2,IF(WEEKDAY(B918)=7,1,0))))))</f>
        <v>3</v>
      </c>
      <c r="V918" s="328">
        <f>VLOOKUP(C918,METADATA!$A$5:$H$29,IF(E918="HI",2,IF(E918="LO",6,10))+IF(T918=1,2,IF(D918=7,1,(IF(WEEKDAY(B918)=1,2,IF(WEEKDAY(B918)=7,1,0))))))</f>
        <v>3</v>
      </c>
    </row>
    <row r="919" spans="2:22">
      <c r="B919" s="318">
        <f t="shared" si="55"/>
        <v>46151</v>
      </c>
      <c r="C919" s="312">
        <v>3</v>
      </c>
      <c r="D919" s="368">
        <f>IFERROR((INDEX(METADATA!$T$2:$T$20,MATCH(B919,METADATA!$S$2:$S$20,0))),0)</f>
        <v>0</v>
      </c>
      <c r="E919" s="312" t="str">
        <f t="shared" si="56"/>
        <v>LO</v>
      </c>
      <c r="F919" s="369">
        <f>VLOOKUP(C919,METADATA!$A$5:$H$29,IF(E919="HI",2,IF(E919="LO",6,10))+IF(D919=1,2,IF(D919=7,1,(IF(WEEKDAY(B919)=1,2,IF(WEEKDAY(B919)=7,1,0))))))</f>
        <v>3</v>
      </c>
      <c r="G919" s="369">
        <f>VLOOKUP(C919,METADATA!$J$5:$Q$29,IF(E919="HI",2,IF(E919="LO",6,10))+IF(D919=1,2,IF(D919=7,1,(IF(WEEKDAY(B919)=1,2,IF(WEEKDAY(B919)=7,1,0))))))</f>
        <v>3</v>
      </c>
      <c r="H919" s="370">
        <v>13052.257934570313</v>
      </c>
      <c r="I919" s="370">
        <v>1987.4335021972656</v>
      </c>
      <c r="M919" s="371">
        <f t="shared" si="57"/>
        <v>13202.70158400203</v>
      </c>
      <c r="N919" s="329">
        <f t="shared" si="58"/>
        <v>0</v>
      </c>
      <c r="T919" s="331">
        <v>0</v>
      </c>
      <c r="U919" s="328">
        <f>VLOOKUP(C919,METADATA!$J$5:$Q$29,IF(E919="HI",2,IF(E919="LO",6,10))+IF(T919=1,2,IF(D919=7,1,(IF(WEEKDAY(B919)=1,2,IF(WEEKDAY(B919)=7,1,0))))))</f>
        <v>3</v>
      </c>
      <c r="V919" s="328">
        <f>VLOOKUP(C919,METADATA!$A$5:$H$29,IF(E919="HI",2,IF(E919="LO",6,10))+IF(T919=1,2,IF(D919=7,1,(IF(WEEKDAY(B919)=1,2,IF(WEEKDAY(B919)=7,1,0))))))</f>
        <v>3</v>
      </c>
    </row>
    <row r="920" spans="2:22">
      <c r="B920" s="318">
        <f t="shared" si="55"/>
        <v>46151</v>
      </c>
      <c r="C920" s="312">
        <v>4</v>
      </c>
      <c r="D920" s="368">
        <f>IFERROR((INDEX(METADATA!$T$2:$T$20,MATCH(B920,METADATA!$S$2:$S$20,0))),0)</f>
        <v>0</v>
      </c>
      <c r="E920" s="312" t="str">
        <f t="shared" si="56"/>
        <v>LO</v>
      </c>
      <c r="F920" s="369">
        <f>VLOOKUP(C920,METADATA!$A$5:$H$29,IF(E920="HI",2,IF(E920="LO",6,10))+IF(D920=1,2,IF(D920=7,1,(IF(WEEKDAY(B920)=1,2,IF(WEEKDAY(B920)=7,1,0))))))</f>
        <v>3</v>
      </c>
      <c r="G920" s="369">
        <f>VLOOKUP(C920,METADATA!$J$5:$Q$29,IF(E920="HI",2,IF(E920="LO",6,10))+IF(D920=1,2,IF(D920=7,1,(IF(WEEKDAY(B920)=1,2,IF(WEEKDAY(B920)=7,1,0))))))</f>
        <v>3</v>
      </c>
      <c r="H920" s="370">
        <v>13158.765319824219</v>
      </c>
      <c r="I920" s="370">
        <v>2034.8885669708252</v>
      </c>
      <c r="M920" s="371">
        <f t="shared" si="57"/>
        <v>13315.174659845703</v>
      </c>
      <c r="N920" s="329">
        <f t="shared" si="58"/>
        <v>0</v>
      </c>
      <c r="T920" s="331">
        <v>0</v>
      </c>
      <c r="U920" s="328">
        <f>VLOOKUP(C920,METADATA!$J$5:$Q$29,IF(E920="HI",2,IF(E920="LO",6,10))+IF(T920=1,2,IF(D920=7,1,(IF(WEEKDAY(B920)=1,2,IF(WEEKDAY(B920)=7,1,0))))))</f>
        <v>3</v>
      </c>
      <c r="V920" s="328">
        <f>VLOOKUP(C920,METADATA!$A$5:$H$29,IF(E920="HI",2,IF(E920="LO",6,10))+IF(T920=1,2,IF(D920=7,1,(IF(WEEKDAY(B920)=1,2,IF(WEEKDAY(B920)=7,1,0))))))</f>
        <v>3</v>
      </c>
    </row>
    <row r="921" spans="2:22">
      <c r="B921" s="318">
        <f t="shared" si="55"/>
        <v>46151</v>
      </c>
      <c r="C921" s="312">
        <v>5</v>
      </c>
      <c r="D921" s="368">
        <f>IFERROR((INDEX(METADATA!$T$2:$T$20,MATCH(B921,METADATA!$S$2:$S$20,0))),0)</f>
        <v>0</v>
      </c>
      <c r="E921" s="312" t="str">
        <f t="shared" si="56"/>
        <v>LO</v>
      </c>
      <c r="F921" s="369">
        <f>VLOOKUP(C921,METADATA!$A$5:$H$29,IF(E921="HI",2,IF(E921="LO",6,10))+IF(D921=1,2,IF(D921=7,1,(IF(WEEKDAY(B921)=1,2,IF(WEEKDAY(B921)=7,1,0))))))</f>
        <v>3</v>
      </c>
      <c r="G921" s="369">
        <f>VLOOKUP(C921,METADATA!$J$5:$Q$29,IF(E921="HI",2,IF(E921="LO",6,10))+IF(D921=1,2,IF(D921=7,1,(IF(WEEKDAY(B921)=1,2,IF(WEEKDAY(B921)=7,1,0))))))</f>
        <v>3</v>
      </c>
      <c r="H921" s="370">
        <v>13315.724792480469</v>
      </c>
      <c r="I921" s="370">
        <v>1903.0330142974854</v>
      </c>
      <c r="M921" s="371">
        <f t="shared" si="57"/>
        <v>13451.024548434412</v>
      </c>
      <c r="N921" s="329">
        <f t="shared" si="58"/>
        <v>0</v>
      </c>
      <c r="T921" s="331">
        <v>0</v>
      </c>
      <c r="U921" s="328">
        <f>VLOOKUP(C921,METADATA!$J$5:$Q$29,IF(E921="HI",2,IF(E921="LO",6,10))+IF(T921=1,2,IF(D921=7,1,(IF(WEEKDAY(B921)=1,2,IF(WEEKDAY(B921)=7,1,0))))))</f>
        <v>3</v>
      </c>
      <c r="V921" s="328">
        <f>VLOOKUP(C921,METADATA!$A$5:$H$29,IF(E921="HI",2,IF(E921="LO",6,10))+IF(T921=1,2,IF(D921=7,1,(IF(WEEKDAY(B921)=1,2,IF(WEEKDAY(B921)=7,1,0))))))</f>
        <v>3</v>
      </c>
    </row>
    <row r="922" spans="2:22">
      <c r="B922" s="318">
        <f t="shared" si="55"/>
        <v>46151</v>
      </c>
      <c r="C922" s="312">
        <v>6</v>
      </c>
      <c r="D922" s="368">
        <f>IFERROR((INDEX(METADATA!$T$2:$T$20,MATCH(B922,METADATA!$S$2:$S$20,0))),0)</f>
        <v>0</v>
      </c>
      <c r="E922" s="312" t="str">
        <f t="shared" si="56"/>
        <v>LO</v>
      </c>
      <c r="F922" s="369">
        <f>VLOOKUP(C922,METADATA!$A$5:$H$29,IF(E922="HI",2,IF(E922="LO",6,10))+IF(D922=1,2,IF(D922=7,1,(IF(WEEKDAY(B922)=1,2,IF(WEEKDAY(B922)=7,1,0))))))</f>
        <v>3</v>
      </c>
      <c r="G922" s="369">
        <f>VLOOKUP(C922,METADATA!$J$5:$Q$29,IF(E922="HI",2,IF(E922="LO",6,10))+IF(D922=1,2,IF(D922=7,1,(IF(WEEKDAY(B922)=1,2,IF(WEEKDAY(B922)=7,1,0))))))</f>
        <v>3</v>
      </c>
      <c r="H922" s="370">
        <v>13156.885375976563</v>
      </c>
      <c r="I922" s="370">
        <v>1932.3115253448486</v>
      </c>
      <c r="M922" s="371">
        <f t="shared" si="57"/>
        <v>13298.024688936566</v>
      </c>
      <c r="N922" s="329">
        <f t="shared" si="58"/>
        <v>0</v>
      </c>
      <c r="T922" s="331">
        <v>0</v>
      </c>
      <c r="U922" s="328">
        <f>VLOOKUP(C922,METADATA!$J$5:$Q$29,IF(E922="HI",2,IF(E922="LO",6,10))+IF(T922=1,2,IF(D922=7,1,(IF(WEEKDAY(B922)=1,2,IF(WEEKDAY(B922)=7,1,0))))))</f>
        <v>3</v>
      </c>
      <c r="V922" s="328">
        <f>VLOOKUP(C922,METADATA!$A$5:$H$29,IF(E922="HI",2,IF(E922="LO",6,10))+IF(T922=1,2,IF(D922=7,1,(IF(WEEKDAY(B922)=1,2,IF(WEEKDAY(B922)=7,1,0))))))</f>
        <v>3</v>
      </c>
    </row>
    <row r="923" spans="2:22">
      <c r="B923" s="318">
        <f t="shared" si="55"/>
        <v>46151</v>
      </c>
      <c r="C923" s="312">
        <v>7</v>
      </c>
      <c r="D923" s="368">
        <f>IFERROR((INDEX(METADATA!$T$2:$T$20,MATCH(B923,METADATA!$S$2:$S$20,0))),0)</f>
        <v>0</v>
      </c>
      <c r="E923" s="312" t="str">
        <f t="shared" si="56"/>
        <v>LO</v>
      </c>
      <c r="F923" s="369">
        <f>VLOOKUP(C923,METADATA!$A$5:$H$29,IF(E923="HI",2,IF(E923="LO",6,10))+IF(D923=1,2,IF(D923=7,1,(IF(WEEKDAY(B923)=1,2,IF(WEEKDAY(B923)=7,1,0))))))</f>
        <v>2</v>
      </c>
      <c r="G923" s="369">
        <f>VLOOKUP(C923,METADATA!$J$5:$Q$29,IF(E923="HI",2,IF(E923="LO",6,10))+IF(D923=1,2,IF(D923=7,1,(IF(WEEKDAY(B923)=1,2,IF(WEEKDAY(B923)=7,1,0))))))</f>
        <v>2</v>
      </c>
      <c r="H923" s="370">
        <v>13033.784484863281</v>
      </c>
      <c r="I923" s="370">
        <v>1813.8944683074951</v>
      </c>
      <c r="M923" s="371">
        <f t="shared" si="57"/>
        <v>13159.397825889273</v>
      </c>
      <c r="N923" s="329">
        <f t="shared" si="58"/>
        <v>0</v>
      </c>
      <c r="T923" s="331">
        <v>0</v>
      </c>
      <c r="U923" s="328">
        <f>VLOOKUP(C923,METADATA!$J$5:$Q$29,IF(E923="HI",2,IF(E923="LO",6,10))+IF(T923=1,2,IF(D923=7,1,(IF(WEEKDAY(B923)=1,2,IF(WEEKDAY(B923)=7,1,0))))))</f>
        <v>2</v>
      </c>
      <c r="V923" s="328">
        <f>VLOOKUP(C923,METADATA!$A$5:$H$29,IF(E923="HI",2,IF(E923="LO",6,10))+IF(T923=1,2,IF(D923=7,1,(IF(WEEKDAY(B923)=1,2,IF(WEEKDAY(B923)=7,1,0))))))</f>
        <v>2</v>
      </c>
    </row>
    <row r="924" spans="2:22">
      <c r="B924" s="318">
        <f t="shared" ref="B924:B987" si="59">B900+1</f>
        <v>46151</v>
      </c>
      <c r="C924" s="312">
        <v>8</v>
      </c>
      <c r="D924" s="368">
        <f>IFERROR((INDEX(METADATA!$T$2:$T$20,MATCH(B924,METADATA!$S$2:$S$20,0))),0)</f>
        <v>0</v>
      </c>
      <c r="E924" s="312" t="str">
        <f t="shared" si="56"/>
        <v>LO</v>
      </c>
      <c r="F924" s="369">
        <f>VLOOKUP(C924,METADATA!$A$5:$H$29,IF(E924="HI",2,IF(E924="LO",6,10))+IF(D924=1,2,IF(D924=7,1,(IF(WEEKDAY(B924)=1,2,IF(WEEKDAY(B924)=7,1,0))))))</f>
        <v>2</v>
      </c>
      <c r="G924" s="369">
        <f>VLOOKUP(C924,METADATA!$J$5:$Q$29,IF(E924="HI",2,IF(E924="LO",6,10))+IF(D924=1,2,IF(D924=7,1,(IF(WEEKDAY(B924)=1,2,IF(WEEKDAY(B924)=7,1,0))))))</f>
        <v>2</v>
      </c>
      <c r="H924" s="370">
        <v>12966.144714355469</v>
      </c>
      <c r="I924" s="370">
        <v>1791.6749687194824</v>
      </c>
      <c r="M924" s="371">
        <f t="shared" si="57"/>
        <v>13089.347116917032</v>
      </c>
      <c r="N924" s="329">
        <f t="shared" si="58"/>
        <v>0</v>
      </c>
      <c r="T924" s="331">
        <v>0</v>
      </c>
      <c r="U924" s="328">
        <f>VLOOKUP(C924,METADATA!$J$5:$Q$29,IF(E924="HI",2,IF(E924="LO",6,10))+IF(T924=1,2,IF(D924=7,1,(IF(WEEKDAY(B924)=1,2,IF(WEEKDAY(B924)=7,1,0))))))</f>
        <v>2</v>
      </c>
      <c r="V924" s="328">
        <f>VLOOKUP(C924,METADATA!$A$5:$H$29,IF(E924="HI",2,IF(E924="LO",6,10))+IF(T924=1,2,IF(D924=7,1,(IF(WEEKDAY(B924)=1,2,IF(WEEKDAY(B924)=7,1,0))))))</f>
        <v>2</v>
      </c>
    </row>
    <row r="925" spans="2:22">
      <c r="B925" s="318">
        <f t="shared" si="59"/>
        <v>46151</v>
      </c>
      <c r="C925" s="312">
        <v>9</v>
      </c>
      <c r="D925" s="368">
        <f>IFERROR((INDEX(METADATA!$T$2:$T$20,MATCH(B925,METADATA!$S$2:$S$20,0))),0)</f>
        <v>0</v>
      </c>
      <c r="E925" s="312" t="str">
        <f t="shared" si="56"/>
        <v>LO</v>
      </c>
      <c r="F925" s="369">
        <f>VLOOKUP(C925,METADATA!$A$5:$H$29,IF(E925="HI",2,IF(E925="LO",6,10))+IF(D925=1,2,IF(D925=7,1,(IF(WEEKDAY(B925)=1,2,IF(WEEKDAY(B925)=7,1,0))))))</f>
        <v>2</v>
      </c>
      <c r="G925" s="369">
        <f>VLOOKUP(C925,METADATA!$J$5:$Q$29,IF(E925="HI",2,IF(E925="LO",6,10))+IF(D925=1,2,IF(D925=7,1,(IF(WEEKDAY(B925)=1,2,IF(WEEKDAY(B925)=7,1,0))))))</f>
        <v>2</v>
      </c>
      <c r="H925" s="370">
        <v>12925.325012207031</v>
      </c>
      <c r="I925" s="370">
        <v>1874.1840415000916</v>
      </c>
      <c r="M925" s="371">
        <f t="shared" si="57"/>
        <v>13060.497406017823</v>
      </c>
      <c r="N925" s="329">
        <f t="shared" si="58"/>
        <v>0</v>
      </c>
      <c r="T925" s="331">
        <v>0</v>
      </c>
      <c r="U925" s="328">
        <f>VLOOKUP(C925,METADATA!$J$5:$Q$29,IF(E925="HI",2,IF(E925="LO",6,10))+IF(T925=1,2,IF(D925=7,1,(IF(WEEKDAY(B925)=1,2,IF(WEEKDAY(B925)=7,1,0))))))</f>
        <v>2</v>
      </c>
      <c r="V925" s="328">
        <f>VLOOKUP(C925,METADATA!$A$5:$H$29,IF(E925="HI",2,IF(E925="LO",6,10))+IF(T925=1,2,IF(D925=7,1,(IF(WEEKDAY(B925)=1,2,IF(WEEKDAY(B925)=7,1,0))))))</f>
        <v>2</v>
      </c>
    </row>
    <row r="926" spans="2:22">
      <c r="B926" s="318">
        <f t="shared" si="59"/>
        <v>46151</v>
      </c>
      <c r="C926" s="312">
        <v>10</v>
      </c>
      <c r="D926" s="368">
        <f>IFERROR((INDEX(METADATA!$T$2:$T$20,MATCH(B926,METADATA!$S$2:$S$20,0))),0)</f>
        <v>0</v>
      </c>
      <c r="E926" s="312" t="str">
        <f t="shared" si="56"/>
        <v>LO</v>
      </c>
      <c r="F926" s="369">
        <f>VLOOKUP(C926,METADATA!$A$5:$H$29,IF(E926="HI",2,IF(E926="LO",6,10))+IF(D926=1,2,IF(D926=7,1,(IF(WEEKDAY(B926)=1,2,IF(WEEKDAY(B926)=7,1,0))))))</f>
        <v>2</v>
      </c>
      <c r="G926" s="369">
        <f>VLOOKUP(C926,METADATA!$J$5:$Q$29,IF(E926="HI",2,IF(E926="LO",6,10))+IF(D926=1,2,IF(D926=7,1,(IF(WEEKDAY(B926)=1,2,IF(WEEKDAY(B926)=7,1,0))))))</f>
        <v>2</v>
      </c>
      <c r="H926" s="370">
        <v>12714.060180664063</v>
      </c>
      <c r="I926" s="370">
        <v>1790.7330360412598</v>
      </c>
      <c r="M926" s="371">
        <f t="shared" si="57"/>
        <v>12839.550267977342</v>
      </c>
      <c r="N926" s="329">
        <f t="shared" si="58"/>
        <v>0</v>
      </c>
      <c r="T926" s="331">
        <v>0</v>
      </c>
      <c r="U926" s="328">
        <f>VLOOKUP(C926,METADATA!$J$5:$Q$29,IF(E926="HI",2,IF(E926="LO",6,10))+IF(T926=1,2,IF(D926=7,1,(IF(WEEKDAY(B926)=1,2,IF(WEEKDAY(B926)=7,1,0))))))</f>
        <v>2</v>
      </c>
      <c r="V926" s="328">
        <f>VLOOKUP(C926,METADATA!$A$5:$H$29,IF(E926="HI",2,IF(E926="LO",6,10))+IF(T926=1,2,IF(D926=7,1,(IF(WEEKDAY(B926)=1,2,IF(WEEKDAY(B926)=7,1,0))))))</f>
        <v>2</v>
      </c>
    </row>
    <row r="927" spans="2:22">
      <c r="B927" s="318">
        <f t="shared" si="59"/>
        <v>46151</v>
      </c>
      <c r="C927" s="312">
        <v>11</v>
      </c>
      <c r="D927" s="368">
        <f>IFERROR((INDEX(METADATA!$T$2:$T$20,MATCH(B927,METADATA!$S$2:$S$20,0))),0)</f>
        <v>0</v>
      </c>
      <c r="E927" s="312" t="str">
        <f t="shared" si="56"/>
        <v>LO</v>
      </c>
      <c r="F927" s="369">
        <f>VLOOKUP(C927,METADATA!$A$5:$H$29,IF(E927="HI",2,IF(E927="LO",6,10))+IF(D927=1,2,IF(D927=7,1,(IF(WEEKDAY(B927)=1,2,IF(WEEKDAY(B927)=7,1,0))))))</f>
        <v>2</v>
      </c>
      <c r="G927" s="369">
        <f>VLOOKUP(C927,METADATA!$J$5:$Q$29,IF(E927="HI",2,IF(E927="LO",6,10))+IF(D927=1,2,IF(D927=7,1,(IF(WEEKDAY(B927)=1,2,IF(WEEKDAY(B927)=7,1,0))))))</f>
        <v>2</v>
      </c>
      <c r="H927" s="370">
        <v>13108.284484863281</v>
      </c>
      <c r="I927" s="370">
        <v>2026.1759376525879</v>
      </c>
      <c r="M927" s="371">
        <f t="shared" si="57"/>
        <v>13263.955332646057</v>
      </c>
      <c r="N927" s="329">
        <f t="shared" si="58"/>
        <v>0</v>
      </c>
      <c r="T927" s="331">
        <v>0</v>
      </c>
      <c r="U927" s="328">
        <f>VLOOKUP(C927,METADATA!$J$5:$Q$29,IF(E927="HI",2,IF(E927="LO",6,10))+IF(T927=1,2,IF(D927=7,1,(IF(WEEKDAY(B927)=1,2,IF(WEEKDAY(B927)=7,1,0))))))</f>
        <v>2</v>
      </c>
      <c r="V927" s="328">
        <f>VLOOKUP(C927,METADATA!$A$5:$H$29,IF(E927="HI",2,IF(E927="LO",6,10))+IF(T927=1,2,IF(D927=7,1,(IF(WEEKDAY(B927)=1,2,IF(WEEKDAY(B927)=7,1,0))))))</f>
        <v>2</v>
      </c>
    </row>
    <row r="928" spans="2:22">
      <c r="B928" s="318">
        <f t="shared" si="59"/>
        <v>46151</v>
      </c>
      <c r="C928" s="312">
        <v>12</v>
      </c>
      <c r="D928" s="368">
        <f>IFERROR((INDEX(METADATA!$T$2:$T$20,MATCH(B928,METADATA!$S$2:$S$20,0))),0)</f>
        <v>0</v>
      </c>
      <c r="E928" s="312" t="str">
        <f t="shared" si="56"/>
        <v>LO</v>
      </c>
      <c r="F928" s="369">
        <f>VLOOKUP(C928,METADATA!$A$5:$H$29,IF(E928="HI",2,IF(E928="LO",6,10))+IF(D928=1,2,IF(D928=7,1,(IF(WEEKDAY(B928)=1,2,IF(WEEKDAY(B928)=7,1,0))))))</f>
        <v>3</v>
      </c>
      <c r="G928" s="369">
        <f>VLOOKUP(C928,METADATA!$J$5:$Q$29,IF(E928="HI",2,IF(E928="LO",6,10))+IF(D928=1,2,IF(D928=7,1,(IF(WEEKDAY(B928)=1,2,IF(WEEKDAY(B928)=7,1,0))))))</f>
        <v>3</v>
      </c>
      <c r="H928" s="370">
        <v>13200.070190429688</v>
      </c>
      <c r="I928" s="370">
        <v>2034.6734504699707</v>
      </c>
      <c r="M928" s="371">
        <f t="shared" si="57"/>
        <v>13355.963053345042</v>
      </c>
      <c r="N928" s="329">
        <f t="shared" si="58"/>
        <v>0</v>
      </c>
      <c r="T928" s="331">
        <v>0</v>
      </c>
      <c r="U928" s="328">
        <f>VLOOKUP(C928,METADATA!$J$5:$Q$29,IF(E928="HI",2,IF(E928="LO",6,10))+IF(T928=1,2,IF(D928=7,1,(IF(WEEKDAY(B928)=1,2,IF(WEEKDAY(B928)=7,1,0))))))</f>
        <v>3</v>
      </c>
      <c r="V928" s="328">
        <f>VLOOKUP(C928,METADATA!$A$5:$H$29,IF(E928="HI",2,IF(E928="LO",6,10))+IF(T928=1,2,IF(D928=7,1,(IF(WEEKDAY(B928)=1,2,IF(WEEKDAY(B928)=7,1,0))))))</f>
        <v>3</v>
      </c>
    </row>
    <row r="929" spans="2:22">
      <c r="B929" s="318">
        <f t="shared" si="59"/>
        <v>46151</v>
      </c>
      <c r="C929" s="312">
        <v>13</v>
      </c>
      <c r="D929" s="368">
        <f>IFERROR((INDEX(METADATA!$T$2:$T$20,MATCH(B929,METADATA!$S$2:$S$20,0))),0)</f>
        <v>0</v>
      </c>
      <c r="E929" s="312" t="str">
        <f t="shared" si="56"/>
        <v>LO</v>
      </c>
      <c r="F929" s="369">
        <f>VLOOKUP(C929,METADATA!$A$5:$H$29,IF(E929="HI",2,IF(E929="LO",6,10))+IF(D929=1,2,IF(D929=7,1,(IF(WEEKDAY(B929)=1,2,IF(WEEKDAY(B929)=7,1,0))))))</f>
        <v>3</v>
      </c>
      <c r="G929" s="369">
        <f>VLOOKUP(C929,METADATA!$J$5:$Q$29,IF(E929="HI",2,IF(E929="LO",6,10))+IF(D929=1,2,IF(D929=7,1,(IF(WEEKDAY(B929)=1,2,IF(WEEKDAY(B929)=7,1,0))))))</f>
        <v>3</v>
      </c>
      <c r="H929" s="370">
        <v>13255.055053710938</v>
      </c>
      <c r="I929" s="370">
        <v>2077.9419860839844</v>
      </c>
      <c r="M929" s="371">
        <f t="shared" si="57"/>
        <v>13416.941804093751</v>
      </c>
      <c r="N929" s="329">
        <f t="shared" si="58"/>
        <v>0</v>
      </c>
      <c r="T929" s="331">
        <v>0</v>
      </c>
      <c r="U929" s="328">
        <f>VLOOKUP(C929,METADATA!$J$5:$Q$29,IF(E929="HI",2,IF(E929="LO",6,10))+IF(T929=1,2,IF(D929=7,1,(IF(WEEKDAY(B929)=1,2,IF(WEEKDAY(B929)=7,1,0))))))</f>
        <v>3</v>
      </c>
      <c r="V929" s="328">
        <f>VLOOKUP(C929,METADATA!$A$5:$H$29,IF(E929="HI",2,IF(E929="LO",6,10))+IF(T929=1,2,IF(D929=7,1,(IF(WEEKDAY(B929)=1,2,IF(WEEKDAY(B929)=7,1,0))))))</f>
        <v>3</v>
      </c>
    </row>
    <row r="930" spans="2:22">
      <c r="B930" s="318">
        <f t="shared" si="59"/>
        <v>46151</v>
      </c>
      <c r="C930" s="312">
        <v>14</v>
      </c>
      <c r="D930" s="368">
        <f>IFERROR((INDEX(METADATA!$T$2:$T$20,MATCH(B930,METADATA!$S$2:$S$20,0))),0)</f>
        <v>0</v>
      </c>
      <c r="E930" s="312" t="str">
        <f t="shared" si="56"/>
        <v>LO</v>
      </c>
      <c r="F930" s="369">
        <f>VLOOKUP(C930,METADATA!$A$5:$H$29,IF(E930="HI",2,IF(E930="LO",6,10))+IF(D930=1,2,IF(D930=7,1,(IF(WEEKDAY(B930)=1,2,IF(WEEKDAY(B930)=7,1,0))))))</f>
        <v>3</v>
      </c>
      <c r="G930" s="369">
        <f>VLOOKUP(C930,METADATA!$J$5:$Q$29,IF(E930="HI",2,IF(E930="LO",6,10))+IF(D930=1,2,IF(D930=7,1,(IF(WEEKDAY(B930)=1,2,IF(WEEKDAY(B930)=7,1,0))))))</f>
        <v>3</v>
      </c>
      <c r="H930" s="370">
        <v>13174.824890136719</v>
      </c>
      <c r="I930" s="370">
        <v>2092.948034286499</v>
      </c>
      <c r="M930" s="371">
        <f t="shared" si="57"/>
        <v>13340.031572675896</v>
      </c>
      <c r="N930" s="329">
        <f t="shared" si="58"/>
        <v>0</v>
      </c>
      <c r="T930" s="331">
        <v>0</v>
      </c>
      <c r="U930" s="328">
        <f>VLOOKUP(C930,METADATA!$J$5:$Q$29,IF(E930="HI",2,IF(E930="LO",6,10))+IF(T930=1,2,IF(D930=7,1,(IF(WEEKDAY(B930)=1,2,IF(WEEKDAY(B930)=7,1,0))))))</f>
        <v>3</v>
      </c>
      <c r="V930" s="328">
        <f>VLOOKUP(C930,METADATA!$A$5:$H$29,IF(E930="HI",2,IF(E930="LO",6,10))+IF(T930=1,2,IF(D930=7,1,(IF(WEEKDAY(B930)=1,2,IF(WEEKDAY(B930)=7,1,0))))))</f>
        <v>3</v>
      </c>
    </row>
    <row r="931" spans="2:22">
      <c r="B931" s="318">
        <f t="shared" si="59"/>
        <v>46151</v>
      </c>
      <c r="C931" s="312">
        <v>15</v>
      </c>
      <c r="D931" s="368">
        <f>IFERROR((INDEX(METADATA!$T$2:$T$20,MATCH(B931,METADATA!$S$2:$S$20,0))),0)</f>
        <v>0</v>
      </c>
      <c r="E931" s="312" t="str">
        <f t="shared" si="56"/>
        <v>LO</v>
      </c>
      <c r="F931" s="369">
        <f>VLOOKUP(C931,METADATA!$A$5:$H$29,IF(E931="HI",2,IF(E931="LO",6,10))+IF(D931=1,2,IF(D931=7,1,(IF(WEEKDAY(B931)=1,2,IF(WEEKDAY(B931)=7,1,0))))))</f>
        <v>3</v>
      </c>
      <c r="G931" s="369">
        <f>VLOOKUP(C931,METADATA!$J$5:$Q$29,IF(E931="HI",2,IF(E931="LO",6,10))+IF(D931=1,2,IF(D931=7,1,(IF(WEEKDAY(B931)=1,2,IF(WEEKDAY(B931)=7,1,0))))))</f>
        <v>3</v>
      </c>
      <c r="H931" s="370">
        <v>13143.250122070313</v>
      </c>
      <c r="I931" s="370">
        <v>2013.0209999084473</v>
      </c>
      <c r="M931" s="371">
        <f t="shared" si="57"/>
        <v>13296.513727942887</v>
      </c>
      <c r="N931" s="329">
        <f t="shared" si="58"/>
        <v>0</v>
      </c>
      <c r="T931" s="331">
        <v>0</v>
      </c>
      <c r="U931" s="328">
        <f>VLOOKUP(C931,METADATA!$J$5:$Q$29,IF(E931="HI",2,IF(E931="LO",6,10))+IF(T931=1,2,IF(D931=7,1,(IF(WEEKDAY(B931)=1,2,IF(WEEKDAY(B931)=7,1,0))))))</f>
        <v>3</v>
      </c>
      <c r="V931" s="328">
        <f>VLOOKUP(C931,METADATA!$A$5:$H$29,IF(E931="HI",2,IF(E931="LO",6,10))+IF(T931=1,2,IF(D931=7,1,(IF(WEEKDAY(B931)=1,2,IF(WEEKDAY(B931)=7,1,0))))))</f>
        <v>3</v>
      </c>
    </row>
    <row r="932" spans="2:22">
      <c r="B932" s="318">
        <f t="shared" si="59"/>
        <v>46151</v>
      </c>
      <c r="C932" s="312">
        <v>16</v>
      </c>
      <c r="D932" s="368">
        <f>IFERROR((INDEX(METADATA!$T$2:$T$20,MATCH(B932,METADATA!$S$2:$S$20,0))),0)</f>
        <v>0</v>
      </c>
      <c r="E932" s="312" t="str">
        <f t="shared" si="56"/>
        <v>LO</v>
      </c>
      <c r="F932" s="369">
        <f>VLOOKUP(C932,METADATA!$A$5:$H$29,IF(E932="HI",2,IF(E932="LO",6,10))+IF(D932=1,2,IF(D932=7,1,(IF(WEEKDAY(B932)=1,2,IF(WEEKDAY(B932)=7,1,0))))))</f>
        <v>3</v>
      </c>
      <c r="G932" s="369">
        <f>VLOOKUP(C932,METADATA!$J$5:$Q$29,IF(E932="HI",2,IF(E932="LO",6,10))+IF(D932=1,2,IF(D932=7,1,(IF(WEEKDAY(B932)=1,2,IF(WEEKDAY(B932)=7,1,0))))))</f>
        <v>3</v>
      </c>
      <c r="H932" s="370">
        <v>13196.940063476563</v>
      </c>
      <c r="I932" s="370">
        <v>2083.7035236358643</v>
      </c>
      <c r="M932" s="371">
        <f t="shared" si="57"/>
        <v>13360.428414291409</v>
      </c>
      <c r="N932" s="329">
        <f t="shared" si="58"/>
        <v>0</v>
      </c>
      <c r="T932" s="331">
        <v>0</v>
      </c>
      <c r="U932" s="328">
        <f>VLOOKUP(C932,METADATA!$J$5:$Q$29,IF(E932="HI",2,IF(E932="LO",6,10))+IF(T932=1,2,IF(D932=7,1,(IF(WEEKDAY(B932)=1,2,IF(WEEKDAY(B932)=7,1,0))))))</f>
        <v>3</v>
      </c>
      <c r="V932" s="328">
        <f>VLOOKUP(C932,METADATA!$A$5:$H$29,IF(E932="HI",2,IF(E932="LO",6,10))+IF(T932=1,2,IF(D932=7,1,(IF(WEEKDAY(B932)=1,2,IF(WEEKDAY(B932)=7,1,0))))))</f>
        <v>3</v>
      </c>
    </row>
    <row r="933" spans="2:22">
      <c r="B933" s="318">
        <f t="shared" si="59"/>
        <v>46151</v>
      </c>
      <c r="C933" s="312">
        <v>17</v>
      </c>
      <c r="D933" s="368">
        <f>IFERROR((INDEX(METADATA!$T$2:$T$20,MATCH(B933,METADATA!$S$2:$S$20,0))),0)</f>
        <v>0</v>
      </c>
      <c r="E933" s="312" t="str">
        <f t="shared" si="56"/>
        <v>LO</v>
      </c>
      <c r="F933" s="369">
        <f>VLOOKUP(C933,METADATA!$A$5:$H$29,IF(E933="HI",2,IF(E933="LO",6,10))+IF(D933=1,2,IF(D933=7,1,(IF(WEEKDAY(B933)=1,2,IF(WEEKDAY(B933)=7,1,0))))))</f>
        <v>3</v>
      </c>
      <c r="G933" s="369">
        <f>VLOOKUP(C933,METADATA!$J$5:$Q$29,IF(E933="HI",2,IF(E933="LO",6,10))+IF(D933=1,2,IF(D933=7,1,(IF(WEEKDAY(B933)=1,2,IF(WEEKDAY(B933)=7,1,0))))))</f>
        <v>3</v>
      </c>
      <c r="H933" s="370">
        <v>13218.085266113281</v>
      </c>
      <c r="I933" s="370">
        <v>1993.6094799041748</v>
      </c>
      <c r="M933" s="371">
        <f t="shared" si="57"/>
        <v>13367.582311719827</v>
      </c>
      <c r="N933" s="329">
        <f t="shared" si="58"/>
        <v>0</v>
      </c>
      <c r="T933" s="331">
        <v>0</v>
      </c>
      <c r="U933" s="328">
        <f>VLOOKUP(C933,METADATA!$J$5:$Q$29,IF(E933="HI",2,IF(E933="LO",6,10))+IF(T933=1,2,IF(D933=7,1,(IF(WEEKDAY(B933)=1,2,IF(WEEKDAY(B933)=7,1,0))))))</f>
        <v>3</v>
      </c>
      <c r="V933" s="328">
        <f>VLOOKUP(C933,METADATA!$A$5:$H$29,IF(E933="HI",2,IF(E933="LO",6,10))+IF(T933=1,2,IF(D933=7,1,(IF(WEEKDAY(B933)=1,2,IF(WEEKDAY(B933)=7,1,0))))))</f>
        <v>3</v>
      </c>
    </row>
    <row r="934" spans="2:22">
      <c r="B934" s="318">
        <f t="shared" si="59"/>
        <v>46151</v>
      </c>
      <c r="C934" s="312">
        <v>18</v>
      </c>
      <c r="D934" s="368">
        <f>IFERROR((INDEX(METADATA!$T$2:$T$20,MATCH(B934,METADATA!$S$2:$S$20,0))),0)</f>
        <v>0</v>
      </c>
      <c r="E934" s="312" t="str">
        <f t="shared" si="56"/>
        <v>LO</v>
      </c>
      <c r="F934" s="369">
        <f>VLOOKUP(C934,METADATA!$A$5:$H$29,IF(E934="HI",2,IF(E934="LO",6,10))+IF(D934=1,2,IF(D934=7,1,(IF(WEEKDAY(B934)=1,2,IF(WEEKDAY(B934)=7,1,0))))))</f>
        <v>2</v>
      </c>
      <c r="G934" s="369">
        <f>VLOOKUP(C934,METADATA!$J$5:$Q$29,IF(E934="HI",2,IF(E934="LO",6,10))+IF(D934=1,2,IF(D934=7,1,(IF(WEEKDAY(B934)=1,2,IF(WEEKDAY(B934)=7,1,0))))))</f>
        <v>2</v>
      </c>
      <c r="H934" s="370">
        <v>13279.874755859375</v>
      </c>
      <c r="I934" s="370">
        <v>1952.8555297851563</v>
      </c>
      <c r="M934" s="371">
        <f t="shared" si="57"/>
        <v>13422.694150263707</v>
      </c>
      <c r="N934" s="329">
        <f t="shared" si="58"/>
        <v>0</v>
      </c>
      <c r="T934" s="331">
        <v>0</v>
      </c>
      <c r="U934" s="328">
        <f>VLOOKUP(C934,METADATA!$J$5:$Q$29,IF(E934="HI",2,IF(E934="LO",6,10))+IF(T934=1,2,IF(D934=7,1,(IF(WEEKDAY(B934)=1,2,IF(WEEKDAY(B934)=7,1,0))))))</f>
        <v>2</v>
      </c>
      <c r="V934" s="328">
        <f>VLOOKUP(C934,METADATA!$A$5:$H$29,IF(E934="HI",2,IF(E934="LO",6,10))+IF(T934=1,2,IF(D934=7,1,(IF(WEEKDAY(B934)=1,2,IF(WEEKDAY(B934)=7,1,0))))))</f>
        <v>2</v>
      </c>
    </row>
    <row r="935" spans="2:22">
      <c r="B935" s="318">
        <f t="shared" si="59"/>
        <v>46151</v>
      </c>
      <c r="C935" s="312">
        <v>19</v>
      </c>
      <c r="D935" s="368">
        <f>IFERROR((INDEX(METADATA!$T$2:$T$20,MATCH(B935,METADATA!$S$2:$S$20,0))),0)</f>
        <v>0</v>
      </c>
      <c r="E935" s="312" t="str">
        <f t="shared" si="56"/>
        <v>LO</v>
      </c>
      <c r="F935" s="369">
        <f>VLOOKUP(C935,METADATA!$A$5:$H$29,IF(E935="HI",2,IF(E935="LO",6,10))+IF(D935=1,2,IF(D935=7,1,(IF(WEEKDAY(B935)=1,2,IF(WEEKDAY(B935)=7,1,0))))))</f>
        <v>2</v>
      </c>
      <c r="G935" s="369">
        <f>VLOOKUP(C935,METADATA!$J$5:$Q$29,IF(E935="HI",2,IF(E935="LO",6,10))+IF(D935=1,2,IF(D935=7,1,(IF(WEEKDAY(B935)=1,2,IF(WEEKDAY(B935)=7,1,0))))))</f>
        <v>2</v>
      </c>
      <c r="H935" s="370">
        <v>13217.279907226563</v>
      </c>
      <c r="I935" s="370">
        <v>1923.1435165405273</v>
      </c>
      <c r="M935" s="371">
        <f t="shared" si="57"/>
        <v>13356.457956029617</v>
      </c>
      <c r="N935" s="329">
        <f t="shared" si="58"/>
        <v>0</v>
      </c>
      <c r="T935" s="331">
        <v>0</v>
      </c>
      <c r="U935" s="328">
        <f>VLOOKUP(C935,METADATA!$J$5:$Q$29,IF(E935="HI",2,IF(E935="LO",6,10))+IF(T935=1,2,IF(D935=7,1,(IF(WEEKDAY(B935)=1,2,IF(WEEKDAY(B935)=7,1,0))))))</f>
        <v>2</v>
      </c>
      <c r="V935" s="328">
        <f>VLOOKUP(C935,METADATA!$A$5:$H$29,IF(E935="HI",2,IF(E935="LO",6,10))+IF(T935=1,2,IF(D935=7,1,(IF(WEEKDAY(B935)=1,2,IF(WEEKDAY(B935)=7,1,0))))))</f>
        <v>2</v>
      </c>
    </row>
    <row r="936" spans="2:22">
      <c r="B936" s="318">
        <f t="shared" si="59"/>
        <v>46151</v>
      </c>
      <c r="C936" s="312">
        <v>20</v>
      </c>
      <c r="D936" s="368">
        <f>IFERROR((INDEX(METADATA!$T$2:$T$20,MATCH(B936,METADATA!$S$2:$S$20,0))),0)</f>
        <v>0</v>
      </c>
      <c r="E936" s="312" t="str">
        <f t="shared" si="56"/>
        <v>LO</v>
      </c>
      <c r="F936" s="369">
        <f>VLOOKUP(C936,METADATA!$A$5:$H$29,IF(E936="HI",2,IF(E936="LO",6,10))+IF(D936=1,2,IF(D936=7,1,(IF(WEEKDAY(B936)=1,2,IF(WEEKDAY(B936)=7,1,0))))))</f>
        <v>3</v>
      </c>
      <c r="G936" s="369">
        <f>VLOOKUP(C936,METADATA!$J$5:$Q$29,IF(E936="HI",2,IF(E936="LO",6,10))+IF(D936=1,2,IF(D936=7,1,(IF(WEEKDAY(B936)=1,2,IF(WEEKDAY(B936)=7,1,0))))))</f>
        <v>3</v>
      </c>
      <c r="H936" s="370">
        <v>13159.199951171875</v>
      </c>
      <c r="I936" s="370">
        <v>1865.5454940795898</v>
      </c>
      <c r="M936" s="371">
        <f t="shared" si="57"/>
        <v>13290.778884076077</v>
      </c>
      <c r="N936" s="329">
        <f t="shared" si="58"/>
        <v>0</v>
      </c>
      <c r="T936" s="331">
        <v>0</v>
      </c>
      <c r="U936" s="328">
        <f>VLOOKUP(C936,METADATA!$J$5:$Q$29,IF(E936="HI",2,IF(E936="LO",6,10))+IF(T936=1,2,IF(D936=7,1,(IF(WEEKDAY(B936)=1,2,IF(WEEKDAY(B936)=7,1,0))))))</f>
        <v>3</v>
      </c>
      <c r="V936" s="328">
        <f>VLOOKUP(C936,METADATA!$A$5:$H$29,IF(E936="HI",2,IF(E936="LO",6,10))+IF(T936=1,2,IF(D936=7,1,(IF(WEEKDAY(B936)=1,2,IF(WEEKDAY(B936)=7,1,0))))))</f>
        <v>3</v>
      </c>
    </row>
    <row r="937" spans="2:22">
      <c r="B937" s="318">
        <f t="shared" si="59"/>
        <v>46151</v>
      </c>
      <c r="C937" s="312">
        <v>21</v>
      </c>
      <c r="D937" s="368">
        <f>IFERROR((INDEX(METADATA!$T$2:$T$20,MATCH(B937,METADATA!$S$2:$S$20,0))),0)</f>
        <v>0</v>
      </c>
      <c r="E937" s="312" t="str">
        <f t="shared" si="56"/>
        <v>LO</v>
      </c>
      <c r="F937" s="369">
        <f>VLOOKUP(C937,METADATA!$A$5:$H$29,IF(E937="HI",2,IF(E937="LO",6,10))+IF(D937=1,2,IF(D937=7,1,(IF(WEEKDAY(B937)=1,2,IF(WEEKDAY(B937)=7,1,0))))))</f>
        <v>3</v>
      </c>
      <c r="G937" s="369">
        <f>VLOOKUP(C937,METADATA!$J$5:$Q$29,IF(E937="HI",2,IF(E937="LO",6,10))+IF(D937=1,2,IF(D937=7,1,(IF(WEEKDAY(B937)=1,2,IF(WEEKDAY(B937)=7,1,0))))))</f>
        <v>3</v>
      </c>
      <c r="H937" s="370">
        <v>13300.765319824219</v>
      </c>
      <c r="I937" s="370">
        <v>2012.1110172271729</v>
      </c>
      <c r="M937" s="371">
        <f t="shared" si="57"/>
        <v>13452.098306163452</v>
      </c>
      <c r="N937" s="329">
        <f t="shared" si="58"/>
        <v>0</v>
      </c>
      <c r="T937" s="331">
        <v>0</v>
      </c>
      <c r="U937" s="328">
        <f>VLOOKUP(C937,METADATA!$J$5:$Q$29,IF(E937="HI",2,IF(E937="LO",6,10))+IF(T937=1,2,IF(D937=7,1,(IF(WEEKDAY(B937)=1,2,IF(WEEKDAY(B937)=7,1,0))))))</f>
        <v>3</v>
      </c>
      <c r="V937" s="328">
        <f>VLOOKUP(C937,METADATA!$A$5:$H$29,IF(E937="HI",2,IF(E937="LO",6,10))+IF(T937=1,2,IF(D937=7,1,(IF(WEEKDAY(B937)=1,2,IF(WEEKDAY(B937)=7,1,0))))))</f>
        <v>3</v>
      </c>
    </row>
    <row r="938" spans="2:22">
      <c r="B938" s="318">
        <f t="shared" si="59"/>
        <v>46151</v>
      </c>
      <c r="C938" s="312">
        <v>22</v>
      </c>
      <c r="D938" s="368">
        <f>IFERROR((INDEX(METADATA!$T$2:$T$20,MATCH(B938,METADATA!$S$2:$S$20,0))),0)</f>
        <v>0</v>
      </c>
      <c r="E938" s="312" t="str">
        <f t="shared" si="56"/>
        <v>LO</v>
      </c>
      <c r="F938" s="369">
        <f>VLOOKUP(C938,METADATA!$A$5:$H$29,IF(E938="HI",2,IF(E938="LO",6,10))+IF(D938=1,2,IF(D938=7,1,(IF(WEEKDAY(B938)=1,2,IF(WEEKDAY(B938)=7,1,0))))))</f>
        <v>3</v>
      </c>
      <c r="G938" s="369">
        <f>VLOOKUP(C938,METADATA!$J$5:$Q$29,IF(E938="HI",2,IF(E938="LO",6,10))+IF(D938=1,2,IF(D938=7,1,(IF(WEEKDAY(B938)=1,2,IF(WEEKDAY(B938)=7,1,0))))))</f>
        <v>3</v>
      </c>
      <c r="H938" s="370">
        <v>13194.769836425781</v>
      </c>
      <c r="I938" s="370">
        <v>2065.5839767456055</v>
      </c>
      <c r="M938" s="371">
        <f t="shared" si="57"/>
        <v>13355.470347435908</v>
      </c>
      <c r="N938" s="329">
        <f t="shared" si="58"/>
        <v>0</v>
      </c>
      <c r="T938" s="331">
        <v>0</v>
      </c>
      <c r="U938" s="328">
        <f>VLOOKUP(C938,METADATA!$J$5:$Q$29,IF(E938="HI",2,IF(E938="LO",6,10))+IF(T938=1,2,IF(D938=7,1,(IF(WEEKDAY(B938)=1,2,IF(WEEKDAY(B938)=7,1,0))))))</f>
        <v>3</v>
      </c>
      <c r="V938" s="328">
        <f>VLOOKUP(C938,METADATA!$A$5:$H$29,IF(E938="HI",2,IF(E938="LO",6,10))+IF(T938=1,2,IF(D938=7,1,(IF(WEEKDAY(B938)=1,2,IF(WEEKDAY(B938)=7,1,0))))))</f>
        <v>3</v>
      </c>
    </row>
    <row r="939" spans="2:22">
      <c r="B939" s="318">
        <f t="shared" si="59"/>
        <v>46151</v>
      </c>
      <c r="C939" s="312">
        <v>23</v>
      </c>
      <c r="D939" s="368">
        <f>IFERROR((INDEX(METADATA!$T$2:$T$20,MATCH(B939,METADATA!$S$2:$S$20,0))),0)</f>
        <v>0</v>
      </c>
      <c r="E939" s="312" t="str">
        <f t="shared" si="56"/>
        <v>LO</v>
      </c>
      <c r="F939" s="369">
        <f>VLOOKUP(C939,METADATA!$A$5:$H$29,IF(E939="HI",2,IF(E939="LO",6,10))+IF(D939=1,2,IF(D939=7,1,(IF(WEEKDAY(B939)=1,2,IF(WEEKDAY(B939)=7,1,0))))))</f>
        <v>3</v>
      </c>
      <c r="G939" s="369">
        <f>VLOOKUP(C939,METADATA!$J$5:$Q$29,IF(E939="HI",2,IF(E939="LO",6,10))+IF(D939=1,2,IF(D939=7,1,(IF(WEEKDAY(B939)=1,2,IF(WEEKDAY(B939)=7,1,0))))))</f>
        <v>3</v>
      </c>
      <c r="H939" s="370">
        <v>12906.140014648438</v>
      </c>
      <c r="I939" s="370">
        <v>1959.2415406703949</v>
      </c>
      <c r="M939" s="371">
        <f t="shared" si="57"/>
        <v>13054.006185550781</v>
      </c>
      <c r="N939" s="329">
        <f t="shared" si="58"/>
        <v>0</v>
      </c>
      <c r="T939" s="331">
        <v>0</v>
      </c>
      <c r="U939" s="328">
        <f>VLOOKUP(C939,METADATA!$J$5:$Q$29,IF(E939="HI",2,IF(E939="LO",6,10))+IF(T939=1,2,IF(D939=7,1,(IF(WEEKDAY(B939)=1,2,IF(WEEKDAY(B939)=7,1,0))))))</f>
        <v>3</v>
      </c>
      <c r="V939" s="328">
        <f>VLOOKUP(C939,METADATA!$A$5:$H$29,IF(E939="HI",2,IF(E939="LO",6,10))+IF(T939=1,2,IF(D939=7,1,(IF(WEEKDAY(B939)=1,2,IF(WEEKDAY(B939)=7,1,0))))))</f>
        <v>3</v>
      </c>
    </row>
    <row r="940" spans="2:22">
      <c r="B940" s="318">
        <f t="shared" si="59"/>
        <v>46152</v>
      </c>
      <c r="C940" s="312">
        <v>0</v>
      </c>
      <c r="D940" s="368">
        <f>IFERROR((INDEX(METADATA!$T$2:$T$20,MATCH(B940,METADATA!$S$2:$S$20,0))),0)</f>
        <v>0</v>
      </c>
      <c r="E940" s="312" t="str">
        <f t="shared" si="56"/>
        <v>LO</v>
      </c>
      <c r="F940" s="369">
        <f>VLOOKUP(C940,METADATA!$A$5:$H$29,IF(E940="HI",2,IF(E940="LO",6,10))+IF(D940=1,2,IF(D940=7,1,(IF(WEEKDAY(B940)=1,2,IF(WEEKDAY(B940)=7,1,0))))))</f>
        <v>3</v>
      </c>
      <c r="G940" s="369">
        <f>VLOOKUP(C940,METADATA!$J$5:$Q$29,IF(E940="HI",2,IF(E940="LO",6,10))+IF(D940=1,2,IF(D940=7,1,(IF(WEEKDAY(B940)=1,2,IF(WEEKDAY(B940)=7,1,0))))))</f>
        <v>3</v>
      </c>
      <c r="H940" s="370">
        <v>13055.860168457031</v>
      </c>
      <c r="I940" s="370">
        <v>2121.7434577941895</v>
      </c>
      <c r="M940" s="371">
        <f t="shared" si="57"/>
        <v>13227.141794015641</v>
      </c>
      <c r="N940" s="329">
        <f t="shared" si="58"/>
        <v>0</v>
      </c>
      <c r="T940" s="331">
        <v>0</v>
      </c>
      <c r="U940" s="328">
        <f>VLOOKUP(C940,METADATA!$J$5:$Q$29,IF(E940="HI",2,IF(E940="LO",6,10))+IF(T940=1,2,IF(D940=7,1,(IF(WEEKDAY(B940)=1,2,IF(WEEKDAY(B940)=7,1,0))))))</f>
        <v>3</v>
      </c>
      <c r="V940" s="328">
        <f>VLOOKUP(C940,METADATA!$A$5:$H$29,IF(E940="HI",2,IF(E940="LO",6,10))+IF(T940=1,2,IF(D940=7,1,(IF(WEEKDAY(B940)=1,2,IF(WEEKDAY(B940)=7,1,0))))))</f>
        <v>3</v>
      </c>
    </row>
    <row r="941" spans="2:22">
      <c r="B941" s="318">
        <f t="shared" si="59"/>
        <v>46152</v>
      </c>
      <c r="C941" s="312">
        <v>1</v>
      </c>
      <c r="D941" s="368">
        <f>IFERROR((INDEX(METADATA!$T$2:$T$20,MATCH(B941,METADATA!$S$2:$S$20,0))),0)</f>
        <v>0</v>
      </c>
      <c r="E941" s="312" t="str">
        <f t="shared" si="56"/>
        <v>LO</v>
      </c>
      <c r="F941" s="369">
        <f>VLOOKUP(C941,METADATA!$A$5:$H$29,IF(E941="HI",2,IF(E941="LO",6,10))+IF(D941=1,2,IF(D941=7,1,(IF(WEEKDAY(B941)=1,2,IF(WEEKDAY(B941)=7,1,0))))))</f>
        <v>3</v>
      </c>
      <c r="G941" s="369">
        <f>VLOOKUP(C941,METADATA!$J$5:$Q$29,IF(E941="HI",2,IF(E941="LO",6,10))+IF(D941=1,2,IF(D941=7,1,(IF(WEEKDAY(B941)=1,2,IF(WEEKDAY(B941)=7,1,0))))))</f>
        <v>3</v>
      </c>
      <c r="H941" s="370">
        <v>13055.695556640625</v>
      </c>
      <c r="I941" s="370">
        <v>2104.320484161377</v>
      </c>
      <c r="M941" s="371">
        <f t="shared" si="57"/>
        <v>13224.195671864014</v>
      </c>
      <c r="N941" s="329">
        <f t="shared" si="58"/>
        <v>0</v>
      </c>
      <c r="T941" s="331">
        <v>0</v>
      </c>
      <c r="U941" s="328">
        <f>VLOOKUP(C941,METADATA!$J$5:$Q$29,IF(E941="HI",2,IF(E941="LO",6,10))+IF(T941=1,2,IF(D941=7,1,(IF(WEEKDAY(B941)=1,2,IF(WEEKDAY(B941)=7,1,0))))))</f>
        <v>3</v>
      </c>
      <c r="V941" s="328">
        <f>VLOOKUP(C941,METADATA!$A$5:$H$29,IF(E941="HI",2,IF(E941="LO",6,10))+IF(T941=1,2,IF(D941=7,1,(IF(WEEKDAY(B941)=1,2,IF(WEEKDAY(B941)=7,1,0))))))</f>
        <v>3</v>
      </c>
    </row>
    <row r="942" spans="2:22">
      <c r="B942" s="318">
        <f t="shared" si="59"/>
        <v>46152</v>
      </c>
      <c r="C942" s="312">
        <v>2</v>
      </c>
      <c r="D942" s="368">
        <f>IFERROR((INDEX(METADATA!$T$2:$T$20,MATCH(B942,METADATA!$S$2:$S$20,0))),0)</f>
        <v>0</v>
      </c>
      <c r="E942" s="312" t="str">
        <f t="shared" si="56"/>
        <v>LO</v>
      </c>
      <c r="F942" s="369">
        <f>VLOOKUP(C942,METADATA!$A$5:$H$29,IF(E942="HI",2,IF(E942="LO",6,10))+IF(D942=1,2,IF(D942=7,1,(IF(WEEKDAY(B942)=1,2,IF(WEEKDAY(B942)=7,1,0))))))</f>
        <v>3</v>
      </c>
      <c r="G942" s="369">
        <f>VLOOKUP(C942,METADATA!$J$5:$Q$29,IF(E942="HI",2,IF(E942="LO",6,10))+IF(D942=1,2,IF(D942=7,1,(IF(WEEKDAY(B942)=1,2,IF(WEEKDAY(B942)=7,1,0))))))</f>
        <v>3</v>
      </c>
      <c r="H942" s="370">
        <v>12898.614624023438</v>
      </c>
      <c r="I942" s="370">
        <v>2066.6634559631348</v>
      </c>
      <c r="M942" s="371">
        <f t="shared" si="57"/>
        <v>13063.12968087222</v>
      </c>
      <c r="N942" s="329">
        <f t="shared" si="58"/>
        <v>0</v>
      </c>
      <c r="T942" s="331">
        <v>0</v>
      </c>
      <c r="U942" s="328">
        <f>VLOOKUP(C942,METADATA!$J$5:$Q$29,IF(E942="HI",2,IF(E942="LO",6,10))+IF(T942=1,2,IF(D942=7,1,(IF(WEEKDAY(B942)=1,2,IF(WEEKDAY(B942)=7,1,0))))))</f>
        <v>3</v>
      </c>
      <c r="V942" s="328">
        <f>VLOOKUP(C942,METADATA!$A$5:$H$29,IF(E942="HI",2,IF(E942="LO",6,10))+IF(T942=1,2,IF(D942=7,1,(IF(WEEKDAY(B942)=1,2,IF(WEEKDAY(B942)=7,1,0))))))</f>
        <v>3</v>
      </c>
    </row>
    <row r="943" spans="2:22">
      <c r="B943" s="318">
        <f t="shared" si="59"/>
        <v>46152</v>
      </c>
      <c r="C943" s="312">
        <v>3</v>
      </c>
      <c r="D943" s="368">
        <f>IFERROR((INDEX(METADATA!$T$2:$T$20,MATCH(B943,METADATA!$S$2:$S$20,0))),0)</f>
        <v>0</v>
      </c>
      <c r="E943" s="312" t="str">
        <f t="shared" si="56"/>
        <v>LO</v>
      </c>
      <c r="F943" s="369">
        <f>VLOOKUP(C943,METADATA!$A$5:$H$29,IF(E943="HI",2,IF(E943="LO",6,10))+IF(D943=1,2,IF(D943=7,1,(IF(WEEKDAY(B943)=1,2,IF(WEEKDAY(B943)=7,1,0))))))</f>
        <v>3</v>
      </c>
      <c r="G943" s="369">
        <f>VLOOKUP(C943,METADATA!$J$5:$Q$29,IF(E943="HI",2,IF(E943="LO",6,10))+IF(D943=1,2,IF(D943=7,1,(IF(WEEKDAY(B943)=1,2,IF(WEEKDAY(B943)=7,1,0))))))</f>
        <v>3</v>
      </c>
      <c r="H943" s="370">
        <v>12863.535034179688</v>
      </c>
      <c r="I943" s="370">
        <v>2015.2785472869873</v>
      </c>
      <c r="M943" s="371">
        <f t="shared" si="57"/>
        <v>13020.440898783856</v>
      </c>
      <c r="N943" s="329">
        <f t="shared" si="58"/>
        <v>0</v>
      </c>
      <c r="T943" s="331">
        <v>0</v>
      </c>
      <c r="U943" s="328">
        <f>VLOOKUP(C943,METADATA!$J$5:$Q$29,IF(E943="HI",2,IF(E943="LO",6,10))+IF(T943=1,2,IF(D943=7,1,(IF(WEEKDAY(B943)=1,2,IF(WEEKDAY(B943)=7,1,0))))))</f>
        <v>3</v>
      </c>
      <c r="V943" s="328">
        <f>VLOOKUP(C943,METADATA!$A$5:$H$29,IF(E943="HI",2,IF(E943="LO",6,10))+IF(T943=1,2,IF(D943=7,1,(IF(WEEKDAY(B943)=1,2,IF(WEEKDAY(B943)=7,1,0))))))</f>
        <v>3</v>
      </c>
    </row>
    <row r="944" spans="2:22">
      <c r="B944" s="318">
        <f t="shared" si="59"/>
        <v>46152</v>
      </c>
      <c r="C944" s="312">
        <v>4</v>
      </c>
      <c r="D944" s="368">
        <f>IFERROR((INDEX(METADATA!$T$2:$T$20,MATCH(B944,METADATA!$S$2:$S$20,0))),0)</f>
        <v>0</v>
      </c>
      <c r="E944" s="312" t="str">
        <f t="shared" si="56"/>
        <v>LO</v>
      </c>
      <c r="F944" s="369">
        <f>VLOOKUP(C944,METADATA!$A$5:$H$29,IF(E944="HI",2,IF(E944="LO",6,10))+IF(D944=1,2,IF(D944=7,1,(IF(WEEKDAY(B944)=1,2,IF(WEEKDAY(B944)=7,1,0))))))</f>
        <v>3</v>
      </c>
      <c r="G944" s="369">
        <f>VLOOKUP(C944,METADATA!$J$5:$Q$29,IF(E944="HI",2,IF(E944="LO",6,10))+IF(D944=1,2,IF(D944=7,1,(IF(WEEKDAY(B944)=1,2,IF(WEEKDAY(B944)=7,1,0))))))</f>
        <v>3</v>
      </c>
      <c r="H944" s="370">
        <v>12771.539978027344</v>
      </c>
      <c r="I944" s="370">
        <v>1985.0645122528076</v>
      </c>
      <c r="M944" s="371">
        <f t="shared" si="57"/>
        <v>12924.887408722607</v>
      </c>
      <c r="N944" s="329">
        <f t="shared" si="58"/>
        <v>0</v>
      </c>
      <c r="T944" s="331">
        <v>0</v>
      </c>
      <c r="U944" s="328">
        <f>VLOOKUP(C944,METADATA!$J$5:$Q$29,IF(E944="HI",2,IF(E944="LO",6,10))+IF(T944=1,2,IF(D944=7,1,(IF(WEEKDAY(B944)=1,2,IF(WEEKDAY(B944)=7,1,0))))))</f>
        <v>3</v>
      </c>
      <c r="V944" s="328">
        <f>VLOOKUP(C944,METADATA!$A$5:$H$29,IF(E944="HI",2,IF(E944="LO",6,10))+IF(T944=1,2,IF(D944=7,1,(IF(WEEKDAY(B944)=1,2,IF(WEEKDAY(B944)=7,1,0))))))</f>
        <v>3</v>
      </c>
    </row>
    <row r="945" spans="2:22">
      <c r="B945" s="318">
        <f t="shared" si="59"/>
        <v>46152</v>
      </c>
      <c r="C945" s="312">
        <v>5</v>
      </c>
      <c r="D945" s="368">
        <f>IFERROR((INDEX(METADATA!$T$2:$T$20,MATCH(B945,METADATA!$S$2:$S$20,0))),0)</f>
        <v>0</v>
      </c>
      <c r="E945" s="312" t="str">
        <f t="shared" si="56"/>
        <v>LO</v>
      </c>
      <c r="F945" s="369">
        <f>VLOOKUP(C945,METADATA!$A$5:$H$29,IF(E945="HI",2,IF(E945="LO",6,10))+IF(D945=1,2,IF(D945=7,1,(IF(WEEKDAY(B945)=1,2,IF(WEEKDAY(B945)=7,1,0))))))</f>
        <v>3</v>
      </c>
      <c r="G945" s="369">
        <f>VLOOKUP(C945,METADATA!$J$5:$Q$29,IF(E945="HI",2,IF(E945="LO",6,10))+IF(D945=1,2,IF(D945=7,1,(IF(WEEKDAY(B945)=1,2,IF(WEEKDAY(B945)=7,1,0))))))</f>
        <v>3</v>
      </c>
      <c r="H945" s="370">
        <v>12833.365051269531</v>
      </c>
      <c r="I945" s="370">
        <v>1967.0404653549194</v>
      </c>
      <c r="M945" s="371">
        <f t="shared" si="57"/>
        <v>12983.239454446257</v>
      </c>
      <c r="N945" s="329">
        <f t="shared" si="58"/>
        <v>0</v>
      </c>
      <c r="T945" s="331">
        <v>0</v>
      </c>
      <c r="U945" s="328">
        <f>VLOOKUP(C945,METADATA!$J$5:$Q$29,IF(E945="HI",2,IF(E945="LO",6,10))+IF(T945=1,2,IF(D945=7,1,(IF(WEEKDAY(B945)=1,2,IF(WEEKDAY(B945)=7,1,0))))))</f>
        <v>3</v>
      </c>
      <c r="V945" s="328">
        <f>VLOOKUP(C945,METADATA!$A$5:$H$29,IF(E945="HI",2,IF(E945="LO",6,10))+IF(T945=1,2,IF(D945=7,1,(IF(WEEKDAY(B945)=1,2,IF(WEEKDAY(B945)=7,1,0))))))</f>
        <v>3</v>
      </c>
    </row>
    <row r="946" spans="2:22">
      <c r="B946" s="318">
        <f t="shared" si="59"/>
        <v>46152</v>
      </c>
      <c r="C946" s="312">
        <v>6</v>
      </c>
      <c r="D946" s="368">
        <f>IFERROR((INDEX(METADATA!$T$2:$T$20,MATCH(B946,METADATA!$S$2:$S$20,0))),0)</f>
        <v>0</v>
      </c>
      <c r="E946" s="312" t="str">
        <f t="shared" si="56"/>
        <v>LO</v>
      </c>
      <c r="F946" s="369">
        <f>VLOOKUP(C946,METADATA!$A$5:$H$29,IF(E946="HI",2,IF(E946="LO",6,10))+IF(D946=1,2,IF(D946=7,1,(IF(WEEKDAY(B946)=1,2,IF(WEEKDAY(B946)=7,1,0))))))</f>
        <v>3</v>
      </c>
      <c r="G946" s="369">
        <f>VLOOKUP(C946,METADATA!$J$5:$Q$29,IF(E946="HI",2,IF(E946="LO",6,10))+IF(D946=1,2,IF(D946=7,1,(IF(WEEKDAY(B946)=1,2,IF(WEEKDAY(B946)=7,1,0))))))</f>
        <v>3</v>
      </c>
      <c r="H946" s="370">
        <v>12812.244750976563</v>
      </c>
      <c r="I946" s="370">
        <v>1819.9910418987274</v>
      </c>
      <c r="M946" s="371">
        <f t="shared" si="57"/>
        <v>12940.86484557806</v>
      </c>
      <c r="N946" s="329">
        <f t="shared" si="58"/>
        <v>0</v>
      </c>
      <c r="T946" s="331">
        <v>0</v>
      </c>
      <c r="U946" s="328">
        <f>VLOOKUP(C946,METADATA!$J$5:$Q$29,IF(E946="HI",2,IF(E946="LO",6,10))+IF(T946=1,2,IF(D946=7,1,(IF(WEEKDAY(B946)=1,2,IF(WEEKDAY(B946)=7,1,0))))))</f>
        <v>3</v>
      </c>
      <c r="V946" s="328">
        <f>VLOOKUP(C946,METADATA!$A$5:$H$29,IF(E946="HI",2,IF(E946="LO",6,10))+IF(T946=1,2,IF(D946=7,1,(IF(WEEKDAY(B946)=1,2,IF(WEEKDAY(B946)=7,1,0))))))</f>
        <v>3</v>
      </c>
    </row>
    <row r="947" spans="2:22">
      <c r="B947" s="318">
        <f t="shared" si="59"/>
        <v>46152</v>
      </c>
      <c r="C947" s="312">
        <v>7</v>
      </c>
      <c r="D947" s="368">
        <f>IFERROR((INDEX(METADATA!$T$2:$T$20,MATCH(B947,METADATA!$S$2:$S$20,0))),0)</f>
        <v>0</v>
      </c>
      <c r="E947" s="312" t="str">
        <f t="shared" si="56"/>
        <v>LO</v>
      </c>
      <c r="F947" s="369">
        <f>VLOOKUP(C947,METADATA!$A$5:$H$29,IF(E947="HI",2,IF(E947="LO",6,10))+IF(D947=1,2,IF(D947=7,1,(IF(WEEKDAY(B947)=1,2,IF(WEEKDAY(B947)=7,1,0))))))</f>
        <v>3</v>
      </c>
      <c r="G947" s="369">
        <f>VLOOKUP(C947,METADATA!$J$5:$Q$29,IF(E947="HI",2,IF(E947="LO",6,10))+IF(D947=1,2,IF(D947=7,1,(IF(WEEKDAY(B947)=1,2,IF(WEEKDAY(B947)=7,1,0))))))</f>
        <v>3</v>
      </c>
      <c r="H947" s="370">
        <v>12797.379943847656</v>
      </c>
      <c r="I947" s="370">
        <v>1794.7214822769165</v>
      </c>
      <c r="M947" s="371">
        <f t="shared" si="57"/>
        <v>12922.614233433593</v>
      </c>
      <c r="N947" s="329">
        <f t="shared" si="58"/>
        <v>0</v>
      </c>
      <c r="T947" s="331">
        <v>0</v>
      </c>
      <c r="U947" s="328">
        <f>VLOOKUP(C947,METADATA!$J$5:$Q$29,IF(E947="HI",2,IF(E947="LO",6,10))+IF(T947=1,2,IF(D947=7,1,(IF(WEEKDAY(B947)=1,2,IF(WEEKDAY(B947)=7,1,0))))))</f>
        <v>3</v>
      </c>
      <c r="V947" s="328">
        <f>VLOOKUP(C947,METADATA!$A$5:$H$29,IF(E947="HI",2,IF(E947="LO",6,10))+IF(T947=1,2,IF(D947=7,1,(IF(WEEKDAY(B947)=1,2,IF(WEEKDAY(B947)=7,1,0))))))</f>
        <v>3</v>
      </c>
    </row>
    <row r="948" spans="2:22">
      <c r="B948" s="318">
        <f t="shared" si="59"/>
        <v>46152</v>
      </c>
      <c r="C948" s="312">
        <v>8</v>
      </c>
      <c r="D948" s="368">
        <f>IFERROR((INDEX(METADATA!$T$2:$T$20,MATCH(B948,METADATA!$S$2:$S$20,0))),0)</f>
        <v>0</v>
      </c>
      <c r="E948" s="312" t="str">
        <f t="shared" si="56"/>
        <v>LO</v>
      </c>
      <c r="F948" s="369">
        <f>VLOOKUP(C948,METADATA!$A$5:$H$29,IF(E948="HI",2,IF(E948="LO",6,10))+IF(D948=1,2,IF(D948=7,1,(IF(WEEKDAY(B948)=1,2,IF(WEEKDAY(B948)=7,1,0))))))</f>
        <v>3</v>
      </c>
      <c r="G948" s="369">
        <f>VLOOKUP(C948,METADATA!$J$5:$Q$29,IF(E948="HI",2,IF(E948="LO",6,10))+IF(D948=1,2,IF(D948=7,1,(IF(WEEKDAY(B948)=1,2,IF(WEEKDAY(B948)=7,1,0))))))</f>
        <v>3</v>
      </c>
      <c r="H948" s="370">
        <v>12950.10546875</v>
      </c>
      <c r="I948" s="370">
        <v>2007.5984649658203</v>
      </c>
      <c r="M948" s="371">
        <f t="shared" si="57"/>
        <v>13104.796192550335</v>
      </c>
      <c r="N948" s="329">
        <f t="shared" si="58"/>
        <v>0</v>
      </c>
      <c r="T948" s="331">
        <v>0</v>
      </c>
      <c r="U948" s="328">
        <f>VLOOKUP(C948,METADATA!$J$5:$Q$29,IF(E948="HI",2,IF(E948="LO",6,10))+IF(T948=1,2,IF(D948=7,1,(IF(WEEKDAY(B948)=1,2,IF(WEEKDAY(B948)=7,1,0))))))</f>
        <v>3</v>
      </c>
      <c r="V948" s="328">
        <f>VLOOKUP(C948,METADATA!$A$5:$H$29,IF(E948="HI",2,IF(E948="LO",6,10))+IF(T948=1,2,IF(D948=7,1,(IF(WEEKDAY(B948)=1,2,IF(WEEKDAY(B948)=7,1,0))))))</f>
        <v>3</v>
      </c>
    </row>
    <row r="949" spans="2:22">
      <c r="B949" s="318">
        <f t="shared" si="59"/>
        <v>46152</v>
      </c>
      <c r="C949" s="312">
        <v>9</v>
      </c>
      <c r="D949" s="368">
        <f>IFERROR((INDEX(METADATA!$T$2:$T$20,MATCH(B949,METADATA!$S$2:$S$20,0))),0)</f>
        <v>0</v>
      </c>
      <c r="E949" s="312" t="str">
        <f t="shared" si="56"/>
        <v>LO</v>
      </c>
      <c r="F949" s="369">
        <f>VLOOKUP(C949,METADATA!$A$5:$H$29,IF(E949="HI",2,IF(E949="LO",6,10))+IF(D949=1,2,IF(D949=7,1,(IF(WEEKDAY(B949)=1,2,IF(WEEKDAY(B949)=7,1,0))))))</f>
        <v>3</v>
      </c>
      <c r="G949" s="369">
        <f>VLOOKUP(C949,METADATA!$J$5:$Q$29,IF(E949="HI",2,IF(E949="LO",6,10))+IF(D949=1,2,IF(D949=7,1,(IF(WEEKDAY(B949)=1,2,IF(WEEKDAY(B949)=7,1,0))))))</f>
        <v>3</v>
      </c>
      <c r="H949" s="370">
        <v>13049.845336914063</v>
      </c>
      <c r="I949" s="370">
        <v>2175.5779781341553</v>
      </c>
      <c r="M949" s="371">
        <f t="shared" si="57"/>
        <v>13229.950977094359</v>
      </c>
      <c r="N949" s="329">
        <f t="shared" si="58"/>
        <v>0</v>
      </c>
      <c r="T949" s="331">
        <v>0</v>
      </c>
      <c r="U949" s="328">
        <f>VLOOKUP(C949,METADATA!$J$5:$Q$29,IF(E949="HI",2,IF(E949="LO",6,10))+IF(T949=1,2,IF(D949=7,1,(IF(WEEKDAY(B949)=1,2,IF(WEEKDAY(B949)=7,1,0))))))</f>
        <v>3</v>
      </c>
      <c r="V949" s="328">
        <f>VLOOKUP(C949,METADATA!$A$5:$H$29,IF(E949="HI",2,IF(E949="LO",6,10))+IF(T949=1,2,IF(D949=7,1,(IF(WEEKDAY(B949)=1,2,IF(WEEKDAY(B949)=7,1,0))))))</f>
        <v>3</v>
      </c>
    </row>
    <row r="950" spans="2:22">
      <c r="B950" s="318">
        <f t="shared" si="59"/>
        <v>46152</v>
      </c>
      <c r="C950" s="312">
        <v>10</v>
      </c>
      <c r="D950" s="368">
        <f>IFERROR((INDEX(METADATA!$T$2:$T$20,MATCH(B950,METADATA!$S$2:$S$20,0))),0)</f>
        <v>0</v>
      </c>
      <c r="E950" s="312" t="str">
        <f t="shared" si="56"/>
        <v>LO</v>
      </c>
      <c r="F950" s="369">
        <f>VLOOKUP(C950,METADATA!$A$5:$H$29,IF(E950="HI",2,IF(E950="LO",6,10))+IF(D950=1,2,IF(D950=7,1,(IF(WEEKDAY(B950)=1,2,IF(WEEKDAY(B950)=7,1,0))))))</f>
        <v>3</v>
      </c>
      <c r="G950" s="369">
        <f>VLOOKUP(C950,METADATA!$J$5:$Q$29,IF(E950="HI",2,IF(E950="LO",6,10))+IF(D950=1,2,IF(D950=7,1,(IF(WEEKDAY(B950)=1,2,IF(WEEKDAY(B950)=7,1,0))))))</f>
        <v>3</v>
      </c>
      <c r="H950" s="370">
        <v>12624.590026855469</v>
      </c>
      <c r="I950" s="370">
        <v>2186.0884590148926</v>
      </c>
      <c r="M950" s="371">
        <f t="shared" si="57"/>
        <v>12812.46487202274</v>
      </c>
      <c r="N950" s="329">
        <f t="shared" si="58"/>
        <v>0</v>
      </c>
      <c r="T950" s="331">
        <v>0</v>
      </c>
      <c r="U950" s="328">
        <f>VLOOKUP(C950,METADATA!$J$5:$Q$29,IF(E950="HI",2,IF(E950="LO",6,10))+IF(T950=1,2,IF(D950=7,1,(IF(WEEKDAY(B950)=1,2,IF(WEEKDAY(B950)=7,1,0))))))</f>
        <v>3</v>
      </c>
      <c r="V950" s="328">
        <f>VLOOKUP(C950,METADATA!$A$5:$H$29,IF(E950="HI",2,IF(E950="LO",6,10))+IF(T950=1,2,IF(D950=7,1,(IF(WEEKDAY(B950)=1,2,IF(WEEKDAY(B950)=7,1,0))))))</f>
        <v>3</v>
      </c>
    </row>
    <row r="951" spans="2:22">
      <c r="B951" s="318">
        <f t="shared" si="59"/>
        <v>46152</v>
      </c>
      <c r="C951" s="312">
        <v>11</v>
      </c>
      <c r="D951" s="368">
        <f>IFERROR((INDEX(METADATA!$T$2:$T$20,MATCH(B951,METADATA!$S$2:$S$20,0))),0)</f>
        <v>0</v>
      </c>
      <c r="E951" s="312" t="str">
        <f t="shared" si="56"/>
        <v>LO</v>
      </c>
      <c r="F951" s="369">
        <f>VLOOKUP(C951,METADATA!$A$5:$H$29,IF(E951="HI",2,IF(E951="LO",6,10))+IF(D951=1,2,IF(D951=7,1,(IF(WEEKDAY(B951)=1,2,IF(WEEKDAY(B951)=7,1,0))))))</f>
        <v>3</v>
      </c>
      <c r="G951" s="369">
        <f>VLOOKUP(C951,METADATA!$J$5:$Q$29,IF(E951="HI",2,IF(E951="LO",6,10))+IF(D951=1,2,IF(D951=7,1,(IF(WEEKDAY(B951)=1,2,IF(WEEKDAY(B951)=7,1,0))))))</f>
        <v>3</v>
      </c>
      <c r="H951" s="370">
        <v>10788.650085449219</v>
      </c>
      <c r="I951" s="370">
        <v>1227.9360197782516</v>
      </c>
      <c r="M951" s="371">
        <f t="shared" si="57"/>
        <v>10858.305463327704</v>
      </c>
      <c r="N951" s="329">
        <f t="shared" si="58"/>
        <v>0</v>
      </c>
      <c r="T951" s="331">
        <v>0</v>
      </c>
      <c r="U951" s="328">
        <f>VLOOKUP(C951,METADATA!$J$5:$Q$29,IF(E951="HI",2,IF(E951="LO",6,10))+IF(T951=1,2,IF(D951=7,1,(IF(WEEKDAY(B951)=1,2,IF(WEEKDAY(B951)=7,1,0))))))</f>
        <v>3</v>
      </c>
      <c r="V951" s="328">
        <f>VLOOKUP(C951,METADATA!$A$5:$H$29,IF(E951="HI",2,IF(E951="LO",6,10))+IF(T951=1,2,IF(D951=7,1,(IF(WEEKDAY(B951)=1,2,IF(WEEKDAY(B951)=7,1,0))))))</f>
        <v>3</v>
      </c>
    </row>
    <row r="952" spans="2:22">
      <c r="B952" s="318">
        <f t="shared" si="59"/>
        <v>46152</v>
      </c>
      <c r="C952" s="312">
        <v>12</v>
      </c>
      <c r="D952" s="368">
        <f>IFERROR((INDEX(METADATA!$T$2:$T$20,MATCH(B952,METADATA!$S$2:$S$20,0))),0)</f>
        <v>0</v>
      </c>
      <c r="E952" s="312" t="str">
        <f t="shared" si="56"/>
        <v>LO</v>
      </c>
      <c r="F952" s="369">
        <f>VLOOKUP(C952,METADATA!$A$5:$H$29,IF(E952="HI",2,IF(E952="LO",6,10))+IF(D952=1,2,IF(D952=7,1,(IF(WEEKDAY(B952)=1,2,IF(WEEKDAY(B952)=7,1,0))))))</f>
        <v>3</v>
      </c>
      <c r="G952" s="369">
        <f>VLOOKUP(C952,METADATA!$J$5:$Q$29,IF(E952="HI",2,IF(E952="LO",6,10))+IF(D952=1,2,IF(D952=7,1,(IF(WEEKDAY(B952)=1,2,IF(WEEKDAY(B952)=7,1,0))))))</f>
        <v>3</v>
      </c>
      <c r="H952" s="370">
        <v>12284.099853515625</v>
      </c>
      <c r="I952" s="370">
        <v>1382.9244537353516</v>
      </c>
      <c r="M952" s="371">
        <f t="shared" si="57"/>
        <v>12361.698477793487</v>
      </c>
      <c r="N952" s="329">
        <f t="shared" si="58"/>
        <v>0</v>
      </c>
      <c r="T952" s="331">
        <v>0</v>
      </c>
      <c r="U952" s="328">
        <f>VLOOKUP(C952,METADATA!$J$5:$Q$29,IF(E952="HI",2,IF(E952="LO",6,10))+IF(T952=1,2,IF(D952=7,1,(IF(WEEKDAY(B952)=1,2,IF(WEEKDAY(B952)=7,1,0))))))</f>
        <v>3</v>
      </c>
      <c r="V952" s="328">
        <f>VLOOKUP(C952,METADATA!$A$5:$H$29,IF(E952="HI",2,IF(E952="LO",6,10))+IF(T952=1,2,IF(D952=7,1,(IF(WEEKDAY(B952)=1,2,IF(WEEKDAY(B952)=7,1,0))))))</f>
        <v>3</v>
      </c>
    </row>
    <row r="953" spans="2:22">
      <c r="B953" s="318">
        <f t="shared" si="59"/>
        <v>46152</v>
      </c>
      <c r="C953" s="312">
        <v>13</v>
      </c>
      <c r="D953" s="368">
        <f>IFERROR((INDEX(METADATA!$T$2:$T$20,MATCH(B953,METADATA!$S$2:$S$20,0))),0)</f>
        <v>0</v>
      </c>
      <c r="E953" s="312" t="str">
        <f t="shared" si="56"/>
        <v>LO</v>
      </c>
      <c r="F953" s="369">
        <f>VLOOKUP(C953,METADATA!$A$5:$H$29,IF(E953="HI",2,IF(E953="LO",6,10))+IF(D953=1,2,IF(D953=7,1,(IF(WEEKDAY(B953)=1,2,IF(WEEKDAY(B953)=7,1,0))))))</f>
        <v>3</v>
      </c>
      <c r="G953" s="369">
        <f>VLOOKUP(C953,METADATA!$J$5:$Q$29,IF(E953="HI",2,IF(E953="LO",6,10))+IF(D953=1,2,IF(D953=7,1,(IF(WEEKDAY(B953)=1,2,IF(WEEKDAY(B953)=7,1,0))))))</f>
        <v>3</v>
      </c>
      <c r="H953" s="370">
        <v>12362.900024414063</v>
      </c>
      <c r="I953" s="370">
        <v>1403.7850036621094</v>
      </c>
      <c r="M953" s="371">
        <f t="shared" si="57"/>
        <v>12442.343402677963</v>
      </c>
      <c r="N953" s="329">
        <f t="shared" si="58"/>
        <v>0</v>
      </c>
      <c r="T953" s="331">
        <v>0</v>
      </c>
      <c r="U953" s="328">
        <f>VLOOKUP(C953,METADATA!$J$5:$Q$29,IF(E953="HI",2,IF(E953="LO",6,10))+IF(T953=1,2,IF(D953=7,1,(IF(WEEKDAY(B953)=1,2,IF(WEEKDAY(B953)=7,1,0))))))</f>
        <v>3</v>
      </c>
      <c r="V953" s="328">
        <f>VLOOKUP(C953,METADATA!$A$5:$H$29,IF(E953="HI",2,IF(E953="LO",6,10))+IF(T953=1,2,IF(D953=7,1,(IF(WEEKDAY(B953)=1,2,IF(WEEKDAY(B953)=7,1,0))))))</f>
        <v>3</v>
      </c>
    </row>
    <row r="954" spans="2:22">
      <c r="B954" s="318">
        <f t="shared" si="59"/>
        <v>46152</v>
      </c>
      <c r="C954" s="312">
        <v>14</v>
      </c>
      <c r="D954" s="368">
        <f>IFERROR((INDEX(METADATA!$T$2:$T$20,MATCH(B954,METADATA!$S$2:$S$20,0))),0)</f>
        <v>0</v>
      </c>
      <c r="E954" s="312" t="str">
        <f t="shared" si="56"/>
        <v>LO</v>
      </c>
      <c r="F954" s="369">
        <f>VLOOKUP(C954,METADATA!$A$5:$H$29,IF(E954="HI",2,IF(E954="LO",6,10))+IF(D954=1,2,IF(D954=7,1,(IF(WEEKDAY(B954)=1,2,IF(WEEKDAY(B954)=7,1,0))))))</f>
        <v>3</v>
      </c>
      <c r="G954" s="369">
        <f>VLOOKUP(C954,METADATA!$J$5:$Q$29,IF(E954="HI",2,IF(E954="LO",6,10))+IF(D954=1,2,IF(D954=7,1,(IF(WEEKDAY(B954)=1,2,IF(WEEKDAY(B954)=7,1,0))))))</f>
        <v>3</v>
      </c>
      <c r="H954" s="370">
        <v>12827.420349121094</v>
      </c>
      <c r="I954" s="370">
        <v>1846.9924621582031</v>
      </c>
      <c r="M954" s="371">
        <f t="shared" si="57"/>
        <v>12959.710412208877</v>
      </c>
      <c r="N954" s="329">
        <f t="shared" si="58"/>
        <v>0</v>
      </c>
      <c r="T954" s="331">
        <v>0</v>
      </c>
      <c r="U954" s="328">
        <f>VLOOKUP(C954,METADATA!$J$5:$Q$29,IF(E954="HI",2,IF(E954="LO",6,10))+IF(T954=1,2,IF(D954=7,1,(IF(WEEKDAY(B954)=1,2,IF(WEEKDAY(B954)=7,1,0))))))</f>
        <v>3</v>
      </c>
      <c r="V954" s="328">
        <f>VLOOKUP(C954,METADATA!$A$5:$H$29,IF(E954="HI",2,IF(E954="LO",6,10))+IF(T954=1,2,IF(D954=7,1,(IF(WEEKDAY(B954)=1,2,IF(WEEKDAY(B954)=7,1,0))))))</f>
        <v>3</v>
      </c>
    </row>
    <row r="955" spans="2:22">
      <c r="B955" s="318">
        <f t="shared" si="59"/>
        <v>46152</v>
      </c>
      <c r="C955" s="312">
        <v>15</v>
      </c>
      <c r="D955" s="368">
        <f>IFERROR((INDEX(METADATA!$T$2:$T$20,MATCH(B955,METADATA!$S$2:$S$20,0))),0)</f>
        <v>0</v>
      </c>
      <c r="E955" s="312" t="str">
        <f t="shared" si="56"/>
        <v>LO</v>
      </c>
      <c r="F955" s="369">
        <f>VLOOKUP(C955,METADATA!$A$5:$H$29,IF(E955="HI",2,IF(E955="LO",6,10))+IF(D955=1,2,IF(D955=7,1,(IF(WEEKDAY(B955)=1,2,IF(WEEKDAY(B955)=7,1,0))))))</f>
        <v>3</v>
      </c>
      <c r="G955" s="369">
        <f>VLOOKUP(C955,METADATA!$J$5:$Q$29,IF(E955="HI",2,IF(E955="LO",6,10))+IF(D955=1,2,IF(D955=7,1,(IF(WEEKDAY(B955)=1,2,IF(WEEKDAY(B955)=7,1,0))))))</f>
        <v>3</v>
      </c>
      <c r="H955" s="370">
        <v>12824.054809570313</v>
      </c>
      <c r="I955" s="370">
        <v>1747.2224922180176</v>
      </c>
      <c r="M955" s="371">
        <f t="shared" si="57"/>
        <v>12942.533299017468</v>
      </c>
      <c r="N955" s="329">
        <f t="shared" si="58"/>
        <v>0</v>
      </c>
      <c r="T955" s="331">
        <v>0</v>
      </c>
      <c r="U955" s="328">
        <f>VLOOKUP(C955,METADATA!$J$5:$Q$29,IF(E955="HI",2,IF(E955="LO",6,10))+IF(T955=1,2,IF(D955=7,1,(IF(WEEKDAY(B955)=1,2,IF(WEEKDAY(B955)=7,1,0))))))</f>
        <v>3</v>
      </c>
      <c r="V955" s="328">
        <f>VLOOKUP(C955,METADATA!$A$5:$H$29,IF(E955="HI",2,IF(E955="LO",6,10))+IF(T955=1,2,IF(D955=7,1,(IF(WEEKDAY(B955)=1,2,IF(WEEKDAY(B955)=7,1,0))))))</f>
        <v>3</v>
      </c>
    </row>
    <row r="956" spans="2:22">
      <c r="B956" s="318">
        <f t="shared" si="59"/>
        <v>46152</v>
      </c>
      <c r="C956" s="312">
        <v>16</v>
      </c>
      <c r="D956" s="368">
        <f>IFERROR((INDEX(METADATA!$T$2:$T$20,MATCH(B956,METADATA!$S$2:$S$20,0))),0)</f>
        <v>0</v>
      </c>
      <c r="E956" s="312" t="str">
        <f t="shared" si="56"/>
        <v>LO</v>
      </c>
      <c r="F956" s="369">
        <f>VLOOKUP(C956,METADATA!$A$5:$H$29,IF(E956="HI",2,IF(E956="LO",6,10))+IF(D956=1,2,IF(D956=7,1,(IF(WEEKDAY(B956)=1,2,IF(WEEKDAY(B956)=7,1,0))))))</f>
        <v>3</v>
      </c>
      <c r="G956" s="369">
        <f>VLOOKUP(C956,METADATA!$J$5:$Q$29,IF(E956="HI",2,IF(E956="LO",6,10))+IF(D956=1,2,IF(D956=7,1,(IF(WEEKDAY(B956)=1,2,IF(WEEKDAY(B956)=7,1,0))))))</f>
        <v>3</v>
      </c>
      <c r="H956" s="370">
        <v>13129.159912109375</v>
      </c>
      <c r="I956" s="370">
        <v>1885.442008972168</v>
      </c>
      <c r="M956" s="371">
        <f t="shared" si="57"/>
        <v>13263.850555812851</v>
      </c>
      <c r="N956" s="329">
        <f t="shared" si="58"/>
        <v>0</v>
      </c>
      <c r="T956" s="331">
        <v>0</v>
      </c>
      <c r="U956" s="328">
        <f>VLOOKUP(C956,METADATA!$J$5:$Q$29,IF(E956="HI",2,IF(E956="LO",6,10))+IF(T956=1,2,IF(D956=7,1,(IF(WEEKDAY(B956)=1,2,IF(WEEKDAY(B956)=7,1,0))))))</f>
        <v>3</v>
      </c>
      <c r="V956" s="328">
        <f>VLOOKUP(C956,METADATA!$A$5:$H$29,IF(E956="HI",2,IF(E956="LO",6,10))+IF(T956=1,2,IF(D956=7,1,(IF(WEEKDAY(B956)=1,2,IF(WEEKDAY(B956)=7,1,0))))))</f>
        <v>3</v>
      </c>
    </row>
    <row r="957" spans="2:22">
      <c r="B957" s="318">
        <f t="shared" si="59"/>
        <v>46152</v>
      </c>
      <c r="C957" s="312">
        <v>17</v>
      </c>
      <c r="D957" s="368">
        <f>IFERROR((INDEX(METADATA!$T$2:$T$20,MATCH(B957,METADATA!$S$2:$S$20,0))),0)</f>
        <v>0</v>
      </c>
      <c r="E957" s="312" t="str">
        <f t="shared" si="56"/>
        <v>LO</v>
      </c>
      <c r="F957" s="369">
        <f>VLOOKUP(C957,METADATA!$A$5:$H$29,IF(E957="HI",2,IF(E957="LO",6,10))+IF(D957=1,2,IF(D957=7,1,(IF(WEEKDAY(B957)=1,2,IF(WEEKDAY(B957)=7,1,0))))))</f>
        <v>3</v>
      </c>
      <c r="G957" s="369">
        <f>VLOOKUP(C957,METADATA!$J$5:$Q$29,IF(E957="HI",2,IF(E957="LO",6,10))+IF(D957=1,2,IF(D957=7,1,(IF(WEEKDAY(B957)=1,2,IF(WEEKDAY(B957)=7,1,0))))))</f>
        <v>3</v>
      </c>
      <c r="H957" s="370">
        <v>13277.000244140625</v>
      </c>
      <c r="I957" s="370">
        <v>2012.1355209350586</v>
      </c>
      <c r="M957" s="371">
        <f t="shared" si="57"/>
        <v>13428.604724152052</v>
      </c>
      <c r="N957" s="329">
        <f t="shared" si="58"/>
        <v>0</v>
      </c>
      <c r="T957" s="331">
        <v>0</v>
      </c>
      <c r="U957" s="328">
        <f>VLOOKUP(C957,METADATA!$J$5:$Q$29,IF(E957="HI",2,IF(E957="LO",6,10))+IF(T957=1,2,IF(D957=7,1,(IF(WEEKDAY(B957)=1,2,IF(WEEKDAY(B957)=7,1,0))))))</f>
        <v>3</v>
      </c>
      <c r="V957" s="328">
        <f>VLOOKUP(C957,METADATA!$A$5:$H$29,IF(E957="HI",2,IF(E957="LO",6,10))+IF(T957=1,2,IF(D957=7,1,(IF(WEEKDAY(B957)=1,2,IF(WEEKDAY(B957)=7,1,0))))))</f>
        <v>3</v>
      </c>
    </row>
    <row r="958" spans="2:22">
      <c r="B958" s="318">
        <f t="shared" si="59"/>
        <v>46152</v>
      </c>
      <c r="C958" s="312">
        <v>18</v>
      </c>
      <c r="D958" s="368">
        <f>IFERROR((INDEX(METADATA!$T$2:$T$20,MATCH(B958,METADATA!$S$2:$S$20,0))),0)</f>
        <v>0</v>
      </c>
      <c r="E958" s="312" t="str">
        <f t="shared" si="56"/>
        <v>LO</v>
      </c>
      <c r="F958" s="369">
        <f>VLOOKUP(C958,METADATA!$A$5:$H$29,IF(E958="HI",2,IF(E958="LO",6,10))+IF(D958=1,2,IF(D958=7,1,(IF(WEEKDAY(B958)=1,2,IF(WEEKDAY(B958)=7,1,0))))))</f>
        <v>2</v>
      </c>
      <c r="G958" s="369">
        <f>VLOOKUP(C958,METADATA!$J$5:$Q$29,IF(E958="HI",2,IF(E958="LO",6,10))+IF(D958=1,2,IF(D958=7,1,(IF(WEEKDAY(B958)=1,2,IF(WEEKDAY(B958)=7,1,0))))))</f>
        <v>2</v>
      </c>
      <c r="H958" s="370">
        <v>13274.570007324219</v>
      </c>
      <c r="I958" s="370">
        <v>2032.8474769592285</v>
      </c>
      <c r="M958" s="371">
        <f t="shared" si="57"/>
        <v>13429.321566778093</v>
      </c>
      <c r="N958" s="329">
        <f t="shared" si="58"/>
        <v>0</v>
      </c>
      <c r="T958" s="331">
        <v>0</v>
      </c>
      <c r="U958" s="328">
        <f>VLOOKUP(C958,METADATA!$J$5:$Q$29,IF(E958="HI",2,IF(E958="LO",6,10))+IF(T958=1,2,IF(D958=7,1,(IF(WEEKDAY(B958)=1,2,IF(WEEKDAY(B958)=7,1,0))))))</f>
        <v>2</v>
      </c>
      <c r="V958" s="328">
        <f>VLOOKUP(C958,METADATA!$A$5:$H$29,IF(E958="HI",2,IF(E958="LO",6,10))+IF(T958=1,2,IF(D958=7,1,(IF(WEEKDAY(B958)=1,2,IF(WEEKDAY(B958)=7,1,0))))))</f>
        <v>2</v>
      </c>
    </row>
    <row r="959" spans="2:22">
      <c r="B959" s="318">
        <f t="shared" si="59"/>
        <v>46152</v>
      </c>
      <c r="C959" s="312">
        <v>19</v>
      </c>
      <c r="D959" s="368">
        <f>IFERROR((INDEX(METADATA!$T$2:$T$20,MATCH(B959,METADATA!$S$2:$S$20,0))),0)</f>
        <v>0</v>
      </c>
      <c r="E959" s="312" t="str">
        <f t="shared" si="56"/>
        <v>LO</v>
      </c>
      <c r="F959" s="369">
        <f>VLOOKUP(C959,METADATA!$A$5:$H$29,IF(E959="HI",2,IF(E959="LO",6,10))+IF(D959=1,2,IF(D959=7,1,(IF(WEEKDAY(B959)=1,2,IF(WEEKDAY(B959)=7,1,0))))))</f>
        <v>2</v>
      </c>
      <c r="G959" s="369">
        <f>VLOOKUP(C959,METADATA!$J$5:$Q$29,IF(E959="HI",2,IF(E959="LO",6,10))+IF(D959=1,2,IF(D959=7,1,(IF(WEEKDAY(B959)=1,2,IF(WEEKDAY(B959)=7,1,0))))))</f>
        <v>2</v>
      </c>
      <c r="H959" s="370">
        <v>13367.830261230469</v>
      </c>
      <c r="I959" s="370">
        <v>1998.3129653930664</v>
      </c>
      <c r="M959" s="371">
        <f t="shared" si="57"/>
        <v>13516.365657998716</v>
      </c>
      <c r="N959" s="329">
        <f t="shared" si="58"/>
        <v>0</v>
      </c>
      <c r="T959" s="331">
        <v>0</v>
      </c>
      <c r="U959" s="328">
        <f>VLOOKUP(C959,METADATA!$J$5:$Q$29,IF(E959="HI",2,IF(E959="LO",6,10))+IF(T959=1,2,IF(D959=7,1,(IF(WEEKDAY(B959)=1,2,IF(WEEKDAY(B959)=7,1,0))))))</f>
        <v>2</v>
      </c>
      <c r="V959" s="328">
        <f>VLOOKUP(C959,METADATA!$A$5:$H$29,IF(E959="HI",2,IF(E959="LO",6,10))+IF(T959=1,2,IF(D959=7,1,(IF(WEEKDAY(B959)=1,2,IF(WEEKDAY(B959)=7,1,0))))))</f>
        <v>2</v>
      </c>
    </row>
    <row r="960" spans="2:22">
      <c r="B960" s="318">
        <f t="shared" si="59"/>
        <v>46152</v>
      </c>
      <c r="C960" s="312">
        <v>20</v>
      </c>
      <c r="D960" s="368">
        <f>IFERROR((INDEX(METADATA!$T$2:$T$20,MATCH(B960,METADATA!$S$2:$S$20,0))),0)</f>
        <v>0</v>
      </c>
      <c r="E960" s="312" t="str">
        <f t="shared" si="56"/>
        <v>LO</v>
      </c>
      <c r="F960" s="369">
        <f>VLOOKUP(C960,METADATA!$A$5:$H$29,IF(E960="HI",2,IF(E960="LO",6,10))+IF(D960=1,2,IF(D960=7,1,(IF(WEEKDAY(B960)=1,2,IF(WEEKDAY(B960)=7,1,0))))))</f>
        <v>3</v>
      </c>
      <c r="G960" s="369">
        <f>VLOOKUP(C960,METADATA!$J$5:$Q$29,IF(E960="HI",2,IF(E960="LO",6,10))+IF(D960=1,2,IF(D960=7,1,(IF(WEEKDAY(B960)=1,2,IF(WEEKDAY(B960)=7,1,0))))))</f>
        <v>3</v>
      </c>
      <c r="H960" s="370">
        <v>13371.290100097656</v>
      </c>
      <c r="I960" s="370">
        <v>2002.3915100097656</v>
      </c>
      <c r="M960" s="371">
        <f t="shared" si="57"/>
        <v>13520.390922614952</v>
      </c>
      <c r="N960" s="329">
        <f t="shared" si="58"/>
        <v>0</v>
      </c>
      <c r="T960" s="331">
        <v>0</v>
      </c>
      <c r="U960" s="328">
        <f>VLOOKUP(C960,METADATA!$J$5:$Q$29,IF(E960="HI",2,IF(E960="LO",6,10))+IF(T960=1,2,IF(D960=7,1,(IF(WEEKDAY(B960)=1,2,IF(WEEKDAY(B960)=7,1,0))))))</f>
        <v>3</v>
      </c>
      <c r="V960" s="328">
        <f>VLOOKUP(C960,METADATA!$A$5:$H$29,IF(E960="HI",2,IF(E960="LO",6,10))+IF(T960=1,2,IF(D960=7,1,(IF(WEEKDAY(B960)=1,2,IF(WEEKDAY(B960)=7,1,0))))))</f>
        <v>3</v>
      </c>
    </row>
    <row r="961" spans="2:22">
      <c r="B961" s="318">
        <f t="shared" si="59"/>
        <v>46152</v>
      </c>
      <c r="C961" s="312">
        <v>21</v>
      </c>
      <c r="D961" s="368">
        <f>IFERROR((INDEX(METADATA!$T$2:$T$20,MATCH(B961,METADATA!$S$2:$S$20,0))),0)</f>
        <v>0</v>
      </c>
      <c r="E961" s="312" t="str">
        <f t="shared" si="56"/>
        <v>LO</v>
      </c>
      <c r="F961" s="369">
        <f>VLOOKUP(C961,METADATA!$A$5:$H$29,IF(E961="HI",2,IF(E961="LO",6,10))+IF(D961=1,2,IF(D961=7,1,(IF(WEEKDAY(B961)=1,2,IF(WEEKDAY(B961)=7,1,0))))))</f>
        <v>3</v>
      </c>
      <c r="G961" s="369">
        <f>VLOOKUP(C961,METADATA!$J$5:$Q$29,IF(E961="HI",2,IF(E961="LO",6,10))+IF(D961=1,2,IF(D961=7,1,(IF(WEEKDAY(B961)=1,2,IF(WEEKDAY(B961)=7,1,0))))))</f>
        <v>3</v>
      </c>
      <c r="H961" s="370">
        <v>13449.534790039063</v>
      </c>
      <c r="I961" s="370">
        <v>2122.2020378112793</v>
      </c>
      <c r="M961" s="371">
        <f t="shared" si="57"/>
        <v>13615.936528853292</v>
      </c>
      <c r="N961" s="329">
        <f t="shared" si="58"/>
        <v>0</v>
      </c>
      <c r="T961" s="331">
        <v>0</v>
      </c>
      <c r="U961" s="328">
        <f>VLOOKUP(C961,METADATA!$J$5:$Q$29,IF(E961="HI",2,IF(E961="LO",6,10))+IF(T961=1,2,IF(D961=7,1,(IF(WEEKDAY(B961)=1,2,IF(WEEKDAY(B961)=7,1,0))))))</f>
        <v>3</v>
      </c>
      <c r="V961" s="328">
        <f>VLOOKUP(C961,METADATA!$A$5:$H$29,IF(E961="HI",2,IF(E961="LO",6,10))+IF(T961=1,2,IF(D961=7,1,(IF(WEEKDAY(B961)=1,2,IF(WEEKDAY(B961)=7,1,0))))))</f>
        <v>3</v>
      </c>
    </row>
    <row r="962" spans="2:22">
      <c r="B962" s="318">
        <f t="shared" si="59"/>
        <v>46152</v>
      </c>
      <c r="C962" s="312">
        <v>22</v>
      </c>
      <c r="D962" s="368">
        <f>IFERROR((INDEX(METADATA!$T$2:$T$20,MATCH(B962,METADATA!$S$2:$S$20,0))),0)</f>
        <v>0</v>
      </c>
      <c r="E962" s="312" t="str">
        <f t="shared" si="56"/>
        <v>LO</v>
      </c>
      <c r="F962" s="369">
        <f>VLOOKUP(C962,METADATA!$A$5:$H$29,IF(E962="HI",2,IF(E962="LO",6,10))+IF(D962=1,2,IF(D962=7,1,(IF(WEEKDAY(B962)=1,2,IF(WEEKDAY(B962)=7,1,0))))))</f>
        <v>3</v>
      </c>
      <c r="G962" s="369">
        <f>VLOOKUP(C962,METADATA!$J$5:$Q$29,IF(E962="HI",2,IF(E962="LO",6,10))+IF(D962=1,2,IF(D962=7,1,(IF(WEEKDAY(B962)=1,2,IF(WEEKDAY(B962)=7,1,0))))))</f>
        <v>3</v>
      </c>
      <c r="H962" s="370">
        <v>13372.629821777344</v>
      </c>
      <c r="I962" s="370">
        <v>2091.9100036621094</v>
      </c>
      <c r="M962" s="371">
        <f t="shared" si="57"/>
        <v>13535.261941082277</v>
      </c>
      <c r="N962" s="329">
        <f t="shared" si="58"/>
        <v>0</v>
      </c>
      <c r="T962" s="331">
        <v>0</v>
      </c>
      <c r="U962" s="328">
        <f>VLOOKUP(C962,METADATA!$J$5:$Q$29,IF(E962="HI",2,IF(E962="LO",6,10))+IF(T962=1,2,IF(D962=7,1,(IF(WEEKDAY(B962)=1,2,IF(WEEKDAY(B962)=7,1,0))))))</f>
        <v>3</v>
      </c>
      <c r="V962" s="328">
        <f>VLOOKUP(C962,METADATA!$A$5:$H$29,IF(E962="HI",2,IF(E962="LO",6,10))+IF(T962=1,2,IF(D962=7,1,(IF(WEEKDAY(B962)=1,2,IF(WEEKDAY(B962)=7,1,0))))))</f>
        <v>3</v>
      </c>
    </row>
    <row r="963" spans="2:22">
      <c r="B963" s="318">
        <f t="shared" si="59"/>
        <v>46152</v>
      </c>
      <c r="C963" s="312">
        <v>23</v>
      </c>
      <c r="D963" s="368">
        <f>IFERROR((INDEX(METADATA!$T$2:$T$20,MATCH(B963,METADATA!$S$2:$S$20,0))),0)</f>
        <v>0</v>
      </c>
      <c r="E963" s="312" t="str">
        <f t="shared" si="56"/>
        <v>LO</v>
      </c>
      <c r="F963" s="369">
        <f>VLOOKUP(C963,METADATA!$A$5:$H$29,IF(E963="HI",2,IF(E963="LO",6,10))+IF(D963=1,2,IF(D963=7,1,(IF(WEEKDAY(B963)=1,2,IF(WEEKDAY(B963)=7,1,0))))))</f>
        <v>3</v>
      </c>
      <c r="G963" s="369">
        <f>VLOOKUP(C963,METADATA!$J$5:$Q$29,IF(E963="HI",2,IF(E963="LO",6,10))+IF(D963=1,2,IF(D963=7,1,(IF(WEEKDAY(B963)=1,2,IF(WEEKDAY(B963)=7,1,0))))))</f>
        <v>3</v>
      </c>
      <c r="H963" s="370">
        <v>13393.950073242188</v>
      </c>
      <c r="I963" s="370">
        <v>2139.0225524902344</v>
      </c>
      <c r="M963" s="371">
        <f t="shared" si="57"/>
        <v>13563.67634694098</v>
      </c>
      <c r="N963" s="329">
        <f t="shared" si="58"/>
        <v>0</v>
      </c>
      <c r="T963" s="331">
        <v>0</v>
      </c>
      <c r="U963" s="328">
        <f>VLOOKUP(C963,METADATA!$J$5:$Q$29,IF(E963="HI",2,IF(E963="LO",6,10))+IF(T963=1,2,IF(D963=7,1,(IF(WEEKDAY(B963)=1,2,IF(WEEKDAY(B963)=7,1,0))))))</f>
        <v>3</v>
      </c>
      <c r="V963" s="328">
        <f>VLOOKUP(C963,METADATA!$A$5:$H$29,IF(E963="HI",2,IF(E963="LO",6,10))+IF(T963=1,2,IF(D963=7,1,(IF(WEEKDAY(B963)=1,2,IF(WEEKDAY(B963)=7,1,0))))))</f>
        <v>3</v>
      </c>
    </row>
    <row r="964" spans="2:22">
      <c r="B964" s="318">
        <f t="shared" si="59"/>
        <v>46153</v>
      </c>
      <c r="C964" s="312">
        <v>0</v>
      </c>
      <c r="D964" s="368">
        <f>IFERROR((INDEX(METADATA!$T$2:$T$20,MATCH(B964,METADATA!$S$2:$S$20,0))),0)</f>
        <v>0</v>
      </c>
      <c r="E964" s="312" t="str">
        <f t="shared" ref="E964:E1027" si="60">IF(B964="","",IF(AND(MONTH(B964)&gt;=MONTH($Z$9),MONTH(B964)&lt;=MONTH($Z$11)),"HI","LO"))</f>
        <v>LO</v>
      </c>
      <c r="F964" s="369">
        <f>VLOOKUP(C964,METADATA!$A$5:$H$29,IF(E964="HI",2,IF(E964="LO",6,10))+IF(D964=1,2,IF(D964=7,1,(IF(WEEKDAY(B964)=1,2,IF(WEEKDAY(B964)=7,1,0))))))</f>
        <v>3</v>
      </c>
      <c r="G964" s="369">
        <f>VLOOKUP(C964,METADATA!$J$5:$Q$29,IF(E964="HI",2,IF(E964="LO",6,10))+IF(D964=1,2,IF(D964=7,1,(IF(WEEKDAY(B964)=1,2,IF(WEEKDAY(B964)=7,1,0))))))</f>
        <v>3</v>
      </c>
      <c r="H964" s="370">
        <v>13432.245361328125</v>
      </c>
      <c r="I964" s="370">
        <v>2133.3850212097168</v>
      </c>
      <c r="M964" s="371">
        <f t="shared" ref="M964:M1027" si="61">SQRT(H964^2+I964^2)</f>
        <v>13600.608335498928</v>
      </c>
      <c r="N964" s="329">
        <f t="shared" ref="N964:N1027" si="62">IF(H964=0,0,(IF(I964-(0.3*H964)&lt;0,0,(I964-(0.3*H964)))))</f>
        <v>0</v>
      </c>
      <c r="T964" s="331">
        <v>0</v>
      </c>
      <c r="U964" s="328">
        <f>VLOOKUP(C964,METADATA!$J$5:$Q$29,IF(E964="HI",2,IF(E964="LO",6,10))+IF(T964=1,2,IF(D964=7,1,(IF(WEEKDAY(B964)=1,2,IF(WEEKDAY(B964)=7,1,0))))))</f>
        <v>3</v>
      </c>
      <c r="V964" s="328">
        <f>VLOOKUP(C964,METADATA!$A$5:$H$29,IF(E964="HI",2,IF(E964="LO",6,10))+IF(T964=1,2,IF(D964=7,1,(IF(WEEKDAY(B964)=1,2,IF(WEEKDAY(B964)=7,1,0))))))</f>
        <v>3</v>
      </c>
    </row>
    <row r="965" spans="2:22">
      <c r="B965" s="318">
        <f t="shared" si="59"/>
        <v>46153</v>
      </c>
      <c r="C965" s="312">
        <v>1</v>
      </c>
      <c r="D965" s="368">
        <f>IFERROR((INDEX(METADATA!$T$2:$T$20,MATCH(B965,METADATA!$S$2:$S$20,0))),0)</f>
        <v>0</v>
      </c>
      <c r="E965" s="312" t="str">
        <f t="shared" si="60"/>
        <v>LO</v>
      </c>
      <c r="F965" s="369">
        <f>VLOOKUP(C965,METADATA!$A$5:$H$29,IF(E965="HI",2,IF(E965="LO",6,10))+IF(D965=1,2,IF(D965=7,1,(IF(WEEKDAY(B965)=1,2,IF(WEEKDAY(B965)=7,1,0))))))</f>
        <v>3</v>
      </c>
      <c r="G965" s="369">
        <f>VLOOKUP(C965,METADATA!$J$5:$Q$29,IF(E965="HI",2,IF(E965="LO",6,10))+IF(D965=1,2,IF(D965=7,1,(IF(WEEKDAY(B965)=1,2,IF(WEEKDAY(B965)=7,1,0))))))</f>
        <v>3</v>
      </c>
      <c r="H965" s="370">
        <v>13362.549987792969</v>
      </c>
      <c r="I965" s="370">
        <v>2134.4404563903809</v>
      </c>
      <c r="M965" s="371">
        <f t="shared" si="61"/>
        <v>13531.946579784515</v>
      </c>
      <c r="N965" s="329">
        <f t="shared" si="62"/>
        <v>0</v>
      </c>
      <c r="T965" s="331">
        <v>0</v>
      </c>
      <c r="U965" s="328">
        <f>VLOOKUP(C965,METADATA!$J$5:$Q$29,IF(E965="HI",2,IF(E965="LO",6,10))+IF(T965=1,2,IF(D965=7,1,(IF(WEEKDAY(B965)=1,2,IF(WEEKDAY(B965)=7,1,0))))))</f>
        <v>3</v>
      </c>
      <c r="V965" s="328">
        <f>VLOOKUP(C965,METADATA!$A$5:$H$29,IF(E965="HI",2,IF(E965="LO",6,10))+IF(T965=1,2,IF(D965=7,1,(IF(WEEKDAY(B965)=1,2,IF(WEEKDAY(B965)=7,1,0))))))</f>
        <v>3</v>
      </c>
    </row>
    <row r="966" spans="2:22">
      <c r="B966" s="318">
        <f t="shared" si="59"/>
        <v>46153</v>
      </c>
      <c r="C966" s="312">
        <v>2</v>
      </c>
      <c r="D966" s="368">
        <f>IFERROR((INDEX(METADATA!$T$2:$T$20,MATCH(B966,METADATA!$S$2:$S$20,0))),0)</f>
        <v>0</v>
      </c>
      <c r="E966" s="312" t="str">
        <f t="shared" si="60"/>
        <v>LO</v>
      </c>
      <c r="F966" s="369">
        <f>VLOOKUP(C966,METADATA!$A$5:$H$29,IF(E966="HI",2,IF(E966="LO",6,10))+IF(D966=1,2,IF(D966=7,1,(IF(WEEKDAY(B966)=1,2,IF(WEEKDAY(B966)=7,1,0))))))</f>
        <v>3</v>
      </c>
      <c r="G966" s="369">
        <f>VLOOKUP(C966,METADATA!$J$5:$Q$29,IF(E966="HI",2,IF(E966="LO",6,10))+IF(D966=1,2,IF(D966=7,1,(IF(WEEKDAY(B966)=1,2,IF(WEEKDAY(B966)=7,1,0))))))</f>
        <v>3</v>
      </c>
      <c r="H966" s="370">
        <v>13405.7001953125</v>
      </c>
      <c r="I966" s="370">
        <v>2133.7425346374512</v>
      </c>
      <c r="M966" s="371">
        <f t="shared" si="61"/>
        <v>13574.448605034484</v>
      </c>
      <c r="N966" s="329">
        <f t="shared" si="62"/>
        <v>0</v>
      </c>
      <c r="T966" s="331">
        <v>0</v>
      </c>
      <c r="U966" s="328">
        <f>VLOOKUP(C966,METADATA!$J$5:$Q$29,IF(E966="HI",2,IF(E966="LO",6,10))+IF(T966=1,2,IF(D966=7,1,(IF(WEEKDAY(B966)=1,2,IF(WEEKDAY(B966)=7,1,0))))))</f>
        <v>3</v>
      </c>
      <c r="V966" s="328">
        <f>VLOOKUP(C966,METADATA!$A$5:$H$29,IF(E966="HI",2,IF(E966="LO",6,10))+IF(T966=1,2,IF(D966=7,1,(IF(WEEKDAY(B966)=1,2,IF(WEEKDAY(B966)=7,1,0))))))</f>
        <v>3</v>
      </c>
    </row>
    <row r="967" spans="2:22">
      <c r="B967" s="318">
        <f t="shared" si="59"/>
        <v>46153</v>
      </c>
      <c r="C967" s="312">
        <v>3</v>
      </c>
      <c r="D967" s="368">
        <f>IFERROR((INDEX(METADATA!$T$2:$T$20,MATCH(B967,METADATA!$S$2:$S$20,0))),0)</f>
        <v>0</v>
      </c>
      <c r="E967" s="312" t="str">
        <f t="shared" si="60"/>
        <v>LO</v>
      </c>
      <c r="F967" s="369">
        <f>VLOOKUP(C967,METADATA!$A$5:$H$29,IF(E967="HI",2,IF(E967="LO",6,10))+IF(D967=1,2,IF(D967=7,1,(IF(WEEKDAY(B967)=1,2,IF(WEEKDAY(B967)=7,1,0))))))</f>
        <v>3</v>
      </c>
      <c r="G967" s="369">
        <f>VLOOKUP(C967,METADATA!$J$5:$Q$29,IF(E967="HI",2,IF(E967="LO",6,10))+IF(D967=1,2,IF(D967=7,1,(IF(WEEKDAY(B967)=1,2,IF(WEEKDAY(B967)=7,1,0))))))</f>
        <v>3</v>
      </c>
      <c r="H967" s="370">
        <v>13309.385192871094</v>
      </c>
      <c r="I967" s="370">
        <v>2084.5444984436035</v>
      </c>
      <c r="M967" s="371">
        <f t="shared" si="61"/>
        <v>13471.639097682502</v>
      </c>
      <c r="N967" s="329">
        <f t="shared" si="62"/>
        <v>0</v>
      </c>
      <c r="T967" s="331">
        <v>0</v>
      </c>
      <c r="U967" s="328">
        <f>VLOOKUP(C967,METADATA!$J$5:$Q$29,IF(E967="HI",2,IF(E967="LO",6,10))+IF(T967=1,2,IF(D967=7,1,(IF(WEEKDAY(B967)=1,2,IF(WEEKDAY(B967)=7,1,0))))))</f>
        <v>3</v>
      </c>
      <c r="V967" s="328">
        <f>VLOOKUP(C967,METADATA!$A$5:$H$29,IF(E967="HI",2,IF(E967="LO",6,10))+IF(T967=1,2,IF(D967=7,1,(IF(WEEKDAY(B967)=1,2,IF(WEEKDAY(B967)=7,1,0))))))</f>
        <v>3</v>
      </c>
    </row>
    <row r="968" spans="2:22">
      <c r="B968" s="318">
        <f t="shared" si="59"/>
        <v>46153</v>
      </c>
      <c r="C968" s="312">
        <v>4</v>
      </c>
      <c r="D968" s="368">
        <f>IFERROR((INDEX(METADATA!$T$2:$T$20,MATCH(B968,METADATA!$S$2:$S$20,0))),0)</f>
        <v>0</v>
      </c>
      <c r="E968" s="312" t="str">
        <f t="shared" si="60"/>
        <v>LO</v>
      </c>
      <c r="F968" s="369">
        <f>VLOOKUP(C968,METADATA!$A$5:$H$29,IF(E968="HI",2,IF(E968="LO",6,10))+IF(D968=1,2,IF(D968=7,1,(IF(WEEKDAY(B968)=1,2,IF(WEEKDAY(B968)=7,1,0))))))</f>
        <v>3</v>
      </c>
      <c r="G968" s="369">
        <f>VLOOKUP(C968,METADATA!$J$5:$Q$29,IF(E968="HI",2,IF(E968="LO",6,10))+IF(D968=1,2,IF(D968=7,1,(IF(WEEKDAY(B968)=1,2,IF(WEEKDAY(B968)=7,1,0))))))</f>
        <v>3</v>
      </c>
      <c r="H968" s="370">
        <v>13283.673400878906</v>
      </c>
      <c r="I968" s="370">
        <v>2073.431999206543</v>
      </c>
      <c r="M968" s="371">
        <f t="shared" si="61"/>
        <v>13444.519302546722</v>
      </c>
      <c r="N968" s="329">
        <f t="shared" si="62"/>
        <v>0</v>
      </c>
      <c r="T968" s="331">
        <v>0</v>
      </c>
      <c r="U968" s="328">
        <f>VLOOKUP(C968,METADATA!$J$5:$Q$29,IF(E968="HI",2,IF(E968="LO",6,10))+IF(T968=1,2,IF(D968=7,1,(IF(WEEKDAY(B968)=1,2,IF(WEEKDAY(B968)=7,1,0))))))</f>
        <v>3</v>
      </c>
      <c r="V968" s="328">
        <f>VLOOKUP(C968,METADATA!$A$5:$H$29,IF(E968="HI",2,IF(E968="LO",6,10))+IF(T968=1,2,IF(D968=7,1,(IF(WEEKDAY(B968)=1,2,IF(WEEKDAY(B968)=7,1,0))))))</f>
        <v>3</v>
      </c>
    </row>
    <row r="969" spans="2:22">
      <c r="B969" s="318">
        <f t="shared" si="59"/>
        <v>46153</v>
      </c>
      <c r="C969" s="312">
        <v>5</v>
      </c>
      <c r="D969" s="368">
        <f>IFERROR((INDEX(METADATA!$T$2:$T$20,MATCH(B969,METADATA!$S$2:$S$20,0))),0)</f>
        <v>0</v>
      </c>
      <c r="E969" s="312" t="str">
        <f t="shared" si="60"/>
        <v>LO</v>
      </c>
      <c r="F969" s="369">
        <f>VLOOKUP(C969,METADATA!$A$5:$H$29,IF(E969="HI",2,IF(E969="LO",6,10))+IF(D969=1,2,IF(D969=7,1,(IF(WEEKDAY(B969)=1,2,IF(WEEKDAY(B969)=7,1,0))))))</f>
        <v>3</v>
      </c>
      <c r="G969" s="369">
        <f>VLOOKUP(C969,METADATA!$J$5:$Q$29,IF(E969="HI",2,IF(E969="LO",6,10))+IF(D969=1,2,IF(D969=7,1,(IF(WEEKDAY(B969)=1,2,IF(WEEKDAY(B969)=7,1,0))))))</f>
        <v>3</v>
      </c>
      <c r="H969" s="370">
        <v>13428.184936523438</v>
      </c>
      <c r="I969" s="370">
        <v>2066.5459747314453</v>
      </c>
      <c r="M969" s="371">
        <f t="shared" si="61"/>
        <v>13586.271120331498</v>
      </c>
      <c r="N969" s="329">
        <f t="shared" si="62"/>
        <v>0</v>
      </c>
      <c r="T969" s="331">
        <v>0</v>
      </c>
      <c r="U969" s="328">
        <f>VLOOKUP(C969,METADATA!$J$5:$Q$29,IF(E969="HI",2,IF(E969="LO",6,10))+IF(T969=1,2,IF(D969=7,1,(IF(WEEKDAY(B969)=1,2,IF(WEEKDAY(B969)=7,1,0))))))</f>
        <v>3</v>
      </c>
      <c r="V969" s="328">
        <f>VLOOKUP(C969,METADATA!$A$5:$H$29,IF(E969="HI",2,IF(E969="LO",6,10))+IF(T969=1,2,IF(D969=7,1,(IF(WEEKDAY(B969)=1,2,IF(WEEKDAY(B969)=7,1,0))))))</f>
        <v>3</v>
      </c>
    </row>
    <row r="970" spans="2:22">
      <c r="B970" s="318">
        <f t="shared" si="59"/>
        <v>46153</v>
      </c>
      <c r="C970" s="312">
        <v>6</v>
      </c>
      <c r="D970" s="368">
        <f>IFERROR((INDEX(METADATA!$T$2:$T$20,MATCH(B970,METADATA!$S$2:$S$20,0))),0)</f>
        <v>0</v>
      </c>
      <c r="E970" s="312" t="str">
        <f t="shared" si="60"/>
        <v>LO</v>
      </c>
      <c r="F970" s="369">
        <f>VLOOKUP(C970,METADATA!$A$5:$H$29,IF(E970="HI",2,IF(E970="LO",6,10))+IF(D970=1,2,IF(D970=7,1,(IF(WEEKDAY(B970)=1,2,IF(WEEKDAY(B970)=7,1,0))))))</f>
        <v>2</v>
      </c>
      <c r="G970" s="369">
        <f>VLOOKUP(C970,METADATA!$J$5:$Q$29,IF(E970="HI",2,IF(E970="LO",6,10))+IF(D970=1,2,IF(D970=7,1,(IF(WEEKDAY(B970)=1,2,IF(WEEKDAY(B970)=7,1,0))))))</f>
        <v>2</v>
      </c>
      <c r="H970" s="370">
        <v>13318.434936523438</v>
      </c>
      <c r="I970" s="370">
        <v>1961.0850372314453</v>
      </c>
      <c r="M970" s="371">
        <f t="shared" si="61"/>
        <v>13462.041586685918</v>
      </c>
      <c r="N970" s="329">
        <f t="shared" si="62"/>
        <v>0</v>
      </c>
      <c r="T970" s="331">
        <v>0</v>
      </c>
      <c r="U970" s="328">
        <f>VLOOKUP(C970,METADATA!$J$5:$Q$29,IF(E970="HI",2,IF(E970="LO",6,10))+IF(T970=1,2,IF(D970=7,1,(IF(WEEKDAY(B970)=1,2,IF(WEEKDAY(B970)=7,1,0))))))</f>
        <v>2</v>
      </c>
      <c r="V970" s="328">
        <f>VLOOKUP(C970,METADATA!$A$5:$H$29,IF(E970="HI",2,IF(E970="LO",6,10))+IF(T970=1,2,IF(D970=7,1,(IF(WEEKDAY(B970)=1,2,IF(WEEKDAY(B970)=7,1,0))))))</f>
        <v>2</v>
      </c>
    </row>
    <row r="971" spans="2:22">
      <c r="B971" s="318">
        <f t="shared" si="59"/>
        <v>46153</v>
      </c>
      <c r="C971" s="312">
        <v>7</v>
      </c>
      <c r="D971" s="368">
        <f>IFERROR((INDEX(METADATA!$T$2:$T$20,MATCH(B971,METADATA!$S$2:$S$20,0))),0)</f>
        <v>0</v>
      </c>
      <c r="E971" s="312" t="str">
        <f t="shared" si="60"/>
        <v>LO</v>
      </c>
      <c r="F971" s="369">
        <f>VLOOKUP(C971,METADATA!$A$5:$H$29,IF(E971="HI",2,IF(E971="LO",6,10))+IF(D971=1,2,IF(D971=7,1,(IF(WEEKDAY(B971)=1,2,IF(WEEKDAY(B971)=7,1,0))))))</f>
        <v>1</v>
      </c>
      <c r="G971" s="369">
        <f>VLOOKUP(C971,METADATA!$J$5:$Q$29,IF(E971="HI",2,IF(E971="LO",6,10))+IF(D971=1,2,IF(D971=7,1,(IF(WEEKDAY(B971)=1,2,IF(WEEKDAY(B971)=7,1,0))))))</f>
        <v>1</v>
      </c>
      <c r="H971" s="370">
        <v>13313.744873046875</v>
      </c>
      <c r="I971" s="370">
        <v>1879.8979892730713</v>
      </c>
      <c r="M971" s="371">
        <f t="shared" si="61"/>
        <v>13445.810462543895</v>
      </c>
      <c r="N971" s="329">
        <f t="shared" si="62"/>
        <v>0</v>
      </c>
      <c r="T971" s="331">
        <v>0</v>
      </c>
      <c r="U971" s="328">
        <f>VLOOKUP(C971,METADATA!$J$5:$Q$29,IF(E971="HI",2,IF(E971="LO",6,10))+IF(T971=1,2,IF(D971=7,1,(IF(WEEKDAY(B971)=1,2,IF(WEEKDAY(B971)=7,1,0))))))</f>
        <v>1</v>
      </c>
      <c r="V971" s="328">
        <f>VLOOKUP(C971,METADATA!$A$5:$H$29,IF(E971="HI",2,IF(E971="LO",6,10))+IF(T971=1,2,IF(D971=7,1,(IF(WEEKDAY(B971)=1,2,IF(WEEKDAY(B971)=7,1,0))))))</f>
        <v>1</v>
      </c>
    </row>
    <row r="972" spans="2:22">
      <c r="B972" s="318">
        <f t="shared" si="59"/>
        <v>46153</v>
      </c>
      <c r="C972" s="312">
        <v>8</v>
      </c>
      <c r="D972" s="368">
        <f>IFERROR((INDEX(METADATA!$T$2:$T$20,MATCH(B972,METADATA!$S$2:$S$20,0))),0)</f>
        <v>0</v>
      </c>
      <c r="E972" s="312" t="str">
        <f t="shared" si="60"/>
        <v>LO</v>
      </c>
      <c r="F972" s="369">
        <f>VLOOKUP(C972,METADATA!$A$5:$H$29,IF(E972="HI",2,IF(E972="LO",6,10))+IF(D972=1,2,IF(D972=7,1,(IF(WEEKDAY(B972)=1,2,IF(WEEKDAY(B972)=7,1,0))))))</f>
        <v>1</v>
      </c>
      <c r="G972" s="369">
        <f>VLOOKUP(C972,METADATA!$J$5:$Q$29,IF(E972="HI",2,IF(E972="LO",6,10))+IF(D972=1,2,IF(D972=7,1,(IF(WEEKDAY(B972)=1,2,IF(WEEKDAY(B972)=7,1,0))))))</f>
        <v>1</v>
      </c>
      <c r="H972" s="370">
        <v>13470.849792480469</v>
      </c>
      <c r="I972" s="370">
        <v>1918.5850105285645</v>
      </c>
      <c r="M972" s="371">
        <f t="shared" si="61"/>
        <v>13606.791046172348</v>
      </c>
      <c r="N972" s="329">
        <f t="shared" si="62"/>
        <v>0</v>
      </c>
      <c r="T972" s="331">
        <v>0</v>
      </c>
      <c r="U972" s="328">
        <f>VLOOKUP(C972,METADATA!$J$5:$Q$29,IF(E972="HI",2,IF(E972="LO",6,10))+IF(T972=1,2,IF(D972=7,1,(IF(WEEKDAY(B972)=1,2,IF(WEEKDAY(B972)=7,1,0))))))</f>
        <v>1</v>
      </c>
      <c r="V972" s="328">
        <f>VLOOKUP(C972,METADATA!$A$5:$H$29,IF(E972="HI",2,IF(E972="LO",6,10))+IF(T972=1,2,IF(D972=7,1,(IF(WEEKDAY(B972)=1,2,IF(WEEKDAY(B972)=7,1,0))))))</f>
        <v>1</v>
      </c>
    </row>
    <row r="973" spans="2:22">
      <c r="B973" s="318">
        <f t="shared" si="59"/>
        <v>46153</v>
      </c>
      <c r="C973" s="312">
        <v>9</v>
      </c>
      <c r="D973" s="368">
        <f>IFERROR((INDEX(METADATA!$T$2:$T$20,MATCH(B973,METADATA!$S$2:$S$20,0))),0)</f>
        <v>0</v>
      </c>
      <c r="E973" s="312" t="str">
        <f t="shared" si="60"/>
        <v>LO</v>
      </c>
      <c r="F973" s="369">
        <f>VLOOKUP(C973,METADATA!$A$5:$H$29,IF(E973="HI",2,IF(E973="LO",6,10))+IF(D973=1,2,IF(D973=7,1,(IF(WEEKDAY(B973)=1,2,IF(WEEKDAY(B973)=7,1,0))))))</f>
        <v>2</v>
      </c>
      <c r="G973" s="369">
        <f>VLOOKUP(C973,METADATA!$J$5:$Q$29,IF(E973="HI",2,IF(E973="LO",6,10))+IF(D973=1,2,IF(D973=7,1,(IF(WEEKDAY(B973)=1,2,IF(WEEKDAY(B973)=7,1,0))))))</f>
        <v>2</v>
      </c>
      <c r="H973" s="370">
        <v>13603.854858398438</v>
      </c>
      <c r="I973" s="370">
        <v>1988.922477722168</v>
      </c>
      <c r="M973" s="371">
        <f t="shared" si="61"/>
        <v>13748.479175194587</v>
      </c>
      <c r="N973" s="329">
        <f t="shared" si="62"/>
        <v>0</v>
      </c>
      <c r="T973" s="331">
        <v>0</v>
      </c>
      <c r="U973" s="328">
        <f>VLOOKUP(C973,METADATA!$J$5:$Q$29,IF(E973="HI",2,IF(E973="LO",6,10))+IF(T973=1,2,IF(D973=7,1,(IF(WEEKDAY(B973)=1,2,IF(WEEKDAY(B973)=7,1,0))))))</f>
        <v>2</v>
      </c>
      <c r="V973" s="328">
        <f>VLOOKUP(C973,METADATA!$A$5:$H$29,IF(E973="HI",2,IF(E973="LO",6,10))+IF(T973=1,2,IF(D973=7,1,(IF(WEEKDAY(B973)=1,2,IF(WEEKDAY(B973)=7,1,0))))))</f>
        <v>2</v>
      </c>
    </row>
    <row r="974" spans="2:22">
      <c r="B974" s="318">
        <f t="shared" si="59"/>
        <v>46153</v>
      </c>
      <c r="C974" s="312">
        <v>10</v>
      </c>
      <c r="D974" s="368">
        <f>IFERROR((INDEX(METADATA!$T$2:$T$20,MATCH(B974,METADATA!$S$2:$S$20,0))),0)</f>
        <v>0</v>
      </c>
      <c r="E974" s="312" t="str">
        <f t="shared" si="60"/>
        <v>LO</v>
      </c>
      <c r="F974" s="369">
        <f>VLOOKUP(C974,METADATA!$A$5:$H$29,IF(E974="HI",2,IF(E974="LO",6,10))+IF(D974=1,2,IF(D974=7,1,(IF(WEEKDAY(B974)=1,2,IF(WEEKDAY(B974)=7,1,0))))))</f>
        <v>2</v>
      </c>
      <c r="G974" s="369">
        <f>VLOOKUP(C974,METADATA!$J$5:$Q$29,IF(E974="HI",2,IF(E974="LO",6,10))+IF(D974=1,2,IF(D974=7,1,(IF(WEEKDAY(B974)=1,2,IF(WEEKDAY(B974)=7,1,0))))))</f>
        <v>2</v>
      </c>
      <c r="H974" s="370">
        <v>13682.264892578125</v>
      </c>
      <c r="I974" s="370">
        <v>2097.2924766540527</v>
      </c>
      <c r="M974" s="371">
        <f t="shared" si="61"/>
        <v>13842.073844742541</v>
      </c>
      <c r="N974" s="329">
        <f t="shared" si="62"/>
        <v>0</v>
      </c>
      <c r="T974" s="331">
        <v>0</v>
      </c>
      <c r="U974" s="328">
        <f>VLOOKUP(C974,METADATA!$J$5:$Q$29,IF(E974="HI",2,IF(E974="LO",6,10))+IF(T974=1,2,IF(D974=7,1,(IF(WEEKDAY(B974)=1,2,IF(WEEKDAY(B974)=7,1,0))))))</f>
        <v>2</v>
      </c>
      <c r="V974" s="328">
        <f>VLOOKUP(C974,METADATA!$A$5:$H$29,IF(E974="HI",2,IF(E974="LO",6,10))+IF(T974=1,2,IF(D974=7,1,(IF(WEEKDAY(B974)=1,2,IF(WEEKDAY(B974)=7,1,0))))))</f>
        <v>2</v>
      </c>
    </row>
    <row r="975" spans="2:22">
      <c r="B975" s="318">
        <f t="shared" si="59"/>
        <v>46153</v>
      </c>
      <c r="C975" s="312">
        <v>11</v>
      </c>
      <c r="D975" s="368">
        <f>IFERROR((INDEX(METADATA!$T$2:$T$20,MATCH(B975,METADATA!$S$2:$S$20,0))),0)</f>
        <v>0</v>
      </c>
      <c r="E975" s="312" t="str">
        <f t="shared" si="60"/>
        <v>LO</v>
      </c>
      <c r="F975" s="369">
        <f>VLOOKUP(C975,METADATA!$A$5:$H$29,IF(E975="HI",2,IF(E975="LO",6,10))+IF(D975=1,2,IF(D975=7,1,(IF(WEEKDAY(B975)=1,2,IF(WEEKDAY(B975)=7,1,0))))))</f>
        <v>2</v>
      </c>
      <c r="G975" s="369">
        <f>VLOOKUP(C975,METADATA!$J$5:$Q$29,IF(E975="HI",2,IF(E975="LO",6,10))+IF(D975=1,2,IF(D975=7,1,(IF(WEEKDAY(B975)=1,2,IF(WEEKDAY(B975)=7,1,0))))))</f>
        <v>2</v>
      </c>
      <c r="H975" s="370">
        <v>13672.810302734375</v>
      </c>
      <c r="I975" s="370">
        <v>2097.815055847168</v>
      </c>
      <c r="M975" s="371">
        <f t="shared" si="61"/>
        <v>13832.807725949866</v>
      </c>
      <c r="N975" s="329">
        <f t="shared" si="62"/>
        <v>0</v>
      </c>
      <c r="T975" s="331">
        <v>0</v>
      </c>
      <c r="U975" s="328">
        <f>VLOOKUP(C975,METADATA!$J$5:$Q$29,IF(E975="HI",2,IF(E975="LO",6,10))+IF(T975=1,2,IF(D975=7,1,(IF(WEEKDAY(B975)=1,2,IF(WEEKDAY(B975)=7,1,0))))))</f>
        <v>2</v>
      </c>
      <c r="V975" s="328">
        <f>VLOOKUP(C975,METADATA!$A$5:$H$29,IF(E975="HI",2,IF(E975="LO",6,10))+IF(T975=1,2,IF(D975=7,1,(IF(WEEKDAY(B975)=1,2,IF(WEEKDAY(B975)=7,1,0))))))</f>
        <v>2</v>
      </c>
    </row>
    <row r="976" spans="2:22">
      <c r="B976" s="318">
        <f t="shared" si="59"/>
        <v>46153</v>
      </c>
      <c r="C976" s="312">
        <v>12</v>
      </c>
      <c r="D976" s="368">
        <f>IFERROR((INDEX(METADATA!$T$2:$T$20,MATCH(B976,METADATA!$S$2:$S$20,0))),0)</f>
        <v>0</v>
      </c>
      <c r="E976" s="312" t="str">
        <f t="shared" si="60"/>
        <v>LO</v>
      </c>
      <c r="F976" s="369">
        <f>VLOOKUP(C976,METADATA!$A$5:$H$29,IF(E976="HI",2,IF(E976="LO",6,10))+IF(D976=1,2,IF(D976=7,1,(IF(WEEKDAY(B976)=1,2,IF(WEEKDAY(B976)=7,1,0))))))</f>
        <v>2</v>
      </c>
      <c r="G976" s="369">
        <f>VLOOKUP(C976,METADATA!$J$5:$Q$29,IF(E976="HI",2,IF(E976="LO",6,10))+IF(D976=1,2,IF(D976=7,1,(IF(WEEKDAY(B976)=1,2,IF(WEEKDAY(B976)=7,1,0))))))</f>
        <v>2</v>
      </c>
      <c r="H976" s="370">
        <v>13513.964599609375</v>
      </c>
      <c r="I976" s="370">
        <v>2073.6450653076172</v>
      </c>
      <c r="M976" s="371">
        <f t="shared" si="61"/>
        <v>13672.133815040359</v>
      </c>
      <c r="N976" s="329">
        <f t="shared" si="62"/>
        <v>0</v>
      </c>
      <c r="T976" s="331">
        <v>0</v>
      </c>
      <c r="U976" s="328">
        <f>VLOOKUP(C976,METADATA!$J$5:$Q$29,IF(E976="HI",2,IF(E976="LO",6,10))+IF(T976=1,2,IF(D976=7,1,(IF(WEEKDAY(B976)=1,2,IF(WEEKDAY(B976)=7,1,0))))))</f>
        <v>2</v>
      </c>
      <c r="V976" s="328">
        <f>VLOOKUP(C976,METADATA!$A$5:$H$29,IF(E976="HI",2,IF(E976="LO",6,10))+IF(T976=1,2,IF(D976=7,1,(IF(WEEKDAY(B976)=1,2,IF(WEEKDAY(B976)=7,1,0))))))</f>
        <v>2</v>
      </c>
    </row>
    <row r="977" spans="2:22">
      <c r="B977" s="318">
        <f t="shared" si="59"/>
        <v>46153</v>
      </c>
      <c r="C977" s="312">
        <v>13</v>
      </c>
      <c r="D977" s="368">
        <f>IFERROR((INDEX(METADATA!$T$2:$T$20,MATCH(B977,METADATA!$S$2:$S$20,0))),0)</f>
        <v>0</v>
      </c>
      <c r="E977" s="312" t="str">
        <f t="shared" si="60"/>
        <v>LO</v>
      </c>
      <c r="F977" s="369">
        <f>VLOOKUP(C977,METADATA!$A$5:$H$29,IF(E977="HI",2,IF(E977="LO",6,10))+IF(D977=1,2,IF(D977=7,1,(IF(WEEKDAY(B977)=1,2,IF(WEEKDAY(B977)=7,1,0))))))</f>
        <v>2</v>
      </c>
      <c r="G977" s="369">
        <f>VLOOKUP(C977,METADATA!$J$5:$Q$29,IF(E977="HI",2,IF(E977="LO",6,10))+IF(D977=1,2,IF(D977=7,1,(IF(WEEKDAY(B977)=1,2,IF(WEEKDAY(B977)=7,1,0))))))</f>
        <v>2</v>
      </c>
      <c r="H977" s="370">
        <v>13474.429504394531</v>
      </c>
      <c r="I977" s="370">
        <v>1971.0755081176758</v>
      </c>
      <c r="M977" s="371">
        <f t="shared" si="61"/>
        <v>13617.833496103527</v>
      </c>
      <c r="N977" s="329">
        <f t="shared" si="62"/>
        <v>0</v>
      </c>
      <c r="T977" s="331">
        <v>0</v>
      </c>
      <c r="U977" s="328">
        <f>VLOOKUP(C977,METADATA!$J$5:$Q$29,IF(E977="HI",2,IF(E977="LO",6,10))+IF(T977=1,2,IF(D977=7,1,(IF(WEEKDAY(B977)=1,2,IF(WEEKDAY(B977)=7,1,0))))))</f>
        <v>2</v>
      </c>
      <c r="V977" s="328">
        <f>VLOOKUP(C977,METADATA!$A$5:$H$29,IF(E977="HI",2,IF(E977="LO",6,10))+IF(T977=1,2,IF(D977=7,1,(IF(WEEKDAY(B977)=1,2,IF(WEEKDAY(B977)=7,1,0))))))</f>
        <v>2</v>
      </c>
    </row>
    <row r="978" spans="2:22">
      <c r="B978" s="318">
        <f t="shared" si="59"/>
        <v>46153</v>
      </c>
      <c r="C978" s="312">
        <v>14</v>
      </c>
      <c r="D978" s="368">
        <f>IFERROR((INDEX(METADATA!$T$2:$T$20,MATCH(B978,METADATA!$S$2:$S$20,0))),0)</f>
        <v>0</v>
      </c>
      <c r="E978" s="312" t="str">
        <f t="shared" si="60"/>
        <v>LO</v>
      </c>
      <c r="F978" s="369">
        <f>VLOOKUP(C978,METADATA!$A$5:$H$29,IF(E978="HI",2,IF(E978="LO",6,10))+IF(D978=1,2,IF(D978=7,1,(IF(WEEKDAY(B978)=1,2,IF(WEEKDAY(B978)=7,1,0))))))</f>
        <v>2</v>
      </c>
      <c r="G978" s="369">
        <f>VLOOKUP(C978,METADATA!$J$5:$Q$29,IF(E978="HI",2,IF(E978="LO",6,10))+IF(D978=1,2,IF(D978=7,1,(IF(WEEKDAY(B978)=1,2,IF(WEEKDAY(B978)=7,1,0))))))</f>
        <v>2</v>
      </c>
      <c r="H978" s="370">
        <v>13556.484985351563</v>
      </c>
      <c r="I978" s="370">
        <v>2110.1505323648453</v>
      </c>
      <c r="M978" s="371">
        <f t="shared" si="61"/>
        <v>13719.731062499073</v>
      </c>
      <c r="N978" s="329">
        <f t="shared" si="62"/>
        <v>0</v>
      </c>
      <c r="T978" s="331">
        <v>0</v>
      </c>
      <c r="U978" s="328">
        <f>VLOOKUP(C978,METADATA!$J$5:$Q$29,IF(E978="HI",2,IF(E978="LO",6,10))+IF(T978=1,2,IF(D978=7,1,(IF(WEEKDAY(B978)=1,2,IF(WEEKDAY(B978)=7,1,0))))))</f>
        <v>2</v>
      </c>
      <c r="V978" s="328">
        <f>VLOOKUP(C978,METADATA!$A$5:$H$29,IF(E978="HI",2,IF(E978="LO",6,10))+IF(T978=1,2,IF(D978=7,1,(IF(WEEKDAY(B978)=1,2,IF(WEEKDAY(B978)=7,1,0))))))</f>
        <v>2</v>
      </c>
    </row>
    <row r="979" spans="2:22">
      <c r="B979" s="318">
        <f t="shared" si="59"/>
        <v>46153</v>
      </c>
      <c r="C979" s="312">
        <v>15</v>
      </c>
      <c r="D979" s="368">
        <f>IFERROR((INDEX(METADATA!$T$2:$T$20,MATCH(B979,METADATA!$S$2:$S$20,0))),0)</f>
        <v>0</v>
      </c>
      <c r="E979" s="312" t="str">
        <f t="shared" si="60"/>
        <v>LO</v>
      </c>
      <c r="F979" s="369">
        <f>VLOOKUP(C979,METADATA!$A$5:$H$29,IF(E979="HI",2,IF(E979="LO",6,10))+IF(D979=1,2,IF(D979=7,1,(IF(WEEKDAY(B979)=1,2,IF(WEEKDAY(B979)=7,1,0))))))</f>
        <v>2</v>
      </c>
      <c r="G979" s="369">
        <f>VLOOKUP(C979,METADATA!$J$5:$Q$29,IF(E979="HI",2,IF(E979="LO",6,10))+IF(D979=1,2,IF(D979=7,1,(IF(WEEKDAY(B979)=1,2,IF(WEEKDAY(B979)=7,1,0))))))</f>
        <v>2</v>
      </c>
      <c r="H979" s="370">
        <v>13553.215026855469</v>
      </c>
      <c r="I979" s="370">
        <v>2034.0000152587891</v>
      </c>
      <c r="M979" s="371">
        <f t="shared" si="61"/>
        <v>13704.991558780825</v>
      </c>
      <c r="N979" s="329">
        <f t="shared" si="62"/>
        <v>0</v>
      </c>
      <c r="T979" s="331">
        <v>0</v>
      </c>
      <c r="U979" s="328">
        <f>VLOOKUP(C979,METADATA!$J$5:$Q$29,IF(E979="HI",2,IF(E979="LO",6,10))+IF(T979=1,2,IF(D979=7,1,(IF(WEEKDAY(B979)=1,2,IF(WEEKDAY(B979)=7,1,0))))))</f>
        <v>2</v>
      </c>
      <c r="V979" s="328">
        <f>VLOOKUP(C979,METADATA!$A$5:$H$29,IF(E979="HI",2,IF(E979="LO",6,10))+IF(T979=1,2,IF(D979=7,1,(IF(WEEKDAY(B979)=1,2,IF(WEEKDAY(B979)=7,1,0))))))</f>
        <v>2</v>
      </c>
    </row>
    <row r="980" spans="2:22">
      <c r="B980" s="318">
        <f t="shared" si="59"/>
        <v>46153</v>
      </c>
      <c r="C980" s="312">
        <v>16</v>
      </c>
      <c r="D980" s="368">
        <f>IFERROR((INDEX(METADATA!$T$2:$T$20,MATCH(B980,METADATA!$S$2:$S$20,0))),0)</f>
        <v>0</v>
      </c>
      <c r="E980" s="312" t="str">
        <f t="shared" si="60"/>
        <v>LO</v>
      </c>
      <c r="F980" s="369">
        <f>VLOOKUP(C980,METADATA!$A$5:$H$29,IF(E980="HI",2,IF(E980="LO",6,10))+IF(D980=1,2,IF(D980=7,1,(IF(WEEKDAY(B980)=1,2,IF(WEEKDAY(B980)=7,1,0))))))</f>
        <v>2</v>
      </c>
      <c r="G980" s="369">
        <f>VLOOKUP(C980,METADATA!$J$5:$Q$29,IF(E980="HI",2,IF(E980="LO",6,10))+IF(D980=1,2,IF(D980=7,1,(IF(WEEKDAY(B980)=1,2,IF(WEEKDAY(B980)=7,1,0))))))</f>
        <v>2</v>
      </c>
      <c r="H980" s="370">
        <v>13486.089721679688</v>
      </c>
      <c r="I980" s="370">
        <v>2040.4089993834496</v>
      </c>
      <c r="M980" s="371">
        <f t="shared" si="61"/>
        <v>13639.570552842177</v>
      </c>
      <c r="N980" s="329">
        <f t="shared" si="62"/>
        <v>0</v>
      </c>
      <c r="T980" s="331">
        <v>0</v>
      </c>
      <c r="U980" s="328">
        <f>VLOOKUP(C980,METADATA!$J$5:$Q$29,IF(E980="HI",2,IF(E980="LO",6,10))+IF(T980=1,2,IF(D980=7,1,(IF(WEEKDAY(B980)=1,2,IF(WEEKDAY(B980)=7,1,0))))))</f>
        <v>2</v>
      </c>
      <c r="V980" s="328">
        <f>VLOOKUP(C980,METADATA!$A$5:$H$29,IF(E980="HI",2,IF(E980="LO",6,10))+IF(T980=1,2,IF(D980=7,1,(IF(WEEKDAY(B980)=1,2,IF(WEEKDAY(B980)=7,1,0))))))</f>
        <v>2</v>
      </c>
    </row>
    <row r="981" spans="2:22">
      <c r="B981" s="318">
        <f t="shared" si="59"/>
        <v>46153</v>
      </c>
      <c r="C981" s="312">
        <v>17</v>
      </c>
      <c r="D981" s="368">
        <f>IFERROR((INDEX(METADATA!$T$2:$T$20,MATCH(B981,METADATA!$S$2:$S$20,0))),0)</f>
        <v>0</v>
      </c>
      <c r="E981" s="312" t="str">
        <f t="shared" si="60"/>
        <v>LO</v>
      </c>
      <c r="F981" s="369">
        <f>VLOOKUP(C981,METADATA!$A$5:$H$29,IF(E981="HI",2,IF(E981="LO",6,10))+IF(D981=1,2,IF(D981=7,1,(IF(WEEKDAY(B981)=1,2,IF(WEEKDAY(B981)=7,1,0))))))</f>
        <v>2</v>
      </c>
      <c r="G981" s="369">
        <f>VLOOKUP(C981,METADATA!$J$5:$Q$29,IF(E981="HI",2,IF(E981="LO",6,10))+IF(D981=1,2,IF(D981=7,1,(IF(WEEKDAY(B981)=1,2,IF(WEEKDAY(B981)=7,1,0))))))</f>
        <v>2</v>
      </c>
      <c r="H981" s="370">
        <v>11883.272674560547</v>
      </c>
      <c r="I981" s="370">
        <v>1722.8904893188737</v>
      </c>
      <c r="M981" s="371">
        <f t="shared" si="61"/>
        <v>12007.519356475876</v>
      </c>
      <c r="N981" s="329">
        <f t="shared" si="62"/>
        <v>0</v>
      </c>
      <c r="T981" s="331">
        <v>0</v>
      </c>
      <c r="U981" s="328">
        <f>VLOOKUP(C981,METADATA!$J$5:$Q$29,IF(E981="HI",2,IF(E981="LO",6,10))+IF(T981=1,2,IF(D981=7,1,(IF(WEEKDAY(B981)=1,2,IF(WEEKDAY(B981)=7,1,0))))))</f>
        <v>2</v>
      </c>
      <c r="V981" s="328">
        <f>VLOOKUP(C981,METADATA!$A$5:$H$29,IF(E981="HI",2,IF(E981="LO",6,10))+IF(T981=1,2,IF(D981=7,1,(IF(WEEKDAY(B981)=1,2,IF(WEEKDAY(B981)=7,1,0))))))</f>
        <v>2</v>
      </c>
    </row>
    <row r="982" spans="2:22">
      <c r="B982" s="318">
        <f t="shared" si="59"/>
        <v>46153</v>
      </c>
      <c r="C982" s="312">
        <v>18</v>
      </c>
      <c r="D982" s="368">
        <f>IFERROR((INDEX(METADATA!$T$2:$T$20,MATCH(B982,METADATA!$S$2:$S$20,0))),0)</f>
        <v>0</v>
      </c>
      <c r="E982" s="312" t="str">
        <f t="shared" si="60"/>
        <v>LO</v>
      </c>
      <c r="F982" s="369">
        <f>VLOOKUP(C982,METADATA!$A$5:$H$29,IF(E982="HI",2,IF(E982="LO",6,10))+IF(D982=1,2,IF(D982=7,1,(IF(WEEKDAY(B982)=1,2,IF(WEEKDAY(B982)=7,1,0))))))</f>
        <v>1</v>
      </c>
      <c r="G982" s="369">
        <f>VLOOKUP(C982,METADATA!$J$5:$Q$29,IF(E982="HI",2,IF(E982="LO",6,10))+IF(D982=1,2,IF(D982=7,1,(IF(WEEKDAY(B982)=1,2,IF(WEEKDAY(B982)=7,1,0))))))</f>
        <v>1</v>
      </c>
      <c r="H982" s="370">
        <v>12220.999877929688</v>
      </c>
      <c r="I982" s="370">
        <v>1729.8934983611107</v>
      </c>
      <c r="M982" s="371">
        <f t="shared" si="61"/>
        <v>12342.826642711525</v>
      </c>
      <c r="N982" s="329">
        <f t="shared" si="62"/>
        <v>0</v>
      </c>
      <c r="T982" s="331">
        <v>0</v>
      </c>
      <c r="U982" s="328">
        <f>VLOOKUP(C982,METADATA!$J$5:$Q$29,IF(E982="HI",2,IF(E982="LO",6,10))+IF(T982=1,2,IF(D982=7,1,(IF(WEEKDAY(B982)=1,2,IF(WEEKDAY(B982)=7,1,0))))))</f>
        <v>1</v>
      </c>
      <c r="V982" s="328">
        <f>VLOOKUP(C982,METADATA!$A$5:$H$29,IF(E982="HI",2,IF(E982="LO",6,10))+IF(T982=1,2,IF(D982=7,1,(IF(WEEKDAY(B982)=1,2,IF(WEEKDAY(B982)=7,1,0))))))</f>
        <v>1</v>
      </c>
    </row>
    <row r="983" spans="2:22">
      <c r="B983" s="318">
        <f t="shared" si="59"/>
        <v>46153</v>
      </c>
      <c r="C983" s="312">
        <v>19</v>
      </c>
      <c r="D983" s="368">
        <f>IFERROR((INDEX(METADATA!$T$2:$T$20,MATCH(B983,METADATA!$S$2:$S$20,0))),0)</f>
        <v>0</v>
      </c>
      <c r="E983" s="312" t="str">
        <f t="shared" si="60"/>
        <v>LO</v>
      </c>
      <c r="F983" s="369">
        <f>VLOOKUP(C983,METADATA!$A$5:$H$29,IF(E983="HI",2,IF(E983="LO",6,10))+IF(D983=1,2,IF(D983=7,1,(IF(WEEKDAY(B983)=1,2,IF(WEEKDAY(B983)=7,1,0))))))</f>
        <v>1</v>
      </c>
      <c r="G983" s="369">
        <f>VLOOKUP(C983,METADATA!$J$5:$Q$29,IF(E983="HI",2,IF(E983="LO",6,10))+IF(D983=1,2,IF(D983=7,1,(IF(WEEKDAY(B983)=1,2,IF(WEEKDAY(B983)=7,1,0))))))</f>
        <v>1</v>
      </c>
      <c r="H983" s="370">
        <v>12186.030090332031</v>
      </c>
      <c r="I983" s="370">
        <v>1995.3124899293762</v>
      </c>
      <c r="M983" s="371">
        <f t="shared" si="61"/>
        <v>12348.303579639831</v>
      </c>
      <c r="N983" s="329">
        <f t="shared" si="62"/>
        <v>0</v>
      </c>
      <c r="T983" s="331">
        <v>0</v>
      </c>
      <c r="U983" s="328">
        <f>VLOOKUP(C983,METADATA!$J$5:$Q$29,IF(E983="HI",2,IF(E983="LO",6,10))+IF(T983=1,2,IF(D983=7,1,(IF(WEEKDAY(B983)=1,2,IF(WEEKDAY(B983)=7,1,0))))))</f>
        <v>1</v>
      </c>
      <c r="V983" s="328">
        <f>VLOOKUP(C983,METADATA!$A$5:$H$29,IF(E983="HI",2,IF(E983="LO",6,10))+IF(T983=1,2,IF(D983=7,1,(IF(WEEKDAY(B983)=1,2,IF(WEEKDAY(B983)=7,1,0))))))</f>
        <v>1</v>
      </c>
    </row>
    <row r="984" spans="2:22">
      <c r="B984" s="318">
        <f t="shared" si="59"/>
        <v>46153</v>
      </c>
      <c r="C984" s="312">
        <v>20</v>
      </c>
      <c r="D984" s="368">
        <f>IFERROR((INDEX(METADATA!$T$2:$T$20,MATCH(B984,METADATA!$S$2:$S$20,0))),0)</f>
        <v>0</v>
      </c>
      <c r="E984" s="312" t="str">
        <f t="shared" si="60"/>
        <v>LO</v>
      </c>
      <c r="F984" s="369">
        <f>VLOOKUP(C984,METADATA!$A$5:$H$29,IF(E984="HI",2,IF(E984="LO",6,10))+IF(D984=1,2,IF(D984=7,1,(IF(WEEKDAY(B984)=1,2,IF(WEEKDAY(B984)=7,1,0))))))</f>
        <v>1</v>
      </c>
      <c r="G984" s="369">
        <f>VLOOKUP(C984,METADATA!$J$5:$Q$29,IF(E984="HI",2,IF(E984="LO",6,10))+IF(D984=1,2,IF(D984=7,1,(IF(WEEKDAY(B984)=1,2,IF(WEEKDAY(B984)=7,1,0))))))</f>
        <v>1</v>
      </c>
      <c r="H984" s="370">
        <v>13477.650146484375</v>
      </c>
      <c r="I984" s="370">
        <v>2229.864990234375</v>
      </c>
      <c r="M984" s="371">
        <f t="shared" si="61"/>
        <v>13660.869348094331</v>
      </c>
      <c r="N984" s="329">
        <f t="shared" si="62"/>
        <v>0</v>
      </c>
      <c r="T984" s="331">
        <v>0</v>
      </c>
      <c r="U984" s="328">
        <f>VLOOKUP(C984,METADATA!$J$5:$Q$29,IF(E984="HI",2,IF(E984="LO",6,10))+IF(T984=1,2,IF(D984=7,1,(IF(WEEKDAY(B984)=1,2,IF(WEEKDAY(B984)=7,1,0))))))</f>
        <v>1</v>
      </c>
      <c r="V984" s="328">
        <f>VLOOKUP(C984,METADATA!$A$5:$H$29,IF(E984="HI",2,IF(E984="LO",6,10))+IF(T984=1,2,IF(D984=7,1,(IF(WEEKDAY(B984)=1,2,IF(WEEKDAY(B984)=7,1,0))))))</f>
        <v>1</v>
      </c>
    </row>
    <row r="985" spans="2:22">
      <c r="B985" s="318">
        <f t="shared" si="59"/>
        <v>46153</v>
      </c>
      <c r="C985" s="312">
        <v>21</v>
      </c>
      <c r="D985" s="368">
        <f>IFERROR((INDEX(METADATA!$T$2:$T$20,MATCH(B985,METADATA!$S$2:$S$20,0))),0)</f>
        <v>0</v>
      </c>
      <c r="E985" s="312" t="str">
        <f t="shared" si="60"/>
        <v>LO</v>
      </c>
      <c r="F985" s="369">
        <f>VLOOKUP(C985,METADATA!$A$5:$H$29,IF(E985="HI",2,IF(E985="LO",6,10))+IF(D985=1,2,IF(D985=7,1,(IF(WEEKDAY(B985)=1,2,IF(WEEKDAY(B985)=7,1,0))))))</f>
        <v>2</v>
      </c>
      <c r="G985" s="369">
        <f>VLOOKUP(C985,METADATA!$J$5:$Q$29,IF(E985="HI",2,IF(E985="LO",6,10))+IF(D985=1,2,IF(D985=7,1,(IF(WEEKDAY(B985)=1,2,IF(WEEKDAY(B985)=7,1,0))))))</f>
        <v>2</v>
      </c>
      <c r="H985" s="370">
        <v>13366.150329589844</v>
      </c>
      <c r="I985" s="370">
        <v>2252.4049987792969</v>
      </c>
      <c r="M985" s="371">
        <f t="shared" si="61"/>
        <v>13554.604491158001</v>
      </c>
      <c r="N985" s="329">
        <f t="shared" si="62"/>
        <v>0</v>
      </c>
      <c r="T985" s="331">
        <v>0</v>
      </c>
      <c r="U985" s="328">
        <f>VLOOKUP(C985,METADATA!$J$5:$Q$29,IF(E985="HI",2,IF(E985="LO",6,10))+IF(T985=1,2,IF(D985=7,1,(IF(WEEKDAY(B985)=1,2,IF(WEEKDAY(B985)=7,1,0))))))</f>
        <v>2</v>
      </c>
      <c r="V985" s="328">
        <f>VLOOKUP(C985,METADATA!$A$5:$H$29,IF(E985="HI",2,IF(E985="LO",6,10))+IF(T985=1,2,IF(D985=7,1,(IF(WEEKDAY(B985)=1,2,IF(WEEKDAY(B985)=7,1,0))))))</f>
        <v>2</v>
      </c>
    </row>
    <row r="986" spans="2:22">
      <c r="B986" s="318">
        <f t="shared" si="59"/>
        <v>46153</v>
      </c>
      <c r="C986" s="312">
        <v>22</v>
      </c>
      <c r="D986" s="368">
        <f>IFERROR((INDEX(METADATA!$T$2:$T$20,MATCH(B986,METADATA!$S$2:$S$20,0))),0)</f>
        <v>0</v>
      </c>
      <c r="E986" s="312" t="str">
        <f t="shared" si="60"/>
        <v>LO</v>
      </c>
      <c r="F986" s="369">
        <f>VLOOKUP(C986,METADATA!$A$5:$H$29,IF(E986="HI",2,IF(E986="LO",6,10))+IF(D986=1,2,IF(D986=7,1,(IF(WEEKDAY(B986)=1,2,IF(WEEKDAY(B986)=7,1,0))))))</f>
        <v>3</v>
      </c>
      <c r="G986" s="369">
        <f>VLOOKUP(C986,METADATA!$J$5:$Q$29,IF(E986="HI",2,IF(E986="LO",6,10))+IF(D986=1,2,IF(D986=7,1,(IF(WEEKDAY(B986)=1,2,IF(WEEKDAY(B986)=7,1,0))))))</f>
        <v>3</v>
      </c>
      <c r="H986" s="370">
        <v>13249.544616699219</v>
      </c>
      <c r="I986" s="370">
        <v>2321.3475341796875</v>
      </c>
      <c r="M986" s="371">
        <f t="shared" si="61"/>
        <v>13451.360039949321</v>
      </c>
      <c r="N986" s="329">
        <f t="shared" si="62"/>
        <v>0</v>
      </c>
      <c r="T986" s="331">
        <v>0</v>
      </c>
      <c r="U986" s="328">
        <f>VLOOKUP(C986,METADATA!$J$5:$Q$29,IF(E986="HI",2,IF(E986="LO",6,10))+IF(T986=1,2,IF(D986=7,1,(IF(WEEKDAY(B986)=1,2,IF(WEEKDAY(B986)=7,1,0))))))</f>
        <v>3</v>
      </c>
      <c r="V986" s="328">
        <f>VLOOKUP(C986,METADATA!$A$5:$H$29,IF(E986="HI",2,IF(E986="LO",6,10))+IF(T986=1,2,IF(D986=7,1,(IF(WEEKDAY(B986)=1,2,IF(WEEKDAY(B986)=7,1,0))))))</f>
        <v>3</v>
      </c>
    </row>
    <row r="987" spans="2:22">
      <c r="B987" s="318">
        <f t="shared" si="59"/>
        <v>46153</v>
      </c>
      <c r="C987" s="312">
        <v>23</v>
      </c>
      <c r="D987" s="368">
        <f>IFERROR((INDEX(METADATA!$T$2:$T$20,MATCH(B987,METADATA!$S$2:$S$20,0))),0)</f>
        <v>0</v>
      </c>
      <c r="E987" s="312" t="str">
        <f t="shared" si="60"/>
        <v>LO</v>
      </c>
      <c r="F987" s="369">
        <f>VLOOKUP(C987,METADATA!$A$5:$H$29,IF(E987="HI",2,IF(E987="LO",6,10))+IF(D987=1,2,IF(D987=7,1,(IF(WEEKDAY(B987)=1,2,IF(WEEKDAY(B987)=7,1,0))))))</f>
        <v>3</v>
      </c>
      <c r="G987" s="369">
        <f>VLOOKUP(C987,METADATA!$J$5:$Q$29,IF(E987="HI",2,IF(E987="LO",6,10))+IF(D987=1,2,IF(D987=7,1,(IF(WEEKDAY(B987)=1,2,IF(WEEKDAY(B987)=7,1,0))))))</f>
        <v>3</v>
      </c>
      <c r="H987" s="370">
        <v>13207.039794921875</v>
      </c>
      <c r="I987" s="370">
        <v>2137.2474975585938</v>
      </c>
      <c r="M987" s="371">
        <f t="shared" si="61"/>
        <v>13378.853725580175</v>
      </c>
      <c r="N987" s="329">
        <f t="shared" si="62"/>
        <v>0</v>
      </c>
      <c r="T987" s="331">
        <v>0</v>
      </c>
      <c r="U987" s="328">
        <f>VLOOKUP(C987,METADATA!$J$5:$Q$29,IF(E987="HI",2,IF(E987="LO",6,10))+IF(T987=1,2,IF(D987=7,1,(IF(WEEKDAY(B987)=1,2,IF(WEEKDAY(B987)=7,1,0))))))</f>
        <v>3</v>
      </c>
      <c r="V987" s="328">
        <f>VLOOKUP(C987,METADATA!$A$5:$H$29,IF(E987="HI",2,IF(E987="LO",6,10))+IF(T987=1,2,IF(D987=7,1,(IF(WEEKDAY(B987)=1,2,IF(WEEKDAY(B987)=7,1,0))))))</f>
        <v>3</v>
      </c>
    </row>
    <row r="988" spans="2:22">
      <c r="B988" s="318">
        <f t="shared" ref="B988:B1051" si="63">B964+1</f>
        <v>46154</v>
      </c>
      <c r="C988" s="312">
        <v>0</v>
      </c>
      <c r="D988" s="368">
        <f>IFERROR((INDEX(METADATA!$T$2:$T$20,MATCH(B988,METADATA!$S$2:$S$20,0))),0)</f>
        <v>0</v>
      </c>
      <c r="E988" s="312" t="str">
        <f t="shared" si="60"/>
        <v>LO</v>
      </c>
      <c r="F988" s="369">
        <f>VLOOKUP(C988,METADATA!$A$5:$H$29,IF(E988="HI",2,IF(E988="LO",6,10))+IF(D988=1,2,IF(D988=7,1,(IF(WEEKDAY(B988)=1,2,IF(WEEKDAY(B988)=7,1,0))))))</f>
        <v>3</v>
      </c>
      <c r="G988" s="369">
        <f>VLOOKUP(C988,METADATA!$J$5:$Q$29,IF(E988="HI",2,IF(E988="LO",6,10))+IF(D988=1,2,IF(D988=7,1,(IF(WEEKDAY(B988)=1,2,IF(WEEKDAY(B988)=7,1,0))))))</f>
        <v>3</v>
      </c>
      <c r="H988" s="370">
        <v>13231.119750976563</v>
      </c>
      <c r="I988" s="370">
        <v>1966.7049713134766</v>
      </c>
      <c r="M988" s="371">
        <f t="shared" si="61"/>
        <v>13376.489012774287</v>
      </c>
      <c r="N988" s="329">
        <f t="shared" si="62"/>
        <v>0</v>
      </c>
      <c r="T988" s="331">
        <v>0</v>
      </c>
      <c r="U988" s="328">
        <f>VLOOKUP(C988,METADATA!$J$5:$Q$29,IF(E988="HI",2,IF(E988="LO",6,10))+IF(T988=1,2,IF(D988=7,1,(IF(WEEKDAY(B988)=1,2,IF(WEEKDAY(B988)=7,1,0))))))</f>
        <v>3</v>
      </c>
      <c r="V988" s="328">
        <f>VLOOKUP(C988,METADATA!$A$5:$H$29,IF(E988="HI",2,IF(E988="LO",6,10))+IF(T988=1,2,IF(D988=7,1,(IF(WEEKDAY(B988)=1,2,IF(WEEKDAY(B988)=7,1,0))))))</f>
        <v>3</v>
      </c>
    </row>
    <row r="989" spans="2:22">
      <c r="B989" s="318">
        <f t="shared" si="63"/>
        <v>46154</v>
      </c>
      <c r="C989" s="312">
        <v>1</v>
      </c>
      <c r="D989" s="368">
        <f>IFERROR((INDEX(METADATA!$T$2:$T$20,MATCH(B989,METADATA!$S$2:$S$20,0))),0)</f>
        <v>0</v>
      </c>
      <c r="E989" s="312" t="str">
        <f t="shared" si="60"/>
        <v>LO</v>
      </c>
      <c r="F989" s="369">
        <f>VLOOKUP(C989,METADATA!$A$5:$H$29,IF(E989="HI",2,IF(E989="LO",6,10))+IF(D989=1,2,IF(D989=7,1,(IF(WEEKDAY(B989)=1,2,IF(WEEKDAY(B989)=7,1,0))))))</f>
        <v>3</v>
      </c>
      <c r="G989" s="369">
        <f>VLOOKUP(C989,METADATA!$J$5:$Q$29,IF(E989="HI",2,IF(E989="LO",6,10))+IF(D989=1,2,IF(D989=7,1,(IF(WEEKDAY(B989)=1,2,IF(WEEKDAY(B989)=7,1,0))))))</f>
        <v>3</v>
      </c>
      <c r="H989" s="370">
        <v>13350.579956054688</v>
      </c>
      <c r="I989" s="370">
        <v>2142.7400054931641</v>
      </c>
      <c r="M989" s="371">
        <f t="shared" si="61"/>
        <v>13521.439268589347</v>
      </c>
      <c r="N989" s="329">
        <f t="shared" si="62"/>
        <v>0</v>
      </c>
      <c r="T989" s="331">
        <v>0</v>
      </c>
      <c r="U989" s="328">
        <f>VLOOKUP(C989,METADATA!$J$5:$Q$29,IF(E989="HI",2,IF(E989="LO",6,10))+IF(T989=1,2,IF(D989=7,1,(IF(WEEKDAY(B989)=1,2,IF(WEEKDAY(B989)=7,1,0))))))</f>
        <v>3</v>
      </c>
      <c r="V989" s="328">
        <f>VLOOKUP(C989,METADATA!$A$5:$H$29,IF(E989="HI",2,IF(E989="LO",6,10))+IF(T989=1,2,IF(D989=7,1,(IF(WEEKDAY(B989)=1,2,IF(WEEKDAY(B989)=7,1,0))))))</f>
        <v>3</v>
      </c>
    </row>
    <row r="990" spans="2:22">
      <c r="B990" s="318">
        <f t="shared" si="63"/>
        <v>46154</v>
      </c>
      <c r="C990" s="312">
        <v>2</v>
      </c>
      <c r="D990" s="368">
        <f>IFERROR((INDEX(METADATA!$T$2:$T$20,MATCH(B990,METADATA!$S$2:$S$20,0))),0)</f>
        <v>0</v>
      </c>
      <c r="E990" s="312" t="str">
        <f t="shared" si="60"/>
        <v>LO</v>
      </c>
      <c r="F990" s="369">
        <f>VLOOKUP(C990,METADATA!$A$5:$H$29,IF(E990="HI",2,IF(E990="LO",6,10))+IF(D990=1,2,IF(D990=7,1,(IF(WEEKDAY(B990)=1,2,IF(WEEKDAY(B990)=7,1,0))))))</f>
        <v>3</v>
      </c>
      <c r="G990" s="369">
        <f>VLOOKUP(C990,METADATA!$J$5:$Q$29,IF(E990="HI",2,IF(E990="LO",6,10))+IF(D990=1,2,IF(D990=7,1,(IF(WEEKDAY(B990)=1,2,IF(WEEKDAY(B990)=7,1,0))))))</f>
        <v>3</v>
      </c>
      <c r="H990" s="370">
        <v>13360.259826660156</v>
      </c>
      <c r="I990" s="370">
        <v>2187.5800018310547</v>
      </c>
      <c r="M990" s="371">
        <f t="shared" si="61"/>
        <v>13538.170072069579</v>
      </c>
      <c r="N990" s="329">
        <f t="shared" si="62"/>
        <v>0</v>
      </c>
      <c r="T990" s="331">
        <v>0</v>
      </c>
      <c r="U990" s="328">
        <f>VLOOKUP(C990,METADATA!$J$5:$Q$29,IF(E990="HI",2,IF(E990="LO",6,10))+IF(T990=1,2,IF(D990=7,1,(IF(WEEKDAY(B990)=1,2,IF(WEEKDAY(B990)=7,1,0))))))</f>
        <v>3</v>
      </c>
      <c r="V990" s="328">
        <f>VLOOKUP(C990,METADATA!$A$5:$H$29,IF(E990="HI",2,IF(E990="LO",6,10))+IF(T990=1,2,IF(D990=7,1,(IF(WEEKDAY(B990)=1,2,IF(WEEKDAY(B990)=7,1,0))))))</f>
        <v>3</v>
      </c>
    </row>
    <row r="991" spans="2:22">
      <c r="B991" s="318">
        <f t="shared" si="63"/>
        <v>46154</v>
      </c>
      <c r="C991" s="312">
        <v>3</v>
      </c>
      <c r="D991" s="368">
        <f>IFERROR((INDEX(METADATA!$T$2:$T$20,MATCH(B991,METADATA!$S$2:$S$20,0))),0)</f>
        <v>0</v>
      </c>
      <c r="E991" s="312" t="str">
        <f t="shared" si="60"/>
        <v>LO</v>
      </c>
      <c r="F991" s="369">
        <f>VLOOKUP(C991,METADATA!$A$5:$H$29,IF(E991="HI",2,IF(E991="LO",6,10))+IF(D991=1,2,IF(D991=7,1,(IF(WEEKDAY(B991)=1,2,IF(WEEKDAY(B991)=7,1,0))))))</f>
        <v>3</v>
      </c>
      <c r="G991" s="369">
        <f>VLOOKUP(C991,METADATA!$J$5:$Q$29,IF(E991="HI",2,IF(E991="LO",6,10))+IF(D991=1,2,IF(D991=7,1,(IF(WEEKDAY(B991)=1,2,IF(WEEKDAY(B991)=7,1,0))))))</f>
        <v>3</v>
      </c>
      <c r="H991" s="370">
        <v>13306.522277832031</v>
      </c>
      <c r="I991" s="370">
        <v>2175.9099731445313</v>
      </c>
      <c r="M991" s="371">
        <f t="shared" si="61"/>
        <v>13483.253292201774</v>
      </c>
      <c r="N991" s="329">
        <f t="shared" si="62"/>
        <v>0</v>
      </c>
      <c r="T991" s="331">
        <v>0</v>
      </c>
      <c r="U991" s="328">
        <f>VLOOKUP(C991,METADATA!$J$5:$Q$29,IF(E991="HI",2,IF(E991="LO",6,10))+IF(T991=1,2,IF(D991=7,1,(IF(WEEKDAY(B991)=1,2,IF(WEEKDAY(B991)=7,1,0))))))</f>
        <v>3</v>
      </c>
      <c r="V991" s="328">
        <f>VLOOKUP(C991,METADATA!$A$5:$H$29,IF(E991="HI",2,IF(E991="LO",6,10))+IF(T991=1,2,IF(D991=7,1,(IF(WEEKDAY(B991)=1,2,IF(WEEKDAY(B991)=7,1,0))))))</f>
        <v>3</v>
      </c>
    </row>
    <row r="992" spans="2:22">
      <c r="B992" s="318">
        <f t="shared" si="63"/>
        <v>46154</v>
      </c>
      <c r="C992" s="312">
        <v>4</v>
      </c>
      <c r="D992" s="368">
        <f>IFERROR((INDEX(METADATA!$T$2:$T$20,MATCH(B992,METADATA!$S$2:$S$20,0))),0)</f>
        <v>0</v>
      </c>
      <c r="E992" s="312" t="str">
        <f t="shared" si="60"/>
        <v>LO</v>
      </c>
      <c r="F992" s="369">
        <f>VLOOKUP(C992,METADATA!$A$5:$H$29,IF(E992="HI",2,IF(E992="LO",6,10))+IF(D992=1,2,IF(D992=7,1,(IF(WEEKDAY(B992)=1,2,IF(WEEKDAY(B992)=7,1,0))))))</f>
        <v>3</v>
      </c>
      <c r="G992" s="369">
        <f>VLOOKUP(C992,METADATA!$J$5:$Q$29,IF(E992="HI",2,IF(E992="LO",6,10))+IF(D992=1,2,IF(D992=7,1,(IF(WEEKDAY(B992)=1,2,IF(WEEKDAY(B992)=7,1,0))))))</f>
        <v>3</v>
      </c>
      <c r="H992" s="370">
        <v>13320.839721679688</v>
      </c>
      <c r="I992" s="370">
        <v>2096.4725189208984</v>
      </c>
      <c r="M992" s="371">
        <f t="shared" si="61"/>
        <v>13484.805075093593</v>
      </c>
      <c r="N992" s="329">
        <f t="shared" si="62"/>
        <v>0</v>
      </c>
      <c r="T992" s="331">
        <v>0</v>
      </c>
      <c r="U992" s="328">
        <f>VLOOKUP(C992,METADATA!$J$5:$Q$29,IF(E992="HI",2,IF(E992="LO",6,10))+IF(T992=1,2,IF(D992=7,1,(IF(WEEKDAY(B992)=1,2,IF(WEEKDAY(B992)=7,1,0))))))</f>
        <v>3</v>
      </c>
      <c r="V992" s="328">
        <f>VLOOKUP(C992,METADATA!$A$5:$H$29,IF(E992="HI",2,IF(E992="LO",6,10))+IF(T992=1,2,IF(D992=7,1,(IF(WEEKDAY(B992)=1,2,IF(WEEKDAY(B992)=7,1,0))))))</f>
        <v>3</v>
      </c>
    </row>
    <row r="993" spans="2:22">
      <c r="B993" s="318">
        <f t="shared" si="63"/>
        <v>46154</v>
      </c>
      <c r="C993" s="312">
        <v>5</v>
      </c>
      <c r="D993" s="368">
        <f>IFERROR((INDEX(METADATA!$T$2:$T$20,MATCH(B993,METADATA!$S$2:$S$20,0))),0)</f>
        <v>0</v>
      </c>
      <c r="E993" s="312" t="str">
        <f t="shared" si="60"/>
        <v>LO</v>
      </c>
      <c r="F993" s="369">
        <f>VLOOKUP(C993,METADATA!$A$5:$H$29,IF(E993="HI",2,IF(E993="LO",6,10))+IF(D993=1,2,IF(D993=7,1,(IF(WEEKDAY(B993)=1,2,IF(WEEKDAY(B993)=7,1,0))))))</f>
        <v>3</v>
      </c>
      <c r="G993" s="369">
        <f>VLOOKUP(C993,METADATA!$J$5:$Q$29,IF(E993="HI",2,IF(E993="LO",6,10))+IF(D993=1,2,IF(D993=7,1,(IF(WEEKDAY(B993)=1,2,IF(WEEKDAY(B993)=7,1,0))))))</f>
        <v>3</v>
      </c>
      <c r="H993" s="370">
        <v>13403.559814453125</v>
      </c>
      <c r="I993" s="370">
        <v>2063.5200042724609</v>
      </c>
      <c r="M993" s="371">
        <f t="shared" si="61"/>
        <v>13561.472283924608</v>
      </c>
      <c r="N993" s="329">
        <f t="shared" si="62"/>
        <v>0</v>
      </c>
      <c r="T993" s="331">
        <v>0</v>
      </c>
      <c r="U993" s="328">
        <f>VLOOKUP(C993,METADATA!$J$5:$Q$29,IF(E993="HI",2,IF(E993="LO",6,10))+IF(T993=1,2,IF(D993=7,1,(IF(WEEKDAY(B993)=1,2,IF(WEEKDAY(B993)=7,1,0))))))</f>
        <v>3</v>
      </c>
      <c r="V993" s="328">
        <f>VLOOKUP(C993,METADATA!$A$5:$H$29,IF(E993="HI",2,IF(E993="LO",6,10))+IF(T993=1,2,IF(D993=7,1,(IF(WEEKDAY(B993)=1,2,IF(WEEKDAY(B993)=7,1,0))))))</f>
        <v>3</v>
      </c>
    </row>
    <row r="994" spans="2:22">
      <c r="B994" s="318">
        <f t="shared" si="63"/>
        <v>46154</v>
      </c>
      <c r="C994" s="312">
        <v>6</v>
      </c>
      <c r="D994" s="368">
        <f>IFERROR((INDEX(METADATA!$T$2:$T$20,MATCH(B994,METADATA!$S$2:$S$20,0))),0)</f>
        <v>0</v>
      </c>
      <c r="E994" s="312" t="str">
        <f t="shared" si="60"/>
        <v>LO</v>
      </c>
      <c r="F994" s="369">
        <f>VLOOKUP(C994,METADATA!$A$5:$H$29,IF(E994="HI",2,IF(E994="LO",6,10))+IF(D994=1,2,IF(D994=7,1,(IF(WEEKDAY(B994)=1,2,IF(WEEKDAY(B994)=7,1,0))))))</f>
        <v>2</v>
      </c>
      <c r="G994" s="369">
        <f>VLOOKUP(C994,METADATA!$J$5:$Q$29,IF(E994="HI",2,IF(E994="LO",6,10))+IF(D994=1,2,IF(D994=7,1,(IF(WEEKDAY(B994)=1,2,IF(WEEKDAY(B994)=7,1,0))))))</f>
        <v>2</v>
      </c>
      <c r="H994" s="370">
        <v>13371.460144042969</v>
      </c>
      <c r="I994" s="370">
        <v>2054.85498046875</v>
      </c>
      <c r="M994" s="371">
        <f t="shared" si="61"/>
        <v>13528.42841480439</v>
      </c>
      <c r="N994" s="329">
        <f t="shared" si="62"/>
        <v>0</v>
      </c>
      <c r="T994" s="331">
        <v>0</v>
      </c>
      <c r="U994" s="328">
        <f>VLOOKUP(C994,METADATA!$J$5:$Q$29,IF(E994="HI",2,IF(E994="LO",6,10))+IF(T994=1,2,IF(D994=7,1,(IF(WEEKDAY(B994)=1,2,IF(WEEKDAY(B994)=7,1,0))))))</f>
        <v>2</v>
      </c>
      <c r="V994" s="328">
        <f>VLOOKUP(C994,METADATA!$A$5:$H$29,IF(E994="HI",2,IF(E994="LO",6,10))+IF(T994=1,2,IF(D994=7,1,(IF(WEEKDAY(B994)=1,2,IF(WEEKDAY(B994)=7,1,0))))))</f>
        <v>2</v>
      </c>
    </row>
    <row r="995" spans="2:22">
      <c r="B995" s="318">
        <f t="shared" si="63"/>
        <v>46154</v>
      </c>
      <c r="C995" s="312">
        <v>7</v>
      </c>
      <c r="D995" s="368">
        <f>IFERROR((INDEX(METADATA!$T$2:$T$20,MATCH(B995,METADATA!$S$2:$S$20,0))),0)</f>
        <v>0</v>
      </c>
      <c r="E995" s="312" t="str">
        <f t="shared" si="60"/>
        <v>LO</v>
      </c>
      <c r="F995" s="369">
        <f>VLOOKUP(C995,METADATA!$A$5:$H$29,IF(E995="HI",2,IF(E995="LO",6,10))+IF(D995=1,2,IF(D995=7,1,(IF(WEEKDAY(B995)=1,2,IF(WEEKDAY(B995)=7,1,0))))))</f>
        <v>1</v>
      </c>
      <c r="G995" s="369">
        <f>VLOOKUP(C995,METADATA!$J$5:$Q$29,IF(E995="HI",2,IF(E995="LO",6,10))+IF(D995=1,2,IF(D995=7,1,(IF(WEEKDAY(B995)=1,2,IF(WEEKDAY(B995)=7,1,0))))))</f>
        <v>1</v>
      </c>
      <c r="H995" s="370">
        <v>13495.245056152344</v>
      </c>
      <c r="I995" s="370">
        <v>1963.032470703125</v>
      </c>
      <c r="M995" s="371">
        <f t="shared" si="61"/>
        <v>13637.270093630876</v>
      </c>
      <c r="N995" s="329">
        <f t="shared" si="62"/>
        <v>0</v>
      </c>
      <c r="T995" s="331">
        <v>0</v>
      </c>
      <c r="U995" s="328">
        <f>VLOOKUP(C995,METADATA!$J$5:$Q$29,IF(E995="HI",2,IF(E995="LO",6,10))+IF(T995=1,2,IF(D995=7,1,(IF(WEEKDAY(B995)=1,2,IF(WEEKDAY(B995)=7,1,0))))))</f>
        <v>1</v>
      </c>
      <c r="V995" s="328">
        <f>VLOOKUP(C995,METADATA!$A$5:$H$29,IF(E995="HI",2,IF(E995="LO",6,10))+IF(T995=1,2,IF(D995=7,1,(IF(WEEKDAY(B995)=1,2,IF(WEEKDAY(B995)=7,1,0))))))</f>
        <v>1</v>
      </c>
    </row>
    <row r="996" spans="2:22">
      <c r="B996" s="318">
        <f t="shared" si="63"/>
        <v>46154</v>
      </c>
      <c r="C996" s="312">
        <v>8</v>
      </c>
      <c r="D996" s="368">
        <f>IFERROR((INDEX(METADATA!$T$2:$T$20,MATCH(B996,METADATA!$S$2:$S$20,0))),0)</f>
        <v>0</v>
      </c>
      <c r="E996" s="312" t="str">
        <f t="shared" si="60"/>
        <v>LO</v>
      </c>
      <c r="F996" s="369">
        <f>VLOOKUP(C996,METADATA!$A$5:$H$29,IF(E996="HI",2,IF(E996="LO",6,10))+IF(D996=1,2,IF(D996=7,1,(IF(WEEKDAY(B996)=1,2,IF(WEEKDAY(B996)=7,1,0))))))</f>
        <v>1</v>
      </c>
      <c r="G996" s="369">
        <f>VLOOKUP(C996,METADATA!$J$5:$Q$29,IF(E996="HI",2,IF(E996="LO",6,10))+IF(D996=1,2,IF(D996=7,1,(IF(WEEKDAY(B996)=1,2,IF(WEEKDAY(B996)=7,1,0))))))</f>
        <v>1</v>
      </c>
      <c r="H996" s="370">
        <v>13618.48486328125</v>
      </c>
      <c r="I996" s="370">
        <v>1885.4875335693359</v>
      </c>
      <c r="M996" s="371">
        <f t="shared" si="61"/>
        <v>13748.388749619568</v>
      </c>
      <c r="N996" s="329">
        <f t="shared" si="62"/>
        <v>0</v>
      </c>
      <c r="T996" s="331">
        <v>0</v>
      </c>
      <c r="U996" s="328">
        <f>VLOOKUP(C996,METADATA!$J$5:$Q$29,IF(E996="HI",2,IF(E996="LO",6,10))+IF(T996=1,2,IF(D996=7,1,(IF(WEEKDAY(B996)=1,2,IF(WEEKDAY(B996)=7,1,0))))))</f>
        <v>1</v>
      </c>
      <c r="V996" s="328">
        <f>VLOOKUP(C996,METADATA!$A$5:$H$29,IF(E996="HI",2,IF(E996="LO",6,10))+IF(T996=1,2,IF(D996=7,1,(IF(WEEKDAY(B996)=1,2,IF(WEEKDAY(B996)=7,1,0))))))</f>
        <v>1</v>
      </c>
    </row>
    <row r="997" spans="2:22">
      <c r="B997" s="318">
        <f t="shared" si="63"/>
        <v>46154</v>
      </c>
      <c r="C997" s="312">
        <v>9</v>
      </c>
      <c r="D997" s="368">
        <f>IFERROR((INDEX(METADATA!$T$2:$T$20,MATCH(B997,METADATA!$S$2:$S$20,0))),0)</f>
        <v>0</v>
      </c>
      <c r="E997" s="312" t="str">
        <f t="shared" si="60"/>
        <v>LO</v>
      </c>
      <c r="F997" s="369">
        <f>VLOOKUP(C997,METADATA!$A$5:$H$29,IF(E997="HI",2,IF(E997="LO",6,10))+IF(D997=1,2,IF(D997=7,1,(IF(WEEKDAY(B997)=1,2,IF(WEEKDAY(B997)=7,1,0))))))</f>
        <v>2</v>
      </c>
      <c r="G997" s="369">
        <f>VLOOKUP(C997,METADATA!$J$5:$Q$29,IF(E997="HI",2,IF(E997="LO",6,10))+IF(D997=1,2,IF(D997=7,1,(IF(WEEKDAY(B997)=1,2,IF(WEEKDAY(B997)=7,1,0))))))</f>
        <v>2</v>
      </c>
      <c r="H997" s="370">
        <v>13691.200012207031</v>
      </c>
      <c r="I997" s="370">
        <v>1846.9700164794922</v>
      </c>
      <c r="M997" s="371">
        <f t="shared" si="61"/>
        <v>13815.218276090756</v>
      </c>
      <c r="N997" s="329">
        <f t="shared" si="62"/>
        <v>0</v>
      </c>
      <c r="T997" s="331">
        <v>0</v>
      </c>
      <c r="U997" s="328">
        <f>VLOOKUP(C997,METADATA!$J$5:$Q$29,IF(E997="HI",2,IF(E997="LO",6,10))+IF(T997=1,2,IF(D997=7,1,(IF(WEEKDAY(B997)=1,2,IF(WEEKDAY(B997)=7,1,0))))))</f>
        <v>2</v>
      </c>
      <c r="V997" s="328">
        <f>VLOOKUP(C997,METADATA!$A$5:$H$29,IF(E997="HI",2,IF(E997="LO",6,10))+IF(T997=1,2,IF(D997=7,1,(IF(WEEKDAY(B997)=1,2,IF(WEEKDAY(B997)=7,1,0))))))</f>
        <v>2</v>
      </c>
    </row>
    <row r="998" spans="2:22">
      <c r="B998" s="318">
        <f t="shared" si="63"/>
        <v>46154</v>
      </c>
      <c r="C998" s="312">
        <v>10</v>
      </c>
      <c r="D998" s="368">
        <f>IFERROR((INDEX(METADATA!$T$2:$T$20,MATCH(B998,METADATA!$S$2:$S$20,0))),0)</f>
        <v>0</v>
      </c>
      <c r="E998" s="312" t="str">
        <f t="shared" si="60"/>
        <v>LO</v>
      </c>
      <c r="F998" s="369">
        <f>VLOOKUP(C998,METADATA!$A$5:$H$29,IF(E998="HI",2,IF(E998="LO",6,10))+IF(D998=1,2,IF(D998=7,1,(IF(WEEKDAY(B998)=1,2,IF(WEEKDAY(B998)=7,1,0))))))</f>
        <v>2</v>
      </c>
      <c r="G998" s="369">
        <f>VLOOKUP(C998,METADATA!$J$5:$Q$29,IF(E998="HI",2,IF(E998="LO",6,10))+IF(D998=1,2,IF(D998=7,1,(IF(WEEKDAY(B998)=1,2,IF(WEEKDAY(B998)=7,1,0))))))</f>
        <v>2</v>
      </c>
      <c r="H998" s="370">
        <v>13564.034973144531</v>
      </c>
      <c r="I998" s="370">
        <v>1942.8214902281761</v>
      </c>
      <c r="M998" s="371">
        <f t="shared" si="61"/>
        <v>13702.466934664735</v>
      </c>
      <c r="N998" s="329">
        <f t="shared" si="62"/>
        <v>0</v>
      </c>
      <c r="T998" s="331">
        <v>0</v>
      </c>
      <c r="U998" s="328">
        <f>VLOOKUP(C998,METADATA!$J$5:$Q$29,IF(E998="HI",2,IF(E998="LO",6,10))+IF(T998=1,2,IF(D998=7,1,(IF(WEEKDAY(B998)=1,2,IF(WEEKDAY(B998)=7,1,0))))))</f>
        <v>2</v>
      </c>
      <c r="V998" s="328">
        <f>VLOOKUP(C998,METADATA!$A$5:$H$29,IF(E998="HI",2,IF(E998="LO",6,10))+IF(T998=1,2,IF(D998=7,1,(IF(WEEKDAY(B998)=1,2,IF(WEEKDAY(B998)=7,1,0))))))</f>
        <v>2</v>
      </c>
    </row>
    <row r="999" spans="2:22">
      <c r="B999" s="318">
        <f t="shared" si="63"/>
        <v>46154</v>
      </c>
      <c r="C999" s="312">
        <v>11</v>
      </c>
      <c r="D999" s="368">
        <f>IFERROR((INDEX(METADATA!$T$2:$T$20,MATCH(B999,METADATA!$S$2:$S$20,0))),0)</f>
        <v>0</v>
      </c>
      <c r="E999" s="312" t="str">
        <f t="shared" si="60"/>
        <v>LO</v>
      </c>
      <c r="F999" s="369">
        <f>VLOOKUP(C999,METADATA!$A$5:$H$29,IF(E999="HI",2,IF(E999="LO",6,10))+IF(D999=1,2,IF(D999=7,1,(IF(WEEKDAY(B999)=1,2,IF(WEEKDAY(B999)=7,1,0))))))</f>
        <v>2</v>
      </c>
      <c r="G999" s="369">
        <f>VLOOKUP(C999,METADATA!$J$5:$Q$29,IF(E999="HI",2,IF(E999="LO",6,10))+IF(D999=1,2,IF(D999=7,1,(IF(WEEKDAY(B999)=1,2,IF(WEEKDAY(B999)=7,1,0))))))</f>
        <v>2</v>
      </c>
      <c r="H999" s="370">
        <v>13705.969970703125</v>
      </c>
      <c r="I999" s="370">
        <v>2190.650487780571</v>
      </c>
      <c r="M999" s="371">
        <f t="shared" si="61"/>
        <v>13879.933803784119</v>
      </c>
      <c r="N999" s="329">
        <f t="shared" si="62"/>
        <v>0</v>
      </c>
      <c r="T999" s="331">
        <v>0</v>
      </c>
      <c r="U999" s="328">
        <f>VLOOKUP(C999,METADATA!$J$5:$Q$29,IF(E999="HI",2,IF(E999="LO",6,10))+IF(T999=1,2,IF(D999=7,1,(IF(WEEKDAY(B999)=1,2,IF(WEEKDAY(B999)=7,1,0))))))</f>
        <v>2</v>
      </c>
      <c r="V999" s="328">
        <f>VLOOKUP(C999,METADATA!$A$5:$H$29,IF(E999="HI",2,IF(E999="LO",6,10))+IF(T999=1,2,IF(D999=7,1,(IF(WEEKDAY(B999)=1,2,IF(WEEKDAY(B999)=7,1,0))))))</f>
        <v>2</v>
      </c>
    </row>
    <row r="1000" spans="2:22">
      <c r="B1000" s="318">
        <f t="shared" si="63"/>
        <v>46154</v>
      </c>
      <c r="C1000" s="312">
        <v>12</v>
      </c>
      <c r="D1000" s="368">
        <f>IFERROR((INDEX(METADATA!$T$2:$T$20,MATCH(B1000,METADATA!$S$2:$S$20,0))),0)</f>
        <v>0</v>
      </c>
      <c r="E1000" s="312" t="str">
        <f t="shared" si="60"/>
        <v>LO</v>
      </c>
      <c r="F1000" s="369">
        <f>VLOOKUP(C1000,METADATA!$A$5:$H$29,IF(E1000="HI",2,IF(E1000="LO",6,10))+IF(D1000=1,2,IF(D1000=7,1,(IF(WEEKDAY(B1000)=1,2,IF(WEEKDAY(B1000)=7,1,0))))))</f>
        <v>2</v>
      </c>
      <c r="G1000" s="369">
        <f>VLOOKUP(C1000,METADATA!$J$5:$Q$29,IF(E1000="HI",2,IF(E1000="LO",6,10))+IF(D1000=1,2,IF(D1000=7,1,(IF(WEEKDAY(B1000)=1,2,IF(WEEKDAY(B1000)=7,1,0))))))</f>
        <v>2</v>
      </c>
      <c r="H1000" s="370">
        <v>13626.624755859375</v>
      </c>
      <c r="I1000" s="370">
        <v>2165.3285090923309</v>
      </c>
      <c r="M1000" s="371">
        <f t="shared" si="61"/>
        <v>13797.592173610858</v>
      </c>
      <c r="N1000" s="329">
        <f t="shared" si="62"/>
        <v>0</v>
      </c>
      <c r="T1000" s="331">
        <v>0</v>
      </c>
      <c r="U1000" s="328">
        <f>VLOOKUP(C1000,METADATA!$J$5:$Q$29,IF(E1000="HI",2,IF(E1000="LO",6,10))+IF(T1000=1,2,IF(D1000=7,1,(IF(WEEKDAY(B1000)=1,2,IF(WEEKDAY(B1000)=7,1,0))))))</f>
        <v>2</v>
      </c>
      <c r="V1000" s="328">
        <f>VLOOKUP(C1000,METADATA!$A$5:$H$29,IF(E1000="HI",2,IF(E1000="LO",6,10))+IF(T1000=1,2,IF(D1000=7,1,(IF(WEEKDAY(B1000)=1,2,IF(WEEKDAY(B1000)=7,1,0))))))</f>
        <v>2</v>
      </c>
    </row>
    <row r="1001" spans="2:22">
      <c r="B1001" s="318">
        <f t="shared" si="63"/>
        <v>46154</v>
      </c>
      <c r="C1001" s="312">
        <v>13</v>
      </c>
      <c r="D1001" s="368">
        <f>IFERROR((INDEX(METADATA!$T$2:$T$20,MATCH(B1001,METADATA!$S$2:$S$20,0))),0)</f>
        <v>0</v>
      </c>
      <c r="E1001" s="312" t="str">
        <f t="shared" si="60"/>
        <v>LO</v>
      </c>
      <c r="F1001" s="369">
        <f>VLOOKUP(C1001,METADATA!$A$5:$H$29,IF(E1001="HI",2,IF(E1001="LO",6,10))+IF(D1001=1,2,IF(D1001=7,1,(IF(WEEKDAY(B1001)=1,2,IF(WEEKDAY(B1001)=7,1,0))))))</f>
        <v>2</v>
      </c>
      <c r="G1001" s="369">
        <f>VLOOKUP(C1001,METADATA!$J$5:$Q$29,IF(E1001="HI",2,IF(E1001="LO",6,10))+IF(D1001=1,2,IF(D1001=7,1,(IF(WEEKDAY(B1001)=1,2,IF(WEEKDAY(B1001)=7,1,0))))))</f>
        <v>2</v>
      </c>
      <c r="H1001" s="370">
        <v>13715.779968261719</v>
      </c>
      <c r="I1001" s="370">
        <v>2241.4039993286133</v>
      </c>
      <c r="M1001" s="371">
        <f t="shared" si="61"/>
        <v>13897.716072289566</v>
      </c>
      <c r="N1001" s="329">
        <f t="shared" si="62"/>
        <v>0</v>
      </c>
      <c r="T1001" s="331">
        <v>0</v>
      </c>
      <c r="U1001" s="328">
        <f>VLOOKUP(C1001,METADATA!$J$5:$Q$29,IF(E1001="HI",2,IF(E1001="LO",6,10))+IF(T1001=1,2,IF(D1001=7,1,(IF(WEEKDAY(B1001)=1,2,IF(WEEKDAY(B1001)=7,1,0))))))</f>
        <v>2</v>
      </c>
      <c r="V1001" s="328">
        <f>VLOOKUP(C1001,METADATA!$A$5:$H$29,IF(E1001="HI",2,IF(E1001="LO",6,10))+IF(T1001=1,2,IF(D1001=7,1,(IF(WEEKDAY(B1001)=1,2,IF(WEEKDAY(B1001)=7,1,0))))))</f>
        <v>2</v>
      </c>
    </row>
    <row r="1002" spans="2:22">
      <c r="B1002" s="318">
        <f t="shared" si="63"/>
        <v>46154</v>
      </c>
      <c r="C1002" s="312">
        <v>14</v>
      </c>
      <c r="D1002" s="368">
        <f>IFERROR((INDEX(METADATA!$T$2:$T$20,MATCH(B1002,METADATA!$S$2:$S$20,0))),0)</f>
        <v>0</v>
      </c>
      <c r="E1002" s="312" t="str">
        <f t="shared" si="60"/>
        <v>LO</v>
      </c>
      <c r="F1002" s="369">
        <f>VLOOKUP(C1002,METADATA!$A$5:$H$29,IF(E1002="HI",2,IF(E1002="LO",6,10))+IF(D1002=1,2,IF(D1002=7,1,(IF(WEEKDAY(B1002)=1,2,IF(WEEKDAY(B1002)=7,1,0))))))</f>
        <v>2</v>
      </c>
      <c r="G1002" s="369">
        <f>VLOOKUP(C1002,METADATA!$J$5:$Q$29,IF(E1002="HI",2,IF(E1002="LO",6,10))+IF(D1002=1,2,IF(D1002=7,1,(IF(WEEKDAY(B1002)=1,2,IF(WEEKDAY(B1002)=7,1,0))))))</f>
        <v>2</v>
      </c>
      <c r="H1002" s="370">
        <v>13716.164916992188</v>
      </c>
      <c r="I1002" s="370">
        <v>2241.529016494751</v>
      </c>
      <c r="M1002" s="371">
        <f t="shared" si="61"/>
        <v>13898.116144352629</v>
      </c>
      <c r="N1002" s="329">
        <f t="shared" si="62"/>
        <v>0</v>
      </c>
      <c r="T1002" s="331">
        <v>0</v>
      </c>
      <c r="U1002" s="328">
        <f>VLOOKUP(C1002,METADATA!$J$5:$Q$29,IF(E1002="HI",2,IF(E1002="LO",6,10))+IF(T1002=1,2,IF(D1002=7,1,(IF(WEEKDAY(B1002)=1,2,IF(WEEKDAY(B1002)=7,1,0))))))</f>
        <v>2</v>
      </c>
      <c r="V1002" s="328">
        <f>VLOOKUP(C1002,METADATA!$A$5:$H$29,IF(E1002="HI",2,IF(E1002="LO",6,10))+IF(T1002=1,2,IF(D1002=7,1,(IF(WEEKDAY(B1002)=1,2,IF(WEEKDAY(B1002)=7,1,0))))))</f>
        <v>2</v>
      </c>
    </row>
    <row r="1003" spans="2:22">
      <c r="B1003" s="318">
        <f t="shared" si="63"/>
        <v>46154</v>
      </c>
      <c r="C1003" s="312">
        <v>15</v>
      </c>
      <c r="D1003" s="368">
        <f>IFERROR((INDEX(METADATA!$T$2:$T$20,MATCH(B1003,METADATA!$S$2:$S$20,0))),0)</f>
        <v>0</v>
      </c>
      <c r="E1003" s="312" t="str">
        <f t="shared" si="60"/>
        <v>LO</v>
      </c>
      <c r="F1003" s="369">
        <f>VLOOKUP(C1003,METADATA!$A$5:$H$29,IF(E1003="HI",2,IF(E1003="LO",6,10))+IF(D1003=1,2,IF(D1003=7,1,(IF(WEEKDAY(B1003)=1,2,IF(WEEKDAY(B1003)=7,1,0))))))</f>
        <v>2</v>
      </c>
      <c r="G1003" s="369">
        <f>VLOOKUP(C1003,METADATA!$J$5:$Q$29,IF(E1003="HI",2,IF(E1003="LO",6,10))+IF(D1003=1,2,IF(D1003=7,1,(IF(WEEKDAY(B1003)=1,2,IF(WEEKDAY(B1003)=7,1,0))))))</f>
        <v>2</v>
      </c>
      <c r="H1003" s="370">
        <v>13582.744750976563</v>
      </c>
      <c r="I1003" s="370">
        <v>2143.632474899292</v>
      </c>
      <c r="M1003" s="371">
        <f t="shared" si="61"/>
        <v>13750.858706190833</v>
      </c>
      <c r="N1003" s="329">
        <f t="shared" si="62"/>
        <v>0</v>
      </c>
      <c r="T1003" s="331">
        <v>0</v>
      </c>
      <c r="U1003" s="328">
        <f>VLOOKUP(C1003,METADATA!$J$5:$Q$29,IF(E1003="HI",2,IF(E1003="LO",6,10))+IF(T1003=1,2,IF(D1003=7,1,(IF(WEEKDAY(B1003)=1,2,IF(WEEKDAY(B1003)=7,1,0))))))</f>
        <v>2</v>
      </c>
      <c r="V1003" s="328">
        <f>VLOOKUP(C1003,METADATA!$A$5:$H$29,IF(E1003="HI",2,IF(E1003="LO",6,10))+IF(T1003=1,2,IF(D1003=7,1,(IF(WEEKDAY(B1003)=1,2,IF(WEEKDAY(B1003)=7,1,0))))))</f>
        <v>2</v>
      </c>
    </row>
    <row r="1004" spans="2:22">
      <c r="B1004" s="318">
        <f t="shared" si="63"/>
        <v>46154</v>
      </c>
      <c r="C1004" s="312">
        <v>16</v>
      </c>
      <c r="D1004" s="368">
        <f>IFERROR((INDEX(METADATA!$T$2:$T$20,MATCH(B1004,METADATA!$S$2:$S$20,0))),0)</f>
        <v>0</v>
      </c>
      <c r="E1004" s="312" t="str">
        <f t="shared" si="60"/>
        <v>LO</v>
      </c>
      <c r="F1004" s="369">
        <f>VLOOKUP(C1004,METADATA!$A$5:$H$29,IF(E1004="HI",2,IF(E1004="LO",6,10))+IF(D1004=1,2,IF(D1004=7,1,(IF(WEEKDAY(B1004)=1,2,IF(WEEKDAY(B1004)=7,1,0))))))</f>
        <v>2</v>
      </c>
      <c r="G1004" s="369">
        <f>VLOOKUP(C1004,METADATA!$J$5:$Q$29,IF(E1004="HI",2,IF(E1004="LO",6,10))+IF(D1004=1,2,IF(D1004=7,1,(IF(WEEKDAY(B1004)=1,2,IF(WEEKDAY(B1004)=7,1,0))))))</f>
        <v>2</v>
      </c>
      <c r="H1004" s="370">
        <v>13435.779968261719</v>
      </c>
      <c r="I1004" s="370">
        <v>2090.9530181884766</v>
      </c>
      <c r="M1004" s="371">
        <f t="shared" si="61"/>
        <v>13597.509620508248</v>
      </c>
      <c r="N1004" s="329">
        <f t="shared" si="62"/>
        <v>0</v>
      </c>
      <c r="T1004" s="331">
        <v>0</v>
      </c>
      <c r="U1004" s="328">
        <f>VLOOKUP(C1004,METADATA!$J$5:$Q$29,IF(E1004="HI",2,IF(E1004="LO",6,10))+IF(T1004=1,2,IF(D1004=7,1,(IF(WEEKDAY(B1004)=1,2,IF(WEEKDAY(B1004)=7,1,0))))))</f>
        <v>2</v>
      </c>
      <c r="V1004" s="328">
        <f>VLOOKUP(C1004,METADATA!$A$5:$H$29,IF(E1004="HI",2,IF(E1004="LO",6,10))+IF(T1004=1,2,IF(D1004=7,1,(IF(WEEKDAY(B1004)=1,2,IF(WEEKDAY(B1004)=7,1,0))))))</f>
        <v>2</v>
      </c>
    </row>
    <row r="1005" spans="2:22">
      <c r="B1005" s="318">
        <f t="shared" si="63"/>
        <v>46154</v>
      </c>
      <c r="C1005" s="312">
        <v>17</v>
      </c>
      <c r="D1005" s="368">
        <f>IFERROR((INDEX(METADATA!$T$2:$T$20,MATCH(B1005,METADATA!$S$2:$S$20,0))),0)</f>
        <v>0</v>
      </c>
      <c r="E1005" s="312" t="str">
        <f t="shared" si="60"/>
        <v>LO</v>
      </c>
      <c r="F1005" s="369">
        <f>VLOOKUP(C1005,METADATA!$A$5:$H$29,IF(E1005="HI",2,IF(E1005="LO",6,10))+IF(D1005=1,2,IF(D1005=7,1,(IF(WEEKDAY(B1005)=1,2,IF(WEEKDAY(B1005)=7,1,0))))))</f>
        <v>2</v>
      </c>
      <c r="G1005" s="369">
        <f>VLOOKUP(C1005,METADATA!$J$5:$Q$29,IF(E1005="HI",2,IF(E1005="LO",6,10))+IF(D1005=1,2,IF(D1005=7,1,(IF(WEEKDAY(B1005)=1,2,IF(WEEKDAY(B1005)=7,1,0))))))</f>
        <v>2</v>
      </c>
      <c r="H1005" s="370">
        <v>13524.849792480469</v>
      </c>
      <c r="I1005" s="370">
        <v>2090.3739869594574</v>
      </c>
      <c r="M1005" s="371">
        <f t="shared" si="61"/>
        <v>13685.438440711929</v>
      </c>
      <c r="N1005" s="329">
        <f t="shared" si="62"/>
        <v>0</v>
      </c>
      <c r="T1005" s="331">
        <v>0</v>
      </c>
      <c r="U1005" s="328">
        <f>VLOOKUP(C1005,METADATA!$J$5:$Q$29,IF(E1005="HI",2,IF(E1005="LO",6,10))+IF(T1005=1,2,IF(D1005=7,1,(IF(WEEKDAY(B1005)=1,2,IF(WEEKDAY(B1005)=7,1,0))))))</f>
        <v>2</v>
      </c>
      <c r="V1005" s="328">
        <f>VLOOKUP(C1005,METADATA!$A$5:$H$29,IF(E1005="HI",2,IF(E1005="LO",6,10))+IF(T1005=1,2,IF(D1005=7,1,(IF(WEEKDAY(B1005)=1,2,IF(WEEKDAY(B1005)=7,1,0))))))</f>
        <v>2</v>
      </c>
    </row>
    <row r="1006" spans="2:22">
      <c r="B1006" s="318">
        <f t="shared" si="63"/>
        <v>46154</v>
      </c>
      <c r="C1006" s="312">
        <v>18</v>
      </c>
      <c r="D1006" s="368">
        <f>IFERROR((INDEX(METADATA!$T$2:$T$20,MATCH(B1006,METADATA!$S$2:$S$20,0))),0)</f>
        <v>0</v>
      </c>
      <c r="E1006" s="312" t="str">
        <f t="shared" si="60"/>
        <v>LO</v>
      </c>
      <c r="F1006" s="369">
        <f>VLOOKUP(C1006,METADATA!$A$5:$H$29,IF(E1006="HI",2,IF(E1006="LO",6,10))+IF(D1006=1,2,IF(D1006=7,1,(IF(WEEKDAY(B1006)=1,2,IF(WEEKDAY(B1006)=7,1,0))))))</f>
        <v>1</v>
      </c>
      <c r="G1006" s="369">
        <f>VLOOKUP(C1006,METADATA!$J$5:$Q$29,IF(E1006="HI",2,IF(E1006="LO",6,10))+IF(D1006=1,2,IF(D1006=7,1,(IF(WEEKDAY(B1006)=1,2,IF(WEEKDAY(B1006)=7,1,0))))))</f>
        <v>1</v>
      </c>
      <c r="H1006" s="370">
        <v>13561.644897460938</v>
      </c>
      <c r="I1006" s="370">
        <v>2024.5440015792847</v>
      </c>
      <c r="M1006" s="371">
        <f t="shared" si="61"/>
        <v>13711.928775309436</v>
      </c>
      <c r="N1006" s="329">
        <f t="shared" si="62"/>
        <v>0</v>
      </c>
      <c r="T1006" s="331">
        <v>0</v>
      </c>
      <c r="U1006" s="328">
        <f>VLOOKUP(C1006,METADATA!$J$5:$Q$29,IF(E1006="HI",2,IF(E1006="LO",6,10))+IF(T1006=1,2,IF(D1006=7,1,(IF(WEEKDAY(B1006)=1,2,IF(WEEKDAY(B1006)=7,1,0))))))</f>
        <v>1</v>
      </c>
      <c r="V1006" s="328">
        <f>VLOOKUP(C1006,METADATA!$A$5:$H$29,IF(E1006="HI",2,IF(E1006="LO",6,10))+IF(T1006=1,2,IF(D1006=7,1,(IF(WEEKDAY(B1006)=1,2,IF(WEEKDAY(B1006)=7,1,0))))))</f>
        <v>1</v>
      </c>
    </row>
    <row r="1007" spans="2:22">
      <c r="B1007" s="318">
        <f t="shared" si="63"/>
        <v>46154</v>
      </c>
      <c r="C1007" s="312">
        <v>19</v>
      </c>
      <c r="D1007" s="368">
        <f>IFERROR((INDEX(METADATA!$T$2:$T$20,MATCH(B1007,METADATA!$S$2:$S$20,0))),0)</f>
        <v>0</v>
      </c>
      <c r="E1007" s="312" t="str">
        <f t="shared" si="60"/>
        <v>LO</v>
      </c>
      <c r="F1007" s="369">
        <f>VLOOKUP(C1007,METADATA!$A$5:$H$29,IF(E1007="HI",2,IF(E1007="LO",6,10))+IF(D1007=1,2,IF(D1007=7,1,(IF(WEEKDAY(B1007)=1,2,IF(WEEKDAY(B1007)=7,1,0))))))</f>
        <v>1</v>
      </c>
      <c r="G1007" s="369">
        <f>VLOOKUP(C1007,METADATA!$J$5:$Q$29,IF(E1007="HI",2,IF(E1007="LO",6,10))+IF(D1007=1,2,IF(D1007=7,1,(IF(WEEKDAY(B1007)=1,2,IF(WEEKDAY(B1007)=7,1,0))))))</f>
        <v>1</v>
      </c>
      <c r="H1007" s="370">
        <v>13582.004516601563</v>
      </c>
      <c r="I1007" s="370">
        <v>2074.5625061988831</v>
      </c>
      <c r="M1007" s="371">
        <f t="shared" si="61"/>
        <v>13739.528968676888</v>
      </c>
      <c r="N1007" s="329">
        <f t="shared" si="62"/>
        <v>0</v>
      </c>
      <c r="T1007" s="331">
        <v>0</v>
      </c>
      <c r="U1007" s="328">
        <f>VLOOKUP(C1007,METADATA!$J$5:$Q$29,IF(E1007="HI",2,IF(E1007="LO",6,10))+IF(T1007=1,2,IF(D1007=7,1,(IF(WEEKDAY(B1007)=1,2,IF(WEEKDAY(B1007)=7,1,0))))))</f>
        <v>1</v>
      </c>
      <c r="V1007" s="328">
        <f>VLOOKUP(C1007,METADATA!$A$5:$H$29,IF(E1007="HI",2,IF(E1007="LO",6,10))+IF(T1007=1,2,IF(D1007=7,1,(IF(WEEKDAY(B1007)=1,2,IF(WEEKDAY(B1007)=7,1,0))))))</f>
        <v>1</v>
      </c>
    </row>
    <row r="1008" spans="2:22">
      <c r="B1008" s="318">
        <f t="shared" si="63"/>
        <v>46154</v>
      </c>
      <c r="C1008" s="312">
        <v>20</v>
      </c>
      <c r="D1008" s="368">
        <f>IFERROR((INDEX(METADATA!$T$2:$T$20,MATCH(B1008,METADATA!$S$2:$S$20,0))),0)</f>
        <v>0</v>
      </c>
      <c r="E1008" s="312" t="str">
        <f t="shared" si="60"/>
        <v>LO</v>
      </c>
      <c r="F1008" s="369">
        <f>VLOOKUP(C1008,METADATA!$A$5:$H$29,IF(E1008="HI",2,IF(E1008="LO",6,10))+IF(D1008=1,2,IF(D1008=7,1,(IF(WEEKDAY(B1008)=1,2,IF(WEEKDAY(B1008)=7,1,0))))))</f>
        <v>1</v>
      </c>
      <c r="G1008" s="369">
        <f>VLOOKUP(C1008,METADATA!$J$5:$Q$29,IF(E1008="HI",2,IF(E1008="LO",6,10))+IF(D1008=1,2,IF(D1008=7,1,(IF(WEEKDAY(B1008)=1,2,IF(WEEKDAY(B1008)=7,1,0))))))</f>
        <v>1</v>
      </c>
      <c r="H1008" s="370">
        <v>13617.295227050781</v>
      </c>
      <c r="I1008" s="370">
        <v>2123.8780031204224</v>
      </c>
      <c r="M1008" s="371">
        <f t="shared" si="61"/>
        <v>13781.929729642319</v>
      </c>
      <c r="N1008" s="329">
        <f t="shared" si="62"/>
        <v>0</v>
      </c>
      <c r="T1008" s="331">
        <v>0</v>
      </c>
      <c r="U1008" s="328">
        <f>VLOOKUP(C1008,METADATA!$J$5:$Q$29,IF(E1008="HI",2,IF(E1008="LO",6,10))+IF(T1008=1,2,IF(D1008=7,1,(IF(WEEKDAY(B1008)=1,2,IF(WEEKDAY(B1008)=7,1,0))))))</f>
        <v>1</v>
      </c>
      <c r="V1008" s="328">
        <f>VLOOKUP(C1008,METADATA!$A$5:$H$29,IF(E1008="HI",2,IF(E1008="LO",6,10))+IF(T1008=1,2,IF(D1008=7,1,(IF(WEEKDAY(B1008)=1,2,IF(WEEKDAY(B1008)=7,1,0))))))</f>
        <v>1</v>
      </c>
    </row>
    <row r="1009" spans="2:22">
      <c r="B1009" s="318">
        <f t="shared" si="63"/>
        <v>46154</v>
      </c>
      <c r="C1009" s="312">
        <v>21</v>
      </c>
      <c r="D1009" s="368">
        <f>IFERROR((INDEX(METADATA!$T$2:$T$20,MATCH(B1009,METADATA!$S$2:$S$20,0))),0)</f>
        <v>0</v>
      </c>
      <c r="E1009" s="312" t="str">
        <f t="shared" si="60"/>
        <v>LO</v>
      </c>
      <c r="F1009" s="369">
        <f>VLOOKUP(C1009,METADATA!$A$5:$H$29,IF(E1009="HI",2,IF(E1009="LO",6,10))+IF(D1009=1,2,IF(D1009=7,1,(IF(WEEKDAY(B1009)=1,2,IF(WEEKDAY(B1009)=7,1,0))))))</f>
        <v>2</v>
      </c>
      <c r="G1009" s="369">
        <f>VLOOKUP(C1009,METADATA!$J$5:$Q$29,IF(E1009="HI",2,IF(E1009="LO",6,10))+IF(D1009=1,2,IF(D1009=7,1,(IF(WEEKDAY(B1009)=1,2,IF(WEEKDAY(B1009)=7,1,0))))))</f>
        <v>2</v>
      </c>
      <c r="H1009" s="370">
        <v>13676.024597167969</v>
      </c>
      <c r="I1009" s="370">
        <v>2200.6809873580933</v>
      </c>
      <c r="M1009" s="371">
        <f t="shared" si="61"/>
        <v>13851.954576537662</v>
      </c>
      <c r="N1009" s="329">
        <f t="shared" si="62"/>
        <v>0</v>
      </c>
      <c r="T1009" s="331">
        <v>0</v>
      </c>
      <c r="U1009" s="328">
        <f>VLOOKUP(C1009,METADATA!$J$5:$Q$29,IF(E1009="HI",2,IF(E1009="LO",6,10))+IF(T1009=1,2,IF(D1009=7,1,(IF(WEEKDAY(B1009)=1,2,IF(WEEKDAY(B1009)=7,1,0))))))</f>
        <v>2</v>
      </c>
      <c r="V1009" s="328">
        <f>VLOOKUP(C1009,METADATA!$A$5:$H$29,IF(E1009="HI",2,IF(E1009="LO",6,10))+IF(T1009=1,2,IF(D1009=7,1,(IF(WEEKDAY(B1009)=1,2,IF(WEEKDAY(B1009)=7,1,0))))))</f>
        <v>2</v>
      </c>
    </row>
    <row r="1010" spans="2:22">
      <c r="B1010" s="318">
        <f t="shared" si="63"/>
        <v>46154</v>
      </c>
      <c r="C1010" s="312">
        <v>22</v>
      </c>
      <c r="D1010" s="368">
        <f>IFERROR((INDEX(METADATA!$T$2:$T$20,MATCH(B1010,METADATA!$S$2:$S$20,0))),0)</f>
        <v>0</v>
      </c>
      <c r="E1010" s="312" t="str">
        <f t="shared" si="60"/>
        <v>LO</v>
      </c>
      <c r="F1010" s="369">
        <f>VLOOKUP(C1010,METADATA!$A$5:$H$29,IF(E1010="HI",2,IF(E1010="LO",6,10))+IF(D1010=1,2,IF(D1010=7,1,(IF(WEEKDAY(B1010)=1,2,IF(WEEKDAY(B1010)=7,1,0))))))</f>
        <v>3</v>
      </c>
      <c r="G1010" s="369">
        <f>VLOOKUP(C1010,METADATA!$J$5:$Q$29,IF(E1010="HI",2,IF(E1010="LO",6,10))+IF(D1010=1,2,IF(D1010=7,1,(IF(WEEKDAY(B1010)=1,2,IF(WEEKDAY(B1010)=7,1,0))))))</f>
        <v>3</v>
      </c>
      <c r="H1010" s="370">
        <v>13607.14501953125</v>
      </c>
      <c r="I1010" s="370">
        <v>2297.5445137023926</v>
      </c>
      <c r="M1010" s="371">
        <f t="shared" si="61"/>
        <v>13799.750228717839</v>
      </c>
      <c r="N1010" s="329">
        <f t="shared" si="62"/>
        <v>0</v>
      </c>
      <c r="T1010" s="331">
        <v>0</v>
      </c>
      <c r="U1010" s="328">
        <f>VLOOKUP(C1010,METADATA!$J$5:$Q$29,IF(E1010="HI",2,IF(E1010="LO",6,10))+IF(T1010=1,2,IF(D1010=7,1,(IF(WEEKDAY(B1010)=1,2,IF(WEEKDAY(B1010)=7,1,0))))))</f>
        <v>3</v>
      </c>
      <c r="V1010" s="328">
        <f>VLOOKUP(C1010,METADATA!$A$5:$H$29,IF(E1010="HI",2,IF(E1010="LO",6,10))+IF(T1010=1,2,IF(D1010=7,1,(IF(WEEKDAY(B1010)=1,2,IF(WEEKDAY(B1010)=7,1,0))))))</f>
        <v>3</v>
      </c>
    </row>
    <row r="1011" spans="2:22">
      <c r="B1011" s="318">
        <f t="shared" si="63"/>
        <v>46154</v>
      </c>
      <c r="C1011" s="312">
        <v>23</v>
      </c>
      <c r="D1011" s="368">
        <f>IFERROR((INDEX(METADATA!$T$2:$T$20,MATCH(B1011,METADATA!$S$2:$S$20,0))),0)</f>
        <v>0</v>
      </c>
      <c r="E1011" s="312" t="str">
        <f t="shared" si="60"/>
        <v>LO</v>
      </c>
      <c r="F1011" s="369">
        <f>VLOOKUP(C1011,METADATA!$A$5:$H$29,IF(E1011="HI",2,IF(E1011="LO",6,10))+IF(D1011=1,2,IF(D1011=7,1,(IF(WEEKDAY(B1011)=1,2,IF(WEEKDAY(B1011)=7,1,0))))))</f>
        <v>3</v>
      </c>
      <c r="G1011" s="369">
        <f>VLOOKUP(C1011,METADATA!$J$5:$Q$29,IF(E1011="HI",2,IF(E1011="LO",6,10))+IF(D1011=1,2,IF(D1011=7,1,(IF(WEEKDAY(B1011)=1,2,IF(WEEKDAY(B1011)=7,1,0))))))</f>
        <v>3</v>
      </c>
      <c r="H1011" s="370">
        <v>13588.079956054688</v>
      </c>
      <c r="I1011" s="370">
        <v>2307.1925144195557</v>
      </c>
      <c r="M1011" s="371">
        <f t="shared" si="61"/>
        <v>13782.563411453211</v>
      </c>
      <c r="N1011" s="329">
        <f t="shared" si="62"/>
        <v>0</v>
      </c>
      <c r="T1011" s="331">
        <v>0</v>
      </c>
      <c r="U1011" s="328">
        <f>VLOOKUP(C1011,METADATA!$J$5:$Q$29,IF(E1011="HI",2,IF(E1011="LO",6,10))+IF(T1011=1,2,IF(D1011=7,1,(IF(WEEKDAY(B1011)=1,2,IF(WEEKDAY(B1011)=7,1,0))))))</f>
        <v>3</v>
      </c>
      <c r="V1011" s="328">
        <f>VLOOKUP(C1011,METADATA!$A$5:$H$29,IF(E1011="HI",2,IF(E1011="LO",6,10))+IF(T1011=1,2,IF(D1011=7,1,(IF(WEEKDAY(B1011)=1,2,IF(WEEKDAY(B1011)=7,1,0))))))</f>
        <v>3</v>
      </c>
    </row>
    <row r="1012" spans="2:22">
      <c r="B1012" s="318">
        <f t="shared" si="63"/>
        <v>46155</v>
      </c>
      <c r="C1012" s="312">
        <v>0</v>
      </c>
      <c r="D1012" s="368">
        <f>IFERROR((INDEX(METADATA!$T$2:$T$20,MATCH(B1012,METADATA!$S$2:$S$20,0))),0)</f>
        <v>0</v>
      </c>
      <c r="E1012" s="312" t="str">
        <f t="shared" si="60"/>
        <v>LO</v>
      </c>
      <c r="F1012" s="369">
        <f>VLOOKUP(C1012,METADATA!$A$5:$H$29,IF(E1012="HI",2,IF(E1012="LO",6,10))+IF(D1012=1,2,IF(D1012=7,1,(IF(WEEKDAY(B1012)=1,2,IF(WEEKDAY(B1012)=7,1,0))))))</f>
        <v>3</v>
      </c>
      <c r="G1012" s="369">
        <f>VLOOKUP(C1012,METADATA!$J$5:$Q$29,IF(E1012="HI",2,IF(E1012="LO",6,10))+IF(D1012=1,2,IF(D1012=7,1,(IF(WEEKDAY(B1012)=1,2,IF(WEEKDAY(B1012)=7,1,0))))))</f>
        <v>3</v>
      </c>
      <c r="H1012" s="370">
        <v>13499.510070800781</v>
      </c>
      <c r="I1012" s="370">
        <v>2361.8870220184326</v>
      </c>
      <c r="M1012" s="371">
        <f t="shared" si="61"/>
        <v>13704.571589671485</v>
      </c>
      <c r="N1012" s="329">
        <f t="shared" si="62"/>
        <v>0</v>
      </c>
      <c r="T1012" s="331">
        <v>0</v>
      </c>
      <c r="U1012" s="328">
        <f>VLOOKUP(C1012,METADATA!$J$5:$Q$29,IF(E1012="HI",2,IF(E1012="LO",6,10))+IF(T1012=1,2,IF(D1012=7,1,(IF(WEEKDAY(B1012)=1,2,IF(WEEKDAY(B1012)=7,1,0))))))</f>
        <v>3</v>
      </c>
      <c r="V1012" s="328">
        <f>VLOOKUP(C1012,METADATA!$A$5:$H$29,IF(E1012="HI",2,IF(E1012="LO",6,10))+IF(T1012=1,2,IF(D1012=7,1,(IF(WEEKDAY(B1012)=1,2,IF(WEEKDAY(B1012)=7,1,0))))))</f>
        <v>3</v>
      </c>
    </row>
    <row r="1013" spans="2:22">
      <c r="B1013" s="318">
        <f t="shared" si="63"/>
        <v>46155</v>
      </c>
      <c r="C1013" s="312">
        <v>1</v>
      </c>
      <c r="D1013" s="368">
        <f>IFERROR((INDEX(METADATA!$T$2:$T$20,MATCH(B1013,METADATA!$S$2:$S$20,0))),0)</f>
        <v>0</v>
      </c>
      <c r="E1013" s="312" t="str">
        <f t="shared" si="60"/>
        <v>LO</v>
      </c>
      <c r="F1013" s="369">
        <f>VLOOKUP(C1013,METADATA!$A$5:$H$29,IF(E1013="HI",2,IF(E1013="LO",6,10))+IF(D1013=1,2,IF(D1013=7,1,(IF(WEEKDAY(B1013)=1,2,IF(WEEKDAY(B1013)=7,1,0))))))</f>
        <v>3</v>
      </c>
      <c r="G1013" s="369">
        <f>VLOOKUP(C1013,METADATA!$J$5:$Q$29,IF(E1013="HI",2,IF(E1013="LO",6,10))+IF(D1013=1,2,IF(D1013=7,1,(IF(WEEKDAY(B1013)=1,2,IF(WEEKDAY(B1013)=7,1,0))))))</f>
        <v>3</v>
      </c>
      <c r="H1013" s="370">
        <v>13595.280212402344</v>
      </c>
      <c r="I1013" s="370">
        <v>2387.1360282897949</v>
      </c>
      <c r="M1013" s="371">
        <f t="shared" si="61"/>
        <v>13803.262747310793</v>
      </c>
      <c r="N1013" s="329">
        <f t="shared" si="62"/>
        <v>0</v>
      </c>
      <c r="T1013" s="331">
        <v>0</v>
      </c>
      <c r="U1013" s="328">
        <f>VLOOKUP(C1013,METADATA!$J$5:$Q$29,IF(E1013="HI",2,IF(E1013="LO",6,10))+IF(T1013=1,2,IF(D1013=7,1,(IF(WEEKDAY(B1013)=1,2,IF(WEEKDAY(B1013)=7,1,0))))))</f>
        <v>3</v>
      </c>
      <c r="V1013" s="328">
        <f>VLOOKUP(C1013,METADATA!$A$5:$H$29,IF(E1013="HI",2,IF(E1013="LO",6,10))+IF(T1013=1,2,IF(D1013=7,1,(IF(WEEKDAY(B1013)=1,2,IF(WEEKDAY(B1013)=7,1,0))))))</f>
        <v>3</v>
      </c>
    </row>
    <row r="1014" spans="2:22">
      <c r="B1014" s="318">
        <f t="shared" si="63"/>
        <v>46155</v>
      </c>
      <c r="C1014" s="312">
        <v>2</v>
      </c>
      <c r="D1014" s="368">
        <f>IFERROR((INDEX(METADATA!$T$2:$T$20,MATCH(B1014,METADATA!$S$2:$S$20,0))),0)</f>
        <v>0</v>
      </c>
      <c r="E1014" s="312" t="str">
        <f t="shared" si="60"/>
        <v>LO</v>
      </c>
      <c r="F1014" s="369">
        <f>VLOOKUP(C1014,METADATA!$A$5:$H$29,IF(E1014="HI",2,IF(E1014="LO",6,10))+IF(D1014=1,2,IF(D1014=7,1,(IF(WEEKDAY(B1014)=1,2,IF(WEEKDAY(B1014)=7,1,0))))))</f>
        <v>3</v>
      </c>
      <c r="G1014" s="369">
        <f>VLOOKUP(C1014,METADATA!$J$5:$Q$29,IF(E1014="HI",2,IF(E1014="LO",6,10))+IF(D1014=1,2,IF(D1014=7,1,(IF(WEEKDAY(B1014)=1,2,IF(WEEKDAY(B1014)=7,1,0))))))</f>
        <v>3</v>
      </c>
      <c r="H1014" s="370">
        <v>13608.487609863281</v>
      </c>
      <c r="I1014" s="370">
        <v>2386.2000312805176</v>
      </c>
      <c r="M1014" s="371">
        <f t="shared" si="61"/>
        <v>13816.109641179226</v>
      </c>
      <c r="N1014" s="329">
        <f t="shared" si="62"/>
        <v>0</v>
      </c>
      <c r="T1014" s="331">
        <v>0</v>
      </c>
      <c r="U1014" s="328">
        <f>VLOOKUP(C1014,METADATA!$J$5:$Q$29,IF(E1014="HI",2,IF(E1014="LO",6,10))+IF(T1014=1,2,IF(D1014=7,1,(IF(WEEKDAY(B1014)=1,2,IF(WEEKDAY(B1014)=7,1,0))))))</f>
        <v>3</v>
      </c>
      <c r="V1014" s="328">
        <f>VLOOKUP(C1014,METADATA!$A$5:$H$29,IF(E1014="HI",2,IF(E1014="LO",6,10))+IF(T1014=1,2,IF(D1014=7,1,(IF(WEEKDAY(B1014)=1,2,IF(WEEKDAY(B1014)=7,1,0))))))</f>
        <v>3</v>
      </c>
    </row>
    <row r="1015" spans="2:22">
      <c r="B1015" s="318">
        <f t="shared" si="63"/>
        <v>46155</v>
      </c>
      <c r="C1015" s="312">
        <v>3</v>
      </c>
      <c r="D1015" s="368">
        <f>IFERROR((INDEX(METADATA!$T$2:$T$20,MATCH(B1015,METADATA!$S$2:$S$20,0))),0)</f>
        <v>0</v>
      </c>
      <c r="E1015" s="312" t="str">
        <f t="shared" si="60"/>
        <v>LO</v>
      </c>
      <c r="F1015" s="369">
        <f>VLOOKUP(C1015,METADATA!$A$5:$H$29,IF(E1015="HI",2,IF(E1015="LO",6,10))+IF(D1015=1,2,IF(D1015=7,1,(IF(WEEKDAY(B1015)=1,2,IF(WEEKDAY(B1015)=7,1,0))))))</f>
        <v>3</v>
      </c>
      <c r="G1015" s="369">
        <f>VLOOKUP(C1015,METADATA!$J$5:$Q$29,IF(E1015="HI",2,IF(E1015="LO",6,10))+IF(D1015=1,2,IF(D1015=7,1,(IF(WEEKDAY(B1015)=1,2,IF(WEEKDAY(B1015)=7,1,0))))))</f>
        <v>3</v>
      </c>
      <c r="H1015" s="370">
        <v>13543.029846191406</v>
      </c>
      <c r="I1015" s="370">
        <v>2151.2150230407715</v>
      </c>
      <c r="M1015" s="371">
        <f t="shared" si="61"/>
        <v>13712.818218374643</v>
      </c>
      <c r="N1015" s="329">
        <f t="shared" si="62"/>
        <v>0</v>
      </c>
      <c r="T1015" s="331">
        <v>0</v>
      </c>
      <c r="U1015" s="328">
        <f>VLOOKUP(C1015,METADATA!$J$5:$Q$29,IF(E1015="HI",2,IF(E1015="LO",6,10))+IF(T1015=1,2,IF(D1015=7,1,(IF(WEEKDAY(B1015)=1,2,IF(WEEKDAY(B1015)=7,1,0))))))</f>
        <v>3</v>
      </c>
      <c r="V1015" s="328">
        <f>VLOOKUP(C1015,METADATA!$A$5:$H$29,IF(E1015="HI",2,IF(E1015="LO",6,10))+IF(T1015=1,2,IF(D1015=7,1,(IF(WEEKDAY(B1015)=1,2,IF(WEEKDAY(B1015)=7,1,0))))))</f>
        <v>3</v>
      </c>
    </row>
    <row r="1016" spans="2:22">
      <c r="B1016" s="318">
        <f t="shared" si="63"/>
        <v>46155</v>
      </c>
      <c r="C1016" s="312">
        <v>4</v>
      </c>
      <c r="D1016" s="368">
        <f>IFERROR((INDEX(METADATA!$T$2:$T$20,MATCH(B1016,METADATA!$S$2:$S$20,0))),0)</f>
        <v>0</v>
      </c>
      <c r="E1016" s="312" t="str">
        <f t="shared" si="60"/>
        <v>LO</v>
      </c>
      <c r="F1016" s="369">
        <f>VLOOKUP(C1016,METADATA!$A$5:$H$29,IF(E1016="HI",2,IF(E1016="LO",6,10))+IF(D1016=1,2,IF(D1016=7,1,(IF(WEEKDAY(B1016)=1,2,IF(WEEKDAY(B1016)=7,1,0))))))</f>
        <v>3</v>
      </c>
      <c r="G1016" s="369">
        <f>VLOOKUP(C1016,METADATA!$J$5:$Q$29,IF(E1016="HI",2,IF(E1016="LO",6,10))+IF(D1016=1,2,IF(D1016=7,1,(IF(WEEKDAY(B1016)=1,2,IF(WEEKDAY(B1016)=7,1,0))))))</f>
        <v>3</v>
      </c>
      <c r="H1016" s="370">
        <v>13536.78515625</v>
      </c>
      <c r="I1016" s="370">
        <v>2133.2874898910522</v>
      </c>
      <c r="M1016" s="371">
        <f t="shared" si="61"/>
        <v>13703.848652148636</v>
      </c>
      <c r="N1016" s="329">
        <f t="shared" si="62"/>
        <v>0</v>
      </c>
      <c r="T1016" s="331">
        <v>0</v>
      </c>
      <c r="U1016" s="328">
        <f>VLOOKUP(C1016,METADATA!$J$5:$Q$29,IF(E1016="HI",2,IF(E1016="LO",6,10))+IF(T1016=1,2,IF(D1016=7,1,(IF(WEEKDAY(B1016)=1,2,IF(WEEKDAY(B1016)=7,1,0))))))</f>
        <v>3</v>
      </c>
      <c r="V1016" s="328">
        <f>VLOOKUP(C1016,METADATA!$A$5:$H$29,IF(E1016="HI",2,IF(E1016="LO",6,10))+IF(T1016=1,2,IF(D1016=7,1,(IF(WEEKDAY(B1016)=1,2,IF(WEEKDAY(B1016)=7,1,0))))))</f>
        <v>3</v>
      </c>
    </row>
    <row r="1017" spans="2:22">
      <c r="B1017" s="318">
        <f t="shared" si="63"/>
        <v>46155</v>
      </c>
      <c r="C1017" s="312">
        <v>5</v>
      </c>
      <c r="D1017" s="368">
        <f>IFERROR((INDEX(METADATA!$T$2:$T$20,MATCH(B1017,METADATA!$S$2:$S$20,0))),0)</f>
        <v>0</v>
      </c>
      <c r="E1017" s="312" t="str">
        <f t="shared" si="60"/>
        <v>LO</v>
      </c>
      <c r="F1017" s="369">
        <f>VLOOKUP(C1017,METADATA!$A$5:$H$29,IF(E1017="HI",2,IF(E1017="LO",6,10))+IF(D1017=1,2,IF(D1017=7,1,(IF(WEEKDAY(B1017)=1,2,IF(WEEKDAY(B1017)=7,1,0))))))</f>
        <v>3</v>
      </c>
      <c r="G1017" s="369">
        <f>VLOOKUP(C1017,METADATA!$J$5:$Q$29,IF(E1017="HI",2,IF(E1017="LO",6,10))+IF(D1017=1,2,IF(D1017=7,1,(IF(WEEKDAY(B1017)=1,2,IF(WEEKDAY(B1017)=7,1,0))))))</f>
        <v>3</v>
      </c>
      <c r="H1017" s="370">
        <v>13663.629760742188</v>
      </c>
      <c r="I1017" s="370">
        <v>2053.3419647216797</v>
      </c>
      <c r="M1017" s="371">
        <f t="shared" si="61"/>
        <v>13817.05436997071</v>
      </c>
      <c r="N1017" s="329">
        <f t="shared" si="62"/>
        <v>0</v>
      </c>
      <c r="T1017" s="331">
        <v>0</v>
      </c>
      <c r="U1017" s="328">
        <f>VLOOKUP(C1017,METADATA!$J$5:$Q$29,IF(E1017="HI",2,IF(E1017="LO",6,10))+IF(T1017=1,2,IF(D1017=7,1,(IF(WEEKDAY(B1017)=1,2,IF(WEEKDAY(B1017)=7,1,0))))))</f>
        <v>3</v>
      </c>
      <c r="V1017" s="328">
        <f>VLOOKUP(C1017,METADATA!$A$5:$H$29,IF(E1017="HI",2,IF(E1017="LO",6,10))+IF(T1017=1,2,IF(D1017=7,1,(IF(WEEKDAY(B1017)=1,2,IF(WEEKDAY(B1017)=7,1,0))))))</f>
        <v>3</v>
      </c>
    </row>
    <row r="1018" spans="2:22">
      <c r="B1018" s="318">
        <f t="shared" si="63"/>
        <v>46155</v>
      </c>
      <c r="C1018" s="312">
        <v>6</v>
      </c>
      <c r="D1018" s="368">
        <f>IFERROR((INDEX(METADATA!$T$2:$T$20,MATCH(B1018,METADATA!$S$2:$S$20,0))),0)</f>
        <v>0</v>
      </c>
      <c r="E1018" s="312" t="str">
        <f t="shared" si="60"/>
        <v>LO</v>
      </c>
      <c r="F1018" s="369">
        <f>VLOOKUP(C1018,METADATA!$A$5:$H$29,IF(E1018="HI",2,IF(E1018="LO",6,10))+IF(D1018=1,2,IF(D1018=7,1,(IF(WEEKDAY(B1018)=1,2,IF(WEEKDAY(B1018)=7,1,0))))))</f>
        <v>2</v>
      </c>
      <c r="G1018" s="369">
        <f>VLOOKUP(C1018,METADATA!$J$5:$Q$29,IF(E1018="HI",2,IF(E1018="LO",6,10))+IF(D1018=1,2,IF(D1018=7,1,(IF(WEEKDAY(B1018)=1,2,IF(WEEKDAY(B1018)=7,1,0))))))</f>
        <v>2</v>
      </c>
      <c r="H1018" s="370">
        <v>13592.664855957031</v>
      </c>
      <c r="I1018" s="370">
        <v>2049.9150218963623</v>
      </c>
      <c r="M1018" s="371">
        <f t="shared" si="61"/>
        <v>13746.370047520391</v>
      </c>
      <c r="N1018" s="329">
        <f t="shared" si="62"/>
        <v>0</v>
      </c>
      <c r="T1018" s="331">
        <v>0</v>
      </c>
      <c r="U1018" s="328">
        <f>VLOOKUP(C1018,METADATA!$J$5:$Q$29,IF(E1018="HI",2,IF(E1018="LO",6,10))+IF(T1018=1,2,IF(D1018=7,1,(IF(WEEKDAY(B1018)=1,2,IF(WEEKDAY(B1018)=7,1,0))))))</f>
        <v>2</v>
      </c>
      <c r="V1018" s="328">
        <f>VLOOKUP(C1018,METADATA!$A$5:$H$29,IF(E1018="HI",2,IF(E1018="LO",6,10))+IF(T1018=1,2,IF(D1018=7,1,(IF(WEEKDAY(B1018)=1,2,IF(WEEKDAY(B1018)=7,1,0))))))</f>
        <v>2</v>
      </c>
    </row>
    <row r="1019" spans="2:22">
      <c r="B1019" s="318">
        <f t="shared" si="63"/>
        <v>46155</v>
      </c>
      <c r="C1019" s="312">
        <v>7</v>
      </c>
      <c r="D1019" s="368">
        <f>IFERROR((INDEX(METADATA!$T$2:$T$20,MATCH(B1019,METADATA!$S$2:$S$20,0))),0)</f>
        <v>0</v>
      </c>
      <c r="E1019" s="312" t="str">
        <f t="shared" si="60"/>
        <v>LO</v>
      </c>
      <c r="F1019" s="369">
        <f>VLOOKUP(C1019,METADATA!$A$5:$H$29,IF(E1019="HI",2,IF(E1019="LO",6,10))+IF(D1019=1,2,IF(D1019=7,1,(IF(WEEKDAY(B1019)=1,2,IF(WEEKDAY(B1019)=7,1,0))))))</f>
        <v>1</v>
      </c>
      <c r="G1019" s="369">
        <f>VLOOKUP(C1019,METADATA!$J$5:$Q$29,IF(E1019="HI",2,IF(E1019="LO",6,10))+IF(D1019=1,2,IF(D1019=7,1,(IF(WEEKDAY(B1019)=1,2,IF(WEEKDAY(B1019)=7,1,0))))))</f>
        <v>1</v>
      </c>
      <c r="H1019" s="370">
        <v>13582.844848632813</v>
      </c>
      <c r="I1019" s="370">
        <v>2175.6220016479492</v>
      </c>
      <c r="M1019" s="371">
        <f t="shared" si="61"/>
        <v>13755.980709352771</v>
      </c>
      <c r="N1019" s="329">
        <f t="shared" si="62"/>
        <v>0</v>
      </c>
      <c r="T1019" s="331">
        <v>0</v>
      </c>
      <c r="U1019" s="328">
        <f>VLOOKUP(C1019,METADATA!$J$5:$Q$29,IF(E1019="HI",2,IF(E1019="LO",6,10))+IF(T1019=1,2,IF(D1019=7,1,(IF(WEEKDAY(B1019)=1,2,IF(WEEKDAY(B1019)=7,1,0))))))</f>
        <v>1</v>
      </c>
      <c r="V1019" s="328">
        <f>VLOOKUP(C1019,METADATA!$A$5:$H$29,IF(E1019="HI",2,IF(E1019="LO",6,10))+IF(T1019=1,2,IF(D1019=7,1,(IF(WEEKDAY(B1019)=1,2,IF(WEEKDAY(B1019)=7,1,0))))))</f>
        <v>1</v>
      </c>
    </row>
    <row r="1020" spans="2:22">
      <c r="B1020" s="318">
        <f t="shared" si="63"/>
        <v>46155</v>
      </c>
      <c r="C1020" s="312">
        <v>8</v>
      </c>
      <c r="D1020" s="368">
        <f>IFERROR((INDEX(METADATA!$T$2:$T$20,MATCH(B1020,METADATA!$S$2:$S$20,0))),0)</f>
        <v>0</v>
      </c>
      <c r="E1020" s="312" t="str">
        <f t="shared" si="60"/>
        <v>LO</v>
      </c>
      <c r="F1020" s="369">
        <f>VLOOKUP(C1020,METADATA!$A$5:$H$29,IF(E1020="HI",2,IF(E1020="LO",6,10))+IF(D1020=1,2,IF(D1020=7,1,(IF(WEEKDAY(B1020)=1,2,IF(WEEKDAY(B1020)=7,1,0))))))</f>
        <v>1</v>
      </c>
      <c r="G1020" s="369">
        <f>VLOOKUP(C1020,METADATA!$J$5:$Q$29,IF(E1020="HI",2,IF(E1020="LO",6,10))+IF(D1020=1,2,IF(D1020=7,1,(IF(WEEKDAY(B1020)=1,2,IF(WEEKDAY(B1020)=7,1,0))))))</f>
        <v>1</v>
      </c>
      <c r="H1020" s="370">
        <v>13639.864929199219</v>
      </c>
      <c r="I1020" s="370">
        <v>2168.5949897766113</v>
      </c>
      <c r="M1020" s="371">
        <f t="shared" si="61"/>
        <v>13811.180960239535</v>
      </c>
      <c r="N1020" s="329">
        <f t="shared" si="62"/>
        <v>0</v>
      </c>
      <c r="T1020" s="331">
        <v>0</v>
      </c>
      <c r="U1020" s="328">
        <f>VLOOKUP(C1020,METADATA!$J$5:$Q$29,IF(E1020="HI",2,IF(E1020="LO",6,10))+IF(T1020=1,2,IF(D1020=7,1,(IF(WEEKDAY(B1020)=1,2,IF(WEEKDAY(B1020)=7,1,0))))))</f>
        <v>1</v>
      </c>
      <c r="V1020" s="328">
        <f>VLOOKUP(C1020,METADATA!$A$5:$H$29,IF(E1020="HI",2,IF(E1020="LO",6,10))+IF(T1020=1,2,IF(D1020=7,1,(IF(WEEKDAY(B1020)=1,2,IF(WEEKDAY(B1020)=7,1,0))))))</f>
        <v>1</v>
      </c>
    </row>
    <row r="1021" spans="2:22">
      <c r="B1021" s="318">
        <f t="shared" si="63"/>
        <v>46155</v>
      </c>
      <c r="C1021" s="312">
        <v>9</v>
      </c>
      <c r="D1021" s="368">
        <f>IFERROR((INDEX(METADATA!$T$2:$T$20,MATCH(B1021,METADATA!$S$2:$S$20,0))),0)</f>
        <v>0</v>
      </c>
      <c r="E1021" s="312" t="str">
        <f t="shared" si="60"/>
        <v>LO</v>
      </c>
      <c r="F1021" s="369">
        <f>VLOOKUP(C1021,METADATA!$A$5:$H$29,IF(E1021="HI",2,IF(E1021="LO",6,10))+IF(D1021=1,2,IF(D1021=7,1,(IF(WEEKDAY(B1021)=1,2,IF(WEEKDAY(B1021)=7,1,0))))))</f>
        <v>2</v>
      </c>
      <c r="G1021" s="369">
        <f>VLOOKUP(C1021,METADATA!$J$5:$Q$29,IF(E1021="HI",2,IF(E1021="LO",6,10))+IF(D1021=1,2,IF(D1021=7,1,(IF(WEEKDAY(B1021)=1,2,IF(WEEKDAY(B1021)=7,1,0))))))</f>
        <v>2</v>
      </c>
      <c r="H1021" s="370">
        <v>13786.594970703125</v>
      </c>
      <c r="I1021" s="370">
        <v>2237.6629638671875</v>
      </c>
      <c r="M1021" s="371">
        <f t="shared" si="61"/>
        <v>13967.008857521339</v>
      </c>
      <c r="N1021" s="329">
        <f t="shared" si="62"/>
        <v>0</v>
      </c>
      <c r="T1021" s="331">
        <v>0</v>
      </c>
      <c r="U1021" s="328">
        <f>VLOOKUP(C1021,METADATA!$J$5:$Q$29,IF(E1021="HI",2,IF(E1021="LO",6,10))+IF(T1021=1,2,IF(D1021=7,1,(IF(WEEKDAY(B1021)=1,2,IF(WEEKDAY(B1021)=7,1,0))))))</f>
        <v>2</v>
      </c>
      <c r="V1021" s="328">
        <f>VLOOKUP(C1021,METADATA!$A$5:$H$29,IF(E1021="HI",2,IF(E1021="LO",6,10))+IF(T1021=1,2,IF(D1021=7,1,(IF(WEEKDAY(B1021)=1,2,IF(WEEKDAY(B1021)=7,1,0))))))</f>
        <v>2</v>
      </c>
    </row>
    <row r="1022" spans="2:22">
      <c r="B1022" s="318">
        <f t="shared" si="63"/>
        <v>46155</v>
      </c>
      <c r="C1022" s="312">
        <v>10</v>
      </c>
      <c r="D1022" s="368">
        <f>IFERROR((INDEX(METADATA!$T$2:$T$20,MATCH(B1022,METADATA!$S$2:$S$20,0))),0)</f>
        <v>0</v>
      </c>
      <c r="E1022" s="312" t="str">
        <f t="shared" si="60"/>
        <v>LO</v>
      </c>
      <c r="F1022" s="369">
        <f>VLOOKUP(C1022,METADATA!$A$5:$H$29,IF(E1022="HI",2,IF(E1022="LO",6,10))+IF(D1022=1,2,IF(D1022=7,1,(IF(WEEKDAY(B1022)=1,2,IF(WEEKDAY(B1022)=7,1,0))))))</f>
        <v>2</v>
      </c>
      <c r="G1022" s="369">
        <f>VLOOKUP(C1022,METADATA!$J$5:$Q$29,IF(E1022="HI",2,IF(E1022="LO",6,10))+IF(D1022=1,2,IF(D1022=7,1,(IF(WEEKDAY(B1022)=1,2,IF(WEEKDAY(B1022)=7,1,0))))))</f>
        <v>2</v>
      </c>
      <c r="H1022" s="370">
        <v>13788.730285644531</v>
      </c>
      <c r="I1022" s="370">
        <v>2197.2680130004883</v>
      </c>
      <c r="M1022" s="371">
        <f t="shared" si="61"/>
        <v>13962.702804658051</v>
      </c>
      <c r="N1022" s="329">
        <f t="shared" si="62"/>
        <v>0</v>
      </c>
      <c r="T1022" s="331">
        <v>0</v>
      </c>
      <c r="U1022" s="328">
        <f>VLOOKUP(C1022,METADATA!$J$5:$Q$29,IF(E1022="HI",2,IF(E1022="LO",6,10))+IF(T1022=1,2,IF(D1022=7,1,(IF(WEEKDAY(B1022)=1,2,IF(WEEKDAY(B1022)=7,1,0))))))</f>
        <v>2</v>
      </c>
      <c r="V1022" s="328">
        <f>VLOOKUP(C1022,METADATA!$A$5:$H$29,IF(E1022="HI",2,IF(E1022="LO",6,10))+IF(T1022=1,2,IF(D1022=7,1,(IF(WEEKDAY(B1022)=1,2,IF(WEEKDAY(B1022)=7,1,0))))))</f>
        <v>2</v>
      </c>
    </row>
    <row r="1023" spans="2:22">
      <c r="B1023" s="318">
        <f t="shared" si="63"/>
        <v>46155</v>
      </c>
      <c r="C1023" s="312">
        <v>11</v>
      </c>
      <c r="D1023" s="368">
        <f>IFERROR((INDEX(METADATA!$T$2:$T$20,MATCH(B1023,METADATA!$S$2:$S$20,0))),0)</f>
        <v>0</v>
      </c>
      <c r="E1023" s="312" t="str">
        <f t="shared" si="60"/>
        <v>LO</v>
      </c>
      <c r="F1023" s="369">
        <f>VLOOKUP(C1023,METADATA!$A$5:$H$29,IF(E1023="HI",2,IF(E1023="LO",6,10))+IF(D1023=1,2,IF(D1023=7,1,(IF(WEEKDAY(B1023)=1,2,IF(WEEKDAY(B1023)=7,1,0))))))</f>
        <v>2</v>
      </c>
      <c r="G1023" s="369">
        <f>VLOOKUP(C1023,METADATA!$J$5:$Q$29,IF(E1023="HI",2,IF(E1023="LO",6,10))+IF(D1023=1,2,IF(D1023=7,1,(IF(WEEKDAY(B1023)=1,2,IF(WEEKDAY(B1023)=7,1,0))))))</f>
        <v>2</v>
      </c>
      <c r="H1023" s="370">
        <v>13670.464721679688</v>
      </c>
      <c r="I1023" s="370">
        <v>2197.1305274963379</v>
      </c>
      <c r="M1023" s="371">
        <f t="shared" si="61"/>
        <v>13845.901496888717</v>
      </c>
      <c r="N1023" s="329">
        <f t="shared" si="62"/>
        <v>0</v>
      </c>
      <c r="T1023" s="331">
        <v>0</v>
      </c>
      <c r="U1023" s="328">
        <f>VLOOKUP(C1023,METADATA!$J$5:$Q$29,IF(E1023="HI",2,IF(E1023="LO",6,10))+IF(T1023=1,2,IF(D1023=7,1,(IF(WEEKDAY(B1023)=1,2,IF(WEEKDAY(B1023)=7,1,0))))))</f>
        <v>2</v>
      </c>
      <c r="V1023" s="328">
        <f>VLOOKUP(C1023,METADATA!$A$5:$H$29,IF(E1023="HI",2,IF(E1023="LO",6,10))+IF(T1023=1,2,IF(D1023=7,1,(IF(WEEKDAY(B1023)=1,2,IF(WEEKDAY(B1023)=7,1,0))))))</f>
        <v>2</v>
      </c>
    </row>
    <row r="1024" spans="2:22">
      <c r="B1024" s="318">
        <f t="shared" si="63"/>
        <v>46155</v>
      </c>
      <c r="C1024" s="312">
        <v>12</v>
      </c>
      <c r="D1024" s="368">
        <f>IFERROR((INDEX(METADATA!$T$2:$T$20,MATCH(B1024,METADATA!$S$2:$S$20,0))),0)</f>
        <v>0</v>
      </c>
      <c r="E1024" s="312" t="str">
        <f t="shared" si="60"/>
        <v>LO</v>
      </c>
      <c r="F1024" s="369">
        <f>VLOOKUP(C1024,METADATA!$A$5:$H$29,IF(E1024="HI",2,IF(E1024="LO",6,10))+IF(D1024=1,2,IF(D1024=7,1,(IF(WEEKDAY(B1024)=1,2,IF(WEEKDAY(B1024)=7,1,0))))))</f>
        <v>2</v>
      </c>
      <c r="G1024" s="369">
        <f>VLOOKUP(C1024,METADATA!$J$5:$Q$29,IF(E1024="HI",2,IF(E1024="LO",6,10))+IF(D1024=1,2,IF(D1024=7,1,(IF(WEEKDAY(B1024)=1,2,IF(WEEKDAY(B1024)=7,1,0))))))</f>
        <v>2</v>
      </c>
      <c r="H1024" s="370">
        <v>13626.859985351563</v>
      </c>
      <c r="I1024" s="370">
        <v>2055.5039615631104</v>
      </c>
      <c r="M1024" s="371">
        <f t="shared" si="61"/>
        <v>13781.016275891167</v>
      </c>
      <c r="N1024" s="329">
        <f t="shared" si="62"/>
        <v>0</v>
      </c>
      <c r="T1024" s="331">
        <v>0</v>
      </c>
      <c r="U1024" s="328">
        <f>VLOOKUP(C1024,METADATA!$J$5:$Q$29,IF(E1024="HI",2,IF(E1024="LO",6,10))+IF(T1024=1,2,IF(D1024=7,1,(IF(WEEKDAY(B1024)=1,2,IF(WEEKDAY(B1024)=7,1,0))))))</f>
        <v>2</v>
      </c>
      <c r="V1024" s="328">
        <f>VLOOKUP(C1024,METADATA!$A$5:$H$29,IF(E1024="HI",2,IF(E1024="LO",6,10))+IF(T1024=1,2,IF(D1024=7,1,(IF(WEEKDAY(B1024)=1,2,IF(WEEKDAY(B1024)=7,1,0))))))</f>
        <v>2</v>
      </c>
    </row>
    <row r="1025" spans="2:22">
      <c r="B1025" s="318">
        <f t="shared" si="63"/>
        <v>46155</v>
      </c>
      <c r="C1025" s="312">
        <v>13</v>
      </c>
      <c r="D1025" s="368">
        <f>IFERROR((INDEX(METADATA!$T$2:$T$20,MATCH(B1025,METADATA!$S$2:$S$20,0))),0)</f>
        <v>0</v>
      </c>
      <c r="E1025" s="312" t="str">
        <f t="shared" si="60"/>
        <v>LO</v>
      </c>
      <c r="F1025" s="369">
        <f>VLOOKUP(C1025,METADATA!$A$5:$H$29,IF(E1025="HI",2,IF(E1025="LO",6,10))+IF(D1025=1,2,IF(D1025=7,1,(IF(WEEKDAY(B1025)=1,2,IF(WEEKDAY(B1025)=7,1,0))))))</f>
        <v>2</v>
      </c>
      <c r="G1025" s="369">
        <f>VLOOKUP(C1025,METADATA!$J$5:$Q$29,IF(E1025="HI",2,IF(E1025="LO",6,10))+IF(D1025=1,2,IF(D1025=7,1,(IF(WEEKDAY(B1025)=1,2,IF(WEEKDAY(B1025)=7,1,0))))))</f>
        <v>2</v>
      </c>
      <c r="H1025" s="370">
        <v>13592.600219726563</v>
      </c>
      <c r="I1025" s="370">
        <v>2159.1590166091919</v>
      </c>
      <c r="M1025" s="371">
        <f t="shared" si="61"/>
        <v>13763.021048894583</v>
      </c>
      <c r="N1025" s="329">
        <f t="shared" si="62"/>
        <v>0</v>
      </c>
      <c r="T1025" s="331">
        <v>0</v>
      </c>
      <c r="U1025" s="328">
        <f>VLOOKUP(C1025,METADATA!$J$5:$Q$29,IF(E1025="HI",2,IF(E1025="LO",6,10))+IF(T1025=1,2,IF(D1025=7,1,(IF(WEEKDAY(B1025)=1,2,IF(WEEKDAY(B1025)=7,1,0))))))</f>
        <v>2</v>
      </c>
      <c r="V1025" s="328">
        <f>VLOOKUP(C1025,METADATA!$A$5:$H$29,IF(E1025="HI",2,IF(E1025="LO",6,10))+IF(T1025=1,2,IF(D1025=7,1,(IF(WEEKDAY(B1025)=1,2,IF(WEEKDAY(B1025)=7,1,0))))))</f>
        <v>2</v>
      </c>
    </row>
    <row r="1026" spans="2:22">
      <c r="B1026" s="318">
        <f t="shared" si="63"/>
        <v>46155</v>
      </c>
      <c r="C1026" s="312">
        <v>14</v>
      </c>
      <c r="D1026" s="368">
        <f>IFERROR((INDEX(METADATA!$T$2:$T$20,MATCH(B1026,METADATA!$S$2:$S$20,0))),0)</f>
        <v>0</v>
      </c>
      <c r="E1026" s="312" t="str">
        <f t="shared" si="60"/>
        <v>LO</v>
      </c>
      <c r="F1026" s="369">
        <f>VLOOKUP(C1026,METADATA!$A$5:$H$29,IF(E1026="HI",2,IF(E1026="LO",6,10))+IF(D1026=1,2,IF(D1026=7,1,(IF(WEEKDAY(B1026)=1,2,IF(WEEKDAY(B1026)=7,1,0))))))</f>
        <v>2</v>
      </c>
      <c r="G1026" s="369">
        <f>VLOOKUP(C1026,METADATA!$J$5:$Q$29,IF(E1026="HI",2,IF(E1026="LO",6,10))+IF(D1026=1,2,IF(D1026=7,1,(IF(WEEKDAY(B1026)=1,2,IF(WEEKDAY(B1026)=7,1,0))))))</f>
        <v>2</v>
      </c>
      <c r="H1026" s="370">
        <v>13625.7998046875</v>
      </c>
      <c r="I1026" s="370">
        <v>2243.1114959716797</v>
      </c>
      <c r="M1026" s="371">
        <f t="shared" si="61"/>
        <v>13809.198727688085</v>
      </c>
      <c r="N1026" s="329">
        <f t="shared" si="62"/>
        <v>0</v>
      </c>
      <c r="T1026" s="331">
        <v>0</v>
      </c>
      <c r="U1026" s="328">
        <f>VLOOKUP(C1026,METADATA!$J$5:$Q$29,IF(E1026="HI",2,IF(E1026="LO",6,10))+IF(T1026=1,2,IF(D1026=7,1,(IF(WEEKDAY(B1026)=1,2,IF(WEEKDAY(B1026)=7,1,0))))))</f>
        <v>2</v>
      </c>
      <c r="V1026" s="328">
        <f>VLOOKUP(C1026,METADATA!$A$5:$H$29,IF(E1026="HI",2,IF(E1026="LO",6,10))+IF(T1026=1,2,IF(D1026=7,1,(IF(WEEKDAY(B1026)=1,2,IF(WEEKDAY(B1026)=7,1,0))))))</f>
        <v>2</v>
      </c>
    </row>
    <row r="1027" spans="2:22">
      <c r="B1027" s="318">
        <f t="shared" si="63"/>
        <v>46155</v>
      </c>
      <c r="C1027" s="312">
        <v>15</v>
      </c>
      <c r="D1027" s="368">
        <f>IFERROR((INDEX(METADATA!$T$2:$T$20,MATCH(B1027,METADATA!$S$2:$S$20,0))),0)</f>
        <v>0</v>
      </c>
      <c r="E1027" s="312" t="str">
        <f t="shared" si="60"/>
        <v>LO</v>
      </c>
      <c r="F1027" s="369">
        <f>VLOOKUP(C1027,METADATA!$A$5:$H$29,IF(E1027="HI",2,IF(E1027="LO",6,10))+IF(D1027=1,2,IF(D1027=7,1,(IF(WEEKDAY(B1027)=1,2,IF(WEEKDAY(B1027)=7,1,0))))))</f>
        <v>2</v>
      </c>
      <c r="G1027" s="369">
        <f>VLOOKUP(C1027,METADATA!$J$5:$Q$29,IF(E1027="HI",2,IF(E1027="LO",6,10))+IF(D1027=1,2,IF(D1027=7,1,(IF(WEEKDAY(B1027)=1,2,IF(WEEKDAY(B1027)=7,1,0))))))</f>
        <v>2</v>
      </c>
      <c r="H1027" s="370">
        <v>13629.099853515625</v>
      </c>
      <c r="I1027" s="370">
        <v>2243.8094444274902</v>
      </c>
      <c r="M1027" s="371">
        <f t="shared" si="61"/>
        <v>13812.568321641042</v>
      </c>
      <c r="N1027" s="329">
        <f t="shared" si="62"/>
        <v>0</v>
      </c>
      <c r="T1027" s="331">
        <v>0</v>
      </c>
      <c r="U1027" s="328">
        <f>VLOOKUP(C1027,METADATA!$J$5:$Q$29,IF(E1027="HI",2,IF(E1027="LO",6,10))+IF(T1027=1,2,IF(D1027=7,1,(IF(WEEKDAY(B1027)=1,2,IF(WEEKDAY(B1027)=7,1,0))))))</f>
        <v>2</v>
      </c>
      <c r="V1027" s="328">
        <f>VLOOKUP(C1027,METADATA!$A$5:$H$29,IF(E1027="HI",2,IF(E1027="LO",6,10))+IF(T1027=1,2,IF(D1027=7,1,(IF(WEEKDAY(B1027)=1,2,IF(WEEKDAY(B1027)=7,1,0))))))</f>
        <v>2</v>
      </c>
    </row>
    <row r="1028" spans="2:22">
      <c r="B1028" s="318">
        <f t="shared" si="63"/>
        <v>46155</v>
      </c>
      <c r="C1028" s="312">
        <v>16</v>
      </c>
      <c r="D1028" s="368">
        <f>IFERROR((INDEX(METADATA!$T$2:$T$20,MATCH(B1028,METADATA!$S$2:$S$20,0))),0)</f>
        <v>0</v>
      </c>
      <c r="E1028" s="312" t="str">
        <f t="shared" ref="E1028:E1091" si="64">IF(B1028="","",IF(AND(MONTH(B1028)&gt;=MONTH($Z$9),MONTH(B1028)&lt;=MONTH($Z$11)),"HI","LO"))</f>
        <v>LO</v>
      </c>
      <c r="F1028" s="369">
        <f>VLOOKUP(C1028,METADATA!$A$5:$H$29,IF(E1028="HI",2,IF(E1028="LO",6,10))+IF(D1028=1,2,IF(D1028=7,1,(IF(WEEKDAY(B1028)=1,2,IF(WEEKDAY(B1028)=7,1,0))))))</f>
        <v>2</v>
      </c>
      <c r="G1028" s="369">
        <f>VLOOKUP(C1028,METADATA!$J$5:$Q$29,IF(E1028="HI",2,IF(E1028="LO",6,10))+IF(D1028=1,2,IF(D1028=7,1,(IF(WEEKDAY(B1028)=1,2,IF(WEEKDAY(B1028)=7,1,0))))))</f>
        <v>2</v>
      </c>
      <c r="H1028" s="370">
        <v>13571.784912109375</v>
      </c>
      <c r="I1028" s="370">
        <v>2204.9039726257324</v>
      </c>
      <c r="M1028" s="371">
        <f t="shared" ref="M1028:M1091" si="65">SQRT(H1028^2+I1028^2)</f>
        <v>13749.725351041032</v>
      </c>
      <c r="N1028" s="329">
        <f t="shared" ref="N1028:N1091" si="66">IF(H1028=0,0,(IF(I1028-(0.3*H1028)&lt;0,0,(I1028-(0.3*H1028)))))</f>
        <v>0</v>
      </c>
      <c r="T1028" s="331">
        <v>0</v>
      </c>
      <c r="U1028" s="328">
        <f>VLOOKUP(C1028,METADATA!$J$5:$Q$29,IF(E1028="HI",2,IF(E1028="LO",6,10))+IF(T1028=1,2,IF(D1028=7,1,(IF(WEEKDAY(B1028)=1,2,IF(WEEKDAY(B1028)=7,1,0))))))</f>
        <v>2</v>
      </c>
      <c r="V1028" s="328">
        <f>VLOOKUP(C1028,METADATA!$A$5:$H$29,IF(E1028="HI",2,IF(E1028="LO",6,10))+IF(T1028=1,2,IF(D1028=7,1,(IF(WEEKDAY(B1028)=1,2,IF(WEEKDAY(B1028)=7,1,0))))))</f>
        <v>2</v>
      </c>
    </row>
    <row r="1029" spans="2:22">
      <c r="B1029" s="318">
        <f t="shared" si="63"/>
        <v>46155</v>
      </c>
      <c r="C1029" s="312">
        <v>17</v>
      </c>
      <c r="D1029" s="368">
        <f>IFERROR((INDEX(METADATA!$T$2:$T$20,MATCH(B1029,METADATA!$S$2:$S$20,0))),0)</f>
        <v>0</v>
      </c>
      <c r="E1029" s="312" t="str">
        <f t="shared" si="64"/>
        <v>LO</v>
      </c>
      <c r="F1029" s="369">
        <f>VLOOKUP(C1029,METADATA!$A$5:$H$29,IF(E1029="HI",2,IF(E1029="LO",6,10))+IF(D1029=1,2,IF(D1029=7,1,(IF(WEEKDAY(B1029)=1,2,IF(WEEKDAY(B1029)=7,1,0))))))</f>
        <v>2</v>
      </c>
      <c r="G1029" s="369">
        <f>VLOOKUP(C1029,METADATA!$J$5:$Q$29,IF(E1029="HI",2,IF(E1029="LO",6,10))+IF(D1029=1,2,IF(D1029=7,1,(IF(WEEKDAY(B1029)=1,2,IF(WEEKDAY(B1029)=7,1,0))))))</f>
        <v>2</v>
      </c>
      <c r="H1029" s="370">
        <v>13580.819641113281</v>
      </c>
      <c r="I1029" s="370">
        <v>2184.2400054931641</v>
      </c>
      <c r="M1029" s="371">
        <f t="shared" si="65"/>
        <v>13755.346834087646</v>
      </c>
      <c r="N1029" s="329">
        <f t="shared" si="66"/>
        <v>0</v>
      </c>
      <c r="T1029" s="331">
        <v>0</v>
      </c>
      <c r="U1029" s="328">
        <f>VLOOKUP(C1029,METADATA!$J$5:$Q$29,IF(E1029="HI",2,IF(E1029="LO",6,10))+IF(T1029=1,2,IF(D1029=7,1,(IF(WEEKDAY(B1029)=1,2,IF(WEEKDAY(B1029)=7,1,0))))))</f>
        <v>2</v>
      </c>
      <c r="V1029" s="328">
        <f>VLOOKUP(C1029,METADATA!$A$5:$H$29,IF(E1029="HI",2,IF(E1029="LO",6,10))+IF(T1029=1,2,IF(D1029=7,1,(IF(WEEKDAY(B1029)=1,2,IF(WEEKDAY(B1029)=7,1,0))))))</f>
        <v>2</v>
      </c>
    </row>
    <row r="1030" spans="2:22">
      <c r="B1030" s="318">
        <f t="shared" si="63"/>
        <v>46155</v>
      </c>
      <c r="C1030" s="312">
        <v>18</v>
      </c>
      <c r="D1030" s="368">
        <f>IFERROR((INDEX(METADATA!$T$2:$T$20,MATCH(B1030,METADATA!$S$2:$S$20,0))),0)</f>
        <v>0</v>
      </c>
      <c r="E1030" s="312" t="str">
        <f t="shared" si="64"/>
        <v>LO</v>
      </c>
      <c r="F1030" s="369">
        <f>VLOOKUP(C1030,METADATA!$A$5:$H$29,IF(E1030="HI",2,IF(E1030="LO",6,10))+IF(D1030=1,2,IF(D1030=7,1,(IF(WEEKDAY(B1030)=1,2,IF(WEEKDAY(B1030)=7,1,0))))))</f>
        <v>1</v>
      </c>
      <c r="G1030" s="369">
        <f>VLOOKUP(C1030,METADATA!$J$5:$Q$29,IF(E1030="HI",2,IF(E1030="LO",6,10))+IF(D1030=1,2,IF(D1030=7,1,(IF(WEEKDAY(B1030)=1,2,IF(WEEKDAY(B1030)=7,1,0))))))</f>
        <v>1</v>
      </c>
      <c r="H1030" s="370">
        <v>13671.844848632813</v>
      </c>
      <c r="I1030" s="370">
        <v>2066.3284683227539</v>
      </c>
      <c r="M1030" s="371">
        <f t="shared" si="65"/>
        <v>13827.113035774626</v>
      </c>
      <c r="N1030" s="329">
        <f t="shared" si="66"/>
        <v>0</v>
      </c>
      <c r="T1030" s="331">
        <v>0</v>
      </c>
      <c r="U1030" s="328">
        <f>VLOOKUP(C1030,METADATA!$J$5:$Q$29,IF(E1030="HI",2,IF(E1030="LO",6,10))+IF(T1030=1,2,IF(D1030=7,1,(IF(WEEKDAY(B1030)=1,2,IF(WEEKDAY(B1030)=7,1,0))))))</f>
        <v>1</v>
      </c>
      <c r="V1030" s="328">
        <f>VLOOKUP(C1030,METADATA!$A$5:$H$29,IF(E1030="HI",2,IF(E1030="LO",6,10))+IF(T1030=1,2,IF(D1030=7,1,(IF(WEEKDAY(B1030)=1,2,IF(WEEKDAY(B1030)=7,1,0))))))</f>
        <v>1</v>
      </c>
    </row>
    <row r="1031" spans="2:22">
      <c r="B1031" s="318">
        <f t="shared" si="63"/>
        <v>46155</v>
      </c>
      <c r="C1031" s="312">
        <v>19</v>
      </c>
      <c r="D1031" s="368">
        <f>IFERROR((INDEX(METADATA!$T$2:$T$20,MATCH(B1031,METADATA!$S$2:$S$20,0))),0)</f>
        <v>0</v>
      </c>
      <c r="E1031" s="312" t="str">
        <f t="shared" si="64"/>
        <v>LO</v>
      </c>
      <c r="F1031" s="369">
        <f>VLOOKUP(C1031,METADATA!$A$5:$H$29,IF(E1031="HI",2,IF(E1031="LO",6,10))+IF(D1031=1,2,IF(D1031=7,1,(IF(WEEKDAY(B1031)=1,2,IF(WEEKDAY(B1031)=7,1,0))))))</f>
        <v>1</v>
      </c>
      <c r="G1031" s="369">
        <f>VLOOKUP(C1031,METADATA!$J$5:$Q$29,IF(E1031="HI",2,IF(E1031="LO",6,10))+IF(D1031=1,2,IF(D1031=7,1,(IF(WEEKDAY(B1031)=1,2,IF(WEEKDAY(B1031)=7,1,0))))))</f>
        <v>1</v>
      </c>
      <c r="H1031" s="370">
        <v>13512.420227050781</v>
      </c>
      <c r="I1031" s="370">
        <v>1985.7364778518677</v>
      </c>
      <c r="M1031" s="371">
        <f t="shared" si="65"/>
        <v>13657.549185409607</v>
      </c>
      <c r="N1031" s="329">
        <f t="shared" si="66"/>
        <v>0</v>
      </c>
      <c r="T1031" s="331">
        <v>0</v>
      </c>
      <c r="U1031" s="328">
        <f>VLOOKUP(C1031,METADATA!$J$5:$Q$29,IF(E1031="HI",2,IF(E1031="LO",6,10))+IF(T1031=1,2,IF(D1031=7,1,(IF(WEEKDAY(B1031)=1,2,IF(WEEKDAY(B1031)=7,1,0))))))</f>
        <v>1</v>
      </c>
      <c r="V1031" s="328">
        <f>VLOOKUP(C1031,METADATA!$A$5:$H$29,IF(E1031="HI",2,IF(E1031="LO",6,10))+IF(T1031=1,2,IF(D1031=7,1,(IF(WEEKDAY(B1031)=1,2,IF(WEEKDAY(B1031)=7,1,0))))))</f>
        <v>1</v>
      </c>
    </row>
    <row r="1032" spans="2:22">
      <c r="B1032" s="318">
        <f t="shared" si="63"/>
        <v>46155</v>
      </c>
      <c r="C1032" s="312">
        <v>20</v>
      </c>
      <c r="D1032" s="368">
        <f>IFERROR((INDEX(METADATA!$T$2:$T$20,MATCH(B1032,METADATA!$S$2:$S$20,0))),0)</f>
        <v>0</v>
      </c>
      <c r="E1032" s="312" t="str">
        <f t="shared" si="64"/>
        <v>LO</v>
      </c>
      <c r="F1032" s="369">
        <f>VLOOKUP(C1032,METADATA!$A$5:$H$29,IF(E1032="HI",2,IF(E1032="LO",6,10))+IF(D1032=1,2,IF(D1032=7,1,(IF(WEEKDAY(B1032)=1,2,IF(WEEKDAY(B1032)=7,1,0))))))</f>
        <v>1</v>
      </c>
      <c r="G1032" s="369">
        <f>VLOOKUP(C1032,METADATA!$J$5:$Q$29,IF(E1032="HI",2,IF(E1032="LO",6,10))+IF(D1032=1,2,IF(D1032=7,1,(IF(WEEKDAY(B1032)=1,2,IF(WEEKDAY(B1032)=7,1,0))))))</f>
        <v>1</v>
      </c>
      <c r="H1032" s="370">
        <v>13305.635009765625</v>
      </c>
      <c r="I1032" s="370">
        <v>1986.5999571681023</v>
      </c>
      <c r="M1032" s="371">
        <f t="shared" si="65"/>
        <v>13453.122403476487</v>
      </c>
      <c r="N1032" s="329">
        <f t="shared" si="66"/>
        <v>0</v>
      </c>
      <c r="T1032" s="331">
        <v>0</v>
      </c>
      <c r="U1032" s="328">
        <f>VLOOKUP(C1032,METADATA!$J$5:$Q$29,IF(E1032="HI",2,IF(E1032="LO",6,10))+IF(T1032=1,2,IF(D1032=7,1,(IF(WEEKDAY(B1032)=1,2,IF(WEEKDAY(B1032)=7,1,0))))))</f>
        <v>1</v>
      </c>
      <c r="V1032" s="328">
        <f>VLOOKUP(C1032,METADATA!$A$5:$H$29,IF(E1032="HI",2,IF(E1032="LO",6,10))+IF(T1032=1,2,IF(D1032=7,1,(IF(WEEKDAY(B1032)=1,2,IF(WEEKDAY(B1032)=7,1,0))))))</f>
        <v>1</v>
      </c>
    </row>
    <row r="1033" spans="2:22">
      <c r="B1033" s="318">
        <f t="shared" si="63"/>
        <v>46155</v>
      </c>
      <c r="C1033" s="312">
        <v>21</v>
      </c>
      <c r="D1033" s="368">
        <f>IFERROR((INDEX(METADATA!$T$2:$T$20,MATCH(B1033,METADATA!$S$2:$S$20,0))),0)</f>
        <v>0</v>
      </c>
      <c r="E1033" s="312" t="str">
        <f t="shared" si="64"/>
        <v>LO</v>
      </c>
      <c r="F1033" s="369">
        <f>VLOOKUP(C1033,METADATA!$A$5:$H$29,IF(E1033="HI",2,IF(E1033="LO",6,10))+IF(D1033=1,2,IF(D1033=7,1,(IF(WEEKDAY(B1033)=1,2,IF(WEEKDAY(B1033)=7,1,0))))))</f>
        <v>2</v>
      </c>
      <c r="G1033" s="369">
        <f>VLOOKUP(C1033,METADATA!$J$5:$Q$29,IF(E1033="HI",2,IF(E1033="LO",6,10))+IF(D1033=1,2,IF(D1033=7,1,(IF(WEEKDAY(B1033)=1,2,IF(WEEKDAY(B1033)=7,1,0))))))</f>
        <v>2</v>
      </c>
      <c r="H1033" s="370">
        <v>13102.135009765625</v>
      </c>
      <c r="I1033" s="370">
        <v>1935.8875198364258</v>
      </c>
      <c r="M1033" s="371">
        <f t="shared" si="65"/>
        <v>13244.380027150553</v>
      </c>
      <c r="N1033" s="329">
        <f t="shared" si="66"/>
        <v>0</v>
      </c>
      <c r="T1033" s="331">
        <v>0</v>
      </c>
      <c r="U1033" s="328">
        <f>VLOOKUP(C1033,METADATA!$J$5:$Q$29,IF(E1033="HI",2,IF(E1033="LO",6,10))+IF(T1033=1,2,IF(D1033=7,1,(IF(WEEKDAY(B1033)=1,2,IF(WEEKDAY(B1033)=7,1,0))))))</f>
        <v>2</v>
      </c>
      <c r="V1033" s="328">
        <f>VLOOKUP(C1033,METADATA!$A$5:$H$29,IF(E1033="HI",2,IF(E1033="LO",6,10))+IF(T1033=1,2,IF(D1033=7,1,(IF(WEEKDAY(B1033)=1,2,IF(WEEKDAY(B1033)=7,1,0))))))</f>
        <v>2</v>
      </c>
    </row>
    <row r="1034" spans="2:22">
      <c r="B1034" s="318">
        <f t="shared" si="63"/>
        <v>46155</v>
      </c>
      <c r="C1034" s="312">
        <v>22</v>
      </c>
      <c r="D1034" s="368">
        <f>IFERROR((INDEX(METADATA!$T$2:$T$20,MATCH(B1034,METADATA!$S$2:$S$20,0))),0)</f>
        <v>0</v>
      </c>
      <c r="E1034" s="312" t="str">
        <f t="shared" si="64"/>
        <v>LO</v>
      </c>
      <c r="F1034" s="369">
        <f>VLOOKUP(C1034,METADATA!$A$5:$H$29,IF(E1034="HI",2,IF(E1034="LO",6,10))+IF(D1034=1,2,IF(D1034=7,1,(IF(WEEKDAY(B1034)=1,2,IF(WEEKDAY(B1034)=7,1,0))))))</f>
        <v>3</v>
      </c>
      <c r="G1034" s="369">
        <f>VLOOKUP(C1034,METADATA!$J$5:$Q$29,IF(E1034="HI",2,IF(E1034="LO",6,10))+IF(D1034=1,2,IF(D1034=7,1,(IF(WEEKDAY(B1034)=1,2,IF(WEEKDAY(B1034)=7,1,0))))))</f>
        <v>3</v>
      </c>
      <c r="H1034" s="370">
        <v>12888.114929199219</v>
      </c>
      <c r="I1034" s="370">
        <v>1847.3775100708008</v>
      </c>
      <c r="M1034" s="371">
        <f t="shared" si="65"/>
        <v>13019.84293657044</v>
      </c>
      <c r="N1034" s="329">
        <f t="shared" si="66"/>
        <v>0</v>
      </c>
      <c r="T1034" s="331">
        <v>0</v>
      </c>
      <c r="U1034" s="328">
        <f>VLOOKUP(C1034,METADATA!$J$5:$Q$29,IF(E1034="HI",2,IF(E1034="LO",6,10))+IF(T1034=1,2,IF(D1034=7,1,(IF(WEEKDAY(B1034)=1,2,IF(WEEKDAY(B1034)=7,1,0))))))</f>
        <v>3</v>
      </c>
      <c r="V1034" s="328">
        <f>VLOOKUP(C1034,METADATA!$A$5:$H$29,IF(E1034="HI",2,IF(E1034="LO",6,10))+IF(T1034=1,2,IF(D1034=7,1,(IF(WEEKDAY(B1034)=1,2,IF(WEEKDAY(B1034)=7,1,0))))))</f>
        <v>3</v>
      </c>
    </row>
    <row r="1035" spans="2:22">
      <c r="B1035" s="318">
        <f t="shared" si="63"/>
        <v>46155</v>
      </c>
      <c r="C1035" s="312">
        <v>23</v>
      </c>
      <c r="D1035" s="368">
        <f>IFERROR((INDEX(METADATA!$T$2:$T$20,MATCH(B1035,METADATA!$S$2:$S$20,0))),0)</f>
        <v>0</v>
      </c>
      <c r="E1035" s="312" t="str">
        <f t="shared" si="64"/>
        <v>LO</v>
      </c>
      <c r="F1035" s="369">
        <f>VLOOKUP(C1035,METADATA!$A$5:$H$29,IF(E1035="HI",2,IF(E1035="LO",6,10))+IF(D1035=1,2,IF(D1035=7,1,(IF(WEEKDAY(B1035)=1,2,IF(WEEKDAY(B1035)=7,1,0))))))</f>
        <v>3</v>
      </c>
      <c r="G1035" s="369">
        <f>VLOOKUP(C1035,METADATA!$J$5:$Q$29,IF(E1035="HI",2,IF(E1035="LO",6,10))+IF(D1035=1,2,IF(D1035=7,1,(IF(WEEKDAY(B1035)=1,2,IF(WEEKDAY(B1035)=7,1,0))))))</f>
        <v>3</v>
      </c>
      <c r="H1035" s="370">
        <v>12647.574829101563</v>
      </c>
      <c r="I1035" s="370">
        <v>1883.9025057554245</v>
      </c>
      <c r="M1035" s="371">
        <f t="shared" si="65"/>
        <v>12787.11217237555</v>
      </c>
      <c r="N1035" s="329">
        <f t="shared" si="66"/>
        <v>0</v>
      </c>
      <c r="T1035" s="331">
        <v>0</v>
      </c>
      <c r="U1035" s="328">
        <f>VLOOKUP(C1035,METADATA!$J$5:$Q$29,IF(E1035="HI",2,IF(E1035="LO",6,10))+IF(T1035=1,2,IF(D1035=7,1,(IF(WEEKDAY(B1035)=1,2,IF(WEEKDAY(B1035)=7,1,0))))))</f>
        <v>3</v>
      </c>
      <c r="V1035" s="328">
        <f>VLOOKUP(C1035,METADATA!$A$5:$H$29,IF(E1035="HI",2,IF(E1035="LO",6,10))+IF(T1035=1,2,IF(D1035=7,1,(IF(WEEKDAY(B1035)=1,2,IF(WEEKDAY(B1035)=7,1,0))))))</f>
        <v>3</v>
      </c>
    </row>
    <row r="1036" spans="2:22">
      <c r="B1036" s="318">
        <f t="shared" si="63"/>
        <v>46156</v>
      </c>
      <c r="C1036" s="312">
        <v>0</v>
      </c>
      <c r="D1036" s="368">
        <f>IFERROR((INDEX(METADATA!$T$2:$T$20,MATCH(B1036,METADATA!$S$2:$S$20,0))),0)</f>
        <v>0</v>
      </c>
      <c r="E1036" s="312" t="str">
        <f t="shared" si="64"/>
        <v>LO</v>
      </c>
      <c r="F1036" s="369">
        <f>VLOOKUP(C1036,METADATA!$A$5:$H$29,IF(E1036="HI",2,IF(E1036="LO",6,10))+IF(D1036=1,2,IF(D1036=7,1,(IF(WEEKDAY(B1036)=1,2,IF(WEEKDAY(B1036)=7,1,0))))))</f>
        <v>3</v>
      </c>
      <c r="G1036" s="369">
        <f>VLOOKUP(C1036,METADATA!$J$5:$Q$29,IF(E1036="HI",2,IF(E1036="LO",6,10))+IF(D1036=1,2,IF(D1036=7,1,(IF(WEEKDAY(B1036)=1,2,IF(WEEKDAY(B1036)=7,1,0))))))</f>
        <v>3</v>
      </c>
      <c r="H1036" s="370">
        <v>12950.785278320313</v>
      </c>
      <c r="I1036" s="370">
        <v>1949.4699783325195</v>
      </c>
      <c r="M1036" s="371">
        <f t="shared" si="65"/>
        <v>13096.689372569615</v>
      </c>
      <c r="N1036" s="329">
        <f t="shared" si="66"/>
        <v>0</v>
      </c>
      <c r="T1036" s="331">
        <v>0</v>
      </c>
      <c r="U1036" s="328">
        <f>VLOOKUP(C1036,METADATA!$J$5:$Q$29,IF(E1036="HI",2,IF(E1036="LO",6,10))+IF(T1036=1,2,IF(D1036=7,1,(IF(WEEKDAY(B1036)=1,2,IF(WEEKDAY(B1036)=7,1,0))))))</f>
        <v>3</v>
      </c>
      <c r="V1036" s="328">
        <f>VLOOKUP(C1036,METADATA!$A$5:$H$29,IF(E1036="HI",2,IF(E1036="LO",6,10))+IF(T1036=1,2,IF(D1036=7,1,(IF(WEEKDAY(B1036)=1,2,IF(WEEKDAY(B1036)=7,1,0))))))</f>
        <v>3</v>
      </c>
    </row>
    <row r="1037" spans="2:22">
      <c r="B1037" s="318">
        <f t="shared" si="63"/>
        <v>46156</v>
      </c>
      <c r="C1037" s="312">
        <v>1</v>
      </c>
      <c r="D1037" s="368">
        <f>IFERROR((INDEX(METADATA!$T$2:$T$20,MATCH(B1037,METADATA!$S$2:$S$20,0))),0)</f>
        <v>0</v>
      </c>
      <c r="E1037" s="312" t="str">
        <f t="shared" si="64"/>
        <v>LO</v>
      </c>
      <c r="F1037" s="369">
        <f>VLOOKUP(C1037,METADATA!$A$5:$H$29,IF(E1037="HI",2,IF(E1037="LO",6,10))+IF(D1037=1,2,IF(D1037=7,1,(IF(WEEKDAY(B1037)=1,2,IF(WEEKDAY(B1037)=7,1,0))))))</f>
        <v>3</v>
      </c>
      <c r="G1037" s="369">
        <f>VLOOKUP(C1037,METADATA!$J$5:$Q$29,IF(E1037="HI",2,IF(E1037="LO",6,10))+IF(D1037=1,2,IF(D1037=7,1,(IF(WEEKDAY(B1037)=1,2,IF(WEEKDAY(B1037)=7,1,0))))))</f>
        <v>3</v>
      </c>
      <c r="H1037" s="370">
        <v>12513.164794921875</v>
      </c>
      <c r="I1037" s="370">
        <v>1857.8194798827171</v>
      </c>
      <c r="M1037" s="371">
        <f t="shared" si="65"/>
        <v>12650.327521637686</v>
      </c>
      <c r="N1037" s="329">
        <f t="shared" si="66"/>
        <v>0</v>
      </c>
      <c r="T1037" s="331">
        <v>0</v>
      </c>
      <c r="U1037" s="328">
        <f>VLOOKUP(C1037,METADATA!$J$5:$Q$29,IF(E1037="HI",2,IF(E1037="LO",6,10))+IF(T1037=1,2,IF(D1037=7,1,(IF(WEEKDAY(B1037)=1,2,IF(WEEKDAY(B1037)=7,1,0))))))</f>
        <v>3</v>
      </c>
      <c r="V1037" s="328">
        <f>VLOOKUP(C1037,METADATA!$A$5:$H$29,IF(E1037="HI",2,IF(E1037="LO",6,10))+IF(T1037=1,2,IF(D1037=7,1,(IF(WEEKDAY(B1037)=1,2,IF(WEEKDAY(B1037)=7,1,0))))))</f>
        <v>3</v>
      </c>
    </row>
    <row r="1038" spans="2:22">
      <c r="B1038" s="318">
        <f t="shared" si="63"/>
        <v>46156</v>
      </c>
      <c r="C1038" s="312">
        <v>2</v>
      </c>
      <c r="D1038" s="368">
        <f>IFERROR((INDEX(METADATA!$T$2:$T$20,MATCH(B1038,METADATA!$S$2:$S$20,0))),0)</f>
        <v>0</v>
      </c>
      <c r="E1038" s="312" t="str">
        <f t="shared" si="64"/>
        <v>LO</v>
      </c>
      <c r="F1038" s="369">
        <f>VLOOKUP(C1038,METADATA!$A$5:$H$29,IF(E1038="HI",2,IF(E1038="LO",6,10))+IF(D1038=1,2,IF(D1038=7,1,(IF(WEEKDAY(B1038)=1,2,IF(WEEKDAY(B1038)=7,1,0))))))</f>
        <v>3</v>
      </c>
      <c r="G1038" s="369">
        <f>VLOOKUP(C1038,METADATA!$J$5:$Q$29,IF(E1038="HI",2,IF(E1038="LO",6,10))+IF(D1038=1,2,IF(D1038=7,1,(IF(WEEKDAY(B1038)=1,2,IF(WEEKDAY(B1038)=7,1,0))))))</f>
        <v>3</v>
      </c>
      <c r="H1038" s="370">
        <v>12839.810180664063</v>
      </c>
      <c r="I1038" s="370">
        <v>2020.1250305175781</v>
      </c>
      <c r="M1038" s="371">
        <f t="shared" si="65"/>
        <v>12997.754829754565</v>
      </c>
      <c r="N1038" s="329">
        <f t="shared" si="66"/>
        <v>0</v>
      </c>
      <c r="T1038" s="331">
        <v>0</v>
      </c>
      <c r="U1038" s="328">
        <f>VLOOKUP(C1038,METADATA!$J$5:$Q$29,IF(E1038="HI",2,IF(E1038="LO",6,10))+IF(T1038=1,2,IF(D1038=7,1,(IF(WEEKDAY(B1038)=1,2,IF(WEEKDAY(B1038)=7,1,0))))))</f>
        <v>3</v>
      </c>
      <c r="V1038" s="328">
        <f>VLOOKUP(C1038,METADATA!$A$5:$H$29,IF(E1038="HI",2,IF(E1038="LO",6,10))+IF(T1038=1,2,IF(D1038=7,1,(IF(WEEKDAY(B1038)=1,2,IF(WEEKDAY(B1038)=7,1,0))))))</f>
        <v>3</v>
      </c>
    </row>
    <row r="1039" spans="2:22">
      <c r="B1039" s="318">
        <f t="shared" si="63"/>
        <v>46156</v>
      </c>
      <c r="C1039" s="312">
        <v>3</v>
      </c>
      <c r="D1039" s="368">
        <f>IFERROR((INDEX(METADATA!$T$2:$T$20,MATCH(B1039,METADATA!$S$2:$S$20,0))),0)</f>
        <v>0</v>
      </c>
      <c r="E1039" s="312" t="str">
        <f t="shared" si="64"/>
        <v>LO</v>
      </c>
      <c r="F1039" s="369">
        <f>VLOOKUP(C1039,METADATA!$A$5:$H$29,IF(E1039="HI",2,IF(E1039="LO",6,10))+IF(D1039=1,2,IF(D1039=7,1,(IF(WEEKDAY(B1039)=1,2,IF(WEEKDAY(B1039)=7,1,0))))))</f>
        <v>3</v>
      </c>
      <c r="G1039" s="369">
        <f>VLOOKUP(C1039,METADATA!$J$5:$Q$29,IF(E1039="HI",2,IF(E1039="LO",6,10))+IF(D1039=1,2,IF(D1039=7,1,(IF(WEEKDAY(B1039)=1,2,IF(WEEKDAY(B1039)=7,1,0))))))</f>
        <v>3</v>
      </c>
      <c r="H1039" s="370">
        <v>12813.404968261719</v>
      </c>
      <c r="I1039" s="370">
        <v>1984.3225250244141</v>
      </c>
      <c r="M1039" s="371">
        <f t="shared" si="65"/>
        <v>12966.143712144847</v>
      </c>
      <c r="N1039" s="329">
        <f t="shared" si="66"/>
        <v>0</v>
      </c>
      <c r="T1039" s="331">
        <v>0</v>
      </c>
      <c r="U1039" s="328">
        <f>VLOOKUP(C1039,METADATA!$J$5:$Q$29,IF(E1039="HI",2,IF(E1039="LO",6,10))+IF(T1039=1,2,IF(D1039=7,1,(IF(WEEKDAY(B1039)=1,2,IF(WEEKDAY(B1039)=7,1,0))))))</f>
        <v>3</v>
      </c>
      <c r="V1039" s="328">
        <f>VLOOKUP(C1039,METADATA!$A$5:$H$29,IF(E1039="HI",2,IF(E1039="LO",6,10))+IF(T1039=1,2,IF(D1039=7,1,(IF(WEEKDAY(B1039)=1,2,IF(WEEKDAY(B1039)=7,1,0))))))</f>
        <v>3</v>
      </c>
    </row>
    <row r="1040" spans="2:22">
      <c r="B1040" s="318">
        <f t="shared" si="63"/>
        <v>46156</v>
      </c>
      <c r="C1040" s="312">
        <v>4</v>
      </c>
      <c r="D1040" s="368">
        <f>IFERROR((INDEX(METADATA!$T$2:$T$20,MATCH(B1040,METADATA!$S$2:$S$20,0))),0)</f>
        <v>0</v>
      </c>
      <c r="E1040" s="312" t="str">
        <f t="shared" si="64"/>
        <v>LO</v>
      </c>
      <c r="F1040" s="369">
        <f>VLOOKUP(C1040,METADATA!$A$5:$H$29,IF(E1040="HI",2,IF(E1040="LO",6,10))+IF(D1040=1,2,IF(D1040=7,1,(IF(WEEKDAY(B1040)=1,2,IF(WEEKDAY(B1040)=7,1,0))))))</f>
        <v>3</v>
      </c>
      <c r="G1040" s="369">
        <f>VLOOKUP(C1040,METADATA!$J$5:$Q$29,IF(E1040="HI",2,IF(E1040="LO",6,10))+IF(D1040=1,2,IF(D1040=7,1,(IF(WEEKDAY(B1040)=1,2,IF(WEEKDAY(B1040)=7,1,0))))))</f>
        <v>3</v>
      </c>
      <c r="H1040" s="370">
        <v>12534.519592285156</v>
      </c>
      <c r="I1040" s="370">
        <v>1859.6170471608639</v>
      </c>
      <c r="M1040" s="371">
        <f t="shared" si="65"/>
        <v>12671.714839415845</v>
      </c>
      <c r="N1040" s="329">
        <f t="shared" si="66"/>
        <v>0</v>
      </c>
      <c r="T1040" s="331">
        <v>0</v>
      </c>
      <c r="U1040" s="328">
        <f>VLOOKUP(C1040,METADATA!$J$5:$Q$29,IF(E1040="HI",2,IF(E1040="LO",6,10))+IF(T1040=1,2,IF(D1040=7,1,(IF(WEEKDAY(B1040)=1,2,IF(WEEKDAY(B1040)=7,1,0))))))</f>
        <v>3</v>
      </c>
      <c r="V1040" s="328">
        <f>VLOOKUP(C1040,METADATA!$A$5:$H$29,IF(E1040="HI",2,IF(E1040="LO",6,10))+IF(T1040=1,2,IF(D1040=7,1,(IF(WEEKDAY(B1040)=1,2,IF(WEEKDAY(B1040)=7,1,0))))))</f>
        <v>3</v>
      </c>
    </row>
    <row r="1041" spans="2:22">
      <c r="B1041" s="318">
        <f t="shared" si="63"/>
        <v>46156</v>
      </c>
      <c r="C1041" s="312">
        <v>5</v>
      </c>
      <c r="D1041" s="368">
        <f>IFERROR((INDEX(METADATA!$T$2:$T$20,MATCH(B1041,METADATA!$S$2:$S$20,0))),0)</f>
        <v>0</v>
      </c>
      <c r="E1041" s="312" t="str">
        <f t="shared" si="64"/>
        <v>LO</v>
      </c>
      <c r="F1041" s="369">
        <f>VLOOKUP(C1041,METADATA!$A$5:$H$29,IF(E1041="HI",2,IF(E1041="LO",6,10))+IF(D1041=1,2,IF(D1041=7,1,(IF(WEEKDAY(B1041)=1,2,IF(WEEKDAY(B1041)=7,1,0))))))</f>
        <v>3</v>
      </c>
      <c r="G1041" s="369">
        <f>VLOOKUP(C1041,METADATA!$J$5:$Q$29,IF(E1041="HI",2,IF(E1041="LO",6,10))+IF(D1041=1,2,IF(D1041=7,1,(IF(WEEKDAY(B1041)=1,2,IF(WEEKDAY(B1041)=7,1,0))))))</f>
        <v>3</v>
      </c>
      <c r="H1041" s="370">
        <v>12720.055053710938</v>
      </c>
      <c r="I1041" s="370">
        <v>1832.1799850463867</v>
      </c>
      <c r="M1041" s="371">
        <f t="shared" si="65"/>
        <v>12851.330050506123</v>
      </c>
      <c r="N1041" s="329">
        <f t="shared" si="66"/>
        <v>0</v>
      </c>
      <c r="T1041" s="331">
        <v>0</v>
      </c>
      <c r="U1041" s="328">
        <f>VLOOKUP(C1041,METADATA!$J$5:$Q$29,IF(E1041="HI",2,IF(E1041="LO",6,10))+IF(T1041=1,2,IF(D1041=7,1,(IF(WEEKDAY(B1041)=1,2,IF(WEEKDAY(B1041)=7,1,0))))))</f>
        <v>3</v>
      </c>
      <c r="V1041" s="328">
        <f>VLOOKUP(C1041,METADATA!$A$5:$H$29,IF(E1041="HI",2,IF(E1041="LO",6,10))+IF(T1041=1,2,IF(D1041=7,1,(IF(WEEKDAY(B1041)=1,2,IF(WEEKDAY(B1041)=7,1,0))))))</f>
        <v>3</v>
      </c>
    </row>
    <row r="1042" spans="2:22">
      <c r="B1042" s="318">
        <f t="shared" si="63"/>
        <v>46156</v>
      </c>
      <c r="C1042" s="312">
        <v>6</v>
      </c>
      <c r="D1042" s="368">
        <f>IFERROR((INDEX(METADATA!$T$2:$T$20,MATCH(B1042,METADATA!$S$2:$S$20,0))),0)</f>
        <v>0</v>
      </c>
      <c r="E1042" s="312" t="str">
        <f t="shared" si="64"/>
        <v>LO</v>
      </c>
      <c r="F1042" s="369">
        <f>VLOOKUP(C1042,METADATA!$A$5:$H$29,IF(E1042="HI",2,IF(E1042="LO",6,10))+IF(D1042=1,2,IF(D1042=7,1,(IF(WEEKDAY(B1042)=1,2,IF(WEEKDAY(B1042)=7,1,0))))))</f>
        <v>2</v>
      </c>
      <c r="G1042" s="369">
        <f>VLOOKUP(C1042,METADATA!$J$5:$Q$29,IF(E1042="HI",2,IF(E1042="LO",6,10))+IF(D1042=1,2,IF(D1042=7,1,(IF(WEEKDAY(B1042)=1,2,IF(WEEKDAY(B1042)=7,1,0))))))</f>
        <v>2</v>
      </c>
      <c r="H1042" s="370">
        <v>12530.520141601563</v>
      </c>
      <c r="I1042" s="370">
        <v>1751.3519849181175</v>
      </c>
      <c r="M1042" s="371">
        <f t="shared" si="65"/>
        <v>12652.318712163358</v>
      </c>
      <c r="N1042" s="329">
        <f t="shared" si="66"/>
        <v>0</v>
      </c>
      <c r="T1042" s="331">
        <v>0</v>
      </c>
      <c r="U1042" s="328">
        <f>VLOOKUP(C1042,METADATA!$J$5:$Q$29,IF(E1042="HI",2,IF(E1042="LO",6,10))+IF(T1042=1,2,IF(D1042=7,1,(IF(WEEKDAY(B1042)=1,2,IF(WEEKDAY(B1042)=7,1,0))))))</f>
        <v>2</v>
      </c>
      <c r="V1042" s="328">
        <f>VLOOKUP(C1042,METADATA!$A$5:$H$29,IF(E1042="HI",2,IF(E1042="LO",6,10))+IF(T1042=1,2,IF(D1042=7,1,(IF(WEEKDAY(B1042)=1,2,IF(WEEKDAY(B1042)=7,1,0))))))</f>
        <v>2</v>
      </c>
    </row>
    <row r="1043" spans="2:22">
      <c r="B1043" s="318">
        <f t="shared" si="63"/>
        <v>46156</v>
      </c>
      <c r="C1043" s="312">
        <v>7</v>
      </c>
      <c r="D1043" s="368">
        <f>IFERROR((INDEX(METADATA!$T$2:$T$20,MATCH(B1043,METADATA!$S$2:$S$20,0))),0)</f>
        <v>0</v>
      </c>
      <c r="E1043" s="312" t="str">
        <f t="shared" si="64"/>
        <v>LO</v>
      </c>
      <c r="F1043" s="369">
        <f>VLOOKUP(C1043,METADATA!$A$5:$H$29,IF(E1043="HI",2,IF(E1043="LO",6,10))+IF(D1043=1,2,IF(D1043=7,1,(IF(WEEKDAY(B1043)=1,2,IF(WEEKDAY(B1043)=7,1,0))))))</f>
        <v>1</v>
      </c>
      <c r="G1043" s="369">
        <f>VLOOKUP(C1043,METADATA!$J$5:$Q$29,IF(E1043="HI",2,IF(E1043="LO",6,10))+IF(D1043=1,2,IF(D1043=7,1,(IF(WEEKDAY(B1043)=1,2,IF(WEEKDAY(B1043)=7,1,0))))))</f>
        <v>1</v>
      </c>
      <c r="H1043" s="370">
        <v>12664.510192871094</v>
      </c>
      <c r="I1043" s="370">
        <v>1737.406550347805</v>
      </c>
      <c r="M1043" s="371">
        <f t="shared" si="65"/>
        <v>12783.129505192665</v>
      </c>
      <c r="N1043" s="329">
        <f t="shared" si="66"/>
        <v>0</v>
      </c>
      <c r="T1043" s="331">
        <v>0</v>
      </c>
      <c r="U1043" s="328">
        <f>VLOOKUP(C1043,METADATA!$J$5:$Q$29,IF(E1043="HI",2,IF(E1043="LO",6,10))+IF(T1043=1,2,IF(D1043=7,1,(IF(WEEKDAY(B1043)=1,2,IF(WEEKDAY(B1043)=7,1,0))))))</f>
        <v>1</v>
      </c>
      <c r="V1043" s="328">
        <f>VLOOKUP(C1043,METADATA!$A$5:$H$29,IF(E1043="HI",2,IF(E1043="LO",6,10))+IF(T1043=1,2,IF(D1043=7,1,(IF(WEEKDAY(B1043)=1,2,IF(WEEKDAY(B1043)=7,1,0))))))</f>
        <v>1</v>
      </c>
    </row>
    <row r="1044" spans="2:22">
      <c r="B1044" s="318">
        <f t="shared" si="63"/>
        <v>46156</v>
      </c>
      <c r="C1044" s="312">
        <v>8</v>
      </c>
      <c r="D1044" s="368">
        <f>IFERROR((INDEX(METADATA!$T$2:$T$20,MATCH(B1044,METADATA!$S$2:$S$20,0))),0)</f>
        <v>0</v>
      </c>
      <c r="E1044" s="312" t="str">
        <f t="shared" si="64"/>
        <v>LO</v>
      </c>
      <c r="F1044" s="369">
        <f>VLOOKUP(C1044,METADATA!$A$5:$H$29,IF(E1044="HI",2,IF(E1044="LO",6,10))+IF(D1044=1,2,IF(D1044=7,1,(IF(WEEKDAY(B1044)=1,2,IF(WEEKDAY(B1044)=7,1,0))))))</f>
        <v>1</v>
      </c>
      <c r="G1044" s="369">
        <f>VLOOKUP(C1044,METADATA!$J$5:$Q$29,IF(E1044="HI",2,IF(E1044="LO",6,10))+IF(D1044=1,2,IF(D1044=7,1,(IF(WEEKDAY(B1044)=1,2,IF(WEEKDAY(B1044)=7,1,0))))))</f>
        <v>1</v>
      </c>
      <c r="H1044" s="370">
        <v>13048.51513671875</v>
      </c>
      <c r="I1044" s="370">
        <v>1971.8654670715332</v>
      </c>
      <c r="M1044" s="371">
        <f t="shared" si="65"/>
        <v>13196.666271957003</v>
      </c>
      <c r="N1044" s="329">
        <f t="shared" si="66"/>
        <v>0</v>
      </c>
      <c r="T1044" s="331">
        <v>0</v>
      </c>
      <c r="U1044" s="328">
        <f>VLOOKUP(C1044,METADATA!$J$5:$Q$29,IF(E1044="HI",2,IF(E1044="LO",6,10))+IF(T1044=1,2,IF(D1044=7,1,(IF(WEEKDAY(B1044)=1,2,IF(WEEKDAY(B1044)=7,1,0))))))</f>
        <v>1</v>
      </c>
      <c r="V1044" s="328">
        <f>VLOOKUP(C1044,METADATA!$A$5:$H$29,IF(E1044="HI",2,IF(E1044="LO",6,10))+IF(T1044=1,2,IF(D1044=7,1,(IF(WEEKDAY(B1044)=1,2,IF(WEEKDAY(B1044)=7,1,0))))))</f>
        <v>1</v>
      </c>
    </row>
    <row r="1045" spans="2:22">
      <c r="B1045" s="318">
        <f t="shared" si="63"/>
        <v>46156</v>
      </c>
      <c r="C1045" s="312">
        <v>9</v>
      </c>
      <c r="D1045" s="368">
        <f>IFERROR((INDEX(METADATA!$T$2:$T$20,MATCH(B1045,METADATA!$S$2:$S$20,0))),0)</f>
        <v>0</v>
      </c>
      <c r="E1045" s="312" t="str">
        <f t="shared" si="64"/>
        <v>LO</v>
      </c>
      <c r="F1045" s="369">
        <f>VLOOKUP(C1045,METADATA!$A$5:$H$29,IF(E1045="HI",2,IF(E1045="LO",6,10))+IF(D1045=1,2,IF(D1045=7,1,(IF(WEEKDAY(B1045)=1,2,IF(WEEKDAY(B1045)=7,1,0))))))</f>
        <v>2</v>
      </c>
      <c r="G1045" s="369">
        <f>VLOOKUP(C1045,METADATA!$J$5:$Q$29,IF(E1045="HI",2,IF(E1045="LO",6,10))+IF(D1045=1,2,IF(D1045=7,1,(IF(WEEKDAY(B1045)=1,2,IF(WEEKDAY(B1045)=7,1,0))))))</f>
        <v>2</v>
      </c>
      <c r="H1045" s="370">
        <v>13271.369812011719</v>
      </c>
      <c r="I1045" s="370">
        <v>2056.4634742736816</v>
      </c>
      <c r="M1045" s="371">
        <f t="shared" si="65"/>
        <v>13429.754231116731</v>
      </c>
      <c r="N1045" s="329">
        <f t="shared" si="66"/>
        <v>0</v>
      </c>
      <c r="T1045" s="331">
        <v>0</v>
      </c>
      <c r="U1045" s="328">
        <f>VLOOKUP(C1045,METADATA!$J$5:$Q$29,IF(E1045="HI",2,IF(E1045="LO",6,10))+IF(T1045=1,2,IF(D1045=7,1,(IF(WEEKDAY(B1045)=1,2,IF(WEEKDAY(B1045)=7,1,0))))))</f>
        <v>2</v>
      </c>
      <c r="V1045" s="328">
        <f>VLOOKUP(C1045,METADATA!$A$5:$H$29,IF(E1045="HI",2,IF(E1045="LO",6,10))+IF(T1045=1,2,IF(D1045=7,1,(IF(WEEKDAY(B1045)=1,2,IF(WEEKDAY(B1045)=7,1,0))))))</f>
        <v>2</v>
      </c>
    </row>
    <row r="1046" spans="2:22">
      <c r="B1046" s="318">
        <f t="shared" si="63"/>
        <v>46156</v>
      </c>
      <c r="C1046" s="312">
        <v>10</v>
      </c>
      <c r="D1046" s="368">
        <f>IFERROR((INDEX(METADATA!$T$2:$T$20,MATCH(B1046,METADATA!$S$2:$S$20,0))),0)</f>
        <v>0</v>
      </c>
      <c r="E1046" s="312" t="str">
        <f t="shared" si="64"/>
        <v>LO</v>
      </c>
      <c r="F1046" s="369">
        <f>VLOOKUP(C1046,METADATA!$A$5:$H$29,IF(E1046="HI",2,IF(E1046="LO",6,10))+IF(D1046=1,2,IF(D1046=7,1,(IF(WEEKDAY(B1046)=1,2,IF(WEEKDAY(B1046)=7,1,0))))))</f>
        <v>2</v>
      </c>
      <c r="G1046" s="369">
        <f>VLOOKUP(C1046,METADATA!$J$5:$Q$29,IF(E1046="HI",2,IF(E1046="LO",6,10))+IF(D1046=1,2,IF(D1046=7,1,(IF(WEEKDAY(B1046)=1,2,IF(WEEKDAY(B1046)=7,1,0))))))</f>
        <v>2</v>
      </c>
      <c r="H1046" s="370">
        <v>13241.390380859375</v>
      </c>
      <c r="I1046" s="370">
        <v>2006.2329959869385</v>
      </c>
      <c r="M1046" s="371">
        <f t="shared" si="65"/>
        <v>13392.512462286601</v>
      </c>
      <c r="N1046" s="329">
        <f t="shared" si="66"/>
        <v>0</v>
      </c>
      <c r="T1046" s="331">
        <v>0</v>
      </c>
      <c r="U1046" s="328">
        <f>VLOOKUP(C1046,METADATA!$J$5:$Q$29,IF(E1046="HI",2,IF(E1046="LO",6,10))+IF(T1046=1,2,IF(D1046=7,1,(IF(WEEKDAY(B1046)=1,2,IF(WEEKDAY(B1046)=7,1,0))))))</f>
        <v>2</v>
      </c>
      <c r="V1046" s="328">
        <f>VLOOKUP(C1046,METADATA!$A$5:$H$29,IF(E1046="HI",2,IF(E1046="LO",6,10))+IF(T1046=1,2,IF(D1046=7,1,(IF(WEEKDAY(B1046)=1,2,IF(WEEKDAY(B1046)=7,1,0))))))</f>
        <v>2</v>
      </c>
    </row>
    <row r="1047" spans="2:22">
      <c r="B1047" s="318">
        <f t="shared" si="63"/>
        <v>46156</v>
      </c>
      <c r="C1047" s="312">
        <v>11</v>
      </c>
      <c r="D1047" s="368">
        <f>IFERROR((INDEX(METADATA!$T$2:$T$20,MATCH(B1047,METADATA!$S$2:$S$20,0))),0)</f>
        <v>0</v>
      </c>
      <c r="E1047" s="312" t="str">
        <f t="shared" si="64"/>
        <v>LO</v>
      </c>
      <c r="F1047" s="369">
        <f>VLOOKUP(C1047,METADATA!$A$5:$H$29,IF(E1047="HI",2,IF(E1047="LO",6,10))+IF(D1047=1,2,IF(D1047=7,1,(IF(WEEKDAY(B1047)=1,2,IF(WEEKDAY(B1047)=7,1,0))))))</f>
        <v>2</v>
      </c>
      <c r="G1047" s="369">
        <f>VLOOKUP(C1047,METADATA!$J$5:$Q$29,IF(E1047="HI",2,IF(E1047="LO",6,10))+IF(D1047=1,2,IF(D1047=7,1,(IF(WEEKDAY(B1047)=1,2,IF(WEEKDAY(B1047)=7,1,0))))))</f>
        <v>2</v>
      </c>
      <c r="H1047" s="370">
        <v>13274.16015625</v>
      </c>
      <c r="I1047" s="370">
        <v>2007.4294929504395</v>
      </c>
      <c r="M1047" s="371">
        <f t="shared" si="65"/>
        <v>13425.092216552641</v>
      </c>
      <c r="N1047" s="329">
        <f t="shared" si="66"/>
        <v>0</v>
      </c>
      <c r="T1047" s="331">
        <v>0</v>
      </c>
      <c r="U1047" s="328">
        <f>VLOOKUP(C1047,METADATA!$J$5:$Q$29,IF(E1047="HI",2,IF(E1047="LO",6,10))+IF(T1047=1,2,IF(D1047=7,1,(IF(WEEKDAY(B1047)=1,2,IF(WEEKDAY(B1047)=7,1,0))))))</f>
        <v>2</v>
      </c>
      <c r="V1047" s="328">
        <f>VLOOKUP(C1047,METADATA!$A$5:$H$29,IF(E1047="HI",2,IF(E1047="LO",6,10))+IF(T1047=1,2,IF(D1047=7,1,(IF(WEEKDAY(B1047)=1,2,IF(WEEKDAY(B1047)=7,1,0))))))</f>
        <v>2</v>
      </c>
    </row>
    <row r="1048" spans="2:22">
      <c r="B1048" s="318">
        <f t="shared" si="63"/>
        <v>46156</v>
      </c>
      <c r="C1048" s="312">
        <v>12</v>
      </c>
      <c r="D1048" s="368">
        <f>IFERROR((INDEX(METADATA!$T$2:$T$20,MATCH(B1048,METADATA!$S$2:$S$20,0))),0)</f>
        <v>0</v>
      </c>
      <c r="E1048" s="312" t="str">
        <f t="shared" si="64"/>
        <v>LO</v>
      </c>
      <c r="F1048" s="369">
        <f>VLOOKUP(C1048,METADATA!$A$5:$H$29,IF(E1048="HI",2,IF(E1048="LO",6,10))+IF(D1048=1,2,IF(D1048=7,1,(IF(WEEKDAY(B1048)=1,2,IF(WEEKDAY(B1048)=7,1,0))))))</f>
        <v>2</v>
      </c>
      <c r="G1048" s="369">
        <f>VLOOKUP(C1048,METADATA!$J$5:$Q$29,IF(E1048="HI",2,IF(E1048="LO",6,10))+IF(D1048=1,2,IF(D1048=7,1,(IF(WEEKDAY(B1048)=1,2,IF(WEEKDAY(B1048)=7,1,0))))))</f>
        <v>2</v>
      </c>
      <c r="H1048" s="370">
        <v>12978.45556640625</v>
      </c>
      <c r="I1048" s="370">
        <v>1775.4265117645264</v>
      </c>
      <c r="M1048" s="371">
        <f t="shared" si="65"/>
        <v>13099.330066375827</v>
      </c>
      <c r="N1048" s="329">
        <f t="shared" si="66"/>
        <v>0</v>
      </c>
      <c r="T1048" s="331">
        <v>0</v>
      </c>
      <c r="U1048" s="328">
        <f>VLOOKUP(C1048,METADATA!$J$5:$Q$29,IF(E1048="HI",2,IF(E1048="LO",6,10))+IF(T1048=1,2,IF(D1048=7,1,(IF(WEEKDAY(B1048)=1,2,IF(WEEKDAY(B1048)=7,1,0))))))</f>
        <v>2</v>
      </c>
      <c r="V1048" s="328">
        <f>VLOOKUP(C1048,METADATA!$A$5:$H$29,IF(E1048="HI",2,IF(E1048="LO",6,10))+IF(T1048=1,2,IF(D1048=7,1,(IF(WEEKDAY(B1048)=1,2,IF(WEEKDAY(B1048)=7,1,0))))))</f>
        <v>2</v>
      </c>
    </row>
    <row r="1049" spans="2:22">
      <c r="B1049" s="318">
        <f t="shared" si="63"/>
        <v>46156</v>
      </c>
      <c r="C1049" s="312">
        <v>13</v>
      </c>
      <c r="D1049" s="368">
        <f>IFERROR((INDEX(METADATA!$T$2:$T$20,MATCH(B1049,METADATA!$S$2:$S$20,0))),0)</f>
        <v>0</v>
      </c>
      <c r="E1049" s="312" t="str">
        <f t="shared" si="64"/>
        <v>LO</v>
      </c>
      <c r="F1049" s="369">
        <f>VLOOKUP(C1049,METADATA!$A$5:$H$29,IF(E1049="HI",2,IF(E1049="LO",6,10))+IF(D1049=1,2,IF(D1049=7,1,(IF(WEEKDAY(B1049)=1,2,IF(WEEKDAY(B1049)=7,1,0))))))</f>
        <v>2</v>
      </c>
      <c r="G1049" s="369">
        <f>VLOOKUP(C1049,METADATA!$J$5:$Q$29,IF(E1049="HI",2,IF(E1049="LO",6,10))+IF(D1049=1,2,IF(D1049=7,1,(IF(WEEKDAY(B1049)=1,2,IF(WEEKDAY(B1049)=7,1,0))))))</f>
        <v>2</v>
      </c>
      <c r="H1049" s="370">
        <v>13498.629699707031</v>
      </c>
      <c r="I1049" s="370">
        <v>2132.2064723968506</v>
      </c>
      <c r="M1049" s="371">
        <f t="shared" si="65"/>
        <v>13665.990934094159</v>
      </c>
      <c r="N1049" s="329">
        <f t="shared" si="66"/>
        <v>0</v>
      </c>
      <c r="T1049" s="331">
        <v>0</v>
      </c>
      <c r="U1049" s="328">
        <f>VLOOKUP(C1049,METADATA!$J$5:$Q$29,IF(E1049="HI",2,IF(E1049="LO",6,10))+IF(T1049=1,2,IF(D1049=7,1,(IF(WEEKDAY(B1049)=1,2,IF(WEEKDAY(B1049)=7,1,0))))))</f>
        <v>2</v>
      </c>
      <c r="V1049" s="328">
        <f>VLOOKUP(C1049,METADATA!$A$5:$H$29,IF(E1049="HI",2,IF(E1049="LO",6,10))+IF(T1049=1,2,IF(D1049=7,1,(IF(WEEKDAY(B1049)=1,2,IF(WEEKDAY(B1049)=7,1,0))))))</f>
        <v>2</v>
      </c>
    </row>
    <row r="1050" spans="2:22">
      <c r="B1050" s="318">
        <f t="shared" si="63"/>
        <v>46156</v>
      </c>
      <c r="C1050" s="312">
        <v>14</v>
      </c>
      <c r="D1050" s="368">
        <f>IFERROR((INDEX(METADATA!$T$2:$T$20,MATCH(B1050,METADATA!$S$2:$S$20,0))),0)</f>
        <v>0</v>
      </c>
      <c r="E1050" s="312" t="str">
        <f t="shared" si="64"/>
        <v>LO</v>
      </c>
      <c r="F1050" s="369">
        <f>VLOOKUP(C1050,METADATA!$A$5:$H$29,IF(E1050="HI",2,IF(E1050="LO",6,10))+IF(D1050=1,2,IF(D1050=7,1,(IF(WEEKDAY(B1050)=1,2,IF(WEEKDAY(B1050)=7,1,0))))))</f>
        <v>2</v>
      </c>
      <c r="G1050" s="369">
        <f>VLOOKUP(C1050,METADATA!$J$5:$Q$29,IF(E1050="HI",2,IF(E1050="LO",6,10))+IF(D1050=1,2,IF(D1050=7,1,(IF(WEEKDAY(B1050)=1,2,IF(WEEKDAY(B1050)=7,1,0))))))</f>
        <v>2</v>
      </c>
      <c r="H1050" s="370">
        <v>13468.664794921875</v>
      </c>
      <c r="I1050" s="370">
        <v>2247.5274715423584</v>
      </c>
      <c r="M1050" s="371">
        <f t="shared" si="65"/>
        <v>13654.900625537541</v>
      </c>
      <c r="N1050" s="329">
        <f t="shared" si="66"/>
        <v>0</v>
      </c>
      <c r="T1050" s="331">
        <v>0</v>
      </c>
      <c r="U1050" s="328">
        <f>VLOOKUP(C1050,METADATA!$J$5:$Q$29,IF(E1050="HI",2,IF(E1050="LO",6,10))+IF(T1050=1,2,IF(D1050=7,1,(IF(WEEKDAY(B1050)=1,2,IF(WEEKDAY(B1050)=7,1,0))))))</f>
        <v>2</v>
      </c>
      <c r="V1050" s="328">
        <f>VLOOKUP(C1050,METADATA!$A$5:$H$29,IF(E1050="HI",2,IF(E1050="LO",6,10))+IF(T1050=1,2,IF(D1050=7,1,(IF(WEEKDAY(B1050)=1,2,IF(WEEKDAY(B1050)=7,1,0))))))</f>
        <v>2</v>
      </c>
    </row>
    <row r="1051" spans="2:22">
      <c r="B1051" s="318">
        <f t="shared" si="63"/>
        <v>46156</v>
      </c>
      <c r="C1051" s="312">
        <v>15</v>
      </c>
      <c r="D1051" s="368">
        <f>IFERROR((INDEX(METADATA!$T$2:$T$20,MATCH(B1051,METADATA!$S$2:$S$20,0))),0)</f>
        <v>0</v>
      </c>
      <c r="E1051" s="312" t="str">
        <f t="shared" si="64"/>
        <v>LO</v>
      </c>
      <c r="F1051" s="369">
        <f>VLOOKUP(C1051,METADATA!$A$5:$H$29,IF(E1051="HI",2,IF(E1051="LO",6,10))+IF(D1051=1,2,IF(D1051=7,1,(IF(WEEKDAY(B1051)=1,2,IF(WEEKDAY(B1051)=7,1,0))))))</f>
        <v>2</v>
      </c>
      <c r="G1051" s="369">
        <f>VLOOKUP(C1051,METADATA!$J$5:$Q$29,IF(E1051="HI",2,IF(E1051="LO",6,10))+IF(D1051=1,2,IF(D1051=7,1,(IF(WEEKDAY(B1051)=1,2,IF(WEEKDAY(B1051)=7,1,0))))))</f>
        <v>2</v>
      </c>
      <c r="H1051" s="370">
        <v>13611.349975585938</v>
      </c>
      <c r="I1051" s="370">
        <v>2330.9754524230957</v>
      </c>
      <c r="M1051" s="371">
        <f t="shared" si="65"/>
        <v>13809.500161761191</v>
      </c>
      <c r="N1051" s="329">
        <f t="shared" si="66"/>
        <v>0</v>
      </c>
      <c r="T1051" s="331">
        <v>0</v>
      </c>
      <c r="U1051" s="328">
        <f>VLOOKUP(C1051,METADATA!$J$5:$Q$29,IF(E1051="HI",2,IF(E1051="LO",6,10))+IF(T1051=1,2,IF(D1051=7,1,(IF(WEEKDAY(B1051)=1,2,IF(WEEKDAY(B1051)=7,1,0))))))</f>
        <v>2</v>
      </c>
      <c r="V1051" s="328">
        <f>VLOOKUP(C1051,METADATA!$A$5:$H$29,IF(E1051="HI",2,IF(E1051="LO",6,10))+IF(T1051=1,2,IF(D1051=7,1,(IF(WEEKDAY(B1051)=1,2,IF(WEEKDAY(B1051)=7,1,0))))))</f>
        <v>2</v>
      </c>
    </row>
    <row r="1052" spans="2:22">
      <c r="B1052" s="318">
        <f t="shared" ref="B1052:B1115" si="67">B1028+1</f>
        <v>46156</v>
      </c>
      <c r="C1052" s="312">
        <v>16</v>
      </c>
      <c r="D1052" s="368">
        <f>IFERROR((INDEX(METADATA!$T$2:$T$20,MATCH(B1052,METADATA!$S$2:$S$20,0))),0)</f>
        <v>0</v>
      </c>
      <c r="E1052" s="312" t="str">
        <f t="shared" si="64"/>
        <v>LO</v>
      </c>
      <c r="F1052" s="369">
        <f>VLOOKUP(C1052,METADATA!$A$5:$H$29,IF(E1052="HI",2,IF(E1052="LO",6,10))+IF(D1052=1,2,IF(D1052=7,1,(IF(WEEKDAY(B1052)=1,2,IF(WEEKDAY(B1052)=7,1,0))))))</f>
        <v>2</v>
      </c>
      <c r="G1052" s="369">
        <f>VLOOKUP(C1052,METADATA!$J$5:$Q$29,IF(E1052="HI",2,IF(E1052="LO",6,10))+IF(D1052=1,2,IF(D1052=7,1,(IF(WEEKDAY(B1052)=1,2,IF(WEEKDAY(B1052)=7,1,0))))))</f>
        <v>2</v>
      </c>
      <c r="H1052" s="370">
        <v>13628.570129394531</v>
      </c>
      <c r="I1052" s="370">
        <v>2404.1279907226563</v>
      </c>
      <c r="M1052" s="371">
        <f t="shared" si="65"/>
        <v>13838.994008510916</v>
      </c>
      <c r="N1052" s="329">
        <f t="shared" si="66"/>
        <v>0</v>
      </c>
      <c r="T1052" s="331">
        <v>0</v>
      </c>
      <c r="U1052" s="328">
        <f>VLOOKUP(C1052,METADATA!$J$5:$Q$29,IF(E1052="HI",2,IF(E1052="LO",6,10))+IF(T1052=1,2,IF(D1052=7,1,(IF(WEEKDAY(B1052)=1,2,IF(WEEKDAY(B1052)=7,1,0))))))</f>
        <v>2</v>
      </c>
      <c r="V1052" s="328">
        <f>VLOOKUP(C1052,METADATA!$A$5:$H$29,IF(E1052="HI",2,IF(E1052="LO",6,10))+IF(T1052=1,2,IF(D1052=7,1,(IF(WEEKDAY(B1052)=1,2,IF(WEEKDAY(B1052)=7,1,0))))))</f>
        <v>2</v>
      </c>
    </row>
    <row r="1053" spans="2:22">
      <c r="B1053" s="318">
        <f t="shared" si="67"/>
        <v>46156</v>
      </c>
      <c r="C1053" s="312">
        <v>17</v>
      </c>
      <c r="D1053" s="368">
        <f>IFERROR((INDEX(METADATA!$T$2:$T$20,MATCH(B1053,METADATA!$S$2:$S$20,0))),0)</f>
        <v>0</v>
      </c>
      <c r="E1053" s="312" t="str">
        <f t="shared" si="64"/>
        <v>LO</v>
      </c>
      <c r="F1053" s="369">
        <f>VLOOKUP(C1053,METADATA!$A$5:$H$29,IF(E1053="HI",2,IF(E1053="LO",6,10))+IF(D1053=1,2,IF(D1053=7,1,(IF(WEEKDAY(B1053)=1,2,IF(WEEKDAY(B1053)=7,1,0))))))</f>
        <v>2</v>
      </c>
      <c r="G1053" s="369">
        <f>VLOOKUP(C1053,METADATA!$J$5:$Q$29,IF(E1053="HI",2,IF(E1053="LO",6,10))+IF(D1053=1,2,IF(D1053=7,1,(IF(WEEKDAY(B1053)=1,2,IF(WEEKDAY(B1053)=7,1,0))))))</f>
        <v>2</v>
      </c>
      <c r="H1053" s="370">
        <v>13675.940124511719</v>
      </c>
      <c r="I1053" s="370">
        <v>2288.8550090789795</v>
      </c>
      <c r="M1053" s="371">
        <f t="shared" si="65"/>
        <v>13866.152874601359</v>
      </c>
      <c r="N1053" s="329">
        <f t="shared" si="66"/>
        <v>0</v>
      </c>
      <c r="T1053" s="331">
        <v>0</v>
      </c>
      <c r="U1053" s="328">
        <f>VLOOKUP(C1053,METADATA!$J$5:$Q$29,IF(E1053="HI",2,IF(E1053="LO",6,10))+IF(T1053=1,2,IF(D1053=7,1,(IF(WEEKDAY(B1053)=1,2,IF(WEEKDAY(B1053)=7,1,0))))))</f>
        <v>2</v>
      </c>
      <c r="V1053" s="328">
        <f>VLOOKUP(C1053,METADATA!$A$5:$H$29,IF(E1053="HI",2,IF(E1053="LO",6,10))+IF(T1053=1,2,IF(D1053=7,1,(IF(WEEKDAY(B1053)=1,2,IF(WEEKDAY(B1053)=7,1,0))))))</f>
        <v>2</v>
      </c>
    </row>
    <row r="1054" spans="2:22">
      <c r="B1054" s="318">
        <f t="shared" si="67"/>
        <v>46156</v>
      </c>
      <c r="C1054" s="312">
        <v>18</v>
      </c>
      <c r="D1054" s="368">
        <f>IFERROR((INDEX(METADATA!$T$2:$T$20,MATCH(B1054,METADATA!$S$2:$S$20,0))),0)</f>
        <v>0</v>
      </c>
      <c r="E1054" s="312" t="str">
        <f t="shared" si="64"/>
        <v>LO</v>
      </c>
      <c r="F1054" s="369">
        <f>VLOOKUP(C1054,METADATA!$A$5:$H$29,IF(E1054="HI",2,IF(E1054="LO",6,10))+IF(D1054=1,2,IF(D1054=7,1,(IF(WEEKDAY(B1054)=1,2,IF(WEEKDAY(B1054)=7,1,0))))))</f>
        <v>1</v>
      </c>
      <c r="G1054" s="369">
        <f>VLOOKUP(C1054,METADATA!$J$5:$Q$29,IF(E1054="HI",2,IF(E1054="LO",6,10))+IF(D1054=1,2,IF(D1054=7,1,(IF(WEEKDAY(B1054)=1,2,IF(WEEKDAY(B1054)=7,1,0))))))</f>
        <v>1</v>
      </c>
      <c r="H1054" s="370">
        <v>13785.304931640625</v>
      </c>
      <c r="I1054" s="370">
        <v>2258.8324794769287</v>
      </c>
      <c r="M1054" s="371">
        <f t="shared" si="65"/>
        <v>13969.143002656076</v>
      </c>
      <c r="N1054" s="329">
        <f t="shared" si="66"/>
        <v>0</v>
      </c>
      <c r="T1054" s="331">
        <v>0</v>
      </c>
      <c r="U1054" s="328">
        <f>VLOOKUP(C1054,METADATA!$J$5:$Q$29,IF(E1054="HI",2,IF(E1054="LO",6,10))+IF(T1054=1,2,IF(D1054=7,1,(IF(WEEKDAY(B1054)=1,2,IF(WEEKDAY(B1054)=7,1,0))))))</f>
        <v>1</v>
      </c>
      <c r="V1054" s="328">
        <f>VLOOKUP(C1054,METADATA!$A$5:$H$29,IF(E1054="HI",2,IF(E1054="LO",6,10))+IF(T1054=1,2,IF(D1054=7,1,(IF(WEEKDAY(B1054)=1,2,IF(WEEKDAY(B1054)=7,1,0))))))</f>
        <v>1</v>
      </c>
    </row>
    <row r="1055" spans="2:22">
      <c r="B1055" s="318">
        <f t="shared" si="67"/>
        <v>46156</v>
      </c>
      <c r="C1055" s="312">
        <v>19</v>
      </c>
      <c r="D1055" s="368">
        <f>IFERROR((INDEX(METADATA!$T$2:$T$20,MATCH(B1055,METADATA!$S$2:$S$20,0))),0)</f>
        <v>0</v>
      </c>
      <c r="E1055" s="312" t="str">
        <f t="shared" si="64"/>
        <v>LO</v>
      </c>
      <c r="F1055" s="369">
        <f>VLOOKUP(C1055,METADATA!$A$5:$H$29,IF(E1055="HI",2,IF(E1055="LO",6,10))+IF(D1055=1,2,IF(D1055=7,1,(IF(WEEKDAY(B1055)=1,2,IF(WEEKDAY(B1055)=7,1,0))))))</f>
        <v>1</v>
      </c>
      <c r="G1055" s="369">
        <f>VLOOKUP(C1055,METADATA!$J$5:$Q$29,IF(E1055="HI",2,IF(E1055="LO",6,10))+IF(D1055=1,2,IF(D1055=7,1,(IF(WEEKDAY(B1055)=1,2,IF(WEEKDAY(B1055)=7,1,0))))))</f>
        <v>1</v>
      </c>
      <c r="H1055" s="370">
        <v>13842.375183105469</v>
      </c>
      <c r="I1055" s="370">
        <v>2341.2494640350342</v>
      </c>
      <c r="M1055" s="371">
        <f t="shared" si="65"/>
        <v>14038.974313057863</v>
      </c>
      <c r="N1055" s="329">
        <f t="shared" si="66"/>
        <v>0</v>
      </c>
      <c r="T1055" s="331">
        <v>0</v>
      </c>
      <c r="U1055" s="328">
        <f>VLOOKUP(C1055,METADATA!$J$5:$Q$29,IF(E1055="HI",2,IF(E1055="LO",6,10))+IF(T1055=1,2,IF(D1055=7,1,(IF(WEEKDAY(B1055)=1,2,IF(WEEKDAY(B1055)=7,1,0))))))</f>
        <v>1</v>
      </c>
      <c r="V1055" s="328">
        <f>VLOOKUP(C1055,METADATA!$A$5:$H$29,IF(E1055="HI",2,IF(E1055="LO",6,10))+IF(T1055=1,2,IF(D1055=7,1,(IF(WEEKDAY(B1055)=1,2,IF(WEEKDAY(B1055)=7,1,0))))))</f>
        <v>1</v>
      </c>
    </row>
    <row r="1056" spans="2:22">
      <c r="B1056" s="318">
        <f t="shared" si="67"/>
        <v>46156</v>
      </c>
      <c r="C1056" s="312">
        <v>20</v>
      </c>
      <c r="D1056" s="368">
        <f>IFERROR((INDEX(METADATA!$T$2:$T$20,MATCH(B1056,METADATA!$S$2:$S$20,0))),0)</f>
        <v>0</v>
      </c>
      <c r="E1056" s="312" t="str">
        <f t="shared" si="64"/>
        <v>LO</v>
      </c>
      <c r="F1056" s="369">
        <f>VLOOKUP(C1056,METADATA!$A$5:$H$29,IF(E1056="HI",2,IF(E1056="LO",6,10))+IF(D1056=1,2,IF(D1056=7,1,(IF(WEEKDAY(B1056)=1,2,IF(WEEKDAY(B1056)=7,1,0))))))</f>
        <v>1</v>
      </c>
      <c r="G1056" s="369">
        <f>VLOOKUP(C1056,METADATA!$J$5:$Q$29,IF(E1056="HI",2,IF(E1056="LO",6,10))+IF(D1056=1,2,IF(D1056=7,1,(IF(WEEKDAY(B1056)=1,2,IF(WEEKDAY(B1056)=7,1,0))))))</f>
        <v>1</v>
      </c>
      <c r="H1056" s="370">
        <v>13815.184692382813</v>
      </c>
      <c r="I1056" s="370">
        <v>2296.7049741744995</v>
      </c>
      <c r="M1056" s="371">
        <f t="shared" si="65"/>
        <v>14004.791388058811</v>
      </c>
      <c r="N1056" s="329">
        <f t="shared" si="66"/>
        <v>0</v>
      </c>
      <c r="T1056" s="331">
        <v>0</v>
      </c>
      <c r="U1056" s="328">
        <f>VLOOKUP(C1056,METADATA!$J$5:$Q$29,IF(E1056="HI",2,IF(E1056="LO",6,10))+IF(T1056=1,2,IF(D1056=7,1,(IF(WEEKDAY(B1056)=1,2,IF(WEEKDAY(B1056)=7,1,0))))))</f>
        <v>1</v>
      </c>
      <c r="V1056" s="328">
        <f>VLOOKUP(C1056,METADATA!$A$5:$H$29,IF(E1056="HI",2,IF(E1056="LO",6,10))+IF(T1056=1,2,IF(D1056=7,1,(IF(WEEKDAY(B1056)=1,2,IF(WEEKDAY(B1056)=7,1,0))))))</f>
        <v>1</v>
      </c>
    </row>
    <row r="1057" spans="2:22">
      <c r="B1057" s="318">
        <f t="shared" si="67"/>
        <v>46156</v>
      </c>
      <c r="C1057" s="312">
        <v>21</v>
      </c>
      <c r="D1057" s="368">
        <f>IFERROR((INDEX(METADATA!$T$2:$T$20,MATCH(B1057,METADATA!$S$2:$S$20,0))),0)</f>
        <v>0</v>
      </c>
      <c r="E1057" s="312" t="str">
        <f t="shared" si="64"/>
        <v>LO</v>
      </c>
      <c r="F1057" s="369">
        <f>VLOOKUP(C1057,METADATA!$A$5:$H$29,IF(E1057="HI",2,IF(E1057="LO",6,10))+IF(D1057=1,2,IF(D1057=7,1,(IF(WEEKDAY(B1057)=1,2,IF(WEEKDAY(B1057)=7,1,0))))))</f>
        <v>2</v>
      </c>
      <c r="G1057" s="369">
        <f>VLOOKUP(C1057,METADATA!$J$5:$Q$29,IF(E1057="HI",2,IF(E1057="LO",6,10))+IF(D1057=1,2,IF(D1057=7,1,(IF(WEEKDAY(B1057)=1,2,IF(WEEKDAY(B1057)=7,1,0))))))</f>
        <v>2</v>
      </c>
      <c r="H1057" s="370">
        <v>13790.52001953125</v>
      </c>
      <c r="I1057" s="370">
        <v>2226.862494468689</v>
      </c>
      <c r="M1057" s="371">
        <f t="shared" si="65"/>
        <v>13969.157418340003</v>
      </c>
      <c r="N1057" s="329">
        <f t="shared" si="66"/>
        <v>0</v>
      </c>
      <c r="T1057" s="331">
        <v>0</v>
      </c>
      <c r="U1057" s="328">
        <f>VLOOKUP(C1057,METADATA!$J$5:$Q$29,IF(E1057="HI",2,IF(E1057="LO",6,10))+IF(T1057=1,2,IF(D1057=7,1,(IF(WEEKDAY(B1057)=1,2,IF(WEEKDAY(B1057)=7,1,0))))))</f>
        <v>2</v>
      </c>
      <c r="V1057" s="328">
        <f>VLOOKUP(C1057,METADATA!$A$5:$H$29,IF(E1057="HI",2,IF(E1057="LO",6,10))+IF(T1057=1,2,IF(D1057=7,1,(IF(WEEKDAY(B1057)=1,2,IF(WEEKDAY(B1057)=7,1,0))))))</f>
        <v>2</v>
      </c>
    </row>
    <row r="1058" spans="2:22">
      <c r="B1058" s="318">
        <f t="shared" si="67"/>
        <v>46156</v>
      </c>
      <c r="C1058" s="312">
        <v>22</v>
      </c>
      <c r="D1058" s="368">
        <f>IFERROR((INDEX(METADATA!$T$2:$T$20,MATCH(B1058,METADATA!$S$2:$S$20,0))),0)</f>
        <v>0</v>
      </c>
      <c r="E1058" s="312" t="str">
        <f t="shared" si="64"/>
        <v>LO</v>
      </c>
      <c r="F1058" s="369">
        <f>VLOOKUP(C1058,METADATA!$A$5:$H$29,IF(E1058="HI",2,IF(E1058="LO",6,10))+IF(D1058=1,2,IF(D1058=7,1,(IF(WEEKDAY(B1058)=1,2,IF(WEEKDAY(B1058)=7,1,0))))))</f>
        <v>3</v>
      </c>
      <c r="G1058" s="369">
        <f>VLOOKUP(C1058,METADATA!$J$5:$Q$29,IF(E1058="HI",2,IF(E1058="LO",6,10))+IF(D1058=1,2,IF(D1058=7,1,(IF(WEEKDAY(B1058)=1,2,IF(WEEKDAY(B1058)=7,1,0))))))</f>
        <v>3</v>
      </c>
      <c r="H1058" s="370">
        <v>13739.054748535156</v>
      </c>
      <c r="I1058" s="370">
        <v>2241.1695175170898</v>
      </c>
      <c r="M1058" s="371">
        <f t="shared" si="65"/>
        <v>13920.648914094996</v>
      </c>
      <c r="N1058" s="329">
        <f t="shared" si="66"/>
        <v>0</v>
      </c>
      <c r="T1058" s="331">
        <v>0</v>
      </c>
      <c r="U1058" s="328">
        <f>VLOOKUP(C1058,METADATA!$J$5:$Q$29,IF(E1058="HI",2,IF(E1058="LO",6,10))+IF(T1058=1,2,IF(D1058=7,1,(IF(WEEKDAY(B1058)=1,2,IF(WEEKDAY(B1058)=7,1,0))))))</f>
        <v>3</v>
      </c>
      <c r="V1058" s="328">
        <f>VLOOKUP(C1058,METADATA!$A$5:$H$29,IF(E1058="HI",2,IF(E1058="LO",6,10))+IF(T1058=1,2,IF(D1058=7,1,(IF(WEEKDAY(B1058)=1,2,IF(WEEKDAY(B1058)=7,1,0))))))</f>
        <v>3</v>
      </c>
    </row>
    <row r="1059" spans="2:22">
      <c r="B1059" s="318">
        <f t="shared" si="67"/>
        <v>46156</v>
      </c>
      <c r="C1059" s="312">
        <v>23</v>
      </c>
      <c r="D1059" s="368">
        <f>IFERROR((INDEX(METADATA!$T$2:$T$20,MATCH(B1059,METADATA!$S$2:$S$20,0))),0)</f>
        <v>0</v>
      </c>
      <c r="E1059" s="312" t="str">
        <f t="shared" si="64"/>
        <v>LO</v>
      </c>
      <c r="F1059" s="369">
        <f>VLOOKUP(C1059,METADATA!$A$5:$H$29,IF(E1059="HI",2,IF(E1059="LO",6,10))+IF(D1059=1,2,IF(D1059=7,1,(IF(WEEKDAY(B1059)=1,2,IF(WEEKDAY(B1059)=7,1,0))))))</f>
        <v>3</v>
      </c>
      <c r="G1059" s="369">
        <f>VLOOKUP(C1059,METADATA!$J$5:$Q$29,IF(E1059="HI",2,IF(E1059="LO",6,10))+IF(D1059=1,2,IF(D1059=7,1,(IF(WEEKDAY(B1059)=1,2,IF(WEEKDAY(B1059)=7,1,0))))))</f>
        <v>3</v>
      </c>
      <c r="H1059" s="370">
        <v>13702.375366210938</v>
      </c>
      <c r="I1059" s="370">
        <v>2337.4250574111938</v>
      </c>
      <c r="M1059" s="371">
        <f t="shared" si="65"/>
        <v>13900.311024418052</v>
      </c>
      <c r="N1059" s="329">
        <f t="shared" si="66"/>
        <v>0</v>
      </c>
      <c r="T1059" s="331">
        <v>0</v>
      </c>
      <c r="U1059" s="328">
        <f>VLOOKUP(C1059,METADATA!$J$5:$Q$29,IF(E1059="HI",2,IF(E1059="LO",6,10))+IF(T1059=1,2,IF(D1059=7,1,(IF(WEEKDAY(B1059)=1,2,IF(WEEKDAY(B1059)=7,1,0))))))</f>
        <v>3</v>
      </c>
      <c r="V1059" s="328">
        <f>VLOOKUP(C1059,METADATA!$A$5:$H$29,IF(E1059="HI",2,IF(E1059="LO",6,10))+IF(T1059=1,2,IF(D1059=7,1,(IF(WEEKDAY(B1059)=1,2,IF(WEEKDAY(B1059)=7,1,0))))))</f>
        <v>3</v>
      </c>
    </row>
    <row r="1060" spans="2:22">
      <c r="B1060" s="318">
        <f t="shared" si="67"/>
        <v>46157</v>
      </c>
      <c r="C1060" s="312">
        <v>0</v>
      </c>
      <c r="D1060" s="368">
        <f>IFERROR((INDEX(METADATA!$T$2:$T$20,MATCH(B1060,METADATA!$S$2:$S$20,0))),0)</f>
        <v>0</v>
      </c>
      <c r="E1060" s="312" t="str">
        <f t="shared" si="64"/>
        <v>LO</v>
      </c>
      <c r="F1060" s="369">
        <f>VLOOKUP(C1060,METADATA!$A$5:$H$29,IF(E1060="HI",2,IF(E1060="LO",6,10))+IF(D1060=1,2,IF(D1060=7,1,(IF(WEEKDAY(B1060)=1,2,IF(WEEKDAY(B1060)=7,1,0))))))</f>
        <v>3</v>
      </c>
      <c r="G1060" s="369">
        <f>VLOOKUP(C1060,METADATA!$J$5:$Q$29,IF(E1060="HI",2,IF(E1060="LO",6,10))+IF(D1060=1,2,IF(D1060=7,1,(IF(WEEKDAY(B1060)=1,2,IF(WEEKDAY(B1060)=7,1,0))))))</f>
        <v>3</v>
      </c>
      <c r="H1060" s="370">
        <v>13852.674926757813</v>
      </c>
      <c r="I1060" s="370">
        <v>2387.3579936027527</v>
      </c>
      <c r="M1060" s="371">
        <f t="shared" si="65"/>
        <v>14056.887308933066</v>
      </c>
      <c r="N1060" s="329">
        <f t="shared" si="66"/>
        <v>0</v>
      </c>
      <c r="T1060" s="331">
        <v>0</v>
      </c>
      <c r="U1060" s="328">
        <f>VLOOKUP(C1060,METADATA!$J$5:$Q$29,IF(E1060="HI",2,IF(E1060="LO",6,10))+IF(T1060=1,2,IF(D1060=7,1,(IF(WEEKDAY(B1060)=1,2,IF(WEEKDAY(B1060)=7,1,0))))))</f>
        <v>3</v>
      </c>
      <c r="V1060" s="328">
        <f>VLOOKUP(C1060,METADATA!$A$5:$H$29,IF(E1060="HI",2,IF(E1060="LO",6,10))+IF(T1060=1,2,IF(D1060=7,1,(IF(WEEKDAY(B1060)=1,2,IF(WEEKDAY(B1060)=7,1,0))))))</f>
        <v>3</v>
      </c>
    </row>
    <row r="1061" spans="2:22">
      <c r="B1061" s="318">
        <f t="shared" si="67"/>
        <v>46157</v>
      </c>
      <c r="C1061" s="312">
        <v>1</v>
      </c>
      <c r="D1061" s="368">
        <f>IFERROR((INDEX(METADATA!$T$2:$T$20,MATCH(B1061,METADATA!$S$2:$S$20,0))),0)</f>
        <v>0</v>
      </c>
      <c r="E1061" s="312" t="str">
        <f t="shared" si="64"/>
        <v>LO</v>
      </c>
      <c r="F1061" s="369">
        <f>VLOOKUP(C1061,METADATA!$A$5:$H$29,IF(E1061="HI",2,IF(E1061="LO",6,10))+IF(D1061=1,2,IF(D1061=7,1,(IF(WEEKDAY(B1061)=1,2,IF(WEEKDAY(B1061)=7,1,0))))))</f>
        <v>3</v>
      </c>
      <c r="G1061" s="369">
        <f>VLOOKUP(C1061,METADATA!$J$5:$Q$29,IF(E1061="HI",2,IF(E1061="LO",6,10))+IF(D1061=1,2,IF(D1061=7,1,(IF(WEEKDAY(B1061)=1,2,IF(WEEKDAY(B1061)=7,1,0))))))</f>
        <v>3</v>
      </c>
      <c r="H1061" s="370">
        <v>13828.730407714844</v>
      </c>
      <c r="I1061" s="370">
        <v>2140.9205207824707</v>
      </c>
      <c r="M1061" s="371">
        <f t="shared" si="65"/>
        <v>13993.474385068372</v>
      </c>
      <c r="N1061" s="329">
        <f t="shared" si="66"/>
        <v>0</v>
      </c>
      <c r="T1061" s="331">
        <v>0</v>
      </c>
      <c r="U1061" s="328">
        <f>VLOOKUP(C1061,METADATA!$J$5:$Q$29,IF(E1061="HI",2,IF(E1061="LO",6,10))+IF(T1061=1,2,IF(D1061=7,1,(IF(WEEKDAY(B1061)=1,2,IF(WEEKDAY(B1061)=7,1,0))))))</f>
        <v>3</v>
      </c>
      <c r="V1061" s="328">
        <f>VLOOKUP(C1061,METADATA!$A$5:$H$29,IF(E1061="HI",2,IF(E1061="LO",6,10))+IF(T1061=1,2,IF(D1061=7,1,(IF(WEEKDAY(B1061)=1,2,IF(WEEKDAY(B1061)=7,1,0))))))</f>
        <v>3</v>
      </c>
    </row>
    <row r="1062" spans="2:22">
      <c r="B1062" s="318">
        <f t="shared" si="67"/>
        <v>46157</v>
      </c>
      <c r="C1062" s="312">
        <v>2</v>
      </c>
      <c r="D1062" s="368">
        <f>IFERROR((INDEX(METADATA!$T$2:$T$20,MATCH(B1062,METADATA!$S$2:$S$20,0))),0)</f>
        <v>0</v>
      </c>
      <c r="E1062" s="312" t="str">
        <f t="shared" si="64"/>
        <v>LO</v>
      </c>
      <c r="F1062" s="369">
        <f>VLOOKUP(C1062,METADATA!$A$5:$H$29,IF(E1062="HI",2,IF(E1062="LO",6,10))+IF(D1062=1,2,IF(D1062=7,1,(IF(WEEKDAY(B1062)=1,2,IF(WEEKDAY(B1062)=7,1,0))))))</f>
        <v>3</v>
      </c>
      <c r="G1062" s="369">
        <f>VLOOKUP(C1062,METADATA!$J$5:$Q$29,IF(E1062="HI",2,IF(E1062="LO",6,10))+IF(D1062=1,2,IF(D1062=7,1,(IF(WEEKDAY(B1062)=1,2,IF(WEEKDAY(B1062)=7,1,0))))))</f>
        <v>3</v>
      </c>
      <c r="H1062" s="370">
        <v>13758.290283203125</v>
      </c>
      <c r="I1062" s="370">
        <v>2122.3924803733826</v>
      </c>
      <c r="M1062" s="371">
        <f t="shared" si="65"/>
        <v>13921.030901396169</v>
      </c>
      <c r="N1062" s="329">
        <f t="shared" si="66"/>
        <v>0</v>
      </c>
      <c r="T1062" s="331">
        <v>0</v>
      </c>
      <c r="U1062" s="328">
        <f>VLOOKUP(C1062,METADATA!$J$5:$Q$29,IF(E1062="HI",2,IF(E1062="LO",6,10))+IF(T1062=1,2,IF(D1062=7,1,(IF(WEEKDAY(B1062)=1,2,IF(WEEKDAY(B1062)=7,1,0))))))</f>
        <v>3</v>
      </c>
      <c r="V1062" s="328">
        <f>VLOOKUP(C1062,METADATA!$A$5:$H$29,IF(E1062="HI",2,IF(E1062="LO",6,10))+IF(T1062=1,2,IF(D1062=7,1,(IF(WEEKDAY(B1062)=1,2,IF(WEEKDAY(B1062)=7,1,0))))))</f>
        <v>3</v>
      </c>
    </row>
    <row r="1063" spans="2:22">
      <c r="B1063" s="318">
        <f t="shared" si="67"/>
        <v>46157</v>
      </c>
      <c r="C1063" s="312">
        <v>3</v>
      </c>
      <c r="D1063" s="368">
        <f>IFERROR((INDEX(METADATA!$T$2:$T$20,MATCH(B1063,METADATA!$S$2:$S$20,0))),0)</f>
        <v>0</v>
      </c>
      <c r="E1063" s="312" t="str">
        <f t="shared" si="64"/>
        <v>LO</v>
      </c>
      <c r="F1063" s="369">
        <f>VLOOKUP(C1063,METADATA!$A$5:$H$29,IF(E1063="HI",2,IF(E1063="LO",6,10))+IF(D1063=1,2,IF(D1063=7,1,(IF(WEEKDAY(B1063)=1,2,IF(WEEKDAY(B1063)=7,1,0))))))</f>
        <v>3</v>
      </c>
      <c r="G1063" s="369">
        <f>VLOOKUP(C1063,METADATA!$J$5:$Q$29,IF(E1063="HI",2,IF(E1063="LO",6,10))+IF(D1063=1,2,IF(D1063=7,1,(IF(WEEKDAY(B1063)=1,2,IF(WEEKDAY(B1063)=7,1,0))))))</f>
        <v>3</v>
      </c>
      <c r="H1063" s="370">
        <v>13460.240112304688</v>
      </c>
      <c r="I1063" s="370">
        <v>1858.918484210968</v>
      </c>
      <c r="M1063" s="371">
        <f t="shared" si="65"/>
        <v>13587.996239763877</v>
      </c>
      <c r="N1063" s="329">
        <f t="shared" si="66"/>
        <v>0</v>
      </c>
      <c r="T1063" s="331">
        <v>0</v>
      </c>
      <c r="U1063" s="328">
        <f>VLOOKUP(C1063,METADATA!$J$5:$Q$29,IF(E1063="HI",2,IF(E1063="LO",6,10))+IF(T1063=1,2,IF(D1063=7,1,(IF(WEEKDAY(B1063)=1,2,IF(WEEKDAY(B1063)=7,1,0))))))</f>
        <v>3</v>
      </c>
      <c r="V1063" s="328">
        <f>VLOOKUP(C1063,METADATA!$A$5:$H$29,IF(E1063="HI",2,IF(E1063="LO",6,10))+IF(T1063=1,2,IF(D1063=7,1,(IF(WEEKDAY(B1063)=1,2,IF(WEEKDAY(B1063)=7,1,0))))))</f>
        <v>3</v>
      </c>
    </row>
    <row r="1064" spans="2:22">
      <c r="B1064" s="318">
        <f t="shared" si="67"/>
        <v>46157</v>
      </c>
      <c r="C1064" s="312">
        <v>4</v>
      </c>
      <c r="D1064" s="368">
        <f>IFERROR((INDEX(METADATA!$T$2:$T$20,MATCH(B1064,METADATA!$S$2:$S$20,0))),0)</f>
        <v>0</v>
      </c>
      <c r="E1064" s="312" t="str">
        <f t="shared" si="64"/>
        <v>LO</v>
      </c>
      <c r="F1064" s="369">
        <f>VLOOKUP(C1064,METADATA!$A$5:$H$29,IF(E1064="HI",2,IF(E1064="LO",6,10))+IF(D1064=1,2,IF(D1064=7,1,(IF(WEEKDAY(B1064)=1,2,IF(WEEKDAY(B1064)=7,1,0))))))</f>
        <v>3</v>
      </c>
      <c r="G1064" s="369">
        <f>VLOOKUP(C1064,METADATA!$J$5:$Q$29,IF(E1064="HI",2,IF(E1064="LO",6,10))+IF(D1064=1,2,IF(D1064=7,1,(IF(WEEKDAY(B1064)=1,2,IF(WEEKDAY(B1064)=7,1,0))))))</f>
        <v>3</v>
      </c>
      <c r="H1064" s="370">
        <v>13478.310180664063</v>
      </c>
      <c r="I1064" s="370">
        <v>1875.6489659547806</v>
      </c>
      <c r="M1064" s="371">
        <f t="shared" si="65"/>
        <v>13608.192546024609</v>
      </c>
      <c r="N1064" s="329">
        <f t="shared" si="66"/>
        <v>0</v>
      </c>
      <c r="T1064" s="331">
        <v>0</v>
      </c>
      <c r="U1064" s="328">
        <f>VLOOKUP(C1064,METADATA!$J$5:$Q$29,IF(E1064="HI",2,IF(E1064="LO",6,10))+IF(T1064=1,2,IF(D1064=7,1,(IF(WEEKDAY(B1064)=1,2,IF(WEEKDAY(B1064)=7,1,0))))))</f>
        <v>3</v>
      </c>
      <c r="V1064" s="328">
        <f>VLOOKUP(C1064,METADATA!$A$5:$H$29,IF(E1064="HI",2,IF(E1064="LO",6,10))+IF(T1064=1,2,IF(D1064=7,1,(IF(WEEKDAY(B1064)=1,2,IF(WEEKDAY(B1064)=7,1,0))))))</f>
        <v>3</v>
      </c>
    </row>
    <row r="1065" spans="2:22">
      <c r="B1065" s="318">
        <f t="shared" si="67"/>
        <v>46157</v>
      </c>
      <c r="C1065" s="312">
        <v>5</v>
      </c>
      <c r="D1065" s="368">
        <f>IFERROR((INDEX(METADATA!$T$2:$T$20,MATCH(B1065,METADATA!$S$2:$S$20,0))),0)</f>
        <v>0</v>
      </c>
      <c r="E1065" s="312" t="str">
        <f t="shared" si="64"/>
        <v>LO</v>
      </c>
      <c r="F1065" s="369">
        <f>VLOOKUP(C1065,METADATA!$A$5:$H$29,IF(E1065="HI",2,IF(E1065="LO",6,10))+IF(D1065=1,2,IF(D1065=7,1,(IF(WEEKDAY(B1065)=1,2,IF(WEEKDAY(B1065)=7,1,0))))))</f>
        <v>3</v>
      </c>
      <c r="G1065" s="369">
        <f>VLOOKUP(C1065,METADATA!$J$5:$Q$29,IF(E1065="HI",2,IF(E1065="LO",6,10))+IF(D1065=1,2,IF(D1065=7,1,(IF(WEEKDAY(B1065)=1,2,IF(WEEKDAY(B1065)=7,1,0))))))</f>
        <v>3</v>
      </c>
      <c r="H1065" s="370">
        <v>13675.490295410156</v>
      </c>
      <c r="I1065" s="370">
        <v>2059.2239873409271</v>
      </c>
      <c r="M1065" s="371">
        <f t="shared" si="65"/>
        <v>13829.657922374567</v>
      </c>
      <c r="N1065" s="329">
        <f t="shared" si="66"/>
        <v>0</v>
      </c>
      <c r="T1065" s="331">
        <v>0</v>
      </c>
      <c r="U1065" s="328">
        <f>VLOOKUP(C1065,METADATA!$J$5:$Q$29,IF(E1065="HI",2,IF(E1065="LO",6,10))+IF(T1065=1,2,IF(D1065=7,1,(IF(WEEKDAY(B1065)=1,2,IF(WEEKDAY(B1065)=7,1,0))))))</f>
        <v>3</v>
      </c>
      <c r="V1065" s="328">
        <f>VLOOKUP(C1065,METADATA!$A$5:$H$29,IF(E1065="HI",2,IF(E1065="LO",6,10))+IF(T1065=1,2,IF(D1065=7,1,(IF(WEEKDAY(B1065)=1,2,IF(WEEKDAY(B1065)=7,1,0))))))</f>
        <v>3</v>
      </c>
    </row>
    <row r="1066" spans="2:22">
      <c r="B1066" s="318">
        <f t="shared" si="67"/>
        <v>46157</v>
      </c>
      <c r="C1066" s="312">
        <v>6</v>
      </c>
      <c r="D1066" s="368">
        <f>IFERROR((INDEX(METADATA!$T$2:$T$20,MATCH(B1066,METADATA!$S$2:$S$20,0))),0)</f>
        <v>0</v>
      </c>
      <c r="E1066" s="312" t="str">
        <f t="shared" si="64"/>
        <v>LO</v>
      </c>
      <c r="F1066" s="369">
        <f>VLOOKUP(C1066,METADATA!$A$5:$H$29,IF(E1066="HI",2,IF(E1066="LO",6,10))+IF(D1066=1,2,IF(D1066=7,1,(IF(WEEKDAY(B1066)=1,2,IF(WEEKDAY(B1066)=7,1,0))))))</f>
        <v>2</v>
      </c>
      <c r="G1066" s="369">
        <f>VLOOKUP(C1066,METADATA!$J$5:$Q$29,IF(E1066="HI",2,IF(E1066="LO",6,10))+IF(D1066=1,2,IF(D1066=7,1,(IF(WEEKDAY(B1066)=1,2,IF(WEEKDAY(B1066)=7,1,0))))))</f>
        <v>2</v>
      </c>
      <c r="H1066" s="370">
        <v>13760.449951171875</v>
      </c>
      <c r="I1066" s="370">
        <v>2071.4635391235352</v>
      </c>
      <c r="M1066" s="371">
        <f t="shared" si="65"/>
        <v>13915.492950399719</v>
      </c>
      <c r="N1066" s="329">
        <f t="shared" si="66"/>
        <v>0</v>
      </c>
      <c r="T1066" s="331">
        <v>0</v>
      </c>
      <c r="U1066" s="328">
        <f>VLOOKUP(C1066,METADATA!$J$5:$Q$29,IF(E1066="HI",2,IF(E1066="LO",6,10))+IF(T1066=1,2,IF(D1066=7,1,(IF(WEEKDAY(B1066)=1,2,IF(WEEKDAY(B1066)=7,1,0))))))</f>
        <v>2</v>
      </c>
      <c r="V1066" s="328">
        <f>VLOOKUP(C1066,METADATA!$A$5:$H$29,IF(E1066="HI",2,IF(E1066="LO",6,10))+IF(T1066=1,2,IF(D1066=7,1,(IF(WEEKDAY(B1066)=1,2,IF(WEEKDAY(B1066)=7,1,0))))))</f>
        <v>2</v>
      </c>
    </row>
    <row r="1067" spans="2:22">
      <c r="B1067" s="318">
        <f t="shared" si="67"/>
        <v>46157</v>
      </c>
      <c r="C1067" s="312">
        <v>7</v>
      </c>
      <c r="D1067" s="368">
        <f>IFERROR((INDEX(METADATA!$T$2:$T$20,MATCH(B1067,METADATA!$S$2:$S$20,0))),0)</f>
        <v>0</v>
      </c>
      <c r="E1067" s="312" t="str">
        <f t="shared" si="64"/>
        <v>LO</v>
      </c>
      <c r="F1067" s="369">
        <f>VLOOKUP(C1067,METADATA!$A$5:$H$29,IF(E1067="HI",2,IF(E1067="LO",6,10))+IF(D1067=1,2,IF(D1067=7,1,(IF(WEEKDAY(B1067)=1,2,IF(WEEKDAY(B1067)=7,1,0))))))</f>
        <v>1</v>
      </c>
      <c r="G1067" s="369">
        <f>VLOOKUP(C1067,METADATA!$J$5:$Q$29,IF(E1067="HI",2,IF(E1067="LO",6,10))+IF(D1067=1,2,IF(D1067=7,1,(IF(WEEKDAY(B1067)=1,2,IF(WEEKDAY(B1067)=7,1,0))))))</f>
        <v>1</v>
      </c>
      <c r="H1067" s="370">
        <v>13655.104919433594</v>
      </c>
      <c r="I1067" s="370">
        <v>2215.7040023803711</v>
      </c>
      <c r="M1067" s="371">
        <f t="shared" si="65"/>
        <v>13833.699237257688</v>
      </c>
      <c r="N1067" s="329">
        <f t="shared" si="66"/>
        <v>0</v>
      </c>
      <c r="T1067" s="331">
        <v>0</v>
      </c>
      <c r="U1067" s="328">
        <f>VLOOKUP(C1067,METADATA!$J$5:$Q$29,IF(E1067="HI",2,IF(E1067="LO",6,10))+IF(T1067=1,2,IF(D1067=7,1,(IF(WEEKDAY(B1067)=1,2,IF(WEEKDAY(B1067)=7,1,0))))))</f>
        <v>1</v>
      </c>
      <c r="V1067" s="328">
        <f>VLOOKUP(C1067,METADATA!$A$5:$H$29,IF(E1067="HI",2,IF(E1067="LO",6,10))+IF(T1067=1,2,IF(D1067=7,1,(IF(WEEKDAY(B1067)=1,2,IF(WEEKDAY(B1067)=7,1,0))))))</f>
        <v>1</v>
      </c>
    </row>
    <row r="1068" spans="2:22">
      <c r="B1068" s="318">
        <f t="shared" si="67"/>
        <v>46157</v>
      </c>
      <c r="C1068" s="312">
        <v>8</v>
      </c>
      <c r="D1068" s="368">
        <f>IFERROR((INDEX(METADATA!$T$2:$T$20,MATCH(B1068,METADATA!$S$2:$S$20,0))),0)</f>
        <v>0</v>
      </c>
      <c r="E1068" s="312" t="str">
        <f t="shared" si="64"/>
        <v>LO</v>
      </c>
      <c r="F1068" s="369">
        <f>VLOOKUP(C1068,METADATA!$A$5:$H$29,IF(E1068="HI",2,IF(E1068="LO",6,10))+IF(D1068=1,2,IF(D1068=7,1,(IF(WEEKDAY(B1068)=1,2,IF(WEEKDAY(B1068)=7,1,0))))))</f>
        <v>1</v>
      </c>
      <c r="G1068" s="369">
        <f>VLOOKUP(C1068,METADATA!$J$5:$Q$29,IF(E1068="HI",2,IF(E1068="LO",6,10))+IF(D1068=1,2,IF(D1068=7,1,(IF(WEEKDAY(B1068)=1,2,IF(WEEKDAY(B1068)=7,1,0))))))</f>
        <v>1</v>
      </c>
      <c r="H1068" s="370">
        <v>13652.835021972656</v>
      </c>
      <c r="I1068" s="370">
        <v>2133.5990123748779</v>
      </c>
      <c r="M1068" s="371">
        <f t="shared" si="65"/>
        <v>13818.543659981327</v>
      </c>
      <c r="N1068" s="329">
        <f t="shared" si="66"/>
        <v>0</v>
      </c>
      <c r="T1068" s="331">
        <v>0</v>
      </c>
      <c r="U1068" s="328">
        <f>VLOOKUP(C1068,METADATA!$J$5:$Q$29,IF(E1068="HI",2,IF(E1068="LO",6,10))+IF(T1068=1,2,IF(D1068=7,1,(IF(WEEKDAY(B1068)=1,2,IF(WEEKDAY(B1068)=7,1,0))))))</f>
        <v>1</v>
      </c>
      <c r="V1068" s="328">
        <f>VLOOKUP(C1068,METADATA!$A$5:$H$29,IF(E1068="HI",2,IF(E1068="LO",6,10))+IF(T1068=1,2,IF(D1068=7,1,(IF(WEEKDAY(B1068)=1,2,IF(WEEKDAY(B1068)=7,1,0))))))</f>
        <v>1</v>
      </c>
    </row>
    <row r="1069" spans="2:22">
      <c r="B1069" s="318">
        <f t="shared" si="67"/>
        <v>46157</v>
      </c>
      <c r="C1069" s="312">
        <v>9</v>
      </c>
      <c r="D1069" s="368">
        <f>IFERROR((INDEX(METADATA!$T$2:$T$20,MATCH(B1069,METADATA!$S$2:$S$20,0))),0)</f>
        <v>0</v>
      </c>
      <c r="E1069" s="312" t="str">
        <f t="shared" si="64"/>
        <v>LO</v>
      </c>
      <c r="F1069" s="369">
        <f>VLOOKUP(C1069,METADATA!$A$5:$H$29,IF(E1069="HI",2,IF(E1069="LO",6,10))+IF(D1069=1,2,IF(D1069=7,1,(IF(WEEKDAY(B1069)=1,2,IF(WEEKDAY(B1069)=7,1,0))))))</f>
        <v>2</v>
      </c>
      <c r="G1069" s="369">
        <f>VLOOKUP(C1069,METADATA!$J$5:$Q$29,IF(E1069="HI",2,IF(E1069="LO",6,10))+IF(D1069=1,2,IF(D1069=7,1,(IF(WEEKDAY(B1069)=1,2,IF(WEEKDAY(B1069)=7,1,0))))))</f>
        <v>2</v>
      </c>
      <c r="H1069" s="370">
        <v>13720.199768066406</v>
      </c>
      <c r="I1069" s="370">
        <v>2096.016040802002</v>
      </c>
      <c r="M1069" s="371">
        <f t="shared" si="65"/>
        <v>13879.379125845247</v>
      </c>
      <c r="N1069" s="329">
        <f t="shared" si="66"/>
        <v>0</v>
      </c>
      <c r="T1069" s="331">
        <v>0</v>
      </c>
      <c r="U1069" s="328">
        <f>VLOOKUP(C1069,METADATA!$J$5:$Q$29,IF(E1069="HI",2,IF(E1069="LO",6,10))+IF(T1069=1,2,IF(D1069=7,1,(IF(WEEKDAY(B1069)=1,2,IF(WEEKDAY(B1069)=7,1,0))))))</f>
        <v>2</v>
      </c>
      <c r="V1069" s="328">
        <f>VLOOKUP(C1069,METADATA!$A$5:$H$29,IF(E1069="HI",2,IF(E1069="LO",6,10))+IF(T1069=1,2,IF(D1069=7,1,(IF(WEEKDAY(B1069)=1,2,IF(WEEKDAY(B1069)=7,1,0))))))</f>
        <v>2</v>
      </c>
    </row>
    <row r="1070" spans="2:22">
      <c r="B1070" s="318">
        <f t="shared" si="67"/>
        <v>46157</v>
      </c>
      <c r="C1070" s="312">
        <v>10</v>
      </c>
      <c r="D1070" s="368">
        <f>IFERROR((INDEX(METADATA!$T$2:$T$20,MATCH(B1070,METADATA!$S$2:$S$20,0))),0)</f>
        <v>0</v>
      </c>
      <c r="E1070" s="312" t="str">
        <f t="shared" si="64"/>
        <v>LO</v>
      </c>
      <c r="F1070" s="369">
        <f>VLOOKUP(C1070,METADATA!$A$5:$H$29,IF(E1070="HI",2,IF(E1070="LO",6,10))+IF(D1070=1,2,IF(D1070=7,1,(IF(WEEKDAY(B1070)=1,2,IF(WEEKDAY(B1070)=7,1,0))))))</f>
        <v>2</v>
      </c>
      <c r="G1070" s="369">
        <f>VLOOKUP(C1070,METADATA!$J$5:$Q$29,IF(E1070="HI",2,IF(E1070="LO",6,10))+IF(D1070=1,2,IF(D1070=7,1,(IF(WEEKDAY(B1070)=1,2,IF(WEEKDAY(B1070)=7,1,0))))))</f>
        <v>2</v>
      </c>
      <c r="H1070" s="370">
        <v>13727.434875488281</v>
      </c>
      <c r="I1070" s="370">
        <v>2165.1624965667725</v>
      </c>
      <c r="M1070" s="371">
        <f t="shared" si="65"/>
        <v>13897.136284044682</v>
      </c>
      <c r="N1070" s="329">
        <f t="shared" si="66"/>
        <v>0</v>
      </c>
      <c r="T1070" s="331">
        <v>0</v>
      </c>
      <c r="U1070" s="328">
        <f>VLOOKUP(C1070,METADATA!$J$5:$Q$29,IF(E1070="HI",2,IF(E1070="LO",6,10))+IF(T1070=1,2,IF(D1070=7,1,(IF(WEEKDAY(B1070)=1,2,IF(WEEKDAY(B1070)=7,1,0))))))</f>
        <v>2</v>
      </c>
      <c r="V1070" s="328">
        <f>VLOOKUP(C1070,METADATA!$A$5:$H$29,IF(E1070="HI",2,IF(E1070="LO",6,10))+IF(T1070=1,2,IF(D1070=7,1,(IF(WEEKDAY(B1070)=1,2,IF(WEEKDAY(B1070)=7,1,0))))))</f>
        <v>2</v>
      </c>
    </row>
    <row r="1071" spans="2:22">
      <c r="B1071" s="318">
        <f t="shared" si="67"/>
        <v>46157</v>
      </c>
      <c r="C1071" s="312">
        <v>11</v>
      </c>
      <c r="D1071" s="368">
        <f>IFERROR((INDEX(METADATA!$T$2:$T$20,MATCH(B1071,METADATA!$S$2:$S$20,0))),0)</f>
        <v>0</v>
      </c>
      <c r="E1071" s="312" t="str">
        <f t="shared" si="64"/>
        <v>LO</v>
      </c>
      <c r="F1071" s="369">
        <f>VLOOKUP(C1071,METADATA!$A$5:$H$29,IF(E1071="HI",2,IF(E1071="LO",6,10))+IF(D1071=1,2,IF(D1071=7,1,(IF(WEEKDAY(B1071)=1,2,IF(WEEKDAY(B1071)=7,1,0))))))</f>
        <v>2</v>
      </c>
      <c r="G1071" s="369">
        <f>VLOOKUP(C1071,METADATA!$J$5:$Q$29,IF(E1071="HI",2,IF(E1071="LO",6,10))+IF(D1071=1,2,IF(D1071=7,1,(IF(WEEKDAY(B1071)=1,2,IF(WEEKDAY(B1071)=7,1,0))))))</f>
        <v>2</v>
      </c>
      <c r="H1071" s="370">
        <v>13671.81005859375</v>
      </c>
      <c r="I1071" s="370">
        <v>2005.0064630508423</v>
      </c>
      <c r="M1071" s="371">
        <f t="shared" si="65"/>
        <v>13818.047662211218</v>
      </c>
      <c r="N1071" s="329">
        <f t="shared" si="66"/>
        <v>0</v>
      </c>
      <c r="T1071" s="331">
        <v>0</v>
      </c>
      <c r="U1071" s="328">
        <f>VLOOKUP(C1071,METADATA!$J$5:$Q$29,IF(E1071="HI",2,IF(E1071="LO",6,10))+IF(T1071=1,2,IF(D1071=7,1,(IF(WEEKDAY(B1071)=1,2,IF(WEEKDAY(B1071)=7,1,0))))))</f>
        <v>2</v>
      </c>
      <c r="V1071" s="328">
        <f>VLOOKUP(C1071,METADATA!$A$5:$H$29,IF(E1071="HI",2,IF(E1071="LO",6,10))+IF(T1071=1,2,IF(D1071=7,1,(IF(WEEKDAY(B1071)=1,2,IF(WEEKDAY(B1071)=7,1,0))))))</f>
        <v>2</v>
      </c>
    </row>
    <row r="1072" spans="2:22">
      <c r="B1072" s="318">
        <f t="shared" si="67"/>
        <v>46157</v>
      </c>
      <c r="C1072" s="312">
        <v>12</v>
      </c>
      <c r="D1072" s="368">
        <f>IFERROR((INDEX(METADATA!$T$2:$T$20,MATCH(B1072,METADATA!$S$2:$S$20,0))),0)</f>
        <v>0</v>
      </c>
      <c r="E1072" s="312" t="str">
        <f t="shared" si="64"/>
        <v>LO</v>
      </c>
      <c r="F1072" s="369">
        <f>VLOOKUP(C1072,METADATA!$A$5:$H$29,IF(E1072="HI",2,IF(E1072="LO",6,10))+IF(D1072=1,2,IF(D1072=7,1,(IF(WEEKDAY(B1072)=1,2,IF(WEEKDAY(B1072)=7,1,0))))))</f>
        <v>2</v>
      </c>
      <c r="G1072" s="369">
        <f>VLOOKUP(C1072,METADATA!$J$5:$Q$29,IF(E1072="HI",2,IF(E1072="LO",6,10))+IF(D1072=1,2,IF(D1072=7,1,(IF(WEEKDAY(B1072)=1,2,IF(WEEKDAY(B1072)=7,1,0))))))</f>
        <v>2</v>
      </c>
      <c r="H1072" s="370">
        <v>13590.125244140625</v>
      </c>
      <c r="I1072" s="370">
        <v>2015.1115036010742</v>
      </c>
      <c r="M1072" s="371">
        <f t="shared" si="65"/>
        <v>13738.710948388632</v>
      </c>
      <c r="N1072" s="329">
        <f t="shared" si="66"/>
        <v>0</v>
      </c>
      <c r="T1072" s="331">
        <v>0</v>
      </c>
      <c r="U1072" s="328">
        <f>VLOOKUP(C1072,METADATA!$J$5:$Q$29,IF(E1072="HI",2,IF(E1072="LO",6,10))+IF(T1072=1,2,IF(D1072=7,1,(IF(WEEKDAY(B1072)=1,2,IF(WEEKDAY(B1072)=7,1,0))))))</f>
        <v>2</v>
      </c>
      <c r="V1072" s="328">
        <f>VLOOKUP(C1072,METADATA!$A$5:$H$29,IF(E1072="HI",2,IF(E1072="LO",6,10))+IF(T1072=1,2,IF(D1072=7,1,(IF(WEEKDAY(B1072)=1,2,IF(WEEKDAY(B1072)=7,1,0))))))</f>
        <v>2</v>
      </c>
    </row>
    <row r="1073" spans="2:22">
      <c r="B1073" s="318">
        <f t="shared" si="67"/>
        <v>46157</v>
      </c>
      <c r="C1073" s="312">
        <v>13</v>
      </c>
      <c r="D1073" s="368">
        <f>IFERROR((INDEX(METADATA!$T$2:$T$20,MATCH(B1073,METADATA!$S$2:$S$20,0))),0)</f>
        <v>0</v>
      </c>
      <c r="E1073" s="312" t="str">
        <f t="shared" si="64"/>
        <v>LO</v>
      </c>
      <c r="F1073" s="369">
        <f>VLOOKUP(C1073,METADATA!$A$5:$H$29,IF(E1073="HI",2,IF(E1073="LO",6,10))+IF(D1073=1,2,IF(D1073=7,1,(IF(WEEKDAY(B1073)=1,2,IF(WEEKDAY(B1073)=7,1,0))))))</f>
        <v>2</v>
      </c>
      <c r="G1073" s="369">
        <f>VLOOKUP(C1073,METADATA!$J$5:$Q$29,IF(E1073="HI",2,IF(E1073="LO",6,10))+IF(D1073=1,2,IF(D1073=7,1,(IF(WEEKDAY(B1073)=1,2,IF(WEEKDAY(B1073)=7,1,0))))))</f>
        <v>2</v>
      </c>
      <c r="H1073" s="370">
        <v>13546.869812011719</v>
      </c>
      <c r="I1073" s="370">
        <v>1987.3700714111328</v>
      </c>
      <c r="M1073" s="371">
        <f t="shared" si="65"/>
        <v>13691.870635685071</v>
      </c>
      <c r="N1073" s="329">
        <f t="shared" si="66"/>
        <v>0</v>
      </c>
      <c r="T1073" s="331">
        <v>0</v>
      </c>
      <c r="U1073" s="328">
        <f>VLOOKUP(C1073,METADATA!$J$5:$Q$29,IF(E1073="HI",2,IF(E1073="LO",6,10))+IF(T1073=1,2,IF(D1073=7,1,(IF(WEEKDAY(B1073)=1,2,IF(WEEKDAY(B1073)=7,1,0))))))</f>
        <v>2</v>
      </c>
      <c r="V1073" s="328">
        <f>VLOOKUP(C1073,METADATA!$A$5:$H$29,IF(E1073="HI",2,IF(E1073="LO",6,10))+IF(T1073=1,2,IF(D1073=7,1,(IF(WEEKDAY(B1073)=1,2,IF(WEEKDAY(B1073)=7,1,0))))))</f>
        <v>2</v>
      </c>
    </row>
    <row r="1074" spans="2:22">
      <c r="B1074" s="318">
        <f t="shared" si="67"/>
        <v>46157</v>
      </c>
      <c r="C1074" s="312">
        <v>14</v>
      </c>
      <c r="D1074" s="368">
        <f>IFERROR((INDEX(METADATA!$T$2:$T$20,MATCH(B1074,METADATA!$S$2:$S$20,0))),0)</f>
        <v>0</v>
      </c>
      <c r="E1074" s="312" t="str">
        <f t="shared" si="64"/>
        <v>LO</v>
      </c>
      <c r="F1074" s="369">
        <f>VLOOKUP(C1074,METADATA!$A$5:$H$29,IF(E1074="HI",2,IF(E1074="LO",6,10))+IF(D1074=1,2,IF(D1074=7,1,(IF(WEEKDAY(B1074)=1,2,IF(WEEKDAY(B1074)=7,1,0))))))</f>
        <v>2</v>
      </c>
      <c r="G1074" s="369">
        <f>VLOOKUP(C1074,METADATA!$J$5:$Q$29,IF(E1074="HI",2,IF(E1074="LO",6,10))+IF(D1074=1,2,IF(D1074=7,1,(IF(WEEKDAY(B1074)=1,2,IF(WEEKDAY(B1074)=7,1,0))))))</f>
        <v>2</v>
      </c>
      <c r="H1074" s="370">
        <v>13532.650024414063</v>
      </c>
      <c r="I1074" s="370">
        <v>1993.75</v>
      </c>
      <c r="M1074" s="371">
        <f t="shared" si="65"/>
        <v>13678.730048720674</v>
      </c>
      <c r="N1074" s="329">
        <f t="shared" si="66"/>
        <v>0</v>
      </c>
      <c r="T1074" s="331">
        <v>0</v>
      </c>
      <c r="U1074" s="328">
        <f>VLOOKUP(C1074,METADATA!$J$5:$Q$29,IF(E1074="HI",2,IF(E1074="LO",6,10))+IF(T1074=1,2,IF(D1074=7,1,(IF(WEEKDAY(B1074)=1,2,IF(WEEKDAY(B1074)=7,1,0))))))</f>
        <v>2</v>
      </c>
      <c r="V1074" s="328">
        <f>VLOOKUP(C1074,METADATA!$A$5:$H$29,IF(E1074="HI",2,IF(E1074="LO",6,10))+IF(T1074=1,2,IF(D1074=7,1,(IF(WEEKDAY(B1074)=1,2,IF(WEEKDAY(B1074)=7,1,0))))))</f>
        <v>2</v>
      </c>
    </row>
    <row r="1075" spans="2:22">
      <c r="B1075" s="318">
        <f t="shared" si="67"/>
        <v>46157</v>
      </c>
      <c r="C1075" s="312">
        <v>15</v>
      </c>
      <c r="D1075" s="368">
        <f>IFERROR((INDEX(METADATA!$T$2:$T$20,MATCH(B1075,METADATA!$S$2:$S$20,0))),0)</f>
        <v>0</v>
      </c>
      <c r="E1075" s="312" t="str">
        <f t="shared" si="64"/>
        <v>LO</v>
      </c>
      <c r="F1075" s="369">
        <f>VLOOKUP(C1075,METADATA!$A$5:$H$29,IF(E1075="HI",2,IF(E1075="LO",6,10))+IF(D1075=1,2,IF(D1075=7,1,(IF(WEEKDAY(B1075)=1,2,IF(WEEKDAY(B1075)=7,1,0))))))</f>
        <v>2</v>
      </c>
      <c r="G1075" s="369">
        <f>VLOOKUP(C1075,METADATA!$J$5:$Q$29,IF(E1075="HI",2,IF(E1075="LO",6,10))+IF(D1075=1,2,IF(D1075=7,1,(IF(WEEKDAY(B1075)=1,2,IF(WEEKDAY(B1075)=7,1,0))))))</f>
        <v>2</v>
      </c>
      <c r="H1075" s="370">
        <v>11835.492095947266</v>
      </c>
      <c r="I1075" s="370">
        <v>1834.1304896240472</v>
      </c>
      <c r="M1075" s="371">
        <f t="shared" si="65"/>
        <v>11976.765331515799</v>
      </c>
      <c r="N1075" s="329">
        <f t="shared" si="66"/>
        <v>0</v>
      </c>
      <c r="T1075" s="331">
        <v>0</v>
      </c>
      <c r="U1075" s="328">
        <f>VLOOKUP(C1075,METADATA!$J$5:$Q$29,IF(E1075="HI",2,IF(E1075="LO",6,10))+IF(T1075=1,2,IF(D1075=7,1,(IF(WEEKDAY(B1075)=1,2,IF(WEEKDAY(B1075)=7,1,0))))))</f>
        <v>2</v>
      </c>
      <c r="V1075" s="328">
        <f>VLOOKUP(C1075,METADATA!$A$5:$H$29,IF(E1075="HI",2,IF(E1075="LO",6,10))+IF(T1075=1,2,IF(D1075=7,1,(IF(WEEKDAY(B1075)=1,2,IF(WEEKDAY(B1075)=7,1,0))))))</f>
        <v>2</v>
      </c>
    </row>
    <row r="1076" spans="2:22">
      <c r="B1076" s="318">
        <f t="shared" si="67"/>
        <v>46157</v>
      </c>
      <c r="C1076" s="312">
        <v>16</v>
      </c>
      <c r="D1076" s="368">
        <f>IFERROR((INDEX(METADATA!$T$2:$T$20,MATCH(B1076,METADATA!$S$2:$S$20,0))),0)</f>
        <v>0</v>
      </c>
      <c r="E1076" s="312" t="str">
        <f t="shared" si="64"/>
        <v>LO</v>
      </c>
      <c r="F1076" s="369">
        <f>VLOOKUP(C1076,METADATA!$A$5:$H$29,IF(E1076="HI",2,IF(E1076="LO",6,10))+IF(D1076=1,2,IF(D1076=7,1,(IF(WEEKDAY(B1076)=1,2,IF(WEEKDAY(B1076)=7,1,0))))))</f>
        <v>2</v>
      </c>
      <c r="G1076" s="369">
        <f>VLOOKUP(C1076,METADATA!$J$5:$Q$29,IF(E1076="HI",2,IF(E1076="LO",6,10))+IF(D1076=1,2,IF(D1076=7,1,(IF(WEEKDAY(B1076)=1,2,IF(WEEKDAY(B1076)=7,1,0))))))</f>
        <v>2</v>
      </c>
      <c r="H1076" s="370">
        <v>11381.439910888672</v>
      </c>
      <c r="I1076" s="370">
        <v>1865.1359891295433</v>
      </c>
      <c r="M1076" s="371">
        <f t="shared" si="65"/>
        <v>11533.252217094525</v>
      </c>
      <c r="N1076" s="329">
        <f t="shared" si="66"/>
        <v>0</v>
      </c>
      <c r="T1076" s="331">
        <v>0</v>
      </c>
      <c r="U1076" s="328">
        <f>VLOOKUP(C1076,METADATA!$J$5:$Q$29,IF(E1076="HI",2,IF(E1076="LO",6,10))+IF(T1076=1,2,IF(D1076=7,1,(IF(WEEKDAY(B1076)=1,2,IF(WEEKDAY(B1076)=7,1,0))))))</f>
        <v>2</v>
      </c>
      <c r="V1076" s="328">
        <f>VLOOKUP(C1076,METADATA!$A$5:$H$29,IF(E1076="HI",2,IF(E1076="LO",6,10))+IF(T1076=1,2,IF(D1076=7,1,(IF(WEEKDAY(B1076)=1,2,IF(WEEKDAY(B1076)=7,1,0))))))</f>
        <v>2</v>
      </c>
    </row>
    <row r="1077" spans="2:22">
      <c r="B1077" s="318">
        <f t="shared" si="67"/>
        <v>46157</v>
      </c>
      <c r="C1077" s="312">
        <v>17</v>
      </c>
      <c r="D1077" s="368">
        <f>IFERROR((INDEX(METADATA!$T$2:$T$20,MATCH(B1077,METADATA!$S$2:$S$20,0))),0)</f>
        <v>0</v>
      </c>
      <c r="E1077" s="312" t="str">
        <f t="shared" si="64"/>
        <v>LO</v>
      </c>
      <c r="F1077" s="369">
        <f>VLOOKUP(C1077,METADATA!$A$5:$H$29,IF(E1077="HI",2,IF(E1077="LO",6,10))+IF(D1077=1,2,IF(D1077=7,1,(IF(WEEKDAY(B1077)=1,2,IF(WEEKDAY(B1077)=7,1,0))))))</f>
        <v>2</v>
      </c>
      <c r="G1077" s="369">
        <f>VLOOKUP(C1077,METADATA!$J$5:$Q$29,IF(E1077="HI",2,IF(E1077="LO",6,10))+IF(D1077=1,2,IF(D1077=7,1,(IF(WEEKDAY(B1077)=1,2,IF(WEEKDAY(B1077)=7,1,0))))))</f>
        <v>2</v>
      </c>
      <c r="H1077" s="370">
        <v>13164.855285644531</v>
      </c>
      <c r="I1077" s="370">
        <v>2082.1399993896484</v>
      </c>
      <c r="M1077" s="371">
        <f t="shared" si="65"/>
        <v>13328.492850619723</v>
      </c>
      <c r="N1077" s="329">
        <f t="shared" si="66"/>
        <v>0</v>
      </c>
      <c r="T1077" s="331">
        <v>0</v>
      </c>
      <c r="U1077" s="328">
        <f>VLOOKUP(C1077,METADATA!$J$5:$Q$29,IF(E1077="HI",2,IF(E1077="LO",6,10))+IF(T1077=1,2,IF(D1077=7,1,(IF(WEEKDAY(B1077)=1,2,IF(WEEKDAY(B1077)=7,1,0))))))</f>
        <v>2</v>
      </c>
      <c r="V1077" s="328">
        <f>VLOOKUP(C1077,METADATA!$A$5:$H$29,IF(E1077="HI",2,IF(E1077="LO",6,10))+IF(T1077=1,2,IF(D1077=7,1,(IF(WEEKDAY(B1077)=1,2,IF(WEEKDAY(B1077)=7,1,0))))))</f>
        <v>2</v>
      </c>
    </row>
    <row r="1078" spans="2:22">
      <c r="B1078" s="318">
        <f t="shared" si="67"/>
        <v>46157</v>
      </c>
      <c r="C1078" s="312">
        <v>18</v>
      </c>
      <c r="D1078" s="368">
        <f>IFERROR((INDEX(METADATA!$T$2:$T$20,MATCH(B1078,METADATA!$S$2:$S$20,0))),0)</f>
        <v>0</v>
      </c>
      <c r="E1078" s="312" t="str">
        <f t="shared" si="64"/>
        <v>LO</v>
      </c>
      <c r="F1078" s="369">
        <f>VLOOKUP(C1078,METADATA!$A$5:$H$29,IF(E1078="HI",2,IF(E1078="LO",6,10))+IF(D1078=1,2,IF(D1078=7,1,(IF(WEEKDAY(B1078)=1,2,IF(WEEKDAY(B1078)=7,1,0))))))</f>
        <v>1</v>
      </c>
      <c r="G1078" s="369">
        <f>VLOOKUP(C1078,METADATA!$J$5:$Q$29,IF(E1078="HI",2,IF(E1078="LO",6,10))+IF(D1078=1,2,IF(D1078=7,1,(IF(WEEKDAY(B1078)=1,2,IF(WEEKDAY(B1078)=7,1,0))))))</f>
        <v>1</v>
      </c>
      <c r="H1078" s="370">
        <v>13266.155029296875</v>
      </c>
      <c r="I1078" s="370">
        <v>2047.0800018310547</v>
      </c>
      <c r="M1078" s="371">
        <f t="shared" si="65"/>
        <v>13423.166757335446</v>
      </c>
      <c r="N1078" s="329">
        <f t="shared" si="66"/>
        <v>0</v>
      </c>
      <c r="T1078" s="331">
        <v>0</v>
      </c>
      <c r="U1078" s="328">
        <f>VLOOKUP(C1078,METADATA!$J$5:$Q$29,IF(E1078="HI",2,IF(E1078="LO",6,10))+IF(T1078=1,2,IF(D1078=7,1,(IF(WEEKDAY(B1078)=1,2,IF(WEEKDAY(B1078)=7,1,0))))))</f>
        <v>1</v>
      </c>
      <c r="V1078" s="328">
        <f>VLOOKUP(C1078,METADATA!$A$5:$H$29,IF(E1078="HI",2,IF(E1078="LO",6,10))+IF(T1078=1,2,IF(D1078=7,1,(IF(WEEKDAY(B1078)=1,2,IF(WEEKDAY(B1078)=7,1,0))))))</f>
        <v>1</v>
      </c>
    </row>
    <row r="1079" spans="2:22">
      <c r="B1079" s="318">
        <f t="shared" si="67"/>
        <v>46157</v>
      </c>
      <c r="C1079" s="312">
        <v>19</v>
      </c>
      <c r="D1079" s="368">
        <f>IFERROR((INDEX(METADATA!$T$2:$T$20,MATCH(B1079,METADATA!$S$2:$S$20,0))),0)</f>
        <v>0</v>
      </c>
      <c r="E1079" s="312" t="str">
        <f t="shared" si="64"/>
        <v>LO</v>
      </c>
      <c r="F1079" s="369">
        <f>VLOOKUP(C1079,METADATA!$A$5:$H$29,IF(E1079="HI",2,IF(E1079="LO",6,10))+IF(D1079=1,2,IF(D1079=7,1,(IF(WEEKDAY(B1079)=1,2,IF(WEEKDAY(B1079)=7,1,0))))))</f>
        <v>1</v>
      </c>
      <c r="G1079" s="369">
        <f>VLOOKUP(C1079,METADATA!$J$5:$Q$29,IF(E1079="HI",2,IF(E1079="LO",6,10))+IF(D1079=1,2,IF(D1079=7,1,(IF(WEEKDAY(B1079)=1,2,IF(WEEKDAY(B1079)=7,1,0))))))</f>
        <v>1</v>
      </c>
      <c r="H1079" s="370">
        <v>13311.630004882813</v>
      </c>
      <c r="I1079" s="370">
        <v>2099.0899810791016</v>
      </c>
      <c r="M1079" s="371">
        <f t="shared" si="65"/>
        <v>13476.114875421737</v>
      </c>
      <c r="N1079" s="329">
        <f t="shared" si="66"/>
        <v>0</v>
      </c>
      <c r="T1079" s="331">
        <v>0</v>
      </c>
      <c r="U1079" s="328">
        <f>VLOOKUP(C1079,METADATA!$J$5:$Q$29,IF(E1079="HI",2,IF(E1079="LO",6,10))+IF(T1079=1,2,IF(D1079=7,1,(IF(WEEKDAY(B1079)=1,2,IF(WEEKDAY(B1079)=7,1,0))))))</f>
        <v>1</v>
      </c>
      <c r="V1079" s="328">
        <f>VLOOKUP(C1079,METADATA!$A$5:$H$29,IF(E1079="HI",2,IF(E1079="LO",6,10))+IF(T1079=1,2,IF(D1079=7,1,(IF(WEEKDAY(B1079)=1,2,IF(WEEKDAY(B1079)=7,1,0))))))</f>
        <v>1</v>
      </c>
    </row>
    <row r="1080" spans="2:22">
      <c r="B1080" s="318">
        <f t="shared" si="67"/>
        <v>46157</v>
      </c>
      <c r="C1080" s="312">
        <v>20</v>
      </c>
      <c r="D1080" s="368">
        <f>IFERROR((INDEX(METADATA!$T$2:$T$20,MATCH(B1080,METADATA!$S$2:$S$20,0))),0)</f>
        <v>0</v>
      </c>
      <c r="E1080" s="312" t="str">
        <f t="shared" si="64"/>
        <v>LO</v>
      </c>
      <c r="F1080" s="369">
        <f>VLOOKUP(C1080,METADATA!$A$5:$H$29,IF(E1080="HI",2,IF(E1080="LO",6,10))+IF(D1080=1,2,IF(D1080=7,1,(IF(WEEKDAY(B1080)=1,2,IF(WEEKDAY(B1080)=7,1,0))))))</f>
        <v>1</v>
      </c>
      <c r="G1080" s="369">
        <f>VLOOKUP(C1080,METADATA!$J$5:$Q$29,IF(E1080="HI",2,IF(E1080="LO",6,10))+IF(D1080=1,2,IF(D1080=7,1,(IF(WEEKDAY(B1080)=1,2,IF(WEEKDAY(B1080)=7,1,0))))))</f>
        <v>1</v>
      </c>
      <c r="H1080" s="370">
        <v>13295.529968261719</v>
      </c>
      <c r="I1080" s="370">
        <v>2129.3750305175781</v>
      </c>
      <c r="M1080" s="371">
        <f t="shared" si="65"/>
        <v>13464.967699832674</v>
      </c>
      <c r="N1080" s="329">
        <f t="shared" si="66"/>
        <v>0</v>
      </c>
      <c r="T1080" s="331">
        <v>0</v>
      </c>
      <c r="U1080" s="328">
        <f>VLOOKUP(C1080,METADATA!$J$5:$Q$29,IF(E1080="HI",2,IF(E1080="LO",6,10))+IF(T1080=1,2,IF(D1080=7,1,(IF(WEEKDAY(B1080)=1,2,IF(WEEKDAY(B1080)=7,1,0))))))</f>
        <v>1</v>
      </c>
      <c r="V1080" s="328">
        <f>VLOOKUP(C1080,METADATA!$A$5:$H$29,IF(E1080="HI",2,IF(E1080="LO",6,10))+IF(T1080=1,2,IF(D1080=7,1,(IF(WEEKDAY(B1080)=1,2,IF(WEEKDAY(B1080)=7,1,0))))))</f>
        <v>1</v>
      </c>
    </row>
    <row r="1081" spans="2:22">
      <c r="B1081" s="318">
        <f t="shared" si="67"/>
        <v>46157</v>
      </c>
      <c r="C1081" s="312">
        <v>21</v>
      </c>
      <c r="D1081" s="368">
        <f>IFERROR((INDEX(METADATA!$T$2:$T$20,MATCH(B1081,METADATA!$S$2:$S$20,0))),0)</f>
        <v>0</v>
      </c>
      <c r="E1081" s="312" t="str">
        <f t="shared" si="64"/>
        <v>LO</v>
      </c>
      <c r="F1081" s="369">
        <f>VLOOKUP(C1081,METADATA!$A$5:$H$29,IF(E1081="HI",2,IF(E1081="LO",6,10))+IF(D1081=1,2,IF(D1081=7,1,(IF(WEEKDAY(B1081)=1,2,IF(WEEKDAY(B1081)=7,1,0))))))</f>
        <v>2</v>
      </c>
      <c r="G1081" s="369">
        <f>VLOOKUP(C1081,METADATA!$J$5:$Q$29,IF(E1081="HI",2,IF(E1081="LO",6,10))+IF(D1081=1,2,IF(D1081=7,1,(IF(WEEKDAY(B1081)=1,2,IF(WEEKDAY(B1081)=7,1,0))))))</f>
        <v>2</v>
      </c>
      <c r="H1081" s="370">
        <v>13249.12451171875</v>
      </c>
      <c r="I1081" s="370">
        <v>2137.6799926757813</v>
      </c>
      <c r="M1081" s="371">
        <f t="shared" si="65"/>
        <v>13420.468549127223</v>
      </c>
      <c r="N1081" s="329">
        <f t="shared" si="66"/>
        <v>0</v>
      </c>
      <c r="T1081" s="331">
        <v>0</v>
      </c>
      <c r="U1081" s="328">
        <f>VLOOKUP(C1081,METADATA!$J$5:$Q$29,IF(E1081="HI",2,IF(E1081="LO",6,10))+IF(T1081=1,2,IF(D1081=7,1,(IF(WEEKDAY(B1081)=1,2,IF(WEEKDAY(B1081)=7,1,0))))))</f>
        <v>2</v>
      </c>
      <c r="V1081" s="328">
        <f>VLOOKUP(C1081,METADATA!$A$5:$H$29,IF(E1081="HI",2,IF(E1081="LO",6,10))+IF(T1081=1,2,IF(D1081=7,1,(IF(WEEKDAY(B1081)=1,2,IF(WEEKDAY(B1081)=7,1,0))))))</f>
        <v>2</v>
      </c>
    </row>
    <row r="1082" spans="2:22">
      <c r="B1082" s="318">
        <f t="shared" si="67"/>
        <v>46157</v>
      </c>
      <c r="C1082" s="312">
        <v>22</v>
      </c>
      <c r="D1082" s="368">
        <f>IFERROR((INDEX(METADATA!$T$2:$T$20,MATCH(B1082,METADATA!$S$2:$S$20,0))),0)</f>
        <v>0</v>
      </c>
      <c r="E1082" s="312" t="str">
        <f t="shared" si="64"/>
        <v>LO</v>
      </c>
      <c r="F1082" s="369">
        <f>VLOOKUP(C1082,METADATA!$A$5:$H$29,IF(E1082="HI",2,IF(E1082="LO",6,10))+IF(D1082=1,2,IF(D1082=7,1,(IF(WEEKDAY(B1082)=1,2,IF(WEEKDAY(B1082)=7,1,0))))))</f>
        <v>3</v>
      </c>
      <c r="G1082" s="369">
        <f>VLOOKUP(C1082,METADATA!$J$5:$Q$29,IF(E1082="HI",2,IF(E1082="LO",6,10))+IF(D1082=1,2,IF(D1082=7,1,(IF(WEEKDAY(B1082)=1,2,IF(WEEKDAY(B1082)=7,1,0))))))</f>
        <v>3</v>
      </c>
      <c r="H1082" s="370">
        <v>13183.970275878906</v>
      </c>
      <c r="I1082" s="370">
        <v>2027.6150283813477</v>
      </c>
      <c r="M1082" s="371">
        <f t="shared" si="65"/>
        <v>13338.976532649587</v>
      </c>
      <c r="N1082" s="329">
        <f t="shared" si="66"/>
        <v>0</v>
      </c>
      <c r="T1082" s="331">
        <v>0</v>
      </c>
      <c r="U1082" s="328">
        <f>VLOOKUP(C1082,METADATA!$J$5:$Q$29,IF(E1082="HI",2,IF(E1082="LO",6,10))+IF(T1082=1,2,IF(D1082=7,1,(IF(WEEKDAY(B1082)=1,2,IF(WEEKDAY(B1082)=7,1,0))))))</f>
        <v>3</v>
      </c>
      <c r="V1082" s="328">
        <f>VLOOKUP(C1082,METADATA!$A$5:$H$29,IF(E1082="HI",2,IF(E1082="LO",6,10))+IF(T1082=1,2,IF(D1082=7,1,(IF(WEEKDAY(B1082)=1,2,IF(WEEKDAY(B1082)=7,1,0))))))</f>
        <v>3</v>
      </c>
    </row>
    <row r="1083" spans="2:22">
      <c r="B1083" s="318">
        <f t="shared" si="67"/>
        <v>46157</v>
      </c>
      <c r="C1083" s="312">
        <v>23</v>
      </c>
      <c r="D1083" s="368">
        <f>IFERROR((INDEX(METADATA!$T$2:$T$20,MATCH(B1083,METADATA!$S$2:$S$20,0))),0)</f>
        <v>0</v>
      </c>
      <c r="E1083" s="312" t="str">
        <f t="shared" si="64"/>
        <v>LO</v>
      </c>
      <c r="F1083" s="369">
        <f>VLOOKUP(C1083,METADATA!$A$5:$H$29,IF(E1083="HI",2,IF(E1083="LO",6,10))+IF(D1083=1,2,IF(D1083=7,1,(IF(WEEKDAY(B1083)=1,2,IF(WEEKDAY(B1083)=7,1,0))))))</f>
        <v>3</v>
      </c>
      <c r="G1083" s="369">
        <f>VLOOKUP(C1083,METADATA!$J$5:$Q$29,IF(E1083="HI",2,IF(E1083="LO",6,10))+IF(D1083=1,2,IF(D1083=7,1,(IF(WEEKDAY(B1083)=1,2,IF(WEEKDAY(B1083)=7,1,0))))))</f>
        <v>3</v>
      </c>
      <c r="H1083" s="370">
        <v>12220.734741210938</v>
      </c>
      <c r="I1083" s="370">
        <v>1876.5160202383995</v>
      </c>
      <c r="M1083" s="371">
        <f t="shared" si="65"/>
        <v>12363.966596090888</v>
      </c>
      <c r="N1083" s="329">
        <f t="shared" si="66"/>
        <v>0</v>
      </c>
      <c r="T1083" s="331">
        <v>0</v>
      </c>
      <c r="U1083" s="328">
        <f>VLOOKUP(C1083,METADATA!$J$5:$Q$29,IF(E1083="HI",2,IF(E1083="LO",6,10))+IF(T1083=1,2,IF(D1083=7,1,(IF(WEEKDAY(B1083)=1,2,IF(WEEKDAY(B1083)=7,1,0))))))</f>
        <v>3</v>
      </c>
      <c r="V1083" s="328">
        <f>VLOOKUP(C1083,METADATA!$A$5:$H$29,IF(E1083="HI",2,IF(E1083="LO",6,10))+IF(T1083=1,2,IF(D1083=7,1,(IF(WEEKDAY(B1083)=1,2,IF(WEEKDAY(B1083)=7,1,0))))))</f>
        <v>3</v>
      </c>
    </row>
    <row r="1084" spans="2:22">
      <c r="B1084" s="318">
        <f t="shared" si="67"/>
        <v>46158</v>
      </c>
      <c r="C1084" s="312">
        <v>0</v>
      </c>
      <c r="D1084" s="368">
        <f>IFERROR((INDEX(METADATA!$T$2:$T$20,MATCH(B1084,METADATA!$S$2:$S$20,0))),0)</f>
        <v>0</v>
      </c>
      <c r="E1084" s="312" t="str">
        <f t="shared" si="64"/>
        <v>LO</v>
      </c>
      <c r="F1084" s="369">
        <f>VLOOKUP(C1084,METADATA!$A$5:$H$29,IF(E1084="HI",2,IF(E1084="LO",6,10))+IF(D1084=1,2,IF(D1084=7,1,(IF(WEEKDAY(B1084)=1,2,IF(WEEKDAY(B1084)=7,1,0))))))</f>
        <v>3</v>
      </c>
      <c r="G1084" s="369">
        <f>VLOOKUP(C1084,METADATA!$J$5:$Q$29,IF(E1084="HI",2,IF(E1084="LO",6,10))+IF(D1084=1,2,IF(D1084=7,1,(IF(WEEKDAY(B1084)=1,2,IF(WEEKDAY(B1084)=7,1,0))))))</f>
        <v>3</v>
      </c>
      <c r="H1084" s="370">
        <v>6759.1249694824219</v>
      </c>
      <c r="I1084" s="370">
        <v>331.32000732421875</v>
      </c>
      <c r="M1084" s="371">
        <f t="shared" si="65"/>
        <v>6767.240449425014</v>
      </c>
      <c r="N1084" s="329">
        <f t="shared" si="66"/>
        <v>0</v>
      </c>
      <c r="T1084" s="331">
        <v>0</v>
      </c>
      <c r="U1084" s="328">
        <f>VLOOKUP(C1084,METADATA!$J$5:$Q$29,IF(E1084="HI",2,IF(E1084="LO",6,10))+IF(T1084=1,2,IF(D1084=7,1,(IF(WEEKDAY(B1084)=1,2,IF(WEEKDAY(B1084)=7,1,0))))))</f>
        <v>3</v>
      </c>
      <c r="V1084" s="328">
        <f>VLOOKUP(C1084,METADATA!$A$5:$H$29,IF(E1084="HI",2,IF(E1084="LO",6,10))+IF(T1084=1,2,IF(D1084=7,1,(IF(WEEKDAY(B1084)=1,2,IF(WEEKDAY(B1084)=7,1,0))))))</f>
        <v>3</v>
      </c>
    </row>
    <row r="1085" spans="2:22">
      <c r="B1085" s="318">
        <f t="shared" si="67"/>
        <v>46158</v>
      </c>
      <c r="C1085" s="312">
        <v>1</v>
      </c>
      <c r="D1085" s="368">
        <f>IFERROR((INDEX(METADATA!$T$2:$T$20,MATCH(B1085,METADATA!$S$2:$S$20,0))),0)</f>
        <v>0</v>
      </c>
      <c r="E1085" s="312" t="str">
        <f t="shared" si="64"/>
        <v>LO</v>
      </c>
      <c r="F1085" s="369">
        <f>VLOOKUP(C1085,METADATA!$A$5:$H$29,IF(E1085="HI",2,IF(E1085="LO",6,10))+IF(D1085=1,2,IF(D1085=7,1,(IF(WEEKDAY(B1085)=1,2,IF(WEEKDAY(B1085)=7,1,0))))))</f>
        <v>3</v>
      </c>
      <c r="G1085" s="369">
        <f>VLOOKUP(C1085,METADATA!$J$5:$Q$29,IF(E1085="HI",2,IF(E1085="LO",6,10))+IF(D1085=1,2,IF(D1085=7,1,(IF(WEEKDAY(B1085)=1,2,IF(WEEKDAY(B1085)=7,1,0))))))</f>
        <v>3</v>
      </c>
      <c r="H1085" s="370">
        <v>5251.2674865722656</v>
      </c>
      <c r="I1085" s="370">
        <v>0</v>
      </c>
      <c r="M1085" s="371">
        <f t="shared" si="65"/>
        <v>5251.2674865722656</v>
      </c>
      <c r="N1085" s="329">
        <f t="shared" si="66"/>
        <v>0</v>
      </c>
      <c r="T1085" s="331">
        <v>0</v>
      </c>
      <c r="U1085" s="328">
        <f>VLOOKUP(C1085,METADATA!$J$5:$Q$29,IF(E1085="HI",2,IF(E1085="LO",6,10))+IF(T1085=1,2,IF(D1085=7,1,(IF(WEEKDAY(B1085)=1,2,IF(WEEKDAY(B1085)=7,1,0))))))</f>
        <v>3</v>
      </c>
      <c r="V1085" s="328">
        <f>VLOOKUP(C1085,METADATA!$A$5:$H$29,IF(E1085="HI",2,IF(E1085="LO",6,10))+IF(T1085=1,2,IF(D1085=7,1,(IF(WEEKDAY(B1085)=1,2,IF(WEEKDAY(B1085)=7,1,0))))))</f>
        <v>3</v>
      </c>
    </row>
    <row r="1086" spans="2:22">
      <c r="B1086" s="318">
        <f t="shared" si="67"/>
        <v>46158</v>
      </c>
      <c r="C1086" s="312">
        <v>2</v>
      </c>
      <c r="D1086" s="368">
        <f>IFERROR((INDEX(METADATA!$T$2:$T$20,MATCH(B1086,METADATA!$S$2:$S$20,0))),0)</f>
        <v>0</v>
      </c>
      <c r="E1086" s="312" t="str">
        <f t="shared" si="64"/>
        <v>LO</v>
      </c>
      <c r="F1086" s="369">
        <f>VLOOKUP(C1086,METADATA!$A$5:$H$29,IF(E1086="HI",2,IF(E1086="LO",6,10))+IF(D1086=1,2,IF(D1086=7,1,(IF(WEEKDAY(B1086)=1,2,IF(WEEKDAY(B1086)=7,1,0))))))</f>
        <v>3</v>
      </c>
      <c r="G1086" s="369">
        <f>VLOOKUP(C1086,METADATA!$J$5:$Q$29,IF(E1086="HI",2,IF(E1086="LO",6,10))+IF(D1086=1,2,IF(D1086=7,1,(IF(WEEKDAY(B1086)=1,2,IF(WEEKDAY(B1086)=7,1,0))))))</f>
        <v>3</v>
      </c>
      <c r="H1086" s="370">
        <v>5313.57763671875</v>
      </c>
      <c r="I1086" s="370">
        <v>0</v>
      </c>
      <c r="M1086" s="371">
        <f t="shared" si="65"/>
        <v>5313.57763671875</v>
      </c>
      <c r="N1086" s="329">
        <f t="shared" si="66"/>
        <v>0</v>
      </c>
      <c r="T1086" s="331">
        <v>0</v>
      </c>
      <c r="U1086" s="328">
        <f>VLOOKUP(C1086,METADATA!$J$5:$Q$29,IF(E1086="HI",2,IF(E1086="LO",6,10))+IF(T1086=1,2,IF(D1086=7,1,(IF(WEEKDAY(B1086)=1,2,IF(WEEKDAY(B1086)=7,1,0))))))</f>
        <v>3</v>
      </c>
      <c r="V1086" s="328">
        <f>VLOOKUP(C1086,METADATA!$A$5:$H$29,IF(E1086="HI",2,IF(E1086="LO",6,10))+IF(T1086=1,2,IF(D1086=7,1,(IF(WEEKDAY(B1086)=1,2,IF(WEEKDAY(B1086)=7,1,0))))))</f>
        <v>3</v>
      </c>
    </row>
    <row r="1087" spans="2:22">
      <c r="B1087" s="318">
        <f t="shared" si="67"/>
        <v>46158</v>
      </c>
      <c r="C1087" s="312">
        <v>3</v>
      </c>
      <c r="D1087" s="368">
        <f>IFERROR((INDEX(METADATA!$T$2:$T$20,MATCH(B1087,METADATA!$S$2:$S$20,0))),0)</f>
        <v>0</v>
      </c>
      <c r="E1087" s="312" t="str">
        <f t="shared" si="64"/>
        <v>LO</v>
      </c>
      <c r="F1087" s="369">
        <f>VLOOKUP(C1087,METADATA!$A$5:$H$29,IF(E1087="HI",2,IF(E1087="LO",6,10))+IF(D1087=1,2,IF(D1087=7,1,(IF(WEEKDAY(B1087)=1,2,IF(WEEKDAY(B1087)=7,1,0))))))</f>
        <v>3</v>
      </c>
      <c r="G1087" s="369">
        <f>VLOOKUP(C1087,METADATA!$J$5:$Q$29,IF(E1087="HI",2,IF(E1087="LO",6,10))+IF(D1087=1,2,IF(D1087=7,1,(IF(WEEKDAY(B1087)=1,2,IF(WEEKDAY(B1087)=7,1,0))))))</f>
        <v>3</v>
      </c>
      <c r="H1087" s="370">
        <v>7036.3674926757813</v>
      </c>
      <c r="I1087" s="370">
        <v>161.42049789428711</v>
      </c>
      <c r="M1087" s="371">
        <f t="shared" si="65"/>
        <v>7038.2188136718869</v>
      </c>
      <c r="N1087" s="329">
        <f t="shared" si="66"/>
        <v>0</v>
      </c>
      <c r="T1087" s="331">
        <v>0</v>
      </c>
      <c r="U1087" s="328">
        <f>VLOOKUP(C1087,METADATA!$J$5:$Q$29,IF(E1087="HI",2,IF(E1087="LO",6,10))+IF(T1087=1,2,IF(D1087=7,1,(IF(WEEKDAY(B1087)=1,2,IF(WEEKDAY(B1087)=7,1,0))))))</f>
        <v>3</v>
      </c>
      <c r="V1087" s="328">
        <f>VLOOKUP(C1087,METADATA!$A$5:$H$29,IF(E1087="HI",2,IF(E1087="LO",6,10))+IF(T1087=1,2,IF(D1087=7,1,(IF(WEEKDAY(B1087)=1,2,IF(WEEKDAY(B1087)=7,1,0))))))</f>
        <v>3</v>
      </c>
    </row>
    <row r="1088" spans="2:22">
      <c r="B1088" s="318">
        <f t="shared" si="67"/>
        <v>46158</v>
      </c>
      <c r="C1088" s="312">
        <v>4</v>
      </c>
      <c r="D1088" s="368">
        <f>IFERROR((INDEX(METADATA!$T$2:$T$20,MATCH(B1088,METADATA!$S$2:$S$20,0))),0)</f>
        <v>0</v>
      </c>
      <c r="E1088" s="312" t="str">
        <f t="shared" si="64"/>
        <v>LO</v>
      </c>
      <c r="F1088" s="369">
        <f>VLOOKUP(C1088,METADATA!$A$5:$H$29,IF(E1088="HI",2,IF(E1088="LO",6,10))+IF(D1088=1,2,IF(D1088=7,1,(IF(WEEKDAY(B1088)=1,2,IF(WEEKDAY(B1088)=7,1,0))))))</f>
        <v>3</v>
      </c>
      <c r="G1088" s="369">
        <f>VLOOKUP(C1088,METADATA!$J$5:$Q$29,IF(E1088="HI",2,IF(E1088="LO",6,10))+IF(D1088=1,2,IF(D1088=7,1,(IF(WEEKDAY(B1088)=1,2,IF(WEEKDAY(B1088)=7,1,0))))))</f>
        <v>3</v>
      </c>
      <c r="H1088" s="370">
        <v>9792.7200927734375</v>
      </c>
      <c r="I1088" s="370">
        <v>848.95248413085938</v>
      </c>
      <c r="M1088" s="371">
        <f t="shared" si="65"/>
        <v>9829.4499915163397</v>
      </c>
      <c r="N1088" s="329">
        <f t="shared" si="66"/>
        <v>0</v>
      </c>
      <c r="T1088" s="331">
        <v>0</v>
      </c>
      <c r="U1088" s="328">
        <f>VLOOKUP(C1088,METADATA!$J$5:$Q$29,IF(E1088="HI",2,IF(E1088="LO",6,10))+IF(T1088=1,2,IF(D1088=7,1,(IF(WEEKDAY(B1088)=1,2,IF(WEEKDAY(B1088)=7,1,0))))))</f>
        <v>3</v>
      </c>
      <c r="V1088" s="328">
        <f>VLOOKUP(C1088,METADATA!$A$5:$H$29,IF(E1088="HI",2,IF(E1088="LO",6,10))+IF(T1088=1,2,IF(D1088=7,1,(IF(WEEKDAY(B1088)=1,2,IF(WEEKDAY(B1088)=7,1,0))))))</f>
        <v>3</v>
      </c>
    </row>
    <row r="1089" spans="2:22">
      <c r="B1089" s="318">
        <f t="shared" si="67"/>
        <v>46158</v>
      </c>
      <c r="C1089" s="312">
        <v>5</v>
      </c>
      <c r="D1089" s="368">
        <f>IFERROR((INDEX(METADATA!$T$2:$T$20,MATCH(B1089,METADATA!$S$2:$S$20,0))),0)</f>
        <v>0</v>
      </c>
      <c r="E1089" s="312" t="str">
        <f t="shared" si="64"/>
        <v>LO</v>
      </c>
      <c r="F1089" s="369">
        <f>VLOOKUP(C1089,METADATA!$A$5:$H$29,IF(E1089="HI",2,IF(E1089="LO",6,10))+IF(D1089=1,2,IF(D1089=7,1,(IF(WEEKDAY(B1089)=1,2,IF(WEEKDAY(B1089)=7,1,0))))))</f>
        <v>3</v>
      </c>
      <c r="G1089" s="369">
        <f>VLOOKUP(C1089,METADATA!$J$5:$Q$29,IF(E1089="HI",2,IF(E1089="LO",6,10))+IF(D1089=1,2,IF(D1089=7,1,(IF(WEEKDAY(B1089)=1,2,IF(WEEKDAY(B1089)=7,1,0))))))</f>
        <v>3</v>
      </c>
      <c r="H1089" s="370">
        <v>12142.467529296875</v>
      </c>
      <c r="I1089" s="370">
        <v>1619.2095184326172</v>
      </c>
      <c r="M1089" s="371">
        <f t="shared" si="65"/>
        <v>12249.953353568812</v>
      </c>
      <c r="N1089" s="329">
        <f t="shared" si="66"/>
        <v>0</v>
      </c>
      <c r="T1089" s="331">
        <v>0</v>
      </c>
      <c r="U1089" s="328">
        <f>VLOOKUP(C1089,METADATA!$J$5:$Q$29,IF(E1089="HI",2,IF(E1089="LO",6,10))+IF(T1089=1,2,IF(D1089=7,1,(IF(WEEKDAY(B1089)=1,2,IF(WEEKDAY(B1089)=7,1,0))))))</f>
        <v>3</v>
      </c>
      <c r="V1089" s="328">
        <f>VLOOKUP(C1089,METADATA!$A$5:$H$29,IF(E1089="HI",2,IF(E1089="LO",6,10))+IF(T1089=1,2,IF(D1089=7,1,(IF(WEEKDAY(B1089)=1,2,IF(WEEKDAY(B1089)=7,1,0))))))</f>
        <v>3</v>
      </c>
    </row>
    <row r="1090" spans="2:22">
      <c r="B1090" s="318">
        <f t="shared" si="67"/>
        <v>46158</v>
      </c>
      <c r="C1090" s="312">
        <v>6</v>
      </c>
      <c r="D1090" s="368">
        <f>IFERROR((INDEX(METADATA!$T$2:$T$20,MATCH(B1090,METADATA!$S$2:$S$20,0))),0)</f>
        <v>0</v>
      </c>
      <c r="E1090" s="312" t="str">
        <f t="shared" si="64"/>
        <v>LO</v>
      </c>
      <c r="F1090" s="369">
        <f>VLOOKUP(C1090,METADATA!$A$5:$H$29,IF(E1090="HI",2,IF(E1090="LO",6,10))+IF(D1090=1,2,IF(D1090=7,1,(IF(WEEKDAY(B1090)=1,2,IF(WEEKDAY(B1090)=7,1,0))))))</f>
        <v>3</v>
      </c>
      <c r="G1090" s="369">
        <f>VLOOKUP(C1090,METADATA!$J$5:$Q$29,IF(E1090="HI",2,IF(E1090="LO",6,10))+IF(D1090=1,2,IF(D1090=7,1,(IF(WEEKDAY(B1090)=1,2,IF(WEEKDAY(B1090)=7,1,0))))))</f>
        <v>3</v>
      </c>
      <c r="H1090" s="370">
        <v>11327.81494140625</v>
      </c>
      <c r="I1090" s="370">
        <v>1136.7350082397461</v>
      </c>
      <c r="M1090" s="371">
        <f t="shared" si="65"/>
        <v>11384.707191039412</v>
      </c>
      <c r="N1090" s="329">
        <f t="shared" si="66"/>
        <v>0</v>
      </c>
      <c r="T1090" s="331">
        <v>0</v>
      </c>
      <c r="U1090" s="328">
        <f>VLOOKUP(C1090,METADATA!$J$5:$Q$29,IF(E1090="HI",2,IF(E1090="LO",6,10))+IF(T1090=1,2,IF(D1090=7,1,(IF(WEEKDAY(B1090)=1,2,IF(WEEKDAY(B1090)=7,1,0))))))</f>
        <v>3</v>
      </c>
      <c r="V1090" s="328">
        <f>VLOOKUP(C1090,METADATA!$A$5:$H$29,IF(E1090="HI",2,IF(E1090="LO",6,10))+IF(T1090=1,2,IF(D1090=7,1,(IF(WEEKDAY(B1090)=1,2,IF(WEEKDAY(B1090)=7,1,0))))))</f>
        <v>3</v>
      </c>
    </row>
    <row r="1091" spans="2:22">
      <c r="B1091" s="318">
        <f t="shared" si="67"/>
        <v>46158</v>
      </c>
      <c r="C1091" s="312">
        <v>7</v>
      </c>
      <c r="D1091" s="368">
        <f>IFERROR((INDEX(METADATA!$T$2:$T$20,MATCH(B1091,METADATA!$S$2:$S$20,0))),0)</f>
        <v>0</v>
      </c>
      <c r="E1091" s="312" t="str">
        <f t="shared" si="64"/>
        <v>LO</v>
      </c>
      <c r="F1091" s="369">
        <f>VLOOKUP(C1091,METADATA!$A$5:$H$29,IF(E1091="HI",2,IF(E1091="LO",6,10))+IF(D1091=1,2,IF(D1091=7,1,(IF(WEEKDAY(B1091)=1,2,IF(WEEKDAY(B1091)=7,1,0))))))</f>
        <v>2</v>
      </c>
      <c r="G1091" s="369">
        <f>VLOOKUP(C1091,METADATA!$J$5:$Q$29,IF(E1091="HI",2,IF(E1091="LO",6,10))+IF(D1091=1,2,IF(D1091=7,1,(IF(WEEKDAY(B1091)=1,2,IF(WEEKDAY(B1091)=7,1,0))))))</f>
        <v>2</v>
      </c>
      <c r="H1091" s="370">
        <v>7981.8924560546875</v>
      </c>
      <c r="I1091" s="370">
        <v>98.712997913360596</v>
      </c>
      <c r="M1091" s="371">
        <f t="shared" si="65"/>
        <v>7982.5028303145482</v>
      </c>
      <c r="N1091" s="329">
        <f t="shared" si="66"/>
        <v>0</v>
      </c>
      <c r="T1091" s="331">
        <v>0</v>
      </c>
      <c r="U1091" s="328">
        <f>VLOOKUP(C1091,METADATA!$J$5:$Q$29,IF(E1091="HI",2,IF(E1091="LO",6,10))+IF(T1091=1,2,IF(D1091=7,1,(IF(WEEKDAY(B1091)=1,2,IF(WEEKDAY(B1091)=7,1,0))))))</f>
        <v>2</v>
      </c>
      <c r="V1091" s="328">
        <f>VLOOKUP(C1091,METADATA!$A$5:$H$29,IF(E1091="HI",2,IF(E1091="LO",6,10))+IF(T1091=1,2,IF(D1091=7,1,(IF(WEEKDAY(B1091)=1,2,IF(WEEKDAY(B1091)=7,1,0))))))</f>
        <v>2</v>
      </c>
    </row>
    <row r="1092" spans="2:22">
      <c r="B1092" s="318">
        <f t="shared" si="67"/>
        <v>46158</v>
      </c>
      <c r="C1092" s="312">
        <v>8</v>
      </c>
      <c r="D1092" s="368">
        <f>IFERROR((INDEX(METADATA!$T$2:$T$20,MATCH(B1092,METADATA!$S$2:$S$20,0))),0)</f>
        <v>0</v>
      </c>
      <c r="E1092" s="312" t="str">
        <f t="shared" ref="E1092:E1155" si="68">IF(B1092="","",IF(AND(MONTH(B1092)&gt;=MONTH($Z$9),MONTH(B1092)&lt;=MONTH($Z$11)),"HI","LO"))</f>
        <v>LO</v>
      </c>
      <c r="F1092" s="369">
        <f>VLOOKUP(C1092,METADATA!$A$5:$H$29,IF(E1092="HI",2,IF(E1092="LO",6,10))+IF(D1092=1,2,IF(D1092=7,1,(IF(WEEKDAY(B1092)=1,2,IF(WEEKDAY(B1092)=7,1,0))))))</f>
        <v>2</v>
      </c>
      <c r="G1092" s="369">
        <f>VLOOKUP(C1092,METADATA!$J$5:$Q$29,IF(E1092="HI",2,IF(E1092="LO",6,10))+IF(D1092=1,2,IF(D1092=7,1,(IF(WEEKDAY(B1092)=1,2,IF(WEEKDAY(B1092)=7,1,0))))))</f>
        <v>2</v>
      </c>
      <c r="H1092" s="370">
        <v>7445.7151489257813</v>
      </c>
      <c r="I1092" s="370">
        <v>184.19999694824219</v>
      </c>
      <c r="M1092" s="371">
        <f t="shared" ref="M1092:M1155" si="69">SQRT(H1092^2+I1092^2)</f>
        <v>7447.9932678419218</v>
      </c>
      <c r="N1092" s="329">
        <f t="shared" ref="N1092:N1155" si="70">IF(H1092=0,0,(IF(I1092-(0.3*H1092)&lt;0,0,(I1092-(0.3*H1092)))))</f>
        <v>0</v>
      </c>
      <c r="T1092" s="331">
        <v>0</v>
      </c>
      <c r="U1092" s="328">
        <f>VLOOKUP(C1092,METADATA!$J$5:$Q$29,IF(E1092="HI",2,IF(E1092="LO",6,10))+IF(T1092=1,2,IF(D1092=7,1,(IF(WEEKDAY(B1092)=1,2,IF(WEEKDAY(B1092)=7,1,0))))))</f>
        <v>2</v>
      </c>
      <c r="V1092" s="328">
        <f>VLOOKUP(C1092,METADATA!$A$5:$H$29,IF(E1092="HI",2,IF(E1092="LO",6,10))+IF(T1092=1,2,IF(D1092=7,1,(IF(WEEKDAY(B1092)=1,2,IF(WEEKDAY(B1092)=7,1,0))))))</f>
        <v>2</v>
      </c>
    </row>
    <row r="1093" spans="2:22">
      <c r="B1093" s="318">
        <f t="shared" si="67"/>
        <v>46158</v>
      </c>
      <c r="C1093" s="312">
        <v>9</v>
      </c>
      <c r="D1093" s="368">
        <f>IFERROR((INDEX(METADATA!$T$2:$T$20,MATCH(B1093,METADATA!$S$2:$S$20,0))),0)</f>
        <v>0</v>
      </c>
      <c r="E1093" s="312" t="str">
        <f t="shared" si="68"/>
        <v>LO</v>
      </c>
      <c r="F1093" s="369">
        <f>VLOOKUP(C1093,METADATA!$A$5:$H$29,IF(E1093="HI",2,IF(E1093="LO",6,10))+IF(D1093=1,2,IF(D1093=7,1,(IF(WEEKDAY(B1093)=1,2,IF(WEEKDAY(B1093)=7,1,0))))))</f>
        <v>2</v>
      </c>
      <c r="G1093" s="369">
        <f>VLOOKUP(C1093,METADATA!$J$5:$Q$29,IF(E1093="HI",2,IF(E1093="LO",6,10))+IF(D1093=1,2,IF(D1093=7,1,(IF(WEEKDAY(B1093)=1,2,IF(WEEKDAY(B1093)=7,1,0))))))</f>
        <v>2</v>
      </c>
      <c r="H1093" s="370">
        <v>10356.939697265625</v>
      </c>
      <c r="I1093" s="370">
        <v>1282.3200378417969</v>
      </c>
      <c r="M1093" s="371">
        <f t="shared" si="69"/>
        <v>10436.021491557363</v>
      </c>
      <c r="N1093" s="329">
        <f t="shared" si="70"/>
        <v>0</v>
      </c>
      <c r="T1093" s="331">
        <v>0</v>
      </c>
      <c r="U1093" s="328">
        <f>VLOOKUP(C1093,METADATA!$J$5:$Q$29,IF(E1093="HI",2,IF(E1093="LO",6,10))+IF(T1093=1,2,IF(D1093=7,1,(IF(WEEKDAY(B1093)=1,2,IF(WEEKDAY(B1093)=7,1,0))))))</f>
        <v>2</v>
      </c>
      <c r="V1093" s="328">
        <f>VLOOKUP(C1093,METADATA!$A$5:$H$29,IF(E1093="HI",2,IF(E1093="LO",6,10))+IF(T1093=1,2,IF(D1093=7,1,(IF(WEEKDAY(B1093)=1,2,IF(WEEKDAY(B1093)=7,1,0))))))</f>
        <v>2</v>
      </c>
    </row>
    <row r="1094" spans="2:22">
      <c r="B1094" s="318">
        <f t="shared" si="67"/>
        <v>46158</v>
      </c>
      <c r="C1094" s="312">
        <v>10</v>
      </c>
      <c r="D1094" s="368">
        <f>IFERROR((INDEX(METADATA!$T$2:$T$20,MATCH(B1094,METADATA!$S$2:$S$20,0))),0)</f>
        <v>0</v>
      </c>
      <c r="E1094" s="312" t="str">
        <f t="shared" si="68"/>
        <v>LO</v>
      </c>
      <c r="F1094" s="369">
        <f>VLOOKUP(C1094,METADATA!$A$5:$H$29,IF(E1094="HI",2,IF(E1094="LO",6,10))+IF(D1094=1,2,IF(D1094=7,1,(IF(WEEKDAY(B1094)=1,2,IF(WEEKDAY(B1094)=7,1,0))))))</f>
        <v>2</v>
      </c>
      <c r="G1094" s="369">
        <f>VLOOKUP(C1094,METADATA!$J$5:$Q$29,IF(E1094="HI",2,IF(E1094="LO",6,10))+IF(D1094=1,2,IF(D1094=7,1,(IF(WEEKDAY(B1094)=1,2,IF(WEEKDAY(B1094)=7,1,0))))))</f>
        <v>2</v>
      </c>
      <c r="H1094" s="370">
        <v>11778.80517578125</v>
      </c>
      <c r="I1094" s="370">
        <v>929.10897344350815</v>
      </c>
      <c r="M1094" s="371">
        <f t="shared" si="69"/>
        <v>11815.392285216112</v>
      </c>
      <c r="N1094" s="329">
        <f t="shared" si="70"/>
        <v>0</v>
      </c>
      <c r="T1094" s="331">
        <v>0</v>
      </c>
      <c r="U1094" s="328">
        <f>VLOOKUP(C1094,METADATA!$J$5:$Q$29,IF(E1094="HI",2,IF(E1094="LO",6,10))+IF(T1094=1,2,IF(D1094=7,1,(IF(WEEKDAY(B1094)=1,2,IF(WEEKDAY(B1094)=7,1,0))))))</f>
        <v>2</v>
      </c>
      <c r="V1094" s="328">
        <f>VLOOKUP(C1094,METADATA!$A$5:$H$29,IF(E1094="HI",2,IF(E1094="LO",6,10))+IF(T1094=1,2,IF(D1094=7,1,(IF(WEEKDAY(B1094)=1,2,IF(WEEKDAY(B1094)=7,1,0))))))</f>
        <v>2</v>
      </c>
    </row>
    <row r="1095" spans="2:22">
      <c r="B1095" s="318">
        <f t="shared" si="67"/>
        <v>46158</v>
      </c>
      <c r="C1095" s="312">
        <v>11</v>
      </c>
      <c r="D1095" s="368">
        <f>IFERROR((INDEX(METADATA!$T$2:$T$20,MATCH(B1095,METADATA!$S$2:$S$20,0))),0)</f>
        <v>0</v>
      </c>
      <c r="E1095" s="312" t="str">
        <f t="shared" si="68"/>
        <v>LO</v>
      </c>
      <c r="F1095" s="369">
        <f>VLOOKUP(C1095,METADATA!$A$5:$H$29,IF(E1095="HI",2,IF(E1095="LO",6,10))+IF(D1095=1,2,IF(D1095=7,1,(IF(WEEKDAY(B1095)=1,2,IF(WEEKDAY(B1095)=7,1,0))))))</f>
        <v>2</v>
      </c>
      <c r="G1095" s="369">
        <f>VLOOKUP(C1095,METADATA!$J$5:$Q$29,IF(E1095="HI",2,IF(E1095="LO",6,10))+IF(D1095=1,2,IF(D1095=7,1,(IF(WEEKDAY(B1095)=1,2,IF(WEEKDAY(B1095)=7,1,0))))))</f>
        <v>2</v>
      </c>
      <c r="H1095" s="370">
        <v>12259.024841308594</v>
      </c>
      <c r="I1095" s="370">
        <v>1001.9774932861328</v>
      </c>
      <c r="M1095" s="371">
        <f t="shared" si="69"/>
        <v>12299.904428769889</v>
      </c>
      <c r="N1095" s="329">
        <f t="shared" si="70"/>
        <v>0</v>
      </c>
      <c r="T1095" s="331">
        <v>0</v>
      </c>
      <c r="U1095" s="328">
        <f>VLOOKUP(C1095,METADATA!$J$5:$Q$29,IF(E1095="HI",2,IF(E1095="LO",6,10))+IF(T1095=1,2,IF(D1095=7,1,(IF(WEEKDAY(B1095)=1,2,IF(WEEKDAY(B1095)=7,1,0))))))</f>
        <v>2</v>
      </c>
      <c r="V1095" s="328">
        <f>VLOOKUP(C1095,METADATA!$A$5:$H$29,IF(E1095="HI",2,IF(E1095="LO",6,10))+IF(T1095=1,2,IF(D1095=7,1,(IF(WEEKDAY(B1095)=1,2,IF(WEEKDAY(B1095)=7,1,0))))))</f>
        <v>2</v>
      </c>
    </row>
    <row r="1096" spans="2:22">
      <c r="B1096" s="318">
        <f t="shared" si="67"/>
        <v>46158</v>
      </c>
      <c r="C1096" s="312">
        <v>12</v>
      </c>
      <c r="D1096" s="368">
        <f>IFERROR((INDEX(METADATA!$T$2:$T$20,MATCH(B1096,METADATA!$S$2:$S$20,0))),0)</f>
        <v>0</v>
      </c>
      <c r="E1096" s="312" t="str">
        <f t="shared" si="68"/>
        <v>LO</v>
      </c>
      <c r="F1096" s="369">
        <f>VLOOKUP(C1096,METADATA!$A$5:$H$29,IF(E1096="HI",2,IF(E1096="LO",6,10))+IF(D1096=1,2,IF(D1096=7,1,(IF(WEEKDAY(B1096)=1,2,IF(WEEKDAY(B1096)=7,1,0))))))</f>
        <v>3</v>
      </c>
      <c r="G1096" s="369">
        <f>VLOOKUP(C1096,METADATA!$J$5:$Q$29,IF(E1096="HI",2,IF(E1096="LO",6,10))+IF(D1096=1,2,IF(D1096=7,1,(IF(WEEKDAY(B1096)=1,2,IF(WEEKDAY(B1096)=7,1,0))))))</f>
        <v>3</v>
      </c>
      <c r="H1096" s="370">
        <v>12390.839782714844</v>
      </c>
      <c r="I1096" s="370">
        <v>1049.5924835205078</v>
      </c>
      <c r="M1096" s="371">
        <f t="shared" si="69"/>
        <v>12435.214308662782</v>
      </c>
      <c r="N1096" s="329">
        <f t="shared" si="70"/>
        <v>0</v>
      </c>
      <c r="T1096" s="331">
        <v>0</v>
      </c>
      <c r="U1096" s="328">
        <f>VLOOKUP(C1096,METADATA!$J$5:$Q$29,IF(E1096="HI",2,IF(E1096="LO",6,10))+IF(T1096=1,2,IF(D1096=7,1,(IF(WEEKDAY(B1096)=1,2,IF(WEEKDAY(B1096)=7,1,0))))))</f>
        <v>3</v>
      </c>
      <c r="V1096" s="328">
        <f>VLOOKUP(C1096,METADATA!$A$5:$H$29,IF(E1096="HI",2,IF(E1096="LO",6,10))+IF(T1096=1,2,IF(D1096=7,1,(IF(WEEKDAY(B1096)=1,2,IF(WEEKDAY(B1096)=7,1,0))))))</f>
        <v>3</v>
      </c>
    </row>
    <row r="1097" spans="2:22">
      <c r="B1097" s="318">
        <f t="shared" si="67"/>
        <v>46158</v>
      </c>
      <c r="C1097" s="312">
        <v>13</v>
      </c>
      <c r="D1097" s="368">
        <f>IFERROR((INDEX(METADATA!$T$2:$T$20,MATCH(B1097,METADATA!$S$2:$S$20,0))),0)</f>
        <v>0</v>
      </c>
      <c r="E1097" s="312" t="str">
        <f t="shared" si="68"/>
        <v>LO</v>
      </c>
      <c r="F1097" s="369">
        <f>VLOOKUP(C1097,METADATA!$A$5:$H$29,IF(E1097="HI",2,IF(E1097="LO",6,10))+IF(D1097=1,2,IF(D1097=7,1,(IF(WEEKDAY(B1097)=1,2,IF(WEEKDAY(B1097)=7,1,0))))))</f>
        <v>3</v>
      </c>
      <c r="G1097" s="369">
        <f>VLOOKUP(C1097,METADATA!$J$5:$Q$29,IF(E1097="HI",2,IF(E1097="LO",6,10))+IF(D1097=1,2,IF(D1097=7,1,(IF(WEEKDAY(B1097)=1,2,IF(WEEKDAY(B1097)=7,1,0))))))</f>
        <v>3</v>
      </c>
      <c r="H1097" s="370">
        <v>12323.844909667969</v>
      </c>
      <c r="I1097" s="370">
        <v>1005.5275268554688</v>
      </c>
      <c r="M1097" s="371">
        <f t="shared" si="69"/>
        <v>12364.798379464712</v>
      </c>
      <c r="N1097" s="329">
        <f t="shared" si="70"/>
        <v>0</v>
      </c>
      <c r="T1097" s="331">
        <v>0</v>
      </c>
      <c r="U1097" s="328">
        <f>VLOOKUP(C1097,METADATA!$J$5:$Q$29,IF(E1097="HI",2,IF(E1097="LO",6,10))+IF(T1097=1,2,IF(D1097=7,1,(IF(WEEKDAY(B1097)=1,2,IF(WEEKDAY(B1097)=7,1,0))))))</f>
        <v>3</v>
      </c>
      <c r="V1097" s="328">
        <f>VLOOKUP(C1097,METADATA!$A$5:$H$29,IF(E1097="HI",2,IF(E1097="LO",6,10))+IF(T1097=1,2,IF(D1097=7,1,(IF(WEEKDAY(B1097)=1,2,IF(WEEKDAY(B1097)=7,1,0))))))</f>
        <v>3</v>
      </c>
    </row>
    <row r="1098" spans="2:22">
      <c r="B1098" s="318">
        <f t="shared" si="67"/>
        <v>46158</v>
      </c>
      <c r="C1098" s="312">
        <v>14</v>
      </c>
      <c r="D1098" s="368">
        <f>IFERROR((INDEX(METADATA!$T$2:$T$20,MATCH(B1098,METADATA!$S$2:$S$20,0))),0)</f>
        <v>0</v>
      </c>
      <c r="E1098" s="312" t="str">
        <f t="shared" si="68"/>
        <v>LO</v>
      </c>
      <c r="F1098" s="369">
        <f>VLOOKUP(C1098,METADATA!$A$5:$H$29,IF(E1098="HI",2,IF(E1098="LO",6,10))+IF(D1098=1,2,IF(D1098=7,1,(IF(WEEKDAY(B1098)=1,2,IF(WEEKDAY(B1098)=7,1,0))))))</f>
        <v>3</v>
      </c>
      <c r="G1098" s="369">
        <f>VLOOKUP(C1098,METADATA!$J$5:$Q$29,IF(E1098="HI",2,IF(E1098="LO",6,10))+IF(D1098=1,2,IF(D1098=7,1,(IF(WEEKDAY(B1098)=1,2,IF(WEEKDAY(B1098)=7,1,0))))))</f>
        <v>3</v>
      </c>
      <c r="H1098" s="370">
        <v>12356.540100097656</v>
      </c>
      <c r="I1098" s="370">
        <v>1005.6475219726563</v>
      </c>
      <c r="M1098" s="371">
        <f t="shared" si="69"/>
        <v>12397.395298358892</v>
      </c>
      <c r="N1098" s="329">
        <f t="shared" si="70"/>
        <v>0</v>
      </c>
      <c r="T1098" s="331">
        <v>0</v>
      </c>
      <c r="U1098" s="328">
        <f>VLOOKUP(C1098,METADATA!$J$5:$Q$29,IF(E1098="HI",2,IF(E1098="LO",6,10))+IF(T1098=1,2,IF(D1098=7,1,(IF(WEEKDAY(B1098)=1,2,IF(WEEKDAY(B1098)=7,1,0))))))</f>
        <v>3</v>
      </c>
      <c r="V1098" s="328">
        <f>VLOOKUP(C1098,METADATA!$A$5:$H$29,IF(E1098="HI",2,IF(E1098="LO",6,10))+IF(T1098=1,2,IF(D1098=7,1,(IF(WEEKDAY(B1098)=1,2,IF(WEEKDAY(B1098)=7,1,0))))))</f>
        <v>3</v>
      </c>
    </row>
    <row r="1099" spans="2:22">
      <c r="B1099" s="318">
        <f t="shared" si="67"/>
        <v>46158</v>
      </c>
      <c r="C1099" s="312">
        <v>15</v>
      </c>
      <c r="D1099" s="368">
        <f>IFERROR((INDEX(METADATA!$T$2:$T$20,MATCH(B1099,METADATA!$S$2:$S$20,0))),0)</f>
        <v>0</v>
      </c>
      <c r="E1099" s="312" t="str">
        <f t="shared" si="68"/>
        <v>LO</v>
      </c>
      <c r="F1099" s="369">
        <f>VLOOKUP(C1099,METADATA!$A$5:$H$29,IF(E1099="HI",2,IF(E1099="LO",6,10))+IF(D1099=1,2,IF(D1099=7,1,(IF(WEEKDAY(B1099)=1,2,IF(WEEKDAY(B1099)=7,1,0))))))</f>
        <v>3</v>
      </c>
      <c r="G1099" s="369">
        <f>VLOOKUP(C1099,METADATA!$J$5:$Q$29,IF(E1099="HI",2,IF(E1099="LO",6,10))+IF(D1099=1,2,IF(D1099=7,1,(IF(WEEKDAY(B1099)=1,2,IF(WEEKDAY(B1099)=7,1,0))))))</f>
        <v>3</v>
      </c>
      <c r="H1099" s="370">
        <v>12396.61474609375</v>
      </c>
      <c r="I1099" s="370">
        <v>1004.8800048828125</v>
      </c>
      <c r="M1099" s="371">
        <f t="shared" si="69"/>
        <v>12437.276268833231</v>
      </c>
      <c r="N1099" s="329">
        <f t="shared" si="70"/>
        <v>0</v>
      </c>
      <c r="T1099" s="331">
        <v>0</v>
      </c>
      <c r="U1099" s="328">
        <f>VLOOKUP(C1099,METADATA!$J$5:$Q$29,IF(E1099="HI",2,IF(E1099="LO",6,10))+IF(T1099=1,2,IF(D1099=7,1,(IF(WEEKDAY(B1099)=1,2,IF(WEEKDAY(B1099)=7,1,0))))))</f>
        <v>3</v>
      </c>
      <c r="V1099" s="328">
        <f>VLOOKUP(C1099,METADATA!$A$5:$H$29,IF(E1099="HI",2,IF(E1099="LO",6,10))+IF(T1099=1,2,IF(D1099=7,1,(IF(WEEKDAY(B1099)=1,2,IF(WEEKDAY(B1099)=7,1,0))))))</f>
        <v>3</v>
      </c>
    </row>
    <row r="1100" spans="2:22">
      <c r="B1100" s="318">
        <f t="shared" si="67"/>
        <v>46158</v>
      </c>
      <c r="C1100" s="312">
        <v>16</v>
      </c>
      <c r="D1100" s="368">
        <f>IFERROR((INDEX(METADATA!$T$2:$T$20,MATCH(B1100,METADATA!$S$2:$S$20,0))),0)</f>
        <v>0</v>
      </c>
      <c r="E1100" s="312" t="str">
        <f t="shared" si="68"/>
        <v>LO</v>
      </c>
      <c r="F1100" s="369">
        <f>VLOOKUP(C1100,METADATA!$A$5:$H$29,IF(E1100="HI",2,IF(E1100="LO",6,10))+IF(D1100=1,2,IF(D1100=7,1,(IF(WEEKDAY(B1100)=1,2,IF(WEEKDAY(B1100)=7,1,0))))))</f>
        <v>3</v>
      </c>
      <c r="G1100" s="369">
        <f>VLOOKUP(C1100,METADATA!$J$5:$Q$29,IF(E1100="HI",2,IF(E1100="LO",6,10))+IF(D1100=1,2,IF(D1100=7,1,(IF(WEEKDAY(B1100)=1,2,IF(WEEKDAY(B1100)=7,1,0))))))</f>
        <v>3</v>
      </c>
      <c r="H1100" s="370">
        <v>12374.969970703125</v>
      </c>
      <c r="I1100" s="370">
        <v>1029.5774917602539</v>
      </c>
      <c r="M1100" s="371">
        <f t="shared" si="69"/>
        <v>12417.725701083247</v>
      </c>
      <c r="N1100" s="329">
        <f t="shared" si="70"/>
        <v>0</v>
      </c>
      <c r="T1100" s="331">
        <v>0</v>
      </c>
      <c r="U1100" s="328">
        <f>VLOOKUP(C1100,METADATA!$J$5:$Q$29,IF(E1100="HI",2,IF(E1100="LO",6,10))+IF(T1100=1,2,IF(D1100=7,1,(IF(WEEKDAY(B1100)=1,2,IF(WEEKDAY(B1100)=7,1,0))))))</f>
        <v>3</v>
      </c>
      <c r="V1100" s="328">
        <f>VLOOKUP(C1100,METADATA!$A$5:$H$29,IF(E1100="HI",2,IF(E1100="LO",6,10))+IF(T1100=1,2,IF(D1100=7,1,(IF(WEEKDAY(B1100)=1,2,IF(WEEKDAY(B1100)=7,1,0))))))</f>
        <v>3</v>
      </c>
    </row>
    <row r="1101" spans="2:22">
      <c r="B1101" s="318">
        <f t="shared" si="67"/>
        <v>46158</v>
      </c>
      <c r="C1101" s="312">
        <v>17</v>
      </c>
      <c r="D1101" s="368">
        <f>IFERROR((INDEX(METADATA!$T$2:$T$20,MATCH(B1101,METADATA!$S$2:$S$20,0))),0)</f>
        <v>0</v>
      </c>
      <c r="E1101" s="312" t="str">
        <f t="shared" si="68"/>
        <v>LO</v>
      </c>
      <c r="F1101" s="369">
        <f>VLOOKUP(C1101,METADATA!$A$5:$H$29,IF(E1101="HI",2,IF(E1101="LO",6,10))+IF(D1101=1,2,IF(D1101=7,1,(IF(WEEKDAY(B1101)=1,2,IF(WEEKDAY(B1101)=7,1,0))))))</f>
        <v>3</v>
      </c>
      <c r="G1101" s="369">
        <f>VLOOKUP(C1101,METADATA!$J$5:$Q$29,IF(E1101="HI",2,IF(E1101="LO",6,10))+IF(D1101=1,2,IF(D1101=7,1,(IF(WEEKDAY(B1101)=1,2,IF(WEEKDAY(B1101)=7,1,0))))))</f>
        <v>3</v>
      </c>
      <c r="H1101" s="370">
        <v>12925.0703125</v>
      </c>
      <c r="I1101" s="370">
        <v>1594.9924621582031</v>
      </c>
      <c r="M1101" s="371">
        <f t="shared" si="69"/>
        <v>13023.111899135718</v>
      </c>
      <c r="N1101" s="329">
        <f t="shared" si="70"/>
        <v>0</v>
      </c>
      <c r="T1101" s="331">
        <v>0</v>
      </c>
      <c r="U1101" s="328">
        <f>VLOOKUP(C1101,METADATA!$J$5:$Q$29,IF(E1101="HI",2,IF(E1101="LO",6,10))+IF(T1101=1,2,IF(D1101=7,1,(IF(WEEKDAY(B1101)=1,2,IF(WEEKDAY(B1101)=7,1,0))))))</f>
        <v>3</v>
      </c>
      <c r="V1101" s="328">
        <f>VLOOKUP(C1101,METADATA!$A$5:$H$29,IF(E1101="HI",2,IF(E1101="LO",6,10))+IF(T1101=1,2,IF(D1101=7,1,(IF(WEEKDAY(B1101)=1,2,IF(WEEKDAY(B1101)=7,1,0))))))</f>
        <v>3</v>
      </c>
    </row>
    <row r="1102" spans="2:22">
      <c r="B1102" s="318">
        <f t="shared" si="67"/>
        <v>46158</v>
      </c>
      <c r="C1102" s="312">
        <v>18</v>
      </c>
      <c r="D1102" s="368">
        <f>IFERROR((INDEX(METADATA!$T$2:$T$20,MATCH(B1102,METADATA!$S$2:$S$20,0))),0)</f>
        <v>0</v>
      </c>
      <c r="E1102" s="312" t="str">
        <f t="shared" si="68"/>
        <v>LO</v>
      </c>
      <c r="F1102" s="369">
        <f>VLOOKUP(C1102,METADATA!$A$5:$H$29,IF(E1102="HI",2,IF(E1102="LO",6,10))+IF(D1102=1,2,IF(D1102=7,1,(IF(WEEKDAY(B1102)=1,2,IF(WEEKDAY(B1102)=7,1,0))))))</f>
        <v>2</v>
      </c>
      <c r="G1102" s="369">
        <f>VLOOKUP(C1102,METADATA!$J$5:$Q$29,IF(E1102="HI",2,IF(E1102="LO",6,10))+IF(D1102=1,2,IF(D1102=7,1,(IF(WEEKDAY(B1102)=1,2,IF(WEEKDAY(B1102)=7,1,0))))))</f>
        <v>2</v>
      </c>
      <c r="H1102" s="370">
        <v>13171.219970703125</v>
      </c>
      <c r="I1102" s="370">
        <v>1778.6139935851097</v>
      </c>
      <c r="M1102" s="371">
        <f t="shared" si="69"/>
        <v>13290.767594643494</v>
      </c>
      <c r="N1102" s="329">
        <f t="shared" si="70"/>
        <v>0</v>
      </c>
      <c r="T1102" s="331">
        <v>0</v>
      </c>
      <c r="U1102" s="328">
        <f>VLOOKUP(C1102,METADATA!$J$5:$Q$29,IF(E1102="HI",2,IF(E1102="LO",6,10))+IF(T1102=1,2,IF(D1102=7,1,(IF(WEEKDAY(B1102)=1,2,IF(WEEKDAY(B1102)=7,1,0))))))</f>
        <v>2</v>
      </c>
      <c r="V1102" s="328">
        <f>VLOOKUP(C1102,METADATA!$A$5:$H$29,IF(E1102="HI",2,IF(E1102="LO",6,10))+IF(T1102=1,2,IF(D1102=7,1,(IF(WEEKDAY(B1102)=1,2,IF(WEEKDAY(B1102)=7,1,0))))))</f>
        <v>2</v>
      </c>
    </row>
    <row r="1103" spans="2:22">
      <c r="B1103" s="318">
        <f t="shared" si="67"/>
        <v>46158</v>
      </c>
      <c r="C1103" s="312">
        <v>19</v>
      </c>
      <c r="D1103" s="368">
        <f>IFERROR((INDEX(METADATA!$T$2:$T$20,MATCH(B1103,METADATA!$S$2:$S$20,0))),0)</f>
        <v>0</v>
      </c>
      <c r="E1103" s="312" t="str">
        <f t="shared" si="68"/>
        <v>LO</v>
      </c>
      <c r="F1103" s="369">
        <f>VLOOKUP(C1103,METADATA!$A$5:$H$29,IF(E1103="HI",2,IF(E1103="LO",6,10))+IF(D1103=1,2,IF(D1103=7,1,(IF(WEEKDAY(B1103)=1,2,IF(WEEKDAY(B1103)=7,1,0))))))</f>
        <v>2</v>
      </c>
      <c r="G1103" s="369">
        <f>VLOOKUP(C1103,METADATA!$J$5:$Q$29,IF(E1103="HI",2,IF(E1103="LO",6,10))+IF(D1103=1,2,IF(D1103=7,1,(IF(WEEKDAY(B1103)=1,2,IF(WEEKDAY(B1103)=7,1,0))))))</f>
        <v>2</v>
      </c>
      <c r="H1103" s="370">
        <v>13494.975036621094</v>
      </c>
      <c r="I1103" s="370">
        <v>1919.9775009155273</v>
      </c>
      <c r="M1103" s="371">
        <f t="shared" si="69"/>
        <v>13630.871756532975</v>
      </c>
      <c r="N1103" s="329">
        <f t="shared" si="70"/>
        <v>0</v>
      </c>
      <c r="T1103" s="331">
        <v>0</v>
      </c>
      <c r="U1103" s="328">
        <f>VLOOKUP(C1103,METADATA!$J$5:$Q$29,IF(E1103="HI",2,IF(E1103="LO",6,10))+IF(T1103=1,2,IF(D1103=7,1,(IF(WEEKDAY(B1103)=1,2,IF(WEEKDAY(B1103)=7,1,0))))))</f>
        <v>2</v>
      </c>
      <c r="V1103" s="328">
        <f>VLOOKUP(C1103,METADATA!$A$5:$H$29,IF(E1103="HI",2,IF(E1103="LO",6,10))+IF(T1103=1,2,IF(D1103=7,1,(IF(WEEKDAY(B1103)=1,2,IF(WEEKDAY(B1103)=7,1,0))))))</f>
        <v>2</v>
      </c>
    </row>
    <row r="1104" spans="2:22">
      <c r="B1104" s="318">
        <f t="shared" si="67"/>
        <v>46158</v>
      </c>
      <c r="C1104" s="312">
        <v>20</v>
      </c>
      <c r="D1104" s="368">
        <f>IFERROR((INDEX(METADATA!$T$2:$T$20,MATCH(B1104,METADATA!$S$2:$S$20,0))),0)</f>
        <v>0</v>
      </c>
      <c r="E1104" s="312" t="str">
        <f t="shared" si="68"/>
        <v>LO</v>
      </c>
      <c r="F1104" s="369">
        <f>VLOOKUP(C1104,METADATA!$A$5:$H$29,IF(E1104="HI",2,IF(E1104="LO",6,10))+IF(D1104=1,2,IF(D1104=7,1,(IF(WEEKDAY(B1104)=1,2,IF(WEEKDAY(B1104)=7,1,0))))))</f>
        <v>3</v>
      </c>
      <c r="G1104" s="369">
        <f>VLOOKUP(C1104,METADATA!$J$5:$Q$29,IF(E1104="HI",2,IF(E1104="LO",6,10))+IF(D1104=1,2,IF(D1104=7,1,(IF(WEEKDAY(B1104)=1,2,IF(WEEKDAY(B1104)=7,1,0))))))</f>
        <v>3</v>
      </c>
      <c r="H1104" s="370">
        <v>13460.330322265625</v>
      </c>
      <c r="I1104" s="370">
        <v>1886.9499816894531</v>
      </c>
      <c r="M1104" s="371">
        <f t="shared" si="69"/>
        <v>13591.948816041844</v>
      </c>
      <c r="N1104" s="329">
        <f t="shared" si="70"/>
        <v>0</v>
      </c>
      <c r="T1104" s="331">
        <v>0</v>
      </c>
      <c r="U1104" s="328">
        <f>VLOOKUP(C1104,METADATA!$J$5:$Q$29,IF(E1104="HI",2,IF(E1104="LO",6,10))+IF(T1104=1,2,IF(D1104=7,1,(IF(WEEKDAY(B1104)=1,2,IF(WEEKDAY(B1104)=7,1,0))))))</f>
        <v>3</v>
      </c>
      <c r="V1104" s="328">
        <f>VLOOKUP(C1104,METADATA!$A$5:$H$29,IF(E1104="HI",2,IF(E1104="LO",6,10))+IF(T1104=1,2,IF(D1104=7,1,(IF(WEEKDAY(B1104)=1,2,IF(WEEKDAY(B1104)=7,1,0))))))</f>
        <v>3</v>
      </c>
    </row>
    <row r="1105" spans="2:22">
      <c r="B1105" s="318">
        <f t="shared" si="67"/>
        <v>46158</v>
      </c>
      <c r="C1105" s="312">
        <v>21</v>
      </c>
      <c r="D1105" s="368">
        <f>IFERROR((INDEX(METADATA!$T$2:$T$20,MATCH(B1105,METADATA!$S$2:$S$20,0))),0)</f>
        <v>0</v>
      </c>
      <c r="E1105" s="312" t="str">
        <f t="shared" si="68"/>
        <v>LO</v>
      </c>
      <c r="F1105" s="369">
        <f>VLOOKUP(C1105,METADATA!$A$5:$H$29,IF(E1105="HI",2,IF(E1105="LO",6,10))+IF(D1105=1,2,IF(D1105=7,1,(IF(WEEKDAY(B1105)=1,2,IF(WEEKDAY(B1105)=7,1,0))))))</f>
        <v>3</v>
      </c>
      <c r="G1105" s="369">
        <f>VLOOKUP(C1105,METADATA!$J$5:$Q$29,IF(E1105="HI",2,IF(E1105="LO",6,10))+IF(D1105=1,2,IF(D1105=7,1,(IF(WEEKDAY(B1105)=1,2,IF(WEEKDAY(B1105)=7,1,0))))))</f>
        <v>3</v>
      </c>
      <c r="H1105" s="370">
        <v>13290.859924316406</v>
      </c>
      <c r="I1105" s="370">
        <v>1964.1864652037621</v>
      </c>
      <c r="M1105" s="371">
        <f t="shared" si="69"/>
        <v>13435.21440089028</v>
      </c>
      <c r="N1105" s="329">
        <f t="shared" si="70"/>
        <v>0</v>
      </c>
      <c r="T1105" s="331">
        <v>0</v>
      </c>
      <c r="U1105" s="328">
        <f>VLOOKUP(C1105,METADATA!$J$5:$Q$29,IF(E1105="HI",2,IF(E1105="LO",6,10))+IF(T1105=1,2,IF(D1105=7,1,(IF(WEEKDAY(B1105)=1,2,IF(WEEKDAY(B1105)=7,1,0))))))</f>
        <v>3</v>
      </c>
      <c r="V1105" s="328">
        <f>VLOOKUP(C1105,METADATA!$A$5:$H$29,IF(E1105="HI",2,IF(E1105="LO",6,10))+IF(T1105=1,2,IF(D1105=7,1,(IF(WEEKDAY(B1105)=1,2,IF(WEEKDAY(B1105)=7,1,0))))))</f>
        <v>3</v>
      </c>
    </row>
    <row r="1106" spans="2:22">
      <c r="B1106" s="318">
        <f t="shared" si="67"/>
        <v>46158</v>
      </c>
      <c r="C1106" s="312">
        <v>22</v>
      </c>
      <c r="D1106" s="368">
        <f>IFERROR((INDEX(METADATA!$T$2:$T$20,MATCH(B1106,METADATA!$S$2:$S$20,0))),0)</f>
        <v>0</v>
      </c>
      <c r="E1106" s="312" t="str">
        <f t="shared" si="68"/>
        <v>LO</v>
      </c>
      <c r="F1106" s="369">
        <f>VLOOKUP(C1106,METADATA!$A$5:$H$29,IF(E1106="HI",2,IF(E1106="LO",6,10))+IF(D1106=1,2,IF(D1106=7,1,(IF(WEEKDAY(B1106)=1,2,IF(WEEKDAY(B1106)=7,1,0))))))</f>
        <v>3</v>
      </c>
      <c r="G1106" s="369">
        <f>VLOOKUP(C1106,METADATA!$J$5:$Q$29,IF(E1106="HI",2,IF(E1106="LO",6,10))+IF(D1106=1,2,IF(D1106=7,1,(IF(WEEKDAY(B1106)=1,2,IF(WEEKDAY(B1106)=7,1,0))))))</f>
        <v>3</v>
      </c>
      <c r="H1106" s="370">
        <v>13375.124755859375</v>
      </c>
      <c r="I1106" s="370">
        <v>1917.5000076293945</v>
      </c>
      <c r="M1106" s="371">
        <f t="shared" si="69"/>
        <v>13511.875092453343</v>
      </c>
      <c r="N1106" s="329">
        <f t="shared" si="70"/>
        <v>0</v>
      </c>
      <c r="T1106" s="331">
        <v>0</v>
      </c>
      <c r="U1106" s="328">
        <f>VLOOKUP(C1106,METADATA!$J$5:$Q$29,IF(E1106="HI",2,IF(E1106="LO",6,10))+IF(T1106=1,2,IF(D1106=7,1,(IF(WEEKDAY(B1106)=1,2,IF(WEEKDAY(B1106)=7,1,0))))))</f>
        <v>3</v>
      </c>
      <c r="V1106" s="328">
        <f>VLOOKUP(C1106,METADATA!$A$5:$H$29,IF(E1106="HI",2,IF(E1106="LO",6,10))+IF(T1106=1,2,IF(D1106=7,1,(IF(WEEKDAY(B1106)=1,2,IF(WEEKDAY(B1106)=7,1,0))))))</f>
        <v>3</v>
      </c>
    </row>
    <row r="1107" spans="2:22">
      <c r="B1107" s="318">
        <f t="shared" si="67"/>
        <v>46158</v>
      </c>
      <c r="C1107" s="312">
        <v>23</v>
      </c>
      <c r="D1107" s="368">
        <f>IFERROR((INDEX(METADATA!$T$2:$T$20,MATCH(B1107,METADATA!$S$2:$S$20,0))),0)</f>
        <v>0</v>
      </c>
      <c r="E1107" s="312" t="str">
        <f t="shared" si="68"/>
        <v>LO</v>
      </c>
      <c r="F1107" s="369">
        <f>VLOOKUP(C1107,METADATA!$A$5:$H$29,IF(E1107="HI",2,IF(E1107="LO",6,10))+IF(D1107=1,2,IF(D1107=7,1,(IF(WEEKDAY(B1107)=1,2,IF(WEEKDAY(B1107)=7,1,0))))))</f>
        <v>3</v>
      </c>
      <c r="G1107" s="369">
        <f>VLOOKUP(C1107,METADATA!$J$5:$Q$29,IF(E1107="HI",2,IF(E1107="LO",6,10))+IF(D1107=1,2,IF(D1107=7,1,(IF(WEEKDAY(B1107)=1,2,IF(WEEKDAY(B1107)=7,1,0))))))</f>
        <v>3</v>
      </c>
      <c r="H1107" s="370">
        <v>13422.539978027344</v>
      </c>
      <c r="I1107" s="370">
        <v>1956.6750183105469</v>
      </c>
      <c r="M1107" s="371">
        <f t="shared" si="69"/>
        <v>13564.40771242972</v>
      </c>
      <c r="N1107" s="329">
        <f t="shared" si="70"/>
        <v>0</v>
      </c>
      <c r="T1107" s="331">
        <v>0</v>
      </c>
      <c r="U1107" s="328">
        <f>VLOOKUP(C1107,METADATA!$J$5:$Q$29,IF(E1107="HI",2,IF(E1107="LO",6,10))+IF(T1107=1,2,IF(D1107=7,1,(IF(WEEKDAY(B1107)=1,2,IF(WEEKDAY(B1107)=7,1,0))))))</f>
        <v>3</v>
      </c>
      <c r="V1107" s="328">
        <f>VLOOKUP(C1107,METADATA!$A$5:$H$29,IF(E1107="HI",2,IF(E1107="LO",6,10))+IF(T1107=1,2,IF(D1107=7,1,(IF(WEEKDAY(B1107)=1,2,IF(WEEKDAY(B1107)=7,1,0))))))</f>
        <v>3</v>
      </c>
    </row>
    <row r="1108" spans="2:22">
      <c r="B1108" s="318">
        <f t="shared" si="67"/>
        <v>46159</v>
      </c>
      <c r="C1108" s="312">
        <v>0</v>
      </c>
      <c r="D1108" s="368">
        <f>IFERROR((INDEX(METADATA!$T$2:$T$20,MATCH(B1108,METADATA!$S$2:$S$20,0))),0)</f>
        <v>0</v>
      </c>
      <c r="E1108" s="312" t="str">
        <f t="shared" si="68"/>
        <v>LO</v>
      </c>
      <c r="F1108" s="369">
        <f>VLOOKUP(C1108,METADATA!$A$5:$H$29,IF(E1108="HI",2,IF(E1108="LO",6,10))+IF(D1108=1,2,IF(D1108=7,1,(IF(WEEKDAY(B1108)=1,2,IF(WEEKDAY(B1108)=7,1,0))))))</f>
        <v>3</v>
      </c>
      <c r="G1108" s="369">
        <f>VLOOKUP(C1108,METADATA!$J$5:$Q$29,IF(E1108="HI",2,IF(E1108="LO",6,10))+IF(D1108=1,2,IF(D1108=7,1,(IF(WEEKDAY(B1108)=1,2,IF(WEEKDAY(B1108)=7,1,0))))))</f>
        <v>3</v>
      </c>
      <c r="H1108" s="370">
        <v>13143.23486328125</v>
      </c>
      <c r="I1108" s="370">
        <v>1729.4850006103516</v>
      </c>
      <c r="M1108" s="371">
        <f t="shared" si="69"/>
        <v>13256.535785743872</v>
      </c>
      <c r="N1108" s="329">
        <f t="shared" si="70"/>
        <v>0</v>
      </c>
      <c r="T1108" s="331">
        <v>0</v>
      </c>
      <c r="U1108" s="328">
        <f>VLOOKUP(C1108,METADATA!$J$5:$Q$29,IF(E1108="HI",2,IF(E1108="LO",6,10))+IF(T1108=1,2,IF(D1108=7,1,(IF(WEEKDAY(B1108)=1,2,IF(WEEKDAY(B1108)=7,1,0))))))</f>
        <v>3</v>
      </c>
      <c r="V1108" s="328">
        <f>VLOOKUP(C1108,METADATA!$A$5:$H$29,IF(E1108="HI",2,IF(E1108="LO",6,10))+IF(T1108=1,2,IF(D1108=7,1,(IF(WEEKDAY(B1108)=1,2,IF(WEEKDAY(B1108)=7,1,0))))))</f>
        <v>3</v>
      </c>
    </row>
    <row r="1109" spans="2:22">
      <c r="B1109" s="318">
        <f t="shared" si="67"/>
        <v>46159</v>
      </c>
      <c r="C1109" s="312">
        <v>1</v>
      </c>
      <c r="D1109" s="368">
        <f>IFERROR((INDEX(METADATA!$T$2:$T$20,MATCH(B1109,METADATA!$S$2:$S$20,0))),0)</f>
        <v>0</v>
      </c>
      <c r="E1109" s="312" t="str">
        <f t="shared" si="68"/>
        <v>LO</v>
      </c>
      <c r="F1109" s="369">
        <f>VLOOKUP(C1109,METADATA!$A$5:$H$29,IF(E1109="HI",2,IF(E1109="LO",6,10))+IF(D1109=1,2,IF(D1109=7,1,(IF(WEEKDAY(B1109)=1,2,IF(WEEKDAY(B1109)=7,1,0))))))</f>
        <v>3</v>
      </c>
      <c r="G1109" s="369">
        <f>VLOOKUP(C1109,METADATA!$J$5:$Q$29,IF(E1109="HI",2,IF(E1109="LO",6,10))+IF(D1109=1,2,IF(D1109=7,1,(IF(WEEKDAY(B1109)=1,2,IF(WEEKDAY(B1109)=7,1,0))))))</f>
        <v>3</v>
      </c>
      <c r="H1109" s="370">
        <v>13371.475036621094</v>
      </c>
      <c r="I1109" s="370">
        <v>1932.4575347900391</v>
      </c>
      <c r="M1109" s="371">
        <f t="shared" si="69"/>
        <v>13510.393657430854</v>
      </c>
      <c r="N1109" s="329">
        <f t="shared" si="70"/>
        <v>0</v>
      </c>
      <c r="T1109" s="331">
        <v>0</v>
      </c>
      <c r="U1109" s="328">
        <f>VLOOKUP(C1109,METADATA!$J$5:$Q$29,IF(E1109="HI",2,IF(E1109="LO",6,10))+IF(T1109=1,2,IF(D1109=7,1,(IF(WEEKDAY(B1109)=1,2,IF(WEEKDAY(B1109)=7,1,0))))))</f>
        <v>3</v>
      </c>
      <c r="V1109" s="328">
        <f>VLOOKUP(C1109,METADATA!$A$5:$H$29,IF(E1109="HI",2,IF(E1109="LO",6,10))+IF(T1109=1,2,IF(D1109=7,1,(IF(WEEKDAY(B1109)=1,2,IF(WEEKDAY(B1109)=7,1,0))))))</f>
        <v>3</v>
      </c>
    </row>
    <row r="1110" spans="2:22">
      <c r="B1110" s="318">
        <f t="shared" si="67"/>
        <v>46159</v>
      </c>
      <c r="C1110" s="312">
        <v>2</v>
      </c>
      <c r="D1110" s="368">
        <f>IFERROR((INDEX(METADATA!$T$2:$T$20,MATCH(B1110,METADATA!$S$2:$S$20,0))),0)</f>
        <v>0</v>
      </c>
      <c r="E1110" s="312" t="str">
        <f t="shared" si="68"/>
        <v>LO</v>
      </c>
      <c r="F1110" s="369">
        <f>VLOOKUP(C1110,METADATA!$A$5:$H$29,IF(E1110="HI",2,IF(E1110="LO",6,10))+IF(D1110=1,2,IF(D1110=7,1,(IF(WEEKDAY(B1110)=1,2,IF(WEEKDAY(B1110)=7,1,0))))))</f>
        <v>3</v>
      </c>
      <c r="G1110" s="369">
        <f>VLOOKUP(C1110,METADATA!$J$5:$Q$29,IF(E1110="HI",2,IF(E1110="LO",6,10))+IF(D1110=1,2,IF(D1110=7,1,(IF(WEEKDAY(B1110)=1,2,IF(WEEKDAY(B1110)=7,1,0))))))</f>
        <v>3</v>
      </c>
      <c r="H1110" s="370">
        <v>13603.140014648438</v>
      </c>
      <c r="I1110" s="370">
        <v>1986.4049682617188</v>
      </c>
      <c r="M1110" s="371">
        <f t="shared" si="69"/>
        <v>13747.407863159669</v>
      </c>
      <c r="N1110" s="329">
        <f t="shared" si="70"/>
        <v>0</v>
      </c>
      <c r="T1110" s="331">
        <v>0</v>
      </c>
      <c r="U1110" s="328">
        <f>VLOOKUP(C1110,METADATA!$J$5:$Q$29,IF(E1110="HI",2,IF(E1110="LO",6,10))+IF(T1110=1,2,IF(D1110=7,1,(IF(WEEKDAY(B1110)=1,2,IF(WEEKDAY(B1110)=7,1,0))))))</f>
        <v>3</v>
      </c>
      <c r="V1110" s="328">
        <f>VLOOKUP(C1110,METADATA!$A$5:$H$29,IF(E1110="HI",2,IF(E1110="LO",6,10))+IF(T1110=1,2,IF(D1110=7,1,(IF(WEEKDAY(B1110)=1,2,IF(WEEKDAY(B1110)=7,1,0))))))</f>
        <v>3</v>
      </c>
    </row>
    <row r="1111" spans="2:22">
      <c r="B1111" s="318">
        <f t="shared" si="67"/>
        <v>46159</v>
      </c>
      <c r="C1111" s="312">
        <v>3</v>
      </c>
      <c r="D1111" s="368">
        <f>IFERROR((INDEX(METADATA!$T$2:$T$20,MATCH(B1111,METADATA!$S$2:$S$20,0))),0)</f>
        <v>0</v>
      </c>
      <c r="E1111" s="312" t="str">
        <f t="shared" si="68"/>
        <v>LO</v>
      </c>
      <c r="F1111" s="369">
        <f>VLOOKUP(C1111,METADATA!$A$5:$H$29,IF(E1111="HI",2,IF(E1111="LO",6,10))+IF(D1111=1,2,IF(D1111=7,1,(IF(WEEKDAY(B1111)=1,2,IF(WEEKDAY(B1111)=7,1,0))))))</f>
        <v>3</v>
      </c>
      <c r="G1111" s="369">
        <f>VLOOKUP(C1111,METADATA!$J$5:$Q$29,IF(E1111="HI",2,IF(E1111="LO",6,10))+IF(D1111=1,2,IF(D1111=7,1,(IF(WEEKDAY(B1111)=1,2,IF(WEEKDAY(B1111)=7,1,0))))))</f>
        <v>3</v>
      </c>
      <c r="H1111" s="370">
        <v>13551.6279296875</v>
      </c>
      <c r="I1111" s="370">
        <v>2049.0025024414063</v>
      </c>
      <c r="M1111" s="371">
        <f t="shared" si="69"/>
        <v>13705.656890484945</v>
      </c>
      <c r="N1111" s="329">
        <f t="shared" si="70"/>
        <v>0</v>
      </c>
      <c r="T1111" s="331">
        <v>0</v>
      </c>
      <c r="U1111" s="328">
        <f>VLOOKUP(C1111,METADATA!$J$5:$Q$29,IF(E1111="HI",2,IF(E1111="LO",6,10))+IF(T1111=1,2,IF(D1111=7,1,(IF(WEEKDAY(B1111)=1,2,IF(WEEKDAY(B1111)=7,1,0))))))</f>
        <v>3</v>
      </c>
      <c r="V1111" s="328">
        <f>VLOOKUP(C1111,METADATA!$A$5:$H$29,IF(E1111="HI",2,IF(E1111="LO",6,10))+IF(T1111=1,2,IF(D1111=7,1,(IF(WEEKDAY(B1111)=1,2,IF(WEEKDAY(B1111)=7,1,0))))))</f>
        <v>3</v>
      </c>
    </row>
    <row r="1112" spans="2:22">
      <c r="B1112" s="318">
        <f t="shared" si="67"/>
        <v>46159</v>
      </c>
      <c r="C1112" s="312">
        <v>4</v>
      </c>
      <c r="D1112" s="368">
        <f>IFERROR((INDEX(METADATA!$T$2:$T$20,MATCH(B1112,METADATA!$S$2:$S$20,0))),0)</f>
        <v>0</v>
      </c>
      <c r="E1112" s="312" t="str">
        <f t="shared" si="68"/>
        <v>LO</v>
      </c>
      <c r="F1112" s="369">
        <f>VLOOKUP(C1112,METADATA!$A$5:$H$29,IF(E1112="HI",2,IF(E1112="LO",6,10))+IF(D1112=1,2,IF(D1112=7,1,(IF(WEEKDAY(B1112)=1,2,IF(WEEKDAY(B1112)=7,1,0))))))</f>
        <v>3</v>
      </c>
      <c r="G1112" s="369">
        <f>VLOOKUP(C1112,METADATA!$J$5:$Q$29,IF(E1112="HI",2,IF(E1112="LO",6,10))+IF(D1112=1,2,IF(D1112=7,1,(IF(WEEKDAY(B1112)=1,2,IF(WEEKDAY(B1112)=7,1,0))))))</f>
        <v>3</v>
      </c>
      <c r="H1112" s="370">
        <v>13600.994934082031</v>
      </c>
      <c r="I1112" s="370">
        <v>2118.6725616455078</v>
      </c>
      <c r="M1112" s="371">
        <f t="shared" si="69"/>
        <v>13765.022216487507</v>
      </c>
      <c r="N1112" s="329">
        <f t="shared" si="70"/>
        <v>0</v>
      </c>
      <c r="T1112" s="331">
        <v>0</v>
      </c>
      <c r="U1112" s="328">
        <f>VLOOKUP(C1112,METADATA!$J$5:$Q$29,IF(E1112="HI",2,IF(E1112="LO",6,10))+IF(T1112=1,2,IF(D1112=7,1,(IF(WEEKDAY(B1112)=1,2,IF(WEEKDAY(B1112)=7,1,0))))))</f>
        <v>3</v>
      </c>
      <c r="V1112" s="328">
        <f>VLOOKUP(C1112,METADATA!$A$5:$H$29,IF(E1112="HI",2,IF(E1112="LO",6,10))+IF(T1112=1,2,IF(D1112=7,1,(IF(WEEKDAY(B1112)=1,2,IF(WEEKDAY(B1112)=7,1,0))))))</f>
        <v>3</v>
      </c>
    </row>
    <row r="1113" spans="2:22">
      <c r="B1113" s="318">
        <f t="shared" si="67"/>
        <v>46159</v>
      </c>
      <c r="C1113" s="312">
        <v>5</v>
      </c>
      <c r="D1113" s="368">
        <f>IFERROR((INDEX(METADATA!$T$2:$T$20,MATCH(B1113,METADATA!$S$2:$S$20,0))),0)</f>
        <v>0</v>
      </c>
      <c r="E1113" s="312" t="str">
        <f t="shared" si="68"/>
        <v>LO</v>
      </c>
      <c r="F1113" s="369">
        <f>VLOOKUP(C1113,METADATA!$A$5:$H$29,IF(E1113="HI",2,IF(E1113="LO",6,10))+IF(D1113=1,2,IF(D1113=7,1,(IF(WEEKDAY(B1113)=1,2,IF(WEEKDAY(B1113)=7,1,0))))))</f>
        <v>3</v>
      </c>
      <c r="G1113" s="369">
        <f>VLOOKUP(C1113,METADATA!$J$5:$Q$29,IF(E1113="HI",2,IF(E1113="LO",6,10))+IF(D1113=1,2,IF(D1113=7,1,(IF(WEEKDAY(B1113)=1,2,IF(WEEKDAY(B1113)=7,1,0))))))</f>
        <v>3</v>
      </c>
      <c r="H1113" s="370">
        <v>13536.729797363281</v>
      </c>
      <c r="I1113" s="370">
        <v>2078.4950256347656</v>
      </c>
      <c r="M1113" s="371">
        <f t="shared" si="69"/>
        <v>13695.371304875651</v>
      </c>
      <c r="N1113" s="329">
        <f t="shared" si="70"/>
        <v>0</v>
      </c>
      <c r="T1113" s="331">
        <v>0</v>
      </c>
      <c r="U1113" s="328">
        <f>VLOOKUP(C1113,METADATA!$J$5:$Q$29,IF(E1113="HI",2,IF(E1113="LO",6,10))+IF(T1113=1,2,IF(D1113=7,1,(IF(WEEKDAY(B1113)=1,2,IF(WEEKDAY(B1113)=7,1,0))))))</f>
        <v>3</v>
      </c>
      <c r="V1113" s="328">
        <f>VLOOKUP(C1113,METADATA!$A$5:$H$29,IF(E1113="HI",2,IF(E1113="LO",6,10))+IF(T1113=1,2,IF(D1113=7,1,(IF(WEEKDAY(B1113)=1,2,IF(WEEKDAY(B1113)=7,1,0))))))</f>
        <v>3</v>
      </c>
    </row>
    <row r="1114" spans="2:22">
      <c r="B1114" s="318">
        <f t="shared" si="67"/>
        <v>46159</v>
      </c>
      <c r="C1114" s="312">
        <v>6</v>
      </c>
      <c r="D1114" s="368">
        <f>IFERROR((INDEX(METADATA!$T$2:$T$20,MATCH(B1114,METADATA!$S$2:$S$20,0))),0)</f>
        <v>0</v>
      </c>
      <c r="E1114" s="312" t="str">
        <f t="shared" si="68"/>
        <v>LO</v>
      </c>
      <c r="F1114" s="369">
        <f>VLOOKUP(C1114,METADATA!$A$5:$H$29,IF(E1114="HI",2,IF(E1114="LO",6,10))+IF(D1114=1,2,IF(D1114=7,1,(IF(WEEKDAY(B1114)=1,2,IF(WEEKDAY(B1114)=7,1,0))))))</f>
        <v>3</v>
      </c>
      <c r="G1114" s="369">
        <f>VLOOKUP(C1114,METADATA!$J$5:$Q$29,IF(E1114="HI",2,IF(E1114="LO",6,10))+IF(D1114=1,2,IF(D1114=7,1,(IF(WEEKDAY(B1114)=1,2,IF(WEEKDAY(B1114)=7,1,0))))))</f>
        <v>3</v>
      </c>
      <c r="H1114" s="370">
        <v>13709.615173339844</v>
      </c>
      <c r="I1114" s="370">
        <v>2014.125</v>
      </c>
      <c r="M1114" s="371">
        <f t="shared" si="69"/>
        <v>13856.776238241529</v>
      </c>
      <c r="N1114" s="329">
        <f t="shared" si="70"/>
        <v>0</v>
      </c>
      <c r="T1114" s="331">
        <v>0</v>
      </c>
      <c r="U1114" s="328">
        <f>VLOOKUP(C1114,METADATA!$J$5:$Q$29,IF(E1114="HI",2,IF(E1114="LO",6,10))+IF(T1114=1,2,IF(D1114=7,1,(IF(WEEKDAY(B1114)=1,2,IF(WEEKDAY(B1114)=7,1,0))))))</f>
        <v>3</v>
      </c>
      <c r="V1114" s="328">
        <f>VLOOKUP(C1114,METADATA!$A$5:$H$29,IF(E1114="HI",2,IF(E1114="LO",6,10))+IF(T1114=1,2,IF(D1114=7,1,(IF(WEEKDAY(B1114)=1,2,IF(WEEKDAY(B1114)=7,1,0))))))</f>
        <v>3</v>
      </c>
    </row>
    <row r="1115" spans="2:22">
      <c r="B1115" s="318">
        <f t="shared" si="67"/>
        <v>46159</v>
      </c>
      <c r="C1115" s="312">
        <v>7</v>
      </c>
      <c r="D1115" s="368">
        <f>IFERROR((INDEX(METADATA!$T$2:$T$20,MATCH(B1115,METADATA!$S$2:$S$20,0))),0)</f>
        <v>0</v>
      </c>
      <c r="E1115" s="312" t="str">
        <f t="shared" si="68"/>
        <v>LO</v>
      </c>
      <c r="F1115" s="369">
        <f>VLOOKUP(C1115,METADATA!$A$5:$H$29,IF(E1115="HI",2,IF(E1115="LO",6,10))+IF(D1115=1,2,IF(D1115=7,1,(IF(WEEKDAY(B1115)=1,2,IF(WEEKDAY(B1115)=7,1,0))))))</f>
        <v>3</v>
      </c>
      <c r="G1115" s="369">
        <f>VLOOKUP(C1115,METADATA!$J$5:$Q$29,IF(E1115="HI",2,IF(E1115="LO",6,10))+IF(D1115=1,2,IF(D1115=7,1,(IF(WEEKDAY(B1115)=1,2,IF(WEEKDAY(B1115)=7,1,0))))))</f>
        <v>3</v>
      </c>
      <c r="H1115" s="370">
        <v>13784.210083007813</v>
      </c>
      <c r="I1115" s="370">
        <v>1993.4409780502319</v>
      </c>
      <c r="M1115" s="371">
        <f t="shared" si="69"/>
        <v>13927.607638983232</v>
      </c>
      <c r="N1115" s="329">
        <f t="shared" si="70"/>
        <v>0</v>
      </c>
      <c r="T1115" s="331">
        <v>0</v>
      </c>
      <c r="U1115" s="328">
        <f>VLOOKUP(C1115,METADATA!$J$5:$Q$29,IF(E1115="HI",2,IF(E1115="LO",6,10))+IF(T1115=1,2,IF(D1115=7,1,(IF(WEEKDAY(B1115)=1,2,IF(WEEKDAY(B1115)=7,1,0))))))</f>
        <v>3</v>
      </c>
      <c r="V1115" s="328">
        <f>VLOOKUP(C1115,METADATA!$A$5:$H$29,IF(E1115="HI",2,IF(E1115="LO",6,10))+IF(T1115=1,2,IF(D1115=7,1,(IF(WEEKDAY(B1115)=1,2,IF(WEEKDAY(B1115)=7,1,0))))))</f>
        <v>3</v>
      </c>
    </row>
    <row r="1116" spans="2:22">
      <c r="B1116" s="318">
        <f t="shared" ref="B1116:B1179" si="71">B1092+1</f>
        <v>46159</v>
      </c>
      <c r="C1116" s="312">
        <v>8</v>
      </c>
      <c r="D1116" s="368">
        <f>IFERROR((INDEX(METADATA!$T$2:$T$20,MATCH(B1116,METADATA!$S$2:$S$20,0))),0)</f>
        <v>0</v>
      </c>
      <c r="E1116" s="312" t="str">
        <f t="shared" si="68"/>
        <v>LO</v>
      </c>
      <c r="F1116" s="369">
        <f>VLOOKUP(C1116,METADATA!$A$5:$H$29,IF(E1116="HI",2,IF(E1116="LO",6,10))+IF(D1116=1,2,IF(D1116=7,1,(IF(WEEKDAY(B1116)=1,2,IF(WEEKDAY(B1116)=7,1,0))))))</f>
        <v>3</v>
      </c>
      <c r="G1116" s="369">
        <f>VLOOKUP(C1116,METADATA!$J$5:$Q$29,IF(E1116="HI",2,IF(E1116="LO",6,10))+IF(D1116=1,2,IF(D1116=7,1,(IF(WEEKDAY(B1116)=1,2,IF(WEEKDAY(B1116)=7,1,0))))))</f>
        <v>3</v>
      </c>
      <c r="H1116" s="370">
        <v>12262.850036621094</v>
      </c>
      <c r="I1116" s="370">
        <v>1386.890483379364</v>
      </c>
      <c r="M1116" s="371">
        <f t="shared" si="69"/>
        <v>12341.027357296725</v>
      </c>
      <c r="N1116" s="329">
        <f t="shared" si="70"/>
        <v>0</v>
      </c>
      <c r="T1116" s="331">
        <v>0</v>
      </c>
      <c r="U1116" s="328">
        <f>VLOOKUP(C1116,METADATA!$J$5:$Q$29,IF(E1116="HI",2,IF(E1116="LO",6,10))+IF(T1116=1,2,IF(D1116=7,1,(IF(WEEKDAY(B1116)=1,2,IF(WEEKDAY(B1116)=7,1,0))))))</f>
        <v>3</v>
      </c>
      <c r="V1116" s="328">
        <f>VLOOKUP(C1116,METADATA!$A$5:$H$29,IF(E1116="HI",2,IF(E1116="LO",6,10))+IF(T1116=1,2,IF(D1116=7,1,(IF(WEEKDAY(B1116)=1,2,IF(WEEKDAY(B1116)=7,1,0))))))</f>
        <v>3</v>
      </c>
    </row>
    <row r="1117" spans="2:22">
      <c r="B1117" s="318">
        <f t="shared" si="71"/>
        <v>46159</v>
      </c>
      <c r="C1117" s="312">
        <v>9</v>
      </c>
      <c r="D1117" s="368">
        <f>IFERROR((INDEX(METADATA!$T$2:$T$20,MATCH(B1117,METADATA!$S$2:$S$20,0))),0)</f>
        <v>0</v>
      </c>
      <c r="E1117" s="312" t="str">
        <f t="shared" si="68"/>
        <v>LO</v>
      </c>
      <c r="F1117" s="369">
        <f>VLOOKUP(C1117,METADATA!$A$5:$H$29,IF(E1117="HI",2,IF(E1117="LO",6,10))+IF(D1117=1,2,IF(D1117=7,1,(IF(WEEKDAY(B1117)=1,2,IF(WEEKDAY(B1117)=7,1,0))))))</f>
        <v>3</v>
      </c>
      <c r="G1117" s="369">
        <f>VLOOKUP(C1117,METADATA!$J$5:$Q$29,IF(E1117="HI",2,IF(E1117="LO",6,10))+IF(D1117=1,2,IF(D1117=7,1,(IF(WEEKDAY(B1117)=1,2,IF(WEEKDAY(B1117)=7,1,0))))))</f>
        <v>3</v>
      </c>
      <c r="H1117" s="370">
        <v>7081.7175598144531</v>
      </c>
      <c r="I1117" s="370">
        <v>5.0000002374872565E-4</v>
      </c>
      <c r="M1117" s="371">
        <f t="shared" si="69"/>
        <v>7081.7175598144713</v>
      </c>
      <c r="N1117" s="329">
        <f t="shared" si="70"/>
        <v>0</v>
      </c>
      <c r="T1117" s="331">
        <v>0</v>
      </c>
      <c r="U1117" s="328">
        <f>VLOOKUP(C1117,METADATA!$J$5:$Q$29,IF(E1117="HI",2,IF(E1117="LO",6,10))+IF(T1117=1,2,IF(D1117=7,1,(IF(WEEKDAY(B1117)=1,2,IF(WEEKDAY(B1117)=7,1,0))))))</f>
        <v>3</v>
      </c>
      <c r="V1117" s="328">
        <f>VLOOKUP(C1117,METADATA!$A$5:$H$29,IF(E1117="HI",2,IF(E1117="LO",6,10))+IF(T1117=1,2,IF(D1117=7,1,(IF(WEEKDAY(B1117)=1,2,IF(WEEKDAY(B1117)=7,1,0))))))</f>
        <v>3</v>
      </c>
    </row>
    <row r="1118" spans="2:22">
      <c r="B1118" s="318">
        <f t="shared" si="71"/>
        <v>46159</v>
      </c>
      <c r="C1118" s="312">
        <v>10</v>
      </c>
      <c r="D1118" s="368">
        <f>IFERROR((INDEX(METADATA!$T$2:$T$20,MATCH(B1118,METADATA!$S$2:$S$20,0))),0)</f>
        <v>0</v>
      </c>
      <c r="E1118" s="312" t="str">
        <f t="shared" si="68"/>
        <v>LO</v>
      </c>
      <c r="F1118" s="369">
        <f>VLOOKUP(C1118,METADATA!$A$5:$H$29,IF(E1118="HI",2,IF(E1118="LO",6,10))+IF(D1118=1,2,IF(D1118=7,1,(IF(WEEKDAY(B1118)=1,2,IF(WEEKDAY(B1118)=7,1,0))))))</f>
        <v>3</v>
      </c>
      <c r="G1118" s="369">
        <f>VLOOKUP(C1118,METADATA!$J$5:$Q$29,IF(E1118="HI",2,IF(E1118="LO",6,10))+IF(D1118=1,2,IF(D1118=7,1,(IF(WEEKDAY(B1118)=1,2,IF(WEEKDAY(B1118)=7,1,0))))))</f>
        <v>3</v>
      </c>
      <c r="H1118" s="370">
        <v>6142.2674560546875</v>
      </c>
      <c r="I1118" s="370">
        <v>0</v>
      </c>
      <c r="M1118" s="371">
        <f t="shared" si="69"/>
        <v>6142.2674560546875</v>
      </c>
      <c r="N1118" s="329">
        <f t="shared" si="70"/>
        <v>0</v>
      </c>
      <c r="T1118" s="331">
        <v>0</v>
      </c>
      <c r="U1118" s="328">
        <f>VLOOKUP(C1118,METADATA!$J$5:$Q$29,IF(E1118="HI",2,IF(E1118="LO",6,10))+IF(T1118=1,2,IF(D1118=7,1,(IF(WEEKDAY(B1118)=1,2,IF(WEEKDAY(B1118)=7,1,0))))))</f>
        <v>3</v>
      </c>
      <c r="V1118" s="328">
        <f>VLOOKUP(C1118,METADATA!$A$5:$H$29,IF(E1118="HI",2,IF(E1118="LO",6,10))+IF(T1118=1,2,IF(D1118=7,1,(IF(WEEKDAY(B1118)=1,2,IF(WEEKDAY(B1118)=7,1,0))))))</f>
        <v>3</v>
      </c>
    </row>
    <row r="1119" spans="2:22">
      <c r="B1119" s="318">
        <f t="shared" si="71"/>
        <v>46159</v>
      </c>
      <c r="C1119" s="312">
        <v>11</v>
      </c>
      <c r="D1119" s="368">
        <f>IFERROR((INDEX(METADATA!$T$2:$T$20,MATCH(B1119,METADATA!$S$2:$S$20,0))),0)</f>
        <v>0</v>
      </c>
      <c r="E1119" s="312" t="str">
        <f t="shared" si="68"/>
        <v>LO</v>
      </c>
      <c r="F1119" s="369">
        <f>VLOOKUP(C1119,METADATA!$A$5:$H$29,IF(E1119="HI",2,IF(E1119="LO",6,10))+IF(D1119=1,2,IF(D1119=7,1,(IF(WEEKDAY(B1119)=1,2,IF(WEEKDAY(B1119)=7,1,0))))))</f>
        <v>3</v>
      </c>
      <c r="G1119" s="369">
        <f>VLOOKUP(C1119,METADATA!$J$5:$Q$29,IF(E1119="HI",2,IF(E1119="LO",6,10))+IF(D1119=1,2,IF(D1119=7,1,(IF(WEEKDAY(B1119)=1,2,IF(WEEKDAY(B1119)=7,1,0))))))</f>
        <v>3</v>
      </c>
      <c r="H1119" s="370">
        <v>5319.2374877929688</v>
      </c>
      <c r="I1119" s="370">
        <v>0</v>
      </c>
      <c r="M1119" s="371">
        <f t="shared" si="69"/>
        <v>5319.2374877929688</v>
      </c>
      <c r="N1119" s="329">
        <f t="shared" si="70"/>
        <v>0</v>
      </c>
      <c r="T1119" s="331">
        <v>0</v>
      </c>
      <c r="U1119" s="328">
        <f>VLOOKUP(C1119,METADATA!$J$5:$Q$29,IF(E1119="HI",2,IF(E1119="LO",6,10))+IF(T1119=1,2,IF(D1119=7,1,(IF(WEEKDAY(B1119)=1,2,IF(WEEKDAY(B1119)=7,1,0))))))</f>
        <v>3</v>
      </c>
      <c r="V1119" s="328">
        <f>VLOOKUP(C1119,METADATA!$A$5:$H$29,IF(E1119="HI",2,IF(E1119="LO",6,10))+IF(T1119=1,2,IF(D1119=7,1,(IF(WEEKDAY(B1119)=1,2,IF(WEEKDAY(B1119)=7,1,0))))))</f>
        <v>3</v>
      </c>
    </row>
    <row r="1120" spans="2:22">
      <c r="B1120" s="318">
        <f t="shared" si="71"/>
        <v>46159</v>
      </c>
      <c r="C1120" s="312">
        <v>12</v>
      </c>
      <c r="D1120" s="368">
        <f>IFERROR((INDEX(METADATA!$T$2:$T$20,MATCH(B1120,METADATA!$S$2:$S$20,0))),0)</f>
        <v>0</v>
      </c>
      <c r="E1120" s="312" t="str">
        <f t="shared" si="68"/>
        <v>LO</v>
      </c>
      <c r="F1120" s="369">
        <f>VLOOKUP(C1120,METADATA!$A$5:$H$29,IF(E1120="HI",2,IF(E1120="LO",6,10))+IF(D1120=1,2,IF(D1120=7,1,(IF(WEEKDAY(B1120)=1,2,IF(WEEKDAY(B1120)=7,1,0))))))</f>
        <v>3</v>
      </c>
      <c r="G1120" s="369">
        <f>VLOOKUP(C1120,METADATA!$J$5:$Q$29,IF(E1120="HI",2,IF(E1120="LO",6,10))+IF(D1120=1,2,IF(D1120=7,1,(IF(WEEKDAY(B1120)=1,2,IF(WEEKDAY(B1120)=7,1,0))))))</f>
        <v>3</v>
      </c>
      <c r="H1120" s="370">
        <v>5193.0100708007813</v>
      </c>
      <c r="I1120" s="370">
        <v>0</v>
      </c>
      <c r="M1120" s="371">
        <f t="shared" si="69"/>
        <v>5193.0100708007813</v>
      </c>
      <c r="N1120" s="329">
        <f t="shared" si="70"/>
        <v>0</v>
      </c>
      <c r="T1120" s="331">
        <v>0</v>
      </c>
      <c r="U1120" s="328">
        <f>VLOOKUP(C1120,METADATA!$J$5:$Q$29,IF(E1120="HI",2,IF(E1120="LO",6,10))+IF(T1120=1,2,IF(D1120=7,1,(IF(WEEKDAY(B1120)=1,2,IF(WEEKDAY(B1120)=7,1,0))))))</f>
        <v>3</v>
      </c>
      <c r="V1120" s="328">
        <f>VLOOKUP(C1120,METADATA!$A$5:$H$29,IF(E1120="HI",2,IF(E1120="LO",6,10))+IF(T1120=1,2,IF(D1120=7,1,(IF(WEEKDAY(B1120)=1,2,IF(WEEKDAY(B1120)=7,1,0))))))</f>
        <v>3</v>
      </c>
    </row>
    <row r="1121" spans="2:22">
      <c r="B1121" s="318">
        <f t="shared" si="71"/>
        <v>46159</v>
      </c>
      <c r="C1121" s="312">
        <v>13</v>
      </c>
      <c r="D1121" s="368">
        <f>IFERROR((INDEX(METADATA!$T$2:$T$20,MATCH(B1121,METADATA!$S$2:$S$20,0))),0)</f>
        <v>0</v>
      </c>
      <c r="E1121" s="312" t="str">
        <f t="shared" si="68"/>
        <v>LO</v>
      </c>
      <c r="F1121" s="369">
        <f>VLOOKUP(C1121,METADATA!$A$5:$H$29,IF(E1121="HI",2,IF(E1121="LO",6,10))+IF(D1121=1,2,IF(D1121=7,1,(IF(WEEKDAY(B1121)=1,2,IF(WEEKDAY(B1121)=7,1,0))))))</f>
        <v>3</v>
      </c>
      <c r="G1121" s="369">
        <f>VLOOKUP(C1121,METADATA!$J$5:$Q$29,IF(E1121="HI",2,IF(E1121="LO",6,10))+IF(D1121=1,2,IF(D1121=7,1,(IF(WEEKDAY(B1121)=1,2,IF(WEEKDAY(B1121)=7,1,0))))))</f>
        <v>3</v>
      </c>
      <c r="H1121" s="370">
        <v>5363.7900390625</v>
      </c>
      <c r="I1121" s="370">
        <v>0</v>
      </c>
      <c r="M1121" s="371">
        <f t="shared" si="69"/>
        <v>5363.7900390625</v>
      </c>
      <c r="N1121" s="329">
        <f t="shared" si="70"/>
        <v>0</v>
      </c>
      <c r="T1121" s="331">
        <v>0</v>
      </c>
      <c r="U1121" s="328">
        <f>VLOOKUP(C1121,METADATA!$J$5:$Q$29,IF(E1121="HI",2,IF(E1121="LO",6,10))+IF(T1121=1,2,IF(D1121=7,1,(IF(WEEKDAY(B1121)=1,2,IF(WEEKDAY(B1121)=7,1,0))))))</f>
        <v>3</v>
      </c>
      <c r="V1121" s="328">
        <f>VLOOKUP(C1121,METADATA!$A$5:$H$29,IF(E1121="HI",2,IF(E1121="LO",6,10))+IF(T1121=1,2,IF(D1121=7,1,(IF(WEEKDAY(B1121)=1,2,IF(WEEKDAY(B1121)=7,1,0))))))</f>
        <v>3</v>
      </c>
    </row>
    <row r="1122" spans="2:22">
      <c r="B1122" s="318">
        <f t="shared" si="71"/>
        <v>46159</v>
      </c>
      <c r="C1122" s="312">
        <v>14</v>
      </c>
      <c r="D1122" s="368">
        <f>IFERROR((INDEX(METADATA!$T$2:$T$20,MATCH(B1122,METADATA!$S$2:$S$20,0))),0)</f>
        <v>0</v>
      </c>
      <c r="E1122" s="312" t="str">
        <f t="shared" si="68"/>
        <v>LO</v>
      </c>
      <c r="F1122" s="369">
        <f>VLOOKUP(C1122,METADATA!$A$5:$H$29,IF(E1122="HI",2,IF(E1122="LO",6,10))+IF(D1122=1,2,IF(D1122=7,1,(IF(WEEKDAY(B1122)=1,2,IF(WEEKDAY(B1122)=7,1,0))))))</f>
        <v>3</v>
      </c>
      <c r="G1122" s="369">
        <f>VLOOKUP(C1122,METADATA!$J$5:$Q$29,IF(E1122="HI",2,IF(E1122="LO",6,10))+IF(D1122=1,2,IF(D1122=7,1,(IF(WEEKDAY(B1122)=1,2,IF(WEEKDAY(B1122)=7,1,0))))))</f>
        <v>3</v>
      </c>
      <c r="H1122" s="370">
        <v>6719.2276611328125</v>
      </c>
      <c r="I1122" s="370">
        <v>0</v>
      </c>
      <c r="M1122" s="371">
        <f t="shared" si="69"/>
        <v>6719.2276611328125</v>
      </c>
      <c r="N1122" s="329">
        <f t="shared" si="70"/>
        <v>0</v>
      </c>
      <c r="T1122" s="331">
        <v>0</v>
      </c>
      <c r="U1122" s="328">
        <f>VLOOKUP(C1122,METADATA!$J$5:$Q$29,IF(E1122="HI",2,IF(E1122="LO",6,10))+IF(T1122=1,2,IF(D1122=7,1,(IF(WEEKDAY(B1122)=1,2,IF(WEEKDAY(B1122)=7,1,0))))))</f>
        <v>3</v>
      </c>
      <c r="V1122" s="328">
        <f>VLOOKUP(C1122,METADATA!$A$5:$H$29,IF(E1122="HI",2,IF(E1122="LO",6,10))+IF(T1122=1,2,IF(D1122=7,1,(IF(WEEKDAY(B1122)=1,2,IF(WEEKDAY(B1122)=7,1,0))))))</f>
        <v>3</v>
      </c>
    </row>
    <row r="1123" spans="2:22">
      <c r="B1123" s="318">
        <f t="shared" si="71"/>
        <v>46159</v>
      </c>
      <c r="C1123" s="312">
        <v>15</v>
      </c>
      <c r="D1123" s="368">
        <f>IFERROR((INDEX(METADATA!$T$2:$T$20,MATCH(B1123,METADATA!$S$2:$S$20,0))),0)</f>
        <v>0</v>
      </c>
      <c r="E1123" s="312" t="str">
        <f t="shared" si="68"/>
        <v>LO</v>
      </c>
      <c r="F1123" s="369">
        <f>VLOOKUP(C1123,METADATA!$A$5:$H$29,IF(E1123="HI",2,IF(E1123="LO",6,10))+IF(D1123=1,2,IF(D1123=7,1,(IF(WEEKDAY(B1123)=1,2,IF(WEEKDAY(B1123)=7,1,0))))))</f>
        <v>3</v>
      </c>
      <c r="G1123" s="369">
        <f>VLOOKUP(C1123,METADATA!$J$5:$Q$29,IF(E1123="HI",2,IF(E1123="LO",6,10))+IF(D1123=1,2,IF(D1123=7,1,(IF(WEEKDAY(B1123)=1,2,IF(WEEKDAY(B1123)=7,1,0))))))</f>
        <v>3</v>
      </c>
      <c r="H1123" s="370">
        <v>7392.1350708007813</v>
      </c>
      <c r="I1123" s="370">
        <v>0.23999999463558197</v>
      </c>
      <c r="M1123" s="371">
        <f t="shared" si="69"/>
        <v>7392.1350746968137</v>
      </c>
      <c r="N1123" s="329">
        <f t="shared" si="70"/>
        <v>0</v>
      </c>
      <c r="T1123" s="331">
        <v>0</v>
      </c>
      <c r="U1123" s="328">
        <f>VLOOKUP(C1123,METADATA!$J$5:$Q$29,IF(E1123="HI",2,IF(E1123="LO",6,10))+IF(T1123=1,2,IF(D1123=7,1,(IF(WEEKDAY(B1123)=1,2,IF(WEEKDAY(B1123)=7,1,0))))))</f>
        <v>3</v>
      </c>
      <c r="V1123" s="328">
        <f>VLOOKUP(C1123,METADATA!$A$5:$H$29,IF(E1123="HI",2,IF(E1123="LO",6,10))+IF(T1123=1,2,IF(D1123=7,1,(IF(WEEKDAY(B1123)=1,2,IF(WEEKDAY(B1123)=7,1,0))))))</f>
        <v>3</v>
      </c>
    </row>
    <row r="1124" spans="2:22">
      <c r="B1124" s="318">
        <f t="shared" si="71"/>
        <v>46159</v>
      </c>
      <c r="C1124" s="312">
        <v>16</v>
      </c>
      <c r="D1124" s="368">
        <f>IFERROR((INDEX(METADATA!$T$2:$T$20,MATCH(B1124,METADATA!$S$2:$S$20,0))),0)</f>
        <v>0</v>
      </c>
      <c r="E1124" s="312" t="str">
        <f t="shared" si="68"/>
        <v>LO</v>
      </c>
      <c r="F1124" s="369">
        <f>VLOOKUP(C1124,METADATA!$A$5:$H$29,IF(E1124="HI",2,IF(E1124="LO",6,10))+IF(D1124=1,2,IF(D1124=7,1,(IF(WEEKDAY(B1124)=1,2,IF(WEEKDAY(B1124)=7,1,0))))))</f>
        <v>3</v>
      </c>
      <c r="G1124" s="369">
        <f>VLOOKUP(C1124,METADATA!$J$5:$Q$29,IF(E1124="HI",2,IF(E1124="LO",6,10))+IF(D1124=1,2,IF(D1124=7,1,(IF(WEEKDAY(B1124)=1,2,IF(WEEKDAY(B1124)=7,1,0))))))</f>
        <v>3</v>
      </c>
      <c r="H1124" s="370">
        <v>6168.5423889160156</v>
      </c>
      <c r="I1124" s="370">
        <v>0</v>
      </c>
      <c r="M1124" s="371">
        <f t="shared" si="69"/>
        <v>6168.5423889160156</v>
      </c>
      <c r="N1124" s="329">
        <f t="shared" si="70"/>
        <v>0</v>
      </c>
      <c r="T1124" s="331">
        <v>0</v>
      </c>
      <c r="U1124" s="328">
        <f>VLOOKUP(C1124,METADATA!$J$5:$Q$29,IF(E1124="HI",2,IF(E1124="LO",6,10))+IF(T1124=1,2,IF(D1124=7,1,(IF(WEEKDAY(B1124)=1,2,IF(WEEKDAY(B1124)=7,1,0))))))</f>
        <v>3</v>
      </c>
      <c r="V1124" s="328">
        <f>VLOOKUP(C1124,METADATA!$A$5:$H$29,IF(E1124="HI",2,IF(E1124="LO",6,10))+IF(T1124=1,2,IF(D1124=7,1,(IF(WEEKDAY(B1124)=1,2,IF(WEEKDAY(B1124)=7,1,0))))))</f>
        <v>3</v>
      </c>
    </row>
    <row r="1125" spans="2:22">
      <c r="B1125" s="318">
        <f t="shared" si="71"/>
        <v>46159</v>
      </c>
      <c r="C1125" s="312">
        <v>17</v>
      </c>
      <c r="D1125" s="368">
        <f>IFERROR((INDEX(METADATA!$T$2:$T$20,MATCH(B1125,METADATA!$S$2:$S$20,0))),0)</f>
        <v>0</v>
      </c>
      <c r="E1125" s="312" t="str">
        <f t="shared" si="68"/>
        <v>LO</v>
      </c>
      <c r="F1125" s="369">
        <f>VLOOKUP(C1125,METADATA!$A$5:$H$29,IF(E1125="HI",2,IF(E1125="LO",6,10))+IF(D1125=1,2,IF(D1125=7,1,(IF(WEEKDAY(B1125)=1,2,IF(WEEKDAY(B1125)=7,1,0))))))</f>
        <v>3</v>
      </c>
      <c r="G1125" s="369">
        <f>VLOOKUP(C1125,METADATA!$J$5:$Q$29,IF(E1125="HI",2,IF(E1125="LO",6,10))+IF(D1125=1,2,IF(D1125=7,1,(IF(WEEKDAY(B1125)=1,2,IF(WEEKDAY(B1125)=7,1,0))))))</f>
        <v>3</v>
      </c>
      <c r="H1125" s="370">
        <v>9867.3975524902344</v>
      </c>
      <c r="I1125" s="370">
        <v>882.35999298095703</v>
      </c>
      <c r="M1125" s="371">
        <f t="shared" si="69"/>
        <v>9906.7700899992451</v>
      </c>
      <c r="N1125" s="329">
        <f t="shared" si="70"/>
        <v>0</v>
      </c>
      <c r="T1125" s="331">
        <v>0</v>
      </c>
      <c r="U1125" s="328">
        <f>VLOOKUP(C1125,METADATA!$J$5:$Q$29,IF(E1125="HI",2,IF(E1125="LO",6,10))+IF(T1125=1,2,IF(D1125=7,1,(IF(WEEKDAY(B1125)=1,2,IF(WEEKDAY(B1125)=7,1,0))))))</f>
        <v>3</v>
      </c>
      <c r="V1125" s="328">
        <f>VLOOKUP(C1125,METADATA!$A$5:$H$29,IF(E1125="HI",2,IF(E1125="LO",6,10))+IF(T1125=1,2,IF(D1125=7,1,(IF(WEEKDAY(B1125)=1,2,IF(WEEKDAY(B1125)=7,1,0))))))</f>
        <v>3</v>
      </c>
    </row>
    <row r="1126" spans="2:22">
      <c r="B1126" s="318">
        <f t="shared" si="71"/>
        <v>46159</v>
      </c>
      <c r="C1126" s="312">
        <v>18</v>
      </c>
      <c r="D1126" s="368">
        <f>IFERROR((INDEX(METADATA!$T$2:$T$20,MATCH(B1126,METADATA!$S$2:$S$20,0))),0)</f>
        <v>0</v>
      </c>
      <c r="E1126" s="312" t="str">
        <f t="shared" si="68"/>
        <v>LO</v>
      </c>
      <c r="F1126" s="369">
        <f>VLOOKUP(C1126,METADATA!$A$5:$H$29,IF(E1126="HI",2,IF(E1126="LO",6,10))+IF(D1126=1,2,IF(D1126=7,1,(IF(WEEKDAY(B1126)=1,2,IF(WEEKDAY(B1126)=7,1,0))))))</f>
        <v>2</v>
      </c>
      <c r="G1126" s="369">
        <f>VLOOKUP(C1126,METADATA!$J$5:$Q$29,IF(E1126="HI",2,IF(E1126="LO",6,10))+IF(D1126=1,2,IF(D1126=7,1,(IF(WEEKDAY(B1126)=1,2,IF(WEEKDAY(B1126)=7,1,0))))))</f>
        <v>2</v>
      </c>
      <c r="H1126" s="370">
        <v>11724.335388183594</v>
      </c>
      <c r="I1126" s="370">
        <v>1437.2639712095261</v>
      </c>
      <c r="M1126" s="371">
        <f t="shared" si="69"/>
        <v>11812.102607815052</v>
      </c>
      <c r="N1126" s="329">
        <f t="shared" si="70"/>
        <v>0</v>
      </c>
      <c r="T1126" s="331">
        <v>0</v>
      </c>
      <c r="U1126" s="328">
        <f>VLOOKUP(C1126,METADATA!$J$5:$Q$29,IF(E1126="HI",2,IF(E1126="LO",6,10))+IF(T1126=1,2,IF(D1126=7,1,(IF(WEEKDAY(B1126)=1,2,IF(WEEKDAY(B1126)=7,1,0))))))</f>
        <v>2</v>
      </c>
      <c r="V1126" s="328">
        <f>VLOOKUP(C1126,METADATA!$A$5:$H$29,IF(E1126="HI",2,IF(E1126="LO",6,10))+IF(T1126=1,2,IF(D1126=7,1,(IF(WEEKDAY(B1126)=1,2,IF(WEEKDAY(B1126)=7,1,0))))))</f>
        <v>2</v>
      </c>
    </row>
    <row r="1127" spans="2:22">
      <c r="B1127" s="318">
        <f t="shared" si="71"/>
        <v>46159</v>
      </c>
      <c r="C1127" s="312">
        <v>19</v>
      </c>
      <c r="D1127" s="368">
        <f>IFERROR((INDEX(METADATA!$T$2:$T$20,MATCH(B1127,METADATA!$S$2:$S$20,0))),0)</f>
        <v>0</v>
      </c>
      <c r="E1127" s="312" t="str">
        <f t="shared" si="68"/>
        <v>LO</v>
      </c>
      <c r="F1127" s="369">
        <f>VLOOKUP(C1127,METADATA!$A$5:$H$29,IF(E1127="HI",2,IF(E1127="LO",6,10))+IF(D1127=1,2,IF(D1127=7,1,(IF(WEEKDAY(B1127)=1,2,IF(WEEKDAY(B1127)=7,1,0))))))</f>
        <v>2</v>
      </c>
      <c r="G1127" s="369">
        <f>VLOOKUP(C1127,METADATA!$J$5:$Q$29,IF(E1127="HI",2,IF(E1127="LO",6,10))+IF(D1127=1,2,IF(D1127=7,1,(IF(WEEKDAY(B1127)=1,2,IF(WEEKDAY(B1127)=7,1,0))))))</f>
        <v>2</v>
      </c>
      <c r="H1127" s="370">
        <v>13602.255310058594</v>
      </c>
      <c r="I1127" s="370">
        <v>1955.5679893493652</v>
      </c>
      <c r="M1127" s="371">
        <f t="shared" si="69"/>
        <v>13742.11030668089</v>
      </c>
      <c r="N1127" s="329">
        <f t="shared" si="70"/>
        <v>0</v>
      </c>
      <c r="T1127" s="331">
        <v>0</v>
      </c>
      <c r="U1127" s="328">
        <f>VLOOKUP(C1127,METADATA!$J$5:$Q$29,IF(E1127="HI",2,IF(E1127="LO",6,10))+IF(T1127=1,2,IF(D1127=7,1,(IF(WEEKDAY(B1127)=1,2,IF(WEEKDAY(B1127)=7,1,0))))))</f>
        <v>2</v>
      </c>
      <c r="V1127" s="328">
        <f>VLOOKUP(C1127,METADATA!$A$5:$H$29,IF(E1127="HI",2,IF(E1127="LO",6,10))+IF(T1127=1,2,IF(D1127=7,1,(IF(WEEKDAY(B1127)=1,2,IF(WEEKDAY(B1127)=7,1,0))))))</f>
        <v>2</v>
      </c>
    </row>
    <row r="1128" spans="2:22">
      <c r="B1128" s="318">
        <f t="shared" si="71"/>
        <v>46159</v>
      </c>
      <c r="C1128" s="312">
        <v>20</v>
      </c>
      <c r="D1128" s="368">
        <f>IFERROR((INDEX(METADATA!$T$2:$T$20,MATCH(B1128,METADATA!$S$2:$S$20,0))),0)</f>
        <v>0</v>
      </c>
      <c r="E1128" s="312" t="str">
        <f t="shared" si="68"/>
        <v>LO</v>
      </c>
      <c r="F1128" s="369">
        <f>VLOOKUP(C1128,METADATA!$A$5:$H$29,IF(E1128="HI",2,IF(E1128="LO",6,10))+IF(D1128=1,2,IF(D1128=7,1,(IF(WEEKDAY(B1128)=1,2,IF(WEEKDAY(B1128)=7,1,0))))))</f>
        <v>3</v>
      </c>
      <c r="G1128" s="369">
        <f>VLOOKUP(C1128,METADATA!$J$5:$Q$29,IF(E1128="HI",2,IF(E1128="LO",6,10))+IF(D1128=1,2,IF(D1128=7,1,(IF(WEEKDAY(B1128)=1,2,IF(WEEKDAY(B1128)=7,1,0))))))</f>
        <v>3</v>
      </c>
      <c r="H1128" s="370">
        <v>13759.844543457031</v>
      </c>
      <c r="I1128" s="370">
        <v>2068.6999130249023</v>
      </c>
      <c r="M1128" s="371">
        <f t="shared" si="69"/>
        <v>13914.483144919666</v>
      </c>
      <c r="N1128" s="329">
        <f t="shared" si="70"/>
        <v>0</v>
      </c>
      <c r="T1128" s="331">
        <v>0</v>
      </c>
      <c r="U1128" s="328">
        <f>VLOOKUP(C1128,METADATA!$J$5:$Q$29,IF(E1128="HI",2,IF(E1128="LO",6,10))+IF(T1128=1,2,IF(D1128=7,1,(IF(WEEKDAY(B1128)=1,2,IF(WEEKDAY(B1128)=7,1,0))))))</f>
        <v>3</v>
      </c>
      <c r="V1128" s="328">
        <f>VLOOKUP(C1128,METADATA!$A$5:$H$29,IF(E1128="HI",2,IF(E1128="LO",6,10))+IF(T1128=1,2,IF(D1128=7,1,(IF(WEEKDAY(B1128)=1,2,IF(WEEKDAY(B1128)=7,1,0))))))</f>
        <v>3</v>
      </c>
    </row>
    <row r="1129" spans="2:22">
      <c r="B1129" s="318">
        <f t="shared" si="71"/>
        <v>46159</v>
      </c>
      <c r="C1129" s="312">
        <v>21</v>
      </c>
      <c r="D1129" s="368">
        <f>IFERROR((INDEX(METADATA!$T$2:$T$20,MATCH(B1129,METADATA!$S$2:$S$20,0))),0)</f>
        <v>0</v>
      </c>
      <c r="E1129" s="312" t="str">
        <f t="shared" si="68"/>
        <v>LO</v>
      </c>
      <c r="F1129" s="369">
        <f>VLOOKUP(C1129,METADATA!$A$5:$H$29,IF(E1129="HI",2,IF(E1129="LO",6,10))+IF(D1129=1,2,IF(D1129=7,1,(IF(WEEKDAY(B1129)=1,2,IF(WEEKDAY(B1129)=7,1,0))))))</f>
        <v>3</v>
      </c>
      <c r="G1129" s="369">
        <f>VLOOKUP(C1129,METADATA!$J$5:$Q$29,IF(E1129="HI",2,IF(E1129="LO",6,10))+IF(D1129=1,2,IF(D1129=7,1,(IF(WEEKDAY(B1129)=1,2,IF(WEEKDAY(B1129)=7,1,0))))))</f>
        <v>3</v>
      </c>
      <c r="H1129" s="370">
        <v>13833.934997558594</v>
      </c>
      <c r="I1129" s="370">
        <v>2016.7705459594727</v>
      </c>
      <c r="M1129" s="371">
        <f t="shared" si="69"/>
        <v>13980.16884560863</v>
      </c>
      <c r="N1129" s="329">
        <f t="shared" si="70"/>
        <v>0</v>
      </c>
      <c r="T1129" s="331">
        <v>0</v>
      </c>
      <c r="U1129" s="328">
        <f>VLOOKUP(C1129,METADATA!$J$5:$Q$29,IF(E1129="HI",2,IF(E1129="LO",6,10))+IF(T1129=1,2,IF(D1129=7,1,(IF(WEEKDAY(B1129)=1,2,IF(WEEKDAY(B1129)=7,1,0))))))</f>
        <v>3</v>
      </c>
      <c r="V1129" s="328">
        <f>VLOOKUP(C1129,METADATA!$A$5:$H$29,IF(E1129="HI",2,IF(E1129="LO",6,10))+IF(T1129=1,2,IF(D1129=7,1,(IF(WEEKDAY(B1129)=1,2,IF(WEEKDAY(B1129)=7,1,0))))))</f>
        <v>3</v>
      </c>
    </row>
    <row r="1130" spans="2:22">
      <c r="B1130" s="318">
        <f t="shared" si="71"/>
        <v>46159</v>
      </c>
      <c r="C1130" s="312">
        <v>22</v>
      </c>
      <c r="D1130" s="368">
        <f>IFERROR((INDEX(METADATA!$T$2:$T$20,MATCH(B1130,METADATA!$S$2:$S$20,0))),0)</f>
        <v>0</v>
      </c>
      <c r="E1130" s="312" t="str">
        <f t="shared" si="68"/>
        <v>LO</v>
      </c>
      <c r="F1130" s="369">
        <f>VLOOKUP(C1130,METADATA!$A$5:$H$29,IF(E1130="HI",2,IF(E1130="LO",6,10))+IF(D1130=1,2,IF(D1130=7,1,(IF(WEEKDAY(B1130)=1,2,IF(WEEKDAY(B1130)=7,1,0))))))</f>
        <v>3</v>
      </c>
      <c r="G1130" s="369">
        <f>VLOOKUP(C1130,METADATA!$J$5:$Q$29,IF(E1130="HI",2,IF(E1130="LO",6,10))+IF(D1130=1,2,IF(D1130=7,1,(IF(WEEKDAY(B1130)=1,2,IF(WEEKDAY(B1130)=7,1,0))))))</f>
        <v>3</v>
      </c>
      <c r="H1130" s="370">
        <v>13855.545104980469</v>
      </c>
      <c r="I1130" s="370">
        <v>1877.231502532959</v>
      </c>
      <c r="M1130" s="371">
        <f t="shared" si="69"/>
        <v>13982.136041043599</v>
      </c>
      <c r="N1130" s="329">
        <f t="shared" si="70"/>
        <v>0</v>
      </c>
      <c r="T1130" s="331">
        <v>0</v>
      </c>
      <c r="U1130" s="328">
        <f>VLOOKUP(C1130,METADATA!$J$5:$Q$29,IF(E1130="HI",2,IF(E1130="LO",6,10))+IF(T1130=1,2,IF(D1130=7,1,(IF(WEEKDAY(B1130)=1,2,IF(WEEKDAY(B1130)=7,1,0))))))</f>
        <v>3</v>
      </c>
      <c r="V1130" s="328">
        <f>VLOOKUP(C1130,METADATA!$A$5:$H$29,IF(E1130="HI",2,IF(E1130="LO",6,10))+IF(T1130=1,2,IF(D1130=7,1,(IF(WEEKDAY(B1130)=1,2,IF(WEEKDAY(B1130)=7,1,0))))))</f>
        <v>3</v>
      </c>
    </row>
    <row r="1131" spans="2:22">
      <c r="B1131" s="318">
        <f t="shared" si="71"/>
        <v>46159</v>
      </c>
      <c r="C1131" s="312">
        <v>23</v>
      </c>
      <c r="D1131" s="368">
        <f>IFERROR((INDEX(METADATA!$T$2:$T$20,MATCH(B1131,METADATA!$S$2:$S$20,0))),0)</f>
        <v>0</v>
      </c>
      <c r="E1131" s="312" t="str">
        <f t="shared" si="68"/>
        <v>LO</v>
      </c>
      <c r="F1131" s="369">
        <f>VLOOKUP(C1131,METADATA!$A$5:$H$29,IF(E1131="HI",2,IF(E1131="LO",6,10))+IF(D1131=1,2,IF(D1131=7,1,(IF(WEEKDAY(B1131)=1,2,IF(WEEKDAY(B1131)=7,1,0))))))</f>
        <v>3</v>
      </c>
      <c r="G1131" s="369">
        <f>VLOOKUP(C1131,METADATA!$J$5:$Q$29,IF(E1131="HI",2,IF(E1131="LO",6,10))+IF(D1131=1,2,IF(D1131=7,1,(IF(WEEKDAY(B1131)=1,2,IF(WEEKDAY(B1131)=7,1,0))))))</f>
        <v>3</v>
      </c>
      <c r="H1131" s="370">
        <v>12502.230163574219</v>
      </c>
      <c r="I1131" s="370">
        <v>1425.6499644776341</v>
      </c>
      <c r="M1131" s="371">
        <f t="shared" si="69"/>
        <v>12583.252237962972</v>
      </c>
      <c r="N1131" s="329">
        <f t="shared" si="70"/>
        <v>0</v>
      </c>
      <c r="T1131" s="331">
        <v>0</v>
      </c>
      <c r="U1131" s="328">
        <f>VLOOKUP(C1131,METADATA!$J$5:$Q$29,IF(E1131="HI",2,IF(E1131="LO",6,10))+IF(T1131=1,2,IF(D1131=7,1,(IF(WEEKDAY(B1131)=1,2,IF(WEEKDAY(B1131)=7,1,0))))))</f>
        <v>3</v>
      </c>
      <c r="V1131" s="328">
        <f>VLOOKUP(C1131,METADATA!$A$5:$H$29,IF(E1131="HI",2,IF(E1131="LO",6,10))+IF(T1131=1,2,IF(D1131=7,1,(IF(WEEKDAY(B1131)=1,2,IF(WEEKDAY(B1131)=7,1,0))))))</f>
        <v>3</v>
      </c>
    </row>
    <row r="1132" spans="2:22">
      <c r="B1132" s="318">
        <f t="shared" si="71"/>
        <v>46160</v>
      </c>
      <c r="C1132" s="312">
        <v>0</v>
      </c>
      <c r="D1132" s="368">
        <f>IFERROR((INDEX(METADATA!$T$2:$T$20,MATCH(B1132,METADATA!$S$2:$S$20,0))),0)</f>
        <v>0</v>
      </c>
      <c r="E1132" s="312" t="str">
        <f t="shared" si="68"/>
        <v>LO</v>
      </c>
      <c r="F1132" s="369">
        <f>VLOOKUP(C1132,METADATA!$A$5:$H$29,IF(E1132="HI",2,IF(E1132="LO",6,10))+IF(D1132=1,2,IF(D1132=7,1,(IF(WEEKDAY(B1132)=1,2,IF(WEEKDAY(B1132)=7,1,0))))))</f>
        <v>3</v>
      </c>
      <c r="G1132" s="369">
        <f>VLOOKUP(C1132,METADATA!$J$5:$Q$29,IF(E1132="HI",2,IF(E1132="LO",6,10))+IF(D1132=1,2,IF(D1132=7,1,(IF(WEEKDAY(B1132)=1,2,IF(WEEKDAY(B1132)=7,1,0))))))</f>
        <v>3</v>
      </c>
      <c r="H1132" s="370">
        <v>11565.894653320313</v>
      </c>
      <c r="I1132" s="370">
        <v>1281.6000061035156</v>
      </c>
      <c r="M1132" s="371">
        <f t="shared" si="69"/>
        <v>11636.684137130642</v>
      </c>
      <c r="N1132" s="329">
        <f t="shared" si="70"/>
        <v>0</v>
      </c>
      <c r="T1132" s="331">
        <v>0</v>
      </c>
      <c r="U1132" s="328">
        <f>VLOOKUP(C1132,METADATA!$J$5:$Q$29,IF(E1132="HI",2,IF(E1132="LO",6,10))+IF(T1132=1,2,IF(D1132=7,1,(IF(WEEKDAY(B1132)=1,2,IF(WEEKDAY(B1132)=7,1,0))))))</f>
        <v>3</v>
      </c>
      <c r="V1132" s="328">
        <f>VLOOKUP(C1132,METADATA!$A$5:$H$29,IF(E1132="HI",2,IF(E1132="LO",6,10))+IF(T1132=1,2,IF(D1132=7,1,(IF(WEEKDAY(B1132)=1,2,IF(WEEKDAY(B1132)=7,1,0))))))</f>
        <v>3</v>
      </c>
    </row>
    <row r="1133" spans="2:22">
      <c r="B1133" s="318">
        <f t="shared" si="71"/>
        <v>46160</v>
      </c>
      <c r="C1133" s="312">
        <v>1</v>
      </c>
      <c r="D1133" s="368">
        <f>IFERROR((INDEX(METADATA!$T$2:$T$20,MATCH(B1133,METADATA!$S$2:$S$20,0))),0)</f>
        <v>0</v>
      </c>
      <c r="E1133" s="312" t="str">
        <f t="shared" si="68"/>
        <v>LO</v>
      </c>
      <c r="F1133" s="369">
        <f>VLOOKUP(C1133,METADATA!$A$5:$H$29,IF(E1133="HI",2,IF(E1133="LO",6,10))+IF(D1133=1,2,IF(D1133=7,1,(IF(WEEKDAY(B1133)=1,2,IF(WEEKDAY(B1133)=7,1,0))))))</f>
        <v>3</v>
      </c>
      <c r="G1133" s="369">
        <f>VLOOKUP(C1133,METADATA!$J$5:$Q$29,IF(E1133="HI",2,IF(E1133="LO",6,10))+IF(D1133=1,2,IF(D1133=7,1,(IF(WEEKDAY(B1133)=1,2,IF(WEEKDAY(B1133)=7,1,0))))))</f>
        <v>3</v>
      </c>
      <c r="H1133" s="370">
        <v>11507.2548828125</v>
      </c>
      <c r="I1133" s="370">
        <v>1311.9599609375</v>
      </c>
      <c r="M1133" s="371">
        <f t="shared" si="69"/>
        <v>11581.80270411801</v>
      </c>
      <c r="N1133" s="329">
        <f t="shared" si="70"/>
        <v>0</v>
      </c>
      <c r="T1133" s="331">
        <v>0</v>
      </c>
      <c r="U1133" s="328">
        <f>VLOOKUP(C1133,METADATA!$J$5:$Q$29,IF(E1133="HI",2,IF(E1133="LO",6,10))+IF(T1133=1,2,IF(D1133=7,1,(IF(WEEKDAY(B1133)=1,2,IF(WEEKDAY(B1133)=7,1,0))))))</f>
        <v>3</v>
      </c>
      <c r="V1133" s="328">
        <f>VLOOKUP(C1133,METADATA!$A$5:$H$29,IF(E1133="HI",2,IF(E1133="LO",6,10))+IF(T1133=1,2,IF(D1133=7,1,(IF(WEEKDAY(B1133)=1,2,IF(WEEKDAY(B1133)=7,1,0))))))</f>
        <v>3</v>
      </c>
    </row>
    <row r="1134" spans="2:22">
      <c r="B1134" s="318">
        <f t="shared" si="71"/>
        <v>46160</v>
      </c>
      <c r="C1134" s="312">
        <v>2</v>
      </c>
      <c r="D1134" s="368">
        <f>IFERROR((INDEX(METADATA!$T$2:$T$20,MATCH(B1134,METADATA!$S$2:$S$20,0))),0)</f>
        <v>0</v>
      </c>
      <c r="E1134" s="312" t="str">
        <f t="shared" si="68"/>
        <v>LO</v>
      </c>
      <c r="F1134" s="369">
        <f>VLOOKUP(C1134,METADATA!$A$5:$H$29,IF(E1134="HI",2,IF(E1134="LO",6,10))+IF(D1134=1,2,IF(D1134=7,1,(IF(WEEKDAY(B1134)=1,2,IF(WEEKDAY(B1134)=7,1,0))))))</f>
        <v>3</v>
      </c>
      <c r="G1134" s="369">
        <f>VLOOKUP(C1134,METADATA!$J$5:$Q$29,IF(E1134="HI",2,IF(E1134="LO",6,10))+IF(D1134=1,2,IF(D1134=7,1,(IF(WEEKDAY(B1134)=1,2,IF(WEEKDAY(B1134)=7,1,0))))))</f>
        <v>3</v>
      </c>
      <c r="H1134" s="370">
        <v>11594.830139160156</v>
      </c>
      <c r="I1134" s="370">
        <v>1289.280029296875</v>
      </c>
      <c r="M1134" s="371">
        <f t="shared" si="69"/>
        <v>11666.290282258558</v>
      </c>
      <c r="N1134" s="329">
        <f t="shared" si="70"/>
        <v>0</v>
      </c>
      <c r="T1134" s="331">
        <v>0</v>
      </c>
      <c r="U1134" s="328">
        <f>VLOOKUP(C1134,METADATA!$J$5:$Q$29,IF(E1134="HI",2,IF(E1134="LO",6,10))+IF(T1134=1,2,IF(D1134=7,1,(IF(WEEKDAY(B1134)=1,2,IF(WEEKDAY(B1134)=7,1,0))))))</f>
        <v>3</v>
      </c>
      <c r="V1134" s="328">
        <f>VLOOKUP(C1134,METADATA!$A$5:$H$29,IF(E1134="HI",2,IF(E1134="LO",6,10))+IF(T1134=1,2,IF(D1134=7,1,(IF(WEEKDAY(B1134)=1,2,IF(WEEKDAY(B1134)=7,1,0))))))</f>
        <v>3</v>
      </c>
    </row>
    <row r="1135" spans="2:22">
      <c r="B1135" s="318">
        <f t="shared" si="71"/>
        <v>46160</v>
      </c>
      <c r="C1135" s="312">
        <v>3</v>
      </c>
      <c r="D1135" s="368">
        <f>IFERROR((INDEX(METADATA!$T$2:$T$20,MATCH(B1135,METADATA!$S$2:$S$20,0))),0)</f>
        <v>0</v>
      </c>
      <c r="E1135" s="312" t="str">
        <f t="shared" si="68"/>
        <v>LO</v>
      </c>
      <c r="F1135" s="369">
        <f>VLOOKUP(C1135,METADATA!$A$5:$H$29,IF(E1135="HI",2,IF(E1135="LO",6,10))+IF(D1135=1,2,IF(D1135=7,1,(IF(WEEKDAY(B1135)=1,2,IF(WEEKDAY(B1135)=7,1,0))))))</f>
        <v>3</v>
      </c>
      <c r="G1135" s="369">
        <f>VLOOKUP(C1135,METADATA!$J$5:$Q$29,IF(E1135="HI",2,IF(E1135="LO",6,10))+IF(D1135=1,2,IF(D1135=7,1,(IF(WEEKDAY(B1135)=1,2,IF(WEEKDAY(B1135)=7,1,0))))))</f>
        <v>3</v>
      </c>
      <c r="H1135" s="370">
        <v>12916.504577636719</v>
      </c>
      <c r="I1135" s="370">
        <v>1664.2034502029419</v>
      </c>
      <c r="M1135" s="371">
        <f t="shared" si="69"/>
        <v>13023.273921244907</v>
      </c>
      <c r="N1135" s="329">
        <f t="shared" si="70"/>
        <v>0</v>
      </c>
      <c r="T1135" s="331">
        <v>0</v>
      </c>
      <c r="U1135" s="328">
        <f>VLOOKUP(C1135,METADATA!$J$5:$Q$29,IF(E1135="HI",2,IF(E1135="LO",6,10))+IF(T1135=1,2,IF(D1135=7,1,(IF(WEEKDAY(B1135)=1,2,IF(WEEKDAY(B1135)=7,1,0))))))</f>
        <v>3</v>
      </c>
      <c r="V1135" s="328">
        <f>VLOOKUP(C1135,METADATA!$A$5:$H$29,IF(E1135="HI",2,IF(E1135="LO",6,10))+IF(T1135=1,2,IF(D1135=7,1,(IF(WEEKDAY(B1135)=1,2,IF(WEEKDAY(B1135)=7,1,0))))))</f>
        <v>3</v>
      </c>
    </row>
    <row r="1136" spans="2:22">
      <c r="B1136" s="318">
        <f t="shared" si="71"/>
        <v>46160</v>
      </c>
      <c r="C1136" s="312">
        <v>4</v>
      </c>
      <c r="D1136" s="368">
        <f>IFERROR((INDEX(METADATA!$T$2:$T$20,MATCH(B1136,METADATA!$S$2:$S$20,0))),0)</f>
        <v>0</v>
      </c>
      <c r="E1136" s="312" t="str">
        <f t="shared" si="68"/>
        <v>LO</v>
      </c>
      <c r="F1136" s="369">
        <f>VLOOKUP(C1136,METADATA!$A$5:$H$29,IF(E1136="HI",2,IF(E1136="LO",6,10))+IF(D1136=1,2,IF(D1136=7,1,(IF(WEEKDAY(B1136)=1,2,IF(WEEKDAY(B1136)=7,1,0))))))</f>
        <v>3</v>
      </c>
      <c r="G1136" s="369">
        <f>VLOOKUP(C1136,METADATA!$J$5:$Q$29,IF(E1136="HI",2,IF(E1136="LO",6,10))+IF(D1136=1,2,IF(D1136=7,1,(IF(WEEKDAY(B1136)=1,2,IF(WEEKDAY(B1136)=7,1,0))))))</f>
        <v>3</v>
      </c>
      <c r="H1136" s="370">
        <v>13857.189880371094</v>
      </c>
      <c r="I1136" s="370">
        <v>1798.9924926757813</v>
      </c>
      <c r="M1136" s="371">
        <f t="shared" si="69"/>
        <v>13973.477926749763</v>
      </c>
      <c r="N1136" s="329">
        <f t="shared" si="70"/>
        <v>0</v>
      </c>
      <c r="T1136" s="331">
        <v>0</v>
      </c>
      <c r="U1136" s="328">
        <f>VLOOKUP(C1136,METADATA!$J$5:$Q$29,IF(E1136="HI",2,IF(E1136="LO",6,10))+IF(T1136=1,2,IF(D1136=7,1,(IF(WEEKDAY(B1136)=1,2,IF(WEEKDAY(B1136)=7,1,0))))))</f>
        <v>3</v>
      </c>
      <c r="V1136" s="328">
        <f>VLOOKUP(C1136,METADATA!$A$5:$H$29,IF(E1136="HI",2,IF(E1136="LO",6,10))+IF(T1136=1,2,IF(D1136=7,1,(IF(WEEKDAY(B1136)=1,2,IF(WEEKDAY(B1136)=7,1,0))))))</f>
        <v>3</v>
      </c>
    </row>
    <row r="1137" spans="2:22">
      <c r="B1137" s="318">
        <f t="shared" si="71"/>
        <v>46160</v>
      </c>
      <c r="C1137" s="312">
        <v>5</v>
      </c>
      <c r="D1137" s="368">
        <f>IFERROR((INDEX(METADATA!$T$2:$T$20,MATCH(B1137,METADATA!$S$2:$S$20,0))),0)</f>
        <v>0</v>
      </c>
      <c r="E1137" s="312" t="str">
        <f t="shared" si="68"/>
        <v>LO</v>
      </c>
      <c r="F1137" s="369">
        <f>VLOOKUP(C1137,METADATA!$A$5:$H$29,IF(E1137="HI",2,IF(E1137="LO",6,10))+IF(D1137=1,2,IF(D1137=7,1,(IF(WEEKDAY(B1137)=1,2,IF(WEEKDAY(B1137)=7,1,0))))))</f>
        <v>3</v>
      </c>
      <c r="G1137" s="369">
        <f>VLOOKUP(C1137,METADATA!$J$5:$Q$29,IF(E1137="HI",2,IF(E1137="LO",6,10))+IF(D1137=1,2,IF(D1137=7,1,(IF(WEEKDAY(B1137)=1,2,IF(WEEKDAY(B1137)=7,1,0))))))</f>
        <v>3</v>
      </c>
      <c r="H1137" s="370">
        <v>13836.33984375</v>
      </c>
      <c r="I1137" s="370">
        <v>1777.7659950256348</v>
      </c>
      <c r="M1137" s="371">
        <f t="shared" si="69"/>
        <v>13950.080723953295</v>
      </c>
      <c r="N1137" s="329">
        <f t="shared" si="70"/>
        <v>0</v>
      </c>
      <c r="T1137" s="331">
        <v>0</v>
      </c>
      <c r="U1137" s="328">
        <f>VLOOKUP(C1137,METADATA!$J$5:$Q$29,IF(E1137="HI",2,IF(E1137="LO",6,10))+IF(T1137=1,2,IF(D1137=7,1,(IF(WEEKDAY(B1137)=1,2,IF(WEEKDAY(B1137)=7,1,0))))))</f>
        <v>3</v>
      </c>
      <c r="V1137" s="328">
        <f>VLOOKUP(C1137,METADATA!$A$5:$H$29,IF(E1137="HI",2,IF(E1137="LO",6,10))+IF(T1137=1,2,IF(D1137=7,1,(IF(WEEKDAY(B1137)=1,2,IF(WEEKDAY(B1137)=7,1,0))))))</f>
        <v>3</v>
      </c>
    </row>
    <row r="1138" spans="2:22">
      <c r="B1138" s="318">
        <f t="shared" si="71"/>
        <v>46160</v>
      </c>
      <c r="C1138" s="312">
        <v>6</v>
      </c>
      <c r="D1138" s="368">
        <f>IFERROR((INDEX(METADATA!$T$2:$T$20,MATCH(B1138,METADATA!$S$2:$S$20,0))),0)</f>
        <v>0</v>
      </c>
      <c r="E1138" s="312" t="str">
        <f t="shared" si="68"/>
        <v>LO</v>
      </c>
      <c r="F1138" s="369">
        <f>VLOOKUP(C1138,METADATA!$A$5:$H$29,IF(E1138="HI",2,IF(E1138="LO",6,10))+IF(D1138=1,2,IF(D1138=7,1,(IF(WEEKDAY(B1138)=1,2,IF(WEEKDAY(B1138)=7,1,0))))))</f>
        <v>2</v>
      </c>
      <c r="G1138" s="369">
        <f>VLOOKUP(C1138,METADATA!$J$5:$Q$29,IF(E1138="HI",2,IF(E1138="LO",6,10))+IF(D1138=1,2,IF(D1138=7,1,(IF(WEEKDAY(B1138)=1,2,IF(WEEKDAY(B1138)=7,1,0))))))</f>
        <v>2</v>
      </c>
      <c r="H1138" s="370">
        <v>13662.270141601563</v>
      </c>
      <c r="I1138" s="370">
        <v>1732.4675025939941</v>
      </c>
      <c r="M1138" s="371">
        <f t="shared" si="69"/>
        <v>13771.676334769192</v>
      </c>
      <c r="N1138" s="329">
        <f t="shared" si="70"/>
        <v>0</v>
      </c>
      <c r="T1138" s="331">
        <v>0</v>
      </c>
      <c r="U1138" s="328">
        <f>VLOOKUP(C1138,METADATA!$J$5:$Q$29,IF(E1138="HI",2,IF(E1138="LO",6,10))+IF(T1138=1,2,IF(D1138=7,1,(IF(WEEKDAY(B1138)=1,2,IF(WEEKDAY(B1138)=7,1,0))))))</f>
        <v>2</v>
      </c>
      <c r="V1138" s="328">
        <f>VLOOKUP(C1138,METADATA!$A$5:$H$29,IF(E1138="HI",2,IF(E1138="LO",6,10))+IF(T1138=1,2,IF(D1138=7,1,(IF(WEEKDAY(B1138)=1,2,IF(WEEKDAY(B1138)=7,1,0))))))</f>
        <v>2</v>
      </c>
    </row>
    <row r="1139" spans="2:22">
      <c r="B1139" s="318">
        <f t="shared" si="71"/>
        <v>46160</v>
      </c>
      <c r="C1139" s="312">
        <v>7</v>
      </c>
      <c r="D1139" s="368">
        <f>IFERROR((INDEX(METADATA!$T$2:$T$20,MATCH(B1139,METADATA!$S$2:$S$20,0))),0)</f>
        <v>0</v>
      </c>
      <c r="E1139" s="312" t="str">
        <f t="shared" si="68"/>
        <v>LO</v>
      </c>
      <c r="F1139" s="369">
        <f>VLOOKUP(C1139,METADATA!$A$5:$H$29,IF(E1139="HI",2,IF(E1139="LO",6,10))+IF(D1139=1,2,IF(D1139=7,1,(IF(WEEKDAY(B1139)=1,2,IF(WEEKDAY(B1139)=7,1,0))))))</f>
        <v>1</v>
      </c>
      <c r="G1139" s="369">
        <f>VLOOKUP(C1139,METADATA!$J$5:$Q$29,IF(E1139="HI",2,IF(E1139="LO",6,10))+IF(D1139=1,2,IF(D1139=7,1,(IF(WEEKDAY(B1139)=1,2,IF(WEEKDAY(B1139)=7,1,0))))))</f>
        <v>1</v>
      </c>
      <c r="H1139" s="370">
        <v>13681.235168457031</v>
      </c>
      <c r="I1139" s="370">
        <v>1863.6474761962891</v>
      </c>
      <c r="M1139" s="371">
        <f t="shared" si="69"/>
        <v>13807.584062759071</v>
      </c>
      <c r="N1139" s="329">
        <f t="shared" si="70"/>
        <v>0</v>
      </c>
      <c r="T1139" s="331">
        <v>0</v>
      </c>
      <c r="U1139" s="328">
        <f>VLOOKUP(C1139,METADATA!$J$5:$Q$29,IF(E1139="HI",2,IF(E1139="LO",6,10))+IF(T1139=1,2,IF(D1139=7,1,(IF(WEEKDAY(B1139)=1,2,IF(WEEKDAY(B1139)=7,1,0))))))</f>
        <v>1</v>
      </c>
      <c r="V1139" s="328">
        <f>VLOOKUP(C1139,METADATA!$A$5:$H$29,IF(E1139="HI",2,IF(E1139="LO",6,10))+IF(T1139=1,2,IF(D1139=7,1,(IF(WEEKDAY(B1139)=1,2,IF(WEEKDAY(B1139)=7,1,0))))))</f>
        <v>1</v>
      </c>
    </row>
    <row r="1140" spans="2:22">
      <c r="B1140" s="318">
        <f t="shared" si="71"/>
        <v>46160</v>
      </c>
      <c r="C1140" s="312">
        <v>8</v>
      </c>
      <c r="D1140" s="368">
        <f>IFERROR((INDEX(METADATA!$T$2:$T$20,MATCH(B1140,METADATA!$S$2:$S$20,0))),0)</f>
        <v>0</v>
      </c>
      <c r="E1140" s="312" t="str">
        <f t="shared" si="68"/>
        <v>LO</v>
      </c>
      <c r="F1140" s="369">
        <f>VLOOKUP(C1140,METADATA!$A$5:$H$29,IF(E1140="HI",2,IF(E1140="LO",6,10))+IF(D1140=1,2,IF(D1140=7,1,(IF(WEEKDAY(B1140)=1,2,IF(WEEKDAY(B1140)=7,1,0))))))</f>
        <v>1</v>
      </c>
      <c r="G1140" s="369">
        <f>VLOOKUP(C1140,METADATA!$J$5:$Q$29,IF(E1140="HI",2,IF(E1140="LO",6,10))+IF(D1140=1,2,IF(D1140=7,1,(IF(WEEKDAY(B1140)=1,2,IF(WEEKDAY(B1140)=7,1,0))))))</f>
        <v>1</v>
      </c>
      <c r="H1140" s="370">
        <v>13641.925170898438</v>
      </c>
      <c r="I1140" s="370">
        <v>1934.8799858093262</v>
      </c>
      <c r="M1140" s="371">
        <f t="shared" si="69"/>
        <v>13778.457204196624</v>
      </c>
      <c r="N1140" s="329">
        <f t="shared" si="70"/>
        <v>0</v>
      </c>
      <c r="T1140" s="331">
        <v>0</v>
      </c>
      <c r="U1140" s="328">
        <f>VLOOKUP(C1140,METADATA!$J$5:$Q$29,IF(E1140="HI",2,IF(E1140="LO",6,10))+IF(T1140=1,2,IF(D1140=7,1,(IF(WEEKDAY(B1140)=1,2,IF(WEEKDAY(B1140)=7,1,0))))))</f>
        <v>1</v>
      </c>
      <c r="V1140" s="328">
        <f>VLOOKUP(C1140,METADATA!$A$5:$H$29,IF(E1140="HI",2,IF(E1140="LO",6,10))+IF(T1140=1,2,IF(D1140=7,1,(IF(WEEKDAY(B1140)=1,2,IF(WEEKDAY(B1140)=7,1,0))))))</f>
        <v>1</v>
      </c>
    </row>
    <row r="1141" spans="2:22">
      <c r="B1141" s="318">
        <f t="shared" si="71"/>
        <v>46160</v>
      </c>
      <c r="C1141" s="312">
        <v>9</v>
      </c>
      <c r="D1141" s="368">
        <f>IFERROR((INDEX(METADATA!$T$2:$T$20,MATCH(B1141,METADATA!$S$2:$S$20,0))),0)</f>
        <v>0</v>
      </c>
      <c r="E1141" s="312" t="str">
        <f t="shared" si="68"/>
        <v>LO</v>
      </c>
      <c r="F1141" s="369">
        <f>VLOOKUP(C1141,METADATA!$A$5:$H$29,IF(E1141="HI",2,IF(E1141="LO",6,10))+IF(D1141=1,2,IF(D1141=7,1,(IF(WEEKDAY(B1141)=1,2,IF(WEEKDAY(B1141)=7,1,0))))))</f>
        <v>2</v>
      </c>
      <c r="G1141" s="369">
        <f>VLOOKUP(C1141,METADATA!$J$5:$Q$29,IF(E1141="HI",2,IF(E1141="LO",6,10))+IF(D1141=1,2,IF(D1141=7,1,(IF(WEEKDAY(B1141)=1,2,IF(WEEKDAY(B1141)=7,1,0))))))</f>
        <v>2</v>
      </c>
      <c r="H1141" s="370">
        <v>13773.939819335938</v>
      </c>
      <c r="I1141" s="370">
        <v>1924.4624214172363</v>
      </c>
      <c r="M1141" s="371">
        <f t="shared" si="69"/>
        <v>13907.730719212794</v>
      </c>
      <c r="N1141" s="329">
        <f t="shared" si="70"/>
        <v>0</v>
      </c>
      <c r="T1141" s="331">
        <v>0</v>
      </c>
      <c r="U1141" s="328">
        <f>VLOOKUP(C1141,METADATA!$J$5:$Q$29,IF(E1141="HI",2,IF(E1141="LO",6,10))+IF(T1141=1,2,IF(D1141=7,1,(IF(WEEKDAY(B1141)=1,2,IF(WEEKDAY(B1141)=7,1,0))))))</f>
        <v>2</v>
      </c>
      <c r="V1141" s="328">
        <f>VLOOKUP(C1141,METADATA!$A$5:$H$29,IF(E1141="HI",2,IF(E1141="LO",6,10))+IF(T1141=1,2,IF(D1141=7,1,(IF(WEEKDAY(B1141)=1,2,IF(WEEKDAY(B1141)=7,1,0))))))</f>
        <v>2</v>
      </c>
    </row>
    <row r="1142" spans="2:22">
      <c r="B1142" s="318">
        <f t="shared" si="71"/>
        <v>46160</v>
      </c>
      <c r="C1142" s="312">
        <v>10</v>
      </c>
      <c r="D1142" s="368">
        <f>IFERROR((INDEX(METADATA!$T$2:$T$20,MATCH(B1142,METADATA!$S$2:$S$20,0))),0)</f>
        <v>0</v>
      </c>
      <c r="E1142" s="312" t="str">
        <f t="shared" si="68"/>
        <v>LO</v>
      </c>
      <c r="F1142" s="369">
        <f>VLOOKUP(C1142,METADATA!$A$5:$H$29,IF(E1142="HI",2,IF(E1142="LO",6,10))+IF(D1142=1,2,IF(D1142=7,1,(IF(WEEKDAY(B1142)=1,2,IF(WEEKDAY(B1142)=7,1,0))))))</f>
        <v>2</v>
      </c>
      <c r="G1142" s="369">
        <f>VLOOKUP(C1142,METADATA!$J$5:$Q$29,IF(E1142="HI",2,IF(E1142="LO",6,10))+IF(D1142=1,2,IF(D1142=7,1,(IF(WEEKDAY(B1142)=1,2,IF(WEEKDAY(B1142)=7,1,0))))))</f>
        <v>2</v>
      </c>
      <c r="H1142" s="370">
        <v>13871.050109863281</v>
      </c>
      <c r="I1142" s="370">
        <v>1889.9549789428711</v>
      </c>
      <c r="M1142" s="371">
        <f t="shared" si="69"/>
        <v>13999.212869756966</v>
      </c>
      <c r="N1142" s="329">
        <f t="shared" si="70"/>
        <v>0</v>
      </c>
      <c r="T1142" s="331">
        <v>0</v>
      </c>
      <c r="U1142" s="328">
        <f>VLOOKUP(C1142,METADATA!$J$5:$Q$29,IF(E1142="HI",2,IF(E1142="LO",6,10))+IF(T1142=1,2,IF(D1142=7,1,(IF(WEEKDAY(B1142)=1,2,IF(WEEKDAY(B1142)=7,1,0))))))</f>
        <v>2</v>
      </c>
      <c r="V1142" s="328">
        <f>VLOOKUP(C1142,METADATA!$A$5:$H$29,IF(E1142="HI",2,IF(E1142="LO",6,10))+IF(T1142=1,2,IF(D1142=7,1,(IF(WEEKDAY(B1142)=1,2,IF(WEEKDAY(B1142)=7,1,0))))))</f>
        <v>2</v>
      </c>
    </row>
    <row r="1143" spans="2:22">
      <c r="B1143" s="318">
        <f t="shared" si="71"/>
        <v>46160</v>
      </c>
      <c r="C1143" s="312">
        <v>11</v>
      </c>
      <c r="D1143" s="368">
        <f>IFERROR((INDEX(METADATA!$T$2:$T$20,MATCH(B1143,METADATA!$S$2:$S$20,0))),0)</f>
        <v>0</v>
      </c>
      <c r="E1143" s="312" t="str">
        <f t="shared" si="68"/>
        <v>LO</v>
      </c>
      <c r="F1143" s="369">
        <f>VLOOKUP(C1143,METADATA!$A$5:$H$29,IF(E1143="HI",2,IF(E1143="LO",6,10))+IF(D1143=1,2,IF(D1143=7,1,(IF(WEEKDAY(B1143)=1,2,IF(WEEKDAY(B1143)=7,1,0))))))</f>
        <v>2</v>
      </c>
      <c r="G1143" s="369">
        <f>VLOOKUP(C1143,METADATA!$J$5:$Q$29,IF(E1143="HI",2,IF(E1143="LO",6,10))+IF(D1143=1,2,IF(D1143=7,1,(IF(WEEKDAY(B1143)=1,2,IF(WEEKDAY(B1143)=7,1,0))))))</f>
        <v>2</v>
      </c>
      <c r="H1143" s="370">
        <v>12208.210266113281</v>
      </c>
      <c r="I1143" s="370">
        <v>1406.7140050659655</v>
      </c>
      <c r="M1143" s="371">
        <f t="shared" si="69"/>
        <v>12288.988656259815</v>
      </c>
      <c r="N1143" s="329">
        <f t="shared" si="70"/>
        <v>0</v>
      </c>
      <c r="T1143" s="331">
        <v>0</v>
      </c>
      <c r="U1143" s="328">
        <f>VLOOKUP(C1143,METADATA!$J$5:$Q$29,IF(E1143="HI",2,IF(E1143="LO",6,10))+IF(T1143=1,2,IF(D1143=7,1,(IF(WEEKDAY(B1143)=1,2,IF(WEEKDAY(B1143)=7,1,0))))))</f>
        <v>2</v>
      </c>
      <c r="V1143" s="328">
        <f>VLOOKUP(C1143,METADATA!$A$5:$H$29,IF(E1143="HI",2,IF(E1143="LO",6,10))+IF(T1143=1,2,IF(D1143=7,1,(IF(WEEKDAY(B1143)=1,2,IF(WEEKDAY(B1143)=7,1,0))))))</f>
        <v>2</v>
      </c>
    </row>
    <row r="1144" spans="2:22">
      <c r="B1144" s="318">
        <f t="shared" si="71"/>
        <v>46160</v>
      </c>
      <c r="C1144" s="312">
        <v>12</v>
      </c>
      <c r="D1144" s="368">
        <f>IFERROR((INDEX(METADATA!$T$2:$T$20,MATCH(B1144,METADATA!$S$2:$S$20,0))),0)</f>
        <v>0</v>
      </c>
      <c r="E1144" s="312" t="str">
        <f t="shared" si="68"/>
        <v>LO</v>
      </c>
      <c r="F1144" s="369">
        <f>VLOOKUP(C1144,METADATA!$A$5:$H$29,IF(E1144="HI",2,IF(E1144="LO",6,10))+IF(D1144=1,2,IF(D1144=7,1,(IF(WEEKDAY(B1144)=1,2,IF(WEEKDAY(B1144)=7,1,0))))))</f>
        <v>2</v>
      </c>
      <c r="G1144" s="369">
        <f>VLOOKUP(C1144,METADATA!$J$5:$Q$29,IF(E1144="HI",2,IF(E1144="LO",6,10))+IF(D1144=1,2,IF(D1144=7,1,(IF(WEEKDAY(B1144)=1,2,IF(WEEKDAY(B1144)=7,1,0))))))</f>
        <v>2</v>
      </c>
      <c r="H1144" s="370">
        <v>11827.219970703125</v>
      </c>
      <c r="I1144" s="370">
        <v>1428.6720333099365</v>
      </c>
      <c r="M1144" s="371">
        <f t="shared" si="69"/>
        <v>11913.195877436112</v>
      </c>
      <c r="N1144" s="329">
        <f t="shared" si="70"/>
        <v>0</v>
      </c>
      <c r="T1144" s="331">
        <v>0</v>
      </c>
      <c r="U1144" s="328">
        <f>VLOOKUP(C1144,METADATA!$J$5:$Q$29,IF(E1144="HI",2,IF(E1144="LO",6,10))+IF(T1144=1,2,IF(D1144=7,1,(IF(WEEKDAY(B1144)=1,2,IF(WEEKDAY(B1144)=7,1,0))))))</f>
        <v>2</v>
      </c>
      <c r="V1144" s="328">
        <f>VLOOKUP(C1144,METADATA!$A$5:$H$29,IF(E1144="HI",2,IF(E1144="LO",6,10))+IF(T1144=1,2,IF(D1144=7,1,(IF(WEEKDAY(B1144)=1,2,IF(WEEKDAY(B1144)=7,1,0))))))</f>
        <v>2</v>
      </c>
    </row>
    <row r="1145" spans="2:22">
      <c r="B1145" s="318">
        <f t="shared" si="71"/>
        <v>46160</v>
      </c>
      <c r="C1145" s="312">
        <v>13</v>
      </c>
      <c r="D1145" s="368">
        <f>IFERROR((INDEX(METADATA!$T$2:$T$20,MATCH(B1145,METADATA!$S$2:$S$20,0))),0)</f>
        <v>0</v>
      </c>
      <c r="E1145" s="312" t="str">
        <f t="shared" si="68"/>
        <v>LO</v>
      </c>
      <c r="F1145" s="369">
        <f>VLOOKUP(C1145,METADATA!$A$5:$H$29,IF(E1145="HI",2,IF(E1145="LO",6,10))+IF(D1145=1,2,IF(D1145=7,1,(IF(WEEKDAY(B1145)=1,2,IF(WEEKDAY(B1145)=7,1,0))))))</f>
        <v>2</v>
      </c>
      <c r="G1145" s="369">
        <f>VLOOKUP(C1145,METADATA!$J$5:$Q$29,IF(E1145="HI",2,IF(E1145="LO",6,10))+IF(D1145=1,2,IF(D1145=7,1,(IF(WEEKDAY(B1145)=1,2,IF(WEEKDAY(B1145)=7,1,0))))))</f>
        <v>2</v>
      </c>
      <c r="H1145" s="370">
        <v>13651.319763183594</v>
      </c>
      <c r="I1145" s="370">
        <v>1924.1025199890137</v>
      </c>
      <c r="M1145" s="371">
        <f t="shared" si="69"/>
        <v>13786.25046138779</v>
      </c>
      <c r="N1145" s="329">
        <f t="shared" si="70"/>
        <v>0</v>
      </c>
      <c r="T1145" s="331">
        <v>0</v>
      </c>
      <c r="U1145" s="328">
        <f>VLOOKUP(C1145,METADATA!$J$5:$Q$29,IF(E1145="HI",2,IF(E1145="LO",6,10))+IF(T1145=1,2,IF(D1145=7,1,(IF(WEEKDAY(B1145)=1,2,IF(WEEKDAY(B1145)=7,1,0))))))</f>
        <v>2</v>
      </c>
      <c r="V1145" s="328">
        <f>VLOOKUP(C1145,METADATA!$A$5:$H$29,IF(E1145="HI",2,IF(E1145="LO",6,10))+IF(T1145=1,2,IF(D1145=7,1,(IF(WEEKDAY(B1145)=1,2,IF(WEEKDAY(B1145)=7,1,0))))))</f>
        <v>2</v>
      </c>
    </row>
    <row r="1146" spans="2:22">
      <c r="B1146" s="318">
        <f t="shared" si="71"/>
        <v>46160</v>
      </c>
      <c r="C1146" s="312">
        <v>14</v>
      </c>
      <c r="D1146" s="368">
        <f>IFERROR((INDEX(METADATA!$T$2:$T$20,MATCH(B1146,METADATA!$S$2:$S$20,0))),0)</f>
        <v>0</v>
      </c>
      <c r="E1146" s="312" t="str">
        <f t="shared" si="68"/>
        <v>LO</v>
      </c>
      <c r="F1146" s="369">
        <f>VLOOKUP(C1146,METADATA!$A$5:$H$29,IF(E1146="HI",2,IF(E1146="LO",6,10))+IF(D1146=1,2,IF(D1146=7,1,(IF(WEEKDAY(B1146)=1,2,IF(WEEKDAY(B1146)=7,1,0))))))</f>
        <v>2</v>
      </c>
      <c r="G1146" s="369">
        <f>VLOOKUP(C1146,METADATA!$J$5:$Q$29,IF(E1146="HI",2,IF(E1146="LO",6,10))+IF(D1146=1,2,IF(D1146=7,1,(IF(WEEKDAY(B1146)=1,2,IF(WEEKDAY(B1146)=7,1,0))))))</f>
        <v>2</v>
      </c>
      <c r="H1146" s="370">
        <v>13672.815246582031</v>
      </c>
      <c r="I1146" s="370">
        <v>1927.1050109863281</v>
      </c>
      <c r="M1146" s="371">
        <f t="shared" si="69"/>
        <v>13807.954609229228</v>
      </c>
      <c r="N1146" s="329">
        <f t="shared" si="70"/>
        <v>0</v>
      </c>
      <c r="T1146" s="331">
        <v>0</v>
      </c>
      <c r="U1146" s="328">
        <f>VLOOKUP(C1146,METADATA!$J$5:$Q$29,IF(E1146="HI",2,IF(E1146="LO",6,10))+IF(T1146=1,2,IF(D1146=7,1,(IF(WEEKDAY(B1146)=1,2,IF(WEEKDAY(B1146)=7,1,0))))))</f>
        <v>2</v>
      </c>
      <c r="V1146" s="328">
        <f>VLOOKUP(C1146,METADATA!$A$5:$H$29,IF(E1146="HI",2,IF(E1146="LO",6,10))+IF(T1146=1,2,IF(D1146=7,1,(IF(WEEKDAY(B1146)=1,2,IF(WEEKDAY(B1146)=7,1,0))))))</f>
        <v>2</v>
      </c>
    </row>
    <row r="1147" spans="2:22">
      <c r="B1147" s="318">
        <f t="shared" si="71"/>
        <v>46160</v>
      </c>
      <c r="C1147" s="312">
        <v>15</v>
      </c>
      <c r="D1147" s="368">
        <f>IFERROR((INDEX(METADATA!$T$2:$T$20,MATCH(B1147,METADATA!$S$2:$S$20,0))),0)</f>
        <v>0</v>
      </c>
      <c r="E1147" s="312" t="str">
        <f t="shared" si="68"/>
        <v>LO</v>
      </c>
      <c r="F1147" s="369">
        <f>VLOOKUP(C1147,METADATA!$A$5:$H$29,IF(E1147="HI",2,IF(E1147="LO",6,10))+IF(D1147=1,2,IF(D1147=7,1,(IF(WEEKDAY(B1147)=1,2,IF(WEEKDAY(B1147)=7,1,0))))))</f>
        <v>2</v>
      </c>
      <c r="G1147" s="369">
        <f>VLOOKUP(C1147,METADATA!$J$5:$Q$29,IF(E1147="HI",2,IF(E1147="LO",6,10))+IF(D1147=1,2,IF(D1147=7,1,(IF(WEEKDAY(B1147)=1,2,IF(WEEKDAY(B1147)=7,1,0))))))</f>
        <v>2</v>
      </c>
      <c r="H1147" s="370">
        <v>13639.495361328125</v>
      </c>
      <c r="I1147" s="370">
        <v>1875.3799629211426</v>
      </c>
      <c r="M1147" s="371">
        <f t="shared" si="69"/>
        <v>13767.820587043452</v>
      </c>
      <c r="N1147" s="329">
        <f t="shared" si="70"/>
        <v>0</v>
      </c>
      <c r="T1147" s="331">
        <v>0</v>
      </c>
      <c r="U1147" s="328">
        <f>VLOOKUP(C1147,METADATA!$J$5:$Q$29,IF(E1147="HI",2,IF(E1147="LO",6,10))+IF(T1147=1,2,IF(D1147=7,1,(IF(WEEKDAY(B1147)=1,2,IF(WEEKDAY(B1147)=7,1,0))))))</f>
        <v>2</v>
      </c>
      <c r="V1147" s="328">
        <f>VLOOKUP(C1147,METADATA!$A$5:$H$29,IF(E1147="HI",2,IF(E1147="LO",6,10))+IF(T1147=1,2,IF(D1147=7,1,(IF(WEEKDAY(B1147)=1,2,IF(WEEKDAY(B1147)=7,1,0))))))</f>
        <v>2</v>
      </c>
    </row>
    <row r="1148" spans="2:22">
      <c r="B1148" s="318">
        <f t="shared" si="71"/>
        <v>46160</v>
      </c>
      <c r="C1148" s="312">
        <v>16</v>
      </c>
      <c r="D1148" s="368">
        <f>IFERROR((INDEX(METADATA!$T$2:$T$20,MATCH(B1148,METADATA!$S$2:$S$20,0))),0)</f>
        <v>0</v>
      </c>
      <c r="E1148" s="312" t="str">
        <f t="shared" si="68"/>
        <v>LO</v>
      </c>
      <c r="F1148" s="369">
        <f>VLOOKUP(C1148,METADATA!$A$5:$H$29,IF(E1148="HI",2,IF(E1148="LO",6,10))+IF(D1148=1,2,IF(D1148=7,1,(IF(WEEKDAY(B1148)=1,2,IF(WEEKDAY(B1148)=7,1,0))))))</f>
        <v>2</v>
      </c>
      <c r="G1148" s="369">
        <f>VLOOKUP(C1148,METADATA!$J$5:$Q$29,IF(E1148="HI",2,IF(E1148="LO",6,10))+IF(D1148=1,2,IF(D1148=7,1,(IF(WEEKDAY(B1148)=1,2,IF(WEEKDAY(B1148)=7,1,0))))))</f>
        <v>2</v>
      </c>
      <c r="H1148" s="370">
        <v>13450.504699707031</v>
      </c>
      <c r="I1148" s="370">
        <v>1772.0664558410645</v>
      </c>
      <c r="M1148" s="371">
        <f t="shared" si="69"/>
        <v>13566.734913042195</v>
      </c>
      <c r="N1148" s="329">
        <f t="shared" si="70"/>
        <v>0</v>
      </c>
      <c r="T1148" s="331">
        <v>0</v>
      </c>
      <c r="U1148" s="328">
        <f>VLOOKUP(C1148,METADATA!$J$5:$Q$29,IF(E1148="HI",2,IF(E1148="LO",6,10))+IF(T1148=1,2,IF(D1148=7,1,(IF(WEEKDAY(B1148)=1,2,IF(WEEKDAY(B1148)=7,1,0))))))</f>
        <v>2</v>
      </c>
      <c r="V1148" s="328">
        <f>VLOOKUP(C1148,METADATA!$A$5:$H$29,IF(E1148="HI",2,IF(E1148="LO",6,10))+IF(T1148=1,2,IF(D1148=7,1,(IF(WEEKDAY(B1148)=1,2,IF(WEEKDAY(B1148)=7,1,0))))))</f>
        <v>2</v>
      </c>
    </row>
    <row r="1149" spans="2:22">
      <c r="B1149" s="318">
        <f t="shared" si="71"/>
        <v>46160</v>
      </c>
      <c r="C1149" s="312">
        <v>17</v>
      </c>
      <c r="D1149" s="368">
        <f>IFERROR((INDEX(METADATA!$T$2:$T$20,MATCH(B1149,METADATA!$S$2:$S$20,0))),0)</f>
        <v>0</v>
      </c>
      <c r="E1149" s="312" t="str">
        <f t="shared" si="68"/>
        <v>LO</v>
      </c>
      <c r="F1149" s="369">
        <f>VLOOKUP(C1149,METADATA!$A$5:$H$29,IF(E1149="HI",2,IF(E1149="LO",6,10))+IF(D1149=1,2,IF(D1149=7,1,(IF(WEEKDAY(B1149)=1,2,IF(WEEKDAY(B1149)=7,1,0))))))</f>
        <v>2</v>
      </c>
      <c r="G1149" s="369">
        <f>VLOOKUP(C1149,METADATA!$J$5:$Q$29,IF(E1149="HI",2,IF(E1149="LO",6,10))+IF(D1149=1,2,IF(D1149=7,1,(IF(WEEKDAY(B1149)=1,2,IF(WEEKDAY(B1149)=7,1,0))))))</f>
        <v>2</v>
      </c>
      <c r="H1149" s="370">
        <v>13439.955017089844</v>
      </c>
      <c r="I1149" s="370">
        <v>1837.6074523925781</v>
      </c>
      <c r="M1149" s="371">
        <f t="shared" si="69"/>
        <v>13564.998784020852</v>
      </c>
      <c r="N1149" s="329">
        <f t="shared" si="70"/>
        <v>0</v>
      </c>
      <c r="T1149" s="331">
        <v>0</v>
      </c>
      <c r="U1149" s="328">
        <f>VLOOKUP(C1149,METADATA!$J$5:$Q$29,IF(E1149="HI",2,IF(E1149="LO",6,10))+IF(T1149=1,2,IF(D1149=7,1,(IF(WEEKDAY(B1149)=1,2,IF(WEEKDAY(B1149)=7,1,0))))))</f>
        <v>2</v>
      </c>
      <c r="V1149" s="328">
        <f>VLOOKUP(C1149,METADATA!$A$5:$H$29,IF(E1149="HI",2,IF(E1149="LO",6,10))+IF(T1149=1,2,IF(D1149=7,1,(IF(WEEKDAY(B1149)=1,2,IF(WEEKDAY(B1149)=7,1,0))))))</f>
        <v>2</v>
      </c>
    </row>
    <row r="1150" spans="2:22">
      <c r="B1150" s="318">
        <f t="shared" si="71"/>
        <v>46160</v>
      </c>
      <c r="C1150" s="312">
        <v>18</v>
      </c>
      <c r="D1150" s="368">
        <f>IFERROR((INDEX(METADATA!$T$2:$T$20,MATCH(B1150,METADATA!$S$2:$S$20,0))),0)</f>
        <v>0</v>
      </c>
      <c r="E1150" s="312" t="str">
        <f t="shared" si="68"/>
        <v>LO</v>
      </c>
      <c r="F1150" s="369">
        <f>VLOOKUP(C1150,METADATA!$A$5:$H$29,IF(E1150="HI",2,IF(E1150="LO",6,10))+IF(D1150=1,2,IF(D1150=7,1,(IF(WEEKDAY(B1150)=1,2,IF(WEEKDAY(B1150)=7,1,0))))))</f>
        <v>1</v>
      </c>
      <c r="G1150" s="369">
        <f>VLOOKUP(C1150,METADATA!$J$5:$Q$29,IF(E1150="HI",2,IF(E1150="LO",6,10))+IF(D1150=1,2,IF(D1150=7,1,(IF(WEEKDAY(B1150)=1,2,IF(WEEKDAY(B1150)=7,1,0))))))</f>
        <v>1</v>
      </c>
      <c r="H1150" s="370">
        <v>12766.375183105469</v>
      </c>
      <c r="I1150" s="370">
        <v>1534.6585001945496</v>
      </c>
      <c r="M1150" s="371">
        <f t="shared" si="69"/>
        <v>12858.285734421621</v>
      </c>
      <c r="N1150" s="329">
        <f t="shared" si="70"/>
        <v>0</v>
      </c>
      <c r="T1150" s="331">
        <v>0</v>
      </c>
      <c r="U1150" s="328">
        <f>VLOOKUP(C1150,METADATA!$J$5:$Q$29,IF(E1150="HI",2,IF(E1150="LO",6,10))+IF(T1150=1,2,IF(D1150=7,1,(IF(WEEKDAY(B1150)=1,2,IF(WEEKDAY(B1150)=7,1,0))))))</f>
        <v>1</v>
      </c>
      <c r="V1150" s="328">
        <f>VLOOKUP(C1150,METADATA!$A$5:$H$29,IF(E1150="HI",2,IF(E1150="LO",6,10))+IF(T1150=1,2,IF(D1150=7,1,(IF(WEEKDAY(B1150)=1,2,IF(WEEKDAY(B1150)=7,1,0))))))</f>
        <v>1</v>
      </c>
    </row>
    <row r="1151" spans="2:22">
      <c r="B1151" s="318">
        <f t="shared" si="71"/>
        <v>46160</v>
      </c>
      <c r="C1151" s="312">
        <v>19</v>
      </c>
      <c r="D1151" s="368">
        <f>IFERROR((INDEX(METADATA!$T$2:$T$20,MATCH(B1151,METADATA!$S$2:$S$20,0))),0)</f>
        <v>0</v>
      </c>
      <c r="E1151" s="312" t="str">
        <f t="shared" si="68"/>
        <v>LO</v>
      </c>
      <c r="F1151" s="369">
        <f>VLOOKUP(C1151,METADATA!$A$5:$H$29,IF(E1151="HI",2,IF(E1151="LO",6,10))+IF(D1151=1,2,IF(D1151=7,1,(IF(WEEKDAY(B1151)=1,2,IF(WEEKDAY(B1151)=7,1,0))))))</f>
        <v>1</v>
      </c>
      <c r="G1151" s="369">
        <f>VLOOKUP(C1151,METADATA!$J$5:$Q$29,IF(E1151="HI",2,IF(E1151="LO",6,10))+IF(D1151=1,2,IF(D1151=7,1,(IF(WEEKDAY(B1151)=1,2,IF(WEEKDAY(B1151)=7,1,0))))))</f>
        <v>1</v>
      </c>
      <c r="H1151" s="370">
        <v>11114.614624023438</v>
      </c>
      <c r="I1151" s="370">
        <v>1176.8399658203125</v>
      </c>
      <c r="M1151" s="371">
        <f t="shared" si="69"/>
        <v>11176.744183603185</v>
      </c>
      <c r="N1151" s="329">
        <f t="shared" si="70"/>
        <v>0</v>
      </c>
      <c r="T1151" s="331">
        <v>0</v>
      </c>
      <c r="U1151" s="328">
        <f>VLOOKUP(C1151,METADATA!$J$5:$Q$29,IF(E1151="HI",2,IF(E1151="LO",6,10))+IF(T1151=1,2,IF(D1151=7,1,(IF(WEEKDAY(B1151)=1,2,IF(WEEKDAY(B1151)=7,1,0))))))</f>
        <v>1</v>
      </c>
      <c r="V1151" s="328">
        <f>VLOOKUP(C1151,METADATA!$A$5:$H$29,IF(E1151="HI",2,IF(E1151="LO",6,10))+IF(T1151=1,2,IF(D1151=7,1,(IF(WEEKDAY(B1151)=1,2,IF(WEEKDAY(B1151)=7,1,0))))))</f>
        <v>1</v>
      </c>
    </row>
    <row r="1152" spans="2:22">
      <c r="B1152" s="318">
        <f t="shared" si="71"/>
        <v>46160</v>
      </c>
      <c r="C1152" s="312">
        <v>20</v>
      </c>
      <c r="D1152" s="368">
        <f>IFERROR((INDEX(METADATA!$T$2:$T$20,MATCH(B1152,METADATA!$S$2:$S$20,0))),0)</f>
        <v>0</v>
      </c>
      <c r="E1152" s="312" t="str">
        <f t="shared" si="68"/>
        <v>LO</v>
      </c>
      <c r="F1152" s="369">
        <f>VLOOKUP(C1152,METADATA!$A$5:$H$29,IF(E1152="HI",2,IF(E1152="LO",6,10))+IF(D1152=1,2,IF(D1152=7,1,(IF(WEEKDAY(B1152)=1,2,IF(WEEKDAY(B1152)=7,1,0))))))</f>
        <v>1</v>
      </c>
      <c r="G1152" s="369">
        <f>VLOOKUP(C1152,METADATA!$J$5:$Q$29,IF(E1152="HI",2,IF(E1152="LO",6,10))+IF(D1152=1,2,IF(D1152=7,1,(IF(WEEKDAY(B1152)=1,2,IF(WEEKDAY(B1152)=7,1,0))))))</f>
        <v>1</v>
      </c>
      <c r="H1152" s="370">
        <v>11202.900207519531</v>
      </c>
      <c r="I1152" s="370">
        <v>1383.8399658203125</v>
      </c>
      <c r="M1152" s="371">
        <f t="shared" si="69"/>
        <v>11288.04616001559</v>
      </c>
      <c r="N1152" s="329">
        <f t="shared" si="70"/>
        <v>0</v>
      </c>
      <c r="T1152" s="331">
        <v>0</v>
      </c>
      <c r="U1152" s="328">
        <f>VLOOKUP(C1152,METADATA!$J$5:$Q$29,IF(E1152="HI",2,IF(E1152="LO",6,10))+IF(T1152=1,2,IF(D1152=7,1,(IF(WEEKDAY(B1152)=1,2,IF(WEEKDAY(B1152)=7,1,0))))))</f>
        <v>1</v>
      </c>
      <c r="V1152" s="328">
        <f>VLOOKUP(C1152,METADATA!$A$5:$H$29,IF(E1152="HI",2,IF(E1152="LO",6,10))+IF(T1152=1,2,IF(D1152=7,1,(IF(WEEKDAY(B1152)=1,2,IF(WEEKDAY(B1152)=7,1,0))))))</f>
        <v>1</v>
      </c>
    </row>
    <row r="1153" spans="2:22">
      <c r="B1153" s="318">
        <f t="shared" si="71"/>
        <v>46160</v>
      </c>
      <c r="C1153" s="312">
        <v>21</v>
      </c>
      <c r="D1153" s="368">
        <f>IFERROR((INDEX(METADATA!$T$2:$T$20,MATCH(B1153,METADATA!$S$2:$S$20,0))),0)</f>
        <v>0</v>
      </c>
      <c r="E1153" s="312" t="str">
        <f t="shared" si="68"/>
        <v>LO</v>
      </c>
      <c r="F1153" s="369">
        <f>VLOOKUP(C1153,METADATA!$A$5:$H$29,IF(E1153="HI",2,IF(E1153="LO",6,10))+IF(D1153=1,2,IF(D1153=7,1,(IF(WEEKDAY(B1153)=1,2,IF(WEEKDAY(B1153)=7,1,0))))))</f>
        <v>2</v>
      </c>
      <c r="G1153" s="369">
        <f>VLOOKUP(C1153,METADATA!$J$5:$Q$29,IF(E1153="HI",2,IF(E1153="LO",6,10))+IF(D1153=1,2,IF(D1153=7,1,(IF(WEEKDAY(B1153)=1,2,IF(WEEKDAY(B1153)=7,1,0))))))</f>
        <v>2</v>
      </c>
      <c r="H1153" s="370">
        <v>12064.19482421875</v>
      </c>
      <c r="I1153" s="370">
        <v>1642.295970916748</v>
      </c>
      <c r="M1153" s="371">
        <f t="shared" si="69"/>
        <v>12175.464377706332</v>
      </c>
      <c r="N1153" s="329">
        <f t="shared" si="70"/>
        <v>0</v>
      </c>
      <c r="T1153" s="331">
        <v>0</v>
      </c>
      <c r="U1153" s="328">
        <f>VLOOKUP(C1153,METADATA!$J$5:$Q$29,IF(E1153="HI",2,IF(E1153="LO",6,10))+IF(T1153=1,2,IF(D1153=7,1,(IF(WEEKDAY(B1153)=1,2,IF(WEEKDAY(B1153)=7,1,0))))))</f>
        <v>2</v>
      </c>
      <c r="V1153" s="328">
        <f>VLOOKUP(C1153,METADATA!$A$5:$H$29,IF(E1153="HI",2,IF(E1153="LO",6,10))+IF(T1153=1,2,IF(D1153=7,1,(IF(WEEKDAY(B1153)=1,2,IF(WEEKDAY(B1153)=7,1,0))))))</f>
        <v>2</v>
      </c>
    </row>
    <row r="1154" spans="2:22">
      <c r="B1154" s="318">
        <f t="shared" si="71"/>
        <v>46160</v>
      </c>
      <c r="C1154" s="312">
        <v>22</v>
      </c>
      <c r="D1154" s="368">
        <f>IFERROR((INDEX(METADATA!$T$2:$T$20,MATCH(B1154,METADATA!$S$2:$S$20,0))),0)</f>
        <v>0</v>
      </c>
      <c r="E1154" s="312" t="str">
        <f t="shared" si="68"/>
        <v>LO</v>
      </c>
      <c r="F1154" s="369">
        <f>VLOOKUP(C1154,METADATA!$A$5:$H$29,IF(E1154="HI",2,IF(E1154="LO",6,10))+IF(D1154=1,2,IF(D1154=7,1,(IF(WEEKDAY(B1154)=1,2,IF(WEEKDAY(B1154)=7,1,0))))))</f>
        <v>3</v>
      </c>
      <c r="G1154" s="369">
        <f>VLOOKUP(C1154,METADATA!$J$5:$Q$29,IF(E1154="HI",2,IF(E1154="LO",6,10))+IF(D1154=1,2,IF(D1154=7,1,(IF(WEEKDAY(B1154)=1,2,IF(WEEKDAY(B1154)=7,1,0))))))</f>
        <v>3</v>
      </c>
      <c r="H1154" s="370">
        <v>13433.924926757813</v>
      </c>
      <c r="I1154" s="370">
        <v>1932.9835357666016</v>
      </c>
      <c r="M1154" s="371">
        <f t="shared" si="69"/>
        <v>13572.279259111552</v>
      </c>
      <c r="N1154" s="329">
        <f t="shared" si="70"/>
        <v>0</v>
      </c>
      <c r="T1154" s="331">
        <v>0</v>
      </c>
      <c r="U1154" s="328">
        <f>VLOOKUP(C1154,METADATA!$J$5:$Q$29,IF(E1154="HI",2,IF(E1154="LO",6,10))+IF(T1154=1,2,IF(D1154=7,1,(IF(WEEKDAY(B1154)=1,2,IF(WEEKDAY(B1154)=7,1,0))))))</f>
        <v>3</v>
      </c>
      <c r="V1154" s="328">
        <f>VLOOKUP(C1154,METADATA!$A$5:$H$29,IF(E1154="HI",2,IF(E1154="LO",6,10))+IF(T1154=1,2,IF(D1154=7,1,(IF(WEEKDAY(B1154)=1,2,IF(WEEKDAY(B1154)=7,1,0))))))</f>
        <v>3</v>
      </c>
    </row>
    <row r="1155" spans="2:22">
      <c r="B1155" s="318">
        <f t="shared" si="71"/>
        <v>46160</v>
      </c>
      <c r="C1155" s="312">
        <v>23</v>
      </c>
      <c r="D1155" s="368">
        <f>IFERROR((INDEX(METADATA!$T$2:$T$20,MATCH(B1155,METADATA!$S$2:$S$20,0))),0)</f>
        <v>0</v>
      </c>
      <c r="E1155" s="312" t="str">
        <f t="shared" si="68"/>
        <v>LO</v>
      </c>
      <c r="F1155" s="369">
        <f>VLOOKUP(C1155,METADATA!$A$5:$H$29,IF(E1155="HI",2,IF(E1155="LO",6,10))+IF(D1155=1,2,IF(D1155=7,1,(IF(WEEKDAY(B1155)=1,2,IF(WEEKDAY(B1155)=7,1,0))))))</f>
        <v>3</v>
      </c>
      <c r="G1155" s="369">
        <f>VLOOKUP(C1155,METADATA!$J$5:$Q$29,IF(E1155="HI",2,IF(E1155="LO",6,10))+IF(D1155=1,2,IF(D1155=7,1,(IF(WEEKDAY(B1155)=1,2,IF(WEEKDAY(B1155)=7,1,0))))))</f>
        <v>3</v>
      </c>
      <c r="H1155" s="370">
        <v>13080.094665527344</v>
      </c>
      <c r="I1155" s="370">
        <v>1863.0944480895996</v>
      </c>
      <c r="M1155" s="371">
        <f t="shared" si="69"/>
        <v>13212.115552842366</v>
      </c>
      <c r="N1155" s="329">
        <f t="shared" si="70"/>
        <v>0</v>
      </c>
      <c r="T1155" s="331">
        <v>0</v>
      </c>
      <c r="U1155" s="328">
        <f>VLOOKUP(C1155,METADATA!$J$5:$Q$29,IF(E1155="HI",2,IF(E1155="LO",6,10))+IF(T1155=1,2,IF(D1155=7,1,(IF(WEEKDAY(B1155)=1,2,IF(WEEKDAY(B1155)=7,1,0))))))</f>
        <v>3</v>
      </c>
      <c r="V1155" s="328">
        <f>VLOOKUP(C1155,METADATA!$A$5:$H$29,IF(E1155="HI",2,IF(E1155="LO",6,10))+IF(T1155=1,2,IF(D1155=7,1,(IF(WEEKDAY(B1155)=1,2,IF(WEEKDAY(B1155)=7,1,0))))))</f>
        <v>3</v>
      </c>
    </row>
    <row r="1156" spans="2:22">
      <c r="B1156" s="318">
        <f t="shared" si="71"/>
        <v>46161</v>
      </c>
      <c r="C1156" s="312">
        <v>0</v>
      </c>
      <c r="D1156" s="368">
        <f>IFERROR((INDEX(METADATA!$T$2:$T$20,MATCH(B1156,METADATA!$S$2:$S$20,0))),0)</f>
        <v>0</v>
      </c>
      <c r="E1156" s="312" t="str">
        <f t="shared" ref="E1156:E1219" si="72">IF(B1156="","",IF(AND(MONTH(B1156)&gt;=MONTH($Z$9),MONTH(B1156)&lt;=MONTH($Z$11)),"HI","LO"))</f>
        <v>LO</v>
      </c>
      <c r="F1156" s="369">
        <f>VLOOKUP(C1156,METADATA!$A$5:$H$29,IF(E1156="HI",2,IF(E1156="LO",6,10))+IF(D1156=1,2,IF(D1156=7,1,(IF(WEEKDAY(B1156)=1,2,IF(WEEKDAY(B1156)=7,1,0))))))</f>
        <v>3</v>
      </c>
      <c r="G1156" s="369">
        <f>VLOOKUP(C1156,METADATA!$J$5:$Q$29,IF(E1156="HI",2,IF(E1156="LO",6,10))+IF(D1156=1,2,IF(D1156=7,1,(IF(WEEKDAY(B1156)=1,2,IF(WEEKDAY(B1156)=7,1,0))))))</f>
        <v>3</v>
      </c>
      <c r="H1156" s="370">
        <v>11396.310119628906</v>
      </c>
      <c r="I1156" s="370">
        <v>1557.6260414978024</v>
      </c>
      <c r="M1156" s="371">
        <f t="shared" ref="M1156:M1219" si="73">SQRT(H1156^2+I1156^2)</f>
        <v>11502.264265261354</v>
      </c>
      <c r="N1156" s="329">
        <f t="shared" ref="N1156:N1219" si="74">IF(H1156=0,0,(IF(I1156-(0.3*H1156)&lt;0,0,(I1156-(0.3*H1156)))))</f>
        <v>0</v>
      </c>
      <c r="T1156" s="331">
        <v>0</v>
      </c>
      <c r="U1156" s="328">
        <f>VLOOKUP(C1156,METADATA!$J$5:$Q$29,IF(E1156="HI",2,IF(E1156="LO",6,10))+IF(T1156=1,2,IF(D1156=7,1,(IF(WEEKDAY(B1156)=1,2,IF(WEEKDAY(B1156)=7,1,0))))))</f>
        <v>3</v>
      </c>
      <c r="V1156" s="328">
        <f>VLOOKUP(C1156,METADATA!$A$5:$H$29,IF(E1156="HI",2,IF(E1156="LO",6,10))+IF(T1156=1,2,IF(D1156=7,1,(IF(WEEKDAY(B1156)=1,2,IF(WEEKDAY(B1156)=7,1,0))))))</f>
        <v>3</v>
      </c>
    </row>
    <row r="1157" spans="2:22">
      <c r="B1157" s="318">
        <f t="shared" si="71"/>
        <v>46161</v>
      </c>
      <c r="C1157" s="312">
        <v>1</v>
      </c>
      <c r="D1157" s="368">
        <f>IFERROR((INDEX(METADATA!$T$2:$T$20,MATCH(B1157,METADATA!$S$2:$S$20,0))),0)</f>
        <v>0</v>
      </c>
      <c r="E1157" s="312" t="str">
        <f t="shared" si="72"/>
        <v>LO</v>
      </c>
      <c r="F1157" s="369">
        <f>VLOOKUP(C1157,METADATA!$A$5:$H$29,IF(E1157="HI",2,IF(E1157="LO",6,10))+IF(D1157=1,2,IF(D1157=7,1,(IF(WEEKDAY(B1157)=1,2,IF(WEEKDAY(B1157)=7,1,0))))))</f>
        <v>3</v>
      </c>
      <c r="G1157" s="369">
        <f>VLOOKUP(C1157,METADATA!$J$5:$Q$29,IF(E1157="HI",2,IF(E1157="LO",6,10))+IF(D1157=1,2,IF(D1157=7,1,(IF(WEEKDAY(B1157)=1,2,IF(WEEKDAY(B1157)=7,1,0))))))</f>
        <v>3</v>
      </c>
      <c r="H1157" s="370">
        <v>11083.770080566406</v>
      </c>
      <c r="I1157" s="370">
        <v>1236.3600158691406</v>
      </c>
      <c r="M1157" s="371">
        <f t="shared" si="73"/>
        <v>11152.512958418787</v>
      </c>
      <c r="N1157" s="329">
        <f t="shared" si="74"/>
        <v>0</v>
      </c>
      <c r="T1157" s="331">
        <v>0</v>
      </c>
      <c r="U1157" s="328">
        <f>VLOOKUP(C1157,METADATA!$J$5:$Q$29,IF(E1157="HI",2,IF(E1157="LO",6,10))+IF(T1157=1,2,IF(D1157=7,1,(IF(WEEKDAY(B1157)=1,2,IF(WEEKDAY(B1157)=7,1,0))))))</f>
        <v>3</v>
      </c>
      <c r="V1157" s="328">
        <f>VLOOKUP(C1157,METADATA!$A$5:$H$29,IF(E1157="HI",2,IF(E1157="LO",6,10))+IF(T1157=1,2,IF(D1157=7,1,(IF(WEEKDAY(B1157)=1,2,IF(WEEKDAY(B1157)=7,1,0))))))</f>
        <v>3</v>
      </c>
    </row>
    <row r="1158" spans="2:22">
      <c r="B1158" s="318">
        <f t="shared" si="71"/>
        <v>46161</v>
      </c>
      <c r="C1158" s="312">
        <v>2</v>
      </c>
      <c r="D1158" s="368">
        <f>IFERROR((INDEX(METADATA!$T$2:$T$20,MATCH(B1158,METADATA!$S$2:$S$20,0))),0)</f>
        <v>0</v>
      </c>
      <c r="E1158" s="312" t="str">
        <f t="shared" si="72"/>
        <v>LO</v>
      </c>
      <c r="F1158" s="369">
        <f>VLOOKUP(C1158,METADATA!$A$5:$H$29,IF(E1158="HI",2,IF(E1158="LO",6,10))+IF(D1158=1,2,IF(D1158=7,1,(IF(WEEKDAY(B1158)=1,2,IF(WEEKDAY(B1158)=7,1,0))))))</f>
        <v>3</v>
      </c>
      <c r="G1158" s="369">
        <f>VLOOKUP(C1158,METADATA!$J$5:$Q$29,IF(E1158="HI",2,IF(E1158="LO",6,10))+IF(D1158=1,2,IF(D1158=7,1,(IF(WEEKDAY(B1158)=1,2,IF(WEEKDAY(B1158)=7,1,0))))))</f>
        <v>3</v>
      </c>
      <c r="H1158" s="370">
        <v>11111.075134277344</v>
      </c>
      <c r="I1158" s="370">
        <v>1227.1919951140881</v>
      </c>
      <c r="M1158" s="371">
        <f t="shared" si="73"/>
        <v>11178.639936612521</v>
      </c>
      <c r="N1158" s="329">
        <f t="shared" si="74"/>
        <v>0</v>
      </c>
      <c r="T1158" s="331">
        <v>0</v>
      </c>
      <c r="U1158" s="328">
        <f>VLOOKUP(C1158,METADATA!$J$5:$Q$29,IF(E1158="HI",2,IF(E1158="LO",6,10))+IF(T1158=1,2,IF(D1158=7,1,(IF(WEEKDAY(B1158)=1,2,IF(WEEKDAY(B1158)=7,1,0))))))</f>
        <v>3</v>
      </c>
      <c r="V1158" s="328">
        <f>VLOOKUP(C1158,METADATA!$A$5:$H$29,IF(E1158="HI",2,IF(E1158="LO",6,10))+IF(T1158=1,2,IF(D1158=7,1,(IF(WEEKDAY(B1158)=1,2,IF(WEEKDAY(B1158)=7,1,0))))))</f>
        <v>3</v>
      </c>
    </row>
    <row r="1159" spans="2:22">
      <c r="B1159" s="318">
        <f t="shared" si="71"/>
        <v>46161</v>
      </c>
      <c r="C1159" s="312">
        <v>3</v>
      </c>
      <c r="D1159" s="368">
        <f>IFERROR((INDEX(METADATA!$T$2:$T$20,MATCH(B1159,METADATA!$S$2:$S$20,0))),0)</f>
        <v>0</v>
      </c>
      <c r="E1159" s="312" t="str">
        <f t="shared" si="72"/>
        <v>LO</v>
      </c>
      <c r="F1159" s="369">
        <f>VLOOKUP(C1159,METADATA!$A$5:$H$29,IF(E1159="HI",2,IF(E1159="LO",6,10))+IF(D1159=1,2,IF(D1159=7,1,(IF(WEEKDAY(B1159)=1,2,IF(WEEKDAY(B1159)=7,1,0))))))</f>
        <v>3</v>
      </c>
      <c r="G1159" s="369">
        <f>VLOOKUP(C1159,METADATA!$J$5:$Q$29,IF(E1159="HI",2,IF(E1159="LO",6,10))+IF(D1159=1,2,IF(D1159=7,1,(IF(WEEKDAY(B1159)=1,2,IF(WEEKDAY(B1159)=7,1,0))))))</f>
        <v>3</v>
      </c>
      <c r="H1159" s="370">
        <v>13113.125122070313</v>
      </c>
      <c r="I1159" s="370">
        <v>1718.0124835968018</v>
      </c>
      <c r="M1159" s="371">
        <f t="shared" si="73"/>
        <v>13225.188745755804</v>
      </c>
      <c r="N1159" s="329">
        <f t="shared" si="74"/>
        <v>0</v>
      </c>
      <c r="T1159" s="331">
        <v>0</v>
      </c>
      <c r="U1159" s="328">
        <f>VLOOKUP(C1159,METADATA!$J$5:$Q$29,IF(E1159="HI",2,IF(E1159="LO",6,10))+IF(T1159=1,2,IF(D1159=7,1,(IF(WEEKDAY(B1159)=1,2,IF(WEEKDAY(B1159)=7,1,0))))))</f>
        <v>3</v>
      </c>
      <c r="V1159" s="328">
        <f>VLOOKUP(C1159,METADATA!$A$5:$H$29,IF(E1159="HI",2,IF(E1159="LO",6,10))+IF(T1159=1,2,IF(D1159=7,1,(IF(WEEKDAY(B1159)=1,2,IF(WEEKDAY(B1159)=7,1,0))))))</f>
        <v>3</v>
      </c>
    </row>
    <row r="1160" spans="2:22">
      <c r="B1160" s="318">
        <f t="shared" si="71"/>
        <v>46161</v>
      </c>
      <c r="C1160" s="312">
        <v>4</v>
      </c>
      <c r="D1160" s="368">
        <f>IFERROR((INDEX(METADATA!$T$2:$T$20,MATCH(B1160,METADATA!$S$2:$S$20,0))),0)</f>
        <v>0</v>
      </c>
      <c r="E1160" s="312" t="str">
        <f t="shared" si="72"/>
        <v>LO</v>
      </c>
      <c r="F1160" s="369">
        <f>VLOOKUP(C1160,METADATA!$A$5:$H$29,IF(E1160="HI",2,IF(E1160="LO",6,10))+IF(D1160=1,2,IF(D1160=7,1,(IF(WEEKDAY(B1160)=1,2,IF(WEEKDAY(B1160)=7,1,0))))))</f>
        <v>3</v>
      </c>
      <c r="G1160" s="369">
        <f>VLOOKUP(C1160,METADATA!$J$5:$Q$29,IF(E1160="HI",2,IF(E1160="LO",6,10))+IF(D1160=1,2,IF(D1160=7,1,(IF(WEEKDAY(B1160)=1,2,IF(WEEKDAY(B1160)=7,1,0))))))</f>
        <v>3</v>
      </c>
      <c r="H1160" s="370">
        <v>13178.329895019531</v>
      </c>
      <c r="I1160" s="370">
        <v>1635.1929779052734</v>
      </c>
      <c r="M1160" s="371">
        <f t="shared" si="73"/>
        <v>13279.391360185007</v>
      </c>
      <c r="N1160" s="329">
        <f t="shared" si="74"/>
        <v>0</v>
      </c>
      <c r="T1160" s="331">
        <v>0</v>
      </c>
      <c r="U1160" s="328">
        <f>VLOOKUP(C1160,METADATA!$J$5:$Q$29,IF(E1160="HI",2,IF(E1160="LO",6,10))+IF(T1160=1,2,IF(D1160=7,1,(IF(WEEKDAY(B1160)=1,2,IF(WEEKDAY(B1160)=7,1,0))))))</f>
        <v>3</v>
      </c>
      <c r="V1160" s="328">
        <f>VLOOKUP(C1160,METADATA!$A$5:$H$29,IF(E1160="HI",2,IF(E1160="LO",6,10))+IF(T1160=1,2,IF(D1160=7,1,(IF(WEEKDAY(B1160)=1,2,IF(WEEKDAY(B1160)=7,1,0))))))</f>
        <v>3</v>
      </c>
    </row>
    <row r="1161" spans="2:22">
      <c r="B1161" s="318">
        <f t="shared" si="71"/>
        <v>46161</v>
      </c>
      <c r="C1161" s="312">
        <v>5</v>
      </c>
      <c r="D1161" s="368">
        <f>IFERROR((INDEX(METADATA!$T$2:$T$20,MATCH(B1161,METADATA!$S$2:$S$20,0))),0)</f>
        <v>0</v>
      </c>
      <c r="E1161" s="312" t="str">
        <f t="shared" si="72"/>
        <v>LO</v>
      </c>
      <c r="F1161" s="369">
        <f>VLOOKUP(C1161,METADATA!$A$5:$H$29,IF(E1161="HI",2,IF(E1161="LO",6,10))+IF(D1161=1,2,IF(D1161=7,1,(IF(WEEKDAY(B1161)=1,2,IF(WEEKDAY(B1161)=7,1,0))))))</f>
        <v>3</v>
      </c>
      <c r="G1161" s="369">
        <f>VLOOKUP(C1161,METADATA!$J$5:$Q$29,IF(E1161="HI",2,IF(E1161="LO",6,10))+IF(D1161=1,2,IF(D1161=7,1,(IF(WEEKDAY(B1161)=1,2,IF(WEEKDAY(B1161)=7,1,0))))))</f>
        <v>3</v>
      </c>
      <c r="H1161" s="370">
        <v>13205.229858398438</v>
      </c>
      <c r="I1161" s="370">
        <v>1585.6084728240967</v>
      </c>
      <c r="M1161" s="371">
        <f t="shared" si="73"/>
        <v>13300.08458026599</v>
      </c>
      <c r="N1161" s="329">
        <f t="shared" si="74"/>
        <v>0</v>
      </c>
      <c r="T1161" s="331">
        <v>0</v>
      </c>
      <c r="U1161" s="328">
        <f>VLOOKUP(C1161,METADATA!$J$5:$Q$29,IF(E1161="HI",2,IF(E1161="LO",6,10))+IF(T1161=1,2,IF(D1161=7,1,(IF(WEEKDAY(B1161)=1,2,IF(WEEKDAY(B1161)=7,1,0))))))</f>
        <v>3</v>
      </c>
      <c r="V1161" s="328">
        <f>VLOOKUP(C1161,METADATA!$A$5:$H$29,IF(E1161="HI",2,IF(E1161="LO",6,10))+IF(T1161=1,2,IF(D1161=7,1,(IF(WEEKDAY(B1161)=1,2,IF(WEEKDAY(B1161)=7,1,0))))))</f>
        <v>3</v>
      </c>
    </row>
    <row r="1162" spans="2:22">
      <c r="B1162" s="318">
        <f t="shared" si="71"/>
        <v>46161</v>
      </c>
      <c r="C1162" s="312">
        <v>6</v>
      </c>
      <c r="D1162" s="368">
        <f>IFERROR((INDEX(METADATA!$T$2:$T$20,MATCH(B1162,METADATA!$S$2:$S$20,0))),0)</f>
        <v>0</v>
      </c>
      <c r="E1162" s="312" t="str">
        <f t="shared" si="72"/>
        <v>LO</v>
      </c>
      <c r="F1162" s="369">
        <f>VLOOKUP(C1162,METADATA!$A$5:$H$29,IF(E1162="HI",2,IF(E1162="LO",6,10))+IF(D1162=1,2,IF(D1162=7,1,(IF(WEEKDAY(B1162)=1,2,IF(WEEKDAY(B1162)=7,1,0))))))</f>
        <v>2</v>
      </c>
      <c r="G1162" s="369">
        <f>VLOOKUP(C1162,METADATA!$J$5:$Q$29,IF(E1162="HI",2,IF(E1162="LO",6,10))+IF(D1162=1,2,IF(D1162=7,1,(IF(WEEKDAY(B1162)=1,2,IF(WEEKDAY(B1162)=7,1,0))))))</f>
        <v>2</v>
      </c>
      <c r="H1162" s="370">
        <v>13279.20751953125</v>
      </c>
      <c r="I1162" s="370">
        <v>1770.9614810943604</v>
      </c>
      <c r="M1162" s="371">
        <f t="shared" si="73"/>
        <v>13396.777855674671</v>
      </c>
      <c r="N1162" s="329">
        <f t="shared" si="74"/>
        <v>0</v>
      </c>
      <c r="T1162" s="331">
        <v>0</v>
      </c>
      <c r="U1162" s="328">
        <f>VLOOKUP(C1162,METADATA!$J$5:$Q$29,IF(E1162="HI",2,IF(E1162="LO",6,10))+IF(T1162=1,2,IF(D1162=7,1,(IF(WEEKDAY(B1162)=1,2,IF(WEEKDAY(B1162)=7,1,0))))))</f>
        <v>2</v>
      </c>
      <c r="V1162" s="328">
        <f>VLOOKUP(C1162,METADATA!$A$5:$H$29,IF(E1162="HI",2,IF(E1162="LO",6,10))+IF(T1162=1,2,IF(D1162=7,1,(IF(WEEKDAY(B1162)=1,2,IF(WEEKDAY(B1162)=7,1,0))))))</f>
        <v>2</v>
      </c>
    </row>
    <row r="1163" spans="2:22">
      <c r="B1163" s="318">
        <f t="shared" si="71"/>
        <v>46161</v>
      </c>
      <c r="C1163" s="312">
        <v>7</v>
      </c>
      <c r="D1163" s="368">
        <f>IFERROR((INDEX(METADATA!$T$2:$T$20,MATCH(B1163,METADATA!$S$2:$S$20,0))),0)</f>
        <v>0</v>
      </c>
      <c r="E1163" s="312" t="str">
        <f t="shared" si="72"/>
        <v>LO</v>
      </c>
      <c r="F1163" s="369">
        <f>VLOOKUP(C1163,METADATA!$A$5:$H$29,IF(E1163="HI",2,IF(E1163="LO",6,10))+IF(D1163=1,2,IF(D1163=7,1,(IF(WEEKDAY(B1163)=1,2,IF(WEEKDAY(B1163)=7,1,0))))))</f>
        <v>1</v>
      </c>
      <c r="G1163" s="369">
        <f>VLOOKUP(C1163,METADATA!$J$5:$Q$29,IF(E1163="HI",2,IF(E1163="LO",6,10))+IF(D1163=1,2,IF(D1163=7,1,(IF(WEEKDAY(B1163)=1,2,IF(WEEKDAY(B1163)=7,1,0))))))</f>
        <v>1</v>
      </c>
      <c r="H1163" s="370">
        <v>13270.994812011719</v>
      </c>
      <c r="I1163" s="370">
        <v>1660.4624710083008</v>
      </c>
      <c r="M1163" s="371">
        <f t="shared" si="73"/>
        <v>13374.469668666079</v>
      </c>
      <c r="N1163" s="329">
        <f t="shared" si="74"/>
        <v>0</v>
      </c>
      <c r="T1163" s="331">
        <v>0</v>
      </c>
      <c r="U1163" s="328">
        <f>VLOOKUP(C1163,METADATA!$J$5:$Q$29,IF(E1163="HI",2,IF(E1163="LO",6,10))+IF(T1163=1,2,IF(D1163=7,1,(IF(WEEKDAY(B1163)=1,2,IF(WEEKDAY(B1163)=7,1,0))))))</f>
        <v>1</v>
      </c>
      <c r="V1163" s="328">
        <f>VLOOKUP(C1163,METADATA!$A$5:$H$29,IF(E1163="HI",2,IF(E1163="LO",6,10))+IF(T1163=1,2,IF(D1163=7,1,(IF(WEEKDAY(B1163)=1,2,IF(WEEKDAY(B1163)=7,1,0))))))</f>
        <v>1</v>
      </c>
    </row>
    <row r="1164" spans="2:22">
      <c r="B1164" s="318">
        <f t="shared" si="71"/>
        <v>46161</v>
      </c>
      <c r="C1164" s="312">
        <v>8</v>
      </c>
      <c r="D1164" s="368">
        <f>IFERROR((INDEX(METADATA!$T$2:$T$20,MATCH(B1164,METADATA!$S$2:$S$20,0))),0)</f>
        <v>0</v>
      </c>
      <c r="E1164" s="312" t="str">
        <f t="shared" si="72"/>
        <v>LO</v>
      </c>
      <c r="F1164" s="369">
        <f>VLOOKUP(C1164,METADATA!$A$5:$H$29,IF(E1164="HI",2,IF(E1164="LO",6,10))+IF(D1164=1,2,IF(D1164=7,1,(IF(WEEKDAY(B1164)=1,2,IF(WEEKDAY(B1164)=7,1,0))))))</f>
        <v>1</v>
      </c>
      <c r="G1164" s="369">
        <f>VLOOKUP(C1164,METADATA!$J$5:$Q$29,IF(E1164="HI",2,IF(E1164="LO",6,10))+IF(D1164=1,2,IF(D1164=7,1,(IF(WEEKDAY(B1164)=1,2,IF(WEEKDAY(B1164)=7,1,0))))))</f>
        <v>1</v>
      </c>
      <c r="H1164" s="370">
        <v>13355.829833984375</v>
      </c>
      <c r="I1164" s="370">
        <v>1724.0390205383301</v>
      </c>
      <c r="M1164" s="371">
        <f t="shared" si="73"/>
        <v>13466.644017671435</v>
      </c>
      <c r="N1164" s="329">
        <f t="shared" si="74"/>
        <v>0</v>
      </c>
      <c r="T1164" s="331">
        <v>0</v>
      </c>
      <c r="U1164" s="328">
        <f>VLOOKUP(C1164,METADATA!$J$5:$Q$29,IF(E1164="HI",2,IF(E1164="LO",6,10))+IF(T1164=1,2,IF(D1164=7,1,(IF(WEEKDAY(B1164)=1,2,IF(WEEKDAY(B1164)=7,1,0))))))</f>
        <v>1</v>
      </c>
      <c r="V1164" s="328">
        <f>VLOOKUP(C1164,METADATA!$A$5:$H$29,IF(E1164="HI",2,IF(E1164="LO",6,10))+IF(T1164=1,2,IF(D1164=7,1,(IF(WEEKDAY(B1164)=1,2,IF(WEEKDAY(B1164)=7,1,0))))))</f>
        <v>1</v>
      </c>
    </row>
    <row r="1165" spans="2:22">
      <c r="B1165" s="318">
        <f t="shared" si="71"/>
        <v>46161</v>
      </c>
      <c r="C1165" s="312">
        <v>9</v>
      </c>
      <c r="D1165" s="368">
        <f>IFERROR((INDEX(METADATA!$T$2:$T$20,MATCH(B1165,METADATA!$S$2:$S$20,0))),0)</f>
        <v>0</v>
      </c>
      <c r="E1165" s="312" t="str">
        <f t="shared" si="72"/>
        <v>LO</v>
      </c>
      <c r="F1165" s="369">
        <f>VLOOKUP(C1165,METADATA!$A$5:$H$29,IF(E1165="HI",2,IF(E1165="LO",6,10))+IF(D1165=1,2,IF(D1165=7,1,(IF(WEEKDAY(B1165)=1,2,IF(WEEKDAY(B1165)=7,1,0))))))</f>
        <v>2</v>
      </c>
      <c r="G1165" s="369">
        <f>VLOOKUP(C1165,METADATA!$J$5:$Q$29,IF(E1165="HI",2,IF(E1165="LO",6,10))+IF(D1165=1,2,IF(D1165=7,1,(IF(WEEKDAY(B1165)=1,2,IF(WEEKDAY(B1165)=7,1,0))))))</f>
        <v>2</v>
      </c>
      <c r="H1165" s="370">
        <v>13202.224731445313</v>
      </c>
      <c r="I1165" s="370">
        <v>1641.3345031738281</v>
      </c>
      <c r="M1165" s="371">
        <f t="shared" si="73"/>
        <v>13303.860973826175</v>
      </c>
      <c r="N1165" s="329">
        <f t="shared" si="74"/>
        <v>0</v>
      </c>
      <c r="T1165" s="331">
        <v>0</v>
      </c>
      <c r="U1165" s="328">
        <f>VLOOKUP(C1165,METADATA!$J$5:$Q$29,IF(E1165="HI",2,IF(E1165="LO",6,10))+IF(T1165=1,2,IF(D1165=7,1,(IF(WEEKDAY(B1165)=1,2,IF(WEEKDAY(B1165)=7,1,0))))))</f>
        <v>2</v>
      </c>
      <c r="V1165" s="328">
        <f>VLOOKUP(C1165,METADATA!$A$5:$H$29,IF(E1165="HI",2,IF(E1165="LO",6,10))+IF(T1165=1,2,IF(D1165=7,1,(IF(WEEKDAY(B1165)=1,2,IF(WEEKDAY(B1165)=7,1,0))))))</f>
        <v>2</v>
      </c>
    </row>
    <row r="1166" spans="2:22">
      <c r="B1166" s="318">
        <f t="shared" si="71"/>
        <v>46161</v>
      </c>
      <c r="C1166" s="312">
        <v>10</v>
      </c>
      <c r="D1166" s="368">
        <f>IFERROR((INDEX(METADATA!$T$2:$T$20,MATCH(B1166,METADATA!$S$2:$S$20,0))),0)</f>
        <v>0</v>
      </c>
      <c r="E1166" s="312" t="str">
        <f t="shared" si="72"/>
        <v>LO</v>
      </c>
      <c r="F1166" s="369">
        <f>VLOOKUP(C1166,METADATA!$A$5:$H$29,IF(E1166="HI",2,IF(E1166="LO",6,10))+IF(D1166=1,2,IF(D1166=7,1,(IF(WEEKDAY(B1166)=1,2,IF(WEEKDAY(B1166)=7,1,0))))))</f>
        <v>2</v>
      </c>
      <c r="G1166" s="369">
        <f>VLOOKUP(C1166,METADATA!$J$5:$Q$29,IF(E1166="HI",2,IF(E1166="LO",6,10))+IF(D1166=1,2,IF(D1166=7,1,(IF(WEEKDAY(B1166)=1,2,IF(WEEKDAY(B1166)=7,1,0))))))</f>
        <v>2</v>
      </c>
      <c r="H1166" s="370">
        <v>11976.015197753906</v>
      </c>
      <c r="I1166" s="370">
        <v>1441.3479642868042</v>
      </c>
      <c r="M1166" s="371">
        <f t="shared" si="73"/>
        <v>12062.438558226369</v>
      </c>
      <c r="N1166" s="329">
        <f t="shared" si="74"/>
        <v>0</v>
      </c>
      <c r="T1166" s="331">
        <v>0</v>
      </c>
      <c r="U1166" s="328">
        <f>VLOOKUP(C1166,METADATA!$J$5:$Q$29,IF(E1166="HI",2,IF(E1166="LO",6,10))+IF(T1166=1,2,IF(D1166=7,1,(IF(WEEKDAY(B1166)=1,2,IF(WEEKDAY(B1166)=7,1,0))))))</f>
        <v>2</v>
      </c>
      <c r="V1166" s="328">
        <f>VLOOKUP(C1166,METADATA!$A$5:$H$29,IF(E1166="HI",2,IF(E1166="LO",6,10))+IF(T1166=1,2,IF(D1166=7,1,(IF(WEEKDAY(B1166)=1,2,IF(WEEKDAY(B1166)=7,1,0))))))</f>
        <v>2</v>
      </c>
    </row>
    <row r="1167" spans="2:22">
      <c r="B1167" s="318">
        <f t="shared" si="71"/>
        <v>46161</v>
      </c>
      <c r="C1167" s="312">
        <v>11</v>
      </c>
      <c r="D1167" s="368">
        <f>IFERROR((INDEX(METADATA!$T$2:$T$20,MATCH(B1167,METADATA!$S$2:$S$20,0))),0)</f>
        <v>0</v>
      </c>
      <c r="E1167" s="312" t="str">
        <f t="shared" si="72"/>
        <v>LO</v>
      </c>
      <c r="F1167" s="369">
        <f>VLOOKUP(C1167,METADATA!$A$5:$H$29,IF(E1167="HI",2,IF(E1167="LO",6,10))+IF(D1167=1,2,IF(D1167=7,1,(IF(WEEKDAY(B1167)=1,2,IF(WEEKDAY(B1167)=7,1,0))))))</f>
        <v>2</v>
      </c>
      <c r="G1167" s="369">
        <f>VLOOKUP(C1167,METADATA!$J$5:$Q$29,IF(E1167="HI",2,IF(E1167="LO",6,10))+IF(D1167=1,2,IF(D1167=7,1,(IF(WEEKDAY(B1167)=1,2,IF(WEEKDAY(B1167)=7,1,0))))))</f>
        <v>2</v>
      </c>
      <c r="H1167" s="370">
        <v>10062.385192871094</v>
      </c>
      <c r="I1167" s="370">
        <v>264.71999740600586</v>
      </c>
      <c r="M1167" s="371">
        <f t="shared" si="73"/>
        <v>10065.866701220421</v>
      </c>
      <c r="N1167" s="329">
        <f t="shared" si="74"/>
        <v>0</v>
      </c>
      <c r="T1167" s="331">
        <v>0</v>
      </c>
      <c r="U1167" s="328">
        <f>VLOOKUP(C1167,METADATA!$J$5:$Q$29,IF(E1167="HI",2,IF(E1167="LO",6,10))+IF(T1167=1,2,IF(D1167=7,1,(IF(WEEKDAY(B1167)=1,2,IF(WEEKDAY(B1167)=7,1,0))))))</f>
        <v>2</v>
      </c>
      <c r="V1167" s="328">
        <f>VLOOKUP(C1167,METADATA!$A$5:$H$29,IF(E1167="HI",2,IF(E1167="LO",6,10))+IF(T1167=1,2,IF(D1167=7,1,(IF(WEEKDAY(B1167)=1,2,IF(WEEKDAY(B1167)=7,1,0))))))</f>
        <v>2</v>
      </c>
    </row>
    <row r="1168" spans="2:22">
      <c r="B1168" s="318">
        <f t="shared" si="71"/>
        <v>46161</v>
      </c>
      <c r="C1168" s="312">
        <v>12</v>
      </c>
      <c r="D1168" s="368">
        <f>IFERROR((INDEX(METADATA!$T$2:$T$20,MATCH(B1168,METADATA!$S$2:$S$20,0))),0)</f>
        <v>0</v>
      </c>
      <c r="E1168" s="312" t="str">
        <f t="shared" si="72"/>
        <v>LO</v>
      </c>
      <c r="F1168" s="369">
        <f>VLOOKUP(C1168,METADATA!$A$5:$H$29,IF(E1168="HI",2,IF(E1168="LO",6,10))+IF(D1168=1,2,IF(D1168=7,1,(IF(WEEKDAY(B1168)=1,2,IF(WEEKDAY(B1168)=7,1,0))))))</f>
        <v>2</v>
      </c>
      <c r="G1168" s="369">
        <f>VLOOKUP(C1168,METADATA!$J$5:$Q$29,IF(E1168="HI",2,IF(E1168="LO",6,10))+IF(D1168=1,2,IF(D1168=7,1,(IF(WEEKDAY(B1168)=1,2,IF(WEEKDAY(B1168)=7,1,0))))))</f>
        <v>2</v>
      </c>
      <c r="H1168" s="370">
        <v>9943.3375854492188</v>
      </c>
      <c r="I1168" s="370">
        <v>183.59999465942383</v>
      </c>
      <c r="M1168" s="371">
        <f t="shared" si="73"/>
        <v>9945.0324934736163</v>
      </c>
      <c r="N1168" s="329">
        <f t="shared" si="74"/>
        <v>0</v>
      </c>
      <c r="T1168" s="331">
        <v>0</v>
      </c>
      <c r="U1168" s="328">
        <f>VLOOKUP(C1168,METADATA!$J$5:$Q$29,IF(E1168="HI",2,IF(E1168="LO",6,10))+IF(T1168=1,2,IF(D1168=7,1,(IF(WEEKDAY(B1168)=1,2,IF(WEEKDAY(B1168)=7,1,0))))))</f>
        <v>2</v>
      </c>
      <c r="V1168" s="328">
        <f>VLOOKUP(C1168,METADATA!$A$5:$H$29,IF(E1168="HI",2,IF(E1168="LO",6,10))+IF(T1168=1,2,IF(D1168=7,1,(IF(WEEKDAY(B1168)=1,2,IF(WEEKDAY(B1168)=7,1,0))))))</f>
        <v>2</v>
      </c>
    </row>
    <row r="1169" spans="2:22">
      <c r="B1169" s="318">
        <f t="shared" si="71"/>
        <v>46161</v>
      </c>
      <c r="C1169" s="312">
        <v>13</v>
      </c>
      <c r="D1169" s="368">
        <f>IFERROR((INDEX(METADATA!$T$2:$T$20,MATCH(B1169,METADATA!$S$2:$S$20,0))),0)</f>
        <v>0</v>
      </c>
      <c r="E1169" s="312" t="str">
        <f t="shared" si="72"/>
        <v>LO</v>
      </c>
      <c r="F1169" s="369">
        <f>VLOOKUP(C1169,METADATA!$A$5:$H$29,IF(E1169="HI",2,IF(E1169="LO",6,10))+IF(D1169=1,2,IF(D1169=7,1,(IF(WEEKDAY(B1169)=1,2,IF(WEEKDAY(B1169)=7,1,0))))))</f>
        <v>2</v>
      </c>
      <c r="G1169" s="369">
        <f>VLOOKUP(C1169,METADATA!$J$5:$Q$29,IF(E1169="HI",2,IF(E1169="LO",6,10))+IF(D1169=1,2,IF(D1169=7,1,(IF(WEEKDAY(B1169)=1,2,IF(WEEKDAY(B1169)=7,1,0))))))</f>
        <v>2</v>
      </c>
      <c r="H1169" s="370">
        <v>9889.7200622558594</v>
      </c>
      <c r="I1169" s="370">
        <v>157.56000137329102</v>
      </c>
      <c r="M1169" s="371">
        <f t="shared" si="73"/>
        <v>9890.9750815487751</v>
      </c>
      <c r="N1169" s="329">
        <f t="shared" si="74"/>
        <v>0</v>
      </c>
      <c r="T1169" s="331">
        <v>0</v>
      </c>
      <c r="U1169" s="328">
        <f>VLOOKUP(C1169,METADATA!$J$5:$Q$29,IF(E1169="HI",2,IF(E1169="LO",6,10))+IF(T1169=1,2,IF(D1169=7,1,(IF(WEEKDAY(B1169)=1,2,IF(WEEKDAY(B1169)=7,1,0))))))</f>
        <v>2</v>
      </c>
      <c r="V1169" s="328">
        <f>VLOOKUP(C1169,METADATA!$A$5:$H$29,IF(E1169="HI",2,IF(E1169="LO",6,10))+IF(T1169=1,2,IF(D1169=7,1,(IF(WEEKDAY(B1169)=1,2,IF(WEEKDAY(B1169)=7,1,0))))))</f>
        <v>2</v>
      </c>
    </row>
    <row r="1170" spans="2:22">
      <c r="B1170" s="318">
        <f t="shared" si="71"/>
        <v>46161</v>
      </c>
      <c r="C1170" s="312">
        <v>14</v>
      </c>
      <c r="D1170" s="368">
        <f>IFERROR((INDEX(METADATA!$T$2:$T$20,MATCH(B1170,METADATA!$S$2:$S$20,0))),0)</f>
        <v>0</v>
      </c>
      <c r="E1170" s="312" t="str">
        <f t="shared" si="72"/>
        <v>LO</v>
      </c>
      <c r="F1170" s="369">
        <f>VLOOKUP(C1170,METADATA!$A$5:$H$29,IF(E1170="HI",2,IF(E1170="LO",6,10))+IF(D1170=1,2,IF(D1170=7,1,(IF(WEEKDAY(B1170)=1,2,IF(WEEKDAY(B1170)=7,1,0))))))</f>
        <v>2</v>
      </c>
      <c r="G1170" s="369">
        <f>VLOOKUP(C1170,METADATA!$J$5:$Q$29,IF(E1170="HI",2,IF(E1170="LO",6,10))+IF(D1170=1,2,IF(D1170=7,1,(IF(WEEKDAY(B1170)=1,2,IF(WEEKDAY(B1170)=7,1,0))))))</f>
        <v>2</v>
      </c>
      <c r="H1170" s="370">
        <v>9816.8799438476563</v>
      </c>
      <c r="I1170" s="370">
        <v>177.57600426673889</v>
      </c>
      <c r="M1170" s="371">
        <f t="shared" si="73"/>
        <v>9818.4858847588966</v>
      </c>
      <c r="N1170" s="329">
        <f t="shared" si="74"/>
        <v>0</v>
      </c>
      <c r="T1170" s="331">
        <v>0</v>
      </c>
      <c r="U1170" s="328">
        <f>VLOOKUP(C1170,METADATA!$J$5:$Q$29,IF(E1170="HI",2,IF(E1170="LO",6,10))+IF(T1170=1,2,IF(D1170=7,1,(IF(WEEKDAY(B1170)=1,2,IF(WEEKDAY(B1170)=7,1,0))))))</f>
        <v>2</v>
      </c>
      <c r="V1170" s="328">
        <f>VLOOKUP(C1170,METADATA!$A$5:$H$29,IF(E1170="HI",2,IF(E1170="LO",6,10))+IF(T1170=1,2,IF(D1170=7,1,(IF(WEEKDAY(B1170)=1,2,IF(WEEKDAY(B1170)=7,1,0))))))</f>
        <v>2</v>
      </c>
    </row>
    <row r="1171" spans="2:22">
      <c r="B1171" s="318">
        <f t="shared" si="71"/>
        <v>46161</v>
      </c>
      <c r="C1171" s="312">
        <v>15</v>
      </c>
      <c r="D1171" s="368">
        <f>IFERROR((INDEX(METADATA!$T$2:$T$20,MATCH(B1171,METADATA!$S$2:$S$20,0))),0)</f>
        <v>0</v>
      </c>
      <c r="E1171" s="312" t="str">
        <f t="shared" si="72"/>
        <v>LO</v>
      </c>
      <c r="F1171" s="369">
        <f>VLOOKUP(C1171,METADATA!$A$5:$H$29,IF(E1171="HI",2,IF(E1171="LO",6,10))+IF(D1171=1,2,IF(D1171=7,1,(IF(WEEKDAY(B1171)=1,2,IF(WEEKDAY(B1171)=7,1,0))))))</f>
        <v>2</v>
      </c>
      <c r="G1171" s="369">
        <f>VLOOKUP(C1171,METADATA!$J$5:$Q$29,IF(E1171="HI",2,IF(E1171="LO",6,10))+IF(D1171=1,2,IF(D1171=7,1,(IF(WEEKDAY(B1171)=1,2,IF(WEEKDAY(B1171)=7,1,0))))))</f>
        <v>2</v>
      </c>
      <c r="H1171" s="370">
        <v>12894.990234375</v>
      </c>
      <c r="I1171" s="370">
        <v>1626.575511932373</v>
      </c>
      <c r="M1171" s="371">
        <f t="shared" si="73"/>
        <v>12997.173578922637</v>
      </c>
      <c r="N1171" s="329">
        <f t="shared" si="74"/>
        <v>0</v>
      </c>
      <c r="T1171" s="331">
        <v>0</v>
      </c>
      <c r="U1171" s="328">
        <f>VLOOKUP(C1171,METADATA!$J$5:$Q$29,IF(E1171="HI",2,IF(E1171="LO",6,10))+IF(T1171=1,2,IF(D1171=7,1,(IF(WEEKDAY(B1171)=1,2,IF(WEEKDAY(B1171)=7,1,0))))))</f>
        <v>2</v>
      </c>
      <c r="V1171" s="328">
        <f>VLOOKUP(C1171,METADATA!$A$5:$H$29,IF(E1171="HI",2,IF(E1171="LO",6,10))+IF(T1171=1,2,IF(D1171=7,1,(IF(WEEKDAY(B1171)=1,2,IF(WEEKDAY(B1171)=7,1,0))))))</f>
        <v>2</v>
      </c>
    </row>
    <row r="1172" spans="2:22">
      <c r="B1172" s="318">
        <f t="shared" si="71"/>
        <v>46161</v>
      </c>
      <c r="C1172" s="312">
        <v>16</v>
      </c>
      <c r="D1172" s="368">
        <f>IFERROR((INDEX(METADATA!$T$2:$T$20,MATCH(B1172,METADATA!$S$2:$S$20,0))),0)</f>
        <v>0</v>
      </c>
      <c r="E1172" s="312" t="str">
        <f t="shared" si="72"/>
        <v>LO</v>
      </c>
      <c r="F1172" s="369">
        <f>VLOOKUP(C1172,METADATA!$A$5:$H$29,IF(E1172="HI",2,IF(E1172="LO",6,10))+IF(D1172=1,2,IF(D1172=7,1,(IF(WEEKDAY(B1172)=1,2,IF(WEEKDAY(B1172)=7,1,0))))))</f>
        <v>2</v>
      </c>
      <c r="G1172" s="369">
        <f>VLOOKUP(C1172,METADATA!$J$5:$Q$29,IF(E1172="HI",2,IF(E1172="LO",6,10))+IF(D1172=1,2,IF(D1172=7,1,(IF(WEEKDAY(B1172)=1,2,IF(WEEKDAY(B1172)=7,1,0))))))</f>
        <v>2</v>
      </c>
      <c r="H1172" s="370">
        <v>13122.9951171875</v>
      </c>
      <c r="I1172" s="370">
        <v>1698.3585433959961</v>
      </c>
      <c r="M1172" s="371">
        <f t="shared" si="73"/>
        <v>13232.4382706912</v>
      </c>
      <c r="N1172" s="329">
        <f t="shared" si="74"/>
        <v>0</v>
      </c>
      <c r="T1172" s="331">
        <v>0</v>
      </c>
      <c r="U1172" s="328">
        <f>VLOOKUP(C1172,METADATA!$J$5:$Q$29,IF(E1172="HI",2,IF(E1172="LO",6,10))+IF(T1172=1,2,IF(D1172=7,1,(IF(WEEKDAY(B1172)=1,2,IF(WEEKDAY(B1172)=7,1,0))))))</f>
        <v>2</v>
      </c>
      <c r="V1172" s="328">
        <f>VLOOKUP(C1172,METADATA!$A$5:$H$29,IF(E1172="HI",2,IF(E1172="LO",6,10))+IF(T1172=1,2,IF(D1172=7,1,(IF(WEEKDAY(B1172)=1,2,IF(WEEKDAY(B1172)=7,1,0))))))</f>
        <v>2</v>
      </c>
    </row>
    <row r="1173" spans="2:22">
      <c r="B1173" s="318">
        <f t="shared" si="71"/>
        <v>46161</v>
      </c>
      <c r="C1173" s="312">
        <v>17</v>
      </c>
      <c r="D1173" s="368">
        <f>IFERROR((INDEX(METADATA!$T$2:$T$20,MATCH(B1173,METADATA!$S$2:$S$20,0))),0)</f>
        <v>0</v>
      </c>
      <c r="E1173" s="312" t="str">
        <f t="shared" si="72"/>
        <v>LO</v>
      </c>
      <c r="F1173" s="369">
        <f>VLOOKUP(C1173,METADATA!$A$5:$H$29,IF(E1173="HI",2,IF(E1173="LO",6,10))+IF(D1173=1,2,IF(D1173=7,1,(IF(WEEKDAY(B1173)=1,2,IF(WEEKDAY(B1173)=7,1,0))))))</f>
        <v>2</v>
      </c>
      <c r="G1173" s="369">
        <f>VLOOKUP(C1173,METADATA!$J$5:$Q$29,IF(E1173="HI",2,IF(E1173="LO",6,10))+IF(D1173=1,2,IF(D1173=7,1,(IF(WEEKDAY(B1173)=1,2,IF(WEEKDAY(B1173)=7,1,0))))))</f>
        <v>2</v>
      </c>
      <c r="H1173" s="370">
        <v>13096.295043945313</v>
      </c>
      <c r="I1173" s="370">
        <v>1683.6240139007568</v>
      </c>
      <c r="M1173" s="371">
        <f t="shared" si="73"/>
        <v>13204.072617880054</v>
      </c>
      <c r="N1173" s="329">
        <f t="shared" si="74"/>
        <v>0</v>
      </c>
      <c r="T1173" s="331">
        <v>0</v>
      </c>
      <c r="U1173" s="328">
        <f>VLOOKUP(C1173,METADATA!$J$5:$Q$29,IF(E1173="HI",2,IF(E1173="LO",6,10))+IF(T1173=1,2,IF(D1173=7,1,(IF(WEEKDAY(B1173)=1,2,IF(WEEKDAY(B1173)=7,1,0))))))</f>
        <v>2</v>
      </c>
      <c r="V1173" s="328">
        <f>VLOOKUP(C1173,METADATA!$A$5:$H$29,IF(E1173="HI",2,IF(E1173="LO",6,10))+IF(T1173=1,2,IF(D1173=7,1,(IF(WEEKDAY(B1173)=1,2,IF(WEEKDAY(B1173)=7,1,0))))))</f>
        <v>2</v>
      </c>
    </row>
    <row r="1174" spans="2:22">
      <c r="B1174" s="318">
        <f t="shared" si="71"/>
        <v>46161</v>
      </c>
      <c r="C1174" s="312">
        <v>18</v>
      </c>
      <c r="D1174" s="368">
        <f>IFERROR((INDEX(METADATA!$T$2:$T$20,MATCH(B1174,METADATA!$S$2:$S$20,0))),0)</f>
        <v>0</v>
      </c>
      <c r="E1174" s="312" t="str">
        <f t="shared" si="72"/>
        <v>LO</v>
      </c>
      <c r="F1174" s="369">
        <f>VLOOKUP(C1174,METADATA!$A$5:$H$29,IF(E1174="HI",2,IF(E1174="LO",6,10))+IF(D1174=1,2,IF(D1174=7,1,(IF(WEEKDAY(B1174)=1,2,IF(WEEKDAY(B1174)=7,1,0))))))</f>
        <v>1</v>
      </c>
      <c r="G1174" s="369">
        <f>VLOOKUP(C1174,METADATA!$J$5:$Q$29,IF(E1174="HI",2,IF(E1174="LO",6,10))+IF(D1174=1,2,IF(D1174=7,1,(IF(WEEKDAY(B1174)=1,2,IF(WEEKDAY(B1174)=7,1,0))))))</f>
        <v>1</v>
      </c>
      <c r="H1174" s="370">
        <v>13293.799682617188</v>
      </c>
      <c r="I1174" s="370">
        <v>1697.4740228652954</v>
      </c>
      <c r="M1174" s="371">
        <f t="shared" si="73"/>
        <v>13401.73600918386</v>
      </c>
      <c r="N1174" s="329">
        <f t="shared" si="74"/>
        <v>0</v>
      </c>
      <c r="T1174" s="331">
        <v>0</v>
      </c>
      <c r="U1174" s="328">
        <f>VLOOKUP(C1174,METADATA!$J$5:$Q$29,IF(E1174="HI",2,IF(E1174="LO",6,10))+IF(T1174=1,2,IF(D1174=7,1,(IF(WEEKDAY(B1174)=1,2,IF(WEEKDAY(B1174)=7,1,0))))))</f>
        <v>1</v>
      </c>
      <c r="V1174" s="328">
        <f>VLOOKUP(C1174,METADATA!$A$5:$H$29,IF(E1174="HI",2,IF(E1174="LO",6,10))+IF(T1174=1,2,IF(D1174=7,1,(IF(WEEKDAY(B1174)=1,2,IF(WEEKDAY(B1174)=7,1,0))))))</f>
        <v>1</v>
      </c>
    </row>
    <row r="1175" spans="2:22">
      <c r="B1175" s="318">
        <f t="shared" si="71"/>
        <v>46161</v>
      </c>
      <c r="C1175" s="312">
        <v>19</v>
      </c>
      <c r="D1175" s="368">
        <f>IFERROR((INDEX(METADATA!$T$2:$T$20,MATCH(B1175,METADATA!$S$2:$S$20,0))),0)</f>
        <v>0</v>
      </c>
      <c r="E1175" s="312" t="str">
        <f t="shared" si="72"/>
        <v>LO</v>
      </c>
      <c r="F1175" s="369">
        <f>VLOOKUP(C1175,METADATA!$A$5:$H$29,IF(E1175="HI",2,IF(E1175="LO",6,10))+IF(D1175=1,2,IF(D1175=7,1,(IF(WEEKDAY(B1175)=1,2,IF(WEEKDAY(B1175)=7,1,0))))))</f>
        <v>1</v>
      </c>
      <c r="G1175" s="369">
        <f>VLOOKUP(C1175,METADATA!$J$5:$Q$29,IF(E1175="HI",2,IF(E1175="LO",6,10))+IF(D1175=1,2,IF(D1175=7,1,(IF(WEEKDAY(B1175)=1,2,IF(WEEKDAY(B1175)=7,1,0))))))</f>
        <v>1</v>
      </c>
      <c r="H1175" s="370">
        <v>13204.319763183594</v>
      </c>
      <c r="I1175" s="370">
        <v>1557.5980281829834</v>
      </c>
      <c r="M1175" s="371">
        <f t="shared" si="73"/>
        <v>13295.87048770408</v>
      </c>
      <c r="N1175" s="329">
        <f t="shared" si="74"/>
        <v>0</v>
      </c>
      <c r="T1175" s="331">
        <v>0</v>
      </c>
      <c r="U1175" s="328">
        <f>VLOOKUP(C1175,METADATA!$J$5:$Q$29,IF(E1175="HI",2,IF(E1175="LO",6,10))+IF(T1175=1,2,IF(D1175=7,1,(IF(WEEKDAY(B1175)=1,2,IF(WEEKDAY(B1175)=7,1,0))))))</f>
        <v>1</v>
      </c>
      <c r="V1175" s="328">
        <f>VLOOKUP(C1175,METADATA!$A$5:$H$29,IF(E1175="HI",2,IF(E1175="LO",6,10))+IF(T1175=1,2,IF(D1175=7,1,(IF(WEEKDAY(B1175)=1,2,IF(WEEKDAY(B1175)=7,1,0))))))</f>
        <v>1</v>
      </c>
    </row>
    <row r="1176" spans="2:22">
      <c r="B1176" s="318">
        <f t="shared" si="71"/>
        <v>46161</v>
      </c>
      <c r="C1176" s="312">
        <v>20</v>
      </c>
      <c r="D1176" s="368">
        <f>IFERROR((INDEX(METADATA!$T$2:$T$20,MATCH(B1176,METADATA!$S$2:$S$20,0))),0)</f>
        <v>0</v>
      </c>
      <c r="E1176" s="312" t="str">
        <f t="shared" si="72"/>
        <v>LO</v>
      </c>
      <c r="F1176" s="369">
        <f>VLOOKUP(C1176,METADATA!$A$5:$H$29,IF(E1176="HI",2,IF(E1176="LO",6,10))+IF(D1176=1,2,IF(D1176=7,1,(IF(WEEKDAY(B1176)=1,2,IF(WEEKDAY(B1176)=7,1,0))))))</f>
        <v>1</v>
      </c>
      <c r="G1176" s="369">
        <f>VLOOKUP(C1176,METADATA!$J$5:$Q$29,IF(E1176="HI",2,IF(E1176="LO",6,10))+IF(D1176=1,2,IF(D1176=7,1,(IF(WEEKDAY(B1176)=1,2,IF(WEEKDAY(B1176)=7,1,0))))))</f>
        <v>1</v>
      </c>
      <c r="H1176" s="370">
        <v>13330.735107421875</v>
      </c>
      <c r="I1176" s="370">
        <v>1657.7534847259521</v>
      </c>
      <c r="M1176" s="371">
        <f t="shared" si="73"/>
        <v>13433.415244098245</v>
      </c>
      <c r="N1176" s="329">
        <f t="shared" si="74"/>
        <v>0</v>
      </c>
      <c r="T1176" s="331">
        <v>0</v>
      </c>
      <c r="U1176" s="328">
        <f>VLOOKUP(C1176,METADATA!$J$5:$Q$29,IF(E1176="HI",2,IF(E1176="LO",6,10))+IF(T1176=1,2,IF(D1176=7,1,(IF(WEEKDAY(B1176)=1,2,IF(WEEKDAY(B1176)=7,1,0))))))</f>
        <v>1</v>
      </c>
      <c r="V1176" s="328">
        <f>VLOOKUP(C1176,METADATA!$A$5:$H$29,IF(E1176="HI",2,IF(E1176="LO",6,10))+IF(T1176=1,2,IF(D1176=7,1,(IF(WEEKDAY(B1176)=1,2,IF(WEEKDAY(B1176)=7,1,0))))))</f>
        <v>1</v>
      </c>
    </row>
    <row r="1177" spans="2:22">
      <c r="B1177" s="318">
        <f t="shared" si="71"/>
        <v>46161</v>
      </c>
      <c r="C1177" s="312">
        <v>21</v>
      </c>
      <c r="D1177" s="368">
        <f>IFERROR((INDEX(METADATA!$T$2:$T$20,MATCH(B1177,METADATA!$S$2:$S$20,0))),0)</f>
        <v>0</v>
      </c>
      <c r="E1177" s="312" t="str">
        <f t="shared" si="72"/>
        <v>LO</v>
      </c>
      <c r="F1177" s="369">
        <f>VLOOKUP(C1177,METADATA!$A$5:$H$29,IF(E1177="HI",2,IF(E1177="LO",6,10))+IF(D1177=1,2,IF(D1177=7,1,(IF(WEEKDAY(B1177)=1,2,IF(WEEKDAY(B1177)=7,1,0))))))</f>
        <v>2</v>
      </c>
      <c r="G1177" s="369">
        <f>VLOOKUP(C1177,METADATA!$J$5:$Q$29,IF(E1177="HI",2,IF(E1177="LO",6,10))+IF(D1177=1,2,IF(D1177=7,1,(IF(WEEKDAY(B1177)=1,2,IF(WEEKDAY(B1177)=7,1,0))))))</f>
        <v>2</v>
      </c>
      <c r="H1177" s="370">
        <v>13327.85986328125</v>
      </c>
      <c r="I1177" s="370">
        <v>1708.583514213562</v>
      </c>
      <c r="M1177" s="371">
        <f t="shared" si="73"/>
        <v>13436.930682276577</v>
      </c>
      <c r="N1177" s="329">
        <f t="shared" si="74"/>
        <v>0</v>
      </c>
      <c r="T1177" s="331">
        <v>0</v>
      </c>
      <c r="U1177" s="328">
        <f>VLOOKUP(C1177,METADATA!$J$5:$Q$29,IF(E1177="HI",2,IF(E1177="LO",6,10))+IF(T1177=1,2,IF(D1177=7,1,(IF(WEEKDAY(B1177)=1,2,IF(WEEKDAY(B1177)=7,1,0))))))</f>
        <v>2</v>
      </c>
      <c r="V1177" s="328">
        <f>VLOOKUP(C1177,METADATA!$A$5:$H$29,IF(E1177="HI",2,IF(E1177="LO",6,10))+IF(T1177=1,2,IF(D1177=7,1,(IF(WEEKDAY(B1177)=1,2,IF(WEEKDAY(B1177)=7,1,0))))))</f>
        <v>2</v>
      </c>
    </row>
    <row r="1178" spans="2:22">
      <c r="B1178" s="318">
        <f t="shared" si="71"/>
        <v>46161</v>
      </c>
      <c r="C1178" s="312">
        <v>22</v>
      </c>
      <c r="D1178" s="368">
        <f>IFERROR((INDEX(METADATA!$T$2:$T$20,MATCH(B1178,METADATA!$S$2:$S$20,0))),0)</f>
        <v>0</v>
      </c>
      <c r="E1178" s="312" t="str">
        <f t="shared" si="72"/>
        <v>LO</v>
      </c>
      <c r="F1178" s="369">
        <f>VLOOKUP(C1178,METADATA!$A$5:$H$29,IF(E1178="HI",2,IF(E1178="LO",6,10))+IF(D1178=1,2,IF(D1178=7,1,(IF(WEEKDAY(B1178)=1,2,IF(WEEKDAY(B1178)=7,1,0))))))</f>
        <v>3</v>
      </c>
      <c r="G1178" s="369">
        <f>VLOOKUP(C1178,METADATA!$J$5:$Q$29,IF(E1178="HI",2,IF(E1178="LO",6,10))+IF(D1178=1,2,IF(D1178=7,1,(IF(WEEKDAY(B1178)=1,2,IF(WEEKDAY(B1178)=7,1,0))))))</f>
        <v>3</v>
      </c>
      <c r="H1178" s="370">
        <v>13400.990356445313</v>
      </c>
      <c r="I1178" s="370">
        <v>2003.0629940032959</v>
      </c>
      <c r="M1178" s="371">
        <f t="shared" si="73"/>
        <v>13549.86361154553</v>
      </c>
      <c r="N1178" s="329">
        <f t="shared" si="74"/>
        <v>0</v>
      </c>
      <c r="T1178" s="331">
        <v>0</v>
      </c>
      <c r="U1178" s="328">
        <f>VLOOKUP(C1178,METADATA!$J$5:$Q$29,IF(E1178="HI",2,IF(E1178="LO",6,10))+IF(T1178=1,2,IF(D1178=7,1,(IF(WEEKDAY(B1178)=1,2,IF(WEEKDAY(B1178)=7,1,0))))))</f>
        <v>3</v>
      </c>
      <c r="V1178" s="328">
        <f>VLOOKUP(C1178,METADATA!$A$5:$H$29,IF(E1178="HI",2,IF(E1178="LO",6,10))+IF(T1178=1,2,IF(D1178=7,1,(IF(WEEKDAY(B1178)=1,2,IF(WEEKDAY(B1178)=7,1,0))))))</f>
        <v>3</v>
      </c>
    </row>
    <row r="1179" spans="2:22">
      <c r="B1179" s="318">
        <f t="shared" si="71"/>
        <v>46161</v>
      </c>
      <c r="C1179" s="312">
        <v>23</v>
      </c>
      <c r="D1179" s="368">
        <f>IFERROR((INDEX(METADATA!$T$2:$T$20,MATCH(B1179,METADATA!$S$2:$S$20,0))),0)</f>
        <v>0</v>
      </c>
      <c r="E1179" s="312" t="str">
        <f t="shared" si="72"/>
        <v>LO</v>
      </c>
      <c r="F1179" s="369">
        <f>VLOOKUP(C1179,METADATA!$A$5:$H$29,IF(E1179="HI",2,IF(E1179="LO",6,10))+IF(D1179=1,2,IF(D1179=7,1,(IF(WEEKDAY(B1179)=1,2,IF(WEEKDAY(B1179)=7,1,0))))))</f>
        <v>3</v>
      </c>
      <c r="G1179" s="369">
        <f>VLOOKUP(C1179,METADATA!$J$5:$Q$29,IF(E1179="HI",2,IF(E1179="LO",6,10))+IF(D1179=1,2,IF(D1179=7,1,(IF(WEEKDAY(B1179)=1,2,IF(WEEKDAY(B1179)=7,1,0))))))</f>
        <v>3</v>
      </c>
      <c r="H1179" s="370">
        <v>13295.710144042969</v>
      </c>
      <c r="I1179" s="370">
        <v>1818.7439727783203</v>
      </c>
      <c r="M1179" s="371">
        <f t="shared" si="73"/>
        <v>13419.528228403731</v>
      </c>
      <c r="N1179" s="329">
        <f t="shared" si="74"/>
        <v>0</v>
      </c>
      <c r="T1179" s="331">
        <v>0</v>
      </c>
      <c r="U1179" s="328">
        <f>VLOOKUP(C1179,METADATA!$J$5:$Q$29,IF(E1179="HI",2,IF(E1179="LO",6,10))+IF(T1179=1,2,IF(D1179=7,1,(IF(WEEKDAY(B1179)=1,2,IF(WEEKDAY(B1179)=7,1,0))))))</f>
        <v>3</v>
      </c>
      <c r="V1179" s="328">
        <f>VLOOKUP(C1179,METADATA!$A$5:$H$29,IF(E1179="HI",2,IF(E1179="LO",6,10))+IF(T1179=1,2,IF(D1179=7,1,(IF(WEEKDAY(B1179)=1,2,IF(WEEKDAY(B1179)=7,1,0))))))</f>
        <v>3</v>
      </c>
    </row>
    <row r="1180" spans="2:22">
      <c r="B1180" s="318">
        <f t="shared" ref="B1180:B1243" si="75">B1156+1</f>
        <v>46162</v>
      </c>
      <c r="C1180" s="312">
        <v>0</v>
      </c>
      <c r="D1180" s="368">
        <f>IFERROR((INDEX(METADATA!$T$2:$T$20,MATCH(B1180,METADATA!$S$2:$S$20,0))),0)</f>
        <v>0</v>
      </c>
      <c r="E1180" s="312" t="str">
        <f t="shared" si="72"/>
        <v>LO</v>
      </c>
      <c r="F1180" s="369">
        <f>VLOOKUP(C1180,METADATA!$A$5:$H$29,IF(E1180="HI",2,IF(E1180="LO",6,10))+IF(D1180=1,2,IF(D1180=7,1,(IF(WEEKDAY(B1180)=1,2,IF(WEEKDAY(B1180)=7,1,0))))))</f>
        <v>3</v>
      </c>
      <c r="G1180" s="369">
        <f>VLOOKUP(C1180,METADATA!$J$5:$Q$29,IF(E1180="HI",2,IF(E1180="LO",6,10))+IF(D1180=1,2,IF(D1180=7,1,(IF(WEEKDAY(B1180)=1,2,IF(WEEKDAY(B1180)=7,1,0))))))</f>
        <v>3</v>
      </c>
      <c r="H1180" s="370">
        <v>13360.234924316406</v>
      </c>
      <c r="I1180" s="370">
        <v>1866.3609619140625</v>
      </c>
      <c r="M1180" s="371">
        <f t="shared" si="73"/>
        <v>13489.965918158599</v>
      </c>
      <c r="N1180" s="329">
        <f t="shared" si="74"/>
        <v>0</v>
      </c>
      <c r="T1180" s="331">
        <v>0</v>
      </c>
      <c r="U1180" s="328">
        <f>VLOOKUP(C1180,METADATA!$J$5:$Q$29,IF(E1180="HI",2,IF(E1180="LO",6,10))+IF(T1180=1,2,IF(D1180=7,1,(IF(WEEKDAY(B1180)=1,2,IF(WEEKDAY(B1180)=7,1,0))))))</f>
        <v>3</v>
      </c>
      <c r="V1180" s="328">
        <f>VLOOKUP(C1180,METADATA!$A$5:$H$29,IF(E1180="HI",2,IF(E1180="LO",6,10))+IF(T1180=1,2,IF(D1180=7,1,(IF(WEEKDAY(B1180)=1,2,IF(WEEKDAY(B1180)=7,1,0))))))</f>
        <v>3</v>
      </c>
    </row>
    <row r="1181" spans="2:22">
      <c r="B1181" s="318">
        <f t="shared" si="75"/>
        <v>46162</v>
      </c>
      <c r="C1181" s="312">
        <v>1</v>
      </c>
      <c r="D1181" s="368">
        <f>IFERROR((INDEX(METADATA!$T$2:$T$20,MATCH(B1181,METADATA!$S$2:$S$20,0))),0)</f>
        <v>0</v>
      </c>
      <c r="E1181" s="312" t="str">
        <f t="shared" si="72"/>
        <v>LO</v>
      </c>
      <c r="F1181" s="369">
        <f>VLOOKUP(C1181,METADATA!$A$5:$H$29,IF(E1181="HI",2,IF(E1181="LO",6,10))+IF(D1181=1,2,IF(D1181=7,1,(IF(WEEKDAY(B1181)=1,2,IF(WEEKDAY(B1181)=7,1,0))))))</f>
        <v>3</v>
      </c>
      <c r="G1181" s="369">
        <f>VLOOKUP(C1181,METADATA!$J$5:$Q$29,IF(E1181="HI",2,IF(E1181="LO",6,10))+IF(D1181=1,2,IF(D1181=7,1,(IF(WEEKDAY(B1181)=1,2,IF(WEEKDAY(B1181)=7,1,0))))))</f>
        <v>3</v>
      </c>
      <c r="H1181" s="370">
        <v>13491.269653320313</v>
      </c>
      <c r="I1181" s="370">
        <v>1829.7105264663696</v>
      </c>
      <c r="M1181" s="371">
        <f t="shared" si="73"/>
        <v>13614.778641948733</v>
      </c>
      <c r="N1181" s="329">
        <f t="shared" si="74"/>
        <v>0</v>
      </c>
      <c r="T1181" s="331">
        <v>0</v>
      </c>
      <c r="U1181" s="328">
        <f>VLOOKUP(C1181,METADATA!$J$5:$Q$29,IF(E1181="HI",2,IF(E1181="LO",6,10))+IF(T1181=1,2,IF(D1181=7,1,(IF(WEEKDAY(B1181)=1,2,IF(WEEKDAY(B1181)=7,1,0))))))</f>
        <v>3</v>
      </c>
      <c r="V1181" s="328">
        <f>VLOOKUP(C1181,METADATA!$A$5:$H$29,IF(E1181="HI",2,IF(E1181="LO",6,10))+IF(T1181=1,2,IF(D1181=7,1,(IF(WEEKDAY(B1181)=1,2,IF(WEEKDAY(B1181)=7,1,0))))))</f>
        <v>3</v>
      </c>
    </row>
    <row r="1182" spans="2:22">
      <c r="B1182" s="318">
        <f t="shared" si="75"/>
        <v>46162</v>
      </c>
      <c r="C1182" s="312">
        <v>2</v>
      </c>
      <c r="D1182" s="368">
        <f>IFERROR((INDEX(METADATA!$T$2:$T$20,MATCH(B1182,METADATA!$S$2:$S$20,0))),0)</f>
        <v>0</v>
      </c>
      <c r="E1182" s="312" t="str">
        <f t="shared" si="72"/>
        <v>LO</v>
      </c>
      <c r="F1182" s="369">
        <f>VLOOKUP(C1182,METADATA!$A$5:$H$29,IF(E1182="HI",2,IF(E1182="LO",6,10))+IF(D1182=1,2,IF(D1182=7,1,(IF(WEEKDAY(B1182)=1,2,IF(WEEKDAY(B1182)=7,1,0))))))</f>
        <v>3</v>
      </c>
      <c r="G1182" s="369">
        <f>VLOOKUP(C1182,METADATA!$J$5:$Q$29,IF(E1182="HI",2,IF(E1182="LO",6,10))+IF(D1182=1,2,IF(D1182=7,1,(IF(WEEKDAY(B1182)=1,2,IF(WEEKDAY(B1182)=7,1,0))))))</f>
        <v>3</v>
      </c>
      <c r="H1182" s="370">
        <v>13468.634399414063</v>
      </c>
      <c r="I1182" s="370">
        <v>1813.5840177536011</v>
      </c>
      <c r="M1182" s="371">
        <f t="shared" si="73"/>
        <v>13590.187621020215</v>
      </c>
      <c r="N1182" s="329">
        <f t="shared" si="74"/>
        <v>0</v>
      </c>
      <c r="T1182" s="331">
        <v>0</v>
      </c>
      <c r="U1182" s="328">
        <f>VLOOKUP(C1182,METADATA!$J$5:$Q$29,IF(E1182="HI",2,IF(E1182="LO",6,10))+IF(T1182=1,2,IF(D1182=7,1,(IF(WEEKDAY(B1182)=1,2,IF(WEEKDAY(B1182)=7,1,0))))))</f>
        <v>3</v>
      </c>
      <c r="V1182" s="328">
        <f>VLOOKUP(C1182,METADATA!$A$5:$H$29,IF(E1182="HI",2,IF(E1182="LO",6,10))+IF(T1182=1,2,IF(D1182=7,1,(IF(WEEKDAY(B1182)=1,2,IF(WEEKDAY(B1182)=7,1,0))))))</f>
        <v>3</v>
      </c>
    </row>
    <row r="1183" spans="2:22">
      <c r="B1183" s="318">
        <f t="shared" si="75"/>
        <v>46162</v>
      </c>
      <c r="C1183" s="312">
        <v>3</v>
      </c>
      <c r="D1183" s="368">
        <f>IFERROR((INDEX(METADATA!$T$2:$T$20,MATCH(B1183,METADATA!$S$2:$S$20,0))),0)</f>
        <v>0</v>
      </c>
      <c r="E1183" s="312" t="str">
        <f t="shared" si="72"/>
        <v>LO</v>
      </c>
      <c r="F1183" s="369">
        <f>VLOOKUP(C1183,METADATA!$A$5:$H$29,IF(E1183="HI",2,IF(E1183="LO",6,10))+IF(D1183=1,2,IF(D1183=7,1,(IF(WEEKDAY(B1183)=1,2,IF(WEEKDAY(B1183)=7,1,0))))))</f>
        <v>3</v>
      </c>
      <c r="G1183" s="369">
        <f>VLOOKUP(C1183,METADATA!$J$5:$Q$29,IF(E1183="HI",2,IF(E1183="LO",6,10))+IF(D1183=1,2,IF(D1183=7,1,(IF(WEEKDAY(B1183)=1,2,IF(WEEKDAY(B1183)=7,1,0))))))</f>
        <v>3</v>
      </c>
      <c r="H1183" s="370">
        <v>13365.279663085938</v>
      </c>
      <c r="I1183" s="370">
        <v>1752.7690262794495</v>
      </c>
      <c r="M1183" s="371">
        <f t="shared" si="73"/>
        <v>13479.721797276943</v>
      </c>
      <c r="N1183" s="329">
        <f t="shared" si="74"/>
        <v>0</v>
      </c>
      <c r="T1183" s="331">
        <v>0</v>
      </c>
      <c r="U1183" s="328">
        <f>VLOOKUP(C1183,METADATA!$J$5:$Q$29,IF(E1183="HI",2,IF(E1183="LO",6,10))+IF(T1183=1,2,IF(D1183=7,1,(IF(WEEKDAY(B1183)=1,2,IF(WEEKDAY(B1183)=7,1,0))))))</f>
        <v>3</v>
      </c>
      <c r="V1183" s="328">
        <f>VLOOKUP(C1183,METADATA!$A$5:$H$29,IF(E1183="HI",2,IF(E1183="LO",6,10))+IF(T1183=1,2,IF(D1183=7,1,(IF(WEEKDAY(B1183)=1,2,IF(WEEKDAY(B1183)=7,1,0))))))</f>
        <v>3</v>
      </c>
    </row>
    <row r="1184" spans="2:22">
      <c r="B1184" s="318">
        <f t="shared" si="75"/>
        <v>46162</v>
      </c>
      <c r="C1184" s="312">
        <v>4</v>
      </c>
      <c r="D1184" s="368">
        <f>IFERROR((INDEX(METADATA!$T$2:$T$20,MATCH(B1184,METADATA!$S$2:$S$20,0))),0)</f>
        <v>0</v>
      </c>
      <c r="E1184" s="312" t="str">
        <f t="shared" si="72"/>
        <v>LO</v>
      </c>
      <c r="F1184" s="369">
        <f>VLOOKUP(C1184,METADATA!$A$5:$H$29,IF(E1184="HI",2,IF(E1184="LO",6,10))+IF(D1184=1,2,IF(D1184=7,1,(IF(WEEKDAY(B1184)=1,2,IF(WEEKDAY(B1184)=7,1,0))))))</f>
        <v>3</v>
      </c>
      <c r="G1184" s="369">
        <f>VLOOKUP(C1184,METADATA!$J$5:$Q$29,IF(E1184="HI",2,IF(E1184="LO",6,10))+IF(D1184=1,2,IF(D1184=7,1,(IF(WEEKDAY(B1184)=1,2,IF(WEEKDAY(B1184)=7,1,0))))))</f>
        <v>3</v>
      </c>
      <c r="H1184" s="370">
        <v>13394.080444335938</v>
      </c>
      <c r="I1184" s="370">
        <v>1716.5989952087402</v>
      </c>
      <c r="M1184" s="371">
        <f t="shared" si="73"/>
        <v>13503.63295782635</v>
      </c>
      <c r="N1184" s="329">
        <f t="shared" si="74"/>
        <v>0</v>
      </c>
      <c r="T1184" s="331">
        <v>0</v>
      </c>
      <c r="U1184" s="328">
        <f>VLOOKUP(C1184,METADATA!$J$5:$Q$29,IF(E1184="HI",2,IF(E1184="LO",6,10))+IF(T1184=1,2,IF(D1184=7,1,(IF(WEEKDAY(B1184)=1,2,IF(WEEKDAY(B1184)=7,1,0))))))</f>
        <v>3</v>
      </c>
      <c r="V1184" s="328">
        <f>VLOOKUP(C1184,METADATA!$A$5:$H$29,IF(E1184="HI",2,IF(E1184="LO",6,10))+IF(T1184=1,2,IF(D1184=7,1,(IF(WEEKDAY(B1184)=1,2,IF(WEEKDAY(B1184)=7,1,0))))))</f>
        <v>3</v>
      </c>
    </row>
    <row r="1185" spans="2:22">
      <c r="B1185" s="318">
        <f t="shared" si="75"/>
        <v>46162</v>
      </c>
      <c r="C1185" s="312">
        <v>5</v>
      </c>
      <c r="D1185" s="368">
        <f>IFERROR((INDEX(METADATA!$T$2:$T$20,MATCH(B1185,METADATA!$S$2:$S$20,0))),0)</f>
        <v>0</v>
      </c>
      <c r="E1185" s="312" t="str">
        <f t="shared" si="72"/>
        <v>LO</v>
      </c>
      <c r="F1185" s="369">
        <f>VLOOKUP(C1185,METADATA!$A$5:$H$29,IF(E1185="HI",2,IF(E1185="LO",6,10))+IF(D1185=1,2,IF(D1185=7,1,(IF(WEEKDAY(B1185)=1,2,IF(WEEKDAY(B1185)=7,1,0))))))</f>
        <v>3</v>
      </c>
      <c r="G1185" s="369">
        <f>VLOOKUP(C1185,METADATA!$J$5:$Q$29,IF(E1185="HI",2,IF(E1185="LO",6,10))+IF(D1185=1,2,IF(D1185=7,1,(IF(WEEKDAY(B1185)=1,2,IF(WEEKDAY(B1185)=7,1,0))))))</f>
        <v>3</v>
      </c>
      <c r="H1185" s="370">
        <v>12243.197448730469</v>
      </c>
      <c r="I1185" s="370">
        <v>1287.2665135860443</v>
      </c>
      <c r="M1185" s="371">
        <f t="shared" si="73"/>
        <v>12310.683930862664</v>
      </c>
      <c r="N1185" s="329">
        <f t="shared" si="74"/>
        <v>0</v>
      </c>
      <c r="T1185" s="331">
        <v>0</v>
      </c>
      <c r="U1185" s="328">
        <f>VLOOKUP(C1185,METADATA!$J$5:$Q$29,IF(E1185="HI",2,IF(E1185="LO",6,10))+IF(T1185=1,2,IF(D1185=7,1,(IF(WEEKDAY(B1185)=1,2,IF(WEEKDAY(B1185)=7,1,0))))))</f>
        <v>3</v>
      </c>
      <c r="V1185" s="328">
        <f>VLOOKUP(C1185,METADATA!$A$5:$H$29,IF(E1185="HI",2,IF(E1185="LO",6,10))+IF(T1185=1,2,IF(D1185=7,1,(IF(WEEKDAY(B1185)=1,2,IF(WEEKDAY(B1185)=7,1,0))))))</f>
        <v>3</v>
      </c>
    </row>
    <row r="1186" spans="2:22">
      <c r="B1186" s="318">
        <f t="shared" si="75"/>
        <v>46162</v>
      </c>
      <c r="C1186" s="312">
        <v>6</v>
      </c>
      <c r="D1186" s="368">
        <f>IFERROR((INDEX(METADATA!$T$2:$T$20,MATCH(B1186,METADATA!$S$2:$S$20,0))),0)</f>
        <v>0</v>
      </c>
      <c r="E1186" s="312" t="str">
        <f t="shared" si="72"/>
        <v>LO</v>
      </c>
      <c r="F1186" s="369">
        <f>VLOOKUP(C1186,METADATA!$A$5:$H$29,IF(E1186="HI",2,IF(E1186="LO",6,10))+IF(D1186=1,2,IF(D1186=7,1,(IF(WEEKDAY(B1186)=1,2,IF(WEEKDAY(B1186)=7,1,0))))))</f>
        <v>2</v>
      </c>
      <c r="G1186" s="369">
        <f>VLOOKUP(C1186,METADATA!$J$5:$Q$29,IF(E1186="HI",2,IF(E1186="LO",6,10))+IF(D1186=1,2,IF(D1186=7,1,(IF(WEEKDAY(B1186)=1,2,IF(WEEKDAY(B1186)=7,1,0))))))</f>
        <v>2</v>
      </c>
      <c r="H1186" s="370">
        <v>12146.117523193359</v>
      </c>
      <c r="I1186" s="370">
        <v>1208.8040256500244</v>
      </c>
      <c r="M1186" s="371">
        <f t="shared" si="73"/>
        <v>12206.120516349678</v>
      </c>
      <c r="N1186" s="329">
        <f t="shared" si="74"/>
        <v>0</v>
      </c>
      <c r="T1186" s="331">
        <v>0</v>
      </c>
      <c r="U1186" s="328">
        <f>VLOOKUP(C1186,METADATA!$J$5:$Q$29,IF(E1186="HI",2,IF(E1186="LO",6,10))+IF(T1186=1,2,IF(D1186=7,1,(IF(WEEKDAY(B1186)=1,2,IF(WEEKDAY(B1186)=7,1,0))))))</f>
        <v>2</v>
      </c>
      <c r="V1186" s="328">
        <f>VLOOKUP(C1186,METADATA!$A$5:$H$29,IF(E1186="HI",2,IF(E1186="LO",6,10))+IF(T1186=1,2,IF(D1186=7,1,(IF(WEEKDAY(B1186)=1,2,IF(WEEKDAY(B1186)=7,1,0))))))</f>
        <v>2</v>
      </c>
    </row>
    <row r="1187" spans="2:22">
      <c r="B1187" s="318">
        <f t="shared" si="75"/>
        <v>46162</v>
      </c>
      <c r="C1187" s="312">
        <v>7</v>
      </c>
      <c r="D1187" s="368">
        <f>IFERROR((INDEX(METADATA!$T$2:$T$20,MATCH(B1187,METADATA!$S$2:$S$20,0))),0)</f>
        <v>0</v>
      </c>
      <c r="E1187" s="312" t="str">
        <f t="shared" si="72"/>
        <v>LO</v>
      </c>
      <c r="F1187" s="369">
        <f>VLOOKUP(C1187,METADATA!$A$5:$H$29,IF(E1187="HI",2,IF(E1187="LO",6,10))+IF(D1187=1,2,IF(D1187=7,1,(IF(WEEKDAY(B1187)=1,2,IF(WEEKDAY(B1187)=7,1,0))))))</f>
        <v>1</v>
      </c>
      <c r="G1187" s="369">
        <f>VLOOKUP(C1187,METADATA!$J$5:$Q$29,IF(E1187="HI",2,IF(E1187="LO",6,10))+IF(D1187=1,2,IF(D1187=7,1,(IF(WEEKDAY(B1187)=1,2,IF(WEEKDAY(B1187)=7,1,0))))))</f>
        <v>1</v>
      </c>
      <c r="H1187" s="370">
        <v>13441.84521484375</v>
      </c>
      <c r="I1187" s="370">
        <v>1574.2830047607422</v>
      </c>
      <c r="M1187" s="371">
        <f t="shared" si="73"/>
        <v>13533.719731060501</v>
      </c>
      <c r="N1187" s="329">
        <f t="shared" si="74"/>
        <v>0</v>
      </c>
      <c r="T1187" s="331">
        <v>0</v>
      </c>
      <c r="U1187" s="328">
        <f>VLOOKUP(C1187,METADATA!$J$5:$Q$29,IF(E1187="HI",2,IF(E1187="LO",6,10))+IF(T1187=1,2,IF(D1187=7,1,(IF(WEEKDAY(B1187)=1,2,IF(WEEKDAY(B1187)=7,1,0))))))</f>
        <v>1</v>
      </c>
      <c r="V1187" s="328">
        <f>VLOOKUP(C1187,METADATA!$A$5:$H$29,IF(E1187="HI",2,IF(E1187="LO",6,10))+IF(T1187=1,2,IF(D1187=7,1,(IF(WEEKDAY(B1187)=1,2,IF(WEEKDAY(B1187)=7,1,0))))))</f>
        <v>1</v>
      </c>
    </row>
    <row r="1188" spans="2:22">
      <c r="B1188" s="318">
        <f t="shared" si="75"/>
        <v>46162</v>
      </c>
      <c r="C1188" s="312">
        <v>8</v>
      </c>
      <c r="D1188" s="368">
        <f>IFERROR((INDEX(METADATA!$T$2:$T$20,MATCH(B1188,METADATA!$S$2:$S$20,0))),0)</f>
        <v>0</v>
      </c>
      <c r="E1188" s="312" t="str">
        <f t="shared" si="72"/>
        <v>LO</v>
      </c>
      <c r="F1188" s="369">
        <f>VLOOKUP(C1188,METADATA!$A$5:$H$29,IF(E1188="HI",2,IF(E1188="LO",6,10))+IF(D1188=1,2,IF(D1188=7,1,(IF(WEEKDAY(B1188)=1,2,IF(WEEKDAY(B1188)=7,1,0))))))</f>
        <v>1</v>
      </c>
      <c r="G1188" s="369">
        <f>VLOOKUP(C1188,METADATA!$J$5:$Q$29,IF(E1188="HI",2,IF(E1188="LO",6,10))+IF(D1188=1,2,IF(D1188=7,1,(IF(WEEKDAY(B1188)=1,2,IF(WEEKDAY(B1188)=7,1,0))))))</f>
        <v>1</v>
      </c>
      <c r="H1188" s="370">
        <v>13466.130065917969</v>
      </c>
      <c r="I1188" s="370">
        <v>1707.5249977111816</v>
      </c>
      <c r="M1188" s="371">
        <f t="shared" si="73"/>
        <v>13573.956702819869</v>
      </c>
      <c r="N1188" s="329">
        <f t="shared" si="74"/>
        <v>0</v>
      </c>
      <c r="T1188" s="331">
        <v>0</v>
      </c>
      <c r="U1188" s="328">
        <f>VLOOKUP(C1188,METADATA!$J$5:$Q$29,IF(E1188="HI",2,IF(E1188="LO",6,10))+IF(T1188=1,2,IF(D1188=7,1,(IF(WEEKDAY(B1188)=1,2,IF(WEEKDAY(B1188)=7,1,0))))))</f>
        <v>1</v>
      </c>
      <c r="V1188" s="328">
        <f>VLOOKUP(C1188,METADATA!$A$5:$H$29,IF(E1188="HI",2,IF(E1188="LO",6,10))+IF(T1188=1,2,IF(D1188=7,1,(IF(WEEKDAY(B1188)=1,2,IF(WEEKDAY(B1188)=7,1,0))))))</f>
        <v>1</v>
      </c>
    </row>
    <row r="1189" spans="2:22">
      <c r="B1189" s="318">
        <f t="shared" si="75"/>
        <v>46162</v>
      </c>
      <c r="C1189" s="312">
        <v>9</v>
      </c>
      <c r="D1189" s="368">
        <f>IFERROR((INDEX(METADATA!$T$2:$T$20,MATCH(B1189,METADATA!$S$2:$S$20,0))),0)</f>
        <v>0</v>
      </c>
      <c r="E1189" s="312" t="str">
        <f t="shared" si="72"/>
        <v>LO</v>
      </c>
      <c r="F1189" s="369">
        <f>VLOOKUP(C1189,METADATA!$A$5:$H$29,IF(E1189="HI",2,IF(E1189="LO",6,10))+IF(D1189=1,2,IF(D1189=7,1,(IF(WEEKDAY(B1189)=1,2,IF(WEEKDAY(B1189)=7,1,0))))))</f>
        <v>2</v>
      </c>
      <c r="G1189" s="369">
        <f>VLOOKUP(C1189,METADATA!$J$5:$Q$29,IF(E1189="HI",2,IF(E1189="LO",6,10))+IF(D1189=1,2,IF(D1189=7,1,(IF(WEEKDAY(B1189)=1,2,IF(WEEKDAY(B1189)=7,1,0))))))</f>
        <v>2</v>
      </c>
      <c r="H1189" s="370">
        <v>13531.380004882813</v>
      </c>
      <c r="I1189" s="370">
        <v>1805.0909576416016</v>
      </c>
      <c r="M1189" s="371">
        <f t="shared" si="73"/>
        <v>13651.248961245336</v>
      </c>
      <c r="N1189" s="329">
        <f t="shared" si="74"/>
        <v>0</v>
      </c>
      <c r="T1189" s="331">
        <v>0</v>
      </c>
      <c r="U1189" s="328">
        <f>VLOOKUP(C1189,METADATA!$J$5:$Q$29,IF(E1189="HI",2,IF(E1189="LO",6,10))+IF(T1189=1,2,IF(D1189=7,1,(IF(WEEKDAY(B1189)=1,2,IF(WEEKDAY(B1189)=7,1,0))))))</f>
        <v>2</v>
      </c>
      <c r="V1189" s="328">
        <f>VLOOKUP(C1189,METADATA!$A$5:$H$29,IF(E1189="HI",2,IF(E1189="LO",6,10))+IF(T1189=1,2,IF(D1189=7,1,(IF(WEEKDAY(B1189)=1,2,IF(WEEKDAY(B1189)=7,1,0))))))</f>
        <v>2</v>
      </c>
    </row>
    <row r="1190" spans="2:22">
      <c r="B1190" s="318">
        <f t="shared" si="75"/>
        <v>46162</v>
      </c>
      <c r="C1190" s="312">
        <v>10</v>
      </c>
      <c r="D1190" s="368">
        <f>IFERROR((INDEX(METADATA!$T$2:$T$20,MATCH(B1190,METADATA!$S$2:$S$20,0))),0)</f>
        <v>0</v>
      </c>
      <c r="E1190" s="312" t="str">
        <f t="shared" si="72"/>
        <v>LO</v>
      </c>
      <c r="F1190" s="369">
        <f>VLOOKUP(C1190,METADATA!$A$5:$H$29,IF(E1190="HI",2,IF(E1190="LO",6,10))+IF(D1190=1,2,IF(D1190=7,1,(IF(WEEKDAY(B1190)=1,2,IF(WEEKDAY(B1190)=7,1,0))))))</f>
        <v>2</v>
      </c>
      <c r="G1190" s="369">
        <f>VLOOKUP(C1190,METADATA!$J$5:$Q$29,IF(E1190="HI",2,IF(E1190="LO",6,10))+IF(D1190=1,2,IF(D1190=7,1,(IF(WEEKDAY(B1190)=1,2,IF(WEEKDAY(B1190)=7,1,0))))))</f>
        <v>2</v>
      </c>
      <c r="H1190" s="370">
        <v>13411.924987792969</v>
      </c>
      <c r="I1190" s="370">
        <v>1573.4389991760254</v>
      </c>
      <c r="M1190" s="371">
        <f t="shared" si="73"/>
        <v>13503.904700578772</v>
      </c>
      <c r="N1190" s="329">
        <f t="shared" si="74"/>
        <v>0</v>
      </c>
      <c r="T1190" s="331">
        <v>0</v>
      </c>
      <c r="U1190" s="328">
        <f>VLOOKUP(C1190,METADATA!$J$5:$Q$29,IF(E1190="HI",2,IF(E1190="LO",6,10))+IF(T1190=1,2,IF(D1190=7,1,(IF(WEEKDAY(B1190)=1,2,IF(WEEKDAY(B1190)=7,1,0))))))</f>
        <v>2</v>
      </c>
      <c r="V1190" s="328">
        <f>VLOOKUP(C1190,METADATA!$A$5:$H$29,IF(E1190="HI",2,IF(E1190="LO",6,10))+IF(T1190=1,2,IF(D1190=7,1,(IF(WEEKDAY(B1190)=1,2,IF(WEEKDAY(B1190)=7,1,0))))))</f>
        <v>2</v>
      </c>
    </row>
    <row r="1191" spans="2:22">
      <c r="B1191" s="318">
        <f t="shared" si="75"/>
        <v>46162</v>
      </c>
      <c r="C1191" s="312">
        <v>11</v>
      </c>
      <c r="D1191" s="368">
        <f>IFERROR((INDEX(METADATA!$T$2:$T$20,MATCH(B1191,METADATA!$S$2:$S$20,0))),0)</f>
        <v>0</v>
      </c>
      <c r="E1191" s="312" t="str">
        <f t="shared" si="72"/>
        <v>LO</v>
      </c>
      <c r="F1191" s="369">
        <f>VLOOKUP(C1191,METADATA!$A$5:$H$29,IF(E1191="HI",2,IF(E1191="LO",6,10))+IF(D1191=1,2,IF(D1191=7,1,(IF(WEEKDAY(B1191)=1,2,IF(WEEKDAY(B1191)=7,1,0))))))</f>
        <v>2</v>
      </c>
      <c r="G1191" s="369">
        <f>VLOOKUP(C1191,METADATA!$J$5:$Q$29,IF(E1191="HI",2,IF(E1191="LO",6,10))+IF(D1191=1,2,IF(D1191=7,1,(IF(WEEKDAY(B1191)=1,2,IF(WEEKDAY(B1191)=7,1,0))))))</f>
        <v>2</v>
      </c>
      <c r="H1191" s="370">
        <v>13563.354858398438</v>
      </c>
      <c r="I1191" s="370">
        <v>1614.6479759216309</v>
      </c>
      <c r="M1191" s="371">
        <f t="shared" si="73"/>
        <v>13659.124536403799</v>
      </c>
      <c r="N1191" s="329">
        <f t="shared" si="74"/>
        <v>0</v>
      </c>
      <c r="T1191" s="331">
        <v>0</v>
      </c>
      <c r="U1191" s="328">
        <f>VLOOKUP(C1191,METADATA!$J$5:$Q$29,IF(E1191="HI",2,IF(E1191="LO",6,10))+IF(T1191=1,2,IF(D1191=7,1,(IF(WEEKDAY(B1191)=1,2,IF(WEEKDAY(B1191)=7,1,0))))))</f>
        <v>2</v>
      </c>
      <c r="V1191" s="328">
        <f>VLOOKUP(C1191,METADATA!$A$5:$H$29,IF(E1191="HI",2,IF(E1191="LO",6,10))+IF(T1191=1,2,IF(D1191=7,1,(IF(WEEKDAY(B1191)=1,2,IF(WEEKDAY(B1191)=7,1,0))))))</f>
        <v>2</v>
      </c>
    </row>
    <row r="1192" spans="2:22">
      <c r="B1192" s="318">
        <f t="shared" si="75"/>
        <v>46162</v>
      </c>
      <c r="C1192" s="312">
        <v>12</v>
      </c>
      <c r="D1192" s="368">
        <f>IFERROR((INDEX(METADATA!$T$2:$T$20,MATCH(B1192,METADATA!$S$2:$S$20,0))),0)</f>
        <v>0</v>
      </c>
      <c r="E1192" s="312" t="str">
        <f t="shared" si="72"/>
        <v>LO</v>
      </c>
      <c r="F1192" s="369">
        <f>VLOOKUP(C1192,METADATA!$A$5:$H$29,IF(E1192="HI",2,IF(E1192="LO",6,10))+IF(D1192=1,2,IF(D1192=7,1,(IF(WEEKDAY(B1192)=1,2,IF(WEEKDAY(B1192)=7,1,0))))))</f>
        <v>2</v>
      </c>
      <c r="G1192" s="369">
        <f>VLOOKUP(C1192,METADATA!$J$5:$Q$29,IF(E1192="HI",2,IF(E1192="LO",6,10))+IF(D1192=1,2,IF(D1192=7,1,(IF(WEEKDAY(B1192)=1,2,IF(WEEKDAY(B1192)=7,1,0))))))</f>
        <v>2</v>
      </c>
      <c r="H1192" s="370">
        <v>13358.43994140625</v>
      </c>
      <c r="I1192" s="370">
        <v>1583.7600326538086</v>
      </c>
      <c r="M1192" s="371">
        <f t="shared" si="73"/>
        <v>13451.996636529069</v>
      </c>
      <c r="N1192" s="329">
        <f t="shared" si="74"/>
        <v>0</v>
      </c>
      <c r="T1192" s="331">
        <v>0</v>
      </c>
      <c r="U1192" s="328">
        <f>VLOOKUP(C1192,METADATA!$J$5:$Q$29,IF(E1192="HI",2,IF(E1192="LO",6,10))+IF(T1192=1,2,IF(D1192=7,1,(IF(WEEKDAY(B1192)=1,2,IF(WEEKDAY(B1192)=7,1,0))))))</f>
        <v>2</v>
      </c>
      <c r="V1192" s="328">
        <f>VLOOKUP(C1192,METADATA!$A$5:$H$29,IF(E1192="HI",2,IF(E1192="LO",6,10))+IF(T1192=1,2,IF(D1192=7,1,(IF(WEEKDAY(B1192)=1,2,IF(WEEKDAY(B1192)=7,1,0))))))</f>
        <v>2</v>
      </c>
    </row>
    <row r="1193" spans="2:22">
      <c r="B1193" s="318">
        <f t="shared" si="75"/>
        <v>46162</v>
      </c>
      <c r="C1193" s="312">
        <v>13</v>
      </c>
      <c r="D1193" s="368">
        <f>IFERROR((INDEX(METADATA!$T$2:$T$20,MATCH(B1193,METADATA!$S$2:$S$20,0))),0)</f>
        <v>0</v>
      </c>
      <c r="E1193" s="312" t="str">
        <f t="shared" si="72"/>
        <v>LO</v>
      </c>
      <c r="F1193" s="369">
        <f>VLOOKUP(C1193,METADATA!$A$5:$H$29,IF(E1193="HI",2,IF(E1193="LO",6,10))+IF(D1193=1,2,IF(D1193=7,1,(IF(WEEKDAY(B1193)=1,2,IF(WEEKDAY(B1193)=7,1,0))))))</f>
        <v>2</v>
      </c>
      <c r="G1193" s="369">
        <f>VLOOKUP(C1193,METADATA!$J$5:$Q$29,IF(E1193="HI",2,IF(E1193="LO",6,10))+IF(D1193=1,2,IF(D1193=7,1,(IF(WEEKDAY(B1193)=1,2,IF(WEEKDAY(B1193)=7,1,0))))))</f>
        <v>2</v>
      </c>
      <c r="H1193" s="370">
        <v>13450.99951171875</v>
      </c>
      <c r="I1193" s="370">
        <v>1668.9599761962891</v>
      </c>
      <c r="M1193" s="371">
        <f t="shared" si="73"/>
        <v>13554.143841143312</v>
      </c>
      <c r="N1193" s="329">
        <f t="shared" si="74"/>
        <v>0</v>
      </c>
      <c r="T1193" s="331">
        <v>0</v>
      </c>
      <c r="U1193" s="328">
        <f>VLOOKUP(C1193,METADATA!$J$5:$Q$29,IF(E1193="HI",2,IF(E1193="LO",6,10))+IF(T1193=1,2,IF(D1193=7,1,(IF(WEEKDAY(B1193)=1,2,IF(WEEKDAY(B1193)=7,1,0))))))</f>
        <v>2</v>
      </c>
      <c r="V1193" s="328">
        <f>VLOOKUP(C1193,METADATA!$A$5:$H$29,IF(E1193="HI",2,IF(E1193="LO",6,10))+IF(T1193=1,2,IF(D1193=7,1,(IF(WEEKDAY(B1193)=1,2,IF(WEEKDAY(B1193)=7,1,0))))))</f>
        <v>2</v>
      </c>
    </row>
    <row r="1194" spans="2:22">
      <c r="B1194" s="318">
        <f t="shared" si="75"/>
        <v>46162</v>
      </c>
      <c r="C1194" s="312">
        <v>14</v>
      </c>
      <c r="D1194" s="368">
        <f>IFERROR((INDEX(METADATA!$T$2:$T$20,MATCH(B1194,METADATA!$S$2:$S$20,0))),0)</f>
        <v>0</v>
      </c>
      <c r="E1194" s="312" t="str">
        <f t="shared" si="72"/>
        <v>LO</v>
      </c>
      <c r="F1194" s="369">
        <f>VLOOKUP(C1194,METADATA!$A$5:$H$29,IF(E1194="HI",2,IF(E1194="LO",6,10))+IF(D1194=1,2,IF(D1194=7,1,(IF(WEEKDAY(B1194)=1,2,IF(WEEKDAY(B1194)=7,1,0))))))</f>
        <v>2</v>
      </c>
      <c r="G1194" s="369">
        <f>VLOOKUP(C1194,METADATA!$J$5:$Q$29,IF(E1194="HI",2,IF(E1194="LO",6,10))+IF(D1194=1,2,IF(D1194=7,1,(IF(WEEKDAY(B1194)=1,2,IF(WEEKDAY(B1194)=7,1,0))))))</f>
        <v>2</v>
      </c>
      <c r="H1194" s="370">
        <v>13347.664733886719</v>
      </c>
      <c r="I1194" s="370">
        <v>1735.3925399780273</v>
      </c>
      <c r="M1194" s="371">
        <f t="shared" si="73"/>
        <v>13460.005242051528</v>
      </c>
      <c r="N1194" s="329">
        <f t="shared" si="74"/>
        <v>0</v>
      </c>
      <c r="T1194" s="331">
        <v>0</v>
      </c>
      <c r="U1194" s="328">
        <f>VLOOKUP(C1194,METADATA!$J$5:$Q$29,IF(E1194="HI",2,IF(E1194="LO",6,10))+IF(T1194=1,2,IF(D1194=7,1,(IF(WEEKDAY(B1194)=1,2,IF(WEEKDAY(B1194)=7,1,0))))))</f>
        <v>2</v>
      </c>
      <c r="V1194" s="328">
        <f>VLOOKUP(C1194,METADATA!$A$5:$H$29,IF(E1194="HI",2,IF(E1194="LO",6,10))+IF(T1194=1,2,IF(D1194=7,1,(IF(WEEKDAY(B1194)=1,2,IF(WEEKDAY(B1194)=7,1,0))))))</f>
        <v>2</v>
      </c>
    </row>
    <row r="1195" spans="2:22">
      <c r="B1195" s="318">
        <f t="shared" si="75"/>
        <v>46162</v>
      </c>
      <c r="C1195" s="312">
        <v>15</v>
      </c>
      <c r="D1195" s="368">
        <f>IFERROR((INDEX(METADATA!$T$2:$T$20,MATCH(B1195,METADATA!$S$2:$S$20,0))),0)</f>
        <v>0</v>
      </c>
      <c r="E1195" s="312" t="str">
        <f t="shared" si="72"/>
        <v>LO</v>
      </c>
      <c r="F1195" s="369">
        <f>VLOOKUP(C1195,METADATA!$A$5:$H$29,IF(E1195="HI",2,IF(E1195="LO",6,10))+IF(D1195=1,2,IF(D1195=7,1,(IF(WEEKDAY(B1195)=1,2,IF(WEEKDAY(B1195)=7,1,0))))))</f>
        <v>2</v>
      </c>
      <c r="G1195" s="369">
        <f>VLOOKUP(C1195,METADATA!$J$5:$Q$29,IF(E1195="HI",2,IF(E1195="LO",6,10))+IF(D1195=1,2,IF(D1195=7,1,(IF(WEEKDAY(B1195)=1,2,IF(WEEKDAY(B1195)=7,1,0))))))</f>
        <v>2</v>
      </c>
      <c r="H1195" s="370">
        <v>12928.234741210938</v>
      </c>
      <c r="I1195" s="370">
        <v>1716.4799194335938</v>
      </c>
      <c r="M1195" s="371">
        <f t="shared" si="73"/>
        <v>13041.685352655621</v>
      </c>
      <c r="N1195" s="329">
        <f t="shared" si="74"/>
        <v>0</v>
      </c>
      <c r="T1195" s="331">
        <v>0</v>
      </c>
      <c r="U1195" s="328">
        <f>VLOOKUP(C1195,METADATA!$J$5:$Q$29,IF(E1195="HI",2,IF(E1195="LO",6,10))+IF(T1195=1,2,IF(D1195=7,1,(IF(WEEKDAY(B1195)=1,2,IF(WEEKDAY(B1195)=7,1,0))))))</f>
        <v>2</v>
      </c>
      <c r="V1195" s="328">
        <f>VLOOKUP(C1195,METADATA!$A$5:$H$29,IF(E1195="HI",2,IF(E1195="LO",6,10))+IF(T1195=1,2,IF(D1195=7,1,(IF(WEEKDAY(B1195)=1,2,IF(WEEKDAY(B1195)=7,1,0))))))</f>
        <v>2</v>
      </c>
    </row>
    <row r="1196" spans="2:22">
      <c r="B1196" s="318">
        <f t="shared" si="75"/>
        <v>46162</v>
      </c>
      <c r="C1196" s="312">
        <v>16</v>
      </c>
      <c r="D1196" s="368">
        <f>IFERROR((INDEX(METADATA!$T$2:$T$20,MATCH(B1196,METADATA!$S$2:$S$20,0))),0)</f>
        <v>0</v>
      </c>
      <c r="E1196" s="312" t="str">
        <f t="shared" si="72"/>
        <v>LO</v>
      </c>
      <c r="F1196" s="369">
        <f>VLOOKUP(C1196,METADATA!$A$5:$H$29,IF(E1196="HI",2,IF(E1196="LO",6,10))+IF(D1196=1,2,IF(D1196=7,1,(IF(WEEKDAY(B1196)=1,2,IF(WEEKDAY(B1196)=7,1,0))))))</f>
        <v>2</v>
      </c>
      <c r="G1196" s="369">
        <f>VLOOKUP(C1196,METADATA!$J$5:$Q$29,IF(E1196="HI",2,IF(E1196="LO",6,10))+IF(D1196=1,2,IF(D1196=7,1,(IF(WEEKDAY(B1196)=1,2,IF(WEEKDAY(B1196)=7,1,0))))))</f>
        <v>2</v>
      </c>
      <c r="H1196" s="370">
        <v>12949.550354003906</v>
      </c>
      <c r="I1196" s="370">
        <v>1669.4874801635742</v>
      </c>
      <c r="M1196" s="371">
        <f t="shared" si="73"/>
        <v>13056.724046149769</v>
      </c>
      <c r="N1196" s="329">
        <f t="shared" si="74"/>
        <v>0</v>
      </c>
      <c r="T1196" s="331">
        <v>0</v>
      </c>
      <c r="U1196" s="328">
        <f>VLOOKUP(C1196,METADATA!$J$5:$Q$29,IF(E1196="HI",2,IF(E1196="LO",6,10))+IF(T1196=1,2,IF(D1196=7,1,(IF(WEEKDAY(B1196)=1,2,IF(WEEKDAY(B1196)=7,1,0))))))</f>
        <v>2</v>
      </c>
      <c r="V1196" s="328">
        <f>VLOOKUP(C1196,METADATA!$A$5:$H$29,IF(E1196="HI",2,IF(E1196="LO",6,10))+IF(T1196=1,2,IF(D1196=7,1,(IF(WEEKDAY(B1196)=1,2,IF(WEEKDAY(B1196)=7,1,0))))))</f>
        <v>2</v>
      </c>
    </row>
    <row r="1197" spans="2:22">
      <c r="B1197" s="318">
        <f t="shared" si="75"/>
        <v>46162</v>
      </c>
      <c r="C1197" s="312">
        <v>17</v>
      </c>
      <c r="D1197" s="368">
        <f>IFERROR((INDEX(METADATA!$T$2:$T$20,MATCH(B1197,METADATA!$S$2:$S$20,0))),0)</f>
        <v>0</v>
      </c>
      <c r="E1197" s="312" t="str">
        <f t="shared" si="72"/>
        <v>LO</v>
      </c>
      <c r="F1197" s="369">
        <f>VLOOKUP(C1197,METADATA!$A$5:$H$29,IF(E1197="HI",2,IF(E1197="LO",6,10))+IF(D1197=1,2,IF(D1197=7,1,(IF(WEEKDAY(B1197)=1,2,IF(WEEKDAY(B1197)=7,1,0))))))</f>
        <v>2</v>
      </c>
      <c r="G1197" s="369">
        <f>VLOOKUP(C1197,METADATA!$J$5:$Q$29,IF(E1197="HI",2,IF(E1197="LO",6,10))+IF(D1197=1,2,IF(D1197=7,1,(IF(WEEKDAY(B1197)=1,2,IF(WEEKDAY(B1197)=7,1,0))))))</f>
        <v>2</v>
      </c>
      <c r="H1197" s="370">
        <v>11547.890258789063</v>
      </c>
      <c r="I1197" s="370">
        <v>1500.4820415040012</v>
      </c>
      <c r="M1197" s="371">
        <f t="shared" si="73"/>
        <v>11644.965254817695</v>
      </c>
      <c r="N1197" s="329">
        <f t="shared" si="74"/>
        <v>0</v>
      </c>
      <c r="T1197" s="331">
        <v>0</v>
      </c>
      <c r="U1197" s="328">
        <f>VLOOKUP(C1197,METADATA!$J$5:$Q$29,IF(E1197="HI",2,IF(E1197="LO",6,10))+IF(T1197=1,2,IF(D1197=7,1,(IF(WEEKDAY(B1197)=1,2,IF(WEEKDAY(B1197)=7,1,0))))))</f>
        <v>2</v>
      </c>
      <c r="V1197" s="328">
        <f>VLOOKUP(C1197,METADATA!$A$5:$H$29,IF(E1197="HI",2,IF(E1197="LO",6,10))+IF(T1197=1,2,IF(D1197=7,1,(IF(WEEKDAY(B1197)=1,2,IF(WEEKDAY(B1197)=7,1,0))))))</f>
        <v>2</v>
      </c>
    </row>
    <row r="1198" spans="2:22">
      <c r="B1198" s="318">
        <f t="shared" si="75"/>
        <v>46162</v>
      </c>
      <c r="C1198" s="312">
        <v>18</v>
      </c>
      <c r="D1198" s="368">
        <f>IFERROR((INDEX(METADATA!$T$2:$T$20,MATCH(B1198,METADATA!$S$2:$S$20,0))),0)</f>
        <v>0</v>
      </c>
      <c r="E1198" s="312" t="str">
        <f t="shared" si="72"/>
        <v>LO</v>
      </c>
      <c r="F1198" s="369">
        <f>VLOOKUP(C1198,METADATA!$A$5:$H$29,IF(E1198="HI",2,IF(E1198="LO",6,10))+IF(D1198=1,2,IF(D1198=7,1,(IF(WEEKDAY(B1198)=1,2,IF(WEEKDAY(B1198)=7,1,0))))))</f>
        <v>1</v>
      </c>
      <c r="G1198" s="369">
        <f>VLOOKUP(C1198,METADATA!$J$5:$Q$29,IF(E1198="HI",2,IF(E1198="LO",6,10))+IF(D1198=1,2,IF(D1198=7,1,(IF(WEEKDAY(B1198)=1,2,IF(WEEKDAY(B1198)=7,1,0))))))</f>
        <v>1</v>
      </c>
      <c r="H1198" s="370">
        <v>12653.474609375</v>
      </c>
      <c r="I1198" s="370">
        <v>1485.7180346250534</v>
      </c>
      <c r="M1198" s="371">
        <f t="shared" si="73"/>
        <v>12740.399435202489</v>
      </c>
      <c r="N1198" s="329">
        <f t="shared" si="74"/>
        <v>0</v>
      </c>
      <c r="T1198" s="331">
        <v>0</v>
      </c>
      <c r="U1198" s="328">
        <f>VLOOKUP(C1198,METADATA!$J$5:$Q$29,IF(E1198="HI",2,IF(E1198="LO",6,10))+IF(T1198=1,2,IF(D1198=7,1,(IF(WEEKDAY(B1198)=1,2,IF(WEEKDAY(B1198)=7,1,0))))))</f>
        <v>1</v>
      </c>
      <c r="V1198" s="328">
        <f>VLOOKUP(C1198,METADATA!$A$5:$H$29,IF(E1198="HI",2,IF(E1198="LO",6,10))+IF(T1198=1,2,IF(D1198=7,1,(IF(WEEKDAY(B1198)=1,2,IF(WEEKDAY(B1198)=7,1,0))))))</f>
        <v>1</v>
      </c>
    </row>
    <row r="1199" spans="2:22">
      <c r="B1199" s="318">
        <f t="shared" si="75"/>
        <v>46162</v>
      </c>
      <c r="C1199" s="312">
        <v>19</v>
      </c>
      <c r="D1199" s="368">
        <f>IFERROR((INDEX(METADATA!$T$2:$T$20,MATCH(B1199,METADATA!$S$2:$S$20,0))),0)</f>
        <v>0</v>
      </c>
      <c r="E1199" s="312" t="str">
        <f t="shared" si="72"/>
        <v>LO</v>
      </c>
      <c r="F1199" s="369">
        <f>VLOOKUP(C1199,METADATA!$A$5:$H$29,IF(E1199="HI",2,IF(E1199="LO",6,10))+IF(D1199=1,2,IF(D1199=7,1,(IF(WEEKDAY(B1199)=1,2,IF(WEEKDAY(B1199)=7,1,0))))))</f>
        <v>1</v>
      </c>
      <c r="G1199" s="369">
        <f>VLOOKUP(C1199,METADATA!$J$5:$Q$29,IF(E1199="HI",2,IF(E1199="LO",6,10))+IF(D1199=1,2,IF(D1199=7,1,(IF(WEEKDAY(B1199)=1,2,IF(WEEKDAY(B1199)=7,1,0))))))</f>
        <v>1</v>
      </c>
      <c r="H1199" s="370">
        <v>13740.380249023438</v>
      </c>
      <c r="I1199" s="370">
        <v>1708.8974990844727</v>
      </c>
      <c r="M1199" s="371">
        <f t="shared" si="73"/>
        <v>13846.240646837341</v>
      </c>
      <c r="N1199" s="329">
        <f t="shared" si="74"/>
        <v>0</v>
      </c>
      <c r="T1199" s="331">
        <v>0</v>
      </c>
      <c r="U1199" s="328">
        <f>VLOOKUP(C1199,METADATA!$J$5:$Q$29,IF(E1199="HI",2,IF(E1199="LO",6,10))+IF(T1199=1,2,IF(D1199=7,1,(IF(WEEKDAY(B1199)=1,2,IF(WEEKDAY(B1199)=7,1,0))))))</f>
        <v>1</v>
      </c>
      <c r="V1199" s="328">
        <f>VLOOKUP(C1199,METADATA!$A$5:$H$29,IF(E1199="HI",2,IF(E1199="LO",6,10))+IF(T1199=1,2,IF(D1199=7,1,(IF(WEEKDAY(B1199)=1,2,IF(WEEKDAY(B1199)=7,1,0))))))</f>
        <v>1</v>
      </c>
    </row>
    <row r="1200" spans="2:22">
      <c r="B1200" s="318">
        <f t="shared" si="75"/>
        <v>46162</v>
      </c>
      <c r="C1200" s="312">
        <v>20</v>
      </c>
      <c r="D1200" s="368">
        <f>IFERROR((INDEX(METADATA!$T$2:$T$20,MATCH(B1200,METADATA!$S$2:$S$20,0))),0)</f>
        <v>0</v>
      </c>
      <c r="E1200" s="312" t="str">
        <f t="shared" si="72"/>
        <v>LO</v>
      </c>
      <c r="F1200" s="369">
        <f>VLOOKUP(C1200,METADATA!$A$5:$H$29,IF(E1200="HI",2,IF(E1200="LO",6,10))+IF(D1200=1,2,IF(D1200=7,1,(IF(WEEKDAY(B1200)=1,2,IF(WEEKDAY(B1200)=7,1,0))))))</f>
        <v>1</v>
      </c>
      <c r="G1200" s="369">
        <f>VLOOKUP(C1200,METADATA!$J$5:$Q$29,IF(E1200="HI",2,IF(E1200="LO",6,10))+IF(D1200=1,2,IF(D1200=7,1,(IF(WEEKDAY(B1200)=1,2,IF(WEEKDAY(B1200)=7,1,0))))))</f>
        <v>1</v>
      </c>
      <c r="H1200" s="370">
        <v>13608.175109863281</v>
      </c>
      <c r="I1200" s="370">
        <v>1732.6799926757813</v>
      </c>
      <c r="M1200" s="371">
        <f t="shared" si="73"/>
        <v>13718.039574870802</v>
      </c>
      <c r="N1200" s="329">
        <f t="shared" si="74"/>
        <v>0</v>
      </c>
      <c r="T1200" s="331">
        <v>0</v>
      </c>
      <c r="U1200" s="328">
        <f>VLOOKUP(C1200,METADATA!$J$5:$Q$29,IF(E1200="HI",2,IF(E1200="LO",6,10))+IF(T1200=1,2,IF(D1200=7,1,(IF(WEEKDAY(B1200)=1,2,IF(WEEKDAY(B1200)=7,1,0))))))</f>
        <v>1</v>
      </c>
      <c r="V1200" s="328">
        <f>VLOOKUP(C1200,METADATA!$A$5:$H$29,IF(E1200="HI",2,IF(E1200="LO",6,10))+IF(T1200=1,2,IF(D1200=7,1,(IF(WEEKDAY(B1200)=1,2,IF(WEEKDAY(B1200)=7,1,0))))))</f>
        <v>1</v>
      </c>
    </row>
    <row r="1201" spans="2:22">
      <c r="B1201" s="318">
        <f t="shared" si="75"/>
        <v>46162</v>
      </c>
      <c r="C1201" s="312">
        <v>21</v>
      </c>
      <c r="D1201" s="368">
        <f>IFERROR((INDEX(METADATA!$T$2:$T$20,MATCH(B1201,METADATA!$S$2:$S$20,0))),0)</f>
        <v>0</v>
      </c>
      <c r="E1201" s="312" t="str">
        <f t="shared" si="72"/>
        <v>LO</v>
      </c>
      <c r="F1201" s="369">
        <f>VLOOKUP(C1201,METADATA!$A$5:$H$29,IF(E1201="HI",2,IF(E1201="LO",6,10))+IF(D1201=1,2,IF(D1201=7,1,(IF(WEEKDAY(B1201)=1,2,IF(WEEKDAY(B1201)=7,1,0))))))</f>
        <v>2</v>
      </c>
      <c r="G1201" s="369">
        <f>VLOOKUP(C1201,METADATA!$J$5:$Q$29,IF(E1201="HI",2,IF(E1201="LO",6,10))+IF(D1201=1,2,IF(D1201=7,1,(IF(WEEKDAY(B1201)=1,2,IF(WEEKDAY(B1201)=7,1,0))))))</f>
        <v>2</v>
      </c>
      <c r="H1201" s="370">
        <v>13587.299865722656</v>
      </c>
      <c r="I1201" s="370">
        <v>1729.6550369262695</v>
      </c>
      <c r="M1201" s="371">
        <f t="shared" si="73"/>
        <v>13696.949448246909</v>
      </c>
      <c r="N1201" s="329">
        <f t="shared" si="74"/>
        <v>0</v>
      </c>
      <c r="T1201" s="331">
        <v>0</v>
      </c>
      <c r="U1201" s="328">
        <f>VLOOKUP(C1201,METADATA!$J$5:$Q$29,IF(E1201="HI",2,IF(E1201="LO",6,10))+IF(T1201=1,2,IF(D1201=7,1,(IF(WEEKDAY(B1201)=1,2,IF(WEEKDAY(B1201)=7,1,0))))))</f>
        <v>2</v>
      </c>
      <c r="V1201" s="328">
        <f>VLOOKUP(C1201,METADATA!$A$5:$H$29,IF(E1201="HI",2,IF(E1201="LO",6,10))+IF(T1201=1,2,IF(D1201=7,1,(IF(WEEKDAY(B1201)=1,2,IF(WEEKDAY(B1201)=7,1,0))))))</f>
        <v>2</v>
      </c>
    </row>
    <row r="1202" spans="2:22">
      <c r="B1202" s="318">
        <f t="shared" si="75"/>
        <v>46162</v>
      </c>
      <c r="C1202" s="312">
        <v>22</v>
      </c>
      <c r="D1202" s="368">
        <f>IFERROR((INDEX(METADATA!$T$2:$T$20,MATCH(B1202,METADATA!$S$2:$S$20,0))),0)</f>
        <v>0</v>
      </c>
      <c r="E1202" s="312" t="str">
        <f t="shared" si="72"/>
        <v>LO</v>
      </c>
      <c r="F1202" s="369">
        <f>VLOOKUP(C1202,METADATA!$A$5:$H$29,IF(E1202="HI",2,IF(E1202="LO",6,10))+IF(D1202=1,2,IF(D1202=7,1,(IF(WEEKDAY(B1202)=1,2,IF(WEEKDAY(B1202)=7,1,0))))))</f>
        <v>3</v>
      </c>
      <c r="G1202" s="369">
        <f>VLOOKUP(C1202,METADATA!$J$5:$Q$29,IF(E1202="HI",2,IF(E1202="LO",6,10))+IF(D1202=1,2,IF(D1202=7,1,(IF(WEEKDAY(B1202)=1,2,IF(WEEKDAY(B1202)=7,1,0))))))</f>
        <v>3</v>
      </c>
      <c r="H1202" s="370">
        <v>12560.58984375</v>
      </c>
      <c r="I1202" s="370">
        <v>1547.2335274219513</v>
      </c>
      <c r="M1202" s="371">
        <f t="shared" si="73"/>
        <v>12655.526413835745</v>
      </c>
      <c r="N1202" s="329">
        <f t="shared" si="74"/>
        <v>0</v>
      </c>
      <c r="T1202" s="331">
        <v>0</v>
      </c>
      <c r="U1202" s="328">
        <f>VLOOKUP(C1202,METADATA!$J$5:$Q$29,IF(E1202="HI",2,IF(E1202="LO",6,10))+IF(T1202=1,2,IF(D1202=7,1,(IF(WEEKDAY(B1202)=1,2,IF(WEEKDAY(B1202)=7,1,0))))))</f>
        <v>3</v>
      </c>
      <c r="V1202" s="328">
        <f>VLOOKUP(C1202,METADATA!$A$5:$H$29,IF(E1202="HI",2,IF(E1202="LO",6,10))+IF(T1202=1,2,IF(D1202=7,1,(IF(WEEKDAY(B1202)=1,2,IF(WEEKDAY(B1202)=7,1,0))))))</f>
        <v>3</v>
      </c>
    </row>
    <row r="1203" spans="2:22">
      <c r="B1203" s="318">
        <f t="shared" si="75"/>
        <v>46162</v>
      </c>
      <c r="C1203" s="312">
        <v>23</v>
      </c>
      <c r="D1203" s="368">
        <f>IFERROR((INDEX(METADATA!$T$2:$T$20,MATCH(B1203,METADATA!$S$2:$S$20,0))),0)</f>
        <v>0</v>
      </c>
      <c r="E1203" s="312" t="str">
        <f t="shared" si="72"/>
        <v>LO</v>
      </c>
      <c r="F1203" s="369">
        <f>VLOOKUP(C1203,METADATA!$A$5:$H$29,IF(E1203="HI",2,IF(E1203="LO",6,10))+IF(D1203=1,2,IF(D1203=7,1,(IF(WEEKDAY(B1203)=1,2,IF(WEEKDAY(B1203)=7,1,0))))))</f>
        <v>3</v>
      </c>
      <c r="G1203" s="369">
        <f>VLOOKUP(C1203,METADATA!$J$5:$Q$29,IF(E1203="HI",2,IF(E1203="LO",6,10))+IF(D1203=1,2,IF(D1203=7,1,(IF(WEEKDAY(B1203)=1,2,IF(WEEKDAY(B1203)=7,1,0))))))</f>
        <v>3</v>
      </c>
      <c r="H1203" s="370">
        <v>12657.654815673828</v>
      </c>
      <c r="I1203" s="370">
        <v>1555.2199646830559</v>
      </c>
      <c r="M1203" s="371">
        <f t="shared" si="73"/>
        <v>12752.840255068657</v>
      </c>
      <c r="N1203" s="329">
        <f t="shared" si="74"/>
        <v>0</v>
      </c>
      <c r="T1203" s="331">
        <v>0</v>
      </c>
      <c r="U1203" s="328">
        <f>VLOOKUP(C1203,METADATA!$J$5:$Q$29,IF(E1203="HI",2,IF(E1203="LO",6,10))+IF(T1203=1,2,IF(D1203=7,1,(IF(WEEKDAY(B1203)=1,2,IF(WEEKDAY(B1203)=7,1,0))))))</f>
        <v>3</v>
      </c>
      <c r="V1203" s="328">
        <f>VLOOKUP(C1203,METADATA!$A$5:$H$29,IF(E1203="HI",2,IF(E1203="LO",6,10))+IF(T1203=1,2,IF(D1203=7,1,(IF(WEEKDAY(B1203)=1,2,IF(WEEKDAY(B1203)=7,1,0))))))</f>
        <v>3</v>
      </c>
    </row>
    <row r="1204" spans="2:22">
      <c r="B1204" s="318">
        <f t="shared" si="75"/>
        <v>46163</v>
      </c>
      <c r="C1204" s="312">
        <v>0</v>
      </c>
      <c r="D1204" s="368">
        <f>IFERROR((INDEX(METADATA!$T$2:$T$20,MATCH(B1204,METADATA!$S$2:$S$20,0))),0)</f>
        <v>0</v>
      </c>
      <c r="E1204" s="312" t="str">
        <f t="shared" si="72"/>
        <v>LO</v>
      </c>
      <c r="F1204" s="369">
        <f>VLOOKUP(C1204,METADATA!$A$5:$H$29,IF(E1204="HI",2,IF(E1204="LO",6,10))+IF(D1204=1,2,IF(D1204=7,1,(IF(WEEKDAY(B1204)=1,2,IF(WEEKDAY(B1204)=7,1,0))))))</f>
        <v>3</v>
      </c>
      <c r="G1204" s="369">
        <f>VLOOKUP(C1204,METADATA!$J$5:$Q$29,IF(E1204="HI",2,IF(E1204="LO",6,10))+IF(D1204=1,2,IF(D1204=7,1,(IF(WEEKDAY(B1204)=1,2,IF(WEEKDAY(B1204)=7,1,0))))))</f>
        <v>3</v>
      </c>
      <c r="H1204" s="370">
        <v>13566.939636230469</v>
      </c>
      <c r="I1204" s="370">
        <v>1783.5125122070313</v>
      </c>
      <c r="M1204" s="371">
        <f t="shared" si="73"/>
        <v>13683.667928385297</v>
      </c>
      <c r="N1204" s="329">
        <f t="shared" si="74"/>
        <v>0</v>
      </c>
      <c r="T1204" s="331">
        <v>0</v>
      </c>
      <c r="U1204" s="328">
        <f>VLOOKUP(C1204,METADATA!$J$5:$Q$29,IF(E1204="HI",2,IF(E1204="LO",6,10))+IF(T1204=1,2,IF(D1204=7,1,(IF(WEEKDAY(B1204)=1,2,IF(WEEKDAY(B1204)=7,1,0))))))</f>
        <v>3</v>
      </c>
      <c r="V1204" s="328">
        <f>VLOOKUP(C1204,METADATA!$A$5:$H$29,IF(E1204="HI",2,IF(E1204="LO",6,10))+IF(T1204=1,2,IF(D1204=7,1,(IF(WEEKDAY(B1204)=1,2,IF(WEEKDAY(B1204)=7,1,0))))))</f>
        <v>3</v>
      </c>
    </row>
    <row r="1205" spans="2:22">
      <c r="B1205" s="318">
        <f t="shared" si="75"/>
        <v>46163</v>
      </c>
      <c r="C1205" s="312">
        <v>1</v>
      </c>
      <c r="D1205" s="368">
        <f>IFERROR((INDEX(METADATA!$T$2:$T$20,MATCH(B1205,METADATA!$S$2:$S$20,0))),0)</f>
        <v>0</v>
      </c>
      <c r="E1205" s="312" t="str">
        <f t="shared" si="72"/>
        <v>LO</v>
      </c>
      <c r="F1205" s="369">
        <f>VLOOKUP(C1205,METADATA!$A$5:$H$29,IF(E1205="HI",2,IF(E1205="LO",6,10))+IF(D1205=1,2,IF(D1205=7,1,(IF(WEEKDAY(B1205)=1,2,IF(WEEKDAY(B1205)=7,1,0))))))</f>
        <v>3</v>
      </c>
      <c r="G1205" s="369">
        <f>VLOOKUP(C1205,METADATA!$J$5:$Q$29,IF(E1205="HI",2,IF(E1205="LO",6,10))+IF(D1205=1,2,IF(D1205=7,1,(IF(WEEKDAY(B1205)=1,2,IF(WEEKDAY(B1205)=7,1,0))))))</f>
        <v>3</v>
      </c>
      <c r="H1205" s="370">
        <v>13572.360107421875</v>
      </c>
      <c r="I1205" s="370">
        <v>1824.0475234985352</v>
      </c>
      <c r="M1205" s="371">
        <f t="shared" si="73"/>
        <v>13694.382361155171</v>
      </c>
      <c r="N1205" s="329">
        <f t="shared" si="74"/>
        <v>0</v>
      </c>
      <c r="T1205" s="331">
        <v>0</v>
      </c>
      <c r="U1205" s="328">
        <f>VLOOKUP(C1205,METADATA!$J$5:$Q$29,IF(E1205="HI",2,IF(E1205="LO",6,10))+IF(T1205=1,2,IF(D1205=7,1,(IF(WEEKDAY(B1205)=1,2,IF(WEEKDAY(B1205)=7,1,0))))))</f>
        <v>3</v>
      </c>
      <c r="V1205" s="328">
        <f>VLOOKUP(C1205,METADATA!$A$5:$H$29,IF(E1205="HI",2,IF(E1205="LO",6,10))+IF(T1205=1,2,IF(D1205=7,1,(IF(WEEKDAY(B1205)=1,2,IF(WEEKDAY(B1205)=7,1,0))))))</f>
        <v>3</v>
      </c>
    </row>
    <row r="1206" spans="2:22">
      <c r="B1206" s="318">
        <f t="shared" si="75"/>
        <v>46163</v>
      </c>
      <c r="C1206" s="312">
        <v>2</v>
      </c>
      <c r="D1206" s="368">
        <f>IFERROR((INDEX(METADATA!$T$2:$T$20,MATCH(B1206,METADATA!$S$2:$S$20,0))),0)</f>
        <v>0</v>
      </c>
      <c r="E1206" s="312" t="str">
        <f t="shared" si="72"/>
        <v>LO</v>
      </c>
      <c r="F1206" s="369">
        <f>VLOOKUP(C1206,METADATA!$A$5:$H$29,IF(E1206="HI",2,IF(E1206="LO",6,10))+IF(D1206=1,2,IF(D1206=7,1,(IF(WEEKDAY(B1206)=1,2,IF(WEEKDAY(B1206)=7,1,0))))))</f>
        <v>3</v>
      </c>
      <c r="G1206" s="369">
        <f>VLOOKUP(C1206,METADATA!$J$5:$Q$29,IF(E1206="HI",2,IF(E1206="LO",6,10))+IF(D1206=1,2,IF(D1206=7,1,(IF(WEEKDAY(B1206)=1,2,IF(WEEKDAY(B1206)=7,1,0))))))</f>
        <v>3</v>
      </c>
      <c r="H1206" s="370">
        <v>13422.945190429688</v>
      </c>
      <c r="I1206" s="370">
        <v>1823.18505859375</v>
      </c>
      <c r="M1206" s="371">
        <f t="shared" si="73"/>
        <v>13546.197301942673</v>
      </c>
      <c r="N1206" s="329">
        <f t="shared" si="74"/>
        <v>0</v>
      </c>
      <c r="T1206" s="331">
        <v>0</v>
      </c>
      <c r="U1206" s="328">
        <f>VLOOKUP(C1206,METADATA!$J$5:$Q$29,IF(E1206="HI",2,IF(E1206="LO",6,10))+IF(T1206=1,2,IF(D1206=7,1,(IF(WEEKDAY(B1206)=1,2,IF(WEEKDAY(B1206)=7,1,0))))))</f>
        <v>3</v>
      </c>
      <c r="V1206" s="328">
        <f>VLOOKUP(C1206,METADATA!$A$5:$H$29,IF(E1206="HI",2,IF(E1206="LO",6,10))+IF(T1206=1,2,IF(D1206=7,1,(IF(WEEKDAY(B1206)=1,2,IF(WEEKDAY(B1206)=7,1,0))))))</f>
        <v>3</v>
      </c>
    </row>
    <row r="1207" spans="2:22">
      <c r="B1207" s="318">
        <f t="shared" si="75"/>
        <v>46163</v>
      </c>
      <c r="C1207" s="312">
        <v>3</v>
      </c>
      <c r="D1207" s="368">
        <f>IFERROR((INDEX(METADATA!$T$2:$T$20,MATCH(B1207,METADATA!$S$2:$S$20,0))),0)</f>
        <v>0</v>
      </c>
      <c r="E1207" s="312" t="str">
        <f t="shared" si="72"/>
        <v>LO</v>
      </c>
      <c r="F1207" s="369">
        <f>VLOOKUP(C1207,METADATA!$A$5:$H$29,IF(E1207="HI",2,IF(E1207="LO",6,10))+IF(D1207=1,2,IF(D1207=7,1,(IF(WEEKDAY(B1207)=1,2,IF(WEEKDAY(B1207)=7,1,0))))))</f>
        <v>3</v>
      </c>
      <c r="G1207" s="369">
        <f>VLOOKUP(C1207,METADATA!$J$5:$Q$29,IF(E1207="HI",2,IF(E1207="LO",6,10))+IF(D1207=1,2,IF(D1207=7,1,(IF(WEEKDAY(B1207)=1,2,IF(WEEKDAY(B1207)=7,1,0))))))</f>
        <v>3</v>
      </c>
      <c r="H1207" s="370">
        <v>13681.879943847656</v>
      </c>
      <c r="I1207" s="370">
        <v>1824.3600082397461</v>
      </c>
      <c r="M1207" s="371">
        <f t="shared" si="73"/>
        <v>13802.975340031773</v>
      </c>
      <c r="N1207" s="329">
        <f t="shared" si="74"/>
        <v>0</v>
      </c>
      <c r="T1207" s="331">
        <v>0</v>
      </c>
      <c r="U1207" s="328">
        <f>VLOOKUP(C1207,METADATA!$J$5:$Q$29,IF(E1207="HI",2,IF(E1207="LO",6,10))+IF(T1207=1,2,IF(D1207=7,1,(IF(WEEKDAY(B1207)=1,2,IF(WEEKDAY(B1207)=7,1,0))))))</f>
        <v>3</v>
      </c>
      <c r="V1207" s="328">
        <f>VLOOKUP(C1207,METADATA!$A$5:$H$29,IF(E1207="HI",2,IF(E1207="LO",6,10))+IF(T1207=1,2,IF(D1207=7,1,(IF(WEEKDAY(B1207)=1,2,IF(WEEKDAY(B1207)=7,1,0))))))</f>
        <v>3</v>
      </c>
    </row>
    <row r="1208" spans="2:22">
      <c r="B1208" s="318">
        <f t="shared" si="75"/>
        <v>46163</v>
      </c>
      <c r="C1208" s="312">
        <v>4</v>
      </c>
      <c r="D1208" s="368">
        <f>IFERROR((INDEX(METADATA!$T$2:$T$20,MATCH(B1208,METADATA!$S$2:$S$20,0))),0)</f>
        <v>0</v>
      </c>
      <c r="E1208" s="312" t="str">
        <f t="shared" si="72"/>
        <v>LO</v>
      </c>
      <c r="F1208" s="369">
        <f>VLOOKUP(C1208,METADATA!$A$5:$H$29,IF(E1208="HI",2,IF(E1208="LO",6,10))+IF(D1208=1,2,IF(D1208=7,1,(IF(WEEKDAY(B1208)=1,2,IF(WEEKDAY(B1208)=7,1,0))))))</f>
        <v>3</v>
      </c>
      <c r="G1208" s="369">
        <f>VLOOKUP(C1208,METADATA!$J$5:$Q$29,IF(E1208="HI",2,IF(E1208="LO",6,10))+IF(D1208=1,2,IF(D1208=7,1,(IF(WEEKDAY(B1208)=1,2,IF(WEEKDAY(B1208)=7,1,0))))))</f>
        <v>3</v>
      </c>
      <c r="H1208" s="370">
        <v>13616.4501953125</v>
      </c>
      <c r="I1208" s="370">
        <v>1639.9224853515625</v>
      </c>
      <c r="M1208" s="371">
        <f t="shared" si="73"/>
        <v>13714.848219334674</v>
      </c>
      <c r="N1208" s="329">
        <f t="shared" si="74"/>
        <v>0</v>
      </c>
      <c r="T1208" s="331">
        <v>0</v>
      </c>
      <c r="U1208" s="328">
        <f>VLOOKUP(C1208,METADATA!$J$5:$Q$29,IF(E1208="HI",2,IF(E1208="LO",6,10))+IF(T1208=1,2,IF(D1208=7,1,(IF(WEEKDAY(B1208)=1,2,IF(WEEKDAY(B1208)=7,1,0))))))</f>
        <v>3</v>
      </c>
      <c r="V1208" s="328">
        <f>VLOOKUP(C1208,METADATA!$A$5:$H$29,IF(E1208="HI",2,IF(E1208="LO",6,10))+IF(T1208=1,2,IF(D1208=7,1,(IF(WEEKDAY(B1208)=1,2,IF(WEEKDAY(B1208)=7,1,0))))))</f>
        <v>3</v>
      </c>
    </row>
    <row r="1209" spans="2:22">
      <c r="B1209" s="318">
        <f t="shared" si="75"/>
        <v>46163</v>
      </c>
      <c r="C1209" s="312">
        <v>5</v>
      </c>
      <c r="D1209" s="368">
        <f>IFERROR((INDEX(METADATA!$T$2:$T$20,MATCH(B1209,METADATA!$S$2:$S$20,0))),0)</f>
        <v>0</v>
      </c>
      <c r="E1209" s="312" t="str">
        <f t="shared" si="72"/>
        <v>LO</v>
      </c>
      <c r="F1209" s="369">
        <f>VLOOKUP(C1209,METADATA!$A$5:$H$29,IF(E1209="HI",2,IF(E1209="LO",6,10))+IF(D1209=1,2,IF(D1209=7,1,(IF(WEEKDAY(B1209)=1,2,IF(WEEKDAY(B1209)=7,1,0))))))</f>
        <v>3</v>
      </c>
      <c r="G1209" s="369">
        <f>VLOOKUP(C1209,METADATA!$J$5:$Q$29,IF(E1209="HI",2,IF(E1209="LO",6,10))+IF(D1209=1,2,IF(D1209=7,1,(IF(WEEKDAY(B1209)=1,2,IF(WEEKDAY(B1209)=7,1,0))))))</f>
        <v>3</v>
      </c>
      <c r="H1209" s="370">
        <v>13487.22021484375</v>
      </c>
      <c r="I1209" s="370">
        <v>1502.9499969482422</v>
      </c>
      <c r="M1209" s="371">
        <f t="shared" si="73"/>
        <v>13570.702554290128</v>
      </c>
      <c r="N1209" s="329">
        <f t="shared" si="74"/>
        <v>0</v>
      </c>
      <c r="T1209" s="331">
        <v>0</v>
      </c>
      <c r="U1209" s="328">
        <f>VLOOKUP(C1209,METADATA!$J$5:$Q$29,IF(E1209="HI",2,IF(E1209="LO",6,10))+IF(T1209=1,2,IF(D1209=7,1,(IF(WEEKDAY(B1209)=1,2,IF(WEEKDAY(B1209)=7,1,0))))))</f>
        <v>3</v>
      </c>
      <c r="V1209" s="328">
        <f>VLOOKUP(C1209,METADATA!$A$5:$H$29,IF(E1209="HI",2,IF(E1209="LO",6,10))+IF(T1209=1,2,IF(D1209=7,1,(IF(WEEKDAY(B1209)=1,2,IF(WEEKDAY(B1209)=7,1,0))))))</f>
        <v>3</v>
      </c>
    </row>
    <row r="1210" spans="2:22">
      <c r="B1210" s="318">
        <f t="shared" si="75"/>
        <v>46163</v>
      </c>
      <c r="C1210" s="312">
        <v>6</v>
      </c>
      <c r="D1210" s="368">
        <f>IFERROR((INDEX(METADATA!$T$2:$T$20,MATCH(B1210,METADATA!$S$2:$S$20,0))),0)</f>
        <v>0</v>
      </c>
      <c r="E1210" s="312" t="str">
        <f t="shared" si="72"/>
        <v>LO</v>
      </c>
      <c r="F1210" s="369">
        <f>VLOOKUP(C1210,METADATA!$A$5:$H$29,IF(E1210="HI",2,IF(E1210="LO",6,10))+IF(D1210=1,2,IF(D1210=7,1,(IF(WEEKDAY(B1210)=1,2,IF(WEEKDAY(B1210)=7,1,0))))))</f>
        <v>2</v>
      </c>
      <c r="G1210" s="369">
        <f>VLOOKUP(C1210,METADATA!$J$5:$Q$29,IF(E1210="HI",2,IF(E1210="LO",6,10))+IF(D1210=1,2,IF(D1210=7,1,(IF(WEEKDAY(B1210)=1,2,IF(WEEKDAY(B1210)=7,1,0))))))</f>
        <v>2</v>
      </c>
      <c r="H1210" s="370">
        <v>13542.539978027344</v>
      </c>
      <c r="I1210" s="370">
        <v>1496.8074951171875</v>
      </c>
      <c r="M1210" s="371">
        <f t="shared" si="73"/>
        <v>13625.007219591034</v>
      </c>
      <c r="N1210" s="329">
        <f t="shared" si="74"/>
        <v>0</v>
      </c>
      <c r="T1210" s="331">
        <v>0</v>
      </c>
      <c r="U1210" s="328">
        <f>VLOOKUP(C1210,METADATA!$J$5:$Q$29,IF(E1210="HI",2,IF(E1210="LO",6,10))+IF(T1210=1,2,IF(D1210=7,1,(IF(WEEKDAY(B1210)=1,2,IF(WEEKDAY(B1210)=7,1,0))))))</f>
        <v>2</v>
      </c>
      <c r="V1210" s="328">
        <f>VLOOKUP(C1210,METADATA!$A$5:$H$29,IF(E1210="HI",2,IF(E1210="LO",6,10))+IF(T1210=1,2,IF(D1210=7,1,(IF(WEEKDAY(B1210)=1,2,IF(WEEKDAY(B1210)=7,1,0))))))</f>
        <v>2</v>
      </c>
    </row>
    <row r="1211" spans="2:22">
      <c r="B1211" s="318">
        <f t="shared" si="75"/>
        <v>46163</v>
      </c>
      <c r="C1211" s="312">
        <v>7</v>
      </c>
      <c r="D1211" s="368">
        <f>IFERROR((INDEX(METADATA!$T$2:$T$20,MATCH(B1211,METADATA!$S$2:$S$20,0))),0)</f>
        <v>0</v>
      </c>
      <c r="E1211" s="312" t="str">
        <f t="shared" si="72"/>
        <v>LO</v>
      </c>
      <c r="F1211" s="369">
        <f>VLOOKUP(C1211,METADATA!$A$5:$H$29,IF(E1211="HI",2,IF(E1211="LO",6,10))+IF(D1211=1,2,IF(D1211=7,1,(IF(WEEKDAY(B1211)=1,2,IF(WEEKDAY(B1211)=7,1,0))))))</f>
        <v>1</v>
      </c>
      <c r="G1211" s="369">
        <f>VLOOKUP(C1211,METADATA!$J$5:$Q$29,IF(E1211="HI",2,IF(E1211="LO",6,10))+IF(D1211=1,2,IF(D1211=7,1,(IF(WEEKDAY(B1211)=1,2,IF(WEEKDAY(B1211)=7,1,0))))))</f>
        <v>1</v>
      </c>
      <c r="H1211" s="370">
        <v>13573.809692382813</v>
      </c>
      <c r="I1211" s="370">
        <v>1592.449951171875</v>
      </c>
      <c r="M1211" s="371">
        <f t="shared" si="73"/>
        <v>13666.901858578369</v>
      </c>
      <c r="N1211" s="329">
        <f t="shared" si="74"/>
        <v>0</v>
      </c>
      <c r="T1211" s="331">
        <v>0</v>
      </c>
      <c r="U1211" s="328">
        <f>VLOOKUP(C1211,METADATA!$J$5:$Q$29,IF(E1211="HI",2,IF(E1211="LO",6,10))+IF(T1211=1,2,IF(D1211=7,1,(IF(WEEKDAY(B1211)=1,2,IF(WEEKDAY(B1211)=7,1,0))))))</f>
        <v>1</v>
      </c>
      <c r="V1211" s="328">
        <f>VLOOKUP(C1211,METADATA!$A$5:$H$29,IF(E1211="HI",2,IF(E1211="LO",6,10))+IF(T1211=1,2,IF(D1211=7,1,(IF(WEEKDAY(B1211)=1,2,IF(WEEKDAY(B1211)=7,1,0))))))</f>
        <v>1</v>
      </c>
    </row>
    <row r="1212" spans="2:22">
      <c r="B1212" s="318">
        <f t="shared" si="75"/>
        <v>46163</v>
      </c>
      <c r="C1212" s="312">
        <v>8</v>
      </c>
      <c r="D1212" s="368">
        <f>IFERROR((INDEX(METADATA!$T$2:$T$20,MATCH(B1212,METADATA!$S$2:$S$20,0))),0)</f>
        <v>0</v>
      </c>
      <c r="E1212" s="312" t="str">
        <f t="shared" si="72"/>
        <v>LO</v>
      </c>
      <c r="F1212" s="369">
        <f>VLOOKUP(C1212,METADATA!$A$5:$H$29,IF(E1212="HI",2,IF(E1212="LO",6,10))+IF(D1212=1,2,IF(D1212=7,1,(IF(WEEKDAY(B1212)=1,2,IF(WEEKDAY(B1212)=7,1,0))))))</f>
        <v>1</v>
      </c>
      <c r="G1212" s="369">
        <f>VLOOKUP(C1212,METADATA!$J$5:$Q$29,IF(E1212="HI",2,IF(E1212="LO",6,10))+IF(D1212=1,2,IF(D1212=7,1,(IF(WEEKDAY(B1212)=1,2,IF(WEEKDAY(B1212)=7,1,0))))))</f>
        <v>1</v>
      </c>
      <c r="H1212" s="370">
        <v>13609.630065917969</v>
      </c>
      <c r="I1212" s="370">
        <v>1911.5760173797607</v>
      </c>
      <c r="M1212" s="371">
        <f t="shared" si="73"/>
        <v>13743.222089501422</v>
      </c>
      <c r="N1212" s="329">
        <f t="shared" si="74"/>
        <v>0</v>
      </c>
      <c r="T1212" s="331">
        <v>0</v>
      </c>
      <c r="U1212" s="328">
        <f>VLOOKUP(C1212,METADATA!$J$5:$Q$29,IF(E1212="HI",2,IF(E1212="LO",6,10))+IF(T1212=1,2,IF(D1212=7,1,(IF(WEEKDAY(B1212)=1,2,IF(WEEKDAY(B1212)=7,1,0))))))</f>
        <v>1</v>
      </c>
      <c r="V1212" s="328">
        <f>VLOOKUP(C1212,METADATA!$A$5:$H$29,IF(E1212="HI",2,IF(E1212="LO",6,10))+IF(T1212=1,2,IF(D1212=7,1,(IF(WEEKDAY(B1212)=1,2,IF(WEEKDAY(B1212)=7,1,0))))))</f>
        <v>1</v>
      </c>
    </row>
    <row r="1213" spans="2:22">
      <c r="B1213" s="318">
        <f t="shared" si="75"/>
        <v>46163</v>
      </c>
      <c r="C1213" s="312">
        <v>9</v>
      </c>
      <c r="D1213" s="368">
        <f>IFERROR((INDEX(METADATA!$T$2:$T$20,MATCH(B1213,METADATA!$S$2:$S$20,0))),0)</f>
        <v>0</v>
      </c>
      <c r="E1213" s="312" t="str">
        <f t="shared" si="72"/>
        <v>LO</v>
      </c>
      <c r="F1213" s="369">
        <f>VLOOKUP(C1213,METADATA!$A$5:$H$29,IF(E1213="HI",2,IF(E1213="LO",6,10))+IF(D1213=1,2,IF(D1213=7,1,(IF(WEEKDAY(B1213)=1,2,IF(WEEKDAY(B1213)=7,1,0))))))</f>
        <v>2</v>
      </c>
      <c r="G1213" s="369">
        <f>VLOOKUP(C1213,METADATA!$J$5:$Q$29,IF(E1213="HI",2,IF(E1213="LO",6,10))+IF(D1213=1,2,IF(D1213=7,1,(IF(WEEKDAY(B1213)=1,2,IF(WEEKDAY(B1213)=7,1,0))))))</f>
        <v>2</v>
      </c>
      <c r="H1213" s="370">
        <v>11488.47021484375</v>
      </c>
      <c r="I1213" s="370">
        <v>1150.775025844574</v>
      </c>
      <c r="M1213" s="371">
        <f t="shared" si="73"/>
        <v>11545.961676597562</v>
      </c>
      <c r="N1213" s="329">
        <f t="shared" si="74"/>
        <v>0</v>
      </c>
      <c r="T1213" s="331">
        <v>0</v>
      </c>
      <c r="U1213" s="328">
        <f>VLOOKUP(C1213,METADATA!$J$5:$Q$29,IF(E1213="HI",2,IF(E1213="LO",6,10))+IF(T1213=1,2,IF(D1213=7,1,(IF(WEEKDAY(B1213)=1,2,IF(WEEKDAY(B1213)=7,1,0))))))</f>
        <v>2</v>
      </c>
      <c r="V1213" s="328">
        <f>VLOOKUP(C1213,METADATA!$A$5:$H$29,IF(E1213="HI",2,IF(E1213="LO",6,10))+IF(T1213=1,2,IF(D1213=7,1,(IF(WEEKDAY(B1213)=1,2,IF(WEEKDAY(B1213)=7,1,0))))))</f>
        <v>2</v>
      </c>
    </row>
    <row r="1214" spans="2:22">
      <c r="B1214" s="318">
        <f t="shared" si="75"/>
        <v>46163</v>
      </c>
      <c r="C1214" s="312">
        <v>10</v>
      </c>
      <c r="D1214" s="368">
        <f>IFERROR((INDEX(METADATA!$T$2:$T$20,MATCH(B1214,METADATA!$S$2:$S$20,0))),0)</f>
        <v>0</v>
      </c>
      <c r="E1214" s="312" t="str">
        <f t="shared" si="72"/>
        <v>LO</v>
      </c>
      <c r="F1214" s="369">
        <f>VLOOKUP(C1214,METADATA!$A$5:$H$29,IF(E1214="HI",2,IF(E1214="LO",6,10))+IF(D1214=1,2,IF(D1214=7,1,(IF(WEEKDAY(B1214)=1,2,IF(WEEKDAY(B1214)=7,1,0))))))</f>
        <v>2</v>
      </c>
      <c r="G1214" s="369">
        <f>VLOOKUP(C1214,METADATA!$J$5:$Q$29,IF(E1214="HI",2,IF(E1214="LO",6,10))+IF(D1214=1,2,IF(D1214=7,1,(IF(WEEKDAY(B1214)=1,2,IF(WEEKDAY(B1214)=7,1,0))))))</f>
        <v>2</v>
      </c>
      <c r="H1214" s="370">
        <v>8067.3900146484375</v>
      </c>
      <c r="I1214" s="370">
        <v>235.58199548721313</v>
      </c>
      <c r="M1214" s="371">
        <f t="shared" si="73"/>
        <v>8070.828986234751</v>
      </c>
      <c r="N1214" s="329">
        <f t="shared" si="74"/>
        <v>0</v>
      </c>
      <c r="T1214" s="331">
        <v>0</v>
      </c>
      <c r="U1214" s="328">
        <f>VLOOKUP(C1214,METADATA!$J$5:$Q$29,IF(E1214="HI",2,IF(E1214="LO",6,10))+IF(T1214=1,2,IF(D1214=7,1,(IF(WEEKDAY(B1214)=1,2,IF(WEEKDAY(B1214)=7,1,0))))))</f>
        <v>2</v>
      </c>
      <c r="V1214" s="328">
        <f>VLOOKUP(C1214,METADATA!$A$5:$H$29,IF(E1214="HI",2,IF(E1214="LO",6,10))+IF(T1214=1,2,IF(D1214=7,1,(IF(WEEKDAY(B1214)=1,2,IF(WEEKDAY(B1214)=7,1,0))))))</f>
        <v>2</v>
      </c>
    </row>
    <row r="1215" spans="2:22">
      <c r="B1215" s="318">
        <f t="shared" si="75"/>
        <v>46163</v>
      </c>
      <c r="C1215" s="312">
        <v>11</v>
      </c>
      <c r="D1215" s="368">
        <f>IFERROR((INDEX(METADATA!$T$2:$T$20,MATCH(B1215,METADATA!$S$2:$S$20,0))),0)</f>
        <v>0</v>
      </c>
      <c r="E1215" s="312" t="str">
        <f t="shared" si="72"/>
        <v>LO</v>
      </c>
      <c r="F1215" s="369">
        <f>VLOOKUP(C1215,METADATA!$A$5:$H$29,IF(E1215="HI",2,IF(E1215="LO",6,10))+IF(D1215=1,2,IF(D1215=7,1,(IF(WEEKDAY(B1215)=1,2,IF(WEEKDAY(B1215)=7,1,0))))))</f>
        <v>2</v>
      </c>
      <c r="G1215" s="369">
        <f>VLOOKUP(C1215,METADATA!$J$5:$Q$29,IF(E1215="HI",2,IF(E1215="LO",6,10))+IF(D1215=1,2,IF(D1215=7,1,(IF(WEEKDAY(B1215)=1,2,IF(WEEKDAY(B1215)=7,1,0))))))</f>
        <v>2</v>
      </c>
      <c r="H1215" s="370">
        <v>5430.239990234375</v>
      </c>
      <c r="I1215" s="370">
        <v>4.0000001899898052E-3</v>
      </c>
      <c r="M1215" s="371">
        <f t="shared" si="73"/>
        <v>5430.2399902358484</v>
      </c>
      <c r="N1215" s="329">
        <f t="shared" si="74"/>
        <v>0</v>
      </c>
      <c r="T1215" s="331">
        <v>0</v>
      </c>
      <c r="U1215" s="328">
        <f>VLOOKUP(C1215,METADATA!$J$5:$Q$29,IF(E1215="HI",2,IF(E1215="LO",6,10))+IF(T1215=1,2,IF(D1215=7,1,(IF(WEEKDAY(B1215)=1,2,IF(WEEKDAY(B1215)=7,1,0))))))</f>
        <v>2</v>
      </c>
      <c r="V1215" s="328">
        <f>VLOOKUP(C1215,METADATA!$A$5:$H$29,IF(E1215="HI",2,IF(E1215="LO",6,10))+IF(T1215=1,2,IF(D1215=7,1,(IF(WEEKDAY(B1215)=1,2,IF(WEEKDAY(B1215)=7,1,0))))))</f>
        <v>2</v>
      </c>
    </row>
    <row r="1216" spans="2:22">
      <c r="B1216" s="318">
        <f t="shared" si="75"/>
        <v>46163</v>
      </c>
      <c r="C1216" s="312">
        <v>12</v>
      </c>
      <c r="D1216" s="368">
        <f>IFERROR((INDEX(METADATA!$T$2:$T$20,MATCH(B1216,METADATA!$S$2:$S$20,0))),0)</f>
        <v>0</v>
      </c>
      <c r="E1216" s="312" t="str">
        <f t="shared" si="72"/>
        <v>LO</v>
      </c>
      <c r="F1216" s="369">
        <f>VLOOKUP(C1216,METADATA!$A$5:$H$29,IF(E1216="HI",2,IF(E1216="LO",6,10))+IF(D1216=1,2,IF(D1216=7,1,(IF(WEEKDAY(B1216)=1,2,IF(WEEKDAY(B1216)=7,1,0))))))</f>
        <v>2</v>
      </c>
      <c r="G1216" s="369">
        <f>VLOOKUP(C1216,METADATA!$J$5:$Q$29,IF(E1216="HI",2,IF(E1216="LO",6,10))+IF(D1216=1,2,IF(D1216=7,1,(IF(WEEKDAY(B1216)=1,2,IF(WEEKDAY(B1216)=7,1,0))))))</f>
        <v>2</v>
      </c>
      <c r="H1216" s="370">
        <v>5308.6850891113281</v>
      </c>
      <c r="I1216" s="370">
        <v>0</v>
      </c>
      <c r="M1216" s="371">
        <f t="shared" si="73"/>
        <v>5308.6850891113281</v>
      </c>
      <c r="N1216" s="329">
        <f t="shared" si="74"/>
        <v>0</v>
      </c>
      <c r="T1216" s="331">
        <v>0</v>
      </c>
      <c r="U1216" s="328">
        <f>VLOOKUP(C1216,METADATA!$J$5:$Q$29,IF(E1216="HI",2,IF(E1216="LO",6,10))+IF(T1216=1,2,IF(D1216=7,1,(IF(WEEKDAY(B1216)=1,2,IF(WEEKDAY(B1216)=7,1,0))))))</f>
        <v>2</v>
      </c>
      <c r="V1216" s="328">
        <f>VLOOKUP(C1216,METADATA!$A$5:$H$29,IF(E1216="HI",2,IF(E1216="LO",6,10))+IF(T1216=1,2,IF(D1216=7,1,(IF(WEEKDAY(B1216)=1,2,IF(WEEKDAY(B1216)=7,1,0))))))</f>
        <v>2</v>
      </c>
    </row>
    <row r="1217" spans="2:22">
      <c r="B1217" s="318">
        <f t="shared" si="75"/>
        <v>46163</v>
      </c>
      <c r="C1217" s="312">
        <v>13</v>
      </c>
      <c r="D1217" s="368">
        <f>IFERROR((INDEX(METADATA!$T$2:$T$20,MATCH(B1217,METADATA!$S$2:$S$20,0))),0)</f>
        <v>0</v>
      </c>
      <c r="E1217" s="312" t="str">
        <f t="shared" si="72"/>
        <v>LO</v>
      </c>
      <c r="F1217" s="369">
        <f>VLOOKUP(C1217,METADATA!$A$5:$H$29,IF(E1217="HI",2,IF(E1217="LO",6,10))+IF(D1217=1,2,IF(D1217=7,1,(IF(WEEKDAY(B1217)=1,2,IF(WEEKDAY(B1217)=7,1,0))))))</f>
        <v>2</v>
      </c>
      <c r="G1217" s="369">
        <f>VLOOKUP(C1217,METADATA!$J$5:$Q$29,IF(E1217="HI",2,IF(E1217="LO",6,10))+IF(D1217=1,2,IF(D1217=7,1,(IF(WEEKDAY(B1217)=1,2,IF(WEEKDAY(B1217)=7,1,0))))))</f>
        <v>2</v>
      </c>
      <c r="H1217" s="370">
        <v>5130.0399780273438</v>
      </c>
      <c r="I1217" s="370">
        <v>0</v>
      </c>
      <c r="M1217" s="371">
        <f t="shared" si="73"/>
        <v>5130.0399780273438</v>
      </c>
      <c r="N1217" s="329">
        <f t="shared" si="74"/>
        <v>0</v>
      </c>
      <c r="T1217" s="331">
        <v>0</v>
      </c>
      <c r="U1217" s="328">
        <f>VLOOKUP(C1217,METADATA!$J$5:$Q$29,IF(E1217="HI",2,IF(E1217="LO",6,10))+IF(T1217=1,2,IF(D1217=7,1,(IF(WEEKDAY(B1217)=1,2,IF(WEEKDAY(B1217)=7,1,0))))))</f>
        <v>2</v>
      </c>
      <c r="V1217" s="328">
        <f>VLOOKUP(C1217,METADATA!$A$5:$H$29,IF(E1217="HI",2,IF(E1217="LO",6,10))+IF(T1217=1,2,IF(D1217=7,1,(IF(WEEKDAY(B1217)=1,2,IF(WEEKDAY(B1217)=7,1,0))))))</f>
        <v>2</v>
      </c>
    </row>
    <row r="1218" spans="2:22">
      <c r="B1218" s="318">
        <f t="shared" si="75"/>
        <v>46163</v>
      </c>
      <c r="C1218" s="312">
        <v>14</v>
      </c>
      <c r="D1218" s="368">
        <f>IFERROR((INDEX(METADATA!$T$2:$T$20,MATCH(B1218,METADATA!$S$2:$S$20,0))),0)</f>
        <v>0</v>
      </c>
      <c r="E1218" s="312" t="str">
        <f t="shared" si="72"/>
        <v>LO</v>
      </c>
      <c r="F1218" s="369">
        <f>VLOOKUP(C1218,METADATA!$A$5:$H$29,IF(E1218="HI",2,IF(E1218="LO",6,10))+IF(D1218=1,2,IF(D1218=7,1,(IF(WEEKDAY(B1218)=1,2,IF(WEEKDAY(B1218)=7,1,0))))))</f>
        <v>2</v>
      </c>
      <c r="G1218" s="369">
        <f>VLOOKUP(C1218,METADATA!$J$5:$Q$29,IF(E1218="HI",2,IF(E1218="LO",6,10))+IF(D1218=1,2,IF(D1218=7,1,(IF(WEEKDAY(B1218)=1,2,IF(WEEKDAY(B1218)=7,1,0))))))</f>
        <v>2</v>
      </c>
      <c r="H1218" s="370">
        <v>4857.3650817871094</v>
      </c>
      <c r="I1218" s="370">
        <v>0</v>
      </c>
      <c r="M1218" s="371">
        <f t="shared" si="73"/>
        <v>4857.3650817871094</v>
      </c>
      <c r="N1218" s="329">
        <f t="shared" si="74"/>
        <v>0</v>
      </c>
      <c r="T1218" s="331">
        <v>0</v>
      </c>
      <c r="U1218" s="328">
        <f>VLOOKUP(C1218,METADATA!$J$5:$Q$29,IF(E1218="HI",2,IF(E1218="LO",6,10))+IF(T1218=1,2,IF(D1218=7,1,(IF(WEEKDAY(B1218)=1,2,IF(WEEKDAY(B1218)=7,1,0))))))</f>
        <v>2</v>
      </c>
      <c r="V1218" s="328">
        <f>VLOOKUP(C1218,METADATA!$A$5:$H$29,IF(E1218="HI",2,IF(E1218="LO",6,10))+IF(T1218=1,2,IF(D1218=7,1,(IF(WEEKDAY(B1218)=1,2,IF(WEEKDAY(B1218)=7,1,0))))))</f>
        <v>2</v>
      </c>
    </row>
    <row r="1219" spans="2:22">
      <c r="B1219" s="318">
        <f t="shared" si="75"/>
        <v>46163</v>
      </c>
      <c r="C1219" s="312">
        <v>15</v>
      </c>
      <c r="D1219" s="368">
        <f>IFERROR((INDEX(METADATA!$T$2:$T$20,MATCH(B1219,METADATA!$S$2:$S$20,0))),0)</f>
        <v>0</v>
      </c>
      <c r="E1219" s="312" t="str">
        <f t="shared" si="72"/>
        <v>LO</v>
      </c>
      <c r="F1219" s="369">
        <f>VLOOKUP(C1219,METADATA!$A$5:$H$29,IF(E1219="HI",2,IF(E1219="LO",6,10))+IF(D1219=1,2,IF(D1219=7,1,(IF(WEEKDAY(B1219)=1,2,IF(WEEKDAY(B1219)=7,1,0))))))</f>
        <v>2</v>
      </c>
      <c r="G1219" s="369">
        <f>VLOOKUP(C1219,METADATA!$J$5:$Q$29,IF(E1219="HI",2,IF(E1219="LO",6,10))+IF(D1219=1,2,IF(D1219=7,1,(IF(WEEKDAY(B1219)=1,2,IF(WEEKDAY(B1219)=7,1,0))))))</f>
        <v>2</v>
      </c>
      <c r="H1219" s="370">
        <v>4822.3975830078125</v>
      </c>
      <c r="I1219" s="370">
        <v>0</v>
      </c>
      <c r="M1219" s="371">
        <f t="shared" si="73"/>
        <v>4822.3975830078125</v>
      </c>
      <c r="N1219" s="329">
        <f t="shared" si="74"/>
        <v>0</v>
      </c>
      <c r="T1219" s="331">
        <v>0</v>
      </c>
      <c r="U1219" s="328">
        <f>VLOOKUP(C1219,METADATA!$J$5:$Q$29,IF(E1219="HI",2,IF(E1219="LO",6,10))+IF(T1219=1,2,IF(D1219=7,1,(IF(WEEKDAY(B1219)=1,2,IF(WEEKDAY(B1219)=7,1,0))))))</f>
        <v>2</v>
      </c>
      <c r="V1219" s="328">
        <f>VLOOKUP(C1219,METADATA!$A$5:$H$29,IF(E1219="HI",2,IF(E1219="LO",6,10))+IF(T1219=1,2,IF(D1219=7,1,(IF(WEEKDAY(B1219)=1,2,IF(WEEKDAY(B1219)=7,1,0))))))</f>
        <v>2</v>
      </c>
    </row>
    <row r="1220" spans="2:22">
      <c r="B1220" s="318">
        <f t="shared" si="75"/>
        <v>46163</v>
      </c>
      <c r="C1220" s="312">
        <v>16</v>
      </c>
      <c r="D1220" s="368">
        <f>IFERROR((INDEX(METADATA!$T$2:$T$20,MATCH(B1220,METADATA!$S$2:$S$20,0))),0)</f>
        <v>0</v>
      </c>
      <c r="E1220" s="312" t="str">
        <f t="shared" ref="E1220:E1283" si="76">IF(B1220="","",IF(AND(MONTH(B1220)&gt;=MONTH($Z$9),MONTH(B1220)&lt;=MONTH($Z$11)),"HI","LO"))</f>
        <v>LO</v>
      </c>
      <c r="F1220" s="369">
        <f>VLOOKUP(C1220,METADATA!$A$5:$H$29,IF(E1220="HI",2,IF(E1220="LO",6,10))+IF(D1220=1,2,IF(D1220=7,1,(IF(WEEKDAY(B1220)=1,2,IF(WEEKDAY(B1220)=7,1,0))))))</f>
        <v>2</v>
      </c>
      <c r="G1220" s="369">
        <f>VLOOKUP(C1220,METADATA!$J$5:$Q$29,IF(E1220="HI",2,IF(E1220="LO",6,10))+IF(D1220=1,2,IF(D1220=7,1,(IF(WEEKDAY(B1220)=1,2,IF(WEEKDAY(B1220)=7,1,0))))))</f>
        <v>2</v>
      </c>
      <c r="H1220" s="370">
        <v>5813.3575744628906</v>
      </c>
      <c r="I1220" s="370">
        <v>80.999996185302734</v>
      </c>
      <c r="M1220" s="371">
        <f t="shared" ref="M1220:M1283" si="77">SQRT(H1220^2+I1220^2)</f>
        <v>5813.9218508634158</v>
      </c>
      <c r="N1220" s="329">
        <f t="shared" ref="N1220:N1283" si="78">IF(H1220=0,0,(IF(I1220-(0.3*H1220)&lt;0,0,(I1220-(0.3*H1220)))))</f>
        <v>0</v>
      </c>
      <c r="T1220" s="331">
        <v>0</v>
      </c>
      <c r="U1220" s="328">
        <f>VLOOKUP(C1220,METADATA!$J$5:$Q$29,IF(E1220="HI",2,IF(E1220="LO",6,10))+IF(T1220=1,2,IF(D1220=7,1,(IF(WEEKDAY(B1220)=1,2,IF(WEEKDAY(B1220)=7,1,0))))))</f>
        <v>2</v>
      </c>
      <c r="V1220" s="328">
        <f>VLOOKUP(C1220,METADATA!$A$5:$H$29,IF(E1220="HI",2,IF(E1220="LO",6,10))+IF(T1220=1,2,IF(D1220=7,1,(IF(WEEKDAY(B1220)=1,2,IF(WEEKDAY(B1220)=7,1,0))))))</f>
        <v>2</v>
      </c>
    </row>
    <row r="1221" spans="2:22">
      <c r="B1221" s="318">
        <f t="shared" si="75"/>
        <v>46163</v>
      </c>
      <c r="C1221" s="312">
        <v>17</v>
      </c>
      <c r="D1221" s="368">
        <f>IFERROR((INDEX(METADATA!$T$2:$T$20,MATCH(B1221,METADATA!$S$2:$S$20,0))),0)</f>
        <v>0</v>
      </c>
      <c r="E1221" s="312" t="str">
        <f t="shared" si="76"/>
        <v>LO</v>
      </c>
      <c r="F1221" s="369">
        <f>VLOOKUP(C1221,METADATA!$A$5:$H$29,IF(E1221="HI",2,IF(E1221="LO",6,10))+IF(D1221=1,2,IF(D1221=7,1,(IF(WEEKDAY(B1221)=1,2,IF(WEEKDAY(B1221)=7,1,0))))))</f>
        <v>2</v>
      </c>
      <c r="G1221" s="369">
        <f>VLOOKUP(C1221,METADATA!$J$5:$Q$29,IF(E1221="HI",2,IF(E1221="LO",6,10))+IF(D1221=1,2,IF(D1221=7,1,(IF(WEEKDAY(B1221)=1,2,IF(WEEKDAY(B1221)=7,1,0))))))</f>
        <v>2</v>
      </c>
      <c r="H1221" s="370">
        <v>11374.132476806641</v>
      </c>
      <c r="I1221" s="370">
        <v>1469.2080268859863</v>
      </c>
      <c r="M1221" s="371">
        <f t="shared" si="77"/>
        <v>11468.629465904538</v>
      </c>
      <c r="N1221" s="329">
        <f t="shared" si="78"/>
        <v>0</v>
      </c>
      <c r="T1221" s="331">
        <v>0</v>
      </c>
      <c r="U1221" s="328">
        <f>VLOOKUP(C1221,METADATA!$J$5:$Q$29,IF(E1221="HI",2,IF(E1221="LO",6,10))+IF(T1221=1,2,IF(D1221=7,1,(IF(WEEKDAY(B1221)=1,2,IF(WEEKDAY(B1221)=7,1,0))))))</f>
        <v>2</v>
      </c>
      <c r="V1221" s="328">
        <f>VLOOKUP(C1221,METADATA!$A$5:$H$29,IF(E1221="HI",2,IF(E1221="LO",6,10))+IF(T1221=1,2,IF(D1221=7,1,(IF(WEEKDAY(B1221)=1,2,IF(WEEKDAY(B1221)=7,1,0))))))</f>
        <v>2</v>
      </c>
    </row>
    <row r="1222" spans="2:22">
      <c r="B1222" s="318">
        <f t="shared" si="75"/>
        <v>46163</v>
      </c>
      <c r="C1222" s="312">
        <v>18</v>
      </c>
      <c r="D1222" s="368">
        <f>IFERROR((INDEX(METADATA!$T$2:$T$20,MATCH(B1222,METADATA!$S$2:$S$20,0))),0)</f>
        <v>0</v>
      </c>
      <c r="E1222" s="312" t="str">
        <f t="shared" si="76"/>
        <v>LO</v>
      </c>
      <c r="F1222" s="369">
        <f>VLOOKUP(C1222,METADATA!$A$5:$H$29,IF(E1222="HI",2,IF(E1222="LO",6,10))+IF(D1222=1,2,IF(D1222=7,1,(IF(WEEKDAY(B1222)=1,2,IF(WEEKDAY(B1222)=7,1,0))))))</f>
        <v>1</v>
      </c>
      <c r="G1222" s="369">
        <f>VLOOKUP(C1222,METADATA!$J$5:$Q$29,IF(E1222="HI",2,IF(E1222="LO",6,10))+IF(D1222=1,2,IF(D1222=7,1,(IF(WEEKDAY(B1222)=1,2,IF(WEEKDAY(B1222)=7,1,0))))))</f>
        <v>1</v>
      </c>
      <c r="H1222" s="370">
        <v>10205.379760742188</v>
      </c>
      <c r="I1222" s="370">
        <v>768.73999664187431</v>
      </c>
      <c r="M1222" s="371">
        <f t="shared" si="77"/>
        <v>10234.292219953621</v>
      </c>
      <c r="N1222" s="329">
        <f t="shared" si="78"/>
        <v>0</v>
      </c>
      <c r="T1222" s="331">
        <v>0</v>
      </c>
      <c r="U1222" s="328">
        <f>VLOOKUP(C1222,METADATA!$J$5:$Q$29,IF(E1222="HI",2,IF(E1222="LO",6,10))+IF(T1222=1,2,IF(D1222=7,1,(IF(WEEKDAY(B1222)=1,2,IF(WEEKDAY(B1222)=7,1,0))))))</f>
        <v>1</v>
      </c>
      <c r="V1222" s="328">
        <f>VLOOKUP(C1222,METADATA!$A$5:$H$29,IF(E1222="HI",2,IF(E1222="LO",6,10))+IF(T1222=1,2,IF(D1222=7,1,(IF(WEEKDAY(B1222)=1,2,IF(WEEKDAY(B1222)=7,1,0))))))</f>
        <v>1</v>
      </c>
    </row>
    <row r="1223" spans="2:22">
      <c r="B1223" s="318">
        <f t="shared" si="75"/>
        <v>46163</v>
      </c>
      <c r="C1223" s="312">
        <v>19</v>
      </c>
      <c r="D1223" s="368">
        <f>IFERROR((INDEX(METADATA!$T$2:$T$20,MATCH(B1223,METADATA!$S$2:$S$20,0))),0)</f>
        <v>0</v>
      </c>
      <c r="E1223" s="312" t="str">
        <f t="shared" si="76"/>
        <v>LO</v>
      </c>
      <c r="F1223" s="369">
        <f>VLOOKUP(C1223,METADATA!$A$5:$H$29,IF(E1223="HI",2,IF(E1223="LO",6,10))+IF(D1223=1,2,IF(D1223=7,1,(IF(WEEKDAY(B1223)=1,2,IF(WEEKDAY(B1223)=7,1,0))))))</f>
        <v>1</v>
      </c>
      <c r="G1223" s="369">
        <f>VLOOKUP(C1223,METADATA!$J$5:$Q$29,IF(E1223="HI",2,IF(E1223="LO",6,10))+IF(D1223=1,2,IF(D1223=7,1,(IF(WEEKDAY(B1223)=1,2,IF(WEEKDAY(B1223)=7,1,0))))))</f>
        <v>1</v>
      </c>
      <c r="H1223" s="370">
        <v>13436.009765625</v>
      </c>
      <c r="I1223" s="370">
        <v>1795.2479547858238</v>
      </c>
      <c r="M1223" s="371">
        <f t="shared" si="77"/>
        <v>13555.414919549052</v>
      </c>
      <c r="N1223" s="329">
        <f t="shared" si="78"/>
        <v>0</v>
      </c>
      <c r="T1223" s="331">
        <v>0</v>
      </c>
      <c r="U1223" s="328">
        <f>VLOOKUP(C1223,METADATA!$J$5:$Q$29,IF(E1223="HI",2,IF(E1223="LO",6,10))+IF(T1223=1,2,IF(D1223=7,1,(IF(WEEKDAY(B1223)=1,2,IF(WEEKDAY(B1223)=7,1,0))))))</f>
        <v>1</v>
      </c>
      <c r="V1223" s="328">
        <f>VLOOKUP(C1223,METADATA!$A$5:$H$29,IF(E1223="HI",2,IF(E1223="LO",6,10))+IF(T1223=1,2,IF(D1223=7,1,(IF(WEEKDAY(B1223)=1,2,IF(WEEKDAY(B1223)=7,1,0))))))</f>
        <v>1</v>
      </c>
    </row>
    <row r="1224" spans="2:22">
      <c r="B1224" s="318">
        <f t="shared" si="75"/>
        <v>46163</v>
      </c>
      <c r="C1224" s="312">
        <v>20</v>
      </c>
      <c r="D1224" s="368">
        <f>IFERROR((INDEX(METADATA!$T$2:$T$20,MATCH(B1224,METADATA!$S$2:$S$20,0))),0)</f>
        <v>0</v>
      </c>
      <c r="E1224" s="312" t="str">
        <f t="shared" si="76"/>
        <v>LO</v>
      </c>
      <c r="F1224" s="369">
        <f>VLOOKUP(C1224,METADATA!$A$5:$H$29,IF(E1224="HI",2,IF(E1224="LO",6,10))+IF(D1224=1,2,IF(D1224=7,1,(IF(WEEKDAY(B1224)=1,2,IF(WEEKDAY(B1224)=7,1,0))))))</f>
        <v>1</v>
      </c>
      <c r="G1224" s="369">
        <f>VLOOKUP(C1224,METADATA!$J$5:$Q$29,IF(E1224="HI",2,IF(E1224="LO",6,10))+IF(D1224=1,2,IF(D1224=7,1,(IF(WEEKDAY(B1224)=1,2,IF(WEEKDAY(B1224)=7,1,0))))))</f>
        <v>1</v>
      </c>
      <c r="H1224" s="370">
        <v>13667.619689941406</v>
      </c>
      <c r="I1224" s="370">
        <v>1770.7469573020935</v>
      </c>
      <c r="M1224" s="371">
        <f t="shared" si="77"/>
        <v>13781.84939605961</v>
      </c>
      <c r="N1224" s="329">
        <f t="shared" si="78"/>
        <v>0</v>
      </c>
      <c r="T1224" s="331">
        <v>0</v>
      </c>
      <c r="U1224" s="328">
        <f>VLOOKUP(C1224,METADATA!$J$5:$Q$29,IF(E1224="HI",2,IF(E1224="LO",6,10))+IF(T1224=1,2,IF(D1224=7,1,(IF(WEEKDAY(B1224)=1,2,IF(WEEKDAY(B1224)=7,1,0))))))</f>
        <v>1</v>
      </c>
      <c r="V1224" s="328">
        <f>VLOOKUP(C1224,METADATA!$A$5:$H$29,IF(E1224="HI",2,IF(E1224="LO",6,10))+IF(T1224=1,2,IF(D1224=7,1,(IF(WEEKDAY(B1224)=1,2,IF(WEEKDAY(B1224)=7,1,0))))))</f>
        <v>1</v>
      </c>
    </row>
    <row r="1225" spans="2:22">
      <c r="B1225" s="318">
        <f t="shared" si="75"/>
        <v>46163</v>
      </c>
      <c r="C1225" s="312">
        <v>21</v>
      </c>
      <c r="D1225" s="368">
        <f>IFERROR((INDEX(METADATA!$T$2:$T$20,MATCH(B1225,METADATA!$S$2:$S$20,0))),0)</f>
        <v>0</v>
      </c>
      <c r="E1225" s="312" t="str">
        <f t="shared" si="76"/>
        <v>LO</v>
      </c>
      <c r="F1225" s="369">
        <f>VLOOKUP(C1225,METADATA!$A$5:$H$29,IF(E1225="HI",2,IF(E1225="LO",6,10))+IF(D1225=1,2,IF(D1225=7,1,(IF(WEEKDAY(B1225)=1,2,IF(WEEKDAY(B1225)=7,1,0))))))</f>
        <v>2</v>
      </c>
      <c r="G1225" s="369">
        <f>VLOOKUP(C1225,METADATA!$J$5:$Q$29,IF(E1225="HI",2,IF(E1225="LO",6,10))+IF(D1225=1,2,IF(D1225=7,1,(IF(WEEKDAY(B1225)=1,2,IF(WEEKDAY(B1225)=7,1,0))))))</f>
        <v>2</v>
      </c>
      <c r="H1225" s="370">
        <v>13645.054809570313</v>
      </c>
      <c r="I1225" s="370">
        <v>1701.862991809845</v>
      </c>
      <c r="M1225" s="371">
        <f t="shared" si="77"/>
        <v>13750.776647123239</v>
      </c>
      <c r="N1225" s="329">
        <f t="shared" si="78"/>
        <v>0</v>
      </c>
      <c r="T1225" s="331">
        <v>0</v>
      </c>
      <c r="U1225" s="328">
        <f>VLOOKUP(C1225,METADATA!$J$5:$Q$29,IF(E1225="HI",2,IF(E1225="LO",6,10))+IF(T1225=1,2,IF(D1225=7,1,(IF(WEEKDAY(B1225)=1,2,IF(WEEKDAY(B1225)=7,1,0))))))</f>
        <v>2</v>
      </c>
      <c r="V1225" s="328">
        <f>VLOOKUP(C1225,METADATA!$A$5:$H$29,IF(E1225="HI",2,IF(E1225="LO",6,10))+IF(T1225=1,2,IF(D1225=7,1,(IF(WEEKDAY(B1225)=1,2,IF(WEEKDAY(B1225)=7,1,0))))))</f>
        <v>2</v>
      </c>
    </row>
    <row r="1226" spans="2:22">
      <c r="B1226" s="318">
        <f t="shared" si="75"/>
        <v>46163</v>
      </c>
      <c r="C1226" s="312">
        <v>22</v>
      </c>
      <c r="D1226" s="368">
        <f>IFERROR((INDEX(METADATA!$T$2:$T$20,MATCH(B1226,METADATA!$S$2:$S$20,0))),0)</f>
        <v>0</v>
      </c>
      <c r="E1226" s="312" t="str">
        <f t="shared" si="76"/>
        <v>LO</v>
      </c>
      <c r="F1226" s="369">
        <f>VLOOKUP(C1226,METADATA!$A$5:$H$29,IF(E1226="HI",2,IF(E1226="LO",6,10))+IF(D1226=1,2,IF(D1226=7,1,(IF(WEEKDAY(B1226)=1,2,IF(WEEKDAY(B1226)=7,1,0))))))</f>
        <v>3</v>
      </c>
      <c r="G1226" s="369">
        <f>VLOOKUP(C1226,METADATA!$J$5:$Q$29,IF(E1226="HI",2,IF(E1226="LO",6,10))+IF(D1226=1,2,IF(D1226=7,1,(IF(WEEKDAY(B1226)=1,2,IF(WEEKDAY(B1226)=7,1,0))))))</f>
        <v>3</v>
      </c>
      <c r="H1226" s="370">
        <v>13588.809692382813</v>
      </c>
      <c r="I1226" s="370">
        <v>1837.1039752960205</v>
      </c>
      <c r="M1226" s="371">
        <f t="shared" si="77"/>
        <v>13712.428664239078</v>
      </c>
      <c r="N1226" s="329">
        <f t="shared" si="78"/>
        <v>0</v>
      </c>
      <c r="T1226" s="331">
        <v>0</v>
      </c>
      <c r="U1226" s="328">
        <f>VLOOKUP(C1226,METADATA!$J$5:$Q$29,IF(E1226="HI",2,IF(E1226="LO",6,10))+IF(T1226=1,2,IF(D1226=7,1,(IF(WEEKDAY(B1226)=1,2,IF(WEEKDAY(B1226)=7,1,0))))))</f>
        <v>3</v>
      </c>
      <c r="V1226" s="328">
        <f>VLOOKUP(C1226,METADATA!$A$5:$H$29,IF(E1226="HI",2,IF(E1226="LO",6,10))+IF(T1226=1,2,IF(D1226=7,1,(IF(WEEKDAY(B1226)=1,2,IF(WEEKDAY(B1226)=7,1,0))))))</f>
        <v>3</v>
      </c>
    </row>
    <row r="1227" spans="2:22">
      <c r="B1227" s="318">
        <f t="shared" si="75"/>
        <v>46163</v>
      </c>
      <c r="C1227" s="312">
        <v>23</v>
      </c>
      <c r="D1227" s="368">
        <f>IFERROR((INDEX(METADATA!$T$2:$T$20,MATCH(B1227,METADATA!$S$2:$S$20,0))),0)</f>
        <v>0</v>
      </c>
      <c r="E1227" s="312" t="str">
        <f t="shared" si="76"/>
        <v>LO</v>
      </c>
      <c r="F1227" s="369">
        <f>VLOOKUP(C1227,METADATA!$A$5:$H$29,IF(E1227="HI",2,IF(E1227="LO",6,10))+IF(D1227=1,2,IF(D1227=7,1,(IF(WEEKDAY(B1227)=1,2,IF(WEEKDAY(B1227)=7,1,0))))))</f>
        <v>3</v>
      </c>
      <c r="G1227" s="369">
        <f>VLOOKUP(C1227,METADATA!$J$5:$Q$29,IF(E1227="HI",2,IF(E1227="LO",6,10))+IF(D1227=1,2,IF(D1227=7,1,(IF(WEEKDAY(B1227)=1,2,IF(WEEKDAY(B1227)=7,1,0))))))</f>
        <v>3</v>
      </c>
      <c r="H1227" s="370">
        <v>13663.669860839844</v>
      </c>
      <c r="I1227" s="370">
        <v>2006.1840281486511</v>
      </c>
      <c r="M1227" s="371">
        <f t="shared" si="77"/>
        <v>13810.16467754175</v>
      </c>
      <c r="N1227" s="329">
        <f t="shared" si="78"/>
        <v>0</v>
      </c>
      <c r="T1227" s="331">
        <v>0</v>
      </c>
      <c r="U1227" s="328">
        <f>VLOOKUP(C1227,METADATA!$J$5:$Q$29,IF(E1227="HI",2,IF(E1227="LO",6,10))+IF(T1227=1,2,IF(D1227=7,1,(IF(WEEKDAY(B1227)=1,2,IF(WEEKDAY(B1227)=7,1,0))))))</f>
        <v>3</v>
      </c>
      <c r="V1227" s="328">
        <f>VLOOKUP(C1227,METADATA!$A$5:$H$29,IF(E1227="HI",2,IF(E1227="LO",6,10))+IF(T1227=1,2,IF(D1227=7,1,(IF(WEEKDAY(B1227)=1,2,IF(WEEKDAY(B1227)=7,1,0))))))</f>
        <v>3</v>
      </c>
    </row>
    <row r="1228" spans="2:22">
      <c r="B1228" s="318">
        <f t="shared" si="75"/>
        <v>46164</v>
      </c>
      <c r="C1228" s="312">
        <v>0</v>
      </c>
      <c r="D1228" s="368">
        <f>IFERROR((INDEX(METADATA!$T$2:$T$20,MATCH(B1228,METADATA!$S$2:$S$20,0))),0)</f>
        <v>0</v>
      </c>
      <c r="E1228" s="312" t="str">
        <f t="shared" si="76"/>
        <v>LO</v>
      </c>
      <c r="F1228" s="369">
        <f>VLOOKUP(C1228,METADATA!$A$5:$H$29,IF(E1228="HI",2,IF(E1228="LO",6,10))+IF(D1228=1,2,IF(D1228=7,1,(IF(WEEKDAY(B1228)=1,2,IF(WEEKDAY(B1228)=7,1,0))))))</f>
        <v>3</v>
      </c>
      <c r="G1228" s="369">
        <f>VLOOKUP(C1228,METADATA!$J$5:$Q$29,IF(E1228="HI",2,IF(E1228="LO",6,10))+IF(D1228=1,2,IF(D1228=7,1,(IF(WEEKDAY(B1228)=1,2,IF(WEEKDAY(B1228)=7,1,0))))))</f>
        <v>3</v>
      </c>
      <c r="H1228" s="370">
        <v>13733.160400390625</v>
      </c>
      <c r="I1228" s="370">
        <v>2101.9185609817505</v>
      </c>
      <c r="M1228" s="371">
        <f t="shared" si="77"/>
        <v>13893.083035088244</v>
      </c>
      <c r="N1228" s="329">
        <f t="shared" si="78"/>
        <v>0</v>
      </c>
      <c r="T1228" s="331">
        <v>0</v>
      </c>
      <c r="U1228" s="328">
        <f>VLOOKUP(C1228,METADATA!$J$5:$Q$29,IF(E1228="HI",2,IF(E1228="LO",6,10))+IF(T1228=1,2,IF(D1228=7,1,(IF(WEEKDAY(B1228)=1,2,IF(WEEKDAY(B1228)=7,1,0))))))</f>
        <v>3</v>
      </c>
      <c r="V1228" s="328">
        <f>VLOOKUP(C1228,METADATA!$A$5:$H$29,IF(E1228="HI",2,IF(E1228="LO",6,10))+IF(T1228=1,2,IF(D1228=7,1,(IF(WEEKDAY(B1228)=1,2,IF(WEEKDAY(B1228)=7,1,0))))))</f>
        <v>3</v>
      </c>
    </row>
    <row r="1229" spans="2:22">
      <c r="B1229" s="318">
        <f t="shared" si="75"/>
        <v>46164</v>
      </c>
      <c r="C1229" s="312">
        <v>1</v>
      </c>
      <c r="D1229" s="368">
        <f>IFERROR((INDEX(METADATA!$T$2:$T$20,MATCH(B1229,METADATA!$S$2:$S$20,0))),0)</f>
        <v>0</v>
      </c>
      <c r="E1229" s="312" t="str">
        <f t="shared" si="76"/>
        <v>LO</v>
      </c>
      <c r="F1229" s="369">
        <f>VLOOKUP(C1229,METADATA!$A$5:$H$29,IF(E1229="HI",2,IF(E1229="LO",6,10))+IF(D1229=1,2,IF(D1229=7,1,(IF(WEEKDAY(B1229)=1,2,IF(WEEKDAY(B1229)=7,1,0))))))</f>
        <v>3</v>
      </c>
      <c r="G1229" s="369">
        <f>VLOOKUP(C1229,METADATA!$J$5:$Q$29,IF(E1229="HI",2,IF(E1229="LO",6,10))+IF(D1229=1,2,IF(D1229=7,1,(IF(WEEKDAY(B1229)=1,2,IF(WEEKDAY(B1229)=7,1,0))))))</f>
        <v>3</v>
      </c>
      <c r="H1229" s="370">
        <v>13775.7998046875</v>
      </c>
      <c r="I1229" s="370">
        <v>1958.4255018234253</v>
      </c>
      <c r="M1229" s="371">
        <f t="shared" si="77"/>
        <v>13914.312440973161</v>
      </c>
      <c r="N1229" s="329">
        <f t="shared" si="78"/>
        <v>0</v>
      </c>
      <c r="T1229" s="331">
        <v>0</v>
      </c>
      <c r="U1229" s="328">
        <f>VLOOKUP(C1229,METADATA!$J$5:$Q$29,IF(E1229="HI",2,IF(E1229="LO",6,10))+IF(T1229=1,2,IF(D1229=7,1,(IF(WEEKDAY(B1229)=1,2,IF(WEEKDAY(B1229)=7,1,0))))))</f>
        <v>3</v>
      </c>
      <c r="V1229" s="328">
        <f>VLOOKUP(C1229,METADATA!$A$5:$H$29,IF(E1229="HI",2,IF(E1229="LO",6,10))+IF(T1229=1,2,IF(D1229=7,1,(IF(WEEKDAY(B1229)=1,2,IF(WEEKDAY(B1229)=7,1,0))))))</f>
        <v>3</v>
      </c>
    </row>
    <row r="1230" spans="2:22">
      <c r="B1230" s="318">
        <f t="shared" si="75"/>
        <v>46164</v>
      </c>
      <c r="C1230" s="312">
        <v>2</v>
      </c>
      <c r="D1230" s="368">
        <f>IFERROR((INDEX(METADATA!$T$2:$T$20,MATCH(B1230,METADATA!$S$2:$S$20,0))),0)</f>
        <v>0</v>
      </c>
      <c r="E1230" s="312" t="str">
        <f t="shared" si="76"/>
        <v>LO</v>
      </c>
      <c r="F1230" s="369">
        <f>VLOOKUP(C1230,METADATA!$A$5:$H$29,IF(E1230="HI",2,IF(E1230="LO",6,10))+IF(D1230=1,2,IF(D1230=7,1,(IF(WEEKDAY(B1230)=1,2,IF(WEEKDAY(B1230)=7,1,0))))))</f>
        <v>3</v>
      </c>
      <c r="G1230" s="369">
        <f>VLOOKUP(C1230,METADATA!$J$5:$Q$29,IF(E1230="HI",2,IF(E1230="LO",6,10))+IF(D1230=1,2,IF(D1230=7,1,(IF(WEEKDAY(B1230)=1,2,IF(WEEKDAY(B1230)=7,1,0))))))</f>
        <v>3</v>
      </c>
      <c r="H1230" s="370">
        <v>13721.389953613281</v>
      </c>
      <c r="I1230" s="370">
        <v>1892.3044366836548</v>
      </c>
      <c r="M1230" s="371">
        <f t="shared" si="77"/>
        <v>13851.25836666879</v>
      </c>
      <c r="N1230" s="329">
        <f t="shared" si="78"/>
        <v>0</v>
      </c>
      <c r="T1230" s="331">
        <v>0</v>
      </c>
      <c r="U1230" s="328">
        <f>VLOOKUP(C1230,METADATA!$J$5:$Q$29,IF(E1230="HI",2,IF(E1230="LO",6,10))+IF(T1230=1,2,IF(D1230=7,1,(IF(WEEKDAY(B1230)=1,2,IF(WEEKDAY(B1230)=7,1,0))))))</f>
        <v>3</v>
      </c>
      <c r="V1230" s="328">
        <f>VLOOKUP(C1230,METADATA!$A$5:$H$29,IF(E1230="HI",2,IF(E1230="LO",6,10))+IF(T1230=1,2,IF(D1230=7,1,(IF(WEEKDAY(B1230)=1,2,IF(WEEKDAY(B1230)=7,1,0))))))</f>
        <v>3</v>
      </c>
    </row>
    <row r="1231" spans="2:22">
      <c r="B1231" s="318">
        <f t="shared" si="75"/>
        <v>46164</v>
      </c>
      <c r="C1231" s="312">
        <v>3</v>
      </c>
      <c r="D1231" s="368">
        <f>IFERROR((INDEX(METADATA!$T$2:$T$20,MATCH(B1231,METADATA!$S$2:$S$20,0))),0)</f>
        <v>0</v>
      </c>
      <c r="E1231" s="312" t="str">
        <f t="shared" si="76"/>
        <v>LO</v>
      </c>
      <c r="F1231" s="369">
        <f>VLOOKUP(C1231,METADATA!$A$5:$H$29,IF(E1231="HI",2,IF(E1231="LO",6,10))+IF(D1231=1,2,IF(D1231=7,1,(IF(WEEKDAY(B1231)=1,2,IF(WEEKDAY(B1231)=7,1,0))))))</f>
        <v>3</v>
      </c>
      <c r="G1231" s="369">
        <f>VLOOKUP(C1231,METADATA!$J$5:$Q$29,IF(E1231="HI",2,IF(E1231="LO",6,10))+IF(D1231=1,2,IF(D1231=7,1,(IF(WEEKDAY(B1231)=1,2,IF(WEEKDAY(B1231)=7,1,0))))))</f>
        <v>3</v>
      </c>
      <c r="H1231" s="370">
        <v>13808.615234375</v>
      </c>
      <c r="I1231" s="370">
        <v>2119.7010498046875</v>
      </c>
      <c r="M1231" s="371">
        <f t="shared" si="77"/>
        <v>13970.361027244659</v>
      </c>
      <c r="N1231" s="329">
        <f t="shared" si="78"/>
        <v>0</v>
      </c>
      <c r="T1231" s="331">
        <v>0</v>
      </c>
      <c r="U1231" s="328">
        <f>VLOOKUP(C1231,METADATA!$J$5:$Q$29,IF(E1231="HI",2,IF(E1231="LO",6,10))+IF(T1231=1,2,IF(D1231=7,1,(IF(WEEKDAY(B1231)=1,2,IF(WEEKDAY(B1231)=7,1,0))))))</f>
        <v>3</v>
      </c>
      <c r="V1231" s="328">
        <f>VLOOKUP(C1231,METADATA!$A$5:$H$29,IF(E1231="HI",2,IF(E1231="LO",6,10))+IF(T1231=1,2,IF(D1231=7,1,(IF(WEEKDAY(B1231)=1,2,IF(WEEKDAY(B1231)=7,1,0))))))</f>
        <v>3</v>
      </c>
    </row>
    <row r="1232" spans="2:22">
      <c r="B1232" s="318">
        <f t="shared" si="75"/>
        <v>46164</v>
      </c>
      <c r="C1232" s="312">
        <v>4</v>
      </c>
      <c r="D1232" s="368">
        <f>IFERROR((INDEX(METADATA!$T$2:$T$20,MATCH(B1232,METADATA!$S$2:$S$20,0))),0)</f>
        <v>0</v>
      </c>
      <c r="E1232" s="312" t="str">
        <f t="shared" si="76"/>
        <v>LO</v>
      </c>
      <c r="F1232" s="369">
        <f>VLOOKUP(C1232,METADATA!$A$5:$H$29,IF(E1232="HI",2,IF(E1232="LO",6,10))+IF(D1232=1,2,IF(D1232=7,1,(IF(WEEKDAY(B1232)=1,2,IF(WEEKDAY(B1232)=7,1,0))))))</f>
        <v>3</v>
      </c>
      <c r="G1232" s="369">
        <f>VLOOKUP(C1232,METADATA!$J$5:$Q$29,IF(E1232="HI",2,IF(E1232="LO",6,10))+IF(D1232=1,2,IF(D1232=7,1,(IF(WEEKDAY(B1232)=1,2,IF(WEEKDAY(B1232)=7,1,0))))))</f>
        <v>3</v>
      </c>
      <c r="H1232" s="370">
        <v>13878.890441894531</v>
      </c>
      <c r="I1232" s="370">
        <v>1929.7684810161591</v>
      </c>
      <c r="M1232" s="371">
        <f t="shared" si="77"/>
        <v>14012.409010888698</v>
      </c>
      <c r="N1232" s="329">
        <f t="shared" si="78"/>
        <v>0</v>
      </c>
      <c r="T1232" s="331">
        <v>0</v>
      </c>
      <c r="U1232" s="328">
        <f>VLOOKUP(C1232,METADATA!$J$5:$Q$29,IF(E1232="HI",2,IF(E1232="LO",6,10))+IF(T1232=1,2,IF(D1232=7,1,(IF(WEEKDAY(B1232)=1,2,IF(WEEKDAY(B1232)=7,1,0))))))</f>
        <v>3</v>
      </c>
      <c r="V1232" s="328">
        <f>VLOOKUP(C1232,METADATA!$A$5:$H$29,IF(E1232="HI",2,IF(E1232="LO",6,10))+IF(T1232=1,2,IF(D1232=7,1,(IF(WEEKDAY(B1232)=1,2,IF(WEEKDAY(B1232)=7,1,0))))))</f>
        <v>3</v>
      </c>
    </row>
    <row r="1233" spans="2:22">
      <c r="B1233" s="318">
        <f t="shared" si="75"/>
        <v>46164</v>
      </c>
      <c r="C1233" s="312">
        <v>5</v>
      </c>
      <c r="D1233" s="368">
        <f>IFERROR((INDEX(METADATA!$T$2:$T$20,MATCH(B1233,METADATA!$S$2:$S$20,0))),0)</f>
        <v>0</v>
      </c>
      <c r="E1233" s="312" t="str">
        <f t="shared" si="76"/>
        <v>LO</v>
      </c>
      <c r="F1233" s="369">
        <f>VLOOKUP(C1233,METADATA!$A$5:$H$29,IF(E1233="HI",2,IF(E1233="LO",6,10))+IF(D1233=1,2,IF(D1233=7,1,(IF(WEEKDAY(B1233)=1,2,IF(WEEKDAY(B1233)=7,1,0))))))</f>
        <v>3</v>
      </c>
      <c r="G1233" s="369">
        <f>VLOOKUP(C1233,METADATA!$J$5:$Q$29,IF(E1233="HI",2,IF(E1233="LO",6,10))+IF(D1233=1,2,IF(D1233=7,1,(IF(WEEKDAY(B1233)=1,2,IF(WEEKDAY(B1233)=7,1,0))))))</f>
        <v>3</v>
      </c>
      <c r="H1233" s="370">
        <v>13812.874877929688</v>
      </c>
      <c r="I1233" s="370">
        <v>1809.769021987915</v>
      </c>
      <c r="M1233" s="371">
        <f t="shared" si="77"/>
        <v>13930.928766822697</v>
      </c>
      <c r="N1233" s="329">
        <f t="shared" si="78"/>
        <v>0</v>
      </c>
      <c r="T1233" s="331">
        <v>0</v>
      </c>
      <c r="U1233" s="328">
        <f>VLOOKUP(C1233,METADATA!$J$5:$Q$29,IF(E1233="HI",2,IF(E1233="LO",6,10))+IF(T1233=1,2,IF(D1233=7,1,(IF(WEEKDAY(B1233)=1,2,IF(WEEKDAY(B1233)=7,1,0))))))</f>
        <v>3</v>
      </c>
      <c r="V1233" s="328">
        <f>VLOOKUP(C1233,METADATA!$A$5:$H$29,IF(E1233="HI",2,IF(E1233="LO",6,10))+IF(T1233=1,2,IF(D1233=7,1,(IF(WEEKDAY(B1233)=1,2,IF(WEEKDAY(B1233)=7,1,0))))))</f>
        <v>3</v>
      </c>
    </row>
    <row r="1234" spans="2:22">
      <c r="B1234" s="318">
        <f t="shared" si="75"/>
        <v>46164</v>
      </c>
      <c r="C1234" s="312">
        <v>6</v>
      </c>
      <c r="D1234" s="368">
        <f>IFERROR((INDEX(METADATA!$T$2:$T$20,MATCH(B1234,METADATA!$S$2:$S$20,0))),0)</f>
        <v>0</v>
      </c>
      <c r="E1234" s="312" t="str">
        <f t="shared" si="76"/>
        <v>LO</v>
      </c>
      <c r="F1234" s="369">
        <f>VLOOKUP(C1234,METADATA!$A$5:$H$29,IF(E1234="HI",2,IF(E1234="LO",6,10))+IF(D1234=1,2,IF(D1234=7,1,(IF(WEEKDAY(B1234)=1,2,IF(WEEKDAY(B1234)=7,1,0))))))</f>
        <v>2</v>
      </c>
      <c r="G1234" s="369">
        <f>VLOOKUP(C1234,METADATA!$J$5:$Q$29,IF(E1234="HI",2,IF(E1234="LO",6,10))+IF(D1234=1,2,IF(D1234=7,1,(IF(WEEKDAY(B1234)=1,2,IF(WEEKDAY(B1234)=7,1,0))))))</f>
        <v>2</v>
      </c>
      <c r="H1234" s="370">
        <v>13875.250366210938</v>
      </c>
      <c r="I1234" s="370">
        <v>1840.3199877738953</v>
      </c>
      <c r="M1234" s="371">
        <f t="shared" si="77"/>
        <v>13996.76213923909</v>
      </c>
      <c r="N1234" s="329">
        <f t="shared" si="78"/>
        <v>0</v>
      </c>
      <c r="T1234" s="331">
        <v>0</v>
      </c>
      <c r="U1234" s="328">
        <f>VLOOKUP(C1234,METADATA!$J$5:$Q$29,IF(E1234="HI",2,IF(E1234="LO",6,10))+IF(T1234=1,2,IF(D1234=7,1,(IF(WEEKDAY(B1234)=1,2,IF(WEEKDAY(B1234)=7,1,0))))))</f>
        <v>2</v>
      </c>
      <c r="V1234" s="328">
        <f>VLOOKUP(C1234,METADATA!$A$5:$H$29,IF(E1234="HI",2,IF(E1234="LO",6,10))+IF(T1234=1,2,IF(D1234=7,1,(IF(WEEKDAY(B1234)=1,2,IF(WEEKDAY(B1234)=7,1,0))))))</f>
        <v>2</v>
      </c>
    </row>
    <row r="1235" spans="2:22">
      <c r="B1235" s="318">
        <f t="shared" si="75"/>
        <v>46164</v>
      </c>
      <c r="C1235" s="312">
        <v>7</v>
      </c>
      <c r="D1235" s="368">
        <f>IFERROR((INDEX(METADATA!$T$2:$T$20,MATCH(B1235,METADATA!$S$2:$S$20,0))),0)</f>
        <v>0</v>
      </c>
      <c r="E1235" s="312" t="str">
        <f t="shared" si="76"/>
        <v>LO</v>
      </c>
      <c r="F1235" s="369">
        <f>VLOOKUP(C1235,METADATA!$A$5:$H$29,IF(E1235="HI",2,IF(E1235="LO",6,10))+IF(D1235=1,2,IF(D1235=7,1,(IF(WEEKDAY(B1235)=1,2,IF(WEEKDAY(B1235)=7,1,0))))))</f>
        <v>1</v>
      </c>
      <c r="G1235" s="369">
        <f>VLOOKUP(C1235,METADATA!$J$5:$Q$29,IF(E1235="HI",2,IF(E1235="LO",6,10))+IF(D1235=1,2,IF(D1235=7,1,(IF(WEEKDAY(B1235)=1,2,IF(WEEKDAY(B1235)=7,1,0))))))</f>
        <v>1</v>
      </c>
      <c r="H1235" s="370">
        <v>13990.265197753906</v>
      </c>
      <c r="I1235" s="370">
        <v>1923.0249881744385</v>
      </c>
      <c r="M1235" s="371">
        <f t="shared" si="77"/>
        <v>14121.810981904107</v>
      </c>
      <c r="N1235" s="329">
        <f t="shared" si="78"/>
        <v>0</v>
      </c>
      <c r="T1235" s="331">
        <v>0</v>
      </c>
      <c r="U1235" s="328">
        <f>VLOOKUP(C1235,METADATA!$J$5:$Q$29,IF(E1235="HI",2,IF(E1235="LO",6,10))+IF(T1235=1,2,IF(D1235=7,1,(IF(WEEKDAY(B1235)=1,2,IF(WEEKDAY(B1235)=7,1,0))))))</f>
        <v>1</v>
      </c>
      <c r="V1235" s="328">
        <f>VLOOKUP(C1235,METADATA!$A$5:$H$29,IF(E1235="HI",2,IF(E1235="LO",6,10))+IF(T1235=1,2,IF(D1235=7,1,(IF(WEEKDAY(B1235)=1,2,IF(WEEKDAY(B1235)=7,1,0))))))</f>
        <v>1</v>
      </c>
    </row>
    <row r="1236" spans="2:22">
      <c r="B1236" s="318">
        <f t="shared" si="75"/>
        <v>46164</v>
      </c>
      <c r="C1236" s="312">
        <v>8</v>
      </c>
      <c r="D1236" s="368">
        <f>IFERROR((INDEX(METADATA!$T$2:$T$20,MATCH(B1236,METADATA!$S$2:$S$20,0))),0)</f>
        <v>0</v>
      </c>
      <c r="E1236" s="312" t="str">
        <f t="shared" si="76"/>
        <v>LO</v>
      </c>
      <c r="F1236" s="369">
        <f>VLOOKUP(C1236,METADATA!$A$5:$H$29,IF(E1236="HI",2,IF(E1236="LO",6,10))+IF(D1236=1,2,IF(D1236=7,1,(IF(WEEKDAY(B1236)=1,2,IF(WEEKDAY(B1236)=7,1,0))))))</f>
        <v>1</v>
      </c>
      <c r="G1236" s="369">
        <f>VLOOKUP(C1236,METADATA!$J$5:$Q$29,IF(E1236="HI",2,IF(E1236="LO",6,10))+IF(D1236=1,2,IF(D1236=7,1,(IF(WEEKDAY(B1236)=1,2,IF(WEEKDAY(B1236)=7,1,0))))))</f>
        <v>1</v>
      </c>
      <c r="H1236" s="370">
        <v>14007.95947265625</v>
      </c>
      <c r="I1236" s="370">
        <v>1936.0559825897217</v>
      </c>
      <c r="M1236" s="371">
        <f t="shared" si="77"/>
        <v>14141.118815542899</v>
      </c>
      <c r="N1236" s="329">
        <f t="shared" si="78"/>
        <v>0</v>
      </c>
      <c r="T1236" s="331">
        <v>0</v>
      </c>
      <c r="U1236" s="328">
        <f>VLOOKUP(C1236,METADATA!$J$5:$Q$29,IF(E1236="HI",2,IF(E1236="LO",6,10))+IF(T1236=1,2,IF(D1236=7,1,(IF(WEEKDAY(B1236)=1,2,IF(WEEKDAY(B1236)=7,1,0))))))</f>
        <v>1</v>
      </c>
      <c r="V1236" s="328">
        <f>VLOOKUP(C1236,METADATA!$A$5:$H$29,IF(E1236="HI",2,IF(E1236="LO",6,10))+IF(T1236=1,2,IF(D1236=7,1,(IF(WEEKDAY(B1236)=1,2,IF(WEEKDAY(B1236)=7,1,0))))))</f>
        <v>1</v>
      </c>
    </row>
    <row r="1237" spans="2:22">
      <c r="B1237" s="318">
        <f t="shared" si="75"/>
        <v>46164</v>
      </c>
      <c r="C1237" s="312">
        <v>9</v>
      </c>
      <c r="D1237" s="368">
        <f>IFERROR((INDEX(METADATA!$T$2:$T$20,MATCH(B1237,METADATA!$S$2:$S$20,0))),0)</f>
        <v>0</v>
      </c>
      <c r="E1237" s="312" t="str">
        <f t="shared" si="76"/>
        <v>LO</v>
      </c>
      <c r="F1237" s="369">
        <f>VLOOKUP(C1237,METADATA!$A$5:$H$29,IF(E1237="HI",2,IF(E1237="LO",6,10))+IF(D1237=1,2,IF(D1237=7,1,(IF(WEEKDAY(B1237)=1,2,IF(WEEKDAY(B1237)=7,1,0))))))</f>
        <v>2</v>
      </c>
      <c r="G1237" s="369">
        <f>VLOOKUP(C1237,METADATA!$J$5:$Q$29,IF(E1237="HI",2,IF(E1237="LO",6,10))+IF(D1237=1,2,IF(D1237=7,1,(IF(WEEKDAY(B1237)=1,2,IF(WEEKDAY(B1237)=7,1,0))))))</f>
        <v>2</v>
      </c>
      <c r="H1237" s="370">
        <v>13909.344787597656</v>
      </c>
      <c r="I1237" s="370">
        <v>1835.6875228881836</v>
      </c>
      <c r="M1237" s="371">
        <f t="shared" si="77"/>
        <v>14029.954422661445</v>
      </c>
      <c r="N1237" s="329">
        <f t="shared" si="78"/>
        <v>0</v>
      </c>
      <c r="T1237" s="331">
        <v>0</v>
      </c>
      <c r="U1237" s="328">
        <f>VLOOKUP(C1237,METADATA!$J$5:$Q$29,IF(E1237="HI",2,IF(E1237="LO",6,10))+IF(T1237=1,2,IF(D1237=7,1,(IF(WEEKDAY(B1237)=1,2,IF(WEEKDAY(B1237)=7,1,0))))))</f>
        <v>2</v>
      </c>
      <c r="V1237" s="328">
        <f>VLOOKUP(C1237,METADATA!$A$5:$H$29,IF(E1237="HI",2,IF(E1237="LO",6,10))+IF(T1237=1,2,IF(D1237=7,1,(IF(WEEKDAY(B1237)=1,2,IF(WEEKDAY(B1237)=7,1,0))))))</f>
        <v>2</v>
      </c>
    </row>
    <row r="1238" spans="2:22">
      <c r="B1238" s="318">
        <f t="shared" si="75"/>
        <v>46164</v>
      </c>
      <c r="C1238" s="312">
        <v>10</v>
      </c>
      <c r="D1238" s="368">
        <f>IFERROR((INDEX(METADATA!$T$2:$T$20,MATCH(B1238,METADATA!$S$2:$S$20,0))),0)</f>
        <v>0</v>
      </c>
      <c r="E1238" s="312" t="str">
        <f t="shared" si="76"/>
        <v>LO</v>
      </c>
      <c r="F1238" s="369">
        <f>VLOOKUP(C1238,METADATA!$A$5:$H$29,IF(E1238="HI",2,IF(E1238="LO",6,10))+IF(D1238=1,2,IF(D1238=7,1,(IF(WEEKDAY(B1238)=1,2,IF(WEEKDAY(B1238)=7,1,0))))))</f>
        <v>2</v>
      </c>
      <c r="G1238" s="369">
        <f>VLOOKUP(C1238,METADATA!$J$5:$Q$29,IF(E1238="HI",2,IF(E1238="LO",6,10))+IF(D1238=1,2,IF(D1238=7,1,(IF(WEEKDAY(B1238)=1,2,IF(WEEKDAY(B1238)=7,1,0))))))</f>
        <v>2</v>
      </c>
      <c r="H1238" s="370">
        <v>13805.069702148438</v>
      </c>
      <c r="I1238" s="370">
        <v>1815.4084987640381</v>
      </c>
      <c r="M1238" s="371">
        <f t="shared" si="77"/>
        <v>13923.923926054804</v>
      </c>
      <c r="N1238" s="329">
        <f t="shared" si="78"/>
        <v>0</v>
      </c>
      <c r="T1238" s="331">
        <v>0</v>
      </c>
      <c r="U1238" s="328">
        <f>VLOOKUP(C1238,METADATA!$J$5:$Q$29,IF(E1238="HI",2,IF(E1238="LO",6,10))+IF(T1238=1,2,IF(D1238=7,1,(IF(WEEKDAY(B1238)=1,2,IF(WEEKDAY(B1238)=7,1,0))))))</f>
        <v>2</v>
      </c>
      <c r="V1238" s="328">
        <f>VLOOKUP(C1238,METADATA!$A$5:$H$29,IF(E1238="HI",2,IF(E1238="LO",6,10))+IF(T1238=1,2,IF(D1238=7,1,(IF(WEEKDAY(B1238)=1,2,IF(WEEKDAY(B1238)=7,1,0))))))</f>
        <v>2</v>
      </c>
    </row>
    <row r="1239" spans="2:22">
      <c r="B1239" s="318">
        <f t="shared" si="75"/>
        <v>46164</v>
      </c>
      <c r="C1239" s="312">
        <v>11</v>
      </c>
      <c r="D1239" s="368">
        <f>IFERROR((INDEX(METADATA!$T$2:$T$20,MATCH(B1239,METADATA!$S$2:$S$20,0))),0)</f>
        <v>0</v>
      </c>
      <c r="E1239" s="312" t="str">
        <f t="shared" si="76"/>
        <v>LO</v>
      </c>
      <c r="F1239" s="369">
        <f>VLOOKUP(C1239,METADATA!$A$5:$H$29,IF(E1239="HI",2,IF(E1239="LO",6,10))+IF(D1239=1,2,IF(D1239=7,1,(IF(WEEKDAY(B1239)=1,2,IF(WEEKDAY(B1239)=7,1,0))))))</f>
        <v>2</v>
      </c>
      <c r="G1239" s="369">
        <f>VLOOKUP(C1239,METADATA!$J$5:$Q$29,IF(E1239="HI",2,IF(E1239="LO",6,10))+IF(D1239=1,2,IF(D1239=7,1,(IF(WEEKDAY(B1239)=1,2,IF(WEEKDAY(B1239)=7,1,0))))))</f>
        <v>2</v>
      </c>
      <c r="H1239" s="370">
        <v>13787.425354003906</v>
      </c>
      <c r="I1239" s="370">
        <v>1866.6709728240967</v>
      </c>
      <c r="M1239" s="371">
        <f t="shared" si="77"/>
        <v>13913.215243537843</v>
      </c>
      <c r="N1239" s="329">
        <f t="shared" si="78"/>
        <v>0</v>
      </c>
      <c r="T1239" s="331">
        <v>0</v>
      </c>
      <c r="U1239" s="328">
        <f>VLOOKUP(C1239,METADATA!$J$5:$Q$29,IF(E1239="HI",2,IF(E1239="LO",6,10))+IF(T1239=1,2,IF(D1239=7,1,(IF(WEEKDAY(B1239)=1,2,IF(WEEKDAY(B1239)=7,1,0))))))</f>
        <v>2</v>
      </c>
      <c r="V1239" s="328">
        <f>VLOOKUP(C1239,METADATA!$A$5:$H$29,IF(E1239="HI",2,IF(E1239="LO",6,10))+IF(T1239=1,2,IF(D1239=7,1,(IF(WEEKDAY(B1239)=1,2,IF(WEEKDAY(B1239)=7,1,0))))))</f>
        <v>2</v>
      </c>
    </row>
    <row r="1240" spans="2:22">
      <c r="B1240" s="318">
        <f t="shared" si="75"/>
        <v>46164</v>
      </c>
      <c r="C1240" s="312">
        <v>12</v>
      </c>
      <c r="D1240" s="368">
        <f>IFERROR((INDEX(METADATA!$T$2:$T$20,MATCH(B1240,METADATA!$S$2:$S$20,0))),0)</f>
        <v>0</v>
      </c>
      <c r="E1240" s="312" t="str">
        <f t="shared" si="76"/>
        <v>LO</v>
      </c>
      <c r="F1240" s="369">
        <f>VLOOKUP(C1240,METADATA!$A$5:$H$29,IF(E1240="HI",2,IF(E1240="LO",6,10))+IF(D1240=1,2,IF(D1240=7,1,(IF(WEEKDAY(B1240)=1,2,IF(WEEKDAY(B1240)=7,1,0))))))</f>
        <v>2</v>
      </c>
      <c r="G1240" s="369">
        <f>VLOOKUP(C1240,METADATA!$J$5:$Q$29,IF(E1240="HI",2,IF(E1240="LO",6,10))+IF(D1240=1,2,IF(D1240=7,1,(IF(WEEKDAY(B1240)=1,2,IF(WEEKDAY(B1240)=7,1,0))))))</f>
        <v>2</v>
      </c>
      <c r="H1240" s="370">
        <v>13778.229736328125</v>
      </c>
      <c r="I1240" s="370">
        <v>1953.6960334777832</v>
      </c>
      <c r="M1240" s="371">
        <f t="shared" si="77"/>
        <v>13916.053422513993</v>
      </c>
      <c r="N1240" s="329">
        <f t="shared" si="78"/>
        <v>0</v>
      </c>
      <c r="T1240" s="331">
        <v>0</v>
      </c>
      <c r="U1240" s="328">
        <f>VLOOKUP(C1240,METADATA!$J$5:$Q$29,IF(E1240="HI",2,IF(E1240="LO",6,10))+IF(T1240=1,2,IF(D1240=7,1,(IF(WEEKDAY(B1240)=1,2,IF(WEEKDAY(B1240)=7,1,0))))))</f>
        <v>2</v>
      </c>
      <c r="V1240" s="328">
        <f>VLOOKUP(C1240,METADATA!$A$5:$H$29,IF(E1240="HI",2,IF(E1240="LO",6,10))+IF(T1240=1,2,IF(D1240=7,1,(IF(WEEKDAY(B1240)=1,2,IF(WEEKDAY(B1240)=7,1,0))))))</f>
        <v>2</v>
      </c>
    </row>
    <row r="1241" spans="2:22">
      <c r="B1241" s="318">
        <f t="shared" si="75"/>
        <v>46164</v>
      </c>
      <c r="C1241" s="312">
        <v>13</v>
      </c>
      <c r="D1241" s="368">
        <f>IFERROR((INDEX(METADATA!$T$2:$T$20,MATCH(B1241,METADATA!$S$2:$S$20,0))),0)</f>
        <v>0</v>
      </c>
      <c r="E1241" s="312" t="str">
        <f t="shared" si="76"/>
        <v>LO</v>
      </c>
      <c r="F1241" s="369">
        <f>VLOOKUP(C1241,METADATA!$A$5:$H$29,IF(E1241="HI",2,IF(E1241="LO",6,10))+IF(D1241=1,2,IF(D1241=7,1,(IF(WEEKDAY(B1241)=1,2,IF(WEEKDAY(B1241)=7,1,0))))))</f>
        <v>2</v>
      </c>
      <c r="G1241" s="369">
        <f>VLOOKUP(C1241,METADATA!$J$5:$Q$29,IF(E1241="HI",2,IF(E1241="LO",6,10))+IF(D1241=1,2,IF(D1241=7,1,(IF(WEEKDAY(B1241)=1,2,IF(WEEKDAY(B1241)=7,1,0))))))</f>
        <v>2</v>
      </c>
      <c r="H1241" s="370">
        <v>13750.570007324219</v>
      </c>
      <c r="I1241" s="370">
        <v>1890.5259881019592</v>
      </c>
      <c r="M1241" s="371">
        <f t="shared" si="77"/>
        <v>13879.923055911126</v>
      </c>
      <c r="N1241" s="329">
        <f t="shared" si="78"/>
        <v>0</v>
      </c>
      <c r="T1241" s="331">
        <v>0</v>
      </c>
      <c r="U1241" s="328">
        <f>VLOOKUP(C1241,METADATA!$J$5:$Q$29,IF(E1241="HI",2,IF(E1241="LO",6,10))+IF(T1241=1,2,IF(D1241=7,1,(IF(WEEKDAY(B1241)=1,2,IF(WEEKDAY(B1241)=7,1,0))))))</f>
        <v>2</v>
      </c>
      <c r="V1241" s="328">
        <f>VLOOKUP(C1241,METADATA!$A$5:$H$29,IF(E1241="HI",2,IF(E1241="LO",6,10))+IF(T1241=1,2,IF(D1241=7,1,(IF(WEEKDAY(B1241)=1,2,IF(WEEKDAY(B1241)=7,1,0))))))</f>
        <v>2</v>
      </c>
    </row>
    <row r="1242" spans="2:22">
      <c r="B1242" s="318">
        <f t="shared" si="75"/>
        <v>46164</v>
      </c>
      <c r="C1242" s="312">
        <v>14</v>
      </c>
      <c r="D1242" s="368">
        <f>IFERROR((INDEX(METADATA!$T$2:$T$20,MATCH(B1242,METADATA!$S$2:$S$20,0))),0)</f>
        <v>0</v>
      </c>
      <c r="E1242" s="312" t="str">
        <f t="shared" si="76"/>
        <v>LO</v>
      </c>
      <c r="F1242" s="369">
        <f>VLOOKUP(C1242,METADATA!$A$5:$H$29,IF(E1242="HI",2,IF(E1242="LO",6,10))+IF(D1242=1,2,IF(D1242=7,1,(IF(WEEKDAY(B1242)=1,2,IF(WEEKDAY(B1242)=7,1,0))))))</f>
        <v>2</v>
      </c>
      <c r="G1242" s="369">
        <f>VLOOKUP(C1242,METADATA!$J$5:$Q$29,IF(E1242="HI",2,IF(E1242="LO",6,10))+IF(D1242=1,2,IF(D1242=7,1,(IF(WEEKDAY(B1242)=1,2,IF(WEEKDAY(B1242)=7,1,0))))))</f>
        <v>2</v>
      </c>
      <c r="H1242" s="370">
        <v>13598.069519042969</v>
      </c>
      <c r="I1242" s="370">
        <v>1952.6679420471191</v>
      </c>
      <c r="M1242" s="371">
        <f t="shared" si="77"/>
        <v>13737.554612689408</v>
      </c>
      <c r="N1242" s="329">
        <f t="shared" si="78"/>
        <v>0</v>
      </c>
      <c r="T1242" s="331">
        <v>0</v>
      </c>
      <c r="U1242" s="328">
        <f>VLOOKUP(C1242,METADATA!$J$5:$Q$29,IF(E1242="HI",2,IF(E1242="LO",6,10))+IF(T1242=1,2,IF(D1242=7,1,(IF(WEEKDAY(B1242)=1,2,IF(WEEKDAY(B1242)=7,1,0))))))</f>
        <v>2</v>
      </c>
      <c r="V1242" s="328">
        <f>VLOOKUP(C1242,METADATA!$A$5:$H$29,IF(E1242="HI",2,IF(E1242="LO",6,10))+IF(T1242=1,2,IF(D1242=7,1,(IF(WEEKDAY(B1242)=1,2,IF(WEEKDAY(B1242)=7,1,0))))))</f>
        <v>2</v>
      </c>
    </row>
    <row r="1243" spans="2:22">
      <c r="B1243" s="318">
        <f t="shared" si="75"/>
        <v>46164</v>
      </c>
      <c r="C1243" s="312">
        <v>15</v>
      </c>
      <c r="D1243" s="368">
        <f>IFERROR((INDEX(METADATA!$T$2:$T$20,MATCH(B1243,METADATA!$S$2:$S$20,0))),0)</f>
        <v>0</v>
      </c>
      <c r="E1243" s="312" t="str">
        <f t="shared" si="76"/>
        <v>LO</v>
      </c>
      <c r="F1243" s="369">
        <f>VLOOKUP(C1243,METADATA!$A$5:$H$29,IF(E1243="HI",2,IF(E1243="LO",6,10))+IF(D1243=1,2,IF(D1243=7,1,(IF(WEEKDAY(B1243)=1,2,IF(WEEKDAY(B1243)=7,1,0))))))</f>
        <v>2</v>
      </c>
      <c r="G1243" s="369">
        <f>VLOOKUP(C1243,METADATA!$J$5:$Q$29,IF(E1243="HI",2,IF(E1243="LO",6,10))+IF(D1243=1,2,IF(D1243=7,1,(IF(WEEKDAY(B1243)=1,2,IF(WEEKDAY(B1243)=7,1,0))))))</f>
        <v>2</v>
      </c>
      <c r="H1243" s="370">
        <v>13778.344970703125</v>
      </c>
      <c r="I1243" s="370">
        <v>2165.828489780426</v>
      </c>
      <c r="M1243" s="371">
        <f t="shared" si="77"/>
        <v>13947.530361280618</v>
      </c>
      <c r="N1243" s="329">
        <f t="shared" si="78"/>
        <v>0</v>
      </c>
      <c r="T1243" s="331">
        <v>0</v>
      </c>
      <c r="U1243" s="328">
        <f>VLOOKUP(C1243,METADATA!$J$5:$Q$29,IF(E1243="HI",2,IF(E1243="LO",6,10))+IF(T1243=1,2,IF(D1243=7,1,(IF(WEEKDAY(B1243)=1,2,IF(WEEKDAY(B1243)=7,1,0))))))</f>
        <v>2</v>
      </c>
      <c r="V1243" s="328">
        <f>VLOOKUP(C1243,METADATA!$A$5:$H$29,IF(E1243="HI",2,IF(E1243="LO",6,10))+IF(T1243=1,2,IF(D1243=7,1,(IF(WEEKDAY(B1243)=1,2,IF(WEEKDAY(B1243)=7,1,0))))))</f>
        <v>2</v>
      </c>
    </row>
    <row r="1244" spans="2:22">
      <c r="B1244" s="318">
        <f t="shared" ref="B1244:B1307" si="79">B1220+1</f>
        <v>46164</v>
      </c>
      <c r="C1244" s="312">
        <v>16</v>
      </c>
      <c r="D1244" s="368">
        <f>IFERROR((INDEX(METADATA!$T$2:$T$20,MATCH(B1244,METADATA!$S$2:$S$20,0))),0)</f>
        <v>0</v>
      </c>
      <c r="E1244" s="312" t="str">
        <f t="shared" si="76"/>
        <v>LO</v>
      </c>
      <c r="F1244" s="369">
        <f>VLOOKUP(C1244,METADATA!$A$5:$H$29,IF(E1244="HI",2,IF(E1244="LO",6,10))+IF(D1244=1,2,IF(D1244=7,1,(IF(WEEKDAY(B1244)=1,2,IF(WEEKDAY(B1244)=7,1,0))))))</f>
        <v>2</v>
      </c>
      <c r="G1244" s="369">
        <f>VLOOKUP(C1244,METADATA!$J$5:$Q$29,IF(E1244="HI",2,IF(E1244="LO",6,10))+IF(D1244=1,2,IF(D1244=7,1,(IF(WEEKDAY(B1244)=1,2,IF(WEEKDAY(B1244)=7,1,0))))))</f>
        <v>2</v>
      </c>
      <c r="H1244" s="370">
        <v>13909.070190429688</v>
      </c>
      <c r="I1244" s="370">
        <v>2184.3595440387726</v>
      </c>
      <c r="M1244" s="371">
        <f t="shared" si="77"/>
        <v>14079.547584348476</v>
      </c>
      <c r="N1244" s="329">
        <f t="shared" si="78"/>
        <v>0</v>
      </c>
      <c r="T1244" s="331">
        <v>0</v>
      </c>
      <c r="U1244" s="328">
        <f>VLOOKUP(C1244,METADATA!$J$5:$Q$29,IF(E1244="HI",2,IF(E1244="LO",6,10))+IF(T1244=1,2,IF(D1244=7,1,(IF(WEEKDAY(B1244)=1,2,IF(WEEKDAY(B1244)=7,1,0))))))</f>
        <v>2</v>
      </c>
      <c r="V1244" s="328">
        <f>VLOOKUP(C1244,METADATA!$A$5:$H$29,IF(E1244="HI",2,IF(E1244="LO",6,10))+IF(T1244=1,2,IF(D1244=7,1,(IF(WEEKDAY(B1244)=1,2,IF(WEEKDAY(B1244)=7,1,0))))))</f>
        <v>2</v>
      </c>
    </row>
    <row r="1245" spans="2:22">
      <c r="B1245" s="318">
        <f t="shared" si="79"/>
        <v>46164</v>
      </c>
      <c r="C1245" s="312">
        <v>17</v>
      </c>
      <c r="D1245" s="368">
        <f>IFERROR((INDEX(METADATA!$T$2:$T$20,MATCH(B1245,METADATA!$S$2:$S$20,0))),0)</f>
        <v>0</v>
      </c>
      <c r="E1245" s="312" t="str">
        <f t="shared" si="76"/>
        <v>LO</v>
      </c>
      <c r="F1245" s="369">
        <f>VLOOKUP(C1245,METADATA!$A$5:$H$29,IF(E1245="HI",2,IF(E1245="LO",6,10))+IF(D1245=1,2,IF(D1245=7,1,(IF(WEEKDAY(B1245)=1,2,IF(WEEKDAY(B1245)=7,1,0))))))</f>
        <v>2</v>
      </c>
      <c r="G1245" s="369">
        <f>VLOOKUP(C1245,METADATA!$J$5:$Q$29,IF(E1245="HI",2,IF(E1245="LO",6,10))+IF(D1245=1,2,IF(D1245=7,1,(IF(WEEKDAY(B1245)=1,2,IF(WEEKDAY(B1245)=7,1,0))))))</f>
        <v>2</v>
      </c>
      <c r="H1245" s="370">
        <v>13829.030334472656</v>
      </c>
      <c r="I1245" s="370">
        <v>2090.7615368366241</v>
      </c>
      <c r="M1245" s="371">
        <f t="shared" si="77"/>
        <v>13986.184747660112</v>
      </c>
      <c r="N1245" s="329">
        <f t="shared" si="78"/>
        <v>0</v>
      </c>
      <c r="T1245" s="331">
        <v>0</v>
      </c>
      <c r="U1245" s="328">
        <f>VLOOKUP(C1245,METADATA!$J$5:$Q$29,IF(E1245="HI",2,IF(E1245="LO",6,10))+IF(T1245=1,2,IF(D1245=7,1,(IF(WEEKDAY(B1245)=1,2,IF(WEEKDAY(B1245)=7,1,0))))))</f>
        <v>2</v>
      </c>
      <c r="V1245" s="328">
        <f>VLOOKUP(C1245,METADATA!$A$5:$H$29,IF(E1245="HI",2,IF(E1245="LO",6,10))+IF(T1245=1,2,IF(D1245=7,1,(IF(WEEKDAY(B1245)=1,2,IF(WEEKDAY(B1245)=7,1,0))))))</f>
        <v>2</v>
      </c>
    </row>
    <row r="1246" spans="2:22">
      <c r="B1246" s="318">
        <f t="shared" si="79"/>
        <v>46164</v>
      </c>
      <c r="C1246" s="312">
        <v>18</v>
      </c>
      <c r="D1246" s="368">
        <f>IFERROR((INDEX(METADATA!$T$2:$T$20,MATCH(B1246,METADATA!$S$2:$S$20,0))),0)</f>
        <v>0</v>
      </c>
      <c r="E1246" s="312" t="str">
        <f t="shared" si="76"/>
        <v>LO</v>
      </c>
      <c r="F1246" s="369">
        <f>VLOOKUP(C1246,METADATA!$A$5:$H$29,IF(E1246="HI",2,IF(E1246="LO",6,10))+IF(D1246=1,2,IF(D1246=7,1,(IF(WEEKDAY(B1246)=1,2,IF(WEEKDAY(B1246)=7,1,0))))))</f>
        <v>1</v>
      </c>
      <c r="G1246" s="369">
        <f>VLOOKUP(C1246,METADATA!$J$5:$Q$29,IF(E1246="HI",2,IF(E1246="LO",6,10))+IF(D1246=1,2,IF(D1246=7,1,(IF(WEEKDAY(B1246)=1,2,IF(WEEKDAY(B1246)=7,1,0))))))</f>
        <v>1</v>
      </c>
      <c r="H1246" s="370">
        <v>13769.669494628906</v>
      </c>
      <c r="I1246" s="370">
        <v>1974.337987780571</v>
      </c>
      <c r="M1246" s="371">
        <f t="shared" si="77"/>
        <v>13910.492747609887</v>
      </c>
      <c r="N1246" s="329">
        <f t="shared" si="78"/>
        <v>0</v>
      </c>
      <c r="T1246" s="331">
        <v>0</v>
      </c>
      <c r="U1246" s="328">
        <f>VLOOKUP(C1246,METADATA!$J$5:$Q$29,IF(E1246="HI",2,IF(E1246="LO",6,10))+IF(T1246=1,2,IF(D1246=7,1,(IF(WEEKDAY(B1246)=1,2,IF(WEEKDAY(B1246)=7,1,0))))))</f>
        <v>1</v>
      </c>
      <c r="V1246" s="328">
        <f>VLOOKUP(C1246,METADATA!$A$5:$H$29,IF(E1246="HI",2,IF(E1246="LO",6,10))+IF(T1246=1,2,IF(D1246=7,1,(IF(WEEKDAY(B1246)=1,2,IF(WEEKDAY(B1246)=7,1,0))))))</f>
        <v>1</v>
      </c>
    </row>
    <row r="1247" spans="2:22">
      <c r="B1247" s="318">
        <f t="shared" si="79"/>
        <v>46164</v>
      </c>
      <c r="C1247" s="312">
        <v>19</v>
      </c>
      <c r="D1247" s="368">
        <f>IFERROR((INDEX(METADATA!$T$2:$T$20,MATCH(B1247,METADATA!$S$2:$S$20,0))),0)</f>
        <v>0</v>
      </c>
      <c r="E1247" s="312" t="str">
        <f t="shared" si="76"/>
        <v>LO</v>
      </c>
      <c r="F1247" s="369">
        <f>VLOOKUP(C1247,METADATA!$A$5:$H$29,IF(E1247="HI",2,IF(E1247="LO",6,10))+IF(D1247=1,2,IF(D1247=7,1,(IF(WEEKDAY(B1247)=1,2,IF(WEEKDAY(B1247)=7,1,0))))))</f>
        <v>1</v>
      </c>
      <c r="G1247" s="369">
        <f>VLOOKUP(C1247,METADATA!$J$5:$Q$29,IF(E1247="HI",2,IF(E1247="LO",6,10))+IF(D1247=1,2,IF(D1247=7,1,(IF(WEEKDAY(B1247)=1,2,IF(WEEKDAY(B1247)=7,1,0))))))</f>
        <v>1</v>
      </c>
      <c r="H1247" s="370">
        <v>13716.640075683594</v>
      </c>
      <c r="I1247" s="370">
        <v>1983.4069883823395</v>
      </c>
      <c r="M1247" s="371">
        <f t="shared" si="77"/>
        <v>13859.297177253005</v>
      </c>
      <c r="N1247" s="329">
        <f t="shared" si="78"/>
        <v>0</v>
      </c>
      <c r="T1247" s="331">
        <v>0</v>
      </c>
      <c r="U1247" s="328">
        <f>VLOOKUP(C1247,METADATA!$J$5:$Q$29,IF(E1247="HI",2,IF(E1247="LO",6,10))+IF(T1247=1,2,IF(D1247=7,1,(IF(WEEKDAY(B1247)=1,2,IF(WEEKDAY(B1247)=7,1,0))))))</f>
        <v>1</v>
      </c>
      <c r="V1247" s="328">
        <f>VLOOKUP(C1247,METADATA!$A$5:$H$29,IF(E1247="HI",2,IF(E1247="LO",6,10))+IF(T1247=1,2,IF(D1247=7,1,(IF(WEEKDAY(B1247)=1,2,IF(WEEKDAY(B1247)=7,1,0))))))</f>
        <v>1</v>
      </c>
    </row>
    <row r="1248" spans="2:22">
      <c r="B1248" s="318">
        <f t="shared" si="79"/>
        <v>46164</v>
      </c>
      <c r="C1248" s="312">
        <v>20</v>
      </c>
      <c r="D1248" s="368">
        <f>IFERROR((INDEX(METADATA!$T$2:$T$20,MATCH(B1248,METADATA!$S$2:$S$20,0))),0)</f>
        <v>0</v>
      </c>
      <c r="E1248" s="312" t="str">
        <f t="shared" si="76"/>
        <v>LO</v>
      </c>
      <c r="F1248" s="369">
        <f>VLOOKUP(C1248,METADATA!$A$5:$H$29,IF(E1248="HI",2,IF(E1248="LO",6,10))+IF(D1248=1,2,IF(D1248=7,1,(IF(WEEKDAY(B1248)=1,2,IF(WEEKDAY(B1248)=7,1,0))))))</f>
        <v>1</v>
      </c>
      <c r="G1248" s="369">
        <f>VLOOKUP(C1248,METADATA!$J$5:$Q$29,IF(E1248="HI",2,IF(E1248="LO",6,10))+IF(D1248=1,2,IF(D1248=7,1,(IF(WEEKDAY(B1248)=1,2,IF(WEEKDAY(B1248)=7,1,0))))))</f>
        <v>1</v>
      </c>
      <c r="H1248" s="370">
        <v>13847.619812011719</v>
      </c>
      <c r="I1248" s="370">
        <v>2049.1920456886292</v>
      </c>
      <c r="M1248" s="371">
        <f t="shared" si="77"/>
        <v>13998.4200000619</v>
      </c>
      <c r="N1248" s="329">
        <f t="shared" si="78"/>
        <v>0</v>
      </c>
      <c r="T1248" s="331">
        <v>0</v>
      </c>
      <c r="U1248" s="328">
        <f>VLOOKUP(C1248,METADATA!$J$5:$Q$29,IF(E1248="HI",2,IF(E1248="LO",6,10))+IF(T1248=1,2,IF(D1248=7,1,(IF(WEEKDAY(B1248)=1,2,IF(WEEKDAY(B1248)=7,1,0))))))</f>
        <v>1</v>
      </c>
      <c r="V1248" s="328">
        <f>VLOOKUP(C1248,METADATA!$A$5:$H$29,IF(E1248="HI",2,IF(E1248="LO",6,10))+IF(T1248=1,2,IF(D1248=7,1,(IF(WEEKDAY(B1248)=1,2,IF(WEEKDAY(B1248)=7,1,0))))))</f>
        <v>1</v>
      </c>
    </row>
    <row r="1249" spans="2:22">
      <c r="B1249" s="318">
        <f t="shared" si="79"/>
        <v>46164</v>
      </c>
      <c r="C1249" s="312">
        <v>21</v>
      </c>
      <c r="D1249" s="368">
        <f>IFERROR((INDEX(METADATA!$T$2:$T$20,MATCH(B1249,METADATA!$S$2:$S$20,0))),0)</f>
        <v>0</v>
      </c>
      <c r="E1249" s="312" t="str">
        <f t="shared" si="76"/>
        <v>LO</v>
      </c>
      <c r="F1249" s="369">
        <f>VLOOKUP(C1249,METADATA!$A$5:$H$29,IF(E1249="HI",2,IF(E1249="LO",6,10))+IF(D1249=1,2,IF(D1249=7,1,(IF(WEEKDAY(B1249)=1,2,IF(WEEKDAY(B1249)=7,1,0))))))</f>
        <v>2</v>
      </c>
      <c r="G1249" s="369">
        <f>VLOOKUP(C1249,METADATA!$J$5:$Q$29,IF(E1249="HI",2,IF(E1249="LO",6,10))+IF(D1249=1,2,IF(D1249=7,1,(IF(WEEKDAY(B1249)=1,2,IF(WEEKDAY(B1249)=7,1,0))))))</f>
        <v>2</v>
      </c>
      <c r="H1249" s="370">
        <v>13774.044860839844</v>
      </c>
      <c r="I1249" s="370">
        <v>1987.704489082098</v>
      </c>
      <c r="M1249" s="371">
        <f t="shared" si="77"/>
        <v>13916.726661264338</v>
      </c>
      <c r="N1249" s="329">
        <f t="shared" si="78"/>
        <v>0</v>
      </c>
      <c r="T1249" s="331">
        <v>0</v>
      </c>
      <c r="U1249" s="328">
        <f>VLOOKUP(C1249,METADATA!$J$5:$Q$29,IF(E1249="HI",2,IF(E1249="LO",6,10))+IF(T1249=1,2,IF(D1249=7,1,(IF(WEEKDAY(B1249)=1,2,IF(WEEKDAY(B1249)=7,1,0))))))</f>
        <v>2</v>
      </c>
      <c r="V1249" s="328">
        <f>VLOOKUP(C1249,METADATA!$A$5:$H$29,IF(E1249="HI",2,IF(E1249="LO",6,10))+IF(T1249=1,2,IF(D1249=7,1,(IF(WEEKDAY(B1249)=1,2,IF(WEEKDAY(B1249)=7,1,0))))))</f>
        <v>2</v>
      </c>
    </row>
    <row r="1250" spans="2:22">
      <c r="B1250" s="318">
        <f t="shared" si="79"/>
        <v>46164</v>
      </c>
      <c r="C1250" s="312">
        <v>22</v>
      </c>
      <c r="D1250" s="368">
        <f>IFERROR((INDEX(METADATA!$T$2:$T$20,MATCH(B1250,METADATA!$S$2:$S$20,0))),0)</f>
        <v>0</v>
      </c>
      <c r="E1250" s="312" t="str">
        <f t="shared" si="76"/>
        <v>LO</v>
      </c>
      <c r="F1250" s="369">
        <f>VLOOKUP(C1250,METADATA!$A$5:$H$29,IF(E1250="HI",2,IF(E1250="LO",6,10))+IF(D1250=1,2,IF(D1250=7,1,(IF(WEEKDAY(B1250)=1,2,IF(WEEKDAY(B1250)=7,1,0))))))</f>
        <v>3</v>
      </c>
      <c r="G1250" s="369">
        <f>VLOOKUP(C1250,METADATA!$J$5:$Q$29,IF(E1250="HI",2,IF(E1250="LO",6,10))+IF(D1250=1,2,IF(D1250=7,1,(IF(WEEKDAY(B1250)=1,2,IF(WEEKDAY(B1250)=7,1,0))))))</f>
        <v>3</v>
      </c>
      <c r="H1250" s="370">
        <v>13784.099975585938</v>
      </c>
      <c r="I1250" s="370">
        <v>1867.0779908895493</v>
      </c>
      <c r="M1250" s="371">
        <f t="shared" si="77"/>
        <v>13909.974563636426</v>
      </c>
      <c r="N1250" s="329">
        <f t="shared" si="78"/>
        <v>0</v>
      </c>
      <c r="T1250" s="331">
        <v>0</v>
      </c>
      <c r="U1250" s="328">
        <f>VLOOKUP(C1250,METADATA!$J$5:$Q$29,IF(E1250="HI",2,IF(E1250="LO",6,10))+IF(T1250=1,2,IF(D1250=7,1,(IF(WEEKDAY(B1250)=1,2,IF(WEEKDAY(B1250)=7,1,0))))))</f>
        <v>3</v>
      </c>
      <c r="V1250" s="328">
        <f>VLOOKUP(C1250,METADATA!$A$5:$H$29,IF(E1250="HI",2,IF(E1250="LO",6,10))+IF(T1250=1,2,IF(D1250=7,1,(IF(WEEKDAY(B1250)=1,2,IF(WEEKDAY(B1250)=7,1,0))))))</f>
        <v>3</v>
      </c>
    </row>
    <row r="1251" spans="2:22">
      <c r="B1251" s="318">
        <f t="shared" si="79"/>
        <v>46164</v>
      </c>
      <c r="C1251" s="312">
        <v>23</v>
      </c>
      <c r="D1251" s="368">
        <f>IFERROR((INDEX(METADATA!$T$2:$T$20,MATCH(B1251,METADATA!$S$2:$S$20,0))),0)</f>
        <v>0</v>
      </c>
      <c r="E1251" s="312" t="str">
        <f t="shared" si="76"/>
        <v>LO</v>
      </c>
      <c r="F1251" s="369">
        <f>VLOOKUP(C1251,METADATA!$A$5:$H$29,IF(E1251="HI",2,IF(E1251="LO",6,10))+IF(D1251=1,2,IF(D1251=7,1,(IF(WEEKDAY(B1251)=1,2,IF(WEEKDAY(B1251)=7,1,0))))))</f>
        <v>3</v>
      </c>
      <c r="G1251" s="369">
        <f>VLOOKUP(C1251,METADATA!$J$5:$Q$29,IF(E1251="HI",2,IF(E1251="LO",6,10))+IF(D1251=1,2,IF(D1251=7,1,(IF(WEEKDAY(B1251)=1,2,IF(WEEKDAY(B1251)=7,1,0))))))</f>
        <v>3</v>
      </c>
      <c r="H1251" s="370">
        <v>13816.860229492188</v>
      </c>
      <c r="I1251" s="370">
        <v>1912.1780354976654</v>
      </c>
      <c r="M1251" s="371">
        <f t="shared" si="77"/>
        <v>13948.550155509447</v>
      </c>
      <c r="N1251" s="329">
        <f t="shared" si="78"/>
        <v>0</v>
      </c>
      <c r="T1251" s="331">
        <v>0</v>
      </c>
      <c r="U1251" s="328">
        <f>VLOOKUP(C1251,METADATA!$J$5:$Q$29,IF(E1251="HI",2,IF(E1251="LO",6,10))+IF(T1251=1,2,IF(D1251=7,1,(IF(WEEKDAY(B1251)=1,2,IF(WEEKDAY(B1251)=7,1,0))))))</f>
        <v>3</v>
      </c>
      <c r="V1251" s="328">
        <f>VLOOKUP(C1251,METADATA!$A$5:$H$29,IF(E1251="HI",2,IF(E1251="LO",6,10))+IF(T1251=1,2,IF(D1251=7,1,(IF(WEEKDAY(B1251)=1,2,IF(WEEKDAY(B1251)=7,1,0))))))</f>
        <v>3</v>
      </c>
    </row>
    <row r="1252" spans="2:22">
      <c r="B1252" s="318">
        <f t="shared" si="79"/>
        <v>46165</v>
      </c>
      <c r="C1252" s="312">
        <v>0</v>
      </c>
      <c r="D1252" s="368">
        <f>IFERROR((INDEX(METADATA!$T$2:$T$20,MATCH(B1252,METADATA!$S$2:$S$20,0))),0)</f>
        <v>0</v>
      </c>
      <c r="E1252" s="312" t="str">
        <f t="shared" si="76"/>
        <v>LO</v>
      </c>
      <c r="F1252" s="369">
        <f>VLOOKUP(C1252,METADATA!$A$5:$H$29,IF(E1252="HI",2,IF(E1252="LO",6,10))+IF(D1252=1,2,IF(D1252=7,1,(IF(WEEKDAY(B1252)=1,2,IF(WEEKDAY(B1252)=7,1,0))))))</f>
        <v>3</v>
      </c>
      <c r="G1252" s="369">
        <f>VLOOKUP(C1252,METADATA!$J$5:$Q$29,IF(E1252="HI",2,IF(E1252="LO",6,10))+IF(D1252=1,2,IF(D1252=7,1,(IF(WEEKDAY(B1252)=1,2,IF(WEEKDAY(B1252)=7,1,0))))))</f>
        <v>3</v>
      </c>
      <c r="H1252" s="370">
        <v>13475.78466796875</v>
      </c>
      <c r="I1252" s="370">
        <v>2143.1275043487549</v>
      </c>
      <c r="M1252" s="371">
        <f t="shared" si="77"/>
        <v>13645.137152749976</v>
      </c>
      <c r="N1252" s="329">
        <f t="shared" si="78"/>
        <v>0</v>
      </c>
      <c r="T1252" s="331">
        <v>0</v>
      </c>
      <c r="U1252" s="328">
        <f>VLOOKUP(C1252,METADATA!$J$5:$Q$29,IF(E1252="HI",2,IF(E1252="LO",6,10))+IF(T1252=1,2,IF(D1252=7,1,(IF(WEEKDAY(B1252)=1,2,IF(WEEKDAY(B1252)=7,1,0))))))</f>
        <v>3</v>
      </c>
      <c r="V1252" s="328">
        <f>VLOOKUP(C1252,METADATA!$A$5:$H$29,IF(E1252="HI",2,IF(E1252="LO",6,10))+IF(T1252=1,2,IF(D1252=7,1,(IF(WEEKDAY(B1252)=1,2,IF(WEEKDAY(B1252)=7,1,0))))))</f>
        <v>3</v>
      </c>
    </row>
    <row r="1253" spans="2:22">
      <c r="B1253" s="318">
        <f t="shared" si="79"/>
        <v>46165</v>
      </c>
      <c r="C1253" s="312">
        <v>1</v>
      </c>
      <c r="D1253" s="368">
        <f>IFERROR((INDEX(METADATA!$T$2:$T$20,MATCH(B1253,METADATA!$S$2:$S$20,0))),0)</f>
        <v>0</v>
      </c>
      <c r="E1253" s="312" t="str">
        <f t="shared" si="76"/>
        <v>LO</v>
      </c>
      <c r="F1253" s="369">
        <f>VLOOKUP(C1253,METADATA!$A$5:$H$29,IF(E1253="HI",2,IF(E1253="LO",6,10))+IF(D1253=1,2,IF(D1253=7,1,(IF(WEEKDAY(B1253)=1,2,IF(WEEKDAY(B1253)=7,1,0))))))</f>
        <v>3</v>
      </c>
      <c r="G1253" s="369">
        <f>VLOOKUP(C1253,METADATA!$J$5:$Q$29,IF(E1253="HI",2,IF(E1253="LO",6,10))+IF(D1253=1,2,IF(D1253=7,1,(IF(WEEKDAY(B1253)=1,2,IF(WEEKDAY(B1253)=7,1,0))))))</f>
        <v>3</v>
      </c>
      <c r="H1253" s="370">
        <v>13737.044799804688</v>
      </c>
      <c r="I1253" s="370">
        <v>2270.3285056948662</v>
      </c>
      <c r="M1253" s="371">
        <f t="shared" si="77"/>
        <v>13923.390081284502</v>
      </c>
      <c r="N1253" s="329">
        <f t="shared" si="78"/>
        <v>0</v>
      </c>
      <c r="T1253" s="331">
        <v>0</v>
      </c>
      <c r="U1253" s="328">
        <f>VLOOKUP(C1253,METADATA!$J$5:$Q$29,IF(E1253="HI",2,IF(E1253="LO",6,10))+IF(T1253=1,2,IF(D1253=7,1,(IF(WEEKDAY(B1253)=1,2,IF(WEEKDAY(B1253)=7,1,0))))))</f>
        <v>3</v>
      </c>
      <c r="V1253" s="328">
        <f>VLOOKUP(C1253,METADATA!$A$5:$H$29,IF(E1253="HI",2,IF(E1253="LO",6,10))+IF(T1253=1,2,IF(D1253=7,1,(IF(WEEKDAY(B1253)=1,2,IF(WEEKDAY(B1253)=7,1,0))))))</f>
        <v>3</v>
      </c>
    </row>
    <row r="1254" spans="2:22">
      <c r="B1254" s="318">
        <f t="shared" si="79"/>
        <v>46165</v>
      </c>
      <c r="C1254" s="312">
        <v>2</v>
      </c>
      <c r="D1254" s="368">
        <f>IFERROR((INDEX(METADATA!$T$2:$T$20,MATCH(B1254,METADATA!$S$2:$S$20,0))),0)</f>
        <v>0</v>
      </c>
      <c r="E1254" s="312" t="str">
        <f t="shared" si="76"/>
        <v>LO</v>
      </c>
      <c r="F1254" s="369">
        <f>VLOOKUP(C1254,METADATA!$A$5:$H$29,IF(E1254="HI",2,IF(E1254="LO",6,10))+IF(D1254=1,2,IF(D1254=7,1,(IF(WEEKDAY(B1254)=1,2,IF(WEEKDAY(B1254)=7,1,0))))))</f>
        <v>3</v>
      </c>
      <c r="G1254" s="369">
        <f>VLOOKUP(C1254,METADATA!$J$5:$Q$29,IF(E1254="HI",2,IF(E1254="LO",6,10))+IF(D1254=1,2,IF(D1254=7,1,(IF(WEEKDAY(B1254)=1,2,IF(WEEKDAY(B1254)=7,1,0))))))</f>
        <v>3</v>
      </c>
      <c r="H1254" s="370">
        <v>13610.572509765625</v>
      </c>
      <c r="I1254" s="370">
        <v>2147.3020042181015</v>
      </c>
      <c r="M1254" s="371">
        <f t="shared" si="77"/>
        <v>13778.918315343437</v>
      </c>
      <c r="N1254" s="329">
        <f t="shared" si="78"/>
        <v>0</v>
      </c>
      <c r="T1254" s="331">
        <v>0</v>
      </c>
      <c r="U1254" s="328">
        <f>VLOOKUP(C1254,METADATA!$J$5:$Q$29,IF(E1254="HI",2,IF(E1254="LO",6,10))+IF(T1254=1,2,IF(D1254=7,1,(IF(WEEKDAY(B1254)=1,2,IF(WEEKDAY(B1254)=7,1,0))))))</f>
        <v>3</v>
      </c>
      <c r="V1254" s="328">
        <f>VLOOKUP(C1254,METADATA!$A$5:$H$29,IF(E1254="HI",2,IF(E1254="LO",6,10))+IF(T1254=1,2,IF(D1254=7,1,(IF(WEEKDAY(B1254)=1,2,IF(WEEKDAY(B1254)=7,1,0))))))</f>
        <v>3</v>
      </c>
    </row>
    <row r="1255" spans="2:22">
      <c r="B1255" s="318">
        <f t="shared" si="79"/>
        <v>46165</v>
      </c>
      <c r="C1255" s="312">
        <v>3</v>
      </c>
      <c r="D1255" s="368">
        <f>IFERROR((INDEX(METADATA!$T$2:$T$20,MATCH(B1255,METADATA!$S$2:$S$20,0))),0)</f>
        <v>0</v>
      </c>
      <c r="E1255" s="312" t="str">
        <f t="shared" si="76"/>
        <v>LO</v>
      </c>
      <c r="F1255" s="369">
        <f>VLOOKUP(C1255,METADATA!$A$5:$H$29,IF(E1255="HI",2,IF(E1255="LO",6,10))+IF(D1255=1,2,IF(D1255=7,1,(IF(WEEKDAY(B1255)=1,2,IF(WEEKDAY(B1255)=7,1,0))))))</f>
        <v>3</v>
      </c>
      <c r="G1255" s="369">
        <f>VLOOKUP(C1255,METADATA!$J$5:$Q$29,IF(E1255="HI",2,IF(E1255="LO",6,10))+IF(D1255=1,2,IF(D1255=7,1,(IF(WEEKDAY(B1255)=1,2,IF(WEEKDAY(B1255)=7,1,0))))))</f>
        <v>3</v>
      </c>
      <c r="H1255" s="370">
        <v>13625.960327148438</v>
      </c>
      <c r="I1255" s="370">
        <v>2064.6480110883713</v>
      </c>
      <c r="M1255" s="371">
        <f t="shared" si="77"/>
        <v>13781.493614507619</v>
      </c>
      <c r="N1255" s="329">
        <f t="shared" si="78"/>
        <v>0</v>
      </c>
      <c r="T1255" s="331">
        <v>0</v>
      </c>
      <c r="U1255" s="328">
        <f>VLOOKUP(C1255,METADATA!$J$5:$Q$29,IF(E1255="HI",2,IF(E1255="LO",6,10))+IF(T1255=1,2,IF(D1255=7,1,(IF(WEEKDAY(B1255)=1,2,IF(WEEKDAY(B1255)=7,1,0))))))</f>
        <v>3</v>
      </c>
      <c r="V1255" s="328">
        <f>VLOOKUP(C1255,METADATA!$A$5:$H$29,IF(E1255="HI",2,IF(E1255="LO",6,10))+IF(T1255=1,2,IF(D1255=7,1,(IF(WEEKDAY(B1255)=1,2,IF(WEEKDAY(B1255)=7,1,0))))))</f>
        <v>3</v>
      </c>
    </row>
    <row r="1256" spans="2:22">
      <c r="B1256" s="318">
        <f t="shared" si="79"/>
        <v>46165</v>
      </c>
      <c r="C1256" s="312">
        <v>4</v>
      </c>
      <c r="D1256" s="368">
        <f>IFERROR((INDEX(METADATA!$T$2:$T$20,MATCH(B1256,METADATA!$S$2:$S$20,0))),0)</f>
        <v>0</v>
      </c>
      <c r="E1256" s="312" t="str">
        <f t="shared" si="76"/>
        <v>LO</v>
      </c>
      <c r="F1256" s="369">
        <f>VLOOKUP(C1256,METADATA!$A$5:$H$29,IF(E1256="HI",2,IF(E1256="LO",6,10))+IF(D1256=1,2,IF(D1256=7,1,(IF(WEEKDAY(B1256)=1,2,IF(WEEKDAY(B1256)=7,1,0))))))</f>
        <v>3</v>
      </c>
      <c r="G1256" s="369">
        <f>VLOOKUP(C1256,METADATA!$J$5:$Q$29,IF(E1256="HI",2,IF(E1256="LO",6,10))+IF(D1256=1,2,IF(D1256=7,1,(IF(WEEKDAY(B1256)=1,2,IF(WEEKDAY(B1256)=7,1,0))))))</f>
        <v>3</v>
      </c>
      <c r="H1256" s="370">
        <v>13667.855285644531</v>
      </c>
      <c r="I1256" s="370">
        <v>2090.5920205116272</v>
      </c>
      <c r="M1256" s="371">
        <f t="shared" si="77"/>
        <v>13826.816087066032</v>
      </c>
      <c r="N1256" s="329">
        <f t="shared" si="78"/>
        <v>0</v>
      </c>
      <c r="T1256" s="331">
        <v>0</v>
      </c>
      <c r="U1256" s="328">
        <f>VLOOKUP(C1256,METADATA!$J$5:$Q$29,IF(E1256="HI",2,IF(E1256="LO",6,10))+IF(T1256=1,2,IF(D1256=7,1,(IF(WEEKDAY(B1256)=1,2,IF(WEEKDAY(B1256)=7,1,0))))))</f>
        <v>3</v>
      </c>
      <c r="V1256" s="328">
        <f>VLOOKUP(C1256,METADATA!$A$5:$H$29,IF(E1256="HI",2,IF(E1256="LO",6,10))+IF(T1256=1,2,IF(D1256=7,1,(IF(WEEKDAY(B1256)=1,2,IF(WEEKDAY(B1256)=7,1,0))))))</f>
        <v>3</v>
      </c>
    </row>
    <row r="1257" spans="2:22">
      <c r="B1257" s="318">
        <f t="shared" si="79"/>
        <v>46165</v>
      </c>
      <c r="C1257" s="312">
        <v>5</v>
      </c>
      <c r="D1257" s="368">
        <f>IFERROR((INDEX(METADATA!$T$2:$T$20,MATCH(B1257,METADATA!$S$2:$S$20,0))),0)</f>
        <v>0</v>
      </c>
      <c r="E1257" s="312" t="str">
        <f t="shared" si="76"/>
        <v>LO</v>
      </c>
      <c r="F1257" s="369">
        <f>VLOOKUP(C1257,METADATA!$A$5:$H$29,IF(E1257="HI",2,IF(E1257="LO",6,10))+IF(D1257=1,2,IF(D1257=7,1,(IF(WEEKDAY(B1257)=1,2,IF(WEEKDAY(B1257)=7,1,0))))))</f>
        <v>3</v>
      </c>
      <c r="G1257" s="369">
        <f>VLOOKUP(C1257,METADATA!$J$5:$Q$29,IF(E1257="HI",2,IF(E1257="LO",6,10))+IF(D1257=1,2,IF(D1257=7,1,(IF(WEEKDAY(B1257)=1,2,IF(WEEKDAY(B1257)=7,1,0))))))</f>
        <v>3</v>
      </c>
      <c r="H1257" s="370">
        <v>13472.200073242188</v>
      </c>
      <c r="I1257" s="370">
        <v>2122.416962146759</v>
      </c>
      <c r="M1257" s="371">
        <f t="shared" si="77"/>
        <v>13638.358719973421</v>
      </c>
      <c r="N1257" s="329">
        <f t="shared" si="78"/>
        <v>0</v>
      </c>
      <c r="T1257" s="331">
        <v>0</v>
      </c>
      <c r="U1257" s="328">
        <f>VLOOKUP(C1257,METADATA!$J$5:$Q$29,IF(E1257="HI",2,IF(E1257="LO",6,10))+IF(T1257=1,2,IF(D1257=7,1,(IF(WEEKDAY(B1257)=1,2,IF(WEEKDAY(B1257)=7,1,0))))))</f>
        <v>3</v>
      </c>
      <c r="V1257" s="328">
        <f>VLOOKUP(C1257,METADATA!$A$5:$H$29,IF(E1257="HI",2,IF(E1257="LO",6,10))+IF(T1257=1,2,IF(D1257=7,1,(IF(WEEKDAY(B1257)=1,2,IF(WEEKDAY(B1257)=7,1,0))))))</f>
        <v>3</v>
      </c>
    </row>
    <row r="1258" spans="2:22">
      <c r="B1258" s="318">
        <f t="shared" si="79"/>
        <v>46165</v>
      </c>
      <c r="C1258" s="312">
        <v>6</v>
      </c>
      <c r="D1258" s="368">
        <f>IFERROR((INDEX(METADATA!$T$2:$T$20,MATCH(B1258,METADATA!$S$2:$S$20,0))),0)</f>
        <v>0</v>
      </c>
      <c r="E1258" s="312" t="str">
        <f t="shared" si="76"/>
        <v>LO</v>
      </c>
      <c r="F1258" s="369">
        <f>VLOOKUP(C1258,METADATA!$A$5:$H$29,IF(E1258="HI",2,IF(E1258="LO",6,10))+IF(D1258=1,2,IF(D1258=7,1,(IF(WEEKDAY(B1258)=1,2,IF(WEEKDAY(B1258)=7,1,0))))))</f>
        <v>3</v>
      </c>
      <c r="G1258" s="369">
        <f>VLOOKUP(C1258,METADATA!$J$5:$Q$29,IF(E1258="HI",2,IF(E1258="LO",6,10))+IF(D1258=1,2,IF(D1258=7,1,(IF(WEEKDAY(B1258)=1,2,IF(WEEKDAY(B1258)=7,1,0))))))</f>
        <v>3</v>
      </c>
      <c r="H1258" s="370">
        <v>13320.720336914063</v>
      </c>
      <c r="I1258" s="370">
        <v>2150.8549900054932</v>
      </c>
      <c r="M1258" s="371">
        <f t="shared" si="77"/>
        <v>13493.248959472563</v>
      </c>
      <c r="N1258" s="329">
        <f t="shared" si="78"/>
        <v>0</v>
      </c>
      <c r="T1258" s="331">
        <v>0</v>
      </c>
      <c r="U1258" s="328">
        <f>VLOOKUP(C1258,METADATA!$J$5:$Q$29,IF(E1258="HI",2,IF(E1258="LO",6,10))+IF(T1258=1,2,IF(D1258=7,1,(IF(WEEKDAY(B1258)=1,2,IF(WEEKDAY(B1258)=7,1,0))))))</f>
        <v>3</v>
      </c>
      <c r="V1258" s="328">
        <f>VLOOKUP(C1258,METADATA!$A$5:$H$29,IF(E1258="HI",2,IF(E1258="LO",6,10))+IF(T1258=1,2,IF(D1258=7,1,(IF(WEEKDAY(B1258)=1,2,IF(WEEKDAY(B1258)=7,1,0))))))</f>
        <v>3</v>
      </c>
    </row>
    <row r="1259" spans="2:22">
      <c r="B1259" s="318">
        <f t="shared" si="79"/>
        <v>46165</v>
      </c>
      <c r="C1259" s="312">
        <v>7</v>
      </c>
      <c r="D1259" s="368">
        <f>IFERROR((INDEX(METADATA!$T$2:$T$20,MATCH(B1259,METADATA!$S$2:$S$20,0))),0)</f>
        <v>0</v>
      </c>
      <c r="E1259" s="312" t="str">
        <f t="shared" si="76"/>
        <v>LO</v>
      </c>
      <c r="F1259" s="369">
        <f>VLOOKUP(C1259,METADATA!$A$5:$H$29,IF(E1259="HI",2,IF(E1259="LO",6,10))+IF(D1259=1,2,IF(D1259=7,1,(IF(WEEKDAY(B1259)=1,2,IF(WEEKDAY(B1259)=7,1,0))))))</f>
        <v>2</v>
      </c>
      <c r="G1259" s="369">
        <f>VLOOKUP(C1259,METADATA!$J$5:$Q$29,IF(E1259="HI",2,IF(E1259="LO",6,10))+IF(D1259=1,2,IF(D1259=7,1,(IF(WEEKDAY(B1259)=1,2,IF(WEEKDAY(B1259)=7,1,0))))))</f>
        <v>2</v>
      </c>
      <c r="H1259" s="370">
        <v>13234.649841308594</v>
      </c>
      <c r="I1259" s="370">
        <v>2099.712456703186</v>
      </c>
      <c r="M1259" s="371">
        <f t="shared" si="77"/>
        <v>13400.177193712183</v>
      </c>
      <c r="N1259" s="329">
        <f t="shared" si="78"/>
        <v>0</v>
      </c>
      <c r="T1259" s="331">
        <v>0</v>
      </c>
      <c r="U1259" s="328">
        <f>VLOOKUP(C1259,METADATA!$J$5:$Q$29,IF(E1259="HI",2,IF(E1259="LO",6,10))+IF(T1259=1,2,IF(D1259=7,1,(IF(WEEKDAY(B1259)=1,2,IF(WEEKDAY(B1259)=7,1,0))))))</f>
        <v>2</v>
      </c>
      <c r="V1259" s="328">
        <f>VLOOKUP(C1259,METADATA!$A$5:$H$29,IF(E1259="HI",2,IF(E1259="LO",6,10))+IF(T1259=1,2,IF(D1259=7,1,(IF(WEEKDAY(B1259)=1,2,IF(WEEKDAY(B1259)=7,1,0))))))</f>
        <v>2</v>
      </c>
    </row>
    <row r="1260" spans="2:22">
      <c r="B1260" s="318">
        <f t="shared" si="79"/>
        <v>46165</v>
      </c>
      <c r="C1260" s="312">
        <v>8</v>
      </c>
      <c r="D1260" s="368">
        <f>IFERROR((INDEX(METADATA!$T$2:$T$20,MATCH(B1260,METADATA!$S$2:$S$20,0))),0)</f>
        <v>0</v>
      </c>
      <c r="E1260" s="312" t="str">
        <f t="shared" si="76"/>
        <v>LO</v>
      </c>
      <c r="F1260" s="369">
        <f>VLOOKUP(C1260,METADATA!$A$5:$H$29,IF(E1260="HI",2,IF(E1260="LO",6,10))+IF(D1260=1,2,IF(D1260=7,1,(IF(WEEKDAY(B1260)=1,2,IF(WEEKDAY(B1260)=7,1,0))))))</f>
        <v>2</v>
      </c>
      <c r="G1260" s="369">
        <f>VLOOKUP(C1260,METADATA!$J$5:$Q$29,IF(E1260="HI",2,IF(E1260="LO",6,10))+IF(D1260=1,2,IF(D1260=7,1,(IF(WEEKDAY(B1260)=1,2,IF(WEEKDAY(B1260)=7,1,0))))))</f>
        <v>2</v>
      </c>
      <c r="H1260" s="370">
        <v>13248.920043945313</v>
      </c>
      <c r="I1260" s="370">
        <v>2010.2410230636597</v>
      </c>
      <c r="M1260" s="371">
        <f t="shared" si="77"/>
        <v>13400.557872777681</v>
      </c>
      <c r="N1260" s="329">
        <f t="shared" si="78"/>
        <v>0</v>
      </c>
      <c r="T1260" s="331">
        <v>0</v>
      </c>
      <c r="U1260" s="328">
        <f>VLOOKUP(C1260,METADATA!$J$5:$Q$29,IF(E1260="HI",2,IF(E1260="LO",6,10))+IF(T1260=1,2,IF(D1260=7,1,(IF(WEEKDAY(B1260)=1,2,IF(WEEKDAY(B1260)=7,1,0))))))</f>
        <v>2</v>
      </c>
      <c r="V1260" s="328">
        <f>VLOOKUP(C1260,METADATA!$A$5:$H$29,IF(E1260="HI",2,IF(E1260="LO",6,10))+IF(T1260=1,2,IF(D1260=7,1,(IF(WEEKDAY(B1260)=1,2,IF(WEEKDAY(B1260)=7,1,0))))))</f>
        <v>2</v>
      </c>
    </row>
    <row r="1261" spans="2:22">
      <c r="B1261" s="318">
        <f t="shared" si="79"/>
        <v>46165</v>
      </c>
      <c r="C1261" s="312">
        <v>9</v>
      </c>
      <c r="D1261" s="368">
        <f>IFERROR((INDEX(METADATA!$T$2:$T$20,MATCH(B1261,METADATA!$S$2:$S$20,0))),0)</f>
        <v>0</v>
      </c>
      <c r="E1261" s="312" t="str">
        <f t="shared" si="76"/>
        <v>LO</v>
      </c>
      <c r="F1261" s="369">
        <f>VLOOKUP(C1261,METADATA!$A$5:$H$29,IF(E1261="HI",2,IF(E1261="LO",6,10))+IF(D1261=1,2,IF(D1261=7,1,(IF(WEEKDAY(B1261)=1,2,IF(WEEKDAY(B1261)=7,1,0))))))</f>
        <v>2</v>
      </c>
      <c r="G1261" s="369">
        <f>VLOOKUP(C1261,METADATA!$J$5:$Q$29,IF(E1261="HI",2,IF(E1261="LO",6,10))+IF(D1261=1,2,IF(D1261=7,1,(IF(WEEKDAY(B1261)=1,2,IF(WEEKDAY(B1261)=7,1,0))))))</f>
        <v>2</v>
      </c>
      <c r="H1261" s="370">
        <v>13248.234680175781</v>
      </c>
      <c r="I1261" s="370">
        <v>1927.4389925003052</v>
      </c>
      <c r="M1261" s="371">
        <f t="shared" si="77"/>
        <v>13387.708661709923</v>
      </c>
      <c r="N1261" s="329">
        <f t="shared" si="78"/>
        <v>0</v>
      </c>
      <c r="T1261" s="331">
        <v>0</v>
      </c>
      <c r="U1261" s="328">
        <f>VLOOKUP(C1261,METADATA!$J$5:$Q$29,IF(E1261="HI",2,IF(E1261="LO",6,10))+IF(T1261=1,2,IF(D1261=7,1,(IF(WEEKDAY(B1261)=1,2,IF(WEEKDAY(B1261)=7,1,0))))))</f>
        <v>2</v>
      </c>
      <c r="V1261" s="328">
        <f>VLOOKUP(C1261,METADATA!$A$5:$H$29,IF(E1261="HI",2,IF(E1261="LO",6,10))+IF(T1261=1,2,IF(D1261=7,1,(IF(WEEKDAY(B1261)=1,2,IF(WEEKDAY(B1261)=7,1,0))))))</f>
        <v>2</v>
      </c>
    </row>
    <row r="1262" spans="2:22">
      <c r="B1262" s="318">
        <f t="shared" si="79"/>
        <v>46165</v>
      </c>
      <c r="C1262" s="312">
        <v>10</v>
      </c>
      <c r="D1262" s="368">
        <f>IFERROR((INDEX(METADATA!$T$2:$T$20,MATCH(B1262,METADATA!$S$2:$S$20,0))),0)</f>
        <v>0</v>
      </c>
      <c r="E1262" s="312" t="str">
        <f t="shared" si="76"/>
        <v>LO</v>
      </c>
      <c r="F1262" s="369">
        <f>VLOOKUP(C1262,METADATA!$A$5:$H$29,IF(E1262="HI",2,IF(E1262="LO",6,10))+IF(D1262=1,2,IF(D1262=7,1,(IF(WEEKDAY(B1262)=1,2,IF(WEEKDAY(B1262)=7,1,0))))))</f>
        <v>2</v>
      </c>
      <c r="G1262" s="369">
        <f>VLOOKUP(C1262,METADATA!$J$5:$Q$29,IF(E1262="HI",2,IF(E1262="LO",6,10))+IF(D1262=1,2,IF(D1262=7,1,(IF(WEEKDAY(B1262)=1,2,IF(WEEKDAY(B1262)=7,1,0))))))</f>
        <v>2</v>
      </c>
      <c r="H1262" s="370">
        <v>13226.4345703125</v>
      </c>
      <c r="I1262" s="370">
        <v>1911.5289800167084</v>
      </c>
      <c r="M1262" s="371">
        <f t="shared" si="77"/>
        <v>13363.851034945028</v>
      </c>
      <c r="N1262" s="329">
        <f t="shared" si="78"/>
        <v>0</v>
      </c>
      <c r="T1262" s="331">
        <v>0</v>
      </c>
      <c r="U1262" s="328">
        <f>VLOOKUP(C1262,METADATA!$J$5:$Q$29,IF(E1262="HI",2,IF(E1262="LO",6,10))+IF(T1262=1,2,IF(D1262=7,1,(IF(WEEKDAY(B1262)=1,2,IF(WEEKDAY(B1262)=7,1,0))))))</f>
        <v>2</v>
      </c>
      <c r="V1262" s="328">
        <f>VLOOKUP(C1262,METADATA!$A$5:$H$29,IF(E1262="HI",2,IF(E1262="LO",6,10))+IF(T1262=1,2,IF(D1262=7,1,(IF(WEEKDAY(B1262)=1,2,IF(WEEKDAY(B1262)=7,1,0))))))</f>
        <v>2</v>
      </c>
    </row>
    <row r="1263" spans="2:22">
      <c r="B1263" s="318">
        <f t="shared" si="79"/>
        <v>46165</v>
      </c>
      <c r="C1263" s="312">
        <v>11</v>
      </c>
      <c r="D1263" s="368">
        <f>IFERROR((INDEX(METADATA!$T$2:$T$20,MATCH(B1263,METADATA!$S$2:$S$20,0))),0)</f>
        <v>0</v>
      </c>
      <c r="E1263" s="312" t="str">
        <f t="shared" si="76"/>
        <v>LO</v>
      </c>
      <c r="F1263" s="369">
        <f>VLOOKUP(C1263,METADATA!$A$5:$H$29,IF(E1263="HI",2,IF(E1263="LO",6,10))+IF(D1263=1,2,IF(D1263=7,1,(IF(WEEKDAY(B1263)=1,2,IF(WEEKDAY(B1263)=7,1,0))))))</f>
        <v>2</v>
      </c>
      <c r="G1263" s="369">
        <f>VLOOKUP(C1263,METADATA!$J$5:$Q$29,IF(E1263="HI",2,IF(E1263="LO",6,10))+IF(D1263=1,2,IF(D1263=7,1,(IF(WEEKDAY(B1263)=1,2,IF(WEEKDAY(B1263)=7,1,0))))))</f>
        <v>2</v>
      </c>
      <c r="H1263" s="370">
        <v>13258.510192871094</v>
      </c>
      <c r="I1263" s="370">
        <v>1956.8624768257141</v>
      </c>
      <c r="M1263" s="371">
        <f t="shared" si="77"/>
        <v>13402.141742560221</v>
      </c>
      <c r="N1263" s="329">
        <f t="shared" si="78"/>
        <v>0</v>
      </c>
      <c r="T1263" s="331">
        <v>0</v>
      </c>
      <c r="U1263" s="328">
        <f>VLOOKUP(C1263,METADATA!$J$5:$Q$29,IF(E1263="HI",2,IF(E1263="LO",6,10))+IF(T1263=1,2,IF(D1263=7,1,(IF(WEEKDAY(B1263)=1,2,IF(WEEKDAY(B1263)=7,1,0))))))</f>
        <v>2</v>
      </c>
      <c r="V1263" s="328">
        <f>VLOOKUP(C1263,METADATA!$A$5:$H$29,IF(E1263="HI",2,IF(E1263="LO",6,10))+IF(T1263=1,2,IF(D1263=7,1,(IF(WEEKDAY(B1263)=1,2,IF(WEEKDAY(B1263)=7,1,0))))))</f>
        <v>2</v>
      </c>
    </row>
    <row r="1264" spans="2:22">
      <c r="B1264" s="318">
        <f t="shared" si="79"/>
        <v>46165</v>
      </c>
      <c r="C1264" s="312">
        <v>12</v>
      </c>
      <c r="D1264" s="368">
        <f>IFERROR((INDEX(METADATA!$T$2:$T$20,MATCH(B1264,METADATA!$S$2:$S$20,0))),0)</f>
        <v>0</v>
      </c>
      <c r="E1264" s="312" t="str">
        <f t="shared" si="76"/>
        <v>LO</v>
      </c>
      <c r="F1264" s="369">
        <f>VLOOKUP(C1264,METADATA!$A$5:$H$29,IF(E1264="HI",2,IF(E1264="LO",6,10))+IF(D1264=1,2,IF(D1264=7,1,(IF(WEEKDAY(B1264)=1,2,IF(WEEKDAY(B1264)=7,1,0))))))</f>
        <v>3</v>
      </c>
      <c r="G1264" s="369">
        <f>VLOOKUP(C1264,METADATA!$J$5:$Q$29,IF(E1264="HI",2,IF(E1264="LO",6,10))+IF(D1264=1,2,IF(D1264=7,1,(IF(WEEKDAY(B1264)=1,2,IF(WEEKDAY(B1264)=7,1,0))))))</f>
        <v>3</v>
      </c>
      <c r="H1264" s="370">
        <v>13094.269897460938</v>
      </c>
      <c r="I1264" s="370">
        <v>1956.8639945983887</v>
      </c>
      <c r="M1264" s="371">
        <f t="shared" si="77"/>
        <v>13239.683562718077</v>
      </c>
      <c r="N1264" s="329">
        <f t="shared" si="78"/>
        <v>0</v>
      </c>
      <c r="T1264" s="331">
        <v>0</v>
      </c>
      <c r="U1264" s="328">
        <f>VLOOKUP(C1264,METADATA!$J$5:$Q$29,IF(E1264="HI",2,IF(E1264="LO",6,10))+IF(T1264=1,2,IF(D1264=7,1,(IF(WEEKDAY(B1264)=1,2,IF(WEEKDAY(B1264)=7,1,0))))))</f>
        <v>3</v>
      </c>
      <c r="V1264" s="328">
        <f>VLOOKUP(C1264,METADATA!$A$5:$H$29,IF(E1264="HI",2,IF(E1264="LO",6,10))+IF(T1264=1,2,IF(D1264=7,1,(IF(WEEKDAY(B1264)=1,2,IF(WEEKDAY(B1264)=7,1,0))))))</f>
        <v>3</v>
      </c>
    </row>
    <row r="1265" spans="2:22">
      <c r="B1265" s="318">
        <f t="shared" si="79"/>
        <v>46165</v>
      </c>
      <c r="C1265" s="312">
        <v>13</v>
      </c>
      <c r="D1265" s="368">
        <f>IFERROR((INDEX(METADATA!$T$2:$T$20,MATCH(B1265,METADATA!$S$2:$S$20,0))),0)</f>
        <v>0</v>
      </c>
      <c r="E1265" s="312" t="str">
        <f t="shared" si="76"/>
        <v>LO</v>
      </c>
      <c r="F1265" s="369">
        <f>VLOOKUP(C1265,METADATA!$A$5:$H$29,IF(E1265="HI",2,IF(E1265="LO",6,10))+IF(D1265=1,2,IF(D1265=7,1,(IF(WEEKDAY(B1265)=1,2,IF(WEEKDAY(B1265)=7,1,0))))))</f>
        <v>3</v>
      </c>
      <c r="G1265" s="369">
        <f>VLOOKUP(C1265,METADATA!$J$5:$Q$29,IF(E1265="HI",2,IF(E1265="LO",6,10))+IF(D1265=1,2,IF(D1265=7,1,(IF(WEEKDAY(B1265)=1,2,IF(WEEKDAY(B1265)=7,1,0))))))</f>
        <v>3</v>
      </c>
      <c r="H1265" s="370">
        <v>13156.944885253906</v>
      </c>
      <c r="I1265" s="370">
        <v>1995.6015048027039</v>
      </c>
      <c r="M1265" s="371">
        <f t="shared" si="77"/>
        <v>13307.427402754438</v>
      </c>
      <c r="N1265" s="329">
        <f t="shared" si="78"/>
        <v>0</v>
      </c>
      <c r="T1265" s="331">
        <v>0</v>
      </c>
      <c r="U1265" s="328">
        <f>VLOOKUP(C1265,METADATA!$J$5:$Q$29,IF(E1265="HI",2,IF(E1265="LO",6,10))+IF(T1265=1,2,IF(D1265=7,1,(IF(WEEKDAY(B1265)=1,2,IF(WEEKDAY(B1265)=7,1,0))))))</f>
        <v>3</v>
      </c>
      <c r="V1265" s="328">
        <f>VLOOKUP(C1265,METADATA!$A$5:$H$29,IF(E1265="HI",2,IF(E1265="LO",6,10))+IF(T1265=1,2,IF(D1265=7,1,(IF(WEEKDAY(B1265)=1,2,IF(WEEKDAY(B1265)=7,1,0))))))</f>
        <v>3</v>
      </c>
    </row>
    <row r="1266" spans="2:22">
      <c r="B1266" s="318">
        <f t="shared" si="79"/>
        <v>46165</v>
      </c>
      <c r="C1266" s="312">
        <v>14</v>
      </c>
      <c r="D1266" s="368">
        <f>IFERROR((INDEX(METADATA!$T$2:$T$20,MATCH(B1266,METADATA!$S$2:$S$20,0))),0)</f>
        <v>0</v>
      </c>
      <c r="E1266" s="312" t="str">
        <f t="shared" si="76"/>
        <v>LO</v>
      </c>
      <c r="F1266" s="369">
        <f>VLOOKUP(C1266,METADATA!$A$5:$H$29,IF(E1266="HI",2,IF(E1266="LO",6,10))+IF(D1266=1,2,IF(D1266=7,1,(IF(WEEKDAY(B1266)=1,2,IF(WEEKDAY(B1266)=7,1,0))))))</f>
        <v>3</v>
      </c>
      <c r="G1266" s="369">
        <f>VLOOKUP(C1266,METADATA!$J$5:$Q$29,IF(E1266="HI",2,IF(E1266="LO",6,10))+IF(D1266=1,2,IF(D1266=7,1,(IF(WEEKDAY(B1266)=1,2,IF(WEEKDAY(B1266)=7,1,0))))))</f>
        <v>3</v>
      </c>
      <c r="H1266" s="370">
        <v>13271.224731445313</v>
      </c>
      <c r="I1266" s="370">
        <v>1992.6240015029907</v>
      </c>
      <c r="M1266" s="371">
        <f t="shared" si="77"/>
        <v>13419.983468093076</v>
      </c>
      <c r="N1266" s="329">
        <f t="shared" si="78"/>
        <v>0</v>
      </c>
      <c r="T1266" s="331">
        <v>0</v>
      </c>
      <c r="U1266" s="328">
        <f>VLOOKUP(C1266,METADATA!$J$5:$Q$29,IF(E1266="HI",2,IF(E1266="LO",6,10))+IF(T1266=1,2,IF(D1266=7,1,(IF(WEEKDAY(B1266)=1,2,IF(WEEKDAY(B1266)=7,1,0))))))</f>
        <v>3</v>
      </c>
      <c r="V1266" s="328">
        <f>VLOOKUP(C1266,METADATA!$A$5:$H$29,IF(E1266="HI",2,IF(E1266="LO",6,10))+IF(T1266=1,2,IF(D1266=7,1,(IF(WEEKDAY(B1266)=1,2,IF(WEEKDAY(B1266)=7,1,0))))))</f>
        <v>3</v>
      </c>
    </row>
    <row r="1267" spans="2:22">
      <c r="B1267" s="318">
        <f t="shared" si="79"/>
        <v>46165</v>
      </c>
      <c r="C1267" s="312">
        <v>15</v>
      </c>
      <c r="D1267" s="368">
        <f>IFERROR((INDEX(METADATA!$T$2:$T$20,MATCH(B1267,METADATA!$S$2:$S$20,0))),0)</f>
        <v>0</v>
      </c>
      <c r="E1267" s="312" t="str">
        <f t="shared" si="76"/>
        <v>LO</v>
      </c>
      <c r="F1267" s="369">
        <f>VLOOKUP(C1267,METADATA!$A$5:$H$29,IF(E1267="HI",2,IF(E1267="LO",6,10))+IF(D1267=1,2,IF(D1267=7,1,(IF(WEEKDAY(B1267)=1,2,IF(WEEKDAY(B1267)=7,1,0))))))</f>
        <v>3</v>
      </c>
      <c r="G1267" s="369">
        <f>VLOOKUP(C1267,METADATA!$J$5:$Q$29,IF(E1267="HI",2,IF(E1267="LO",6,10))+IF(D1267=1,2,IF(D1267=7,1,(IF(WEEKDAY(B1267)=1,2,IF(WEEKDAY(B1267)=7,1,0))))))</f>
        <v>3</v>
      </c>
      <c r="H1267" s="370">
        <v>13259.655517578125</v>
      </c>
      <c r="I1267" s="370">
        <v>2081.8550148010254</v>
      </c>
      <c r="M1267" s="371">
        <f t="shared" si="77"/>
        <v>13422.093158203463</v>
      </c>
      <c r="N1267" s="329">
        <f t="shared" si="78"/>
        <v>0</v>
      </c>
      <c r="T1267" s="331">
        <v>0</v>
      </c>
      <c r="U1267" s="328">
        <f>VLOOKUP(C1267,METADATA!$J$5:$Q$29,IF(E1267="HI",2,IF(E1267="LO",6,10))+IF(T1267=1,2,IF(D1267=7,1,(IF(WEEKDAY(B1267)=1,2,IF(WEEKDAY(B1267)=7,1,0))))))</f>
        <v>3</v>
      </c>
      <c r="V1267" s="328">
        <f>VLOOKUP(C1267,METADATA!$A$5:$H$29,IF(E1267="HI",2,IF(E1267="LO",6,10))+IF(T1267=1,2,IF(D1267=7,1,(IF(WEEKDAY(B1267)=1,2,IF(WEEKDAY(B1267)=7,1,0))))))</f>
        <v>3</v>
      </c>
    </row>
    <row r="1268" spans="2:22">
      <c r="B1268" s="318">
        <f t="shared" si="79"/>
        <v>46165</v>
      </c>
      <c r="C1268" s="312">
        <v>16</v>
      </c>
      <c r="D1268" s="368">
        <f>IFERROR((INDEX(METADATA!$T$2:$T$20,MATCH(B1268,METADATA!$S$2:$S$20,0))),0)</f>
        <v>0</v>
      </c>
      <c r="E1268" s="312" t="str">
        <f t="shared" si="76"/>
        <v>LO</v>
      </c>
      <c r="F1268" s="369">
        <f>VLOOKUP(C1268,METADATA!$A$5:$H$29,IF(E1268="HI",2,IF(E1268="LO",6,10))+IF(D1268=1,2,IF(D1268=7,1,(IF(WEEKDAY(B1268)=1,2,IF(WEEKDAY(B1268)=7,1,0))))))</f>
        <v>3</v>
      </c>
      <c r="G1268" s="369">
        <f>VLOOKUP(C1268,METADATA!$J$5:$Q$29,IF(E1268="HI",2,IF(E1268="LO",6,10))+IF(D1268=1,2,IF(D1268=7,1,(IF(WEEKDAY(B1268)=1,2,IF(WEEKDAY(B1268)=7,1,0))))))</f>
        <v>3</v>
      </c>
      <c r="H1268" s="370">
        <v>13282.935119628906</v>
      </c>
      <c r="I1268" s="370">
        <v>1972.3685264587402</v>
      </c>
      <c r="M1268" s="371">
        <f t="shared" si="77"/>
        <v>13428.57412372721</v>
      </c>
      <c r="N1268" s="329">
        <f t="shared" si="78"/>
        <v>0</v>
      </c>
      <c r="T1268" s="331">
        <v>0</v>
      </c>
      <c r="U1268" s="328">
        <f>VLOOKUP(C1268,METADATA!$J$5:$Q$29,IF(E1268="HI",2,IF(E1268="LO",6,10))+IF(T1268=1,2,IF(D1268=7,1,(IF(WEEKDAY(B1268)=1,2,IF(WEEKDAY(B1268)=7,1,0))))))</f>
        <v>3</v>
      </c>
      <c r="V1268" s="328">
        <f>VLOOKUP(C1268,METADATA!$A$5:$H$29,IF(E1268="HI",2,IF(E1268="LO",6,10))+IF(T1268=1,2,IF(D1268=7,1,(IF(WEEKDAY(B1268)=1,2,IF(WEEKDAY(B1268)=7,1,0))))))</f>
        <v>3</v>
      </c>
    </row>
    <row r="1269" spans="2:22">
      <c r="B1269" s="318">
        <f t="shared" si="79"/>
        <v>46165</v>
      </c>
      <c r="C1269" s="312">
        <v>17</v>
      </c>
      <c r="D1269" s="368">
        <f>IFERROR((INDEX(METADATA!$T$2:$T$20,MATCH(B1269,METADATA!$S$2:$S$20,0))),0)</f>
        <v>0</v>
      </c>
      <c r="E1269" s="312" t="str">
        <f t="shared" si="76"/>
        <v>LO</v>
      </c>
      <c r="F1269" s="369">
        <f>VLOOKUP(C1269,METADATA!$A$5:$H$29,IF(E1269="HI",2,IF(E1269="LO",6,10))+IF(D1269=1,2,IF(D1269=7,1,(IF(WEEKDAY(B1269)=1,2,IF(WEEKDAY(B1269)=7,1,0))))))</f>
        <v>3</v>
      </c>
      <c r="G1269" s="369">
        <f>VLOOKUP(C1269,METADATA!$J$5:$Q$29,IF(E1269="HI",2,IF(E1269="LO",6,10))+IF(D1269=1,2,IF(D1269=7,1,(IF(WEEKDAY(B1269)=1,2,IF(WEEKDAY(B1269)=7,1,0))))))</f>
        <v>3</v>
      </c>
      <c r="H1269" s="370">
        <v>13295.335205078125</v>
      </c>
      <c r="I1269" s="370">
        <v>1841.591992855072</v>
      </c>
      <c r="M1269" s="371">
        <f t="shared" si="77"/>
        <v>13422.272508168568</v>
      </c>
      <c r="N1269" s="329">
        <f t="shared" si="78"/>
        <v>0</v>
      </c>
      <c r="T1269" s="331">
        <v>0</v>
      </c>
      <c r="U1269" s="328">
        <f>VLOOKUP(C1269,METADATA!$J$5:$Q$29,IF(E1269="HI",2,IF(E1269="LO",6,10))+IF(T1269=1,2,IF(D1269=7,1,(IF(WEEKDAY(B1269)=1,2,IF(WEEKDAY(B1269)=7,1,0))))))</f>
        <v>3</v>
      </c>
      <c r="V1269" s="328">
        <f>VLOOKUP(C1269,METADATA!$A$5:$H$29,IF(E1269="HI",2,IF(E1269="LO",6,10))+IF(T1269=1,2,IF(D1269=7,1,(IF(WEEKDAY(B1269)=1,2,IF(WEEKDAY(B1269)=7,1,0))))))</f>
        <v>3</v>
      </c>
    </row>
    <row r="1270" spans="2:22">
      <c r="B1270" s="318">
        <f t="shared" si="79"/>
        <v>46165</v>
      </c>
      <c r="C1270" s="312">
        <v>18</v>
      </c>
      <c r="D1270" s="368">
        <f>IFERROR((INDEX(METADATA!$T$2:$T$20,MATCH(B1270,METADATA!$S$2:$S$20,0))),0)</f>
        <v>0</v>
      </c>
      <c r="E1270" s="312" t="str">
        <f t="shared" si="76"/>
        <v>LO</v>
      </c>
      <c r="F1270" s="369">
        <f>VLOOKUP(C1270,METADATA!$A$5:$H$29,IF(E1270="HI",2,IF(E1270="LO",6,10))+IF(D1270=1,2,IF(D1270=7,1,(IF(WEEKDAY(B1270)=1,2,IF(WEEKDAY(B1270)=7,1,0))))))</f>
        <v>2</v>
      </c>
      <c r="G1270" s="369">
        <f>VLOOKUP(C1270,METADATA!$J$5:$Q$29,IF(E1270="HI",2,IF(E1270="LO",6,10))+IF(D1270=1,2,IF(D1270=7,1,(IF(WEEKDAY(B1270)=1,2,IF(WEEKDAY(B1270)=7,1,0))))))</f>
        <v>2</v>
      </c>
      <c r="H1270" s="370">
        <v>13342.504821777344</v>
      </c>
      <c r="I1270" s="370">
        <v>1959.7660264968872</v>
      </c>
      <c r="M1270" s="371">
        <f t="shared" si="77"/>
        <v>13485.663417042673</v>
      </c>
      <c r="N1270" s="329">
        <f t="shared" si="78"/>
        <v>0</v>
      </c>
      <c r="T1270" s="331">
        <v>0</v>
      </c>
      <c r="U1270" s="328">
        <f>VLOOKUP(C1270,METADATA!$J$5:$Q$29,IF(E1270="HI",2,IF(E1270="LO",6,10))+IF(T1270=1,2,IF(D1270=7,1,(IF(WEEKDAY(B1270)=1,2,IF(WEEKDAY(B1270)=7,1,0))))))</f>
        <v>2</v>
      </c>
      <c r="V1270" s="328">
        <f>VLOOKUP(C1270,METADATA!$A$5:$H$29,IF(E1270="HI",2,IF(E1270="LO",6,10))+IF(T1270=1,2,IF(D1270=7,1,(IF(WEEKDAY(B1270)=1,2,IF(WEEKDAY(B1270)=7,1,0))))))</f>
        <v>2</v>
      </c>
    </row>
    <row r="1271" spans="2:22">
      <c r="B1271" s="318">
        <f t="shared" si="79"/>
        <v>46165</v>
      </c>
      <c r="C1271" s="312">
        <v>19</v>
      </c>
      <c r="D1271" s="368">
        <f>IFERROR((INDEX(METADATA!$T$2:$T$20,MATCH(B1271,METADATA!$S$2:$S$20,0))),0)</f>
        <v>0</v>
      </c>
      <c r="E1271" s="312" t="str">
        <f t="shared" si="76"/>
        <v>LO</v>
      </c>
      <c r="F1271" s="369">
        <f>VLOOKUP(C1271,METADATA!$A$5:$H$29,IF(E1271="HI",2,IF(E1271="LO",6,10))+IF(D1271=1,2,IF(D1271=7,1,(IF(WEEKDAY(B1271)=1,2,IF(WEEKDAY(B1271)=7,1,0))))))</f>
        <v>2</v>
      </c>
      <c r="G1271" s="369">
        <f>VLOOKUP(C1271,METADATA!$J$5:$Q$29,IF(E1271="HI",2,IF(E1271="LO",6,10))+IF(D1271=1,2,IF(D1271=7,1,(IF(WEEKDAY(B1271)=1,2,IF(WEEKDAY(B1271)=7,1,0))))))</f>
        <v>2</v>
      </c>
      <c r="H1271" s="370">
        <v>13460.880493164063</v>
      </c>
      <c r="I1271" s="370">
        <v>2126.6669697761536</v>
      </c>
      <c r="M1271" s="371">
        <f t="shared" si="77"/>
        <v>13627.839742658469</v>
      </c>
      <c r="N1271" s="329">
        <f t="shared" si="78"/>
        <v>0</v>
      </c>
      <c r="T1271" s="331">
        <v>0</v>
      </c>
      <c r="U1271" s="328">
        <f>VLOOKUP(C1271,METADATA!$J$5:$Q$29,IF(E1271="HI",2,IF(E1271="LO",6,10))+IF(T1271=1,2,IF(D1271=7,1,(IF(WEEKDAY(B1271)=1,2,IF(WEEKDAY(B1271)=7,1,0))))))</f>
        <v>2</v>
      </c>
      <c r="V1271" s="328">
        <f>VLOOKUP(C1271,METADATA!$A$5:$H$29,IF(E1271="HI",2,IF(E1271="LO",6,10))+IF(T1271=1,2,IF(D1271=7,1,(IF(WEEKDAY(B1271)=1,2,IF(WEEKDAY(B1271)=7,1,0))))))</f>
        <v>2</v>
      </c>
    </row>
    <row r="1272" spans="2:22">
      <c r="B1272" s="318">
        <f t="shared" si="79"/>
        <v>46165</v>
      </c>
      <c r="C1272" s="312">
        <v>20</v>
      </c>
      <c r="D1272" s="368">
        <f>IFERROR((INDEX(METADATA!$T$2:$T$20,MATCH(B1272,METADATA!$S$2:$S$20,0))),0)</f>
        <v>0</v>
      </c>
      <c r="E1272" s="312" t="str">
        <f t="shared" si="76"/>
        <v>LO</v>
      </c>
      <c r="F1272" s="369">
        <f>VLOOKUP(C1272,METADATA!$A$5:$H$29,IF(E1272="HI",2,IF(E1272="LO",6,10))+IF(D1272=1,2,IF(D1272=7,1,(IF(WEEKDAY(B1272)=1,2,IF(WEEKDAY(B1272)=7,1,0))))))</f>
        <v>3</v>
      </c>
      <c r="G1272" s="369">
        <f>VLOOKUP(C1272,METADATA!$J$5:$Q$29,IF(E1272="HI",2,IF(E1272="LO",6,10))+IF(D1272=1,2,IF(D1272=7,1,(IF(WEEKDAY(B1272)=1,2,IF(WEEKDAY(B1272)=7,1,0))))))</f>
        <v>3</v>
      </c>
      <c r="H1272" s="370">
        <v>13457.224914550781</v>
      </c>
      <c r="I1272" s="370">
        <v>2176.3200023174286</v>
      </c>
      <c r="M1272" s="371">
        <f t="shared" si="77"/>
        <v>13632.067750465929</v>
      </c>
      <c r="N1272" s="329">
        <f t="shared" si="78"/>
        <v>0</v>
      </c>
      <c r="T1272" s="331">
        <v>0</v>
      </c>
      <c r="U1272" s="328">
        <f>VLOOKUP(C1272,METADATA!$J$5:$Q$29,IF(E1272="HI",2,IF(E1272="LO",6,10))+IF(T1272=1,2,IF(D1272=7,1,(IF(WEEKDAY(B1272)=1,2,IF(WEEKDAY(B1272)=7,1,0))))))</f>
        <v>3</v>
      </c>
      <c r="V1272" s="328">
        <f>VLOOKUP(C1272,METADATA!$A$5:$H$29,IF(E1272="HI",2,IF(E1272="LO",6,10))+IF(T1272=1,2,IF(D1272=7,1,(IF(WEEKDAY(B1272)=1,2,IF(WEEKDAY(B1272)=7,1,0))))))</f>
        <v>3</v>
      </c>
    </row>
    <row r="1273" spans="2:22">
      <c r="B1273" s="318">
        <f t="shared" si="79"/>
        <v>46165</v>
      </c>
      <c r="C1273" s="312">
        <v>21</v>
      </c>
      <c r="D1273" s="368">
        <f>IFERROR((INDEX(METADATA!$T$2:$T$20,MATCH(B1273,METADATA!$S$2:$S$20,0))),0)</f>
        <v>0</v>
      </c>
      <c r="E1273" s="312" t="str">
        <f t="shared" si="76"/>
        <v>LO</v>
      </c>
      <c r="F1273" s="369">
        <f>VLOOKUP(C1273,METADATA!$A$5:$H$29,IF(E1273="HI",2,IF(E1273="LO",6,10))+IF(D1273=1,2,IF(D1273=7,1,(IF(WEEKDAY(B1273)=1,2,IF(WEEKDAY(B1273)=7,1,0))))))</f>
        <v>3</v>
      </c>
      <c r="G1273" s="369">
        <f>VLOOKUP(C1273,METADATA!$J$5:$Q$29,IF(E1273="HI",2,IF(E1273="LO",6,10))+IF(D1273=1,2,IF(D1273=7,1,(IF(WEEKDAY(B1273)=1,2,IF(WEEKDAY(B1273)=7,1,0))))))</f>
        <v>3</v>
      </c>
      <c r="H1273" s="370">
        <v>13440.210083007813</v>
      </c>
      <c r="I1273" s="370">
        <v>2155.390017747879</v>
      </c>
      <c r="M1273" s="371">
        <f t="shared" si="77"/>
        <v>13611.941566286276</v>
      </c>
      <c r="N1273" s="329">
        <f t="shared" si="78"/>
        <v>0</v>
      </c>
      <c r="T1273" s="331">
        <v>0</v>
      </c>
      <c r="U1273" s="328">
        <f>VLOOKUP(C1273,METADATA!$J$5:$Q$29,IF(E1273="HI",2,IF(E1273="LO",6,10))+IF(T1273=1,2,IF(D1273=7,1,(IF(WEEKDAY(B1273)=1,2,IF(WEEKDAY(B1273)=7,1,0))))))</f>
        <v>3</v>
      </c>
      <c r="V1273" s="328">
        <f>VLOOKUP(C1273,METADATA!$A$5:$H$29,IF(E1273="HI",2,IF(E1273="LO",6,10))+IF(T1273=1,2,IF(D1273=7,1,(IF(WEEKDAY(B1273)=1,2,IF(WEEKDAY(B1273)=7,1,0))))))</f>
        <v>3</v>
      </c>
    </row>
    <row r="1274" spans="2:22">
      <c r="B1274" s="318">
        <f t="shared" si="79"/>
        <v>46165</v>
      </c>
      <c r="C1274" s="312">
        <v>22</v>
      </c>
      <c r="D1274" s="368">
        <f>IFERROR((INDEX(METADATA!$T$2:$T$20,MATCH(B1274,METADATA!$S$2:$S$20,0))),0)</f>
        <v>0</v>
      </c>
      <c r="E1274" s="312" t="str">
        <f t="shared" si="76"/>
        <v>LO</v>
      </c>
      <c r="F1274" s="369">
        <f>VLOOKUP(C1274,METADATA!$A$5:$H$29,IF(E1274="HI",2,IF(E1274="LO",6,10))+IF(D1274=1,2,IF(D1274=7,1,(IF(WEEKDAY(B1274)=1,2,IF(WEEKDAY(B1274)=7,1,0))))))</f>
        <v>3</v>
      </c>
      <c r="G1274" s="369">
        <f>VLOOKUP(C1274,METADATA!$J$5:$Q$29,IF(E1274="HI",2,IF(E1274="LO",6,10))+IF(D1274=1,2,IF(D1274=7,1,(IF(WEEKDAY(B1274)=1,2,IF(WEEKDAY(B1274)=7,1,0))))))</f>
        <v>3</v>
      </c>
      <c r="H1274" s="370">
        <v>13339.265197753906</v>
      </c>
      <c r="I1274" s="370">
        <v>2027.999018907547</v>
      </c>
      <c r="M1274" s="371">
        <f t="shared" si="77"/>
        <v>13492.545202321855</v>
      </c>
      <c r="N1274" s="329">
        <f t="shared" si="78"/>
        <v>0</v>
      </c>
      <c r="T1274" s="331">
        <v>0</v>
      </c>
      <c r="U1274" s="328">
        <f>VLOOKUP(C1274,METADATA!$J$5:$Q$29,IF(E1274="HI",2,IF(E1274="LO",6,10))+IF(T1274=1,2,IF(D1274=7,1,(IF(WEEKDAY(B1274)=1,2,IF(WEEKDAY(B1274)=7,1,0))))))</f>
        <v>3</v>
      </c>
      <c r="V1274" s="328">
        <f>VLOOKUP(C1274,METADATA!$A$5:$H$29,IF(E1274="HI",2,IF(E1274="LO",6,10))+IF(T1274=1,2,IF(D1274=7,1,(IF(WEEKDAY(B1274)=1,2,IF(WEEKDAY(B1274)=7,1,0))))))</f>
        <v>3</v>
      </c>
    </row>
    <row r="1275" spans="2:22">
      <c r="B1275" s="318">
        <f t="shared" si="79"/>
        <v>46165</v>
      </c>
      <c r="C1275" s="312">
        <v>23</v>
      </c>
      <c r="D1275" s="368">
        <f>IFERROR((INDEX(METADATA!$T$2:$T$20,MATCH(B1275,METADATA!$S$2:$S$20,0))),0)</f>
        <v>0</v>
      </c>
      <c r="E1275" s="312" t="str">
        <f t="shared" si="76"/>
        <v>LO</v>
      </c>
      <c r="F1275" s="369">
        <f>VLOOKUP(C1275,METADATA!$A$5:$H$29,IF(E1275="HI",2,IF(E1275="LO",6,10))+IF(D1275=1,2,IF(D1275=7,1,(IF(WEEKDAY(B1275)=1,2,IF(WEEKDAY(B1275)=7,1,0))))))</f>
        <v>3</v>
      </c>
      <c r="G1275" s="369">
        <f>VLOOKUP(C1275,METADATA!$J$5:$Q$29,IF(E1275="HI",2,IF(E1275="LO",6,10))+IF(D1275=1,2,IF(D1275=7,1,(IF(WEEKDAY(B1275)=1,2,IF(WEEKDAY(B1275)=7,1,0))))))</f>
        <v>3</v>
      </c>
      <c r="H1275" s="370">
        <v>13235.355041503906</v>
      </c>
      <c r="I1275" s="370">
        <v>2122.8729890584946</v>
      </c>
      <c r="M1275" s="371">
        <f t="shared" si="77"/>
        <v>13404.522102721045</v>
      </c>
      <c r="N1275" s="329">
        <f t="shared" si="78"/>
        <v>0</v>
      </c>
      <c r="T1275" s="331">
        <v>0</v>
      </c>
      <c r="U1275" s="328">
        <f>VLOOKUP(C1275,METADATA!$J$5:$Q$29,IF(E1275="HI",2,IF(E1275="LO",6,10))+IF(T1275=1,2,IF(D1275=7,1,(IF(WEEKDAY(B1275)=1,2,IF(WEEKDAY(B1275)=7,1,0))))))</f>
        <v>3</v>
      </c>
      <c r="V1275" s="328">
        <f>VLOOKUP(C1275,METADATA!$A$5:$H$29,IF(E1275="HI",2,IF(E1275="LO",6,10))+IF(T1275=1,2,IF(D1275=7,1,(IF(WEEKDAY(B1275)=1,2,IF(WEEKDAY(B1275)=7,1,0))))))</f>
        <v>3</v>
      </c>
    </row>
    <row r="1276" spans="2:22">
      <c r="B1276" s="318">
        <f t="shared" si="79"/>
        <v>46166</v>
      </c>
      <c r="C1276" s="312">
        <v>0</v>
      </c>
      <c r="D1276" s="368">
        <f>IFERROR((INDEX(METADATA!$T$2:$T$20,MATCH(B1276,METADATA!$S$2:$S$20,0))),0)</f>
        <v>0</v>
      </c>
      <c r="E1276" s="312" t="str">
        <f t="shared" si="76"/>
        <v>LO</v>
      </c>
      <c r="F1276" s="369">
        <f>VLOOKUP(C1276,METADATA!$A$5:$H$29,IF(E1276="HI",2,IF(E1276="LO",6,10))+IF(D1276=1,2,IF(D1276=7,1,(IF(WEEKDAY(B1276)=1,2,IF(WEEKDAY(B1276)=7,1,0))))))</f>
        <v>3</v>
      </c>
      <c r="G1276" s="369">
        <f>VLOOKUP(C1276,METADATA!$J$5:$Q$29,IF(E1276="HI",2,IF(E1276="LO",6,10))+IF(D1276=1,2,IF(D1276=7,1,(IF(WEEKDAY(B1276)=1,2,IF(WEEKDAY(B1276)=7,1,0))))))</f>
        <v>3</v>
      </c>
      <c r="H1276" s="370">
        <v>13222.854858398438</v>
      </c>
      <c r="I1276" s="370">
        <v>2186.7359811067581</v>
      </c>
      <c r="M1276" s="371">
        <f t="shared" si="77"/>
        <v>13402.451449542285</v>
      </c>
      <c r="N1276" s="329">
        <f t="shared" si="78"/>
        <v>0</v>
      </c>
      <c r="T1276" s="331">
        <v>0</v>
      </c>
      <c r="U1276" s="328">
        <f>VLOOKUP(C1276,METADATA!$J$5:$Q$29,IF(E1276="HI",2,IF(E1276="LO",6,10))+IF(T1276=1,2,IF(D1276=7,1,(IF(WEEKDAY(B1276)=1,2,IF(WEEKDAY(B1276)=7,1,0))))))</f>
        <v>3</v>
      </c>
      <c r="V1276" s="328">
        <f>VLOOKUP(C1276,METADATA!$A$5:$H$29,IF(E1276="HI",2,IF(E1276="LO",6,10))+IF(T1276=1,2,IF(D1276=7,1,(IF(WEEKDAY(B1276)=1,2,IF(WEEKDAY(B1276)=7,1,0))))))</f>
        <v>3</v>
      </c>
    </row>
    <row r="1277" spans="2:22">
      <c r="B1277" s="318">
        <f t="shared" si="79"/>
        <v>46166</v>
      </c>
      <c r="C1277" s="312">
        <v>1</v>
      </c>
      <c r="D1277" s="368">
        <f>IFERROR((INDEX(METADATA!$T$2:$T$20,MATCH(B1277,METADATA!$S$2:$S$20,0))),0)</f>
        <v>0</v>
      </c>
      <c r="E1277" s="312" t="str">
        <f t="shared" si="76"/>
        <v>LO</v>
      </c>
      <c r="F1277" s="369">
        <f>VLOOKUP(C1277,METADATA!$A$5:$H$29,IF(E1277="HI",2,IF(E1277="LO",6,10))+IF(D1277=1,2,IF(D1277=7,1,(IF(WEEKDAY(B1277)=1,2,IF(WEEKDAY(B1277)=7,1,0))))))</f>
        <v>3</v>
      </c>
      <c r="G1277" s="369">
        <f>VLOOKUP(C1277,METADATA!$J$5:$Q$29,IF(E1277="HI",2,IF(E1277="LO",6,10))+IF(D1277=1,2,IF(D1277=7,1,(IF(WEEKDAY(B1277)=1,2,IF(WEEKDAY(B1277)=7,1,0))))))</f>
        <v>3</v>
      </c>
      <c r="H1277" s="370">
        <v>13234.144836425781</v>
      </c>
      <c r="I1277" s="370">
        <v>2115.1425146460533</v>
      </c>
      <c r="M1277" s="371">
        <f t="shared" si="77"/>
        <v>13402.104961861714</v>
      </c>
      <c r="N1277" s="329">
        <f t="shared" si="78"/>
        <v>0</v>
      </c>
      <c r="T1277" s="331">
        <v>0</v>
      </c>
      <c r="U1277" s="328">
        <f>VLOOKUP(C1277,METADATA!$J$5:$Q$29,IF(E1277="HI",2,IF(E1277="LO",6,10))+IF(T1277=1,2,IF(D1277=7,1,(IF(WEEKDAY(B1277)=1,2,IF(WEEKDAY(B1277)=7,1,0))))))</f>
        <v>3</v>
      </c>
      <c r="V1277" s="328">
        <f>VLOOKUP(C1277,METADATA!$A$5:$H$29,IF(E1277="HI",2,IF(E1277="LO",6,10))+IF(T1277=1,2,IF(D1277=7,1,(IF(WEEKDAY(B1277)=1,2,IF(WEEKDAY(B1277)=7,1,0))))))</f>
        <v>3</v>
      </c>
    </row>
    <row r="1278" spans="2:22">
      <c r="B1278" s="318">
        <f t="shared" si="79"/>
        <v>46166</v>
      </c>
      <c r="C1278" s="312">
        <v>2</v>
      </c>
      <c r="D1278" s="368">
        <f>IFERROR((INDEX(METADATA!$T$2:$T$20,MATCH(B1278,METADATA!$S$2:$S$20,0))),0)</f>
        <v>0</v>
      </c>
      <c r="E1278" s="312" t="str">
        <f t="shared" si="76"/>
        <v>LO</v>
      </c>
      <c r="F1278" s="369">
        <f>VLOOKUP(C1278,METADATA!$A$5:$H$29,IF(E1278="HI",2,IF(E1278="LO",6,10))+IF(D1278=1,2,IF(D1278=7,1,(IF(WEEKDAY(B1278)=1,2,IF(WEEKDAY(B1278)=7,1,0))))))</f>
        <v>3</v>
      </c>
      <c r="G1278" s="369">
        <f>VLOOKUP(C1278,METADATA!$J$5:$Q$29,IF(E1278="HI",2,IF(E1278="LO",6,10))+IF(D1278=1,2,IF(D1278=7,1,(IF(WEEKDAY(B1278)=1,2,IF(WEEKDAY(B1278)=7,1,0))))))</f>
        <v>3</v>
      </c>
      <c r="H1278" s="370">
        <v>13383.945068359375</v>
      </c>
      <c r="I1278" s="370">
        <v>2035.1775360107422</v>
      </c>
      <c r="M1278" s="371">
        <f t="shared" si="77"/>
        <v>13537.796467518043</v>
      </c>
      <c r="N1278" s="329">
        <f t="shared" si="78"/>
        <v>0</v>
      </c>
      <c r="T1278" s="331">
        <v>0</v>
      </c>
      <c r="U1278" s="328">
        <f>VLOOKUP(C1278,METADATA!$J$5:$Q$29,IF(E1278="HI",2,IF(E1278="LO",6,10))+IF(T1278=1,2,IF(D1278=7,1,(IF(WEEKDAY(B1278)=1,2,IF(WEEKDAY(B1278)=7,1,0))))))</f>
        <v>3</v>
      </c>
      <c r="V1278" s="328">
        <f>VLOOKUP(C1278,METADATA!$A$5:$H$29,IF(E1278="HI",2,IF(E1278="LO",6,10))+IF(T1278=1,2,IF(D1278=7,1,(IF(WEEKDAY(B1278)=1,2,IF(WEEKDAY(B1278)=7,1,0))))))</f>
        <v>3</v>
      </c>
    </row>
    <row r="1279" spans="2:22">
      <c r="B1279" s="318">
        <f t="shared" si="79"/>
        <v>46166</v>
      </c>
      <c r="C1279" s="312">
        <v>3</v>
      </c>
      <c r="D1279" s="368">
        <f>IFERROR((INDEX(METADATA!$T$2:$T$20,MATCH(B1279,METADATA!$S$2:$S$20,0))),0)</f>
        <v>0</v>
      </c>
      <c r="E1279" s="312" t="str">
        <f t="shared" si="76"/>
        <v>LO</v>
      </c>
      <c r="F1279" s="369">
        <f>VLOOKUP(C1279,METADATA!$A$5:$H$29,IF(E1279="HI",2,IF(E1279="LO",6,10))+IF(D1279=1,2,IF(D1279=7,1,(IF(WEEKDAY(B1279)=1,2,IF(WEEKDAY(B1279)=7,1,0))))))</f>
        <v>3</v>
      </c>
      <c r="G1279" s="369">
        <f>VLOOKUP(C1279,METADATA!$J$5:$Q$29,IF(E1279="HI",2,IF(E1279="LO",6,10))+IF(D1279=1,2,IF(D1279=7,1,(IF(WEEKDAY(B1279)=1,2,IF(WEEKDAY(B1279)=7,1,0))))))</f>
        <v>3</v>
      </c>
      <c r="H1279" s="370">
        <v>13397.377807617188</v>
      </c>
      <c r="I1279" s="370">
        <v>1887.0255198478699</v>
      </c>
      <c r="M1279" s="371">
        <f t="shared" si="77"/>
        <v>13529.61926414009</v>
      </c>
      <c r="N1279" s="329">
        <f t="shared" si="78"/>
        <v>0</v>
      </c>
      <c r="T1279" s="331">
        <v>0</v>
      </c>
      <c r="U1279" s="328">
        <f>VLOOKUP(C1279,METADATA!$J$5:$Q$29,IF(E1279="HI",2,IF(E1279="LO",6,10))+IF(T1279=1,2,IF(D1279=7,1,(IF(WEEKDAY(B1279)=1,2,IF(WEEKDAY(B1279)=7,1,0))))))</f>
        <v>3</v>
      </c>
      <c r="V1279" s="328">
        <f>VLOOKUP(C1279,METADATA!$A$5:$H$29,IF(E1279="HI",2,IF(E1279="LO",6,10))+IF(T1279=1,2,IF(D1279=7,1,(IF(WEEKDAY(B1279)=1,2,IF(WEEKDAY(B1279)=7,1,0))))))</f>
        <v>3</v>
      </c>
    </row>
    <row r="1280" spans="2:22">
      <c r="B1280" s="318">
        <f t="shared" si="79"/>
        <v>46166</v>
      </c>
      <c r="C1280" s="312">
        <v>4</v>
      </c>
      <c r="D1280" s="368">
        <f>IFERROR((INDEX(METADATA!$T$2:$T$20,MATCH(B1280,METADATA!$S$2:$S$20,0))),0)</f>
        <v>0</v>
      </c>
      <c r="E1280" s="312" t="str">
        <f t="shared" si="76"/>
        <v>LO</v>
      </c>
      <c r="F1280" s="369">
        <f>VLOOKUP(C1280,METADATA!$A$5:$H$29,IF(E1280="HI",2,IF(E1280="LO",6,10))+IF(D1280=1,2,IF(D1280=7,1,(IF(WEEKDAY(B1280)=1,2,IF(WEEKDAY(B1280)=7,1,0))))))</f>
        <v>3</v>
      </c>
      <c r="G1280" s="369">
        <f>VLOOKUP(C1280,METADATA!$J$5:$Q$29,IF(E1280="HI",2,IF(E1280="LO",6,10))+IF(D1280=1,2,IF(D1280=7,1,(IF(WEEKDAY(B1280)=1,2,IF(WEEKDAY(B1280)=7,1,0))))))</f>
        <v>3</v>
      </c>
      <c r="H1280" s="370">
        <v>13435.684936523438</v>
      </c>
      <c r="I1280" s="370">
        <v>1837.1995006501675</v>
      </c>
      <c r="M1280" s="371">
        <f t="shared" si="77"/>
        <v>13560.712802751632</v>
      </c>
      <c r="N1280" s="329">
        <f t="shared" si="78"/>
        <v>0</v>
      </c>
      <c r="T1280" s="331">
        <v>0</v>
      </c>
      <c r="U1280" s="328">
        <f>VLOOKUP(C1280,METADATA!$J$5:$Q$29,IF(E1280="HI",2,IF(E1280="LO",6,10))+IF(T1280=1,2,IF(D1280=7,1,(IF(WEEKDAY(B1280)=1,2,IF(WEEKDAY(B1280)=7,1,0))))))</f>
        <v>3</v>
      </c>
      <c r="V1280" s="328">
        <f>VLOOKUP(C1280,METADATA!$A$5:$H$29,IF(E1280="HI",2,IF(E1280="LO",6,10))+IF(T1280=1,2,IF(D1280=7,1,(IF(WEEKDAY(B1280)=1,2,IF(WEEKDAY(B1280)=7,1,0))))))</f>
        <v>3</v>
      </c>
    </row>
    <row r="1281" spans="2:22">
      <c r="B1281" s="318">
        <f t="shared" si="79"/>
        <v>46166</v>
      </c>
      <c r="C1281" s="312">
        <v>5</v>
      </c>
      <c r="D1281" s="368">
        <f>IFERROR((INDEX(METADATA!$T$2:$T$20,MATCH(B1281,METADATA!$S$2:$S$20,0))),0)</f>
        <v>0</v>
      </c>
      <c r="E1281" s="312" t="str">
        <f t="shared" si="76"/>
        <v>LO</v>
      </c>
      <c r="F1281" s="369">
        <f>VLOOKUP(C1281,METADATA!$A$5:$H$29,IF(E1281="HI",2,IF(E1281="LO",6,10))+IF(D1281=1,2,IF(D1281=7,1,(IF(WEEKDAY(B1281)=1,2,IF(WEEKDAY(B1281)=7,1,0))))))</f>
        <v>3</v>
      </c>
      <c r="G1281" s="369">
        <f>VLOOKUP(C1281,METADATA!$J$5:$Q$29,IF(E1281="HI",2,IF(E1281="LO",6,10))+IF(D1281=1,2,IF(D1281=7,1,(IF(WEEKDAY(B1281)=1,2,IF(WEEKDAY(B1281)=7,1,0))))))</f>
        <v>3</v>
      </c>
      <c r="H1281" s="370">
        <v>13453.480407714844</v>
      </c>
      <c r="I1281" s="370">
        <v>1874.3024852275848</v>
      </c>
      <c r="M1281" s="371">
        <f t="shared" si="77"/>
        <v>13583.414330973545</v>
      </c>
      <c r="N1281" s="329">
        <f t="shared" si="78"/>
        <v>0</v>
      </c>
      <c r="T1281" s="331">
        <v>0</v>
      </c>
      <c r="U1281" s="328">
        <f>VLOOKUP(C1281,METADATA!$J$5:$Q$29,IF(E1281="HI",2,IF(E1281="LO",6,10))+IF(T1281=1,2,IF(D1281=7,1,(IF(WEEKDAY(B1281)=1,2,IF(WEEKDAY(B1281)=7,1,0))))))</f>
        <v>3</v>
      </c>
      <c r="V1281" s="328">
        <f>VLOOKUP(C1281,METADATA!$A$5:$H$29,IF(E1281="HI",2,IF(E1281="LO",6,10))+IF(T1281=1,2,IF(D1281=7,1,(IF(WEEKDAY(B1281)=1,2,IF(WEEKDAY(B1281)=7,1,0))))))</f>
        <v>3</v>
      </c>
    </row>
    <row r="1282" spans="2:22">
      <c r="B1282" s="318">
        <f t="shared" si="79"/>
        <v>46166</v>
      </c>
      <c r="C1282" s="312">
        <v>6</v>
      </c>
      <c r="D1282" s="368">
        <f>IFERROR((INDEX(METADATA!$T$2:$T$20,MATCH(B1282,METADATA!$S$2:$S$20,0))),0)</f>
        <v>0</v>
      </c>
      <c r="E1282" s="312" t="str">
        <f t="shared" si="76"/>
        <v>LO</v>
      </c>
      <c r="F1282" s="369">
        <f>VLOOKUP(C1282,METADATA!$A$5:$H$29,IF(E1282="HI",2,IF(E1282="LO",6,10))+IF(D1282=1,2,IF(D1282=7,1,(IF(WEEKDAY(B1282)=1,2,IF(WEEKDAY(B1282)=7,1,0))))))</f>
        <v>3</v>
      </c>
      <c r="G1282" s="369">
        <f>VLOOKUP(C1282,METADATA!$J$5:$Q$29,IF(E1282="HI",2,IF(E1282="LO",6,10))+IF(D1282=1,2,IF(D1282=7,1,(IF(WEEKDAY(B1282)=1,2,IF(WEEKDAY(B1282)=7,1,0))))))</f>
        <v>3</v>
      </c>
      <c r="H1282" s="370">
        <v>13483.659912109375</v>
      </c>
      <c r="I1282" s="370">
        <v>1988.1339243650436</v>
      </c>
      <c r="M1282" s="371">
        <f t="shared" si="77"/>
        <v>13629.444637498496</v>
      </c>
      <c r="N1282" s="329">
        <f t="shared" si="78"/>
        <v>0</v>
      </c>
      <c r="T1282" s="331">
        <v>0</v>
      </c>
      <c r="U1282" s="328">
        <f>VLOOKUP(C1282,METADATA!$J$5:$Q$29,IF(E1282="HI",2,IF(E1282="LO",6,10))+IF(T1282=1,2,IF(D1282=7,1,(IF(WEEKDAY(B1282)=1,2,IF(WEEKDAY(B1282)=7,1,0))))))</f>
        <v>3</v>
      </c>
      <c r="V1282" s="328">
        <f>VLOOKUP(C1282,METADATA!$A$5:$H$29,IF(E1282="HI",2,IF(E1282="LO",6,10))+IF(T1282=1,2,IF(D1282=7,1,(IF(WEEKDAY(B1282)=1,2,IF(WEEKDAY(B1282)=7,1,0))))))</f>
        <v>3</v>
      </c>
    </row>
    <row r="1283" spans="2:22">
      <c r="B1283" s="318">
        <f t="shared" si="79"/>
        <v>46166</v>
      </c>
      <c r="C1283" s="312">
        <v>7</v>
      </c>
      <c r="D1283" s="368">
        <f>IFERROR((INDEX(METADATA!$T$2:$T$20,MATCH(B1283,METADATA!$S$2:$S$20,0))),0)</f>
        <v>0</v>
      </c>
      <c r="E1283" s="312" t="str">
        <f t="shared" si="76"/>
        <v>LO</v>
      </c>
      <c r="F1283" s="369">
        <f>VLOOKUP(C1283,METADATA!$A$5:$H$29,IF(E1283="HI",2,IF(E1283="LO",6,10))+IF(D1283=1,2,IF(D1283=7,1,(IF(WEEKDAY(B1283)=1,2,IF(WEEKDAY(B1283)=7,1,0))))))</f>
        <v>3</v>
      </c>
      <c r="G1283" s="369">
        <f>VLOOKUP(C1283,METADATA!$J$5:$Q$29,IF(E1283="HI",2,IF(E1283="LO",6,10))+IF(D1283=1,2,IF(D1283=7,1,(IF(WEEKDAY(B1283)=1,2,IF(WEEKDAY(B1283)=7,1,0))))))</f>
        <v>3</v>
      </c>
      <c r="H1283" s="370">
        <v>13481.929870605469</v>
      </c>
      <c r="I1283" s="370">
        <v>2046.8179578781128</v>
      </c>
      <c r="M1283" s="371">
        <f t="shared" si="77"/>
        <v>13636.418033655918</v>
      </c>
      <c r="N1283" s="329">
        <f t="shared" si="78"/>
        <v>0</v>
      </c>
      <c r="T1283" s="331">
        <v>0</v>
      </c>
      <c r="U1283" s="328">
        <f>VLOOKUP(C1283,METADATA!$J$5:$Q$29,IF(E1283="HI",2,IF(E1283="LO",6,10))+IF(T1283=1,2,IF(D1283=7,1,(IF(WEEKDAY(B1283)=1,2,IF(WEEKDAY(B1283)=7,1,0))))))</f>
        <v>3</v>
      </c>
      <c r="V1283" s="328">
        <f>VLOOKUP(C1283,METADATA!$A$5:$H$29,IF(E1283="HI",2,IF(E1283="LO",6,10))+IF(T1283=1,2,IF(D1283=7,1,(IF(WEEKDAY(B1283)=1,2,IF(WEEKDAY(B1283)=7,1,0))))))</f>
        <v>3</v>
      </c>
    </row>
    <row r="1284" spans="2:22">
      <c r="B1284" s="318">
        <f t="shared" si="79"/>
        <v>46166</v>
      </c>
      <c r="C1284" s="312">
        <v>8</v>
      </c>
      <c r="D1284" s="368">
        <f>IFERROR((INDEX(METADATA!$T$2:$T$20,MATCH(B1284,METADATA!$S$2:$S$20,0))),0)</f>
        <v>0</v>
      </c>
      <c r="E1284" s="312" t="str">
        <f t="shared" ref="E1284:E1347" si="80">IF(B1284="","",IF(AND(MONTH(B1284)&gt;=MONTH($Z$9),MONTH(B1284)&lt;=MONTH($Z$11)),"HI","LO"))</f>
        <v>LO</v>
      </c>
      <c r="F1284" s="369">
        <f>VLOOKUP(C1284,METADATA!$A$5:$H$29,IF(E1284="HI",2,IF(E1284="LO",6,10))+IF(D1284=1,2,IF(D1284=7,1,(IF(WEEKDAY(B1284)=1,2,IF(WEEKDAY(B1284)=7,1,0))))))</f>
        <v>3</v>
      </c>
      <c r="G1284" s="369">
        <f>VLOOKUP(C1284,METADATA!$J$5:$Q$29,IF(E1284="HI",2,IF(E1284="LO",6,10))+IF(D1284=1,2,IF(D1284=7,1,(IF(WEEKDAY(B1284)=1,2,IF(WEEKDAY(B1284)=7,1,0))))))</f>
        <v>3</v>
      </c>
      <c r="H1284" s="370">
        <v>13367.594970703125</v>
      </c>
      <c r="I1284" s="370">
        <v>1993.3190269470215</v>
      </c>
      <c r="M1284" s="371">
        <f t="shared" ref="M1284:M1347" si="81">SQRT(H1284^2+I1284^2)</f>
        <v>13515.395519331149</v>
      </c>
      <c r="N1284" s="329">
        <f t="shared" ref="N1284:N1347" si="82">IF(H1284=0,0,(IF(I1284-(0.3*H1284)&lt;0,0,(I1284-(0.3*H1284)))))</f>
        <v>0</v>
      </c>
      <c r="T1284" s="331">
        <v>0</v>
      </c>
      <c r="U1284" s="328">
        <f>VLOOKUP(C1284,METADATA!$J$5:$Q$29,IF(E1284="HI",2,IF(E1284="LO",6,10))+IF(T1284=1,2,IF(D1284=7,1,(IF(WEEKDAY(B1284)=1,2,IF(WEEKDAY(B1284)=7,1,0))))))</f>
        <v>3</v>
      </c>
      <c r="V1284" s="328">
        <f>VLOOKUP(C1284,METADATA!$A$5:$H$29,IF(E1284="HI",2,IF(E1284="LO",6,10))+IF(T1284=1,2,IF(D1284=7,1,(IF(WEEKDAY(B1284)=1,2,IF(WEEKDAY(B1284)=7,1,0))))))</f>
        <v>3</v>
      </c>
    </row>
    <row r="1285" spans="2:22">
      <c r="B1285" s="318">
        <f t="shared" si="79"/>
        <v>46166</v>
      </c>
      <c r="C1285" s="312">
        <v>9</v>
      </c>
      <c r="D1285" s="368">
        <f>IFERROR((INDEX(METADATA!$T$2:$T$20,MATCH(B1285,METADATA!$S$2:$S$20,0))),0)</f>
        <v>0</v>
      </c>
      <c r="E1285" s="312" t="str">
        <f t="shared" si="80"/>
        <v>LO</v>
      </c>
      <c r="F1285" s="369">
        <f>VLOOKUP(C1285,METADATA!$A$5:$H$29,IF(E1285="HI",2,IF(E1285="LO",6,10))+IF(D1285=1,2,IF(D1285=7,1,(IF(WEEKDAY(B1285)=1,2,IF(WEEKDAY(B1285)=7,1,0))))))</f>
        <v>3</v>
      </c>
      <c r="G1285" s="369">
        <f>VLOOKUP(C1285,METADATA!$J$5:$Q$29,IF(E1285="HI",2,IF(E1285="LO",6,10))+IF(D1285=1,2,IF(D1285=7,1,(IF(WEEKDAY(B1285)=1,2,IF(WEEKDAY(B1285)=7,1,0))))))</f>
        <v>3</v>
      </c>
      <c r="H1285" s="370">
        <v>11228.595245361328</v>
      </c>
      <c r="I1285" s="370">
        <v>1375.587002441287</v>
      </c>
      <c r="M1285" s="371">
        <f t="shared" si="81"/>
        <v>11312.541305358245</v>
      </c>
      <c r="N1285" s="329">
        <f t="shared" si="82"/>
        <v>0</v>
      </c>
      <c r="T1285" s="331">
        <v>0</v>
      </c>
      <c r="U1285" s="328">
        <f>VLOOKUP(C1285,METADATA!$J$5:$Q$29,IF(E1285="HI",2,IF(E1285="LO",6,10))+IF(T1285=1,2,IF(D1285=7,1,(IF(WEEKDAY(B1285)=1,2,IF(WEEKDAY(B1285)=7,1,0))))))</f>
        <v>3</v>
      </c>
      <c r="V1285" s="328">
        <f>VLOOKUP(C1285,METADATA!$A$5:$H$29,IF(E1285="HI",2,IF(E1285="LO",6,10))+IF(T1285=1,2,IF(D1285=7,1,(IF(WEEKDAY(B1285)=1,2,IF(WEEKDAY(B1285)=7,1,0))))))</f>
        <v>3</v>
      </c>
    </row>
    <row r="1286" spans="2:22">
      <c r="B1286" s="318">
        <f t="shared" si="79"/>
        <v>46166</v>
      </c>
      <c r="C1286" s="312">
        <v>10</v>
      </c>
      <c r="D1286" s="368">
        <f>IFERROR((INDEX(METADATA!$T$2:$T$20,MATCH(B1286,METADATA!$S$2:$S$20,0))),0)</f>
        <v>0</v>
      </c>
      <c r="E1286" s="312" t="str">
        <f t="shared" si="80"/>
        <v>LO</v>
      </c>
      <c r="F1286" s="369">
        <f>VLOOKUP(C1286,METADATA!$A$5:$H$29,IF(E1286="HI",2,IF(E1286="LO",6,10))+IF(D1286=1,2,IF(D1286=7,1,(IF(WEEKDAY(B1286)=1,2,IF(WEEKDAY(B1286)=7,1,0))))))</f>
        <v>3</v>
      </c>
      <c r="G1286" s="369">
        <f>VLOOKUP(C1286,METADATA!$J$5:$Q$29,IF(E1286="HI",2,IF(E1286="LO",6,10))+IF(D1286=1,2,IF(D1286=7,1,(IF(WEEKDAY(B1286)=1,2,IF(WEEKDAY(B1286)=7,1,0))))))</f>
        <v>3</v>
      </c>
      <c r="H1286" s="370">
        <v>11382.129913330078</v>
      </c>
      <c r="I1286" s="370">
        <v>1363.823993563652</v>
      </c>
      <c r="M1286" s="371">
        <f t="shared" si="81"/>
        <v>11463.546451658984</v>
      </c>
      <c r="N1286" s="329">
        <f t="shared" si="82"/>
        <v>0</v>
      </c>
      <c r="T1286" s="331">
        <v>0</v>
      </c>
      <c r="U1286" s="328">
        <f>VLOOKUP(C1286,METADATA!$J$5:$Q$29,IF(E1286="HI",2,IF(E1286="LO",6,10))+IF(T1286=1,2,IF(D1286=7,1,(IF(WEEKDAY(B1286)=1,2,IF(WEEKDAY(B1286)=7,1,0))))))</f>
        <v>3</v>
      </c>
      <c r="V1286" s="328">
        <f>VLOOKUP(C1286,METADATA!$A$5:$H$29,IF(E1286="HI",2,IF(E1286="LO",6,10))+IF(T1286=1,2,IF(D1286=7,1,(IF(WEEKDAY(B1286)=1,2,IF(WEEKDAY(B1286)=7,1,0))))))</f>
        <v>3</v>
      </c>
    </row>
    <row r="1287" spans="2:22">
      <c r="B1287" s="318">
        <f t="shared" si="79"/>
        <v>46166</v>
      </c>
      <c r="C1287" s="312">
        <v>11</v>
      </c>
      <c r="D1287" s="368">
        <f>IFERROR((INDEX(METADATA!$T$2:$T$20,MATCH(B1287,METADATA!$S$2:$S$20,0))),0)</f>
        <v>0</v>
      </c>
      <c r="E1287" s="312" t="str">
        <f t="shared" si="80"/>
        <v>LO</v>
      </c>
      <c r="F1287" s="369">
        <f>VLOOKUP(C1287,METADATA!$A$5:$H$29,IF(E1287="HI",2,IF(E1287="LO",6,10))+IF(D1287=1,2,IF(D1287=7,1,(IF(WEEKDAY(B1287)=1,2,IF(WEEKDAY(B1287)=7,1,0))))))</f>
        <v>3</v>
      </c>
      <c r="G1287" s="369">
        <f>VLOOKUP(C1287,METADATA!$J$5:$Q$29,IF(E1287="HI",2,IF(E1287="LO",6,10))+IF(D1287=1,2,IF(D1287=7,1,(IF(WEEKDAY(B1287)=1,2,IF(WEEKDAY(B1287)=7,1,0))))))</f>
        <v>3</v>
      </c>
      <c r="H1287" s="370">
        <v>13253.470092773438</v>
      </c>
      <c r="I1287" s="370">
        <v>1791.0945224761963</v>
      </c>
      <c r="M1287" s="371">
        <f t="shared" si="81"/>
        <v>13373.948148863303</v>
      </c>
      <c r="N1287" s="329">
        <f t="shared" si="82"/>
        <v>0</v>
      </c>
      <c r="T1287" s="331">
        <v>0</v>
      </c>
      <c r="U1287" s="328">
        <f>VLOOKUP(C1287,METADATA!$J$5:$Q$29,IF(E1287="HI",2,IF(E1287="LO",6,10))+IF(T1287=1,2,IF(D1287=7,1,(IF(WEEKDAY(B1287)=1,2,IF(WEEKDAY(B1287)=7,1,0))))))</f>
        <v>3</v>
      </c>
      <c r="V1287" s="328">
        <f>VLOOKUP(C1287,METADATA!$A$5:$H$29,IF(E1287="HI",2,IF(E1287="LO",6,10))+IF(T1287=1,2,IF(D1287=7,1,(IF(WEEKDAY(B1287)=1,2,IF(WEEKDAY(B1287)=7,1,0))))))</f>
        <v>3</v>
      </c>
    </row>
    <row r="1288" spans="2:22">
      <c r="B1288" s="318">
        <f t="shared" si="79"/>
        <v>46166</v>
      </c>
      <c r="C1288" s="312">
        <v>12</v>
      </c>
      <c r="D1288" s="368">
        <f>IFERROR((INDEX(METADATA!$T$2:$T$20,MATCH(B1288,METADATA!$S$2:$S$20,0))),0)</f>
        <v>0</v>
      </c>
      <c r="E1288" s="312" t="str">
        <f t="shared" si="80"/>
        <v>LO</v>
      </c>
      <c r="F1288" s="369">
        <f>VLOOKUP(C1288,METADATA!$A$5:$H$29,IF(E1288="HI",2,IF(E1288="LO",6,10))+IF(D1288=1,2,IF(D1288=7,1,(IF(WEEKDAY(B1288)=1,2,IF(WEEKDAY(B1288)=7,1,0))))))</f>
        <v>3</v>
      </c>
      <c r="G1288" s="369">
        <f>VLOOKUP(C1288,METADATA!$J$5:$Q$29,IF(E1288="HI",2,IF(E1288="LO",6,10))+IF(D1288=1,2,IF(D1288=7,1,(IF(WEEKDAY(B1288)=1,2,IF(WEEKDAY(B1288)=7,1,0))))))</f>
        <v>3</v>
      </c>
      <c r="H1288" s="370">
        <v>13292.155029296875</v>
      </c>
      <c r="I1288" s="370">
        <v>1833.2894954681396</v>
      </c>
      <c r="M1288" s="371">
        <f t="shared" si="81"/>
        <v>13417.985530512991</v>
      </c>
      <c r="N1288" s="329">
        <f t="shared" si="82"/>
        <v>0</v>
      </c>
      <c r="T1288" s="331">
        <v>0</v>
      </c>
      <c r="U1288" s="328">
        <f>VLOOKUP(C1288,METADATA!$J$5:$Q$29,IF(E1288="HI",2,IF(E1288="LO",6,10))+IF(T1288=1,2,IF(D1288=7,1,(IF(WEEKDAY(B1288)=1,2,IF(WEEKDAY(B1288)=7,1,0))))))</f>
        <v>3</v>
      </c>
      <c r="V1288" s="328">
        <f>VLOOKUP(C1288,METADATA!$A$5:$H$29,IF(E1288="HI",2,IF(E1288="LO",6,10))+IF(T1288=1,2,IF(D1288=7,1,(IF(WEEKDAY(B1288)=1,2,IF(WEEKDAY(B1288)=7,1,0))))))</f>
        <v>3</v>
      </c>
    </row>
    <row r="1289" spans="2:22">
      <c r="B1289" s="318">
        <f t="shared" si="79"/>
        <v>46166</v>
      </c>
      <c r="C1289" s="312">
        <v>13</v>
      </c>
      <c r="D1289" s="368">
        <f>IFERROR((INDEX(METADATA!$T$2:$T$20,MATCH(B1289,METADATA!$S$2:$S$20,0))),0)</f>
        <v>0</v>
      </c>
      <c r="E1289" s="312" t="str">
        <f t="shared" si="80"/>
        <v>LO</v>
      </c>
      <c r="F1289" s="369">
        <f>VLOOKUP(C1289,METADATA!$A$5:$H$29,IF(E1289="HI",2,IF(E1289="LO",6,10))+IF(D1289=1,2,IF(D1289=7,1,(IF(WEEKDAY(B1289)=1,2,IF(WEEKDAY(B1289)=7,1,0))))))</f>
        <v>3</v>
      </c>
      <c r="G1289" s="369">
        <f>VLOOKUP(C1289,METADATA!$J$5:$Q$29,IF(E1289="HI",2,IF(E1289="LO",6,10))+IF(D1289=1,2,IF(D1289=7,1,(IF(WEEKDAY(B1289)=1,2,IF(WEEKDAY(B1289)=7,1,0))))))</f>
        <v>3</v>
      </c>
      <c r="H1289" s="370">
        <v>13305.019836425781</v>
      </c>
      <c r="I1289" s="370">
        <v>1923.5260353088379</v>
      </c>
      <c r="M1289" s="371">
        <f t="shared" si="81"/>
        <v>13443.344273512988</v>
      </c>
      <c r="N1289" s="329">
        <f t="shared" si="82"/>
        <v>0</v>
      </c>
      <c r="T1289" s="331">
        <v>0</v>
      </c>
      <c r="U1289" s="328">
        <f>VLOOKUP(C1289,METADATA!$J$5:$Q$29,IF(E1289="HI",2,IF(E1289="LO",6,10))+IF(T1289=1,2,IF(D1289=7,1,(IF(WEEKDAY(B1289)=1,2,IF(WEEKDAY(B1289)=7,1,0))))))</f>
        <v>3</v>
      </c>
      <c r="V1289" s="328">
        <f>VLOOKUP(C1289,METADATA!$A$5:$H$29,IF(E1289="HI",2,IF(E1289="LO",6,10))+IF(T1289=1,2,IF(D1289=7,1,(IF(WEEKDAY(B1289)=1,2,IF(WEEKDAY(B1289)=7,1,0))))))</f>
        <v>3</v>
      </c>
    </row>
    <row r="1290" spans="2:22">
      <c r="B1290" s="318">
        <f t="shared" si="79"/>
        <v>46166</v>
      </c>
      <c r="C1290" s="312">
        <v>14</v>
      </c>
      <c r="D1290" s="368">
        <f>IFERROR((INDEX(METADATA!$T$2:$T$20,MATCH(B1290,METADATA!$S$2:$S$20,0))),0)</f>
        <v>0</v>
      </c>
      <c r="E1290" s="312" t="str">
        <f t="shared" si="80"/>
        <v>LO</v>
      </c>
      <c r="F1290" s="369">
        <f>VLOOKUP(C1290,METADATA!$A$5:$H$29,IF(E1290="HI",2,IF(E1290="LO",6,10))+IF(D1290=1,2,IF(D1290=7,1,(IF(WEEKDAY(B1290)=1,2,IF(WEEKDAY(B1290)=7,1,0))))))</f>
        <v>3</v>
      </c>
      <c r="G1290" s="369">
        <f>VLOOKUP(C1290,METADATA!$J$5:$Q$29,IF(E1290="HI",2,IF(E1290="LO",6,10))+IF(D1290=1,2,IF(D1290=7,1,(IF(WEEKDAY(B1290)=1,2,IF(WEEKDAY(B1290)=7,1,0))))))</f>
        <v>3</v>
      </c>
      <c r="H1290" s="370">
        <v>13273.040222167969</v>
      </c>
      <c r="I1290" s="370">
        <v>1999.7540159225464</v>
      </c>
      <c r="M1290" s="371">
        <f t="shared" si="81"/>
        <v>13422.839225122496</v>
      </c>
      <c r="N1290" s="329">
        <f t="shared" si="82"/>
        <v>0</v>
      </c>
      <c r="T1290" s="331">
        <v>0</v>
      </c>
      <c r="U1290" s="328">
        <f>VLOOKUP(C1290,METADATA!$J$5:$Q$29,IF(E1290="HI",2,IF(E1290="LO",6,10))+IF(T1290=1,2,IF(D1290=7,1,(IF(WEEKDAY(B1290)=1,2,IF(WEEKDAY(B1290)=7,1,0))))))</f>
        <v>3</v>
      </c>
      <c r="V1290" s="328">
        <f>VLOOKUP(C1290,METADATA!$A$5:$H$29,IF(E1290="HI",2,IF(E1290="LO",6,10))+IF(T1290=1,2,IF(D1290=7,1,(IF(WEEKDAY(B1290)=1,2,IF(WEEKDAY(B1290)=7,1,0))))))</f>
        <v>3</v>
      </c>
    </row>
    <row r="1291" spans="2:22">
      <c r="B1291" s="318">
        <f t="shared" si="79"/>
        <v>46166</v>
      </c>
      <c r="C1291" s="312">
        <v>15</v>
      </c>
      <c r="D1291" s="368">
        <f>IFERROR((INDEX(METADATA!$T$2:$T$20,MATCH(B1291,METADATA!$S$2:$S$20,0))),0)</f>
        <v>0</v>
      </c>
      <c r="E1291" s="312" t="str">
        <f t="shared" si="80"/>
        <v>LO</v>
      </c>
      <c r="F1291" s="369">
        <f>VLOOKUP(C1291,METADATA!$A$5:$H$29,IF(E1291="HI",2,IF(E1291="LO",6,10))+IF(D1291=1,2,IF(D1291=7,1,(IF(WEEKDAY(B1291)=1,2,IF(WEEKDAY(B1291)=7,1,0))))))</f>
        <v>3</v>
      </c>
      <c r="G1291" s="369">
        <f>VLOOKUP(C1291,METADATA!$J$5:$Q$29,IF(E1291="HI",2,IF(E1291="LO",6,10))+IF(D1291=1,2,IF(D1291=7,1,(IF(WEEKDAY(B1291)=1,2,IF(WEEKDAY(B1291)=7,1,0))))))</f>
        <v>3</v>
      </c>
      <c r="H1291" s="370">
        <v>13290.60498046875</v>
      </c>
      <c r="I1291" s="370">
        <v>1983.3580017089844</v>
      </c>
      <c r="M1291" s="371">
        <f t="shared" si="81"/>
        <v>13437.778451433251</v>
      </c>
      <c r="N1291" s="329">
        <f t="shared" si="82"/>
        <v>0</v>
      </c>
      <c r="T1291" s="331">
        <v>0</v>
      </c>
      <c r="U1291" s="328">
        <f>VLOOKUP(C1291,METADATA!$J$5:$Q$29,IF(E1291="HI",2,IF(E1291="LO",6,10))+IF(T1291=1,2,IF(D1291=7,1,(IF(WEEKDAY(B1291)=1,2,IF(WEEKDAY(B1291)=7,1,0))))))</f>
        <v>3</v>
      </c>
      <c r="V1291" s="328">
        <f>VLOOKUP(C1291,METADATA!$A$5:$H$29,IF(E1291="HI",2,IF(E1291="LO",6,10))+IF(T1291=1,2,IF(D1291=7,1,(IF(WEEKDAY(B1291)=1,2,IF(WEEKDAY(B1291)=7,1,0))))))</f>
        <v>3</v>
      </c>
    </row>
    <row r="1292" spans="2:22">
      <c r="B1292" s="318">
        <f t="shared" si="79"/>
        <v>46166</v>
      </c>
      <c r="C1292" s="312">
        <v>16</v>
      </c>
      <c r="D1292" s="368">
        <f>IFERROR((INDEX(METADATA!$T$2:$T$20,MATCH(B1292,METADATA!$S$2:$S$20,0))),0)</f>
        <v>0</v>
      </c>
      <c r="E1292" s="312" t="str">
        <f t="shared" si="80"/>
        <v>LO</v>
      </c>
      <c r="F1292" s="369">
        <f>VLOOKUP(C1292,METADATA!$A$5:$H$29,IF(E1292="HI",2,IF(E1292="LO",6,10))+IF(D1292=1,2,IF(D1292=7,1,(IF(WEEKDAY(B1292)=1,2,IF(WEEKDAY(B1292)=7,1,0))))))</f>
        <v>3</v>
      </c>
      <c r="G1292" s="369">
        <f>VLOOKUP(C1292,METADATA!$J$5:$Q$29,IF(E1292="HI",2,IF(E1292="LO",6,10))+IF(D1292=1,2,IF(D1292=7,1,(IF(WEEKDAY(B1292)=1,2,IF(WEEKDAY(B1292)=7,1,0))))))</f>
        <v>3</v>
      </c>
      <c r="H1292" s="370">
        <v>13270.26025390625</v>
      </c>
      <c r="I1292" s="370">
        <v>1929.6470003128052</v>
      </c>
      <c r="M1292" s="371">
        <f t="shared" si="81"/>
        <v>13409.822696524372</v>
      </c>
      <c r="N1292" s="329">
        <f t="shared" si="82"/>
        <v>0</v>
      </c>
      <c r="T1292" s="331">
        <v>0</v>
      </c>
      <c r="U1292" s="328">
        <f>VLOOKUP(C1292,METADATA!$J$5:$Q$29,IF(E1292="HI",2,IF(E1292="LO",6,10))+IF(T1292=1,2,IF(D1292=7,1,(IF(WEEKDAY(B1292)=1,2,IF(WEEKDAY(B1292)=7,1,0))))))</f>
        <v>3</v>
      </c>
      <c r="V1292" s="328">
        <f>VLOOKUP(C1292,METADATA!$A$5:$H$29,IF(E1292="HI",2,IF(E1292="LO",6,10))+IF(T1292=1,2,IF(D1292=7,1,(IF(WEEKDAY(B1292)=1,2,IF(WEEKDAY(B1292)=7,1,0))))))</f>
        <v>3</v>
      </c>
    </row>
    <row r="1293" spans="2:22">
      <c r="B1293" s="318">
        <f t="shared" si="79"/>
        <v>46166</v>
      </c>
      <c r="C1293" s="312">
        <v>17</v>
      </c>
      <c r="D1293" s="368">
        <f>IFERROR((INDEX(METADATA!$T$2:$T$20,MATCH(B1293,METADATA!$S$2:$S$20,0))),0)</f>
        <v>0</v>
      </c>
      <c r="E1293" s="312" t="str">
        <f t="shared" si="80"/>
        <v>LO</v>
      </c>
      <c r="F1293" s="369">
        <f>VLOOKUP(C1293,METADATA!$A$5:$H$29,IF(E1293="HI",2,IF(E1293="LO",6,10))+IF(D1293=1,2,IF(D1293=7,1,(IF(WEEKDAY(B1293)=1,2,IF(WEEKDAY(B1293)=7,1,0))))))</f>
        <v>3</v>
      </c>
      <c r="G1293" s="369">
        <f>VLOOKUP(C1293,METADATA!$J$5:$Q$29,IF(E1293="HI",2,IF(E1293="LO",6,10))+IF(D1293=1,2,IF(D1293=7,1,(IF(WEEKDAY(B1293)=1,2,IF(WEEKDAY(B1293)=7,1,0))))))</f>
        <v>3</v>
      </c>
      <c r="H1293" s="370">
        <v>13044.385131835938</v>
      </c>
      <c r="I1293" s="370">
        <v>1775.4960179328918</v>
      </c>
      <c r="M1293" s="371">
        <f t="shared" si="81"/>
        <v>13164.663671258677</v>
      </c>
      <c r="N1293" s="329">
        <f t="shared" si="82"/>
        <v>0</v>
      </c>
      <c r="T1293" s="331">
        <v>0</v>
      </c>
      <c r="U1293" s="328">
        <f>VLOOKUP(C1293,METADATA!$J$5:$Q$29,IF(E1293="HI",2,IF(E1293="LO",6,10))+IF(T1293=1,2,IF(D1293=7,1,(IF(WEEKDAY(B1293)=1,2,IF(WEEKDAY(B1293)=7,1,0))))))</f>
        <v>3</v>
      </c>
      <c r="V1293" s="328">
        <f>VLOOKUP(C1293,METADATA!$A$5:$H$29,IF(E1293="HI",2,IF(E1293="LO",6,10))+IF(T1293=1,2,IF(D1293=7,1,(IF(WEEKDAY(B1293)=1,2,IF(WEEKDAY(B1293)=7,1,0))))))</f>
        <v>3</v>
      </c>
    </row>
    <row r="1294" spans="2:22">
      <c r="B1294" s="318">
        <f t="shared" si="79"/>
        <v>46166</v>
      </c>
      <c r="C1294" s="312">
        <v>18</v>
      </c>
      <c r="D1294" s="368">
        <f>IFERROR((INDEX(METADATA!$T$2:$T$20,MATCH(B1294,METADATA!$S$2:$S$20,0))),0)</f>
        <v>0</v>
      </c>
      <c r="E1294" s="312" t="str">
        <f t="shared" si="80"/>
        <v>LO</v>
      </c>
      <c r="F1294" s="369">
        <f>VLOOKUP(C1294,METADATA!$A$5:$H$29,IF(E1294="HI",2,IF(E1294="LO",6,10))+IF(D1294=1,2,IF(D1294=7,1,(IF(WEEKDAY(B1294)=1,2,IF(WEEKDAY(B1294)=7,1,0))))))</f>
        <v>2</v>
      </c>
      <c r="G1294" s="369">
        <f>VLOOKUP(C1294,METADATA!$J$5:$Q$29,IF(E1294="HI",2,IF(E1294="LO",6,10))+IF(D1294=1,2,IF(D1294=7,1,(IF(WEEKDAY(B1294)=1,2,IF(WEEKDAY(B1294)=7,1,0))))))</f>
        <v>2</v>
      </c>
      <c r="H1294" s="370">
        <v>12880.189575195313</v>
      </c>
      <c r="I1294" s="370">
        <v>1671.2630316615105</v>
      </c>
      <c r="M1294" s="371">
        <f t="shared" si="81"/>
        <v>12988.163981639915</v>
      </c>
      <c r="N1294" s="329">
        <f t="shared" si="82"/>
        <v>0</v>
      </c>
      <c r="T1294" s="331">
        <v>0</v>
      </c>
      <c r="U1294" s="328">
        <f>VLOOKUP(C1294,METADATA!$J$5:$Q$29,IF(E1294="HI",2,IF(E1294="LO",6,10))+IF(T1294=1,2,IF(D1294=7,1,(IF(WEEKDAY(B1294)=1,2,IF(WEEKDAY(B1294)=7,1,0))))))</f>
        <v>2</v>
      </c>
      <c r="V1294" s="328">
        <f>VLOOKUP(C1294,METADATA!$A$5:$H$29,IF(E1294="HI",2,IF(E1294="LO",6,10))+IF(T1294=1,2,IF(D1294=7,1,(IF(WEEKDAY(B1294)=1,2,IF(WEEKDAY(B1294)=7,1,0))))))</f>
        <v>2</v>
      </c>
    </row>
    <row r="1295" spans="2:22">
      <c r="B1295" s="318">
        <f t="shared" si="79"/>
        <v>46166</v>
      </c>
      <c r="C1295" s="312">
        <v>19</v>
      </c>
      <c r="D1295" s="368">
        <f>IFERROR((INDEX(METADATA!$T$2:$T$20,MATCH(B1295,METADATA!$S$2:$S$20,0))),0)</f>
        <v>0</v>
      </c>
      <c r="E1295" s="312" t="str">
        <f t="shared" si="80"/>
        <v>LO</v>
      </c>
      <c r="F1295" s="369">
        <f>VLOOKUP(C1295,METADATA!$A$5:$H$29,IF(E1295="HI",2,IF(E1295="LO",6,10))+IF(D1295=1,2,IF(D1295=7,1,(IF(WEEKDAY(B1295)=1,2,IF(WEEKDAY(B1295)=7,1,0))))))</f>
        <v>2</v>
      </c>
      <c r="G1295" s="369">
        <f>VLOOKUP(C1295,METADATA!$J$5:$Q$29,IF(E1295="HI",2,IF(E1295="LO",6,10))+IF(D1295=1,2,IF(D1295=7,1,(IF(WEEKDAY(B1295)=1,2,IF(WEEKDAY(B1295)=7,1,0))))))</f>
        <v>2</v>
      </c>
      <c r="H1295" s="370">
        <v>12842.239990234375</v>
      </c>
      <c r="I1295" s="370">
        <v>1734.240050047636</v>
      </c>
      <c r="M1295" s="371">
        <f t="shared" si="81"/>
        <v>12958.808452861869</v>
      </c>
      <c r="N1295" s="329">
        <f t="shared" si="82"/>
        <v>0</v>
      </c>
      <c r="T1295" s="331">
        <v>0</v>
      </c>
      <c r="U1295" s="328">
        <f>VLOOKUP(C1295,METADATA!$J$5:$Q$29,IF(E1295="HI",2,IF(E1295="LO",6,10))+IF(T1295=1,2,IF(D1295=7,1,(IF(WEEKDAY(B1295)=1,2,IF(WEEKDAY(B1295)=7,1,0))))))</f>
        <v>2</v>
      </c>
      <c r="V1295" s="328">
        <f>VLOOKUP(C1295,METADATA!$A$5:$H$29,IF(E1295="HI",2,IF(E1295="LO",6,10))+IF(T1295=1,2,IF(D1295=7,1,(IF(WEEKDAY(B1295)=1,2,IF(WEEKDAY(B1295)=7,1,0))))))</f>
        <v>2</v>
      </c>
    </row>
    <row r="1296" spans="2:22">
      <c r="B1296" s="318">
        <f t="shared" si="79"/>
        <v>46166</v>
      </c>
      <c r="C1296" s="312">
        <v>20</v>
      </c>
      <c r="D1296" s="368">
        <f>IFERROR((INDEX(METADATA!$T$2:$T$20,MATCH(B1296,METADATA!$S$2:$S$20,0))),0)</f>
        <v>0</v>
      </c>
      <c r="E1296" s="312" t="str">
        <f t="shared" si="80"/>
        <v>LO</v>
      </c>
      <c r="F1296" s="369">
        <f>VLOOKUP(C1296,METADATA!$A$5:$H$29,IF(E1296="HI",2,IF(E1296="LO",6,10))+IF(D1296=1,2,IF(D1296=7,1,(IF(WEEKDAY(B1296)=1,2,IF(WEEKDAY(B1296)=7,1,0))))))</f>
        <v>3</v>
      </c>
      <c r="G1296" s="369">
        <f>VLOOKUP(C1296,METADATA!$J$5:$Q$29,IF(E1296="HI",2,IF(E1296="LO",6,10))+IF(D1296=1,2,IF(D1296=7,1,(IF(WEEKDAY(B1296)=1,2,IF(WEEKDAY(B1296)=7,1,0))))))</f>
        <v>3</v>
      </c>
      <c r="H1296" s="370">
        <v>12631.660217285156</v>
      </c>
      <c r="I1296" s="370">
        <v>1637.4999987483025</v>
      </c>
      <c r="M1296" s="371">
        <f t="shared" si="81"/>
        <v>12737.356322677213</v>
      </c>
      <c r="N1296" s="329">
        <f t="shared" si="82"/>
        <v>0</v>
      </c>
      <c r="T1296" s="331">
        <v>0</v>
      </c>
      <c r="U1296" s="328">
        <f>VLOOKUP(C1296,METADATA!$J$5:$Q$29,IF(E1296="HI",2,IF(E1296="LO",6,10))+IF(T1296=1,2,IF(D1296=7,1,(IF(WEEKDAY(B1296)=1,2,IF(WEEKDAY(B1296)=7,1,0))))))</f>
        <v>3</v>
      </c>
      <c r="V1296" s="328">
        <f>VLOOKUP(C1296,METADATA!$A$5:$H$29,IF(E1296="HI",2,IF(E1296="LO",6,10))+IF(T1296=1,2,IF(D1296=7,1,(IF(WEEKDAY(B1296)=1,2,IF(WEEKDAY(B1296)=7,1,0))))))</f>
        <v>3</v>
      </c>
    </row>
    <row r="1297" spans="2:22">
      <c r="B1297" s="318">
        <f t="shared" si="79"/>
        <v>46166</v>
      </c>
      <c r="C1297" s="312">
        <v>21</v>
      </c>
      <c r="D1297" s="368">
        <f>IFERROR((INDEX(METADATA!$T$2:$T$20,MATCH(B1297,METADATA!$S$2:$S$20,0))),0)</f>
        <v>0</v>
      </c>
      <c r="E1297" s="312" t="str">
        <f t="shared" si="80"/>
        <v>LO</v>
      </c>
      <c r="F1297" s="369">
        <f>VLOOKUP(C1297,METADATA!$A$5:$H$29,IF(E1297="HI",2,IF(E1297="LO",6,10))+IF(D1297=1,2,IF(D1297=7,1,(IF(WEEKDAY(B1297)=1,2,IF(WEEKDAY(B1297)=7,1,0))))))</f>
        <v>3</v>
      </c>
      <c r="G1297" s="369">
        <f>VLOOKUP(C1297,METADATA!$J$5:$Q$29,IF(E1297="HI",2,IF(E1297="LO",6,10))+IF(D1297=1,2,IF(D1297=7,1,(IF(WEEKDAY(B1297)=1,2,IF(WEEKDAY(B1297)=7,1,0))))))</f>
        <v>3</v>
      </c>
      <c r="H1297" s="370">
        <v>12579.820007324219</v>
      </c>
      <c r="I1297" s="370">
        <v>1545.0220192074776</v>
      </c>
      <c r="M1297" s="371">
        <f t="shared" si="81"/>
        <v>12674.342762309636</v>
      </c>
      <c r="N1297" s="329">
        <f t="shared" si="82"/>
        <v>0</v>
      </c>
      <c r="T1297" s="331">
        <v>0</v>
      </c>
      <c r="U1297" s="328">
        <f>VLOOKUP(C1297,METADATA!$J$5:$Q$29,IF(E1297="HI",2,IF(E1297="LO",6,10))+IF(T1297=1,2,IF(D1297=7,1,(IF(WEEKDAY(B1297)=1,2,IF(WEEKDAY(B1297)=7,1,0))))))</f>
        <v>3</v>
      </c>
      <c r="V1297" s="328">
        <f>VLOOKUP(C1297,METADATA!$A$5:$H$29,IF(E1297="HI",2,IF(E1297="LO",6,10))+IF(T1297=1,2,IF(D1297=7,1,(IF(WEEKDAY(B1297)=1,2,IF(WEEKDAY(B1297)=7,1,0))))))</f>
        <v>3</v>
      </c>
    </row>
    <row r="1298" spans="2:22">
      <c r="B1298" s="318">
        <f t="shared" si="79"/>
        <v>46166</v>
      </c>
      <c r="C1298" s="312">
        <v>22</v>
      </c>
      <c r="D1298" s="368">
        <f>IFERROR((INDEX(METADATA!$T$2:$T$20,MATCH(B1298,METADATA!$S$2:$S$20,0))),0)</f>
        <v>0</v>
      </c>
      <c r="E1298" s="312" t="str">
        <f t="shared" si="80"/>
        <v>LO</v>
      </c>
      <c r="F1298" s="369">
        <f>VLOOKUP(C1298,METADATA!$A$5:$H$29,IF(E1298="HI",2,IF(E1298="LO",6,10))+IF(D1298=1,2,IF(D1298=7,1,(IF(WEEKDAY(B1298)=1,2,IF(WEEKDAY(B1298)=7,1,0))))))</f>
        <v>3</v>
      </c>
      <c r="G1298" s="369">
        <f>VLOOKUP(C1298,METADATA!$J$5:$Q$29,IF(E1298="HI",2,IF(E1298="LO",6,10))+IF(D1298=1,2,IF(D1298=7,1,(IF(WEEKDAY(B1298)=1,2,IF(WEEKDAY(B1298)=7,1,0))))))</f>
        <v>3</v>
      </c>
      <c r="H1298" s="370">
        <v>12922.190246582031</v>
      </c>
      <c r="I1298" s="370">
        <v>1619.9999634027481</v>
      </c>
      <c r="M1298" s="371">
        <f t="shared" si="81"/>
        <v>13023.3406102384</v>
      </c>
      <c r="N1298" s="329">
        <f t="shared" si="82"/>
        <v>0</v>
      </c>
      <c r="T1298" s="331">
        <v>0</v>
      </c>
      <c r="U1298" s="328">
        <f>VLOOKUP(C1298,METADATA!$J$5:$Q$29,IF(E1298="HI",2,IF(E1298="LO",6,10))+IF(T1298=1,2,IF(D1298=7,1,(IF(WEEKDAY(B1298)=1,2,IF(WEEKDAY(B1298)=7,1,0))))))</f>
        <v>3</v>
      </c>
      <c r="V1298" s="328">
        <f>VLOOKUP(C1298,METADATA!$A$5:$H$29,IF(E1298="HI",2,IF(E1298="LO",6,10))+IF(T1298=1,2,IF(D1298=7,1,(IF(WEEKDAY(B1298)=1,2,IF(WEEKDAY(B1298)=7,1,0))))))</f>
        <v>3</v>
      </c>
    </row>
    <row r="1299" spans="2:22">
      <c r="B1299" s="318">
        <f t="shared" si="79"/>
        <v>46166</v>
      </c>
      <c r="C1299" s="312">
        <v>23</v>
      </c>
      <c r="D1299" s="368">
        <f>IFERROR((INDEX(METADATA!$T$2:$T$20,MATCH(B1299,METADATA!$S$2:$S$20,0))),0)</f>
        <v>0</v>
      </c>
      <c r="E1299" s="312" t="str">
        <f t="shared" si="80"/>
        <v>LO</v>
      </c>
      <c r="F1299" s="369">
        <f>VLOOKUP(C1299,METADATA!$A$5:$H$29,IF(E1299="HI",2,IF(E1299="LO",6,10))+IF(D1299=1,2,IF(D1299=7,1,(IF(WEEKDAY(B1299)=1,2,IF(WEEKDAY(B1299)=7,1,0))))))</f>
        <v>3</v>
      </c>
      <c r="G1299" s="369">
        <f>VLOOKUP(C1299,METADATA!$J$5:$Q$29,IF(E1299="HI",2,IF(E1299="LO",6,10))+IF(D1299=1,2,IF(D1299=7,1,(IF(WEEKDAY(B1299)=1,2,IF(WEEKDAY(B1299)=7,1,0))))))</f>
        <v>3</v>
      </c>
      <c r="H1299" s="370">
        <v>12909.560119628906</v>
      </c>
      <c r="I1299" s="370">
        <v>1739.4470329284668</v>
      </c>
      <c r="M1299" s="371">
        <f t="shared" si="81"/>
        <v>13026.220421237955</v>
      </c>
      <c r="N1299" s="329">
        <f t="shared" si="82"/>
        <v>0</v>
      </c>
      <c r="T1299" s="331">
        <v>0</v>
      </c>
      <c r="U1299" s="328">
        <f>VLOOKUP(C1299,METADATA!$J$5:$Q$29,IF(E1299="HI",2,IF(E1299="LO",6,10))+IF(T1299=1,2,IF(D1299=7,1,(IF(WEEKDAY(B1299)=1,2,IF(WEEKDAY(B1299)=7,1,0))))))</f>
        <v>3</v>
      </c>
      <c r="V1299" s="328">
        <f>VLOOKUP(C1299,METADATA!$A$5:$H$29,IF(E1299="HI",2,IF(E1299="LO",6,10))+IF(T1299=1,2,IF(D1299=7,1,(IF(WEEKDAY(B1299)=1,2,IF(WEEKDAY(B1299)=7,1,0))))))</f>
        <v>3</v>
      </c>
    </row>
    <row r="1300" spans="2:22">
      <c r="B1300" s="318">
        <f t="shared" si="79"/>
        <v>46167</v>
      </c>
      <c r="C1300" s="312">
        <v>0</v>
      </c>
      <c r="D1300" s="368">
        <f>IFERROR((INDEX(METADATA!$T$2:$T$20,MATCH(B1300,METADATA!$S$2:$S$20,0))),0)</f>
        <v>0</v>
      </c>
      <c r="E1300" s="312" t="str">
        <f t="shared" si="80"/>
        <v>LO</v>
      </c>
      <c r="F1300" s="369">
        <f>VLOOKUP(C1300,METADATA!$A$5:$H$29,IF(E1300="HI",2,IF(E1300="LO",6,10))+IF(D1300=1,2,IF(D1300=7,1,(IF(WEEKDAY(B1300)=1,2,IF(WEEKDAY(B1300)=7,1,0))))))</f>
        <v>3</v>
      </c>
      <c r="G1300" s="369">
        <f>VLOOKUP(C1300,METADATA!$J$5:$Q$29,IF(E1300="HI",2,IF(E1300="LO",6,10))+IF(D1300=1,2,IF(D1300=7,1,(IF(WEEKDAY(B1300)=1,2,IF(WEEKDAY(B1300)=7,1,0))))))</f>
        <v>3</v>
      </c>
      <c r="H1300" s="370">
        <v>12974.43505859375</v>
      </c>
      <c r="I1300" s="370">
        <v>1768.1770162582397</v>
      </c>
      <c r="M1300" s="371">
        <f t="shared" si="81"/>
        <v>13094.365775038152</v>
      </c>
      <c r="N1300" s="329">
        <f t="shared" si="82"/>
        <v>0</v>
      </c>
      <c r="T1300" s="331">
        <v>0</v>
      </c>
      <c r="U1300" s="328">
        <f>VLOOKUP(C1300,METADATA!$J$5:$Q$29,IF(E1300="HI",2,IF(E1300="LO",6,10))+IF(T1300=1,2,IF(D1300=7,1,(IF(WEEKDAY(B1300)=1,2,IF(WEEKDAY(B1300)=7,1,0))))))</f>
        <v>3</v>
      </c>
      <c r="V1300" s="328">
        <f>VLOOKUP(C1300,METADATA!$A$5:$H$29,IF(E1300="HI",2,IF(E1300="LO",6,10))+IF(T1300=1,2,IF(D1300=7,1,(IF(WEEKDAY(B1300)=1,2,IF(WEEKDAY(B1300)=7,1,0))))))</f>
        <v>3</v>
      </c>
    </row>
    <row r="1301" spans="2:22">
      <c r="B1301" s="318">
        <f t="shared" si="79"/>
        <v>46167</v>
      </c>
      <c r="C1301" s="312">
        <v>1</v>
      </c>
      <c r="D1301" s="368">
        <f>IFERROR((INDEX(METADATA!$T$2:$T$20,MATCH(B1301,METADATA!$S$2:$S$20,0))),0)</f>
        <v>0</v>
      </c>
      <c r="E1301" s="312" t="str">
        <f t="shared" si="80"/>
        <v>LO</v>
      </c>
      <c r="F1301" s="369">
        <f>VLOOKUP(C1301,METADATA!$A$5:$H$29,IF(E1301="HI",2,IF(E1301="LO",6,10))+IF(D1301=1,2,IF(D1301=7,1,(IF(WEEKDAY(B1301)=1,2,IF(WEEKDAY(B1301)=7,1,0))))))</f>
        <v>3</v>
      </c>
      <c r="G1301" s="369">
        <f>VLOOKUP(C1301,METADATA!$J$5:$Q$29,IF(E1301="HI",2,IF(E1301="LO",6,10))+IF(D1301=1,2,IF(D1301=7,1,(IF(WEEKDAY(B1301)=1,2,IF(WEEKDAY(B1301)=7,1,0))))))</f>
        <v>3</v>
      </c>
      <c r="H1301" s="370">
        <v>12972.694396972656</v>
      </c>
      <c r="I1301" s="370">
        <v>1763.7860107421875</v>
      </c>
      <c r="M1301" s="371">
        <f t="shared" si="81"/>
        <v>13092.048770491789</v>
      </c>
      <c r="N1301" s="329">
        <f t="shared" si="82"/>
        <v>0</v>
      </c>
      <c r="T1301" s="331">
        <v>0</v>
      </c>
      <c r="U1301" s="328">
        <f>VLOOKUP(C1301,METADATA!$J$5:$Q$29,IF(E1301="HI",2,IF(E1301="LO",6,10))+IF(T1301=1,2,IF(D1301=7,1,(IF(WEEKDAY(B1301)=1,2,IF(WEEKDAY(B1301)=7,1,0))))))</f>
        <v>3</v>
      </c>
      <c r="V1301" s="328">
        <f>VLOOKUP(C1301,METADATA!$A$5:$H$29,IF(E1301="HI",2,IF(E1301="LO",6,10))+IF(T1301=1,2,IF(D1301=7,1,(IF(WEEKDAY(B1301)=1,2,IF(WEEKDAY(B1301)=7,1,0))))))</f>
        <v>3</v>
      </c>
    </row>
    <row r="1302" spans="2:22">
      <c r="B1302" s="318">
        <f t="shared" si="79"/>
        <v>46167</v>
      </c>
      <c r="C1302" s="312">
        <v>2</v>
      </c>
      <c r="D1302" s="368">
        <f>IFERROR((INDEX(METADATA!$T$2:$T$20,MATCH(B1302,METADATA!$S$2:$S$20,0))),0)</f>
        <v>0</v>
      </c>
      <c r="E1302" s="312" t="str">
        <f t="shared" si="80"/>
        <v>LO</v>
      </c>
      <c r="F1302" s="369">
        <f>VLOOKUP(C1302,METADATA!$A$5:$H$29,IF(E1302="HI",2,IF(E1302="LO",6,10))+IF(D1302=1,2,IF(D1302=7,1,(IF(WEEKDAY(B1302)=1,2,IF(WEEKDAY(B1302)=7,1,0))))))</f>
        <v>3</v>
      </c>
      <c r="G1302" s="369">
        <f>VLOOKUP(C1302,METADATA!$J$5:$Q$29,IF(E1302="HI",2,IF(E1302="LO",6,10))+IF(D1302=1,2,IF(D1302=7,1,(IF(WEEKDAY(B1302)=1,2,IF(WEEKDAY(B1302)=7,1,0))))))</f>
        <v>3</v>
      </c>
      <c r="H1302" s="370">
        <v>13089.620056152344</v>
      </c>
      <c r="I1302" s="370">
        <v>1736.2764434814453</v>
      </c>
      <c r="M1302" s="371">
        <f t="shared" si="81"/>
        <v>13204.272380658249</v>
      </c>
      <c r="N1302" s="329">
        <f t="shared" si="82"/>
        <v>0</v>
      </c>
      <c r="T1302" s="331">
        <v>0</v>
      </c>
      <c r="U1302" s="328">
        <f>VLOOKUP(C1302,METADATA!$J$5:$Q$29,IF(E1302="HI",2,IF(E1302="LO",6,10))+IF(T1302=1,2,IF(D1302=7,1,(IF(WEEKDAY(B1302)=1,2,IF(WEEKDAY(B1302)=7,1,0))))))</f>
        <v>3</v>
      </c>
      <c r="V1302" s="328">
        <f>VLOOKUP(C1302,METADATA!$A$5:$H$29,IF(E1302="HI",2,IF(E1302="LO",6,10))+IF(T1302=1,2,IF(D1302=7,1,(IF(WEEKDAY(B1302)=1,2,IF(WEEKDAY(B1302)=7,1,0))))))</f>
        <v>3</v>
      </c>
    </row>
    <row r="1303" spans="2:22">
      <c r="B1303" s="318">
        <f t="shared" si="79"/>
        <v>46167</v>
      </c>
      <c r="C1303" s="312">
        <v>3</v>
      </c>
      <c r="D1303" s="368">
        <f>IFERROR((INDEX(METADATA!$T$2:$T$20,MATCH(B1303,METADATA!$S$2:$S$20,0))),0)</f>
        <v>0</v>
      </c>
      <c r="E1303" s="312" t="str">
        <f t="shared" si="80"/>
        <v>LO</v>
      </c>
      <c r="F1303" s="369">
        <f>VLOOKUP(C1303,METADATA!$A$5:$H$29,IF(E1303="HI",2,IF(E1303="LO",6,10))+IF(D1303=1,2,IF(D1303=7,1,(IF(WEEKDAY(B1303)=1,2,IF(WEEKDAY(B1303)=7,1,0))))))</f>
        <v>3</v>
      </c>
      <c r="G1303" s="369">
        <f>VLOOKUP(C1303,METADATA!$J$5:$Q$29,IF(E1303="HI",2,IF(E1303="LO",6,10))+IF(D1303=1,2,IF(D1303=7,1,(IF(WEEKDAY(B1303)=1,2,IF(WEEKDAY(B1303)=7,1,0))))))</f>
        <v>3</v>
      </c>
      <c r="H1303" s="370">
        <v>13134.589660644531</v>
      </c>
      <c r="I1303" s="370">
        <v>1663.0554785728455</v>
      </c>
      <c r="M1303" s="371">
        <f t="shared" si="81"/>
        <v>13239.456147377103</v>
      </c>
      <c r="N1303" s="329">
        <f t="shared" si="82"/>
        <v>0</v>
      </c>
      <c r="T1303" s="331">
        <v>0</v>
      </c>
      <c r="U1303" s="328">
        <f>VLOOKUP(C1303,METADATA!$J$5:$Q$29,IF(E1303="HI",2,IF(E1303="LO",6,10))+IF(T1303=1,2,IF(D1303=7,1,(IF(WEEKDAY(B1303)=1,2,IF(WEEKDAY(B1303)=7,1,0))))))</f>
        <v>3</v>
      </c>
      <c r="V1303" s="328">
        <f>VLOOKUP(C1303,METADATA!$A$5:$H$29,IF(E1303="HI",2,IF(E1303="LO",6,10))+IF(T1303=1,2,IF(D1303=7,1,(IF(WEEKDAY(B1303)=1,2,IF(WEEKDAY(B1303)=7,1,0))))))</f>
        <v>3</v>
      </c>
    </row>
    <row r="1304" spans="2:22">
      <c r="B1304" s="318">
        <f t="shared" si="79"/>
        <v>46167</v>
      </c>
      <c r="C1304" s="312">
        <v>4</v>
      </c>
      <c r="D1304" s="368">
        <f>IFERROR((INDEX(METADATA!$T$2:$T$20,MATCH(B1304,METADATA!$S$2:$S$20,0))),0)</f>
        <v>0</v>
      </c>
      <c r="E1304" s="312" t="str">
        <f t="shared" si="80"/>
        <v>LO</v>
      </c>
      <c r="F1304" s="369">
        <f>VLOOKUP(C1304,METADATA!$A$5:$H$29,IF(E1304="HI",2,IF(E1304="LO",6,10))+IF(D1304=1,2,IF(D1304=7,1,(IF(WEEKDAY(B1304)=1,2,IF(WEEKDAY(B1304)=7,1,0))))))</f>
        <v>3</v>
      </c>
      <c r="G1304" s="369">
        <f>VLOOKUP(C1304,METADATA!$J$5:$Q$29,IF(E1304="HI",2,IF(E1304="LO",6,10))+IF(D1304=1,2,IF(D1304=7,1,(IF(WEEKDAY(B1304)=1,2,IF(WEEKDAY(B1304)=7,1,0))))))</f>
        <v>3</v>
      </c>
      <c r="H1304" s="370">
        <v>13143.950134277344</v>
      </c>
      <c r="I1304" s="370">
        <v>1676.9760117530823</v>
      </c>
      <c r="M1304" s="371">
        <f t="shared" si="81"/>
        <v>13250.497110537577</v>
      </c>
      <c r="N1304" s="329">
        <f t="shared" si="82"/>
        <v>0</v>
      </c>
      <c r="T1304" s="331">
        <v>0</v>
      </c>
      <c r="U1304" s="328">
        <f>VLOOKUP(C1304,METADATA!$J$5:$Q$29,IF(E1304="HI",2,IF(E1304="LO",6,10))+IF(T1304=1,2,IF(D1304=7,1,(IF(WEEKDAY(B1304)=1,2,IF(WEEKDAY(B1304)=7,1,0))))))</f>
        <v>3</v>
      </c>
      <c r="V1304" s="328">
        <f>VLOOKUP(C1304,METADATA!$A$5:$H$29,IF(E1304="HI",2,IF(E1304="LO",6,10))+IF(T1304=1,2,IF(D1304=7,1,(IF(WEEKDAY(B1304)=1,2,IF(WEEKDAY(B1304)=7,1,0))))))</f>
        <v>3</v>
      </c>
    </row>
    <row r="1305" spans="2:22">
      <c r="B1305" s="318">
        <f t="shared" si="79"/>
        <v>46167</v>
      </c>
      <c r="C1305" s="312">
        <v>5</v>
      </c>
      <c r="D1305" s="368">
        <f>IFERROR((INDEX(METADATA!$T$2:$T$20,MATCH(B1305,METADATA!$S$2:$S$20,0))),0)</f>
        <v>0</v>
      </c>
      <c r="E1305" s="312" t="str">
        <f t="shared" si="80"/>
        <v>LO</v>
      </c>
      <c r="F1305" s="369">
        <f>VLOOKUP(C1305,METADATA!$A$5:$H$29,IF(E1305="HI",2,IF(E1305="LO",6,10))+IF(D1305=1,2,IF(D1305=7,1,(IF(WEEKDAY(B1305)=1,2,IF(WEEKDAY(B1305)=7,1,0))))))</f>
        <v>3</v>
      </c>
      <c r="G1305" s="369">
        <f>VLOOKUP(C1305,METADATA!$J$5:$Q$29,IF(E1305="HI",2,IF(E1305="LO",6,10))+IF(D1305=1,2,IF(D1305=7,1,(IF(WEEKDAY(B1305)=1,2,IF(WEEKDAY(B1305)=7,1,0))))))</f>
        <v>3</v>
      </c>
      <c r="H1305" s="370">
        <v>13162.834838867188</v>
      </c>
      <c r="I1305" s="370">
        <v>1644.0734829902649</v>
      </c>
      <c r="M1305" s="371">
        <f t="shared" si="81"/>
        <v>13265.11208444043</v>
      </c>
      <c r="N1305" s="329">
        <f t="shared" si="82"/>
        <v>0</v>
      </c>
      <c r="T1305" s="331">
        <v>0</v>
      </c>
      <c r="U1305" s="328">
        <f>VLOOKUP(C1305,METADATA!$J$5:$Q$29,IF(E1305="HI",2,IF(E1305="LO",6,10))+IF(T1305=1,2,IF(D1305=7,1,(IF(WEEKDAY(B1305)=1,2,IF(WEEKDAY(B1305)=7,1,0))))))</f>
        <v>3</v>
      </c>
      <c r="V1305" s="328">
        <f>VLOOKUP(C1305,METADATA!$A$5:$H$29,IF(E1305="HI",2,IF(E1305="LO",6,10))+IF(T1305=1,2,IF(D1305=7,1,(IF(WEEKDAY(B1305)=1,2,IF(WEEKDAY(B1305)=7,1,0))))))</f>
        <v>3</v>
      </c>
    </row>
    <row r="1306" spans="2:22">
      <c r="B1306" s="318">
        <f t="shared" si="79"/>
        <v>46167</v>
      </c>
      <c r="C1306" s="312">
        <v>6</v>
      </c>
      <c r="D1306" s="368">
        <f>IFERROR((INDEX(METADATA!$T$2:$T$20,MATCH(B1306,METADATA!$S$2:$S$20,0))),0)</f>
        <v>0</v>
      </c>
      <c r="E1306" s="312" t="str">
        <f t="shared" si="80"/>
        <v>LO</v>
      </c>
      <c r="F1306" s="369">
        <f>VLOOKUP(C1306,METADATA!$A$5:$H$29,IF(E1306="HI",2,IF(E1306="LO",6,10))+IF(D1306=1,2,IF(D1306=7,1,(IF(WEEKDAY(B1306)=1,2,IF(WEEKDAY(B1306)=7,1,0))))))</f>
        <v>2</v>
      </c>
      <c r="G1306" s="369">
        <f>VLOOKUP(C1306,METADATA!$J$5:$Q$29,IF(E1306="HI",2,IF(E1306="LO",6,10))+IF(D1306=1,2,IF(D1306=7,1,(IF(WEEKDAY(B1306)=1,2,IF(WEEKDAY(B1306)=7,1,0))))))</f>
        <v>2</v>
      </c>
      <c r="H1306" s="370">
        <v>13241.694885253906</v>
      </c>
      <c r="I1306" s="370">
        <v>1630.0544986724854</v>
      </c>
      <c r="M1306" s="371">
        <f t="shared" si="81"/>
        <v>13341.647615748283</v>
      </c>
      <c r="N1306" s="329">
        <f t="shared" si="82"/>
        <v>0</v>
      </c>
      <c r="T1306" s="331">
        <v>0</v>
      </c>
      <c r="U1306" s="328">
        <f>VLOOKUP(C1306,METADATA!$J$5:$Q$29,IF(E1306="HI",2,IF(E1306="LO",6,10))+IF(T1306=1,2,IF(D1306=7,1,(IF(WEEKDAY(B1306)=1,2,IF(WEEKDAY(B1306)=7,1,0))))))</f>
        <v>2</v>
      </c>
      <c r="V1306" s="328">
        <f>VLOOKUP(C1306,METADATA!$A$5:$H$29,IF(E1306="HI",2,IF(E1306="LO",6,10))+IF(T1306=1,2,IF(D1306=7,1,(IF(WEEKDAY(B1306)=1,2,IF(WEEKDAY(B1306)=7,1,0))))))</f>
        <v>2</v>
      </c>
    </row>
    <row r="1307" spans="2:22">
      <c r="B1307" s="318">
        <f t="shared" si="79"/>
        <v>46167</v>
      </c>
      <c r="C1307" s="312">
        <v>7</v>
      </c>
      <c r="D1307" s="368">
        <f>IFERROR((INDEX(METADATA!$T$2:$T$20,MATCH(B1307,METADATA!$S$2:$S$20,0))),0)</f>
        <v>0</v>
      </c>
      <c r="E1307" s="312" t="str">
        <f t="shared" si="80"/>
        <v>LO</v>
      </c>
      <c r="F1307" s="369">
        <f>VLOOKUP(C1307,METADATA!$A$5:$H$29,IF(E1307="HI",2,IF(E1307="LO",6,10))+IF(D1307=1,2,IF(D1307=7,1,(IF(WEEKDAY(B1307)=1,2,IF(WEEKDAY(B1307)=7,1,0))))))</f>
        <v>1</v>
      </c>
      <c r="G1307" s="369">
        <f>VLOOKUP(C1307,METADATA!$J$5:$Q$29,IF(E1307="HI",2,IF(E1307="LO",6,10))+IF(D1307=1,2,IF(D1307=7,1,(IF(WEEKDAY(B1307)=1,2,IF(WEEKDAY(B1307)=7,1,0))))))</f>
        <v>1</v>
      </c>
      <c r="H1307" s="370">
        <v>13324.219970703125</v>
      </c>
      <c r="I1307" s="370">
        <v>1629.8885164260864</v>
      </c>
      <c r="M1307" s="371">
        <f t="shared" si="81"/>
        <v>13423.538073237682</v>
      </c>
      <c r="N1307" s="329">
        <f t="shared" si="82"/>
        <v>0</v>
      </c>
      <c r="T1307" s="331">
        <v>0</v>
      </c>
      <c r="U1307" s="328">
        <f>VLOOKUP(C1307,METADATA!$J$5:$Q$29,IF(E1307="HI",2,IF(E1307="LO",6,10))+IF(T1307=1,2,IF(D1307=7,1,(IF(WEEKDAY(B1307)=1,2,IF(WEEKDAY(B1307)=7,1,0))))))</f>
        <v>1</v>
      </c>
      <c r="V1307" s="328">
        <f>VLOOKUP(C1307,METADATA!$A$5:$H$29,IF(E1307="HI",2,IF(E1307="LO",6,10))+IF(T1307=1,2,IF(D1307=7,1,(IF(WEEKDAY(B1307)=1,2,IF(WEEKDAY(B1307)=7,1,0))))))</f>
        <v>1</v>
      </c>
    </row>
    <row r="1308" spans="2:22">
      <c r="B1308" s="318">
        <f t="shared" ref="B1308:B1371" si="83">B1284+1</f>
        <v>46167</v>
      </c>
      <c r="C1308" s="312">
        <v>8</v>
      </c>
      <c r="D1308" s="368">
        <f>IFERROR((INDEX(METADATA!$T$2:$T$20,MATCH(B1308,METADATA!$S$2:$S$20,0))),0)</f>
        <v>0</v>
      </c>
      <c r="E1308" s="312" t="str">
        <f t="shared" si="80"/>
        <v>LO</v>
      </c>
      <c r="F1308" s="369">
        <f>VLOOKUP(C1308,METADATA!$A$5:$H$29,IF(E1308="HI",2,IF(E1308="LO",6,10))+IF(D1308=1,2,IF(D1308=7,1,(IF(WEEKDAY(B1308)=1,2,IF(WEEKDAY(B1308)=7,1,0))))))</f>
        <v>1</v>
      </c>
      <c r="G1308" s="369">
        <f>VLOOKUP(C1308,METADATA!$J$5:$Q$29,IF(E1308="HI",2,IF(E1308="LO",6,10))+IF(D1308=1,2,IF(D1308=7,1,(IF(WEEKDAY(B1308)=1,2,IF(WEEKDAY(B1308)=7,1,0))))))</f>
        <v>1</v>
      </c>
      <c r="H1308" s="370">
        <v>13411.789733886719</v>
      </c>
      <c r="I1308" s="370">
        <v>1754.0404930114746</v>
      </c>
      <c r="M1308" s="371">
        <f t="shared" si="81"/>
        <v>13526.00317599819</v>
      </c>
      <c r="N1308" s="329">
        <f t="shared" si="82"/>
        <v>0</v>
      </c>
      <c r="T1308" s="331">
        <v>0</v>
      </c>
      <c r="U1308" s="328">
        <f>VLOOKUP(C1308,METADATA!$J$5:$Q$29,IF(E1308="HI",2,IF(E1308="LO",6,10))+IF(T1308=1,2,IF(D1308=7,1,(IF(WEEKDAY(B1308)=1,2,IF(WEEKDAY(B1308)=7,1,0))))))</f>
        <v>1</v>
      </c>
      <c r="V1308" s="328">
        <f>VLOOKUP(C1308,METADATA!$A$5:$H$29,IF(E1308="HI",2,IF(E1308="LO",6,10))+IF(T1308=1,2,IF(D1308=7,1,(IF(WEEKDAY(B1308)=1,2,IF(WEEKDAY(B1308)=7,1,0))))))</f>
        <v>1</v>
      </c>
    </row>
    <row r="1309" spans="2:22">
      <c r="B1309" s="318">
        <f t="shared" si="83"/>
        <v>46167</v>
      </c>
      <c r="C1309" s="312">
        <v>9</v>
      </c>
      <c r="D1309" s="368">
        <f>IFERROR((INDEX(METADATA!$T$2:$T$20,MATCH(B1309,METADATA!$S$2:$S$20,0))),0)</f>
        <v>0</v>
      </c>
      <c r="E1309" s="312" t="str">
        <f t="shared" si="80"/>
        <v>LO</v>
      </c>
      <c r="F1309" s="369">
        <f>VLOOKUP(C1309,METADATA!$A$5:$H$29,IF(E1309="HI",2,IF(E1309="LO",6,10))+IF(D1309=1,2,IF(D1309=7,1,(IF(WEEKDAY(B1309)=1,2,IF(WEEKDAY(B1309)=7,1,0))))))</f>
        <v>2</v>
      </c>
      <c r="G1309" s="369">
        <f>VLOOKUP(C1309,METADATA!$J$5:$Q$29,IF(E1309="HI",2,IF(E1309="LO",6,10))+IF(D1309=1,2,IF(D1309=7,1,(IF(WEEKDAY(B1309)=1,2,IF(WEEKDAY(B1309)=7,1,0))))))</f>
        <v>2</v>
      </c>
      <c r="H1309" s="370">
        <v>13433.370178222656</v>
      </c>
      <c r="I1309" s="370">
        <v>1771.3669967651367</v>
      </c>
      <c r="M1309" s="371">
        <f t="shared" si="81"/>
        <v>13549.655913800561</v>
      </c>
      <c r="N1309" s="329">
        <f t="shared" si="82"/>
        <v>0</v>
      </c>
      <c r="T1309" s="331">
        <v>0</v>
      </c>
      <c r="U1309" s="328">
        <f>VLOOKUP(C1309,METADATA!$J$5:$Q$29,IF(E1309="HI",2,IF(E1309="LO",6,10))+IF(T1309=1,2,IF(D1309=7,1,(IF(WEEKDAY(B1309)=1,2,IF(WEEKDAY(B1309)=7,1,0))))))</f>
        <v>2</v>
      </c>
      <c r="V1309" s="328">
        <f>VLOOKUP(C1309,METADATA!$A$5:$H$29,IF(E1309="HI",2,IF(E1309="LO",6,10))+IF(T1309=1,2,IF(D1309=7,1,(IF(WEEKDAY(B1309)=1,2,IF(WEEKDAY(B1309)=7,1,0))))))</f>
        <v>2</v>
      </c>
    </row>
    <row r="1310" spans="2:22">
      <c r="B1310" s="318">
        <f t="shared" si="83"/>
        <v>46167</v>
      </c>
      <c r="C1310" s="312">
        <v>10</v>
      </c>
      <c r="D1310" s="368">
        <f>IFERROR((INDEX(METADATA!$T$2:$T$20,MATCH(B1310,METADATA!$S$2:$S$20,0))),0)</f>
        <v>0</v>
      </c>
      <c r="E1310" s="312" t="str">
        <f t="shared" si="80"/>
        <v>LO</v>
      </c>
      <c r="F1310" s="369">
        <f>VLOOKUP(C1310,METADATA!$A$5:$H$29,IF(E1310="HI",2,IF(E1310="LO",6,10))+IF(D1310=1,2,IF(D1310=7,1,(IF(WEEKDAY(B1310)=1,2,IF(WEEKDAY(B1310)=7,1,0))))))</f>
        <v>2</v>
      </c>
      <c r="G1310" s="369">
        <f>VLOOKUP(C1310,METADATA!$J$5:$Q$29,IF(E1310="HI",2,IF(E1310="LO",6,10))+IF(D1310=1,2,IF(D1310=7,1,(IF(WEEKDAY(B1310)=1,2,IF(WEEKDAY(B1310)=7,1,0))))))</f>
        <v>2</v>
      </c>
      <c r="H1310" s="370">
        <v>13422.404968261719</v>
      </c>
      <c r="I1310" s="370">
        <v>1823.8540229797363</v>
      </c>
      <c r="M1310" s="371">
        <f t="shared" si="81"/>
        <v>13545.75205107329</v>
      </c>
      <c r="N1310" s="329">
        <f t="shared" si="82"/>
        <v>0</v>
      </c>
      <c r="T1310" s="331">
        <v>0</v>
      </c>
      <c r="U1310" s="328">
        <f>VLOOKUP(C1310,METADATA!$J$5:$Q$29,IF(E1310="HI",2,IF(E1310="LO",6,10))+IF(T1310=1,2,IF(D1310=7,1,(IF(WEEKDAY(B1310)=1,2,IF(WEEKDAY(B1310)=7,1,0))))))</f>
        <v>2</v>
      </c>
      <c r="V1310" s="328">
        <f>VLOOKUP(C1310,METADATA!$A$5:$H$29,IF(E1310="HI",2,IF(E1310="LO",6,10))+IF(T1310=1,2,IF(D1310=7,1,(IF(WEEKDAY(B1310)=1,2,IF(WEEKDAY(B1310)=7,1,0))))))</f>
        <v>2</v>
      </c>
    </row>
    <row r="1311" spans="2:22">
      <c r="B1311" s="318">
        <f t="shared" si="83"/>
        <v>46167</v>
      </c>
      <c r="C1311" s="312">
        <v>11</v>
      </c>
      <c r="D1311" s="368">
        <f>IFERROR((INDEX(METADATA!$T$2:$T$20,MATCH(B1311,METADATA!$S$2:$S$20,0))),0)</f>
        <v>0</v>
      </c>
      <c r="E1311" s="312" t="str">
        <f t="shared" si="80"/>
        <v>LO</v>
      </c>
      <c r="F1311" s="369">
        <f>VLOOKUP(C1311,METADATA!$A$5:$H$29,IF(E1311="HI",2,IF(E1311="LO",6,10))+IF(D1311=1,2,IF(D1311=7,1,(IF(WEEKDAY(B1311)=1,2,IF(WEEKDAY(B1311)=7,1,0))))))</f>
        <v>2</v>
      </c>
      <c r="G1311" s="369">
        <f>VLOOKUP(C1311,METADATA!$J$5:$Q$29,IF(E1311="HI",2,IF(E1311="LO",6,10))+IF(D1311=1,2,IF(D1311=7,1,(IF(WEEKDAY(B1311)=1,2,IF(WEEKDAY(B1311)=7,1,0))))))</f>
        <v>2</v>
      </c>
      <c r="H1311" s="370">
        <v>13393.984741210938</v>
      </c>
      <c r="I1311" s="370">
        <v>1821.1689910888672</v>
      </c>
      <c r="M1311" s="371">
        <f t="shared" si="81"/>
        <v>13517.2291443881</v>
      </c>
      <c r="N1311" s="329">
        <f t="shared" si="82"/>
        <v>0</v>
      </c>
      <c r="T1311" s="331">
        <v>0</v>
      </c>
      <c r="U1311" s="328">
        <f>VLOOKUP(C1311,METADATA!$J$5:$Q$29,IF(E1311="HI",2,IF(E1311="LO",6,10))+IF(T1311=1,2,IF(D1311=7,1,(IF(WEEKDAY(B1311)=1,2,IF(WEEKDAY(B1311)=7,1,0))))))</f>
        <v>2</v>
      </c>
      <c r="V1311" s="328">
        <f>VLOOKUP(C1311,METADATA!$A$5:$H$29,IF(E1311="HI",2,IF(E1311="LO",6,10))+IF(T1311=1,2,IF(D1311=7,1,(IF(WEEKDAY(B1311)=1,2,IF(WEEKDAY(B1311)=7,1,0))))))</f>
        <v>2</v>
      </c>
    </row>
    <row r="1312" spans="2:22">
      <c r="B1312" s="318">
        <f t="shared" si="83"/>
        <v>46167</v>
      </c>
      <c r="C1312" s="312">
        <v>12</v>
      </c>
      <c r="D1312" s="368">
        <f>IFERROR((INDEX(METADATA!$T$2:$T$20,MATCH(B1312,METADATA!$S$2:$S$20,0))),0)</f>
        <v>0</v>
      </c>
      <c r="E1312" s="312" t="str">
        <f t="shared" si="80"/>
        <v>LO</v>
      </c>
      <c r="F1312" s="369">
        <f>VLOOKUP(C1312,METADATA!$A$5:$H$29,IF(E1312="HI",2,IF(E1312="LO",6,10))+IF(D1312=1,2,IF(D1312=7,1,(IF(WEEKDAY(B1312)=1,2,IF(WEEKDAY(B1312)=7,1,0))))))</f>
        <v>2</v>
      </c>
      <c r="G1312" s="369">
        <f>VLOOKUP(C1312,METADATA!$J$5:$Q$29,IF(E1312="HI",2,IF(E1312="LO",6,10))+IF(D1312=1,2,IF(D1312=7,1,(IF(WEEKDAY(B1312)=1,2,IF(WEEKDAY(B1312)=7,1,0))))))</f>
        <v>2</v>
      </c>
      <c r="H1312" s="370">
        <v>13375.930297851563</v>
      </c>
      <c r="I1312" s="370">
        <v>1876.7049751281738</v>
      </c>
      <c r="M1312" s="371">
        <f t="shared" si="81"/>
        <v>13506.943877008382</v>
      </c>
      <c r="N1312" s="329">
        <f t="shared" si="82"/>
        <v>0</v>
      </c>
      <c r="T1312" s="331">
        <v>0</v>
      </c>
      <c r="U1312" s="328">
        <f>VLOOKUP(C1312,METADATA!$J$5:$Q$29,IF(E1312="HI",2,IF(E1312="LO",6,10))+IF(T1312=1,2,IF(D1312=7,1,(IF(WEEKDAY(B1312)=1,2,IF(WEEKDAY(B1312)=7,1,0))))))</f>
        <v>2</v>
      </c>
      <c r="V1312" s="328">
        <f>VLOOKUP(C1312,METADATA!$A$5:$H$29,IF(E1312="HI",2,IF(E1312="LO",6,10))+IF(T1312=1,2,IF(D1312=7,1,(IF(WEEKDAY(B1312)=1,2,IF(WEEKDAY(B1312)=7,1,0))))))</f>
        <v>2</v>
      </c>
    </row>
    <row r="1313" spans="2:22">
      <c r="B1313" s="318">
        <f t="shared" si="83"/>
        <v>46167</v>
      </c>
      <c r="C1313" s="312">
        <v>13</v>
      </c>
      <c r="D1313" s="368">
        <f>IFERROR((INDEX(METADATA!$T$2:$T$20,MATCH(B1313,METADATA!$S$2:$S$20,0))),0)</f>
        <v>0</v>
      </c>
      <c r="E1313" s="312" t="str">
        <f t="shared" si="80"/>
        <v>LO</v>
      </c>
      <c r="F1313" s="369">
        <f>VLOOKUP(C1313,METADATA!$A$5:$H$29,IF(E1313="HI",2,IF(E1313="LO",6,10))+IF(D1313=1,2,IF(D1313=7,1,(IF(WEEKDAY(B1313)=1,2,IF(WEEKDAY(B1313)=7,1,0))))))</f>
        <v>2</v>
      </c>
      <c r="G1313" s="369">
        <f>VLOOKUP(C1313,METADATA!$J$5:$Q$29,IF(E1313="HI",2,IF(E1313="LO",6,10))+IF(D1313=1,2,IF(D1313=7,1,(IF(WEEKDAY(B1313)=1,2,IF(WEEKDAY(B1313)=7,1,0))))))</f>
        <v>2</v>
      </c>
      <c r="H1313" s="370">
        <v>13280.6298828125</v>
      </c>
      <c r="I1313" s="370">
        <v>1955.5925006866455</v>
      </c>
      <c r="M1313" s="371">
        <f t="shared" si="81"/>
        <v>13423.839693358759</v>
      </c>
      <c r="N1313" s="329">
        <f t="shared" si="82"/>
        <v>0</v>
      </c>
      <c r="T1313" s="331">
        <v>0</v>
      </c>
      <c r="U1313" s="328">
        <f>VLOOKUP(C1313,METADATA!$J$5:$Q$29,IF(E1313="HI",2,IF(E1313="LO",6,10))+IF(T1313=1,2,IF(D1313=7,1,(IF(WEEKDAY(B1313)=1,2,IF(WEEKDAY(B1313)=7,1,0))))))</f>
        <v>2</v>
      </c>
      <c r="V1313" s="328">
        <f>VLOOKUP(C1313,METADATA!$A$5:$H$29,IF(E1313="HI",2,IF(E1313="LO",6,10))+IF(T1313=1,2,IF(D1313=7,1,(IF(WEEKDAY(B1313)=1,2,IF(WEEKDAY(B1313)=7,1,0))))))</f>
        <v>2</v>
      </c>
    </row>
    <row r="1314" spans="2:22">
      <c r="B1314" s="318">
        <f t="shared" si="83"/>
        <v>46167</v>
      </c>
      <c r="C1314" s="312">
        <v>14</v>
      </c>
      <c r="D1314" s="368">
        <f>IFERROR((INDEX(METADATA!$T$2:$T$20,MATCH(B1314,METADATA!$S$2:$S$20,0))),0)</f>
        <v>0</v>
      </c>
      <c r="E1314" s="312" t="str">
        <f t="shared" si="80"/>
        <v>LO</v>
      </c>
      <c r="F1314" s="369">
        <f>VLOOKUP(C1314,METADATA!$A$5:$H$29,IF(E1314="HI",2,IF(E1314="LO",6,10))+IF(D1314=1,2,IF(D1314=7,1,(IF(WEEKDAY(B1314)=1,2,IF(WEEKDAY(B1314)=7,1,0))))))</f>
        <v>2</v>
      </c>
      <c r="G1314" s="369">
        <f>VLOOKUP(C1314,METADATA!$J$5:$Q$29,IF(E1314="HI",2,IF(E1314="LO",6,10))+IF(D1314=1,2,IF(D1314=7,1,(IF(WEEKDAY(B1314)=1,2,IF(WEEKDAY(B1314)=7,1,0))))))</f>
        <v>2</v>
      </c>
      <c r="H1314" s="370">
        <v>13369.795043945313</v>
      </c>
      <c r="I1314" s="370">
        <v>1961.9735107421875</v>
      </c>
      <c r="M1314" s="371">
        <f t="shared" si="81"/>
        <v>13512.984850652303</v>
      </c>
      <c r="N1314" s="329">
        <f t="shared" si="82"/>
        <v>0</v>
      </c>
      <c r="T1314" s="331">
        <v>0</v>
      </c>
      <c r="U1314" s="328">
        <f>VLOOKUP(C1314,METADATA!$J$5:$Q$29,IF(E1314="HI",2,IF(E1314="LO",6,10))+IF(T1314=1,2,IF(D1314=7,1,(IF(WEEKDAY(B1314)=1,2,IF(WEEKDAY(B1314)=7,1,0))))))</f>
        <v>2</v>
      </c>
      <c r="V1314" s="328">
        <f>VLOOKUP(C1314,METADATA!$A$5:$H$29,IF(E1314="HI",2,IF(E1314="LO",6,10))+IF(T1314=1,2,IF(D1314=7,1,(IF(WEEKDAY(B1314)=1,2,IF(WEEKDAY(B1314)=7,1,0))))))</f>
        <v>2</v>
      </c>
    </row>
    <row r="1315" spans="2:22">
      <c r="B1315" s="318">
        <f t="shared" si="83"/>
        <v>46167</v>
      </c>
      <c r="C1315" s="312">
        <v>15</v>
      </c>
      <c r="D1315" s="368">
        <f>IFERROR((INDEX(METADATA!$T$2:$T$20,MATCH(B1315,METADATA!$S$2:$S$20,0))),0)</f>
        <v>0</v>
      </c>
      <c r="E1315" s="312" t="str">
        <f t="shared" si="80"/>
        <v>LO</v>
      </c>
      <c r="F1315" s="369">
        <f>VLOOKUP(C1315,METADATA!$A$5:$H$29,IF(E1315="HI",2,IF(E1315="LO",6,10))+IF(D1315=1,2,IF(D1315=7,1,(IF(WEEKDAY(B1315)=1,2,IF(WEEKDAY(B1315)=7,1,0))))))</f>
        <v>2</v>
      </c>
      <c r="G1315" s="369">
        <f>VLOOKUP(C1315,METADATA!$J$5:$Q$29,IF(E1315="HI",2,IF(E1315="LO",6,10))+IF(D1315=1,2,IF(D1315=7,1,(IF(WEEKDAY(B1315)=1,2,IF(WEEKDAY(B1315)=7,1,0))))))</f>
        <v>2</v>
      </c>
      <c r="H1315" s="370">
        <v>13210.015319824219</v>
      </c>
      <c r="I1315" s="370">
        <v>1916.7604522705078</v>
      </c>
      <c r="M1315" s="371">
        <f t="shared" si="81"/>
        <v>13348.351036041073</v>
      </c>
      <c r="N1315" s="329">
        <f t="shared" si="82"/>
        <v>0</v>
      </c>
      <c r="T1315" s="331">
        <v>0</v>
      </c>
      <c r="U1315" s="328">
        <f>VLOOKUP(C1315,METADATA!$J$5:$Q$29,IF(E1315="HI",2,IF(E1315="LO",6,10))+IF(T1315=1,2,IF(D1315=7,1,(IF(WEEKDAY(B1315)=1,2,IF(WEEKDAY(B1315)=7,1,0))))))</f>
        <v>2</v>
      </c>
      <c r="V1315" s="328">
        <f>VLOOKUP(C1315,METADATA!$A$5:$H$29,IF(E1315="HI",2,IF(E1315="LO",6,10))+IF(T1315=1,2,IF(D1315=7,1,(IF(WEEKDAY(B1315)=1,2,IF(WEEKDAY(B1315)=7,1,0))))))</f>
        <v>2</v>
      </c>
    </row>
    <row r="1316" spans="2:22">
      <c r="B1316" s="318">
        <f t="shared" si="83"/>
        <v>46167</v>
      </c>
      <c r="C1316" s="312">
        <v>16</v>
      </c>
      <c r="D1316" s="368">
        <f>IFERROR((INDEX(METADATA!$T$2:$T$20,MATCH(B1316,METADATA!$S$2:$S$20,0))),0)</f>
        <v>0</v>
      </c>
      <c r="E1316" s="312" t="str">
        <f t="shared" si="80"/>
        <v>LO</v>
      </c>
      <c r="F1316" s="369">
        <f>VLOOKUP(C1316,METADATA!$A$5:$H$29,IF(E1316="HI",2,IF(E1316="LO",6,10))+IF(D1316=1,2,IF(D1316=7,1,(IF(WEEKDAY(B1316)=1,2,IF(WEEKDAY(B1316)=7,1,0))))))</f>
        <v>2</v>
      </c>
      <c r="G1316" s="369">
        <f>VLOOKUP(C1316,METADATA!$J$5:$Q$29,IF(E1316="HI",2,IF(E1316="LO",6,10))+IF(D1316=1,2,IF(D1316=7,1,(IF(WEEKDAY(B1316)=1,2,IF(WEEKDAY(B1316)=7,1,0))))))</f>
        <v>2</v>
      </c>
      <c r="H1316" s="370">
        <v>13339.425048828125</v>
      </c>
      <c r="I1316" s="370">
        <v>1913.4479904174805</v>
      </c>
      <c r="M1316" s="371">
        <f t="shared" si="81"/>
        <v>13475.961703913228</v>
      </c>
      <c r="N1316" s="329">
        <f t="shared" si="82"/>
        <v>0</v>
      </c>
      <c r="T1316" s="331">
        <v>0</v>
      </c>
      <c r="U1316" s="328">
        <f>VLOOKUP(C1316,METADATA!$J$5:$Q$29,IF(E1316="HI",2,IF(E1316="LO",6,10))+IF(T1316=1,2,IF(D1316=7,1,(IF(WEEKDAY(B1316)=1,2,IF(WEEKDAY(B1316)=7,1,0))))))</f>
        <v>2</v>
      </c>
      <c r="V1316" s="328">
        <f>VLOOKUP(C1316,METADATA!$A$5:$H$29,IF(E1316="HI",2,IF(E1316="LO",6,10))+IF(T1316=1,2,IF(D1316=7,1,(IF(WEEKDAY(B1316)=1,2,IF(WEEKDAY(B1316)=7,1,0))))))</f>
        <v>2</v>
      </c>
    </row>
    <row r="1317" spans="2:22">
      <c r="B1317" s="318">
        <f t="shared" si="83"/>
        <v>46167</v>
      </c>
      <c r="C1317" s="312">
        <v>17</v>
      </c>
      <c r="D1317" s="368">
        <f>IFERROR((INDEX(METADATA!$T$2:$T$20,MATCH(B1317,METADATA!$S$2:$S$20,0))),0)</f>
        <v>0</v>
      </c>
      <c r="E1317" s="312" t="str">
        <f t="shared" si="80"/>
        <v>LO</v>
      </c>
      <c r="F1317" s="369">
        <f>VLOOKUP(C1317,METADATA!$A$5:$H$29,IF(E1317="HI",2,IF(E1317="LO",6,10))+IF(D1317=1,2,IF(D1317=7,1,(IF(WEEKDAY(B1317)=1,2,IF(WEEKDAY(B1317)=7,1,0))))))</f>
        <v>2</v>
      </c>
      <c r="G1317" s="369">
        <f>VLOOKUP(C1317,METADATA!$J$5:$Q$29,IF(E1317="HI",2,IF(E1317="LO",6,10))+IF(D1317=1,2,IF(D1317=7,1,(IF(WEEKDAY(B1317)=1,2,IF(WEEKDAY(B1317)=7,1,0))))))</f>
        <v>2</v>
      </c>
      <c r="H1317" s="370">
        <v>13123.779968261719</v>
      </c>
      <c r="I1317" s="370">
        <v>1723.4420833587646</v>
      </c>
      <c r="M1317" s="371">
        <f t="shared" si="81"/>
        <v>13236.459242185561</v>
      </c>
      <c r="N1317" s="329">
        <f t="shared" si="82"/>
        <v>0</v>
      </c>
      <c r="T1317" s="331">
        <v>0</v>
      </c>
      <c r="U1317" s="328">
        <f>VLOOKUP(C1317,METADATA!$J$5:$Q$29,IF(E1317="HI",2,IF(E1317="LO",6,10))+IF(T1317=1,2,IF(D1317=7,1,(IF(WEEKDAY(B1317)=1,2,IF(WEEKDAY(B1317)=7,1,0))))))</f>
        <v>2</v>
      </c>
      <c r="V1317" s="328">
        <f>VLOOKUP(C1317,METADATA!$A$5:$H$29,IF(E1317="HI",2,IF(E1317="LO",6,10))+IF(T1317=1,2,IF(D1317=7,1,(IF(WEEKDAY(B1317)=1,2,IF(WEEKDAY(B1317)=7,1,0))))))</f>
        <v>2</v>
      </c>
    </row>
    <row r="1318" spans="2:22">
      <c r="B1318" s="318">
        <f t="shared" si="83"/>
        <v>46167</v>
      </c>
      <c r="C1318" s="312">
        <v>18</v>
      </c>
      <c r="D1318" s="368">
        <f>IFERROR((INDEX(METADATA!$T$2:$T$20,MATCH(B1318,METADATA!$S$2:$S$20,0))),0)</f>
        <v>0</v>
      </c>
      <c r="E1318" s="312" t="str">
        <f t="shared" si="80"/>
        <v>LO</v>
      </c>
      <c r="F1318" s="369">
        <f>VLOOKUP(C1318,METADATA!$A$5:$H$29,IF(E1318="HI",2,IF(E1318="LO",6,10))+IF(D1318=1,2,IF(D1318=7,1,(IF(WEEKDAY(B1318)=1,2,IF(WEEKDAY(B1318)=7,1,0))))))</f>
        <v>1</v>
      </c>
      <c r="G1318" s="369">
        <f>VLOOKUP(C1318,METADATA!$J$5:$Q$29,IF(E1318="HI",2,IF(E1318="LO",6,10))+IF(D1318=1,2,IF(D1318=7,1,(IF(WEEKDAY(B1318)=1,2,IF(WEEKDAY(B1318)=7,1,0))))))</f>
        <v>1</v>
      </c>
      <c r="H1318" s="370">
        <v>13101.754699707031</v>
      </c>
      <c r="I1318" s="370">
        <v>1579.7515106201172</v>
      </c>
      <c r="M1318" s="371">
        <f t="shared" si="81"/>
        <v>13196.650751103547</v>
      </c>
      <c r="N1318" s="329">
        <f t="shared" si="82"/>
        <v>0</v>
      </c>
      <c r="T1318" s="331">
        <v>0</v>
      </c>
      <c r="U1318" s="328">
        <f>VLOOKUP(C1318,METADATA!$J$5:$Q$29,IF(E1318="HI",2,IF(E1318="LO",6,10))+IF(T1318=1,2,IF(D1318=7,1,(IF(WEEKDAY(B1318)=1,2,IF(WEEKDAY(B1318)=7,1,0))))))</f>
        <v>1</v>
      </c>
      <c r="V1318" s="328">
        <f>VLOOKUP(C1318,METADATA!$A$5:$H$29,IF(E1318="HI",2,IF(E1318="LO",6,10))+IF(T1318=1,2,IF(D1318=7,1,(IF(WEEKDAY(B1318)=1,2,IF(WEEKDAY(B1318)=7,1,0))))))</f>
        <v>1</v>
      </c>
    </row>
    <row r="1319" spans="2:22">
      <c r="B1319" s="318">
        <f t="shared" si="83"/>
        <v>46167</v>
      </c>
      <c r="C1319" s="312">
        <v>19</v>
      </c>
      <c r="D1319" s="368">
        <f>IFERROR((INDEX(METADATA!$T$2:$T$20,MATCH(B1319,METADATA!$S$2:$S$20,0))),0)</f>
        <v>0</v>
      </c>
      <c r="E1319" s="312" t="str">
        <f t="shared" si="80"/>
        <v>LO</v>
      </c>
      <c r="F1319" s="369">
        <f>VLOOKUP(C1319,METADATA!$A$5:$H$29,IF(E1319="HI",2,IF(E1319="LO",6,10))+IF(D1319=1,2,IF(D1319=7,1,(IF(WEEKDAY(B1319)=1,2,IF(WEEKDAY(B1319)=7,1,0))))))</f>
        <v>1</v>
      </c>
      <c r="G1319" s="369">
        <f>VLOOKUP(C1319,METADATA!$J$5:$Q$29,IF(E1319="HI",2,IF(E1319="LO",6,10))+IF(D1319=1,2,IF(D1319=7,1,(IF(WEEKDAY(B1319)=1,2,IF(WEEKDAY(B1319)=7,1,0))))))</f>
        <v>1</v>
      </c>
      <c r="H1319" s="370">
        <v>13204.699951171875</v>
      </c>
      <c r="I1319" s="370">
        <v>1708.9195337295532</v>
      </c>
      <c r="M1319" s="371">
        <f t="shared" si="81"/>
        <v>13314.822821699167</v>
      </c>
      <c r="N1319" s="329">
        <f t="shared" si="82"/>
        <v>0</v>
      </c>
      <c r="T1319" s="331">
        <v>0</v>
      </c>
      <c r="U1319" s="328">
        <f>VLOOKUP(C1319,METADATA!$J$5:$Q$29,IF(E1319="HI",2,IF(E1319="LO",6,10))+IF(T1319=1,2,IF(D1319=7,1,(IF(WEEKDAY(B1319)=1,2,IF(WEEKDAY(B1319)=7,1,0))))))</f>
        <v>1</v>
      </c>
      <c r="V1319" s="328">
        <f>VLOOKUP(C1319,METADATA!$A$5:$H$29,IF(E1319="HI",2,IF(E1319="LO",6,10))+IF(T1319=1,2,IF(D1319=7,1,(IF(WEEKDAY(B1319)=1,2,IF(WEEKDAY(B1319)=7,1,0))))))</f>
        <v>1</v>
      </c>
    </row>
    <row r="1320" spans="2:22">
      <c r="B1320" s="318">
        <f t="shared" si="83"/>
        <v>46167</v>
      </c>
      <c r="C1320" s="312">
        <v>20</v>
      </c>
      <c r="D1320" s="368">
        <f>IFERROR((INDEX(METADATA!$T$2:$T$20,MATCH(B1320,METADATA!$S$2:$S$20,0))),0)</f>
        <v>0</v>
      </c>
      <c r="E1320" s="312" t="str">
        <f t="shared" si="80"/>
        <v>LO</v>
      </c>
      <c r="F1320" s="369">
        <f>VLOOKUP(C1320,METADATA!$A$5:$H$29,IF(E1320="HI",2,IF(E1320="LO",6,10))+IF(D1320=1,2,IF(D1320=7,1,(IF(WEEKDAY(B1320)=1,2,IF(WEEKDAY(B1320)=7,1,0))))))</f>
        <v>1</v>
      </c>
      <c r="G1320" s="369">
        <f>VLOOKUP(C1320,METADATA!$J$5:$Q$29,IF(E1320="HI",2,IF(E1320="LO",6,10))+IF(D1320=1,2,IF(D1320=7,1,(IF(WEEKDAY(B1320)=1,2,IF(WEEKDAY(B1320)=7,1,0))))))</f>
        <v>1</v>
      </c>
      <c r="H1320" s="370">
        <v>13252.410461425781</v>
      </c>
      <c r="I1320" s="370">
        <v>1813.9930286407471</v>
      </c>
      <c r="M1320" s="371">
        <f t="shared" si="81"/>
        <v>13375.984215976958</v>
      </c>
      <c r="N1320" s="329">
        <f t="shared" si="82"/>
        <v>0</v>
      </c>
      <c r="T1320" s="331">
        <v>0</v>
      </c>
      <c r="U1320" s="328">
        <f>VLOOKUP(C1320,METADATA!$J$5:$Q$29,IF(E1320="HI",2,IF(E1320="LO",6,10))+IF(T1320=1,2,IF(D1320=7,1,(IF(WEEKDAY(B1320)=1,2,IF(WEEKDAY(B1320)=7,1,0))))))</f>
        <v>1</v>
      </c>
      <c r="V1320" s="328">
        <f>VLOOKUP(C1320,METADATA!$A$5:$H$29,IF(E1320="HI",2,IF(E1320="LO",6,10))+IF(T1320=1,2,IF(D1320=7,1,(IF(WEEKDAY(B1320)=1,2,IF(WEEKDAY(B1320)=7,1,0))))))</f>
        <v>1</v>
      </c>
    </row>
    <row r="1321" spans="2:22">
      <c r="B1321" s="318">
        <f t="shared" si="83"/>
        <v>46167</v>
      </c>
      <c r="C1321" s="312">
        <v>21</v>
      </c>
      <c r="D1321" s="368">
        <f>IFERROR((INDEX(METADATA!$T$2:$T$20,MATCH(B1321,METADATA!$S$2:$S$20,0))),0)</f>
        <v>0</v>
      </c>
      <c r="E1321" s="312" t="str">
        <f t="shared" si="80"/>
        <v>LO</v>
      </c>
      <c r="F1321" s="369">
        <f>VLOOKUP(C1321,METADATA!$A$5:$H$29,IF(E1321="HI",2,IF(E1321="LO",6,10))+IF(D1321=1,2,IF(D1321=7,1,(IF(WEEKDAY(B1321)=1,2,IF(WEEKDAY(B1321)=7,1,0))))))</f>
        <v>2</v>
      </c>
      <c r="G1321" s="369">
        <f>VLOOKUP(C1321,METADATA!$J$5:$Q$29,IF(E1321="HI",2,IF(E1321="LO",6,10))+IF(D1321=1,2,IF(D1321=7,1,(IF(WEEKDAY(B1321)=1,2,IF(WEEKDAY(B1321)=7,1,0))))))</f>
        <v>2</v>
      </c>
      <c r="H1321" s="370">
        <v>13341.145080566406</v>
      </c>
      <c r="I1321" s="370">
        <v>1854.6239452362061</v>
      </c>
      <c r="M1321" s="371">
        <f t="shared" si="81"/>
        <v>13469.43881677944</v>
      </c>
      <c r="N1321" s="329">
        <f t="shared" si="82"/>
        <v>0</v>
      </c>
      <c r="T1321" s="331">
        <v>0</v>
      </c>
      <c r="U1321" s="328">
        <f>VLOOKUP(C1321,METADATA!$J$5:$Q$29,IF(E1321="HI",2,IF(E1321="LO",6,10))+IF(T1321=1,2,IF(D1321=7,1,(IF(WEEKDAY(B1321)=1,2,IF(WEEKDAY(B1321)=7,1,0))))))</f>
        <v>2</v>
      </c>
      <c r="V1321" s="328">
        <f>VLOOKUP(C1321,METADATA!$A$5:$H$29,IF(E1321="HI",2,IF(E1321="LO",6,10))+IF(T1321=1,2,IF(D1321=7,1,(IF(WEEKDAY(B1321)=1,2,IF(WEEKDAY(B1321)=7,1,0))))))</f>
        <v>2</v>
      </c>
    </row>
    <row r="1322" spans="2:22">
      <c r="B1322" s="318">
        <f t="shared" si="83"/>
        <v>46167</v>
      </c>
      <c r="C1322" s="312">
        <v>22</v>
      </c>
      <c r="D1322" s="368">
        <f>IFERROR((INDEX(METADATA!$T$2:$T$20,MATCH(B1322,METADATA!$S$2:$S$20,0))),0)</f>
        <v>0</v>
      </c>
      <c r="E1322" s="312" t="str">
        <f t="shared" si="80"/>
        <v>LO</v>
      </c>
      <c r="F1322" s="369">
        <f>VLOOKUP(C1322,METADATA!$A$5:$H$29,IF(E1322="HI",2,IF(E1322="LO",6,10))+IF(D1322=1,2,IF(D1322=7,1,(IF(WEEKDAY(B1322)=1,2,IF(WEEKDAY(B1322)=7,1,0))))))</f>
        <v>3</v>
      </c>
      <c r="G1322" s="369">
        <f>VLOOKUP(C1322,METADATA!$J$5:$Q$29,IF(E1322="HI",2,IF(E1322="LO",6,10))+IF(D1322=1,2,IF(D1322=7,1,(IF(WEEKDAY(B1322)=1,2,IF(WEEKDAY(B1322)=7,1,0))))))</f>
        <v>3</v>
      </c>
      <c r="H1322" s="370">
        <v>13373.139831542969</v>
      </c>
      <c r="I1322" s="370">
        <v>1995.5509424209595</v>
      </c>
      <c r="M1322" s="371">
        <f t="shared" si="81"/>
        <v>13521.208988762739</v>
      </c>
      <c r="N1322" s="329">
        <f t="shared" si="82"/>
        <v>0</v>
      </c>
      <c r="T1322" s="331">
        <v>0</v>
      </c>
      <c r="U1322" s="328">
        <f>VLOOKUP(C1322,METADATA!$J$5:$Q$29,IF(E1322="HI",2,IF(E1322="LO",6,10))+IF(T1322=1,2,IF(D1322=7,1,(IF(WEEKDAY(B1322)=1,2,IF(WEEKDAY(B1322)=7,1,0))))))</f>
        <v>3</v>
      </c>
      <c r="V1322" s="328">
        <f>VLOOKUP(C1322,METADATA!$A$5:$H$29,IF(E1322="HI",2,IF(E1322="LO",6,10))+IF(T1322=1,2,IF(D1322=7,1,(IF(WEEKDAY(B1322)=1,2,IF(WEEKDAY(B1322)=7,1,0))))))</f>
        <v>3</v>
      </c>
    </row>
    <row r="1323" spans="2:22">
      <c r="B1323" s="318">
        <f t="shared" si="83"/>
        <v>46167</v>
      </c>
      <c r="C1323" s="312">
        <v>23</v>
      </c>
      <c r="D1323" s="368">
        <f>IFERROR((INDEX(METADATA!$T$2:$T$20,MATCH(B1323,METADATA!$S$2:$S$20,0))),0)</f>
        <v>0</v>
      </c>
      <c r="E1323" s="312" t="str">
        <f t="shared" si="80"/>
        <v>LO</v>
      </c>
      <c r="F1323" s="369">
        <f>VLOOKUP(C1323,METADATA!$A$5:$H$29,IF(E1323="HI",2,IF(E1323="LO",6,10))+IF(D1323=1,2,IF(D1323=7,1,(IF(WEEKDAY(B1323)=1,2,IF(WEEKDAY(B1323)=7,1,0))))))</f>
        <v>3</v>
      </c>
      <c r="G1323" s="369">
        <f>VLOOKUP(C1323,METADATA!$J$5:$Q$29,IF(E1323="HI",2,IF(E1323="LO",6,10))+IF(D1323=1,2,IF(D1323=7,1,(IF(WEEKDAY(B1323)=1,2,IF(WEEKDAY(B1323)=7,1,0))))))</f>
        <v>3</v>
      </c>
      <c r="H1323" s="370">
        <v>13406.3203125</v>
      </c>
      <c r="I1323" s="370">
        <v>2047.1520056724548</v>
      </c>
      <c r="M1323" s="371">
        <f t="shared" si="81"/>
        <v>13561.720232171096</v>
      </c>
      <c r="N1323" s="329">
        <f t="shared" si="82"/>
        <v>0</v>
      </c>
      <c r="T1323" s="331">
        <v>0</v>
      </c>
      <c r="U1323" s="328">
        <f>VLOOKUP(C1323,METADATA!$J$5:$Q$29,IF(E1323="HI",2,IF(E1323="LO",6,10))+IF(T1323=1,2,IF(D1323=7,1,(IF(WEEKDAY(B1323)=1,2,IF(WEEKDAY(B1323)=7,1,0))))))</f>
        <v>3</v>
      </c>
      <c r="V1323" s="328">
        <f>VLOOKUP(C1323,METADATA!$A$5:$H$29,IF(E1323="HI",2,IF(E1323="LO",6,10))+IF(T1323=1,2,IF(D1323=7,1,(IF(WEEKDAY(B1323)=1,2,IF(WEEKDAY(B1323)=7,1,0))))))</f>
        <v>3</v>
      </c>
    </row>
    <row r="1324" spans="2:22">
      <c r="B1324" s="318">
        <f t="shared" si="83"/>
        <v>46168</v>
      </c>
      <c r="C1324" s="312">
        <v>0</v>
      </c>
      <c r="D1324" s="368">
        <f>IFERROR((INDEX(METADATA!$T$2:$T$20,MATCH(B1324,METADATA!$S$2:$S$20,0))),0)</f>
        <v>0</v>
      </c>
      <c r="E1324" s="312" t="str">
        <f t="shared" si="80"/>
        <v>LO</v>
      </c>
      <c r="F1324" s="369">
        <f>VLOOKUP(C1324,METADATA!$A$5:$H$29,IF(E1324="HI",2,IF(E1324="LO",6,10))+IF(D1324=1,2,IF(D1324=7,1,(IF(WEEKDAY(B1324)=1,2,IF(WEEKDAY(B1324)=7,1,0))))))</f>
        <v>3</v>
      </c>
      <c r="G1324" s="369">
        <f>VLOOKUP(C1324,METADATA!$J$5:$Q$29,IF(E1324="HI",2,IF(E1324="LO",6,10))+IF(D1324=1,2,IF(D1324=7,1,(IF(WEEKDAY(B1324)=1,2,IF(WEEKDAY(B1324)=7,1,0))))))</f>
        <v>3</v>
      </c>
      <c r="H1324" s="370">
        <v>13358.484924316406</v>
      </c>
      <c r="I1324" s="370">
        <v>1952.6889762878418</v>
      </c>
      <c r="M1324" s="371">
        <f t="shared" si="81"/>
        <v>13500.448648519232</v>
      </c>
      <c r="N1324" s="329">
        <f t="shared" si="82"/>
        <v>0</v>
      </c>
      <c r="T1324" s="331">
        <v>0</v>
      </c>
      <c r="U1324" s="328">
        <f>VLOOKUP(C1324,METADATA!$J$5:$Q$29,IF(E1324="HI",2,IF(E1324="LO",6,10))+IF(T1324=1,2,IF(D1324=7,1,(IF(WEEKDAY(B1324)=1,2,IF(WEEKDAY(B1324)=7,1,0))))))</f>
        <v>3</v>
      </c>
      <c r="V1324" s="328">
        <f>VLOOKUP(C1324,METADATA!$A$5:$H$29,IF(E1324="HI",2,IF(E1324="LO",6,10))+IF(T1324=1,2,IF(D1324=7,1,(IF(WEEKDAY(B1324)=1,2,IF(WEEKDAY(B1324)=7,1,0))))))</f>
        <v>3</v>
      </c>
    </row>
    <row r="1325" spans="2:22">
      <c r="B1325" s="318">
        <f t="shared" si="83"/>
        <v>46168</v>
      </c>
      <c r="C1325" s="312">
        <v>1</v>
      </c>
      <c r="D1325" s="368">
        <f>IFERROR((INDEX(METADATA!$T$2:$T$20,MATCH(B1325,METADATA!$S$2:$S$20,0))),0)</f>
        <v>0</v>
      </c>
      <c r="E1325" s="312" t="str">
        <f t="shared" si="80"/>
        <v>LO</v>
      </c>
      <c r="F1325" s="369">
        <f>VLOOKUP(C1325,METADATA!$A$5:$H$29,IF(E1325="HI",2,IF(E1325="LO",6,10))+IF(D1325=1,2,IF(D1325=7,1,(IF(WEEKDAY(B1325)=1,2,IF(WEEKDAY(B1325)=7,1,0))))))</f>
        <v>3</v>
      </c>
      <c r="G1325" s="369">
        <f>VLOOKUP(C1325,METADATA!$J$5:$Q$29,IF(E1325="HI",2,IF(E1325="LO",6,10))+IF(D1325=1,2,IF(D1325=7,1,(IF(WEEKDAY(B1325)=1,2,IF(WEEKDAY(B1325)=7,1,0))))))</f>
        <v>3</v>
      </c>
      <c r="H1325" s="370">
        <v>13250.9501953125</v>
      </c>
      <c r="I1325" s="370">
        <v>1823.0889854431152</v>
      </c>
      <c r="M1325" s="371">
        <f t="shared" si="81"/>
        <v>13375.774165538845</v>
      </c>
      <c r="N1325" s="329">
        <f t="shared" si="82"/>
        <v>0</v>
      </c>
      <c r="T1325" s="331">
        <v>0</v>
      </c>
      <c r="U1325" s="328">
        <f>VLOOKUP(C1325,METADATA!$J$5:$Q$29,IF(E1325="HI",2,IF(E1325="LO",6,10))+IF(T1325=1,2,IF(D1325=7,1,(IF(WEEKDAY(B1325)=1,2,IF(WEEKDAY(B1325)=7,1,0))))))</f>
        <v>3</v>
      </c>
      <c r="V1325" s="328">
        <f>VLOOKUP(C1325,METADATA!$A$5:$H$29,IF(E1325="HI",2,IF(E1325="LO",6,10))+IF(T1325=1,2,IF(D1325=7,1,(IF(WEEKDAY(B1325)=1,2,IF(WEEKDAY(B1325)=7,1,0))))))</f>
        <v>3</v>
      </c>
    </row>
    <row r="1326" spans="2:22">
      <c r="B1326" s="318">
        <f t="shared" si="83"/>
        <v>46168</v>
      </c>
      <c r="C1326" s="312">
        <v>2</v>
      </c>
      <c r="D1326" s="368">
        <f>IFERROR((INDEX(METADATA!$T$2:$T$20,MATCH(B1326,METADATA!$S$2:$S$20,0))),0)</f>
        <v>0</v>
      </c>
      <c r="E1326" s="312" t="str">
        <f t="shared" si="80"/>
        <v>LO</v>
      </c>
      <c r="F1326" s="369">
        <f>VLOOKUP(C1326,METADATA!$A$5:$H$29,IF(E1326="HI",2,IF(E1326="LO",6,10))+IF(D1326=1,2,IF(D1326=7,1,(IF(WEEKDAY(B1326)=1,2,IF(WEEKDAY(B1326)=7,1,0))))))</f>
        <v>3</v>
      </c>
      <c r="G1326" s="369">
        <f>VLOOKUP(C1326,METADATA!$J$5:$Q$29,IF(E1326="HI",2,IF(E1326="LO",6,10))+IF(D1326=1,2,IF(D1326=7,1,(IF(WEEKDAY(B1326)=1,2,IF(WEEKDAY(B1326)=7,1,0))))))</f>
        <v>3</v>
      </c>
      <c r="H1326" s="370">
        <v>13432.770080566406</v>
      </c>
      <c r="I1326" s="370">
        <v>2046.4064960479736</v>
      </c>
      <c r="M1326" s="371">
        <f t="shared" si="81"/>
        <v>13587.755207701799</v>
      </c>
      <c r="N1326" s="329">
        <f t="shared" si="82"/>
        <v>0</v>
      </c>
      <c r="T1326" s="331">
        <v>0</v>
      </c>
      <c r="U1326" s="328">
        <f>VLOOKUP(C1326,METADATA!$J$5:$Q$29,IF(E1326="HI",2,IF(E1326="LO",6,10))+IF(T1326=1,2,IF(D1326=7,1,(IF(WEEKDAY(B1326)=1,2,IF(WEEKDAY(B1326)=7,1,0))))))</f>
        <v>3</v>
      </c>
      <c r="V1326" s="328">
        <f>VLOOKUP(C1326,METADATA!$A$5:$H$29,IF(E1326="HI",2,IF(E1326="LO",6,10))+IF(T1326=1,2,IF(D1326=7,1,(IF(WEEKDAY(B1326)=1,2,IF(WEEKDAY(B1326)=7,1,0))))))</f>
        <v>3</v>
      </c>
    </row>
    <row r="1327" spans="2:22">
      <c r="B1327" s="318">
        <f t="shared" si="83"/>
        <v>46168</v>
      </c>
      <c r="C1327" s="312">
        <v>3</v>
      </c>
      <c r="D1327" s="368">
        <f>IFERROR((INDEX(METADATA!$T$2:$T$20,MATCH(B1327,METADATA!$S$2:$S$20,0))),0)</f>
        <v>0</v>
      </c>
      <c r="E1327" s="312" t="str">
        <f t="shared" si="80"/>
        <v>LO</v>
      </c>
      <c r="F1327" s="369">
        <f>VLOOKUP(C1327,METADATA!$A$5:$H$29,IF(E1327="HI",2,IF(E1327="LO",6,10))+IF(D1327=1,2,IF(D1327=7,1,(IF(WEEKDAY(B1327)=1,2,IF(WEEKDAY(B1327)=7,1,0))))))</f>
        <v>3</v>
      </c>
      <c r="G1327" s="369">
        <f>VLOOKUP(C1327,METADATA!$J$5:$Q$29,IF(E1327="HI",2,IF(E1327="LO",6,10))+IF(D1327=1,2,IF(D1327=7,1,(IF(WEEKDAY(B1327)=1,2,IF(WEEKDAY(B1327)=7,1,0))))))</f>
        <v>3</v>
      </c>
      <c r="H1327" s="370">
        <v>13259.7744140625</v>
      </c>
      <c r="I1327" s="370">
        <v>1799.6874563694</v>
      </c>
      <c r="M1327" s="371">
        <f t="shared" si="81"/>
        <v>13381.348678382155</v>
      </c>
      <c r="N1327" s="329">
        <f t="shared" si="82"/>
        <v>0</v>
      </c>
      <c r="T1327" s="331">
        <v>0</v>
      </c>
      <c r="U1327" s="328">
        <f>VLOOKUP(C1327,METADATA!$J$5:$Q$29,IF(E1327="HI",2,IF(E1327="LO",6,10))+IF(T1327=1,2,IF(D1327=7,1,(IF(WEEKDAY(B1327)=1,2,IF(WEEKDAY(B1327)=7,1,0))))))</f>
        <v>3</v>
      </c>
      <c r="V1327" s="328">
        <f>VLOOKUP(C1327,METADATA!$A$5:$H$29,IF(E1327="HI",2,IF(E1327="LO",6,10))+IF(T1327=1,2,IF(D1327=7,1,(IF(WEEKDAY(B1327)=1,2,IF(WEEKDAY(B1327)=7,1,0))))))</f>
        <v>3</v>
      </c>
    </row>
    <row r="1328" spans="2:22">
      <c r="B1328" s="318">
        <f t="shared" si="83"/>
        <v>46168</v>
      </c>
      <c r="C1328" s="312">
        <v>4</v>
      </c>
      <c r="D1328" s="368">
        <f>IFERROR((INDEX(METADATA!$T$2:$T$20,MATCH(B1328,METADATA!$S$2:$S$20,0))),0)</f>
        <v>0</v>
      </c>
      <c r="E1328" s="312" t="str">
        <f t="shared" si="80"/>
        <v>LO</v>
      </c>
      <c r="F1328" s="369">
        <f>VLOOKUP(C1328,METADATA!$A$5:$H$29,IF(E1328="HI",2,IF(E1328="LO",6,10))+IF(D1328=1,2,IF(D1328=7,1,(IF(WEEKDAY(B1328)=1,2,IF(WEEKDAY(B1328)=7,1,0))))))</f>
        <v>3</v>
      </c>
      <c r="G1328" s="369">
        <f>VLOOKUP(C1328,METADATA!$J$5:$Q$29,IF(E1328="HI",2,IF(E1328="LO",6,10))+IF(D1328=1,2,IF(D1328=7,1,(IF(WEEKDAY(B1328)=1,2,IF(WEEKDAY(B1328)=7,1,0))))))</f>
        <v>3</v>
      </c>
      <c r="H1328" s="370">
        <v>13034.210388183594</v>
      </c>
      <c r="I1328" s="370">
        <v>1660.9925098419189</v>
      </c>
      <c r="M1328" s="371">
        <f t="shared" si="81"/>
        <v>13139.617062958268</v>
      </c>
      <c r="N1328" s="329">
        <f t="shared" si="82"/>
        <v>0</v>
      </c>
      <c r="T1328" s="331">
        <v>0</v>
      </c>
      <c r="U1328" s="328">
        <f>VLOOKUP(C1328,METADATA!$J$5:$Q$29,IF(E1328="HI",2,IF(E1328="LO",6,10))+IF(T1328=1,2,IF(D1328=7,1,(IF(WEEKDAY(B1328)=1,2,IF(WEEKDAY(B1328)=7,1,0))))))</f>
        <v>3</v>
      </c>
      <c r="V1328" s="328">
        <f>VLOOKUP(C1328,METADATA!$A$5:$H$29,IF(E1328="HI",2,IF(E1328="LO",6,10))+IF(T1328=1,2,IF(D1328=7,1,(IF(WEEKDAY(B1328)=1,2,IF(WEEKDAY(B1328)=7,1,0))))))</f>
        <v>3</v>
      </c>
    </row>
    <row r="1329" spans="2:22">
      <c r="B1329" s="318">
        <f t="shared" si="83"/>
        <v>46168</v>
      </c>
      <c r="C1329" s="312">
        <v>5</v>
      </c>
      <c r="D1329" s="368">
        <f>IFERROR((INDEX(METADATA!$T$2:$T$20,MATCH(B1329,METADATA!$S$2:$S$20,0))),0)</f>
        <v>0</v>
      </c>
      <c r="E1329" s="312" t="str">
        <f t="shared" si="80"/>
        <v>LO</v>
      </c>
      <c r="F1329" s="369">
        <f>VLOOKUP(C1329,METADATA!$A$5:$H$29,IF(E1329="HI",2,IF(E1329="LO",6,10))+IF(D1329=1,2,IF(D1329=7,1,(IF(WEEKDAY(B1329)=1,2,IF(WEEKDAY(B1329)=7,1,0))))))</f>
        <v>3</v>
      </c>
      <c r="G1329" s="369">
        <f>VLOOKUP(C1329,METADATA!$J$5:$Q$29,IF(E1329="HI",2,IF(E1329="LO",6,10))+IF(D1329=1,2,IF(D1329=7,1,(IF(WEEKDAY(B1329)=1,2,IF(WEEKDAY(B1329)=7,1,0))))))</f>
        <v>3</v>
      </c>
      <c r="H1329" s="370">
        <v>12798.98486328125</v>
      </c>
      <c r="I1329" s="370">
        <v>1150.3194999694824</v>
      </c>
      <c r="M1329" s="371">
        <f t="shared" si="81"/>
        <v>12850.573858101146</v>
      </c>
      <c r="N1329" s="329">
        <f t="shared" si="82"/>
        <v>0</v>
      </c>
      <c r="T1329" s="331">
        <v>0</v>
      </c>
      <c r="U1329" s="328">
        <f>VLOOKUP(C1329,METADATA!$J$5:$Q$29,IF(E1329="HI",2,IF(E1329="LO",6,10))+IF(T1329=1,2,IF(D1329=7,1,(IF(WEEKDAY(B1329)=1,2,IF(WEEKDAY(B1329)=7,1,0))))))</f>
        <v>3</v>
      </c>
      <c r="V1329" s="328">
        <f>VLOOKUP(C1329,METADATA!$A$5:$H$29,IF(E1329="HI",2,IF(E1329="LO",6,10))+IF(T1329=1,2,IF(D1329=7,1,(IF(WEEKDAY(B1329)=1,2,IF(WEEKDAY(B1329)=7,1,0))))))</f>
        <v>3</v>
      </c>
    </row>
    <row r="1330" spans="2:22">
      <c r="B1330" s="318">
        <f t="shared" si="83"/>
        <v>46168</v>
      </c>
      <c r="C1330" s="312">
        <v>6</v>
      </c>
      <c r="D1330" s="368">
        <f>IFERROR((INDEX(METADATA!$T$2:$T$20,MATCH(B1330,METADATA!$S$2:$S$20,0))),0)</f>
        <v>0</v>
      </c>
      <c r="E1330" s="312" t="str">
        <f t="shared" si="80"/>
        <v>LO</v>
      </c>
      <c r="F1330" s="369">
        <f>VLOOKUP(C1330,METADATA!$A$5:$H$29,IF(E1330="HI",2,IF(E1330="LO",6,10))+IF(D1330=1,2,IF(D1330=7,1,(IF(WEEKDAY(B1330)=1,2,IF(WEEKDAY(B1330)=7,1,0))))))</f>
        <v>2</v>
      </c>
      <c r="G1330" s="369">
        <f>VLOOKUP(C1330,METADATA!$J$5:$Q$29,IF(E1330="HI",2,IF(E1330="LO",6,10))+IF(D1330=1,2,IF(D1330=7,1,(IF(WEEKDAY(B1330)=1,2,IF(WEEKDAY(B1330)=7,1,0))))))</f>
        <v>2</v>
      </c>
      <c r="H1330" s="370">
        <v>12430.159973144531</v>
      </c>
      <c r="I1330" s="370">
        <v>819.45550060272217</v>
      </c>
      <c r="M1330" s="371">
        <f t="shared" si="81"/>
        <v>12457.141898342192</v>
      </c>
      <c r="N1330" s="329">
        <f t="shared" si="82"/>
        <v>0</v>
      </c>
      <c r="T1330" s="331">
        <v>0</v>
      </c>
      <c r="U1330" s="328">
        <f>VLOOKUP(C1330,METADATA!$J$5:$Q$29,IF(E1330="HI",2,IF(E1330="LO",6,10))+IF(T1330=1,2,IF(D1330=7,1,(IF(WEEKDAY(B1330)=1,2,IF(WEEKDAY(B1330)=7,1,0))))))</f>
        <v>2</v>
      </c>
      <c r="V1330" s="328">
        <f>VLOOKUP(C1330,METADATA!$A$5:$H$29,IF(E1330="HI",2,IF(E1330="LO",6,10))+IF(T1330=1,2,IF(D1330=7,1,(IF(WEEKDAY(B1330)=1,2,IF(WEEKDAY(B1330)=7,1,0))))))</f>
        <v>2</v>
      </c>
    </row>
    <row r="1331" spans="2:22">
      <c r="B1331" s="318">
        <f t="shared" si="83"/>
        <v>46168</v>
      </c>
      <c r="C1331" s="312">
        <v>7</v>
      </c>
      <c r="D1331" s="368">
        <f>IFERROR((INDEX(METADATA!$T$2:$T$20,MATCH(B1331,METADATA!$S$2:$S$20,0))),0)</f>
        <v>0</v>
      </c>
      <c r="E1331" s="312" t="str">
        <f t="shared" si="80"/>
        <v>LO</v>
      </c>
      <c r="F1331" s="369">
        <f>VLOOKUP(C1331,METADATA!$A$5:$H$29,IF(E1331="HI",2,IF(E1331="LO",6,10))+IF(D1331=1,2,IF(D1331=7,1,(IF(WEEKDAY(B1331)=1,2,IF(WEEKDAY(B1331)=7,1,0))))))</f>
        <v>1</v>
      </c>
      <c r="G1331" s="369">
        <f>VLOOKUP(C1331,METADATA!$J$5:$Q$29,IF(E1331="HI",2,IF(E1331="LO",6,10))+IF(D1331=1,2,IF(D1331=7,1,(IF(WEEKDAY(B1331)=1,2,IF(WEEKDAY(B1331)=7,1,0))))))</f>
        <v>1</v>
      </c>
      <c r="H1331" s="370">
        <v>12344.389770507813</v>
      </c>
      <c r="I1331" s="370">
        <v>646.22500610351563</v>
      </c>
      <c r="M1331" s="371">
        <f t="shared" si="81"/>
        <v>12361.293037734013</v>
      </c>
      <c r="N1331" s="329">
        <f t="shared" si="82"/>
        <v>0</v>
      </c>
      <c r="T1331" s="331">
        <v>0</v>
      </c>
      <c r="U1331" s="328">
        <f>VLOOKUP(C1331,METADATA!$J$5:$Q$29,IF(E1331="HI",2,IF(E1331="LO",6,10))+IF(T1331=1,2,IF(D1331=7,1,(IF(WEEKDAY(B1331)=1,2,IF(WEEKDAY(B1331)=7,1,0))))))</f>
        <v>1</v>
      </c>
      <c r="V1331" s="328">
        <f>VLOOKUP(C1331,METADATA!$A$5:$H$29,IF(E1331="HI",2,IF(E1331="LO",6,10))+IF(T1331=1,2,IF(D1331=7,1,(IF(WEEKDAY(B1331)=1,2,IF(WEEKDAY(B1331)=7,1,0))))))</f>
        <v>1</v>
      </c>
    </row>
    <row r="1332" spans="2:22">
      <c r="B1332" s="318">
        <f t="shared" si="83"/>
        <v>46168</v>
      </c>
      <c r="C1332" s="312">
        <v>8</v>
      </c>
      <c r="D1332" s="368">
        <f>IFERROR((INDEX(METADATA!$T$2:$T$20,MATCH(B1332,METADATA!$S$2:$S$20,0))),0)</f>
        <v>0</v>
      </c>
      <c r="E1332" s="312" t="str">
        <f t="shared" si="80"/>
        <v>LO</v>
      </c>
      <c r="F1332" s="369">
        <f>VLOOKUP(C1332,METADATA!$A$5:$H$29,IF(E1332="HI",2,IF(E1332="LO",6,10))+IF(D1332=1,2,IF(D1332=7,1,(IF(WEEKDAY(B1332)=1,2,IF(WEEKDAY(B1332)=7,1,0))))))</f>
        <v>1</v>
      </c>
      <c r="G1332" s="369">
        <f>VLOOKUP(C1332,METADATA!$J$5:$Q$29,IF(E1332="HI",2,IF(E1332="LO",6,10))+IF(D1332=1,2,IF(D1332=7,1,(IF(WEEKDAY(B1332)=1,2,IF(WEEKDAY(B1332)=7,1,0))))))</f>
        <v>1</v>
      </c>
      <c r="H1332" s="370">
        <v>12131.534851074219</v>
      </c>
      <c r="I1332" s="370">
        <v>676.75249290466309</v>
      </c>
      <c r="M1332" s="371">
        <f t="shared" si="81"/>
        <v>12150.396363060798</v>
      </c>
      <c r="N1332" s="329">
        <f t="shared" si="82"/>
        <v>0</v>
      </c>
      <c r="T1332" s="331">
        <v>0</v>
      </c>
      <c r="U1332" s="328">
        <f>VLOOKUP(C1332,METADATA!$J$5:$Q$29,IF(E1332="HI",2,IF(E1332="LO",6,10))+IF(T1332=1,2,IF(D1332=7,1,(IF(WEEKDAY(B1332)=1,2,IF(WEEKDAY(B1332)=7,1,0))))))</f>
        <v>1</v>
      </c>
      <c r="V1332" s="328">
        <f>VLOOKUP(C1332,METADATA!$A$5:$H$29,IF(E1332="HI",2,IF(E1332="LO",6,10))+IF(T1332=1,2,IF(D1332=7,1,(IF(WEEKDAY(B1332)=1,2,IF(WEEKDAY(B1332)=7,1,0))))))</f>
        <v>1</v>
      </c>
    </row>
    <row r="1333" spans="2:22">
      <c r="B1333" s="318">
        <f t="shared" si="83"/>
        <v>46168</v>
      </c>
      <c r="C1333" s="312">
        <v>9</v>
      </c>
      <c r="D1333" s="368">
        <f>IFERROR((INDEX(METADATA!$T$2:$T$20,MATCH(B1333,METADATA!$S$2:$S$20,0))),0)</f>
        <v>0</v>
      </c>
      <c r="E1333" s="312" t="str">
        <f t="shared" si="80"/>
        <v>LO</v>
      </c>
      <c r="F1333" s="369">
        <f>VLOOKUP(C1333,METADATA!$A$5:$H$29,IF(E1333="HI",2,IF(E1333="LO",6,10))+IF(D1333=1,2,IF(D1333=7,1,(IF(WEEKDAY(B1333)=1,2,IF(WEEKDAY(B1333)=7,1,0))))))</f>
        <v>2</v>
      </c>
      <c r="G1333" s="369">
        <f>VLOOKUP(C1333,METADATA!$J$5:$Q$29,IF(E1333="HI",2,IF(E1333="LO",6,10))+IF(D1333=1,2,IF(D1333=7,1,(IF(WEEKDAY(B1333)=1,2,IF(WEEKDAY(B1333)=7,1,0))))))</f>
        <v>2</v>
      </c>
      <c r="H1333" s="370">
        <v>11430.75</v>
      </c>
      <c r="I1333" s="370">
        <v>382.79749226570129</v>
      </c>
      <c r="M1333" s="371">
        <f t="shared" si="81"/>
        <v>11437.157841115288</v>
      </c>
      <c r="N1333" s="329">
        <f t="shared" si="82"/>
        <v>0</v>
      </c>
      <c r="T1333" s="331">
        <v>0</v>
      </c>
      <c r="U1333" s="328">
        <f>VLOOKUP(C1333,METADATA!$J$5:$Q$29,IF(E1333="HI",2,IF(E1333="LO",6,10))+IF(T1333=1,2,IF(D1333=7,1,(IF(WEEKDAY(B1333)=1,2,IF(WEEKDAY(B1333)=7,1,0))))))</f>
        <v>2</v>
      </c>
      <c r="V1333" s="328">
        <f>VLOOKUP(C1333,METADATA!$A$5:$H$29,IF(E1333="HI",2,IF(E1333="LO",6,10))+IF(T1333=1,2,IF(D1333=7,1,(IF(WEEKDAY(B1333)=1,2,IF(WEEKDAY(B1333)=7,1,0))))))</f>
        <v>2</v>
      </c>
    </row>
    <row r="1334" spans="2:22">
      <c r="B1334" s="318">
        <f t="shared" si="83"/>
        <v>46168</v>
      </c>
      <c r="C1334" s="312">
        <v>10</v>
      </c>
      <c r="D1334" s="368">
        <f>IFERROR((INDEX(METADATA!$T$2:$T$20,MATCH(B1334,METADATA!$S$2:$S$20,0))),0)</f>
        <v>0</v>
      </c>
      <c r="E1334" s="312" t="str">
        <f t="shared" si="80"/>
        <v>LO</v>
      </c>
      <c r="F1334" s="369">
        <f>VLOOKUP(C1334,METADATA!$A$5:$H$29,IF(E1334="HI",2,IF(E1334="LO",6,10))+IF(D1334=1,2,IF(D1334=7,1,(IF(WEEKDAY(B1334)=1,2,IF(WEEKDAY(B1334)=7,1,0))))))</f>
        <v>2</v>
      </c>
      <c r="G1334" s="369">
        <f>VLOOKUP(C1334,METADATA!$J$5:$Q$29,IF(E1334="HI",2,IF(E1334="LO",6,10))+IF(D1334=1,2,IF(D1334=7,1,(IF(WEEKDAY(B1334)=1,2,IF(WEEKDAY(B1334)=7,1,0))))))</f>
        <v>2</v>
      </c>
      <c r="H1334" s="370">
        <v>9761.2499389648438</v>
      </c>
      <c r="I1334" s="370">
        <v>0.72199998400174081</v>
      </c>
      <c r="M1334" s="371">
        <f t="shared" si="81"/>
        <v>9761.2499656665459</v>
      </c>
      <c r="N1334" s="329">
        <f t="shared" si="82"/>
        <v>0</v>
      </c>
      <c r="T1334" s="331">
        <v>0</v>
      </c>
      <c r="U1334" s="328">
        <f>VLOOKUP(C1334,METADATA!$J$5:$Q$29,IF(E1334="HI",2,IF(E1334="LO",6,10))+IF(T1334=1,2,IF(D1334=7,1,(IF(WEEKDAY(B1334)=1,2,IF(WEEKDAY(B1334)=7,1,0))))))</f>
        <v>2</v>
      </c>
      <c r="V1334" s="328">
        <f>VLOOKUP(C1334,METADATA!$A$5:$H$29,IF(E1334="HI",2,IF(E1334="LO",6,10))+IF(T1334=1,2,IF(D1334=7,1,(IF(WEEKDAY(B1334)=1,2,IF(WEEKDAY(B1334)=7,1,0))))))</f>
        <v>2</v>
      </c>
    </row>
    <row r="1335" spans="2:22">
      <c r="B1335" s="318">
        <f t="shared" si="83"/>
        <v>46168</v>
      </c>
      <c r="C1335" s="312">
        <v>11</v>
      </c>
      <c r="D1335" s="368">
        <f>IFERROR((INDEX(METADATA!$T$2:$T$20,MATCH(B1335,METADATA!$S$2:$S$20,0))),0)</f>
        <v>0</v>
      </c>
      <c r="E1335" s="312" t="str">
        <f t="shared" si="80"/>
        <v>LO</v>
      </c>
      <c r="F1335" s="369">
        <f>VLOOKUP(C1335,METADATA!$A$5:$H$29,IF(E1335="HI",2,IF(E1335="LO",6,10))+IF(D1335=1,2,IF(D1335=7,1,(IF(WEEKDAY(B1335)=1,2,IF(WEEKDAY(B1335)=7,1,0))))))</f>
        <v>2</v>
      </c>
      <c r="G1335" s="369">
        <f>VLOOKUP(C1335,METADATA!$J$5:$Q$29,IF(E1335="HI",2,IF(E1335="LO",6,10))+IF(D1335=1,2,IF(D1335=7,1,(IF(WEEKDAY(B1335)=1,2,IF(WEEKDAY(B1335)=7,1,0))))))</f>
        <v>2</v>
      </c>
      <c r="H1335" s="370">
        <v>11216.335144042969</v>
      </c>
      <c r="I1335" s="370">
        <v>318.40599744021893</v>
      </c>
      <c r="M1335" s="371">
        <f t="shared" si="81"/>
        <v>11220.853641443653</v>
      </c>
      <c r="N1335" s="329">
        <f t="shared" si="82"/>
        <v>0</v>
      </c>
      <c r="T1335" s="331">
        <v>0</v>
      </c>
      <c r="U1335" s="328">
        <f>VLOOKUP(C1335,METADATA!$J$5:$Q$29,IF(E1335="HI",2,IF(E1335="LO",6,10))+IF(T1335=1,2,IF(D1335=7,1,(IF(WEEKDAY(B1335)=1,2,IF(WEEKDAY(B1335)=7,1,0))))))</f>
        <v>2</v>
      </c>
      <c r="V1335" s="328">
        <f>VLOOKUP(C1335,METADATA!$A$5:$H$29,IF(E1335="HI",2,IF(E1335="LO",6,10))+IF(T1335=1,2,IF(D1335=7,1,(IF(WEEKDAY(B1335)=1,2,IF(WEEKDAY(B1335)=7,1,0))))))</f>
        <v>2</v>
      </c>
    </row>
    <row r="1336" spans="2:22">
      <c r="B1336" s="318">
        <f t="shared" si="83"/>
        <v>46168</v>
      </c>
      <c r="C1336" s="312">
        <v>12</v>
      </c>
      <c r="D1336" s="368">
        <f>IFERROR((INDEX(METADATA!$T$2:$T$20,MATCH(B1336,METADATA!$S$2:$S$20,0))),0)</f>
        <v>0</v>
      </c>
      <c r="E1336" s="312" t="str">
        <f t="shared" si="80"/>
        <v>LO</v>
      </c>
      <c r="F1336" s="369">
        <f>VLOOKUP(C1336,METADATA!$A$5:$H$29,IF(E1336="HI",2,IF(E1336="LO",6,10))+IF(D1336=1,2,IF(D1336=7,1,(IF(WEEKDAY(B1336)=1,2,IF(WEEKDAY(B1336)=7,1,0))))))</f>
        <v>2</v>
      </c>
      <c r="G1336" s="369">
        <f>VLOOKUP(C1336,METADATA!$J$5:$Q$29,IF(E1336="HI",2,IF(E1336="LO",6,10))+IF(D1336=1,2,IF(D1336=7,1,(IF(WEEKDAY(B1336)=1,2,IF(WEEKDAY(B1336)=7,1,0))))))</f>
        <v>2</v>
      </c>
      <c r="H1336" s="370">
        <v>11832.869995117188</v>
      </c>
      <c r="I1336" s="370">
        <v>473.3285083770752</v>
      </c>
      <c r="M1336" s="371">
        <f t="shared" si="81"/>
        <v>11842.33305553374</v>
      </c>
      <c r="N1336" s="329">
        <f t="shared" si="82"/>
        <v>0</v>
      </c>
      <c r="T1336" s="331">
        <v>0</v>
      </c>
      <c r="U1336" s="328">
        <f>VLOOKUP(C1336,METADATA!$J$5:$Q$29,IF(E1336="HI",2,IF(E1336="LO",6,10))+IF(T1336=1,2,IF(D1336=7,1,(IF(WEEKDAY(B1336)=1,2,IF(WEEKDAY(B1336)=7,1,0))))))</f>
        <v>2</v>
      </c>
      <c r="V1336" s="328">
        <f>VLOOKUP(C1336,METADATA!$A$5:$H$29,IF(E1336="HI",2,IF(E1336="LO",6,10))+IF(T1336=1,2,IF(D1336=7,1,(IF(WEEKDAY(B1336)=1,2,IF(WEEKDAY(B1336)=7,1,0))))))</f>
        <v>2</v>
      </c>
    </row>
    <row r="1337" spans="2:22">
      <c r="B1337" s="318">
        <f t="shared" si="83"/>
        <v>46168</v>
      </c>
      <c r="C1337" s="312">
        <v>13</v>
      </c>
      <c r="D1337" s="368">
        <f>IFERROR((INDEX(METADATA!$T$2:$T$20,MATCH(B1337,METADATA!$S$2:$S$20,0))),0)</f>
        <v>0</v>
      </c>
      <c r="E1337" s="312" t="str">
        <f t="shared" si="80"/>
        <v>LO</v>
      </c>
      <c r="F1337" s="369">
        <f>VLOOKUP(C1337,METADATA!$A$5:$H$29,IF(E1337="HI",2,IF(E1337="LO",6,10))+IF(D1337=1,2,IF(D1337=7,1,(IF(WEEKDAY(B1337)=1,2,IF(WEEKDAY(B1337)=7,1,0))))))</f>
        <v>2</v>
      </c>
      <c r="G1337" s="369">
        <f>VLOOKUP(C1337,METADATA!$J$5:$Q$29,IF(E1337="HI",2,IF(E1337="LO",6,10))+IF(D1337=1,2,IF(D1337=7,1,(IF(WEEKDAY(B1337)=1,2,IF(WEEKDAY(B1337)=7,1,0))))))</f>
        <v>2</v>
      </c>
      <c r="H1337" s="370">
        <v>11940.734802246094</v>
      </c>
      <c r="I1337" s="370">
        <v>515.56799113750458</v>
      </c>
      <c r="M1337" s="371">
        <f t="shared" si="81"/>
        <v>11951.860021396527</v>
      </c>
      <c r="N1337" s="329">
        <f t="shared" si="82"/>
        <v>0</v>
      </c>
      <c r="T1337" s="331">
        <v>0</v>
      </c>
      <c r="U1337" s="328">
        <f>VLOOKUP(C1337,METADATA!$J$5:$Q$29,IF(E1337="HI",2,IF(E1337="LO",6,10))+IF(T1337=1,2,IF(D1337=7,1,(IF(WEEKDAY(B1337)=1,2,IF(WEEKDAY(B1337)=7,1,0))))))</f>
        <v>2</v>
      </c>
      <c r="V1337" s="328">
        <f>VLOOKUP(C1337,METADATA!$A$5:$H$29,IF(E1337="HI",2,IF(E1337="LO",6,10))+IF(T1337=1,2,IF(D1337=7,1,(IF(WEEKDAY(B1337)=1,2,IF(WEEKDAY(B1337)=7,1,0))))))</f>
        <v>2</v>
      </c>
    </row>
    <row r="1338" spans="2:22">
      <c r="B1338" s="318">
        <f t="shared" si="83"/>
        <v>46168</v>
      </c>
      <c r="C1338" s="312">
        <v>14</v>
      </c>
      <c r="D1338" s="368">
        <f>IFERROR((INDEX(METADATA!$T$2:$T$20,MATCH(B1338,METADATA!$S$2:$S$20,0))),0)</f>
        <v>0</v>
      </c>
      <c r="E1338" s="312" t="str">
        <f t="shared" si="80"/>
        <v>LO</v>
      </c>
      <c r="F1338" s="369">
        <f>VLOOKUP(C1338,METADATA!$A$5:$H$29,IF(E1338="HI",2,IF(E1338="LO",6,10))+IF(D1338=1,2,IF(D1338=7,1,(IF(WEEKDAY(B1338)=1,2,IF(WEEKDAY(B1338)=7,1,0))))))</f>
        <v>2</v>
      </c>
      <c r="G1338" s="369">
        <f>VLOOKUP(C1338,METADATA!$J$5:$Q$29,IF(E1338="HI",2,IF(E1338="LO",6,10))+IF(D1338=1,2,IF(D1338=7,1,(IF(WEEKDAY(B1338)=1,2,IF(WEEKDAY(B1338)=7,1,0))))))</f>
        <v>2</v>
      </c>
      <c r="H1338" s="370">
        <v>11719.455200195313</v>
      </c>
      <c r="I1338" s="370">
        <v>510.19099283218384</v>
      </c>
      <c r="M1338" s="371">
        <f t="shared" si="81"/>
        <v>11730.555188845583</v>
      </c>
      <c r="N1338" s="329">
        <f t="shared" si="82"/>
        <v>0</v>
      </c>
      <c r="T1338" s="331">
        <v>0</v>
      </c>
      <c r="U1338" s="328">
        <f>VLOOKUP(C1338,METADATA!$J$5:$Q$29,IF(E1338="HI",2,IF(E1338="LO",6,10))+IF(T1338=1,2,IF(D1338=7,1,(IF(WEEKDAY(B1338)=1,2,IF(WEEKDAY(B1338)=7,1,0))))))</f>
        <v>2</v>
      </c>
      <c r="V1338" s="328">
        <f>VLOOKUP(C1338,METADATA!$A$5:$H$29,IF(E1338="HI",2,IF(E1338="LO",6,10))+IF(T1338=1,2,IF(D1338=7,1,(IF(WEEKDAY(B1338)=1,2,IF(WEEKDAY(B1338)=7,1,0))))))</f>
        <v>2</v>
      </c>
    </row>
    <row r="1339" spans="2:22">
      <c r="B1339" s="318">
        <f t="shared" si="83"/>
        <v>46168</v>
      </c>
      <c r="C1339" s="312">
        <v>15</v>
      </c>
      <c r="D1339" s="368">
        <f>IFERROR((INDEX(METADATA!$T$2:$T$20,MATCH(B1339,METADATA!$S$2:$S$20,0))),0)</f>
        <v>0</v>
      </c>
      <c r="E1339" s="312" t="str">
        <f t="shared" si="80"/>
        <v>LO</v>
      </c>
      <c r="F1339" s="369">
        <f>VLOOKUP(C1339,METADATA!$A$5:$H$29,IF(E1339="HI",2,IF(E1339="LO",6,10))+IF(D1339=1,2,IF(D1339=7,1,(IF(WEEKDAY(B1339)=1,2,IF(WEEKDAY(B1339)=7,1,0))))))</f>
        <v>2</v>
      </c>
      <c r="G1339" s="369">
        <f>VLOOKUP(C1339,METADATA!$J$5:$Q$29,IF(E1339="HI",2,IF(E1339="LO",6,10))+IF(D1339=1,2,IF(D1339=7,1,(IF(WEEKDAY(B1339)=1,2,IF(WEEKDAY(B1339)=7,1,0))))))</f>
        <v>2</v>
      </c>
      <c r="H1339" s="370">
        <v>9809.6249694824219</v>
      </c>
      <c r="I1339" s="370">
        <v>91.322500648442656</v>
      </c>
      <c r="M1339" s="371">
        <f t="shared" si="81"/>
        <v>9810.0500427376865</v>
      </c>
      <c r="N1339" s="329">
        <f t="shared" si="82"/>
        <v>0</v>
      </c>
      <c r="T1339" s="331">
        <v>0</v>
      </c>
      <c r="U1339" s="328">
        <f>VLOOKUP(C1339,METADATA!$J$5:$Q$29,IF(E1339="HI",2,IF(E1339="LO",6,10))+IF(T1339=1,2,IF(D1339=7,1,(IF(WEEKDAY(B1339)=1,2,IF(WEEKDAY(B1339)=7,1,0))))))</f>
        <v>2</v>
      </c>
      <c r="V1339" s="328">
        <f>VLOOKUP(C1339,METADATA!$A$5:$H$29,IF(E1339="HI",2,IF(E1339="LO",6,10))+IF(T1339=1,2,IF(D1339=7,1,(IF(WEEKDAY(B1339)=1,2,IF(WEEKDAY(B1339)=7,1,0))))))</f>
        <v>2</v>
      </c>
    </row>
    <row r="1340" spans="2:22">
      <c r="B1340" s="318">
        <f t="shared" si="83"/>
        <v>46168</v>
      </c>
      <c r="C1340" s="312">
        <v>16</v>
      </c>
      <c r="D1340" s="368">
        <f>IFERROR((INDEX(METADATA!$T$2:$T$20,MATCH(B1340,METADATA!$S$2:$S$20,0))),0)</f>
        <v>0</v>
      </c>
      <c r="E1340" s="312" t="str">
        <f t="shared" si="80"/>
        <v>LO</v>
      </c>
      <c r="F1340" s="369">
        <f>VLOOKUP(C1340,METADATA!$A$5:$H$29,IF(E1340="HI",2,IF(E1340="LO",6,10))+IF(D1340=1,2,IF(D1340=7,1,(IF(WEEKDAY(B1340)=1,2,IF(WEEKDAY(B1340)=7,1,0))))))</f>
        <v>2</v>
      </c>
      <c r="G1340" s="369">
        <f>VLOOKUP(C1340,METADATA!$J$5:$Q$29,IF(E1340="HI",2,IF(E1340="LO",6,10))+IF(D1340=1,2,IF(D1340=7,1,(IF(WEEKDAY(B1340)=1,2,IF(WEEKDAY(B1340)=7,1,0))))))</f>
        <v>2</v>
      </c>
      <c r="H1340" s="370">
        <v>5587.8074340820313</v>
      </c>
      <c r="I1340" s="370">
        <v>8.880000114440918</v>
      </c>
      <c r="M1340" s="371">
        <f t="shared" si="81"/>
        <v>5587.8144900116758</v>
      </c>
      <c r="N1340" s="329">
        <f t="shared" si="82"/>
        <v>0</v>
      </c>
      <c r="T1340" s="331">
        <v>0</v>
      </c>
      <c r="U1340" s="328">
        <f>VLOOKUP(C1340,METADATA!$J$5:$Q$29,IF(E1340="HI",2,IF(E1340="LO",6,10))+IF(T1340=1,2,IF(D1340=7,1,(IF(WEEKDAY(B1340)=1,2,IF(WEEKDAY(B1340)=7,1,0))))))</f>
        <v>2</v>
      </c>
      <c r="V1340" s="328">
        <f>VLOOKUP(C1340,METADATA!$A$5:$H$29,IF(E1340="HI",2,IF(E1340="LO",6,10))+IF(T1340=1,2,IF(D1340=7,1,(IF(WEEKDAY(B1340)=1,2,IF(WEEKDAY(B1340)=7,1,0))))))</f>
        <v>2</v>
      </c>
    </row>
    <row r="1341" spans="2:22">
      <c r="B1341" s="318">
        <f t="shared" si="83"/>
        <v>46168</v>
      </c>
      <c r="C1341" s="312">
        <v>17</v>
      </c>
      <c r="D1341" s="368">
        <f>IFERROR((INDEX(METADATA!$T$2:$T$20,MATCH(B1341,METADATA!$S$2:$S$20,0))),0)</f>
        <v>0</v>
      </c>
      <c r="E1341" s="312" t="str">
        <f t="shared" si="80"/>
        <v>LO</v>
      </c>
      <c r="F1341" s="369">
        <f>VLOOKUP(C1341,METADATA!$A$5:$H$29,IF(E1341="HI",2,IF(E1341="LO",6,10))+IF(D1341=1,2,IF(D1341=7,1,(IF(WEEKDAY(B1341)=1,2,IF(WEEKDAY(B1341)=7,1,0))))))</f>
        <v>2</v>
      </c>
      <c r="G1341" s="369">
        <f>VLOOKUP(C1341,METADATA!$J$5:$Q$29,IF(E1341="HI",2,IF(E1341="LO",6,10))+IF(D1341=1,2,IF(D1341=7,1,(IF(WEEKDAY(B1341)=1,2,IF(WEEKDAY(B1341)=7,1,0))))))</f>
        <v>2</v>
      </c>
      <c r="H1341" s="370">
        <v>4620.157470703125</v>
      </c>
      <c r="I1341" s="370">
        <v>0</v>
      </c>
      <c r="M1341" s="371">
        <f t="shared" si="81"/>
        <v>4620.157470703125</v>
      </c>
      <c r="N1341" s="329">
        <f t="shared" si="82"/>
        <v>0</v>
      </c>
      <c r="T1341" s="331">
        <v>0</v>
      </c>
      <c r="U1341" s="328">
        <f>VLOOKUP(C1341,METADATA!$J$5:$Q$29,IF(E1341="HI",2,IF(E1341="LO",6,10))+IF(T1341=1,2,IF(D1341=7,1,(IF(WEEKDAY(B1341)=1,2,IF(WEEKDAY(B1341)=7,1,0))))))</f>
        <v>2</v>
      </c>
      <c r="V1341" s="328">
        <f>VLOOKUP(C1341,METADATA!$A$5:$H$29,IF(E1341="HI",2,IF(E1341="LO",6,10))+IF(T1341=1,2,IF(D1341=7,1,(IF(WEEKDAY(B1341)=1,2,IF(WEEKDAY(B1341)=7,1,0))))))</f>
        <v>2</v>
      </c>
    </row>
    <row r="1342" spans="2:22">
      <c r="B1342" s="318">
        <f t="shared" si="83"/>
        <v>46168</v>
      </c>
      <c r="C1342" s="312">
        <v>18</v>
      </c>
      <c r="D1342" s="368">
        <f>IFERROR((INDEX(METADATA!$T$2:$T$20,MATCH(B1342,METADATA!$S$2:$S$20,0))),0)</f>
        <v>0</v>
      </c>
      <c r="E1342" s="312" t="str">
        <f t="shared" si="80"/>
        <v>LO</v>
      </c>
      <c r="F1342" s="369">
        <f>VLOOKUP(C1342,METADATA!$A$5:$H$29,IF(E1342="HI",2,IF(E1342="LO",6,10))+IF(D1342=1,2,IF(D1342=7,1,(IF(WEEKDAY(B1342)=1,2,IF(WEEKDAY(B1342)=7,1,0))))))</f>
        <v>1</v>
      </c>
      <c r="G1342" s="369">
        <f>VLOOKUP(C1342,METADATA!$J$5:$Q$29,IF(E1342="HI",2,IF(E1342="LO",6,10))+IF(D1342=1,2,IF(D1342=7,1,(IF(WEEKDAY(B1342)=1,2,IF(WEEKDAY(B1342)=7,1,0))))))</f>
        <v>1</v>
      </c>
      <c r="H1342" s="370">
        <v>5841.0400390625</v>
      </c>
      <c r="I1342" s="370">
        <v>192.74000427126884</v>
      </c>
      <c r="M1342" s="371">
        <f t="shared" si="81"/>
        <v>5844.2191477713886</v>
      </c>
      <c r="N1342" s="329">
        <f t="shared" si="82"/>
        <v>0</v>
      </c>
      <c r="T1342" s="331">
        <v>0</v>
      </c>
      <c r="U1342" s="328">
        <f>VLOOKUP(C1342,METADATA!$J$5:$Q$29,IF(E1342="HI",2,IF(E1342="LO",6,10))+IF(T1342=1,2,IF(D1342=7,1,(IF(WEEKDAY(B1342)=1,2,IF(WEEKDAY(B1342)=7,1,0))))))</f>
        <v>1</v>
      </c>
      <c r="V1342" s="328">
        <f>VLOOKUP(C1342,METADATA!$A$5:$H$29,IF(E1342="HI",2,IF(E1342="LO",6,10))+IF(T1342=1,2,IF(D1342=7,1,(IF(WEEKDAY(B1342)=1,2,IF(WEEKDAY(B1342)=7,1,0))))))</f>
        <v>1</v>
      </c>
    </row>
    <row r="1343" spans="2:22">
      <c r="B1343" s="318">
        <f t="shared" si="83"/>
        <v>46168</v>
      </c>
      <c r="C1343" s="312">
        <v>19</v>
      </c>
      <c r="D1343" s="368">
        <f>IFERROR((INDEX(METADATA!$T$2:$T$20,MATCH(B1343,METADATA!$S$2:$S$20,0))),0)</f>
        <v>0</v>
      </c>
      <c r="E1343" s="312" t="str">
        <f t="shared" si="80"/>
        <v>LO</v>
      </c>
      <c r="F1343" s="369">
        <f>VLOOKUP(C1343,METADATA!$A$5:$H$29,IF(E1343="HI",2,IF(E1343="LO",6,10))+IF(D1343=1,2,IF(D1343=7,1,(IF(WEEKDAY(B1343)=1,2,IF(WEEKDAY(B1343)=7,1,0))))))</f>
        <v>1</v>
      </c>
      <c r="G1343" s="369">
        <f>VLOOKUP(C1343,METADATA!$J$5:$Q$29,IF(E1343="HI",2,IF(E1343="LO",6,10))+IF(D1343=1,2,IF(D1343=7,1,(IF(WEEKDAY(B1343)=1,2,IF(WEEKDAY(B1343)=7,1,0))))))</f>
        <v>1</v>
      </c>
      <c r="H1343" s="370">
        <v>6539.5000610351563</v>
      </c>
      <c r="I1343" s="370">
        <v>316.6580103635788</v>
      </c>
      <c r="M1343" s="371">
        <f t="shared" si="81"/>
        <v>6547.1622359466719</v>
      </c>
      <c r="N1343" s="329">
        <f t="shared" si="82"/>
        <v>0</v>
      </c>
      <c r="T1343" s="331">
        <v>0</v>
      </c>
      <c r="U1343" s="328">
        <f>VLOOKUP(C1343,METADATA!$J$5:$Q$29,IF(E1343="HI",2,IF(E1343="LO",6,10))+IF(T1343=1,2,IF(D1343=7,1,(IF(WEEKDAY(B1343)=1,2,IF(WEEKDAY(B1343)=7,1,0))))))</f>
        <v>1</v>
      </c>
      <c r="V1343" s="328">
        <f>VLOOKUP(C1343,METADATA!$A$5:$H$29,IF(E1343="HI",2,IF(E1343="LO",6,10))+IF(T1343=1,2,IF(D1343=7,1,(IF(WEEKDAY(B1343)=1,2,IF(WEEKDAY(B1343)=7,1,0))))))</f>
        <v>1</v>
      </c>
    </row>
    <row r="1344" spans="2:22">
      <c r="B1344" s="318">
        <f t="shared" si="83"/>
        <v>46168</v>
      </c>
      <c r="C1344" s="312">
        <v>20</v>
      </c>
      <c r="D1344" s="368">
        <f>IFERROR((INDEX(METADATA!$T$2:$T$20,MATCH(B1344,METADATA!$S$2:$S$20,0))),0)</f>
        <v>0</v>
      </c>
      <c r="E1344" s="312" t="str">
        <f t="shared" si="80"/>
        <v>LO</v>
      </c>
      <c r="F1344" s="369">
        <f>VLOOKUP(C1344,METADATA!$A$5:$H$29,IF(E1344="HI",2,IF(E1344="LO",6,10))+IF(D1344=1,2,IF(D1344=7,1,(IF(WEEKDAY(B1344)=1,2,IF(WEEKDAY(B1344)=7,1,0))))))</f>
        <v>1</v>
      </c>
      <c r="G1344" s="369">
        <f>VLOOKUP(C1344,METADATA!$J$5:$Q$29,IF(E1344="HI",2,IF(E1344="LO",6,10))+IF(D1344=1,2,IF(D1344=7,1,(IF(WEEKDAY(B1344)=1,2,IF(WEEKDAY(B1344)=7,1,0))))))</f>
        <v>1</v>
      </c>
      <c r="H1344" s="370">
        <v>8358.0200805664063</v>
      </c>
      <c r="I1344" s="370">
        <v>404.1590022444725</v>
      </c>
      <c r="M1344" s="371">
        <f t="shared" si="81"/>
        <v>8367.7860970657293</v>
      </c>
      <c r="N1344" s="329">
        <f t="shared" si="82"/>
        <v>0</v>
      </c>
      <c r="T1344" s="331">
        <v>0</v>
      </c>
      <c r="U1344" s="328">
        <f>VLOOKUP(C1344,METADATA!$J$5:$Q$29,IF(E1344="HI",2,IF(E1344="LO",6,10))+IF(T1344=1,2,IF(D1344=7,1,(IF(WEEKDAY(B1344)=1,2,IF(WEEKDAY(B1344)=7,1,0))))))</f>
        <v>1</v>
      </c>
      <c r="V1344" s="328">
        <f>VLOOKUP(C1344,METADATA!$A$5:$H$29,IF(E1344="HI",2,IF(E1344="LO",6,10))+IF(T1344=1,2,IF(D1344=7,1,(IF(WEEKDAY(B1344)=1,2,IF(WEEKDAY(B1344)=7,1,0))))))</f>
        <v>1</v>
      </c>
    </row>
    <row r="1345" spans="2:22">
      <c r="B1345" s="318">
        <f t="shared" si="83"/>
        <v>46168</v>
      </c>
      <c r="C1345" s="312">
        <v>21</v>
      </c>
      <c r="D1345" s="368">
        <f>IFERROR((INDEX(METADATA!$T$2:$T$20,MATCH(B1345,METADATA!$S$2:$S$20,0))),0)</f>
        <v>0</v>
      </c>
      <c r="E1345" s="312" t="str">
        <f t="shared" si="80"/>
        <v>LO</v>
      </c>
      <c r="F1345" s="369">
        <f>VLOOKUP(C1345,METADATA!$A$5:$H$29,IF(E1345="HI",2,IF(E1345="LO",6,10))+IF(D1345=1,2,IF(D1345=7,1,(IF(WEEKDAY(B1345)=1,2,IF(WEEKDAY(B1345)=7,1,0))))))</f>
        <v>2</v>
      </c>
      <c r="G1345" s="369">
        <f>VLOOKUP(C1345,METADATA!$J$5:$Q$29,IF(E1345="HI",2,IF(E1345="LO",6,10))+IF(D1345=1,2,IF(D1345=7,1,(IF(WEEKDAY(B1345)=1,2,IF(WEEKDAY(B1345)=7,1,0))))))</f>
        <v>2</v>
      </c>
      <c r="H1345" s="370">
        <v>12217.394775390625</v>
      </c>
      <c r="I1345" s="370">
        <v>627.60100507736206</v>
      </c>
      <c r="M1345" s="371">
        <f t="shared" si="81"/>
        <v>12233.503918310415</v>
      </c>
      <c r="N1345" s="329">
        <f t="shared" si="82"/>
        <v>0</v>
      </c>
      <c r="T1345" s="331">
        <v>0</v>
      </c>
      <c r="U1345" s="328">
        <f>VLOOKUP(C1345,METADATA!$J$5:$Q$29,IF(E1345="HI",2,IF(E1345="LO",6,10))+IF(T1345=1,2,IF(D1345=7,1,(IF(WEEKDAY(B1345)=1,2,IF(WEEKDAY(B1345)=7,1,0))))))</f>
        <v>2</v>
      </c>
      <c r="V1345" s="328">
        <f>VLOOKUP(C1345,METADATA!$A$5:$H$29,IF(E1345="HI",2,IF(E1345="LO",6,10))+IF(T1345=1,2,IF(D1345=7,1,(IF(WEEKDAY(B1345)=1,2,IF(WEEKDAY(B1345)=7,1,0))))))</f>
        <v>2</v>
      </c>
    </row>
    <row r="1346" spans="2:22">
      <c r="B1346" s="318">
        <f t="shared" si="83"/>
        <v>46168</v>
      </c>
      <c r="C1346" s="312">
        <v>22</v>
      </c>
      <c r="D1346" s="368">
        <f>IFERROR((INDEX(METADATA!$T$2:$T$20,MATCH(B1346,METADATA!$S$2:$S$20,0))),0)</f>
        <v>0</v>
      </c>
      <c r="E1346" s="312" t="str">
        <f t="shared" si="80"/>
        <v>LO</v>
      </c>
      <c r="F1346" s="369">
        <f>VLOOKUP(C1346,METADATA!$A$5:$H$29,IF(E1346="HI",2,IF(E1346="LO",6,10))+IF(D1346=1,2,IF(D1346=7,1,(IF(WEEKDAY(B1346)=1,2,IF(WEEKDAY(B1346)=7,1,0))))))</f>
        <v>3</v>
      </c>
      <c r="G1346" s="369">
        <f>VLOOKUP(C1346,METADATA!$J$5:$Q$29,IF(E1346="HI",2,IF(E1346="LO",6,10))+IF(D1346=1,2,IF(D1346=7,1,(IF(WEEKDAY(B1346)=1,2,IF(WEEKDAY(B1346)=7,1,0))))))</f>
        <v>3</v>
      </c>
      <c r="H1346" s="370">
        <v>12313.284851074219</v>
      </c>
      <c r="I1346" s="370">
        <v>748.84601402282715</v>
      </c>
      <c r="M1346" s="371">
        <f t="shared" si="81"/>
        <v>12336.034783365832</v>
      </c>
      <c r="N1346" s="329">
        <f t="shared" si="82"/>
        <v>0</v>
      </c>
      <c r="T1346" s="331">
        <v>0</v>
      </c>
      <c r="U1346" s="328">
        <f>VLOOKUP(C1346,METADATA!$J$5:$Q$29,IF(E1346="HI",2,IF(E1346="LO",6,10))+IF(T1346=1,2,IF(D1346=7,1,(IF(WEEKDAY(B1346)=1,2,IF(WEEKDAY(B1346)=7,1,0))))))</f>
        <v>3</v>
      </c>
      <c r="V1346" s="328">
        <f>VLOOKUP(C1346,METADATA!$A$5:$H$29,IF(E1346="HI",2,IF(E1346="LO",6,10))+IF(T1346=1,2,IF(D1346=7,1,(IF(WEEKDAY(B1346)=1,2,IF(WEEKDAY(B1346)=7,1,0))))))</f>
        <v>3</v>
      </c>
    </row>
    <row r="1347" spans="2:22">
      <c r="B1347" s="318">
        <f t="shared" si="83"/>
        <v>46168</v>
      </c>
      <c r="C1347" s="312">
        <v>23</v>
      </c>
      <c r="D1347" s="368">
        <f>IFERROR((INDEX(METADATA!$T$2:$T$20,MATCH(B1347,METADATA!$S$2:$S$20,0))),0)</f>
        <v>0</v>
      </c>
      <c r="E1347" s="312" t="str">
        <f t="shared" si="80"/>
        <v>LO</v>
      </c>
      <c r="F1347" s="369">
        <f>VLOOKUP(C1347,METADATA!$A$5:$H$29,IF(E1347="HI",2,IF(E1347="LO",6,10))+IF(D1347=1,2,IF(D1347=7,1,(IF(WEEKDAY(B1347)=1,2,IF(WEEKDAY(B1347)=7,1,0))))))</f>
        <v>3</v>
      </c>
      <c r="G1347" s="369">
        <f>VLOOKUP(C1347,METADATA!$J$5:$Q$29,IF(E1347="HI",2,IF(E1347="LO",6,10))+IF(D1347=1,2,IF(D1347=7,1,(IF(WEEKDAY(B1347)=1,2,IF(WEEKDAY(B1347)=7,1,0))))))</f>
        <v>3</v>
      </c>
      <c r="H1347" s="370">
        <v>12395.630249023438</v>
      </c>
      <c r="I1347" s="370">
        <v>725.06499671936035</v>
      </c>
      <c r="M1347" s="371">
        <f t="shared" si="81"/>
        <v>12416.817970799622</v>
      </c>
      <c r="N1347" s="329">
        <f t="shared" si="82"/>
        <v>0</v>
      </c>
      <c r="T1347" s="331">
        <v>0</v>
      </c>
      <c r="U1347" s="328">
        <f>VLOOKUP(C1347,METADATA!$J$5:$Q$29,IF(E1347="HI",2,IF(E1347="LO",6,10))+IF(T1347=1,2,IF(D1347=7,1,(IF(WEEKDAY(B1347)=1,2,IF(WEEKDAY(B1347)=7,1,0))))))</f>
        <v>3</v>
      </c>
      <c r="V1347" s="328">
        <f>VLOOKUP(C1347,METADATA!$A$5:$H$29,IF(E1347="HI",2,IF(E1347="LO",6,10))+IF(T1347=1,2,IF(D1347=7,1,(IF(WEEKDAY(B1347)=1,2,IF(WEEKDAY(B1347)=7,1,0))))))</f>
        <v>3</v>
      </c>
    </row>
    <row r="1348" spans="2:22">
      <c r="B1348" s="318">
        <f t="shared" si="83"/>
        <v>46169</v>
      </c>
      <c r="C1348" s="312">
        <v>0</v>
      </c>
      <c r="D1348" s="368">
        <f>IFERROR((INDEX(METADATA!$T$2:$T$20,MATCH(B1348,METADATA!$S$2:$S$20,0))),0)</f>
        <v>0</v>
      </c>
      <c r="E1348" s="312" t="str">
        <f t="shared" ref="E1348:E1411" si="84">IF(B1348="","",IF(AND(MONTH(B1348)&gt;=MONTH($Z$9),MONTH(B1348)&lt;=MONTH($Z$11)),"HI","LO"))</f>
        <v>LO</v>
      </c>
      <c r="F1348" s="369">
        <f>VLOOKUP(C1348,METADATA!$A$5:$H$29,IF(E1348="HI",2,IF(E1348="LO",6,10))+IF(D1348=1,2,IF(D1348=7,1,(IF(WEEKDAY(B1348)=1,2,IF(WEEKDAY(B1348)=7,1,0))))))</f>
        <v>3</v>
      </c>
      <c r="G1348" s="369">
        <f>VLOOKUP(C1348,METADATA!$J$5:$Q$29,IF(E1348="HI",2,IF(E1348="LO",6,10))+IF(D1348=1,2,IF(D1348=7,1,(IF(WEEKDAY(B1348)=1,2,IF(WEEKDAY(B1348)=7,1,0))))))</f>
        <v>3</v>
      </c>
      <c r="H1348" s="370">
        <v>12446.234802246094</v>
      </c>
      <c r="I1348" s="370">
        <v>651.72100162506104</v>
      </c>
      <c r="M1348" s="371">
        <f t="shared" ref="M1348:M1411" si="85">SQRT(H1348^2+I1348^2)</f>
        <v>12463.286124317336</v>
      </c>
      <c r="N1348" s="329">
        <f t="shared" ref="N1348:N1411" si="86">IF(H1348=0,0,(IF(I1348-(0.3*H1348)&lt;0,0,(I1348-(0.3*H1348)))))</f>
        <v>0</v>
      </c>
      <c r="T1348" s="331">
        <v>0</v>
      </c>
      <c r="U1348" s="328">
        <f>VLOOKUP(C1348,METADATA!$J$5:$Q$29,IF(E1348="HI",2,IF(E1348="LO",6,10))+IF(T1348=1,2,IF(D1348=7,1,(IF(WEEKDAY(B1348)=1,2,IF(WEEKDAY(B1348)=7,1,0))))))</f>
        <v>3</v>
      </c>
      <c r="V1348" s="328">
        <f>VLOOKUP(C1348,METADATA!$A$5:$H$29,IF(E1348="HI",2,IF(E1348="LO",6,10))+IF(T1348=1,2,IF(D1348=7,1,(IF(WEEKDAY(B1348)=1,2,IF(WEEKDAY(B1348)=7,1,0))))))</f>
        <v>3</v>
      </c>
    </row>
    <row r="1349" spans="2:22">
      <c r="B1349" s="318">
        <f t="shared" si="83"/>
        <v>46169</v>
      </c>
      <c r="C1349" s="312">
        <v>1</v>
      </c>
      <c r="D1349" s="368">
        <f>IFERROR((INDEX(METADATA!$T$2:$T$20,MATCH(B1349,METADATA!$S$2:$S$20,0))),0)</f>
        <v>0</v>
      </c>
      <c r="E1349" s="312" t="str">
        <f t="shared" si="84"/>
        <v>LO</v>
      </c>
      <c r="F1349" s="369">
        <f>VLOOKUP(C1349,METADATA!$A$5:$H$29,IF(E1349="HI",2,IF(E1349="LO",6,10))+IF(D1349=1,2,IF(D1349=7,1,(IF(WEEKDAY(B1349)=1,2,IF(WEEKDAY(B1349)=7,1,0))))))</f>
        <v>3</v>
      </c>
      <c r="G1349" s="369">
        <f>VLOOKUP(C1349,METADATA!$J$5:$Q$29,IF(E1349="HI",2,IF(E1349="LO",6,10))+IF(D1349=1,2,IF(D1349=7,1,(IF(WEEKDAY(B1349)=1,2,IF(WEEKDAY(B1349)=7,1,0))))))</f>
        <v>3</v>
      </c>
      <c r="H1349" s="370">
        <v>12509.840087890625</v>
      </c>
      <c r="I1349" s="370">
        <v>1002.6019802093506</v>
      </c>
      <c r="M1349" s="371">
        <f t="shared" si="85"/>
        <v>12549.952579803441</v>
      </c>
      <c r="N1349" s="329">
        <f t="shared" si="86"/>
        <v>0</v>
      </c>
      <c r="T1349" s="331">
        <v>0</v>
      </c>
      <c r="U1349" s="328">
        <f>VLOOKUP(C1349,METADATA!$J$5:$Q$29,IF(E1349="HI",2,IF(E1349="LO",6,10))+IF(T1349=1,2,IF(D1349=7,1,(IF(WEEKDAY(B1349)=1,2,IF(WEEKDAY(B1349)=7,1,0))))))</f>
        <v>3</v>
      </c>
      <c r="V1349" s="328">
        <f>VLOOKUP(C1349,METADATA!$A$5:$H$29,IF(E1349="HI",2,IF(E1349="LO",6,10))+IF(T1349=1,2,IF(D1349=7,1,(IF(WEEKDAY(B1349)=1,2,IF(WEEKDAY(B1349)=7,1,0))))))</f>
        <v>3</v>
      </c>
    </row>
    <row r="1350" spans="2:22">
      <c r="B1350" s="318">
        <f t="shared" si="83"/>
        <v>46169</v>
      </c>
      <c r="C1350" s="312">
        <v>2</v>
      </c>
      <c r="D1350" s="368">
        <f>IFERROR((INDEX(METADATA!$T$2:$T$20,MATCH(B1350,METADATA!$S$2:$S$20,0))),0)</f>
        <v>0</v>
      </c>
      <c r="E1350" s="312" t="str">
        <f t="shared" si="84"/>
        <v>LO</v>
      </c>
      <c r="F1350" s="369">
        <f>VLOOKUP(C1350,METADATA!$A$5:$H$29,IF(E1350="HI",2,IF(E1350="LO",6,10))+IF(D1350=1,2,IF(D1350=7,1,(IF(WEEKDAY(B1350)=1,2,IF(WEEKDAY(B1350)=7,1,0))))))</f>
        <v>3</v>
      </c>
      <c r="G1350" s="369">
        <f>VLOOKUP(C1350,METADATA!$J$5:$Q$29,IF(E1350="HI",2,IF(E1350="LO",6,10))+IF(D1350=1,2,IF(D1350=7,1,(IF(WEEKDAY(B1350)=1,2,IF(WEEKDAY(B1350)=7,1,0))))))</f>
        <v>3</v>
      </c>
      <c r="H1350" s="370">
        <v>13246.360656738281</v>
      </c>
      <c r="I1350" s="370">
        <v>1571.1100025177002</v>
      </c>
      <c r="M1350" s="371">
        <f t="shared" si="85"/>
        <v>13339.207521003449</v>
      </c>
      <c r="N1350" s="329">
        <f t="shared" si="86"/>
        <v>0</v>
      </c>
      <c r="T1350" s="331">
        <v>0</v>
      </c>
      <c r="U1350" s="328">
        <f>VLOOKUP(C1350,METADATA!$J$5:$Q$29,IF(E1350="HI",2,IF(E1350="LO",6,10))+IF(T1350=1,2,IF(D1350=7,1,(IF(WEEKDAY(B1350)=1,2,IF(WEEKDAY(B1350)=7,1,0))))))</f>
        <v>3</v>
      </c>
      <c r="V1350" s="328">
        <f>VLOOKUP(C1350,METADATA!$A$5:$H$29,IF(E1350="HI",2,IF(E1350="LO",6,10))+IF(T1350=1,2,IF(D1350=7,1,(IF(WEEKDAY(B1350)=1,2,IF(WEEKDAY(B1350)=7,1,0))))))</f>
        <v>3</v>
      </c>
    </row>
    <row r="1351" spans="2:22">
      <c r="B1351" s="318">
        <f t="shared" si="83"/>
        <v>46169</v>
      </c>
      <c r="C1351" s="312">
        <v>3</v>
      </c>
      <c r="D1351" s="368">
        <f>IFERROR((INDEX(METADATA!$T$2:$T$20,MATCH(B1351,METADATA!$S$2:$S$20,0))),0)</f>
        <v>0</v>
      </c>
      <c r="E1351" s="312" t="str">
        <f t="shared" si="84"/>
        <v>LO</v>
      </c>
      <c r="F1351" s="369">
        <f>VLOOKUP(C1351,METADATA!$A$5:$H$29,IF(E1351="HI",2,IF(E1351="LO",6,10))+IF(D1351=1,2,IF(D1351=7,1,(IF(WEEKDAY(B1351)=1,2,IF(WEEKDAY(B1351)=7,1,0))))))</f>
        <v>3</v>
      </c>
      <c r="G1351" s="369">
        <f>VLOOKUP(C1351,METADATA!$J$5:$Q$29,IF(E1351="HI",2,IF(E1351="LO",6,10))+IF(D1351=1,2,IF(D1351=7,1,(IF(WEEKDAY(B1351)=1,2,IF(WEEKDAY(B1351)=7,1,0))))))</f>
        <v>3</v>
      </c>
      <c r="H1351" s="370">
        <v>12961.750061035156</v>
      </c>
      <c r="I1351" s="370">
        <v>1329.8379917144775</v>
      </c>
      <c r="M1351" s="371">
        <f t="shared" si="85"/>
        <v>13029.790241172423</v>
      </c>
      <c r="N1351" s="329">
        <f t="shared" si="86"/>
        <v>0</v>
      </c>
      <c r="T1351" s="331">
        <v>0</v>
      </c>
      <c r="U1351" s="328">
        <f>VLOOKUP(C1351,METADATA!$J$5:$Q$29,IF(E1351="HI",2,IF(E1351="LO",6,10))+IF(T1351=1,2,IF(D1351=7,1,(IF(WEEKDAY(B1351)=1,2,IF(WEEKDAY(B1351)=7,1,0))))))</f>
        <v>3</v>
      </c>
      <c r="V1351" s="328">
        <f>VLOOKUP(C1351,METADATA!$A$5:$H$29,IF(E1351="HI",2,IF(E1351="LO",6,10))+IF(T1351=1,2,IF(D1351=7,1,(IF(WEEKDAY(B1351)=1,2,IF(WEEKDAY(B1351)=7,1,0))))))</f>
        <v>3</v>
      </c>
    </row>
    <row r="1352" spans="2:22">
      <c r="B1352" s="318">
        <f t="shared" si="83"/>
        <v>46169</v>
      </c>
      <c r="C1352" s="312">
        <v>4</v>
      </c>
      <c r="D1352" s="368">
        <f>IFERROR((INDEX(METADATA!$T$2:$T$20,MATCH(B1352,METADATA!$S$2:$S$20,0))),0)</f>
        <v>0</v>
      </c>
      <c r="E1352" s="312" t="str">
        <f t="shared" si="84"/>
        <v>LO</v>
      </c>
      <c r="F1352" s="369">
        <f>VLOOKUP(C1352,METADATA!$A$5:$H$29,IF(E1352="HI",2,IF(E1352="LO",6,10))+IF(D1352=1,2,IF(D1352=7,1,(IF(WEEKDAY(B1352)=1,2,IF(WEEKDAY(B1352)=7,1,0))))))</f>
        <v>3</v>
      </c>
      <c r="G1352" s="369">
        <f>VLOOKUP(C1352,METADATA!$J$5:$Q$29,IF(E1352="HI",2,IF(E1352="LO",6,10))+IF(D1352=1,2,IF(D1352=7,1,(IF(WEEKDAY(B1352)=1,2,IF(WEEKDAY(B1352)=7,1,0))))))</f>
        <v>3</v>
      </c>
      <c r="H1352" s="370">
        <v>12377.110046386719</v>
      </c>
      <c r="I1352" s="370">
        <v>772.36799335479736</v>
      </c>
      <c r="M1352" s="371">
        <f t="shared" si="85"/>
        <v>12401.185645635902</v>
      </c>
      <c r="N1352" s="329">
        <f t="shared" si="86"/>
        <v>0</v>
      </c>
      <c r="T1352" s="331">
        <v>0</v>
      </c>
      <c r="U1352" s="328">
        <f>VLOOKUP(C1352,METADATA!$J$5:$Q$29,IF(E1352="HI",2,IF(E1352="LO",6,10))+IF(T1352=1,2,IF(D1352=7,1,(IF(WEEKDAY(B1352)=1,2,IF(WEEKDAY(B1352)=7,1,0))))))</f>
        <v>3</v>
      </c>
      <c r="V1352" s="328">
        <f>VLOOKUP(C1352,METADATA!$A$5:$H$29,IF(E1352="HI",2,IF(E1352="LO",6,10))+IF(T1352=1,2,IF(D1352=7,1,(IF(WEEKDAY(B1352)=1,2,IF(WEEKDAY(B1352)=7,1,0))))))</f>
        <v>3</v>
      </c>
    </row>
    <row r="1353" spans="2:22">
      <c r="B1353" s="318">
        <f t="shared" si="83"/>
        <v>46169</v>
      </c>
      <c r="C1353" s="312">
        <v>5</v>
      </c>
      <c r="D1353" s="368">
        <f>IFERROR((INDEX(METADATA!$T$2:$T$20,MATCH(B1353,METADATA!$S$2:$S$20,0))),0)</f>
        <v>0</v>
      </c>
      <c r="E1353" s="312" t="str">
        <f t="shared" si="84"/>
        <v>LO</v>
      </c>
      <c r="F1353" s="369">
        <f>VLOOKUP(C1353,METADATA!$A$5:$H$29,IF(E1353="HI",2,IF(E1353="LO",6,10))+IF(D1353=1,2,IF(D1353=7,1,(IF(WEEKDAY(B1353)=1,2,IF(WEEKDAY(B1353)=7,1,0))))))</f>
        <v>3</v>
      </c>
      <c r="G1353" s="369">
        <f>VLOOKUP(C1353,METADATA!$J$5:$Q$29,IF(E1353="HI",2,IF(E1353="LO",6,10))+IF(D1353=1,2,IF(D1353=7,1,(IF(WEEKDAY(B1353)=1,2,IF(WEEKDAY(B1353)=7,1,0))))))</f>
        <v>3</v>
      </c>
      <c r="H1353" s="370">
        <v>13099.579895019531</v>
      </c>
      <c r="I1353" s="370">
        <v>1390.3429765701294</v>
      </c>
      <c r="M1353" s="371">
        <f t="shared" si="85"/>
        <v>13173.156304337157</v>
      </c>
      <c r="N1353" s="329">
        <f t="shared" si="86"/>
        <v>0</v>
      </c>
      <c r="T1353" s="331">
        <v>0</v>
      </c>
      <c r="U1353" s="328">
        <f>VLOOKUP(C1353,METADATA!$J$5:$Q$29,IF(E1353="HI",2,IF(E1353="LO",6,10))+IF(T1353=1,2,IF(D1353=7,1,(IF(WEEKDAY(B1353)=1,2,IF(WEEKDAY(B1353)=7,1,0))))))</f>
        <v>3</v>
      </c>
      <c r="V1353" s="328">
        <f>VLOOKUP(C1353,METADATA!$A$5:$H$29,IF(E1353="HI",2,IF(E1353="LO",6,10))+IF(T1353=1,2,IF(D1353=7,1,(IF(WEEKDAY(B1353)=1,2,IF(WEEKDAY(B1353)=7,1,0))))))</f>
        <v>3</v>
      </c>
    </row>
    <row r="1354" spans="2:22">
      <c r="B1354" s="318">
        <f t="shared" si="83"/>
        <v>46169</v>
      </c>
      <c r="C1354" s="312">
        <v>6</v>
      </c>
      <c r="D1354" s="368">
        <f>IFERROR((INDEX(METADATA!$T$2:$T$20,MATCH(B1354,METADATA!$S$2:$S$20,0))),0)</f>
        <v>0</v>
      </c>
      <c r="E1354" s="312" t="str">
        <f t="shared" si="84"/>
        <v>LO</v>
      </c>
      <c r="F1354" s="369">
        <f>VLOOKUP(C1354,METADATA!$A$5:$H$29,IF(E1354="HI",2,IF(E1354="LO",6,10))+IF(D1354=1,2,IF(D1354=7,1,(IF(WEEKDAY(B1354)=1,2,IF(WEEKDAY(B1354)=7,1,0))))))</f>
        <v>2</v>
      </c>
      <c r="G1354" s="369">
        <f>VLOOKUP(C1354,METADATA!$J$5:$Q$29,IF(E1354="HI",2,IF(E1354="LO",6,10))+IF(D1354=1,2,IF(D1354=7,1,(IF(WEEKDAY(B1354)=1,2,IF(WEEKDAY(B1354)=7,1,0))))))</f>
        <v>2</v>
      </c>
      <c r="H1354" s="370">
        <v>13213.285217285156</v>
      </c>
      <c r="I1354" s="370">
        <v>1522.6314754486084</v>
      </c>
      <c r="M1354" s="371">
        <f t="shared" si="85"/>
        <v>13300.726026926246</v>
      </c>
      <c r="N1354" s="329">
        <f t="shared" si="86"/>
        <v>0</v>
      </c>
      <c r="T1354" s="331">
        <v>0</v>
      </c>
      <c r="U1354" s="328">
        <f>VLOOKUP(C1354,METADATA!$J$5:$Q$29,IF(E1354="HI",2,IF(E1354="LO",6,10))+IF(T1354=1,2,IF(D1354=7,1,(IF(WEEKDAY(B1354)=1,2,IF(WEEKDAY(B1354)=7,1,0))))))</f>
        <v>2</v>
      </c>
      <c r="V1354" s="328">
        <f>VLOOKUP(C1354,METADATA!$A$5:$H$29,IF(E1354="HI",2,IF(E1354="LO",6,10))+IF(T1354=1,2,IF(D1354=7,1,(IF(WEEKDAY(B1354)=1,2,IF(WEEKDAY(B1354)=7,1,0))))))</f>
        <v>2</v>
      </c>
    </row>
    <row r="1355" spans="2:22">
      <c r="B1355" s="318">
        <f t="shared" si="83"/>
        <v>46169</v>
      </c>
      <c r="C1355" s="312">
        <v>7</v>
      </c>
      <c r="D1355" s="368">
        <f>IFERROR((INDEX(METADATA!$T$2:$T$20,MATCH(B1355,METADATA!$S$2:$S$20,0))),0)</f>
        <v>0</v>
      </c>
      <c r="E1355" s="312" t="str">
        <f t="shared" si="84"/>
        <v>LO</v>
      </c>
      <c r="F1355" s="369">
        <f>VLOOKUP(C1355,METADATA!$A$5:$H$29,IF(E1355="HI",2,IF(E1355="LO",6,10))+IF(D1355=1,2,IF(D1355=7,1,(IF(WEEKDAY(B1355)=1,2,IF(WEEKDAY(B1355)=7,1,0))))))</f>
        <v>1</v>
      </c>
      <c r="G1355" s="369">
        <f>VLOOKUP(C1355,METADATA!$J$5:$Q$29,IF(E1355="HI",2,IF(E1355="LO",6,10))+IF(D1355=1,2,IF(D1355=7,1,(IF(WEEKDAY(B1355)=1,2,IF(WEEKDAY(B1355)=7,1,0))))))</f>
        <v>1</v>
      </c>
      <c r="H1355" s="370">
        <v>13436.284912109375</v>
      </c>
      <c r="I1355" s="370">
        <v>1647.4805202484131</v>
      </c>
      <c r="M1355" s="371">
        <f t="shared" si="85"/>
        <v>13536.91044160284</v>
      </c>
      <c r="N1355" s="329">
        <f t="shared" si="86"/>
        <v>0</v>
      </c>
      <c r="T1355" s="331">
        <v>0</v>
      </c>
      <c r="U1355" s="328">
        <f>VLOOKUP(C1355,METADATA!$J$5:$Q$29,IF(E1355="HI",2,IF(E1355="LO",6,10))+IF(T1355=1,2,IF(D1355=7,1,(IF(WEEKDAY(B1355)=1,2,IF(WEEKDAY(B1355)=7,1,0))))))</f>
        <v>1</v>
      </c>
      <c r="V1355" s="328">
        <f>VLOOKUP(C1355,METADATA!$A$5:$H$29,IF(E1355="HI",2,IF(E1355="LO",6,10))+IF(T1355=1,2,IF(D1355=7,1,(IF(WEEKDAY(B1355)=1,2,IF(WEEKDAY(B1355)=7,1,0))))))</f>
        <v>1</v>
      </c>
    </row>
    <row r="1356" spans="2:22">
      <c r="B1356" s="318">
        <f t="shared" si="83"/>
        <v>46169</v>
      </c>
      <c r="C1356" s="312">
        <v>8</v>
      </c>
      <c r="D1356" s="368">
        <f>IFERROR((INDEX(METADATA!$T$2:$T$20,MATCH(B1356,METADATA!$S$2:$S$20,0))),0)</f>
        <v>0</v>
      </c>
      <c r="E1356" s="312" t="str">
        <f t="shared" si="84"/>
        <v>LO</v>
      </c>
      <c r="F1356" s="369">
        <f>VLOOKUP(C1356,METADATA!$A$5:$H$29,IF(E1356="HI",2,IF(E1356="LO",6,10))+IF(D1356=1,2,IF(D1356=7,1,(IF(WEEKDAY(B1356)=1,2,IF(WEEKDAY(B1356)=7,1,0))))))</f>
        <v>1</v>
      </c>
      <c r="G1356" s="369">
        <f>VLOOKUP(C1356,METADATA!$J$5:$Q$29,IF(E1356="HI",2,IF(E1356="LO",6,10))+IF(D1356=1,2,IF(D1356=7,1,(IF(WEEKDAY(B1356)=1,2,IF(WEEKDAY(B1356)=7,1,0))))))</f>
        <v>1</v>
      </c>
      <c r="H1356" s="370">
        <v>13406.085083007813</v>
      </c>
      <c r="I1356" s="370">
        <v>1702.6325149536133</v>
      </c>
      <c r="M1356" s="371">
        <f t="shared" si="85"/>
        <v>13513.773519406852</v>
      </c>
      <c r="N1356" s="329">
        <f t="shared" si="86"/>
        <v>0</v>
      </c>
      <c r="T1356" s="331">
        <v>0</v>
      </c>
      <c r="U1356" s="328">
        <f>VLOOKUP(C1356,METADATA!$J$5:$Q$29,IF(E1356="HI",2,IF(E1356="LO",6,10))+IF(T1356=1,2,IF(D1356=7,1,(IF(WEEKDAY(B1356)=1,2,IF(WEEKDAY(B1356)=7,1,0))))))</f>
        <v>1</v>
      </c>
      <c r="V1356" s="328">
        <f>VLOOKUP(C1356,METADATA!$A$5:$H$29,IF(E1356="HI",2,IF(E1356="LO",6,10))+IF(T1356=1,2,IF(D1356=7,1,(IF(WEEKDAY(B1356)=1,2,IF(WEEKDAY(B1356)=7,1,0))))))</f>
        <v>1</v>
      </c>
    </row>
    <row r="1357" spans="2:22">
      <c r="B1357" s="318">
        <f t="shared" si="83"/>
        <v>46169</v>
      </c>
      <c r="C1357" s="312">
        <v>9</v>
      </c>
      <c r="D1357" s="368">
        <f>IFERROR((INDEX(METADATA!$T$2:$T$20,MATCH(B1357,METADATA!$S$2:$S$20,0))),0)</f>
        <v>0</v>
      </c>
      <c r="E1357" s="312" t="str">
        <f t="shared" si="84"/>
        <v>LO</v>
      </c>
      <c r="F1357" s="369">
        <f>VLOOKUP(C1357,METADATA!$A$5:$H$29,IF(E1357="HI",2,IF(E1357="LO",6,10))+IF(D1357=1,2,IF(D1357=7,1,(IF(WEEKDAY(B1357)=1,2,IF(WEEKDAY(B1357)=7,1,0))))))</f>
        <v>2</v>
      </c>
      <c r="G1357" s="369">
        <f>VLOOKUP(C1357,METADATA!$J$5:$Q$29,IF(E1357="HI",2,IF(E1357="LO",6,10))+IF(D1357=1,2,IF(D1357=7,1,(IF(WEEKDAY(B1357)=1,2,IF(WEEKDAY(B1357)=7,1,0))))))</f>
        <v>2</v>
      </c>
      <c r="H1357" s="370">
        <v>13247.850036621094</v>
      </c>
      <c r="I1357" s="370">
        <v>1687.6080207824707</v>
      </c>
      <c r="M1357" s="371">
        <f t="shared" si="85"/>
        <v>13354.907391090768</v>
      </c>
      <c r="N1357" s="329">
        <f t="shared" si="86"/>
        <v>0</v>
      </c>
      <c r="T1357" s="331">
        <v>0</v>
      </c>
      <c r="U1357" s="328">
        <f>VLOOKUP(C1357,METADATA!$J$5:$Q$29,IF(E1357="HI",2,IF(E1357="LO",6,10))+IF(T1357=1,2,IF(D1357=7,1,(IF(WEEKDAY(B1357)=1,2,IF(WEEKDAY(B1357)=7,1,0))))))</f>
        <v>2</v>
      </c>
      <c r="V1357" s="328">
        <f>VLOOKUP(C1357,METADATA!$A$5:$H$29,IF(E1357="HI",2,IF(E1357="LO",6,10))+IF(T1357=1,2,IF(D1357=7,1,(IF(WEEKDAY(B1357)=1,2,IF(WEEKDAY(B1357)=7,1,0))))))</f>
        <v>2</v>
      </c>
    </row>
    <row r="1358" spans="2:22">
      <c r="B1358" s="318">
        <f t="shared" si="83"/>
        <v>46169</v>
      </c>
      <c r="C1358" s="312">
        <v>10</v>
      </c>
      <c r="D1358" s="368">
        <f>IFERROR((INDEX(METADATA!$T$2:$T$20,MATCH(B1358,METADATA!$S$2:$S$20,0))),0)</f>
        <v>0</v>
      </c>
      <c r="E1358" s="312" t="str">
        <f t="shared" si="84"/>
        <v>LO</v>
      </c>
      <c r="F1358" s="369">
        <f>VLOOKUP(C1358,METADATA!$A$5:$H$29,IF(E1358="HI",2,IF(E1358="LO",6,10))+IF(D1358=1,2,IF(D1358=7,1,(IF(WEEKDAY(B1358)=1,2,IF(WEEKDAY(B1358)=7,1,0))))))</f>
        <v>2</v>
      </c>
      <c r="G1358" s="369">
        <f>VLOOKUP(C1358,METADATA!$J$5:$Q$29,IF(E1358="HI",2,IF(E1358="LO",6,10))+IF(D1358=1,2,IF(D1358=7,1,(IF(WEEKDAY(B1358)=1,2,IF(WEEKDAY(B1358)=7,1,0))))))</f>
        <v>2</v>
      </c>
      <c r="H1358" s="370">
        <v>13338.175109863281</v>
      </c>
      <c r="I1358" s="370">
        <v>1832.0869522094727</v>
      </c>
      <c r="M1358" s="371">
        <f t="shared" si="85"/>
        <v>13463.411820999629</v>
      </c>
      <c r="N1358" s="329">
        <f t="shared" si="86"/>
        <v>0</v>
      </c>
      <c r="T1358" s="331">
        <v>0</v>
      </c>
      <c r="U1358" s="328">
        <f>VLOOKUP(C1358,METADATA!$J$5:$Q$29,IF(E1358="HI",2,IF(E1358="LO",6,10))+IF(T1358=1,2,IF(D1358=7,1,(IF(WEEKDAY(B1358)=1,2,IF(WEEKDAY(B1358)=7,1,0))))))</f>
        <v>2</v>
      </c>
      <c r="V1358" s="328">
        <f>VLOOKUP(C1358,METADATA!$A$5:$H$29,IF(E1358="HI",2,IF(E1358="LO",6,10))+IF(T1358=1,2,IF(D1358=7,1,(IF(WEEKDAY(B1358)=1,2,IF(WEEKDAY(B1358)=7,1,0))))))</f>
        <v>2</v>
      </c>
    </row>
    <row r="1359" spans="2:22">
      <c r="B1359" s="318">
        <f t="shared" si="83"/>
        <v>46169</v>
      </c>
      <c r="C1359" s="312">
        <v>11</v>
      </c>
      <c r="D1359" s="368">
        <f>IFERROR((INDEX(METADATA!$T$2:$T$20,MATCH(B1359,METADATA!$S$2:$S$20,0))),0)</f>
        <v>0</v>
      </c>
      <c r="E1359" s="312" t="str">
        <f t="shared" si="84"/>
        <v>LO</v>
      </c>
      <c r="F1359" s="369">
        <f>VLOOKUP(C1359,METADATA!$A$5:$H$29,IF(E1359="HI",2,IF(E1359="LO",6,10))+IF(D1359=1,2,IF(D1359=7,1,(IF(WEEKDAY(B1359)=1,2,IF(WEEKDAY(B1359)=7,1,0))))))</f>
        <v>2</v>
      </c>
      <c r="G1359" s="369">
        <f>VLOOKUP(C1359,METADATA!$J$5:$Q$29,IF(E1359="HI",2,IF(E1359="LO",6,10))+IF(D1359=1,2,IF(D1359=7,1,(IF(WEEKDAY(B1359)=1,2,IF(WEEKDAY(B1359)=7,1,0))))))</f>
        <v>2</v>
      </c>
      <c r="H1359" s="370">
        <v>13451.294860839844</v>
      </c>
      <c r="I1359" s="370">
        <v>1855.4399261474609</v>
      </c>
      <c r="M1359" s="371">
        <f t="shared" si="85"/>
        <v>13578.659387170683</v>
      </c>
      <c r="N1359" s="329">
        <f t="shared" si="86"/>
        <v>0</v>
      </c>
      <c r="T1359" s="331">
        <v>0</v>
      </c>
      <c r="U1359" s="328">
        <f>VLOOKUP(C1359,METADATA!$J$5:$Q$29,IF(E1359="HI",2,IF(E1359="LO",6,10))+IF(T1359=1,2,IF(D1359=7,1,(IF(WEEKDAY(B1359)=1,2,IF(WEEKDAY(B1359)=7,1,0))))))</f>
        <v>2</v>
      </c>
      <c r="V1359" s="328">
        <f>VLOOKUP(C1359,METADATA!$A$5:$H$29,IF(E1359="HI",2,IF(E1359="LO",6,10))+IF(T1359=1,2,IF(D1359=7,1,(IF(WEEKDAY(B1359)=1,2,IF(WEEKDAY(B1359)=7,1,0))))))</f>
        <v>2</v>
      </c>
    </row>
    <row r="1360" spans="2:22">
      <c r="B1360" s="318">
        <f t="shared" si="83"/>
        <v>46169</v>
      </c>
      <c r="C1360" s="312">
        <v>12</v>
      </c>
      <c r="D1360" s="368">
        <f>IFERROR((INDEX(METADATA!$T$2:$T$20,MATCH(B1360,METADATA!$S$2:$S$20,0))),0)</f>
        <v>0</v>
      </c>
      <c r="E1360" s="312" t="str">
        <f t="shared" si="84"/>
        <v>LO</v>
      </c>
      <c r="F1360" s="369">
        <f>VLOOKUP(C1360,METADATA!$A$5:$H$29,IF(E1360="HI",2,IF(E1360="LO",6,10))+IF(D1360=1,2,IF(D1360=7,1,(IF(WEEKDAY(B1360)=1,2,IF(WEEKDAY(B1360)=7,1,0))))))</f>
        <v>2</v>
      </c>
      <c r="G1360" s="369">
        <f>VLOOKUP(C1360,METADATA!$J$5:$Q$29,IF(E1360="HI",2,IF(E1360="LO",6,10))+IF(D1360=1,2,IF(D1360=7,1,(IF(WEEKDAY(B1360)=1,2,IF(WEEKDAY(B1360)=7,1,0))))))</f>
        <v>2</v>
      </c>
      <c r="H1360" s="370">
        <v>13550.274719238281</v>
      </c>
      <c r="I1360" s="370">
        <v>1801.3930320739746</v>
      </c>
      <c r="M1360" s="371">
        <f t="shared" si="85"/>
        <v>13669.490181525891</v>
      </c>
      <c r="N1360" s="329">
        <f t="shared" si="86"/>
        <v>0</v>
      </c>
      <c r="T1360" s="331">
        <v>0</v>
      </c>
      <c r="U1360" s="328">
        <f>VLOOKUP(C1360,METADATA!$J$5:$Q$29,IF(E1360="HI",2,IF(E1360="LO",6,10))+IF(T1360=1,2,IF(D1360=7,1,(IF(WEEKDAY(B1360)=1,2,IF(WEEKDAY(B1360)=7,1,0))))))</f>
        <v>2</v>
      </c>
      <c r="V1360" s="328">
        <f>VLOOKUP(C1360,METADATA!$A$5:$H$29,IF(E1360="HI",2,IF(E1360="LO",6,10))+IF(T1360=1,2,IF(D1360=7,1,(IF(WEEKDAY(B1360)=1,2,IF(WEEKDAY(B1360)=7,1,0))))))</f>
        <v>2</v>
      </c>
    </row>
    <row r="1361" spans="2:22">
      <c r="B1361" s="318">
        <f t="shared" si="83"/>
        <v>46169</v>
      </c>
      <c r="C1361" s="312">
        <v>13</v>
      </c>
      <c r="D1361" s="368">
        <f>IFERROR((INDEX(METADATA!$T$2:$T$20,MATCH(B1361,METADATA!$S$2:$S$20,0))),0)</f>
        <v>0</v>
      </c>
      <c r="E1361" s="312" t="str">
        <f t="shared" si="84"/>
        <v>LO</v>
      </c>
      <c r="F1361" s="369">
        <f>VLOOKUP(C1361,METADATA!$A$5:$H$29,IF(E1361="HI",2,IF(E1361="LO",6,10))+IF(D1361=1,2,IF(D1361=7,1,(IF(WEEKDAY(B1361)=1,2,IF(WEEKDAY(B1361)=7,1,0))))))</f>
        <v>2</v>
      </c>
      <c r="G1361" s="369">
        <f>VLOOKUP(C1361,METADATA!$J$5:$Q$29,IF(E1361="HI",2,IF(E1361="LO",6,10))+IF(D1361=1,2,IF(D1361=7,1,(IF(WEEKDAY(B1361)=1,2,IF(WEEKDAY(B1361)=7,1,0))))))</f>
        <v>2</v>
      </c>
      <c r="H1361" s="370">
        <v>13411.554931640625</v>
      </c>
      <c r="I1361" s="370">
        <v>1868.2085037231445</v>
      </c>
      <c r="M1361" s="371">
        <f t="shared" si="85"/>
        <v>13541.049025012702</v>
      </c>
      <c r="N1361" s="329">
        <f t="shared" si="86"/>
        <v>0</v>
      </c>
      <c r="T1361" s="331">
        <v>0</v>
      </c>
      <c r="U1361" s="328">
        <f>VLOOKUP(C1361,METADATA!$J$5:$Q$29,IF(E1361="HI",2,IF(E1361="LO",6,10))+IF(T1361=1,2,IF(D1361=7,1,(IF(WEEKDAY(B1361)=1,2,IF(WEEKDAY(B1361)=7,1,0))))))</f>
        <v>2</v>
      </c>
      <c r="V1361" s="328">
        <f>VLOOKUP(C1361,METADATA!$A$5:$H$29,IF(E1361="HI",2,IF(E1361="LO",6,10))+IF(T1361=1,2,IF(D1361=7,1,(IF(WEEKDAY(B1361)=1,2,IF(WEEKDAY(B1361)=7,1,0))))))</f>
        <v>2</v>
      </c>
    </row>
    <row r="1362" spans="2:22">
      <c r="B1362" s="318">
        <f t="shared" si="83"/>
        <v>46169</v>
      </c>
      <c r="C1362" s="312">
        <v>14</v>
      </c>
      <c r="D1362" s="368">
        <f>IFERROR((INDEX(METADATA!$T$2:$T$20,MATCH(B1362,METADATA!$S$2:$S$20,0))),0)</f>
        <v>0</v>
      </c>
      <c r="E1362" s="312" t="str">
        <f t="shared" si="84"/>
        <v>LO</v>
      </c>
      <c r="F1362" s="369">
        <f>VLOOKUP(C1362,METADATA!$A$5:$H$29,IF(E1362="HI",2,IF(E1362="LO",6,10))+IF(D1362=1,2,IF(D1362=7,1,(IF(WEEKDAY(B1362)=1,2,IF(WEEKDAY(B1362)=7,1,0))))))</f>
        <v>2</v>
      </c>
      <c r="G1362" s="369">
        <f>VLOOKUP(C1362,METADATA!$J$5:$Q$29,IF(E1362="HI",2,IF(E1362="LO",6,10))+IF(D1362=1,2,IF(D1362=7,1,(IF(WEEKDAY(B1362)=1,2,IF(WEEKDAY(B1362)=7,1,0))))))</f>
        <v>2</v>
      </c>
      <c r="H1362" s="370">
        <v>13395.06982421875</v>
      </c>
      <c r="I1362" s="370">
        <v>1752.7194595336914</v>
      </c>
      <c r="M1362" s="371">
        <f t="shared" si="85"/>
        <v>13509.253165868342</v>
      </c>
      <c r="N1362" s="329">
        <f t="shared" si="86"/>
        <v>0</v>
      </c>
      <c r="T1362" s="331">
        <v>0</v>
      </c>
      <c r="U1362" s="328">
        <f>VLOOKUP(C1362,METADATA!$J$5:$Q$29,IF(E1362="HI",2,IF(E1362="LO",6,10))+IF(T1362=1,2,IF(D1362=7,1,(IF(WEEKDAY(B1362)=1,2,IF(WEEKDAY(B1362)=7,1,0))))))</f>
        <v>2</v>
      </c>
      <c r="V1362" s="328">
        <f>VLOOKUP(C1362,METADATA!$A$5:$H$29,IF(E1362="HI",2,IF(E1362="LO",6,10))+IF(T1362=1,2,IF(D1362=7,1,(IF(WEEKDAY(B1362)=1,2,IF(WEEKDAY(B1362)=7,1,0))))))</f>
        <v>2</v>
      </c>
    </row>
    <row r="1363" spans="2:22">
      <c r="B1363" s="318">
        <f t="shared" si="83"/>
        <v>46169</v>
      </c>
      <c r="C1363" s="312">
        <v>15</v>
      </c>
      <c r="D1363" s="368">
        <f>IFERROR((INDEX(METADATA!$T$2:$T$20,MATCH(B1363,METADATA!$S$2:$S$20,0))),0)</f>
        <v>0</v>
      </c>
      <c r="E1363" s="312" t="str">
        <f t="shared" si="84"/>
        <v>LO</v>
      </c>
      <c r="F1363" s="369">
        <f>VLOOKUP(C1363,METADATA!$A$5:$H$29,IF(E1363="HI",2,IF(E1363="LO",6,10))+IF(D1363=1,2,IF(D1363=7,1,(IF(WEEKDAY(B1363)=1,2,IF(WEEKDAY(B1363)=7,1,0))))))</f>
        <v>2</v>
      </c>
      <c r="G1363" s="369">
        <f>VLOOKUP(C1363,METADATA!$J$5:$Q$29,IF(E1363="HI",2,IF(E1363="LO",6,10))+IF(D1363=1,2,IF(D1363=7,1,(IF(WEEKDAY(B1363)=1,2,IF(WEEKDAY(B1363)=7,1,0))))))</f>
        <v>2</v>
      </c>
      <c r="H1363" s="370">
        <v>13376.145141601563</v>
      </c>
      <c r="I1363" s="370">
        <v>1779.5049591064453</v>
      </c>
      <c r="M1363" s="371">
        <f t="shared" si="85"/>
        <v>13493.994840249328</v>
      </c>
      <c r="N1363" s="329">
        <f t="shared" si="86"/>
        <v>0</v>
      </c>
      <c r="T1363" s="331">
        <v>0</v>
      </c>
      <c r="U1363" s="328">
        <f>VLOOKUP(C1363,METADATA!$J$5:$Q$29,IF(E1363="HI",2,IF(E1363="LO",6,10))+IF(T1363=1,2,IF(D1363=7,1,(IF(WEEKDAY(B1363)=1,2,IF(WEEKDAY(B1363)=7,1,0))))))</f>
        <v>2</v>
      </c>
      <c r="V1363" s="328">
        <f>VLOOKUP(C1363,METADATA!$A$5:$H$29,IF(E1363="HI",2,IF(E1363="LO",6,10))+IF(T1363=1,2,IF(D1363=7,1,(IF(WEEKDAY(B1363)=1,2,IF(WEEKDAY(B1363)=7,1,0))))))</f>
        <v>2</v>
      </c>
    </row>
    <row r="1364" spans="2:22">
      <c r="B1364" s="318">
        <f t="shared" si="83"/>
        <v>46169</v>
      </c>
      <c r="C1364" s="312">
        <v>16</v>
      </c>
      <c r="D1364" s="368">
        <f>IFERROR((INDEX(METADATA!$T$2:$T$20,MATCH(B1364,METADATA!$S$2:$S$20,0))),0)</f>
        <v>0</v>
      </c>
      <c r="E1364" s="312" t="str">
        <f t="shared" si="84"/>
        <v>LO</v>
      </c>
      <c r="F1364" s="369">
        <f>VLOOKUP(C1364,METADATA!$A$5:$H$29,IF(E1364="HI",2,IF(E1364="LO",6,10))+IF(D1364=1,2,IF(D1364=7,1,(IF(WEEKDAY(B1364)=1,2,IF(WEEKDAY(B1364)=7,1,0))))))</f>
        <v>2</v>
      </c>
      <c r="G1364" s="369">
        <f>VLOOKUP(C1364,METADATA!$J$5:$Q$29,IF(E1364="HI",2,IF(E1364="LO",6,10))+IF(D1364=1,2,IF(D1364=7,1,(IF(WEEKDAY(B1364)=1,2,IF(WEEKDAY(B1364)=7,1,0))))))</f>
        <v>2</v>
      </c>
      <c r="H1364" s="370">
        <v>13365.62060546875</v>
      </c>
      <c r="I1364" s="370">
        <v>1726.175537109375</v>
      </c>
      <c r="M1364" s="371">
        <f t="shared" si="85"/>
        <v>13476.62777382553</v>
      </c>
      <c r="N1364" s="329">
        <f t="shared" si="86"/>
        <v>0</v>
      </c>
      <c r="T1364" s="331">
        <v>0</v>
      </c>
      <c r="U1364" s="328">
        <f>VLOOKUP(C1364,METADATA!$J$5:$Q$29,IF(E1364="HI",2,IF(E1364="LO",6,10))+IF(T1364=1,2,IF(D1364=7,1,(IF(WEEKDAY(B1364)=1,2,IF(WEEKDAY(B1364)=7,1,0))))))</f>
        <v>2</v>
      </c>
      <c r="V1364" s="328">
        <f>VLOOKUP(C1364,METADATA!$A$5:$H$29,IF(E1364="HI",2,IF(E1364="LO",6,10))+IF(T1364=1,2,IF(D1364=7,1,(IF(WEEKDAY(B1364)=1,2,IF(WEEKDAY(B1364)=7,1,0))))))</f>
        <v>2</v>
      </c>
    </row>
    <row r="1365" spans="2:22">
      <c r="B1365" s="318">
        <f t="shared" si="83"/>
        <v>46169</v>
      </c>
      <c r="C1365" s="312">
        <v>17</v>
      </c>
      <c r="D1365" s="368">
        <f>IFERROR((INDEX(METADATA!$T$2:$T$20,MATCH(B1365,METADATA!$S$2:$S$20,0))),0)</f>
        <v>0</v>
      </c>
      <c r="E1365" s="312" t="str">
        <f t="shared" si="84"/>
        <v>LO</v>
      </c>
      <c r="F1365" s="369">
        <f>VLOOKUP(C1365,METADATA!$A$5:$H$29,IF(E1365="HI",2,IF(E1365="LO",6,10))+IF(D1365=1,2,IF(D1365=7,1,(IF(WEEKDAY(B1365)=1,2,IF(WEEKDAY(B1365)=7,1,0))))))</f>
        <v>2</v>
      </c>
      <c r="G1365" s="369">
        <f>VLOOKUP(C1365,METADATA!$J$5:$Q$29,IF(E1365="HI",2,IF(E1365="LO",6,10))+IF(D1365=1,2,IF(D1365=7,1,(IF(WEEKDAY(B1365)=1,2,IF(WEEKDAY(B1365)=7,1,0))))))</f>
        <v>2</v>
      </c>
      <c r="H1365" s="370">
        <v>12748.070251464844</v>
      </c>
      <c r="I1365" s="370">
        <v>1028.4475154876709</v>
      </c>
      <c r="M1365" s="371">
        <f t="shared" si="85"/>
        <v>12789.487848557334</v>
      </c>
      <c r="N1365" s="329">
        <f t="shared" si="86"/>
        <v>0</v>
      </c>
      <c r="T1365" s="331">
        <v>0</v>
      </c>
      <c r="U1365" s="328">
        <f>VLOOKUP(C1365,METADATA!$J$5:$Q$29,IF(E1365="HI",2,IF(E1365="LO",6,10))+IF(T1365=1,2,IF(D1365=7,1,(IF(WEEKDAY(B1365)=1,2,IF(WEEKDAY(B1365)=7,1,0))))))</f>
        <v>2</v>
      </c>
      <c r="V1365" s="328">
        <f>VLOOKUP(C1365,METADATA!$A$5:$H$29,IF(E1365="HI",2,IF(E1365="LO",6,10))+IF(T1365=1,2,IF(D1365=7,1,(IF(WEEKDAY(B1365)=1,2,IF(WEEKDAY(B1365)=7,1,0))))))</f>
        <v>2</v>
      </c>
    </row>
    <row r="1366" spans="2:22">
      <c r="B1366" s="318">
        <f t="shared" si="83"/>
        <v>46169</v>
      </c>
      <c r="C1366" s="312">
        <v>18</v>
      </c>
      <c r="D1366" s="368">
        <f>IFERROR((INDEX(METADATA!$T$2:$T$20,MATCH(B1366,METADATA!$S$2:$S$20,0))),0)</f>
        <v>0</v>
      </c>
      <c r="E1366" s="312" t="str">
        <f t="shared" si="84"/>
        <v>LO</v>
      </c>
      <c r="F1366" s="369">
        <f>VLOOKUP(C1366,METADATA!$A$5:$H$29,IF(E1366="HI",2,IF(E1366="LO",6,10))+IF(D1366=1,2,IF(D1366=7,1,(IF(WEEKDAY(B1366)=1,2,IF(WEEKDAY(B1366)=7,1,0))))))</f>
        <v>1</v>
      </c>
      <c r="G1366" s="369">
        <f>VLOOKUP(C1366,METADATA!$J$5:$Q$29,IF(E1366="HI",2,IF(E1366="LO",6,10))+IF(D1366=1,2,IF(D1366=7,1,(IF(WEEKDAY(B1366)=1,2,IF(WEEKDAY(B1366)=7,1,0))))))</f>
        <v>1</v>
      </c>
      <c r="H1366" s="370">
        <v>12473.470092773438</v>
      </c>
      <c r="I1366" s="370">
        <v>692.56950378417969</v>
      </c>
      <c r="M1366" s="371">
        <f t="shared" si="85"/>
        <v>12492.68220491041</v>
      </c>
      <c r="N1366" s="329">
        <f t="shared" si="86"/>
        <v>0</v>
      </c>
      <c r="T1366" s="331">
        <v>0</v>
      </c>
      <c r="U1366" s="328">
        <f>VLOOKUP(C1366,METADATA!$J$5:$Q$29,IF(E1366="HI",2,IF(E1366="LO",6,10))+IF(T1366=1,2,IF(D1366=7,1,(IF(WEEKDAY(B1366)=1,2,IF(WEEKDAY(B1366)=7,1,0))))))</f>
        <v>1</v>
      </c>
      <c r="V1366" s="328">
        <f>VLOOKUP(C1366,METADATA!$A$5:$H$29,IF(E1366="HI",2,IF(E1366="LO",6,10))+IF(T1366=1,2,IF(D1366=7,1,(IF(WEEKDAY(B1366)=1,2,IF(WEEKDAY(B1366)=7,1,0))))))</f>
        <v>1</v>
      </c>
    </row>
    <row r="1367" spans="2:22">
      <c r="B1367" s="318">
        <f t="shared" si="83"/>
        <v>46169</v>
      </c>
      <c r="C1367" s="312">
        <v>19</v>
      </c>
      <c r="D1367" s="368">
        <f>IFERROR((INDEX(METADATA!$T$2:$T$20,MATCH(B1367,METADATA!$S$2:$S$20,0))),0)</f>
        <v>0</v>
      </c>
      <c r="E1367" s="312" t="str">
        <f t="shared" si="84"/>
        <v>LO</v>
      </c>
      <c r="F1367" s="369">
        <f>VLOOKUP(C1367,METADATA!$A$5:$H$29,IF(E1367="HI",2,IF(E1367="LO",6,10))+IF(D1367=1,2,IF(D1367=7,1,(IF(WEEKDAY(B1367)=1,2,IF(WEEKDAY(B1367)=7,1,0))))))</f>
        <v>1</v>
      </c>
      <c r="G1367" s="369">
        <f>VLOOKUP(C1367,METADATA!$J$5:$Q$29,IF(E1367="HI",2,IF(E1367="LO",6,10))+IF(D1367=1,2,IF(D1367=7,1,(IF(WEEKDAY(B1367)=1,2,IF(WEEKDAY(B1367)=7,1,0))))))</f>
        <v>1</v>
      </c>
      <c r="H1367" s="370">
        <v>12273.235168457031</v>
      </c>
      <c r="I1367" s="370">
        <v>727.84599113464355</v>
      </c>
      <c r="M1367" s="371">
        <f t="shared" si="85"/>
        <v>12294.798139337679</v>
      </c>
      <c r="N1367" s="329">
        <f t="shared" si="86"/>
        <v>0</v>
      </c>
      <c r="T1367" s="331">
        <v>0</v>
      </c>
      <c r="U1367" s="328">
        <f>VLOOKUP(C1367,METADATA!$J$5:$Q$29,IF(E1367="HI",2,IF(E1367="LO",6,10))+IF(T1367=1,2,IF(D1367=7,1,(IF(WEEKDAY(B1367)=1,2,IF(WEEKDAY(B1367)=7,1,0))))))</f>
        <v>1</v>
      </c>
      <c r="V1367" s="328">
        <f>VLOOKUP(C1367,METADATA!$A$5:$H$29,IF(E1367="HI",2,IF(E1367="LO",6,10))+IF(T1367=1,2,IF(D1367=7,1,(IF(WEEKDAY(B1367)=1,2,IF(WEEKDAY(B1367)=7,1,0))))))</f>
        <v>1</v>
      </c>
    </row>
    <row r="1368" spans="2:22">
      <c r="B1368" s="318">
        <f t="shared" si="83"/>
        <v>46169</v>
      </c>
      <c r="C1368" s="312">
        <v>20</v>
      </c>
      <c r="D1368" s="368">
        <f>IFERROR((INDEX(METADATA!$T$2:$T$20,MATCH(B1368,METADATA!$S$2:$S$20,0))),0)</f>
        <v>0</v>
      </c>
      <c r="E1368" s="312" t="str">
        <f t="shared" si="84"/>
        <v>LO</v>
      </c>
      <c r="F1368" s="369">
        <f>VLOOKUP(C1368,METADATA!$A$5:$H$29,IF(E1368="HI",2,IF(E1368="LO",6,10))+IF(D1368=1,2,IF(D1368=7,1,(IF(WEEKDAY(B1368)=1,2,IF(WEEKDAY(B1368)=7,1,0))))))</f>
        <v>1</v>
      </c>
      <c r="G1368" s="369">
        <f>VLOOKUP(C1368,METADATA!$J$5:$Q$29,IF(E1368="HI",2,IF(E1368="LO",6,10))+IF(D1368=1,2,IF(D1368=7,1,(IF(WEEKDAY(B1368)=1,2,IF(WEEKDAY(B1368)=7,1,0))))))</f>
        <v>1</v>
      </c>
      <c r="H1368" s="370">
        <v>12277.344787597656</v>
      </c>
      <c r="I1368" s="370">
        <v>853.05751395225525</v>
      </c>
      <c r="M1368" s="371">
        <f t="shared" si="85"/>
        <v>12306.945281249191</v>
      </c>
      <c r="N1368" s="329">
        <f t="shared" si="86"/>
        <v>0</v>
      </c>
      <c r="T1368" s="331">
        <v>0</v>
      </c>
      <c r="U1368" s="328">
        <f>VLOOKUP(C1368,METADATA!$J$5:$Q$29,IF(E1368="HI",2,IF(E1368="LO",6,10))+IF(T1368=1,2,IF(D1368=7,1,(IF(WEEKDAY(B1368)=1,2,IF(WEEKDAY(B1368)=7,1,0))))))</f>
        <v>1</v>
      </c>
      <c r="V1368" s="328">
        <f>VLOOKUP(C1368,METADATA!$A$5:$H$29,IF(E1368="HI",2,IF(E1368="LO",6,10))+IF(T1368=1,2,IF(D1368=7,1,(IF(WEEKDAY(B1368)=1,2,IF(WEEKDAY(B1368)=7,1,0))))))</f>
        <v>1</v>
      </c>
    </row>
    <row r="1369" spans="2:22">
      <c r="B1369" s="318">
        <f t="shared" si="83"/>
        <v>46169</v>
      </c>
      <c r="C1369" s="312">
        <v>21</v>
      </c>
      <c r="D1369" s="368">
        <f>IFERROR((INDEX(METADATA!$T$2:$T$20,MATCH(B1369,METADATA!$S$2:$S$20,0))),0)</f>
        <v>0</v>
      </c>
      <c r="E1369" s="312" t="str">
        <f t="shared" si="84"/>
        <v>LO</v>
      </c>
      <c r="F1369" s="369">
        <f>VLOOKUP(C1369,METADATA!$A$5:$H$29,IF(E1369="HI",2,IF(E1369="LO",6,10))+IF(D1369=1,2,IF(D1369=7,1,(IF(WEEKDAY(B1369)=1,2,IF(WEEKDAY(B1369)=7,1,0))))))</f>
        <v>2</v>
      </c>
      <c r="G1369" s="369">
        <f>VLOOKUP(C1369,METADATA!$J$5:$Q$29,IF(E1369="HI",2,IF(E1369="LO",6,10))+IF(D1369=1,2,IF(D1369=7,1,(IF(WEEKDAY(B1369)=1,2,IF(WEEKDAY(B1369)=7,1,0))))))</f>
        <v>2</v>
      </c>
      <c r="H1369" s="370">
        <v>13305.060180664063</v>
      </c>
      <c r="I1369" s="370">
        <v>1657.1254887580872</v>
      </c>
      <c r="M1369" s="371">
        <f t="shared" si="85"/>
        <v>13407.859310739508</v>
      </c>
      <c r="N1369" s="329">
        <f t="shared" si="86"/>
        <v>0</v>
      </c>
      <c r="T1369" s="331">
        <v>0</v>
      </c>
      <c r="U1369" s="328">
        <f>VLOOKUP(C1369,METADATA!$J$5:$Q$29,IF(E1369="HI",2,IF(E1369="LO",6,10))+IF(T1369=1,2,IF(D1369=7,1,(IF(WEEKDAY(B1369)=1,2,IF(WEEKDAY(B1369)=7,1,0))))))</f>
        <v>2</v>
      </c>
      <c r="V1369" s="328">
        <f>VLOOKUP(C1369,METADATA!$A$5:$H$29,IF(E1369="HI",2,IF(E1369="LO",6,10))+IF(T1369=1,2,IF(D1369=7,1,(IF(WEEKDAY(B1369)=1,2,IF(WEEKDAY(B1369)=7,1,0))))))</f>
        <v>2</v>
      </c>
    </row>
    <row r="1370" spans="2:22">
      <c r="B1370" s="318">
        <f t="shared" si="83"/>
        <v>46169</v>
      </c>
      <c r="C1370" s="312">
        <v>22</v>
      </c>
      <c r="D1370" s="368">
        <f>IFERROR((INDEX(METADATA!$T$2:$T$20,MATCH(B1370,METADATA!$S$2:$S$20,0))),0)</f>
        <v>0</v>
      </c>
      <c r="E1370" s="312" t="str">
        <f t="shared" si="84"/>
        <v>LO</v>
      </c>
      <c r="F1370" s="369">
        <f>VLOOKUP(C1370,METADATA!$A$5:$H$29,IF(E1370="HI",2,IF(E1370="LO",6,10))+IF(D1370=1,2,IF(D1370=7,1,(IF(WEEKDAY(B1370)=1,2,IF(WEEKDAY(B1370)=7,1,0))))))</f>
        <v>3</v>
      </c>
      <c r="G1370" s="369">
        <f>VLOOKUP(C1370,METADATA!$J$5:$Q$29,IF(E1370="HI",2,IF(E1370="LO",6,10))+IF(D1370=1,2,IF(D1370=7,1,(IF(WEEKDAY(B1370)=1,2,IF(WEEKDAY(B1370)=7,1,0))))))</f>
        <v>3</v>
      </c>
      <c r="H1370" s="370">
        <v>13317.514831542969</v>
      </c>
      <c r="I1370" s="370">
        <v>1755.5759983062744</v>
      </c>
      <c r="M1370" s="371">
        <f t="shared" si="85"/>
        <v>13432.730488407635</v>
      </c>
      <c r="N1370" s="329">
        <f t="shared" si="86"/>
        <v>0</v>
      </c>
      <c r="T1370" s="331">
        <v>0</v>
      </c>
      <c r="U1370" s="328">
        <f>VLOOKUP(C1370,METADATA!$J$5:$Q$29,IF(E1370="HI",2,IF(E1370="LO",6,10))+IF(T1370=1,2,IF(D1370=7,1,(IF(WEEKDAY(B1370)=1,2,IF(WEEKDAY(B1370)=7,1,0))))))</f>
        <v>3</v>
      </c>
      <c r="V1370" s="328">
        <f>VLOOKUP(C1370,METADATA!$A$5:$H$29,IF(E1370="HI",2,IF(E1370="LO",6,10))+IF(T1370=1,2,IF(D1370=7,1,(IF(WEEKDAY(B1370)=1,2,IF(WEEKDAY(B1370)=7,1,0))))))</f>
        <v>3</v>
      </c>
    </row>
    <row r="1371" spans="2:22">
      <c r="B1371" s="318">
        <f t="shared" si="83"/>
        <v>46169</v>
      </c>
      <c r="C1371" s="312">
        <v>23</v>
      </c>
      <c r="D1371" s="368">
        <f>IFERROR((INDEX(METADATA!$T$2:$T$20,MATCH(B1371,METADATA!$S$2:$S$20,0))),0)</f>
        <v>0</v>
      </c>
      <c r="E1371" s="312" t="str">
        <f t="shared" si="84"/>
        <v>LO</v>
      </c>
      <c r="F1371" s="369">
        <f>VLOOKUP(C1371,METADATA!$A$5:$H$29,IF(E1371="HI",2,IF(E1371="LO",6,10))+IF(D1371=1,2,IF(D1371=7,1,(IF(WEEKDAY(B1371)=1,2,IF(WEEKDAY(B1371)=7,1,0))))))</f>
        <v>3</v>
      </c>
      <c r="G1371" s="369">
        <f>VLOOKUP(C1371,METADATA!$J$5:$Q$29,IF(E1371="HI",2,IF(E1371="LO",6,10))+IF(D1371=1,2,IF(D1371=7,1,(IF(WEEKDAY(B1371)=1,2,IF(WEEKDAY(B1371)=7,1,0))))))</f>
        <v>3</v>
      </c>
      <c r="H1371" s="370">
        <v>13559.335021972656</v>
      </c>
      <c r="I1371" s="370">
        <v>2002.560037612915</v>
      </c>
      <c r="M1371" s="371">
        <f t="shared" si="85"/>
        <v>13706.415028822761</v>
      </c>
      <c r="N1371" s="329">
        <f t="shared" si="86"/>
        <v>0</v>
      </c>
      <c r="T1371" s="331">
        <v>0</v>
      </c>
      <c r="U1371" s="328">
        <f>VLOOKUP(C1371,METADATA!$J$5:$Q$29,IF(E1371="HI",2,IF(E1371="LO",6,10))+IF(T1371=1,2,IF(D1371=7,1,(IF(WEEKDAY(B1371)=1,2,IF(WEEKDAY(B1371)=7,1,0))))))</f>
        <v>3</v>
      </c>
      <c r="V1371" s="328">
        <f>VLOOKUP(C1371,METADATA!$A$5:$H$29,IF(E1371="HI",2,IF(E1371="LO",6,10))+IF(T1371=1,2,IF(D1371=7,1,(IF(WEEKDAY(B1371)=1,2,IF(WEEKDAY(B1371)=7,1,0))))))</f>
        <v>3</v>
      </c>
    </row>
    <row r="1372" spans="2:22">
      <c r="B1372" s="318">
        <f t="shared" ref="B1372:B1435" si="87">B1348+1</f>
        <v>46170</v>
      </c>
      <c r="C1372" s="312">
        <v>0</v>
      </c>
      <c r="D1372" s="368">
        <f>IFERROR((INDEX(METADATA!$T$2:$T$20,MATCH(B1372,METADATA!$S$2:$S$20,0))),0)</f>
        <v>0</v>
      </c>
      <c r="E1372" s="312" t="str">
        <f t="shared" si="84"/>
        <v>LO</v>
      </c>
      <c r="F1372" s="369">
        <f>VLOOKUP(C1372,METADATA!$A$5:$H$29,IF(E1372="HI",2,IF(E1372="LO",6,10))+IF(D1372=1,2,IF(D1372=7,1,(IF(WEEKDAY(B1372)=1,2,IF(WEEKDAY(B1372)=7,1,0))))))</f>
        <v>3</v>
      </c>
      <c r="G1372" s="369">
        <f>VLOOKUP(C1372,METADATA!$J$5:$Q$29,IF(E1372="HI",2,IF(E1372="LO",6,10))+IF(D1372=1,2,IF(D1372=7,1,(IF(WEEKDAY(B1372)=1,2,IF(WEEKDAY(B1372)=7,1,0))))))</f>
        <v>3</v>
      </c>
      <c r="H1372" s="370">
        <v>13742.624938964844</v>
      </c>
      <c r="I1372" s="370">
        <v>2037.6479930877686</v>
      </c>
      <c r="M1372" s="371">
        <f t="shared" si="85"/>
        <v>13892.866858816185</v>
      </c>
      <c r="N1372" s="329">
        <f t="shared" si="86"/>
        <v>0</v>
      </c>
      <c r="T1372" s="331">
        <v>0</v>
      </c>
      <c r="U1372" s="328">
        <f>VLOOKUP(C1372,METADATA!$J$5:$Q$29,IF(E1372="HI",2,IF(E1372="LO",6,10))+IF(T1372=1,2,IF(D1372=7,1,(IF(WEEKDAY(B1372)=1,2,IF(WEEKDAY(B1372)=7,1,0))))))</f>
        <v>3</v>
      </c>
      <c r="V1372" s="328">
        <f>VLOOKUP(C1372,METADATA!$A$5:$H$29,IF(E1372="HI",2,IF(E1372="LO",6,10))+IF(T1372=1,2,IF(D1372=7,1,(IF(WEEKDAY(B1372)=1,2,IF(WEEKDAY(B1372)=7,1,0))))))</f>
        <v>3</v>
      </c>
    </row>
    <row r="1373" spans="2:22">
      <c r="B1373" s="318">
        <f t="shared" si="87"/>
        <v>46170</v>
      </c>
      <c r="C1373" s="312">
        <v>1</v>
      </c>
      <c r="D1373" s="368">
        <f>IFERROR((INDEX(METADATA!$T$2:$T$20,MATCH(B1373,METADATA!$S$2:$S$20,0))),0)</f>
        <v>0</v>
      </c>
      <c r="E1373" s="312" t="str">
        <f t="shared" si="84"/>
        <v>LO</v>
      </c>
      <c r="F1373" s="369">
        <f>VLOOKUP(C1373,METADATA!$A$5:$H$29,IF(E1373="HI",2,IF(E1373="LO",6,10))+IF(D1373=1,2,IF(D1373=7,1,(IF(WEEKDAY(B1373)=1,2,IF(WEEKDAY(B1373)=7,1,0))))))</f>
        <v>3</v>
      </c>
      <c r="G1373" s="369">
        <f>VLOOKUP(C1373,METADATA!$J$5:$Q$29,IF(E1373="HI",2,IF(E1373="LO",6,10))+IF(D1373=1,2,IF(D1373=7,1,(IF(WEEKDAY(B1373)=1,2,IF(WEEKDAY(B1373)=7,1,0))))))</f>
        <v>3</v>
      </c>
      <c r="H1373" s="370">
        <v>12730.425109863281</v>
      </c>
      <c r="I1373" s="370">
        <v>1714.2755374908447</v>
      </c>
      <c r="M1373" s="371">
        <f t="shared" si="85"/>
        <v>12845.328493124536</v>
      </c>
      <c r="N1373" s="329">
        <f t="shared" si="86"/>
        <v>0</v>
      </c>
      <c r="T1373" s="331">
        <v>0</v>
      </c>
      <c r="U1373" s="328">
        <f>VLOOKUP(C1373,METADATA!$J$5:$Q$29,IF(E1373="HI",2,IF(E1373="LO",6,10))+IF(T1373=1,2,IF(D1373=7,1,(IF(WEEKDAY(B1373)=1,2,IF(WEEKDAY(B1373)=7,1,0))))))</f>
        <v>3</v>
      </c>
      <c r="V1373" s="328">
        <f>VLOOKUP(C1373,METADATA!$A$5:$H$29,IF(E1373="HI",2,IF(E1373="LO",6,10))+IF(T1373=1,2,IF(D1373=7,1,(IF(WEEKDAY(B1373)=1,2,IF(WEEKDAY(B1373)=7,1,0))))))</f>
        <v>3</v>
      </c>
    </row>
    <row r="1374" spans="2:22">
      <c r="B1374" s="318">
        <f t="shared" si="87"/>
        <v>46170</v>
      </c>
      <c r="C1374" s="312">
        <v>2</v>
      </c>
      <c r="D1374" s="368">
        <f>IFERROR((INDEX(METADATA!$T$2:$T$20,MATCH(B1374,METADATA!$S$2:$S$20,0))),0)</f>
        <v>0</v>
      </c>
      <c r="E1374" s="312" t="str">
        <f t="shared" si="84"/>
        <v>LO</v>
      </c>
      <c r="F1374" s="369">
        <f>VLOOKUP(C1374,METADATA!$A$5:$H$29,IF(E1374="HI",2,IF(E1374="LO",6,10))+IF(D1374=1,2,IF(D1374=7,1,(IF(WEEKDAY(B1374)=1,2,IF(WEEKDAY(B1374)=7,1,0))))))</f>
        <v>3</v>
      </c>
      <c r="G1374" s="369">
        <f>VLOOKUP(C1374,METADATA!$J$5:$Q$29,IF(E1374="HI",2,IF(E1374="LO",6,10))+IF(D1374=1,2,IF(D1374=7,1,(IF(WEEKDAY(B1374)=1,2,IF(WEEKDAY(B1374)=7,1,0))))))</f>
        <v>3</v>
      </c>
      <c r="H1374" s="370">
        <v>12840.944885253906</v>
      </c>
      <c r="I1374" s="370">
        <v>1843.0545172691345</v>
      </c>
      <c r="M1374" s="371">
        <f t="shared" si="85"/>
        <v>12972.536972379559</v>
      </c>
      <c r="N1374" s="329">
        <f t="shared" si="86"/>
        <v>0</v>
      </c>
      <c r="T1374" s="331">
        <v>0</v>
      </c>
      <c r="U1374" s="328">
        <f>VLOOKUP(C1374,METADATA!$J$5:$Q$29,IF(E1374="HI",2,IF(E1374="LO",6,10))+IF(T1374=1,2,IF(D1374=7,1,(IF(WEEKDAY(B1374)=1,2,IF(WEEKDAY(B1374)=7,1,0))))))</f>
        <v>3</v>
      </c>
      <c r="V1374" s="328">
        <f>VLOOKUP(C1374,METADATA!$A$5:$H$29,IF(E1374="HI",2,IF(E1374="LO",6,10))+IF(T1374=1,2,IF(D1374=7,1,(IF(WEEKDAY(B1374)=1,2,IF(WEEKDAY(B1374)=7,1,0))))))</f>
        <v>3</v>
      </c>
    </row>
    <row r="1375" spans="2:22">
      <c r="B1375" s="318">
        <f t="shared" si="87"/>
        <v>46170</v>
      </c>
      <c r="C1375" s="312">
        <v>3</v>
      </c>
      <c r="D1375" s="368">
        <f>IFERROR((INDEX(METADATA!$T$2:$T$20,MATCH(B1375,METADATA!$S$2:$S$20,0))),0)</f>
        <v>0</v>
      </c>
      <c r="E1375" s="312" t="str">
        <f t="shared" si="84"/>
        <v>LO</v>
      </c>
      <c r="F1375" s="369">
        <f>VLOOKUP(C1375,METADATA!$A$5:$H$29,IF(E1375="HI",2,IF(E1375="LO",6,10))+IF(D1375=1,2,IF(D1375=7,1,(IF(WEEKDAY(B1375)=1,2,IF(WEEKDAY(B1375)=7,1,0))))))</f>
        <v>3</v>
      </c>
      <c r="G1375" s="369">
        <f>VLOOKUP(C1375,METADATA!$J$5:$Q$29,IF(E1375="HI",2,IF(E1375="LO",6,10))+IF(D1375=1,2,IF(D1375=7,1,(IF(WEEKDAY(B1375)=1,2,IF(WEEKDAY(B1375)=7,1,0))))))</f>
        <v>3</v>
      </c>
      <c r="H1375" s="370">
        <v>13521.180114746094</v>
      </c>
      <c r="I1375" s="370">
        <v>1916.854024887085</v>
      </c>
      <c r="M1375" s="371">
        <f t="shared" si="85"/>
        <v>13656.377303228372</v>
      </c>
      <c r="N1375" s="329">
        <f t="shared" si="86"/>
        <v>0</v>
      </c>
      <c r="T1375" s="331">
        <v>0</v>
      </c>
      <c r="U1375" s="328">
        <f>VLOOKUP(C1375,METADATA!$J$5:$Q$29,IF(E1375="HI",2,IF(E1375="LO",6,10))+IF(T1375=1,2,IF(D1375=7,1,(IF(WEEKDAY(B1375)=1,2,IF(WEEKDAY(B1375)=7,1,0))))))</f>
        <v>3</v>
      </c>
      <c r="V1375" s="328">
        <f>VLOOKUP(C1375,METADATA!$A$5:$H$29,IF(E1375="HI",2,IF(E1375="LO",6,10))+IF(T1375=1,2,IF(D1375=7,1,(IF(WEEKDAY(B1375)=1,2,IF(WEEKDAY(B1375)=7,1,0))))))</f>
        <v>3</v>
      </c>
    </row>
    <row r="1376" spans="2:22">
      <c r="B1376" s="318">
        <f t="shared" si="87"/>
        <v>46170</v>
      </c>
      <c r="C1376" s="312">
        <v>4</v>
      </c>
      <c r="D1376" s="368">
        <f>IFERROR((INDEX(METADATA!$T$2:$T$20,MATCH(B1376,METADATA!$S$2:$S$20,0))),0)</f>
        <v>0</v>
      </c>
      <c r="E1376" s="312" t="str">
        <f t="shared" si="84"/>
        <v>LO</v>
      </c>
      <c r="F1376" s="369">
        <f>VLOOKUP(C1376,METADATA!$A$5:$H$29,IF(E1376="HI",2,IF(E1376="LO",6,10))+IF(D1376=1,2,IF(D1376=7,1,(IF(WEEKDAY(B1376)=1,2,IF(WEEKDAY(B1376)=7,1,0))))))</f>
        <v>3</v>
      </c>
      <c r="G1376" s="369">
        <f>VLOOKUP(C1376,METADATA!$J$5:$Q$29,IF(E1376="HI",2,IF(E1376="LO",6,10))+IF(D1376=1,2,IF(D1376=7,1,(IF(WEEKDAY(B1376)=1,2,IF(WEEKDAY(B1376)=7,1,0))))))</f>
        <v>3</v>
      </c>
      <c r="H1376" s="370">
        <v>13492.8271484375</v>
      </c>
      <c r="I1376" s="370">
        <v>1915.6595211029053</v>
      </c>
      <c r="M1376" s="371">
        <f t="shared" si="85"/>
        <v>13628.13765187321</v>
      </c>
      <c r="N1376" s="329">
        <f t="shared" si="86"/>
        <v>0</v>
      </c>
      <c r="T1376" s="331">
        <v>0</v>
      </c>
      <c r="U1376" s="328">
        <f>VLOOKUP(C1376,METADATA!$J$5:$Q$29,IF(E1376="HI",2,IF(E1376="LO",6,10))+IF(T1376=1,2,IF(D1376=7,1,(IF(WEEKDAY(B1376)=1,2,IF(WEEKDAY(B1376)=7,1,0))))))</f>
        <v>3</v>
      </c>
      <c r="V1376" s="328">
        <f>VLOOKUP(C1376,METADATA!$A$5:$H$29,IF(E1376="HI",2,IF(E1376="LO",6,10))+IF(T1376=1,2,IF(D1376=7,1,(IF(WEEKDAY(B1376)=1,2,IF(WEEKDAY(B1376)=7,1,0))))))</f>
        <v>3</v>
      </c>
    </row>
    <row r="1377" spans="2:22">
      <c r="B1377" s="318">
        <f t="shared" si="87"/>
        <v>46170</v>
      </c>
      <c r="C1377" s="312">
        <v>5</v>
      </c>
      <c r="D1377" s="368">
        <f>IFERROR((INDEX(METADATA!$T$2:$T$20,MATCH(B1377,METADATA!$S$2:$S$20,0))),0)</f>
        <v>0</v>
      </c>
      <c r="E1377" s="312" t="str">
        <f t="shared" si="84"/>
        <v>LO</v>
      </c>
      <c r="F1377" s="369">
        <f>VLOOKUP(C1377,METADATA!$A$5:$H$29,IF(E1377="HI",2,IF(E1377="LO",6,10))+IF(D1377=1,2,IF(D1377=7,1,(IF(WEEKDAY(B1377)=1,2,IF(WEEKDAY(B1377)=7,1,0))))))</f>
        <v>3</v>
      </c>
      <c r="G1377" s="369">
        <f>VLOOKUP(C1377,METADATA!$J$5:$Q$29,IF(E1377="HI",2,IF(E1377="LO",6,10))+IF(D1377=1,2,IF(D1377=7,1,(IF(WEEKDAY(B1377)=1,2,IF(WEEKDAY(B1377)=7,1,0))))))</f>
        <v>3</v>
      </c>
      <c r="H1377" s="370">
        <v>13530.289916992188</v>
      </c>
      <c r="I1377" s="370">
        <v>1816.8699951171875</v>
      </c>
      <c r="M1377" s="371">
        <f t="shared" si="85"/>
        <v>13651.731092320035</v>
      </c>
      <c r="N1377" s="329">
        <f t="shared" si="86"/>
        <v>0</v>
      </c>
      <c r="T1377" s="331">
        <v>0</v>
      </c>
      <c r="U1377" s="328">
        <f>VLOOKUP(C1377,METADATA!$J$5:$Q$29,IF(E1377="HI",2,IF(E1377="LO",6,10))+IF(T1377=1,2,IF(D1377=7,1,(IF(WEEKDAY(B1377)=1,2,IF(WEEKDAY(B1377)=7,1,0))))))</f>
        <v>3</v>
      </c>
      <c r="V1377" s="328">
        <f>VLOOKUP(C1377,METADATA!$A$5:$H$29,IF(E1377="HI",2,IF(E1377="LO",6,10))+IF(T1377=1,2,IF(D1377=7,1,(IF(WEEKDAY(B1377)=1,2,IF(WEEKDAY(B1377)=7,1,0))))))</f>
        <v>3</v>
      </c>
    </row>
    <row r="1378" spans="2:22">
      <c r="B1378" s="318">
        <f t="shared" si="87"/>
        <v>46170</v>
      </c>
      <c r="C1378" s="312">
        <v>6</v>
      </c>
      <c r="D1378" s="368">
        <f>IFERROR((INDEX(METADATA!$T$2:$T$20,MATCH(B1378,METADATA!$S$2:$S$20,0))),0)</f>
        <v>0</v>
      </c>
      <c r="E1378" s="312" t="str">
        <f t="shared" si="84"/>
        <v>LO</v>
      </c>
      <c r="F1378" s="369">
        <f>VLOOKUP(C1378,METADATA!$A$5:$H$29,IF(E1378="HI",2,IF(E1378="LO",6,10))+IF(D1378=1,2,IF(D1378=7,1,(IF(WEEKDAY(B1378)=1,2,IF(WEEKDAY(B1378)=7,1,0))))))</f>
        <v>2</v>
      </c>
      <c r="G1378" s="369">
        <f>VLOOKUP(C1378,METADATA!$J$5:$Q$29,IF(E1378="HI",2,IF(E1378="LO",6,10))+IF(D1378=1,2,IF(D1378=7,1,(IF(WEEKDAY(B1378)=1,2,IF(WEEKDAY(B1378)=7,1,0))))))</f>
        <v>2</v>
      </c>
      <c r="H1378" s="370">
        <v>13544.284851074219</v>
      </c>
      <c r="I1378" s="370">
        <v>1724.1590251922607</v>
      </c>
      <c r="M1378" s="371">
        <f t="shared" si="85"/>
        <v>13653.584748013633</v>
      </c>
      <c r="N1378" s="329">
        <f t="shared" si="86"/>
        <v>0</v>
      </c>
      <c r="T1378" s="331">
        <v>0</v>
      </c>
      <c r="U1378" s="328">
        <f>VLOOKUP(C1378,METADATA!$J$5:$Q$29,IF(E1378="HI",2,IF(E1378="LO",6,10))+IF(T1378=1,2,IF(D1378=7,1,(IF(WEEKDAY(B1378)=1,2,IF(WEEKDAY(B1378)=7,1,0))))))</f>
        <v>2</v>
      </c>
      <c r="V1378" s="328">
        <f>VLOOKUP(C1378,METADATA!$A$5:$H$29,IF(E1378="HI",2,IF(E1378="LO",6,10))+IF(T1378=1,2,IF(D1378=7,1,(IF(WEEKDAY(B1378)=1,2,IF(WEEKDAY(B1378)=7,1,0))))))</f>
        <v>2</v>
      </c>
    </row>
    <row r="1379" spans="2:22">
      <c r="B1379" s="318">
        <f t="shared" si="87"/>
        <v>46170</v>
      </c>
      <c r="C1379" s="312">
        <v>7</v>
      </c>
      <c r="D1379" s="368">
        <f>IFERROR((INDEX(METADATA!$T$2:$T$20,MATCH(B1379,METADATA!$S$2:$S$20,0))),0)</f>
        <v>0</v>
      </c>
      <c r="E1379" s="312" t="str">
        <f t="shared" si="84"/>
        <v>LO</v>
      </c>
      <c r="F1379" s="369">
        <f>VLOOKUP(C1379,METADATA!$A$5:$H$29,IF(E1379="HI",2,IF(E1379="LO",6,10))+IF(D1379=1,2,IF(D1379=7,1,(IF(WEEKDAY(B1379)=1,2,IF(WEEKDAY(B1379)=7,1,0))))))</f>
        <v>1</v>
      </c>
      <c r="G1379" s="369">
        <f>VLOOKUP(C1379,METADATA!$J$5:$Q$29,IF(E1379="HI",2,IF(E1379="LO",6,10))+IF(D1379=1,2,IF(D1379=7,1,(IF(WEEKDAY(B1379)=1,2,IF(WEEKDAY(B1379)=7,1,0))))))</f>
        <v>1</v>
      </c>
      <c r="H1379" s="370">
        <v>13664.065002441406</v>
      </c>
      <c r="I1379" s="370">
        <v>1720.2969722747803</v>
      </c>
      <c r="M1379" s="371">
        <f t="shared" si="85"/>
        <v>13771.931384659227</v>
      </c>
      <c r="N1379" s="329">
        <f t="shared" si="86"/>
        <v>0</v>
      </c>
      <c r="T1379" s="331">
        <v>0</v>
      </c>
      <c r="U1379" s="328">
        <f>VLOOKUP(C1379,METADATA!$J$5:$Q$29,IF(E1379="HI",2,IF(E1379="LO",6,10))+IF(T1379=1,2,IF(D1379=7,1,(IF(WEEKDAY(B1379)=1,2,IF(WEEKDAY(B1379)=7,1,0))))))</f>
        <v>1</v>
      </c>
      <c r="V1379" s="328">
        <f>VLOOKUP(C1379,METADATA!$A$5:$H$29,IF(E1379="HI",2,IF(E1379="LO",6,10))+IF(T1379=1,2,IF(D1379=7,1,(IF(WEEKDAY(B1379)=1,2,IF(WEEKDAY(B1379)=7,1,0))))))</f>
        <v>1</v>
      </c>
    </row>
    <row r="1380" spans="2:22">
      <c r="B1380" s="318">
        <f t="shared" si="87"/>
        <v>46170</v>
      </c>
      <c r="C1380" s="312">
        <v>8</v>
      </c>
      <c r="D1380" s="368">
        <f>IFERROR((INDEX(METADATA!$T$2:$T$20,MATCH(B1380,METADATA!$S$2:$S$20,0))),0)</f>
        <v>0</v>
      </c>
      <c r="E1380" s="312" t="str">
        <f t="shared" si="84"/>
        <v>LO</v>
      </c>
      <c r="F1380" s="369">
        <f>VLOOKUP(C1380,METADATA!$A$5:$H$29,IF(E1380="HI",2,IF(E1380="LO",6,10))+IF(D1380=1,2,IF(D1380=7,1,(IF(WEEKDAY(B1380)=1,2,IF(WEEKDAY(B1380)=7,1,0))))))</f>
        <v>1</v>
      </c>
      <c r="G1380" s="369">
        <f>VLOOKUP(C1380,METADATA!$J$5:$Q$29,IF(E1380="HI",2,IF(E1380="LO",6,10))+IF(D1380=1,2,IF(D1380=7,1,(IF(WEEKDAY(B1380)=1,2,IF(WEEKDAY(B1380)=7,1,0))))))</f>
        <v>1</v>
      </c>
      <c r="H1380" s="370">
        <v>13626.419799804688</v>
      </c>
      <c r="I1380" s="370">
        <v>1692.1914691925049</v>
      </c>
      <c r="M1380" s="371">
        <f t="shared" si="85"/>
        <v>13731.089852190069</v>
      </c>
      <c r="N1380" s="329">
        <f t="shared" si="86"/>
        <v>0</v>
      </c>
      <c r="T1380" s="331">
        <v>0</v>
      </c>
      <c r="U1380" s="328">
        <f>VLOOKUP(C1380,METADATA!$J$5:$Q$29,IF(E1380="HI",2,IF(E1380="LO",6,10))+IF(T1380=1,2,IF(D1380=7,1,(IF(WEEKDAY(B1380)=1,2,IF(WEEKDAY(B1380)=7,1,0))))))</f>
        <v>1</v>
      </c>
      <c r="V1380" s="328">
        <f>VLOOKUP(C1380,METADATA!$A$5:$H$29,IF(E1380="HI",2,IF(E1380="LO",6,10))+IF(T1380=1,2,IF(D1380=7,1,(IF(WEEKDAY(B1380)=1,2,IF(WEEKDAY(B1380)=7,1,0))))))</f>
        <v>1</v>
      </c>
    </row>
    <row r="1381" spans="2:22">
      <c r="B1381" s="318">
        <f t="shared" si="87"/>
        <v>46170</v>
      </c>
      <c r="C1381" s="312">
        <v>9</v>
      </c>
      <c r="D1381" s="368">
        <f>IFERROR((INDEX(METADATA!$T$2:$T$20,MATCH(B1381,METADATA!$S$2:$S$20,0))),0)</f>
        <v>0</v>
      </c>
      <c r="E1381" s="312" t="str">
        <f t="shared" si="84"/>
        <v>LO</v>
      </c>
      <c r="F1381" s="369">
        <f>VLOOKUP(C1381,METADATA!$A$5:$H$29,IF(E1381="HI",2,IF(E1381="LO",6,10))+IF(D1381=1,2,IF(D1381=7,1,(IF(WEEKDAY(B1381)=1,2,IF(WEEKDAY(B1381)=7,1,0))))))</f>
        <v>2</v>
      </c>
      <c r="G1381" s="369">
        <f>VLOOKUP(C1381,METADATA!$J$5:$Q$29,IF(E1381="HI",2,IF(E1381="LO",6,10))+IF(D1381=1,2,IF(D1381=7,1,(IF(WEEKDAY(B1381)=1,2,IF(WEEKDAY(B1381)=7,1,0))))))</f>
        <v>2</v>
      </c>
      <c r="H1381" s="370">
        <v>13686.454833984375</v>
      </c>
      <c r="I1381" s="370">
        <v>1679.6145362854004</v>
      </c>
      <c r="M1381" s="371">
        <f t="shared" si="85"/>
        <v>13789.131622883127</v>
      </c>
      <c r="N1381" s="329">
        <f t="shared" si="86"/>
        <v>0</v>
      </c>
      <c r="T1381" s="331">
        <v>0</v>
      </c>
      <c r="U1381" s="328">
        <f>VLOOKUP(C1381,METADATA!$J$5:$Q$29,IF(E1381="HI",2,IF(E1381="LO",6,10))+IF(T1381=1,2,IF(D1381=7,1,(IF(WEEKDAY(B1381)=1,2,IF(WEEKDAY(B1381)=7,1,0))))))</f>
        <v>2</v>
      </c>
      <c r="V1381" s="328">
        <f>VLOOKUP(C1381,METADATA!$A$5:$H$29,IF(E1381="HI",2,IF(E1381="LO",6,10))+IF(T1381=1,2,IF(D1381=7,1,(IF(WEEKDAY(B1381)=1,2,IF(WEEKDAY(B1381)=7,1,0))))))</f>
        <v>2</v>
      </c>
    </row>
    <row r="1382" spans="2:22">
      <c r="B1382" s="318">
        <f t="shared" si="87"/>
        <v>46170</v>
      </c>
      <c r="C1382" s="312">
        <v>10</v>
      </c>
      <c r="D1382" s="368">
        <f>IFERROR((INDEX(METADATA!$T$2:$T$20,MATCH(B1382,METADATA!$S$2:$S$20,0))),0)</f>
        <v>0</v>
      </c>
      <c r="E1382" s="312" t="str">
        <f t="shared" si="84"/>
        <v>LO</v>
      </c>
      <c r="F1382" s="369">
        <f>VLOOKUP(C1382,METADATA!$A$5:$H$29,IF(E1382="HI",2,IF(E1382="LO",6,10))+IF(D1382=1,2,IF(D1382=7,1,(IF(WEEKDAY(B1382)=1,2,IF(WEEKDAY(B1382)=7,1,0))))))</f>
        <v>2</v>
      </c>
      <c r="G1382" s="369">
        <f>VLOOKUP(C1382,METADATA!$J$5:$Q$29,IF(E1382="HI",2,IF(E1382="LO",6,10))+IF(D1382=1,2,IF(D1382=7,1,(IF(WEEKDAY(B1382)=1,2,IF(WEEKDAY(B1382)=7,1,0))))))</f>
        <v>2</v>
      </c>
      <c r="H1382" s="370">
        <v>13486.885131835938</v>
      </c>
      <c r="I1382" s="370">
        <v>1737.6479768753052</v>
      </c>
      <c r="M1382" s="371">
        <f t="shared" si="85"/>
        <v>13598.363543120771</v>
      </c>
      <c r="N1382" s="329">
        <f t="shared" si="86"/>
        <v>0</v>
      </c>
      <c r="T1382" s="331">
        <v>0</v>
      </c>
      <c r="U1382" s="328">
        <f>VLOOKUP(C1382,METADATA!$J$5:$Q$29,IF(E1382="HI",2,IF(E1382="LO",6,10))+IF(T1382=1,2,IF(D1382=7,1,(IF(WEEKDAY(B1382)=1,2,IF(WEEKDAY(B1382)=7,1,0))))))</f>
        <v>2</v>
      </c>
      <c r="V1382" s="328">
        <f>VLOOKUP(C1382,METADATA!$A$5:$H$29,IF(E1382="HI",2,IF(E1382="LO",6,10))+IF(T1382=1,2,IF(D1382=7,1,(IF(WEEKDAY(B1382)=1,2,IF(WEEKDAY(B1382)=7,1,0))))))</f>
        <v>2</v>
      </c>
    </row>
    <row r="1383" spans="2:22">
      <c r="B1383" s="318">
        <f t="shared" si="87"/>
        <v>46170</v>
      </c>
      <c r="C1383" s="312">
        <v>11</v>
      </c>
      <c r="D1383" s="368">
        <f>IFERROR((INDEX(METADATA!$T$2:$T$20,MATCH(B1383,METADATA!$S$2:$S$20,0))),0)</f>
        <v>0</v>
      </c>
      <c r="E1383" s="312" t="str">
        <f t="shared" si="84"/>
        <v>LO</v>
      </c>
      <c r="F1383" s="369">
        <f>VLOOKUP(C1383,METADATA!$A$5:$H$29,IF(E1383="HI",2,IF(E1383="LO",6,10))+IF(D1383=1,2,IF(D1383=7,1,(IF(WEEKDAY(B1383)=1,2,IF(WEEKDAY(B1383)=7,1,0))))))</f>
        <v>2</v>
      </c>
      <c r="G1383" s="369">
        <f>VLOOKUP(C1383,METADATA!$J$5:$Q$29,IF(E1383="HI",2,IF(E1383="LO",6,10))+IF(D1383=1,2,IF(D1383=7,1,(IF(WEEKDAY(B1383)=1,2,IF(WEEKDAY(B1383)=7,1,0))))))</f>
        <v>2</v>
      </c>
      <c r="H1383" s="370">
        <v>12909.909912109375</v>
      </c>
      <c r="I1383" s="370">
        <v>1259.2825164794922</v>
      </c>
      <c r="M1383" s="371">
        <f t="shared" si="85"/>
        <v>12971.18215102582</v>
      </c>
      <c r="N1383" s="329">
        <f t="shared" si="86"/>
        <v>0</v>
      </c>
      <c r="T1383" s="331">
        <v>0</v>
      </c>
      <c r="U1383" s="328">
        <f>VLOOKUP(C1383,METADATA!$J$5:$Q$29,IF(E1383="HI",2,IF(E1383="LO",6,10))+IF(T1383=1,2,IF(D1383=7,1,(IF(WEEKDAY(B1383)=1,2,IF(WEEKDAY(B1383)=7,1,0))))))</f>
        <v>2</v>
      </c>
      <c r="V1383" s="328">
        <f>VLOOKUP(C1383,METADATA!$A$5:$H$29,IF(E1383="HI",2,IF(E1383="LO",6,10))+IF(T1383=1,2,IF(D1383=7,1,(IF(WEEKDAY(B1383)=1,2,IF(WEEKDAY(B1383)=7,1,0))))))</f>
        <v>2</v>
      </c>
    </row>
    <row r="1384" spans="2:22">
      <c r="B1384" s="318">
        <f t="shared" si="87"/>
        <v>46170</v>
      </c>
      <c r="C1384" s="312">
        <v>12</v>
      </c>
      <c r="D1384" s="368">
        <f>IFERROR((INDEX(METADATA!$T$2:$T$20,MATCH(B1384,METADATA!$S$2:$S$20,0))),0)</f>
        <v>0</v>
      </c>
      <c r="E1384" s="312" t="str">
        <f t="shared" si="84"/>
        <v>LO</v>
      </c>
      <c r="F1384" s="369">
        <f>VLOOKUP(C1384,METADATA!$A$5:$H$29,IF(E1384="HI",2,IF(E1384="LO",6,10))+IF(D1384=1,2,IF(D1384=7,1,(IF(WEEKDAY(B1384)=1,2,IF(WEEKDAY(B1384)=7,1,0))))))</f>
        <v>2</v>
      </c>
      <c r="G1384" s="369">
        <f>VLOOKUP(C1384,METADATA!$J$5:$Q$29,IF(E1384="HI",2,IF(E1384="LO",6,10))+IF(D1384=1,2,IF(D1384=7,1,(IF(WEEKDAY(B1384)=1,2,IF(WEEKDAY(B1384)=7,1,0))))))</f>
        <v>2</v>
      </c>
      <c r="H1384" s="370">
        <v>13516.344970703125</v>
      </c>
      <c r="I1384" s="370">
        <v>1712.3750457763672</v>
      </c>
      <c r="M1384" s="371">
        <f t="shared" si="85"/>
        <v>13624.382909491691</v>
      </c>
      <c r="N1384" s="329">
        <f t="shared" si="86"/>
        <v>0</v>
      </c>
      <c r="T1384" s="331">
        <v>0</v>
      </c>
      <c r="U1384" s="328">
        <f>VLOOKUP(C1384,METADATA!$J$5:$Q$29,IF(E1384="HI",2,IF(E1384="LO",6,10))+IF(T1384=1,2,IF(D1384=7,1,(IF(WEEKDAY(B1384)=1,2,IF(WEEKDAY(B1384)=7,1,0))))))</f>
        <v>2</v>
      </c>
      <c r="V1384" s="328">
        <f>VLOOKUP(C1384,METADATA!$A$5:$H$29,IF(E1384="HI",2,IF(E1384="LO",6,10))+IF(T1384=1,2,IF(D1384=7,1,(IF(WEEKDAY(B1384)=1,2,IF(WEEKDAY(B1384)=7,1,0))))))</f>
        <v>2</v>
      </c>
    </row>
    <row r="1385" spans="2:22">
      <c r="B1385" s="318">
        <f t="shared" si="87"/>
        <v>46170</v>
      </c>
      <c r="C1385" s="312">
        <v>13</v>
      </c>
      <c r="D1385" s="368">
        <f>IFERROR((INDEX(METADATA!$T$2:$T$20,MATCH(B1385,METADATA!$S$2:$S$20,0))),0)</f>
        <v>0</v>
      </c>
      <c r="E1385" s="312" t="str">
        <f t="shared" si="84"/>
        <v>LO</v>
      </c>
      <c r="F1385" s="369">
        <f>VLOOKUP(C1385,METADATA!$A$5:$H$29,IF(E1385="HI",2,IF(E1385="LO",6,10))+IF(D1385=1,2,IF(D1385=7,1,(IF(WEEKDAY(B1385)=1,2,IF(WEEKDAY(B1385)=7,1,0))))))</f>
        <v>2</v>
      </c>
      <c r="G1385" s="369">
        <f>VLOOKUP(C1385,METADATA!$J$5:$Q$29,IF(E1385="HI",2,IF(E1385="LO",6,10))+IF(D1385=1,2,IF(D1385=7,1,(IF(WEEKDAY(B1385)=1,2,IF(WEEKDAY(B1385)=7,1,0))))))</f>
        <v>2</v>
      </c>
      <c r="H1385" s="370">
        <v>13664.880126953125</v>
      </c>
      <c r="I1385" s="370">
        <v>1788.2624969482422</v>
      </c>
      <c r="M1385" s="371">
        <f t="shared" si="85"/>
        <v>13781.394401220437</v>
      </c>
      <c r="N1385" s="329">
        <f t="shared" si="86"/>
        <v>0</v>
      </c>
      <c r="T1385" s="331">
        <v>0</v>
      </c>
      <c r="U1385" s="328">
        <f>VLOOKUP(C1385,METADATA!$J$5:$Q$29,IF(E1385="HI",2,IF(E1385="LO",6,10))+IF(T1385=1,2,IF(D1385=7,1,(IF(WEEKDAY(B1385)=1,2,IF(WEEKDAY(B1385)=7,1,0))))))</f>
        <v>2</v>
      </c>
      <c r="V1385" s="328">
        <f>VLOOKUP(C1385,METADATA!$A$5:$H$29,IF(E1385="HI",2,IF(E1385="LO",6,10))+IF(T1385=1,2,IF(D1385=7,1,(IF(WEEKDAY(B1385)=1,2,IF(WEEKDAY(B1385)=7,1,0))))))</f>
        <v>2</v>
      </c>
    </row>
    <row r="1386" spans="2:22">
      <c r="B1386" s="318">
        <f t="shared" si="87"/>
        <v>46170</v>
      </c>
      <c r="C1386" s="312">
        <v>14</v>
      </c>
      <c r="D1386" s="368">
        <f>IFERROR((INDEX(METADATA!$T$2:$T$20,MATCH(B1386,METADATA!$S$2:$S$20,0))),0)</f>
        <v>0</v>
      </c>
      <c r="E1386" s="312" t="str">
        <f t="shared" si="84"/>
        <v>LO</v>
      </c>
      <c r="F1386" s="369">
        <f>VLOOKUP(C1386,METADATA!$A$5:$H$29,IF(E1386="HI",2,IF(E1386="LO",6,10))+IF(D1386=1,2,IF(D1386=7,1,(IF(WEEKDAY(B1386)=1,2,IF(WEEKDAY(B1386)=7,1,0))))))</f>
        <v>2</v>
      </c>
      <c r="G1386" s="369">
        <f>VLOOKUP(C1386,METADATA!$J$5:$Q$29,IF(E1386="HI",2,IF(E1386="LO",6,10))+IF(D1386=1,2,IF(D1386=7,1,(IF(WEEKDAY(B1386)=1,2,IF(WEEKDAY(B1386)=7,1,0))))))</f>
        <v>2</v>
      </c>
      <c r="H1386" s="370">
        <v>13600.590270996094</v>
      </c>
      <c r="I1386" s="370">
        <v>1825.10498046875</v>
      </c>
      <c r="M1386" s="371">
        <f t="shared" si="85"/>
        <v>13722.502100901476</v>
      </c>
      <c r="N1386" s="329">
        <f t="shared" si="86"/>
        <v>0</v>
      </c>
      <c r="T1386" s="331">
        <v>0</v>
      </c>
      <c r="U1386" s="328">
        <f>VLOOKUP(C1386,METADATA!$J$5:$Q$29,IF(E1386="HI",2,IF(E1386="LO",6,10))+IF(T1386=1,2,IF(D1386=7,1,(IF(WEEKDAY(B1386)=1,2,IF(WEEKDAY(B1386)=7,1,0))))))</f>
        <v>2</v>
      </c>
      <c r="V1386" s="328">
        <f>VLOOKUP(C1386,METADATA!$A$5:$H$29,IF(E1386="HI",2,IF(E1386="LO",6,10))+IF(T1386=1,2,IF(D1386=7,1,(IF(WEEKDAY(B1386)=1,2,IF(WEEKDAY(B1386)=7,1,0))))))</f>
        <v>2</v>
      </c>
    </row>
    <row r="1387" spans="2:22">
      <c r="B1387" s="318">
        <f t="shared" si="87"/>
        <v>46170</v>
      </c>
      <c r="C1387" s="312">
        <v>15</v>
      </c>
      <c r="D1387" s="368">
        <f>IFERROR((INDEX(METADATA!$T$2:$T$20,MATCH(B1387,METADATA!$S$2:$S$20,0))),0)</f>
        <v>0</v>
      </c>
      <c r="E1387" s="312" t="str">
        <f t="shared" si="84"/>
        <v>LO</v>
      </c>
      <c r="F1387" s="369">
        <f>VLOOKUP(C1387,METADATA!$A$5:$H$29,IF(E1387="HI",2,IF(E1387="LO",6,10))+IF(D1387=1,2,IF(D1387=7,1,(IF(WEEKDAY(B1387)=1,2,IF(WEEKDAY(B1387)=7,1,0))))))</f>
        <v>2</v>
      </c>
      <c r="G1387" s="369">
        <f>VLOOKUP(C1387,METADATA!$J$5:$Q$29,IF(E1387="HI",2,IF(E1387="LO",6,10))+IF(D1387=1,2,IF(D1387=7,1,(IF(WEEKDAY(B1387)=1,2,IF(WEEKDAY(B1387)=7,1,0))))))</f>
        <v>2</v>
      </c>
      <c r="H1387" s="370">
        <v>13697.119873046875</v>
      </c>
      <c r="I1387" s="370">
        <v>1913.0649719238281</v>
      </c>
      <c r="M1387" s="371">
        <f t="shared" si="85"/>
        <v>13830.072682506681</v>
      </c>
      <c r="N1387" s="329">
        <f t="shared" si="86"/>
        <v>0</v>
      </c>
      <c r="T1387" s="331">
        <v>0</v>
      </c>
      <c r="U1387" s="328">
        <f>VLOOKUP(C1387,METADATA!$J$5:$Q$29,IF(E1387="HI",2,IF(E1387="LO",6,10))+IF(T1387=1,2,IF(D1387=7,1,(IF(WEEKDAY(B1387)=1,2,IF(WEEKDAY(B1387)=7,1,0))))))</f>
        <v>2</v>
      </c>
      <c r="V1387" s="328">
        <f>VLOOKUP(C1387,METADATA!$A$5:$H$29,IF(E1387="HI",2,IF(E1387="LO",6,10))+IF(T1387=1,2,IF(D1387=7,1,(IF(WEEKDAY(B1387)=1,2,IF(WEEKDAY(B1387)=7,1,0))))))</f>
        <v>2</v>
      </c>
    </row>
    <row r="1388" spans="2:22">
      <c r="B1388" s="318">
        <f t="shared" si="87"/>
        <v>46170</v>
      </c>
      <c r="C1388" s="312">
        <v>16</v>
      </c>
      <c r="D1388" s="368">
        <f>IFERROR((INDEX(METADATA!$T$2:$T$20,MATCH(B1388,METADATA!$S$2:$S$20,0))),0)</f>
        <v>0</v>
      </c>
      <c r="E1388" s="312" t="str">
        <f t="shared" si="84"/>
        <v>LO</v>
      </c>
      <c r="F1388" s="369">
        <f>VLOOKUP(C1388,METADATA!$A$5:$H$29,IF(E1388="HI",2,IF(E1388="LO",6,10))+IF(D1388=1,2,IF(D1388=7,1,(IF(WEEKDAY(B1388)=1,2,IF(WEEKDAY(B1388)=7,1,0))))))</f>
        <v>2</v>
      </c>
      <c r="G1388" s="369">
        <f>VLOOKUP(C1388,METADATA!$J$5:$Q$29,IF(E1388="HI",2,IF(E1388="LO",6,10))+IF(D1388=1,2,IF(D1388=7,1,(IF(WEEKDAY(B1388)=1,2,IF(WEEKDAY(B1388)=7,1,0))))))</f>
        <v>2</v>
      </c>
      <c r="H1388" s="370">
        <v>13703.315063476563</v>
      </c>
      <c r="I1388" s="370">
        <v>1868.3274993896484</v>
      </c>
      <c r="M1388" s="371">
        <f t="shared" si="85"/>
        <v>13830.093686373901</v>
      </c>
      <c r="N1388" s="329">
        <f t="shared" si="86"/>
        <v>0</v>
      </c>
      <c r="T1388" s="331">
        <v>0</v>
      </c>
      <c r="U1388" s="328">
        <f>VLOOKUP(C1388,METADATA!$J$5:$Q$29,IF(E1388="HI",2,IF(E1388="LO",6,10))+IF(T1388=1,2,IF(D1388=7,1,(IF(WEEKDAY(B1388)=1,2,IF(WEEKDAY(B1388)=7,1,0))))))</f>
        <v>2</v>
      </c>
      <c r="V1388" s="328">
        <f>VLOOKUP(C1388,METADATA!$A$5:$H$29,IF(E1388="HI",2,IF(E1388="LO",6,10))+IF(T1388=1,2,IF(D1388=7,1,(IF(WEEKDAY(B1388)=1,2,IF(WEEKDAY(B1388)=7,1,0))))))</f>
        <v>2</v>
      </c>
    </row>
    <row r="1389" spans="2:22">
      <c r="B1389" s="318">
        <f t="shared" si="87"/>
        <v>46170</v>
      </c>
      <c r="C1389" s="312">
        <v>17</v>
      </c>
      <c r="D1389" s="368">
        <f>IFERROR((INDEX(METADATA!$T$2:$T$20,MATCH(B1389,METADATA!$S$2:$S$20,0))),0)</f>
        <v>0</v>
      </c>
      <c r="E1389" s="312" t="str">
        <f t="shared" si="84"/>
        <v>LO</v>
      </c>
      <c r="F1389" s="369">
        <f>VLOOKUP(C1389,METADATA!$A$5:$H$29,IF(E1389="HI",2,IF(E1389="LO",6,10))+IF(D1389=1,2,IF(D1389=7,1,(IF(WEEKDAY(B1389)=1,2,IF(WEEKDAY(B1389)=7,1,0))))))</f>
        <v>2</v>
      </c>
      <c r="G1389" s="369">
        <f>VLOOKUP(C1389,METADATA!$J$5:$Q$29,IF(E1389="HI",2,IF(E1389="LO",6,10))+IF(D1389=1,2,IF(D1389=7,1,(IF(WEEKDAY(B1389)=1,2,IF(WEEKDAY(B1389)=7,1,0))))))</f>
        <v>2</v>
      </c>
      <c r="H1389" s="370">
        <v>13670.48974609375</v>
      </c>
      <c r="I1389" s="370">
        <v>1777.6575393676758</v>
      </c>
      <c r="M1389" s="371">
        <f t="shared" si="85"/>
        <v>13785.585088247981</v>
      </c>
      <c r="N1389" s="329">
        <f t="shared" si="86"/>
        <v>0</v>
      </c>
      <c r="T1389" s="331">
        <v>0</v>
      </c>
      <c r="U1389" s="328">
        <f>VLOOKUP(C1389,METADATA!$J$5:$Q$29,IF(E1389="HI",2,IF(E1389="LO",6,10))+IF(T1389=1,2,IF(D1389=7,1,(IF(WEEKDAY(B1389)=1,2,IF(WEEKDAY(B1389)=7,1,0))))))</f>
        <v>2</v>
      </c>
      <c r="V1389" s="328">
        <f>VLOOKUP(C1389,METADATA!$A$5:$H$29,IF(E1389="HI",2,IF(E1389="LO",6,10))+IF(T1389=1,2,IF(D1389=7,1,(IF(WEEKDAY(B1389)=1,2,IF(WEEKDAY(B1389)=7,1,0))))))</f>
        <v>2</v>
      </c>
    </row>
    <row r="1390" spans="2:22">
      <c r="B1390" s="318">
        <f t="shared" si="87"/>
        <v>46170</v>
      </c>
      <c r="C1390" s="312">
        <v>18</v>
      </c>
      <c r="D1390" s="368">
        <f>IFERROR((INDEX(METADATA!$T$2:$T$20,MATCH(B1390,METADATA!$S$2:$S$20,0))),0)</f>
        <v>0</v>
      </c>
      <c r="E1390" s="312" t="str">
        <f t="shared" si="84"/>
        <v>LO</v>
      </c>
      <c r="F1390" s="369">
        <f>VLOOKUP(C1390,METADATA!$A$5:$H$29,IF(E1390="HI",2,IF(E1390="LO",6,10))+IF(D1390=1,2,IF(D1390=7,1,(IF(WEEKDAY(B1390)=1,2,IF(WEEKDAY(B1390)=7,1,0))))))</f>
        <v>1</v>
      </c>
      <c r="G1390" s="369">
        <f>VLOOKUP(C1390,METADATA!$J$5:$Q$29,IF(E1390="HI",2,IF(E1390="LO",6,10))+IF(D1390=1,2,IF(D1390=7,1,(IF(WEEKDAY(B1390)=1,2,IF(WEEKDAY(B1390)=7,1,0))))))</f>
        <v>1</v>
      </c>
      <c r="H1390" s="370">
        <v>13627.190368652344</v>
      </c>
      <c r="I1390" s="370">
        <v>1684.8950119018555</v>
      </c>
      <c r="M1390" s="371">
        <f t="shared" si="85"/>
        <v>13730.957306197663</v>
      </c>
      <c r="N1390" s="329">
        <f t="shared" si="86"/>
        <v>0</v>
      </c>
      <c r="T1390" s="331">
        <v>0</v>
      </c>
      <c r="U1390" s="328">
        <f>VLOOKUP(C1390,METADATA!$J$5:$Q$29,IF(E1390="HI",2,IF(E1390="LO",6,10))+IF(T1390=1,2,IF(D1390=7,1,(IF(WEEKDAY(B1390)=1,2,IF(WEEKDAY(B1390)=7,1,0))))))</f>
        <v>1</v>
      </c>
      <c r="V1390" s="328">
        <f>VLOOKUP(C1390,METADATA!$A$5:$H$29,IF(E1390="HI",2,IF(E1390="LO",6,10))+IF(T1390=1,2,IF(D1390=7,1,(IF(WEEKDAY(B1390)=1,2,IF(WEEKDAY(B1390)=7,1,0))))))</f>
        <v>1</v>
      </c>
    </row>
    <row r="1391" spans="2:22">
      <c r="B1391" s="318">
        <f t="shared" si="87"/>
        <v>46170</v>
      </c>
      <c r="C1391" s="312">
        <v>19</v>
      </c>
      <c r="D1391" s="368">
        <f>IFERROR((INDEX(METADATA!$T$2:$T$20,MATCH(B1391,METADATA!$S$2:$S$20,0))),0)</f>
        <v>0</v>
      </c>
      <c r="E1391" s="312" t="str">
        <f t="shared" si="84"/>
        <v>LO</v>
      </c>
      <c r="F1391" s="369">
        <f>VLOOKUP(C1391,METADATA!$A$5:$H$29,IF(E1391="HI",2,IF(E1391="LO",6,10))+IF(D1391=1,2,IF(D1391=7,1,(IF(WEEKDAY(B1391)=1,2,IF(WEEKDAY(B1391)=7,1,0))))))</f>
        <v>1</v>
      </c>
      <c r="G1391" s="369">
        <f>VLOOKUP(C1391,METADATA!$J$5:$Q$29,IF(E1391="HI",2,IF(E1391="LO",6,10))+IF(D1391=1,2,IF(D1391=7,1,(IF(WEEKDAY(B1391)=1,2,IF(WEEKDAY(B1391)=7,1,0))))))</f>
        <v>1</v>
      </c>
      <c r="H1391" s="370">
        <v>13527.509704589844</v>
      </c>
      <c r="I1391" s="370">
        <v>1658.614990234375</v>
      </c>
      <c r="M1391" s="371">
        <f t="shared" si="85"/>
        <v>13628.812218737279</v>
      </c>
      <c r="N1391" s="329">
        <f t="shared" si="86"/>
        <v>0</v>
      </c>
      <c r="T1391" s="331">
        <v>0</v>
      </c>
      <c r="U1391" s="328">
        <f>VLOOKUP(C1391,METADATA!$J$5:$Q$29,IF(E1391="HI",2,IF(E1391="LO",6,10))+IF(T1391=1,2,IF(D1391=7,1,(IF(WEEKDAY(B1391)=1,2,IF(WEEKDAY(B1391)=7,1,0))))))</f>
        <v>1</v>
      </c>
      <c r="V1391" s="328">
        <f>VLOOKUP(C1391,METADATA!$A$5:$H$29,IF(E1391="HI",2,IF(E1391="LO",6,10))+IF(T1391=1,2,IF(D1391=7,1,(IF(WEEKDAY(B1391)=1,2,IF(WEEKDAY(B1391)=7,1,0))))))</f>
        <v>1</v>
      </c>
    </row>
    <row r="1392" spans="2:22">
      <c r="B1392" s="318">
        <f t="shared" si="87"/>
        <v>46170</v>
      </c>
      <c r="C1392" s="312">
        <v>20</v>
      </c>
      <c r="D1392" s="368">
        <f>IFERROR((INDEX(METADATA!$T$2:$T$20,MATCH(B1392,METADATA!$S$2:$S$20,0))),0)</f>
        <v>0</v>
      </c>
      <c r="E1392" s="312" t="str">
        <f t="shared" si="84"/>
        <v>LO</v>
      </c>
      <c r="F1392" s="369">
        <f>VLOOKUP(C1392,METADATA!$A$5:$H$29,IF(E1392="HI",2,IF(E1392="LO",6,10))+IF(D1392=1,2,IF(D1392=7,1,(IF(WEEKDAY(B1392)=1,2,IF(WEEKDAY(B1392)=7,1,0))))))</f>
        <v>1</v>
      </c>
      <c r="G1392" s="369">
        <f>VLOOKUP(C1392,METADATA!$J$5:$Q$29,IF(E1392="HI",2,IF(E1392="LO",6,10))+IF(D1392=1,2,IF(D1392=7,1,(IF(WEEKDAY(B1392)=1,2,IF(WEEKDAY(B1392)=7,1,0))))))</f>
        <v>1</v>
      </c>
      <c r="H1392" s="370">
        <v>13642.214965820313</v>
      </c>
      <c r="I1392" s="370">
        <v>1854.0950393676758</v>
      </c>
      <c r="M1392" s="371">
        <f t="shared" si="85"/>
        <v>13767.632243369211</v>
      </c>
      <c r="N1392" s="329">
        <f t="shared" si="86"/>
        <v>0</v>
      </c>
      <c r="T1392" s="331">
        <v>0</v>
      </c>
      <c r="U1392" s="328">
        <f>VLOOKUP(C1392,METADATA!$J$5:$Q$29,IF(E1392="HI",2,IF(E1392="LO",6,10))+IF(T1392=1,2,IF(D1392=7,1,(IF(WEEKDAY(B1392)=1,2,IF(WEEKDAY(B1392)=7,1,0))))))</f>
        <v>1</v>
      </c>
      <c r="V1392" s="328">
        <f>VLOOKUP(C1392,METADATA!$A$5:$H$29,IF(E1392="HI",2,IF(E1392="LO",6,10))+IF(T1392=1,2,IF(D1392=7,1,(IF(WEEKDAY(B1392)=1,2,IF(WEEKDAY(B1392)=7,1,0))))))</f>
        <v>1</v>
      </c>
    </row>
    <row r="1393" spans="2:22">
      <c r="B1393" s="318">
        <f t="shared" si="87"/>
        <v>46170</v>
      </c>
      <c r="C1393" s="312">
        <v>21</v>
      </c>
      <c r="D1393" s="368">
        <f>IFERROR((INDEX(METADATA!$T$2:$T$20,MATCH(B1393,METADATA!$S$2:$S$20,0))),0)</f>
        <v>0</v>
      </c>
      <c r="E1393" s="312" t="str">
        <f t="shared" si="84"/>
        <v>LO</v>
      </c>
      <c r="F1393" s="369">
        <f>VLOOKUP(C1393,METADATA!$A$5:$H$29,IF(E1393="HI",2,IF(E1393="LO",6,10))+IF(D1393=1,2,IF(D1393=7,1,(IF(WEEKDAY(B1393)=1,2,IF(WEEKDAY(B1393)=7,1,0))))))</f>
        <v>2</v>
      </c>
      <c r="G1393" s="369">
        <f>VLOOKUP(C1393,METADATA!$J$5:$Q$29,IF(E1393="HI",2,IF(E1393="LO",6,10))+IF(D1393=1,2,IF(D1393=7,1,(IF(WEEKDAY(B1393)=1,2,IF(WEEKDAY(B1393)=7,1,0))))))</f>
        <v>2</v>
      </c>
      <c r="H1393" s="370">
        <v>13716.499755859375</v>
      </c>
      <c r="I1393" s="370">
        <v>1824.9625091552734</v>
      </c>
      <c r="M1393" s="371">
        <f t="shared" si="85"/>
        <v>13837.371633092485</v>
      </c>
      <c r="N1393" s="329">
        <f t="shared" si="86"/>
        <v>0</v>
      </c>
      <c r="T1393" s="331">
        <v>0</v>
      </c>
      <c r="U1393" s="328">
        <f>VLOOKUP(C1393,METADATA!$J$5:$Q$29,IF(E1393="HI",2,IF(E1393="LO",6,10))+IF(T1393=1,2,IF(D1393=7,1,(IF(WEEKDAY(B1393)=1,2,IF(WEEKDAY(B1393)=7,1,0))))))</f>
        <v>2</v>
      </c>
      <c r="V1393" s="328">
        <f>VLOOKUP(C1393,METADATA!$A$5:$H$29,IF(E1393="HI",2,IF(E1393="LO",6,10))+IF(T1393=1,2,IF(D1393=7,1,(IF(WEEKDAY(B1393)=1,2,IF(WEEKDAY(B1393)=7,1,0))))))</f>
        <v>2</v>
      </c>
    </row>
    <row r="1394" spans="2:22">
      <c r="B1394" s="318">
        <f t="shared" si="87"/>
        <v>46170</v>
      </c>
      <c r="C1394" s="312">
        <v>22</v>
      </c>
      <c r="D1394" s="368">
        <f>IFERROR((INDEX(METADATA!$T$2:$T$20,MATCH(B1394,METADATA!$S$2:$S$20,0))),0)</f>
        <v>0</v>
      </c>
      <c r="E1394" s="312" t="str">
        <f t="shared" si="84"/>
        <v>LO</v>
      </c>
      <c r="F1394" s="369">
        <f>VLOOKUP(C1394,METADATA!$A$5:$H$29,IF(E1394="HI",2,IF(E1394="LO",6,10))+IF(D1394=1,2,IF(D1394=7,1,(IF(WEEKDAY(B1394)=1,2,IF(WEEKDAY(B1394)=7,1,0))))))</f>
        <v>3</v>
      </c>
      <c r="G1394" s="369">
        <f>VLOOKUP(C1394,METADATA!$J$5:$Q$29,IF(E1394="HI",2,IF(E1394="LO",6,10))+IF(D1394=1,2,IF(D1394=7,1,(IF(WEEKDAY(B1394)=1,2,IF(WEEKDAY(B1394)=7,1,0))))))</f>
        <v>3</v>
      </c>
      <c r="H1394" s="370">
        <v>13600.049377441406</v>
      </c>
      <c r="I1394" s="370">
        <v>1876.2949676513672</v>
      </c>
      <c r="M1394" s="371">
        <f t="shared" si="85"/>
        <v>13728.868339177787</v>
      </c>
      <c r="N1394" s="329">
        <f t="shared" si="86"/>
        <v>0</v>
      </c>
      <c r="T1394" s="331">
        <v>0</v>
      </c>
      <c r="U1394" s="328">
        <f>VLOOKUP(C1394,METADATA!$J$5:$Q$29,IF(E1394="HI",2,IF(E1394="LO",6,10))+IF(T1394=1,2,IF(D1394=7,1,(IF(WEEKDAY(B1394)=1,2,IF(WEEKDAY(B1394)=7,1,0))))))</f>
        <v>3</v>
      </c>
      <c r="V1394" s="328">
        <f>VLOOKUP(C1394,METADATA!$A$5:$H$29,IF(E1394="HI",2,IF(E1394="LO",6,10))+IF(T1394=1,2,IF(D1394=7,1,(IF(WEEKDAY(B1394)=1,2,IF(WEEKDAY(B1394)=7,1,0))))))</f>
        <v>3</v>
      </c>
    </row>
    <row r="1395" spans="2:22">
      <c r="B1395" s="318">
        <f t="shared" si="87"/>
        <v>46170</v>
      </c>
      <c r="C1395" s="312">
        <v>23</v>
      </c>
      <c r="D1395" s="368">
        <f>IFERROR((INDEX(METADATA!$T$2:$T$20,MATCH(B1395,METADATA!$S$2:$S$20,0))),0)</f>
        <v>0</v>
      </c>
      <c r="E1395" s="312" t="str">
        <f t="shared" si="84"/>
        <v>LO</v>
      </c>
      <c r="F1395" s="369">
        <f>VLOOKUP(C1395,METADATA!$A$5:$H$29,IF(E1395="HI",2,IF(E1395="LO",6,10))+IF(D1395=1,2,IF(D1395=7,1,(IF(WEEKDAY(B1395)=1,2,IF(WEEKDAY(B1395)=7,1,0))))))</f>
        <v>3</v>
      </c>
      <c r="G1395" s="369">
        <f>VLOOKUP(C1395,METADATA!$J$5:$Q$29,IF(E1395="HI",2,IF(E1395="LO",6,10))+IF(D1395=1,2,IF(D1395=7,1,(IF(WEEKDAY(B1395)=1,2,IF(WEEKDAY(B1395)=7,1,0))))))</f>
        <v>3</v>
      </c>
      <c r="H1395" s="370">
        <v>13473.864562988281</v>
      </c>
      <c r="I1395" s="370">
        <v>1834.2224731445313</v>
      </c>
      <c r="M1395" s="371">
        <f t="shared" si="85"/>
        <v>13598.139517696523</v>
      </c>
      <c r="N1395" s="329">
        <f t="shared" si="86"/>
        <v>0</v>
      </c>
      <c r="T1395" s="331">
        <v>0</v>
      </c>
      <c r="U1395" s="328">
        <f>VLOOKUP(C1395,METADATA!$J$5:$Q$29,IF(E1395="HI",2,IF(E1395="LO",6,10))+IF(T1395=1,2,IF(D1395=7,1,(IF(WEEKDAY(B1395)=1,2,IF(WEEKDAY(B1395)=7,1,0))))))</f>
        <v>3</v>
      </c>
      <c r="V1395" s="328">
        <f>VLOOKUP(C1395,METADATA!$A$5:$H$29,IF(E1395="HI",2,IF(E1395="LO",6,10))+IF(T1395=1,2,IF(D1395=7,1,(IF(WEEKDAY(B1395)=1,2,IF(WEEKDAY(B1395)=7,1,0))))))</f>
        <v>3</v>
      </c>
    </row>
    <row r="1396" spans="2:22">
      <c r="B1396" s="318">
        <f t="shared" si="87"/>
        <v>46171</v>
      </c>
      <c r="C1396" s="312">
        <v>0</v>
      </c>
      <c r="D1396" s="368">
        <f>IFERROR((INDEX(METADATA!$T$2:$T$20,MATCH(B1396,METADATA!$S$2:$S$20,0))),0)</f>
        <v>0</v>
      </c>
      <c r="E1396" s="312" t="str">
        <f t="shared" si="84"/>
        <v>LO</v>
      </c>
      <c r="F1396" s="369">
        <f>VLOOKUP(C1396,METADATA!$A$5:$H$29,IF(E1396="HI",2,IF(E1396="LO",6,10))+IF(D1396=1,2,IF(D1396=7,1,(IF(WEEKDAY(B1396)=1,2,IF(WEEKDAY(B1396)=7,1,0))))))</f>
        <v>3</v>
      </c>
      <c r="G1396" s="369">
        <f>VLOOKUP(C1396,METADATA!$J$5:$Q$29,IF(E1396="HI",2,IF(E1396="LO",6,10))+IF(D1396=1,2,IF(D1396=7,1,(IF(WEEKDAY(B1396)=1,2,IF(WEEKDAY(B1396)=7,1,0))))))</f>
        <v>3</v>
      </c>
      <c r="H1396" s="370">
        <v>13511.730102539063</v>
      </c>
      <c r="I1396" s="370">
        <v>1875.9599838256836</v>
      </c>
      <c r="M1396" s="371">
        <f t="shared" si="85"/>
        <v>13641.337039483173</v>
      </c>
      <c r="N1396" s="329">
        <f t="shared" si="86"/>
        <v>0</v>
      </c>
      <c r="T1396" s="331">
        <v>0</v>
      </c>
      <c r="U1396" s="328">
        <f>VLOOKUP(C1396,METADATA!$J$5:$Q$29,IF(E1396="HI",2,IF(E1396="LO",6,10))+IF(T1396=1,2,IF(D1396=7,1,(IF(WEEKDAY(B1396)=1,2,IF(WEEKDAY(B1396)=7,1,0))))))</f>
        <v>3</v>
      </c>
      <c r="V1396" s="328">
        <f>VLOOKUP(C1396,METADATA!$A$5:$H$29,IF(E1396="HI",2,IF(E1396="LO",6,10))+IF(T1396=1,2,IF(D1396=7,1,(IF(WEEKDAY(B1396)=1,2,IF(WEEKDAY(B1396)=7,1,0))))))</f>
        <v>3</v>
      </c>
    </row>
    <row r="1397" spans="2:22">
      <c r="B1397" s="318">
        <f t="shared" si="87"/>
        <v>46171</v>
      </c>
      <c r="C1397" s="312">
        <v>1</v>
      </c>
      <c r="D1397" s="368">
        <f>IFERROR((INDEX(METADATA!$T$2:$T$20,MATCH(B1397,METADATA!$S$2:$S$20,0))),0)</f>
        <v>0</v>
      </c>
      <c r="E1397" s="312" t="str">
        <f t="shared" si="84"/>
        <v>LO</v>
      </c>
      <c r="F1397" s="369">
        <f>VLOOKUP(C1397,METADATA!$A$5:$H$29,IF(E1397="HI",2,IF(E1397="LO",6,10))+IF(D1397=1,2,IF(D1397=7,1,(IF(WEEKDAY(B1397)=1,2,IF(WEEKDAY(B1397)=7,1,0))))))</f>
        <v>3</v>
      </c>
      <c r="G1397" s="369">
        <f>VLOOKUP(C1397,METADATA!$J$5:$Q$29,IF(E1397="HI",2,IF(E1397="LO",6,10))+IF(D1397=1,2,IF(D1397=7,1,(IF(WEEKDAY(B1397)=1,2,IF(WEEKDAY(B1397)=7,1,0))))))</f>
        <v>3</v>
      </c>
      <c r="H1397" s="370">
        <v>13496.514587402344</v>
      </c>
      <c r="I1397" s="370">
        <v>1861.10498046875</v>
      </c>
      <c r="M1397" s="371">
        <f t="shared" si="85"/>
        <v>13624.229070163561</v>
      </c>
      <c r="N1397" s="329">
        <f t="shared" si="86"/>
        <v>0</v>
      </c>
      <c r="T1397" s="331">
        <v>0</v>
      </c>
      <c r="U1397" s="328">
        <f>VLOOKUP(C1397,METADATA!$J$5:$Q$29,IF(E1397="HI",2,IF(E1397="LO",6,10))+IF(T1397=1,2,IF(D1397=7,1,(IF(WEEKDAY(B1397)=1,2,IF(WEEKDAY(B1397)=7,1,0))))))</f>
        <v>3</v>
      </c>
      <c r="V1397" s="328">
        <f>VLOOKUP(C1397,METADATA!$A$5:$H$29,IF(E1397="HI",2,IF(E1397="LO",6,10))+IF(T1397=1,2,IF(D1397=7,1,(IF(WEEKDAY(B1397)=1,2,IF(WEEKDAY(B1397)=7,1,0))))))</f>
        <v>3</v>
      </c>
    </row>
    <row r="1398" spans="2:22">
      <c r="B1398" s="318">
        <f t="shared" si="87"/>
        <v>46171</v>
      </c>
      <c r="C1398" s="312">
        <v>2</v>
      </c>
      <c r="D1398" s="368">
        <f>IFERROR((INDEX(METADATA!$T$2:$T$20,MATCH(B1398,METADATA!$S$2:$S$20,0))),0)</f>
        <v>0</v>
      </c>
      <c r="E1398" s="312" t="str">
        <f t="shared" si="84"/>
        <v>LO</v>
      </c>
      <c r="F1398" s="369">
        <f>VLOOKUP(C1398,METADATA!$A$5:$H$29,IF(E1398="HI",2,IF(E1398="LO",6,10))+IF(D1398=1,2,IF(D1398=7,1,(IF(WEEKDAY(B1398)=1,2,IF(WEEKDAY(B1398)=7,1,0))))))</f>
        <v>3</v>
      </c>
      <c r="G1398" s="369">
        <f>VLOOKUP(C1398,METADATA!$J$5:$Q$29,IF(E1398="HI",2,IF(E1398="LO",6,10))+IF(D1398=1,2,IF(D1398=7,1,(IF(WEEKDAY(B1398)=1,2,IF(WEEKDAY(B1398)=7,1,0))))))</f>
        <v>3</v>
      </c>
      <c r="H1398" s="370">
        <v>13510.459594726563</v>
      </c>
      <c r="I1398" s="370">
        <v>1888.2249603271484</v>
      </c>
      <c r="M1398" s="371">
        <f t="shared" si="85"/>
        <v>13641.770851379284</v>
      </c>
      <c r="N1398" s="329">
        <f t="shared" si="86"/>
        <v>0</v>
      </c>
      <c r="T1398" s="331">
        <v>0</v>
      </c>
      <c r="U1398" s="328">
        <f>VLOOKUP(C1398,METADATA!$J$5:$Q$29,IF(E1398="HI",2,IF(E1398="LO",6,10))+IF(T1398=1,2,IF(D1398=7,1,(IF(WEEKDAY(B1398)=1,2,IF(WEEKDAY(B1398)=7,1,0))))))</f>
        <v>3</v>
      </c>
      <c r="V1398" s="328">
        <f>VLOOKUP(C1398,METADATA!$A$5:$H$29,IF(E1398="HI",2,IF(E1398="LO",6,10))+IF(T1398=1,2,IF(D1398=7,1,(IF(WEEKDAY(B1398)=1,2,IF(WEEKDAY(B1398)=7,1,0))))))</f>
        <v>3</v>
      </c>
    </row>
    <row r="1399" spans="2:22">
      <c r="B1399" s="318">
        <f t="shared" si="87"/>
        <v>46171</v>
      </c>
      <c r="C1399" s="312">
        <v>3</v>
      </c>
      <c r="D1399" s="368">
        <f>IFERROR((INDEX(METADATA!$T$2:$T$20,MATCH(B1399,METADATA!$S$2:$S$20,0))),0)</f>
        <v>0</v>
      </c>
      <c r="E1399" s="312" t="str">
        <f t="shared" si="84"/>
        <v>LO</v>
      </c>
      <c r="F1399" s="369">
        <f>VLOOKUP(C1399,METADATA!$A$5:$H$29,IF(E1399="HI",2,IF(E1399="LO",6,10))+IF(D1399=1,2,IF(D1399=7,1,(IF(WEEKDAY(B1399)=1,2,IF(WEEKDAY(B1399)=7,1,0))))))</f>
        <v>3</v>
      </c>
      <c r="G1399" s="369">
        <f>VLOOKUP(C1399,METADATA!$J$5:$Q$29,IF(E1399="HI",2,IF(E1399="LO",6,10))+IF(D1399=1,2,IF(D1399=7,1,(IF(WEEKDAY(B1399)=1,2,IF(WEEKDAY(B1399)=7,1,0))))))</f>
        <v>3</v>
      </c>
      <c r="H1399" s="370">
        <v>13458.33544921875</v>
      </c>
      <c r="I1399" s="370">
        <v>1902.385009765625</v>
      </c>
      <c r="M1399" s="371">
        <f t="shared" si="85"/>
        <v>13592.124991666278</v>
      </c>
      <c r="N1399" s="329">
        <f t="shared" si="86"/>
        <v>0</v>
      </c>
      <c r="T1399" s="331">
        <v>0</v>
      </c>
      <c r="U1399" s="328">
        <f>VLOOKUP(C1399,METADATA!$J$5:$Q$29,IF(E1399="HI",2,IF(E1399="LO",6,10))+IF(T1399=1,2,IF(D1399=7,1,(IF(WEEKDAY(B1399)=1,2,IF(WEEKDAY(B1399)=7,1,0))))))</f>
        <v>3</v>
      </c>
      <c r="V1399" s="328">
        <f>VLOOKUP(C1399,METADATA!$A$5:$H$29,IF(E1399="HI",2,IF(E1399="LO",6,10))+IF(T1399=1,2,IF(D1399=7,1,(IF(WEEKDAY(B1399)=1,2,IF(WEEKDAY(B1399)=7,1,0))))))</f>
        <v>3</v>
      </c>
    </row>
    <row r="1400" spans="2:22">
      <c r="B1400" s="318">
        <f t="shared" si="87"/>
        <v>46171</v>
      </c>
      <c r="C1400" s="312">
        <v>4</v>
      </c>
      <c r="D1400" s="368">
        <f>IFERROR((INDEX(METADATA!$T$2:$T$20,MATCH(B1400,METADATA!$S$2:$S$20,0))),0)</f>
        <v>0</v>
      </c>
      <c r="E1400" s="312" t="str">
        <f t="shared" si="84"/>
        <v>LO</v>
      </c>
      <c r="F1400" s="369">
        <f>VLOOKUP(C1400,METADATA!$A$5:$H$29,IF(E1400="HI",2,IF(E1400="LO",6,10))+IF(D1400=1,2,IF(D1400=7,1,(IF(WEEKDAY(B1400)=1,2,IF(WEEKDAY(B1400)=7,1,0))))))</f>
        <v>3</v>
      </c>
      <c r="G1400" s="369">
        <f>VLOOKUP(C1400,METADATA!$J$5:$Q$29,IF(E1400="HI",2,IF(E1400="LO",6,10))+IF(D1400=1,2,IF(D1400=7,1,(IF(WEEKDAY(B1400)=1,2,IF(WEEKDAY(B1400)=7,1,0))))))</f>
        <v>3</v>
      </c>
      <c r="H1400" s="370">
        <v>13362.149475097656</v>
      </c>
      <c r="I1400" s="370">
        <v>1933.9199752807617</v>
      </c>
      <c r="M1400" s="371">
        <f t="shared" si="85"/>
        <v>13501.373451084246</v>
      </c>
      <c r="N1400" s="329">
        <f t="shared" si="86"/>
        <v>0</v>
      </c>
      <c r="T1400" s="331">
        <v>0</v>
      </c>
      <c r="U1400" s="328">
        <f>VLOOKUP(C1400,METADATA!$J$5:$Q$29,IF(E1400="HI",2,IF(E1400="LO",6,10))+IF(T1400=1,2,IF(D1400=7,1,(IF(WEEKDAY(B1400)=1,2,IF(WEEKDAY(B1400)=7,1,0))))))</f>
        <v>3</v>
      </c>
      <c r="V1400" s="328">
        <f>VLOOKUP(C1400,METADATA!$A$5:$H$29,IF(E1400="HI",2,IF(E1400="LO",6,10))+IF(T1400=1,2,IF(D1400=7,1,(IF(WEEKDAY(B1400)=1,2,IF(WEEKDAY(B1400)=7,1,0))))))</f>
        <v>3</v>
      </c>
    </row>
    <row r="1401" spans="2:22">
      <c r="B1401" s="318">
        <f t="shared" si="87"/>
        <v>46171</v>
      </c>
      <c r="C1401" s="312">
        <v>5</v>
      </c>
      <c r="D1401" s="368">
        <f>IFERROR((INDEX(METADATA!$T$2:$T$20,MATCH(B1401,METADATA!$S$2:$S$20,0))),0)</f>
        <v>0</v>
      </c>
      <c r="E1401" s="312" t="str">
        <f t="shared" si="84"/>
        <v>LO</v>
      </c>
      <c r="F1401" s="369">
        <f>VLOOKUP(C1401,METADATA!$A$5:$H$29,IF(E1401="HI",2,IF(E1401="LO",6,10))+IF(D1401=1,2,IF(D1401=7,1,(IF(WEEKDAY(B1401)=1,2,IF(WEEKDAY(B1401)=7,1,0))))))</f>
        <v>3</v>
      </c>
      <c r="G1401" s="369">
        <f>VLOOKUP(C1401,METADATA!$J$5:$Q$29,IF(E1401="HI",2,IF(E1401="LO",6,10))+IF(D1401=1,2,IF(D1401=7,1,(IF(WEEKDAY(B1401)=1,2,IF(WEEKDAY(B1401)=7,1,0))))))</f>
        <v>3</v>
      </c>
      <c r="H1401" s="370">
        <v>12609.955322265625</v>
      </c>
      <c r="I1401" s="370">
        <v>1733.2325325012207</v>
      </c>
      <c r="M1401" s="371">
        <f t="shared" si="85"/>
        <v>12728.51398401462</v>
      </c>
      <c r="N1401" s="329">
        <f t="shared" si="86"/>
        <v>0</v>
      </c>
      <c r="T1401" s="331">
        <v>0</v>
      </c>
      <c r="U1401" s="328">
        <f>VLOOKUP(C1401,METADATA!$J$5:$Q$29,IF(E1401="HI",2,IF(E1401="LO",6,10))+IF(T1401=1,2,IF(D1401=7,1,(IF(WEEKDAY(B1401)=1,2,IF(WEEKDAY(B1401)=7,1,0))))))</f>
        <v>3</v>
      </c>
      <c r="V1401" s="328">
        <f>VLOOKUP(C1401,METADATA!$A$5:$H$29,IF(E1401="HI",2,IF(E1401="LO",6,10))+IF(T1401=1,2,IF(D1401=7,1,(IF(WEEKDAY(B1401)=1,2,IF(WEEKDAY(B1401)=7,1,0))))))</f>
        <v>3</v>
      </c>
    </row>
    <row r="1402" spans="2:22">
      <c r="B1402" s="318">
        <f t="shared" si="87"/>
        <v>46171</v>
      </c>
      <c r="C1402" s="312">
        <v>6</v>
      </c>
      <c r="D1402" s="368">
        <f>IFERROR((INDEX(METADATA!$T$2:$T$20,MATCH(B1402,METADATA!$S$2:$S$20,0))),0)</f>
        <v>0</v>
      </c>
      <c r="E1402" s="312" t="str">
        <f t="shared" si="84"/>
        <v>LO</v>
      </c>
      <c r="F1402" s="369">
        <f>VLOOKUP(C1402,METADATA!$A$5:$H$29,IF(E1402="HI",2,IF(E1402="LO",6,10))+IF(D1402=1,2,IF(D1402=7,1,(IF(WEEKDAY(B1402)=1,2,IF(WEEKDAY(B1402)=7,1,0))))))</f>
        <v>2</v>
      </c>
      <c r="G1402" s="369">
        <f>VLOOKUP(C1402,METADATA!$J$5:$Q$29,IF(E1402="HI",2,IF(E1402="LO",6,10))+IF(D1402=1,2,IF(D1402=7,1,(IF(WEEKDAY(B1402)=1,2,IF(WEEKDAY(B1402)=7,1,0))))))</f>
        <v>2</v>
      </c>
      <c r="H1402" s="370">
        <v>11722.717468261719</v>
      </c>
      <c r="I1402" s="370">
        <v>1662.719970703125</v>
      </c>
      <c r="M1402" s="371">
        <f t="shared" si="85"/>
        <v>11840.048249127341</v>
      </c>
      <c r="N1402" s="329">
        <f t="shared" si="86"/>
        <v>0</v>
      </c>
      <c r="T1402" s="331">
        <v>0</v>
      </c>
      <c r="U1402" s="328">
        <f>VLOOKUP(C1402,METADATA!$J$5:$Q$29,IF(E1402="HI",2,IF(E1402="LO",6,10))+IF(T1402=1,2,IF(D1402=7,1,(IF(WEEKDAY(B1402)=1,2,IF(WEEKDAY(B1402)=7,1,0))))))</f>
        <v>2</v>
      </c>
      <c r="V1402" s="328">
        <f>VLOOKUP(C1402,METADATA!$A$5:$H$29,IF(E1402="HI",2,IF(E1402="LO",6,10))+IF(T1402=1,2,IF(D1402=7,1,(IF(WEEKDAY(B1402)=1,2,IF(WEEKDAY(B1402)=7,1,0))))))</f>
        <v>2</v>
      </c>
    </row>
    <row r="1403" spans="2:22">
      <c r="B1403" s="318">
        <f t="shared" si="87"/>
        <v>46171</v>
      </c>
      <c r="C1403" s="312">
        <v>7</v>
      </c>
      <c r="D1403" s="368">
        <f>IFERROR((INDEX(METADATA!$T$2:$T$20,MATCH(B1403,METADATA!$S$2:$S$20,0))),0)</f>
        <v>0</v>
      </c>
      <c r="E1403" s="312" t="str">
        <f t="shared" si="84"/>
        <v>LO</v>
      </c>
      <c r="F1403" s="369">
        <f>VLOOKUP(C1403,METADATA!$A$5:$H$29,IF(E1403="HI",2,IF(E1403="LO",6,10))+IF(D1403=1,2,IF(D1403=7,1,(IF(WEEKDAY(B1403)=1,2,IF(WEEKDAY(B1403)=7,1,0))))))</f>
        <v>1</v>
      </c>
      <c r="G1403" s="369">
        <f>VLOOKUP(C1403,METADATA!$J$5:$Q$29,IF(E1403="HI",2,IF(E1403="LO",6,10))+IF(D1403=1,2,IF(D1403=7,1,(IF(WEEKDAY(B1403)=1,2,IF(WEEKDAY(B1403)=7,1,0))))))</f>
        <v>1</v>
      </c>
      <c r="H1403" s="370">
        <v>13426.750122070313</v>
      </c>
      <c r="I1403" s="370">
        <v>1794.1914777159691</v>
      </c>
      <c r="M1403" s="371">
        <f t="shared" si="85"/>
        <v>13546.096924916186</v>
      </c>
      <c r="N1403" s="329">
        <f t="shared" si="86"/>
        <v>0</v>
      </c>
      <c r="T1403" s="331">
        <v>0</v>
      </c>
      <c r="U1403" s="328">
        <f>VLOOKUP(C1403,METADATA!$J$5:$Q$29,IF(E1403="HI",2,IF(E1403="LO",6,10))+IF(T1403=1,2,IF(D1403=7,1,(IF(WEEKDAY(B1403)=1,2,IF(WEEKDAY(B1403)=7,1,0))))))</f>
        <v>1</v>
      </c>
      <c r="V1403" s="328">
        <f>VLOOKUP(C1403,METADATA!$A$5:$H$29,IF(E1403="HI",2,IF(E1403="LO",6,10))+IF(T1403=1,2,IF(D1403=7,1,(IF(WEEKDAY(B1403)=1,2,IF(WEEKDAY(B1403)=7,1,0))))))</f>
        <v>1</v>
      </c>
    </row>
    <row r="1404" spans="2:22">
      <c r="B1404" s="318">
        <f t="shared" si="87"/>
        <v>46171</v>
      </c>
      <c r="C1404" s="312">
        <v>8</v>
      </c>
      <c r="D1404" s="368">
        <f>IFERROR((INDEX(METADATA!$T$2:$T$20,MATCH(B1404,METADATA!$S$2:$S$20,0))),0)</f>
        <v>0</v>
      </c>
      <c r="E1404" s="312" t="str">
        <f t="shared" si="84"/>
        <v>LO</v>
      </c>
      <c r="F1404" s="369">
        <f>VLOOKUP(C1404,METADATA!$A$5:$H$29,IF(E1404="HI",2,IF(E1404="LO",6,10))+IF(D1404=1,2,IF(D1404=7,1,(IF(WEEKDAY(B1404)=1,2,IF(WEEKDAY(B1404)=7,1,0))))))</f>
        <v>1</v>
      </c>
      <c r="G1404" s="369">
        <f>VLOOKUP(C1404,METADATA!$J$5:$Q$29,IF(E1404="HI",2,IF(E1404="LO",6,10))+IF(D1404=1,2,IF(D1404=7,1,(IF(WEEKDAY(B1404)=1,2,IF(WEEKDAY(B1404)=7,1,0))))))</f>
        <v>1</v>
      </c>
      <c r="H1404" s="370">
        <v>13505.130004882813</v>
      </c>
      <c r="I1404" s="370">
        <v>1738.8000183105469</v>
      </c>
      <c r="M1404" s="371">
        <f t="shared" si="85"/>
        <v>13616.606109910897</v>
      </c>
      <c r="N1404" s="329">
        <f t="shared" si="86"/>
        <v>0</v>
      </c>
      <c r="T1404" s="331">
        <v>0</v>
      </c>
      <c r="U1404" s="328">
        <f>VLOOKUP(C1404,METADATA!$J$5:$Q$29,IF(E1404="HI",2,IF(E1404="LO",6,10))+IF(T1404=1,2,IF(D1404=7,1,(IF(WEEKDAY(B1404)=1,2,IF(WEEKDAY(B1404)=7,1,0))))))</f>
        <v>1</v>
      </c>
      <c r="V1404" s="328">
        <f>VLOOKUP(C1404,METADATA!$A$5:$H$29,IF(E1404="HI",2,IF(E1404="LO",6,10))+IF(T1404=1,2,IF(D1404=7,1,(IF(WEEKDAY(B1404)=1,2,IF(WEEKDAY(B1404)=7,1,0))))))</f>
        <v>1</v>
      </c>
    </row>
    <row r="1405" spans="2:22">
      <c r="B1405" s="318">
        <f t="shared" si="87"/>
        <v>46171</v>
      </c>
      <c r="C1405" s="312">
        <v>9</v>
      </c>
      <c r="D1405" s="368">
        <f>IFERROR((INDEX(METADATA!$T$2:$T$20,MATCH(B1405,METADATA!$S$2:$S$20,0))),0)</f>
        <v>0</v>
      </c>
      <c r="E1405" s="312" t="str">
        <f t="shared" si="84"/>
        <v>LO</v>
      </c>
      <c r="F1405" s="369">
        <f>VLOOKUP(C1405,METADATA!$A$5:$H$29,IF(E1405="HI",2,IF(E1405="LO",6,10))+IF(D1405=1,2,IF(D1405=7,1,(IF(WEEKDAY(B1405)=1,2,IF(WEEKDAY(B1405)=7,1,0))))))</f>
        <v>2</v>
      </c>
      <c r="G1405" s="369">
        <f>VLOOKUP(C1405,METADATA!$J$5:$Q$29,IF(E1405="HI",2,IF(E1405="LO",6,10))+IF(D1405=1,2,IF(D1405=7,1,(IF(WEEKDAY(B1405)=1,2,IF(WEEKDAY(B1405)=7,1,0))))))</f>
        <v>2</v>
      </c>
      <c r="H1405" s="370">
        <v>13503.649475097656</v>
      </c>
      <c r="I1405" s="370">
        <v>1749.5524826049805</v>
      </c>
      <c r="M1405" s="371">
        <f t="shared" si="85"/>
        <v>13616.515084106302</v>
      </c>
      <c r="N1405" s="329">
        <f t="shared" si="86"/>
        <v>0</v>
      </c>
      <c r="T1405" s="331">
        <v>0</v>
      </c>
      <c r="U1405" s="328">
        <f>VLOOKUP(C1405,METADATA!$J$5:$Q$29,IF(E1405="HI",2,IF(E1405="LO",6,10))+IF(T1405=1,2,IF(D1405=7,1,(IF(WEEKDAY(B1405)=1,2,IF(WEEKDAY(B1405)=7,1,0))))))</f>
        <v>2</v>
      </c>
      <c r="V1405" s="328">
        <f>VLOOKUP(C1405,METADATA!$A$5:$H$29,IF(E1405="HI",2,IF(E1405="LO",6,10))+IF(T1405=1,2,IF(D1405=7,1,(IF(WEEKDAY(B1405)=1,2,IF(WEEKDAY(B1405)=7,1,0))))))</f>
        <v>2</v>
      </c>
    </row>
    <row r="1406" spans="2:22">
      <c r="B1406" s="318">
        <f t="shared" si="87"/>
        <v>46171</v>
      </c>
      <c r="C1406" s="312">
        <v>10</v>
      </c>
      <c r="D1406" s="368">
        <f>IFERROR((INDEX(METADATA!$T$2:$T$20,MATCH(B1406,METADATA!$S$2:$S$20,0))),0)</f>
        <v>0</v>
      </c>
      <c r="E1406" s="312" t="str">
        <f t="shared" si="84"/>
        <v>LO</v>
      </c>
      <c r="F1406" s="369">
        <f>VLOOKUP(C1406,METADATA!$A$5:$H$29,IF(E1406="HI",2,IF(E1406="LO",6,10))+IF(D1406=1,2,IF(D1406=7,1,(IF(WEEKDAY(B1406)=1,2,IF(WEEKDAY(B1406)=7,1,0))))))</f>
        <v>2</v>
      </c>
      <c r="G1406" s="369">
        <f>VLOOKUP(C1406,METADATA!$J$5:$Q$29,IF(E1406="HI",2,IF(E1406="LO",6,10))+IF(D1406=1,2,IF(D1406=7,1,(IF(WEEKDAY(B1406)=1,2,IF(WEEKDAY(B1406)=7,1,0))))))</f>
        <v>2</v>
      </c>
      <c r="H1406" s="370">
        <v>13474.445007324219</v>
      </c>
      <c r="I1406" s="370">
        <v>1804.5324859619141</v>
      </c>
      <c r="M1406" s="371">
        <f t="shared" si="85"/>
        <v>13594.741841914338</v>
      </c>
      <c r="N1406" s="329">
        <f t="shared" si="86"/>
        <v>0</v>
      </c>
      <c r="T1406" s="331">
        <v>0</v>
      </c>
      <c r="U1406" s="328">
        <f>VLOOKUP(C1406,METADATA!$J$5:$Q$29,IF(E1406="HI",2,IF(E1406="LO",6,10))+IF(T1406=1,2,IF(D1406=7,1,(IF(WEEKDAY(B1406)=1,2,IF(WEEKDAY(B1406)=7,1,0))))))</f>
        <v>2</v>
      </c>
      <c r="V1406" s="328">
        <f>VLOOKUP(C1406,METADATA!$A$5:$H$29,IF(E1406="HI",2,IF(E1406="LO",6,10))+IF(T1406=1,2,IF(D1406=7,1,(IF(WEEKDAY(B1406)=1,2,IF(WEEKDAY(B1406)=7,1,0))))))</f>
        <v>2</v>
      </c>
    </row>
    <row r="1407" spans="2:22">
      <c r="B1407" s="318">
        <f t="shared" si="87"/>
        <v>46171</v>
      </c>
      <c r="C1407" s="312">
        <v>11</v>
      </c>
      <c r="D1407" s="368">
        <f>IFERROR((INDEX(METADATA!$T$2:$T$20,MATCH(B1407,METADATA!$S$2:$S$20,0))),0)</f>
        <v>0</v>
      </c>
      <c r="E1407" s="312" t="str">
        <f t="shared" si="84"/>
        <v>LO</v>
      </c>
      <c r="F1407" s="369">
        <f>VLOOKUP(C1407,METADATA!$A$5:$H$29,IF(E1407="HI",2,IF(E1407="LO",6,10))+IF(D1407=1,2,IF(D1407=7,1,(IF(WEEKDAY(B1407)=1,2,IF(WEEKDAY(B1407)=7,1,0))))))</f>
        <v>2</v>
      </c>
      <c r="G1407" s="369">
        <f>VLOOKUP(C1407,METADATA!$J$5:$Q$29,IF(E1407="HI",2,IF(E1407="LO",6,10))+IF(D1407=1,2,IF(D1407=7,1,(IF(WEEKDAY(B1407)=1,2,IF(WEEKDAY(B1407)=7,1,0))))))</f>
        <v>2</v>
      </c>
      <c r="H1407" s="370">
        <v>13407.609924316406</v>
      </c>
      <c r="I1407" s="370">
        <v>1827.5775299072266</v>
      </c>
      <c r="M1407" s="371">
        <f t="shared" si="85"/>
        <v>13531.594270833337</v>
      </c>
      <c r="N1407" s="329">
        <f t="shared" si="86"/>
        <v>0</v>
      </c>
      <c r="T1407" s="331">
        <v>0</v>
      </c>
      <c r="U1407" s="328">
        <f>VLOOKUP(C1407,METADATA!$J$5:$Q$29,IF(E1407="HI",2,IF(E1407="LO",6,10))+IF(T1407=1,2,IF(D1407=7,1,(IF(WEEKDAY(B1407)=1,2,IF(WEEKDAY(B1407)=7,1,0))))))</f>
        <v>2</v>
      </c>
      <c r="V1407" s="328">
        <f>VLOOKUP(C1407,METADATA!$A$5:$H$29,IF(E1407="HI",2,IF(E1407="LO",6,10))+IF(T1407=1,2,IF(D1407=7,1,(IF(WEEKDAY(B1407)=1,2,IF(WEEKDAY(B1407)=7,1,0))))))</f>
        <v>2</v>
      </c>
    </row>
    <row r="1408" spans="2:22">
      <c r="B1408" s="318">
        <f t="shared" si="87"/>
        <v>46171</v>
      </c>
      <c r="C1408" s="312">
        <v>12</v>
      </c>
      <c r="D1408" s="368">
        <f>IFERROR((INDEX(METADATA!$T$2:$T$20,MATCH(B1408,METADATA!$S$2:$S$20,0))),0)</f>
        <v>0</v>
      </c>
      <c r="E1408" s="312" t="str">
        <f t="shared" si="84"/>
        <v>LO</v>
      </c>
      <c r="F1408" s="369">
        <f>VLOOKUP(C1408,METADATA!$A$5:$H$29,IF(E1408="HI",2,IF(E1408="LO",6,10))+IF(D1408=1,2,IF(D1408=7,1,(IF(WEEKDAY(B1408)=1,2,IF(WEEKDAY(B1408)=7,1,0))))))</f>
        <v>2</v>
      </c>
      <c r="G1408" s="369">
        <f>VLOOKUP(C1408,METADATA!$J$5:$Q$29,IF(E1408="HI",2,IF(E1408="LO",6,10))+IF(D1408=1,2,IF(D1408=7,1,(IF(WEEKDAY(B1408)=1,2,IF(WEEKDAY(B1408)=7,1,0))))))</f>
        <v>2</v>
      </c>
      <c r="H1408" s="370">
        <v>13233.4951171875</v>
      </c>
      <c r="I1408" s="370">
        <v>1829.6864575743675</v>
      </c>
      <c r="M1408" s="371">
        <f t="shared" si="85"/>
        <v>13359.384175539546</v>
      </c>
      <c r="N1408" s="329">
        <f t="shared" si="86"/>
        <v>0</v>
      </c>
      <c r="T1408" s="331">
        <v>0</v>
      </c>
      <c r="U1408" s="328">
        <f>VLOOKUP(C1408,METADATA!$J$5:$Q$29,IF(E1408="HI",2,IF(E1408="LO",6,10))+IF(T1408=1,2,IF(D1408=7,1,(IF(WEEKDAY(B1408)=1,2,IF(WEEKDAY(B1408)=7,1,0))))))</f>
        <v>2</v>
      </c>
      <c r="V1408" s="328">
        <f>VLOOKUP(C1408,METADATA!$A$5:$H$29,IF(E1408="HI",2,IF(E1408="LO",6,10))+IF(T1408=1,2,IF(D1408=7,1,(IF(WEEKDAY(B1408)=1,2,IF(WEEKDAY(B1408)=7,1,0))))))</f>
        <v>2</v>
      </c>
    </row>
    <row r="1409" spans="2:22">
      <c r="B1409" s="318">
        <f t="shared" si="87"/>
        <v>46171</v>
      </c>
      <c r="C1409" s="312">
        <v>13</v>
      </c>
      <c r="D1409" s="368">
        <f>IFERROR((INDEX(METADATA!$T$2:$T$20,MATCH(B1409,METADATA!$S$2:$S$20,0))),0)</f>
        <v>0</v>
      </c>
      <c r="E1409" s="312" t="str">
        <f t="shared" si="84"/>
        <v>LO</v>
      </c>
      <c r="F1409" s="369">
        <f>VLOOKUP(C1409,METADATA!$A$5:$H$29,IF(E1409="HI",2,IF(E1409="LO",6,10))+IF(D1409=1,2,IF(D1409=7,1,(IF(WEEKDAY(B1409)=1,2,IF(WEEKDAY(B1409)=7,1,0))))))</f>
        <v>2</v>
      </c>
      <c r="G1409" s="369">
        <f>VLOOKUP(C1409,METADATA!$J$5:$Q$29,IF(E1409="HI",2,IF(E1409="LO",6,10))+IF(D1409=1,2,IF(D1409=7,1,(IF(WEEKDAY(B1409)=1,2,IF(WEEKDAY(B1409)=7,1,0))))))</f>
        <v>2</v>
      </c>
      <c r="H1409" s="370">
        <v>13014.655212402344</v>
      </c>
      <c r="I1409" s="370">
        <v>1918.3924713134766</v>
      </c>
      <c r="M1409" s="371">
        <f t="shared" si="85"/>
        <v>13155.283348210471</v>
      </c>
      <c r="N1409" s="329">
        <f t="shared" si="86"/>
        <v>0</v>
      </c>
      <c r="T1409" s="331">
        <v>0</v>
      </c>
      <c r="U1409" s="328">
        <f>VLOOKUP(C1409,METADATA!$J$5:$Q$29,IF(E1409="HI",2,IF(E1409="LO",6,10))+IF(T1409=1,2,IF(D1409=7,1,(IF(WEEKDAY(B1409)=1,2,IF(WEEKDAY(B1409)=7,1,0))))))</f>
        <v>2</v>
      </c>
      <c r="V1409" s="328">
        <f>VLOOKUP(C1409,METADATA!$A$5:$H$29,IF(E1409="HI",2,IF(E1409="LO",6,10))+IF(T1409=1,2,IF(D1409=7,1,(IF(WEEKDAY(B1409)=1,2,IF(WEEKDAY(B1409)=7,1,0))))))</f>
        <v>2</v>
      </c>
    </row>
    <row r="1410" spans="2:22">
      <c r="B1410" s="318">
        <f t="shared" si="87"/>
        <v>46171</v>
      </c>
      <c r="C1410" s="312">
        <v>14</v>
      </c>
      <c r="D1410" s="368">
        <f>IFERROR((INDEX(METADATA!$T$2:$T$20,MATCH(B1410,METADATA!$S$2:$S$20,0))),0)</f>
        <v>0</v>
      </c>
      <c r="E1410" s="312" t="str">
        <f t="shared" si="84"/>
        <v>LO</v>
      </c>
      <c r="F1410" s="369">
        <f>VLOOKUP(C1410,METADATA!$A$5:$H$29,IF(E1410="HI",2,IF(E1410="LO",6,10))+IF(D1410=1,2,IF(D1410=7,1,(IF(WEEKDAY(B1410)=1,2,IF(WEEKDAY(B1410)=7,1,0))))))</f>
        <v>2</v>
      </c>
      <c r="G1410" s="369">
        <f>VLOOKUP(C1410,METADATA!$J$5:$Q$29,IF(E1410="HI",2,IF(E1410="LO",6,10))+IF(D1410=1,2,IF(D1410=7,1,(IF(WEEKDAY(B1410)=1,2,IF(WEEKDAY(B1410)=7,1,0))))))</f>
        <v>2</v>
      </c>
      <c r="H1410" s="370">
        <v>13084.224609375</v>
      </c>
      <c r="I1410" s="370">
        <v>1889.446459710598</v>
      </c>
      <c r="M1410" s="371">
        <f t="shared" si="85"/>
        <v>13219.944839245256</v>
      </c>
      <c r="N1410" s="329">
        <f t="shared" si="86"/>
        <v>0</v>
      </c>
      <c r="T1410" s="331">
        <v>0</v>
      </c>
      <c r="U1410" s="328">
        <f>VLOOKUP(C1410,METADATA!$J$5:$Q$29,IF(E1410="HI",2,IF(E1410="LO",6,10))+IF(T1410=1,2,IF(D1410=7,1,(IF(WEEKDAY(B1410)=1,2,IF(WEEKDAY(B1410)=7,1,0))))))</f>
        <v>2</v>
      </c>
      <c r="V1410" s="328">
        <f>VLOOKUP(C1410,METADATA!$A$5:$H$29,IF(E1410="HI",2,IF(E1410="LO",6,10))+IF(T1410=1,2,IF(D1410=7,1,(IF(WEEKDAY(B1410)=1,2,IF(WEEKDAY(B1410)=7,1,0))))))</f>
        <v>2</v>
      </c>
    </row>
    <row r="1411" spans="2:22">
      <c r="B1411" s="318">
        <f t="shared" si="87"/>
        <v>46171</v>
      </c>
      <c r="C1411" s="312">
        <v>15</v>
      </c>
      <c r="D1411" s="368">
        <f>IFERROR((INDEX(METADATA!$T$2:$T$20,MATCH(B1411,METADATA!$S$2:$S$20,0))),0)</f>
        <v>0</v>
      </c>
      <c r="E1411" s="312" t="str">
        <f t="shared" si="84"/>
        <v>LO</v>
      </c>
      <c r="F1411" s="369">
        <f>VLOOKUP(C1411,METADATA!$A$5:$H$29,IF(E1411="HI",2,IF(E1411="LO",6,10))+IF(D1411=1,2,IF(D1411=7,1,(IF(WEEKDAY(B1411)=1,2,IF(WEEKDAY(B1411)=7,1,0))))))</f>
        <v>2</v>
      </c>
      <c r="G1411" s="369">
        <f>VLOOKUP(C1411,METADATA!$J$5:$Q$29,IF(E1411="HI",2,IF(E1411="LO",6,10))+IF(D1411=1,2,IF(D1411=7,1,(IF(WEEKDAY(B1411)=1,2,IF(WEEKDAY(B1411)=7,1,0))))))</f>
        <v>2</v>
      </c>
      <c r="H1411" s="370">
        <v>13107.944946289063</v>
      </c>
      <c r="I1411" s="370">
        <v>1712.0654810667038</v>
      </c>
      <c r="M1411" s="371">
        <f t="shared" si="85"/>
        <v>13219.280953456022</v>
      </c>
      <c r="N1411" s="329">
        <f t="shared" si="86"/>
        <v>0</v>
      </c>
      <c r="T1411" s="331">
        <v>0</v>
      </c>
      <c r="U1411" s="328">
        <f>VLOOKUP(C1411,METADATA!$J$5:$Q$29,IF(E1411="HI",2,IF(E1411="LO",6,10))+IF(T1411=1,2,IF(D1411=7,1,(IF(WEEKDAY(B1411)=1,2,IF(WEEKDAY(B1411)=7,1,0))))))</f>
        <v>2</v>
      </c>
      <c r="V1411" s="328">
        <f>VLOOKUP(C1411,METADATA!$A$5:$H$29,IF(E1411="HI",2,IF(E1411="LO",6,10))+IF(T1411=1,2,IF(D1411=7,1,(IF(WEEKDAY(B1411)=1,2,IF(WEEKDAY(B1411)=7,1,0))))))</f>
        <v>2</v>
      </c>
    </row>
    <row r="1412" spans="2:22">
      <c r="B1412" s="318">
        <f t="shared" si="87"/>
        <v>46171</v>
      </c>
      <c r="C1412" s="312">
        <v>16</v>
      </c>
      <c r="D1412" s="368">
        <f>IFERROR((INDEX(METADATA!$T$2:$T$20,MATCH(B1412,METADATA!$S$2:$S$20,0))),0)</f>
        <v>0</v>
      </c>
      <c r="E1412" s="312" t="str">
        <f t="shared" ref="E1412:E1475" si="88">IF(B1412="","",IF(AND(MONTH(B1412)&gt;=MONTH($Z$9),MONTH(B1412)&lt;=MONTH($Z$11)),"HI","LO"))</f>
        <v>LO</v>
      </c>
      <c r="F1412" s="369">
        <f>VLOOKUP(C1412,METADATA!$A$5:$H$29,IF(E1412="HI",2,IF(E1412="LO",6,10))+IF(D1412=1,2,IF(D1412=7,1,(IF(WEEKDAY(B1412)=1,2,IF(WEEKDAY(B1412)=7,1,0))))))</f>
        <v>2</v>
      </c>
      <c r="G1412" s="369">
        <f>VLOOKUP(C1412,METADATA!$J$5:$Q$29,IF(E1412="HI",2,IF(E1412="LO",6,10))+IF(D1412=1,2,IF(D1412=7,1,(IF(WEEKDAY(B1412)=1,2,IF(WEEKDAY(B1412)=7,1,0))))))</f>
        <v>2</v>
      </c>
      <c r="H1412" s="370">
        <v>13616.339965820313</v>
      </c>
      <c r="I1412" s="370">
        <v>1781.4949798583984</v>
      </c>
      <c r="M1412" s="371">
        <f t="shared" ref="M1412:M1475" si="89">SQRT(H1412^2+I1412^2)</f>
        <v>13732.386479707604</v>
      </c>
      <c r="N1412" s="329">
        <f t="shared" ref="N1412:N1475" si="90">IF(H1412=0,0,(IF(I1412-(0.3*H1412)&lt;0,0,(I1412-(0.3*H1412)))))</f>
        <v>0</v>
      </c>
      <c r="T1412" s="331">
        <v>0</v>
      </c>
      <c r="U1412" s="328">
        <f>VLOOKUP(C1412,METADATA!$J$5:$Q$29,IF(E1412="HI",2,IF(E1412="LO",6,10))+IF(T1412=1,2,IF(D1412=7,1,(IF(WEEKDAY(B1412)=1,2,IF(WEEKDAY(B1412)=7,1,0))))))</f>
        <v>2</v>
      </c>
      <c r="V1412" s="328">
        <f>VLOOKUP(C1412,METADATA!$A$5:$H$29,IF(E1412="HI",2,IF(E1412="LO",6,10))+IF(T1412=1,2,IF(D1412=7,1,(IF(WEEKDAY(B1412)=1,2,IF(WEEKDAY(B1412)=7,1,0))))))</f>
        <v>2</v>
      </c>
    </row>
    <row r="1413" spans="2:22">
      <c r="B1413" s="318">
        <f t="shared" si="87"/>
        <v>46171</v>
      </c>
      <c r="C1413" s="312">
        <v>17</v>
      </c>
      <c r="D1413" s="368">
        <f>IFERROR((INDEX(METADATA!$T$2:$T$20,MATCH(B1413,METADATA!$S$2:$S$20,0))),0)</f>
        <v>0</v>
      </c>
      <c r="E1413" s="312" t="str">
        <f t="shared" si="88"/>
        <v>LO</v>
      </c>
      <c r="F1413" s="369">
        <f>VLOOKUP(C1413,METADATA!$A$5:$H$29,IF(E1413="HI",2,IF(E1413="LO",6,10))+IF(D1413=1,2,IF(D1413=7,1,(IF(WEEKDAY(B1413)=1,2,IF(WEEKDAY(B1413)=7,1,0))))))</f>
        <v>2</v>
      </c>
      <c r="G1413" s="369">
        <f>VLOOKUP(C1413,METADATA!$J$5:$Q$29,IF(E1413="HI",2,IF(E1413="LO",6,10))+IF(D1413=1,2,IF(D1413=7,1,(IF(WEEKDAY(B1413)=1,2,IF(WEEKDAY(B1413)=7,1,0))))))</f>
        <v>2</v>
      </c>
      <c r="H1413" s="370">
        <v>13458.040222167969</v>
      </c>
      <c r="I1413" s="370">
        <v>1536.7199859619141</v>
      </c>
      <c r="M1413" s="371">
        <f t="shared" si="89"/>
        <v>13545.492052219648</v>
      </c>
      <c r="N1413" s="329">
        <f t="shared" si="90"/>
        <v>0</v>
      </c>
      <c r="T1413" s="331">
        <v>0</v>
      </c>
      <c r="U1413" s="328">
        <f>VLOOKUP(C1413,METADATA!$J$5:$Q$29,IF(E1413="HI",2,IF(E1413="LO",6,10))+IF(T1413=1,2,IF(D1413=7,1,(IF(WEEKDAY(B1413)=1,2,IF(WEEKDAY(B1413)=7,1,0))))))</f>
        <v>2</v>
      </c>
      <c r="V1413" s="328">
        <f>VLOOKUP(C1413,METADATA!$A$5:$H$29,IF(E1413="HI",2,IF(E1413="LO",6,10))+IF(T1413=1,2,IF(D1413=7,1,(IF(WEEKDAY(B1413)=1,2,IF(WEEKDAY(B1413)=7,1,0))))))</f>
        <v>2</v>
      </c>
    </row>
    <row r="1414" spans="2:22">
      <c r="B1414" s="318">
        <f t="shared" si="87"/>
        <v>46171</v>
      </c>
      <c r="C1414" s="312">
        <v>18</v>
      </c>
      <c r="D1414" s="368">
        <f>IFERROR((INDEX(METADATA!$T$2:$T$20,MATCH(B1414,METADATA!$S$2:$S$20,0))),0)</f>
        <v>0</v>
      </c>
      <c r="E1414" s="312" t="str">
        <f t="shared" si="88"/>
        <v>LO</v>
      </c>
      <c r="F1414" s="369">
        <f>VLOOKUP(C1414,METADATA!$A$5:$H$29,IF(E1414="HI",2,IF(E1414="LO",6,10))+IF(D1414=1,2,IF(D1414=7,1,(IF(WEEKDAY(B1414)=1,2,IF(WEEKDAY(B1414)=7,1,0))))))</f>
        <v>1</v>
      </c>
      <c r="G1414" s="369">
        <f>VLOOKUP(C1414,METADATA!$J$5:$Q$29,IF(E1414="HI",2,IF(E1414="LO",6,10))+IF(D1414=1,2,IF(D1414=7,1,(IF(WEEKDAY(B1414)=1,2,IF(WEEKDAY(B1414)=7,1,0))))))</f>
        <v>1</v>
      </c>
      <c r="H1414" s="370">
        <v>13613.714904785156</v>
      </c>
      <c r="I1414" s="370">
        <v>1664.4974822998047</v>
      </c>
      <c r="M1414" s="371">
        <f t="shared" si="89"/>
        <v>13715.093341911746</v>
      </c>
      <c r="N1414" s="329">
        <f t="shared" si="90"/>
        <v>0</v>
      </c>
      <c r="T1414" s="331">
        <v>0</v>
      </c>
      <c r="U1414" s="328">
        <f>VLOOKUP(C1414,METADATA!$J$5:$Q$29,IF(E1414="HI",2,IF(E1414="LO",6,10))+IF(T1414=1,2,IF(D1414=7,1,(IF(WEEKDAY(B1414)=1,2,IF(WEEKDAY(B1414)=7,1,0))))))</f>
        <v>1</v>
      </c>
      <c r="V1414" s="328">
        <f>VLOOKUP(C1414,METADATA!$A$5:$H$29,IF(E1414="HI",2,IF(E1414="LO",6,10))+IF(T1414=1,2,IF(D1414=7,1,(IF(WEEKDAY(B1414)=1,2,IF(WEEKDAY(B1414)=7,1,0))))))</f>
        <v>1</v>
      </c>
    </row>
    <row r="1415" spans="2:22">
      <c r="B1415" s="318">
        <f t="shared" si="87"/>
        <v>46171</v>
      </c>
      <c r="C1415" s="312">
        <v>19</v>
      </c>
      <c r="D1415" s="368">
        <f>IFERROR((INDEX(METADATA!$T$2:$T$20,MATCH(B1415,METADATA!$S$2:$S$20,0))),0)</f>
        <v>0</v>
      </c>
      <c r="E1415" s="312" t="str">
        <f t="shared" si="88"/>
        <v>LO</v>
      </c>
      <c r="F1415" s="369">
        <f>VLOOKUP(C1415,METADATA!$A$5:$H$29,IF(E1415="HI",2,IF(E1415="LO",6,10))+IF(D1415=1,2,IF(D1415=7,1,(IF(WEEKDAY(B1415)=1,2,IF(WEEKDAY(B1415)=7,1,0))))))</f>
        <v>1</v>
      </c>
      <c r="G1415" s="369">
        <f>VLOOKUP(C1415,METADATA!$J$5:$Q$29,IF(E1415="HI",2,IF(E1415="LO",6,10))+IF(D1415=1,2,IF(D1415=7,1,(IF(WEEKDAY(B1415)=1,2,IF(WEEKDAY(B1415)=7,1,0))))))</f>
        <v>1</v>
      </c>
      <c r="H1415" s="370">
        <v>13628.284790039063</v>
      </c>
      <c r="I1415" s="370">
        <v>1723.7274627685547</v>
      </c>
      <c r="M1415" s="371">
        <f t="shared" si="89"/>
        <v>13736.862184804526</v>
      </c>
      <c r="N1415" s="329">
        <f t="shared" si="90"/>
        <v>0</v>
      </c>
      <c r="T1415" s="331">
        <v>0</v>
      </c>
      <c r="U1415" s="328">
        <f>VLOOKUP(C1415,METADATA!$J$5:$Q$29,IF(E1415="HI",2,IF(E1415="LO",6,10))+IF(T1415=1,2,IF(D1415=7,1,(IF(WEEKDAY(B1415)=1,2,IF(WEEKDAY(B1415)=7,1,0))))))</f>
        <v>1</v>
      </c>
      <c r="V1415" s="328">
        <f>VLOOKUP(C1415,METADATA!$A$5:$H$29,IF(E1415="HI",2,IF(E1415="LO",6,10))+IF(T1415=1,2,IF(D1415=7,1,(IF(WEEKDAY(B1415)=1,2,IF(WEEKDAY(B1415)=7,1,0))))))</f>
        <v>1</v>
      </c>
    </row>
    <row r="1416" spans="2:22">
      <c r="B1416" s="318">
        <f t="shared" si="87"/>
        <v>46171</v>
      </c>
      <c r="C1416" s="312">
        <v>20</v>
      </c>
      <c r="D1416" s="368">
        <f>IFERROR((INDEX(METADATA!$T$2:$T$20,MATCH(B1416,METADATA!$S$2:$S$20,0))),0)</f>
        <v>0</v>
      </c>
      <c r="E1416" s="312" t="str">
        <f t="shared" si="88"/>
        <v>LO</v>
      </c>
      <c r="F1416" s="369">
        <f>VLOOKUP(C1416,METADATA!$A$5:$H$29,IF(E1416="HI",2,IF(E1416="LO",6,10))+IF(D1416=1,2,IF(D1416=7,1,(IF(WEEKDAY(B1416)=1,2,IF(WEEKDAY(B1416)=7,1,0))))))</f>
        <v>1</v>
      </c>
      <c r="G1416" s="369">
        <f>VLOOKUP(C1416,METADATA!$J$5:$Q$29,IF(E1416="HI",2,IF(E1416="LO",6,10))+IF(D1416=1,2,IF(D1416=7,1,(IF(WEEKDAY(B1416)=1,2,IF(WEEKDAY(B1416)=7,1,0))))))</f>
        <v>1</v>
      </c>
      <c r="H1416" s="370">
        <v>13623.08984375</v>
      </c>
      <c r="I1416" s="370">
        <v>1754.2325286865234</v>
      </c>
      <c r="M1416" s="371">
        <f t="shared" si="89"/>
        <v>13735.570925723703</v>
      </c>
      <c r="N1416" s="329">
        <f t="shared" si="90"/>
        <v>0</v>
      </c>
      <c r="T1416" s="331">
        <v>0</v>
      </c>
      <c r="U1416" s="328">
        <f>VLOOKUP(C1416,METADATA!$J$5:$Q$29,IF(E1416="HI",2,IF(E1416="LO",6,10))+IF(T1416=1,2,IF(D1416=7,1,(IF(WEEKDAY(B1416)=1,2,IF(WEEKDAY(B1416)=7,1,0))))))</f>
        <v>1</v>
      </c>
      <c r="V1416" s="328">
        <f>VLOOKUP(C1416,METADATA!$A$5:$H$29,IF(E1416="HI",2,IF(E1416="LO",6,10))+IF(T1416=1,2,IF(D1416=7,1,(IF(WEEKDAY(B1416)=1,2,IF(WEEKDAY(B1416)=7,1,0))))))</f>
        <v>1</v>
      </c>
    </row>
    <row r="1417" spans="2:22">
      <c r="B1417" s="318">
        <f t="shared" si="87"/>
        <v>46171</v>
      </c>
      <c r="C1417" s="312">
        <v>21</v>
      </c>
      <c r="D1417" s="368">
        <f>IFERROR((INDEX(METADATA!$T$2:$T$20,MATCH(B1417,METADATA!$S$2:$S$20,0))),0)</f>
        <v>0</v>
      </c>
      <c r="E1417" s="312" t="str">
        <f t="shared" si="88"/>
        <v>LO</v>
      </c>
      <c r="F1417" s="369">
        <f>VLOOKUP(C1417,METADATA!$A$5:$H$29,IF(E1417="HI",2,IF(E1417="LO",6,10))+IF(D1417=1,2,IF(D1417=7,1,(IF(WEEKDAY(B1417)=1,2,IF(WEEKDAY(B1417)=7,1,0))))))</f>
        <v>2</v>
      </c>
      <c r="G1417" s="369">
        <f>VLOOKUP(C1417,METADATA!$J$5:$Q$29,IF(E1417="HI",2,IF(E1417="LO",6,10))+IF(D1417=1,2,IF(D1417=7,1,(IF(WEEKDAY(B1417)=1,2,IF(WEEKDAY(B1417)=7,1,0))))))</f>
        <v>2</v>
      </c>
      <c r="H1417" s="370">
        <v>13693.804809570313</v>
      </c>
      <c r="I1417" s="370">
        <v>1725.2625274658203</v>
      </c>
      <c r="M1417" s="371">
        <f t="shared" si="89"/>
        <v>13802.058576577943</v>
      </c>
      <c r="N1417" s="329">
        <f t="shared" si="90"/>
        <v>0</v>
      </c>
      <c r="T1417" s="331">
        <v>0</v>
      </c>
      <c r="U1417" s="328">
        <f>VLOOKUP(C1417,METADATA!$J$5:$Q$29,IF(E1417="HI",2,IF(E1417="LO",6,10))+IF(T1417=1,2,IF(D1417=7,1,(IF(WEEKDAY(B1417)=1,2,IF(WEEKDAY(B1417)=7,1,0))))))</f>
        <v>2</v>
      </c>
      <c r="V1417" s="328">
        <f>VLOOKUP(C1417,METADATA!$A$5:$H$29,IF(E1417="HI",2,IF(E1417="LO",6,10))+IF(T1417=1,2,IF(D1417=7,1,(IF(WEEKDAY(B1417)=1,2,IF(WEEKDAY(B1417)=7,1,0))))))</f>
        <v>2</v>
      </c>
    </row>
    <row r="1418" spans="2:22">
      <c r="B1418" s="318">
        <f t="shared" si="87"/>
        <v>46171</v>
      </c>
      <c r="C1418" s="312">
        <v>22</v>
      </c>
      <c r="D1418" s="368">
        <f>IFERROR((INDEX(METADATA!$T$2:$T$20,MATCH(B1418,METADATA!$S$2:$S$20,0))),0)</f>
        <v>0</v>
      </c>
      <c r="E1418" s="312" t="str">
        <f t="shared" si="88"/>
        <v>LO</v>
      </c>
      <c r="F1418" s="369">
        <f>VLOOKUP(C1418,METADATA!$A$5:$H$29,IF(E1418="HI",2,IF(E1418="LO",6,10))+IF(D1418=1,2,IF(D1418=7,1,(IF(WEEKDAY(B1418)=1,2,IF(WEEKDAY(B1418)=7,1,0))))))</f>
        <v>3</v>
      </c>
      <c r="G1418" s="369">
        <f>VLOOKUP(C1418,METADATA!$J$5:$Q$29,IF(E1418="HI",2,IF(E1418="LO",6,10))+IF(D1418=1,2,IF(D1418=7,1,(IF(WEEKDAY(B1418)=1,2,IF(WEEKDAY(B1418)=7,1,0))))))</f>
        <v>3</v>
      </c>
      <c r="H1418" s="370">
        <v>13563.81494140625</v>
      </c>
      <c r="I1418" s="370">
        <v>1663.6074676513672</v>
      </c>
      <c r="M1418" s="371">
        <f t="shared" si="89"/>
        <v>13665.455190777247</v>
      </c>
      <c r="N1418" s="329">
        <f t="shared" si="90"/>
        <v>0</v>
      </c>
      <c r="T1418" s="331">
        <v>0</v>
      </c>
      <c r="U1418" s="328">
        <f>VLOOKUP(C1418,METADATA!$J$5:$Q$29,IF(E1418="HI",2,IF(E1418="LO",6,10))+IF(T1418=1,2,IF(D1418=7,1,(IF(WEEKDAY(B1418)=1,2,IF(WEEKDAY(B1418)=7,1,0))))))</f>
        <v>3</v>
      </c>
      <c r="V1418" s="328">
        <f>VLOOKUP(C1418,METADATA!$A$5:$H$29,IF(E1418="HI",2,IF(E1418="LO",6,10))+IF(T1418=1,2,IF(D1418=7,1,(IF(WEEKDAY(B1418)=1,2,IF(WEEKDAY(B1418)=7,1,0))))))</f>
        <v>3</v>
      </c>
    </row>
    <row r="1419" spans="2:22">
      <c r="B1419" s="318">
        <f t="shared" si="87"/>
        <v>46171</v>
      </c>
      <c r="C1419" s="312">
        <v>23</v>
      </c>
      <c r="D1419" s="368">
        <f>IFERROR((INDEX(METADATA!$T$2:$T$20,MATCH(B1419,METADATA!$S$2:$S$20,0))),0)</f>
        <v>0</v>
      </c>
      <c r="E1419" s="312" t="str">
        <f t="shared" si="88"/>
        <v>LO</v>
      </c>
      <c r="F1419" s="369">
        <f>VLOOKUP(C1419,METADATA!$A$5:$H$29,IF(E1419="HI",2,IF(E1419="LO",6,10))+IF(D1419=1,2,IF(D1419=7,1,(IF(WEEKDAY(B1419)=1,2,IF(WEEKDAY(B1419)=7,1,0))))))</f>
        <v>3</v>
      </c>
      <c r="G1419" s="369">
        <f>VLOOKUP(C1419,METADATA!$J$5:$Q$29,IF(E1419="HI",2,IF(E1419="LO",6,10))+IF(D1419=1,2,IF(D1419=7,1,(IF(WEEKDAY(B1419)=1,2,IF(WEEKDAY(B1419)=7,1,0))))))</f>
        <v>3</v>
      </c>
      <c r="H1419" s="370">
        <v>13614.780151367188</v>
      </c>
      <c r="I1419" s="370">
        <v>1787.9299774169922</v>
      </c>
      <c r="M1419" s="371">
        <f t="shared" si="89"/>
        <v>13731.676233228347</v>
      </c>
      <c r="N1419" s="329">
        <f t="shared" si="90"/>
        <v>0</v>
      </c>
      <c r="T1419" s="331">
        <v>0</v>
      </c>
      <c r="U1419" s="328">
        <f>VLOOKUP(C1419,METADATA!$J$5:$Q$29,IF(E1419="HI",2,IF(E1419="LO",6,10))+IF(T1419=1,2,IF(D1419=7,1,(IF(WEEKDAY(B1419)=1,2,IF(WEEKDAY(B1419)=7,1,0))))))</f>
        <v>3</v>
      </c>
      <c r="V1419" s="328">
        <f>VLOOKUP(C1419,METADATA!$A$5:$H$29,IF(E1419="HI",2,IF(E1419="LO",6,10))+IF(T1419=1,2,IF(D1419=7,1,(IF(WEEKDAY(B1419)=1,2,IF(WEEKDAY(B1419)=7,1,0))))))</f>
        <v>3</v>
      </c>
    </row>
    <row r="1420" spans="2:22">
      <c r="B1420" s="318">
        <f t="shared" si="87"/>
        <v>46172</v>
      </c>
      <c r="C1420" s="312">
        <v>0</v>
      </c>
      <c r="D1420" s="368">
        <f>IFERROR((INDEX(METADATA!$T$2:$T$20,MATCH(B1420,METADATA!$S$2:$S$20,0))),0)</f>
        <v>0</v>
      </c>
      <c r="E1420" s="312" t="str">
        <f t="shared" si="88"/>
        <v>LO</v>
      </c>
      <c r="F1420" s="369">
        <f>VLOOKUP(C1420,METADATA!$A$5:$H$29,IF(E1420="HI",2,IF(E1420="LO",6,10))+IF(D1420=1,2,IF(D1420=7,1,(IF(WEEKDAY(B1420)=1,2,IF(WEEKDAY(B1420)=7,1,0))))))</f>
        <v>3</v>
      </c>
      <c r="G1420" s="369">
        <f>VLOOKUP(C1420,METADATA!$J$5:$Q$29,IF(E1420="HI",2,IF(E1420="LO",6,10))+IF(D1420=1,2,IF(D1420=7,1,(IF(WEEKDAY(B1420)=1,2,IF(WEEKDAY(B1420)=7,1,0))))))</f>
        <v>3</v>
      </c>
      <c r="H1420" s="370">
        <v>13582.229858398438</v>
      </c>
      <c r="I1420" s="370">
        <v>1769.2549896240234</v>
      </c>
      <c r="M1420" s="371">
        <f t="shared" si="89"/>
        <v>13696.978905754346</v>
      </c>
      <c r="N1420" s="329">
        <f t="shared" si="90"/>
        <v>0</v>
      </c>
      <c r="T1420" s="331">
        <v>0</v>
      </c>
      <c r="U1420" s="328">
        <f>VLOOKUP(C1420,METADATA!$J$5:$Q$29,IF(E1420="HI",2,IF(E1420="LO",6,10))+IF(T1420=1,2,IF(D1420=7,1,(IF(WEEKDAY(B1420)=1,2,IF(WEEKDAY(B1420)=7,1,0))))))</f>
        <v>3</v>
      </c>
      <c r="V1420" s="328">
        <f>VLOOKUP(C1420,METADATA!$A$5:$H$29,IF(E1420="HI",2,IF(E1420="LO",6,10))+IF(T1420=1,2,IF(D1420=7,1,(IF(WEEKDAY(B1420)=1,2,IF(WEEKDAY(B1420)=7,1,0))))))</f>
        <v>3</v>
      </c>
    </row>
    <row r="1421" spans="2:22">
      <c r="B1421" s="318">
        <f t="shared" si="87"/>
        <v>46172</v>
      </c>
      <c r="C1421" s="312">
        <v>1</v>
      </c>
      <c r="D1421" s="368">
        <f>IFERROR((INDEX(METADATA!$T$2:$T$20,MATCH(B1421,METADATA!$S$2:$S$20,0))),0)</f>
        <v>0</v>
      </c>
      <c r="E1421" s="312" t="str">
        <f t="shared" si="88"/>
        <v>LO</v>
      </c>
      <c r="F1421" s="369">
        <f>VLOOKUP(C1421,METADATA!$A$5:$H$29,IF(E1421="HI",2,IF(E1421="LO",6,10))+IF(D1421=1,2,IF(D1421=7,1,(IF(WEEKDAY(B1421)=1,2,IF(WEEKDAY(B1421)=7,1,0))))))</f>
        <v>3</v>
      </c>
      <c r="G1421" s="369">
        <f>VLOOKUP(C1421,METADATA!$J$5:$Q$29,IF(E1421="HI",2,IF(E1421="LO",6,10))+IF(D1421=1,2,IF(D1421=7,1,(IF(WEEKDAY(B1421)=1,2,IF(WEEKDAY(B1421)=7,1,0))))))</f>
        <v>3</v>
      </c>
      <c r="H1421" s="370">
        <v>13680.8798828125</v>
      </c>
      <c r="I1421" s="370">
        <v>1890.16748046875</v>
      </c>
      <c r="M1421" s="371">
        <f t="shared" si="89"/>
        <v>13810.836595665207</v>
      </c>
      <c r="N1421" s="329">
        <f t="shared" si="90"/>
        <v>0</v>
      </c>
      <c r="T1421" s="331">
        <v>0</v>
      </c>
      <c r="U1421" s="328">
        <f>VLOOKUP(C1421,METADATA!$J$5:$Q$29,IF(E1421="HI",2,IF(E1421="LO",6,10))+IF(T1421=1,2,IF(D1421=7,1,(IF(WEEKDAY(B1421)=1,2,IF(WEEKDAY(B1421)=7,1,0))))))</f>
        <v>3</v>
      </c>
      <c r="V1421" s="328">
        <f>VLOOKUP(C1421,METADATA!$A$5:$H$29,IF(E1421="HI",2,IF(E1421="LO",6,10))+IF(T1421=1,2,IF(D1421=7,1,(IF(WEEKDAY(B1421)=1,2,IF(WEEKDAY(B1421)=7,1,0))))))</f>
        <v>3</v>
      </c>
    </row>
    <row r="1422" spans="2:22">
      <c r="B1422" s="318">
        <f t="shared" si="87"/>
        <v>46172</v>
      </c>
      <c r="C1422" s="312">
        <v>2</v>
      </c>
      <c r="D1422" s="368">
        <f>IFERROR((INDEX(METADATA!$T$2:$T$20,MATCH(B1422,METADATA!$S$2:$S$20,0))),0)</f>
        <v>0</v>
      </c>
      <c r="E1422" s="312" t="str">
        <f t="shared" si="88"/>
        <v>LO</v>
      </c>
      <c r="F1422" s="369">
        <f>VLOOKUP(C1422,METADATA!$A$5:$H$29,IF(E1422="HI",2,IF(E1422="LO",6,10))+IF(D1422=1,2,IF(D1422=7,1,(IF(WEEKDAY(B1422)=1,2,IF(WEEKDAY(B1422)=7,1,0))))))</f>
        <v>3</v>
      </c>
      <c r="G1422" s="369">
        <f>VLOOKUP(C1422,METADATA!$J$5:$Q$29,IF(E1422="HI",2,IF(E1422="LO",6,10))+IF(D1422=1,2,IF(D1422=7,1,(IF(WEEKDAY(B1422)=1,2,IF(WEEKDAY(B1422)=7,1,0))))))</f>
        <v>3</v>
      </c>
      <c r="H1422" s="370">
        <v>13698.100158691406</v>
      </c>
      <c r="I1422" s="370">
        <v>1956.3620300292969</v>
      </c>
      <c r="M1422" s="371">
        <f t="shared" si="89"/>
        <v>13837.098696984202</v>
      </c>
      <c r="N1422" s="329">
        <f t="shared" si="90"/>
        <v>0</v>
      </c>
      <c r="T1422" s="331">
        <v>0</v>
      </c>
      <c r="U1422" s="328">
        <f>VLOOKUP(C1422,METADATA!$J$5:$Q$29,IF(E1422="HI",2,IF(E1422="LO",6,10))+IF(T1422=1,2,IF(D1422=7,1,(IF(WEEKDAY(B1422)=1,2,IF(WEEKDAY(B1422)=7,1,0))))))</f>
        <v>3</v>
      </c>
      <c r="V1422" s="328">
        <f>VLOOKUP(C1422,METADATA!$A$5:$H$29,IF(E1422="HI",2,IF(E1422="LO",6,10))+IF(T1422=1,2,IF(D1422=7,1,(IF(WEEKDAY(B1422)=1,2,IF(WEEKDAY(B1422)=7,1,0))))))</f>
        <v>3</v>
      </c>
    </row>
    <row r="1423" spans="2:22">
      <c r="B1423" s="318">
        <f t="shared" si="87"/>
        <v>46172</v>
      </c>
      <c r="C1423" s="312">
        <v>3</v>
      </c>
      <c r="D1423" s="368">
        <f>IFERROR((INDEX(METADATA!$T$2:$T$20,MATCH(B1423,METADATA!$S$2:$S$20,0))),0)</f>
        <v>0</v>
      </c>
      <c r="E1423" s="312" t="str">
        <f t="shared" si="88"/>
        <v>LO</v>
      </c>
      <c r="F1423" s="369">
        <f>VLOOKUP(C1423,METADATA!$A$5:$H$29,IF(E1423="HI",2,IF(E1423="LO",6,10))+IF(D1423=1,2,IF(D1423=7,1,(IF(WEEKDAY(B1423)=1,2,IF(WEEKDAY(B1423)=7,1,0))))))</f>
        <v>3</v>
      </c>
      <c r="G1423" s="369">
        <f>VLOOKUP(C1423,METADATA!$J$5:$Q$29,IF(E1423="HI",2,IF(E1423="LO",6,10))+IF(D1423=1,2,IF(D1423=7,1,(IF(WEEKDAY(B1423)=1,2,IF(WEEKDAY(B1423)=7,1,0))))))</f>
        <v>3</v>
      </c>
      <c r="H1423" s="370">
        <v>13810.674926757813</v>
      </c>
      <c r="I1423" s="370">
        <v>2060.8999786376953</v>
      </c>
      <c r="M1423" s="371">
        <f t="shared" si="89"/>
        <v>13963.597339315029</v>
      </c>
      <c r="N1423" s="329">
        <f t="shared" si="90"/>
        <v>0</v>
      </c>
      <c r="T1423" s="331">
        <v>0</v>
      </c>
      <c r="U1423" s="328">
        <f>VLOOKUP(C1423,METADATA!$J$5:$Q$29,IF(E1423="HI",2,IF(E1423="LO",6,10))+IF(T1423=1,2,IF(D1423=7,1,(IF(WEEKDAY(B1423)=1,2,IF(WEEKDAY(B1423)=7,1,0))))))</f>
        <v>3</v>
      </c>
      <c r="V1423" s="328">
        <f>VLOOKUP(C1423,METADATA!$A$5:$H$29,IF(E1423="HI",2,IF(E1423="LO",6,10))+IF(T1423=1,2,IF(D1423=7,1,(IF(WEEKDAY(B1423)=1,2,IF(WEEKDAY(B1423)=7,1,0))))))</f>
        <v>3</v>
      </c>
    </row>
    <row r="1424" spans="2:22">
      <c r="B1424" s="318">
        <f t="shared" si="87"/>
        <v>46172</v>
      </c>
      <c r="C1424" s="312">
        <v>4</v>
      </c>
      <c r="D1424" s="368">
        <f>IFERROR((INDEX(METADATA!$T$2:$T$20,MATCH(B1424,METADATA!$S$2:$S$20,0))),0)</f>
        <v>0</v>
      </c>
      <c r="E1424" s="312" t="str">
        <f t="shared" si="88"/>
        <v>LO</v>
      </c>
      <c r="F1424" s="369">
        <f>VLOOKUP(C1424,METADATA!$A$5:$H$29,IF(E1424="HI",2,IF(E1424="LO",6,10))+IF(D1424=1,2,IF(D1424=7,1,(IF(WEEKDAY(B1424)=1,2,IF(WEEKDAY(B1424)=7,1,0))))))</f>
        <v>3</v>
      </c>
      <c r="G1424" s="369">
        <f>VLOOKUP(C1424,METADATA!$J$5:$Q$29,IF(E1424="HI",2,IF(E1424="LO",6,10))+IF(D1424=1,2,IF(D1424=7,1,(IF(WEEKDAY(B1424)=1,2,IF(WEEKDAY(B1424)=7,1,0))))))</f>
        <v>3</v>
      </c>
      <c r="H1424" s="370">
        <v>13702.365478515625</v>
      </c>
      <c r="I1424" s="370">
        <v>1906.39501953125</v>
      </c>
      <c r="M1424" s="371">
        <f t="shared" si="89"/>
        <v>13834.347172068159</v>
      </c>
      <c r="N1424" s="329">
        <f t="shared" si="90"/>
        <v>0</v>
      </c>
      <c r="T1424" s="331">
        <v>0</v>
      </c>
      <c r="U1424" s="328">
        <f>VLOOKUP(C1424,METADATA!$J$5:$Q$29,IF(E1424="HI",2,IF(E1424="LO",6,10))+IF(T1424=1,2,IF(D1424=7,1,(IF(WEEKDAY(B1424)=1,2,IF(WEEKDAY(B1424)=7,1,0))))))</f>
        <v>3</v>
      </c>
      <c r="V1424" s="328">
        <f>VLOOKUP(C1424,METADATA!$A$5:$H$29,IF(E1424="HI",2,IF(E1424="LO",6,10))+IF(T1424=1,2,IF(D1424=7,1,(IF(WEEKDAY(B1424)=1,2,IF(WEEKDAY(B1424)=7,1,0))))))</f>
        <v>3</v>
      </c>
    </row>
    <row r="1425" spans="2:22">
      <c r="B1425" s="318">
        <f t="shared" si="87"/>
        <v>46172</v>
      </c>
      <c r="C1425" s="312">
        <v>5</v>
      </c>
      <c r="D1425" s="368">
        <f>IFERROR((INDEX(METADATA!$T$2:$T$20,MATCH(B1425,METADATA!$S$2:$S$20,0))),0)</f>
        <v>0</v>
      </c>
      <c r="E1425" s="312" t="str">
        <f t="shared" si="88"/>
        <v>LO</v>
      </c>
      <c r="F1425" s="369">
        <f>VLOOKUP(C1425,METADATA!$A$5:$H$29,IF(E1425="HI",2,IF(E1425="LO",6,10))+IF(D1425=1,2,IF(D1425=7,1,(IF(WEEKDAY(B1425)=1,2,IF(WEEKDAY(B1425)=7,1,0))))))</f>
        <v>3</v>
      </c>
      <c r="G1425" s="369">
        <f>VLOOKUP(C1425,METADATA!$J$5:$Q$29,IF(E1425="HI",2,IF(E1425="LO",6,10))+IF(D1425=1,2,IF(D1425=7,1,(IF(WEEKDAY(B1425)=1,2,IF(WEEKDAY(B1425)=7,1,0))))))</f>
        <v>3</v>
      </c>
      <c r="H1425" s="370">
        <v>13824.185119628906</v>
      </c>
      <c r="I1425" s="370">
        <v>2011.2250366210938</v>
      </c>
      <c r="M1425" s="371">
        <f t="shared" si="89"/>
        <v>13969.721556627419</v>
      </c>
      <c r="N1425" s="329">
        <f t="shared" si="90"/>
        <v>0</v>
      </c>
      <c r="T1425" s="331">
        <v>0</v>
      </c>
      <c r="U1425" s="328">
        <f>VLOOKUP(C1425,METADATA!$J$5:$Q$29,IF(E1425="HI",2,IF(E1425="LO",6,10))+IF(T1425=1,2,IF(D1425=7,1,(IF(WEEKDAY(B1425)=1,2,IF(WEEKDAY(B1425)=7,1,0))))))</f>
        <v>3</v>
      </c>
      <c r="V1425" s="328">
        <f>VLOOKUP(C1425,METADATA!$A$5:$H$29,IF(E1425="HI",2,IF(E1425="LO",6,10))+IF(T1425=1,2,IF(D1425=7,1,(IF(WEEKDAY(B1425)=1,2,IF(WEEKDAY(B1425)=7,1,0))))))</f>
        <v>3</v>
      </c>
    </row>
    <row r="1426" spans="2:22">
      <c r="B1426" s="318">
        <f t="shared" si="87"/>
        <v>46172</v>
      </c>
      <c r="C1426" s="312">
        <v>6</v>
      </c>
      <c r="D1426" s="368">
        <f>IFERROR((INDEX(METADATA!$T$2:$T$20,MATCH(B1426,METADATA!$S$2:$S$20,0))),0)</f>
        <v>0</v>
      </c>
      <c r="E1426" s="312" t="str">
        <f t="shared" si="88"/>
        <v>LO</v>
      </c>
      <c r="F1426" s="369">
        <f>VLOOKUP(C1426,METADATA!$A$5:$H$29,IF(E1426="HI",2,IF(E1426="LO",6,10))+IF(D1426=1,2,IF(D1426=7,1,(IF(WEEKDAY(B1426)=1,2,IF(WEEKDAY(B1426)=7,1,0))))))</f>
        <v>3</v>
      </c>
      <c r="G1426" s="369">
        <f>VLOOKUP(C1426,METADATA!$J$5:$Q$29,IF(E1426="HI",2,IF(E1426="LO",6,10))+IF(D1426=1,2,IF(D1426=7,1,(IF(WEEKDAY(B1426)=1,2,IF(WEEKDAY(B1426)=7,1,0))))))</f>
        <v>3</v>
      </c>
      <c r="H1426" s="370">
        <v>13598.594970703125</v>
      </c>
      <c r="I1426" s="370">
        <v>1876.8949584960938</v>
      </c>
      <c r="M1426" s="371">
        <f t="shared" si="89"/>
        <v>13727.509601616033</v>
      </c>
      <c r="N1426" s="329">
        <f t="shared" si="90"/>
        <v>0</v>
      </c>
      <c r="T1426" s="331">
        <v>0</v>
      </c>
      <c r="U1426" s="328">
        <f>VLOOKUP(C1426,METADATA!$J$5:$Q$29,IF(E1426="HI",2,IF(E1426="LO",6,10))+IF(T1426=1,2,IF(D1426=7,1,(IF(WEEKDAY(B1426)=1,2,IF(WEEKDAY(B1426)=7,1,0))))))</f>
        <v>3</v>
      </c>
      <c r="V1426" s="328">
        <f>VLOOKUP(C1426,METADATA!$A$5:$H$29,IF(E1426="HI",2,IF(E1426="LO",6,10))+IF(T1426=1,2,IF(D1426=7,1,(IF(WEEKDAY(B1426)=1,2,IF(WEEKDAY(B1426)=7,1,0))))))</f>
        <v>3</v>
      </c>
    </row>
    <row r="1427" spans="2:22">
      <c r="B1427" s="318">
        <f t="shared" si="87"/>
        <v>46172</v>
      </c>
      <c r="C1427" s="312">
        <v>7</v>
      </c>
      <c r="D1427" s="368">
        <f>IFERROR((INDEX(METADATA!$T$2:$T$20,MATCH(B1427,METADATA!$S$2:$S$20,0))),0)</f>
        <v>0</v>
      </c>
      <c r="E1427" s="312" t="str">
        <f t="shared" si="88"/>
        <v>LO</v>
      </c>
      <c r="F1427" s="369">
        <f>VLOOKUP(C1427,METADATA!$A$5:$H$29,IF(E1427="HI",2,IF(E1427="LO",6,10))+IF(D1427=1,2,IF(D1427=7,1,(IF(WEEKDAY(B1427)=1,2,IF(WEEKDAY(B1427)=7,1,0))))))</f>
        <v>2</v>
      </c>
      <c r="G1427" s="369">
        <f>VLOOKUP(C1427,METADATA!$J$5:$Q$29,IF(E1427="HI",2,IF(E1427="LO",6,10))+IF(D1427=1,2,IF(D1427=7,1,(IF(WEEKDAY(B1427)=1,2,IF(WEEKDAY(B1427)=7,1,0))))))</f>
        <v>2</v>
      </c>
      <c r="H1427" s="370">
        <v>13438.43994140625</v>
      </c>
      <c r="I1427" s="370">
        <v>1866.0949554443359</v>
      </c>
      <c r="M1427" s="371">
        <f t="shared" si="89"/>
        <v>13567.386573748005</v>
      </c>
      <c r="N1427" s="329">
        <f t="shared" si="90"/>
        <v>0</v>
      </c>
      <c r="T1427" s="331">
        <v>0</v>
      </c>
      <c r="U1427" s="328">
        <f>VLOOKUP(C1427,METADATA!$J$5:$Q$29,IF(E1427="HI",2,IF(E1427="LO",6,10))+IF(T1427=1,2,IF(D1427=7,1,(IF(WEEKDAY(B1427)=1,2,IF(WEEKDAY(B1427)=7,1,0))))))</f>
        <v>2</v>
      </c>
      <c r="V1427" s="328">
        <f>VLOOKUP(C1427,METADATA!$A$5:$H$29,IF(E1427="HI",2,IF(E1427="LO",6,10))+IF(T1427=1,2,IF(D1427=7,1,(IF(WEEKDAY(B1427)=1,2,IF(WEEKDAY(B1427)=7,1,0))))))</f>
        <v>2</v>
      </c>
    </row>
    <row r="1428" spans="2:22">
      <c r="B1428" s="318">
        <f t="shared" si="87"/>
        <v>46172</v>
      </c>
      <c r="C1428" s="312">
        <v>8</v>
      </c>
      <c r="D1428" s="368">
        <f>IFERROR((INDEX(METADATA!$T$2:$T$20,MATCH(B1428,METADATA!$S$2:$S$20,0))),0)</f>
        <v>0</v>
      </c>
      <c r="E1428" s="312" t="str">
        <f t="shared" si="88"/>
        <v>LO</v>
      </c>
      <c r="F1428" s="369">
        <f>VLOOKUP(C1428,METADATA!$A$5:$H$29,IF(E1428="HI",2,IF(E1428="LO",6,10))+IF(D1428=1,2,IF(D1428=7,1,(IF(WEEKDAY(B1428)=1,2,IF(WEEKDAY(B1428)=7,1,0))))))</f>
        <v>2</v>
      </c>
      <c r="G1428" s="369">
        <f>VLOOKUP(C1428,METADATA!$J$5:$Q$29,IF(E1428="HI",2,IF(E1428="LO",6,10))+IF(D1428=1,2,IF(D1428=7,1,(IF(WEEKDAY(B1428)=1,2,IF(WEEKDAY(B1428)=7,1,0))))))</f>
        <v>2</v>
      </c>
      <c r="H1428" s="370">
        <v>13443.444702148438</v>
      </c>
      <c r="I1428" s="370">
        <v>1774.4400024414063</v>
      </c>
      <c r="M1428" s="371">
        <f t="shared" si="89"/>
        <v>13560.045825217079</v>
      </c>
      <c r="N1428" s="329">
        <f t="shared" si="90"/>
        <v>0</v>
      </c>
      <c r="T1428" s="331">
        <v>0</v>
      </c>
      <c r="U1428" s="328">
        <f>VLOOKUP(C1428,METADATA!$J$5:$Q$29,IF(E1428="HI",2,IF(E1428="LO",6,10))+IF(T1428=1,2,IF(D1428=7,1,(IF(WEEKDAY(B1428)=1,2,IF(WEEKDAY(B1428)=7,1,0))))))</f>
        <v>2</v>
      </c>
      <c r="V1428" s="328">
        <f>VLOOKUP(C1428,METADATA!$A$5:$H$29,IF(E1428="HI",2,IF(E1428="LO",6,10))+IF(T1428=1,2,IF(D1428=7,1,(IF(WEEKDAY(B1428)=1,2,IF(WEEKDAY(B1428)=7,1,0))))))</f>
        <v>2</v>
      </c>
    </row>
    <row r="1429" spans="2:22">
      <c r="B1429" s="318">
        <f t="shared" si="87"/>
        <v>46172</v>
      </c>
      <c r="C1429" s="312">
        <v>9</v>
      </c>
      <c r="D1429" s="368">
        <f>IFERROR((INDEX(METADATA!$T$2:$T$20,MATCH(B1429,METADATA!$S$2:$S$20,0))),0)</f>
        <v>0</v>
      </c>
      <c r="E1429" s="312" t="str">
        <f t="shared" si="88"/>
        <v>LO</v>
      </c>
      <c r="F1429" s="369">
        <f>VLOOKUP(C1429,METADATA!$A$5:$H$29,IF(E1429="HI",2,IF(E1429="LO",6,10))+IF(D1429=1,2,IF(D1429=7,1,(IF(WEEKDAY(B1429)=1,2,IF(WEEKDAY(B1429)=7,1,0))))))</f>
        <v>2</v>
      </c>
      <c r="G1429" s="369">
        <f>VLOOKUP(C1429,METADATA!$J$5:$Q$29,IF(E1429="HI",2,IF(E1429="LO",6,10))+IF(D1429=1,2,IF(D1429=7,1,(IF(WEEKDAY(B1429)=1,2,IF(WEEKDAY(B1429)=7,1,0))))))</f>
        <v>2</v>
      </c>
      <c r="H1429" s="370">
        <v>13562.724670410156</v>
      </c>
      <c r="I1429" s="370">
        <v>1835.4699859619141</v>
      </c>
      <c r="M1429" s="371">
        <f t="shared" si="89"/>
        <v>13686.360018453384</v>
      </c>
      <c r="N1429" s="329">
        <f t="shared" si="90"/>
        <v>0</v>
      </c>
      <c r="T1429" s="331">
        <v>0</v>
      </c>
      <c r="U1429" s="328">
        <f>VLOOKUP(C1429,METADATA!$J$5:$Q$29,IF(E1429="HI",2,IF(E1429="LO",6,10))+IF(T1429=1,2,IF(D1429=7,1,(IF(WEEKDAY(B1429)=1,2,IF(WEEKDAY(B1429)=7,1,0))))))</f>
        <v>2</v>
      </c>
      <c r="V1429" s="328">
        <f>VLOOKUP(C1429,METADATA!$A$5:$H$29,IF(E1429="HI",2,IF(E1429="LO",6,10))+IF(T1429=1,2,IF(D1429=7,1,(IF(WEEKDAY(B1429)=1,2,IF(WEEKDAY(B1429)=7,1,0))))))</f>
        <v>2</v>
      </c>
    </row>
    <row r="1430" spans="2:22">
      <c r="B1430" s="318">
        <f t="shared" si="87"/>
        <v>46172</v>
      </c>
      <c r="C1430" s="312">
        <v>10</v>
      </c>
      <c r="D1430" s="368">
        <f>IFERROR((INDEX(METADATA!$T$2:$T$20,MATCH(B1430,METADATA!$S$2:$S$20,0))),0)</f>
        <v>0</v>
      </c>
      <c r="E1430" s="312" t="str">
        <f t="shared" si="88"/>
        <v>LO</v>
      </c>
      <c r="F1430" s="369">
        <f>VLOOKUP(C1430,METADATA!$A$5:$H$29,IF(E1430="HI",2,IF(E1430="LO",6,10))+IF(D1430=1,2,IF(D1430=7,1,(IF(WEEKDAY(B1430)=1,2,IF(WEEKDAY(B1430)=7,1,0))))))</f>
        <v>2</v>
      </c>
      <c r="G1430" s="369">
        <f>VLOOKUP(C1430,METADATA!$J$5:$Q$29,IF(E1430="HI",2,IF(E1430="LO",6,10))+IF(D1430=1,2,IF(D1430=7,1,(IF(WEEKDAY(B1430)=1,2,IF(WEEKDAY(B1430)=7,1,0))))))</f>
        <v>2</v>
      </c>
      <c r="H1430" s="370">
        <v>13575.535095214844</v>
      </c>
      <c r="I1430" s="370">
        <v>1946.7875213623047</v>
      </c>
      <c r="M1430" s="371">
        <f t="shared" si="89"/>
        <v>13714.413395210962</v>
      </c>
      <c r="N1430" s="329">
        <f t="shared" si="90"/>
        <v>0</v>
      </c>
      <c r="T1430" s="331">
        <v>0</v>
      </c>
      <c r="U1430" s="328">
        <f>VLOOKUP(C1430,METADATA!$J$5:$Q$29,IF(E1430="HI",2,IF(E1430="LO",6,10))+IF(T1430=1,2,IF(D1430=7,1,(IF(WEEKDAY(B1430)=1,2,IF(WEEKDAY(B1430)=7,1,0))))))</f>
        <v>2</v>
      </c>
      <c r="V1430" s="328">
        <f>VLOOKUP(C1430,METADATA!$A$5:$H$29,IF(E1430="HI",2,IF(E1430="LO",6,10))+IF(T1430=1,2,IF(D1430=7,1,(IF(WEEKDAY(B1430)=1,2,IF(WEEKDAY(B1430)=7,1,0))))))</f>
        <v>2</v>
      </c>
    </row>
    <row r="1431" spans="2:22">
      <c r="B1431" s="318">
        <f t="shared" si="87"/>
        <v>46172</v>
      </c>
      <c r="C1431" s="312">
        <v>11</v>
      </c>
      <c r="D1431" s="368">
        <f>IFERROR((INDEX(METADATA!$T$2:$T$20,MATCH(B1431,METADATA!$S$2:$S$20,0))),0)</f>
        <v>0</v>
      </c>
      <c r="E1431" s="312" t="str">
        <f t="shared" si="88"/>
        <v>LO</v>
      </c>
      <c r="F1431" s="369">
        <f>VLOOKUP(C1431,METADATA!$A$5:$H$29,IF(E1431="HI",2,IF(E1431="LO",6,10))+IF(D1431=1,2,IF(D1431=7,1,(IF(WEEKDAY(B1431)=1,2,IF(WEEKDAY(B1431)=7,1,0))))))</f>
        <v>2</v>
      </c>
      <c r="G1431" s="369">
        <f>VLOOKUP(C1431,METADATA!$J$5:$Q$29,IF(E1431="HI",2,IF(E1431="LO",6,10))+IF(D1431=1,2,IF(D1431=7,1,(IF(WEEKDAY(B1431)=1,2,IF(WEEKDAY(B1431)=7,1,0))))))</f>
        <v>2</v>
      </c>
      <c r="H1431" s="370">
        <v>13356.240295410156</v>
      </c>
      <c r="I1431" s="370">
        <v>1851.1675415039063</v>
      </c>
      <c r="M1431" s="371">
        <f t="shared" si="89"/>
        <v>13483.915458629055</v>
      </c>
      <c r="N1431" s="329">
        <f t="shared" si="90"/>
        <v>0</v>
      </c>
      <c r="T1431" s="331">
        <v>0</v>
      </c>
      <c r="U1431" s="328">
        <f>VLOOKUP(C1431,METADATA!$J$5:$Q$29,IF(E1431="HI",2,IF(E1431="LO",6,10))+IF(T1431=1,2,IF(D1431=7,1,(IF(WEEKDAY(B1431)=1,2,IF(WEEKDAY(B1431)=7,1,0))))))</f>
        <v>2</v>
      </c>
      <c r="V1431" s="328">
        <f>VLOOKUP(C1431,METADATA!$A$5:$H$29,IF(E1431="HI",2,IF(E1431="LO",6,10))+IF(T1431=1,2,IF(D1431=7,1,(IF(WEEKDAY(B1431)=1,2,IF(WEEKDAY(B1431)=7,1,0))))))</f>
        <v>2</v>
      </c>
    </row>
    <row r="1432" spans="2:22">
      <c r="B1432" s="318">
        <f t="shared" si="87"/>
        <v>46172</v>
      </c>
      <c r="C1432" s="312">
        <v>12</v>
      </c>
      <c r="D1432" s="368">
        <f>IFERROR((INDEX(METADATA!$T$2:$T$20,MATCH(B1432,METADATA!$S$2:$S$20,0))),0)</f>
        <v>0</v>
      </c>
      <c r="E1432" s="312" t="str">
        <f t="shared" si="88"/>
        <v>LO</v>
      </c>
      <c r="F1432" s="369">
        <f>VLOOKUP(C1432,METADATA!$A$5:$H$29,IF(E1432="HI",2,IF(E1432="LO",6,10))+IF(D1432=1,2,IF(D1432=7,1,(IF(WEEKDAY(B1432)=1,2,IF(WEEKDAY(B1432)=7,1,0))))))</f>
        <v>3</v>
      </c>
      <c r="G1432" s="369">
        <f>VLOOKUP(C1432,METADATA!$J$5:$Q$29,IF(E1432="HI",2,IF(E1432="LO",6,10))+IF(D1432=1,2,IF(D1432=7,1,(IF(WEEKDAY(B1432)=1,2,IF(WEEKDAY(B1432)=7,1,0))))))</f>
        <v>3</v>
      </c>
      <c r="H1432" s="370">
        <v>13380.715087890625</v>
      </c>
      <c r="I1432" s="370">
        <v>1916.8775177001953</v>
      </c>
      <c r="M1432" s="371">
        <f t="shared" si="89"/>
        <v>13517.320580690845</v>
      </c>
      <c r="N1432" s="329">
        <f t="shared" si="90"/>
        <v>0</v>
      </c>
      <c r="T1432" s="331">
        <v>0</v>
      </c>
      <c r="U1432" s="328">
        <f>VLOOKUP(C1432,METADATA!$J$5:$Q$29,IF(E1432="HI",2,IF(E1432="LO",6,10))+IF(T1432=1,2,IF(D1432=7,1,(IF(WEEKDAY(B1432)=1,2,IF(WEEKDAY(B1432)=7,1,0))))))</f>
        <v>3</v>
      </c>
      <c r="V1432" s="328">
        <f>VLOOKUP(C1432,METADATA!$A$5:$H$29,IF(E1432="HI",2,IF(E1432="LO",6,10))+IF(T1432=1,2,IF(D1432=7,1,(IF(WEEKDAY(B1432)=1,2,IF(WEEKDAY(B1432)=7,1,0))))))</f>
        <v>3</v>
      </c>
    </row>
    <row r="1433" spans="2:22">
      <c r="B1433" s="318">
        <f t="shared" si="87"/>
        <v>46172</v>
      </c>
      <c r="C1433" s="312">
        <v>13</v>
      </c>
      <c r="D1433" s="368">
        <f>IFERROR((INDEX(METADATA!$T$2:$T$20,MATCH(B1433,METADATA!$S$2:$S$20,0))),0)</f>
        <v>0</v>
      </c>
      <c r="E1433" s="312" t="str">
        <f t="shared" si="88"/>
        <v>LO</v>
      </c>
      <c r="F1433" s="369">
        <f>VLOOKUP(C1433,METADATA!$A$5:$H$29,IF(E1433="HI",2,IF(E1433="LO",6,10))+IF(D1433=1,2,IF(D1433=7,1,(IF(WEEKDAY(B1433)=1,2,IF(WEEKDAY(B1433)=7,1,0))))))</f>
        <v>3</v>
      </c>
      <c r="G1433" s="369">
        <f>VLOOKUP(C1433,METADATA!$J$5:$Q$29,IF(E1433="HI",2,IF(E1433="LO",6,10))+IF(D1433=1,2,IF(D1433=7,1,(IF(WEEKDAY(B1433)=1,2,IF(WEEKDAY(B1433)=7,1,0))))))</f>
        <v>3</v>
      </c>
      <c r="H1433" s="370">
        <v>13512.000183105469</v>
      </c>
      <c r="I1433" s="370">
        <v>1986.0499725341797</v>
      </c>
      <c r="M1433" s="371">
        <f t="shared" si="89"/>
        <v>13657.179190508017</v>
      </c>
      <c r="N1433" s="329">
        <f t="shared" si="90"/>
        <v>0</v>
      </c>
      <c r="T1433" s="331">
        <v>0</v>
      </c>
      <c r="U1433" s="328">
        <f>VLOOKUP(C1433,METADATA!$J$5:$Q$29,IF(E1433="HI",2,IF(E1433="LO",6,10))+IF(T1433=1,2,IF(D1433=7,1,(IF(WEEKDAY(B1433)=1,2,IF(WEEKDAY(B1433)=7,1,0))))))</f>
        <v>3</v>
      </c>
      <c r="V1433" s="328">
        <f>VLOOKUP(C1433,METADATA!$A$5:$H$29,IF(E1433="HI",2,IF(E1433="LO",6,10))+IF(T1433=1,2,IF(D1433=7,1,(IF(WEEKDAY(B1433)=1,2,IF(WEEKDAY(B1433)=7,1,0))))))</f>
        <v>3</v>
      </c>
    </row>
    <row r="1434" spans="2:22">
      <c r="B1434" s="318">
        <f t="shared" si="87"/>
        <v>46172</v>
      </c>
      <c r="C1434" s="312">
        <v>14</v>
      </c>
      <c r="D1434" s="368">
        <f>IFERROR((INDEX(METADATA!$T$2:$T$20,MATCH(B1434,METADATA!$S$2:$S$20,0))),0)</f>
        <v>0</v>
      </c>
      <c r="E1434" s="312" t="str">
        <f t="shared" si="88"/>
        <v>LO</v>
      </c>
      <c r="F1434" s="369">
        <f>VLOOKUP(C1434,METADATA!$A$5:$H$29,IF(E1434="HI",2,IF(E1434="LO",6,10))+IF(D1434=1,2,IF(D1434=7,1,(IF(WEEKDAY(B1434)=1,2,IF(WEEKDAY(B1434)=7,1,0))))))</f>
        <v>3</v>
      </c>
      <c r="G1434" s="369">
        <f>VLOOKUP(C1434,METADATA!$J$5:$Q$29,IF(E1434="HI",2,IF(E1434="LO",6,10))+IF(D1434=1,2,IF(D1434=7,1,(IF(WEEKDAY(B1434)=1,2,IF(WEEKDAY(B1434)=7,1,0))))))</f>
        <v>3</v>
      </c>
      <c r="H1434" s="370">
        <v>13409.270080566406</v>
      </c>
      <c r="I1434" s="370">
        <v>1900.6800231933594</v>
      </c>
      <c r="M1434" s="371">
        <f t="shared" si="89"/>
        <v>13543.304938017887</v>
      </c>
      <c r="N1434" s="329">
        <f t="shared" si="90"/>
        <v>0</v>
      </c>
      <c r="T1434" s="331">
        <v>0</v>
      </c>
      <c r="U1434" s="328">
        <f>VLOOKUP(C1434,METADATA!$J$5:$Q$29,IF(E1434="HI",2,IF(E1434="LO",6,10))+IF(T1434=1,2,IF(D1434=7,1,(IF(WEEKDAY(B1434)=1,2,IF(WEEKDAY(B1434)=7,1,0))))))</f>
        <v>3</v>
      </c>
      <c r="V1434" s="328">
        <f>VLOOKUP(C1434,METADATA!$A$5:$H$29,IF(E1434="HI",2,IF(E1434="LO",6,10))+IF(T1434=1,2,IF(D1434=7,1,(IF(WEEKDAY(B1434)=1,2,IF(WEEKDAY(B1434)=7,1,0))))))</f>
        <v>3</v>
      </c>
    </row>
    <row r="1435" spans="2:22">
      <c r="B1435" s="318">
        <f t="shared" si="87"/>
        <v>46172</v>
      </c>
      <c r="C1435" s="312">
        <v>15</v>
      </c>
      <c r="D1435" s="368">
        <f>IFERROR((INDEX(METADATA!$T$2:$T$20,MATCH(B1435,METADATA!$S$2:$S$20,0))),0)</f>
        <v>0</v>
      </c>
      <c r="E1435" s="312" t="str">
        <f t="shared" si="88"/>
        <v>LO</v>
      </c>
      <c r="F1435" s="369">
        <f>VLOOKUP(C1435,METADATA!$A$5:$H$29,IF(E1435="HI",2,IF(E1435="LO",6,10))+IF(D1435=1,2,IF(D1435=7,1,(IF(WEEKDAY(B1435)=1,2,IF(WEEKDAY(B1435)=7,1,0))))))</f>
        <v>3</v>
      </c>
      <c r="G1435" s="369">
        <f>VLOOKUP(C1435,METADATA!$J$5:$Q$29,IF(E1435="HI",2,IF(E1435="LO",6,10))+IF(D1435=1,2,IF(D1435=7,1,(IF(WEEKDAY(B1435)=1,2,IF(WEEKDAY(B1435)=7,1,0))))))</f>
        <v>3</v>
      </c>
      <c r="H1435" s="370">
        <v>13289.799682617188</v>
      </c>
      <c r="I1435" s="370">
        <v>1991.1374816894531</v>
      </c>
      <c r="M1435" s="371">
        <f t="shared" si="89"/>
        <v>13438.132462328258</v>
      </c>
      <c r="N1435" s="329">
        <f t="shared" si="90"/>
        <v>0</v>
      </c>
      <c r="T1435" s="331">
        <v>0</v>
      </c>
      <c r="U1435" s="328">
        <f>VLOOKUP(C1435,METADATA!$J$5:$Q$29,IF(E1435="HI",2,IF(E1435="LO",6,10))+IF(T1435=1,2,IF(D1435=7,1,(IF(WEEKDAY(B1435)=1,2,IF(WEEKDAY(B1435)=7,1,0))))))</f>
        <v>3</v>
      </c>
      <c r="V1435" s="328">
        <f>VLOOKUP(C1435,METADATA!$A$5:$H$29,IF(E1435="HI",2,IF(E1435="LO",6,10))+IF(T1435=1,2,IF(D1435=7,1,(IF(WEEKDAY(B1435)=1,2,IF(WEEKDAY(B1435)=7,1,0))))))</f>
        <v>3</v>
      </c>
    </row>
    <row r="1436" spans="2:22">
      <c r="B1436" s="318">
        <f t="shared" ref="B1436:B1499" si="91">B1412+1</f>
        <v>46172</v>
      </c>
      <c r="C1436" s="312">
        <v>16</v>
      </c>
      <c r="D1436" s="368">
        <f>IFERROR((INDEX(METADATA!$T$2:$T$20,MATCH(B1436,METADATA!$S$2:$S$20,0))),0)</f>
        <v>0</v>
      </c>
      <c r="E1436" s="312" t="str">
        <f t="shared" si="88"/>
        <v>LO</v>
      </c>
      <c r="F1436" s="369">
        <f>VLOOKUP(C1436,METADATA!$A$5:$H$29,IF(E1436="HI",2,IF(E1436="LO",6,10))+IF(D1436=1,2,IF(D1436=7,1,(IF(WEEKDAY(B1436)=1,2,IF(WEEKDAY(B1436)=7,1,0))))))</f>
        <v>3</v>
      </c>
      <c r="G1436" s="369">
        <f>VLOOKUP(C1436,METADATA!$J$5:$Q$29,IF(E1436="HI",2,IF(E1436="LO",6,10))+IF(D1436=1,2,IF(D1436=7,1,(IF(WEEKDAY(B1436)=1,2,IF(WEEKDAY(B1436)=7,1,0))))))</f>
        <v>3</v>
      </c>
      <c r="H1436" s="370">
        <v>13290.565368652344</v>
      </c>
      <c r="I1436" s="370">
        <v>1941.9800262451172</v>
      </c>
      <c r="M1436" s="371">
        <f t="shared" si="89"/>
        <v>13431.694392025007</v>
      </c>
      <c r="N1436" s="329">
        <f t="shared" si="90"/>
        <v>0</v>
      </c>
      <c r="T1436" s="331">
        <v>0</v>
      </c>
      <c r="U1436" s="328">
        <f>VLOOKUP(C1436,METADATA!$J$5:$Q$29,IF(E1436="HI",2,IF(E1436="LO",6,10))+IF(T1436=1,2,IF(D1436=7,1,(IF(WEEKDAY(B1436)=1,2,IF(WEEKDAY(B1436)=7,1,0))))))</f>
        <v>3</v>
      </c>
      <c r="V1436" s="328">
        <f>VLOOKUP(C1436,METADATA!$A$5:$H$29,IF(E1436="HI",2,IF(E1436="LO",6,10))+IF(T1436=1,2,IF(D1436=7,1,(IF(WEEKDAY(B1436)=1,2,IF(WEEKDAY(B1436)=7,1,0))))))</f>
        <v>3</v>
      </c>
    </row>
    <row r="1437" spans="2:22">
      <c r="B1437" s="318">
        <f t="shared" si="91"/>
        <v>46172</v>
      </c>
      <c r="C1437" s="312">
        <v>17</v>
      </c>
      <c r="D1437" s="368">
        <f>IFERROR((INDEX(METADATA!$T$2:$T$20,MATCH(B1437,METADATA!$S$2:$S$20,0))),0)</f>
        <v>0</v>
      </c>
      <c r="E1437" s="312" t="str">
        <f t="shared" si="88"/>
        <v>LO</v>
      </c>
      <c r="F1437" s="369">
        <f>VLOOKUP(C1437,METADATA!$A$5:$H$29,IF(E1437="HI",2,IF(E1437="LO",6,10))+IF(D1437=1,2,IF(D1437=7,1,(IF(WEEKDAY(B1437)=1,2,IF(WEEKDAY(B1437)=7,1,0))))))</f>
        <v>3</v>
      </c>
      <c r="G1437" s="369">
        <f>VLOOKUP(C1437,METADATA!$J$5:$Q$29,IF(E1437="HI",2,IF(E1437="LO",6,10))+IF(D1437=1,2,IF(D1437=7,1,(IF(WEEKDAY(B1437)=1,2,IF(WEEKDAY(B1437)=7,1,0))))))</f>
        <v>3</v>
      </c>
      <c r="H1437" s="370">
        <v>13330.955200195313</v>
      </c>
      <c r="I1437" s="370">
        <v>1941.6724395751953</v>
      </c>
      <c r="M1437" s="371">
        <f t="shared" si="89"/>
        <v>13471.616770537245</v>
      </c>
      <c r="N1437" s="329">
        <f t="shared" si="90"/>
        <v>0</v>
      </c>
      <c r="T1437" s="331">
        <v>0</v>
      </c>
      <c r="U1437" s="328">
        <f>VLOOKUP(C1437,METADATA!$J$5:$Q$29,IF(E1437="HI",2,IF(E1437="LO",6,10))+IF(T1437=1,2,IF(D1437=7,1,(IF(WEEKDAY(B1437)=1,2,IF(WEEKDAY(B1437)=7,1,0))))))</f>
        <v>3</v>
      </c>
      <c r="V1437" s="328">
        <f>VLOOKUP(C1437,METADATA!$A$5:$H$29,IF(E1437="HI",2,IF(E1437="LO",6,10))+IF(T1437=1,2,IF(D1437=7,1,(IF(WEEKDAY(B1437)=1,2,IF(WEEKDAY(B1437)=7,1,0))))))</f>
        <v>3</v>
      </c>
    </row>
    <row r="1438" spans="2:22">
      <c r="B1438" s="318">
        <f t="shared" si="91"/>
        <v>46172</v>
      </c>
      <c r="C1438" s="312">
        <v>18</v>
      </c>
      <c r="D1438" s="368">
        <f>IFERROR((INDEX(METADATA!$T$2:$T$20,MATCH(B1438,METADATA!$S$2:$S$20,0))),0)</f>
        <v>0</v>
      </c>
      <c r="E1438" s="312" t="str">
        <f t="shared" si="88"/>
        <v>LO</v>
      </c>
      <c r="F1438" s="369">
        <f>VLOOKUP(C1438,METADATA!$A$5:$H$29,IF(E1438="HI",2,IF(E1438="LO",6,10))+IF(D1438=1,2,IF(D1438=7,1,(IF(WEEKDAY(B1438)=1,2,IF(WEEKDAY(B1438)=7,1,0))))))</f>
        <v>2</v>
      </c>
      <c r="G1438" s="369">
        <f>VLOOKUP(C1438,METADATA!$J$5:$Q$29,IF(E1438="HI",2,IF(E1438="LO",6,10))+IF(D1438=1,2,IF(D1438=7,1,(IF(WEEKDAY(B1438)=1,2,IF(WEEKDAY(B1438)=7,1,0))))))</f>
        <v>2</v>
      </c>
      <c r="H1438" s="370">
        <v>13413.059875488281</v>
      </c>
      <c r="I1438" s="370">
        <v>1960.7275161743164</v>
      </c>
      <c r="M1438" s="371">
        <f t="shared" si="89"/>
        <v>13555.612402843215</v>
      </c>
      <c r="N1438" s="329">
        <f t="shared" si="90"/>
        <v>0</v>
      </c>
      <c r="T1438" s="331">
        <v>0</v>
      </c>
      <c r="U1438" s="328">
        <f>VLOOKUP(C1438,METADATA!$J$5:$Q$29,IF(E1438="HI",2,IF(E1438="LO",6,10))+IF(T1438=1,2,IF(D1438=7,1,(IF(WEEKDAY(B1438)=1,2,IF(WEEKDAY(B1438)=7,1,0))))))</f>
        <v>2</v>
      </c>
      <c r="V1438" s="328">
        <f>VLOOKUP(C1438,METADATA!$A$5:$H$29,IF(E1438="HI",2,IF(E1438="LO",6,10))+IF(T1438=1,2,IF(D1438=7,1,(IF(WEEKDAY(B1438)=1,2,IF(WEEKDAY(B1438)=7,1,0))))))</f>
        <v>2</v>
      </c>
    </row>
    <row r="1439" spans="2:22">
      <c r="B1439" s="318">
        <f t="shared" si="91"/>
        <v>46172</v>
      </c>
      <c r="C1439" s="312">
        <v>19</v>
      </c>
      <c r="D1439" s="368">
        <f>IFERROR((INDEX(METADATA!$T$2:$T$20,MATCH(B1439,METADATA!$S$2:$S$20,0))),0)</f>
        <v>0</v>
      </c>
      <c r="E1439" s="312" t="str">
        <f t="shared" si="88"/>
        <v>LO</v>
      </c>
      <c r="F1439" s="369">
        <f>VLOOKUP(C1439,METADATA!$A$5:$H$29,IF(E1439="HI",2,IF(E1439="LO",6,10))+IF(D1439=1,2,IF(D1439=7,1,(IF(WEEKDAY(B1439)=1,2,IF(WEEKDAY(B1439)=7,1,0))))))</f>
        <v>2</v>
      </c>
      <c r="G1439" s="369">
        <f>VLOOKUP(C1439,METADATA!$J$5:$Q$29,IF(E1439="HI",2,IF(E1439="LO",6,10))+IF(D1439=1,2,IF(D1439=7,1,(IF(WEEKDAY(B1439)=1,2,IF(WEEKDAY(B1439)=7,1,0))))))</f>
        <v>2</v>
      </c>
      <c r="H1439" s="370">
        <v>13600.680236816406</v>
      </c>
      <c r="I1439" s="370">
        <v>1947.6000137329102</v>
      </c>
      <c r="M1439" s="371">
        <f t="shared" si="89"/>
        <v>13739.419518946963</v>
      </c>
      <c r="N1439" s="329">
        <f t="shared" si="90"/>
        <v>0</v>
      </c>
      <c r="T1439" s="331">
        <v>0</v>
      </c>
      <c r="U1439" s="328">
        <f>VLOOKUP(C1439,METADATA!$J$5:$Q$29,IF(E1439="HI",2,IF(E1439="LO",6,10))+IF(T1439=1,2,IF(D1439=7,1,(IF(WEEKDAY(B1439)=1,2,IF(WEEKDAY(B1439)=7,1,0))))))</f>
        <v>2</v>
      </c>
      <c r="V1439" s="328">
        <f>VLOOKUP(C1439,METADATA!$A$5:$H$29,IF(E1439="HI",2,IF(E1439="LO",6,10))+IF(T1439=1,2,IF(D1439=7,1,(IF(WEEKDAY(B1439)=1,2,IF(WEEKDAY(B1439)=7,1,0))))))</f>
        <v>2</v>
      </c>
    </row>
    <row r="1440" spans="2:22">
      <c r="B1440" s="318">
        <f t="shared" si="91"/>
        <v>46172</v>
      </c>
      <c r="C1440" s="312">
        <v>20</v>
      </c>
      <c r="D1440" s="368">
        <f>IFERROR((INDEX(METADATA!$T$2:$T$20,MATCH(B1440,METADATA!$S$2:$S$20,0))),0)</f>
        <v>0</v>
      </c>
      <c r="E1440" s="312" t="str">
        <f t="shared" si="88"/>
        <v>LO</v>
      </c>
      <c r="F1440" s="369">
        <f>VLOOKUP(C1440,METADATA!$A$5:$H$29,IF(E1440="HI",2,IF(E1440="LO",6,10))+IF(D1440=1,2,IF(D1440=7,1,(IF(WEEKDAY(B1440)=1,2,IF(WEEKDAY(B1440)=7,1,0))))))</f>
        <v>3</v>
      </c>
      <c r="G1440" s="369">
        <f>VLOOKUP(C1440,METADATA!$J$5:$Q$29,IF(E1440="HI",2,IF(E1440="LO",6,10))+IF(D1440=1,2,IF(D1440=7,1,(IF(WEEKDAY(B1440)=1,2,IF(WEEKDAY(B1440)=7,1,0))))))</f>
        <v>3</v>
      </c>
      <c r="H1440" s="370">
        <v>13638.119995117188</v>
      </c>
      <c r="I1440" s="370">
        <v>2126.1125259399414</v>
      </c>
      <c r="M1440" s="371">
        <f t="shared" si="89"/>
        <v>13802.850121412386</v>
      </c>
      <c r="N1440" s="329">
        <f t="shared" si="90"/>
        <v>0</v>
      </c>
      <c r="T1440" s="331">
        <v>0</v>
      </c>
      <c r="U1440" s="328">
        <f>VLOOKUP(C1440,METADATA!$J$5:$Q$29,IF(E1440="HI",2,IF(E1440="LO",6,10))+IF(T1440=1,2,IF(D1440=7,1,(IF(WEEKDAY(B1440)=1,2,IF(WEEKDAY(B1440)=7,1,0))))))</f>
        <v>3</v>
      </c>
      <c r="V1440" s="328">
        <f>VLOOKUP(C1440,METADATA!$A$5:$H$29,IF(E1440="HI",2,IF(E1440="LO",6,10))+IF(T1440=1,2,IF(D1440=7,1,(IF(WEEKDAY(B1440)=1,2,IF(WEEKDAY(B1440)=7,1,0))))))</f>
        <v>3</v>
      </c>
    </row>
    <row r="1441" spans="2:22">
      <c r="B1441" s="318">
        <f t="shared" si="91"/>
        <v>46172</v>
      </c>
      <c r="C1441" s="312">
        <v>21</v>
      </c>
      <c r="D1441" s="368">
        <f>IFERROR((INDEX(METADATA!$T$2:$T$20,MATCH(B1441,METADATA!$S$2:$S$20,0))),0)</f>
        <v>0</v>
      </c>
      <c r="E1441" s="312" t="str">
        <f t="shared" si="88"/>
        <v>LO</v>
      </c>
      <c r="F1441" s="369">
        <f>VLOOKUP(C1441,METADATA!$A$5:$H$29,IF(E1441="HI",2,IF(E1441="LO",6,10))+IF(D1441=1,2,IF(D1441=7,1,(IF(WEEKDAY(B1441)=1,2,IF(WEEKDAY(B1441)=7,1,0))))))</f>
        <v>3</v>
      </c>
      <c r="G1441" s="369">
        <f>VLOOKUP(C1441,METADATA!$J$5:$Q$29,IF(E1441="HI",2,IF(E1441="LO",6,10))+IF(D1441=1,2,IF(D1441=7,1,(IF(WEEKDAY(B1441)=1,2,IF(WEEKDAY(B1441)=7,1,0))))))</f>
        <v>3</v>
      </c>
      <c r="H1441" s="370">
        <v>13716.705261230469</v>
      </c>
      <c r="I1441" s="370">
        <v>2161.24755859375</v>
      </c>
      <c r="M1441" s="371">
        <f t="shared" si="89"/>
        <v>13885.9279212084</v>
      </c>
      <c r="N1441" s="329">
        <f t="shared" si="90"/>
        <v>0</v>
      </c>
      <c r="T1441" s="331">
        <v>0</v>
      </c>
      <c r="U1441" s="328">
        <f>VLOOKUP(C1441,METADATA!$J$5:$Q$29,IF(E1441="HI",2,IF(E1441="LO",6,10))+IF(T1441=1,2,IF(D1441=7,1,(IF(WEEKDAY(B1441)=1,2,IF(WEEKDAY(B1441)=7,1,0))))))</f>
        <v>3</v>
      </c>
      <c r="V1441" s="328">
        <f>VLOOKUP(C1441,METADATA!$A$5:$H$29,IF(E1441="HI",2,IF(E1441="LO",6,10))+IF(T1441=1,2,IF(D1441=7,1,(IF(WEEKDAY(B1441)=1,2,IF(WEEKDAY(B1441)=7,1,0))))))</f>
        <v>3</v>
      </c>
    </row>
    <row r="1442" spans="2:22">
      <c r="B1442" s="318">
        <f t="shared" si="91"/>
        <v>46172</v>
      </c>
      <c r="C1442" s="312">
        <v>22</v>
      </c>
      <c r="D1442" s="368">
        <f>IFERROR((INDEX(METADATA!$T$2:$T$20,MATCH(B1442,METADATA!$S$2:$S$20,0))),0)</f>
        <v>0</v>
      </c>
      <c r="E1442" s="312" t="str">
        <f t="shared" si="88"/>
        <v>LO</v>
      </c>
      <c r="F1442" s="369">
        <f>VLOOKUP(C1442,METADATA!$A$5:$H$29,IF(E1442="HI",2,IF(E1442="LO",6,10))+IF(D1442=1,2,IF(D1442=7,1,(IF(WEEKDAY(B1442)=1,2,IF(WEEKDAY(B1442)=7,1,0))))))</f>
        <v>3</v>
      </c>
      <c r="G1442" s="369">
        <f>VLOOKUP(C1442,METADATA!$J$5:$Q$29,IF(E1442="HI",2,IF(E1442="LO",6,10))+IF(D1442=1,2,IF(D1442=7,1,(IF(WEEKDAY(B1442)=1,2,IF(WEEKDAY(B1442)=7,1,0))))))</f>
        <v>3</v>
      </c>
      <c r="H1442" s="370">
        <v>13435.854919433594</v>
      </c>
      <c r="I1442" s="370">
        <v>2009.5450134277344</v>
      </c>
      <c r="M1442" s="371">
        <f t="shared" si="89"/>
        <v>13585.303403938397</v>
      </c>
      <c r="N1442" s="329">
        <f t="shared" si="90"/>
        <v>0</v>
      </c>
      <c r="T1442" s="331">
        <v>0</v>
      </c>
      <c r="U1442" s="328">
        <f>VLOOKUP(C1442,METADATA!$J$5:$Q$29,IF(E1442="HI",2,IF(E1442="LO",6,10))+IF(T1442=1,2,IF(D1442=7,1,(IF(WEEKDAY(B1442)=1,2,IF(WEEKDAY(B1442)=7,1,0))))))</f>
        <v>3</v>
      </c>
      <c r="V1442" s="328">
        <f>VLOOKUP(C1442,METADATA!$A$5:$H$29,IF(E1442="HI",2,IF(E1442="LO",6,10))+IF(T1442=1,2,IF(D1442=7,1,(IF(WEEKDAY(B1442)=1,2,IF(WEEKDAY(B1442)=7,1,0))))))</f>
        <v>3</v>
      </c>
    </row>
    <row r="1443" spans="2:22">
      <c r="B1443" s="318">
        <f t="shared" si="91"/>
        <v>46172</v>
      </c>
      <c r="C1443" s="312">
        <v>23</v>
      </c>
      <c r="D1443" s="368">
        <f>IFERROR((INDEX(METADATA!$T$2:$T$20,MATCH(B1443,METADATA!$S$2:$S$20,0))),0)</f>
        <v>0</v>
      </c>
      <c r="E1443" s="312" t="str">
        <f t="shared" si="88"/>
        <v>LO</v>
      </c>
      <c r="F1443" s="369">
        <f>VLOOKUP(C1443,METADATA!$A$5:$H$29,IF(E1443="HI",2,IF(E1443="LO",6,10))+IF(D1443=1,2,IF(D1443=7,1,(IF(WEEKDAY(B1443)=1,2,IF(WEEKDAY(B1443)=7,1,0))))))</f>
        <v>3</v>
      </c>
      <c r="G1443" s="369">
        <f>VLOOKUP(C1443,METADATA!$J$5:$Q$29,IF(E1443="HI",2,IF(E1443="LO",6,10))+IF(D1443=1,2,IF(D1443=7,1,(IF(WEEKDAY(B1443)=1,2,IF(WEEKDAY(B1443)=7,1,0))))))</f>
        <v>3</v>
      </c>
      <c r="H1443" s="370">
        <v>13364.025024414063</v>
      </c>
      <c r="I1443" s="370">
        <v>1915.0349884033203</v>
      </c>
      <c r="M1443" s="371">
        <f t="shared" si="89"/>
        <v>13500.537910023222</v>
      </c>
      <c r="N1443" s="329">
        <f t="shared" si="90"/>
        <v>0</v>
      </c>
      <c r="T1443" s="331">
        <v>0</v>
      </c>
      <c r="U1443" s="328">
        <f>VLOOKUP(C1443,METADATA!$J$5:$Q$29,IF(E1443="HI",2,IF(E1443="LO",6,10))+IF(T1443=1,2,IF(D1443=7,1,(IF(WEEKDAY(B1443)=1,2,IF(WEEKDAY(B1443)=7,1,0))))))</f>
        <v>3</v>
      </c>
      <c r="V1443" s="328">
        <f>VLOOKUP(C1443,METADATA!$A$5:$H$29,IF(E1443="HI",2,IF(E1443="LO",6,10))+IF(T1443=1,2,IF(D1443=7,1,(IF(WEEKDAY(B1443)=1,2,IF(WEEKDAY(B1443)=7,1,0))))))</f>
        <v>3</v>
      </c>
    </row>
    <row r="1444" spans="2:22">
      <c r="B1444" s="318">
        <f t="shared" si="91"/>
        <v>46173</v>
      </c>
      <c r="C1444" s="312">
        <v>0</v>
      </c>
      <c r="D1444" s="368">
        <f>IFERROR((INDEX(METADATA!$T$2:$T$20,MATCH(B1444,METADATA!$S$2:$S$20,0))),0)</f>
        <v>0</v>
      </c>
      <c r="E1444" s="312" t="str">
        <f t="shared" si="88"/>
        <v>LO</v>
      </c>
      <c r="F1444" s="369">
        <f>VLOOKUP(C1444,METADATA!$A$5:$H$29,IF(E1444="HI",2,IF(E1444="LO",6,10))+IF(D1444=1,2,IF(D1444=7,1,(IF(WEEKDAY(B1444)=1,2,IF(WEEKDAY(B1444)=7,1,0))))))</f>
        <v>3</v>
      </c>
      <c r="G1444" s="369">
        <f>VLOOKUP(C1444,METADATA!$J$5:$Q$29,IF(E1444="HI",2,IF(E1444="LO",6,10))+IF(D1444=1,2,IF(D1444=7,1,(IF(WEEKDAY(B1444)=1,2,IF(WEEKDAY(B1444)=7,1,0))))))</f>
        <v>3</v>
      </c>
      <c r="H1444" s="370">
        <v>12845.924926757813</v>
      </c>
      <c r="I1444" s="370">
        <v>1891.9175491333008</v>
      </c>
      <c r="M1444" s="371">
        <f t="shared" si="89"/>
        <v>12984.496110231474</v>
      </c>
      <c r="N1444" s="329">
        <f t="shared" si="90"/>
        <v>0</v>
      </c>
      <c r="T1444" s="331">
        <v>0</v>
      </c>
      <c r="U1444" s="328">
        <f>VLOOKUP(C1444,METADATA!$J$5:$Q$29,IF(E1444="HI",2,IF(E1444="LO",6,10))+IF(T1444=1,2,IF(D1444=7,1,(IF(WEEKDAY(B1444)=1,2,IF(WEEKDAY(B1444)=7,1,0))))))</f>
        <v>3</v>
      </c>
      <c r="V1444" s="328">
        <f>VLOOKUP(C1444,METADATA!$A$5:$H$29,IF(E1444="HI",2,IF(E1444="LO",6,10))+IF(T1444=1,2,IF(D1444=7,1,(IF(WEEKDAY(B1444)=1,2,IF(WEEKDAY(B1444)=7,1,0))))))</f>
        <v>3</v>
      </c>
    </row>
    <row r="1445" spans="2:22">
      <c r="B1445" s="318">
        <f t="shared" si="91"/>
        <v>46173</v>
      </c>
      <c r="C1445" s="312">
        <v>1</v>
      </c>
      <c r="D1445" s="368">
        <f>IFERROR((INDEX(METADATA!$T$2:$T$20,MATCH(B1445,METADATA!$S$2:$S$20,0))),0)</f>
        <v>0</v>
      </c>
      <c r="E1445" s="312" t="str">
        <f t="shared" si="88"/>
        <v>LO</v>
      </c>
      <c r="F1445" s="369">
        <f>VLOOKUP(C1445,METADATA!$A$5:$H$29,IF(E1445="HI",2,IF(E1445="LO",6,10))+IF(D1445=1,2,IF(D1445=7,1,(IF(WEEKDAY(B1445)=1,2,IF(WEEKDAY(B1445)=7,1,0))))))</f>
        <v>3</v>
      </c>
      <c r="G1445" s="369">
        <f>VLOOKUP(C1445,METADATA!$J$5:$Q$29,IF(E1445="HI",2,IF(E1445="LO",6,10))+IF(D1445=1,2,IF(D1445=7,1,(IF(WEEKDAY(B1445)=1,2,IF(WEEKDAY(B1445)=7,1,0))))))</f>
        <v>3</v>
      </c>
      <c r="H1445" s="370">
        <v>12363.209838867188</v>
      </c>
      <c r="I1445" s="370">
        <v>1753.7290181517601</v>
      </c>
      <c r="M1445" s="371">
        <f t="shared" si="89"/>
        <v>12486.974132629968</v>
      </c>
      <c r="N1445" s="329">
        <f t="shared" si="90"/>
        <v>0</v>
      </c>
      <c r="T1445" s="331">
        <v>0</v>
      </c>
      <c r="U1445" s="328">
        <f>VLOOKUP(C1445,METADATA!$J$5:$Q$29,IF(E1445="HI",2,IF(E1445="LO",6,10))+IF(T1445=1,2,IF(D1445=7,1,(IF(WEEKDAY(B1445)=1,2,IF(WEEKDAY(B1445)=7,1,0))))))</f>
        <v>3</v>
      </c>
      <c r="V1445" s="328">
        <f>VLOOKUP(C1445,METADATA!$A$5:$H$29,IF(E1445="HI",2,IF(E1445="LO",6,10))+IF(T1445=1,2,IF(D1445=7,1,(IF(WEEKDAY(B1445)=1,2,IF(WEEKDAY(B1445)=7,1,0))))))</f>
        <v>3</v>
      </c>
    </row>
    <row r="1446" spans="2:22">
      <c r="B1446" s="318">
        <f t="shared" si="91"/>
        <v>46173</v>
      </c>
      <c r="C1446" s="312">
        <v>2</v>
      </c>
      <c r="D1446" s="368">
        <f>IFERROR((INDEX(METADATA!$T$2:$T$20,MATCH(B1446,METADATA!$S$2:$S$20,0))),0)</f>
        <v>0</v>
      </c>
      <c r="E1446" s="312" t="str">
        <f t="shared" si="88"/>
        <v>LO</v>
      </c>
      <c r="F1446" s="369">
        <f>VLOOKUP(C1446,METADATA!$A$5:$H$29,IF(E1446="HI",2,IF(E1446="LO",6,10))+IF(D1446=1,2,IF(D1446=7,1,(IF(WEEKDAY(B1446)=1,2,IF(WEEKDAY(B1446)=7,1,0))))))</f>
        <v>3</v>
      </c>
      <c r="G1446" s="369">
        <f>VLOOKUP(C1446,METADATA!$J$5:$Q$29,IF(E1446="HI",2,IF(E1446="LO",6,10))+IF(D1446=1,2,IF(D1446=7,1,(IF(WEEKDAY(B1446)=1,2,IF(WEEKDAY(B1446)=7,1,0))))))</f>
        <v>3</v>
      </c>
      <c r="H1446" s="370">
        <v>13006.132629394531</v>
      </c>
      <c r="I1446" s="370">
        <v>1900.9425277709961</v>
      </c>
      <c r="M1446" s="371">
        <f t="shared" si="89"/>
        <v>13144.316964653945</v>
      </c>
      <c r="N1446" s="329">
        <f t="shared" si="90"/>
        <v>0</v>
      </c>
      <c r="T1446" s="331">
        <v>0</v>
      </c>
      <c r="U1446" s="328">
        <f>VLOOKUP(C1446,METADATA!$J$5:$Q$29,IF(E1446="HI",2,IF(E1446="LO",6,10))+IF(T1446=1,2,IF(D1446=7,1,(IF(WEEKDAY(B1446)=1,2,IF(WEEKDAY(B1446)=7,1,0))))))</f>
        <v>3</v>
      </c>
      <c r="V1446" s="328">
        <f>VLOOKUP(C1446,METADATA!$A$5:$H$29,IF(E1446="HI",2,IF(E1446="LO",6,10))+IF(T1446=1,2,IF(D1446=7,1,(IF(WEEKDAY(B1446)=1,2,IF(WEEKDAY(B1446)=7,1,0))))))</f>
        <v>3</v>
      </c>
    </row>
    <row r="1447" spans="2:22">
      <c r="B1447" s="318">
        <f t="shared" si="91"/>
        <v>46173</v>
      </c>
      <c r="C1447" s="312">
        <v>3</v>
      </c>
      <c r="D1447" s="368">
        <f>IFERROR((INDEX(METADATA!$T$2:$T$20,MATCH(B1447,METADATA!$S$2:$S$20,0))),0)</f>
        <v>0</v>
      </c>
      <c r="E1447" s="312" t="str">
        <f t="shared" si="88"/>
        <v>LO</v>
      </c>
      <c r="F1447" s="369">
        <f>VLOOKUP(C1447,METADATA!$A$5:$H$29,IF(E1447="HI",2,IF(E1447="LO",6,10))+IF(D1447=1,2,IF(D1447=7,1,(IF(WEEKDAY(B1447)=1,2,IF(WEEKDAY(B1447)=7,1,0))))))</f>
        <v>3</v>
      </c>
      <c r="G1447" s="369">
        <f>VLOOKUP(C1447,METADATA!$J$5:$Q$29,IF(E1447="HI",2,IF(E1447="LO",6,10))+IF(D1447=1,2,IF(D1447=7,1,(IF(WEEKDAY(B1447)=1,2,IF(WEEKDAY(B1447)=7,1,0))))))</f>
        <v>3</v>
      </c>
      <c r="H1447" s="370">
        <v>13084.825378417969</v>
      </c>
      <c r="I1447" s="370">
        <v>1916.2075042724609</v>
      </c>
      <c r="M1447" s="371">
        <f t="shared" si="89"/>
        <v>13224.390586455052</v>
      </c>
      <c r="N1447" s="329">
        <f t="shared" si="90"/>
        <v>0</v>
      </c>
      <c r="T1447" s="331">
        <v>0</v>
      </c>
      <c r="U1447" s="328">
        <f>VLOOKUP(C1447,METADATA!$J$5:$Q$29,IF(E1447="HI",2,IF(E1447="LO",6,10))+IF(T1447=1,2,IF(D1447=7,1,(IF(WEEKDAY(B1447)=1,2,IF(WEEKDAY(B1447)=7,1,0))))))</f>
        <v>3</v>
      </c>
      <c r="V1447" s="328">
        <f>VLOOKUP(C1447,METADATA!$A$5:$H$29,IF(E1447="HI",2,IF(E1447="LO",6,10))+IF(T1447=1,2,IF(D1447=7,1,(IF(WEEKDAY(B1447)=1,2,IF(WEEKDAY(B1447)=7,1,0))))))</f>
        <v>3</v>
      </c>
    </row>
    <row r="1448" spans="2:22">
      <c r="B1448" s="318">
        <f t="shared" si="91"/>
        <v>46173</v>
      </c>
      <c r="C1448" s="312">
        <v>4</v>
      </c>
      <c r="D1448" s="368">
        <f>IFERROR((INDEX(METADATA!$T$2:$T$20,MATCH(B1448,METADATA!$S$2:$S$20,0))),0)</f>
        <v>0</v>
      </c>
      <c r="E1448" s="312" t="str">
        <f t="shared" si="88"/>
        <v>LO</v>
      </c>
      <c r="F1448" s="369">
        <f>VLOOKUP(C1448,METADATA!$A$5:$H$29,IF(E1448="HI",2,IF(E1448="LO",6,10))+IF(D1448=1,2,IF(D1448=7,1,(IF(WEEKDAY(B1448)=1,2,IF(WEEKDAY(B1448)=7,1,0))))))</f>
        <v>3</v>
      </c>
      <c r="G1448" s="369">
        <f>VLOOKUP(C1448,METADATA!$J$5:$Q$29,IF(E1448="HI",2,IF(E1448="LO",6,10))+IF(D1448=1,2,IF(D1448=7,1,(IF(WEEKDAY(B1448)=1,2,IF(WEEKDAY(B1448)=7,1,0))))))</f>
        <v>3</v>
      </c>
      <c r="H1448" s="370">
        <v>13041.249694824219</v>
      </c>
      <c r="I1448" s="370">
        <v>1922.7125091552734</v>
      </c>
      <c r="M1448" s="371">
        <f t="shared" si="89"/>
        <v>13182.223522441687</v>
      </c>
      <c r="N1448" s="329">
        <f t="shared" si="90"/>
        <v>0</v>
      </c>
      <c r="T1448" s="331">
        <v>0</v>
      </c>
      <c r="U1448" s="328">
        <f>VLOOKUP(C1448,METADATA!$J$5:$Q$29,IF(E1448="HI",2,IF(E1448="LO",6,10))+IF(T1448=1,2,IF(D1448=7,1,(IF(WEEKDAY(B1448)=1,2,IF(WEEKDAY(B1448)=7,1,0))))))</f>
        <v>3</v>
      </c>
      <c r="V1448" s="328">
        <f>VLOOKUP(C1448,METADATA!$A$5:$H$29,IF(E1448="HI",2,IF(E1448="LO",6,10))+IF(T1448=1,2,IF(D1448=7,1,(IF(WEEKDAY(B1448)=1,2,IF(WEEKDAY(B1448)=7,1,0))))))</f>
        <v>3</v>
      </c>
    </row>
    <row r="1449" spans="2:22">
      <c r="B1449" s="318">
        <f t="shared" si="91"/>
        <v>46173</v>
      </c>
      <c r="C1449" s="312">
        <v>5</v>
      </c>
      <c r="D1449" s="368">
        <f>IFERROR((INDEX(METADATA!$T$2:$T$20,MATCH(B1449,METADATA!$S$2:$S$20,0))),0)</f>
        <v>0</v>
      </c>
      <c r="E1449" s="312" t="str">
        <f t="shared" si="88"/>
        <v>LO</v>
      </c>
      <c r="F1449" s="369">
        <f>VLOOKUP(C1449,METADATA!$A$5:$H$29,IF(E1449="HI",2,IF(E1449="LO",6,10))+IF(D1449=1,2,IF(D1449=7,1,(IF(WEEKDAY(B1449)=1,2,IF(WEEKDAY(B1449)=7,1,0))))))</f>
        <v>3</v>
      </c>
      <c r="G1449" s="369">
        <f>VLOOKUP(C1449,METADATA!$J$5:$Q$29,IF(E1449="HI",2,IF(E1449="LO",6,10))+IF(D1449=1,2,IF(D1449=7,1,(IF(WEEKDAY(B1449)=1,2,IF(WEEKDAY(B1449)=7,1,0))))))</f>
        <v>3</v>
      </c>
      <c r="H1449" s="370">
        <v>13112.150146484375</v>
      </c>
      <c r="I1449" s="370">
        <v>1950.9849700927734</v>
      </c>
      <c r="M1449" s="371">
        <f t="shared" si="89"/>
        <v>13256.501190641447</v>
      </c>
      <c r="N1449" s="329">
        <f t="shared" si="90"/>
        <v>0</v>
      </c>
      <c r="T1449" s="331">
        <v>0</v>
      </c>
      <c r="U1449" s="328">
        <f>VLOOKUP(C1449,METADATA!$J$5:$Q$29,IF(E1449="HI",2,IF(E1449="LO",6,10))+IF(T1449=1,2,IF(D1449=7,1,(IF(WEEKDAY(B1449)=1,2,IF(WEEKDAY(B1449)=7,1,0))))))</f>
        <v>3</v>
      </c>
      <c r="V1449" s="328">
        <f>VLOOKUP(C1449,METADATA!$A$5:$H$29,IF(E1449="HI",2,IF(E1449="LO",6,10))+IF(T1449=1,2,IF(D1449=7,1,(IF(WEEKDAY(B1449)=1,2,IF(WEEKDAY(B1449)=7,1,0))))))</f>
        <v>3</v>
      </c>
    </row>
    <row r="1450" spans="2:22">
      <c r="B1450" s="318">
        <f t="shared" si="91"/>
        <v>46173</v>
      </c>
      <c r="C1450" s="312">
        <v>6</v>
      </c>
      <c r="D1450" s="368">
        <f>IFERROR((INDEX(METADATA!$T$2:$T$20,MATCH(B1450,METADATA!$S$2:$S$20,0))),0)</f>
        <v>0</v>
      </c>
      <c r="E1450" s="312" t="str">
        <f t="shared" si="88"/>
        <v>LO</v>
      </c>
      <c r="F1450" s="369">
        <f>VLOOKUP(C1450,METADATA!$A$5:$H$29,IF(E1450="HI",2,IF(E1450="LO",6,10))+IF(D1450=1,2,IF(D1450=7,1,(IF(WEEKDAY(B1450)=1,2,IF(WEEKDAY(B1450)=7,1,0))))))</f>
        <v>3</v>
      </c>
      <c r="G1450" s="369">
        <f>VLOOKUP(C1450,METADATA!$J$5:$Q$29,IF(E1450="HI",2,IF(E1450="LO",6,10))+IF(D1450=1,2,IF(D1450=7,1,(IF(WEEKDAY(B1450)=1,2,IF(WEEKDAY(B1450)=7,1,0))))))</f>
        <v>3</v>
      </c>
      <c r="H1450" s="370">
        <v>13050.41015625</v>
      </c>
      <c r="I1450" s="370">
        <v>1858.822509765625</v>
      </c>
      <c r="M1450" s="371">
        <f t="shared" si="89"/>
        <v>13182.12525995579</v>
      </c>
      <c r="N1450" s="329">
        <f t="shared" si="90"/>
        <v>0</v>
      </c>
      <c r="T1450" s="331">
        <v>0</v>
      </c>
      <c r="U1450" s="328">
        <f>VLOOKUP(C1450,METADATA!$J$5:$Q$29,IF(E1450="HI",2,IF(E1450="LO",6,10))+IF(T1450=1,2,IF(D1450=7,1,(IF(WEEKDAY(B1450)=1,2,IF(WEEKDAY(B1450)=7,1,0))))))</f>
        <v>3</v>
      </c>
      <c r="V1450" s="328">
        <f>VLOOKUP(C1450,METADATA!$A$5:$H$29,IF(E1450="HI",2,IF(E1450="LO",6,10))+IF(T1450=1,2,IF(D1450=7,1,(IF(WEEKDAY(B1450)=1,2,IF(WEEKDAY(B1450)=7,1,0))))))</f>
        <v>3</v>
      </c>
    </row>
    <row r="1451" spans="2:22">
      <c r="B1451" s="318">
        <f t="shared" si="91"/>
        <v>46173</v>
      </c>
      <c r="C1451" s="312">
        <v>7</v>
      </c>
      <c r="D1451" s="368">
        <f>IFERROR((INDEX(METADATA!$T$2:$T$20,MATCH(B1451,METADATA!$S$2:$S$20,0))),0)</f>
        <v>0</v>
      </c>
      <c r="E1451" s="312" t="str">
        <f t="shared" si="88"/>
        <v>LO</v>
      </c>
      <c r="F1451" s="369">
        <f>VLOOKUP(C1451,METADATA!$A$5:$H$29,IF(E1451="HI",2,IF(E1451="LO",6,10))+IF(D1451=1,2,IF(D1451=7,1,(IF(WEEKDAY(B1451)=1,2,IF(WEEKDAY(B1451)=7,1,0))))))</f>
        <v>3</v>
      </c>
      <c r="G1451" s="369">
        <f>VLOOKUP(C1451,METADATA!$J$5:$Q$29,IF(E1451="HI",2,IF(E1451="LO",6,10))+IF(D1451=1,2,IF(D1451=7,1,(IF(WEEKDAY(B1451)=1,2,IF(WEEKDAY(B1451)=7,1,0))))))</f>
        <v>3</v>
      </c>
      <c r="H1451" s="370">
        <v>12705.579772949219</v>
      </c>
      <c r="I1451" s="370">
        <v>1803.8875122070313</v>
      </c>
      <c r="M1451" s="371">
        <f t="shared" si="89"/>
        <v>12832.995267024484</v>
      </c>
      <c r="N1451" s="329">
        <f t="shared" si="90"/>
        <v>0</v>
      </c>
      <c r="T1451" s="331">
        <v>0</v>
      </c>
      <c r="U1451" s="328">
        <f>VLOOKUP(C1451,METADATA!$J$5:$Q$29,IF(E1451="HI",2,IF(E1451="LO",6,10))+IF(T1451=1,2,IF(D1451=7,1,(IF(WEEKDAY(B1451)=1,2,IF(WEEKDAY(B1451)=7,1,0))))))</f>
        <v>3</v>
      </c>
      <c r="V1451" s="328">
        <f>VLOOKUP(C1451,METADATA!$A$5:$H$29,IF(E1451="HI",2,IF(E1451="LO",6,10))+IF(T1451=1,2,IF(D1451=7,1,(IF(WEEKDAY(B1451)=1,2,IF(WEEKDAY(B1451)=7,1,0))))))</f>
        <v>3</v>
      </c>
    </row>
    <row r="1452" spans="2:22">
      <c r="B1452" s="318">
        <f t="shared" si="91"/>
        <v>46173</v>
      </c>
      <c r="C1452" s="312">
        <v>8</v>
      </c>
      <c r="D1452" s="368">
        <f>IFERROR((INDEX(METADATA!$T$2:$T$20,MATCH(B1452,METADATA!$S$2:$S$20,0))),0)</f>
        <v>0</v>
      </c>
      <c r="E1452" s="312" t="str">
        <f t="shared" si="88"/>
        <v>LO</v>
      </c>
      <c r="F1452" s="369">
        <f>VLOOKUP(C1452,METADATA!$A$5:$H$29,IF(E1452="HI",2,IF(E1452="LO",6,10))+IF(D1452=1,2,IF(D1452=7,1,(IF(WEEKDAY(B1452)=1,2,IF(WEEKDAY(B1452)=7,1,0))))))</f>
        <v>3</v>
      </c>
      <c r="G1452" s="369">
        <f>VLOOKUP(C1452,METADATA!$J$5:$Q$29,IF(E1452="HI",2,IF(E1452="LO",6,10))+IF(D1452=1,2,IF(D1452=7,1,(IF(WEEKDAY(B1452)=1,2,IF(WEEKDAY(B1452)=7,1,0))))))</f>
        <v>3</v>
      </c>
      <c r="H1452" s="370">
        <v>10976.829772949219</v>
      </c>
      <c r="I1452" s="370">
        <v>1578.8424963378347</v>
      </c>
      <c r="M1452" s="371">
        <f t="shared" si="89"/>
        <v>11089.794204246835</v>
      </c>
      <c r="N1452" s="329">
        <f t="shared" si="90"/>
        <v>0</v>
      </c>
      <c r="T1452" s="331">
        <v>0</v>
      </c>
      <c r="U1452" s="328">
        <f>VLOOKUP(C1452,METADATA!$J$5:$Q$29,IF(E1452="HI",2,IF(E1452="LO",6,10))+IF(T1452=1,2,IF(D1452=7,1,(IF(WEEKDAY(B1452)=1,2,IF(WEEKDAY(B1452)=7,1,0))))))</f>
        <v>3</v>
      </c>
      <c r="V1452" s="328">
        <f>VLOOKUP(C1452,METADATA!$A$5:$H$29,IF(E1452="HI",2,IF(E1452="LO",6,10))+IF(T1452=1,2,IF(D1452=7,1,(IF(WEEKDAY(B1452)=1,2,IF(WEEKDAY(B1452)=7,1,0))))))</f>
        <v>3</v>
      </c>
    </row>
    <row r="1453" spans="2:22">
      <c r="B1453" s="318">
        <f t="shared" si="91"/>
        <v>46173</v>
      </c>
      <c r="C1453" s="312">
        <v>9</v>
      </c>
      <c r="D1453" s="368">
        <f>IFERROR((INDEX(METADATA!$T$2:$T$20,MATCH(B1453,METADATA!$S$2:$S$20,0))),0)</f>
        <v>0</v>
      </c>
      <c r="E1453" s="312" t="str">
        <f t="shared" si="88"/>
        <v>LO</v>
      </c>
      <c r="F1453" s="369">
        <f>VLOOKUP(C1453,METADATA!$A$5:$H$29,IF(E1453="HI",2,IF(E1453="LO",6,10))+IF(D1453=1,2,IF(D1453=7,1,(IF(WEEKDAY(B1453)=1,2,IF(WEEKDAY(B1453)=7,1,0))))))</f>
        <v>3</v>
      </c>
      <c r="G1453" s="369">
        <f>VLOOKUP(C1453,METADATA!$J$5:$Q$29,IF(E1453="HI",2,IF(E1453="LO",6,10))+IF(D1453=1,2,IF(D1453=7,1,(IF(WEEKDAY(B1453)=1,2,IF(WEEKDAY(B1453)=7,1,0))))))</f>
        <v>3</v>
      </c>
      <c r="H1453" s="370">
        <v>10898.287559509277</v>
      </c>
      <c r="I1453" s="370">
        <v>1442.5999946594238</v>
      </c>
      <c r="M1453" s="371">
        <f t="shared" si="89"/>
        <v>10993.351012059338</v>
      </c>
      <c r="N1453" s="329">
        <f t="shared" si="90"/>
        <v>0</v>
      </c>
      <c r="T1453" s="331">
        <v>0</v>
      </c>
      <c r="U1453" s="328">
        <f>VLOOKUP(C1453,METADATA!$J$5:$Q$29,IF(E1453="HI",2,IF(E1453="LO",6,10))+IF(T1453=1,2,IF(D1453=7,1,(IF(WEEKDAY(B1453)=1,2,IF(WEEKDAY(B1453)=7,1,0))))))</f>
        <v>3</v>
      </c>
      <c r="V1453" s="328">
        <f>VLOOKUP(C1453,METADATA!$A$5:$H$29,IF(E1453="HI",2,IF(E1453="LO",6,10))+IF(T1453=1,2,IF(D1453=7,1,(IF(WEEKDAY(B1453)=1,2,IF(WEEKDAY(B1453)=7,1,0))))))</f>
        <v>3</v>
      </c>
    </row>
    <row r="1454" spans="2:22">
      <c r="B1454" s="318">
        <f t="shared" si="91"/>
        <v>46173</v>
      </c>
      <c r="C1454" s="312">
        <v>10</v>
      </c>
      <c r="D1454" s="368">
        <f>IFERROR((INDEX(METADATA!$T$2:$T$20,MATCH(B1454,METADATA!$S$2:$S$20,0))),0)</f>
        <v>0</v>
      </c>
      <c r="E1454" s="312" t="str">
        <f t="shared" si="88"/>
        <v>LO</v>
      </c>
      <c r="F1454" s="369">
        <f>VLOOKUP(C1454,METADATA!$A$5:$H$29,IF(E1454="HI",2,IF(E1454="LO",6,10))+IF(D1454=1,2,IF(D1454=7,1,(IF(WEEKDAY(B1454)=1,2,IF(WEEKDAY(B1454)=7,1,0))))))</f>
        <v>3</v>
      </c>
      <c r="G1454" s="369">
        <f>VLOOKUP(C1454,METADATA!$J$5:$Q$29,IF(E1454="HI",2,IF(E1454="LO",6,10))+IF(D1454=1,2,IF(D1454=7,1,(IF(WEEKDAY(B1454)=1,2,IF(WEEKDAY(B1454)=7,1,0))))))</f>
        <v>3</v>
      </c>
      <c r="H1454" s="370">
        <v>12390.9501953125</v>
      </c>
      <c r="I1454" s="370">
        <v>1495.5664929747581</v>
      </c>
      <c r="M1454" s="371">
        <f t="shared" si="89"/>
        <v>12480.880012147529</v>
      </c>
      <c r="N1454" s="329">
        <f t="shared" si="90"/>
        <v>0</v>
      </c>
      <c r="T1454" s="331">
        <v>0</v>
      </c>
      <c r="U1454" s="328">
        <f>VLOOKUP(C1454,METADATA!$J$5:$Q$29,IF(E1454="HI",2,IF(E1454="LO",6,10))+IF(T1454=1,2,IF(D1454=7,1,(IF(WEEKDAY(B1454)=1,2,IF(WEEKDAY(B1454)=7,1,0))))))</f>
        <v>3</v>
      </c>
      <c r="V1454" s="328">
        <f>VLOOKUP(C1454,METADATA!$A$5:$H$29,IF(E1454="HI",2,IF(E1454="LO",6,10))+IF(T1454=1,2,IF(D1454=7,1,(IF(WEEKDAY(B1454)=1,2,IF(WEEKDAY(B1454)=7,1,0))))))</f>
        <v>3</v>
      </c>
    </row>
    <row r="1455" spans="2:22">
      <c r="B1455" s="318">
        <f t="shared" si="91"/>
        <v>46173</v>
      </c>
      <c r="C1455" s="312">
        <v>11</v>
      </c>
      <c r="D1455" s="368">
        <f>IFERROR((INDEX(METADATA!$T$2:$T$20,MATCH(B1455,METADATA!$S$2:$S$20,0))),0)</f>
        <v>0</v>
      </c>
      <c r="E1455" s="312" t="str">
        <f t="shared" si="88"/>
        <v>LO</v>
      </c>
      <c r="F1455" s="369">
        <f>VLOOKUP(C1455,METADATA!$A$5:$H$29,IF(E1455="HI",2,IF(E1455="LO",6,10))+IF(D1455=1,2,IF(D1455=7,1,(IF(WEEKDAY(B1455)=1,2,IF(WEEKDAY(B1455)=7,1,0))))))</f>
        <v>3</v>
      </c>
      <c r="G1455" s="369">
        <f>VLOOKUP(C1455,METADATA!$J$5:$Q$29,IF(E1455="HI",2,IF(E1455="LO",6,10))+IF(D1455=1,2,IF(D1455=7,1,(IF(WEEKDAY(B1455)=1,2,IF(WEEKDAY(B1455)=7,1,0))))))</f>
        <v>3</v>
      </c>
      <c r="H1455" s="370">
        <v>12497.949951171875</v>
      </c>
      <c r="I1455" s="370">
        <v>1157.5500030517578</v>
      </c>
      <c r="M1455" s="371">
        <f t="shared" si="89"/>
        <v>12551.441151977815</v>
      </c>
      <c r="N1455" s="329">
        <f t="shared" si="90"/>
        <v>0</v>
      </c>
      <c r="T1455" s="331">
        <v>0</v>
      </c>
      <c r="U1455" s="328">
        <f>VLOOKUP(C1455,METADATA!$J$5:$Q$29,IF(E1455="HI",2,IF(E1455="LO",6,10))+IF(T1455=1,2,IF(D1455=7,1,(IF(WEEKDAY(B1455)=1,2,IF(WEEKDAY(B1455)=7,1,0))))))</f>
        <v>3</v>
      </c>
      <c r="V1455" s="328">
        <f>VLOOKUP(C1455,METADATA!$A$5:$H$29,IF(E1455="HI",2,IF(E1455="LO",6,10))+IF(T1455=1,2,IF(D1455=7,1,(IF(WEEKDAY(B1455)=1,2,IF(WEEKDAY(B1455)=7,1,0))))))</f>
        <v>3</v>
      </c>
    </row>
    <row r="1456" spans="2:22">
      <c r="B1456" s="318">
        <f t="shared" si="91"/>
        <v>46173</v>
      </c>
      <c r="C1456" s="312">
        <v>12</v>
      </c>
      <c r="D1456" s="368">
        <f>IFERROR((INDEX(METADATA!$T$2:$T$20,MATCH(B1456,METADATA!$S$2:$S$20,0))),0)</f>
        <v>0</v>
      </c>
      <c r="E1456" s="312" t="str">
        <f t="shared" si="88"/>
        <v>LO</v>
      </c>
      <c r="F1456" s="369">
        <f>VLOOKUP(C1456,METADATA!$A$5:$H$29,IF(E1456="HI",2,IF(E1456="LO",6,10))+IF(D1456=1,2,IF(D1456=7,1,(IF(WEEKDAY(B1456)=1,2,IF(WEEKDAY(B1456)=7,1,0))))))</f>
        <v>3</v>
      </c>
      <c r="G1456" s="369">
        <f>VLOOKUP(C1456,METADATA!$J$5:$Q$29,IF(E1456="HI",2,IF(E1456="LO",6,10))+IF(D1456=1,2,IF(D1456=7,1,(IF(WEEKDAY(B1456)=1,2,IF(WEEKDAY(B1456)=7,1,0))))))</f>
        <v>3</v>
      </c>
      <c r="H1456" s="370">
        <v>11757.884887695313</v>
      </c>
      <c r="I1456" s="370">
        <v>739.89749145507813</v>
      </c>
      <c r="M1456" s="371">
        <f t="shared" si="89"/>
        <v>11781.141936593214</v>
      </c>
      <c r="N1456" s="329">
        <f t="shared" si="90"/>
        <v>0</v>
      </c>
      <c r="T1456" s="331">
        <v>0</v>
      </c>
      <c r="U1456" s="328">
        <f>VLOOKUP(C1456,METADATA!$J$5:$Q$29,IF(E1456="HI",2,IF(E1456="LO",6,10))+IF(T1456=1,2,IF(D1456=7,1,(IF(WEEKDAY(B1456)=1,2,IF(WEEKDAY(B1456)=7,1,0))))))</f>
        <v>3</v>
      </c>
      <c r="V1456" s="328">
        <f>VLOOKUP(C1456,METADATA!$A$5:$H$29,IF(E1456="HI",2,IF(E1456="LO",6,10))+IF(T1456=1,2,IF(D1456=7,1,(IF(WEEKDAY(B1456)=1,2,IF(WEEKDAY(B1456)=7,1,0))))))</f>
        <v>3</v>
      </c>
    </row>
    <row r="1457" spans="2:22">
      <c r="B1457" s="318">
        <f t="shared" si="91"/>
        <v>46173</v>
      </c>
      <c r="C1457" s="312">
        <v>13</v>
      </c>
      <c r="D1457" s="368">
        <f>IFERROR((INDEX(METADATA!$T$2:$T$20,MATCH(B1457,METADATA!$S$2:$S$20,0))),0)</f>
        <v>0</v>
      </c>
      <c r="E1457" s="312" t="str">
        <f t="shared" si="88"/>
        <v>LO</v>
      </c>
      <c r="F1457" s="369">
        <f>VLOOKUP(C1457,METADATA!$A$5:$H$29,IF(E1457="HI",2,IF(E1457="LO",6,10))+IF(D1457=1,2,IF(D1457=7,1,(IF(WEEKDAY(B1457)=1,2,IF(WEEKDAY(B1457)=7,1,0))))))</f>
        <v>3</v>
      </c>
      <c r="G1457" s="369">
        <f>VLOOKUP(C1457,METADATA!$J$5:$Q$29,IF(E1457="HI",2,IF(E1457="LO",6,10))+IF(D1457=1,2,IF(D1457=7,1,(IF(WEEKDAY(B1457)=1,2,IF(WEEKDAY(B1457)=7,1,0))))))</f>
        <v>3</v>
      </c>
      <c r="H1457" s="370">
        <v>5747.0124206542969</v>
      </c>
      <c r="I1457" s="370">
        <v>157.55999730527401</v>
      </c>
      <c r="M1457" s="371">
        <f t="shared" si="89"/>
        <v>5749.1718460927568</v>
      </c>
      <c r="N1457" s="329">
        <f t="shared" si="90"/>
        <v>0</v>
      </c>
      <c r="T1457" s="331">
        <v>0</v>
      </c>
      <c r="U1457" s="328">
        <f>VLOOKUP(C1457,METADATA!$J$5:$Q$29,IF(E1457="HI",2,IF(E1457="LO",6,10))+IF(T1457=1,2,IF(D1457=7,1,(IF(WEEKDAY(B1457)=1,2,IF(WEEKDAY(B1457)=7,1,0))))))</f>
        <v>3</v>
      </c>
      <c r="V1457" s="328">
        <f>VLOOKUP(C1457,METADATA!$A$5:$H$29,IF(E1457="HI",2,IF(E1457="LO",6,10))+IF(T1457=1,2,IF(D1457=7,1,(IF(WEEKDAY(B1457)=1,2,IF(WEEKDAY(B1457)=7,1,0))))))</f>
        <v>3</v>
      </c>
    </row>
    <row r="1458" spans="2:22">
      <c r="B1458" s="318">
        <f t="shared" si="91"/>
        <v>46173</v>
      </c>
      <c r="C1458" s="312">
        <v>14</v>
      </c>
      <c r="D1458" s="368">
        <f>IFERROR((INDEX(METADATA!$T$2:$T$20,MATCH(B1458,METADATA!$S$2:$S$20,0))),0)</f>
        <v>0</v>
      </c>
      <c r="E1458" s="312" t="str">
        <f t="shared" si="88"/>
        <v>LO</v>
      </c>
      <c r="F1458" s="369">
        <f>VLOOKUP(C1458,METADATA!$A$5:$H$29,IF(E1458="HI",2,IF(E1458="LO",6,10))+IF(D1458=1,2,IF(D1458=7,1,(IF(WEEKDAY(B1458)=1,2,IF(WEEKDAY(B1458)=7,1,0))))))</f>
        <v>3</v>
      </c>
      <c r="G1458" s="369">
        <f>VLOOKUP(C1458,METADATA!$J$5:$Q$29,IF(E1458="HI",2,IF(E1458="LO",6,10))+IF(D1458=1,2,IF(D1458=7,1,(IF(WEEKDAY(B1458)=1,2,IF(WEEKDAY(B1458)=7,1,0))))))</f>
        <v>3</v>
      </c>
      <c r="H1458" s="370">
        <v>8583.0376586914063</v>
      </c>
      <c r="I1458" s="370">
        <v>262.80200495920144</v>
      </c>
      <c r="M1458" s="371">
        <f t="shared" si="89"/>
        <v>8587.0600524466718</v>
      </c>
      <c r="N1458" s="329">
        <f t="shared" si="90"/>
        <v>0</v>
      </c>
      <c r="T1458" s="331">
        <v>0</v>
      </c>
      <c r="U1458" s="328">
        <f>VLOOKUP(C1458,METADATA!$J$5:$Q$29,IF(E1458="HI",2,IF(E1458="LO",6,10))+IF(T1458=1,2,IF(D1458=7,1,(IF(WEEKDAY(B1458)=1,2,IF(WEEKDAY(B1458)=7,1,0))))))</f>
        <v>3</v>
      </c>
      <c r="V1458" s="328">
        <f>VLOOKUP(C1458,METADATA!$A$5:$H$29,IF(E1458="HI",2,IF(E1458="LO",6,10))+IF(T1458=1,2,IF(D1458=7,1,(IF(WEEKDAY(B1458)=1,2,IF(WEEKDAY(B1458)=7,1,0))))))</f>
        <v>3</v>
      </c>
    </row>
    <row r="1459" spans="2:22">
      <c r="B1459" s="318">
        <f t="shared" si="91"/>
        <v>46173</v>
      </c>
      <c r="C1459" s="312">
        <v>15</v>
      </c>
      <c r="D1459" s="368">
        <f>IFERROR((INDEX(METADATA!$T$2:$T$20,MATCH(B1459,METADATA!$S$2:$S$20,0))),0)</f>
        <v>0</v>
      </c>
      <c r="E1459" s="312" t="str">
        <f t="shared" si="88"/>
        <v>LO</v>
      </c>
      <c r="F1459" s="369">
        <f>VLOOKUP(C1459,METADATA!$A$5:$H$29,IF(E1459="HI",2,IF(E1459="LO",6,10))+IF(D1459=1,2,IF(D1459=7,1,(IF(WEEKDAY(B1459)=1,2,IF(WEEKDAY(B1459)=7,1,0))))))</f>
        <v>3</v>
      </c>
      <c r="G1459" s="369">
        <f>VLOOKUP(C1459,METADATA!$J$5:$Q$29,IF(E1459="HI",2,IF(E1459="LO",6,10))+IF(D1459=1,2,IF(D1459=7,1,(IF(WEEKDAY(B1459)=1,2,IF(WEEKDAY(B1459)=7,1,0))))))</f>
        <v>3</v>
      </c>
      <c r="H1459" s="370">
        <v>9759.8749694824219</v>
      </c>
      <c r="I1459" s="370">
        <v>329.06399816274643</v>
      </c>
      <c r="M1459" s="371">
        <f t="shared" si="89"/>
        <v>9765.42075564675</v>
      </c>
      <c r="N1459" s="329">
        <f t="shared" si="90"/>
        <v>0</v>
      </c>
      <c r="T1459" s="331">
        <v>0</v>
      </c>
      <c r="U1459" s="328">
        <f>VLOOKUP(C1459,METADATA!$J$5:$Q$29,IF(E1459="HI",2,IF(E1459="LO",6,10))+IF(T1459=1,2,IF(D1459=7,1,(IF(WEEKDAY(B1459)=1,2,IF(WEEKDAY(B1459)=7,1,0))))))</f>
        <v>3</v>
      </c>
      <c r="V1459" s="328">
        <f>VLOOKUP(C1459,METADATA!$A$5:$H$29,IF(E1459="HI",2,IF(E1459="LO",6,10))+IF(T1459=1,2,IF(D1459=7,1,(IF(WEEKDAY(B1459)=1,2,IF(WEEKDAY(B1459)=7,1,0))))))</f>
        <v>3</v>
      </c>
    </row>
    <row r="1460" spans="2:22">
      <c r="B1460" s="318">
        <f t="shared" si="91"/>
        <v>46173</v>
      </c>
      <c r="C1460" s="312">
        <v>16</v>
      </c>
      <c r="D1460" s="368">
        <f>IFERROR((INDEX(METADATA!$T$2:$T$20,MATCH(B1460,METADATA!$S$2:$S$20,0))),0)</f>
        <v>0</v>
      </c>
      <c r="E1460" s="312" t="str">
        <f t="shared" si="88"/>
        <v>LO</v>
      </c>
      <c r="F1460" s="369">
        <f>VLOOKUP(C1460,METADATA!$A$5:$H$29,IF(E1460="HI",2,IF(E1460="LO",6,10))+IF(D1460=1,2,IF(D1460=7,1,(IF(WEEKDAY(B1460)=1,2,IF(WEEKDAY(B1460)=7,1,0))))))</f>
        <v>3</v>
      </c>
      <c r="G1460" s="369">
        <f>VLOOKUP(C1460,METADATA!$J$5:$Q$29,IF(E1460="HI",2,IF(E1460="LO",6,10))+IF(D1460=1,2,IF(D1460=7,1,(IF(WEEKDAY(B1460)=1,2,IF(WEEKDAY(B1460)=7,1,0))))))</f>
        <v>3</v>
      </c>
      <c r="H1460" s="370">
        <v>11449.425048828125</v>
      </c>
      <c r="I1460" s="370">
        <v>648.67148870229721</v>
      </c>
      <c r="M1460" s="371">
        <f t="shared" si="89"/>
        <v>11467.785690750772</v>
      </c>
      <c r="N1460" s="329">
        <f t="shared" si="90"/>
        <v>0</v>
      </c>
      <c r="T1460" s="331">
        <v>0</v>
      </c>
      <c r="U1460" s="328">
        <f>VLOOKUP(C1460,METADATA!$J$5:$Q$29,IF(E1460="HI",2,IF(E1460="LO",6,10))+IF(T1460=1,2,IF(D1460=7,1,(IF(WEEKDAY(B1460)=1,2,IF(WEEKDAY(B1460)=7,1,0))))))</f>
        <v>3</v>
      </c>
      <c r="V1460" s="328">
        <f>VLOOKUP(C1460,METADATA!$A$5:$H$29,IF(E1460="HI",2,IF(E1460="LO",6,10))+IF(T1460=1,2,IF(D1460=7,1,(IF(WEEKDAY(B1460)=1,2,IF(WEEKDAY(B1460)=7,1,0))))))</f>
        <v>3</v>
      </c>
    </row>
    <row r="1461" spans="2:22">
      <c r="B1461" s="318">
        <f t="shared" si="91"/>
        <v>46173</v>
      </c>
      <c r="C1461" s="312">
        <v>17</v>
      </c>
      <c r="D1461" s="368">
        <f>IFERROR((INDEX(METADATA!$T$2:$T$20,MATCH(B1461,METADATA!$S$2:$S$20,0))),0)</f>
        <v>0</v>
      </c>
      <c r="E1461" s="312" t="str">
        <f t="shared" si="88"/>
        <v>LO</v>
      </c>
      <c r="F1461" s="369">
        <f>VLOOKUP(C1461,METADATA!$A$5:$H$29,IF(E1461="HI",2,IF(E1461="LO",6,10))+IF(D1461=1,2,IF(D1461=7,1,(IF(WEEKDAY(B1461)=1,2,IF(WEEKDAY(B1461)=7,1,0))))))</f>
        <v>3</v>
      </c>
      <c r="G1461" s="369">
        <f>VLOOKUP(C1461,METADATA!$J$5:$Q$29,IF(E1461="HI",2,IF(E1461="LO",6,10))+IF(D1461=1,2,IF(D1461=7,1,(IF(WEEKDAY(B1461)=1,2,IF(WEEKDAY(B1461)=7,1,0))))))</f>
        <v>3</v>
      </c>
      <c r="H1461" s="370">
        <v>11685.575012207031</v>
      </c>
      <c r="I1461" s="370">
        <v>714.09498596191406</v>
      </c>
      <c r="M1461" s="371">
        <f t="shared" si="89"/>
        <v>11707.373531876963</v>
      </c>
      <c r="N1461" s="329">
        <f t="shared" si="90"/>
        <v>0</v>
      </c>
      <c r="T1461" s="331">
        <v>0</v>
      </c>
      <c r="U1461" s="328">
        <f>VLOOKUP(C1461,METADATA!$J$5:$Q$29,IF(E1461="HI",2,IF(E1461="LO",6,10))+IF(T1461=1,2,IF(D1461=7,1,(IF(WEEKDAY(B1461)=1,2,IF(WEEKDAY(B1461)=7,1,0))))))</f>
        <v>3</v>
      </c>
      <c r="V1461" s="328">
        <f>VLOOKUP(C1461,METADATA!$A$5:$H$29,IF(E1461="HI",2,IF(E1461="LO",6,10))+IF(T1461=1,2,IF(D1461=7,1,(IF(WEEKDAY(B1461)=1,2,IF(WEEKDAY(B1461)=7,1,0))))))</f>
        <v>3</v>
      </c>
    </row>
    <row r="1462" spans="2:22">
      <c r="B1462" s="318">
        <f t="shared" si="91"/>
        <v>46173</v>
      </c>
      <c r="C1462" s="312">
        <v>18</v>
      </c>
      <c r="D1462" s="368">
        <f>IFERROR((INDEX(METADATA!$T$2:$T$20,MATCH(B1462,METADATA!$S$2:$S$20,0))),0)</f>
        <v>0</v>
      </c>
      <c r="E1462" s="312" t="str">
        <f t="shared" si="88"/>
        <v>LO</v>
      </c>
      <c r="F1462" s="369">
        <f>VLOOKUP(C1462,METADATA!$A$5:$H$29,IF(E1462="HI",2,IF(E1462="LO",6,10))+IF(D1462=1,2,IF(D1462=7,1,(IF(WEEKDAY(B1462)=1,2,IF(WEEKDAY(B1462)=7,1,0))))))</f>
        <v>2</v>
      </c>
      <c r="G1462" s="369">
        <f>VLOOKUP(C1462,METADATA!$J$5:$Q$29,IF(E1462="HI",2,IF(E1462="LO",6,10))+IF(D1462=1,2,IF(D1462=7,1,(IF(WEEKDAY(B1462)=1,2,IF(WEEKDAY(B1462)=7,1,0))))))</f>
        <v>2</v>
      </c>
      <c r="H1462" s="370">
        <v>11668.349487304688</v>
      </c>
      <c r="I1462" s="370">
        <v>652.65501403808594</v>
      </c>
      <c r="M1462" s="371">
        <f t="shared" si="89"/>
        <v>11686.58796763335</v>
      </c>
      <c r="N1462" s="329">
        <f t="shared" si="90"/>
        <v>0</v>
      </c>
      <c r="T1462" s="331">
        <v>0</v>
      </c>
      <c r="U1462" s="328">
        <f>VLOOKUP(C1462,METADATA!$J$5:$Q$29,IF(E1462="HI",2,IF(E1462="LO",6,10))+IF(T1462=1,2,IF(D1462=7,1,(IF(WEEKDAY(B1462)=1,2,IF(WEEKDAY(B1462)=7,1,0))))))</f>
        <v>2</v>
      </c>
      <c r="V1462" s="328">
        <f>VLOOKUP(C1462,METADATA!$A$5:$H$29,IF(E1462="HI",2,IF(E1462="LO",6,10))+IF(T1462=1,2,IF(D1462=7,1,(IF(WEEKDAY(B1462)=1,2,IF(WEEKDAY(B1462)=7,1,0))))))</f>
        <v>2</v>
      </c>
    </row>
    <row r="1463" spans="2:22">
      <c r="B1463" s="318">
        <f t="shared" si="91"/>
        <v>46173</v>
      </c>
      <c r="C1463" s="312">
        <v>19</v>
      </c>
      <c r="D1463" s="368">
        <f>IFERROR((INDEX(METADATA!$T$2:$T$20,MATCH(B1463,METADATA!$S$2:$S$20,0))),0)</f>
        <v>0</v>
      </c>
      <c r="E1463" s="312" t="str">
        <f t="shared" si="88"/>
        <v>LO</v>
      </c>
      <c r="F1463" s="369">
        <f>VLOOKUP(C1463,METADATA!$A$5:$H$29,IF(E1463="HI",2,IF(E1463="LO",6,10))+IF(D1463=1,2,IF(D1463=7,1,(IF(WEEKDAY(B1463)=1,2,IF(WEEKDAY(B1463)=7,1,0))))))</f>
        <v>2</v>
      </c>
      <c r="G1463" s="369">
        <f>VLOOKUP(C1463,METADATA!$J$5:$Q$29,IF(E1463="HI",2,IF(E1463="LO",6,10))+IF(D1463=1,2,IF(D1463=7,1,(IF(WEEKDAY(B1463)=1,2,IF(WEEKDAY(B1463)=7,1,0))))))</f>
        <v>2</v>
      </c>
      <c r="H1463" s="370">
        <v>11624.550170898438</v>
      </c>
      <c r="I1463" s="370">
        <v>682.03250885009766</v>
      </c>
      <c r="M1463" s="371">
        <f t="shared" si="89"/>
        <v>11644.540996486861</v>
      </c>
      <c r="N1463" s="329">
        <f t="shared" si="90"/>
        <v>0</v>
      </c>
      <c r="T1463" s="331">
        <v>0</v>
      </c>
      <c r="U1463" s="328">
        <f>VLOOKUP(C1463,METADATA!$J$5:$Q$29,IF(E1463="HI",2,IF(E1463="LO",6,10))+IF(T1463=1,2,IF(D1463=7,1,(IF(WEEKDAY(B1463)=1,2,IF(WEEKDAY(B1463)=7,1,0))))))</f>
        <v>2</v>
      </c>
      <c r="V1463" s="328">
        <f>VLOOKUP(C1463,METADATA!$A$5:$H$29,IF(E1463="HI",2,IF(E1463="LO",6,10))+IF(T1463=1,2,IF(D1463=7,1,(IF(WEEKDAY(B1463)=1,2,IF(WEEKDAY(B1463)=7,1,0))))))</f>
        <v>2</v>
      </c>
    </row>
    <row r="1464" spans="2:22">
      <c r="B1464" s="318">
        <f t="shared" si="91"/>
        <v>46173</v>
      </c>
      <c r="C1464" s="312">
        <v>20</v>
      </c>
      <c r="D1464" s="368">
        <f>IFERROR((INDEX(METADATA!$T$2:$T$20,MATCH(B1464,METADATA!$S$2:$S$20,0))),0)</f>
        <v>0</v>
      </c>
      <c r="E1464" s="312" t="str">
        <f t="shared" si="88"/>
        <v>LO</v>
      </c>
      <c r="F1464" s="369">
        <f>VLOOKUP(C1464,METADATA!$A$5:$H$29,IF(E1464="HI",2,IF(E1464="LO",6,10))+IF(D1464=1,2,IF(D1464=7,1,(IF(WEEKDAY(B1464)=1,2,IF(WEEKDAY(B1464)=7,1,0))))))</f>
        <v>3</v>
      </c>
      <c r="G1464" s="369">
        <f>VLOOKUP(C1464,METADATA!$J$5:$Q$29,IF(E1464="HI",2,IF(E1464="LO",6,10))+IF(D1464=1,2,IF(D1464=7,1,(IF(WEEKDAY(B1464)=1,2,IF(WEEKDAY(B1464)=7,1,0))))))</f>
        <v>3</v>
      </c>
      <c r="H1464" s="370">
        <v>10274.007751464844</v>
      </c>
      <c r="I1464" s="370">
        <v>532.17801284790039</v>
      </c>
      <c r="M1464" s="371">
        <f t="shared" si="89"/>
        <v>10287.781525407625</v>
      </c>
      <c r="N1464" s="329">
        <f t="shared" si="90"/>
        <v>0</v>
      </c>
      <c r="T1464" s="331">
        <v>0</v>
      </c>
      <c r="U1464" s="328">
        <f>VLOOKUP(C1464,METADATA!$J$5:$Q$29,IF(E1464="HI",2,IF(E1464="LO",6,10))+IF(T1464=1,2,IF(D1464=7,1,(IF(WEEKDAY(B1464)=1,2,IF(WEEKDAY(B1464)=7,1,0))))))</f>
        <v>3</v>
      </c>
      <c r="V1464" s="328">
        <f>VLOOKUP(C1464,METADATA!$A$5:$H$29,IF(E1464="HI",2,IF(E1464="LO",6,10))+IF(T1464=1,2,IF(D1464=7,1,(IF(WEEKDAY(B1464)=1,2,IF(WEEKDAY(B1464)=7,1,0))))))</f>
        <v>3</v>
      </c>
    </row>
    <row r="1465" spans="2:22">
      <c r="B1465" s="318">
        <f t="shared" si="91"/>
        <v>46173</v>
      </c>
      <c r="C1465" s="312">
        <v>21</v>
      </c>
      <c r="D1465" s="368">
        <f>IFERROR((INDEX(METADATA!$T$2:$T$20,MATCH(B1465,METADATA!$S$2:$S$20,0))),0)</f>
        <v>0</v>
      </c>
      <c r="E1465" s="312" t="str">
        <f t="shared" si="88"/>
        <v>LO</v>
      </c>
      <c r="F1465" s="369">
        <f>VLOOKUP(C1465,METADATA!$A$5:$H$29,IF(E1465="HI",2,IF(E1465="LO",6,10))+IF(D1465=1,2,IF(D1465=7,1,(IF(WEEKDAY(B1465)=1,2,IF(WEEKDAY(B1465)=7,1,0))))))</f>
        <v>3</v>
      </c>
      <c r="G1465" s="369">
        <f>VLOOKUP(C1465,METADATA!$J$5:$Q$29,IF(E1465="HI",2,IF(E1465="LO",6,10))+IF(D1465=1,2,IF(D1465=7,1,(IF(WEEKDAY(B1465)=1,2,IF(WEEKDAY(B1465)=7,1,0))))))</f>
        <v>3</v>
      </c>
      <c r="H1465" s="370">
        <v>10365.780059814453</v>
      </c>
      <c r="I1465" s="370">
        <v>738.16799545288086</v>
      </c>
      <c r="M1465" s="371">
        <f t="shared" si="89"/>
        <v>10392.030034500374</v>
      </c>
      <c r="N1465" s="329">
        <f t="shared" si="90"/>
        <v>0</v>
      </c>
      <c r="T1465" s="331">
        <v>0</v>
      </c>
      <c r="U1465" s="328">
        <f>VLOOKUP(C1465,METADATA!$J$5:$Q$29,IF(E1465="HI",2,IF(E1465="LO",6,10))+IF(T1465=1,2,IF(D1465=7,1,(IF(WEEKDAY(B1465)=1,2,IF(WEEKDAY(B1465)=7,1,0))))))</f>
        <v>3</v>
      </c>
      <c r="V1465" s="328">
        <f>VLOOKUP(C1465,METADATA!$A$5:$H$29,IF(E1465="HI",2,IF(E1465="LO",6,10))+IF(T1465=1,2,IF(D1465=7,1,(IF(WEEKDAY(B1465)=1,2,IF(WEEKDAY(B1465)=7,1,0))))))</f>
        <v>3</v>
      </c>
    </row>
    <row r="1466" spans="2:22">
      <c r="B1466" s="318">
        <f t="shared" si="91"/>
        <v>46173</v>
      </c>
      <c r="C1466" s="312">
        <v>22</v>
      </c>
      <c r="D1466" s="368">
        <f>IFERROR((INDEX(METADATA!$T$2:$T$20,MATCH(B1466,METADATA!$S$2:$S$20,0))),0)</f>
        <v>0</v>
      </c>
      <c r="E1466" s="312" t="str">
        <f t="shared" si="88"/>
        <v>LO</v>
      </c>
      <c r="F1466" s="369">
        <f>VLOOKUP(C1466,METADATA!$A$5:$H$29,IF(E1466="HI",2,IF(E1466="LO",6,10))+IF(D1466=1,2,IF(D1466=7,1,(IF(WEEKDAY(B1466)=1,2,IF(WEEKDAY(B1466)=7,1,0))))))</f>
        <v>3</v>
      </c>
      <c r="G1466" s="369">
        <f>VLOOKUP(C1466,METADATA!$J$5:$Q$29,IF(E1466="HI",2,IF(E1466="LO",6,10))+IF(D1466=1,2,IF(D1466=7,1,(IF(WEEKDAY(B1466)=1,2,IF(WEEKDAY(B1466)=7,1,0))))))</f>
        <v>3</v>
      </c>
      <c r="H1466" s="370">
        <v>11517.599731445313</v>
      </c>
      <c r="I1466" s="370">
        <v>833.27999877929688</v>
      </c>
      <c r="M1466" s="371">
        <f t="shared" si="89"/>
        <v>11547.703630166248</v>
      </c>
      <c r="N1466" s="329">
        <f t="shared" si="90"/>
        <v>0</v>
      </c>
      <c r="T1466" s="331">
        <v>0</v>
      </c>
      <c r="U1466" s="328">
        <f>VLOOKUP(C1466,METADATA!$J$5:$Q$29,IF(E1466="HI",2,IF(E1466="LO",6,10))+IF(T1466=1,2,IF(D1466=7,1,(IF(WEEKDAY(B1466)=1,2,IF(WEEKDAY(B1466)=7,1,0))))))</f>
        <v>3</v>
      </c>
      <c r="V1466" s="328">
        <f>VLOOKUP(C1466,METADATA!$A$5:$H$29,IF(E1466="HI",2,IF(E1466="LO",6,10))+IF(T1466=1,2,IF(D1466=7,1,(IF(WEEKDAY(B1466)=1,2,IF(WEEKDAY(B1466)=7,1,0))))))</f>
        <v>3</v>
      </c>
    </row>
    <row r="1467" spans="2:22">
      <c r="B1467" s="318">
        <f t="shared" si="91"/>
        <v>46173</v>
      </c>
      <c r="C1467" s="312">
        <v>23</v>
      </c>
      <c r="D1467" s="368">
        <f>IFERROR((INDEX(METADATA!$T$2:$T$20,MATCH(B1467,METADATA!$S$2:$S$20,0))),0)</f>
        <v>0</v>
      </c>
      <c r="E1467" s="312" t="str">
        <f t="shared" si="88"/>
        <v>LO</v>
      </c>
      <c r="F1467" s="369">
        <f>VLOOKUP(C1467,METADATA!$A$5:$H$29,IF(E1467="HI",2,IF(E1467="LO",6,10))+IF(D1467=1,2,IF(D1467=7,1,(IF(WEEKDAY(B1467)=1,2,IF(WEEKDAY(B1467)=7,1,0))))))</f>
        <v>3</v>
      </c>
      <c r="G1467" s="369">
        <f>VLOOKUP(C1467,METADATA!$J$5:$Q$29,IF(E1467="HI",2,IF(E1467="LO",6,10))+IF(D1467=1,2,IF(D1467=7,1,(IF(WEEKDAY(B1467)=1,2,IF(WEEKDAY(B1467)=7,1,0))))))</f>
        <v>3</v>
      </c>
      <c r="H1467" s="370">
        <v>11516.924865722656</v>
      </c>
      <c r="I1467" s="370">
        <v>611.8800048828125</v>
      </c>
      <c r="M1467" s="371">
        <f t="shared" si="89"/>
        <v>11533.16762659228</v>
      </c>
      <c r="N1467" s="329">
        <f t="shared" si="90"/>
        <v>0</v>
      </c>
      <c r="T1467" s="331">
        <v>0</v>
      </c>
      <c r="U1467" s="328">
        <f>VLOOKUP(C1467,METADATA!$J$5:$Q$29,IF(E1467="HI",2,IF(E1467="LO",6,10))+IF(T1467=1,2,IF(D1467=7,1,(IF(WEEKDAY(B1467)=1,2,IF(WEEKDAY(B1467)=7,1,0))))))</f>
        <v>3</v>
      </c>
      <c r="V1467" s="328">
        <f>VLOOKUP(C1467,METADATA!$A$5:$H$29,IF(E1467="HI",2,IF(E1467="LO",6,10))+IF(T1467=1,2,IF(D1467=7,1,(IF(WEEKDAY(B1467)=1,2,IF(WEEKDAY(B1467)=7,1,0))))))</f>
        <v>3</v>
      </c>
    </row>
    <row r="1468" spans="2:22">
      <c r="B1468" s="318">
        <f t="shared" si="91"/>
        <v>46174</v>
      </c>
      <c r="C1468" s="312">
        <v>0</v>
      </c>
      <c r="D1468" s="368">
        <f>IFERROR((INDEX(METADATA!$T$2:$T$20,MATCH(B1468,METADATA!$S$2:$S$20,0))),0)</f>
        <v>0</v>
      </c>
      <c r="E1468" s="312" t="str">
        <f t="shared" si="88"/>
        <v>LO</v>
      </c>
      <c r="F1468" s="369">
        <f>VLOOKUP(C1468,METADATA!$A$5:$H$29,IF(E1468="HI",2,IF(E1468="LO",6,10))+IF(D1468=1,2,IF(D1468=7,1,(IF(WEEKDAY(B1468)=1,2,IF(WEEKDAY(B1468)=7,1,0))))))</f>
        <v>3</v>
      </c>
      <c r="G1468" s="369">
        <f>VLOOKUP(C1468,METADATA!$J$5:$Q$29,IF(E1468="HI",2,IF(E1468="LO",6,10))+IF(D1468=1,2,IF(D1468=7,1,(IF(WEEKDAY(B1468)=1,2,IF(WEEKDAY(B1468)=7,1,0))))))</f>
        <v>3</v>
      </c>
      <c r="H1468" s="370">
        <v>11648.049621582031</v>
      </c>
      <c r="I1468" s="370">
        <v>610.96499633789063</v>
      </c>
      <c r="M1468" s="371">
        <f t="shared" si="89"/>
        <v>11664.061823120943</v>
      </c>
      <c r="N1468" s="329">
        <f t="shared" si="90"/>
        <v>0</v>
      </c>
      <c r="T1468" s="331">
        <v>0</v>
      </c>
      <c r="U1468" s="328">
        <f>VLOOKUP(C1468,METADATA!$J$5:$Q$29,IF(E1468="HI",2,IF(E1468="LO",6,10))+IF(T1468=1,2,IF(D1468=7,1,(IF(WEEKDAY(B1468)=1,2,IF(WEEKDAY(B1468)=7,1,0))))))</f>
        <v>3</v>
      </c>
      <c r="V1468" s="328">
        <f>VLOOKUP(C1468,METADATA!$A$5:$H$29,IF(E1468="HI",2,IF(E1468="LO",6,10))+IF(T1468=1,2,IF(D1468=7,1,(IF(WEEKDAY(B1468)=1,2,IF(WEEKDAY(B1468)=7,1,0))))))</f>
        <v>3</v>
      </c>
    </row>
    <row r="1469" spans="2:22">
      <c r="B1469" s="318">
        <f t="shared" si="91"/>
        <v>46174</v>
      </c>
      <c r="C1469" s="312">
        <v>1</v>
      </c>
      <c r="D1469" s="368">
        <f>IFERROR((INDEX(METADATA!$T$2:$T$20,MATCH(B1469,METADATA!$S$2:$S$20,0))),0)</f>
        <v>0</v>
      </c>
      <c r="E1469" s="312" t="str">
        <f t="shared" si="88"/>
        <v>LO</v>
      </c>
      <c r="F1469" s="369">
        <f>VLOOKUP(C1469,METADATA!$A$5:$H$29,IF(E1469="HI",2,IF(E1469="LO",6,10))+IF(D1469=1,2,IF(D1469=7,1,(IF(WEEKDAY(B1469)=1,2,IF(WEEKDAY(B1469)=7,1,0))))))</f>
        <v>3</v>
      </c>
      <c r="G1469" s="369">
        <f>VLOOKUP(C1469,METADATA!$J$5:$Q$29,IF(E1469="HI",2,IF(E1469="LO",6,10))+IF(D1469=1,2,IF(D1469=7,1,(IF(WEEKDAY(B1469)=1,2,IF(WEEKDAY(B1469)=7,1,0))))))</f>
        <v>3</v>
      </c>
      <c r="H1469" s="370">
        <v>11619.499877929688</v>
      </c>
      <c r="I1469" s="370">
        <v>591.59999847412109</v>
      </c>
      <c r="M1469" s="371">
        <f t="shared" si="89"/>
        <v>11634.550613212466</v>
      </c>
      <c r="N1469" s="329">
        <f t="shared" si="90"/>
        <v>0</v>
      </c>
      <c r="T1469" s="331">
        <v>0</v>
      </c>
      <c r="U1469" s="328">
        <f>VLOOKUP(C1469,METADATA!$J$5:$Q$29,IF(E1469="HI",2,IF(E1469="LO",6,10))+IF(T1469=1,2,IF(D1469=7,1,(IF(WEEKDAY(B1469)=1,2,IF(WEEKDAY(B1469)=7,1,0))))))</f>
        <v>3</v>
      </c>
      <c r="V1469" s="328">
        <f>VLOOKUP(C1469,METADATA!$A$5:$H$29,IF(E1469="HI",2,IF(E1469="LO",6,10))+IF(T1469=1,2,IF(D1469=7,1,(IF(WEEKDAY(B1469)=1,2,IF(WEEKDAY(B1469)=7,1,0))))))</f>
        <v>3</v>
      </c>
    </row>
    <row r="1470" spans="2:22">
      <c r="B1470" s="318">
        <f t="shared" si="91"/>
        <v>46174</v>
      </c>
      <c r="C1470" s="312">
        <v>2</v>
      </c>
      <c r="D1470" s="368">
        <f>IFERROR((INDEX(METADATA!$T$2:$T$20,MATCH(B1470,METADATA!$S$2:$S$20,0))),0)</f>
        <v>0</v>
      </c>
      <c r="E1470" s="312" t="str">
        <f t="shared" si="88"/>
        <v>LO</v>
      </c>
      <c r="F1470" s="369">
        <f>VLOOKUP(C1470,METADATA!$A$5:$H$29,IF(E1470="HI",2,IF(E1470="LO",6,10))+IF(D1470=1,2,IF(D1470=7,1,(IF(WEEKDAY(B1470)=1,2,IF(WEEKDAY(B1470)=7,1,0))))))</f>
        <v>3</v>
      </c>
      <c r="G1470" s="369">
        <f>VLOOKUP(C1470,METADATA!$J$5:$Q$29,IF(E1470="HI",2,IF(E1470="LO",6,10))+IF(D1470=1,2,IF(D1470=7,1,(IF(WEEKDAY(B1470)=1,2,IF(WEEKDAY(B1470)=7,1,0))))))</f>
        <v>3</v>
      </c>
      <c r="H1470" s="370">
        <v>11632.599975585938</v>
      </c>
      <c r="I1470" s="370">
        <v>566.52249908447266</v>
      </c>
      <c r="M1470" s="371">
        <f t="shared" si="89"/>
        <v>11646.386990563677</v>
      </c>
      <c r="N1470" s="329">
        <f t="shared" si="90"/>
        <v>0</v>
      </c>
      <c r="T1470" s="331">
        <v>0</v>
      </c>
      <c r="U1470" s="328">
        <f>VLOOKUP(C1470,METADATA!$J$5:$Q$29,IF(E1470="HI",2,IF(E1470="LO",6,10))+IF(T1470=1,2,IF(D1470=7,1,(IF(WEEKDAY(B1470)=1,2,IF(WEEKDAY(B1470)=7,1,0))))))</f>
        <v>3</v>
      </c>
      <c r="V1470" s="328">
        <f>VLOOKUP(C1470,METADATA!$A$5:$H$29,IF(E1470="HI",2,IF(E1470="LO",6,10))+IF(T1470=1,2,IF(D1470=7,1,(IF(WEEKDAY(B1470)=1,2,IF(WEEKDAY(B1470)=7,1,0))))))</f>
        <v>3</v>
      </c>
    </row>
    <row r="1471" spans="2:22">
      <c r="B1471" s="318">
        <f t="shared" si="91"/>
        <v>46174</v>
      </c>
      <c r="C1471" s="312">
        <v>3</v>
      </c>
      <c r="D1471" s="368">
        <f>IFERROR((INDEX(METADATA!$T$2:$T$20,MATCH(B1471,METADATA!$S$2:$S$20,0))),0)</f>
        <v>0</v>
      </c>
      <c r="E1471" s="312" t="str">
        <f t="shared" si="88"/>
        <v>LO</v>
      </c>
      <c r="F1471" s="369">
        <f>VLOOKUP(C1471,METADATA!$A$5:$H$29,IF(E1471="HI",2,IF(E1471="LO",6,10))+IF(D1471=1,2,IF(D1471=7,1,(IF(WEEKDAY(B1471)=1,2,IF(WEEKDAY(B1471)=7,1,0))))))</f>
        <v>3</v>
      </c>
      <c r="G1471" s="369">
        <f>VLOOKUP(C1471,METADATA!$J$5:$Q$29,IF(E1471="HI",2,IF(E1471="LO",6,10))+IF(D1471=1,2,IF(D1471=7,1,(IF(WEEKDAY(B1471)=1,2,IF(WEEKDAY(B1471)=7,1,0))))))</f>
        <v>3</v>
      </c>
      <c r="H1471" s="370">
        <v>11748.425109863281</v>
      </c>
      <c r="I1471" s="370">
        <v>558.95999908447266</v>
      </c>
      <c r="M1471" s="371">
        <f t="shared" si="89"/>
        <v>11761.714536692454</v>
      </c>
      <c r="N1471" s="329">
        <f t="shared" si="90"/>
        <v>0</v>
      </c>
      <c r="T1471" s="331">
        <v>0</v>
      </c>
      <c r="U1471" s="328">
        <f>VLOOKUP(C1471,METADATA!$J$5:$Q$29,IF(E1471="HI",2,IF(E1471="LO",6,10))+IF(T1471=1,2,IF(D1471=7,1,(IF(WEEKDAY(B1471)=1,2,IF(WEEKDAY(B1471)=7,1,0))))))</f>
        <v>3</v>
      </c>
      <c r="V1471" s="328">
        <f>VLOOKUP(C1471,METADATA!$A$5:$H$29,IF(E1471="HI",2,IF(E1471="LO",6,10))+IF(T1471=1,2,IF(D1471=7,1,(IF(WEEKDAY(B1471)=1,2,IF(WEEKDAY(B1471)=7,1,0))))))</f>
        <v>3</v>
      </c>
    </row>
    <row r="1472" spans="2:22">
      <c r="B1472" s="318">
        <f t="shared" si="91"/>
        <v>46174</v>
      </c>
      <c r="C1472" s="312">
        <v>4</v>
      </c>
      <c r="D1472" s="368">
        <f>IFERROR((INDEX(METADATA!$T$2:$T$20,MATCH(B1472,METADATA!$S$2:$S$20,0))),0)</f>
        <v>0</v>
      </c>
      <c r="E1472" s="312" t="str">
        <f t="shared" si="88"/>
        <v>LO</v>
      </c>
      <c r="F1472" s="369">
        <f>VLOOKUP(C1472,METADATA!$A$5:$H$29,IF(E1472="HI",2,IF(E1472="LO",6,10))+IF(D1472=1,2,IF(D1472=7,1,(IF(WEEKDAY(B1472)=1,2,IF(WEEKDAY(B1472)=7,1,0))))))</f>
        <v>3</v>
      </c>
      <c r="G1472" s="369">
        <f>VLOOKUP(C1472,METADATA!$J$5:$Q$29,IF(E1472="HI",2,IF(E1472="LO",6,10))+IF(D1472=1,2,IF(D1472=7,1,(IF(WEEKDAY(B1472)=1,2,IF(WEEKDAY(B1472)=7,1,0))))))</f>
        <v>3</v>
      </c>
      <c r="H1472" s="370">
        <v>11785.100341796875</v>
      </c>
      <c r="I1472" s="370">
        <v>553.39249420166016</v>
      </c>
      <c r="M1472" s="371">
        <f t="shared" si="89"/>
        <v>11798.086002350532</v>
      </c>
      <c r="N1472" s="329">
        <f t="shared" si="90"/>
        <v>0</v>
      </c>
      <c r="T1472" s="331">
        <v>0</v>
      </c>
      <c r="U1472" s="328">
        <f>VLOOKUP(C1472,METADATA!$J$5:$Q$29,IF(E1472="HI",2,IF(E1472="LO",6,10))+IF(T1472=1,2,IF(D1472=7,1,(IF(WEEKDAY(B1472)=1,2,IF(WEEKDAY(B1472)=7,1,0))))))</f>
        <v>3</v>
      </c>
      <c r="V1472" s="328">
        <f>VLOOKUP(C1472,METADATA!$A$5:$H$29,IF(E1472="HI",2,IF(E1472="LO",6,10))+IF(T1472=1,2,IF(D1472=7,1,(IF(WEEKDAY(B1472)=1,2,IF(WEEKDAY(B1472)=7,1,0))))))</f>
        <v>3</v>
      </c>
    </row>
    <row r="1473" spans="2:22">
      <c r="B1473" s="318">
        <f t="shared" si="91"/>
        <v>46174</v>
      </c>
      <c r="C1473" s="312">
        <v>5</v>
      </c>
      <c r="D1473" s="368">
        <f>IFERROR((INDEX(METADATA!$T$2:$T$20,MATCH(B1473,METADATA!$S$2:$S$20,0))),0)</f>
        <v>0</v>
      </c>
      <c r="E1473" s="312" t="str">
        <f t="shared" si="88"/>
        <v>LO</v>
      </c>
      <c r="F1473" s="369">
        <f>VLOOKUP(C1473,METADATA!$A$5:$H$29,IF(E1473="HI",2,IF(E1473="LO",6,10))+IF(D1473=1,2,IF(D1473=7,1,(IF(WEEKDAY(B1473)=1,2,IF(WEEKDAY(B1473)=7,1,0))))))</f>
        <v>3</v>
      </c>
      <c r="G1473" s="369">
        <f>VLOOKUP(C1473,METADATA!$J$5:$Q$29,IF(E1473="HI",2,IF(E1473="LO",6,10))+IF(D1473=1,2,IF(D1473=7,1,(IF(WEEKDAY(B1473)=1,2,IF(WEEKDAY(B1473)=7,1,0))))))</f>
        <v>3</v>
      </c>
      <c r="H1473" s="370">
        <v>11747.099975585938</v>
      </c>
      <c r="I1473" s="370">
        <v>530.90000915527344</v>
      </c>
      <c r="M1473" s="371">
        <f t="shared" si="89"/>
        <v>11759.090638996377</v>
      </c>
      <c r="N1473" s="329">
        <f t="shared" si="90"/>
        <v>0</v>
      </c>
      <c r="T1473" s="331">
        <v>0</v>
      </c>
      <c r="U1473" s="328">
        <f>VLOOKUP(C1473,METADATA!$J$5:$Q$29,IF(E1473="HI",2,IF(E1473="LO",6,10))+IF(T1473=1,2,IF(D1473=7,1,(IF(WEEKDAY(B1473)=1,2,IF(WEEKDAY(B1473)=7,1,0))))))</f>
        <v>3</v>
      </c>
      <c r="V1473" s="328">
        <f>VLOOKUP(C1473,METADATA!$A$5:$H$29,IF(E1473="HI",2,IF(E1473="LO",6,10))+IF(T1473=1,2,IF(D1473=7,1,(IF(WEEKDAY(B1473)=1,2,IF(WEEKDAY(B1473)=7,1,0))))))</f>
        <v>3</v>
      </c>
    </row>
    <row r="1474" spans="2:22">
      <c r="B1474" s="318">
        <f t="shared" si="91"/>
        <v>46174</v>
      </c>
      <c r="C1474" s="312">
        <v>6</v>
      </c>
      <c r="D1474" s="368">
        <f>IFERROR((INDEX(METADATA!$T$2:$T$20,MATCH(B1474,METADATA!$S$2:$S$20,0))),0)</f>
        <v>0</v>
      </c>
      <c r="E1474" s="312" t="str">
        <f t="shared" si="88"/>
        <v>LO</v>
      </c>
      <c r="F1474" s="369">
        <f>VLOOKUP(C1474,METADATA!$A$5:$H$29,IF(E1474="HI",2,IF(E1474="LO",6,10))+IF(D1474=1,2,IF(D1474=7,1,(IF(WEEKDAY(B1474)=1,2,IF(WEEKDAY(B1474)=7,1,0))))))</f>
        <v>2</v>
      </c>
      <c r="G1474" s="369">
        <f>VLOOKUP(C1474,METADATA!$J$5:$Q$29,IF(E1474="HI",2,IF(E1474="LO",6,10))+IF(D1474=1,2,IF(D1474=7,1,(IF(WEEKDAY(B1474)=1,2,IF(WEEKDAY(B1474)=7,1,0))))))</f>
        <v>2</v>
      </c>
      <c r="H1474" s="370">
        <v>11416.674987792969</v>
      </c>
      <c r="I1474" s="370">
        <v>398.04249572753906</v>
      </c>
      <c r="M1474" s="371">
        <f t="shared" si="89"/>
        <v>11423.611758340818</v>
      </c>
      <c r="N1474" s="329">
        <f t="shared" si="90"/>
        <v>0</v>
      </c>
      <c r="T1474" s="331">
        <v>0</v>
      </c>
      <c r="U1474" s="328">
        <f>VLOOKUP(C1474,METADATA!$J$5:$Q$29,IF(E1474="HI",2,IF(E1474="LO",6,10))+IF(T1474=1,2,IF(D1474=7,1,(IF(WEEKDAY(B1474)=1,2,IF(WEEKDAY(B1474)=7,1,0))))))</f>
        <v>2</v>
      </c>
      <c r="V1474" s="328">
        <f>VLOOKUP(C1474,METADATA!$A$5:$H$29,IF(E1474="HI",2,IF(E1474="LO",6,10))+IF(T1474=1,2,IF(D1474=7,1,(IF(WEEKDAY(B1474)=1,2,IF(WEEKDAY(B1474)=7,1,0))))))</f>
        <v>2</v>
      </c>
    </row>
    <row r="1475" spans="2:22">
      <c r="B1475" s="318">
        <f t="shared" si="91"/>
        <v>46174</v>
      </c>
      <c r="C1475" s="312">
        <v>7</v>
      </c>
      <c r="D1475" s="368">
        <f>IFERROR((INDEX(METADATA!$T$2:$T$20,MATCH(B1475,METADATA!$S$2:$S$20,0))),0)</f>
        <v>0</v>
      </c>
      <c r="E1475" s="312" t="str">
        <f t="shared" si="88"/>
        <v>LO</v>
      </c>
      <c r="F1475" s="369">
        <f>VLOOKUP(C1475,METADATA!$A$5:$H$29,IF(E1475="HI",2,IF(E1475="LO",6,10))+IF(D1475=1,2,IF(D1475=7,1,(IF(WEEKDAY(B1475)=1,2,IF(WEEKDAY(B1475)=7,1,0))))))</f>
        <v>1</v>
      </c>
      <c r="G1475" s="369">
        <f>VLOOKUP(C1475,METADATA!$J$5:$Q$29,IF(E1475="HI",2,IF(E1475="LO",6,10))+IF(D1475=1,2,IF(D1475=7,1,(IF(WEEKDAY(B1475)=1,2,IF(WEEKDAY(B1475)=7,1,0))))))</f>
        <v>1</v>
      </c>
      <c r="H1475" s="370">
        <v>6010.6275939941406</v>
      </c>
      <c r="I1475" s="370">
        <v>56.18549919128418</v>
      </c>
      <c r="M1475" s="371">
        <f t="shared" si="89"/>
        <v>6010.890190645905</v>
      </c>
      <c r="N1475" s="329">
        <f t="shared" si="90"/>
        <v>0</v>
      </c>
      <c r="T1475" s="331">
        <v>0</v>
      </c>
      <c r="U1475" s="328">
        <f>VLOOKUP(C1475,METADATA!$J$5:$Q$29,IF(E1475="HI",2,IF(E1475="LO",6,10))+IF(T1475=1,2,IF(D1475=7,1,(IF(WEEKDAY(B1475)=1,2,IF(WEEKDAY(B1475)=7,1,0))))))</f>
        <v>1</v>
      </c>
      <c r="V1475" s="328">
        <f>VLOOKUP(C1475,METADATA!$A$5:$H$29,IF(E1475="HI",2,IF(E1475="LO",6,10))+IF(T1475=1,2,IF(D1475=7,1,(IF(WEEKDAY(B1475)=1,2,IF(WEEKDAY(B1475)=7,1,0))))))</f>
        <v>1</v>
      </c>
    </row>
    <row r="1476" spans="2:22">
      <c r="B1476" s="318">
        <f t="shared" si="91"/>
        <v>46174</v>
      </c>
      <c r="C1476" s="312">
        <v>8</v>
      </c>
      <c r="D1476" s="368">
        <f>IFERROR((INDEX(METADATA!$T$2:$T$20,MATCH(B1476,METADATA!$S$2:$S$20,0))),0)</f>
        <v>0</v>
      </c>
      <c r="E1476" s="312" t="str">
        <f t="shared" ref="E1476:E1539" si="92">IF(B1476="","",IF(AND(MONTH(B1476)&gt;=MONTH($Z$9),MONTH(B1476)&lt;=MONTH($Z$11)),"HI","LO"))</f>
        <v>LO</v>
      </c>
      <c r="F1476" s="369">
        <f>VLOOKUP(C1476,METADATA!$A$5:$H$29,IF(E1476="HI",2,IF(E1476="LO",6,10))+IF(D1476=1,2,IF(D1476=7,1,(IF(WEEKDAY(B1476)=1,2,IF(WEEKDAY(B1476)=7,1,0))))))</f>
        <v>1</v>
      </c>
      <c r="G1476" s="369">
        <f>VLOOKUP(C1476,METADATA!$J$5:$Q$29,IF(E1476="HI",2,IF(E1476="LO",6,10))+IF(D1476=1,2,IF(D1476=7,1,(IF(WEEKDAY(B1476)=1,2,IF(WEEKDAY(B1476)=7,1,0))))))</f>
        <v>1</v>
      </c>
      <c r="H1476" s="370">
        <v>3862.1524963378906</v>
      </c>
      <c r="I1476" s="370">
        <v>0</v>
      </c>
      <c r="M1476" s="371">
        <f t="shared" ref="M1476:M1539" si="93">SQRT(H1476^2+I1476^2)</f>
        <v>3862.1524963378906</v>
      </c>
      <c r="N1476" s="329">
        <f t="shared" ref="N1476:N1539" si="94">IF(H1476=0,0,(IF(I1476-(0.3*H1476)&lt;0,0,(I1476-(0.3*H1476)))))</f>
        <v>0</v>
      </c>
      <c r="T1476" s="331">
        <v>0</v>
      </c>
      <c r="U1476" s="328">
        <f>VLOOKUP(C1476,METADATA!$J$5:$Q$29,IF(E1476="HI",2,IF(E1476="LO",6,10))+IF(T1476=1,2,IF(D1476=7,1,(IF(WEEKDAY(B1476)=1,2,IF(WEEKDAY(B1476)=7,1,0))))))</f>
        <v>1</v>
      </c>
      <c r="V1476" s="328">
        <f>VLOOKUP(C1476,METADATA!$A$5:$H$29,IF(E1476="HI",2,IF(E1476="LO",6,10))+IF(T1476=1,2,IF(D1476=7,1,(IF(WEEKDAY(B1476)=1,2,IF(WEEKDAY(B1476)=7,1,0))))))</f>
        <v>1</v>
      </c>
    </row>
    <row r="1477" spans="2:22">
      <c r="B1477" s="318">
        <f t="shared" si="91"/>
        <v>46174</v>
      </c>
      <c r="C1477" s="312">
        <v>9</v>
      </c>
      <c r="D1477" s="368">
        <f>IFERROR((INDEX(METADATA!$T$2:$T$20,MATCH(B1477,METADATA!$S$2:$S$20,0))),0)</f>
        <v>0</v>
      </c>
      <c r="E1477" s="312" t="str">
        <f t="shared" si="92"/>
        <v>LO</v>
      </c>
      <c r="F1477" s="369">
        <f>VLOOKUP(C1477,METADATA!$A$5:$H$29,IF(E1477="HI",2,IF(E1477="LO",6,10))+IF(D1477=1,2,IF(D1477=7,1,(IF(WEEKDAY(B1477)=1,2,IF(WEEKDAY(B1477)=7,1,0))))))</f>
        <v>2</v>
      </c>
      <c r="G1477" s="369">
        <f>VLOOKUP(C1477,METADATA!$J$5:$Q$29,IF(E1477="HI",2,IF(E1477="LO",6,10))+IF(D1477=1,2,IF(D1477=7,1,(IF(WEEKDAY(B1477)=1,2,IF(WEEKDAY(B1477)=7,1,0))))))</f>
        <v>2</v>
      </c>
      <c r="H1477" s="370">
        <v>3588.6423950195313</v>
      </c>
      <c r="I1477" s="370">
        <v>0</v>
      </c>
      <c r="M1477" s="371">
        <f t="shared" si="93"/>
        <v>3588.6423950195313</v>
      </c>
      <c r="N1477" s="329">
        <f t="shared" si="94"/>
        <v>0</v>
      </c>
      <c r="T1477" s="331">
        <v>0</v>
      </c>
      <c r="U1477" s="328">
        <f>VLOOKUP(C1477,METADATA!$J$5:$Q$29,IF(E1477="HI",2,IF(E1477="LO",6,10))+IF(T1477=1,2,IF(D1477=7,1,(IF(WEEKDAY(B1477)=1,2,IF(WEEKDAY(B1477)=7,1,0))))))</f>
        <v>2</v>
      </c>
      <c r="V1477" s="328">
        <f>VLOOKUP(C1477,METADATA!$A$5:$H$29,IF(E1477="HI",2,IF(E1477="LO",6,10))+IF(T1477=1,2,IF(D1477=7,1,(IF(WEEKDAY(B1477)=1,2,IF(WEEKDAY(B1477)=7,1,0))))))</f>
        <v>2</v>
      </c>
    </row>
    <row r="1478" spans="2:22">
      <c r="B1478" s="318">
        <f t="shared" si="91"/>
        <v>46174</v>
      </c>
      <c r="C1478" s="312">
        <v>10</v>
      </c>
      <c r="D1478" s="368">
        <f>IFERROR((INDEX(METADATA!$T$2:$T$20,MATCH(B1478,METADATA!$S$2:$S$20,0))),0)</f>
        <v>0</v>
      </c>
      <c r="E1478" s="312" t="str">
        <f t="shared" si="92"/>
        <v>LO</v>
      </c>
      <c r="F1478" s="369">
        <f>VLOOKUP(C1478,METADATA!$A$5:$H$29,IF(E1478="HI",2,IF(E1478="LO",6,10))+IF(D1478=1,2,IF(D1478=7,1,(IF(WEEKDAY(B1478)=1,2,IF(WEEKDAY(B1478)=7,1,0))))))</f>
        <v>2</v>
      </c>
      <c r="G1478" s="369">
        <f>VLOOKUP(C1478,METADATA!$J$5:$Q$29,IF(E1478="HI",2,IF(E1478="LO",6,10))+IF(D1478=1,2,IF(D1478=7,1,(IF(WEEKDAY(B1478)=1,2,IF(WEEKDAY(B1478)=7,1,0))))))</f>
        <v>2</v>
      </c>
      <c r="H1478" s="370">
        <v>3394.3050537109375</v>
      </c>
      <c r="I1478" s="370">
        <v>0</v>
      </c>
      <c r="M1478" s="371">
        <f t="shared" si="93"/>
        <v>3394.3050537109375</v>
      </c>
      <c r="N1478" s="329">
        <f t="shared" si="94"/>
        <v>0</v>
      </c>
      <c r="T1478" s="331">
        <v>0</v>
      </c>
      <c r="U1478" s="328">
        <f>VLOOKUP(C1478,METADATA!$J$5:$Q$29,IF(E1478="HI",2,IF(E1478="LO",6,10))+IF(T1478=1,2,IF(D1478=7,1,(IF(WEEKDAY(B1478)=1,2,IF(WEEKDAY(B1478)=7,1,0))))))</f>
        <v>2</v>
      </c>
      <c r="V1478" s="328">
        <f>VLOOKUP(C1478,METADATA!$A$5:$H$29,IF(E1478="HI",2,IF(E1478="LO",6,10))+IF(T1478=1,2,IF(D1478=7,1,(IF(WEEKDAY(B1478)=1,2,IF(WEEKDAY(B1478)=7,1,0))))))</f>
        <v>2</v>
      </c>
    </row>
    <row r="1479" spans="2:22">
      <c r="B1479" s="318">
        <f t="shared" si="91"/>
        <v>46174</v>
      </c>
      <c r="C1479" s="312">
        <v>11</v>
      </c>
      <c r="D1479" s="368">
        <f>IFERROR((INDEX(METADATA!$T$2:$T$20,MATCH(B1479,METADATA!$S$2:$S$20,0))),0)</f>
        <v>0</v>
      </c>
      <c r="E1479" s="312" t="str">
        <f t="shared" si="92"/>
        <v>LO</v>
      </c>
      <c r="F1479" s="369">
        <f>VLOOKUP(C1479,METADATA!$A$5:$H$29,IF(E1479="HI",2,IF(E1479="LO",6,10))+IF(D1479=1,2,IF(D1479=7,1,(IF(WEEKDAY(B1479)=1,2,IF(WEEKDAY(B1479)=7,1,0))))))</f>
        <v>2</v>
      </c>
      <c r="G1479" s="369">
        <f>VLOOKUP(C1479,METADATA!$J$5:$Q$29,IF(E1479="HI",2,IF(E1479="LO",6,10))+IF(D1479=1,2,IF(D1479=7,1,(IF(WEEKDAY(B1479)=1,2,IF(WEEKDAY(B1479)=7,1,0))))))</f>
        <v>2</v>
      </c>
      <c r="H1479" s="370">
        <v>3349.0649719238281</v>
      </c>
      <c r="I1479" s="370">
        <v>0</v>
      </c>
      <c r="M1479" s="371">
        <f t="shared" si="93"/>
        <v>3349.0649719238281</v>
      </c>
      <c r="N1479" s="329">
        <f t="shared" si="94"/>
        <v>0</v>
      </c>
      <c r="T1479" s="331">
        <v>0</v>
      </c>
      <c r="U1479" s="328">
        <f>VLOOKUP(C1479,METADATA!$J$5:$Q$29,IF(E1479="HI",2,IF(E1479="LO",6,10))+IF(T1479=1,2,IF(D1479=7,1,(IF(WEEKDAY(B1479)=1,2,IF(WEEKDAY(B1479)=7,1,0))))))</f>
        <v>2</v>
      </c>
      <c r="V1479" s="328">
        <f>VLOOKUP(C1479,METADATA!$A$5:$H$29,IF(E1479="HI",2,IF(E1479="LO",6,10))+IF(T1479=1,2,IF(D1479=7,1,(IF(WEEKDAY(B1479)=1,2,IF(WEEKDAY(B1479)=7,1,0))))))</f>
        <v>2</v>
      </c>
    </row>
    <row r="1480" spans="2:22">
      <c r="B1480" s="318">
        <f t="shared" si="91"/>
        <v>46174</v>
      </c>
      <c r="C1480" s="312">
        <v>12</v>
      </c>
      <c r="D1480" s="368">
        <f>IFERROR((INDEX(METADATA!$T$2:$T$20,MATCH(B1480,METADATA!$S$2:$S$20,0))),0)</f>
        <v>0</v>
      </c>
      <c r="E1480" s="312" t="str">
        <f t="shared" si="92"/>
        <v>LO</v>
      </c>
      <c r="F1480" s="369">
        <f>VLOOKUP(C1480,METADATA!$A$5:$H$29,IF(E1480="HI",2,IF(E1480="LO",6,10))+IF(D1480=1,2,IF(D1480=7,1,(IF(WEEKDAY(B1480)=1,2,IF(WEEKDAY(B1480)=7,1,0))))))</f>
        <v>2</v>
      </c>
      <c r="G1480" s="369">
        <f>VLOOKUP(C1480,METADATA!$J$5:$Q$29,IF(E1480="HI",2,IF(E1480="LO",6,10))+IF(D1480=1,2,IF(D1480=7,1,(IF(WEEKDAY(B1480)=1,2,IF(WEEKDAY(B1480)=7,1,0))))))</f>
        <v>2</v>
      </c>
      <c r="H1480" s="370">
        <v>3260.0149841308594</v>
      </c>
      <c r="I1480" s="370">
        <v>0</v>
      </c>
      <c r="M1480" s="371">
        <f t="shared" si="93"/>
        <v>3260.0149841308594</v>
      </c>
      <c r="N1480" s="329">
        <f t="shared" si="94"/>
        <v>0</v>
      </c>
      <c r="T1480" s="331">
        <v>0</v>
      </c>
      <c r="U1480" s="328">
        <f>VLOOKUP(C1480,METADATA!$J$5:$Q$29,IF(E1480="HI",2,IF(E1480="LO",6,10))+IF(T1480=1,2,IF(D1480=7,1,(IF(WEEKDAY(B1480)=1,2,IF(WEEKDAY(B1480)=7,1,0))))))</f>
        <v>2</v>
      </c>
      <c r="V1480" s="328">
        <f>VLOOKUP(C1480,METADATA!$A$5:$H$29,IF(E1480="HI",2,IF(E1480="LO",6,10))+IF(T1480=1,2,IF(D1480=7,1,(IF(WEEKDAY(B1480)=1,2,IF(WEEKDAY(B1480)=7,1,0))))))</f>
        <v>2</v>
      </c>
    </row>
    <row r="1481" spans="2:22">
      <c r="B1481" s="318">
        <f t="shared" si="91"/>
        <v>46174</v>
      </c>
      <c r="C1481" s="312">
        <v>13</v>
      </c>
      <c r="D1481" s="368">
        <f>IFERROR((INDEX(METADATA!$T$2:$T$20,MATCH(B1481,METADATA!$S$2:$S$20,0))),0)</f>
        <v>0</v>
      </c>
      <c r="E1481" s="312" t="str">
        <f t="shared" si="92"/>
        <v>LO</v>
      </c>
      <c r="F1481" s="369">
        <f>VLOOKUP(C1481,METADATA!$A$5:$H$29,IF(E1481="HI",2,IF(E1481="LO",6,10))+IF(D1481=1,2,IF(D1481=7,1,(IF(WEEKDAY(B1481)=1,2,IF(WEEKDAY(B1481)=7,1,0))))))</f>
        <v>2</v>
      </c>
      <c r="G1481" s="369">
        <f>VLOOKUP(C1481,METADATA!$J$5:$Q$29,IF(E1481="HI",2,IF(E1481="LO",6,10))+IF(D1481=1,2,IF(D1481=7,1,(IF(WEEKDAY(B1481)=1,2,IF(WEEKDAY(B1481)=7,1,0))))))</f>
        <v>2</v>
      </c>
      <c r="H1481" s="370">
        <v>3212.5950012207031</v>
      </c>
      <c r="I1481" s="370">
        <v>0</v>
      </c>
      <c r="M1481" s="371">
        <f t="shared" si="93"/>
        <v>3212.5950012207031</v>
      </c>
      <c r="N1481" s="329">
        <f t="shared" si="94"/>
        <v>0</v>
      </c>
      <c r="T1481" s="331">
        <v>0</v>
      </c>
      <c r="U1481" s="328">
        <f>VLOOKUP(C1481,METADATA!$J$5:$Q$29,IF(E1481="HI",2,IF(E1481="LO",6,10))+IF(T1481=1,2,IF(D1481=7,1,(IF(WEEKDAY(B1481)=1,2,IF(WEEKDAY(B1481)=7,1,0))))))</f>
        <v>2</v>
      </c>
      <c r="V1481" s="328">
        <f>VLOOKUP(C1481,METADATA!$A$5:$H$29,IF(E1481="HI",2,IF(E1481="LO",6,10))+IF(T1481=1,2,IF(D1481=7,1,(IF(WEEKDAY(B1481)=1,2,IF(WEEKDAY(B1481)=7,1,0))))))</f>
        <v>2</v>
      </c>
    </row>
    <row r="1482" spans="2:22">
      <c r="B1482" s="318">
        <f t="shared" si="91"/>
        <v>46174</v>
      </c>
      <c r="C1482" s="312">
        <v>14</v>
      </c>
      <c r="D1482" s="368">
        <f>IFERROR((INDEX(METADATA!$T$2:$T$20,MATCH(B1482,METADATA!$S$2:$S$20,0))),0)</f>
        <v>0</v>
      </c>
      <c r="E1482" s="312" t="str">
        <f t="shared" si="92"/>
        <v>LO</v>
      </c>
      <c r="F1482" s="369">
        <f>VLOOKUP(C1482,METADATA!$A$5:$H$29,IF(E1482="HI",2,IF(E1482="LO",6,10))+IF(D1482=1,2,IF(D1482=7,1,(IF(WEEKDAY(B1482)=1,2,IF(WEEKDAY(B1482)=7,1,0))))))</f>
        <v>2</v>
      </c>
      <c r="G1482" s="369">
        <f>VLOOKUP(C1482,METADATA!$J$5:$Q$29,IF(E1482="HI",2,IF(E1482="LO",6,10))+IF(D1482=1,2,IF(D1482=7,1,(IF(WEEKDAY(B1482)=1,2,IF(WEEKDAY(B1482)=7,1,0))))))</f>
        <v>2</v>
      </c>
      <c r="H1482" s="370">
        <v>3077.4474487304688</v>
      </c>
      <c r="I1482" s="370">
        <v>0</v>
      </c>
      <c r="M1482" s="371">
        <f t="shared" si="93"/>
        <v>3077.4474487304688</v>
      </c>
      <c r="N1482" s="329">
        <f t="shared" si="94"/>
        <v>0</v>
      </c>
      <c r="T1482" s="331">
        <v>0</v>
      </c>
      <c r="U1482" s="328">
        <f>VLOOKUP(C1482,METADATA!$J$5:$Q$29,IF(E1482="HI",2,IF(E1482="LO",6,10))+IF(T1482=1,2,IF(D1482=7,1,(IF(WEEKDAY(B1482)=1,2,IF(WEEKDAY(B1482)=7,1,0))))))</f>
        <v>2</v>
      </c>
      <c r="V1482" s="328">
        <f>VLOOKUP(C1482,METADATA!$A$5:$H$29,IF(E1482="HI",2,IF(E1482="LO",6,10))+IF(T1482=1,2,IF(D1482=7,1,(IF(WEEKDAY(B1482)=1,2,IF(WEEKDAY(B1482)=7,1,0))))))</f>
        <v>2</v>
      </c>
    </row>
    <row r="1483" spans="2:22">
      <c r="B1483" s="318">
        <f t="shared" si="91"/>
        <v>46174</v>
      </c>
      <c r="C1483" s="312">
        <v>15</v>
      </c>
      <c r="D1483" s="368">
        <f>IFERROR((INDEX(METADATA!$T$2:$T$20,MATCH(B1483,METADATA!$S$2:$S$20,0))),0)</f>
        <v>0</v>
      </c>
      <c r="E1483" s="312" t="str">
        <f t="shared" si="92"/>
        <v>LO</v>
      </c>
      <c r="F1483" s="369">
        <f>VLOOKUP(C1483,METADATA!$A$5:$H$29,IF(E1483="HI",2,IF(E1483="LO",6,10))+IF(D1483=1,2,IF(D1483=7,1,(IF(WEEKDAY(B1483)=1,2,IF(WEEKDAY(B1483)=7,1,0))))))</f>
        <v>2</v>
      </c>
      <c r="G1483" s="369">
        <f>VLOOKUP(C1483,METADATA!$J$5:$Q$29,IF(E1483="HI",2,IF(E1483="LO",6,10))+IF(D1483=1,2,IF(D1483=7,1,(IF(WEEKDAY(B1483)=1,2,IF(WEEKDAY(B1483)=7,1,0))))))</f>
        <v>2</v>
      </c>
      <c r="H1483" s="370">
        <v>2859.9325561523438</v>
      </c>
      <c r="I1483" s="370">
        <v>0</v>
      </c>
      <c r="M1483" s="371">
        <f t="shared" si="93"/>
        <v>2859.9325561523438</v>
      </c>
      <c r="N1483" s="329">
        <f t="shared" si="94"/>
        <v>0</v>
      </c>
      <c r="T1483" s="331">
        <v>0</v>
      </c>
      <c r="U1483" s="328">
        <f>VLOOKUP(C1483,METADATA!$J$5:$Q$29,IF(E1483="HI",2,IF(E1483="LO",6,10))+IF(T1483=1,2,IF(D1483=7,1,(IF(WEEKDAY(B1483)=1,2,IF(WEEKDAY(B1483)=7,1,0))))))</f>
        <v>2</v>
      </c>
      <c r="V1483" s="328">
        <f>VLOOKUP(C1483,METADATA!$A$5:$H$29,IF(E1483="HI",2,IF(E1483="LO",6,10))+IF(T1483=1,2,IF(D1483=7,1,(IF(WEEKDAY(B1483)=1,2,IF(WEEKDAY(B1483)=7,1,0))))))</f>
        <v>2</v>
      </c>
    </row>
    <row r="1484" spans="2:22">
      <c r="B1484" s="318">
        <f t="shared" si="91"/>
        <v>46174</v>
      </c>
      <c r="C1484" s="312">
        <v>16</v>
      </c>
      <c r="D1484" s="368">
        <f>IFERROR((INDEX(METADATA!$T$2:$T$20,MATCH(B1484,METADATA!$S$2:$S$20,0))),0)</f>
        <v>0</v>
      </c>
      <c r="E1484" s="312" t="str">
        <f t="shared" si="92"/>
        <v>LO</v>
      </c>
      <c r="F1484" s="369">
        <f>VLOOKUP(C1484,METADATA!$A$5:$H$29,IF(E1484="HI",2,IF(E1484="LO",6,10))+IF(D1484=1,2,IF(D1484=7,1,(IF(WEEKDAY(B1484)=1,2,IF(WEEKDAY(B1484)=7,1,0))))))</f>
        <v>2</v>
      </c>
      <c r="G1484" s="369">
        <f>VLOOKUP(C1484,METADATA!$J$5:$Q$29,IF(E1484="HI",2,IF(E1484="LO",6,10))+IF(D1484=1,2,IF(D1484=7,1,(IF(WEEKDAY(B1484)=1,2,IF(WEEKDAY(B1484)=7,1,0))))))</f>
        <v>2</v>
      </c>
      <c r="H1484" s="370">
        <v>2864.3775024414063</v>
      </c>
      <c r="I1484" s="370">
        <v>0</v>
      </c>
      <c r="M1484" s="371">
        <f t="shared" si="93"/>
        <v>2864.3775024414063</v>
      </c>
      <c r="N1484" s="329">
        <f t="shared" si="94"/>
        <v>0</v>
      </c>
      <c r="T1484" s="331">
        <v>0</v>
      </c>
      <c r="U1484" s="328">
        <f>VLOOKUP(C1484,METADATA!$J$5:$Q$29,IF(E1484="HI",2,IF(E1484="LO",6,10))+IF(T1484=1,2,IF(D1484=7,1,(IF(WEEKDAY(B1484)=1,2,IF(WEEKDAY(B1484)=7,1,0))))))</f>
        <v>2</v>
      </c>
      <c r="V1484" s="328">
        <f>VLOOKUP(C1484,METADATA!$A$5:$H$29,IF(E1484="HI",2,IF(E1484="LO",6,10))+IF(T1484=1,2,IF(D1484=7,1,(IF(WEEKDAY(B1484)=1,2,IF(WEEKDAY(B1484)=7,1,0))))))</f>
        <v>2</v>
      </c>
    </row>
    <row r="1485" spans="2:22">
      <c r="B1485" s="318">
        <f t="shared" si="91"/>
        <v>46174</v>
      </c>
      <c r="C1485" s="312">
        <v>17</v>
      </c>
      <c r="D1485" s="368">
        <f>IFERROR((INDEX(METADATA!$T$2:$T$20,MATCH(B1485,METADATA!$S$2:$S$20,0))),0)</f>
        <v>0</v>
      </c>
      <c r="E1485" s="312" t="str">
        <f t="shared" si="92"/>
        <v>LO</v>
      </c>
      <c r="F1485" s="369">
        <f>VLOOKUP(C1485,METADATA!$A$5:$H$29,IF(E1485="HI",2,IF(E1485="LO",6,10))+IF(D1485=1,2,IF(D1485=7,1,(IF(WEEKDAY(B1485)=1,2,IF(WEEKDAY(B1485)=7,1,0))))))</f>
        <v>2</v>
      </c>
      <c r="G1485" s="369">
        <f>VLOOKUP(C1485,METADATA!$J$5:$Q$29,IF(E1485="HI",2,IF(E1485="LO",6,10))+IF(D1485=1,2,IF(D1485=7,1,(IF(WEEKDAY(B1485)=1,2,IF(WEEKDAY(B1485)=7,1,0))))))</f>
        <v>2</v>
      </c>
      <c r="H1485" s="370">
        <v>3090.3875427246094</v>
      </c>
      <c r="I1485" s="370">
        <v>0</v>
      </c>
      <c r="M1485" s="371">
        <f t="shared" si="93"/>
        <v>3090.3875427246094</v>
      </c>
      <c r="N1485" s="329">
        <f t="shared" si="94"/>
        <v>0</v>
      </c>
      <c r="T1485" s="331">
        <v>0</v>
      </c>
      <c r="U1485" s="328">
        <f>VLOOKUP(C1485,METADATA!$J$5:$Q$29,IF(E1485="HI",2,IF(E1485="LO",6,10))+IF(T1485=1,2,IF(D1485=7,1,(IF(WEEKDAY(B1485)=1,2,IF(WEEKDAY(B1485)=7,1,0))))))</f>
        <v>2</v>
      </c>
      <c r="V1485" s="328">
        <f>VLOOKUP(C1485,METADATA!$A$5:$H$29,IF(E1485="HI",2,IF(E1485="LO",6,10))+IF(T1485=1,2,IF(D1485=7,1,(IF(WEEKDAY(B1485)=1,2,IF(WEEKDAY(B1485)=7,1,0))))))</f>
        <v>2</v>
      </c>
    </row>
    <row r="1486" spans="2:22">
      <c r="B1486" s="318">
        <f t="shared" si="91"/>
        <v>46174</v>
      </c>
      <c r="C1486" s="312">
        <v>18</v>
      </c>
      <c r="D1486" s="368">
        <f>IFERROR((INDEX(METADATA!$T$2:$T$20,MATCH(B1486,METADATA!$S$2:$S$20,0))),0)</f>
        <v>0</v>
      </c>
      <c r="E1486" s="312" t="str">
        <f t="shared" si="92"/>
        <v>LO</v>
      </c>
      <c r="F1486" s="369">
        <f>VLOOKUP(C1486,METADATA!$A$5:$H$29,IF(E1486="HI",2,IF(E1486="LO",6,10))+IF(D1486=1,2,IF(D1486=7,1,(IF(WEEKDAY(B1486)=1,2,IF(WEEKDAY(B1486)=7,1,0))))))</f>
        <v>1</v>
      </c>
      <c r="G1486" s="369">
        <f>VLOOKUP(C1486,METADATA!$J$5:$Q$29,IF(E1486="HI",2,IF(E1486="LO",6,10))+IF(D1486=1,2,IF(D1486=7,1,(IF(WEEKDAY(B1486)=1,2,IF(WEEKDAY(B1486)=7,1,0))))))</f>
        <v>1</v>
      </c>
      <c r="H1486" s="370">
        <v>3119.1549987792969</v>
      </c>
      <c r="I1486" s="370">
        <v>0</v>
      </c>
      <c r="M1486" s="371">
        <f t="shared" si="93"/>
        <v>3119.1549987792969</v>
      </c>
      <c r="N1486" s="329">
        <f t="shared" si="94"/>
        <v>0</v>
      </c>
      <c r="T1486" s="331">
        <v>0</v>
      </c>
      <c r="U1486" s="328">
        <f>VLOOKUP(C1486,METADATA!$J$5:$Q$29,IF(E1486="HI",2,IF(E1486="LO",6,10))+IF(T1486=1,2,IF(D1486=7,1,(IF(WEEKDAY(B1486)=1,2,IF(WEEKDAY(B1486)=7,1,0))))))</f>
        <v>1</v>
      </c>
      <c r="V1486" s="328">
        <f>VLOOKUP(C1486,METADATA!$A$5:$H$29,IF(E1486="HI",2,IF(E1486="LO",6,10))+IF(T1486=1,2,IF(D1486=7,1,(IF(WEEKDAY(B1486)=1,2,IF(WEEKDAY(B1486)=7,1,0))))))</f>
        <v>1</v>
      </c>
    </row>
    <row r="1487" spans="2:22">
      <c r="B1487" s="318">
        <f t="shared" si="91"/>
        <v>46174</v>
      </c>
      <c r="C1487" s="312">
        <v>19</v>
      </c>
      <c r="D1487" s="368">
        <f>IFERROR((INDEX(METADATA!$T$2:$T$20,MATCH(B1487,METADATA!$S$2:$S$20,0))),0)</f>
        <v>0</v>
      </c>
      <c r="E1487" s="312" t="str">
        <f t="shared" si="92"/>
        <v>LO</v>
      </c>
      <c r="F1487" s="369">
        <f>VLOOKUP(C1487,METADATA!$A$5:$H$29,IF(E1487="HI",2,IF(E1487="LO",6,10))+IF(D1487=1,2,IF(D1487=7,1,(IF(WEEKDAY(B1487)=1,2,IF(WEEKDAY(B1487)=7,1,0))))))</f>
        <v>1</v>
      </c>
      <c r="G1487" s="369">
        <f>VLOOKUP(C1487,METADATA!$J$5:$Q$29,IF(E1487="HI",2,IF(E1487="LO",6,10))+IF(D1487=1,2,IF(D1487=7,1,(IF(WEEKDAY(B1487)=1,2,IF(WEEKDAY(B1487)=7,1,0))))))</f>
        <v>1</v>
      </c>
      <c r="H1487" s="370">
        <v>3007.2749938964844</v>
      </c>
      <c r="I1487" s="370">
        <v>0</v>
      </c>
      <c r="M1487" s="371">
        <f t="shared" si="93"/>
        <v>3007.2749938964844</v>
      </c>
      <c r="N1487" s="329">
        <f t="shared" si="94"/>
        <v>0</v>
      </c>
      <c r="T1487" s="331">
        <v>0</v>
      </c>
      <c r="U1487" s="328">
        <f>VLOOKUP(C1487,METADATA!$J$5:$Q$29,IF(E1487="HI",2,IF(E1487="LO",6,10))+IF(T1487=1,2,IF(D1487=7,1,(IF(WEEKDAY(B1487)=1,2,IF(WEEKDAY(B1487)=7,1,0))))))</f>
        <v>1</v>
      </c>
      <c r="V1487" s="328">
        <f>VLOOKUP(C1487,METADATA!$A$5:$H$29,IF(E1487="HI",2,IF(E1487="LO",6,10))+IF(T1487=1,2,IF(D1487=7,1,(IF(WEEKDAY(B1487)=1,2,IF(WEEKDAY(B1487)=7,1,0))))))</f>
        <v>1</v>
      </c>
    </row>
    <row r="1488" spans="2:22">
      <c r="B1488" s="318">
        <f t="shared" si="91"/>
        <v>46174</v>
      </c>
      <c r="C1488" s="312">
        <v>20</v>
      </c>
      <c r="D1488" s="368">
        <f>IFERROR((INDEX(METADATA!$T$2:$T$20,MATCH(B1488,METADATA!$S$2:$S$20,0))),0)</f>
        <v>0</v>
      </c>
      <c r="E1488" s="312" t="str">
        <f t="shared" si="92"/>
        <v>LO</v>
      </c>
      <c r="F1488" s="369">
        <f>VLOOKUP(C1488,METADATA!$A$5:$H$29,IF(E1488="HI",2,IF(E1488="LO",6,10))+IF(D1488=1,2,IF(D1488=7,1,(IF(WEEKDAY(B1488)=1,2,IF(WEEKDAY(B1488)=7,1,0))))))</f>
        <v>1</v>
      </c>
      <c r="G1488" s="369">
        <f>VLOOKUP(C1488,METADATA!$J$5:$Q$29,IF(E1488="HI",2,IF(E1488="LO",6,10))+IF(D1488=1,2,IF(D1488=7,1,(IF(WEEKDAY(B1488)=1,2,IF(WEEKDAY(B1488)=7,1,0))))))</f>
        <v>1</v>
      </c>
      <c r="H1488" s="370">
        <v>3093.4900207519531</v>
      </c>
      <c r="I1488" s="370">
        <v>0</v>
      </c>
      <c r="M1488" s="371">
        <f t="shared" si="93"/>
        <v>3093.4900207519531</v>
      </c>
      <c r="N1488" s="329">
        <f t="shared" si="94"/>
        <v>0</v>
      </c>
      <c r="T1488" s="331">
        <v>0</v>
      </c>
      <c r="U1488" s="328">
        <f>VLOOKUP(C1488,METADATA!$J$5:$Q$29,IF(E1488="HI",2,IF(E1488="LO",6,10))+IF(T1488=1,2,IF(D1488=7,1,(IF(WEEKDAY(B1488)=1,2,IF(WEEKDAY(B1488)=7,1,0))))))</f>
        <v>1</v>
      </c>
      <c r="V1488" s="328">
        <f>VLOOKUP(C1488,METADATA!$A$5:$H$29,IF(E1488="HI",2,IF(E1488="LO",6,10))+IF(T1488=1,2,IF(D1488=7,1,(IF(WEEKDAY(B1488)=1,2,IF(WEEKDAY(B1488)=7,1,0))))))</f>
        <v>1</v>
      </c>
    </row>
    <row r="1489" spans="2:22">
      <c r="B1489" s="318">
        <f t="shared" si="91"/>
        <v>46174</v>
      </c>
      <c r="C1489" s="312">
        <v>21</v>
      </c>
      <c r="D1489" s="368">
        <f>IFERROR((INDEX(METADATA!$T$2:$T$20,MATCH(B1489,METADATA!$S$2:$S$20,0))),0)</f>
        <v>0</v>
      </c>
      <c r="E1489" s="312" t="str">
        <f t="shared" si="92"/>
        <v>LO</v>
      </c>
      <c r="F1489" s="369">
        <f>VLOOKUP(C1489,METADATA!$A$5:$H$29,IF(E1489="HI",2,IF(E1489="LO",6,10))+IF(D1489=1,2,IF(D1489=7,1,(IF(WEEKDAY(B1489)=1,2,IF(WEEKDAY(B1489)=7,1,0))))))</f>
        <v>2</v>
      </c>
      <c r="G1489" s="369">
        <f>VLOOKUP(C1489,METADATA!$J$5:$Q$29,IF(E1489="HI",2,IF(E1489="LO",6,10))+IF(D1489=1,2,IF(D1489=7,1,(IF(WEEKDAY(B1489)=1,2,IF(WEEKDAY(B1489)=7,1,0))))))</f>
        <v>2</v>
      </c>
      <c r="H1489" s="370">
        <v>3209.8899230957031</v>
      </c>
      <c r="I1489" s="370">
        <v>0</v>
      </c>
      <c r="M1489" s="371">
        <f t="shared" si="93"/>
        <v>3209.8899230957031</v>
      </c>
      <c r="N1489" s="329">
        <f t="shared" si="94"/>
        <v>0</v>
      </c>
      <c r="T1489" s="331">
        <v>0</v>
      </c>
      <c r="U1489" s="328">
        <f>VLOOKUP(C1489,METADATA!$J$5:$Q$29,IF(E1489="HI",2,IF(E1489="LO",6,10))+IF(T1489=1,2,IF(D1489=7,1,(IF(WEEKDAY(B1489)=1,2,IF(WEEKDAY(B1489)=7,1,0))))))</f>
        <v>2</v>
      </c>
      <c r="V1489" s="328">
        <f>VLOOKUP(C1489,METADATA!$A$5:$H$29,IF(E1489="HI",2,IF(E1489="LO",6,10))+IF(T1489=1,2,IF(D1489=7,1,(IF(WEEKDAY(B1489)=1,2,IF(WEEKDAY(B1489)=7,1,0))))))</f>
        <v>2</v>
      </c>
    </row>
    <row r="1490" spans="2:22">
      <c r="B1490" s="318">
        <f t="shared" si="91"/>
        <v>46174</v>
      </c>
      <c r="C1490" s="312">
        <v>22</v>
      </c>
      <c r="D1490" s="368">
        <f>IFERROR((INDEX(METADATA!$T$2:$T$20,MATCH(B1490,METADATA!$S$2:$S$20,0))),0)</f>
        <v>0</v>
      </c>
      <c r="E1490" s="312" t="str">
        <f t="shared" si="92"/>
        <v>LO</v>
      </c>
      <c r="F1490" s="369">
        <f>VLOOKUP(C1490,METADATA!$A$5:$H$29,IF(E1490="HI",2,IF(E1490="LO",6,10))+IF(D1490=1,2,IF(D1490=7,1,(IF(WEEKDAY(B1490)=1,2,IF(WEEKDAY(B1490)=7,1,0))))))</f>
        <v>3</v>
      </c>
      <c r="G1490" s="369">
        <f>VLOOKUP(C1490,METADATA!$J$5:$Q$29,IF(E1490="HI",2,IF(E1490="LO",6,10))+IF(D1490=1,2,IF(D1490=7,1,(IF(WEEKDAY(B1490)=1,2,IF(WEEKDAY(B1490)=7,1,0))))))</f>
        <v>3</v>
      </c>
      <c r="H1490" s="370">
        <v>2852.3550109863281</v>
      </c>
      <c r="I1490" s="370">
        <v>0</v>
      </c>
      <c r="M1490" s="371">
        <f t="shared" si="93"/>
        <v>2852.3550109863281</v>
      </c>
      <c r="N1490" s="329">
        <f t="shared" si="94"/>
        <v>0</v>
      </c>
      <c r="T1490" s="331">
        <v>0</v>
      </c>
      <c r="U1490" s="328">
        <f>VLOOKUP(C1490,METADATA!$J$5:$Q$29,IF(E1490="HI",2,IF(E1490="LO",6,10))+IF(T1490=1,2,IF(D1490=7,1,(IF(WEEKDAY(B1490)=1,2,IF(WEEKDAY(B1490)=7,1,0))))))</f>
        <v>3</v>
      </c>
      <c r="V1490" s="328">
        <f>VLOOKUP(C1490,METADATA!$A$5:$H$29,IF(E1490="HI",2,IF(E1490="LO",6,10))+IF(T1490=1,2,IF(D1490=7,1,(IF(WEEKDAY(B1490)=1,2,IF(WEEKDAY(B1490)=7,1,0))))))</f>
        <v>3</v>
      </c>
    </row>
    <row r="1491" spans="2:22">
      <c r="B1491" s="318">
        <f t="shared" si="91"/>
        <v>46174</v>
      </c>
      <c r="C1491" s="312">
        <v>23</v>
      </c>
      <c r="D1491" s="368">
        <f>IFERROR((INDEX(METADATA!$T$2:$T$20,MATCH(B1491,METADATA!$S$2:$S$20,0))),0)</f>
        <v>0</v>
      </c>
      <c r="E1491" s="312" t="str">
        <f t="shared" si="92"/>
        <v>LO</v>
      </c>
      <c r="F1491" s="369">
        <f>VLOOKUP(C1491,METADATA!$A$5:$H$29,IF(E1491="HI",2,IF(E1491="LO",6,10))+IF(D1491=1,2,IF(D1491=7,1,(IF(WEEKDAY(B1491)=1,2,IF(WEEKDAY(B1491)=7,1,0))))))</f>
        <v>3</v>
      </c>
      <c r="G1491" s="369">
        <f>VLOOKUP(C1491,METADATA!$J$5:$Q$29,IF(E1491="HI",2,IF(E1491="LO",6,10))+IF(D1491=1,2,IF(D1491=7,1,(IF(WEEKDAY(B1491)=1,2,IF(WEEKDAY(B1491)=7,1,0))))))</f>
        <v>3</v>
      </c>
      <c r="H1491" s="370">
        <v>2988.0500183105469</v>
      </c>
      <c r="I1491" s="370">
        <v>0</v>
      </c>
      <c r="M1491" s="371">
        <f t="shared" si="93"/>
        <v>2988.0500183105469</v>
      </c>
      <c r="N1491" s="329">
        <f t="shared" si="94"/>
        <v>0</v>
      </c>
      <c r="T1491" s="331">
        <v>0</v>
      </c>
      <c r="U1491" s="328">
        <f>VLOOKUP(C1491,METADATA!$J$5:$Q$29,IF(E1491="HI",2,IF(E1491="LO",6,10))+IF(T1491=1,2,IF(D1491=7,1,(IF(WEEKDAY(B1491)=1,2,IF(WEEKDAY(B1491)=7,1,0))))))</f>
        <v>3</v>
      </c>
      <c r="V1491" s="328">
        <f>VLOOKUP(C1491,METADATA!$A$5:$H$29,IF(E1491="HI",2,IF(E1491="LO",6,10))+IF(T1491=1,2,IF(D1491=7,1,(IF(WEEKDAY(B1491)=1,2,IF(WEEKDAY(B1491)=7,1,0))))))</f>
        <v>3</v>
      </c>
    </row>
    <row r="1492" spans="2:22">
      <c r="B1492" s="318">
        <f t="shared" si="91"/>
        <v>46175</v>
      </c>
      <c r="C1492" s="312">
        <v>0</v>
      </c>
      <c r="D1492" s="368">
        <f>IFERROR((INDEX(METADATA!$T$2:$T$20,MATCH(B1492,METADATA!$S$2:$S$20,0))),0)</f>
        <v>0</v>
      </c>
      <c r="E1492" s="312" t="str">
        <f t="shared" si="92"/>
        <v>LO</v>
      </c>
      <c r="F1492" s="369">
        <f>VLOOKUP(C1492,METADATA!$A$5:$H$29,IF(E1492="HI",2,IF(E1492="LO",6,10))+IF(D1492=1,2,IF(D1492=7,1,(IF(WEEKDAY(B1492)=1,2,IF(WEEKDAY(B1492)=7,1,0))))))</f>
        <v>3</v>
      </c>
      <c r="G1492" s="369">
        <f>VLOOKUP(C1492,METADATA!$J$5:$Q$29,IF(E1492="HI",2,IF(E1492="LO",6,10))+IF(D1492=1,2,IF(D1492=7,1,(IF(WEEKDAY(B1492)=1,2,IF(WEEKDAY(B1492)=7,1,0))))))</f>
        <v>3</v>
      </c>
      <c r="H1492" s="370">
        <v>3219.8224182128906</v>
      </c>
      <c r="I1492" s="370">
        <v>0</v>
      </c>
      <c r="M1492" s="371">
        <f t="shared" si="93"/>
        <v>3219.8224182128906</v>
      </c>
      <c r="N1492" s="329">
        <f t="shared" si="94"/>
        <v>0</v>
      </c>
      <c r="T1492" s="331">
        <v>0</v>
      </c>
      <c r="U1492" s="328">
        <f>VLOOKUP(C1492,METADATA!$J$5:$Q$29,IF(E1492="HI",2,IF(E1492="LO",6,10))+IF(T1492=1,2,IF(D1492=7,1,(IF(WEEKDAY(B1492)=1,2,IF(WEEKDAY(B1492)=7,1,0))))))</f>
        <v>3</v>
      </c>
      <c r="V1492" s="328">
        <f>VLOOKUP(C1492,METADATA!$A$5:$H$29,IF(E1492="HI",2,IF(E1492="LO",6,10))+IF(T1492=1,2,IF(D1492=7,1,(IF(WEEKDAY(B1492)=1,2,IF(WEEKDAY(B1492)=7,1,0))))))</f>
        <v>3</v>
      </c>
    </row>
    <row r="1493" spans="2:22">
      <c r="B1493" s="318">
        <f t="shared" si="91"/>
        <v>46175</v>
      </c>
      <c r="C1493" s="312">
        <v>1</v>
      </c>
      <c r="D1493" s="368">
        <f>IFERROR((INDEX(METADATA!$T$2:$T$20,MATCH(B1493,METADATA!$S$2:$S$20,0))),0)</f>
        <v>0</v>
      </c>
      <c r="E1493" s="312" t="str">
        <f t="shared" si="92"/>
        <v>LO</v>
      </c>
      <c r="F1493" s="369">
        <f>VLOOKUP(C1493,METADATA!$A$5:$H$29,IF(E1493="HI",2,IF(E1493="LO",6,10))+IF(D1493=1,2,IF(D1493=7,1,(IF(WEEKDAY(B1493)=1,2,IF(WEEKDAY(B1493)=7,1,0))))))</f>
        <v>3</v>
      </c>
      <c r="G1493" s="369">
        <f>VLOOKUP(C1493,METADATA!$J$5:$Q$29,IF(E1493="HI",2,IF(E1493="LO",6,10))+IF(D1493=1,2,IF(D1493=7,1,(IF(WEEKDAY(B1493)=1,2,IF(WEEKDAY(B1493)=7,1,0))))))</f>
        <v>3</v>
      </c>
      <c r="H1493" s="370">
        <v>8677.197509765625</v>
      </c>
      <c r="I1493" s="370">
        <v>40.46399912238121</v>
      </c>
      <c r="M1493" s="371">
        <f t="shared" si="93"/>
        <v>8677.2918562595169</v>
      </c>
      <c r="N1493" s="329">
        <f t="shared" si="94"/>
        <v>0</v>
      </c>
      <c r="T1493" s="331">
        <v>0</v>
      </c>
      <c r="U1493" s="328">
        <f>VLOOKUP(C1493,METADATA!$J$5:$Q$29,IF(E1493="HI",2,IF(E1493="LO",6,10))+IF(T1493=1,2,IF(D1493=7,1,(IF(WEEKDAY(B1493)=1,2,IF(WEEKDAY(B1493)=7,1,0))))))</f>
        <v>3</v>
      </c>
      <c r="V1493" s="328">
        <f>VLOOKUP(C1493,METADATA!$A$5:$H$29,IF(E1493="HI",2,IF(E1493="LO",6,10))+IF(T1493=1,2,IF(D1493=7,1,(IF(WEEKDAY(B1493)=1,2,IF(WEEKDAY(B1493)=7,1,0))))))</f>
        <v>3</v>
      </c>
    </row>
    <row r="1494" spans="2:22">
      <c r="B1494" s="318">
        <f t="shared" si="91"/>
        <v>46175</v>
      </c>
      <c r="C1494" s="312">
        <v>2</v>
      </c>
      <c r="D1494" s="368">
        <f>IFERROR((INDEX(METADATA!$T$2:$T$20,MATCH(B1494,METADATA!$S$2:$S$20,0))),0)</f>
        <v>0</v>
      </c>
      <c r="E1494" s="312" t="str">
        <f t="shared" si="92"/>
        <v>LO</v>
      </c>
      <c r="F1494" s="369">
        <f>VLOOKUP(C1494,METADATA!$A$5:$H$29,IF(E1494="HI",2,IF(E1494="LO",6,10))+IF(D1494=1,2,IF(D1494=7,1,(IF(WEEKDAY(B1494)=1,2,IF(WEEKDAY(B1494)=7,1,0))))))</f>
        <v>3</v>
      </c>
      <c r="G1494" s="369">
        <f>VLOOKUP(C1494,METADATA!$J$5:$Q$29,IF(E1494="HI",2,IF(E1494="LO",6,10))+IF(D1494=1,2,IF(D1494=7,1,(IF(WEEKDAY(B1494)=1,2,IF(WEEKDAY(B1494)=7,1,0))))))</f>
        <v>3</v>
      </c>
      <c r="H1494" s="370">
        <v>11333.024963378906</v>
      </c>
      <c r="I1494" s="370">
        <v>394.5099983215332</v>
      </c>
      <c r="M1494" s="371">
        <f t="shared" si="93"/>
        <v>11339.889459749822</v>
      </c>
      <c r="N1494" s="329">
        <f t="shared" si="94"/>
        <v>0</v>
      </c>
      <c r="T1494" s="331">
        <v>0</v>
      </c>
      <c r="U1494" s="328">
        <f>VLOOKUP(C1494,METADATA!$J$5:$Q$29,IF(E1494="HI",2,IF(E1494="LO",6,10))+IF(T1494=1,2,IF(D1494=7,1,(IF(WEEKDAY(B1494)=1,2,IF(WEEKDAY(B1494)=7,1,0))))))</f>
        <v>3</v>
      </c>
      <c r="V1494" s="328">
        <f>VLOOKUP(C1494,METADATA!$A$5:$H$29,IF(E1494="HI",2,IF(E1494="LO",6,10))+IF(T1494=1,2,IF(D1494=7,1,(IF(WEEKDAY(B1494)=1,2,IF(WEEKDAY(B1494)=7,1,0))))))</f>
        <v>3</v>
      </c>
    </row>
    <row r="1495" spans="2:22">
      <c r="B1495" s="318">
        <f t="shared" si="91"/>
        <v>46175</v>
      </c>
      <c r="C1495" s="312">
        <v>3</v>
      </c>
      <c r="D1495" s="368">
        <f>IFERROR((INDEX(METADATA!$T$2:$T$20,MATCH(B1495,METADATA!$S$2:$S$20,0))),0)</f>
        <v>0</v>
      </c>
      <c r="E1495" s="312" t="str">
        <f t="shared" si="92"/>
        <v>LO</v>
      </c>
      <c r="F1495" s="369">
        <f>VLOOKUP(C1495,METADATA!$A$5:$H$29,IF(E1495="HI",2,IF(E1495="LO",6,10))+IF(D1495=1,2,IF(D1495=7,1,(IF(WEEKDAY(B1495)=1,2,IF(WEEKDAY(B1495)=7,1,0))))))</f>
        <v>3</v>
      </c>
      <c r="G1495" s="369">
        <f>VLOOKUP(C1495,METADATA!$J$5:$Q$29,IF(E1495="HI",2,IF(E1495="LO",6,10))+IF(D1495=1,2,IF(D1495=7,1,(IF(WEEKDAY(B1495)=1,2,IF(WEEKDAY(B1495)=7,1,0))))))</f>
        <v>3</v>
      </c>
      <c r="H1495" s="370">
        <v>11822.625</v>
      </c>
      <c r="I1495" s="370">
        <v>349.96749496459961</v>
      </c>
      <c r="M1495" s="371">
        <f t="shared" si="93"/>
        <v>11827.803648106305</v>
      </c>
      <c r="N1495" s="329">
        <f t="shared" si="94"/>
        <v>0</v>
      </c>
      <c r="T1495" s="331">
        <v>0</v>
      </c>
      <c r="U1495" s="328">
        <f>VLOOKUP(C1495,METADATA!$J$5:$Q$29,IF(E1495="HI",2,IF(E1495="LO",6,10))+IF(T1495=1,2,IF(D1495=7,1,(IF(WEEKDAY(B1495)=1,2,IF(WEEKDAY(B1495)=7,1,0))))))</f>
        <v>3</v>
      </c>
      <c r="V1495" s="328">
        <f>VLOOKUP(C1495,METADATA!$A$5:$H$29,IF(E1495="HI",2,IF(E1495="LO",6,10))+IF(T1495=1,2,IF(D1495=7,1,(IF(WEEKDAY(B1495)=1,2,IF(WEEKDAY(B1495)=7,1,0))))))</f>
        <v>3</v>
      </c>
    </row>
    <row r="1496" spans="2:22">
      <c r="B1496" s="318">
        <f t="shared" si="91"/>
        <v>46175</v>
      </c>
      <c r="C1496" s="312">
        <v>4</v>
      </c>
      <c r="D1496" s="368">
        <f>IFERROR((INDEX(METADATA!$T$2:$T$20,MATCH(B1496,METADATA!$S$2:$S$20,0))),0)</f>
        <v>0</v>
      </c>
      <c r="E1496" s="312" t="str">
        <f t="shared" si="92"/>
        <v>LO</v>
      </c>
      <c r="F1496" s="369">
        <f>VLOOKUP(C1496,METADATA!$A$5:$H$29,IF(E1496="HI",2,IF(E1496="LO",6,10))+IF(D1496=1,2,IF(D1496=7,1,(IF(WEEKDAY(B1496)=1,2,IF(WEEKDAY(B1496)=7,1,0))))))</f>
        <v>3</v>
      </c>
      <c r="G1496" s="369">
        <f>VLOOKUP(C1496,METADATA!$J$5:$Q$29,IF(E1496="HI",2,IF(E1496="LO",6,10))+IF(D1496=1,2,IF(D1496=7,1,(IF(WEEKDAY(B1496)=1,2,IF(WEEKDAY(B1496)=7,1,0))))))</f>
        <v>3</v>
      </c>
      <c r="H1496" s="370">
        <v>11513.805114746094</v>
      </c>
      <c r="I1496" s="370">
        <v>315.86499977111816</v>
      </c>
      <c r="M1496" s="371">
        <f t="shared" si="93"/>
        <v>11518.136955186534</v>
      </c>
      <c r="N1496" s="329">
        <f t="shared" si="94"/>
        <v>0</v>
      </c>
      <c r="T1496" s="331">
        <v>0</v>
      </c>
      <c r="U1496" s="328">
        <f>VLOOKUP(C1496,METADATA!$J$5:$Q$29,IF(E1496="HI",2,IF(E1496="LO",6,10))+IF(T1496=1,2,IF(D1496=7,1,(IF(WEEKDAY(B1496)=1,2,IF(WEEKDAY(B1496)=7,1,0))))))</f>
        <v>3</v>
      </c>
      <c r="V1496" s="328">
        <f>VLOOKUP(C1496,METADATA!$A$5:$H$29,IF(E1496="HI",2,IF(E1496="LO",6,10))+IF(T1496=1,2,IF(D1496=7,1,(IF(WEEKDAY(B1496)=1,2,IF(WEEKDAY(B1496)=7,1,0))))))</f>
        <v>3</v>
      </c>
    </row>
    <row r="1497" spans="2:22">
      <c r="B1497" s="318">
        <f t="shared" si="91"/>
        <v>46175</v>
      </c>
      <c r="C1497" s="312">
        <v>5</v>
      </c>
      <c r="D1497" s="368">
        <f>IFERROR((INDEX(METADATA!$T$2:$T$20,MATCH(B1497,METADATA!$S$2:$S$20,0))),0)</f>
        <v>0</v>
      </c>
      <c r="E1497" s="312" t="str">
        <f t="shared" si="92"/>
        <v>LO</v>
      </c>
      <c r="F1497" s="369">
        <f>VLOOKUP(C1497,METADATA!$A$5:$H$29,IF(E1497="HI",2,IF(E1497="LO",6,10))+IF(D1497=1,2,IF(D1497=7,1,(IF(WEEKDAY(B1497)=1,2,IF(WEEKDAY(B1497)=7,1,0))))))</f>
        <v>3</v>
      </c>
      <c r="G1497" s="369">
        <f>VLOOKUP(C1497,METADATA!$J$5:$Q$29,IF(E1497="HI",2,IF(E1497="LO",6,10))+IF(D1497=1,2,IF(D1497=7,1,(IF(WEEKDAY(B1497)=1,2,IF(WEEKDAY(B1497)=7,1,0))))))</f>
        <v>3</v>
      </c>
      <c r="H1497" s="370">
        <v>11414.275024414063</v>
      </c>
      <c r="I1497" s="370">
        <v>272.6414937376976</v>
      </c>
      <c r="M1497" s="371">
        <f t="shared" si="93"/>
        <v>11417.530718901971</v>
      </c>
      <c r="N1497" s="329">
        <f t="shared" si="94"/>
        <v>0</v>
      </c>
      <c r="T1497" s="331">
        <v>0</v>
      </c>
      <c r="U1497" s="328">
        <f>VLOOKUP(C1497,METADATA!$J$5:$Q$29,IF(E1497="HI",2,IF(E1497="LO",6,10))+IF(T1497=1,2,IF(D1497=7,1,(IF(WEEKDAY(B1497)=1,2,IF(WEEKDAY(B1497)=7,1,0))))))</f>
        <v>3</v>
      </c>
      <c r="V1497" s="328">
        <f>VLOOKUP(C1497,METADATA!$A$5:$H$29,IF(E1497="HI",2,IF(E1497="LO",6,10))+IF(T1497=1,2,IF(D1497=7,1,(IF(WEEKDAY(B1497)=1,2,IF(WEEKDAY(B1497)=7,1,0))))))</f>
        <v>3</v>
      </c>
    </row>
    <row r="1498" spans="2:22">
      <c r="B1498" s="318">
        <f t="shared" si="91"/>
        <v>46175</v>
      </c>
      <c r="C1498" s="312">
        <v>6</v>
      </c>
      <c r="D1498" s="368">
        <f>IFERROR((INDEX(METADATA!$T$2:$T$20,MATCH(B1498,METADATA!$S$2:$S$20,0))),0)</f>
        <v>0</v>
      </c>
      <c r="E1498" s="312" t="str">
        <f t="shared" si="92"/>
        <v>LO</v>
      </c>
      <c r="F1498" s="369">
        <f>VLOOKUP(C1498,METADATA!$A$5:$H$29,IF(E1498="HI",2,IF(E1498="LO",6,10))+IF(D1498=1,2,IF(D1498=7,1,(IF(WEEKDAY(B1498)=1,2,IF(WEEKDAY(B1498)=7,1,0))))))</f>
        <v>2</v>
      </c>
      <c r="G1498" s="369">
        <f>VLOOKUP(C1498,METADATA!$J$5:$Q$29,IF(E1498="HI",2,IF(E1498="LO",6,10))+IF(D1498=1,2,IF(D1498=7,1,(IF(WEEKDAY(B1498)=1,2,IF(WEEKDAY(B1498)=7,1,0))))))</f>
        <v>2</v>
      </c>
      <c r="H1498" s="370">
        <v>9828.0274963378906</v>
      </c>
      <c r="I1498" s="370">
        <v>15.192000865936279</v>
      </c>
      <c r="M1498" s="371">
        <f t="shared" si="93"/>
        <v>9828.0392381015627</v>
      </c>
      <c r="N1498" s="329">
        <f t="shared" si="94"/>
        <v>0</v>
      </c>
      <c r="T1498" s="331">
        <v>0</v>
      </c>
      <c r="U1498" s="328">
        <f>VLOOKUP(C1498,METADATA!$J$5:$Q$29,IF(E1498="HI",2,IF(E1498="LO",6,10))+IF(T1498=1,2,IF(D1498=7,1,(IF(WEEKDAY(B1498)=1,2,IF(WEEKDAY(B1498)=7,1,0))))))</f>
        <v>2</v>
      </c>
      <c r="V1498" s="328">
        <f>VLOOKUP(C1498,METADATA!$A$5:$H$29,IF(E1498="HI",2,IF(E1498="LO",6,10))+IF(T1498=1,2,IF(D1498=7,1,(IF(WEEKDAY(B1498)=1,2,IF(WEEKDAY(B1498)=7,1,0))))))</f>
        <v>2</v>
      </c>
    </row>
    <row r="1499" spans="2:22">
      <c r="B1499" s="318">
        <f t="shared" si="91"/>
        <v>46175</v>
      </c>
      <c r="C1499" s="312">
        <v>7</v>
      </c>
      <c r="D1499" s="368">
        <f>IFERROR((INDEX(METADATA!$T$2:$T$20,MATCH(B1499,METADATA!$S$2:$S$20,0))),0)</f>
        <v>0</v>
      </c>
      <c r="E1499" s="312" t="str">
        <f t="shared" si="92"/>
        <v>LO</v>
      </c>
      <c r="F1499" s="369">
        <f>VLOOKUP(C1499,METADATA!$A$5:$H$29,IF(E1499="HI",2,IF(E1499="LO",6,10))+IF(D1499=1,2,IF(D1499=7,1,(IF(WEEKDAY(B1499)=1,2,IF(WEEKDAY(B1499)=7,1,0))))))</f>
        <v>1</v>
      </c>
      <c r="G1499" s="369">
        <f>VLOOKUP(C1499,METADATA!$J$5:$Q$29,IF(E1499="HI",2,IF(E1499="LO",6,10))+IF(D1499=1,2,IF(D1499=7,1,(IF(WEEKDAY(B1499)=1,2,IF(WEEKDAY(B1499)=7,1,0))))))</f>
        <v>1</v>
      </c>
      <c r="H1499" s="370">
        <v>9412.530029296875</v>
      </c>
      <c r="I1499" s="370">
        <v>0.95999997854232788</v>
      </c>
      <c r="M1499" s="371">
        <f t="shared" si="93"/>
        <v>9412.5300782528921</v>
      </c>
      <c r="N1499" s="329">
        <f t="shared" si="94"/>
        <v>0</v>
      </c>
      <c r="T1499" s="331">
        <v>0</v>
      </c>
      <c r="U1499" s="328">
        <f>VLOOKUP(C1499,METADATA!$J$5:$Q$29,IF(E1499="HI",2,IF(E1499="LO",6,10))+IF(T1499=1,2,IF(D1499=7,1,(IF(WEEKDAY(B1499)=1,2,IF(WEEKDAY(B1499)=7,1,0))))))</f>
        <v>1</v>
      </c>
      <c r="V1499" s="328">
        <f>VLOOKUP(C1499,METADATA!$A$5:$H$29,IF(E1499="HI",2,IF(E1499="LO",6,10))+IF(T1499=1,2,IF(D1499=7,1,(IF(WEEKDAY(B1499)=1,2,IF(WEEKDAY(B1499)=7,1,0))))))</f>
        <v>1</v>
      </c>
    </row>
    <row r="1500" spans="2:22">
      <c r="B1500" s="318">
        <f t="shared" ref="B1500:B1563" si="95">B1476+1</f>
        <v>46175</v>
      </c>
      <c r="C1500" s="312">
        <v>8</v>
      </c>
      <c r="D1500" s="368">
        <f>IFERROR((INDEX(METADATA!$T$2:$T$20,MATCH(B1500,METADATA!$S$2:$S$20,0))),0)</f>
        <v>0</v>
      </c>
      <c r="E1500" s="312" t="str">
        <f t="shared" si="92"/>
        <v>LO</v>
      </c>
      <c r="F1500" s="369">
        <f>VLOOKUP(C1500,METADATA!$A$5:$H$29,IF(E1500="HI",2,IF(E1500="LO",6,10))+IF(D1500=1,2,IF(D1500=7,1,(IF(WEEKDAY(B1500)=1,2,IF(WEEKDAY(B1500)=7,1,0))))))</f>
        <v>1</v>
      </c>
      <c r="G1500" s="369">
        <f>VLOOKUP(C1500,METADATA!$J$5:$Q$29,IF(E1500="HI",2,IF(E1500="LO",6,10))+IF(D1500=1,2,IF(D1500=7,1,(IF(WEEKDAY(B1500)=1,2,IF(WEEKDAY(B1500)=7,1,0))))))</f>
        <v>1</v>
      </c>
      <c r="H1500" s="370">
        <v>9074.4750061035156</v>
      </c>
      <c r="I1500" s="370">
        <v>88.799997329711914</v>
      </c>
      <c r="M1500" s="371">
        <f t="shared" si="93"/>
        <v>9074.9094803156659</v>
      </c>
      <c r="N1500" s="329">
        <f t="shared" si="94"/>
        <v>0</v>
      </c>
      <c r="T1500" s="331">
        <v>0</v>
      </c>
      <c r="U1500" s="328">
        <f>VLOOKUP(C1500,METADATA!$J$5:$Q$29,IF(E1500="HI",2,IF(E1500="LO",6,10))+IF(T1500=1,2,IF(D1500=7,1,(IF(WEEKDAY(B1500)=1,2,IF(WEEKDAY(B1500)=7,1,0))))))</f>
        <v>1</v>
      </c>
      <c r="V1500" s="328">
        <f>VLOOKUP(C1500,METADATA!$A$5:$H$29,IF(E1500="HI",2,IF(E1500="LO",6,10))+IF(T1500=1,2,IF(D1500=7,1,(IF(WEEKDAY(B1500)=1,2,IF(WEEKDAY(B1500)=7,1,0))))))</f>
        <v>1</v>
      </c>
    </row>
    <row r="1501" spans="2:22">
      <c r="B1501" s="318">
        <f t="shared" si="95"/>
        <v>46175</v>
      </c>
      <c r="C1501" s="312">
        <v>9</v>
      </c>
      <c r="D1501" s="368">
        <f>IFERROR((INDEX(METADATA!$T$2:$T$20,MATCH(B1501,METADATA!$S$2:$S$20,0))),0)</f>
        <v>0</v>
      </c>
      <c r="E1501" s="312" t="str">
        <f t="shared" si="92"/>
        <v>LO</v>
      </c>
      <c r="F1501" s="369">
        <f>VLOOKUP(C1501,METADATA!$A$5:$H$29,IF(E1501="HI",2,IF(E1501="LO",6,10))+IF(D1501=1,2,IF(D1501=7,1,(IF(WEEKDAY(B1501)=1,2,IF(WEEKDAY(B1501)=7,1,0))))))</f>
        <v>2</v>
      </c>
      <c r="G1501" s="369">
        <f>VLOOKUP(C1501,METADATA!$J$5:$Q$29,IF(E1501="HI",2,IF(E1501="LO",6,10))+IF(D1501=1,2,IF(D1501=7,1,(IF(WEEKDAY(B1501)=1,2,IF(WEEKDAY(B1501)=7,1,0))))))</f>
        <v>2</v>
      </c>
      <c r="H1501" s="370">
        <v>4444.6949462890625</v>
      </c>
      <c r="I1501" s="370">
        <v>0</v>
      </c>
      <c r="M1501" s="371">
        <f t="shared" si="93"/>
        <v>4444.6949462890625</v>
      </c>
      <c r="N1501" s="329">
        <f t="shared" si="94"/>
        <v>0</v>
      </c>
      <c r="T1501" s="331">
        <v>0</v>
      </c>
      <c r="U1501" s="328">
        <f>VLOOKUP(C1501,METADATA!$J$5:$Q$29,IF(E1501="HI",2,IF(E1501="LO",6,10))+IF(T1501=1,2,IF(D1501=7,1,(IF(WEEKDAY(B1501)=1,2,IF(WEEKDAY(B1501)=7,1,0))))))</f>
        <v>2</v>
      </c>
      <c r="V1501" s="328">
        <f>VLOOKUP(C1501,METADATA!$A$5:$H$29,IF(E1501="HI",2,IF(E1501="LO",6,10))+IF(T1501=1,2,IF(D1501=7,1,(IF(WEEKDAY(B1501)=1,2,IF(WEEKDAY(B1501)=7,1,0))))))</f>
        <v>2</v>
      </c>
    </row>
    <row r="1502" spans="2:22">
      <c r="B1502" s="318">
        <f t="shared" si="95"/>
        <v>46175</v>
      </c>
      <c r="C1502" s="312">
        <v>10</v>
      </c>
      <c r="D1502" s="368">
        <f>IFERROR((INDEX(METADATA!$T$2:$T$20,MATCH(B1502,METADATA!$S$2:$S$20,0))),0)</f>
        <v>0</v>
      </c>
      <c r="E1502" s="312" t="str">
        <f t="shared" si="92"/>
        <v>LO</v>
      </c>
      <c r="F1502" s="369">
        <f>VLOOKUP(C1502,METADATA!$A$5:$H$29,IF(E1502="HI",2,IF(E1502="LO",6,10))+IF(D1502=1,2,IF(D1502=7,1,(IF(WEEKDAY(B1502)=1,2,IF(WEEKDAY(B1502)=7,1,0))))))</f>
        <v>2</v>
      </c>
      <c r="G1502" s="369">
        <f>VLOOKUP(C1502,METADATA!$J$5:$Q$29,IF(E1502="HI",2,IF(E1502="LO",6,10))+IF(D1502=1,2,IF(D1502=7,1,(IF(WEEKDAY(B1502)=1,2,IF(WEEKDAY(B1502)=7,1,0))))))</f>
        <v>2</v>
      </c>
      <c r="H1502" s="370">
        <v>4071.3124694824219</v>
      </c>
      <c r="I1502" s="370">
        <v>0</v>
      </c>
      <c r="M1502" s="371">
        <f t="shared" si="93"/>
        <v>4071.3124694824219</v>
      </c>
      <c r="N1502" s="329">
        <f t="shared" si="94"/>
        <v>0</v>
      </c>
      <c r="T1502" s="331">
        <v>0</v>
      </c>
      <c r="U1502" s="328">
        <f>VLOOKUP(C1502,METADATA!$J$5:$Q$29,IF(E1502="HI",2,IF(E1502="LO",6,10))+IF(T1502=1,2,IF(D1502=7,1,(IF(WEEKDAY(B1502)=1,2,IF(WEEKDAY(B1502)=7,1,0))))))</f>
        <v>2</v>
      </c>
      <c r="V1502" s="328">
        <f>VLOOKUP(C1502,METADATA!$A$5:$H$29,IF(E1502="HI",2,IF(E1502="LO",6,10))+IF(T1502=1,2,IF(D1502=7,1,(IF(WEEKDAY(B1502)=1,2,IF(WEEKDAY(B1502)=7,1,0))))))</f>
        <v>2</v>
      </c>
    </row>
    <row r="1503" spans="2:22">
      <c r="B1503" s="318">
        <f t="shared" si="95"/>
        <v>46175</v>
      </c>
      <c r="C1503" s="312">
        <v>11</v>
      </c>
      <c r="D1503" s="368">
        <f>IFERROR((INDEX(METADATA!$T$2:$T$20,MATCH(B1503,METADATA!$S$2:$S$20,0))),0)</f>
        <v>0</v>
      </c>
      <c r="E1503" s="312" t="str">
        <f t="shared" si="92"/>
        <v>LO</v>
      </c>
      <c r="F1503" s="369">
        <f>VLOOKUP(C1503,METADATA!$A$5:$H$29,IF(E1503="HI",2,IF(E1503="LO",6,10))+IF(D1503=1,2,IF(D1503=7,1,(IF(WEEKDAY(B1503)=1,2,IF(WEEKDAY(B1503)=7,1,0))))))</f>
        <v>2</v>
      </c>
      <c r="G1503" s="369">
        <f>VLOOKUP(C1503,METADATA!$J$5:$Q$29,IF(E1503="HI",2,IF(E1503="LO",6,10))+IF(D1503=1,2,IF(D1503=7,1,(IF(WEEKDAY(B1503)=1,2,IF(WEEKDAY(B1503)=7,1,0))))))</f>
        <v>2</v>
      </c>
      <c r="H1503" s="370">
        <v>3986.5449523925781</v>
      </c>
      <c r="I1503" s="370">
        <v>0</v>
      </c>
      <c r="M1503" s="371">
        <f t="shared" si="93"/>
        <v>3986.5449523925781</v>
      </c>
      <c r="N1503" s="329">
        <f t="shared" si="94"/>
        <v>0</v>
      </c>
      <c r="T1503" s="331">
        <v>0</v>
      </c>
      <c r="U1503" s="328">
        <f>VLOOKUP(C1503,METADATA!$J$5:$Q$29,IF(E1503="HI",2,IF(E1503="LO",6,10))+IF(T1503=1,2,IF(D1503=7,1,(IF(WEEKDAY(B1503)=1,2,IF(WEEKDAY(B1503)=7,1,0))))))</f>
        <v>2</v>
      </c>
      <c r="V1503" s="328">
        <f>VLOOKUP(C1503,METADATA!$A$5:$H$29,IF(E1503="HI",2,IF(E1503="LO",6,10))+IF(T1503=1,2,IF(D1503=7,1,(IF(WEEKDAY(B1503)=1,2,IF(WEEKDAY(B1503)=7,1,0))))))</f>
        <v>2</v>
      </c>
    </row>
    <row r="1504" spans="2:22">
      <c r="B1504" s="318">
        <f t="shared" si="95"/>
        <v>46175</v>
      </c>
      <c r="C1504" s="312">
        <v>12</v>
      </c>
      <c r="D1504" s="368">
        <f>IFERROR((INDEX(METADATA!$T$2:$T$20,MATCH(B1504,METADATA!$S$2:$S$20,0))),0)</f>
        <v>0</v>
      </c>
      <c r="E1504" s="312" t="str">
        <f t="shared" si="92"/>
        <v>LO</v>
      </c>
      <c r="F1504" s="369">
        <f>VLOOKUP(C1504,METADATA!$A$5:$H$29,IF(E1504="HI",2,IF(E1504="LO",6,10))+IF(D1504=1,2,IF(D1504=7,1,(IF(WEEKDAY(B1504)=1,2,IF(WEEKDAY(B1504)=7,1,0))))))</f>
        <v>2</v>
      </c>
      <c r="G1504" s="369">
        <f>VLOOKUP(C1504,METADATA!$J$5:$Q$29,IF(E1504="HI",2,IF(E1504="LO",6,10))+IF(D1504=1,2,IF(D1504=7,1,(IF(WEEKDAY(B1504)=1,2,IF(WEEKDAY(B1504)=7,1,0))))))</f>
        <v>2</v>
      </c>
      <c r="H1504" s="370">
        <v>4109.7249450683594</v>
      </c>
      <c r="I1504" s="370">
        <v>0</v>
      </c>
      <c r="M1504" s="371">
        <f t="shared" si="93"/>
        <v>4109.7249450683594</v>
      </c>
      <c r="N1504" s="329">
        <f t="shared" si="94"/>
        <v>0</v>
      </c>
      <c r="T1504" s="331">
        <v>0</v>
      </c>
      <c r="U1504" s="328">
        <f>VLOOKUP(C1504,METADATA!$J$5:$Q$29,IF(E1504="HI",2,IF(E1504="LO",6,10))+IF(T1504=1,2,IF(D1504=7,1,(IF(WEEKDAY(B1504)=1,2,IF(WEEKDAY(B1504)=7,1,0))))))</f>
        <v>2</v>
      </c>
      <c r="V1504" s="328">
        <f>VLOOKUP(C1504,METADATA!$A$5:$H$29,IF(E1504="HI",2,IF(E1504="LO",6,10))+IF(T1504=1,2,IF(D1504=7,1,(IF(WEEKDAY(B1504)=1,2,IF(WEEKDAY(B1504)=7,1,0))))))</f>
        <v>2</v>
      </c>
    </row>
    <row r="1505" spans="2:22">
      <c r="B1505" s="318">
        <f t="shared" si="95"/>
        <v>46175</v>
      </c>
      <c r="C1505" s="312">
        <v>13</v>
      </c>
      <c r="D1505" s="368">
        <f>IFERROR((INDEX(METADATA!$T$2:$T$20,MATCH(B1505,METADATA!$S$2:$S$20,0))),0)</f>
        <v>0</v>
      </c>
      <c r="E1505" s="312" t="str">
        <f t="shared" si="92"/>
        <v>LO</v>
      </c>
      <c r="F1505" s="369">
        <f>VLOOKUP(C1505,METADATA!$A$5:$H$29,IF(E1505="HI",2,IF(E1505="LO",6,10))+IF(D1505=1,2,IF(D1505=7,1,(IF(WEEKDAY(B1505)=1,2,IF(WEEKDAY(B1505)=7,1,0))))))</f>
        <v>2</v>
      </c>
      <c r="G1505" s="369">
        <f>VLOOKUP(C1505,METADATA!$J$5:$Q$29,IF(E1505="HI",2,IF(E1505="LO",6,10))+IF(D1505=1,2,IF(D1505=7,1,(IF(WEEKDAY(B1505)=1,2,IF(WEEKDAY(B1505)=7,1,0))))))</f>
        <v>2</v>
      </c>
      <c r="H1505" s="370">
        <v>4657.4774169921875</v>
      </c>
      <c r="I1505" s="370">
        <v>0</v>
      </c>
      <c r="M1505" s="371">
        <f t="shared" si="93"/>
        <v>4657.4774169921875</v>
      </c>
      <c r="N1505" s="329">
        <f t="shared" si="94"/>
        <v>0</v>
      </c>
      <c r="T1505" s="331">
        <v>0</v>
      </c>
      <c r="U1505" s="328">
        <f>VLOOKUP(C1505,METADATA!$J$5:$Q$29,IF(E1505="HI",2,IF(E1505="LO",6,10))+IF(T1505=1,2,IF(D1505=7,1,(IF(WEEKDAY(B1505)=1,2,IF(WEEKDAY(B1505)=7,1,0))))))</f>
        <v>2</v>
      </c>
      <c r="V1505" s="328">
        <f>VLOOKUP(C1505,METADATA!$A$5:$H$29,IF(E1505="HI",2,IF(E1505="LO",6,10))+IF(T1505=1,2,IF(D1505=7,1,(IF(WEEKDAY(B1505)=1,2,IF(WEEKDAY(B1505)=7,1,0))))))</f>
        <v>2</v>
      </c>
    </row>
    <row r="1506" spans="2:22">
      <c r="B1506" s="318">
        <f t="shared" si="95"/>
        <v>46175</v>
      </c>
      <c r="C1506" s="312">
        <v>14</v>
      </c>
      <c r="D1506" s="368">
        <f>IFERROR((INDEX(METADATA!$T$2:$T$20,MATCH(B1506,METADATA!$S$2:$S$20,0))),0)</f>
        <v>0</v>
      </c>
      <c r="E1506" s="312" t="str">
        <f t="shared" si="92"/>
        <v>LO</v>
      </c>
      <c r="F1506" s="369">
        <f>VLOOKUP(C1506,METADATA!$A$5:$H$29,IF(E1506="HI",2,IF(E1506="LO",6,10))+IF(D1506=1,2,IF(D1506=7,1,(IF(WEEKDAY(B1506)=1,2,IF(WEEKDAY(B1506)=7,1,0))))))</f>
        <v>2</v>
      </c>
      <c r="G1506" s="369">
        <f>VLOOKUP(C1506,METADATA!$J$5:$Q$29,IF(E1506="HI",2,IF(E1506="LO",6,10))+IF(D1506=1,2,IF(D1506=7,1,(IF(WEEKDAY(B1506)=1,2,IF(WEEKDAY(B1506)=7,1,0))))))</f>
        <v>2</v>
      </c>
      <c r="H1506" s="370">
        <v>4774.8825073242188</v>
      </c>
      <c r="I1506" s="370">
        <v>0</v>
      </c>
      <c r="M1506" s="371">
        <f t="shared" si="93"/>
        <v>4774.8825073242188</v>
      </c>
      <c r="N1506" s="329">
        <f t="shared" si="94"/>
        <v>0</v>
      </c>
      <c r="T1506" s="331">
        <v>0</v>
      </c>
      <c r="U1506" s="328">
        <f>VLOOKUP(C1506,METADATA!$J$5:$Q$29,IF(E1506="HI",2,IF(E1506="LO",6,10))+IF(T1506=1,2,IF(D1506=7,1,(IF(WEEKDAY(B1506)=1,2,IF(WEEKDAY(B1506)=7,1,0))))))</f>
        <v>2</v>
      </c>
      <c r="V1506" s="328">
        <f>VLOOKUP(C1506,METADATA!$A$5:$H$29,IF(E1506="HI",2,IF(E1506="LO",6,10))+IF(T1506=1,2,IF(D1506=7,1,(IF(WEEKDAY(B1506)=1,2,IF(WEEKDAY(B1506)=7,1,0))))))</f>
        <v>2</v>
      </c>
    </row>
    <row r="1507" spans="2:22">
      <c r="B1507" s="318">
        <f t="shared" si="95"/>
        <v>46175</v>
      </c>
      <c r="C1507" s="312">
        <v>15</v>
      </c>
      <c r="D1507" s="368">
        <f>IFERROR((INDEX(METADATA!$T$2:$T$20,MATCH(B1507,METADATA!$S$2:$S$20,0))),0)</f>
        <v>0</v>
      </c>
      <c r="E1507" s="312" t="str">
        <f t="shared" si="92"/>
        <v>LO</v>
      </c>
      <c r="F1507" s="369">
        <f>VLOOKUP(C1507,METADATA!$A$5:$H$29,IF(E1507="HI",2,IF(E1507="LO",6,10))+IF(D1507=1,2,IF(D1507=7,1,(IF(WEEKDAY(B1507)=1,2,IF(WEEKDAY(B1507)=7,1,0))))))</f>
        <v>2</v>
      </c>
      <c r="G1507" s="369">
        <f>VLOOKUP(C1507,METADATA!$J$5:$Q$29,IF(E1507="HI",2,IF(E1507="LO",6,10))+IF(D1507=1,2,IF(D1507=7,1,(IF(WEEKDAY(B1507)=1,2,IF(WEEKDAY(B1507)=7,1,0))))))</f>
        <v>2</v>
      </c>
      <c r="H1507" s="370">
        <v>4764.137451171875</v>
      </c>
      <c r="I1507" s="370">
        <v>0</v>
      </c>
      <c r="M1507" s="371">
        <f t="shared" si="93"/>
        <v>4764.137451171875</v>
      </c>
      <c r="N1507" s="329">
        <f t="shared" si="94"/>
        <v>0</v>
      </c>
      <c r="T1507" s="331">
        <v>0</v>
      </c>
      <c r="U1507" s="328">
        <f>VLOOKUP(C1507,METADATA!$J$5:$Q$29,IF(E1507="HI",2,IF(E1507="LO",6,10))+IF(T1507=1,2,IF(D1507=7,1,(IF(WEEKDAY(B1507)=1,2,IF(WEEKDAY(B1507)=7,1,0))))))</f>
        <v>2</v>
      </c>
      <c r="V1507" s="328">
        <f>VLOOKUP(C1507,METADATA!$A$5:$H$29,IF(E1507="HI",2,IF(E1507="LO",6,10))+IF(T1507=1,2,IF(D1507=7,1,(IF(WEEKDAY(B1507)=1,2,IF(WEEKDAY(B1507)=7,1,0))))))</f>
        <v>2</v>
      </c>
    </row>
    <row r="1508" spans="2:22">
      <c r="B1508" s="318">
        <f t="shared" si="95"/>
        <v>46175</v>
      </c>
      <c r="C1508" s="312">
        <v>16</v>
      </c>
      <c r="D1508" s="368">
        <f>IFERROR((INDEX(METADATA!$T$2:$T$20,MATCH(B1508,METADATA!$S$2:$S$20,0))),0)</f>
        <v>0</v>
      </c>
      <c r="E1508" s="312" t="str">
        <f t="shared" si="92"/>
        <v>LO</v>
      </c>
      <c r="F1508" s="369">
        <f>VLOOKUP(C1508,METADATA!$A$5:$H$29,IF(E1508="HI",2,IF(E1508="LO",6,10))+IF(D1508=1,2,IF(D1508=7,1,(IF(WEEKDAY(B1508)=1,2,IF(WEEKDAY(B1508)=7,1,0))))))</f>
        <v>2</v>
      </c>
      <c r="G1508" s="369">
        <f>VLOOKUP(C1508,METADATA!$J$5:$Q$29,IF(E1508="HI",2,IF(E1508="LO",6,10))+IF(D1508=1,2,IF(D1508=7,1,(IF(WEEKDAY(B1508)=1,2,IF(WEEKDAY(B1508)=7,1,0))))))</f>
        <v>2</v>
      </c>
      <c r="H1508" s="370">
        <v>4946.1524658203125</v>
      </c>
      <c r="I1508" s="370">
        <v>0</v>
      </c>
      <c r="M1508" s="371">
        <f t="shared" si="93"/>
        <v>4946.1524658203125</v>
      </c>
      <c r="N1508" s="329">
        <f t="shared" si="94"/>
        <v>0</v>
      </c>
      <c r="T1508" s="331">
        <v>0</v>
      </c>
      <c r="U1508" s="328">
        <f>VLOOKUP(C1508,METADATA!$J$5:$Q$29,IF(E1508="HI",2,IF(E1508="LO",6,10))+IF(T1508=1,2,IF(D1508=7,1,(IF(WEEKDAY(B1508)=1,2,IF(WEEKDAY(B1508)=7,1,0))))))</f>
        <v>2</v>
      </c>
      <c r="V1508" s="328">
        <f>VLOOKUP(C1508,METADATA!$A$5:$H$29,IF(E1508="HI",2,IF(E1508="LO",6,10))+IF(T1508=1,2,IF(D1508=7,1,(IF(WEEKDAY(B1508)=1,2,IF(WEEKDAY(B1508)=7,1,0))))))</f>
        <v>2</v>
      </c>
    </row>
    <row r="1509" spans="2:22">
      <c r="B1509" s="318">
        <f t="shared" si="95"/>
        <v>46175</v>
      </c>
      <c r="C1509" s="312">
        <v>17</v>
      </c>
      <c r="D1509" s="368">
        <f>IFERROR((INDEX(METADATA!$T$2:$T$20,MATCH(B1509,METADATA!$S$2:$S$20,0))),0)</f>
        <v>0</v>
      </c>
      <c r="E1509" s="312" t="str">
        <f t="shared" si="92"/>
        <v>LO</v>
      </c>
      <c r="F1509" s="369">
        <f>VLOOKUP(C1509,METADATA!$A$5:$H$29,IF(E1509="HI",2,IF(E1509="LO",6,10))+IF(D1509=1,2,IF(D1509=7,1,(IF(WEEKDAY(B1509)=1,2,IF(WEEKDAY(B1509)=7,1,0))))))</f>
        <v>2</v>
      </c>
      <c r="G1509" s="369">
        <f>VLOOKUP(C1509,METADATA!$J$5:$Q$29,IF(E1509="HI",2,IF(E1509="LO",6,10))+IF(D1509=1,2,IF(D1509=7,1,(IF(WEEKDAY(B1509)=1,2,IF(WEEKDAY(B1509)=7,1,0))))))</f>
        <v>2</v>
      </c>
      <c r="H1509" s="370">
        <v>5879.8473815917969</v>
      </c>
      <c r="I1509" s="370">
        <v>0</v>
      </c>
      <c r="M1509" s="371">
        <f t="shared" si="93"/>
        <v>5879.8473815917969</v>
      </c>
      <c r="N1509" s="329">
        <f t="shared" si="94"/>
        <v>0</v>
      </c>
      <c r="T1509" s="331">
        <v>0</v>
      </c>
      <c r="U1509" s="328">
        <f>VLOOKUP(C1509,METADATA!$J$5:$Q$29,IF(E1509="HI",2,IF(E1509="LO",6,10))+IF(T1509=1,2,IF(D1509=7,1,(IF(WEEKDAY(B1509)=1,2,IF(WEEKDAY(B1509)=7,1,0))))))</f>
        <v>2</v>
      </c>
      <c r="V1509" s="328">
        <f>VLOOKUP(C1509,METADATA!$A$5:$H$29,IF(E1509="HI",2,IF(E1509="LO",6,10))+IF(T1509=1,2,IF(D1509=7,1,(IF(WEEKDAY(B1509)=1,2,IF(WEEKDAY(B1509)=7,1,0))))))</f>
        <v>2</v>
      </c>
    </row>
    <row r="1510" spans="2:22">
      <c r="B1510" s="318">
        <f t="shared" si="95"/>
        <v>46175</v>
      </c>
      <c r="C1510" s="312">
        <v>18</v>
      </c>
      <c r="D1510" s="368">
        <f>IFERROR((INDEX(METADATA!$T$2:$T$20,MATCH(B1510,METADATA!$S$2:$S$20,0))),0)</f>
        <v>0</v>
      </c>
      <c r="E1510" s="312" t="str">
        <f t="shared" si="92"/>
        <v>LO</v>
      </c>
      <c r="F1510" s="369">
        <f>VLOOKUP(C1510,METADATA!$A$5:$H$29,IF(E1510="HI",2,IF(E1510="LO",6,10))+IF(D1510=1,2,IF(D1510=7,1,(IF(WEEKDAY(B1510)=1,2,IF(WEEKDAY(B1510)=7,1,0))))))</f>
        <v>1</v>
      </c>
      <c r="G1510" s="369">
        <f>VLOOKUP(C1510,METADATA!$J$5:$Q$29,IF(E1510="HI",2,IF(E1510="LO",6,10))+IF(D1510=1,2,IF(D1510=7,1,(IF(WEEKDAY(B1510)=1,2,IF(WEEKDAY(B1510)=7,1,0))))))</f>
        <v>1</v>
      </c>
      <c r="H1510" s="370">
        <v>9661.54248046875</v>
      </c>
      <c r="I1510" s="370">
        <v>1008.8399963378906</v>
      </c>
      <c r="M1510" s="371">
        <f t="shared" si="93"/>
        <v>9714.0702715243569</v>
      </c>
      <c r="N1510" s="329">
        <f t="shared" si="94"/>
        <v>0</v>
      </c>
      <c r="T1510" s="331">
        <v>0</v>
      </c>
      <c r="U1510" s="328">
        <f>VLOOKUP(C1510,METADATA!$J$5:$Q$29,IF(E1510="HI",2,IF(E1510="LO",6,10))+IF(T1510=1,2,IF(D1510=7,1,(IF(WEEKDAY(B1510)=1,2,IF(WEEKDAY(B1510)=7,1,0))))))</f>
        <v>1</v>
      </c>
      <c r="V1510" s="328">
        <f>VLOOKUP(C1510,METADATA!$A$5:$H$29,IF(E1510="HI",2,IF(E1510="LO",6,10))+IF(T1510=1,2,IF(D1510=7,1,(IF(WEEKDAY(B1510)=1,2,IF(WEEKDAY(B1510)=7,1,0))))))</f>
        <v>1</v>
      </c>
    </row>
    <row r="1511" spans="2:22">
      <c r="B1511" s="318">
        <f t="shared" si="95"/>
        <v>46175</v>
      </c>
      <c r="C1511" s="312">
        <v>19</v>
      </c>
      <c r="D1511" s="368">
        <f>IFERROR((INDEX(METADATA!$T$2:$T$20,MATCH(B1511,METADATA!$S$2:$S$20,0))),0)</f>
        <v>0</v>
      </c>
      <c r="E1511" s="312" t="str">
        <f t="shared" si="92"/>
        <v>LO</v>
      </c>
      <c r="F1511" s="369">
        <f>VLOOKUP(C1511,METADATA!$A$5:$H$29,IF(E1511="HI",2,IF(E1511="LO",6,10))+IF(D1511=1,2,IF(D1511=7,1,(IF(WEEKDAY(B1511)=1,2,IF(WEEKDAY(B1511)=7,1,0))))))</f>
        <v>1</v>
      </c>
      <c r="G1511" s="369">
        <f>VLOOKUP(C1511,METADATA!$J$5:$Q$29,IF(E1511="HI",2,IF(E1511="LO",6,10))+IF(D1511=1,2,IF(D1511=7,1,(IF(WEEKDAY(B1511)=1,2,IF(WEEKDAY(B1511)=7,1,0))))))</f>
        <v>1</v>
      </c>
      <c r="H1511" s="370">
        <v>11557.862823486328</v>
      </c>
      <c r="I1511" s="370">
        <v>1685.6139859557152</v>
      </c>
      <c r="M1511" s="371">
        <f t="shared" si="93"/>
        <v>11680.132172033709</v>
      </c>
      <c r="N1511" s="329">
        <f t="shared" si="94"/>
        <v>0</v>
      </c>
      <c r="T1511" s="331">
        <v>0</v>
      </c>
      <c r="U1511" s="328">
        <f>VLOOKUP(C1511,METADATA!$J$5:$Q$29,IF(E1511="HI",2,IF(E1511="LO",6,10))+IF(T1511=1,2,IF(D1511=7,1,(IF(WEEKDAY(B1511)=1,2,IF(WEEKDAY(B1511)=7,1,0))))))</f>
        <v>1</v>
      </c>
      <c r="V1511" s="328">
        <f>VLOOKUP(C1511,METADATA!$A$5:$H$29,IF(E1511="HI",2,IF(E1511="LO",6,10))+IF(T1511=1,2,IF(D1511=7,1,(IF(WEEKDAY(B1511)=1,2,IF(WEEKDAY(B1511)=7,1,0))))))</f>
        <v>1</v>
      </c>
    </row>
    <row r="1512" spans="2:22">
      <c r="B1512" s="318">
        <f t="shared" si="95"/>
        <v>46175</v>
      </c>
      <c r="C1512" s="312">
        <v>20</v>
      </c>
      <c r="D1512" s="368">
        <f>IFERROR((INDEX(METADATA!$T$2:$T$20,MATCH(B1512,METADATA!$S$2:$S$20,0))),0)</f>
        <v>0</v>
      </c>
      <c r="E1512" s="312" t="str">
        <f t="shared" si="92"/>
        <v>LO</v>
      </c>
      <c r="F1512" s="369">
        <f>VLOOKUP(C1512,METADATA!$A$5:$H$29,IF(E1512="HI",2,IF(E1512="LO",6,10))+IF(D1512=1,2,IF(D1512=7,1,(IF(WEEKDAY(B1512)=1,2,IF(WEEKDAY(B1512)=7,1,0))))))</f>
        <v>1</v>
      </c>
      <c r="G1512" s="369">
        <f>VLOOKUP(C1512,METADATA!$J$5:$Q$29,IF(E1512="HI",2,IF(E1512="LO",6,10))+IF(D1512=1,2,IF(D1512=7,1,(IF(WEEKDAY(B1512)=1,2,IF(WEEKDAY(B1512)=7,1,0))))))</f>
        <v>1</v>
      </c>
      <c r="H1512" s="370">
        <v>12800.950073242188</v>
      </c>
      <c r="I1512" s="370">
        <v>1567.4900207519531</v>
      </c>
      <c r="M1512" s="371">
        <f t="shared" si="93"/>
        <v>12896.563408241598</v>
      </c>
      <c r="N1512" s="329">
        <f t="shared" si="94"/>
        <v>0</v>
      </c>
      <c r="T1512" s="331">
        <v>0</v>
      </c>
      <c r="U1512" s="328">
        <f>VLOOKUP(C1512,METADATA!$J$5:$Q$29,IF(E1512="HI",2,IF(E1512="LO",6,10))+IF(T1512=1,2,IF(D1512=7,1,(IF(WEEKDAY(B1512)=1,2,IF(WEEKDAY(B1512)=7,1,0))))))</f>
        <v>1</v>
      </c>
      <c r="V1512" s="328">
        <f>VLOOKUP(C1512,METADATA!$A$5:$H$29,IF(E1512="HI",2,IF(E1512="LO",6,10))+IF(T1512=1,2,IF(D1512=7,1,(IF(WEEKDAY(B1512)=1,2,IF(WEEKDAY(B1512)=7,1,0))))))</f>
        <v>1</v>
      </c>
    </row>
    <row r="1513" spans="2:22">
      <c r="B1513" s="318">
        <f t="shared" si="95"/>
        <v>46175</v>
      </c>
      <c r="C1513" s="312">
        <v>21</v>
      </c>
      <c r="D1513" s="368">
        <f>IFERROR((INDEX(METADATA!$T$2:$T$20,MATCH(B1513,METADATA!$S$2:$S$20,0))),0)</f>
        <v>0</v>
      </c>
      <c r="E1513" s="312" t="str">
        <f t="shared" si="92"/>
        <v>LO</v>
      </c>
      <c r="F1513" s="369">
        <f>VLOOKUP(C1513,METADATA!$A$5:$H$29,IF(E1513="HI",2,IF(E1513="LO",6,10))+IF(D1513=1,2,IF(D1513=7,1,(IF(WEEKDAY(B1513)=1,2,IF(WEEKDAY(B1513)=7,1,0))))))</f>
        <v>2</v>
      </c>
      <c r="G1513" s="369">
        <f>VLOOKUP(C1513,METADATA!$J$5:$Q$29,IF(E1513="HI",2,IF(E1513="LO",6,10))+IF(D1513=1,2,IF(D1513=7,1,(IF(WEEKDAY(B1513)=1,2,IF(WEEKDAY(B1513)=7,1,0))))))</f>
        <v>2</v>
      </c>
      <c r="H1513" s="370">
        <v>12710.750122070313</v>
      </c>
      <c r="I1513" s="370">
        <v>1508.2049331665039</v>
      </c>
      <c r="M1513" s="371">
        <f t="shared" si="93"/>
        <v>12799.916046058202</v>
      </c>
      <c r="N1513" s="329">
        <f t="shared" si="94"/>
        <v>0</v>
      </c>
      <c r="T1513" s="331">
        <v>0</v>
      </c>
      <c r="U1513" s="328">
        <f>VLOOKUP(C1513,METADATA!$J$5:$Q$29,IF(E1513="HI",2,IF(E1513="LO",6,10))+IF(T1513=1,2,IF(D1513=7,1,(IF(WEEKDAY(B1513)=1,2,IF(WEEKDAY(B1513)=7,1,0))))))</f>
        <v>2</v>
      </c>
      <c r="V1513" s="328">
        <f>VLOOKUP(C1513,METADATA!$A$5:$H$29,IF(E1513="HI",2,IF(E1513="LO",6,10))+IF(T1513=1,2,IF(D1513=7,1,(IF(WEEKDAY(B1513)=1,2,IF(WEEKDAY(B1513)=7,1,0))))))</f>
        <v>2</v>
      </c>
    </row>
    <row r="1514" spans="2:22">
      <c r="B1514" s="318">
        <f t="shared" si="95"/>
        <v>46175</v>
      </c>
      <c r="C1514" s="312">
        <v>22</v>
      </c>
      <c r="D1514" s="368">
        <f>IFERROR((INDEX(METADATA!$T$2:$T$20,MATCH(B1514,METADATA!$S$2:$S$20,0))),0)</f>
        <v>0</v>
      </c>
      <c r="E1514" s="312" t="str">
        <f t="shared" si="92"/>
        <v>LO</v>
      </c>
      <c r="F1514" s="369">
        <f>VLOOKUP(C1514,METADATA!$A$5:$H$29,IF(E1514="HI",2,IF(E1514="LO",6,10))+IF(D1514=1,2,IF(D1514=7,1,(IF(WEEKDAY(B1514)=1,2,IF(WEEKDAY(B1514)=7,1,0))))))</f>
        <v>3</v>
      </c>
      <c r="G1514" s="369">
        <f>VLOOKUP(C1514,METADATA!$J$5:$Q$29,IF(E1514="HI",2,IF(E1514="LO",6,10))+IF(D1514=1,2,IF(D1514=7,1,(IF(WEEKDAY(B1514)=1,2,IF(WEEKDAY(B1514)=7,1,0))))))</f>
        <v>3</v>
      </c>
      <c r="H1514" s="370">
        <v>13298.750122070313</v>
      </c>
      <c r="I1514" s="370">
        <v>1999.4950180053711</v>
      </c>
      <c r="M1514" s="371">
        <f t="shared" si="93"/>
        <v>13448.224237284767</v>
      </c>
      <c r="N1514" s="329">
        <f t="shared" si="94"/>
        <v>0</v>
      </c>
      <c r="T1514" s="331">
        <v>0</v>
      </c>
      <c r="U1514" s="328">
        <f>VLOOKUP(C1514,METADATA!$J$5:$Q$29,IF(E1514="HI",2,IF(E1514="LO",6,10))+IF(T1514=1,2,IF(D1514=7,1,(IF(WEEKDAY(B1514)=1,2,IF(WEEKDAY(B1514)=7,1,0))))))</f>
        <v>3</v>
      </c>
      <c r="V1514" s="328">
        <f>VLOOKUP(C1514,METADATA!$A$5:$H$29,IF(E1514="HI",2,IF(E1514="LO",6,10))+IF(T1514=1,2,IF(D1514=7,1,(IF(WEEKDAY(B1514)=1,2,IF(WEEKDAY(B1514)=7,1,0))))))</f>
        <v>3</v>
      </c>
    </row>
    <row r="1515" spans="2:22">
      <c r="B1515" s="318">
        <f t="shared" si="95"/>
        <v>46175</v>
      </c>
      <c r="C1515" s="312">
        <v>23</v>
      </c>
      <c r="D1515" s="368">
        <f>IFERROR((INDEX(METADATA!$T$2:$T$20,MATCH(B1515,METADATA!$S$2:$S$20,0))),0)</f>
        <v>0</v>
      </c>
      <c r="E1515" s="312" t="str">
        <f t="shared" si="92"/>
        <v>LO</v>
      </c>
      <c r="F1515" s="369">
        <f>VLOOKUP(C1515,METADATA!$A$5:$H$29,IF(E1515="HI",2,IF(E1515="LO",6,10))+IF(D1515=1,2,IF(D1515=7,1,(IF(WEEKDAY(B1515)=1,2,IF(WEEKDAY(B1515)=7,1,0))))))</f>
        <v>3</v>
      </c>
      <c r="G1515" s="369">
        <f>VLOOKUP(C1515,METADATA!$J$5:$Q$29,IF(E1515="HI",2,IF(E1515="LO",6,10))+IF(D1515=1,2,IF(D1515=7,1,(IF(WEEKDAY(B1515)=1,2,IF(WEEKDAY(B1515)=7,1,0))))))</f>
        <v>3</v>
      </c>
      <c r="H1515" s="370">
        <v>13677.42529296875</v>
      </c>
      <c r="I1515" s="370">
        <v>2129.5149841308594</v>
      </c>
      <c r="M1515" s="371">
        <f t="shared" si="93"/>
        <v>13842.210687328059</v>
      </c>
      <c r="N1515" s="329">
        <f t="shared" si="94"/>
        <v>0</v>
      </c>
      <c r="T1515" s="331">
        <v>0</v>
      </c>
      <c r="U1515" s="328">
        <f>VLOOKUP(C1515,METADATA!$J$5:$Q$29,IF(E1515="HI",2,IF(E1515="LO",6,10))+IF(T1515=1,2,IF(D1515=7,1,(IF(WEEKDAY(B1515)=1,2,IF(WEEKDAY(B1515)=7,1,0))))))</f>
        <v>3</v>
      </c>
      <c r="V1515" s="328">
        <f>VLOOKUP(C1515,METADATA!$A$5:$H$29,IF(E1515="HI",2,IF(E1515="LO",6,10))+IF(T1515=1,2,IF(D1515=7,1,(IF(WEEKDAY(B1515)=1,2,IF(WEEKDAY(B1515)=7,1,0))))))</f>
        <v>3</v>
      </c>
    </row>
    <row r="1516" spans="2:22">
      <c r="B1516" s="318">
        <f t="shared" si="95"/>
        <v>46176</v>
      </c>
      <c r="C1516" s="312">
        <v>0</v>
      </c>
      <c r="D1516" s="368">
        <f>IFERROR((INDEX(METADATA!$T$2:$T$20,MATCH(B1516,METADATA!$S$2:$S$20,0))),0)</f>
        <v>0</v>
      </c>
      <c r="E1516" s="312" t="str">
        <f t="shared" si="92"/>
        <v>LO</v>
      </c>
      <c r="F1516" s="369">
        <f>VLOOKUP(C1516,METADATA!$A$5:$H$29,IF(E1516="HI",2,IF(E1516="LO",6,10))+IF(D1516=1,2,IF(D1516=7,1,(IF(WEEKDAY(B1516)=1,2,IF(WEEKDAY(B1516)=7,1,0))))))</f>
        <v>3</v>
      </c>
      <c r="G1516" s="369">
        <f>VLOOKUP(C1516,METADATA!$J$5:$Q$29,IF(E1516="HI",2,IF(E1516="LO",6,10))+IF(D1516=1,2,IF(D1516=7,1,(IF(WEEKDAY(B1516)=1,2,IF(WEEKDAY(B1516)=7,1,0))))))</f>
        <v>3</v>
      </c>
      <c r="H1516" s="370">
        <v>12298.184478759766</v>
      </c>
      <c r="I1516" s="370">
        <v>1947.1450018312316</v>
      </c>
      <c r="M1516" s="371">
        <f t="shared" si="93"/>
        <v>12451.374025856099</v>
      </c>
      <c r="N1516" s="329">
        <f t="shared" si="94"/>
        <v>0</v>
      </c>
      <c r="T1516" s="331">
        <v>0</v>
      </c>
      <c r="U1516" s="328">
        <f>VLOOKUP(C1516,METADATA!$J$5:$Q$29,IF(E1516="HI",2,IF(E1516="LO",6,10))+IF(T1516=1,2,IF(D1516=7,1,(IF(WEEKDAY(B1516)=1,2,IF(WEEKDAY(B1516)=7,1,0))))))</f>
        <v>3</v>
      </c>
      <c r="V1516" s="328">
        <f>VLOOKUP(C1516,METADATA!$A$5:$H$29,IF(E1516="HI",2,IF(E1516="LO",6,10))+IF(T1516=1,2,IF(D1516=7,1,(IF(WEEKDAY(B1516)=1,2,IF(WEEKDAY(B1516)=7,1,0))))))</f>
        <v>3</v>
      </c>
    </row>
    <row r="1517" spans="2:22">
      <c r="B1517" s="318">
        <f t="shared" si="95"/>
        <v>46176</v>
      </c>
      <c r="C1517" s="312">
        <v>1</v>
      </c>
      <c r="D1517" s="368">
        <f>IFERROR((INDEX(METADATA!$T$2:$T$20,MATCH(B1517,METADATA!$S$2:$S$20,0))),0)</f>
        <v>0</v>
      </c>
      <c r="E1517" s="312" t="str">
        <f t="shared" si="92"/>
        <v>LO</v>
      </c>
      <c r="F1517" s="369">
        <f>VLOOKUP(C1517,METADATA!$A$5:$H$29,IF(E1517="HI",2,IF(E1517="LO",6,10))+IF(D1517=1,2,IF(D1517=7,1,(IF(WEEKDAY(B1517)=1,2,IF(WEEKDAY(B1517)=7,1,0))))))</f>
        <v>3</v>
      </c>
      <c r="G1517" s="369">
        <f>VLOOKUP(C1517,METADATA!$J$5:$Q$29,IF(E1517="HI",2,IF(E1517="LO",6,10))+IF(D1517=1,2,IF(D1517=7,1,(IF(WEEKDAY(B1517)=1,2,IF(WEEKDAY(B1517)=7,1,0))))))</f>
        <v>3</v>
      </c>
      <c r="H1517" s="370">
        <v>10409.240447998047</v>
      </c>
      <c r="I1517" s="370">
        <v>1156.4400329589844</v>
      </c>
      <c r="M1517" s="371">
        <f t="shared" si="93"/>
        <v>10473.282210179805</v>
      </c>
      <c r="N1517" s="329">
        <f t="shared" si="94"/>
        <v>0</v>
      </c>
      <c r="T1517" s="331">
        <v>0</v>
      </c>
      <c r="U1517" s="328">
        <f>VLOOKUP(C1517,METADATA!$J$5:$Q$29,IF(E1517="HI",2,IF(E1517="LO",6,10))+IF(T1517=1,2,IF(D1517=7,1,(IF(WEEKDAY(B1517)=1,2,IF(WEEKDAY(B1517)=7,1,0))))))</f>
        <v>3</v>
      </c>
      <c r="V1517" s="328">
        <f>VLOOKUP(C1517,METADATA!$A$5:$H$29,IF(E1517="HI",2,IF(E1517="LO",6,10))+IF(T1517=1,2,IF(D1517=7,1,(IF(WEEKDAY(B1517)=1,2,IF(WEEKDAY(B1517)=7,1,0))))))</f>
        <v>3</v>
      </c>
    </row>
    <row r="1518" spans="2:22">
      <c r="B1518" s="318">
        <f t="shared" si="95"/>
        <v>46176</v>
      </c>
      <c r="C1518" s="312">
        <v>2</v>
      </c>
      <c r="D1518" s="368">
        <f>IFERROR((INDEX(METADATA!$T$2:$T$20,MATCH(B1518,METADATA!$S$2:$S$20,0))),0)</f>
        <v>0</v>
      </c>
      <c r="E1518" s="312" t="str">
        <f t="shared" si="92"/>
        <v>LO</v>
      </c>
      <c r="F1518" s="369">
        <f>VLOOKUP(C1518,METADATA!$A$5:$H$29,IF(E1518="HI",2,IF(E1518="LO",6,10))+IF(D1518=1,2,IF(D1518=7,1,(IF(WEEKDAY(B1518)=1,2,IF(WEEKDAY(B1518)=7,1,0))))))</f>
        <v>3</v>
      </c>
      <c r="G1518" s="369">
        <f>VLOOKUP(C1518,METADATA!$J$5:$Q$29,IF(E1518="HI",2,IF(E1518="LO",6,10))+IF(D1518=1,2,IF(D1518=7,1,(IF(WEEKDAY(B1518)=1,2,IF(WEEKDAY(B1518)=7,1,0))))))</f>
        <v>3</v>
      </c>
      <c r="H1518" s="370">
        <v>9720.3486328125</v>
      </c>
      <c r="I1518" s="370">
        <v>673.43998718261719</v>
      </c>
      <c r="M1518" s="371">
        <f t="shared" si="93"/>
        <v>9743.6491603380491</v>
      </c>
      <c r="N1518" s="329">
        <f t="shared" si="94"/>
        <v>0</v>
      </c>
      <c r="T1518" s="331">
        <v>0</v>
      </c>
      <c r="U1518" s="328">
        <f>VLOOKUP(C1518,METADATA!$J$5:$Q$29,IF(E1518="HI",2,IF(E1518="LO",6,10))+IF(T1518=1,2,IF(D1518=7,1,(IF(WEEKDAY(B1518)=1,2,IF(WEEKDAY(B1518)=7,1,0))))))</f>
        <v>3</v>
      </c>
      <c r="V1518" s="328">
        <f>VLOOKUP(C1518,METADATA!$A$5:$H$29,IF(E1518="HI",2,IF(E1518="LO",6,10))+IF(T1518=1,2,IF(D1518=7,1,(IF(WEEKDAY(B1518)=1,2,IF(WEEKDAY(B1518)=7,1,0))))))</f>
        <v>3</v>
      </c>
    </row>
    <row r="1519" spans="2:22">
      <c r="B1519" s="318">
        <f t="shared" si="95"/>
        <v>46176</v>
      </c>
      <c r="C1519" s="312">
        <v>3</v>
      </c>
      <c r="D1519" s="368">
        <f>IFERROR((INDEX(METADATA!$T$2:$T$20,MATCH(B1519,METADATA!$S$2:$S$20,0))),0)</f>
        <v>0</v>
      </c>
      <c r="E1519" s="312" t="str">
        <f t="shared" si="92"/>
        <v>LO</v>
      </c>
      <c r="F1519" s="369">
        <f>VLOOKUP(C1519,METADATA!$A$5:$H$29,IF(E1519="HI",2,IF(E1519="LO",6,10))+IF(D1519=1,2,IF(D1519=7,1,(IF(WEEKDAY(B1519)=1,2,IF(WEEKDAY(B1519)=7,1,0))))))</f>
        <v>3</v>
      </c>
      <c r="G1519" s="369">
        <f>VLOOKUP(C1519,METADATA!$J$5:$Q$29,IF(E1519="HI",2,IF(E1519="LO",6,10))+IF(D1519=1,2,IF(D1519=7,1,(IF(WEEKDAY(B1519)=1,2,IF(WEEKDAY(B1519)=7,1,0))))))</f>
        <v>3</v>
      </c>
      <c r="H1519" s="370">
        <v>10392.880035400391</v>
      </c>
      <c r="I1519" s="370">
        <v>515.83199971914291</v>
      </c>
      <c r="M1519" s="371">
        <f t="shared" si="93"/>
        <v>10405.673360343302</v>
      </c>
      <c r="N1519" s="329">
        <f t="shared" si="94"/>
        <v>0</v>
      </c>
      <c r="T1519" s="331">
        <v>0</v>
      </c>
      <c r="U1519" s="328">
        <f>VLOOKUP(C1519,METADATA!$J$5:$Q$29,IF(E1519="HI",2,IF(E1519="LO",6,10))+IF(T1519=1,2,IF(D1519=7,1,(IF(WEEKDAY(B1519)=1,2,IF(WEEKDAY(B1519)=7,1,0))))))</f>
        <v>3</v>
      </c>
      <c r="V1519" s="328">
        <f>VLOOKUP(C1519,METADATA!$A$5:$H$29,IF(E1519="HI",2,IF(E1519="LO",6,10))+IF(T1519=1,2,IF(D1519=7,1,(IF(WEEKDAY(B1519)=1,2,IF(WEEKDAY(B1519)=7,1,0))))))</f>
        <v>3</v>
      </c>
    </row>
    <row r="1520" spans="2:22">
      <c r="B1520" s="318">
        <f t="shared" si="95"/>
        <v>46176</v>
      </c>
      <c r="C1520" s="312">
        <v>4</v>
      </c>
      <c r="D1520" s="368">
        <f>IFERROR((INDEX(METADATA!$T$2:$T$20,MATCH(B1520,METADATA!$S$2:$S$20,0))),0)</f>
        <v>0</v>
      </c>
      <c r="E1520" s="312" t="str">
        <f t="shared" si="92"/>
        <v>LO</v>
      </c>
      <c r="F1520" s="369">
        <f>VLOOKUP(C1520,METADATA!$A$5:$H$29,IF(E1520="HI",2,IF(E1520="LO",6,10))+IF(D1520=1,2,IF(D1520=7,1,(IF(WEEKDAY(B1520)=1,2,IF(WEEKDAY(B1520)=7,1,0))))))</f>
        <v>3</v>
      </c>
      <c r="G1520" s="369">
        <f>VLOOKUP(C1520,METADATA!$J$5:$Q$29,IF(E1520="HI",2,IF(E1520="LO",6,10))+IF(D1520=1,2,IF(D1520=7,1,(IF(WEEKDAY(B1520)=1,2,IF(WEEKDAY(B1520)=7,1,0))))))</f>
        <v>3</v>
      </c>
      <c r="H1520" s="370">
        <v>7112.2749633789063</v>
      </c>
      <c r="I1520" s="370">
        <v>9.9839999973773956</v>
      </c>
      <c r="M1520" s="371">
        <f t="shared" si="93"/>
        <v>7112.2819709965361</v>
      </c>
      <c r="N1520" s="329">
        <f t="shared" si="94"/>
        <v>0</v>
      </c>
      <c r="T1520" s="331">
        <v>0</v>
      </c>
      <c r="U1520" s="328">
        <f>VLOOKUP(C1520,METADATA!$J$5:$Q$29,IF(E1520="HI",2,IF(E1520="LO",6,10))+IF(T1520=1,2,IF(D1520=7,1,(IF(WEEKDAY(B1520)=1,2,IF(WEEKDAY(B1520)=7,1,0))))))</f>
        <v>3</v>
      </c>
      <c r="V1520" s="328">
        <f>VLOOKUP(C1520,METADATA!$A$5:$H$29,IF(E1520="HI",2,IF(E1520="LO",6,10))+IF(T1520=1,2,IF(D1520=7,1,(IF(WEEKDAY(B1520)=1,2,IF(WEEKDAY(B1520)=7,1,0))))))</f>
        <v>3</v>
      </c>
    </row>
    <row r="1521" spans="2:22">
      <c r="B1521" s="318">
        <f t="shared" si="95"/>
        <v>46176</v>
      </c>
      <c r="C1521" s="312">
        <v>5</v>
      </c>
      <c r="D1521" s="368">
        <f>IFERROR((INDEX(METADATA!$T$2:$T$20,MATCH(B1521,METADATA!$S$2:$S$20,0))),0)</f>
        <v>0</v>
      </c>
      <c r="E1521" s="312" t="str">
        <f t="shared" si="92"/>
        <v>LO</v>
      </c>
      <c r="F1521" s="369">
        <f>VLOOKUP(C1521,METADATA!$A$5:$H$29,IF(E1521="HI",2,IF(E1521="LO",6,10))+IF(D1521=1,2,IF(D1521=7,1,(IF(WEEKDAY(B1521)=1,2,IF(WEEKDAY(B1521)=7,1,0))))))</f>
        <v>3</v>
      </c>
      <c r="G1521" s="369">
        <f>VLOOKUP(C1521,METADATA!$J$5:$Q$29,IF(E1521="HI",2,IF(E1521="LO",6,10))+IF(D1521=1,2,IF(D1521=7,1,(IF(WEEKDAY(B1521)=1,2,IF(WEEKDAY(B1521)=7,1,0))))))</f>
        <v>3</v>
      </c>
      <c r="H1521" s="370">
        <v>5583.0950927734375</v>
      </c>
      <c r="I1521" s="370">
        <v>0.14399999380111694</v>
      </c>
      <c r="M1521" s="371">
        <f t="shared" si="93"/>
        <v>5583.095094630472</v>
      </c>
      <c r="N1521" s="329">
        <f t="shared" si="94"/>
        <v>0</v>
      </c>
      <c r="T1521" s="331">
        <v>0</v>
      </c>
      <c r="U1521" s="328">
        <f>VLOOKUP(C1521,METADATA!$J$5:$Q$29,IF(E1521="HI",2,IF(E1521="LO",6,10))+IF(T1521=1,2,IF(D1521=7,1,(IF(WEEKDAY(B1521)=1,2,IF(WEEKDAY(B1521)=7,1,0))))))</f>
        <v>3</v>
      </c>
      <c r="V1521" s="328">
        <f>VLOOKUP(C1521,METADATA!$A$5:$H$29,IF(E1521="HI",2,IF(E1521="LO",6,10))+IF(T1521=1,2,IF(D1521=7,1,(IF(WEEKDAY(B1521)=1,2,IF(WEEKDAY(B1521)=7,1,0))))))</f>
        <v>3</v>
      </c>
    </row>
    <row r="1522" spans="2:22">
      <c r="B1522" s="318">
        <f t="shared" si="95"/>
        <v>46176</v>
      </c>
      <c r="C1522" s="312">
        <v>6</v>
      </c>
      <c r="D1522" s="368">
        <f>IFERROR((INDEX(METADATA!$T$2:$T$20,MATCH(B1522,METADATA!$S$2:$S$20,0))),0)</f>
        <v>0</v>
      </c>
      <c r="E1522" s="312" t="str">
        <f t="shared" si="92"/>
        <v>LO</v>
      </c>
      <c r="F1522" s="369">
        <f>VLOOKUP(C1522,METADATA!$A$5:$H$29,IF(E1522="HI",2,IF(E1522="LO",6,10))+IF(D1522=1,2,IF(D1522=7,1,(IF(WEEKDAY(B1522)=1,2,IF(WEEKDAY(B1522)=7,1,0))))))</f>
        <v>2</v>
      </c>
      <c r="G1522" s="369">
        <f>VLOOKUP(C1522,METADATA!$J$5:$Q$29,IF(E1522="HI",2,IF(E1522="LO",6,10))+IF(D1522=1,2,IF(D1522=7,1,(IF(WEEKDAY(B1522)=1,2,IF(WEEKDAY(B1522)=7,1,0))))))</f>
        <v>2</v>
      </c>
      <c r="H1522" s="370">
        <v>5192.2550659179688</v>
      </c>
      <c r="I1522" s="370">
        <v>0</v>
      </c>
      <c r="M1522" s="371">
        <f t="shared" si="93"/>
        <v>5192.2550659179688</v>
      </c>
      <c r="N1522" s="329">
        <f t="shared" si="94"/>
        <v>0</v>
      </c>
      <c r="T1522" s="331">
        <v>0</v>
      </c>
      <c r="U1522" s="328">
        <f>VLOOKUP(C1522,METADATA!$J$5:$Q$29,IF(E1522="HI",2,IF(E1522="LO",6,10))+IF(T1522=1,2,IF(D1522=7,1,(IF(WEEKDAY(B1522)=1,2,IF(WEEKDAY(B1522)=7,1,0))))))</f>
        <v>2</v>
      </c>
      <c r="V1522" s="328">
        <f>VLOOKUP(C1522,METADATA!$A$5:$H$29,IF(E1522="HI",2,IF(E1522="LO",6,10))+IF(T1522=1,2,IF(D1522=7,1,(IF(WEEKDAY(B1522)=1,2,IF(WEEKDAY(B1522)=7,1,0))))))</f>
        <v>2</v>
      </c>
    </row>
    <row r="1523" spans="2:22">
      <c r="B1523" s="318">
        <f t="shared" si="95"/>
        <v>46176</v>
      </c>
      <c r="C1523" s="312">
        <v>7</v>
      </c>
      <c r="D1523" s="368">
        <f>IFERROR((INDEX(METADATA!$T$2:$T$20,MATCH(B1523,METADATA!$S$2:$S$20,0))),0)</f>
        <v>0</v>
      </c>
      <c r="E1523" s="312" t="str">
        <f t="shared" si="92"/>
        <v>LO</v>
      </c>
      <c r="F1523" s="369">
        <f>VLOOKUP(C1523,METADATA!$A$5:$H$29,IF(E1523="HI",2,IF(E1523="LO",6,10))+IF(D1523=1,2,IF(D1523=7,1,(IF(WEEKDAY(B1523)=1,2,IF(WEEKDAY(B1523)=7,1,0))))))</f>
        <v>1</v>
      </c>
      <c r="G1523" s="369">
        <f>VLOOKUP(C1523,METADATA!$J$5:$Q$29,IF(E1523="HI",2,IF(E1523="LO",6,10))+IF(D1523=1,2,IF(D1523=7,1,(IF(WEEKDAY(B1523)=1,2,IF(WEEKDAY(B1523)=7,1,0))))))</f>
        <v>1</v>
      </c>
      <c r="H1523" s="370">
        <v>6763.5999450683594</v>
      </c>
      <c r="I1523" s="370">
        <v>190.46400731801987</v>
      </c>
      <c r="M1523" s="371">
        <f t="shared" si="93"/>
        <v>6766.2811613923013</v>
      </c>
      <c r="N1523" s="329">
        <f t="shared" si="94"/>
        <v>0</v>
      </c>
      <c r="T1523" s="331">
        <v>0</v>
      </c>
      <c r="U1523" s="328">
        <f>VLOOKUP(C1523,METADATA!$J$5:$Q$29,IF(E1523="HI",2,IF(E1523="LO",6,10))+IF(T1523=1,2,IF(D1523=7,1,(IF(WEEKDAY(B1523)=1,2,IF(WEEKDAY(B1523)=7,1,0))))))</f>
        <v>1</v>
      </c>
      <c r="V1523" s="328">
        <f>VLOOKUP(C1523,METADATA!$A$5:$H$29,IF(E1523="HI",2,IF(E1523="LO",6,10))+IF(T1523=1,2,IF(D1523=7,1,(IF(WEEKDAY(B1523)=1,2,IF(WEEKDAY(B1523)=7,1,0))))))</f>
        <v>1</v>
      </c>
    </row>
    <row r="1524" spans="2:22">
      <c r="B1524" s="318">
        <f t="shared" si="95"/>
        <v>46176</v>
      </c>
      <c r="C1524" s="312">
        <v>8</v>
      </c>
      <c r="D1524" s="368">
        <f>IFERROR((INDEX(METADATA!$T$2:$T$20,MATCH(B1524,METADATA!$S$2:$S$20,0))),0)</f>
        <v>0</v>
      </c>
      <c r="E1524" s="312" t="str">
        <f t="shared" si="92"/>
        <v>LO</v>
      </c>
      <c r="F1524" s="369">
        <f>VLOOKUP(C1524,METADATA!$A$5:$H$29,IF(E1524="HI",2,IF(E1524="LO",6,10))+IF(D1524=1,2,IF(D1524=7,1,(IF(WEEKDAY(B1524)=1,2,IF(WEEKDAY(B1524)=7,1,0))))))</f>
        <v>1</v>
      </c>
      <c r="G1524" s="369">
        <f>VLOOKUP(C1524,METADATA!$J$5:$Q$29,IF(E1524="HI",2,IF(E1524="LO",6,10))+IF(D1524=1,2,IF(D1524=7,1,(IF(WEEKDAY(B1524)=1,2,IF(WEEKDAY(B1524)=7,1,0))))))</f>
        <v>1</v>
      </c>
      <c r="H1524" s="370">
        <v>11548.745361328125</v>
      </c>
      <c r="I1524" s="370">
        <v>1854.4800415039063</v>
      </c>
      <c r="M1524" s="371">
        <f t="shared" si="93"/>
        <v>11696.692508787868</v>
      </c>
      <c r="N1524" s="329">
        <f t="shared" si="94"/>
        <v>0</v>
      </c>
      <c r="T1524" s="331">
        <v>0</v>
      </c>
      <c r="U1524" s="328">
        <f>VLOOKUP(C1524,METADATA!$J$5:$Q$29,IF(E1524="HI",2,IF(E1524="LO",6,10))+IF(T1524=1,2,IF(D1524=7,1,(IF(WEEKDAY(B1524)=1,2,IF(WEEKDAY(B1524)=7,1,0))))))</f>
        <v>1</v>
      </c>
      <c r="V1524" s="328">
        <f>VLOOKUP(C1524,METADATA!$A$5:$H$29,IF(E1524="HI",2,IF(E1524="LO",6,10))+IF(T1524=1,2,IF(D1524=7,1,(IF(WEEKDAY(B1524)=1,2,IF(WEEKDAY(B1524)=7,1,0))))))</f>
        <v>1</v>
      </c>
    </row>
    <row r="1525" spans="2:22">
      <c r="B1525" s="318">
        <f t="shared" si="95"/>
        <v>46176</v>
      </c>
      <c r="C1525" s="312">
        <v>9</v>
      </c>
      <c r="D1525" s="368">
        <f>IFERROR((INDEX(METADATA!$T$2:$T$20,MATCH(B1525,METADATA!$S$2:$S$20,0))),0)</f>
        <v>0</v>
      </c>
      <c r="E1525" s="312" t="str">
        <f t="shared" si="92"/>
        <v>LO</v>
      </c>
      <c r="F1525" s="369">
        <f>VLOOKUP(C1525,METADATA!$A$5:$H$29,IF(E1525="HI",2,IF(E1525="LO",6,10))+IF(D1525=1,2,IF(D1525=7,1,(IF(WEEKDAY(B1525)=1,2,IF(WEEKDAY(B1525)=7,1,0))))))</f>
        <v>2</v>
      </c>
      <c r="G1525" s="369">
        <f>VLOOKUP(C1525,METADATA!$J$5:$Q$29,IF(E1525="HI",2,IF(E1525="LO",6,10))+IF(D1525=1,2,IF(D1525=7,1,(IF(WEEKDAY(B1525)=1,2,IF(WEEKDAY(B1525)=7,1,0))))))</f>
        <v>2</v>
      </c>
      <c r="H1525" s="370">
        <v>11535.279602050781</v>
      </c>
      <c r="I1525" s="370">
        <v>1736.3999633789063</v>
      </c>
      <c r="M1525" s="371">
        <f t="shared" si="93"/>
        <v>11665.237259923653</v>
      </c>
      <c r="N1525" s="329">
        <f t="shared" si="94"/>
        <v>0</v>
      </c>
      <c r="T1525" s="331">
        <v>0</v>
      </c>
      <c r="U1525" s="328">
        <f>VLOOKUP(C1525,METADATA!$J$5:$Q$29,IF(E1525="HI",2,IF(E1525="LO",6,10))+IF(T1525=1,2,IF(D1525=7,1,(IF(WEEKDAY(B1525)=1,2,IF(WEEKDAY(B1525)=7,1,0))))))</f>
        <v>2</v>
      </c>
      <c r="V1525" s="328">
        <f>VLOOKUP(C1525,METADATA!$A$5:$H$29,IF(E1525="HI",2,IF(E1525="LO",6,10))+IF(T1525=1,2,IF(D1525=7,1,(IF(WEEKDAY(B1525)=1,2,IF(WEEKDAY(B1525)=7,1,0))))))</f>
        <v>2</v>
      </c>
    </row>
    <row r="1526" spans="2:22">
      <c r="B1526" s="318">
        <f t="shared" si="95"/>
        <v>46176</v>
      </c>
      <c r="C1526" s="312">
        <v>10</v>
      </c>
      <c r="D1526" s="368">
        <f>IFERROR((INDEX(METADATA!$T$2:$T$20,MATCH(B1526,METADATA!$S$2:$S$20,0))),0)</f>
        <v>0</v>
      </c>
      <c r="E1526" s="312" t="str">
        <f t="shared" si="92"/>
        <v>LO</v>
      </c>
      <c r="F1526" s="369">
        <f>VLOOKUP(C1526,METADATA!$A$5:$H$29,IF(E1526="HI",2,IF(E1526="LO",6,10))+IF(D1526=1,2,IF(D1526=7,1,(IF(WEEKDAY(B1526)=1,2,IF(WEEKDAY(B1526)=7,1,0))))))</f>
        <v>2</v>
      </c>
      <c r="G1526" s="369">
        <f>VLOOKUP(C1526,METADATA!$J$5:$Q$29,IF(E1526="HI",2,IF(E1526="LO",6,10))+IF(D1526=1,2,IF(D1526=7,1,(IF(WEEKDAY(B1526)=1,2,IF(WEEKDAY(B1526)=7,1,0))))))</f>
        <v>2</v>
      </c>
      <c r="H1526" s="370">
        <v>11626.037170410156</v>
      </c>
      <c r="I1526" s="370">
        <v>1764.5999755859375</v>
      </c>
      <c r="M1526" s="371">
        <f t="shared" si="93"/>
        <v>11759.190166061457</v>
      </c>
      <c r="N1526" s="329">
        <f t="shared" si="94"/>
        <v>0</v>
      </c>
      <c r="T1526" s="331">
        <v>0</v>
      </c>
      <c r="U1526" s="328">
        <f>VLOOKUP(C1526,METADATA!$J$5:$Q$29,IF(E1526="HI",2,IF(E1526="LO",6,10))+IF(T1526=1,2,IF(D1526=7,1,(IF(WEEKDAY(B1526)=1,2,IF(WEEKDAY(B1526)=7,1,0))))))</f>
        <v>2</v>
      </c>
      <c r="V1526" s="328">
        <f>VLOOKUP(C1526,METADATA!$A$5:$H$29,IF(E1526="HI",2,IF(E1526="LO",6,10))+IF(T1526=1,2,IF(D1526=7,1,(IF(WEEKDAY(B1526)=1,2,IF(WEEKDAY(B1526)=7,1,0))))))</f>
        <v>2</v>
      </c>
    </row>
    <row r="1527" spans="2:22">
      <c r="B1527" s="318">
        <f t="shared" si="95"/>
        <v>46176</v>
      </c>
      <c r="C1527" s="312">
        <v>11</v>
      </c>
      <c r="D1527" s="368">
        <f>IFERROR((INDEX(METADATA!$T$2:$T$20,MATCH(B1527,METADATA!$S$2:$S$20,0))),0)</f>
        <v>0</v>
      </c>
      <c r="E1527" s="312" t="str">
        <f t="shared" si="92"/>
        <v>LO</v>
      </c>
      <c r="F1527" s="369">
        <f>VLOOKUP(C1527,METADATA!$A$5:$H$29,IF(E1527="HI",2,IF(E1527="LO",6,10))+IF(D1527=1,2,IF(D1527=7,1,(IF(WEEKDAY(B1527)=1,2,IF(WEEKDAY(B1527)=7,1,0))))))</f>
        <v>2</v>
      </c>
      <c r="G1527" s="369">
        <f>VLOOKUP(C1527,METADATA!$J$5:$Q$29,IF(E1527="HI",2,IF(E1527="LO",6,10))+IF(D1527=1,2,IF(D1527=7,1,(IF(WEEKDAY(B1527)=1,2,IF(WEEKDAY(B1527)=7,1,0))))))</f>
        <v>2</v>
      </c>
      <c r="H1527" s="370">
        <v>12314.965209960938</v>
      </c>
      <c r="I1527" s="370">
        <v>1731.2639827132225</v>
      </c>
      <c r="M1527" s="371">
        <f t="shared" si="93"/>
        <v>12436.062202336729</v>
      </c>
      <c r="N1527" s="329">
        <f t="shared" si="94"/>
        <v>0</v>
      </c>
      <c r="T1527" s="331">
        <v>0</v>
      </c>
      <c r="U1527" s="328">
        <f>VLOOKUP(C1527,METADATA!$J$5:$Q$29,IF(E1527="HI",2,IF(E1527="LO",6,10))+IF(T1527=1,2,IF(D1527=7,1,(IF(WEEKDAY(B1527)=1,2,IF(WEEKDAY(B1527)=7,1,0))))))</f>
        <v>2</v>
      </c>
      <c r="V1527" s="328">
        <f>VLOOKUP(C1527,METADATA!$A$5:$H$29,IF(E1527="HI",2,IF(E1527="LO",6,10))+IF(T1527=1,2,IF(D1527=7,1,(IF(WEEKDAY(B1527)=1,2,IF(WEEKDAY(B1527)=7,1,0))))))</f>
        <v>2</v>
      </c>
    </row>
    <row r="1528" spans="2:22">
      <c r="B1528" s="318">
        <f t="shared" si="95"/>
        <v>46176</v>
      </c>
      <c r="C1528" s="312">
        <v>12</v>
      </c>
      <c r="D1528" s="368">
        <f>IFERROR((INDEX(METADATA!$T$2:$T$20,MATCH(B1528,METADATA!$S$2:$S$20,0))),0)</f>
        <v>0</v>
      </c>
      <c r="E1528" s="312" t="str">
        <f t="shared" si="92"/>
        <v>LO</v>
      </c>
      <c r="F1528" s="369">
        <f>VLOOKUP(C1528,METADATA!$A$5:$H$29,IF(E1528="HI",2,IF(E1528="LO",6,10))+IF(D1528=1,2,IF(D1528=7,1,(IF(WEEKDAY(B1528)=1,2,IF(WEEKDAY(B1528)=7,1,0))))))</f>
        <v>2</v>
      </c>
      <c r="G1528" s="369">
        <f>VLOOKUP(C1528,METADATA!$J$5:$Q$29,IF(E1528="HI",2,IF(E1528="LO",6,10))+IF(D1528=1,2,IF(D1528=7,1,(IF(WEEKDAY(B1528)=1,2,IF(WEEKDAY(B1528)=7,1,0))))))</f>
        <v>2</v>
      </c>
      <c r="H1528" s="370">
        <v>13048.650085449219</v>
      </c>
      <c r="I1528" s="370">
        <v>1801.1520047187805</v>
      </c>
      <c r="M1528" s="371">
        <f t="shared" si="93"/>
        <v>13172.373271229311</v>
      </c>
      <c r="N1528" s="329">
        <f t="shared" si="94"/>
        <v>0</v>
      </c>
      <c r="T1528" s="331">
        <v>0</v>
      </c>
      <c r="U1528" s="328">
        <f>VLOOKUP(C1528,METADATA!$J$5:$Q$29,IF(E1528="HI",2,IF(E1528="LO",6,10))+IF(T1528=1,2,IF(D1528=7,1,(IF(WEEKDAY(B1528)=1,2,IF(WEEKDAY(B1528)=7,1,0))))))</f>
        <v>2</v>
      </c>
      <c r="V1528" s="328">
        <f>VLOOKUP(C1528,METADATA!$A$5:$H$29,IF(E1528="HI",2,IF(E1528="LO",6,10))+IF(T1528=1,2,IF(D1528=7,1,(IF(WEEKDAY(B1528)=1,2,IF(WEEKDAY(B1528)=7,1,0))))))</f>
        <v>2</v>
      </c>
    </row>
    <row r="1529" spans="2:22">
      <c r="B1529" s="318">
        <f t="shared" si="95"/>
        <v>46176</v>
      </c>
      <c r="C1529" s="312">
        <v>13</v>
      </c>
      <c r="D1529" s="368">
        <f>IFERROR((INDEX(METADATA!$T$2:$T$20,MATCH(B1529,METADATA!$S$2:$S$20,0))),0)</f>
        <v>0</v>
      </c>
      <c r="E1529" s="312" t="str">
        <f t="shared" si="92"/>
        <v>LO</v>
      </c>
      <c r="F1529" s="369">
        <f>VLOOKUP(C1529,METADATA!$A$5:$H$29,IF(E1529="HI",2,IF(E1529="LO",6,10))+IF(D1529=1,2,IF(D1529=7,1,(IF(WEEKDAY(B1529)=1,2,IF(WEEKDAY(B1529)=7,1,0))))))</f>
        <v>2</v>
      </c>
      <c r="G1529" s="369">
        <f>VLOOKUP(C1529,METADATA!$J$5:$Q$29,IF(E1529="HI",2,IF(E1529="LO",6,10))+IF(D1529=1,2,IF(D1529=7,1,(IF(WEEKDAY(B1529)=1,2,IF(WEEKDAY(B1529)=7,1,0))))))</f>
        <v>2</v>
      </c>
      <c r="H1529" s="370">
        <v>11856.417755126953</v>
      </c>
      <c r="I1529" s="370">
        <v>1794.47998046875</v>
      </c>
      <c r="M1529" s="371">
        <f t="shared" si="93"/>
        <v>11991.446967918126</v>
      </c>
      <c r="N1529" s="329">
        <f t="shared" si="94"/>
        <v>0</v>
      </c>
      <c r="T1529" s="331">
        <v>0</v>
      </c>
      <c r="U1529" s="328">
        <f>VLOOKUP(C1529,METADATA!$J$5:$Q$29,IF(E1529="HI",2,IF(E1529="LO",6,10))+IF(T1529=1,2,IF(D1529=7,1,(IF(WEEKDAY(B1529)=1,2,IF(WEEKDAY(B1529)=7,1,0))))))</f>
        <v>2</v>
      </c>
      <c r="V1529" s="328">
        <f>VLOOKUP(C1529,METADATA!$A$5:$H$29,IF(E1529="HI",2,IF(E1529="LO",6,10))+IF(T1529=1,2,IF(D1529=7,1,(IF(WEEKDAY(B1529)=1,2,IF(WEEKDAY(B1529)=7,1,0))))))</f>
        <v>2</v>
      </c>
    </row>
    <row r="1530" spans="2:22">
      <c r="B1530" s="318">
        <f t="shared" si="95"/>
        <v>46176</v>
      </c>
      <c r="C1530" s="312">
        <v>14</v>
      </c>
      <c r="D1530" s="368">
        <f>IFERROR((INDEX(METADATA!$T$2:$T$20,MATCH(B1530,METADATA!$S$2:$S$20,0))),0)</f>
        <v>0</v>
      </c>
      <c r="E1530" s="312" t="str">
        <f t="shared" si="92"/>
        <v>LO</v>
      </c>
      <c r="F1530" s="369">
        <f>VLOOKUP(C1530,METADATA!$A$5:$H$29,IF(E1530="HI",2,IF(E1530="LO",6,10))+IF(D1530=1,2,IF(D1530=7,1,(IF(WEEKDAY(B1530)=1,2,IF(WEEKDAY(B1530)=7,1,0))))))</f>
        <v>2</v>
      </c>
      <c r="G1530" s="369">
        <f>VLOOKUP(C1530,METADATA!$J$5:$Q$29,IF(E1530="HI",2,IF(E1530="LO",6,10))+IF(D1530=1,2,IF(D1530=7,1,(IF(WEEKDAY(B1530)=1,2,IF(WEEKDAY(B1530)=7,1,0))))))</f>
        <v>2</v>
      </c>
      <c r="H1530" s="370">
        <v>12445.657196044922</v>
      </c>
      <c r="I1530" s="370">
        <v>1772.0639829039574</v>
      </c>
      <c r="M1530" s="371">
        <f t="shared" si="93"/>
        <v>12571.181082180394</v>
      </c>
      <c r="N1530" s="329">
        <f t="shared" si="94"/>
        <v>0</v>
      </c>
      <c r="T1530" s="331">
        <v>0</v>
      </c>
      <c r="U1530" s="328">
        <f>VLOOKUP(C1530,METADATA!$J$5:$Q$29,IF(E1530="HI",2,IF(E1530="LO",6,10))+IF(T1530=1,2,IF(D1530=7,1,(IF(WEEKDAY(B1530)=1,2,IF(WEEKDAY(B1530)=7,1,0))))))</f>
        <v>2</v>
      </c>
      <c r="V1530" s="328">
        <f>VLOOKUP(C1530,METADATA!$A$5:$H$29,IF(E1530="HI",2,IF(E1530="LO",6,10))+IF(T1530=1,2,IF(D1530=7,1,(IF(WEEKDAY(B1530)=1,2,IF(WEEKDAY(B1530)=7,1,0))))))</f>
        <v>2</v>
      </c>
    </row>
    <row r="1531" spans="2:22">
      <c r="B1531" s="318">
        <f t="shared" si="95"/>
        <v>46176</v>
      </c>
      <c r="C1531" s="312">
        <v>15</v>
      </c>
      <c r="D1531" s="368">
        <f>IFERROR((INDEX(METADATA!$T$2:$T$20,MATCH(B1531,METADATA!$S$2:$S$20,0))),0)</f>
        <v>0</v>
      </c>
      <c r="E1531" s="312" t="str">
        <f t="shared" si="92"/>
        <v>LO</v>
      </c>
      <c r="F1531" s="369">
        <f>VLOOKUP(C1531,METADATA!$A$5:$H$29,IF(E1531="HI",2,IF(E1531="LO",6,10))+IF(D1531=1,2,IF(D1531=7,1,(IF(WEEKDAY(B1531)=1,2,IF(WEEKDAY(B1531)=7,1,0))))))</f>
        <v>2</v>
      </c>
      <c r="G1531" s="369">
        <f>VLOOKUP(C1531,METADATA!$J$5:$Q$29,IF(E1531="HI",2,IF(E1531="LO",6,10))+IF(D1531=1,2,IF(D1531=7,1,(IF(WEEKDAY(B1531)=1,2,IF(WEEKDAY(B1531)=7,1,0))))))</f>
        <v>2</v>
      </c>
      <c r="H1531" s="370">
        <v>12839.475402832031</v>
      </c>
      <c r="I1531" s="370">
        <v>1785.4079889655113</v>
      </c>
      <c r="M1531" s="371">
        <f t="shared" si="93"/>
        <v>12963.017021781257</v>
      </c>
      <c r="N1531" s="329">
        <f t="shared" si="94"/>
        <v>0</v>
      </c>
      <c r="T1531" s="331">
        <v>0</v>
      </c>
      <c r="U1531" s="328">
        <f>VLOOKUP(C1531,METADATA!$J$5:$Q$29,IF(E1531="HI",2,IF(E1531="LO",6,10))+IF(T1531=1,2,IF(D1531=7,1,(IF(WEEKDAY(B1531)=1,2,IF(WEEKDAY(B1531)=7,1,0))))))</f>
        <v>2</v>
      </c>
      <c r="V1531" s="328">
        <f>VLOOKUP(C1531,METADATA!$A$5:$H$29,IF(E1531="HI",2,IF(E1531="LO",6,10))+IF(T1531=1,2,IF(D1531=7,1,(IF(WEEKDAY(B1531)=1,2,IF(WEEKDAY(B1531)=7,1,0))))))</f>
        <v>2</v>
      </c>
    </row>
    <row r="1532" spans="2:22">
      <c r="B1532" s="318">
        <f t="shared" si="95"/>
        <v>46176</v>
      </c>
      <c r="C1532" s="312">
        <v>16</v>
      </c>
      <c r="D1532" s="368">
        <f>IFERROR((INDEX(METADATA!$T$2:$T$20,MATCH(B1532,METADATA!$S$2:$S$20,0))),0)</f>
        <v>0</v>
      </c>
      <c r="E1532" s="312" t="str">
        <f t="shared" si="92"/>
        <v>LO</v>
      </c>
      <c r="F1532" s="369">
        <f>VLOOKUP(C1532,METADATA!$A$5:$H$29,IF(E1532="HI",2,IF(E1532="LO",6,10))+IF(D1532=1,2,IF(D1532=7,1,(IF(WEEKDAY(B1532)=1,2,IF(WEEKDAY(B1532)=7,1,0))))))</f>
        <v>2</v>
      </c>
      <c r="G1532" s="369">
        <f>VLOOKUP(C1532,METADATA!$J$5:$Q$29,IF(E1532="HI",2,IF(E1532="LO",6,10))+IF(D1532=1,2,IF(D1532=7,1,(IF(WEEKDAY(B1532)=1,2,IF(WEEKDAY(B1532)=7,1,0))))))</f>
        <v>2</v>
      </c>
      <c r="H1532" s="370">
        <v>7790.8500366210938</v>
      </c>
      <c r="I1532" s="370">
        <v>32.904000043869019</v>
      </c>
      <c r="M1532" s="371">
        <f t="shared" si="93"/>
        <v>7790.91951994999</v>
      </c>
      <c r="N1532" s="329">
        <f t="shared" si="94"/>
        <v>0</v>
      </c>
      <c r="T1532" s="331">
        <v>0</v>
      </c>
      <c r="U1532" s="328">
        <f>VLOOKUP(C1532,METADATA!$J$5:$Q$29,IF(E1532="HI",2,IF(E1532="LO",6,10))+IF(T1532=1,2,IF(D1532=7,1,(IF(WEEKDAY(B1532)=1,2,IF(WEEKDAY(B1532)=7,1,0))))))</f>
        <v>2</v>
      </c>
      <c r="V1532" s="328">
        <f>VLOOKUP(C1532,METADATA!$A$5:$H$29,IF(E1532="HI",2,IF(E1532="LO",6,10))+IF(T1532=1,2,IF(D1532=7,1,(IF(WEEKDAY(B1532)=1,2,IF(WEEKDAY(B1532)=7,1,0))))))</f>
        <v>2</v>
      </c>
    </row>
    <row r="1533" spans="2:22">
      <c r="B1533" s="318">
        <f t="shared" si="95"/>
        <v>46176</v>
      </c>
      <c r="C1533" s="312">
        <v>17</v>
      </c>
      <c r="D1533" s="368">
        <f>IFERROR((INDEX(METADATA!$T$2:$T$20,MATCH(B1533,METADATA!$S$2:$S$20,0))),0)</f>
        <v>0</v>
      </c>
      <c r="E1533" s="312" t="str">
        <f t="shared" si="92"/>
        <v>LO</v>
      </c>
      <c r="F1533" s="369">
        <f>VLOOKUP(C1533,METADATA!$A$5:$H$29,IF(E1533="HI",2,IF(E1533="LO",6,10))+IF(D1533=1,2,IF(D1533=7,1,(IF(WEEKDAY(B1533)=1,2,IF(WEEKDAY(B1533)=7,1,0))))))</f>
        <v>2</v>
      </c>
      <c r="G1533" s="369">
        <f>VLOOKUP(C1533,METADATA!$J$5:$Q$29,IF(E1533="HI",2,IF(E1533="LO",6,10))+IF(D1533=1,2,IF(D1533=7,1,(IF(WEEKDAY(B1533)=1,2,IF(WEEKDAY(B1533)=7,1,0))))))</f>
        <v>2</v>
      </c>
      <c r="H1533" s="370">
        <v>10309.200012207031</v>
      </c>
      <c r="I1533" s="370">
        <v>583.12801456451416</v>
      </c>
      <c r="M1533" s="371">
        <f t="shared" si="93"/>
        <v>10325.67882383814</v>
      </c>
      <c r="N1533" s="329">
        <f t="shared" si="94"/>
        <v>0</v>
      </c>
      <c r="T1533" s="331">
        <v>0</v>
      </c>
      <c r="U1533" s="328">
        <f>VLOOKUP(C1533,METADATA!$J$5:$Q$29,IF(E1533="HI",2,IF(E1533="LO",6,10))+IF(T1533=1,2,IF(D1533=7,1,(IF(WEEKDAY(B1533)=1,2,IF(WEEKDAY(B1533)=7,1,0))))))</f>
        <v>2</v>
      </c>
      <c r="V1533" s="328">
        <f>VLOOKUP(C1533,METADATA!$A$5:$H$29,IF(E1533="HI",2,IF(E1533="LO",6,10))+IF(T1533=1,2,IF(D1533=7,1,(IF(WEEKDAY(B1533)=1,2,IF(WEEKDAY(B1533)=7,1,0))))))</f>
        <v>2</v>
      </c>
    </row>
    <row r="1534" spans="2:22">
      <c r="B1534" s="318">
        <f t="shared" si="95"/>
        <v>46176</v>
      </c>
      <c r="C1534" s="312">
        <v>18</v>
      </c>
      <c r="D1534" s="368">
        <f>IFERROR((INDEX(METADATA!$T$2:$T$20,MATCH(B1534,METADATA!$S$2:$S$20,0))),0)</f>
        <v>0</v>
      </c>
      <c r="E1534" s="312" t="str">
        <f t="shared" si="92"/>
        <v>LO</v>
      </c>
      <c r="F1534" s="369">
        <f>VLOOKUP(C1534,METADATA!$A$5:$H$29,IF(E1534="HI",2,IF(E1534="LO",6,10))+IF(D1534=1,2,IF(D1534=7,1,(IF(WEEKDAY(B1534)=1,2,IF(WEEKDAY(B1534)=7,1,0))))))</f>
        <v>1</v>
      </c>
      <c r="G1534" s="369">
        <f>VLOOKUP(C1534,METADATA!$J$5:$Q$29,IF(E1534="HI",2,IF(E1534="LO",6,10))+IF(D1534=1,2,IF(D1534=7,1,(IF(WEEKDAY(B1534)=1,2,IF(WEEKDAY(B1534)=7,1,0))))))</f>
        <v>1</v>
      </c>
      <c r="H1534" s="370">
        <v>11689.900207519531</v>
      </c>
      <c r="I1534" s="370">
        <v>777.71999025344849</v>
      </c>
      <c r="M1534" s="371">
        <f t="shared" si="93"/>
        <v>11715.742197786916</v>
      </c>
      <c r="N1534" s="329">
        <f t="shared" si="94"/>
        <v>0</v>
      </c>
      <c r="T1534" s="331">
        <v>0</v>
      </c>
      <c r="U1534" s="328">
        <f>VLOOKUP(C1534,METADATA!$J$5:$Q$29,IF(E1534="HI",2,IF(E1534="LO",6,10))+IF(T1534=1,2,IF(D1534=7,1,(IF(WEEKDAY(B1534)=1,2,IF(WEEKDAY(B1534)=7,1,0))))))</f>
        <v>1</v>
      </c>
      <c r="V1534" s="328">
        <f>VLOOKUP(C1534,METADATA!$A$5:$H$29,IF(E1534="HI",2,IF(E1534="LO",6,10))+IF(T1534=1,2,IF(D1534=7,1,(IF(WEEKDAY(B1534)=1,2,IF(WEEKDAY(B1534)=7,1,0))))))</f>
        <v>1</v>
      </c>
    </row>
    <row r="1535" spans="2:22">
      <c r="B1535" s="318">
        <f t="shared" si="95"/>
        <v>46176</v>
      </c>
      <c r="C1535" s="312">
        <v>19</v>
      </c>
      <c r="D1535" s="368">
        <f>IFERROR((INDEX(METADATA!$T$2:$T$20,MATCH(B1535,METADATA!$S$2:$S$20,0))),0)</f>
        <v>0</v>
      </c>
      <c r="E1535" s="312" t="str">
        <f t="shared" si="92"/>
        <v>LO</v>
      </c>
      <c r="F1535" s="369">
        <f>VLOOKUP(C1535,METADATA!$A$5:$H$29,IF(E1535="HI",2,IF(E1535="LO",6,10))+IF(D1535=1,2,IF(D1535=7,1,(IF(WEEKDAY(B1535)=1,2,IF(WEEKDAY(B1535)=7,1,0))))))</f>
        <v>1</v>
      </c>
      <c r="G1535" s="369">
        <f>VLOOKUP(C1535,METADATA!$J$5:$Q$29,IF(E1535="HI",2,IF(E1535="LO",6,10))+IF(D1535=1,2,IF(D1535=7,1,(IF(WEEKDAY(B1535)=1,2,IF(WEEKDAY(B1535)=7,1,0))))))</f>
        <v>1</v>
      </c>
      <c r="H1535" s="370">
        <v>11676.374938964844</v>
      </c>
      <c r="I1535" s="370">
        <v>809.11202257871628</v>
      </c>
      <c r="M1535" s="371">
        <f t="shared" si="93"/>
        <v>11704.374993153957</v>
      </c>
      <c r="N1535" s="329">
        <f t="shared" si="94"/>
        <v>0</v>
      </c>
      <c r="T1535" s="331">
        <v>0</v>
      </c>
      <c r="U1535" s="328">
        <f>VLOOKUP(C1535,METADATA!$J$5:$Q$29,IF(E1535="HI",2,IF(E1535="LO",6,10))+IF(T1535=1,2,IF(D1535=7,1,(IF(WEEKDAY(B1535)=1,2,IF(WEEKDAY(B1535)=7,1,0))))))</f>
        <v>1</v>
      </c>
      <c r="V1535" s="328">
        <f>VLOOKUP(C1535,METADATA!$A$5:$H$29,IF(E1535="HI",2,IF(E1535="LO",6,10))+IF(T1535=1,2,IF(D1535=7,1,(IF(WEEKDAY(B1535)=1,2,IF(WEEKDAY(B1535)=7,1,0))))))</f>
        <v>1</v>
      </c>
    </row>
    <row r="1536" spans="2:22">
      <c r="B1536" s="318">
        <f t="shared" si="95"/>
        <v>46176</v>
      </c>
      <c r="C1536" s="312">
        <v>20</v>
      </c>
      <c r="D1536" s="368">
        <f>IFERROR((INDEX(METADATA!$T$2:$T$20,MATCH(B1536,METADATA!$S$2:$S$20,0))),0)</f>
        <v>0</v>
      </c>
      <c r="E1536" s="312" t="str">
        <f t="shared" si="92"/>
        <v>LO</v>
      </c>
      <c r="F1536" s="369">
        <f>VLOOKUP(C1536,METADATA!$A$5:$H$29,IF(E1536="HI",2,IF(E1536="LO",6,10))+IF(D1536=1,2,IF(D1536=7,1,(IF(WEEKDAY(B1536)=1,2,IF(WEEKDAY(B1536)=7,1,0))))))</f>
        <v>1</v>
      </c>
      <c r="G1536" s="369">
        <f>VLOOKUP(C1536,METADATA!$J$5:$Q$29,IF(E1536="HI",2,IF(E1536="LO",6,10))+IF(D1536=1,2,IF(D1536=7,1,(IF(WEEKDAY(B1536)=1,2,IF(WEEKDAY(B1536)=7,1,0))))))</f>
        <v>1</v>
      </c>
      <c r="H1536" s="370">
        <v>10611.122192382813</v>
      </c>
      <c r="I1536" s="370">
        <v>1288.9200134277344</v>
      </c>
      <c r="M1536" s="371">
        <f t="shared" si="93"/>
        <v>10689.117315414476</v>
      </c>
      <c r="N1536" s="329">
        <f t="shared" si="94"/>
        <v>0</v>
      </c>
      <c r="T1536" s="331">
        <v>0</v>
      </c>
      <c r="U1536" s="328">
        <f>VLOOKUP(C1536,METADATA!$J$5:$Q$29,IF(E1536="HI",2,IF(E1536="LO",6,10))+IF(T1536=1,2,IF(D1536=7,1,(IF(WEEKDAY(B1536)=1,2,IF(WEEKDAY(B1536)=7,1,0))))))</f>
        <v>1</v>
      </c>
      <c r="V1536" s="328">
        <f>VLOOKUP(C1536,METADATA!$A$5:$H$29,IF(E1536="HI",2,IF(E1536="LO",6,10))+IF(T1536=1,2,IF(D1536=7,1,(IF(WEEKDAY(B1536)=1,2,IF(WEEKDAY(B1536)=7,1,0))))))</f>
        <v>1</v>
      </c>
    </row>
    <row r="1537" spans="2:22">
      <c r="B1537" s="318">
        <f t="shared" si="95"/>
        <v>46176</v>
      </c>
      <c r="C1537" s="312">
        <v>21</v>
      </c>
      <c r="D1537" s="368">
        <f>IFERROR((INDEX(METADATA!$T$2:$T$20,MATCH(B1537,METADATA!$S$2:$S$20,0))),0)</f>
        <v>0</v>
      </c>
      <c r="E1537" s="312" t="str">
        <f t="shared" si="92"/>
        <v>LO</v>
      </c>
      <c r="F1537" s="369">
        <f>VLOOKUP(C1537,METADATA!$A$5:$H$29,IF(E1537="HI",2,IF(E1537="LO",6,10))+IF(D1537=1,2,IF(D1537=7,1,(IF(WEEKDAY(B1537)=1,2,IF(WEEKDAY(B1537)=7,1,0))))))</f>
        <v>2</v>
      </c>
      <c r="G1537" s="369">
        <f>VLOOKUP(C1537,METADATA!$J$5:$Q$29,IF(E1537="HI",2,IF(E1537="LO",6,10))+IF(D1537=1,2,IF(D1537=7,1,(IF(WEEKDAY(B1537)=1,2,IF(WEEKDAY(B1537)=7,1,0))))))</f>
        <v>2</v>
      </c>
      <c r="H1537" s="370">
        <v>11272.507354736328</v>
      </c>
      <c r="I1537" s="370">
        <v>1894.5500183105469</v>
      </c>
      <c r="M1537" s="371">
        <f t="shared" si="93"/>
        <v>11430.605488532316</v>
      </c>
      <c r="N1537" s="329">
        <f t="shared" si="94"/>
        <v>0</v>
      </c>
      <c r="T1537" s="331">
        <v>0</v>
      </c>
      <c r="U1537" s="328">
        <f>VLOOKUP(C1537,METADATA!$J$5:$Q$29,IF(E1537="HI",2,IF(E1537="LO",6,10))+IF(T1537=1,2,IF(D1537=7,1,(IF(WEEKDAY(B1537)=1,2,IF(WEEKDAY(B1537)=7,1,0))))))</f>
        <v>2</v>
      </c>
      <c r="V1537" s="328">
        <f>VLOOKUP(C1537,METADATA!$A$5:$H$29,IF(E1537="HI",2,IF(E1537="LO",6,10))+IF(T1537=1,2,IF(D1537=7,1,(IF(WEEKDAY(B1537)=1,2,IF(WEEKDAY(B1537)=7,1,0))))))</f>
        <v>2</v>
      </c>
    </row>
    <row r="1538" spans="2:22">
      <c r="B1538" s="318">
        <f t="shared" si="95"/>
        <v>46176</v>
      </c>
      <c r="C1538" s="312">
        <v>22</v>
      </c>
      <c r="D1538" s="368">
        <f>IFERROR((INDEX(METADATA!$T$2:$T$20,MATCH(B1538,METADATA!$S$2:$S$20,0))),0)</f>
        <v>0</v>
      </c>
      <c r="E1538" s="312" t="str">
        <f t="shared" si="92"/>
        <v>LO</v>
      </c>
      <c r="F1538" s="369">
        <f>VLOOKUP(C1538,METADATA!$A$5:$H$29,IF(E1538="HI",2,IF(E1538="LO",6,10))+IF(D1538=1,2,IF(D1538=7,1,(IF(WEEKDAY(B1538)=1,2,IF(WEEKDAY(B1538)=7,1,0))))))</f>
        <v>3</v>
      </c>
      <c r="G1538" s="369">
        <f>VLOOKUP(C1538,METADATA!$J$5:$Q$29,IF(E1538="HI",2,IF(E1538="LO",6,10))+IF(D1538=1,2,IF(D1538=7,1,(IF(WEEKDAY(B1538)=1,2,IF(WEEKDAY(B1538)=7,1,0))))))</f>
        <v>3</v>
      </c>
      <c r="H1538" s="370">
        <v>11415.334808349609</v>
      </c>
      <c r="I1538" s="370">
        <v>1963.2100219726563</v>
      </c>
      <c r="M1538" s="371">
        <f t="shared" si="93"/>
        <v>11582.92115043058</v>
      </c>
      <c r="N1538" s="329">
        <f t="shared" si="94"/>
        <v>0</v>
      </c>
      <c r="T1538" s="331">
        <v>0</v>
      </c>
      <c r="U1538" s="328">
        <f>VLOOKUP(C1538,METADATA!$J$5:$Q$29,IF(E1538="HI",2,IF(E1538="LO",6,10))+IF(T1538=1,2,IF(D1538=7,1,(IF(WEEKDAY(B1538)=1,2,IF(WEEKDAY(B1538)=7,1,0))))))</f>
        <v>3</v>
      </c>
      <c r="V1538" s="328">
        <f>VLOOKUP(C1538,METADATA!$A$5:$H$29,IF(E1538="HI",2,IF(E1538="LO",6,10))+IF(T1538=1,2,IF(D1538=7,1,(IF(WEEKDAY(B1538)=1,2,IF(WEEKDAY(B1538)=7,1,0))))))</f>
        <v>3</v>
      </c>
    </row>
    <row r="1539" spans="2:22">
      <c r="B1539" s="318">
        <f t="shared" si="95"/>
        <v>46176</v>
      </c>
      <c r="C1539" s="312">
        <v>23</v>
      </c>
      <c r="D1539" s="368">
        <f>IFERROR((INDEX(METADATA!$T$2:$T$20,MATCH(B1539,METADATA!$S$2:$S$20,0))),0)</f>
        <v>0</v>
      </c>
      <c r="E1539" s="312" t="str">
        <f t="shared" si="92"/>
        <v>LO</v>
      </c>
      <c r="F1539" s="369">
        <f>VLOOKUP(C1539,METADATA!$A$5:$H$29,IF(E1539="HI",2,IF(E1539="LO",6,10))+IF(D1539=1,2,IF(D1539=7,1,(IF(WEEKDAY(B1539)=1,2,IF(WEEKDAY(B1539)=7,1,0))))))</f>
        <v>3</v>
      </c>
      <c r="G1539" s="369">
        <f>VLOOKUP(C1539,METADATA!$J$5:$Q$29,IF(E1539="HI",2,IF(E1539="LO",6,10))+IF(D1539=1,2,IF(D1539=7,1,(IF(WEEKDAY(B1539)=1,2,IF(WEEKDAY(B1539)=7,1,0))))))</f>
        <v>3</v>
      </c>
      <c r="H1539" s="370">
        <v>13073.600341796875</v>
      </c>
      <c r="I1539" s="370">
        <v>2149.3615445494652</v>
      </c>
      <c r="M1539" s="371">
        <f t="shared" si="93"/>
        <v>13249.10491113341</v>
      </c>
      <c r="N1539" s="329">
        <f t="shared" si="94"/>
        <v>0</v>
      </c>
      <c r="T1539" s="331">
        <v>0</v>
      </c>
      <c r="U1539" s="328">
        <f>VLOOKUP(C1539,METADATA!$J$5:$Q$29,IF(E1539="HI",2,IF(E1539="LO",6,10))+IF(T1539=1,2,IF(D1539=7,1,(IF(WEEKDAY(B1539)=1,2,IF(WEEKDAY(B1539)=7,1,0))))))</f>
        <v>3</v>
      </c>
      <c r="V1539" s="328">
        <f>VLOOKUP(C1539,METADATA!$A$5:$H$29,IF(E1539="HI",2,IF(E1539="LO",6,10))+IF(T1539=1,2,IF(D1539=7,1,(IF(WEEKDAY(B1539)=1,2,IF(WEEKDAY(B1539)=7,1,0))))))</f>
        <v>3</v>
      </c>
    </row>
    <row r="1540" spans="2:22">
      <c r="B1540" s="318">
        <f t="shared" si="95"/>
        <v>46177</v>
      </c>
      <c r="C1540" s="312">
        <v>0</v>
      </c>
      <c r="D1540" s="368">
        <f>IFERROR((INDEX(METADATA!$T$2:$T$20,MATCH(B1540,METADATA!$S$2:$S$20,0))),0)</f>
        <v>0</v>
      </c>
      <c r="E1540" s="312" t="str">
        <f t="shared" ref="E1540:E1603" si="96">IF(B1540="","",IF(AND(MONTH(B1540)&gt;=MONTH($Z$9),MONTH(B1540)&lt;=MONTH($Z$11)),"HI","LO"))</f>
        <v>LO</v>
      </c>
      <c r="F1540" s="369">
        <f>VLOOKUP(C1540,METADATA!$A$5:$H$29,IF(E1540="HI",2,IF(E1540="LO",6,10))+IF(D1540=1,2,IF(D1540=7,1,(IF(WEEKDAY(B1540)=1,2,IF(WEEKDAY(B1540)=7,1,0))))))</f>
        <v>3</v>
      </c>
      <c r="G1540" s="369">
        <f>VLOOKUP(C1540,METADATA!$J$5:$Q$29,IF(E1540="HI",2,IF(E1540="LO",6,10))+IF(D1540=1,2,IF(D1540=7,1,(IF(WEEKDAY(B1540)=1,2,IF(WEEKDAY(B1540)=7,1,0))))))</f>
        <v>3</v>
      </c>
      <c r="H1540" s="370">
        <v>12829.7998046875</v>
      </c>
      <c r="I1540" s="370">
        <v>2048.7544631958008</v>
      </c>
      <c r="M1540" s="371">
        <f t="shared" ref="M1540:M1603" si="97">SQRT(H1540^2+I1540^2)</f>
        <v>12992.349975228659</v>
      </c>
      <c r="N1540" s="329">
        <f t="shared" ref="N1540:N1603" si="98">IF(H1540=0,0,(IF(I1540-(0.3*H1540)&lt;0,0,(I1540-(0.3*H1540)))))</f>
        <v>0</v>
      </c>
      <c r="T1540" s="331">
        <v>0</v>
      </c>
      <c r="U1540" s="328">
        <f>VLOOKUP(C1540,METADATA!$J$5:$Q$29,IF(E1540="HI",2,IF(E1540="LO",6,10))+IF(T1540=1,2,IF(D1540=7,1,(IF(WEEKDAY(B1540)=1,2,IF(WEEKDAY(B1540)=7,1,0))))))</f>
        <v>3</v>
      </c>
      <c r="V1540" s="328">
        <f>VLOOKUP(C1540,METADATA!$A$5:$H$29,IF(E1540="HI",2,IF(E1540="LO",6,10))+IF(T1540=1,2,IF(D1540=7,1,(IF(WEEKDAY(B1540)=1,2,IF(WEEKDAY(B1540)=7,1,0))))))</f>
        <v>3</v>
      </c>
    </row>
    <row r="1541" spans="2:22">
      <c r="B1541" s="318">
        <f t="shared" si="95"/>
        <v>46177</v>
      </c>
      <c r="C1541" s="312">
        <v>1</v>
      </c>
      <c r="D1541" s="368">
        <f>IFERROR((INDEX(METADATA!$T$2:$T$20,MATCH(B1541,METADATA!$S$2:$S$20,0))),0)</f>
        <v>0</v>
      </c>
      <c r="E1541" s="312" t="str">
        <f t="shared" si="96"/>
        <v>LO</v>
      </c>
      <c r="F1541" s="369">
        <f>VLOOKUP(C1541,METADATA!$A$5:$H$29,IF(E1541="HI",2,IF(E1541="LO",6,10))+IF(D1541=1,2,IF(D1541=7,1,(IF(WEEKDAY(B1541)=1,2,IF(WEEKDAY(B1541)=7,1,0))))))</f>
        <v>3</v>
      </c>
      <c r="G1541" s="369">
        <f>VLOOKUP(C1541,METADATA!$J$5:$Q$29,IF(E1541="HI",2,IF(E1541="LO",6,10))+IF(D1541=1,2,IF(D1541=7,1,(IF(WEEKDAY(B1541)=1,2,IF(WEEKDAY(B1541)=7,1,0))))))</f>
        <v>3</v>
      </c>
      <c r="H1541" s="370">
        <v>12680.774658203125</v>
      </c>
      <c r="I1541" s="370">
        <v>1985.9160293936729</v>
      </c>
      <c r="M1541" s="371">
        <f t="shared" si="97"/>
        <v>12835.338266205894</v>
      </c>
      <c r="N1541" s="329">
        <f t="shared" si="98"/>
        <v>0</v>
      </c>
      <c r="T1541" s="331">
        <v>0</v>
      </c>
      <c r="U1541" s="328">
        <f>VLOOKUP(C1541,METADATA!$J$5:$Q$29,IF(E1541="HI",2,IF(E1541="LO",6,10))+IF(T1541=1,2,IF(D1541=7,1,(IF(WEEKDAY(B1541)=1,2,IF(WEEKDAY(B1541)=7,1,0))))))</f>
        <v>3</v>
      </c>
      <c r="V1541" s="328">
        <f>VLOOKUP(C1541,METADATA!$A$5:$H$29,IF(E1541="HI",2,IF(E1541="LO",6,10))+IF(T1541=1,2,IF(D1541=7,1,(IF(WEEKDAY(B1541)=1,2,IF(WEEKDAY(B1541)=7,1,0))))))</f>
        <v>3</v>
      </c>
    </row>
    <row r="1542" spans="2:22">
      <c r="B1542" s="318">
        <f t="shared" si="95"/>
        <v>46177</v>
      </c>
      <c r="C1542" s="312">
        <v>2</v>
      </c>
      <c r="D1542" s="368">
        <f>IFERROR((INDEX(METADATA!$T$2:$T$20,MATCH(B1542,METADATA!$S$2:$S$20,0))),0)</f>
        <v>0</v>
      </c>
      <c r="E1542" s="312" t="str">
        <f t="shared" si="96"/>
        <v>LO</v>
      </c>
      <c r="F1542" s="369">
        <f>VLOOKUP(C1542,METADATA!$A$5:$H$29,IF(E1542="HI",2,IF(E1542="LO",6,10))+IF(D1542=1,2,IF(D1542=7,1,(IF(WEEKDAY(B1542)=1,2,IF(WEEKDAY(B1542)=7,1,0))))))</f>
        <v>3</v>
      </c>
      <c r="G1542" s="369">
        <f>VLOOKUP(C1542,METADATA!$J$5:$Q$29,IF(E1542="HI",2,IF(E1542="LO",6,10))+IF(D1542=1,2,IF(D1542=7,1,(IF(WEEKDAY(B1542)=1,2,IF(WEEKDAY(B1542)=7,1,0))))))</f>
        <v>3</v>
      </c>
      <c r="H1542" s="370">
        <v>12795.442687988281</v>
      </c>
      <c r="I1542" s="370">
        <v>1846.896017074585</v>
      </c>
      <c r="M1542" s="371">
        <f t="shared" si="97"/>
        <v>12928.046197298288</v>
      </c>
      <c r="N1542" s="329">
        <f t="shared" si="98"/>
        <v>0</v>
      </c>
      <c r="T1542" s="331">
        <v>0</v>
      </c>
      <c r="U1542" s="328">
        <f>VLOOKUP(C1542,METADATA!$J$5:$Q$29,IF(E1542="HI",2,IF(E1542="LO",6,10))+IF(T1542=1,2,IF(D1542=7,1,(IF(WEEKDAY(B1542)=1,2,IF(WEEKDAY(B1542)=7,1,0))))))</f>
        <v>3</v>
      </c>
      <c r="V1542" s="328">
        <f>VLOOKUP(C1542,METADATA!$A$5:$H$29,IF(E1542="HI",2,IF(E1542="LO",6,10))+IF(T1542=1,2,IF(D1542=7,1,(IF(WEEKDAY(B1542)=1,2,IF(WEEKDAY(B1542)=7,1,0))))))</f>
        <v>3</v>
      </c>
    </row>
    <row r="1543" spans="2:22">
      <c r="B1543" s="318">
        <f t="shared" si="95"/>
        <v>46177</v>
      </c>
      <c r="C1543" s="312">
        <v>3</v>
      </c>
      <c r="D1543" s="368">
        <f>IFERROR((INDEX(METADATA!$T$2:$T$20,MATCH(B1543,METADATA!$S$2:$S$20,0))),0)</f>
        <v>0</v>
      </c>
      <c r="E1543" s="312" t="str">
        <f t="shared" si="96"/>
        <v>LO</v>
      </c>
      <c r="F1543" s="369">
        <f>VLOOKUP(C1543,METADATA!$A$5:$H$29,IF(E1543="HI",2,IF(E1543="LO",6,10))+IF(D1543=1,2,IF(D1543=7,1,(IF(WEEKDAY(B1543)=1,2,IF(WEEKDAY(B1543)=7,1,0))))))</f>
        <v>3</v>
      </c>
      <c r="G1543" s="369">
        <f>VLOOKUP(C1543,METADATA!$J$5:$Q$29,IF(E1543="HI",2,IF(E1543="LO",6,10))+IF(D1543=1,2,IF(D1543=7,1,(IF(WEEKDAY(B1543)=1,2,IF(WEEKDAY(B1543)=7,1,0))))))</f>
        <v>3</v>
      </c>
      <c r="H1543" s="370">
        <v>12031.724548339844</v>
      </c>
      <c r="I1543" s="370">
        <v>1466.7120499014854</v>
      </c>
      <c r="M1543" s="371">
        <f t="shared" si="97"/>
        <v>12120.793696967614</v>
      </c>
      <c r="N1543" s="329">
        <f t="shared" si="98"/>
        <v>0</v>
      </c>
      <c r="T1543" s="331">
        <v>0</v>
      </c>
      <c r="U1543" s="328">
        <f>VLOOKUP(C1543,METADATA!$J$5:$Q$29,IF(E1543="HI",2,IF(E1543="LO",6,10))+IF(T1543=1,2,IF(D1543=7,1,(IF(WEEKDAY(B1543)=1,2,IF(WEEKDAY(B1543)=7,1,0))))))</f>
        <v>3</v>
      </c>
      <c r="V1543" s="328">
        <f>VLOOKUP(C1543,METADATA!$A$5:$H$29,IF(E1543="HI",2,IF(E1543="LO",6,10))+IF(T1543=1,2,IF(D1543=7,1,(IF(WEEKDAY(B1543)=1,2,IF(WEEKDAY(B1543)=7,1,0))))))</f>
        <v>3</v>
      </c>
    </row>
    <row r="1544" spans="2:22">
      <c r="B1544" s="318">
        <f t="shared" si="95"/>
        <v>46177</v>
      </c>
      <c r="C1544" s="312">
        <v>4</v>
      </c>
      <c r="D1544" s="368">
        <f>IFERROR((INDEX(METADATA!$T$2:$T$20,MATCH(B1544,METADATA!$S$2:$S$20,0))),0)</f>
        <v>0</v>
      </c>
      <c r="E1544" s="312" t="str">
        <f t="shared" si="96"/>
        <v>LO</v>
      </c>
      <c r="F1544" s="369">
        <f>VLOOKUP(C1544,METADATA!$A$5:$H$29,IF(E1544="HI",2,IF(E1544="LO",6,10))+IF(D1544=1,2,IF(D1544=7,1,(IF(WEEKDAY(B1544)=1,2,IF(WEEKDAY(B1544)=7,1,0))))))</f>
        <v>3</v>
      </c>
      <c r="G1544" s="369">
        <f>VLOOKUP(C1544,METADATA!$J$5:$Q$29,IF(E1544="HI",2,IF(E1544="LO",6,10))+IF(D1544=1,2,IF(D1544=7,1,(IF(WEEKDAY(B1544)=1,2,IF(WEEKDAY(B1544)=7,1,0))))))</f>
        <v>3</v>
      </c>
      <c r="H1544" s="370">
        <v>11709.975036621094</v>
      </c>
      <c r="I1544" s="370">
        <v>1012.6799774169922</v>
      </c>
      <c r="M1544" s="371">
        <f t="shared" si="97"/>
        <v>11753.681810179756</v>
      </c>
      <c r="N1544" s="329">
        <f t="shared" si="98"/>
        <v>0</v>
      </c>
      <c r="T1544" s="331">
        <v>0</v>
      </c>
      <c r="U1544" s="328">
        <f>VLOOKUP(C1544,METADATA!$J$5:$Q$29,IF(E1544="HI",2,IF(E1544="LO",6,10))+IF(T1544=1,2,IF(D1544=7,1,(IF(WEEKDAY(B1544)=1,2,IF(WEEKDAY(B1544)=7,1,0))))))</f>
        <v>3</v>
      </c>
      <c r="V1544" s="328">
        <f>VLOOKUP(C1544,METADATA!$A$5:$H$29,IF(E1544="HI",2,IF(E1544="LO",6,10))+IF(T1544=1,2,IF(D1544=7,1,(IF(WEEKDAY(B1544)=1,2,IF(WEEKDAY(B1544)=7,1,0))))))</f>
        <v>3</v>
      </c>
    </row>
    <row r="1545" spans="2:22">
      <c r="B1545" s="318">
        <f t="shared" si="95"/>
        <v>46177</v>
      </c>
      <c r="C1545" s="312">
        <v>5</v>
      </c>
      <c r="D1545" s="368">
        <f>IFERROR((INDEX(METADATA!$T$2:$T$20,MATCH(B1545,METADATA!$S$2:$S$20,0))),0)</f>
        <v>0</v>
      </c>
      <c r="E1545" s="312" t="str">
        <f t="shared" si="96"/>
        <v>LO</v>
      </c>
      <c r="F1545" s="369">
        <f>VLOOKUP(C1545,METADATA!$A$5:$H$29,IF(E1545="HI",2,IF(E1545="LO",6,10))+IF(D1545=1,2,IF(D1545=7,1,(IF(WEEKDAY(B1545)=1,2,IF(WEEKDAY(B1545)=7,1,0))))))</f>
        <v>3</v>
      </c>
      <c r="G1545" s="369">
        <f>VLOOKUP(C1545,METADATA!$J$5:$Q$29,IF(E1545="HI",2,IF(E1545="LO",6,10))+IF(D1545=1,2,IF(D1545=7,1,(IF(WEEKDAY(B1545)=1,2,IF(WEEKDAY(B1545)=7,1,0))))))</f>
        <v>3</v>
      </c>
      <c r="H1545" s="370">
        <v>12295.699951171875</v>
      </c>
      <c r="I1545" s="370">
        <v>1682.9039452075958</v>
      </c>
      <c r="M1545" s="371">
        <f t="shared" si="97"/>
        <v>12410.334523212634</v>
      </c>
      <c r="N1545" s="329">
        <f t="shared" si="98"/>
        <v>0</v>
      </c>
      <c r="T1545" s="331">
        <v>0</v>
      </c>
      <c r="U1545" s="328">
        <f>VLOOKUP(C1545,METADATA!$J$5:$Q$29,IF(E1545="HI",2,IF(E1545="LO",6,10))+IF(T1545=1,2,IF(D1545=7,1,(IF(WEEKDAY(B1545)=1,2,IF(WEEKDAY(B1545)=7,1,0))))))</f>
        <v>3</v>
      </c>
      <c r="V1545" s="328">
        <f>VLOOKUP(C1545,METADATA!$A$5:$H$29,IF(E1545="HI",2,IF(E1545="LO",6,10))+IF(T1545=1,2,IF(D1545=7,1,(IF(WEEKDAY(B1545)=1,2,IF(WEEKDAY(B1545)=7,1,0))))))</f>
        <v>3</v>
      </c>
    </row>
    <row r="1546" spans="2:22">
      <c r="B1546" s="318">
        <f t="shared" si="95"/>
        <v>46177</v>
      </c>
      <c r="C1546" s="312">
        <v>6</v>
      </c>
      <c r="D1546" s="368">
        <f>IFERROR((INDEX(METADATA!$T$2:$T$20,MATCH(B1546,METADATA!$S$2:$S$20,0))),0)</f>
        <v>0</v>
      </c>
      <c r="E1546" s="312" t="str">
        <f t="shared" si="96"/>
        <v>LO</v>
      </c>
      <c r="F1546" s="369">
        <f>VLOOKUP(C1546,METADATA!$A$5:$H$29,IF(E1546="HI",2,IF(E1546="LO",6,10))+IF(D1546=1,2,IF(D1546=7,1,(IF(WEEKDAY(B1546)=1,2,IF(WEEKDAY(B1546)=7,1,0))))))</f>
        <v>2</v>
      </c>
      <c r="G1546" s="369">
        <f>VLOOKUP(C1546,METADATA!$J$5:$Q$29,IF(E1546="HI",2,IF(E1546="LO",6,10))+IF(D1546=1,2,IF(D1546=7,1,(IF(WEEKDAY(B1546)=1,2,IF(WEEKDAY(B1546)=7,1,0))))))</f>
        <v>2</v>
      </c>
      <c r="H1546" s="370">
        <v>12712.89990234375</v>
      </c>
      <c r="I1546" s="370">
        <v>1835.1840062141418</v>
      </c>
      <c r="M1546" s="371">
        <f t="shared" si="97"/>
        <v>12844.676884362483</v>
      </c>
      <c r="N1546" s="329">
        <f t="shared" si="98"/>
        <v>0</v>
      </c>
      <c r="T1546" s="331">
        <v>0</v>
      </c>
      <c r="U1546" s="328">
        <f>VLOOKUP(C1546,METADATA!$J$5:$Q$29,IF(E1546="HI",2,IF(E1546="LO",6,10))+IF(T1546=1,2,IF(D1546=7,1,(IF(WEEKDAY(B1546)=1,2,IF(WEEKDAY(B1546)=7,1,0))))))</f>
        <v>2</v>
      </c>
      <c r="V1546" s="328">
        <f>VLOOKUP(C1546,METADATA!$A$5:$H$29,IF(E1546="HI",2,IF(E1546="LO",6,10))+IF(T1546=1,2,IF(D1546=7,1,(IF(WEEKDAY(B1546)=1,2,IF(WEEKDAY(B1546)=7,1,0))))))</f>
        <v>2</v>
      </c>
    </row>
    <row r="1547" spans="2:22">
      <c r="B1547" s="318">
        <f t="shared" si="95"/>
        <v>46177</v>
      </c>
      <c r="C1547" s="312">
        <v>7</v>
      </c>
      <c r="D1547" s="368">
        <f>IFERROR((INDEX(METADATA!$T$2:$T$20,MATCH(B1547,METADATA!$S$2:$S$20,0))),0)</f>
        <v>0</v>
      </c>
      <c r="E1547" s="312" t="str">
        <f t="shared" si="96"/>
        <v>LO</v>
      </c>
      <c r="F1547" s="369">
        <f>VLOOKUP(C1547,METADATA!$A$5:$H$29,IF(E1547="HI",2,IF(E1547="LO",6,10))+IF(D1547=1,2,IF(D1547=7,1,(IF(WEEKDAY(B1547)=1,2,IF(WEEKDAY(B1547)=7,1,0))))))</f>
        <v>1</v>
      </c>
      <c r="G1547" s="369">
        <f>VLOOKUP(C1547,METADATA!$J$5:$Q$29,IF(E1547="HI",2,IF(E1547="LO",6,10))+IF(D1547=1,2,IF(D1547=7,1,(IF(WEEKDAY(B1547)=1,2,IF(WEEKDAY(B1547)=7,1,0))))))</f>
        <v>1</v>
      </c>
      <c r="H1547" s="370">
        <v>12924.275085449219</v>
      </c>
      <c r="I1547" s="370">
        <v>1922.9760322570801</v>
      </c>
      <c r="M1547" s="371">
        <f t="shared" si="97"/>
        <v>13066.54978580798</v>
      </c>
      <c r="N1547" s="329">
        <f t="shared" si="98"/>
        <v>0</v>
      </c>
      <c r="T1547" s="331">
        <v>0</v>
      </c>
      <c r="U1547" s="328">
        <f>VLOOKUP(C1547,METADATA!$J$5:$Q$29,IF(E1547="HI",2,IF(E1547="LO",6,10))+IF(T1547=1,2,IF(D1547=7,1,(IF(WEEKDAY(B1547)=1,2,IF(WEEKDAY(B1547)=7,1,0))))))</f>
        <v>1</v>
      </c>
      <c r="V1547" s="328">
        <f>VLOOKUP(C1547,METADATA!$A$5:$H$29,IF(E1547="HI",2,IF(E1547="LO",6,10))+IF(T1547=1,2,IF(D1547=7,1,(IF(WEEKDAY(B1547)=1,2,IF(WEEKDAY(B1547)=7,1,0))))))</f>
        <v>1</v>
      </c>
    </row>
    <row r="1548" spans="2:22">
      <c r="B1548" s="318">
        <f t="shared" si="95"/>
        <v>46177</v>
      </c>
      <c r="C1548" s="312">
        <v>8</v>
      </c>
      <c r="D1548" s="368">
        <f>IFERROR((INDEX(METADATA!$T$2:$T$20,MATCH(B1548,METADATA!$S$2:$S$20,0))),0)</f>
        <v>0</v>
      </c>
      <c r="E1548" s="312" t="str">
        <f t="shared" si="96"/>
        <v>LO</v>
      </c>
      <c r="F1548" s="369">
        <f>VLOOKUP(C1548,METADATA!$A$5:$H$29,IF(E1548="HI",2,IF(E1548="LO",6,10))+IF(D1548=1,2,IF(D1548=7,1,(IF(WEEKDAY(B1548)=1,2,IF(WEEKDAY(B1548)=7,1,0))))))</f>
        <v>1</v>
      </c>
      <c r="G1548" s="369">
        <f>VLOOKUP(C1548,METADATA!$J$5:$Q$29,IF(E1548="HI",2,IF(E1548="LO",6,10))+IF(D1548=1,2,IF(D1548=7,1,(IF(WEEKDAY(B1548)=1,2,IF(WEEKDAY(B1548)=7,1,0))))))</f>
        <v>1</v>
      </c>
      <c r="H1548" s="370">
        <v>12735.775207519531</v>
      </c>
      <c r="I1548" s="370">
        <v>1761.3840051293373</v>
      </c>
      <c r="M1548" s="371">
        <f t="shared" si="97"/>
        <v>12856.999795830854</v>
      </c>
      <c r="N1548" s="329">
        <f t="shared" si="98"/>
        <v>0</v>
      </c>
      <c r="T1548" s="331">
        <v>0</v>
      </c>
      <c r="U1548" s="328">
        <f>VLOOKUP(C1548,METADATA!$J$5:$Q$29,IF(E1548="HI",2,IF(E1548="LO",6,10))+IF(T1548=1,2,IF(D1548=7,1,(IF(WEEKDAY(B1548)=1,2,IF(WEEKDAY(B1548)=7,1,0))))))</f>
        <v>1</v>
      </c>
      <c r="V1548" s="328">
        <f>VLOOKUP(C1548,METADATA!$A$5:$H$29,IF(E1548="HI",2,IF(E1548="LO",6,10))+IF(T1548=1,2,IF(D1548=7,1,(IF(WEEKDAY(B1548)=1,2,IF(WEEKDAY(B1548)=7,1,0))))))</f>
        <v>1</v>
      </c>
    </row>
    <row r="1549" spans="2:22">
      <c r="B1549" s="318">
        <f t="shared" si="95"/>
        <v>46177</v>
      </c>
      <c r="C1549" s="312">
        <v>9</v>
      </c>
      <c r="D1549" s="368">
        <f>IFERROR((INDEX(METADATA!$T$2:$T$20,MATCH(B1549,METADATA!$S$2:$S$20,0))),0)</f>
        <v>0</v>
      </c>
      <c r="E1549" s="312" t="str">
        <f t="shared" si="96"/>
        <v>LO</v>
      </c>
      <c r="F1549" s="369">
        <f>VLOOKUP(C1549,METADATA!$A$5:$H$29,IF(E1549="HI",2,IF(E1549="LO",6,10))+IF(D1549=1,2,IF(D1549=7,1,(IF(WEEKDAY(B1549)=1,2,IF(WEEKDAY(B1549)=7,1,0))))))</f>
        <v>2</v>
      </c>
      <c r="G1549" s="369">
        <f>VLOOKUP(C1549,METADATA!$J$5:$Q$29,IF(E1549="HI",2,IF(E1549="LO",6,10))+IF(D1549=1,2,IF(D1549=7,1,(IF(WEEKDAY(B1549)=1,2,IF(WEEKDAY(B1549)=7,1,0))))))</f>
        <v>2</v>
      </c>
      <c r="H1549" s="370">
        <v>12629.575012207031</v>
      </c>
      <c r="I1549" s="370">
        <v>2312.018951177597</v>
      </c>
      <c r="M1549" s="371">
        <f t="shared" si="97"/>
        <v>12839.454685443949</v>
      </c>
      <c r="N1549" s="329">
        <f t="shared" si="98"/>
        <v>0</v>
      </c>
      <c r="T1549" s="331">
        <v>0</v>
      </c>
      <c r="U1549" s="328">
        <f>VLOOKUP(C1549,METADATA!$J$5:$Q$29,IF(E1549="HI",2,IF(E1549="LO",6,10))+IF(T1549=1,2,IF(D1549=7,1,(IF(WEEKDAY(B1549)=1,2,IF(WEEKDAY(B1549)=7,1,0))))))</f>
        <v>2</v>
      </c>
      <c r="V1549" s="328">
        <f>VLOOKUP(C1549,METADATA!$A$5:$H$29,IF(E1549="HI",2,IF(E1549="LO",6,10))+IF(T1549=1,2,IF(D1549=7,1,(IF(WEEKDAY(B1549)=1,2,IF(WEEKDAY(B1549)=7,1,0))))))</f>
        <v>2</v>
      </c>
    </row>
    <row r="1550" spans="2:22">
      <c r="B1550" s="318">
        <f t="shared" si="95"/>
        <v>46177</v>
      </c>
      <c r="C1550" s="312">
        <v>10</v>
      </c>
      <c r="D1550" s="368">
        <f>IFERROR((INDEX(METADATA!$T$2:$T$20,MATCH(B1550,METADATA!$S$2:$S$20,0))),0)</f>
        <v>0</v>
      </c>
      <c r="E1550" s="312" t="str">
        <f t="shared" si="96"/>
        <v>LO</v>
      </c>
      <c r="F1550" s="369">
        <f>VLOOKUP(C1550,METADATA!$A$5:$H$29,IF(E1550="HI",2,IF(E1550="LO",6,10))+IF(D1550=1,2,IF(D1550=7,1,(IF(WEEKDAY(B1550)=1,2,IF(WEEKDAY(B1550)=7,1,0))))))</f>
        <v>2</v>
      </c>
      <c r="G1550" s="369">
        <f>VLOOKUP(C1550,METADATA!$J$5:$Q$29,IF(E1550="HI",2,IF(E1550="LO",6,10))+IF(D1550=1,2,IF(D1550=7,1,(IF(WEEKDAY(B1550)=1,2,IF(WEEKDAY(B1550)=7,1,0))))))</f>
        <v>2</v>
      </c>
      <c r="H1550" s="370">
        <v>10287.949768066406</v>
      </c>
      <c r="I1550" s="370">
        <v>1377.5729635357857</v>
      </c>
      <c r="M1550" s="371">
        <f t="shared" si="97"/>
        <v>10379.769636177982</v>
      </c>
      <c r="N1550" s="329">
        <f t="shared" si="98"/>
        <v>0</v>
      </c>
      <c r="T1550" s="331">
        <v>0</v>
      </c>
      <c r="U1550" s="328">
        <f>VLOOKUP(C1550,METADATA!$J$5:$Q$29,IF(E1550="HI",2,IF(E1550="LO",6,10))+IF(T1550=1,2,IF(D1550=7,1,(IF(WEEKDAY(B1550)=1,2,IF(WEEKDAY(B1550)=7,1,0))))))</f>
        <v>2</v>
      </c>
      <c r="V1550" s="328">
        <f>VLOOKUP(C1550,METADATA!$A$5:$H$29,IF(E1550="HI",2,IF(E1550="LO",6,10))+IF(T1550=1,2,IF(D1550=7,1,(IF(WEEKDAY(B1550)=1,2,IF(WEEKDAY(B1550)=7,1,0))))))</f>
        <v>2</v>
      </c>
    </row>
    <row r="1551" spans="2:22">
      <c r="B1551" s="318">
        <f t="shared" si="95"/>
        <v>46177</v>
      </c>
      <c r="C1551" s="312">
        <v>11</v>
      </c>
      <c r="D1551" s="368">
        <f>IFERROR((INDEX(METADATA!$T$2:$T$20,MATCH(B1551,METADATA!$S$2:$S$20,0))),0)</f>
        <v>0</v>
      </c>
      <c r="E1551" s="312" t="str">
        <f t="shared" si="96"/>
        <v>LO</v>
      </c>
      <c r="F1551" s="369">
        <f>VLOOKUP(C1551,METADATA!$A$5:$H$29,IF(E1551="HI",2,IF(E1551="LO",6,10))+IF(D1551=1,2,IF(D1551=7,1,(IF(WEEKDAY(B1551)=1,2,IF(WEEKDAY(B1551)=7,1,0))))))</f>
        <v>2</v>
      </c>
      <c r="G1551" s="369">
        <f>VLOOKUP(C1551,METADATA!$J$5:$Q$29,IF(E1551="HI",2,IF(E1551="LO",6,10))+IF(D1551=1,2,IF(D1551=7,1,(IF(WEEKDAY(B1551)=1,2,IF(WEEKDAY(B1551)=7,1,0))))))</f>
        <v>2</v>
      </c>
      <c r="H1551" s="370">
        <v>6777.7749633789063</v>
      </c>
      <c r="I1551" s="370">
        <v>118.51200485229494</v>
      </c>
      <c r="M1551" s="371">
        <f t="shared" si="97"/>
        <v>6778.8109982134802</v>
      </c>
      <c r="N1551" s="329">
        <f t="shared" si="98"/>
        <v>0</v>
      </c>
      <c r="T1551" s="331">
        <v>0</v>
      </c>
      <c r="U1551" s="328">
        <f>VLOOKUP(C1551,METADATA!$J$5:$Q$29,IF(E1551="HI",2,IF(E1551="LO",6,10))+IF(T1551=1,2,IF(D1551=7,1,(IF(WEEKDAY(B1551)=1,2,IF(WEEKDAY(B1551)=7,1,0))))))</f>
        <v>2</v>
      </c>
      <c r="V1551" s="328">
        <f>VLOOKUP(C1551,METADATA!$A$5:$H$29,IF(E1551="HI",2,IF(E1551="LO",6,10))+IF(T1551=1,2,IF(D1551=7,1,(IF(WEEKDAY(B1551)=1,2,IF(WEEKDAY(B1551)=7,1,0))))))</f>
        <v>2</v>
      </c>
    </row>
    <row r="1552" spans="2:22">
      <c r="B1552" s="318">
        <f t="shared" si="95"/>
        <v>46177</v>
      </c>
      <c r="C1552" s="312">
        <v>12</v>
      </c>
      <c r="D1552" s="368">
        <f>IFERROR((INDEX(METADATA!$T$2:$T$20,MATCH(B1552,METADATA!$S$2:$S$20,0))),0)</f>
        <v>0</v>
      </c>
      <c r="E1552" s="312" t="str">
        <f t="shared" si="96"/>
        <v>LO</v>
      </c>
      <c r="F1552" s="369">
        <f>VLOOKUP(C1552,METADATA!$A$5:$H$29,IF(E1552="HI",2,IF(E1552="LO",6,10))+IF(D1552=1,2,IF(D1552=7,1,(IF(WEEKDAY(B1552)=1,2,IF(WEEKDAY(B1552)=7,1,0))))))</f>
        <v>2</v>
      </c>
      <c r="G1552" s="369">
        <f>VLOOKUP(C1552,METADATA!$J$5:$Q$29,IF(E1552="HI",2,IF(E1552="LO",6,10))+IF(D1552=1,2,IF(D1552=7,1,(IF(WEEKDAY(B1552)=1,2,IF(WEEKDAY(B1552)=7,1,0))))))</f>
        <v>2</v>
      </c>
      <c r="H1552" s="370">
        <v>4789.5499572753906</v>
      </c>
      <c r="I1552" s="370">
        <v>0</v>
      </c>
      <c r="M1552" s="371">
        <f t="shared" si="97"/>
        <v>4789.5499572753906</v>
      </c>
      <c r="N1552" s="329">
        <f t="shared" si="98"/>
        <v>0</v>
      </c>
      <c r="T1552" s="331">
        <v>0</v>
      </c>
      <c r="U1552" s="328">
        <f>VLOOKUP(C1552,METADATA!$J$5:$Q$29,IF(E1552="HI",2,IF(E1552="LO",6,10))+IF(T1552=1,2,IF(D1552=7,1,(IF(WEEKDAY(B1552)=1,2,IF(WEEKDAY(B1552)=7,1,0))))))</f>
        <v>2</v>
      </c>
      <c r="V1552" s="328">
        <f>VLOOKUP(C1552,METADATA!$A$5:$H$29,IF(E1552="HI",2,IF(E1552="LO",6,10))+IF(T1552=1,2,IF(D1552=7,1,(IF(WEEKDAY(B1552)=1,2,IF(WEEKDAY(B1552)=7,1,0))))))</f>
        <v>2</v>
      </c>
    </row>
    <row r="1553" spans="2:22">
      <c r="B1553" s="318">
        <f t="shared" si="95"/>
        <v>46177</v>
      </c>
      <c r="C1553" s="312">
        <v>13</v>
      </c>
      <c r="D1553" s="368">
        <f>IFERROR((INDEX(METADATA!$T$2:$T$20,MATCH(B1553,METADATA!$S$2:$S$20,0))),0)</f>
        <v>0</v>
      </c>
      <c r="E1553" s="312" t="str">
        <f t="shared" si="96"/>
        <v>LO</v>
      </c>
      <c r="F1553" s="369">
        <f>VLOOKUP(C1553,METADATA!$A$5:$H$29,IF(E1553="HI",2,IF(E1553="LO",6,10))+IF(D1553=1,2,IF(D1553=7,1,(IF(WEEKDAY(B1553)=1,2,IF(WEEKDAY(B1553)=7,1,0))))))</f>
        <v>2</v>
      </c>
      <c r="G1553" s="369">
        <f>VLOOKUP(C1553,METADATA!$J$5:$Q$29,IF(E1553="HI",2,IF(E1553="LO",6,10))+IF(D1553=1,2,IF(D1553=7,1,(IF(WEEKDAY(B1553)=1,2,IF(WEEKDAY(B1553)=7,1,0))))))</f>
        <v>2</v>
      </c>
      <c r="H1553" s="370">
        <v>4309.2149353027344</v>
      </c>
      <c r="I1553" s="370">
        <v>0</v>
      </c>
      <c r="M1553" s="371">
        <f t="shared" si="97"/>
        <v>4309.2149353027344</v>
      </c>
      <c r="N1553" s="329">
        <f t="shared" si="98"/>
        <v>0</v>
      </c>
      <c r="T1553" s="331">
        <v>0</v>
      </c>
      <c r="U1553" s="328">
        <f>VLOOKUP(C1553,METADATA!$J$5:$Q$29,IF(E1553="HI",2,IF(E1553="LO",6,10))+IF(T1553=1,2,IF(D1553=7,1,(IF(WEEKDAY(B1553)=1,2,IF(WEEKDAY(B1553)=7,1,0))))))</f>
        <v>2</v>
      </c>
      <c r="V1553" s="328">
        <f>VLOOKUP(C1553,METADATA!$A$5:$H$29,IF(E1553="HI",2,IF(E1553="LO",6,10))+IF(T1553=1,2,IF(D1553=7,1,(IF(WEEKDAY(B1553)=1,2,IF(WEEKDAY(B1553)=7,1,0))))))</f>
        <v>2</v>
      </c>
    </row>
    <row r="1554" spans="2:22">
      <c r="B1554" s="318">
        <f t="shared" si="95"/>
        <v>46177</v>
      </c>
      <c r="C1554" s="312">
        <v>14</v>
      </c>
      <c r="D1554" s="368">
        <f>IFERROR((INDEX(METADATA!$T$2:$T$20,MATCH(B1554,METADATA!$S$2:$S$20,0))),0)</f>
        <v>0</v>
      </c>
      <c r="E1554" s="312" t="str">
        <f t="shared" si="96"/>
        <v>LO</v>
      </c>
      <c r="F1554" s="369">
        <f>VLOOKUP(C1554,METADATA!$A$5:$H$29,IF(E1554="HI",2,IF(E1554="LO",6,10))+IF(D1554=1,2,IF(D1554=7,1,(IF(WEEKDAY(B1554)=1,2,IF(WEEKDAY(B1554)=7,1,0))))))</f>
        <v>2</v>
      </c>
      <c r="G1554" s="369">
        <f>VLOOKUP(C1554,METADATA!$J$5:$Q$29,IF(E1554="HI",2,IF(E1554="LO",6,10))+IF(D1554=1,2,IF(D1554=7,1,(IF(WEEKDAY(B1554)=1,2,IF(WEEKDAY(B1554)=7,1,0))))))</f>
        <v>2</v>
      </c>
      <c r="H1554" s="370">
        <v>3199.4299926757813</v>
      </c>
      <c r="I1554" s="370">
        <v>0</v>
      </c>
      <c r="M1554" s="371">
        <f t="shared" si="97"/>
        <v>3199.4299926757813</v>
      </c>
      <c r="N1554" s="329">
        <f t="shared" si="98"/>
        <v>0</v>
      </c>
      <c r="T1554" s="331">
        <v>0</v>
      </c>
      <c r="U1554" s="328">
        <f>VLOOKUP(C1554,METADATA!$J$5:$Q$29,IF(E1554="HI",2,IF(E1554="LO",6,10))+IF(T1554=1,2,IF(D1554=7,1,(IF(WEEKDAY(B1554)=1,2,IF(WEEKDAY(B1554)=7,1,0))))))</f>
        <v>2</v>
      </c>
      <c r="V1554" s="328">
        <f>VLOOKUP(C1554,METADATA!$A$5:$H$29,IF(E1554="HI",2,IF(E1554="LO",6,10))+IF(T1554=1,2,IF(D1554=7,1,(IF(WEEKDAY(B1554)=1,2,IF(WEEKDAY(B1554)=7,1,0))))))</f>
        <v>2</v>
      </c>
    </row>
    <row r="1555" spans="2:22">
      <c r="B1555" s="318">
        <f t="shared" si="95"/>
        <v>46177</v>
      </c>
      <c r="C1555" s="312">
        <v>15</v>
      </c>
      <c r="D1555" s="368">
        <f>IFERROR((INDEX(METADATA!$T$2:$T$20,MATCH(B1555,METADATA!$S$2:$S$20,0))),0)</f>
        <v>0</v>
      </c>
      <c r="E1555" s="312" t="str">
        <f t="shared" si="96"/>
        <v>LO</v>
      </c>
      <c r="F1555" s="369">
        <f>VLOOKUP(C1555,METADATA!$A$5:$H$29,IF(E1555="HI",2,IF(E1555="LO",6,10))+IF(D1555=1,2,IF(D1555=7,1,(IF(WEEKDAY(B1555)=1,2,IF(WEEKDAY(B1555)=7,1,0))))))</f>
        <v>2</v>
      </c>
      <c r="G1555" s="369">
        <f>VLOOKUP(C1555,METADATA!$J$5:$Q$29,IF(E1555="HI",2,IF(E1555="LO",6,10))+IF(D1555=1,2,IF(D1555=7,1,(IF(WEEKDAY(B1555)=1,2,IF(WEEKDAY(B1555)=7,1,0))))))</f>
        <v>2</v>
      </c>
      <c r="H1555" s="370">
        <v>4055.4649810791016</v>
      </c>
      <c r="I1555" s="370">
        <v>0</v>
      </c>
      <c r="M1555" s="371">
        <f t="shared" si="97"/>
        <v>4055.4649810791016</v>
      </c>
      <c r="N1555" s="329">
        <f t="shared" si="98"/>
        <v>0</v>
      </c>
      <c r="T1555" s="331">
        <v>0</v>
      </c>
      <c r="U1555" s="328">
        <f>VLOOKUP(C1555,METADATA!$J$5:$Q$29,IF(E1555="HI",2,IF(E1555="LO",6,10))+IF(T1555=1,2,IF(D1555=7,1,(IF(WEEKDAY(B1555)=1,2,IF(WEEKDAY(B1555)=7,1,0))))))</f>
        <v>2</v>
      </c>
      <c r="V1555" s="328">
        <f>VLOOKUP(C1555,METADATA!$A$5:$H$29,IF(E1555="HI",2,IF(E1555="LO",6,10))+IF(T1555=1,2,IF(D1555=7,1,(IF(WEEKDAY(B1555)=1,2,IF(WEEKDAY(B1555)=7,1,0))))))</f>
        <v>2</v>
      </c>
    </row>
    <row r="1556" spans="2:22">
      <c r="B1556" s="318">
        <f t="shared" si="95"/>
        <v>46177</v>
      </c>
      <c r="C1556" s="312">
        <v>16</v>
      </c>
      <c r="D1556" s="368">
        <f>IFERROR((INDEX(METADATA!$T$2:$T$20,MATCH(B1556,METADATA!$S$2:$S$20,0))),0)</f>
        <v>0</v>
      </c>
      <c r="E1556" s="312" t="str">
        <f t="shared" si="96"/>
        <v>LO</v>
      </c>
      <c r="F1556" s="369">
        <f>VLOOKUP(C1556,METADATA!$A$5:$H$29,IF(E1556="HI",2,IF(E1556="LO",6,10))+IF(D1556=1,2,IF(D1556=7,1,(IF(WEEKDAY(B1556)=1,2,IF(WEEKDAY(B1556)=7,1,0))))))</f>
        <v>2</v>
      </c>
      <c r="G1556" s="369">
        <f>VLOOKUP(C1556,METADATA!$J$5:$Q$29,IF(E1556="HI",2,IF(E1556="LO",6,10))+IF(D1556=1,2,IF(D1556=7,1,(IF(WEEKDAY(B1556)=1,2,IF(WEEKDAY(B1556)=7,1,0))))))</f>
        <v>2</v>
      </c>
      <c r="H1556" s="370">
        <v>4269.4950103759766</v>
      </c>
      <c r="I1556" s="370">
        <v>0</v>
      </c>
      <c r="M1556" s="371">
        <f t="shared" si="97"/>
        <v>4269.4950103759766</v>
      </c>
      <c r="N1556" s="329">
        <f t="shared" si="98"/>
        <v>0</v>
      </c>
      <c r="T1556" s="331">
        <v>0</v>
      </c>
      <c r="U1556" s="328">
        <f>VLOOKUP(C1556,METADATA!$J$5:$Q$29,IF(E1556="HI",2,IF(E1556="LO",6,10))+IF(T1556=1,2,IF(D1556=7,1,(IF(WEEKDAY(B1556)=1,2,IF(WEEKDAY(B1556)=7,1,0))))))</f>
        <v>2</v>
      </c>
      <c r="V1556" s="328">
        <f>VLOOKUP(C1556,METADATA!$A$5:$H$29,IF(E1556="HI",2,IF(E1556="LO",6,10))+IF(T1556=1,2,IF(D1556=7,1,(IF(WEEKDAY(B1556)=1,2,IF(WEEKDAY(B1556)=7,1,0))))))</f>
        <v>2</v>
      </c>
    </row>
    <row r="1557" spans="2:22">
      <c r="B1557" s="318">
        <f t="shared" si="95"/>
        <v>46177</v>
      </c>
      <c r="C1557" s="312">
        <v>17</v>
      </c>
      <c r="D1557" s="368">
        <f>IFERROR((INDEX(METADATA!$T$2:$T$20,MATCH(B1557,METADATA!$S$2:$S$20,0))),0)</f>
        <v>0</v>
      </c>
      <c r="E1557" s="312" t="str">
        <f t="shared" si="96"/>
        <v>LO</v>
      </c>
      <c r="F1557" s="369">
        <f>VLOOKUP(C1557,METADATA!$A$5:$H$29,IF(E1557="HI",2,IF(E1557="LO",6,10))+IF(D1557=1,2,IF(D1557=7,1,(IF(WEEKDAY(B1557)=1,2,IF(WEEKDAY(B1557)=7,1,0))))))</f>
        <v>2</v>
      </c>
      <c r="G1557" s="369">
        <f>VLOOKUP(C1557,METADATA!$J$5:$Q$29,IF(E1557="HI",2,IF(E1557="LO",6,10))+IF(D1557=1,2,IF(D1557=7,1,(IF(WEEKDAY(B1557)=1,2,IF(WEEKDAY(B1557)=7,1,0))))))</f>
        <v>2</v>
      </c>
      <c r="H1557" s="370">
        <v>4318.1375732421875</v>
      </c>
      <c r="I1557" s="370">
        <v>0</v>
      </c>
      <c r="M1557" s="371">
        <f t="shared" si="97"/>
        <v>4318.1375732421875</v>
      </c>
      <c r="N1557" s="329">
        <f t="shared" si="98"/>
        <v>0</v>
      </c>
      <c r="T1557" s="331">
        <v>0</v>
      </c>
      <c r="U1557" s="328">
        <f>VLOOKUP(C1557,METADATA!$J$5:$Q$29,IF(E1557="HI",2,IF(E1557="LO",6,10))+IF(T1557=1,2,IF(D1557=7,1,(IF(WEEKDAY(B1557)=1,2,IF(WEEKDAY(B1557)=7,1,0))))))</f>
        <v>2</v>
      </c>
      <c r="V1557" s="328">
        <f>VLOOKUP(C1557,METADATA!$A$5:$H$29,IF(E1557="HI",2,IF(E1557="LO",6,10))+IF(T1557=1,2,IF(D1557=7,1,(IF(WEEKDAY(B1557)=1,2,IF(WEEKDAY(B1557)=7,1,0))))))</f>
        <v>2</v>
      </c>
    </row>
    <row r="1558" spans="2:22">
      <c r="B1558" s="318">
        <f t="shared" si="95"/>
        <v>46177</v>
      </c>
      <c r="C1558" s="312">
        <v>18</v>
      </c>
      <c r="D1558" s="368">
        <f>IFERROR((INDEX(METADATA!$T$2:$T$20,MATCH(B1558,METADATA!$S$2:$S$20,0))),0)</f>
        <v>0</v>
      </c>
      <c r="E1558" s="312" t="str">
        <f t="shared" si="96"/>
        <v>LO</v>
      </c>
      <c r="F1558" s="369">
        <f>VLOOKUP(C1558,METADATA!$A$5:$H$29,IF(E1558="HI",2,IF(E1558="LO",6,10))+IF(D1558=1,2,IF(D1558=7,1,(IF(WEEKDAY(B1558)=1,2,IF(WEEKDAY(B1558)=7,1,0))))))</f>
        <v>1</v>
      </c>
      <c r="G1558" s="369">
        <f>VLOOKUP(C1558,METADATA!$J$5:$Q$29,IF(E1558="HI",2,IF(E1558="LO",6,10))+IF(D1558=1,2,IF(D1558=7,1,(IF(WEEKDAY(B1558)=1,2,IF(WEEKDAY(B1558)=7,1,0))))))</f>
        <v>1</v>
      </c>
      <c r="H1558" s="370">
        <v>4399.2049865722656</v>
      </c>
      <c r="I1558" s="370">
        <v>0</v>
      </c>
      <c r="M1558" s="371">
        <f t="shared" si="97"/>
        <v>4399.2049865722656</v>
      </c>
      <c r="N1558" s="329">
        <f t="shared" si="98"/>
        <v>0</v>
      </c>
      <c r="T1558" s="331">
        <v>0</v>
      </c>
      <c r="U1558" s="328">
        <f>VLOOKUP(C1558,METADATA!$J$5:$Q$29,IF(E1558="HI",2,IF(E1558="LO",6,10))+IF(T1558=1,2,IF(D1558=7,1,(IF(WEEKDAY(B1558)=1,2,IF(WEEKDAY(B1558)=7,1,0))))))</f>
        <v>1</v>
      </c>
      <c r="V1558" s="328">
        <f>VLOOKUP(C1558,METADATA!$A$5:$H$29,IF(E1558="HI",2,IF(E1558="LO",6,10))+IF(T1558=1,2,IF(D1558=7,1,(IF(WEEKDAY(B1558)=1,2,IF(WEEKDAY(B1558)=7,1,0))))))</f>
        <v>1</v>
      </c>
    </row>
    <row r="1559" spans="2:22">
      <c r="B1559" s="318">
        <f t="shared" si="95"/>
        <v>46177</v>
      </c>
      <c r="C1559" s="312">
        <v>19</v>
      </c>
      <c r="D1559" s="368">
        <f>IFERROR((INDEX(METADATA!$T$2:$T$20,MATCH(B1559,METADATA!$S$2:$S$20,0))),0)</f>
        <v>0</v>
      </c>
      <c r="E1559" s="312" t="str">
        <f t="shared" si="96"/>
        <v>LO</v>
      </c>
      <c r="F1559" s="369">
        <f>VLOOKUP(C1559,METADATA!$A$5:$H$29,IF(E1559="HI",2,IF(E1559="LO",6,10))+IF(D1559=1,2,IF(D1559=7,1,(IF(WEEKDAY(B1559)=1,2,IF(WEEKDAY(B1559)=7,1,0))))))</f>
        <v>1</v>
      </c>
      <c r="G1559" s="369">
        <f>VLOOKUP(C1559,METADATA!$J$5:$Q$29,IF(E1559="HI",2,IF(E1559="LO",6,10))+IF(D1559=1,2,IF(D1559=7,1,(IF(WEEKDAY(B1559)=1,2,IF(WEEKDAY(B1559)=7,1,0))))))</f>
        <v>1</v>
      </c>
      <c r="H1559" s="370">
        <v>5646.0599517822266</v>
      </c>
      <c r="I1559" s="370">
        <v>0</v>
      </c>
      <c r="M1559" s="371">
        <f t="shared" si="97"/>
        <v>5646.0599517822266</v>
      </c>
      <c r="N1559" s="329">
        <f t="shared" si="98"/>
        <v>0</v>
      </c>
      <c r="T1559" s="331">
        <v>0</v>
      </c>
      <c r="U1559" s="328">
        <f>VLOOKUP(C1559,METADATA!$J$5:$Q$29,IF(E1559="HI",2,IF(E1559="LO",6,10))+IF(T1559=1,2,IF(D1559=7,1,(IF(WEEKDAY(B1559)=1,2,IF(WEEKDAY(B1559)=7,1,0))))))</f>
        <v>1</v>
      </c>
      <c r="V1559" s="328">
        <f>VLOOKUP(C1559,METADATA!$A$5:$H$29,IF(E1559="HI",2,IF(E1559="LO",6,10))+IF(T1559=1,2,IF(D1559=7,1,(IF(WEEKDAY(B1559)=1,2,IF(WEEKDAY(B1559)=7,1,0))))))</f>
        <v>1</v>
      </c>
    </row>
    <row r="1560" spans="2:22">
      <c r="B1560" s="318">
        <f t="shared" si="95"/>
        <v>46177</v>
      </c>
      <c r="C1560" s="312">
        <v>20</v>
      </c>
      <c r="D1560" s="368">
        <f>IFERROR((INDEX(METADATA!$T$2:$T$20,MATCH(B1560,METADATA!$S$2:$S$20,0))),0)</f>
        <v>0</v>
      </c>
      <c r="E1560" s="312" t="str">
        <f t="shared" si="96"/>
        <v>LO</v>
      </c>
      <c r="F1560" s="369">
        <f>VLOOKUP(C1560,METADATA!$A$5:$H$29,IF(E1560="HI",2,IF(E1560="LO",6,10))+IF(D1560=1,2,IF(D1560=7,1,(IF(WEEKDAY(B1560)=1,2,IF(WEEKDAY(B1560)=7,1,0))))))</f>
        <v>1</v>
      </c>
      <c r="G1560" s="369">
        <f>VLOOKUP(C1560,METADATA!$J$5:$Q$29,IF(E1560="HI",2,IF(E1560="LO",6,10))+IF(D1560=1,2,IF(D1560=7,1,(IF(WEEKDAY(B1560)=1,2,IF(WEEKDAY(B1560)=7,1,0))))))</f>
        <v>1</v>
      </c>
      <c r="H1560" s="370">
        <v>8084.9024353027344</v>
      </c>
      <c r="I1560" s="370">
        <v>395.16000127792358</v>
      </c>
      <c r="M1560" s="371">
        <f t="shared" si="97"/>
        <v>8094.5536513741172</v>
      </c>
      <c r="N1560" s="329">
        <f t="shared" si="98"/>
        <v>0</v>
      </c>
      <c r="T1560" s="331">
        <v>0</v>
      </c>
      <c r="U1560" s="328">
        <f>VLOOKUP(C1560,METADATA!$J$5:$Q$29,IF(E1560="HI",2,IF(E1560="LO",6,10))+IF(T1560=1,2,IF(D1560=7,1,(IF(WEEKDAY(B1560)=1,2,IF(WEEKDAY(B1560)=7,1,0))))))</f>
        <v>1</v>
      </c>
      <c r="V1560" s="328">
        <f>VLOOKUP(C1560,METADATA!$A$5:$H$29,IF(E1560="HI",2,IF(E1560="LO",6,10))+IF(T1560=1,2,IF(D1560=7,1,(IF(WEEKDAY(B1560)=1,2,IF(WEEKDAY(B1560)=7,1,0))))))</f>
        <v>1</v>
      </c>
    </row>
    <row r="1561" spans="2:22">
      <c r="B1561" s="318">
        <f t="shared" si="95"/>
        <v>46177</v>
      </c>
      <c r="C1561" s="312">
        <v>21</v>
      </c>
      <c r="D1561" s="368">
        <f>IFERROR((INDEX(METADATA!$T$2:$T$20,MATCH(B1561,METADATA!$S$2:$S$20,0))),0)</f>
        <v>0</v>
      </c>
      <c r="E1561" s="312" t="str">
        <f t="shared" si="96"/>
        <v>LO</v>
      </c>
      <c r="F1561" s="369">
        <f>VLOOKUP(C1561,METADATA!$A$5:$H$29,IF(E1561="HI",2,IF(E1561="LO",6,10))+IF(D1561=1,2,IF(D1561=7,1,(IF(WEEKDAY(B1561)=1,2,IF(WEEKDAY(B1561)=7,1,0))))))</f>
        <v>2</v>
      </c>
      <c r="G1561" s="369">
        <f>VLOOKUP(C1561,METADATA!$J$5:$Q$29,IF(E1561="HI",2,IF(E1561="LO",6,10))+IF(D1561=1,2,IF(D1561=7,1,(IF(WEEKDAY(B1561)=1,2,IF(WEEKDAY(B1561)=7,1,0))))))</f>
        <v>2</v>
      </c>
      <c r="H1561" s="370">
        <v>11416.687744140625</v>
      </c>
      <c r="I1561" s="370">
        <v>1721.3039731383324</v>
      </c>
      <c r="M1561" s="371">
        <f t="shared" si="97"/>
        <v>11545.719830965611</v>
      </c>
      <c r="N1561" s="329">
        <f t="shared" si="98"/>
        <v>0</v>
      </c>
      <c r="T1561" s="331">
        <v>0</v>
      </c>
      <c r="U1561" s="328">
        <f>VLOOKUP(C1561,METADATA!$J$5:$Q$29,IF(E1561="HI",2,IF(E1561="LO",6,10))+IF(T1561=1,2,IF(D1561=7,1,(IF(WEEKDAY(B1561)=1,2,IF(WEEKDAY(B1561)=7,1,0))))))</f>
        <v>2</v>
      </c>
      <c r="V1561" s="328">
        <f>VLOOKUP(C1561,METADATA!$A$5:$H$29,IF(E1561="HI",2,IF(E1561="LO",6,10))+IF(T1561=1,2,IF(D1561=7,1,(IF(WEEKDAY(B1561)=1,2,IF(WEEKDAY(B1561)=7,1,0))))))</f>
        <v>2</v>
      </c>
    </row>
    <row r="1562" spans="2:22">
      <c r="B1562" s="318">
        <f t="shared" si="95"/>
        <v>46177</v>
      </c>
      <c r="C1562" s="312">
        <v>22</v>
      </c>
      <c r="D1562" s="368">
        <f>IFERROR((INDEX(METADATA!$T$2:$T$20,MATCH(B1562,METADATA!$S$2:$S$20,0))),0)</f>
        <v>0</v>
      </c>
      <c r="E1562" s="312" t="str">
        <f t="shared" si="96"/>
        <v>LO</v>
      </c>
      <c r="F1562" s="369">
        <f>VLOOKUP(C1562,METADATA!$A$5:$H$29,IF(E1562="HI",2,IF(E1562="LO",6,10))+IF(D1562=1,2,IF(D1562=7,1,(IF(WEEKDAY(B1562)=1,2,IF(WEEKDAY(B1562)=7,1,0))))))</f>
        <v>3</v>
      </c>
      <c r="G1562" s="369">
        <f>VLOOKUP(C1562,METADATA!$J$5:$Q$29,IF(E1562="HI",2,IF(E1562="LO",6,10))+IF(D1562=1,2,IF(D1562=7,1,(IF(WEEKDAY(B1562)=1,2,IF(WEEKDAY(B1562)=7,1,0))))))</f>
        <v>3</v>
      </c>
      <c r="H1562" s="370">
        <v>12519.250061035156</v>
      </c>
      <c r="I1562" s="370">
        <v>1909.5599499642849</v>
      </c>
      <c r="M1562" s="371">
        <f t="shared" si="97"/>
        <v>12664.045218382489</v>
      </c>
      <c r="N1562" s="329">
        <f t="shared" si="98"/>
        <v>0</v>
      </c>
      <c r="T1562" s="331">
        <v>0</v>
      </c>
      <c r="U1562" s="328">
        <f>VLOOKUP(C1562,METADATA!$J$5:$Q$29,IF(E1562="HI",2,IF(E1562="LO",6,10))+IF(T1562=1,2,IF(D1562=7,1,(IF(WEEKDAY(B1562)=1,2,IF(WEEKDAY(B1562)=7,1,0))))))</f>
        <v>3</v>
      </c>
      <c r="V1562" s="328">
        <f>VLOOKUP(C1562,METADATA!$A$5:$H$29,IF(E1562="HI",2,IF(E1562="LO",6,10))+IF(T1562=1,2,IF(D1562=7,1,(IF(WEEKDAY(B1562)=1,2,IF(WEEKDAY(B1562)=7,1,0))))))</f>
        <v>3</v>
      </c>
    </row>
    <row r="1563" spans="2:22">
      <c r="B1563" s="318">
        <f t="shared" si="95"/>
        <v>46177</v>
      </c>
      <c r="C1563" s="312">
        <v>23</v>
      </c>
      <c r="D1563" s="368">
        <f>IFERROR((INDEX(METADATA!$T$2:$T$20,MATCH(B1563,METADATA!$S$2:$S$20,0))),0)</f>
        <v>0</v>
      </c>
      <c r="E1563" s="312" t="str">
        <f t="shared" si="96"/>
        <v>LO</v>
      </c>
      <c r="F1563" s="369">
        <f>VLOOKUP(C1563,METADATA!$A$5:$H$29,IF(E1563="HI",2,IF(E1563="LO",6,10))+IF(D1563=1,2,IF(D1563=7,1,(IF(WEEKDAY(B1563)=1,2,IF(WEEKDAY(B1563)=7,1,0))))))</f>
        <v>3</v>
      </c>
      <c r="G1563" s="369">
        <f>VLOOKUP(C1563,METADATA!$J$5:$Q$29,IF(E1563="HI",2,IF(E1563="LO",6,10))+IF(D1563=1,2,IF(D1563=7,1,(IF(WEEKDAY(B1563)=1,2,IF(WEEKDAY(B1563)=7,1,0))))))</f>
        <v>3</v>
      </c>
      <c r="H1563" s="370">
        <v>11957.165191650391</v>
      </c>
      <c r="I1563" s="370">
        <v>1838.3760475516319</v>
      </c>
      <c r="M1563" s="371">
        <f t="shared" si="97"/>
        <v>12097.662001917035</v>
      </c>
      <c r="N1563" s="329">
        <f t="shared" si="98"/>
        <v>0</v>
      </c>
      <c r="T1563" s="331">
        <v>0</v>
      </c>
      <c r="U1563" s="328">
        <f>VLOOKUP(C1563,METADATA!$J$5:$Q$29,IF(E1563="HI",2,IF(E1563="LO",6,10))+IF(T1563=1,2,IF(D1563=7,1,(IF(WEEKDAY(B1563)=1,2,IF(WEEKDAY(B1563)=7,1,0))))))</f>
        <v>3</v>
      </c>
      <c r="V1563" s="328">
        <f>VLOOKUP(C1563,METADATA!$A$5:$H$29,IF(E1563="HI",2,IF(E1563="LO",6,10))+IF(T1563=1,2,IF(D1563=7,1,(IF(WEEKDAY(B1563)=1,2,IF(WEEKDAY(B1563)=7,1,0))))))</f>
        <v>3</v>
      </c>
    </row>
    <row r="1564" spans="2:22">
      <c r="B1564" s="318">
        <f t="shared" ref="B1564:B1627" si="99">B1540+1</f>
        <v>46178</v>
      </c>
      <c r="C1564" s="312">
        <v>0</v>
      </c>
      <c r="D1564" s="368">
        <f>IFERROR((INDEX(METADATA!$T$2:$T$20,MATCH(B1564,METADATA!$S$2:$S$20,0))),0)</f>
        <v>0</v>
      </c>
      <c r="E1564" s="312" t="str">
        <f t="shared" si="96"/>
        <v>LO</v>
      </c>
      <c r="F1564" s="369">
        <f>VLOOKUP(C1564,METADATA!$A$5:$H$29,IF(E1564="HI",2,IF(E1564="LO",6,10))+IF(D1564=1,2,IF(D1564=7,1,(IF(WEEKDAY(B1564)=1,2,IF(WEEKDAY(B1564)=7,1,0))))))</f>
        <v>3</v>
      </c>
      <c r="G1564" s="369">
        <f>VLOOKUP(C1564,METADATA!$J$5:$Q$29,IF(E1564="HI",2,IF(E1564="LO",6,10))+IF(D1564=1,2,IF(D1564=7,1,(IF(WEEKDAY(B1564)=1,2,IF(WEEKDAY(B1564)=7,1,0))))))</f>
        <v>3</v>
      </c>
      <c r="H1564" s="370">
        <v>12512.724487304688</v>
      </c>
      <c r="I1564" s="370">
        <v>1761.167969584465</v>
      </c>
      <c r="M1564" s="371">
        <f t="shared" si="97"/>
        <v>12636.058986578237</v>
      </c>
      <c r="N1564" s="329">
        <f t="shared" si="98"/>
        <v>0</v>
      </c>
      <c r="T1564" s="331">
        <v>0</v>
      </c>
      <c r="U1564" s="328">
        <f>VLOOKUP(C1564,METADATA!$J$5:$Q$29,IF(E1564="HI",2,IF(E1564="LO",6,10))+IF(T1564=1,2,IF(D1564=7,1,(IF(WEEKDAY(B1564)=1,2,IF(WEEKDAY(B1564)=7,1,0))))))</f>
        <v>3</v>
      </c>
      <c r="V1564" s="328">
        <f>VLOOKUP(C1564,METADATA!$A$5:$H$29,IF(E1564="HI",2,IF(E1564="LO",6,10))+IF(T1564=1,2,IF(D1564=7,1,(IF(WEEKDAY(B1564)=1,2,IF(WEEKDAY(B1564)=7,1,0))))))</f>
        <v>3</v>
      </c>
    </row>
    <row r="1565" spans="2:22">
      <c r="B1565" s="318">
        <f t="shared" si="99"/>
        <v>46178</v>
      </c>
      <c r="C1565" s="312">
        <v>1</v>
      </c>
      <c r="D1565" s="368">
        <f>IFERROR((INDEX(METADATA!$T$2:$T$20,MATCH(B1565,METADATA!$S$2:$S$20,0))),0)</f>
        <v>0</v>
      </c>
      <c r="E1565" s="312" t="str">
        <f t="shared" si="96"/>
        <v>LO</v>
      </c>
      <c r="F1565" s="369">
        <f>VLOOKUP(C1565,METADATA!$A$5:$H$29,IF(E1565="HI",2,IF(E1565="LO",6,10))+IF(D1565=1,2,IF(D1565=7,1,(IF(WEEKDAY(B1565)=1,2,IF(WEEKDAY(B1565)=7,1,0))))))</f>
        <v>3</v>
      </c>
      <c r="G1565" s="369">
        <f>VLOOKUP(C1565,METADATA!$J$5:$Q$29,IF(E1565="HI",2,IF(E1565="LO",6,10))+IF(D1565=1,2,IF(D1565=7,1,(IF(WEEKDAY(B1565)=1,2,IF(WEEKDAY(B1565)=7,1,0))))))</f>
        <v>3</v>
      </c>
      <c r="H1565" s="370">
        <v>12698.7001953125</v>
      </c>
      <c r="I1565" s="370">
        <v>1774.4639586806297</v>
      </c>
      <c r="M1565" s="371">
        <f t="shared" si="97"/>
        <v>12822.078965249209</v>
      </c>
      <c r="N1565" s="329">
        <f t="shared" si="98"/>
        <v>0</v>
      </c>
      <c r="T1565" s="331">
        <v>0</v>
      </c>
      <c r="U1565" s="328">
        <f>VLOOKUP(C1565,METADATA!$J$5:$Q$29,IF(E1565="HI",2,IF(E1565="LO",6,10))+IF(T1565=1,2,IF(D1565=7,1,(IF(WEEKDAY(B1565)=1,2,IF(WEEKDAY(B1565)=7,1,0))))))</f>
        <v>3</v>
      </c>
      <c r="V1565" s="328">
        <f>VLOOKUP(C1565,METADATA!$A$5:$H$29,IF(E1565="HI",2,IF(E1565="LO",6,10))+IF(T1565=1,2,IF(D1565=7,1,(IF(WEEKDAY(B1565)=1,2,IF(WEEKDAY(B1565)=7,1,0))))))</f>
        <v>3</v>
      </c>
    </row>
    <row r="1566" spans="2:22">
      <c r="B1566" s="318">
        <f t="shared" si="99"/>
        <v>46178</v>
      </c>
      <c r="C1566" s="312">
        <v>2</v>
      </c>
      <c r="D1566" s="368">
        <f>IFERROR((INDEX(METADATA!$T$2:$T$20,MATCH(B1566,METADATA!$S$2:$S$20,0))),0)</f>
        <v>0</v>
      </c>
      <c r="E1566" s="312" t="str">
        <f t="shared" si="96"/>
        <v>LO</v>
      </c>
      <c r="F1566" s="369">
        <f>VLOOKUP(C1566,METADATA!$A$5:$H$29,IF(E1566="HI",2,IF(E1566="LO",6,10))+IF(D1566=1,2,IF(D1566=7,1,(IF(WEEKDAY(B1566)=1,2,IF(WEEKDAY(B1566)=7,1,0))))))</f>
        <v>3</v>
      </c>
      <c r="G1566" s="369">
        <f>VLOOKUP(C1566,METADATA!$J$5:$Q$29,IF(E1566="HI",2,IF(E1566="LO",6,10))+IF(D1566=1,2,IF(D1566=7,1,(IF(WEEKDAY(B1566)=1,2,IF(WEEKDAY(B1566)=7,1,0))))))</f>
        <v>3</v>
      </c>
      <c r="H1566" s="370">
        <v>11451.225128173828</v>
      </c>
      <c r="I1566" s="370">
        <v>1818.3599841594696</v>
      </c>
      <c r="M1566" s="371">
        <f t="shared" si="97"/>
        <v>11594.696631137536</v>
      </c>
      <c r="N1566" s="329">
        <f t="shared" si="98"/>
        <v>0</v>
      </c>
      <c r="T1566" s="331">
        <v>0</v>
      </c>
      <c r="U1566" s="328">
        <f>VLOOKUP(C1566,METADATA!$J$5:$Q$29,IF(E1566="HI",2,IF(E1566="LO",6,10))+IF(T1566=1,2,IF(D1566=7,1,(IF(WEEKDAY(B1566)=1,2,IF(WEEKDAY(B1566)=7,1,0))))))</f>
        <v>3</v>
      </c>
      <c r="V1566" s="328">
        <f>VLOOKUP(C1566,METADATA!$A$5:$H$29,IF(E1566="HI",2,IF(E1566="LO",6,10))+IF(T1566=1,2,IF(D1566=7,1,(IF(WEEKDAY(B1566)=1,2,IF(WEEKDAY(B1566)=7,1,0))))))</f>
        <v>3</v>
      </c>
    </row>
    <row r="1567" spans="2:22">
      <c r="B1567" s="318">
        <f t="shared" si="99"/>
        <v>46178</v>
      </c>
      <c r="C1567" s="312">
        <v>3</v>
      </c>
      <c r="D1567" s="368">
        <f>IFERROR((INDEX(METADATA!$T$2:$T$20,MATCH(B1567,METADATA!$S$2:$S$20,0))),0)</f>
        <v>0</v>
      </c>
      <c r="E1567" s="312" t="str">
        <f t="shared" si="96"/>
        <v>LO</v>
      </c>
      <c r="F1567" s="369">
        <f>VLOOKUP(C1567,METADATA!$A$5:$H$29,IF(E1567="HI",2,IF(E1567="LO",6,10))+IF(D1567=1,2,IF(D1567=7,1,(IF(WEEKDAY(B1567)=1,2,IF(WEEKDAY(B1567)=7,1,0))))))</f>
        <v>3</v>
      </c>
      <c r="G1567" s="369">
        <f>VLOOKUP(C1567,METADATA!$J$5:$Q$29,IF(E1567="HI",2,IF(E1567="LO",6,10))+IF(D1567=1,2,IF(D1567=7,1,(IF(WEEKDAY(B1567)=1,2,IF(WEEKDAY(B1567)=7,1,0))))))</f>
        <v>3</v>
      </c>
      <c r="H1567" s="370">
        <v>9884.9726257324219</v>
      </c>
      <c r="I1567" s="370">
        <v>1295.6399841308594</v>
      </c>
      <c r="M1567" s="371">
        <f t="shared" si="97"/>
        <v>9969.5218932483385</v>
      </c>
      <c r="N1567" s="329">
        <f t="shared" si="98"/>
        <v>0</v>
      </c>
      <c r="T1567" s="331">
        <v>0</v>
      </c>
      <c r="U1567" s="328">
        <f>VLOOKUP(C1567,METADATA!$J$5:$Q$29,IF(E1567="HI",2,IF(E1567="LO",6,10))+IF(T1567=1,2,IF(D1567=7,1,(IF(WEEKDAY(B1567)=1,2,IF(WEEKDAY(B1567)=7,1,0))))))</f>
        <v>3</v>
      </c>
      <c r="V1567" s="328">
        <f>VLOOKUP(C1567,METADATA!$A$5:$H$29,IF(E1567="HI",2,IF(E1567="LO",6,10))+IF(T1567=1,2,IF(D1567=7,1,(IF(WEEKDAY(B1567)=1,2,IF(WEEKDAY(B1567)=7,1,0))))))</f>
        <v>3</v>
      </c>
    </row>
    <row r="1568" spans="2:22">
      <c r="B1568" s="318">
        <f t="shared" si="99"/>
        <v>46178</v>
      </c>
      <c r="C1568" s="312">
        <v>4</v>
      </c>
      <c r="D1568" s="368">
        <f>IFERROR((INDEX(METADATA!$T$2:$T$20,MATCH(B1568,METADATA!$S$2:$S$20,0))),0)</f>
        <v>0</v>
      </c>
      <c r="E1568" s="312" t="str">
        <f t="shared" si="96"/>
        <v>LO</v>
      </c>
      <c r="F1568" s="369">
        <f>VLOOKUP(C1568,METADATA!$A$5:$H$29,IF(E1568="HI",2,IF(E1568="LO",6,10))+IF(D1568=1,2,IF(D1568=7,1,(IF(WEEKDAY(B1568)=1,2,IF(WEEKDAY(B1568)=7,1,0))))))</f>
        <v>3</v>
      </c>
      <c r="G1568" s="369">
        <f>VLOOKUP(C1568,METADATA!$J$5:$Q$29,IF(E1568="HI",2,IF(E1568="LO",6,10))+IF(D1568=1,2,IF(D1568=7,1,(IF(WEEKDAY(B1568)=1,2,IF(WEEKDAY(B1568)=7,1,0))))))</f>
        <v>3</v>
      </c>
      <c r="H1568" s="370">
        <v>8261.2775268554688</v>
      </c>
      <c r="I1568" s="370">
        <v>478.80000686645508</v>
      </c>
      <c r="M1568" s="371">
        <f t="shared" si="97"/>
        <v>8275.1408339860009</v>
      </c>
      <c r="N1568" s="329">
        <f t="shared" si="98"/>
        <v>0</v>
      </c>
      <c r="T1568" s="331">
        <v>0</v>
      </c>
      <c r="U1568" s="328">
        <f>VLOOKUP(C1568,METADATA!$J$5:$Q$29,IF(E1568="HI",2,IF(E1568="LO",6,10))+IF(T1568=1,2,IF(D1568=7,1,(IF(WEEKDAY(B1568)=1,2,IF(WEEKDAY(B1568)=7,1,0))))))</f>
        <v>3</v>
      </c>
      <c r="V1568" s="328">
        <f>VLOOKUP(C1568,METADATA!$A$5:$H$29,IF(E1568="HI",2,IF(E1568="LO",6,10))+IF(T1568=1,2,IF(D1568=7,1,(IF(WEEKDAY(B1568)=1,2,IF(WEEKDAY(B1568)=7,1,0))))))</f>
        <v>3</v>
      </c>
    </row>
    <row r="1569" spans="2:22">
      <c r="B1569" s="318">
        <f t="shared" si="99"/>
        <v>46178</v>
      </c>
      <c r="C1569" s="312">
        <v>5</v>
      </c>
      <c r="D1569" s="368">
        <f>IFERROR((INDEX(METADATA!$T$2:$T$20,MATCH(B1569,METADATA!$S$2:$S$20,0))),0)</f>
        <v>0</v>
      </c>
      <c r="E1569" s="312" t="str">
        <f t="shared" si="96"/>
        <v>LO</v>
      </c>
      <c r="F1569" s="369">
        <f>VLOOKUP(C1569,METADATA!$A$5:$H$29,IF(E1569="HI",2,IF(E1569="LO",6,10))+IF(D1569=1,2,IF(D1569=7,1,(IF(WEEKDAY(B1569)=1,2,IF(WEEKDAY(B1569)=7,1,0))))))</f>
        <v>3</v>
      </c>
      <c r="G1569" s="369">
        <f>VLOOKUP(C1569,METADATA!$J$5:$Q$29,IF(E1569="HI",2,IF(E1569="LO",6,10))+IF(D1569=1,2,IF(D1569=7,1,(IF(WEEKDAY(B1569)=1,2,IF(WEEKDAY(B1569)=7,1,0))))))</f>
        <v>3</v>
      </c>
      <c r="H1569" s="370">
        <v>5792.2149353027344</v>
      </c>
      <c r="I1569" s="370">
        <v>31.439998626708984</v>
      </c>
      <c r="M1569" s="371">
        <f t="shared" si="97"/>
        <v>5792.3002624395867</v>
      </c>
      <c r="N1569" s="329">
        <f t="shared" si="98"/>
        <v>0</v>
      </c>
      <c r="T1569" s="331">
        <v>0</v>
      </c>
      <c r="U1569" s="328">
        <f>VLOOKUP(C1569,METADATA!$J$5:$Q$29,IF(E1569="HI",2,IF(E1569="LO",6,10))+IF(T1569=1,2,IF(D1569=7,1,(IF(WEEKDAY(B1569)=1,2,IF(WEEKDAY(B1569)=7,1,0))))))</f>
        <v>3</v>
      </c>
      <c r="V1569" s="328">
        <f>VLOOKUP(C1569,METADATA!$A$5:$H$29,IF(E1569="HI",2,IF(E1569="LO",6,10))+IF(T1569=1,2,IF(D1569=7,1,(IF(WEEKDAY(B1569)=1,2,IF(WEEKDAY(B1569)=7,1,0))))))</f>
        <v>3</v>
      </c>
    </row>
    <row r="1570" spans="2:22">
      <c r="B1570" s="318">
        <f t="shared" si="99"/>
        <v>46178</v>
      </c>
      <c r="C1570" s="312">
        <v>6</v>
      </c>
      <c r="D1570" s="368">
        <f>IFERROR((INDEX(METADATA!$T$2:$T$20,MATCH(B1570,METADATA!$S$2:$S$20,0))),0)</f>
        <v>0</v>
      </c>
      <c r="E1570" s="312" t="str">
        <f t="shared" si="96"/>
        <v>LO</v>
      </c>
      <c r="F1570" s="369">
        <f>VLOOKUP(C1570,METADATA!$A$5:$H$29,IF(E1570="HI",2,IF(E1570="LO",6,10))+IF(D1570=1,2,IF(D1570=7,1,(IF(WEEKDAY(B1570)=1,2,IF(WEEKDAY(B1570)=7,1,0))))))</f>
        <v>2</v>
      </c>
      <c r="G1570" s="369">
        <f>VLOOKUP(C1570,METADATA!$J$5:$Q$29,IF(E1570="HI",2,IF(E1570="LO",6,10))+IF(D1570=1,2,IF(D1570=7,1,(IF(WEEKDAY(B1570)=1,2,IF(WEEKDAY(B1570)=7,1,0))))))</f>
        <v>2</v>
      </c>
      <c r="H1570" s="370">
        <v>5538.6875915527344</v>
      </c>
      <c r="I1570" s="370">
        <v>0</v>
      </c>
      <c r="M1570" s="371">
        <f t="shared" si="97"/>
        <v>5538.6875915527344</v>
      </c>
      <c r="N1570" s="329">
        <f t="shared" si="98"/>
        <v>0</v>
      </c>
      <c r="T1570" s="331">
        <v>0</v>
      </c>
      <c r="U1570" s="328">
        <f>VLOOKUP(C1570,METADATA!$J$5:$Q$29,IF(E1570="HI",2,IF(E1570="LO",6,10))+IF(T1570=1,2,IF(D1570=7,1,(IF(WEEKDAY(B1570)=1,2,IF(WEEKDAY(B1570)=7,1,0))))))</f>
        <v>2</v>
      </c>
      <c r="V1570" s="328">
        <f>VLOOKUP(C1570,METADATA!$A$5:$H$29,IF(E1570="HI",2,IF(E1570="LO",6,10))+IF(T1570=1,2,IF(D1570=7,1,(IF(WEEKDAY(B1570)=1,2,IF(WEEKDAY(B1570)=7,1,0))))))</f>
        <v>2</v>
      </c>
    </row>
    <row r="1571" spans="2:22">
      <c r="B1571" s="318">
        <f t="shared" si="99"/>
        <v>46178</v>
      </c>
      <c r="C1571" s="312">
        <v>7</v>
      </c>
      <c r="D1571" s="368">
        <f>IFERROR((INDEX(METADATA!$T$2:$T$20,MATCH(B1571,METADATA!$S$2:$S$20,0))),0)</f>
        <v>0</v>
      </c>
      <c r="E1571" s="312" t="str">
        <f t="shared" si="96"/>
        <v>LO</v>
      </c>
      <c r="F1571" s="369">
        <f>VLOOKUP(C1571,METADATA!$A$5:$H$29,IF(E1571="HI",2,IF(E1571="LO",6,10))+IF(D1571=1,2,IF(D1571=7,1,(IF(WEEKDAY(B1571)=1,2,IF(WEEKDAY(B1571)=7,1,0))))))</f>
        <v>1</v>
      </c>
      <c r="G1571" s="369">
        <f>VLOOKUP(C1571,METADATA!$J$5:$Q$29,IF(E1571="HI",2,IF(E1571="LO",6,10))+IF(D1571=1,2,IF(D1571=7,1,(IF(WEEKDAY(B1571)=1,2,IF(WEEKDAY(B1571)=7,1,0))))))</f>
        <v>1</v>
      </c>
      <c r="H1571" s="370">
        <v>5726.9749755859375</v>
      </c>
      <c r="I1571" s="370">
        <v>0</v>
      </c>
      <c r="M1571" s="371">
        <f t="shared" si="97"/>
        <v>5726.9749755859375</v>
      </c>
      <c r="N1571" s="329">
        <f t="shared" si="98"/>
        <v>0</v>
      </c>
      <c r="T1571" s="331">
        <v>0</v>
      </c>
      <c r="U1571" s="328">
        <f>VLOOKUP(C1571,METADATA!$J$5:$Q$29,IF(E1571="HI",2,IF(E1571="LO",6,10))+IF(T1571=1,2,IF(D1571=7,1,(IF(WEEKDAY(B1571)=1,2,IF(WEEKDAY(B1571)=7,1,0))))))</f>
        <v>1</v>
      </c>
      <c r="V1571" s="328">
        <f>VLOOKUP(C1571,METADATA!$A$5:$H$29,IF(E1571="HI",2,IF(E1571="LO",6,10))+IF(T1571=1,2,IF(D1571=7,1,(IF(WEEKDAY(B1571)=1,2,IF(WEEKDAY(B1571)=7,1,0))))))</f>
        <v>1</v>
      </c>
    </row>
    <row r="1572" spans="2:22">
      <c r="B1572" s="318">
        <f t="shared" si="99"/>
        <v>46178</v>
      </c>
      <c r="C1572" s="312">
        <v>8</v>
      </c>
      <c r="D1572" s="368">
        <f>IFERROR((INDEX(METADATA!$T$2:$T$20,MATCH(B1572,METADATA!$S$2:$S$20,0))),0)</f>
        <v>0</v>
      </c>
      <c r="E1572" s="312" t="str">
        <f t="shared" si="96"/>
        <v>LO</v>
      </c>
      <c r="F1572" s="369">
        <f>VLOOKUP(C1572,METADATA!$A$5:$H$29,IF(E1572="HI",2,IF(E1572="LO",6,10))+IF(D1572=1,2,IF(D1572=7,1,(IF(WEEKDAY(B1572)=1,2,IF(WEEKDAY(B1572)=7,1,0))))))</f>
        <v>1</v>
      </c>
      <c r="G1572" s="369">
        <f>VLOOKUP(C1572,METADATA!$J$5:$Q$29,IF(E1572="HI",2,IF(E1572="LO",6,10))+IF(D1572=1,2,IF(D1572=7,1,(IF(WEEKDAY(B1572)=1,2,IF(WEEKDAY(B1572)=7,1,0))))))</f>
        <v>1</v>
      </c>
      <c r="H1572" s="370">
        <v>7726.1250610351563</v>
      </c>
      <c r="I1572" s="370">
        <v>10.151999920606613</v>
      </c>
      <c r="M1572" s="371">
        <f t="shared" si="97"/>
        <v>7726.1317308118605</v>
      </c>
      <c r="N1572" s="329">
        <f t="shared" si="98"/>
        <v>0</v>
      </c>
      <c r="T1572" s="331">
        <v>0</v>
      </c>
      <c r="U1572" s="328">
        <f>VLOOKUP(C1572,METADATA!$J$5:$Q$29,IF(E1572="HI",2,IF(E1572="LO",6,10))+IF(T1572=1,2,IF(D1572=7,1,(IF(WEEKDAY(B1572)=1,2,IF(WEEKDAY(B1572)=7,1,0))))))</f>
        <v>1</v>
      </c>
      <c r="V1572" s="328">
        <f>VLOOKUP(C1572,METADATA!$A$5:$H$29,IF(E1572="HI",2,IF(E1572="LO",6,10))+IF(T1572=1,2,IF(D1572=7,1,(IF(WEEKDAY(B1572)=1,2,IF(WEEKDAY(B1572)=7,1,0))))))</f>
        <v>1</v>
      </c>
    </row>
    <row r="1573" spans="2:22">
      <c r="B1573" s="318">
        <f t="shared" si="99"/>
        <v>46178</v>
      </c>
      <c r="C1573" s="312">
        <v>9</v>
      </c>
      <c r="D1573" s="368">
        <f>IFERROR((INDEX(METADATA!$T$2:$T$20,MATCH(B1573,METADATA!$S$2:$S$20,0))),0)</f>
        <v>0</v>
      </c>
      <c r="E1573" s="312" t="str">
        <f t="shared" si="96"/>
        <v>LO</v>
      </c>
      <c r="F1573" s="369">
        <f>VLOOKUP(C1573,METADATA!$A$5:$H$29,IF(E1573="HI",2,IF(E1573="LO",6,10))+IF(D1573=1,2,IF(D1573=7,1,(IF(WEEKDAY(B1573)=1,2,IF(WEEKDAY(B1573)=7,1,0))))))</f>
        <v>2</v>
      </c>
      <c r="G1573" s="369">
        <f>VLOOKUP(C1573,METADATA!$J$5:$Q$29,IF(E1573="HI",2,IF(E1573="LO",6,10))+IF(D1573=1,2,IF(D1573=7,1,(IF(WEEKDAY(B1573)=1,2,IF(WEEKDAY(B1573)=7,1,0))))))</f>
        <v>2</v>
      </c>
      <c r="H1573" s="370">
        <v>11177.725036621094</v>
      </c>
      <c r="I1573" s="370">
        <v>1251.0240335464478</v>
      </c>
      <c r="M1573" s="371">
        <f t="shared" si="97"/>
        <v>11247.515197892237</v>
      </c>
      <c r="N1573" s="329">
        <f t="shared" si="98"/>
        <v>0</v>
      </c>
      <c r="T1573" s="331">
        <v>0</v>
      </c>
      <c r="U1573" s="328">
        <f>VLOOKUP(C1573,METADATA!$J$5:$Q$29,IF(E1573="HI",2,IF(E1573="LO",6,10))+IF(T1573=1,2,IF(D1573=7,1,(IF(WEEKDAY(B1573)=1,2,IF(WEEKDAY(B1573)=7,1,0))))))</f>
        <v>2</v>
      </c>
      <c r="V1573" s="328">
        <f>VLOOKUP(C1573,METADATA!$A$5:$H$29,IF(E1573="HI",2,IF(E1573="LO",6,10))+IF(T1573=1,2,IF(D1573=7,1,(IF(WEEKDAY(B1573)=1,2,IF(WEEKDAY(B1573)=7,1,0))))))</f>
        <v>2</v>
      </c>
    </row>
    <row r="1574" spans="2:22">
      <c r="B1574" s="318">
        <f t="shared" si="99"/>
        <v>46178</v>
      </c>
      <c r="C1574" s="312">
        <v>10</v>
      </c>
      <c r="D1574" s="368">
        <f>IFERROR((INDEX(METADATA!$T$2:$T$20,MATCH(B1574,METADATA!$S$2:$S$20,0))),0)</f>
        <v>0</v>
      </c>
      <c r="E1574" s="312" t="str">
        <f t="shared" si="96"/>
        <v>LO</v>
      </c>
      <c r="F1574" s="369">
        <f>VLOOKUP(C1574,METADATA!$A$5:$H$29,IF(E1574="HI",2,IF(E1574="LO",6,10))+IF(D1574=1,2,IF(D1574=7,1,(IF(WEEKDAY(B1574)=1,2,IF(WEEKDAY(B1574)=7,1,0))))))</f>
        <v>2</v>
      </c>
      <c r="G1574" s="369">
        <f>VLOOKUP(C1574,METADATA!$J$5:$Q$29,IF(E1574="HI",2,IF(E1574="LO",6,10))+IF(D1574=1,2,IF(D1574=7,1,(IF(WEEKDAY(B1574)=1,2,IF(WEEKDAY(B1574)=7,1,0))))))</f>
        <v>2</v>
      </c>
      <c r="H1574" s="370">
        <v>12553.850036621094</v>
      </c>
      <c r="I1574" s="370">
        <v>1791.3359470367432</v>
      </c>
      <c r="M1574" s="371">
        <f t="shared" si="97"/>
        <v>12681.010812120518</v>
      </c>
      <c r="N1574" s="329">
        <f t="shared" si="98"/>
        <v>0</v>
      </c>
      <c r="T1574" s="331">
        <v>0</v>
      </c>
      <c r="U1574" s="328">
        <f>VLOOKUP(C1574,METADATA!$J$5:$Q$29,IF(E1574="HI",2,IF(E1574="LO",6,10))+IF(T1574=1,2,IF(D1574=7,1,(IF(WEEKDAY(B1574)=1,2,IF(WEEKDAY(B1574)=7,1,0))))))</f>
        <v>2</v>
      </c>
      <c r="V1574" s="328">
        <f>VLOOKUP(C1574,METADATA!$A$5:$H$29,IF(E1574="HI",2,IF(E1574="LO",6,10))+IF(T1574=1,2,IF(D1574=7,1,(IF(WEEKDAY(B1574)=1,2,IF(WEEKDAY(B1574)=7,1,0))))))</f>
        <v>2</v>
      </c>
    </row>
    <row r="1575" spans="2:22">
      <c r="B1575" s="318">
        <f t="shared" si="99"/>
        <v>46178</v>
      </c>
      <c r="C1575" s="312">
        <v>11</v>
      </c>
      <c r="D1575" s="368">
        <f>IFERROR((INDEX(METADATA!$T$2:$T$20,MATCH(B1575,METADATA!$S$2:$S$20,0))),0)</f>
        <v>0</v>
      </c>
      <c r="E1575" s="312" t="str">
        <f t="shared" si="96"/>
        <v>LO</v>
      </c>
      <c r="F1575" s="369">
        <f>VLOOKUP(C1575,METADATA!$A$5:$H$29,IF(E1575="HI",2,IF(E1575="LO",6,10))+IF(D1575=1,2,IF(D1575=7,1,(IF(WEEKDAY(B1575)=1,2,IF(WEEKDAY(B1575)=7,1,0))))))</f>
        <v>2</v>
      </c>
      <c r="G1575" s="369">
        <f>VLOOKUP(C1575,METADATA!$J$5:$Q$29,IF(E1575="HI",2,IF(E1575="LO",6,10))+IF(D1575=1,2,IF(D1575=7,1,(IF(WEEKDAY(B1575)=1,2,IF(WEEKDAY(B1575)=7,1,0))))))</f>
        <v>2</v>
      </c>
      <c r="H1575" s="370">
        <v>12627.199584960938</v>
      </c>
      <c r="I1575" s="370">
        <v>1904.7599673271179</v>
      </c>
      <c r="M1575" s="371">
        <f t="shared" si="97"/>
        <v>12770.054028529781</v>
      </c>
      <c r="N1575" s="329">
        <f t="shared" si="98"/>
        <v>0</v>
      </c>
      <c r="T1575" s="331">
        <v>0</v>
      </c>
      <c r="U1575" s="328">
        <f>VLOOKUP(C1575,METADATA!$J$5:$Q$29,IF(E1575="HI",2,IF(E1575="LO",6,10))+IF(T1575=1,2,IF(D1575=7,1,(IF(WEEKDAY(B1575)=1,2,IF(WEEKDAY(B1575)=7,1,0))))))</f>
        <v>2</v>
      </c>
      <c r="V1575" s="328">
        <f>VLOOKUP(C1575,METADATA!$A$5:$H$29,IF(E1575="HI",2,IF(E1575="LO",6,10))+IF(T1575=1,2,IF(D1575=7,1,(IF(WEEKDAY(B1575)=1,2,IF(WEEKDAY(B1575)=7,1,0))))))</f>
        <v>2</v>
      </c>
    </row>
    <row r="1576" spans="2:22">
      <c r="B1576" s="318">
        <f t="shared" si="99"/>
        <v>46178</v>
      </c>
      <c r="C1576" s="312">
        <v>12</v>
      </c>
      <c r="D1576" s="368">
        <f>IFERROR((INDEX(METADATA!$T$2:$T$20,MATCH(B1576,METADATA!$S$2:$S$20,0))),0)</f>
        <v>0</v>
      </c>
      <c r="E1576" s="312" t="str">
        <f t="shared" si="96"/>
        <v>LO</v>
      </c>
      <c r="F1576" s="369">
        <f>VLOOKUP(C1576,METADATA!$A$5:$H$29,IF(E1576="HI",2,IF(E1576="LO",6,10))+IF(D1576=1,2,IF(D1576=7,1,(IF(WEEKDAY(B1576)=1,2,IF(WEEKDAY(B1576)=7,1,0))))))</f>
        <v>2</v>
      </c>
      <c r="G1576" s="369">
        <f>VLOOKUP(C1576,METADATA!$J$5:$Q$29,IF(E1576="HI",2,IF(E1576="LO",6,10))+IF(D1576=1,2,IF(D1576=7,1,(IF(WEEKDAY(B1576)=1,2,IF(WEEKDAY(B1576)=7,1,0))))))</f>
        <v>2</v>
      </c>
      <c r="H1576" s="370">
        <v>12751.374877929688</v>
      </c>
      <c r="I1576" s="370">
        <v>2044.4139659404755</v>
      </c>
      <c r="M1576" s="371">
        <f t="shared" si="97"/>
        <v>12914.224318232544</v>
      </c>
      <c r="N1576" s="329">
        <f t="shared" si="98"/>
        <v>0</v>
      </c>
      <c r="T1576" s="331">
        <v>0</v>
      </c>
      <c r="U1576" s="328">
        <f>VLOOKUP(C1576,METADATA!$J$5:$Q$29,IF(E1576="HI",2,IF(E1576="LO",6,10))+IF(T1576=1,2,IF(D1576=7,1,(IF(WEEKDAY(B1576)=1,2,IF(WEEKDAY(B1576)=7,1,0))))))</f>
        <v>2</v>
      </c>
      <c r="V1576" s="328">
        <f>VLOOKUP(C1576,METADATA!$A$5:$H$29,IF(E1576="HI",2,IF(E1576="LO",6,10))+IF(T1576=1,2,IF(D1576=7,1,(IF(WEEKDAY(B1576)=1,2,IF(WEEKDAY(B1576)=7,1,0))))))</f>
        <v>2</v>
      </c>
    </row>
    <row r="1577" spans="2:22">
      <c r="B1577" s="318">
        <f t="shared" si="99"/>
        <v>46178</v>
      </c>
      <c r="C1577" s="312">
        <v>13</v>
      </c>
      <c r="D1577" s="368">
        <f>IFERROR((INDEX(METADATA!$T$2:$T$20,MATCH(B1577,METADATA!$S$2:$S$20,0))),0)</f>
        <v>0</v>
      </c>
      <c r="E1577" s="312" t="str">
        <f t="shared" si="96"/>
        <v>LO</v>
      </c>
      <c r="F1577" s="369">
        <f>VLOOKUP(C1577,METADATA!$A$5:$H$29,IF(E1577="HI",2,IF(E1577="LO",6,10))+IF(D1577=1,2,IF(D1577=7,1,(IF(WEEKDAY(B1577)=1,2,IF(WEEKDAY(B1577)=7,1,0))))))</f>
        <v>2</v>
      </c>
      <c r="G1577" s="369">
        <f>VLOOKUP(C1577,METADATA!$J$5:$Q$29,IF(E1577="HI",2,IF(E1577="LO",6,10))+IF(D1577=1,2,IF(D1577=7,1,(IF(WEEKDAY(B1577)=1,2,IF(WEEKDAY(B1577)=7,1,0))))))</f>
        <v>2</v>
      </c>
      <c r="H1577" s="370">
        <v>12869.150146484375</v>
      </c>
      <c r="I1577" s="370">
        <v>2044.5550489425659</v>
      </c>
      <c r="M1577" s="371">
        <f t="shared" si="97"/>
        <v>13030.549905545635</v>
      </c>
      <c r="N1577" s="329">
        <f t="shared" si="98"/>
        <v>0</v>
      </c>
      <c r="T1577" s="331">
        <v>0</v>
      </c>
      <c r="U1577" s="328">
        <f>VLOOKUP(C1577,METADATA!$J$5:$Q$29,IF(E1577="HI",2,IF(E1577="LO",6,10))+IF(T1577=1,2,IF(D1577=7,1,(IF(WEEKDAY(B1577)=1,2,IF(WEEKDAY(B1577)=7,1,0))))))</f>
        <v>2</v>
      </c>
      <c r="V1577" s="328">
        <f>VLOOKUP(C1577,METADATA!$A$5:$H$29,IF(E1577="HI",2,IF(E1577="LO",6,10))+IF(T1577=1,2,IF(D1577=7,1,(IF(WEEKDAY(B1577)=1,2,IF(WEEKDAY(B1577)=7,1,0))))))</f>
        <v>2</v>
      </c>
    </row>
    <row r="1578" spans="2:22">
      <c r="B1578" s="318">
        <f t="shared" si="99"/>
        <v>46178</v>
      </c>
      <c r="C1578" s="312">
        <v>14</v>
      </c>
      <c r="D1578" s="368">
        <f>IFERROR((INDEX(METADATA!$T$2:$T$20,MATCH(B1578,METADATA!$S$2:$S$20,0))),0)</f>
        <v>0</v>
      </c>
      <c r="E1578" s="312" t="str">
        <f t="shared" si="96"/>
        <v>LO</v>
      </c>
      <c r="F1578" s="369">
        <f>VLOOKUP(C1578,METADATA!$A$5:$H$29,IF(E1578="HI",2,IF(E1578="LO",6,10))+IF(D1578=1,2,IF(D1578=7,1,(IF(WEEKDAY(B1578)=1,2,IF(WEEKDAY(B1578)=7,1,0))))))</f>
        <v>2</v>
      </c>
      <c r="G1578" s="369">
        <f>VLOOKUP(C1578,METADATA!$J$5:$Q$29,IF(E1578="HI",2,IF(E1578="LO",6,10))+IF(D1578=1,2,IF(D1578=7,1,(IF(WEEKDAY(B1578)=1,2,IF(WEEKDAY(B1578)=7,1,0))))))</f>
        <v>2</v>
      </c>
      <c r="H1578" s="370">
        <v>12771.724731445313</v>
      </c>
      <c r="I1578" s="370">
        <v>2000.237922668457</v>
      </c>
      <c r="M1578" s="371">
        <f t="shared" si="97"/>
        <v>12927.409035189257</v>
      </c>
      <c r="N1578" s="329">
        <f t="shared" si="98"/>
        <v>0</v>
      </c>
      <c r="T1578" s="331">
        <v>0</v>
      </c>
      <c r="U1578" s="328">
        <f>VLOOKUP(C1578,METADATA!$J$5:$Q$29,IF(E1578="HI",2,IF(E1578="LO",6,10))+IF(T1578=1,2,IF(D1578=7,1,(IF(WEEKDAY(B1578)=1,2,IF(WEEKDAY(B1578)=7,1,0))))))</f>
        <v>2</v>
      </c>
      <c r="V1578" s="328">
        <f>VLOOKUP(C1578,METADATA!$A$5:$H$29,IF(E1578="HI",2,IF(E1578="LO",6,10))+IF(T1578=1,2,IF(D1578=7,1,(IF(WEEKDAY(B1578)=1,2,IF(WEEKDAY(B1578)=7,1,0))))))</f>
        <v>2</v>
      </c>
    </row>
    <row r="1579" spans="2:22">
      <c r="B1579" s="318">
        <f t="shared" si="99"/>
        <v>46178</v>
      </c>
      <c r="C1579" s="312">
        <v>15</v>
      </c>
      <c r="D1579" s="368">
        <f>IFERROR((INDEX(METADATA!$T$2:$T$20,MATCH(B1579,METADATA!$S$2:$S$20,0))),0)</f>
        <v>0</v>
      </c>
      <c r="E1579" s="312" t="str">
        <f t="shared" si="96"/>
        <v>LO</v>
      </c>
      <c r="F1579" s="369">
        <f>VLOOKUP(C1579,METADATA!$A$5:$H$29,IF(E1579="HI",2,IF(E1579="LO",6,10))+IF(D1579=1,2,IF(D1579=7,1,(IF(WEEKDAY(B1579)=1,2,IF(WEEKDAY(B1579)=7,1,0))))))</f>
        <v>2</v>
      </c>
      <c r="G1579" s="369">
        <f>VLOOKUP(C1579,METADATA!$J$5:$Q$29,IF(E1579="HI",2,IF(E1579="LO",6,10))+IF(D1579=1,2,IF(D1579=7,1,(IF(WEEKDAY(B1579)=1,2,IF(WEEKDAY(B1579)=7,1,0))))))</f>
        <v>2</v>
      </c>
      <c r="H1579" s="370">
        <v>12511.649658203125</v>
      </c>
      <c r="I1579" s="370">
        <v>2038.372026771307</v>
      </c>
      <c r="M1579" s="371">
        <f t="shared" si="97"/>
        <v>12676.605921505099</v>
      </c>
      <c r="N1579" s="329">
        <f t="shared" si="98"/>
        <v>0</v>
      </c>
      <c r="T1579" s="331">
        <v>0</v>
      </c>
      <c r="U1579" s="328">
        <f>VLOOKUP(C1579,METADATA!$J$5:$Q$29,IF(E1579="HI",2,IF(E1579="LO",6,10))+IF(T1579=1,2,IF(D1579=7,1,(IF(WEEKDAY(B1579)=1,2,IF(WEEKDAY(B1579)=7,1,0))))))</f>
        <v>2</v>
      </c>
      <c r="V1579" s="328">
        <f>VLOOKUP(C1579,METADATA!$A$5:$H$29,IF(E1579="HI",2,IF(E1579="LO",6,10))+IF(T1579=1,2,IF(D1579=7,1,(IF(WEEKDAY(B1579)=1,2,IF(WEEKDAY(B1579)=7,1,0))))))</f>
        <v>2</v>
      </c>
    </row>
    <row r="1580" spans="2:22">
      <c r="B1580" s="318">
        <f t="shared" si="99"/>
        <v>46178</v>
      </c>
      <c r="C1580" s="312">
        <v>16</v>
      </c>
      <c r="D1580" s="368">
        <f>IFERROR((INDEX(METADATA!$T$2:$T$20,MATCH(B1580,METADATA!$S$2:$S$20,0))),0)</f>
        <v>0</v>
      </c>
      <c r="E1580" s="312" t="str">
        <f t="shared" si="96"/>
        <v>LO</v>
      </c>
      <c r="F1580" s="369">
        <f>VLOOKUP(C1580,METADATA!$A$5:$H$29,IF(E1580="HI",2,IF(E1580="LO",6,10))+IF(D1580=1,2,IF(D1580=7,1,(IF(WEEKDAY(B1580)=1,2,IF(WEEKDAY(B1580)=7,1,0))))))</f>
        <v>2</v>
      </c>
      <c r="G1580" s="369">
        <f>VLOOKUP(C1580,METADATA!$J$5:$Q$29,IF(E1580="HI",2,IF(E1580="LO",6,10))+IF(D1580=1,2,IF(D1580=7,1,(IF(WEEKDAY(B1580)=1,2,IF(WEEKDAY(B1580)=7,1,0))))))</f>
        <v>2</v>
      </c>
      <c r="H1580" s="370">
        <v>12765.875366210938</v>
      </c>
      <c r="I1580" s="370">
        <v>1978.8450169563293</v>
      </c>
      <c r="M1580" s="371">
        <f t="shared" si="97"/>
        <v>12918.335862902935</v>
      </c>
      <c r="N1580" s="329">
        <f t="shared" si="98"/>
        <v>0</v>
      </c>
      <c r="T1580" s="331">
        <v>0</v>
      </c>
      <c r="U1580" s="328">
        <f>VLOOKUP(C1580,METADATA!$J$5:$Q$29,IF(E1580="HI",2,IF(E1580="LO",6,10))+IF(T1580=1,2,IF(D1580=7,1,(IF(WEEKDAY(B1580)=1,2,IF(WEEKDAY(B1580)=7,1,0))))))</f>
        <v>2</v>
      </c>
      <c r="V1580" s="328">
        <f>VLOOKUP(C1580,METADATA!$A$5:$H$29,IF(E1580="HI",2,IF(E1580="LO",6,10))+IF(T1580=1,2,IF(D1580=7,1,(IF(WEEKDAY(B1580)=1,2,IF(WEEKDAY(B1580)=7,1,0))))))</f>
        <v>2</v>
      </c>
    </row>
    <row r="1581" spans="2:22">
      <c r="B1581" s="318">
        <f t="shared" si="99"/>
        <v>46178</v>
      </c>
      <c r="C1581" s="312">
        <v>17</v>
      </c>
      <c r="D1581" s="368">
        <f>IFERROR((INDEX(METADATA!$T$2:$T$20,MATCH(B1581,METADATA!$S$2:$S$20,0))),0)</f>
        <v>0</v>
      </c>
      <c r="E1581" s="312" t="str">
        <f t="shared" si="96"/>
        <v>LO</v>
      </c>
      <c r="F1581" s="369">
        <f>VLOOKUP(C1581,METADATA!$A$5:$H$29,IF(E1581="HI",2,IF(E1581="LO",6,10))+IF(D1581=1,2,IF(D1581=7,1,(IF(WEEKDAY(B1581)=1,2,IF(WEEKDAY(B1581)=7,1,0))))))</f>
        <v>2</v>
      </c>
      <c r="G1581" s="369">
        <f>VLOOKUP(C1581,METADATA!$J$5:$Q$29,IF(E1581="HI",2,IF(E1581="LO",6,10))+IF(D1581=1,2,IF(D1581=7,1,(IF(WEEKDAY(B1581)=1,2,IF(WEEKDAY(B1581)=7,1,0))))))</f>
        <v>2</v>
      </c>
      <c r="H1581" s="370">
        <v>12763.824768066406</v>
      </c>
      <c r="I1581" s="370">
        <v>1964.4719438552856</v>
      </c>
      <c r="M1581" s="371">
        <f t="shared" si="97"/>
        <v>12914.115251464191</v>
      </c>
      <c r="N1581" s="329">
        <f t="shared" si="98"/>
        <v>0</v>
      </c>
      <c r="T1581" s="331">
        <v>0</v>
      </c>
      <c r="U1581" s="328">
        <f>VLOOKUP(C1581,METADATA!$J$5:$Q$29,IF(E1581="HI",2,IF(E1581="LO",6,10))+IF(T1581=1,2,IF(D1581=7,1,(IF(WEEKDAY(B1581)=1,2,IF(WEEKDAY(B1581)=7,1,0))))))</f>
        <v>2</v>
      </c>
      <c r="V1581" s="328">
        <f>VLOOKUP(C1581,METADATA!$A$5:$H$29,IF(E1581="HI",2,IF(E1581="LO",6,10))+IF(T1581=1,2,IF(D1581=7,1,(IF(WEEKDAY(B1581)=1,2,IF(WEEKDAY(B1581)=7,1,0))))))</f>
        <v>2</v>
      </c>
    </row>
    <row r="1582" spans="2:22">
      <c r="B1582" s="318">
        <f t="shared" si="99"/>
        <v>46178</v>
      </c>
      <c r="C1582" s="312">
        <v>18</v>
      </c>
      <c r="D1582" s="368">
        <f>IFERROR((INDEX(METADATA!$T$2:$T$20,MATCH(B1582,METADATA!$S$2:$S$20,0))),0)</f>
        <v>0</v>
      </c>
      <c r="E1582" s="312" t="str">
        <f t="shared" si="96"/>
        <v>LO</v>
      </c>
      <c r="F1582" s="369">
        <f>VLOOKUP(C1582,METADATA!$A$5:$H$29,IF(E1582="HI",2,IF(E1582="LO",6,10))+IF(D1582=1,2,IF(D1582=7,1,(IF(WEEKDAY(B1582)=1,2,IF(WEEKDAY(B1582)=7,1,0))))))</f>
        <v>1</v>
      </c>
      <c r="G1582" s="369">
        <f>VLOOKUP(C1582,METADATA!$J$5:$Q$29,IF(E1582="HI",2,IF(E1582="LO",6,10))+IF(D1582=1,2,IF(D1582=7,1,(IF(WEEKDAY(B1582)=1,2,IF(WEEKDAY(B1582)=7,1,0))))))</f>
        <v>1</v>
      </c>
      <c r="H1582" s="370">
        <v>12831.674560546875</v>
      </c>
      <c r="I1582" s="370">
        <v>2015.9520342051983</v>
      </c>
      <c r="M1582" s="371">
        <f t="shared" si="97"/>
        <v>12989.069813962889</v>
      </c>
      <c r="N1582" s="329">
        <f t="shared" si="98"/>
        <v>0</v>
      </c>
      <c r="T1582" s="331">
        <v>0</v>
      </c>
      <c r="U1582" s="328">
        <f>VLOOKUP(C1582,METADATA!$J$5:$Q$29,IF(E1582="HI",2,IF(E1582="LO",6,10))+IF(T1582=1,2,IF(D1582=7,1,(IF(WEEKDAY(B1582)=1,2,IF(WEEKDAY(B1582)=7,1,0))))))</f>
        <v>1</v>
      </c>
      <c r="V1582" s="328">
        <f>VLOOKUP(C1582,METADATA!$A$5:$H$29,IF(E1582="HI",2,IF(E1582="LO",6,10))+IF(T1582=1,2,IF(D1582=7,1,(IF(WEEKDAY(B1582)=1,2,IF(WEEKDAY(B1582)=7,1,0))))))</f>
        <v>1</v>
      </c>
    </row>
    <row r="1583" spans="2:22">
      <c r="B1583" s="318">
        <f t="shared" si="99"/>
        <v>46178</v>
      </c>
      <c r="C1583" s="312">
        <v>19</v>
      </c>
      <c r="D1583" s="368">
        <f>IFERROR((INDEX(METADATA!$T$2:$T$20,MATCH(B1583,METADATA!$S$2:$S$20,0))),0)</f>
        <v>0</v>
      </c>
      <c r="E1583" s="312" t="str">
        <f t="shared" si="96"/>
        <v>LO</v>
      </c>
      <c r="F1583" s="369">
        <f>VLOOKUP(C1583,METADATA!$A$5:$H$29,IF(E1583="HI",2,IF(E1583="LO",6,10))+IF(D1583=1,2,IF(D1583=7,1,(IF(WEEKDAY(B1583)=1,2,IF(WEEKDAY(B1583)=7,1,0))))))</f>
        <v>1</v>
      </c>
      <c r="G1583" s="369">
        <f>VLOOKUP(C1583,METADATA!$J$5:$Q$29,IF(E1583="HI",2,IF(E1583="LO",6,10))+IF(D1583=1,2,IF(D1583=7,1,(IF(WEEKDAY(B1583)=1,2,IF(WEEKDAY(B1583)=7,1,0))))))</f>
        <v>1</v>
      </c>
      <c r="H1583" s="370">
        <v>12617.949645996094</v>
      </c>
      <c r="I1583" s="370">
        <v>1866.0240317583084</v>
      </c>
      <c r="M1583" s="371">
        <f t="shared" si="97"/>
        <v>12755.183219224744</v>
      </c>
      <c r="N1583" s="329">
        <f t="shared" si="98"/>
        <v>0</v>
      </c>
      <c r="T1583" s="331">
        <v>0</v>
      </c>
      <c r="U1583" s="328">
        <f>VLOOKUP(C1583,METADATA!$J$5:$Q$29,IF(E1583="HI",2,IF(E1583="LO",6,10))+IF(T1583=1,2,IF(D1583=7,1,(IF(WEEKDAY(B1583)=1,2,IF(WEEKDAY(B1583)=7,1,0))))))</f>
        <v>1</v>
      </c>
      <c r="V1583" s="328">
        <f>VLOOKUP(C1583,METADATA!$A$5:$H$29,IF(E1583="HI",2,IF(E1583="LO",6,10))+IF(T1583=1,2,IF(D1583=7,1,(IF(WEEKDAY(B1583)=1,2,IF(WEEKDAY(B1583)=7,1,0))))))</f>
        <v>1</v>
      </c>
    </row>
    <row r="1584" spans="2:22">
      <c r="B1584" s="318">
        <f t="shared" si="99"/>
        <v>46178</v>
      </c>
      <c r="C1584" s="312">
        <v>20</v>
      </c>
      <c r="D1584" s="368">
        <f>IFERROR((INDEX(METADATA!$T$2:$T$20,MATCH(B1584,METADATA!$S$2:$S$20,0))),0)</f>
        <v>0</v>
      </c>
      <c r="E1584" s="312" t="str">
        <f t="shared" si="96"/>
        <v>LO</v>
      </c>
      <c r="F1584" s="369">
        <f>VLOOKUP(C1584,METADATA!$A$5:$H$29,IF(E1584="HI",2,IF(E1584="LO",6,10))+IF(D1584=1,2,IF(D1584=7,1,(IF(WEEKDAY(B1584)=1,2,IF(WEEKDAY(B1584)=7,1,0))))))</f>
        <v>1</v>
      </c>
      <c r="G1584" s="369">
        <f>VLOOKUP(C1584,METADATA!$J$5:$Q$29,IF(E1584="HI",2,IF(E1584="LO",6,10))+IF(D1584=1,2,IF(D1584=7,1,(IF(WEEKDAY(B1584)=1,2,IF(WEEKDAY(B1584)=7,1,0))))))</f>
        <v>1</v>
      </c>
      <c r="H1584" s="370">
        <v>12669.800109863281</v>
      </c>
      <c r="I1584" s="370">
        <v>1840.7279708385468</v>
      </c>
      <c r="M1584" s="371">
        <f t="shared" si="97"/>
        <v>12802.81665441316</v>
      </c>
      <c r="N1584" s="329">
        <f t="shared" si="98"/>
        <v>0</v>
      </c>
      <c r="T1584" s="331">
        <v>0</v>
      </c>
      <c r="U1584" s="328">
        <f>VLOOKUP(C1584,METADATA!$J$5:$Q$29,IF(E1584="HI",2,IF(E1584="LO",6,10))+IF(T1584=1,2,IF(D1584=7,1,(IF(WEEKDAY(B1584)=1,2,IF(WEEKDAY(B1584)=7,1,0))))))</f>
        <v>1</v>
      </c>
      <c r="V1584" s="328">
        <f>VLOOKUP(C1584,METADATA!$A$5:$H$29,IF(E1584="HI",2,IF(E1584="LO",6,10))+IF(T1584=1,2,IF(D1584=7,1,(IF(WEEKDAY(B1584)=1,2,IF(WEEKDAY(B1584)=7,1,0))))))</f>
        <v>1</v>
      </c>
    </row>
    <row r="1585" spans="2:22">
      <c r="B1585" s="318">
        <f t="shared" si="99"/>
        <v>46178</v>
      </c>
      <c r="C1585" s="312">
        <v>21</v>
      </c>
      <c r="D1585" s="368">
        <f>IFERROR((INDEX(METADATA!$T$2:$T$20,MATCH(B1585,METADATA!$S$2:$S$20,0))),0)</f>
        <v>0</v>
      </c>
      <c r="E1585" s="312" t="str">
        <f t="shared" si="96"/>
        <v>LO</v>
      </c>
      <c r="F1585" s="369">
        <f>VLOOKUP(C1585,METADATA!$A$5:$H$29,IF(E1585="HI",2,IF(E1585="LO",6,10))+IF(D1585=1,2,IF(D1585=7,1,(IF(WEEKDAY(B1585)=1,2,IF(WEEKDAY(B1585)=7,1,0))))))</f>
        <v>2</v>
      </c>
      <c r="G1585" s="369">
        <f>VLOOKUP(C1585,METADATA!$J$5:$Q$29,IF(E1585="HI",2,IF(E1585="LO",6,10))+IF(D1585=1,2,IF(D1585=7,1,(IF(WEEKDAY(B1585)=1,2,IF(WEEKDAY(B1585)=7,1,0))))))</f>
        <v>2</v>
      </c>
      <c r="H1585" s="370">
        <v>12381.999816894531</v>
      </c>
      <c r="I1585" s="370">
        <v>1547.4000172615051</v>
      </c>
      <c r="M1585" s="371">
        <f t="shared" si="97"/>
        <v>12478.315843053384</v>
      </c>
      <c r="N1585" s="329">
        <f t="shared" si="98"/>
        <v>0</v>
      </c>
      <c r="T1585" s="331">
        <v>0</v>
      </c>
      <c r="U1585" s="328">
        <f>VLOOKUP(C1585,METADATA!$J$5:$Q$29,IF(E1585="HI",2,IF(E1585="LO",6,10))+IF(T1585=1,2,IF(D1585=7,1,(IF(WEEKDAY(B1585)=1,2,IF(WEEKDAY(B1585)=7,1,0))))))</f>
        <v>2</v>
      </c>
      <c r="V1585" s="328">
        <f>VLOOKUP(C1585,METADATA!$A$5:$H$29,IF(E1585="HI",2,IF(E1585="LO",6,10))+IF(T1585=1,2,IF(D1585=7,1,(IF(WEEKDAY(B1585)=1,2,IF(WEEKDAY(B1585)=7,1,0))))))</f>
        <v>2</v>
      </c>
    </row>
    <row r="1586" spans="2:22">
      <c r="B1586" s="318">
        <f t="shared" si="99"/>
        <v>46178</v>
      </c>
      <c r="C1586" s="312">
        <v>22</v>
      </c>
      <c r="D1586" s="368">
        <f>IFERROR((INDEX(METADATA!$T$2:$T$20,MATCH(B1586,METADATA!$S$2:$S$20,0))),0)</f>
        <v>0</v>
      </c>
      <c r="E1586" s="312" t="str">
        <f t="shared" si="96"/>
        <v>LO</v>
      </c>
      <c r="F1586" s="369">
        <f>VLOOKUP(C1586,METADATA!$A$5:$H$29,IF(E1586="HI",2,IF(E1586="LO",6,10))+IF(D1586=1,2,IF(D1586=7,1,(IF(WEEKDAY(B1586)=1,2,IF(WEEKDAY(B1586)=7,1,0))))))</f>
        <v>3</v>
      </c>
      <c r="G1586" s="369">
        <f>VLOOKUP(C1586,METADATA!$J$5:$Q$29,IF(E1586="HI",2,IF(E1586="LO",6,10))+IF(D1586=1,2,IF(D1586=7,1,(IF(WEEKDAY(B1586)=1,2,IF(WEEKDAY(B1586)=7,1,0))))))</f>
        <v>3</v>
      </c>
      <c r="H1586" s="370">
        <v>12721.674865722656</v>
      </c>
      <c r="I1586" s="370">
        <v>1758.1200158596039</v>
      </c>
      <c r="M1586" s="371">
        <f t="shared" si="97"/>
        <v>12842.585307457597</v>
      </c>
      <c r="N1586" s="329">
        <f t="shared" si="98"/>
        <v>0</v>
      </c>
      <c r="T1586" s="331">
        <v>0</v>
      </c>
      <c r="U1586" s="328">
        <f>VLOOKUP(C1586,METADATA!$J$5:$Q$29,IF(E1586="HI",2,IF(E1586="LO",6,10))+IF(T1586=1,2,IF(D1586=7,1,(IF(WEEKDAY(B1586)=1,2,IF(WEEKDAY(B1586)=7,1,0))))))</f>
        <v>3</v>
      </c>
      <c r="V1586" s="328">
        <f>VLOOKUP(C1586,METADATA!$A$5:$H$29,IF(E1586="HI",2,IF(E1586="LO",6,10))+IF(T1586=1,2,IF(D1586=7,1,(IF(WEEKDAY(B1586)=1,2,IF(WEEKDAY(B1586)=7,1,0))))))</f>
        <v>3</v>
      </c>
    </row>
    <row r="1587" spans="2:22">
      <c r="B1587" s="318">
        <f t="shared" si="99"/>
        <v>46178</v>
      </c>
      <c r="C1587" s="312">
        <v>23</v>
      </c>
      <c r="D1587" s="368">
        <f>IFERROR((INDEX(METADATA!$T$2:$T$20,MATCH(B1587,METADATA!$S$2:$S$20,0))),0)</f>
        <v>0</v>
      </c>
      <c r="E1587" s="312" t="str">
        <f t="shared" si="96"/>
        <v>LO</v>
      </c>
      <c r="F1587" s="369">
        <f>VLOOKUP(C1587,METADATA!$A$5:$H$29,IF(E1587="HI",2,IF(E1587="LO",6,10))+IF(D1587=1,2,IF(D1587=7,1,(IF(WEEKDAY(B1587)=1,2,IF(WEEKDAY(B1587)=7,1,0))))))</f>
        <v>3</v>
      </c>
      <c r="G1587" s="369">
        <f>VLOOKUP(C1587,METADATA!$J$5:$Q$29,IF(E1587="HI",2,IF(E1587="LO",6,10))+IF(D1587=1,2,IF(D1587=7,1,(IF(WEEKDAY(B1587)=1,2,IF(WEEKDAY(B1587)=7,1,0))))))</f>
        <v>3</v>
      </c>
      <c r="H1587" s="370">
        <v>12722.625061035156</v>
      </c>
      <c r="I1587" s="370">
        <v>1791.0239999294281</v>
      </c>
      <c r="M1587" s="371">
        <f t="shared" si="97"/>
        <v>12848.072050389623</v>
      </c>
      <c r="N1587" s="329">
        <f t="shared" si="98"/>
        <v>0</v>
      </c>
      <c r="T1587" s="331">
        <v>0</v>
      </c>
      <c r="U1587" s="328">
        <f>VLOOKUP(C1587,METADATA!$J$5:$Q$29,IF(E1587="HI",2,IF(E1587="LO",6,10))+IF(T1587=1,2,IF(D1587=7,1,(IF(WEEKDAY(B1587)=1,2,IF(WEEKDAY(B1587)=7,1,0))))))</f>
        <v>3</v>
      </c>
      <c r="V1587" s="328">
        <f>VLOOKUP(C1587,METADATA!$A$5:$H$29,IF(E1587="HI",2,IF(E1587="LO",6,10))+IF(T1587=1,2,IF(D1587=7,1,(IF(WEEKDAY(B1587)=1,2,IF(WEEKDAY(B1587)=7,1,0))))))</f>
        <v>3</v>
      </c>
    </row>
    <row r="1588" spans="2:22">
      <c r="B1588" s="318">
        <f t="shared" si="99"/>
        <v>46179</v>
      </c>
      <c r="C1588" s="312">
        <v>0</v>
      </c>
      <c r="D1588" s="368">
        <f>IFERROR((INDEX(METADATA!$T$2:$T$20,MATCH(B1588,METADATA!$S$2:$S$20,0))),0)</f>
        <v>0</v>
      </c>
      <c r="E1588" s="312" t="str">
        <f t="shared" si="96"/>
        <v>LO</v>
      </c>
      <c r="F1588" s="369">
        <f>VLOOKUP(C1588,METADATA!$A$5:$H$29,IF(E1588="HI",2,IF(E1588="LO",6,10))+IF(D1588=1,2,IF(D1588=7,1,(IF(WEEKDAY(B1588)=1,2,IF(WEEKDAY(B1588)=7,1,0))))))</f>
        <v>3</v>
      </c>
      <c r="G1588" s="369">
        <f>VLOOKUP(C1588,METADATA!$J$5:$Q$29,IF(E1588="HI",2,IF(E1588="LO",6,10))+IF(D1588=1,2,IF(D1588=7,1,(IF(WEEKDAY(B1588)=1,2,IF(WEEKDAY(B1588)=7,1,0))))))</f>
        <v>3</v>
      </c>
      <c r="H1588" s="370">
        <v>12732.175048828125</v>
      </c>
      <c r="I1588" s="370">
        <v>1874.3759840130806</v>
      </c>
      <c r="M1588" s="371">
        <f t="shared" si="97"/>
        <v>12869.404290931514</v>
      </c>
      <c r="N1588" s="329">
        <f t="shared" si="98"/>
        <v>0</v>
      </c>
      <c r="T1588" s="331">
        <v>0</v>
      </c>
      <c r="U1588" s="328">
        <f>VLOOKUP(C1588,METADATA!$J$5:$Q$29,IF(E1588="HI",2,IF(E1588="LO",6,10))+IF(T1588=1,2,IF(D1588=7,1,(IF(WEEKDAY(B1588)=1,2,IF(WEEKDAY(B1588)=7,1,0))))))</f>
        <v>3</v>
      </c>
      <c r="V1588" s="328">
        <f>VLOOKUP(C1588,METADATA!$A$5:$H$29,IF(E1588="HI",2,IF(E1588="LO",6,10))+IF(T1588=1,2,IF(D1588=7,1,(IF(WEEKDAY(B1588)=1,2,IF(WEEKDAY(B1588)=7,1,0))))))</f>
        <v>3</v>
      </c>
    </row>
    <row r="1589" spans="2:22">
      <c r="B1589" s="318">
        <f t="shared" si="99"/>
        <v>46179</v>
      </c>
      <c r="C1589" s="312">
        <v>1</v>
      </c>
      <c r="D1589" s="368">
        <f>IFERROR((INDEX(METADATA!$T$2:$T$20,MATCH(B1589,METADATA!$S$2:$S$20,0))),0)</f>
        <v>0</v>
      </c>
      <c r="E1589" s="312" t="str">
        <f t="shared" si="96"/>
        <v>LO</v>
      </c>
      <c r="F1589" s="369">
        <f>VLOOKUP(C1589,METADATA!$A$5:$H$29,IF(E1589="HI",2,IF(E1589="LO",6,10))+IF(D1589=1,2,IF(D1589=7,1,(IF(WEEKDAY(B1589)=1,2,IF(WEEKDAY(B1589)=7,1,0))))))</f>
        <v>3</v>
      </c>
      <c r="G1589" s="369">
        <f>VLOOKUP(C1589,METADATA!$J$5:$Q$29,IF(E1589="HI",2,IF(E1589="LO",6,10))+IF(D1589=1,2,IF(D1589=7,1,(IF(WEEKDAY(B1589)=1,2,IF(WEEKDAY(B1589)=7,1,0))))))</f>
        <v>3</v>
      </c>
      <c r="H1589" s="370">
        <v>12707.200012207031</v>
      </c>
      <c r="I1589" s="370">
        <v>1791.7920146882534</v>
      </c>
      <c r="M1589" s="371">
        <f t="shared" si="97"/>
        <v>12832.905001367966</v>
      </c>
      <c r="N1589" s="329">
        <f t="shared" si="98"/>
        <v>0</v>
      </c>
      <c r="T1589" s="331">
        <v>0</v>
      </c>
      <c r="U1589" s="328">
        <f>VLOOKUP(C1589,METADATA!$J$5:$Q$29,IF(E1589="HI",2,IF(E1589="LO",6,10))+IF(T1589=1,2,IF(D1589=7,1,(IF(WEEKDAY(B1589)=1,2,IF(WEEKDAY(B1589)=7,1,0))))))</f>
        <v>3</v>
      </c>
      <c r="V1589" s="328">
        <f>VLOOKUP(C1589,METADATA!$A$5:$H$29,IF(E1589="HI",2,IF(E1589="LO",6,10))+IF(T1589=1,2,IF(D1589=7,1,(IF(WEEKDAY(B1589)=1,2,IF(WEEKDAY(B1589)=7,1,0))))))</f>
        <v>3</v>
      </c>
    </row>
    <row r="1590" spans="2:22">
      <c r="B1590" s="318">
        <f t="shared" si="99"/>
        <v>46179</v>
      </c>
      <c r="C1590" s="312">
        <v>2</v>
      </c>
      <c r="D1590" s="368">
        <f>IFERROR((INDEX(METADATA!$T$2:$T$20,MATCH(B1590,METADATA!$S$2:$S$20,0))),0)</f>
        <v>0</v>
      </c>
      <c r="E1590" s="312" t="str">
        <f t="shared" si="96"/>
        <v>LO</v>
      </c>
      <c r="F1590" s="369">
        <f>VLOOKUP(C1590,METADATA!$A$5:$H$29,IF(E1590="HI",2,IF(E1590="LO",6,10))+IF(D1590=1,2,IF(D1590=7,1,(IF(WEEKDAY(B1590)=1,2,IF(WEEKDAY(B1590)=7,1,0))))))</f>
        <v>3</v>
      </c>
      <c r="G1590" s="369">
        <f>VLOOKUP(C1590,METADATA!$J$5:$Q$29,IF(E1590="HI",2,IF(E1590="LO",6,10))+IF(D1590=1,2,IF(D1590=7,1,(IF(WEEKDAY(B1590)=1,2,IF(WEEKDAY(B1590)=7,1,0))))))</f>
        <v>3</v>
      </c>
      <c r="H1590" s="370">
        <v>12615.027282714844</v>
      </c>
      <c r="I1590" s="370">
        <v>1833.9599914550781</v>
      </c>
      <c r="M1590" s="371">
        <f t="shared" si="97"/>
        <v>12747.63988328419</v>
      </c>
      <c r="N1590" s="329">
        <f t="shared" si="98"/>
        <v>0</v>
      </c>
      <c r="T1590" s="331">
        <v>0</v>
      </c>
      <c r="U1590" s="328">
        <f>VLOOKUP(C1590,METADATA!$J$5:$Q$29,IF(E1590="HI",2,IF(E1590="LO",6,10))+IF(T1590=1,2,IF(D1590=7,1,(IF(WEEKDAY(B1590)=1,2,IF(WEEKDAY(B1590)=7,1,0))))))</f>
        <v>3</v>
      </c>
      <c r="V1590" s="328">
        <f>VLOOKUP(C1590,METADATA!$A$5:$H$29,IF(E1590="HI",2,IF(E1590="LO",6,10))+IF(T1590=1,2,IF(D1590=7,1,(IF(WEEKDAY(B1590)=1,2,IF(WEEKDAY(B1590)=7,1,0))))))</f>
        <v>3</v>
      </c>
    </row>
    <row r="1591" spans="2:22">
      <c r="B1591" s="318">
        <f t="shared" si="99"/>
        <v>46179</v>
      </c>
      <c r="C1591" s="312">
        <v>3</v>
      </c>
      <c r="D1591" s="368">
        <f>IFERROR((INDEX(METADATA!$T$2:$T$20,MATCH(B1591,METADATA!$S$2:$S$20,0))),0)</f>
        <v>0</v>
      </c>
      <c r="E1591" s="312" t="str">
        <f t="shared" si="96"/>
        <v>LO</v>
      </c>
      <c r="F1591" s="369">
        <f>VLOOKUP(C1591,METADATA!$A$5:$H$29,IF(E1591="HI",2,IF(E1591="LO",6,10))+IF(D1591=1,2,IF(D1591=7,1,(IF(WEEKDAY(B1591)=1,2,IF(WEEKDAY(B1591)=7,1,0))))))</f>
        <v>3</v>
      </c>
      <c r="G1591" s="369">
        <f>VLOOKUP(C1591,METADATA!$J$5:$Q$29,IF(E1591="HI",2,IF(E1591="LO",6,10))+IF(D1591=1,2,IF(D1591=7,1,(IF(WEEKDAY(B1591)=1,2,IF(WEEKDAY(B1591)=7,1,0))))))</f>
        <v>3</v>
      </c>
      <c r="H1591" s="370">
        <v>12600.575134277344</v>
      </c>
      <c r="I1591" s="370">
        <v>1785.8159755766392</v>
      </c>
      <c r="M1591" s="371">
        <f t="shared" si="97"/>
        <v>12726.493327432865</v>
      </c>
      <c r="N1591" s="329">
        <f t="shared" si="98"/>
        <v>0</v>
      </c>
      <c r="T1591" s="331">
        <v>0</v>
      </c>
      <c r="U1591" s="328">
        <f>VLOOKUP(C1591,METADATA!$J$5:$Q$29,IF(E1591="HI",2,IF(E1591="LO",6,10))+IF(T1591=1,2,IF(D1591=7,1,(IF(WEEKDAY(B1591)=1,2,IF(WEEKDAY(B1591)=7,1,0))))))</f>
        <v>3</v>
      </c>
      <c r="V1591" s="328">
        <f>VLOOKUP(C1591,METADATA!$A$5:$H$29,IF(E1591="HI",2,IF(E1591="LO",6,10))+IF(T1591=1,2,IF(D1591=7,1,(IF(WEEKDAY(B1591)=1,2,IF(WEEKDAY(B1591)=7,1,0))))))</f>
        <v>3</v>
      </c>
    </row>
    <row r="1592" spans="2:22">
      <c r="B1592" s="318">
        <f t="shared" si="99"/>
        <v>46179</v>
      </c>
      <c r="C1592" s="312">
        <v>4</v>
      </c>
      <c r="D1592" s="368">
        <f>IFERROR((INDEX(METADATA!$T$2:$T$20,MATCH(B1592,METADATA!$S$2:$S$20,0))),0)</f>
        <v>0</v>
      </c>
      <c r="E1592" s="312" t="str">
        <f t="shared" si="96"/>
        <v>LO</v>
      </c>
      <c r="F1592" s="369">
        <f>VLOOKUP(C1592,METADATA!$A$5:$H$29,IF(E1592="HI",2,IF(E1592="LO",6,10))+IF(D1592=1,2,IF(D1592=7,1,(IF(WEEKDAY(B1592)=1,2,IF(WEEKDAY(B1592)=7,1,0))))))</f>
        <v>3</v>
      </c>
      <c r="G1592" s="369">
        <f>VLOOKUP(C1592,METADATA!$J$5:$Q$29,IF(E1592="HI",2,IF(E1592="LO",6,10))+IF(D1592=1,2,IF(D1592=7,1,(IF(WEEKDAY(B1592)=1,2,IF(WEEKDAY(B1592)=7,1,0))))))</f>
        <v>3</v>
      </c>
      <c r="H1592" s="370">
        <v>12743.275146484375</v>
      </c>
      <c r="I1592" s="370">
        <v>1824.8879855275154</v>
      </c>
      <c r="M1592" s="371">
        <f t="shared" si="97"/>
        <v>12873.277656398508</v>
      </c>
      <c r="N1592" s="329">
        <f t="shared" si="98"/>
        <v>0</v>
      </c>
      <c r="T1592" s="331">
        <v>0</v>
      </c>
      <c r="U1592" s="328">
        <f>VLOOKUP(C1592,METADATA!$J$5:$Q$29,IF(E1592="HI",2,IF(E1592="LO",6,10))+IF(T1592=1,2,IF(D1592=7,1,(IF(WEEKDAY(B1592)=1,2,IF(WEEKDAY(B1592)=7,1,0))))))</f>
        <v>3</v>
      </c>
      <c r="V1592" s="328">
        <f>VLOOKUP(C1592,METADATA!$A$5:$H$29,IF(E1592="HI",2,IF(E1592="LO",6,10))+IF(T1592=1,2,IF(D1592=7,1,(IF(WEEKDAY(B1592)=1,2,IF(WEEKDAY(B1592)=7,1,0))))))</f>
        <v>3</v>
      </c>
    </row>
    <row r="1593" spans="2:22">
      <c r="B1593" s="318">
        <f t="shared" si="99"/>
        <v>46179</v>
      </c>
      <c r="C1593" s="312">
        <v>5</v>
      </c>
      <c r="D1593" s="368">
        <f>IFERROR((INDEX(METADATA!$T$2:$T$20,MATCH(B1593,METADATA!$S$2:$S$20,0))),0)</f>
        <v>0</v>
      </c>
      <c r="E1593" s="312" t="str">
        <f t="shared" si="96"/>
        <v>LO</v>
      </c>
      <c r="F1593" s="369">
        <f>VLOOKUP(C1593,METADATA!$A$5:$H$29,IF(E1593="HI",2,IF(E1593="LO",6,10))+IF(D1593=1,2,IF(D1593=7,1,(IF(WEEKDAY(B1593)=1,2,IF(WEEKDAY(B1593)=7,1,0))))))</f>
        <v>3</v>
      </c>
      <c r="G1593" s="369">
        <f>VLOOKUP(C1593,METADATA!$J$5:$Q$29,IF(E1593="HI",2,IF(E1593="LO",6,10))+IF(D1593=1,2,IF(D1593=7,1,(IF(WEEKDAY(B1593)=1,2,IF(WEEKDAY(B1593)=7,1,0))))))</f>
        <v>3</v>
      </c>
      <c r="H1593" s="370">
        <v>12647.249816894531</v>
      </c>
      <c r="I1593" s="370">
        <v>1730.9759780466557</v>
      </c>
      <c r="M1593" s="371">
        <f t="shared" si="97"/>
        <v>12765.15592413635</v>
      </c>
      <c r="N1593" s="329">
        <f t="shared" si="98"/>
        <v>0</v>
      </c>
      <c r="T1593" s="331">
        <v>0</v>
      </c>
      <c r="U1593" s="328">
        <f>VLOOKUP(C1593,METADATA!$J$5:$Q$29,IF(E1593="HI",2,IF(E1593="LO",6,10))+IF(T1593=1,2,IF(D1593=7,1,(IF(WEEKDAY(B1593)=1,2,IF(WEEKDAY(B1593)=7,1,0))))))</f>
        <v>3</v>
      </c>
      <c r="V1593" s="328">
        <f>VLOOKUP(C1593,METADATA!$A$5:$H$29,IF(E1593="HI",2,IF(E1593="LO",6,10))+IF(T1593=1,2,IF(D1593=7,1,(IF(WEEKDAY(B1593)=1,2,IF(WEEKDAY(B1593)=7,1,0))))))</f>
        <v>3</v>
      </c>
    </row>
    <row r="1594" spans="2:22">
      <c r="B1594" s="318">
        <f t="shared" si="99"/>
        <v>46179</v>
      </c>
      <c r="C1594" s="312">
        <v>6</v>
      </c>
      <c r="D1594" s="368">
        <f>IFERROR((INDEX(METADATA!$T$2:$T$20,MATCH(B1594,METADATA!$S$2:$S$20,0))),0)</f>
        <v>0</v>
      </c>
      <c r="E1594" s="312" t="str">
        <f t="shared" si="96"/>
        <v>LO</v>
      </c>
      <c r="F1594" s="369">
        <f>VLOOKUP(C1594,METADATA!$A$5:$H$29,IF(E1594="HI",2,IF(E1594="LO",6,10))+IF(D1594=1,2,IF(D1594=7,1,(IF(WEEKDAY(B1594)=1,2,IF(WEEKDAY(B1594)=7,1,0))))))</f>
        <v>3</v>
      </c>
      <c r="G1594" s="369">
        <f>VLOOKUP(C1594,METADATA!$J$5:$Q$29,IF(E1594="HI",2,IF(E1594="LO",6,10))+IF(D1594=1,2,IF(D1594=7,1,(IF(WEEKDAY(B1594)=1,2,IF(WEEKDAY(B1594)=7,1,0))))))</f>
        <v>3</v>
      </c>
      <c r="H1594" s="370">
        <v>12424.22509765625</v>
      </c>
      <c r="I1594" s="370">
        <v>1750.8719694912434</v>
      </c>
      <c r="M1594" s="371">
        <f t="shared" si="97"/>
        <v>12546.988560239528</v>
      </c>
      <c r="N1594" s="329">
        <f t="shared" si="98"/>
        <v>0</v>
      </c>
      <c r="T1594" s="331">
        <v>0</v>
      </c>
      <c r="U1594" s="328">
        <f>VLOOKUP(C1594,METADATA!$J$5:$Q$29,IF(E1594="HI",2,IF(E1594="LO",6,10))+IF(T1594=1,2,IF(D1594=7,1,(IF(WEEKDAY(B1594)=1,2,IF(WEEKDAY(B1594)=7,1,0))))))</f>
        <v>3</v>
      </c>
      <c r="V1594" s="328">
        <f>VLOOKUP(C1594,METADATA!$A$5:$H$29,IF(E1594="HI",2,IF(E1594="LO",6,10))+IF(T1594=1,2,IF(D1594=7,1,(IF(WEEKDAY(B1594)=1,2,IF(WEEKDAY(B1594)=7,1,0))))))</f>
        <v>3</v>
      </c>
    </row>
    <row r="1595" spans="2:22">
      <c r="B1595" s="318">
        <f t="shared" si="99"/>
        <v>46179</v>
      </c>
      <c r="C1595" s="312">
        <v>7</v>
      </c>
      <c r="D1595" s="368">
        <f>IFERROR((INDEX(METADATA!$T$2:$T$20,MATCH(B1595,METADATA!$S$2:$S$20,0))),0)</f>
        <v>0</v>
      </c>
      <c r="E1595" s="312" t="str">
        <f t="shared" si="96"/>
        <v>LO</v>
      </c>
      <c r="F1595" s="369">
        <f>VLOOKUP(C1595,METADATA!$A$5:$H$29,IF(E1595="HI",2,IF(E1595="LO",6,10))+IF(D1595=1,2,IF(D1595=7,1,(IF(WEEKDAY(B1595)=1,2,IF(WEEKDAY(B1595)=7,1,0))))))</f>
        <v>2</v>
      </c>
      <c r="G1595" s="369">
        <f>VLOOKUP(C1595,METADATA!$J$5:$Q$29,IF(E1595="HI",2,IF(E1595="LO",6,10))+IF(D1595=1,2,IF(D1595=7,1,(IF(WEEKDAY(B1595)=1,2,IF(WEEKDAY(B1595)=7,1,0))))))</f>
        <v>2</v>
      </c>
      <c r="H1595" s="370">
        <v>12492.674682617188</v>
      </c>
      <c r="I1595" s="370">
        <v>1829.8080062270164</v>
      </c>
      <c r="M1595" s="371">
        <f t="shared" si="97"/>
        <v>12625.969985128149</v>
      </c>
      <c r="N1595" s="329">
        <f t="shared" si="98"/>
        <v>0</v>
      </c>
      <c r="T1595" s="331">
        <v>0</v>
      </c>
      <c r="U1595" s="328">
        <f>VLOOKUP(C1595,METADATA!$J$5:$Q$29,IF(E1595="HI",2,IF(E1595="LO",6,10))+IF(T1595=1,2,IF(D1595=7,1,(IF(WEEKDAY(B1595)=1,2,IF(WEEKDAY(B1595)=7,1,0))))))</f>
        <v>2</v>
      </c>
      <c r="V1595" s="328">
        <f>VLOOKUP(C1595,METADATA!$A$5:$H$29,IF(E1595="HI",2,IF(E1595="LO",6,10))+IF(T1595=1,2,IF(D1595=7,1,(IF(WEEKDAY(B1595)=1,2,IF(WEEKDAY(B1595)=7,1,0))))))</f>
        <v>2</v>
      </c>
    </row>
    <row r="1596" spans="2:22">
      <c r="B1596" s="318">
        <f t="shared" si="99"/>
        <v>46179</v>
      </c>
      <c r="C1596" s="312">
        <v>8</v>
      </c>
      <c r="D1596" s="368">
        <f>IFERROR((INDEX(METADATA!$T$2:$T$20,MATCH(B1596,METADATA!$S$2:$S$20,0))),0)</f>
        <v>0</v>
      </c>
      <c r="E1596" s="312" t="str">
        <f t="shared" si="96"/>
        <v>LO</v>
      </c>
      <c r="F1596" s="369">
        <f>VLOOKUP(C1596,METADATA!$A$5:$H$29,IF(E1596="HI",2,IF(E1596="LO",6,10))+IF(D1596=1,2,IF(D1596=7,1,(IF(WEEKDAY(B1596)=1,2,IF(WEEKDAY(B1596)=7,1,0))))))</f>
        <v>2</v>
      </c>
      <c r="G1596" s="369">
        <f>VLOOKUP(C1596,METADATA!$J$5:$Q$29,IF(E1596="HI",2,IF(E1596="LO",6,10))+IF(D1596=1,2,IF(D1596=7,1,(IF(WEEKDAY(B1596)=1,2,IF(WEEKDAY(B1596)=7,1,0))))))</f>
        <v>2</v>
      </c>
      <c r="H1596" s="370">
        <v>12493.375183105469</v>
      </c>
      <c r="I1596" s="370">
        <v>1892.6400394439697</v>
      </c>
      <c r="M1596" s="371">
        <f t="shared" si="97"/>
        <v>12635.921406242684</v>
      </c>
      <c r="N1596" s="329">
        <f t="shared" si="98"/>
        <v>0</v>
      </c>
      <c r="T1596" s="331">
        <v>0</v>
      </c>
      <c r="U1596" s="328">
        <f>VLOOKUP(C1596,METADATA!$J$5:$Q$29,IF(E1596="HI",2,IF(E1596="LO",6,10))+IF(T1596=1,2,IF(D1596=7,1,(IF(WEEKDAY(B1596)=1,2,IF(WEEKDAY(B1596)=7,1,0))))))</f>
        <v>2</v>
      </c>
      <c r="V1596" s="328">
        <f>VLOOKUP(C1596,METADATA!$A$5:$H$29,IF(E1596="HI",2,IF(E1596="LO",6,10))+IF(T1596=1,2,IF(D1596=7,1,(IF(WEEKDAY(B1596)=1,2,IF(WEEKDAY(B1596)=7,1,0))))))</f>
        <v>2</v>
      </c>
    </row>
    <row r="1597" spans="2:22">
      <c r="B1597" s="318">
        <f t="shared" si="99"/>
        <v>46179</v>
      </c>
      <c r="C1597" s="312">
        <v>9</v>
      </c>
      <c r="D1597" s="368">
        <f>IFERROR((INDEX(METADATA!$T$2:$T$20,MATCH(B1597,METADATA!$S$2:$S$20,0))),0)</f>
        <v>0</v>
      </c>
      <c r="E1597" s="312" t="str">
        <f t="shared" si="96"/>
        <v>LO</v>
      </c>
      <c r="F1597" s="369">
        <f>VLOOKUP(C1597,METADATA!$A$5:$H$29,IF(E1597="HI",2,IF(E1597="LO",6,10))+IF(D1597=1,2,IF(D1597=7,1,(IF(WEEKDAY(B1597)=1,2,IF(WEEKDAY(B1597)=7,1,0))))))</f>
        <v>2</v>
      </c>
      <c r="G1597" s="369">
        <f>VLOOKUP(C1597,METADATA!$J$5:$Q$29,IF(E1597="HI",2,IF(E1597="LO",6,10))+IF(D1597=1,2,IF(D1597=7,1,(IF(WEEKDAY(B1597)=1,2,IF(WEEKDAY(B1597)=7,1,0))))))</f>
        <v>2</v>
      </c>
      <c r="H1597" s="370">
        <v>12465.800415039063</v>
      </c>
      <c r="I1597" s="370">
        <v>1723.8480169177055</v>
      </c>
      <c r="M1597" s="371">
        <f t="shared" si="97"/>
        <v>12584.428154390615</v>
      </c>
      <c r="N1597" s="329">
        <f t="shared" si="98"/>
        <v>0</v>
      </c>
      <c r="T1597" s="331">
        <v>0</v>
      </c>
      <c r="U1597" s="328">
        <f>VLOOKUP(C1597,METADATA!$J$5:$Q$29,IF(E1597="HI",2,IF(E1597="LO",6,10))+IF(T1597=1,2,IF(D1597=7,1,(IF(WEEKDAY(B1597)=1,2,IF(WEEKDAY(B1597)=7,1,0))))))</f>
        <v>2</v>
      </c>
      <c r="V1597" s="328">
        <f>VLOOKUP(C1597,METADATA!$A$5:$H$29,IF(E1597="HI",2,IF(E1597="LO",6,10))+IF(T1597=1,2,IF(D1597=7,1,(IF(WEEKDAY(B1597)=1,2,IF(WEEKDAY(B1597)=7,1,0))))))</f>
        <v>2</v>
      </c>
    </row>
    <row r="1598" spans="2:22">
      <c r="B1598" s="318">
        <f t="shared" si="99"/>
        <v>46179</v>
      </c>
      <c r="C1598" s="312">
        <v>10</v>
      </c>
      <c r="D1598" s="368">
        <f>IFERROR((INDEX(METADATA!$T$2:$T$20,MATCH(B1598,METADATA!$S$2:$S$20,0))),0)</f>
        <v>0</v>
      </c>
      <c r="E1598" s="312" t="str">
        <f t="shared" si="96"/>
        <v>LO</v>
      </c>
      <c r="F1598" s="369">
        <f>VLOOKUP(C1598,METADATA!$A$5:$H$29,IF(E1598="HI",2,IF(E1598="LO",6,10))+IF(D1598=1,2,IF(D1598=7,1,(IF(WEEKDAY(B1598)=1,2,IF(WEEKDAY(B1598)=7,1,0))))))</f>
        <v>2</v>
      </c>
      <c r="G1598" s="369">
        <f>VLOOKUP(C1598,METADATA!$J$5:$Q$29,IF(E1598="HI",2,IF(E1598="LO",6,10))+IF(D1598=1,2,IF(D1598=7,1,(IF(WEEKDAY(B1598)=1,2,IF(WEEKDAY(B1598)=7,1,0))))))</f>
        <v>2</v>
      </c>
      <c r="H1598" s="370">
        <v>12551.874816894531</v>
      </c>
      <c r="I1598" s="370">
        <v>1828.8240451812744</v>
      </c>
      <c r="M1598" s="371">
        <f t="shared" si="97"/>
        <v>12684.406127494671</v>
      </c>
      <c r="N1598" s="329">
        <f t="shared" si="98"/>
        <v>0</v>
      </c>
      <c r="T1598" s="331">
        <v>0</v>
      </c>
      <c r="U1598" s="328">
        <f>VLOOKUP(C1598,METADATA!$J$5:$Q$29,IF(E1598="HI",2,IF(E1598="LO",6,10))+IF(T1598=1,2,IF(D1598=7,1,(IF(WEEKDAY(B1598)=1,2,IF(WEEKDAY(B1598)=7,1,0))))))</f>
        <v>2</v>
      </c>
      <c r="V1598" s="328">
        <f>VLOOKUP(C1598,METADATA!$A$5:$H$29,IF(E1598="HI",2,IF(E1598="LO",6,10))+IF(T1598=1,2,IF(D1598=7,1,(IF(WEEKDAY(B1598)=1,2,IF(WEEKDAY(B1598)=7,1,0))))))</f>
        <v>2</v>
      </c>
    </row>
    <row r="1599" spans="2:22">
      <c r="B1599" s="318">
        <f t="shared" si="99"/>
        <v>46179</v>
      </c>
      <c r="C1599" s="312">
        <v>11</v>
      </c>
      <c r="D1599" s="368">
        <f>IFERROR((INDEX(METADATA!$T$2:$T$20,MATCH(B1599,METADATA!$S$2:$S$20,0))),0)</f>
        <v>0</v>
      </c>
      <c r="E1599" s="312" t="str">
        <f t="shared" si="96"/>
        <v>LO</v>
      </c>
      <c r="F1599" s="369">
        <f>VLOOKUP(C1599,METADATA!$A$5:$H$29,IF(E1599="HI",2,IF(E1599="LO",6,10))+IF(D1599=1,2,IF(D1599=7,1,(IF(WEEKDAY(B1599)=1,2,IF(WEEKDAY(B1599)=7,1,0))))))</f>
        <v>2</v>
      </c>
      <c r="G1599" s="369">
        <f>VLOOKUP(C1599,METADATA!$J$5:$Q$29,IF(E1599="HI",2,IF(E1599="LO",6,10))+IF(D1599=1,2,IF(D1599=7,1,(IF(WEEKDAY(B1599)=1,2,IF(WEEKDAY(B1599)=7,1,0))))))</f>
        <v>2</v>
      </c>
      <c r="H1599" s="370">
        <v>12512.950012207031</v>
      </c>
      <c r="I1599" s="370">
        <v>1856.5920170545578</v>
      </c>
      <c r="M1599" s="371">
        <f t="shared" si="97"/>
        <v>12649.934858558863</v>
      </c>
      <c r="N1599" s="329">
        <f t="shared" si="98"/>
        <v>0</v>
      </c>
      <c r="T1599" s="331">
        <v>0</v>
      </c>
      <c r="U1599" s="328">
        <f>VLOOKUP(C1599,METADATA!$J$5:$Q$29,IF(E1599="HI",2,IF(E1599="LO",6,10))+IF(T1599=1,2,IF(D1599=7,1,(IF(WEEKDAY(B1599)=1,2,IF(WEEKDAY(B1599)=7,1,0))))))</f>
        <v>2</v>
      </c>
      <c r="V1599" s="328">
        <f>VLOOKUP(C1599,METADATA!$A$5:$H$29,IF(E1599="HI",2,IF(E1599="LO",6,10))+IF(T1599=1,2,IF(D1599=7,1,(IF(WEEKDAY(B1599)=1,2,IF(WEEKDAY(B1599)=7,1,0))))))</f>
        <v>2</v>
      </c>
    </row>
    <row r="1600" spans="2:22">
      <c r="B1600" s="318">
        <f t="shared" si="99"/>
        <v>46179</v>
      </c>
      <c r="C1600" s="312">
        <v>12</v>
      </c>
      <c r="D1600" s="368">
        <f>IFERROR((INDEX(METADATA!$T$2:$T$20,MATCH(B1600,METADATA!$S$2:$S$20,0))),0)</f>
        <v>0</v>
      </c>
      <c r="E1600" s="312" t="str">
        <f t="shared" si="96"/>
        <v>LO</v>
      </c>
      <c r="F1600" s="369">
        <f>VLOOKUP(C1600,METADATA!$A$5:$H$29,IF(E1600="HI",2,IF(E1600="LO",6,10))+IF(D1600=1,2,IF(D1600=7,1,(IF(WEEKDAY(B1600)=1,2,IF(WEEKDAY(B1600)=7,1,0))))))</f>
        <v>3</v>
      </c>
      <c r="G1600" s="369">
        <f>VLOOKUP(C1600,METADATA!$J$5:$Q$29,IF(E1600="HI",2,IF(E1600="LO",6,10))+IF(D1600=1,2,IF(D1600=7,1,(IF(WEEKDAY(B1600)=1,2,IF(WEEKDAY(B1600)=7,1,0))))))</f>
        <v>3</v>
      </c>
      <c r="H1600" s="370">
        <v>12781.000305175781</v>
      </c>
      <c r="I1600" s="370">
        <v>1954.9669827818871</v>
      </c>
      <c r="M1600" s="371">
        <f t="shared" si="97"/>
        <v>12929.650602575102</v>
      </c>
      <c r="N1600" s="329">
        <f t="shared" si="98"/>
        <v>0</v>
      </c>
      <c r="T1600" s="331">
        <v>0</v>
      </c>
      <c r="U1600" s="328">
        <f>VLOOKUP(C1600,METADATA!$J$5:$Q$29,IF(E1600="HI",2,IF(E1600="LO",6,10))+IF(T1600=1,2,IF(D1600=7,1,(IF(WEEKDAY(B1600)=1,2,IF(WEEKDAY(B1600)=7,1,0))))))</f>
        <v>3</v>
      </c>
      <c r="V1600" s="328">
        <f>VLOOKUP(C1600,METADATA!$A$5:$H$29,IF(E1600="HI",2,IF(E1600="LO",6,10))+IF(T1600=1,2,IF(D1600=7,1,(IF(WEEKDAY(B1600)=1,2,IF(WEEKDAY(B1600)=7,1,0))))))</f>
        <v>3</v>
      </c>
    </row>
    <row r="1601" spans="2:22">
      <c r="B1601" s="318">
        <f t="shared" si="99"/>
        <v>46179</v>
      </c>
      <c r="C1601" s="312">
        <v>13</v>
      </c>
      <c r="D1601" s="368">
        <f>IFERROR((INDEX(METADATA!$T$2:$T$20,MATCH(B1601,METADATA!$S$2:$S$20,0))),0)</f>
        <v>0</v>
      </c>
      <c r="E1601" s="312" t="str">
        <f t="shared" si="96"/>
        <v>LO</v>
      </c>
      <c r="F1601" s="369">
        <f>VLOOKUP(C1601,METADATA!$A$5:$H$29,IF(E1601="HI",2,IF(E1601="LO",6,10))+IF(D1601=1,2,IF(D1601=7,1,(IF(WEEKDAY(B1601)=1,2,IF(WEEKDAY(B1601)=7,1,0))))))</f>
        <v>3</v>
      </c>
      <c r="G1601" s="369">
        <f>VLOOKUP(C1601,METADATA!$J$5:$Q$29,IF(E1601="HI",2,IF(E1601="LO",6,10))+IF(D1601=1,2,IF(D1601=7,1,(IF(WEEKDAY(B1601)=1,2,IF(WEEKDAY(B1601)=7,1,0))))))</f>
        <v>3</v>
      </c>
      <c r="H1601" s="370">
        <v>12979.074768066406</v>
      </c>
      <c r="I1601" s="370">
        <v>2134.8960151672363</v>
      </c>
      <c r="M1601" s="371">
        <f t="shared" si="97"/>
        <v>13153.484816984243</v>
      </c>
      <c r="N1601" s="329">
        <f t="shared" si="98"/>
        <v>0</v>
      </c>
      <c r="T1601" s="331">
        <v>0</v>
      </c>
      <c r="U1601" s="328">
        <f>VLOOKUP(C1601,METADATA!$J$5:$Q$29,IF(E1601="HI",2,IF(E1601="LO",6,10))+IF(T1601=1,2,IF(D1601=7,1,(IF(WEEKDAY(B1601)=1,2,IF(WEEKDAY(B1601)=7,1,0))))))</f>
        <v>3</v>
      </c>
      <c r="V1601" s="328">
        <f>VLOOKUP(C1601,METADATA!$A$5:$H$29,IF(E1601="HI",2,IF(E1601="LO",6,10))+IF(T1601=1,2,IF(D1601=7,1,(IF(WEEKDAY(B1601)=1,2,IF(WEEKDAY(B1601)=7,1,0))))))</f>
        <v>3</v>
      </c>
    </row>
    <row r="1602" spans="2:22">
      <c r="B1602" s="318">
        <f t="shared" si="99"/>
        <v>46179</v>
      </c>
      <c r="C1602" s="312">
        <v>14</v>
      </c>
      <c r="D1602" s="368">
        <f>IFERROR((INDEX(METADATA!$T$2:$T$20,MATCH(B1602,METADATA!$S$2:$S$20,0))),0)</f>
        <v>0</v>
      </c>
      <c r="E1602" s="312" t="str">
        <f t="shared" si="96"/>
        <v>LO</v>
      </c>
      <c r="F1602" s="369">
        <f>VLOOKUP(C1602,METADATA!$A$5:$H$29,IF(E1602="HI",2,IF(E1602="LO",6,10))+IF(D1602=1,2,IF(D1602=7,1,(IF(WEEKDAY(B1602)=1,2,IF(WEEKDAY(B1602)=7,1,0))))))</f>
        <v>3</v>
      </c>
      <c r="G1602" s="369">
        <f>VLOOKUP(C1602,METADATA!$J$5:$Q$29,IF(E1602="HI",2,IF(E1602="LO",6,10))+IF(D1602=1,2,IF(D1602=7,1,(IF(WEEKDAY(B1602)=1,2,IF(WEEKDAY(B1602)=7,1,0))))))</f>
        <v>3</v>
      </c>
      <c r="H1602" s="370">
        <v>13244.5</v>
      </c>
      <c r="I1602" s="370">
        <v>2260.7525100708008</v>
      </c>
      <c r="M1602" s="371">
        <f t="shared" si="97"/>
        <v>13436.062747761764</v>
      </c>
      <c r="N1602" s="329">
        <f t="shared" si="98"/>
        <v>0</v>
      </c>
      <c r="T1602" s="331">
        <v>0</v>
      </c>
      <c r="U1602" s="328">
        <f>VLOOKUP(C1602,METADATA!$J$5:$Q$29,IF(E1602="HI",2,IF(E1602="LO",6,10))+IF(T1602=1,2,IF(D1602=7,1,(IF(WEEKDAY(B1602)=1,2,IF(WEEKDAY(B1602)=7,1,0))))))</f>
        <v>3</v>
      </c>
      <c r="V1602" s="328">
        <f>VLOOKUP(C1602,METADATA!$A$5:$H$29,IF(E1602="HI",2,IF(E1602="LO",6,10))+IF(T1602=1,2,IF(D1602=7,1,(IF(WEEKDAY(B1602)=1,2,IF(WEEKDAY(B1602)=7,1,0))))))</f>
        <v>3</v>
      </c>
    </row>
    <row r="1603" spans="2:22">
      <c r="B1603" s="318">
        <f t="shared" si="99"/>
        <v>46179</v>
      </c>
      <c r="C1603" s="312">
        <v>15</v>
      </c>
      <c r="D1603" s="368">
        <f>IFERROR((INDEX(METADATA!$T$2:$T$20,MATCH(B1603,METADATA!$S$2:$S$20,0))),0)</f>
        <v>0</v>
      </c>
      <c r="E1603" s="312" t="str">
        <f t="shared" si="96"/>
        <v>LO</v>
      </c>
      <c r="F1603" s="369">
        <f>VLOOKUP(C1603,METADATA!$A$5:$H$29,IF(E1603="HI",2,IF(E1603="LO",6,10))+IF(D1603=1,2,IF(D1603=7,1,(IF(WEEKDAY(B1603)=1,2,IF(WEEKDAY(B1603)=7,1,0))))))</f>
        <v>3</v>
      </c>
      <c r="G1603" s="369">
        <f>VLOOKUP(C1603,METADATA!$J$5:$Q$29,IF(E1603="HI",2,IF(E1603="LO",6,10))+IF(D1603=1,2,IF(D1603=7,1,(IF(WEEKDAY(B1603)=1,2,IF(WEEKDAY(B1603)=7,1,0))))))</f>
        <v>3</v>
      </c>
      <c r="H1603" s="370">
        <v>13259.924865722656</v>
      </c>
      <c r="I1603" s="370">
        <v>2271.7624816894531</v>
      </c>
      <c r="M1603" s="371">
        <f t="shared" si="97"/>
        <v>13453.122768258001</v>
      </c>
      <c r="N1603" s="329">
        <f t="shared" si="98"/>
        <v>0</v>
      </c>
      <c r="T1603" s="331">
        <v>0</v>
      </c>
      <c r="U1603" s="328">
        <f>VLOOKUP(C1603,METADATA!$J$5:$Q$29,IF(E1603="HI",2,IF(E1603="LO",6,10))+IF(T1603=1,2,IF(D1603=7,1,(IF(WEEKDAY(B1603)=1,2,IF(WEEKDAY(B1603)=7,1,0))))))</f>
        <v>3</v>
      </c>
      <c r="V1603" s="328">
        <f>VLOOKUP(C1603,METADATA!$A$5:$H$29,IF(E1603="HI",2,IF(E1603="LO",6,10))+IF(T1603=1,2,IF(D1603=7,1,(IF(WEEKDAY(B1603)=1,2,IF(WEEKDAY(B1603)=7,1,0))))))</f>
        <v>3</v>
      </c>
    </row>
    <row r="1604" spans="2:22">
      <c r="B1604" s="318">
        <f t="shared" si="99"/>
        <v>46179</v>
      </c>
      <c r="C1604" s="312">
        <v>16</v>
      </c>
      <c r="D1604" s="368">
        <f>IFERROR((INDEX(METADATA!$T$2:$T$20,MATCH(B1604,METADATA!$S$2:$S$20,0))),0)</f>
        <v>0</v>
      </c>
      <c r="E1604" s="312" t="str">
        <f t="shared" ref="E1604:E1667" si="100">IF(B1604="","",IF(AND(MONTH(B1604)&gt;=MONTH($Z$9),MONTH(B1604)&lt;=MONTH($Z$11)),"HI","LO"))</f>
        <v>LO</v>
      </c>
      <c r="F1604" s="369">
        <f>VLOOKUP(C1604,METADATA!$A$5:$H$29,IF(E1604="HI",2,IF(E1604="LO",6,10))+IF(D1604=1,2,IF(D1604=7,1,(IF(WEEKDAY(B1604)=1,2,IF(WEEKDAY(B1604)=7,1,0))))))</f>
        <v>3</v>
      </c>
      <c r="G1604" s="369">
        <f>VLOOKUP(C1604,METADATA!$J$5:$Q$29,IF(E1604="HI",2,IF(E1604="LO",6,10))+IF(D1604=1,2,IF(D1604=7,1,(IF(WEEKDAY(B1604)=1,2,IF(WEEKDAY(B1604)=7,1,0))))))</f>
        <v>3</v>
      </c>
      <c r="H1604" s="370">
        <v>13162.80029296875</v>
      </c>
      <c r="I1604" s="370">
        <v>2212.5175552368164</v>
      </c>
      <c r="M1604" s="371">
        <f t="shared" ref="M1604:M1667" si="101">SQRT(H1604^2+I1604^2)</f>
        <v>13347.454644418513</v>
      </c>
      <c r="N1604" s="329">
        <f t="shared" ref="N1604:N1667" si="102">IF(H1604=0,0,(IF(I1604-(0.3*H1604)&lt;0,0,(I1604-(0.3*H1604)))))</f>
        <v>0</v>
      </c>
      <c r="T1604" s="331">
        <v>0</v>
      </c>
      <c r="U1604" s="328">
        <f>VLOOKUP(C1604,METADATA!$J$5:$Q$29,IF(E1604="HI",2,IF(E1604="LO",6,10))+IF(T1604=1,2,IF(D1604=7,1,(IF(WEEKDAY(B1604)=1,2,IF(WEEKDAY(B1604)=7,1,0))))))</f>
        <v>3</v>
      </c>
      <c r="V1604" s="328">
        <f>VLOOKUP(C1604,METADATA!$A$5:$H$29,IF(E1604="HI",2,IF(E1604="LO",6,10))+IF(T1604=1,2,IF(D1604=7,1,(IF(WEEKDAY(B1604)=1,2,IF(WEEKDAY(B1604)=7,1,0))))))</f>
        <v>3</v>
      </c>
    </row>
    <row r="1605" spans="2:22">
      <c r="B1605" s="318">
        <f t="shared" si="99"/>
        <v>46179</v>
      </c>
      <c r="C1605" s="312">
        <v>17</v>
      </c>
      <c r="D1605" s="368">
        <f>IFERROR((INDEX(METADATA!$T$2:$T$20,MATCH(B1605,METADATA!$S$2:$S$20,0))),0)</f>
        <v>0</v>
      </c>
      <c r="E1605" s="312" t="str">
        <f t="shared" si="100"/>
        <v>LO</v>
      </c>
      <c r="F1605" s="369">
        <f>VLOOKUP(C1605,METADATA!$A$5:$H$29,IF(E1605="HI",2,IF(E1605="LO",6,10))+IF(D1605=1,2,IF(D1605=7,1,(IF(WEEKDAY(B1605)=1,2,IF(WEEKDAY(B1605)=7,1,0))))))</f>
        <v>3</v>
      </c>
      <c r="G1605" s="369">
        <f>VLOOKUP(C1605,METADATA!$J$5:$Q$29,IF(E1605="HI",2,IF(E1605="LO",6,10))+IF(D1605=1,2,IF(D1605=7,1,(IF(WEEKDAY(B1605)=1,2,IF(WEEKDAY(B1605)=7,1,0))))))</f>
        <v>3</v>
      </c>
      <c r="H1605" s="370">
        <v>13113.650207519531</v>
      </c>
      <c r="I1605" s="370">
        <v>2057.5899887084961</v>
      </c>
      <c r="M1605" s="371">
        <f t="shared" si="101"/>
        <v>13274.091242974431</v>
      </c>
      <c r="N1605" s="329">
        <f t="shared" si="102"/>
        <v>0</v>
      </c>
      <c r="T1605" s="331">
        <v>0</v>
      </c>
      <c r="U1605" s="328">
        <f>VLOOKUP(C1605,METADATA!$J$5:$Q$29,IF(E1605="HI",2,IF(E1605="LO",6,10))+IF(T1605=1,2,IF(D1605=7,1,(IF(WEEKDAY(B1605)=1,2,IF(WEEKDAY(B1605)=7,1,0))))))</f>
        <v>3</v>
      </c>
      <c r="V1605" s="328">
        <f>VLOOKUP(C1605,METADATA!$A$5:$H$29,IF(E1605="HI",2,IF(E1605="LO",6,10))+IF(T1605=1,2,IF(D1605=7,1,(IF(WEEKDAY(B1605)=1,2,IF(WEEKDAY(B1605)=7,1,0))))))</f>
        <v>3</v>
      </c>
    </row>
    <row r="1606" spans="2:22">
      <c r="B1606" s="318">
        <f t="shared" si="99"/>
        <v>46179</v>
      </c>
      <c r="C1606" s="312">
        <v>18</v>
      </c>
      <c r="D1606" s="368">
        <f>IFERROR((INDEX(METADATA!$T$2:$T$20,MATCH(B1606,METADATA!$S$2:$S$20,0))),0)</f>
        <v>0</v>
      </c>
      <c r="E1606" s="312" t="str">
        <f t="shared" si="100"/>
        <v>LO</v>
      </c>
      <c r="F1606" s="369">
        <f>VLOOKUP(C1606,METADATA!$A$5:$H$29,IF(E1606="HI",2,IF(E1606="LO",6,10))+IF(D1606=1,2,IF(D1606=7,1,(IF(WEEKDAY(B1606)=1,2,IF(WEEKDAY(B1606)=7,1,0))))))</f>
        <v>2</v>
      </c>
      <c r="G1606" s="369">
        <f>VLOOKUP(C1606,METADATA!$J$5:$Q$29,IF(E1606="HI",2,IF(E1606="LO",6,10))+IF(D1606=1,2,IF(D1606=7,1,(IF(WEEKDAY(B1606)=1,2,IF(WEEKDAY(B1606)=7,1,0))))))</f>
        <v>2</v>
      </c>
      <c r="H1606" s="370">
        <v>13077.575500488281</v>
      </c>
      <c r="I1606" s="370">
        <v>2057.4725036621094</v>
      </c>
      <c r="M1606" s="371">
        <f t="shared" si="101"/>
        <v>13238.435484387759</v>
      </c>
      <c r="N1606" s="329">
        <f t="shared" si="102"/>
        <v>0</v>
      </c>
      <c r="T1606" s="331">
        <v>0</v>
      </c>
      <c r="U1606" s="328">
        <f>VLOOKUP(C1606,METADATA!$J$5:$Q$29,IF(E1606="HI",2,IF(E1606="LO",6,10))+IF(T1606=1,2,IF(D1606=7,1,(IF(WEEKDAY(B1606)=1,2,IF(WEEKDAY(B1606)=7,1,0))))))</f>
        <v>2</v>
      </c>
      <c r="V1606" s="328">
        <f>VLOOKUP(C1606,METADATA!$A$5:$H$29,IF(E1606="HI",2,IF(E1606="LO",6,10))+IF(T1606=1,2,IF(D1606=7,1,(IF(WEEKDAY(B1606)=1,2,IF(WEEKDAY(B1606)=7,1,0))))))</f>
        <v>2</v>
      </c>
    </row>
    <row r="1607" spans="2:22">
      <c r="B1607" s="318">
        <f t="shared" si="99"/>
        <v>46179</v>
      </c>
      <c r="C1607" s="312">
        <v>19</v>
      </c>
      <c r="D1607" s="368">
        <f>IFERROR((INDEX(METADATA!$T$2:$T$20,MATCH(B1607,METADATA!$S$2:$S$20,0))),0)</f>
        <v>0</v>
      </c>
      <c r="E1607" s="312" t="str">
        <f t="shared" si="100"/>
        <v>LO</v>
      </c>
      <c r="F1607" s="369">
        <f>VLOOKUP(C1607,METADATA!$A$5:$H$29,IF(E1607="HI",2,IF(E1607="LO",6,10))+IF(D1607=1,2,IF(D1607=7,1,(IF(WEEKDAY(B1607)=1,2,IF(WEEKDAY(B1607)=7,1,0))))))</f>
        <v>2</v>
      </c>
      <c r="G1607" s="369">
        <f>VLOOKUP(C1607,METADATA!$J$5:$Q$29,IF(E1607="HI",2,IF(E1607="LO",6,10))+IF(D1607=1,2,IF(D1607=7,1,(IF(WEEKDAY(B1607)=1,2,IF(WEEKDAY(B1607)=7,1,0))))))</f>
        <v>2</v>
      </c>
      <c r="H1607" s="370">
        <v>11964.595306396484</v>
      </c>
      <c r="I1607" s="370">
        <v>1919.042039062595</v>
      </c>
      <c r="M1607" s="371">
        <f t="shared" si="101"/>
        <v>12117.518854680371</v>
      </c>
      <c r="N1607" s="329">
        <f t="shared" si="102"/>
        <v>0</v>
      </c>
      <c r="T1607" s="331">
        <v>0</v>
      </c>
      <c r="U1607" s="328">
        <f>VLOOKUP(C1607,METADATA!$J$5:$Q$29,IF(E1607="HI",2,IF(E1607="LO",6,10))+IF(T1607=1,2,IF(D1607=7,1,(IF(WEEKDAY(B1607)=1,2,IF(WEEKDAY(B1607)=7,1,0))))))</f>
        <v>2</v>
      </c>
      <c r="V1607" s="328">
        <f>VLOOKUP(C1607,METADATA!$A$5:$H$29,IF(E1607="HI",2,IF(E1607="LO",6,10))+IF(T1607=1,2,IF(D1607=7,1,(IF(WEEKDAY(B1607)=1,2,IF(WEEKDAY(B1607)=7,1,0))))))</f>
        <v>2</v>
      </c>
    </row>
    <row r="1608" spans="2:22">
      <c r="B1608" s="318">
        <f t="shared" si="99"/>
        <v>46179</v>
      </c>
      <c r="C1608" s="312">
        <v>20</v>
      </c>
      <c r="D1608" s="368">
        <f>IFERROR((INDEX(METADATA!$T$2:$T$20,MATCH(B1608,METADATA!$S$2:$S$20,0))),0)</f>
        <v>0</v>
      </c>
      <c r="E1608" s="312" t="str">
        <f t="shared" si="100"/>
        <v>LO</v>
      </c>
      <c r="F1608" s="369">
        <f>VLOOKUP(C1608,METADATA!$A$5:$H$29,IF(E1608="HI",2,IF(E1608="LO",6,10))+IF(D1608=1,2,IF(D1608=7,1,(IF(WEEKDAY(B1608)=1,2,IF(WEEKDAY(B1608)=7,1,0))))))</f>
        <v>3</v>
      </c>
      <c r="G1608" s="369">
        <f>VLOOKUP(C1608,METADATA!$J$5:$Q$29,IF(E1608="HI",2,IF(E1608="LO",6,10))+IF(D1608=1,2,IF(D1608=7,1,(IF(WEEKDAY(B1608)=1,2,IF(WEEKDAY(B1608)=7,1,0))))))</f>
        <v>3</v>
      </c>
      <c r="H1608" s="370">
        <v>10962.450439453125</v>
      </c>
      <c r="I1608" s="370">
        <v>1648.6800537109375</v>
      </c>
      <c r="M1608" s="371">
        <f t="shared" si="101"/>
        <v>11085.73252234467</v>
      </c>
      <c r="N1608" s="329">
        <f t="shared" si="102"/>
        <v>0</v>
      </c>
      <c r="T1608" s="331">
        <v>0</v>
      </c>
      <c r="U1608" s="328">
        <f>VLOOKUP(C1608,METADATA!$J$5:$Q$29,IF(E1608="HI",2,IF(E1608="LO",6,10))+IF(T1608=1,2,IF(D1608=7,1,(IF(WEEKDAY(B1608)=1,2,IF(WEEKDAY(B1608)=7,1,0))))))</f>
        <v>3</v>
      </c>
      <c r="V1608" s="328">
        <f>VLOOKUP(C1608,METADATA!$A$5:$H$29,IF(E1608="HI",2,IF(E1608="LO",6,10))+IF(T1608=1,2,IF(D1608=7,1,(IF(WEEKDAY(B1608)=1,2,IF(WEEKDAY(B1608)=7,1,0))))))</f>
        <v>3</v>
      </c>
    </row>
    <row r="1609" spans="2:22">
      <c r="B1609" s="318">
        <f t="shared" si="99"/>
        <v>46179</v>
      </c>
      <c r="C1609" s="312">
        <v>21</v>
      </c>
      <c r="D1609" s="368">
        <f>IFERROR((INDEX(METADATA!$T$2:$T$20,MATCH(B1609,METADATA!$S$2:$S$20,0))),0)</f>
        <v>0</v>
      </c>
      <c r="E1609" s="312" t="str">
        <f t="shared" si="100"/>
        <v>LO</v>
      </c>
      <c r="F1609" s="369">
        <f>VLOOKUP(C1609,METADATA!$A$5:$H$29,IF(E1609="HI",2,IF(E1609="LO",6,10))+IF(D1609=1,2,IF(D1609=7,1,(IF(WEEKDAY(B1609)=1,2,IF(WEEKDAY(B1609)=7,1,0))))))</f>
        <v>3</v>
      </c>
      <c r="G1609" s="369">
        <f>VLOOKUP(C1609,METADATA!$J$5:$Q$29,IF(E1609="HI",2,IF(E1609="LO",6,10))+IF(D1609=1,2,IF(D1609=7,1,(IF(WEEKDAY(B1609)=1,2,IF(WEEKDAY(B1609)=7,1,0))))))</f>
        <v>3</v>
      </c>
      <c r="H1609" s="370">
        <v>11201.509735107422</v>
      </c>
      <c r="I1609" s="370">
        <v>1733.5200509428978</v>
      </c>
      <c r="M1609" s="371">
        <f t="shared" si="101"/>
        <v>11334.853863757018</v>
      </c>
      <c r="N1609" s="329">
        <f t="shared" si="102"/>
        <v>0</v>
      </c>
      <c r="T1609" s="331">
        <v>0</v>
      </c>
      <c r="U1609" s="328">
        <f>VLOOKUP(C1609,METADATA!$J$5:$Q$29,IF(E1609="HI",2,IF(E1609="LO",6,10))+IF(T1609=1,2,IF(D1609=7,1,(IF(WEEKDAY(B1609)=1,2,IF(WEEKDAY(B1609)=7,1,0))))))</f>
        <v>3</v>
      </c>
      <c r="V1609" s="328">
        <f>VLOOKUP(C1609,METADATA!$A$5:$H$29,IF(E1609="HI",2,IF(E1609="LO",6,10))+IF(T1609=1,2,IF(D1609=7,1,(IF(WEEKDAY(B1609)=1,2,IF(WEEKDAY(B1609)=7,1,0))))))</f>
        <v>3</v>
      </c>
    </row>
    <row r="1610" spans="2:22">
      <c r="B1610" s="318">
        <f t="shared" si="99"/>
        <v>46179</v>
      </c>
      <c r="C1610" s="312">
        <v>22</v>
      </c>
      <c r="D1610" s="368">
        <f>IFERROR((INDEX(METADATA!$T$2:$T$20,MATCH(B1610,METADATA!$S$2:$S$20,0))),0)</f>
        <v>0</v>
      </c>
      <c r="E1610" s="312" t="str">
        <f t="shared" si="100"/>
        <v>LO</v>
      </c>
      <c r="F1610" s="369">
        <f>VLOOKUP(C1610,METADATA!$A$5:$H$29,IF(E1610="HI",2,IF(E1610="LO",6,10))+IF(D1610=1,2,IF(D1610=7,1,(IF(WEEKDAY(B1610)=1,2,IF(WEEKDAY(B1610)=7,1,0))))))</f>
        <v>3</v>
      </c>
      <c r="G1610" s="369">
        <f>VLOOKUP(C1610,METADATA!$J$5:$Q$29,IF(E1610="HI",2,IF(E1610="LO",6,10))+IF(D1610=1,2,IF(D1610=7,1,(IF(WEEKDAY(B1610)=1,2,IF(WEEKDAY(B1610)=7,1,0))))))</f>
        <v>3</v>
      </c>
      <c r="H1610" s="370">
        <v>13018.550170898438</v>
      </c>
      <c r="I1610" s="370">
        <v>1860.9100189208984</v>
      </c>
      <c r="M1610" s="371">
        <f t="shared" si="101"/>
        <v>13150.879615094951</v>
      </c>
      <c r="N1610" s="329">
        <f t="shared" si="102"/>
        <v>0</v>
      </c>
      <c r="T1610" s="331">
        <v>0</v>
      </c>
      <c r="U1610" s="328">
        <f>VLOOKUP(C1610,METADATA!$J$5:$Q$29,IF(E1610="HI",2,IF(E1610="LO",6,10))+IF(T1610=1,2,IF(D1610=7,1,(IF(WEEKDAY(B1610)=1,2,IF(WEEKDAY(B1610)=7,1,0))))))</f>
        <v>3</v>
      </c>
      <c r="V1610" s="328">
        <f>VLOOKUP(C1610,METADATA!$A$5:$H$29,IF(E1610="HI",2,IF(E1610="LO",6,10))+IF(T1610=1,2,IF(D1610=7,1,(IF(WEEKDAY(B1610)=1,2,IF(WEEKDAY(B1610)=7,1,0))))))</f>
        <v>3</v>
      </c>
    </row>
    <row r="1611" spans="2:22">
      <c r="B1611" s="318">
        <f t="shared" si="99"/>
        <v>46179</v>
      </c>
      <c r="C1611" s="312">
        <v>23</v>
      </c>
      <c r="D1611" s="368">
        <f>IFERROR((INDEX(METADATA!$T$2:$T$20,MATCH(B1611,METADATA!$S$2:$S$20,0))),0)</f>
        <v>0</v>
      </c>
      <c r="E1611" s="312" t="str">
        <f t="shared" si="100"/>
        <v>LO</v>
      </c>
      <c r="F1611" s="369">
        <f>VLOOKUP(C1611,METADATA!$A$5:$H$29,IF(E1611="HI",2,IF(E1611="LO",6,10))+IF(D1611=1,2,IF(D1611=7,1,(IF(WEEKDAY(B1611)=1,2,IF(WEEKDAY(B1611)=7,1,0))))))</f>
        <v>3</v>
      </c>
      <c r="G1611" s="369">
        <f>VLOOKUP(C1611,METADATA!$J$5:$Q$29,IF(E1611="HI",2,IF(E1611="LO",6,10))+IF(D1611=1,2,IF(D1611=7,1,(IF(WEEKDAY(B1611)=1,2,IF(WEEKDAY(B1611)=7,1,0))))))</f>
        <v>3</v>
      </c>
      <c r="H1611" s="370">
        <v>12775.825378417969</v>
      </c>
      <c r="I1611" s="370">
        <v>1886.6874771118164</v>
      </c>
      <c r="M1611" s="371">
        <f t="shared" si="101"/>
        <v>12914.383598767661</v>
      </c>
      <c r="N1611" s="329">
        <f t="shared" si="102"/>
        <v>0</v>
      </c>
      <c r="T1611" s="331">
        <v>0</v>
      </c>
      <c r="U1611" s="328">
        <f>VLOOKUP(C1611,METADATA!$J$5:$Q$29,IF(E1611="HI",2,IF(E1611="LO",6,10))+IF(T1611=1,2,IF(D1611=7,1,(IF(WEEKDAY(B1611)=1,2,IF(WEEKDAY(B1611)=7,1,0))))))</f>
        <v>3</v>
      </c>
      <c r="V1611" s="328">
        <f>VLOOKUP(C1611,METADATA!$A$5:$H$29,IF(E1611="HI",2,IF(E1611="LO",6,10))+IF(T1611=1,2,IF(D1611=7,1,(IF(WEEKDAY(B1611)=1,2,IF(WEEKDAY(B1611)=7,1,0))))))</f>
        <v>3</v>
      </c>
    </row>
    <row r="1612" spans="2:22">
      <c r="B1612" s="318">
        <f t="shared" si="99"/>
        <v>46180</v>
      </c>
      <c r="C1612" s="312">
        <v>0</v>
      </c>
      <c r="D1612" s="368">
        <f>IFERROR((INDEX(METADATA!$T$2:$T$20,MATCH(B1612,METADATA!$S$2:$S$20,0))),0)</f>
        <v>0</v>
      </c>
      <c r="E1612" s="312" t="str">
        <f t="shared" si="100"/>
        <v>LO</v>
      </c>
      <c r="F1612" s="369">
        <f>VLOOKUP(C1612,METADATA!$A$5:$H$29,IF(E1612="HI",2,IF(E1612="LO",6,10))+IF(D1612=1,2,IF(D1612=7,1,(IF(WEEKDAY(B1612)=1,2,IF(WEEKDAY(B1612)=7,1,0))))))</f>
        <v>3</v>
      </c>
      <c r="G1612" s="369">
        <f>VLOOKUP(C1612,METADATA!$J$5:$Q$29,IF(E1612="HI",2,IF(E1612="LO",6,10))+IF(D1612=1,2,IF(D1612=7,1,(IF(WEEKDAY(B1612)=1,2,IF(WEEKDAY(B1612)=7,1,0))))))</f>
        <v>3</v>
      </c>
      <c r="H1612" s="370">
        <v>12543.474853515625</v>
      </c>
      <c r="I1612" s="370">
        <v>1781.1599578857422</v>
      </c>
      <c r="M1612" s="371">
        <f t="shared" si="101"/>
        <v>12669.305118922441</v>
      </c>
      <c r="N1612" s="329">
        <f t="shared" si="102"/>
        <v>0</v>
      </c>
      <c r="T1612" s="331">
        <v>0</v>
      </c>
      <c r="U1612" s="328">
        <f>VLOOKUP(C1612,METADATA!$J$5:$Q$29,IF(E1612="HI",2,IF(E1612="LO",6,10))+IF(T1612=1,2,IF(D1612=7,1,(IF(WEEKDAY(B1612)=1,2,IF(WEEKDAY(B1612)=7,1,0))))))</f>
        <v>3</v>
      </c>
      <c r="V1612" s="328">
        <f>VLOOKUP(C1612,METADATA!$A$5:$H$29,IF(E1612="HI",2,IF(E1612="LO",6,10))+IF(T1612=1,2,IF(D1612=7,1,(IF(WEEKDAY(B1612)=1,2,IF(WEEKDAY(B1612)=7,1,0))))))</f>
        <v>3</v>
      </c>
    </row>
    <row r="1613" spans="2:22">
      <c r="B1613" s="318">
        <f t="shared" si="99"/>
        <v>46180</v>
      </c>
      <c r="C1613" s="312">
        <v>1</v>
      </c>
      <c r="D1613" s="368">
        <f>IFERROR((INDEX(METADATA!$T$2:$T$20,MATCH(B1613,METADATA!$S$2:$S$20,0))),0)</f>
        <v>0</v>
      </c>
      <c r="E1613" s="312" t="str">
        <f t="shared" si="100"/>
        <v>LO</v>
      </c>
      <c r="F1613" s="369">
        <f>VLOOKUP(C1613,METADATA!$A$5:$H$29,IF(E1613="HI",2,IF(E1613="LO",6,10))+IF(D1613=1,2,IF(D1613=7,1,(IF(WEEKDAY(B1613)=1,2,IF(WEEKDAY(B1613)=7,1,0))))))</f>
        <v>3</v>
      </c>
      <c r="G1613" s="369">
        <f>VLOOKUP(C1613,METADATA!$J$5:$Q$29,IF(E1613="HI",2,IF(E1613="LO",6,10))+IF(D1613=1,2,IF(D1613=7,1,(IF(WEEKDAY(B1613)=1,2,IF(WEEKDAY(B1613)=7,1,0))))))</f>
        <v>3</v>
      </c>
      <c r="H1613" s="370">
        <v>12465.099853515625</v>
      </c>
      <c r="I1613" s="370">
        <v>1655.7125473022461</v>
      </c>
      <c r="M1613" s="371">
        <f t="shared" si="101"/>
        <v>12574.581440247201</v>
      </c>
      <c r="N1613" s="329">
        <f t="shared" si="102"/>
        <v>0</v>
      </c>
      <c r="T1613" s="331">
        <v>0</v>
      </c>
      <c r="U1613" s="328">
        <f>VLOOKUP(C1613,METADATA!$J$5:$Q$29,IF(E1613="HI",2,IF(E1613="LO",6,10))+IF(T1613=1,2,IF(D1613=7,1,(IF(WEEKDAY(B1613)=1,2,IF(WEEKDAY(B1613)=7,1,0))))))</f>
        <v>3</v>
      </c>
      <c r="V1613" s="328">
        <f>VLOOKUP(C1613,METADATA!$A$5:$H$29,IF(E1613="HI",2,IF(E1613="LO",6,10))+IF(T1613=1,2,IF(D1613=7,1,(IF(WEEKDAY(B1613)=1,2,IF(WEEKDAY(B1613)=7,1,0))))))</f>
        <v>3</v>
      </c>
    </row>
    <row r="1614" spans="2:22">
      <c r="B1614" s="318">
        <f t="shared" si="99"/>
        <v>46180</v>
      </c>
      <c r="C1614" s="312">
        <v>2</v>
      </c>
      <c r="D1614" s="368">
        <f>IFERROR((INDEX(METADATA!$T$2:$T$20,MATCH(B1614,METADATA!$S$2:$S$20,0))),0)</f>
        <v>0</v>
      </c>
      <c r="E1614" s="312" t="str">
        <f t="shared" si="100"/>
        <v>LO</v>
      </c>
      <c r="F1614" s="369">
        <f>VLOOKUP(C1614,METADATA!$A$5:$H$29,IF(E1614="HI",2,IF(E1614="LO",6,10))+IF(D1614=1,2,IF(D1614=7,1,(IF(WEEKDAY(B1614)=1,2,IF(WEEKDAY(B1614)=7,1,0))))))</f>
        <v>3</v>
      </c>
      <c r="G1614" s="369">
        <f>VLOOKUP(C1614,METADATA!$J$5:$Q$29,IF(E1614="HI",2,IF(E1614="LO",6,10))+IF(D1614=1,2,IF(D1614=7,1,(IF(WEEKDAY(B1614)=1,2,IF(WEEKDAY(B1614)=7,1,0))))))</f>
        <v>3</v>
      </c>
      <c r="H1614" s="370">
        <v>12402.042602539063</v>
      </c>
      <c r="I1614" s="370">
        <v>1664.3995361328125</v>
      </c>
      <c r="M1614" s="371">
        <f t="shared" si="101"/>
        <v>12513.228461555114</v>
      </c>
      <c r="N1614" s="329">
        <f t="shared" si="102"/>
        <v>0</v>
      </c>
      <c r="T1614" s="331">
        <v>0</v>
      </c>
      <c r="U1614" s="328">
        <f>VLOOKUP(C1614,METADATA!$J$5:$Q$29,IF(E1614="HI",2,IF(E1614="LO",6,10))+IF(T1614=1,2,IF(D1614=7,1,(IF(WEEKDAY(B1614)=1,2,IF(WEEKDAY(B1614)=7,1,0))))))</f>
        <v>3</v>
      </c>
      <c r="V1614" s="328">
        <f>VLOOKUP(C1614,METADATA!$A$5:$H$29,IF(E1614="HI",2,IF(E1614="LO",6,10))+IF(T1614=1,2,IF(D1614=7,1,(IF(WEEKDAY(B1614)=1,2,IF(WEEKDAY(B1614)=7,1,0))))))</f>
        <v>3</v>
      </c>
    </row>
    <row r="1615" spans="2:22">
      <c r="B1615" s="318">
        <f t="shared" si="99"/>
        <v>46180</v>
      </c>
      <c r="C1615" s="312">
        <v>3</v>
      </c>
      <c r="D1615" s="368">
        <f>IFERROR((INDEX(METADATA!$T$2:$T$20,MATCH(B1615,METADATA!$S$2:$S$20,0))),0)</f>
        <v>0</v>
      </c>
      <c r="E1615" s="312" t="str">
        <f t="shared" si="100"/>
        <v>LO</v>
      </c>
      <c r="F1615" s="369">
        <f>VLOOKUP(C1615,METADATA!$A$5:$H$29,IF(E1615="HI",2,IF(E1615="LO",6,10))+IF(D1615=1,2,IF(D1615=7,1,(IF(WEEKDAY(B1615)=1,2,IF(WEEKDAY(B1615)=7,1,0))))))</f>
        <v>3</v>
      </c>
      <c r="G1615" s="369">
        <f>VLOOKUP(C1615,METADATA!$J$5:$Q$29,IF(E1615="HI",2,IF(E1615="LO",6,10))+IF(D1615=1,2,IF(D1615=7,1,(IF(WEEKDAY(B1615)=1,2,IF(WEEKDAY(B1615)=7,1,0))))))</f>
        <v>3</v>
      </c>
      <c r="H1615" s="370">
        <v>12365.824768066406</v>
      </c>
      <c r="I1615" s="370">
        <v>1591.9450073242188</v>
      </c>
      <c r="M1615" s="371">
        <f t="shared" si="101"/>
        <v>12467.875163830808</v>
      </c>
      <c r="N1615" s="329">
        <f t="shared" si="102"/>
        <v>0</v>
      </c>
      <c r="T1615" s="331">
        <v>0</v>
      </c>
      <c r="U1615" s="328">
        <f>VLOOKUP(C1615,METADATA!$J$5:$Q$29,IF(E1615="HI",2,IF(E1615="LO",6,10))+IF(T1615=1,2,IF(D1615=7,1,(IF(WEEKDAY(B1615)=1,2,IF(WEEKDAY(B1615)=7,1,0))))))</f>
        <v>3</v>
      </c>
      <c r="V1615" s="328">
        <f>VLOOKUP(C1615,METADATA!$A$5:$H$29,IF(E1615="HI",2,IF(E1615="LO",6,10))+IF(T1615=1,2,IF(D1615=7,1,(IF(WEEKDAY(B1615)=1,2,IF(WEEKDAY(B1615)=7,1,0))))))</f>
        <v>3</v>
      </c>
    </row>
    <row r="1616" spans="2:22">
      <c r="B1616" s="318">
        <f t="shared" si="99"/>
        <v>46180</v>
      </c>
      <c r="C1616" s="312">
        <v>4</v>
      </c>
      <c r="D1616" s="368">
        <f>IFERROR((INDEX(METADATA!$T$2:$T$20,MATCH(B1616,METADATA!$S$2:$S$20,0))),0)</f>
        <v>0</v>
      </c>
      <c r="E1616" s="312" t="str">
        <f t="shared" si="100"/>
        <v>LO</v>
      </c>
      <c r="F1616" s="369">
        <f>VLOOKUP(C1616,METADATA!$A$5:$H$29,IF(E1616="HI",2,IF(E1616="LO",6,10))+IF(D1616=1,2,IF(D1616=7,1,(IF(WEEKDAY(B1616)=1,2,IF(WEEKDAY(B1616)=7,1,0))))))</f>
        <v>3</v>
      </c>
      <c r="G1616" s="369">
        <f>VLOOKUP(C1616,METADATA!$J$5:$Q$29,IF(E1616="HI",2,IF(E1616="LO",6,10))+IF(D1616=1,2,IF(D1616=7,1,(IF(WEEKDAY(B1616)=1,2,IF(WEEKDAY(B1616)=7,1,0))))))</f>
        <v>3</v>
      </c>
      <c r="H1616" s="370">
        <v>12322.724792480469</v>
      </c>
      <c r="I1616" s="370">
        <v>1584.8150100708008</v>
      </c>
      <c r="M1616" s="371">
        <f t="shared" si="101"/>
        <v>12424.217678685387</v>
      </c>
      <c r="N1616" s="329">
        <f t="shared" si="102"/>
        <v>0</v>
      </c>
      <c r="T1616" s="331">
        <v>0</v>
      </c>
      <c r="U1616" s="328">
        <f>VLOOKUP(C1616,METADATA!$J$5:$Q$29,IF(E1616="HI",2,IF(E1616="LO",6,10))+IF(T1616=1,2,IF(D1616=7,1,(IF(WEEKDAY(B1616)=1,2,IF(WEEKDAY(B1616)=7,1,0))))))</f>
        <v>3</v>
      </c>
      <c r="V1616" s="328">
        <f>VLOOKUP(C1616,METADATA!$A$5:$H$29,IF(E1616="HI",2,IF(E1616="LO",6,10))+IF(T1616=1,2,IF(D1616=7,1,(IF(WEEKDAY(B1616)=1,2,IF(WEEKDAY(B1616)=7,1,0))))))</f>
        <v>3</v>
      </c>
    </row>
    <row r="1617" spans="2:22">
      <c r="B1617" s="318">
        <f t="shared" si="99"/>
        <v>46180</v>
      </c>
      <c r="C1617" s="312">
        <v>5</v>
      </c>
      <c r="D1617" s="368">
        <f>IFERROR((INDEX(METADATA!$T$2:$T$20,MATCH(B1617,METADATA!$S$2:$S$20,0))),0)</f>
        <v>0</v>
      </c>
      <c r="E1617" s="312" t="str">
        <f t="shared" si="100"/>
        <v>LO</v>
      </c>
      <c r="F1617" s="369">
        <f>VLOOKUP(C1617,METADATA!$A$5:$H$29,IF(E1617="HI",2,IF(E1617="LO",6,10))+IF(D1617=1,2,IF(D1617=7,1,(IF(WEEKDAY(B1617)=1,2,IF(WEEKDAY(B1617)=7,1,0))))))</f>
        <v>3</v>
      </c>
      <c r="G1617" s="369">
        <f>VLOOKUP(C1617,METADATA!$J$5:$Q$29,IF(E1617="HI",2,IF(E1617="LO",6,10))+IF(D1617=1,2,IF(D1617=7,1,(IF(WEEKDAY(B1617)=1,2,IF(WEEKDAY(B1617)=7,1,0))))))</f>
        <v>3</v>
      </c>
      <c r="H1617" s="370">
        <v>12525.699890136719</v>
      </c>
      <c r="I1617" s="370">
        <v>1662.0000228881836</v>
      </c>
      <c r="M1617" s="371">
        <f t="shared" si="101"/>
        <v>12635.481859187299</v>
      </c>
      <c r="N1617" s="329">
        <f t="shared" si="102"/>
        <v>0</v>
      </c>
      <c r="T1617" s="331">
        <v>0</v>
      </c>
      <c r="U1617" s="328">
        <f>VLOOKUP(C1617,METADATA!$J$5:$Q$29,IF(E1617="HI",2,IF(E1617="LO",6,10))+IF(T1617=1,2,IF(D1617=7,1,(IF(WEEKDAY(B1617)=1,2,IF(WEEKDAY(B1617)=7,1,0))))))</f>
        <v>3</v>
      </c>
      <c r="V1617" s="328">
        <f>VLOOKUP(C1617,METADATA!$A$5:$H$29,IF(E1617="HI",2,IF(E1617="LO",6,10))+IF(T1617=1,2,IF(D1617=7,1,(IF(WEEKDAY(B1617)=1,2,IF(WEEKDAY(B1617)=7,1,0))))))</f>
        <v>3</v>
      </c>
    </row>
    <row r="1618" spans="2:22">
      <c r="B1618" s="318">
        <f t="shared" si="99"/>
        <v>46180</v>
      </c>
      <c r="C1618" s="312">
        <v>6</v>
      </c>
      <c r="D1618" s="368">
        <f>IFERROR((INDEX(METADATA!$T$2:$T$20,MATCH(B1618,METADATA!$S$2:$S$20,0))),0)</f>
        <v>0</v>
      </c>
      <c r="E1618" s="312" t="str">
        <f t="shared" si="100"/>
        <v>LO</v>
      </c>
      <c r="F1618" s="369">
        <f>VLOOKUP(C1618,METADATA!$A$5:$H$29,IF(E1618="HI",2,IF(E1618="LO",6,10))+IF(D1618=1,2,IF(D1618=7,1,(IF(WEEKDAY(B1618)=1,2,IF(WEEKDAY(B1618)=7,1,0))))))</f>
        <v>3</v>
      </c>
      <c r="G1618" s="369">
        <f>VLOOKUP(C1618,METADATA!$J$5:$Q$29,IF(E1618="HI",2,IF(E1618="LO",6,10))+IF(D1618=1,2,IF(D1618=7,1,(IF(WEEKDAY(B1618)=1,2,IF(WEEKDAY(B1618)=7,1,0))))))</f>
        <v>3</v>
      </c>
      <c r="H1618" s="370">
        <v>12673.000305175781</v>
      </c>
      <c r="I1618" s="370">
        <v>1784.7600250244141</v>
      </c>
      <c r="M1618" s="371">
        <f t="shared" si="101"/>
        <v>12798.058645041074</v>
      </c>
      <c r="N1618" s="329">
        <f t="shared" si="102"/>
        <v>0</v>
      </c>
      <c r="T1618" s="331">
        <v>0</v>
      </c>
      <c r="U1618" s="328">
        <f>VLOOKUP(C1618,METADATA!$J$5:$Q$29,IF(E1618="HI",2,IF(E1618="LO",6,10))+IF(T1618=1,2,IF(D1618=7,1,(IF(WEEKDAY(B1618)=1,2,IF(WEEKDAY(B1618)=7,1,0))))))</f>
        <v>3</v>
      </c>
      <c r="V1618" s="328">
        <f>VLOOKUP(C1618,METADATA!$A$5:$H$29,IF(E1618="HI",2,IF(E1618="LO",6,10))+IF(T1618=1,2,IF(D1618=7,1,(IF(WEEKDAY(B1618)=1,2,IF(WEEKDAY(B1618)=7,1,0))))))</f>
        <v>3</v>
      </c>
    </row>
    <row r="1619" spans="2:22">
      <c r="B1619" s="318">
        <f t="shared" si="99"/>
        <v>46180</v>
      </c>
      <c r="C1619" s="312">
        <v>7</v>
      </c>
      <c r="D1619" s="368">
        <f>IFERROR((INDEX(METADATA!$T$2:$T$20,MATCH(B1619,METADATA!$S$2:$S$20,0))),0)</f>
        <v>0</v>
      </c>
      <c r="E1619" s="312" t="str">
        <f t="shared" si="100"/>
        <v>LO</v>
      </c>
      <c r="F1619" s="369">
        <f>VLOOKUP(C1619,METADATA!$A$5:$H$29,IF(E1619="HI",2,IF(E1619="LO",6,10))+IF(D1619=1,2,IF(D1619=7,1,(IF(WEEKDAY(B1619)=1,2,IF(WEEKDAY(B1619)=7,1,0))))))</f>
        <v>3</v>
      </c>
      <c r="G1619" s="369">
        <f>VLOOKUP(C1619,METADATA!$J$5:$Q$29,IF(E1619="HI",2,IF(E1619="LO",6,10))+IF(D1619=1,2,IF(D1619=7,1,(IF(WEEKDAY(B1619)=1,2,IF(WEEKDAY(B1619)=7,1,0))))))</f>
        <v>3</v>
      </c>
      <c r="H1619" s="370">
        <v>11340.332183837891</v>
      </c>
      <c r="I1619" s="370">
        <v>1577.2820243835449</v>
      </c>
      <c r="M1619" s="371">
        <f t="shared" si="101"/>
        <v>11449.495736679102</v>
      </c>
      <c r="N1619" s="329">
        <f t="shared" si="102"/>
        <v>0</v>
      </c>
      <c r="T1619" s="331">
        <v>0</v>
      </c>
      <c r="U1619" s="328">
        <f>VLOOKUP(C1619,METADATA!$J$5:$Q$29,IF(E1619="HI",2,IF(E1619="LO",6,10))+IF(T1619=1,2,IF(D1619=7,1,(IF(WEEKDAY(B1619)=1,2,IF(WEEKDAY(B1619)=7,1,0))))))</f>
        <v>3</v>
      </c>
      <c r="V1619" s="328">
        <f>VLOOKUP(C1619,METADATA!$A$5:$H$29,IF(E1619="HI",2,IF(E1619="LO",6,10))+IF(T1619=1,2,IF(D1619=7,1,(IF(WEEKDAY(B1619)=1,2,IF(WEEKDAY(B1619)=7,1,0))))))</f>
        <v>3</v>
      </c>
    </row>
    <row r="1620" spans="2:22">
      <c r="B1620" s="318">
        <f t="shared" si="99"/>
        <v>46180</v>
      </c>
      <c r="C1620" s="312">
        <v>8</v>
      </c>
      <c r="D1620" s="368">
        <f>IFERROR((INDEX(METADATA!$T$2:$T$20,MATCH(B1620,METADATA!$S$2:$S$20,0))),0)</f>
        <v>0</v>
      </c>
      <c r="E1620" s="312" t="str">
        <f t="shared" si="100"/>
        <v>LO</v>
      </c>
      <c r="F1620" s="369">
        <f>VLOOKUP(C1620,METADATA!$A$5:$H$29,IF(E1620="HI",2,IF(E1620="LO",6,10))+IF(D1620=1,2,IF(D1620=7,1,(IF(WEEKDAY(B1620)=1,2,IF(WEEKDAY(B1620)=7,1,0))))))</f>
        <v>3</v>
      </c>
      <c r="G1620" s="369">
        <f>VLOOKUP(C1620,METADATA!$J$5:$Q$29,IF(E1620="HI",2,IF(E1620="LO",6,10))+IF(D1620=1,2,IF(D1620=7,1,(IF(WEEKDAY(B1620)=1,2,IF(WEEKDAY(B1620)=7,1,0))))))</f>
        <v>3</v>
      </c>
      <c r="H1620" s="370">
        <v>7443.63232421875</v>
      </c>
      <c r="I1620" s="370">
        <v>405.83999633789063</v>
      </c>
      <c r="M1620" s="371">
        <f t="shared" si="101"/>
        <v>7454.6876715783183</v>
      </c>
      <c r="N1620" s="329">
        <f t="shared" si="102"/>
        <v>0</v>
      </c>
      <c r="T1620" s="331">
        <v>0</v>
      </c>
      <c r="U1620" s="328">
        <f>VLOOKUP(C1620,METADATA!$J$5:$Q$29,IF(E1620="HI",2,IF(E1620="LO",6,10))+IF(T1620=1,2,IF(D1620=7,1,(IF(WEEKDAY(B1620)=1,2,IF(WEEKDAY(B1620)=7,1,0))))))</f>
        <v>3</v>
      </c>
      <c r="V1620" s="328">
        <f>VLOOKUP(C1620,METADATA!$A$5:$H$29,IF(E1620="HI",2,IF(E1620="LO",6,10))+IF(T1620=1,2,IF(D1620=7,1,(IF(WEEKDAY(B1620)=1,2,IF(WEEKDAY(B1620)=7,1,0))))))</f>
        <v>3</v>
      </c>
    </row>
    <row r="1621" spans="2:22">
      <c r="B1621" s="318">
        <f t="shared" si="99"/>
        <v>46180</v>
      </c>
      <c r="C1621" s="312">
        <v>9</v>
      </c>
      <c r="D1621" s="368">
        <f>IFERROR((INDEX(METADATA!$T$2:$T$20,MATCH(B1621,METADATA!$S$2:$S$20,0))),0)</f>
        <v>0</v>
      </c>
      <c r="E1621" s="312" t="str">
        <f t="shared" si="100"/>
        <v>LO</v>
      </c>
      <c r="F1621" s="369">
        <f>VLOOKUP(C1621,METADATA!$A$5:$H$29,IF(E1621="HI",2,IF(E1621="LO",6,10))+IF(D1621=1,2,IF(D1621=7,1,(IF(WEEKDAY(B1621)=1,2,IF(WEEKDAY(B1621)=7,1,0))))))</f>
        <v>3</v>
      </c>
      <c r="G1621" s="369">
        <f>VLOOKUP(C1621,METADATA!$J$5:$Q$29,IF(E1621="HI",2,IF(E1621="LO",6,10))+IF(D1621=1,2,IF(D1621=7,1,(IF(WEEKDAY(B1621)=1,2,IF(WEEKDAY(B1621)=7,1,0))))))</f>
        <v>3</v>
      </c>
      <c r="H1621" s="370">
        <v>5387.8524169921875</v>
      </c>
      <c r="I1621" s="370">
        <v>0</v>
      </c>
      <c r="M1621" s="371">
        <f t="shared" si="101"/>
        <v>5387.8524169921875</v>
      </c>
      <c r="N1621" s="329">
        <f t="shared" si="102"/>
        <v>0</v>
      </c>
      <c r="T1621" s="331">
        <v>0</v>
      </c>
      <c r="U1621" s="328">
        <f>VLOOKUP(C1621,METADATA!$J$5:$Q$29,IF(E1621="HI",2,IF(E1621="LO",6,10))+IF(T1621=1,2,IF(D1621=7,1,(IF(WEEKDAY(B1621)=1,2,IF(WEEKDAY(B1621)=7,1,0))))))</f>
        <v>3</v>
      </c>
      <c r="V1621" s="328">
        <f>VLOOKUP(C1621,METADATA!$A$5:$H$29,IF(E1621="HI",2,IF(E1621="LO",6,10))+IF(T1621=1,2,IF(D1621=7,1,(IF(WEEKDAY(B1621)=1,2,IF(WEEKDAY(B1621)=7,1,0))))))</f>
        <v>3</v>
      </c>
    </row>
    <row r="1622" spans="2:22">
      <c r="B1622" s="318">
        <f t="shared" si="99"/>
        <v>46180</v>
      </c>
      <c r="C1622" s="312">
        <v>10</v>
      </c>
      <c r="D1622" s="368">
        <f>IFERROR((INDEX(METADATA!$T$2:$T$20,MATCH(B1622,METADATA!$S$2:$S$20,0))),0)</f>
        <v>0</v>
      </c>
      <c r="E1622" s="312" t="str">
        <f t="shared" si="100"/>
        <v>LO</v>
      </c>
      <c r="F1622" s="369">
        <f>VLOOKUP(C1622,METADATA!$A$5:$H$29,IF(E1622="HI",2,IF(E1622="LO",6,10))+IF(D1622=1,2,IF(D1622=7,1,(IF(WEEKDAY(B1622)=1,2,IF(WEEKDAY(B1622)=7,1,0))))))</f>
        <v>3</v>
      </c>
      <c r="G1622" s="369">
        <f>VLOOKUP(C1622,METADATA!$J$5:$Q$29,IF(E1622="HI",2,IF(E1622="LO",6,10))+IF(D1622=1,2,IF(D1622=7,1,(IF(WEEKDAY(B1622)=1,2,IF(WEEKDAY(B1622)=7,1,0))))))</f>
        <v>3</v>
      </c>
      <c r="H1622" s="370">
        <v>4950.0075988769531</v>
      </c>
      <c r="I1622" s="370">
        <v>0</v>
      </c>
      <c r="M1622" s="371">
        <f t="shared" si="101"/>
        <v>4950.0075988769531</v>
      </c>
      <c r="N1622" s="329">
        <f t="shared" si="102"/>
        <v>0</v>
      </c>
      <c r="T1622" s="331">
        <v>0</v>
      </c>
      <c r="U1622" s="328">
        <f>VLOOKUP(C1622,METADATA!$J$5:$Q$29,IF(E1622="HI",2,IF(E1622="LO",6,10))+IF(T1622=1,2,IF(D1622=7,1,(IF(WEEKDAY(B1622)=1,2,IF(WEEKDAY(B1622)=7,1,0))))))</f>
        <v>3</v>
      </c>
      <c r="V1622" s="328">
        <f>VLOOKUP(C1622,METADATA!$A$5:$H$29,IF(E1622="HI",2,IF(E1622="LO",6,10))+IF(T1622=1,2,IF(D1622=7,1,(IF(WEEKDAY(B1622)=1,2,IF(WEEKDAY(B1622)=7,1,0))))))</f>
        <v>3</v>
      </c>
    </row>
    <row r="1623" spans="2:22">
      <c r="B1623" s="318">
        <f t="shared" si="99"/>
        <v>46180</v>
      </c>
      <c r="C1623" s="312">
        <v>11</v>
      </c>
      <c r="D1623" s="368">
        <f>IFERROR((INDEX(METADATA!$T$2:$T$20,MATCH(B1623,METADATA!$S$2:$S$20,0))),0)</f>
        <v>0</v>
      </c>
      <c r="E1623" s="312" t="str">
        <f t="shared" si="100"/>
        <v>LO</v>
      </c>
      <c r="F1623" s="369">
        <f>VLOOKUP(C1623,METADATA!$A$5:$H$29,IF(E1623="HI",2,IF(E1623="LO",6,10))+IF(D1623=1,2,IF(D1623=7,1,(IF(WEEKDAY(B1623)=1,2,IF(WEEKDAY(B1623)=7,1,0))))))</f>
        <v>3</v>
      </c>
      <c r="G1623" s="369">
        <f>VLOOKUP(C1623,METADATA!$J$5:$Q$29,IF(E1623="HI",2,IF(E1623="LO",6,10))+IF(D1623=1,2,IF(D1623=7,1,(IF(WEEKDAY(B1623)=1,2,IF(WEEKDAY(B1623)=7,1,0))))))</f>
        <v>3</v>
      </c>
      <c r="H1623" s="370">
        <v>4996.3401184082031</v>
      </c>
      <c r="I1623" s="370">
        <v>0</v>
      </c>
      <c r="M1623" s="371">
        <f t="shared" si="101"/>
        <v>4996.3401184082031</v>
      </c>
      <c r="N1623" s="329">
        <f t="shared" si="102"/>
        <v>0</v>
      </c>
      <c r="T1623" s="331">
        <v>0</v>
      </c>
      <c r="U1623" s="328">
        <f>VLOOKUP(C1623,METADATA!$J$5:$Q$29,IF(E1623="HI",2,IF(E1623="LO",6,10))+IF(T1623=1,2,IF(D1623=7,1,(IF(WEEKDAY(B1623)=1,2,IF(WEEKDAY(B1623)=7,1,0))))))</f>
        <v>3</v>
      </c>
      <c r="V1623" s="328">
        <f>VLOOKUP(C1623,METADATA!$A$5:$H$29,IF(E1623="HI",2,IF(E1623="LO",6,10))+IF(T1623=1,2,IF(D1623=7,1,(IF(WEEKDAY(B1623)=1,2,IF(WEEKDAY(B1623)=7,1,0))))))</f>
        <v>3</v>
      </c>
    </row>
    <row r="1624" spans="2:22">
      <c r="B1624" s="318">
        <f t="shared" si="99"/>
        <v>46180</v>
      </c>
      <c r="C1624" s="312">
        <v>12</v>
      </c>
      <c r="D1624" s="368">
        <f>IFERROR((INDEX(METADATA!$T$2:$T$20,MATCH(B1624,METADATA!$S$2:$S$20,0))),0)</f>
        <v>0</v>
      </c>
      <c r="E1624" s="312" t="str">
        <f t="shared" si="100"/>
        <v>LO</v>
      </c>
      <c r="F1624" s="369">
        <f>VLOOKUP(C1624,METADATA!$A$5:$H$29,IF(E1624="HI",2,IF(E1624="LO",6,10))+IF(D1624=1,2,IF(D1624=7,1,(IF(WEEKDAY(B1624)=1,2,IF(WEEKDAY(B1624)=7,1,0))))))</f>
        <v>3</v>
      </c>
      <c r="G1624" s="369">
        <f>VLOOKUP(C1624,METADATA!$J$5:$Q$29,IF(E1624="HI",2,IF(E1624="LO",6,10))+IF(D1624=1,2,IF(D1624=7,1,(IF(WEEKDAY(B1624)=1,2,IF(WEEKDAY(B1624)=7,1,0))))))</f>
        <v>3</v>
      </c>
      <c r="H1624" s="370">
        <v>4559.5974426269531</v>
      </c>
      <c r="I1624" s="370">
        <v>0</v>
      </c>
      <c r="M1624" s="371">
        <f t="shared" si="101"/>
        <v>4559.5974426269531</v>
      </c>
      <c r="N1624" s="329">
        <f t="shared" si="102"/>
        <v>0</v>
      </c>
      <c r="T1624" s="331">
        <v>0</v>
      </c>
      <c r="U1624" s="328">
        <f>VLOOKUP(C1624,METADATA!$J$5:$Q$29,IF(E1624="HI",2,IF(E1624="LO",6,10))+IF(T1624=1,2,IF(D1624=7,1,(IF(WEEKDAY(B1624)=1,2,IF(WEEKDAY(B1624)=7,1,0))))))</f>
        <v>3</v>
      </c>
      <c r="V1624" s="328">
        <f>VLOOKUP(C1624,METADATA!$A$5:$H$29,IF(E1624="HI",2,IF(E1624="LO",6,10))+IF(T1624=1,2,IF(D1624=7,1,(IF(WEEKDAY(B1624)=1,2,IF(WEEKDAY(B1624)=7,1,0))))))</f>
        <v>3</v>
      </c>
    </row>
    <row r="1625" spans="2:22">
      <c r="B1625" s="318">
        <f t="shared" si="99"/>
        <v>46180</v>
      </c>
      <c r="C1625" s="312">
        <v>13</v>
      </c>
      <c r="D1625" s="368">
        <f>IFERROR((INDEX(METADATA!$T$2:$T$20,MATCH(B1625,METADATA!$S$2:$S$20,0))),0)</f>
        <v>0</v>
      </c>
      <c r="E1625" s="312" t="str">
        <f t="shared" si="100"/>
        <v>LO</v>
      </c>
      <c r="F1625" s="369">
        <f>VLOOKUP(C1625,METADATA!$A$5:$H$29,IF(E1625="HI",2,IF(E1625="LO",6,10))+IF(D1625=1,2,IF(D1625=7,1,(IF(WEEKDAY(B1625)=1,2,IF(WEEKDAY(B1625)=7,1,0))))))</f>
        <v>3</v>
      </c>
      <c r="G1625" s="369">
        <f>VLOOKUP(C1625,METADATA!$J$5:$Q$29,IF(E1625="HI",2,IF(E1625="LO",6,10))+IF(D1625=1,2,IF(D1625=7,1,(IF(WEEKDAY(B1625)=1,2,IF(WEEKDAY(B1625)=7,1,0))))))</f>
        <v>3</v>
      </c>
      <c r="H1625" s="370">
        <v>8376.2926330566406</v>
      </c>
      <c r="I1625" s="370">
        <v>611.159987449646</v>
      </c>
      <c r="M1625" s="371">
        <f t="shared" si="101"/>
        <v>8398.5590909904549</v>
      </c>
      <c r="N1625" s="329">
        <f t="shared" si="102"/>
        <v>0</v>
      </c>
      <c r="T1625" s="331">
        <v>0</v>
      </c>
      <c r="U1625" s="328">
        <f>VLOOKUP(C1625,METADATA!$J$5:$Q$29,IF(E1625="HI",2,IF(E1625="LO",6,10))+IF(T1625=1,2,IF(D1625=7,1,(IF(WEEKDAY(B1625)=1,2,IF(WEEKDAY(B1625)=7,1,0))))))</f>
        <v>3</v>
      </c>
      <c r="V1625" s="328">
        <f>VLOOKUP(C1625,METADATA!$A$5:$H$29,IF(E1625="HI",2,IF(E1625="LO",6,10))+IF(T1625=1,2,IF(D1625=7,1,(IF(WEEKDAY(B1625)=1,2,IF(WEEKDAY(B1625)=7,1,0))))))</f>
        <v>3</v>
      </c>
    </row>
    <row r="1626" spans="2:22">
      <c r="B1626" s="318">
        <f t="shared" si="99"/>
        <v>46180</v>
      </c>
      <c r="C1626" s="312">
        <v>14</v>
      </c>
      <c r="D1626" s="368">
        <f>IFERROR((INDEX(METADATA!$T$2:$T$20,MATCH(B1626,METADATA!$S$2:$S$20,0))),0)</f>
        <v>0</v>
      </c>
      <c r="E1626" s="312" t="str">
        <f t="shared" si="100"/>
        <v>LO</v>
      </c>
      <c r="F1626" s="369">
        <f>VLOOKUP(C1626,METADATA!$A$5:$H$29,IF(E1626="HI",2,IF(E1626="LO",6,10))+IF(D1626=1,2,IF(D1626=7,1,(IF(WEEKDAY(B1626)=1,2,IF(WEEKDAY(B1626)=7,1,0))))))</f>
        <v>3</v>
      </c>
      <c r="G1626" s="369">
        <f>VLOOKUP(C1626,METADATA!$J$5:$Q$29,IF(E1626="HI",2,IF(E1626="LO",6,10))+IF(D1626=1,2,IF(D1626=7,1,(IF(WEEKDAY(B1626)=1,2,IF(WEEKDAY(B1626)=7,1,0))))))</f>
        <v>3</v>
      </c>
      <c r="H1626" s="370">
        <v>10030.09765625</v>
      </c>
      <c r="I1626" s="370">
        <v>1067.1600341796875</v>
      </c>
      <c r="M1626" s="371">
        <f t="shared" si="101"/>
        <v>10086.708557922258</v>
      </c>
      <c r="N1626" s="329">
        <f t="shared" si="102"/>
        <v>0</v>
      </c>
      <c r="T1626" s="331">
        <v>0</v>
      </c>
      <c r="U1626" s="328">
        <f>VLOOKUP(C1626,METADATA!$J$5:$Q$29,IF(E1626="HI",2,IF(E1626="LO",6,10))+IF(T1626=1,2,IF(D1626=7,1,(IF(WEEKDAY(B1626)=1,2,IF(WEEKDAY(B1626)=7,1,0))))))</f>
        <v>3</v>
      </c>
      <c r="V1626" s="328">
        <f>VLOOKUP(C1626,METADATA!$A$5:$H$29,IF(E1626="HI",2,IF(E1626="LO",6,10))+IF(T1626=1,2,IF(D1626=7,1,(IF(WEEKDAY(B1626)=1,2,IF(WEEKDAY(B1626)=7,1,0))))))</f>
        <v>3</v>
      </c>
    </row>
    <row r="1627" spans="2:22">
      <c r="B1627" s="318">
        <f t="shared" si="99"/>
        <v>46180</v>
      </c>
      <c r="C1627" s="312">
        <v>15</v>
      </c>
      <c r="D1627" s="368">
        <f>IFERROR((INDEX(METADATA!$T$2:$T$20,MATCH(B1627,METADATA!$S$2:$S$20,0))),0)</f>
        <v>0</v>
      </c>
      <c r="E1627" s="312" t="str">
        <f t="shared" si="100"/>
        <v>LO</v>
      </c>
      <c r="F1627" s="369">
        <f>VLOOKUP(C1627,METADATA!$A$5:$H$29,IF(E1627="HI",2,IF(E1627="LO",6,10))+IF(D1627=1,2,IF(D1627=7,1,(IF(WEEKDAY(B1627)=1,2,IF(WEEKDAY(B1627)=7,1,0))))))</f>
        <v>3</v>
      </c>
      <c r="G1627" s="369">
        <f>VLOOKUP(C1627,METADATA!$J$5:$Q$29,IF(E1627="HI",2,IF(E1627="LO",6,10))+IF(D1627=1,2,IF(D1627=7,1,(IF(WEEKDAY(B1627)=1,2,IF(WEEKDAY(B1627)=7,1,0))))))</f>
        <v>3</v>
      </c>
      <c r="H1627" s="370">
        <v>9717.4174194335938</v>
      </c>
      <c r="I1627" s="370">
        <v>660</v>
      </c>
      <c r="M1627" s="371">
        <f t="shared" si="101"/>
        <v>9739.804993094649</v>
      </c>
      <c r="N1627" s="329">
        <f t="shared" si="102"/>
        <v>0</v>
      </c>
      <c r="T1627" s="331">
        <v>0</v>
      </c>
      <c r="U1627" s="328">
        <f>VLOOKUP(C1627,METADATA!$J$5:$Q$29,IF(E1627="HI",2,IF(E1627="LO",6,10))+IF(T1627=1,2,IF(D1627=7,1,(IF(WEEKDAY(B1627)=1,2,IF(WEEKDAY(B1627)=7,1,0))))))</f>
        <v>3</v>
      </c>
      <c r="V1627" s="328">
        <f>VLOOKUP(C1627,METADATA!$A$5:$H$29,IF(E1627="HI",2,IF(E1627="LO",6,10))+IF(T1627=1,2,IF(D1627=7,1,(IF(WEEKDAY(B1627)=1,2,IF(WEEKDAY(B1627)=7,1,0))))))</f>
        <v>3</v>
      </c>
    </row>
    <row r="1628" spans="2:22">
      <c r="B1628" s="318">
        <f t="shared" ref="B1628:B1691" si="103">B1604+1</f>
        <v>46180</v>
      </c>
      <c r="C1628" s="312">
        <v>16</v>
      </c>
      <c r="D1628" s="368">
        <f>IFERROR((INDEX(METADATA!$T$2:$T$20,MATCH(B1628,METADATA!$S$2:$S$20,0))),0)</f>
        <v>0</v>
      </c>
      <c r="E1628" s="312" t="str">
        <f t="shared" si="100"/>
        <v>LO</v>
      </c>
      <c r="F1628" s="369">
        <f>VLOOKUP(C1628,METADATA!$A$5:$H$29,IF(E1628="HI",2,IF(E1628="LO",6,10))+IF(D1628=1,2,IF(D1628=7,1,(IF(WEEKDAY(B1628)=1,2,IF(WEEKDAY(B1628)=7,1,0))))))</f>
        <v>3</v>
      </c>
      <c r="G1628" s="369">
        <f>VLOOKUP(C1628,METADATA!$J$5:$Q$29,IF(E1628="HI",2,IF(E1628="LO",6,10))+IF(D1628=1,2,IF(D1628=7,1,(IF(WEEKDAY(B1628)=1,2,IF(WEEKDAY(B1628)=7,1,0))))))</f>
        <v>3</v>
      </c>
      <c r="H1628" s="370">
        <v>9799.3849487304688</v>
      </c>
      <c r="I1628" s="370">
        <v>696.83999633789063</v>
      </c>
      <c r="M1628" s="371">
        <f t="shared" si="101"/>
        <v>9824.130055831989</v>
      </c>
      <c r="N1628" s="329">
        <f t="shared" si="102"/>
        <v>0</v>
      </c>
      <c r="T1628" s="331">
        <v>0</v>
      </c>
      <c r="U1628" s="328">
        <f>VLOOKUP(C1628,METADATA!$J$5:$Q$29,IF(E1628="HI",2,IF(E1628="LO",6,10))+IF(T1628=1,2,IF(D1628=7,1,(IF(WEEKDAY(B1628)=1,2,IF(WEEKDAY(B1628)=7,1,0))))))</f>
        <v>3</v>
      </c>
      <c r="V1628" s="328">
        <f>VLOOKUP(C1628,METADATA!$A$5:$H$29,IF(E1628="HI",2,IF(E1628="LO",6,10))+IF(T1628=1,2,IF(D1628=7,1,(IF(WEEKDAY(B1628)=1,2,IF(WEEKDAY(B1628)=7,1,0))))))</f>
        <v>3</v>
      </c>
    </row>
    <row r="1629" spans="2:22">
      <c r="B1629" s="318">
        <f t="shared" si="103"/>
        <v>46180</v>
      </c>
      <c r="C1629" s="312">
        <v>17</v>
      </c>
      <c r="D1629" s="368">
        <f>IFERROR((INDEX(METADATA!$T$2:$T$20,MATCH(B1629,METADATA!$S$2:$S$20,0))),0)</f>
        <v>0</v>
      </c>
      <c r="E1629" s="312" t="str">
        <f t="shared" si="100"/>
        <v>LO</v>
      </c>
      <c r="F1629" s="369">
        <f>VLOOKUP(C1629,METADATA!$A$5:$H$29,IF(E1629="HI",2,IF(E1629="LO",6,10))+IF(D1629=1,2,IF(D1629=7,1,(IF(WEEKDAY(B1629)=1,2,IF(WEEKDAY(B1629)=7,1,0))))))</f>
        <v>3</v>
      </c>
      <c r="G1629" s="369">
        <f>VLOOKUP(C1629,METADATA!$J$5:$Q$29,IF(E1629="HI",2,IF(E1629="LO",6,10))+IF(D1629=1,2,IF(D1629=7,1,(IF(WEEKDAY(B1629)=1,2,IF(WEEKDAY(B1629)=7,1,0))))))</f>
        <v>3</v>
      </c>
      <c r="H1629" s="370">
        <v>8782.5150146484375</v>
      </c>
      <c r="I1629" s="370">
        <v>488.27999114990234</v>
      </c>
      <c r="M1629" s="371">
        <f t="shared" si="101"/>
        <v>8796.0779516943003</v>
      </c>
      <c r="N1629" s="329">
        <f t="shared" si="102"/>
        <v>0</v>
      </c>
      <c r="T1629" s="331">
        <v>0</v>
      </c>
      <c r="U1629" s="328">
        <f>VLOOKUP(C1629,METADATA!$J$5:$Q$29,IF(E1629="HI",2,IF(E1629="LO",6,10))+IF(T1629=1,2,IF(D1629=7,1,(IF(WEEKDAY(B1629)=1,2,IF(WEEKDAY(B1629)=7,1,0))))))</f>
        <v>3</v>
      </c>
      <c r="V1629" s="328">
        <f>VLOOKUP(C1629,METADATA!$A$5:$H$29,IF(E1629="HI",2,IF(E1629="LO",6,10))+IF(T1629=1,2,IF(D1629=7,1,(IF(WEEKDAY(B1629)=1,2,IF(WEEKDAY(B1629)=7,1,0))))))</f>
        <v>3</v>
      </c>
    </row>
    <row r="1630" spans="2:22">
      <c r="B1630" s="318">
        <f t="shared" si="103"/>
        <v>46180</v>
      </c>
      <c r="C1630" s="312">
        <v>18</v>
      </c>
      <c r="D1630" s="368">
        <f>IFERROR((INDEX(METADATA!$T$2:$T$20,MATCH(B1630,METADATA!$S$2:$S$20,0))),0)</f>
        <v>0</v>
      </c>
      <c r="E1630" s="312" t="str">
        <f t="shared" si="100"/>
        <v>LO</v>
      </c>
      <c r="F1630" s="369">
        <f>VLOOKUP(C1630,METADATA!$A$5:$H$29,IF(E1630="HI",2,IF(E1630="LO",6,10))+IF(D1630=1,2,IF(D1630=7,1,(IF(WEEKDAY(B1630)=1,2,IF(WEEKDAY(B1630)=7,1,0))))))</f>
        <v>2</v>
      </c>
      <c r="G1630" s="369">
        <f>VLOOKUP(C1630,METADATA!$J$5:$Q$29,IF(E1630="HI",2,IF(E1630="LO",6,10))+IF(D1630=1,2,IF(D1630=7,1,(IF(WEEKDAY(B1630)=1,2,IF(WEEKDAY(B1630)=7,1,0))))))</f>
        <v>2</v>
      </c>
      <c r="H1630" s="370">
        <v>4831.574951171875</v>
      </c>
      <c r="I1630" s="370">
        <v>0</v>
      </c>
      <c r="M1630" s="371">
        <f t="shared" si="101"/>
        <v>4831.574951171875</v>
      </c>
      <c r="N1630" s="329">
        <f t="shared" si="102"/>
        <v>0</v>
      </c>
      <c r="T1630" s="331">
        <v>0</v>
      </c>
      <c r="U1630" s="328">
        <f>VLOOKUP(C1630,METADATA!$J$5:$Q$29,IF(E1630="HI",2,IF(E1630="LO",6,10))+IF(T1630=1,2,IF(D1630=7,1,(IF(WEEKDAY(B1630)=1,2,IF(WEEKDAY(B1630)=7,1,0))))))</f>
        <v>2</v>
      </c>
      <c r="V1630" s="328">
        <f>VLOOKUP(C1630,METADATA!$A$5:$H$29,IF(E1630="HI",2,IF(E1630="LO",6,10))+IF(T1630=1,2,IF(D1630=7,1,(IF(WEEKDAY(B1630)=1,2,IF(WEEKDAY(B1630)=7,1,0))))))</f>
        <v>2</v>
      </c>
    </row>
    <row r="1631" spans="2:22">
      <c r="B1631" s="318">
        <f t="shared" si="103"/>
        <v>46180</v>
      </c>
      <c r="C1631" s="312">
        <v>19</v>
      </c>
      <c r="D1631" s="368">
        <f>IFERROR((INDEX(METADATA!$T$2:$T$20,MATCH(B1631,METADATA!$S$2:$S$20,0))),0)</f>
        <v>0</v>
      </c>
      <c r="E1631" s="312" t="str">
        <f t="shared" si="100"/>
        <v>LO</v>
      </c>
      <c r="F1631" s="369">
        <f>VLOOKUP(C1631,METADATA!$A$5:$H$29,IF(E1631="HI",2,IF(E1631="LO",6,10))+IF(D1631=1,2,IF(D1631=7,1,(IF(WEEKDAY(B1631)=1,2,IF(WEEKDAY(B1631)=7,1,0))))))</f>
        <v>2</v>
      </c>
      <c r="G1631" s="369">
        <f>VLOOKUP(C1631,METADATA!$J$5:$Q$29,IF(E1631="HI",2,IF(E1631="LO",6,10))+IF(D1631=1,2,IF(D1631=7,1,(IF(WEEKDAY(B1631)=1,2,IF(WEEKDAY(B1631)=7,1,0))))))</f>
        <v>2</v>
      </c>
      <c r="H1631" s="370">
        <v>5948.7948303222656</v>
      </c>
      <c r="I1631" s="370">
        <v>0.11999999731779099</v>
      </c>
      <c r="M1631" s="371">
        <f t="shared" si="101"/>
        <v>5948.7948315325948</v>
      </c>
      <c r="N1631" s="329">
        <f t="shared" si="102"/>
        <v>0</v>
      </c>
      <c r="T1631" s="331">
        <v>0</v>
      </c>
      <c r="U1631" s="328">
        <f>VLOOKUP(C1631,METADATA!$J$5:$Q$29,IF(E1631="HI",2,IF(E1631="LO",6,10))+IF(T1631=1,2,IF(D1631=7,1,(IF(WEEKDAY(B1631)=1,2,IF(WEEKDAY(B1631)=7,1,0))))))</f>
        <v>2</v>
      </c>
      <c r="V1631" s="328">
        <f>VLOOKUP(C1631,METADATA!$A$5:$H$29,IF(E1631="HI",2,IF(E1631="LO",6,10))+IF(T1631=1,2,IF(D1631=7,1,(IF(WEEKDAY(B1631)=1,2,IF(WEEKDAY(B1631)=7,1,0))))))</f>
        <v>2</v>
      </c>
    </row>
    <row r="1632" spans="2:22">
      <c r="B1632" s="318">
        <f t="shared" si="103"/>
        <v>46180</v>
      </c>
      <c r="C1632" s="312">
        <v>20</v>
      </c>
      <c r="D1632" s="368">
        <f>IFERROR((INDEX(METADATA!$T$2:$T$20,MATCH(B1632,METADATA!$S$2:$S$20,0))),0)</f>
        <v>0</v>
      </c>
      <c r="E1632" s="312" t="str">
        <f t="shared" si="100"/>
        <v>LO</v>
      </c>
      <c r="F1632" s="369">
        <f>VLOOKUP(C1632,METADATA!$A$5:$H$29,IF(E1632="HI",2,IF(E1632="LO",6,10))+IF(D1632=1,2,IF(D1632=7,1,(IF(WEEKDAY(B1632)=1,2,IF(WEEKDAY(B1632)=7,1,0))))))</f>
        <v>3</v>
      </c>
      <c r="G1632" s="369">
        <f>VLOOKUP(C1632,METADATA!$J$5:$Q$29,IF(E1632="HI",2,IF(E1632="LO",6,10))+IF(D1632=1,2,IF(D1632=7,1,(IF(WEEKDAY(B1632)=1,2,IF(WEEKDAY(B1632)=7,1,0))))))</f>
        <v>3</v>
      </c>
      <c r="H1632" s="370">
        <v>4410.0150756835938</v>
      </c>
      <c r="I1632" s="370">
        <v>0</v>
      </c>
      <c r="M1632" s="371">
        <f t="shared" si="101"/>
        <v>4410.0150756835938</v>
      </c>
      <c r="N1632" s="329">
        <f t="shared" si="102"/>
        <v>0</v>
      </c>
      <c r="T1632" s="331">
        <v>0</v>
      </c>
      <c r="U1632" s="328">
        <f>VLOOKUP(C1632,METADATA!$J$5:$Q$29,IF(E1632="HI",2,IF(E1632="LO",6,10))+IF(T1632=1,2,IF(D1632=7,1,(IF(WEEKDAY(B1632)=1,2,IF(WEEKDAY(B1632)=7,1,0))))))</f>
        <v>3</v>
      </c>
      <c r="V1632" s="328">
        <f>VLOOKUP(C1632,METADATA!$A$5:$H$29,IF(E1632="HI",2,IF(E1632="LO",6,10))+IF(T1632=1,2,IF(D1632=7,1,(IF(WEEKDAY(B1632)=1,2,IF(WEEKDAY(B1632)=7,1,0))))))</f>
        <v>3</v>
      </c>
    </row>
    <row r="1633" spans="2:22">
      <c r="B1633" s="318">
        <f t="shared" si="103"/>
        <v>46180</v>
      </c>
      <c r="C1633" s="312">
        <v>21</v>
      </c>
      <c r="D1633" s="368">
        <f>IFERROR((INDEX(METADATA!$T$2:$T$20,MATCH(B1633,METADATA!$S$2:$S$20,0))),0)</f>
        <v>0</v>
      </c>
      <c r="E1633" s="312" t="str">
        <f t="shared" si="100"/>
        <v>LO</v>
      </c>
      <c r="F1633" s="369">
        <f>VLOOKUP(C1633,METADATA!$A$5:$H$29,IF(E1633="HI",2,IF(E1633="LO",6,10))+IF(D1633=1,2,IF(D1633=7,1,(IF(WEEKDAY(B1633)=1,2,IF(WEEKDAY(B1633)=7,1,0))))))</f>
        <v>3</v>
      </c>
      <c r="G1633" s="369">
        <f>VLOOKUP(C1633,METADATA!$J$5:$Q$29,IF(E1633="HI",2,IF(E1633="LO",6,10))+IF(D1633=1,2,IF(D1633=7,1,(IF(WEEKDAY(B1633)=1,2,IF(WEEKDAY(B1633)=7,1,0))))))</f>
        <v>3</v>
      </c>
      <c r="H1633" s="370">
        <v>4519.3700256347656</v>
      </c>
      <c r="I1633" s="370">
        <v>0</v>
      </c>
      <c r="M1633" s="371">
        <f t="shared" si="101"/>
        <v>4519.3700256347656</v>
      </c>
      <c r="N1633" s="329">
        <f t="shared" si="102"/>
        <v>0</v>
      </c>
      <c r="T1633" s="331">
        <v>0</v>
      </c>
      <c r="U1633" s="328">
        <f>VLOOKUP(C1633,METADATA!$J$5:$Q$29,IF(E1633="HI",2,IF(E1633="LO",6,10))+IF(T1633=1,2,IF(D1633=7,1,(IF(WEEKDAY(B1633)=1,2,IF(WEEKDAY(B1633)=7,1,0))))))</f>
        <v>3</v>
      </c>
      <c r="V1633" s="328">
        <f>VLOOKUP(C1633,METADATA!$A$5:$H$29,IF(E1633="HI",2,IF(E1633="LO",6,10))+IF(T1633=1,2,IF(D1633=7,1,(IF(WEEKDAY(B1633)=1,2,IF(WEEKDAY(B1633)=7,1,0))))))</f>
        <v>3</v>
      </c>
    </row>
    <row r="1634" spans="2:22">
      <c r="B1634" s="318">
        <f t="shared" si="103"/>
        <v>46180</v>
      </c>
      <c r="C1634" s="312">
        <v>22</v>
      </c>
      <c r="D1634" s="368">
        <f>IFERROR((INDEX(METADATA!$T$2:$T$20,MATCH(B1634,METADATA!$S$2:$S$20,0))),0)</f>
        <v>0</v>
      </c>
      <c r="E1634" s="312" t="str">
        <f t="shared" si="100"/>
        <v>LO</v>
      </c>
      <c r="F1634" s="369">
        <f>VLOOKUP(C1634,METADATA!$A$5:$H$29,IF(E1634="HI",2,IF(E1634="LO",6,10))+IF(D1634=1,2,IF(D1634=7,1,(IF(WEEKDAY(B1634)=1,2,IF(WEEKDAY(B1634)=7,1,0))))))</f>
        <v>3</v>
      </c>
      <c r="G1634" s="369">
        <f>VLOOKUP(C1634,METADATA!$J$5:$Q$29,IF(E1634="HI",2,IF(E1634="LO",6,10))+IF(D1634=1,2,IF(D1634=7,1,(IF(WEEKDAY(B1634)=1,2,IF(WEEKDAY(B1634)=7,1,0))))))</f>
        <v>3</v>
      </c>
      <c r="H1634" s="370">
        <v>4528.7349548339844</v>
      </c>
      <c r="I1634" s="370">
        <v>0</v>
      </c>
      <c r="M1634" s="371">
        <f t="shared" si="101"/>
        <v>4528.7349548339844</v>
      </c>
      <c r="N1634" s="329">
        <f t="shared" si="102"/>
        <v>0</v>
      </c>
      <c r="T1634" s="331">
        <v>0</v>
      </c>
      <c r="U1634" s="328">
        <f>VLOOKUP(C1634,METADATA!$J$5:$Q$29,IF(E1634="HI",2,IF(E1634="LO",6,10))+IF(T1634=1,2,IF(D1634=7,1,(IF(WEEKDAY(B1634)=1,2,IF(WEEKDAY(B1634)=7,1,0))))))</f>
        <v>3</v>
      </c>
      <c r="V1634" s="328">
        <f>VLOOKUP(C1634,METADATA!$A$5:$H$29,IF(E1634="HI",2,IF(E1634="LO",6,10))+IF(T1634=1,2,IF(D1634=7,1,(IF(WEEKDAY(B1634)=1,2,IF(WEEKDAY(B1634)=7,1,0))))))</f>
        <v>3</v>
      </c>
    </row>
    <row r="1635" spans="2:22">
      <c r="B1635" s="318">
        <f t="shared" si="103"/>
        <v>46180</v>
      </c>
      <c r="C1635" s="312">
        <v>23</v>
      </c>
      <c r="D1635" s="368">
        <f>IFERROR((INDEX(METADATA!$T$2:$T$20,MATCH(B1635,METADATA!$S$2:$S$20,0))),0)</f>
        <v>0</v>
      </c>
      <c r="E1635" s="312" t="str">
        <f t="shared" si="100"/>
        <v>LO</v>
      </c>
      <c r="F1635" s="369">
        <f>VLOOKUP(C1635,METADATA!$A$5:$H$29,IF(E1635="HI",2,IF(E1635="LO",6,10))+IF(D1635=1,2,IF(D1635=7,1,(IF(WEEKDAY(B1635)=1,2,IF(WEEKDAY(B1635)=7,1,0))))))</f>
        <v>3</v>
      </c>
      <c r="G1635" s="369">
        <f>VLOOKUP(C1635,METADATA!$J$5:$Q$29,IF(E1635="HI",2,IF(E1635="LO",6,10))+IF(D1635=1,2,IF(D1635=7,1,(IF(WEEKDAY(B1635)=1,2,IF(WEEKDAY(B1635)=7,1,0))))))</f>
        <v>3</v>
      </c>
      <c r="H1635" s="370">
        <v>4447.5050659179688</v>
      </c>
      <c r="I1635" s="370">
        <v>0</v>
      </c>
      <c r="M1635" s="371">
        <f t="shared" si="101"/>
        <v>4447.5050659179688</v>
      </c>
      <c r="N1635" s="329">
        <f t="shared" si="102"/>
        <v>0</v>
      </c>
      <c r="T1635" s="331">
        <v>0</v>
      </c>
      <c r="U1635" s="328">
        <f>VLOOKUP(C1635,METADATA!$J$5:$Q$29,IF(E1635="HI",2,IF(E1635="LO",6,10))+IF(T1635=1,2,IF(D1635=7,1,(IF(WEEKDAY(B1635)=1,2,IF(WEEKDAY(B1635)=7,1,0))))))</f>
        <v>3</v>
      </c>
      <c r="V1635" s="328">
        <f>VLOOKUP(C1635,METADATA!$A$5:$H$29,IF(E1635="HI",2,IF(E1635="LO",6,10))+IF(T1635=1,2,IF(D1635=7,1,(IF(WEEKDAY(B1635)=1,2,IF(WEEKDAY(B1635)=7,1,0))))))</f>
        <v>3</v>
      </c>
    </row>
    <row r="1636" spans="2:22">
      <c r="B1636" s="318">
        <f t="shared" si="103"/>
        <v>46181</v>
      </c>
      <c r="C1636" s="312">
        <v>0</v>
      </c>
      <c r="D1636" s="368">
        <f>IFERROR((INDEX(METADATA!$T$2:$T$20,MATCH(B1636,METADATA!$S$2:$S$20,0))),0)</f>
        <v>0</v>
      </c>
      <c r="E1636" s="312" t="str">
        <f t="shared" si="100"/>
        <v>LO</v>
      </c>
      <c r="F1636" s="369">
        <f>VLOOKUP(C1636,METADATA!$A$5:$H$29,IF(E1636="HI",2,IF(E1636="LO",6,10))+IF(D1636=1,2,IF(D1636=7,1,(IF(WEEKDAY(B1636)=1,2,IF(WEEKDAY(B1636)=7,1,0))))))</f>
        <v>3</v>
      </c>
      <c r="G1636" s="369">
        <f>VLOOKUP(C1636,METADATA!$J$5:$Q$29,IF(E1636="HI",2,IF(E1636="LO",6,10))+IF(D1636=1,2,IF(D1636=7,1,(IF(WEEKDAY(B1636)=1,2,IF(WEEKDAY(B1636)=7,1,0))))))</f>
        <v>3</v>
      </c>
      <c r="H1636" s="370">
        <v>4670.2574768066406</v>
      </c>
      <c r="I1636" s="370">
        <v>0</v>
      </c>
      <c r="M1636" s="371">
        <f t="shared" si="101"/>
        <v>4670.2574768066406</v>
      </c>
      <c r="N1636" s="329">
        <f t="shared" si="102"/>
        <v>0</v>
      </c>
      <c r="T1636" s="331">
        <v>0</v>
      </c>
      <c r="U1636" s="328">
        <f>VLOOKUP(C1636,METADATA!$J$5:$Q$29,IF(E1636="HI",2,IF(E1636="LO",6,10))+IF(T1636=1,2,IF(D1636=7,1,(IF(WEEKDAY(B1636)=1,2,IF(WEEKDAY(B1636)=7,1,0))))))</f>
        <v>3</v>
      </c>
      <c r="V1636" s="328">
        <f>VLOOKUP(C1636,METADATA!$A$5:$H$29,IF(E1636="HI",2,IF(E1636="LO",6,10))+IF(T1636=1,2,IF(D1636=7,1,(IF(WEEKDAY(B1636)=1,2,IF(WEEKDAY(B1636)=7,1,0))))))</f>
        <v>3</v>
      </c>
    </row>
    <row r="1637" spans="2:22">
      <c r="B1637" s="318">
        <f t="shared" si="103"/>
        <v>46181</v>
      </c>
      <c r="C1637" s="312">
        <v>1</v>
      </c>
      <c r="D1637" s="368">
        <f>IFERROR((INDEX(METADATA!$T$2:$T$20,MATCH(B1637,METADATA!$S$2:$S$20,0))),0)</f>
        <v>0</v>
      </c>
      <c r="E1637" s="312" t="str">
        <f t="shared" si="100"/>
        <v>LO</v>
      </c>
      <c r="F1637" s="369">
        <f>VLOOKUP(C1637,METADATA!$A$5:$H$29,IF(E1637="HI",2,IF(E1637="LO",6,10))+IF(D1637=1,2,IF(D1637=7,1,(IF(WEEKDAY(B1637)=1,2,IF(WEEKDAY(B1637)=7,1,0))))))</f>
        <v>3</v>
      </c>
      <c r="G1637" s="369">
        <f>VLOOKUP(C1637,METADATA!$J$5:$Q$29,IF(E1637="HI",2,IF(E1637="LO",6,10))+IF(D1637=1,2,IF(D1637=7,1,(IF(WEEKDAY(B1637)=1,2,IF(WEEKDAY(B1637)=7,1,0))))))</f>
        <v>3</v>
      </c>
      <c r="H1637" s="370">
        <v>10562.414459228516</v>
      </c>
      <c r="I1637" s="370">
        <v>1205.8799896240234</v>
      </c>
      <c r="M1637" s="371">
        <f t="shared" si="101"/>
        <v>10631.027502452209</v>
      </c>
      <c r="N1637" s="329">
        <f t="shared" si="102"/>
        <v>0</v>
      </c>
      <c r="T1637" s="331">
        <v>0</v>
      </c>
      <c r="U1637" s="328">
        <f>VLOOKUP(C1637,METADATA!$J$5:$Q$29,IF(E1637="HI",2,IF(E1637="LO",6,10))+IF(T1637=1,2,IF(D1637=7,1,(IF(WEEKDAY(B1637)=1,2,IF(WEEKDAY(B1637)=7,1,0))))))</f>
        <v>3</v>
      </c>
      <c r="V1637" s="328">
        <f>VLOOKUP(C1637,METADATA!$A$5:$H$29,IF(E1637="HI",2,IF(E1637="LO",6,10))+IF(T1637=1,2,IF(D1637=7,1,(IF(WEEKDAY(B1637)=1,2,IF(WEEKDAY(B1637)=7,1,0))))))</f>
        <v>3</v>
      </c>
    </row>
    <row r="1638" spans="2:22">
      <c r="B1638" s="318">
        <f t="shared" si="103"/>
        <v>46181</v>
      </c>
      <c r="C1638" s="312">
        <v>2</v>
      </c>
      <c r="D1638" s="368">
        <f>IFERROR((INDEX(METADATA!$T$2:$T$20,MATCH(B1638,METADATA!$S$2:$S$20,0))),0)</f>
        <v>0</v>
      </c>
      <c r="E1638" s="312" t="str">
        <f t="shared" si="100"/>
        <v>LO</v>
      </c>
      <c r="F1638" s="369">
        <f>VLOOKUP(C1638,METADATA!$A$5:$H$29,IF(E1638="HI",2,IF(E1638="LO",6,10))+IF(D1638=1,2,IF(D1638=7,1,(IF(WEEKDAY(B1638)=1,2,IF(WEEKDAY(B1638)=7,1,0))))))</f>
        <v>3</v>
      </c>
      <c r="G1638" s="369">
        <f>VLOOKUP(C1638,METADATA!$J$5:$Q$29,IF(E1638="HI",2,IF(E1638="LO",6,10))+IF(D1638=1,2,IF(D1638=7,1,(IF(WEEKDAY(B1638)=1,2,IF(WEEKDAY(B1638)=7,1,0))))))</f>
        <v>3</v>
      </c>
      <c r="H1638" s="370">
        <v>12205.050048828125</v>
      </c>
      <c r="I1638" s="370">
        <v>1655.6630305051804</v>
      </c>
      <c r="M1638" s="371">
        <f t="shared" si="101"/>
        <v>12316.836719100444</v>
      </c>
      <c r="N1638" s="329">
        <f t="shared" si="102"/>
        <v>0</v>
      </c>
      <c r="T1638" s="331">
        <v>0</v>
      </c>
      <c r="U1638" s="328">
        <f>VLOOKUP(C1638,METADATA!$J$5:$Q$29,IF(E1638="HI",2,IF(E1638="LO",6,10))+IF(T1638=1,2,IF(D1638=7,1,(IF(WEEKDAY(B1638)=1,2,IF(WEEKDAY(B1638)=7,1,0))))))</f>
        <v>3</v>
      </c>
      <c r="V1638" s="328">
        <f>VLOOKUP(C1638,METADATA!$A$5:$H$29,IF(E1638="HI",2,IF(E1638="LO",6,10))+IF(T1638=1,2,IF(D1638=7,1,(IF(WEEKDAY(B1638)=1,2,IF(WEEKDAY(B1638)=7,1,0))))))</f>
        <v>3</v>
      </c>
    </row>
    <row r="1639" spans="2:22">
      <c r="B1639" s="318">
        <f t="shared" si="103"/>
        <v>46181</v>
      </c>
      <c r="C1639" s="312">
        <v>3</v>
      </c>
      <c r="D1639" s="368">
        <f>IFERROR((INDEX(METADATA!$T$2:$T$20,MATCH(B1639,METADATA!$S$2:$S$20,0))),0)</f>
        <v>0</v>
      </c>
      <c r="E1639" s="312" t="str">
        <f t="shared" si="100"/>
        <v>LO</v>
      </c>
      <c r="F1639" s="369">
        <f>VLOOKUP(C1639,METADATA!$A$5:$H$29,IF(E1639="HI",2,IF(E1639="LO",6,10))+IF(D1639=1,2,IF(D1639=7,1,(IF(WEEKDAY(B1639)=1,2,IF(WEEKDAY(B1639)=7,1,0))))))</f>
        <v>3</v>
      </c>
      <c r="G1639" s="369">
        <f>VLOOKUP(C1639,METADATA!$J$5:$Q$29,IF(E1639="HI",2,IF(E1639="LO",6,10))+IF(D1639=1,2,IF(D1639=7,1,(IF(WEEKDAY(B1639)=1,2,IF(WEEKDAY(B1639)=7,1,0))))))</f>
        <v>3</v>
      </c>
      <c r="H1639" s="370">
        <v>12805.674987792969</v>
      </c>
      <c r="I1639" s="370">
        <v>1756.8000106811523</v>
      </c>
      <c r="M1639" s="371">
        <f t="shared" si="101"/>
        <v>12925.620223823526</v>
      </c>
      <c r="N1639" s="329">
        <f t="shared" si="102"/>
        <v>0</v>
      </c>
      <c r="T1639" s="331">
        <v>0</v>
      </c>
      <c r="U1639" s="328">
        <f>VLOOKUP(C1639,METADATA!$J$5:$Q$29,IF(E1639="HI",2,IF(E1639="LO",6,10))+IF(T1639=1,2,IF(D1639=7,1,(IF(WEEKDAY(B1639)=1,2,IF(WEEKDAY(B1639)=7,1,0))))))</f>
        <v>3</v>
      </c>
      <c r="V1639" s="328">
        <f>VLOOKUP(C1639,METADATA!$A$5:$H$29,IF(E1639="HI",2,IF(E1639="LO",6,10))+IF(T1639=1,2,IF(D1639=7,1,(IF(WEEKDAY(B1639)=1,2,IF(WEEKDAY(B1639)=7,1,0))))))</f>
        <v>3</v>
      </c>
    </row>
    <row r="1640" spans="2:22">
      <c r="B1640" s="318">
        <f t="shared" si="103"/>
        <v>46181</v>
      </c>
      <c r="C1640" s="312">
        <v>4</v>
      </c>
      <c r="D1640" s="368">
        <f>IFERROR((INDEX(METADATA!$T$2:$T$20,MATCH(B1640,METADATA!$S$2:$S$20,0))),0)</f>
        <v>0</v>
      </c>
      <c r="E1640" s="312" t="str">
        <f t="shared" si="100"/>
        <v>LO</v>
      </c>
      <c r="F1640" s="369">
        <f>VLOOKUP(C1640,METADATA!$A$5:$H$29,IF(E1640="HI",2,IF(E1640="LO",6,10))+IF(D1640=1,2,IF(D1640=7,1,(IF(WEEKDAY(B1640)=1,2,IF(WEEKDAY(B1640)=7,1,0))))))</f>
        <v>3</v>
      </c>
      <c r="G1640" s="369">
        <f>VLOOKUP(C1640,METADATA!$J$5:$Q$29,IF(E1640="HI",2,IF(E1640="LO",6,10))+IF(D1640=1,2,IF(D1640=7,1,(IF(WEEKDAY(B1640)=1,2,IF(WEEKDAY(B1640)=7,1,0))))))</f>
        <v>3</v>
      </c>
      <c r="H1640" s="370">
        <v>12533.417846679688</v>
      </c>
      <c r="I1640" s="370">
        <v>1543.6074752807617</v>
      </c>
      <c r="M1640" s="371">
        <f t="shared" si="101"/>
        <v>12628.114940766556</v>
      </c>
      <c r="N1640" s="329">
        <f t="shared" si="102"/>
        <v>0</v>
      </c>
      <c r="T1640" s="331">
        <v>0</v>
      </c>
      <c r="U1640" s="328">
        <f>VLOOKUP(C1640,METADATA!$J$5:$Q$29,IF(E1640="HI",2,IF(E1640="LO",6,10))+IF(T1640=1,2,IF(D1640=7,1,(IF(WEEKDAY(B1640)=1,2,IF(WEEKDAY(B1640)=7,1,0))))))</f>
        <v>3</v>
      </c>
      <c r="V1640" s="328">
        <f>VLOOKUP(C1640,METADATA!$A$5:$H$29,IF(E1640="HI",2,IF(E1640="LO",6,10))+IF(T1640=1,2,IF(D1640=7,1,(IF(WEEKDAY(B1640)=1,2,IF(WEEKDAY(B1640)=7,1,0))))))</f>
        <v>3</v>
      </c>
    </row>
    <row r="1641" spans="2:22">
      <c r="B1641" s="318">
        <f t="shared" si="103"/>
        <v>46181</v>
      </c>
      <c r="C1641" s="312">
        <v>5</v>
      </c>
      <c r="D1641" s="368">
        <f>IFERROR((INDEX(METADATA!$T$2:$T$20,MATCH(B1641,METADATA!$S$2:$S$20,0))),0)</f>
        <v>0</v>
      </c>
      <c r="E1641" s="312" t="str">
        <f t="shared" si="100"/>
        <v>LO</v>
      </c>
      <c r="F1641" s="369">
        <f>VLOOKUP(C1641,METADATA!$A$5:$H$29,IF(E1641="HI",2,IF(E1641="LO",6,10))+IF(D1641=1,2,IF(D1641=7,1,(IF(WEEKDAY(B1641)=1,2,IF(WEEKDAY(B1641)=7,1,0))))))</f>
        <v>3</v>
      </c>
      <c r="G1641" s="369">
        <f>VLOOKUP(C1641,METADATA!$J$5:$Q$29,IF(E1641="HI",2,IF(E1641="LO",6,10))+IF(D1641=1,2,IF(D1641=7,1,(IF(WEEKDAY(B1641)=1,2,IF(WEEKDAY(B1641)=7,1,0))))))</f>
        <v>3</v>
      </c>
      <c r="H1641" s="370">
        <v>11011.424896240234</v>
      </c>
      <c r="I1641" s="370">
        <v>1443.001500000013</v>
      </c>
      <c r="M1641" s="371">
        <f t="shared" si="101"/>
        <v>11105.572095778838</v>
      </c>
      <c r="N1641" s="329">
        <f t="shared" si="102"/>
        <v>0</v>
      </c>
      <c r="T1641" s="331">
        <v>0</v>
      </c>
      <c r="U1641" s="328">
        <f>VLOOKUP(C1641,METADATA!$J$5:$Q$29,IF(E1641="HI",2,IF(E1641="LO",6,10))+IF(T1641=1,2,IF(D1641=7,1,(IF(WEEKDAY(B1641)=1,2,IF(WEEKDAY(B1641)=7,1,0))))))</f>
        <v>3</v>
      </c>
      <c r="V1641" s="328">
        <f>VLOOKUP(C1641,METADATA!$A$5:$H$29,IF(E1641="HI",2,IF(E1641="LO",6,10))+IF(T1641=1,2,IF(D1641=7,1,(IF(WEEKDAY(B1641)=1,2,IF(WEEKDAY(B1641)=7,1,0))))))</f>
        <v>3</v>
      </c>
    </row>
    <row r="1642" spans="2:22">
      <c r="B1642" s="318">
        <f t="shared" si="103"/>
        <v>46181</v>
      </c>
      <c r="C1642" s="312">
        <v>6</v>
      </c>
      <c r="D1642" s="368">
        <f>IFERROR((INDEX(METADATA!$T$2:$T$20,MATCH(B1642,METADATA!$S$2:$S$20,0))),0)</f>
        <v>0</v>
      </c>
      <c r="E1642" s="312" t="str">
        <f t="shared" si="100"/>
        <v>LO</v>
      </c>
      <c r="F1642" s="369">
        <f>VLOOKUP(C1642,METADATA!$A$5:$H$29,IF(E1642="HI",2,IF(E1642="LO",6,10))+IF(D1642=1,2,IF(D1642=7,1,(IF(WEEKDAY(B1642)=1,2,IF(WEEKDAY(B1642)=7,1,0))))))</f>
        <v>2</v>
      </c>
      <c r="G1642" s="369">
        <f>VLOOKUP(C1642,METADATA!$J$5:$Q$29,IF(E1642="HI",2,IF(E1642="LO",6,10))+IF(D1642=1,2,IF(D1642=7,1,(IF(WEEKDAY(B1642)=1,2,IF(WEEKDAY(B1642)=7,1,0))))))</f>
        <v>2</v>
      </c>
      <c r="H1642" s="370">
        <v>10983.744934082031</v>
      </c>
      <c r="I1642" s="370">
        <v>1463.4000244140625</v>
      </c>
      <c r="M1642" s="371">
        <f t="shared" si="101"/>
        <v>11080.802877428501</v>
      </c>
      <c r="N1642" s="329">
        <f t="shared" si="102"/>
        <v>0</v>
      </c>
      <c r="T1642" s="331">
        <v>0</v>
      </c>
      <c r="U1642" s="328">
        <f>VLOOKUP(C1642,METADATA!$J$5:$Q$29,IF(E1642="HI",2,IF(E1642="LO",6,10))+IF(T1642=1,2,IF(D1642=7,1,(IF(WEEKDAY(B1642)=1,2,IF(WEEKDAY(B1642)=7,1,0))))))</f>
        <v>2</v>
      </c>
      <c r="V1642" s="328">
        <f>VLOOKUP(C1642,METADATA!$A$5:$H$29,IF(E1642="HI",2,IF(E1642="LO",6,10))+IF(T1642=1,2,IF(D1642=7,1,(IF(WEEKDAY(B1642)=1,2,IF(WEEKDAY(B1642)=7,1,0))))))</f>
        <v>2</v>
      </c>
    </row>
    <row r="1643" spans="2:22">
      <c r="B1643" s="318">
        <f t="shared" si="103"/>
        <v>46181</v>
      </c>
      <c r="C1643" s="312">
        <v>7</v>
      </c>
      <c r="D1643" s="368">
        <f>IFERROR((INDEX(METADATA!$T$2:$T$20,MATCH(B1643,METADATA!$S$2:$S$20,0))),0)</f>
        <v>0</v>
      </c>
      <c r="E1643" s="312" t="str">
        <f t="shared" si="100"/>
        <v>LO</v>
      </c>
      <c r="F1643" s="369">
        <f>VLOOKUP(C1643,METADATA!$A$5:$H$29,IF(E1643="HI",2,IF(E1643="LO",6,10))+IF(D1643=1,2,IF(D1643=7,1,(IF(WEEKDAY(B1643)=1,2,IF(WEEKDAY(B1643)=7,1,0))))))</f>
        <v>1</v>
      </c>
      <c r="G1643" s="369">
        <f>VLOOKUP(C1643,METADATA!$J$5:$Q$29,IF(E1643="HI",2,IF(E1643="LO",6,10))+IF(D1643=1,2,IF(D1643=7,1,(IF(WEEKDAY(B1643)=1,2,IF(WEEKDAY(B1643)=7,1,0))))))</f>
        <v>1</v>
      </c>
      <c r="H1643" s="370">
        <v>12482.854888916016</v>
      </c>
      <c r="I1643" s="370">
        <v>1636.0069923400879</v>
      </c>
      <c r="M1643" s="371">
        <f t="shared" si="101"/>
        <v>12589.606231201997</v>
      </c>
      <c r="N1643" s="329">
        <f t="shared" si="102"/>
        <v>0</v>
      </c>
      <c r="T1643" s="331">
        <v>0</v>
      </c>
      <c r="U1643" s="328">
        <f>VLOOKUP(C1643,METADATA!$J$5:$Q$29,IF(E1643="HI",2,IF(E1643="LO",6,10))+IF(T1643=1,2,IF(D1643=7,1,(IF(WEEKDAY(B1643)=1,2,IF(WEEKDAY(B1643)=7,1,0))))))</f>
        <v>1</v>
      </c>
      <c r="V1643" s="328">
        <f>VLOOKUP(C1643,METADATA!$A$5:$H$29,IF(E1643="HI",2,IF(E1643="LO",6,10))+IF(T1643=1,2,IF(D1643=7,1,(IF(WEEKDAY(B1643)=1,2,IF(WEEKDAY(B1643)=7,1,0))))))</f>
        <v>1</v>
      </c>
    </row>
    <row r="1644" spans="2:22">
      <c r="B1644" s="318">
        <f t="shared" si="103"/>
        <v>46181</v>
      </c>
      <c r="C1644" s="312">
        <v>8</v>
      </c>
      <c r="D1644" s="368">
        <f>IFERROR((INDEX(METADATA!$T$2:$T$20,MATCH(B1644,METADATA!$S$2:$S$20,0))),0)</f>
        <v>0</v>
      </c>
      <c r="E1644" s="312" t="str">
        <f t="shared" si="100"/>
        <v>LO</v>
      </c>
      <c r="F1644" s="369">
        <f>VLOOKUP(C1644,METADATA!$A$5:$H$29,IF(E1644="HI",2,IF(E1644="LO",6,10))+IF(D1644=1,2,IF(D1644=7,1,(IF(WEEKDAY(B1644)=1,2,IF(WEEKDAY(B1644)=7,1,0))))))</f>
        <v>1</v>
      </c>
      <c r="G1644" s="369">
        <f>VLOOKUP(C1644,METADATA!$J$5:$Q$29,IF(E1644="HI",2,IF(E1644="LO",6,10))+IF(D1644=1,2,IF(D1644=7,1,(IF(WEEKDAY(B1644)=1,2,IF(WEEKDAY(B1644)=7,1,0))))))</f>
        <v>1</v>
      </c>
      <c r="H1644" s="370">
        <v>13406.824768066406</v>
      </c>
      <c r="I1644" s="370">
        <v>1586.0649871826172</v>
      </c>
      <c r="M1644" s="371">
        <f t="shared" si="101"/>
        <v>13500.316755735972</v>
      </c>
      <c r="N1644" s="329">
        <f t="shared" si="102"/>
        <v>0</v>
      </c>
      <c r="T1644" s="331">
        <v>0</v>
      </c>
      <c r="U1644" s="328">
        <f>VLOOKUP(C1644,METADATA!$J$5:$Q$29,IF(E1644="HI",2,IF(E1644="LO",6,10))+IF(T1644=1,2,IF(D1644=7,1,(IF(WEEKDAY(B1644)=1,2,IF(WEEKDAY(B1644)=7,1,0))))))</f>
        <v>1</v>
      </c>
      <c r="V1644" s="328">
        <f>VLOOKUP(C1644,METADATA!$A$5:$H$29,IF(E1644="HI",2,IF(E1644="LO",6,10))+IF(T1644=1,2,IF(D1644=7,1,(IF(WEEKDAY(B1644)=1,2,IF(WEEKDAY(B1644)=7,1,0))))))</f>
        <v>1</v>
      </c>
    </row>
    <row r="1645" spans="2:22">
      <c r="B1645" s="318">
        <f t="shared" si="103"/>
        <v>46181</v>
      </c>
      <c r="C1645" s="312">
        <v>9</v>
      </c>
      <c r="D1645" s="368">
        <f>IFERROR((INDEX(METADATA!$T$2:$T$20,MATCH(B1645,METADATA!$S$2:$S$20,0))),0)</f>
        <v>0</v>
      </c>
      <c r="E1645" s="312" t="str">
        <f t="shared" si="100"/>
        <v>LO</v>
      </c>
      <c r="F1645" s="369">
        <f>VLOOKUP(C1645,METADATA!$A$5:$H$29,IF(E1645="HI",2,IF(E1645="LO",6,10))+IF(D1645=1,2,IF(D1645=7,1,(IF(WEEKDAY(B1645)=1,2,IF(WEEKDAY(B1645)=7,1,0))))))</f>
        <v>2</v>
      </c>
      <c r="G1645" s="369">
        <f>VLOOKUP(C1645,METADATA!$J$5:$Q$29,IF(E1645="HI",2,IF(E1645="LO",6,10))+IF(D1645=1,2,IF(D1645=7,1,(IF(WEEKDAY(B1645)=1,2,IF(WEEKDAY(B1645)=7,1,0))))))</f>
        <v>2</v>
      </c>
      <c r="H1645" s="370">
        <v>13742.274719238281</v>
      </c>
      <c r="I1645" s="370">
        <v>1615.9199371337891</v>
      </c>
      <c r="M1645" s="371">
        <f t="shared" si="101"/>
        <v>13836.954567470475</v>
      </c>
      <c r="N1645" s="329">
        <f t="shared" si="102"/>
        <v>0</v>
      </c>
      <c r="T1645" s="331">
        <v>0</v>
      </c>
      <c r="U1645" s="328">
        <f>VLOOKUP(C1645,METADATA!$J$5:$Q$29,IF(E1645="HI",2,IF(E1645="LO",6,10))+IF(T1645=1,2,IF(D1645=7,1,(IF(WEEKDAY(B1645)=1,2,IF(WEEKDAY(B1645)=7,1,0))))))</f>
        <v>2</v>
      </c>
      <c r="V1645" s="328">
        <f>VLOOKUP(C1645,METADATA!$A$5:$H$29,IF(E1645="HI",2,IF(E1645="LO",6,10))+IF(T1645=1,2,IF(D1645=7,1,(IF(WEEKDAY(B1645)=1,2,IF(WEEKDAY(B1645)=7,1,0))))))</f>
        <v>2</v>
      </c>
    </row>
    <row r="1646" spans="2:22">
      <c r="B1646" s="318">
        <f t="shared" si="103"/>
        <v>46181</v>
      </c>
      <c r="C1646" s="312">
        <v>10</v>
      </c>
      <c r="D1646" s="368">
        <f>IFERROR((INDEX(METADATA!$T$2:$T$20,MATCH(B1646,METADATA!$S$2:$S$20,0))),0)</f>
        <v>0</v>
      </c>
      <c r="E1646" s="312" t="str">
        <f t="shared" si="100"/>
        <v>LO</v>
      </c>
      <c r="F1646" s="369">
        <f>VLOOKUP(C1646,METADATA!$A$5:$H$29,IF(E1646="HI",2,IF(E1646="LO",6,10))+IF(D1646=1,2,IF(D1646=7,1,(IF(WEEKDAY(B1646)=1,2,IF(WEEKDAY(B1646)=7,1,0))))))</f>
        <v>2</v>
      </c>
      <c r="G1646" s="369">
        <f>VLOOKUP(C1646,METADATA!$J$5:$Q$29,IF(E1646="HI",2,IF(E1646="LO",6,10))+IF(D1646=1,2,IF(D1646=7,1,(IF(WEEKDAY(B1646)=1,2,IF(WEEKDAY(B1646)=7,1,0))))))</f>
        <v>2</v>
      </c>
      <c r="H1646" s="370">
        <v>13904.999755859375</v>
      </c>
      <c r="I1646" s="370">
        <v>1892.3499908447266</v>
      </c>
      <c r="M1646" s="371">
        <f t="shared" si="101"/>
        <v>14033.175217971851</v>
      </c>
      <c r="N1646" s="329">
        <f t="shared" si="102"/>
        <v>0</v>
      </c>
      <c r="T1646" s="331">
        <v>0</v>
      </c>
      <c r="U1646" s="328">
        <f>VLOOKUP(C1646,METADATA!$J$5:$Q$29,IF(E1646="HI",2,IF(E1646="LO",6,10))+IF(T1646=1,2,IF(D1646=7,1,(IF(WEEKDAY(B1646)=1,2,IF(WEEKDAY(B1646)=7,1,0))))))</f>
        <v>2</v>
      </c>
      <c r="V1646" s="328">
        <f>VLOOKUP(C1646,METADATA!$A$5:$H$29,IF(E1646="HI",2,IF(E1646="LO",6,10))+IF(T1646=1,2,IF(D1646=7,1,(IF(WEEKDAY(B1646)=1,2,IF(WEEKDAY(B1646)=7,1,0))))))</f>
        <v>2</v>
      </c>
    </row>
    <row r="1647" spans="2:22">
      <c r="B1647" s="318">
        <f t="shared" si="103"/>
        <v>46181</v>
      </c>
      <c r="C1647" s="312">
        <v>11</v>
      </c>
      <c r="D1647" s="368">
        <f>IFERROR((INDEX(METADATA!$T$2:$T$20,MATCH(B1647,METADATA!$S$2:$S$20,0))),0)</f>
        <v>0</v>
      </c>
      <c r="E1647" s="312" t="str">
        <f t="shared" si="100"/>
        <v>LO</v>
      </c>
      <c r="F1647" s="369">
        <f>VLOOKUP(C1647,METADATA!$A$5:$H$29,IF(E1647="HI",2,IF(E1647="LO",6,10))+IF(D1647=1,2,IF(D1647=7,1,(IF(WEEKDAY(B1647)=1,2,IF(WEEKDAY(B1647)=7,1,0))))))</f>
        <v>2</v>
      </c>
      <c r="G1647" s="369">
        <f>VLOOKUP(C1647,METADATA!$J$5:$Q$29,IF(E1647="HI",2,IF(E1647="LO",6,10))+IF(D1647=1,2,IF(D1647=7,1,(IF(WEEKDAY(B1647)=1,2,IF(WEEKDAY(B1647)=7,1,0))))))</f>
        <v>2</v>
      </c>
      <c r="H1647" s="370">
        <v>13873.249633789063</v>
      </c>
      <c r="I1647" s="370">
        <v>2009.232536315918</v>
      </c>
      <c r="M1647" s="371">
        <f t="shared" si="101"/>
        <v>14017.99096826713</v>
      </c>
      <c r="N1647" s="329">
        <f t="shared" si="102"/>
        <v>0</v>
      </c>
      <c r="T1647" s="331">
        <v>0</v>
      </c>
      <c r="U1647" s="328">
        <f>VLOOKUP(C1647,METADATA!$J$5:$Q$29,IF(E1647="HI",2,IF(E1647="LO",6,10))+IF(T1647=1,2,IF(D1647=7,1,(IF(WEEKDAY(B1647)=1,2,IF(WEEKDAY(B1647)=7,1,0))))))</f>
        <v>2</v>
      </c>
      <c r="V1647" s="328">
        <f>VLOOKUP(C1647,METADATA!$A$5:$H$29,IF(E1647="HI",2,IF(E1647="LO",6,10))+IF(T1647=1,2,IF(D1647=7,1,(IF(WEEKDAY(B1647)=1,2,IF(WEEKDAY(B1647)=7,1,0))))))</f>
        <v>2</v>
      </c>
    </row>
    <row r="1648" spans="2:22">
      <c r="B1648" s="318">
        <f t="shared" si="103"/>
        <v>46181</v>
      </c>
      <c r="C1648" s="312">
        <v>12</v>
      </c>
      <c r="D1648" s="368">
        <f>IFERROR((INDEX(METADATA!$T$2:$T$20,MATCH(B1648,METADATA!$S$2:$S$20,0))),0)</f>
        <v>0</v>
      </c>
      <c r="E1648" s="312" t="str">
        <f t="shared" si="100"/>
        <v>LO</v>
      </c>
      <c r="F1648" s="369">
        <f>VLOOKUP(C1648,METADATA!$A$5:$H$29,IF(E1648="HI",2,IF(E1648="LO",6,10))+IF(D1648=1,2,IF(D1648=7,1,(IF(WEEKDAY(B1648)=1,2,IF(WEEKDAY(B1648)=7,1,0))))))</f>
        <v>2</v>
      </c>
      <c r="G1648" s="369">
        <f>VLOOKUP(C1648,METADATA!$J$5:$Q$29,IF(E1648="HI",2,IF(E1648="LO",6,10))+IF(D1648=1,2,IF(D1648=7,1,(IF(WEEKDAY(B1648)=1,2,IF(WEEKDAY(B1648)=7,1,0))))))</f>
        <v>2</v>
      </c>
      <c r="H1648" s="370">
        <v>13761.44970703125</v>
      </c>
      <c r="I1648" s="370">
        <v>2190.6849899291992</v>
      </c>
      <c r="M1648" s="371">
        <f t="shared" si="101"/>
        <v>13934.726361297933</v>
      </c>
      <c r="N1648" s="329">
        <f t="shared" si="102"/>
        <v>0</v>
      </c>
      <c r="T1648" s="331">
        <v>0</v>
      </c>
      <c r="U1648" s="328">
        <f>VLOOKUP(C1648,METADATA!$J$5:$Q$29,IF(E1648="HI",2,IF(E1648="LO",6,10))+IF(T1648=1,2,IF(D1648=7,1,(IF(WEEKDAY(B1648)=1,2,IF(WEEKDAY(B1648)=7,1,0))))))</f>
        <v>2</v>
      </c>
      <c r="V1648" s="328">
        <f>VLOOKUP(C1648,METADATA!$A$5:$H$29,IF(E1648="HI",2,IF(E1648="LO",6,10))+IF(T1648=1,2,IF(D1648=7,1,(IF(WEEKDAY(B1648)=1,2,IF(WEEKDAY(B1648)=7,1,0))))))</f>
        <v>2</v>
      </c>
    </row>
    <row r="1649" spans="2:22">
      <c r="B1649" s="318">
        <f t="shared" si="103"/>
        <v>46181</v>
      </c>
      <c r="C1649" s="312">
        <v>13</v>
      </c>
      <c r="D1649" s="368">
        <f>IFERROR((INDEX(METADATA!$T$2:$T$20,MATCH(B1649,METADATA!$S$2:$S$20,0))),0)</f>
        <v>0</v>
      </c>
      <c r="E1649" s="312" t="str">
        <f t="shared" si="100"/>
        <v>LO</v>
      </c>
      <c r="F1649" s="369">
        <f>VLOOKUP(C1649,METADATA!$A$5:$H$29,IF(E1649="HI",2,IF(E1649="LO",6,10))+IF(D1649=1,2,IF(D1649=7,1,(IF(WEEKDAY(B1649)=1,2,IF(WEEKDAY(B1649)=7,1,0))))))</f>
        <v>2</v>
      </c>
      <c r="G1649" s="369">
        <f>VLOOKUP(C1649,METADATA!$J$5:$Q$29,IF(E1649="HI",2,IF(E1649="LO",6,10))+IF(D1649=1,2,IF(D1649=7,1,(IF(WEEKDAY(B1649)=1,2,IF(WEEKDAY(B1649)=7,1,0))))))</f>
        <v>2</v>
      </c>
      <c r="H1649" s="370">
        <v>13687.00048828125</v>
      </c>
      <c r="I1649" s="370">
        <v>2033.410041809082</v>
      </c>
      <c r="M1649" s="371">
        <f t="shared" si="101"/>
        <v>13837.222942640665</v>
      </c>
      <c r="N1649" s="329">
        <f t="shared" si="102"/>
        <v>0</v>
      </c>
      <c r="T1649" s="331">
        <v>0</v>
      </c>
      <c r="U1649" s="328">
        <f>VLOOKUP(C1649,METADATA!$J$5:$Q$29,IF(E1649="HI",2,IF(E1649="LO",6,10))+IF(T1649=1,2,IF(D1649=7,1,(IF(WEEKDAY(B1649)=1,2,IF(WEEKDAY(B1649)=7,1,0))))))</f>
        <v>2</v>
      </c>
      <c r="V1649" s="328">
        <f>VLOOKUP(C1649,METADATA!$A$5:$H$29,IF(E1649="HI",2,IF(E1649="LO",6,10))+IF(T1649=1,2,IF(D1649=7,1,(IF(WEEKDAY(B1649)=1,2,IF(WEEKDAY(B1649)=7,1,0))))))</f>
        <v>2</v>
      </c>
    </row>
    <row r="1650" spans="2:22">
      <c r="B1650" s="318">
        <f t="shared" si="103"/>
        <v>46181</v>
      </c>
      <c r="C1650" s="312">
        <v>14</v>
      </c>
      <c r="D1650" s="368">
        <f>IFERROR((INDEX(METADATA!$T$2:$T$20,MATCH(B1650,METADATA!$S$2:$S$20,0))),0)</f>
        <v>0</v>
      </c>
      <c r="E1650" s="312" t="str">
        <f t="shared" si="100"/>
        <v>LO</v>
      </c>
      <c r="F1650" s="369">
        <f>VLOOKUP(C1650,METADATA!$A$5:$H$29,IF(E1650="HI",2,IF(E1650="LO",6,10))+IF(D1650=1,2,IF(D1650=7,1,(IF(WEEKDAY(B1650)=1,2,IF(WEEKDAY(B1650)=7,1,0))))))</f>
        <v>2</v>
      </c>
      <c r="G1650" s="369">
        <f>VLOOKUP(C1650,METADATA!$J$5:$Q$29,IF(E1650="HI",2,IF(E1650="LO",6,10))+IF(D1650=1,2,IF(D1650=7,1,(IF(WEEKDAY(B1650)=1,2,IF(WEEKDAY(B1650)=7,1,0))))))</f>
        <v>2</v>
      </c>
      <c r="H1650" s="370">
        <v>11919.165100097656</v>
      </c>
      <c r="I1650" s="370">
        <v>1734.4105453491211</v>
      </c>
      <c r="M1650" s="371">
        <f t="shared" si="101"/>
        <v>12044.694957665146</v>
      </c>
      <c r="N1650" s="329">
        <f t="shared" si="102"/>
        <v>0</v>
      </c>
      <c r="T1650" s="331">
        <v>0</v>
      </c>
      <c r="U1650" s="328">
        <f>VLOOKUP(C1650,METADATA!$J$5:$Q$29,IF(E1650="HI",2,IF(E1650="LO",6,10))+IF(T1650=1,2,IF(D1650=7,1,(IF(WEEKDAY(B1650)=1,2,IF(WEEKDAY(B1650)=7,1,0))))))</f>
        <v>2</v>
      </c>
      <c r="V1650" s="328">
        <f>VLOOKUP(C1650,METADATA!$A$5:$H$29,IF(E1650="HI",2,IF(E1650="LO",6,10))+IF(T1650=1,2,IF(D1650=7,1,(IF(WEEKDAY(B1650)=1,2,IF(WEEKDAY(B1650)=7,1,0))))))</f>
        <v>2</v>
      </c>
    </row>
    <row r="1651" spans="2:22">
      <c r="B1651" s="318">
        <f t="shared" si="103"/>
        <v>46181</v>
      </c>
      <c r="C1651" s="312">
        <v>15</v>
      </c>
      <c r="D1651" s="368">
        <f>IFERROR((INDEX(METADATA!$T$2:$T$20,MATCH(B1651,METADATA!$S$2:$S$20,0))),0)</f>
        <v>0</v>
      </c>
      <c r="E1651" s="312" t="str">
        <f t="shared" si="100"/>
        <v>LO</v>
      </c>
      <c r="F1651" s="369">
        <f>VLOOKUP(C1651,METADATA!$A$5:$H$29,IF(E1651="HI",2,IF(E1651="LO",6,10))+IF(D1651=1,2,IF(D1651=7,1,(IF(WEEKDAY(B1651)=1,2,IF(WEEKDAY(B1651)=7,1,0))))))</f>
        <v>2</v>
      </c>
      <c r="G1651" s="369">
        <f>VLOOKUP(C1651,METADATA!$J$5:$Q$29,IF(E1651="HI",2,IF(E1651="LO",6,10))+IF(D1651=1,2,IF(D1651=7,1,(IF(WEEKDAY(B1651)=1,2,IF(WEEKDAY(B1651)=7,1,0))))))</f>
        <v>2</v>
      </c>
      <c r="H1651" s="370">
        <v>11610.975280761719</v>
      </c>
      <c r="I1651" s="370">
        <v>1653.8399963378906</v>
      </c>
      <c r="M1651" s="371">
        <f t="shared" si="101"/>
        <v>11728.168386578809</v>
      </c>
      <c r="N1651" s="329">
        <f t="shared" si="102"/>
        <v>0</v>
      </c>
      <c r="T1651" s="331">
        <v>0</v>
      </c>
      <c r="U1651" s="328">
        <f>VLOOKUP(C1651,METADATA!$J$5:$Q$29,IF(E1651="HI",2,IF(E1651="LO",6,10))+IF(T1651=1,2,IF(D1651=7,1,(IF(WEEKDAY(B1651)=1,2,IF(WEEKDAY(B1651)=7,1,0))))))</f>
        <v>2</v>
      </c>
      <c r="V1651" s="328">
        <f>VLOOKUP(C1651,METADATA!$A$5:$H$29,IF(E1651="HI",2,IF(E1651="LO",6,10))+IF(T1651=1,2,IF(D1651=7,1,(IF(WEEKDAY(B1651)=1,2,IF(WEEKDAY(B1651)=7,1,0))))))</f>
        <v>2</v>
      </c>
    </row>
    <row r="1652" spans="2:22">
      <c r="B1652" s="318">
        <f t="shared" si="103"/>
        <v>46181</v>
      </c>
      <c r="C1652" s="312">
        <v>16</v>
      </c>
      <c r="D1652" s="368">
        <f>IFERROR((INDEX(METADATA!$T$2:$T$20,MATCH(B1652,METADATA!$S$2:$S$20,0))),0)</f>
        <v>0</v>
      </c>
      <c r="E1652" s="312" t="str">
        <f t="shared" si="100"/>
        <v>LO</v>
      </c>
      <c r="F1652" s="369">
        <f>VLOOKUP(C1652,METADATA!$A$5:$H$29,IF(E1652="HI",2,IF(E1652="LO",6,10))+IF(D1652=1,2,IF(D1652=7,1,(IF(WEEKDAY(B1652)=1,2,IF(WEEKDAY(B1652)=7,1,0))))))</f>
        <v>2</v>
      </c>
      <c r="G1652" s="369">
        <f>VLOOKUP(C1652,METADATA!$J$5:$Q$29,IF(E1652="HI",2,IF(E1652="LO",6,10))+IF(D1652=1,2,IF(D1652=7,1,(IF(WEEKDAY(B1652)=1,2,IF(WEEKDAY(B1652)=7,1,0))))))</f>
        <v>2</v>
      </c>
      <c r="H1652" s="370">
        <v>11480.777526855469</v>
      </c>
      <c r="I1652" s="370">
        <v>1506.3599853515625</v>
      </c>
      <c r="M1652" s="371">
        <f t="shared" si="101"/>
        <v>11579.178426236376</v>
      </c>
      <c r="N1652" s="329">
        <f t="shared" si="102"/>
        <v>0</v>
      </c>
      <c r="T1652" s="331">
        <v>0</v>
      </c>
      <c r="U1652" s="328">
        <f>VLOOKUP(C1652,METADATA!$J$5:$Q$29,IF(E1652="HI",2,IF(E1652="LO",6,10))+IF(T1652=1,2,IF(D1652=7,1,(IF(WEEKDAY(B1652)=1,2,IF(WEEKDAY(B1652)=7,1,0))))))</f>
        <v>2</v>
      </c>
      <c r="V1652" s="328">
        <f>VLOOKUP(C1652,METADATA!$A$5:$H$29,IF(E1652="HI",2,IF(E1652="LO",6,10))+IF(T1652=1,2,IF(D1652=7,1,(IF(WEEKDAY(B1652)=1,2,IF(WEEKDAY(B1652)=7,1,0))))))</f>
        <v>2</v>
      </c>
    </row>
    <row r="1653" spans="2:22">
      <c r="B1653" s="318">
        <f t="shared" si="103"/>
        <v>46181</v>
      </c>
      <c r="C1653" s="312">
        <v>17</v>
      </c>
      <c r="D1653" s="368">
        <f>IFERROR((INDEX(METADATA!$T$2:$T$20,MATCH(B1653,METADATA!$S$2:$S$20,0))),0)</f>
        <v>0</v>
      </c>
      <c r="E1653" s="312" t="str">
        <f t="shared" si="100"/>
        <v>LO</v>
      </c>
      <c r="F1653" s="369">
        <f>VLOOKUP(C1653,METADATA!$A$5:$H$29,IF(E1653="HI",2,IF(E1653="LO",6,10))+IF(D1653=1,2,IF(D1653=7,1,(IF(WEEKDAY(B1653)=1,2,IF(WEEKDAY(B1653)=7,1,0))))))</f>
        <v>2</v>
      </c>
      <c r="G1653" s="369">
        <f>VLOOKUP(C1653,METADATA!$J$5:$Q$29,IF(E1653="HI",2,IF(E1653="LO",6,10))+IF(D1653=1,2,IF(D1653=7,1,(IF(WEEKDAY(B1653)=1,2,IF(WEEKDAY(B1653)=7,1,0))))))</f>
        <v>2</v>
      </c>
      <c r="H1653" s="370">
        <v>13261.775207519531</v>
      </c>
      <c r="I1653" s="370">
        <v>1602.1915158629417</v>
      </c>
      <c r="M1653" s="371">
        <f t="shared" si="101"/>
        <v>13358.207189150904</v>
      </c>
      <c r="N1653" s="329">
        <f t="shared" si="102"/>
        <v>0</v>
      </c>
      <c r="T1653" s="331">
        <v>0</v>
      </c>
      <c r="U1653" s="328">
        <f>VLOOKUP(C1653,METADATA!$J$5:$Q$29,IF(E1653="HI",2,IF(E1653="LO",6,10))+IF(T1653=1,2,IF(D1653=7,1,(IF(WEEKDAY(B1653)=1,2,IF(WEEKDAY(B1653)=7,1,0))))))</f>
        <v>2</v>
      </c>
      <c r="V1653" s="328">
        <f>VLOOKUP(C1653,METADATA!$A$5:$H$29,IF(E1653="HI",2,IF(E1653="LO",6,10))+IF(T1653=1,2,IF(D1653=7,1,(IF(WEEKDAY(B1653)=1,2,IF(WEEKDAY(B1653)=7,1,0))))))</f>
        <v>2</v>
      </c>
    </row>
    <row r="1654" spans="2:22">
      <c r="B1654" s="318">
        <f t="shared" si="103"/>
        <v>46181</v>
      </c>
      <c r="C1654" s="312">
        <v>18</v>
      </c>
      <c r="D1654" s="368">
        <f>IFERROR((INDEX(METADATA!$T$2:$T$20,MATCH(B1654,METADATA!$S$2:$S$20,0))),0)</f>
        <v>0</v>
      </c>
      <c r="E1654" s="312" t="str">
        <f t="shared" si="100"/>
        <v>LO</v>
      </c>
      <c r="F1654" s="369">
        <f>VLOOKUP(C1654,METADATA!$A$5:$H$29,IF(E1654="HI",2,IF(E1654="LO",6,10))+IF(D1654=1,2,IF(D1654=7,1,(IF(WEEKDAY(B1654)=1,2,IF(WEEKDAY(B1654)=7,1,0))))))</f>
        <v>1</v>
      </c>
      <c r="G1654" s="369">
        <f>VLOOKUP(C1654,METADATA!$J$5:$Q$29,IF(E1654="HI",2,IF(E1654="LO",6,10))+IF(D1654=1,2,IF(D1654=7,1,(IF(WEEKDAY(B1654)=1,2,IF(WEEKDAY(B1654)=7,1,0))))))</f>
        <v>1</v>
      </c>
      <c r="H1654" s="370">
        <v>13588.774719238281</v>
      </c>
      <c r="I1654" s="370">
        <v>1614.1175308227539</v>
      </c>
      <c r="M1654" s="371">
        <f t="shared" si="101"/>
        <v>13684.303919948532</v>
      </c>
      <c r="N1654" s="329">
        <f t="shared" si="102"/>
        <v>0</v>
      </c>
      <c r="T1654" s="331">
        <v>0</v>
      </c>
      <c r="U1654" s="328">
        <f>VLOOKUP(C1654,METADATA!$J$5:$Q$29,IF(E1654="HI",2,IF(E1654="LO",6,10))+IF(T1654=1,2,IF(D1654=7,1,(IF(WEEKDAY(B1654)=1,2,IF(WEEKDAY(B1654)=7,1,0))))))</f>
        <v>1</v>
      </c>
      <c r="V1654" s="328">
        <f>VLOOKUP(C1654,METADATA!$A$5:$H$29,IF(E1654="HI",2,IF(E1654="LO",6,10))+IF(T1654=1,2,IF(D1654=7,1,(IF(WEEKDAY(B1654)=1,2,IF(WEEKDAY(B1654)=7,1,0))))))</f>
        <v>1</v>
      </c>
    </row>
    <row r="1655" spans="2:22">
      <c r="B1655" s="318">
        <f t="shared" si="103"/>
        <v>46181</v>
      </c>
      <c r="C1655" s="312">
        <v>19</v>
      </c>
      <c r="D1655" s="368">
        <f>IFERROR((INDEX(METADATA!$T$2:$T$20,MATCH(B1655,METADATA!$S$2:$S$20,0))),0)</f>
        <v>0</v>
      </c>
      <c r="E1655" s="312" t="str">
        <f t="shared" si="100"/>
        <v>LO</v>
      </c>
      <c r="F1655" s="369">
        <f>VLOOKUP(C1655,METADATA!$A$5:$H$29,IF(E1655="HI",2,IF(E1655="LO",6,10))+IF(D1655=1,2,IF(D1655=7,1,(IF(WEEKDAY(B1655)=1,2,IF(WEEKDAY(B1655)=7,1,0))))))</f>
        <v>1</v>
      </c>
      <c r="G1655" s="369">
        <f>VLOOKUP(C1655,METADATA!$J$5:$Q$29,IF(E1655="HI",2,IF(E1655="LO",6,10))+IF(D1655=1,2,IF(D1655=7,1,(IF(WEEKDAY(B1655)=1,2,IF(WEEKDAY(B1655)=7,1,0))))))</f>
        <v>1</v>
      </c>
      <c r="H1655" s="370">
        <v>13682.625244140625</v>
      </c>
      <c r="I1655" s="370">
        <v>1677.7199783325195</v>
      </c>
      <c r="M1655" s="371">
        <f t="shared" si="101"/>
        <v>13785.099850827719</v>
      </c>
      <c r="N1655" s="329">
        <f t="shared" si="102"/>
        <v>0</v>
      </c>
      <c r="T1655" s="331">
        <v>0</v>
      </c>
      <c r="U1655" s="328">
        <f>VLOOKUP(C1655,METADATA!$J$5:$Q$29,IF(E1655="HI",2,IF(E1655="LO",6,10))+IF(T1655=1,2,IF(D1655=7,1,(IF(WEEKDAY(B1655)=1,2,IF(WEEKDAY(B1655)=7,1,0))))))</f>
        <v>1</v>
      </c>
      <c r="V1655" s="328">
        <f>VLOOKUP(C1655,METADATA!$A$5:$H$29,IF(E1655="HI",2,IF(E1655="LO",6,10))+IF(T1655=1,2,IF(D1655=7,1,(IF(WEEKDAY(B1655)=1,2,IF(WEEKDAY(B1655)=7,1,0))))))</f>
        <v>1</v>
      </c>
    </row>
    <row r="1656" spans="2:22">
      <c r="B1656" s="318">
        <f t="shared" si="103"/>
        <v>46181</v>
      </c>
      <c r="C1656" s="312">
        <v>20</v>
      </c>
      <c r="D1656" s="368">
        <f>IFERROR((INDEX(METADATA!$T$2:$T$20,MATCH(B1656,METADATA!$S$2:$S$20,0))),0)</f>
        <v>0</v>
      </c>
      <c r="E1656" s="312" t="str">
        <f t="shared" si="100"/>
        <v>LO</v>
      </c>
      <c r="F1656" s="369">
        <f>VLOOKUP(C1656,METADATA!$A$5:$H$29,IF(E1656="HI",2,IF(E1656="LO",6,10))+IF(D1656=1,2,IF(D1656=7,1,(IF(WEEKDAY(B1656)=1,2,IF(WEEKDAY(B1656)=7,1,0))))))</f>
        <v>1</v>
      </c>
      <c r="G1656" s="369">
        <f>VLOOKUP(C1656,METADATA!$J$5:$Q$29,IF(E1656="HI",2,IF(E1656="LO",6,10))+IF(D1656=1,2,IF(D1656=7,1,(IF(WEEKDAY(B1656)=1,2,IF(WEEKDAY(B1656)=7,1,0))))))</f>
        <v>1</v>
      </c>
      <c r="H1656" s="370">
        <v>13671.749938964844</v>
      </c>
      <c r="I1656" s="370">
        <v>1680.1224899291992</v>
      </c>
      <c r="M1656" s="371">
        <f t="shared" si="101"/>
        <v>13774.59828723695</v>
      </c>
      <c r="N1656" s="329">
        <f t="shared" si="102"/>
        <v>0</v>
      </c>
      <c r="T1656" s="331">
        <v>0</v>
      </c>
      <c r="U1656" s="328">
        <f>VLOOKUP(C1656,METADATA!$J$5:$Q$29,IF(E1656="HI",2,IF(E1656="LO",6,10))+IF(T1656=1,2,IF(D1656=7,1,(IF(WEEKDAY(B1656)=1,2,IF(WEEKDAY(B1656)=7,1,0))))))</f>
        <v>1</v>
      </c>
      <c r="V1656" s="328">
        <f>VLOOKUP(C1656,METADATA!$A$5:$H$29,IF(E1656="HI",2,IF(E1656="LO",6,10))+IF(T1656=1,2,IF(D1656=7,1,(IF(WEEKDAY(B1656)=1,2,IF(WEEKDAY(B1656)=7,1,0))))))</f>
        <v>1</v>
      </c>
    </row>
    <row r="1657" spans="2:22">
      <c r="B1657" s="318">
        <f t="shared" si="103"/>
        <v>46181</v>
      </c>
      <c r="C1657" s="312">
        <v>21</v>
      </c>
      <c r="D1657" s="368">
        <f>IFERROR((INDEX(METADATA!$T$2:$T$20,MATCH(B1657,METADATA!$S$2:$S$20,0))),0)</f>
        <v>0</v>
      </c>
      <c r="E1657" s="312" t="str">
        <f t="shared" si="100"/>
        <v>LO</v>
      </c>
      <c r="F1657" s="369">
        <f>VLOOKUP(C1657,METADATA!$A$5:$H$29,IF(E1657="HI",2,IF(E1657="LO",6,10))+IF(D1657=1,2,IF(D1657=7,1,(IF(WEEKDAY(B1657)=1,2,IF(WEEKDAY(B1657)=7,1,0))))))</f>
        <v>2</v>
      </c>
      <c r="G1657" s="369">
        <f>VLOOKUP(C1657,METADATA!$J$5:$Q$29,IF(E1657="HI",2,IF(E1657="LO",6,10))+IF(D1657=1,2,IF(D1657=7,1,(IF(WEEKDAY(B1657)=1,2,IF(WEEKDAY(B1657)=7,1,0))))))</f>
        <v>2</v>
      </c>
      <c r="H1657" s="370">
        <v>13644.2001953125</v>
      </c>
      <c r="I1657" s="370">
        <v>1840.0050277709961</v>
      </c>
      <c r="M1657" s="371">
        <f t="shared" si="101"/>
        <v>13767.709231095354</v>
      </c>
      <c r="N1657" s="329">
        <f t="shared" si="102"/>
        <v>0</v>
      </c>
      <c r="T1657" s="331">
        <v>0</v>
      </c>
      <c r="U1657" s="328">
        <f>VLOOKUP(C1657,METADATA!$J$5:$Q$29,IF(E1657="HI",2,IF(E1657="LO",6,10))+IF(T1657=1,2,IF(D1657=7,1,(IF(WEEKDAY(B1657)=1,2,IF(WEEKDAY(B1657)=7,1,0))))))</f>
        <v>2</v>
      </c>
      <c r="V1657" s="328">
        <f>VLOOKUP(C1657,METADATA!$A$5:$H$29,IF(E1657="HI",2,IF(E1657="LO",6,10))+IF(T1657=1,2,IF(D1657=7,1,(IF(WEEKDAY(B1657)=1,2,IF(WEEKDAY(B1657)=7,1,0))))))</f>
        <v>2</v>
      </c>
    </row>
    <row r="1658" spans="2:22">
      <c r="B1658" s="318">
        <f t="shared" si="103"/>
        <v>46181</v>
      </c>
      <c r="C1658" s="312">
        <v>22</v>
      </c>
      <c r="D1658" s="368">
        <f>IFERROR((INDEX(METADATA!$T$2:$T$20,MATCH(B1658,METADATA!$S$2:$S$20,0))),0)</f>
        <v>0</v>
      </c>
      <c r="E1658" s="312" t="str">
        <f t="shared" si="100"/>
        <v>LO</v>
      </c>
      <c r="F1658" s="369">
        <f>VLOOKUP(C1658,METADATA!$A$5:$H$29,IF(E1658="HI",2,IF(E1658="LO",6,10))+IF(D1658=1,2,IF(D1658=7,1,(IF(WEEKDAY(B1658)=1,2,IF(WEEKDAY(B1658)=7,1,0))))))</f>
        <v>3</v>
      </c>
      <c r="G1658" s="369">
        <f>VLOOKUP(C1658,METADATA!$J$5:$Q$29,IF(E1658="HI",2,IF(E1658="LO",6,10))+IF(D1658=1,2,IF(D1658=7,1,(IF(WEEKDAY(B1658)=1,2,IF(WEEKDAY(B1658)=7,1,0))))))</f>
        <v>3</v>
      </c>
      <c r="H1658" s="370">
        <v>13690.899963378906</v>
      </c>
      <c r="I1658" s="370">
        <v>2058.1449584960938</v>
      </c>
      <c r="M1658" s="371">
        <f t="shared" si="101"/>
        <v>13844.735551011128</v>
      </c>
      <c r="N1658" s="329">
        <f t="shared" si="102"/>
        <v>0</v>
      </c>
      <c r="T1658" s="331">
        <v>0</v>
      </c>
      <c r="U1658" s="328">
        <f>VLOOKUP(C1658,METADATA!$J$5:$Q$29,IF(E1658="HI",2,IF(E1658="LO",6,10))+IF(T1658=1,2,IF(D1658=7,1,(IF(WEEKDAY(B1658)=1,2,IF(WEEKDAY(B1658)=7,1,0))))))</f>
        <v>3</v>
      </c>
      <c r="V1658" s="328">
        <f>VLOOKUP(C1658,METADATA!$A$5:$H$29,IF(E1658="HI",2,IF(E1658="LO",6,10))+IF(T1658=1,2,IF(D1658=7,1,(IF(WEEKDAY(B1658)=1,2,IF(WEEKDAY(B1658)=7,1,0))))))</f>
        <v>3</v>
      </c>
    </row>
    <row r="1659" spans="2:22">
      <c r="B1659" s="318">
        <f t="shared" si="103"/>
        <v>46181</v>
      </c>
      <c r="C1659" s="312">
        <v>23</v>
      </c>
      <c r="D1659" s="368">
        <f>IFERROR((INDEX(METADATA!$T$2:$T$20,MATCH(B1659,METADATA!$S$2:$S$20,0))),0)</f>
        <v>0</v>
      </c>
      <c r="E1659" s="312" t="str">
        <f t="shared" si="100"/>
        <v>LO</v>
      </c>
      <c r="F1659" s="369">
        <f>VLOOKUP(C1659,METADATA!$A$5:$H$29,IF(E1659="HI",2,IF(E1659="LO",6,10))+IF(D1659=1,2,IF(D1659=7,1,(IF(WEEKDAY(B1659)=1,2,IF(WEEKDAY(B1659)=7,1,0))))))</f>
        <v>3</v>
      </c>
      <c r="G1659" s="369">
        <f>VLOOKUP(C1659,METADATA!$J$5:$Q$29,IF(E1659="HI",2,IF(E1659="LO",6,10))+IF(D1659=1,2,IF(D1659=7,1,(IF(WEEKDAY(B1659)=1,2,IF(WEEKDAY(B1659)=7,1,0))))))</f>
        <v>3</v>
      </c>
      <c r="H1659" s="370">
        <v>13726.274841308594</v>
      </c>
      <c r="I1659" s="370">
        <v>2054.2099761962891</v>
      </c>
      <c r="M1659" s="371">
        <f t="shared" si="101"/>
        <v>13879.135406985753</v>
      </c>
      <c r="N1659" s="329">
        <f t="shared" si="102"/>
        <v>0</v>
      </c>
      <c r="T1659" s="331">
        <v>0</v>
      </c>
      <c r="U1659" s="328">
        <f>VLOOKUP(C1659,METADATA!$J$5:$Q$29,IF(E1659="HI",2,IF(E1659="LO",6,10))+IF(T1659=1,2,IF(D1659=7,1,(IF(WEEKDAY(B1659)=1,2,IF(WEEKDAY(B1659)=7,1,0))))))</f>
        <v>3</v>
      </c>
      <c r="V1659" s="328">
        <f>VLOOKUP(C1659,METADATA!$A$5:$H$29,IF(E1659="HI",2,IF(E1659="LO",6,10))+IF(T1659=1,2,IF(D1659=7,1,(IF(WEEKDAY(B1659)=1,2,IF(WEEKDAY(B1659)=7,1,0))))))</f>
        <v>3</v>
      </c>
    </row>
    <row r="1660" spans="2:22">
      <c r="B1660" s="318">
        <f t="shared" si="103"/>
        <v>46182</v>
      </c>
      <c r="C1660" s="312">
        <v>0</v>
      </c>
      <c r="D1660" s="368">
        <f>IFERROR((INDEX(METADATA!$T$2:$T$20,MATCH(B1660,METADATA!$S$2:$S$20,0))),0)</f>
        <v>0</v>
      </c>
      <c r="E1660" s="312" t="str">
        <f t="shared" si="100"/>
        <v>LO</v>
      </c>
      <c r="F1660" s="369">
        <f>VLOOKUP(C1660,METADATA!$A$5:$H$29,IF(E1660="HI",2,IF(E1660="LO",6,10))+IF(D1660=1,2,IF(D1660=7,1,(IF(WEEKDAY(B1660)=1,2,IF(WEEKDAY(B1660)=7,1,0))))))</f>
        <v>3</v>
      </c>
      <c r="G1660" s="369">
        <f>VLOOKUP(C1660,METADATA!$J$5:$Q$29,IF(E1660="HI",2,IF(E1660="LO",6,10))+IF(D1660=1,2,IF(D1660=7,1,(IF(WEEKDAY(B1660)=1,2,IF(WEEKDAY(B1660)=7,1,0))))))</f>
        <v>3</v>
      </c>
      <c r="H1660" s="370">
        <v>13658.649963378906</v>
      </c>
      <c r="I1660" s="370">
        <v>1948.1749877929688</v>
      </c>
      <c r="M1660" s="371">
        <f t="shared" si="101"/>
        <v>13796.887497010792</v>
      </c>
      <c r="N1660" s="329">
        <f t="shared" si="102"/>
        <v>0</v>
      </c>
      <c r="T1660" s="331">
        <v>0</v>
      </c>
      <c r="U1660" s="328">
        <f>VLOOKUP(C1660,METADATA!$J$5:$Q$29,IF(E1660="HI",2,IF(E1660="LO",6,10))+IF(T1660=1,2,IF(D1660=7,1,(IF(WEEKDAY(B1660)=1,2,IF(WEEKDAY(B1660)=7,1,0))))))</f>
        <v>3</v>
      </c>
      <c r="V1660" s="328">
        <f>VLOOKUP(C1660,METADATA!$A$5:$H$29,IF(E1660="HI",2,IF(E1660="LO",6,10))+IF(T1660=1,2,IF(D1660=7,1,(IF(WEEKDAY(B1660)=1,2,IF(WEEKDAY(B1660)=7,1,0))))))</f>
        <v>3</v>
      </c>
    </row>
    <row r="1661" spans="2:22">
      <c r="B1661" s="318">
        <f t="shared" si="103"/>
        <v>46182</v>
      </c>
      <c r="C1661" s="312">
        <v>1</v>
      </c>
      <c r="D1661" s="368">
        <f>IFERROR((INDEX(METADATA!$T$2:$T$20,MATCH(B1661,METADATA!$S$2:$S$20,0))),0)</f>
        <v>0</v>
      </c>
      <c r="E1661" s="312" t="str">
        <f t="shared" si="100"/>
        <v>LO</v>
      </c>
      <c r="F1661" s="369">
        <f>VLOOKUP(C1661,METADATA!$A$5:$H$29,IF(E1661="HI",2,IF(E1661="LO",6,10))+IF(D1661=1,2,IF(D1661=7,1,(IF(WEEKDAY(B1661)=1,2,IF(WEEKDAY(B1661)=7,1,0))))))</f>
        <v>3</v>
      </c>
      <c r="G1661" s="369">
        <f>VLOOKUP(C1661,METADATA!$J$5:$Q$29,IF(E1661="HI",2,IF(E1661="LO",6,10))+IF(D1661=1,2,IF(D1661=7,1,(IF(WEEKDAY(B1661)=1,2,IF(WEEKDAY(B1661)=7,1,0))))))</f>
        <v>3</v>
      </c>
      <c r="H1661" s="370">
        <v>13708.250061035156</v>
      </c>
      <c r="I1661" s="370">
        <v>2212.9075164794922</v>
      </c>
      <c r="M1661" s="371">
        <f t="shared" si="101"/>
        <v>13885.714940627357</v>
      </c>
      <c r="N1661" s="329">
        <f t="shared" si="102"/>
        <v>0</v>
      </c>
      <c r="T1661" s="331">
        <v>0</v>
      </c>
      <c r="U1661" s="328">
        <f>VLOOKUP(C1661,METADATA!$J$5:$Q$29,IF(E1661="HI",2,IF(E1661="LO",6,10))+IF(T1661=1,2,IF(D1661=7,1,(IF(WEEKDAY(B1661)=1,2,IF(WEEKDAY(B1661)=7,1,0))))))</f>
        <v>3</v>
      </c>
      <c r="V1661" s="328">
        <f>VLOOKUP(C1661,METADATA!$A$5:$H$29,IF(E1661="HI",2,IF(E1661="LO",6,10))+IF(T1661=1,2,IF(D1661=7,1,(IF(WEEKDAY(B1661)=1,2,IF(WEEKDAY(B1661)=7,1,0))))))</f>
        <v>3</v>
      </c>
    </row>
    <row r="1662" spans="2:22">
      <c r="B1662" s="318">
        <f t="shared" si="103"/>
        <v>46182</v>
      </c>
      <c r="C1662" s="312">
        <v>2</v>
      </c>
      <c r="D1662" s="368">
        <f>IFERROR((INDEX(METADATA!$T$2:$T$20,MATCH(B1662,METADATA!$S$2:$S$20,0))),0)</f>
        <v>0</v>
      </c>
      <c r="E1662" s="312" t="str">
        <f t="shared" si="100"/>
        <v>LO</v>
      </c>
      <c r="F1662" s="369">
        <f>VLOOKUP(C1662,METADATA!$A$5:$H$29,IF(E1662="HI",2,IF(E1662="LO",6,10))+IF(D1662=1,2,IF(D1662=7,1,(IF(WEEKDAY(B1662)=1,2,IF(WEEKDAY(B1662)=7,1,0))))))</f>
        <v>3</v>
      </c>
      <c r="G1662" s="369">
        <f>VLOOKUP(C1662,METADATA!$J$5:$Q$29,IF(E1662="HI",2,IF(E1662="LO",6,10))+IF(D1662=1,2,IF(D1662=7,1,(IF(WEEKDAY(B1662)=1,2,IF(WEEKDAY(B1662)=7,1,0))))))</f>
        <v>3</v>
      </c>
      <c r="H1662" s="370">
        <v>13730.959228515625</v>
      </c>
      <c r="I1662" s="370">
        <v>1964.8200225830078</v>
      </c>
      <c r="M1662" s="371">
        <f t="shared" si="101"/>
        <v>13870.824022252662</v>
      </c>
      <c r="N1662" s="329">
        <f t="shared" si="102"/>
        <v>0</v>
      </c>
      <c r="T1662" s="331">
        <v>0</v>
      </c>
      <c r="U1662" s="328">
        <f>VLOOKUP(C1662,METADATA!$J$5:$Q$29,IF(E1662="HI",2,IF(E1662="LO",6,10))+IF(T1662=1,2,IF(D1662=7,1,(IF(WEEKDAY(B1662)=1,2,IF(WEEKDAY(B1662)=7,1,0))))))</f>
        <v>3</v>
      </c>
      <c r="V1662" s="328">
        <f>VLOOKUP(C1662,METADATA!$A$5:$H$29,IF(E1662="HI",2,IF(E1662="LO",6,10))+IF(T1662=1,2,IF(D1662=7,1,(IF(WEEKDAY(B1662)=1,2,IF(WEEKDAY(B1662)=7,1,0))))))</f>
        <v>3</v>
      </c>
    </row>
    <row r="1663" spans="2:22">
      <c r="B1663" s="318">
        <f t="shared" si="103"/>
        <v>46182</v>
      </c>
      <c r="C1663" s="312">
        <v>3</v>
      </c>
      <c r="D1663" s="368">
        <f>IFERROR((INDEX(METADATA!$T$2:$T$20,MATCH(B1663,METADATA!$S$2:$S$20,0))),0)</f>
        <v>0</v>
      </c>
      <c r="E1663" s="312" t="str">
        <f t="shared" si="100"/>
        <v>LO</v>
      </c>
      <c r="F1663" s="369">
        <f>VLOOKUP(C1663,METADATA!$A$5:$H$29,IF(E1663="HI",2,IF(E1663="LO",6,10))+IF(D1663=1,2,IF(D1663=7,1,(IF(WEEKDAY(B1663)=1,2,IF(WEEKDAY(B1663)=7,1,0))))))</f>
        <v>3</v>
      </c>
      <c r="G1663" s="369">
        <f>VLOOKUP(C1663,METADATA!$J$5:$Q$29,IF(E1663="HI",2,IF(E1663="LO",6,10))+IF(D1663=1,2,IF(D1663=7,1,(IF(WEEKDAY(B1663)=1,2,IF(WEEKDAY(B1663)=7,1,0))))))</f>
        <v>3</v>
      </c>
      <c r="H1663" s="370">
        <v>13639.704833984375</v>
      </c>
      <c r="I1663" s="370">
        <v>1710.9120254516602</v>
      </c>
      <c r="M1663" s="371">
        <f t="shared" si="101"/>
        <v>13746.591138062258</v>
      </c>
      <c r="N1663" s="329">
        <f t="shared" si="102"/>
        <v>0</v>
      </c>
      <c r="T1663" s="331">
        <v>0</v>
      </c>
      <c r="U1663" s="328">
        <f>VLOOKUP(C1663,METADATA!$J$5:$Q$29,IF(E1663="HI",2,IF(E1663="LO",6,10))+IF(T1663=1,2,IF(D1663=7,1,(IF(WEEKDAY(B1663)=1,2,IF(WEEKDAY(B1663)=7,1,0))))))</f>
        <v>3</v>
      </c>
      <c r="V1663" s="328">
        <f>VLOOKUP(C1663,METADATA!$A$5:$H$29,IF(E1663="HI",2,IF(E1663="LO",6,10))+IF(T1663=1,2,IF(D1663=7,1,(IF(WEEKDAY(B1663)=1,2,IF(WEEKDAY(B1663)=7,1,0))))))</f>
        <v>3</v>
      </c>
    </row>
    <row r="1664" spans="2:22">
      <c r="B1664" s="318">
        <f t="shared" si="103"/>
        <v>46182</v>
      </c>
      <c r="C1664" s="312">
        <v>4</v>
      </c>
      <c r="D1664" s="368">
        <f>IFERROR((INDEX(METADATA!$T$2:$T$20,MATCH(B1664,METADATA!$S$2:$S$20,0))),0)</f>
        <v>0</v>
      </c>
      <c r="E1664" s="312" t="str">
        <f t="shared" si="100"/>
        <v>LO</v>
      </c>
      <c r="F1664" s="369">
        <f>VLOOKUP(C1664,METADATA!$A$5:$H$29,IF(E1664="HI",2,IF(E1664="LO",6,10))+IF(D1664=1,2,IF(D1664=7,1,(IF(WEEKDAY(B1664)=1,2,IF(WEEKDAY(B1664)=7,1,0))))))</f>
        <v>3</v>
      </c>
      <c r="G1664" s="369">
        <f>VLOOKUP(C1664,METADATA!$J$5:$Q$29,IF(E1664="HI",2,IF(E1664="LO",6,10))+IF(D1664=1,2,IF(D1664=7,1,(IF(WEEKDAY(B1664)=1,2,IF(WEEKDAY(B1664)=7,1,0))))))</f>
        <v>3</v>
      </c>
      <c r="H1664" s="370">
        <v>13506.539978027344</v>
      </c>
      <c r="I1664" s="370">
        <v>1679.3525238037109</v>
      </c>
      <c r="M1664" s="371">
        <f t="shared" si="101"/>
        <v>13610.541762812263</v>
      </c>
      <c r="N1664" s="329">
        <f t="shared" si="102"/>
        <v>0</v>
      </c>
      <c r="T1664" s="331">
        <v>0</v>
      </c>
      <c r="U1664" s="328">
        <f>VLOOKUP(C1664,METADATA!$J$5:$Q$29,IF(E1664="HI",2,IF(E1664="LO",6,10))+IF(T1664=1,2,IF(D1664=7,1,(IF(WEEKDAY(B1664)=1,2,IF(WEEKDAY(B1664)=7,1,0))))))</f>
        <v>3</v>
      </c>
      <c r="V1664" s="328">
        <f>VLOOKUP(C1664,METADATA!$A$5:$H$29,IF(E1664="HI",2,IF(E1664="LO",6,10))+IF(T1664=1,2,IF(D1664=7,1,(IF(WEEKDAY(B1664)=1,2,IF(WEEKDAY(B1664)=7,1,0))))))</f>
        <v>3</v>
      </c>
    </row>
    <row r="1665" spans="2:22">
      <c r="B1665" s="318">
        <f t="shared" si="103"/>
        <v>46182</v>
      </c>
      <c r="C1665" s="312">
        <v>5</v>
      </c>
      <c r="D1665" s="368">
        <f>IFERROR((INDEX(METADATA!$T$2:$T$20,MATCH(B1665,METADATA!$S$2:$S$20,0))),0)</f>
        <v>0</v>
      </c>
      <c r="E1665" s="312" t="str">
        <f t="shared" si="100"/>
        <v>LO</v>
      </c>
      <c r="F1665" s="369">
        <f>VLOOKUP(C1665,METADATA!$A$5:$H$29,IF(E1665="HI",2,IF(E1665="LO",6,10))+IF(D1665=1,2,IF(D1665=7,1,(IF(WEEKDAY(B1665)=1,2,IF(WEEKDAY(B1665)=7,1,0))))))</f>
        <v>3</v>
      </c>
      <c r="G1665" s="369">
        <f>VLOOKUP(C1665,METADATA!$J$5:$Q$29,IF(E1665="HI",2,IF(E1665="LO",6,10))+IF(D1665=1,2,IF(D1665=7,1,(IF(WEEKDAY(B1665)=1,2,IF(WEEKDAY(B1665)=7,1,0))))))</f>
        <v>3</v>
      </c>
      <c r="H1665" s="370">
        <v>13604.100158691406</v>
      </c>
      <c r="I1665" s="370">
        <v>1625.5425033569336</v>
      </c>
      <c r="M1665" s="371">
        <f t="shared" si="101"/>
        <v>13700.87331369528</v>
      </c>
      <c r="N1665" s="329">
        <f t="shared" si="102"/>
        <v>0</v>
      </c>
      <c r="T1665" s="331">
        <v>0</v>
      </c>
      <c r="U1665" s="328">
        <f>VLOOKUP(C1665,METADATA!$J$5:$Q$29,IF(E1665="HI",2,IF(E1665="LO",6,10))+IF(T1665=1,2,IF(D1665=7,1,(IF(WEEKDAY(B1665)=1,2,IF(WEEKDAY(B1665)=7,1,0))))))</f>
        <v>3</v>
      </c>
      <c r="V1665" s="328">
        <f>VLOOKUP(C1665,METADATA!$A$5:$H$29,IF(E1665="HI",2,IF(E1665="LO",6,10))+IF(T1665=1,2,IF(D1665=7,1,(IF(WEEKDAY(B1665)=1,2,IF(WEEKDAY(B1665)=7,1,0))))))</f>
        <v>3</v>
      </c>
    </row>
    <row r="1666" spans="2:22">
      <c r="B1666" s="318">
        <f t="shared" si="103"/>
        <v>46182</v>
      </c>
      <c r="C1666" s="312">
        <v>6</v>
      </c>
      <c r="D1666" s="368">
        <f>IFERROR((INDEX(METADATA!$T$2:$T$20,MATCH(B1666,METADATA!$S$2:$S$20,0))),0)</f>
        <v>0</v>
      </c>
      <c r="E1666" s="312" t="str">
        <f t="shared" si="100"/>
        <v>LO</v>
      </c>
      <c r="F1666" s="369">
        <f>VLOOKUP(C1666,METADATA!$A$5:$H$29,IF(E1666="HI",2,IF(E1666="LO",6,10))+IF(D1666=1,2,IF(D1666=7,1,(IF(WEEKDAY(B1666)=1,2,IF(WEEKDAY(B1666)=7,1,0))))))</f>
        <v>2</v>
      </c>
      <c r="G1666" s="369">
        <f>VLOOKUP(C1666,METADATA!$J$5:$Q$29,IF(E1666="HI",2,IF(E1666="LO",6,10))+IF(D1666=1,2,IF(D1666=7,1,(IF(WEEKDAY(B1666)=1,2,IF(WEEKDAY(B1666)=7,1,0))))))</f>
        <v>2</v>
      </c>
      <c r="H1666" s="370">
        <v>13662.525329589844</v>
      </c>
      <c r="I1666" s="370">
        <v>1642.0575714111328</v>
      </c>
      <c r="M1666" s="371">
        <f t="shared" si="101"/>
        <v>13760.848500347378</v>
      </c>
      <c r="N1666" s="329">
        <f t="shared" si="102"/>
        <v>0</v>
      </c>
      <c r="T1666" s="331">
        <v>0</v>
      </c>
      <c r="U1666" s="328">
        <f>VLOOKUP(C1666,METADATA!$J$5:$Q$29,IF(E1666="HI",2,IF(E1666="LO",6,10))+IF(T1666=1,2,IF(D1666=7,1,(IF(WEEKDAY(B1666)=1,2,IF(WEEKDAY(B1666)=7,1,0))))))</f>
        <v>2</v>
      </c>
      <c r="V1666" s="328">
        <f>VLOOKUP(C1666,METADATA!$A$5:$H$29,IF(E1666="HI",2,IF(E1666="LO",6,10))+IF(T1666=1,2,IF(D1666=7,1,(IF(WEEKDAY(B1666)=1,2,IF(WEEKDAY(B1666)=7,1,0))))))</f>
        <v>2</v>
      </c>
    </row>
    <row r="1667" spans="2:22">
      <c r="B1667" s="318">
        <f t="shared" si="103"/>
        <v>46182</v>
      </c>
      <c r="C1667" s="312">
        <v>7</v>
      </c>
      <c r="D1667" s="368">
        <f>IFERROR((INDEX(METADATA!$T$2:$T$20,MATCH(B1667,METADATA!$S$2:$S$20,0))),0)</f>
        <v>0</v>
      </c>
      <c r="E1667" s="312" t="str">
        <f t="shared" si="100"/>
        <v>LO</v>
      </c>
      <c r="F1667" s="369">
        <f>VLOOKUP(C1667,METADATA!$A$5:$H$29,IF(E1667="HI",2,IF(E1667="LO",6,10))+IF(D1667=1,2,IF(D1667=7,1,(IF(WEEKDAY(B1667)=1,2,IF(WEEKDAY(B1667)=7,1,0))))))</f>
        <v>1</v>
      </c>
      <c r="G1667" s="369">
        <f>VLOOKUP(C1667,METADATA!$J$5:$Q$29,IF(E1667="HI",2,IF(E1667="LO",6,10))+IF(D1667=1,2,IF(D1667=7,1,(IF(WEEKDAY(B1667)=1,2,IF(WEEKDAY(B1667)=7,1,0))))))</f>
        <v>1</v>
      </c>
      <c r="H1667" s="370">
        <v>13724.850402832031</v>
      </c>
      <c r="I1667" s="370">
        <v>1747.3900451660156</v>
      </c>
      <c r="M1667" s="371">
        <f t="shared" si="101"/>
        <v>13835.638422207479</v>
      </c>
      <c r="N1667" s="329">
        <f t="shared" si="102"/>
        <v>0</v>
      </c>
      <c r="T1667" s="331">
        <v>0</v>
      </c>
      <c r="U1667" s="328">
        <f>VLOOKUP(C1667,METADATA!$J$5:$Q$29,IF(E1667="HI",2,IF(E1667="LO",6,10))+IF(T1667=1,2,IF(D1667=7,1,(IF(WEEKDAY(B1667)=1,2,IF(WEEKDAY(B1667)=7,1,0))))))</f>
        <v>1</v>
      </c>
      <c r="V1667" s="328">
        <f>VLOOKUP(C1667,METADATA!$A$5:$H$29,IF(E1667="HI",2,IF(E1667="LO",6,10))+IF(T1667=1,2,IF(D1667=7,1,(IF(WEEKDAY(B1667)=1,2,IF(WEEKDAY(B1667)=7,1,0))))))</f>
        <v>1</v>
      </c>
    </row>
    <row r="1668" spans="2:22">
      <c r="B1668" s="318">
        <f t="shared" si="103"/>
        <v>46182</v>
      </c>
      <c r="C1668" s="312">
        <v>8</v>
      </c>
      <c r="D1668" s="368">
        <f>IFERROR((INDEX(METADATA!$T$2:$T$20,MATCH(B1668,METADATA!$S$2:$S$20,0))),0)</f>
        <v>0</v>
      </c>
      <c r="E1668" s="312" t="str">
        <f t="shared" ref="E1668:E1731" si="104">IF(B1668="","",IF(AND(MONTH(B1668)&gt;=MONTH($Z$9),MONTH(B1668)&lt;=MONTH($Z$11)),"HI","LO"))</f>
        <v>LO</v>
      </c>
      <c r="F1668" s="369">
        <f>VLOOKUP(C1668,METADATA!$A$5:$H$29,IF(E1668="HI",2,IF(E1668="LO",6,10))+IF(D1668=1,2,IF(D1668=7,1,(IF(WEEKDAY(B1668)=1,2,IF(WEEKDAY(B1668)=7,1,0))))))</f>
        <v>1</v>
      </c>
      <c r="G1668" s="369">
        <f>VLOOKUP(C1668,METADATA!$J$5:$Q$29,IF(E1668="HI",2,IF(E1668="LO",6,10))+IF(D1668=1,2,IF(D1668=7,1,(IF(WEEKDAY(B1668)=1,2,IF(WEEKDAY(B1668)=7,1,0))))))</f>
        <v>1</v>
      </c>
      <c r="H1668" s="370">
        <v>13789.675109863281</v>
      </c>
      <c r="I1668" s="370">
        <v>1861.3699645996094</v>
      </c>
      <c r="M1668" s="371">
        <f t="shared" ref="M1668:M1731" si="105">SQRT(H1668^2+I1668^2)</f>
        <v>13914.734556602094</v>
      </c>
      <c r="N1668" s="329">
        <f t="shared" ref="N1668:N1731" si="106">IF(H1668=0,0,(IF(I1668-(0.3*H1668)&lt;0,0,(I1668-(0.3*H1668)))))</f>
        <v>0</v>
      </c>
      <c r="T1668" s="331">
        <v>0</v>
      </c>
      <c r="U1668" s="328">
        <f>VLOOKUP(C1668,METADATA!$J$5:$Q$29,IF(E1668="HI",2,IF(E1668="LO",6,10))+IF(T1668=1,2,IF(D1668=7,1,(IF(WEEKDAY(B1668)=1,2,IF(WEEKDAY(B1668)=7,1,0))))))</f>
        <v>1</v>
      </c>
      <c r="V1668" s="328">
        <f>VLOOKUP(C1668,METADATA!$A$5:$H$29,IF(E1668="HI",2,IF(E1668="LO",6,10))+IF(T1668=1,2,IF(D1668=7,1,(IF(WEEKDAY(B1668)=1,2,IF(WEEKDAY(B1668)=7,1,0))))))</f>
        <v>1</v>
      </c>
    </row>
    <row r="1669" spans="2:22">
      <c r="B1669" s="318">
        <f t="shared" si="103"/>
        <v>46182</v>
      </c>
      <c r="C1669" s="312">
        <v>9</v>
      </c>
      <c r="D1669" s="368">
        <f>IFERROR((INDEX(METADATA!$T$2:$T$20,MATCH(B1669,METADATA!$S$2:$S$20,0))),0)</f>
        <v>0</v>
      </c>
      <c r="E1669" s="312" t="str">
        <f t="shared" si="104"/>
        <v>LO</v>
      </c>
      <c r="F1669" s="369">
        <f>VLOOKUP(C1669,METADATA!$A$5:$H$29,IF(E1669="HI",2,IF(E1669="LO",6,10))+IF(D1669=1,2,IF(D1669=7,1,(IF(WEEKDAY(B1669)=1,2,IF(WEEKDAY(B1669)=7,1,0))))))</f>
        <v>2</v>
      </c>
      <c r="G1669" s="369">
        <f>VLOOKUP(C1669,METADATA!$J$5:$Q$29,IF(E1669="HI",2,IF(E1669="LO",6,10))+IF(D1669=1,2,IF(D1669=7,1,(IF(WEEKDAY(B1669)=1,2,IF(WEEKDAY(B1669)=7,1,0))))))</f>
        <v>2</v>
      </c>
      <c r="H1669" s="370">
        <v>13841.200317382813</v>
      </c>
      <c r="I1669" s="370">
        <v>1765.4639844298363</v>
      </c>
      <c r="M1669" s="371">
        <f t="shared" si="105"/>
        <v>13953.339718728163</v>
      </c>
      <c r="N1669" s="329">
        <f t="shared" si="106"/>
        <v>0</v>
      </c>
      <c r="T1669" s="331">
        <v>0</v>
      </c>
      <c r="U1669" s="328">
        <f>VLOOKUP(C1669,METADATA!$J$5:$Q$29,IF(E1669="HI",2,IF(E1669="LO",6,10))+IF(T1669=1,2,IF(D1669=7,1,(IF(WEEKDAY(B1669)=1,2,IF(WEEKDAY(B1669)=7,1,0))))))</f>
        <v>2</v>
      </c>
      <c r="V1669" s="328">
        <f>VLOOKUP(C1669,METADATA!$A$5:$H$29,IF(E1669="HI",2,IF(E1669="LO",6,10))+IF(T1669=1,2,IF(D1669=7,1,(IF(WEEKDAY(B1669)=1,2,IF(WEEKDAY(B1669)=7,1,0))))))</f>
        <v>2</v>
      </c>
    </row>
    <row r="1670" spans="2:22">
      <c r="B1670" s="318">
        <f t="shared" si="103"/>
        <v>46182</v>
      </c>
      <c r="C1670" s="312">
        <v>10</v>
      </c>
      <c r="D1670" s="368">
        <f>IFERROR((INDEX(METADATA!$T$2:$T$20,MATCH(B1670,METADATA!$S$2:$S$20,0))),0)</f>
        <v>0</v>
      </c>
      <c r="E1670" s="312" t="str">
        <f t="shared" si="104"/>
        <v>LO</v>
      </c>
      <c r="F1670" s="369">
        <f>VLOOKUP(C1670,METADATA!$A$5:$H$29,IF(E1670="HI",2,IF(E1670="LO",6,10))+IF(D1670=1,2,IF(D1670=7,1,(IF(WEEKDAY(B1670)=1,2,IF(WEEKDAY(B1670)=7,1,0))))))</f>
        <v>2</v>
      </c>
      <c r="G1670" s="369">
        <f>VLOOKUP(C1670,METADATA!$J$5:$Q$29,IF(E1670="HI",2,IF(E1670="LO",6,10))+IF(D1670=1,2,IF(D1670=7,1,(IF(WEEKDAY(B1670)=1,2,IF(WEEKDAY(B1670)=7,1,0))))))</f>
        <v>2</v>
      </c>
      <c r="H1670" s="370">
        <v>13869.27490234375</v>
      </c>
      <c r="I1670" s="370">
        <v>1900.8725433349609</v>
      </c>
      <c r="M1670" s="371">
        <f t="shared" si="105"/>
        <v>13998.932200092511</v>
      </c>
      <c r="N1670" s="329">
        <f t="shared" si="106"/>
        <v>0</v>
      </c>
      <c r="T1670" s="331">
        <v>0</v>
      </c>
      <c r="U1670" s="328">
        <f>VLOOKUP(C1670,METADATA!$J$5:$Q$29,IF(E1670="HI",2,IF(E1670="LO",6,10))+IF(T1670=1,2,IF(D1670=7,1,(IF(WEEKDAY(B1670)=1,2,IF(WEEKDAY(B1670)=7,1,0))))))</f>
        <v>2</v>
      </c>
      <c r="V1670" s="328">
        <f>VLOOKUP(C1670,METADATA!$A$5:$H$29,IF(E1670="HI",2,IF(E1670="LO",6,10))+IF(T1670=1,2,IF(D1670=7,1,(IF(WEEKDAY(B1670)=1,2,IF(WEEKDAY(B1670)=7,1,0))))))</f>
        <v>2</v>
      </c>
    </row>
    <row r="1671" spans="2:22">
      <c r="B1671" s="318">
        <f t="shared" si="103"/>
        <v>46182</v>
      </c>
      <c r="C1671" s="312">
        <v>11</v>
      </c>
      <c r="D1671" s="368">
        <f>IFERROR((INDEX(METADATA!$T$2:$T$20,MATCH(B1671,METADATA!$S$2:$S$20,0))),0)</f>
        <v>0</v>
      </c>
      <c r="E1671" s="312" t="str">
        <f t="shared" si="104"/>
        <v>LO</v>
      </c>
      <c r="F1671" s="369">
        <f>VLOOKUP(C1671,METADATA!$A$5:$H$29,IF(E1671="HI",2,IF(E1671="LO",6,10))+IF(D1671=1,2,IF(D1671=7,1,(IF(WEEKDAY(B1671)=1,2,IF(WEEKDAY(B1671)=7,1,0))))))</f>
        <v>2</v>
      </c>
      <c r="G1671" s="369">
        <f>VLOOKUP(C1671,METADATA!$J$5:$Q$29,IF(E1671="HI",2,IF(E1671="LO",6,10))+IF(D1671=1,2,IF(D1671=7,1,(IF(WEEKDAY(B1671)=1,2,IF(WEEKDAY(B1671)=7,1,0))))))</f>
        <v>2</v>
      </c>
      <c r="H1671" s="370">
        <v>13733.275146484375</v>
      </c>
      <c r="I1671" s="370">
        <v>2004.9600372314453</v>
      </c>
      <c r="M1671" s="371">
        <f t="shared" si="105"/>
        <v>13878.858418470178</v>
      </c>
      <c r="N1671" s="329">
        <f t="shared" si="106"/>
        <v>0</v>
      </c>
      <c r="T1671" s="331">
        <v>0</v>
      </c>
      <c r="U1671" s="328">
        <f>VLOOKUP(C1671,METADATA!$J$5:$Q$29,IF(E1671="HI",2,IF(E1671="LO",6,10))+IF(T1671=1,2,IF(D1671=7,1,(IF(WEEKDAY(B1671)=1,2,IF(WEEKDAY(B1671)=7,1,0))))))</f>
        <v>2</v>
      </c>
      <c r="V1671" s="328">
        <f>VLOOKUP(C1671,METADATA!$A$5:$H$29,IF(E1671="HI",2,IF(E1671="LO",6,10))+IF(T1671=1,2,IF(D1671=7,1,(IF(WEEKDAY(B1671)=1,2,IF(WEEKDAY(B1671)=7,1,0))))))</f>
        <v>2</v>
      </c>
    </row>
    <row r="1672" spans="2:22">
      <c r="B1672" s="318">
        <f t="shared" si="103"/>
        <v>46182</v>
      </c>
      <c r="C1672" s="312">
        <v>12</v>
      </c>
      <c r="D1672" s="368">
        <f>IFERROR((INDEX(METADATA!$T$2:$T$20,MATCH(B1672,METADATA!$S$2:$S$20,0))),0)</f>
        <v>0</v>
      </c>
      <c r="E1672" s="312" t="str">
        <f t="shared" si="104"/>
        <v>LO</v>
      </c>
      <c r="F1672" s="369">
        <f>VLOOKUP(C1672,METADATA!$A$5:$H$29,IF(E1672="HI",2,IF(E1672="LO",6,10))+IF(D1672=1,2,IF(D1672=7,1,(IF(WEEKDAY(B1672)=1,2,IF(WEEKDAY(B1672)=7,1,0))))))</f>
        <v>2</v>
      </c>
      <c r="G1672" s="369">
        <f>VLOOKUP(C1672,METADATA!$J$5:$Q$29,IF(E1672="HI",2,IF(E1672="LO",6,10))+IF(D1672=1,2,IF(D1672=7,1,(IF(WEEKDAY(B1672)=1,2,IF(WEEKDAY(B1672)=7,1,0))))))</f>
        <v>2</v>
      </c>
      <c r="H1672" s="370">
        <v>12805.900146484375</v>
      </c>
      <c r="I1672" s="370">
        <v>1579.9209861755371</v>
      </c>
      <c r="M1672" s="371">
        <f t="shared" si="105"/>
        <v>12902.993020392069</v>
      </c>
      <c r="N1672" s="329">
        <f t="shared" si="106"/>
        <v>0</v>
      </c>
      <c r="T1672" s="331">
        <v>0</v>
      </c>
      <c r="U1672" s="328">
        <f>VLOOKUP(C1672,METADATA!$J$5:$Q$29,IF(E1672="HI",2,IF(E1672="LO",6,10))+IF(T1672=1,2,IF(D1672=7,1,(IF(WEEKDAY(B1672)=1,2,IF(WEEKDAY(B1672)=7,1,0))))))</f>
        <v>2</v>
      </c>
      <c r="V1672" s="328">
        <f>VLOOKUP(C1672,METADATA!$A$5:$H$29,IF(E1672="HI",2,IF(E1672="LO",6,10))+IF(T1672=1,2,IF(D1672=7,1,(IF(WEEKDAY(B1672)=1,2,IF(WEEKDAY(B1672)=7,1,0))))))</f>
        <v>2</v>
      </c>
    </row>
    <row r="1673" spans="2:22">
      <c r="B1673" s="318">
        <f t="shared" si="103"/>
        <v>46182</v>
      </c>
      <c r="C1673" s="312">
        <v>13</v>
      </c>
      <c r="D1673" s="368">
        <f>IFERROR((INDEX(METADATA!$T$2:$T$20,MATCH(B1673,METADATA!$S$2:$S$20,0))),0)</f>
        <v>0</v>
      </c>
      <c r="E1673" s="312" t="str">
        <f t="shared" si="104"/>
        <v>LO</v>
      </c>
      <c r="F1673" s="369">
        <f>VLOOKUP(C1673,METADATA!$A$5:$H$29,IF(E1673="HI",2,IF(E1673="LO",6,10))+IF(D1673=1,2,IF(D1673=7,1,(IF(WEEKDAY(B1673)=1,2,IF(WEEKDAY(B1673)=7,1,0))))))</f>
        <v>2</v>
      </c>
      <c r="G1673" s="369">
        <f>VLOOKUP(C1673,METADATA!$J$5:$Q$29,IF(E1673="HI",2,IF(E1673="LO",6,10))+IF(D1673=1,2,IF(D1673=7,1,(IF(WEEKDAY(B1673)=1,2,IF(WEEKDAY(B1673)=7,1,0))))))</f>
        <v>2</v>
      </c>
      <c r="H1673" s="370">
        <v>11604.749816894531</v>
      </c>
      <c r="I1673" s="370">
        <v>1485.4800415039063</v>
      </c>
      <c r="M1673" s="371">
        <f t="shared" si="105"/>
        <v>11699.438844082228</v>
      </c>
      <c r="N1673" s="329">
        <f t="shared" si="106"/>
        <v>0</v>
      </c>
      <c r="T1673" s="331">
        <v>0</v>
      </c>
      <c r="U1673" s="328">
        <f>VLOOKUP(C1673,METADATA!$J$5:$Q$29,IF(E1673="HI",2,IF(E1673="LO",6,10))+IF(T1673=1,2,IF(D1673=7,1,(IF(WEEKDAY(B1673)=1,2,IF(WEEKDAY(B1673)=7,1,0))))))</f>
        <v>2</v>
      </c>
      <c r="V1673" s="328">
        <f>VLOOKUP(C1673,METADATA!$A$5:$H$29,IF(E1673="HI",2,IF(E1673="LO",6,10))+IF(T1673=1,2,IF(D1673=7,1,(IF(WEEKDAY(B1673)=1,2,IF(WEEKDAY(B1673)=7,1,0))))))</f>
        <v>2</v>
      </c>
    </row>
    <row r="1674" spans="2:22">
      <c r="B1674" s="318">
        <f t="shared" si="103"/>
        <v>46182</v>
      </c>
      <c r="C1674" s="312">
        <v>14</v>
      </c>
      <c r="D1674" s="368">
        <f>IFERROR((INDEX(METADATA!$T$2:$T$20,MATCH(B1674,METADATA!$S$2:$S$20,0))),0)</f>
        <v>0</v>
      </c>
      <c r="E1674" s="312" t="str">
        <f t="shared" si="104"/>
        <v>LO</v>
      </c>
      <c r="F1674" s="369">
        <f>VLOOKUP(C1674,METADATA!$A$5:$H$29,IF(E1674="HI",2,IF(E1674="LO",6,10))+IF(D1674=1,2,IF(D1674=7,1,(IF(WEEKDAY(B1674)=1,2,IF(WEEKDAY(B1674)=7,1,0))))))</f>
        <v>2</v>
      </c>
      <c r="G1674" s="369">
        <f>VLOOKUP(C1674,METADATA!$J$5:$Q$29,IF(E1674="HI",2,IF(E1674="LO",6,10))+IF(D1674=1,2,IF(D1674=7,1,(IF(WEEKDAY(B1674)=1,2,IF(WEEKDAY(B1674)=7,1,0))))))</f>
        <v>2</v>
      </c>
      <c r="H1674" s="370">
        <v>11639.302185058594</v>
      </c>
      <c r="I1674" s="370">
        <v>1351.944018304348</v>
      </c>
      <c r="M1674" s="371">
        <f t="shared" si="105"/>
        <v>11717.555546432824</v>
      </c>
      <c r="N1674" s="329">
        <f t="shared" si="106"/>
        <v>0</v>
      </c>
      <c r="T1674" s="331">
        <v>0</v>
      </c>
      <c r="U1674" s="328">
        <f>VLOOKUP(C1674,METADATA!$J$5:$Q$29,IF(E1674="HI",2,IF(E1674="LO",6,10))+IF(T1674=1,2,IF(D1674=7,1,(IF(WEEKDAY(B1674)=1,2,IF(WEEKDAY(B1674)=7,1,0))))))</f>
        <v>2</v>
      </c>
      <c r="V1674" s="328">
        <f>VLOOKUP(C1674,METADATA!$A$5:$H$29,IF(E1674="HI",2,IF(E1674="LO",6,10))+IF(T1674=1,2,IF(D1674=7,1,(IF(WEEKDAY(B1674)=1,2,IF(WEEKDAY(B1674)=7,1,0))))))</f>
        <v>2</v>
      </c>
    </row>
    <row r="1675" spans="2:22">
      <c r="B1675" s="318">
        <f t="shared" si="103"/>
        <v>46182</v>
      </c>
      <c r="C1675" s="312">
        <v>15</v>
      </c>
      <c r="D1675" s="368">
        <f>IFERROR((INDEX(METADATA!$T$2:$T$20,MATCH(B1675,METADATA!$S$2:$S$20,0))),0)</f>
        <v>0</v>
      </c>
      <c r="E1675" s="312" t="str">
        <f t="shared" si="104"/>
        <v>LO</v>
      </c>
      <c r="F1675" s="369">
        <f>VLOOKUP(C1675,METADATA!$A$5:$H$29,IF(E1675="HI",2,IF(E1675="LO",6,10))+IF(D1675=1,2,IF(D1675=7,1,(IF(WEEKDAY(B1675)=1,2,IF(WEEKDAY(B1675)=7,1,0))))))</f>
        <v>2</v>
      </c>
      <c r="G1675" s="369">
        <f>VLOOKUP(C1675,METADATA!$J$5:$Q$29,IF(E1675="HI",2,IF(E1675="LO",6,10))+IF(D1675=1,2,IF(D1675=7,1,(IF(WEEKDAY(B1675)=1,2,IF(WEEKDAY(B1675)=7,1,0))))))</f>
        <v>2</v>
      </c>
      <c r="H1675" s="370">
        <v>13427.274841308594</v>
      </c>
      <c r="I1675" s="370">
        <v>1680.9815167784691</v>
      </c>
      <c r="M1675" s="371">
        <f t="shared" si="105"/>
        <v>13532.088106563213</v>
      </c>
      <c r="N1675" s="329">
        <f t="shared" si="106"/>
        <v>0</v>
      </c>
      <c r="T1675" s="331">
        <v>0</v>
      </c>
      <c r="U1675" s="328">
        <f>VLOOKUP(C1675,METADATA!$J$5:$Q$29,IF(E1675="HI",2,IF(E1675="LO",6,10))+IF(T1675=1,2,IF(D1675=7,1,(IF(WEEKDAY(B1675)=1,2,IF(WEEKDAY(B1675)=7,1,0))))))</f>
        <v>2</v>
      </c>
      <c r="V1675" s="328">
        <f>VLOOKUP(C1675,METADATA!$A$5:$H$29,IF(E1675="HI",2,IF(E1675="LO",6,10))+IF(T1675=1,2,IF(D1675=7,1,(IF(WEEKDAY(B1675)=1,2,IF(WEEKDAY(B1675)=7,1,0))))))</f>
        <v>2</v>
      </c>
    </row>
    <row r="1676" spans="2:22">
      <c r="B1676" s="318">
        <f t="shared" si="103"/>
        <v>46182</v>
      </c>
      <c r="C1676" s="312">
        <v>16</v>
      </c>
      <c r="D1676" s="368">
        <f>IFERROR((INDEX(METADATA!$T$2:$T$20,MATCH(B1676,METADATA!$S$2:$S$20,0))),0)</f>
        <v>0</v>
      </c>
      <c r="E1676" s="312" t="str">
        <f t="shared" si="104"/>
        <v>LO</v>
      </c>
      <c r="F1676" s="369">
        <f>VLOOKUP(C1676,METADATA!$A$5:$H$29,IF(E1676="HI",2,IF(E1676="LO",6,10))+IF(D1676=1,2,IF(D1676=7,1,(IF(WEEKDAY(B1676)=1,2,IF(WEEKDAY(B1676)=7,1,0))))))</f>
        <v>2</v>
      </c>
      <c r="G1676" s="369">
        <f>VLOOKUP(C1676,METADATA!$J$5:$Q$29,IF(E1676="HI",2,IF(E1676="LO",6,10))+IF(D1676=1,2,IF(D1676=7,1,(IF(WEEKDAY(B1676)=1,2,IF(WEEKDAY(B1676)=7,1,0))))))</f>
        <v>2</v>
      </c>
      <c r="H1676" s="370">
        <v>13625.175048828125</v>
      </c>
      <c r="I1676" s="370">
        <v>1873.9449768066406</v>
      </c>
      <c r="M1676" s="371">
        <f t="shared" si="105"/>
        <v>13753.438293288968</v>
      </c>
      <c r="N1676" s="329">
        <f t="shared" si="106"/>
        <v>0</v>
      </c>
      <c r="T1676" s="331">
        <v>0</v>
      </c>
      <c r="U1676" s="328">
        <f>VLOOKUP(C1676,METADATA!$J$5:$Q$29,IF(E1676="HI",2,IF(E1676="LO",6,10))+IF(T1676=1,2,IF(D1676=7,1,(IF(WEEKDAY(B1676)=1,2,IF(WEEKDAY(B1676)=7,1,0))))))</f>
        <v>2</v>
      </c>
      <c r="V1676" s="328">
        <f>VLOOKUP(C1676,METADATA!$A$5:$H$29,IF(E1676="HI",2,IF(E1676="LO",6,10))+IF(T1676=1,2,IF(D1676=7,1,(IF(WEEKDAY(B1676)=1,2,IF(WEEKDAY(B1676)=7,1,0))))))</f>
        <v>2</v>
      </c>
    </row>
    <row r="1677" spans="2:22">
      <c r="B1677" s="318">
        <f t="shared" si="103"/>
        <v>46182</v>
      </c>
      <c r="C1677" s="312">
        <v>17</v>
      </c>
      <c r="D1677" s="368">
        <f>IFERROR((INDEX(METADATA!$T$2:$T$20,MATCH(B1677,METADATA!$S$2:$S$20,0))),0)</f>
        <v>0</v>
      </c>
      <c r="E1677" s="312" t="str">
        <f t="shared" si="104"/>
        <v>LO</v>
      </c>
      <c r="F1677" s="369">
        <f>VLOOKUP(C1677,METADATA!$A$5:$H$29,IF(E1677="HI",2,IF(E1677="LO",6,10))+IF(D1677=1,2,IF(D1677=7,1,(IF(WEEKDAY(B1677)=1,2,IF(WEEKDAY(B1677)=7,1,0))))))</f>
        <v>2</v>
      </c>
      <c r="G1677" s="369">
        <f>VLOOKUP(C1677,METADATA!$J$5:$Q$29,IF(E1677="HI",2,IF(E1677="LO",6,10))+IF(D1677=1,2,IF(D1677=7,1,(IF(WEEKDAY(B1677)=1,2,IF(WEEKDAY(B1677)=7,1,0))))))</f>
        <v>2</v>
      </c>
      <c r="H1677" s="370">
        <v>13553.3251953125</v>
      </c>
      <c r="I1677" s="370">
        <v>1789.5599899291992</v>
      </c>
      <c r="M1677" s="371">
        <f t="shared" si="105"/>
        <v>13670.960054343221</v>
      </c>
      <c r="N1677" s="329">
        <f t="shared" si="106"/>
        <v>0</v>
      </c>
      <c r="T1677" s="331">
        <v>0</v>
      </c>
      <c r="U1677" s="328">
        <f>VLOOKUP(C1677,METADATA!$J$5:$Q$29,IF(E1677="HI",2,IF(E1677="LO",6,10))+IF(T1677=1,2,IF(D1677=7,1,(IF(WEEKDAY(B1677)=1,2,IF(WEEKDAY(B1677)=7,1,0))))))</f>
        <v>2</v>
      </c>
      <c r="V1677" s="328">
        <f>VLOOKUP(C1677,METADATA!$A$5:$H$29,IF(E1677="HI",2,IF(E1677="LO",6,10))+IF(T1677=1,2,IF(D1677=7,1,(IF(WEEKDAY(B1677)=1,2,IF(WEEKDAY(B1677)=7,1,0))))))</f>
        <v>2</v>
      </c>
    </row>
    <row r="1678" spans="2:22">
      <c r="B1678" s="318">
        <f t="shared" si="103"/>
        <v>46182</v>
      </c>
      <c r="C1678" s="312">
        <v>18</v>
      </c>
      <c r="D1678" s="368">
        <f>IFERROR((INDEX(METADATA!$T$2:$T$20,MATCH(B1678,METADATA!$S$2:$S$20,0))),0)</f>
        <v>0</v>
      </c>
      <c r="E1678" s="312" t="str">
        <f t="shared" si="104"/>
        <v>LO</v>
      </c>
      <c r="F1678" s="369">
        <f>VLOOKUP(C1678,METADATA!$A$5:$H$29,IF(E1678="HI",2,IF(E1678="LO",6,10))+IF(D1678=1,2,IF(D1678=7,1,(IF(WEEKDAY(B1678)=1,2,IF(WEEKDAY(B1678)=7,1,0))))))</f>
        <v>1</v>
      </c>
      <c r="G1678" s="369">
        <f>VLOOKUP(C1678,METADATA!$J$5:$Q$29,IF(E1678="HI",2,IF(E1678="LO",6,10))+IF(D1678=1,2,IF(D1678=7,1,(IF(WEEKDAY(B1678)=1,2,IF(WEEKDAY(B1678)=7,1,0))))))</f>
        <v>1</v>
      </c>
      <c r="H1678" s="370">
        <v>13656.525024414063</v>
      </c>
      <c r="I1678" s="370">
        <v>1958.8324966430664</v>
      </c>
      <c r="M1678" s="371">
        <f t="shared" si="105"/>
        <v>13796.292998206163</v>
      </c>
      <c r="N1678" s="329">
        <f t="shared" si="106"/>
        <v>0</v>
      </c>
      <c r="T1678" s="331">
        <v>0</v>
      </c>
      <c r="U1678" s="328">
        <f>VLOOKUP(C1678,METADATA!$J$5:$Q$29,IF(E1678="HI",2,IF(E1678="LO",6,10))+IF(T1678=1,2,IF(D1678=7,1,(IF(WEEKDAY(B1678)=1,2,IF(WEEKDAY(B1678)=7,1,0))))))</f>
        <v>1</v>
      </c>
      <c r="V1678" s="328">
        <f>VLOOKUP(C1678,METADATA!$A$5:$H$29,IF(E1678="HI",2,IF(E1678="LO",6,10))+IF(T1678=1,2,IF(D1678=7,1,(IF(WEEKDAY(B1678)=1,2,IF(WEEKDAY(B1678)=7,1,0))))))</f>
        <v>1</v>
      </c>
    </row>
    <row r="1679" spans="2:22">
      <c r="B1679" s="318">
        <f t="shared" si="103"/>
        <v>46182</v>
      </c>
      <c r="C1679" s="312">
        <v>19</v>
      </c>
      <c r="D1679" s="368">
        <f>IFERROR((INDEX(METADATA!$T$2:$T$20,MATCH(B1679,METADATA!$S$2:$S$20,0))),0)</f>
        <v>0</v>
      </c>
      <c r="E1679" s="312" t="str">
        <f t="shared" si="104"/>
        <v>LO</v>
      </c>
      <c r="F1679" s="369">
        <f>VLOOKUP(C1679,METADATA!$A$5:$H$29,IF(E1679="HI",2,IF(E1679="LO",6,10))+IF(D1679=1,2,IF(D1679=7,1,(IF(WEEKDAY(B1679)=1,2,IF(WEEKDAY(B1679)=7,1,0))))))</f>
        <v>1</v>
      </c>
      <c r="G1679" s="369">
        <f>VLOOKUP(C1679,METADATA!$J$5:$Q$29,IF(E1679="HI",2,IF(E1679="LO",6,10))+IF(D1679=1,2,IF(D1679=7,1,(IF(WEEKDAY(B1679)=1,2,IF(WEEKDAY(B1679)=7,1,0))))))</f>
        <v>1</v>
      </c>
      <c r="H1679" s="370">
        <v>13713.025024414063</v>
      </c>
      <c r="I1679" s="370">
        <v>2123.8774642944336</v>
      </c>
      <c r="M1679" s="371">
        <f t="shared" si="105"/>
        <v>13876.52372907365</v>
      </c>
      <c r="N1679" s="329">
        <f t="shared" si="106"/>
        <v>0</v>
      </c>
      <c r="T1679" s="331">
        <v>0</v>
      </c>
      <c r="U1679" s="328">
        <f>VLOOKUP(C1679,METADATA!$J$5:$Q$29,IF(E1679="HI",2,IF(E1679="LO",6,10))+IF(T1679=1,2,IF(D1679=7,1,(IF(WEEKDAY(B1679)=1,2,IF(WEEKDAY(B1679)=7,1,0))))))</f>
        <v>1</v>
      </c>
      <c r="V1679" s="328">
        <f>VLOOKUP(C1679,METADATA!$A$5:$H$29,IF(E1679="HI",2,IF(E1679="LO",6,10))+IF(T1679=1,2,IF(D1679=7,1,(IF(WEEKDAY(B1679)=1,2,IF(WEEKDAY(B1679)=7,1,0))))))</f>
        <v>1</v>
      </c>
    </row>
    <row r="1680" spans="2:22">
      <c r="B1680" s="318">
        <f t="shared" si="103"/>
        <v>46182</v>
      </c>
      <c r="C1680" s="312">
        <v>20</v>
      </c>
      <c r="D1680" s="368">
        <f>IFERROR((INDEX(METADATA!$T$2:$T$20,MATCH(B1680,METADATA!$S$2:$S$20,0))),0)</f>
        <v>0</v>
      </c>
      <c r="E1680" s="312" t="str">
        <f t="shared" si="104"/>
        <v>LO</v>
      </c>
      <c r="F1680" s="369">
        <f>VLOOKUP(C1680,METADATA!$A$5:$H$29,IF(E1680="HI",2,IF(E1680="LO",6,10))+IF(D1680=1,2,IF(D1680=7,1,(IF(WEEKDAY(B1680)=1,2,IF(WEEKDAY(B1680)=7,1,0))))))</f>
        <v>1</v>
      </c>
      <c r="G1680" s="369">
        <f>VLOOKUP(C1680,METADATA!$J$5:$Q$29,IF(E1680="HI",2,IF(E1680="LO",6,10))+IF(D1680=1,2,IF(D1680=7,1,(IF(WEEKDAY(B1680)=1,2,IF(WEEKDAY(B1680)=7,1,0))))))</f>
        <v>1</v>
      </c>
      <c r="H1680" s="370">
        <v>13688.300537109375</v>
      </c>
      <c r="I1680" s="370">
        <v>1957.5124816894531</v>
      </c>
      <c r="M1680" s="371">
        <f t="shared" si="105"/>
        <v>13827.56040341892</v>
      </c>
      <c r="N1680" s="329">
        <f t="shared" si="106"/>
        <v>0</v>
      </c>
      <c r="T1680" s="331">
        <v>0</v>
      </c>
      <c r="U1680" s="328">
        <f>VLOOKUP(C1680,METADATA!$J$5:$Q$29,IF(E1680="HI",2,IF(E1680="LO",6,10))+IF(T1680=1,2,IF(D1680=7,1,(IF(WEEKDAY(B1680)=1,2,IF(WEEKDAY(B1680)=7,1,0))))))</f>
        <v>1</v>
      </c>
      <c r="V1680" s="328">
        <f>VLOOKUP(C1680,METADATA!$A$5:$H$29,IF(E1680="HI",2,IF(E1680="LO",6,10))+IF(T1680=1,2,IF(D1680=7,1,(IF(WEEKDAY(B1680)=1,2,IF(WEEKDAY(B1680)=7,1,0))))))</f>
        <v>1</v>
      </c>
    </row>
    <row r="1681" spans="2:22">
      <c r="B1681" s="318">
        <f t="shared" si="103"/>
        <v>46182</v>
      </c>
      <c r="C1681" s="312">
        <v>21</v>
      </c>
      <c r="D1681" s="368">
        <f>IFERROR((INDEX(METADATA!$T$2:$T$20,MATCH(B1681,METADATA!$S$2:$S$20,0))),0)</f>
        <v>0</v>
      </c>
      <c r="E1681" s="312" t="str">
        <f t="shared" si="104"/>
        <v>LO</v>
      </c>
      <c r="F1681" s="369">
        <f>VLOOKUP(C1681,METADATA!$A$5:$H$29,IF(E1681="HI",2,IF(E1681="LO",6,10))+IF(D1681=1,2,IF(D1681=7,1,(IF(WEEKDAY(B1681)=1,2,IF(WEEKDAY(B1681)=7,1,0))))))</f>
        <v>2</v>
      </c>
      <c r="G1681" s="369">
        <f>VLOOKUP(C1681,METADATA!$J$5:$Q$29,IF(E1681="HI",2,IF(E1681="LO",6,10))+IF(D1681=1,2,IF(D1681=7,1,(IF(WEEKDAY(B1681)=1,2,IF(WEEKDAY(B1681)=7,1,0))))))</f>
        <v>2</v>
      </c>
      <c r="H1681" s="370">
        <v>13802.899780273438</v>
      </c>
      <c r="I1681" s="370">
        <v>2076.2650146484375</v>
      </c>
      <c r="M1681" s="371">
        <f t="shared" si="105"/>
        <v>13958.184651140189</v>
      </c>
      <c r="N1681" s="329">
        <f t="shared" si="106"/>
        <v>0</v>
      </c>
      <c r="T1681" s="331">
        <v>0</v>
      </c>
      <c r="U1681" s="328">
        <f>VLOOKUP(C1681,METADATA!$J$5:$Q$29,IF(E1681="HI",2,IF(E1681="LO",6,10))+IF(T1681=1,2,IF(D1681=7,1,(IF(WEEKDAY(B1681)=1,2,IF(WEEKDAY(B1681)=7,1,0))))))</f>
        <v>2</v>
      </c>
      <c r="V1681" s="328">
        <f>VLOOKUP(C1681,METADATA!$A$5:$H$29,IF(E1681="HI",2,IF(E1681="LO",6,10))+IF(T1681=1,2,IF(D1681=7,1,(IF(WEEKDAY(B1681)=1,2,IF(WEEKDAY(B1681)=7,1,0))))))</f>
        <v>2</v>
      </c>
    </row>
    <row r="1682" spans="2:22">
      <c r="B1682" s="318">
        <f t="shared" si="103"/>
        <v>46182</v>
      </c>
      <c r="C1682" s="312">
        <v>22</v>
      </c>
      <c r="D1682" s="368">
        <f>IFERROR((INDEX(METADATA!$T$2:$T$20,MATCH(B1682,METADATA!$S$2:$S$20,0))),0)</f>
        <v>0</v>
      </c>
      <c r="E1682" s="312" t="str">
        <f t="shared" si="104"/>
        <v>LO</v>
      </c>
      <c r="F1682" s="369">
        <f>VLOOKUP(C1682,METADATA!$A$5:$H$29,IF(E1682="HI",2,IF(E1682="LO",6,10))+IF(D1682=1,2,IF(D1682=7,1,(IF(WEEKDAY(B1682)=1,2,IF(WEEKDAY(B1682)=7,1,0))))))</f>
        <v>3</v>
      </c>
      <c r="G1682" s="369">
        <f>VLOOKUP(C1682,METADATA!$J$5:$Q$29,IF(E1682="HI",2,IF(E1682="LO",6,10))+IF(D1682=1,2,IF(D1682=7,1,(IF(WEEKDAY(B1682)=1,2,IF(WEEKDAY(B1682)=7,1,0))))))</f>
        <v>3</v>
      </c>
      <c r="H1682" s="370">
        <v>13707.274475097656</v>
      </c>
      <c r="I1682" s="370">
        <v>2156.2799835205078</v>
      </c>
      <c r="M1682" s="371">
        <f t="shared" si="105"/>
        <v>13875.839322469648</v>
      </c>
      <c r="N1682" s="329">
        <f t="shared" si="106"/>
        <v>0</v>
      </c>
      <c r="T1682" s="331">
        <v>0</v>
      </c>
      <c r="U1682" s="328">
        <f>VLOOKUP(C1682,METADATA!$J$5:$Q$29,IF(E1682="HI",2,IF(E1682="LO",6,10))+IF(T1682=1,2,IF(D1682=7,1,(IF(WEEKDAY(B1682)=1,2,IF(WEEKDAY(B1682)=7,1,0))))))</f>
        <v>3</v>
      </c>
      <c r="V1682" s="328">
        <f>VLOOKUP(C1682,METADATA!$A$5:$H$29,IF(E1682="HI",2,IF(E1682="LO",6,10))+IF(T1682=1,2,IF(D1682=7,1,(IF(WEEKDAY(B1682)=1,2,IF(WEEKDAY(B1682)=7,1,0))))))</f>
        <v>3</v>
      </c>
    </row>
    <row r="1683" spans="2:22">
      <c r="B1683" s="318">
        <f t="shared" si="103"/>
        <v>46182</v>
      </c>
      <c r="C1683" s="312">
        <v>23</v>
      </c>
      <c r="D1683" s="368">
        <f>IFERROR((INDEX(METADATA!$T$2:$T$20,MATCH(B1683,METADATA!$S$2:$S$20,0))),0)</f>
        <v>0</v>
      </c>
      <c r="E1683" s="312" t="str">
        <f t="shared" si="104"/>
        <v>LO</v>
      </c>
      <c r="F1683" s="369">
        <f>VLOOKUP(C1683,METADATA!$A$5:$H$29,IF(E1683="HI",2,IF(E1683="LO",6,10))+IF(D1683=1,2,IF(D1683=7,1,(IF(WEEKDAY(B1683)=1,2,IF(WEEKDAY(B1683)=7,1,0))))))</f>
        <v>3</v>
      </c>
      <c r="G1683" s="369">
        <f>VLOOKUP(C1683,METADATA!$J$5:$Q$29,IF(E1683="HI",2,IF(E1683="LO",6,10))+IF(D1683=1,2,IF(D1683=7,1,(IF(WEEKDAY(B1683)=1,2,IF(WEEKDAY(B1683)=7,1,0))))))</f>
        <v>3</v>
      </c>
      <c r="H1683" s="370">
        <v>13650.024963378906</v>
      </c>
      <c r="I1683" s="370">
        <v>2226.5325622558594</v>
      </c>
      <c r="M1683" s="371">
        <f t="shared" si="105"/>
        <v>13830.424026458948</v>
      </c>
      <c r="N1683" s="329">
        <f t="shared" si="106"/>
        <v>0</v>
      </c>
      <c r="T1683" s="331">
        <v>0</v>
      </c>
      <c r="U1683" s="328">
        <f>VLOOKUP(C1683,METADATA!$J$5:$Q$29,IF(E1683="HI",2,IF(E1683="LO",6,10))+IF(T1683=1,2,IF(D1683=7,1,(IF(WEEKDAY(B1683)=1,2,IF(WEEKDAY(B1683)=7,1,0))))))</f>
        <v>3</v>
      </c>
      <c r="V1683" s="328">
        <f>VLOOKUP(C1683,METADATA!$A$5:$H$29,IF(E1683="HI",2,IF(E1683="LO",6,10))+IF(T1683=1,2,IF(D1683=7,1,(IF(WEEKDAY(B1683)=1,2,IF(WEEKDAY(B1683)=7,1,0))))))</f>
        <v>3</v>
      </c>
    </row>
    <row r="1684" spans="2:22">
      <c r="B1684" s="318">
        <f t="shared" si="103"/>
        <v>46183</v>
      </c>
      <c r="C1684" s="312">
        <v>0</v>
      </c>
      <c r="D1684" s="368">
        <f>IFERROR((INDEX(METADATA!$T$2:$T$20,MATCH(B1684,METADATA!$S$2:$S$20,0))),0)</f>
        <v>0</v>
      </c>
      <c r="E1684" s="312" t="str">
        <f t="shared" si="104"/>
        <v>LO</v>
      </c>
      <c r="F1684" s="369">
        <f>VLOOKUP(C1684,METADATA!$A$5:$H$29,IF(E1684="HI",2,IF(E1684="LO",6,10))+IF(D1684=1,2,IF(D1684=7,1,(IF(WEEKDAY(B1684)=1,2,IF(WEEKDAY(B1684)=7,1,0))))))</f>
        <v>3</v>
      </c>
      <c r="G1684" s="369">
        <f>VLOOKUP(C1684,METADATA!$J$5:$Q$29,IF(E1684="HI",2,IF(E1684="LO",6,10))+IF(D1684=1,2,IF(D1684=7,1,(IF(WEEKDAY(B1684)=1,2,IF(WEEKDAY(B1684)=7,1,0))))))</f>
        <v>3</v>
      </c>
      <c r="H1684" s="370">
        <v>13766.549499511719</v>
      </c>
      <c r="I1684" s="370">
        <v>2219.0375061035156</v>
      </c>
      <c r="M1684" s="371">
        <f t="shared" si="105"/>
        <v>13944.246576133128</v>
      </c>
      <c r="N1684" s="329">
        <f t="shared" si="106"/>
        <v>0</v>
      </c>
      <c r="T1684" s="331">
        <v>0</v>
      </c>
      <c r="U1684" s="328">
        <f>VLOOKUP(C1684,METADATA!$J$5:$Q$29,IF(E1684="HI",2,IF(E1684="LO",6,10))+IF(T1684=1,2,IF(D1684=7,1,(IF(WEEKDAY(B1684)=1,2,IF(WEEKDAY(B1684)=7,1,0))))))</f>
        <v>3</v>
      </c>
      <c r="V1684" s="328">
        <f>VLOOKUP(C1684,METADATA!$A$5:$H$29,IF(E1684="HI",2,IF(E1684="LO",6,10))+IF(T1684=1,2,IF(D1684=7,1,(IF(WEEKDAY(B1684)=1,2,IF(WEEKDAY(B1684)=7,1,0))))))</f>
        <v>3</v>
      </c>
    </row>
    <row r="1685" spans="2:22">
      <c r="B1685" s="318">
        <f t="shared" si="103"/>
        <v>46183</v>
      </c>
      <c r="C1685" s="312">
        <v>1</v>
      </c>
      <c r="D1685" s="368">
        <f>IFERROR((INDEX(METADATA!$T$2:$T$20,MATCH(B1685,METADATA!$S$2:$S$20,0))),0)</f>
        <v>0</v>
      </c>
      <c r="E1685" s="312" t="str">
        <f t="shared" si="104"/>
        <v>LO</v>
      </c>
      <c r="F1685" s="369">
        <f>VLOOKUP(C1685,METADATA!$A$5:$H$29,IF(E1685="HI",2,IF(E1685="LO",6,10))+IF(D1685=1,2,IF(D1685=7,1,(IF(WEEKDAY(B1685)=1,2,IF(WEEKDAY(B1685)=7,1,0))))))</f>
        <v>3</v>
      </c>
      <c r="G1685" s="369">
        <f>VLOOKUP(C1685,METADATA!$J$5:$Q$29,IF(E1685="HI",2,IF(E1685="LO",6,10))+IF(D1685=1,2,IF(D1685=7,1,(IF(WEEKDAY(B1685)=1,2,IF(WEEKDAY(B1685)=7,1,0))))))</f>
        <v>3</v>
      </c>
      <c r="H1685" s="370">
        <v>13611.449768066406</v>
      </c>
      <c r="I1685" s="370">
        <v>2145.6000061035156</v>
      </c>
      <c r="M1685" s="371">
        <f t="shared" si="105"/>
        <v>13779.519736724731</v>
      </c>
      <c r="N1685" s="329">
        <f t="shared" si="106"/>
        <v>0</v>
      </c>
      <c r="T1685" s="331">
        <v>0</v>
      </c>
      <c r="U1685" s="328">
        <f>VLOOKUP(C1685,METADATA!$J$5:$Q$29,IF(E1685="HI",2,IF(E1685="LO",6,10))+IF(T1685=1,2,IF(D1685=7,1,(IF(WEEKDAY(B1685)=1,2,IF(WEEKDAY(B1685)=7,1,0))))))</f>
        <v>3</v>
      </c>
      <c r="V1685" s="328">
        <f>VLOOKUP(C1685,METADATA!$A$5:$H$29,IF(E1685="HI",2,IF(E1685="LO",6,10))+IF(T1685=1,2,IF(D1685=7,1,(IF(WEEKDAY(B1685)=1,2,IF(WEEKDAY(B1685)=7,1,0))))))</f>
        <v>3</v>
      </c>
    </row>
    <row r="1686" spans="2:22">
      <c r="B1686" s="318">
        <f t="shared" si="103"/>
        <v>46183</v>
      </c>
      <c r="C1686" s="312">
        <v>2</v>
      </c>
      <c r="D1686" s="368">
        <f>IFERROR((INDEX(METADATA!$T$2:$T$20,MATCH(B1686,METADATA!$S$2:$S$20,0))),0)</f>
        <v>0</v>
      </c>
      <c r="E1686" s="312" t="str">
        <f t="shared" si="104"/>
        <v>LO</v>
      </c>
      <c r="F1686" s="369">
        <f>VLOOKUP(C1686,METADATA!$A$5:$H$29,IF(E1686="HI",2,IF(E1686="LO",6,10))+IF(D1686=1,2,IF(D1686=7,1,(IF(WEEKDAY(B1686)=1,2,IF(WEEKDAY(B1686)=7,1,0))))))</f>
        <v>3</v>
      </c>
      <c r="G1686" s="369">
        <f>VLOOKUP(C1686,METADATA!$J$5:$Q$29,IF(E1686="HI",2,IF(E1686="LO",6,10))+IF(D1686=1,2,IF(D1686=7,1,(IF(WEEKDAY(B1686)=1,2,IF(WEEKDAY(B1686)=7,1,0))))))</f>
        <v>3</v>
      </c>
      <c r="H1686" s="370">
        <v>13577.625122070313</v>
      </c>
      <c r="I1686" s="370">
        <v>2142.3830032348633</v>
      </c>
      <c r="M1686" s="371">
        <f t="shared" si="105"/>
        <v>13745.606894132557</v>
      </c>
      <c r="N1686" s="329">
        <f t="shared" si="106"/>
        <v>0</v>
      </c>
      <c r="T1686" s="331">
        <v>0</v>
      </c>
      <c r="U1686" s="328">
        <f>VLOOKUP(C1686,METADATA!$J$5:$Q$29,IF(E1686="HI",2,IF(E1686="LO",6,10))+IF(T1686=1,2,IF(D1686=7,1,(IF(WEEKDAY(B1686)=1,2,IF(WEEKDAY(B1686)=7,1,0))))))</f>
        <v>3</v>
      </c>
      <c r="V1686" s="328">
        <f>VLOOKUP(C1686,METADATA!$A$5:$H$29,IF(E1686="HI",2,IF(E1686="LO",6,10))+IF(T1686=1,2,IF(D1686=7,1,(IF(WEEKDAY(B1686)=1,2,IF(WEEKDAY(B1686)=7,1,0))))))</f>
        <v>3</v>
      </c>
    </row>
    <row r="1687" spans="2:22">
      <c r="B1687" s="318">
        <f t="shared" si="103"/>
        <v>46183</v>
      </c>
      <c r="C1687" s="312">
        <v>3</v>
      </c>
      <c r="D1687" s="368">
        <f>IFERROR((INDEX(METADATA!$T$2:$T$20,MATCH(B1687,METADATA!$S$2:$S$20,0))),0)</f>
        <v>0</v>
      </c>
      <c r="E1687" s="312" t="str">
        <f t="shared" si="104"/>
        <v>LO</v>
      </c>
      <c r="F1687" s="369">
        <f>VLOOKUP(C1687,METADATA!$A$5:$H$29,IF(E1687="HI",2,IF(E1687="LO",6,10))+IF(D1687=1,2,IF(D1687=7,1,(IF(WEEKDAY(B1687)=1,2,IF(WEEKDAY(B1687)=7,1,0))))))</f>
        <v>3</v>
      </c>
      <c r="G1687" s="369">
        <f>VLOOKUP(C1687,METADATA!$J$5:$Q$29,IF(E1687="HI",2,IF(E1687="LO",6,10))+IF(D1687=1,2,IF(D1687=7,1,(IF(WEEKDAY(B1687)=1,2,IF(WEEKDAY(B1687)=7,1,0))))))</f>
        <v>3</v>
      </c>
      <c r="H1687" s="370">
        <v>13638.800170898438</v>
      </c>
      <c r="I1687" s="370">
        <v>2001.3349914550781</v>
      </c>
      <c r="M1687" s="371">
        <f t="shared" si="105"/>
        <v>13784.854437016074</v>
      </c>
      <c r="N1687" s="329">
        <f t="shared" si="106"/>
        <v>0</v>
      </c>
      <c r="T1687" s="331">
        <v>0</v>
      </c>
      <c r="U1687" s="328">
        <f>VLOOKUP(C1687,METADATA!$J$5:$Q$29,IF(E1687="HI",2,IF(E1687="LO",6,10))+IF(T1687=1,2,IF(D1687=7,1,(IF(WEEKDAY(B1687)=1,2,IF(WEEKDAY(B1687)=7,1,0))))))</f>
        <v>3</v>
      </c>
      <c r="V1687" s="328">
        <f>VLOOKUP(C1687,METADATA!$A$5:$H$29,IF(E1687="HI",2,IF(E1687="LO",6,10))+IF(T1687=1,2,IF(D1687=7,1,(IF(WEEKDAY(B1687)=1,2,IF(WEEKDAY(B1687)=7,1,0))))))</f>
        <v>3</v>
      </c>
    </row>
    <row r="1688" spans="2:22">
      <c r="B1688" s="318">
        <f t="shared" si="103"/>
        <v>46183</v>
      </c>
      <c r="C1688" s="312">
        <v>4</v>
      </c>
      <c r="D1688" s="368">
        <f>IFERROR((INDEX(METADATA!$T$2:$T$20,MATCH(B1688,METADATA!$S$2:$S$20,0))),0)</f>
        <v>0</v>
      </c>
      <c r="E1688" s="312" t="str">
        <f t="shared" si="104"/>
        <v>LO</v>
      </c>
      <c r="F1688" s="369">
        <f>VLOOKUP(C1688,METADATA!$A$5:$H$29,IF(E1688="HI",2,IF(E1688="LO",6,10))+IF(D1688=1,2,IF(D1688=7,1,(IF(WEEKDAY(B1688)=1,2,IF(WEEKDAY(B1688)=7,1,0))))))</f>
        <v>3</v>
      </c>
      <c r="G1688" s="369">
        <f>VLOOKUP(C1688,METADATA!$J$5:$Q$29,IF(E1688="HI",2,IF(E1688="LO",6,10))+IF(D1688=1,2,IF(D1688=7,1,(IF(WEEKDAY(B1688)=1,2,IF(WEEKDAY(B1688)=7,1,0))))))</f>
        <v>3</v>
      </c>
      <c r="H1688" s="370">
        <v>13570.39990234375</v>
      </c>
      <c r="I1688" s="370">
        <v>1967.5650482177734</v>
      </c>
      <c r="M1688" s="371">
        <f t="shared" si="105"/>
        <v>13712.296150845761</v>
      </c>
      <c r="N1688" s="329">
        <f t="shared" si="106"/>
        <v>0</v>
      </c>
      <c r="T1688" s="331">
        <v>0</v>
      </c>
      <c r="U1688" s="328">
        <f>VLOOKUP(C1688,METADATA!$J$5:$Q$29,IF(E1688="HI",2,IF(E1688="LO",6,10))+IF(T1688=1,2,IF(D1688=7,1,(IF(WEEKDAY(B1688)=1,2,IF(WEEKDAY(B1688)=7,1,0))))))</f>
        <v>3</v>
      </c>
      <c r="V1688" s="328">
        <f>VLOOKUP(C1688,METADATA!$A$5:$H$29,IF(E1688="HI",2,IF(E1688="LO",6,10))+IF(T1688=1,2,IF(D1688=7,1,(IF(WEEKDAY(B1688)=1,2,IF(WEEKDAY(B1688)=7,1,0))))))</f>
        <v>3</v>
      </c>
    </row>
    <row r="1689" spans="2:22">
      <c r="B1689" s="318">
        <f t="shared" si="103"/>
        <v>46183</v>
      </c>
      <c r="C1689" s="312">
        <v>5</v>
      </c>
      <c r="D1689" s="368">
        <f>IFERROR((INDEX(METADATA!$T$2:$T$20,MATCH(B1689,METADATA!$S$2:$S$20,0))),0)</f>
        <v>0</v>
      </c>
      <c r="E1689" s="312" t="str">
        <f t="shared" si="104"/>
        <v>LO</v>
      </c>
      <c r="F1689" s="369">
        <f>VLOOKUP(C1689,METADATA!$A$5:$H$29,IF(E1689="HI",2,IF(E1689="LO",6,10))+IF(D1689=1,2,IF(D1689=7,1,(IF(WEEKDAY(B1689)=1,2,IF(WEEKDAY(B1689)=7,1,0))))))</f>
        <v>3</v>
      </c>
      <c r="G1689" s="369">
        <f>VLOOKUP(C1689,METADATA!$J$5:$Q$29,IF(E1689="HI",2,IF(E1689="LO",6,10))+IF(D1689=1,2,IF(D1689=7,1,(IF(WEEKDAY(B1689)=1,2,IF(WEEKDAY(B1689)=7,1,0))))))</f>
        <v>3</v>
      </c>
      <c r="H1689" s="370">
        <v>12864.324951171875</v>
      </c>
      <c r="I1689" s="370">
        <v>2023.9000101089478</v>
      </c>
      <c r="M1689" s="371">
        <f t="shared" si="105"/>
        <v>13022.558416081774</v>
      </c>
      <c r="N1689" s="329">
        <f t="shared" si="106"/>
        <v>0</v>
      </c>
      <c r="T1689" s="331">
        <v>0</v>
      </c>
      <c r="U1689" s="328">
        <f>VLOOKUP(C1689,METADATA!$J$5:$Q$29,IF(E1689="HI",2,IF(E1689="LO",6,10))+IF(T1689=1,2,IF(D1689=7,1,(IF(WEEKDAY(B1689)=1,2,IF(WEEKDAY(B1689)=7,1,0))))))</f>
        <v>3</v>
      </c>
      <c r="V1689" s="328">
        <f>VLOOKUP(C1689,METADATA!$A$5:$H$29,IF(E1689="HI",2,IF(E1689="LO",6,10))+IF(T1689=1,2,IF(D1689=7,1,(IF(WEEKDAY(B1689)=1,2,IF(WEEKDAY(B1689)=7,1,0))))))</f>
        <v>3</v>
      </c>
    </row>
    <row r="1690" spans="2:22">
      <c r="B1690" s="318">
        <f t="shared" si="103"/>
        <v>46183</v>
      </c>
      <c r="C1690" s="312">
        <v>6</v>
      </c>
      <c r="D1690" s="368">
        <f>IFERROR((INDEX(METADATA!$T$2:$T$20,MATCH(B1690,METADATA!$S$2:$S$20,0))),0)</f>
        <v>0</v>
      </c>
      <c r="E1690" s="312" t="str">
        <f t="shared" si="104"/>
        <v>LO</v>
      </c>
      <c r="F1690" s="369">
        <f>VLOOKUP(C1690,METADATA!$A$5:$H$29,IF(E1690="HI",2,IF(E1690="LO",6,10))+IF(D1690=1,2,IF(D1690=7,1,(IF(WEEKDAY(B1690)=1,2,IF(WEEKDAY(B1690)=7,1,0))))))</f>
        <v>2</v>
      </c>
      <c r="G1690" s="369">
        <f>VLOOKUP(C1690,METADATA!$J$5:$Q$29,IF(E1690="HI",2,IF(E1690="LO",6,10))+IF(D1690=1,2,IF(D1690=7,1,(IF(WEEKDAY(B1690)=1,2,IF(WEEKDAY(B1690)=7,1,0))))))</f>
        <v>2</v>
      </c>
      <c r="H1690" s="370">
        <v>11557.380096435547</v>
      </c>
      <c r="I1690" s="370">
        <v>1836.9599914550781</v>
      </c>
      <c r="M1690" s="371">
        <f t="shared" si="105"/>
        <v>11702.455157089524</v>
      </c>
      <c r="N1690" s="329">
        <f t="shared" si="106"/>
        <v>0</v>
      </c>
      <c r="T1690" s="331">
        <v>0</v>
      </c>
      <c r="U1690" s="328">
        <f>VLOOKUP(C1690,METADATA!$J$5:$Q$29,IF(E1690="HI",2,IF(E1690="LO",6,10))+IF(T1690=1,2,IF(D1690=7,1,(IF(WEEKDAY(B1690)=1,2,IF(WEEKDAY(B1690)=7,1,0))))))</f>
        <v>2</v>
      </c>
      <c r="V1690" s="328">
        <f>VLOOKUP(C1690,METADATA!$A$5:$H$29,IF(E1690="HI",2,IF(E1690="LO",6,10))+IF(T1690=1,2,IF(D1690=7,1,(IF(WEEKDAY(B1690)=1,2,IF(WEEKDAY(B1690)=7,1,0))))))</f>
        <v>2</v>
      </c>
    </row>
    <row r="1691" spans="2:22">
      <c r="B1691" s="318">
        <f t="shared" si="103"/>
        <v>46183</v>
      </c>
      <c r="C1691" s="312">
        <v>7</v>
      </c>
      <c r="D1691" s="368">
        <f>IFERROR((INDEX(METADATA!$T$2:$T$20,MATCH(B1691,METADATA!$S$2:$S$20,0))),0)</f>
        <v>0</v>
      </c>
      <c r="E1691" s="312" t="str">
        <f t="shared" si="104"/>
        <v>LO</v>
      </c>
      <c r="F1691" s="369">
        <f>VLOOKUP(C1691,METADATA!$A$5:$H$29,IF(E1691="HI",2,IF(E1691="LO",6,10))+IF(D1691=1,2,IF(D1691=7,1,(IF(WEEKDAY(B1691)=1,2,IF(WEEKDAY(B1691)=7,1,0))))))</f>
        <v>1</v>
      </c>
      <c r="G1691" s="369">
        <f>VLOOKUP(C1691,METADATA!$J$5:$Q$29,IF(E1691="HI",2,IF(E1691="LO",6,10))+IF(D1691=1,2,IF(D1691=7,1,(IF(WEEKDAY(B1691)=1,2,IF(WEEKDAY(B1691)=7,1,0))))))</f>
        <v>1</v>
      </c>
      <c r="H1691" s="370">
        <v>11758.61767578125</v>
      </c>
      <c r="I1691" s="370">
        <v>1841.5199890136719</v>
      </c>
      <c r="M1691" s="371">
        <f t="shared" si="105"/>
        <v>11901.944610656368</v>
      </c>
      <c r="N1691" s="329">
        <f t="shared" si="106"/>
        <v>0</v>
      </c>
      <c r="T1691" s="331">
        <v>0</v>
      </c>
      <c r="U1691" s="328">
        <f>VLOOKUP(C1691,METADATA!$J$5:$Q$29,IF(E1691="HI",2,IF(E1691="LO",6,10))+IF(T1691=1,2,IF(D1691=7,1,(IF(WEEKDAY(B1691)=1,2,IF(WEEKDAY(B1691)=7,1,0))))))</f>
        <v>1</v>
      </c>
      <c r="V1691" s="328">
        <f>VLOOKUP(C1691,METADATA!$A$5:$H$29,IF(E1691="HI",2,IF(E1691="LO",6,10))+IF(T1691=1,2,IF(D1691=7,1,(IF(WEEKDAY(B1691)=1,2,IF(WEEKDAY(B1691)=7,1,0))))))</f>
        <v>1</v>
      </c>
    </row>
    <row r="1692" spans="2:22">
      <c r="B1692" s="318">
        <f t="shared" ref="B1692:B1755" si="107">B1668+1</f>
        <v>46183</v>
      </c>
      <c r="C1692" s="312">
        <v>8</v>
      </c>
      <c r="D1692" s="368">
        <f>IFERROR((INDEX(METADATA!$T$2:$T$20,MATCH(B1692,METADATA!$S$2:$S$20,0))),0)</f>
        <v>0</v>
      </c>
      <c r="E1692" s="312" t="str">
        <f t="shared" si="104"/>
        <v>LO</v>
      </c>
      <c r="F1692" s="369">
        <f>VLOOKUP(C1692,METADATA!$A$5:$H$29,IF(E1692="HI",2,IF(E1692="LO",6,10))+IF(D1692=1,2,IF(D1692=7,1,(IF(WEEKDAY(B1692)=1,2,IF(WEEKDAY(B1692)=7,1,0))))))</f>
        <v>1</v>
      </c>
      <c r="G1692" s="369">
        <f>VLOOKUP(C1692,METADATA!$J$5:$Q$29,IF(E1692="HI",2,IF(E1692="LO",6,10))+IF(D1692=1,2,IF(D1692=7,1,(IF(WEEKDAY(B1692)=1,2,IF(WEEKDAY(B1692)=7,1,0))))))</f>
        <v>1</v>
      </c>
      <c r="H1692" s="370">
        <v>11908.424835205078</v>
      </c>
      <c r="I1692" s="370">
        <v>1838.7360066771507</v>
      </c>
      <c r="M1692" s="371">
        <f t="shared" si="105"/>
        <v>12049.544894226508</v>
      </c>
      <c r="N1692" s="329">
        <f t="shared" si="106"/>
        <v>0</v>
      </c>
      <c r="T1692" s="331">
        <v>0</v>
      </c>
      <c r="U1692" s="328">
        <f>VLOOKUP(C1692,METADATA!$J$5:$Q$29,IF(E1692="HI",2,IF(E1692="LO",6,10))+IF(T1692=1,2,IF(D1692=7,1,(IF(WEEKDAY(B1692)=1,2,IF(WEEKDAY(B1692)=7,1,0))))))</f>
        <v>1</v>
      </c>
      <c r="V1692" s="328">
        <f>VLOOKUP(C1692,METADATA!$A$5:$H$29,IF(E1692="HI",2,IF(E1692="LO",6,10))+IF(T1692=1,2,IF(D1692=7,1,(IF(WEEKDAY(B1692)=1,2,IF(WEEKDAY(B1692)=7,1,0))))))</f>
        <v>1</v>
      </c>
    </row>
    <row r="1693" spans="2:22">
      <c r="B1693" s="318">
        <f t="shared" si="107"/>
        <v>46183</v>
      </c>
      <c r="C1693" s="312">
        <v>9</v>
      </c>
      <c r="D1693" s="368">
        <f>IFERROR((INDEX(METADATA!$T$2:$T$20,MATCH(B1693,METADATA!$S$2:$S$20,0))),0)</f>
        <v>0</v>
      </c>
      <c r="E1693" s="312" t="str">
        <f t="shared" si="104"/>
        <v>LO</v>
      </c>
      <c r="F1693" s="369">
        <f>VLOOKUP(C1693,METADATA!$A$5:$H$29,IF(E1693="HI",2,IF(E1693="LO",6,10))+IF(D1693=1,2,IF(D1693=7,1,(IF(WEEKDAY(B1693)=1,2,IF(WEEKDAY(B1693)=7,1,0))))))</f>
        <v>2</v>
      </c>
      <c r="G1693" s="369">
        <f>VLOOKUP(C1693,METADATA!$J$5:$Q$29,IF(E1693="HI",2,IF(E1693="LO",6,10))+IF(D1693=1,2,IF(D1693=7,1,(IF(WEEKDAY(B1693)=1,2,IF(WEEKDAY(B1693)=7,1,0))))))</f>
        <v>2</v>
      </c>
      <c r="H1693" s="370">
        <v>13806.92529296875</v>
      </c>
      <c r="I1693" s="370">
        <v>2295.0999450683594</v>
      </c>
      <c r="M1693" s="371">
        <f t="shared" si="105"/>
        <v>13996.380596549701</v>
      </c>
      <c r="N1693" s="329">
        <f t="shared" si="106"/>
        <v>0</v>
      </c>
      <c r="T1693" s="331">
        <v>0</v>
      </c>
      <c r="U1693" s="328">
        <f>VLOOKUP(C1693,METADATA!$J$5:$Q$29,IF(E1693="HI",2,IF(E1693="LO",6,10))+IF(T1693=1,2,IF(D1693=7,1,(IF(WEEKDAY(B1693)=1,2,IF(WEEKDAY(B1693)=7,1,0))))))</f>
        <v>2</v>
      </c>
      <c r="V1693" s="328">
        <f>VLOOKUP(C1693,METADATA!$A$5:$H$29,IF(E1693="HI",2,IF(E1693="LO",6,10))+IF(T1693=1,2,IF(D1693=7,1,(IF(WEEKDAY(B1693)=1,2,IF(WEEKDAY(B1693)=7,1,0))))))</f>
        <v>2</v>
      </c>
    </row>
    <row r="1694" spans="2:22">
      <c r="B1694" s="318">
        <f t="shared" si="107"/>
        <v>46183</v>
      </c>
      <c r="C1694" s="312">
        <v>10</v>
      </c>
      <c r="D1694" s="368">
        <f>IFERROR((INDEX(METADATA!$T$2:$T$20,MATCH(B1694,METADATA!$S$2:$S$20,0))),0)</f>
        <v>0</v>
      </c>
      <c r="E1694" s="312" t="str">
        <f t="shared" si="104"/>
        <v>LO</v>
      </c>
      <c r="F1694" s="369">
        <f>VLOOKUP(C1694,METADATA!$A$5:$H$29,IF(E1694="HI",2,IF(E1694="LO",6,10))+IF(D1694=1,2,IF(D1694=7,1,(IF(WEEKDAY(B1694)=1,2,IF(WEEKDAY(B1694)=7,1,0))))))</f>
        <v>2</v>
      </c>
      <c r="G1694" s="369">
        <f>VLOOKUP(C1694,METADATA!$J$5:$Q$29,IF(E1694="HI",2,IF(E1694="LO",6,10))+IF(D1694=1,2,IF(D1694=7,1,(IF(WEEKDAY(B1694)=1,2,IF(WEEKDAY(B1694)=7,1,0))))))</f>
        <v>2</v>
      </c>
      <c r="H1694" s="370">
        <v>13691.949645996094</v>
      </c>
      <c r="I1694" s="370">
        <v>2382.360107421875</v>
      </c>
      <c r="M1694" s="371">
        <f t="shared" si="105"/>
        <v>13897.666163422105</v>
      </c>
      <c r="N1694" s="329">
        <f t="shared" si="106"/>
        <v>0</v>
      </c>
      <c r="T1694" s="331">
        <v>0</v>
      </c>
      <c r="U1694" s="328">
        <f>VLOOKUP(C1694,METADATA!$J$5:$Q$29,IF(E1694="HI",2,IF(E1694="LO",6,10))+IF(T1694=1,2,IF(D1694=7,1,(IF(WEEKDAY(B1694)=1,2,IF(WEEKDAY(B1694)=7,1,0))))))</f>
        <v>2</v>
      </c>
      <c r="V1694" s="328">
        <f>VLOOKUP(C1694,METADATA!$A$5:$H$29,IF(E1694="HI",2,IF(E1694="LO",6,10))+IF(T1694=1,2,IF(D1694=7,1,(IF(WEEKDAY(B1694)=1,2,IF(WEEKDAY(B1694)=7,1,0))))))</f>
        <v>2</v>
      </c>
    </row>
    <row r="1695" spans="2:22">
      <c r="B1695" s="318">
        <f t="shared" si="107"/>
        <v>46183</v>
      </c>
      <c r="C1695" s="312">
        <v>11</v>
      </c>
      <c r="D1695" s="368">
        <f>IFERROR((INDEX(METADATA!$T$2:$T$20,MATCH(B1695,METADATA!$S$2:$S$20,0))),0)</f>
        <v>0</v>
      </c>
      <c r="E1695" s="312" t="str">
        <f t="shared" si="104"/>
        <v>LO</v>
      </c>
      <c r="F1695" s="369">
        <f>VLOOKUP(C1695,METADATA!$A$5:$H$29,IF(E1695="HI",2,IF(E1695="LO",6,10))+IF(D1695=1,2,IF(D1695=7,1,(IF(WEEKDAY(B1695)=1,2,IF(WEEKDAY(B1695)=7,1,0))))))</f>
        <v>2</v>
      </c>
      <c r="G1695" s="369">
        <f>VLOOKUP(C1695,METADATA!$J$5:$Q$29,IF(E1695="HI",2,IF(E1695="LO",6,10))+IF(D1695=1,2,IF(D1695=7,1,(IF(WEEKDAY(B1695)=1,2,IF(WEEKDAY(B1695)=7,1,0))))))</f>
        <v>2</v>
      </c>
      <c r="H1695" s="370">
        <v>13739.449890136719</v>
      </c>
      <c r="I1695" s="370">
        <v>2378.3051071166992</v>
      </c>
      <c r="M1695" s="371">
        <f t="shared" si="105"/>
        <v>13943.773465820335</v>
      </c>
      <c r="N1695" s="329">
        <f t="shared" si="106"/>
        <v>0</v>
      </c>
      <c r="T1695" s="331">
        <v>0</v>
      </c>
      <c r="U1695" s="328">
        <f>VLOOKUP(C1695,METADATA!$J$5:$Q$29,IF(E1695="HI",2,IF(E1695="LO",6,10))+IF(T1695=1,2,IF(D1695=7,1,(IF(WEEKDAY(B1695)=1,2,IF(WEEKDAY(B1695)=7,1,0))))))</f>
        <v>2</v>
      </c>
      <c r="V1695" s="328">
        <f>VLOOKUP(C1695,METADATA!$A$5:$H$29,IF(E1695="HI",2,IF(E1695="LO",6,10))+IF(T1695=1,2,IF(D1695=7,1,(IF(WEEKDAY(B1695)=1,2,IF(WEEKDAY(B1695)=7,1,0))))))</f>
        <v>2</v>
      </c>
    </row>
    <row r="1696" spans="2:22">
      <c r="B1696" s="318">
        <f t="shared" si="107"/>
        <v>46183</v>
      </c>
      <c r="C1696" s="312">
        <v>12</v>
      </c>
      <c r="D1696" s="368">
        <f>IFERROR((INDEX(METADATA!$T$2:$T$20,MATCH(B1696,METADATA!$S$2:$S$20,0))),0)</f>
        <v>0</v>
      </c>
      <c r="E1696" s="312" t="str">
        <f t="shared" si="104"/>
        <v>LO</v>
      </c>
      <c r="F1696" s="369">
        <f>VLOOKUP(C1696,METADATA!$A$5:$H$29,IF(E1696="HI",2,IF(E1696="LO",6,10))+IF(D1696=1,2,IF(D1696=7,1,(IF(WEEKDAY(B1696)=1,2,IF(WEEKDAY(B1696)=7,1,0))))))</f>
        <v>2</v>
      </c>
      <c r="G1696" s="369">
        <f>VLOOKUP(C1696,METADATA!$J$5:$Q$29,IF(E1696="HI",2,IF(E1696="LO",6,10))+IF(D1696=1,2,IF(D1696=7,1,(IF(WEEKDAY(B1696)=1,2,IF(WEEKDAY(B1696)=7,1,0))))))</f>
        <v>2</v>
      </c>
      <c r="H1696" s="370">
        <v>13765.175048828125</v>
      </c>
      <c r="I1696" s="370">
        <v>2266.410041809082</v>
      </c>
      <c r="M1696" s="371">
        <f t="shared" si="105"/>
        <v>13950.507467561652</v>
      </c>
      <c r="N1696" s="329">
        <f t="shared" si="106"/>
        <v>0</v>
      </c>
      <c r="T1696" s="331">
        <v>0</v>
      </c>
      <c r="U1696" s="328">
        <f>VLOOKUP(C1696,METADATA!$J$5:$Q$29,IF(E1696="HI",2,IF(E1696="LO",6,10))+IF(T1696=1,2,IF(D1696=7,1,(IF(WEEKDAY(B1696)=1,2,IF(WEEKDAY(B1696)=7,1,0))))))</f>
        <v>2</v>
      </c>
      <c r="V1696" s="328">
        <f>VLOOKUP(C1696,METADATA!$A$5:$H$29,IF(E1696="HI",2,IF(E1696="LO",6,10))+IF(T1696=1,2,IF(D1696=7,1,(IF(WEEKDAY(B1696)=1,2,IF(WEEKDAY(B1696)=7,1,0))))))</f>
        <v>2</v>
      </c>
    </row>
    <row r="1697" spans="2:22">
      <c r="B1697" s="318">
        <f t="shared" si="107"/>
        <v>46183</v>
      </c>
      <c r="C1697" s="312">
        <v>13</v>
      </c>
      <c r="D1697" s="368">
        <f>IFERROR((INDEX(METADATA!$T$2:$T$20,MATCH(B1697,METADATA!$S$2:$S$20,0))),0)</f>
        <v>0</v>
      </c>
      <c r="E1697" s="312" t="str">
        <f t="shared" si="104"/>
        <v>LO</v>
      </c>
      <c r="F1697" s="369">
        <f>VLOOKUP(C1697,METADATA!$A$5:$H$29,IF(E1697="HI",2,IF(E1697="LO",6,10))+IF(D1697=1,2,IF(D1697=7,1,(IF(WEEKDAY(B1697)=1,2,IF(WEEKDAY(B1697)=7,1,0))))))</f>
        <v>2</v>
      </c>
      <c r="G1697" s="369">
        <f>VLOOKUP(C1697,METADATA!$J$5:$Q$29,IF(E1697="HI",2,IF(E1697="LO",6,10))+IF(D1697=1,2,IF(D1697=7,1,(IF(WEEKDAY(B1697)=1,2,IF(WEEKDAY(B1697)=7,1,0))))))</f>
        <v>2</v>
      </c>
      <c r="H1697" s="370">
        <v>13811.22509765625</v>
      </c>
      <c r="I1697" s="370">
        <v>2226.1174621582031</v>
      </c>
      <c r="M1697" s="371">
        <f t="shared" si="105"/>
        <v>13989.479534759525</v>
      </c>
      <c r="N1697" s="329">
        <f t="shared" si="106"/>
        <v>0</v>
      </c>
      <c r="T1697" s="331">
        <v>0</v>
      </c>
      <c r="U1697" s="328">
        <f>VLOOKUP(C1697,METADATA!$J$5:$Q$29,IF(E1697="HI",2,IF(E1697="LO",6,10))+IF(T1697=1,2,IF(D1697=7,1,(IF(WEEKDAY(B1697)=1,2,IF(WEEKDAY(B1697)=7,1,0))))))</f>
        <v>2</v>
      </c>
      <c r="V1697" s="328">
        <f>VLOOKUP(C1697,METADATA!$A$5:$H$29,IF(E1697="HI",2,IF(E1697="LO",6,10))+IF(T1697=1,2,IF(D1697=7,1,(IF(WEEKDAY(B1697)=1,2,IF(WEEKDAY(B1697)=7,1,0))))))</f>
        <v>2</v>
      </c>
    </row>
    <row r="1698" spans="2:22">
      <c r="B1698" s="318">
        <f t="shared" si="107"/>
        <v>46183</v>
      </c>
      <c r="C1698" s="312">
        <v>14</v>
      </c>
      <c r="D1698" s="368">
        <f>IFERROR((INDEX(METADATA!$T$2:$T$20,MATCH(B1698,METADATA!$S$2:$S$20,0))),0)</f>
        <v>0</v>
      </c>
      <c r="E1698" s="312" t="str">
        <f t="shared" si="104"/>
        <v>LO</v>
      </c>
      <c r="F1698" s="369">
        <f>VLOOKUP(C1698,METADATA!$A$5:$H$29,IF(E1698="HI",2,IF(E1698="LO",6,10))+IF(D1698=1,2,IF(D1698=7,1,(IF(WEEKDAY(B1698)=1,2,IF(WEEKDAY(B1698)=7,1,0))))))</f>
        <v>2</v>
      </c>
      <c r="G1698" s="369">
        <f>VLOOKUP(C1698,METADATA!$J$5:$Q$29,IF(E1698="HI",2,IF(E1698="LO",6,10))+IF(D1698=1,2,IF(D1698=7,1,(IF(WEEKDAY(B1698)=1,2,IF(WEEKDAY(B1698)=7,1,0))))))</f>
        <v>2</v>
      </c>
      <c r="H1698" s="370">
        <v>13863.275024414063</v>
      </c>
      <c r="I1698" s="370">
        <v>2250.3600158691406</v>
      </c>
      <c r="M1698" s="371">
        <f t="shared" si="105"/>
        <v>14044.732628411453</v>
      </c>
      <c r="N1698" s="329">
        <f t="shared" si="106"/>
        <v>0</v>
      </c>
      <c r="T1698" s="331">
        <v>0</v>
      </c>
      <c r="U1698" s="328">
        <f>VLOOKUP(C1698,METADATA!$J$5:$Q$29,IF(E1698="HI",2,IF(E1698="LO",6,10))+IF(T1698=1,2,IF(D1698=7,1,(IF(WEEKDAY(B1698)=1,2,IF(WEEKDAY(B1698)=7,1,0))))))</f>
        <v>2</v>
      </c>
      <c r="V1698" s="328">
        <f>VLOOKUP(C1698,METADATA!$A$5:$H$29,IF(E1698="HI",2,IF(E1698="LO",6,10))+IF(T1698=1,2,IF(D1698=7,1,(IF(WEEKDAY(B1698)=1,2,IF(WEEKDAY(B1698)=7,1,0))))))</f>
        <v>2</v>
      </c>
    </row>
    <row r="1699" spans="2:22">
      <c r="B1699" s="318">
        <f t="shared" si="107"/>
        <v>46183</v>
      </c>
      <c r="C1699" s="312">
        <v>15</v>
      </c>
      <c r="D1699" s="368">
        <f>IFERROR((INDEX(METADATA!$T$2:$T$20,MATCH(B1699,METADATA!$S$2:$S$20,0))),0)</f>
        <v>0</v>
      </c>
      <c r="E1699" s="312" t="str">
        <f t="shared" si="104"/>
        <v>LO</v>
      </c>
      <c r="F1699" s="369">
        <f>VLOOKUP(C1699,METADATA!$A$5:$H$29,IF(E1699="HI",2,IF(E1699="LO",6,10))+IF(D1699=1,2,IF(D1699=7,1,(IF(WEEKDAY(B1699)=1,2,IF(WEEKDAY(B1699)=7,1,0))))))</f>
        <v>2</v>
      </c>
      <c r="G1699" s="369">
        <f>VLOOKUP(C1699,METADATA!$J$5:$Q$29,IF(E1699="HI",2,IF(E1699="LO",6,10))+IF(D1699=1,2,IF(D1699=7,1,(IF(WEEKDAY(B1699)=1,2,IF(WEEKDAY(B1699)=7,1,0))))))</f>
        <v>2</v>
      </c>
      <c r="H1699" s="370">
        <v>13774.700134277344</v>
      </c>
      <c r="I1699" s="370">
        <v>2032.2974853515625</v>
      </c>
      <c r="M1699" s="371">
        <f t="shared" si="105"/>
        <v>13923.814019808888</v>
      </c>
      <c r="N1699" s="329">
        <f t="shared" si="106"/>
        <v>0</v>
      </c>
      <c r="T1699" s="331">
        <v>0</v>
      </c>
      <c r="U1699" s="328">
        <f>VLOOKUP(C1699,METADATA!$J$5:$Q$29,IF(E1699="HI",2,IF(E1699="LO",6,10))+IF(T1699=1,2,IF(D1699=7,1,(IF(WEEKDAY(B1699)=1,2,IF(WEEKDAY(B1699)=7,1,0))))))</f>
        <v>2</v>
      </c>
      <c r="V1699" s="328">
        <f>VLOOKUP(C1699,METADATA!$A$5:$H$29,IF(E1699="HI",2,IF(E1699="LO",6,10))+IF(T1699=1,2,IF(D1699=7,1,(IF(WEEKDAY(B1699)=1,2,IF(WEEKDAY(B1699)=7,1,0))))))</f>
        <v>2</v>
      </c>
    </row>
    <row r="1700" spans="2:22">
      <c r="B1700" s="318">
        <f t="shared" si="107"/>
        <v>46183</v>
      </c>
      <c r="C1700" s="312">
        <v>16</v>
      </c>
      <c r="D1700" s="368">
        <f>IFERROR((INDEX(METADATA!$T$2:$T$20,MATCH(B1700,METADATA!$S$2:$S$20,0))),0)</f>
        <v>0</v>
      </c>
      <c r="E1700" s="312" t="str">
        <f t="shared" si="104"/>
        <v>LO</v>
      </c>
      <c r="F1700" s="369">
        <f>VLOOKUP(C1700,METADATA!$A$5:$H$29,IF(E1700="HI",2,IF(E1700="LO",6,10))+IF(D1700=1,2,IF(D1700=7,1,(IF(WEEKDAY(B1700)=1,2,IF(WEEKDAY(B1700)=7,1,0))))))</f>
        <v>2</v>
      </c>
      <c r="G1700" s="369">
        <f>VLOOKUP(C1700,METADATA!$J$5:$Q$29,IF(E1700="HI",2,IF(E1700="LO",6,10))+IF(D1700=1,2,IF(D1700=7,1,(IF(WEEKDAY(B1700)=1,2,IF(WEEKDAY(B1700)=7,1,0))))))</f>
        <v>2</v>
      </c>
      <c r="H1700" s="370">
        <v>13442.749755859375</v>
      </c>
      <c r="I1700" s="370">
        <v>1985.401537835598</v>
      </c>
      <c r="M1700" s="371">
        <f t="shared" si="105"/>
        <v>13588.57388636119</v>
      </c>
      <c r="N1700" s="329">
        <f t="shared" si="106"/>
        <v>0</v>
      </c>
      <c r="T1700" s="331">
        <v>0</v>
      </c>
      <c r="U1700" s="328">
        <f>VLOOKUP(C1700,METADATA!$J$5:$Q$29,IF(E1700="HI",2,IF(E1700="LO",6,10))+IF(T1700=1,2,IF(D1700=7,1,(IF(WEEKDAY(B1700)=1,2,IF(WEEKDAY(B1700)=7,1,0))))))</f>
        <v>2</v>
      </c>
      <c r="V1700" s="328">
        <f>VLOOKUP(C1700,METADATA!$A$5:$H$29,IF(E1700="HI",2,IF(E1700="LO",6,10))+IF(T1700=1,2,IF(D1700=7,1,(IF(WEEKDAY(B1700)=1,2,IF(WEEKDAY(B1700)=7,1,0))))))</f>
        <v>2</v>
      </c>
    </row>
    <row r="1701" spans="2:22">
      <c r="B1701" s="318">
        <f t="shared" si="107"/>
        <v>46183</v>
      </c>
      <c r="C1701" s="312">
        <v>17</v>
      </c>
      <c r="D1701" s="368">
        <f>IFERROR((INDEX(METADATA!$T$2:$T$20,MATCH(B1701,METADATA!$S$2:$S$20,0))),0)</f>
        <v>0</v>
      </c>
      <c r="E1701" s="312" t="str">
        <f t="shared" si="104"/>
        <v>LO</v>
      </c>
      <c r="F1701" s="369">
        <f>VLOOKUP(C1701,METADATA!$A$5:$H$29,IF(E1701="HI",2,IF(E1701="LO",6,10))+IF(D1701=1,2,IF(D1701=7,1,(IF(WEEKDAY(B1701)=1,2,IF(WEEKDAY(B1701)=7,1,0))))))</f>
        <v>2</v>
      </c>
      <c r="G1701" s="369">
        <f>VLOOKUP(C1701,METADATA!$J$5:$Q$29,IF(E1701="HI",2,IF(E1701="LO",6,10))+IF(D1701=1,2,IF(D1701=7,1,(IF(WEEKDAY(B1701)=1,2,IF(WEEKDAY(B1701)=7,1,0))))))</f>
        <v>2</v>
      </c>
      <c r="H1701" s="370">
        <v>12273.704956054688</v>
      </c>
      <c r="I1701" s="370">
        <v>1915.9685459290631</v>
      </c>
      <c r="M1701" s="371">
        <f t="shared" si="105"/>
        <v>12422.349569114165</v>
      </c>
      <c r="N1701" s="329">
        <f t="shared" si="106"/>
        <v>0</v>
      </c>
      <c r="T1701" s="331">
        <v>0</v>
      </c>
      <c r="U1701" s="328">
        <f>VLOOKUP(C1701,METADATA!$J$5:$Q$29,IF(E1701="HI",2,IF(E1701="LO",6,10))+IF(T1701=1,2,IF(D1701=7,1,(IF(WEEKDAY(B1701)=1,2,IF(WEEKDAY(B1701)=7,1,0))))))</f>
        <v>2</v>
      </c>
      <c r="V1701" s="328">
        <f>VLOOKUP(C1701,METADATA!$A$5:$H$29,IF(E1701="HI",2,IF(E1701="LO",6,10))+IF(T1701=1,2,IF(D1701=7,1,(IF(WEEKDAY(B1701)=1,2,IF(WEEKDAY(B1701)=7,1,0))))))</f>
        <v>2</v>
      </c>
    </row>
    <row r="1702" spans="2:22">
      <c r="B1702" s="318">
        <f t="shared" si="107"/>
        <v>46183</v>
      </c>
      <c r="C1702" s="312">
        <v>18</v>
      </c>
      <c r="D1702" s="368">
        <f>IFERROR((INDEX(METADATA!$T$2:$T$20,MATCH(B1702,METADATA!$S$2:$S$20,0))),0)</f>
        <v>0</v>
      </c>
      <c r="E1702" s="312" t="str">
        <f t="shared" si="104"/>
        <v>LO</v>
      </c>
      <c r="F1702" s="369">
        <f>VLOOKUP(C1702,METADATA!$A$5:$H$29,IF(E1702="HI",2,IF(E1702="LO",6,10))+IF(D1702=1,2,IF(D1702=7,1,(IF(WEEKDAY(B1702)=1,2,IF(WEEKDAY(B1702)=7,1,0))))))</f>
        <v>1</v>
      </c>
      <c r="G1702" s="369">
        <f>VLOOKUP(C1702,METADATA!$J$5:$Q$29,IF(E1702="HI",2,IF(E1702="LO",6,10))+IF(D1702=1,2,IF(D1702=7,1,(IF(WEEKDAY(B1702)=1,2,IF(WEEKDAY(B1702)=7,1,0))))))</f>
        <v>1</v>
      </c>
      <c r="H1702" s="370">
        <v>11890.835235595703</v>
      </c>
      <c r="I1702" s="370">
        <v>1936.6799802184105</v>
      </c>
      <c r="M1702" s="371">
        <f t="shared" si="105"/>
        <v>12047.518082404489</v>
      </c>
      <c r="N1702" s="329">
        <f t="shared" si="106"/>
        <v>0</v>
      </c>
      <c r="T1702" s="331">
        <v>0</v>
      </c>
      <c r="U1702" s="328">
        <f>VLOOKUP(C1702,METADATA!$J$5:$Q$29,IF(E1702="HI",2,IF(E1702="LO",6,10))+IF(T1702=1,2,IF(D1702=7,1,(IF(WEEKDAY(B1702)=1,2,IF(WEEKDAY(B1702)=7,1,0))))))</f>
        <v>1</v>
      </c>
      <c r="V1702" s="328">
        <f>VLOOKUP(C1702,METADATA!$A$5:$H$29,IF(E1702="HI",2,IF(E1702="LO",6,10))+IF(T1702=1,2,IF(D1702=7,1,(IF(WEEKDAY(B1702)=1,2,IF(WEEKDAY(B1702)=7,1,0))))))</f>
        <v>1</v>
      </c>
    </row>
    <row r="1703" spans="2:22">
      <c r="B1703" s="318">
        <f t="shared" si="107"/>
        <v>46183</v>
      </c>
      <c r="C1703" s="312">
        <v>19</v>
      </c>
      <c r="D1703" s="368">
        <f>IFERROR((INDEX(METADATA!$T$2:$T$20,MATCH(B1703,METADATA!$S$2:$S$20,0))),0)</f>
        <v>0</v>
      </c>
      <c r="E1703" s="312" t="str">
        <f t="shared" si="104"/>
        <v>LO</v>
      </c>
      <c r="F1703" s="369">
        <f>VLOOKUP(C1703,METADATA!$A$5:$H$29,IF(E1703="HI",2,IF(E1703="LO",6,10))+IF(D1703=1,2,IF(D1703=7,1,(IF(WEEKDAY(B1703)=1,2,IF(WEEKDAY(B1703)=7,1,0))))))</f>
        <v>1</v>
      </c>
      <c r="G1703" s="369">
        <f>VLOOKUP(C1703,METADATA!$J$5:$Q$29,IF(E1703="HI",2,IF(E1703="LO",6,10))+IF(D1703=1,2,IF(D1703=7,1,(IF(WEEKDAY(B1703)=1,2,IF(WEEKDAY(B1703)=7,1,0))))))</f>
        <v>1</v>
      </c>
      <c r="H1703" s="370">
        <v>13814.699890136719</v>
      </c>
      <c r="I1703" s="370">
        <v>2183.4449996948242</v>
      </c>
      <c r="M1703" s="371">
        <f t="shared" si="105"/>
        <v>13986.184795048141</v>
      </c>
      <c r="N1703" s="329">
        <f t="shared" si="106"/>
        <v>0</v>
      </c>
      <c r="T1703" s="331">
        <v>0</v>
      </c>
      <c r="U1703" s="328">
        <f>VLOOKUP(C1703,METADATA!$J$5:$Q$29,IF(E1703="HI",2,IF(E1703="LO",6,10))+IF(T1703=1,2,IF(D1703=7,1,(IF(WEEKDAY(B1703)=1,2,IF(WEEKDAY(B1703)=7,1,0))))))</f>
        <v>1</v>
      </c>
      <c r="V1703" s="328">
        <f>VLOOKUP(C1703,METADATA!$A$5:$H$29,IF(E1703="HI",2,IF(E1703="LO",6,10))+IF(T1703=1,2,IF(D1703=7,1,(IF(WEEKDAY(B1703)=1,2,IF(WEEKDAY(B1703)=7,1,0))))))</f>
        <v>1</v>
      </c>
    </row>
    <row r="1704" spans="2:22">
      <c r="B1704" s="318">
        <f t="shared" si="107"/>
        <v>46183</v>
      </c>
      <c r="C1704" s="312">
        <v>20</v>
      </c>
      <c r="D1704" s="368">
        <f>IFERROR((INDEX(METADATA!$T$2:$T$20,MATCH(B1704,METADATA!$S$2:$S$20,0))),0)</f>
        <v>0</v>
      </c>
      <c r="E1704" s="312" t="str">
        <f t="shared" si="104"/>
        <v>LO</v>
      </c>
      <c r="F1704" s="369">
        <f>VLOOKUP(C1704,METADATA!$A$5:$H$29,IF(E1704="HI",2,IF(E1704="LO",6,10))+IF(D1704=1,2,IF(D1704=7,1,(IF(WEEKDAY(B1704)=1,2,IF(WEEKDAY(B1704)=7,1,0))))))</f>
        <v>1</v>
      </c>
      <c r="G1704" s="369">
        <f>VLOOKUP(C1704,METADATA!$J$5:$Q$29,IF(E1704="HI",2,IF(E1704="LO",6,10))+IF(D1704=1,2,IF(D1704=7,1,(IF(WEEKDAY(B1704)=1,2,IF(WEEKDAY(B1704)=7,1,0))))))</f>
        <v>1</v>
      </c>
      <c r="H1704" s="370">
        <v>13821.575317382813</v>
      </c>
      <c r="I1704" s="370">
        <v>2063.329948425293</v>
      </c>
      <c r="M1704" s="371">
        <f t="shared" si="105"/>
        <v>13974.737018282472</v>
      </c>
      <c r="N1704" s="329">
        <f t="shared" si="106"/>
        <v>0</v>
      </c>
      <c r="T1704" s="331">
        <v>0</v>
      </c>
      <c r="U1704" s="328">
        <f>VLOOKUP(C1704,METADATA!$J$5:$Q$29,IF(E1704="HI",2,IF(E1704="LO",6,10))+IF(T1704=1,2,IF(D1704=7,1,(IF(WEEKDAY(B1704)=1,2,IF(WEEKDAY(B1704)=7,1,0))))))</f>
        <v>1</v>
      </c>
      <c r="V1704" s="328">
        <f>VLOOKUP(C1704,METADATA!$A$5:$H$29,IF(E1704="HI",2,IF(E1704="LO",6,10))+IF(T1704=1,2,IF(D1704=7,1,(IF(WEEKDAY(B1704)=1,2,IF(WEEKDAY(B1704)=7,1,0))))))</f>
        <v>1</v>
      </c>
    </row>
    <row r="1705" spans="2:22">
      <c r="B1705" s="318">
        <f t="shared" si="107"/>
        <v>46183</v>
      </c>
      <c r="C1705" s="312">
        <v>21</v>
      </c>
      <c r="D1705" s="368">
        <f>IFERROR((INDEX(METADATA!$T$2:$T$20,MATCH(B1705,METADATA!$S$2:$S$20,0))),0)</f>
        <v>0</v>
      </c>
      <c r="E1705" s="312" t="str">
        <f t="shared" si="104"/>
        <v>LO</v>
      </c>
      <c r="F1705" s="369">
        <f>VLOOKUP(C1705,METADATA!$A$5:$H$29,IF(E1705="HI",2,IF(E1705="LO",6,10))+IF(D1705=1,2,IF(D1705=7,1,(IF(WEEKDAY(B1705)=1,2,IF(WEEKDAY(B1705)=7,1,0))))))</f>
        <v>2</v>
      </c>
      <c r="G1705" s="369">
        <f>VLOOKUP(C1705,METADATA!$J$5:$Q$29,IF(E1705="HI",2,IF(E1705="LO",6,10))+IF(D1705=1,2,IF(D1705=7,1,(IF(WEEKDAY(B1705)=1,2,IF(WEEKDAY(B1705)=7,1,0))))))</f>
        <v>2</v>
      </c>
      <c r="H1705" s="370">
        <v>13872.750427246094</v>
      </c>
      <c r="I1705" s="370">
        <v>2084.1574554443359</v>
      </c>
      <c r="M1705" s="371">
        <f t="shared" si="105"/>
        <v>14028.432439718306</v>
      </c>
      <c r="N1705" s="329">
        <f t="shared" si="106"/>
        <v>0</v>
      </c>
      <c r="T1705" s="331">
        <v>0</v>
      </c>
      <c r="U1705" s="328">
        <f>VLOOKUP(C1705,METADATA!$J$5:$Q$29,IF(E1705="HI",2,IF(E1705="LO",6,10))+IF(T1705=1,2,IF(D1705=7,1,(IF(WEEKDAY(B1705)=1,2,IF(WEEKDAY(B1705)=7,1,0))))))</f>
        <v>2</v>
      </c>
      <c r="V1705" s="328">
        <f>VLOOKUP(C1705,METADATA!$A$5:$H$29,IF(E1705="HI",2,IF(E1705="LO",6,10))+IF(T1705=1,2,IF(D1705=7,1,(IF(WEEKDAY(B1705)=1,2,IF(WEEKDAY(B1705)=7,1,0))))))</f>
        <v>2</v>
      </c>
    </row>
    <row r="1706" spans="2:22">
      <c r="B1706" s="318">
        <f t="shared" si="107"/>
        <v>46183</v>
      </c>
      <c r="C1706" s="312">
        <v>22</v>
      </c>
      <c r="D1706" s="368">
        <f>IFERROR((INDEX(METADATA!$T$2:$T$20,MATCH(B1706,METADATA!$S$2:$S$20,0))),0)</f>
        <v>0</v>
      </c>
      <c r="E1706" s="312" t="str">
        <f t="shared" si="104"/>
        <v>LO</v>
      </c>
      <c r="F1706" s="369">
        <f>VLOOKUP(C1706,METADATA!$A$5:$H$29,IF(E1706="HI",2,IF(E1706="LO",6,10))+IF(D1706=1,2,IF(D1706=7,1,(IF(WEEKDAY(B1706)=1,2,IF(WEEKDAY(B1706)=7,1,0))))))</f>
        <v>3</v>
      </c>
      <c r="G1706" s="369">
        <f>VLOOKUP(C1706,METADATA!$J$5:$Q$29,IF(E1706="HI",2,IF(E1706="LO",6,10))+IF(D1706=1,2,IF(D1706=7,1,(IF(WEEKDAY(B1706)=1,2,IF(WEEKDAY(B1706)=7,1,0))))))</f>
        <v>3</v>
      </c>
      <c r="H1706" s="370">
        <v>13820.799987792969</v>
      </c>
      <c r="I1706" s="370">
        <v>2154.7200164794922</v>
      </c>
      <c r="M1706" s="371">
        <f t="shared" si="105"/>
        <v>13987.756455271714</v>
      </c>
      <c r="N1706" s="329">
        <f t="shared" si="106"/>
        <v>0</v>
      </c>
      <c r="T1706" s="331">
        <v>0</v>
      </c>
      <c r="U1706" s="328">
        <f>VLOOKUP(C1706,METADATA!$J$5:$Q$29,IF(E1706="HI",2,IF(E1706="LO",6,10))+IF(T1706=1,2,IF(D1706=7,1,(IF(WEEKDAY(B1706)=1,2,IF(WEEKDAY(B1706)=7,1,0))))))</f>
        <v>3</v>
      </c>
      <c r="V1706" s="328">
        <f>VLOOKUP(C1706,METADATA!$A$5:$H$29,IF(E1706="HI",2,IF(E1706="LO",6,10))+IF(T1706=1,2,IF(D1706=7,1,(IF(WEEKDAY(B1706)=1,2,IF(WEEKDAY(B1706)=7,1,0))))))</f>
        <v>3</v>
      </c>
    </row>
    <row r="1707" spans="2:22">
      <c r="B1707" s="318">
        <f t="shared" si="107"/>
        <v>46183</v>
      </c>
      <c r="C1707" s="312">
        <v>23</v>
      </c>
      <c r="D1707" s="368">
        <f>IFERROR((INDEX(METADATA!$T$2:$T$20,MATCH(B1707,METADATA!$S$2:$S$20,0))),0)</f>
        <v>0</v>
      </c>
      <c r="E1707" s="312" t="str">
        <f t="shared" si="104"/>
        <v>LO</v>
      </c>
      <c r="F1707" s="369">
        <f>VLOOKUP(C1707,METADATA!$A$5:$H$29,IF(E1707="HI",2,IF(E1707="LO",6,10))+IF(D1707=1,2,IF(D1707=7,1,(IF(WEEKDAY(B1707)=1,2,IF(WEEKDAY(B1707)=7,1,0))))))</f>
        <v>3</v>
      </c>
      <c r="G1707" s="369">
        <f>VLOOKUP(C1707,METADATA!$J$5:$Q$29,IF(E1707="HI",2,IF(E1707="LO",6,10))+IF(D1707=1,2,IF(D1707=7,1,(IF(WEEKDAY(B1707)=1,2,IF(WEEKDAY(B1707)=7,1,0))))))</f>
        <v>3</v>
      </c>
      <c r="H1707" s="370">
        <v>13774.074951171875</v>
      </c>
      <c r="I1707" s="370">
        <v>2153.7375411987305</v>
      </c>
      <c r="M1707" s="371">
        <f t="shared" si="105"/>
        <v>13941.439170934585</v>
      </c>
      <c r="N1707" s="329">
        <f t="shared" si="106"/>
        <v>0</v>
      </c>
      <c r="T1707" s="331">
        <v>0</v>
      </c>
      <c r="U1707" s="328">
        <f>VLOOKUP(C1707,METADATA!$J$5:$Q$29,IF(E1707="HI",2,IF(E1707="LO",6,10))+IF(T1707=1,2,IF(D1707=7,1,(IF(WEEKDAY(B1707)=1,2,IF(WEEKDAY(B1707)=7,1,0))))))</f>
        <v>3</v>
      </c>
      <c r="V1707" s="328">
        <f>VLOOKUP(C1707,METADATA!$A$5:$H$29,IF(E1707="HI",2,IF(E1707="LO",6,10))+IF(T1707=1,2,IF(D1707=7,1,(IF(WEEKDAY(B1707)=1,2,IF(WEEKDAY(B1707)=7,1,0))))))</f>
        <v>3</v>
      </c>
    </row>
    <row r="1708" spans="2:22">
      <c r="B1708" s="318">
        <f t="shared" si="107"/>
        <v>46184</v>
      </c>
      <c r="C1708" s="312">
        <v>0</v>
      </c>
      <c r="D1708" s="368">
        <f>IFERROR((INDEX(METADATA!$T$2:$T$20,MATCH(B1708,METADATA!$S$2:$S$20,0))),0)</f>
        <v>0</v>
      </c>
      <c r="E1708" s="312" t="str">
        <f t="shared" si="104"/>
        <v>LO</v>
      </c>
      <c r="F1708" s="369">
        <f>VLOOKUP(C1708,METADATA!$A$5:$H$29,IF(E1708="HI",2,IF(E1708="LO",6,10))+IF(D1708=1,2,IF(D1708=7,1,(IF(WEEKDAY(B1708)=1,2,IF(WEEKDAY(B1708)=7,1,0))))))</f>
        <v>3</v>
      </c>
      <c r="G1708" s="369">
        <f>VLOOKUP(C1708,METADATA!$J$5:$Q$29,IF(E1708="HI",2,IF(E1708="LO",6,10))+IF(D1708=1,2,IF(D1708=7,1,(IF(WEEKDAY(B1708)=1,2,IF(WEEKDAY(B1708)=7,1,0))))))</f>
        <v>3</v>
      </c>
      <c r="H1708" s="370">
        <v>13833.224914550781</v>
      </c>
      <c r="I1708" s="370">
        <v>2250.0474700927734</v>
      </c>
      <c r="M1708" s="371">
        <f t="shared" si="105"/>
        <v>14015.021411122401</v>
      </c>
      <c r="N1708" s="329">
        <f t="shared" si="106"/>
        <v>0</v>
      </c>
      <c r="T1708" s="331">
        <v>0</v>
      </c>
      <c r="U1708" s="328">
        <f>VLOOKUP(C1708,METADATA!$J$5:$Q$29,IF(E1708="HI",2,IF(E1708="LO",6,10))+IF(T1708=1,2,IF(D1708=7,1,(IF(WEEKDAY(B1708)=1,2,IF(WEEKDAY(B1708)=7,1,0))))))</f>
        <v>3</v>
      </c>
      <c r="V1708" s="328">
        <f>VLOOKUP(C1708,METADATA!$A$5:$H$29,IF(E1708="HI",2,IF(E1708="LO",6,10))+IF(T1708=1,2,IF(D1708=7,1,(IF(WEEKDAY(B1708)=1,2,IF(WEEKDAY(B1708)=7,1,0))))))</f>
        <v>3</v>
      </c>
    </row>
    <row r="1709" spans="2:22">
      <c r="B1709" s="318">
        <f t="shared" si="107"/>
        <v>46184</v>
      </c>
      <c r="C1709" s="312">
        <v>1</v>
      </c>
      <c r="D1709" s="368">
        <f>IFERROR((INDEX(METADATA!$T$2:$T$20,MATCH(B1709,METADATA!$S$2:$S$20,0))),0)</f>
        <v>0</v>
      </c>
      <c r="E1709" s="312" t="str">
        <f t="shared" si="104"/>
        <v>LO</v>
      </c>
      <c r="F1709" s="369">
        <f>VLOOKUP(C1709,METADATA!$A$5:$H$29,IF(E1709="HI",2,IF(E1709="LO",6,10))+IF(D1709=1,2,IF(D1709=7,1,(IF(WEEKDAY(B1709)=1,2,IF(WEEKDAY(B1709)=7,1,0))))))</f>
        <v>3</v>
      </c>
      <c r="G1709" s="369">
        <f>VLOOKUP(C1709,METADATA!$J$5:$Q$29,IF(E1709="HI",2,IF(E1709="LO",6,10))+IF(D1709=1,2,IF(D1709=7,1,(IF(WEEKDAY(B1709)=1,2,IF(WEEKDAY(B1709)=7,1,0))))))</f>
        <v>3</v>
      </c>
      <c r="H1709" s="370">
        <v>13814.974670410156</v>
      </c>
      <c r="I1709" s="370">
        <v>2183.4724884033203</v>
      </c>
      <c r="M1709" s="371">
        <f t="shared" si="105"/>
        <v>13986.460497627282</v>
      </c>
      <c r="N1709" s="329">
        <f t="shared" si="106"/>
        <v>0</v>
      </c>
      <c r="T1709" s="331">
        <v>0</v>
      </c>
      <c r="U1709" s="328">
        <f>VLOOKUP(C1709,METADATA!$J$5:$Q$29,IF(E1709="HI",2,IF(E1709="LO",6,10))+IF(T1709=1,2,IF(D1709=7,1,(IF(WEEKDAY(B1709)=1,2,IF(WEEKDAY(B1709)=7,1,0))))))</f>
        <v>3</v>
      </c>
      <c r="V1709" s="328">
        <f>VLOOKUP(C1709,METADATA!$A$5:$H$29,IF(E1709="HI",2,IF(E1709="LO",6,10))+IF(T1709=1,2,IF(D1709=7,1,(IF(WEEKDAY(B1709)=1,2,IF(WEEKDAY(B1709)=7,1,0))))))</f>
        <v>3</v>
      </c>
    </row>
    <row r="1710" spans="2:22">
      <c r="B1710" s="318">
        <f t="shared" si="107"/>
        <v>46184</v>
      </c>
      <c r="C1710" s="312">
        <v>2</v>
      </c>
      <c r="D1710" s="368">
        <f>IFERROR((INDEX(METADATA!$T$2:$T$20,MATCH(B1710,METADATA!$S$2:$S$20,0))),0)</f>
        <v>0</v>
      </c>
      <c r="E1710" s="312" t="str">
        <f t="shared" si="104"/>
        <v>LO</v>
      </c>
      <c r="F1710" s="369">
        <f>VLOOKUP(C1710,METADATA!$A$5:$H$29,IF(E1710="HI",2,IF(E1710="LO",6,10))+IF(D1710=1,2,IF(D1710=7,1,(IF(WEEKDAY(B1710)=1,2,IF(WEEKDAY(B1710)=7,1,0))))))</f>
        <v>3</v>
      </c>
      <c r="G1710" s="369">
        <f>VLOOKUP(C1710,METADATA!$J$5:$Q$29,IF(E1710="HI",2,IF(E1710="LO",6,10))+IF(D1710=1,2,IF(D1710=7,1,(IF(WEEKDAY(B1710)=1,2,IF(WEEKDAY(B1710)=7,1,0))))))</f>
        <v>3</v>
      </c>
      <c r="H1710" s="370">
        <v>13813.994934082031</v>
      </c>
      <c r="I1710" s="370">
        <v>2062.7759780883789</v>
      </c>
      <c r="M1710" s="371">
        <f t="shared" si="105"/>
        <v>13967.15793476334</v>
      </c>
      <c r="N1710" s="329">
        <f t="shared" si="106"/>
        <v>0</v>
      </c>
      <c r="T1710" s="331">
        <v>0</v>
      </c>
      <c r="U1710" s="328">
        <f>VLOOKUP(C1710,METADATA!$J$5:$Q$29,IF(E1710="HI",2,IF(E1710="LO",6,10))+IF(T1710=1,2,IF(D1710=7,1,(IF(WEEKDAY(B1710)=1,2,IF(WEEKDAY(B1710)=7,1,0))))))</f>
        <v>3</v>
      </c>
      <c r="V1710" s="328">
        <f>VLOOKUP(C1710,METADATA!$A$5:$H$29,IF(E1710="HI",2,IF(E1710="LO",6,10))+IF(T1710=1,2,IF(D1710=7,1,(IF(WEEKDAY(B1710)=1,2,IF(WEEKDAY(B1710)=7,1,0))))))</f>
        <v>3</v>
      </c>
    </row>
    <row r="1711" spans="2:22">
      <c r="B1711" s="318">
        <f t="shared" si="107"/>
        <v>46184</v>
      </c>
      <c r="C1711" s="312">
        <v>3</v>
      </c>
      <c r="D1711" s="368">
        <f>IFERROR((INDEX(METADATA!$T$2:$T$20,MATCH(B1711,METADATA!$S$2:$S$20,0))),0)</f>
        <v>0</v>
      </c>
      <c r="E1711" s="312" t="str">
        <f t="shared" si="104"/>
        <v>LO</v>
      </c>
      <c r="F1711" s="369">
        <f>VLOOKUP(C1711,METADATA!$A$5:$H$29,IF(E1711="HI",2,IF(E1711="LO",6,10))+IF(D1711=1,2,IF(D1711=7,1,(IF(WEEKDAY(B1711)=1,2,IF(WEEKDAY(B1711)=7,1,0))))))</f>
        <v>3</v>
      </c>
      <c r="G1711" s="369">
        <f>VLOOKUP(C1711,METADATA!$J$5:$Q$29,IF(E1711="HI",2,IF(E1711="LO",6,10))+IF(D1711=1,2,IF(D1711=7,1,(IF(WEEKDAY(B1711)=1,2,IF(WEEKDAY(B1711)=7,1,0))))))</f>
        <v>3</v>
      </c>
      <c r="H1711" s="370">
        <v>13827.150146484375</v>
      </c>
      <c r="I1711" s="370">
        <v>2145.4775238037109</v>
      </c>
      <c r="M1711" s="371">
        <f t="shared" si="105"/>
        <v>13992.610727758054</v>
      </c>
      <c r="N1711" s="329">
        <f t="shared" si="106"/>
        <v>0</v>
      </c>
      <c r="T1711" s="331">
        <v>0</v>
      </c>
      <c r="U1711" s="328">
        <f>VLOOKUP(C1711,METADATA!$J$5:$Q$29,IF(E1711="HI",2,IF(E1711="LO",6,10))+IF(T1711=1,2,IF(D1711=7,1,(IF(WEEKDAY(B1711)=1,2,IF(WEEKDAY(B1711)=7,1,0))))))</f>
        <v>3</v>
      </c>
      <c r="V1711" s="328">
        <f>VLOOKUP(C1711,METADATA!$A$5:$H$29,IF(E1711="HI",2,IF(E1711="LO",6,10))+IF(T1711=1,2,IF(D1711=7,1,(IF(WEEKDAY(B1711)=1,2,IF(WEEKDAY(B1711)=7,1,0))))))</f>
        <v>3</v>
      </c>
    </row>
    <row r="1712" spans="2:22">
      <c r="B1712" s="318">
        <f t="shared" si="107"/>
        <v>46184</v>
      </c>
      <c r="C1712" s="312">
        <v>4</v>
      </c>
      <c r="D1712" s="368">
        <f>IFERROR((INDEX(METADATA!$T$2:$T$20,MATCH(B1712,METADATA!$S$2:$S$20,0))),0)</f>
        <v>0</v>
      </c>
      <c r="E1712" s="312" t="str">
        <f t="shared" si="104"/>
        <v>LO</v>
      </c>
      <c r="F1712" s="369">
        <f>VLOOKUP(C1712,METADATA!$A$5:$H$29,IF(E1712="HI",2,IF(E1712="LO",6,10))+IF(D1712=1,2,IF(D1712=7,1,(IF(WEEKDAY(B1712)=1,2,IF(WEEKDAY(B1712)=7,1,0))))))</f>
        <v>3</v>
      </c>
      <c r="G1712" s="369">
        <f>VLOOKUP(C1712,METADATA!$J$5:$Q$29,IF(E1712="HI",2,IF(E1712="LO",6,10))+IF(D1712=1,2,IF(D1712=7,1,(IF(WEEKDAY(B1712)=1,2,IF(WEEKDAY(B1712)=7,1,0))))))</f>
        <v>3</v>
      </c>
      <c r="H1712" s="370">
        <v>13803.625</v>
      </c>
      <c r="I1712" s="370">
        <v>2227.5874938964844</v>
      </c>
      <c r="M1712" s="371">
        <f t="shared" si="105"/>
        <v>13982.210454130241</v>
      </c>
      <c r="N1712" s="329">
        <f t="shared" si="106"/>
        <v>0</v>
      </c>
      <c r="T1712" s="331">
        <v>0</v>
      </c>
      <c r="U1712" s="328">
        <f>VLOOKUP(C1712,METADATA!$J$5:$Q$29,IF(E1712="HI",2,IF(E1712="LO",6,10))+IF(T1712=1,2,IF(D1712=7,1,(IF(WEEKDAY(B1712)=1,2,IF(WEEKDAY(B1712)=7,1,0))))))</f>
        <v>3</v>
      </c>
      <c r="V1712" s="328">
        <f>VLOOKUP(C1712,METADATA!$A$5:$H$29,IF(E1712="HI",2,IF(E1712="LO",6,10))+IF(T1712=1,2,IF(D1712=7,1,(IF(WEEKDAY(B1712)=1,2,IF(WEEKDAY(B1712)=7,1,0))))))</f>
        <v>3</v>
      </c>
    </row>
    <row r="1713" spans="2:22">
      <c r="B1713" s="318">
        <f t="shared" si="107"/>
        <v>46184</v>
      </c>
      <c r="C1713" s="312">
        <v>5</v>
      </c>
      <c r="D1713" s="368">
        <f>IFERROR((INDEX(METADATA!$T$2:$T$20,MATCH(B1713,METADATA!$S$2:$S$20,0))),0)</f>
        <v>0</v>
      </c>
      <c r="E1713" s="312" t="str">
        <f t="shared" si="104"/>
        <v>LO</v>
      </c>
      <c r="F1713" s="369">
        <f>VLOOKUP(C1713,METADATA!$A$5:$H$29,IF(E1713="HI",2,IF(E1713="LO",6,10))+IF(D1713=1,2,IF(D1713=7,1,(IF(WEEKDAY(B1713)=1,2,IF(WEEKDAY(B1713)=7,1,0))))))</f>
        <v>3</v>
      </c>
      <c r="G1713" s="369">
        <f>VLOOKUP(C1713,METADATA!$J$5:$Q$29,IF(E1713="HI",2,IF(E1713="LO",6,10))+IF(D1713=1,2,IF(D1713=7,1,(IF(WEEKDAY(B1713)=1,2,IF(WEEKDAY(B1713)=7,1,0))))))</f>
        <v>3</v>
      </c>
      <c r="H1713" s="370">
        <v>13774.100280761719</v>
      </c>
      <c r="I1713" s="370">
        <v>2190.7875366210938</v>
      </c>
      <c r="M1713" s="371">
        <f t="shared" si="105"/>
        <v>13947.235875796121</v>
      </c>
      <c r="N1713" s="329">
        <f t="shared" si="106"/>
        <v>0</v>
      </c>
      <c r="T1713" s="331">
        <v>0</v>
      </c>
      <c r="U1713" s="328">
        <f>VLOOKUP(C1713,METADATA!$J$5:$Q$29,IF(E1713="HI",2,IF(E1713="LO",6,10))+IF(T1713=1,2,IF(D1713=7,1,(IF(WEEKDAY(B1713)=1,2,IF(WEEKDAY(B1713)=7,1,0))))))</f>
        <v>3</v>
      </c>
      <c r="V1713" s="328">
        <f>VLOOKUP(C1713,METADATA!$A$5:$H$29,IF(E1713="HI",2,IF(E1713="LO",6,10))+IF(T1713=1,2,IF(D1713=7,1,(IF(WEEKDAY(B1713)=1,2,IF(WEEKDAY(B1713)=7,1,0))))))</f>
        <v>3</v>
      </c>
    </row>
    <row r="1714" spans="2:22">
      <c r="B1714" s="318">
        <f t="shared" si="107"/>
        <v>46184</v>
      </c>
      <c r="C1714" s="312">
        <v>6</v>
      </c>
      <c r="D1714" s="368">
        <f>IFERROR((INDEX(METADATA!$T$2:$T$20,MATCH(B1714,METADATA!$S$2:$S$20,0))),0)</f>
        <v>0</v>
      </c>
      <c r="E1714" s="312" t="str">
        <f t="shared" si="104"/>
        <v>LO</v>
      </c>
      <c r="F1714" s="369">
        <f>VLOOKUP(C1714,METADATA!$A$5:$H$29,IF(E1714="HI",2,IF(E1714="LO",6,10))+IF(D1714=1,2,IF(D1714=7,1,(IF(WEEKDAY(B1714)=1,2,IF(WEEKDAY(B1714)=7,1,0))))))</f>
        <v>2</v>
      </c>
      <c r="G1714" s="369">
        <f>VLOOKUP(C1714,METADATA!$J$5:$Q$29,IF(E1714="HI",2,IF(E1714="LO",6,10))+IF(D1714=1,2,IF(D1714=7,1,(IF(WEEKDAY(B1714)=1,2,IF(WEEKDAY(B1714)=7,1,0))))))</f>
        <v>2</v>
      </c>
      <c r="H1714" s="370">
        <v>12882.649780273438</v>
      </c>
      <c r="I1714" s="370">
        <v>2014.8515243530273</v>
      </c>
      <c r="M1714" s="371">
        <f t="shared" si="105"/>
        <v>13039.259642570469</v>
      </c>
      <c r="N1714" s="329">
        <f t="shared" si="106"/>
        <v>0</v>
      </c>
      <c r="T1714" s="331">
        <v>0</v>
      </c>
      <c r="U1714" s="328">
        <f>VLOOKUP(C1714,METADATA!$J$5:$Q$29,IF(E1714="HI",2,IF(E1714="LO",6,10))+IF(T1714=1,2,IF(D1714=7,1,(IF(WEEKDAY(B1714)=1,2,IF(WEEKDAY(B1714)=7,1,0))))))</f>
        <v>2</v>
      </c>
      <c r="V1714" s="328">
        <f>VLOOKUP(C1714,METADATA!$A$5:$H$29,IF(E1714="HI",2,IF(E1714="LO",6,10))+IF(T1714=1,2,IF(D1714=7,1,(IF(WEEKDAY(B1714)=1,2,IF(WEEKDAY(B1714)=7,1,0))))))</f>
        <v>2</v>
      </c>
    </row>
    <row r="1715" spans="2:22">
      <c r="B1715" s="318">
        <f t="shared" si="107"/>
        <v>46184</v>
      </c>
      <c r="C1715" s="312">
        <v>7</v>
      </c>
      <c r="D1715" s="368">
        <f>IFERROR((INDEX(METADATA!$T$2:$T$20,MATCH(B1715,METADATA!$S$2:$S$20,0))),0)</f>
        <v>0</v>
      </c>
      <c r="E1715" s="312" t="str">
        <f t="shared" si="104"/>
        <v>LO</v>
      </c>
      <c r="F1715" s="369">
        <f>VLOOKUP(C1715,METADATA!$A$5:$H$29,IF(E1715="HI",2,IF(E1715="LO",6,10))+IF(D1715=1,2,IF(D1715=7,1,(IF(WEEKDAY(B1715)=1,2,IF(WEEKDAY(B1715)=7,1,0))))))</f>
        <v>1</v>
      </c>
      <c r="G1715" s="369">
        <f>VLOOKUP(C1715,METADATA!$J$5:$Q$29,IF(E1715="HI",2,IF(E1715="LO",6,10))+IF(D1715=1,2,IF(D1715=7,1,(IF(WEEKDAY(B1715)=1,2,IF(WEEKDAY(B1715)=7,1,0))))))</f>
        <v>1</v>
      </c>
      <c r="H1715" s="370">
        <v>9268.2549438476563</v>
      </c>
      <c r="I1715" s="370">
        <v>947.39999771118164</v>
      </c>
      <c r="M1715" s="371">
        <f t="shared" si="105"/>
        <v>9316.5506739253906</v>
      </c>
      <c r="N1715" s="329">
        <f t="shared" si="106"/>
        <v>0</v>
      </c>
      <c r="T1715" s="331">
        <v>0</v>
      </c>
      <c r="U1715" s="328">
        <f>VLOOKUP(C1715,METADATA!$J$5:$Q$29,IF(E1715="HI",2,IF(E1715="LO",6,10))+IF(T1715=1,2,IF(D1715=7,1,(IF(WEEKDAY(B1715)=1,2,IF(WEEKDAY(B1715)=7,1,0))))))</f>
        <v>1</v>
      </c>
      <c r="V1715" s="328">
        <f>VLOOKUP(C1715,METADATA!$A$5:$H$29,IF(E1715="HI",2,IF(E1715="LO",6,10))+IF(T1715=1,2,IF(D1715=7,1,(IF(WEEKDAY(B1715)=1,2,IF(WEEKDAY(B1715)=7,1,0))))))</f>
        <v>1</v>
      </c>
    </row>
    <row r="1716" spans="2:22">
      <c r="B1716" s="318">
        <f t="shared" si="107"/>
        <v>46184</v>
      </c>
      <c r="C1716" s="312">
        <v>8</v>
      </c>
      <c r="D1716" s="368">
        <f>IFERROR((INDEX(METADATA!$T$2:$T$20,MATCH(B1716,METADATA!$S$2:$S$20,0))),0)</f>
        <v>0</v>
      </c>
      <c r="E1716" s="312" t="str">
        <f t="shared" si="104"/>
        <v>LO</v>
      </c>
      <c r="F1716" s="369">
        <f>VLOOKUP(C1716,METADATA!$A$5:$H$29,IF(E1716="HI",2,IF(E1716="LO",6,10))+IF(D1716=1,2,IF(D1716=7,1,(IF(WEEKDAY(B1716)=1,2,IF(WEEKDAY(B1716)=7,1,0))))))</f>
        <v>1</v>
      </c>
      <c r="G1716" s="369">
        <f>VLOOKUP(C1716,METADATA!$J$5:$Q$29,IF(E1716="HI",2,IF(E1716="LO",6,10))+IF(D1716=1,2,IF(D1716=7,1,(IF(WEEKDAY(B1716)=1,2,IF(WEEKDAY(B1716)=7,1,0))))))</f>
        <v>1</v>
      </c>
      <c r="H1716" s="370">
        <v>6218.1148376464844</v>
      </c>
      <c r="I1716" s="370">
        <v>0</v>
      </c>
      <c r="M1716" s="371">
        <f t="shared" si="105"/>
        <v>6218.1148376464844</v>
      </c>
      <c r="N1716" s="329">
        <f t="shared" si="106"/>
        <v>0</v>
      </c>
      <c r="T1716" s="331">
        <v>0</v>
      </c>
      <c r="U1716" s="328">
        <f>VLOOKUP(C1716,METADATA!$J$5:$Q$29,IF(E1716="HI",2,IF(E1716="LO",6,10))+IF(T1716=1,2,IF(D1716=7,1,(IF(WEEKDAY(B1716)=1,2,IF(WEEKDAY(B1716)=7,1,0))))))</f>
        <v>1</v>
      </c>
      <c r="V1716" s="328">
        <f>VLOOKUP(C1716,METADATA!$A$5:$H$29,IF(E1716="HI",2,IF(E1716="LO",6,10))+IF(T1716=1,2,IF(D1716=7,1,(IF(WEEKDAY(B1716)=1,2,IF(WEEKDAY(B1716)=7,1,0))))))</f>
        <v>1</v>
      </c>
    </row>
    <row r="1717" spans="2:22">
      <c r="B1717" s="318">
        <f t="shared" si="107"/>
        <v>46184</v>
      </c>
      <c r="C1717" s="312">
        <v>9</v>
      </c>
      <c r="D1717" s="368">
        <f>IFERROR((INDEX(METADATA!$T$2:$T$20,MATCH(B1717,METADATA!$S$2:$S$20,0))),0)</f>
        <v>0</v>
      </c>
      <c r="E1717" s="312" t="str">
        <f t="shared" si="104"/>
        <v>LO</v>
      </c>
      <c r="F1717" s="369">
        <f>VLOOKUP(C1717,METADATA!$A$5:$H$29,IF(E1717="HI",2,IF(E1717="LO",6,10))+IF(D1717=1,2,IF(D1717=7,1,(IF(WEEKDAY(B1717)=1,2,IF(WEEKDAY(B1717)=7,1,0))))))</f>
        <v>2</v>
      </c>
      <c r="G1717" s="369">
        <f>VLOOKUP(C1717,METADATA!$J$5:$Q$29,IF(E1717="HI",2,IF(E1717="LO",6,10))+IF(D1717=1,2,IF(D1717=7,1,(IF(WEEKDAY(B1717)=1,2,IF(WEEKDAY(B1717)=7,1,0))))))</f>
        <v>2</v>
      </c>
      <c r="H1717" s="370">
        <v>6172.3324279785156</v>
      </c>
      <c r="I1717" s="370">
        <v>0</v>
      </c>
      <c r="M1717" s="371">
        <f t="shared" si="105"/>
        <v>6172.3324279785156</v>
      </c>
      <c r="N1717" s="329">
        <f t="shared" si="106"/>
        <v>0</v>
      </c>
      <c r="T1717" s="331">
        <v>0</v>
      </c>
      <c r="U1717" s="328">
        <f>VLOOKUP(C1717,METADATA!$J$5:$Q$29,IF(E1717="HI",2,IF(E1717="LO",6,10))+IF(T1717=1,2,IF(D1717=7,1,(IF(WEEKDAY(B1717)=1,2,IF(WEEKDAY(B1717)=7,1,0))))))</f>
        <v>2</v>
      </c>
      <c r="V1717" s="328">
        <f>VLOOKUP(C1717,METADATA!$A$5:$H$29,IF(E1717="HI",2,IF(E1717="LO",6,10))+IF(T1717=1,2,IF(D1717=7,1,(IF(WEEKDAY(B1717)=1,2,IF(WEEKDAY(B1717)=7,1,0))))))</f>
        <v>2</v>
      </c>
    </row>
    <row r="1718" spans="2:22">
      <c r="B1718" s="318">
        <f t="shared" si="107"/>
        <v>46184</v>
      </c>
      <c r="C1718" s="312">
        <v>10</v>
      </c>
      <c r="D1718" s="368">
        <f>IFERROR((INDEX(METADATA!$T$2:$T$20,MATCH(B1718,METADATA!$S$2:$S$20,0))),0)</f>
        <v>0</v>
      </c>
      <c r="E1718" s="312" t="str">
        <f t="shared" si="104"/>
        <v>LO</v>
      </c>
      <c r="F1718" s="369">
        <f>VLOOKUP(C1718,METADATA!$A$5:$H$29,IF(E1718="HI",2,IF(E1718="LO",6,10))+IF(D1718=1,2,IF(D1718=7,1,(IF(WEEKDAY(B1718)=1,2,IF(WEEKDAY(B1718)=7,1,0))))))</f>
        <v>2</v>
      </c>
      <c r="G1718" s="369">
        <f>VLOOKUP(C1718,METADATA!$J$5:$Q$29,IF(E1718="HI",2,IF(E1718="LO",6,10))+IF(D1718=1,2,IF(D1718=7,1,(IF(WEEKDAY(B1718)=1,2,IF(WEEKDAY(B1718)=7,1,0))))))</f>
        <v>2</v>
      </c>
      <c r="H1718" s="370">
        <v>6934.9425354003906</v>
      </c>
      <c r="I1718" s="370">
        <v>105.12000274658203</v>
      </c>
      <c r="M1718" s="371">
        <f t="shared" si="105"/>
        <v>6935.7391952324042</v>
      </c>
      <c r="N1718" s="329">
        <f t="shared" si="106"/>
        <v>0</v>
      </c>
      <c r="T1718" s="331">
        <v>0</v>
      </c>
      <c r="U1718" s="328">
        <f>VLOOKUP(C1718,METADATA!$J$5:$Q$29,IF(E1718="HI",2,IF(E1718="LO",6,10))+IF(T1718=1,2,IF(D1718=7,1,(IF(WEEKDAY(B1718)=1,2,IF(WEEKDAY(B1718)=7,1,0))))))</f>
        <v>2</v>
      </c>
      <c r="V1718" s="328">
        <f>VLOOKUP(C1718,METADATA!$A$5:$H$29,IF(E1718="HI",2,IF(E1718="LO",6,10))+IF(T1718=1,2,IF(D1718=7,1,(IF(WEEKDAY(B1718)=1,2,IF(WEEKDAY(B1718)=7,1,0))))))</f>
        <v>2</v>
      </c>
    </row>
    <row r="1719" spans="2:22">
      <c r="B1719" s="318">
        <f t="shared" si="107"/>
        <v>46184</v>
      </c>
      <c r="C1719" s="312">
        <v>11</v>
      </c>
      <c r="D1719" s="368">
        <f>IFERROR((INDEX(METADATA!$T$2:$T$20,MATCH(B1719,METADATA!$S$2:$S$20,0))),0)</f>
        <v>0</v>
      </c>
      <c r="E1719" s="312" t="str">
        <f t="shared" si="104"/>
        <v>LO</v>
      </c>
      <c r="F1719" s="369">
        <f>VLOOKUP(C1719,METADATA!$A$5:$H$29,IF(E1719="HI",2,IF(E1719="LO",6,10))+IF(D1719=1,2,IF(D1719=7,1,(IF(WEEKDAY(B1719)=1,2,IF(WEEKDAY(B1719)=7,1,0))))))</f>
        <v>2</v>
      </c>
      <c r="G1719" s="369">
        <f>VLOOKUP(C1719,METADATA!$J$5:$Q$29,IF(E1719="HI",2,IF(E1719="LO",6,10))+IF(D1719=1,2,IF(D1719=7,1,(IF(WEEKDAY(B1719)=1,2,IF(WEEKDAY(B1719)=7,1,0))))))</f>
        <v>2</v>
      </c>
      <c r="H1719" s="370">
        <v>11233.684814453125</v>
      </c>
      <c r="I1719" s="370">
        <v>1641.9599609375</v>
      </c>
      <c r="M1719" s="371">
        <f t="shared" si="105"/>
        <v>11353.048358207439</v>
      </c>
      <c r="N1719" s="329">
        <f t="shared" si="106"/>
        <v>0</v>
      </c>
      <c r="T1719" s="331">
        <v>0</v>
      </c>
      <c r="U1719" s="328">
        <f>VLOOKUP(C1719,METADATA!$J$5:$Q$29,IF(E1719="HI",2,IF(E1719="LO",6,10))+IF(T1719=1,2,IF(D1719=7,1,(IF(WEEKDAY(B1719)=1,2,IF(WEEKDAY(B1719)=7,1,0))))))</f>
        <v>2</v>
      </c>
      <c r="V1719" s="328">
        <f>VLOOKUP(C1719,METADATA!$A$5:$H$29,IF(E1719="HI",2,IF(E1719="LO",6,10))+IF(T1719=1,2,IF(D1719=7,1,(IF(WEEKDAY(B1719)=1,2,IF(WEEKDAY(B1719)=7,1,0))))))</f>
        <v>2</v>
      </c>
    </row>
    <row r="1720" spans="2:22">
      <c r="B1720" s="318">
        <f t="shared" si="107"/>
        <v>46184</v>
      </c>
      <c r="C1720" s="312">
        <v>12</v>
      </c>
      <c r="D1720" s="368">
        <f>IFERROR((INDEX(METADATA!$T$2:$T$20,MATCH(B1720,METADATA!$S$2:$S$20,0))),0)</f>
        <v>0</v>
      </c>
      <c r="E1720" s="312" t="str">
        <f t="shared" si="104"/>
        <v>LO</v>
      </c>
      <c r="F1720" s="369">
        <f>VLOOKUP(C1720,METADATA!$A$5:$H$29,IF(E1720="HI",2,IF(E1720="LO",6,10))+IF(D1720=1,2,IF(D1720=7,1,(IF(WEEKDAY(B1720)=1,2,IF(WEEKDAY(B1720)=7,1,0))))))</f>
        <v>2</v>
      </c>
      <c r="G1720" s="369">
        <f>VLOOKUP(C1720,METADATA!$J$5:$Q$29,IF(E1720="HI",2,IF(E1720="LO",6,10))+IF(D1720=1,2,IF(D1720=7,1,(IF(WEEKDAY(B1720)=1,2,IF(WEEKDAY(B1720)=7,1,0))))))</f>
        <v>2</v>
      </c>
      <c r="H1720" s="370">
        <v>11517.315002441406</v>
      </c>
      <c r="I1720" s="370">
        <v>1808.280029296875</v>
      </c>
      <c r="M1720" s="371">
        <f t="shared" si="105"/>
        <v>11658.405616970778</v>
      </c>
      <c r="N1720" s="329">
        <f t="shared" si="106"/>
        <v>0</v>
      </c>
      <c r="T1720" s="331">
        <v>0</v>
      </c>
      <c r="U1720" s="328">
        <f>VLOOKUP(C1720,METADATA!$J$5:$Q$29,IF(E1720="HI",2,IF(E1720="LO",6,10))+IF(T1720=1,2,IF(D1720=7,1,(IF(WEEKDAY(B1720)=1,2,IF(WEEKDAY(B1720)=7,1,0))))))</f>
        <v>2</v>
      </c>
      <c r="V1720" s="328">
        <f>VLOOKUP(C1720,METADATA!$A$5:$H$29,IF(E1720="HI",2,IF(E1720="LO",6,10))+IF(T1720=1,2,IF(D1720=7,1,(IF(WEEKDAY(B1720)=1,2,IF(WEEKDAY(B1720)=7,1,0))))))</f>
        <v>2</v>
      </c>
    </row>
    <row r="1721" spans="2:22">
      <c r="B1721" s="318">
        <f t="shared" si="107"/>
        <v>46184</v>
      </c>
      <c r="C1721" s="312">
        <v>13</v>
      </c>
      <c r="D1721" s="368">
        <f>IFERROR((INDEX(METADATA!$T$2:$T$20,MATCH(B1721,METADATA!$S$2:$S$20,0))),0)</f>
        <v>0</v>
      </c>
      <c r="E1721" s="312" t="str">
        <f t="shared" si="104"/>
        <v>LO</v>
      </c>
      <c r="F1721" s="369">
        <f>VLOOKUP(C1721,METADATA!$A$5:$H$29,IF(E1721="HI",2,IF(E1721="LO",6,10))+IF(D1721=1,2,IF(D1721=7,1,(IF(WEEKDAY(B1721)=1,2,IF(WEEKDAY(B1721)=7,1,0))))))</f>
        <v>2</v>
      </c>
      <c r="G1721" s="369">
        <f>VLOOKUP(C1721,METADATA!$J$5:$Q$29,IF(E1721="HI",2,IF(E1721="LO",6,10))+IF(D1721=1,2,IF(D1721=7,1,(IF(WEEKDAY(B1721)=1,2,IF(WEEKDAY(B1721)=7,1,0))))))</f>
        <v>2</v>
      </c>
      <c r="H1721" s="370">
        <v>11649.117401123047</v>
      </c>
      <c r="I1721" s="370">
        <v>1759.4399719238281</v>
      </c>
      <c r="M1721" s="371">
        <f t="shared" si="105"/>
        <v>11781.237848373621</v>
      </c>
      <c r="N1721" s="329">
        <f t="shared" si="106"/>
        <v>0</v>
      </c>
      <c r="T1721" s="331">
        <v>0</v>
      </c>
      <c r="U1721" s="328">
        <f>VLOOKUP(C1721,METADATA!$J$5:$Q$29,IF(E1721="HI",2,IF(E1721="LO",6,10))+IF(T1721=1,2,IF(D1721=7,1,(IF(WEEKDAY(B1721)=1,2,IF(WEEKDAY(B1721)=7,1,0))))))</f>
        <v>2</v>
      </c>
      <c r="V1721" s="328">
        <f>VLOOKUP(C1721,METADATA!$A$5:$H$29,IF(E1721="HI",2,IF(E1721="LO",6,10))+IF(T1721=1,2,IF(D1721=7,1,(IF(WEEKDAY(B1721)=1,2,IF(WEEKDAY(B1721)=7,1,0))))))</f>
        <v>2</v>
      </c>
    </row>
    <row r="1722" spans="2:22">
      <c r="B1722" s="318">
        <f t="shared" si="107"/>
        <v>46184</v>
      </c>
      <c r="C1722" s="312">
        <v>14</v>
      </c>
      <c r="D1722" s="368">
        <f>IFERROR((INDEX(METADATA!$T$2:$T$20,MATCH(B1722,METADATA!$S$2:$S$20,0))),0)</f>
        <v>0</v>
      </c>
      <c r="E1722" s="312" t="str">
        <f t="shared" si="104"/>
        <v>LO</v>
      </c>
      <c r="F1722" s="369">
        <f>VLOOKUP(C1722,METADATA!$A$5:$H$29,IF(E1722="HI",2,IF(E1722="LO",6,10))+IF(D1722=1,2,IF(D1722=7,1,(IF(WEEKDAY(B1722)=1,2,IF(WEEKDAY(B1722)=7,1,0))))))</f>
        <v>2</v>
      </c>
      <c r="G1722" s="369">
        <f>VLOOKUP(C1722,METADATA!$J$5:$Q$29,IF(E1722="HI",2,IF(E1722="LO",6,10))+IF(D1722=1,2,IF(D1722=7,1,(IF(WEEKDAY(B1722)=1,2,IF(WEEKDAY(B1722)=7,1,0))))))</f>
        <v>2</v>
      </c>
      <c r="H1722" s="370">
        <v>12319.649993896484</v>
      </c>
      <c r="I1722" s="370">
        <v>1715.8039731383324</v>
      </c>
      <c r="M1722" s="371">
        <f t="shared" si="105"/>
        <v>12438.559371822403</v>
      </c>
      <c r="N1722" s="329">
        <f t="shared" si="106"/>
        <v>0</v>
      </c>
      <c r="T1722" s="331">
        <v>0</v>
      </c>
      <c r="U1722" s="328">
        <f>VLOOKUP(C1722,METADATA!$J$5:$Q$29,IF(E1722="HI",2,IF(E1722="LO",6,10))+IF(T1722=1,2,IF(D1722=7,1,(IF(WEEKDAY(B1722)=1,2,IF(WEEKDAY(B1722)=7,1,0))))))</f>
        <v>2</v>
      </c>
      <c r="V1722" s="328">
        <f>VLOOKUP(C1722,METADATA!$A$5:$H$29,IF(E1722="HI",2,IF(E1722="LO",6,10))+IF(T1722=1,2,IF(D1722=7,1,(IF(WEEKDAY(B1722)=1,2,IF(WEEKDAY(B1722)=7,1,0))))))</f>
        <v>2</v>
      </c>
    </row>
    <row r="1723" spans="2:22">
      <c r="B1723" s="318">
        <f t="shared" si="107"/>
        <v>46184</v>
      </c>
      <c r="C1723" s="312">
        <v>15</v>
      </c>
      <c r="D1723" s="368">
        <f>IFERROR((INDEX(METADATA!$T$2:$T$20,MATCH(B1723,METADATA!$S$2:$S$20,0))),0)</f>
        <v>0</v>
      </c>
      <c r="E1723" s="312" t="str">
        <f t="shared" si="104"/>
        <v>LO</v>
      </c>
      <c r="F1723" s="369">
        <f>VLOOKUP(C1723,METADATA!$A$5:$H$29,IF(E1723="HI",2,IF(E1723="LO",6,10))+IF(D1723=1,2,IF(D1723=7,1,(IF(WEEKDAY(B1723)=1,2,IF(WEEKDAY(B1723)=7,1,0))))))</f>
        <v>2</v>
      </c>
      <c r="G1723" s="369">
        <f>VLOOKUP(C1723,METADATA!$J$5:$Q$29,IF(E1723="HI",2,IF(E1723="LO",6,10))+IF(D1723=1,2,IF(D1723=7,1,(IF(WEEKDAY(B1723)=1,2,IF(WEEKDAY(B1723)=7,1,0))))))</f>
        <v>2</v>
      </c>
      <c r="H1723" s="370">
        <v>13666.7998046875</v>
      </c>
      <c r="I1723" s="370">
        <v>1953.0999908447266</v>
      </c>
      <c r="M1723" s="371">
        <f t="shared" si="105"/>
        <v>13805.651613583619</v>
      </c>
      <c r="N1723" s="329">
        <f t="shared" si="106"/>
        <v>0</v>
      </c>
      <c r="T1723" s="331">
        <v>0</v>
      </c>
      <c r="U1723" s="328">
        <f>VLOOKUP(C1723,METADATA!$J$5:$Q$29,IF(E1723="HI",2,IF(E1723="LO",6,10))+IF(T1723=1,2,IF(D1723=7,1,(IF(WEEKDAY(B1723)=1,2,IF(WEEKDAY(B1723)=7,1,0))))))</f>
        <v>2</v>
      </c>
      <c r="V1723" s="328">
        <f>VLOOKUP(C1723,METADATA!$A$5:$H$29,IF(E1723="HI",2,IF(E1723="LO",6,10))+IF(T1723=1,2,IF(D1723=7,1,(IF(WEEKDAY(B1723)=1,2,IF(WEEKDAY(B1723)=7,1,0))))))</f>
        <v>2</v>
      </c>
    </row>
    <row r="1724" spans="2:22">
      <c r="B1724" s="318">
        <f t="shared" si="107"/>
        <v>46184</v>
      </c>
      <c r="C1724" s="312">
        <v>16</v>
      </c>
      <c r="D1724" s="368">
        <f>IFERROR((INDEX(METADATA!$T$2:$T$20,MATCH(B1724,METADATA!$S$2:$S$20,0))),0)</f>
        <v>0</v>
      </c>
      <c r="E1724" s="312" t="str">
        <f t="shared" si="104"/>
        <v>LO</v>
      </c>
      <c r="F1724" s="369">
        <f>VLOOKUP(C1724,METADATA!$A$5:$H$29,IF(E1724="HI",2,IF(E1724="LO",6,10))+IF(D1724=1,2,IF(D1724=7,1,(IF(WEEKDAY(B1724)=1,2,IF(WEEKDAY(B1724)=7,1,0))))))</f>
        <v>2</v>
      </c>
      <c r="G1724" s="369">
        <f>VLOOKUP(C1724,METADATA!$J$5:$Q$29,IF(E1724="HI",2,IF(E1724="LO",6,10))+IF(D1724=1,2,IF(D1724=7,1,(IF(WEEKDAY(B1724)=1,2,IF(WEEKDAY(B1724)=7,1,0))))))</f>
        <v>2</v>
      </c>
      <c r="H1724" s="370">
        <v>13657.175109863281</v>
      </c>
      <c r="I1724" s="370">
        <v>1935.6450042724609</v>
      </c>
      <c r="M1724" s="371">
        <f t="shared" si="105"/>
        <v>13793.663529462869</v>
      </c>
      <c r="N1724" s="329">
        <f t="shared" si="106"/>
        <v>0</v>
      </c>
      <c r="T1724" s="331">
        <v>0</v>
      </c>
      <c r="U1724" s="328">
        <f>VLOOKUP(C1724,METADATA!$J$5:$Q$29,IF(E1724="HI",2,IF(E1724="LO",6,10))+IF(T1724=1,2,IF(D1724=7,1,(IF(WEEKDAY(B1724)=1,2,IF(WEEKDAY(B1724)=7,1,0))))))</f>
        <v>2</v>
      </c>
      <c r="V1724" s="328">
        <f>VLOOKUP(C1724,METADATA!$A$5:$H$29,IF(E1724="HI",2,IF(E1724="LO",6,10))+IF(T1724=1,2,IF(D1724=7,1,(IF(WEEKDAY(B1724)=1,2,IF(WEEKDAY(B1724)=7,1,0))))))</f>
        <v>2</v>
      </c>
    </row>
    <row r="1725" spans="2:22">
      <c r="B1725" s="318">
        <f t="shared" si="107"/>
        <v>46184</v>
      </c>
      <c r="C1725" s="312">
        <v>17</v>
      </c>
      <c r="D1725" s="368">
        <f>IFERROR((INDEX(METADATA!$T$2:$T$20,MATCH(B1725,METADATA!$S$2:$S$20,0))),0)</f>
        <v>0</v>
      </c>
      <c r="E1725" s="312" t="str">
        <f t="shared" si="104"/>
        <v>LO</v>
      </c>
      <c r="F1725" s="369">
        <f>VLOOKUP(C1725,METADATA!$A$5:$H$29,IF(E1725="HI",2,IF(E1725="LO",6,10))+IF(D1725=1,2,IF(D1725=7,1,(IF(WEEKDAY(B1725)=1,2,IF(WEEKDAY(B1725)=7,1,0))))))</f>
        <v>2</v>
      </c>
      <c r="G1725" s="369">
        <f>VLOOKUP(C1725,METADATA!$J$5:$Q$29,IF(E1725="HI",2,IF(E1725="LO",6,10))+IF(D1725=1,2,IF(D1725=7,1,(IF(WEEKDAY(B1725)=1,2,IF(WEEKDAY(B1725)=7,1,0))))))</f>
        <v>2</v>
      </c>
      <c r="H1725" s="370">
        <v>13624.950317382813</v>
      </c>
      <c r="I1725" s="370">
        <v>1834.8249740600586</v>
      </c>
      <c r="M1725" s="371">
        <f t="shared" si="105"/>
        <v>13747.939985197218</v>
      </c>
      <c r="N1725" s="329">
        <f t="shared" si="106"/>
        <v>0</v>
      </c>
      <c r="T1725" s="331">
        <v>0</v>
      </c>
      <c r="U1725" s="328">
        <f>VLOOKUP(C1725,METADATA!$J$5:$Q$29,IF(E1725="HI",2,IF(E1725="LO",6,10))+IF(T1725=1,2,IF(D1725=7,1,(IF(WEEKDAY(B1725)=1,2,IF(WEEKDAY(B1725)=7,1,0))))))</f>
        <v>2</v>
      </c>
      <c r="V1725" s="328">
        <f>VLOOKUP(C1725,METADATA!$A$5:$H$29,IF(E1725="HI",2,IF(E1725="LO",6,10))+IF(T1725=1,2,IF(D1725=7,1,(IF(WEEKDAY(B1725)=1,2,IF(WEEKDAY(B1725)=7,1,0))))))</f>
        <v>2</v>
      </c>
    </row>
    <row r="1726" spans="2:22">
      <c r="B1726" s="318">
        <f t="shared" si="107"/>
        <v>46184</v>
      </c>
      <c r="C1726" s="312">
        <v>18</v>
      </c>
      <c r="D1726" s="368">
        <f>IFERROR((INDEX(METADATA!$T$2:$T$20,MATCH(B1726,METADATA!$S$2:$S$20,0))),0)</f>
        <v>0</v>
      </c>
      <c r="E1726" s="312" t="str">
        <f t="shared" si="104"/>
        <v>LO</v>
      </c>
      <c r="F1726" s="369">
        <f>VLOOKUP(C1726,METADATA!$A$5:$H$29,IF(E1726="HI",2,IF(E1726="LO",6,10))+IF(D1726=1,2,IF(D1726=7,1,(IF(WEEKDAY(B1726)=1,2,IF(WEEKDAY(B1726)=7,1,0))))))</f>
        <v>1</v>
      </c>
      <c r="G1726" s="369">
        <f>VLOOKUP(C1726,METADATA!$J$5:$Q$29,IF(E1726="HI",2,IF(E1726="LO",6,10))+IF(D1726=1,2,IF(D1726=7,1,(IF(WEEKDAY(B1726)=1,2,IF(WEEKDAY(B1726)=7,1,0))))))</f>
        <v>1</v>
      </c>
      <c r="H1726" s="370">
        <v>13639.775085449219</v>
      </c>
      <c r="I1726" s="370">
        <v>1923.1924362182617</v>
      </c>
      <c r="M1726" s="371">
        <f t="shared" si="105"/>
        <v>13774.691776165751</v>
      </c>
      <c r="N1726" s="329">
        <f t="shared" si="106"/>
        <v>0</v>
      </c>
      <c r="T1726" s="331">
        <v>0</v>
      </c>
      <c r="U1726" s="328">
        <f>VLOOKUP(C1726,METADATA!$J$5:$Q$29,IF(E1726="HI",2,IF(E1726="LO",6,10))+IF(T1726=1,2,IF(D1726=7,1,(IF(WEEKDAY(B1726)=1,2,IF(WEEKDAY(B1726)=7,1,0))))))</f>
        <v>1</v>
      </c>
      <c r="V1726" s="328">
        <f>VLOOKUP(C1726,METADATA!$A$5:$H$29,IF(E1726="HI",2,IF(E1726="LO",6,10))+IF(T1726=1,2,IF(D1726=7,1,(IF(WEEKDAY(B1726)=1,2,IF(WEEKDAY(B1726)=7,1,0))))))</f>
        <v>1</v>
      </c>
    </row>
    <row r="1727" spans="2:22">
      <c r="B1727" s="318">
        <f t="shared" si="107"/>
        <v>46184</v>
      </c>
      <c r="C1727" s="312">
        <v>19</v>
      </c>
      <c r="D1727" s="368">
        <f>IFERROR((INDEX(METADATA!$T$2:$T$20,MATCH(B1727,METADATA!$S$2:$S$20,0))),0)</f>
        <v>0</v>
      </c>
      <c r="E1727" s="312" t="str">
        <f t="shared" si="104"/>
        <v>LO</v>
      </c>
      <c r="F1727" s="369">
        <f>VLOOKUP(C1727,METADATA!$A$5:$H$29,IF(E1727="HI",2,IF(E1727="LO",6,10))+IF(D1727=1,2,IF(D1727=7,1,(IF(WEEKDAY(B1727)=1,2,IF(WEEKDAY(B1727)=7,1,0))))))</f>
        <v>1</v>
      </c>
      <c r="G1727" s="369">
        <f>VLOOKUP(C1727,METADATA!$J$5:$Q$29,IF(E1727="HI",2,IF(E1727="LO",6,10))+IF(D1727=1,2,IF(D1727=7,1,(IF(WEEKDAY(B1727)=1,2,IF(WEEKDAY(B1727)=7,1,0))))))</f>
        <v>1</v>
      </c>
      <c r="H1727" s="370">
        <v>13577.149658203125</v>
      </c>
      <c r="I1727" s="370">
        <v>1948.5100402832031</v>
      </c>
      <c r="M1727" s="371">
        <f t="shared" si="105"/>
        <v>13716.256202708146</v>
      </c>
      <c r="N1727" s="329">
        <f t="shared" si="106"/>
        <v>0</v>
      </c>
      <c r="T1727" s="331">
        <v>0</v>
      </c>
      <c r="U1727" s="328">
        <f>VLOOKUP(C1727,METADATA!$J$5:$Q$29,IF(E1727="HI",2,IF(E1727="LO",6,10))+IF(T1727=1,2,IF(D1727=7,1,(IF(WEEKDAY(B1727)=1,2,IF(WEEKDAY(B1727)=7,1,0))))))</f>
        <v>1</v>
      </c>
      <c r="V1727" s="328">
        <f>VLOOKUP(C1727,METADATA!$A$5:$H$29,IF(E1727="HI",2,IF(E1727="LO",6,10))+IF(T1727=1,2,IF(D1727=7,1,(IF(WEEKDAY(B1727)=1,2,IF(WEEKDAY(B1727)=7,1,0))))))</f>
        <v>1</v>
      </c>
    </row>
    <row r="1728" spans="2:22">
      <c r="B1728" s="318">
        <f t="shared" si="107"/>
        <v>46184</v>
      </c>
      <c r="C1728" s="312">
        <v>20</v>
      </c>
      <c r="D1728" s="368">
        <f>IFERROR((INDEX(METADATA!$T$2:$T$20,MATCH(B1728,METADATA!$S$2:$S$20,0))),0)</f>
        <v>0</v>
      </c>
      <c r="E1728" s="312" t="str">
        <f t="shared" si="104"/>
        <v>LO</v>
      </c>
      <c r="F1728" s="369">
        <f>VLOOKUP(C1728,METADATA!$A$5:$H$29,IF(E1728="HI",2,IF(E1728="LO",6,10))+IF(D1728=1,2,IF(D1728=7,1,(IF(WEEKDAY(B1728)=1,2,IF(WEEKDAY(B1728)=7,1,0))))))</f>
        <v>1</v>
      </c>
      <c r="G1728" s="369">
        <f>VLOOKUP(C1728,METADATA!$J$5:$Q$29,IF(E1728="HI",2,IF(E1728="LO",6,10))+IF(D1728=1,2,IF(D1728=7,1,(IF(WEEKDAY(B1728)=1,2,IF(WEEKDAY(B1728)=7,1,0))))))</f>
        <v>1</v>
      </c>
      <c r="H1728" s="370">
        <v>13646.39990234375</v>
      </c>
      <c r="I1728" s="370">
        <v>2009.280029296875</v>
      </c>
      <c r="M1728" s="371">
        <f t="shared" si="105"/>
        <v>13793.528791821866</v>
      </c>
      <c r="N1728" s="329">
        <f t="shared" si="106"/>
        <v>0</v>
      </c>
      <c r="T1728" s="331">
        <v>0</v>
      </c>
      <c r="U1728" s="328">
        <f>VLOOKUP(C1728,METADATA!$J$5:$Q$29,IF(E1728="HI",2,IF(E1728="LO",6,10))+IF(T1728=1,2,IF(D1728=7,1,(IF(WEEKDAY(B1728)=1,2,IF(WEEKDAY(B1728)=7,1,0))))))</f>
        <v>1</v>
      </c>
      <c r="V1728" s="328">
        <f>VLOOKUP(C1728,METADATA!$A$5:$H$29,IF(E1728="HI",2,IF(E1728="LO",6,10))+IF(T1728=1,2,IF(D1728=7,1,(IF(WEEKDAY(B1728)=1,2,IF(WEEKDAY(B1728)=7,1,0))))))</f>
        <v>1</v>
      </c>
    </row>
    <row r="1729" spans="2:22">
      <c r="B1729" s="318">
        <f t="shared" si="107"/>
        <v>46184</v>
      </c>
      <c r="C1729" s="312">
        <v>21</v>
      </c>
      <c r="D1729" s="368">
        <f>IFERROR((INDEX(METADATA!$T$2:$T$20,MATCH(B1729,METADATA!$S$2:$S$20,0))),0)</f>
        <v>0</v>
      </c>
      <c r="E1729" s="312" t="str">
        <f t="shared" si="104"/>
        <v>LO</v>
      </c>
      <c r="F1729" s="369">
        <f>VLOOKUP(C1729,METADATA!$A$5:$H$29,IF(E1729="HI",2,IF(E1729="LO",6,10))+IF(D1729=1,2,IF(D1729=7,1,(IF(WEEKDAY(B1729)=1,2,IF(WEEKDAY(B1729)=7,1,0))))))</f>
        <v>2</v>
      </c>
      <c r="G1729" s="369">
        <f>VLOOKUP(C1729,METADATA!$J$5:$Q$29,IF(E1729="HI",2,IF(E1729="LO",6,10))+IF(D1729=1,2,IF(D1729=7,1,(IF(WEEKDAY(B1729)=1,2,IF(WEEKDAY(B1729)=7,1,0))))))</f>
        <v>2</v>
      </c>
      <c r="H1729" s="370">
        <v>13677.225219726563</v>
      </c>
      <c r="I1729" s="370">
        <v>2110.5374526977539</v>
      </c>
      <c r="M1729" s="371">
        <f t="shared" si="105"/>
        <v>13839.106114571281</v>
      </c>
      <c r="N1729" s="329">
        <f t="shared" si="106"/>
        <v>0</v>
      </c>
      <c r="T1729" s="331">
        <v>0</v>
      </c>
      <c r="U1729" s="328">
        <f>VLOOKUP(C1729,METADATA!$J$5:$Q$29,IF(E1729="HI",2,IF(E1729="LO",6,10))+IF(T1729=1,2,IF(D1729=7,1,(IF(WEEKDAY(B1729)=1,2,IF(WEEKDAY(B1729)=7,1,0))))))</f>
        <v>2</v>
      </c>
      <c r="V1729" s="328">
        <f>VLOOKUP(C1729,METADATA!$A$5:$H$29,IF(E1729="HI",2,IF(E1729="LO",6,10))+IF(T1729=1,2,IF(D1729=7,1,(IF(WEEKDAY(B1729)=1,2,IF(WEEKDAY(B1729)=7,1,0))))))</f>
        <v>2</v>
      </c>
    </row>
    <row r="1730" spans="2:22">
      <c r="B1730" s="318">
        <f t="shared" si="107"/>
        <v>46184</v>
      </c>
      <c r="C1730" s="312">
        <v>22</v>
      </c>
      <c r="D1730" s="368">
        <f>IFERROR((INDEX(METADATA!$T$2:$T$20,MATCH(B1730,METADATA!$S$2:$S$20,0))),0)</f>
        <v>0</v>
      </c>
      <c r="E1730" s="312" t="str">
        <f t="shared" si="104"/>
        <v>LO</v>
      </c>
      <c r="F1730" s="369">
        <f>VLOOKUP(C1730,METADATA!$A$5:$H$29,IF(E1730="HI",2,IF(E1730="LO",6,10))+IF(D1730=1,2,IF(D1730=7,1,(IF(WEEKDAY(B1730)=1,2,IF(WEEKDAY(B1730)=7,1,0))))))</f>
        <v>3</v>
      </c>
      <c r="G1730" s="369">
        <f>VLOOKUP(C1730,METADATA!$J$5:$Q$29,IF(E1730="HI",2,IF(E1730="LO",6,10))+IF(D1730=1,2,IF(D1730=7,1,(IF(WEEKDAY(B1730)=1,2,IF(WEEKDAY(B1730)=7,1,0))))))</f>
        <v>3</v>
      </c>
      <c r="H1730" s="370">
        <v>13683.649719238281</v>
      </c>
      <c r="I1730" s="370">
        <v>2170.5450057983398</v>
      </c>
      <c r="M1730" s="371">
        <f t="shared" si="105"/>
        <v>13854.729707251816</v>
      </c>
      <c r="N1730" s="329">
        <f t="shared" si="106"/>
        <v>0</v>
      </c>
      <c r="T1730" s="331">
        <v>0</v>
      </c>
      <c r="U1730" s="328">
        <f>VLOOKUP(C1730,METADATA!$J$5:$Q$29,IF(E1730="HI",2,IF(E1730="LO",6,10))+IF(T1730=1,2,IF(D1730=7,1,(IF(WEEKDAY(B1730)=1,2,IF(WEEKDAY(B1730)=7,1,0))))))</f>
        <v>3</v>
      </c>
      <c r="V1730" s="328">
        <f>VLOOKUP(C1730,METADATA!$A$5:$H$29,IF(E1730="HI",2,IF(E1730="LO",6,10))+IF(T1730=1,2,IF(D1730=7,1,(IF(WEEKDAY(B1730)=1,2,IF(WEEKDAY(B1730)=7,1,0))))))</f>
        <v>3</v>
      </c>
    </row>
    <row r="1731" spans="2:22">
      <c r="B1731" s="318">
        <f t="shared" si="107"/>
        <v>46184</v>
      </c>
      <c r="C1731" s="312">
        <v>23</v>
      </c>
      <c r="D1731" s="368">
        <f>IFERROR((INDEX(METADATA!$T$2:$T$20,MATCH(B1731,METADATA!$S$2:$S$20,0))),0)</f>
        <v>0</v>
      </c>
      <c r="E1731" s="312" t="str">
        <f t="shared" si="104"/>
        <v>LO</v>
      </c>
      <c r="F1731" s="369">
        <f>VLOOKUP(C1731,METADATA!$A$5:$H$29,IF(E1731="HI",2,IF(E1731="LO",6,10))+IF(D1731=1,2,IF(D1731=7,1,(IF(WEEKDAY(B1731)=1,2,IF(WEEKDAY(B1731)=7,1,0))))))</f>
        <v>3</v>
      </c>
      <c r="G1731" s="369">
        <f>VLOOKUP(C1731,METADATA!$J$5:$Q$29,IF(E1731="HI",2,IF(E1731="LO",6,10))+IF(D1731=1,2,IF(D1731=7,1,(IF(WEEKDAY(B1731)=1,2,IF(WEEKDAY(B1731)=7,1,0))))))</f>
        <v>3</v>
      </c>
      <c r="H1731" s="370">
        <v>13719.025207519531</v>
      </c>
      <c r="I1731" s="370">
        <v>2028.5675048828125</v>
      </c>
      <c r="M1731" s="371">
        <f t="shared" si="105"/>
        <v>13868.191618463556</v>
      </c>
      <c r="N1731" s="329">
        <f t="shared" si="106"/>
        <v>0</v>
      </c>
      <c r="T1731" s="331">
        <v>0</v>
      </c>
      <c r="U1731" s="328">
        <f>VLOOKUP(C1731,METADATA!$J$5:$Q$29,IF(E1731="HI",2,IF(E1731="LO",6,10))+IF(T1731=1,2,IF(D1731=7,1,(IF(WEEKDAY(B1731)=1,2,IF(WEEKDAY(B1731)=7,1,0))))))</f>
        <v>3</v>
      </c>
      <c r="V1731" s="328">
        <f>VLOOKUP(C1731,METADATA!$A$5:$H$29,IF(E1731="HI",2,IF(E1731="LO",6,10))+IF(T1731=1,2,IF(D1731=7,1,(IF(WEEKDAY(B1731)=1,2,IF(WEEKDAY(B1731)=7,1,0))))))</f>
        <v>3</v>
      </c>
    </row>
    <row r="1732" spans="2:22">
      <c r="B1732" s="318">
        <f t="shared" si="107"/>
        <v>46185</v>
      </c>
      <c r="C1732" s="312">
        <v>0</v>
      </c>
      <c r="D1732" s="368">
        <f>IFERROR((INDEX(METADATA!$T$2:$T$20,MATCH(B1732,METADATA!$S$2:$S$20,0))),0)</f>
        <v>0</v>
      </c>
      <c r="E1732" s="312" t="str">
        <f t="shared" ref="E1732:E1795" si="108">IF(B1732="","",IF(AND(MONTH(B1732)&gt;=MONTH($Z$9),MONTH(B1732)&lt;=MONTH($Z$11)),"HI","LO"))</f>
        <v>LO</v>
      </c>
      <c r="F1732" s="369">
        <f>VLOOKUP(C1732,METADATA!$A$5:$H$29,IF(E1732="HI",2,IF(E1732="LO",6,10))+IF(D1732=1,2,IF(D1732=7,1,(IF(WEEKDAY(B1732)=1,2,IF(WEEKDAY(B1732)=7,1,0))))))</f>
        <v>3</v>
      </c>
      <c r="G1732" s="369">
        <f>VLOOKUP(C1732,METADATA!$J$5:$Q$29,IF(E1732="HI",2,IF(E1732="LO",6,10))+IF(D1732=1,2,IF(D1732=7,1,(IF(WEEKDAY(B1732)=1,2,IF(WEEKDAY(B1732)=7,1,0))))))</f>
        <v>3</v>
      </c>
      <c r="H1732" s="370">
        <v>13747.724914550781</v>
      </c>
      <c r="I1732" s="370">
        <v>2041.4875183105469</v>
      </c>
      <c r="M1732" s="371">
        <f t="shared" ref="M1732:M1795" si="109">SQRT(H1732^2+I1732^2)</f>
        <v>13898.475154259839</v>
      </c>
      <c r="N1732" s="329">
        <f t="shared" ref="N1732:N1795" si="110">IF(H1732=0,0,(IF(I1732-(0.3*H1732)&lt;0,0,(I1732-(0.3*H1732)))))</f>
        <v>0</v>
      </c>
      <c r="T1732" s="331">
        <v>0</v>
      </c>
      <c r="U1732" s="328">
        <f>VLOOKUP(C1732,METADATA!$J$5:$Q$29,IF(E1732="HI",2,IF(E1732="LO",6,10))+IF(T1732=1,2,IF(D1732=7,1,(IF(WEEKDAY(B1732)=1,2,IF(WEEKDAY(B1732)=7,1,0))))))</f>
        <v>3</v>
      </c>
      <c r="V1732" s="328">
        <f>VLOOKUP(C1732,METADATA!$A$5:$H$29,IF(E1732="HI",2,IF(E1732="LO",6,10))+IF(T1732=1,2,IF(D1732=7,1,(IF(WEEKDAY(B1732)=1,2,IF(WEEKDAY(B1732)=7,1,0))))))</f>
        <v>3</v>
      </c>
    </row>
    <row r="1733" spans="2:22">
      <c r="B1733" s="318">
        <f t="shared" si="107"/>
        <v>46185</v>
      </c>
      <c r="C1733" s="312">
        <v>1</v>
      </c>
      <c r="D1733" s="368">
        <f>IFERROR((INDEX(METADATA!$T$2:$T$20,MATCH(B1733,METADATA!$S$2:$S$20,0))),0)</f>
        <v>0</v>
      </c>
      <c r="E1733" s="312" t="str">
        <f t="shared" si="108"/>
        <v>LO</v>
      </c>
      <c r="F1733" s="369">
        <f>VLOOKUP(C1733,METADATA!$A$5:$H$29,IF(E1733="HI",2,IF(E1733="LO",6,10))+IF(D1733=1,2,IF(D1733=7,1,(IF(WEEKDAY(B1733)=1,2,IF(WEEKDAY(B1733)=7,1,0))))))</f>
        <v>3</v>
      </c>
      <c r="G1733" s="369">
        <f>VLOOKUP(C1733,METADATA!$J$5:$Q$29,IF(E1733="HI",2,IF(E1733="LO",6,10))+IF(D1733=1,2,IF(D1733=7,1,(IF(WEEKDAY(B1733)=1,2,IF(WEEKDAY(B1733)=7,1,0))))))</f>
        <v>3</v>
      </c>
      <c r="H1733" s="370">
        <v>13665.349975585938</v>
      </c>
      <c r="I1733" s="370">
        <v>2076.8650207519531</v>
      </c>
      <c r="M1733" s="371">
        <f t="shared" si="109"/>
        <v>13822.270373193747</v>
      </c>
      <c r="N1733" s="329">
        <f t="shared" si="110"/>
        <v>0</v>
      </c>
      <c r="T1733" s="331">
        <v>0</v>
      </c>
      <c r="U1733" s="328">
        <f>VLOOKUP(C1733,METADATA!$J$5:$Q$29,IF(E1733="HI",2,IF(E1733="LO",6,10))+IF(T1733=1,2,IF(D1733=7,1,(IF(WEEKDAY(B1733)=1,2,IF(WEEKDAY(B1733)=7,1,0))))))</f>
        <v>3</v>
      </c>
      <c r="V1733" s="328">
        <f>VLOOKUP(C1733,METADATA!$A$5:$H$29,IF(E1733="HI",2,IF(E1733="LO",6,10))+IF(T1733=1,2,IF(D1733=7,1,(IF(WEEKDAY(B1733)=1,2,IF(WEEKDAY(B1733)=7,1,0))))))</f>
        <v>3</v>
      </c>
    </row>
    <row r="1734" spans="2:22">
      <c r="B1734" s="318">
        <f t="shared" si="107"/>
        <v>46185</v>
      </c>
      <c r="C1734" s="312">
        <v>2</v>
      </c>
      <c r="D1734" s="368">
        <f>IFERROR((INDEX(METADATA!$T$2:$T$20,MATCH(B1734,METADATA!$S$2:$S$20,0))),0)</f>
        <v>0</v>
      </c>
      <c r="E1734" s="312" t="str">
        <f t="shared" si="108"/>
        <v>LO</v>
      </c>
      <c r="F1734" s="369">
        <f>VLOOKUP(C1734,METADATA!$A$5:$H$29,IF(E1734="HI",2,IF(E1734="LO",6,10))+IF(D1734=1,2,IF(D1734=7,1,(IF(WEEKDAY(B1734)=1,2,IF(WEEKDAY(B1734)=7,1,0))))))</f>
        <v>3</v>
      </c>
      <c r="G1734" s="369">
        <f>VLOOKUP(C1734,METADATA!$J$5:$Q$29,IF(E1734="HI",2,IF(E1734="LO",6,10))+IF(D1734=1,2,IF(D1734=7,1,(IF(WEEKDAY(B1734)=1,2,IF(WEEKDAY(B1734)=7,1,0))))))</f>
        <v>3</v>
      </c>
      <c r="H1734" s="370">
        <v>13671.124633789063</v>
      </c>
      <c r="I1734" s="370">
        <v>2124.2875289916992</v>
      </c>
      <c r="M1734" s="371">
        <f t="shared" si="109"/>
        <v>13835.181468214421</v>
      </c>
      <c r="N1734" s="329">
        <f t="shared" si="110"/>
        <v>0</v>
      </c>
      <c r="T1734" s="331">
        <v>0</v>
      </c>
      <c r="U1734" s="328">
        <f>VLOOKUP(C1734,METADATA!$J$5:$Q$29,IF(E1734="HI",2,IF(E1734="LO",6,10))+IF(T1734=1,2,IF(D1734=7,1,(IF(WEEKDAY(B1734)=1,2,IF(WEEKDAY(B1734)=7,1,0))))))</f>
        <v>3</v>
      </c>
      <c r="V1734" s="328">
        <f>VLOOKUP(C1734,METADATA!$A$5:$H$29,IF(E1734="HI",2,IF(E1734="LO",6,10))+IF(T1734=1,2,IF(D1734=7,1,(IF(WEEKDAY(B1734)=1,2,IF(WEEKDAY(B1734)=7,1,0))))))</f>
        <v>3</v>
      </c>
    </row>
    <row r="1735" spans="2:22">
      <c r="B1735" s="318">
        <f t="shared" si="107"/>
        <v>46185</v>
      </c>
      <c r="C1735" s="312">
        <v>3</v>
      </c>
      <c r="D1735" s="368">
        <f>IFERROR((INDEX(METADATA!$T$2:$T$20,MATCH(B1735,METADATA!$S$2:$S$20,0))),0)</f>
        <v>0</v>
      </c>
      <c r="E1735" s="312" t="str">
        <f t="shared" si="108"/>
        <v>LO</v>
      </c>
      <c r="F1735" s="369">
        <f>VLOOKUP(C1735,METADATA!$A$5:$H$29,IF(E1735="HI",2,IF(E1735="LO",6,10))+IF(D1735=1,2,IF(D1735=7,1,(IF(WEEKDAY(B1735)=1,2,IF(WEEKDAY(B1735)=7,1,0))))))</f>
        <v>3</v>
      </c>
      <c r="G1735" s="369">
        <f>VLOOKUP(C1735,METADATA!$J$5:$Q$29,IF(E1735="HI",2,IF(E1735="LO",6,10))+IF(D1735=1,2,IF(D1735=7,1,(IF(WEEKDAY(B1735)=1,2,IF(WEEKDAY(B1735)=7,1,0))))))</f>
        <v>3</v>
      </c>
      <c r="H1735" s="370">
        <v>13695.425170898438</v>
      </c>
      <c r="I1735" s="370">
        <v>2100.8875350952148</v>
      </c>
      <c r="M1735" s="371">
        <f t="shared" si="109"/>
        <v>13855.626981367423</v>
      </c>
      <c r="N1735" s="329">
        <f t="shared" si="110"/>
        <v>0</v>
      </c>
      <c r="T1735" s="331">
        <v>0</v>
      </c>
      <c r="U1735" s="328">
        <f>VLOOKUP(C1735,METADATA!$J$5:$Q$29,IF(E1735="HI",2,IF(E1735="LO",6,10))+IF(T1735=1,2,IF(D1735=7,1,(IF(WEEKDAY(B1735)=1,2,IF(WEEKDAY(B1735)=7,1,0))))))</f>
        <v>3</v>
      </c>
      <c r="V1735" s="328">
        <f>VLOOKUP(C1735,METADATA!$A$5:$H$29,IF(E1735="HI",2,IF(E1735="LO",6,10))+IF(T1735=1,2,IF(D1735=7,1,(IF(WEEKDAY(B1735)=1,2,IF(WEEKDAY(B1735)=7,1,0))))))</f>
        <v>3</v>
      </c>
    </row>
    <row r="1736" spans="2:22">
      <c r="B1736" s="318">
        <f t="shared" si="107"/>
        <v>46185</v>
      </c>
      <c r="C1736" s="312">
        <v>4</v>
      </c>
      <c r="D1736" s="368">
        <f>IFERROR((INDEX(METADATA!$T$2:$T$20,MATCH(B1736,METADATA!$S$2:$S$20,0))),0)</f>
        <v>0</v>
      </c>
      <c r="E1736" s="312" t="str">
        <f t="shared" si="108"/>
        <v>LO</v>
      </c>
      <c r="F1736" s="369">
        <f>VLOOKUP(C1736,METADATA!$A$5:$H$29,IF(E1736="HI",2,IF(E1736="LO",6,10))+IF(D1736=1,2,IF(D1736=7,1,(IF(WEEKDAY(B1736)=1,2,IF(WEEKDAY(B1736)=7,1,0))))))</f>
        <v>3</v>
      </c>
      <c r="G1736" s="369">
        <f>VLOOKUP(C1736,METADATA!$J$5:$Q$29,IF(E1736="HI",2,IF(E1736="LO",6,10))+IF(D1736=1,2,IF(D1736=7,1,(IF(WEEKDAY(B1736)=1,2,IF(WEEKDAY(B1736)=7,1,0))))))</f>
        <v>3</v>
      </c>
      <c r="H1736" s="370">
        <v>13657.39990234375</v>
      </c>
      <c r="I1736" s="370">
        <v>2052.2875289916992</v>
      </c>
      <c r="M1736" s="371">
        <f t="shared" si="109"/>
        <v>13810.736989538029</v>
      </c>
      <c r="N1736" s="329">
        <f t="shared" si="110"/>
        <v>0</v>
      </c>
      <c r="T1736" s="331">
        <v>0</v>
      </c>
      <c r="U1736" s="328">
        <f>VLOOKUP(C1736,METADATA!$J$5:$Q$29,IF(E1736="HI",2,IF(E1736="LO",6,10))+IF(T1736=1,2,IF(D1736=7,1,(IF(WEEKDAY(B1736)=1,2,IF(WEEKDAY(B1736)=7,1,0))))))</f>
        <v>3</v>
      </c>
      <c r="V1736" s="328">
        <f>VLOOKUP(C1736,METADATA!$A$5:$H$29,IF(E1736="HI",2,IF(E1736="LO",6,10))+IF(T1736=1,2,IF(D1736=7,1,(IF(WEEKDAY(B1736)=1,2,IF(WEEKDAY(B1736)=7,1,0))))))</f>
        <v>3</v>
      </c>
    </row>
    <row r="1737" spans="2:22">
      <c r="B1737" s="318">
        <f t="shared" si="107"/>
        <v>46185</v>
      </c>
      <c r="C1737" s="312">
        <v>5</v>
      </c>
      <c r="D1737" s="368">
        <f>IFERROR((INDEX(METADATA!$T$2:$T$20,MATCH(B1737,METADATA!$S$2:$S$20,0))),0)</f>
        <v>0</v>
      </c>
      <c r="E1737" s="312" t="str">
        <f t="shared" si="108"/>
        <v>LO</v>
      </c>
      <c r="F1737" s="369">
        <f>VLOOKUP(C1737,METADATA!$A$5:$H$29,IF(E1737="HI",2,IF(E1737="LO",6,10))+IF(D1737=1,2,IF(D1737=7,1,(IF(WEEKDAY(B1737)=1,2,IF(WEEKDAY(B1737)=7,1,0))))))</f>
        <v>3</v>
      </c>
      <c r="G1737" s="369">
        <f>VLOOKUP(C1737,METADATA!$J$5:$Q$29,IF(E1737="HI",2,IF(E1737="LO",6,10))+IF(D1737=1,2,IF(D1737=7,1,(IF(WEEKDAY(B1737)=1,2,IF(WEEKDAY(B1737)=7,1,0))))))</f>
        <v>3</v>
      </c>
      <c r="H1737" s="370">
        <v>13638.855346679688</v>
      </c>
      <c r="I1737" s="370">
        <v>2064.3340148925781</v>
      </c>
      <c r="M1737" s="371">
        <f t="shared" si="109"/>
        <v>13794.196246708092</v>
      </c>
      <c r="N1737" s="329">
        <f t="shared" si="110"/>
        <v>0</v>
      </c>
      <c r="T1737" s="331">
        <v>0</v>
      </c>
      <c r="U1737" s="328">
        <f>VLOOKUP(C1737,METADATA!$J$5:$Q$29,IF(E1737="HI",2,IF(E1737="LO",6,10))+IF(T1737=1,2,IF(D1737=7,1,(IF(WEEKDAY(B1737)=1,2,IF(WEEKDAY(B1737)=7,1,0))))))</f>
        <v>3</v>
      </c>
      <c r="V1737" s="328">
        <f>VLOOKUP(C1737,METADATA!$A$5:$H$29,IF(E1737="HI",2,IF(E1737="LO",6,10))+IF(T1737=1,2,IF(D1737=7,1,(IF(WEEKDAY(B1737)=1,2,IF(WEEKDAY(B1737)=7,1,0))))))</f>
        <v>3</v>
      </c>
    </row>
    <row r="1738" spans="2:22">
      <c r="B1738" s="318">
        <f t="shared" si="107"/>
        <v>46185</v>
      </c>
      <c r="C1738" s="312">
        <v>6</v>
      </c>
      <c r="D1738" s="368">
        <f>IFERROR((INDEX(METADATA!$T$2:$T$20,MATCH(B1738,METADATA!$S$2:$S$20,0))),0)</f>
        <v>0</v>
      </c>
      <c r="E1738" s="312" t="str">
        <f t="shared" si="108"/>
        <v>LO</v>
      </c>
      <c r="F1738" s="369">
        <f>VLOOKUP(C1738,METADATA!$A$5:$H$29,IF(E1738="HI",2,IF(E1738="LO",6,10))+IF(D1738=1,2,IF(D1738=7,1,(IF(WEEKDAY(B1738)=1,2,IF(WEEKDAY(B1738)=7,1,0))))))</f>
        <v>2</v>
      </c>
      <c r="G1738" s="369">
        <f>VLOOKUP(C1738,METADATA!$J$5:$Q$29,IF(E1738="HI",2,IF(E1738="LO",6,10))+IF(D1738=1,2,IF(D1738=7,1,(IF(WEEKDAY(B1738)=1,2,IF(WEEKDAY(B1738)=7,1,0))))))</f>
        <v>2</v>
      </c>
      <c r="H1738" s="370">
        <v>13711.500244140625</v>
      </c>
      <c r="I1738" s="370">
        <v>2172.7900390625</v>
      </c>
      <c r="M1738" s="371">
        <f t="shared" si="109"/>
        <v>13882.588213258998</v>
      </c>
      <c r="N1738" s="329">
        <f t="shared" si="110"/>
        <v>0</v>
      </c>
      <c r="T1738" s="331">
        <v>0</v>
      </c>
      <c r="U1738" s="328">
        <f>VLOOKUP(C1738,METADATA!$J$5:$Q$29,IF(E1738="HI",2,IF(E1738="LO",6,10))+IF(T1738=1,2,IF(D1738=7,1,(IF(WEEKDAY(B1738)=1,2,IF(WEEKDAY(B1738)=7,1,0))))))</f>
        <v>2</v>
      </c>
      <c r="V1738" s="328">
        <f>VLOOKUP(C1738,METADATA!$A$5:$H$29,IF(E1738="HI",2,IF(E1738="LO",6,10))+IF(T1738=1,2,IF(D1738=7,1,(IF(WEEKDAY(B1738)=1,2,IF(WEEKDAY(B1738)=7,1,0))))))</f>
        <v>2</v>
      </c>
    </row>
    <row r="1739" spans="2:22">
      <c r="B1739" s="318">
        <f t="shared" si="107"/>
        <v>46185</v>
      </c>
      <c r="C1739" s="312">
        <v>7</v>
      </c>
      <c r="D1739" s="368">
        <f>IFERROR((INDEX(METADATA!$T$2:$T$20,MATCH(B1739,METADATA!$S$2:$S$20,0))),0)</f>
        <v>0</v>
      </c>
      <c r="E1739" s="312" t="str">
        <f t="shared" si="108"/>
        <v>LO</v>
      </c>
      <c r="F1739" s="369">
        <f>VLOOKUP(C1739,METADATA!$A$5:$H$29,IF(E1739="HI",2,IF(E1739="LO",6,10))+IF(D1739=1,2,IF(D1739=7,1,(IF(WEEKDAY(B1739)=1,2,IF(WEEKDAY(B1739)=7,1,0))))))</f>
        <v>1</v>
      </c>
      <c r="G1739" s="369">
        <f>VLOOKUP(C1739,METADATA!$J$5:$Q$29,IF(E1739="HI",2,IF(E1739="LO",6,10))+IF(D1739=1,2,IF(D1739=7,1,(IF(WEEKDAY(B1739)=1,2,IF(WEEKDAY(B1739)=7,1,0))))))</f>
        <v>1</v>
      </c>
      <c r="H1739" s="370">
        <v>13729.074951171875</v>
      </c>
      <c r="I1739" s="370">
        <v>2093.9524917602539</v>
      </c>
      <c r="M1739" s="371">
        <f t="shared" si="109"/>
        <v>13887.841302831912</v>
      </c>
      <c r="N1739" s="329">
        <f t="shared" si="110"/>
        <v>0</v>
      </c>
      <c r="T1739" s="331">
        <v>0</v>
      </c>
      <c r="U1739" s="328">
        <f>VLOOKUP(C1739,METADATA!$J$5:$Q$29,IF(E1739="HI",2,IF(E1739="LO",6,10))+IF(T1739=1,2,IF(D1739=7,1,(IF(WEEKDAY(B1739)=1,2,IF(WEEKDAY(B1739)=7,1,0))))))</f>
        <v>1</v>
      </c>
      <c r="V1739" s="328">
        <f>VLOOKUP(C1739,METADATA!$A$5:$H$29,IF(E1739="HI",2,IF(E1739="LO",6,10))+IF(T1739=1,2,IF(D1739=7,1,(IF(WEEKDAY(B1739)=1,2,IF(WEEKDAY(B1739)=7,1,0))))))</f>
        <v>1</v>
      </c>
    </row>
    <row r="1740" spans="2:22">
      <c r="B1740" s="318">
        <f t="shared" si="107"/>
        <v>46185</v>
      </c>
      <c r="C1740" s="312">
        <v>8</v>
      </c>
      <c r="D1740" s="368">
        <f>IFERROR((INDEX(METADATA!$T$2:$T$20,MATCH(B1740,METADATA!$S$2:$S$20,0))),0)</f>
        <v>0</v>
      </c>
      <c r="E1740" s="312" t="str">
        <f t="shared" si="108"/>
        <v>LO</v>
      </c>
      <c r="F1740" s="369">
        <f>VLOOKUP(C1740,METADATA!$A$5:$H$29,IF(E1740="HI",2,IF(E1740="LO",6,10))+IF(D1740=1,2,IF(D1740=7,1,(IF(WEEKDAY(B1740)=1,2,IF(WEEKDAY(B1740)=7,1,0))))))</f>
        <v>1</v>
      </c>
      <c r="G1740" s="369">
        <f>VLOOKUP(C1740,METADATA!$J$5:$Q$29,IF(E1740="HI",2,IF(E1740="LO",6,10))+IF(D1740=1,2,IF(D1740=7,1,(IF(WEEKDAY(B1740)=1,2,IF(WEEKDAY(B1740)=7,1,0))))))</f>
        <v>1</v>
      </c>
      <c r="H1740" s="370">
        <v>13594.575256347656</v>
      </c>
      <c r="I1740" s="370">
        <v>1901.0900344848633</v>
      </c>
      <c r="M1740" s="371">
        <f t="shared" si="109"/>
        <v>13726.857605428768</v>
      </c>
      <c r="N1740" s="329">
        <f t="shared" si="110"/>
        <v>0</v>
      </c>
      <c r="T1740" s="331">
        <v>0</v>
      </c>
      <c r="U1740" s="328">
        <f>VLOOKUP(C1740,METADATA!$J$5:$Q$29,IF(E1740="HI",2,IF(E1740="LO",6,10))+IF(T1740=1,2,IF(D1740=7,1,(IF(WEEKDAY(B1740)=1,2,IF(WEEKDAY(B1740)=7,1,0))))))</f>
        <v>1</v>
      </c>
      <c r="V1740" s="328">
        <f>VLOOKUP(C1740,METADATA!$A$5:$H$29,IF(E1740="HI",2,IF(E1740="LO",6,10))+IF(T1740=1,2,IF(D1740=7,1,(IF(WEEKDAY(B1740)=1,2,IF(WEEKDAY(B1740)=7,1,0))))))</f>
        <v>1</v>
      </c>
    </row>
    <row r="1741" spans="2:22">
      <c r="B1741" s="318">
        <f t="shared" si="107"/>
        <v>46185</v>
      </c>
      <c r="C1741" s="312">
        <v>9</v>
      </c>
      <c r="D1741" s="368">
        <f>IFERROR((INDEX(METADATA!$T$2:$T$20,MATCH(B1741,METADATA!$S$2:$S$20,0))),0)</f>
        <v>0</v>
      </c>
      <c r="E1741" s="312" t="str">
        <f t="shared" si="108"/>
        <v>LO</v>
      </c>
      <c r="F1741" s="369">
        <f>VLOOKUP(C1741,METADATA!$A$5:$H$29,IF(E1741="HI",2,IF(E1741="LO",6,10))+IF(D1741=1,2,IF(D1741=7,1,(IF(WEEKDAY(B1741)=1,2,IF(WEEKDAY(B1741)=7,1,0))))))</f>
        <v>2</v>
      </c>
      <c r="G1741" s="369">
        <f>VLOOKUP(C1741,METADATA!$J$5:$Q$29,IF(E1741="HI",2,IF(E1741="LO",6,10))+IF(D1741=1,2,IF(D1741=7,1,(IF(WEEKDAY(B1741)=1,2,IF(WEEKDAY(B1741)=7,1,0))))))</f>
        <v>2</v>
      </c>
      <c r="H1741" s="370">
        <v>13438.274841308594</v>
      </c>
      <c r="I1741" s="370">
        <v>1747.5590161681175</v>
      </c>
      <c r="M1741" s="371">
        <f t="shared" si="109"/>
        <v>13551.427719083254</v>
      </c>
      <c r="N1741" s="329">
        <f t="shared" si="110"/>
        <v>0</v>
      </c>
      <c r="T1741" s="331">
        <v>0</v>
      </c>
      <c r="U1741" s="328">
        <f>VLOOKUP(C1741,METADATA!$J$5:$Q$29,IF(E1741="HI",2,IF(E1741="LO",6,10))+IF(T1741=1,2,IF(D1741=7,1,(IF(WEEKDAY(B1741)=1,2,IF(WEEKDAY(B1741)=7,1,0))))))</f>
        <v>2</v>
      </c>
      <c r="V1741" s="328">
        <f>VLOOKUP(C1741,METADATA!$A$5:$H$29,IF(E1741="HI",2,IF(E1741="LO",6,10))+IF(T1741=1,2,IF(D1741=7,1,(IF(WEEKDAY(B1741)=1,2,IF(WEEKDAY(B1741)=7,1,0))))))</f>
        <v>2</v>
      </c>
    </row>
    <row r="1742" spans="2:22">
      <c r="B1742" s="318">
        <f t="shared" si="107"/>
        <v>46185</v>
      </c>
      <c r="C1742" s="312">
        <v>10</v>
      </c>
      <c r="D1742" s="368">
        <f>IFERROR((INDEX(METADATA!$T$2:$T$20,MATCH(B1742,METADATA!$S$2:$S$20,0))),0)</f>
        <v>0</v>
      </c>
      <c r="E1742" s="312" t="str">
        <f t="shared" si="108"/>
        <v>LO</v>
      </c>
      <c r="F1742" s="369">
        <f>VLOOKUP(C1742,METADATA!$A$5:$H$29,IF(E1742="HI",2,IF(E1742="LO",6,10))+IF(D1742=1,2,IF(D1742=7,1,(IF(WEEKDAY(B1742)=1,2,IF(WEEKDAY(B1742)=7,1,0))))))</f>
        <v>2</v>
      </c>
      <c r="G1742" s="369">
        <f>VLOOKUP(C1742,METADATA!$J$5:$Q$29,IF(E1742="HI",2,IF(E1742="LO",6,10))+IF(D1742=1,2,IF(D1742=7,1,(IF(WEEKDAY(B1742)=1,2,IF(WEEKDAY(B1742)=7,1,0))))))</f>
        <v>2</v>
      </c>
      <c r="H1742" s="370">
        <v>13667.624755859375</v>
      </c>
      <c r="I1742" s="370">
        <v>1875.9600524902344</v>
      </c>
      <c r="M1742" s="371">
        <f t="shared" si="109"/>
        <v>13795.767198148829</v>
      </c>
      <c r="N1742" s="329">
        <f t="shared" si="110"/>
        <v>0</v>
      </c>
      <c r="T1742" s="331">
        <v>0</v>
      </c>
      <c r="U1742" s="328">
        <f>VLOOKUP(C1742,METADATA!$J$5:$Q$29,IF(E1742="HI",2,IF(E1742="LO",6,10))+IF(T1742=1,2,IF(D1742=7,1,(IF(WEEKDAY(B1742)=1,2,IF(WEEKDAY(B1742)=7,1,0))))))</f>
        <v>2</v>
      </c>
      <c r="V1742" s="328">
        <f>VLOOKUP(C1742,METADATA!$A$5:$H$29,IF(E1742="HI",2,IF(E1742="LO",6,10))+IF(T1742=1,2,IF(D1742=7,1,(IF(WEEKDAY(B1742)=1,2,IF(WEEKDAY(B1742)=7,1,0))))))</f>
        <v>2</v>
      </c>
    </row>
    <row r="1743" spans="2:22">
      <c r="B1743" s="318">
        <f t="shared" si="107"/>
        <v>46185</v>
      </c>
      <c r="C1743" s="312">
        <v>11</v>
      </c>
      <c r="D1743" s="368">
        <f>IFERROR((INDEX(METADATA!$T$2:$T$20,MATCH(B1743,METADATA!$S$2:$S$20,0))),0)</f>
        <v>0</v>
      </c>
      <c r="E1743" s="312" t="str">
        <f t="shared" si="108"/>
        <v>LO</v>
      </c>
      <c r="F1743" s="369">
        <f>VLOOKUP(C1743,METADATA!$A$5:$H$29,IF(E1743="HI",2,IF(E1743="LO",6,10))+IF(D1743=1,2,IF(D1743=7,1,(IF(WEEKDAY(B1743)=1,2,IF(WEEKDAY(B1743)=7,1,0))))))</f>
        <v>2</v>
      </c>
      <c r="G1743" s="369">
        <f>VLOOKUP(C1743,METADATA!$J$5:$Q$29,IF(E1743="HI",2,IF(E1743="LO",6,10))+IF(D1743=1,2,IF(D1743=7,1,(IF(WEEKDAY(B1743)=1,2,IF(WEEKDAY(B1743)=7,1,0))))))</f>
        <v>2</v>
      </c>
      <c r="H1743" s="370">
        <v>13495.224914550781</v>
      </c>
      <c r="I1743" s="370">
        <v>1794.2874603271484</v>
      </c>
      <c r="M1743" s="371">
        <f t="shared" si="109"/>
        <v>13613.984096677923</v>
      </c>
      <c r="N1743" s="329">
        <f t="shared" si="110"/>
        <v>0</v>
      </c>
      <c r="T1743" s="331">
        <v>0</v>
      </c>
      <c r="U1743" s="328">
        <f>VLOOKUP(C1743,METADATA!$J$5:$Q$29,IF(E1743="HI",2,IF(E1743="LO",6,10))+IF(T1743=1,2,IF(D1743=7,1,(IF(WEEKDAY(B1743)=1,2,IF(WEEKDAY(B1743)=7,1,0))))))</f>
        <v>2</v>
      </c>
      <c r="V1743" s="328">
        <f>VLOOKUP(C1743,METADATA!$A$5:$H$29,IF(E1743="HI",2,IF(E1743="LO",6,10))+IF(T1743=1,2,IF(D1743=7,1,(IF(WEEKDAY(B1743)=1,2,IF(WEEKDAY(B1743)=7,1,0))))))</f>
        <v>2</v>
      </c>
    </row>
    <row r="1744" spans="2:22">
      <c r="B1744" s="318">
        <f t="shared" si="107"/>
        <v>46185</v>
      </c>
      <c r="C1744" s="312">
        <v>12</v>
      </c>
      <c r="D1744" s="368">
        <f>IFERROR((INDEX(METADATA!$T$2:$T$20,MATCH(B1744,METADATA!$S$2:$S$20,0))),0)</f>
        <v>0</v>
      </c>
      <c r="E1744" s="312" t="str">
        <f t="shared" si="108"/>
        <v>LO</v>
      </c>
      <c r="F1744" s="369">
        <f>VLOOKUP(C1744,METADATA!$A$5:$H$29,IF(E1744="HI",2,IF(E1744="LO",6,10))+IF(D1744=1,2,IF(D1744=7,1,(IF(WEEKDAY(B1744)=1,2,IF(WEEKDAY(B1744)=7,1,0))))))</f>
        <v>2</v>
      </c>
      <c r="G1744" s="369">
        <f>VLOOKUP(C1744,METADATA!$J$5:$Q$29,IF(E1744="HI",2,IF(E1744="LO",6,10))+IF(D1744=1,2,IF(D1744=7,1,(IF(WEEKDAY(B1744)=1,2,IF(WEEKDAY(B1744)=7,1,0))))))</f>
        <v>2</v>
      </c>
      <c r="H1744" s="370">
        <v>13546.974914550781</v>
      </c>
      <c r="I1744" s="370">
        <v>1969.297492980957</v>
      </c>
      <c r="M1744" s="371">
        <f t="shared" si="109"/>
        <v>13689.363095167329</v>
      </c>
      <c r="N1744" s="329">
        <f t="shared" si="110"/>
        <v>0</v>
      </c>
      <c r="T1744" s="331">
        <v>0</v>
      </c>
      <c r="U1744" s="328">
        <f>VLOOKUP(C1744,METADATA!$J$5:$Q$29,IF(E1744="HI",2,IF(E1744="LO",6,10))+IF(T1744=1,2,IF(D1744=7,1,(IF(WEEKDAY(B1744)=1,2,IF(WEEKDAY(B1744)=7,1,0))))))</f>
        <v>2</v>
      </c>
      <c r="V1744" s="328">
        <f>VLOOKUP(C1744,METADATA!$A$5:$H$29,IF(E1744="HI",2,IF(E1744="LO",6,10))+IF(T1744=1,2,IF(D1744=7,1,(IF(WEEKDAY(B1744)=1,2,IF(WEEKDAY(B1744)=7,1,0))))))</f>
        <v>2</v>
      </c>
    </row>
    <row r="1745" spans="2:22">
      <c r="B1745" s="318">
        <f t="shared" si="107"/>
        <v>46185</v>
      </c>
      <c r="C1745" s="312">
        <v>13</v>
      </c>
      <c r="D1745" s="368">
        <f>IFERROR((INDEX(METADATA!$T$2:$T$20,MATCH(B1745,METADATA!$S$2:$S$20,0))),0)</f>
        <v>0</v>
      </c>
      <c r="E1745" s="312" t="str">
        <f t="shared" si="108"/>
        <v>LO</v>
      </c>
      <c r="F1745" s="369">
        <f>VLOOKUP(C1745,METADATA!$A$5:$H$29,IF(E1745="HI",2,IF(E1745="LO",6,10))+IF(D1745=1,2,IF(D1745=7,1,(IF(WEEKDAY(B1745)=1,2,IF(WEEKDAY(B1745)=7,1,0))))))</f>
        <v>2</v>
      </c>
      <c r="G1745" s="369">
        <f>VLOOKUP(C1745,METADATA!$J$5:$Q$29,IF(E1745="HI",2,IF(E1745="LO",6,10))+IF(D1745=1,2,IF(D1745=7,1,(IF(WEEKDAY(B1745)=1,2,IF(WEEKDAY(B1745)=7,1,0))))))</f>
        <v>2</v>
      </c>
      <c r="H1745" s="370">
        <v>13547.60009765625</v>
      </c>
      <c r="I1745" s="370">
        <v>1923.0475082397461</v>
      </c>
      <c r="M1745" s="371">
        <f t="shared" si="109"/>
        <v>13683.405282493197</v>
      </c>
      <c r="N1745" s="329">
        <f t="shared" si="110"/>
        <v>0</v>
      </c>
      <c r="T1745" s="331">
        <v>0</v>
      </c>
      <c r="U1745" s="328">
        <f>VLOOKUP(C1745,METADATA!$J$5:$Q$29,IF(E1745="HI",2,IF(E1745="LO",6,10))+IF(T1745=1,2,IF(D1745=7,1,(IF(WEEKDAY(B1745)=1,2,IF(WEEKDAY(B1745)=7,1,0))))))</f>
        <v>2</v>
      </c>
      <c r="V1745" s="328">
        <f>VLOOKUP(C1745,METADATA!$A$5:$H$29,IF(E1745="HI",2,IF(E1745="LO",6,10))+IF(T1745=1,2,IF(D1745=7,1,(IF(WEEKDAY(B1745)=1,2,IF(WEEKDAY(B1745)=7,1,0))))))</f>
        <v>2</v>
      </c>
    </row>
    <row r="1746" spans="2:22">
      <c r="B1746" s="318">
        <f t="shared" si="107"/>
        <v>46185</v>
      </c>
      <c r="C1746" s="312">
        <v>14</v>
      </c>
      <c r="D1746" s="368">
        <f>IFERROR((INDEX(METADATA!$T$2:$T$20,MATCH(B1746,METADATA!$S$2:$S$20,0))),0)</f>
        <v>0</v>
      </c>
      <c r="E1746" s="312" t="str">
        <f t="shared" si="108"/>
        <v>LO</v>
      </c>
      <c r="F1746" s="369">
        <f>VLOOKUP(C1746,METADATA!$A$5:$H$29,IF(E1746="HI",2,IF(E1746="LO",6,10))+IF(D1746=1,2,IF(D1746=7,1,(IF(WEEKDAY(B1746)=1,2,IF(WEEKDAY(B1746)=7,1,0))))))</f>
        <v>2</v>
      </c>
      <c r="G1746" s="369">
        <f>VLOOKUP(C1746,METADATA!$J$5:$Q$29,IF(E1746="HI",2,IF(E1746="LO",6,10))+IF(D1746=1,2,IF(D1746=7,1,(IF(WEEKDAY(B1746)=1,2,IF(WEEKDAY(B1746)=7,1,0))))))</f>
        <v>2</v>
      </c>
      <c r="H1746" s="370">
        <v>13507.399841308594</v>
      </c>
      <c r="I1746" s="370">
        <v>1951.6325149536133</v>
      </c>
      <c r="M1746" s="371">
        <f t="shared" si="109"/>
        <v>13647.663534334644</v>
      </c>
      <c r="N1746" s="329">
        <f t="shared" si="110"/>
        <v>0</v>
      </c>
      <c r="T1746" s="331">
        <v>0</v>
      </c>
      <c r="U1746" s="328">
        <f>VLOOKUP(C1746,METADATA!$J$5:$Q$29,IF(E1746="HI",2,IF(E1746="LO",6,10))+IF(T1746=1,2,IF(D1746=7,1,(IF(WEEKDAY(B1746)=1,2,IF(WEEKDAY(B1746)=7,1,0))))))</f>
        <v>2</v>
      </c>
      <c r="V1746" s="328">
        <f>VLOOKUP(C1746,METADATA!$A$5:$H$29,IF(E1746="HI",2,IF(E1746="LO",6,10))+IF(T1746=1,2,IF(D1746=7,1,(IF(WEEKDAY(B1746)=1,2,IF(WEEKDAY(B1746)=7,1,0))))))</f>
        <v>2</v>
      </c>
    </row>
    <row r="1747" spans="2:22">
      <c r="B1747" s="318">
        <f t="shared" si="107"/>
        <v>46185</v>
      </c>
      <c r="C1747" s="312">
        <v>15</v>
      </c>
      <c r="D1747" s="368">
        <f>IFERROR((INDEX(METADATA!$T$2:$T$20,MATCH(B1747,METADATA!$S$2:$S$20,0))),0)</f>
        <v>0</v>
      </c>
      <c r="E1747" s="312" t="str">
        <f t="shared" si="108"/>
        <v>LO</v>
      </c>
      <c r="F1747" s="369">
        <f>VLOOKUP(C1747,METADATA!$A$5:$H$29,IF(E1747="HI",2,IF(E1747="LO",6,10))+IF(D1747=1,2,IF(D1747=7,1,(IF(WEEKDAY(B1747)=1,2,IF(WEEKDAY(B1747)=7,1,0))))))</f>
        <v>2</v>
      </c>
      <c r="G1747" s="369">
        <f>VLOOKUP(C1747,METADATA!$J$5:$Q$29,IF(E1747="HI",2,IF(E1747="LO",6,10))+IF(D1747=1,2,IF(D1747=7,1,(IF(WEEKDAY(B1747)=1,2,IF(WEEKDAY(B1747)=7,1,0))))))</f>
        <v>2</v>
      </c>
      <c r="H1747" s="370">
        <v>13595.624877929688</v>
      </c>
      <c r="I1747" s="370">
        <v>2029.2965115904808</v>
      </c>
      <c r="M1747" s="371">
        <f t="shared" si="109"/>
        <v>13746.238036398683</v>
      </c>
      <c r="N1747" s="329">
        <f t="shared" si="110"/>
        <v>0</v>
      </c>
      <c r="T1747" s="331">
        <v>0</v>
      </c>
      <c r="U1747" s="328">
        <f>VLOOKUP(C1747,METADATA!$J$5:$Q$29,IF(E1747="HI",2,IF(E1747="LO",6,10))+IF(T1747=1,2,IF(D1747=7,1,(IF(WEEKDAY(B1747)=1,2,IF(WEEKDAY(B1747)=7,1,0))))))</f>
        <v>2</v>
      </c>
      <c r="V1747" s="328">
        <f>VLOOKUP(C1747,METADATA!$A$5:$H$29,IF(E1747="HI",2,IF(E1747="LO",6,10))+IF(T1747=1,2,IF(D1747=7,1,(IF(WEEKDAY(B1747)=1,2,IF(WEEKDAY(B1747)=7,1,0))))))</f>
        <v>2</v>
      </c>
    </row>
    <row r="1748" spans="2:22">
      <c r="B1748" s="318">
        <f t="shared" si="107"/>
        <v>46185</v>
      </c>
      <c r="C1748" s="312">
        <v>16</v>
      </c>
      <c r="D1748" s="368">
        <f>IFERROR((INDEX(METADATA!$T$2:$T$20,MATCH(B1748,METADATA!$S$2:$S$20,0))),0)</f>
        <v>0</v>
      </c>
      <c r="E1748" s="312" t="str">
        <f t="shared" si="108"/>
        <v>LO</v>
      </c>
      <c r="F1748" s="369">
        <f>VLOOKUP(C1748,METADATA!$A$5:$H$29,IF(E1748="HI",2,IF(E1748="LO",6,10))+IF(D1748=1,2,IF(D1748=7,1,(IF(WEEKDAY(B1748)=1,2,IF(WEEKDAY(B1748)=7,1,0))))))</f>
        <v>2</v>
      </c>
      <c r="G1748" s="369">
        <f>VLOOKUP(C1748,METADATA!$J$5:$Q$29,IF(E1748="HI",2,IF(E1748="LO",6,10))+IF(D1748=1,2,IF(D1748=7,1,(IF(WEEKDAY(B1748)=1,2,IF(WEEKDAY(B1748)=7,1,0))))))</f>
        <v>2</v>
      </c>
      <c r="H1748" s="370">
        <v>13706.674865722656</v>
      </c>
      <c r="I1748" s="370">
        <v>2023.9674987792969</v>
      </c>
      <c r="M1748" s="371">
        <f t="shared" si="109"/>
        <v>13855.301523631601</v>
      </c>
      <c r="N1748" s="329">
        <f t="shared" si="110"/>
        <v>0</v>
      </c>
      <c r="T1748" s="331">
        <v>0</v>
      </c>
      <c r="U1748" s="328">
        <f>VLOOKUP(C1748,METADATA!$J$5:$Q$29,IF(E1748="HI",2,IF(E1748="LO",6,10))+IF(T1748=1,2,IF(D1748=7,1,(IF(WEEKDAY(B1748)=1,2,IF(WEEKDAY(B1748)=7,1,0))))))</f>
        <v>2</v>
      </c>
      <c r="V1748" s="328">
        <f>VLOOKUP(C1748,METADATA!$A$5:$H$29,IF(E1748="HI",2,IF(E1748="LO",6,10))+IF(T1748=1,2,IF(D1748=7,1,(IF(WEEKDAY(B1748)=1,2,IF(WEEKDAY(B1748)=7,1,0))))))</f>
        <v>2</v>
      </c>
    </row>
    <row r="1749" spans="2:22">
      <c r="B1749" s="318">
        <f t="shared" si="107"/>
        <v>46185</v>
      </c>
      <c r="C1749" s="312">
        <v>17</v>
      </c>
      <c r="D1749" s="368">
        <f>IFERROR((INDEX(METADATA!$T$2:$T$20,MATCH(B1749,METADATA!$S$2:$S$20,0))),0)</f>
        <v>0</v>
      </c>
      <c r="E1749" s="312" t="str">
        <f t="shared" si="108"/>
        <v>LO</v>
      </c>
      <c r="F1749" s="369">
        <f>VLOOKUP(C1749,METADATA!$A$5:$H$29,IF(E1749="HI",2,IF(E1749="LO",6,10))+IF(D1749=1,2,IF(D1749=7,1,(IF(WEEKDAY(B1749)=1,2,IF(WEEKDAY(B1749)=7,1,0))))))</f>
        <v>2</v>
      </c>
      <c r="G1749" s="369">
        <f>VLOOKUP(C1749,METADATA!$J$5:$Q$29,IF(E1749="HI",2,IF(E1749="LO",6,10))+IF(D1749=1,2,IF(D1749=7,1,(IF(WEEKDAY(B1749)=1,2,IF(WEEKDAY(B1749)=7,1,0))))))</f>
        <v>2</v>
      </c>
      <c r="H1749" s="370">
        <v>13761.949890136719</v>
      </c>
      <c r="I1749" s="370">
        <v>1983.1925201416016</v>
      </c>
      <c r="M1749" s="371">
        <f t="shared" si="109"/>
        <v>13904.111526831897</v>
      </c>
      <c r="N1749" s="329">
        <f t="shared" si="110"/>
        <v>0</v>
      </c>
      <c r="T1749" s="331">
        <v>0</v>
      </c>
      <c r="U1749" s="328">
        <f>VLOOKUP(C1749,METADATA!$J$5:$Q$29,IF(E1749="HI",2,IF(E1749="LO",6,10))+IF(T1749=1,2,IF(D1749=7,1,(IF(WEEKDAY(B1749)=1,2,IF(WEEKDAY(B1749)=7,1,0))))))</f>
        <v>2</v>
      </c>
      <c r="V1749" s="328">
        <f>VLOOKUP(C1749,METADATA!$A$5:$H$29,IF(E1749="HI",2,IF(E1749="LO",6,10))+IF(T1749=1,2,IF(D1749=7,1,(IF(WEEKDAY(B1749)=1,2,IF(WEEKDAY(B1749)=7,1,0))))))</f>
        <v>2</v>
      </c>
    </row>
    <row r="1750" spans="2:22">
      <c r="B1750" s="318">
        <f t="shared" si="107"/>
        <v>46185</v>
      </c>
      <c r="C1750" s="312">
        <v>18</v>
      </c>
      <c r="D1750" s="368">
        <f>IFERROR((INDEX(METADATA!$T$2:$T$20,MATCH(B1750,METADATA!$S$2:$S$20,0))),0)</f>
        <v>0</v>
      </c>
      <c r="E1750" s="312" t="str">
        <f t="shared" si="108"/>
        <v>LO</v>
      </c>
      <c r="F1750" s="369">
        <f>VLOOKUP(C1750,METADATA!$A$5:$H$29,IF(E1750="HI",2,IF(E1750="LO",6,10))+IF(D1750=1,2,IF(D1750=7,1,(IF(WEEKDAY(B1750)=1,2,IF(WEEKDAY(B1750)=7,1,0))))))</f>
        <v>1</v>
      </c>
      <c r="G1750" s="369">
        <f>VLOOKUP(C1750,METADATA!$J$5:$Q$29,IF(E1750="HI",2,IF(E1750="LO",6,10))+IF(D1750=1,2,IF(D1750=7,1,(IF(WEEKDAY(B1750)=1,2,IF(WEEKDAY(B1750)=7,1,0))))))</f>
        <v>1</v>
      </c>
      <c r="H1750" s="370">
        <v>13750.525329589844</v>
      </c>
      <c r="I1750" s="370">
        <v>1877.3274841308594</v>
      </c>
      <c r="M1750" s="371">
        <f t="shared" si="109"/>
        <v>13878.087235723984</v>
      </c>
      <c r="N1750" s="329">
        <f t="shared" si="110"/>
        <v>0</v>
      </c>
      <c r="T1750" s="331">
        <v>0</v>
      </c>
      <c r="U1750" s="328">
        <f>VLOOKUP(C1750,METADATA!$J$5:$Q$29,IF(E1750="HI",2,IF(E1750="LO",6,10))+IF(T1750=1,2,IF(D1750=7,1,(IF(WEEKDAY(B1750)=1,2,IF(WEEKDAY(B1750)=7,1,0))))))</f>
        <v>1</v>
      </c>
      <c r="V1750" s="328">
        <f>VLOOKUP(C1750,METADATA!$A$5:$H$29,IF(E1750="HI",2,IF(E1750="LO",6,10))+IF(T1750=1,2,IF(D1750=7,1,(IF(WEEKDAY(B1750)=1,2,IF(WEEKDAY(B1750)=7,1,0))))))</f>
        <v>1</v>
      </c>
    </row>
    <row r="1751" spans="2:22">
      <c r="B1751" s="318">
        <f t="shared" si="107"/>
        <v>46185</v>
      </c>
      <c r="C1751" s="312">
        <v>19</v>
      </c>
      <c r="D1751" s="368">
        <f>IFERROR((INDEX(METADATA!$T$2:$T$20,MATCH(B1751,METADATA!$S$2:$S$20,0))),0)</f>
        <v>0</v>
      </c>
      <c r="E1751" s="312" t="str">
        <f t="shared" si="108"/>
        <v>LO</v>
      </c>
      <c r="F1751" s="369">
        <f>VLOOKUP(C1751,METADATA!$A$5:$H$29,IF(E1751="HI",2,IF(E1751="LO",6,10))+IF(D1751=1,2,IF(D1751=7,1,(IF(WEEKDAY(B1751)=1,2,IF(WEEKDAY(B1751)=7,1,0))))))</f>
        <v>1</v>
      </c>
      <c r="G1751" s="369">
        <f>VLOOKUP(C1751,METADATA!$J$5:$Q$29,IF(E1751="HI",2,IF(E1751="LO",6,10))+IF(D1751=1,2,IF(D1751=7,1,(IF(WEEKDAY(B1751)=1,2,IF(WEEKDAY(B1751)=7,1,0))))))</f>
        <v>1</v>
      </c>
      <c r="H1751" s="370">
        <v>13787.300476074219</v>
      </c>
      <c r="I1751" s="370">
        <v>1864.8224868774414</v>
      </c>
      <c r="M1751" s="371">
        <f t="shared" si="109"/>
        <v>13912.843610316339</v>
      </c>
      <c r="N1751" s="329">
        <f t="shared" si="110"/>
        <v>0</v>
      </c>
      <c r="T1751" s="331">
        <v>0</v>
      </c>
      <c r="U1751" s="328">
        <f>VLOOKUP(C1751,METADATA!$J$5:$Q$29,IF(E1751="HI",2,IF(E1751="LO",6,10))+IF(T1751=1,2,IF(D1751=7,1,(IF(WEEKDAY(B1751)=1,2,IF(WEEKDAY(B1751)=7,1,0))))))</f>
        <v>1</v>
      </c>
      <c r="V1751" s="328">
        <f>VLOOKUP(C1751,METADATA!$A$5:$H$29,IF(E1751="HI",2,IF(E1751="LO",6,10))+IF(T1751=1,2,IF(D1751=7,1,(IF(WEEKDAY(B1751)=1,2,IF(WEEKDAY(B1751)=7,1,0))))))</f>
        <v>1</v>
      </c>
    </row>
    <row r="1752" spans="2:22">
      <c r="B1752" s="318">
        <f t="shared" si="107"/>
        <v>46185</v>
      </c>
      <c r="C1752" s="312">
        <v>20</v>
      </c>
      <c r="D1752" s="368">
        <f>IFERROR((INDEX(METADATA!$T$2:$T$20,MATCH(B1752,METADATA!$S$2:$S$20,0))),0)</f>
        <v>0</v>
      </c>
      <c r="E1752" s="312" t="str">
        <f t="shared" si="108"/>
        <v>LO</v>
      </c>
      <c r="F1752" s="369">
        <f>VLOOKUP(C1752,METADATA!$A$5:$H$29,IF(E1752="HI",2,IF(E1752="LO",6,10))+IF(D1752=1,2,IF(D1752=7,1,(IF(WEEKDAY(B1752)=1,2,IF(WEEKDAY(B1752)=7,1,0))))))</f>
        <v>1</v>
      </c>
      <c r="G1752" s="369">
        <f>VLOOKUP(C1752,METADATA!$J$5:$Q$29,IF(E1752="HI",2,IF(E1752="LO",6,10))+IF(D1752=1,2,IF(D1752=7,1,(IF(WEEKDAY(B1752)=1,2,IF(WEEKDAY(B1752)=7,1,0))))))</f>
        <v>1</v>
      </c>
      <c r="H1752" s="370">
        <v>13825.550048828125</v>
      </c>
      <c r="I1752" s="370">
        <v>1941.4575042724609</v>
      </c>
      <c r="M1752" s="371">
        <f t="shared" si="109"/>
        <v>13961.199496946787</v>
      </c>
      <c r="N1752" s="329">
        <f t="shared" si="110"/>
        <v>0</v>
      </c>
      <c r="T1752" s="331">
        <v>0</v>
      </c>
      <c r="U1752" s="328">
        <f>VLOOKUP(C1752,METADATA!$J$5:$Q$29,IF(E1752="HI",2,IF(E1752="LO",6,10))+IF(T1752=1,2,IF(D1752=7,1,(IF(WEEKDAY(B1752)=1,2,IF(WEEKDAY(B1752)=7,1,0))))))</f>
        <v>1</v>
      </c>
      <c r="V1752" s="328">
        <f>VLOOKUP(C1752,METADATA!$A$5:$H$29,IF(E1752="HI",2,IF(E1752="LO",6,10))+IF(T1752=1,2,IF(D1752=7,1,(IF(WEEKDAY(B1752)=1,2,IF(WEEKDAY(B1752)=7,1,0))))))</f>
        <v>1</v>
      </c>
    </row>
    <row r="1753" spans="2:22">
      <c r="B1753" s="318">
        <f t="shared" si="107"/>
        <v>46185</v>
      </c>
      <c r="C1753" s="312">
        <v>21</v>
      </c>
      <c r="D1753" s="368">
        <f>IFERROR((INDEX(METADATA!$T$2:$T$20,MATCH(B1753,METADATA!$S$2:$S$20,0))),0)</f>
        <v>0</v>
      </c>
      <c r="E1753" s="312" t="str">
        <f t="shared" si="108"/>
        <v>LO</v>
      </c>
      <c r="F1753" s="369">
        <f>VLOOKUP(C1753,METADATA!$A$5:$H$29,IF(E1753="HI",2,IF(E1753="LO",6,10))+IF(D1753=1,2,IF(D1753=7,1,(IF(WEEKDAY(B1753)=1,2,IF(WEEKDAY(B1753)=7,1,0))))))</f>
        <v>2</v>
      </c>
      <c r="G1753" s="369">
        <f>VLOOKUP(C1753,METADATA!$J$5:$Q$29,IF(E1753="HI",2,IF(E1753="LO",6,10))+IF(D1753=1,2,IF(D1753=7,1,(IF(WEEKDAY(B1753)=1,2,IF(WEEKDAY(B1753)=7,1,0))))))</f>
        <v>2</v>
      </c>
      <c r="H1753" s="370">
        <v>13818.47509765625</v>
      </c>
      <c r="I1753" s="370">
        <v>2029.5824966430664</v>
      </c>
      <c r="M1753" s="371">
        <f t="shared" si="109"/>
        <v>13966.726858331045</v>
      </c>
      <c r="N1753" s="329">
        <f t="shared" si="110"/>
        <v>0</v>
      </c>
      <c r="T1753" s="331">
        <v>0</v>
      </c>
      <c r="U1753" s="328">
        <f>VLOOKUP(C1753,METADATA!$J$5:$Q$29,IF(E1753="HI",2,IF(E1753="LO",6,10))+IF(T1753=1,2,IF(D1753=7,1,(IF(WEEKDAY(B1753)=1,2,IF(WEEKDAY(B1753)=7,1,0))))))</f>
        <v>2</v>
      </c>
      <c r="V1753" s="328">
        <f>VLOOKUP(C1753,METADATA!$A$5:$H$29,IF(E1753="HI",2,IF(E1753="LO",6,10))+IF(T1753=1,2,IF(D1753=7,1,(IF(WEEKDAY(B1753)=1,2,IF(WEEKDAY(B1753)=7,1,0))))))</f>
        <v>2</v>
      </c>
    </row>
    <row r="1754" spans="2:22">
      <c r="B1754" s="318">
        <f t="shared" si="107"/>
        <v>46185</v>
      </c>
      <c r="C1754" s="312">
        <v>22</v>
      </c>
      <c r="D1754" s="368">
        <f>IFERROR((INDEX(METADATA!$T$2:$T$20,MATCH(B1754,METADATA!$S$2:$S$20,0))),0)</f>
        <v>0</v>
      </c>
      <c r="E1754" s="312" t="str">
        <f t="shared" si="108"/>
        <v>LO</v>
      </c>
      <c r="F1754" s="369">
        <f>VLOOKUP(C1754,METADATA!$A$5:$H$29,IF(E1754="HI",2,IF(E1754="LO",6,10))+IF(D1754=1,2,IF(D1754=7,1,(IF(WEEKDAY(B1754)=1,2,IF(WEEKDAY(B1754)=7,1,0))))))</f>
        <v>3</v>
      </c>
      <c r="G1754" s="369">
        <f>VLOOKUP(C1754,METADATA!$J$5:$Q$29,IF(E1754="HI",2,IF(E1754="LO",6,10))+IF(D1754=1,2,IF(D1754=7,1,(IF(WEEKDAY(B1754)=1,2,IF(WEEKDAY(B1754)=7,1,0))))))</f>
        <v>3</v>
      </c>
      <c r="H1754" s="370">
        <v>13800.549987792969</v>
      </c>
      <c r="I1754" s="370">
        <v>2025.5524597167969</v>
      </c>
      <c r="M1754" s="371">
        <f t="shared" si="109"/>
        <v>13948.406458539888</v>
      </c>
      <c r="N1754" s="329">
        <f t="shared" si="110"/>
        <v>0</v>
      </c>
      <c r="T1754" s="331">
        <v>0</v>
      </c>
      <c r="U1754" s="328">
        <f>VLOOKUP(C1754,METADATA!$J$5:$Q$29,IF(E1754="HI",2,IF(E1754="LO",6,10))+IF(T1754=1,2,IF(D1754=7,1,(IF(WEEKDAY(B1754)=1,2,IF(WEEKDAY(B1754)=7,1,0))))))</f>
        <v>3</v>
      </c>
      <c r="V1754" s="328">
        <f>VLOOKUP(C1754,METADATA!$A$5:$H$29,IF(E1754="HI",2,IF(E1754="LO",6,10))+IF(T1754=1,2,IF(D1754=7,1,(IF(WEEKDAY(B1754)=1,2,IF(WEEKDAY(B1754)=7,1,0))))))</f>
        <v>3</v>
      </c>
    </row>
    <row r="1755" spans="2:22">
      <c r="B1755" s="318">
        <f t="shared" si="107"/>
        <v>46185</v>
      </c>
      <c r="C1755" s="312">
        <v>23</v>
      </c>
      <c r="D1755" s="368">
        <f>IFERROR((INDEX(METADATA!$T$2:$T$20,MATCH(B1755,METADATA!$S$2:$S$20,0))),0)</f>
        <v>0</v>
      </c>
      <c r="E1755" s="312" t="str">
        <f t="shared" si="108"/>
        <v>LO</v>
      </c>
      <c r="F1755" s="369">
        <f>VLOOKUP(C1755,METADATA!$A$5:$H$29,IF(E1755="HI",2,IF(E1755="LO",6,10))+IF(D1755=1,2,IF(D1755=7,1,(IF(WEEKDAY(B1755)=1,2,IF(WEEKDAY(B1755)=7,1,0))))))</f>
        <v>3</v>
      </c>
      <c r="G1755" s="369">
        <f>VLOOKUP(C1755,METADATA!$J$5:$Q$29,IF(E1755="HI",2,IF(E1755="LO",6,10))+IF(D1755=1,2,IF(D1755=7,1,(IF(WEEKDAY(B1755)=1,2,IF(WEEKDAY(B1755)=7,1,0))))))</f>
        <v>3</v>
      </c>
      <c r="H1755" s="370">
        <v>13804.400207519531</v>
      </c>
      <c r="I1755" s="370">
        <v>2122.8500061035156</v>
      </c>
      <c r="M1755" s="371">
        <f t="shared" si="109"/>
        <v>13966.67309124757</v>
      </c>
      <c r="N1755" s="329">
        <f t="shared" si="110"/>
        <v>0</v>
      </c>
      <c r="T1755" s="331">
        <v>0</v>
      </c>
      <c r="U1755" s="328">
        <f>VLOOKUP(C1755,METADATA!$J$5:$Q$29,IF(E1755="HI",2,IF(E1755="LO",6,10))+IF(T1755=1,2,IF(D1755=7,1,(IF(WEEKDAY(B1755)=1,2,IF(WEEKDAY(B1755)=7,1,0))))))</f>
        <v>3</v>
      </c>
      <c r="V1755" s="328">
        <f>VLOOKUP(C1755,METADATA!$A$5:$H$29,IF(E1755="HI",2,IF(E1755="LO",6,10))+IF(T1755=1,2,IF(D1755=7,1,(IF(WEEKDAY(B1755)=1,2,IF(WEEKDAY(B1755)=7,1,0))))))</f>
        <v>3</v>
      </c>
    </row>
    <row r="1756" spans="2:22">
      <c r="B1756" s="318">
        <f t="shared" ref="B1756:B1819" si="111">B1732+1</f>
        <v>46186</v>
      </c>
      <c r="C1756" s="312">
        <v>0</v>
      </c>
      <c r="D1756" s="368">
        <f>IFERROR((INDEX(METADATA!$T$2:$T$20,MATCH(B1756,METADATA!$S$2:$S$20,0))),0)</f>
        <v>0</v>
      </c>
      <c r="E1756" s="312" t="str">
        <f t="shared" si="108"/>
        <v>LO</v>
      </c>
      <c r="F1756" s="369">
        <f>VLOOKUP(C1756,METADATA!$A$5:$H$29,IF(E1756="HI",2,IF(E1756="LO",6,10))+IF(D1756=1,2,IF(D1756=7,1,(IF(WEEKDAY(B1756)=1,2,IF(WEEKDAY(B1756)=7,1,0))))))</f>
        <v>3</v>
      </c>
      <c r="G1756" s="369">
        <f>VLOOKUP(C1756,METADATA!$J$5:$Q$29,IF(E1756="HI",2,IF(E1756="LO",6,10))+IF(D1756=1,2,IF(D1756=7,1,(IF(WEEKDAY(B1756)=1,2,IF(WEEKDAY(B1756)=7,1,0))))))</f>
        <v>3</v>
      </c>
      <c r="H1756" s="370">
        <v>13628.800170898438</v>
      </c>
      <c r="I1756" s="370">
        <v>2202.140022277832</v>
      </c>
      <c r="M1756" s="371">
        <f t="shared" si="109"/>
        <v>13805.564630829087</v>
      </c>
      <c r="N1756" s="329">
        <f t="shared" si="110"/>
        <v>0</v>
      </c>
      <c r="T1756" s="331">
        <v>0</v>
      </c>
      <c r="U1756" s="328">
        <f>VLOOKUP(C1756,METADATA!$J$5:$Q$29,IF(E1756="HI",2,IF(E1756="LO",6,10))+IF(T1756=1,2,IF(D1756=7,1,(IF(WEEKDAY(B1756)=1,2,IF(WEEKDAY(B1756)=7,1,0))))))</f>
        <v>3</v>
      </c>
      <c r="V1756" s="328">
        <f>VLOOKUP(C1756,METADATA!$A$5:$H$29,IF(E1756="HI",2,IF(E1756="LO",6,10))+IF(T1756=1,2,IF(D1756=7,1,(IF(WEEKDAY(B1756)=1,2,IF(WEEKDAY(B1756)=7,1,0))))))</f>
        <v>3</v>
      </c>
    </row>
    <row r="1757" spans="2:22">
      <c r="B1757" s="318">
        <f t="shared" si="111"/>
        <v>46186</v>
      </c>
      <c r="C1757" s="312">
        <v>1</v>
      </c>
      <c r="D1757" s="368">
        <f>IFERROR((INDEX(METADATA!$T$2:$T$20,MATCH(B1757,METADATA!$S$2:$S$20,0))),0)</f>
        <v>0</v>
      </c>
      <c r="E1757" s="312" t="str">
        <f t="shared" si="108"/>
        <v>LO</v>
      </c>
      <c r="F1757" s="369">
        <f>VLOOKUP(C1757,METADATA!$A$5:$H$29,IF(E1757="HI",2,IF(E1757="LO",6,10))+IF(D1757=1,2,IF(D1757=7,1,(IF(WEEKDAY(B1757)=1,2,IF(WEEKDAY(B1757)=7,1,0))))))</f>
        <v>3</v>
      </c>
      <c r="G1757" s="369">
        <f>VLOOKUP(C1757,METADATA!$J$5:$Q$29,IF(E1757="HI",2,IF(E1757="LO",6,10))+IF(D1757=1,2,IF(D1757=7,1,(IF(WEEKDAY(B1757)=1,2,IF(WEEKDAY(B1757)=7,1,0))))))</f>
        <v>3</v>
      </c>
      <c r="H1757" s="370">
        <v>13847.100280761719</v>
      </c>
      <c r="I1757" s="370">
        <v>2268.114990234375</v>
      </c>
      <c r="M1757" s="371">
        <f t="shared" si="109"/>
        <v>14031.626127943873</v>
      </c>
      <c r="N1757" s="329">
        <f t="shared" si="110"/>
        <v>0</v>
      </c>
      <c r="T1757" s="331">
        <v>0</v>
      </c>
      <c r="U1757" s="328">
        <f>VLOOKUP(C1757,METADATA!$J$5:$Q$29,IF(E1757="HI",2,IF(E1757="LO",6,10))+IF(T1757=1,2,IF(D1757=7,1,(IF(WEEKDAY(B1757)=1,2,IF(WEEKDAY(B1757)=7,1,0))))))</f>
        <v>3</v>
      </c>
      <c r="V1757" s="328">
        <f>VLOOKUP(C1757,METADATA!$A$5:$H$29,IF(E1757="HI",2,IF(E1757="LO",6,10))+IF(T1757=1,2,IF(D1757=7,1,(IF(WEEKDAY(B1757)=1,2,IF(WEEKDAY(B1757)=7,1,0))))))</f>
        <v>3</v>
      </c>
    </row>
    <row r="1758" spans="2:22">
      <c r="B1758" s="318">
        <f t="shared" si="111"/>
        <v>46186</v>
      </c>
      <c r="C1758" s="312">
        <v>2</v>
      </c>
      <c r="D1758" s="368">
        <f>IFERROR((INDEX(METADATA!$T$2:$T$20,MATCH(B1758,METADATA!$S$2:$S$20,0))),0)</f>
        <v>0</v>
      </c>
      <c r="E1758" s="312" t="str">
        <f t="shared" si="108"/>
        <v>LO</v>
      </c>
      <c r="F1758" s="369">
        <f>VLOOKUP(C1758,METADATA!$A$5:$H$29,IF(E1758="HI",2,IF(E1758="LO",6,10))+IF(D1758=1,2,IF(D1758=7,1,(IF(WEEKDAY(B1758)=1,2,IF(WEEKDAY(B1758)=7,1,0))))))</f>
        <v>3</v>
      </c>
      <c r="G1758" s="369">
        <f>VLOOKUP(C1758,METADATA!$J$5:$Q$29,IF(E1758="HI",2,IF(E1758="LO",6,10))+IF(D1758=1,2,IF(D1758=7,1,(IF(WEEKDAY(B1758)=1,2,IF(WEEKDAY(B1758)=7,1,0))))))</f>
        <v>3</v>
      </c>
      <c r="H1758" s="370">
        <v>13680.23291015625</v>
      </c>
      <c r="I1758" s="370">
        <v>2311.1134719848633</v>
      </c>
      <c r="M1758" s="371">
        <f t="shared" si="109"/>
        <v>13874.077192970784</v>
      </c>
      <c r="N1758" s="329">
        <f t="shared" si="110"/>
        <v>0</v>
      </c>
      <c r="T1758" s="331">
        <v>0</v>
      </c>
      <c r="U1758" s="328">
        <f>VLOOKUP(C1758,METADATA!$J$5:$Q$29,IF(E1758="HI",2,IF(E1758="LO",6,10))+IF(T1758=1,2,IF(D1758=7,1,(IF(WEEKDAY(B1758)=1,2,IF(WEEKDAY(B1758)=7,1,0))))))</f>
        <v>3</v>
      </c>
      <c r="V1758" s="328">
        <f>VLOOKUP(C1758,METADATA!$A$5:$H$29,IF(E1758="HI",2,IF(E1758="LO",6,10))+IF(T1758=1,2,IF(D1758=7,1,(IF(WEEKDAY(B1758)=1,2,IF(WEEKDAY(B1758)=7,1,0))))))</f>
        <v>3</v>
      </c>
    </row>
    <row r="1759" spans="2:22">
      <c r="B1759" s="318">
        <f t="shared" si="111"/>
        <v>46186</v>
      </c>
      <c r="C1759" s="312">
        <v>3</v>
      </c>
      <c r="D1759" s="368">
        <f>IFERROR((INDEX(METADATA!$T$2:$T$20,MATCH(B1759,METADATA!$S$2:$S$20,0))),0)</f>
        <v>0</v>
      </c>
      <c r="E1759" s="312" t="str">
        <f t="shared" si="108"/>
        <v>LO</v>
      </c>
      <c r="F1759" s="369">
        <f>VLOOKUP(C1759,METADATA!$A$5:$H$29,IF(E1759="HI",2,IF(E1759="LO",6,10))+IF(D1759=1,2,IF(D1759=7,1,(IF(WEEKDAY(B1759)=1,2,IF(WEEKDAY(B1759)=7,1,0))))))</f>
        <v>3</v>
      </c>
      <c r="G1759" s="369">
        <f>VLOOKUP(C1759,METADATA!$J$5:$Q$29,IF(E1759="HI",2,IF(E1759="LO",6,10))+IF(D1759=1,2,IF(D1759=7,1,(IF(WEEKDAY(B1759)=1,2,IF(WEEKDAY(B1759)=7,1,0))))))</f>
        <v>3</v>
      </c>
      <c r="H1759" s="370">
        <v>13783.049743652344</v>
      </c>
      <c r="I1759" s="370">
        <v>2128.4349594116211</v>
      </c>
      <c r="M1759" s="371">
        <f t="shared" si="109"/>
        <v>13946.422323034696</v>
      </c>
      <c r="N1759" s="329">
        <f t="shared" si="110"/>
        <v>0</v>
      </c>
      <c r="T1759" s="331">
        <v>0</v>
      </c>
      <c r="U1759" s="328">
        <f>VLOOKUP(C1759,METADATA!$J$5:$Q$29,IF(E1759="HI",2,IF(E1759="LO",6,10))+IF(T1759=1,2,IF(D1759=7,1,(IF(WEEKDAY(B1759)=1,2,IF(WEEKDAY(B1759)=7,1,0))))))</f>
        <v>3</v>
      </c>
      <c r="V1759" s="328">
        <f>VLOOKUP(C1759,METADATA!$A$5:$H$29,IF(E1759="HI",2,IF(E1759="LO",6,10))+IF(T1759=1,2,IF(D1759=7,1,(IF(WEEKDAY(B1759)=1,2,IF(WEEKDAY(B1759)=7,1,0))))))</f>
        <v>3</v>
      </c>
    </row>
    <row r="1760" spans="2:22">
      <c r="B1760" s="318">
        <f t="shared" si="111"/>
        <v>46186</v>
      </c>
      <c r="C1760" s="312">
        <v>4</v>
      </c>
      <c r="D1760" s="368">
        <f>IFERROR((INDEX(METADATA!$T$2:$T$20,MATCH(B1760,METADATA!$S$2:$S$20,0))),0)</f>
        <v>0</v>
      </c>
      <c r="E1760" s="312" t="str">
        <f t="shared" si="108"/>
        <v>LO</v>
      </c>
      <c r="F1760" s="369">
        <f>VLOOKUP(C1760,METADATA!$A$5:$H$29,IF(E1760="HI",2,IF(E1760="LO",6,10))+IF(D1760=1,2,IF(D1760=7,1,(IF(WEEKDAY(B1760)=1,2,IF(WEEKDAY(B1760)=7,1,0))))))</f>
        <v>3</v>
      </c>
      <c r="G1760" s="369">
        <f>VLOOKUP(C1760,METADATA!$J$5:$Q$29,IF(E1760="HI",2,IF(E1760="LO",6,10))+IF(D1760=1,2,IF(D1760=7,1,(IF(WEEKDAY(B1760)=1,2,IF(WEEKDAY(B1760)=7,1,0))))))</f>
        <v>3</v>
      </c>
      <c r="H1760" s="370">
        <v>13652.524841308594</v>
      </c>
      <c r="I1760" s="370">
        <v>2065.1075134277344</v>
      </c>
      <c r="M1760" s="371">
        <f t="shared" si="109"/>
        <v>13807.827620033642</v>
      </c>
      <c r="N1760" s="329">
        <f t="shared" si="110"/>
        <v>0</v>
      </c>
      <c r="T1760" s="331">
        <v>0</v>
      </c>
      <c r="U1760" s="328">
        <f>VLOOKUP(C1760,METADATA!$J$5:$Q$29,IF(E1760="HI",2,IF(E1760="LO",6,10))+IF(T1760=1,2,IF(D1760=7,1,(IF(WEEKDAY(B1760)=1,2,IF(WEEKDAY(B1760)=7,1,0))))))</f>
        <v>3</v>
      </c>
      <c r="V1760" s="328">
        <f>VLOOKUP(C1760,METADATA!$A$5:$H$29,IF(E1760="HI",2,IF(E1760="LO",6,10))+IF(T1760=1,2,IF(D1760=7,1,(IF(WEEKDAY(B1760)=1,2,IF(WEEKDAY(B1760)=7,1,0))))))</f>
        <v>3</v>
      </c>
    </row>
    <row r="1761" spans="2:22">
      <c r="B1761" s="318">
        <f t="shared" si="111"/>
        <v>46186</v>
      </c>
      <c r="C1761" s="312">
        <v>5</v>
      </c>
      <c r="D1761" s="368">
        <f>IFERROR((INDEX(METADATA!$T$2:$T$20,MATCH(B1761,METADATA!$S$2:$S$20,0))),0)</f>
        <v>0</v>
      </c>
      <c r="E1761" s="312" t="str">
        <f t="shared" si="108"/>
        <v>LO</v>
      </c>
      <c r="F1761" s="369">
        <f>VLOOKUP(C1761,METADATA!$A$5:$H$29,IF(E1761="HI",2,IF(E1761="LO",6,10))+IF(D1761=1,2,IF(D1761=7,1,(IF(WEEKDAY(B1761)=1,2,IF(WEEKDAY(B1761)=7,1,0))))))</f>
        <v>3</v>
      </c>
      <c r="G1761" s="369">
        <f>VLOOKUP(C1761,METADATA!$J$5:$Q$29,IF(E1761="HI",2,IF(E1761="LO",6,10))+IF(D1761=1,2,IF(D1761=7,1,(IF(WEEKDAY(B1761)=1,2,IF(WEEKDAY(B1761)=7,1,0))))))</f>
        <v>3</v>
      </c>
      <c r="H1761" s="370">
        <v>13791.375122070313</v>
      </c>
      <c r="I1761" s="370">
        <v>2041.0549926757813</v>
      </c>
      <c r="M1761" s="371">
        <f t="shared" si="109"/>
        <v>13941.590054250864</v>
      </c>
      <c r="N1761" s="329">
        <f t="shared" si="110"/>
        <v>0</v>
      </c>
      <c r="T1761" s="331">
        <v>0</v>
      </c>
      <c r="U1761" s="328">
        <f>VLOOKUP(C1761,METADATA!$J$5:$Q$29,IF(E1761="HI",2,IF(E1761="LO",6,10))+IF(T1761=1,2,IF(D1761=7,1,(IF(WEEKDAY(B1761)=1,2,IF(WEEKDAY(B1761)=7,1,0))))))</f>
        <v>3</v>
      </c>
      <c r="V1761" s="328">
        <f>VLOOKUP(C1761,METADATA!$A$5:$H$29,IF(E1761="HI",2,IF(E1761="LO",6,10))+IF(T1761=1,2,IF(D1761=7,1,(IF(WEEKDAY(B1761)=1,2,IF(WEEKDAY(B1761)=7,1,0))))))</f>
        <v>3</v>
      </c>
    </row>
    <row r="1762" spans="2:22">
      <c r="B1762" s="318">
        <f t="shared" si="111"/>
        <v>46186</v>
      </c>
      <c r="C1762" s="312">
        <v>6</v>
      </c>
      <c r="D1762" s="368">
        <f>IFERROR((INDEX(METADATA!$T$2:$T$20,MATCH(B1762,METADATA!$S$2:$S$20,0))),0)</f>
        <v>0</v>
      </c>
      <c r="E1762" s="312" t="str">
        <f t="shared" si="108"/>
        <v>LO</v>
      </c>
      <c r="F1762" s="369">
        <f>VLOOKUP(C1762,METADATA!$A$5:$H$29,IF(E1762="HI",2,IF(E1762="LO",6,10))+IF(D1762=1,2,IF(D1762=7,1,(IF(WEEKDAY(B1762)=1,2,IF(WEEKDAY(B1762)=7,1,0))))))</f>
        <v>3</v>
      </c>
      <c r="G1762" s="369">
        <f>VLOOKUP(C1762,METADATA!$J$5:$Q$29,IF(E1762="HI",2,IF(E1762="LO",6,10))+IF(D1762=1,2,IF(D1762=7,1,(IF(WEEKDAY(B1762)=1,2,IF(WEEKDAY(B1762)=7,1,0))))))</f>
        <v>3</v>
      </c>
      <c r="H1762" s="370">
        <v>13749.674926757813</v>
      </c>
      <c r="I1762" s="370">
        <v>2100.3350067138672</v>
      </c>
      <c r="M1762" s="371">
        <f t="shared" si="109"/>
        <v>13909.168477372765</v>
      </c>
      <c r="N1762" s="329">
        <f t="shared" si="110"/>
        <v>0</v>
      </c>
      <c r="T1762" s="331">
        <v>0</v>
      </c>
      <c r="U1762" s="328">
        <f>VLOOKUP(C1762,METADATA!$J$5:$Q$29,IF(E1762="HI",2,IF(E1762="LO",6,10))+IF(T1762=1,2,IF(D1762=7,1,(IF(WEEKDAY(B1762)=1,2,IF(WEEKDAY(B1762)=7,1,0))))))</f>
        <v>3</v>
      </c>
      <c r="V1762" s="328">
        <f>VLOOKUP(C1762,METADATA!$A$5:$H$29,IF(E1762="HI",2,IF(E1762="LO",6,10))+IF(T1762=1,2,IF(D1762=7,1,(IF(WEEKDAY(B1762)=1,2,IF(WEEKDAY(B1762)=7,1,0))))))</f>
        <v>3</v>
      </c>
    </row>
    <row r="1763" spans="2:22">
      <c r="B1763" s="318">
        <f t="shared" si="111"/>
        <v>46186</v>
      </c>
      <c r="C1763" s="312">
        <v>7</v>
      </c>
      <c r="D1763" s="368">
        <f>IFERROR((INDEX(METADATA!$T$2:$T$20,MATCH(B1763,METADATA!$S$2:$S$20,0))),0)</f>
        <v>0</v>
      </c>
      <c r="E1763" s="312" t="str">
        <f t="shared" si="108"/>
        <v>LO</v>
      </c>
      <c r="F1763" s="369">
        <f>VLOOKUP(C1763,METADATA!$A$5:$H$29,IF(E1763="HI",2,IF(E1763="LO",6,10))+IF(D1763=1,2,IF(D1763=7,1,(IF(WEEKDAY(B1763)=1,2,IF(WEEKDAY(B1763)=7,1,0))))))</f>
        <v>2</v>
      </c>
      <c r="G1763" s="369">
        <f>VLOOKUP(C1763,METADATA!$J$5:$Q$29,IF(E1763="HI",2,IF(E1763="LO",6,10))+IF(D1763=1,2,IF(D1763=7,1,(IF(WEEKDAY(B1763)=1,2,IF(WEEKDAY(B1763)=7,1,0))))))</f>
        <v>2</v>
      </c>
      <c r="H1763" s="370">
        <v>13552.800476074219</v>
      </c>
      <c r="I1763" s="370">
        <v>2040.0965222716331</v>
      </c>
      <c r="M1763" s="371">
        <f t="shared" si="109"/>
        <v>13705.487753613965</v>
      </c>
      <c r="N1763" s="329">
        <f t="shared" si="110"/>
        <v>0</v>
      </c>
      <c r="T1763" s="331">
        <v>0</v>
      </c>
      <c r="U1763" s="328">
        <f>VLOOKUP(C1763,METADATA!$J$5:$Q$29,IF(E1763="HI",2,IF(E1763="LO",6,10))+IF(T1763=1,2,IF(D1763=7,1,(IF(WEEKDAY(B1763)=1,2,IF(WEEKDAY(B1763)=7,1,0))))))</f>
        <v>2</v>
      </c>
      <c r="V1763" s="328">
        <f>VLOOKUP(C1763,METADATA!$A$5:$H$29,IF(E1763="HI",2,IF(E1763="LO",6,10))+IF(T1763=1,2,IF(D1763=7,1,(IF(WEEKDAY(B1763)=1,2,IF(WEEKDAY(B1763)=7,1,0))))))</f>
        <v>2</v>
      </c>
    </row>
    <row r="1764" spans="2:22">
      <c r="B1764" s="318">
        <f t="shared" si="111"/>
        <v>46186</v>
      </c>
      <c r="C1764" s="312">
        <v>8</v>
      </c>
      <c r="D1764" s="368">
        <f>IFERROR((INDEX(METADATA!$T$2:$T$20,MATCH(B1764,METADATA!$S$2:$S$20,0))),0)</f>
        <v>0</v>
      </c>
      <c r="E1764" s="312" t="str">
        <f t="shared" si="108"/>
        <v>LO</v>
      </c>
      <c r="F1764" s="369">
        <f>VLOOKUP(C1764,METADATA!$A$5:$H$29,IF(E1764="HI",2,IF(E1764="LO",6,10))+IF(D1764=1,2,IF(D1764=7,1,(IF(WEEKDAY(B1764)=1,2,IF(WEEKDAY(B1764)=7,1,0))))))</f>
        <v>2</v>
      </c>
      <c r="G1764" s="369">
        <f>VLOOKUP(C1764,METADATA!$J$5:$Q$29,IF(E1764="HI",2,IF(E1764="LO",6,10))+IF(D1764=1,2,IF(D1764=7,1,(IF(WEEKDAY(B1764)=1,2,IF(WEEKDAY(B1764)=7,1,0))))))</f>
        <v>2</v>
      </c>
      <c r="H1764" s="370">
        <v>13620.299743652344</v>
      </c>
      <c r="I1764" s="370">
        <v>1979.0399932861328</v>
      </c>
      <c r="M1764" s="371">
        <f t="shared" si="109"/>
        <v>13763.326792674876</v>
      </c>
      <c r="N1764" s="329">
        <f t="shared" si="110"/>
        <v>0</v>
      </c>
      <c r="T1764" s="331">
        <v>0</v>
      </c>
      <c r="U1764" s="328">
        <f>VLOOKUP(C1764,METADATA!$J$5:$Q$29,IF(E1764="HI",2,IF(E1764="LO",6,10))+IF(T1764=1,2,IF(D1764=7,1,(IF(WEEKDAY(B1764)=1,2,IF(WEEKDAY(B1764)=7,1,0))))))</f>
        <v>2</v>
      </c>
      <c r="V1764" s="328">
        <f>VLOOKUP(C1764,METADATA!$A$5:$H$29,IF(E1764="HI",2,IF(E1764="LO",6,10))+IF(T1764=1,2,IF(D1764=7,1,(IF(WEEKDAY(B1764)=1,2,IF(WEEKDAY(B1764)=7,1,0))))))</f>
        <v>2</v>
      </c>
    </row>
    <row r="1765" spans="2:22">
      <c r="B1765" s="318">
        <f t="shared" si="111"/>
        <v>46186</v>
      </c>
      <c r="C1765" s="312">
        <v>9</v>
      </c>
      <c r="D1765" s="368">
        <f>IFERROR((INDEX(METADATA!$T$2:$T$20,MATCH(B1765,METADATA!$S$2:$S$20,0))),0)</f>
        <v>0</v>
      </c>
      <c r="E1765" s="312" t="str">
        <f t="shared" si="108"/>
        <v>LO</v>
      </c>
      <c r="F1765" s="369">
        <f>VLOOKUP(C1765,METADATA!$A$5:$H$29,IF(E1765="HI",2,IF(E1765="LO",6,10))+IF(D1765=1,2,IF(D1765=7,1,(IF(WEEKDAY(B1765)=1,2,IF(WEEKDAY(B1765)=7,1,0))))))</f>
        <v>2</v>
      </c>
      <c r="G1765" s="369">
        <f>VLOOKUP(C1765,METADATA!$J$5:$Q$29,IF(E1765="HI",2,IF(E1765="LO",6,10))+IF(D1765=1,2,IF(D1765=7,1,(IF(WEEKDAY(B1765)=1,2,IF(WEEKDAY(B1765)=7,1,0))))))</f>
        <v>2</v>
      </c>
      <c r="H1765" s="370">
        <v>13613.949829101563</v>
      </c>
      <c r="I1765" s="370">
        <v>1876.1749572753906</v>
      </c>
      <c r="M1765" s="371">
        <f t="shared" si="109"/>
        <v>13742.622108593461</v>
      </c>
      <c r="N1765" s="329">
        <f t="shared" si="110"/>
        <v>0</v>
      </c>
      <c r="T1765" s="331">
        <v>0</v>
      </c>
      <c r="U1765" s="328">
        <f>VLOOKUP(C1765,METADATA!$J$5:$Q$29,IF(E1765="HI",2,IF(E1765="LO",6,10))+IF(T1765=1,2,IF(D1765=7,1,(IF(WEEKDAY(B1765)=1,2,IF(WEEKDAY(B1765)=7,1,0))))))</f>
        <v>2</v>
      </c>
      <c r="V1765" s="328">
        <f>VLOOKUP(C1765,METADATA!$A$5:$H$29,IF(E1765="HI",2,IF(E1765="LO",6,10))+IF(T1765=1,2,IF(D1765=7,1,(IF(WEEKDAY(B1765)=1,2,IF(WEEKDAY(B1765)=7,1,0))))))</f>
        <v>2</v>
      </c>
    </row>
    <row r="1766" spans="2:22">
      <c r="B1766" s="318">
        <f t="shared" si="111"/>
        <v>46186</v>
      </c>
      <c r="C1766" s="312">
        <v>10</v>
      </c>
      <c r="D1766" s="368">
        <f>IFERROR((INDEX(METADATA!$T$2:$T$20,MATCH(B1766,METADATA!$S$2:$S$20,0))),0)</f>
        <v>0</v>
      </c>
      <c r="E1766" s="312" t="str">
        <f t="shared" si="108"/>
        <v>LO</v>
      </c>
      <c r="F1766" s="369">
        <f>VLOOKUP(C1766,METADATA!$A$5:$H$29,IF(E1766="HI",2,IF(E1766="LO",6,10))+IF(D1766=1,2,IF(D1766=7,1,(IF(WEEKDAY(B1766)=1,2,IF(WEEKDAY(B1766)=7,1,0))))))</f>
        <v>2</v>
      </c>
      <c r="G1766" s="369">
        <f>VLOOKUP(C1766,METADATA!$J$5:$Q$29,IF(E1766="HI",2,IF(E1766="LO",6,10))+IF(D1766=1,2,IF(D1766=7,1,(IF(WEEKDAY(B1766)=1,2,IF(WEEKDAY(B1766)=7,1,0))))))</f>
        <v>2</v>
      </c>
      <c r="H1766" s="370">
        <v>13621.449584960938</v>
      </c>
      <c r="I1766" s="370">
        <v>1717.4899978637695</v>
      </c>
      <c r="M1766" s="371">
        <f t="shared" si="109"/>
        <v>13729.299351692882</v>
      </c>
      <c r="N1766" s="329">
        <f t="shared" si="110"/>
        <v>0</v>
      </c>
      <c r="T1766" s="331">
        <v>0</v>
      </c>
      <c r="U1766" s="328">
        <f>VLOOKUP(C1766,METADATA!$J$5:$Q$29,IF(E1766="HI",2,IF(E1766="LO",6,10))+IF(T1766=1,2,IF(D1766=7,1,(IF(WEEKDAY(B1766)=1,2,IF(WEEKDAY(B1766)=7,1,0))))))</f>
        <v>2</v>
      </c>
      <c r="V1766" s="328">
        <f>VLOOKUP(C1766,METADATA!$A$5:$H$29,IF(E1766="HI",2,IF(E1766="LO",6,10))+IF(T1766=1,2,IF(D1766=7,1,(IF(WEEKDAY(B1766)=1,2,IF(WEEKDAY(B1766)=7,1,0))))))</f>
        <v>2</v>
      </c>
    </row>
    <row r="1767" spans="2:22">
      <c r="B1767" s="318">
        <f t="shared" si="111"/>
        <v>46186</v>
      </c>
      <c r="C1767" s="312">
        <v>11</v>
      </c>
      <c r="D1767" s="368">
        <f>IFERROR((INDEX(METADATA!$T$2:$T$20,MATCH(B1767,METADATA!$S$2:$S$20,0))),0)</f>
        <v>0</v>
      </c>
      <c r="E1767" s="312" t="str">
        <f t="shared" si="108"/>
        <v>LO</v>
      </c>
      <c r="F1767" s="369">
        <f>VLOOKUP(C1767,METADATA!$A$5:$H$29,IF(E1767="HI",2,IF(E1767="LO",6,10))+IF(D1767=1,2,IF(D1767=7,1,(IF(WEEKDAY(B1767)=1,2,IF(WEEKDAY(B1767)=7,1,0))))))</f>
        <v>2</v>
      </c>
      <c r="G1767" s="369">
        <f>VLOOKUP(C1767,METADATA!$J$5:$Q$29,IF(E1767="HI",2,IF(E1767="LO",6,10))+IF(D1767=1,2,IF(D1767=7,1,(IF(WEEKDAY(B1767)=1,2,IF(WEEKDAY(B1767)=7,1,0))))))</f>
        <v>2</v>
      </c>
      <c r="H1767" s="370">
        <v>13617.225341796875</v>
      </c>
      <c r="I1767" s="370">
        <v>1750.3425369262695</v>
      </c>
      <c r="M1767" s="371">
        <f t="shared" si="109"/>
        <v>13729.257991816181</v>
      </c>
      <c r="N1767" s="329">
        <f t="shared" si="110"/>
        <v>0</v>
      </c>
      <c r="T1767" s="331">
        <v>0</v>
      </c>
      <c r="U1767" s="328">
        <f>VLOOKUP(C1767,METADATA!$J$5:$Q$29,IF(E1767="HI",2,IF(E1767="LO",6,10))+IF(T1767=1,2,IF(D1767=7,1,(IF(WEEKDAY(B1767)=1,2,IF(WEEKDAY(B1767)=7,1,0))))))</f>
        <v>2</v>
      </c>
      <c r="V1767" s="328">
        <f>VLOOKUP(C1767,METADATA!$A$5:$H$29,IF(E1767="HI",2,IF(E1767="LO",6,10))+IF(T1767=1,2,IF(D1767=7,1,(IF(WEEKDAY(B1767)=1,2,IF(WEEKDAY(B1767)=7,1,0))))))</f>
        <v>2</v>
      </c>
    </row>
    <row r="1768" spans="2:22">
      <c r="B1768" s="318">
        <f t="shared" si="111"/>
        <v>46186</v>
      </c>
      <c r="C1768" s="312">
        <v>12</v>
      </c>
      <c r="D1768" s="368">
        <f>IFERROR((INDEX(METADATA!$T$2:$T$20,MATCH(B1768,METADATA!$S$2:$S$20,0))),0)</f>
        <v>0</v>
      </c>
      <c r="E1768" s="312" t="str">
        <f t="shared" si="108"/>
        <v>LO</v>
      </c>
      <c r="F1768" s="369">
        <f>VLOOKUP(C1768,METADATA!$A$5:$H$29,IF(E1768="HI",2,IF(E1768="LO",6,10))+IF(D1768=1,2,IF(D1768=7,1,(IF(WEEKDAY(B1768)=1,2,IF(WEEKDAY(B1768)=7,1,0))))))</f>
        <v>3</v>
      </c>
      <c r="G1768" s="369">
        <f>VLOOKUP(C1768,METADATA!$J$5:$Q$29,IF(E1768="HI",2,IF(E1768="LO",6,10))+IF(D1768=1,2,IF(D1768=7,1,(IF(WEEKDAY(B1768)=1,2,IF(WEEKDAY(B1768)=7,1,0))))))</f>
        <v>3</v>
      </c>
      <c r="H1768" s="370">
        <v>13546.875244140625</v>
      </c>
      <c r="I1768" s="370">
        <v>1781.737548828125</v>
      </c>
      <c r="M1768" s="371">
        <f t="shared" si="109"/>
        <v>13663.543375465026</v>
      </c>
      <c r="N1768" s="329">
        <f t="shared" si="110"/>
        <v>0</v>
      </c>
      <c r="T1768" s="331">
        <v>0</v>
      </c>
      <c r="U1768" s="328">
        <f>VLOOKUP(C1768,METADATA!$J$5:$Q$29,IF(E1768="HI",2,IF(E1768="LO",6,10))+IF(T1768=1,2,IF(D1768=7,1,(IF(WEEKDAY(B1768)=1,2,IF(WEEKDAY(B1768)=7,1,0))))))</f>
        <v>3</v>
      </c>
      <c r="V1768" s="328">
        <f>VLOOKUP(C1768,METADATA!$A$5:$H$29,IF(E1768="HI",2,IF(E1768="LO",6,10))+IF(T1768=1,2,IF(D1768=7,1,(IF(WEEKDAY(B1768)=1,2,IF(WEEKDAY(B1768)=7,1,0))))))</f>
        <v>3</v>
      </c>
    </row>
    <row r="1769" spans="2:22">
      <c r="B1769" s="318">
        <f t="shared" si="111"/>
        <v>46186</v>
      </c>
      <c r="C1769" s="312">
        <v>13</v>
      </c>
      <c r="D1769" s="368">
        <f>IFERROR((INDEX(METADATA!$T$2:$T$20,MATCH(B1769,METADATA!$S$2:$S$20,0))),0)</f>
        <v>0</v>
      </c>
      <c r="E1769" s="312" t="str">
        <f t="shared" si="108"/>
        <v>LO</v>
      </c>
      <c r="F1769" s="369">
        <f>VLOOKUP(C1769,METADATA!$A$5:$H$29,IF(E1769="HI",2,IF(E1769="LO",6,10))+IF(D1769=1,2,IF(D1769=7,1,(IF(WEEKDAY(B1769)=1,2,IF(WEEKDAY(B1769)=7,1,0))))))</f>
        <v>3</v>
      </c>
      <c r="G1769" s="369">
        <f>VLOOKUP(C1769,METADATA!$J$5:$Q$29,IF(E1769="HI",2,IF(E1769="LO",6,10))+IF(D1769=1,2,IF(D1769=7,1,(IF(WEEKDAY(B1769)=1,2,IF(WEEKDAY(B1769)=7,1,0))))))</f>
        <v>3</v>
      </c>
      <c r="H1769" s="370">
        <v>13594.075012207031</v>
      </c>
      <c r="I1769" s="370">
        <v>1812.2400054931641</v>
      </c>
      <c r="M1769" s="371">
        <f t="shared" si="109"/>
        <v>13714.338820191861</v>
      </c>
      <c r="N1769" s="329">
        <f t="shared" si="110"/>
        <v>0</v>
      </c>
      <c r="T1769" s="331">
        <v>0</v>
      </c>
      <c r="U1769" s="328">
        <f>VLOOKUP(C1769,METADATA!$J$5:$Q$29,IF(E1769="HI",2,IF(E1769="LO",6,10))+IF(T1769=1,2,IF(D1769=7,1,(IF(WEEKDAY(B1769)=1,2,IF(WEEKDAY(B1769)=7,1,0))))))</f>
        <v>3</v>
      </c>
      <c r="V1769" s="328">
        <f>VLOOKUP(C1769,METADATA!$A$5:$H$29,IF(E1769="HI",2,IF(E1769="LO",6,10))+IF(T1769=1,2,IF(D1769=7,1,(IF(WEEKDAY(B1769)=1,2,IF(WEEKDAY(B1769)=7,1,0))))))</f>
        <v>3</v>
      </c>
    </row>
    <row r="1770" spans="2:22">
      <c r="B1770" s="318">
        <f t="shared" si="111"/>
        <v>46186</v>
      </c>
      <c r="C1770" s="312">
        <v>14</v>
      </c>
      <c r="D1770" s="368">
        <f>IFERROR((INDEX(METADATA!$T$2:$T$20,MATCH(B1770,METADATA!$S$2:$S$20,0))),0)</f>
        <v>0</v>
      </c>
      <c r="E1770" s="312" t="str">
        <f t="shared" si="108"/>
        <v>LO</v>
      </c>
      <c r="F1770" s="369">
        <f>VLOOKUP(C1770,METADATA!$A$5:$H$29,IF(E1770="HI",2,IF(E1770="LO",6,10))+IF(D1770=1,2,IF(D1770=7,1,(IF(WEEKDAY(B1770)=1,2,IF(WEEKDAY(B1770)=7,1,0))))))</f>
        <v>3</v>
      </c>
      <c r="G1770" s="369">
        <f>VLOOKUP(C1770,METADATA!$J$5:$Q$29,IF(E1770="HI",2,IF(E1770="LO",6,10))+IF(D1770=1,2,IF(D1770=7,1,(IF(WEEKDAY(B1770)=1,2,IF(WEEKDAY(B1770)=7,1,0))))))</f>
        <v>3</v>
      </c>
      <c r="H1770" s="370">
        <v>13347.174865722656</v>
      </c>
      <c r="I1770" s="370">
        <v>1765.7750091552734</v>
      </c>
      <c r="M1770" s="371">
        <f t="shared" si="109"/>
        <v>13463.47051391787</v>
      </c>
      <c r="N1770" s="329">
        <f t="shared" si="110"/>
        <v>0</v>
      </c>
      <c r="T1770" s="331">
        <v>0</v>
      </c>
      <c r="U1770" s="328">
        <f>VLOOKUP(C1770,METADATA!$J$5:$Q$29,IF(E1770="HI",2,IF(E1770="LO",6,10))+IF(T1770=1,2,IF(D1770=7,1,(IF(WEEKDAY(B1770)=1,2,IF(WEEKDAY(B1770)=7,1,0))))))</f>
        <v>3</v>
      </c>
      <c r="V1770" s="328">
        <f>VLOOKUP(C1770,METADATA!$A$5:$H$29,IF(E1770="HI",2,IF(E1770="LO",6,10))+IF(T1770=1,2,IF(D1770=7,1,(IF(WEEKDAY(B1770)=1,2,IF(WEEKDAY(B1770)=7,1,0))))))</f>
        <v>3</v>
      </c>
    </row>
    <row r="1771" spans="2:22">
      <c r="B1771" s="318">
        <f t="shared" si="111"/>
        <v>46186</v>
      </c>
      <c r="C1771" s="312">
        <v>15</v>
      </c>
      <c r="D1771" s="368">
        <f>IFERROR((INDEX(METADATA!$T$2:$T$20,MATCH(B1771,METADATA!$S$2:$S$20,0))),0)</f>
        <v>0</v>
      </c>
      <c r="E1771" s="312" t="str">
        <f t="shared" si="108"/>
        <v>LO</v>
      </c>
      <c r="F1771" s="369">
        <f>VLOOKUP(C1771,METADATA!$A$5:$H$29,IF(E1771="HI",2,IF(E1771="LO",6,10))+IF(D1771=1,2,IF(D1771=7,1,(IF(WEEKDAY(B1771)=1,2,IF(WEEKDAY(B1771)=7,1,0))))))</f>
        <v>3</v>
      </c>
      <c r="G1771" s="369">
        <f>VLOOKUP(C1771,METADATA!$J$5:$Q$29,IF(E1771="HI",2,IF(E1771="LO",6,10))+IF(D1771=1,2,IF(D1771=7,1,(IF(WEEKDAY(B1771)=1,2,IF(WEEKDAY(B1771)=7,1,0))))))</f>
        <v>3</v>
      </c>
      <c r="H1771" s="370">
        <v>13459.57470703125</v>
      </c>
      <c r="I1771" s="370">
        <v>1799.8575134277344</v>
      </c>
      <c r="M1771" s="371">
        <f t="shared" si="109"/>
        <v>13579.382841749386</v>
      </c>
      <c r="N1771" s="329">
        <f t="shared" si="110"/>
        <v>0</v>
      </c>
      <c r="T1771" s="331">
        <v>0</v>
      </c>
      <c r="U1771" s="328">
        <f>VLOOKUP(C1771,METADATA!$J$5:$Q$29,IF(E1771="HI",2,IF(E1771="LO",6,10))+IF(T1771=1,2,IF(D1771=7,1,(IF(WEEKDAY(B1771)=1,2,IF(WEEKDAY(B1771)=7,1,0))))))</f>
        <v>3</v>
      </c>
      <c r="V1771" s="328">
        <f>VLOOKUP(C1771,METADATA!$A$5:$H$29,IF(E1771="HI",2,IF(E1771="LO",6,10))+IF(T1771=1,2,IF(D1771=7,1,(IF(WEEKDAY(B1771)=1,2,IF(WEEKDAY(B1771)=7,1,0))))))</f>
        <v>3</v>
      </c>
    </row>
    <row r="1772" spans="2:22">
      <c r="B1772" s="318">
        <f t="shared" si="111"/>
        <v>46186</v>
      </c>
      <c r="C1772" s="312">
        <v>16</v>
      </c>
      <c r="D1772" s="368">
        <f>IFERROR((INDEX(METADATA!$T$2:$T$20,MATCH(B1772,METADATA!$S$2:$S$20,0))),0)</f>
        <v>0</v>
      </c>
      <c r="E1772" s="312" t="str">
        <f t="shared" si="108"/>
        <v>LO</v>
      </c>
      <c r="F1772" s="369">
        <f>VLOOKUP(C1772,METADATA!$A$5:$H$29,IF(E1772="HI",2,IF(E1772="LO",6,10))+IF(D1772=1,2,IF(D1772=7,1,(IF(WEEKDAY(B1772)=1,2,IF(WEEKDAY(B1772)=7,1,0))))))</f>
        <v>3</v>
      </c>
      <c r="G1772" s="369">
        <f>VLOOKUP(C1772,METADATA!$J$5:$Q$29,IF(E1772="HI",2,IF(E1772="LO",6,10))+IF(D1772=1,2,IF(D1772=7,1,(IF(WEEKDAY(B1772)=1,2,IF(WEEKDAY(B1772)=7,1,0))))))</f>
        <v>3</v>
      </c>
      <c r="H1772" s="370">
        <v>11448.824951171875</v>
      </c>
      <c r="I1772" s="370">
        <v>1293.8645172119141</v>
      </c>
      <c r="M1772" s="371">
        <f t="shared" si="109"/>
        <v>11521.704654758154</v>
      </c>
      <c r="N1772" s="329">
        <f t="shared" si="110"/>
        <v>0</v>
      </c>
      <c r="T1772" s="331">
        <v>0</v>
      </c>
      <c r="U1772" s="328">
        <f>VLOOKUP(C1772,METADATA!$J$5:$Q$29,IF(E1772="HI",2,IF(E1772="LO",6,10))+IF(T1772=1,2,IF(D1772=7,1,(IF(WEEKDAY(B1772)=1,2,IF(WEEKDAY(B1772)=7,1,0))))))</f>
        <v>3</v>
      </c>
      <c r="V1772" s="328">
        <f>VLOOKUP(C1772,METADATA!$A$5:$H$29,IF(E1772="HI",2,IF(E1772="LO",6,10))+IF(T1772=1,2,IF(D1772=7,1,(IF(WEEKDAY(B1772)=1,2,IF(WEEKDAY(B1772)=7,1,0))))))</f>
        <v>3</v>
      </c>
    </row>
    <row r="1773" spans="2:22">
      <c r="B1773" s="318">
        <f t="shared" si="111"/>
        <v>46186</v>
      </c>
      <c r="C1773" s="312">
        <v>17</v>
      </c>
      <c r="D1773" s="368">
        <f>IFERROR((INDEX(METADATA!$T$2:$T$20,MATCH(B1773,METADATA!$S$2:$S$20,0))),0)</f>
        <v>0</v>
      </c>
      <c r="E1773" s="312" t="str">
        <f t="shared" si="108"/>
        <v>LO</v>
      </c>
      <c r="F1773" s="369">
        <f>VLOOKUP(C1773,METADATA!$A$5:$H$29,IF(E1773="HI",2,IF(E1773="LO",6,10))+IF(D1773=1,2,IF(D1773=7,1,(IF(WEEKDAY(B1773)=1,2,IF(WEEKDAY(B1773)=7,1,0))))))</f>
        <v>3</v>
      </c>
      <c r="G1773" s="369">
        <f>VLOOKUP(C1773,METADATA!$J$5:$Q$29,IF(E1773="HI",2,IF(E1773="LO",6,10))+IF(D1773=1,2,IF(D1773=7,1,(IF(WEEKDAY(B1773)=1,2,IF(WEEKDAY(B1773)=7,1,0))))))</f>
        <v>3</v>
      </c>
      <c r="H1773" s="370">
        <v>4492.8475341796875</v>
      </c>
      <c r="I1773" s="370">
        <v>0</v>
      </c>
      <c r="M1773" s="371">
        <f t="shared" si="109"/>
        <v>4492.8475341796875</v>
      </c>
      <c r="N1773" s="329">
        <f t="shared" si="110"/>
        <v>0</v>
      </c>
      <c r="T1773" s="331">
        <v>0</v>
      </c>
      <c r="U1773" s="328">
        <f>VLOOKUP(C1773,METADATA!$J$5:$Q$29,IF(E1773="HI",2,IF(E1773="LO",6,10))+IF(T1773=1,2,IF(D1773=7,1,(IF(WEEKDAY(B1773)=1,2,IF(WEEKDAY(B1773)=7,1,0))))))</f>
        <v>3</v>
      </c>
      <c r="V1773" s="328">
        <f>VLOOKUP(C1773,METADATA!$A$5:$H$29,IF(E1773="HI",2,IF(E1773="LO",6,10))+IF(T1773=1,2,IF(D1773=7,1,(IF(WEEKDAY(B1773)=1,2,IF(WEEKDAY(B1773)=7,1,0))))))</f>
        <v>3</v>
      </c>
    </row>
    <row r="1774" spans="2:22">
      <c r="B1774" s="318">
        <f t="shared" si="111"/>
        <v>46186</v>
      </c>
      <c r="C1774" s="312">
        <v>18</v>
      </c>
      <c r="D1774" s="368">
        <f>IFERROR((INDEX(METADATA!$T$2:$T$20,MATCH(B1774,METADATA!$S$2:$S$20,0))),0)</f>
        <v>0</v>
      </c>
      <c r="E1774" s="312" t="str">
        <f t="shared" si="108"/>
        <v>LO</v>
      </c>
      <c r="F1774" s="369">
        <f>VLOOKUP(C1774,METADATA!$A$5:$H$29,IF(E1774="HI",2,IF(E1774="LO",6,10))+IF(D1774=1,2,IF(D1774=7,1,(IF(WEEKDAY(B1774)=1,2,IF(WEEKDAY(B1774)=7,1,0))))))</f>
        <v>2</v>
      </c>
      <c r="G1774" s="369">
        <f>VLOOKUP(C1774,METADATA!$J$5:$Q$29,IF(E1774="HI",2,IF(E1774="LO",6,10))+IF(D1774=1,2,IF(D1774=7,1,(IF(WEEKDAY(B1774)=1,2,IF(WEEKDAY(B1774)=7,1,0))))))</f>
        <v>2</v>
      </c>
      <c r="H1774" s="370">
        <v>5306.5799560546875</v>
      </c>
      <c r="I1774" s="370">
        <v>0</v>
      </c>
      <c r="M1774" s="371">
        <f t="shared" si="109"/>
        <v>5306.5799560546875</v>
      </c>
      <c r="N1774" s="329">
        <f t="shared" si="110"/>
        <v>0</v>
      </c>
      <c r="T1774" s="331">
        <v>0</v>
      </c>
      <c r="U1774" s="328">
        <f>VLOOKUP(C1774,METADATA!$J$5:$Q$29,IF(E1774="HI",2,IF(E1774="LO",6,10))+IF(T1774=1,2,IF(D1774=7,1,(IF(WEEKDAY(B1774)=1,2,IF(WEEKDAY(B1774)=7,1,0))))))</f>
        <v>2</v>
      </c>
      <c r="V1774" s="328">
        <f>VLOOKUP(C1774,METADATA!$A$5:$H$29,IF(E1774="HI",2,IF(E1774="LO",6,10))+IF(T1774=1,2,IF(D1774=7,1,(IF(WEEKDAY(B1774)=1,2,IF(WEEKDAY(B1774)=7,1,0))))))</f>
        <v>2</v>
      </c>
    </row>
    <row r="1775" spans="2:22">
      <c r="B1775" s="318">
        <f t="shared" si="111"/>
        <v>46186</v>
      </c>
      <c r="C1775" s="312">
        <v>19</v>
      </c>
      <c r="D1775" s="368">
        <f>IFERROR((INDEX(METADATA!$T$2:$T$20,MATCH(B1775,METADATA!$S$2:$S$20,0))),0)</f>
        <v>0</v>
      </c>
      <c r="E1775" s="312" t="str">
        <f t="shared" si="108"/>
        <v>LO</v>
      </c>
      <c r="F1775" s="369">
        <f>VLOOKUP(C1775,METADATA!$A$5:$H$29,IF(E1775="HI",2,IF(E1775="LO",6,10))+IF(D1775=1,2,IF(D1775=7,1,(IF(WEEKDAY(B1775)=1,2,IF(WEEKDAY(B1775)=7,1,0))))))</f>
        <v>2</v>
      </c>
      <c r="G1775" s="369">
        <f>VLOOKUP(C1775,METADATA!$J$5:$Q$29,IF(E1775="HI",2,IF(E1775="LO",6,10))+IF(D1775=1,2,IF(D1775=7,1,(IF(WEEKDAY(B1775)=1,2,IF(WEEKDAY(B1775)=7,1,0))))))</f>
        <v>2</v>
      </c>
      <c r="H1775" s="370">
        <v>5488.8125</v>
      </c>
      <c r="I1775" s="370">
        <v>0</v>
      </c>
      <c r="M1775" s="371">
        <f t="shared" si="109"/>
        <v>5488.8125</v>
      </c>
      <c r="N1775" s="329">
        <f t="shared" si="110"/>
        <v>0</v>
      </c>
      <c r="T1775" s="331">
        <v>0</v>
      </c>
      <c r="U1775" s="328">
        <f>VLOOKUP(C1775,METADATA!$J$5:$Q$29,IF(E1775="HI",2,IF(E1775="LO",6,10))+IF(T1775=1,2,IF(D1775=7,1,(IF(WEEKDAY(B1775)=1,2,IF(WEEKDAY(B1775)=7,1,0))))))</f>
        <v>2</v>
      </c>
      <c r="V1775" s="328">
        <f>VLOOKUP(C1775,METADATA!$A$5:$H$29,IF(E1775="HI",2,IF(E1775="LO",6,10))+IF(T1775=1,2,IF(D1775=7,1,(IF(WEEKDAY(B1775)=1,2,IF(WEEKDAY(B1775)=7,1,0))))))</f>
        <v>2</v>
      </c>
    </row>
    <row r="1776" spans="2:22">
      <c r="B1776" s="318">
        <f t="shared" si="111"/>
        <v>46186</v>
      </c>
      <c r="C1776" s="312">
        <v>20</v>
      </c>
      <c r="D1776" s="368">
        <f>IFERROR((INDEX(METADATA!$T$2:$T$20,MATCH(B1776,METADATA!$S$2:$S$20,0))),0)</f>
        <v>0</v>
      </c>
      <c r="E1776" s="312" t="str">
        <f t="shared" si="108"/>
        <v>LO</v>
      </c>
      <c r="F1776" s="369">
        <f>VLOOKUP(C1776,METADATA!$A$5:$H$29,IF(E1776="HI",2,IF(E1776="LO",6,10))+IF(D1776=1,2,IF(D1776=7,1,(IF(WEEKDAY(B1776)=1,2,IF(WEEKDAY(B1776)=7,1,0))))))</f>
        <v>3</v>
      </c>
      <c r="G1776" s="369">
        <f>VLOOKUP(C1776,METADATA!$J$5:$Q$29,IF(E1776="HI",2,IF(E1776="LO",6,10))+IF(D1776=1,2,IF(D1776=7,1,(IF(WEEKDAY(B1776)=1,2,IF(WEEKDAY(B1776)=7,1,0))))))</f>
        <v>3</v>
      </c>
      <c r="H1776" s="370">
        <v>1901.252571105957</v>
      </c>
      <c r="I1776" s="370">
        <v>0</v>
      </c>
      <c r="M1776" s="371">
        <f t="shared" si="109"/>
        <v>1901.252571105957</v>
      </c>
      <c r="N1776" s="329">
        <f t="shared" si="110"/>
        <v>0</v>
      </c>
      <c r="T1776" s="331">
        <v>0</v>
      </c>
      <c r="U1776" s="328">
        <f>VLOOKUP(C1776,METADATA!$J$5:$Q$29,IF(E1776="HI",2,IF(E1776="LO",6,10))+IF(T1776=1,2,IF(D1776=7,1,(IF(WEEKDAY(B1776)=1,2,IF(WEEKDAY(B1776)=7,1,0))))))</f>
        <v>3</v>
      </c>
      <c r="V1776" s="328">
        <f>VLOOKUP(C1776,METADATA!$A$5:$H$29,IF(E1776="HI",2,IF(E1776="LO",6,10))+IF(T1776=1,2,IF(D1776=7,1,(IF(WEEKDAY(B1776)=1,2,IF(WEEKDAY(B1776)=7,1,0))))))</f>
        <v>3</v>
      </c>
    </row>
    <row r="1777" spans="2:22">
      <c r="B1777" s="318">
        <f t="shared" si="111"/>
        <v>46186</v>
      </c>
      <c r="C1777" s="312">
        <v>21</v>
      </c>
      <c r="D1777" s="368">
        <f>IFERROR((INDEX(METADATA!$T$2:$T$20,MATCH(B1777,METADATA!$S$2:$S$20,0))),0)</f>
        <v>0</v>
      </c>
      <c r="E1777" s="312" t="str">
        <f t="shared" si="108"/>
        <v>LO</v>
      </c>
      <c r="F1777" s="369">
        <f>VLOOKUP(C1777,METADATA!$A$5:$H$29,IF(E1777="HI",2,IF(E1777="LO",6,10))+IF(D1777=1,2,IF(D1777=7,1,(IF(WEEKDAY(B1777)=1,2,IF(WEEKDAY(B1777)=7,1,0))))))</f>
        <v>3</v>
      </c>
      <c r="G1777" s="369">
        <f>VLOOKUP(C1777,METADATA!$J$5:$Q$29,IF(E1777="HI",2,IF(E1777="LO",6,10))+IF(D1777=1,2,IF(D1777=7,1,(IF(WEEKDAY(B1777)=1,2,IF(WEEKDAY(B1777)=7,1,0))))))</f>
        <v>3</v>
      </c>
      <c r="H1777" s="370">
        <v>0</v>
      </c>
      <c r="I1777" s="370">
        <v>0</v>
      </c>
      <c r="M1777" s="371">
        <f t="shared" si="109"/>
        <v>0</v>
      </c>
      <c r="N1777" s="329">
        <f t="shared" si="110"/>
        <v>0</v>
      </c>
      <c r="T1777" s="331">
        <v>0</v>
      </c>
      <c r="U1777" s="328">
        <f>VLOOKUP(C1777,METADATA!$J$5:$Q$29,IF(E1777="HI",2,IF(E1777="LO",6,10))+IF(T1777=1,2,IF(D1777=7,1,(IF(WEEKDAY(B1777)=1,2,IF(WEEKDAY(B1777)=7,1,0))))))</f>
        <v>3</v>
      </c>
      <c r="V1777" s="328">
        <f>VLOOKUP(C1777,METADATA!$A$5:$H$29,IF(E1777="HI",2,IF(E1777="LO",6,10))+IF(T1777=1,2,IF(D1777=7,1,(IF(WEEKDAY(B1777)=1,2,IF(WEEKDAY(B1777)=7,1,0))))))</f>
        <v>3</v>
      </c>
    </row>
    <row r="1778" spans="2:22">
      <c r="B1778" s="318">
        <f t="shared" si="111"/>
        <v>46186</v>
      </c>
      <c r="C1778" s="312">
        <v>22</v>
      </c>
      <c r="D1778" s="368">
        <f>IFERROR((INDEX(METADATA!$T$2:$T$20,MATCH(B1778,METADATA!$S$2:$S$20,0))),0)</f>
        <v>0</v>
      </c>
      <c r="E1778" s="312" t="str">
        <f t="shared" si="108"/>
        <v>LO</v>
      </c>
      <c r="F1778" s="369">
        <f>VLOOKUP(C1778,METADATA!$A$5:$H$29,IF(E1778="HI",2,IF(E1778="LO",6,10))+IF(D1778=1,2,IF(D1778=7,1,(IF(WEEKDAY(B1778)=1,2,IF(WEEKDAY(B1778)=7,1,0))))))</f>
        <v>3</v>
      </c>
      <c r="G1778" s="369">
        <f>VLOOKUP(C1778,METADATA!$J$5:$Q$29,IF(E1778="HI",2,IF(E1778="LO",6,10))+IF(D1778=1,2,IF(D1778=7,1,(IF(WEEKDAY(B1778)=1,2,IF(WEEKDAY(B1778)=7,1,0))))))</f>
        <v>3</v>
      </c>
      <c r="H1778" s="370">
        <v>344.92500305175781</v>
      </c>
      <c r="I1778" s="370">
        <v>0</v>
      </c>
      <c r="M1778" s="371">
        <f t="shared" si="109"/>
        <v>344.92500305175781</v>
      </c>
      <c r="N1778" s="329">
        <f t="shared" si="110"/>
        <v>0</v>
      </c>
      <c r="T1778" s="331">
        <v>0</v>
      </c>
      <c r="U1778" s="328">
        <f>VLOOKUP(C1778,METADATA!$J$5:$Q$29,IF(E1778="HI",2,IF(E1778="LO",6,10))+IF(T1778=1,2,IF(D1778=7,1,(IF(WEEKDAY(B1778)=1,2,IF(WEEKDAY(B1778)=7,1,0))))))</f>
        <v>3</v>
      </c>
      <c r="V1778" s="328">
        <f>VLOOKUP(C1778,METADATA!$A$5:$H$29,IF(E1778="HI",2,IF(E1778="LO",6,10))+IF(T1778=1,2,IF(D1778=7,1,(IF(WEEKDAY(B1778)=1,2,IF(WEEKDAY(B1778)=7,1,0))))))</f>
        <v>3</v>
      </c>
    </row>
    <row r="1779" spans="2:22">
      <c r="B1779" s="318">
        <f t="shared" si="111"/>
        <v>46186</v>
      </c>
      <c r="C1779" s="312">
        <v>23</v>
      </c>
      <c r="D1779" s="368">
        <f>IFERROR((INDEX(METADATA!$T$2:$T$20,MATCH(B1779,METADATA!$S$2:$S$20,0))),0)</f>
        <v>0</v>
      </c>
      <c r="E1779" s="312" t="str">
        <f t="shared" si="108"/>
        <v>LO</v>
      </c>
      <c r="F1779" s="369">
        <f>VLOOKUP(C1779,METADATA!$A$5:$H$29,IF(E1779="HI",2,IF(E1779="LO",6,10))+IF(D1779=1,2,IF(D1779=7,1,(IF(WEEKDAY(B1779)=1,2,IF(WEEKDAY(B1779)=7,1,0))))))</f>
        <v>3</v>
      </c>
      <c r="G1779" s="369">
        <f>VLOOKUP(C1779,METADATA!$J$5:$Q$29,IF(E1779="HI",2,IF(E1779="LO",6,10))+IF(D1779=1,2,IF(D1779=7,1,(IF(WEEKDAY(B1779)=1,2,IF(WEEKDAY(B1779)=7,1,0))))))</f>
        <v>3</v>
      </c>
      <c r="H1779" s="370">
        <v>2534.35498046875</v>
      </c>
      <c r="I1779" s="370">
        <v>0</v>
      </c>
      <c r="M1779" s="371">
        <f t="shared" si="109"/>
        <v>2534.35498046875</v>
      </c>
      <c r="N1779" s="329">
        <f t="shared" si="110"/>
        <v>0</v>
      </c>
      <c r="T1779" s="331">
        <v>0</v>
      </c>
      <c r="U1779" s="328">
        <f>VLOOKUP(C1779,METADATA!$J$5:$Q$29,IF(E1779="HI",2,IF(E1779="LO",6,10))+IF(T1779=1,2,IF(D1779=7,1,(IF(WEEKDAY(B1779)=1,2,IF(WEEKDAY(B1779)=7,1,0))))))</f>
        <v>3</v>
      </c>
      <c r="V1779" s="328">
        <f>VLOOKUP(C1779,METADATA!$A$5:$H$29,IF(E1779="HI",2,IF(E1779="LO",6,10))+IF(T1779=1,2,IF(D1779=7,1,(IF(WEEKDAY(B1779)=1,2,IF(WEEKDAY(B1779)=7,1,0))))))</f>
        <v>3</v>
      </c>
    </row>
    <row r="1780" spans="2:22">
      <c r="B1780" s="318">
        <f t="shared" si="111"/>
        <v>46187</v>
      </c>
      <c r="C1780" s="312">
        <v>0</v>
      </c>
      <c r="D1780" s="368">
        <f>IFERROR((INDEX(METADATA!$T$2:$T$20,MATCH(B1780,METADATA!$S$2:$S$20,0))),0)</f>
        <v>0</v>
      </c>
      <c r="E1780" s="312" t="str">
        <f t="shared" si="108"/>
        <v>LO</v>
      </c>
      <c r="F1780" s="369">
        <f>VLOOKUP(C1780,METADATA!$A$5:$H$29,IF(E1780="HI",2,IF(E1780="LO",6,10))+IF(D1780=1,2,IF(D1780=7,1,(IF(WEEKDAY(B1780)=1,2,IF(WEEKDAY(B1780)=7,1,0))))))</f>
        <v>3</v>
      </c>
      <c r="G1780" s="369">
        <f>VLOOKUP(C1780,METADATA!$J$5:$Q$29,IF(E1780="HI",2,IF(E1780="LO",6,10))+IF(D1780=1,2,IF(D1780=7,1,(IF(WEEKDAY(B1780)=1,2,IF(WEEKDAY(B1780)=7,1,0))))))</f>
        <v>3</v>
      </c>
      <c r="H1780" s="370">
        <v>2836.6799926757813</v>
      </c>
      <c r="I1780" s="370">
        <v>0</v>
      </c>
      <c r="M1780" s="371">
        <f t="shared" si="109"/>
        <v>2836.6799926757813</v>
      </c>
      <c r="N1780" s="329">
        <f t="shared" si="110"/>
        <v>0</v>
      </c>
      <c r="T1780" s="331">
        <v>0</v>
      </c>
      <c r="U1780" s="328">
        <f>VLOOKUP(C1780,METADATA!$J$5:$Q$29,IF(E1780="HI",2,IF(E1780="LO",6,10))+IF(T1780=1,2,IF(D1780=7,1,(IF(WEEKDAY(B1780)=1,2,IF(WEEKDAY(B1780)=7,1,0))))))</f>
        <v>3</v>
      </c>
      <c r="V1780" s="328">
        <f>VLOOKUP(C1780,METADATA!$A$5:$H$29,IF(E1780="HI",2,IF(E1780="LO",6,10))+IF(T1780=1,2,IF(D1780=7,1,(IF(WEEKDAY(B1780)=1,2,IF(WEEKDAY(B1780)=7,1,0))))))</f>
        <v>3</v>
      </c>
    </row>
    <row r="1781" spans="2:22">
      <c r="B1781" s="318">
        <f t="shared" si="111"/>
        <v>46187</v>
      </c>
      <c r="C1781" s="312">
        <v>1</v>
      </c>
      <c r="D1781" s="368">
        <f>IFERROR((INDEX(METADATA!$T$2:$T$20,MATCH(B1781,METADATA!$S$2:$S$20,0))),0)</f>
        <v>0</v>
      </c>
      <c r="E1781" s="312" t="str">
        <f t="shared" si="108"/>
        <v>LO</v>
      </c>
      <c r="F1781" s="369">
        <f>VLOOKUP(C1781,METADATA!$A$5:$H$29,IF(E1781="HI",2,IF(E1781="LO",6,10))+IF(D1781=1,2,IF(D1781=7,1,(IF(WEEKDAY(B1781)=1,2,IF(WEEKDAY(B1781)=7,1,0))))))</f>
        <v>3</v>
      </c>
      <c r="G1781" s="369">
        <f>VLOOKUP(C1781,METADATA!$J$5:$Q$29,IF(E1781="HI",2,IF(E1781="LO",6,10))+IF(D1781=1,2,IF(D1781=7,1,(IF(WEEKDAY(B1781)=1,2,IF(WEEKDAY(B1781)=7,1,0))))))</f>
        <v>3</v>
      </c>
      <c r="H1781" s="370">
        <v>3018.4024658203125</v>
      </c>
      <c r="I1781" s="370">
        <v>0</v>
      </c>
      <c r="M1781" s="371">
        <f t="shared" si="109"/>
        <v>3018.4024658203125</v>
      </c>
      <c r="N1781" s="329">
        <f t="shared" si="110"/>
        <v>0</v>
      </c>
      <c r="T1781" s="331">
        <v>0</v>
      </c>
      <c r="U1781" s="328">
        <f>VLOOKUP(C1781,METADATA!$J$5:$Q$29,IF(E1781="HI",2,IF(E1781="LO",6,10))+IF(T1781=1,2,IF(D1781=7,1,(IF(WEEKDAY(B1781)=1,2,IF(WEEKDAY(B1781)=7,1,0))))))</f>
        <v>3</v>
      </c>
      <c r="V1781" s="328">
        <f>VLOOKUP(C1781,METADATA!$A$5:$H$29,IF(E1781="HI",2,IF(E1781="LO",6,10))+IF(T1781=1,2,IF(D1781=7,1,(IF(WEEKDAY(B1781)=1,2,IF(WEEKDAY(B1781)=7,1,0))))))</f>
        <v>3</v>
      </c>
    </row>
    <row r="1782" spans="2:22">
      <c r="B1782" s="318">
        <f t="shared" si="111"/>
        <v>46187</v>
      </c>
      <c r="C1782" s="312">
        <v>2</v>
      </c>
      <c r="D1782" s="368">
        <f>IFERROR((INDEX(METADATA!$T$2:$T$20,MATCH(B1782,METADATA!$S$2:$S$20,0))),0)</f>
        <v>0</v>
      </c>
      <c r="E1782" s="312" t="str">
        <f t="shared" si="108"/>
        <v>LO</v>
      </c>
      <c r="F1782" s="369">
        <f>VLOOKUP(C1782,METADATA!$A$5:$H$29,IF(E1782="HI",2,IF(E1782="LO",6,10))+IF(D1782=1,2,IF(D1782=7,1,(IF(WEEKDAY(B1782)=1,2,IF(WEEKDAY(B1782)=7,1,0))))))</f>
        <v>3</v>
      </c>
      <c r="G1782" s="369">
        <f>VLOOKUP(C1782,METADATA!$J$5:$Q$29,IF(E1782="HI",2,IF(E1782="LO",6,10))+IF(D1782=1,2,IF(D1782=7,1,(IF(WEEKDAY(B1782)=1,2,IF(WEEKDAY(B1782)=7,1,0))))))</f>
        <v>3</v>
      </c>
      <c r="H1782" s="370">
        <v>3447.1275024414063</v>
      </c>
      <c r="I1782" s="370">
        <v>0</v>
      </c>
      <c r="M1782" s="371">
        <f t="shared" si="109"/>
        <v>3447.1275024414063</v>
      </c>
      <c r="N1782" s="329">
        <f t="shared" si="110"/>
        <v>0</v>
      </c>
      <c r="T1782" s="331">
        <v>0</v>
      </c>
      <c r="U1782" s="328">
        <f>VLOOKUP(C1782,METADATA!$J$5:$Q$29,IF(E1782="HI",2,IF(E1782="LO",6,10))+IF(T1782=1,2,IF(D1782=7,1,(IF(WEEKDAY(B1782)=1,2,IF(WEEKDAY(B1782)=7,1,0))))))</f>
        <v>3</v>
      </c>
      <c r="V1782" s="328">
        <f>VLOOKUP(C1782,METADATA!$A$5:$H$29,IF(E1782="HI",2,IF(E1782="LO",6,10))+IF(T1782=1,2,IF(D1782=7,1,(IF(WEEKDAY(B1782)=1,2,IF(WEEKDAY(B1782)=7,1,0))))))</f>
        <v>3</v>
      </c>
    </row>
    <row r="1783" spans="2:22">
      <c r="B1783" s="318">
        <f t="shared" si="111"/>
        <v>46187</v>
      </c>
      <c r="C1783" s="312">
        <v>3</v>
      </c>
      <c r="D1783" s="368">
        <f>IFERROR((INDEX(METADATA!$T$2:$T$20,MATCH(B1783,METADATA!$S$2:$S$20,0))),0)</f>
        <v>0</v>
      </c>
      <c r="E1783" s="312" t="str">
        <f t="shared" si="108"/>
        <v>LO</v>
      </c>
      <c r="F1783" s="369">
        <f>VLOOKUP(C1783,METADATA!$A$5:$H$29,IF(E1783="HI",2,IF(E1783="LO",6,10))+IF(D1783=1,2,IF(D1783=7,1,(IF(WEEKDAY(B1783)=1,2,IF(WEEKDAY(B1783)=7,1,0))))))</f>
        <v>3</v>
      </c>
      <c r="G1783" s="369">
        <f>VLOOKUP(C1783,METADATA!$J$5:$Q$29,IF(E1783="HI",2,IF(E1783="LO",6,10))+IF(D1783=1,2,IF(D1783=7,1,(IF(WEEKDAY(B1783)=1,2,IF(WEEKDAY(B1783)=7,1,0))))))</f>
        <v>3</v>
      </c>
      <c r="H1783" s="370">
        <v>3680.7949523925781</v>
      </c>
      <c r="I1783" s="370">
        <v>0</v>
      </c>
      <c r="M1783" s="371">
        <f t="shared" si="109"/>
        <v>3680.7949523925781</v>
      </c>
      <c r="N1783" s="329">
        <f t="shared" si="110"/>
        <v>0</v>
      </c>
      <c r="T1783" s="331">
        <v>0</v>
      </c>
      <c r="U1783" s="328">
        <f>VLOOKUP(C1783,METADATA!$J$5:$Q$29,IF(E1783="HI",2,IF(E1783="LO",6,10))+IF(T1783=1,2,IF(D1783=7,1,(IF(WEEKDAY(B1783)=1,2,IF(WEEKDAY(B1783)=7,1,0))))))</f>
        <v>3</v>
      </c>
      <c r="V1783" s="328">
        <f>VLOOKUP(C1783,METADATA!$A$5:$H$29,IF(E1783="HI",2,IF(E1783="LO",6,10))+IF(T1783=1,2,IF(D1783=7,1,(IF(WEEKDAY(B1783)=1,2,IF(WEEKDAY(B1783)=7,1,0))))))</f>
        <v>3</v>
      </c>
    </row>
    <row r="1784" spans="2:22">
      <c r="B1784" s="318">
        <f t="shared" si="111"/>
        <v>46187</v>
      </c>
      <c r="C1784" s="312">
        <v>4</v>
      </c>
      <c r="D1784" s="368">
        <f>IFERROR((INDEX(METADATA!$T$2:$T$20,MATCH(B1784,METADATA!$S$2:$S$20,0))),0)</f>
        <v>0</v>
      </c>
      <c r="E1784" s="312" t="str">
        <f t="shared" si="108"/>
        <v>LO</v>
      </c>
      <c r="F1784" s="369">
        <f>VLOOKUP(C1784,METADATA!$A$5:$H$29,IF(E1784="HI",2,IF(E1784="LO",6,10))+IF(D1784=1,2,IF(D1784=7,1,(IF(WEEKDAY(B1784)=1,2,IF(WEEKDAY(B1784)=7,1,0))))))</f>
        <v>3</v>
      </c>
      <c r="G1784" s="369">
        <f>VLOOKUP(C1784,METADATA!$J$5:$Q$29,IF(E1784="HI",2,IF(E1784="LO",6,10))+IF(D1784=1,2,IF(D1784=7,1,(IF(WEEKDAY(B1784)=1,2,IF(WEEKDAY(B1784)=7,1,0))))))</f>
        <v>3</v>
      </c>
      <c r="H1784" s="370">
        <v>4652.5350036621094</v>
      </c>
      <c r="I1784" s="370">
        <v>0</v>
      </c>
      <c r="M1784" s="371">
        <f t="shared" si="109"/>
        <v>4652.5350036621094</v>
      </c>
      <c r="N1784" s="329">
        <f t="shared" si="110"/>
        <v>0</v>
      </c>
      <c r="T1784" s="331">
        <v>0</v>
      </c>
      <c r="U1784" s="328">
        <f>VLOOKUP(C1784,METADATA!$J$5:$Q$29,IF(E1784="HI",2,IF(E1784="LO",6,10))+IF(T1784=1,2,IF(D1784=7,1,(IF(WEEKDAY(B1784)=1,2,IF(WEEKDAY(B1784)=7,1,0))))))</f>
        <v>3</v>
      </c>
      <c r="V1784" s="328">
        <f>VLOOKUP(C1784,METADATA!$A$5:$H$29,IF(E1784="HI",2,IF(E1784="LO",6,10))+IF(T1784=1,2,IF(D1784=7,1,(IF(WEEKDAY(B1784)=1,2,IF(WEEKDAY(B1784)=7,1,0))))))</f>
        <v>3</v>
      </c>
    </row>
    <row r="1785" spans="2:22">
      <c r="B1785" s="318">
        <f t="shared" si="111"/>
        <v>46187</v>
      </c>
      <c r="C1785" s="312">
        <v>5</v>
      </c>
      <c r="D1785" s="368">
        <f>IFERROR((INDEX(METADATA!$T$2:$T$20,MATCH(B1785,METADATA!$S$2:$S$20,0))),0)</f>
        <v>0</v>
      </c>
      <c r="E1785" s="312" t="str">
        <f t="shared" si="108"/>
        <v>LO</v>
      </c>
      <c r="F1785" s="369">
        <f>VLOOKUP(C1785,METADATA!$A$5:$H$29,IF(E1785="HI",2,IF(E1785="LO",6,10))+IF(D1785=1,2,IF(D1785=7,1,(IF(WEEKDAY(B1785)=1,2,IF(WEEKDAY(B1785)=7,1,0))))))</f>
        <v>3</v>
      </c>
      <c r="G1785" s="369">
        <f>VLOOKUP(C1785,METADATA!$J$5:$Q$29,IF(E1785="HI",2,IF(E1785="LO",6,10))+IF(D1785=1,2,IF(D1785=7,1,(IF(WEEKDAY(B1785)=1,2,IF(WEEKDAY(B1785)=7,1,0))))))</f>
        <v>3</v>
      </c>
      <c r="H1785" s="370">
        <v>4602.8624877929688</v>
      </c>
      <c r="I1785" s="370">
        <v>0</v>
      </c>
      <c r="M1785" s="371">
        <f t="shared" si="109"/>
        <v>4602.8624877929688</v>
      </c>
      <c r="N1785" s="329">
        <f t="shared" si="110"/>
        <v>0</v>
      </c>
      <c r="T1785" s="331">
        <v>0</v>
      </c>
      <c r="U1785" s="328">
        <f>VLOOKUP(C1785,METADATA!$J$5:$Q$29,IF(E1785="HI",2,IF(E1785="LO",6,10))+IF(T1785=1,2,IF(D1785=7,1,(IF(WEEKDAY(B1785)=1,2,IF(WEEKDAY(B1785)=7,1,0))))))</f>
        <v>3</v>
      </c>
      <c r="V1785" s="328">
        <f>VLOOKUP(C1785,METADATA!$A$5:$H$29,IF(E1785="HI",2,IF(E1785="LO",6,10))+IF(T1785=1,2,IF(D1785=7,1,(IF(WEEKDAY(B1785)=1,2,IF(WEEKDAY(B1785)=7,1,0))))))</f>
        <v>3</v>
      </c>
    </row>
    <row r="1786" spans="2:22">
      <c r="B1786" s="318">
        <f t="shared" si="111"/>
        <v>46187</v>
      </c>
      <c r="C1786" s="312">
        <v>6</v>
      </c>
      <c r="D1786" s="368">
        <f>IFERROR((INDEX(METADATA!$T$2:$T$20,MATCH(B1786,METADATA!$S$2:$S$20,0))),0)</f>
        <v>0</v>
      </c>
      <c r="E1786" s="312" t="str">
        <f t="shared" si="108"/>
        <v>LO</v>
      </c>
      <c r="F1786" s="369">
        <f>VLOOKUP(C1786,METADATA!$A$5:$H$29,IF(E1786="HI",2,IF(E1786="LO",6,10))+IF(D1786=1,2,IF(D1786=7,1,(IF(WEEKDAY(B1786)=1,2,IF(WEEKDAY(B1786)=7,1,0))))))</f>
        <v>3</v>
      </c>
      <c r="G1786" s="369">
        <f>VLOOKUP(C1786,METADATA!$J$5:$Q$29,IF(E1786="HI",2,IF(E1786="LO",6,10))+IF(D1786=1,2,IF(D1786=7,1,(IF(WEEKDAY(B1786)=1,2,IF(WEEKDAY(B1786)=7,1,0))))))</f>
        <v>3</v>
      </c>
      <c r="H1786" s="370">
        <v>4625.1674499511719</v>
      </c>
      <c r="I1786" s="370">
        <v>0</v>
      </c>
      <c r="M1786" s="371">
        <f t="shared" si="109"/>
        <v>4625.1674499511719</v>
      </c>
      <c r="N1786" s="329">
        <f t="shared" si="110"/>
        <v>0</v>
      </c>
      <c r="T1786" s="331">
        <v>0</v>
      </c>
      <c r="U1786" s="328">
        <f>VLOOKUP(C1786,METADATA!$J$5:$Q$29,IF(E1786="HI",2,IF(E1786="LO",6,10))+IF(T1786=1,2,IF(D1786=7,1,(IF(WEEKDAY(B1786)=1,2,IF(WEEKDAY(B1786)=7,1,0))))))</f>
        <v>3</v>
      </c>
      <c r="V1786" s="328">
        <f>VLOOKUP(C1786,METADATA!$A$5:$H$29,IF(E1786="HI",2,IF(E1786="LO",6,10))+IF(T1786=1,2,IF(D1786=7,1,(IF(WEEKDAY(B1786)=1,2,IF(WEEKDAY(B1786)=7,1,0))))))</f>
        <v>3</v>
      </c>
    </row>
    <row r="1787" spans="2:22">
      <c r="B1787" s="318">
        <f t="shared" si="111"/>
        <v>46187</v>
      </c>
      <c r="C1787" s="312">
        <v>7</v>
      </c>
      <c r="D1787" s="368">
        <f>IFERROR((INDEX(METADATA!$T$2:$T$20,MATCH(B1787,METADATA!$S$2:$S$20,0))),0)</f>
        <v>0</v>
      </c>
      <c r="E1787" s="312" t="str">
        <f t="shared" si="108"/>
        <v>LO</v>
      </c>
      <c r="F1787" s="369">
        <f>VLOOKUP(C1787,METADATA!$A$5:$H$29,IF(E1787="HI",2,IF(E1787="LO",6,10))+IF(D1787=1,2,IF(D1787=7,1,(IF(WEEKDAY(B1787)=1,2,IF(WEEKDAY(B1787)=7,1,0))))))</f>
        <v>3</v>
      </c>
      <c r="G1787" s="369">
        <f>VLOOKUP(C1787,METADATA!$J$5:$Q$29,IF(E1787="HI",2,IF(E1787="LO",6,10))+IF(D1787=1,2,IF(D1787=7,1,(IF(WEEKDAY(B1787)=1,2,IF(WEEKDAY(B1787)=7,1,0))))))</f>
        <v>3</v>
      </c>
      <c r="H1787" s="370">
        <v>4751.7799987792969</v>
      </c>
      <c r="I1787" s="370">
        <v>0</v>
      </c>
      <c r="M1787" s="371">
        <f t="shared" si="109"/>
        <v>4751.7799987792969</v>
      </c>
      <c r="N1787" s="329">
        <f t="shared" si="110"/>
        <v>0</v>
      </c>
      <c r="T1787" s="331">
        <v>0</v>
      </c>
      <c r="U1787" s="328">
        <f>VLOOKUP(C1787,METADATA!$J$5:$Q$29,IF(E1787="HI",2,IF(E1787="LO",6,10))+IF(T1787=1,2,IF(D1787=7,1,(IF(WEEKDAY(B1787)=1,2,IF(WEEKDAY(B1787)=7,1,0))))))</f>
        <v>3</v>
      </c>
      <c r="V1787" s="328">
        <f>VLOOKUP(C1787,METADATA!$A$5:$H$29,IF(E1787="HI",2,IF(E1787="LO",6,10))+IF(T1787=1,2,IF(D1787=7,1,(IF(WEEKDAY(B1787)=1,2,IF(WEEKDAY(B1787)=7,1,0))))))</f>
        <v>3</v>
      </c>
    </row>
    <row r="1788" spans="2:22">
      <c r="B1788" s="318">
        <f t="shared" si="111"/>
        <v>46187</v>
      </c>
      <c r="C1788" s="312">
        <v>8</v>
      </c>
      <c r="D1788" s="368">
        <f>IFERROR((INDEX(METADATA!$T$2:$T$20,MATCH(B1788,METADATA!$S$2:$S$20,0))),0)</f>
        <v>0</v>
      </c>
      <c r="E1788" s="312" t="str">
        <f t="shared" si="108"/>
        <v>LO</v>
      </c>
      <c r="F1788" s="369">
        <f>VLOOKUP(C1788,METADATA!$A$5:$H$29,IF(E1788="HI",2,IF(E1788="LO",6,10))+IF(D1788=1,2,IF(D1788=7,1,(IF(WEEKDAY(B1788)=1,2,IF(WEEKDAY(B1788)=7,1,0))))))</f>
        <v>3</v>
      </c>
      <c r="G1788" s="369">
        <f>VLOOKUP(C1788,METADATA!$J$5:$Q$29,IF(E1788="HI",2,IF(E1788="LO",6,10))+IF(D1788=1,2,IF(D1788=7,1,(IF(WEEKDAY(B1788)=1,2,IF(WEEKDAY(B1788)=7,1,0))))))</f>
        <v>3</v>
      </c>
      <c r="H1788" s="370">
        <v>4833.7125854492188</v>
      </c>
      <c r="I1788" s="370">
        <v>0</v>
      </c>
      <c r="M1788" s="371">
        <f t="shared" si="109"/>
        <v>4833.7125854492188</v>
      </c>
      <c r="N1788" s="329">
        <f t="shared" si="110"/>
        <v>0</v>
      </c>
      <c r="T1788" s="331">
        <v>0</v>
      </c>
      <c r="U1788" s="328">
        <f>VLOOKUP(C1788,METADATA!$J$5:$Q$29,IF(E1788="HI",2,IF(E1788="LO",6,10))+IF(T1788=1,2,IF(D1788=7,1,(IF(WEEKDAY(B1788)=1,2,IF(WEEKDAY(B1788)=7,1,0))))))</f>
        <v>3</v>
      </c>
      <c r="V1788" s="328">
        <f>VLOOKUP(C1788,METADATA!$A$5:$H$29,IF(E1788="HI",2,IF(E1788="LO",6,10))+IF(T1788=1,2,IF(D1788=7,1,(IF(WEEKDAY(B1788)=1,2,IF(WEEKDAY(B1788)=7,1,0))))))</f>
        <v>3</v>
      </c>
    </row>
    <row r="1789" spans="2:22">
      <c r="B1789" s="318">
        <f t="shared" si="111"/>
        <v>46187</v>
      </c>
      <c r="C1789" s="312">
        <v>9</v>
      </c>
      <c r="D1789" s="368">
        <f>IFERROR((INDEX(METADATA!$T$2:$T$20,MATCH(B1789,METADATA!$S$2:$S$20,0))),0)</f>
        <v>0</v>
      </c>
      <c r="E1789" s="312" t="str">
        <f t="shared" si="108"/>
        <v>LO</v>
      </c>
      <c r="F1789" s="369">
        <f>VLOOKUP(C1789,METADATA!$A$5:$H$29,IF(E1789="HI",2,IF(E1789="LO",6,10))+IF(D1789=1,2,IF(D1789=7,1,(IF(WEEKDAY(B1789)=1,2,IF(WEEKDAY(B1789)=7,1,0))))))</f>
        <v>3</v>
      </c>
      <c r="G1789" s="369">
        <f>VLOOKUP(C1789,METADATA!$J$5:$Q$29,IF(E1789="HI",2,IF(E1789="LO",6,10))+IF(D1789=1,2,IF(D1789=7,1,(IF(WEEKDAY(B1789)=1,2,IF(WEEKDAY(B1789)=7,1,0))))))</f>
        <v>3</v>
      </c>
      <c r="H1789" s="370">
        <v>4744.9649963378906</v>
      </c>
      <c r="I1789" s="370">
        <v>0</v>
      </c>
      <c r="M1789" s="371">
        <f t="shared" si="109"/>
        <v>4744.9649963378906</v>
      </c>
      <c r="N1789" s="329">
        <f t="shared" si="110"/>
        <v>0</v>
      </c>
      <c r="T1789" s="331">
        <v>0</v>
      </c>
      <c r="U1789" s="328">
        <f>VLOOKUP(C1789,METADATA!$J$5:$Q$29,IF(E1789="HI",2,IF(E1789="LO",6,10))+IF(T1789=1,2,IF(D1789=7,1,(IF(WEEKDAY(B1789)=1,2,IF(WEEKDAY(B1789)=7,1,0))))))</f>
        <v>3</v>
      </c>
      <c r="V1789" s="328">
        <f>VLOOKUP(C1789,METADATA!$A$5:$H$29,IF(E1789="HI",2,IF(E1789="LO",6,10))+IF(T1789=1,2,IF(D1789=7,1,(IF(WEEKDAY(B1789)=1,2,IF(WEEKDAY(B1789)=7,1,0))))))</f>
        <v>3</v>
      </c>
    </row>
    <row r="1790" spans="2:22">
      <c r="B1790" s="318">
        <f t="shared" si="111"/>
        <v>46187</v>
      </c>
      <c r="C1790" s="312">
        <v>10</v>
      </c>
      <c r="D1790" s="368">
        <f>IFERROR((INDEX(METADATA!$T$2:$T$20,MATCH(B1790,METADATA!$S$2:$S$20,0))),0)</f>
        <v>0</v>
      </c>
      <c r="E1790" s="312" t="str">
        <f t="shared" si="108"/>
        <v>LO</v>
      </c>
      <c r="F1790" s="369">
        <f>VLOOKUP(C1790,METADATA!$A$5:$H$29,IF(E1790="HI",2,IF(E1790="LO",6,10))+IF(D1790=1,2,IF(D1790=7,1,(IF(WEEKDAY(B1790)=1,2,IF(WEEKDAY(B1790)=7,1,0))))))</f>
        <v>3</v>
      </c>
      <c r="G1790" s="369">
        <f>VLOOKUP(C1790,METADATA!$J$5:$Q$29,IF(E1790="HI",2,IF(E1790="LO",6,10))+IF(D1790=1,2,IF(D1790=7,1,(IF(WEEKDAY(B1790)=1,2,IF(WEEKDAY(B1790)=7,1,0))))))</f>
        <v>3</v>
      </c>
      <c r="H1790" s="370">
        <v>4753.4175720214844</v>
      </c>
      <c r="I1790" s="370">
        <v>0</v>
      </c>
      <c r="M1790" s="371">
        <f t="shared" si="109"/>
        <v>4753.4175720214844</v>
      </c>
      <c r="N1790" s="329">
        <f t="shared" si="110"/>
        <v>0</v>
      </c>
      <c r="T1790" s="331">
        <v>0</v>
      </c>
      <c r="U1790" s="328">
        <f>VLOOKUP(C1790,METADATA!$J$5:$Q$29,IF(E1790="HI",2,IF(E1790="LO",6,10))+IF(T1790=1,2,IF(D1790=7,1,(IF(WEEKDAY(B1790)=1,2,IF(WEEKDAY(B1790)=7,1,0))))))</f>
        <v>3</v>
      </c>
      <c r="V1790" s="328">
        <f>VLOOKUP(C1790,METADATA!$A$5:$H$29,IF(E1790="HI",2,IF(E1790="LO",6,10))+IF(T1790=1,2,IF(D1790=7,1,(IF(WEEKDAY(B1790)=1,2,IF(WEEKDAY(B1790)=7,1,0))))))</f>
        <v>3</v>
      </c>
    </row>
    <row r="1791" spans="2:22">
      <c r="B1791" s="318">
        <f t="shared" si="111"/>
        <v>46187</v>
      </c>
      <c r="C1791" s="312">
        <v>11</v>
      </c>
      <c r="D1791" s="368">
        <f>IFERROR((INDEX(METADATA!$T$2:$T$20,MATCH(B1791,METADATA!$S$2:$S$20,0))),0)</f>
        <v>0</v>
      </c>
      <c r="E1791" s="312" t="str">
        <f t="shared" si="108"/>
        <v>LO</v>
      </c>
      <c r="F1791" s="369">
        <f>VLOOKUP(C1791,METADATA!$A$5:$H$29,IF(E1791="HI",2,IF(E1791="LO",6,10))+IF(D1791=1,2,IF(D1791=7,1,(IF(WEEKDAY(B1791)=1,2,IF(WEEKDAY(B1791)=7,1,0))))))</f>
        <v>3</v>
      </c>
      <c r="G1791" s="369">
        <f>VLOOKUP(C1791,METADATA!$J$5:$Q$29,IF(E1791="HI",2,IF(E1791="LO",6,10))+IF(D1791=1,2,IF(D1791=7,1,(IF(WEEKDAY(B1791)=1,2,IF(WEEKDAY(B1791)=7,1,0))))))</f>
        <v>3</v>
      </c>
      <c r="H1791" s="370">
        <v>4917.6324768066406</v>
      </c>
      <c r="I1791" s="370">
        <v>0</v>
      </c>
      <c r="M1791" s="371">
        <f t="shared" si="109"/>
        <v>4917.6324768066406</v>
      </c>
      <c r="N1791" s="329">
        <f t="shared" si="110"/>
        <v>0</v>
      </c>
      <c r="T1791" s="331">
        <v>0</v>
      </c>
      <c r="U1791" s="328">
        <f>VLOOKUP(C1791,METADATA!$J$5:$Q$29,IF(E1791="HI",2,IF(E1791="LO",6,10))+IF(T1791=1,2,IF(D1791=7,1,(IF(WEEKDAY(B1791)=1,2,IF(WEEKDAY(B1791)=7,1,0))))))</f>
        <v>3</v>
      </c>
      <c r="V1791" s="328">
        <f>VLOOKUP(C1791,METADATA!$A$5:$H$29,IF(E1791="HI",2,IF(E1791="LO",6,10))+IF(T1791=1,2,IF(D1791=7,1,(IF(WEEKDAY(B1791)=1,2,IF(WEEKDAY(B1791)=7,1,0))))))</f>
        <v>3</v>
      </c>
    </row>
    <row r="1792" spans="2:22">
      <c r="B1792" s="318">
        <f t="shared" si="111"/>
        <v>46187</v>
      </c>
      <c r="C1792" s="312">
        <v>12</v>
      </c>
      <c r="D1792" s="368">
        <f>IFERROR((INDEX(METADATA!$T$2:$T$20,MATCH(B1792,METADATA!$S$2:$S$20,0))),0)</f>
        <v>0</v>
      </c>
      <c r="E1792" s="312" t="str">
        <f t="shared" si="108"/>
        <v>LO</v>
      </c>
      <c r="F1792" s="369">
        <f>VLOOKUP(C1792,METADATA!$A$5:$H$29,IF(E1792="HI",2,IF(E1792="LO",6,10))+IF(D1792=1,2,IF(D1792=7,1,(IF(WEEKDAY(B1792)=1,2,IF(WEEKDAY(B1792)=7,1,0))))))</f>
        <v>3</v>
      </c>
      <c r="G1792" s="369">
        <f>VLOOKUP(C1792,METADATA!$J$5:$Q$29,IF(E1792="HI",2,IF(E1792="LO",6,10))+IF(D1792=1,2,IF(D1792=7,1,(IF(WEEKDAY(B1792)=1,2,IF(WEEKDAY(B1792)=7,1,0))))))</f>
        <v>3</v>
      </c>
      <c r="H1792" s="370">
        <v>5987.1074829101563</v>
      </c>
      <c r="I1792" s="370">
        <v>0</v>
      </c>
      <c r="M1792" s="371">
        <f t="shared" si="109"/>
        <v>5987.1074829101563</v>
      </c>
      <c r="N1792" s="329">
        <f t="shared" si="110"/>
        <v>0</v>
      </c>
      <c r="T1792" s="331">
        <v>0</v>
      </c>
      <c r="U1792" s="328">
        <f>VLOOKUP(C1792,METADATA!$J$5:$Q$29,IF(E1792="HI",2,IF(E1792="LO",6,10))+IF(T1792=1,2,IF(D1792=7,1,(IF(WEEKDAY(B1792)=1,2,IF(WEEKDAY(B1792)=7,1,0))))))</f>
        <v>3</v>
      </c>
      <c r="V1792" s="328">
        <f>VLOOKUP(C1792,METADATA!$A$5:$H$29,IF(E1792="HI",2,IF(E1792="LO",6,10))+IF(T1792=1,2,IF(D1792=7,1,(IF(WEEKDAY(B1792)=1,2,IF(WEEKDAY(B1792)=7,1,0))))))</f>
        <v>3</v>
      </c>
    </row>
    <row r="1793" spans="2:22">
      <c r="B1793" s="318">
        <f t="shared" si="111"/>
        <v>46187</v>
      </c>
      <c r="C1793" s="312">
        <v>13</v>
      </c>
      <c r="D1793" s="368">
        <f>IFERROR((INDEX(METADATA!$T$2:$T$20,MATCH(B1793,METADATA!$S$2:$S$20,0))),0)</f>
        <v>0</v>
      </c>
      <c r="E1793" s="312" t="str">
        <f t="shared" si="108"/>
        <v>LO</v>
      </c>
      <c r="F1793" s="369">
        <f>VLOOKUP(C1793,METADATA!$A$5:$H$29,IF(E1793="HI",2,IF(E1793="LO",6,10))+IF(D1793=1,2,IF(D1793=7,1,(IF(WEEKDAY(B1793)=1,2,IF(WEEKDAY(B1793)=7,1,0))))))</f>
        <v>3</v>
      </c>
      <c r="G1793" s="369">
        <f>VLOOKUP(C1793,METADATA!$J$5:$Q$29,IF(E1793="HI",2,IF(E1793="LO",6,10))+IF(D1793=1,2,IF(D1793=7,1,(IF(WEEKDAY(B1793)=1,2,IF(WEEKDAY(B1793)=7,1,0))))))</f>
        <v>3</v>
      </c>
      <c r="H1793" s="370">
        <v>5921.205322265625</v>
      </c>
      <c r="I1793" s="370">
        <v>25.440000534057617</v>
      </c>
      <c r="M1793" s="371">
        <f t="shared" si="109"/>
        <v>5921.2599725104064</v>
      </c>
      <c r="N1793" s="329">
        <f t="shared" si="110"/>
        <v>0</v>
      </c>
      <c r="T1793" s="331">
        <v>0</v>
      </c>
      <c r="U1793" s="328">
        <f>VLOOKUP(C1793,METADATA!$J$5:$Q$29,IF(E1793="HI",2,IF(E1793="LO",6,10))+IF(T1793=1,2,IF(D1793=7,1,(IF(WEEKDAY(B1793)=1,2,IF(WEEKDAY(B1793)=7,1,0))))))</f>
        <v>3</v>
      </c>
      <c r="V1793" s="328">
        <f>VLOOKUP(C1793,METADATA!$A$5:$H$29,IF(E1793="HI",2,IF(E1793="LO",6,10))+IF(T1793=1,2,IF(D1793=7,1,(IF(WEEKDAY(B1793)=1,2,IF(WEEKDAY(B1793)=7,1,0))))))</f>
        <v>3</v>
      </c>
    </row>
    <row r="1794" spans="2:22">
      <c r="B1794" s="318">
        <f t="shared" si="111"/>
        <v>46187</v>
      </c>
      <c r="C1794" s="312">
        <v>14</v>
      </c>
      <c r="D1794" s="368">
        <f>IFERROR((INDEX(METADATA!$T$2:$T$20,MATCH(B1794,METADATA!$S$2:$S$20,0))),0)</f>
        <v>0</v>
      </c>
      <c r="E1794" s="312" t="str">
        <f t="shared" si="108"/>
        <v>LO</v>
      </c>
      <c r="F1794" s="369">
        <f>VLOOKUP(C1794,METADATA!$A$5:$H$29,IF(E1794="HI",2,IF(E1794="LO",6,10))+IF(D1794=1,2,IF(D1794=7,1,(IF(WEEKDAY(B1794)=1,2,IF(WEEKDAY(B1794)=7,1,0))))))</f>
        <v>3</v>
      </c>
      <c r="G1794" s="369">
        <f>VLOOKUP(C1794,METADATA!$J$5:$Q$29,IF(E1794="HI",2,IF(E1794="LO",6,10))+IF(D1794=1,2,IF(D1794=7,1,(IF(WEEKDAY(B1794)=1,2,IF(WEEKDAY(B1794)=7,1,0))))))</f>
        <v>3</v>
      </c>
      <c r="H1794" s="370">
        <v>10423.74267578125</v>
      </c>
      <c r="I1794" s="370">
        <v>1380.1199951171875</v>
      </c>
      <c r="M1794" s="371">
        <f t="shared" si="109"/>
        <v>10514.710769765639</v>
      </c>
      <c r="N1794" s="329">
        <f t="shared" si="110"/>
        <v>0</v>
      </c>
      <c r="T1794" s="331">
        <v>0</v>
      </c>
      <c r="U1794" s="328">
        <f>VLOOKUP(C1794,METADATA!$J$5:$Q$29,IF(E1794="HI",2,IF(E1794="LO",6,10))+IF(T1794=1,2,IF(D1794=7,1,(IF(WEEKDAY(B1794)=1,2,IF(WEEKDAY(B1794)=7,1,0))))))</f>
        <v>3</v>
      </c>
      <c r="V1794" s="328">
        <f>VLOOKUP(C1794,METADATA!$A$5:$H$29,IF(E1794="HI",2,IF(E1794="LO",6,10))+IF(T1794=1,2,IF(D1794=7,1,(IF(WEEKDAY(B1794)=1,2,IF(WEEKDAY(B1794)=7,1,0))))))</f>
        <v>3</v>
      </c>
    </row>
    <row r="1795" spans="2:22">
      <c r="B1795" s="318">
        <f t="shared" si="111"/>
        <v>46187</v>
      </c>
      <c r="C1795" s="312">
        <v>15</v>
      </c>
      <c r="D1795" s="368">
        <f>IFERROR((INDEX(METADATA!$T$2:$T$20,MATCH(B1795,METADATA!$S$2:$S$20,0))),0)</f>
        <v>0</v>
      </c>
      <c r="E1795" s="312" t="str">
        <f t="shared" si="108"/>
        <v>LO</v>
      </c>
      <c r="F1795" s="369">
        <f>VLOOKUP(C1795,METADATA!$A$5:$H$29,IF(E1795="HI",2,IF(E1795="LO",6,10))+IF(D1795=1,2,IF(D1795=7,1,(IF(WEEKDAY(B1795)=1,2,IF(WEEKDAY(B1795)=7,1,0))))))</f>
        <v>3</v>
      </c>
      <c r="G1795" s="369">
        <f>VLOOKUP(C1795,METADATA!$J$5:$Q$29,IF(E1795="HI",2,IF(E1795="LO",6,10))+IF(D1795=1,2,IF(D1795=7,1,(IF(WEEKDAY(B1795)=1,2,IF(WEEKDAY(B1795)=7,1,0))))))</f>
        <v>3</v>
      </c>
      <c r="H1795" s="370">
        <v>10998.625152587891</v>
      </c>
      <c r="I1795" s="370">
        <v>1785.8400573730469</v>
      </c>
      <c r="M1795" s="371">
        <f t="shared" si="109"/>
        <v>11142.664849920649</v>
      </c>
      <c r="N1795" s="329">
        <f t="shared" si="110"/>
        <v>0</v>
      </c>
      <c r="T1795" s="331">
        <v>0</v>
      </c>
      <c r="U1795" s="328">
        <f>VLOOKUP(C1795,METADATA!$J$5:$Q$29,IF(E1795="HI",2,IF(E1795="LO",6,10))+IF(T1795=1,2,IF(D1795=7,1,(IF(WEEKDAY(B1795)=1,2,IF(WEEKDAY(B1795)=7,1,0))))))</f>
        <v>3</v>
      </c>
      <c r="V1795" s="328">
        <f>VLOOKUP(C1795,METADATA!$A$5:$H$29,IF(E1795="HI",2,IF(E1795="LO",6,10))+IF(T1795=1,2,IF(D1795=7,1,(IF(WEEKDAY(B1795)=1,2,IF(WEEKDAY(B1795)=7,1,0))))))</f>
        <v>3</v>
      </c>
    </row>
    <row r="1796" spans="2:22">
      <c r="B1796" s="318">
        <f t="shared" si="111"/>
        <v>46187</v>
      </c>
      <c r="C1796" s="312">
        <v>16</v>
      </c>
      <c r="D1796" s="368">
        <f>IFERROR((INDEX(METADATA!$T$2:$T$20,MATCH(B1796,METADATA!$S$2:$S$20,0))),0)</f>
        <v>0</v>
      </c>
      <c r="E1796" s="312" t="str">
        <f t="shared" ref="E1796:E1859" si="112">IF(B1796="","",IF(AND(MONTH(B1796)&gt;=MONTH($Z$9),MONTH(B1796)&lt;=MONTH($Z$11)),"HI","LO"))</f>
        <v>LO</v>
      </c>
      <c r="F1796" s="369">
        <f>VLOOKUP(C1796,METADATA!$A$5:$H$29,IF(E1796="HI",2,IF(E1796="LO",6,10))+IF(D1796=1,2,IF(D1796=7,1,(IF(WEEKDAY(B1796)=1,2,IF(WEEKDAY(B1796)=7,1,0))))))</f>
        <v>3</v>
      </c>
      <c r="G1796" s="369">
        <f>VLOOKUP(C1796,METADATA!$J$5:$Q$29,IF(E1796="HI",2,IF(E1796="LO",6,10))+IF(D1796=1,2,IF(D1796=7,1,(IF(WEEKDAY(B1796)=1,2,IF(WEEKDAY(B1796)=7,1,0))))))</f>
        <v>3</v>
      </c>
      <c r="H1796" s="370">
        <v>10993.272125244141</v>
      </c>
      <c r="I1796" s="370">
        <v>1686.1199951171875</v>
      </c>
      <c r="M1796" s="371">
        <f t="shared" ref="M1796:M1859" si="113">SQRT(H1796^2+I1796^2)</f>
        <v>11121.82685792239</v>
      </c>
      <c r="N1796" s="329">
        <f t="shared" ref="N1796:N1859" si="114">IF(H1796=0,0,(IF(I1796-(0.3*H1796)&lt;0,0,(I1796-(0.3*H1796)))))</f>
        <v>0</v>
      </c>
      <c r="T1796" s="331">
        <v>0</v>
      </c>
      <c r="U1796" s="328">
        <f>VLOOKUP(C1796,METADATA!$J$5:$Q$29,IF(E1796="HI",2,IF(E1796="LO",6,10))+IF(T1796=1,2,IF(D1796=7,1,(IF(WEEKDAY(B1796)=1,2,IF(WEEKDAY(B1796)=7,1,0))))))</f>
        <v>3</v>
      </c>
      <c r="V1796" s="328">
        <f>VLOOKUP(C1796,METADATA!$A$5:$H$29,IF(E1796="HI",2,IF(E1796="LO",6,10))+IF(T1796=1,2,IF(D1796=7,1,(IF(WEEKDAY(B1796)=1,2,IF(WEEKDAY(B1796)=7,1,0))))))</f>
        <v>3</v>
      </c>
    </row>
    <row r="1797" spans="2:22">
      <c r="B1797" s="318">
        <f t="shared" si="111"/>
        <v>46187</v>
      </c>
      <c r="C1797" s="312">
        <v>17</v>
      </c>
      <c r="D1797" s="368">
        <f>IFERROR((INDEX(METADATA!$T$2:$T$20,MATCH(B1797,METADATA!$S$2:$S$20,0))),0)</f>
        <v>0</v>
      </c>
      <c r="E1797" s="312" t="str">
        <f t="shared" si="112"/>
        <v>LO</v>
      </c>
      <c r="F1797" s="369">
        <f>VLOOKUP(C1797,METADATA!$A$5:$H$29,IF(E1797="HI",2,IF(E1797="LO",6,10))+IF(D1797=1,2,IF(D1797=7,1,(IF(WEEKDAY(B1797)=1,2,IF(WEEKDAY(B1797)=7,1,0))))))</f>
        <v>3</v>
      </c>
      <c r="G1797" s="369">
        <f>VLOOKUP(C1797,METADATA!$J$5:$Q$29,IF(E1797="HI",2,IF(E1797="LO",6,10))+IF(D1797=1,2,IF(D1797=7,1,(IF(WEEKDAY(B1797)=1,2,IF(WEEKDAY(B1797)=7,1,0))))))</f>
        <v>3</v>
      </c>
      <c r="H1797" s="370">
        <v>12329.925109863281</v>
      </c>
      <c r="I1797" s="370">
        <v>1829.8779820799828</v>
      </c>
      <c r="M1797" s="371">
        <f t="shared" si="113"/>
        <v>12464.971185050455</v>
      </c>
      <c r="N1797" s="329">
        <f t="shared" si="114"/>
        <v>0</v>
      </c>
      <c r="T1797" s="331">
        <v>0</v>
      </c>
      <c r="U1797" s="328">
        <f>VLOOKUP(C1797,METADATA!$J$5:$Q$29,IF(E1797="HI",2,IF(E1797="LO",6,10))+IF(T1797=1,2,IF(D1797=7,1,(IF(WEEKDAY(B1797)=1,2,IF(WEEKDAY(B1797)=7,1,0))))))</f>
        <v>3</v>
      </c>
      <c r="V1797" s="328">
        <f>VLOOKUP(C1797,METADATA!$A$5:$H$29,IF(E1797="HI",2,IF(E1797="LO",6,10))+IF(T1797=1,2,IF(D1797=7,1,(IF(WEEKDAY(B1797)=1,2,IF(WEEKDAY(B1797)=7,1,0))))))</f>
        <v>3</v>
      </c>
    </row>
    <row r="1798" spans="2:22">
      <c r="B1798" s="318">
        <f t="shared" si="111"/>
        <v>46187</v>
      </c>
      <c r="C1798" s="312">
        <v>18</v>
      </c>
      <c r="D1798" s="368">
        <f>IFERROR((INDEX(METADATA!$T$2:$T$20,MATCH(B1798,METADATA!$S$2:$S$20,0))),0)</f>
        <v>0</v>
      </c>
      <c r="E1798" s="312" t="str">
        <f t="shared" si="112"/>
        <v>LO</v>
      </c>
      <c r="F1798" s="369">
        <f>VLOOKUP(C1798,METADATA!$A$5:$H$29,IF(E1798="HI",2,IF(E1798="LO",6,10))+IF(D1798=1,2,IF(D1798=7,1,(IF(WEEKDAY(B1798)=1,2,IF(WEEKDAY(B1798)=7,1,0))))))</f>
        <v>2</v>
      </c>
      <c r="G1798" s="369">
        <f>VLOOKUP(C1798,METADATA!$J$5:$Q$29,IF(E1798="HI",2,IF(E1798="LO",6,10))+IF(D1798=1,2,IF(D1798=7,1,(IF(WEEKDAY(B1798)=1,2,IF(WEEKDAY(B1798)=7,1,0))))))</f>
        <v>2</v>
      </c>
      <c r="H1798" s="370">
        <v>12908.175048828125</v>
      </c>
      <c r="I1798" s="370">
        <v>1934.065071105957</v>
      </c>
      <c r="M1798" s="371">
        <f t="shared" si="113"/>
        <v>13052.263818604843</v>
      </c>
      <c r="N1798" s="329">
        <f t="shared" si="114"/>
        <v>0</v>
      </c>
      <c r="T1798" s="331">
        <v>0</v>
      </c>
      <c r="U1798" s="328">
        <f>VLOOKUP(C1798,METADATA!$J$5:$Q$29,IF(E1798="HI",2,IF(E1798="LO",6,10))+IF(T1798=1,2,IF(D1798=7,1,(IF(WEEKDAY(B1798)=1,2,IF(WEEKDAY(B1798)=7,1,0))))))</f>
        <v>2</v>
      </c>
      <c r="V1798" s="328">
        <f>VLOOKUP(C1798,METADATA!$A$5:$H$29,IF(E1798="HI",2,IF(E1798="LO",6,10))+IF(T1798=1,2,IF(D1798=7,1,(IF(WEEKDAY(B1798)=1,2,IF(WEEKDAY(B1798)=7,1,0))))))</f>
        <v>2</v>
      </c>
    </row>
    <row r="1799" spans="2:22">
      <c r="B1799" s="318">
        <f t="shared" si="111"/>
        <v>46187</v>
      </c>
      <c r="C1799" s="312">
        <v>19</v>
      </c>
      <c r="D1799" s="368">
        <f>IFERROR((INDEX(METADATA!$T$2:$T$20,MATCH(B1799,METADATA!$S$2:$S$20,0))),0)</f>
        <v>0</v>
      </c>
      <c r="E1799" s="312" t="str">
        <f t="shared" si="112"/>
        <v>LO</v>
      </c>
      <c r="F1799" s="369">
        <f>VLOOKUP(C1799,METADATA!$A$5:$H$29,IF(E1799="HI",2,IF(E1799="LO",6,10))+IF(D1799=1,2,IF(D1799=7,1,(IF(WEEKDAY(B1799)=1,2,IF(WEEKDAY(B1799)=7,1,0))))))</f>
        <v>2</v>
      </c>
      <c r="G1799" s="369">
        <f>VLOOKUP(C1799,METADATA!$J$5:$Q$29,IF(E1799="HI",2,IF(E1799="LO",6,10))+IF(D1799=1,2,IF(D1799=7,1,(IF(WEEKDAY(B1799)=1,2,IF(WEEKDAY(B1799)=7,1,0))))))</f>
        <v>2</v>
      </c>
      <c r="H1799" s="370">
        <v>13060.124816894531</v>
      </c>
      <c r="I1799" s="370">
        <v>1989.1174926757813</v>
      </c>
      <c r="M1799" s="371">
        <f t="shared" si="113"/>
        <v>13210.732327639267</v>
      </c>
      <c r="N1799" s="329">
        <f t="shared" si="114"/>
        <v>0</v>
      </c>
      <c r="T1799" s="331">
        <v>0</v>
      </c>
      <c r="U1799" s="328">
        <f>VLOOKUP(C1799,METADATA!$J$5:$Q$29,IF(E1799="HI",2,IF(E1799="LO",6,10))+IF(T1799=1,2,IF(D1799=7,1,(IF(WEEKDAY(B1799)=1,2,IF(WEEKDAY(B1799)=7,1,0))))))</f>
        <v>2</v>
      </c>
      <c r="V1799" s="328">
        <f>VLOOKUP(C1799,METADATA!$A$5:$H$29,IF(E1799="HI",2,IF(E1799="LO",6,10))+IF(T1799=1,2,IF(D1799=7,1,(IF(WEEKDAY(B1799)=1,2,IF(WEEKDAY(B1799)=7,1,0))))))</f>
        <v>2</v>
      </c>
    </row>
    <row r="1800" spans="2:22">
      <c r="B1800" s="318">
        <f t="shared" si="111"/>
        <v>46187</v>
      </c>
      <c r="C1800" s="312">
        <v>20</v>
      </c>
      <c r="D1800" s="368">
        <f>IFERROR((INDEX(METADATA!$T$2:$T$20,MATCH(B1800,METADATA!$S$2:$S$20,0))),0)</f>
        <v>0</v>
      </c>
      <c r="E1800" s="312" t="str">
        <f t="shared" si="112"/>
        <v>LO</v>
      </c>
      <c r="F1800" s="369">
        <f>VLOOKUP(C1800,METADATA!$A$5:$H$29,IF(E1800="HI",2,IF(E1800="LO",6,10))+IF(D1800=1,2,IF(D1800=7,1,(IF(WEEKDAY(B1800)=1,2,IF(WEEKDAY(B1800)=7,1,0))))))</f>
        <v>3</v>
      </c>
      <c r="G1800" s="369">
        <f>VLOOKUP(C1800,METADATA!$J$5:$Q$29,IF(E1800="HI",2,IF(E1800="LO",6,10))+IF(D1800=1,2,IF(D1800=7,1,(IF(WEEKDAY(B1800)=1,2,IF(WEEKDAY(B1800)=7,1,0))))))</f>
        <v>3</v>
      </c>
      <c r="H1800" s="370">
        <v>13143.674865722656</v>
      </c>
      <c r="I1800" s="370">
        <v>2035.8249664306641</v>
      </c>
      <c r="M1800" s="371">
        <f t="shared" si="113"/>
        <v>13300.404966382486</v>
      </c>
      <c r="N1800" s="329">
        <f t="shared" si="114"/>
        <v>0</v>
      </c>
      <c r="T1800" s="331">
        <v>0</v>
      </c>
      <c r="U1800" s="328">
        <f>VLOOKUP(C1800,METADATA!$J$5:$Q$29,IF(E1800="HI",2,IF(E1800="LO",6,10))+IF(T1800=1,2,IF(D1800=7,1,(IF(WEEKDAY(B1800)=1,2,IF(WEEKDAY(B1800)=7,1,0))))))</f>
        <v>3</v>
      </c>
      <c r="V1800" s="328">
        <f>VLOOKUP(C1800,METADATA!$A$5:$H$29,IF(E1800="HI",2,IF(E1800="LO",6,10))+IF(T1800=1,2,IF(D1800=7,1,(IF(WEEKDAY(B1800)=1,2,IF(WEEKDAY(B1800)=7,1,0))))))</f>
        <v>3</v>
      </c>
    </row>
    <row r="1801" spans="2:22">
      <c r="B1801" s="318">
        <f t="shared" si="111"/>
        <v>46187</v>
      </c>
      <c r="C1801" s="312">
        <v>21</v>
      </c>
      <c r="D1801" s="368">
        <f>IFERROR((INDEX(METADATA!$T$2:$T$20,MATCH(B1801,METADATA!$S$2:$S$20,0))),0)</f>
        <v>0</v>
      </c>
      <c r="E1801" s="312" t="str">
        <f t="shared" si="112"/>
        <v>LO</v>
      </c>
      <c r="F1801" s="369">
        <f>VLOOKUP(C1801,METADATA!$A$5:$H$29,IF(E1801="HI",2,IF(E1801="LO",6,10))+IF(D1801=1,2,IF(D1801=7,1,(IF(WEEKDAY(B1801)=1,2,IF(WEEKDAY(B1801)=7,1,0))))))</f>
        <v>3</v>
      </c>
      <c r="G1801" s="369">
        <f>VLOOKUP(C1801,METADATA!$J$5:$Q$29,IF(E1801="HI",2,IF(E1801="LO",6,10))+IF(D1801=1,2,IF(D1801=7,1,(IF(WEEKDAY(B1801)=1,2,IF(WEEKDAY(B1801)=7,1,0))))))</f>
        <v>3</v>
      </c>
      <c r="H1801" s="370">
        <v>13025.750061035156</v>
      </c>
      <c r="I1801" s="370">
        <v>2105.989990234375</v>
      </c>
      <c r="M1801" s="371">
        <f t="shared" si="113"/>
        <v>13194.898957230584</v>
      </c>
      <c r="N1801" s="329">
        <f t="shared" si="114"/>
        <v>0</v>
      </c>
      <c r="T1801" s="331">
        <v>0</v>
      </c>
      <c r="U1801" s="328">
        <f>VLOOKUP(C1801,METADATA!$J$5:$Q$29,IF(E1801="HI",2,IF(E1801="LO",6,10))+IF(T1801=1,2,IF(D1801=7,1,(IF(WEEKDAY(B1801)=1,2,IF(WEEKDAY(B1801)=7,1,0))))))</f>
        <v>3</v>
      </c>
      <c r="V1801" s="328">
        <f>VLOOKUP(C1801,METADATA!$A$5:$H$29,IF(E1801="HI",2,IF(E1801="LO",6,10))+IF(T1801=1,2,IF(D1801=7,1,(IF(WEEKDAY(B1801)=1,2,IF(WEEKDAY(B1801)=7,1,0))))))</f>
        <v>3</v>
      </c>
    </row>
    <row r="1802" spans="2:22">
      <c r="B1802" s="318">
        <f t="shared" si="111"/>
        <v>46187</v>
      </c>
      <c r="C1802" s="312">
        <v>22</v>
      </c>
      <c r="D1802" s="368">
        <f>IFERROR((INDEX(METADATA!$T$2:$T$20,MATCH(B1802,METADATA!$S$2:$S$20,0))),0)</f>
        <v>0</v>
      </c>
      <c r="E1802" s="312" t="str">
        <f t="shared" si="112"/>
        <v>LO</v>
      </c>
      <c r="F1802" s="369">
        <f>VLOOKUP(C1802,METADATA!$A$5:$H$29,IF(E1802="HI",2,IF(E1802="LO",6,10))+IF(D1802=1,2,IF(D1802=7,1,(IF(WEEKDAY(B1802)=1,2,IF(WEEKDAY(B1802)=7,1,0))))))</f>
        <v>3</v>
      </c>
      <c r="G1802" s="369">
        <f>VLOOKUP(C1802,METADATA!$J$5:$Q$29,IF(E1802="HI",2,IF(E1802="LO",6,10))+IF(D1802=1,2,IF(D1802=7,1,(IF(WEEKDAY(B1802)=1,2,IF(WEEKDAY(B1802)=7,1,0))))))</f>
        <v>3</v>
      </c>
      <c r="H1802" s="370">
        <v>13091.424926757813</v>
      </c>
      <c r="I1802" s="370">
        <v>2173.1274566650391</v>
      </c>
      <c r="M1802" s="371">
        <f t="shared" si="113"/>
        <v>13270.564779083339</v>
      </c>
      <c r="N1802" s="329">
        <f t="shared" si="114"/>
        <v>0</v>
      </c>
      <c r="T1802" s="331">
        <v>0</v>
      </c>
      <c r="U1802" s="328">
        <f>VLOOKUP(C1802,METADATA!$J$5:$Q$29,IF(E1802="HI",2,IF(E1802="LO",6,10))+IF(T1802=1,2,IF(D1802=7,1,(IF(WEEKDAY(B1802)=1,2,IF(WEEKDAY(B1802)=7,1,0))))))</f>
        <v>3</v>
      </c>
      <c r="V1802" s="328">
        <f>VLOOKUP(C1802,METADATA!$A$5:$H$29,IF(E1802="HI",2,IF(E1802="LO",6,10))+IF(T1802=1,2,IF(D1802=7,1,(IF(WEEKDAY(B1802)=1,2,IF(WEEKDAY(B1802)=7,1,0))))))</f>
        <v>3</v>
      </c>
    </row>
    <row r="1803" spans="2:22">
      <c r="B1803" s="318">
        <f t="shared" si="111"/>
        <v>46187</v>
      </c>
      <c r="C1803" s="312">
        <v>23</v>
      </c>
      <c r="D1803" s="368">
        <f>IFERROR((INDEX(METADATA!$T$2:$T$20,MATCH(B1803,METADATA!$S$2:$S$20,0))),0)</f>
        <v>0</v>
      </c>
      <c r="E1803" s="312" t="str">
        <f t="shared" si="112"/>
        <v>LO</v>
      </c>
      <c r="F1803" s="369">
        <f>VLOOKUP(C1803,METADATA!$A$5:$H$29,IF(E1803="HI",2,IF(E1803="LO",6,10))+IF(D1803=1,2,IF(D1803=7,1,(IF(WEEKDAY(B1803)=1,2,IF(WEEKDAY(B1803)=7,1,0))))))</f>
        <v>3</v>
      </c>
      <c r="G1803" s="369">
        <f>VLOOKUP(C1803,METADATA!$J$5:$Q$29,IF(E1803="HI",2,IF(E1803="LO",6,10))+IF(D1803=1,2,IF(D1803=7,1,(IF(WEEKDAY(B1803)=1,2,IF(WEEKDAY(B1803)=7,1,0))))))</f>
        <v>3</v>
      </c>
      <c r="H1803" s="370">
        <v>12984.374877929688</v>
      </c>
      <c r="I1803" s="370">
        <v>2076.4425506591797</v>
      </c>
      <c r="M1803" s="371">
        <f t="shared" si="113"/>
        <v>13149.357575060447</v>
      </c>
      <c r="N1803" s="329">
        <f t="shared" si="114"/>
        <v>0</v>
      </c>
      <c r="T1803" s="331">
        <v>0</v>
      </c>
      <c r="U1803" s="328">
        <f>VLOOKUP(C1803,METADATA!$J$5:$Q$29,IF(E1803="HI",2,IF(E1803="LO",6,10))+IF(T1803=1,2,IF(D1803=7,1,(IF(WEEKDAY(B1803)=1,2,IF(WEEKDAY(B1803)=7,1,0))))))</f>
        <v>3</v>
      </c>
      <c r="V1803" s="328">
        <f>VLOOKUP(C1803,METADATA!$A$5:$H$29,IF(E1803="HI",2,IF(E1803="LO",6,10))+IF(T1803=1,2,IF(D1803=7,1,(IF(WEEKDAY(B1803)=1,2,IF(WEEKDAY(B1803)=7,1,0))))))</f>
        <v>3</v>
      </c>
    </row>
    <row r="1804" spans="2:22">
      <c r="B1804" s="318">
        <f t="shared" si="111"/>
        <v>46188</v>
      </c>
      <c r="C1804" s="312">
        <v>0</v>
      </c>
      <c r="D1804" s="368">
        <f>IFERROR((INDEX(METADATA!$T$2:$T$20,MATCH(B1804,METADATA!$S$2:$S$20,0))),0)</f>
        <v>0</v>
      </c>
      <c r="E1804" s="312" t="str">
        <f t="shared" si="112"/>
        <v>LO</v>
      </c>
      <c r="F1804" s="369">
        <f>VLOOKUP(C1804,METADATA!$A$5:$H$29,IF(E1804="HI",2,IF(E1804="LO",6,10))+IF(D1804=1,2,IF(D1804=7,1,(IF(WEEKDAY(B1804)=1,2,IF(WEEKDAY(B1804)=7,1,0))))))</f>
        <v>3</v>
      </c>
      <c r="G1804" s="369">
        <f>VLOOKUP(C1804,METADATA!$J$5:$Q$29,IF(E1804="HI",2,IF(E1804="LO",6,10))+IF(D1804=1,2,IF(D1804=7,1,(IF(WEEKDAY(B1804)=1,2,IF(WEEKDAY(B1804)=7,1,0))))))</f>
        <v>3</v>
      </c>
      <c r="H1804" s="370">
        <v>12886.775085449219</v>
      </c>
      <c r="I1804" s="370">
        <v>1923.4800262451172</v>
      </c>
      <c r="M1804" s="371">
        <f t="shared" si="113"/>
        <v>13029.533664499226</v>
      </c>
      <c r="N1804" s="329">
        <f t="shared" si="114"/>
        <v>0</v>
      </c>
      <c r="T1804" s="331">
        <v>0</v>
      </c>
      <c r="U1804" s="328">
        <f>VLOOKUP(C1804,METADATA!$J$5:$Q$29,IF(E1804="HI",2,IF(E1804="LO",6,10))+IF(T1804=1,2,IF(D1804=7,1,(IF(WEEKDAY(B1804)=1,2,IF(WEEKDAY(B1804)=7,1,0))))))</f>
        <v>3</v>
      </c>
      <c r="V1804" s="328">
        <f>VLOOKUP(C1804,METADATA!$A$5:$H$29,IF(E1804="HI",2,IF(E1804="LO",6,10))+IF(T1804=1,2,IF(D1804=7,1,(IF(WEEKDAY(B1804)=1,2,IF(WEEKDAY(B1804)=7,1,0))))))</f>
        <v>3</v>
      </c>
    </row>
    <row r="1805" spans="2:22">
      <c r="B1805" s="318">
        <f t="shared" si="111"/>
        <v>46188</v>
      </c>
      <c r="C1805" s="312">
        <v>1</v>
      </c>
      <c r="D1805" s="368">
        <f>IFERROR((INDEX(METADATA!$T$2:$T$20,MATCH(B1805,METADATA!$S$2:$S$20,0))),0)</f>
        <v>0</v>
      </c>
      <c r="E1805" s="312" t="str">
        <f t="shared" si="112"/>
        <v>LO</v>
      </c>
      <c r="F1805" s="369">
        <f>VLOOKUP(C1805,METADATA!$A$5:$H$29,IF(E1805="HI",2,IF(E1805="LO",6,10))+IF(D1805=1,2,IF(D1805=7,1,(IF(WEEKDAY(B1805)=1,2,IF(WEEKDAY(B1805)=7,1,0))))))</f>
        <v>3</v>
      </c>
      <c r="G1805" s="369">
        <f>VLOOKUP(C1805,METADATA!$J$5:$Q$29,IF(E1805="HI",2,IF(E1805="LO",6,10))+IF(D1805=1,2,IF(D1805=7,1,(IF(WEEKDAY(B1805)=1,2,IF(WEEKDAY(B1805)=7,1,0))))))</f>
        <v>3</v>
      </c>
      <c r="H1805" s="370">
        <v>12736.200012207031</v>
      </c>
      <c r="I1805" s="370">
        <v>1993.2000607848167</v>
      </c>
      <c r="M1805" s="371">
        <f t="shared" si="113"/>
        <v>12891.223263649379</v>
      </c>
      <c r="N1805" s="329">
        <f t="shared" si="114"/>
        <v>0</v>
      </c>
      <c r="T1805" s="331">
        <v>0</v>
      </c>
      <c r="U1805" s="328">
        <f>VLOOKUP(C1805,METADATA!$J$5:$Q$29,IF(E1805="HI",2,IF(E1805="LO",6,10))+IF(T1805=1,2,IF(D1805=7,1,(IF(WEEKDAY(B1805)=1,2,IF(WEEKDAY(B1805)=7,1,0))))))</f>
        <v>3</v>
      </c>
      <c r="V1805" s="328">
        <f>VLOOKUP(C1805,METADATA!$A$5:$H$29,IF(E1805="HI",2,IF(E1805="LO",6,10))+IF(T1805=1,2,IF(D1805=7,1,(IF(WEEKDAY(B1805)=1,2,IF(WEEKDAY(B1805)=7,1,0))))))</f>
        <v>3</v>
      </c>
    </row>
    <row r="1806" spans="2:22">
      <c r="B1806" s="318">
        <f t="shared" si="111"/>
        <v>46188</v>
      </c>
      <c r="C1806" s="312">
        <v>2</v>
      </c>
      <c r="D1806" s="368">
        <f>IFERROR((INDEX(METADATA!$T$2:$T$20,MATCH(B1806,METADATA!$S$2:$S$20,0))),0)</f>
        <v>0</v>
      </c>
      <c r="E1806" s="312" t="str">
        <f t="shared" si="112"/>
        <v>LO</v>
      </c>
      <c r="F1806" s="369">
        <f>VLOOKUP(C1806,METADATA!$A$5:$H$29,IF(E1806="HI",2,IF(E1806="LO",6,10))+IF(D1806=1,2,IF(D1806=7,1,(IF(WEEKDAY(B1806)=1,2,IF(WEEKDAY(B1806)=7,1,0))))))</f>
        <v>3</v>
      </c>
      <c r="G1806" s="369">
        <f>VLOOKUP(C1806,METADATA!$J$5:$Q$29,IF(E1806="HI",2,IF(E1806="LO",6,10))+IF(D1806=1,2,IF(D1806=7,1,(IF(WEEKDAY(B1806)=1,2,IF(WEEKDAY(B1806)=7,1,0))))))</f>
        <v>3</v>
      </c>
      <c r="H1806" s="370">
        <v>12900.390380859375</v>
      </c>
      <c r="I1806" s="370">
        <v>2148.9775466918945</v>
      </c>
      <c r="M1806" s="371">
        <f t="shared" si="113"/>
        <v>13078.156463154697</v>
      </c>
      <c r="N1806" s="329">
        <f t="shared" si="114"/>
        <v>0</v>
      </c>
      <c r="T1806" s="331">
        <v>0</v>
      </c>
      <c r="U1806" s="328">
        <f>VLOOKUP(C1806,METADATA!$J$5:$Q$29,IF(E1806="HI",2,IF(E1806="LO",6,10))+IF(T1806=1,2,IF(D1806=7,1,(IF(WEEKDAY(B1806)=1,2,IF(WEEKDAY(B1806)=7,1,0))))))</f>
        <v>3</v>
      </c>
      <c r="V1806" s="328">
        <f>VLOOKUP(C1806,METADATA!$A$5:$H$29,IF(E1806="HI",2,IF(E1806="LO",6,10))+IF(T1806=1,2,IF(D1806=7,1,(IF(WEEKDAY(B1806)=1,2,IF(WEEKDAY(B1806)=7,1,0))))))</f>
        <v>3</v>
      </c>
    </row>
    <row r="1807" spans="2:22">
      <c r="B1807" s="318">
        <f t="shared" si="111"/>
        <v>46188</v>
      </c>
      <c r="C1807" s="312">
        <v>3</v>
      </c>
      <c r="D1807" s="368">
        <f>IFERROR((INDEX(METADATA!$T$2:$T$20,MATCH(B1807,METADATA!$S$2:$S$20,0))),0)</f>
        <v>0</v>
      </c>
      <c r="E1807" s="312" t="str">
        <f t="shared" si="112"/>
        <v>LO</v>
      </c>
      <c r="F1807" s="369">
        <f>VLOOKUP(C1807,METADATA!$A$5:$H$29,IF(E1807="HI",2,IF(E1807="LO",6,10))+IF(D1807=1,2,IF(D1807=7,1,(IF(WEEKDAY(B1807)=1,2,IF(WEEKDAY(B1807)=7,1,0))))))</f>
        <v>3</v>
      </c>
      <c r="G1807" s="369">
        <f>VLOOKUP(C1807,METADATA!$J$5:$Q$29,IF(E1807="HI",2,IF(E1807="LO",6,10))+IF(D1807=1,2,IF(D1807=7,1,(IF(WEEKDAY(B1807)=1,2,IF(WEEKDAY(B1807)=7,1,0))))))</f>
        <v>3</v>
      </c>
      <c r="H1807" s="370">
        <v>12810.000427246094</v>
      </c>
      <c r="I1807" s="370">
        <v>1942.2549819946289</v>
      </c>
      <c r="M1807" s="371">
        <f t="shared" si="113"/>
        <v>12956.406344396893</v>
      </c>
      <c r="N1807" s="329">
        <f t="shared" si="114"/>
        <v>0</v>
      </c>
      <c r="T1807" s="331">
        <v>0</v>
      </c>
      <c r="U1807" s="328">
        <f>VLOOKUP(C1807,METADATA!$J$5:$Q$29,IF(E1807="HI",2,IF(E1807="LO",6,10))+IF(T1807=1,2,IF(D1807=7,1,(IF(WEEKDAY(B1807)=1,2,IF(WEEKDAY(B1807)=7,1,0))))))</f>
        <v>3</v>
      </c>
      <c r="V1807" s="328">
        <f>VLOOKUP(C1807,METADATA!$A$5:$H$29,IF(E1807="HI",2,IF(E1807="LO",6,10))+IF(T1807=1,2,IF(D1807=7,1,(IF(WEEKDAY(B1807)=1,2,IF(WEEKDAY(B1807)=7,1,0))))))</f>
        <v>3</v>
      </c>
    </row>
    <row r="1808" spans="2:22">
      <c r="B1808" s="318">
        <f t="shared" si="111"/>
        <v>46188</v>
      </c>
      <c r="C1808" s="312">
        <v>4</v>
      </c>
      <c r="D1808" s="368">
        <f>IFERROR((INDEX(METADATA!$T$2:$T$20,MATCH(B1808,METADATA!$S$2:$S$20,0))),0)</f>
        <v>0</v>
      </c>
      <c r="E1808" s="312" t="str">
        <f t="shared" si="112"/>
        <v>LO</v>
      </c>
      <c r="F1808" s="369">
        <f>VLOOKUP(C1808,METADATA!$A$5:$H$29,IF(E1808="HI",2,IF(E1808="LO",6,10))+IF(D1808=1,2,IF(D1808=7,1,(IF(WEEKDAY(B1808)=1,2,IF(WEEKDAY(B1808)=7,1,0))))))</f>
        <v>3</v>
      </c>
      <c r="G1808" s="369">
        <f>VLOOKUP(C1808,METADATA!$J$5:$Q$29,IF(E1808="HI",2,IF(E1808="LO",6,10))+IF(D1808=1,2,IF(D1808=7,1,(IF(WEEKDAY(B1808)=1,2,IF(WEEKDAY(B1808)=7,1,0))))))</f>
        <v>3</v>
      </c>
      <c r="H1808" s="370">
        <v>12853.619812011719</v>
      </c>
      <c r="I1808" s="370">
        <v>1908.7185287475586</v>
      </c>
      <c r="M1808" s="371">
        <f t="shared" si="113"/>
        <v>12994.56612179585</v>
      </c>
      <c r="N1808" s="329">
        <f t="shared" si="114"/>
        <v>0</v>
      </c>
      <c r="T1808" s="331">
        <v>0</v>
      </c>
      <c r="U1808" s="328">
        <f>VLOOKUP(C1808,METADATA!$J$5:$Q$29,IF(E1808="HI",2,IF(E1808="LO",6,10))+IF(T1808=1,2,IF(D1808=7,1,(IF(WEEKDAY(B1808)=1,2,IF(WEEKDAY(B1808)=7,1,0))))))</f>
        <v>3</v>
      </c>
      <c r="V1808" s="328">
        <f>VLOOKUP(C1808,METADATA!$A$5:$H$29,IF(E1808="HI",2,IF(E1808="LO",6,10))+IF(T1808=1,2,IF(D1808=7,1,(IF(WEEKDAY(B1808)=1,2,IF(WEEKDAY(B1808)=7,1,0))))))</f>
        <v>3</v>
      </c>
    </row>
    <row r="1809" spans="2:22">
      <c r="B1809" s="318">
        <f t="shared" si="111"/>
        <v>46188</v>
      </c>
      <c r="C1809" s="312">
        <v>5</v>
      </c>
      <c r="D1809" s="368">
        <f>IFERROR((INDEX(METADATA!$T$2:$T$20,MATCH(B1809,METADATA!$S$2:$S$20,0))),0)</f>
        <v>0</v>
      </c>
      <c r="E1809" s="312" t="str">
        <f t="shared" si="112"/>
        <v>LO</v>
      </c>
      <c r="F1809" s="369">
        <f>VLOOKUP(C1809,METADATA!$A$5:$H$29,IF(E1809="HI",2,IF(E1809="LO",6,10))+IF(D1809=1,2,IF(D1809=7,1,(IF(WEEKDAY(B1809)=1,2,IF(WEEKDAY(B1809)=7,1,0))))))</f>
        <v>3</v>
      </c>
      <c r="G1809" s="369">
        <f>VLOOKUP(C1809,METADATA!$J$5:$Q$29,IF(E1809="HI",2,IF(E1809="LO",6,10))+IF(D1809=1,2,IF(D1809=7,1,(IF(WEEKDAY(B1809)=1,2,IF(WEEKDAY(B1809)=7,1,0))))))</f>
        <v>3</v>
      </c>
      <c r="H1809" s="370">
        <v>12977.349670410156</v>
      </c>
      <c r="I1809" s="370">
        <v>1888.7774658203125</v>
      </c>
      <c r="M1809" s="371">
        <f t="shared" si="113"/>
        <v>13114.079639207823</v>
      </c>
      <c r="N1809" s="329">
        <f t="shared" si="114"/>
        <v>0</v>
      </c>
      <c r="T1809" s="331">
        <v>0</v>
      </c>
      <c r="U1809" s="328">
        <f>VLOOKUP(C1809,METADATA!$J$5:$Q$29,IF(E1809="HI",2,IF(E1809="LO",6,10))+IF(T1809=1,2,IF(D1809=7,1,(IF(WEEKDAY(B1809)=1,2,IF(WEEKDAY(B1809)=7,1,0))))))</f>
        <v>3</v>
      </c>
      <c r="V1809" s="328">
        <f>VLOOKUP(C1809,METADATA!$A$5:$H$29,IF(E1809="HI",2,IF(E1809="LO",6,10))+IF(T1809=1,2,IF(D1809=7,1,(IF(WEEKDAY(B1809)=1,2,IF(WEEKDAY(B1809)=7,1,0))))))</f>
        <v>3</v>
      </c>
    </row>
    <row r="1810" spans="2:22">
      <c r="B1810" s="318">
        <f t="shared" si="111"/>
        <v>46188</v>
      </c>
      <c r="C1810" s="312">
        <v>6</v>
      </c>
      <c r="D1810" s="368">
        <f>IFERROR((INDEX(METADATA!$T$2:$T$20,MATCH(B1810,METADATA!$S$2:$S$20,0))),0)</f>
        <v>0</v>
      </c>
      <c r="E1810" s="312" t="str">
        <f t="shared" si="112"/>
        <v>LO</v>
      </c>
      <c r="F1810" s="369">
        <f>VLOOKUP(C1810,METADATA!$A$5:$H$29,IF(E1810="HI",2,IF(E1810="LO",6,10))+IF(D1810=1,2,IF(D1810=7,1,(IF(WEEKDAY(B1810)=1,2,IF(WEEKDAY(B1810)=7,1,0))))))</f>
        <v>2</v>
      </c>
      <c r="G1810" s="369">
        <f>VLOOKUP(C1810,METADATA!$J$5:$Q$29,IF(E1810="HI",2,IF(E1810="LO",6,10))+IF(D1810=1,2,IF(D1810=7,1,(IF(WEEKDAY(B1810)=1,2,IF(WEEKDAY(B1810)=7,1,0))))))</f>
        <v>2</v>
      </c>
      <c r="H1810" s="370">
        <v>13129.325012207031</v>
      </c>
      <c r="I1810" s="370">
        <v>1832.1599426269531</v>
      </c>
      <c r="M1810" s="371">
        <f t="shared" si="113"/>
        <v>13256.544999792819</v>
      </c>
      <c r="N1810" s="329">
        <f t="shared" si="114"/>
        <v>0</v>
      </c>
      <c r="T1810" s="331">
        <v>0</v>
      </c>
      <c r="U1810" s="328">
        <f>VLOOKUP(C1810,METADATA!$J$5:$Q$29,IF(E1810="HI",2,IF(E1810="LO",6,10))+IF(T1810=1,2,IF(D1810=7,1,(IF(WEEKDAY(B1810)=1,2,IF(WEEKDAY(B1810)=7,1,0))))))</f>
        <v>2</v>
      </c>
      <c r="V1810" s="328">
        <f>VLOOKUP(C1810,METADATA!$A$5:$H$29,IF(E1810="HI",2,IF(E1810="LO",6,10))+IF(T1810=1,2,IF(D1810=7,1,(IF(WEEKDAY(B1810)=1,2,IF(WEEKDAY(B1810)=7,1,0))))))</f>
        <v>2</v>
      </c>
    </row>
    <row r="1811" spans="2:22">
      <c r="B1811" s="318">
        <f t="shared" si="111"/>
        <v>46188</v>
      </c>
      <c r="C1811" s="312">
        <v>7</v>
      </c>
      <c r="D1811" s="368">
        <f>IFERROR((INDEX(METADATA!$T$2:$T$20,MATCH(B1811,METADATA!$S$2:$S$20,0))),0)</f>
        <v>0</v>
      </c>
      <c r="E1811" s="312" t="str">
        <f t="shared" si="112"/>
        <v>LO</v>
      </c>
      <c r="F1811" s="369">
        <f>VLOOKUP(C1811,METADATA!$A$5:$H$29,IF(E1811="HI",2,IF(E1811="LO",6,10))+IF(D1811=1,2,IF(D1811=7,1,(IF(WEEKDAY(B1811)=1,2,IF(WEEKDAY(B1811)=7,1,0))))))</f>
        <v>1</v>
      </c>
      <c r="G1811" s="369">
        <f>VLOOKUP(C1811,METADATA!$J$5:$Q$29,IF(E1811="HI",2,IF(E1811="LO",6,10))+IF(D1811=1,2,IF(D1811=7,1,(IF(WEEKDAY(B1811)=1,2,IF(WEEKDAY(B1811)=7,1,0))))))</f>
        <v>1</v>
      </c>
      <c r="H1811" s="370">
        <v>13365.424926757813</v>
      </c>
      <c r="I1811" s="370">
        <v>1916.734992980957</v>
      </c>
      <c r="M1811" s="371">
        <f t="shared" si="113"/>
        <v>13502.164882200068</v>
      </c>
      <c r="N1811" s="329">
        <f t="shared" si="114"/>
        <v>0</v>
      </c>
      <c r="T1811" s="331">
        <v>0</v>
      </c>
      <c r="U1811" s="328">
        <f>VLOOKUP(C1811,METADATA!$J$5:$Q$29,IF(E1811="HI",2,IF(E1811="LO",6,10))+IF(T1811=1,2,IF(D1811=7,1,(IF(WEEKDAY(B1811)=1,2,IF(WEEKDAY(B1811)=7,1,0))))))</f>
        <v>1</v>
      </c>
      <c r="V1811" s="328">
        <f>VLOOKUP(C1811,METADATA!$A$5:$H$29,IF(E1811="HI",2,IF(E1811="LO",6,10))+IF(T1811=1,2,IF(D1811=7,1,(IF(WEEKDAY(B1811)=1,2,IF(WEEKDAY(B1811)=7,1,0))))))</f>
        <v>1</v>
      </c>
    </row>
    <row r="1812" spans="2:22">
      <c r="B1812" s="318">
        <f t="shared" si="111"/>
        <v>46188</v>
      </c>
      <c r="C1812" s="312">
        <v>8</v>
      </c>
      <c r="D1812" s="368">
        <f>IFERROR((INDEX(METADATA!$T$2:$T$20,MATCH(B1812,METADATA!$S$2:$S$20,0))),0)</f>
        <v>0</v>
      </c>
      <c r="E1812" s="312" t="str">
        <f t="shared" si="112"/>
        <v>LO</v>
      </c>
      <c r="F1812" s="369">
        <f>VLOOKUP(C1812,METADATA!$A$5:$H$29,IF(E1812="HI",2,IF(E1812="LO",6,10))+IF(D1812=1,2,IF(D1812=7,1,(IF(WEEKDAY(B1812)=1,2,IF(WEEKDAY(B1812)=7,1,0))))))</f>
        <v>1</v>
      </c>
      <c r="G1812" s="369">
        <f>VLOOKUP(C1812,METADATA!$J$5:$Q$29,IF(E1812="HI",2,IF(E1812="LO",6,10))+IF(D1812=1,2,IF(D1812=7,1,(IF(WEEKDAY(B1812)=1,2,IF(WEEKDAY(B1812)=7,1,0))))))</f>
        <v>1</v>
      </c>
      <c r="H1812" s="370">
        <v>13338.099731445313</v>
      </c>
      <c r="I1812" s="370">
        <v>1898.2324905395508</v>
      </c>
      <c r="M1812" s="371">
        <f t="shared" si="113"/>
        <v>13472.497579666566</v>
      </c>
      <c r="N1812" s="329">
        <f t="shared" si="114"/>
        <v>0</v>
      </c>
      <c r="T1812" s="331">
        <v>0</v>
      </c>
      <c r="U1812" s="328">
        <f>VLOOKUP(C1812,METADATA!$J$5:$Q$29,IF(E1812="HI",2,IF(E1812="LO",6,10))+IF(T1812=1,2,IF(D1812=7,1,(IF(WEEKDAY(B1812)=1,2,IF(WEEKDAY(B1812)=7,1,0))))))</f>
        <v>1</v>
      </c>
      <c r="V1812" s="328">
        <f>VLOOKUP(C1812,METADATA!$A$5:$H$29,IF(E1812="HI",2,IF(E1812="LO",6,10))+IF(T1812=1,2,IF(D1812=7,1,(IF(WEEKDAY(B1812)=1,2,IF(WEEKDAY(B1812)=7,1,0))))))</f>
        <v>1</v>
      </c>
    </row>
    <row r="1813" spans="2:22">
      <c r="B1813" s="318">
        <f t="shared" si="111"/>
        <v>46188</v>
      </c>
      <c r="C1813" s="312">
        <v>9</v>
      </c>
      <c r="D1813" s="368">
        <f>IFERROR((INDEX(METADATA!$T$2:$T$20,MATCH(B1813,METADATA!$S$2:$S$20,0))),0)</f>
        <v>0</v>
      </c>
      <c r="E1813" s="312" t="str">
        <f t="shared" si="112"/>
        <v>LO</v>
      </c>
      <c r="F1813" s="369">
        <f>VLOOKUP(C1813,METADATA!$A$5:$H$29,IF(E1813="HI",2,IF(E1813="LO",6,10))+IF(D1813=1,2,IF(D1813=7,1,(IF(WEEKDAY(B1813)=1,2,IF(WEEKDAY(B1813)=7,1,0))))))</f>
        <v>2</v>
      </c>
      <c r="G1813" s="369">
        <f>VLOOKUP(C1813,METADATA!$J$5:$Q$29,IF(E1813="HI",2,IF(E1813="LO",6,10))+IF(D1813=1,2,IF(D1813=7,1,(IF(WEEKDAY(B1813)=1,2,IF(WEEKDAY(B1813)=7,1,0))))))</f>
        <v>2</v>
      </c>
      <c r="H1813" s="370">
        <v>13434.574768066406</v>
      </c>
      <c r="I1813" s="370">
        <v>1944.9374160766602</v>
      </c>
      <c r="M1813" s="371">
        <f t="shared" si="113"/>
        <v>13574.630041044267</v>
      </c>
      <c r="N1813" s="329">
        <f t="shared" si="114"/>
        <v>0</v>
      </c>
      <c r="T1813" s="331">
        <v>0</v>
      </c>
      <c r="U1813" s="328">
        <f>VLOOKUP(C1813,METADATA!$J$5:$Q$29,IF(E1813="HI",2,IF(E1813="LO",6,10))+IF(T1813=1,2,IF(D1813=7,1,(IF(WEEKDAY(B1813)=1,2,IF(WEEKDAY(B1813)=7,1,0))))))</f>
        <v>2</v>
      </c>
      <c r="V1813" s="328">
        <f>VLOOKUP(C1813,METADATA!$A$5:$H$29,IF(E1813="HI",2,IF(E1813="LO",6,10))+IF(T1813=1,2,IF(D1813=7,1,(IF(WEEKDAY(B1813)=1,2,IF(WEEKDAY(B1813)=7,1,0))))))</f>
        <v>2</v>
      </c>
    </row>
    <row r="1814" spans="2:22">
      <c r="B1814" s="318">
        <f t="shared" si="111"/>
        <v>46188</v>
      </c>
      <c r="C1814" s="312">
        <v>10</v>
      </c>
      <c r="D1814" s="368">
        <f>IFERROR((INDEX(METADATA!$T$2:$T$20,MATCH(B1814,METADATA!$S$2:$S$20,0))),0)</f>
        <v>0</v>
      </c>
      <c r="E1814" s="312" t="str">
        <f t="shared" si="112"/>
        <v>LO</v>
      </c>
      <c r="F1814" s="369">
        <f>VLOOKUP(C1814,METADATA!$A$5:$H$29,IF(E1814="HI",2,IF(E1814="LO",6,10))+IF(D1814=1,2,IF(D1814=7,1,(IF(WEEKDAY(B1814)=1,2,IF(WEEKDAY(B1814)=7,1,0))))))</f>
        <v>2</v>
      </c>
      <c r="G1814" s="369">
        <f>VLOOKUP(C1814,METADATA!$J$5:$Q$29,IF(E1814="HI",2,IF(E1814="LO",6,10))+IF(D1814=1,2,IF(D1814=7,1,(IF(WEEKDAY(B1814)=1,2,IF(WEEKDAY(B1814)=7,1,0))))))</f>
        <v>2</v>
      </c>
      <c r="H1814" s="370">
        <v>12500.499938964844</v>
      </c>
      <c r="I1814" s="370">
        <v>1733.7844835519791</v>
      </c>
      <c r="M1814" s="371">
        <f t="shared" si="113"/>
        <v>12620.162731100801</v>
      </c>
      <c r="N1814" s="329">
        <f t="shared" si="114"/>
        <v>0</v>
      </c>
      <c r="T1814" s="331">
        <v>0</v>
      </c>
      <c r="U1814" s="328">
        <f>VLOOKUP(C1814,METADATA!$J$5:$Q$29,IF(E1814="HI",2,IF(E1814="LO",6,10))+IF(T1814=1,2,IF(D1814=7,1,(IF(WEEKDAY(B1814)=1,2,IF(WEEKDAY(B1814)=7,1,0))))))</f>
        <v>2</v>
      </c>
      <c r="V1814" s="328">
        <f>VLOOKUP(C1814,METADATA!$A$5:$H$29,IF(E1814="HI",2,IF(E1814="LO",6,10))+IF(T1814=1,2,IF(D1814=7,1,(IF(WEEKDAY(B1814)=1,2,IF(WEEKDAY(B1814)=7,1,0))))))</f>
        <v>2</v>
      </c>
    </row>
    <row r="1815" spans="2:22">
      <c r="B1815" s="318">
        <f t="shared" si="111"/>
        <v>46188</v>
      </c>
      <c r="C1815" s="312">
        <v>11</v>
      </c>
      <c r="D1815" s="368">
        <f>IFERROR((INDEX(METADATA!$T$2:$T$20,MATCH(B1815,METADATA!$S$2:$S$20,0))),0)</f>
        <v>0</v>
      </c>
      <c r="E1815" s="312" t="str">
        <f t="shared" si="112"/>
        <v>LO</v>
      </c>
      <c r="F1815" s="369">
        <f>VLOOKUP(C1815,METADATA!$A$5:$H$29,IF(E1815="HI",2,IF(E1815="LO",6,10))+IF(D1815=1,2,IF(D1815=7,1,(IF(WEEKDAY(B1815)=1,2,IF(WEEKDAY(B1815)=7,1,0))))))</f>
        <v>2</v>
      </c>
      <c r="G1815" s="369">
        <f>VLOOKUP(C1815,METADATA!$J$5:$Q$29,IF(E1815="HI",2,IF(E1815="LO",6,10))+IF(D1815=1,2,IF(D1815=7,1,(IF(WEEKDAY(B1815)=1,2,IF(WEEKDAY(B1815)=7,1,0))))))</f>
        <v>2</v>
      </c>
      <c r="H1815" s="370">
        <v>12738.174865722656</v>
      </c>
      <c r="I1815" s="370">
        <v>1728.2159985899925</v>
      </c>
      <c r="M1815" s="371">
        <f t="shared" si="113"/>
        <v>12854.87570719806</v>
      </c>
      <c r="N1815" s="329">
        <f t="shared" si="114"/>
        <v>0</v>
      </c>
      <c r="T1815" s="331">
        <v>0</v>
      </c>
      <c r="U1815" s="328">
        <f>VLOOKUP(C1815,METADATA!$J$5:$Q$29,IF(E1815="HI",2,IF(E1815="LO",6,10))+IF(T1815=1,2,IF(D1815=7,1,(IF(WEEKDAY(B1815)=1,2,IF(WEEKDAY(B1815)=7,1,0))))))</f>
        <v>2</v>
      </c>
      <c r="V1815" s="328">
        <f>VLOOKUP(C1815,METADATA!$A$5:$H$29,IF(E1815="HI",2,IF(E1815="LO",6,10))+IF(T1815=1,2,IF(D1815=7,1,(IF(WEEKDAY(B1815)=1,2,IF(WEEKDAY(B1815)=7,1,0))))))</f>
        <v>2</v>
      </c>
    </row>
    <row r="1816" spans="2:22">
      <c r="B1816" s="318">
        <f t="shared" si="111"/>
        <v>46188</v>
      </c>
      <c r="C1816" s="312">
        <v>12</v>
      </c>
      <c r="D1816" s="368">
        <f>IFERROR((INDEX(METADATA!$T$2:$T$20,MATCH(B1816,METADATA!$S$2:$S$20,0))),0)</f>
        <v>0</v>
      </c>
      <c r="E1816" s="312" t="str">
        <f t="shared" si="112"/>
        <v>LO</v>
      </c>
      <c r="F1816" s="369">
        <f>VLOOKUP(C1816,METADATA!$A$5:$H$29,IF(E1816="HI",2,IF(E1816="LO",6,10))+IF(D1816=1,2,IF(D1816=7,1,(IF(WEEKDAY(B1816)=1,2,IF(WEEKDAY(B1816)=7,1,0))))))</f>
        <v>2</v>
      </c>
      <c r="G1816" s="369">
        <f>VLOOKUP(C1816,METADATA!$J$5:$Q$29,IF(E1816="HI",2,IF(E1816="LO",6,10))+IF(D1816=1,2,IF(D1816=7,1,(IF(WEEKDAY(B1816)=1,2,IF(WEEKDAY(B1816)=7,1,0))))))</f>
        <v>2</v>
      </c>
      <c r="H1816" s="370">
        <v>13190.449768066406</v>
      </c>
      <c r="I1816" s="370">
        <v>1825.4599914550781</v>
      </c>
      <c r="M1816" s="371">
        <f t="shared" si="113"/>
        <v>13316.165711806319</v>
      </c>
      <c r="N1816" s="329">
        <f t="shared" si="114"/>
        <v>0</v>
      </c>
      <c r="T1816" s="331">
        <v>0</v>
      </c>
      <c r="U1816" s="328">
        <f>VLOOKUP(C1816,METADATA!$J$5:$Q$29,IF(E1816="HI",2,IF(E1816="LO",6,10))+IF(T1816=1,2,IF(D1816=7,1,(IF(WEEKDAY(B1816)=1,2,IF(WEEKDAY(B1816)=7,1,0))))))</f>
        <v>2</v>
      </c>
      <c r="V1816" s="328">
        <f>VLOOKUP(C1816,METADATA!$A$5:$H$29,IF(E1816="HI",2,IF(E1816="LO",6,10))+IF(T1816=1,2,IF(D1816=7,1,(IF(WEEKDAY(B1816)=1,2,IF(WEEKDAY(B1816)=7,1,0))))))</f>
        <v>2</v>
      </c>
    </row>
    <row r="1817" spans="2:22">
      <c r="B1817" s="318">
        <f t="shared" si="111"/>
        <v>46188</v>
      </c>
      <c r="C1817" s="312">
        <v>13</v>
      </c>
      <c r="D1817" s="368">
        <f>IFERROR((INDEX(METADATA!$T$2:$T$20,MATCH(B1817,METADATA!$S$2:$S$20,0))),0)</f>
        <v>0</v>
      </c>
      <c r="E1817" s="312" t="str">
        <f t="shared" si="112"/>
        <v>LO</v>
      </c>
      <c r="F1817" s="369">
        <f>VLOOKUP(C1817,METADATA!$A$5:$H$29,IF(E1817="HI",2,IF(E1817="LO",6,10))+IF(D1817=1,2,IF(D1817=7,1,(IF(WEEKDAY(B1817)=1,2,IF(WEEKDAY(B1817)=7,1,0))))))</f>
        <v>2</v>
      </c>
      <c r="G1817" s="369">
        <f>VLOOKUP(C1817,METADATA!$J$5:$Q$29,IF(E1817="HI",2,IF(E1817="LO",6,10))+IF(D1817=1,2,IF(D1817=7,1,(IF(WEEKDAY(B1817)=1,2,IF(WEEKDAY(B1817)=7,1,0))))))</f>
        <v>2</v>
      </c>
      <c r="H1817" s="370">
        <v>12762.650329589844</v>
      </c>
      <c r="I1817" s="370">
        <v>1735.7800320982933</v>
      </c>
      <c r="M1817" s="371">
        <f t="shared" si="113"/>
        <v>12880.146573514252</v>
      </c>
      <c r="N1817" s="329">
        <f t="shared" si="114"/>
        <v>0</v>
      </c>
      <c r="T1817" s="331">
        <v>0</v>
      </c>
      <c r="U1817" s="328">
        <f>VLOOKUP(C1817,METADATA!$J$5:$Q$29,IF(E1817="HI",2,IF(E1817="LO",6,10))+IF(T1817=1,2,IF(D1817=7,1,(IF(WEEKDAY(B1817)=1,2,IF(WEEKDAY(B1817)=7,1,0))))))</f>
        <v>2</v>
      </c>
      <c r="V1817" s="328">
        <f>VLOOKUP(C1817,METADATA!$A$5:$H$29,IF(E1817="HI",2,IF(E1817="LO",6,10))+IF(T1817=1,2,IF(D1817=7,1,(IF(WEEKDAY(B1817)=1,2,IF(WEEKDAY(B1817)=7,1,0))))))</f>
        <v>2</v>
      </c>
    </row>
    <row r="1818" spans="2:22">
      <c r="B1818" s="318">
        <f t="shared" si="111"/>
        <v>46188</v>
      </c>
      <c r="C1818" s="312">
        <v>14</v>
      </c>
      <c r="D1818" s="368">
        <f>IFERROR((INDEX(METADATA!$T$2:$T$20,MATCH(B1818,METADATA!$S$2:$S$20,0))),0)</f>
        <v>0</v>
      </c>
      <c r="E1818" s="312" t="str">
        <f t="shared" si="112"/>
        <v>LO</v>
      </c>
      <c r="F1818" s="369">
        <f>VLOOKUP(C1818,METADATA!$A$5:$H$29,IF(E1818="HI",2,IF(E1818="LO",6,10))+IF(D1818=1,2,IF(D1818=7,1,(IF(WEEKDAY(B1818)=1,2,IF(WEEKDAY(B1818)=7,1,0))))))</f>
        <v>2</v>
      </c>
      <c r="G1818" s="369">
        <f>VLOOKUP(C1818,METADATA!$J$5:$Q$29,IF(E1818="HI",2,IF(E1818="LO",6,10))+IF(D1818=1,2,IF(D1818=7,1,(IF(WEEKDAY(B1818)=1,2,IF(WEEKDAY(B1818)=7,1,0))))))</f>
        <v>2</v>
      </c>
      <c r="H1818" s="370">
        <v>13286.600158691406</v>
      </c>
      <c r="I1818" s="370">
        <v>1985.54248046875</v>
      </c>
      <c r="M1818" s="371">
        <f t="shared" si="113"/>
        <v>13434.140192758317</v>
      </c>
      <c r="N1818" s="329">
        <f t="shared" si="114"/>
        <v>0</v>
      </c>
      <c r="T1818" s="331">
        <v>0</v>
      </c>
      <c r="U1818" s="328">
        <f>VLOOKUP(C1818,METADATA!$J$5:$Q$29,IF(E1818="HI",2,IF(E1818="LO",6,10))+IF(T1818=1,2,IF(D1818=7,1,(IF(WEEKDAY(B1818)=1,2,IF(WEEKDAY(B1818)=7,1,0))))))</f>
        <v>2</v>
      </c>
      <c r="V1818" s="328">
        <f>VLOOKUP(C1818,METADATA!$A$5:$H$29,IF(E1818="HI",2,IF(E1818="LO",6,10))+IF(T1818=1,2,IF(D1818=7,1,(IF(WEEKDAY(B1818)=1,2,IF(WEEKDAY(B1818)=7,1,0))))))</f>
        <v>2</v>
      </c>
    </row>
    <row r="1819" spans="2:22">
      <c r="B1819" s="318">
        <f t="shared" si="111"/>
        <v>46188</v>
      </c>
      <c r="C1819" s="312">
        <v>15</v>
      </c>
      <c r="D1819" s="368">
        <f>IFERROR((INDEX(METADATA!$T$2:$T$20,MATCH(B1819,METADATA!$S$2:$S$20,0))),0)</f>
        <v>0</v>
      </c>
      <c r="E1819" s="312" t="str">
        <f t="shared" si="112"/>
        <v>LO</v>
      </c>
      <c r="F1819" s="369">
        <f>VLOOKUP(C1819,METADATA!$A$5:$H$29,IF(E1819="HI",2,IF(E1819="LO",6,10))+IF(D1819=1,2,IF(D1819=7,1,(IF(WEEKDAY(B1819)=1,2,IF(WEEKDAY(B1819)=7,1,0))))))</f>
        <v>2</v>
      </c>
      <c r="G1819" s="369">
        <f>VLOOKUP(C1819,METADATA!$J$5:$Q$29,IF(E1819="HI",2,IF(E1819="LO",6,10))+IF(D1819=1,2,IF(D1819=7,1,(IF(WEEKDAY(B1819)=1,2,IF(WEEKDAY(B1819)=7,1,0))))))</f>
        <v>2</v>
      </c>
      <c r="H1819" s="370">
        <v>13438.874938964844</v>
      </c>
      <c r="I1819" s="370">
        <v>1946.8550338745117</v>
      </c>
      <c r="M1819" s="371">
        <f t="shared" si="113"/>
        <v>13579.160656979497</v>
      </c>
      <c r="N1819" s="329">
        <f t="shared" si="114"/>
        <v>0</v>
      </c>
      <c r="T1819" s="331">
        <v>0</v>
      </c>
      <c r="U1819" s="328">
        <f>VLOOKUP(C1819,METADATA!$J$5:$Q$29,IF(E1819="HI",2,IF(E1819="LO",6,10))+IF(T1819=1,2,IF(D1819=7,1,(IF(WEEKDAY(B1819)=1,2,IF(WEEKDAY(B1819)=7,1,0))))))</f>
        <v>2</v>
      </c>
      <c r="V1819" s="328">
        <f>VLOOKUP(C1819,METADATA!$A$5:$H$29,IF(E1819="HI",2,IF(E1819="LO",6,10))+IF(T1819=1,2,IF(D1819=7,1,(IF(WEEKDAY(B1819)=1,2,IF(WEEKDAY(B1819)=7,1,0))))))</f>
        <v>2</v>
      </c>
    </row>
    <row r="1820" spans="2:22">
      <c r="B1820" s="318">
        <f t="shared" ref="B1820:B1883" si="115">B1796+1</f>
        <v>46188</v>
      </c>
      <c r="C1820" s="312">
        <v>16</v>
      </c>
      <c r="D1820" s="368">
        <f>IFERROR((INDEX(METADATA!$T$2:$T$20,MATCH(B1820,METADATA!$S$2:$S$20,0))),0)</f>
        <v>0</v>
      </c>
      <c r="E1820" s="312" t="str">
        <f t="shared" si="112"/>
        <v>LO</v>
      </c>
      <c r="F1820" s="369">
        <f>VLOOKUP(C1820,METADATA!$A$5:$H$29,IF(E1820="HI",2,IF(E1820="LO",6,10))+IF(D1820=1,2,IF(D1820=7,1,(IF(WEEKDAY(B1820)=1,2,IF(WEEKDAY(B1820)=7,1,0))))))</f>
        <v>2</v>
      </c>
      <c r="G1820" s="369">
        <f>VLOOKUP(C1820,METADATA!$J$5:$Q$29,IF(E1820="HI",2,IF(E1820="LO",6,10))+IF(D1820=1,2,IF(D1820=7,1,(IF(WEEKDAY(B1820)=1,2,IF(WEEKDAY(B1820)=7,1,0))))))</f>
        <v>2</v>
      </c>
      <c r="H1820" s="370">
        <v>13380.000122070313</v>
      </c>
      <c r="I1820" s="370">
        <v>1894.5625228881836</v>
      </c>
      <c r="M1820" s="371">
        <f t="shared" si="113"/>
        <v>13513.466262204305</v>
      </c>
      <c r="N1820" s="329">
        <f t="shared" si="114"/>
        <v>0</v>
      </c>
      <c r="T1820" s="331">
        <v>0</v>
      </c>
      <c r="U1820" s="328">
        <f>VLOOKUP(C1820,METADATA!$J$5:$Q$29,IF(E1820="HI",2,IF(E1820="LO",6,10))+IF(T1820=1,2,IF(D1820=7,1,(IF(WEEKDAY(B1820)=1,2,IF(WEEKDAY(B1820)=7,1,0))))))</f>
        <v>2</v>
      </c>
      <c r="V1820" s="328">
        <f>VLOOKUP(C1820,METADATA!$A$5:$H$29,IF(E1820="HI",2,IF(E1820="LO",6,10))+IF(T1820=1,2,IF(D1820=7,1,(IF(WEEKDAY(B1820)=1,2,IF(WEEKDAY(B1820)=7,1,0))))))</f>
        <v>2</v>
      </c>
    </row>
    <row r="1821" spans="2:22">
      <c r="B1821" s="318">
        <f t="shared" si="115"/>
        <v>46188</v>
      </c>
      <c r="C1821" s="312">
        <v>17</v>
      </c>
      <c r="D1821" s="368">
        <f>IFERROR((INDEX(METADATA!$T$2:$T$20,MATCH(B1821,METADATA!$S$2:$S$20,0))),0)</f>
        <v>0</v>
      </c>
      <c r="E1821" s="312" t="str">
        <f t="shared" si="112"/>
        <v>LO</v>
      </c>
      <c r="F1821" s="369">
        <f>VLOOKUP(C1821,METADATA!$A$5:$H$29,IF(E1821="HI",2,IF(E1821="LO",6,10))+IF(D1821=1,2,IF(D1821=7,1,(IF(WEEKDAY(B1821)=1,2,IF(WEEKDAY(B1821)=7,1,0))))))</f>
        <v>2</v>
      </c>
      <c r="G1821" s="369">
        <f>VLOOKUP(C1821,METADATA!$J$5:$Q$29,IF(E1821="HI",2,IF(E1821="LO",6,10))+IF(D1821=1,2,IF(D1821=7,1,(IF(WEEKDAY(B1821)=1,2,IF(WEEKDAY(B1821)=7,1,0))))))</f>
        <v>2</v>
      </c>
      <c r="H1821" s="370">
        <v>13267.425048828125</v>
      </c>
      <c r="I1821" s="370">
        <v>1886.5899658203125</v>
      </c>
      <c r="M1821" s="371">
        <f t="shared" si="113"/>
        <v>13400.887624534647</v>
      </c>
      <c r="N1821" s="329">
        <f t="shared" si="114"/>
        <v>0</v>
      </c>
      <c r="T1821" s="331">
        <v>0</v>
      </c>
      <c r="U1821" s="328">
        <f>VLOOKUP(C1821,METADATA!$J$5:$Q$29,IF(E1821="HI",2,IF(E1821="LO",6,10))+IF(T1821=1,2,IF(D1821=7,1,(IF(WEEKDAY(B1821)=1,2,IF(WEEKDAY(B1821)=7,1,0))))))</f>
        <v>2</v>
      </c>
      <c r="V1821" s="328">
        <f>VLOOKUP(C1821,METADATA!$A$5:$H$29,IF(E1821="HI",2,IF(E1821="LO",6,10))+IF(T1821=1,2,IF(D1821=7,1,(IF(WEEKDAY(B1821)=1,2,IF(WEEKDAY(B1821)=7,1,0))))))</f>
        <v>2</v>
      </c>
    </row>
    <row r="1822" spans="2:22">
      <c r="B1822" s="318">
        <f t="shared" si="115"/>
        <v>46188</v>
      </c>
      <c r="C1822" s="312">
        <v>18</v>
      </c>
      <c r="D1822" s="368">
        <f>IFERROR((INDEX(METADATA!$T$2:$T$20,MATCH(B1822,METADATA!$S$2:$S$20,0))),0)</f>
        <v>0</v>
      </c>
      <c r="E1822" s="312" t="str">
        <f t="shared" si="112"/>
        <v>LO</v>
      </c>
      <c r="F1822" s="369">
        <f>VLOOKUP(C1822,METADATA!$A$5:$H$29,IF(E1822="HI",2,IF(E1822="LO",6,10))+IF(D1822=1,2,IF(D1822=7,1,(IF(WEEKDAY(B1822)=1,2,IF(WEEKDAY(B1822)=7,1,0))))))</f>
        <v>1</v>
      </c>
      <c r="G1822" s="369">
        <f>VLOOKUP(C1822,METADATA!$J$5:$Q$29,IF(E1822="HI",2,IF(E1822="LO",6,10))+IF(D1822=1,2,IF(D1822=7,1,(IF(WEEKDAY(B1822)=1,2,IF(WEEKDAY(B1822)=7,1,0))))))</f>
        <v>1</v>
      </c>
      <c r="H1822" s="370">
        <v>13367.675048828125</v>
      </c>
      <c r="I1822" s="370">
        <v>1964.1849594116211</v>
      </c>
      <c r="M1822" s="371">
        <f t="shared" si="113"/>
        <v>13511.208634531586</v>
      </c>
      <c r="N1822" s="329">
        <f t="shared" si="114"/>
        <v>0</v>
      </c>
      <c r="T1822" s="331">
        <v>0</v>
      </c>
      <c r="U1822" s="328">
        <f>VLOOKUP(C1822,METADATA!$J$5:$Q$29,IF(E1822="HI",2,IF(E1822="LO",6,10))+IF(T1822=1,2,IF(D1822=7,1,(IF(WEEKDAY(B1822)=1,2,IF(WEEKDAY(B1822)=7,1,0))))))</f>
        <v>1</v>
      </c>
      <c r="V1822" s="328">
        <f>VLOOKUP(C1822,METADATA!$A$5:$H$29,IF(E1822="HI",2,IF(E1822="LO",6,10))+IF(T1822=1,2,IF(D1822=7,1,(IF(WEEKDAY(B1822)=1,2,IF(WEEKDAY(B1822)=7,1,0))))))</f>
        <v>1</v>
      </c>
    </row>
    <row r="1823" spans="2:22">
      <c r="B1823" s="318">
        <f t="shared" si="115"/>
        <v>46188</v>
      </c>
      <c r="C1823" s="312">
        <v>19</v>
      </c>
      <c r="D1823" s="368">
        <f>IFERROR((INDEX(METADATA!$T$2:$T$20,MATCH(B1823,METADATA!$S$2:$S$20,0))),0)</f>
        <v>0</v>
      </c>
      <c r="E1823" s="312" t="str">
        <f t="shared" si="112"/>
        <v>LO</v>
      </c>
      <c r="F1823" s="369">
        <f>VLOOKUP(C1823,METADATA!$A$5:$H$29,IF(E1823="HI",2,IF(E1823="LO",6,10))+IF(D1823=1,2,IF(D1823=7,1,(IF(WEEKDAY(B1823)=1,2,IF(WEEKDAY(B1823)=7,1,0))))))</f>
        <v>1</v>
      </c>
      <c r="G1823" s="369">
        <f>VLOOKUP(C1823,METADATA!$J$5:$Q$29,IF(E1823="HI",2,IF(E1823="LO",6,10))+IF(D1823=1,2,IF(D1823=7,1,(IF(WEEKDAY(B1823)=1,2,IF(WEEKDAY(B1823)=7,1,0))))))</f>
        <v>1</v>
      </c>
      <c r="H1823" s="370">
        <v>13495.89990234375</v>
      </c>
      <c r="I1823" s="370">
        <v>2039.2324829101563</v>
      </c>
      <c r="M1823" s="371">
        <f t="shared" si="113"/>
        <v>13649.094596105559</v>
      </c>
      <c r="N1823" s="329">
        <f t="shared" si="114"/>
        <v>0</v>
      </c>
      <c r="T1823" s="331">
        <v>0</v>
      </c>
      <c r="U1823" s="328">
        <f>VLOOKUP(C1823,METADATA!$J$5:$Q$29,IF(E1823="HI",2,IF(E1823="LO",6,10))+IF(T1823=1,2,IF(D1823=7,1,(IF(WEEKDAY(B1823)=1,2,IF(WEEKDAY(B1823)=7,1,0))))))</f>
        <v>1</v>
      </c>
      <c r="V1823" s="328">
        <f>VLOOKUP(C1823,METADATA!$A$5:$H$29,IF(E1823="HI",2,IF(E1823="LO",6,10))+IF(T1823=1,2,IF(D1823=7,1,(IF(WEEKDAY(B1823)=1,2,IF(WEEKDAY(B1823)=7,1,0))))))</f>
        <v>1</v>
      </c>
    </row>
    <row r="1824" spans="2:22">
      <c r="B1824" s="318">
        <f t="shared" si="115"/>
        <v>46188</v>
      </c>
      <c r="C1824" s="312">
        <v>20</v>
      </c>
      <c r="D1824" s="368">
        <f>IFERROR((INDEX(METADATA!$T$2:$T$20,MATCH(B1824,METADATA!$S$2:$S$20,0))),0)</f>
        <v>0</v>
      </c>
      <c r="E1824" s="312" t="str">
        <f t="shared" si="112"/>
        <v>LO</v>
      </c>
      <c r="F1824" s="369">
        <f>VLOOKUP(C1824,METADATA!$A$5:$H$29,IF(E1824="HI",2,IF(E1824="LO",6,10))+IF(D1824=1,2,IF(D1824=7,1,(IF(WEEKDAY(B1824)=1,2,IF(WEEKDAY(B1824)=7,1,0))))))</f>
        <v>1</v>
      </c>
      <c r="G1824" s="369">
        <f>VLOOKUP(C1824,METADATA!$J$5:$Q$29,IF(E1824="HI",2,IF(E1824="LO",6,10))+IF(D1824=1,2,IF(D1824=7,1,(IF(WEEKDAY(B1824)=1,2,IF(WEEKDAY(B1824)=7,1,0))))))</f>
        <v>1</v>
      </c>
      <c r="H1824" s="370">
        <v>13499.924987792969</v>
      </c>
      <c r="I1824" s="370">
        <v>1954.5824966430664</v>
      </c>
      <c r="M1824" s="371">
        <f t="shared" si="113"/>
        <v>13640.687937645242</v>
      </c>
      <c r="N1824" s="329">
        <f t="shared" si="114"/>
        <v>0</v>
      </c>
      <c r="T1824" s="331">
        <v>0</v>
      </c>
      <c r="U1824" s="328">
        <f>VLOOKUP(C1824,METADATA!$J$5:$Q$29,IF(E1824="HI",2,IF(E1824="LO",6,10))+IF(T1824=1,2,IF(D1824=7,1,(IF(WEEKDAY(B1824)=1,2,IF(WEEKDAY(B1824)=7,1,0))))))</f>
        <v>1</v>
      </c>
      <c r="V1824" s="328">
        <f>VLOOKUP(C1824,METADATA!$A$5:$H$29,IF(E1824="HI",2,IF(E1824="LO",6,10))+IF(T1824=1,2,IF(D1824=7,1,(IF(WEEKDAY(B1824)=1,2,IF(WEEKDAY(B1824)=7,1,0))))))</f>
        <v>1</v>
      </c>
    </row>
    <row r="1825" spans="2:22">
      <c r="B1825" s="318">
        <f t="shared" si="115"/>
        <v>46188</v>
      </c>
      <c r="C1825" s="312">
        <v>21</v>
      </c>
      <c r="D1825" s="368">
        <f>IFERROR((INDEX(METADATA!$T$2:$T$20,MATCH(B1825,METADATA!$S$2:$S$20,0))),0)</f>
        <v>0</v>
      </c>
      <c r="E1825" s="312" t="str">
        <f t="shared" si="112"/>
        <v>LO</v>
      </c>
      <c r="F1825" s="369">
        <f>VLOOKUP(C1825,METADATA!$A$5:$H$29,IF(E1825="HI",2,IF(E1825="LO",6,10))+IF(D1825=1,2,IF(D1825=7,1,(IF(WEEKDAY(B1825)=1,2,IF(WEEKDAY(B1825)=7,1,0))))))</f>
        <v>2</v>
      </c>
      <c r="G1825" s="369">
        <f>VLOOKUP(C1825,METADATA!$J$5:$Q$29,IF(E1825="HI",2,IF(E1825="LO",6,10))+IF(D1825=1,2,IF(D1825=7,1,(IF(WEEKDAY(B1825)=1,2,IF(WEEKDAY(B1825)=7,1,0))))))</f>
        <v>2</v>
      </c>
      <c r="H1825" s="370">
        <v>13397.299987792969</v>
      </c>
      <c r="I1825" s="370">
        <v>1882.1024780273438</v>
      </c>
      <c r="M1825" s="371">
        <f t="shared" si="113"/>
        <v>13528.85644467832</v>
      </c>
      <c r="N1825" s="329">
        <f t="shared" si="114"/>
        <v>0</v>
      </c>
      <c r="T1825" s="331">
        <v>0</v>
      </c>
      <c r="U1825" s="328">
        <f>VLOOKUP(C1825,METADATA!$J$5:$Q$29,IF(E1825="HI",2,IF(E1825="LO",6,10))+IF(T1825=1,2,IF(D1825=7,1,(IF(WEEKDAY(B1825)=1,2,IF(WEEKDAY(B1825)=7,1,0))))))</f>
        <v>2</v>
      </c>
      <c r="V1825" s="328">
        <f>VLOOKUP(C1825,METADATA!$A$5:$H$29,IF(E1825="HI",2,IF(E1825="LO",6,10))+IF(T1825=1,2,IF(D1825=7,1,(IF(WEEKDAY(B1825)=1,2,IF(WEEKDAY(B1825)=7,1,0))))))</f>
        <v>2</v>
      </c>
    </row>
    <row r="1826" spans="2:22">
      <c r="B1826" s="318">
        <f t="shared" si="115"/>
        <v>46188</v>
      </c>
      <c r="C1826" s="312">
        <v>22</v>
      </c>
      <c r="D1826" s="368">
        <f>IFERROR((INDEX(METADATA!$T$2:$T$20,MATCH(B1826,METADATA!$S$2:$S$20,0))),0)</f>
        <v>0</v>
      </c>
      <c r="E1826" s="312" t="str">
        <f t="shared" si="112"/>
        <v>LO</v>
      </c>
      <c r="F1826" s="369">
        <f>VLOOKUP(C1826,METADATA!$A$5:$H$29,IF(E1826="HI",2,IF(E1826="LO",6,10))+IF(D1826=1,2,IF(D1826=7,1,(IF(WEEKDAY(B1826)=1,2,IF(WEEKDAY(B1826)=7,1,0))))))</f>
        <v>3</v>
      </c>
      <c r="G1826" s="369">
        <f>VLOOKUP(C1826,METADATA!$J$5:$Q$29,IF(E1826="HI",2,IF(E1826="LO",6,10))+IF(D1826=1,2,IF(D1826=7,1,(IF(WEEKDAY(B1826)=1,2,IF(WEEKDAY(B1826)=7,1,0))))))</f>
        <v>3</v>
      </c>
      <c r="H1826" s="370">
        <v>13456.074645996094</v>
      </c>
      <c r="I1826" s="370">
        <v>2096.712516784668</v>
      </c>
      <c r="M1826" s="371">
        <f t="shared" si="113"/>
        <v>13618.448819768733</v>
      </c>
      <c r="N1826" s="329">
        <f t="shared" si="114"/>
        <v>0</v>
      </c>
      <c r="T1826" s="331">
        <v>0</v>
      </c>
      <c r="U1826" s="328">
        <f>VLOOKUP(C1826,METADATA!$J$5:$Q$29,IF(E1826="HI",2,IF(E1826="LO",6,10))+IF(T1826=1,2,IF(D1826=7,1,(IF(WEEKDAY(B1826)=1,2,IF(WEEKDAY(B1826)=7,1,0))))))</f>
        <v>3</v>
      </c>
      <c r="V1826" s="328">
        <f>VLOOKUP(C1826,METADATA!$A$5:$H$29,IF(E1826="HI",2,IF(E1826="LO",6,10))+IF(T1826=1,2,IF(D1826=7,1,(IF(WEEKDAY(B1826)=1,2,IF(WEEKDAY(B1826)=7,1,0))))))</f>
        <v>3</v>
      </c>
    </row>
    <row r="1827" spans="2:22">
      <c r="B1827" s="318">
        <f t="shared" si="115"/>
        <v>46188</v>
      </c>
      <c r="C1827" s="312">
        <v>23</v>
      </c>
      <c r="D1827" s="368">
        <f>IFERROR((INDEX(METADATA!$T$2:$T$20,MATCH(B1827,METADATA!$S$2:$S$20,0))),0)</f>
        <v>0</v>
      </c>
      <c r="E1827" s="312" t="str">
        <f t="shared" si="112"/>
        <v>LO</v>
      </c>
      <c r="F1827" s="369">
        <f>VLOOKUP(C1827,METADATA!$A$5:$H$29,IF(E1827="HI",2,IF(E1827="LO",6,10))+IF(D1827=1,2,IF(D1827=7,1,(IF(WEEKDAY(B1827)=1,2,IF(WEEKDAY(B1827)=7,1,0))))))</f>
        <v>3</v>
      </c>
      <c r="G1827" s="369">
        <f>VLOOKUP(C1827,METADATA!$J$5:$Q$29,IF(E1827="HI",2,IF(E1827="LO",6,10))+IF(D1827=1,2,IF(D1827=7,1,(IF(WEEKDAY(B1827)=1,2,IF(WEEKDAY(B1827)=7,1,0))))))</f>
        <v>3</v>
      </c>
      <c r="H1827" s="370">
        <v>13590.749877929688</v>
      </c>
      <c r="I1827" s="370">
        <v>2167.0825347900391</v>
      </c>
      <c r="M1827" s="371">
        <f t="shared" si="113"/>
        <v>13762.43906279108</v>
      </c>
      <c r="N1827" s="329">
        <f t="shared" si="114"/>
        <v>0</v>
      </c>
      <c r="T1827" s="331">
        <v>0</v>
      </c>
      <c r="U1827" s="328">
        <f>VLOOKUP(C1827,METADATA!$J$5:$Q$29,IF(E1827="HI",2,IF(E1827="LO",6,10))+IF(T1827=1,2,IF(D1827=7,1,(IF(WEEKDAY(B1827)=1,2,IF(WEEKDAY(B1827)=7,1,0))))))</f>
        <v>3</v>
      </c>
      <c r="V1827" s="328">
        <f>VLOOKUP(C1827,METADATA!$A$5:$H$29,IF(E1827="HI",2,IF(E1827="LO",6,10))+IF(T1827=1,2,IF(D1827=7,1,(IF(WEEKDAY(B1827)=1,2,IF(WEEKDAY(B1827)=7,1,0))))))</f>
        <v>3</v>
      </c>
    </row>
    <row r="1828" spans="2:22">
      <c r="B1828" s="318">
        <f t="shared" si="115"/>
        <v>46189</v>
      </c>
      <c r="C1828" s="312">
        <v>0</v>
      </c>
      <c r="D1828" s="368">
        <f>IFERROR((INDEX(METADATA!$T$2:$T$20,MATCH(B1828,METADATA!$S$2:$S$20,0))),0)</f>
        <v>7</v>
      </c>
      <c r="E1828" s="312" t="str">
        <f t="shared" si="112"/>
        <v>LO</v>
      </c>
      <c r="F1828" s="369">
        <f>VLOOKUP(C1828,METADATA!$A$5:$H$29,IF(E1828="HI",2,IF(E1828="LO",6,10))+IF(D1828=1,2,IF(D1828=7,1,(IF(WEEKDAY(B1828)=1,2,IF(WEEKDAY(B1828)=7,1,0))))))</f>
        <v>3</v>
      </c>
      <c r="G1828" s="369">
        <f>VLOOKUP(C1828,METADATA!$J$5:$Q$29,IF(E1828="HI",2,IF(E1828="LO",6,10))+IF(D1828=1,2,IF(D1828=7,1,(IF(WEEKDAY(B1828)=1,2,IF(WEEKDAY(B1828)=7,1,0))))))</f>
        <v>3</v>
      </c>
      <c r="H1828" s="370">
        <v>13480.549499511719</v>
      </c>
      <c r="I1828" s="370">
        <v>2096.1100158691406</v>
      </c>
      <c r="M1828" s="371">
        <f t="shared" si="113"/>
        <v>13642.539793140153</v>
      </c>
      <c r="N1828" s="329">
        <f t="shared" si="114"/>
        <v>0</v>
      </c>
      <c r="T1828" s="331">
        <v>0</v>
      </c>
      <c r="U1828" s="328">
        <f>VLOOKUP(C1828,METADATA!$J$5:$Q$29,IF(E1828="HI",2,IF(E1828="LO",6,10))+IF(T1828=1,2,IF(D1828=7,1,(IF(WEEKDAY(B1828)=1,2,IF(WEEKDAY(B1828)=7,1,0))))))</f>
        <v>3</v>
      </c>
      <c r="V1828" s="328">
        <f>VLOOKUP(C1828,METADATA!$A$5:$H$29,IF(E1828="HI",2,IF(E1828="LO",6,10))+IF(T1828=1,2,IF(D1828=7,1,(IF(WEEKDAY(B1828)=1,2,IF(WEEKDAY(B1828)=7,1,0))))))</f>
        <v>3</v>
      </c>
    </row>
    <row r="1829" spans="2:22">
      <c r="B1829" s="318">
        <f t="shared" si="115"/>
        <v>46189</v>
      </c>
      <c r="C1829" s="312">
        <v>1</v>
      </c>
      <c r="D1829" s="368">
        <f>IFERROR((INDEX(METADATA!$T$2:$T$20,MATCH(B1829,METADATA!$S$2:$S$20,0))),0)</f>
        <v>7</v>
      </c>
      <c r="E1829" s="312" t="str">
        <f t="shared" si="112"/>
        <v>LO</v>
      </c>
      <c r="F1829" s="369">
        <f>VLOOKUP(C1829,METADATA!$A$5:$H$29,IF(E1829="HI",2,IF(E1829="LO",6,10))+IF(D1829=1,2,IF(D1829=7,1,(IF(WEEKDAY(B1829)=1,2,IF(WEEKDAY(B1829)=7,1,0))))))</f>
        <v>3</v>
      </c>
      <c r="G1829" s="369">
        <f>VLOOKUP(C1829,METADATA!$J$5:$Q$29,IF(E1829="HI",2,IF(E1829="LO",6,10))+IF(D1829=1,2,IF(D1829=7,1,(IF(WEEKDAY(B1829)=1,2,IF(WEEKDAY(B1829)=7,1,0))))))</f>
        <v>3</v>
      </c>
      <c r="H1829" s="370">
        <v>13550.899780273438</v>
      </c>
      <c r="I1829" s="370">
        <v>2197.3099899291992</v>
      </c>
      <c r="M1829" s="371">
        <f t="shared" si="113"/>
        <v>13727.89335793578</v>
      </c>
      <c r="N1829" s="329">
        <f t="shared" si="114"/>
        <v>0</v>
      </c>
      <c r="T1829" s="331">
        <v>0</v>
      </c>
      <c r="U1829" s="328">
        <f>VLOOKUP(C1829,METADATA!$J$5:$Q$29,IF(E1829="HI",2,IF(E1829="LO",6,10))+IF(T1829=1,2,IF(D1829=7,1,(IF(WEEKDAY(B1829)=1,2,IF(WEEKDAY(B1829)=7,1,0))))))</f>
        <v>3</v>
      </c>
      <c r="V1829" s="328">
        <f>VLOOKUP(C1829,METADATA!$A$5:$H$29,IF(E1829="HI",2,IF(E1829="LO",6,10))+IF(T1829=1,2,IF(D1829=7,1,(IF(WEEKDAY(B1829)=1,2,IF(WEEKDAY(B1829)=7,1,0))))))</f>
        <v>3</v>
      </c>
    </row>
    <row r="1830" spans="2:22">
      <c r="B1830" s="318">
        <f t="shared" si="115"/>
        <v>46189</v>
      </c>
      <c r="C1830" s="312">
        <v>2</v>
      </c>
      <c r="D1830" s="368">
        <f>IFERROR((INDEX(METADATA!$T$2:$T$20,MATCH(B1830,METADATA!$S$2:$S$20,0))),0)</f>
        <v>7</v>
      </c>
      <c r="E1830" s="312" t="str">
        <f t="shared" si="112"/>
        <v>LO</v>
      </c>
      <c r="F1830" s="369">
        <f>VLOOKUP(C1830,METADATA!$A$5:$H$29,IF(E1830="HI",2,IF(E1830="LO",6,10))+IF(D1830=1,2,IF(D1830=7,1,(IF(WEEKDAY(B1830)=1,2,IF(WEEKDAY(B1830)=7,1,0))))))</f>
        <v>3</v>
      </c>
      <c r="G1830" s="369">
        <f>VLOOKUP(C1830,METADATA!$J$5:$Q$29,IF(E1830="HI",2,IF(E1830="LO",6,10))+IF(D1830=1,2,IF(D1830=7,1,(IF(WEEKDAY(B1830)=1,2,IF(WEEKDAY(B1830)=7,1,0))))))</f>
        <v>3</v>
      </c>
      <c r="H1830" s="370">
        <v>13594.934875488281</v>
      </c>
      <c r="I1830" s="370">
        <v>2330.9700622558594</v>
      </c>
      <c r="M1830" s="371">
        <f t="shared" si="113"/>
        <v>13793.319966559924</v>
      </c>
      <c r="N1830" s="329">
        <f t="shared" si="114"/>
        <v>0</v>
      </c>
      <c r="T1830" s="331">
        <v>0</v>
      </c>
      <c r="U1830" s="328">
        <f>VLOOKUP(C1830,METADATA!$J$5:$Q$29,IF(E1830="HI",2,IF(E1830="LO",6,10))+IF(T1830=1,2,IF(D1830=7,1,(IF(WEEKDAY(B1830)=1,2,IF(WEEKDAY(B1830)=7,1,0))))))</f>
        <v>3</v>
      </c>
      <c r="V1830" s="328">
        <f>VLOOKUP(C1830,METADATA!$A$5:$H$29,IF(E1830="HI",2,IF(E1830="LO",6,10))+IF(T1830=1,2,IF(D1830=7,1,(IF(WEEKDAY(B1830)=1,2,IF(WEEKDAY(B1830)=7,1,0))))))</f>
        <v>3</v>
      </c>
    </row>
    <row r="1831" spans="2:22">
      <c r="B1831" s="318">
        <f t="shared" si="115"/>
        <v>46189</v>
      </c>
      <c r="C1831" s="312">
        <v>3</v>
      </c>
      <c r="D1831" s="368">
        <f>IFERROR((INDEX(METADATA!$T$2:$T$20,MATCH(B1831,METADATA!$S$2:$S$20,0))),0)</f>
        <v>7</v>
      </c>
      <c r="E1831" s="312" t="str">
        <f t="shared" si="112"/>
        <v>LO</v>
      </c>
      <c r="F1831" s="369">
        <f>VLOOKUP(C1831,METADATA!$A$5:$H$29,IF(E1831="HI",2,IF(E1831="LO",6,10))+IF(D1831=1,2,IF(D1831=7,1,(IF(WEEKDAY(B1831)=1,2,IF(WEEKDAY(B1831)=7,1,0))))))</f>
        <v>3</v>
      </c>
      <c r="G1831" s="369">
        <f>VLOOKUP(C1831,METADATA!$J$5:$Q$29,IF(E1831="HI",2,IF(E1831="LO",6,10))+IF(D1831=1,2,IF(D1831=7,1,(IF(WEEKDAY(B1831)=1,2,IF(WEEKDAY(B1831)=7,1,0))))))</f>
        <v>3</v>
      </c>
      <c r="H1831" s="370">
        <v>13542.730041503906</v>
      </c>
      <c r="I1831" s="370">
        <v>2238.1374664306641</v>
      </c>
      <c r="M1831" s="371">
        <f t="shared" si="113"/>
        <v>13726.426931131535</v>
      </c>
      <c r="N1831" s="329">
        <f t="shared" si="114"/>
        <v>0</v>
      </c>
      <c r="T1831" s="331">
        <v>0</v>
      </c>
      <c r="U1831" s="328">
        <f>VLOOKUP(C1831,METADATA!$J$5:$Q$29,IF(E1831="HI",2,IF(E1831="LO",6,10))+IF(T1831=1,2,IF(D1831=7,1,(IF(WEEKDAY(B1831)=1,2,IF(WEEKDAY(B1831)=7,1,0))))))</f>
        <v>3</v>
      </c>
      <c r="V1831" s="328">
        <f>VLOOKUP(C1831,METADATA!$A$5:$H$29,IF(E1831="HI",2,IF(E1831="LO",6,10))+IF(T1831=1,2,IF(D1831=7,1,(IF(WEEKDAY(B1831)=1,2,IF(WEEKDAY(B1831)=7,1,0))))))</f>
        <v>3</v>
      </c>
    </row>
    <row r="1832" spans="2:22">
      <c r="B1832" s="318">
        <f t="shared" si="115"/>
        <v>46189</v>
      </c>
      <c r="C1832" s="312">
        <v>4</v>
      </c>
      <c r="D1832" s="368">
        <f>IFERROR((INDEX(METADATA!$T$2:$T$20,MATCH(B1832,METADATA!$S$2:$S$20,0))),0)</f>
        <v>7</v>
      </c>
      <c r="E1832" s="312" t="str">
        <f t="shared" si="112"/>
        <v>LO</v>
      </c>
      <c r="F1832" s="369">
        <f>VLOOKUP(C1832,METADATA!$A$5:$H$29,IF(E1832="HI",2,IF(E1832="LO",6,10))+IF(D1832=1,2,IF(D1832=7,1,(IF(WEEKDAY(B1832)=1,2,IF(WEEKDAY(B1832)=7,1,0))))))</f>
        <v>3</v>
      </c>
      <c r="G1832" s="369">
        <f>VLOOKUP(C1832,METADATA!$J$5:$Q$29,IF(E1832="HI",2,IF(E1832="LO",6,10))+IF(D1832=1,2,IF(D1832=7,1,(IF(WEEKDAY(B1832)=1,2,IF(WEEKDAY(B1832)=7,1,0))))))</f>
        <v>3</v>
      </c>
      <c r="H1832" s="370">
        <v>13669.5751953125</v>
      </c>
      <c r="I1832" s="370">
        <v>2327.4750213623047</v>
      </c>
      <c r="M1832" s="371">
        <f t="shared" si="113"/>
        <v>13866.305419806973</v>
      </c>
      <c r="N1832" s="329">
        <f t="shared" si="114"/>
        <v>0</v>
      </c>
      <c r="T1832" s="331">
        <v>0</v>
      </c>
      <c r="U1832" s="328">
        <f>VLOOKUP(C1832,METADATA!$J$5:$Q$29,IF(E1832="HI",2,IF(E1832="LO",6,10))+IF(T1832=1,2,IF(D1832=7,1,(IF(WEEKDAY(B1832)=1,2,IF(WEEKDAY(B1832)=7,1,0))))))</f>
        <v>3</v>
      </c>
      <c r="V1832" s="328">
        <f>VLOOKUP(C1832,METADATA!$A$5:$H$29,IF(E1832="HI",2,IF(E1832="LO",6,10))+IF(T1832=1,2,IF(D1832=7,1,(IF(WEEKDAY(B1832)=1,2,IF(WEEKDAY(B1832)=7,1,0))))))</f>
        <v>3</v>
      </c>
    </row>
    <row r="1833" spans="2:22">
      <c r="B1833" s="318">
        <f t="shared" si="115"/>
        <v>46189</v>
      </c>
      <c r="C1833" s="312">
        <v>5</v>
      </c>
      <c r="D1833" s="368">
        <f>IFERROR((INDEX(METADATA!$T$2:$T$20,MATCH(B1833,METADATA!$S$2:$S$20,0))),0)</f>
        <v>7</v>
      </c>
      <c r="E1833" s="312" t="str">
        <f t="shared" si="112"/>
        <v>LO</v>
      </c>
      <c r="F1833" s="369">
        <f>VLOOKUP(C1833,METADATA!$A$5:$H$29,IF(E1833="HI",2,IF(E1833="LO",6,10))+IF(D1833=1,2,IF(D1833=7,1,(IF(WEEKDAY(B1833)=1,2,IF(WEEKDAY(B1833)=7,1,0))))))</f>
        <v>3</v>
      </c>
      <c r="G1833" s="369">
        <f>VLOOKUP(C1833,METADATA!$J$5:$Q$29,IF(E1833="HI",2,IF(E1833="LO",6,10))+IF(D1833=1,2,IF(D1833=7,1,(IF(WEEKDAY(B1833)=1,2,IF(WEEKDAY(B1833)=7,1,0))))))</f>
        <v>3</v>
      </c>
      <c r="H1833" s="370">
        <v>13459.97509765625</v>
      </c>
      <c r="I1833" s="370">
        <v>2166.8999557495117</v>
      </c>
      <c r="M1833" s="371">
        <f t="shared" si="113"/>
        <v>13633.282255119404</v>
      </c>
      <c r="N1833" s="329">
        <f t="shared" si="114"/>
        <v>0</v>
      </c>
      <c r="T1833" s="331">
        <v>0</v>
      </c>
      <c r="U1833" s="328">
        <f>VLOOKUP(C1833,METADATA!$J$5:$Q$29,IF(E1833="HI",2,IF(E1833="LO",6,10))+IF(T1833=1,2,IF(D1833=7,1,(IF(WEEKDAY(B1833)=1,2,IF(WEEKDAY(B1833)=7,1,0))))))</f>
        <v>3</v>
      </c>
      <c r="V1833" s="328">
        <f>VLOOKUP(C1833,METADATA!$A$5:$H$29,IF(E1833="HI",2,IF(E1833="LO",6,10))+IF(T1833=1,2,IF(D1833=7,1,(IF(WEEKDAY(B1833)=1,2,IF(WEEKDAY(B1833)=7,1,0))))))</f>
        <v>3</v>
      </c>
    </row>
    <row r="1834" spans="2:22">
      <c r="B1834" s="318">
        <f t="shared" si="115"/>
        <v>46189</v>
      </c>
      <c r="C1834" s="312">
        <v>6</v>
      </c>
      <c r="D1834" s="368">
        <f>IFERROR((INDEX(METADATA!$T$2:$T$20,MATCH(B1834,METADATA!$S$2:$S$20,0))),0)</f>
        <v>7</v>
      </c>
      <c r="E1834" s="312" t="str">
        <f t="shared" si="112"/>
        <v>LO</v>
      </c>
      <c r="F1834" s="369">
        <f>VLOOKUP(C1834,METADATA!$A$5:$H$29,IF(E1834="HI",2,IF(E1834="LO",6,10))+IF(D1834=1,2,IF(D1834=7,1,(IF(WEEKDAY(B1834)=1,2,IF(WEEKDAY(B1834)=7,1,0))))))</f>
        <v>3</v>
      </c>
      <c r="G1834" s="369">
        <f>VLOOKUP(C1834,METADATA!$J$5:$Q$29,IF(E1834="HI",2,IF(E1834="LO",6,10))+IF(D1834=1,2,IF(D1834=7,1,(IF(WEEKDAY(B1834)=1,2,IF(WEEKDAY(B1834)=7,1,0))))))</f>
        <v>3</v>
      </c>
      <c r="H1834" s="370">
        <v>13554.024719238281</v>
      </c>
      <c r="I1834" s="370">
        <v>2240.0200500488281</v>
      </c>
      <c r="M1834" s="371">
        <f t="shared" si="113"/>
        <v>13737.877416629657</v>
      </c>
      <c r="N1834" s="329">
        <f t="shared" si="114"/>
        <v>0</v>
      </c>
      <c r="T1834" s="331">
        <v>0</v>
      </c>
      <c r="U1834" s="328">
        <f>VLOOKUP(C1834,METADATA!$J$5:$Q$29,IF(E1834="HI",2,IF(E1834="LO",6,10))+IF(T1834=1,2,IF(D1834=7,1,(IF(WEEKDAY(B1834)=1,2,IF(WEEKDAY(B1834)=7,1,0))))))</f>
        <v>3</v>
      </c>
      <c r="V1834" s="328">
        <f>VLOOKUP(C1834,METADATA!$A$5:$H$29,IF(E1834="HI",2,IF(E1834="LO",6,10))+IF(T1834=1,2,IF(D1834=7,1,(IF(WEEKDAY(B1834)=1,2,IF(WEEKDAY(B1834)=7,1,0))))))</f>
        <v>3</v>
      </c>
    </row>
    <row r="1835" spans="2:22">
      <c r="B1835" s="318">
        <f t="shared" si="115"/>
        <v>46189</v>
      </c>
      <c r="C1835" s="312">
        <v>7</v>
      </c>
      <c r="D1835" s="368">
        <f>IFERROR((INDEX(METADATA!$T$2:$T$20,MATCH(B1835,METADATA!$S$2:$S$20,0))),0)</f>
        <v>7</v>
      </c>
      <c r="E1835" s="312" t="str">
        <f t="shared" si="112"/>
        <v>LO</v>
      </c>
      <c r="F1835" s="369">
        <f>VLOOKUP(C1835,METADATA!$A$5:$H$29,IF(E1835="HI",2,IF(E1835="LO",6,10))+IF(D1835=1,2,IF(D1835=7,1,(IF(WEEKDAY(B1835)=1,2,IF(WEEKDAY(B1835)=7,1,0))))))</f>
        <v>2</v>
      </c>
      <c r="G1835" s="369">
        <f>VLOOKUP(C1835,METADATA!$J$5:$Q$29,IF(E1835="HI",2,IF(E1835="LO",6,10))+IF(D1835=1,2,IF(D1835=7,1,(IF(WEEKDAY(B1835)=1,2,IF(WEEKDAY(B1835)=7,1,0))))))</f>
        <v>2</v>
      </c>
      <c r="H1835" s="370">
        <v>13460.550048828125</v>
      </c>
      <c r="I1835" s="370">
        <v>2101.6099853515625</v>
      </c>
      <c r="M1835" s="371">
        <f t="shared" si="113"/>
        <v>13623.62551406696</v>
      </c>
      <c r="N1835" s="329">
        <f t="shared" si="114"/>
        <v>0</v>
      </c>
      <c r="T1835" s="331">
        <v>0</v>
      </c>
      <c r="U1835" s="328">
        <f>VLOOKUP(C1835,METADATA!$J$5:$Q$29,IF(E1835="HI",2,IF(E1835="LO",6,10))+IF(T1835=1,2,IF(D1835=7,1,(IF(WEEKDAY(B1835)=1,2,IF(WEEKDAY(B1835)=7,1,0))))))</f>
        <v>2</v>
      </c>
      <c r="V1835" s="328">
        <f>VLOOKUP(C1835,METADATA!$A$5:$H$29,IF(E1835="HI",2,IF(E1835="LO",6,10))+IF(T1835=1,2,IF(D1835=7,1,(IF(WEEKDAY(B1835)=1,2,IF(WEEKDAY(B1835)=7,1,0))))))</f>
        <v>2</v>
      </c>
    </row>
    <row r="1836" spans="2:22">
      <c r="B1836" s="318">
        <f t="shared" si="115"/>
        <v>46189</v>
      </c>
      <c r="C1836" s="312">
        <v>8</v>
      </c>
      <c r="D1836" s="368">
        <f>IFERROR((INDEX(METADATA!$T$2:$T$20,MATCH(B1836,METADATA!$S$2:$S$20,0))),0)</f>
        <v>7</v>
      </c>
      <c r="E1836" s="312" t="str">
        <f t="shared" si="112"/>
        <v>LO</v>
      </c>
      <c r="F1836" s="369">
        <f>VLOOKUP(C1836,METADATA!$A$5:$H$29,IF(E1836="HI",2,IF(E1836="LO",6,10))+IF(D1836=1,2,IF(D1836=7,1,(IF(WEEKDAY(B1836)=1,2,IF(WEEKDAY(B1836)=7,1,0))))))</f>
        <v>2</v>
      </c>
      <c r="G1836" s="369">
        <f>VLOOKUP(C1836,METADATA!$J$5:$Q$29,IF(E1836="HI",2,IF(E1836="LO",6,10))+IF(D1836=1,2,IF(D1836=7,1,(IF(WEEKDAY(B1836)=1,2,IF(WEEKDAY(B1836)=7,1,0))))))</f>
        <v>2</v>
      </c>
      <c r="H1836" s="370">
        <v>13418.349975585938</v>
      </c>
      <c r="I1836" s="370">
        <v>2067.0950088500977</v>
      </c>
      <c r="M1836" s="371">
        <f t="shared" si="113"/>
        <v>13576.634260482975</v>
      </c>
      <c r="N1836" s="329">
        <f t="shared" si="114"/>
        <v>0</v>
      </c>
      <c r="T1836" s="331">
        <v>0</v>
      </c>
      <c r="U1836" s="328">
        <f>VLOOKUP(C1836,METADATA!$J$5:$Q$29,IF(E1836="HI",2,IF(E1836="LO",6,10))+IF(T1836=1,2,IF(D1836=7,1,(IF(WEEKDAY(B1836)=1,2,IF(WEEKDAY(B1836)=7,1,0))))))</f>
        <v>2</v>
      </c>
      <c r="V1836" s="328">
        <f>VLOOKUP(C1836,METADATA!$A$5:$H$29,IF(E1836="HI",2,IF(E1836="LO",6,10))+IF(T1836=1,2,IF(D1836=7,1,(IF(WEEKDAY(B1836)=1,2,IF(WEEKDAY(B1836)=7,1,0))))))</f>
        <v>2</v>
      </c>
    </row>
    <row r="1837" spans="2:22">
      <c r="B1837" s="318">
        <f t="shared" si="115"/>
        <v>46189</v>
      </c>
      <c r="C1837" s="312">
        <v>9</v>
      </c>
      <c r="D1837" s="368">
        <f>IFERROR((INDEX(METADATA!$T$2:$T$20,MATCH(B1837,METADATA!$S$2:$S$20,0))),0)</f>
        <v>7</v>
      </c>
      <c r="E1837" s="312" t="str">
        <f t="shared" si="112"/>
        <v>LO</v>
      </c>
      <c r="F1837" s="369">
        <f>VLOOKUP(C1837,METADATA!$A$5:$H$29,IF(E1837="HI",2,IF(E1837="LO",6,10))+IF(D1837=1,2,IF(D1837=7,1,(IF(WEEKDAY(B1837)=1,2,IF(WEEKDAY(B1837)=7,1,0))))))</f>
        <v>2</v>
      </c>
      <c r="G1837" s="369">
        <f>VLOOKUP(C1837,METADATA!$J$5:$Q$29,IF(E1837="HI",2,IF(E1837="LO",6,10))+IF(D1837=1,2,IF(D1837=7,1,(IF(WEEKDAY(B1837)=1,2,IF(WEEKDAY(B1837)=7,1,0))))))</f>
        <v>2</v>
      </c>
      <c r="H1837" s="370">
        <v>12509.287567138672</v>
      </c>
      <c r="I1837" s="370">
        <v>1913.5229966430925</v>
      </c>
      <c r="M1837" s="371">
        <f t="shared" si="113"/>
        <v>12654.795363657688</v>
      </c>
      <c r="N1837" s="329">
        <f t="shared" si="114"/>
        <v>0</v>
      </c>
      <c r="T1837" s="331">
        <v>0</v>
      </c>
      <c r="U1837" s="328">
        <f>VLOOKUP(C1837,METADATA!$J$5:$Q$29,IF(E1837="HI",2,IF(E1837="LO",6,10))+IF(T1837=1,2,IF(D1837=7,1,(IF(WEEKDAY(B1837)=1,2,IF(WEEKDAY(B1837)=7,1,0))))))</f>
        <v>2</v>
      </c>
      <c r="V1837" s="328">
        <f>VLOOKUP(C1837,METADATA!$A$5:$H$29,IF(E1837="HI",2,IF(E1837="LO",6,10))+IF(T1837=1,2,IF(D1837=7,1,(IF(WEEKDAY(B1837)=1,2,IF(WEEKDAY(B1837)=7,1,0))))))</f>
        <v>2</v>
      </c>
    </row>
    <row r="1838" spans="2:22">
      <c r="B1838" s="318">
        <f t="shared" si="115"/>
        <v>46189</v>
      </c>
      <c r="C1838" s="312">
        <v>10</v>
      </c>
      <c r="D1838" s="368">
        <f>IFERROR((INDEX(METADATA!$T$2:$T$20,MATCH(B1838,METADATA!$S$2:$S$20,0))),0)</f>
        <v>7</v>
      </c>
      <c r="E1838" s="312" t="str">
        <f t="shared" si="112"/>
        <v>LO</v>
      </c>
      <c r="F1838" s="369">
        <f>VLOOKUP(C1838,METADATA!$A$5:$H$29,IF(E1838="HI",2,IF(E1838="LO",6,10))+IF(D1838=1,2,IF(D1838=7,1,(IF(WEEKDAY(B1838)=1,2,IF(WEEKDAY(B1838)=7,1,0))))))</f>
        <v>2</v>
      </c>
      <c r="G1838" s="369">
        <f>VLOOKUP(C1838,METADATA!$J$5:$Q$29,IF(E1838="HI",2,IF(E1838="LO",6,10))+IF(D1838=1,2,IF(D1838=7,1,(IF(WEEKDAY(B1838)=1,2,IF(WEEKDAY(B1838)=7,1,0))))))</f>
        <v>2</v>
      </c>
      <c r="H1838" s="370">
        <v>11361.824645996094</v>
      </c>
      <c r="I1838" s="370">
        <v>1521.8399963378906</v>
      </c>
      <c r="M1838" s="371">
        <f t="shared" si="113"/>
        <v>11463.291685236749</v>
      </c>
      <c r="N1838" s="329">
        <f t="shared" si="114"/>
        <v>0</v>
      </c>
      <c r="T1838" s="331">
        <v>0</v>
      </c>
      <c r="U1838" s="328">
        <f>VLOOKUP(C1838,METADATA!$J$5:$Q$29,IF(E1838="HI",2,IF(E1838="LO",6,10))+IF(T1838=1,2,IF(D1838=7,1,(IF(WEEKDAY(B1838)=1,2,IF(WEEKDAY(B1838)=7,1,0))))))</f>
        <v>2</v>
      </c>
      <c r="V1838" s="328">
        <f>VLOOKUP(C1838,METADATA!$A$5:$H$29,IF(E1838="HI",2,IF(E1838="LO",6,10))+IF(T1838=1,2,IF(D1838=7,1,(IF(WEEKDAY(B1838)=1,2,IF(WEEKDAY(B1838)=7,1,0))))))</f>
        <v>2</v>
      </c>
    </row>
    <row r="1839" spans="2:22">
      <c r="B1839" s="318">
        <f t="shared" si="115"/>
        <v>46189</v>
      </c>
      <c r="C1839" s="312">
        <v>11</v>
      </c>
      <c r="D1839" s="368">
        <f>IFERROR((INDEX(METADATA!$T$2:$T$20,MATCH(B1839,METADATA!$S$2:$S$20,0))),0)</f>
        <v>7</v>
      </c>
      <c r="E1839" s="312" t="str">
        <f t="shared" si="112"/>
        <v>LO</v>
      </c>
      <c r="F1839" s="369">
        <f>VLOOKUP(C1839,METADATA!$A$5:$H$29,IF(E1839="HI",2,IF(E1839="LO",6,10))+IF(D1839=1,2,IF(D1839=7,1,(IF(WEEKDAY(B1839)=1,2,IF(WEEKDAY(B1839)=7,1,0))))))</f>
        <v>2</v>
      </c>
      <c r="G1839" s="369">
        <f>VLOOKUP(C1839,METADATA!$J$5:$Q$29,IF(E1839="HI",2,IF(E1839="LO",6,10))+IF(D1839=1,2,IF(D1839=7,1,(IF(WEEKDAY(B1839)=1,2,IF(WEEKDAY(B1839)=7,1,0))))))</f>
        <v>2</v>
      </c>
      <c r="H1839" s="370">
        <v>11398.747650146484</v>
      </c>
      <c r="I1839" s="370">
        <v>1518.9600830078125</v>
      </c>
      <c r="M1839" s="371">
        <f t="shared" si="113"/>
        <v>11499.508151459831</v>
      </c>
      <c r="N1839" s="329">
        <f t="shared" si="114"/>
        <v>0</v>
      </c>
      <c r="T1839" s="331">
        <v>0</v>
      </c>
      <c r="U1839" s="328">
        <f>VLOOKUP(C1839,METADATA!$J$5:$Q$29,IF(E1839="HI",2,IF(E1839="LO",6,10))+IF(T1839=1,2,IF(D1839=7,1,(IF(WEEKDAY(B1839)=1,2,IF(WEEKDAY(B1839)=7,1,0))))))</f>
        <v>2</v>
      </c>
      <c r="V1839" s="328">
        <f>VLOOKUP(C1839,METADATA!$A$5:$H$29,IF(E1839="HI",2,IF(E1839="LO",6,10))+IF(T1839=1,2,IF(D1839=7,1,(IF(WEEKDAY(B1839)=1,2,IF(WEEKDAY(B1839)=7,1,0))))))</f>
        <v>2</v>
      </c>
    </row>
    <row r="1840" spans="2:22">
      <c r="B1840" s="318">
        <f t="shared" si="115"/>
        <v>46189</v>
      </c>
      <c r="C1840" s="312">
        <v>12</v>
      </c>
      <c r="D1840" s="368">
        <f>IFERROR((INDEX(METADATA!$T$2:$T$20,MATCH(B1840,METADATA!$S$2:$S$20,0))),0)</f>
        <v>7</v>
      </c>
      <c r="E1840" s="312" t="str">
        <f t="shared" si="112"/>
        <v>LO</v>
      </c>
      <c r="F1840" s="369">
        <f>VLOOKUP(C1840,METADATA!$A$5:$H$29,IF(E1840="HI",2,IF(E1840="LO",6,10))+IF(D1840=1,2,IF(D1840=7,1,(IF(WEEKDAY(B1840)=1,2,IF(WEEKDAY(B1840)=7,1,0))))))</f>
        <v>3</v>
      </c>
      <c r="G1840" s="369">
        <f>VLOOKUP(C1840,METADATA!$J$5:$Q$29,IF(E1840="HI",2,IF(E1840="LO",6,10))+IF(D1840=1,2,IF(D1840=7,1,(IF(WEEKDAY(B1840)=1,2,IF(WEEKDAY(B1840)=7,1,0))))))</f>
        <v>3</v>
      </c>
      <c r="H1840" s="370">
        <v>13367.374877929688</v>
      </c>
      <c r="I1840" s="370">
        <v>1721.9239911437035</v>
      </c>
      <c r="M1840" s="371">
        <f t="shared" si="113"/>
        <v>13477.823761957343</v>
      </c>
      <c r="N1840" s="329">
        <f t="shared" si="114"/>
        <v>0</v>
      </c>
      <c r="T1840" s="331">
        <v>0</v>
      </c>
      <c r="U1840" s="328">
        <f>VLOOKUP(C1840,METADATA!$J$5:$Q$29,IF(E1840="HI",2,IF(E1840="LO",6,10))+IF(T1840=1,2,IF(D1840=7,1,(IF(WEEKDAY(B1840)=1,2,IF(WEEKDAY(B1840)=7,1,0))))))</f>
        <v>3</v>
      </c>
      <c r="V1840" s="328">
        <f>VLOOKUP(C1840,METADATA!$A$5:$H$29,IF(E1840="HI",2,IF(E1840="LO",6,10))+IF(T1840=1,2,IF(D1840=7,1,(IF(WEEKDAY(B1840)=1,2,IF(WEEKDAY(B1840)=7,1,0))))))</f>
        <v>3</v>
      </c>
    </row>
    <row r="1841" spans="2:22">
      <c r="B1841" s="318">
        <f t="shared" si="115"/>
        <v>46189</v>
      </c>
      <c r="C1841" s="312">
        <v>13</v>
      </c>
      <c r="D1841" s="368">
        <f>IFERROR((INDEX(METADATA!$T$2:$T$20,MATCH(B1841,METADATA!$S$2:$S$20,0))),0)</f>
        <v>7</v>
      </c>
      <c r="E1841" s="312" t="str">
        <f t="shared" si="112"/>
        <v>LO</v>
      </c>
      <c r="F1841" s="369">
        <f>VLOOKUP(C1841,METADATA!$A$5:$H$29,IF(E1841="HI",2,IF(E1841="LO",6,10))+IF(D1841=1,2,IF(D1841=7,1,(IF(WEEKDAY(B1841)=1,2,IF(WEEKDAY(B1841)=7,1,0))))))</f>
        <v>3</v>
      </c>
      <c r="G1841" s="369">
        <f>VLOOKUP(C1841,METADATA!$J$5:$Q$29,IF(E1841="HI",2,IF(E1841="LO",6,10))+IF(D1841=1,2,IF(D1841=7,1,(IF(WEEKDAY(B1841)=1,2,IF(WEEKDAY(B1841)=7,1,0))))))</f>
        <v>3</v>
      </c>
      <c r="H1841" s="370">
        <v>13615.549865722656</v>
      </c>
      <c r="I1841" s="370">
        <v>1954.8250122070313</v>
      </c>
      <c r="M1841" s="371">
        <f t="shared" si="113"/>
        <v>13755.164083875206</v>
      </c>
      <c r="N1841" s="329">
        <f t="shared" si="114"/>
        <v>0</v>
      </c>
      <c r="T1841" s="331">
        <v>0</v>
      </c>
      <c r="U1841" s="328">
        <f>VLOOKUP(C1841,METADATA!$J$5:$Q$29,IF(E1841="HI",2,IF(E1841="LO",6,10))+IF(T1841=1,2,IF(D1841=7,1,(IF(WEEKDAY(B1841)=1,2,IF(WEEKDAY(B1841)=7,1,0))))))</f>
        <v>3</v>
      </c>
      <c r="V1841" s="328">
        <f>VLOOKUP(C1841,METADATA!$A$5:$H$29,IF(E1841="HI",2,IF(E1841="LO",6,10))+IF(T1841=1,2,IF(D1841=7,1,(IF(WEEKDAY(B1841)=1,2,IF(WEEKDAY(B1841)=7,1,0))))))</f>
        <v>3</v>
      </c>
    </row>
    <row r="1842" spans="2:22">
      <c r="B1842" s="318">
        <f t="shared" si="115"/>
        <v>46189</v>
      </c>
      <c r="C1842" s="312">
        <v>14</v>
      </c>
      <c r="D1842" s="368">
        <f>IFERROR((INDEX(METADATA!$T$2:$T$20,MATCH(B1842,METADATA!$S$2:$S$20,0))),0)</f>
        <v>7</v>
      </c>
      <c r="E1842" s="312" t="str">
        <f t="shared" si="112"/>
        <v>LO</v>
      </c>
      <c r="F1842" s="369">
        <f>VLOOKUP(C1842,METADATA!$A$5:$H$29,IF(E1842="HI",2,IF(E1842="LO",6,10))+IF(D1842=1,2,IF(D1842=7,1,(IF(WEEKDAY(B1842)=1,2,IF(WEEKDAY(B1842)=7,1,0))))))</f>
        <v>3</v>
      </c>
      <c r="G1842" s="369">
        <f>VLOOKUP(C1842,METADATA!$J$5:$Q$29,IF(E1842="HI",2,IF(E1842="LO",6,10))+IF(D1842=1,2,IF(D1842=7,1,(IF(WEEKDAY(B1842)=1,2,IF(WEEKDAY(B1842)=7,1,0))))))</f>
        <v>3</v>
      </c>
      <c r="H1842" s="370">
        <v>13485.050354003906</v>
      </c>
      <c r="I1842" s="370">
        <v>1813.8725357055664</v>
      </c>
      <c r="M1842" s="371">
        <f t="shared" si="113"/>
        <v>13606.495383669075</v>
      </c>
      <c r="N1842" s="329">
        <f t="shared" si="114"/>
        <v>0</v>
      </c>
      <c r="T1842" s="331">
        <v>0</v>
      </c>
      <c r="U1842" s="328">
        <f>VLOOKUP(C1842,METADATA!$J$5:$Q$29,IF(E1842="HI",2,IF(E1842="LO",6,10))+IF(T1842=1,2,IF(D1842=7,1,(IF(WEEKDAY(B1842)=1,2,IF(WEEKDAY(B1842)=7,1,0))))))</f>
        <v>3</v>
      </c>
      <c r="V1842" s="328">
        <f>VLOOKUP(C1842,METADATA!$A$5:$H$29,IF(E1842="HI",2,IF(E1842="LO",6,10))+IF(T1842=1,2,IF(D1842=7,1,(IF(WEEKDAY(B1842)=1,2,IF(WEEKDAY(B1842)=7,1,0))))))</f>
        <v>3</v>
      </c>
    </row>
    <row r="1843" spans="2:22">
      <c r="B1843" s="318">
        <f t="shared" si="115"/>
        <v>46189</v>
      </c>
      <c r="C1843" s="312">
        <v>15</v>
      </c>
      <c r="D1843" s="368">
        <f>IFERROR((INDEX(METADATA!$T$2:$T$20,MATCH(B1843,METADATA!$S$2:$S$20,0))),0)</f>
        <v>7</v>
      </c>
      <c r="E1843" s="312" t="str">
        <f t="shared" si="112"/>
        <v>LO</v>
      </c>
      <c r="F1843" s="369">
        <f>VLOOKUP(C1843,METADATA!$A$5:$H$29,IF(E1843="HI",2,IF(E1843="LO",6,10))+IF(D1843=1,2,IF(D1843=7,1,(IF(WEEKDAY(B1843)=1,2,IF(WEEKDAY(B1843)=7,1,0))))))</f>
        <v>3</v>
      </c>
      <c r="G1843" s="369">
        <f>VLOOKUP(C1843,METADATA!$J$5:$Q$29,IF(E1843="HI",2,IF(E1843="LO",6,10))+IF(D1843=1,2,IF(D1843=7,1,(IF(WEEKDAY(B1843)=1,2,IF(WEEKDAY(B1843)=7,1,0))))))</f>
        <v>3</v>
      </c>
      <c r="H1843" s="370">
        <v>13457.850036621094</v>
      </c>
      <c r="I1843" s="370">
        <v>1899.0249862670898</v>
      </c>
      <c r="M1843" s="371">
        <f t="shared" si="113"/>
        <v>13591.174471201857</v>
      </c>
      <c r="N1843" s="329">
        <f t="shared" si="114"/>
        <v>0</v>
      </c>
      <c r="T1843" s="331">
        <v>0</v>
      </c>
      <c r="U1843" s="328">
        <f>VLOOKUP(C1843,METADATA!$J$5:$Q$29,IF(E1843="HI",2,IF(E1843="LO",6,10))+IF(T1843=1,2,IF(D1843=7,1,(IF(WEEKDAY(B1843)=1,2,IF(WEEKDAY(B1843)=7,1,0))))))</f>
        <v>3</v>
      </c>
      <c r="V1843" s="328">
        <f>VLOOKUP(C1843,METADATA!$A$5:$H$29,IF(E1843="HI",2,IF(E1843="LO",6,10))+IF(T1843=1,2,IF(D1843=7,1,(IF(WEEKDAY(B1843)=1,2,IF(WEEKDAY(B1843)=7,1,0))))))</f>
        <v>3</v>
      </c>
    </row>
    <row r="1844" spans="2:22">
      <c r="B1844" s="318">
        <f t="shared" si="115"/>
        <v>46189</v>
      </c>
      <c r="C1844" s="312">
        <v>16</v>
      </c>
      <c r="D1844" s="368">
        <f>IFERROR((INDEX(METADATA!$T$2:$T$20,MATCH(B1844,METADATA!$S$2:$S$20,0))),0)</f>
        <v>7</v>
      </c>
      <c r="E1844" s="312" t="str">
        <f t="shared" si="112"/>
        <v>LO</v>
      </c>
      <c r="F1844" s="369">
        <f>VLOOKUP(C1844,METADATA!$A$5:$H$29,IF(E1844="HI",2,IF(E1844="LO",6,10))+IF(D1844=1,2,IF(D1844=7,1,(IF(WEEKDAY(B1844)=1,2,IF(WEEKDAY(B1844)=7,1,0))))))</f>
        <v>3</v>
      </c>
      <c r="G1844" s="369">
        <f>VLOOKUP(C1844,METADATA!$J$5:$Q$29,IF(E1844="HI",2,IF(E1844="LO",6,10))+IF(D1844=1,2,IF(D1844=7,1,(IF(WEEKDAY(B1844)=1,2,IF(WEEKDAY(B1844)=7,1,0))))))</f>
        <v>3</v>
      </c>
      <c r="H1844" s="370">
        <v>13370.300048828125</v>
      </c>
      <c r="I1844" s="370">
        <v>1831.8724899291992</v>
      </c>
      <c r="M1844" s="371">
        <f t="shared" si="113"/>
        <v>13495.209528386462</v>
      </c>
      <c r="N1844" s="329">
        <f t="shared" si="114"/>
        <v>0</v>
      </c>
      <c r="T1844" s="331">
        <v>0</v>
      </c>
      <c r="U1844" s="328">
        <f>VLOOKUP(C1844,METADATA!$J$5:$Q$29,IF(E1844="HI",2,IF(E1844="LO",6,10))+IF(T1844=1,2,IF(D1844=7,1,(IF(WEEKDAY(B1844)=1,2,IF(WEEKDAY(B1844)=7,1,0))))))</f>
        <v>3</v>
      </c>
      <c r="V1844" s="328">
        <f>VLOOKUP(C1844,METADATA!$A$5:$H$29,IF(E1844="HI",2,IF(E1844="LO",6,10))+IF(T1844=1,2,IF(D1844=7,1,(IF(WEEKDAY(B1844)=1,2,IF(WEEKDAY(B1844)=7,1,0))))))</f>
        <v>3</v>
      </c>
    </row>
    <row r="1845" spans="2:22">
      <c r="B1845" s="318">
        <f t="shared" si="115"/>
        <v>46189</v>
      </c>
      <c r="C1845" s="312">
        <v>17</v>
      </c>
      <c r="D1845" s="368">
        <f>IFERROR((INDEX(METADATA!$T$2:$T$20,MATCH(B1845,METADATA!$S$2:$S$20,0))),0)</f>
        <v>7</v>
      </c>
      <c r="E1845" s="312" t="str">
        <f t="shared" si="112"/>
        <v>LO</v>
      </c>
      <c r="F1845" s="369">
        <f>VLOOKUP(C1845,METADATA!$A$5:$H$29,IF(E1845="HI",2,IF(E1845="LO",6,10))+IF(D1845=1,2,IF(D1845=7,1,(IF(WEEKDAY(B1845)=1,2,IF(WEEKDAY(B1845)=7,1,0))))))</f>
        <v>3</v>
      </c>
      <c r="G1845" s="369">
        <f>VLOOKUP(C1845,METADATA!$J$5:$Q$29,IF(E1845="HI",2,IF(E1845="LO",6,10))+IF(D1845=1,2,IF(D1845=7,1,(IF(WEEKDAY(B1845)=1,2,IF(WEEKDAY(B1845)=7,1,0))))))</f>
        <v>3</v>
      </c>
      <c r="H1845" s="370">
        <v>13459.400146484375</v>
      </c>
      <c r="I1845" s="370">
        <v>1894.4624633789063</v>
      </c>
      <c r="M1845" s="371">
        <f t="shared" si="113"/>
        <v>13592.07270170136</v>
      </c>
      <c r="N1845" s="329">
        <f t="shared" si="114"/>
        <v>0</v>
      </c>
      <c r="T1845" s="331">
        <v>0</v>
      </c>
      <c r="U1845" s="328">
        <f>VLOOKUP(C1845,METADATA!$J$5:$Q$29,IF(E1845="HI",2,IF(E1845="LO",6,10))+IF(T1845=1,2,IF(D1845=7,1,(IF(WEEKDAY(B1845)=1,2,IF(WEEKDAY(B1845)=7,1,0))))))</f>
        <v>3</v>
      </c>
      <c r="V1845" s="328">
        <f>VLOOKUP(C1845,METADATA!$A$5:$H$29,IF(E1845="HI",2,IF(E1845="LO",6,10))+IF(T1845=1,2,IF(D1845=7,1,(IF(WEEKDAY(B1845)=1,2,IF(WEEKDAY(B1845)=7,1,0))))))</f>
        <v>3</v>
      </c>
    </row>
    <row r="1846" spans="2:22">
      <c r="B1846" s="318">
        <f t="shared" si="115"/>
        <v>46189</v>
      </c>
      <c r="C1846" s="312">
        <v>18</v>
      </c>
      <c r="D1846" s="368">
        <f>IFERROR((INDEX(METADATA!$T$2:$T$20,MATCH(B1846,METADATA!$S$2:$S$20,0))),0)</f>
        <v>7</v>
      </c>
      <c r="E1846" s="312" t="str">
        <f t="shared" si="112"/>
        <v>LO</v>
      </c>
      <c r="F1846" s="369">
        <f>VLOOKUP(C1846,METADATA!$A$5:$H$29,IF(E1846="HI",2,IF(E1846="LO",6,10))+IF(D1846=1,2,IF(D1846=7,1,(IF(WEEKDAY(B1846)=1,2,IF(WEEKDAY(B1846)=7,1,0))))))</f>
        <v>2</v>
      </c>
      <c r="G1846" s="369">
        <f>VLOOKUP(C1846,METADATA!$J$5:$Q$29,IF(E1846="HI",2,IF(E1846="LO",6,10))+IF(D1846=1,2,IF(D1846=7,1,(IF(WEEKDAY(B1846)=1,2,IF(WEEKDAY(B1846)=7,1,0))))))</f>
        <v>2</v>
      </c>
      <c r="H1846" s="370">
        <v>13326.69970703125</v>
      </c>
      <c r="I1846" s="370">
        <v>1999.2499694824219</v>
      </c>
      <c r="M1846" s="371">
        <f t="shared" si="113"/>
        <v>13475.82745221466</v>
      </c>
      <c r="N1846" s="329">
        <f t="shared" si="114"/>
        <v>0</v>
      </c>
      <c r="T1846" s="331">
        <v>0</v>
      </c>
      <c r="U1846" s="328">
        <f>VLOOKUP(C1846,METADATA!$J$5:$Q$29,IF(E1846="HI",2,IF(E1846="LO",6,10))+IF(T1846=1,2,IF(D1846=7,1,(IF(WEEKDAY(B1846)=1,2,IF(WEEKDAY(B1846)=7,1,0))))))</f>
        <v>2</v>
      </c>
      <c r="V1846" s="328">
        <f>VLOOKUP(C1846,METADATA!$A$5:$H$29,IF(E1846="HI",2,IF(E1846="LO",6,10))+IF(T1846=1,2,IF(D1846=7,1,(IF(WEEKDAY(B1846)=1,2,IF(WEEKDAY(B1846)=7,1,0))))))</f>
        <v>2</v>
      </c>
    </row>
    <row r="1847" spans="2:22">
      <c r="B1847" s="318">
        <f t="shared" si="115"/>
        <v>46189</v>
      </c>
      <c r="C1847" s="312">
        <v>19</v>
      </c>
      <c r="D1847" s="368">
        <f>IFERROR((INDEX(METADATA!$T$2:$T$20,MATCH(B1847,METADATA!$S$2:$S$20,0))),0)</f>
        <v>7</v>
      </c>
      <c r="E1847" s="312" t="str">
        <f t="shared" si="112"/>
        <v>LO</v>
      </c>
      <c r="F1847" s="369">
        <f>VLOOKUP(C1847,METADATA!$A$5:$H$29,IF(E1847="HI",2,IF(E1847="LO",6,10))+IF(D1847=1,2,IF(D1847=7,1,(IF(WEEKDAY(B1847)=1,2,IF(WEEKDAY(B1847)=7,1,0))))))</f>
        <v>2</v>
      </c>
      <c r="G1847" s="369">
        <f>VLOOKUP(C1847,METADATA!$J$5:$Q$29,IF(E1847="HI",2,IF(E1847="LO",6,10))+IF(D1847=1,2,IF(D1847=7,1,(IF(WEEKDAY(B1847)=1,2,IF(WEEKDAY(B1847)=7,1,0))))))</f>
        <v>2</v>
      </c>
      <c r="H1847" s="370">
        <v>13185.749938964844</v>
      </c>
      <c r="I1847" s="370">
        <v>2053.8450317382813</v>
      </c>
      <c r="M1847" s="371">
        <f t="shared" si="113"/>
        <v>13344.747313730126</v>
      </c>
      <c r="N1847" s="329">
        <f t="shared" si="114"/>
        <v>0</v>
      </c>
      <c r="T1847" s="331">
        <v>0</v>
      </c>
      <c r="U1847" s="328">
        <f>VLOOKUP(C1847,METADATA!$J$5:$Q$29,IF(E1847="HI",2,IF(E1847="LO",6,10))+IF(T1847=1,2,IF(D1847=7,1,(IF(WEEKDAY(B1847)=1,2,IF(WEEKDAY(B1847)=7,1,0))))))</f>
        <v>2</v>
      </c>
      <c r="V1847" s="328">
        <f>VLOOKUP(C1847,METADATA!$A$5:$H$29,IF(E1847="HI",2,IF(E1847="LO",6,10))+IF(T1847=1,2,IF(D1847=7,1,(IF(WEEKDAY(B1847)=1,2,IF(WEEKDAY(B1847)=7,1,0))))))</f>
        <v>2</v>
      </c>
    </row>
    <row r="1848" spans="2:22">
      <c r="B1848" s="318">
        <f t="shared" si="115"/>
        <v>46189</v>
      </c>
      <c r="C1848" s="312">
        <v>20</v>
      </c>
      <c r="D1848" s="368">
        <f>IFERROR((INDEX(METADATA!$T$2:$T$20,MATCH(B1848,METADATA!$S$2:$S$20,0))),0)</f>
        <v>7</v>
      </c>
      <c r="E1848" s="312" t="str">
        <f t="shared" si="112"/>
        <v>LO</v>
      </c>
      <c r="F1848" s="369">
        <f>VLOOKUP(C1848,METADATA!$A$5:$H$29,IF(E1848="HI",2,IF(E1848="LO",6,10))+IF(D1848=1,2,IF(D1848=7,1,(IF(WEEKDAY(B1848)=1,2,IF(WEEKDAY(B1848)=7,1,0))))))</f>
        <v>3</v>
      </c>
      <c r="G1848" s="369">
        <f>VLOOKUP(C1848,METADATA!$J$5:$Q$29,IF(E1848="HI",2,IF(E1848="LO",6,10))+IF(D1848=1,2,IF(D1848=7,1,(IF(WEEKDAY(B1848)=1,2,IF(WEEKDAY(B1848)=7,1,0))))))</f>
        <v>3</v>
      </c>
      <c r="H1848" s="370">
        <v>11406.190338134766</v>
      </c>
      <c r="I1848" s="370">
        <v>1881.1715195178986</v>
      </c>
      <c r="M1848" s="371">
        <f t="shared" si="113"/>
        <v>11560.276134920141</v>
      </c>
      <c r="N1848" s="329">
        <f t="shared" si="114"/>
        <v>0</v>
      </c>
      <c r="T1848" s="331">
        <v>0</v>
      </c>
      <c r="U1848" s="328">
        <f>VLOOKUP(C1848,METADATA!$J$5:$Q$29,IF(E1848="HI",2,IF(E1848="LO",6,10))+IF(T1848=1,2,IF(D1848=7,1,(IF(WEEKDAY(B1848)=1,2,IF(WEEKDAY(B1848)=7,1,0))))))</f>
        <v>3</v>
      </c>
      <c r="V1848" s="328">
        <f>VLOOKUP(C1848,METADATA!$A$5:$H$29,IF(E1848="HI",2,IF(E1848="LO",6,10))+IF(T1848=1,2,IF(D1848=7,1,(IF(WEEKDAY(B1848)=1,2,IF(WEEKDAY(B1848)=7,1,0))))))</f>
        <v>3</v>
      </c>
    </row>
    <row r="1849" spans="2:22">
      <c r="B1849" s="318">
        <f t="shared" si="115"/>
        <v>46189</v>
      </c>
      <c r="C1849" s="312">
        <v>21</v>
      </c>
      <c r="D1849" s="368">
        <f>IFERROR((INDEX(METADATA!$T$2:$T$20,MATCH(B1849,METADATA!$S$2:$S$20,0))),0)</f>
        <v>7</v>
      </c>
      <c r="E1849" s="312" t="str">
        <f t="shared" si="112"/>
        <v>LO</v>
      </c>
      <c r="F1849" s="369">
        <f>VLOOKUP(C1849,METADATA!$A$5:$H$29,IF(E1849="HI",2,IF(E1849="LO",6,10))+IF(D1849=1,2,IF(D1849=7,1,(IF(WEEKDAY(B1849)=1,2,IF(WEEKDAY(B1849)=7,1,0))))))</f>
        <v>3</v>
      </c>
      <c r="G1849" s="369">
        <f>VLOOKUP(C1849,METADATA!$J$5:$Q$29,IF(E1849="HI",2,IF(E1849="LO",6,10))+IF(D1849=1,2,IF(D1849=7,1,(IF(WEEKDAY(B1849)=1,2,IF(WEEKDAY(B1849)=7,1,0))))))</f>
        <v>3</v>
      </c>
      <c r="H1849" s="370">
        <v>11459.932281494141</v>
      </c>
      <c r="I1849" s="370">
        <v>1791.47998046875</v>
      </c>
      <c r="M1849" s="371">
        <f t="shared" si="113"/>
        <v>11599.114122072075</v>
      </c>
      <c r="N1849" s="329">
        <f t="shared" si="114"/>
        <v>0</v>
      </c>
      <c r="T1849" s="331">
        <v>0</v>
      </c>
      <c r="U1849" s="328">
        <f>VLOOKUP(C1849,METADATA!$J$5:$Q$29,IF(E1849="HI",2,IF(E1849="LO",6,10))+IF(T1849=1,2,IF(D1849=7,1,(IF(WEEKDAY(B1849)=1,2,IF(WEEKDAY(B1849)=7,1,0))))))</f>
        <v>3</v>
      </c>
      <c r="V1849" s="328">
        <f>VLOOKUP(C1849,METADATA!$A$5:$H$29,IF(E1849="HI",2,IF(E1849="LO",6,10))+IF(T1849=1,2,IF(D1849=7,1,(IF(WEEKDAY(B1849)=1,2,IF(WEEKDAY(B1849)=7,1,0))))))</f>
        <v>3</v>
      </c>
    </row>
    <row r="1850" spans="2:22">
      <c r="B1850" s="318">
        <f t="shared" si="115"/>
        <v>46189</v>
      </c>
      <c r="C1850" s="312">
        <v>22</v>
      </c>
      <c r="D1850" s="368">
        <f>IFERROR((INDEX(METADATA!$T$2:$T$20,MATCH(B1850,METADATA!$S$2:$S$20,0))),0)</f>
        <v>7</v>
      </c>
      <c r="E1850" s="312" t="str">
        <f t="shared" si="112"/>
        <v>LO</v>
      </c>
      <c r="F1850" s="369">
        <f>VLOOKUP(C1850,METADATA!$A$5:$H$29,IF(E1850="HI",2,IF(E1850="LO",6,10))+IF(D1850=1,2,IF(D1850=7,1,(IF(WEEKDAY(B1850)=1,2,IF(WEEKDAY(B1850)=7,1,0))))))</f>
        <v>3</v>
      </c>
      <c r="G1850" s="369">
        <f>VLOOKUP(C1850,METADATA!$J$5:$Q$29,IF(E1850="HI",2,IF(E1850="LO",6,10))+IF(D1850=1,2,IF(D1850=7,1,(IF(WEEKDAY(B1850)=1,2,IF(WEEKDAY(B1850)=7,1,0))))))</f>
        <v>3</v>
      </c>
      <c r="H1850" s="370">
        <v>11437.214935302734</v>
      </c>
      <c r="I1850" s="370">
        <v>1718.8800048828125</v>
      </c>
      <c r="M1850" s="371">
        <f t="shared" si="113"/>
        <v>11565.65752335326</v>
      </c>
      <c r="N1850" s="329">
        <f t="shared" si="114"/>
        <v>0</v>
      </c>
      <c r="T1850" s="331">
        <v>0</v>
      </c>
      <c r="U1850" s="328">
        <f>VLOOKUP(C1850,METADATA!$J$5:$Q$29,IF(E1850="HI",2,IF(E1850="LO",6,10))+IF(T1850=1,2,IF(D1850=7,1,(IF(WEEKDAY(B1850)=1,2,IF(WEEKDAY(B1850)=7,1,0))))))</f>
        <v>3</v>
      </c>
      <c r="V1850" s="328">
        <f>VLOOKUP(C1850,METADATA!$A$5:$H$29,IF(E1850="HI",2,IF(E1850="LO",6,10))+IF(T1850=1,2,IF(D1850=7,1,(IF(WEEKDAY(B1850)=1,2,IF(WEEKDAY(B1850)=7,1,0))))))</f>
        <v>3</v>
      </c>
    </row>
    <row r="1851" spans="2:22">
      <c r="B1851" s="318">
        <f t="shared" si="115"/>
        <v>46189</v>
      </c>
      <c r="C1851" s="312">
        <v>23</v>
      </c>
      <c r="D1851" s="368">
        <f>IFERROR((INDEX(METADATA!$T$2:$T$20,MATCH(B1851,METADATA!$S$2:$S$20,0))),0)</f>
        <v>7</v>
      </c>
      <c r="E1851" s="312" t="str">
        <f t="shared" si="112"/>
        <v>LO</v>
      </c>
      <c r="F1851" s="369">
        <f>VLOOKUP(C1851,METADATA!$A$5:$H$29,IF(E1851="HI",2,IF(E1851="LO",6,10))+IF(D1851=1,2,IF(D1851=7,1,(IF(WEEKDAY(B1851)=1,2,IF(WEEKDAY(B1851)=7,1,0))))))</f>
        <v>3</v>
      </c>
      <c r="G1851" s="369">
        <f>VLOOKUP(C1851,METADATA!$J$5:$Q$29,IF(E1851="HI",2,IF(E1851="LO",6,10))+IF(D1851=1,2,IF(D1851=7,1,(IF(WEEKDAY(B1851)=1,2,IF(WEEKDAY(B1851)=7,1,0))))))</f>
        <v>3</v>
      </c>
      <c r="H1851" s="370">
        <v>12310.032592773438</v>
      </c>
      <c r="I1851" s="370">
        <v>1856.9730280637741</v>
      </c>
      <c r="M1851" s="371">
        <f t="shared" si="113"/>
        <v>12449.307260329815</v>
      </c>
      <c r="N1851" s="329">
        <f t="shared" si="114"/>
        <v>0</v>
      </c>
      <c r="T1851" s="331">
        <v>0</v>
      </c>
      <c r="U1851" s="328">
        <f>VLOOKUP(C1851,METADATA!$J$5:$Q$29,IF(E1851="HI",2,IF(E1851="LO",6,10))+IF(T1851=1,2,IF(D1851=7,1,(IF(WEEKDAY(B1851)=1,2,IF(WEEKDAY(B1851)=7,1,0))))))</f>
        <v>3</v>
      </c>
      <c r="V1851" s="328">
        <f>VLOOKUP(C1851,METADATA!$A$5:$H$29,IF(E1851="HI",2,IF(E1851="LO",6,10))+IF(T1851=1,2,IF(D1851=7,1,(IF(WEEKDAY(B1851)=1,2,IF(WEEKDAY(B1851)=7,1,0))))))</f>
        <v>3</v>
      </c>
    </row>
    <row r="1852" spans="2:22">
      <c r="B1852" s="318">
        <f t="shared" si="115"/>
        <v>46190</v>
      </c>
      <c r="C1852" s="312">
        <v>0</v>
      </c>
      <c r="D1852" s="368">
        <f>IFERROR((INDEX(METADATA!$T$2:$T$20,MATCH(B1852,METADATA!$S$2:$S$20,0))),0)</f>
        <v>0</v>
      </c>
      <c r="E1852" s="312" t="str">
        <f t="shared" si="112"/>
        <v>LO</v>
      </c>
      <c r="F1852" s="369">
        <f>VLOOKUP(C1852,METADATA!$A$5:$H$29,IF(E1852="HI",2,IF(E1852="LO",6,10))+IF(D1852=1,2,IF(D1852=7,1,(IF(WEEKDAY(B1852)=1,2,IF(WEEKDAY(B1852)=7,1,0))))))</f>
        <v>3</v>
      </c>
      <c r="G1852" s="369">
        <f>VLOOKUP(C1852,METADATA!$J$5:$Q$29,IF(E1852="HI",2,IF(E1852="LO",6,10))+IF(D1852=1,2,IF(D1852=7,1,(IF(WEEKDAY(B1852)=1,2,IF(WEEKDAY(B1852)=7,1,0))))))</f>
        <v>3</v>
      </c>
      <c r="H1852" s="370">
        <v>13499.424926757813</v>
      </c>
      <c r="I1852" s="370">
        <v>2083.8974533081055</v>
      </c>
      <c r="M1852" s="371">
        <f t="shared" si="113"/>
        <v>13659.322894970825</v>
      </c>
      <c r="N1852" s="329">
        <f t="shared" si="114"/>
        <v>0</v>
      </c>
      <c r="T1852" s="331">
        <v>0</v>
      </c>
      <c r="U1852" s="328">
        <f>VLOOKUP(C1852,METADATA!$J$5:$Q$29,IF(E1852="HI",2,IF(E1852="LO",6,10))+IF(T1852=1,2,IF(D1852=7,1,(IF(WEEKDAY(B1852)=1,2,IF(WEEKDAY(B1852)=7,1,0))))))</f>
        <v>3</v>
      </c>
      <c r="V1852" s="328">
        <f>VLOOKUP(C1852,METADATA!$A$5:$H$29,IF(E1852="HI",2,IF(E1852="LO",6,10))+IF(T1852=1,2,IF(D1852=7,1,(IF(WEEKDAY(B1852)=1,2,IF(WEEKDAY(B1852)=7,1,0))))))</f>
        <v>3</v>
      </c>
    </row>
    <row r="1853" spans="2:22">
      <c r="B1853" s="318">
        <f t="shared" si="115"/>
        <v>46190</v>
      </c>
      <c r="C1853" s="312">
        <v>1</v>
      </c>
      <c r="D1853" s="368">
        <f>IFERROR((INDEX(METADATA!$T$2:$T$20,MATCH(B1853,METADATA!$S$2:$S$20,0))),0)</f>
        <v>0</v>
      </c>
      <c r="E1853" s="312" t="str">
        <f t="shared" si="112"/>
        <v>LO</v>
      </c>
      <c r="F1853" s="369">
        <f>VLOOKUP(C1853,METADATA!$A$5:$H$29,IF(E1853="HI",2,IF(E1853="LO",6,10))+IF(D1853=1,2,IF(D1853=7,1,(IF(WEEKDAY(B1853)=1,2,IF(WEEKDAY(B1853)=7,1,0))))))</f>
        <v>3</v>
      </c>
      <c r="G1853" s="369">
        <f>VLOOKUP(C1853,METADATA!$J$5:$Q$29,IF(E1853="HI",2,IF(E1853="LO",6,10))+IF(D1853=1,2,IF(D1853=7,1,(IF(WEEKDAY(B1853)=1,2,IF(WEEKDAY(B1853)=7,1,0))))))</f>
        <v>3</v>
      </c>
      <c r="H1853" s="370">
        <v>13459.800170898438</v>
      </c>
      <c r="I1853" s="370">
        <v>2132.3274917602539</v>
      </c>
      <c r="M1853" s="371">
        <f t="shared" si="113"/>
        <v>13627.657215113468</v>
      </c>
      <c r="N1853" s="329">
        <f t="shared" si="114"/>
        <v>0</v>
      </c>
      <c r="T1853" s="331">
        <v>0</v>
      </c>
      <c r="U1853" s="328">
        <f>VLOOKUP(C1853,METADATA!$J$5:$Q$29,IF(E1853="HI",2,IF(E1853="LO",6,10))+IF(T1853=1,2,IF(D1853=7,1,(IF(WEEKDAY(B1853)=1,2,IF(WEEKDAY(B1853)=7,1,0))))))</f>
        <v>3</v>
      </c>
      <c r="V1853" s="328">
        <f>VLOOKUP(C1853,METADATA!$A$5:$H$29,IF(E1853="HI",2,IF(E1853="LO",6,10))+IF(T1853=1,2,IF(D1853=7,1,(IF(WEEKDAY(B1853)=1,2,IF(WEEKDAY(B1853)=7,1,0))))))</f>
        <v>3</v>
      </c>
    </row>
    <row r="1854" spans="2:22">
      <c r="B1854" s="318">
        <f t="shared" si="115"/>
        <v>46190</v>
      </c>
      <c r="C1854" s="312">
        <v>2</v>
      </c>
      <c r="D1854" s="368">
        <f>IFERROR((INDEX(METADATA!$T$2:$T$20,MATCH(B1854,METADATA!$S$2:$S$20,0))),0)</f>
        <v>0</v>
      </c>
      <c r="E1854" s="312" t="str">
        <f t="shared" si="112"/>
        <v>LO</v>
      </c>
      <c r="F1854" s="369">
        <f>VLOOKUP(C1854,METADATA!$A$5:$H$29,IF(E1854="HI",2,IF(E1854="LO",6,10))+IF(D1854=1,2,IF(D1854=7,1,(IF(WEEKDAY(B1854)=1,2,IF(WEEKDAY(B1854)=7,1,0))))))</f>
        <v>3</v>
      </c>
      <c r="G1854" s="369">
        <f>VLOOKUP(C1854,METADATA!$J$5:$Q$29,IF(E1854="HI",2,IF(E1854="LO",6,10))+IF(D1854=1,2,IF(D1854=7,1,(IF(WEEKDAY(B1854)=1,2,IF(WEEKDAY(B1854)=7,1,0))))))</f>
        <v>3</v>
      </c>
      <c r="H1854" s="370">
        <v>13328.530700683594</v>
      </c>
      <c r="I1854" s="370">
        <v>2046.4075393676758</v>
      </c>
      <c r="M1854" s="371">
        <f t="shared" si="113"/>
        <v>13484.71410361547</v>
      </c>
      <c r="N1854" s="329">
        <f t="shared" si="114"/>
        <v>0</v>
      </c>
      <c r="T1854" s="331">
        <v>0</v>
      </c>
      <c r="U1854" s="328">
        <f>VLOOKUP(C1854,METADATA!$J$5:$Q$29,IF(E1854="HI",2,IF(E1854="LO",6,10))+IF(T1854=1,2,IF(D1854=7,1,(IF(WEEKDAY(B1854)=1,2,IF(WEEKDAY(B1854)=7,1,0))))))</f>
        <v>3</v>
      </c>
      <c r="V1854" s="328">
        <f>VLOOKUP(C1854,METADATA!$A$5:$H$29,IF(E1854="HI",2,IF(E1854="LO",6,10))+IF(T1854=1,2,IF(D1854=7,1,(IF(WEEKDAY(B1854)=1,2,IF(WEEKDAY(B1854)=7,1,0))))))</f>
        <v>3</v>
      </c>
    </row>
    <row r="1855" spans="2:22">
      <c r="B1855" s="318">
        <f t="shared" si="115"/>
        <v>46190</v>
      </c>
      <c r="C1855" s="312">
        <v>3</v>
      </c>
      <c r="D1855" s="368">
        <f>IFERROR((INDEX(METADATA!$T$2:$T$20,MATCH(B1855,METADATA!$S$2:$S$20,0))),0)</f>
        <v>0</v>
      </c>
      <c r="E1855" s="312" t="str">
        <f t="shared" si="112"/>
        <v>LO</v>
      </c>
      <c r="F1855" s="369">
        <f>VLOOKUP(C1855,METADATA!$A$5:$H$29,IF(E1855="HI",2,IF(E1855="LO",6,10))+IF(D1855=1,2,IF(D1855=7,1,(IF(WEEKDAY(B1855)=1,2,IF(WEEKDAY(B1855)=7,1,0))))))</f>
        <v>3</v>
      </c>
      <c r="G1855" s="369">
        <f>VLOOKUP(C1855,METADATA!$J$5:$Q$29,IF(E1855="HI",2,IF(E1855="LO",6,10))+IF(D1855=1,2,IF(D1855=7,1,(IF(WEEKDAY(B1855)=1,2,IF(WEEKDAY(B1855)=7,1,0))))))</f>
        <v>3</v>
      </c>
      <c r="H1855" s="370">
        <v>13381.697814941406</v>
      </c>
      <c r="I1855" s="370">
        <v>2068.4624938964844</v>
      </c>
      <c r="M1855" s="371">
        <f t="shared" si="113"/>
        <v>13540.619391263608</v>
      </c>
      <c r="N1855" s="329">
        <f t="shared" si="114"/>
        <v>0</v>
      </c>
      <c r="T1855" s="331">
        <v>0</v>
      </c>
      <c r="U1855" s="328">
        <f>VLOOKUP(C1855,METADATA!$J$5:$Q$29,IF(E1855="HI",2,IF(E1855="LO",6,10))+IF(T1855=1,2,IF(D1855=7,1,(IF(WEEKDAY(B1855)=1,2,IF(WEEKDAY(B1855)=7,1,0))))))</f>
        <v>3</v>
      </c>
      <c r="V1855" s="328">
        <f>VLOOKUP(C1855,METADATA!$A$5:$H$29,IF(E1855="HI",2,IF(E1855="LO",6,10))+IF(T1855=1,2,IF(D1855=7,1,(IF(WEEKDAY(B1855)=1,2,IF(WEEKDAY(B1855)=7,1,0))))))</f>
        <v>3</v>
      </c>
    </row>
    <row r="1856" spans="2:22">
      <c r="B1856" s="318">
        <f t="shared" si="115"/>
        <v>46190</v>
      </c>
      <c r="C1856" s="312">
        <v>4</v>
      </c>
      <c r="D1856" s="368">
        <f>IFERROR((INDEX(METADATA!$T$2:$T$20,MATCH(B1856,METADATA!$S$2:$S$20,0))),0)</f>
        <v>0</v>
      </c>
      <c r="E1856" s="312" t="str">
        <f t="shared" si="112"/>
        <v>LO</v>
      </c>
      <c r="F1856" s="369">
        <f>VLOOKUP(C1856,METADATA!$A$5:$H$29,IF(E1856="HI",2,IF(E1856="LO",6,10))+IF(D1856=1,2,IF(D1856=7,1,(IF(WEEKDAY(B1856)=1,2,IF(WEEKDAY(B1856)=7,1,0))))))</f>
        <v>3</v>
      </c>
      <c r="G1856" s="369">
        <f>VLOOKUP(C1856,METADATA!$J$5:$Q$29,IF(E1856="HI",2,IF(E1856="LO",6,10))+IF(D1856=1,2,IF(D1856=7,1,(IF(WEEKDAY(B1856)=1,2,IF(WEEKDAY(B1856)=7,1,0))))))</f>
        <v>3</v>
      </c>
      <c r="H1856" s="370">
        <v>13437.075012207031</v>
      </c>
      <c r="I1856" s="370">
        <v>2114.3774948120117</v>
      </c>
      <c r="M1856" s="371">
        <f t="shared" si="113"/>
        <v>13602.410708188681</v>
      </c>
      <c r="N1856" s="329">
        <f t="shared" si="114"/>
        <v>0</v>
      </c>
      <c r="T1856" s="331">
        <v>0</v>
      </c>
      <c r="U1856" s="328">
        <f>VLOOKUP(C1856,METADATA!$J$5:$Q$29,IF(E1856="HI",2,IF(E1856="LO",6,10))+IF(T1856=1,2,IF(D1856=7,1,(IF(WEEKDAY(B1856)=1,2,IF(WEEKDAY(B1856)=7,1,0))))))</f>
        <v>3</v>
      </c>
      <c r="V1856" s="328">
        <f>VLOOKUP(C1856,METADATA!$A$5:$H$29,IF(E1856="HI",2,IF(E1856="LO",6,10))+IF(T1856=1,2,IF(D1856=7,1,(IF(WEEKDAY(B1856)=1,2,IF(WEEKDAY(B1856)=7,1,0))))))</f>
        <v>3</v>
      </c>
    </row>
    <row r="1857" spans="2:22">
      <c r="B1857" s="318">
        <f t="shared" si="115"/>
        <v>46190</v>
      </c>
      <c r="C1857" s="312">
        <v>5</v>
      </c>
      <c r="D1857" s="368">
        <f>IFERROR((INDEX(METADATA!$T$2:$T$20,MATCH(B1857,METADATA!$S$2:$S$20,0))),0)</f>
        <v>0</v>
      </c>
      <c r="E1857" s="312" t="str">
        <f t="shared" si="112"/>
        <v>LO</v>
      </c>
      <c r="F1857" s="369">
        <f>VLOOKUP(C1857,METADATA!$A$5:$H$29,IF(E1857="HI",2,IF(E1857="LO",6,10))+IF(D1857=1,2,IF(D1857=7,1,(IF(WEEKDAY(B1857)=1,2,IF(WEEKDAY(B1857)=7,1,0))))))</f>
        <v>3</v>
      </c>
      <c r="G1857" s="369">
        <f>VLOOKUP(C1857,METADATA!$J$5:$Q$29,IF(E1857="HI",2,IF(E1857="LO",6,10))+IF(D1857=1,2,IF(D1857=7,1,(IF(WEEKDAY(B1857)=1,2,IF(WEEKDAY(B1857)=7,1,0))))))</f>
        <v>3</v>
      </c>
      <c r="H1857" s="370">
        <v>13490.025329589844</v>
      </c>
      <c r="I1857" s="370">
        <v>2034.984992980957</v>
      </c>
      <c r="M1857" s="371">
        <f t="shared" si="113"/>
        <v>13642.651769895518</v>
      </c>
      <c r="N1857" s="329">
        <f t="shared" si="114"/>
        <v>0</v>
      </c>
      <c r="T1857" s="331">
        <v>0</v>
      </c>
      <c r="U1857" s="328">
        <f>VLOOKUP(C1857,METADATA!$J$5:$Q$29,IF(E1857="HI",2,IF(E1857="LO",6,10))+IF(T1857=1,2,IF(D1857=7,1,(IF(WEEKDAY(B1857)=1,2,IF(WEEKDAY(B1857)=7,1,0))))))</f>
        <v>3</v>
      </c>
      <c r="V1857" s="328">
        <f>VLOOKUP(C1857,METADATA!$A$5:$H$29,IF(E1857="HI",2,IF(E1857="LO",6,10))+IF(T1857=1,2,IF(D1857=7,1,(IF(WEEKDAY(B1857)=1,2,IF(WEEKDAY(B1857)=7,1,0))))))</f>
        <v>3</v>
      </c>
    </row>
    <row r="1858" spans="2:22">
      <c r="B1858" s="318">
        <f t="shared" si="115"/>
        <v>46190</v>
      </c>
      <c r="C1858" s="312">
        <v>6</v>
      </c>
      <c r="D1858" s="368">
        <f>IFERROR((INDEX(METADATA!$T$2:$T$20,MATCH(B1858,METADATA!$S$2:$S$20,0))),0)</f>
        <v>0</v>
      </c>
      <c r="E1858" s="312" t="str">
        <f t="shared" si="112"/>
        <v>LO</v>
      </c>
      <c r="F1858" s="369">
        <f>VLOOKUP(C1858,METADATA!$A$5:$H$29,IF(E1858="HI",2,IF(E1858="LO",6,10))+IF(D1858=1,2,IF(D1858=7,1,(IF(WEEKDAY(B1858)=1,2,IF(WEEKDAY(B1858)=7,1,0))))))</f>
        <v>2</v>
      </c>
      <c r="G1858" s="369">
        <f>VLOOKUP(C1858,METADATA!$J$5:$Q$29,IF(E1858="HI",2,IF(E1858="LO",6,10))+IF(D1858=1,2,IF(D1858=7,1,(IF(WEEKDAY(B1858)=1,2,IF(WEEKDAY(B1858)=7,1,0))))))</f>
        <v>2</v>
      </c>
      <c r="H1858" s="370">
        <v>13334.12548828125</v>
      </c>
      <c r="I1858" s="370">
        <v>1824.0700378417969</v>
      </c>
      <c r="M1858" s="371">
        <f t="shared" si="113"/>
        <v>13458.3109653546</v>
      </c>
      <c r="N1858" s="329">
        <f t="shared" si="114"/>
        <v>0</v>
      </c>
      <c r="T1858" s="331">
        <v>0</v>
      </c>
      <c r="U1858" s="328">
        <f>VLOOKUP(C1858,METADATA!$J$5:$Q$29,IF(E1858="HI",2,IF(E1858="LO",6,10))+IF(T1858=1,2,IF(D1858=7,1,(IF(WEEKDAY(B1858)=1,2,IF(WEEKDAY(B1858)=7,1,0))))))</f>
        <v>2</v>
      </c>
      <c r="V1858" s="328">
        <f>VLOOKUP(C1858,METADATA!$A$5:$H$29,IF(E1858="HI",2,IF(E1858="LO",6,10))+IF(T1858=1,2,IF(D1858=7,1,(IF(WEEKDAY(B1858)=1,2,IF(WEEKDAY(B1858)=7,1,0))))))</f>
        <v>2</v>
      </c>
    </row>
    <row r="1859" spans="2:22">
      <c r="B1859" s="318">
        <f t="shared" si="115"/>
        <v>46190</v>
      </c>
      <c r="C1859" s="312">
        <v>7</v>
      </c>
      <c r="D1859" s="368">
        <f>IFERROR((INDEX(METADATA!$T$2:$T$20,MATCH(B1859,METADATA!$S$2:$S$20,0))),0)</f>
        <v>0</v>
      </c>
      <c r="E1859" s="312" t="str">
        <f t="shared" si="112"/>
        <v>LO</v>
      </c>
      <c r="F1859" s="369">
        <f>VLOOKUP(C1859,METADATA!$A$5:$H$29,IF(E1859="HI",2,IF(E1859="LO",6,10))+IF(D1859=1,2,IF(D1859=7,1,(IF(WEEKDAY(B1859)=1,2,IF(WEEKDAY(B1859)=7,1,0))))))</f>
        <v>1</v>
      </c>
      <c r="G1859" s="369">
        <f>VLOOKUP(C1859,METADATA!$J$5:$Q$29,IF(E1859="HI",2,IF(E1859="LO",6,10))+IF(D1859=1,2,IF(D1859=7,1,(IF(WEEKDAY(B1859)=1,2,IF(WEEKDAY(B1859)=7,1,0))))))</f>
        <v>1</v>
      </c>
      <c r="H1859" s="370">
        <v>8861.3501586914063</v>
      </c>
      <c r="I1859" s="370">
        <v>227.93049346655607</v>
      </c>
      <c r="M1859" s="371">
        <f t="shared" si="113"/>
        <v>8864.2810732056623</v>
      </c>
      <c r="N1859" s="329">
        <f t="shared" si="114"/>
        <v>0</v>
      </c>
      <c r="T1859" s="331">
        <v>0</v>
      </c>
      <c r="U1859" s="328">
        <f>VLOOKUP(C1859,METADATA!$J$5:$Q$29,IF(E1859="HI",2,IF(E1859="LO",6,10))+IF(T1859=1,2,IF(D1859=7,1,(IF(WEEKDAY(B1859)=1,2,IF(WEEKDAY(B1859)=7,1,0))))))</f>
        <v>1</v>
      </c>
      <c r="V1859" s="328">
        <f>VLOOKUP(C1859,METADATA!$A$5:$H$29,IF(E1859="HI",2,IF(E1859="LO",6,10))+IF(T1859=1,2,IF(D1859=7,1,(IF(WEEKDAY(B1859)=1,2,IF(WEEKDAY(B1859)=7,1,0))))))</f>
        <v>1</v>
      </c>
    </row>
    <row r="1860" spans="2:22">
      <c r="B1860" s="318">
        <f t="shared" si="115"/>
        <v>46190</v>
      </c>
      <c r="C1860" s="312">
        <v>8</v>
      </c>
      <c r="D1860" s="368">
        <f>IFERROR((INDEX(METADATA!$T$2:$T$20,MATCH(B1860,METADATA!$S$2:$S$20,0))),0)</f>
        <v>0</v>
      </c>
      <c r="E1860" s="312" t="str">
        <f t="shared" ref="E1860:E1923" si="116">IF(B1860="","",IF(AND(MONTH(B1860)&gt;=MONTH($Z$9),MONTH(B1860)&lt;=MONTH($Z$11)),"HI","LO"))</f>
        <v>LO</v>
      </c>
      <c r="F1860" s="369">
        <f>VLOOKUP(C1860,METADATA!$A$5:$H$29,IF(E1860="HI",2,IF(E1860="LO",6,10))+IF(D1860=1,2,IF(D1860=7,1,(IF(WEEKDAY(B1860)=1,2,IF(WEEKDAY(B1860)=7,1,0))))))</f>
        <v>1</v>
      </c>
      <c r="G1860" s="369">
        <f>VLOOKUP(C1860,METADATA!$J$5:$Q$29,IF(E1860="HI",2,IF(E1860="LO",6,10))+IF(D1860=1,2,IF(D1860=7,1,(IF(WEEKDAY(B1860)=1,2,IF(WEEKDAY(B1860)=7,1,0))))))</f>
        <v>1</v>
      </c>
      <c r="H1860" s="370">
        <v>6164.6476440429688</v>
      </c>
      <c r="I1860" s="370">
        <v>0</v>
      </c>
      <c r="M1860" s="371">
        <f t="shared" ref="M1860:M1923" si="117">SQRT(H1860^2+I1860^2)</f>
        <v>6164.6476440429688</v>
      </c>
      <c r="N1860" s="329">
        <f t="shared" ref="N1860:N1923" si="118">IF(H1860=0,0,(IF(I1860-(0.3*H1860)&lt;0,0,(I1860-(0.3*H1860)))))</f>
        <v>0</v>
      </c>
      <c r="T1860" s="331">
        <v>0</v>
      </c>
      <c r="U1860" s="328">
        <f>VLOOKUP(C1860,METADATA!$J$5:$Q$29,IF(E1860="HI",2,IF(E1860="LO",6,10))+IF(T1860=1,2,IF(D1860=7,1,(IF(WEEKDAY(B1860)=1,2,IF(WEEKDAY(B1860)=7,1,0))))))</f>
        <v>1</v>
      </c>
      <c r="V1860" s="328">
        <f>VLOOKUP(C1860,METADATA!$A$5:$H$29,IF(E1860="HI",2,IF(E1860="LO",6,10))+IF(T1860=1,2,IF(D1860=7,1,(IF(WEEKDAY(B1860)=1,2,IF(WEEKDAY(B1860)=7,1,0))))))</f>
        <v>1</v>
      </c>
    </row>
    <row r="1861" spans="2:22">
      <c r="B1861" s="318">
        <f t="shared" si="115"/>
        <v>46190</v>
      </c>
      <c r="C1861" s="312">
        <v>9</v>
      </c>
      <c r="D1861" s="368">
        <f>IFERROR((INDEX(METADATA!$T$2:$T$20,MATCH(B1861,METADATA!$S$2:$S$20,0))),0)</f>
        <v>0</v>
      </c>
      <c r="E1861" s="312" t="str">
        <f t="shared" si="116"/>
        <v>LO</v>
      </c>
      <c r="F1861" s="369">
        <f>VLOOKUP(C1861,METADATA!$A$5:$H$29,IF(E1861="HI",2,IF(E1861="LO",6,10))+IF(D1861=1,2,IF(D1861=7,1,(IF(WEEKDAY(B1861)=1,2,IF(WEEKDAY(B1861)=7,1,0))))))</f>
        <v>2</v>
      </c>
      <c r="G1861" s="369">
        <f>VLOOKUP(C1861,METADATA!$J$5:$Q$29,IF(E1861="HI",2,IF(E1861="LO",6,10))+IF(D1861=1,2,IF(D1861=7,1,(IF(WEEKDAY(B1861)=1,2,IF(WEEKDAY(B1861)=7,1,0))))))</f>
        <v>2</v>
      </c>
      <c r="H1861" s="370">
        <v>6892.41259765625</v>
      </c>
      <c r="I1861" s="370">
        <v>191.40000152587891</v>
      </c>
      <c r="M1861" s="371">
        <f t="shared" si="117"/>
        <v>6895.0696426442773</v>
      </c>
      <c r="N1861" s="329">
        <f t="shared" si="118"/>
        <v>0</v>
      </c>
      <c r="T1861" s="331">
        <v>0</v>
      </c>
      <c r="U1861" s="328">
        <f>VLOOKUP(C1861,METADATA!$J$5:$Q$29,IF(E1861="HI",2,IF(E1861="LO",6,10))+IF(T1861=1,2,IF(D1861=7,1,(IF(WEEKDAY(B1861)=1,2,IF(WEEKDAY(B1861)=7,1,0))))))</f>
        <v>2</v>
      </c>
      <c r="V1861" s="328">
        <f>VLOOKUP(C1861,METADATA!$A$5:$H$29,IF(E1861="HI",2,IF(E1861="LO",6,10))+IF(T1861=1,2,IF(D1861=7,1,(IF(WEEKDAY(B1861)=1,2,IF(WEEKDAY(B1861)=7,1,0))))))</f>
        <v>2</v>
      </c>
    </row>
    <row r="1862" spans="2:22">
      <c r="B1862" s="318">
        <f t="shared" si="115"/>
        <v>46190</v>
      </c>
      <c r="C1862" s="312">
        <v>10</v>
      </c>
      <c r="D1862" s="368">
        <f>IFERROR((INDEX(METADATA!$T$2:$T$20,MATCH(B1862,METADATA!$S$2:$S$20,0))),0)</f>
        <v>0</v>
      </c>
      <c r="E1862" s="312" t="str">
        <f t="shared" si="116"/>
        <v>LO</v>
      </c>
      <c r="F1862" s="369">
        <f>VLOOKUP(C1862,METADATA!$A$5:$H$29,IF(E1862="HI",2,IF(E1862="LO",6,10))+IF(D1862=1,2,IF(D1862=7,1,(IF(WEEKDAY(B1862)=1,2,IF(WEEKDAY(B1862)=7,1,0))))))</f>
        <v>2</v>
      </c>
      <c r="G1862" s="369">
        <f>VLOOKUP(C1862,METADATA!$J$5:$Q$29,IF(E1862="HI",2,IF(E1862="LO",6,10))+IF(D1862=1,2,IF(D1862=7,1,(IF(WEEKDAY(B1862)=1,2,IF(WEEKDAY(B1862)=7,1,0))))))</f>
        <v>2</v>
      </c>
      <c r="H1862" s="370">
        <v>9917.4951171875</v>
      </c>
      <c r="I1862" s="370">
        <v>1284.9599914550781</v>
      </c>
      <c r="M1862" s="371">
        <f t="shared" si="117"/>
        <v>10000.391571287504</v>
      </c>
      <c r="N1862" s="329">
        <f t="shared" si="118"/>
        <v>0</v>
      </c>
      <c r="T1862" s="331">
        <v>0</v>
      </c>
      <c r="U1862" s="328">
        <f>VLOOKUP(C1862,METADATA!$J$5:$Q$29,IF(E1862="HI",2,IF(E1862="LO",6,10))+IF(T1862=1,2,IF(D1862=7,1,(IF(WEEKDAY(B1862)=1,2,IF(WEEKDAY(B1862)=7,1,0))))))</f>
        <v>2</v>
      </c>
      <c r="V1862" s="328">
        <f>VLOOKUP(C1862,METADATA!$A$5:$H$29,IF(E1862="HI",2,IF(E1862="LO",6,10))+IF(T1862=1,2,IF(D1862=7,1,(IF(WEEKDAY(B1862)=1,2,IF(WEEKDAY(B1862)=7,1,0))))))</f>
        <v>2</v>
      </c>
    </row>
    <row r="1863" spans="2:22">
      <c r="B1863" s="318">
        <f t="shared" si="115"/>
        <v>46190</v>
      </c>
      <c r="C1863" s="312">
        <v>11</v>
      </c>
      <c r="D1863" s="368">
        <f>IFERROR((INDEX(METADATA!$T$2:$T$20,MATCH(B1863,METADATA!$S$2:$S$20,0))),0)</f>
        <v>0</v>
      </c>
      <c r="E1863" s="312" t="str">
        <f t="shared" si="116"/>
        <v>LO</v>
      </c>
      <c r="F1863" s="369">
        <f>VLOOKUP(C1863,METADATA!$A$5:$H$29,IF(E1863="HI",2,IF(E1863="LO",6,10))+IF(D1863=1,2,IF(D1863=7,1,(IF(WEEKDAY(B1863)=1,2,IF(WEEKDAY(B1863)=7,1,0))))))</f>
        <v>2</v>
      </c>
      <c r="G1863" s="369">
        <f>VLOOKUP(C1863,METADATA!$J$5:$Q$29,IF(E1863="HI",2,IF(E1863="LO",6,10))+IF(D1863=1,2,IF(D1863=7,1,(IF(WEEKDAY(B1863)=1,2,IF(WEEKDAY(B1863)=7,1,0))))))</f>
        <v>2</v>
      </c>
      <c r="H1863" s="370">
        <v>11331.684875488281</v>
      </c>
      <c r="I1863" s="370">
        <v>1734.3599853515625</v>
      </c>
      <c r="M1863" s="371">
        <f t="shared" si="117"/>
        <v>11463.641946439122</v>
      </c>
      <c r="N1863" s="329">
        <f t="shared" si="118"/>
        <v>0</v>
      </c>
      <c r="T1863" s="331">
        <v>0</v>
      </c>
      <c r="U1863" s="328">
        <f>VLOOKUP(C1863,METADATA!$J$5:$Q$29,IF(E1863="HI",2,IF(E1863="LO",6,10))+IF(T1863=1,2,IF(D1863=7,1,(IF(WEEKDAY(B1863)=1,2,IF(WEEKDAY(B1863)=7,1,0))))))</f>
        <v>2</v>
      </c>
      <c r="V1863" s="328">
        <f>VLOOKUP(C1863,METADATA!$A$5:$H$29,IF(E1863="HI",2,IF(E1863="LO",6,10))+IF(T1863=1,2,IF(D1863=7,1,(IF(WEEKDAY(B1863)=1,2,IF(WEEKDAY(B1863)=7,1,0))))))</f>
        <v>2</v>
      </c>
    </row>
    <row r="1864" spans="2:22">
      <c r="B1864" s="318">
        <f t="shared" si="115"/>
        <v>46190</v>
      </c>
      <c r="C1864" s="312">
        <v>12</v>
      </c>
      <c r="D1864" s="368">
        <f>IFERROR((INDEX(METADATA!$T$2:$T$20,MATCH(B1864,METADATA!$S$2:$S$20,0))),0)</f>
        <v>0</v>
      </c>
      <c r="E1864" s="312" t="str">
        <f t="shared" si="116"/>
        <v>LO</v>
      </c>
      <c r="F1864" s="369">
        <f>VLOOKUP(C1864,METADATA!$A$5:$H$29,IF(E1864="HI",2,IF(E1864="LO",6,10))+IF(D1864=1,2,IF(D1864=7,1,(IF(WEEKDAY(B1864)=1,2,IF(WEEKDAY(B1864)=7,1,0))))))</f>
        <v>2</v>
      </c>
      <c r="G1864" s="369">
        <f>VLOOKUP(C1864,METADATA!$J$5:$Q$29,IF(E1864="HI",2,IF(E1864="LO",6,10))+IF(D1864=1,2,IF(D1864=7,1,(IF(WEEKDAY(B1864)=1,2,IF(WEEKDAY(B1864)=7,1,0))))))</f>
        <v>2</v>
      </c>
      <c r="H1864" s="370">
        <v>11742.674926757813</v>
      </c>
      <c r="I1864" s="370">
        <v>1846.4400472044945</v>
      </c>
      <c r="M1864" s="371">
        <f t="shared" si="117"/>
        <v>11886.957360209008</v>
      </c>
      <c r="N1864" s="329">
        <f t="shared" si="118"/>
        <v>0</v>
      </c>
      <c r="T1864" s="331">
        <v>0</v>
      </c>
      <c r="U1864" s="328">
        <f>VLOOKUP(C1864,METADATA!$J$5:$Q$29,IF(E1864="HI",2,IF(E1864="LO",6,10))+IF(T1864=1,2,IF(D1864=7,1,(IF(WEEKDAY(B1864)=1,2,IF(WEEKDAY(B1864)=7,1,0))))))</f>
        <v>2</v>
      </c>
      <c r="V1864" s="328">
        <f>VLOOKUP(C1864,METADATA!$A$5:$H$29,IF(E1864="HI",2,IF(E1864="LO",6,10))+IF(T1864=1,2,IF(D1864=7,1,(IF(WEEKDAY(B1864)=1,2,IF(WEEKDAY(B1864)=7,1,0))))))</f>
        <v>2</v>
      </c>
    </row>
    <row r="1865" spans="2:22">
      <c r="B1865" s="318">
        <f t="shared" si="115"/>
        <v>46190</v>
      </c>
      <c r="C1865" s="312">
        <v>13</v>
      </c>
      <c r="D1865" s="368">
        <f>IFERROR((INDEX(METADATA!$T$2:$T$20,MATCH(B1865,METADATA!$S$2:$S$20,0))),0)</f>
        <v>0</v>
      </c>
      <c r="E1865" s="312" t="str">
        <f t="shared" si="116"/>
        <v>LO</v>
      </c>
      <c r="F1865" s="369">
        <f>VLOOKUP(C1865,METADATA!$A$5:$H$29,IF(E1865="HI",2,IF(E1865="LO",6,10))+IF(D1865=1,2,IF(D1865=7,1,(IF(WEEKDAY(B1865)=1,2,IF(WEEKDAY(B1865)=7,1,0))))))</f>
        <v>2</v>
      </c>
      <c r="G1865" s="369">
        <f>VLOOKUP(C1865,METADATA!$J$5:$Q$29,IF(E1865="HI",2,IF(E1865="LO",6,10))+IF(D1865=1,2,IF(D1865=7,1,(IF(WEEKDAY(B1865)=1,2,IF(WEEKDAY(B1865)=7,1,0))))))</f>
        <v>2</v>
      </c>
      <c r="H1865" s="370">
        <v>11724.812469482422</v>
      </c>
      <c r="I1865" s="370">
        <v>1985.7300242185593</v>
      </c>
      <c r="M1865" s="371">
        <f t="shared" si="117"/>
        <v>11891.776619732374</v>
      </c>
      <c r="N1865" s="329">
        <f t="shared" si="118"/>
        <v>0</v>
      </c>
      <c r="T1865" s="331">
        <v>0</v>
      </c>
      <c r="U1865" s="328">
        <f>VLOOKUP(C1865,METADATA!$J$5:$Q$29,IF(E1865="HI",2,IF(E1865="LO",6,10))+IF(T1865=1,2,IF(D1865=7,1,(IF(WEEKDAY(B1865)=1,2,IF(WEEKDAY(B1865)=7,1,0))))))</f>
        <v>2</v>
      </c>
      <c r="V1865" s="328">
        <f>VLOOKUP(C1865,METADATA!$A$5:$H$29,IF(E1865="HI",2,IF(E1865="LO",6,10))+IF(T1865=1,2,IF(D1865=7,1,(IF(WEEKDAY(B1865)=1,2,IF(WEEKDAY(B1865)=7,1,0))))))</f>
        <v>2</v>
      </c>
    </row>
    <row r="1866" spans="2:22">
      <c r="B1866" s="318">
        <f t="shared" si="115"/>
        <v>46190</v>
      </c>
      <c r="C1866" s="312">
        <v>14</v>
      </c>
      <c r="D1866" s="368">
        <f>IFERROR((INDEX(METADATA!$T$2:$T$20,MATCH(B1866,METADATA!$S$2:$S$20,0))),0)</f>
        <v>0</v>
      </c>
      <c r="E1866" s="312" t="str">
        <f t="shared" si="116"/>
        <v>LO</v>
      </c>
      <c r="F1866" s="369">
        <f>VLOOKUP(C1866,METADATA!$A$5:$H$29,IF(E1866="HI",2,IF(E1866="LO",6,10))+IF(D1866=1,2,IF(D1866=7,1,(IF(WEEKDAY(B1866)=1,2,IF(WEEKDAY(B1866)=7,1,0))))))</f>
        <v>2</v>
      </c>
      <c r="G1866" s="369">
        <f>VLOOKUP(C1866,METADATA!$J$5:$Q$29,IF(E1866="HI",2,IF(E1866="LO",6,10))+IF(D1866=1,2,IF(D1866=7,1,(IF(WEEKDAY(B1866)=1,2,IF(WEEKDAY(B1866)=7,1,0))))))</f>
        <v>2</v>
      </c>
      <c r="H1866" s="370">
        <v>11713.005096435547</v>
      </c>
      <c r="I1866" s="370">
        <v>2066.6865033507347</v>
      </c>
      <c r="M1866" s="371">
        <f t="shared" si="117"/>
        <v>11893.934651420328</v>
      </c>
      <c r="N1866" s="329">
        <f t="shared" si="118"/>
        <v>0</v>
      </c>
      <c r="T1866" s="331">
        <v>0</v>
      </c>
      <c r="U1866" s="328">
        <f>VLOOKUP(C1866,METADATA!$J$5:$Q$29,IF(E1866="HI",2,IF(E1866="LO",6,10))+IF(T1866=1,2,IF(D1866=7,1,(IF(WEEKDAY(B1866)=1,2,IF(WEEKDAY(B1866)=7,1,0))))))</f>
        <v>2</v>
      </c>
      <c r="V1866" s="328">
        <f>VLOOKUP(C1866,METADATA!$A$5:$H$29,IF(E1866="HI",2,IF(E1866="LO",6,10))+IF(T1866=1,2,IF(D1866=7,1,(IF(WEEKDAY(B1866)=1,2,IF(WEEKDAY(B1866)=7,1,0))))))</f>
        <v>2</v>
      </c>
    </row>
    <row r="1867" spans="2:22">
      <c r="B1867" s="318">
        <f t="shared" si="115"/>
        <v>46190</v>
      </c>
      <c r="C1867" s="312">
        <v>15</v>
      </c>
      <c r="D1867" s="368">
        <f>IFERROR((INDEX(METADATA!$T$2:$T$20,MATCH(B1867,METADATA!$S$2:$S$20,0))),0)</f>
        <v>0</v>
      </c>
      <c r="E1867" s="312" t="str">
        <f t="shared" si="116"/>
        <v>LO</v>
      </c>
      <c r="F1867" s="369">
        <f>VLOOKUP(C1867,METADATA!$A$5:$H$29,IF(E1867="HI",2,IF(E1867="LO",6,10))+IF(D1867=1,2,IF(D1867=7,1,(IF(WEEKDAY(B1867)=1,2,IF(WEEKDAY(B1867)=7,1,0))))))</f>
        <v>2</v>
      </c>
      <c r="G1867" s="369">
        <f>VLOOKUP(C1867,METADATA!$J$5:$Q$29,IF(E1867="HI",2,IF(E1867="LO",6,10))+IF(D1867=1,2,IF(D1867=7,1,(IF(WEEKDAY(B1867)=1,2,IF(WEEKDAY(B1867)=7,1,0))))))</f>
        <v>2</v>
      </c>
      <c r="H1867" s="370">
        <v>13396.974914550781</v>
      </c>
      <c r="I1867" s="370">
        <v>2324.4824752807617</v>
      </c>
      <c r="M1867" s="371">
        <f t="shared" si="117"/>
        <v>13597.137773773946</v>
      </c>
      <c r="N1867" s="329">
        <f t="shared" si="118"/>
        <v>0</v>
      </c>
      <c r="T1867" s="331">
        <v>0</v>
      </c>
      <c r="U1867" s="328">
        <f>VLOOKUP(C1867,METADATA!$J$5:$Q$29,IF(E1867="HI",2,IF(E1867="LO",6,10))+IF(T1867=1,2,IF(D1867=7,1,(IF(WEEKDAY(B1867)=1,2,IF(WEEKDAY(B1867)=7,1,0))))))</f>
        <v>2</v>
      </c>
      <c r="V1867" s="328">
        <f>VLOOKUP(C1867,METADATA!$A$5:$H$29,IF(E1867="HI",2,IF(E1867="LO",6,10))+IF(T1867=1,2,IF(D1867=7,1,(IF(WEEKDAY(B1867)=1,2,IF(WEEKDAY(B1867)=7,1,0))))))</f>
        <v>2</v>
      </c>
    </row>
    <row r="1868" spans="2:22">
      <c r="B1868" s="318">
        <f t="shared" si="115"/>
        <v>46190</v>
      </c>
      <c r="C1868" s="312">
        <v>16</v>
      </c>
      <c r="D1868" s="368">
        <f>IFERROR((INDEX(METADATA!$T$2:$T$20,MATCH(B1868,METADATA!$S$2:$S$20,0))),0)</f>
        <v>0</v>
      </c>
      <c r="E1868" s="312" t="str">
        <f t="shared" si="116"/>
        <v>LO</v>
      </c>
      <c r="F1868" s="369">
        <f>VLOOKUP(C1868,METADATA!$A$5:$H$29,IF(E1868="HI",2,IF(E1868="LO",6,10))+IF(D1868=1,2,IF(D1868=7,1,(IF(WEEKDAY(B1868)=1,2,IF(WEEKDAY(B1868)=7,1,0))))))</f>
        <v>2</v>
      </c>
      <c r="G1868" s="369">
        <f>VLOOKUP(C1868,METADATA!$J$5:$Q$29,IF(E1868="HI",2,IF(E1868="LO",6,10))+IF(D1868=1,2,IF(D1868=7,1,(IF(WEEKDAY(B1868)=1,2,IF(WEEKDAY(B1868)=7,1,0))))))</f>
        <v>2</v>
      </c>
      <c r="H1868" s="370">
        <v>13339.750061035156</v>
      </c>
      <c r="I1868" s="370">
        <v>2201.85498046875</v>
      </c>
      <c r="M1868" s="371">
        <f t="shared" si="117"/>
        <v>13520.247669547422</v>
      </c>
      <c r="N1868" s="329">
        <f t="shared" si="118"/>
        <v>0</v>
      </c>
      <c r="T1868" s="331">
        <v>0</v>
      </c>
      <c r="U1868" s="328">
        <f>VLOOKUP(C1868,METADATA!$J$5:$Q$29,IF(E1868="HI",2,IF(E1868="LO",6,10))+IF(T1868=1,2,IF(D1868=7,1,(IF(WEEKDAY(B1868)=1,2,IF(WEEKDAY(B1868)=7,1,0))))))</f>
        <v>2</v>
      </c>
      <c r="V1868" s="328">
        <f>VLOOKUP(C1868,METADATA!$A$5:$H$29,IF(E1868="HI",2,IF(E1868="LO",6,10))+IF(T1868=1,2,IF(D1868=7,1,(IF(WEEKDAY(B1868)=1,2,IF(WEEKDAY(B1868)=7,1,0))))))</f>
        <v>2</v>
      </c>
    </row>
    <row r="1869" spans="2:22">
      <c r="B1869" s="318">
        <f t="shared" si="115"/>
        <v>46190</v>
      </c>
      <c r="C1869" s="312">
        <v>17</v>
      </c>
      <c r="D1869" s="368">
        <f>IFERROR((INDEX(METADATA!$T$2:$T$20,MATCH(B1869,METADATA!$S$2:$S$20,0))),0)</f>
        <v>0</v>
      </c>
      <c r="E1869" s="312" t="str">
        <f t="shared" si="116"/>
        <v>LO</v>
      </c>
      <c r="F1869" s="369">
        <f>VLOOKUP(C1869,METADATA!$A$5:$H$29,IF(E1869="HI",2,IF(E1869="LO",6,10))+IF(D1869=1,2,IF(D1869=7,1,(IF(WEEKDAY(B1869)=1,2,IF(WEEKDAY(B1869)=7,1,0))))))</f>
        <v>2</v>
      </c>
      <c r="G1869" s="369">
        <f>VLOOKUP(C1869,METADATA!$J$5:$Q$29,IF(E1869="HI",2,IF(E1869="LO",6,10))+IF(D1869=1,2,IF(D1869=7,1,(IF(WEEKDAY(B1869)=1,2,IF(WEEKDAY(B1869)=7,1,0))))))</f>
        <v>2</v>
      </c>
      <c r="H1869" s="370">
        <v>13298.749816894531</v>
      </c>
      <c r="I1869" s="370">
        <v>2191.4374923706055</v>
      </c>
      <c r="M1869" s="371">
        <f t="shared" si="117"/>
        <v>13478.098715149696</v>
      </c>
      <c r="N1869" s="329">
        <f t="shared" si="118"/>
        <v>0</v>
      </c>
      <c r="T1869" s="331">
        <v>0</v>
      </c>
      <c r="U1869" s="328">
        <f>VLOOKUP(C1869,METADATA!$J$5:$Q$29,IF(E1869="HI",2,IF(E1869="LO",6,10))+IF(T1869=1,2,IF(D1869=7,1,(IF(WEEKDAY(B1869)=1,2,IF(WEEKDAY(B1869)=7,1,0))))))</f>
        <v>2</v>
      </c>
      <c r="V1869" s="328">
        <f>VLOOKUP(C1869,METADATA!$A$5:$H$29,IF(E1869="HI",2,IF(E1869="LO",6,10))+IF(T1869=1,2,IF(D1869=7,1,(IF(WEEKDAY(B1869)=1,2,IF(WEEKDAY(B1869)=7,1,0))))))</f>
        <v>2</v>
      </c>
    </row>
    <row r="1870" spans="2:22">
      <c r="B1870" s="318">
        <f t="shared" si="115"/>
        <v>46190</v>
      </c>
      <c r="C1870" s="312">
        <v>18</v>
      </c>
      <c r="D1870" s="368">
        <f>IFERROR((INDEX(METADATA!$T$2:$T$20,MATCH(B1870,METADATA!$S$2:$S$20,0))),0)</f>
        <v>0</v>
      </c>
      <c r="E1870" s="312" t="str">
        <f t="shared" si="116"/>
        <v>LO</v>
      </c>
      <c r="F1870" s="369">
        <f>VLOOKUP(C1870,METADATA!$A$5:$H$29,IF(E1870="HI",2,IF(E1870="LO",6,10))+IF(D1870=1,2,IF(D1870=7,1,(IF(WEEKDAY(B1870)=1,2,IF(WEEKDAY(B1870)=7,1,0))))))</f>
        <v>1</v>
      </c>
      <c r="G1870" s="369">
        <f>VLOOKUP(C1870,METADATA!$J$5:$Q$29,IF(E1870="HI",2,IF(E1870="LO",6,10))+IF(D1870=1,2,IF(D1870=7,1,(IF(WEEKDAY(B1870)=1,2,IF(WEEKDAY(B1870)=7,1,0))))))</f>
        <v>1</v>
      </c>
      <c r="H1870" s="370">
        <v>13333.625244140625</v>
      </c>
      <c r="I1870" s="370">
        <v>2101.1500015258789</v>
      </c>
      <c r="M1870" s="371">
        <f t="shared" si="117"/>
        <v>13498.162596446093</v>
      </c>
      <c r="N1870" s="329">
        <f t="shared" si="118"/>
        <v>0</v>
      </c>
      <c r="T1870" s="331">
        <v>0</v>
      </c>
      <c r="U1870" s="328">
        <f>VLOOKUP(C1870,METADATA!$J$5:$Q$29,IF(E1870="HI",2,IF(E1870="LO",6,10))+IF(T1870=1,2,IF(D1870=7,1,(IF(WEEKDAY(B1870)=1,2,IF(WEEKDAY(B1870)=7,1,0))))))</f>
        <v>1</v>
      </c>
      <c r="V1870" s="328">
        <f>VLOOKUP(C1870,METADATA!$A$5:$H$29,IF(E1870="HI",2,IF(E1870="LO",6,10))+IF(T1870=1,2,IF(D1870=7,1,(IF(WEEKDAY(B1870)=1,2,IF(WEEKDAY(B1870)=7,1,0))))))</f>
        <v>1</v>
      </c>
    </row>
    <row r="1871" spans="2:22">
      <c r="B1871" s="318">
        <f t="shared" si="115"/>
        <v>46190</v>
      </c>
      <c r="C1871" s="312">
        <v>19</v>
      </c>
      <c r="D1871" s="368">
        <f>IFERROR((INDEX(METADATA!$T$2:$T$20,MATCH(B1871,METADATA!$S$2:$S$20,0))),0)</f>
        <v>0</v>
      </c>
      <c r="E1871" s="312" t="str">
        <f t="shared" si="116"/>
        <v>LO</v>
      </c>
      <c r="F1871" s="369">
        <f>VLOOKUP(C1871,METADATA!$A$5:$H$29,IF(E1871="HI",2,IF(E1871="LO",6,10))+IF(D1871=1,2,IF(D1871=7,1,(IF(WEEKDAY(B1871)=1,2,IF(WEEKDAY(B1871)=7,1,0))))))</f>
        <v>1</v>
      </c>
      <c r="G1871" s="369">
        <f>VLOOKUP(C1871,METADATA!$J$5:$Q$29,IF(E1871="HI",2,IF(E1871="LO",6,10))+IF(D1871=1,2,IF(D1871=7,1,(IF(WEEKDAY(B1871)=1,2,IF(WEEKDAY(B1871)=7,1,0))))))</f>
        <v>1</v>
      </c>
      <c r="H1871" s="370">
        <v>13449.599731445313</v>
      </c>
      <c r="I1871" s="370">
        <v>2236.0824890136719</v>
      </c>
      <c r="M1871" s="371">
        <f t="shared" si="117"/>
        <v>13634.214236022823</v>
      </c>
      <c r="N1871" s="329">
        <f t="shared" si="118"/>
        <v>0</v>
      </c>
      <c r="T1871" s="331">
        <v>0</v>
      </c>
      <c r="U1871" s="328">
        <f>VLOOKUP(C1871,METADATA!$J$5:$Q$29,IF(E1871="HI",2,IF(E1871="LO",6,10))+IF(T1871=1,2,IF(D1871=7,1,(IF(WEEKDAY(B1871)=1,2,IF(WEEKDAY(B1871)=7,1,0))))))</f>
        <v>1</v>
      </c>
      <c r="V1871" s="328">
        <f>VLOOKUP(C1871,METADATA!$A$5:$H$29,IF(E1871="HI",2,IF(E1871="LO",6,10))+IF(T1871=1,2,IF(D1871=7,1,(IF(WEEKDAY(B1871)=1,2,IF(WEEKDAY(B1871)=7,1,0))))))</f>
        <v>1</v>
      </c>
    </row>
    <row r="1872" spans="2:22">
      <c r="B1872" s="318">
        <f t="shared" si="115"/>
        <v>46190</v>
      </c>
      <c r="C1872" s="312">
        <v>20</v>
      </c>
      <c r="D1872" s="368">
        <f>IFERROR((INDEX(METADATA!$T$2:$T$20,MATCH(B1872,METADATA!$S$2:$S$20,0))),0)</f>
        <v>0</v>
      </c>
      <c r="E1872" s="312" t="str">
        <f t="shared" si="116"/>
        <v>LO</v>
      </c>
      <c r="F1872" s="369">
        <f>VLOOKUP(C1872,METADATA!$A$5:$H$29,IF(E1872="HI",2,IF(E1872="LO",6,10))+IF(D1872=1,2,IF(D1872=7,1,(IF(WEEKDAY(B1872)=1,2,IF(WEEKDAY(B1872)=7,1,0))))))</f>
        <v>1</v>
      </c>
      <c r="G1872" s="369">
        <f>VLOOKUP(C1872,METADATA!$J$5:$Q$29,IF(E1872="HI",2,IF(E1872="LO",6,10))+IF(D1872=1,2,IF(D1872=7,1,(IF(WEEKDAY(B1872)=1,2,IF(WEEKDAY(B1872)=7,1,0))))))</f>
        <v>1</v>
      </c>
      <c r="H1872" s="370">
        <v>13531.724548339844</v>
      </c>
      <c r="I1872" s="370">
        <v>2163.6675186157227</v>
      </c>
      <c r="M1872" s="371">
        <f t="shared" si="117"/>
        <v>13703.613624998914</v>
      </c>
      <c r="N1872" s="329">
        <f t="shared" si="118"/>
        <v>0</v>
      </c>
      <c r="T1872" s="331">
        <v>0</v>
      </c>
      <c r="U1872" s="328">
        <f>VLOOKUP(C1872,METADATA!$J$5:$Q$29,IF(E1872="HI",2,IF(E1872="LO",6,10))+IF(T1872=1,2,IF(D1872=7,1,(IF(WEEKDAY(B1872)=1,2,IF(WEEKDAY(B1872)=7,1,0))))))</f>
        <v>1</v>
      </c>
      <c r="V1872" s="328">
        <f>VLOOKUP(C1872,METADATA!$A$5:$H$29,IF(E1872="HI",2,IF(E1872="LO",6,10))+IF(T1872=1,2,IF(D1872=7,1,(IF(WEEKDAY(B1872)=1,2,IF(WEEKDAY(B1872)=7,1,0))))))</f>
        <v>1</v>
      </c>
    </row>
    <row r="1873" spans="2:22">
      <c r="B1873" s="318">
        <f t="shared" si="115"/>
        <v>46190</v>
      </c>
      <c r="C1873" s="312">
        <v>21</v>
      </c>
      <c r="D1873" s="368">
        <f>IFERROR((INDEX(METADATA!$T$2:$T$20,MATCH(B1873,METADATA!$S$2:$S$20,0))),0)</f>
        <v>0</v>
      </c>
      <c r="E1873" s="312" t="str">
        <f t="shared" si="116"/>
        <v>LO</v>
      </c>
      <c r="F1873" s="369">
        <f>VLOOKUP(C1873,METADATA!$A$5:$H$29,IF(E1873="HI",2,IF(E1873="LO",6,10))+IF(D1873=1,2,IF(D1873=7,1,(IF(WEEKDAY(B1873)=1,2,IF(WEEKDAY(B1873)=7,1,0))))))</f>
        <v>2</v>
      </c>
      <c r="G1873" s="369">
        <f>VLOOKUP(C1873,METADATA!$J$5:$Q$29,IF(E1873="HI",2,IF(E1873="LO",6,10))+IF(D1873=1,2,IF(D1873=7,1,(IF(WEEKDAY(B1873)=1,2,IF(WEEKDAY(B1873)=7,1,0))))))</f>
        <v>2</v>
      </c>
      <c r="H1873" s="370">
        <v>13515.525085449219</v>
      </c>
      <c r="I1873" s="370">
        <v>2207.7624664306641</v>
      </c>
      <c r="M1873" s="371">
        <f t="shared" si="117"/>
        <v>13694.657113034526</v>
      </c>
      <c r="N1873" s="329">
        <f t="shared" si="118"/>
        <v>0</v>
      </c>
      <c r="T1873" s="331">
        <v>0</v>
      </c>
      <c r="U1873" s="328">
        <f>VLOOKUP(C1873,METADATA!$J$5:$Q$29,IF(E1873="HI",2,IF(E1873="LO",6,10))+IF(T1873=1,2,IF(D1873=7,1,(IF(WEEKDAY(B1873)=1,2,IF(WEEKDAY(B1873)=7,1,0))))))</f>
        <v>2</v>
      </c>
      <c r="V1873" s="328">
        <f>VLOOKUP(C1873,METADATA!$A$5:$H$29,IF(E1873="HI",2,IF(E1873="LO",6,10))+IF(T1873=1,2,IF(D1873=7,1,(IF(WEEKDAY(B1873)=1,2,IF(WEEKDAY(B1873)=7,1,0))))))</f>
        <v>2</v>
      </c>
    </row>
    <row r="1874" spans="2:22">
      <c r="B1874" s="318">
        <f t="shared" si="115"/>
        <v>46190</v>
      </c>
      <c r="C1874" s="312">
        <v>22</v>
      </c>
      <c r="D1874" s="368">
        <f>IFERROR((INDEX(METADATA!$T$2:$T$20,MATCH(B1874,METADATA!$S$2:$S$20,0))),0)</f>
        <v>0</v>
      </c>
      <c r="E1874" s="312" t="str">
        <f t="shared" si="116"/>
        <v>LO</v>
      </c>
      <c r="F1874" s="369">
        <f>VLOOKUP(C1874,METADATA!$A$5:$H$29,IF(E1874="HI",2,IF(E1874="LO",6,10))+IF(D1874=1,2,IF(D1874=7,1,(IF(WEEKDAY(B1874)=1,2,IF(WEEKDAY(B1874)=7,1,0))))))</f>
        <v>3</v>
      </c>
      <c r="G1874" s="369">
        <f>VLOOKUP(C1874,METADATA!$J$5:$Q$29,IF(E1874="HI",2,IF(E1874="LO",6,10))+IF(D1874=1,2,IF(D1874=7,1,(IF(WEEKDAY(B1874)=1,2,IF(WEEKDAY(B1874)=7,1,0))))))</f>
        <v>3</v>
      </c>
      <c r="H1874" s="370">
        <v>13515.075012207031</v>
      </c>
      <c r="I1874" s="370">
        <v>2237.3724975585938</v>
      </c>
      <c r="M1874" s="371">
        <f t="shared" si="117"/>
        <v>13699.017785170383</v>
      </c>
      <c r="N1874" s="329">
        <f t="shared" si="118"/>
        <v>0</v>
      </c>
      <c r="T1874" s="331">
        <v>0</v>
      </c>
      <c r="U1874" s="328">
        <f>VLOOKUP(C1874,METADATA!$J$5:$Q$29,IF(E1874="HI",2,IF(E1874="LO",6,10))+IF(T1874=1,2,IF(D1874=7,1,(IF(WEEKDAY(B1874)=1,2,IF(WEEKDAY(B1874)=7,1,0))))))</f>
        <v>3</v>
      </c>
      <c r="V1874" s="328">
        <f>VLOOKUP(C1874,METADATA!$A$5:$H$29,IF(E1874="HI",2,IF(E1874="LO",6,10))+IF(T1874=1,2,IF(D1874=7,1,(IF(WEEKDAY(B1874)=1,2,IF(WEEKDAY(B1874)=7,1,0))))))</f>
        <v>3</v>
      </c>
    </row>
    <row r="1875" spans="2:22">
      <c r="B1875" s="318">
        <f t="shared" si="115"/>
        <v>46190</v>
      </c>
      <c r="C1875" s="312">
        <v>23</v>
      </c>
      <c r="D1875" s="368">
        <f>IFERROR((INDEX(METADATA!$T$2:$T$20,MATCH(B1875,METADATA!$S$2:$S$20,0))),0)</f>
        <v>0</v>
      </c>
      <c r="E1875" s="312" t="str">
        <f t="shared" si="116"/>
        <v>LO</v>
      </c>
      <c r="F1875" s="369">
        <f>VLOOKUP(C1875,METADATA!$A$5:$H$29,IF(E1875="HI",2,IF(E1875="LO",6,10))+IF(D1875=1,2,IF(D1875=7,1,(IF(WEEKDAY(B1875)=1,2,IF(WEEKDAY(B1875)=7,1,0))))))</f>
        <v>3</v>
      </c>
      <c r="G1875" s="369">
        <f>VLOOKUP(C1875,METADATA!$J$5:$Q$29,IF(E1875="HI",2,IF(E1875="LO",6,10))+IF(D1875=1,2,IF(D1875=7,1,(IF(WEEKDAY(B1875)=1,2,IF(WEEKDAY(B1875)=7,1,0))))))</f>
        <v>3</v>
      </c>
      <c r="H1875" s="370">
        <v>13573.17529296875</v>
      </c>
      <c r="I1875" s="370">
        <v>2232.2899627685547</v>
      </c>
      <c r="M1875" s="371">
        <f t="shared" si="117"/>
        <v>13755.515476038496</v>
      </c>
      <c r="N1875" s="329">
        <f t="shared" si="118"/>
        <v>0</v>
      </c>
      <c r="T1875" s="331">
        <v>0</v>
      </c>
      <c r="U1875" s="328">
        <f>VLOOKUP(C1875,METADATA!$J$5:$Q$29,IF(E1875="HI",2,IF(E1875="LO",6,10))+IF(T1875=1,2,IF(D1875=7,1,(IF(WEEKDAY(B1875)=1,2,IF(WEEKDAY(B1875)=7,1,0))))))</f>
        <v>3</v>
      </c>
      <c r="V1875" s="328">
        <f>VLOOKUP(C1875,METADATA!$A$5:$H$29,IF(E1875="HI",2,IF(E1875="LO",6,10))+IF(T1875=1,2,IF(D1875=7,1,(IF(WEEKDAY(B1875)=1,2,IF(WEEKDAY(B1875)=7,1,0))))))</f>
        <v>3</v>
      </c>
    </row>
    <row r="1876" spans="2:22">
      <c r="B1876" s="318">
        <f t="shared" si="115"/>
        <v>46191</v>
      </c>
      <c r="C1876" s="312">
        <v>0</v>
      </c>
      <c r="D1876" s="368">
        <f>IFERROR((INDEX(METADATA!$T$2:$T$20,MATCH(B1876,METADATA!$S$2:$S$20,0))),0)</f>
        <v>0</v>
      </c>
      <c r="E1876" s="312" t="str">
        <f t="shared" si="116"/>
        <v>LO</v>
      </c>
      <c r="F1876" s="369">
        <f>VLOOKUP(C1876,METADATA!$A$5:$H$29,IF(E1876="HI",2,IF(E1876="LO",6,10))+IF(D1876=1,2,IF(D1876=7,1,(IF(WEEKDAY(B1876)=1,2,IF(WEEKDAY(B1876)=7,1,0))))))</f>
        <v>3</v>
      </c>
      <c r="G1876" s="369">
        <f>VLOOKUP(C1876,METADATA!$J$5:$Q$29,IF(E1876="HI",2,IF(E1876="LO",6,10))+IF(D1876=1,2,IF(D1876=7,1,(IF(WEEKDAY(B1876)=1,2,IF(WEEKDAY(B1876)=7,1,0))))))</f>
        <v>3</v>
      </c>
      <c r="H1876" s="370">
        <v>13432.925048828125</v>
      </c>
      <c r="I1876" s="370">
        <v>2103.0849914550781</v>
      </c>
      <c r="M1876" s="371">
        <f t="shared" si="117"/>
        <v>13596.559927007922</v>
      </c>
      <c r="N1876" s="329">
        <f t="shared" si="118"/>
        <v>0</v>
      </c>
      <c r="T1876" s="331">
        <v>0</v>
      </c>
      <c r="U1876" s="328">
        <f>VLOOKUP(C1876,METADATA!$J$5:$Q$29,IF(E1876="HI",2,IF(E1876="LO",6,10))+IF(T1876=1,2,IF(D1876=7,1,(IF(WEEKDAY(B1876)=1,2,IF(WEEKDAY(B1876)=7,1,0))))))</f>
        <v>3</v>
      </c>
      <c r="V1876" s="328">
        <f>VLOOKUP(C1876,METADATA!$A$5:$H$29,IF(E1876="HI",2,IF(E1876="LO",6,10))+IF(T1876=1,2,IF(D1876=7,1,(IF(WEEKDAY(B1876)=1,2,IF(WEEKDAY(B1876)=7,1,0))))))</f>
        <v>3</v>
      </c>
    </row>
    <row r="1877" spans="2:22">
      <c r="B1877" s="318">
        <f t="shared" si="115"/>
        <v>46191</v>
      </c>
      <c r="C1877" s="312">
        <v>1</v>
      </c>
      <c r="D1877" s="368">
        <f>IFERROR((INDEX(METADATA!$T$2:$T$20,MATCH(B1877,METADATA!$S$2:$S$20,0))),0)</f>
        <v>0</v>
      </c>
      <c r="E1877" s="312" t="str">
        <f t="shared" si="116"/>
        <v>LO</v>
      </c>
      <c r="F1877" s="369">
        <f>VLOOKUP(C1877,METADATA!$A$5:$H$29,IF(E1877="HI",2,IF(E1877="LO",6,10))+IF(D1877=1,2,IF(D1877=7,1,(IF(WEEKDAY(B1877)=1,2,IF(WEEKDAY(B1877)=7,1,0))))))</f>
        <v>3</v>
      </c>
      <c r="G1877" s="369">
        <f>VLOOKUP(C1877,METADATA!$J$5:$Q$29,IF(E1877="HI",2,IF(E1877="LO",6,10))+IF(D1877=1,2,IF(D1877=7,1,(IF(WEEKDAY(B1877)=1,2,IF(WEEKDAY(B1877)=7,1,0))))))</f>
        <v>3</v>
      </c>
      <c r="H1877" s="370">
        <v>13081.275634765625</v>
      </c>
      <c r="I1877" s="370">
        <v>2174.1564816832542</v>
      </c>
      <c r="M1877" s="371">
        <f t="shared" si="117"/>
        <v>13260.721271467783</v>
      </c>
      <c r="N1877" s="329">
        <f t="shared" si="118"/>
        <v>0</v>
      </c>
      <c r="T1877" s="331">
        <v>0</v>
      </c>
      <c r="U1877" s="328">
        <f>VLOOKUP(C1877,METADATA!$J$5:$Q$29,IF(E1877="HI",2,IF(E1877="LO",6,10))+IF(T1877=1,2,IF(D1877=7,1,(IF(WEEKDAY(B1877)=1,2,IF(WEEKDAY(B1877)=7,1,0))))))</f>
        <v>3</v>
      </c>
      <c r="V1877" s="328">
        <f>VLOOKUP(C1877,METADATA!$A$5:$H$29,IF(E1877="HI",2,IF(E1877="LO",6,10))+IF(T1877=1,2,IF(D1877=7,1,(IF(WEEKDAY(B1877)=1,2,IF(WEEKDAY(B1877)=7,1,0))))))</f>
        <v>3</v>
      </c>
    </row>
    <row r="1878" spans="2:22">
      <c r="B1878" s="318">
        <f t="shared" si="115"/>
        <v>46191</v>
      </c>
      <c r="C1878" s="312">
        <v>2</v>
      </c>
      <c r="D1878" s="368">
        <f>IFERROR((INDEX(METADATA!$T$2:$T$20,MATCH(B1878,METADATA!$S$2:$S$20,0))),0)</f>
        <v>0</v>
      </c>
      <c r="E1878" s="312" t="str">
        <f t="shared" si="116"/>
        <v>LO</v>
      </c>
      <c r="F1878" s="369">
        <f>VLOOKUP(C1878,METADATA!$A$5:$H$29,IF(E1878="HI",2,IF(E1878="LO",6,10))+IF(D1878=1,2,IF(D1878=7,1,(IF(WEEKDAY(B1878)=1,2,IF(WEEKDAY(B1878)=7,1,0))))))</f>
        <v>3</v>
      </c>
      <c r="G1878" s="369">
        <f>VLOOKUP(C1878,METADATA!$J$5:$Q$29,IF(E1878="HI",2,IF(E1878="LO",6,10))+IF(D1878=1,2,IF(D1878=7,1,(IF(WEEKDAY(B1878)=1,2,IF(WEEKDAY(B1878)=7,1,0))))))</f>
        <v>3</v>
      </c>
      <c r="H1878" s="370">
        <v>11434.947235107422</v>
      </c>
      <c r="I1878" s="370">
        <v>2007.6319133301731</v>
      </c>
      <c r="M1878" s="371">
        <f t="shared" si="117"/>
        <v>11609.849446444714</v>
      </c>
      <c r="N1878" s="329">
        <f t="shared" si="118"/>
        <v>0</v>
      </c>
      <c r="T1878" s="331">
        <v>0</v>
      </c>
      <c r="U1878" s="328">
        <f>VLOOKUP(C1878,METADATA!$J$5:$Q$29,IF(E1878="HI",2,IF(E1878="LO",6,10))+IF(T1878=1,2,IF(D1878=7,1,(IF(WEEKDAY(B1878)=1,2,IF(WEEKDAY(B1878)=7,1,0))))))</f>
        <v>3</v>
      </c>
      <c r="V1878" s="328">
        <f>VLOOKUP(C1878,METADATA!$A$5:$H$29,IF(E1878="HI",2,IF(E1878="LO",6,10))+IF(T1878=1,2,IF(D1878=7,1,(IF(WEEKDAY(B1878)=1,2,IF(WEEKDAY(B1878)=7,1,0))))))</f>
        <v>3</v>
      </c>
    </row>
    <row r="1879" spans="2:22">
      <c r="B1879" s="318">
        <f t="shared" si="115"/>
        <v>46191</v>
      </c>
      <c r="C1879" s="312">
        <v>3</v>
      </c>
      <c r="D1879" s="368">
        <f>IFERROR((INDEX(METADATA!$T$2:$T$20,MATCH(B1879,METADATA!$S$2:$S$20,0))),0)</f>
        <v>0</v>
      </c>
      <c r="E1879" s="312" t="str">
        <f t="shared" si="116"/>
        <v>LO</v>
      </c>
      <c r="F1879" s="369">
        <f>VLOOKUP(C1879,METADATA!$A$5:$H$29,IF(E1879="HI",2,IF(E1879="LO",6,10))+IF(D1879=1,2,IF(D1879=7,1,(IF(WEEKDAY(B1879)=1,2,IF(WEEKDAY(B1879)=7,1,0))))))</f>
        <v>3</v>
      </c>
      <c r="G1879" s="369">
        <f>VLOOKUP(C1879,METADATA!$J$5:$Q$29,IF(E1879="HI",2,IF(E1879="LO",6,10))+IF(D1879=1,2,IF(D1879=7,1,(IF(WEEKDAY(B1879)=1,2,IF(WEEKDAY(B1879)=7,1,0))))))</f>
        <v>3</v>
      </c>
      <c r="H1879" s="370">
        <v>11444.827758789063</v>
      </c>
      <c r="I1879" s="370">
        <v>1972.6649475097656</v>
      </c>
      <c r="M1879" s="371">
        <f t="shared" si="117"/>
        <v>11613.590720508553</v>
      </c>
      <c r="N1879" s="329">
        <f t="shared" si="118"/>
        <v>0</v>
      </c>
      <c r="T1879" s="331">
        <v>0</v>
      </c>
      <c r="U1879" s="328">
        <f>VLOOKUP(C1879,METADATA!$J$5:$Q$29,IF(E1879="HI",2,IF(E1879="LO",6,10))+IF(T1879=1,2,IF(D1879=7,1,(IF(WEEKDAY(B1879)=1,2,IF(WEEKDAY(B1879)=7,1,0))))))</f>
        <v>3</v>
      </c>
      <c r="V1879" s="328">
        <f>VLOOKUP(C1879,METADATA!$A$5:$H$29,IF(E1879="HI",2,IF(E1879="LO",6,10))+IF(T1879=1,2,IF(D1879=7,1,(IF(WEEKDAY(B1879)=1,2,IF(WEEKDAY(B1879)=7,1,0))))))</f>
        <v>3</v>
      </c>
    </row>
    <row r="1880" spans="2:22">
      <c r="B1880" s="318">
        <f t="shared" si="115"/>
        <v>46191</v>
      </c>
      <c r="C1880" s="312">
        <v>4</v>
      </c>
      <c r="D1880" s="368">
        <f>IFERROR((INDEX(METADATA!$T$2:$T$20,MATCH(B1880,METADATA!$S$2:$S$20,0))),0)</f>
        <v>0</v>
      </c>
      <c r="E1880" s="312" t="str">
        <f t="shared" si="116"/>
        <v>LO</v>
      </c>
      <c r="F1880" s="369">
        <f>VLOOKUP(C1880,METADATA!$A$5:$H$29,IF(E1880="HI",2,IF(E1880="LO",6,10))+IF(D1880=1,2,IF(D1880=7,1,(IF(WEEKDAY(B1880)=1,2,IF(WEEKDAY(B1880)=7,1,0))))))</f>
        <v>3</v>
      </c>
      <c r="G1880" s="369">
        <f>VLOOKUP(C1880,METADATA!$J$5:$Q$29,IF(E1880="HI",2,IF(E1880="LO",6,10))+IF(D1880=1,2,IF(D1880=7,1,(IF(WEEKDAY(B1880)=1,2,IF(WEEKDAY(B1880)=7,1,0))))))</f>
        <v>3</v>
      </c>
      <c r="H1880" s="370">
        <v>10277.007446289063</v>
      </c>
      <c r="I1880" s="370">
        <v>1521.9850158691406</v>
      </c>
      <c r="M1880" s="371">
        <f t="shared" si="117"/>
        <v>10389.096228239059</v>
      </c>
      <c r="N1880" s="329">
        <f t="shared" si="118"/>
        <v>0</v>
      </c>
      <c r="T1880" s="331">
        <v>0</v>
      </c>
      <c r="U1880" s="328">
        <f>VLOOKUP(C1880,METADATA!$J$5:$Q$29,IF(E1880="HI",2,IF(E1880="LO",6,10))+IF(T1880=1,2,IF(D1880=7,1,(IF(WEEKDAY(B1880)=1,2,IF(WEEKDAY(B1880)=7,1,0))))))</f>
        <v>3</v>
      </c>
      <c r="V1880" s="328">
        <f>VLOOKUP(C1880,METADATA!$A$5:$H$29,IF(E1880="HI",2,IF(E1880="LO",6,10))+IF(T1880=1,2,IF(D1880=7,1,(IF(WEEKDAY(B1880)=1,2,IF(WEEKDAY(B1880)=7,1,0))))))</f>
        <v>3</v>
      </c>
    </row>
    <row r="1881" spans="2:22">
      <c r="B1881" s="318">
        <f t="shared" si="115"/>
        <v>46191</v>
      </c>
      <c r="C1881" s="312">
        <v>5</v>
      </c>
      <c r="D1881" s="368">
        <f>IFERROR((INDEX(METADATA!$T$2:$T$20,MATCH(B1881,METADATA!$S$2:$S$20,0))),0)</f>
        <v>0</v>
      </c>
      <c r="E1881" s="312" t="str">
        <f t="shared" si="116"/>
        <v>LO</v>
      </c>
      <c r="F1881" s="369">
        <f>VLOOKUP(C1881,METADATA!$A$5:$H$29,IF(E1881="HI",2,IF(E1881="LO",6,10))+IF(D1881=1,2,IF(D1881=7,1,(IF(WEEKDAY(B1881)=1,2,IF(WEEKDAY(B1881)=7,1,0))))))</f>
        <v>3</v>
      </c>
      <c r="G1881" s="369">
        <f>VLOOKUP(C1881,METADATA!$J$5:$Q$29,IF(E1881="HI",2,IF(E1881="LO",6,10))+IF(D1881=1,2,IF(D1881=7,1,(IF(WEEKDAY(B1881)=1,2,IF(WEEKDAY(B1881)=7,1,0))))))</f>
        <v>3</v>
      </c>
      <c r="H1881" s="370">
        <v>11434.954711914063</v>
      </c>
      <c r="I1881" s="370">
        <v>1982.52001953125</v>
      </c>
      <c r="M1881" s="371">
        <f t="shared" si="117"/>
        <v>11605.540697932509</v>
      </c>
      <c r="N1881" s="329">
        <f t="shared" si="118"/>
        <v>0</v>
      </c>
      <c r="T1881" s="331">
        <v>0</v>
      </c>
      <c r="U1881" s="328">
        <f>VLOOKUP(C1881,METADATA!$J$5:$Q$29,IF(E1881="HI",2,IF(E1881="LO",6,10))+IF(T1881=1,2,IF(D1881=7,1,(IF(WEEKDAY(B1881)=1,2,IF(WEEKDAY(B1881)=7,1,0))))))</f>
        <v>3</v>
      </c>
      <c r="V1881" s="328">
        <f>VLOOKUP(C1881,METADATA!$A$5:$H$29,IF(E1881="HI",2,IF(E1881="LO",6,10))+IF(T1881=1,2,IF(D1881=7,1,(IF(WEEKDAY(B1881)=1,2,IF(WEEKDAY(B1881)=7,1,0))))))</f>
        <v>3</v>
      </c>
    </row>
    <row r="1882" spans="2:22">
      <c r="B1882" s="318">
        <f t="shared" si="115"/>
        <v>46191</v>
      </c>
      <c r="C1882" s="312">
        <v>6</v>
      </c>
      <c r="D1882" s="368">
        <f>IFERROR((INDEX(METADATA!$T$2:$T$20,MATCH(B1882,METADATA!$S$2:$S$20,0))),0)</f>
        <v>0</v>
      </c>
      <c r="E1882" s="312" t="str">
        <f t="shared" si="116"/>
        <v>LO</v>
      </c>
      <c r="F1882" s="369">
        <f>VLOOKUP(C1882,METADATA!$A$5:$H$29,IF(E1882="HI",2,IF(E1882="LO",6,10))+IF(D1882=1,2,IF(D1882=7,1,(IF(WEEKDAY(B1882)=1,2,IF(WEEKDAY(B1882)=7,1,0))))))</f>
        <v>2</v>
      </c>
      <c r="G1882" s="369">
        <f>VLOOKUP(C1882,METADATA!$J$5:$Q$29,IF(E1882="HI",2,IF(E1882="LO",6,10))+IF(D1882=1,2,IF(D1882=7,1,(IF(WEEKDAY(B1882)=1,2,IF(WEEKDAY(B1882)=7,1,0))))))</f>
        <v>2</v>
      </c>
      <c r="H1882" s="370">
        <v>11598.212371826172</v>
      </c>
      <c r="I1882" s="370">
        <v>1933.2000122070313</v>
      </c>
      <c r="M1882" s="371">
        <f t="shared" si="117"/>
        <v>11758.222336270859</v>
      </c>
      <c r="N1882" s="329">
        <f t="shared" si="118"/>
        <v>0</v>
      </c>
      <c r="T1882" s="331">
        <v>0</v>
      </c>
      <c r="U1882" s="328">
        <f>VLOOKUP(C1882,METADATA!$J$5:$Q$29,IF(E1882="HI",2,IF(E1882="LO",6,10))+IF(T1882=1,2,IF(D1882=7,1,(IF(WEEKDAY(B1882)=1,2,IF(WEEKDAY(B1882)=7,1,0))))))</f>
        <v>2</v>
      </c>
      <c r="V1882" s="328">
        <f>VLOOKUP(C1882,METADATA!$A$5:$H$29,IF(E1882="HI",2,IF(E1882="LO",6,10))+IF(T1882=1,2,IF(D1882=7,1,(IF(WEEKDAY(B1882)=1,2,IF(WEEKDAY(B1882)=7,1,0))))))</f>
        <v>2</v>
      </c>
    </row>
    <row r="1883" spans="2:22">
      <c r="B1883" s="318">
        <f t="shared" si="115"/>
        <v>46191</v>
      </c>
      <c r="C1883" s="312">
        <v>7</v>
      </c>
      <c r="D1883" s="368">
        <f>IFERROR((INDEX(METADATA!$T$2:$T$20,MATCH(B1883,METADATA!$S$2:$S$20,0))),0)</f>
        <v>0</v>
      </c>
      <c r="E1883" s="312" t="str">
        <f t="shared" si="116"/>
        <v>LO</v>
      </c>
      <c r="F1883" s="369">
        <f>VLOOKUP(C1883,METADATA!$A$5:$H$29,IF(E1883="HI",2,IF(E1883="LO",6,10))+IF(D1883=1,2,IF(D1883=7,1,(IF(WEEKDAY(B1883)=1,2,IF(WEEKDAY(B1883)=7,1,0))))))</f>
        <v>1</v>
      </c>
      <c r="G1883" s="369">
        <f>VLOOKUP(C1883,METADATA!$J$5:$Q$29,IF(E1883="HI",2,IF(E1883="LO",6,10))+IF(D1883=1,2,IF(D1883=7,1,(IF(WEEKDAY(B1883)=1,2,IF(WEEKDAY(B1883)=7,1,0))))))</f>
        <v>1</v>
      </c>
      <c r="H1883" s="370">
        <v>12421.414916992188</v>
      </c>
      <c r="I1883" s="370">
        <v>1976.204516351223</v>
      </c>
      <c r="M1883" s="371">
        <f t="shared" si="117"/>
        <v>12577.636217927555</v>
      </c>
      <c r="N1883" s="329">
        <f t="shared" si="118"/>
        <v>0</v>
      </c>
      <c r="T1883" s="331">
        <v>0</v>
      </c>
      <c r="U1883" s="328">
        <f>VLOOKUP(C1883,METADATA!$J$5:$Q$29,IF(E1883="HI",2,IF(E1883="LO",6,10))+IF(T1883=1,2,IF(D1883=7,1,(IF(WEEKDAY(B1883)=1,2,IF(WEEKDAY(B1883)=7,1,0))))))</f>
        <v>1</v>
      </c>
      <c r="V1883" s="328">
        <f>VLOOKUP(C1883,METADATA!$A$5:$H$29,IF(E1883="HI",2,IF(E1883="LO",6,10))+IF(T1883=1,2,IF(D1883=7,1,(IF(WEEKDAY(B1883)=1,2,IF(WEEKDAY(B1883)=7,1,0))))))</f>
        <v>1</v>
      </c>
    </row>
    <row r="1884" spans="2:22">
      <c r="B1884" s="318">
        <f t="shared" ref="B1884:B1947" si="119">B1860+1</f>
        <v>46191</v>
      </c>
      <c r="C1884" s="312">
        <v>8</v>
      </c>
      <c r="D1884" s="368">
        <f>IFERROR((INDEX(METADATA!$T$2:$T$20,MATCH(B1884,METADATA!$S$2:$S$20,0))),0)</f>
        <v>0</v>
      </c>
      <c r="E1884" s="312" t="str">
        <f t="shared" si="116"/>
        <v>LO</v>
      </c>
      <c r="F1884" s="369">
        <f>VLOOKUP(C1884,METADATA!$A$5:$H$29,IF(E1884="HI",2,IF(E1884="LO",6,10))+IF(D1884=1,2,IF(D1884=7,1,(IF(WEEKDAY(B1884)=1,2,IF(WEEKDAY(B1884)=7,1,0))))))</f>
        <v>1</v>
      </c>
      <c r="G1884" s="369">
        <f>VLOOKUP(C1884,METADATA!$J$5:$Q$29,IF(E1884="HI",2,IF(E1884="LO",6,10))+IF(D1884=1,2,IF(D1884=7,1,(IF(WEEKDAY(B1884)=1,2,IF(WEEKDAY(B1884)=7,1,0))))))</f>
        <v>1</v>
      </c>
      <c r="H1884" s="370">
        <v>13624.800415039063</v>
      </c>
      <c r="I1884" s="370">
        <v>1981.152458190918</v>
      </c>
      <c r="M1884" s="371">
        <f t="shared" si="117"/>
        <v>13768.084522265415</v>
      </c>
      <c r="N1884" s="329">
        <f t="shared" si="118"/>
        <v>0</v>
      </c>
      <c r="T1884" s="331">
        <v>0</v>
      </c>
      <c r="U1884" s="328">
        <f>VLOOKUP(C1884,METADATA!$J$5:$Q$29,IF(E1884="HI",2,IF(E1884="LO",6,10))+IF(T1884=1,2,IF(D1884=7,1,(IF(WEEKDAY(B1884)=1,2,IF(WEEKDAY(B1884)=7,1,0))))))</f>
        <v>1</v>
      </c>
      <c r="V1884" s="328">
        <f>VLOOKUP(C1884,METADATA!$A$5:$H$29,IF(E1884="HI",2,IF(E1884="LO",6,10))+IF(T1884=1,2,IF(D1884=7,1,(IF(WEEKDAY(B1884)=1,2,IF(WEEKDAY(B1884)=7,1,0))))))</f>
        <v>1</v>
      </c>
    </row>
    <row r="1885" spans="2:22">
      <c r="B1885" s="318">
        <f t="shared" si="119"/>
        <v>46191</v>
      </c>
      <c r="C1885" s="312">
        <v>9</v>
      </c>
      <c r="D1885" s="368">
        <f>IFERROR((INDEX(METADATA!$T$2:$T$20,MATCH(B1885,METADATA!$S$2:$S$20,0))),0)</f>
        <v>0</v>
      </c>
      <c r="E1885" s="312" t="str">
        <f t="shared" si="116"/>
        <v>LO</v>
      </c>
      <c r="F1885" s="369">
        <f>VLOOKUP(C1885,METADATA!$A$5:$H$29,IF(E1885="HI",2,IF(E1885="LO",6,10))+IF(D1885=1,2,IF(D1885=7,1,(IF(WEEKDAY(B1885)=1,2,IF(WEEKDAY(B1885)=7,1,0))))))</f>
        <v>2</v>
      </c>
      <c r="G1885" s="369">
        <f>VLOOKUP(C1885,METADATA!$J$5:$Q$29,IF(E1885="HI",2,IF(E1885="LO",6,10))+IF(D1885=1,2,IF(D1885=7,1,(IF(WEEKDAY(B1885)=1,2,IF(WEEKDAY(B1885)=7,1,0))))))</f>
        <v>2</v>
      </c>
      <c r="H1885" s="370">
        <v>13787.10009765625</v>
      </c>
      <c r="I1885" s="370">
        <v>2081.7599487304688</v>
      </c>
      <c r="M1885" s="371">
        <f t="shared" si="117"/>
        <v>13943.38027835902</v>
      </c>
      <c r="N1885" s="329">
        <f t="shared" si="118"/>
        <v>0</v>
      </c>
      <c r="T1885" s="331">
        <v>0</v>
      </c>
      <c r="U1885" s="328">
        <f>VLOOKUP(C1885,METADATA!$J$5:$Q$29,IF(E1885="HI",2,IF(E1885="LO",6,10))+IF(T1885=1,2,IF(D1885=7,1,(IF(WEEKDAY(B1885)=1,2,IF(WEEKDAY(B1885)=7,1,0))))))</f>
        <v>2</v>
      </c>
      <c r="V1885" s="328">
        <f>VLOOKUP(C1885,METADATA!$A$5:$H$29,IF(E1885="HI",2,IF(E1885="LO",6,10))+IF(T1885=1,2,IF(D1885=7,1,(IF(WEEKDAY(B1885)=1,2,IF(WEEKDAY(B1885)=7,1,0))))))</f>
        <v>2</v>
      </c>
    </row>
    <row r="1886" spans="2:22">
      <c r="B1886" s="318">
        <f t="shared" si="119"/>
        <v>46191</v>
      </c>
      <c r="C1886" s="312">
        <v>10</v>
      </c>
      <c r="D1886" s="368">
        <f>IFERROR((INDEX(METADATA!$T$2:$T$20,MATCH(B1886,METADATA!$S$2:$S$20,0))),0)</f>
        <v>0</v>
      </c>
      <c r="E1886" s="312" t="str">
        <f t="shared" si="116"/>
        <v>LO</v>
      </c>
      <c r="F1886" s="369">
        <f>VLOOKUP(C1886,METADATA!$A$5:$H$29,IF(E1886="HI",2,IF(E1886="LO",6,10))+IF(D1886=1,2,IF(D1886=7,1,(IF(WEEKDAY(B1886)=1,2,IF(WEEKDAY(B1886)=7,1,0))))))</f>
        <v>2</v>
      </c>
      <c r="G1886" s="369">
        <f>VLOOKUP(C1886,METADATA!$J$5:$Q$29,IF(E1886="HI",2,IF(E1886="LO",6,10))+IF(D1886=1,2,IF(D1886=7,1,(IF(WEEKDAY(B1886)=1,2,IF(WEEKDAY(B1886)=7,1,0))))))</f>
        <v>2</v>
      </c>
      <c r="H1886" s="370">
        <v>13853.599792480469</v>
      </c>
      <c r="I1886" s="370">
        <v>2291.4099578857422</v>
      </c>
      <c r="M1886" s="371">
        <f t="shared" si="117"/>
        <v>14041.822773604315</v>
      </c>
      <c r="N1886" s="329">
        <f t="shared" si="118"/>
        <v>0</v>
      </c>
      <c r="T1886" s="331">
        <v>0</v>
      </c>
      <c r="U1886" s="328">
        <f>VLOOKUP(C1886,METADATA!$J$5:$Q$29,IF(E1886="HI",2,IF(E1886="LO",6,10))+IF(T1886=1,2,IF(D1886=7,1,(IF(WEEKDAY(B1886)=1,2,IF(WEEKDAY(B1886)=7,1,0))))))</f>
        <v>2</v>
      </c>
      <c r="V1886" s="328">
        <f>VLOOKUP(C1886,METADATA!$A$5:$H$29,IF(E1886="HI",2,IF(E1886="LO",6,10))+IF(T1886=1,2,IF(D1886=7,1,(IF(WEEKDAY(B1886)=1,2,IF(WEEKDAY(B1886)=7,1,0))))))</f>
        <v>2</v>
      </c>
    </row>
    <row r="1887" spans="2:22">
      <c r="B1887" s="318">
        <f t="shared" si="119"/>
        <v>46191</v>
      </c>
      <c r="C1887" s="312">
        <v>11</v>
      </c>
      <c r="D1887" s="368">
        <f>IFERROR((INDEX(METADATA!$T$2:$T$20,MATCH(B1887,METADATA!$S$2:$S$20,0))),0)</f>
        <v>0</v>
      </c>
      <c r="E1887" s="312" t="str">
        <f t="shared" si="116"/>
        <v>LO</v>
      </c>
      <c r="F1887" s="369">
        <f>VLOOKUP(C1887,METADATA!$A$5:$H$29,IF(E1887="HI",2,IF(E1887="LO",6,10))+IF(D1887=1,2,IF(D1887=7,1,(IF(WEEKDAY(B1887)=1,2,IF(WEEKDAY(B1887)=7,1,0))))))</f>
        <v>2</v>
      </c>
      <c r="G1887" s="369">
        <f>VLOOKUP(C1887,METADATA!$J$5:$Q$29,IF(E1887="HI",2,IF(E1887="LO",6,10))+IF(D1887=1,2,IF(D1887=7,1,(IF(WEEKDAY(B1887)=1,2,IF(WEEKDAY(B1887)=7,1,0))))))</f>
        <v>2</v>
      </c>
      <c r="H1887" s="370">
        <v>13739.35009765625</v>
      </c>
      <c r="I1887" s="370">
        <v>2396.2349548339844</v>
      </c>
      <c r="M1887" s="371">
        <f t="shared" si="117"/>
        <v>13946.74453285551</v>
      </c>
      <c r="N1887" s="329">
        <f t="shared" si="118"/>
        <v>0</v>
      </c>
      <c r="T1887" s="331">
        <v>0</v>
      </c>
      <c r="U1887" s="328">
        <f>VLOOKUP(C1887,METADATA!$J$5:$Q$29,IF(E1887="HI",2,IF(E1887="LO",6,10))+IF(T1887=1,2,IF(D1887=7,1,(IF(WEEKDAY(B1887)=1,2,IF(WEEKDAY(B1887)=7,1,0))))))</f>
        <v>2</v>
      </c>
      <c r="V1887" s="328">
        <f>VLOOKUP(C1887,METADATA!$A$5:$H$29,IF(E1887="HI",2,IF(E1887="LO",6,10))+IF(T1887=1,2,IF(D1887=7,1,(IF(WEEKDAY(B1887)=1,2,IF(WEEKDAY(B1887)=7,1,0))))))</f>
        <v>2</v>
      </c>
    </row>
    <row r="1888" spans="2:22">
      <c r="B1888" s="318">
        <f t="shared" si="119"/>
        <v>46191</v>
      </c>
      <c r="C1888" s="312">
        <v>12</v>
      </c>
      <c r="D1888" s="368">
        <f>IFERROR((INDEX(METADATA!$T$2:$T$20,MATCH(B1888,METADATA!$S$2:$S$20,0))),0)</f>
        <v>0</v>
      </c>
      <c r="E1888" s="312" t="str">
        <f t="shared" si="116"/>
        <v>LO</v>
      </c>
      <c r="F1888" s="369">
        <f>VLOOKUP(C1888,METADATA!$A$5:$H$29,IF(E1888="HI",2,IF(E1888="LO",6,10))+IF(D1888=1,2,IF(D1888=7,1,(IF(WEEKDAY(B1888)=1,2,IF(WEEKDAY(B1888)=7,1,0))))))</f>
        <v>2</v>
      </c>
      <c r="G1888" s="369">
        <f>VLOOKUP(C1888,METADATA!$J$5:$Q$29,IF(E1888="HI",2,IF(E1888="LO",6,10))+IF(D1888=1,2,IF(D1888=7,1,(IF(WEEKDAY(B1888)=1,2,IF(WEEKDAY(B1888)=7,1,0))))))</f>
        <v>2</v>
      </c>
      <c r="H1888" s="370">
        <v>13785.849609375</v>
      </c>
      <c r="I1888" s="370">
        <v>2310.4200439453125</v>
      </c>
      <c r="M1888" s="371">
        <f t="shared" si="117"/>
        <v>13978.114688031756</v>
      </c>
      <c r="N1888" s="329">
        <f t="shared" si="118"/>
        <v>0</v>
      </c>
      <c r="T1888" s="331">
        <v>0</v>
      </c>
      <c r="U1888" s="328">
        <f>VLOOKUP(C1888,METADATA!$J$5:$Q$29,IF(E1888="HI",2,IF(E1888="LO",6,10))+IF(T1888=1,2,IF(D1888=7,1,(IF(WEEKDAY(B1888)=1,2,IF(WEEKDAY(B1888)=7,1,0))))))</f>
        <v>2</v>
      </c>
      <c r="V1888" s="328">
        <f>VLOOKUP(C1888,METADATA!$A$5:$H$29,IF(E1888="HI",2,IF(E1888="LO",6,10))+IF(T1888=1,2,IF(D1888=7,1,(IF(WEEKDAY(B1888)=1,2,IF(WEEKDAY(B1888)=7,1,0))))))</f>
        <v>2</v>
      </c>
    </row>
    <row r="1889" spans="2:22">
      <c r="B1889" s="318">
        <f t="shared" si="119"/>
        <v>46191</v>
      </c>
      <c r="C1889" s="312">
        <v>13</v>
      </c>
      <c r="D1889" s="368">
        <f>IFERROR((INDEX(METADATA!$T$2:$T$20,MATCH(B1889,METADATA!$S$2:$S$20,0))),0)</f>
        <v>0</v>
      </c>
      <c r="E1889" s="312" t="str">
        <f t="shared" si="116"/>
        <v>LO</v>
      </c>
      <c r="F1889" s="369">
        <f>VLOOKUP(C1889,METADATA!$A$5:$H$29,IF(E1889="HI",2,IF(E1889="LO",6,10))+IF(D1889=1,2,IF(D1889=7,1,(IF(WEEKDAY(B1889)=1,2,IF(WEEKDAY(B1889)=7,1,0))))))</f>
        <v>2</v>
      </c>
      <c r="G1889" s="369">
        <f>VLOOKUP(C1889,METADATA!$J$5:$Q$29,IF(E1889="HI",2,IF(E1889="LO",6,10))+IF(D1889=1,2,IF(D1889=7,1,(IF(WEEKDAY(B1889)=1,2,IF(WEEKDAY(B1889)=7,1,0))))))</f>
        <v>2</v>
      </c>
      <c r="H1889" s="370">
        <v>13697.574951171875</v>
      </c>
      <c r="I1889" s="370">
        <v>2271.2149963378906</v>
      </c>
      <c r="M1889" s="371">
        <f t="shared" si="117"/>
        <v>13884.59495637382</v>
      </c>
      <c r="N1889" s="329">
        <f t="shared" si="118"/>
        <v>0</v>
      </c>
      <c r="T1889" s="331">
        <v>0</v>
      </c>
      <c r="U1889" s="328">
        <f>VLOOKUP(C1889,METADATA!$J$5:$Q$29,IF(E1889="HI",2,IF(E1889="LO",6,10))+IF(T1889=1,2,IF(D1889=7,1,(IF(WEEKDAY(B1889)=1,2,IF(WEEKDAY(B1889)=7,1,0))))))</f>
        <v>2</v>
      </c>
      <c r="V1889" s="328">
        <f>VLOOKUP(C1889,METADATA!$A$5:$H$29,IF(E1889="HI",2,IF(E1889="LO",6,10))+IF(T1889=1,2,IF(D1889=7,1,(IF(WEEKDAY(B1889)=1,2,IF(WEEKDAY(B1889)=7,1,0))))))</f>
        <v>2</v>
      </c>
    </row>
    <row r="1890" spans="2:22">
      <c r="B1890" s="318">
        <f t="shared" si="119"/>
        <v>46191</v>
      </c>
      <c r="C1890" s="312">
        <v>14</v>
      </c>
      <c r="D1890" s="368">
        <f>IFERROR((INDEX(METADATA!$T$2:$T$20,MATCH(B1890,METADATA!$S$2:$S$20,0))),0)</f>
        <v>0</v>
      </c>
      <c r="E1890" s="312" t="str">
        <f t="shared" si="116"/>
        <v>LO</v>
      </c>
      <c r="F1890" s="369">
        <f>VLOOKUP(C1890,METADATA!$A$5:$H$29,IF(E1890="HI",2,IF(E1890="LO",6,10))+IF(D1890=1,2,IF(D1890=7,1,(IF(WEEKDAY(B1890)=1,2,IF(WEEKDAY(B1890)=7,1,0))))))</f>
        <v>2</v>
      </c>
      <c r="G1890" s="369">
        <f>VLOOKUP(C1890,METADATA!$J$5:$Q$29,IF(E1890="HI",2,IF(E1890="LO",6,10))+IF(D1890=1,2,IF(D1890=7,1,(IF(WEEKDAY(B1890)=1,2,IF(WEEKDAY(B1890)=7,1,0))))))</f>
        <v>2</v>
      </c>
      <c r="H1890" s="370">
        <v>13569.249816894531</v>
      </c>
      <c r="I1890" s="370">
        <v>2272.7325286865234</v>
      </c>
      <c r="M1890" s="371">
        <f t="shared" si="117"/>
        <v>13758.264924773111</v>
      </c>
      <c r="N1890" s="329">
        <f t="shared" si="118"/>
        <v>0</v>
      </c>
      <c r="T1890" s="331">
        <v>0</v>
      </c>
      <c r="U1890" s="328">
        <f>VLOOKUP(C1890,METADATA!$J$5:$Q$29,IF(E1890="HI",2,IF(E1890="LO",6,10))+IF(T1890=1,2,IF(D1890=7,1,(IF(WEEKDAY(B1890)=1,2,IF(WEEKDAY(B1890)=7,1,0))))))</f>
        <v>2</v>
      </c>
      <c r="V1890" s="328">
        <f>VLOOKUP(C1890,METADATA!$A$5:$H$29,IF(E1890="HI",2,IF(E1890="LO",6,10))+IF(T1890=1,2,IF(D1890=7,1,(IF(WEEKDAY(B1890)=1,2,IF(WEEKDAY(B1890)=7,1,0))))))</f>
        <v>2</v>
      </c>
    </row>
    <row r="1891" spans="2:22">
      <c r="B1891" s="318">
        <f t="shared" si="119"/>
        <v>46191</v>
      </c>
      <c r="C1891" s="312">
        <v>15</v>
      </c>
      <c r="D1891" s="368">
        <f>IFERROR((INDEX(METADATA!$T$2:$T$20,MATCH(B1891,METADATA!$S$2:$S$20,0))),0)</f>
        <v>0</v>
      </c>
      <c r="E1891" s="312" t="str">
        <f t="shared" si="116"/>
        <v>LO</v>
      </c>
      <c r="F1891" s="369">
        <f>VLOOKUP(C1891,METADATA!$A$5:$H$29,IF(E1891="HI",2,IF(E1891="LO",6,10))+IF(D1891=1,2,IF(D1891=7,1,(IF(WEEKDAY(B1891)=1,2,IF(WEEKDAY(B1891)=7,1,0))))))</f>
        <v>2</v>
      </c>
      <c r="G1891" s="369">
        <f>VLOOKUP(C1891,METADATA!$J$5:$Q$29,IF(E1891="HI",2,IF(E1891="LO",6,10))+IF(D1891=1,2,IF(D1891=7,1,(IF(WEEKDAY(B1891)=1,2,IF(WEEKDAY(B1891)=7,1,0))))))</f>
        <v>2</v>
      </c>
      <c r="H1891" s="370">
        <v>13496.1748046875</v>
      </c>
      <c r="I1891" s="370">
        <v>2318.1850357055664</v>
      </c>
      <c r="M1891" s="371">
        <f t="shared" si="117"/>
        <v>13693.820366079399</v>
      </c>
      <c r="N1891" s="329">
        <f t="shared" si="118"/>
        <v>0</v>
      </c>
      <c r="T1891" s="331">
        <v>0</v>
      </c>
      <c r="U1891" s="328">
        <f>VLOOKUP(C1891,METADATA!$J$5:$Q$29,IF(E1891="HI",2,IF(E1891="LO",6,10))+IF(T1891=1,2,IF(D1891=7,1,(IF(WEEKDAY(B1891)=1,2,IF(WEEKDAY(B1891)=7,1,0))))))</f>
        <v>2</v>
      </c>
      <c r="V1891" s="328">
        <f>VLOOKUP(C1891,METADATA!$A$5:$H$29,IF(E1891="HI",2,IF(E1891="LO",6,10))+IF(T1891=1,2,IF(D1891=7,1,(IF(WEEKDAY(B1891)=1,2,IF(WEEKDAY(B1891)=7,1,0))))))</f>
        <v>2</v>
      </c>
    </row>
    <row r="1892" spans="2:22">
      <c r="B1892" s="318">
        <f t="shared" si="119"/>
        <v>46191</v>
      </c>
      <c r="C1892" s="312">
        <v>16</v>
      </c>
      <c r="D1892" s="368">
        <f>IFERROR((INDEX(METADATA!$T$2:$T$20,MATCH(B1892,METADATA!$S$2:$S$20,0))),0)</f>
        <v>0</v>
      </c>
      <c r="E1892" s="312" t="str">
        <f t="shared" si="116"/>
        <v>LO</v>
      </c>
      <c r="F1892" s="369">
        <f>VLOOKUP(C1892,METADATA!$A$5:$H$29,IF(E1892="HI",2,IF(E1892="LO",6,10))+IF(D1892=1,2,IF(D1892=7,1,(IF(WEEKDAY(B1892)=1,2,IF(WEEKDAY(B1892)=7,1,0))))))</f>
        <v>2</v>
      </c>
      <c r="G1892" s="369">
        <f>VLOOKUP(C1892,METADATA!$J$5:$Q$29,IF(E1892="HI",2,IF(E1892="LO",6,10))+IF(D1892=1,2,IF(D1892=7,1,(IF(WEEKDAY(B1892)=1,2,IF(WEEKDAY(B1892)=7,1,0))))))</f>
        <v>2</v>
      </c>
      <c r="H1892" s="370">
        <v>13471.47509765625</v>
      </c>
      <c r="I1892" s="370">
        <v>2135.6600036621094</v>
      </c>
      <c r="M1892" s="371">
        <f t="shared" si="117"/>
        <v>13639.709856078849</v>
      </c>
      <c r="N1892" s="329">
        <f t="shared" si="118"/>
        <v>0</v>
      </c>
      <c r="T1892" s="331">
        <v>0</v>
      </c>
      <c r="U1892" s="328">
        <f>VLOOKUP(C1892,METADATA!$J$5:$Q$29,IF(E1892="HI",2,IF(E1892="LO",6,10))+IF(T1892=1,2,IF(D1892=7,1,(IF(WEEKDAY(B1892)=1,2,IF(WEEKDAY(B1892)=7,1,0))))))</f>
        <v>2</v>
      </c>
      <c r="V1892" s="328">
        <f>VLOOKUP(C1892,METADATA!$A$5:$H$29,IF(E1892="HI",2,IF(E1892="LO",6,10))+IF(T1892=1,2,IF(D1892=7,1,(IF(WEEKDAY(B1892)=1,2,IF(WEEKDAY(B1892)=7,1,0))))))</f>
        <v>2</v>
      </c>
    </row>
    <row r="1893" spans="2:22">
      <c r="B1893" s="318">
        <f t="shared" si="119"/>
        <v>46191</v>
      </c>
      <c r="C1893" s="312">
        <v>17</v>
      </c>
      <c r="D1893" s="368">
        <f>IFERROR((INDEX(METADATA!$T$2:$T$20,MATCH(B1893,METADATA!$S$2:$S$20,0))),0)</f>
        <v>0</v>
      </c>
      <c r="E1893" s="312" t="str">
        <f t="shared" si="116"/>
        <v>LO</v>
      </c>
      <c r="F1893" s="369">
        <f>VLOOKUP(C1893,METADATA!$A$5:$H$29,IF(E1893="HI",2,IF(E1893="LO",6,10))+IF(D1893=1,2,IF(D1893=7,1,(IF(WEEKDAY(B1893)=1,2,IF(WEEKDAY(B1893)=7,1,0))))))</f>
        <v>2</v>
      </c>
      <c r="G1893" s="369">
        <f>VLOOKUP(C1893,METADATA!$J$5:$Q$29,IF(E1893="HI",2,IF(E1893="LO",6,10))+IF(D1893=1,2,IF(D1893=7,1,(IF(WEEKDAY(B1893)=1,2,IF(WEEKDAY(B1893)=7,1,0))))))</f>
        <v>2</v>
      </c>
      <c r="H1893" s="370">
        <v>12267.002655029297</v>
      </c>
      <c r="I1893" s="370">
        <v>2169.0765402833931</v>
      </c>
      <c r="M1893" s="371">
        <f t="shared" si="117"/>
        <v>12457.296945007918</v>
      </c>
      <c r="N1893" s="329">
        <f t="shared" si="118"/>
        <v>0</v>
      </c>
      <c r="T1893" s="331">
        <v>0</v>
      </c>
      <c r="U1893" s="328">
        <f>VLOOKUP(C1893,METADATA!$J$5:$Q$29,IF(E1893="HI",2,IF(E1893="LO",6,10))+IF(T1893=1,2,IF(D1893=7,1,(IF(WEEKDAY(B1893)=1,2,IF(WEEKDAY(B1893)=7,1,0))))))</f>
        <v>2</v>
      </c>
      <c r="V1893" s="328">
        <f>VLOOKUP(C1893,METADATA!$A$5:$H$29,IF(E1893="HI",2,IF(E1893="LO",6,10))+IF(T1893=1,2,IF(D1893=7,1,(IF(WEEKDAY(B1893)=1,2,IF(WEEKDAY(B1893)=7,1,0))))))</f>
        <v>2</v>
      </c>
    </row>
    <row r="1894" spans="2:22">
      <c r="B1894" s="318">
        <f t="shared" si="119"/>
        <v>46191</v>
      </c>
      <c r="C1894" s="312">
        <v>18</v>
      </c>
      <c r="D1894" s="368">
        <f>IFERROR((INDEX(METADATA!$T$2:$T$20,MATCH(B1894,METADATA!$S$2:$S$20,0))),0)</f>
        <v>0</v>
      </c>
      <c r="E1894" s="312" t="str">
        <f t="shared" si="116"/>
        <v>LO</v>
      </c>
      <c r="F1894" s="369">
        <f>VLOOKUP(C1894,METADATA!$A$5:$H$29,IF(E1894="HI",2,IF(E1894="LO",6,10))+IF(D1894=1,2,IF(D1894=7,1,(IF(WEEKDAY(B1894)=1,2,IF(WEEKDAY(B1894)=7,1,0))))))</f>
        <v>1</v>
      </c>
      <c r="G1894" s="369">
        <f>VLOOKUP(C1894,METADATA!$J$5:$Q$29,IF(E1894="HI",2,IF(E1894="LO",6,10))+IF(D1894=1,2,IF(D1894=7,1,(IF(WEEKDAY(B1894)=1,2,IF(WEEKDAY(B1894)=7,1,0))))))</f>
        <v>1</v>
      </c>
      <c r="H1894" s="370">
        <v>11524.59765625</v>
      </c>
      <c r="I1894" s="370">
        <v>2042.1850280761719</v>
      </c>
      <c r="M1894" s="371">
        <f t="shared" si="117"/>
        <v>11704.139046821918</v>
      </c>
      <c r="N1894" s="329">
        <f t="shared" si="118"/>
        <v>0</v>
      </c>
      <c r="T1894" s="331">
        <v>0</v>
      </c>
      <c r="U1894" s="328">
        <f>VLOOKUP(C1894,METADATA!$J$5:$Q$29,IF(E1894="HI",2,IF(E1894="LO",6,10))+IF(T1894=1,2,IF(D1894=7,1,(IF(WEEKDAY(B1894)=1,2,IF(WEEKDAY(B1894)=7,1,0))))))</f>
        <v>1</v>
      </c>
      <c r="V1894" s="328">
        <f>VLOOKUP(C1894,METADATA!$A$5:$H$29,IF(E1894="HI",2,IF(E1894="LO",6,10))+IF(T1894=1,2,IF(D1894=7,1,(IF(WEEKDAY(B1894)=1,2,IF(WEEKDAY(B1894)=7,1,0))))))</f>
        <v>1</v>
      </c>
    </row>
    <row r="1895" spans="2:22">
      <c r="B1895" s="318">
        <f t="shared" si="119"/>
        <v>46191</v>
      </c>
      <c r="C1895" s="312">
        <v>19</v>
      </c>
      <c r="D1895" s="368">
        <f>IFERROR((INDEX(METADATA!$T$2:$T$20,MATCH(B1895,METADATA!$S$2:$S$20,0))),0)</f>
        <v>0</v>
      </c>
      <c r="E1895" s="312" t="str">
        <f t="shared" si="116"/>
        <v>LO</v>
      </c>
      <c r="F1895" s="369">
        <f>VLOOKUP(C1895,METADATA!$A$5:$H$29,IF(E1895="HI",2,IF(E1895="LO",6,10))+IF(D1895=1,2,IF(D1895=7,1,(IF(WEEKDAY(B1895)=1,2,IF(WEEKDAY(B1895)=7,1,0))))))</f>
        <v>1</v>
      </c>
      <c r="G1895" s="369">
        <f>VLOOKUP(C1895,METADATA!$J$5:$Q$29,IF(E1895="HI",2,IF(E1895="LO",6,10))+IF(D1895=1,2,IF(D1895=7,1,(IF(WEEKDAY(B1895)=1,2,IF(WEEKDAY(B1895)=7,1,0))))))</f>
        <v>1</v>
      </c>
      <c r="H1895" s="370">
        <v>11441.897308349609</v>
      </c>
      <c r="I1895" s="370">
        <v>1890.2599792480469</v>
      </c>
      <c r="M1895" s="371">
        <f t="shared" si="117"/>
        <v>11596.986539785448</v>
      </c>
      <c r="N1895" s="329">
        <f t="shared" si="118"/>
        <v>0</v>
      </c>
      <c r="T1895" s="331">
        <v>0</v>
      </c>
      <c r="U1895" s="328">
        <f>VLOOKUP(C1895,METADATA!$J$5:$Q$29,IF(E1895="HI",2,IF(E1895="LO",6,10))+IF(T1895=1,2,IF(D1895=7,1,(IF(WEEKDAY(B1895)=1,2,IF(WEEKDAY(B1895)=7,1,0))))))</f>
        <v>1</v>
      </c>
      <c r="V1895" s="328">
        <f>VLOOKUP(C1895,METADATA!$A$5:$H$29,IF(E1895="HI",2,IF(E1895="LO",6,10))+IF(T1895=1,2,IF(D1895=7,1,(IF(WEEKDAY(B1895)=1,2,IF(WEEKDAY(B1895)=7,1,0))))))</f>
        <v>1</v>
      </c>
    </row>
    <row r="1896" spans="2:22">
      <c r="B1896" s="318">
        <f t="shared" si="119"/>
        <v>46191</v>
      </c>
      <c r="C1896" s="312">
        <v>20</v>
      </c>
      <c r="D1896" s="368">
        <f>IFERROR((INDEX(METADATA!$T$2:$T$20,MATCH(B1896,METADATA!$S$2:$S$20,0))),0)</f>
        <v>0</v>
      </c>
      <c r="E1896" s="312" t="str">
        <f t="shared" si="116"/>
        <v>LO</v>
      </c>
      <c r="F1896" s="369">
        <f>VLOOKUP(C1896,METADATA!$A$5:$H$29,IF(E1896="HI",2,IF(E1896="LO",6,10))+IF(D1896=1,2,IF(D1896=7,1,(IF(WEEKDAY(B1896)=1,2,IF(WEEKDAY(B1896)=7,1,0))))))</f>
        <v>1</v>
      </c>
      <c r="G1896" s="369">
        <f>VLOOKUP(C1896,METADATA!$J$5:$Q$29,IF(E1896="HI",2,IF(E1896="LO",6,10))+IF(D1896=1,2,IF(D1896=7,1,(IF(WEEKDAY(B1896)=1,2,IF(WEEKDAY(B1896)=7,1,0))))))</f>
        <v>1</v>
      </c>
      <c r="H1896" s="370">
        <v>13076.575256347656</v>
      </c>
      <c r="I1896" s="370">
        <v>2054.9015607237816</v>
      </c>
      <c r="M1896" s="371">
        <f t="shared" si="117"/>
        <v>13237.048041734563</v>
      </c>
      <c r="N1896" s="329">
        <f t="shared" si="118"/>
        <v>0</v>
      </c>
      <c r="T1896" s="331">
        <v>0</v>
      </c>
      <c r="U1896" s="328">
        <f>VLOOKUP(C1896,METADATA!$J$5:$Q$29,IF(E1896="HI",2,IF(E1896="LO",6,10))+IF(T1896=1,2,IF(D1896=7,1,(IF(WEEKDAY(B1896)=1,2,IF(WEEKDAY(B1896)=7,1,0))))))</f>
        <v>1</v>
      </c>
      <c r="V1896" s="328">
        <f>VLOOKUP(C1896,METADATA!$A$5:$H$29,IF(E1896="HI",2,IF(E1896="LO",6,10))+IF(T1896=1,2,IF(D1896=7,1,(IF(WEEKDAY(B1896)=1,2,IF(WEEKDAY(B1896)=7,1,0))))))</f>
        <v>1</v>
      </c>
    </row>
    <row r="1897" spans="2:22">
      <c r="B1897" s="318">
        <f t="shared" si="119"/>
        <v>46191</v>
      </c>
      <c r="C1897" s="312">
        <v>21</v>
      </c>
      <c r="D1897" s="368">
        <f>IFERROR((INDEX(METADATA!$T$2:$T$20,MATCH(B1897,METADATA!$S$2:$S$20,0))),0)</f>
        <v>0</v>
      </c>
      <c r="E1897" s="312" t="str">
        <f t="shared" si="116"/>
        <v>LO</v>
      </c>
      <c r="F1897" s="369">
        <f>VLOOKUP(C1897,METADATA!$A$5:$H$29,IF(E1897="HI",2,IF(E1897="LO",6,10))+IF(D1897=1,2,IF(D1897=7,1,(IF(WEEKDAY(B1897)=1,2,IF(WEEKDAY(B1897)=7,1,0))))))</f>
        <v>2</v>
      </c>
      <c r="G1897" s="369">
        <f>VLOOKUP(C1897,METADATA!$J$5:$Q$29,IF(E1897="HI",2,IF(E1897="LO",6,10))+IF(D1897=1,2,IF(D1897=7,1,(IF(WEEKDAY(B1897)=1,2,IF(WEEKDAY(B1897)=7,1,0))))))</f>
        <v>2</v>
      </c>
      <c r="H1897" s="370">
        <v>13513.600219726563</v>
      </c>
      <c r="I1897" s="370">
        <v>2295.0524368286133</v>
      </c>
      <c r="M1897" s="371">
        <f t="shared" si="117"/>
        <v>13707.10241394536</v>
      </c>
      <c r="N1897" s="329">
        <f t="shared" si="118"/>
        <v>0</v>
      </c>
      <c r="T1897" s="331">
        <v>0</v>
      </c>
      <c r="U1897" s="328">
        <f>VLOOKUP(C1897,METADATA!$J$5:$Q$29,IF(E1897="HI",2,IF(E1897="LO",6,10))+IF(T1897=1,2,IF(D1897=7,1,(IF(WEEKDAY(B1897)=1,2,IF(WEEKDAY(B1897)=7,1,0))))))</f>
        <v>2</v>
      </c>
      <c r="V1897" s="328">
        <f>VLOOKUP(C1897,METADATA!$A$5:$H$29,IF(E1897="HI",2,IF(E1897="LO",6,10))+IF(T1897=1,2,IF(D1897=7,1,(IF(WEEKDAY(B1897)=1,2,IF(WEEKDAY(B1897)=7,1,0))))))</f>
        <v>2</v>
      </c>
    </row>
    <row r="1898" spans="2:22">
      <c r="B1898" s="318">
        <f t="shared" si="119"/>
        <v>46191</v>
      </c>
      <c r="C1898" s="312">
        <v>22</v>
      </c>
      <c r="D1898" s="368">
        <f>IFERROR((INDEX(METADATA!$T$2:$T$20,MATCH(B1898,METADATA!$S$2:$S$20,0))),0)</f>
        <v>0</v>
      </c>
      <c r="E1898" s="312" t="str">
        <f t="shared" si="116"/>
        <v>LO</v>
      </c>
      <c r="F1898" s="369">
        <f>VLOOKUP(C1898,METADATA!$A$5:$H$29,IF(E1898="HI",2,IF(E1898="LO",6,10))+IF(D1898=1,2,IF(D1898=7,1,(IF(WEEKDAY(B1898)=1,2,IF(WEEKDAY(B1898)=7,1,0))))))</f>
        <v>3</v>
      </c>
      <c r="G1898" s="369">
        <f>VLOOKUP(C1898,METADATA!$J$5:$Q$29,IF(E1898="HI",2,IF(E1898="LO",6,10))+IF(D1898=1,2,IF(D1898=7,1,(IF(WEEKDAY(B1898)=1,2,IF(WEEKDAY(B1898)=7,1,0))))))</f>
        <v>3</v>
      </c>
      <c r="H1898" s="370">
        <v>8896.199951171875</v>
      </c>
      <c r="I1898" s="370">
        <v>381.71500396728516</v>
      </c>
      <c r="M1898" s="371">
        <f t="shared" si="117"/>
        <v>8904.38543165581</v>
      </c>
      <c r="N1898" s="329">
        <f t="shared" si="118"/>
        <v>0</v>
      </c>
      <c r="T1898" s="331">
        <v>0</v>
      </c>
      <c r="U1898" s="328">
        <f>VLOOKUP(C1898,METADATA!$J$5:$Q$29,IF(E1898="HI",2,IF(E1898="LO",6,10))+IF(T1898=1,2,IF(D1898=7,1,(IF(WEEKDAY(B1898)=1,2,IF(WEEKDAY(B1898)=7,1,0))))))</f>
        <v>3</v>
      </c>
      <c r="V1898" s="328">
        <f>VLOOKUP(C1898,METADATA!$A$5:$H$29,IF(E1898="HI",2,IF(E1898="LO",6,10))+IF(T1898=1,2,IF(D1898=7,1,(IF(WEEKDAY(B1898)=1,2,IF(WEEKDAY(B1898)=7,1,0))))))</f>
        <v>3</v>
      </c>
    </row>
    <row r="1899" spans="2:22">
      <c r="B1899" s="318">
        <f t="shared" si="119"/>
        <v>46191</v>
      </c>
      <c r="C1899" s="312">
        <v>23</v>
      </c>
      <c r="D1899" s="368">
        <f>IFERROR((INDEX(METADATA!$T$2:$T$20,MATCH(B1899,METADATA!$S$2:$S$20,0))),0)</f>
        <v>0</v>
      </c>
      <c r="E1899" s="312" t="str">
        <f t="shared" si="116"/>
        <v>LO</v>
      </c>
      <c r="F1899" s="369">
        <f>VLOOKUP(C1899,METADATA!$A$5:$H$29,IF(E1899="HI",2,IF(E1899="LO",6,10))+IF(D1899=1,2,IF(D1899=7,1,(IF(WEEKDAY(B1899)=1,2,IF(WEEKDAY(B1899)=7,1,0))))))</f>
        <v>3</v>
      </c>
      <c r="G1899" s="369">
        <f>VLOOKUP(C1899,METADATA!$J$5:$Q$29,IF(E1899="HI",2,IF(E1899="LO",6,10))+IF(D1899=1,2,IF(D1899=7,1,(IF(WEEKDAY(B1899)=1,2,IF(WEEKDAY(B1899)=7,1,0))))))</f>
        <v>3</v>
      </c>
      <c r="H1899" s="370">
        <v>6278.0475769042969</v>
      </c>
      <c r="I1899" s="370">
        <v>3.0000000260770321E-3</v>
      </c>
      <c r="M1899" s="371">
        <f t="shared" si="117"/>
        <v>6278.0475769050136</v>
      </c>
      <c r="N1899" s="329">
        <f t="shared" si="118"/>
        <v>0</v>
      </c>
      <c r="T1899" s="331">
        <v>0</v>
      </c>
      <c r="U1899" s="328">
        <f>VLOOKUP(C1899,METADATA!$J$5:$Q$29,IF(E1899="HI",2,IF(E1899="LO",6,10))+IF(T1899=1,2,IF(D1899=7,1,(IF(WEEKDAY(B1899)=1,2,IF(WEEKDAY(B1899)=7,1,0))))))</f>
        <v>3</v>
      </c>
      <c r="V1899" s="328">
        <f>VLOOKUP(C1899,METADATA!$A$5:$H$29,IF(E1899="HI",2,IF(E1899="LO",6,10))+IF(T1899=1,2,IF(D1899=7,1,(IF(WEEKDAY(B1899)=1,2,IF(WEEKDAY(B1899)=7,1,0))))))</f>
        <v>3</v>
      </c>
    </row>
    <row r="1900" spans="2:22">
      <c r="B1900" s="318">
        <f t="shared" si="119"/>
        <v>46192</v>
      </c>
      <c r="C1900" s="312">
        <v>0</v>
      </c>
      <c r="D1900" s="368">
        <f>IFERROR((INDEX(METADATA!$T$2:$T$20,MATCH(B1900,METADATA!$S$2:$S$20,0))),0)</f>
        <v>0</v>
      </c>
      <c r="E1900" s="312" t="str">
        <f t="shared" si="116"/>
        <v>LO</v>
      </c>
      <c r="F1900" s="369">
        <f>VLOOKUP(C1900,METADATA!$A$5:$H$29,IF(E1900="HI",2,IF(E1900="LO",6,10))+IF(D1900=1,2,IF(D1900=7,1,(IF(WEEKDAY(B1900)=1,2,IF(WEEKDAY(B1900)=7,1,0))))))</f>
        <v>3</v>
      </c>
      <c r="G1900" s="369">
        <f>VLOOKUP(C1900,METADATA!$J$5:$Q$29,IF(E1900="HI",2,IF(E1900="LO",6,10))+IF(D1900=1,2,IF(D1900=7,1,(IF(WEEKDAY(B1900)=1,2,IF(WEEKDAY(B1900)=7,1,0))))))</f>
        <v>3</v>
      </c>
      <c r="H1900" s="370">
        <v>6456.0675659179688</v>
      </c>
      <c r="I1900" s="370">
        <v>15</v>
      </c>
      <c r="M1900" s="371">
        <f t="shared" si="117"/>
        <v>6456.0849913626416</v>
      </c>
      <c r="N1900" s="329">
        <f t="shared" si="118"/>
        <v>0</v>
      </c>
      <c r="T1900" s="331">
        <v>0</v>
      </c>
      <c r="U1900" s="328">
        <f>VLOOKUP(C1900,METADATA!$J$5:$Q$29,IF(E1900="HI",2,IF(E1900="LO",6,10))+IF(T1900=1,2,IF(D1900=7,1,(IF(WEEKDAY(B1900)=1,2,IF(WEEKDAY(B1900)=7,1,0))))))</f>
        <v>3</v>
      </c>
      <c r="V1900" s="328">
        <f>VLOOKUP(C1900,METADATA!$A$5:$H$29,IF(E1900="HI",2,IF(E1900="LO",6,10))+IF(T1900=1,2,IF(D1900=7,1,(IF(WEEKDAY(B1900)=1,2,IF(WEEKDAY(B1900)=7,1,0))))))</f>
        <v>3</v>
      </c>
    </row>
    <row r="1901" spans="2:22">
      <c r="B1901" s="318">
        <f t="shared" si="119"/>
        <v>46192</v>
      </c>
      <c r="C1901" s="312">
        <v>1</v>
      </c>
      <c r="D1901" s="368">
        <f>IFERROR((INDEX(METADATA!$T$2:$T$20,MATCH(B1901,METADATA!$S$2:$S$20,0))),0)</f>
        <v>0</v>
      </c>
      <c r="E1901" s="312" t="str">
        <f t="shared" si="116"/>
        <v>LO</v>
      </c>
      <c r="F1901" s="369">
        <f>VLOOKUP(C1901,METADATA!$A$5:$H$29,IF(E1901="HI",2,IF(E1901="LO",6,10))+IF(D1901=1,2,IF(D1901=7,1,(IF(WEEKDAY(B1901)=1,2,IF(WEEKDAY(B1901)=7,1,0))))))</f>
        <v>3</v>
      </c>
      <c r="G1901" s="369">
        <f>VLOOKUP(C1901,METADATA!$J$5:$Q$29,IF(E1901="HI",2,IF(E1901="LO",6,10))+IF(D1901=1,2,IF(D1901=7,1,(IF(WEEKDAY(B1901)=1,2,IF(WEEKDAY(B1901)=7,1,0))))))</f>
        <v>3</v>
      </c>
      <c r="H1901" s="370">
        <v>11055.082244873047</v>
      </c>
      <c r="I1901" s="370">
        <v>1779.551964610815</v>
      </c>
      <c r="M1901" s="371">
        <f t="shared" si="117"/>
        <v>11197.394725366141</v>
      </c>
      <c r="N1901" s="329">
        <f t="shared" si="118"/>
        <v>0</v>
      </c>
      <c r="T1901" s="331">
        <v>0</v>
      </c>
      <c r="U1901" s="328">
        <f>VLOOKUP(C1901,METADATA!$J$5:$Q$29,IF(E1901="HI",2,IF(E1901="LO",6,10))+IF(T1901=1,2,IF(D1901=7,1,(IF(WEEKDAY(B1901)=1,2,IF(WEEKDAY(B1901)=7,1,0))))))</f>
        <v>3</v>
      </c>
      <c r="V1901" s="328">
        <f>VLOOKUP(C1901,METADATA!$A$5:$H$29,IF(E1901="HI",2,IF(E1901="LO",6,10))+IF(T1901=1,2,IF(D1901=7,1,(IF(WEEKDAY(B1901)=1,2,IF(WEEKDAY(B1901)=7,1,0))))))</f>
        <v>3</v>
      </c>
    </row>
    <row r="1902" spans="2:22">
      <c r="B1902" s="318">
        <f t="shared" si="119"/>
        <v>46192</v>
      </c>
      <c r="C1902" s="312">
        <v>2</v>
      </c>
      <c r="D1902" s="368">
        <f>IFERROR((INDEX(METADATA!$T$2:$T$20,MATCH(B1902,METADATA!$S$2:$S$20,0))),0)</f>
        <v>0</v>
      </c>
      <c r="E1902" s="312" t="str">
        <f t="shared" si="116"/>
        <v>LO</v>
      </c>
      <c r="F1902" s="369">
        <f>VLOOKUP(C1902,METADATA!$A$5:$H$29,IF(E1902="HI",2,IF(E1902="LO",6,10))+IF(D1902=1,2,IF(D1902=7,1,(IF(WEEKDAY(B1902)=1,2,IF(WEEKDAY(B1902)=7,1,0))))))</f>
        <v>3</v>
      </c>
      <c r="G1902" s="369">
        <f>VLOOKUP(C1902,METADATA!$J$5:$Q$29,IF(E1902="HI",2,IF(E1902="LO",6,10))+IF(D1902=1,2,IF(D1902=7,1,(IF(WEEKDAY(B1902)=1,2,IF(WEEKDAY(B1902)=7,1,0))))))</f>
        <v>3</v>
      </c>
      <c r="H1902" s="370">
        <v>13536.000305175781</v>
      </c>
      <c r="I1902" s="370">
        <v>2197.2214841246605</v>
      </c>
      <c r="M1902" s="371">
        <f t="shared" si="117"/>
        <v>13713.172007672689</v>
      </c>
      <c r="N1902" s="329">
        <f t="shared" si="118"/>
        <v>0</v>
      </c>
      <c r="T1902" s="331">
        <v>0</v>
      </c>
      <c r="U1902" s="328">
        <f>VLOOKUP(C1902,METADATA!$J$5:$Q$29,IF(E1902="HI",2,IF(E1902="LO",6,10))+IF(T1902=1,2,IF(D1902=7,1,(IF(WEEKDAY(B1902)=1,2,IF(WEEKDAY(B1902)=7,1,0))))))</f>
        <v>3</v>
      </c>
      <c r="V1902" s="328">
        <f>VLOOKUP(C1902,METADATA!$A$5:$H$29,IF(E1902="HI",2,IF(E1902="LO",6,10))+IF(T1902=1,2,IF(D1902=7,1,(IF(WEEKDAY(B1902)=1,2,IF(WEEKDAY(B1902)=7,1,0))))))</f>
        <v>3</v>
      </c>
    </row>
    <row r="1903" spans="2:22">
      <c r="B1903" s="318">
        <f t="shared" si="119"/>
        <v>46192</v>
      </c>
      <c r="C1903" s="312">
        <v>3</v>
      </c>
      <c r="D1903" s="368">
        <f>IFERROR((INDEX(METADATA!$T$2:$T$20,MATCH(B1903,METADATA!$S$2:$S$20,0))),0)</f>
        <v>0</v>
      </c>
      <c r="E1903" s="312" t="str">
        <f t="shared" si="116"/>
        <v>LO</v>
      </c>
      <c r="F1903" s="369">
        <f>VLOOKUP(C1903,METADATA!$A$5:$H$29,IF(E1903="HI",2,IF(E1903="LO",6,10))+IF(D1903=1,2,IF(D1903=7,1,(IF(WEEKDAY(B1903)=1,2,IF(WEEKDAY(B1903)=7,1,0))))))</f>
        <v>3</v>
      </c>
      <c r="G1903" s="369">
        <f>VLOOKUP(C1903,METADATA!$J$5:$Q$29,IF(E1903="HI",2,IF(E1903="LO",6,10))+IF(D1903=1,2,IF(D1903=7,1,(IF(WEEKDAY(B1903)=1,2,IF(WEEKDAY(B1903)=7,1,0))))))</f>
        <v>3</v>
      </c>
      <c r="H1903" s="370">
        <v>8029.425048828125</v>
      </c>
      <c r="I1903" s="370">
        <v>267.17049407958984</v>
      </c>
      <c r="M1903" s="371">
        <f t="shared" si="117"/>
        <v>8033.8687248208926</v>
      </c>
      <c r="N1903" s="329">
        <f t="shared" si="118"/>
        <v>0</v>
      </c>
      <c r="T1903" s="331">
        <v>0</v>
      </c>
      <c r="U1903" s="328">
        <f>VLOOKUP(C1903,METADATA!$J$5:$Q$29,IF(E1903="HI",2,IF(E1903="LO",6,10))+IF(T1903=1,2,IF(D1903=7,1,(IF(WEEKDAY(B1903)=1,2,IF(WEEKDAY(B1903)=7,1,0))))))</f>
        <v>3</v>
      </c>
      <c r="V1903" s="328">
        <f>VLOOKUP(C1903,METADATA!$A$5:$H$29,IF(E1903="HI",2,IF(E1903="LO",6,10))+IF(T1903=1,2,IF(D1903=7,1,(IF(WEEKDAY(B1903)=1,2,IF(WEEKDAY(B1903)=7,1,0))))))</f>
        <v>3</v>
      </c>
    </row>
    <row r="1904" spans="2:22">
      <c r="B1904" s="318">
        <f t="shared" si="119"/>
        <v>46192</v>
      </c>
      <c r="C1904" s="312">
        <v>4</v>
      </c>
      <c r="D1904" s="368">
        <f>IFERROR((INDEX(METADATA!$T$2:$T$20,MATCH(B1904,METADATA!$S$2:$S$20,0))),0)</f>
        <v>0</v>
      </c>
      <c r="E1904" s="312" t="str">
        <f t="shared" si="116"/>
        <v>LO</v>
      </c>
      <c r="F1904" s="369">
        <f>VLOOKUP(C1904,METADATA!$A$5:$H$29,IF(E1904="HI",2,IF(E1904="LO",6,10))+IF(D1904=1,2,IF(D1904=7,1,(IF(WEEKDAY(B1904)=1,2,IF(WEEKDAY(B1904)=7,1,0))))))</f>
        <v>3</v>
      </c>
      <c r="G1904" s="369">
        <f>VLOOKUP(C1904,METADATA!$J$5:$Q$29,IF(E1904="HI",2,IF(E1904="LO",6,10))+IF(D1904=1,2,IF(D1904=7,1,(IF(WEEKDAY(B1904)=1,2,IF(WEEKDAY(B1904)=7,1,0))))))</f>
        <v>3</v>
      </c>
      <c r="H1904" s="370">
        <v>6142.1648559570313</v>
      </c>
      <c r="I1904" s="370">
        <v>0</v>
      </c>
      <c r="M1904" s="371">
        <f t="shared" si="117"/>
        <v>6142.1648559570313</v>
      </c>
      <c r="N1904" s="329">
        <f t="shared" si="118"/>
        <v>0</v>
      </c>
      <c r="T1904" s="331">
        <v>0</v>
      </c>
      <c r="U1904" s="328">
        <f>VLOOKUP(C1904,METADATA!$J$5:$Q$29,IF(E1904="HI",2,IF(E1904="LO",6,10))+IF(T1904=1,2,IF(D1904=7,1,(IF(WEEKDAY(B1904)=1,2,IF(WEEKDAY(B1904)=7,1,0))))))</f>
        <v>3</v>
      </c>
      <c r="V1904" s="328">
        <f>VLOOKUP(C1904,METADATA!$A$5:$H$29,IF(E1904="HI",2,IF(E1904="LO",6,10))+IF(T1904=1,2,IF(D1904=7,1,(IF(WEEKDAY(B1904)=1,2,IF(WEEKDAY(B1904)=7,1,0))))))</f>
        <v>3</v>
      </c>
    </row>
    <row r="1905" spans="2:22">
      <c r="B1905" s="318">
        <f t="shared" si="119"/>
        <v>46192</v>
      </c>
      <c r="C1905" s="312">
        <v>5</v>
      </c>
      <c r="D1905" s="368">
        <f>IFERROR((INDEX(METADATA!$T$2:$T$20,MATCH(B1905,METADATA!$S$2:$S$20,0))),0)</f>
        <v>0</v>
      </c>
      <c r="E1905" s="312" t="str">
        <f t="shared" si="116"/>
        <v>LO</v>
      </c>
      <c r="F1905" s="369">
        <f>VLOOKUP(C1905,METADATA!$A$5:$H$29,IF(E1905="HI",2,IF(E1905="LO",6,10))+IF(D1905=1,2,IF(D1905=7,1,(IF(WEEKDAY(B1905)=1,2,IF(WEEKDAY(B1905)=7,1,0))))))</f>
        <v>3</v>
      </c>
      <c r="G1905" s="369">
        <f>VLOOKUP(C1905,METADATA!$J$5:$Q$29,IF(E1905="HI",2,IF(E1905="LO",6,10))+IF(D1905=1,2,IF(D1905=7,1,(IF(WEEKDAY(B1905)=1,2,IF(WEEKDAY(B1905)=7,1,0))))))</f>
        <v>3</v>
      </c>
      <c r="H1905" s="370">
        <v>6168.46240234375</v>
      </c>
      <c r="I1905" s="370">
        <v>0</v>
      </c>
      <c r="M1905" s="371">
        <f t="shared" si="117"/>
        <v>6168.46240234375</v>
      </c>
      <c r="N1905" s="329">
        <f t="shared" si="118"/>
        <v>0</v>
      </c>
      <c r="T1905" s="331">
        <v>0</v>
      </c>
      <c r="U1905" s="328">
        <f>VLOOKUP(C1905,METADATA!$J$5:$Q$29,IF(E1905="HI",2,IF(E1905="LO",6,10))+IF(T1905=1,2,IF(D1905=7,1,(IF(WEEKDAY(B1905)=1,2,IF(WEEKDAY(B1905)=7,1,0))))))</f>
        <v>3</v>
      </c>
      <c r="V1905" s="328">
        <f>VLOOKUP(C1905,METADATA!$A$5:$H$29,IF(E1905="HI",2,IF(E1905="LO",6,10))+IF(T1905=1,2,IF(D1905=7,1,(IF(WEEKDAY(B1905)=1,2,IF(WEEKDAY(B1905)=7,1,0))))))</f>
        <v>3</v>
      </c>
    </row>
    <row r="1906" spans="2:22">
      <c r="B1906" s="318">
        <f t="shared" si="119"/>
        <v>46192</v>
      </c>
      <c r="C1906" s="312">
        <v>6</v>
      </c>
      <c r="D1906" s="368">
        <f>IFERROR((INDEX(METADATA!$T$2:$T$20,MATCH(B1906,METADATA!$S$2:$S$20,0))),0)</f>
        <v>0</v>
      </c>
      <c r="E1906" s="312" t="str">
        <f t="shared" si="116"/>
        <v>LO</v>
      </c>
      <c r="F1906" s="369">
        <f>VLOOKUP(C1906,METADATA!$A$5:$H$29,IF(E1906="HI",2,IF(E1906="LO",6,10))+IF(D1906=1,2,IF(D1906=7,1,(IF(WEEKDAY(B1906)=1,2,IF(WEEKDAY(B1906)=7,1,0))))))</f>
        <v>2</v>
      </c>
      <c r="G1906" s="369">
        <f>VLOOKUP(C1906,METADATA!$J$5:$Q$29,IF(E1906="HI",2,IF(E1906="LO",6,10))+IF(D1906=1,2,IF(D1906=7,1,(IF(WEEKDAY(B1906)=1,2,IF(WEEKDAY(B1906)=7,1,0))))))</f>
        <v>2</v>
      </c>
      <c r="H1906" s="370">
        <v>7985.3475952148438</v>
      </c>
      <c r="I1906" s="370">
        <v>349.31999969482422</v>
      </c>
      <c r="M1906" s="371">
        <f t="shared" si="117"/>
        <v>7992.9844663048279</v>
      </c>
      <c r="N1906" s="329">
        <f t="shared" si="118"/>
        <v>0</v>
      </c>
      <c r="T1906" s="331">
        <v>0</v>
      </c>
      <c r="U1906" s="328">
        <f>VLOOKUP(C1906,METADATA!$J$5:$Q$29,IF(E1906="HI",2,IF(E1906="LO",6,10))+IF(T1906=1,2,IF(D1906=7,1,(IF(WEEKDAY(B1906)=1,2,IF(WEEKDAY(B1906)=7,1,0))))))</f>
        <v>2</v>
      </c>
      <c r="V1906" s="328">
        <f>VLOOKUP(C1906,METADATA!$A$5:$H$29,IF(E1906="HI",2,IF(E1906="LO",6,10))+IF(T1906=1,2,IF(D1906=7,1,(IF(WEEKDAY(B1906)=1,2,IF(WEEKDAY(B1906)=7,1,0))))))</f>
        <v>2</v>
      </c>
    </row>
    <row r="1907" spans="2:22">
      <c r="B1907" s="318">
        <f t="shared" si="119"/>
        <v>46192</v>
      </c>
      <c r="C1907" s="312">
        <v>7</v>
      </c>
      <c r="D1907" s="368">
        <f>IFERROR((INDEX(METADATA!$T$2:$T$20,MATCH(B1907,METADATA!$S$2:$S$20,0))),0)</f>
        <v>0</v>
      </c>
      <c r="E1907" s="312" t="str">
        <f t="shared" si="116"/>
        <v>LO</v>
      </c>
      <c r="F1907" s="369">
        <f>VLOOKUP(C1907,METADATA!$A$5:$H$29,IF(E1907="HI",2,IF(E1907="LO",6,10))+IF(D1907=1,2,IF(D1907=7,1,(IF(WEEKDAY(B1907)=1,2,IF(WEEKDAY(B1907)=7,1,0))))))</f>
        <v>1</v>
      </c>
      <c r="G1907" s="369">
        <f>VLOOKUP(C1907,METADATA!$J$5:$Q$29,IF(E1907="HI",2,IF(E1907="LO",6,10))+IF(D1907=1,2,IF(D1907=7,1,(IF(WEEKDAY(B1907)=1,2,IF(WEEKDAY(B1907)=7,1,0))))))</f>
        <v>1</v>
      </c>
      <c r="H1907" s="370">
        <v>6249.6401062011719</v>
      </c>
      <c r="I1907" s="370">
        <v>1.3199999630451202</v>
      </c>
      <c r="M1907" s="371">
        <f t="shared" si="117"/>
        <v>6249.6402456011892</v>
      </c>
      <c r="N1907" s="329">
        <f t="shared" si="118"/>
        <v>0</v>
      </c>
      <c r="T1907" s="331">
        <v>0</v>
      </c>
      <c r="U1907" s="328">
        <f>VLOOKUP(C1907,METADATA!$J$5:$Q$29,IF(E1907="HI",2,IF(E1907="LO",6,10))+IF(T1907=1,2,IF(D1907=7,1,(IF(WEEKDAY(B1907)=1,2,IF(WEEKDAY(B1907)=7,1,0))))))</f>
        <v>1</v>
      </c>
      <c r="V1907" s="328">
        <f>VLOOKUP(C1907,METADATA!$A$5:$H$29,IF(E1907="HI",2,IF(E1907="LO",6,10))+IF(T1907=1,2,IF(D1907=7,1,(IF(WEEKDAY(B1907)=1,2,IF(WEEKDAY(B1907)=7,1,0))))))</f>
        <v>1</v>
      </c>
    </row>
    <row r="1908" spans="2:22">
      <c r="B1908" s="318">
        <f t="shared" si="119"/>
        <v>46192</v>
      </c>
      <c r="C1908" s="312">
        <v>8</v>
      </c>
      <c r="D1908" s="368">
        <f>IFERROR((INDEX(METADATA!$T$2:$T$20,MATCH(B1908,METADATA!$S$2:$S$20,0))),0)</f>
        <v>0</v>
      </c>
      <c r="E1908" s="312" t="str">
        <f t="shared" si="116"/>
        <v>LO</v>
      </c>
      <c r="F1908" s="369">
        <f>VLOOKUP(C1908,METADATA!$A$5:$H$29,IF(E1908="HI",2,IF(E1908="LO",6,10))+IF(D1908=1,2,IF(D1908=7,1,(IF(WEEKDAY(B1908)=1,2,IF(WEEKDAY(B1908)=7,1,0))))))</f>
        <v>1</v>
      </c>
      <c r="G1908" s="369">
        <f>VLOOKUP(C1908,METADATA!$J$5:$Q$29,IF(E1908="HI",2,IF(E1908="LO",6,10))+IF(D1908=1,2,IF(D1908=7,1,(IF(WEEKDAY(B1908)=1,2,IF(WEEKDAY(B1908)=7,1,0))))))</f>
        <v>1</v>
      </c>
      <c r="H1908" s="370">
        <v>5997.5250244140625</v>
      </c>
      <c r="I1908" s="370">
        <v>0</v>
      </c>
      <c r="M1908" s="371">
        <f t="shared" si="117"/>
        <v>5997.5250244140625</v>
      </c>
      <c r="N1908" s="329">
        <f t="shared" si="118"/>
        <v>0</v>
      </c>
      <c r="T1908" s="331">
        <v>0</v>
      </c>
      <c r="U1908" s="328">
        <f>VLOOKUP(C1908,METADATA!$J$5:$Q$29,IF(E1908="HI",2,IF(E1908="LO",6,10))+IF(T1908=1,2,IF(D1908=7,1,(IF(WEEKDAY(B1908)=1,2,IF(WEEKDAY(B1908)=7,1,0))))))</f>
        <v>1</v>
      </c>
      <c r="V1908" s="328">
        <f>VLOOKUP(C1908,METADATA!$A$5:$H$29,IF(E1908="HI",2,IF(E1908="LO",6,10))+IF(T1908=1,2,IF(D1908=7,1,(IF(WEEKDAY(B1908)=1,2,IF(WEEKDAY(B1908)=7,1,0))))))</f>
        <v>1</v>
      </c>
    </row>
    <row r="1909" spans="2:22">
      <c r="B1909" s="318">
        <f t="shared" si="119"/>
        <v>46192</v>
      </c>
      <c r="C1909" s="312">
        <v>9</v>
      </c>
      <c r="D1909" s="368">
        <f>IFERROR((INDEX(METADATA!$T$2:$T$20,MATCH(B1909,METADATA!$S$2:$S$20,0))),0)</f>
        <v>0</v>
      </c>
      <c r="E1909" s="312" t="str">
        <f t="shared" si="116"/>
        <v>LO</v>
      </c>
      <c r="F1909" s="369">
        <f>VLOOKUP(C1909,METADATA!$A$5:$H$29,IF(E1909="HI",2,IF(E1909="LO",6,10))+IF(D1909=1,2,IF(D1909=7,1,(IF(WEEKDAY(B1909)=1,2,IF(WEEKDAY(B1909)=7,1,0))))))</f>
        <v>2</v>
      </c>
      <c r="G1909" s="369">
        <f>VLOOKUP(C1909,METADATA!$J$5:$Q$29,IF(E1909="HI",2,IF(E1909="LO",6,10))+IF(D1909=1,2,IF(D1909=7,1,(IF(WEEKDAY(B1909)=1,2,IF(WEEKDAY(B1909)=7,1,0))))))</f>
        <v>2</v>
      </c>
      <c r="H1909" s="370">
        <v>10242.397583007813</v>
      </c>
      <c r="I1909" s="370">
        <v>1307.2799682617188</v>
      </c>
      <c r="M1909" s="371">
        <f t="shared" si="117"/>
        <v>10325.487357206082</v>
      </c>
      <c r="N1909" s="329">
        <f t="shared" si="118"/>
        <v>0</v>
      </c>
      <c r="T1909" s="331">
        <v>0</v>
      </c>
      <c r="U1909" s="328">
        <f>VLOOKUP(C1909,METADATA!$J$5:$Q$29,IF(E1909="HI",2,IF(E1909="LO",6,10))+IF(T1909=1,2,IF(D1909=7,1,(IF(WEEKDAY(B1909)=1,2,IF(WEEKDAY(B1909)=7,1,0))))))</f>
        <v>2</v>
      </c>
      <c r="V1909" s="328">
        <f>VLOOKUP(C1909,METADATA!$A$5:$H$29,IF(E1909="HI",2,IF(E1909="LO",6,10))+IF(T1909=1,2,IF(D1909=7,1,(IF(WEEKDAY(B1909)=1,2,IF(WEEKDAY(B1909)=7,1,0))))))</f>
        <v>2</v>
      </c>
    </row>
    <row r="1910" spans="2:22">
      <c r="B1910" s="318">
        <f t="shared" si="119"/>
        <v>46192</v>
      </c>
      <c r="C1910" s="312">
        <v>10</v>
      </c>
      <c r="D1910" s="368">
        <f>IFERROR((INDEX(METADATA!$T$2:$T$20,MATCH(B1910,METADATA!$S$2:$S$20,0))),0)</f>
        <v>0</v>
      </c>
      <c r="E1910" s="312" t="str">
        <f t="shared" si="116"/>
        <v>LO</v>
      </c>
      <c r="F1910" s="369">
        <f>VLOOKUP(C1910,METADATA!$A$5:$H$29,IF(E1910="HI",2,IF(E1910="LO",6,10))+IF(D1910=1,2,IF(D1910=7,1,(IF(WEEKDAY(B1910)=1,2,IF(WEEKDAY(B1910)=7,1,0))))))</f>
        <v>2</v>
      </c>
      <c r="G1910" s="369">
        <f>VLOOKUP(C1910,METADATA!$J$5:$Q$29,IF(E1910="HI",2,IF(E1910="LO",6,10))+IF(D1910=1,2,IF(D1910=7,1,(IF(WEEKDAY(B1910)=1,2,IF(WEEKDAY(B1910)=7,1,0))))))</f>
        <v>2</v>
      </c>
      <c r="H1910" s="370">
        <v>11458.452697753906</v>
      </c>
      <c r="I1910" s="370">
        <v>1890.47998046875</v>
      </c>
      <c r="M1910" s="371">
        <f t="shared" si="117"/>
        <v>11613.356654439614</v>
      </c>
      <c r="N1910" s="329">
        <f t="shared" si="118"/>
        <v>0</v>
      </c>
      <c r="T1910" s="331">
        <v>0</v>
      </c>
      <c r="U1910" s="328">
        <f>VLOOKUP(C1910,METADATA!$J$5:$Q$29,IF(E1910="HI",2,IF(E1910="LO",6,10))+IF(T1910=1,2,IF(D1910=7,1,(IF(WEEKDAY(B1910)=1,2,IF(WEEKDAY(B1910)=7,1,0))))))</f>
        <v>2</v>
      </c>
      <c r="V1910" s="328">
        <f>VLOOKUP(C1910,METADATA!$A$5:$H$29,IF(E1910="HI",2,IF(E1910="LO",6,10))+IF(T1910=1,2,IF(D1910=7,1,(IF(WEEKDAY(B1910)=1,2,IF(WEEKDAY(B1910)=7,1,0))))))</f>
        <v>2</v>
      </c>
    </row>
    <row r="1911" spans="2:22">
      <c r="B1911" s="318">
        <f t="shared" si="119"/>
        <v>46192</v>
      </c>
      <c r="C1911" s="312">
        <v>11</v>
      </c>
      <c r="D1911" s="368">
        <f>IFERROR((INDEX(METADATA!$T$2:$T$20,MATCH(B1911,METADATA!$S$2:$S$20,0))),0)</f>
        <v>0</v>
      </c>
      <c r="E1911" s="312" t="str">
        <f t="shared" si="116"/>
        <v>LO</v>
      </c>
      <c r="F1911" s="369">
        <f>VLOOKUP(C1911,METADATA!$A$5:$H$29,IF(E1911="HI",2,IF(E1911="LO",6,10))+IF(D1911=1,2,IF(D1911=7,1,(IF(WEEKDAY(B1911)=1,2,IF(WEEKDAY(B1911)=7,1,0))))))</f>
        <v>2</v>
      </c>
      <c r="G1911" s="369">
        <f>VLOOKUP(C1911,METADATA!$J$5:$Q$29,IF(E1911="HI",2,IF(E1911="LO",6,10))+IF(D1911=1,2,IF(D1911=7,1,(IF(WEEKDAY(B1911)=1,2,IF(WEEKDAY(B1911)=7,1,0))))))</f>
        <v>2</v>
      </c>
      <c r="H1911" s="370">
        <v>11614.80517578125</v>
      </c>
      <c r="I1911" s="370">
        <v>2032.2849731445313</v>
      </c>
      <c r="M1911" s="371">
        <f t="shared" si="117"/>
        <v>11791.262929958944</v>
      </c>
      <c r="N1911" s="329">
        <f t="shared" si="118"/>
        <v>0</v>
      </c>
      <c r="T1911" s="331">
        <v>0</v>
      </c>
      <c r="U1911" s="328">
        <f>VLOOKUP(C1911,METADATA!$J$5:$Q$29,IF(E1911="HI",2,IF(E1911="LO",6,10))+IF(T1911=1,2,IF(D1911=7,1,(IF(WEEKDAY(B1911)=1,2,IF(WEEKDAY(B1911)=7,1,0))))))</f>
        <v>2</v>
      </c>
      <c r="V1911" s="328">
        <f>VLOOKUP(C1911,METADATA!$A$5:$H$29,IF(E1911="HI",2,IF(E1911="LO",6,10))+IF(T1911=1,2,IF(D1911=7,1,(IF(WEEKDAY(B1911)=1,2,IF(WEEKDAY(B1911)=7,1,0))))))</f>
        <v>2</v>
      </c>
    </row>
    <row r="1912" spans="2:22">
      <c r="B1912" s="318">
        <f t="shared" si="119"/>
        <v>46192</v>
      </c>
      <c r="C1912" s="312">
        <v>12</v>
      </c>
      <c r="D1912" s="368">
        <f>IFERROR((INDEX(METADATA!$T$2:$T$20,MATCH(B1912,METADATA!$S$2:$S$20,0))),0)</f>
        <v>0</v>
      </c>
      <c r="E1912" s="312" t="str">
        <f t="shared" si="116"/>
        <v>LO</v>
      </c>
      <c r="F1912" s="369">
        <f>VLOOKUP(C1912,METADATA!$A$5:$H$29,IF(E1912="HI",2,IF(E1912="LO",6,10))+IF(D1912=1,2,IF(D1912=7,1,(IF(WEEKDAY(B1912)=1,2,IF(WEEKDAY(B1912)=7,1,0))))))</f>
        <v>2</v>
      </c>
      <c r="G1912" s="369">
        <f>VLOOKUP(C1912,METADATA!$J$5:$Q$29,IF(E1912="HI",2,IF(E1912="LO",6,10))+IF(D1912=1,2,IF(D1912=7,1,(IF(WEEKDAY(B1912)=1,2,IF(WEEKDAY(B1912)=7,1,0))))))</f>
        <v>2</v>
      </c>
      <c r="H1912" s="370">
        <v>11660.329833984375</v>
      </c>
      <c r="I1912" s="370">
        <v>1988.4870343208313</v>
      </c>
      <c r="M1912" s="371">
        <f t="shared" si="117"/>
        <v>11828.667402669167</v>
      </c>
      <c r="N1912" s="329">
        <f t="shared" si="118"/>
        <v>0</v>
      </c>
      <c r="T1912" s="331">
        <v>0</v>
      </c>
      <c r="U1912" s="328">
        <f>VLOOKUP(C1912,METADATA!$J$5:$Q$29,IF(E1912="HI",2,IF(E1912="LO",6,10))+IF(T1912=1,2,IF(D1912=7,1,(IF(WEEKDAY(B1912)=1,2,IF(WEEKDAY(B1912)=7,1,0))))))</f>
        <v>2</v>
      </c>
      <c r="V1912" s="328">
        <f>VLOOKUP(C1912,METADATA!$A$5:$H$29,IF(E1912="HI",2,IF(E1912="LO",6,10))+IF(T1912=1,2,IF(D1912=7,1,(IF(WEEKDAY(B1912)=1,2,IF(WEEKDAY(B1912)=7,1,0))))))</f>
        <v>2</v>
      </c>
    </row>
    <row r="1913" spans="2:22">
      <c r="B1913" s="318">
        <f t="shared" si="119"/>
        <v>46192</v>
      </c>
      <c r="C1913" s="312">
        <v>13</v>
      </c>
      <c r="D1913" s="368">
        <f>IFERROR((INDEX(METADATA!$T$2:$T$20,MATCH(B1913,METADATA!$S$2:$S$20,0))),0)</f>
        <v>0</v>
      </c>
      <c r="E1913" s="312" t="str">
        <f t="shared" si="116"/>
        <v>LO</v>
      </c>
      <c r="F1913" s="369">
        <f>VLOOKUP(C1913,METADATA!$A$5:$H$29,IF(E1913="HI",2,IF(E1913="LO",6,10))+IF(D1913=1,2,IF(D1913=7,1,(IF(WEEKDAY(B1913)=1,2,IF(WEEKDAY(B1913)=7,1,0))))))</f>
        <v>2</v>
      </c>
      <c r="G1913" s="369">
        <f>VLOOKUP(C1913,METADATA!$J$5:$Q$29,IF(E1913="HI",2,IF(E1913="LO",6,10))+IF(D1913=1,2,IF(D1913=7,1,(IF(WEEKDAY(B1913)=1,2,IF(WEEKDAY(B1913)=7,1,0))))))</f>
        <v>2</v>
      </c>
      <c r="H1913" s="370">
        <v>13627.899963378906</v>
      </c>
      <c r="I1913" s="370">
        <v>2297.5189618468285</v>
      </c>
      <c r="M1913" s="371">
        <f t="shared" si="117"/>
        <v>13820.211676812643</v>
      </c>
      <c r="N1913" s="329">
        <f t="shared" si="118"/>
        <v>0</v>
      </c>
      <c r="T1913" s="331">
        <v>0</v>
      </c>
      <c r="U1913" s="328">
        <f>VLOOKUP(C1913,METADATA!$J$5:$Q$29,IF(E1913="HI",2,IF(E1913="LO",6,10))+IF(T1913=1,2,IF(D1913=7,1,(IF(WEEKDAY(B1913)=1,2,IF(WEEKDAY(B1913)=7,1,0))))))</f>
        <v>2</v>
      </c>
      <c r="V1913" s="328">
        <f>VLOOKUP(C1913,METADATA!$A$5:$H$29,IF(E1913="HI",2,IF(E1913="LO",6,10))+IF(T1913=1,2,IF(D1913=7,1,(IF(WEEKDAY(B1913)=1,2,IF(WEEKDAY(B1913)=7,1,0))))))</f>
        <v>2</v>
      </c>
    </row>
    <row r="1914" spans="2:22">
      <c r="B1914" s="318">
        <f t="shared" si="119"/>
        <v>46192</v>
      </c>
      <c r="C1914" s="312">
        <v>14</v>
      </c>
      <c r="D1914" s="368">
        <f>IFERROR((INDEX(METADATA!$T$2:$T$20,MATCH(B1914,METADATA!$S$2:$S$20,0))),0)</f>
        <v>0</v>
      </c>
      <c r="E1914" s="312" t="str">
        <f t="shared" si="116"/>
        <v>LO</v>
      </c>
      <c r="F1914" s="369">
        <f>VLOOKUP(C1914,METADATA!$A$5:$H$29,IF(E1914="HI",2,IF(E1914="LO",6,10))+IF(D1914=1,2,IF(D1914=7,1,(IF(WEEKDAY(B1914)=1,2,IF(WEEKDAY(B1914)=7,1,0))))))</f>
        <v>2</v>
      </c>
      <c r="G1914" s="369">
        <f>VLOOKUP(C1914,METADATA!$J$5:$Q$29,IF(E1914="HI",2,IF(E1914="LO",6,10))+IF(D1914=1,2,IF(D1914=7,1,(IF(WEEKDAY(B1914)=1,2,IF(WEEKDAY(B1914)=7,1,0))))))</f>
        <v>2</v>
      </c>
      <c r="H1914" s="370">
        <v>13613.300170898438</v>
      </c>
      <c r="I1914" s="370">
        <v>2267.7950210571289</v>
      </c>
      <c r="M1914" s="371">
        <f t="shared" si="117"/>
        <v>13800.899818508751</v>
      </c>
      <c r="N1914" s="329">
        <f t="shared" si="118"/>
        <v>0</v>
      </c>
      <c r="T1914" s="331">
        <v>0</v>
      </c>
      <c r="U1914" s="328">
        <f>VLOOKUP(C1914,METADATA!$J$5:$Q$29,IF(E1914="HI",2,IF(E1914="LO",6,10))+IF(T1914=1,2,IF(D1914=7,1,(IF(WEEKDAY(B1914)=1,2,IF(WEEKDAY(B1914)=7,1,0))))))</f>
        <v>2</v>
      </c>
      <c r="V1914" s="328">
        <f>VLOOKUP(C1914,METADATA!$A$5:$H$29,IF(E1914="HI",2,IF(E1914="LO",6,10))+IF(T1914=1,2,IF(D1914=7,1,(IF(WEEKDAY(B1914)=1,2,IF(WEEKDAY(B1914)=7,1,0))))))</f>
        <v>2</v>
      </c>
    </row>
    <row r="1915" spans="2:22">
      <c r="B1915" s="318">
        <f t="shared" si="119"/>
        <v>46192</v>
      </c>
      <c r="C1915" s="312">
        <v>15</v>
      </c>
      <c r="D1915" s="368">
        <f>IFERROR((INDEX(METADATA!$T$2:$T$20,MATCH(B1915,METADATA!$S$2:$S$20,0))),0)</f>
        <v>0</v>
      </c>
      <c r="E1915" s="312" t="str">
        <f t="shared" si="116"/>
        <v>LO</v>
      </c>
      <c r="F1915" s="369">
        <f>VLOOKUP(C1915,METADATA!$A$5:$H$29,IF(E1915="HI",2,IF(E1915="LO",6,10))+IF(D1915=1,2,IF(D1915=7,1,(IF(WEEKDAY(B1915)=1,2,IF(WEEKDAY(B1915)=7,1,0))))))</f>
        <v>2</v>
      </c>
      <c r="G1915" s="369">
        <f>VLOOKUP(C1915,METADATA!$J$5:$Q$29,IF(E1915="HI",2,IF(E1915="LO",6,10))+IF(D1915=1,2,IF(D1915=7,1,(IF(WEEKDAY(B1915)=1,2,IF(WEEKDAY(B1915)=7,1,0))))))</f>
        <v>2</v>
      </c>
      <c r="H1915" s="370">
        <v>13458.224853515625</v>
      </c>
      <c r="I1915" s="370">
        <v>2162.7900238037109</v>
      </c>
      <c r="M1915" s="371">
        <f t="shared" si="117"/>
        <v>13630.90154372962</v>
      </c>
      <c r="N1915" s="329">
        <f t="shared" si="118"/>
        <v>0</v>
      </c>
      <c r="T1915" s="331">
        <v>0</v>
      </c>
      <c r="U1915" s="328">
        <f>VLOOKUP(C1915,METADATA!$J$5:$Q$29,IF(E1915="HI",2,IF(E1915="LO",6,10))+IF(T1915=1,2,IF(D1915=7,1,(IF(WEEKDAY(B1915)=1,2,IF(WEEKDAY(B1915)=7,1,0))))))</f>
        <v>2</v>
      </c>
      <c r="V1915" s="328">
        <f>VLOOKUP(C1915,METADATA!$A$5:$H$29,IF(E1915="HI",2,IF(E1915="LO",6,10))+IF(T1915=1,2,IF(D1915=7,1,(IF(WEEKDAY(B1915)=1,2,IF(WEEKDAY(B1915)=7,1,0))))))</f>
        <v>2</v>
      </c>
    </row>
    <row r="1916" spans="2:22">
      <c r="B1916" s="318">
        <f t="shared" si="119"/>
        <v>46192</v>
      </c>
      <c r="C1916" s="312">
        <v>16</v>
      </c>
      <c r="D1916" s="368">
        <f>IFERROR((INDEX(METADATA!$T$2:$T$20,MATCH(B1916,METADATA!$S$2:$S$20,0))),0)</f>
        <v>0</v>
      </c>
      <c r="E1916" s="312" t="str">
        <f t="shared" si="116"/>
        <v>LO</v>
      </c>
      <c r="F1916" s="369">
        <f>VLOOKUP(C1916,METADATA!$A$5:$H$29,IF(E1916="HI",2,IF(E1916="LO",6,10))+IF(D1916=1,2,IF(D1916=7,1,(IF(WEEKDAY(B1916)=1,2,IF(WEEKDAY(B1916)=7,1,0))))))</f>
        <v>2</v>
      </c>
      <c r="G1916" s="369">
        <f>VLOOKUP(C1916,METADATA!$J$5:$Q$29,IF(E1916="HI",2,IF(E1916="LO",6,10))+IF(D1916=1,2,IF(D1916=7,1,(IF(WEEKDAY(B1916)=1,2,IF(WEEKDAY(B1916)=7,1,0))))))</f>
        <v>2</v>
      </c>
      <c r="H1916" s="370">
        <v>13472.250122070313</v>
      </c>
      <c r="I1916" s="370">
        <v>1958.1850280761719</v>
      </c>
      <c r="M1916" s="371">
        <f t="shared" si="117"/>
        <v>13613.816950282724</v>
      </c>
      <c r="N1916" s="329">
        <f t="shared" si="118"/>
        <v>0</v>
      </c>
      <c r="T1916" s="331">
        <v>0</v>
      </c>
      <c r="U1916" s="328">
        <f>VLOOKUP(C1916,METADATA!$J$5:$Q$29,IF(E1916="HI",2,IF(E1916="LO",6,10))+IF(T1916=1,2,IF(D1916=7,1,(IF(WEEKDAY(B1916)=1,2,IF(WEEKDAY(B1916)=7,1,0))))))</f>
        <v>2</v>
      </c>
      <c r="V1916" s="328">
        <f>VLOOKUP(C1916,METADATA!$A$5:$H$29,IF(E1916="HI",2,IF(E1916="LO",6,10))+IF(T1916=1,2,IF(D1916=7,1,(IF(WEEKDAY(B1916)=1,2,IF(WEEKDAY(B1916)=7,1,0))))))</f>
        <v>2</v>
      </c>
    </row>
    <row r="1917" spans="2:22">
      <c r="B1917" s="318">
        <f t="shared" si="119"/>
        <v>46192</v>
      </c>
      <c r="C1917" s="312">
        <v>17</v>
      </c>
      <c r="D1917" s="368">
        <f>IFERROR((INDEX(METADATA!$T$2:$T$20,MATCH(B1917,METADATA!$S$2:$S$20,0))),0)</f>
        <v>0</v>
      </c>
      <c r="E1917" s="312" t="str">
        <f t="shared" si="116"/>
        <v>LO</v>
      </c>
      <c r="F1917" s="369">
        <f>VLOOKUP(C1917,METADATA!$A$5:$H$29,IF(E1917="HI",2,IF(E1917="LO",6,10))+IF(D1917=1,2,IF(D1917=7,1,(IF(WEEKDAY(B1917)=1,2,IF(WEEKDAY(B1917)=7,1,0))))))</f>
        <v>2</v>
      </c>
      <c r="G1917" s="369">
        <f>VLOOKUP(C1917,METADATA!$J$5:$Q$29,IF(E1917="HI",2,IF(E1917="LO",6,10))+IF(D1917=1,2,IF(D1917=7,1,(IF(WEEKDAY(B1917)=1,2,IF(WEEKDAY(B1917)=7,1,0))))))</f>
        <v>2</v>
      </c>
      <c r="H1917" s="370">
        <v>13452.924560546875</v>
      </c>
      <c r="I1917" s="370">
        <v>2057.1599807739258</v>
      </c>
      <c r="M1917" s="371">
        <f t="shared" si="117"/>
        <v>13609.301466947638</v>
      </c>
      <c r="N1917" s="329">
        <f t="shared" si="118"/>
        <v>0</v>
      </c>
      <c r="T1917" s="331">
        <v>0</v>
      </c>
      <c r="U1917" s="328">
        <f>VLOOKUP(C1917,METADATA!$J$5:$Q$29,IF(E1917="HI",2,IF(E1917="LO",6,10))+IF(T1917=1,2,IF(D1917=7,1,(IF(WEEKDAY(B1917)=1,2,IF(WEEKDAY(B1917)=7,1,0))))))</f>
        <v>2</v>
      </c>
      <c r="V1917" s="328">
        <f>VLOOKUP(C1917,METADATA!$A$5:$H$29,IF(E1917="HI",2,IF(E1917="LO",6,10))+IF(T1917=1,2,IF(D1917=7,1,(IF(WEEKDAY(B1917)=1,2,IF(WEEKDAY(B1917)=7,1,0))))))</f>
        <v>2</v>
      </c>
    </row>
    <row r="1918" spans="2:22">
      <c r="B1918" s="318">
        <f t="shared" si="119"/>
        <v>46192</v>
      </c>
      <c r="C1918" s="312">
        <v>18</v>
      </c>
      <c r="D1918" s="368">
        <f>IFERROR((INDEX(METADATA!$T$2:$T$20,MATCH(B1918,METADATA!$S$2:$S$20,0))),0)</f>
        <v>0</v>
      </c>
      <c r="E1918" s="312" t="str">
        <f t="shared" si="116"/>
        <v>LO</v>
      </c>
      <c r="F1918" s="369">
        <f>VLOOKUP(C1918,METADATA!$A$5:$H$29,IF(E1918="HI",2,IF(E1918="LO",6,10))+IF(D1918=1,2,IF(D1918=7,1,(IF(WEEKDAY(B1918)=1,2,IF(WEEKDAY(B1918)=7,1,0))))))</f>
        <v>1</v>
      </c>
      <c r="G1918" s="369">
        <f>VLOOKUP(C1918,METADATA!$J$5:$Q$29,IF(E1918="HI",2,IF(E1918="LO",6,10))+IF(D1918=1,2,IF(D1918=7,1,(IF(WEEKDAY(B1918)=1,2,IF(WEEKDAY(B1918)=7,1,0))))))</f>
        <v>1</v>
      </c>
      <c r="H1918" s="370">
        <v>13252.800109863281</v>
      </c>
      <c r="I1918" s="370">
        <v>2085.3149871826172</v>
      </c>
      <c r="M1918" s="371">
        <f t="shared" si="117"/>
        <v>13415.858129384071</v>
      </c>
      <c r="N1918" s="329">
        <f t="shared" si="118"/>
        <v>0</v>
      </c>
      <c r="T1918" s="331">
        <v>0</v>
      </c>
      <c r="U1918" s="328">
        <f>VLOOKUP(C1918,METADATA!$J$5:$Q$29,IF(E1918="HI",2,IF(E1918="LO",6,10))+IF(T1918=1,2,IF(D1918=7,1,(IF(WEEKDAY(B1918)=1,2,IF(WEEKDAY(B1918)=7,1,0))))))</f>
        <v>1</v>
      </c>
      <c r="V1918" s="328">
        <f>VLOOKUP(C1918,METADATA!$A$5:$H$29,IF(E1918="HI",2,IF(E1918="LO",6,10))+IF(T1918=1,2,IF(D1918=7,1,(IF(WEEKDAY(B1918)=1,2,IF(WEEKDAY(B1918)=7,1,0))))))</f>
        <v>1</v>
      </c>
    </row>
    <row r="1919" spans="2:22">
      <c r="B1919" s="318">
        <f t="shared" si="119"/>
        <v>46192</v>
      </c>
      <c r="C1919" s="312">
        <v>19</v>
      </c>
      <c r="D1919" s="368">
        <f>IFERROR((INDEX(METADATA!$T$2:$T$20,MATCH(B1919,METADATA!$S$2:$S$20,0))),0)</f>
        <v>0</v>
      </c>
      <c r="E1919" s="312" t="str">
        <f t="shared" si="116"/>
        <v>LO</v>
      </c>
      <c r="F1919" s="369">
        <f>VLOOKUP(C1919,METADATA!$A$5:$H$29,IF(E1919="HI",2,IF(E1919="LO",6,10))+IF(D1919=1,2,IF(D1919=7,1,(IF(WEEKDAY(B1919)=1,2,IF(WEEKDAY(B1919)=7,1,0))))))</f>
        <v>1</v>
      </c>
      <c r="G1919" s="369">
        <f>VLOOKUP(C1919,METADATA!$J$5:$Q$29,IF(E1919="HI",2,IF(E1919="LO",6,10))+IF(D1919=1,2,IF(D1919=7,1,(IF(WEEKDAY(B1919)=1,2,IF(WEEKDAY(B1919)=7,1,0))))))</f>
        <v>1</v>
      </c>
      <c r="H1919" s="370">
        <v>13805.199951171875</v>
      </c>
      <c r="I1919" s="370">
        <v>2346.0399932861328</v>
      </c>
      <c r="M1919" s="371">
        <f t="shared" si="117"/>
        <v>14003.122842492454</v>
      </c>
      <c r="N1919" s="329">
        <f t="shared" si="118"/>
        <v>0</v>
      </c>
      <c r="T1919" s="331">
        <v>0</v>
      </c>
      <c r="U1919" s="328">
        <f>VLOOKUP(C1919,METADATA!$J$5:$Q$29,IF(E1919="HI",2,IF(E1919="LO",6,10))+IF(T1919=1,2,IF(D1919=7,1,(IF(WEEKDAY(B1919)=1,2,IF(WEEKDAY(B1919)=7,1,0))))))</f>
        <v>1</v>
      </c>
      <c r="V1919" s="328">
        <f>VLOOKUP(C1919,METADATA!$A$5:$H$29,IF(E1919="HI",2,IF(E1919="LO",6,10))+IF(T1919=1,2,IF(D1919=7,1,(IF(WEEKDAY(B1919)=1,2,IF(WEEKDAY(B1919)=7,1,0))))))</f>
        <v>1</v>
      </c>
    </row>
    <row r="1920" spans="2:22">
      <c r="B1920" s="318">
        <f t="shared" si="119"/>
        <v>46192</v>
      </c>
      <c r="C1920" s="312">
        <v>20</v>
      </c>
      <c r="D1920" s="368">
        <f>IFERROR((INDEX(METADATA!$T$2:$T$20,MATCH(B1920,METADATA!$S$2:$S$20,0))),0)</f>
        <v>0</v>
      </c>
      <c r="E1920" s="312" t="str">
        <f t="shared" si="116"/>
        <v>LO</v>
      </c>
      <c r="F1920" s="369">
        <f>VLOOKUP(C1920,METADATA!$A$5:$H$29,IF(E1920="HI",2,IF(E1920="LO",6,10))+IF(D1920=1,2,IF(D1920=7,1,(IF(WEEKDAY(B1920)=1,2,IF(WEEKDAY(B1920)=7,1,0))))))</f>
        <v>1</v>
      </c>
      <c r="G1920" s="369">
        <f>VLOOKUP(C1920,METADATA!$J$5:$Q$29,IF(E1920="HI",2,IF(E1920="LO",6,10))+IF(D1920=1,2,IF(D1920=7,1,(IF(WEEKDAY(B1920)=1,2,IF(WEEKDAY(B1920)=7,1,0))))))</f>
        <v>1</v>
      </c>
      <c r="H1920" s="370">
        <v>13715.250244140625</v>
      </c>
      <c r="I1920" s="370">
        <v>2184.150016784668</v>
      </c>
      <c r="M1920" s="371">
        <f t="shared" si="117"/>
        <v>13888.07404052916</v>
      </c>
      <c r="N1920" s="329">
        <f t="shared" si="118"/>
        <v>0</v>
      </c>
      <c r="T1920" s="331">
        <v>0</v>
      </c>
      <c r="U1920" s="328">
        <f>VLOOKUP(C1920,METADATA!$J$5:$Q$29,IF(E1920="HI",2,IF(E1920="LO",6,10))+IF(T1920=1,2,IF(D1920=7,1,(IF(WEEKDAY(B1920)=1,2,IF(WEEKDAY(B1920)=7,1,0))))))</f>
        <v>1</v>
      </c>
      <c r="V1920" s="328">
        <f>VLOOKUP(C1920,METADATA!$A$5:$H$29,IF(E1920="HI",2,IF(E1920="LO",6,10))+IF(T1920=1,2,IF(D1920=7,1,(IF(WEEKDAY(B1920)=1,2,IF(WEEKDAY(B1920)=7,1,0))))))</f>
        <v>1</v>
      </c>
    </row>
    <row r="1921" spans="2:22">
      <c r="B1921" s="318">
        <f t="shared" si="119"/>
        <v>46192</v>
      </c>
      <c r="C1921" s="312">
        <v>21</v>
      </c>
      <c r="D1921" s="368">
        <f>IFERROR((INDEX(METADATA!$T$2:$T$20,MATCH(B1921,METADATA!$S$2:$S$20,0))),0)</f>
        <v>0</v>
      </c>
      <c r="E1921" s="312" t="str">
        <f t="shared" si="116"/>
        <v>LO</v>
      </c>
      <c r="F1921" s="369">
        <f>VLOOKUP(C1921,METADATA!$A$5:$H$29,IF(E1921="HI",2,IF(E1921="LO",6,10))+IF(D1921=1,2,IF(D1921=7,1,(IF(WEEKDAY(B1921)=1,2,IF(WEEKDAY(B1921)=7,1,0))))))</f>
        <v>2</v>
      </c>
      <c r="G1921" s="369">
        <f>VLOOKUP(C1921,METADATA!$J$5:$Q$29,IF(E1921="HI",2,IF(E1921="LO",6,10))+IF(D1921=1,2,IF(D1921=7,1,(IF(WEEKDAY(B1921)=1,2,IF(WEEKDAY(B1921)=7,1,0))))))</f>
        <v>2</v>
      </c>
      <c r="H1921" s="370">
        <v>13652.649963378906</v>
      </c>
      <c r="I1921" s="370">
        <v>2279.6849822998047</v>
      </c>
      <c r="M1921" s="371">
        <f t="shared" si="117"/>
        <v>13841.669503389876</v>
      </c>
      <c r="N1921" s="329">
        <f t="shared" si="118"/>
        <v>0</v>
      </c>
      <c r="T1921" s="331">
        <v>0</v>
      </c>
      <c r="U1921" s="328">
        <f>VLOOKUP(C1921,METADATA!$J$5:$Q$29,IF(E1921="HI",2,IF(E1921="LO",6,10))+IF(T1921=1,2,IF(D1921=7,1,(IF(WEEKDAY(B1921)=1,2,IF(WEEKDAY(B1921)=7,1,0))))))</f>
        <v>2</v>
      </c>
      <c r="V1921" s="328">
        <f>VLOOKUP(C1921,METADATA!$A$5:$H$29,IF(E1921="HI",2,IF(E1921="LO",6,10))+IF(T1921=1,2,IF(D1921=7,1,(IF(WEEKDAY(B1921)=1,2,IF(WEEKDAY(B1921)=7,1,0))))))</f>
        <v>2</v>
      </c>
    </row>
    <row r="1922" spans="2:22">
      <c r="B1922" s="318">
        <f t="shared" si="119"/>
        <v>46192</v>
      </c>
      <c r="C1922" s="312">
        <v>22</v>
      </c>
      <c r="D1922" s="368">
        <f>IFERROR((INDEX(METADATA!$T$2:$T$20,MATCH(B1922,METADATA!$S$2:$S$20,0))),0)</f>
        <v>0</v>
      </c>
      <c r="E1922" s="312" t="str">
        <f t="shared" si="116"/>
        <v>LO</v>
      </c>
      <c r="F1922" s="369">
        <f>VLOOKUP(C1922,METADATA!$A$5:$H$29,IF(E1922="HI",2,IF(E1922="LO",6,10))+IF(D1922=1,2,IF(D1922=7,1,(IF(WEEKDAY(B1922)=1,2,IF(WEEKDAY(B1922)=7,1,0))))))</f>
        <v>3</v>
      </c>
      <c r="G1922" s="369">
        <f>VLOOKUP(C1922,METADATA!$J$5:$Q$29,IF(E1922="HI",2,IF(E1922="LO",6,10))+IF(D1922=1,2,IF(D1922=7,1,(IF(WEEKDAY(B1922)=1,2,IF(WEEKDAY(B1922)=7,1,0))))))</f>
        <v>3</v>
      </c>
      <c r="H1922" s="370">
        <v>12221.765350341797</v>
      </c>
      <c r="I1922" s="370">
        <v>2210.2019053956028</v>
      </c>
      <c r="M1922" s="371">
        <f t="shared" si="117"/>
        <v>12420.005665917779</v>
      </c>
      <c r="N1922" s="329">
        <f t="shared" si="118"/>
        <v>0</v>
      </c>
      <c r="T1922" s="331">
        <v>0</v>
      </c>
      <c r="U1922" s="328">
        <f>VLOOKUP(C1922,METADATA!$J$5:$Q$29,IF(E1922="HI",2,IF(E1922="LO",6,10))+IF(T1922=1,2,IF(D1922=7,1,(IF(WEEKDAY(B1922)=1,2,IF(WEEKDAY(B1922)=7,1,0))))))</f>
        <v>3</v>
      </c>
      <c r="V1922" s="328">
        <f>VLOOKUP(C1922,METADATA!$A$5:$H$29,IF(E1922="HI",2,IF(E1922="LO",6,10))+IF(T1922=1,2,IF(D1922=7,1,(IF(WEEKDAY(B1922)=1,2,IF(WEEKDAY(B1922)=7,1,0))))))</f>
        <v>3</v>
      </c>
    </row>
    <row r="1923" spans="2:22">
      <c r="B1923" s="318">
        <f t="shared" si="119"/>
        <v>46192</v>
      </c>
      <c r="C1923" s="312">
        <v>23</v>
      </c>
      <c r="D1923" s="368">
        <f>IFERROR((INDEX(METADATA!$T$2:$T$20,MATCH(B1923,METADATA!$S$2:$S$20,0))),0)</f>
        <v>0</v>
      </c>
      <c r="E1923" s="312" t="str">
        <f t="shared" si="116"/>
        <v>LO</v>
      </c>
      <c r="F1923" s="369">
        <f>VLOOKUP(C1923,METADATA!$A$5:$H$29,IF(E1923="HI",2,IF(E1923="LO",6,10))+IF(D1923=1,2,IF(D1923=7,1,(IF(WEEKDAY(B1923)=1,2,IF(WEEKDAY(B1923)=7,1,0))))))</f>
        <v>3</v>
      </c>
      <c r="G1923" s="369">
        <f>VLOOKUP(C1923,METADATA!$J$5:$Q$29,IF(E1923="HI",2,IF(E1923="LO",6,10))+IF(D1923=1,2,IF(D1923=7,1,(IF(WEEKDAY(B1923)=1,2,IF(WEEKDAY(B1923)=7,1,0))))))</f>
        <v>3</v>
      </c>
      <c r="H1923" s="370">
        <v>11644.634918212891</v>
      </c>
      <c r="I1923" s="370">
        <v>2193.5750122070313</v>
      </c>
      <c r="M1923" s="371">
        <f t="shared" si="117"/>
        <v>11849.442759583339</v>
      </c>
      <c r="N1923" s="329">
        <f t="shared" si="118"/>
        <v>0</v>
      </c>
      <c r="T1923" s="331">
        <v>0</v>
      </c>
      <c r="U1923" s="328">
        <f>VLOOKUP(C1923,METADATA!$J$5:$Q$29,IF(E1923="HI",2,IF(E1923="LO",6,10))+IF(T1923=1,2,IF(D1923=7,1,(IF(WEEKDAY(B1923)=1,2,IF(WEEKDAY(B1923)=7,1,0))))))</f>
        <v>3</v>
      </c>
      <c r="V1923" s="328">
        <f>VLOOKUP(C1923,METADATA!$A$5:$H$29,IF(E1923="HI",2,IF(E1923="LO",6,10))+IF(T1923=1,2,IF(D1923=7,1,(IF(WEEKDAY(B1923)=1,2,IF(WEEKDAY(B1923)=7,1,0))))))</f>
        <v>3</v>
      </c>
    </row>
    <row r="1924" spans="2:22">
      <c r="B1924" s="318">
        <f t="shared" si="119"/>
        <v>46193</v>
      </c>
      <c r="C1924" s="312">
        <v>0</v>
      </c>
      <c r="D1924" s="368">
        <f>IFERROR((INDEX(METADATA!$T$2:$T$20,MATCH(B1924,METADATA!$S$2:$S$20,0))),0)</f>
        <v>0</v>
      </c>
      <c r="E1924" s="312" t="str">
        <f t="shared" ref="E1924:E1987" si="120">IF(B1924="","",IF(AND(MONTH(B1924)&gt;=MONTH($Z$9),MONTH(B1924)&lt;=MONTH($Z$11)),"HI","LO"))</f>
        <v>LO</v>
      </c>
      <c r="F1924" s="369">
        <f>VLOOKUP(C1924,METADATA!$A$5:$H$29,IF(E1924="HI",2,IF(E1924="LO",6,10))+IF(D1924=1,2,IF(D1924=7,1,(IF(WEEKDAY(B1924)=1,2,IF(WEEKDAY(B1924)=7,1,0))))))</f>
        <v>3</v>
      </c>
      <c r="G1924" s="369">
        <f>VLOOKUP(C1924,METADATA!$J$5:$Q$29,IF(E1924="HI",2,IF(E1924="LO",6,10))+IF(D1924=1,2,IF(D1924=7,1,(IF(WEEKDAY(B1924)=1,2,IF(WEEKDAY(B1924)=7,1,0))))))</f>
        <v>3</v>
      </c>
      <c r="H1924" s="370">
        <v>11505.544708251953</v>
      </c>
      <c r="I1924" s="370">
        <v>1904.1000671386719</v>
      </c>
      <c r="M1924" s="371">
        <f t="shared" ref="M1924:M1987" si="121">SQRT(H1924^2+I1924^2)</f>
        <v>11662.039105545051</v>
      </c>
      <c r="N1924" s="329">
        <f t="shared" ref="N1924:N1987" si="122">IF(H1924=0,0,(IF(I1924-(0.3*H1924)&lt;0,0,(I1924-(0.3*H1924)))))</f>
        <v>0</v>
      </c>
      <c r="T1924" s="331">
        <v>0</v>
      </c>
      <c r="U1924" s="328">
        <f>VLOOKUP(C1924,METADATA!$J$5:$Q$29,IF(E1924="HI",2,IF(E1924="LO",6,10))+IF(T1924=1,2,IF(D1924=7,1,(IF(WEEKDAY(B1924)=1,2,IF(WEEKDAY(B1924)=7,1,0))))))</f>
        <v>3</v>
      </c>
      <c r="V1924" s="328">
        <f>VLOOKUP(C1924,METADATA!$A$5:$H$29,IF(E1924="HI",2,IF(E1924="LO",6,10))+IF(T1924=1,2,IF(D1924=7,1,(IF(WEEKDAY(B1924)=1,2,IF(WEEKDAY(B1924)=7,1,0))))))</f>
        <v>3</v>
      </c>
    </row>
    <row r="1925" spans="2:22">
      <c r="B1925" s="318">
        <f t="shared" si="119"/>
        <v>46193</v>
      </c>
      <c r="C1925" s="312">
        <v>1</v>
      </c>
      <c r="D1925" s="368">
        <f>IFERROR((INDEX(METADATA!$T$2:$T$20,MATCH(B1925,METADATA!$S$2:$S$20,0))),0)</f>
        <v>0</v>
      </c>
      <c r="E1925" s="312" t="str">
        <f t="shared" si="120"/>
        <v>LO</v>
      </c>
      <c r="F1925" s="369">
        <f>VLOOKUP(C1925,METADATA!$A$5:$H$29,IF(E1925="HI",2,IF(E1925="LO",6,10))+IF(D1925=1,2,IF(D1925=7,1,(IF(WEEKDAY(B1925)=1,2,IF(WEEKDAY(B1925)=7,1,0))))))</f>
        <v>3</v>
      </c>
      <c r="G1925" s="369">
        <f>VLOOKUP(C1925,METADATA!$J$5:$Q$29,IF(E1925="HI",2,IF(E1925="LO",6,10))+IF(D1925=1,2,IF(D1925=7,1,(IF(WEEKDAY(B1925)=1,2,IF(WEEKDAY(B1925)=7,1,0))))))</f>
        <v>3</v>
      </c>
      <c r="H1925" s="370">
        <v>11428.640319824219</v>
      </c>
      <c r="I1925" s="370">
        <v>1991.0399780273438</v>
      </c>
      <c r="M1925" s="371">
        <f t="shared" si="121"/>
        <v>11600.778411555621</v>
      </c>
      <c r="N1925" s="329">
        <f t="shared" si="122"/>
        <v>0</v>
      </c>
      <c r="T1925" s="331">
        <v>0</v>
      </c>
      <c r="U1925" s="328">
        <f>VLOOKUP(C1925,METADATA!$J$5:$Q$29,IF(E1925="HI",2,IF(E1925="LO",6,10))+IF(T1925=1,2,IF(D1925=7,1,(IF(WEEKDAY(B1925)=1,2,IF(WEEKDAY(B1925)=7,1,0))))))</f>
        <v>3</v>
      </c>
      <c r="V1925" s="328">
        <f>VLOOKUP(C1925,METADATA!$A$5:$H$29,IF(E1925="HI",2,IF(E1925="LO",6,10))+IF(T1925=1,2,IF(D1925=7,1,(IF(WEEKDAY(B1925)=1,2,IF(WEEKDAY(B1925)=7,1,0))))))</f>
        <v>3</v>
      </c>
    </row>
    <row r="1926" spans="2:22">
      <c r="B1926" s="318">
        <f t="shared" si="119"/>
        <v>46193</v>
      </c>
      <c r="C1926" s="312">
        <v>2</v>
      </c>
      <c r="D1926" s="368">
        <f>IFERROR((INDEX(METADATA!$T$2:$T$20,MATCH(B1926,METADATA!$S$2:$S$20,0))),0)</f>
        <v>0</v>
      </c>
      <c r="E1926" s="312" t="str">
        <f t="shared" si="120"/>
        <v>LO</v>
      </c>
      <c r="F1926" s="369">
        <f>VLOOKUP(C1926,METADATA!$A$5:$H$29,IF(E1926="HI",2,IF(E1926="LO",6,10))+IF(D1926=1,2,IF(D1926=7,1,(IF(WEEKDAY(B1926)=1,2,IF(WEEKDAY(B1926)=7,1,0))))))</f>
        <v>3</v>
      </c>
      <c r="G1926" s="369">
        <f>VLOOKUP(C1926,METADATA!$J$5:$Q$29,IF(E1926="HI",2,IF(E1926="LO",6,10))+IF(D1926=1,2,IF(D1926=7,1,(IF(WEEKDAY(B1926)=1,2,IF(WEEKDAY(B1926)=7,1,0))))))</f>
        <v>3</v>
      </c>
      <c r="H1926" s="370">
        <v>13326.272338867188</v>
      </c>
      <c r="I1926" s="370">
        <v>2071.5819549560547</v>
      </c>
      <c r="M1926" s="371">
        <f t="shared" si="121"/>
        <v>13486.325898692952</v>
      </c>
      <c r="N1926" s="329">
        <f t="shared" si="122"/>
        <v>0</v>
      </c>
      <c r="T1926" s="331">
        <v>0</v>
      </c>
      <c r="U1926" s="328">
        <f>VLOOKUP(C1926,METADATA!$J$5:$Q$29,IF(E1926="HI",2,IF(E1926="LO",6,10))+IF(T1926=1,2,IF(D1926=7,1,(IF(WEEKDAY(B1926)=1,2,IF(WEEKDAY(B1926)=7,1,0))))))</f>
        <v>3</v>
      </c>
      <c r="V1926" s="328">
        <f>VLOOKUP(C1926,METADATA!$A$5:$H$29,IF(E1926="HI",2,IF(E1926="LO",6,10))+IF(T1926=1,2,IF(D1926=7,1,(IF(WEEKDAY(B1926)=1,2,IF(WEEKDAY(B1926)=7,1,0))))))</f>
        <v>3</v>
      </c>
    </row>
    <row r="1927" spans="2:22">
      <c r="B1927" s="318">
        <f t="shared" si="119"/>
        <v>46193</v>
      </c>
      <c r="C1927" s="312">
        <v>3</v>
      </c>
      <c r="D1927" s="368">
        <f>IFERROR((INDEX(METADATA!$T$2:$T$20,MATCH(B1927,METADATA!$S$2:$S$20,0))),0)</f>
        <v>0</v>
      </c>
      <c r="E1927" s="312" t="str">
        <f t="shared" si="120"/>
        <v>LO</v>
      </c>
      <c r="F1927" s="369">
        <f>VLOOKUP(C1927,METADATA!$A$5:$H$29,IF(E1927="HI",2,IF(E1927="LO",6,10))+IF(D1927=1,2,IF(D1927=7,1,(IF(WEEKDAY(B1927)=1,2,IF(WEEKDAY(B1927)=7,1,0))))))</f>
        <v>3</v>
      </c>
      <c r="G1927" s="369">
        <f>VLOOKUP(C1927,METADATA!$J$5:$Q$29,IF(E1927="HI",2,IF(E1927="LO",6,10))+IF(D1927=1,2,IF(D1927=7,1,(IF(WEEKDAY(B1927)=1,2,IF(WEEKDAY(B1927)=7,1,0))))))</f>
        <v>3</v>
      </c>
      <c r="H1927" s="370">
        <v>13605.825317382813</v>
      </c>
      <c r="I1927" s="370">
        <v>1983.7700347900391</v>
      </c>
      <c r="M1927" s="371">
        <f t="shared" si="121"/>
        <v>13749.684582493737</v>
      </c>
      <c r="N1927" s="329">
        <f t="shared" si="122"/>
        <v>0</v>
      </c>
      <c r="T1927" s="331">
        <v>0</v>
      </c>
      <c r="U1927" s="328">
        <f>VLOOKUP(C1927,METADATA!$J$5:$Q$29,IF(E1927="HI",2,IF(E1927="LO",6,10))+IF(T1927=1,2,IF(D1927=7,1,(IF(WEEKDAY(B1927)=1,2,IF(WEEKDAY(B1927)=7,1,0))))))</f>
        <v>3</v>
      </c>
      <c r="V1927" s="328">
        <f>VLOOKUP(C1927,METADATA!$A$5:$H$29,IF(E1927="HI",2,IF(E1927="LO",6,10))+IF(T1927=1,2,IF(D1927=7,1,(IF(WEEKDAY(B1927)=1,2,IF(WEEKDAY(B1927)=7,1,0))))))</f>
        <v>3</v>
      </c>
    </row>
    <row r="1928" spans="2:22">
      <c r="B1928" s="318">
        <f t="shared" si="119"/>
        <v>46193</v>
      </c>
      <c r="C1928" s="312">
        <v>4</v>
      </c>
      <c r="D1928" s="368">
        <f>IFERROR((INDEX(METADATA!$T$2:$T$20,MATCH(B1928,METADATA!$S$2:$S$20,0))),0)</f>
        <v>0</v>
      </c>
      <c r="E1928" s="312" t="str">
        <f t="shared" si="120"/>
        <v>LO</v>
      </c>
      <c r="F1928" s="369">
        <f>VLOOKUP(C1928,METADATA!$A$5:$H$29,IF(E1928="HI",2,IF(E1928="LO",6,10))+IF(D1928=1,2,IF(D1928=7,1,(IF(WEEKDAY(B1928)=1,2,IF(WEEKDAY(B1928)=7,1,0))))))</f>
        <v>3</v>
      </c>
      <c r="G1928" s="369">
        <f>VLOOKUP(C1928,METADATA!$J$5:$Q$29,IF(E1928="HI",2,IF(E1928="LO",6,10))+IF(D1928=1,2,IF(D1928=7,1,(IF(WEEKDAY(B1928)=1,2,IF(WEEKDAY(B1928)=7,1,0))))))</f>
        <v>3</v>
      </c>
      <c r="H1928" s="370">
        <v>13350.375</v>
      </c>
      <c r="I1928" s="370">
        <v>2052.4300003051758</v>
      </c>
      <c r="M1928" s="371">
        <f t="shared" si="121"/>
        <v>13507.219608297546</v>
      </c>
      <c r="N1928" s="329">
        <f t="shared" si="122"/>
        <v>0</v>
      </c>
      <c r="T1928" s="331">
        <v>0</v>
      </c>
      <c r="U1928" s="328">
        <f>VLOOKUP(C1928,METADATA!$J$5:$Q$29,IF(E1928="HI",2,IF(E1928="LO",6,10))+IF(T1928=1,2,IF(D1928=7,1,(IF(WEEKDAY(B1928)=1,2,IF(WEEKDAY(B1928)=7,1,0))))))</f>
        <v>3</v>
      </c>
      <c r="V1928" s="328">
        <f>VLOOKUP(C1928,METADATA!$A$5:$H$29,IF(E1928="HI",2,IF(E1928="LO",6,10))+IF(T1928=1,2,IF(D1928=7,1,(IF(WEEKDAY(B1928)=1,2,IF(WEEKDAY(B1928)=7,1,0))))))</f>
        <v>3</v>
      </c>
    </row>
    <row r="1929" spans="2:22">
      <c r="B1929" s="318">
        <f t="shared" si="119"/>
        <v>46193</v>
      </c>
      <c r="C1929" s="312">
        <v>5</v>
      </c>
      <c r="D1929" s="368">
        <f>IFERROR((INDEX(METADATA!$T$2:$T$20,MATCH(B1929,METADATA!$S$2:$S$20,0))),0)</f>
        <v>0</v>
      </c>
      <c r="E1929" s="312" t="str">
        <f t="shared" si="120"/>
        <v>LO</v>
      </c>
      <c r="F1929" s="369">
        <f>VLOOKUP(C1929,METADATA!$A$5:$H$29,IF(E1929="HI",2,IF(E1929="LO",6,10))+IF(D1929=1,2,IF(D1929=7,1,(IF(WEEKDAY(B1929)=1,2,IF(WEEKDAY(B1929)=7,1,0))))))</f>
        <v>3</v>
      </c>
      <c r="G1929" s="369">
        <f>VLOOKUP(C1929,METADATA!$J$5:$Q$29,IF(E1929="HI",2,IF(E1929="LO",6,10))+IF(D1929=1,2,IF(D1929=7,1,(IF(WEEKDAY(B1929)=1,2,IF(WEEKDAY(B1929)=7,1,0))))))</f>
        <v>3</v>
      </c>
      <c r="H1929" s="370">
        <v>11535.800109863281</v>
      </c>
      <c r="I1929" s="370">
        <v>1791.7459755798336</v>
      </c>
      <c r="M1929" s="371">
        <f t="shared" si="121"/>
        <v>11674.118288578724</v>
      </c>
      <c r="N1929" s="329">
        <f t="shared" si="122"/>
        <v>0</v>
      </c>
      <c r="T1929" s="331">
        <v>0</v>
      </c>
      <c r="U1929" s="328">
        <f>VLOOKUP(C1929,METADATA!$J$5:$Q$29,IF(E1929="HI",2,IF(E1929="LO",6,10))+IF(T1929=1,2,IF(D1929=7,1,(IF(WEEKDAY(B1929)=1,2,IF(WEEKDAY(B1929)=7,1,0))))))</f>
        <v>3</v>
      </c>
      <c r="V1929" s="328">
        <f>VLOOKUP(C1929,METADATA!$A$5:$H$29,IF(E1929="HI",2,IF(E1929="LO",6,10))+IF(T1929=1,2,IF(D1929=7,1,(IF(WEEKDAY(B1929)=1,2,IF(WEEKDAY(B1929)=7,1,0))))))</f>
        <v>3</v>
      </c>
    </row>
    <row r="1930" spans="2:22">
      <c r="B1930" s="318">
        <f t="shared" si="119"/>
        <v>46193</v>
      </c>
      <c r="C1930" s="312">
        <v>6</v>
      </c>
      <c r="D1930" s="368">
        <f>IFERROR((INDEX(METADATA!$T$2:$T$20,MATCH(B1930,METADATA!$S$2:$S$20,0))),0)</f>
        <v>0</v>
      </c>
      <c r="E1930" s="312" t="str">
        <f t="shared" si="120"/>
        <v>LO</v>
      </c>
      <c r="F1930" s="369">
        <f>VLOOKUP(C1930,METADATA!$A$5:$H$29,IF(E1930="HI",2,IF(E1930="LO",6,10))+IF(D1930=1,2,IF(D1930=7,1,(IF(WEEKDAY(B1930)=1,2,IF(WEEKDAY(B1930)=7,1,0))))))</f>
        <v>3</v>
      </c>
      <c r="G1930" s="369">
        <f>VLOOKUP(C1930,METADATA!$J$5:$Q$29,IF(E1930="HI",2,IF(E1930="LO",6,10))+IF(D1930=1,2,IF(D1930=7,1,(IF(WEEKDAY(B1930)=1,2,IF(WEEKDAY(B1930)=7,1,0))))))</f>
        <v>3</v>
      </c>
      <c r="H1930" s="370">
        <v>11466.510009765625</v>
      </c>
      <c r="I1930" s="370">
        <v>1869.3599853515625</v>
      </c>
      <c r="M1930" s="371">
        <f t="shared" si="121"/>
        <v>11617.889591439955</v>
      </c>
      <c r="N1930" s="329">
        <f t="shared" si="122"/>
        <v>0</v>
      </c>
      <c r="T1930" s="331">
        <v>0</v>
      </c>
      <c r="U1930" s="328">
        <f>VLOOKUP(C1930,METADATA!$J$5:$Q$29,IF(E1930="HI",2,IF(E1930="LO",6,10))+IF(T1930=1,2,IF(D1930=7,1,(IF(WEEKDAY(B1930)=1,2,IF(WEEKDAY(B1930)=7,1,0))))))</f>
        <v>3</v>
      </c>
      <c r="V1930" s="328">
        <f>VLOOKUP(C1930,METADATA!$A$5:$H$29,IF(E1930="HI",2,IF(E1930="LO",6,10))+IF(T1930=1,2,IF(D1930=7,1,(IF(WEEKDAY(B1930)=1,2,IF(WEEKDAY(B1930)=7,1,0))))))</f>
        <v>3</v>
      </c>
    </row>
    <row r="1931" spans="2:22">
      <c r="B1931" s="318">
        <f t="shared" si="119"/>
        <v>46193</v>
      </c>
      <c r="C1931" s="312">
        <v>7</v>
      </c>
      <c r="D1931" s="368">
        <f>IFERROR((INDEX(METADATA!$T$2:$T$20,MATCH(B1931,METADATA!$S$2:$S$20,0))),0)</f>
        <v>0</v>
      </c>
      <c r="E1931" s="312" t="str">
        <f t="shared" si="120"/>
        <v>LO</v>
      </c>
      <c r="F1931" s="369">
        <f>VLOOKUP(C1931,METADATA!$A$5:$H$29,IF(E1931="HI",2,IF(E1931="LO",6,10))+IF(D1931=1,2,IF(D1931=7,1,(IF(WEEKDAY(B1931)=1,2,IF(WEEKDAY(B1931)=7,1,0))))))</f>
        <v>2</v>
      </c>
      <c r="G1931" s="369">
        <f>VLOOKUP(C1931,METADATA!$J$5:$Q$29,IF(E1931="HI",2,IF(E1931="LO",6,10))+IF(D1931=1,2,IF(D1931=7,1,(IF(WEEKDAY(B1931)=1,2,IF(WEEKDAY(B1931)=7,1,0))))))</f>
        <v>2</v>
      </c>
      <c r="H1931" s="370">
        <v>11440.285003662109</v>
      </c>
      <c r="I1931" s="370">
        <v>1829.6400146484375</v>
      </c>
      <c r="M1931" s="371">
        <f t="shared" si="121"/>
        <v>11585.668023390748</v>
      </c>
      <c r="N1931" s="329">
        <f t="shared" si="122"/>
        <v>0</v>
      </c>
      <c r="T1931" s="331">
        <v>0</v>
      </c>
      <c r="U1931" s="328">
        <f>VLOOKUP(C1931,METADATA!$J$5:$Q$29,IF(E1931="HI",2,IF(E1931="LO",6,10))+IF(T1931=1,2,IF(D1931=7,1,(IF(WEEKDAY(B1931)=1,2,IF(WEEKDAY(B1931)=7,1,0))))))</f>
        <v>2</v>
      </c>
      <c r="V1931" s="328">
        <f>VLOOKUP(C1931,METADATA!$A$5:$H$29,IF(E1931="HI",2,IF(E1931="LO",6,10))+IF(T1931=1,2,IF(D1931=7,1,(IF(WEEKDAY(B1931)=1,2,IF(WEEKDAY(B1931)=7,1,0))))))</f>
        <v>2</v>
      </c>
    </row>
    <row r="1932" spans="2:22">
      <c r="B1932" s="318">
        <f t="shared" si="119"/>
        <v>46193</v>
      </c>
      <c r="C1932" s="312">
        <v>8</v>
      </c>
      <c r="D1932" s="368">
        <f>IFERROR((INDEX(METADATA!$T$2:$T$20,MATCH(B1932,METADATA!$S$2:$S$20,0))),0)</f>
        <v>0</v>
      </c>
      <c r="E1932" s="312" t="str">
        <f t="shared" si="120"/>
        <v>LO</v>
      </c>
      <c r="F1932" s="369">
        <f>VLOOKUP(C1932,METADATA!$A$5:$H$29,IF(E1932="HI",2,IF(E1932="LO",6,10))+IF(D1932=1,2,IF(D1932=7,1,(IF(WEEKDAY(B1932)=1,2,IF(WEEKDAY(B1932)=7,1,0))))))</f>
        <v>2</v>
      </c>
      <c r="G1932" s="369">
        <f>VLOOKUP(C1932,METADATA!$J$5:$Q$29,IF(E1932="HI",2,IF(E1932="LO",6,10))+IF(D1932=1,2,IF(D1932=7,1,(IF(WEEKDAY(B1932)=1,2,IF(WEEKDAY(B1932)=7,1,0))))))</f>
        <v>2</v>
      </c>
      <c r="H1932" s="370">
        <v>11528.410461425781</v>
      </c>
      <c r="I1932" s="370">
        <v>1856.8800048828125</v>
      </c>
      <c r="M1932" s="371">
        <f t="shared" si="121"/>
        <v>11676.996665223682</v>
      </c>
      <c r="N1932" s="329">
        <f t="shared" si="122"/>
        <v>0</v>
      </c>
      <c r="T1932" s="331">
        <v>0</v>
      </c>
      <c r="U1932" s="328">
        <f>VLOOKUP(C1932,METADATA!$J$5:$Q$29,IF(E1932="HI",2,IF(E1932="LO",6,10))+IF(T1932=1,2,IF(D1932=7,1,(IF(WEEKDAY(B1932)=1,2,IF(WEEKDAY(B1932)=7,1,0))))))</f>
        <v>2</v>
      </c>
      <c r="V1932" s="328">
        <f>VLOOKUP(C1932,METADATA!$A$5:$H$29,IF(E1932="HI",2,IF(E1932="LO",6,10))+IF(T1932=1,2,IF(D1932=7,1,(IF(WEEKDAY(B1932)=1,2,IF(WEEKDAY(B1932)=7,1,0))))))</f>
        <v>2</v>
      </c>
    </row>
    <row r="1933" spans="2:22">
      <c r="B1933" s="318">
        <f t="shared" si="119"/>
        <v>46193</v>
      </c>
      <c r="C1933" s="312">
        <v>9</v>
      </c>
      <c r="D1933" s="368">
        <f>IFERROR((INDEX(METADATA!$T$2:$T$20,MATCH(B1933,METADATA!$S$2:$S$20,0))),0)</f>
        <v>0</v>
      </c>
      <c r="E1933" s="312" t="str">
        <f t="shared" si="120"/>
        <v>LO</v>
      </c>
      <c r="F1933" s="369">
        <f>VLOOKUP(C1933,METADATA!$A$5:$H$29,IF(E1933="HI",2,IF(E1933="LO",6,10))+IF(D1933=1,2,IF(D1933=7,1,(IF(WEEKDAY(B1933)=1,2,IF(WEEKDAY(B1933)=7,1,0))))))</f>
        <v>2</v>
      </c>
      <c r="G1933" s="369">
        <f>VLOOKUP(C1933,METADATA!$J$5:$Q$29,IF(E1933="HI",2,IF(E1933="LO",6,10))+IF(D1933=1,2,IF(D1933=7,1,(IF(WEEKDAY(B1933)=1,2,IF(WEEKDAY(B1933)=7,1,0))))))</f>
        <v>2</v>
      </c>
      <c r="H1933" s="370">
        <v>11359.367889404297</v>
      </c>
      <c r="I1933" s="370">
        <v>1707.3599853515625</v>
      </c>
      <c r="M1933" s="371">
        <f t="shared" si="121"/>
        <v>11486.962913077117</v>
      </c>
      <c r="N1933" s="329">
        <f t="shared" si="122"/>
        <v>0</v>
      </c>
      <c r="T1933" s="331">
        <v>0</v>
      </c>
      <c r="U1933" s="328">
        <f>VLOOKUP(C1933,METADATA!$J$5:$Q$29,IF(E1933="HI",2,IF(E1933="LO",6,10))+IF(T1933=1,2,IF(D1933=7,1,(IF(WEEKDAY(B1933)=1,2,IF(WEEKDAY(B1933)=7,1,0))))))</f>
        <v>2</v>
      </c>
      <c r="V1933" s="328">
        <f>VLOOKUP(C1933,METADATA!$A$5:$H$29,IF(E1933="HI",2,IF(E1933="LO",6,10))+IF(T1933=1,2,IF(D1933=7,1,(IF(WEEKDAY(B1933)=1,2,IF(WEEKDAY(B1933)=7,1,0))))))</f>
        <v>2</v>
      </c>
    </row>
    <row r="1934" spans="2:22">
      <c r="B1934" s="318">
        <f t="shared" si="119"/>
        <v>46193</v>
      </c>
      <c r="C1934" s="312">
        <v>10</v>
      </c>
      <c r="D1934" s="368">
        <f>IFERROR((INDEX(METADATA!$T$2:$T$20,MATCH(B1934,METADATA!$S$2:$S$20,0))),0)</f>
        <v>0</v>
      </c>
      <c r="E1934" s="312" t="str">
        <f t="shared" si="120"/>
        <v>LO</v>
      </c>
      <c r="F1934" s="369">
        <f>VLOOKUP(C1934,METADATA!$A$5:$H$29,IF(E1934="HI",2,IF(E1934="LO",6,10))+IF(D1934=1,2,IF(D1934=7,1,(IF(WEEKDAY(B1934)=1,2,IF(WEEKDAY(B1934)=7,1,0))))))</f>
        <v>2</v>
      </c>
      <c r="G1934" s="369">
        <f>VLOOKUP(C1934,METADATA!$J$5:$Q$29,IF(E1934="HI",2,IF(E1934="LO",6,10))+IF(D1934=1,2,IF(D1934=7,1,(IF(WEEKDAY(B1934)=1,2,IF(WEEKDAY(B1934)=7,1,0))))))</f>
        <v>2</v>
      </c>
      <c r="H1934" s="370">
        <v>11305.784790039063</v>
      </c>
      <c r="I1934" s="370">
        <v>1721.6399841308594</v>
      </c>
      <c r="M1934" s="371">
        <f t="shared" si="121"/>
        <v>11436.118832612607</v>
      </c>
      <c r="N1934" s="329">
        <f t="shared" si="122"/>
        <v>0</v>
      </c>
      <c r="T1934" s="331">
        <v>0</v>
      </c>
      <c r="U1934" s="328">
        <f>VLOOKUP(C1934,METADATA!$J$5:$Q$29,IF(E1934="HI",2,IF(E1934="LO",6,10))+IF(T1934=1,2,IF(D1934=7,1,(IF(WEEKDAY(B1934)=1,2,IF(WEEKDAY(B1934)=7,1,0))))))</f>
        <v>2</v>
      </c>
      <c r="V1934" s="328">
        <f>VLOOKUP(C1934,METADATA!$A$5:$H$29,IF(E1934="HI",2,IF(E1934="LO",6,10))+IF(T1934=1,2,IF(D1934=7,1,(IF(WEEKDAY(B1934)=1,2,IF(WEEKDAY(B1934)=7,1,0))))))</f>
        <v>2</v>
      </c>
    </row>
    <row r="1935" spans="2:22">
      <c r="B1935" s="318">
        <f t="shared" si="119"/>
        <v>46193</v>
      </c>
      <c r="C1935" s="312">
        <v>11</v>
      </c>
      <c r="D1935" s="368">
        <f>IFERROR((INDEX(METADATA!$T$2:$T$20,MATCH(B1935,METADATA!$S$2:$S$20,0))),0)</f>
        <v>0</v>
      </c>
      <c r="E1935" s="312" t="str">
        <f t="shared" si="120"/>
        <v>LO</v>
      </c>
      <c r="F1935" s="369">
        <f>VLOOKUP(C1935,METADATA!$A$5:$H$29,IF(E1935="HI",2,IF(E1935="LO",6,10))+IF(D1935=1,2,IF(D1935=7,1,(IF(WEEKDAY(B1935)=1,2,IF(WEEKDAY(B1935)=7,1,0))))))</f>
        <v>2</v>
      </c>
      <c r="G1935" s="369">
        <f>VLOOKUP(C1935,METADATA!$J$5:$Q$29,IF(E1935="HI",2,IF(E1935="LO",6,10))+IF(D1935=1,2,IF(D1935=7,1,(IF(WEEKDAY(B1935)=1,2,IF(WEEKDAY(B1935)=7,1,0))))))</f>
        <v>2</v>
      </c>
      <c r="H1935" s="370">
        <v>11270.975158691406</v>
      </c>
      <c r="I1935" s="370">
        <v>1720.9199829101563</v>
      </c>
      <c r="M1935" s="371">
        <f t="shared" si="121"/>
        <v>11401.598423704383</v>
      </c>
      <c r="N1935" s="329">
        <f t="shared" si="122"/>
        <v>0</v>
      </c>
      <c r="T1935" s="331">
        <v>0</v>
      </c>
      <c r="U1935" s="328">
        <f>VLOOKUP(C1935,METADATA!$J$5:$Q$29,IF(E1935="HI",2,IF(E1935="LO",6,10))+IF(T1935=1,2,IF(D1935=7,1,(IF(WEEKDAY(B1935)=1,2,IF(WEEKDAY(B1935)=7,1,0))))))</f>
        <v>2</v>
      </c>
      <c r="V1935" s="328">
        <f>VLOOKUP(C1935,METADATA!$A$5:$H$29,IF(E1935="HI",2,IF(E1935="LO",6,10))+IF(T1935=1,2,IF(D1935=7,1,(IF(WEEKDAY(B1935)=1,2,IF(WEEKDAY(B1935)=7,1,0))))))</f>
        <v>2</v>
      </c>
    </row>
    <row r="1936" spans="2:22">
      <c r="B1936" s="318">
        <f t="shared" si="119"/>
        <v>46193</v>
      </c>
      <c r="C1936" s="312">
        <v>12</v>
      </c>
      <c r="D1936" s="368">
        <f>IFERROR((INDEX(METADATA!$T$2:$T$20,MATCH(B1936,METADATA!$S$2:$S$20,0))),0)</f>
        <v>0</v>
      </c>
      <c r="E1936" s="312" t="str">
        <f t="shared" si="120"/>
        <v>LO</v>
      </c>
      <c r="F1936" s="369">
        <f>VLOOKUP(C1936,METADATA!$A$5:$H$29,IF(E1936="HI",2,IF(E1936="LO",6,10))+IF(D1936=1,2,IF(D1936=7,1,(IF(WEEKDAY(B1936)=1,2,IF(WEEKDAY(B1936)=7,1,0))))))</f>
        <v>3</v>
      </c>
      <c r="G1936" s="369">
        <f>VLOOKUP(C1936,METADATA!$J$5:$Q$29,IF(E1936="HI",2,IF(E1936="LO",6,10))+IF(D1936=1,2,IF(D1936=7,1,(IF(WEEKDAY(B1936)=1,2,IF(WEEKDAY(B1936)=7,1,0))))))</f>
        <v>3</v>
      </c>
      <c r="H1936" s="370">
        <v>11843.494995117188</v>
      </c>
      <c r="I1936" s="370">
        <v>1789.8960198760033</v>
      </c>
      <c r="M1936" s="371">
        <f t="shared" si="121"/>
        <v>11977.984031602889</v>
      </c>
      <c r="N1936" s="329">
        <f t="shared" si="122"/>
        <v>0</v>
      </c>
      <c r="T1936" s="331">
        <v>0</v>
      </c>
      <c r="U1936" s="328">
        <f>VLOOKUP(C1936,METADATA!$J$5:$Q$29,IF(E1936="HI",2,IF(E1936="LO",6,10))+IF(T1936=1,2,IF(D1936=7,1,(IF(WEEKDAY(B1936)=1,2,IF(WEEKDAY(B1936)=7,1,0))))))</f>
        <v>3</v>
      </c>
      <c r="V1936" s="328">
        <f>VLOOKUP(C1936,METADATA!$A$5:$H$29,IF(E1936="HI",2,IF(E1936="LO",6,10))+IF(T1936=1,2,IF(D1936=7,1,(IF(WEEKDAY(B1936)=1,2,IF(WEEKDAY(B1936)=7,1,0))))))</f>
        <v>3</v>
      </c>
    </row>
    <row r="1937" spans="2:22">
      <c r="B1937" s="318">
        <f t="shared" si="119"/>
        <v>46193</v>
      </c>
      <c r="C1937" s="312">
        <v>13</v>
      </c>
      <c r="D1937" s="368">
        <f>IFERROR((INDEX(METADATA!$T$2:$T$20,MATCH(B1937,METADATA!$S$2:$S$20,0))),0)</f>
        <v>0</v>
      </c>
      <c r="E1937" s="312" t="str">
        <f t="shared" si="120"/>
        <v>LO</v>
      </c>
      <c r="F1937" s="369">
        <f>VLOOKUP(C1937,METADATA!$A$5:$H$29,IF(E1937="HI",2,IF(E1937="LO",6,10))+IF(D1937=1,2,IF(D1937=7,1,(IF(WEEKDAY(B1937)=1,2,IF(WEEKDAY(B1937)=7,1,0))))))</f>
        <v>3</v>
      </c>
      <c r="G1937" s="369">
        <f>VLOOKUP(C1937,METADATA!$J$5:$Q$29,IF(E1937="HI",2,IF(E1937="LO",6,10))+IF(D1937=1,2,IF(D1937=7,1,(IF(WEEKDAY(B1937)=1,2,IF(WEEKDAY(B1937)=7,1,0))))))</f>
        <v>3</v>
      </c>
      <c r="H1937" s="370">
        <v>13412.5751953125</v>
      </c>
      <c r="I1937" s="370">
        <v>1981.702507019043</v>
      </c>
      <c r="M1937" s="371">
        <f t="shared" si="121"/>
        <v>13558.182702568871</v>
      </c>
      <c r="N1937" s="329">
        <f t="shared" si="122"/>
        <v>0</v>
      </c>
      <c r="T1937" s="331">
        <v>0</v>
      </c>
      <c r="U1937" s="328">
        <f>VLOOKUP(C1937,METADATA!$J$5:$Q$29,IF(E1937="HI",2,IF(E1937="LO",6,10))+IF(T1937=1,2,IF(D1937=7,1,(IF(WEEKDAY(B1937)=1,2,IF(WEEKDAY(B1937)=7,1,0))))))</f>
        <v>3</v>
      </c>
      <c r="V1937" s="328">
        <f>VLOOKUP(C1937,METADATA!$A$5:$H$29,IF(E1937="HI",2,IF(E1937="LO",6,10))+IF(T1937=1,2,IF(D1937=7,1,(IF(WEEKDAY(B1937)=1,2,IF(WEEKDAY(B1937)=7,1,0))))))</f>
        <v>3</v>
      </c>
    </row>
    <row r="1938" spans="2:22">
      <c r="B1938" s="318">
        <f t="shared" si="119"/>
        <v>46193</v>
      </c>
      <c r="C1938" s="312">
        <v>14</v>
      </c>
      <c r="D1938" s="368">
        <f>IFERROR((INDEX(METADATA!$T$2:$T$20,MATCH(B1938,METADATA!$S$2:$S$20,0))),0)</f>
        <v>0</v>
      </c>
      <c r="E1938" s="312" t="str">
        <f t="shared" si="120"/>
        <v>LO</v>
      </c>
      <c r="F1938" s="369">
        <f>VLOOKUP(C1938,METADATA!$A$5:$H$29,IF(E1938="HI",2,IF(E1938="LO",6,10))+IF(D1938=1,2,IF(D1938=7,1,(IF(WEEKDAY(B1938)=1,2,IF(WEEKDAY(B1938)=7,1,0))))))</f>
        <v>3</v>
      </c>
      <c r="G1938" s="369">
        <f>VLOOKUP(C1938,METADATA!$J$5:$Q$29,IF(E1938="HI",2,IF(E1938="LO",6,10))+IF(D1938=1,2,IF(D1938=7,1,(IF(WEEKDAY(B1938)=1,2,IF(WEEKDAY(B1938)=7,1,0))))))</f>
        <v>3</v>
      </c>
      <c r="H1938" s="370">
        <v>13306.399719238281</v>
      </c>
      <c r="I1938" s="370">
        <v>2029.5849914550781</v>
      </c>
      <c r="M1938" s="371">
        <f t="shared" si="121"/>
        <v>13460.293040111879</v>
      </c>
      <c r="N1938" s="329">
        <f t="shared" si="122"/>
        <v>0</v>
      </c>
      <c r="T1938" s="331">
        <v>0</v>
      </c>
      <c r="U1938" s="328">
        <f>VLOOKUP(C1938,METADATA!$J$5:$Q$29,IF(E1938="HI",2,IF(E1938="LO",6,10))+IF(T1938=1,2,IF(D1938=7,1,(IF(WEEKDAY(B1938)=1,2,IF(WEEKDAY(B1938)=7,1,0))))))</f>
        <v>3</v>
      </c>
      <c r="V1938" s="328">
        <f>VLOOKUP(C1938,METADATA!$A$5:$H$29,IF(E1938="HI",2,IF(E1938="LO",6,10))+IF(T1938=1,2,IF(D1938=7,1,(IF(WEEKDAY(B1938)=1,2,IF(WEEKDAY(B1938)=7,1,0))))))</f>
        <v>3</v>
      </c>
    </row>
    <row r="1939" spans="2:22">
      <c r="B1939" s="318">
        <f t="shared" si="119"/>
        <v>46193</v>
      </c>
      <c r="C1939" s="312">
        <v>15</v>
      </c>
      <c r="D1939" s="368">
        <f>IFERROR((INDEX(METADATA!$T$2:$T$20,MATCH(B1939,METADATA!$S$2:$S$20,0))),0)</f>
        <v>0</v>
      </c>
      <c r="E1939" s="312" t="str">
        <f t="shared" si="120"/>
        <v>LO</v>
      </c>
      <c r="F1939" s="369">
        <f>VLOOKUP(C1939,METADATA!$A$5:$H$29,IF(E1939="HI",2,IF(E1939="LO",6,10))+IF(D1939=1,2,IF(D1939=7,1,(IF(WEEKDAY(B1939)=1,2,IF(WEEKDAY(B1939)=7,1,0))))))</f>
        <v>3</v>
      </c>
      <c r="G1939" s="369">
        <f>VLOOKUP(C1939,METADATA!$J$5:$Q$29,IF(E1939="HI",2,IF(E1939="LO",6,10))+IF(D1939=1,2,IF(D1939=7,1,(IF(WEEKDAY(B1939)=1,2,IF(WEEKDAY(B1939)=7,1,0))))))</f>
        <v>3</v>
      </c>
      <c r="H1939" s="370">
        <v>13491.550048828125</v>
      </c>
      <c r="I1939" s="370">
        <v>2027.3500213623047</v>
      </c>
      <c r="M1939" s="371">
        <f t="shared" si="121"/>
        <v>13643.022789292405</v>
      </c>
      <c r="N1939" s="329">
        <f t="shared" si="122"/>
        <v>0</v>
      </c>
      <c r="T1939" s="331">
        <v>0</v>
      </c>
      <c r="U1939" s="328">
        <f>VLOOKUP(C1939,METADATA!$J$5:$Q$29,IF(E1939="HI",2,IF(E1939="LO",6,10))+IF(T1939=1,2,IF(D1939=7,1,(IF(WEEKDAY(B1939)=1,2,IF(WEEKDAY(B1939)=7,1,0))))))</f>
        <v>3</v>
      </c>
      <c r="V1939" s="328">
        <f>VLOOKUP(C1939,METADATA!$A$5:$H$29,IF(E1939="HI",2,IF(E1939="LO",6,10))+IF(T1939=1,2,IF(D1939=7,1,(IF(WEEKDAY(B1939)=1,2,IF(WEEKDAY(B1939)=7,1,0))))))</f>
        <v>3</v>
      </c>
    </row>
    <row r="1940" spans="2:22">
      <c r="B1940" s="318">
        <f t="shared" si="119"/>
        <v>46193</v>
      </c>
      <c r="C1940" s="312">
        <v>16</v>
      </c>
      <c r="D1940" s="368">
        <f>IFERROR((INDEX(METADATA!$T$2:$T$20,MATCH(B1940,METADATA!$S$2:$S$20,0))),0)</f>
        <v>0</v>
      </c>
      <c r="E1940" s="312" t="str">
        <f t="shared" si="120"/>
        <v>LO</v>
      </c>
      <c r="F1940" s="369">
        <f>VLOOKUP(C1940,METADATA!$A$5:$H$29,IF(E1940="HI",2,IF(E1940="LO",6,10))+IF(D1940=1,2,IF(D1940=7,1,(IF(WEEKDAY(B1940)=1,2,IF(WEEKDAY(B1940)=7,1,0))))))</f>
        <v>3</v>
      </c>
      <c r="G1940" s="369">
        <f>VLOOKUP(C1940,METADATA!$J$5:$Q$29,IF(E1940="HI",2,IF(E1940="LO",6,10))+IF(D1940=1,2,IF(D1940=7,1,(IF(WEEKDAY(B1940)=1,2,IF(WEEKDAY(B1940)=7,1,0))))))</f>
        <v>3</v>
      </c>
      <c r="H1940" s="370">
        <v>13292.400024414063</v>
      </c>
      <c r="I1940" s="370">
        <v>1909.8949966430664</v>
      </c>
      <c r="M1940" s="371">
        <f t="shared" si="121"/>
        <v>13428.909014035547</v>
      </c>
      <c r="N1940" s="329">
        <f t="shared" si="122"/>
        <v>0</v>
      </c>
      <c r="T1940" s="331">
        <v>0</v>
      </c>
      <c r="U1940" s="328">
        <f>VLOOKUP(C1940,METADATA!$J$5:$Q$29,IF(E1940="HI",2,IF(E1940="LO",6,10))+IF(T1940=1,2,IF(D1940=7,1,(IF(WEEKDAY(B1940)=1,2,IF(WEEKDAY(B1940)=7,1,0))))))</f>
        <v>3</v>
      </c>
      <c r="V1940" s="328">
        <f>VLOOKUP(C1940,METADATA!$A$5:$H$29,IF(E1940="HI",2,IF(E1940="LO",6,10))+IF(T1940=1,2,IF(D1940=7,1,(IF(WEEKDAY(B1940)=1,2,IF(WEEKDAY(B1940)=7,1,0))))))</f>
        <v>3</v>
      </c>
    </row>
    <row r="1941" spans="2:22">
      <c r="B1941" s="318">
        <f t="shared" si="119"/>
        <v>46193</v>
      </c>
      <c r="C1941" s="312">
        <v>17</v>
      </c>
      <c r="D1941" s="368">
        <f>IFERROR((INDEX(METADATA!$T$2:$T$20,MATCH(B1941,METADATA!$S$2:$S$20,0))),0)</f>
        <v>0</v>
      </c>
      <c r="E1941" s="312" t="str">
        <f t="shared" si="120"/>
        <v>LO</v>
      </c>
      <c r="F1941" s="369">
        <f>VLOOKUP(C1941,METADATA!$A$5:$H$29,IF(E1941="HI",2,IF(E1941="LO",6,10))+IF(D1941=1,2,IF(D1941=7,1,(IF(WEEKDAY(B1941)=1,2,IF(WEEKDAY(B1941)=7,1,0))))))</f>
        <v>3</v>
      </c>
      <c r="G1941" s="369">
        <f>VLOOKUP(C1941,METADATA!$J$5:$Q$29,IF(E1941="HI",2,IF(E1941="LO",6,10))+IF(D1941=1,2,IF(D1941=7,1,(IF(WEEKDAY(B1941)=1,2,IF(WEEKDAY(B1941)=7,1,0))))))</f>
        <v>3</v>
      </c>
      <c r="H1941" s="370">
        <v>13421.824890136719</v>
      </c>
      <c r="I1941" s="370">
        <v>1984.2250366210938</v>
      </c>
      <c r="M1941" s="371">
        <f t="shared" si="121"/>
        <v>13567.701808981781</v>
      </c>
      <c r="N1941" s="329">
        <f t="shared" si="122"/>
        <v>0</v>
      </c>
      <c r="T1941" s="331">
        <v>0</v>
      </c>
      <c r="U1941" s="328">
        <f>VLOOKUP(C1941,METADATA!$J$5:$Q$29,IF(E1941="HI",2,IF(E1941="LO",6,10))+IF(T1941=1,2,IF(D1941=7,1,(IF(WEEKDAY(B1941)=1,2,IF(WEEKDAY(B1941)=7,1,0))))))</f>
        <v>3</v>
      </c>
      <c r="V1941" s="328">
        <f>VLOOKUP(C1941,METADATA!$A$5:$H$29,IF(E1941="HI",2,IF(E1941="LO",6,10))+IF(T1941=1,2,IF(D1941=7,1,(IF(WEEKDAY(B1941)=1,2,IF(WEEKDAY(B1941)=7,1,0))))))</f>
        <v>3</v>
      </c>
    </row>
    <row r="1942" spans="2:22">
      <c r="B1942" s="318">
        <f t="shared" si="119"/>
        <v>46193</v>
      </c>
      <c r="C1942" s="312">
        <v>18</v>
      </c>
      <c r="D1942" s="368">
        <f>IFERROR((INDEX(METADATA!$T$2:$T$20,MATCH(B1942,METADATA!$S$2:$S$20,0))),0)</f>
        <v>0</v>
      </c>
      <c r="E1942" s="312" t="str">
        <f t="shared" si="120"/>
        <v>LO</v>
      </c>
      <c r="F1942" s="369">
        <f>VLOOKUP(C1942,METADATA!$A$5:$H$29,IF(E1942="HI",2,IF(E1942="LO",6,10))+IF(D1942=1,2,IF(D1942=7,1,(IF(WEEKDAY(B1942)=1,2,IF(WEEKDAY(B1942)=7,1,0))))))</f>
        <v>2</v>
      </c>
      <c r="G1942" s="369">
        <f>VLOOKUP(C1942,METADATA!$J$5:$Q$29,IF(E1942="HI",2,IF(E1942="LO",6,10))+IF(D1942=1,2,IF(D1942=7,1,(IF(WEEKDAY(B1942)=1,2,IF(WEEKDAY(B1942)=7,1,0))))))</f>
        <v>2</v>
      </c>
      <c r="H1942" s="370">
        <v>13440.649841308594</v>
      </c>
      <c r="I1942" s="370">
        <v>1848.9599990844727</v>
      </c>
      <c r="M1942" s="371">
        <f t="shared" si="121"/>
        <v>13567.229681658788</v>
      </c>
      <c r="N1942" s="329">
        <f t="shared" si="122"/>
        <v>0</v>
      </c>
      <c r="T1942" s="331">
        <v>0</v>
      </c>
      <c r="U1942" s="328">
        <f>VLOOKUP(C1942,METADATA!$J$5:$Q$29,IF(E1942="HI",2,IF(E1942="LO",6,10))+IF(T1942=1,2,IF(D1942=7,1,(IF(WEEKDAY(B1942)=1,2,IF(WEEKDAY(B1942)=7,1,0))))))</f>
        <v>2</v>
      </c>
      <c r="V1942" s="328">
        <f>VLOOKUP(C1942,METADATA!$A$5:$H$29,IF(E1942="HI",2,IF(E1942="LO",6,10))+IF(T1942=1,2,IF(D1942=7,1,(IF(WEEKDAY(B1942)=1,2,IF(WEEKDAY(B1942)=7,1,0))))))</f>
        <v>2</v>
      </c>
    </row>
    <row r="1943" spans="2:22">
      <c r="B1943" s="318">
        <f t="shared" si="119"/>
        <v>46193</v>
      </c>
      <c r="C1943" s="312">
        <v>19</v>
      </c>
      <c r="D1943" s="368">
        <f>IFERROR((INDEX(METADATA!$T$2:$T$20,MATCH(B1943,METADATA!$S$2:$S$20,0))),0)</f>
        <v>0</v>
      </c>
      <c r="E1943" s="312" t="str">
        <f t="shared" si="120"/>
        <v>LO</v>
      </c>
      <c r="F1943" s="369">
        <f>VLOOKUP(C1943,METADATA!$A$5:$H$29,IF(E1943="HI",2,IF(E1943="LO",6,10))+IF(D1943=1,2,IF(D1943=7,1,(IF(WEEKDAY(B1943)=1,2,IF(WEEKDAY(B1943)=7,1,0))))))</f>
        <v>2</v>
      </c>
      <c r="G1943" s="369">
        <f>VLOOKUP(C1943,METADATA!$J$5:$Q$29,IF(E1943="HI",2,IF(E1943="LO",6,10))+IF(D1943=1,2,IF(D1943=7,1,(IF(WEEKDAY(B1943)=1,2,IF(WEEKDAY(B1943)=7,1,0))))))</f>
        <v>2</v>
      </c>
      <c r="H1943" s="370">
        <v>13563.824768066406</v>
      </c>
      <c r="I1943" s="370">
        <v>1953.3374938964844</v>
      </c>
      <c r="M1943" s="371">
        <f t="shared" si="121"/>
        <v>13703.753854468981</v>
      </c>
      <c r="N1943" s="329">
        <f t="shared" si="122"/>
        <v>0</v>
      </c>
      <c r="T1943" s="331">
        <v>0</v>
      </c>
      <c r="U1943" s="328">
        <f>VLOOKUP(C1943,METADATA!$J$5:$Q$29,IF(E1943="HI",2,IF(E1943="LO",6,10))+IF(T1943=1,2,IF(D1943=7,1,(IF(WEEKDAY(B1943)=1,2,IF(WEEKDAY(B1943)=7,1,0))))))</f>
        <v>2</v>
      </c>
      <c r="V1943" s="328">
        <f>VLOOKUP(C1943,METADATA!$A$5:$H$29,IF(E1943="HI",2,IF(E1943="LO",6,10))+IF(T1943=1,2,IF(D1943=7,1,(IF(WEEKDAY(B1943)=1,2,IF(WEEKDAY(B1943)=7,1,0))))))</f>
        <v>2</v>
      </c>
    </row>
    <row r="1944" spans="2:22">
      <c r="B1944" s="318">
        <f t="shared" si="119"/>
        <v>46193</v>
      </c>
      <c r="C1944" s="312">
        <v>20</v>
      </c>
      <c r="D1944" s="368">
        <f>IFERROR((INDEX(METADATA!$T$2:$T$20,MATCH(B1944,METADATA!$S$2:$S$20,0))),0)</f>
        <v>0</v>
      </c>
      <c r="E1944" s="312" t="str">
        <f t="shared" si="120"/>
        <v>LO</v>
      </c>
      <c r="F1944" s="369">
        <f>VLOOKUP(C1944,METADATA!$A$5:$H$29,IF(E1944="HI",2,IF(E1944="LO",6,10))+IF(D1944=1,2,IF(D1944=7,1,(IF(WEEKDAY(B1944)=1,2,IF(WEEKDAY(B1944)=7,1,0))))))</f>
        <v>3</v>
      </c>
      <c r="G1944" s="369">
        <f>VLOOKUP(C1944,METADATA!$J$5:$Q$29,IF(E1944="HI",2,IF(E1944="LO",6,10))+IF(D1944=1,2,IF(D1944=7,1,(IF(WEEKDAY(B1944)=1,2,IF(WEEKDAY(B1944)=7,1,0))))))</f>
        <v>3</v>
      </c>
      <c r="H1944" s="370">
        <v>13591.400268554688</v>
      </c>
      <c r="I1944" s="370">
        <v>2008.7524948120117</v>
      </c>
      <c r="M1944" s="371">
        <f t="shared" si="121"/>
        <v>13739.041008945343</v>
      </c>
      <c r="N1944" s="329">
        <f t="shared" si="122"/>
        <v>0</v>
      </c>
      <c r="T1944" s="331">
        <v>0</v>
      </c>
      <c r="U1944" s="328">
        <f>VLOOKUP(C1944,METADATA!$J$5:$Q$29,IF(E1944="HI",2,IF(E1944="LO",6,10))+IF(T1944=1,2,IF(D1944=7,1,(IF(WEEKDAY(B1944)=1,2,IF(WEEKDAY(B1944)=7,1,0))))))</f>
        <v>3</v>
      </c>
      <c r="V1944" s="328">
        <f>VLOOKUP(C1944,METADATA!$A$5:$H$29,IF(E1944="HI",2,IF(E1944="LO",6,10))+IF(T1944=1,2,IF(D1944=7,1,(IF(WEEKDAY(B1944)=1,2,IF(WEEKDAY(B1944)=7,1,0))))))</f>
        <v>3</v>
      </c>
    </row>
    <row r="1945" spans="2:22">
      <c r="B1945" s="318">
        <f t="shared" si="119"/>
        <v>46193</v>
      </c>
      <c r="C1945" s="312">
        <v>21</v>
      </c>
      <c r="D1945" s="368">
        <f>IFERROR((INDEX(METADATA!$T$2:$T$20,MATCH(B1945,METADATA!$S$2:$S$20,0))),0)</f>
        <v>0</v>
      </c>
      <c r="E1945" s="312" t="str">
        <f t="shared" si="120"/>
        <v>LO</v>
      </c>
      <c r="F1945" s="369">
        <f>VLOOKUP(C1945,METADATA!$A$5:$H$29,IF(E1945="HI",2,IF(E1945="LO",6,10))+IF(D1945=1,2,IF(D1945=7,1,(IF(WEEKDAY(B1945)=1,2,IF(WEEKDAY(B1945)=7,1,0))))))</f>
        <v>3</v>
      </c>
      <c r="G1945" s="369">
        <f>VLOOKUP(C1945,METADATA!$J$5:$Q$29,IF(E1945="HI",2,IF(E1945="LO",6,10))+IF(D1945=1,2,IF(D1945=7,1,(IF(WEEKDAY(B1945)=1,2,IF(WEEKDAY(B1945)=7,1,0))))))</f>
        <v>3</v>
      </c>
      <c r="H1945" s="370">
        <v>13612.599975585938</v>
      </c>
      <c r="I1945" s="370">
        <v>2039.2050094604492</v>
      </c>
      <c r="M1945" s="371">
        <f t="shared" si="121"/>
        <v>13764.49182374456</v>
      </c>
      <c r="N1945" s="329">
        <f t="shared" si="122"/>
        <v>0</v>
      </c>
      <c r="T1945" s="331">
        <v>0</v>
      </c>
      <c r="U1945" s="328">
        <f>VLOOKUP(C1945,METADATA!$J$5:$Q$29,IF(E1945="HI",2,IF(E1945="LO",6,10))+IF(T1945=1,2,IF(D1945=7,1,(IF(WEEKDAY(B1945)=1,2,IF(WEEKDAY(B1945)=7,1,0))))))</f>
        <v>3</v>
      </c>
      <c r="V1945" s="328">
        <f>VLOOKUP(C1945,METADATA!$A$5:$H$29,IF(E1945="HI",2,IF(E1945="LO",6,10))+IF(T1945=1,2,IF(D1945=7,1,(IF(WEEKDAY(B1945)=1,2,IF(WEEKDAY(B1945)=7,1,0))))))</f>
        <v>3</v>
      </c>
    </row>
    <row r="1946" spans="2:22">
      <c r="B1946" s="318">
        <f t="shared" si="119"/>
        <v>46193</v>
      </c>
      <c r="C1946" s="312">
        <v>22</v>
      </c>
      <c r="D1946" s="368">
        <f>IFERROR((INDEX(METADATA!$T$2:$T$20,MATCH(B1946,METADATA!$S$2:$S$20,0))),0)</f>
        <v>0</v>
      </c>
      <c r="E1946" s="312" t="str">
        <f t="shared" si="120"/>
        <v>LO</v>
      </c>
      <c r="F1946" s="369">
        <f>VLOOKUP(C1946,METADATA!$A$5:$H$29,IF(E1946="HI",2,IF(E1946="LO",6,10))+IF(D1946=1,2,IF(D1946=7,1,(IF(WEEKDAY(B1946)=1,2,IF(WEEKDAY(B1946)=7,1,0))))))</f>
        <v>3</v>
      </c>
      <c r="G1946" s="369">
        <f>VLOOKUP(C1946,METADATA!$J$5:$Q$29,IF(E1946="HI",2,IF(E1946="LO",6,10))+IF(D1946=1,2,IF(D1946=7,1,(IF(WEEKDAY(B1946)=1,2,IF(WEEKDAY(B1946)=7,1,0))))))</f>
        <v>3</v>
      </c>
      <c r="H1946" s="370">
        <v>13527.575378417969</v>
      </c>
      <c r="I1946" s="370">
        <v>2229.4024810791016</v>
      </c>
      <c r="M1946" s="371">
        <f t="shared" si="121"/>
        <v>13710.052189595111</v>
      </c>
      <c r="N1946" s="329">
        <f t="shared" si="122"/>
        <v>0</v>
      </c>
      <c r="T1946" s="331">
        <v>0</v>
      </c>
      <c r="U1946" s="328">
        <f>VLOOKUP(C1946,METADATA!$J$5:$Q$29,IF(E1946="HI",2,IF(E1946="LO",6,10))+IF(T1946=1,2,IF(D1946=7,1,(IF(WEEKDAY(B1946)=1,2,IF(WEEKDAY(B1946)=7,1,0))))))</f>
        <v>3</v>
      </c>
      <c r="V1946" s="328">
        <f>VLOOKUP(C1946,METADATA!$A$5:$H$29,IF(E1946="HI",2,IF(E1946="LO",6,10))+IF(T1946=1,2,IF(D1946=7,1,(IF(WEEKDAY(B1946)=1,2,IF(WEEKDAY(B1946)=7,1,0))))))</f>
        <v>3</v>
      </c>
    </row>
    <row r="1947" spans="2:22">
      <c r="B1947" s="318">
        <f t="shared" si="119"/>
        <v>46193</v>
      </c>
      <c r="C1947" s="312">
        <v>23</v>
      </c>
      <c r="D1947" s="368">
        <f>IFERROR((INDEX(METADATA!$T$2:$T$20,MATCH(B1947,METADATA!$S$2:$S$20,0))),0)</f>
        <v>0</v>
      </c>
      <c r="E1947" s="312" t="str">
        <f t="shared" si="120"/>
        <v>LO</v>
      </c>
      <c r="F1947" s="369">
        <f>VLOOKUP(C1947,METADATA!$A$5:$H$29,IF(E1947="HI",2,IF(E1947="LO",6,10))+IF(D1947=1,2,IF(D1947=7,1,(IF(WEEKDAY(B1947)=1,2,IF(WEEKDAY(B1947)=7,1,0))))))</f>
        <v>3</v>
      </c>
      <c r="G1947" s="369">
        <f>VLOOKUP(C1947,METADATA!$J$5:$Q$29,IF(E1947="HI",2,IF(E1947="LO",6,10))+IF(D1947=1,2,IF(D1947=7,1,(IF(WEEKDAY(B1947)=1,2,IF(WEEKDAY(B1947)=7,1,0))))))</f>
        <v>3</v>
      </c>
      <c r="H1947" s="370">
        <v>11879.307312011719</v>
      </c>
      <c r="I1947" s="370">
        <v>2084.3979082107544</v>
      </c>
      <c r="M1947" s="371">
        <f t="shared" si="121"/>
        <v>12060.790059236106</v>
      </c>
      <c r="N1947" s="329">
        <f t="shared" si="122"/>
        <v>0</v>
      </c>
      <c r="T1947" s="331">
        <v>0</v>
      </c>
      <c r="U1947" s="328">
        <f>VLOOKUP(C1947,METADATA!$J$5:$Q$29,IF(E1947="HI",2,IF(E1947="LO",6,10))+IF(T1947=1,2,IF(D1947=7,1,(IF(WEEKDAY(B1947)=1,2,IF(WEEKDAY(B1947)=7,1,0))))))</f>
        <v>3</v>
      </c>
      <c r="V1947" s="328">
        <f>VLOOKUP(C1947,METADATA!$A$5:$H$29,IF(E1947="HI",2,IF(E1947="LO",6,10))+IF(T1947=1,2,IF(D1947=7,1,(IF(WEEKDAY(B1947)=1,2,IF(WEEKDAY(B1947)=7,1,0))))))</f>
        <v>3</v>
      </c>
    </row>
    <row r="1948" spans="2:22">
      <c r="B1948" s="318">
        <f t="shared" ref="B1948:B2011" si="123">B1924+1</f>
        <v>46194</v>
      </c>
      <c r="C1948" s="312">
        <v>0</v>
      </c>
      <c r="D1948" s="368">
        <f>IFERROR((INDEX(METADATA!$T$2:$T$20,MATCH(B1948,METADATA!$S$2:$S$20,0))),0)</f>
        <v>0</v>
      </c>
      <c r="E1948" s="312" t="str">
        <f t="shared" si="120"/>
        <v>LO</v>
      </c>
      <c r="F1948" s="369">
        <f>VLOOKUP(C1948,METADATA!$A$5:$H$29,IF(E1948="HI",2,IF(E1948="LO",6,10))+IF(D1948=1,2,IF(D1948=7,1,(IF(WEEKDAY(B1948)=1,2,IF(WEEKDAY(B1948)=7,1,0))))))</f>
        <v>3</v>
      </c>
      <c r="G1948" s="369">
        <f>VLOOKUP(C1948,METADATA!$J$5:$Q$29,IF(E1948="HI",2,IF(E1948="LO",6,10))+IF(D1948=1,2,IF(D1948=7,1,(IF(WEEKDAY(B1948)=1,2,IF(WEEKDAY(B1948)=7,1,0))))))</f>
        <v>3</v>
      </c>
      <c r="H1948" s="370">
        <v>11597.032958984375</v>
      </c>
      <c r="I1948" s="370">
        <v>2126.8750610351563</v>
      </c>
      <c r="M1948" s="371">
        <f t="shared" si="121"/>
        <v>11790.452534870034</v>
      </c>
      <c r="N1948" s="329">
        <f t="shared" si="122"/>
        <v>0</v>
      </c>
      <c r="T1948" s="331">
        <v>0</v>
      </c>
      <c r="U1948" s="328">
        <f>VLOOKUP(C1948,METADATA!$J$5:$Q$29,IF(E1948="HI",2,IF(E1948="LO",6,10))+IF(T1948=1,2,IF(D1948=7,1,(IF(WEEKDAY(B1948)=1,2,IF(WEEKDAY(B1948)=7,1,0))))))</f>
        <v>3</v>
      </c>
      <c r="V1948" s="328">
        <f>VLOOKUP(C1948,METADATA!$A$5:$H$29,IF(E1948="HI",2,IF(E1948="LO",6,10))+IF(T1948=1,2,IF(D1948=7,1,(IF(WEEKDAY(B1948)=1,2,IF(WEEKDAY(B1948)=7,1,0))))))</f>
        <v>3</v>
      </c>
    </row>
    <row r="1949" spans="2:22">
      <c r="B1949" s="318">
        <f t="shared" si="123"/>
        <v>46194</v>
      </c>
      <c r="C1949" s="312">
        <v>1</v>
      </c>
      <c r="D1949" s="368">
        <f>IFERROR((INDEX(METADATA!$T$2:$T$20,MATCH(B1949,METADATA!$S$2:$S$20,0))),0)</f>
        <v>0</v>
      </c>
      <c r="E1949" s="312" t="str">
        <f t="shared" si="120"/>
        <v>LO</v>
      </c>
      <c r="F1949" s="369">
        <f>VLOOKUP(C1949,METADATA!$A$5:$H$29,IF(E1949="HI",2,IF(E1949="LO",6,10))+IF(D1949=1,2,IF(D1949=7,1,(IF(WEEKDAY(B1949)=1,2,IF(WEEKDAY(B1949)=7,1,0))))))</f>
        <v>3</v>
      </c>
      <c r="G1949" s="369">
        <f>VLOOKUP(C1949,METADATA!$J$5:$Q$29,IF(E1949="HI",2,IF(E1949="LO",6,10))+IF(D1949=1,2,IF(D1949=7,1,(IF(WEEKDAY(B1949)=1,2,IF(WEEKDAY(B1949)=7,1,0))))))</f>
        <v>3</v>
      </c>
      <c r="H1949" s="370">
        <v>11560.130432128906</v>
      </c>
      <c r="I1949" s="370">
        <v>2047.425048828125</v>
      </c>
      <c r="M1949" s="371">
        <f t="shared" si="121"/>
        <v>11740.041096112131</v>
      </c>
      <c r="N1949" s="329">
        <f t="shared" si="122"/>
        <v>0</v>
      </c>
      <c r="T1949" s="331">
        <v>0</v>
      </c>
      <c r="U1949" s="328">
        <f>VLOOKUP(C1949,METADATA!$J$5:$Q$29,IF(E1949="HI",2,IF(E1949="LO",6,10))+IF(T1949=1,2,IF(D1949=7,1,(IF(WEEKDAY(B1949)=1,2,IF(WEEKDAY(B1949)=7,1,0))))))</f>
        <v>3</v>
      </c>
      <c r="V1949" s="328">
        <f>VLOOKUP(C1949,METADATA!$A$5:$H$29,IF(E1949="HI",2,IF(E1949="LO",6,10))+IF(T1949=1,2,IF(D1949=7,1,(IF(WEEKDAY(B1949)=1,2,IF(WEEKDAY(B1949)=7,1,0))))))</f>
        <v>3</v>
      </c>
    </row>
    <row r="1950" spans="2:22">
      <c r="B1950" s="318">
        <f t="shared" si="123"/>
        <v>46194</v>
      </c>
      <c r="C1950" s="312">
        <v>2</v>
      </c>
      <c r="D1950" s="368">
        <f>IFERROR((INDEX(METADATA!$T$2:$T$20,MATCH(B1950,METADATA!$S$2:$S$20,0))),0)</f>
        <v>0</v>
      </c>
      <c r="E1950" s="312" t="str">
        <f t="shared" si="120"/>
        <v>LO</v>
      </c>
      <c r="F1950" s="369">
        <f>VLOOKUP(C1950,METADATA!$A$5:$H$29,IF(E1950="HI",2,IF(E1950="LO",6,10))+IF(D1950=1,2,IF(D1950=7,1,(IF(WEEKDAY(B1950)=1,2,IF(WEEKDAY(B1950)=7,1,0))))))</f>
        <v>3</v>
      </c>
      <c r="G1950" s="369">
        <f>VLOOKUP(C1950,METADATA!$J$5:$Q$29,IF(E1950="HI",2,IF(E1950="LO",6,10))+IF(D1950=1,2,IF(D1950=7,1,(IF(WEEKDAY(B1950)=1,2,IF(WEEKDAY(B1950)=7,1,0))))))</f>
        <v>3</v>
      </c>
      <c r="H1950" s="370">
        <v>13143.277465820313</v>
      </c>
      <c r="I1950" s="370">
        <v>2239.2940549254417</v>
      </c>
      <c r="M1950" s="371">
        <f t="shared" si="121"/>
        <v>13332.673415634406</v>
      </c>
      <c r="N1950" s="329">
        <f t="shared" si="122"/>
        <v>0</v>
      </c>
      <c r="T1950" s="331">
        <v>0</v>
      </c>
      <c r="U1950" s="328">
        <f>VLOOKUP(C1950,METADATA!$J$5:$Q$29,IF(E1950="HI",2,IF(E1950="LO",6,10))+IF(T1950=1,2,IF(D1950=7,1,(IF(WEEKDAY(B1950)=1,2,IF(WEEKDAY(B1950)=7,1,0))))))</f>
        <v>3</v>
      </c>
      <c r="V1950" s="328">
        <f>VLOOKUP(C1950,METADATA!$A$5:$H$29,IF(E1950="HI",2,IF(E1950="LO",6,10))+IF(T1950=1,2,IF(D1950=7,1,(IF(WEEKDAY(B1950)=1,2,IF(WEEKDAY(B1950)=7,1,0))))))</f>
        <v>3</v>
      </c>
    </row>
    <row r="1951" spans="2:22">
      <c r="B1951" s="318">
        <f t="shared" si="123"/>
        <v>46194</v>
      </c>
      <c r="C1951" s="312">
        <v>3</v>
      </c>
      <c r="D1951" s="368">
        <f>IFERROR((INDEX(METADATA!$T$2:$T$20,MATCH(B1951,METADATA!$S$2:$S$20,0))),0)</f>
        <v>0</v>
      </c>
      <c r="E1951" s="312" t="str">
        <f t="shared" si="120"/>
        <v>LO</v>
      </c>
      <c r="F1951" s="369">
        <f>VLOOKUP(C1951,METADATA!$A$5:$H$29,IF(E1951="HI",2,IF(E1951="LO",6,10))+IF(D1951=1,2,IF(D1951=7,1,(IF(WEEKDAY(B1951)=1,2,IF(WEEKDAY(B1951)=7,1,0))))))</f>
        <v>3</v>
      </c>
      <c r="G1951" s="369">
        <f>VLOOKUP(C1951,METADATA!$J$5:$Q$29,IF(E1951="HI",2,IF(E1951="LO",6,10))+IF(D1951=1,2,IF(D1951=7,1,(IF(WEEKDAY(B1951)=1,2,IF(WEEKDAY(B1951)=7,1,0))))))</f>
        <v>3</v>
      </c>
      <c r="H1951" s="370">
        <v>13567.075073242188</v>
      </c>
      <c r="I1951" s="370">
        <v>2342.4650650024414</v>
      </c>
      <c r="M1951" s="371">
        <f t="shared" si="121"/>
        <v>13767.812775591714</v>
      </c>
      <c r="N1951" s="329">
        <f t="shared" si="122"/>
        <v>0</v>
      </c>
      <c r="T1951" s="331">
        <v>0</v>
      </c>
      <c r="U1951" s="328">
        <f>VLOOKUP(C1951,METADATA!$J$5:$Q$29,IF(E1951="HI",2,IF(E1951="LO",6,10))+IF(T1951=1,2,IF(D1951=7,1,(IF(WEEKDAY(B1951)=1,2,IF(WEEKDAY(B1951)=7,1,0))))))</f>
        <v>3</v>
      </c>
      <c r="V1951" s="328">
        <f>VLOOKUP(C1951,METADATA!$A$5:$H$29,IF(E1951="HI",2,IF(E1951="LO",6,10))+IF(T1951=1,2,IF(D1951=7,1,(IF(WEEKDAY(B1951)=1,2,IF(WEEKDAY(B1951)=7,1,0))))))</f>
        <v>3</v>
      </c>
    </row>
    <row r="1952" spans="2:22">
      <c r="B1952" s="318">
        <f t="shared" si="123"/>
        <v>46194</v>
      </c>
      <c r="C1952" s="312">
        <v>4</v>
      </c>
      <c r="D1952" s="368">
        <f>IFERROR((INDEX(METADATA!$T$2:$T$20,MATCH(B1952,METADATA!$S$2:$S$20,0))),0)</f>
        <v>0</v>
      </c>
      <c r="E1952" s="312" t="str">
        <f t="shared" si="120"/>
        <v>LO</v>
      </c>
      <c r="F1952" s="369">
        <f>VLOOKUP(C1952,METADATA!$A$5:$H$29,IF(E1952="HI",2,IF(E1952="LO",6,10))+IF(D1952=1,2,IF(D1952=7,1,(IF(WEEKDAY(B1952)=1,2,IF(WEEKDAY(B1952)=7,1,0))))))</f>
        <v>3</v>
      </c>
      <c r="G1952" s="369">
        <f>VLOOKUP(C1952,METADATA!$J$5:$Q$29,IF(E1952="HI",2,IF(E1952="LO",6,10))+IF(D1952=1,2,IF(D1952=7,1,(IF(WEEKDAY(B1952)=1,2,IF(WEEKDAY(B1952)=7,1,0))))))</f>
        <v>3</v>
      </c>
      <c r="H1952" s="370">
        <v>12722.724975585938</v>
      </c>
      <c r="I1952" s="370">
        <v>2146.8239793181419</v>
      </c>
      <c r="M1952" s="371">
        <f t="shared" si="121"/>
        <v>12902.580517190099</v>
      </c>
      <c r="N1952" s="329">
        <f t="shared" si="122"/>
        <v>0</v>
      </c>
      <c r="T1952" s="331">
        <v>0</v>
      </c>
      <c r="U1952" s="328">
        <f>VLOOKUP(C1952,METADATA!$J$5:$Q$29,IF(E1952="HI",2,IF(E1952="LO",6,10))+IF(T1952=1,2,IF(D1952=7,1,(IF(WEEKDAY(B1952)=1,2,IF(WEEKDAY(B1952)=7,1,0))))))</f>
        <v>3</v>
      </c>
      <c r="V1952" s="328">
        <f>VLOOKUP(C1952,METADATA!$A$5:$H$29,IF(E1952="HI",2,IF(E1952="LO",6,10))+IF(T1952=1,2,IF(D1952=7,1,(IF(WEEKDAY(B1952)=1,2,IF(WEEKDAY(B1952)=7,1,0))))))</f>
        <v>3</v>
      </c>
    </row>
    <row r="1953" spans="2:22">
      <c r="B1953" s="318">
        <f t="shared" si="123"/>
        <v>46194</v>
      </c>
      <c r="C1953" s="312">
        <v>5</v>
      </c>
      <c r="D1953" s="368">
        <f>IFERROR((INDEX(METADATA!$T$2:$T$20,MATCH(B1953,METADATA!$S$2:$S$20,0))),0)</f>
        <v>0</v>
      </c>
      <c r="E1953" s="312" t="str">
        <f t="shared" si="120"/>
        <v>LO</v>
      </c>
      <c r="F1953" s="369">
        <f>VLOOKUP(C1953,METADATA!$A$5:$H$29,IF(E1953="HI",2,IF(E1953="LO",6,10))+IF(D1953=1,2,IF(D1953=7,1,(IF(WEEKDAY(B1953)=1,2,IF(WEEKDAY(B1953)=7,1,0))))))</f>
        <v>3</v>
      </c>
      <c r="G1953" s="369">
        <f>VLOOKUP(C1953,METADATA!$J$5:$Q$29,IF(E1953="HI",2,IF(E1953="LO",6,10))+IF(D1953=1,2,IF(D1953=7,1,(IF(WEEKDAY(B1953)=1,2,IF(WEEKDAY(B1953)=7,1,0))))))</f>
        <v>3</v>
      </c>
      <c r="H1953" s="370">
        <v>9241.1527099609375</v>
      </c>
      <c r="I1953" s="370">
        <v>791.56000110507011</v>
      </c>
      <c r="M1953" s="371">
        <f t="shared" si="121"/>
        <v>9274.9916789271483</v>
      </c>
      <c r="N1953" s="329">
        <f t="shared" si="122"/>
        <v>0</v>
      </c>
      <c r="T1953" s="331">
        <v>0</v>
      </c>
      <c r="U1953" s="328">
        <f>VLOOKUP(C1953,METADATA!$J$5:$Q$29,IF(E1953="HI",2,IF(E1953="LO",6,10))+IF(T1953=1,2,IF(D1953=7,1,(IF(WEEKDAY(B1953)=1,2,IF(WEEKDAY(B1953)=7,1,0))))))</f>
        <v>3</v>
      </c>
      <c r="V1953" s="328">
        <f>VLOOKUP(C1953,METADATA!$A$5:$H$29,IF(E1953="HI",2,IF(E1953="LO",6,10))+IF(T1953=1,2,IF(D1953=7,1,(IF(WEEKDAY(B1953)=1,2,IF(WEEKDAY(B1953)=7,1,0))))))</f>
        <v>3</v>
      </c>
    </row>
    <row r="1954" spans="2:22">
      <c r="B1954" s="318">
        <f t="shared" si="123"/>
        <v>46194</v>
      </c>
      <c r="C1954" s="312">
        <v>6</v>
      </c>
      <c r="D1954" s="368">
        <f>IFERROR((INDEX(METADATA!$T$2:$T$20,MATCH(B1954,METADATA!$S$2:$S$20,0))),0)</f>
        <v>0</v>
      </c>
      <c r="E1954" s="312" t="str">
        <f t="shared" si="120"/>
        <v>LO</v>
      </c>
      <c r="F1954" s="369">
        <f>VLOOKUP(C1954,METADATA!$A$5:$H$29,IF(E1954="HI",2,IF(E1954="LO",6,10))+IF(D1954=1,2,IF(D1954=7,1,(IF(WEEKDAY(B1954)=1,2,IF(WEEKDAY(B1954)=7,1,0))))))</f>
        <v>3</v>
      </c>
      <c r="G1954" s="369">
        <f>VLOOKUP(C1954,METADATA!$J$5:$Q$29,IF(E1954="HI",2,IF(E1954="LO",6,10))+IF(D1954=1,2,IF(D1954=7,1,(IF(WEEKDAY(B1954)=1,2,IF(WEEKDAY(B1954)=7,1,0))))))</f>
        <v>3</v>
      </c>
      <c r="H1954" s="370">
        <v>7575.7249755859375</v>
      </c>
      <c r="I1954" s="370">
        <v>4.1999997794628143</v>
      </c>
      <c r="M1954" s="371">
        <f t="shared" si="121"/>
        <v>7575.7261398307355</v>
      </c>
      <c r="N1954" s="329">
        <f t="shared" si="122"/>
        <v>0</v>
      </c>
      <c r="T1954" s="331">
        <v>0</v>
      </c>
      <c r="U1954" s="328">
        <f>VLOOKUP(C1954,METADATA!$J$5:$Q$29,IF(E1954="HI",2,IF(E1954="LO",6,10))+IF(T1954=1,2,IF(D1954=7,1,(IF(WEEKDAY(B1954)=1,2,IF(WEEKDAY(B1954)=7,1,0))))))</f>
        <v>3</v>
      </c>
      <c r="V1954" s="328">
        <f>VLOOKUP(C1954,METADATA!$A$5:$H$29,IF(E1954="HI",2,IF(E1954="LO",6,10))+IF(T1954=1,2,IF(D1954=7,1,(IF(WEEKDAY(B1954)=1,2,IF(WEEKDAY(B1954)=7,1,0))))))</f>
        <v>3</v>
      </c>
    </row>
    <row r="1955" spans="2:22">
      <c r="B1955" s="318">
        <f t="shared" si="123"/>
        <v>46194</v>
      </c>
      <c r="C1955" s="312">
        <v>7</v>
      </c>
      <c r="D1955" s="368">
        <f>IFERROR((INDEX(METADATA!$T$2:$T$20,MATCH(B1955,METADATA!$S$2:$S$20,0))),0)</f>
        <v>0</v>
      </c>
      <c r="E1955" s="312" t="str">
        <f t="shared" si="120"/>
        <v>LO</v>
      </c>
      <c r="F1955" s="369">
        <f>VLOOKUP(C1955,METADATA!$A$5:$H$29,IF(E1955="HI",2,IF(E1955="LO",6,10))+IF(D1955=1,2,IF(D1955=7,1,(IF(WEEKDAY(B1955)=1,2,IF(WEEKDAY(B1955)=7,1,0))))))</f>
        <v>3</v>
      </c>
      <c r="G1955" s="369">
        <f>VLOOKUP(C1955,METADATA!$J$5:$Q$29,IF(E1955="HI",2,IF(E1955="LO",6,10))+IF(D1955=1,2,IF(D1955=7,1,(IF(WEEKDAY(B1955)=1,2,IF(WEEKDAY(B1955)=7,1,0))))))</f>
        <v>3</v>
      </c>
      <c r="H1955" s="370">
        <v>6745.3550720214844</v>
      </c>
      <c r="I1955" s="370">
        <v>0.11999999731779099</v>
      </c>
      <c r="M1955" s="371">
        <f t="shared" si="121"/>
        <v>6745.3550730888855</v>
      </c>
      <c r="N1955" s="329">
        <f t="shared" si="122"/>
        <v>0</v>
      </c>
      <c r="T1955" s="331">
        <v>0</v>
      </c>
      <c r="U1955" s="328">
        <f>VLOOKUP(C1955,METADATA!$J$5:$Q$29,IF(E1955="HI",2,IF(E1955="LO",6,10))+IF(T1955=1,2,IF(D1955=7,1,(IF(WEEKDAY(B1955)=1,2,IF(WEEKDAY(B1955)=7,1,0))))))</f>
        <v>3</v>
      </c>
      <c r="V1955" s="328">
        <f>VLOOKUP(C1955,METADATA!$A$5:$H$29,IF(E1955="HI",2,IF(E1955="LO",6,10))+IF(T1955=1,2,IF(D1955=7,1,(IF(WEEKDAY(B1955)=1,2,IF(WEEKDAY(B1955)=7,1,0))))))</f>
        <v>3</v>
      </c>
    </row>
    <row r="1956" spans="2:22">
      <c r="B1956" s="318">
        <f t="shared" si="123"/>
        <v>46194</v>
      </c>
      <c r="C1956" s="312">
        <v>8</v>
      </c>
      <c r="D1956" s="368">
        <f>IFERROR((INDEX(METADATA!$T$2:$T$20,MATCH(B1956,METADATA!$S$2:$S$20,0))),0)</f>
        <v>0</v>
      </c>
      <c r="E1956" s="312" t="str">
        <f t="shared" si="120"/>
        <v>LO</v>
      </c>
      <c r="F1956" s="369">
        <f>VLOOKUP(C1956,METADATA!$A$5:$H$29,IF(E1956="HI",2,IF(E1956="LO",6,10))+IF(D1956=1,2,IF(D1956=7,1,(IF(WEEKDAY(B1956)=1,2,IF(WEEKDAY(B1956)=7,1,0))))))</f>
        <v>3</v>
      </c>
      <c r="G1956" s="369">
        <f>VLOOKUP(C1956,METADATA!$J$5:$Q$29,IF(E1956="HI",2,IF(E1956="LO",6,10))+IF(D1956=1,2,IF(D1956=7,1,(IF(WEEKDAY(B1956)=1,2,IF(WEEKDAY(B1956)=7,1,0))))))</f>
        <v>3</v>
      </c>
      <c r="H1956" s="370">
        <v>5577.3600158691406</v>
      </c>
      <c r="I1956" s="370">
        <v>0</v>
      </c>
      <c r="M1956" s="371">
        <f t="shared" si="121"/>
        <v>5577.3600158691406</v>
      </c>
      <c r="N1956" s="329">
        <f t="shared" si="122"/>
        <v>0</v>
      </c>
      <c r="T1956" s="331">
        <v>0</v>
      </c>
      <c r="U1956" s="328">
        <f>VLOOKUP(C1956,METADATA!$J$5:$Q$29,IF(E1956="HI",2,IF(E1956="LO",6,10))+IF(T1956=1,2,IF(D1956=7,1,(IF(WEEKDAY(B1956)=1,2,IF(WEEKDAY(B1956)=7,1,0))))))</f>
        <v>3</v>
      </c>
      <c r="V1956" s="328">
        <f>VLOOKUP(C1956,METADATA!$A$5:$H$29,IF(E1956="HI",2,IF(E1956="LO",6,10))+IF(T1956=1,2,IF(D1956=7,1,(IF(WEEKDAY(B1956)=1,2,IF(WEEKDAY(B1956)=7,1,0))))))</f>
        <v>3</v>
      </c>
    </row>
    <row r="1957" spans="2:22">
      <c r="B1957" s="318">
        <f t="shared" si="123"/>
        <v>46194</v>
      </c>
      <c r="C1957" s="312">
        <v>9</v>
      </c>
      <c r="D1957" s="368">
        <f>IFERROR((INDEX(METADATA!$T$2:$T$20,MATCH(B1957,METADATA!$S$2:$S$20,0))),0)</f>
        <v>0</v>
      </c>
      <c r="E1957" s="312" t="str">
        <f t="shared" si="120"/>
        <v>LO</v>
      </c>
      <c r="F1957" s="369">
        <f>VLOOKUP(C1957,METADATA!$A$5:$H$29,IF(E1957="HI",2,IF(E1957="LO",6,10))+IF(D1957=1,2,IF(D1957=7,1,(IF(WEEKDAY(B1957)=1,2,IF(WEEKDAY(B1957)=7,1,0))))))</f>
        <v>3</v>
      </c>
      <c r="G1957" s="369">
        <f>VLOOKUP(C1957,METADATA!$J$5:$Q$29,IF(E1957="HI",2,IF(E1957="LO",6,10))+IF(D1957=1,2,IF(D1957=7,1,(IF(WEEKDAY(B1957)=1,2,IF(WEEKDAY(B1957)=7,1,0))))))</f>
        <v>3</v>
      </c>
      <c r="H1957" s="370">
        <v>5552.9050903320313</v>
      </c>
      <c r="I1957" s="370">
        <v>0</v>
      </c>
      <c r="M1957" s="371">
        <f t="shared" si="121"/>
        <v>5552.9050903320313</v>
      </c>
      <c r="N1957" s="329">
        <f t="shared" si="122"/>
        <v>0</v>
      </c>
      <c r="T1957" s="331">
        <v>0</v>
      </c>
      <c r="U1957" s="328">
        <f>VLOOKUP(C1957,METADATA!$J$5:$Q$29,IF(E1957="HI",2,IF(E1957="LO",6,10))+IF(T1957=1,2,IF(D1957=7,1,(IF(WEEKDAY(B1957)=1,2,IF(WEEKDAY(B1957)=7,1,0))))))</f>
        <v>3</v>
      </c>
      <c r="V1957" s="328">
        <f>VLOOKUP(C1957,METADATA!$A$5:$H$29,IF(E1957="HI",2,IF(E1957="LO",6,10))+IF(T1957=1,2,IF(D1957=7,1,(IF(WEEKDAY(B1957)=1,2,IF(WEEKDAY(B1957)=7,1,0))))))</f>
        <v>3</v>
      </c>
    </row>
    <row r="1958" spans="2:22">
      <c r="B1958" s="318">
        <f t="shared" si="123"/>
        <v>46194</v>
      </c>
      <c r="C1958" s="312">
        <v>10</v>
      </c>
      <c r="D1958" s="368">
        <f>IFERROR((INDEX(METADATA!$T$2:$T$20,MATCH(B1958,METADATA!$S$2:$S$20,0))),0)</f>
        <v>0</v>
      </c>
      <c r="E1958" s="312" t="str">
        <f t="shared" si="120"/>
        <v>LO</v>
      </c>
      <c r="F1958" s="369">
        <f>VLOOKUP(C1958,METADATA!$A$5:$H$29,IF(E1958="HI",2,IF(E1958="LO",6,10))+IF(D1958=1,2,IF(D1958=7,1,(IF(WEEKDAY(B1958)=1,2,IF(WEEKDAY(B1958)=7,1,0))))))</f>
        <v>3</v>
      </c>
      <c r="G1958" s="369">
        <f>VLOOKUP(C1958,METADATA!$J$5:$Q$29,IF(E1958="HI",2,IF(E1958="LO",6,10))+IF(D1958=1,2,IF(D1958=7,1,(IF(WEEKDAY(B1958)=1,2,IF(WEEKDAY(B1958)=7,1,0))))))</f>
        <v>3</v>
      </c>
      <c r="H1958" s="370">
        <v>5449.70751953125</v>
      </c>
      <c r="I1958" s="370">
        <v>0</v>
      </c>
      <c r="M1958" s="371">
        <f t="shared" si="121"/>
        <v>5449.70751953125</v>
      </c>
      <c r="N1958" s="329">
        <f t="shared" si="122"/>
        <v>0</v>
      </c>
      <c r="T1958" s="331">
        <v>0</v>
      </c>
      <c r="U1958" s="328">
        <f>VLOOKUP(C1958,METADATA!$J$5:$Q$29,IF(E1958="HI",2,IF(E1958="LO",6,10))+IF(T1958=1,2,IF(D1958=7,1,(IF(WEEKDAY(B1958)=1,2,IF(WEEKDAY(B1958)=7,1,0))))))</f>
        <v>3</v>
      </c>
      <c r="V1958" s="328">
        <f>VLOOKUP(C1958,METADATA!$A$5:$H$29,IF(E1958="HI",2,IF(E1958="LO",6,10))+IF(T1958=1,2,IF(D1958=7,1,(IF(WEEKDAY(B1958)=1,2,IF(WEEKDAY(B1958)=7,1,0))))))</f>
        <v>3</v>
      </c>
    </row>
    <row r="1959" spans="2:22">
      <c r="B1959" s="318">
        <f t="shared" si="123"/>
        <v>46194</v>
      </c>
      <c r="C1959" s="312">
        <v>11</v>
      </c>
      <c r="D1959" s="368">
        <f>IFERROR((INDEX(METADATA!$T$2:$T$20,MATCH(B1959,METADATA!$S$2:$S$20,0))),0)</f>
        <v>0</v>
      </c>
      <c r="E1959" s="312" t="str">
        <f t="shared" si="120"/>
        <v>LO</v>
      </c>
      <c r="F1959" s="369">
        <f>VLOOKUP(C1959,METADATA!$A$5:$H$29,IF(E1959="HI",2,IF(E1959="LO",6,10))+IF(D1959=1,2,IF(D1959=7,1,(IF(WEEKDAY(B1959)=1,2,IF(WEEKDAY(B1959)=7,1,0))))))</f>
        <v>3</v>
      </c>
      <c r="G1959" s="369">
        <f>VLOOKUP(C1959,METADATA!$J$5:$Q$29,IF(E1959="HI",2,IF(E1959="LO",6,10))+IF(D1959=1,2,IF(D1959=7,1,(IF(WEEKDAY(B1959)=1,2,IF(WEEKDAY(B1959)=7,1,0))))))</f>
        <v>3</v>
      </c>
      <c r="H1959" s="370">
        <v>6309.1650390625</v>
      </c>
      <c r="I1959" s="370">
        <v>56.159999847412109</v>
      </c>
      <c r="M1959" s="371">
        <f t="shared" si="121"/>
        <v>6309.4149836344868</v>
      </c>
      <c r="N1959" s="329">
        <f t="shared" si="122"/>
        <v>0</v>
      </c>
      <c r="T1959" s="331">
        <v>0</v>
      </c>
      <c r="U1959" s="328">
        <f>VLOOKUP(C1959,METADATA!$J$5:$Q$29,IF(E1959="HI",2,IF(E1959="LO",6,10))+IF(T1959=1,2,IF(D1959=7,1,(IF(WEEKDAY(B1959)=1,2,IF(WEEKDAY(B1959)=7,1,0))))))</f>
        <v>3</v>
      </c>
      <c r="V1959" s="328">
        <f>VLOOKUP(C1959,METADATA!$A$5:$H$29,IF(E1959="HI",2,IF(E1959="LO",6,10))+IF(T1959=1,2,IF(D1959=7,1,(IF(WEEKDAY(B1959)=1,2,IF(WEEKDAY(B1959)=7,1,0))))))</f>
        <v>3</v>
      </c>
    </row>
    <row r="1960" spans="2:22">
      <c r="B1960" s="318">
        <f t="shared" si="123"/>
        <v>46194</v>
      </c>
      <c r="C1960" s="312">
        <v>12</v>
      </c>
      <c r="D1960" s="368">
        <f>IFERROR((INDEX(METADATA!$T$2:$T$20,MATCH(B1960,METADATA!$S$2:$S$20,0))),0)</f>
        <v>0</v>
      </c>
      <c r="E1960" s="312" t="str">
        <f t="shared" si="120"/>
        <v>LO</v>
      </c>
      <c r="F1960" s="369">
        <f>VLOOKUP(C1960,METADATA!$A$5:$H$29,IF(E1960="HI",2,IF(E1960="LO",6,10))+IF(D1960=1,2,IF(D1960=7,1,(IF(WEEKDAY(B1960)=1,2,IF(WEEKDAY(B1960)=7,1,0))))))</f>
        <v>3</v>
      </c>
      <c r="G1960" s="369">
        <f>VLOOKUP(C1960,METADATA!$J$5:$Q$29,IF(E1960="HI",2,IF(E1960="LO",6,10))+IF(D1960=1,2,IF(D1960=7,1,(IF(WEEKDAY(B1960)=1,2,IF(WEEKDAY(B1960)=7,1,0))))))</f>
        <v>3</v>
      </c>
      <c r="H1960" s="370">
        <v>10660.97998046875</v>
      </c>
      <c r="I1960" s="370">
        <v>881.64004516601563</v>
      </c>
      <c r="M1960" s="371">
        <f t="shared" si="121"/>
        <v>10697.372729469409</v>
      </c>
      <c r="N1960" s="329">
        <f t="shared" si="122"/>
        <v>0</v>
      </c>
      <c r="T1960" s="331">
        <v>0</v>
      </c>
      <c r="U1960" s="328">
        <f>VLOOKUP(C1960,METADATA!$J$5:$Q$29,IF(E1960="HI",2,IF(E1960="LO",6,10))+IF(T1960=1,2,IF(D1960=7,1,(IF(WEEKDAY(B1960)=1,2,IF(WEEKDAY(B1960)=7,1,0))))))</f>
        <v>3</v>
      </c>
      <c r="V1960" s="328">
        <f>VLOOKUP(C1960,METADATA!$A$5:$H$29,IF(E1960="HI",2,IF(E1960="LO",6,10))+IF(T1960=1,2,IF(D1960=7,1,(IF(WEEKDAY(B1960)=1,2,IF(WEEKDAY(B1960)=7,1,0))))))</f>
        <v>3</v>
      </c>
    </row>
    <row r="1961" spans="2:22">
      <c r="B1961" s="318">
        <f t="shared" si="123"/>
        <v>46194</v>
      </c>
      <c r="C1961" s="312">
        <v>13</v>
      </c>
      <c r="D1961" s="368">
        <f>IFERROR((INDEX(METADATA!$T$2:$T$20,MATCH(B1961,METADATA!$S$2:$S$20,0))),0)</f>
        <v>0</v>
      </c>
      <c r="E1961" s="312" t="str">
        <f t="shared" si="120"/>
        <v>LO</v>
      </c>
      <c r="F1961" s="369">
        <f>VLOOKUP(C1961,METADATA!$A$5:$H$29,IF(E1961="HI",2,IF(E1961="LO",6,10))+IF(D1961=1,2,IF(D1961=7,1,(IF(WEEKDAY(B1961)=1,2,IF(WEEKDAY(B1961)=7,1,0))))))</f>
        <v>3</v>
      </c>
      <c r="G1961" s="369">
        <f>VLOOKUP(C1961,METADATA!$J$5:$Q$29,IF(E1961="HI",2,IF(E1961="LO",6,10))+IF(D1961=1,2,IF(D1961=7,1,(IF(WEEKDAY(B1961)=1,2,IF(WEEKDAY(B1961)=7,1,0))))))</f>
        <v>3</v>
      </c>
      <c r="H1961" s="370">
        <v>12677.449981689453</v>
      </c>
      <c r="I1961" s="370">
        <v>3233.6574935913086</v>
      </c>
      <c r="M1961" s="371">
        <f t="shared" si="121"/>
        <v>13083.358851002184</v>
      </c>
      <c r="N1961" s="329">
        <f t="shared" si="122"/>
        <v>0</v>
      </c>
      <c r="T1961" s="331">
        <v>0</v>
      </c>
      <c r="U1961" s="328">
        <f>VLOOKUP(C1961,METADATA!$J$5:$Q$29,IF(E1961="HI",2,IF(E1961="LO",6,10))+IF(T1961=1,2,IF(D1961=7,1,(IF(WEEKDAY(B1961)=1,2,IF(WEEKDAY(B1961)=7,1,0))))))</f>
        <v>3</v>
      </c>
      <c r="V1961" s="328">
        <f>VLOOKUP(C1961,METADATA!$A$5:$H$29,IF(E1961="HI",2,IF(E1961="LO",6,10))+IF(T1961=1,2,IF(D1961=7,1,(IF(WEEKDAY(B1961)=1,2,IF(WEEKDAY(B1961)=7,1,0))))))</f>
        <v>3</v>
      </c>
    </row>
    <row r="1962" spans="2:22">
      <c r="B1962" s="318">
        <f t="shared" si="123"/>
        <v>46194</v>
      </c>
      <c r="C1962" s="312">
        <v>14</v>
      </c>
      <c r="D1962" s="368">
        <f>IFERROR((INDEX(METADATA!$T$2:$T$20,MATCH(B1962,METADATA!$S$2:$S$20,0))),0)</f>
        <v>0</v>
      </c>
      <c r="E1962" s="312" t="str">
        <f t="shared" si="120"/>
        <v>LO</v>
      </c>
      <c r="F1962" s="369">
        <f>VLOOKUP(C1962,METADATA!$A$5:$H$29,IF(E1962="HI",2,IF(E1962="LO",6,10))+IF(D1962=1,2,IF(D1962=7,1,(IF(WEEKDAY(B1962)=1,2,IF(WEEKDAY(B1962)=7,1,0))))))</f>
        <v>3</v>
      </c>
      <c r="G1962" s="369">
        <f>VLOOKUP(C1962,METADATA!$J$5:$Q$29,IF(E1962="HI",2,IF(E1962="LO",6,10))+IF(D1962=1,2,IF(D1962=7,1,(IF(WEEKDAY(B1962)=1,2,IF(WEEKDAY(B1962)=7,1,0))))))</f>
        <v>3</v>
      </c>
      <c r="H1962" s="370">
        <v>13947.349792480469</v>
      </c>
      <c r="I1962" s="370">
        <v>4241.6349487304688</v>
      </c>
      <c r="M1962" s="371">
        <f t="shared" si="121"/>
        <v>14578.066856483294</v>
      </c>
      <c r="N1962" s="329">
        <f t="shared" si="122"/>
        <v>57.430010986327943</v>
      </c>
      <c r="T1962" s="331">
        <v>0</v>
      </c>
      <c r="U1962" s="328">
        <f>VLOOKUP(C1962,METADATA!$J$5:$Q$29,IF(E1962="HI",2,IF(E1962="LO",6,10))+IF(T1962=1,2,IF(D1962=7,1,(IF(WEEKDAY(B1962)=1,2,IF(WEEKDAY(B1962)=7,1,0))))))</f>
        <v>3</v>
      </c>
      <c r="V1962" s="328">
        <f>VLOOKUP(C1962,METADATA!$A$5:$H$29,IF(E1962="HI",2,IF(E1962="LO",6,10))+IF(T1962=1,2,IF(D1962=7,1,(IF(WEEKDAY(B1962)=1,2,IF(WEEKDAY(B1962)=7,1,0))))))</f>
        <v>3</v>
      </c>
    </row>
    <row r="1963" spans="2:22">
      <c r="B1963" s="318">
        <f t="shared" si="123"/>
        <v>46194</v>
      </c>
      <c r="C1963" s="312">
        <v>15</v>
      </c>
      <c r="D1963" s="368">
        <f>IFERROR((INDEX(METADATA!$T$2:$T$20,MATCH(B1963,METADATA!$S$2:$S$20,0))),0)</f>
        <v>0</v>
      </c>
      <c r="E1963" s="312" t="str">
        <f t="shared" si="120"/>
        <v>LO</v>
      </c>
      <c r="F1963" s="369">
        <f>VLOOKUP(C1963,METADATA!$A$5:$H$29,IF(E1963="HI",2,IF(E1963="LO",6,10))+IF(D1963=1,2,IF(D1963=7,1,(IF(WEEKDAY(B1963)=1,2,IF(WEEKDAY(B1963)=7,1,0))))))</f>
        <v>3</v>
      </c>
      <c r="G1963" s="369">
        <f>VLOOKUP(C1963,METADATA!$J$5:$Q$29,IF(E1963="HI",2,IF(E1963="LO",6,10))+IF(D1963=1,2,IF(D1963=7,1,(IF(WEEKDAY(B1963)=1,2,IF(WEEKDAY(B1963)=7,1,0))))))</f>
        <v>3</v>
      </c>
      <c r="H1963" s="370">
        <v>14011.14990234375</v>
      </c>
      <c r="I1963" s="370">
        <v>4435.1500854492188</v>
      </c>
      <c r="M1963" s="371">
        <f t="shared" si="121"/>
        <v>14696.355938340888</v>
      </c>
      <c r="N1963" s="329">
        <f t="shared" si="122"/>
        <v>231.80511474609375</v>
      </c>
      <c r="T1963" s="331">
        <v>0</v>
      </c>
      <c r="U1963" s="328">
        <f>VLOOKUP(C1963,METADATA!$J$5:$Q$29,IF(E1963="HI",2,IF(E1963="LO",6,10))+IF(T1963=1,2,IF(D1963=7,1,(IF(WEEKDAY(B1963)=1,2,IF(WEEKDAY(B1963)=7,1,0))))))</f>
        <v>3</v>
      </c>
      <c r="V1963" s="328">
        <f>VLOOKUP(C1963,METADATA!$A$5:$H$29,IF(E1963="HI",2,IF(E1963="LO",6,10))+IF(T1963=1,2,IF(D1963=7,1,(IF(WEEKDAY(B1963)=1,2,IF(WEEKDAY(B1963)=7,1,0))))))</f>
        <v>3</v>
      </c>
    </row>
    <row r="1964" spans="2:22">
      <c r="B1964" s="318">
        <f t="shared" si="123"/>
        <v>46194</v>
      </c>
      <c r="C1964" s="312">
        <v>16</v>
      </c>
      <c r="D1964" s="368">
        <f>IFERROR((INDEX(METADATA!$T$2:$T$20,MATCH(B1964,METADATA!$S$2:$S$20,0))),0)</f>
        <v>0</v>
      </c>
      <c r="E1964" s="312" t="str">
        <f t="shared" si="120"/>
        <v>LO</v>
      </c>
      <c r="F1964" s="369">
        <f>VLOOKUP(C1964,METADATA!$A$5:$H$29,IF(E1964="HI",2,IF(E1964="LO",6,10))+IF(D1964=1,2,IF(D1964=7,1,(IF(WEEKDAY(B1964)=1,2,IF(WEEKDAY(B1964)=7,1,0))))))</f>
        <v>3</v>
      </c>
      <c r="G1964" s="369">
        <f>VLOOKUP(C1964,METADATA!$J$5:$Q$29,IF(E1964="HI",2,IF(E1964="LO",6,10))+IF(D1964=1,2,IF(D1964=7,1,(IF(WEEKDAY(B1964)=1,2,IF(WEEKDAY(B1964)=7,1,0))))))</f>
        <v>3</v>
      </c>
      <c r="H1964" s="370">
        <v>13828.47509765625</v>
      </c>
      <c r="I1964" s="370">
        <v>4256.8250427246094</v>
      </c>
      <c r="M1964" s="371">
        <f t="shared" si="121"/>
        <v>14468.838342136054</v>
      </c>
      <c r="N1964" s="329">
        <f t="shared" si="122"/>
        <v>108.28251342773456</v>
      </c>
      <c r="T1964" s="331">
        <v>0</v>
      </c>
      <c r="U1964" s="328">
        <f>VLOOKUP(C1964,METADATA!$J$5:$Q$29,IF(E1964="HI",2,IF(E1964="LO",6,10))+IF(T1964=1,2,IF(D1964=7,1,(IF(WEEKDAY(B1964)=1,2,IF(WEEKDAY(B1964)=7,1,0))))))</f>
        <v>3</v>
      </c>
      <c r="V1964" s="328">
        <f>VLOOKUP(C1964,METADATA!$A$5:$H$29,IF(E1964="HI",2,IF(E1964="LO",6,10))+IF(T1964=1,2,IF(D1964=7,1,(IF(WEEKDAY(B1964)=1,2,IF(WEEKDAY(B1964)=7,1,0))))))</f>
        <v>3</v>
      </c>
    </row>
    <row r="1965" spans="2:22">
      <c r="B1965" s="318">
        <f t="shared" si="123"/>
        <v>46194</v>
      </c>
      <c r="C1965" s="312">
        <v>17</v>
      </c>
      <c r="D1965" s="368">
        <f>IFERROR((INDEX(METADATA!$T$2:$T$20,MATCH(B1965,METADATA!$S$2:$S$20,0))),0)</f>
        <v>0</v>
      </c>
      <c r="E1965" s="312" t="str">
        <f t="shared" si="120"/>
        <v>LO</v>
      </c>
      <c r="F1965" s="369">
        <f>VLOOKUP(C1965,METADATA!$A$5:$H$29,IF(E1965="HI",2,IF(E1965="LO",6,10))+IF(D1965=1,2,IF(D1965=7,1,(IF(WEEKDAY(B1965)=1,2,IF(WEEKDAY(B1965)=7,1,0))))))</f>
        <v>3</v>
      </c>
      <c r="G1965" s="369">
        <f>VLOOKUP(C1965,METADATA!$J$5:$Q$29,IF(E1965="HI",2,IF(E1965="LO",6,10))+IF(D1965=1,2,IF(D1965=7,1,(IF(WEEKDAY(B1965)=1,2,IF(WEEKDAY(B1965)=7,1,0))))))</f>
        <v>3</v>
      </c>
      <c r="H1965" s="370">
        <v>13777.82470703125</v>
      </c>
      <c r="I1965" s="370">
        <v>4248.1151123046875</v>
      </c>
      <c r="M1965" s="371">
        <f t="shared" si="121"/>
        <v>14417.868624213226</v>
      </c>
      <c r="N1965" s="329">
        <f t="shared" si="122"/>
        <v>114.7677001953125</v>
      </c>
      <c r="T1965" s="331">
        <v>0</v>
      </c>
      <c r="U1965" s="328">
        <f>VLOOKUP(C1965,METADATA!$J$5:$Q$29,IF(E1965="HI",2,IF(E1965="LO",6,10))+IF(T1965=1,2,IF(D1965=7,1,(IF(WEEKDAY(B1965)=1,2,IF(WEEKDAY(B1965)=7,1,0))))))</f>
        <v>3</v>
      </c>
      <c r="V1965" s="328">
        <f>VLOOKUP(C1965,METADATA!$A$5:$H$29,IF(E1965="HI",2,IF(E1965="LO",6,10))+IF(T1965=1,2,IF(D1965=7,1,(IF(WEEKDAY(B1965)=1,2,IF(WEEKDAY(B1965)=7,1,0))))))</f>
        <v>3</v>
      </c>
    </row>
    <row r="1966" spans="2:22">
      <c r="B1966" s="318">
        <f t="shared" si="123"/>
        <v>46194</v>
      </c>
      <c r="C1966" s="312">
        <v>18</v>
      </c>
      <c r="D1966" s="368">
        <f>IFERROR((INDEX(METADATA!$T$2:$T$20,MATCH(B1966,METADATA!$S$2:$S$20,0))),0)</f>
        <v>0</v>
      </c>
      <c r="E1966" s="312" t="str">
        <f t="shared" si="120"/>
        <v>LO</v>
      </c>
      <c r="F1966" s="369">
        <f>VLOOKUP(C1966,METADATA!$A$5:$H$29,IF(E1966="HI",2,IF(E1966="LO",6,10))+IF(D1966=1,2,IF(D1966=7,1,(IF(WEEKDAY(B1966)=1,2,IF(WEEKDAY(B1966)=7,1,0))))))</f>
        <v>2</v>
      </c>
      <c r="G1966" s="369">
        <f>VLOOKUP(C1966,METADATA!$J$5:$Q$29,IF(E1966="HI",2,IF(E1966="LO",6,10))+IF(D1966=1,2,IF(D1966=7,1,(IF(WEEKDAY(B1966)=1,2,IF(WEEKDAY(B1966)=7,1,0))))))</f>
        <v>2</v>
      </c>
      <c r="H1966" s="370">
        <v>13828.425048828125</v>
      </c>
      <c r="I1966" s="370">
        <v>4187.1649780273438</v>
      </c>
      <c r="M1966" s="371">
        <f t="shared" si="121"/>
        <v>14448.449393768033</v>
      </c>
      <c r="N1966" s="329">
        <f t="shared" si="122"/>
        <v>38.637463378906432</v>
      </c>
      <c r="T1966" s="331">
        <v>0</v>
      </c>
      <c r="U1966" s="328">
        <f>VLOOKUP(C1966,METADATA!$J$5:$Q$29,IF(E1966="HI",2,IF(E1966="LO",6,10))+IF(T1966=1,2,IF(D1966=7,1,(IF(WEEKDAY(B1966)=1,2,IF(WEEKDAY(B1966)=7,1,0))))))</f>
        <v>2</v>
      </c>
      <c r="V1966" s="328">
        <f>VLOOKUP(C1966,METADATA!$A$5:$H$29,IF(E1966="HI",2,IF(E1966="LO",6,10))+IF(T1966=1,2,IF(D1966=7,1,(IF(WEEKDAY(B1966)=1,2,IF(WEEKDAY(B1966)=7,1,0))))))</f>
        <v>2</v>
      </c>
    </row>
    <row r="1967" spans="2:22">
      <c r="B1967" s="318">
        <f t="shared" si="123"/>
        <v>46194</v>
      </c>
      <c r="C1967" s="312">
        <v>19</v>
      </c>
      <c r="D1967" s="368">
        <f>IFERROR((INDEX(METADATA!$T$2:$T$20,MATCH(B1967,METADATA!$S$2:$S$20,0))),0)</f>
        <v>0</v>
      </c>
      <c r="E1967" s="312" t="str">
        <f t="shared" si="120"/>
        <v>LO</v>
      </c>
      <c r="F1967" s="369">
        <f>VLOOKUP(C1967,METADATA!$A$5:$H$29,IF(E1967="HI",2,IF(E1967="LO",6,10))+IF(D1967=1,2,IF(D1967=7,1,(IF(WEEKDAY(B1967)=1,2,IF(WEEKDAY(B1967)=7,1,0))))))</f>
        <v>2</v>
      </c>
      <c r="G1967" s="369">
        <f>VLOOKUP(C1967,METADATA!$J$5:$Q$29,IF(E1967="HI",2,IF(E1967="LO",6,10))+IF(D1967=1,2,IF(D1967=7,1,(IF(WEEKDAY(B1967)=1,2,IF(WEEKDAY(B1967)=7,1,0))))))</f>
        <v>2</v>
      </c>
      <c r="H1967" s="370">
        <v>13813.450073242188</v>
      </c>
      <c r="I1967" s="370">
        <v>4184.2200317382813</v>
      </c>
      <c r="M1967" s="371">
        <f t="shared" si="121"/>
        <v>14433.263671115916</v>
      </c>
      <c r="N1967" s="329">
        <f t="shared" si="122"/>
        <v>40.185009765625182</v>
      </c>
      <c r="T1967" s="331">
        <v>0</v>
      </c>
      <c r="U1967" s="328">
        <f>VLOOKUP(C1967,METADATA!$J$5:$Q$29,IF(E1967="HI",2,IF(E1967="LO",6,10))+IF(T1967=1,2,IF(D1967=7,1,(IF(WEEKDAY(B1967)=1,2,IF(WEEKDAY(B1967)=7,1,0))))))</f>
        <v>2</v>
      </c>
      <c r="V1967" s="328">
        <f>VLOOKUP(C1967,METADATA!$A$5:$H$29,IF(E1967="HI",2,IF(E1967="LO",6,10))+IF(T1967=1,2,IF(D1967=7,1,(IF(WEEKDAY(B1967)=1,2,IF(WEEKDAY(B1967)=7,1,0))))))</f>
        <v>2</v>
      </c>
    </row>
    <row r="1968" spans="2:22">
      <c r="B1968" s="318">
        <f t="shared" si="123"/>
        <v>46194</v>
      </c>
      <c r="C1968" s="312">
        <v>20</v>
      </c>
      <c r="D1968" s="368">
        <f>IFERROR((INDEX(METADATA!$T$2:$T$20,MATCH(B1968,METADATA!$S$2:$S$20,0))),0)</f>
        <v>0</v>
      </c>
      <c r="E1968" s="312" t="str">
        <f t="shared" si="120"/>
        <v>LO</v>
      </c>
      <c r="F1968" s="369">
        <f>VLOOKUP(C1968,METADATA!$A$5:$H$29,IF(E1968="HI",2,IF(E1968="LO",6,10))+IF(D1968=1,2,IF(D1968=7,1,(IF(WEEKDAY(B1968)=1,2,IF(WEEKDAY(B1968)=7,1,0))))))</f>
        <v>3</v>
      </c>
      <c r="G1968" s="369">
        <f>VLOOKUP(C1968,METADATA!$J$5:$Q$29,IF(E1968="HI",2,IF(E1968="LO",6,10))+IF(D1968=1,2,IF(D1968=7,1,(IF(WEEKDAY(B1968)=1,2,IF(WEEKDAY(B1968)=7,1,0))))))</f>
        <v>3</v>
      </c>
      <c r="H1968" s="370">
        <v>13809.175476074219</v>
      </c>
      <c r="I1968" s="370">
        <v>4276.6799621582031</v>
      </c>
      <c r="M1968" s="371">
        <f t="shared" si="121"/>
        <v>14456.255352882195</v>
      </c>
      <c r="N1968" s="329">
        <f t="shared" si="122"/>
        <v>133.92731933593768</v>
      </c>
      <c r="T1968" s="331">
        <v>0</v>
      </c>
      <c r="U1968" s="328">
        <f>VLOOKUP(C1968,METADATA!$J$5:$Q$29,IF(E1968="HI",2,IF(E1968="LO",6,10))+IF(T1968=1,2,IF(D1968=7,1,(IF(WEEKDAY(B1968)=1,2,IF(WEEKDAY(B1968)=7,1,0))))))</f>
        <v>3</v>
      </c>
      <c r="V1968" s="328">
        <f>VLOOKUP(C1968,METADATA!$A$5:$H$29,IF(E1968="HI",2,IF(E1968="LO",6,10))+IF(T1968=1,2,IF(D1968=7,1,(IF(WEEKDAY(B1968)=1,2,IF(WEEKDAY(B1968)=7,1,0))))))</f>
        <v>3</v>
      </c>
    </row>
    <row r="1969" spans="2:22">
      <c r="B1969" s="318">
        <f t="shared" si="123"/>
        <v>46194</v>
      </c>
      <c r="C1969" s="312">
        <v>21</v>
      </c>
      <c r="D1969" s="368">
        <f>IFERROR((INDEX(METADATA!$T$2:$T$20,MATCH(B1969,METADATA!$S$2:$S$20,0))),0)</f>
        <v>0</v>
      </c>
      <c r="E1969" s="312" t="str">
        <f t="shared" si="120"/>
        <v>LO</v>
      </c>
      <c r="F1969" s="369">
        <f>VLOOKUP(C1969,METADATA!$A$5:$H$29,IF(E1969="HI",2,IF(E1969="LO",6,10))+IF(D1969=1,2,IF(D1969=7,1,(IF(WEEKDAY(B1969)=1,2,IF(WEEKDAY(B1969)=7,1,0))))))</f>
        <v>3</v>
      </c>
      <c r="G1969" s="369">
        <f>VLOOKUP(C1969,METADATA!$J$5:$Q$29,IF(E1969="HI",2,IF(E1969="LO",6,10))+IF(D1969=1,2,IF(D1969=7,1,(IF(WEEKDAY(B1969)=1,2,IF(WEEKDAY(B1969)=7,1,0))))))</f>
        <v>3</v>
      </c>
      <c r="H1969" s="370">
        <v>12047.567565917969</v>
      </c>
      <c r="I1969" s="370">
        <v>3333.1624450683594</v>
      </c>
      <c r="M1969" s="371">
        <f t="shared" si="121"/>
        <v>12500.154244671252</v>
      </c>
      <c r="N1969" s="329">
        <f t="shared" si="122"/>
        <v>0</v>
      </c>
      <c r="T1969" s="331">
        <v>0</v>
      </c>
      <c r="U1969" s="328">
        <f>VLOOKUP(C1969,METADATA!$J$5:$Q$29,IF(E1969="HI",2,IF(E1969="LO",6,10))+IF(T1969=1,2,IF(D1969=7,1,(IF(WEEKDAY(B1969)=1,2,IF(WEEKDAY(B1969)=7,1,0))))))</f>
        <v>3</v>
      </c>
      <c r="V1969" s="328">
        <f>VLOOKUP(C1969,METADATA!$A$5:$H$29,IF(E1969="HI",2,IF(E1969="LO",6,10))+IF(T1969=1,2,IF(D1969=7,1,(IF(WEEKDAY(B1969)=1,2,IF(WEEKDAY(B1969)=7,1,0))))))</f>
        <v>3</v>
      </c>
    </row>
    <row r="1970" spans="2:22">
      <c r="B1970" s="318">
        <f t="shared" si="123"/>
        <v>46194</v>
      </c>
      <c r="C1970" s="312">
        <v>22</v>
      </c>
      <c r="D1970" s="368">
        <f>IFERROR((INDEX(METADATA!$T$2:$T$20,MATCH(B1970,METADATA!$S$2:$S$20,0))),0)</f>
        <v>0</v>
      </c>
      <c r="E1970" s="312" t="str">
        <f t="shared" si="120"/>
        <v>LO</v>
      </c>
      <c r="F1970" s="369">
        <f>VLOOKUP(C1970,METADATA!$A$5:$H$29,IF(E1970="HI",2,IF(E1970="LO",6,10))+IF(D1970=1,2,IF(D1970=7,1,(IF(WEEKDAY(B1970)=1,2,IF(WEEKDAY(B1970)=7,1,0))))))</f>
        <v>3</v>
      </c>
      <c r="G1970" s="369">
        <f>VLOOKUP(C1970,METADATA!$J$5:$Q$29,IF(E1970="HI",2,IF(E1970="LO",6,10))+IF(D1970=1,2,IF(D1970=7,1,(IF(WEEKDAY(B1970)=1,2,IF(WEEKDAY(B1970)=7,1,0))))))</f>
        <v>3</v>
      </c>
      <c r="H1970" s="370">
        <v>11734.83056640625</v>
      </c>
      <c r="I1970" s="370">
        <v>3024.7799987792969</v>
      </c>
      <c r="M1970" s="371">
        <f t="shared" si="121"/>
        <v>12118.396860281384</v>
      </c>
      <c r="N1970" s="329">
        <f t="shared" si="122"/>
        <v>0</v>
      </c>
      <c r="T1970" s="331">
        <v>0</v>
      </c>
      <c r="U1970" s="328">
        <f>VLOOKUP(C1970,METADATA!$J$5:$Q$29,IF(E1970="HI",2,IF(E1970="LO",6,10))+IF(T1970=1,2,IF(D1970=7,1,(IF(WEEKDAY(B1970)=1,2,IF(WEEKDAY(B1970)=7,1,0))))))</f>
        <v>3</v>
      </c>
      <c r="V1970" s="328">
        <f>VLOOKUP(C1970,METADATA!$A$5:$H$29,IF(E1970="HI",2,IF(E1970="LO",6,10))+IF(T1970=1,2,IF(D1970=7,1,(IF(WEEKDAY(B1970)=1,2,IF(WEEKDAY(B1970)=7,1,0))))))</f>
        <v>3</v>
      </c>
    </row>
    <row r="1971" spans="2:22">
      <c r="B1971" s="318">
        <f t="shared" si="123"/>
        <v>46194</v>
      </c>
      <c r="C1971" s="312">
        <v>23</v>
      </c>
      <c r="D1971" s="368">
        <f>IFERROR((INDEX(METADATA!$T$2:$T$20,MATCH(B1971,METADATA!$S$2:$S$20,0))),0)</f>
        <v>0</v>
      </c>
      <c r="E1971" s="312" t="str">
        <f t="shared" si="120"/>
        <v>LO</v>
      </c>
      <c r="F1971" s="369">
        <f>VLOOKUP(C1971,METADATA!$A$5:$H$29,IF(E1971="HI",2,IF(E1971="LO",6,10))+IF(D1971=1,2,IF(D1971=7,1,(IF(WEEKDAY(B1971)=1,2,IF(WEEKDAY(B1971)=7,1,0))))))</f>
        <v>3</v>
      </c>
      <c r="G1971" s="369">
        <f>VLOOKUP(C1971,METADATA!$J$5:$Q$29,IF(E1971="HI",2,IF(E1971="LO",6,10))+IF(D1971=1,2,IF(D1971=7,1,(IF(WEEKDAY(B1971)=1,2,IF(WEEKDAY(B1971)=7,1,0))))))</f>
        <v>3</v>
      </c>
      <c r="H1971" s="370">
        <v>11724.382110595703</v>
      </c>
      <c r="I1971" s="370">
        <v>3301.4700317382813</v>
      </c>
      <c r="M1971" s="371">
        <f t="shared" si="121"/>
        <v>12180.346474781518</v>
      </c>
      <c r="N1971" s="329">
        <f t="shared" si="122"/>
        <v>0</v>
      </c>
      <c r="T1971" s="331">
        <v>0</v>
      </c>
      <c r="U1971" s="328">
        <f>VLOOKUP(C1971,METADATA!$J$5:$Q$29,IF(E1971="HI",2,IF(E1971="LO",6,10))+IF(T1971=1,2,IF(D1971=7,1,(IF(WEEKDAY(B1971)=1,2,IF(WEEKDAY(B1971)=7,1,0))))))</f>
        <v>3</v>
      </c>
      <c r="V1971" s="328">
        <f>VLOOKUP(C1971,METADATA!$A$5:$H$29,IF(E1971="HI",2,IF(E1971="LO",6,10))+IF(T1971=1,2,IF(D1971=7,1,(IF(WEEKDAY(B1971)=1,2,IF(WEEKDAY(B1971)=7,1,0))))))</f>
        <v>3</v>
      </c>
    </row>
    <row r="1972" spans="2:22">
      <c r="B1972" s="318">
        <f t="shared" si="123"/>
        <v>46195</v>
      </c>
      <c r="C1972" s="312">
        <v>0</v>
      </c>
      <c r="D1972" s="368">
        <f>IFERROR((INDEX(METADATA!$T$2:$T$20,MATCH(B1972,METADATA!$S$2:$S$20,0))),0)</f>
        <v>0</v>
      </c>
      <c r="E1972" s="312" t="str">
        <f t="shared" si="120"/>
        <v>LO</v>
      </c>
      <c r="F1972" s="369">
        <f>VLOOKUP(C1972,METADATA!$A$5:$H$29,IF(E1972="HI",2,IF(E1972="LO",6,10))+IF(D1972=1,2,IF(D1972=7,1,(IF(WEEKDAY(B1972)=1,2,IF(WEEKDAY(B1972)=7,1,0))))))</f>
        <v>3</v>
      </c>
      <c r="G1972" s="369">
        <f>VLOOKUP(C1972,METADATA!$J$5:$Q$29,IF(E1972="HI",2,IF(E1972="LO",6,10))+IF(D1972=1,2,IF(D1972=7,1,(IF(WEEKDAY(B1972)=1,2,IF(WEEKDAY(B1972)=7,1,0))))))</f>
        <v>3</v>
      </c>
      <c r="H1972" s="370">
        <v>13751.575439453125</v>
      </c>
      <c r="I1972" s="370">
        <v>4391.7900085449219</v>
      </c>
      <c r="M1972" s="371">
        <f t="shared" si="121"/>
        <v>14435.845889525332</v>
      </c>
      <c r="N1972" s="329">
        <f t="shared" si="122"/>
        <v>266.31737670898474</v>
      </c>
      <c r="T1972" s="331">
        <v>0</v>
      </c>
      <c r="U1972" s="328">
        <f>VLOOKUP(C1972,METADATA!$J$5:$Q$29,IF(E1972="HI",2,IF(E1972="LO",6,10))+IF(T1972=1,2,IF(D1972=7,1,(IF(WEEKDAY(B1972)=1,2,IF(WEEKDAY(B1972)=7,1,0))))))</f>
        <v>3</v>
      </c>
      <c r="V1972" s="328">
        <f>VLOOKUP(C1972,METADATA!$A$5:$H$29,IF(E1972="HI",2,IF(E1972="LO",6,10))+IF(T1972=1,2,IF(D1972=7,1,(IF(WEEKDAY(B1972)=1,2,IF(WEEKDAY(B1972)=7,1,0))))))</f>
        <v>3</v>
      </c>
    </row>
    <row r="1973" spans="2:22">
      <c r="B1973" s="318">
        <f t="shared" si="123"/>
        <v>46195</v>
      </c>
      <c r="C1973" s="312">
        <v>1</v>
      </c>
      <c r="D1973" s="368">
        <f>IFERROR((INDEX(METADATA!$T$2:$T$20,MATCH(B1973,METADATA!$S$2:$S$20,0))),0)</f>
        <v>0</v>
      </c>
      <c r="E1973" s="312" t="str">
        <f t="shared" si="120"/>
        <v>LO</v>
      </c>
      <c r="F1973" s="369">
        <f>VLOOKUP(C1973,METADATA!$A$5:$H$29,IF(E1973="HI",2,IF(E1973="LO",6,10))+IF(D1973=1,2,IF(D1973=7,1,(IF(WEEKDAY(B1973)=1,2,IF(WEEKDAY(B1973)=7,1,0))))))</f>
        <v>3</v>
      </c>
      <c r="G1973" s="369">
        <f>VLOOKUP(C1973,METADATA!$J$5:$Q$29,IF(E1973="HI",2,IF(E1973="LO",6,10))+IF(D1973=1,2,IF(D1973=7,1,(IF(WEEKDAY(B1973)=1,2,IF(WEEKDAY(B1973)=7,1,0))))))</f>
        <v>3</v>
      </c>
      <c r="H1973" s="370">
        <v>13891.549926757813</v>
      </c>
      <c r="I1973" s="370">
        <v>4341.9898986816406</v>
      </c>
      <c r="M1973" s="371">
        <f t="shared" si="121"/>
        <v>14554.313300456961</v>
      </c>
      <c r="N1973" s="329">
        <f t="shared" si="122"/>
        <v>174.52492065429669</v>
      </c>
      <c r="T1973" s="331">
        <v>0</v>
      </c>
      <c r="U1973" s="328">
        <f>VLOOKUP(C1973,METADATA!$J$5:$Q$29,IF(E1973="HI",2,IF(E1973="LO",6,10))+IF(T1973=1,2,IF(D1973=7,1,(IF(WEEKDAY(B1973)=1,2,IF(WEEKDAY(B1973)=7,1,0))))))</f>
        <v>3</v>
      </c>
      <c r="V1973" s="328">
        <f>VLOOKUP(C1973,METADATA!$A$5:$H$29,IF(E1973="HI",2,IF(E1973="LO",6,10))+IF(T1973=1,2,IF(D1973=7,1,(IF(WEEKDAY(B1973)=1,2,IF(WEEKDAY(B1973)=7,1,0))))))</f>
        <v>3</v>
      </c>
    </row>
    <row r="1974" spans="2:22">
      <c r="B1974" s="318">
        <f t="shared" si="123"/>
        <v>46195</v>
      </c>
      <c r="C1974" s="312">
        <v>2</v>
      </c>
      <c r="D1974" s="368">
        <f>IFERROR((INDEX(METADATA!$T$2:$T$20,MATCH(B1974,METADATA!$S$2:$S$20,0))),0)</f>
        <v>0</v>
      </c>
      <c r="E1974" s="312" t="str">
        <f t="shared" si="120"/>
        <v>LO</v>
      </c>
      <c r="F1974" s="369">
        <f>VLOOKUP(C1974,METADATA!$A$5:$H$29,IF(E1974="HI",2,IF(E1974="LO",6,10))+IF(D1974=1,2,IF(D1974=7,1,(IF(WEEKDAY(B1974)=1,2,IF(WEEKDAY(B1974)=7,1,0))))))</f>
        <v>3</v>
      </c>
      <c r="G1974" s="369">
        <f>VLOOKUP(C1974,METADATA!$J$5:$Q$29,IF(E1974="HI",2,IF(E1974="LO",6,10))+IF(D1974=1,2,IF(D1974=7,1,(IF(WEEKDAY(B1974)=1,2,IF(WEEKDAY(B1974)=7,1,0))))))</f>
        <v>3</v>
      </c>
      <c r="H1974" s="370">
        <v>13813.674865722656</v>
      </c>
      <c r="I1974" s="370">
        <v>4350.9800109863281</v>
      </c>
      <c r="M1974" s="371">
        <f t="shared" si="121"/>
        <v>14482.701417618897</v>
      </c>
      <c r="N1974" s="329">
        <f t="shared" si="122"/>
        <v>206.87755126953107</v>
      </c>
      <c r="T1974" s="331">
        <v>0</v>
      </c>
      <c r="U1974" s="328">
        <f>VLOOKUP(C1974,METADATA!$J$5:$Q$29,IF(E1974="HI",2,IF(E1974="LO",6,10))+IF(T1974=1,2,IF(D1974=7,1,(IF(WEEKDAY(B1974)=1,2,IF(WEEKDAY(B1974)=7,1,0))))))</f>
        <v>3</v>
      </c>
      <c r="V1974" s="328">
        <f>VLOOKUP(C1974,METADATA!$A$5:$H$29,IF(E1974="HI",2,IF(E1974="LO",6,10))+IF(T1974=1,2,IF(D1974=7,1,(IF(WEEKDAY(B1974)=1,2,IF(WEEKDAY(B1974)=7,1,0))))))</f>
        <v>3</v>
      </c>
    </row>
    <row r="1975" spans="2:22">
      <c r="B1975" s="318">
        <f t="shared" si="123"/>
        <v>46195</v>
      </c>
      <c r="C1975" s="312">
        <v>3</v>
      </c>
      <c r="D1975" s="368">
        <f>IFERROR((INDEX(METADATA!$T$2:$T$20,MATCH(B1975,METADATA!$S$2:$S$20,0))),0)</f>
        <v>0</v>
      </c>
      <c r="E1975" s="312" t="str">
        <f t="shared" si="120"/>
        <v>LO</v>
      </c>
      <c r="F1975" s="369">
        <f>VLOOKUP(C1975,METADATA!$A$5:$H$29,IF(E1975="HI",2,IF(E1975="LO",6,10))+IF(D1975=1,2,IF(D1975=7,1,(IF(WEEKDAY(B1975)=1,2,IF(WEEKDAY(B1975)=7,1,0))))))</f>
        <v>3</v>
      </c>
      <c r="G1975" s="369">
        <f>VLOOKUP(C1975,METADATA!$J$5:$Q$29,IF(E1975="HI",2,IF(E1975="LO",6,10))+IF(D1975=1,2,IF(D1975=7,1,(IF(WEEKDAY(B1975)=1,2,IF(WEEKDAY(B1975)=7,1,0))))))</f>
        <v>3</v>
      </c>
      <c r="H1975" s="370">
        <v>13638.500244140625</v>
      </c>
      <c r="I1975" s="370">
        <v>4351.8849792480469</v>
      </c>
      <c r="M1975" s="371">
        <f t="shared" si="121"/>
        <v>14315.990771931529</v>
      </c>
      <c r="N1975" s="329">
        <f t="shared" si="122"/>
        <v>260.33490600585947</v>
      </c>
      <c r="T1975" s="331">
        <v>0</v>
      </c>
      <c r="U1975" s="328">
        <f>VLOOKUP(C1975,METADATA!$J$5:$Q$29,IF(E1975="HI",2,IF(E1975="LO",6,10))+IF(T1975=1,2,IF(D1975=7,1,(IF(WEEKDAY(B1975)=1,2,IF(WEEKDAY(B1975)=7,1,0))))))</f>
        <v>3</v>
      </c>
      <c r="V1975" s="328">
        <f>VLOOKUP(C1975,METADATA!$A$5:$H$29,IF(E1975="HI",2,IF(E1975="LO",6,10))+IF(T1975=1,2,IF(D1975=7,1,(IF(WEEKDAY(B1975)=1,2,IF(WEEKDAY(B1975)=7,1,0))))))</f>
        <v>3</v>
      </c>
    </row>
    <row r="1976" spans="2:22">
      <c r="B1976" s="318">
        <f t="shared" si="123"/>
        <v>46195</v>
      </c>
      <c r="C1976" s="312">
        <v>4</v>
      </c>
      <c r="D1976" s="368">
        <f>IFERROR((INDEX(METADATA!$T$2:$T$20,MATCH(B1976,METADATA!$S$2:$S$20,0))),0)</f>
        <v>0</v>
      </c>
      <c r="E1976" s="312" t="str">
        <f t="shared" si="120"/>
        <v>LO</v>
      </c>
      <c r="F1976" s="369">
        <f>VLOOKUP(C1976,METADATA!$A$5:$H$29,IF(E1976="HI",2,IF(E1976="LO",6,10))+IF(D1976=1,2,IF(D1976=7,1,(IF(WEEKDAY(B1976)=1,2,IF(WEEKDAY(B1976)=7,1,0))))))</f>
        <v>3</v>
      </c>
      <c r="G1976" s="369">
        <f>VLOOKUP(C1976,METADATA!$J$5:$Q$29,IF(E1976="HI",2,IF(E1976="LO",6,10))+IF(D1976=1,2,IF(D1976=7,1,(IF(WEEKDAY(B1976)=1,2,IF(WEEKDAY(B1976)=7,1,0))))))</f>
        <v>3</v>
      </c>
      <c r="H1976" s="370">
        <v>13756.049926757813</v>
      </c>
      <c r="I1976" s="370">
        <v>4333.8249816894531</v>
      </c>
      <c r="M1976" s="371">
        <f t="shared" si="121"/>
        <v>14422.584669863068</v>
      </c>
      <c r="N1976" s="329">
        <f t="shared" si="122"/>
        <v>207.01000366210974</v>
      </c>
      <c r="T1976" s="331">
        <v>0</v>
      </c>
      <c r="U1976" s="328">
        <f>VLOOKUP(C1976,METADATA!$J$5:$Q$29,IF(E1976="HI",2,IF(E1976="LO",6,10))+IF(T1976=1,2,IF(D1976=7,1,(IF(WEEKDAY(B1976)=1,2,IF(WEEKDAY(B1976)=7,1,0))))))</f>
        <v>3</v>
      </c>
      <c r="V1976" s="328">
        <f>VLOOKUP(C1976,METADATA!$A$5:$H$29,IF(E1976="HI",2,IF(E1976="LO",6,10))+IF(T1976=1,2,IF(D1976=7,1,(IF(WEEKDAY(B1976)=1,2,IF(WEEKDAY(B1976)=7,1,0))))))</f>
        <v>3</v>
      </c>
    </row>
    <row r="1977" spans="2:22">
      <c r="B1977" s="318">
        <f t="shared" si="123"/>
        <v>46195</v>
      </c>
      <c r="C1977" s="312">
        <v>5</v>
      </c>
      <c r="D1977" s="368">
        <f>IFERROR((INDEX(METADATA!$T$2:$T$20,MATCH(B1977,METADATA!$S$2:$S$20,0))),0)</f>
        <v>0</v>
      </c>
      <c r="E1977" s="312" t="str">
        <f t="shared" si="120"/>
        <v>LO</v>
      </c>
      <c r="F1977" s="369">
        <f>VLOOKUP(C1977,METADATA!$A$5:$H$29,IF(E1977="HI",2,IF(E1977="LO",6,10))+IF(D1977=1,2,IF(D1977=7,1,(IF(WEEKDAY(B1977)=1,2,IF(WEEKDAY(B1977)=7,1,0))))))</f>
        <v>3</v>
      </c>
      <c r="G1977" s="369">
        <f>VLOOKUP(C1977,METADATA!$J$5:$Q$29,IF(E1977="HI",2,IF(E1977="LO",6,10))+IF(D1977=1,2,IF(D1977=7,1,(IF(WEEKDAY(B1977)=1,2,IF(WEEKDAY(B1977)=7,1,0))))))</f>
        <v>3</v>
      </c>
      <c r="H1977" s="370">
        <v>13824.0751953125</v>
      </c>
      <c r="I1977" s="370">
        <v>4103.6248168945313</v>
      </c>
      <c r="M1977" s="371">
        <f t="shared" si="121"/>
        <v>14420.29096944604</v>
      </c>
      <c r="N1977" s="329">
        <f t="shared" si="122"/>
        <v>0</v>
      </c>
      <c r="T1977" s="331">
        <v>0</v>
      </c>
      <c r="U1977" s="328">
        <f>VLOOKUP(C1977,METADATA!$J$5:$Q$29,IF(E1977="HI",2,IF(E1977="LO",6,10))+IF(T1977=1,2,IF(D1977=7,1,(IF(WEEKDAY(B1977)=1,2,IF(WEEKDAY(B1977)=7,1,0))))))</f>
        <v>3</v>
      </c>
      <c r="V1977" s="328">
        <f>VLOOKUP(C1977,METADATA!$A$5:$H$29,IF(E1977="HI",2,IF(E1977="LO",6,10))+IF(T1977=1,2,IF(D1977=7,1,(IF(WEEKDAY(B1977)=1,2,IF(WEEKDAY(B1977)=7,1,0))))))</f>
        <v>3</v>
      </c>
    </row>
    <row r="1978" spans="2:22">
      <c r="B1978" s="318">
        <f t="shared" si="123"/>
        <v>46195</v>
      </c>
      <c r="C1978" s="312">
        <v>6</v>
      </c>
      <c r="D1978" s="368">
        <f>IFERROR((INDEX(METADATA!$T$2:$T$20,MATCH(B1978,METADATA!$S$2:$S$20,0))),0)</f>
        <v>0</v>
      </c>
      <c r="E1978" s="312" t="str">
        <f t="shared" si="120"/>
        <v>LO</v>
      </c>
      <c r="F1978" s="369">
        <f>VLOOKUP(C1978,METADATA!$A$5:$H$29,IF(E1978="HI",2,IF(E1978="LO",6,10))+IF(D1978=1,2,IF(D1978=7,1,(IF(WEEKDAY(B1978)=1,2,IF(WEEKDAY(B1978)=7,1,0))))))</f>
        <v>2</v>
      </c>
      <c r="G1978" s="369">
        <f>VLOOKUP(C1978,METADATA!$J$5:$Q$29,IF(E1978="HI",2,IF(E1978="LO",6,10))+IF(D1978=1,2,IF(D1978=7,1,(IF(WEEKDAY(B1978)=1,2,IF(WEEKDAY(B1978)=7,1,0))))))</f>
        <v>2</v>
      </c>
      <c r="H1978" s="370">
        <v>13802.017517089844</v>
      </c>
      <c r="I1978" s="370">
        <v>4171.0149536132813</v>
      </c>
      <c r="M1978" s="371">
        <f t="shared" si="121"/>
        <v>14418.496914911779</v>
      </c>
      <c r="N1978" s="329">
        <f t="shared" si="122"/>
        <v>30.409698486328125</v>
      </c>
      <c r="T1978" s="331">
        <v>0</v>
      </c>
      <c r="U1978" s="328">
        <f>VLOOKUP(C1978,METADATA!$J$5:$Q$29,IF(E1978="HI",2,IF(E1978="LO",6,10))+IF(T1978=1,2,IF(D1978=7,1,(IF(WEEKDAY(B1978)=1,2,IF(WEEKDAY(B1978)=7,1,0))))))</f>
        <v>2</v>
      </c>
      <c r="V1978" s="328">
        <f>VLOOKUP(C1978,METADATA!$A$5:$H$29,IF(E1978="HI",2,IF(E1978="LO",6,10))+IF(T1978=1,2,IF(D1978=7,1,(IF(WEEKDAY(B1978)=1,2,IF(WEEKDAY(B1978)=7,1,0))))))</f>
        <v>2</v>
      </c>
    </row>
    <row r="1979" spans="2:22">
      <c r="B1979" s="318">
        <f t="shared" si="123"/>
        <v>46195</v>
      </c>
      <c r="C1979" s="312">
        <v>7</v>
      </c>
      <c r="D1979" s="368">
        <f>IFERROR((INDEX(METADATA!$T$2:$T$20,MATCH(B1979,METADATA!$S$2:$S$20,0))),0)</f>
        <v>0</v>
      </c>
      <c r="E1979" s="312" t="str">
        <f t="shared" si="120"/>
        <v>LO</v>
      </c>
      <c r="F1979" s="369">
        <f>VLOOKUP(C1979,METADATA!$A$5:$H$29,IF(E1979="HI",2,IF(E1979="LO",6,10))+IF(D1979=1,2,IF(D1979=7,1,(IF(WEEKDAY(B1979)=1,2,IF(WEEKDAY(B1979)=7,1,0))))))</f>
        <v>1</v>
      </c>
      <c r="G1979" s="369">
        <f>VLOOKUP(C1979,METADATA!$J$5:$Q$29,IF(E1979="HI",2,IF(E1979="LO",6,10))+IF(D1979=1,2,IF(D1979=7,1,(IF(WEEKDAY(B1979)=1,2,IF(WEEKDAY(B1979)=7,1,0))))))</f>
        <v>1</v>
      </c>
      <c r="H1979" s="370">
        <v>13887.049621582031</v>
      </c>
      <c r="I1979" s="370">
        <v>4354.3699951171875</v>
      </c>
      <c r="M1979" s="371">
        <f t="shared" si="121"/>
        <v>14553.717231231974</v>
      </c>
      <c r="N1979" s="329">
        <f t="shared" si="122"/>
        <v>188.25510864257831</v>
      </c>
      <c r="T1979" s="331">
        <v>0</v>
      </c>
      <c r="U1979" s="328">
        <f>VLOOKUP(C1979,METADATA!$J$5:$Q$29,IF(E1979="HI",2,IF(E1979="LO",6,10))+IF(T1979=1,2,IF(D1979=7,1,(IF(WEEKDAY(B1979)=1,2,IF(WEEKDAY(B1979)=7,1,0))))))</f>
        <v>1</v>
      </c>
      <c r="V1979" s="328">
        <f>VLOOKUP(C1979,METADATA!$A$5:$H$29,IF(E1979="HI",2,IF(E1979="LO",6,10))+IF(T1979=1,2,IF(D1979=7,1,(IF(WEEKDAY(B1979)=1,2,IF(WEEKDAY(B1979)=7,1,0))))))</f>
        <v>1</v>
      </c>
    </row>
    <row r="1980" spans="2:22">
      <c r="B1980" s="318">
        <f t="shared" si="123"/>
        <v>46195</v>
      </c>
      <c r="C1980" s="312">
        <v>8</v>
      </c>
      <c r="D1980" s="368">
        <f>IFERROR((INDEX(METADATA!$T$2:$T$20,MATCH(B1980,METADATA!$S$2:$S$20,0))),0)</f>
        <v>0</v>
      </c>
      <c r="E1980" s="312" t="str">
        <f t="shared" si="120"/>
        <v>LO</v>
      </c>
      <c r="F1980" s="369">
        <f>VLOOKUP(C1980,METADATA!$A$5:$H$29,IF(E1980="HI",2,IF(E1980="LO",6,10))+IF(D1980=1,2,IF(D1980=7,1,(IF(WEEKDAY(B1980)=1,2,IF(WEEKDAY(B1980)=7,1,0))))))</f>
        <v>1</v>
      </c>
      <c r="G1980" s="369">
        <f>VLOOKUP(C1980,METADATA!$J$5:$Q$29,IF(E1980="HI",2,IF(E1980="LO",6,10))+IF(D1980=1,2,IF(D1980=7,1,(IF(WEEKDAY(B1980)=1,2,IF(WEEKDAY(B1980)=7,1,0))))))</f>
        <v>1</v>
      </c>
      <c r="H1980" s="370">
        <v>13678.775024414063</v>
      </c>
      <c r="I1980" s="370">
        <v>4324.6800842285156</v>
      </c>
      <c r="M1980" s="371">
        <f t="shared" si="121"/>
        <v>14346.140386858644</v>
      </c>
      <c r="N1980" s="329">
        <f t="shared" si="122"/>
        <v>221.04757690429688</v>
      </c>
      <c r="T1980" s="331">
        <v>0</v>
      </c>
      <c r="U1980" s="328">
        <f>VLOOKUP(C1980,METADATA!$J$5:$Q$29,IF(E1980="HI",2,IF(E1980="LO",6,10))+IF(T1980=1,2,IF(D1980=7,1,(IF(WEEKDAY(B1980)=1,2,IF(WEEKDAY(B1980)=7,1,0))))))</f>
        <v>1</v>
      </c>
      <c r="V1980" s="328">
        <f>VLOOKUP(C1980,METADATA!$A$5:$H$29,IF(E1980="HI",2,IF(E1980="LO",6,10))+IF(T1980=1,2,IF(D1980=7,1,(IF(WEEKDAY(B1980)=1,2,IF(WEEKDAY(B1980)=7,1,0))))))</f>
        <v>1</v>
      </c>
    </row>
    <row r="1981" spans="2:22">
      <c r="B1981" s="318">
        <f t="shared" si="123"/>
        <v>46195</v>
      </c>
      <c r="C1981" s="312">
        <v>9</v>
      </c>
      <c r="D1981" s="368">
        <f>IFERROR((INDEX(METADATA!$T$2:$T$20,MATCH(B1981,METADATA!$S$2:$S$20,0))),0)</f>
        <v>0</v>
      </c>
      <c r="E1981" s="312" t="str">
        <f t="shared" si="120"/>
        <v>LO</v>
      </c>
      <c r="F1981" s="369">
        <f>VLOOKUP(C1981,METADATA!$A$5:$H$29,IF(E1981="HI",2,IF(E1981="LO",6,10))+IF(D1981=1,2,IF(D1981=7,1,(IF(WEEKDAY(B1981)=1,2,IF(WEEKDAY(B1981)=7,1,0))))))</f>
        <v>2</v>
      </c>
      <c r="G1981" s="369">
        <f>VLOOKUP(C1981,METADATA!$J$5:$Q$29,IF(E1981="HI",2,IF(E1981="LO",6,10))+IF(D1981=1,2,IF(D1981=7,1,(IF(WEEKDAY(B1981)=1,2,IF(WEEKDAY(B1981)=7,1,0))))))</f>
        <v>2</v>
      </c>
      <c r="H1981" s="370">
        <v>12727.124969482422</v>
      </c>
      <c r="I1981" s="370">
        <v>3760.7725219726563</v>
      </c>
      <c r="M1981" s="371">
        <f t="shared" si="121"/>
        <v>13271.138607928391</v>
      </c>
      <c r="N1981" s="329">
        <f t="shared" si="122"/>
        <v>0</v>
      </c>
      <c r="T1981" s="331">
        <v>0</v>
      </c>
      <c r="U1981" s="328">
        <f>VLOOKUP(C1981,METADATA!$J$5:$Q$29,IF(E1981="HI",2,IF(E1981="LO",6,10))+IF(T1981=1,2,IF(D1981=7,1,(IF(WEEKDAY(B1981)=1,2,IF(WEEKDAY(B1981)=7,1,0))))))</f>
        <v>2</v>
      </c>
      <c r="V1981" s="328">
        <f>VLOOKUP(C1981,METADATA!$A$5:$H$29,IF(E1981="HI",2,IF(E1981="LO",6,10))+IF(T1981=1,2,IF(D1981=7,1,(IF(WEEKDAY(B1981)=1,2,IF(WEEKDAY(B1981)=7,1,0))))))</f>
        <v>2</v>
      </c>
    </row>
    <row r="1982" spans="2:22">
      <c r="B1982" s="318">
        <f t="shared" si="123"/>
        <v>46195</v>
      </c>
      <c r="C1982" s="312">
        <v>10</v>
      </c>
      <c r="D1982" s="368">
        <f>IFERROR((INDEX(METADATA!$T$2:$T$20,MATCH(B1982,METADATA!$S$2:$S$20,0))),0)</f>
        <v>0</v>
      </c>
      <c r="E1982" s="312" t="str">
        <f t="shared" si="120"/>
        <v>LO</v>
      </c>
      <c r="F1982" s="369">
        <f>VLOOKUP(C1982,METADATA!$A$5:$H$29,IF(E1982="HI",2,IF(E1982="LO",6,10))+IF(D1982=1,2,IF(D1982=7,1,(IF(WEEKDAY(B1982)=1,2,IF(WEEKDAY(B1982)=7,1,0))))))</f>
        <v>2</v>
      </c>
      <c r="G1982" s="369">
        <f>VLOOKUP(C1982,METADATA!$J$5:$Q$29,IF(E1982="HI",2,IF(E1982="LO",6,10))+IF(D1982=1,2,IF(D1982=7,1,(IF(WEEKDAY(B1982)=1,2,IF(WEEKDAY(B1982)=7,1,0))))))</f>
        <v>2</v>
      </c>
      <c r="H1982" s="370">
        <v>11875.315002441406</v>
      </c>
      <c r="I1982" s="370">
        <v>3223.875</v>
      </c>
      <c r="M1982" s="371">
        <f t="shared" si="121"/>
        <v>12305.140243932003</v>
      </c>
      <c r="N1982" s="329">
        <f t="shared" si="122"/>
        <v>0</v>
      </c>
      <c r="T1982" s="331">
        <v>0</v>
      </c>
      <c r="U1982" s="328">
        <f>VLOOKUP(C1982,METADATA!$J$5:$Q$29,IF(E1982="HI",2,IF(E1982="LO",6,10))+IF(T1982=1,2,IF(D1982=7,1,(IF(WEEKDAY(B1982)=1,2,IF(WEEKDAY(B1982)=7,1,0))))))</f>
        <v>2</v>
      </c>
      <c r="V1982" s="328">
        <f>VLOOKUP(C1982,METADATA!$A$5:$H$29,IF(E1982="HI",2,IF(E1982="LO",6,10))+IF(T1982=1,2,IF(D1982=7,1,(IF(WEEKDAY(B1982)=1,2,IF(WEEKDAY(B1982)=7,1,0))))))</f>
        <v>2</v>
      </c>
    </row>
    <row r="1983" spans="2:22">
      <c r="B1983" s="318">
        <f t="shared" si="123"/>
        <v>46195</v>
      </c>
      <c r="C1983" s="312">
        <v>11</v>
      </c>
      <c r="D1983" s="368">
        <f>IFERROR((INDEX(METADATA!$T$2:$T$20,MATCH(B1983,METADATA!$S$2:$S$20,0))),0)</f>
        <v>0</v>
      </c>
      <c r="E1983" s="312" t="str">
        <f t="shared" si="120"/>
        <v>LO</v>
      </c>
      <c r="F1983" s="369">
        <f>VLOOKUP(C1983,METADATA!$A$5:$H$29,IF(E1983="HI",2,IF(E1983="LO",6,10))+IF(D1983=1,2,IF(D1983=7,1,(IF(WEEKDAY(B1983)=1,2,IF(WEEKDAY(B1983)=7,1,0))))))</f>
        <v>2</v>
      </c>
      <c r="G1983" s="369">
        <f>VLOOKUP(C1983,METADATA!$J$5:$Q$29,IF(E1983="HI",2,IF(E1983="LO",6,10))+IF(D1983=1,2,IF(D1983=7,1,(IF(WEEKDAY(B1983)=1,2,IF(WEEKDAY(B1983)=7,1,0))))))</f>
        <v>2</v>
      </c>
      <c r="H1983" s="370">
        <v>11867.685363769531</v>
      </c>
      <c r="I1983" s="370">
        <v>3263.9025268554688</v>
      </c>
      <c r="M1983" s="371">
        <f t="shared" si="121"/>
        <v>12308.331145945134</v>
      </c>
      <c r="N1983" s="329">
        <f t="shared" si="122"/>
        <v>0</v>
      </c>
      <c r="T1983" s="331">
        <v>0</v>
      </c>
      <c r="U1983" s="328">
        <f>VLOOKUP(C1983,METADATA!$J$5:$Q$29,IF(E1983="HI",2,IF(E1983="LO",6,10))+IF(T1983=1,2,IF(D1983=7,1,(IF(WEEKDAY(B1983)=1,2,IF(WEEKDAY(B1983)=7,1,0))))))</f>
        <v>2</v>
      </c>
      <c r="V1983" s="328">
        <f>VLOOKUP(C1983,METADATA!$A$5:$H$29,IF(E1983="HI",2,IF(E1983="LO",6,10))+IF(T1983=1,2,IF(D1983=7,1,(IF(WEEKDAY(B1983)=1,2,IF(WEEKDAY(B1983)=7,1,0))))))</f>
        <v>2</v>
      </c>
    </row>
    <row r="1984" spans="2:22">
      <c r="B1984" s="318">
        <f t="shared" si="123"/>
        <v>46195</v>
      </c>
      <c r="C1984" s="312">
        <v>12</v>
      </c>
      <c r="D1984" s="368">
        <f>IFERROR((INDEX(METADATA!$T$2:$T$20,MATCH(B1984,METADATA!$S$2:$S$20,0))),0)</f>
        <v>0</v>
      </c>
      <c r="E1984" s="312" t="str">
        <f t="shared" si="120"/>
        <v>LO</v>
      </c>
      <c r="F1984" s="369">
        <f>VLOOKUP(C1984,METADATA!$A$5:$H$29,IF(E1984="HI",2,IF(E1984="LO",6,10))+IF(D1984=1,2,IF(D1984=7,1,(IF(WEEKDAY(B1984)=1,2,IF(WEEKDAY(B1984)=7,1,0))))))</f>
        <v>2</v>
      </c>
      <c r="G1984" s="369">
        <f>VLOOKUP(C1984,METADATA!$J$5:$Q$29,IF(E1984="HI",2,IF(E1984="LO",6,10))+IF(D1984=1,2,IF(D1984=7,1,(IF(WEEKDAY(B1984)=1,2,IF(WEEKDAY(B1984)=7,1,0))))))</f>
        <v>2</v>
      </c>
      <c r="H1984" s="370">
        <v>11872.809844970703</v>
      </c>
      <c r="I1984" s="370">
        <v>3228.6249694824219</v>
      </c>
      <c r="M1984" s="371">
        <f t="shared" si="121"/>
        <v>12303.968173252018</v>
      </c>
      <c r="N1984" s="329">
        <f t="shared" si="122"/>
        <v>0</v>
      </c>
      <c r="T1984" s="331">
        <v>0</v>
      </c>
      <c r="U1984" s="328">
        <f>VLOOKUP(C1984,METADATA!$J$5:$Q$29,IF(E1984="HI",2,IF(E1984="LO",6,10))+IF(T1984=1,2,IF(D1984=7,1,(IF(WEEKDAY(B1984)=1,2,IF(WEEKDAY(B1984)=7,1,0))))))</f>
        <v>2</v>
      </c>
      <c r="V1984" s="328">
        <f>VLOOKUP(C1984,METADATA!$A$5:$H$29,IF(E1984="HI",2,IF(E1984="LO",6,10))+IF(T1984=1,2,IF(D1984=7,1,(IF(WEEKDAY(B1984)=1,2,IF(WEEKDAY(B1984)=7,1,0))))))</f>
        <v>2</v>
      </c>
    </row>
    <row r="1985" spans="2:22">
      <c r="B1985" s="318">
        <f t="shared" si="123"/>
        <v>46195</v>
      </c>
      <c r="C1985" s="312">
        <v>13</v>
      </c>
      <c r="D1985" s="368">
        <f>IFERROR((INDEX(METADATA!$T$2:$T$20,MATCH(B1985,METADATA!$S$2:$S$20,0))),0)</f>
        <v>0</v>
      </c>
      <c r="E1985" s="312" t="str">
        <f t="shared" si="120"/>
        <v>LO</v>
      </c>
      <c r="F1985" s="369">
        <f>VLOOKUP(C1985,METADATA!$A$5:$H$29,IF(E1985="HI",2,IF(E1985="LO",6,10))+IF(D1985=1,2,IF(D1985=7,1,(IF(WEEKDAY(B1985)=1,2,IF(WEEKDAY(B1985)=7,1,0))))))</f>
        <v>2</v>
      </c>
      <c r="G1985" s="369">
        <f>VLOOKUP(C1985,METADATA!$J$5:$Q$29,IF(E1985="HI",2,IF(E1985="LO",6,10))+IF(D1985=1,2,IF(D1985=7,1,(IF(WEEKDAY(B1985)=1,2,IF(WEEKDAY(B1985)=7,1,0))))))</f>
        <v>2</v>
      </c>
      <c r="H1985" s="370">
        <v>12049.632446289063</v>
      </c>
      <c r="I1985" s="370">
        <v>3331.655029296875</v>
      </c>
      <c r="M1985" s="371">
        <f t="shared" si="121"/>
        <v>12501.742571533829</v>
      </c>
      <c r="N1985" s="329">
        <f t="shared" si="122"/>
        <v>0</v>
      </c>
      <c r="T1985" s="331">
        <v>0</v>
      </c>
      <c r="U1985" s="328">
        <f>VLOOKUP(C1985,METADATA!$J$5:$Q$29,IF(E1985="HI",2,IF(E1985="LO",6,10))+IF(T1985=1,2,IF(D1985=7,1,(IF(WEEKDAY(B1985)=1,2,IF(WEEKDAY(B1985)=7,1,0))))))</f>
        <v>2</v>
      </c>
      <c r="V1985" s="328">
        <f>VLOOKUP(C1985,METADATA!$A$5:$H$29,IF(E1985="HI",2,IF(E1985="LO",6,10))+IF(T1985=1,2,IF(D1985=7,1,(IF(WEEKDAY(B1985)=1,2,IF(WEEKDAY(B1985)=7,1,0))))))</f>
        <v>2</v>
      </c>
    </row>
    <row r="1986" spans="2:22">
      <c r="B1986" s="318">
        <f t="shared" si="123"/>
        <v>46195</v>
      </c>
      <c r="C1986" s="312">
        <v>14</v>
      </c>
      <c r="D1986" s="368">
        <f>IFERROR((INDEX(METADATA!$T$2:$T$20,MATCH(B1986,METADATA!$S$2:$S$20,0))),0)</f>
        <v>0</v>
      </c>
      <c r="E1986" s="312" t="str">
        <f t="shared" si="120"/>
        <v>LO</v>
      </c>
      <c r="F1986" s="369">
        <f>VLOOKUP(C1986,METADATA!$A$5:$H$29,IF(E1986="HI",2,IF(E1986="LO",6,10))+IF(D1986=1,2,IF(D1986=7,1,(IF(WEEKDAY(B1986)=1,2,IF(WEEKDAY(B1986)=7,1,0))))))</f>
        <v>2</v>
      </c>
      <c r="G1986" s="369">
        <f>VLOOKUP(C1986,METADATA!$J$5:$Q$29,IF(E1986="HI",2,IF(E1986="LO",6,10))+IF(D1986=1,2,IF(D1986=7,1,(IF(WEEKDAY(B1986)=1,2,IF(WEEKDAY(B1986)=7,1,0))))))</f>
        <v>2</v>
      </c>
      <c r="H1986" s="370">
        <v>13763.824890136719</v>
      </c>
      <c r="I1986" s="370">
        <v>4392.1249694824219</v>
      </c>
      <c r="M1986" s="371">
        <f t="shared" si="121"/>
        <v>14447.617012985153</v>
      </c>
      <c r="N1986" s="329">
        <f t="shared" si="122"/>
        <v>262.97750244140661</v>
      </c>
      <c r="T1986" s="331">
        <v>0</v>
      </c>
      <c r="U1986" s="328">
        <f>VLOOKUP(C1986,METADATA!$J$5:$Q$29,IF(E1986="HI",2,IF(E1986="LO",6,10))+IF(T1986=1,2,IF(D1986=7,1,(IF(WEEKDAY(B1986)=1,2,IF(WEEKDAY(B1986)=7,1,0))))))</f>
        <v>2</v>
      </c>
      <c r="V1986" s="328">
        <f>VLOOKUP(C1986,METADATA!$A$5:$H$29,IF(E1986="HI",2,IF(E1986="LO",6,10))+IF(T1986=1,2,IF(D1986=7,1,(IF(WEEKDAY(B1986)=1,2,IF(WEEKDAY(B1986)=7,1,0))))))</f>
        <v>2</v>
      </c>
    </row>
    <row r="1987" spans="2:22">
      <c r="B1987" s="318">
        <f t="shared" si="123"/>
        <v>46195</v>
      </c>
      <c r="C1987" s="312">
        <v>15</v>
      </c>
      <c r="D1987" s="368">
        <f>IFERROR((INDEX(METADATA!$T$2:$T$20,MATCH(B1987,METADATA!$S$2:$S$20,0))),0)</f>
        <v>0</v>
      </c>
      <c r="E1987" s="312" t="str">
        <f t="shared" si="120"/>
        <v>LO</v>
      </c>
      <c r="F1987" s="369">
        <f>VLOOKUP(C1987,METADATA!$A$5:$H$29,IF(E1987="HI",2,IF(E1987="LO",6,10))+IF(D1987=1,2,IF(D1987=7,1,(IF(WEEKDAY(B1987)=1,2,IF(WEEKDAY(B1987)=7,1,0))))))</f>
        <v>2</v>
      </c>
      <c r="G1987" s="369">
        <f>VLOOKUP(C1987,METADATA!$J$5:$Q$29,IF(E1987="HI",2,IF(E1987="LO",6,10))+IF(D1987=1,2,IF(D1987=7,1,(IF(WEEKDAY(B1987)=1,2,IF(WEEKDAY(B1987)=7,1,0))))))</f>
        <v>2</v>
      </c>
      <c r="H1987" s="370">
        <v>13956.325134277344</v>
      </c>
      <c r="I1987" s="370">
        <v>4472.6400451660156</v>
      </c>
      <c r="M1987" s="371">
        <f t="shared" si="121"/>
        <v>14655.494540522479</v>
      </c>
      <c r="N1987" s="329">
        <f t="shared" si="122"/>
        <v>285.74250488281268</v>
      </c>
      <c r="T1987" s="331">
        <v>0</v>
      </c>
      <c r="U1987" s="328">
        <f>VLOOKUP(C1987,METADATA!$J$5:$Q$29,IF(E1987="HI",2,IF(E1987="LO",6,10))+IF(T1987=1,2,IF(D1987=7,1,(IF(WEEKDAY(B1987)=1,2,IF(WEEKDAY(B1987)=7,1,0))))))</f>
        <v>2</v>
      </c>
      <c r="V1987" s="328">
        <f>VLOOKUP(C1987,METADATA!$A$5:$H$29,IF(E1987="HI",2,IF(E1987="LO",6,10))+IF(T1987=1,2,IF(D1987=7,1,(IF(WEEKDAY(B1987)=1,2,IF(WEEKDAY(B1987)=7,1,0))))))</f>
        <v>2</v>
      </c>
    </row>
    <row r="1988" spans="2:22">
      <c r="B1988" s="318">
        <f t="shared" si="123"/>
        <v>46195</v>
      </c>
      <c r="C1988" s="312">
        <v>16</v>
      </c>
      <c r="D1988" s="368">
        <f>IFERROR((INDEX(METADATA!$T$2:$T$20,MATCH(B1988,METADATA!$S$2:$S$20,0))),0)</f>
        <v>0</v>
      </c>
      <c r="E1988" s="312" t="str">
        <f t="shared" ref="E1988:E2051" si="124">IF(B1988="","",IF(AND(MONTH(B1988)&gt;=MONTH($Z$9),MONTH(B1988)&lt;=MONTH($Z$11)),"HI","LO"))</f>
        <v>LO</v>
      </c>
      <c r="F1988" s="369">
        <f>VLOOKUP(C1988,METADATA!$A$5:$H$29,IF(E1988="HI",2,IF(E1988="LO",6,10))+IF(D1988=1,2,IF(D1988=7,1,(IF(WEEKDAY(B1988)=1,2,IF(WEEKDAY(B1988)=7,1,0))))))</f>
        <v>2</v>
      </c>
      <c r="G1988" s="369">
        <f>VLOOKUP(C1988,METADATA!$J$5:$Q$29,IF(E1988="HI",2,IF(E1988="LO",6,10))+IF(D1988=1,2,IF(D1988=7,1,(IF(WEEKDAY(B1988)=1,2,IF(WEEKDAY(B1988)=7,1,0))))))</f>
        <v>2</v>
      </c>
      <c r="H1988" s="370">
        <v>13999.525268554688</v>
      </c>
      <c r="I1988" s="370">
        <v>4410.0650329589844</v>
      </c>
      <c r="M1988" s="371">
        <f t="shared" ref="M1988:M2051" si="125">SQRT(H1988^2+I1988^2)</f>
        <v>14677.717170589871</v>
      </c>
      <c r="N1988" s="329">
        <f t="shared" ref="N1988:N2051" si="126">IF(H1988=0,0,(IF(I1988-(0.3*H1988)&lt;0,0,(I1988-(0.3*H1988)))))</f>
        <v>210.20745239257849</v>
      </c>
      <c r="T1988" s="331">
        <v>0</v>
      </c>
      <c r="U1988" s="328">
        <f>VLOOKUP(C1988,METADATA!$J$5:$Q$29,IF(E1988="HI",2,IF(E1988="LO",6,10))+IF(T1988=1,2,IF(D1988=7,1,(IF(WEEKDAY(B1988)=1,2,IF(WEEKDAY(B1988)=7,1,0))))))</f>
        <v>2</v>
      </c>
      <c r="V1988" s="328">
        <f>VLOOKUP(C1988,METADATA!$A$5:$H$29,IF(E1988="HI",2,IF(E1988="LO",6,10))+IF(T1988=1,2,IF(D1988=7,1,(IF(WEEKDAY(B1988)=1,2,IF(WEEKDAY(B1988)=7,1,0))))))</f>
        <v>2</v>
      </c>
    </row>
    <row r="1989" spans="2:22">
      <c r="B1989" s="318">
        <f t="shared" si="123"/>
        <v>46195</v>
      </c>
      <c r="C1989" s="312">
        <v>17</v>
      </c>
      <c r="D1989" s="368">
        <f>IFERROR((INDEX(METADATA!$T$2:$T$20,MATCH(B1989,METADATA!$S$2:$S$20,0))),0)</f>
        <v>0</v>
      </c>
      <c r="E1989" s="312" t="str">
        <f t="shared" si="124"/>
        <v>LO</v>
      </c>
      <c r="F1989" s="369">
        <f>VLOOKUP(C1989,METADATA!$A$5:$H$29,IF(E1989="HI",2,IF(E1989="LO",6,10))+IF(D1989=1,2,IF(D1989=7,1,(IF(WEEKDAY(B1989)=1,2,IF(WEEKDAY(B1989)=7,1,0))))))</f>
        <v>2</v>
      </c>
      <c r="G1989" s="369">
        <f>VLOOKUP(C1989,METADATA!$J$5:$Q$29,IF(E1989="HI",2,IF(E1989="LO",6,10))+IF(D1989=1,2,IF(D1989=7,1,(IF(WEEKDAY(B1989)=1,2,IF(WEEKDAY(B1989)=7,1,0))))))</f>
        <v>2</v>
      </c>
      <c r="H1989" s="370">
        <v>13778.474853515625</v>
      </c>
      <c r="I1989" s="370">
        <v>4296.1600036621094</v>
      </c>
      <c r="M1989" s="371">
        <f t="shared" si="125"/>
        <v>14432.718387955487</v>
      </c>
      <c r="N1989" s="329">
        <f t="shared" si="126"/>
        <v>162.61754760742224</v>
      </c>
      <c r="T1989" s="331">
        <v>0</v>
      </c>
      <c r="U1989" s="328">
        <f>VLOOKUP(C1989,METADATA!$J$5:$Q$29,IF(E1989="HI",2,IF(E1989="LO",6,10))+IF(T1989=1,2,IF(D1989=7,1,(IF(WEEKDAY(B1989)=1,2,IF(WEEKDAY(B1989)=7,1,0))))))</f>
        <v>2</v>
      </c>
      <c r="V1989" s="328">
        <f>VLOOKUP(C1989,METADATA!$A$5:$H$29,IF(E1989="HI",2,IF(E1989="LO",6,10))+IF(T1989=1,2,IF(D1989=7,1,(IF(WEEKDAY(B1989)=1,2,IF(WEEKDAY(B1989)=7,1,0))))))</f>
        <v>2</v>
      </c>
    </row>
    <row r="1990" spans="2:22">
      <c r="B1990" s="318">
        <f t="shared" si="123"/>
        <v>46195</v>
      </c>
      <c r="C1990" s="312">
        <v>18</v>
      </c>
      <c r="D1990" s="368">
        <f>IFERROR((INDEX(METADATA!$T$2:$T$20,MATCH(B1990,METADATA!$S$2:$S$20,0))),0)</f>
        <v>0</v>
      </c>
      <c r="E1990" s="312" t="str">
        <f t="shared" si="124"/>
        <v>LO</v>
      </c>
      <c r="F1990" s="369">
        <f>VLOOKUP(C1990,METADATA!$A$5:$H$29,IF(E1990="HI",2,IF(E1990="LO",6,10))+IF(D1990=1,2,IF(D1990=7,1,(IF(WEEKDAY(B1990)=1,2,IF(WEEKDAY(B1990)=7,1,0))))))</f>
        <v>1</v>
      </c>
      <c r="G1990" s="369">
        <f>VLOOKUP(C1990,METADATA!$J$5:$Q$29,IF(E1990="HI",2,IF(E1990="LO",6,10))+IF(D1990=1,2,IF(D1990=7,1,(IF(WEEKDAY(B1990)=1,2,IF(WEEKDAY(B1990)=7,1,0))))))</f>
        <v>1</v>
      </c>
      <c r="H1990" s="370">
        <v>13836.474975585938</v>
      </c>
      <c r="I1990" s="370">
        <v>4256.2449951171875</v>
      </c>
      <c r="M1990" s="371">
        <f t="shared" si="125"/>
        <v>14476.313799046909</v>
      </c>
      <c r="N1990" s="329">
        <f t="shared" si="126"/>
        <v>105.30250244140643</v>
      </c>
      <c r="T1990" s="331">
        <v>0</v>
      </c>
      <c r="U1990" s="328">
        <f>VLOOKUP(C1990,METADATA!$J$5:$Q$29,IF(E1990="HI",2,IF(E1990="LO",6,10))+IF(T1990=1,2,IF(D1990=7,1,(IF(WEEKDAY(B1990)=1,2,IF(WEEKDAY(B1990)=7,1,0))))))</f>
        <v>1</v>
      </c>
      <c r="V1990" s="328">
        <f>VLOOKUP(C1990,METADATA!$A$5:$H$29,IF(E1990="HI",2,IF(E1990="LO",6,10))+IF(T1990=1,2,IF(D1990=7,1,(IF(WEEKDAY(B1990)=1,2,IF(WEEKDAY(B1990)=7,1,0))))))</f>
        <v>1</v>
      </c>
    </row>
    <row r="1991" spans="2:22">
      <c r="B1991" s="318">
        <f t="shared" si="123"/>
        <v>46195</v>
      </c>
      <c r="C1991" s="312">
        <v>19</v>
      </c>
      <c r="D1991" s="368">
        <f>IFERROR((INDEX(METADATA!$T$2:$T$20,MATCH(B1991,METADATA!$S$2:$S$20,0))),0)</f>
        <v>0</v>
      </c>
      <c r="E1991" s="312" t="str">
        <f t="shared" si="124"/>
        <v>LO</v>
      </c>
      <c r="F1991" s="369">
        <f>VLOOKUP(C1991,METADATA!$A$5:$H$29,IF(E1991="HI",2,IF(E1991="LO",6,10))+IF(D1991=1,2,IF(D1991=7,1,(IF(WEEKDAY(B1991)=1,2,IF(WEEKDAY(B1991)=7,1,0))))))</f>
        <v>1</v>
      </c>
      <c r="G1991" s="369">
        <f>VLOOKUP(C1991,METADATA!$J$5:$Q$29,IF(E1991="HI",2,IF(E1991="LO",6,10))+IF(D1991=1,2,IF(D1991=7,1,(IF(WEEKDAY(B1991)=1,2,IF(WEEKDAY(B1991)=7,1,0))))))</f>
        <v>1</v>
      </c>
      <c r="H1991" s="370">
        <v>13824.950012207031</v>
      </c>
      <c r="I1991" s="370">
        <v>4385.7850646972656</v>
      </c>
      <c r="M1991" s="371">
        <f t="shared" si="125"/>
        <v>14503.942687205599</v>
      </c>
      <c r="N1991" s="329">
        <f t="shared" si="126"/>
        <v>238.30006103515643</v>
      </c>
      <c r="T1991" s="331">
        <v>0</v>
      </c>
      <c r="U1991" s="328">
        <f>VLOOKUP(C1991,METADATA!$J$5:$Q$29,IF(E1991="HI",2,IF(E1991="LO",6,10))+IF(T1991=1,2,IF(D1991=7,1,(IF(WEEKDAY(B1991)=1,2,IF(WEEKDAY(B1991)=7,1,0))))))</f>
        <v>1</v>
      </c>
      <c r="V1991" s="328">
        <f>VLOOKUP(C1991,METADATA!$A$5:$H$29,IF(E1991="HI",2,IF(E1991="LO",6,10))+IF(T1991=1,2,IF(D1991=7,1,(IF(WEEKDAY(B1991)=1,2,IF(WEEKDAY(B1991)=7,1,0))))))</f>
        <v>1</v>
      </c>
    </row>
    <row r="1992" spans="2:22">
      <c r="B1992" s="318">
        <f t="shared" si="123"/>
        <v>46195</v>
      </c>
      <c r="C1992" s="312">
        <v>20</v>
      </c>
      <c r="D1992" s="368">
        <f>IFERROR((INDEX(METADATA!$T$2:$T$20,MATCH(B1992,METADATA!$S$2:$S$20,0))),0)</f>
        <v>0</v>
      </c>
      <c r="E1992" s="312" t="str">
        <f t="shared" si="124"/>
        <v>LO</v>
      </c>
      <c r="F1992" s="369">
        <f>VLOOKUP(C1992,METADATA!$A$5:$H$29,IF(E1992="HI",2,IF(E1992="LO",6,10))+IF(D1992=1,2,IF(D1992=7,1,(IF(WEEKDAY(B1992)=1,2,IF(WEEKDAY(B1992)=7,1,0))))))</f>
        <v>1</v>
      </c>
      <c r="G1992" s="369">
        <f>VLOOKUP(C1992,METADATA!$J$5:$Q$29,IF(E1992="HI",2,IF(E1992="LO",6,10))+IF(D1992=1,2,IF(D1992=7,1,(IF(WEEKDAY(B1992)=1,2,IF(WEEKDAY(B1992)=7,1,0))))))</f>
        <v>1</v>
      </c>
      <c r="H1992" s="370">
        <v>13900.700012207031</v>
      </c>
      <c r="I1992" s="370">
        <v>4552.2249755859375</v>
      </c>
      <c r="M1992" s="371">
        <f t="shared" si="125"/>
        <v>14627.105423074005</v>
      </c>
      <c r="N1992" s="329">
        <f t="shared" si="126"/>
        <v>382.01497192382794</v>
      </c>
      <c r="T1992" s="331">
        <v>0</v>
      </c>
      <c r="U1992" s="328">
        <f>VLOOKUP(C1992,METADATA!$J$5:$Q$29,IF(E1992="HI",2,IF(E1992="LO",6,10))+IF(T1992=1,2,IF(D1992=7,1,(IF(WEEKDAY(B1992)=1,2,IF(WEEKDAY(B1992)=7,1,0))))))</f>
        <v>1</v>
      </c>
      <c r="V1992" s="328">
        <f>VLOOKUP(C1992,METADATA!$A$5:$H$29,IF(E1992="HI",2,IF(E1992="LO",6,10))+IF(T1992=1,2,IF(D1992=7,1,(IF(WEEKDAY(B1992)=1,2,IF(WEEKDAY(B1992)=7,1,0))))))</f>
        <v>1</v>
      </c>
    </row>
    <row r="1993" spans="2:22">
      <c r="B1993" s="318">
        <f t="shared" si="123"/>
        <v>46195</v>
      </c>
      <c r="C1993" s="312">
        <v>21</v>
      </c>
      <c r="D1993" s="368">
        <f>IFERROR((INDEX(METADATA!$T$2:$T$20,MATCH(B1993,METADATA!$S$2:$S$20,0))),0)</f>
        <v>0</v>
      </c>
      <c r="E1993" s="312" t="str">
        <f t="shared" si="124"/>
        <v>LO</v>
      </c>
      <c r="F1993" s="369">
        <f>VLOOKUP(C1993,METADATA!$A$5:$H$29,IF(E1993="HI",2,IF(E1993="LO",6,10))+IF(D1993=1,2,IF(D1993=7,1,(IF(WEEKDAY(B1993)=1,2,IF(WEEKDAY(B1993)=7,1,0))))))</f>
        <v>2</v>
      </c>
      <c r="G1993" s="369">
        <f>VLOOKUP(C1993,METADATA!$J$5:$Q$29,IF(E1993="HI",2,IF(E1993="LO",6,10))+IF(D1993=1,2,IF(D1993=7,1,(IF(WEEKDAY(B1993)=1,2,IF(WEEKDAY(B1993)=7,1,0))))))</f>
        <v>2</v>
      </c>
      <c r="H1993" s="370">
        <v>13958.224975585938</v>
      </c>
      <c r="I1993" s="370">
        <v>4649.0999145507813</v>
      </c>
      <c r="M1993" s="371">
        <f t="shared" si="125"/>
        <v>14712.109790391965</v>
      </c>
      <c r="N1993" s="329">
        <f t="shared" si="126"/>
        <v>461.63242187500055</v>
      </c>
      <c r="T1993" s="331">
        <v>0</v>
      </c>
      <c r="U1993" s="328">
        <f>VLOOKUP(C1993,METADATA!$J$5:$Q$29,IF(E1993="HI",2,IF(E1993="LO",6,10))+IF(T1993=1,2,IF(D1993=7,1,(IF(WEEKDAY(B1993)=1,2,IF(WEEKDAY(B1993)=7,1,0))))))</f>
        <v>2</v>
      </c>
      <c r="V1993" s="328">
        <f>VLOOKUP(C1993,METADATA!$A$5:$H$29,IF(E1993="HI",2,IF(E1993="LO",6,10))+IF(T1993=1,2,IF(D1993=7,1,(IF(WEEKDAY(B1993)=1,2,IF(WEEKDAY(B1993)=7,1,0))))))</f>
        <v>2</v>
      </c>
    </row>
    <row r="1994" spans="2:22">
      <c r="B1994" s="318">
        <f t="shared" si="123"/>
        <v>46195</v>
      </c>
      <c r="C1994" s="312">
        <v>22</v>
      </c>
      <c r="D1994" s="368">
        <f>IFERROR((INDEX(METADATA!$T$2:$T$20,MATCH(B1994,METADATA!$S$2:$S$20,0))),0)</f>
        <v>0</v>
      </c>
      <c r="E1994" s="312" t="str">
        <f t="shared" si="124"/>
        <v>LO</v>
      </c>
      <c r="F1994" s="369">
        <f>VLOOKUP(C1994,METADATA!$A$5:$H$29,IF(E1994="HI",2,IF(E1994="LO",6,10))+IF(D1994=1,2,IF(D1994=7,1,(IF(WEEKDAY(B1994)=1,2,IF(WEEKDAY(B1994)=7,1,0))))))</f>
        <v>3</v>
      </c>
      <c r="G1994" s="369">
        <f>VLOOKUP(C1994,METADATA!$J$5:$Q$29,IF(E1994="HI",2,IF(E1994="LO",6,10))+IF(D1994=1,2,IF(D1994=7,1,(IF(WEEKDAY(B1994)=1,2,IF(WEEKDAY(B1994)=7,1,0))))))</f>
        <v>3</v>
      </c>
      <c r="H1994" s="370">
        <v>13794.125061035156</v>
      </c>
      <c r="I1994" s="370">
        <v>4370.114990234375</v>
      </c>
      <c r="M1994" s="371">
        <f t="shared" si="125"/>
        <v>14469.823469114934</v>
      </c>
      <c r="N1994" s="329">
        <f t="shared" si="126"/>
        <v>231.87747192382813</v>
      </c>
      <c r="T1994" s="331">
        <v>0</v>
      </c>
      <c r="U1994" s="328">
        <f>VLOOKUP(C1994,METADATA!$J$5:$Q$29,IF(E1994="HI",2,IF(E1994="LO",6,10))+IF(T1994=1,2,IF(D1994=7,1,(IF(WEEKDAY(B1994)=1,2,IF(WEEKDAY(B1994)=7,1,0))))))</f>
        <v>3</v>
      </c>
      <c r="V1994" s="328">
        <f>VLOOKUP(C1994,METADATA!$A$5:$H$29,IF(E1994="HI",2,IF(E1994="LO",6,10))+IF(T1994=1,2,IF(D1994=7,1,(IF(WEEKDAY(B1994)=1,2,IF(WEEKDAY(B1994)=7,1,0))))))</f>
        <v>3</v>
      </c>
    </row>
    <row r="1995" spans="2:22">
      <c r="B1995" s="318">
        <f t="shared" si="123"/>
        <v>46195</v>
      </c>
      <c r="C1995" s="312">
        <v>23</v>
      </c>
      <c r="D1995" s="368">
        <f>IFERROR((INDEX(METADATA!$T$2:$T$20,MATCH(B1995,METADATA!$S$2:$S$20,0))),0)</f>
        <v>0</v>
      </c>
      <c r="E1995" s="312" t="str">
        <f t="shared" si="124"/>
        <v>LO</v>
      </c>
      <c r="F1995" s="369">
        <f>VLOOKUP(C1995,METADATA!$A$5:$H$29,IF(E1995="HI",2,IF(E1995="LO",6,10))+IF(D1995=1,2,IF(D1995=7,1,(IF(WEEKDAY(B1995)=1,2,IF(WEEKDAY(B1995)=7,1,0))))))</f>
        <v>3</v>
      </c>
      <c r="G1995" s="369">
        <f>VLOOKUP(C1995,METADATA!$J$5:$Q$29,IF(E1995="HI",2,IF(E1995="LO",6,10))+IF(D1995=1,2,IF(D1995=7,1,(IF(WEEKDAY(B1995)=1,2,IF(WEEKDAY(B1995)=7,1,0))))))</f>
        <v>3</v>
      </c>
      <c r="H1995" s="370">
        <v>13848.800048828125</v>
      </c>
      <c r="I1995" s="370">
        <v>4587.0999145507813</v>
      </c>
      <c r="M1995" s="371">
        <f t="shared" si="125"/>
        <v>14588.719903353194</v>
      </c>
      <c r="N1995" s="329">
        <f t="shared" si="126"/>
        <v>432.45989990234375</v>
      </c>
      <c r="T1995" s="331">
        <v>0</v>
      </c>
      <c r="U1995" s="328">
        <f>VLOOKUP(C1995,METADATA!$J$5:$Q$29,IF(E1995="HI",2,IF(E1995="LO",6,10))+IF(T1995=1,2,IF(D1995=7,1,(IF(WEEKDAY(B1995)=1,2,IF(WEEKDAY(B1995)=7,1,0))))))</f>
        <v>3</v>
      </c>
      <c r="V1995" s="328">
        <f>VLOOKUP(C1995,METADATA!$A$5:$H$29,IF(E1995="HI",2,IF(E1995="LO",6,10))+IF(T1995=1,2,IF(D1995=7,1,(IF(WEEKDAY(B1995)=1,2,IF(WEEKDAY(B1995)=7,1,0))))))</f>
        <v>3</v>
      </c>
    </row>
    <row r="1996" spans="2:22">
      <c r="B1996" s="318">
        <f t="shared" si="123"/>
        <v>46196</v>
      </c>
      <c r="C1996" s="312">
        <v>0</v>
      </c>
      <c r="D1996" s="368">
        <f>IFERROR((INDEX(METADATA!$T$2:$T$20,MATCH(B1996,METADATA!$S$2:$S$20,0))),0)</f>
        <v>0</v>
      </c>
      <c r="E1996" s="312" t="str">
        <f t="shared" si="124"/>
        <v>LO</v>
      </c>
      <c r="F1996" s="369">
        <f>VLOOKUP(C1996,METADATA!$A$5:$H$29,IF(E1996="HI",2,IF(E1996="LO",6,10))+IF(D1996=1,2,IF(D1996=7,1,(IF(WEEKDAY(B1996)=1,2,IF(WEEKDAY(B1996)=7,1,0))))))</f>
        <v>3</v>
      </c>
      <c r="G1996" s="369">
        <f>VLOOKUP(C1996,METADATA!$J$5:$Q$29,IF(E1996="HI",2,IF(E1996="LO",6,10))+IF(D1996=1,2,IF(D1996=7,1,(IF(WEEKDAY(B1996)=1,2,IF(WEEKDAY(B1996)=7,1,0))))))</f>
        <v>3</v>
      </c>
      <c r="H1996" s="370">
        <v>13688.275146484375</v>
      </c>
      <c r="I1996" s="370">
        <v>4501.9249267578125</v>
      </c>
      <c r="M1996" s="371">
        <f t="shared" si="125"/>
        <v>14409.587243638354</v>
      </c>
      <c r="N1996" s="329">
        <f t="shared" si="126"/>
        <v>395.4423828125</v>
      </c>
      <c r="T1996" s="331">
        <v>0</v>
      </c>
      <c r="U1996" s="328">
        <f>VLOOKUP(C1996,METADATA!$J$5:$Q$29,IF(E1996="HI",2,IF(E1996="LO",6,10))+IF(T1996=1,2,IF(D1996=7,1,(IF(WEEKDAY(B1996)=1,2,IF(WEEKDAY(B1996)=7,1,0))))))</f>
        <v>3</v>
      </c>
      <c r="V1996" s="328">
        <f>VLOOKUP(C1996,METADATA!$A$5:$H$29,IF(E1996="HI",2,IF(E1996="LO",6,10))+IF(T1996=1,2,IF(D1996=7,1,(IF(WEEKDAY(B1996)=1,2,IF(WEEKDAY(B1996)=7,1,0))))))</f>
        <v>3</v>
      </c>
    </row>
    <row r="1997" spans="2:22">
      <c r="B1997" s="318">
        <f t="shared" si="123"/>
        <v>46196</v>
      </c>
      <c r="C1997" s="312">
        <v>1</v>
      </c>
      <c r="D1997" s="368">
        <f>IFERROR((INDEX(METADATA!$T$2:$T$20,MATCH(B1997,METADATA!$S$2:$S$20,0))),0)</f>
        <v>0</v>
      </c>
      <c r="E1997" s="312" t="str">
        <f t="shared" si="124"/>
        <v>LO</v>
      </c>
      <c r="F1997" s="369">
        <f>VLOOKUP(C1997,METADATA!$A$5:$H$29,IF(E1997="HI",2,IF(E1997="LO",6,10))+IF(D1997=1,2,IF(D1997=7,1,(IF(WEEKDAY(B1997)=1,2,IF(WEEKDAY(B1997)=7,1,0))))))</f>
        <v>3</v>
      </c>
      <c r="G1997" s="369">
        <f>VLOOKUP(C1997,METADATA!$J$5:$Q$29,IF(E1997="HI",2,IF(E1997="LO",6,10))+IF(D1997=1,2,IF(D1997=7,1,(IF(WEEKDAY(B1997)=1,2,IF(WEEKDAY(B1997)=7,1,0))))))</f>
        <v>3</v>
      </c>
      <c r="H1997" s="370">
        <v>13506.550048828125</v>
      </c>
      <c r="I1997" s="370">
        <v>4400.4249877929688</v>
      </c>
      <c r="M1997" s="371">
        <f t="shared" si="125"/>
        <v>14205.303034243647</v>
      </c>
      <c r="N1997" s="329">
        <f t="shared" si="126"/>
        <v>348.45997314453143</v>
      </c>
      <c r="T1997" s="331">
        <v>0</v>
      </c>
      <c r="U1997" s="328">
        <f>VLOOKUP(C1997,METADATA!$J$5:$Q$29,IF(E1997="HI",2,IF(E1997="LO",6,10))+IF(T1997=1,2,IF(D1997=7,1,(IF(WEEKDAY(B1997)=1,2,IF(WEEKDAY(B1997)=7,1,0))))))</f>
        <v>3</v>
      </c>
      <c r="V1997" s="328">
        <f>VLOOKUP(C1997,METADATA!$A$5:$H$29,IF(E1997="HI",2,IF(E1997="LO",6,10))+IF(T1997=1,2,IF(D1997=7,1,(IF(WEEKDAY(B1997)=1,2,IF(WEEKDAY(B1997)=7,1,0))))))</f>
        <v>3</v>
      </c>
    </row>
    <row r="1998" spans="2:22">
      <c r="B1998" s="318">
        <f t="shared" si="123"/>
        <v>46196</v>
      </c>
      <c r="C1998" s="312">
        <v>2</v>
      </c>
      <c r="D1998" s="368">
        <f>IFERROR((INDEX(METADATA!$T$2:$T$20,MATCH(B1998,METADATA!$S$2:$S$20,0))),0)</f>
        <v>0</v>
      </c>
      <c r="E1998" s="312" t="str">
        <f t="shared" si="124"/>
        <v>LO</v>
      </c>
      <c r="F1998" s="369">
        <f>VLOOKUP(C1998,METADATA!$A$5:$H$29,IF(E1998="HI",2,IF(E1998="LO",6,10))+IF(D1998=1,2,IF(D1998=7,1,(IF(WEEKDAY(B1998)=1,2,IF(WEEKDAY(B1998)=7,1,0))))))</f>
        <v>3</v>
      </c>
      <c r="G1998" s="369">
        <f>VLOOKUP(C1998,METADATA!$J$5:$Q$29,IF(E1998="HI",2,IF(E1998="LO",6,10))+IF(D1998=1,2,IF(D1998=7,1,(IF(WEEKDAY(B1998)=1,2,IF(WEEKDAY(B1998)=7,1,0))))))</f>
        <v>3</v>
      </c>
      <c r="H1998" s="370">
        <v>13729.975463867188</v>
      </c>
      <c r="I1998" s="370">
        <v>4504.0249938964844</v>
      </c>
      <c r="M1998" s="371">
        <f t="shared" si="125"/>
        <v>14449.860462441815</v>
      </c>
      <c r="N1998" s="329">
        <f t="shared" si="126"/>
        <v>385.03235473632867</v>
      </c>
      <c r="T1998" s="331">
        <v>0</v>
      </c>
      <c r="U1998" s="328">
        <f>VLOOKUP(C1998,METADATA!$J$5:$Q$29,IF(E1998="HI",2,IF(E1998="LO",6,10))+IF(T1998=1,2,IF(D1998=7,1,(IF(WEEKDAY(B1998)=1,2,IF(WEEKDAY(B1998)=7,1,0))))))</f>
        <v>3</v>
      </c>
      <c r="V1998" s="328">
        <f>VLOOKUP(C1998,METADATA!$A$5:$H$29,IF(E1998="HI",2,IF(E1998="LO",6,10))+IF(T1998=1,2,IF(D1998=7,1,(IF(WEEKDAY(B1998)=1,2,IF(WEEKDAY(B1998)=7,1,0))))))</f>
        <v>3</v>
      </c>
    </row>
    <row r="1999" spans="2:22">
      <c r="B1999" s="318">
        <f t="shared" si="123"/>
        <v>46196</v>
      </c>
      <c r="C1999" s="312">
        <v>3</v>
      </c>
      <c r="D1999" s="368">
        <f>IFERROR((INDEX(METADATA!$T$2:$T$20,MATCH(B1999,METADATA!$S$2:$S$20,0))),0)</f>
        <v>0</v>
      </c>
      <c r="E1999" s="312" t="str">
        <f t="shared" si="124"/>
        <v>LO</v>
      </c>
      <c r="F1999" s="369">
        <f>VLOOKUP(C1999,METADATA!$A$5:$H$29,IF(E1999="HI",2,IF(E1999="LO",6,10))+IF(D1999=1,2,IF(D1999=7,1,(IF(WEEKDAY(B1999)=1,2,IF(WEEKDAY(B1999)=7,1,0))))))</f>
        <v>3</v>
      </c>
      <c r="G1999" s="369">
        <f>VLOOKUP(C1999,METADATA!$J$5:$Q$29,IF(E1999="HI",2,IF(E1999="LO",6,10))+IF(D1999=1,2,IF(D1999=7,1,(IF(WEEKDAY(B1999)=1,2,IF(WEEKDAY(B1999)=7,1,0))))))</f>
        <v>3</v>
      </c>
      <c r="H1999" s="370">
        <v>13675.474426269531</v>
      </c>
      <c r="I1999" s="370">
        <v>4447.6749267578125</v>
      </c>
      <c r="M1999" s="371">
        <f t="shared" si="125"/>
        <v>14380.556770781237</v>
      </c>
      <c r="N1999" s="329">
        <f t="shared" si="126"/>
        <v>345.03259887695367</v>
      </c>
      <c r="T1999" s="331">
        <v>0</v>
      </c>
      <c r="U1999" s="328">
        <f>VLOOKUP(C1999,METADATA!$J$5:$Q$29,IF(E1999="HI",2,IF(E1999="LO",6,10))+IF(T1999=1,2,IF(D1999=7,1,(IF(WEEKDAY(B1999)=1,2,IF(WEEKDAY(B1999)=7,1,0))))))</f>
        <v>3</v>
      </c>
      <c r="V1999" s="328">
        <f>VLOOKUP(C1999,METADATA!$A$5:$H$29,IF(E1999="HI",2,IF(E1999="LO",6,10))+IF(T1999=1,2,IF(D1999=7,1,(IF(WEEKDAY(B1999)=1,2,IF(WEEKDAY(B1999)=7,1,0))))))</f>
        <v>3</v>
      </c>
    </row>
    <row r="2000" spans="2:22">
      <c r="B2000" s="318">
        <f t="shared" si="123"/>
        <v>46196</v>
      </c>
      <c r="C2000" s="312">
        <v>4</v>
      </c>
      <c r="D2000" s="368">
        <f>IFERROR((INDEX(METADATA!$T$2:$T$20,MATCH(B2000,METADATA!$S$2:$S$20,0))),0)</f>
        <v>0</v>
      </c>
      <c r="E2000" s="312" t="str">
        <f t="shared" si="124"/>
        <v>LO</v>
      </c>
      <c r="F2000" s="369">
        <f>VLOOKUP(C2000,METADATA!$A$5:$H$29,IF(E2000="HI",2,IF(E2000="LO",6,10))+IF(D2000=1,2,IF(D2000=7,1,(IF(WEEKDAY(B2000)=1,2,IF(WEEKDAY(B2000)=7,1,0))))))</f>
        <v>3</v>
      </c>
      <c r="G2000" s="369">
        <f>VLOOKUP(C2000,METADATA!$J$5:$Q$29,IF(E2000="HI",2,IF(E2000="LO",6,10))+IF(D2000=1,2,IF(D2000=7,1,(IF(WEEKDAY(B2000)=1,2,IF(WEEKDAY(B2000)=7,1,0))))))</f>
        <v>3</v>
      </c>
      <c r="H2000" s="370">
        <v>13395.224670410156</v>
      </c>
      <c r="I2000" s="370">
        <v>4260.0849914550781</v>
      </c>
      <c r="M2000" s="371">
        <f t="shared" si="125"/>
        <v>14056.328400588316</v>
      </c>
      <c r="N2000" s="329">
        <f t="shared" si="126"/>
        <v>241.51759033203143</v>
      </c>
      <c r="T2000" s="331">
        <v>0</v>
      </c>
      <c r="U2000" s="328">
        <f>VLOOKUP(C2000,METADATA!$J$5:$Q$29,IF(E2000="HI",2,IF(E2000="LO",6,10))+IF(T2000=1,2,IF(D2000=7,1,(IF(WEEKDAY(B2000)=1,2,IF(WEEKDAY(B2000)=7,1,0))))))</f>
        <v>3</v>
      </c>
      <c r="V2000" s="328">
        <f>VLOOKUP(C2000,METADATA!$A$5:$H$29,IF(E2000="HI",2,IF(E2000="LO",6,10))+IF(T2000=1,2,IF(D2000=7,1,(IF(WEEKDAY(B2000)=1,2,IF(WEEKDAY(B2000)=7,1,0))))))</f>
        <v>3</v>
      </c>
    </row>
    <row r="2001" spans="2:22">
      <c r="B2001" s="318">
        <f t="shared" si="123"/>
        <v>46196</v>
      </c>
      <c r="C2001" s="312">
        <v>5</v>
      </c>
      <c r="D2001" s="368">
        <f>IFERROR((INDEX(METADATA!$T$2:$T$20,MATCH(B2001,METADATA!$S$2:$S$20,0))),0)</f>
        <v>0</v>
      </c>
      <c r="E2001" s="312" t="str">
        <f t="shared" si="124"/>
        <v>LO</v>
      </c>
      <c r="F2001" s="369">
        <f>VLOOKUP(C2001,METADATA!$A$5:$H$29,IF(E2001="HI",2,IF(E2001="LO",6,10))+IF(D2001=1,2,IF(D2001=7,1,(IF(WEEKDAY(B2001)=1,2,IF(WEEKDAY(B2001)=7,1,0))))))</f>
        <v>3</v>
      </c>
      <c r="G2001" s="369">
        <f>VLOOKUP(C2001,METADATA!$J$5:$Q$29,IF(E2001="HI",2,IF(E2001="LO",6,10))+IF(D2001=1,2,IF(D2001=7,1,(IF(WEEKDAY(B2001)=1,2,IF(WEEKDAY(B2001)=7,1,0))))))</f>
        <v>3</v>
      </c>
      <c r="H2001" s="370">
        <v>13662.400024414063</v>
      </c>
      <c r="I2001" s="370">
        <v>4226.8348999023438</v>
      </c>
      <c r="M2001" s="371">
        <f t="shared" si="125"/>
        <v>14301.304405477907</v>
      </c>
      <c r="N2001" s="329">
        <f t="shared" si="126"/>
        <v>128.11489257812536</v>
      </c>
      <c r="T2001" s="331">
        <v>0</v>
      </c>
      <c r="U2001" s="328">
        <f>VLOOKUP(C2001,METADATA!$J$5:$Q$29,IF(E2001="HI",2,IF(E2001="LO",6,10))+IF(T2001=1,2,IF(D2001=7,1,(IF(WEEKDAY(B2001)=1,2,IF(WEEKDAY(B2001)=7,1,0))))))</f>
        <v>3</v>
      </c>
      <c r="V2001" s="328">
        <f>VLOOKUP(C2001,METADATA!$A$5:$H$29,IF(E2001="HI",2,IF(E2001="LO",6,10))+IF(T2001=1,2,IF(D2001=7,1,(IF(WEEKDAY(B2001)=1,2,IF(WEEKDAY(B2001)=7,1,0))))))</f>
        <v>3</v>
      </c>
    </row>
    <row r="2002" spans="2:22">
      <c r="B2002" s="318">
        <f t="shared" si="123"/>
        <v>46196</v>
      </c>
      <c r="C2002" s="312">
        <v>6</v>
      </c>
      <c r="D2002" s="368">
        <f>IFERROR((INDEX(METADATA!$T$2:$T$20,MATCH(B2002,METADATA!$S$2:$S$20,0))),0)</f>
        <v>0</v>
      </c>
      <c r="E2002" s="312" t="str">
        <f t="shared" si="124"/>
        <v>LO</v>
      </c>
      <c r="F2002" s="369">
        <f>VLOOKUP(C2002,METADATA!$A$5:$H$29,IF(E2002="HI",2,IF(E2002="LO",6,10))+IF(D2002=1,2,IF(D2002=7,1,(IF(WEEKDAY(B2002)=1,2,IF(WEEKDAY(B2002)=7,1,0))))))</f>
        <v>2</v>
      </c>
      <c r="G2002" s="369">
        <f>VLOOKUP(C2002,METADATA!$J$5:$Q$29,IF(E2002="HI",2,IF(E2002="LO",6,10))+IF(D2002=1,2,IF(D2002=7,1,(IF(WEEKDAY(B2002)=1,2,IF(WEEKDAY(B2002)=7,1,0))))))</f>
        <v>2</v>
      </c>
      <c r="H2002" s="370">
        <v>13544.595092773438</v>
      </c>
      <c r="I2002" s="370">
        <v>3951.8799438476563</v>
      </c>
      <c r="M2002" s="371">
        <f t="shared" si="125"/>
        <v>14109.337734910438</v>
      </c>
      <c r="N2002" s="329">
        <f t="shared" si="126"/>
        <v>0</v>
      </c>
      <c r="T2002" s="331">
        <v>0</v>
      </c>
      <c r="U2002" s="328">
        <f>VLOOKUP(C2002,METADATA!$J$5:$Q$29,IF(E2002="HI",2,IF(E2002="LO",6,10))+IF(T2002=1,2,IF(D2002=7,1,(IF(WEEKDAY(B2002)=1,2,IF(WEEKDAY(B2002)=7,1,0))))))</f>
        <v>2</v>
      </c>
      <c r="V2002" s="328">
        <f>VLOOKUP(C2002,METADATA!$A$5:$H$29,IF(E2002="HI",2,IF(E2002="LO",6,10))+IF(T2002=1,2,IF(D2002=7,1,(IF(WEEKDAY(B2002)=1,2,IF(WEEKDAY(B2002)=7,1,0))))))</f>
        <v>2</v>
      </c>
    </row>
    <row r="2003" spans="2:22">
      <c r="B2003" s="318">
        <f t="shared" si="123"/>
        <v>46196</v>
      </c>
      <c r="C2003" s="312">
        <v>7</v>
      </c>
      <c r="D2003" s="368">
        <f>IFERROR((INDEX(METADATA!$T$2:$T$20,MATCH(B2003,METADATA!$S$2:$S$20,0))),0)</f>
        <v>0</v>
      </c>
      <c r="E2003" s="312" t="str">
        <f t="shared" si="124"/>
        <v>LO</v>
      </c>
      <c r="F2003" s="369">
        <f>VLOOKUP(C2003,METADATA!$A$5:$H$29,IF(E2003="HI",2,IF(E2003="LO",6,10))+IF(D2003=1,2,IF(D2003=7,1,(IF(WEEKDAY(B2003)=1,2,IF(WEEKDAY(B2003)=7,1,0))))))</f>
        <v>1</v>
      </c>
      <c r="G2003" s="369">
        <f>VLOOKUP(C2003,METADATA!$J$5:$Q$29,IF(E2003="HI",2,IF(E2003="LO",6,10))+IF(D2003=1,2,IF(D2003=7,1,(IF(WEEKDAY(B2003)=1,2,IF(WEEKDAY(B2003)=7,1,0))))))</f>
        <v>1</v>
      </c>
      <c r="H2003" s="370">
        <v>13625.199768066406</v>
      </c>
      <c r="I2003" s="370">
        <v>4014.5849609375</v>
      </c>
      <c r="M2003" s="371">
        <f t="shared" si="125"/>
        <v>14204.32895733911</v>
      </c>
      <c r="N2003" s="329">
        <f t="shared" si="126"/>
        <v>0</v>
      </c>
      <c r="T2003" s="331">
        <v>0</v>
      </c>
      <c r="U2003" s="328">
        <f>VLOOKUP(C2003,METADATA!$J$5:$Q$29,IF(E2003="HI",2,IF(E2003="LO",6,10))+IF(T2003=1,2,IF(D2003=7,1,(IF(WEEKDAY(B2003)=1,2,IF(WEEKDAY(B2003)=7,1,0))))))</f>
        <v>1</v>
      </c>
      <c r="V2003" s="328">
        <f>VLOOKUP(C2003,METADATA!$A$5:$H$29,IF(E2003="HI",2,IF(E2003="LO",6,10))+IF(T2003=1,2,IF(D2003=7,1,(IF(WEEKDAY(B2003)=1,2,IF(WEEKDAY(B2003)=7,1,0))))))</f>
        <v>1</v>
      </c>
    </row>
    <row r="2004" spans="2:22">
      <c r="B2004" s="318">
        <f t="shared" si="123"/>
        <v>46196</v>
      </c>
      <c r="C2004" s="312">
        <v>8</v>
      </c>
      <c r="D2004" s="368">
        <f>IFERROR((INDEX(METADATA!$T$2:$T$20,MATCH(B2004,METADATA!$S$2:$S$20,0))),0)</f>
        <v>0</v>
      </c>
      <c r="E2004" s="312" t="str">
        <f t="shared" si="124"/>
        <v>LO</v>
      </c>
      <c r="F2004" s="369">
        <f>VLOOKUP(C2004,METADATA!$A$5:$H$29,IF(E2004="HI",2,IF(E2004="LO",6,10))+IF(D2004=1,2,IF(D2004=7,1,(IF(WEEKDAY(B2004)=1,2,IF(WEEKDAY(B2004)=7,1,0))))))</f>
        <v>1</v>
      </c>
      <c r="G2004" s="369">
        <f>VLOOKUP(C2004,METADATA!$J$5:$Q$29,IF(E2004="HI",2,IF(E2004="LO",6,10))+IF(D2004=1,2,IF(D2004=7,1,(IF(WEEKDAY(B2004)=1,2,IF(WEEKDAY(B2004)=7,1,0))))))</f>
        <v>1</v>
      </c>
      <c r="H2004" s="370">
        <v>13958.10009765625</v>
      </c>
      <c r="I2004" s="370">
        <v>4290.469970703125</v>
      </c>
      <c r="M2004" s="371">
        <f t="shared" si="125"/>
        <v>14602.626164690264</v>
      </c>
      <c r="N2004" s="329">
        <f t="shared" si="126"/>
        <v>103.03994140625036</v>
      </c>
      <c r="T2004" s="331">
        <v>0</v>
      </c>
      <c r="U2004" s="328">
        <f>VLOOKUP(C2004,METADATA!$J$5:$Q$29,IF(E2004="HI",2,IF(E2004="LO",6,10))+IF(T2004=1,2,IF(D2004=7,1,(IF(WEEKDAY(B2004)=1,2,IF(WEEKDAY(B2004)=7,1,0))))))</f>
        <v>1</v>
      </c>
      <c r="V2004" s="328">
        <f>VLOOKUP(C2004,METADATA!$A$5:$H$29,IF(E2004="HI",2,IF(E2004="LO",6,10))+IF(T2004=1,2,IF(D2004=7,1,(IF(WEEKDAY(B2004)=1,2,IF(WEEKDAY(B2004)=7,1,0))))))</f>
        <v>1</v>
      </c>
    </row>
    <row r="2005" spans="2:22">
      <c r="B2005" s="318">
        <f t="shared" si="123"/>
        <v>46196</v>
      </c>
      <c r="C2005" s="312">
        <v>9</v>
      </c>
      <c r="D2005" s="368">
        <f>IFERROR((INDEX(METADATA!$T$2:$T$20,MATCH(B2005,METADATA!$S$2:$S$20,0))),0)</f>
        <v>0</v>
      </c>
      <c r="E2005" s="312" t="str">
        <f t="shared" si="124"/>
        <v>LO</v>
      </c>
      <c r="F2005" s="369">
        <f>VLOOKUP(C2005,METADATA!$A$5:$H$29,IF(E2005="HI",2,IF(E2005="LO",6,10))+IF(D2005=1,2,IF(D2005=7,1,(IF(WEEKDAY(B2005)=1,2,IF(WEEKDAY(B2005)=7,1,0))))))</f>
        <v>2</v>
      </c>
      <c r="G2005" s="369">
        <f>VLOOKUP(C2005,METADATA!$J$5:$Q$29,IF(E2005="HI",2,IF(E2005="LO",6,10))+IF(D2005=1,2,IF(D2005=7,1,(IF(WEEKDAY(B2005)=1,2,IF(WEEKDAY(B2005)=7,1,0))))))</f>
        <v>2</v>
      </c>
      <c r="H2005" s="370">
        <v>13881.372802734375</v>
      </c>
      <c r="I2005" s="370">
        <v>4331.8074951171875</v>
      </c>
      <c r="M2005" s="371">
        <f t="shared" si="125"/>
        <v>14541.56343256278</v>
      </c>
      <c r="N2005" s="329">
        <f t="shared" si="126"/>
        <v>167.39565429687536</v>
      </c>
      <c r="T2005" s="331">
        <v>0</v>
      </c>
      <c r="U2005" s="328">
        <f>VLOOKUP(C2005,METADATA!$J$5:$Q$29,IF(E2005="HI",2,IF(E2005="LO",6,10))+IF(T2005=1,2,IF(D2005=7,1,(IF(WEEKDAY(B2005)=1,2,IF(WEEKDAY(B2005)=7,1,0))))))</f>
        <v>2</v>
      </c>
      <c r="V2005" s="328">
        <f>VLOOKUP(C2005,METADATA!$A$5:$H$29,IF(E2005="HI",2,IF(E2005="LO",6,10))+IF(T2005=1,2,IF(D2005=7,1,(IF(WEEKDAY(B2005)=1,2,IF(WEEKDAY(B2005)=7,1,0))))))</f>
        <v>2</v>
      </c>
    </row>
    <row r="2006" spans="2:22">
      <c r="B2006" s="318">
        <f t="shared" si="123"/>
        <v>46196</v>
      </c>
      <c r="C2006" s="312">
        <v>10</v>
      </c>
      <c r="D2006" s="368">
        <f>IFERROR((INDEX(METADATA!$T$2:$T$20,MATCH(B2006,METADATA!$S$2:$S$20,0))),0)</f>
        <v>0</v>
      </c>
      <c r="E2006" s="312" t="str">
        <f t="shared" si="124"/>
        <v>LO</v>
      </c>
      <c r="F2006" s="369">
        <f>VLOOKUP(C2006,METADATA!$A$5:$H$29,IF(E2006="HI",2,IF(E2006="LO",6,10))+IF(D2006=1,2,IF(D2006=7,1,(IF(WEEKDAY(B2006)=1,2,IF(WEEKDAY(B2006)=7,1,0))))))</f>
        <v>2</v>
      </c>
      <c r="G2006" s="369">
        <f>VLOOKUP(C2006,METADATA!$J$5:$Q$29,IF(E2006="HI",2,IF(E2006="LO",6,10))+IF(D2006=1,2,IF(D2006=7,1,(IF(WEEKDAY(B2006)=1,2,IF(WEEKDAY(B2006)=7,1,0))))))</f>
        <v>2</v>
      </c>
      <c r="H2006" s="370">
        <v>13878.950012207031</v>
      </c>
      <c r="I2006" s="370">
        <v>4486.25</v>
      </c>
      <c r="M2006" s="371">
        <f t="shared" si="125"/>
        <v>14586.010163983898</v>
      </c>
      <c r="N2006" s="329">
        <f t="shared" si="126"/>
        <v>322.56499633789099</v>
      </c>
      <c r="T2006" s="331">
        <v>0</v>
      </c>
      <c r="U2006" s="328">
        <f>VLOOKUP(C2006,METADATA!$J$5:$Q$29,IF(E2006="HI",2,IF(E2006="LO",6,10))+IF(T2006=1,2,IF(D2006=7,1,(IF(WEEKDAY(B2006)=1,2,IF(WEEKDAY(B2006)=7,1,0))))))</f>
        <v>2</v>
      </c>
      <c r="V2006" s="328">
        <f>VLOOKUP(C2006,METADATA!$A$5:$H$29,IF(E2006="HI",2,IF(E2006="LO",6,10))+IF(T2006=1,2,IF(D2006=7,1,(IF(WEEKDAY(B2006)=1,2,IF(WEEKDAY(B2006)=7,1,0))))))</f>
        <v>2</v>
      </c>
    </row>
    <row r="2007" spans="2:22">
      <c r="B2007" s="318">
        <f t="shared" si="123"/>
        <v>46196</v>
      </c>
      <c r="C2007" s="312">
        <v>11</v>
      </c>
      <c r="D2007" s="368">
        <f>IFERROR((INDEX(METADATA!$T$2:$T$20,MATCH(B2007,METADATA!$S$2:$S$20,0))),0)</f>
        <v>0</v>
      </c>
      <c r="E2007" s="312" t="str">
        <f t="shared" si="124"/>
        <v>LO</v>
      </c>
      <c r="F2007" s="369">
        <f>VLOOKUP(C2007,METADATA!$A$5:$H$29,IF(E2007="HI",2,IF(E2007="LO",6,10))+IF(D2007=1,2,IF(D2007=7,1,(IF(WEEKDAY(B2007)=1,2,IF(WEEKDAY(B2007)=7,1,0))))))</f>
        <v>2</v>
      </c>
      <c r="G2007" s="369">
        <f>VLOOKUP(C2007,METADATA!$J$5:$Q$29,IF(E2007="HI",2,IF(E2007="LO",6,10))+IF(D2007=1,2,IF(D2007=7,1,(IF(WEEKDAY(B2007)=1,2,IF(WEEKDAY(B2007)=7,1,0))))))</f>
        <v>2</v>
      </c>
      <c r="H2007" s="370">
        <v>13810.675170898438</v>
      </c>
      <c r="I2007" s="370">
        <v>4444.0299072265625</v>
      </c>
      <c r="M2007" s="371">
        <f t="shared" si="125"/>
        <v>14508.071908161839</v>
      </c>
      <c r="N2007" s="329">
        <f t="shared" si="126"/>
        <v>300.82735595703161</v>
      </c>
      <c r="T2007" s="331">
        <v>0</v>
      </c>
      <c r="U2007" s="328">
        <f>VLOOKUP(C2007,METADATA!$J$5:$Q$29,IF(E2007="HI",2,IF(E2007="LO",6,10))+IF(T2007=1,2,IF(D2007=7,1,(IF(WEEKDAY(B2007)=1,2,IF(WEEKDAY(B2007)=7,1,0))))))</f>
        <v>2</v>
      </c>
      <c r="V2007" s="328">
        <f>VLOOKUP(C2007,METADATA!$A$5:$H$29,IF(E2007="HI",2,IF(E2007="LO",6,10))+IF(T2007=1,2,IF(D2007=7,1,(IF(WEEKDAY(B2007)=1,2,IF(WEEKDAY(B2007)=7,1,0))))))</f>
        <v>2</v>
      </c>
    </row>
    <row r="2008" spans="2:22">
      <c r="B2008" s="318">
        <f t="shared" si="123"/>
        <v>46196</v>
      </c>
      <c r="C2008" s="312">
        <v>12</v>
      </c>
      <c r="D2008" s="368">
        <f>IFERROR((INDEX(METADATA!$T$2:$T$20,MATCH(B2008,METADATA!$S$2:$S$20,0))),0)</f>
        <v>0</v>
      </c>
      <c r="E2008" s="312" t="str">
        <f t="shared" si="124"/>
        <v>LO</v>
      </c>
      <c r="F2008" s="369">
        <f>VLOOKUP(C2008,METADATA!$A$5:$H$29,IF(E2008="HI",2,IF(E2008="LO",6,10))+IF(D2008=1,2,IF(D2008=7,1,(IF(WEEKDAY(B2008)=1,2,IF(WEEKDAY(B2008)=7,1,0))))))</f>
        <v>2</v>
      </c>
      <c r="G2008" s="369">
        <f>VLOOKUP(C2008,METADATA!$J$5:$Q$29,IF(E2008="HI",2,IF(E2008="LO",6,10))+IF(D2008=1,2,IF(D2008=7,1,(IF(WEEKDAY(B2008)=1,2,IF(WEEKDAY(B2008)=7,1,0))))))</f>
        <v>2</v>
      </c>
      <c r="H2008" s="370">
        <v>12738.232635498047</v>
      </c>
      <c r="I2008" s="370">
        <v>3906.9874572753906</v>
      </c>
      <c r="M2008" s="371">
        <f t="shared" si="125"/>
        <v>13323.930413634513</v>
      </c>
      <c r="N2008" s="329">
        <f t="shared" si="126"/>
        <v>85.517666625976744</v>
      </c>
      <c r="T2008" s="331">
        <v>0</v>
      </c>
      <c r="U2008" s="328">
        <f>VLOOKUP(C2008,METADATA!$J$5:$Q$29,IF(E2008="HI",2,IF(E2008="LO",6,10))+IF(T2008=1,2,IF(D2008=7,1,(IF(WEEKDAY(B2008)=1,2,IF(WEEKDAY(B2008)=7,1,0))))))</f>
        <v>2</v>
      </c>
      <c r="V2008" s="328">
        <f>VLOOKUP(C2008,METADATA!$A$5:$H$29,IF(E2008="HI",2,IF(E2008="LO",6,10))+IF(T2008=1,2,IF(D2008=7,1,(IF(WEEKDAY(B2008)=1,2,IF(WEEKDAY(B2008)=7,1,0))))))</f>
        <v>2</v>
      </c>
    </row>
    <row r="2009" spans="2:22">
      <c r="B2009" s="318">
        <f t="shared" si="123"/>
        <v>46196</v>
      </c>
      <c r="C2009" s="312">
        <v>13</v>
      </c>
      <c r="D2009" s="368">
        <f>IFERROR((INDEX(METADATA!$T$2:$T$20,MATCH(B2009,METADATA!$S$2:$S$20,0))),0)</f>
        <v>0</v>
      </c>
      <c r="E2009" s="312" t="str">
        <f t="shared" si="124"/>
        <v>LO</v>
      </c>
      <c r="F2009" s="369">
        <f>VLOOKUP(C2009,METADATA!$A$5:$H$29,IF(E2009="HI",2,IF(E2009="LO",6,10))+IF(D2009=1,2,IF(D2009=7,1,(IF(WEEKDAY(B2009)=1,2,IF(WEEKDAY(B2009)=7,1,0))))))</f>
        <v>2</v>
      </c>
      <c r="G2009" s="369">
        <f>VLOOKUP(C2009,METADATA!$J$5:$Q$29,IF(E2009="HI",2,IF(E2009="LO",6,10))+IF(D2009=1,2,IF(D2009=7,1,(IF(WEEKDAY(B2009)=1,2,IF(WEEKDAY(B2009)=7,1,0))))))</f>
        <v>2</v>
      </c>
      <c r="H2009" s="370">
        <v>11986.5751953125</v>
      </c>
      <c r="I2009" s="370">
        <v>3418.5524291992188</v>
      </c>
      <c r="M2009" s="371">
        <f t="shared" si="125"/>
        <v>12464.529097565812</v>
      </c>
      <c r="N2009" s="329">
        <f t="shared" si="126"/>
        <v>0</v>
      </c>
      <c r="T2009" s="331">
        <v>0</v>
      </c>
      <c r="U2009" s="328">
        <f>VLOOKUP(C2009,METADATA!$J$5:$Q$29,IF(E2009="HI",2,IF(E2009="LO",6,10))+IF(T2009=1,2,IF(D2009=7,1,(IF(WEEKDAY(B2009)=1,2,IF(WEEKDAY(B2009)=7,1,0))))))</f>
        <v>2</v>
      </c>
      <c r="V2009" s="328">
        <f>VLOOKUP(C2009,METADATA!$A$5:$H$29,IF(E2009="HI",2,IF(E2009="LO",6,10))+IF(T2009=1,2,IF(D2009=7,1,(IF(WEEKDAY(B2009)=1,2,IF(WEEKDAY(B2009)=7,1,0))))))</f>
        <v>2</v>
      </c>
    </row>
    <row r="2010" spans="2:22">
      <c r="B2010" s="318">
        <f t="shared" si="123"/>
        <v>46196</v>
      </c>
      <c r="C2010" s="312">
        <v>14</v>
      </c>
      <c r="D2010" s="368">
        <f>IFERROR((INDEX(METADATA!$T$2:$T$20,MATCH(B2010,METADATA!$S$2:$S$20,0))),0)</f>
        <v>0</v>
      </c>
      <c r="E2010" s="312" t="str">
        <f t="shared" si="124"/>
        <v>LO</v>
      </c>
      <c r="F2010" s="369">
        <f>VLOOKUP(C2010,METADATA!$A$5:$H$29,IF(E2010="HI",2,IF(E2010="LO",6,10))+IF(D2010=1,2,IF(D2010=7,1,(IF(WEEKDAY(B2010)=1,2,IF(WEEKDAY(B2010)=7,1,0))))))</f>
        <v>2</v>
      </c>
      <c r="G2010" s="369">
        <f>VLOOKUP(C2010,METADATA!$J$5:$Q$29,IF(E2010="HI",2,IF(E2010="LO",6,10))+IF(D2010=1,2,IF(D2010=7,1,(IF(WEEKDAY(B2010)=1,2,IF(WEEKDAY(B2010)=7,1,0))))))</f>
        <v>2</v>
      </c>
      <c r="H2010" s="370">
        <v>11910.379852294922</v>
      </c>
      <c r="I2010" s="370">
        <v>3441.072509765625</v>
      </c>
      <c r="M2010" s="371">
        <f t="shared" si="125"/>
        <v>12397.504920080391</v>
      </c>
      <c r="N2010" s="329">
        <f t="shared" si="126"/>
        <v>0</v>
      </c>
      <c r="T2010" s="331">
        <v>0</v>
      </c>
      <c r="U2010" s="328">
        <f>VLOOKUP(C2010,METADATA!$J$5:$Q$29,IF(E2010="HI",2,IF(E2010="LO",6,10))+IF(T2010=1,2,IF(D2010=7,1,(IF(WEEKDAY(B2010)=1,2,IF(WEEKDAY(B2010)=7,1,0))))))</f>
        <v>2</v>
      </c>
      <c r="V2010" s="328">
        <f>VLOOKUP(C2010,METADATA!$A$5:$H$29,IF(E2010="HI",2,IF(E2010="LO",6,10))+IF(T2010=1,2,IF(D2010=7,1,(IF(WEEKDAY(B2010)=1,2,IF(WEEKDAY(B2010)=7,1,0))))))</f>
        <v>2</v>
      </c>
    </row>
    <row r="2011" spans="2:22">
      <c r="B2011" s="318">
        <f t="shared" si="123"/>
        <v>46196</v>
      </c>
      <c r="C2011" s="312">
        <v>15</v>
      </c>
      <c r="D2011" s="368">
        <f>IFERROR((INDEX(METADATA!$T$2:$T$20,MATCH(B2011,METADATA!$S$2:$S$20,0))),0)</f>
        <v>0</v>
      </c>
      <c r="E2011" s="312" t="str">
        <f t="shared" si="124"/>
        <v>LO</v>
      </c>
      <c r="F2011" s="369">
        <f>VLOOKUP(C2011,METADATA!$A$5:$H$29,IF(E2011="HI",2,IF(E2011="LO",6,10))+IF(D2011=1,2,IF(D2011=7,1,(IF(WEEKDAY(B2011)=1,2,IF(WEEKDAY(B2011)=7,1,0))))))</f>
        <v>2</v>
      </c>
      <c r="G2011" s="369">
        <f>VLOOKUP(C2011,METADATA!$J$5:$Q$29,IF(E2011="HI",2,IF(E2011="LO",6,10))+IF(D2011=1,2,IF(D2011=7,1,(IF(WEEKDAY(B2011)=1,2,IF(WEEKDAY(B2011)=7,1,0))))))</f>
        <v>2</v>
      </c>
      <c r="H2011" s="370">
        <v>11529.329956054688</v>
      </c>
      <c r="I2011" s="370">
        <v>3332.5025024414063</v>
      </c>
      <c r="M2011" s="371">
        <f t="shared" si="125"/>
        <v>12001.292520572866</v>
      </c>
      <c r="N2011" s="329">
        <f t="shared" si="126"/>
        <v>0</v>
      </c>
      <c r="T2011" s="331">
        <v>0</v>
      </c>
      <c r="U2011" s="328">
        <f>VLOOKUP(C2011,METADATA!$J$5:$Q$29,IF(E2011="HI",2,IF(E2011="LO",6,10))+IF(T2011=1,2,IF(D2011=7,1,(IF(WEEKDAY(B2011)=1,2,IF(WEEKDAY(B2011)=7,1,0))))))</f>
        <v>2</v>
      </c>
      <c r="V2011" s="328">
        <f>VLOOKUP(C2011,METADATA!$A$5:$H$29,IF(E2011="HI",2,IF(E2011="LO",6,10))+IF(T2011=1,2,IF(D2011=7,1,(IF(WEEKDAY(B2011)=1,2,IF(WEEKDAY(B2011)=7,1,0))))))</f>
        <v>2</v>
      </c>
    </row>
    <row r="2012" spans="2:22">
      <c r="B2012" s="318">
        <f t="shared" ref="B2012:B2075" si="127">B1988+1</f>
        <v>46196</v>
      </c>
      <c r="C2012" s="312">
        <v>16</v>
      </c>
      <c r="D2012" s="368">
        <f>IFERROR((INDEX(METADATA!$T$2:$T$20,MATCH(B2012,METADATA!$S$2:$S$20,0))),0)</f>
        <v>0</v>
      </c>
      <c r="E2012" s="312" t="str">
        <f t="shared" si="124"/>
        <v>LO</v>
      </c>
      <c r="F2012" s="369">
        <f>VLOOKUP(C2012,METADATA!$A$5:$H$29,IF(E2012="HI",2,IF(E2012="LO",6,10))+IF(D2012=1,2,IF(D2012=7,1,(IF(WEEKDAY(B2012)=1,2,IF(WEEKDAY(B2012)=7,1,0))))))</f>
        <v>2</v>
      </c>
      <c r="G2012" s="369">
        <f>VLOOKUP(C2012,METADATA!$J$5:$Q$29,IF(E2012="HI",2,IF(E2012="LO",6,10))+IF(D2012=1,2,IF(D2012=7,1,(IF(WEEKDAY(B2012)=1,2,IF(WEEKDAY(B2012)=7,1,0))))))</f>
        <v>2</v>
      </c>
      <c r="H2012" s="370">
        <v>11694.349792480469</v>
      </c>
      <c r="I2012" s="370">
        <v>3289.8299560546875</v>
      </c>
      <c r="M2012" s="371">
        <f t="shared" si="125"/>
        <v>12148.283755685112</v>
      </c>
      <c r="N2012" s="329">
        <f t="shared" si="126"/>
        <v>0</v>
      </c>
      <c r="T2012" s="331">
        <v>0</v>
      </c>
      <c r="U2012" s="328">
        <f>VLOOKUP(C2012,METADATA!$J$5:$Q$29,IF(E2012="HI",2,IF(E2012="LO",6,10))+IF(T2012=1,2,IF(D2012=7,1,(IF(WEEKDAY(B2012)=1,2,IF(WEEKDAY(B2012)=7,1,0))))))</f>
        <v>2</v>
      </c>
      <c r="V2012" s="328">
        <f>VLOOKUP(C2012,METADATA!$A$5:$H$29,IF(E2012="HI",2,IF(E2012="LO",6,10))+IF(T2012=1,2,IF(D2012=7,1,(IF(WEEKDAY(B2012)=1,2,IF(WEEKDAY(B2012)=7,1,0))))))</f>
        <v>2</v>
      </c>
    </row>
    <row r="2013" spans="2:22">
      <c r="B2013" s="318">
        <f t="shared" si="127"/>
        <v>46196</v>
      </c>
      <c r="C2013" s="312">
        <v>17</v>
      </c>
      <c r="D2013" s="368">
        <f>IFERROR((INDEX(METADATA!$T$2:$T$20,MATCH(B2013,METADATA!$S$2:$S$20,0))),0)</f>
        <v>0</v>
      </c>
      <c r="E2013" s="312" t="str">
        <f t="shared" si="124"/>
        <v>LO</v>
      </c>
      <c r="F2013" s="369">
        <f>VLOOKUP(C2013,METADATA!$A$5:$H$29,IF(E2013="HI",2,IF(E2013="LO",6,10))+IF(D2013=1,2,IF(D2013=7,1,(IF(WEEKDAY(B2013)=1,2,IF(WEEKDAY(B2013)=7,1,0))))))</f>
        <v>2</v>
      </c>
      <c r="G2013" s="369">
        <f>VLOOKUP(C2013,METADATA!$J$5:$Q$29,IF(E2013="HI",2,IF(E2013="LO",6,10))+IF(D2013=1,2,IF(D2013=7,1,(IF(WEEKDAY(B2013)=1,2,IF(WEEKDAY(B2013)=7,1,0))))))</f>
        <v>2</v>
      </c>
      <c r="H2013" s="370">
        <v>11799.6171875</v>
      </c>
      <c r="I2013" s="370">
        <v>3057.7799987792969</v>
      </c>
      <c r="M2013" s="371">
        <f t="shared" si="125"/>
        <v>12189.379979821784</v>
      </c>
      <c r="N2013" s="329">
        <f t="shared" si="126"/>
        <v>0</v>
      </c>
      <c r="T2013" s="331">
        <v>0</v>
      </c>
      <c r="U2013" s="328">
        <f>VLOOKUP(C2013,METADATA!$J$5:$Q$29,IF(E2013="HI",2,IF(E2013="LO",6,10))+IF(T2013=1,2,IF(D2013=7,1,(IF(WEEKDAY(B2013)=1,2,IF(WEEKDAY(B2013)=7,1,0))))))</f>
        <v>2</v>
      </c>
      <c r="V2013" s="328">
        <f>VLOOKUP(C2013,METADATA!$A$5:$H$29,IF(E2013="HI",2,IF(E2013="LO",6,10))+IF(T2013=1,2,IF(D2013=7,1,(IF(WEEKDAY(B2013)=1,2,IF(WEEKDAY(B2013)=7,1,0))))))</f>
        <v>2</v>
      </c>
    </row>
    <row r="2014" spans="2:22">
      <c r="B2014" s="318">
        <f t="shared" si="127"/>
        <v>46196</v>
      </c>
      <c r="C2014" s="312">
        <v>18</v>
      </c>
      <c r="D2014" s="368">
        <f>IFERROR((INDEX(METADATA!$T$2:$T$20,MATCH(B2014,METADATA!$S$2:$S$20,0))),0)</f>
        <v>0</v>
      </c>
      <c r="E2014" s="312" t="str">
        <f t="shared" si="124"/>
        <v>LO</v>
      </c>
      <c r="F2014" s="369">
        <f>VLOOKUP(C2014,METADATA!$A$5:$H$29,IF(E2014="HI",2,IF(E2014="LO",6,10))+IF(D2014=1,2,IF(D2014=7,1,(IF(WEEKDAY(B2014)=1,2,IF(WEEKDAY(B2014)=7,1,0))))))</f>
        <v>1</v>
      </c>
      <c r="G2014" s="369">
        <f>VLOOKUP(C2014,METADATA!$J$5:$Q$29,IF(E2014="HI",2,IF(E2014="LO",6,10))+IF(D2014=1,2,IF(D2014=7,1,(IF(WEEKDAY(B2014)=1,2,IF(WEEKDAY(B2014)=7,1,0))))))</f>
        <v>1</v>
      </c>
      <c r="H2014" s="370">
        <v>11944.822204589844</v>
      </c>
      <c r="I2014" s="370">
        <v>3056.1100158691406</v>
      </c>
      <c r="M2014" s="371">
        <f t="shared" si="125"/>
        <v>12329.581741825561</v>
      </c>
      <c r="N2014" s="329">
        <f t="shared" si="126"/>
        <v>0</v>
      </c>
      <c r="T2014" s="331">
        <v>0</v>
      </c>
      <c r="U2014" s="328">
        <f>VLOOKUP(C2014,METADATA!$J$5:$Q$29,IF(E2014="HI",2,IF(E2014="LO",6,10))+IF(T2014=1,2,IF(D2014=7,1,(IF(WEEKDAY(B2014)=1,2,IF(WEEKDAY(B2014)=7,1,0))))))</f>
        <v>1</v>
      </c>
      <c r="V2014" s="328">
        <f>VLOOKUP(C2014,METADATA!$A$5:$H$29,IF(E2014="HI",2,IF(E2014="LO",6,10))+IF(T2014=1,2,IF(D2014=7,1,(IF(WEEKDAY(B2014)=1,2,IF(WEEKDAY(B2014)=7,1,0))))))</f>
        <v>1</v>
      </c>
    </row>
    <row r="2015" spans="2:22">
      <c r="B2015" s="318">
        <f t="shared" si="127"/>
        <v>46196</v>
      </c>
      <c r="C2015" s="312">
        <v>19</v>
      </c>
      <c r="D2015" s="368">
        <f>IFERROR((INDEX(METADATA!$T$2:$T$20,MATCH(B2015,METADATA!$S$2:$S$20,0))),0)</f>
        <v>0</v>
      </c>
      <c r="E2015" s="312" t="str">
        <f t="shared" si="124"/>
        <v>LO</v>
      </c>
      <c r="F2015" s="369">
        <f>VLOOKUP(C2015,METADATA!$A$5:$H$29,IF(E2015="HI",2,IF(E2015="LO",6,10))+IF(D2015=1,2,IF(D2015=7,1,(IF(WEEKDAY(B2015)=1,2,IF(WEEKDAY(B2015)=7,1,0))))))</f>
        <v>1</v>
      </c>
      <c r="G2015" s="369">
        <f>VLOOKUP(C2015,METADATA!$J$5:$Q$29,IF(E2015="HI",2,IF(E2015="LO",6,10))+IF(D2015=1,2,IF(D2015=7,1,(IF(WEEKDAY(B2015)=1,2,IF(WEEKDAY(B2015)=7,1,0))))))</f>
        <v>1</v>
      </c>
      <c r="H2015" s="370">
        <v>13377.9248046875</v>
      </c>
      <c r="I2015" s="370">
        <v>4023.8050231933594</v>
      </c>
      <c r="M2015" s="371">
        <f t="shared" si="125"/>
        <v>13969.963455376295</v>
      </c>
      <c r="N2015" s="329">
        <f t="shared" si="126"/>
        <v>10.427581787109375</v>
      </c>
      <c r="T2015" s="331">
        <v>0</v>
      </c>
      <c r="U2015" s="328">
        <f>VLOOKUP(C2015,METADATA!$J$5:$Q$29,IF(E2015="HI",2,IF(E2015="LO",6,10))+IF(T2015=1,2,IF(D2015=7,1,(IF(WEEKDAY(B2015)=1,2,IF(WEEKDAY(B2015)=7,1,0))))))</f>
        <v>1</v>
      </c>
      <c r="V2015" s="328">
        <f>VLOOKUP(C2015,METADATA!$A$5:$H$29,IF(E2015="HI",2,IF(E2015="LO",6,10))+IF(T2015=1,2,IF(D2015=7,1,(IF(WEEKDAY(B2015)=1,2,IF(WEEKDAY(B2015)=7,1,0))))))</f>
        <v>1</v>
      </c>
    </row>
    <row r="2016" spans="2:22">
      <c r="B2016" s="318">
        <f t="shared" si="127"/>
        <v>46196</v>
      </c>
      <c r="C2016" s="312">
        <v>20</v>
      </c>
      <c r="D2016" s="368">
        <f>IFERROR((INDEX(METADATA!$T$2:$T$20,MATCH(B2016,METADATA!$S$2:$S$20,0))),0)</f>
        <v>0</v>
      </c>
      <c r="E2016" s="312" t="str">
        <f t="shared" si="124"/>
        <v>LO</v>
      </c>
      <c r="F2016" s="369">
        <f>VLOOKUP(C2016,METADATA!$A$5:$H$29,IF(E2016="HI",2,IF(E2016="LO",6,10))+IF(D2016=1,2,IF(D2016=7,1,(IF(WEEKDAY(B2016)=1,2,IF(WEEKDAY(B2016)=7,1,0))))))</f>
        <v>1</v>
      </c>
      <c r="G2016" s="369">
        <f>VLOOKUP(C2016,METADATA!$J$5:$Q$29,IF(E2016="HI",2,IF(E2016="LO",6,10))+IF(D2016=1,2,IF(D2016=7,1,(IF(WEEKDAY(B2016)=1,2,IF(WEEKDAY(B2016)=7,1,0))))))</f>
        <v>1</v>
      </c>
      <c r="H2016" s="370">
        <v>13814.025207519531</v>
      </c>
      <c r="I2016" s="370">
        <v>4394.4599304199219</v>
      </c>
      <c r="M2016" s="371">
        <f t="shared" si="125"/>
        <v>14496.157094694141</v>
      </c>
      <c r="N2016" s="329">
        <f t="shared" si="126"/>
        <v>250.25236816406232</v>
      </c>
      <c r="T2016" s="331">
        <v>0</v>
      </c>
      <c r="U2016" s="328">
        <f>VLOOKUP(C2016,METADATA!$J$5:$Q$29,IF(E2016="HI",2,IF(E2016="LO",6,10))+IF(T2016=1,2,IF(D2016=7,1,(IF(WEEKDAY(B2016)=1,2,IF(WEEKDAY(B2016)=7,1,0))))))</f>
        <v>1</v>
      </c>
      <c r="V2016" s="328">
        <f>VLOOKUP(C2016,METADATA!$A$5:$H$29,IF(E2016="HI",2,IF(E2016="LO",6,10))+IF(T2016=1,2,IF(D2016=7,1,(IF(WEEKDAY(B2016)=1,2,IF(WEEKDAY(B2016)=7,1,0))))))</f>
        <v>1</v>
      </c>
    </row>
    <row r="2017" spans="2:22">
      <c r="B2017" s="318">
        <f t="shared" si="127"/>
        <v>46196</v>
      </c>
      <c r="C2017" s="312">
        <v>21</v>
      </c>
      <c r="D2017" s="368">
        <f>IFERROR((INDEX(METADATA!$T$2:$T$20,MATCH(B2017,METADATA!$S$2:$S$20,0))),0)</f>
        <v>0</v>
      </c>
      <c r="E2017" s="312" t="str">
        <f t="shared" si="124"/>
        <v>LO</v>
      </c>
      <c r="F2017" s="369">
        <f>VLOOKUP(C2017,METADATA!$A$5:$H$29,IF(E2017="HI",2,IF(E2017="LO",6,10))+IF(D2017=1,2,IF(D2017=7,1,(IF(WEEKDAY(B2017)=1,2,IF(WEEKDAY(B2017)=7,1,0))))))</f>
        <v>2</v>
      </c>
      <c r="G2017" s="369">
        <f>VLOOKUP(C2017,METADATA!$J$5:$Q$29,IF(E2017="HI",2,IF(E2017="LO",6,10))+IF(D2017=1,2,IF(D2017=7,1,(IF(WEEKDAY(B2017)=1,2,IF(WEEKDAY(B2017)=7,1,0))))))</f>
        <v>2</v>
      </c>
      <c r="H2017" s="370">
        <v>13956.125244140625</v>
      </c>
      <c r="I2017" s="370">
        <v>4521.6749877929688</v>
      </c>
      <c r="M2017" s="371">
        <f t="shared" si="125"/>
        <v>14670.343435835841</v>
      </c>
      <c r="N2017" s="329">
        <f t="shared" si="126"/>
        <v>334.83741455078143</v>
      </c>
      <c r="T2017" s="331">
        <v>0</v>
      </c>
      <c r="U2017" s="328">
        <f>VLOOKUP(C2017,METADATA!$J$5:$Q$29,IF(E2017="HI",2,IF(E2017="LO",6,10))+IF(T2017=1,2,IF(D2017=7,1,(IF(WEEKDAY(B2017)=1,2,IF(WEEKDAY(B2017)=7,1,0))))))</f>
        <v>2</v>
      </c>
      <c r="V2017" s="328">
        <f>VLOOKUP(C2017,METADATA!$A$5:$H$29,IF(E2017="HI",2,IF(E2017="LO",6,10))+IF(T2017=1,2,IF(D2017=7,1,(IF(WEEKDAY(B2017)=1,2,IF(WEEKDAY(B2017)=7,1,0))))))</f>
        <v>2</v>
      </c>
    </row>
    <row r="2018" spans="2:22">
      <c r="B2018" s="318">
        <f t="shared" si="127"/>
        <v>46196</v>
      </c>
      <c r="C2018" s="312">
        <v>22</v>
      </c>
      <c r="D2018" s="368">
        <f>IFERROR((INDEX(METADATA!$T$2:$T$20,MATCH(B2018,METADATA!$S$2:$S$20,0))),0)</f>
        <v>0</v>
      </c>
      <c r="E2018" s="312" t="str">
        <f t="shared" si="124"/>
        <v>LO</v>
      </c>
      <c r="F2018" s="369">
        <f>VLOOKUP(C2018,METADATA!$A$5:$H$29,IF(E2018="HI",2,IF(E2018="LO",6,10))+IF(D2018=1,2,IF(D2018=7,1,(IF(WEEKDAY(B2018)=1,2,IF(WEEKDAY(B2018)=7,1,0))))))</f>
        <v>3</v>
      </c>
      <c r="G2018" s="369">
        <f>VLOOKUP(C2018,METADATA!$J$5:$Q$29,IF(E2018="HI",2,IF(E2018="LO",6,10))+IF(D2018=1,2,IF(D2018=7,1,(IF(WEEKDAY(B2018)=1,2,IF(WEEKDAY(B2018)=7,1,0))))))</f>
        <v>3</v>
      </c>
      <c r="H2018" s="370">
        <v>10170.449829101563</v>
      </c>
      <c r="I2018" s="370">
        <v>2957.6949462890625</v>
      </c>
      <c r="M2018" s="371">
        <f t="shared" si="125"/>
        <v>10591.789703424813</v>
      </c>
      <c r="N2018" s="329">
        <f t="shared" si="126"/>
        <v>0</v>
      </c>
      <c r="T2018" s="331">
        <v>0</v>
      </c>
      <c r="U2018" s="328">
        <f>VLOOKUP(C2018,METADATA!$J$5:$Q$29,IF(E2018="HI",2,IF(E2018="LO",6,10))+IF(T2018=1,2,IF(D2018=7,1,(IF(WEEKDAY(B2018)=1,2,IF(WEEKDAY(B2018)=7,1,0))))))</f>
        <v>3</v>
      </c>
      <c r="V2018" s="328">
        <f>VLOOKUP(C2018,METADATA!$A$5:$H$29,IF(E2018="HI",2,IF(E2018="LO",6,10))+IF(T2018=1,2,IF(D2018=7,1,(IF(WEEKDAY(B2018)=1,2,IF(WEEKDAY(B2018)=7,1,0))))))</f>
        <v>3</v>
      </c>
    </row>
    <row r="2019" spans="2:22">
      <c r="B2019" s="318">
        <f t="shared" si="127"/>
        <v>46196</v>
      </c>
      <c r="C2019" s="312">
        <v>23</v>
      </c>
      <c r="D2019" s="368">
        <f>IFERROR((INDEX(METADATA!$T$2:$T$20,MATCH(B2019,METADATA!$S$2:$S$20,0))),0)</f>
        <v>0</v>
      </c>
      <c r="E2019" s="312" t="str">
        <f t="shared" si="124"/>
        <v>LO</v>
      </c>
      <c r="F2019" s="369">
        <f>VLOOKUP(C2019,METADATA!$A$5:$H$29,IF(E2019="HI",2,IF(E2019="LO",6,10))+IF(D2019=1,2,IF(D2019=7,1,(IF(WEEKDAY(B2019)=1,2,IF(WEEKDAY(B2019)=7,1,0))))))</f>
        <v>3</v>
      </c>
      <c r="G2019" s="369">
        <f>VLOOKUP(C2019,METADATA!$J$5:$Q$29,IF(E2019="HI",2,IF(E2019="LO",6,10))+IF(D2019=1,2,IF(D2019=7,1,(IF(WEEKDAY(B2019)=1,2,IF(WEEKDAY(B2019)=7,1,0))))))</f>
        <v>3</v>
      </c>
      <c r="H2019" s="370">
        <v>11137.400085449219</v>
      </c>
      <c r="I2019" s="370">
        <v>3268.7874908447266</v>
      </c>
      <c r="M2019" s="371">
        <f t="shared" si="125"/>
        <v>11607.181067066509</v>
      </c>
      <c r="N2019" s="329">
        <f t="shared" si="126"/>
        <v>0</v>
      </c>
      <c r="T2019" s="331">
        <v>0</v>
      </c>
      <c r="U2019" s="328">
        <f>VLOOKUP(C2019,METADATA!$J$5:$Q$29,IF(E2019="HI",2,IF(E2019="LO",6,10))+IF(T2019=1,2,IF(D2019=7,1,(IF(WEEKDAY(B2019)=1,2,IF(WEEKDAY(B2019)=7,1,0))))))</f>
        <v>3</v>
      </c>
      <c r="V2019" s="328">
        <f>VLOOKUP(C2019,METADATA!$A$5:$H$29,IF(E2019="HI",2,IF(E2019="LO",6,10))+IF(T2019=1,2,IF(D2019=7,1,(IF(WEEKDAY(B2019)=1,2,IF(WEEKDAY(B2019)=7,1,0))))))</f>
        <v>3</v>
      </c>
    </row>
    <row r="2020" spans="2:22">
      <c r="B2020" s="318">
        <f t="shared" si="127"/>
        <v>46197</v>
      </c>
      <c r="C2020" s="312">
        <v>0</v>
      </c>
      <c r="D2020" s="368">
        <f>IFERROR((INDEX(METADATA!$T$2:$T$20,MATCH(B2020,METADATA!$S$2:$S$20,0))),0)</f>
        <v>0</v>
      </c>
      <c r="E2020" s="312" t="str">
        <f t="shared" si="124"/>
        <v>LO</v>
      </c>
      <c r="F2020" s="369">
        <f>VLOOKUP(C2020,METADATA!$A$5:$H$29,IF(E2020="HI",2,IF(E2020="LO",6,10))+IF(D2020=1,2,IF(D2020=7,1,(IF(WEEKDAY(B2020)=1,2,IF(WEEKDAY(B2020)=7,1,0))))))</f>
        <v>3</v>
      </c>
      <c r="G2020" s="369">
        <f>VLOOKUP(C2020,METADATA!$J$5:$Q$29,IF(E2020="HI",2,IF(E2020="LO",6,10))+IF(D2020=1,2,IF(D2020=7,1,(IF(WEEKDAY(B2020)=1,2,IF(WEEKDAY(B2020)=7,1,0))))))</f>
        <v>3</v>
      </c>
      <c r="H2020" s="370">
        <v>11638.275207519531</v>
      </c>
      <c r="I2020" s="370">
        <v>3352.030029296875</v>
      </c>
      <c r="M2020" s="371">
        <f t="shared" si="125"/>
        <v>12111.381222770249</v>
      </c>
      <c r="N2020" s="329">
        <f t="shared" si="126"/>
        <v>0</v>
      </c>
      <c r="T2020" s="331">
        <v>0</v>
      </c>
      <c r="U2020" s="328">
        <f>VLOOKUP(C2020,METADATA!$J$5:$Q$29,IF(E2020="HI",2,IF(E2020="LO",6,10))+IF(T2020=1,2,IF(D2020=7,1,(IF(WEEKDAY(B2020)=1,2,IF(WEEKDAY(B2020)=7,1,0))))))</f>
        <v>3</v>
      </c>
      <c r="V2020" s="328">
        <f>VLOOKUP(C2020,METADATA!$A$5:$H$29,IF(E2020="HI",2,IF(E2020="LO",6,10))+IF(T2020=1,2,IF(D2020=7,1,(IF(WEEKDAY(B2020)=1,2,IF(WEEKDAY(B2020)=7,1,0))))))</f>
        <v>3</v>
      </c>
    </row>
    <row r="2021" spans="2:22">
      <c r="B2021" s="318">
        <f t="shared" si="127"/>
        <v>46197</v>
      </c>
      <c r="C2021" s="312">
        <v>1</v>
      </c>
      <c r="D2021" s="368">
        <f>IFERROR((INDEX(METADATA!$T$2:$T$20,MATCH(B2021,METADATA!$S$2:$S$20,0))),0)</f>
        <v>0</v>
      </c>
      <c r="E2021" s="312" t="str">
        <f t="shared" si="124"/>
        <v>LO</v>
      </c>
      <c r="F2021" s="369">
        <f>VLOOKUP(C2021,METADATA!$A$5:$H$29,IF(E2021="HI",2,IF(E2021="LO",6,10))+IF(D2021=1,2,IF(D2021=7,1,(IF(WEEKDAY(B2021)=1,2,IF(WEEKDAY(B2021)=7,1,0))))))</f>
        <v>3</v>
      </c>
      <c r="G2021" s="369">
        <f>VLOOKUP(C2021,METADATA!$J$5:$Q$29,IF(E2021="HI",2,IF(E2021="LO",6,10))+IF(D2021=1,2,IF(D2021=7,1,(IF(WEEKDAY(B2021)=1,2,IF(WEEKDAY(B2021)=7,1,0))))))</f>
        <v>3</v>
      </c>
      <c r="H2021" s="370">
        <v>10585.42529296875</v>
      </c>
      <c r="I2021" s="370">
        <v>2968.10498046875</v>
      </c>
      <c r="M2021" s="371">
        <f t="shared" si="125"/>
        <v>10993.674354286921</v>
      </c>
      <c r="N2021" s="329">
        <f t="shared" si="126"/>
        <v>0</v>
      </c>
      <c r="T2021" s="331">
        <v>0</v>
      </c>
      <c r="U2021" s="328">
        <f>VLOOKUP(C2021,METADATA!$J$5:$Q$29,IF(E2021="HI",2,IF(E2021="LO",6,10))+IF(T2021=1,2,IF(D2021=7,1,(IF(WEEKDAY(B2021)=1,2,IF(WEEKDAY(B2021)=7,1,0))))))</f>
        <v>3</v>
      </c>
      <c r="V2021" s="328">
        <f>VLOOKUP(C2021,METADATA!$A$5:$H$29,IF(E2021="HI",2,IF(E2021="LO",6,10))+IF(T2021=1,2,IF(D2021=7,1,(IF(WEEKDAY(B2021)=1,2,IF(WEEKDAY(B2021)=7,1,0))))))</f>
        <v>3</v>
      </c>
    </row>
    <row r="2022" spans="2:22">
      <c r="B2022" s="318">
        <f t="shared" si="127"/>
        <v>46197</v>
      </c>
      <c r="C2022" s="312">
        <v>2</v>
      </c>
      <c r="D2022" s="368">
        <f>IFERROR((INDEX(METADATA!$T$2:$T$20,MATCH(B2022,METADATA!$S$2:$S$20,0))),0)</f>
        <v>0</v>
      </c>
      <c r="E2022" s="312" t="str">
        <f t="shared" si="124"/>
        <v>LO</v>
      </c>
      <c r="F2022" s="369">
        <f>VLOOKUP(C2022,METADATA!$A$5:$H$29,IF(E2022="HI",2,IF(E2022="LO",6,10))+IF(D2022=1,2,IF(D2022=7,1,(IF(WEEKDAY(B2022)=1,2,IF(WEEKDAY(B2022)=7,1,0))))))</f>
        <v>3</v>
      </c>
      <c r="G2022" s="369">
        <f>VLOOKUP(C2022,METADATA!$J$5:$Q$29,IF(E2022="HI",2,IF(E2022="LO",6,10))+IF(D2022=1,2,IF(D2022=7,1,(IF(WEEKDAY(B2022)=1,2,IF(WEEKDAY(B2022)=7,1,0))))))</f>
        <v>3</v>
      </c>
      <c r="H2022" s="370">
        <v>11393.89501953125</v>
      </c>
      <c r="I2022" s="370">
        <v>3491.7850341796875</v>
      </c>
      <c r="M2022" s="371">
        <f t="shared" si="125"/>
        <v>11916.937796305738</v>
      </c>
      <c r="N2022" s="329">
        <f t="shared" si="126"/>
        <v>73.616528320312682</v>
      </c>
      <c r="T2022" s="331">
        <v>0</v>
      </c>
      <c r="U2022" s="328">
        <f>VLOOKUP(C2022,METADATA!$J$5:$Q$29,IF(E2022="HI",2,IF(E2022="LO",6,10))+IF(T2022=1,2,IF(D2022=7,1,(IF(WEEKDAY(B2022)=1,2,IF(WEEKDAY(B2022)=7,1,0))))))</f>
        <v>3</v>
      </c>
      <c r="V2022" s="328">
        <f>VLOOKUP(C2022,METADATA!$A$5:$H$29,IF(E2022="HI",2,IF(E2022="LO",6,10))+IF(T2022=1,2,IF(D2022=7,1,(IF(WEEKDAY(B2022)=1,2,IF(WEEKDAY(B2022)=7,1,0))))))</f>
        <v>3</v>
      </c>
    </row>
    <row r="2023" spans="2:22">
      <c r="B2023" s="318">
        <f t="shared" si="127"/>
        <v>46197</v>
      </c>
      <c r="C2023" s="312">
        <v>3</v>
      </c>
      <c r="D2023" s="368">
        <f>IFERROR((INDEX(METADATA!$T$2:$T$20,MATCH(B2023,METADATA!$S$2:$S$20,0))),0)</f>
        <v>0</v>
      </c>
      <c r="E2023" s="312" t="str">
        <f t="shared" si="124"/>
        <v>LO</v>
      </c>
      <c r="F2023" s="369">
        <f>VLOOKUP(C2023,METADATA!$A$5:$H$29,IF(E2023="HI",2,IF(E2023="LO",6,10))+IF(D2023=1,2,IF(D2023=7,1,(IF(WEEKDAY(B2023)=1,2,IF(WEEKDAY(B2023)=7,1,0))))))</f>
        <v>3</v>
      </c>
      <c r="G2023" s="369">
        <f>VLOOKUP(C2023,METADATA!$J$5:$Q$29,IF(E2023="HI",2,IF(E2023="LO",6,10))+IF(D2023=1,2,IF(D2023=7,1,(IF(WEEKDAY(B2023)=1,2,IF(WEEKDAY(B2023)=7,1,0))))))</f>
        <v>3</v>
      </c>
      <c r="H2023" s="370">
        <v>11450.529998779297</v>
      </c>
      <c r="I2023" s="370">
        <v>4025.9526062011719</v>
      </c>
      <c r="M2023" s="371">
        <f t="shared" si="125"/>
        <v>12137.665823391359</v>
      </c>
      <c r="N2023" s="329">
        <f t="shared" si="126"/>
        <v>590.79360656738299</v>
      </c>
      <c r="T2023" s="331">
        <v>0</v>
      </c>
      <c r="U2023" s="328">
        <f>VLOOKUP(C2023,METADATA!$J$5:$Q$29,IF(E2023="HI",2,IF(E2023="LO",6,10))+IF(T2023=1,2,IF(D2023=7,1,(IF(WEEKDAY(B2023)=1,2,IF(WEEKDAY(B2023)=7,1,0))))))</f>
        <v>3</v>
      </c>
      <c r="V2023" s="328">
        <f>VLOOKUP(C2023,METADATA!$A$5:$H$29,IF(E2023="HI",2,IF(E2023="LO",6,10))+IF(T2023=1,2,IF(D2023=7,1,(IF(WEEKDAY(B2023)=1,2,IF(WEEKDAY(B2023)=7,1,0))))))</f>
        <v>3</v>
      </c>
    </row>
    <row r="2024" spans="2:22">
      <c r="B2024" s="318">
        <f t="shared" si="127"/>
        <v>46197</v>
      </c>
      <c r="C2024" s="312">
        <v>4</v>
      </c>
      <c r="D2024" s="368">
        <f>IFERROR((INDEX(METADATA!$T$2:$T$20,MATCH(B2024,METADATA!$S$2:$S$20,0))),0)</f>
        <v>0</v>
      </c>
      <c r="E2024" s="312" t="str">
        <f t="shared" si="124"/>
        <v>LO</v>
      </c>
      <c r="F2024" s="369">
        <f>VLOOKUP(C2024,METADATA!$A$5:$H$29,IF(E2024="HI",2,IF(E2024="LO",6,10))+IF(D2024=1,2,IF(D2024=7,1,(IF(WEEKDAY(B2024)=1,2,IF(WEEKDAY(B2024)=7,1,0))))))</f>
        <v>3</v>
      </c>
      <c r="G2024" s="369">
        <f>VLOOKUP(C2024,METADATA!$J$5:$Q$29,IF(E2024="HI",2,IF(E2024="LO",6,10))+IF(D2024=1,2,IF(D2024=7,1,(IF(WEEKDAY(B2024)=1,2,IF(WEEKDAY(B2024)=7,1,0))))))</f>
        <v>3</v>
      </c>
      <c r="H2024" s="370">
        <v>6641.5223999023438</v>
      </c>
      <c r="I2024" s="370">
        <v>1764.64501953125</v>
      </c>
      <c r="M2024" s="371">
        <f t="shared" si="125"/>
        <v>6871.9569143993494</v>
      </c>
      <c r="N2024" s="329">
        <f t="shared" si="126"/>
        <v>0</v>
      </c>
      <c r="T2024" s="331">
        <v>0</v>
      </c>
      <c r="U2024" s="328">
        <f>VLOOKUP(C2024,METADATA!$J$5:$Q$29,IF(E2024="HI",2,IF(E2024="LO",6,10))+IF(T2024=1,2,IF(D2024=7,1,(IF(WEEKDAY(B2024)=1,2,IF(WEEKDAY(B2024)=7,1,0))))))</f>
        <v>3</v>
      </c>
      <c r="V2024" s="328">
        <f>VLOOKUP(C2024,METADATA!$A$5:$H$29,IF(E2024="HI",2,IF(E2024="LO",6,10))+IF(T2024=1,2,IF(D2024=7,1,(IF(WEEKDAY(B2024)=1,2,IF(WEEKDAY(B2024)=7,1,0))))))</f>
        <v>3</v>
      </c>
    </row>
    <row r="2025" spans="2:22">
      <c r="B2025" s="318">
        <f t="shared" si="127"/>
        <v>46197</v>
      </c>
      <c r="C2025" s="312">
        <v>5</v>
      </c>
      <c r="D2025" s="368">
        <f>IFERROR((INDEX(METADATA!$T$2:$T$20,MATCH(B2025,METADATA!$S$2:$S$20,0))),0)</f>
        <v>0</v>
      </c>
      <c r="E2025" s="312" t="str">
        <f t="shared" si="124"/>
        <v>LO</v>
      </c>
      <c r="F2025" s="369">
        <f>VLOOKUP(C2025,METADATA!$A$5:$H$29,IF(E2025="HI",2,IF(E2025="LO",6,10))+IF(D2025=1,2,IF(D2025=7,1,(IF(WEEKDAY(B2025)=1,2,IF(WEEKDAY(B2025)=7,1,0))))))</f>
        <v>3</v>
      </c>
      <c r="G2025" s="369">
        <f>VLOOKUP(C2025,METADATA!$J$5:$Q$29,IF(E2025="HI",2,IF(E2025="LO",6,10))+IF(D2025=1,2,IF(D2025=7,1,(IF(WEEKDAY(B2025)=1,2,IF(WEEKDAY(B2025)=7,1,0))))))</f>
        <v>3</v>
      </c>
      <c r="H2025" s="370">
        <v>5092.1900024414063</v>
      </c>
      <c r="I2025" s="370">
        <v>1148.4749755859375</v>
      </c>
      <c r="M2025" s="371">
        <f t="shared" si="125"/>
        <v>5220.0951897940831</v>
      </c>
      <c r="N2025" s="329">
        <f t="shared" si="126"/>
        <v>0</v>
      </c>
      <c r="T2025" s="331">
        <v>0</v>
      </c>
      <c r="U2025" s="328">
        <f>VLOOKUP(C2025,METADATA!$J$5:$Q$29,IF(E2025="HI",2,IF(E2025="LO",6,10))+IF(T2025=1,2,IF(D2025=7,1,(IF(WEEKDAY(B2025)=1,2,IF(WEEKDAY(B2025)=7,1,0))))))</f>
        <v>3</v>
      </c>
      <c r="V2025" s="328">
        <f>VLOOKUP(C2025,METADATA!$A$5:$H$29,IF(E2025="HI",2,IF(E2025="LO",6,10))+IF(T2025=1,2,IF(D2025=7,1,(IF(WEEKDAY(B2025)=1,2,IF(WEEKDAY(B2025)=7,1,0))))))</f>
        <v>3</v>
      </c>
    </row>
    <row r="2026" spans="2:22">
      <c r="B2026" s="318">
        <f t="shared" si="127"/>
        <v>46197</v>
      </c>
      <c r="C2026" s="312">
        <v>6</v>
      </c>
      <c r="D2026" s="368">
        <f>IFERROR((INDEX(METADATA!$T$2:$T$20,MATCH(B2026,METADATA!$S$2:$S$20,0))),0)</f>
        <v>0</v>
      </c>
      <c r="E2026" s="312" t="str">
        <f t="shared" si="124"/>
        <v>LO</v>
      </c>
      <c r="F2026" s="369">
        <f>VLOOKUP(C2026,METADATA!$A$5:$H$29,IF(E2026="HI",2,IF(E2026="LO",6,10))+IF(D2026=1,2,IF(D2026=7,1,(IF(WEEKDAY(B2026)=1,2,IF(WEEKDAY(B2026)=7,1,0))))))</f>
        <v>2</v>
      </c>
      <c r="G2026" s="369">
        <f>VLOOKUP(C2026,METADATA!$J$5:$Q$29,IF(E2026="HI",2,IF(E2026="LO",6,10))+IF(D2026=1,2,IF(D2026=7,1,(IF(WEEKDAY(B2026)=1,2,IF(WEEKDAY(B2026)=7,1,0))))))</f>
        <v>2</v>
      </c>
      <c r="H2026" s="370">
        <v>4948.2925720214844</v>
      </c>
      <c r="I2026" s="370">
        <v>1076.0399780273438</v>
      </c>
      <c r="M2026" s="371">
        <f t="shared" si="125"/>
        <v>5063.9373428821254</v>
      </c>
      <c r="N2026" s="329">
        <f t="shared" si="126"/>
        <v>0</v>
      </c>
      <c r="T2026" s="331">
        <v>0</v>
      </c>
      <c r="U2026" s="328">
        <f>VLOOKUP(C2026,METADATA!$J$5:$Q$29,IF(E2026="HI",2,IF(E2026="LO",6,10))+IF(T2026=1,2,IF(D2026=7,1,(IF(WEEKDAY(B2026)=1,2,IF(WEEKDAY(B2026)=7,1,0))))))</f>
        <v>2</v>
      </c>
      <c r="V2026" s="328">
        <f>VLOOKUP(C2026,METADATA!$A$5:$H$29,IF(E2026="HI",2,IF(E2026="LO",6,10))+IF(T2026=1,2,IF(D2026=7,1,(IF(WEEKDAY(B2026)=1,2,IF(WEEKDAY(B2026)=7,1,0))))))</f>
        <v>2</v>
      </c>
    </row>
    <row r="2027" spans="2:22">
      <c r="B2027" s="318">
        <f t="shared" si="127"/>
        <v>46197</v>
      </c>
      <c r="C2027" s="312">
        <v>7</v>
      </c>
      <c r="D2027" s="368">
        <f>IFERROR((INDEX(METADATA!$T$2:$T$20,MATCH(B2027,METADATA!$S$2:$S$20,0))),0)</f>
        <v>0</v>
      </c>
      <c r="E2027" s="312" t="str">
        <f t="shared" si="124"/>
        <v>LO</v>
      </c>
      <c r="F2027" s="369">
        <f>VLOOKUP(C2027,METADATA!$A$5:$H$29,IF(E2027="HI",2,IF(E2027="LO",6,10))+IF(D2027=1,2,IF(D2027=7,1,(IF(WEEKDAY(B2027)=1,2,IF(WEEKDAY(B2027)=7,1,0))))))</f>
        <v>1</v>
      </c>
      <c r="G2027" s="369">
        <f>VLOOKUP(C2027,METADATA!$J$5:$Q$29,IF(E2027="HI",2,IF(E2027="LO",6,10))+IF(D2027=1,2,IF(D2027=7,1,(IF(WEEKDAY(B2027)=1,2,IF(WEEKDAY(B2027)=7,1,0))))))</f>
        <v>1</v>
      </c>
      <c r="H2027" s="370">
        <v>5008.6249694824219</v>
      </c>
      <c r="I2027" s="370">
        <v>1081.7974853515625</v>
      </c>
      <c r="M2027" s="371">
        <f t="shared" si="125"/>
        <v>5124.12040102843</v>
      </c>
      <c r="N2027" s="329">
        <f t="shared" si="126"/>
        <v>0</v>
      </c>
      <c r="T2027" s="331">
        <v>0</v>
      </c>
      <c r="U2027" s="328">
        <f>VLOOKUP(C2027,METADATA!$J$5:$Q$29,IF(E2027="HI",2,IF(E2027="LO",6,10))+IF(T2027=1,2,IF(D2027=7,1,(IF(WEEKDAY(B2027)=1,2,IF(WEEKDAY(B2027)=7,1,0))))))</f>
        <v>1</v>
      </c>
      <c r="V2027" s="328">
        <f>VLOOKUP(C2027,METADATA!$A$5:$H$29,IF(E2027="HI",2,IF(E2027="LO",6,10))+IF(T2027=1,2,IF(D2027=7,1,(IF(WEEKDAY(B2027)=1,2,IF(WEEKDAY(B2027)=7,1,0))))))</f>
        <v>1</v>
      </c>
    </row>
    <row r="2028" spans="2:22">
      <c r="B2028" s="318">
        <f t="shared" si="127"/>
        <v>46197</v>
      </c>
      <c r="C2028" s="312">
        <v>8</v>
      </c>
      <c r="D2028" s="368">
        <f>IFERROR((INDEX(METADATA!$T$2:$T$20,MATCH(B2028,METADATA!$S$2:$S$20,0))),0)</f>
        <v>0</v>
      </c>
      <c r="E2028" s="312" t="str">
        <f t="shared" si="124"/>
        <v>LO</v>
      </c>
      <c r="F2028" s="369">
        <f>VLOOKUP(C2028,METADATA!$A$5:$H$29,IF(E2028="HI",2,IF(E2028="LO",6,10))+IF(D2028=1,2,IF(D2028=7,1,(IF(WEEKDAY(B2028)=1,2,IF(WEEKDAY(B2028)=7,1,0))))))</f>
        <v>1</v>
      </c>
      <c r="G2028" s="369">
        <f>VLOOKUP(C2028,METADATA!$J$5:$Q$29,IF(E2028="HI",2,IF(E2028="LO",6,10))+IF(D2028=1,2,IF(D2028=7,1,(IF(WEEKDAY(B2028)=1,2,IF(WEEKDAY(B2028)=7,1,0))))))</f>
        <v>1</v>
      </c>
      <c r="H2028" s="370">
        <v>4891.044921875</v>
      </c>
      <c r="I2028" s="370">
        <v>1052.9300231933594</v>
      </c>
      <c r="M2028" s="371">
        <f t="shared" si="125"/>
        <v>5003.0972468603077</v>
      </c>
      <c r="N2028" s="329">
        <f t="shared" si="126"/>
        <v>0</v>
      </c>
      <c r="T2028" s="331">
        <v>0</v>
      </c>
      <c r="U2028" s="328">
        <f>VLOOKUP(C2028,METADATA!$J$5:$Q$29,IF(E2028="HI",2,IF(E2028="LO",6,10))+IF(T2028=1,2,IF(D2028=7,1,(IF(WEEKDAY(B2028)=1,2,IF(WEEKDAY(B2028)=7,1,0))))))</f>
        <v>1</v>
      </c>
      <c r="V2028" s="328">
        <f>VLOOKUP(C2028,METADATA!$A$5:$H$29,IF(E2028="HI",2,IF(E2028="LO",6,10))+IF(T2028=1,2,IF(D2028=7,1,(IF(WEEKDAY(B2028)=1,2,IF(WEEKDAY(B2028)=7,1,0))))))</f>
        <v>1</v>
      </c>
    </row>
    <row r="2029" spans="2:22">
      <c r="B2029" s="318">
        <f t="shared" si="127"/>
        <v>46197</v>
      </c>
      <c r="C2029" s="312">
        <v>9</v>
      </c>
      <c r="D2029" s="368">
        <f>IFERROR((INDEX(METADATA!$T$2:$T$20,MATCH(B2029,METADATA!$S$2:$S$20,0))),0)</f>
        <v>0</v>
      </c>
      <c r="E2029" s="312" t="str">
        <f t="shared" si="124"/>
        <v>LO</v>
      </c>
      <c r="F2029" s="369">
        <f>VLOOKUP(C2029,METADATA!$A$5:$H$29,IF(E2029="HI",2,IF(E2029="LO",6,10))+IF(D2029=1,2,IF(D2029=7,1,(IF(WEEKDAY(B2029)=1,2,IF(WEEKDAY(B2029)=7,1,0))))))</f>
        <v>2</v>
      </c>
      <c r="G2029" s="369">
        <f>VLOOKUP(C2029,METADATA!$J$5:$Q$29,IF(E2029="HI",2,IF(E2029="LO",6,10))+IF(D2029=1,2,IF(D2029=7,1,(IF(WEEKDAY(B2029)=1,2,IF(WEEKDAY(B2029)=7,1,0))))))</f>
        <v>2</v>
      </c>
      <c r="H2029" s="370">
        <v>4742.6800537109375</v>
      </c>
      <c r="I2029" s="370">
        <v>1005.1199951171875</v>
      </c>
      <c r="M2029" s="371">
        <f t="shared" si="125"/>
        <v>4848.0181823557505</v>
      </c>
      <c r="N2029" s="329">
        <f t="shared" si="126"/>
        <v>0</v>
      </c>
      <c r="T2029" s="331">
        <v>0</v>
      </c>
      <c r="U2029" s="328">
        <f>VLOOKUP(C2029,METADATA!$J$5:$Q$29,IF(E2029="HI",2,IF(E2029="LO",6,10))+IF(T2029=1,2,IF(D2029=7,1,(IF(WEEKDAY(B2029)=1,2,IF(WEEKDAY(B2029)=7,1,0))))))</f>
        <v>2</v>
      </c>
      <c r="V2029" s="328">
        <f>VLOOKUP(C2029,METADATA!$A$5:$H$29,IF(E2029="HI",2,IF(E2029="LO",6,10))+IF(T2029=1,2,IF(D2029=7,1,(IF(WEEKDAY(B2029)=1,2,IF(WEEKDAY(B2029)=7,1,0))))))</f>
        <v>2</v>
      </c>
    </row>
    <row r="2030" spans="2:22">
      <c r="B2030" s="318">
        <f t="shared" si="127"/>
        <v>46197</v>
      </c>
      <c r="C2030" s="312">
        <v>10</v>
      </c>
      <c r="D2030" s="368">
        <f>IFERROR((INDEX(METADATA!$T$2:$T$20,MATCH(B2030,METADATA!$S$2:$S$20,0))),0)</f>
        <v>0</v>
      </c>
      <c r="E2030" s="312" t="str">
        <f t="shared" si="124"/>
        <v>LO</v>
      </c>
      <c r="F2030" s="369">
        <f>VLOOKUP(C2030,METADATA!$A$5:$H$29,IF(E2030="HI",2,IF(E2030="LO",6,10))+IF(D2030=1,2,IF(D2030=7,1,(IF(WEEKDAY(B2030)=1,2,IF(WEEKDAY(B2030)=7,1,0))))))</f>
        <v>2</v>
      </c>
      <c r="G2030" s="369">
        <f>VLOOKUP(C2030,METADATA!$J$5:$Q$29,IF(E2030="HI",2,IF(E2030="LO",6,10))+IF(D2030=1,2,IF(D2030=7,1,(IF(WEEKDAY(B2030)=1,2,IF(WEEKDAY(B2030)=7,1,0))))))</f>
        <v>2</v>
      </c>
      <c r="H2030" s="370">
        <v>4409.0726318359375</v>
      </c>
      <c r="I2030" s="370">
        <v>1013.1850128173828</v>
      </c>
      <c r="M2030" s="371">
        <f t="shared" si="125"/>
        <v>4523.9877699881599</v>
      </c>
      <c r="N2030" s="329">
        <f t="shared" si="126"/>
        <v>0</v>
      </c>
      <c r="T2030" s="331">
        <v>0</v>
      </c>
      <c r="U2030" s="328">
        <f>VLOOKUP(C2030,METADATA!$J$5:$Q$29,IF(E2030="HI",2,IF(E2030="LO",6,10))+IF(T2030=1,2,IF(D2030=7,1,(IF(WEEKDAY(B2030)=1,2,IF(WEEKDAY(B2030)=7,1,0))))))</f>
        <v>2</v>
      </c>
      <c r="V2030" s="328">
        <f>VLOOKUP(C2030,METADATA!$A$5:$H$29,IF(E2030="HI",2,IF(E2030="LO",6,10))+IF(T2030=1,2,IF(D2030=7,1,(IF(WEEKDAY(B2030)=1,2,IF(WEEKDAY(B2030)=7,1,0))))))</f>
        <v>2</v>
      </c>
    </row>
    <row r="2031" spans="2:22">
      <c r="B2031" s="318">
        <f t="shared" si="127"/>
        <v>46197</v>
      </c>
      <c r="C2031" s="312">
        <v>11</v>
      </c>
      <c r="D2031" s="368">
        <f>IFERROR((INDEX(METADATA!$T$2:$T$20,MATCH(B2031,METADATA!$S$2:$S$20,0))),0)</f>
        <v>0</v>
      </c>
      <c r="E2031" s="312" t="str">
        <f t="shared" si="124"/>
        <v>LO</v>
      </c>
      <c r="F2031" s="369">
        <f>VLOOKUP(C2031,METADATA!$A$5:$H$29,IF(E2031="HI",2,IF(E2031="LO",6,10))+IF(D2031=1,2,IF(D2031=7,1,(IF(WEEKDAY(B2031)=1,2,IF(WEEKDAY(B2031)=7,1,0))))))</f>
        <v>2</v>
      </c>
      <c r="G2031" s="369">
        <f>VLOOKUP(C2031,METADATA!$J$5:$Q$29,IF(E2031="HI",2,IF(E2031="LO",6,10))+IF(D2031=1,2,IF(D2031=7,1,(IF(WEEKDAY(B2031)=1,2,IF(WEEKDAY(B2031)=7,1,0))))))</f>
        <v>2</v>
      </c>
      <c r="H2031" s="370">
        <v>3889.7449035644531</v>
      </c>
      <c r="I2031" s="370">
        <v>1021.8199920654297</v>
      </c>
      <c r="M2031" s="371">
        <f t="shared" si="125"/>
        <v>4021.7199692408012</v>
      </c>
      <c r="N2031" s="329">
        <f t="shared" si="126"/>
        <v>0</v>
      </c>
      <c r="T2031" s="331">
        <v>0</v>
      </c>
      <c r="U2031" s="328">
        <f>VLOOKUP(C2031,METADATA!$J$5:$Q$29,IF(E2031="HI",2,IF(E2031="LO",6,10))+IF(T2031=1,2,IF(D2031=7,1,(IF(WEEKDAY(B2031)=1,2,IF(WEEKDAY(B2031)=7,1,0))))))</f>
        <v>2</v>
      </c>
      <c r="V2031" s="328">
        <f>VLOOKUP(C2031,METADATA!$A$5:$H$29,IF(E2031="HI",2,IF(E2031="LO",6,10))+IF(T2031=1,2,IF(D2031=7,1,(IF(WEEKDAY(B2031)=1,2,IF(WEEKDAY(B2031)=7,1,0))))))</f>
        <v>2</v>
      </c>
    </row>
    <row r="2032" spans="2:22">
      <c r="B2032" s="318">
        <f t="shared" si="127"/>
        <v>46197</v>
      </c>
      <c r="C2032" s="312">
        <v>12</v>
      </c>
      <c r="D2032" s="368">
        <f>IFERROR((INDEX(METADATA!$T$2:$T$20,MATCH(B2032,METADATA!$S$2:$S$20,0))),0)</f>
        <v>0</v>
      </c>
      <c r="E2032" s="312" t="str">
        <f t="shared" si="124"/>
        <v>LO</v>
      </c>
      <c r="F2032" s="369">
        <f>VLOOKUP(C2032,METADATA!$A$5:$H$29,IF(E2032="HI",2,IF(E2032="LO",6,10))+IF(D2032=1,2,IF(D2032=7,1,(IF(WEEKDAY(B2032)=1,2,IF(WEEKDAY(B2032)=7,1,0))))))</f>
        <v>2</v>
      </c>
      <c r="G2032" s="369">
        <f>VLOOKUP(C2032,METADATA!$J$5:$Q$29,IF(E2032="HI",2,IF(E2032="LO",6,10))+IF(D2032=1,2,IF(D2032=7,1,(IF(WEEKDAY(B2032)=1,2,IF(WEEKDAY(B2032)=7,1,0))))))</f>
        <v>2</v>
      </c>
      <c r="H2032" s="370">
        <v>4855.054931640625</v>
      </c>
      <c r="I2032" s="370">
        <v>1048.8949890136719</v>
      </c>
      <c r="M2032" s="371">
        <f t="shared" si="125"/>
        <v>4967.0654401996699</v>
      </c>
      <c r="N2032" s="329">
        <f t="shared" si="126"/>
        <v>0</v>
      </c>
      <c r="T2032" s="331">
        <v>0</v>
      </c>
      <c r="U2032" s="328">
        <f>VLOOKUP(C2032,METADATA!$J$5:$Q$29,IF(E2032="HI",2,IF(E2032="LO",6,10))+IF(T2032=1,2,IF(D2032=7,1,(IF(WEEKDAY(B2032)=1,2,IF(WEEKDAY(B2032)=7,1,0))))))</f>
        <v>2</v>
      </c>
      <c r="V2032" s="328">
        <f>VLOOKUP(C2032,METADATA!$A$5:$H$29,IF(E2032="HI",2,IF(E2032="LO",6,10))+IF(T2032=1,2,IF(D2032=7,1,(IF(WEEKDAY(B2032)=1,2,IF(WEEKDAY(B2032)=7,1,0))))))</f>
        <v>2</v>
      </c>
    </row>
    <row r="2033" spans="2:22">
      <c r="B2033" s="318">
        <f t="shared" si="127"/>
        <v>46197</v>
      </c>
      <c r="C2033" s="312">
        <v>13</v>
      </c>
      <c r="D2033" s="368">
        <f>IFERROR((INDEX(METADATA!$T$2:$T$20,MATCH(B2033,METADATA!$S$2:$S$20,0))),0)</f>
        <v>0</v>
      </c>
      <c r="E2033" s="312" t="str">
        <f t="shared" si="124"/>
        <v>LO</v>
      </c>
      <c r="F2033" s="369">
        <f>VLOOKUP(C2033,METADATA!$A$5:$H$29,IF(E2033="HI",2,IF(E2033="LO",6,10))+IF(D2033=1,2,IF(D2033=7,1,(IF(WEEKDAY(B2033)=1,2,IF(WEEKDAY(B2033)=7,1,0))))))</f>
        <v>2</v>
      </c>
      <c r="G2033" s="369">
        <f>VLOOKUP(C2033,METADATA!$J$5:$Q$29,IF(E2033="HI",2,IF(E2033="LO",6,10))+IF(D2033=1,2,IF(D2033=7,1,(IF(WEEKDAY(B2033)=1,2,IF(WEEKDAY(B2033)=7,1,0))))))</f>
        <v>2</v>
      </c>
      <c r="H2033" s="370">
        <v>5877.06005859375</v>
      </c>
      <c r="I2033" s="370">
        <v>1118.6675109863281</v>
      </c>
      <c r="M2033" s="371">
        <f t="shared" si="125"/>
        <v>5982.5790368748421</v>
      </c>
      <c r="N2033" s="329">
        <f t="shared" si="126"/>
        <v>0</v>
      </c>
      <c r="T2033" s="331">
        <v>0</v>
      </c>
      <c r="U2033" s="328">
        <f>VLOOKUP(C2033,METADATA!$J$5:$Q$29,IF(E2033="HI",2,IF(E2033="LO",6,10))+IF(T2033=1,2,IF(D2033=7,1,(IF(WEEKDAY(B2033)=1,2,IF(WEEKDAY(B2033)=7,1,0))))))</f>
        <v>2</v>
      </c>
      <c r="V2033" s="328">
        <f>VLOOKUP(C2033,METADATA!$A$5:$H$29,IF(E2033="HI",2,IF(E2033="LO",6,10))+IF(T2033=1,2,IF(D2033=7,1,(IF(WEEKDAY(B2033)=1,2,IF(WEEKDAY(B2033)=7,1,0))))))</f>
        <v>2</v>
      </c>
    </row>
    <row r="2034" spans="2:22">
      <c r="B2034" s="318">
        <f t="shared" si="127"/>
        <v>46197</v>
      </c>
      <c r="C2034" s="312">
        <v>14</v>
      </c>
      <c r="D2034" s="368">
        <f>IFERROR((INDEX(METADATA!$T$2:$T$20,MATCH(B2034,METADATA!$S$2:$S$20,0))),0)</f>
        <v>0</v>
      </c>
      <c r="E2034" s="312" t="str">
        <f t="shared" si="124"/>
        <v>LO</v>
      </c>
      <c r="F2034" s="369">
        <f>VLOOKUP(C2034,METADATA!$A$5:$H$29,IF(E2034="HI",2,IF(E2034="LO",6,10))+IF(D2034=1,2,IF(D2034=7,1,(IF(WEEKDAY(B2034)=1,2,IF(WEEKDAY(B2034)=7,1,0))))))</f>
        <v>2</v>
      </c>
      <c r="G2034" s="369">
        <f>VLOOKUP(C2034,METADATA!$J$5:$Q$29,IF(E2034="HI",2,IF(E2034="LO",6,10))+IF(D2034=1,2,IF(D2034=7,1,(IF(WEEKDAY(B2034)=1,2,IF(WEEKDAY(B2034)=7,1,0))))))</f>
        <v>2</v>
      </c>
      <c r="H2034" s="370">
        <v>7400.5400695800781</v>
      </c>
      <c r="I2034" s="370">
        <v>1754.9275207519531</v>
      </c>
      <c r="M2034" s="371">
        <f t="shared" si="125"/>
        <v>7605.771750753036</v>
      </c>
      <c r="N2034" s="329">
        <f t="shared" si="126"/>
        <v>0</v>
      </c>
      <c r="T2034" s="331">
        <v>0</v>
      </c>
      <c r="U2034" s="328">
        <f>VLOOKUP(C2034,METADATA!$J$5:$Q$29,IF(E2034="HI",2,IF(E2034="LO",6,10))+IF(T2034=1,2,IF(D2034=7,1,(IF(WEEKDAY(B2034)=1,2,IF(WEEKDAY(B2034)=7,1,0))))))</f>
        <v>2</v>
      </c>
      <c r="V2034" s="328">
        <f>VLOOKUP(C2034,METADATA!$A$5:$H$29,IF(E2034="HI",2,IF(E2034="LO",6,10))+IF(T2034=1,2,IF(D2034=7,1,(IF(WEEKDAY(B2034)=1,2,IF(WEEKDAY(B2034)=7,1,0))))))</f>
        <v>2</v>
      </c>
    </row>
    <row r="2035" spans="2:22">
      <c r="B2035" s="318">
        <f t="shared" si="127"/>
        <v>46197</v>
      </c>
      <c r="C2035" s="312">
        <v>15</v>
      </c>
      <c r="D2035" s="368">
        <f>IFERROR((INDEX(METADATA!$T$2:$T$20,MATCH(B2035,METADATA!$S$2:$S$20,0))),0)</f>
        <v>0</v>
      </c>
      <c r="E2035" s="312" t="str">
        <f t="shared" si="124"/>
        <v>LO</v>
      </c>
      <c r="F2035" s="369">
        <f>VLOOKUP(C2035,METADATA!$A$5:$H$29,IF(E2035="HI",2,IF(E2035="LO",6,10))+IF(D2035=1,2,IF(D2035=7,1,(IF(WEEKDAY(B2035)=1,2,IF(WEEKDAY(B2035)=7,1,0))))))</f>
        <v>2</v>
      </c>
      <c r="G2035" s="369">
        <f>VLOOKUP(C2035,METADATA!$J$5:$Q$29,IF(E2035="HI",2,IF(E2035="LO",6,10))+IF(D2035=1,2,IF(D2035=7,1,(IF(WEEKDAY(B2035)=1,2,IF(WEEKDAY(B2035)=7,1,0))))))</f>
        <v>2</v>
      </c>
      <c r="H2035" s="370">
        <v>9562.7449645996094</v>
      </c>
      <c r="I2035" s="370">
        <v>2389.8000030517578</v>
      </c>
      <c r="M2035" s="371">
        <f t="shared" si="125"/>
        <v>9856.8369831585114</v>
      </c>
      <c r="N2035" s="329">
        <f t="shared" si="126"/>
        <v>0</v>
      </c>
      <c r="T2035" s="331">
        <v>0</v>
      </c>
      <c r="U2035" s="328">
        <f>VLOOKUP(C2035,METADATA!$J$5:$Q$29,IF(E2035="HI",2,IF(E2035="LO",6,10))+IF(T2035=1,2,IF(D2035=7,1,(IF(WEEKDAY(B2035)=1,2,IF(WEEKDAY(B2035)=7,1,0))))))</f>
        <v>2</v>
      </c>
      <c r="V2035" s="328">
        <f>VLOOKUP(C2035,METADATA!$A$5:$H$29,IF(E2035="HI",2,IF(E2035="LO",6,10))+IF(T2035=1,2,IF(D2035=7,1,(IF(WEEKDAY(B2035)=1,2,IF(WEEKDAY(B2035)=7,1,0))))))</f>
        <v>2</v>
      </c>
    </row>
    <row r="2036" spans="2:22">
      <c r="B2036" s="318">
        <f t="shared" si="127"/>
        <v>46197</v>
      </c>
      <c r="C2036" s="312">
        <v>16</v>
      </c>
      <c r="D2036" s="368">
        <f>IFERROR((INDEX(METADATA!$T$2:$T$20,MATCH(B2036,METADATA!$S$2:$S$20,0))),0)</f>
        <v>0</v>
      </c>
      <c r="E2036" s="312" t="str">
        <f t="shared" si="124"/>
        <v>LO</v>
      </c>
      <c r="F2036" s="369">
        <f>VLOOKUP(C2036,METADATA!$A$5:$H$29,IF(E2036="HI",2,IF(E2036="LO",6,10))+IF(D2036=1,2,IF(D2036=7,1,(IF(WEEKDAY(B2036)=1,2,IF(WEEKDAY(B2036)=7,1,0))))))</f>
        <v>2</v>
      </c>
      <c r="G2036" s="369">
        <f>VLOOKUP(C2036,METADATA!$J$5:$Q$29,IF(E2036="HI",2,IF(E2036="LO",6,10))+IF(D2036=1,2,IF(D2036=7,1,(IF(WEEKDAY(B2036)=1,2,IF(WEEKDAY(B2036)=7,1,0))))))</f>
        <v>2</v>
      </c>
      <c r="H2036" s="370">
        <v>11155.44775390625</v>
      </c>
      <c r="I2036" s="370">
        <v>2969.0899963378906</v>
      </c>
      <c r="M2036" s="371">
        <f t="shared" si="125"/>
        <v>11543.808296939349</v>
      </c>
      <c r="N2036" s="329">
        <f t="shared" si="126"/>
        <v>0</v>
      </c>
      <c r="T2036" s="331">
        <v>0</v>
      </c>
      <c r="U2036" s="328">
        <f>VLOOKUP(C2036,METADATA!$J$5:$Q$29,IF(E2036="HI",2,IF(E2036="LO",6,10))+IF(T2036=1,2,IF(D2036=7,1,(IF(WEEKDAY(B2036)=1,2,IF(WEEKDAY(B2036)=7,1,0))))))</f>
        <v>2</v>
      </c>
      <c r="V2036" s="328">
        <f>VLOOKUP(C2036,METADATA!$A$5:$H$29,IF(E2036="HI",2,IF(E2036="LO",6,10))+IF(T2036=1,2,IF(D2036=7,1,(IF(WEEKDAY(B2036)=1,2,IF(WEEKDAY(B2036)=7,1,0))))))</f>
        <v>2</v>
      </c>
    </row>
    <row r="2037" spans="2:22">
      <c r="B2037" s="318">
        <f t="shared" si="127"/>
        <v>46197</v>
      </c>
      <c r="C2037" s="312">
        <v>17</v>
      </c>
      <c r="D2037" s="368">
        <f>IFERROR((INDEX(METADATA!$T$2:$T$20,MATCH(B2037,METADATA!$S$2:$S$20,0))),0)</f>
        <v>0</v>
      </c>
      <c r="E2037" s="312" t="str">
        <f t="shared" si="124"/>
        <v>LO</v>
      </c>
      <c r="F2037" s="369">
        <f>VLOOKUP(C2037,METADATA!$A$5:$H$29,IF(E2037="HI",2,IF(E2037="LO",6,10))+IF(D2037=1,2,IF(D2037=7,1,(IF(WEEKDAY(B2037)=1,2,IF(WEEKDAY(B2037)=7,1,0))))))</f>
        <v>2</v>
      </c>
      <c r="G2037" s="369">
        <f>VLOOKUP(C2037,METADATA!$J$5:$Q$29,IF(E2037="HI",2,IF(E2037="LO",6,10))+IF(D2037=1,2,IF(D2037=7,1,(IF(WEEKDAY(B2037)=1,2,IF(WEEKDAY(B2037)=7,1,0))))))</f>
        <v>2</v>
      </c>
      <c r="H2037" s="370">
        <v>11173.817504882813</v>
      </c>
      <c r="I2037" s="370">
        <v>2956.9649963378906</v>
      </c>
      <c r="M2037" s="371">
        <f t="shared" si="125"/>
        <v>11558.453167357347</v>
      </c>
      <c r="N2037" s="329">
        <f t="shared" si="126"/>
        <v>0</v>
      </c>
      <c r="T2037" s="331">
        <v>0</v>
      </c>
      <c r="U2037" s="328">
        <f>VLOOKUP(C2037,METADATA!$J$5:$Q$29,IF(E2037="HI",2,IF(E2037="LO",6,10))+IF(T2037=1,2,IF(D2037=7,1,(IF(WEEKDAY(B2037)=1,2,IF(WEEKDAY(B2037)=7,1,0))))))</f>
        <v>2</v>
      </c>
      <c r="V2037" s="328">
        <f>VLOOKUP(C2037,METADATA!$A$5:$H$29,IF(E2037="HI",2,IF(E2037="LO",6,10))+IF(T2037=1,2,IF(D2037=7,1,(IF(WEEKDAY(B2037)=1,2,IF(WEEKDAY(B2037)=7,1,0))))))</f>
        <v>2</v>
      </c>
    </row>
    <row r="2038" spans="2:22">
      <c r="B2038" s="318">
        <f t="shared" si="127"/>
        <v>46197</v>
      </c>
      <c r="C2038" s="312">
        <v>18</v>
      </c>
      <c r="D2038" s="368">
        <f>IFERROR((INDEX(METADATA!$T$2:$T$20,MATCH(B2038,METADATA!$S$2:$S$20,0))),0)</f>
        <v>0</v>
      </c>
      <c r="E2038" s="312" t="str">
        <f t="shared" si="124"/>
        <v>LO</v>
      </c>
      <c r="F2038" s="369">
        <f>VLOOKUP(C2038,METADATA!$A$5:$H$29,IF(E2038="HI",2,IF(E2038="LO",6,10))+IF(D2038=1,2,IF(D2038=7,1,(IF(WEEKDAY(B2038)=1,2,IF(WEEKDAY(B2038)=7,1,0))))))</f>
        <v>1</v>
      </c>
      <c r="G2038" s="369">
        <f>VLOOKUP(C2038,METADATA!$J$5:$Q$29,IF(E2038="HI",2,IF(E2038="LO",6,10))+IF(D2038=1,2,IF(D2038=7,1,(IF(WEEKDAY(B2038)=1,2,IF(WEEKDAY(B2038)=7,1,0))))))</f>
        <v>1</v>
      </c>
      <c r="H2038" s="370">
        <v>11111.100067138672</v>
      </c>
      <c r="I2038" s="370">
        <v>2838.0500793457031</v>
      </c>
      <c r="M2038" s="371">
        <f t="shared" si="125"/>
        <v>11467.827734791064</v>
      </c>
      <c r="N2038" s="329">
        <f t="shared" si="126"/>
        <v>0</v>
      </c>
      <c r="T2038" s="331">
        <v>0</v>
      </c>
      <c r="U2038" s="328">
        <f>VLOOKUP(C2038,METADATA!$J$5:$Q$29,IF(E2038="HI",2,IF(E2038="LO",6,10))+IF(T2038=1,2,IF(D2038=7,1,(IF(WEEKDAY(B2038)=1,2,IF(WEEKDAY(B2038)=7,1,0))))))</f>
        <v>1</v>
      </c>
      <c r="V2038" s="328">
        <f>VLOOKUP(C2038,METADATA!$A$5:$H$29,IF(E2038="HI",2,IF(E2038="LO",6,10))+IF(T2038=1,2,IF(D2038=7,1,(IF(WEEKDAY(B2038)=1,2,IF(WEEKDAY(B2038)=7,1,0))))))</f>
        <v>1</v>
      </c>
    </row>
    <row r="2039" spans="2:22">
      <c r="B2039" s="318">
        <f t="shared" si="127"/>
        <v>46197</v>
      </c>
      <c r="C2039" s="312">
        <v>19</v>
      </c>
      <c r="D2039" s="368">
        <f>IFERROR((INDEX(METADATA!$T$2:$T$20,MATCH(B2039,METADATA!$S$2:$S$20,0))),0)</f>
        <v>0</v>
      </c>
      <c r="E2039" s="312" t="str">
        <f t="shared" si="124"/>
        <v>LO</v>
      </c>
      <c r="F2039" s="369">
        <f>VLOOKUP(C2039,METADATA!$A$5:$H$29,IF(E2039="HI",2,IF(E2039="LO",6,10))+IF(D2039=1,2,IF(D2039=7,1,(IF(WEEKDAY(B2039)=1,2,IF(WEEKDAY(B2039)=7,1,0))))))</f>
        <v>1</v>
      </c>
      <c r="G2039" s="369">
        <f>VLOOKUP(C2039,METADATA!$J$5:$Q$29,IF(E2039="HI",2,IF(E2039="LO",6,10))+IF(D2039=1,2,IF(D2039=7,1,(IF(WEEKDAY(B2039)=1,2,IF(WEEKDAY(B2039)=7,1,0))))))</f>
        <v>1</v>
      </c>
      <c r="H2039" s="370">
        <v>9179.7501220703125</v>
      </c>
      <c r="I2039" s="370">
        <v>2436.8550128936768</v>
      </c>
      <c r="M2039" s="371">
        <f t="shared" si="125"/>
        <v>9497.6878585008762</v>
      </c>
      <c r="N2039" s="329">
        <f t="shared" si="126"/>
        <v>0</v>
      </c>
      <c r="T2039" s="331">
        <v>0</v>
      </c>
      <c r="U2039" s="328">
        <f>VLOOKUP(C2039,METADATA!$J$5:$Q$29,IF(E2039="HI",2,IF(E2039="LO",6,10))+IF(T2039=1,2,IF(D2039=7,1,(IF(WEEKDAY(B2039)=1,2,IF(WEEKDAY(B2039)=7,1,0))))))</f>
        <v>1</v>
      </c>
      <c r="V2039" s="328">
        <f>VLOOKUP(C2039,METADATA!$A$5:$H$29,IF(E2039="HI",2,IF(E2039="LO",6,10))+IF(T2039=1,2,IF(D2039=7,1,(IF(WEEKDAY(B2039)=1,2,IF(WEEKDAY(B2039)=7,1,0))))))</f>
        <v>1</v>
      </c>
    </row>
    <row r="2040" spans="2:22">
      <c r="B2040" s="318">
        <f t="shared" si="127"/>
        <v>46197</v>
      </c>
      <c r="C2040" s="312">
        <v>20</v>
      </c>
      <c r="D2040" s="368">
        <f>IFERROR((INDEX(METADATA!$T$2:$T$20,MATCH(B2040,METADATA!$S$2:$S$20,0))),0)</f>
        <v>0</v>
      </c>
      <c r="E2040" s="312" t="str">
        <f t="shared" si="124"/>
        <v>LO</v>
      </c>
      <c r="F2040" s="369">
        <f>VLOOKUP(C2040,METADATA!$A$5:$H$29,IF(E2040="HI",2,IF(E2040="LO",6,10))+IF(D2040=1,2,IF(D2040=7,1,(IF(WEEKDAY(B2040)=1,2,IF(WEEKDAY(B2040)=7,1,0))))))</f>
        <v>1</v>
      </c>
      <c r="G2040" s="369">
        <f>VLOOKUP(C2040,METADATA!$J$5:$Q$29,IF(E2040="HI",2,IF(E2040="LO",6,10))+IF(D2040=1,2,IF(D2040=7,1,(IF(WEEKDAY(B2040)=1,2,IF(WEEKDAY(B2040)=7,1,0))))))</f>
        <v>1</v>
      </c>
      <c r="H2040" s="370">
        <v>11050.599792480469</v>
      </c>
      <c r="I2040" s="370">
        <v>3136.7549996376038</v>
      </c>
      <c r="M2040" s="371">
        <f t="shared" si="125"/>
        <v>11487.16621718868</v>
      </c>
      <c r="N2040" s="329">
        <f t="shared" si="126"/>
        <v>0</v>
      </c>
      <c r="T2040" s="331">
        <v>0</v>
      </c>
      <c r="U2040" s="328">
        <f>VLOOKUP(C2040,METADATA!$J$5:$Q$29,IF(E2040="HI",2,IF(E2040="LO",6,10))+IF(T2040=1,2,IF(D2040=7,1,(IF(WEEKDAY(B2040)=1,2,IF(WEEKDAY(B2040)=7,1,0))))))</f>
        <v>1</v>
      </c>
      <c r="V2040" s="328">
        <f>VLOOKUP(C2040,METADATA!$A$5:$H$29,IF(E2040="HI",2,IF(E2040="LO",6,10))+IF(T2040=1,2,IF(D2040=7,1,(IF(WEEKDAY(B2040)=1,2,IF(WEEKDAY(B2040)=7,1,0))))))</f>
        <v>1</v>
      </c>
    </row>
    <row r="2041" spans="2:22">
      <c r="B2041" s="318">
        <f t="shared" si="127"/>
        <v>46197</v>
      </c>
      <c r="C2041" s="312">
        <v>21</v>
      </c>
      <c r="D2041" s="368">
        <f>IFERROR((INDEX(METADATA!$T$2:$T$20,MATCH(B2041,METADATA!$S$2:$S$20,0))),0)</f>
        <v>0</v>
      </c>
      <c r="E2041" s="312" t="str">
        <f t="shared" si="124"/>
        <v>LO</v>
      </c>
      <c r="F2041" s="369">
        <f>VLOOKUP(C2041,METADATA!$A$5:$H$29,IF(E2041="HI",2,IF(E2041="LO",6,10))+IF(D2041=1,2,IF(D2041=7,1,(IF(WEEKDAY(B2041)=1,2,IF(WEEKDAY(B2041)=7,1,0))))))</f>
        <v>2</v>
      </c>
      <c r="G2041" s="369">
        <f>VLOOKUP(C2041,METADATA!$J$5:$Q$29,IF(E2041="HI",2,IF(E2041="LO",6,10))+IF(D2041=1,2,IF(D2041=7,1,(IF(WEEKDAY(B2041)=1,2,IF(WEEKDAY(B2041)=7,1,0))))))</f>
        <v>2</v>
      </c>
      <c r="H2041" s="370">
        <v>13512.724914550781</v>
      </c>
      <c r="I2041" s="370">
        <v>4186.8400573730469</v>
      </c>
      <c r="M2041" s="371">
        <f t="shared" si="125"/>
        <v>14146.496537388504</v>
      </c>
      <c r="N2041" s="329">
        <f t="shared" si="126"/>
        <v>133.0225830078125</v>
      </c>
      <c r="T2041" s="331">
        <v>0</v>
      </c>
      <c r="U2041" s="328">
        <f>VLOOKUP(C2041,METADATA!$J$5:$Q$29,IF(E2041="HI",2,IF(E2041="LO",6,10))+IF(T2041=1,2,IF(D2041=7,1,(IF(WEEKDAY(B2041)=1,2,IF(WEEKDAY(B2041)=7,1,0))))))</f>
        <v>2</v>
      </c>
      <c r="V2041" s="328">
        <f>VLOOKUP(C2041,METADATA!$A$5:$H$29,IF(E2041="HI",2,IF(E2041="LO",6,10))+IF(T2041=1,2,IF(D2041=7,1,(IF(WEEKDAY(B2041)=1,2,IF(WEEKDAY(B2041)=7,1,0))))))</f>
        <v>2</v>
      </c>
    </row>
    <row r="2042" spans="2:22">
      <c r="B2042" s="318">
        <f t="shared" si="127"/>
        <v>46197</v>
      </c>
      <c r="C2042" s="312">
        <v>22</v>
      </c>
      <c r="D2042" s="368">
        <f>IFERROR((INDEX(METADATA!$T$2:$T$20,MATCH(B2042,METADATA!$S$2:$S$20,0))),0)</f>
        <v>0</v>
      </c>
      <c r="E2042" s="312" t="str">
        <f t="shared" si="124"/>
        <v>LO</v>
      </c>
      <c r="F2042" s="369">
        <f>VLOOKUP(C2042,METADATA!$A$5:$H$29,IF(E2042="HI",2,IF(E2042="LO",6,10))+IF(D2042=1,2,IF(D2042=7,1,(IF(WEEKDAY(B2042)=1,2,IF(WEEKDAY(B2042)=7,1,0))))))</f>
        <v>3</v>
      </c>
      <c r="G2042" s="369">
        <f>VLOOKUP(C2042,METADATA!$J$5:$Q$29,IF(E2042="HI",2,IF(E2042="LO",6,10))+IF(D2042=1,2,IF(D2042=7,1,(IF(WEEKDAY(B2042)=1,2,IF(WEEKDAY(B2042)=7,1,0))))))</f>
        <v>3</v>
      </c>
      <c r="H2042" s="370">
        <v>13637.049987792969</v>
      </c>
      <c r="I2042" s="370">
        <v>4292.5599670410156</v>
      </c>
      <c r="M2042" s="371">
        <f t="shared" si="125"/>
        <v>14296.685050745413</v>
      </c>
      <c r="N2042" s="329">
        <f t="shared" si="126"/>
        <v>201.44497070312536</v>
      </c>
      <c r="T2042" s="331">
        <v>0</v>
      </c>
      <c r="U2042" s="328">
        <f>VLOOKUP(C2042,METADATA!$J$5:$Q$29,IF(E2042="HI",2,IF(E2042="LO",6,10))+IF(T2042=1,2,IF(D2042=7,1,(IF(WEEKDAY(B2042)=1,2,IF(WEEKDAY(B2042)=7,1,0))))))</f>
        <v>3</v>
      </c>
      <c r="V2042" s="328">
        <f>VLOOKUP(C2042,METADATA!$A$5:$H$29,IF(E2042="HI",2,IF(E2042="LO",6,10))+IF(T2042=1,2,IF(D2042=7,1,(IF(WEEKDAY(B2042)=1,2,IF(WEEKDAY(B2042)=7,1,0))))))</f>
        <v>3</v>
      </c>
    </row>
    <row r="2043" spans="2:22">
      <c r="B2043" s="318">
        <f t="shared" si="127"/>
        <v>46197</v>
      </c>
      <c r="C2043" s="312">
        <v>23</v>
      </c>
      <c r="D2043" s="368">
        <f>IFERROR((INDEX(METADATA!$T$2:$T$20,MATCH(B2043,METADATA!$S$2:$S$20,0))),0)</f>
        <v>0</v>
      </c>
      <c r="E2043" s="312" t="str">
        <f t="shared" si="124"/>
        <v>LO</v>
      </c>
      <c r="F2043" s="369">
        <f>VLOOKUP(C2043,METADATA!$A$5:$H$29,IF(E2043="HI",2,IF(E2043="LO",6,10))+IF(D2043=1,2,IF(D2043=7,1,(IF(WEEKDAY(B2043)=1,2,IF(WEEKDAY(B2043)=7,1,0))))))</f>
        <v>3</v>
      </c>
      <c r="G2043" s="369">
        <f>VLOOKUP(C2043,METADATA!$J$5:$Q$29,IF(E2043="HI",2,IF(E2043="LO",6,10))+IF(D2043=1,2,IF(D2043=7,1,(IF(WEEKDAY(B2043)=1,2,IF(WEEKDAY(B2043)=7,1,0))))))</f>
        <v>3</v>
      </c>
      <c r="H2043" s="370">
        <v>13797.224670410156</v>
      </c>
      <c r="I2043" s="370">
        <v>4391.89990234375</v>
      </c>
      <c r="M2043" s="371">
        <f t="shared" si="125"/>
        <v>14479.371303961429</v>
      </c>
      <c r="N2043" s="329">
        <f t="shared" si="126"/>
        <v>252.73250122070294</v>
      </c>
      <c r="T2043" s="331">
        <v>0</v>
      </c>
      <c r="U2043" s="328">
        <f>VLOOKUP(C2043,METADATA!$J$5:$Q$29,IF(E2043="HI",2,IF(E2043="LO",6,10))+IF(T2043=1,2,IF(D2043=7,1,(IF(WEEKDAY(B2043)=1,2,IF(WEEKDAY(B2043)=7,1,0))))))</f>
        <v>3</v>
      </c>
      <c r="V2043" s="328">
        <f>VLOOKUP(C2043,METADATA!$A$5:$H$29,IF(E2043="HI",2,IF(E2043="LO",6,10))+IF(T2043=1,2,IF(D2043=7,1,(IF(WEEKDAY(B2043)=1,2,IF(WEEKDAY(B2043)=7,1,0))))))</f>
        <v>3</v>
      </c>
    </row>
    <row r="2044" spans="2:22">
      <c r="B2044" s="318">
        <f t="shared" si="127"/>
        <v>46198</v>
      </c>
      <c r="C2044" s="312">
        <v>0</v>
      </c>
      <c r="D2044" s="368">
        <f>IFERROR((INDEX(METADATA!$T$2:$T$20,MATCH(B2044,METADATA!$S$2:$S$20,0))),0)</f>
        <v>0</v>
      </c>
      <c r="E2044" s="312" t="str">
        <f t="shared" si="124"/>
        <v>LO</v>
      </c>
      <c r="F2044" s="369">
        <f>VLOOKUP(C2044,METADATA!$A$5:$H$29,IF(E2044="HI",2,IF(E2044="LO",6,10))+IF(D2044=1,2,IF(D2044=7,1,(IF(WEEKDAY(B2044)=1,2,IF(WEEKDAY(B2044)=7,1,0))))))</f>
        <v>3</v>
      </c>
      <c r="G2044" s="369">
        <f>VLOOKUP(C2044,METADATA!$J$5:$Q$29,IF(E2044="HI",2,IF(E2044="LO",6,10))+IF(D2044=1,2,IF(D2044=7,1,(IF(WEEKDAY(B2044)=1,2,IF(WEEKDAY(B2044)=7,1,0))))))</f>
        <v>3</v>
      </c>
      <c r="H2044" s="370">
        <v>13914.875244140625</v>
      </c>
      <c r="I2044" s="370">
        <v>4464.9249267578125</v>
      </c>
      <c r="M2044" s="371">
        <f t="shared" si="125"/>
        <v>14613.668521681368</v>
      </c>
      <c r="N2044" s="329">
        <f t="shared" si="126"/>
        <v>290.46235351562518</v>
      </c>
      <c r="T2044" s="331">
        <v>0</v>
      </c>
      <c r="U2044" s="328">
        <f>VLOOKUP(C2044,METADATA!$J$5:$Q$29,IF(E2044="HI",2,IF(E2044="LO",6,10))+IF(T2044=1,2,IF(D2044=7,1,(IF(WEEKDAY(B2044)=1,2,IF(WEEKDAY(B2044)=7,1,0))))))</f>
        <v>3</v>
      </c>
      <c r="V2044" s="328">
        <f>VLOOKUP(C2044,METADATA!$A$5:$H$29,IF(E2044="HI",2,IF(E2044="LO",6,10))+IF(T2044=1,2,IF(D2044=7,1,(IF(WEEKDAY(B2044)=1,2,IF(WEEKDAY(B2044)=7,1,0))))))</f>
        <v>3</v>
      </c>
    </row>
    <row r="2045" spans="2:22">
      <c r="B2045" s="318">
        <f t="shared" si="127"/>
        <v>46198</v>
      </c>
      <c r="C2045" s="312">
        <v>1</v>
      </c>
      <c r="D2045" s="368">
        <f>IFERROR((INDEX(METADATA!$T$2:$T$20,MATCH(B2045,METADATA!$S$2:$S$20,0))),0)</f>
        <v>0</v>
      </c>
      <c r="E2045" s="312" t="str">
        <f t="shared" si="124"/>
        <v>LO</v>
      </c>
      <c r="F2045" s="369">
        <f>VLOOKUP(C2045,METADATA!$A$5:$H$29,IF(E2045="HI",2,IF(E2045="LO",6,10))+IF(D2045=1,2,IF(D2045=7,1,(IF(WEEKDAY(B2045)=1,2,IF(WEEKDAY(B2045)=7,1,0))))))</f>
        <v>3</v>
      </c>
      <c r="G2045" s="369">
        <f>VLOOKUP(C2045,METADATA!$J$5:$Q$29,IF(E2045="HI",2,IF(E2045="LO",6,10))+IF(D2045=1,2,IF(D2045=7,1,(IF(WEEKDAY(B2045)=1,2,IF(WEEKDAY(B2045)=7,1,0))))))</f>
        <v>3</v>
      </c>
      <c r="H2045" s="370">
        <v>13807.275390625</v>
      </c>
      <c r="I2045" s="370">
        <v>4492.4500427246094</v>
      </c>
      <c r="M2045" s="371">
        <f t="shared" si="125"/>
        <v>14519.74383723539</v>
      </c>
      <c r="N2045" s="329">
        <f t="shared" si="126"/>
        <v>350.26742553710938</v>
      </c>
      <c r="T2045" s="331">
        <v>0</v>
      </c>
      <c r="U2045" s="328">
        <f>VLOOKUP(C2045,METADATA!$J$5:$Q$29,IF(E2045="HI",2,IF(E2045="LO",6,10))+IF(T2045=1,2,IF(D2045=7,1,(IF(WEEKDAY(B2045)=1,2,IF(WEEKDAY(B2045)=7,1,0))))))</f>
        <v>3</v>
      </c>
      <c r="V2045" s="328">
        <f>VLOOKUP(C2045,METADATA!$A$5:$H$29,IF(E2045="HI",2,IF(E2045="LO",6,10))+IF(T2045=1,2,IF(D2045=7,1,(IF(WEEKDAY(B2045)=1,2,IF(WEEKDAY(B2045)=7,1,0))))))</f>
        <v>3</v>
      </c>
    </row>
    <row r="2046" spans="2:22">
      <c r="B2046" s="318">
        <f t="shared" si="127"/>
        <v>46198</v>
      </c>
      <c r="C2046" s="312">
        <v>2</v>
      </c>
      <c r="D2046" s="368">
        <f>IFERROR((INDEX(METADATA!$T$2:$T$20,MATCH(B2046,METADATA!$S$2:$S$20,0))),0)</f>
        <v>0</v>
      </c>
      <c r="E2046" s="312" t="str">
        <f t="shared" si="124"/>
        <v>LO</v>
      </c>
      <c r="F2046" s="369">
        <f>VLOOKUP(C2046,METADATA!$A$5:$H$29,IF(E2046="HI",2,IF(E2046="LO",6,10))+IF(D2046=1,2,IF(D2046=7,1,(IF(WEEKDAY(B2046)=1,2,IF(WEEKDAY(B2046)=7,1,0))))))</f>
        <v>3</v>
      </c>
      <c r="G2046" s="369">
        <f>VLOOKUP(C2046,METADATA!$J$5:$Q$29,IF(E2046="HI",2,IF(E2046="LO",6,10))+IF(D2046=1,2,IF(D2046=7,1,(IF(WEEKDAY(B2046)=1,2,IF(WEEKDAY(B2046)=7,1,0))))))</f>
        <v>3</v>
      </c>
      <c r="H2046" s="370">
        <v>13567.550048828125</v>
      </c>
      <c r="I2046" s="370">
        <v>4253.3749694824219</v>
      </c>
      <c r="M2046" s="371">
        <f t="shared" si="125"/>
        <v>14218.636114567236</v>
      </c>
      <c r="N2046" s="329">
        <f t="shared" si="126"/>
        <v>183.10995483398438</v>
      </c>
      <c r="T2046" s="331">
        <v>0</v>
      </c>
      <c r="U2046" s="328">
        <f>VLOOKUP(C2046,METADATA!$J$5:$Q$29,IF(E2046="HI",2,IF(E2046="LO",6,10))+IF(T2046=1,2,IF(D2046=7,1,(IF(WEEKDAY(B2046)=1,2,IF(WEEKDAY(B2046)=7,1,0))))))</f>
        <v>3</v>
      </c>
      <c r="V2046" s="328">
        <f>VLOOKUP(C2046,METADATA!$A$5:$H$29,IF(E2046="HI",2,IF(E2046="LO",6,10))+IF(T2046=1,2,IF(D2046=7,1,(IF(WEEKDAY(B2046)=1,2,IF(WEEKDAY(B2046)=7,1,0))))))</f>
        <v>3</v>
      </c>
    </row>
    <row r="2047" spans="2:22">
      <c r="B2047" s="318">
        <f t="shared" si="127"/>
        <v>46198</v>
      </c>
      <c r="C2047" s="312">
        <v>3</v>
      </c>
      <c r="D2047" s="368">
        <f>IFERROR((INDEX(METADATA!$T$2:$T$20,MATCH(B2047,METADATA!$S$2:$S$20,0))),0)</f>
        <v>0</v>
      </c>
      <c r="E2047" s="312" t="str">
        <f t="shared" si="124"/>
        <v>LO</v>
      </c>
      <c r="F2047" s="369">
        <f>VLOOKUP(C2047,METADATA!$A$5:$H$29,IF(E2047="HI",2,IF(E2047="LO",6,10))+IF(D2047=1,2,IF(D2047=7,1,(IF(WEEKDAY(B2047)=1,2,IF(WEEKDAY(B2047)=7,1,0))))))</f>
        <v>3</v>
      </c>
      <c r="G2047" s="369">
        <f>VLOOKUP(C2047,METADATA!$J$5:$Q$29,IF(E2047="HI",2,IF(E2047="LO",6,10))+IF(D2047=1,2,IF(D2047=7,1,(IF(WEEKDAY(B2047)=1,2,IF(WEEKDAY(B2047)=7,1,0))))))</f>
        <v>3</v>
      </c>
      <c r="H2047" s="370">
        <v>13321.685180664063</v>
      </c>
      <c r="I2047" s="370">
        <v>4147.6389770507813</v>
      </c>
      <c r="M2047" s="371">
        <f t="shared" si="125"/>
        <v>13952.426496372425</v>
      </c>
      <c r="N2047" s="329">
        <f t="shared" si="126"/>
        <v>151.1334228515625</v>
      </c>
      <c r="T2047" s="331">
        <v>0</v>
      </c>
      <c r="U2047" s="328">
        <f>VLOOKUP(C2047,METADATA!$J$5:$Q$29,IF(E2047="HI",2,IF(E2047="LO",6,10))+IF(T2047=1,2,IF(D2047=7,1,(IF(WEEKDAY(B2047)=1,2,IF(WEEKDAY(B2047)=7,1,0))))))</f>
        <v>3</v>
      </c>
      <c r="V2047" s="328">
        <f>VLOOKUP(C2047,METADATA!$A$5:$H$29,IF(E2047="HI",2,IF(E2047="LO",6,10))+IF(T2047=1,2,IF(D2047=7,1,(IF(WEEKDAY(B2047)=1,2,IF(WEEKDAY(B2047)=7,1,0))))))</f>
        <v>3</v>
      </c>
    </row>
    <row r="2048" spans="2:22">
      <c r="B2048" s="318">
        <f>B2025+1</f>
        <v>46198</v>
      </c>
      <c r="C2048" s="312">
        <v>4</v>
      </c>
      <c r="D2048" s="368">
        <f>IFERROR((INDEX(METADATA!$T$2:$T$20,MATCH(B2048,METADATA!$S$2:$S$20,0))),0)</f>
        <v>0</v>
      </c>
      <c r="E2048" s="312" t="str">
        <f t="shared" si="124"/>
        <v>LO</v>
      </c>
      <c r="F2048" s="369">
        <f>VLOOKUP(C2048,METADATA!$A$5:$H$29,IF(E2048="HI",2,IF(E2048="LO",6,10))+IF(D2048=1,2,IF(D2048=7,1,(IF(WEEKDAY(B2048)=1,2,IF(WEEKDAY(B2048)=7,1,0))))))</f>
        <v>3</v>
      </c>
      <c r="G2048" s="369">
        <f>VLOOKUP(C2048,METADATA!$J$5:$Q$29,IF(E2048="HI",2,IF(E2048="LO",6,10))+IF(D2048=1,2,IF(D2048=7,1,(IF(WEEKDAY(B2048)=1,2,IF(WEEKDAY(B2048)=7,1,0))))))</f>
        <v>3</v>
      </c>
      <c r="H2048" s="370">
        <v>13259.150573730469</v>
      </c>
      <c r="I2048" s="370">
        <v>4158.4249877929688</v>
      </c>
      <c r="M2048" s="371">
        <f t="shared" si="125"/>
        <v>13895.955250214285</v>
      </c>
      <c r="N2048" s="329">
        <f t="shared" si="126"/>
        <v>180.67981567382822</v>
      </c>
      <c r="T2048" s="331">
        <v>0</v>
      </c>
      <c r="U2048" s="328">
        <f>VLOOKUP(C2048,METADATA!$J$5:$Q$29,IF(E2048="HI",2,IF(E2048="LO",6,10))+IF(T2048=1,2,IF(D2048=7,1,(IF(WEEKDAY(B2048)=1,2,IF(WEEKDAY(B2048)=7,1,0))))))</f>
        <v>3</v>
      </c>
      <c r="V2048" s="328">
        <f>VLOOKUP(C2048,METADATA!$A$5:$H$29,IF(E2048="HI",2,IF(E2048="LO",6,10))+IF(T2048=1,2,IF(D2048=7,1,(IF(WEEKDAY(B2048)=1,2,IF(WEEKDAY(B2048)=7,1,0))))))</f>
        <v>3</v>
      </c>
    </row>
    <row r="2049" spans="2:22">
      <c r="B2049" s="318">
        <f t="shared" si="127"/>
        <v>46198</v>
      </c>
      <c r="C2049" s="312">
        <v>5</v>
      </c>
      <c r="D2049" s="368">
        <f>IFERROR((INDEX(METADATA!$T$2:$T$20,MATCH(B2049,METADATA!$S$2:$S$20,0))),0)</f>
        <v>0</v>
      </c>
      <c r="E2049" s="312" t="str">
        <f t="shared" si="124"/>
        <v>LO</v>
      </c>
      <c r="F2049" s="369">
        <f>VLOOKUP(C2049,METADATA!$A$5:$H$29,IF(E2049="HI",2,IF(E2049="LO",6,10))+IF(D2049=1,2,IF(D2049=7,1,(IF(WEEKDAY(B2049)=1,2,IF(WEEKDAY(B2049)=7,1,0))))))</f>
        <v>3</v>
      </c>
      <c r="G2049" s="369">
        <f>VLOOKUP(C2049,METADATA!$J$5:$Q$29,IF(E2049="HI",2,IF(E2049="LO",6,10))+IF(D2049=1,2,IF(D2049=7,1,(IF(WEEKDAY(B2049)=1,2,IF(WEEKDAY(B2049)=7,1,0))))))</f>
        <v>3</v>
      </c>
      <c r="H2049" s="370">
        <v>11634.537292480469</v>
      </c>
      <c r="I2049" s="370">
        <v>3087.2825012207031</v>
      </c>
      <c r="M2049" s="371">
        <f t="shared" si="125"/>
        <v>12037.182861968256</v>
      </c>
      <c r="N2049" s="329">
        <f t="shared" si="126"/>
        <v>0</v>
      </c>
      <c r="T2049" s="331">
        <v>0</v>
      </c>
      <c r="U2049" s="328">
        <f>VLOOKUP(C2049,METADATA!$J$5:$Q$29,IF(E2049="HI",2,IF(E2049="LO",6,10))+IF(T2049=1,2,IF(D2049=7,1,(IF(WEEKDAY(B2049)=1,2,IF(WEEKDAY(B2049)=7,1,0))))))</f>
        <v>3</v>
      </c>
      <c r="V2049" s="328">
        <f>VLOOKUP(C2049,METADATA!$A$5:$H$29,IF(E2049="HI",2,IF(E2049="LO",6,10))+IF(T2049=1,2,IF(D2049=7,1,(IF(WEEKDAY(B2049)=1,2,IF(WEEKDAY(B2049)=7,1,0))))))</f>
        <v>3</v>
      </c>
    </row>
    <row r="2050" spans="2:22">
      <c r="B2050" s="318">
        <f t="shared" si="127"/>
        <v>46198</v>
      </c>
      <c r="C2050" s="312">
        <v>6</v>
      </c>
      <c r="D2050" s="368">
        <f>IFERROR((INDEX(METADATA!$T$2:$T$20,MATCH(B2050,METADATA!$S$2:$S$20,0))),0)</f>
        <v>0</v>
      </c>
      <c r="E2050" s="312" t="str">
        <f t="shared" si="124"/>
        <v>LO</v>
      </c>
      <c r="F2050" s="369">
        <f>VLOOKUP(C2050,METADATA!$A$5:$H$29,IF(E2050="HI",2,IF(E2050="LO",6,10))+IF(D2050=1,2,IF(D2050=7,1,(IF(WEEKDAY(B2050)=1,2,IF(WEEKDAY(B2050)=7,1,0))))))</f>
        <v>2</v>
      </c>
      <c r="G2050" s="369">
        <f>VLOOKUP(C2050,METADATA!$J$5:$Q$29,IF(E2050="HI",2,IF(E2050="LO",6,10))+IF(D2050=1,2,IF(D2050=7,1,(IF(WEEKDAY(B2050)=1,2,IF(WEEKDAY(B2050)=7,1,0))))))</f>
        <v>2</v>
      </c>
      <c r="H2050" s="370">
        <v>11493.599853515625</v>
      </c>
      <c r="I2050" s="370">
        <v>2843.5449829101563</v>
      </c>
      <c r="M2050" s="371">
        <f t="shared" si="125"/>
        <v>11840.126083051984</v>
      </c>
      <c r="N2050" s="329">
        <f t="shared" si="126"/>
        <v>0</v>
      </c>
      <c r="T2050" s="331">
        <v>0</v>
      </c>
      <c r="U2050" s="328">
        <f>VLOOKUP(C2050,METADATA!$J$5:$Q$29,IF(E2050="HI",2,IF(E2050="LO",6,10))+IF(T2050=1,2,IF(D2050=7,1,(IF(WEEKDAY(B2050)=1,2,IF(WEEKDAY(B2050)=7,1,0))))))</f>
        <v>2</v>
      </c>
      <c r="V2050" s="328">
        <f>VLOOKUP(C2050,METADATA!$A$5:$H$29,IF(E2050="HI",2,IF(E2050="LO",6,10))+IF(T2050=1,2,IF(D2050=7,1,(IF(WEEKDAY(B2050)=1,2,IF(WEEKDAY(B2050)=7,1,0))))))</f>
        <v>2</v>
      </c>
    </row>
    <row r="2051" spans="2:22">
      <c r="B2051" s="318">
        <f t="shared" si="127"/>
        <v>46198</v>
      </c>
      <c r="C2051" s="312">
        <v>7</v>
      </c>
      <c r="D2051" s="368">
        <f>IFERROR((INDEX(METADATA!$T$2:$T$20,MATCH(B2051,METADATA!$S$2:$S$20,0))),0)</f>
        <v>0</v>
      </c>
      <c r="E2051" s="312" t="str">
        <f t="shared" si="124"/>
        <v>LO</v>
      </c>
      <c r="F2051" s="369">
        <f>VLOOKUP(C2051,METADATA!$A$5:$H$29,IF(E2051="HI",2,IF(E2051="LO",6,10))+IF(D2051=1,2,IF(D2051=7,1,(IF(WEEKDAY(B2051)=1,2,IF(WEEKDAY(B2051)=7,1,0))))))</f>
        <v>1</v>
      </c>
      <c r="G2051" s="369">
        <f>VLOOKUP(C2051,METADATA!$J$5:$Q$29,IF(E2051="HI",2,IF(E2051="LO",6,10))+IF(D2051=1,2,IF(D2051=7,1,(IF(WEEKDAY(B2051)=1,2,IF(WEEKDAY(B2051)=7,1,0))))))</f>
        <v>1</v>
      </c>
      <c r="H2051" s="370">
        <v>11692.050354003906</v>
      </c>
      <c r="I2051" s="370">
        <v>2828.0650024414063</v>
      </c>
      <c r="M2051" s="371">
        <f t="shared" si="125"/>
        <v>12029.214152994233</v>
      </c>
      <c r="N2051" s="329">
        <f t="shared" si="126"/>
        <v>0</v>
      </c>
      <c r="T2051" s="331">
        <v>0</v>
      </c>
      <c r="U2051" s="328">
        <f>VLOOKUP(C2051,METADATA!$J$5:$Q$29,IF(E2051="HI",2,IF(E2051="LO",6,10))+IF(T2051=1,2,IF(D2051=7,1,(IF(WEEKDAY(B2051)=1,2,IF(WEEKDAY(B2051)=7,1,0))))))</f>
        <v>1</v>
      </c>
      <c r="V2051" s="328">
        <f>VLOOKUP(C2051,METADATA!$A$5:$H$29,IF(E2051="HI",2,IF(E2051="LO",6,10))+IF(T2051=1,2,IF(D2051=7,1,(IF(WEEKDAY(B2051)=1,2,IF(WEEKDAY(B2051)=7,1,0))))))</f>
        <v>1</v>
      </c>
    </row>
    <row r="2052" spans="2:22">
      <c r="B2052" s="318">
        <f t="shared" si="127"/>
        <v>46198</v>
      </c>
      <c r="C2052" s="312">
        <v>8</v>
      </c>
      <c r="D2052" s="368">
        <f>IFERROR((INDEX(METADATA!$T$2:$T$20,MATCH(B2052,METADATA!$S$2:$S$20,0))),0)</f>
        <v>0</v>
      </c>
      <c r="E2052" s="312" t="str">
        <f t="shared" ref="E2052:E2115" si="128">IF(B2052="","",IF(AND(MONTH(B2052)&gt;=MONTH($Z$9),MONTH(B2052)&lt;=MONTH($Z$11)),"HI","LO"))</f>
        <v>LO</v>
      </c>
      <c r="F2052" s="369">
        <f>VLOOKUP(C2052,METADATA!$A$5:$H$29,IF(E2052="HI",2,IF(E2052="LO",6,10))+IF(D2052=1,2,IF(D2052=7,1,(IF(WEEKDAY(B2052)=1,2,IF(WEEKDAY(B2052)=7,1,0))))))</f>
        <v>1</v>
      </c>
      <c r="G2052" s="369">
        <f>VLOOKUP(C2052,METADATA!$J$5:$Q$29,IF(E2052="HI",2,IF(E2052="LO",6,10))+IF(D2052=1,2,IF(D2052=7,1,(IF(WEEKDAY(B2052)=1,2,IF(WEEKDAY(B2052)=7,1,0))))))</f>
        <v>1</v>
      </c>
      <c r="H2052" s="370">
        <v>11869.624938964844</v>
      </c>
      <c r="I2052" s="370">
        <v>3092.8800048828125</v>
      </c>
      <c r="M2052" s="371">
        <f t="shared" ref="M2052:M2115" si="129">SQRT(H2052^2+I2052^2)</f>
        <v>12265.965225627377</v>
      </c>
      <c r="N2052" s="329">
        <f t="shared" ref="N2052:N2115" si="130">IF(H2052=0,0,(IF(I2052-(0.3*H2052)&lt;0,0,(I2052-(0.3*H2052)))))</f>
        <v>0</v>
      </c>
      <c r="T2052" s="331">
        <v>0</v>
      </c>
      <c r="U2052" s="328">
        <f>VLOOKUP(C2052,METADATA!$J$5:$Q$29,IF(E2052="HI",2,IF(E2052="LO",6,10))+IF(T2052=1,2,IF(D2052=7,1,(IF(WEEKDAY(B2052)=1,2,IF(WEEKDAY(B2052)=7,1,0))))))</f>
        <v>1</v>
      </c>
      <c r="V2052" s="328">
        <f>VLOOKUP(C2052,METADATA!$A$5:$H$29,IF(E2052="HI",2,IF(E2052="LO",6,10))+IF(T2052=1,2,IF(D2052=7,1,(IF(WEEKDAY(B2052)=1,2,IF(WEEKDAY(B2052)=7,1,0))))))</f>
        <v>1</v>
      </c>
    </row>
    <row r="2053" spans="2:22">
      <c r="B2053" s="318">
        <f t="shared" si="127"/>
        <v>46198</v>
      </c>
      <c r="C2053" s="312">
        <v>9</v>
      </c>
      <c r="D2053" s="368">
        <f>IFERROR((INDEX(METADATA!$T$2:$T$20,MATCH(B2053,METADATA!$S$2:$S$20,0))),0)</f>
        <v>0</v>
      </c>
      <c r="E2053" s="312" t="str">
        <f t="shared" si="128"/>
        <v>LO</v>
      </c>
      <c r="F2053" s="369">
        <f>VLOOKUP(C2053,METADATA!$A$5:$H$29,IF(E2053="HI",2,IF(E2053="LO",6,10))+IF(D2053=1,2,IF(D2053=7,1,(IF(WEEKDAY(B2053)=1,2,IF(WEEKDAY(B2053)=7,1,0))))))</f>
        <v>2</v>
      </c>
      <c r="G2053" s="369">
        <f>VLOOKUP(C2053,METADATA!$J$5:$Q$29,IF(E2053="HI",2,IF(E2053="LO",6,10))+IF(D2053=1,2,IF(D2053=7,1,(IF(WEEKDAY(B2053)=1,2,IF(WEEKDAY(B2053)=7,1,0))))))</f>
        <v>2</v>
      </c>
      <c r="H2053" s="370">
        <v>13876.550354003906</v>
      </c>
      <c r="I2053" s="370">
        <v>4353.3750610351563</v>
      </c>
      <c r="M2053" s="371">
        <f t="shared" si="129"/>
        <v>14543.401395452467</v>
      </c>
      <c r="N2053" s="329">
        <f t="shared" si="130"/>
        <v>190.40995483398456</v>
      </c>
      <c r="T2053" s="331">
        <v>0</v>
      </c>
      <c r="U2053" s="328">
        <f>VLOOKUP(C2053,METADATA!$J$5:$Q$29,IF(E2053="HI",2,IF(E2053="LO",6,10))+IF(T2053=1,2,IF(D2053=7,1,(IF(WEEKDAY(B2053)=1,2,IF(WEEKDAY(B2053)=7,1,0))))))</f>
        <v>2</v>
      </c>
      <c r="V2053" s="328">
        <f>VLOOKUP(C2053,METADATA!$A$5:$H$29,IF(E2053="HI",2,IF(E2053="LO",6,10))+IF(T2053=1,2,IF(D2053=7,1,(IF(WEEKDAY(B2053)=1,2,IF(WEEKDAY(B2053)=7,1,0))))))</f>
        <v>2</v>
      </c>
    </row>
    <row r="2054" spans="2:22">
      <c r="B2054" s="318">
        <f t="shared" si="127"/>
        <v>46198</v>
      </c>
      <c r="C2054" s="312">
        <v>10</v>
      </c>
      <c r="D2054" s="368">
        <f>IFERROR((INDEX(METADATA!$T$2:$T$20,MATCH(B2054,METADATA!$S$2:$S$20,0))),0)</f>
        <v>0</v>
      </c>
      <c r="E2054" s="312" t="str">
        <f t="shared" si="128"/>
        <v>LO</v>
      </c>
      <c r="F2054" s="369">
        <f>VLOOKUP(C2054,METADATA!$A$5:$H$29,IF(E2054="HI",2,IF(E2054="LO",6,10))+IF(D2054=1,2,IF(D2054=7,1,(IF(WEEKDAY(B2054)=1,2,IF(WEEKDAY(B2054)=7,1,0))))))</f>
        <v>2</v>
      </c>
      <c r="G2054" s="369">
        <f>VLOOKUP(C2054,METADATA!$J$5:$Q$29,IF(E2054="HI",2,IF(E2054="LO",6,10))+IF(D2054=1,2,IF(D2054=7,1,(IF(WEEKDAY(B2054)=1,2,IF(WEEKDAY(B2054)=7,1,0))))))</f>
        <v>2</v>
      </c>
      <c r="H2054" s="370">
        <v>13907.599914550781</v>
      </c>
      <c r="I2054" s="370">
        <v>4448.2000122070313</v>
      </c>
      <c r="M2054" s="371">
        <f t="shared" si="129"/>
        <v>14601.63753596875</v>
      </c>
      <c r="N2054" s="329">
        <f t="shared" si="130"/>
        <v>275.92003784179724</v>
      </c>
      <c r="T2054" s="331">
        <v>0</v>
      </c>
      <c r="U2054" s="328">
        <f>VLOOKUP(C2054,METADATA!$J$5:$Q$29,IF(E2054="HI",2,IF(E2054="LO",6,10))+IF(T2054=1,2,IF(D2054=7,1,(IF(WEEKDAY(B2054)=1,2,IF(WEEKDAY(B2054)=7,1,0))))))</f>
        <v>2</v>
      </c>
      <c r="V2054" s="328">
        <f>VLOOKUP(C2054,METADATA!$A$5:$H$29,IF(E2054="HI",2,IF(E2054="LO",6,10))+IF(T2054=1,2,IF(D2054=7,1,(IF(WEEKDAY(B2054)=1,2,IF(WEEKDAY(B2054)=7,1,0))))))</f>
        <v>2</v>
      </c>
    </row>
    <row r="2055" spans="2:22">
      <c r="B2055" s="318">
        <f t="shared" si="127"/>
        <v>46198</v>
      </c>
      <c r="C2055" s="312">
        <v>11</v>
      </c>
      <c r="D2055" s="368">
        <f>IFERROR((INDEX(METADATA!$T$2:$T$20,MATCH(B2055,METADATA!$S$2:$S$20,0))),0)</f>
        <v>0</v>
      </c>
      <c r="E2055" s="312" t="str">
        <f t="shared" si="128"/>
        <v>LO</v>
      </c>
      <c r="F2055" s="369">
        <f>VLOOKUP(C2055,METADATA!$A$5:$H$29,IF(E2055="HI",2,IF(E2055="LO",6,10))+IF(D2055=1,2,IF(D2055=7,1,(IF(WEEKDAY(B2055)=1,2,IF(WEEKDAY(B2055)=7,1,0))))))</f>
        <v>2</v>
      </c>
      <c r="G2055" s="369">
        <f>VLOOKUP(C2055,METADATA!$J$5:$Q$29,IF(E2055="HI",2,IF(E2055="LO",6,10))+IF(D2055=1,2,IF(D2055=7,1,(IF(WEEKDAY(B2055)=1,2,IF(WEEKDAY(B2055)=7,1,0))))))</f>
        <v>2</v>
      </c>
      <c r="H2055" s="370">
        <v>13788.950012207031</v>
      </c>
      <c r="I2055" s="370">
        <v>4450.4548950195313</v>
      </c>
      <c r="M2055" s="371">
        <f t="shared" si="129"/>
        <v>14489.364762188423</v>
      </c>
      <c r="N2055" s="329">
        <f t="shared" si="130"/>
        <v>313.76989135742224</v>
      </c>
      <c r="T2055" s="331">
        <v>0</v>
      </c>
      <c r="U2055" s="328">
        <f>VLOOKUP(C2055,METADATA!$J$5:$Q$29,IF(E2055="HI",2,IF(E2055="LO",6,10))+IF(T2055=1,2,IF(D2055=7,1,(IF(WEEKDAY(B2055)=1,2,IF(WEEKDAY(B2055)=7,1,0))))))</f>
        <v>2</v>
      </c>
      <c r="V2055" s="328">
        <f>VLOOKUP(C2055,METADATA!$A$5:$H$29,IF(E2055="HI",2,IF(E2055="LO",6,10))+IF(T2055=1,2,IF(D2055=7,1,(IF(WEEKDAY(B2055)=1,2,IF(WEEKDAY(B2055)=7,1,0))))))</f>
        <v>2</v>
      </c>
    </row>
    <row r="2056" spans="2:22">
      <c r="B2056" s="318">
        <f t="shared" si="127"/>
        <v>46198</v>
      </c>
      <c r="C2056" s="312">
        <v>12</v>
      </c>
      <c r="D2056" s="368">
        <f>IFERROR((INDEX(METADATA!$T$2:$T$20,MATCH(B2056,METADATA!$S$2:$S$20,0))),0)</f>
        <v>0</v>
      </c>
      <c r="E2056" s="312" t="str">
        <f t="shared" si="128"/>
        <v>LO</v>
      </c>
      <c r="F2056" s="369">
        <f>VLOOKUP(C2056,METADATA!$A$5:$H$29,IF(E2056="HI",2,IF(E2056="LO",6,10))+IF(D2056=1,2,IF(D2056=7,1,(IF(WEEKDAY(B2056)=1,2,IF(WEEKDAY(B2056)=7,1,0))))))</f>
        <v>2</v>
      </c>
      <c r="G2056" s="369">
        <f>VLOOKUP(C2056,METADATA!$J$5:$Q$29,IF(E2056="HI",2,IF(E2056="LO",6,10))+IF(D2056=1,2,IF(D2056=7,1,(IF(WEEKDAY(B2056)=1,2,IF(WEEKDAY(B2056)=7,1,0))))))</f>
        <v>2</v>
      </c>
      <c r="H2056" s="370">
        <v>13733.699462890625</v>
      </c>
      <c r="I2056" s="370">
        <v>4455.9599609375</v>
      </c>
      <c r="M2056" s="371">
        <f t="shared" si="129"/>
        <v>14438.492999980308</v>
      </c>
      <c r="N2056" s="329">
        <f t="shared" si="130"/>
        <v>335.85012207031286</v>
      </c>
      <c r="T2056" s="331">
        <v>0</v>
      </c>
      <c r="U2056" s="328">
        <f>VLOOKUP(C2056,METADATA!$J$5:$Q$29,IF(E2056="HI",2,IF(E2056="LO",6,10))+IF(T2056=1,2,IF(D2056=7,1,(IF(WEEKDAY(B2056)=1,2,IF(WEEKDAY(B2056)=7,1,0))))))</f>
        <v>2</v>
      </c>
      <c r="V2056" s="328">
        <f>VLOOKUP(C2056,METADATA!$A$5:$H$29,IF(E2056="HI",2,IF(E2056="LO",6,10))+IF(T2056=1,2,IF(D2056=7,1,(IF(WEEKDAY(B2056)=1,2,IF(WEEKDAY(B2056)=7,1,0))))))</f>
        <v>2</v>
      </c>
    </row>
    <row r="2057" spans="2:22">
      <c r="B2057" s="318">
        <f t="shared" si="127"/>
        <v>46198</v>
      </c>
      <c r="C2057" s="312">
        <v>13</v>
      </c>
      <c r="D2057" s="368">
        <f>IFERROR((INDEX(METADATA!$T$2:$T$20,MATCH(B2057,METADATA!$S$2:$S$20,0))),0)</f>
        <v>0</v>
      </c>
      <c r="E2057" s="312" t="str">
        <f t="shared" si="128"/>
        <v>LO</v>
      </c>
      <c r="F2057" s="369">
        <f>VLOOKUP(C2057,METADATA!$A$5:$H$29,IF(E2057="HI",2,IF(E2057="LO",6,10))+IF(D2057=1,2,IF(D2057=7,1,(IF(WEEKDAY(B2057)=1,2,IF(WEEKDAY(B2057)=7,1,0))))))</f>
        <v>2</v>
      </c>
      <c r="G2057" s="369">
        <f>VLOOKUP(C2057,METADATA!$J$5:$Q$29,IF(E2057="HI",2,IF(E2057="LO",6,10))+IF(D2057=1,2,IF(D2057=7,1,(IF(WEEKDAY(B2057)=1,2,IF(WEEKDAY(B2057)=7,1,0))))))</f>
        <v>2</v>
      </c>
      <c r="H2057" s="370">
        <v>13745.249755859375</v>
      </c>
      <c r="I2057" s="370">
        <v>4506.6699829101563</v>
      </c>
      <c r="M2057" s="371">
        <f t="shared" si="129"/>
        <v>14465.198415017183</v>
      </c>
      <c r="N2057" s="329">
        <f t="shared" si="130"/>
        <v>383.09505615234411</v>
      </c>
      <c r="T2057" s="331">
        <v>0</v>
      </c>
      <c r="U2057" s="328">
        <f>VLOOKUP(C2057,METADATA!$J$5:$Q$29,IF(E2057="HI",2,IF(E2057="LO",6,10))+IF(T2057=1,2,IF(D2057=7,1,(IF(WEEKDAY(B2057)=1,2,IF(WEEKDAY(B2057)=7,1,0))))))</f>
        <v>2</v>
      </c>
      <c r="V2057" s="328">
        <f>VLOOKUP(C2057,METADATA!$A$5:$H$29,IF(E2057="HI",2,IF(E2057="LO",6,10))+IF(T2057=1,2,IF(D2057=7,1,(IF(WEEKDAY(B2057)=1,2,IF(WEEKDAY(B2057)=7,1,0))))))</f>
        <v>2</v>
      </c>
    </row>
    <row r="2058" spans="2:22">
      <c r="B2058" s="318">
        <f t="shared" si="127"/>
        <v>46198</v>
      </c>
      <c r="C2058" s="312">
        <v>14</v>
      </c>
      <c r="D2058" s="368">
        <f>IFERROR((INDEX(METADATA!$T$2:$T$20,MATCH(B2058,METADATA!$S$2:$S$20,0))),0)</f>
        <v>0</v>
      </c>
      <c r="E2058" s="312" t="str">
        <f t="shared" si="128"/>
        <v>LO</v>
      </c>
      <c r="F2058" s="369">
        <f>VLOOKUP(C2058,METADATA!$A$5:$H$29,IF(E2058="HI",2,IF(E2058="LO",6,10))+IF(D2058=1,2,IF(D2058=7,1,(IF(WEEKDAY(B2058)=1,2,IF(WEEKDAY(B2058)=7,1,0))))))</f>
        <v>2</v>
      </c>
      <c r="G2058" s="369">
        <f>VLOOKUP(C2058,METADATA!$J$5:$Q$29,IF(E2058="HI",2,IF(E2058="LO",6,10))+IF(D2058=1,2,IF(D2058=7,1,(IF(WEEKDAY(B2058)=1,2,IF(WEEKDAY(B2058)=7,1,0))))))</f>
        <v>2</v>
      </c>
      <c r="H2058" s="370">
        <v>13774.075317382813</v>
      </c>
      <c r="I2058" s="370">
        <v>4490.419921875</v>
      </c>
      <c r="M2058" s="371">
        <f t="shared" si="129"/>
        <v>14487.547132751848</v>
      </c>
      <c r="N2058" s="329">
        <f t="shared" si="130"/>
        <v>358.19732666015625</v>
      </c>
      <c r="T2058" s="331">
        <v>0</v>
      </c>
      <c r="U2058" s="328">
        <f>VLOOKUP(C2058,METADATA!$J$5:$Q$29,IF(E2058="HI",2,IF(E2058="LO",6,10))+IF(T2058=1,2,IF(D2058=7,1,(IF(WEEKDAY(B2058)=1,2,IF(WEEKDAY(B2058)=7,1,0))))))</f>
        <v>2</v>
      </c>
      <c r="V2058" s="328">
        <f>VLOOKUP(C2058,METADATA!$A$5:$H$29,IF(E2058="HI",2,IF(E2058="LO",6,10))+IF(T2058=1,2,IF(D2058=7,1,(IF(WEEKDAY(B2058)=1,2,IF(WEEKDAY(B2058)=7,1,0))))))</f>
        <v>2</v>
      </c>
    </row>
    <row r="2059" spans="2:22">
      <c r="B2059" s="318">
        <f t="shared" si="127"/>
        <v>46198</v>
      </c>
      <c r="C2059" s="312">
        <v>15</v>
      </c>
      <c r="D2059" s="368">
        <f>IFERROR((INDEX(METADATA!$T$2:$T$20,MATCH(B2059,METADATA!$S$2:$S$20,0))),0)</f>
        <v>0</v>
      </c>
      <c r="E2059" s="312" t="str">
        <f t="shared" si="128"/>
        <v>LO</v>
      </c>
      <c r="F2059" s="369">
        <f>VLOOKUP(C2059,METADATA!$A$5:$H$29,IF(E2059="HI",2,IF(E2059="LO",6,10))+IF(D2059=1,2,IF(D2059=7,1,(IF(WEEKDAY(B2059)=1,2,IF(WEEKDAY(B2059)=7,1,0))))))</f>
        <v>2</v>
      </c>
      <c r="G2059" s="369">
        <f>VLOOKUP(C2059,METADATA!$J$5:$Q$29,IF(E2059="HI",2,IF(E2059="LO",6,10))+IF(D2059=1,2,IF(D2059=7,1,(IF(WEEKDAY(B2059)=1,2,IF(WEEKDAY(B2059)=7,1,0))))))</f>
        <v>2</v>
      </c>
      <c r="H2059" s="370">
        <v>13073.599975585938</v>
      </c>
      <c r="I2059" s="370">
        <v>4088.5299377441406</v>
      </c>
      <c r="M2059" s="371">
        <f t="shared" si="129"/>
        <v>13697.995961945337</v>
      </c>
      <c r="N2059" s="329">
        <f t="shared" si="130"/>
        <v>166.44994506835974</v>
      </c>
      <c r="T2059" s="331">
        <v>0</v>
      </c>
      <c r="U2059" s="328">
        <f>VLOOKUP(C2059,METADATA!$J$5:$Q$29,IF(E2059="HI",2,IF(E2059="LO",6,10))+IF(T2059=1,2,IF(D2059=7,1,(IF(WEEKDAY(B2059)=1,2,IF(WEEKDAY(B2059)=7,1,0))))))</f>
        <v>2</v>
      </c>
      <c r="V2059" s="328">
        <f>VLOOKUP(C2059,METADATA!$A$5:$H$29,IF(E2059="HI",2,IF(E2059="LO",6,10))+IF(T2059=1,2,IF(D2059=7,1,(IF(WEEKDAY(B2059)=1,2,IF(WEEKDAY(B2059)=7,1,0))))))</f>
        <v>2</v>
      </c>
    </row>
    <row r="2060" spans="2:22">
      <c r="B2060" s="318">
        <f t="shared" si="127"/>
        <v>46198</v>
      </c>
      <c r="C2060" s="312">
        <v>16</v>
      </c>
      <c r="D2060" s="368">
        <f>IFERROR((INDEX(METADATA!$T$2:$T$20,MATCH(B2060,METADATA!$S$2:$S$20,0))),0)</f>
        <v>0</v>
      </c>
      <c r="E2060" s="312" t="str">
        <f t="shared" si="128"/>
        <v>LO</v>
      </c>
      <c r="F2060" s="369">
        <f>VLOOKUP(C2060,METADATA!$A$5:$H$29,IF(E2060="HI",2,IF(E2060="LO",6,10))+IF(D2060=1,2,IF(D2060=7,1,(IF(WEEKDAY(B2060)=1,2,IF(WEEKDAY(B2060)=7,1,0))))))</f>
        <v>2</v>
      </c>
      <c r="G2060" s="369">
        <f>VLOOKUP(C2060,METADATA!$J$5:$Q$29,IF(E2060="HI",2,IF(E2060="LO",6,10))+IF(D2060=1,2,IF(D2060=7,1,(IF(WEEKDAY(B2060)=1,2,IF(WEEKDAY(B2060)=7,1,0))))))</f>
        <v>2</v>
      </c>
      <c r="H2060" s="370">
        <v>11719.857818603516</v>
      </c>
      <c r="I2060" s="370">
        <v>3273.8624877929688</v>
      </c>
      <c r="M2060" s="371">
        <f t="shared" si="129"/>
        <v>12168.534951967715</v>
      </c>
      <c r="N2060" s="329">
        <f t="shared" si="130"/>
        <v>0</v>
      </c>
      <c r="T2060" s="331">
        <v>0</v>
      </c>
      <c r="U2060" s="328">
        <f>VLOOKUP(C2060,METADATA!$J$5:$Q$29,IF(E2060="HI",2,IF(E2060="LO",6,10))+IF(T2060=1,2,IF(D2060=7,1,(IF(WEEKDAY(B2060)=1,2,IF(WEEKDAY(B2060)=7,1,0))))))</f>
        <v>2</v>
      </c>
      <c r="V2060" s="328">
        <f>VLOOKUP(C2060,METADATA!$A$5:$H$29,IF(E2060="HI",2,IF(E2060="LO",6,10))+IF(T2060=1,2,IF(D2060=7,1,(IF(WEEKDAY(B2060)=1,2,IF(WEEKDAY(B2060)=7,1,0))))))</f>
        <v>2</v>
      </c>
    </row>
    <row r="2061" spans="2:22">
      <c r="B2061" s="318">
        <f t="shared" si="127"/>
        <v>46198</v>
      </c>
      <c r="C2061" s="312">
        <v>17</v>
      </c>
      <c r="D2061" s="368">
        <f>IFERROR((INDEX(METADATA!$T$2:$T$20,MATCH(B2061,METADATA!$S$2:$S$20,0))),0)</f>
        <v>0</v>
      </c>
      <c r="E2061" s="312" t="str">
        <f t="shared" si="128"/>
        <v>LO</v>
      </c>
      <c r="F2061" s="369">
        <f>VLOOKUP(C2061,METADATA!$A$5:$H$29,IF(E2061="HI",2,IF(E2061="LO",6,10))+IF(D2061=1,2,IF(D2061=7,1,(IF(WEEKDAY(B2061)=1,2,IF(WEEKDAY(B2061)=7,1,0))))))</f>
        <v>2</v>
      </c>
      <c r="G2061" s="369">
        <f>VLOOKUP(C2061,METADATA!$J$5:$Q$29,IF(E2061="HI",2,IF(E2061="LO",6,10))+IF(D2061=1,2,IF(D2061=7,1,(IF(WEEKDAY(B2061)=1,2,IF(WEEKDAY(B2061)=7,1,0))))))</f>
        <v>2</v>
      </c>
      <c r="H2061" s="370">
        <v>11715.117645263672</v>
      </c>
      <c r="I2061" s="370">
        <v>3174.6024780273438</v>
      </c>
      <c r="M2061" s="371">
        <f t="shared" si="129"/>
        <v>12137.630837023575</v>
      </c>
      <c r="N2061" s="329">
        <f t="shared" si="130"/>
        <v>0</v>
      </c>
      <c r="T2061" s="331">
        <v>0</v>
      </c>
      <c r="U2061" s="328">
        <f>VLOOKUP(C2061,METADATA!$J$5:$Q$29,IF(E2061="HI",2,IF(E2061="LO",6,10))+IF(T2061=1,2,IF(D2061=7,1,(IF(WEEKDAY(B2061)=1,2,IF(WEEKDAY(B2061)=7,1,0))))))</f>
        <v>2</v>
      </c>
      <c r="V2061" s="328">
        <f>VLOOKUP(C2061,METADATA!$A$5:$H$29,IF(E2061="HI",2,IF(E2061="LO",6,10))+IF(T2061=1,2,IF(D2061=7,1,(IF(WEEKDAY(B2061)=1,2,IF(WEEKDAY(B2061)=7,1,0))))))</f>
        <v>2</v>
      </c>
    </row>
    <row r="2062" spans="2:22">
      <c r="B2062" s="318">
        <f t="shared" si="127"/>
        <v>46198</v>
      </c>
      <c r="C2062" s="312">
        <v>18</v>
      </c>
      <c r="D2062" s="368">
        <f>IFERROR((INDEX(METADATA!$T$2:$T$20,MATCH(B2062,METADATA!$S$2:$S$20,0))),0)</f>
        <v>0</v>
      </c>
      <c r="E2062" s="312" t="str">
        <f t="shared" si="128"/>
        <v>LO</v>
      </c>
      <c r="F2062" s="369">
        <f>VLOOKUP(C2062,METADATA!$A$5:$H$29,IF(E2062="HI",2,IF(E2062="LO",6,10))+IF(D2062=1,2,IF(D2062=7,1,(IF(WEEKDAY(B2062)=1,2,IF(WEEKDAY(B2062)=7,1,0))))))</f>
        <v>1</v>
      </c>
      <c r="G2062" s="369">
        <f>VLOOKUP(C2062,METADATA!$J$5:$Q$29,IF(E2062="HI",2,IF(E2062="LO",6,10))+IF(D2062=1,2,IF(D2062=7,1,(IF(WEEKDAY(B2062)=1,2,IF(WEEKDAY(B2062)=7,1,0))))))</f>
        <v>1</v>
      </c>
      <c r="H2062" s="370">
        <v>12776.149963378906</v>
      </c>
      <c r="I2062" s="370">
        <v>3820.5749206542969</v>
      </c>
      <c r="M2062" s="371">
        <f t="shared" si="129"/>
        <v>13335.171562866351</v>
      </c>
      <c r="N2062" s="329">
        <f t="shared" si="130"/>
        <v>0</v>
      </c>
      <c r="T2062" s="331">
        <v>0</v>
      </c>
      <c r="U2062" s="328">
        <f>VLOOKUP(C2062,METADATA!$J$5:$Q$29,IF(E2062="HI",2,IF(E2062="LO",6,10))+IF(T2062=1,2,IF(D2062=7,1,(IF(WEEKDAY(B2062)=1,2,IF(WEEKDAY(B2062)=7,1,0))))))</f>
        <v>1</v>
      </c>
      <c r="V2062" s="328">
        <f>VLOOKUP(C2062,METADATA!$A$5:$H$29,IF(E2062="HI",2,IF(E2062="LO",6,10))+IF(T2062=1,2,IF(D2062=7,1,(IF(WEEKDAY(B2062)=1,2,IF(WEEKDAY(B2062)=7,1,0))))))</f>
        <v>1</v>
      </c>
    </row>
    <row r="2063" spans="2:22">
      <c r="B2063" s="318">
        <f t="shared" si="127"/>
        <v>46198</v>
      </c>
      <c r="C2063" s="312">
        <v>19</v>
      </c>
      <c r="D2063" s="368">
        <f>IFERROR((INDEX(METADATA!$T$2:$T$20,MATCH(B2063,METADATA!$S$2:$S$20,0))),0)</f>
        <v>0</v>
      </c>
      <c r="E2063" s="312" t="str">
        <f t="shared" si="128"/>
        <v>LO</v>
      </c>
      <c r="F2063" s="369">
        <f>VLOOKUP(C2063,METADATA!$A$5:$H$29,IF(E2063="HI",2,IF(E2063="LO",6,10))+IF(D2063=1,2,IF(D2063=7,1,(IF(WEEKDAY(B2063)=1,2,IF(WEEKDAY(B2063)=7,1,0))))))</f>
        <v>1</v>
      </c>
      <c r="G2063" s="369">
        <f>VLOOKUP(C2063,METADATA!$J$5:$Q$29,IF(E2063="HI",2,IF(E2063="LO",6,10))+IF(D2063=1,2,IF(D2063=7,1,(IF(WEEKDAY(B2063)=1,2,IF(WEEKDAY(B2063)=7,1,0))))))</f>
        <v>1</v>
      </c>
      <c r="H2063" s="370">
        <v>13768.550109863281</v>
      </c>
      <c r="I2063" s="370">
        <v>4452.5650329589844</v>
      </c>
      <c r="M2063" s="371">
        <f t="shared" si="129"/>
        <v>14470.601490627305</v>
      </c>
      <c r="N2063" s="329">
        <f t="shared" si="130"/>
        <v>322</v>
      </c>
      <c r="T2063" s="331">
        <v>0</v>
      </c>
      <c r="U2063" s="328">
        <f>VLOOKUP(C2063,METADATA!$J$5:$Q$29,IF(E2063="HI",2,IF(E2063="LO",6,10))+IF(T2063=1,2,IF(D2063=7,1,(IF(WEEKDAY(B2063)=1,2,IF(WEEKDAY(B2063)=7,1,0))))))</f>
        <v>1</v>
      </c>
      <c r="V2063" s="328">
        <f>VLOOKUP(C2063,METADATA!$A$5:$H$29,IF(E2063="HI",2,IF(E2063="LO",6,10))+IF(T2063=1,2,IF(D2063=7,1,(IF(WEEKDAY(B2063)=1,2,IF(WEEKDAY(B2063)=7,1,0))))))</f>
        <v>1</v>
      </c>
    </row>
    <row r="2064" spans="2:22">
      <c r="B2064" s="318">
        <f t="shared" si="127"/>
        <v>46198</v>
      </c>
      <c r="C2064" s="312">
        <v>20</v>
      </c>
      <c r="D2064" s="368">
        <f>IFERROR((INDEX(METADATA!$T$2:$T$20,MATCH(B2064,METADATA!$S$2:$S$20,0))),0)</f>
        <v>0</v>
      </c>
      <c r="E2064" s="312" t="str">
        <f t="shared" si="128"/>
        <v>LO</v>
      </c>
      <c r="F2064" s="369">
        <f>VLOOKUP(C2064,METADATA!$A$5:$H$29,IF(E2064="HI",2,IF(E2064="LO",6,10))+IF(D2064=1,2,IF(D2064=7,1,(IF(WEEKDAY(B2064)=1,2,IF(WEEKDAY(B2064)=7,1,0))))))</f>
        <v>1</v>
      </c>
      <c r="G2064" s="369">
        <f>VLOOKUP(C2064,METADATA!$J$5:$Q$29,IF(E2064="HI",2,IF(E2064="LO",6,10))+IF(D2064=1,2,IF(D2064=7,1,(IF(WEEKDAY(B2064)=1,2,IF(WEEKDAY(B2064)=7,1,0))))))</f>
        <v>1</v>
      </c>
      <c r="H2064" s="370">
        <v>13762.125</v>
      </c>
      <c r="I2064" s="370">
        <v>4555.5800476074219</v>
      </c>
      <c r="M2064" s="371">
        <f t="shared" si="129"/>
        <v>14496.530415440235</v>
      </c>
      <c r="N2064" s="329">
        <f t="shared" si="130"/>
        <v>426.94254760742206</v>
      </c>
      <c r="T2064" s="331">
        <v>0</v>
      </c>
      <c r="U2064" s="328">
        <f>VLOOKUP(C2064,METADATA!$J$5:$Q$29,IF(E2064="HI",2,IF(E2064="LO",6,10))+IF(T2064=1,2,IF(D2064=7,1,(IF(WEEKDAY(B2064)=1,2,IF(WEEKDAY(B2064)=7,1,0))))))</f>
        <v>1</v>
      </c>
      <c r="V2064" s="328">
        <f>VLOOKUP(C2064,METADATA!$A$5:$H$29,IF(E2064="HI",2,IF(E2064="LO",6,10))+IF(T2064=1,2,IF(D2064=7,1,(IF(WEEKDAY(B2064)=1,2,IF(WEEKDAY(B2064)=7,1,0))))))</f>
        <v>1</v>
      </c>
    </row>
    <row r="2065" spans="2:22">
      <c r="B2065" s="318">
        <f t="shared" si="127"/>
        <v>46198</v>
      </c>
      <c r="C2065" s="312">
        <v>21</v>
      </c>
      <c r="D2065" s="368">
        <f>IFERROR((INDEX(METADATA!$T$2:$T$20,MATCH(B2065,METADATA!$S$2:$S$20,0))),0)</f>
        <v>0</v>
      </c>
      <c r="E2065" s="312" t="str">
        <f t="shared" si="128"/>
        <v>LO</v>
      </c>
      <c r="F2065" s="369">
        <f>VLOOKUP(C2065,METADATA!$A$5:$H$29,IF(E2065="HI",2,IF(E2065="LO",6,10))+IF(D2065=1,2,IF(D2065=7,1,(IF(WEEKDAY(B2065)=1,2,IF(WEEKDAY(B2065)=7,1,0))))))</f>
        <v>2</v>
      </c>
      <c r="G2065" s="369">
        <f>VLOOKUP(C2065,METADATA!$J$5:$Q$29,IF(E2065="HI",2,IF(E2065="LO",6,10))+IF(D2065=1,2,IF(D2065=7,1,(IF(WEEKDAY(B2065)=1,2,IF(WEEKDAY(B2065)=7,1,0))))))</f>
        <v>2</v>
      </c>
      <c r="H2065" s="370">
        <v>13852.8251953125</v>
      </c>
      <c r="I2065" s="370">
        <v>4613.659912109375</v>
      </c>
      <c r="M2065" s="371">
        <f t="shared" si="129"/>
        <v>14600.91174127458</v>
      </c>
      <c r="N2065" s="329">
        <f t="shared" si="130"/>
        <v>457.81235351562555</v>
      </c>
      <c r="T2065" s="331">
        <v>0</v>
      </c>
      <c r="U2065" s="328">
        <f>VLOOKUP(C2065,METADATA!$J$5:$Q$29,IF(E2065="HI",2,IF(E2065="LO",6,10))+IF(T2065=1,2,IF(D2065=7,1,(IF(WEEKDAY(B2065)=1,2,IF(WEEKDAY(B2065)=7,1,0))))))</f>
        <v>2</v>
      </c>
      <c r="V2065" s="328">
        <f>VLOOKUP(C2065,METADATA!$A$5:$H$29,IF(E2065="HI",2,IF(E2065="LO",6,10))+IF(T2065=1,2,IF(D2065=7,1,(IF(WEEKDAY(B2065)=1,2,IF(WEEKDAY(B2065)=7,1,0))))))</f>
        <v>2</v>
      </c>
    </row>
    <row r="2066" spans="2:22">
      <c r="B2066" s="318">
        <f t="shared" si="127"/>
        <v>46198</v>
      </c>
      <c r="C2066" s="312">
        <v>22</v>
      </c>
      <c r="D2066" s="368">
        <f>IFERROR((INDEX(METADATA!$T$2:$T$20,MATCH(B2066,METADATA!$S$2:$S$20,0))),0)</f>
        <v>0</v>
      </c>
      <c r="E2066" s="312" t="str">
        <f t="shared" si="128"/>
        <v>LO</v>
      </c>
      <c r="F2066" s="369">
        <f>VLOOKUP(C2066,METADATA!$A$5:$H$29,IF(E2066="HI",2,IF(E2066="LO",6,10))+IF(D2066=1,2,IF(D2066=7,1,(IF(WEEKDAY(B2066)=1,2,IF(WEEKDAY(B2066)=7,1,0))))))</f>
        <v>3</v>
      </c>
      <c r="G2066" s="369">
        <f>VLOOKUP(C2066,METADATA!$J$5:$Q$29,IF(E2066="HI",2,IF(E2066="LO",6,10))+IF(D2066=1,2,IF(D2066=7,1,(IF(WEEKDAY(B2066)=1,2,IF(WEEKDAY(B2066)=7,1,0))))))</f>
        <v>3</v>
      </c>
      <c r="H2066" s="370">
        <v>13855.049743652344</v>
      </c>
      <c r="I2066" s="370">
        <v>4705.7649536132813</v>
      </c>
      <c r="M2066" s="371">
        <f t="shared" si="129"/>
        <v>14632.382827063262</v>
      </c>
      <c r="N2066" s="329">
        <f t="shared" si="130"/>
        <v>549.25003051757813</v>
      </c>
      <c r="T2066" s="331">
        <v>0</v>
      </c>
      <c r="U2066" s="328">
        <f>VLOOKUP(C2066,METADATA!$J$5:$Q$29,IF(E2066="HI",2,IF(E2066="LO",6,10))+IF(T2066=1,2,IF(D2066=7,1,(IF(WEEKDAY(B2066)=1,2,IF(WEEKDAY(B2066)=7,1,0))))))</f>
        <v>3</v>
      </c>
      <c r="V2066" s="328">
        <f>VLOOKUP(C2066,METADATA!$A$5:$H$29,IF(E2066="HI",2,IF(E2066="LO",6,10))+IF(T2066=1,2,IF(D2066=7,1,(IF(WEEKDAY(B2066)=1,2,IF(WEEKDAY(B2066)=7,1,0))))))</f>
        <v>3</v>
      </c>
    </row>
    <row r="2067" spans="2:22">
      <c r="B2067" s="318">
        <f t="shared" si="127"/>
        <v>46198</v>
      </c>
      <c r="C2067" s="312">
        <v>23</v>
      </c>
      <c r="D2067" s="368">
        <f>IFERROR((INDEX(METADATA!$T$2:$T$20,MATCH(B2067,METADATA!$S$2:$S$20,0))),0)</f>
        <v>0</v>
      </c>
      <c r="E2067" s="312" t="str">
        <f t="shared" si="128"/>
        <v>LO</v>
      </c>
      <c r="F2067" s="369">
        <f>VLOOKUP(C2067,METADATA!$A$5:$H$29,IF(E2067="HI",2,IF(E2067="LO",6,10))+IF(D2067=1,2,IF(D2067=7,1,(IF(WEEKDAY(B2067)=1,2,IF(WEEKDAY(B2067)=7,1,0))))))</f>
        <v>3</v>
      </c>
      <c r="G2067" s="369">
        <f>VLOOKUP(C2067,METADATA!$J$5:$Q$29,IF(E2067="HI",2,IF(E2067="LO",6,10))+IF(D2067=1,2,IF(D2067=7,1,(IF(WEEKDAY(B2067)=1,2,IF(WEEKDAY(B2067)=7,1,0))))))</f>
        <v>3</v>
      </c>
      <c r="H2067" s="370">
        <v>13820.474365234375</v>
      </c>
      <c r="I2067" s="370">
        <v>4707.6599731445313</v>
      </c>
      <c r="M2067" s="371">
        <f t="shared" si="129"/>
        <v>14600.259384779698</v>
      </c>
      <c r="N2067" s="329">
        <f t="shared" si="130"/>
        <v>561.51766357421911</v>
      </c>
      <c r="T2067" s="331">
        <v>0</v>
      </c>
      <c r="U2067" s="328">
        <f>VLOOKUP(C2067,METADATA!$J$5:$Q$29,IF(E2067="HI",2,IF(E2067="LO",6,10))+IF(T2067=1,2,IF(D2067=7,1,(IF(WEEKDAY(B2067)=1,2,IF(WEEKDAY(B2067)=7,1,0))))))</f>
        <v>3</v>
      </c>
      <c r="V2067" s="328">
        <f>VLOOKUP(C2067,METADATA!$A$5:$H$29,IF(E2067="HI",2,IF(E2067="LO",6,10))+IF(T2067=1,2,IF(D2067=7,1,(IF(WEEKDAY(B2067)=1,2,IF(WEEKDAY(B2067)=7,1,0))))))</f>
        <v>3</v>
      </c>
    </row>
    <row r="2068" spans="2:22">
      <c r="B2068" s="318">
        <f t="shared" si="127"/>
        <v>46199</v>
      </c>
      <c r="C2068" s="312">
        <v>0</v>
      </c>
      <c r="D2068" s="368">
        <f>IFERROR((INDEX(METADATA!$T$2:$T$20,MATCH(B2068,METADATA!$S$2:$S$20,0))),0)</f>
        <v>0</v>
      </c>
      <c r="E2068" s="312" t="str">
        <f t="shared" si="128"/>
        <v>LO</v>
      </c>
      <c r="F2068" s="369">
        <f>VLOOKUP(C2068,METADATA!$A$5:$H$29,IF(E2068="HI",2,IF(E2068="LO",6,10))+IF(D2068=1,2,IF(D2068=7,1,(IF(WEEKDAY(B2068)=1,2,IF(WEEKDAY(B2068)=7,1,0))))))</f>
        <v>3</v>
      </c>
      <c r="G2068" s="369">
        <f>VLOOKUP(C2068,METADATA!$J$5:$Q$29,IF(E2068="HI",2,IF(E2068="LO",6,10))+IF(D2068=1,2,IF(D2068=7,1,(IF(WEEKDAY(B2068)=1,2,IF(WEEKDAY(B2068)=7,1,0))))))</f>
        <v>3</v>
      </c>
      <c r="H2068" s="370">
        <v>13713.224914550781</v>
      </c>
      <c r="I2068" s="370">
        <v>4475.1500244140625</v>
      </c>
      <c r="M2068" s="371">
        <f t="shared" si="129"/>
        <v>14424.961188789019</v>
      </c>
      <c r="N2068" s="329">
        <f t="shared" si="130"/>
        <v>361.18255004882849</v>
      </c>
      <c r="T2068" s="331">
        <v>0</v>
      </c>
      <c r="U2068" s="328">
        <f>VLOOKUP(C2068,METADATA!$J$5:$Q$29,IF(E2068="HI",2,IF(E2068="LO",6,10))+IF(T2068=1,2,IF(D2068=7,1,(IF(WEEKDAY(B2068)=1,2,IF(WEEKDAY(B2068)=7,1,0))))))</f>
        <v>3</v>
      </c>
      <c r="V2068" s="328">
        <f>VLOOKUP(C2068,METADATA!$A$5:$H$29,IF(E2068="HI",2,IF(E2068="LO",6,10))+IF(T2068=1,2,IF(D2068=7,1,(IF(WEEKDAY(B2068)=1,2,IF(WEEKDAY(B2068)=7,1,0))))))</f>
        <v>3</v>
      </c>
    </row>
    <row r="2069" spans="2:22">
      <c r="B2069" s="318">
        <f t="shared" si="127"/>
        <v>46199</v>
      </c>
      <c r="C2069" s="312">
        <v>1</v>
      </c>
      <c r="D2069" s="368">
        <f>IFERROR((INDEX(METADATA!$T$2:$T$20,MATCH(B2069,METADATA!$S$2:$S$20,0))),0)</f>
        <v>0</v>
      </c>
      <c r="E2069" s="312" t="str">
        <f t="shared" si="128"/>
        <v>LO</v>
      </c>
      <c r="F2069" s="369">
        <f>VLOOKUP(C2069,METADATA!$A$5:$H$29,IF(E2069="HI",2,IF(E2069="LO",6,10))+IF(D2069=1,2,IF(D2069=7,1,(IF(WEEKDAY(B2069)=1,2,IF(WEEKDAY(B2069)=7,1,0))))))</f>
        <v>3</v>
      </c>
      <c r="G2069" s="369">
        <f>VLOOKUP(C2069,METADATA!$J$5:$Q$29,IF(E2069="HI",2,IF(E2069="LO",6,10))+IF(D2069=1,2,IF(D2069=7,1,(IF(WEEKDAY(B2069)=1,2,IF(WEEKDAY(B2069)=7,1,0))))))</f>
        <v>3</v>
      </c>
      <c r="H2069" s="370">
        <v>13721.385131835938</v>
      </c>
      <c r="I2069" s="370">
        <v>4345.5500183105469</v>
      </c>
      <c r="M2069" s="371">
        <f t="shared" si="129"/>
        <v>14393.061345586182</v>
      </c>
      <c r="N2069" s="329">
        <f t="shared" si="130"/>
        <v>229.13447875976544</v>
      </c>
      <c r="T2069" s="331">
        <v>0</v>
      </c>
      <c r="U2069" s="328">
        <f>VLOOKUP(C2069,METADATA!$J$5:$Q$29,IF(E2069="HI",2,IF(E2069="LO",6,10))+IF(T2069=1,2,IF(D2069=7,1,(IF(WEEKDAY(B2069)=1,2,IF(WEEKDAY(B2069)=7,1,0))))))</f>
        <v>3</v>
      </c>
      <c r="V2069" s="328">
        <f>VLOOKUP(C2069,METADATA!$A$5:$H$29,IF(E2069="HI",2,IF(E2069="LO",6,10))+IF(T2069=1,2,IF(D2069=7,1,(IF(WEEKDAY(B2069)=1,2,IF(WEEKDAY(B2069)=7,1,0))))))</f>
        <v>3</v>
      </c>
    </row>
    <row r="2070" spans="2:22">
      <c r="B2070" s="318">
        <f t="shared" si="127"/>
        <v>46199</v>
      </c>
      <c r="C2070" s="312">
        <v>2</v>
      </c>
      <c r="D2070" s="368">
        <f>IFERROR((INDEX(METADATA!$T$2:$T$20,MATCH(B2070,METADATA!$S$2:$S$20,0))),0)</f>
        <v>0</v>
      </c>
      <c r="E2070" s="312" t="str">
        <f t="shared" si="128"/>
        <v>LO</v>
      </c>
      <c r="F2070" s="369">
        <f>VLOOKUP(C2070,METADATA!$A$5:$H$29,IF(E2070="HI",2,IF(E2070="LO",6,10))+IF(D2070=1,2,IF(D2070=7,1,(IF(WEEKDAY(B2070)=1,2,IF(WEEKDAY(B2070)=7,1,0))))))</f>
        <v>3</v>
      </c>
      <c r="G2070" s="369">
        <f>VLOOKUP(C2070,METADATA!$J$5:$Q$29,IF(E2070="HI",2,IF(E2070="LO",6,10))+IF(D2070=1,2,IF(D2070=7,1,(IF(WEEKDAY(B2070)=1,2,IF(WEEKDAY(B2070)=7,1,0))))))</f>
        <v>3</v>
      </c>
      <c r="H2070" s="370">
        <v>13744.582275390625</v>
      </c>
      <c r="I2070" s="370">
        <v>4296.4474792480469</v>
      </c>
      <c r="M2070" s="371">
        <f t="shared" si="129"/>
        <v>14400.451481357069</v>
      </c>
      <c r="N2070" s="329">
        <f t="shared" si="130"/>
        <v>173.07279663085956</v>
      </c>
      <c r="T2070" s="331">
        <v>0</v>
      </c>
      <c r="U2070" s="328">
        <f>VLOOKUP(C2070,METADATA!$J$5:$Q$29,IF(E2070="HI",2,IF(E2070="LO",6,10))+IF(T2070=1,2,IF(D2070=7,1,(IF(WEEKDAY(B2070)=1,2,IF(WEEKDAY(B2070)=7,1,0))))))</f>
        <v>3</v>
      </c>
      <c r="V2070" s="328">
        <f>VLOOKUP(C2070,METADATA!$A$5:$H$29,IF(E2070="HI",2,IF(E2070="LO",6,10))+IF(T2070=1,2,IF(D2070=7,1,(IF(WEEKDAY(B2070)=1,2,IF(WEEKDAY(B2070)=7,1,0))))))</f>
        <v>3</v>
      </c>
    </row>
    <row r="2071" spans="2:22">
      <c r="B2071" s="318">
        <f t="shared" si="127"/>
        <v>46199</v>
      </c>
      <c r="C2071" s="312">
        <v>3</v>
      </c>
      <c r="D2071" s="368">
        <f>IFERROR((INDEX(METADATA!$T$2:$T$20,MATCH(B2071,METADATA!$S$2:$S$20,0))),0)</f>
        <v>0</v>
      </c>
      <c r="E2071" s="312" t="str">
        <f t="shared" si="128"/>
        <v>LO</v>
      </c>
      <c r="F2071" s="369">
        <f>VLOOKUP(C2071,METADATA!$A$5:$H$29,IF(E2071="HI",2,IF(E2071="LO",6,10))+IF(D2071=1,2,IF(D2071=7,1,(IF(WEEKDAY(B2071)=1,2,IF(WEEKDAY(B2071)=7,1,0))))))</f>
        <v>3</v>
      </c>
      <c r="G2071" s="369">
        <f>VLOOKUP(C2071,METADATA!$J$5:$Q$29,IF(E2071="HI",2,IF(E2071="LO",6,10))+IF(D2071=1,2,IF(D2071=7,1,(IF(WEEKDAY(B2071)=1,2,IF(WEEKDAY(B2071)=7,1,0))))))</f>
        <v>3</v>
      </c>
      <c r="H2071" s="370">
        <v>13697.720275878906</v>
      </c>
      <c r="I2071" s="370">
        <v>4334.0525207519531</v>
      </c>
      <c r="M2071" s="371">
        <f t="shared" si="129"/>
        <v>14367.030034382906</v>
      </c>
      <c r="N2071" s="329">
        <f t="shared" si="130"/>
        <v>224.73643798828107</v>
      </c>
      <c r="T2071" s="331">
        <v>0</v>
      </c>
      <c r="U2071" s="328">
        <f>VLOOKUP(C2071,METADATA!$J$5:$Q$29,IF(E2071="HI",2,IF(E2071="LO",6,10))+IF(T2071=1,2,IF(D2071=7,1,(IF(WEEKDAY(B2071)=1,2,IF(WEEKDAY(B2071)=7,1,0))))))</f>
        <v>3</v>
      </c>
      <c r="V2071" s="328">
        <f>VLOOKUP(C2071,METADATA!$A$5:$H$29,IF(E2071="HI",2,IF(E2071="LO",6,10))+IF(T2071=1,2,IF(D2071=7,1,(IF(WEEKDAY(B2071)=1,2,IF(WEEKDAY(B2071)=7,1,0))))))</f>
        <v>3</v>
      </c>
    </row>
    <row r="2072" spans="2:22">
      <c r="B2072" s="318">
        <f t="shared" si="127"/>
        <v>46199</v>
      </c>
      <c r="C2072" s="312">
        <v>4</v>
      </c>
      <c r="D2072" s="368">
        <f>IFERROR((INDEX(METADATA!$T$2:$T$20,MATCH(B2072,METADATA!$S$2:$S$20,0))),0)</f>
        <v>0</v>
      </c>
      <c r="E2072" s="312" t="str">
        <f t="shared" si="128"/>
        <v>LO</v>
      </c>
      <c r="F2072" s="369">
        <f>VLOOKUP(C2072,METADATA!$A$5:$H$29,IF(E2072="HI",2,IF(E2072="LO",6,10))+IF(D2072=1,2,IF(D2072=7,1,(IF(WEEKDAY(B2072)=1,2,IF(WEEKDAY(B2072)=7,1,0))))))</f>
        <v>3</v>
      </c>
      <c r="G2072" s="369">
        <f>VLOOKUP(C2072,METADATA!$J$5:$Q$29,IF(E2072="HI",2,IF(E2072="LO",6,10))+IF(D2072=1,2,IF(D2072=7,1,(IF(WEEKDAY(B2072)=1,2,IF(WEEKDAY(B2072)=7,1,0))))))</f>
        <v>3</v>
      </c>
      <c r="H2072" s="370">
        <v>13773.599975585938</v>
      </c>
      <c r="I2072" s="370">
        <v>4393.8299560546875</v>
      </c>
      <c r="M2072" s="371">
        <f t="shared" si="129"/>
        <v>14457.447837366886</v>
      </c>
      <c r="N2072" s="329">
        <f t="shared" si="130"/>
        <v>261.74996337890661</v>
      </c>
      <c r="T2072" s="331">
        <v>0</v>
      </c>
      <c r="U2072" s="328">
        <f>VLOOKUP(C2072,METADATA!$J$5:$Q$29,IF(E2072="HI",2,IF(E2072="LO",6,10))+IF(T2072=1,2,IF(D2072=7,1,(IF(WEEKDAY(B2072)=1,2,IF(WEEKDAY(B2072)=7,1,0))))))</f>
        <v>3</v>
      </c>
      <c r="V2072" s="328">
        <f>VLOOKUP(C2072,METADATA!$A$5:$H$29,IF(E2072="HI",2,IF(E2072="LO",6,10))+IF(T2072=1,2,IF(D2072=7,1,(IF(WEEKDAY(B2072)=1,2,IF(WEEKDAY(B2072)=7,1,0))))))</f>
        <v>3</v>
      </c>
    </row>
    <row r="2073" spans="2:22">
      <c r="B2073" s="318">
        <f t="shared" si="127"/>
        <v>46199</v>
      </c>
      <c r="C2073" s="312">
        <v>5</v>
      </c>
      <c r="D2073" s="368">
        <f>IFERROR((INDEX(METADATA!$T$2:$T$20,MATCH(B2073,METADATA!$S$2:$S$20,0))),0)</f>
        <v>0</v>
      </c>
      <c r="E2073" s="312" t="str">
        <f t="shared" si="128"/>
        <v>LO</v>
      </c>
      <c r="F2073" s="369">
        <f>VLOOKUP(C2073,METADATA!$A$5:$H$29,IF(E2073="HI",2,IF(E2073="LO",6,10))+IF(D2073=1,2,IF(D2073=7,1,(IF(WEEKDAY(B2073)=1,2,IF(WEEKDAY(B2073)=7,1,0))))))</f>
        <v>3</v>
      </c>
      <c r="G2073" s="369">
        <f>VLOOKUP(C2073,METADATA!$J$5:$Q$29,IF(E2073="HI",2,IF(E2073="LO",6,10))+IF(D2073=1,2,IF(D2073=7,1,(IF(WEEKDAY(B2073)=1,2,IF(WEEKDAY(B2073)=7,1,0))))))</f>
        <v>3</v>
      </c>
      <c r="H2073" s="370">
        <v>13675.05078125</v>
      </c>
      <c r="I2073" s="370">
        <v>4430.9549560546875</v>
      </c>
      <c r="M2073" s="371">
        <f t="shared" si="129"/>
        <v>14374.991328427013</v>
      </c>
      <c r="N2073" s="329">
        <f t="shared" si="130"/>
        <v>328.43972167968786</v>
      </c>
      <c r="T2073" s="331">
        <v>0</v>
      </c>
      <c r="U2073" s="328">
        <f>VLOOKUP(C2073,METADATA!$J$5:$Q$29,IF(E2073="HI",2,IF(E2073="LO",6,10))+IF(T2073=1,2,IF(D2073=7,1,(IF(WEEKDAY(B2073)=1,2,IF(WEEKDAY(B2073)=7,1,0))))))</f>
        <v>3</v>
      </c>
      <c r="V2073" s="328">
        <f>VLOOKUP(C2073,METADATA!$A$5:$H$29,IF(E2073="HI",2,IF(E2073="LO",6,10))+IF(T2073=1,2,IF(D2073=7,1,(IF(WEEKDAY(B2073)=1,2,IF(WEEKDAY(B2073)=7,1,0))))))</f>
        <v>3</v>
      </c>
    </row>
    <row r="2074" spans="2:22">
      <c r="B2074" s="318">
        <f t="shared" si="127"/>
        <v>46199</v>
      </c>
      <c r="C2074" s="312">
        <v>6</v>
      </c>
      <c r="D2074" s="368">
        <f>IFERROR((INDEX(METADATA!$T$2:$T$20,MATCH(B2074,METADATA!$S$2:$S$20,0))),0)</f>
        <v>0</v>
      </c>
      <c r="E2074" s="312" t="str">
        <f t="shared" si="128"/>
        <v>LO</v>
      </c>
      <c r="F2074" s="369">
        <f>VLOOKUP(C2074,METADATA!$A$5:$H$29,IF(E2074="HI",2,IF(E2074="LO",6,10))+IF(D2074=1,2,IF(D2074=7,1,(IF(WEEKDAY(B2074)=1,2,IF(WEEKDAY(B2074)=7,1,0))))))</f>
        <v>2</v>
      </c>
      <c r="G2074" s="369">
        <f>VLOOKUP(C2074,METADATA!$J$5:$Q$29,IF(E2074="HI",2,IF(E2074="LO",6,10))+IF(D2074=1,2,IF(D2074=7,1,(IF(WEEKDAY(B2074)=1,2,IF(WEEKDAY(B2074)=7,1,0))))))</f>
        <v>2</v>
      </c>
      <c r="H2074" s="370">
        <v>13663.300170898438</v>
      </c>
      <c r="I2074" s="370">
        <v>4394.5450439453125</v>
      </c>
      <c r="M2074" s="371">
        <f t="shared" si="129"/>
        <v>14352.623373562672</v>
      </c>
      <c r="N2074" s="329">
        <f t="shared" si="130"/>
        <v>295.55499267578125</v>
      </c>
      <c r="T2074" s="331">
        <v>0</v>
      </c>
      <c r="U2074" s="328">
        <f>VLOOKUP(C2074,METADATA!$J$5:$Q$29,IF(E2074="HI",2,IF(E2074="LO",6,10))+IF(T2074=1,2,IF(D2074=7,1,(IF(WEEKDAY(B2074)=1,2,IF(WEEKDAY(B2074)=7,1,0))))))</f>
        <v>2</v>
      </c>
      <c r="V2074" s="328">
        <f>VLOOKUP(C2074,METADATA!$A$5:$H$29,IF(E2074="HI",2,IF(E2074="LO",6,10))+IF(T2074=1,2,IF(D2074=7,1,(IF(WEEKDAY(B2074)=1,2,IF(WEEKDAY(B2074)=7,1,0))))))</f>
        <v>2</v>
      </c>
    </row>
    <row r="2075" spans="2:22">
      <c r="B2075" s="318">
        <f t="shared" si="127"/>
        <v>46199</v>
      </c>
      <c r="C2075" s="312">
        <v>7</v>
      </c>
      <c r="D2075" s="368">
        <f>IFERROR((INDEX(METADATA!$T$2:$T$20,MATCH(B2075,METADATA!$S$2:$S$20,0))),0)</f>
        <v>0</v>
      </c>
      <c r="E2075" s="312" t="str">
        <f t="shared" si="128"/>
        <v>LO</v>
      </c>
      <c r="F2075" s="369">
        <f>VLOOKUP(C2075,METADATA!$A$5:$H$29,IF(E2075="HI",2,IF(E2075="LO",6,10))+IF(D2075=1,2,IF(D2075=7,1,(IF(WEEKDAY(B2075)=1,2,IF(WEEKDAY(B2075)=7,1,0))))))</f>
        <v>1</v>
      </c>
      <c r="G2075" s="369">
        <f>VLOOKUP(C2075,METADATA!$J$5:$Q$29,IF(E2075="HI",2,IF(E2075="LO",6,10))+IF(D2075=1,2,IF(D2075=7,1,(IF(WEEKDAY(B2075)=1,2,IF(WEEKDAY(B2075)=7,1,0))))))</f>
        <v>1</v>
      </c>
      <c r="H2075" s="370">
        <v>13662.025390625</v>
      </c>
      <c r="I2075" s="370">
        <v>4282.2950439453125</v>
      </c>
      <c r="M2075" s="371">
        <f t="shared" si="129"/>
        <v>14317.436523955004</v>
      </c>
      <c r="N2075" s="329">
        <f t="shared" si="130"/>
        <v>183.68742675781232</v>
      </c>
      <c r="T2075" s="331">
        <v>0</v>
      </c>
      <c r="U2075" s="328">
        <f>VLOOKUP(C2075,METADATA!$J$5:$Q$29,IF(E2075="HI",2,IF(E2075="LO",6,10))+IF(T2075=1,2,IF(D2075=7,1,(IF(WEEKDAY(B2075)=1,2,IF(WEEKDAY(B2075)=7,1,0))))))</f>
        <v>1</v>
      </c>
      <c r="V2075" s="328">
        <f>VLOOKUP(C2075,METADATA!$A$5:$H$29,IF(E2075="HI",2,IF(E2075="LO",6,10))+IF(T2075=1,2,IF(D2075=7,1,(IF(WEEKDAY(B2075)=1,2,IF(WEEKDAY(B2075)=7,1,0))))))</f>
        <v>1</v>
      </c>
    </row>
    <row r="2076" spans="2:22">
      <c r="B2076" s="318">
        <f t="shared" ref="B2076:B2139" si="131">B2052+1</f>
        <v>46199</v>
      </c>
      <c r="C2076" s="312">
        <v>8</v>
      </c>
      <c r="D2076" s="368">
        <f>IFERROR((INDEX(METADATA!$T$2:$T$20,MATCH(B2076,METADATA!$S$2:$S$20,0))),0)</f>
        <v>0</v>
      </c>
      <c r="E2076" s="312" t="str">
        <f t="shared" si="128"/>
        <v>LO</v>
      </c>
      <c r="F2076" s="369">
        <f>VLOOKUP(C2076,METADATA!$A$5:$H$29,IF(E2076="HI",2,IF(E2076="LO",6,10))+IF(D2076=1,2,IF(D2076=7,1,(IF(WEEKDAY(B2076)=1,2,IF(WEEKDAY(B2076)=7,1,0))))))</f>
        <v>1</v>
      </c>
      <c r="G2076" s="369">
        <f>VLOOKUP(C2076,METADATA!$J$5:$Q$29,IF(E2076="HI",2,IF(E2076="LO",6,10))+IF(D2076=1,2,IF(D2076=7,1,(IF(WEEKDAY(B2076)=1,2,IF(WEEKDAY(B2076)=7,1,0))))))</f>
        <v>1</v>
      </c>
      <c r="H2076" s="370">
        <v>13736.574829101563</v>
      </c>
      <c r="I2076" s="370">
        <v>4252.3449401855469</v>
      </c>
      <c r="M2076" s="371">
        <f t="shared" si="129"/>
        <v>14379.705335153021</v>
      </c>
      <c r="N2076" s="329">
        <f t="shared" si="130"/>
        <v>131.37249145507849</v>
      </c>
      <c r="T2076" s="331">
        <v>0</v>
      </c>
      <c r="U2076" s="328">
        <f>VLOOKUP(C2076,METADATA!$J$5:$Q$29,IF(E2076="HI",2,IF(E2076="LO",6,10))+IF(T2076=1,2,IF(D2076=7,1,(IF(WEEKDAY(B2076)=1,2,IF(WEEKDAY(B2076)=7,1,0))))))</f>
        <v>1</v>
      </c>
      <c r="V2076" s="328">
        <f>VLOOKUP(C2076,METADATA!$A$5:$H$29,IF(E2076="HI",2,IF(E2076="LO",6,10))+IF(T2076=1,2,IF(D2076=7,1,(IF(WEEKDAY(B2076)=1,2,IF(WEEKDAY(B2076)=7,1,0))))))</f>
        <v>1</v>
      </c>
    </row>
    <row r="2077" spans="2:22">
      <c r="B2077" s="318">
        <f t="shared" si="131"/>
        <v>46199</v>
      </c>
      <c r="C2077" s="312">
        <v>9</v>
      </c>
      <c r="D2077" s="368">
        <f>IFERROR((INDEX(METADATA!$T$2:$T$20,MATCH(B2077,METADATA!$S$2:$S$20,0))),0)</f>
        <v>0</v>
      </c>
      <c r="E2077" s="312" t="str">
        <f t="shared" si="128"/>
        <v>LO</v>
      </c>
      <c r="F2077" s="369">
        <f>VLOOKUP(C2077,METADATA!$A$5:$H$29,IF(E2077="HI",2,IF(E2077="LO",6,10))+IF(D2077=1,2,IF(D2077=7,1,(IF(WEEKDAY(B2077)=1,2,IF(WEEKDAY(B2077)=7,1,0))))))</f>
        <v>2</v>
      </c>
      <c r="G2077" s="369">
        <f>VLOOKUP(C2077,METADATA!$J$5:$Q$29,IF(E2077="HI",2,IF(E2077="LO",6,10))+IF(D2077=1,2,IF(D2077=7,1,(IF(WEEKDAY(B2077)=1,2,IF(WEEKDAY(B2077)=7,1,0))))))</f>
        <v>2</v>
      </c>
      <c r="H2077" s="370">
        <v>13780.650146484375</v>
      </c>
      <c r="I2077" s="370">
        <v>4420.155029296875</v>
      </c>
      <c r="M2077" s="371">
        <f t="shared" si="129"/>
        <v>14472.183281827876</v>
      </c>
      <c r="N2077" s="329">
        <f t="shared" si="130"/>
        <v>285.95998535156286</v>
      </c>
      <c r="T2077" s="331">
        <v>0</v>
      </c>
      <c r="U2077" s="328">
        <f>VLOOKUP(C2077,METADATA!$J$5:$Q$29,IF(E2077="HI",2,IF(E2077="LO",6,10))+IF(T2077=1,2,IF(D2077=7,1,(IF(WEEKDAY(B2077)=1,2,IF(WEEKDAY(B2077)=7,1,0))))))</f>
        <v>2</v>
      </c>
      <c r="V2077" s="328">
        <f>VLOOKUP(C2077,METADATA!$A$5:$H$29,IF(E2077="HI",2,IF(E2077="LO",6,10))+IF(T2077=1,2,IF(D2077=7,1,(IF(WEEKDAY(B2077)=1,2,IF(WEEKDAY(B2077)=7,1,0))))))</f>
        <v>2</v>
      </c>
    </row>
    <row r="2078" spans="2:22">
      <c r="B2078" s="318">
        <f t="shared" si="131"/>
        <v>46199</v>
      </c>
      <c r="C2078" s="312">
        <v>10</v>
      </c>
      <c r="D2078" s="368">
        <f>IFERROR((INDEX(METADATA!$T$2:$T$20,MATCH(B2078,METADATA!$S$2:$S$20,0))),0)</f>
        <v>0</v>
      </c>
      <c r="E2078" s="312" t="str">
        <f t="shared" si="128"/>
        <v>LO</v>
      </c>
      <c r="F2078" s="369">
        <f>VLOOKUP(C2078,METADATA!$A$5:$H$29,IF(E2078="HI",2,IF(E2078="LO",6,10))+IF(D2078=1,2,IF(D2078=7,1,(IF(WEEKDAY(B2078)=1,2,IF(WEEKDAY(B2078)=7,1,0))))))</f>
        <v>2</v>
      </c>
      <c r="G2078" s="369">
        <f>VLOOKUP(C2078,METADATA!$J$5:$Q$29,IF(E2078="HI",2,IF(E2078="LO",6,10))+IF(D2078=1,2,IF(D2078=7,1,(IF(WEEKDAY(B2078)=1,2,IF(WEEKDAY(B2078)=7,1,0))))))</f>
        <v>2</v>
      </c>
      <c r="H2078" s="370">
        <v>13834.974853515625</v>
      </c>
      <c r="I2078" s="370">
        <v>4495.2649230957031</v>
      </c>
      <c r="M2078" s="371">
        <f t="shared" si="129"/>
        <v>14546.956242672359</v>
      </c>
      <c r="N2078" s="329">
        <f t="shared" si="130"/>
        <v>344.77246704101617</v>
      </c>
      <c r="T2078" s="331">
        <v>0</v>
      </c>
      <c r="U2078" s="328">
        <f>VLOOKUP(C2078,METADATA!$J$5:$Q$29,IF(E2078="HI",2,IF(E2078="LO",6,10))+IF(T2078=1,2,IF(D2078=7,1,(IF(WEEKDAY(B2078)=1,2,IF(WEEKDAY(B2078)=7,1,0))))))</f>
        <v>2</v>
      </c>
      <c r="V2078" s="328">
        <f>VLOOKUP(C2078,METADATA!$A$5:$H$29,IF(E2078="HI",2,IF(E2078="LO",6,10))+IF(T2078=1,2,IF(D2078=7,1,(IF(WEEKDAY(B2078)=1,2,IF(WEEKDAY(B2078)=7,1,0))))))</f>
        <v>2</v>
      </c>
    </row>
    <row r="2079" spans="2:22">
      <c r="B2079" s="318">
        <f t="shared" si="131"/>
        <v>46199</v>
      </c>
      <c r="C2079" s="312">
        <v>11</v>
      </c>
      <c r="D2079" s="368">
        <f>IFERROR((INDEX(METADATA!$T$2:$T$20,MATCH(B2079,METADATA!$S$2:$S$20,0))),0)</f>
        <v>0</v>
      </c>
      <c r="E2079" s="312" t="str">
        <f t="shared" si="128"/>
        <v>LO</v>
      </c>
      <c r="F2079" s="369">
        <f>VLOOKUP(C2079,METADATA!$A$5:$H$29,IF(E2079="HI",2,IF(E2079="LO",6,10))+IF(D2079=1,2,IF(D2079=7,1,(IF(WEEKDAY(B2079)=1,2,IF(WEEKDAY(B2079)=7,1,0))))))</f>
        <v>2</v>
      </c>
      <c r="G2079" s="369">
        <f>VLOOKUP(C2079,METADATA!$J$5:$Q$29,IF(E2079="HI",2,IF(E2079="LO",6,10))+IF(D2079=1,2,IF(D2079=7,1,(IF(WEEKDAY(B2079)=1,2,IF(WEEKDAY(B2079)=7,1,0))))))</f>
        <v>2</v>
      </c>
      <c r="H2079" s="370">
        <v>13853.700012207031</v>
      </c>
      <c r="I2079" s="370">
        <v>4586.7700805664063</v>
      </c>
      <c r="M2079" s="371">
        <f t="shared" si="129"/>
        <v>14593.267756064926</v>
      </c>
      <c r="N2079" s="329">
        <f t="shared" si="130"/>
        <v>430.66007690429706</v>
      </c>
      <c r="T2079" s="331">
        <v>0</v>
      </c>
      <c r="U2079" s="328">
        <f>VLOOKUP(C2079,METADATA!$J$5:$Q$29,IF(E2079="HI",2,IF(E2079="LO",6,10))+IF(T2079=1,2,IF(D2079=7,1,(IF(WEEKDAY(B2079)=1,2,IF(WEEKDAY(B2079)=7,1,0))))))</f>
        <v>2</v>
      </c>
      <c r="V2079" s="328">
        <f>VLOOKUP(C2079,METADATA!$A$5:$H$29,IF(E2079="HI",2,IF(E2079="LO",6,10))+IF(T2079=1,2,IF(D2079=7,1,(IF(WEEKDAY(B2079)=1,2,IF(WEEKDAY(B2079)=7,1,0))))))</f>
        <v>2</v>
      </c>
    </row>
    <row r="2080" spans="2:22">
      <c r="B2080" s="318">
        <f t="shared" si="131"/>
        <v>46199</v>
      </c>
      <c r="C2080" s="312">
        <v>12</v>
      </c>
      <c r="D2080" s="368">
        <f>IFERROR((INDEX(METADATA!$T$2:$T$20,MATCH(B2080,METADATA!$S$2:$S$20,0))),0)</f>
        <v>0</v>
      </c>
      <c r="E2080" s="312" t="str">
        <f t="shared" si="128"/>
        <v>LO</v>
      </c>
      <c r="F2080" s="369">
        <f>VLOOKUP(C2080,METADATA!$A$5:$H$29,IF(E2080="HI",2,IF(E2080="LO",6,10))+IF(D2080=1,2,IF(D2080=7,1,(IF(WEEKDAY(B2080)=1,2,IF(WEEKDAY(B2080)=7,1,0))))))</f>
        <v>2</v>
      </c>
      <c r="G2080" s="369">
        <f>VLOOKUP(C2080,METADATA!$J$5:$Q$29,IF(E2080="HI",2,IF(E2080="LO",6,10))+IF(D2080=1,2,IF(D2080=7,1,(IF(WEEKDAY(B2080)=1,2,IF(WEEKDAY(B2080)=7,1,0))))))</f>
        <v>2</v>
      </c>
      <c r="H2080" s="370">
        <v>13898.600158691406</v>
      </c>
      <c r="I2080" s="370">
        <v>4565.9200134277344</v>
      </c>
      <c r="M2080" s="371">
        <f t="shared" si="129"/>
        <v>14629.378385297056</v>
      </c>
      <c r="N2080" s="329">
        <f t="shared" si="130"/>
        <v>396.3399658203125</v>
      </c>
      <c r="T2080" s="331">
        <v>0</v>
      </c>
      <c r="U2080" s="328">
        <f>VLOOKUP(C2080,METADATA!$J$5:$Q$29,IF(E2080="HI",2,IF(E2080="LO",6,10))+IF(T2080=1,2,IF(D2080=7,1,(IF(WEEKDAY(B2080)=1,2,IF(WEEKDAY(B2080)=7,1,0))))))</f>
        <v>2</v>
      </c>
      <c r="V2080" s="328">
        <f>VLOOKUP(C2080,METADATA!$A$5:$H$29,IF(E2080="HI",2,IF(E2080="LO",6,10))+IF(T2080=1,2,IF(D2080=7,1,(IF(WEEKDAY(B2080)=1,2,IF(WEEKDAY(B2080)=7,1,0))))))</f>
        <v>2</v>
      </c>
    </row>
    <row r="2081" spans="2:22">
      <c r="B2081" s="318">
        <f t="shared" si="131"/>
        <v>46199</v>
      </c>
      <c r="C2081" s="312">
        <v>13</v>
      </c>
      <c r="D2081" s="368">
        <f>IFERROR((INDEX(METADATA!$T$2:$T$20,MATCH(B2081,METADATA!$S$2:$S$20,0))),0)</f>
        <v>0</v>
      </c>
      <c r="E2081" s="312" t="str">
        <f t="shared" si="128"/>
        <v>LO</v>
      </c>
      <c r="F2081" s="369">
        <f>VLOOKUP(C2081,METADATA!$A$5:$H$29,IF(E2081="HI",2,IF(E2081="LO",6,10))+IF(D2081=1,2,IF(D2081=7,1,(IF(WEEKDAY(B2081)=1,2,IF(WEEKDAY(B2081)=7,1,0))))))</f>
        <v>2</v>
      </c>
      <c r="G2081" s="369">
        <f>VLOOKUP(C2081,METADATA!$J$5:$Q$29,IF(E2081="HI",2,IF(E2081="LO",6,10))+IF(D2081=1,2,IF(D2081=7,1,(IF(WEEKDAY(B2081)=1,2,IF(WEEKDAY(B2081)=7,1,0))))))</f>
        <v>2</v>
      </c>
      <c r="H2081" s="370">
        <v>13869.050048828125</v>
      </c>
      <c r="I2081" s="370">
        <v>4567.4649963378906</v>
      </c>
      <c r="M2081" s="371">
        <f t="shared" si="129"/>
        <v>14601.79049807493</v>
      </c>
      <c r="N2081" s="329">
        <f t="shared" si="130"/>
        <v>406.74998168945331</v>
      </c>
      <c r="T2081" s="331">
        <v>0</v>
      </c>
      <c r="U2081" s="328">
        <f>VLOOKUP(C2081,METADATA!$J$5:$Q$29,IF(E2081="HI",2,IF(E2081="LO",6,10))+IF(T2081=1,2,IF(D2081=7,1,(IF(WEEKDAY(B2081)=1,2,IF(WEEKDAY(B2081)=7,1,0))))))</f>
        <v>2</v>
      </c>
      <c r="V2081" s="328">
        <f>VLOOKUP(C2081,METADATA!$A$5:$H$29,IF(E2081="HI",2,IF(E2081="LO",6,10))+IF(T2081=1,2,IF(D2081=7,1,(IF(WEEKDAY(B2081)=1,2,IF(WEEKDAY(B2081)=7,1,0))))))</f>
        <v>2</v>
      </c>
    </row>
    <row r="2082" spans="2:22">
      <c r="B2082" s="318">
        <f t="shared" si="131"/>
        <v>46199</v>
      </c>
      <c r="C2082" s="312">
        <v>14</v>
      </c>
      <c r="D2082" s="368">
        <f>IFERROR((INDEX(METADATA!$T$2:$T$20,MATCH(B2082,METADATA!$S$2:$S$20,0))),0)</f>
        <v>0</v>
      </c>
      <c r="E2082" s="312" t="str">
        <f t="shared" si="128"/>
        <v>LO</v>
      </c>
      <c r="F2082" s="369">
        <f>VLOOKUP(C2082,METADATA!$A$5:$H$29,IF(E2082="HI",2,IF(E2082="LO",6,10))+IF(D2082=1,2,IF(D2082=7,1,(IF(WEEKDAY(B2082)=1,2,IF(WEEKDAY(B2082)=7,1,0))))))</f>
        <v>2</v>
      </c>
      <c r="G2082" s="369">
        <f>VLOOKUP(C2082,METADATA!$J$5:$Q$29,IF(E2082="HI",2,IF(E2082="LO",6,10))+IF(D2082=1,2,IF(D2082=7,1,(IF(WEEKDAY(B2082)=1,2,IF(WEEKDAY(B2082)=7,1,0))))))</f>
        <v>2</v>
      </c>
      <c r="H2082" s="370">
        <v>13848.300231933594</v>
      </c>
      <c r="I2082" s="370">
        <v>4635.669921875</v>
      </c>
      <c r="M2082" s="371">
        <f t="shared" si="129"/>
        <v>14603.590481054602</v>
      </c>
      <c r="N2082" s="329">
        <f t="shared" si="130"/>
        <v>481.17985229492206</v>
      </c>
      <c r="T2082" s="331">
        <v>0</v>
      </c>
      <c r="U2082" s="328">
        <f>VLOOKUP(C2082,METADATA!$J$5:$Q$29,IF(E2082="HI",2,IF(E2082="LO",6,10))+IF(T2082=1,2,IF(D2082=7,1,(IF(WEEKDAY(B2082)=1,2,IF(WEEKDAY(B2082)=7,1,0))))))</f>
        <v>2</v>
      </c>
      <c r="V2082" s="328">
        <f>VLOOKUP(C2082,METADATA!$A$5:$H$29,IF(E2082="HI",2,IF(E2082="LO",6,10))+IF(T2082=1,2,IF(D2082=7,1,(IF(WEEKDAY(B2082)=1,2,IF(WEEKDAY(B2082)=7,1,0))))))</f>
        <v>2</v>
      </c>
    </row>
    <row r="2083" spans="2:22">
      <c r="B2083" s="318">
        <f t="shared" si="131"/>
        <v>46199</v>
      </c>
      <c r="C2083" s="312">
        <v>15</v>
      </c>
      <c r="D2083" s="368">
        <f>IFERROR((INDEX(METADATA!$T$2:$T$20,MATCH(B2083,METADATA!$S$2:$S$20,0))),0)</f>
        <v>0</v>
      </c>
      <c r="E2083" s="312" t="str">
        <f t="shared" si="128"/>
        <v>LO</v>
      </c>
      <c r="F2083" s="369">
        <f>VLOOKUP(C2083,METADATA!$A$5:$H$29,IF(E2083="HI",2,IF(E2083="LO",6,10))+IF(D2083=1,2,IF(D2083=7,1,(IF(WEEKDAY(B2083)=1,2,IF(WEEKDAY(B2083)=7,1,0))))))</f>
        <v>2</v>
      </c>
      <c r="G2083" s="369">
        <f>VLOOKUP(C2083,METADATA!$J$5:$Q$29,IF(E2083="HI",2,IF(E2083="LO",6,10))+IF(D2083=1,2,IF(D2083=7,1,(IF(WEEKDAY(B2083)=1,2,IF(WEEKDAY(B2083)=7,1,0))))))</f>
        <v>2</v>
      </c>
      <c r="H2083" s="370">
        <v>13919.224853515625</v>
      </c>
      <c r="I2083" s="370">
        <v>4719.1949462890625</v>
      </c>
      <c r="M2083" s="371">
        <f t="shared" si="129"/>
        <v>14697.469900081691</v>
      </c>
      <c r="N2083" s="329">
        <f t="shared" si="130"/>
        <v>543.427490234375</v>
      </c>
      <c r="T2083" s="331">
        <v>0</v>
      </c>
      <c r="U2083" s="328">
        <f>VLOOKUP(C2083,METADATA!$J$5:$Q$29,IF(E2083="HI",2,IF(E2083="LO",6,10))+IF(T2083=1,2,IF(D2083=7,1,(IF(WEEKDAY(B2083)=1,2,IF(WEEKDAY(B2083)=7,1,0))))))</f>
        <v>2</v>
      </c>
      <c r="V2083" s="328">
        <f>VLOOKUP(C2083,METADATA!$A$5:$H$29,IF(E2083="HI",2,IF(E2083="LO",6,10))+IF(T2083=1,2,IF(D2083=7,1,(IF(WEEKDAY(B2083)=1,2,IF(WEEKDAY(B2083)=7,1,0))))))</f>
        <v>2</v>
      </c>
    </row>
    <row r="2084" spans="2:22">
      <c r="B2084" s="318">
        <f t="shared" si="131"/>
        <v>46199</v>
      </c>
      <c r="C2084" s="312">
        <v>16</v>
      </c>
      <c r="D2084" s="368">
        <f>IFERROR((INDEX(METADATA!$T$2:$T$20,MATCH(B2084,METADATA!$S$2:$S$20,0))),0)</f>
        <v>0</v>
      </c>
      <c r="E2084" s="312" t="str">
        <f t="shared" si="128"/>
        <v>LO</v>
      </c>
      <c r="F2084" s="369">
        <f>VLOOKUP(C2084,METADATA!$A$5:$H$29,IF(E2084="HI",2,IF(E2084="LO",6,10))+IF(D2084=1,2,IF(D2084=7,1,(IF(WEEKDAY(B2084)=1,2,IF(WEEKDAY(B2084)=7,1,0))))))</f>
        <v>2</v>
      </c>
      <c r="G2084" s="369">
        <f>VLOOKUP(C2084,METADATA!$J$5:$Q$29,IF(E2084="HI",2,IF(E2084="LO",6,10))+IF(D2084=1,2,IF(D2084=7,1,(IF(WEEKDAY(B2084)=1,2,IF(WEEKDAY(B2084)=7,1,0))))))</f>
        <v>2</v>
      </c>
      <c r="H2084" s="370">
        <v>13722.749572753906</v>
      </c>
      <c r="I2084" s="370">
        <v>4559.3199768066406</v>
      </c>
      <c r="M2084" s="371">
        <f t="shared" si="129"/>
        <v>14460.333830428177</v>
      </c>
      <c r="N2084" s="329">
        <f t="shared" si="130"/>
        <v>442.49510498046857</v>
      </c>
      <c r="T2084" s="331">
        <v>0</v>
      </c>
      <c r="U2084" s="328">
        <f>VLOOKUP(C2084,METADATA!$J$5:$Q$29,IF(E2084="HI",2,IF(E2084="LO",6,10))+IF(T2084=1,2,IF(D2084=7,1,(IF(WEEKDAY(B2084)=1,2,IF(WEEKDAY(B2084)=7,1,0))))))</f>
        <v>2</v>
      </c>
      <c r="V2084" s="328">
        <f>VLOOKUP(C2084,METADATA!$A$5:$H$29,IF(E2084="HI",2,IF(E2084="LO",6,10))+IF(T2084=1,2,IF(D2084=7,1,(IF(WEEKDAY(B2084)=1,2,IF(WEEKDAY(B2084)=7,1,0))))))</f>
        <v>2</v>
      </c>
    </row>
    <row r="2085" spans="2:22">
      <c r="B2085" s="318">
        <f t="shared" si="131"/>
        <v>46199</v>
      </c>
      <c r="C2085" s="312">
        <v>17</v>
      </c>
      <c r="D2085" s="368">
        <f>IFERROR((INDEX(METADATA!$T$2:$T$20,MATCH(B2085,METADATA!$S$2:$S$20,0))),0)</f>
        <v>0</v>
      </c>
      <c r="E2085" s="312" t="str">
        <f t="shared" si="128"/>
        <v>LO</v>
      </c>
      <c r="F2085" s="369">
        <f>VLOOKUP(C2085,METADATA!$A$5:$H$29,IF(E2085="HI",2,IF(E2085="LO",6,10))+IF(D2085=1,2,IF(D2085=7,1,(IF(WEEKDAY(B2085)=1,2,IF(WEEKDAY(B2085)=7,1,0))))))</f>
        <v>2</v>
      </c>
      <c r="G2085" s="369">
        <f>VLOOKUP(C2085,METADATA!$J$5:$Q$29,IF(E2085="HI",2,IF(E2085="LO",6,10))+IF(D2085=1,2,IF(D2085=7,1,(IF(WEEKDAY(B2085)=1,2,IF(WEEKDAY(B2085)=7,1,0))))))</f>
        <v>2</v>
      </c>
      <c r="H2085" s="370">
        <v>12905.175109863281</v>
      </c>
      <c r="I2085" s="370">
        <v>3977.3174743652344</v>
      </c>
      <c r="M2085" s="371">
        <f t="shared" si="129"/>
        <v>13504.16968599424</v>
      </c>
      <c r="N2085" s="329">
        <f t="shared" si="130"/>
        <v>105.76494140625027</v>
      </c>
      <c r="T2085" s="331">
        <v>0</v>
      </c>
      <c r="U2085" s="328">
        <f>VLOOKUP(C2085,METADATA!$J$5:$Q$29,IF(E2085="HI",2,IF(E2085="LO",6,10))+IF(T2085=1,2,IF(D2085=7,1,(IF(WEEKDAY(B2085)=1,2,IF(WEEKDAY(B2085)=7,1,0))))))</f>
        <v>2</v>
      </c>
      <c r="V2085" s="328">
        <f>VLOOKUP(C2085,METADATA!$A$5:$H$29,IF(E2085="HI",2,IF(E2085="LO",6,10))+IF(T2085=1,2,IF(D2085=7,1,(IF(WEEKDAY(B2085)=1,2,IF(WEEKDAY(B2085)=7,1,0))))))</f>
        <v>2</v>
      </c>
    </row>
    <row r="2086" spans="2:22">
      <c r="B2086" s="318">
        <f t="shared" si="131"/>
        <v>46199</v>
      </c>
      <c r="C2086" s="312">
        <v>18</v>
      </c>
      <c r="D2086" s="368">
        <f>IFERROR((INDEX(METADATA!$T$2:$T$20,MATCH(B2086,METADATA!$S$2:$S$20,0))),0)</f>
        <v>0</v>
      </c>
      <c r="E2086" s="312" t="str">
        <f t="shared" si="128"/>
        <v>LO</v>
      </c>
      <c r="F2086" s="369">
        <f>VLOOKUP(C2086,METADATA!$A$5:$H$29,IF(E2086="HI",2,IF(E2086="LO",6,10))+IF(D2086=1,2,IF(D2086=7,1,(IF(WEEKDAY(B2086)=1,2,IF(WEEKDAY(B2086)=7,1,0))))))</f>
        <v>1</v>
      </c>
      <c r="G2086" s="369">
        <f>VLOOKUP(C2086,METADATA!$J$5:$Q$29,IF(E2086="HI",2,IF(E2086="LO",6,10))+IF(D2086=1,2,IF(D2086=7,1,(IF(WEEKDAY(B2086)=1,2,IF(WEEKDAY(B2086)=7,1,0))))))</f>
        <v>1</v>
      </c>
      <c r="H2086" s="370">
        <v>11690.425170898438</v>
      </c>
      <c r="I2086" s="370">
        <v>3175.9425048828125</v>
      </c>
      <c r="M2086" s="371">
        <f t="shared" si="129"/>
        <v>12114.150876999058</v>
      </c>
      <c r="N2086" s="329">
        <f t="shared" si="130"/>
        <v>0</v>
      </c>
      <c r="T2086" s="331">
        <v>0</v>
      </c>
      <c r="U2086" s="328">
        <f>VLOOKUP(C2086,METADATA!$J$5:$Q$29,IF(E2086="HI",2,IF(E2086="LO",6,10))+IF(T2086=1,2,IF(D2086=7,1,(IF(WEEKDAY(B2086)=1,2,IF(WEEKDAY(B2086)=7,1,0))))))</f>
        <v>1</v>
      </c>
      <c r="V2086" s="328">
        <f>VLOOKUP(C2086,METADATA!$A$5:$H$29,IF(E2086="HI",2,IF(E2086="LO",6,10))+IF(T2086=1,2,IF(D2086=7,1,(IF(WEEKDAY(B2086)=1,2,IF(WEEKDAY(B2086)=7,1,0))))))</f>
        <v>1</v>
      </c>
    </row>
    <row r="2087" spans="2:22">
      <c r="B2087" s="318">
        <f t="shared" si="131"/>
        <v>46199</v>
      </c>
      <c r="C2087" s="312">
        <v>19</v>
      </c>
      <c r="D2087" s="368">
        <f>IFERROR((INDEX(METADATA!$T$2:$T$20,MATCH(B2087,METADATA!$S$2:$S$20,0))),0)</f>
        <v>0</v>
      </c>
      <c r="E2087" s="312" t="str">
        <f t="shared" si="128"/>
        <v>LO</v>
      </c>
      <c r="F2087" s="369">
        <f>VLOOKUP(C2087,METADATA!$A$5:$H$29,IF(E2087="HI",2,IF(E2087="LO",6,10))+IF(D2087=1,2,IF(D2087=7,1,(IF(WEEKDAY(B2087)=1,2,IF(WEEKDAY(B2087)=7,1,0))))))</f>
        <v>1</v>
      </c>
      <c r="G2087" s="369">
        <f>VLOOKUP(C2087,METADATA!$J$5:$Q$29,IF(E2087="HI",2,IF(E2087="LO",6,10))+IF(D2087=1,2,IF(D2087=7,1,(IF(WEEKDAY(B2087)=1,2,IF(WEEKDAY(B2087)=7,1,0))))))</f>
        <v>1</v>
      </c>
      <c r="H2087" s="370">
        <v>11800.375061035156</v>
      </c>
      <c r="I2087" s="370">
        <v>3295.2449645996094</v>
      </c>
      <c r="M2087" s="371">
        <f t="shared" si="129"/>
        <v>12251.836228003522</v>
      </c>
      <c r="N2087" s="329">
        <f t="shared" si="130"/>
        <v>0</v>
      </c>
      <c r="T2087" s="331">
        <v>0</v>
      </c>
      <c r="U2087" s="328">
        <f>VLOOKUP(C2087,METADATA!$J$5:$Q$29,IF(E2087="HI",2,IF(E2087="LO",6,10))+IF(T2087=1,2,IF(D2087=7,1,(IF(WEEKDAY(B2087)=1,2,IF(WEEKDAY(B2087)=7,1,0))))))</f>
        <v>1</v>
      </c>
      <c r="V2087" s="328">
        <f>VLOOKUP(C2087,METADATA!$A$5:$H$29,IF(E2087="HI",2,IF(E2087="LO",6,10))+IF(T2087=1,2,IF(D2087=7,1,(IF(WEEKDAY(B2087)=1,2,IF(WEEKDAY(B2087)=7,1,0))))))</f>
        <v>1</v>
      </c>
    </row>
    <row r="2088" spans="2:22">
      <c r="B2088" s="318">
        <f t="shared" si="131"/>
        <v>46199</v>
      </c>
      <c r="C2088" s="312">
        <v>20</v>
      </c>
      <c r="D2088" s="368">
        <f>IFERROR((INDEX(METADATA!$T$2:$T$20,MATCH(B2088,METADATA!$S$2:$S$20,0))),0)</f>
        <v>0</v>
      </c>
      <c r="E2088" s="312" t="str">
        <f t="shared" si="128"/>
        <v>LO</v>
      </c>
      <c r="F2088" s="369">
        <f>VLOOKUP(C2088,METADATA!$A$5:$H$29,IF(E2088="HI",2,IF(E2088="LO",6,10))+IF(D2088=1,2,IF(D2088=7,1,(IF(WEEKDAY(B2088)=1,2,IF(WEEKDAY(B2088)=7,1,0))))))</f>
        <v>1</v>
      </c>
      <c r="G2088" s="369">
        <f>VLOOKUP(C2088,METADATA!$J$5:$Q$29,IF(E2088="HI",2,IF(E2088="LO",6,10))+IF(D2088=1,2,IF(D2088=7,1,(IF(WEEKDAY(B2088)=1,2,IF(WEEKDAY(B2088)=7,1,0))))))</f>
        <v>1</v>
      </c>
      <c r="H2088" s="370">
        <v>13456.874877929688</v>
      </c>
      <c r="I2088" s="370">
        <v>4393.1250610351563</v>
      </c>
      <c r="M2088" s="371">
        <f t="shared" si="129"/>
        <v>14155.81256170589</v>
      </c>
      <c r="N2088" s="329">
        <f t="shared" si="130"/>
        <v>356.06259765625009</v>
      </c>
      <c r="T2088" s="331">
        <v>0</v>
      </c>
      <c r="U2088" s="328">
        <f>VLOOKUP(C2088,METADATA!$J$5:$Q$29,IF(E2088="HI",2,IF(E2088="LO",6,10))+IF(T2088=1,2,IF(D2088=7,1,(IF(WEEKDAY(B2088)=1,2,IF(WEEKDAY(B2088)=7,1,0))))))</f>
        <v>1</v>
      </c>
      <c r="V2088" s="328">
        <f>VLOOKUP(C2088,METADATA!$A$5:$H$29,IF(E2088="HI",2,IF(E2088="LO",6,10))+IF(T2088=1,2,IF(D2088=7,1,(IF(WEEKDAY(B2088)=1,2,IF(WEEKDAY(B2088)=7,1,0))))))</f>
        <v>1</v>
      </c>
    </row>
    <row r="2089" spans="2:22">
      <c r="B2089" s="318">
        <f t="shared" si="131"/>
        <v>46199</v>
      </c>
      <c r="C2089" s="312">
        <v>21</v>
      </c>
      <c r="D2089" s="368">
        <f>IFERROR((INDEX(METADATA!$T$2:$T$20,MATCH(B2089,METADATA!$S$2:$S$20,0))),0)</f>
        <v>0</v>
      </c>
      <c r="E2089" s="312" t="str">
        <f t="shared" si="128"/>
        <v>LO</v>
      </c>
      <c r="F2089" s="369">
        <f>VLOOKUP(C2089,METADATA!$A$5:$H$29,IF(E2089="HI",2,IF(E2089="LO",6,10))+IF(D2089=1,2,IF(D2089=7,1,(IF(WEEKDAY(B2089)=1,2,IF(WEEKDAY(B2089)=7,1,0))))))</f>
        <v>2</v>
      </c>
      <c r="G2089" s="369">
        <f>VLOOKUP(C2089,METADATA!$J$5:$Q$29,IF(E2089="HI",2,IF(E2089="LO",6,10))+IF(D2089=1,2,IF(D2089=7,1,(IF(WEEKDAY(B2089)=1,2,IF(WEEKDAY(B2089)=7,1,0))))))</f>
        <v>2</v>
      </c>
      <c r="H2089" s="370">
        <v>13829.300170898438</v>
      </c>
      <c r="I2089" s="370">
        <v>4592.4700622558594</v>
      </c>
      <c r="M2089" s="371">
        <f t="shared" si="129"/>
        <v>14571.901883060011</v>
      </c>
      <c r="N2089" s="329">
        <f t="shared" si="130"/>
        <v>443.68001098632794</v>
      </c>
      <c r="T2089" s="331">
        <v>0</v>
      </c>
      <c r="U2089" s="328">
        <f>VLOOKUP(C2089,METADATA!$J$5:$Q$29,IF(E2089="HI",2,IF(E2089="LO",6,10))+IF(T2089=1,2,IF(D2089=7,1,(IF(WEEKDAY(B2089)=1,2,IF(WEEKDAY(B2089)=7,1,0))))))</f>
        <v>2</v>
      </c>
      <c r="V2089" s="328">
        <f>VLOOKUP(C2089,METADATA!$A$5:$H$29,IF(E2089="HI",2,IF(E2089="LO",6,10))+IF(T2089=1,2,IF(D2089=7,1,(IF(WEEKDAY(B2089)=1,2,IF(WEEKDAY(B2089)=7,1,0))))))</f>
        <v>2</v>
      </c>
    </row>
    <row r="2090" spans="2:22">
      <c r="B2090" s="318">
        <f t="shared" si="131"/>
        <v>46199</v>
      </c>
      <c r="C2090" s="312">
        <v>22</v>
      </c>
      <c r="D2090" s="368">
        <f>IFERROR((INDEX(METADATA!$T$2:$T$20,MATCH(B2090,METADATA!$S$2:$S$20,0))),0)</f>
        <v>0</v>
      </c>
      <c r="E2090" s="312" t="str">
        <f t="shared" si="128"/>
        <v>LO</v>
      </c>
      <c r="F2090" s="369">
        <f>VLOOKUP(C2090,METADATA!$A$5:$H$29,IF(E2090="HI",2,IF(E2090="LO",6,10))+IF(D2090=1,2,IF(D2090=7,1,(IF(WEEKDAY(B2090)=1,2,IF(WEEKDAY(B2090)=7,1,0))))))</f>
        <v>3</v>
      </c>
      <c r="G2090" s="369">
        <f>VLOOKUP(C2090,METADATA!$J$5:$Q$29,IF(E2090="HI",2,IF(E2090="LO",6,10))+IF(D2090=1,2,IF(D2090=7,1,(IF(WEEKDAY(B2090)=1,2,IF(WEEKDAY(B2090)=7,1,0))))))</f>
        <v>3</v>
      </c>
      <c r="H2090" s="370">
        <v>13669.875244140625</v>
      </c>
      <c r="I2090" s="370">
        <v>4509.260009765625</v>
      </c>
      <c r="M2090" s="371">
        <f t="shared" si="129"/>
        <v>14394.405685058351</v>
      </c>
      <c r="N2090" s="329">
        <f t="shared" si="130"/>
        <v>408.29743652343768</v>
      </c>
      <c r="T2090" s="331">
        <v>0</v>
      </c>
      <c r="U2090" s="328">
        <f>VLOOKUP(C2090,METADATA!$J$5:$Q$29,IF(E2090="HI",2,IF(E2090="LO",6,10))+IF(T2090=1,2,IF(D2090=7,1,(IF(WEEKDAY(B2090)=1,2,IF(WEEKDAY(B2090)=7,1,0))))))</f>
        <v>3</v>
      </c>
      <c r="V2090" s="328">
        <f>VLOOKUP(C2090,METADATA!$A$5:$H$29,IF(E2090="HI",2,IF(E2090="LO",6,10))+IF(T2090=1,2,IF(D2090=7,1,(IF(WEEKDAY(B2090)=1,2,IF(WEEKDAY(B2090)=7,1,0))))))</f>
        <v>3</v>
      </c>
    </row>
    <row r="2091" spans="2:22">
      <c r="B2091" s="318">
        <f t="shared" si="131"/>
        <v>46199</v>
      </c>
      <c r="C2091" s="312">
        <v>23</v>
      </c>
      <c r="D2091" s="368">
        <f>IFERROR((INDEX(METADATA!$T$2:$T$20,MATCH(B2091,METADATA!$S$2:$S$20,0))),0)</f>
        <v>0</v>
      </c>
      <c r="E2091" s="312" t="str">
        <f t="shared" si="128"/>
        <v>LO</v>
      </c>
      <c r="F2091" s="369">
        <f>VLOOKUP(C2091,METADATA!$A$5:$H$29,IF(E2091="HI",2,IF(E2091="LO",6,10))+IF(D2091=1,2,IF(D2091=7,1,(IF(WEEKDAY(B2091)=1,2,IF(WEEKDAY(B2091)=7,1,0))))))</f>
        <v>3</v>
      </c>
      <c r="G2091" s="369">
        <f>VLOOKUP(C2091,METADATA!$J$5:$Q$29,IF(E2091="HI",2,IF(E2091="LO",6,10))+IF(D2091=1,2,IF(D2091=7,1,(IF(WEEKDAY(B2091)=1,2,IF(WEEKDAY(B2091)=7,1,0))))))</f>
        <v>3</v>
      </c>
      <c r="H2091" s="370">
        <v>13576.60009765625</v>
      </c>
      <c r="I2091" s="370">
        <v>4374.1749877929688</v>
      </c>
      <c r="M2091" s="371">
        <f t="shared" si="129"/>
        <v>14263.852110685715</v>
      </c>
      <c r="N2091" s="329">
        <f t="shared" si="130"/>
        <v>301.19495849609393</v>
      </c>
      <c r="T2091" s="331">
        <v>0</v>
      </c>
      <c r="U2091" s="328">
        <f>VLOOKUP(C2091,METADATA!$J$5:$Q$29,IF(E2091="HI",2,IF(E2091="LO",6,10))+IF(T2091=1,2,IF(D2091=7,1,(IF(WEEKDAY(B2091)=1,2,IF(WEEKDAY(B2091)=7,1,0))))))</f>
        <v>3</v>
      </c>
      <c r="V2091" s="328">
        <f>VLOOKUP(C2091,METADATA!$A$5:$H$29,IF(E2091="HI",2,IF(E2091="LO",6,10))+IF(T2091=1,2,IF(D2091=7,1,(IF(WEEKDAY(B2091)=1,2,IF(WEEKDAY(B2091)=7,1,0))))))</f>
        <v>3</v>
      </c>
    </row>
    <row r="2092" spans="2:22">
      <c r="B2092" s="318">
        <f t="shared" si="131"/>
        <v>46200</v>
      </c>
      <c r="C2092" s="312">
        <v>0</v>
      </c>
      <c r="D2092" s="368">
        <f>IFERROR((INDEX(METADATA!$T$2:$T$20,MATCH(B2092,METADATA!$S$2:$S$20,0))),0)</f>
        <v>0</v>
      </c>
      <c r="E2092" s="312" t="str">
        <f t="shared" si="128"/>
        <v>LO</v>
      </c>
      <c r="F2092" s="369">
        <f>VLOOKUP(C2092,METADATA!$A$5:$H$29,IF(E2092="HI",2,IF(E2092="LO",6,10))+IF(D2092=1,2,IF(D2092=7,1,(IF(WEEKDAY(B2092)=1,2,IF(WEEKDAY(B2092)=7,1,0))))))</f>
        <v>3</v>
      </c>
      <c r="G2092" s="369">
        <f>VLOOKUP(C2092,METADATA!$J$5:$Q$29,IF(E2092="HI",2,IF(E2092="LO",6,10))+IF(D2092=1,2,IF(D2092=7,1,(IF(WEEKDAY(B2092)=1,2,IF(WEEKDAY(B2092)=7,1,0))))))</f>
        <v>3</v>
      </c>
      <c r="H2092" s="370">
        <v>13539.075012207031</v>
      </c>
      <c r="I2092" s="370">
        <v>4383.1948852539063</v>
      </c>
      <c r="M2092" s="371">
        <f t="shared" si="129"/>
        <v>14230.91527584522</v>
      </c>
      <c r="N2092" s="329">
        <f t="shared" si="130"/>
        <v>321.47238159179688</v>
      </c>
      <c r="T2092" s="331">
        <v>0</v>
      </c>
      <c r="U2092" s="328">
        <f>VLOOKUP(C2092,METADATA!$J$5:$Q$29,IF(E2092="HI",2,IF(E2092="LO",6,10))+IF(T2092=1,2,IF(D2092=7,1,(IF(WEEKDAY(B2092)=1,2,IF(WEEKDAY(B2092)=7,1,0))))))</f>
        <v>3</v>
      </c>
      <c r="V2092" s="328">
        <f>VLOOKUP(C2092,METADATA!$A$5:$H$29,IF(E2092="HI",2,IF(E2092="LO",6,10))+IF(T2092=1,2,IF(D2092=7,1,(IF(WEEKDAY(B2092)=1,2,IF(WEEKDAY(B2092)=7,1,0))))))</f>
        <v>3</v>
      </c>
    </row>
    <row r="2093" spans="2:22">
      <c r="B2093" s="318">
        <f t="shared" si="131"/>
        <v>46200</v>
      </c>
      <c r="C2093" s="312">
        <v>1</v>
      </c>
      <c r="D2093" s="368">
        <f>IFERROR((INDEX(METADATA!$T$2:$T$20,MATCH(B2093,METADATA!$S$2:$S$20,0))),0)</f>
        <v>0</v>
      </c>
      <c r="E2093" s="312" t="str">
        <f t="shared" si="128"/>
        <v>LO</v>
      </c>
      <c r="F2093" s="369">
        <f>VLOOKUP(C2093,METADATA!$A$5:$H$29,IF(E2093="HI",2,IF(E2093="LO",6,10))+IF(D2093=1,2,IF(D2093=7,1,(IF(WEEKDAY(B2093)=1,2,IF(WEEKDAY(B2093)=7,1,0))))))</f>
        <v>3</v>
      </c>
      <c r="G2093" s="369">
        <f>VLOOKUP(C2093,METADATA!$J$5:$Q$29,IF(E2093="HI",2,IF(E2093="LO",6,10))+IF(D2093=1,2,IF(D2093=7,1,(IF(WEEKDAY(B2093)=1,2,IF(WEEKDAY(B2093)=7,1,0))))))</f>
        <v>3</v>
      </c>
      <c r="H2093" s="370">
        <v>13544.87548828125</v>
      </c>
      <c r="I2093" s="370">
        <v>4296.3599853515625</v>
      </c>
      <c r="M2093" s="371">
        <f t="shared" si="129"/>
        <v>14209.938814673773</v>
      </c>
      <c r="N2093" s="329">
        <f t="shared" si="130"/>
        <v>232.8973388671875</v>
      </c>
      <c r="T2093" s="331">
        <v>0</v>
      </c>
      <c r="U2093" s="328">
        <f>VLOOKUP(C2093,METADATA!$J$5:$Q$29,IF(E2093="HI",2,IF(E2093="LO",6,10))+IF(T2093=1,2,IF(D2093=7,1,(IF(WEEKDAY(B2093)=1,2,IF(WEEKDAY(B2093)=7,1,0))))))</f>
        <v>3</v>
      </c>
      <c r="V2093" s="328">
        <f>VLOOKUP(C2093,METADATA!$A$5:$H$29,IF(E2093="HI",2,IF(E2093="LO",6,10))+IF(T2093=1,2,IF(D2093=7,1,(IF(WEEKDAY(B2093)=1,2,IF(WEEKDAY(B2093)=7,1,0))))))</f>
        <v>3</v>
      </c>
    </row>
    <row r="2094" spans="2:22">
      <c r="B2094" s="318">
        <f t="shared" si="131"/>
        <v>46200</v>
      </c>
      <c r="C2094" s="312">
        <v>2</v>
      </c>
      <c r="D2094" s="368">
        <f>IFERROR((INDEX(METADATA!$T$2:$T$20,MATCH(B2094,METADATA!$S$2:$S$20,0))),0)</f>
        <v>0</v>
      </c>
      <c r="E2094" s="312" t="str">
        <f t="shared" si="128"/>
        <v>LO</v>
      </c>
      <c r="F2094" s="369">
        <f>VLOOKUP(C2094,METADATA!$A$5:$H$29,IF(E2094="HI",2,IF(E2094="LO",6,10))+IF(D2094=1,2,IF(D2094=7,1,(IF(WEEKDAY(B2094)=1,2,IF(WEEKDAY(B2094)=7,1,0))))))</f>
        <v>3</v>
      </c>
      <c r="G2094" s="369">
        <f>VLOOKUP(C2094,METADATA!$J$5:$Q$29,IF(E2094="HI",2,IF(E2094="LO",6,10))+IF(D2094=1,2,IF(D2094=7,1,(IF(WEEKDAY(B2094)=1,2,IF(WEEKDAY(B2094)=7,1,0))))))</f>
        <v>3</v>
      </c>
      <c r="H2094" s="370">
        <v>13549.725280761719</v>
      </c>
      <c r="I2094" s="370">
        <v>4199.0200500488281</v>
      </c>
      <c r="M2094" s="371">
        <f t="shared" si="129"/>
        <v>14185.444108833015</v>
      </c>
      <c r="N2094" s="329">
        <f t="shared" si="130"/>
        <v>134.10246582031277</v>
      </c>
      <c r="T2094" s="331">
        <v>0</v>
      </c>
      <c r="U2094" s="328">
        <f>VLOOKUP(C2094,METADATA!$J$5:$Q$29,IF(E2094="HI",2,IF(E2094="LO",6,10))+IF(T2094=1,2,IF(D2094=7,1,(IF(WEEKDAY(B2094)=1,2,IF(WEEKDAY(B2094)=7,1,0))))))</f>
        <v>3</v>
      </c>
      <c r="V2094" s="328">
        <f>VLOOKUP(C2094,METADATA!$A$5:$H$29,IF(E2094="HI",2,IF(E2094="LO",6,10))+IF(T2094=1,2,IF(D2094=7,1,(IF(WEEKDAY(B2094)=1,2,IF(WEEKDAY(B2094)=7,1,0))))))</f>
        <v>3</v>
      </c>
    </row>
    <row r="2095" spans="2:22">
      <c r="B2095" s="318">
        <f t="shared" si="131"/>
        <v>46200</v>
      </c>
      <c r="C2095" s="312">
        <v>3</v>
      </c>
      <c r="D2095" s="368">
        <f>IFERROR((INDEX(METADATA!$T$2:$T$20,MATCH(B2095,METADATA!$S$2:$S$20,0))),0)</f>
        <v>0</v>
      </c>
      <c r="E2095" s="312" t="str">
        <f t="shared" si="128"/>
        <v>LO</v>
      </c>
      <c r="F2095" s="369">
        <f>VLOOKUP(C2095,METADATA!$A$5:$H$29,IF(E2095="HI",2,IF(E2095="LO",6,10))+IF(D2095=1,2,IF(D2095=7,1,(IF(WEEKDAY(B2095)=1,2,IF(WEEKDAY(B2095)=7,1,0))))))</f>
        <v>3</v>
      </c>
      <c r="G2095" s="369">
        <f>VLOOKUP(C2095,METADATA!$J$5:$Q$29,IF(E2095="HI",2,IF(E2095="LO",6,10))+IF(D2095=1,2,IF(D2095=7,1,(IF(WEEKDAY(B2095)=1,2,IF(WEEKDAY(B2095)=7,1,0))))))</f>
        <v>3</v>
      </c>
      <c r="H2095" s="370">
        <v>13275.739868164063</v>
      </c>
      <c r="I2095" s="370">
        <v>4052.1325378417969</v>
      </c>
      <c r="M2095" s="371">
        <f t="shared" si="129"/>
        <v>13880.383537618725</v>
      </c>
      <c r="N2095" s="329">
        <f t="shared" si="130"/>
        <v>69.410577392578489</v>
      </c>
      <c r="T2095" s="331">
        <v>0</v>
      </c>
      <c r="U2095" s="328">
        <f>VLOOKUP(C2095,METADATA!$J$5:$Q$29,IF(E2095="HI",2,IF(E2095="LO",6,10))+IF(T2095=1,2,IF(D2095=7,1,(IF(WEEKDAY(B2095)=1,2,IF(WEEKDAY(B2095)=7,1,0))))))</f>
        <v>3</v>
      </c>
      <c r="V2095" s="328">
        <f>VLOOKUP(C2095,METADATA!$A$5:$H$29,IF(E2095="HI",2,IF(E2095="LO",6,10))+IF(T2095=1,2,IF(D2095=7,1,(IF(WEEKDAY(B2095)=1,2,IF(WEEKDAY(B2095)=7,1,0))))))</f>
        <v>3</v>
      </c>
    </row>
    <row r="2096" spans="2:22">
      <c r="B2096" s="318">
        <f t="shared" si="131"/>
        <v>46200</v>
      </c>
      <c r="C2096" s="312">
        <v>4</v>
      </c>
      <c r="D2096" s="368">
        <f>IFERROR((INDEX(METADATA!$T$2:$T$20,MATCH(B2096,METADATA!$S$2:$S$20,0))),0)</f>
        <v>0</v>
      </c>
      <c r="E2096" s="312" t="str">
        <f t="shared" si="128"/>
        <v>LO</v>
      </c>
      <c r="F2096" s="369">
        <f>VLOOKUP(C2096,METADATA!$A$5:$H$29,IF(E2096="HI",2,IF(E2096="LO",6,10))+IF(D2096=1,2,IF(D2096=7,1,(IF(WEEKDAY(B2096)=1,2,IF(WEEKDAY(B2096)=7,1,0))))))</f>
        <v>3</v>
      </c>
      <c r="G2096" s="369">
        <f>VLOOKUP(C2096,METADATA!$J$5:$Q$29,IF(E2096="HI",2,IF(E2096="LO",6,10))+IF(D2096=1,2,IF(D2096=7,1,(IF(WEEKDAY(B2096)=1,2,IF(WEEKDAY(B2096)=7,1,0))))))</f>
        <v>3</v>
      </c>
      <c r="H2096" s="370">
        <v>13658.864929199219</v>
      </c>
      <c r="I2096" s="370">
        <v>4506.3860473632813</v>
      </c>
      <c r="M2096" s="371">
        <f t="shared" si="129"/>
        <v>14383.049272041684</v>
      </c>
      <c r="N2096" s="329">
        <f t="shared" si="130"/>
        <v>408.72656860351617</v>
      </c>
      <c r="T2096" s="331">
        <v>0</v>
      </c>
      <c r="U2096" s="328">
        <f>VLOOKUP(C2096,METADATA!$J$5:$Q$29,IF(E2096="HI",2,IF(E2096="LO",6,10))+IF(T2096=1,2,IF(D2096=7,1,(IF(WEEKDAY(B2096)=1,2,IF(WEEKDAY(B2096)=7,1,0))))))</f>
        <v>3</v>
      </c>
      <c r="V2096" s="328">
        <f>VLOOKUP(C2096,METADATA!$A$5:$H$29,IF(E2096="HI",2,IF(E2096="LO",6,10))+IF(T2096=1,2,IF(D2096=7,1,(IF(WEEKDAY(B2096)=1,2,IF(WEEKDAY(B2096)=7,1,0))))))</f>
        <v>3</v>
      </c>
    </row>
    <row r="2097" spans="2:22">
      <c r="B2097" s="318">
        <f t="shared" si="131"/>
        <v>46200</v>
      </c>
      <c r="C2097" s="312">
        <v>5</v>
      </c>
      <c r="D2097" s="368">
        <f>IFERROR((INDEX(METADATA!$T$2:$T$20,MATCH(B2097,METADATA!$S$2:$S$20,0))),0)</f>
        <v>0</v>
      </c>
      <c r="E2097" s="312" t="str">
        <f t="shared" si="128"/>
        <v>LO</v>
      </c>
      <c r="F2097" s="369">
        <f>VLOOKUP(C2097,METADATA!$A$5:$H$29,IF(E2097="HI",2,IF(E2097="LO",6,10))+IF(D2097=1,2,IF(D2097=7,1,(IF(WEEKDAY(B2097)=1,2,IF(WEEKDAY(B2097)=7,1,0))))))</f>
        <v>3</v>
      </c>
      <c r="G2097" s="369">
        <f>VLOOKUP(C2097,METADATA!$J$5:$Q$29,IF(E2097="HI",2,IF(E2097="LO",6,10))+IF(D2097=1,2,IF(D2097=7,1,(IF(WEEKDAY(B2097)=1,2,IF(WEEKDAY(B2097)=7,1,0))))))</f>
        <v>3</v>
      </c>
      <c r="H2097" s="370">
        <v>13750.55029296875</v>
      </c>
      <c r="I2097" s="370">
        <v>4529.8799743652344</v>
      </c>
      <c r="M2097" s="371">
        <f t="shared" si="129"/>
        <v>14477.48064898096</v>
      </c>
      <c r="N2097" s="329">
        <f t="shared" si="130"/>
        <v>404.71488647460956</v>
      </c>
      <c r="T2097" s="331">
        <v>0</v>
      </c>
      <c r="U2097" s="328">
        <f>VLOOKUP(C2097,METADATA!$J$5:$Q$29,IF(E2097="HI",2,IF(E2097="LO",6,10))+IF(T2097=1,2,IF(D2097=7,1,(IF(WEEKDAY(B2097)=1,2,IF(WEEKDAY(B2097)=7,1,0))))))</f>
        <v>3</v>
      </c>
      <c r="V2097" s="328">
        <f>VLOOKUP(C2097,METADATA!$A$5:$H$29,IF(E2097="HI",2,IF(E2097="LO",6,10))+IF(T2097=1,2,IF(D2097=7,1,(IF(WEEKDAY(B2097)=1,2,IF(WEEKDAY(B2097)=7,1,0))))))</f>
        <v>3</v>
      </c>
    </row>
    <row r="2098" spans="2:22">
      <c r="B2098" s="318">
        <f t="shared" si="131"/>
        <v>46200</v>
      </c>
      <c r="C2098" s="312">
        <v>6</v>
      </c>
      <c r="D2098" s="368">
        <f>IFERROR((INDEX(METADATA!$T$2:$T$20,MATCH(B2098,METADATA!$S$2:$S$20,0))),0)</f>
        <v>0</v>
      </c>
      <c r="E2098" s="312" t="str">
        <f t="shared" si="128"/>
        <v>LO</v>
      </c>
      <c r="F2098" s="369">
        <f>VLOOKUP(C2098,METADATA!$A$5:$H$29,IF(E2098="HI",2,IF(E2098="LO",6,10))+IF(D2098=1,2,IF(D2098=7,1,(IF(WEEKDAY(B2098)=1,2,IF(WEEKDAY(B2098)=7,1,0))))))</f>
        <v>3</v>
      </c>
      <c r="G2098" s="369">
        <f>VLOOKUP(C2098,METADATA!$J$5:$Q$29,IF(E2098="HI",2,IF(E2098="LO",6,10))+IF(D2098=1,2,IF(D2098=7,1,(IF(WEEKDAY(B2098)=1,2,IF(WEEKDAY(B2098)=7,1,0))))))</f>
        <v>3</v>
      </c>
      <c r="H2098" s="370">
        <v>13545.025207519531</v>
      </c>
      <c r="I2098" s="370">
        <v>4362.3700256347656</v>
      </c>
      <c r="M2098" s="371">
        <f t="shared" si="129"/>
        <v>14230.17849898223</v>
      </c>
      <c r="N2098" s="329">
        <f t="shared" si="130"/>
        <v>298.86246337890634</v>
      </c>
      <c r="T2098" s="331">
        <v>0</v>
      </c>
      <c r="U2098" s="328">
        <f>VLOOKUP(C2098,METADATA!$J$5:$Q$29,IF(E2098="HI",2,IF(E2098="LO",6,10))+IF(T2098=1,2,IF(D2098=7,1,(IF(WEEKDAY(B2098)=1,2,IF(WEEKDAY(B2098)=7,1,0))))))</f>
        <v>3</v>
      </c>
      <c r="V2098" s="328">
        <f>VLOOKUP(C2098,METADATA!$A$5:$H$29,IF(E2098="HI",2,IF(E2098="LO",6,10))+IF(T2098=1,2,IF(D2098=7,1,(IF(WEEKDAY(B2098)=1,2,IF(WEEKDAY(B2098)=7,1,0))))))</f>
        <v>3</v>
      </c>
    </row>
    <row r="2099" spans="2:22">
      <c r="B2099" s="318">
        <f t="shared" si="131"/>
        <v>46200</v>
      </c>
      <c r="C2099" s="312">
        <v>7</v>
      </c>
      <c r="D2099" s="368">
        <f>IFERROR((INDEX(METADATA!$T$2:$T$20,MATCH(B2099,METADATA!$S$2:$S$20,0))),0)</f>
        <v>0</v>
      </c>
      <c r="E2099" s="312" t="str">
        <f t="shared" si="128"/>
        <v>LO</v>
      </c>
      <c r="F2099" s="369">
        <f>VLOOKUP(C2099,METADATA!$A$5:$H$29,IF(E2099="HI",2,IF(E2099="LO",6,10))+IF(D2099=1,2,IF(D2099=7,1,(IF(WEEKDAY(B2099)=1,2,IF(WEEKDAY(B2099)=7,1,0))))))</f>
        <v>2</v>
      </c>
      <c r="G2099" s="369">
        <f>VLOOKUP(C2099,METADATA!$J$5:$Q$29,IF(E2099="HI",2,IF(E2099="LO",6,10))+IF(D2099=1,2,IF(D2099=7,1,(IF(WEEKDAY(B2099)=1,2,IF(WEEKDAY(B2099)=7,1,0))))))</f>
        <v>2</v>
      </c>
      <c r="H2099" s="370">
        <v>13419.599243164063</v>
      </c>
      <c r="I2099" s="370">
        <v>4353.4249877929688</v>
      </c>
      <c r="M2099" s="371">
        <f t="shared" si="129"/>
        <v>14108.081122940486</v>
      </c>
      <c r="N2099" s="329">
        <f t="shared" si="130"/>
        <v>327.54521484375027</v>
      </c>
      <c r="T2099" s="331">
        <v>0</v>
      </c>
      <c r="U2099" s="328">
        <f>VLOOKUP(C2099,METADATA!$J$5:$Q$29,IF(E2099="HI",2,IF(E2099="LO",6,10))+IF(T2099=1,2,IF(D2099=7,1,(IF(WEEKDAY(B2099)=1,2,IF(WEEKDAY(B2099)=7,1,0))))))</f>
        <v>2</v>
      </c>
      <c r="V2099" s="328">
        <f>VLOOKUP(C2099,METADATA!$A$5:$H$29,IF(E2099="HI",2,IF(E2099="LO",6,10))+IF(T2099=1,2,IF(D2099=7,1,(IF(WEEKDAY(B2099)=1,2,IF(WEEKDAY(B2099)=7,1,0))))))</f>
        <v>2</v>
      </c>
    </row>
    <row r="2100" spans="2:22">
      <c r="B2100" s="318">
        <f t="shared" si="131"/>
        <v>46200</v>
      </c>
      <c r="C2100" s="312">
        <v>8</v>
      </c>
      <c r="D2100" s="368">
        <f>IFERROR((INDEX(METADATA!$T$2:$T$20,MATCH(B2100,METADATA!$S$2:$S$20,0))),0)</f>
        <v>0</v>
      </c>
      <c r="E2100" s="312" t="str">
        <f t="shared" si="128"/>
        <v>LO</v>
      </c>
      <c r="F2100" s="369">
        <f>VLOOKUP(C2100,METADATA!$A$5:$H$29,IF(E2100="HI",2,IF(E2100="LO",6,10))+IF(D2100=1,2,IF(D2100=7,1,(IF(WEEKDAY(B2100)=1,2,IF(WEEKDAY(B2100)=7,1,0))))))</f>
        <v>2</v>
      </c>
      <c r="G2100" s="369">
        <f>VLOOKUP(C2100,METADATA!$J$5:$Q$29,IF(E2100="HI",2,IF(E2100="LO",6,10))+IF(D2100=1,2,IF(D2100=7,1,(IF(WEEKDAY(B2100)=1,2,IF(WEEKDAY(B2100)=7,1,0))))))</f>
        <v>2</v>
      </c>
      <c r="H2100" s="370">
        <v>13537.049987792969</v>
      </c>
      <c r="I2100" s="370">
        <v>4380.4850769042969</v>
      </c>
      <c r="M2100" s="371">
        <f t="shared" si="129"/>
        <v>14228.154197962112</v>
      </c>
      <c r="N2100" s="329">
        <f t="shared" si="130"/>
        <v>319.37008056640661</v>
      </c>
      <c r="T2100" s="331">
        <v>0</v>
      </c>
      <c r="U2100" s="328">
        <f>VLOOKUP(C2100,METADATA!$J$5:$Q$29,IF(E2100="HI",2,IF(E2100="LO",6,10))+IF(T2100=1,2,IF(D2100=7,1,(IF(WEEKDAY(B2100)=1,2,IF(WEEKDAY(B2100)=7,1,0))))))</f>
        <v>2</v>
      </c>
      <c r="V2100" s="328">
        <f>VLOOKUP(C2100,METADATA!$A$5:$H$29,IF(E2100="HI",2,IF(E2100="LO",6,10))+IF(T2100=1,2,IF(D2100=7,1,(IF(WEEKDAY(B2100)=1,2,IF(WEEKDAY(B2100)=7,1,0))))))</f>
        <v>2</v>
      </c>
    </row>
    <row r="2101" spans="2:22">
      <c r="B2101" s="318">
        <f t="shared" si="131"/>
        <v>46200</v>
      </c>
      <c r="C2101" s="312">
        <v>9</v>
      </c>
      <c r="D2101" s="368">
        <f>IFERROR((INDEX(METADATA!$T$2:$T$20,MATCH(B2101,METADATA!$S$2:$S$20,0))),0)</f>
        <v>0</v>
      </c>
      <c r="E2101" s="312" t="str">
        <f t="shared" si="128"/>
        <v>LO</v>
      </c>
      <c r="F2101" s="369">
        <f>VLOOKUP(C2101,METADATA!$A$5:$H$29,IF(E2101="HI",2,IF(E2101="LO",6,10))+IF(D2101=1,2,IF(D2101=7,1,(IF(WEEKDAY(B2101)=1,2,IF(WEEKDAY(B2101)=7,1,0))))))</f>
        <v>2</v>
      </c>
      <c r="G2101" s="369">
        <f>VLOOKUP(C2101,METADATA!$J$5:$Q$29,IF(E2101="HI",2,IF(E2101="LO",6,10))+IF(D2101=1,2,IF(D2101=7,1,(IF(WEEKDAY(B2101)=1,2,IF(WEEKDAY(B2101)=7,1,0))))))</f>
        <v>2</v>
      </c>
      <c r="H2101" s="370">
        <v>12635.775268554688</v>
      </c>
      <c r="I2101" s="370">
        <v>3942.5499877929688</v>
      </c>
      <c r="M2101" s="371">
        <f t="shared" si="129"/>
        <v>13236.559864393188</v>
      </c>
      <c r="N2101" s="329">
        <f t="shared" si="130"/>
        <v>151.81740722656286</v>
      </c>
      <c r="T2101" s="331">
        <v>0</v>
      </c>
      <c r="U2101" s="328">
        <f>VLOOKUP(C2101,METADATA!$J$5:$Q$29,IF(E2101="HI",2,IF(E2101="LO",6,10))+IF(T2101=1,2,IF(D2101=7,1,(IF(WEEKDAY(B2101)=1,2,IF(WEEKDAY(B2101)=7,1,0))))))</f>
        <v>2</v>
      </c>
      <c r="V2101" s="328">
        <f>VLOOKUP(C2101,METADATA!$A$5:$H$29,IF(E2101="HI",2,IF(E2101="LO",6,10))+IF(T2101=1,2,IF(D2101=7,1,(IF(WEEKDAY(B2101)=1,2,IF(WEEKDAY(B2101)=7,1,0))))))</f>
        <v>2</v>
      </c>
    </row>
    <row r="2102" spans="2:22">
      <c r="B2102" s="318">
        <f t="shared" si="131"/>
        <v>46200</v>
      </c>
      <c r="C2102" s="312">
        <v>10</v>
      </c>
      <c r="D2102" s="368">
        <f>IFERROR((INDEX(METADATA!$T$2:$T$20,MATCH(B2102,METADATA!$S$2:$S$20,0))),0)</f>
        <v>0</v>
      </c>
      <c r="E2102" s="312" t="str">
        <f t="shared" si="128"/>
        <v>LO</v>
      </c>
      <c r="F2102" s="369">
        <f>VLOOKUP(C2102,METADATA!$A$5:$H$29,IF(E2102="HI",2,IF(E2102="LO",6,10))+IF(D2102=1,2,IF(D2102=7,1,(IF(WEEKDAY(B2102)=1,2,IF(WEEKDAY(B2102)=7,1,0))))))</f>
        <v>2</v>
      </c>
      <c r="G2102" s="369">
        <f>VLOOKUP(C2102,METADATA!$J$5:$Q$29,IF(E2102="HI",2,IF(E2102="LO",6,10))+IF(D2102=1,2,IF(D2102=7,1,(IF(WEEKDAY(B2102)=1,2,IF(WEEKDAY(B2102)=7,1,0))))))</f>
        <v>2</v>
      </c>
      <c r="H2102" s="370">
        <v>6276.75</v>
      </c>
      <c r="I2102" s="370">
        <v>1458.1500163078308</v>
      </c>
      <c r="M2102" s="371">
        <f t="shared" si="129"/>
        <v>6443.8957186284861</v>
      </c>
      <c r="N2102" s="329">
        <f t="shared" si="130"/>
        <v>0</v>
      </c>
      <c r="T2102" s="331">
        <v>0</v>
      </c>
      <c r="U2102" s="328">
        <f>VLOOKUP(C2102,METADATA!$J$5:$Q$29,IF(E2102="HI",2,IF(E2102="LO",6,10))+IF(T2102=1,2,IF(D2102=7,1,(IF(WEEKDAY(B2102)=1,2,IF(WEEKDAY(B2102)=7,1,0))))))</f>
        <v>2</v>
      </c>
      <c r="V2102" s="328">
        <f>VLOOKUP(C2102,METADATA!$A$5:$H$29,IF(E2102="HI",2,IF(E2102="LO",6,10))+IF(T2102=1,2,IF(D2102=7,1,(IF(WEEKDAY(B2102)=1,2,IF(WEEKDAY(B2102)=7,1,0))))))</f>
        <v>2</v>
      </c>
    </row>
    <row r="2103" spans="2:22">
      <c r="B2103" s="318">
        <f t="shared" si="131"/>
        <v>46200</v>
      </c>
      <c r="C2103" s="312">
        <v>11</v>
      </c>
      <c r="D2103" s="368">
        <f>IFERROR((INDEX(METADATA!$T$2:$T$20,MATCH(B2103,METADATA!$S$2:$S$20,0))),0)</f>
        <v>0</v>
      </c>
      <c r="E2103" s="312" t="str">
        <f t="shared" si="128"/>
        <v>LO</v>
      </c>
      <c r="F2103" s="369">
        <f>VLOOKUP(C2103,METADATA!$A$5:$H$29,IF(E2103="HI",2,IF(E2103="LO",6,10))+IF(D2103=1,2,IF(D2103=7,1,(IF(WEEKDAY(B2103)=1,2,IF(WEEKDAY(B2103)=7,1,0))))))</f>
        <v>2</v>
      </c>
      <c r="G2103" s="369">
        <f>VLOOKUP(C2103,METADATA!$J$5:$Q$29,IF(E2103="HI",2,IF(E2103="LO",6,10))+IF(D2103=1,2,IF(D2103=7,1,(IF(WEEKDAY(B2103)=1,2,IF(WEEKDAY(B2103)=7,1,0))))))</f>
        <v>2</v>
      </c>
      <c r="H2103" s="370">
        <v>6037.1426391601563</v>
      </c>
      <c r="I2103" s="370">
        <v>1425.5250244140625</v>
      </c>
      <c r="M2103" s="371">
        <f t="shared" si="129"/>
        <v>6203.1615198055551</v>
      </c>
      <c r="N2103" s="329">
        <f t="shared" si="130"/>
        <v>0</v>
      </c>
      <c r="T2103" s="331">
        <v>0</v>
      </c>
      <c r="U2103" s="328">
        <f>VLOOKUP(C2103,METADATA!$J$5:$Q$29,IF(E2103="HI",2,IF(E2103="LO",6,10))+IF(T2103=1,2,IF(D2103=7,1,(IF(WEEKDAY(B2103)=1,2,IF(WEEKDAY(B2103)=7,1,0))))))</f>
        <v>2</v>
      </c>
      <c r="V2103" s="328">
        <f>VLOOKUP(C2103,METADATA!$A$5:$H$29,IF(E2103="HI",2,IF(E2103="LO",6,10))+IF(T2103=1,2,IF(D2103=7,1,(IF(WEEKDAY(B2103)=1,2,IF(WEEKDAY(B2103)=7,1,0))))))</f>
        <v>2</v>
      </c>
    </row>
    <row r="2104" spans="2:22">
      <c r="B2104" s="318">
        <f t="shared" si="131"/>
        <v>46200</v>
      </c>
      <c r="C2104" s="312">
        <v>12</v>
      </c>
      <c r="D2104" s="368">
        <f>IFERROR((INDEX(METADATA!$T$2:$T$20,MATCH(B2104,METADATA!$S$2:$S$20,0))),0)</f>
        <v>0</v>
      </c>
      <c r="E2104" s="312" t="str">
        <f t="shared" si="128"/>
        <v>LO</v>
      </c>
      <c r="F2104" s="369">
        <f>VLOOKUP(C2104,METADATA!$A$5:$H$29,IF(E2104="HI",2,IF(E2104="LO",6,10))+IF(D2104=1,2,IF(D2104=7,1,(IF(WEEKDAY(B2104)=1,2,IF(WEEKDAY(B2104)=7,1,0))))))</f>
        <v>3</v>
      </c>
      <c r="G2104" s="369">
        <f>VLOOKUP(C2104,METADATA!$J$5:$Q$29,IF(E2104="HI",2,IF(E2104="LO",6,10))+IF(D2104=1,2,IF(D2104=7,1,(IF(WEEKDAY(B2104)=1,2,IF(WEEKDAY(B2104)=7,1,0))))))</f>
        <v>3</v>
      </c>
      <c r="H2104" s="370">
        <v>6043.1174926757813</v>
      </c>
      <c r="I2104" s="370">
        <v>1425.6025085449219</v>
      </c>
      <c r="M2104" s="371">
        <f t="shared" si="129"/>
        <v>6208.994406717854</v>
      </c>
      <c r="N2104" s="329">
        <f t="shared" si="130"/>
        <v>0</v>
      </c>
      <c r="T2104" s="331">
        <v>0</v>
      </c>
      <c r="U2104" s="328">
        <f>VLOOKUP(C2104,METADATA!$J$5:$Q$29,IF(E2104="HI",2,IF(E2104="LO",6,10))+IF(T2104=1,2,IF(D2104=7,1,(IF(WEEKDAY(B2104)=1,2,IF(WEEKDAY(B2104)=7,1,0))))))</f>
        <v>3</v>
      </c>
      <c r="V2104" s="328">
        <f>VLOOKUP(C2104,METADATA!$A$5:$H$29,IF(E2104="HI",2,IF(E2104="LO",6,10))+IF(T2104=1,2,IF(D2104=7,1,(IF(WEEKDAY(B2104)=1,2,IF(WEEKDAY(B2104)=7,1,0))))))</f>
        <v>3</v>
      </c>
    </row>
    <row r="2105" spans="2:22">
      <c r="B2105" s="318">
        <f t="shared" si="131"/>
        <v>46200</v>
      </c>
      <c r="C2105" s="312">
        <v>13</v>
      </c>
      <c r="D2105" s="368">
        <f>IFERROR((INDEX(METADATA!$T$2:$T$20,MATCH(B2105,METADATA!$S$2:$S$20,0))),0)</f>
        <v>0</v>
      </c>
      <c r="E2105" s="312" t="str">
        <f t="shared" si="128"/>
        <v>LO</v>
      </c>
      <c r="F2105" s="369">
        <f>VLOOKUP(C2105,METADATA!$A$5:$H$29,IF(E2105="HI",2,IF(E2105="LO",6,10))+IF(D2105=1,2,IF(D2105=7,1,(IF(WEEKDAY(B2105)=1,2,IF(WEEKDAY(B2105)=7,1,0))))))</f>
        <v>3</v>
      </c>
      <c r="G2105" s="369">
        <f>VLOOKUP(C2105,METADATA!$J$5:$Q$29,IF(E2105="HI",2,IF(E2105="LO",6,10))+IF(D2105=1,2,IF(D2105=7,1,(IF(WEEKDAY(B2105)=1,2,IF(WEEKDAY(B2105)=7,1,0))))))</f>
        <v>3</v>
      </c>
      <c r="H2105" s="370">
        <v>5353.5250549316406</v>
      </c>
      <c r="I2105" s="370">
        <v>1395.2850036621094</v>
      </c>
      <c r="M2105" s="371">
        <f t="shared" si="129"/>
        <v>5532.3639391516172</v>
      </c>
      <c r="N2105" s="329">
        <f t="shared" si="130"/>
        <v>0</v>
      </c>
      <c r="T2105" s="331">
        <v>0</v>
      </c>
      <c r="U2105" s="328">
        <f>VLOOKUP(C2105,METADATA!$J$5:$Q$29,IF(E2105="HI",2,IF(E2105="LO",6,10))+IF(T2105=1,2,IF(D2105=7,1,(IF(WEEKDAY(B2105)=1,2,IF(WEEKDAY(B2105)=7,1,0))))))</f>
        <v>3</v>
      </c>
      <c r="V2105" s="328">
        <f>VLOOKUP(C2105,METADATA!$A$5:$H$29,IF(E2105="HI",2,IF(E2105="LO",6,10))+IF(T2105=1,2,IF(D2105=7,1,(IF(WEEKDAY(B2105)=1,2,IF(WEEKDAY(B2105)=7,1,0))))))</f>
        <v>3</v>
      </c>
    </row>
    <row r="2106" spans="2:22">
      <c r="B2106" s="318">
        <f t="shared" si="131"/>
        <v>46200</v>
      </c>
      <c r="C2106" s="312">
        <v>14</v>
      </c>
      <c r="D2106" s="368">
        <f>IFERROR((INDEX(METADATA!$T$2:$T$20,MATCH(B2106,METADATA!$S$2:$S$20,0))),0)</f>
        <v>0</v>
      </c>
      <c r="E2106" s="312" t="str">
        <f t="shared" si="128"/>
        <v>LO</v>
      </c>
      <c r="F2106" s="369">
        <f>VLOOKUP(C2106,METADATA!$A$5:$H$29,IF(E2106="HI",2,IF(E2106="LO",6,10))+IF(D2106=1,2,IF(D2106=7,1,(IF(WEEKDAY(B2106)=1,2,IF(WEEKDAY(B2106)=7,1,0))))))</f>
        <v>3</v>
      </c>
      <c r="G2106" s="369">
        <f>VLOOKUP(C2106,METADATA!$J$5:$Q$29,IF(E2106="HI",2,IF(E2106="LO",6,10))+IF(D2106=1,2,IF(D2106=7,1,(IF(WEEKDAY(B2106)=1,2,IF(WEEKDAY(B2106)=7,1,0))))))</f>
        <v>3</v>
      </c>
      <c r="H2106" s="370">
        <v>5840.1125183105469</v>
      </c>
      <c r="I2106" s="370">
        <v>1402.4924926757813</v>
      </c>
      <c r="M2106" s="371">
        <f t="shared" si="129"/>
        <v>6006.1551277451599</v>
      </c>
      <c r="N2106" s="329">
        <f t="shared" si="130"/>
        <v>0</v>
      </c>
      <c r="T2106" s="331">
        <v>0</v>
      </c>
      <c r="U2106" s="328">
        <f>VLOOKUP(C2106,METADATA!$J$5:$Q$29,IF(E2106="HI",2,IF(E2106="LO",6,10))+IF(T2106=1,2,IF(D2106=7,1,(IF(WEEKDAY(B2106)=1,2,IF(WEEKDAY(B2106)=7,1,0))))))</f>
        <v>3</v>
      </c>
      <c r="V2106" s="328">
        <f>VLOOKUP(C2106,METADATA!$A$5:$H$29,IF(E2106="HI",2,IF(E2106="LO",6,10))+IF(T2106=1,2,IF(D2106=7,1,(IF(WEEKDAY(B2106)=1,2,IF(WEEKDAY(B2106)=7,1,0))))))</f>
        <v>3</v>
      </c>
    </row>
    <row r="2107" spans="2:22">
      <c r="B2107" s="318">
        <f t="shared" si="131"/>
        <v>46200</v>
      </c>
      <c r="C2107" s="312">
        <v>15</v>
      </c>
      <c r="D2107" s="368">
        <f>IFERROR((INDEX(METADATA!$T$2:$T$20,MATCH(B2107,METADATA!$S$2:$S$20,0))),0)</f>
        <v>0</v>
      </c>
      <c r="E2107" s="312" t="str">
        <f t="shared" si="128"/>
        <v>LO</v>
      </c>
      <c r="F2107" s="369">
        <f>VLOOKUP(C2107,METADATA!$A$5:$H$29,IF(E2107="HI",2,IF(E2107="LO",6,10))+IF(D2107=1,2,IF(D2107=7,1,(IF(WEEKDAY(B2107)=1,2,IF(WEEKDAY(B2107)=7,1,0))))))</f>
        <v>3</v>
      </c>
      <c r="G2107" s="369">
        <f>VLOOKUP(C2107,METADATA!$J$5:$Q$29,IF(E2107="HI",2,IF(E2107="LO",6,10))+IF(D2107=1,2,IF(D2107=7,1,(IF(WEEKDAY(B2107)=1,2,IF(WEEKDAY(B2107)=7,1,0))))))</f>
        <v>3</v>
      </c>
      <c r="H2107" s="370">
        <v>5918.1649780273438</v>
      </c>
      <c r="I2107" s="370">
        <v>1385.8549499511719</v>
      </c>
      <c r="M2107" s="371">
        <f t="shared" si="129"/>
        <v>6078.2621405672817</v>
      </c>
      <c r="N2107" s="329">
        <f t="shared" si="130"/>
        <v>0</v>
      </c>
      <c r="T2107" s="331">
        <v>0</v>
      </c>
      <c r="U2107" s="328">
        <f>VLOOKUP(C2107,METADATA!$J$5:$Q$29,IF(E2107="HI",2,IF(E2107="LO",6,10))+IF(T2107=1,2,IF(D2107=7,1,(IF(WEEKDAY(B2107)=1,2,IF(WEEKDAY(B2107)=7,1,0))))))</f>
        <v>3</v>
      </c>
      <c r="V2107" s="328">
        <f>VLOOKUP(C2107,METADATA!$A$5:$H$29,IF(E2107="HI",2,IF(E2107="LO",6,10))+IF(T2107=1,2,IF(D2107=7,1,(IF(WEEKDAY(B2107)=1,2,IF(WEEKDAY(B2107)=7,1,0))))))</f>
        <v>3</v>
      </c>
    </row>
    <row r="2108" spans="2:22">
      <c r="B2108" s="318">
        <f t="shared" si="131"/>
        <v>46200</v>
      </c>
      <c r="C2108" s="312">
        <v>16</v>
      </c>
      <c r="D2108" s="368">
        <f>IFERROR((INDEX(METADATA!$T$2:$T$20,MATCH(B2108,METADATA!$S$2:$S$20,0))),0)</f>
        <v>0</v>
      </c>
      <c r="E2108" s="312" t="str">
        <f t="shared" si="128"/>
        <v>LO</v>
      </c>
      <c r="F2108" s="369">
        <f>VLOOKUP(C2108,METADATA!$A$5:$H$29,IF(E2108="HI",2,IF(E2108="LO",6,10))+IF(D2108=1,2,IF(D2108=7,1,(IF(WEEKDAY(B2108)=1,2,IF(WEEKDAY(B2108)=7,1,0))))))</f>
        <v>3</v>
      </c>
      <c r="G2108" s="369">
        <f>VLOOKUP(C2108,METADATA!$J$5:$Q$29,IF(E2108="HI",2,IF(E2108="LO",6,10))+IF(D2108=1,2,IF(D2108=7,1,(IF(WEEKDAY(B2108)=1,2,IF(WEEKDAY(B2108)=7,1,0))))))</f>
        <v>3</v>
      </c>
      <c r="H2108" s="370">
        <v>5825.4400634765625</v>
      </c>
      <c r="I2108" s="370">
        <v>1347.5499572753906</v>
      </c>
      <c r="M2108" s="371">
        <f t="shared" si="129"/>
        <v>5979.2677495250809</v>
      </c>
      <c r="N2108" s="329">
        <f t="shared" si="130"/>
        <v>0</v>
      </c>
      <c r="T2108" s="331">
        <v>0</v>
      </c>
      <c r="U2108" s="328">
        <f>VLOOKUP(C2108,METADATA!$J$5:$Q$29,IF(E2108="HI",2,IF(E2108="LO",6,10))+IF(T2108=1,2,IF(D2108=7,1,(IF(WEEKDAY(B2108)=1,2,IF(WEEKDAY(B2108)=7,1,0))))))</f>
        <v>3</v>
      </c>
      <c r="V2108" s="328">
        <f>VLOOKUP(C2108,METADATA!$A$5:$H$29,IF(E2108="HI",2,IF(E2108="LO",6,10))+IF(T2108=1,2,IF(D2108=7,1,(IF(WEEKDAY(B2108)=1,2,IF(WEEKDAY(B2108)=7,1,0))))))</f>
        <v>3</v>
      </c>
    </row>
    <row r="2109" spans="2:22">
      <c r="B2109" s="318">
        <f t="shared" si="131"/>
        <v>46200</v>
      </c>
      <c r="C2109" s="312">
        <v>17</v>
      </c>
      <c r="D2109" s="368">
        <f>IFERROR((INDEX(METADATA!$T$2:$T$20,MATCH(B2109,METADATA!$S$2:$S$20,0))),0)</f>
        <v>0</v>
      </c>
      <c r="E2109" s="312" t="str">
        <f t="shared" si="128"/>
        <v>LO</v>
      </c>
      <c r="F2109" s="369">
        <f>VLOOKUP(C2109,METADATA!$A$5:$H$29,IF(E2109="HI",2,IF(E2109="LO",6,10))+IF(D2109=1,2,IF(D2109=7,1,(IF(WEEKDAY(B2109)=1,2,IF(WEEKDAY(B2109)=7,1,0))))))</f>
        <v>3</v>
      </c>
      <c r="G2109" s="369">
        <f>VLOOKUP(C2109,METADATA!$J$5:$Q$29,IF(E2109="HI",2,IF(E2109="LO",6,10))+IF(D2109=1,2,IF(D2109=7,1,(IF(WEEKDAY(B2109)=1,2,IF(WEEKDAY(B2109)=7,1,0))))))</f>
        <v>3</v>
      </c>
      <c r="H2109" s="370">
        <v>5653.2299499511719</v>
      </c>
      <c r="I2109" s="370">
        <v>1286.1374816894531</v>
      </c>
      <c r="M2109" s="371">
        <f t="shared" si="129"/>
        <v>5797.6856148666266</v>
      </c>
      <c r="N2109" s="329">
        <f t="shared" si="130"/>
        <v>0</v>
      </c>
      <c r="T2109" s="331">
        <v>0</v>
      </c>
      <c r="U2109" s="328">
        <f>VLOOKUP(C2109,METADATA!$J$5:$Q$29,IF(E2109="HI",2,IF(E2109="LO",6,10))+IF(T2109=1,2,IF(D2109=7,1,(IF(WEEKDAY(B2109)=1,2,IF(WEEKDAY(B2109)=7,1,0))))))</f>
        <v>3</v>
      </c>
      <c r="V2109" s="328">
        <f>VLOOKUP(C2109,METADATA!$A$5:$H$29,IF(E2109="HI",2,IF(E2109="LO",6,10))+IF(T2109=1,2,IF(D2109=7,1,(IF(WEEKDAY(B2109)=1,2,IF(WEEKDAY(B2109)=7,1,0))))))</f>
        <v>3</v>
      </c>
    </row>
    <row r="2110" spans="2:22">
      <c r="B2110" s="318">
        <f t="shared" si="131"/>
        <v>46200</v>
      </c>
      <c r="C2110" s="312">
        <v>18</v>
      </c>
      <c r="D2110" s="368">
        <f>IFERROR((INDEX(METADATA!$T$2:$T$20,MATCH(B2110,METADATA!$S$2:$S$20,0))),0)</f>
        <v>0</v>
      </c>
      <c r="E2110" s="312" t="str">
        <f t="shared" si="128"/>
        <v>LO</v>
      </c>
      <c r="F2110" s="369">
        <f>VLOOKUP(C2110,METADATA!$A$5:$H$29,IF(E2110="HI",2,IF(E2110="LO",6,10))+IF(D2110=1,2,IF(D2110=7,1,(IF(WEEKDAY(B2110)=1,2,IF(WEEKDAY(B2110)=7,1,0))))))</f>
        <v>2</v>
      </c>
      <c r="G2110" s="369">
        <f>VLOOKUP(C2110,METADATA!$J$5:$Q$29,IF(E2110="HI",2,IF(E2110="LO",6,10))+IF(D2110=1,2,IF(D2110=7,1,(IF(WEEKDAY(B2110)=1,2,IF(WEEKDAY(B2110)=7,1,0))))))</f>
        <v>2</v>
      </c>
      <c r="H2110" s="370">
        <v>5754.5700378417969</v>
      </c>
      <c r="I2110" s="370">
        <v>1269.2875061035156</v>
      </c>
      <c r="M2110" s="371">
        <f t="shared" si="129"/>
        <v>5892.8912338152841</v>
      </c>
      <c r="N2110" s="329">
        <f t="shared" si="130"/>
        <v>0</v>
      </c>
      <c r="T2110" s="331">
        <v>0</v>
      </c>
      <c r="U2110" s="328">
        <f>VLOOKUP(C2110,METADATA!$J$5:$Q$29,IF(E2110="HI",2,IF(E2110="LO",6,10))+IF(T2110=1,2,IF(D2110=7,1,(IF(WEEKDAY(B2110)=1,2,IF(WEEKDAY(B2110)=7,1,0))))))</f>
        <v>2</v>
      </c>
      <c r="V2110" s="328">
        <f>VLOOKUP(C2110,METADATA!$A$5:$H$29,IF(E2110="HI",2,IF(E2110="LO",6,10))+IF(T2110=1,2,IF(D2110=7,1,(IF(WEEKDAY(B2110)=1,2,IF(WEEKDAY(B2110)=7,1,0))))))</f>
        <v>2</v>
      </c>
    </row>
    <row r="2111" spans="2:22">
      <c r="B2111" s="318">
        <f t="shared" si="131"/>
        <v>46200</v>
      </c>
      <c r="C2111" s="312">
        <v>19</v>
      </c>
      <c r="D2111" s="368">
        <f>IFERROR((INDEX(METADATA!$T$2:$T$20,MATCH(B2111,METADATA!$S$2:$S$20,0))),0)</f>
        <v>0</v>
      </c>
      <c r="E2111" s="312" t="str">
        <f t="shared" si="128"/>
        <v>LO</v>
      </c>
      <c r="F2111" s="369">
        <f>VLOOKUP(C2111,METADATA!$A$5:$H$29,IF(E2111="HI",2,IF(E2111="LO",6,10))+IF(D2111=1,2,IF(D2111=7,1,(IF(WEEKDAY(B2111)=1,2,IF(WEEKDAY(B2111)=7,1,0))))))</f>
        <v>2</v>
      </c>
      <c r="G2111" s="369">
        <f>VLOOKUP(C2111,METADATA!$J$5:$Q$29,IF(E2111="HI",2,IF(E2111="LO",6,10))+IF(D2111=1,2,IF(D2111=7,1,(IF(WEEKDAY(B2111)=1,2,IF(WEEKDAY(B2111)=7,1,0))))))</f>
        <v>2</v>
      </c>
      <c r="H2111" s="370">
        <v>7839.8550720214844</v>
      </c>
      <c r="I2111" s="370">
        <v>1686.8124694824219</v>
      </c>
      <c r="M2111" s="371">
        <f t="shared" si="129"/>
        <v>8019.2682869138616</v>
      </c>
      <c r="N2111" s="329">
        <f t="shared" si="130"/>
        <v>0</v>
      </c>
      <c r="T2111" s="331">
        <v>0</v>
      </c>
      <c r="U2111" s="328">
        <f>VLOOKUP(C2111,METADATA!$J$5:$Q$29,IF(E2111="HI",2,IF(E2111="LO",6,10))+IF(T2111=1,2,IF(D2111=7,1,(IF(WEEKDAY(B2111)=1,2,IF(WEEKDAY(B2111)=7,1,0))))))</f>
        <v>2</v>
      </c>
      <c r="V2111" s="328">
        <f>VLOOKUP(C2111,METADATA!$A$5:$H$29,IF(E2111="HI",2,IF(E2111="LO",6,10))+IF(T2111=1,2,IF(D2111=7,1,(IF(WEEKDAY(B2111)=1,2,IF(WEEKDAY(B2111)=7,1,0))))))</f>
        <v>2</v>
      </c>
    </row>
    <row r="2112" spans="2:22">
      <c r="B2112" s="318">
        <f t="shared" si="131"/>
        <v>46200</v>
      </c>
      <c r="C2112" s="312">
        <v>20</v>
      </c>
      <c r="D2112" s="368">
        <f>IFERROR((INDEX(METADATA!$T$2:$T$20,MATCH(B2112,METADATA!$S$2:$S$20,0))),0)</f>
        <v>0</v>
      </c>
      <c r="E2112" s="312" t="str">
        <f t="shared" si="128"/>
        <v>LO</v>
      </c>
      <c r="F2112" s="369">
        <f>VLOOKUP(C2112,METADATA!$A$5:$H$29,IF(E2112="HI",2,IF(E2112="LO",6,10))+IF(D2112=1,2,IF(D2112=7,1,(IF(WEEKDAY(B2112)=1,2,IF(WEEKDAY(B2112)=7,1,0))))))</f>
        <v>3</v>
      </c>
      <c r="G2112" s="369">
        <f>VLOOKUP(C2112,METADATA!$J$5:$Q$29,IF(E2112="HI",2,IF(E2112="LO",6,10))+IF(D2112=1,2,IF(D2112=7,1,(IF(WEEKDAY(B2112)=1,2,IF(WEEKDAY(B2112)=7,1,0))))))</f>
        <v>3</v>
      </c>
      <c r="H2112" s="370">
        <v>11721.484924316406</v>
      </c>
      <c r="I2112" s="370">
        <v>2979.4574279785156</v>
      </c>
      <c r="M2112" s="371">
        <f t="shared" si="129"/>
        <v>12094.229012058318</v>
      </c>
      <c r="N2112" s="329">
        <f t="shared" si="130"/>
        <v>0</v>
      </c>
      <c r="T2112" s="331">
        <v>0</v>
      </c>
      <c r="U2112" s="328">
        <f>VLOOKUP(C2112,METADATA!$J$5:$Q$29,IF(E2112="HI",2,IF(E2112="LO",6,10))+IF(T2112=1,2,IF(D2112=7,1,(IF(WEEKDAY(B2112)=1,2,IF(WEEKDAY(B2112)=7,1,0))))))</f>
        <v>3</v>
      </c>
      <c r="V2112" s="328">
        <f>VLOOKUP(C2112,METADATA!$A$5:$H$29,IF(E2112="HI",2,IF(E2112="LO",6,10))+IF(T2112=1,2,IF(D2112=7,1,(IF(WEEKDAY(B2112)=1,2,IF(WEEKDAY(B2112)=7,1,0))))))</f>
        <v>3</v>
      </c>
    </row>
    <row r="2113" spans="2:22">
      <c r="B2113" s="318">
        <f t="shared" si="131"/>
        <v>46200</v>
      </c>
      <c r="C2113" s="312">
        <v>21</v>
      </c>
      <c r="D2113" s="368">
        <f>IFERROR((INDEX(METADATA!$T$2:$T$20,MATCH(B2113,METADATA!$S$2:$S$20,0))),0)</f>
        <v>0</v>
      </c>
      <c r="E2113" s="312" t="str">
        <f t="shared" si="128"/>
        <v>LO</v>
      </c>
      <c r="F2113" s="369">
        <f>VLOOKUP(C2113,METADATA!$A$5:$H$29,IF(E2113="HI",2,IF(E2113="LO",6,10))+IF(D2113=1,2,IF(D2113=7,1,(IF(WEEKDAY(B2113)=1,2,IF(WEEKDAY(B2113)=7,1,0))))))</f>
        <v>3</v>
      </c>
      <c r="G2113" s="369">
        <f>VLOOKUP(C2113,METADATA!$J$5:$Q$29,IF(E2113="HI",2,IF(E2113="LO",6,10))+IF(D2113=1,2,IF(D2113=7,1,(IF(WEEKDAY(B2113)=1,2,IF(WEEKDAY(B2113)=7,1,0))))))</f>
        <v>3</v>
      </c>
      <c r="H2113" s="370">
        <v>11796.062652587891</v>
      </c>
      <c r="I2113" s="370">
        <v>3139.5349731445313</v>
      </c>
      <c r="M2113" s="371">
        <f t="shared" si="129"/>
        <v>12206.710201826556</v>
      </c>
      <c r="N2113" s="329">
        <f t="shared" si="130"/>
        <v>0</v>
      </c>
      <c r="T2113" s="331">
        <v>0</v>
      </c>
      <c r="U2113" s="328">
        <f>VLOOKUP(C2113,METADATA!$J$5:$Q$29,IF(E2113="HI",2,IF(E2113="LO",6,10))+IF(T2113=1,2,IF(D2113=7,1,(IF(WEEKDAY(B2113)=1,2,IF(WEEKDAY(B2113)=7,1,0))))))</f>
        <v>3</v>
      </c>
      <c r="V2113" s="328">
        <f>VLOOKUP(C2113,METADATA!$A$5:$H$29,IF(E2113="HI",2,IF(E2113="LO",6,10))+IF(T2113=1,2,IF(D2113=7,1,(IF(WEEKDAY(B2113)=1,2,IF(WEEKDAY(B2113)=7,1,0))))))</f>
        <v>3</v>
      </c>
    </row>
    <row r="2114" spans="2:22">
      <c r="B2114" s="318">
        <f t="shared" si="131"/>
        <v>46200</v>
      </c>
      <c r="C2114" s="312">
        <v>22</v>
      </c>
      <c r="D2114" s="368">
        <f>IFERROR((INDEX(METADATA!$T$2:$T$20,MATCH(B2114,METADATA!$S$2:$S$20,0))),0)</f>
        <v>0</v>
      </c>
      <c r="E2114" s="312" t="str">
        <f t="shared" si="128"/>
        <v>LO</v>
      </c>
      <c r="F2114" s="369">
        <f>VLOOKUP(C2114,METADATA!$A$5:$H$29,IF(E2114="HI",2,IF(E2114="LO",6,10))+IF(D2114=1,2,IF(D2114=7,1,(IF(WEEKDAY(B2114)=1,2,IF(WEEKDAY(B2114)=7,1,0))))))</f>
        <v>3</v>
      </c>
      <c r="G2114" s="369">
        <f>VLOOKUP(C2114,METADATA!$J$5:$Q$29,IF(E2114="HI",2,IF(E2114="LO",6,10))+IF(D2114=1,2,IF(D2114=7,1,(IF(WEEKDAY(B2114)=1,2,IF(WEEKDAY(B2114)=7,1,0))))))</f>
        <v>3</v>
      </c>
      <c r="H2114" s="370">
        <v>12092.725219726563</v>
      </c>
      <c r="I2114" s="370">
        <v>3420.9125671386719</v>
      </c>
      <c r="M2114" s="371">
        <f t="shared" si="129"/>
        <v>12567.284751759949</v>
      </c>
      <c r="N2114" s="329">
        <f t="shared" si="130"/>
        <v>0</v>
      </c>
      <c r="T2114" s="331">
        <v>0</v>
      </c>
      <c r="U2114" s="328">
        <f>VLOOKUP(C2114,METADATA!$J$5:$Q$29,IF(E2114="HI",2,IF(E2114="LO",6,10))+IF(T2114=1,2,IF(D2114=7,1,(IF(WEEKDAY(B2114)=1,2,IF(WEEKDAY(B2114)=7,1,0))))))</f>
        <v>3</v>
      </c>
      <c r="V2114" s="328">
        <f>VLOOKUP(C2114,METADATA!$A$5:$H$29,IF(E2114="HI",2,IF(E2114="LO",6,10))+IF(T2114=1,2,IF(D2114=7,1,(IF(WEEKDAY(B2114)=1,2,IF(WEEKDAY(B2114)=7,1,0))))))</f>
        <v>3</v>
      </c>
    </row>
    <row r="2115" spans="2:22">
      <c r="B2115" s="318">
        <f t="shared" si="131"/>
        <v>46200</v>
      </c>
      <c r="C2115" s="312">
        <v>23</v>
      </c>
      <c r="D2115" s="368">
        <f>IFERROR((INDEX(METADATA!$T$2:$T$20,MATCH(B2115,METADATA!$S$2:$S$20,0))),0)</f>
        <v>0</v>
      </c>
      <c r="E2115" s="312" t="str">
        <f t="shared" si="128"/>
        <v>LO</v>
      </c>
      <c r="F2115" s="369">
        <f>VLOOKUP(C2115,METADATA!$A$5:$H$29,IF(E2115="HI",2,IF(E2115="LO",6,10))+IF(D2115=1,2,IF(D2115=7,1,(IF(WEEKDAY(B2115)=1,2,IF(WEEKDAY(B2115)=7,1,0))))))</f>
        <v>3</v>
      </c>
      <c r="G2115" s="369">
        <f>VLOOKUP(C2115,METADATA!$J$5:$Q$29,IF(E2115="HI",2,IF(E2115="LO",6,10))+IF(D2115=1,2,IF(D2115=7,1,(IF(WEEKDAY(B2115)=1,2,IF(WEEKDAY(B2115)=7,1,0))))))</f>
        <v>3</v>
      </c>
      <c r="H2115" s="370">
        <v>13960.249572753906</v>
      </c>
      <c r="I2115" s="370">
        <v>4292.6100158691406</v>
      </c>
      <c r="M2115" s="371">
        <f t="shared" si="129"/>
        <v>14605.309612668801</v>
      </c>
      <c r="N2115" s="329">
        <f t="shared" si="130"/>
        <v>104.53514404296857</v>
      </c>
      <c r="T2115" s="331">
        <v>0</v>
      </c>
      <c r="U2115" s="328">
        <f>VLOOKUP(C2115,METADATA!$J$5:$Q$29,IF(E2115="HI",2,IF(E2115="LO",6,10))+IF(T2115=1,2,IF(D2115=7,1,(IF(WEEKDAY(B2115)=1,2,IF(WEEKDAY(B2115)=7,1,0))))))</f>
        <v>3</v>
      </c>
      <c r="V2115" s="328">
        <f>VLOOKUP(C2115,METADATA!$A$5:$H$29,IF(E2115="HI",2,IF(E2115="LO",6,10))+IF(T2115=1,2,IF(D2115=7,1,(IF(WEEKDAY(B2115)=1,2,IF(WEEKDAY(B2115)=7,1,0))))))</f>
        <v>3</v>
      </c>
    </row>
    <row r="2116" spans="2:22">
      <c r="B2116" s="318">
        <f t="shared" si="131"/>
        <v>46201</v>
      </c>
      <c r="C2116" s="312">
        <v>0</v>
      </c>
      <c r="D2116" s="368">
        <f>IFERROR((INDEX(METADATA!$T$2:$T$20,MATCH(B2116,METADATA!$S$2:$S$20,0))),0)</f>
        <v>0</v>
      </c>
      <c r="E2116" s="312" t="str">
        <f t="shared" ref="E2116:E2179" si="132">IF(B2116="","",IF(AND(MONTH(B2116)&gt;=MONTH($Z$9),MONTH(B2116)&lt;=MONTH($Z$11)),"HI","LO"))</f>
        <v>LO</v>
      </c>
      <c r="F2116" s="369">
        <f>VLOOKUP(C2116,METADATA!$A$5:$H$29,IF(E2116="HI",2,IF(E2116="LO",6,10))+IF(D2116=1,2,IF(D2116=7,1,(IF(WEEKDAY(B2116)=1,2,IF(WEEKDAY(B2116)=7,1,0))))))</f>
        <v>3</v>
      </c>
      <c r="G2116" s="369">
        <f>VLOOKUP(C2116,METADATA!$J$5:$Q$29,IF(E2116="HI",2,IF(E2116="LO",6,10))+IF(D2116=1,2,IF(D2116=7,1,(IF(WEEKDAY(B2116)=1,2,IF(WEEKDAY(B2116)=7,1,0))))))</f>
        <v>3</v>
      </c>
      <c r="H2116" s="370">
        <v>13868.974914550781</v>
      </c>
      <c r="I2116" s="370">
        <v>4417.8350830078125</v>
      </c>
      <c r="M2116" s="371">
        <f t="shared" ref="M2116:M2179" si="133">SQRT(H2116^2+I2116^2)</f>
        <v>14555.608266269517</v>
      </c>
      <c r="N2116" s="329">
        <f t="shared" ref="N2116:N2179" si="134">IF(H2116=0,0,(IF(I2116-(0.3*H2116)&lt;0,0,(I2116-(0.3*H2116)))))</f>
        <v>257.14260864257813</v>
      </c>
      <c r="T2116" s="331">
        <v>0</v>
      </c>
      <c r="U2116" s="328">
        <f>VLOOKUP(C2116,METADATA!$J$5:$Q$29,IF(E2116="HI",2,IF(E2116="LO",6,10))+IF(T2116=1,2,IF(D2116=7,1,(IF(WEEKDAY(B2116)=1,2,IF(WEEKDAY(B2116)=7,1,0))))))</f>
        <v>3</v>
      </c>
      <c r="V2116" s="328">
        <f>VLOOKUP(C2116,METADATA!$A$5:$H$29,IF(E2116="HI",2,IF(E2116="LO",6,10))+IF(T2116=1,2,IF(D2116=7,1,(IF(WEEKDAY(B2116)=1,2,IF(WEEKDAY(B2116)=7,1,0))))))</f>
        <v>3</v>
      </c>
    </row>
    <row r="2117" spans="2:22">
      <c r="B2117" s="318">
        <f t="shared" si="131"/>
        <v>46201</v>
      </c>
      <c r="C2117" s="312">
        <v>1</v>
      </c>
      <c r="D2117" s="368">
        <f>IFERROR((INDEX(METADATA!$T$2:$T$20,MATCH(B2117,METADATA!$S$2:$S$20,0))),0)</f>
        <v>0</v>
      </c>
      <c r="E2117" s="312" t="str">
        <f t="shared" si="132"/>
        <v>LO</v>
      </c>
      <c r="F2117" s="369">
        <f>VLOOKUP(C2117,METADATA!$A$5:$H$29,IF(E2117="HI",2,IF(E2117="LO",6,10))+IF(D2117=1,2,IF(D2117=7,1,(IF(WEEKDAY(B2117)=1,2,IF(WEEKDAY(B2117)=7,1,0))))))</f>
        <v>3</v>
      </c>
      <c r="G2117" s="369">
        <f>VLOOKUP(C2117,METADATA!$J$5:$Q$29,IF(E2117="HI",2,IF(E2117="LO",6,10))+IF(D2117=1,2,IF(D2117=7,1,(IF(WEEKDAY(B2117)=1,2,IF(WEEKDAY(B2117)=7,1,0))))))</f>
        <v>3</v>
      </c>
      <c r="H2117" s="370">
        <v>14022.900451660156</v>
      </c>
      <c r="I2117" s="370">
        <v>4477.6299743652344</v>
      </c>
      <c r="M2117" s="371">
        <f t="shared" si="133"/>
        <v>14720.424833017036</v>
      </c>
      <c r="N2117" s="329">
        <f t="shared" si="134"/>
        <v>270.75983886718768</v>
      </c>
      <c r="T2117" s="331">
        <v>0</v>
      </c>
      <c r="U2117" s="328">
        <f>VLOOKUP(C2117,METADATA!$J$5:$Q$29,IF(E2117="HI",2,IF(E2117="LO",6,10))+IF(T2117=1,2,IF(D2117=7,1,(IF(WEEKDAY(B2117)=1,2,IF(WEEKDAY(B2117)=7,1,0))))))</f>
        <v>3</v>
      </c>
      <c r="V2117" s="328">
        <f>VLOOKUP(C2117,METADATA!$A$5:$H$29,IF(E2117="HI",2,IF(E2117="LO",6,10))+IF(T2117=1,2,IF(D2117=7,1,(IF(WEEKDAY(B2117)=1,2,IF(WEEKDAY(B2117)=7,1,0))))))</f>
        <v>3</v>
      </c>
    </row>
    <row r="2118" spans="2:22">
      <c r="B2118" s="318">
        <f t="shared" si="131"/>
        <v>46201</v>
      </c>
      <c r="C2118" s="312">
        <v>2</v>
      </c>
      <c r="D2118" s="368">
        <f>IFERROR((INDEX(METADATA!$T$2:$T$20,MATCH(B2118,METADATA!$S$2:$S$20,0))),0)</f>
        <v>0</v>
      </c>
      <c r="E2118" s="312" t="str">
        <f t="shared" si="132"/>
        <v>LO</v>
      </c>
      <c r="F2118" s="369">
        <f>VLOOKUP(C2118,METADATA!$A$5:$H$29,IF(E2118="HI",2,IF(E2118="LO",6,10))+IF(D2118=1,2,IF(D2118=7,1,(IF(WEEKDAY(B2118)=1,2,IF(WEEKDAY(B2118)=7,1,0))))))</f>
        <v>3</v>
      </c>
      <c r="G2118" s="369">
        <f>VLOOKUP(C2118,METADATA!$J$5:$Q$29,IF(E2118="HI",2,IF(E2118="LO",6,10))+IF(D2118=1,2,IF(D2118=7,1,(IF(WEEKDAY(B2118)=1,2,IF(WEEKDAY(B2118)=7,1,0))))))</f>
        <v>3</v>
      </c>
      <c r="H2118" s="370">
        <v>14006.749816894531</v>
      </c>
      <c r="I2118" s="370">
        <v>4523.3399658203125</v>
      </c>
      <c r="M2118" s="371">
        <f t="shared" si="133"/>
        <v>14719.023231161173</v>
      </c>
      <c r="N2118" s="329">
        <f t="shared" si="134"/>
        <v>321.31502075195294</v>
      </c>
      <c r="T2118" s="331">
        <v>0</v>
      </c>
      <c r="U2118" s="328">
        <f>VLOOKUP(C2118,METADATA!$J$5:$Q$29,IF(E2118="HI",2,IF(E2118="LO",6,10))+IF(T2118=1,2,IF(D2118=7,1,(IF(WEEKDAY(B2118)=1,2,IF(WEEKDAY(B2118)=7,1,0))))))</f>
        <v>3</v>
      </c>
      <c r="V2118" s="328">
        <f>VLOOKUP(C2118,METADATA!$A$5:$H$29,IF(E2118="HI",2,IF(E2118="LO",6,10))+IF(T2118=1,2,IF(D2118=7,1,(IF(WEEKDAY(B2118)=1,2,IF(WEEKDAY(B2118)=7,1,0))))))</f>
        <v>3</v>
      </c>
    </row>
    <row r="2119" spans="2:22">
      <c r="B2119" s="318">
        <f t="shared" si="131"/>
        <v>46201</v>
      </c>
      <c r="C2119" s="312">
        <v>3</v>
      </c>
      <c r="D2119" s="368">
        <f>IFERROR((INDEX(METADATA!$T$2:$T$20,MATCH(B2119,METADATA!$S$2:$S$20,0))),0)</f>
        <v>0</v>
      </c>
      <c r="E2119" s="312" t="str">
        <f t="shared" si="132"/>
        <v>LO</v>
      </c>
      <c r="F2119" s="369">
        <f>VLOOKUP(C2119,METADATA!$A$5:$H$29,IF(E2119="HI",2,IF(E2119="LO",6,10))+IF(D2119=1,2,IF(D2119=7,1,(IF(WEEKDAY(B2119)=1,2,IF(WEEKDAY(B2119)=7,1,0))))))</f>
        <v>3</v>
      </c>
      <c r="G2119" s="369">
        <f>VLOOKUP(C2119,METADATA!$J$5:$Q$29,IF(E2119="HI",2,IF(E2119="LO",6,10))+IF(D2119=1,2,IF(D2119=7,1,(IF(WEEKDAY(B2119)=1,2,IF(WEEKDAY(B2119)=7,1,0))))))</f>
        <v>3</v>
      </c>
      <c r="H2119" s="370">
        <v>13752.142639160156</v>
      </c>
      <c r="I2119" s="370">
        <v>4483.875</v>
      </c>
      <c r="M2119" s="371">
        <f t="shared" si="133"/>
        <v>14464.665989349076</v>
      </c>
      <c r="N2119" s="329">
        <f t="shared" si="134"/>
        <v>358.23220825195313</v>
      </c>
      <c r="T2119" s="331">
        <v>0</v>
      </c>
      <c r="U2119" s="328">
        <f>VLOOKUP(C2119,METADATA!$J$5:$Q$29,IF(E2119="HI",2,IF(E2119="LO",6,10))+IF(T2119=1,2,IF(D2119=7,1,(IF(WEEKDAY(B2119)=1,2,IF(WEEKDAY(B2119)=7,1,0))))))</f>
        <v>3</v>
      </c>
      <c r="V2119" s="328">
        <f>VLOOKUP(C2119,METADATA!$A$5:$H$29,IF(E2119="HI",2,IF(E2119="LO",6,10))+IF(T2119=1,2,IF(D2119=7,1,(IF(WEEKDAY(B2119)=1,2,IF(WEEKDAY(B2119)=7,1,0))))))</f>
        <v>3</v>
      </c>
    </row>
    <row r="2120" spans="2:22">
      <c r="B2120" s="318">
        <f t="shared" si="131"/>
        <v>46201</v>
      </c>
      <c r="C2120" s="312">
        <v>4</v>
      </c>
      <c r="D2120" s="368">
        <f>IFERROR((INDEX(METADATA!$T$2:$T$20,MATCH(B2120,METADATA!$S$2:$S$20,0))),0)</f>
        <v>0</v>
      </c>
      <c r="E2120" s="312" t="str">
        <f t="shared" si="132"/>
        <v>LO</v>
      </c>
      <c r="F2120" s="369">
        <f>VLOOKUP(C2120,METADATA!$A$5:$H$29,IF(E2120="HI",2,IF(E2120="LO",6,10))+IF(D2120=1,2,IF(D2120=7,1,(IF(WEEKDAY(B2120)=1,2,IF(WEEKDAY(B2120)=7,1,0))))))</f>
        <v>3</v>
      </c>
      <c r="G2120" s="369">
        <f>VLOOKUP(C2120,METADATA!$J$5:$Q$29,IF(E2120="HI",2,IF(E2120="LO",6,10))+IF(D2120=1,2,IF(D2120=7,1,(IF(WEEKDAY(B2120)=1,2,IF(WEEKDAY(B2120)=7,1,0))))))</f>
        <v>3</v>
      </c>
      <c r="H2120" s="370">
        <v>13436.400085449219</v>
      </c>
      <c r="I2120" s="370">
        <v>4224.219970703125</v>
      </c>
      <c r="M2120" s="371">
        <f t="shared" si="133"/>
        <v>14084.774815990026</v>
      </c>
      <c r="N2120" s="329">
        <f t="shared" si="134"/>
        <v>193.29994506835965</v>
      </c>
      <c r="T2120" s="331">
        <v>0</v>
      </c>
      <c r="U2120" s="328">
        <f>VLOOKUP(C2120,METADATA!$J$5:$Q$29,IF(E2120="HI",2,IF(E2120="LO",6,10))+IF(T2120=1,2,IF(D2120=7,1,(IF(WEEKDAY(B2120)=1,2,IF(WEEKDAY(B2120)=7,1,0))))))</f>
        <v>3</v>
      </c>
      <c r="V2120" s="328">
        <f>VLOOKUP(C2120,METADATA!$A$5:$H$29,IF(E2120="HI",2,IF(E2120="LO",6,10))+IF(T2120=1,2,IF(D2120=7,1,(IF(WEEKDAY(B2120)=1,2,IF(WEEKDAY(B2120)=7,1,0))))))</f>
        <v>3</v>
      </c>
    </row>
    <row r="2121" spans="2:22">
      <c r="B2121" s="318">
        <f t="shared" si="131"/>
        <v>46201</v>
      </c>
      <c r="C2121" s="312">
        <v>5</v>
      </c>
      <c r="D2121" s="368">
        <f>IFERROR((INDEX(METADATA!$T$2:$T$20,MATCH(B2121,METADATA!$S$2:$S$20,0))),0)</f>
        <v>0</v>
      </c>
      <c r="E2121" s="312" t="str">
        <f t="shared" si="132"/>
        <v>LO</v>
      </c>
      <c r="F2121" s="369">
        <f>VLOOKUP(C2121,METADATA!$A$5:$H$29,IF(E2121="HI",2,IF(E2121="LO",6,10))+IF(D2121=1,2,IF(D2121=7,1,(IF(WEEKDAY(B2121)=1,2,IF(WEEKDAY(B2121)=7,1,0))))))</f>
        <v>3</v>
      </c>
      <c r="G2121" s="369">
        <f>VLOOKUP(C2121,METADATA!$J$5:$Q$29,IF(E2121="HI",2,IF(E2121="LO",6,10))+IF(D2121=1,2,IF(D2121=7,1,(IF(WEEKDAY(B2121)=1,2,IF(WEEKDAY(B2121)=7,1,0))))))</f>
        <v>3</v>
      </c>
      <c r="H2121" s="370">
        <v>11544.250030517578</v>
      </c>
      <c r="I2121" s="370">
        <v>3196.2224731445313</v>
      </c>
      <c r="M2121" s="371">
        <f t="shared" si="133"/>
        <v>11978.545273318428</v>
      </c>
      <c r="N2121" s="329">
        <f t="shared" si="134"/>
        <v>0</v>
      </c>
      <c r="T2121" s="331">
        <v>0</v>
      </c>
      <c r="U2121" s="328">
        <f>VLOOKUP(C2121,METADATA!$J$5:$Q$29,IF(E2121="HI",2,IF(E2121="LO",6,10))+IF(T2121=1,2,IF(D2121=7,1,(IF(WEEKDAY(B2121)=1,2,IF(WEEKDAY(B2121)=7,1,0))))))</f>
        <v>3</v>
      </c>
      <c r="V2121" s="328">
        <f>VLOOKUP(C2121,METADATA!$A$5:$H$29,IF(E2121="HI",2,IF(E2121="LO",6,10))+IF(T2121=1,2,IF(D2121=7,1,(IF(WEEKDAY(B2121)=1,2,IF(WEEKDAY(B2121)=7,1,0))))))</f>
        <v>3</v>
      </c>
    </row>
    <row r="2122" spans="2:22">
      <c r="B2122" s="318">
        <f t="shared" si="131"/>
        <v>46201</v>
      </c>
      <c r="C2122" s="312">
        <v>6</v>
      </c>
      <c r="D2122" s="368">
        <f>IFERROR((INDEX(METADATA!$T$2:$T$20,MATCH(B2122,METADATA!$S$2:$S$20,0))),0)</f>
        <v>0</v>
      </c>
      <c r="E2122" s="312" t="str">
        <f t="shared" si="132"/>
        <v>LO</v>
      </c>
      <c r="F2122" s="369">
        <f>VLOOKUP(C2122,METADATA!$A$5:$H$29,IF(E2122="HI",2,IF(E2122="LO",6,10))+IF(D2122=1,2,IF(D2122=7,1,(IF(WEEKDAY(B2122)=1,2,IF(WEEKDAY(B2122)=7,1,0))))))</f>
        <v>3</v>
      </c>
      <c r="G2122" s="369">
        <f>VLOOKUP(C2122,METADATA!$J$5:$Q$29,IF(E2122="HI",2,IF(E2122="LO",6,10))+IF(D2122=1,2,IF(D2122=7,1,(IF(WEEKDAY(B2122)=1,2,IF(WEEKDAY(B2122)=7,1,0))))))</f>
        <v>3</v>
      </c>
      <c r="H2122" s="370">
        <v>11486.910186767578</v>
      </c>
      <c r="I2122" s="370">
        <v>3145.6825561523438</v>
      </c>
      <c r="M2122" s="371">
        <f t="shared" si="133"/>
        <v>11909.845690979622</v>
      </c>
      <c r="N2122" s="329">
        <f t="shared" si="134"/>
        <v>0</v>
      </c>
      <c r="T2122" s="331">
        <v>0</v>
      </c>
      <c r="U2122" s="328">
        <f>VLOOKUP(C2122,METADATA!$J$5:$Q$29,IF(E2122="HI",2,IF(E2122="LO",6,10))+IF(T2122=1,2,IF(D2122=7,1,(IF(WEEKDAY(B2122)=1,2,IF(WEEKDAY(B2122)=7,1,0))))))</f>
        <v>3</v>
      </c>
      <c r="V2122" s="328">
        <f>VLOOKUP(C2122,METADATA!$A$5:$H$29,IF(E2122="HI",2,IF(E2122="LO",6,10))+IF(T2122=1,2,IF(D2122=7,1,(IF(WEEKDAY(B2122)=1,2,IF(WEEKDAY(B2122)=7,1,0))))))</f>
        <v>3</v>
      </c>
    </row>
    <row r="2123" spans="2:22">
      <c r="B2123" s="318">
        <f t="shared" si="131"/>
        <v>46201</v>
      </c>
      <c r="C2123" s="312">
        <v>7</v>
      </c>
      <c r="D2123" s="368">
        <f>IFERROR((INDEX(METADATA!$T$2:$T$20,MATCH(B2123,METADATA!$S$2:$S$20,0))),0)</f>
        <v>0</v>
      </c>
      <c r="E2123" s="312" t="str">
        <f t="shared" si="132"/>
        <v>LO</v>
      </c>
      <c r="F2123" s="369">
        <f>VLOOKUP(C2123,METADATA!$A$5:$H$29,IF(E2123="HI",2,IF(E2123="LO",6,10))+IF(D2123=1,2,IF(D2123=7,1,(IF(WEEKDAY(B2123)=1,2,IF(WEEKDAY(B2123)=7,1,0))))))</f>
        <v>3</v>
      </c>
      <c r="G2123" s="369">
        <f>VLOOKUP(C2123,METADATA!$J$5:$Q$29,IF(E2123="HI",2,IF(E2123="LO",6,10))+IF(D2123=1,2,IF(D2123=7,1,(IF(WEEKDAY(B2123)=1,2,IF(WEEKDAY(B2123)=7,1,0))))))</f>
        <v>3</v>
      </c>
      <c r="H2123" s="370">
        <v>12834.225524902344</v>
      </c>
      <c r="I2123" s="370">
        <v>4016.1000366210938</v>
      </c>
      <c r="M2123" s="371">
        <f t="shared" si="133"/>
        <v>13447.914497356191</v>
      </c>
      <c r="N2123" s="329">
        <f t="shared" si="134"/>
        <v>165.83237915039081</v>
      </c>
      <c r="T2123" s="331">
        <v>0</v>
      </c>
      <c r="U2123" s="328">
        <f>VLOOKUP(C2123,METADATA!$J$5:$Q$29,IF(E2123="HI",2,IF(E2123="LO",6,10))+IF(T2123=1,2,IF(D2123=7,1,(IF(WEEKDAY(B2123)=1,2,IF(WEEKDAY(B2123)=7,1,0))))))</f>
        <v>3</v>
      </c>
      <c r="V2123" s="328">
        <f>VLOOKUP(C2123,METADATA!$A$5:$H$29,IF(E2123="HI",2,IF(E2123="LO",6,10))+IF(T2123=1,2,IF(D2123=7,1,(IF(WEEKDAY(B2123)=1,2,IF(WEEKDAY(B2123)=7,1,0))))))</f>
        <v>3</v>
      </c>
    </row>
    <row r="2124" spans="2:22">
      <c r="B2124" s="318">
        <f t="shared" si="131"/>
        <v>46201</v>
      </c>
      <c r="C2124" s="312">
        <v>8</v>
      </c>
      <c r="D2124" s="368">
        <f>IFERROR((INDEX(METADATA!$T$2:$T$20,MATCH(B2124,METADATA!$S$2:$S$20,0))),0)</f>
        <v>0</v>
      </c>
      <c r="E2124" s="312" t="str">
        <f t="shared" si="132"/>
        <v>LO</v>
      </c>
      <c r="F2124" s="369">
        <f>VLOOKUP(C2124,METADATA!$A$5:$H$29,IF(E2124="HI",2,IF(E2124="LO",6,10))+IF(D2124=1,2,IF(D2124=7,1,(IF(WEEKDAY(B2124)=1,2,IF(WEEKDAY(B2124)=7,1,0))))))</f>
        <v>3</v>
      </c>
      <c r="G2124" s="369">
        <f>VLOOKUP(C2124,METADATA!$J$5:$Q$29,IF(E2124="HI",2,IF(E2124="LO",6,10))+IF(D2124=1,2,IF(D2124=7,1,(IF(WEEKDAY(B2124)=1,2,IF(WEEKDAY(B2124)=7,1,0))))))</f>
        <v>3</v>
      </c>
      <c r="H2124" s="370">
        <v>13231.350463867188</v>
      </c>
      <c r="I2124" s="370">
        <v>4205.2349548339844</v>
      </c>
      <c r="M2124" s="371">
        <f t="shared" si="133"/>
        <v>13883.538314242374</v>
      </c>
      <c r="N2124" s="329">
        <f t="shared" si="134"/>
        <v>235.82981567382831</v>
      </c>
      <c r="T2124" s="331">
        <v>0</v>
      </c>
      <c r="U2124" s="328">
        <f>VLOOKUP(C2124,METADATA!$J$5:$Q$29,IF(E2124="HI",2,IF(E2124="LO",6,10))+IF(T2124=1,2,IF(D2124=7,1,(IF(WEEKDAY(B2124)=1,2,IF(WEEKDAY(B2124)=7,1,0))))))</f>
        <v>3</v>
      </c>
      <c r="V2124" s="328">
        <f>VLOOKUP(C2124,METADATA!$A$5:$H$29,IF(E2124="HI",2,IF(E2124="LO",6,10))+IF(T2124=1,2,IF(D2124=7,1,(IF(WEEKDAY(B2124)=1,2,IF(WEEKDAY(B2124)=7,1,0))))))</f>
        <v>3</v>
      </c>
    </row>
    <row r="2125" spans="2:22">
      <c r="B2125" s="318">
        <f t="shared" si="131"/>
        <v>46201</v>
      </c>
      <c r="C2125" s="312">
        <v>9</v>
      </c>
      <c r="D2125" s="368">
        <f>IFERROR((INDEX(METADATA!$T$2:$T$20,MATCH(B2125,METADATA!$S$2:$S$20,0))),0)</f>
        <v>0</v>
      </c>
      <c r="E2125" s="312" t="str">
        <f t="shared" si="132"/>
        <v>LO</v>
      </c>
      <c r="F2125" s="369">
        <f>VLOOKUP(C2125,METADATA!$A$5:$H$29,IF(E2125="HI",2,IF(E2125="LO",6,10))+IF(D2125=1,2,IF(D2125=7,1,(IF(WEEKDAY(B2125)=1,2,IF(WEEKDAY(B2125)=7,1,0))))))</f>
        <v>3</v>
      </c>
      <c r="G2125" s="369">
        <f>VLOOKUP(C2125,METADATA!$J$5:$Q$29,IF(E2125="HI",2,IF(E2125="LO",6,10))+IF(D2125=1,2,IF(D2125=7,1,(IF(WEEKDAY(B2125)=1,2,IF(WEEKDAY(B2125)=7,1,0))))))</f>
        <v>3</v>
      </c>
      <c r="H2125" s="370">
        <v>12827.775268554688</v>
      </c>
      <c r="I2125" s="370">
        <v>3769.0799865722656</v>
      </c>
      <c r="M2125" s="371">
        <f t="shared" si="133"/>
        <v>13370.032994937703</v>
      </c>
      <c r="N2125" s="329">
        <f t="shared" si="134"/>
        <v>0</v>
      </c>
      <c r="T2125" s="331">
        <v>0</v>
      </c>
      <c r="U2125" s="328">
        <f>VLOOKUP(C2125,METADATA!$J$5:$Q$29,IF(E2125="HI",2,IF(E2125="LO",6,10))+IF(T2125=1,2,IF(D2125=7,1,(IF(WEEKDAY(B2125)=1,2,IF(WEEKDAY(B2125)=7,1,0))))))</f>
        <v>3</v>
      </c>
      <c r="V2125" s="328">
        <f>VLOOKUP(C2125,METADATA!$A$5:$H$29,IF(E2125="HI",2,IF(E2125="LO",6,10))+IF(T2125=1,2,IF(D2125=7,1,(IF(WEEKDAY(B2125)=1,2,IF(WEEKDAY(B2125)=7,1,0))))))</f>
        <v>3</v>
      </c>
    </row>
    <row r="2126" spans="2:22">
      <c r="B2126" s="318">
        <f t="shared" si="131"/>
        <v>46201</v>
      </c>
      <c r="C2126" s="312">
        <v>10</v>
      </c>
      <c r="D2126" s="368">
        <f>IFERROR((INDEX(METADATA!$T$2:$T$20,MATCH(B2126,METADATA!$S$2:$S$20,0))),0)</f>
        <v>0</v>
      </c>
      <c r="E2126" s="312" t="str">
        <f t="shared" si="132"/>
        <v>LO</v>
      </c>
      <c r="F2126" s="369">
        <f>VLOOKUP(C2126,METADATA!$A$5:$H$29,IF(E2126="HI",2,IF(E2126="LO",6,10))+IF(D2126=1,2,IF(D2126=7,1,(IF(WEEKDAY(B2126)=1,2,IF(WEEKDAY(B2126)=7,1,0))))))</f>
        <v>3</v>
      </c>
      <c r="G2126" s="369">
        <f>VLOOKUP(C2126,METADATA!$J$5:$Q$29,IF(E2126="HI",2,IF(E2126="LO",6,10))+IF(D2126=1,2,IF(D2126=7,1,(IF(WEEKDAY(B2126)=1,2,IF(WEEKDAY(B2126)=7,1,0))))))</f>
        <v>3</v>
      </c>
      <c r="H2126" s="370">
        <v>11828.474792480469</v>
      </c>
      <c r="I2126" s="370">
        <v>3047.3800201416016</v>
      </c>
      <c r="M2126" s="371">
        <f t="shared" si="133"/>
        <v>12214.718208108778</v>
      </c>
      <c r="N2126" s="329">
        <f t="shared" si="134"/>
        <v>0</v>
      </c>
      <c r="T2126" s="331">
        <v>0</v>
      </c>
      <c r="U2126" s="328">
        <f>VLOOKUP(C2126,METADATA!$J$5:$Q$29,IF(E2126="HI",2,IF(E2126="LO",6,10))+IF(T2126=1,2,IF(D2126=7,1,(IF(WEEKDAY(B2126)=1,2,IF(WEEKDAY(B2126)=7,1,0))))))</f>
        <v>3</v>
      </c>
      <c r="V2126" s="328">
        <f>VLOOKUP(C2126,METADATA!$A$5:$H$29,IF(E2126="HI",2,IF(E2126="LO",6,10))+IF(T2126=1,2,IF(D2126=7,1,(IF(WEEKDAY(B2126)=1,2,IF(WEEKDAY(B2126)=7,1,0))))))</f>
        <v>3</v>
      </c>
    </row>
    <row r="2127" spans="2:22">
      <c r="B2127" s="318">
        <f t="shared" si="131"/>
        <v>46201</v>
      </c>
      <c r="C2127" s="312">
        <v>11</v>
      </c>
      <c r="D2127" s="368">
        <f>IFERROR((INDEX(METADATA!$T$2:$T$20,MATCH(B2127,METADATA!$S$2:$S$20,0))),0)</f>
        <v>0</v>
      </c>
      <c r="E2127" s="312" t="str">
        <f t="shared" si="132"/>
        <v>LO</v>
      </c>
      <c r="F2127" s="369">
        <f>VLOOKUP(C2127,METADATA!$A$5:$H$29,IF(E2127="HI",2,IF(E2127="LO",6,10))+IF(D2127=1,2,IF(D2127=7,1,(IF(WEEKDAY(B2127)=1,2,IF(WEEKDAY(B2127)=7,1,0))))))</f>
        <v>3</v>
      </c>
      <c r="G2127" s="369">
        <f>VLOOKUP(C2127,METADATA!$J$5:$Q$29,IF(E2127="HI",2,IF(E2127="LO",6,10))+IF(D2127=1,2,IF(D2127=7,1,(IF(WEEKDAY(B2127)=1,2,IF(WEEKDAY(B2127)=7,1,0))))))</f>
        <v>3</v>
      </c>
      <c r="H2127" s="370">
        <v>11206.849670410156</v>
      </c>
      <c r="I2127" s="370">
        <v>2552.9100799560547</v>
      </c>
      <c r="M2127" s="371">
        <f t="shared" si="133"/>
        <v>11493.94751212626</v>
      </c>
      <c r="N2127" s="329">
        <f t="shared" si="134"/>
        <v>0</v>
      </c>
      <c r="T2127" s="331">
        <v>0</v>
      </c>
      <c r="U2127" s="328">
        <f>VLOOKUP(C2127,METADATA!$J$5:$Q$29,IF(E2127="HI",2,IF(E2127="LO",6,10))+IF(T2127=1,2,IF(D2127=7,1,(IF(WEEKDAY(B2127)=1,2,IF(WEEKDAY(B2127)=7,1,0))))))</f>
        <v>3</v>
      </c>
      <c r="V2127" s="328">
        <f>VLOOKUP(C2127,METADATA!$A$5:$H$29,IF(E2127="HI",2,IF(E2127="LO",6,10))+IF(T2127=1,2,IF(D2127=7,1,(IF(WEEKDAY(B2127)=1,2,IF(WEEKDAY(B2127)=7,1,0))))))</f>
        <v>3</v>
      </c>
    </row>
    <row r="2128" spans="2:22">
      <c r="B2128" s="318">
        <f t="shared" si="131"/>
        <v>46201</v>
      </c>
      <c r="C2128" s="312">
        <v>12</v>
      </c>
      <c r="D2128" s="368">
        <f>IFERROR((INDEX(METADATA!$T$2:$T$20,MATCH(B2128,METADATA!$S$2:$S$20,0))),0)</f>
        <v>0</v>
      </c>
      <c r="E2128" s="312" t="str">
        <f t="shared" si="132"/>
        <v>LO</v>
      </c>
      <c r="F2128" s="369">
        <f>VLOOKUP(C2128,METADATA!$A$5:$H$29,IF(E2128="HI",2,IF(E2128="LO",6,10))+IF(D2128=1,2,IF(D2128=7,1,(IF(WEEKDAY(B2128)=1,2,IF(WEEKDAY(B2128)=7,1,0))))))</f>
        <v>3</v>
      </c>
      <c r="G2128" s="369">
        <f>VLOOKUP(C2128,METADATA!$J$5:$Q$29,IF(E2128="HI",2,IF(E2128="LO",6,10))+IF(D2128=1,2,IF(D2128=7,1,(IF(WEEKDAY(B2128)=1,2,IF(WEEKDAY(B2128)=7,1,0))))))</f>
        <v>3</v>
      </c>
      <c r="H2128" s="370">
        <v>12558.074951171875</v>
      </c>
      <c r="I2128" s="370">
        <v>3402.1150512695313</v>
      </c>
      <c r="M2128" s="371">
        <f t="shared" si="133"/>
        <v>13010.750681698777</v>
      </c>
      <c r="N2128" s="329">
        <f t="shared" si="134"/>
        <v>0</v>
      </c>
      <c r="T2128" s="331">
        <v>0</v>
      </c>
      <c r="U2128" s="328">
        <f>VLOOKUP(C2128,METADATA!$J$5:$Q$29,IF(E2128="HI",2,IF(E2128="LO",6,10))+IF(T2128=1,2,IF(D2128=7,1,(IF(WEEKDAY(B2128)=1,2,IF(WEEKDAY(B2128)=7,1,0))))))</f>
        <v>3</v>
      </c>
      <c r="V2128" s="328">
        <f>VLOOKUP(C2128,METADATA!$A$5:$H$29,IF(E2128="HI",2,IF(E2128="LO",6,10))+IF(T2128=1,2,IF(D2128=7,1,(IF(WEEKDAY(B2128)=1,2,IF(WEEKDAY(B2128)=7,1,0))))))</f>
        <v>3</v>
      </c>
    </row>
    <row r="2129" spans="2:22">
      <c r="B2129" s="318">
        <f t="shared" si="131"/>
        <v>46201</v>
      </c>
      <c r="C2129" s="312">
        <v>13</v>
      </c>
      <c r="D2129" s="368">
        <f>IFERROR((INDEX(METADATA!$T$2:$T$20,MATCH(B2129,METADATA!$S$2:$S$20,0))),0)</f>
        <v>0</v>
      </c>
      <c r="E2129" s="312" t="str">
        <f t="shared" si="132"/>
        <v>LO</v>
      </c>
      <c r="F2129" s="369">
        <f>VLOOKUP(C2129,METADATA!$A$5:$H$29,IF(E2129="HI",2,IF(E2129="LO",6,10))+IF(D2129=1,2,IF(D2129=7,1,(IF(WEEKDAY(B2129)=1,2,IF(WEEKDAY(B2129)=7,1,0))))))</f>
        <v>3</v>
      </c>
      <c r="G2129" s="369">
        <f>VLOOKUP(C2129,METADATA!$J$5:$Q$29,IF(E2129="HI",2,IF(E2129="LO",6,10))+IF(D2129=1,2,IF(D2129=7,1,(IF(WEEKDAY(B2129)=1,2,IF(WEEKDAY(B2129)=7,1,0))))))</f>
        <v>3</v>
      </c>
      <c r="H2129" s="370">
        <v>12410.650085449219</v>
      </c>
      <c r="I2129" s="370">
        <v>3232.5799713134766</v>
      </c>
      <c r="M2129" s="371">
        <f t="shared" si="133"/>
        <v>12824.734259016743</v>
      </c>
      <c r="N2129" s="329">
        <f t="shared" si="134"/>
        <v>0</v>
      </c>
      <c r="T2129" s="331">
        <v>0</v>
      </c>
      <c r="U2129" s="328">
        <f>VLOOKUP(C2129,METADATA!$J$5:$Q$29,IF(E2129="HI",2,IF(E2129="LO",6,10))+IF(T2129=1,2,IF(D2129=7,1,(IF(WEEKDAY(B2129)=1,2,IF(WEEKDAY(B2129)=7,1,0))))))</f>
        <v>3</v>
      </c>
      <c r="V2129" s="328">
        <f>VLOOKUP(C2129,METADATA!$A$5:$H$29,IF(E2129="HI",2,IF(E2129="LO",6,10))+IF(T2129=1,2,IF(D2129=7,1,(IF(WEEKDAY(B2129)=1,2,IF(WEEKDAY(B2129)=7,1,0))))))</f>
        <v>3</v>
      </c>
    </row>
    <row r="2130" spans="2:22">
      <c r="B2130" s="318">
        <f t="shared" si="131"/>
        <v>46201</v>
      </c>
      <c r="C2130" s="312">
        <v>14</v>
      </c>
      <c r="D2130" s="368">
        <f>IFERROR((INDEX(METADATA!$T$2:$T$20,MATCH(B2130,METADATA!$S$2:$S$20,0))),0)</f>
        <v>0</v>
      </c>
      <c r="E2130" s="312" t="str">
        <f t="shared" si="132"/>
        <v>LO</v>
      </c>
      <c r="F2130" s="369">
        <f>VLOOKUP(C2130,METADATA!$A$5:$H$29,IF(E2130="HI",2,IF(E2130="LO",6,10))+IF(D2130=1,2,IF(D2130=7,1,(IF(WEEKDAY(B2130)=1,2,IF(WEEKDAY(B2130)=7,1,0))))))</f>
        <v>3</v>
      </c>
      <c r="G2130" s="369">
        <f>VLOOKUP(C2130,METADATA!$J$5:$Q$29,IF(E2130="HI",2,IF(E2130="LO",6,10))+IF(D2130=1,2,IF(D2130=7,1,(IF(WEEKDAY(B2130)=1,2,IF(WEEKDAY(B2130)=7,1,0))))))</f>
        <v>3</v>
      </c>
      <c r="H2130" s="370">
        <v>12418.700134277344</v>
      </c>
      <c r="I2130" s="370">
        <v>3295.3149719238281</v>
      </c>
      <c r="M2130" s="371">
        <f t="shared" si="133"/>
        <v>12848.471262733377</v>
      </c>
      <c r="N2130" s="329">
        <f t="shared" si="134"/>
        <v>0</v>
      </c>
      <c r="T2130" s="331">
        <v>0</v>
      </c>
      <c r="U2130" s="328">
        <f>VLOOKUP(C2130,METADATA!$J$5:$Q$29,IF(E2130="HI",2,IF(E2130="LO",6,10))+IF(T2130=1,2,IF(D2130=7,1,(IF(WEEKDAY(B2130)=1,2,IF(WEEKDAY(B2130)=7,1,0))))))</f>
        <v>3</v>
      </c>
      <c r="V2130" s="328">
        <f>VLOOKUP(C2130,METADATA!$A$5:$H$29,IF(E2130="HI",2,IF(E2130="LO",6,10))+IF(T2130=1,2,IF(D2130=7,1,(IF(WEEKDAY(B2130)=1,2,IF(WEEKDAY(B2130)=7,1,0))))))</f>
        <v>3</v>
      </c>
    </row>
    <row r="2131" spans="2:22">
      <c r="B2131" s="318">
        <f t="shared" si="131"/>
        <v>46201</v>
      </c>
      <c r="C2131" s="312">
        <v>15</v>
      </c>
      <c r="D2131" s="368">
        <f>IFERROR((INDEX(METADATA!$T$2:$T$20,MATCH(B2131,METADATA!$S$2:$S$20,0))),0)</f>
        <v>0</v>
      </c>
      <c r="E2131" s="312" t="str">
        <f t="shared" si="132"/>
        <v>LO</v>
      </c>
      <c r="F2131" s="369">
        <f>VLOOKUP(C2131,METADATA!$A$5:$H$29,IF(E2131="HI",2,IF(E2131="LO",6,10))+IF(D2131=1,2,IF(D2131=7,1,(IF(WEEKDAY(B2131)=1,2,IF(WEEKDAY(B2131)=7,1,0))))))</f>
        <v>3</v>
      </c>
      <c r="G2131" s="369">
        <f>VLOOKUP(C2131,METADATA!$J$5:$Q$29,IF(E2131="HI",2,IF(E2131="LO",6,10))+IF(D2131=1,2,IF(D2131=7,1,(IF(WEEKDAY(B2131)=1,2,IF(WEEKDAY(B2131)=7,1,0))))))</f>
        <v>3</v>
      </c>
      <c r="H2131" s="370">
        <v>12459.399780273438</v>
      </c>
      <c r="I2131" s="370">
        <v>3388.9250183105469</v>
      </c>
      <c r="M2131" s="371">
        <f t="shared" si="133"/>
        <v>12912.066281754014</v>
      </c>
      <c r="N2131" s="329">
        <f t="shared" si="134"/>
        <v>0</v>
      </c>
      <c r="T2131" s="331">
        <v>0</v>
      </c>
      <c r="U2131" s="328">
        <f>VLOOKUP(C2131,METADATA!$J$5:$Q$29,IF(E2131="HI",2,IF(E2131="LO",6,10))+IF(T2131=1,2,IF(D2131=7,1,(IF(WEEKDAY(B2131)=1,2,IF(WEEKDAY(B2131)=7,1,0))))))</f>
        <v>3</v>
      </c>
      <c r="V2131" s="328">
        <f>VLOOKUP(C2131,METADATA!$A$5:$H$29,IF(E2131="HI",2,IF(E2131="LO",6,10))+IF(T2131=1,2,IF(D2131=7,1,(IF(WEEKDAY(B2131)=1,2,IF(WEEKDAY(B2131)=7,1,0))))))</f>
        <v>3</v>
      </c>
    </row>
    <row r="2132" spans="2:22">
      <c r="B2132" s="318">
        <f t="shared" si="131"/>
        <v>46201</v>
      </c>
      <c r="C2132" s="312">
        <v>16</v>
      </c>
      <c r="D2132" s="368">
        <f>IFERROR((INDEX(METADATA!$T$2:$T$20,MATCH(B2132,METADATA!$S$2:$S$20,0))),0)</f>
        <v>0</v>
      </c>
      <c r="E2132" s="312" t="str">
        <f t="shared" si="132"/>
        <v>LO</v>
      </c>
      <c r="F2132" s="369">
        <f>VLOOKUP(C2132,METADATA!$A$5:$H$29,IF(E2132="HI",2,IF(E2132="LO",6,10))+IF(D2132=1,2,IF(D2132=7,1,(IF(WEEKDAY(B2132)=1,2,IF(WEEKDAY(B2132)=7,1,0))))))</f>
        <v>3</v>
      </c>
      <c r="G2132" s="369">
        <f>VLOOKUP(C2132,METADATA!$J$5:$Q$29,IF(E2132="HI",2,IF(E2132="LO",6,10))+IF(D2132=1,2,IF(D2132=7,1,(IF(WEEKDAY(B2132)=1,2,IF(WEEKDAY(B2132)=7,1,0))))))</f>
        <v>3</v>
      </c>
      <c r="H2132" s="370">
        <v>12312.700134277344</v>
      </c>
      <c r="I2132" s="370">
        <v>3367.6999664306641</v>
      </c>
      <c r="M2132" s="371">
        <f t="shared" si="133"/>
        <v>12764.951533810476</v>
      </c>
      <c r="N2132" s="329">
        <f t="shared" si="134"/>
        <v>0</v>
      </c>
      <c r="T2132" s="331">
        <v>0</v>
      </c>
      <c r="U2132" s="328">
        <f>VLOOKUP(C2132,METADATA!$J$5:$Q$29,IF(E2132="HI",2,IF(E2132="LO",6,10))+IF(T2132=1,2,IF(D2132=7,1,(IF(WEEKDAY(B2132)=1,2,IF(WEEKDAY(B2132)=7,1,0))))))</f>
        <v>3</v>
      </c>
      <c r="V2132" s="328">
        <f>VLOOKUP(C2132,METADATA!$A$5:$H$29,IF(E2132="HI",2,IF(E2132="LO",6,10))+IF(T2132=1,2,IF(D2132=7,1,(IF(WEEKDAY(B2132)=1,2,IF(WEEKDAY(B2132)=7,1,0))))))</f>
        <v>3</v>
      </c>
    </row>
    <row r="2133" spans="2:22">
      <c r="B2133" s="318">
        <f t="shared" si="131"/>
        <v>46201</v>
      </c>
      <c r="C2133" s="312">
        <v>17</v>
      </c>
      <c r="D2133" s="368">
        <f>IFERROR((INDEX(METADATA!$T$2:$T$20,MATCH(B2133,METADATA!$S$2:$S$20,0))),0)</f>
        <v>0</v>
      </c>
      <c r="E2133" s="312" t="str">
        <f t="shared" si="132"/>
        <v>LO</v>
      </c>
      <c r="F2133" s="369">
        <f>VLOOKUP(C2133,METADATA!$A$5:$H$29,IF(E2133="HI",2,IF(E2133="LO",6,10))+IF(D2133=1,2,IF(D2133=7,1,(IF(WEEKDAY(B2133)=1,2,IF(WEEKDAY(B2133)=7,1,0))))))</f>
        <v>3</v>
      </c>
      <c r="G2133" s="369">
        <f>VLOOKUP(C2133,METADATA!$J$5:$Q$29,IF(E2133="HI",2,IF(E2133="LO",6,10))+IF(D2133=1,2,IF(D2133=7,1,(IF(WEEKDAY(B2133)=1,2,IF(WEEKDAY(B2133)=7,1,0))))))</f>
        <v>3</v>
      </c>
      <c r="H2133" s="370">
        <v>12296.850463867188</v>
      </c>
      <c r="I2133" s="370">
        <v>3395.739990234375</v>
      </c>
      <c r="M2133" s="371">
        <f t="shared" si="133"/>
        <v>12757.099255394527</v>
      </c>
      <c r="N2133" s="329">
        <f t="shared" si="134"/>
        <v>0</v>
      </c>
      <c r="T2133" s="331">
        <v>0</v>
      </c>
      <c r="U2133" s="328">
        <f>VLOOKUP(C2133,METADATA!$J$5:$Q$29,IF(E2133="HI",2,IF(E2133="LO",6,10))+IF(T2133=1,2,IF(D2133=7,1,(IF(WEEKDAY(B2133)=1,2,IF(WEEKDAY(B2133)=7,1,0))))))</f>
        <v>3</v>
      </c>
      <c r="V2133" s="328">
        <f>VLOOKUP(C2133,METADATA!$A$5:$H$29,IF(E2133="HI",2,IF(E2133="LO",6,10))+IF(T2133=1,2,IF(D2133=7,1,(IF(WEEKDAY(B2133)=1,2,IF(WEEKDAY(B2133)=7,1,0))))))</f>
        <v>3</v>
      </c>
    </row>
    <row r="2134" spans="2:22">
      <c r="B2134" s="318">
        <f t="shared" si="131"/>
        <v>46201</v>
      </c>
      <c r="C2134" s="312">
        <v>18</v>
      </c>
      <c r="D2134" s="368">
        <f>IFERROR((INDEX(METADATA!$T$2:$T$20,MATCH(B2134,METADATA!$S$2:$S$20,0))),0)</f>
        <v>0</v>
      </c>
      <c r="E2134" s="312" t="str">
        <f t="shared" si="132"/>
        <v>LO</v>
      </c>
      <c r="F2134" s="369">
        <f>VLOOKUP(C2134,METADATA!$A$5:$H$29,IF(E2134="HI",2,IF(E2134="LO",6,10))+IF(D2134=1,2,IF(D2134=7,1,(IF(WEEKDAY(B2134)=1,2,IF(WEEKDAY(B2134)=7,1,0))))))</f>
        <v>2</v>
      </c>
      <c r="G2134" s="369">
        <f>VLOOKUP(C2134,METADATA!$J$5:$Q$29,IF(E2134="HI",2,IF(E2134="LO",6,10))+IF(D2134=1,2,IF(D2134=7,1,(IF(WEEKDAY(B2134)=1,2,IF(WEEKDAY(B2134)=7,1,0))))))</f>
        <v>2</v>
      </c>
      <c r="H2134" s="370">
        <v>12620.574768066406</v>
      </c>
      <c r="I2134" s="370">
        <v>3701.2999877929688</v>
      </c>
      <c r="M2134" s="371">
        <f t="shared" si="133"/>
        <v>13152.130210577701</v>
      </c>
      <c r="N2134" s="329">
        <f t="shared" si="134"/>
        <v>0</v>
      </c>
      <c r="T2134" s="331">
        <v>0</v>
      </c>
      <c r="U2134" s="328">
        <f>VLOOKUP(C2134,METADATA!$J$5:$Q$29,IF(E2134="HI",2,IF(E2134="LO",6,10))+IF(T2134=1,2,IF(D2134=7,1,(IF(WEEKDAY(B2134)=1,2,IF(WEEKDAY(B2134)=7,1,0))))))</f>
        <v>2</v>
      </c>
      <c r="V2134" s="328">
        <f>VLOOKUP(C2134,METADATA!$A$5:$H$29,IF(E2134="HI",2,IF(E2134="LO",6,10))+IF(T2134=1,2,IF(D2134=7,1,(IF(WEEKDAY(B2134)=1,2,IF(WEEKDAY(B2134)=7,1,0))))))</f>
        <v>2</v>
      </c>
    </row>
    <row r="2135" spans="2:22">
      <c r="B2135" s="318">
        <f t="shared" si="131"/>
        <v>46201</v>
      </c>
      <c r="C2135" s="312">
        <v>19</v>
      </c>
      <c r="D2135" s="368">
        <f>IFERROR((INDEX(METADATA!$T$2:$T$20,MATCH(B2135,METADATA!$S$2:$S$20,0))),0)</f>
        <v>0</v>
      </c>
      <c r="E2135" s="312" t="str">
        <f t="shared" si="132"/>
        <v>LO</v>
      </c>
      <c r="F2135" s="369">
        <f>VLOOKUP(C2135,METADATA!$A$5:$H$29,IF(E2135="HI",2,IF(E2135="LO",6,10))+IF(D2135=1,2,IF(D2135=7,1,(IF(WEEKDAY(B2135)=1,2,IF(WEEKDAY(B2135)=7,1,0))))))</f>
        <v>2</v>
      </c>
      <c r="G2135" s="369">
        <f>VLOOKUP(C2135,METADATA!$J$5:$Q$29,IF(E2135="HI",2,IF(E2135="LO",6,10))+IF(D2135=1,2,IF(D2135=7,1,(IF(WEEKDAY(B2135)=1,2,IF(WEEKDAY(B2135)=7,1,0))))))</f>
        <v>2</v>
      </c>
      <c r="H2135" s="370">
        <v>12628.000122070313</v>
      </c>
      <c r="I2135" s="370">
        <v>3822.2050170898438</v>
      </c>
      <c r="M2135" s="371">
        <f t="shared" si="133"/>
        <v>13193.772708201192</v>
      </c>
      <c r="N2135" s="329">
        <f t="shared" si="134"/>
        <v>33.804980468750273</v>
      </c>
      <c r="T2135" s="331">
        <v>0</v>
      </c>
      <c r="U2135" s="328">
        <f>VLOOKUP(C2135,METADATA!$J$5:$Q$29,IF(E2135="HI",2,IF(E2135="LO",6,10))+IF(T2135=1,2,IF(D2135=7,1,(IF(WEEKDAY(B2135)=1,2,IF(WEEKDAY(B2135)=7,1,0))))))</f>
        <v>2</v>
      </c>
      <c r="V2135" s="328">
        <f>VLOOKUP(C2135,METADATA!$A$5:$H$29,IF(E2135="HI",2,IF(E2135="LO",6,10))+IF(T2135=1,2,IF(D2135=7,1,(IF(WEEKDAY(B2135)=1,2,IF(WEEKDAY(B2135)=7,1,0))))))</f>
        <v>2</v>
      </c>
    </row>
    <row r="2136" spans="2:22">
      <c r="B2136" s="318">
        <f t="shared" si="131"/>
        <v>46201</v>
      </c>
      <c r="C2136" s="312">
        <v>20</v>
      </c>
      <c r="D2136" s="368">
        <f>IFERROR((INDEX(METADATA!$T$2:$T$20,MATCH(B2136,METADATA!$S$2:$S$20,0))),0)</f>
        <v>0</v>
      </c>
      <c r="E2136" s="312" t="str">
        <f t="shared" si="132"/>
        <v>LO</v>
      </c>
      <c r="F2136" s="369">
        <f>VLOOKUP(C2136,METADATA!$A$5:$H$29,IF(E2136="HI",2,IF(E2136="LO",6,10))+IF(D2136=1,2,IF(D2136=7,1,(IF(WEEKDAY(B2136)=1,2,IF(WEEKDAY(B2136)=7,1,0))))))</f>
        <v>3</v>
      </c>
      <c r="G2136" s="369">
        <f>VLOOKUP(C2136,METADATA!$J$5:$Q$29,IF(E2136="HI",2,IF(E2136="LO",6,10))+IF(D2136=1,2,IF(D2136=7,1,(IF(WEEKDAY(B2136)=1,2,IF(WEEKDAY(B2136)=7,1,0))))))</f>
        <v>3</v>
      </c>
      <c r="H2136" s="370">
        <v>12464.075134277344</v>
      </c>
      <c r="I2136" s="370">
        <v>3669.280029296875</v>
      </c>
      <c r="M2136" s="371">
        <f t="shared" si="133"/>
        <v>12992.951353957562</v>
      </c>
      <c r="N2136" s="329">
        <f t="shared" si="134"/>
        <v>0</v>
      </c>
      <c r="T2136" s="331">
        <v>0</v>
      </c>
      <c r="U2136" s="328">
        <f>VLOOKUP(C2136,METADATA!$J$5:$Q$29,IF(E2136="HI",2,IF(E2136="LO",6,10))+IF(T2136=1,2,IF(D2136=7,1,(IF(WEEKDAY(B2136)=1,2,IF(WEEKDAY(B2136)=7,1,0))))))</f>
        <v>3</v>
      </c>
      <c r="V2136" s="328">
        <f>VLOOKUP(C2136,METADATA!$A$5:$H$29,IF(E2136="HI",2,IF(E2136="LO",6,10))+IF(T2136=1,2,IF(D2136=7,1,(IF(WEEKDAY(B2136)=1,2,IF(WEEKDAY(B2136)=7,1,0))))))</f>
        <v>3</v>
      </c>
    </row>
    <row r="2137" spans="2:22">
      <c r="B2137" s="318">
        <f t="shared" si="131"/>
        <v>46201</v>
      </c>
      <c r="C2137" s="312">
        <v>21</v>
      </c>
      <c r="D2137" s="368">
        <f>IFERROR((INDEX(METADATA!$T$2:$T$20,MATCH(B2137,METADATA!$S$2:$S$20,0))),0)</f>
        <v>0</v>
      </c>
      <c r="E2137" s="312" t="str">
        <f t="shared" si="132"/>
        <v>LO</v>
      </c>
      <c r="F2137" s="369">
        <f>VLOOKUP(C2137,METADATA!$A$5:$H$29,IF(E2137="HI",2,IF(E2137="LO",6,10))+IF(D2137=1,2,IF(D2137=7,1,(IF(WEEKDAY(B2137)=1,2,IF(WEEKDAY(B2137)=7,1,0))))))</f>
        <v>3</v>
      </c>
      <c r="G2137" s="369">
        <f>VLOOKUP(C2137,METADATA!$J$5:$Q$29,IF(E2137="HI",2,IF(E2137="LO",6,10))+IF(D2137=1,2,IF(D2137=7,1,(IF(WEEKDAY(B2137)=1,2,IF(WEEKDAY(B2137)=7,1,0))))))</f>
        <v>3</v>
      </c>
      <c r="H2137" s="370">
        <v>12106.575256347656</v>
      </c>
      <c r="I2137" s="370">
        <v>3277.6450805664063</v>
      </c>
      <c r="M2137" s="371">
        <f t="shared" si="133"/>
        <v>12542.412914258981</v>
      </c>
      <c r="N2137" s="329">
        <f t="shared" si="134"/>
        <v>0</v>
      </c>
      <c r="T2137" s="331">
        <v>0</v>
      </c>
      <c r="U2137" s="328">
        <f>VLOOKUP(C2137,METADATA!$J$5:$Q$29,IF(E2137="HI",2,IF(E2137="LO",6,10))+IF(T2137=1,2,IF(D2137=7,1,(IF(WEEKDAY(B2137)=1,2,IF(WEEKDAY(B2137)=7,1,0))))))</f>
        <v>3</v>
      </c>
      <c r="V2137" s="328">
        <f>VLOOKUP(C2137,METADATA!$A$5:$H$29,IF(E2137="HI",2,IF(E2137="LO",6,10))+IF(T2137=1,2,IF(D2137=7,1,(IF(WEEKDAY(B2137)=1,2,IF(WEEKDAY(B2137)=7,1,0))))))</f>
        <v>3</v>
      </c>
    </row>
    <row r="2138" spans="2:22">
      <c r="B2138" s="318">
        <f t="shared" si="131"/>
        <v>46201</v>
      </c>
      <c r="C2138" s="312">
        <v>22</v>
      </c>
      <c r="D2138" s="368">
        <f>IFERROR((INDEX(METADATA!$T$2:$T$20,MATCH(B2138,METADATA!$S$2:$S$20,0))),0)</f>
        <v>0</v>
      </c>
      <c r="E2138" s="312" t="str">
        <f t="shared" si="132"/>
        <v>LO</v>
      </c>
      <c r="F2138" s="369">
        <f>VLOOKUP(C2138,METADATA!$A$5:$H$29,IF(E2138="HI",2,IF(E2138="LO",6,10))+IF(D2138=1,2,IF(D2138=7,1,(IF(WEEKDAY(B2138)=1,2,IF(WEEKDAY(B2138)=7,1,0))))))</f>
        <v>3</v>
      </c>
      <c r="G2138" s="369">
        <f>VLOOKUP(C2138,METADATA!$J$5:$Q$29,IF(E2138="HI",2,IF(E2138="LO",6,10))+IF(D2138=1,2,IF(D2138=7,1,(IF(WEEKDAY(B2138)=1,2,IF(WEEKDAY(B2138)=7,1,0))))))</f>
        <v>3</v>
      </c>
      <c r="H2138" s="370">
        <v>10673.070098876953</v>
      </c>
      <c r="I2138" s="370">
        <v>2721.2774963378906</v>
      </c>
      <c r="M2138" s="371">
        <f t="shared" si="133"/>
        <v>11014.525706884357</v>
      </c>
      <c r="N2138" s="329">
        <f t="shared" si="134"/>
        <v>0</v>
      </c>
      <c r="T2138" s="331">
        <v>0</v>
      </c>
      <c r="U2138" s="328">
        <f>VLOOKUP(C2138,METADATA!$J$5:$Q$29,IF(E2138="HI",2,IF(E2138="LO",6,10))+IF(T2138=1,2,IF(D2138=7,1,(IF(WEEKDAY(B2138)=1,2,IF(WEEKDAY(B2138)=7,1,0))))))</f>
        <v>3</v>
      </c>
      <c r="V2138" s="328">
        <f>VLOOKUP(C2138,METADATA!$A$5:$H$29,IF(E2138="HI",2,IF(E2138="LO",6,10))+IF(T2138=1,2,IF(D2138=7,1,(IF(WEEKDAY(B2138)=1,2,IF(WEEKDAY(B2138)=7,1,0))))))</f>
        <v>3</v>
      </c>
    </row>
    <row r="2139" spans="2:22">
      <c r="B2139" s="318">
        <f t="shared" si="131"/>
        <v>46201</v>
      </c>
      <c r="C2139" s="312">
        <v>23</v>
      </c>
      <c r="D2139" s="368">
        <f>IFERROR((INDEX(METADATA!$T$2:$T$20,MATCH(B2139,METADATA!$S$2:$S$20,0))),0)</f>
        <v>0</v>
      </c>
      <c r="E2139" s="312" t="str">
        <f t="shared" si="132"/>
        <v>LO</v>
      </c>
      <c r="F2139" s="369">
        <f>VLOOKUP(C2139,METADATA!$A$5:$H$29,IF(E2139="HI",2,IF(E2139="LO",6,10))+IF(D2139=1,2,IF(D2139=7,1,(IF(WEEKDAY(B2139)=1,2,IF(WEEKDAY(B2139)=7,1,0))))))</f>
        <v>3</v>
      </c>
      <c r="G2139" s="369">
        <f>VLOOKUP(C2139,METADATA!$J$5:$Q$29,IF(E2139="HI",2,IF(E2139="LO",6,10))+IF(D2139=1,2,IF(D2139=7,1,(IF(WEEKDAY(B2139)=1,2,IF(WEEKDAY(B2139)=7,1,0))))))</f>
        <v>3</v>
      </c>
      <c r="H2139" s="370">
        <v>11362.360229492188</v>
      </c>
      <c r="I2139" s="370">
        <v>3337.5625</v>
      </c>
      <c r="M2139" s="371">
        <f t="shared" si="133"/>
        <v>11842.40488355942</v>
      </c>
      <c r="N2139" s="329">
        <f t="shared" si="134"/>
        <v>0</v>
      </c>
      <c r="T2139" s="331">
        <v>0</v>
      </c>
      <c r="U2139" s="328">
        <f>VLOOKUP(C2139,METADATA!$J$5:$Q$29,IF(E2139="HI",2,IF(E2139="LO",6,10))+IF(T2139=1,2,IF(D2139=7,1,(IF(WEEKDAY(B2139)=1,2,IF(WEEKDAY(B2139)=7,1,0))))))</f>
        <v>3</v>
      </c>
      <c r="V2139" s="328">
        <f>VLOOKUP(C2139,METADATA!$A$5:$H$29,IF(E2139="HI",2,IF(E2139="LO",6,10))+IF(T2139=1,2,IF(D2139=7,1,(IF(WEEKDAY(B2139)=1,2,IF(WEEKDAY(B2139)=7,1,0))))))</f>
        <v>3</v>
      </c>
    </row>
    <row r="2140" spans="2:22">
      <c r="B2140" s="318">
        <f t="shared" ref="B2140:B2203" si="135">B2116+1</f>
        <v>46202</v>
      </c>
      <c r="C2140" s="312">
        <v>0</v>
      </c>
      <c r="D2140" s="368">
        <f>IFERROR((INDEX(METADATA!$T$2:$T$20,MATCH(B2140,METADATA!$S$2:$S$20,0))),0)</f>
        <v>0</v>
      </c>
      <c r="E2140" s="312" t="str">
        <f t="shared" si="132"/>
        <v>LO</v>
      </c>
      <c r="F2140" s="369">
        <f>VLOOKUP(C2140,METADATA!$A$5:$H$29,IF(E2140="HI",2,IF(E2140="LO",6,10))+IF(D2140=1,2,IF(D2140=7,1,(IF(WEEKDAY(B2140)=1,2,IF(WEEKDAY(B2140)=7,1,0))))))</f>
        <v>3</v>
      </c>
      <c r="G2140" s="369">
        <f>VLOOKUP(C2140,METADATA!$J$5:$Q$29,IF(E2140="HI",2,IF(E2140="LO",6,10))+IF(D2140=1,2,IF(D2140=7,1,(IF(WEEKDAY(B2140)=1,2,IF(WEEKDAY(B2140)=7,1,0))))))</f>
        <v>3</v>
      </c>
      <c r="H2140" s="370">
        <v>11359.992553710938</v>
      </c>
      <c r="I2140" s="370">
        <v>3176.9650268554688</v>
      </c>
      <c r="M2140" s="371">
        <f t="shared" si="133"/>
        <v>11795.869514462709</v>
      </c>
      <c r="N2140" s="329">
        <f t="shared" si="134"/>
        <v>0</v>
      </c>
      <c r="T2140" s="331">
        <v>0</v>
      </c>
      <c r="U2140" s="328">
        <f>VLOOKUP(C2140,METADATA!$J$5:$Q$29,IF(E2140="HI",2,IF(E2140="LO",6,10))+IF(T2140=1,2,IF(D2140=7,1,(IF(WEEKDAY(B2140)=1,2,IF(WEEKDAY(B2140)=7,1,0))))))</f>
        <v>3</v>
      </c>
      <c r="V2140" s="328">
        <f>VLOOKUP(C2140,METADATA!$A$5:$H$29,IF(E2140="HI",2,IF(E2140="LO",6,10))+IF(T2140=1,2,IF(D2140=7,1,(IF(WEEKDAY(B2140)=1,2,IF(WEEKDAY(B2140)=7,1,0))))))</f>
        <v>3</v>
      </c>
    </row>
    <row r="2141" spans="2:22">
      <c r="B2141" s="318">
        <f t="shared" si="135"/>
        <v>46202</v>
      </c>
      <c r="C2141" s="312">
        <v>1</v>
      </c>
      <c r="D2141" s="368">
        <f>IFERROR((INDEX(METADATA!$T$2:$T$20,MATCH(B2141,METADATA!$S$2:$S$20,0))),0)</f>
        <v>0</v>
      </c>
      <c r="E2141" s="312" t="str">
        <f t="shared" si="132"/>
        <v>LO</v>
      </c>
      <c r="F2141" s="369">
        <f>VLOOKUP(C2141,METADATA!$A$5:$H$29,IF(E2141="HI",2,IF(E2141="LO",6,10))+IF(D2141=1,2,IF(D2141=7,1,(IF(WEEKDAY(B2141)=1,2,IF(WEEKDAY(B2141)=7,1,0))))))</f>
        <v>3</v>
      </c>
      <c r="G2141" s="369">
        <f>VLOOKUP(C2141,METADATA!$J$5:$Q$29,IF(E2141="HI",2,IF(E2141="LO",6,10))+IF(D2141=1,2,IF(D2141=7,1,(IF(WEEKDAY(B2141)=1,2,IF(WEEKDAY(B2141)=7,1,0))))))</f>
        <v>3</v>
      </c>
      <c r="H2141" s="370">
        <v>11857.747528076172</v>
      </c>
      <c r="I2141" s="370">
        <v>3604.5200805664063</v>
      </c>
      <c r="M2141" s="371">
        <f t="shared" si="133"/>
        <v>12393.495933383891</v>
      </c>
      <c r="N2141" s="329">
        <f t="shared" si="134"/>
        <v>47.195822143554778</v>
      </c>
      <c r="T2141" s="331">
        <v>0</v>
      </c>
      <c r="U2141" s="328">
        <f>VLOOKUP(C2141,METADATA!$J$5:$Q$29,IF(E2141="HI",2,IF(E2141="LO",6,10))+IF(T2141=1,2,IF(D2141=7,1,(IF(WEEKDAY(B2141)=1,2,IF(WEEKDAY(B2141)=7,1,0))))))</f>
        <v>3</v>
      </c>
      <c r="V2141" s="328">
        <f>VLOOKUP(C2141,METADATA!$A$5:$H$29,IF(E2141="HI",2,IF(E2141="LO",6,10))+IF(T2141=1,2,IF(D2141=7,1,(IF(WEEKDAY(B2141)=1,2,IF(WEEKDAY(B2141)=7,1,0))))))</f>
        <v>3</v>
      </c>
    </row>
    <row r="2142" spans="2:22">
      <c r="B2142" s="318">
        <f t="shared" si="135"/>
        <v>46202</v>
      </c>
      <c r="C2142" s="312">
        <v>2</v>
      </c>
      <c r="D2142" s="368">
        <f>IFERROR((INDEX(METADATA!$T$2:$T$20,MATCH(B2142,METADATA!$S$2:$S$20,0))),0)</f>
        <v>0</v>
      </c>
      <c r="E2142" s="312" t="str">
        <f t="shared" si="132"/>
        <v>LO</v>
      </c>
      <c r="F2142" s="369">
        <f>VLOOKUP(C2142,METADATA!$A$5:$H$29,IF(E2142="HI",2,IF(E2142="LO",6,10))+IF(D2142=1,2,IF(D2142=7,1,(IF(WEEKDAY(B2142)=1,2,IF(WEEKDAY(B2142)=7,1,0))))))</f>
        <v>3</v>
      </c>
      <c r="G2142" s="369">
        <f>VLOOKUP(C2142,METADATA!$J$5:$Q$29,IF(E2142="HI",2,IF(E2142="LO",6,10))+IF(D2142=1,2,IF(D2142=7,1,(IF(WEEKDAY(B2142)=1,2,IF(WEEKDAY(B2142)=7,1,0))))))</f>
        <v>3</v>
      </c>
      <c r="H2142" s="370">
        <v>13379.25</v>
      </c>
      <c r="I2142" s="370">
        <v>4418.9050598144531</v>
      </c>
      <c r="M2142" s="371">
        <f t="shared" si="133"/>
        <v>14090.104772149631</v>
      </c>
      <c r="N2142" s="329">
        <f t="shared" si="134"/>
        <v>405.13005981445349</v>
      </c>
      <c r="T2142" s="331">
        <v>0</v>
      </c>
      <c r="U2142" s="328">
        <f>VLOOKUP(C2142,METADATA!$J$5:$Q$29,IF(E2142="HI",2,IF(E2142="LO",6,10))+IF(T2142=1,2,IF(D2142=7,1,(IF(WEEKDAY(B2142)=1,2,IF(WEEKDAY(B2142)=7,1,0))))))</f>
        <v>3</v>
      </c>
      <c r="V2142" s="328">
        <f>VLOOKUP(C2142,METADATA!$A$5:$H$29,IF(E2142="HI",2,IF(E2142="LO",6,10))+IF(T2142=1,2,IF(D2142=7,1,(IF(WEEKDAY(B2142)=1,2,IF(WEEKDAY(B2142)=7,1,0))))))</f>
        <v>3</v>
      </c>
    </row>
    <row r="2143" spans="2:22">
      <c r="B2143" s="318">
        <f t="shared" si="135"/>
        <v>46202</v>
      </c>
      <c r="C2143" s="312">
        <v>3</v>
      </c>
      <c r="D2143" s="368">
        <f>IFERROR((INDEX(METADATA!$T$2:$T$20,MATCH(B2143,METADATA!$S$2:$S$20,0))),0)</f>
        <v>0</v>
      </c>
      <c r="E2143" s="312" t="str">
        <f t="shared" si="132"/>
        <v>LO</v>
      </c>
      <c r="F2143" s="369">
        <f>VLOOKUP(C2143,METADATA!$A$5:$H$29,IF(E2143="HI",2,IF(E2143="LO",6,10))+IF(D2143=1,2,IF(D2143=7,1,(IF(WEEKDAY(B2143)=1,2,IF(WEEKDAY(B2143)=7,1,0))))))</f>
        <v>3</v>
      </c>
      <c r="G2143" s="369">
        <f>VLOOKUP(C2143,METADATA!$J$5:$Q$29,IF(E2143="HI",2,IF(E2143="LO",6,10))+IF(D2143=1,2,IF(D2143=7,1,(IF(WEEKDAY(B2143)=1,2,IF(WEEKDAY(B2143)=7,1,0))))))</f>
        <v>3</v>
      </c>
      <c r="H2143" s="370">
        <v>13763.084838867188</v>
      </c>
      <c r="I2143" s="370">
        <v>4559.4000244140625</v>
      </c>
      <c r="M2143" s="371">
        <f t="shared" si="133"/>
        <v>14498.642449018555</v>
      </c>
      <c r="N2143" s="329">
        <f t="shared" si="134"/>
        <v>430.47457275390661</v>
      </c>
      <c r="T2143" s="331">
        <v>0</v>
      </c>
      <c r="U2143" s="328">
        <f>VLOOKUP(C2143,METADATA!$J$5:$Q$29,IF(E2143="HI",2,IF(E2143="LO",6,10))+IF(T2143=1,2,IF(D2143=7,1,(IF(WEEKDAY(B2143)=1,2,IF(WEEKDAY(B2143)=7,1,0))))))</f>
        <v>3</v>
      </c>
      <c r="V2143" s="328">
        <f>VLOOKUP(C2143,METADATA!$A$5:$H$29,IF(E2143="HI",2,IF(E2143="LO",6,10))+IF(T2143=1,2,IF(D2143=7,1,(IF(WEEKDAY(B2143)=1,2,IF(WEEKDAY(B2143)=7,1,0))))))</f>
        <v>3</v>
      </c>
    </row>
    <row r="2144" spans="2:22">
      <c r="B2144" s="318">
        <f t="shared" si="135"/>
        <v>46202</v>
      </c>
      <c r="C2144" s="312">
        <v>4</v>
      </c>
      <c r="D2144" s="368">
        <f>IFERROR((INDEX(METADATA!$T$2:$T$20,MATCH(B2144,METADATA!$S$2:$S$20,0))),0)</f>
        <v>0</v>
      </c>
      <c r="E2144" s="312" t="str">
        <f t="shared" si="132"/>
        <v>LO</v>
      </c>
      <c r="F2144" s="369">
        <f>VLOOKUP(C2144,METADATA!$A$5:$H$29,IF(E2144="HI",2,IF(E2144="LO",6,10))+IF(D2144=1,2,IF(D2144=7,1,(IF(WEEKDAY(B2144)=1,2,IF(WEEKDAY(B2144)=7,1,0))))))</f>
        <v>3</v>
      </c>
      <c r="G2144" s="369">
        <f>VLOOKUP(C2144,METADATA!$J$5:$Q$29,IF(E2144="HI",2,IF(E2144="LO",6,10))+IF(D2144=1,2,IF(D2144=7,1,(IF(WEEKDAY(B2144)=1,2,IF(WEEKDAY(B2144)=7,1,0))))))</f>
        <v>3</v>
      </c>
      <c r="H2144" s="370">
        <v>13744.360107421875</v>
      </c>
      <c r="I2144" s="370">
        <v>4432.967529296875</v>
      </c>
      <c r="M2144" s="371">
        <f t="shared" si="133"/>
        <v>14441.559329874675</v>
      </c>
      <c r="N2144" s="329">
        <f t="shared" si="134"/>
        <v>309.65949707031268</v>
      </c>
      <c r="T2144" s="331">
        <v>0</v>
      </c>
      <c r="U2144" s="328">
        <f>VLOOKUP(C2144,METADATA!$J$5:$Q$29,IF(E2144="HI",2,IF(E2144="LO",6,10))+IF(T2144=1,2,IF(D2144=7,1,(IF(WEEKDAY(B2144)=1,2,IF(WEEKDAY(B2144)=7,1,0))))))</f>
        <v>3</v>
      </c>
      <c r="V2144" s="328">
        <f>VLOOKUP(C2144,METADATA!$A$5:$H$29,IF(E2144="HI",2,IF(E2144="LO",6,10))+IF(T2144=1,2,IF(D2144=7,1,(IF(WEEKDAY(B2144)=1,2,IF(WEEKDAY(B2144)=7,1,0))))))</f>
        <v>3</v>
      </c>
    </row>
    <row r="2145" spans="2:22">
      <c r="B2145" s="318">
        <f t="shared" si="135"/>
        <v>46202</v>
      </c>
      <c r="C2145" s="312">
        <v>5</v>
      </c>
      <c r="D2145" s="368">
        <f>IFERROR((INDEX(METADATA!$T$2:$T$20,MATCH(B2145,METADATA!$S$2:$S$20,0))),0)</f>
        <v>0</v>
      </c>
      <c r="E2145" s="312" t="str">
        <f t="shared" si="132"/>
        <v>LO</v>
      </c>
      <c r="F2145" s="369">
        <f>VLOOKUP(C2145,METADATA!$A$5:$H$29,IF(E2145="HI",2,IF(E2145="LO",6,10))+IF(D2145=1,2,IF(D2145=7,1,(IF(WEEKDAY(B2145)=1,2,IF(WEEKDAY(B2145)=7,1,0))))))</f>
        <v>3</v>
      </c>
      <c r="G2145" s="369">
        <f>VLOOKUP(C2145,METADATA!$J$5:$Q$29,IF(E2145="HI",2,IF(E2145="LO",6,10))+IF(D2145=1,2,IF(D2145=7,1,(IF(WEEKDAY(B2145)=1,2,IF(WEEKDAY(B2145)=7,1,0))))))</f>
        <v>3</v>
      </c>
      <c r="H2145" s="370">
        <v>13794.649719238281</v>
      </c>
      <c r="I2145" s="370">
        <v>4377.6950073242188</v>
      </c>
      <c r="M2145" s="371">
        <f t="shared" si="133"/>
        <v>14472.614637778212</v>
      </c>
      <c r="N2145" s="329">
        <f t="shared" si="134"/>
        <v>239.30009155273456</v>
      </c>
      <c r="T2145" s="331">
        <v>0</v>
      </c>
      <c r="U2145" s="328">
        <f>VLOOKUP(C2145,METADATA!$J$5:$Q$29,IF(E2145="HI",2,IF(E2145="LO",6,10))+IF(T2145=1,2,IF(D2145=7,1,(IF(WEEKDAY(B2145)=1,2,IF(WEEKDAY(B2145)=7,1,0))))))</f>
        <v>3</v>
      </c>
      <c r="V2145" s="328">
        <f>VLOOKUP(C2145,METADATA!$A$5:$H$29,IF(E2145="HI",2,IF(E2145="LO",6,10))+IF(T2145=1,2,IF(D2145=7,1,(IF(WEEKDAY(B2145)=1,2,IF(WEEKDAY(B2145)=7,1,0))))))</f>
        <v>3</v>
      </c>
    </row>
    <row r="2146" spans="2:22">
      <c r="B2146" s="318">
        <f t="shared" si="135"/>
        <v>46202</v>
      </c>
      <c r="C2146" s="312">
        <v>6</v>
      </c>
      <c r="D2146" s="368">
        <f>IFERROR((INDEX(METADATA!$T$2:$T$20,MATCH(B2146,METADATA!$S$2:$S$20,0))),0)</f>
        <v>0</v>
      </c>
      <c r="E2146" s="312" t="str">
        <f t="shared" si="132"/>
        <v>LO</v>
      </c>
      <c r="F2146" s="369">
        <f>VLOOKUP(C2146,METADATA!$A$5:$H$29,IF(E2146="HI",2,IF(E2146="LO",6,10))+IF(D2146=1,2,IF(D2146=7,1,(IF(WEEKDAY(B2146)=1,2,IF(WEEKDAY(B2146)=7,1,0))))))</f>
        <v>2</v>
      </c>
      <c r="G2146" s="369">
        <f>VLOOKUP(C2146,METADATA!$J$5:$Q$29,IF(E2146="HI",2,IF(E2146="LO",6,10))+IF(D2146=1,2,IF(D2146=7,1,(IF(WEEKDAY(B2146)=1,2,IF(WEEKDAY(B2146)=7,1,0))))))</f>
        <v>2</v>
      </c>
      <c r="H2146" s="370">
        <v>13732.35009765625</v>
      </c>
      <c r="I2146" s="370">
        <v>4339.64501953125</v>
      </c>
      <c r="M2146" s="371">
        <f t="shared" si="133"/>
        <v>14401.734551787225</v>
      </c>
      <c r="N2146" s="329">
        <f t="shared" si="134"/>
        <v>219.93999023437482</v>
      </c>
      <c r="T2146" s="331">
        <v>0</v>
      </c>
      <c r="U2146" s="328">
        <f>VLOOKUP(C2146,METADATA!$J$5:$Q$29,IF(E2146="HI",2,IF(E2146="LO",6,10))+IF(T2146=1,2,IF(D2146=7,1,(IF(WEEKDAY(B2146)=1,2,IF(WEEKDAY(B2146)=7,1,0))))))</f>
        <v>2</v>
      </c>
      <c r="V2146" s="328">
        <f>VLOOKUP(C2146,METADATA!$A$5:$H$29,IF(E2146="HI",2,IF(E2146="LO",6,10))+IF(T2146=1,2,IF(D2146=7,1,(IF(WEEKDAY(B2146)=1,2,IF(WEEKDAY(B2146)=7,1,0))))))</f>
        <v>2</v>
      </c>
    </row>
    <row r="2147" spans="2:22">
      <c r="B2147" s="318">
        <f t="shared" si="135"/>
        <v>46202</v>
      </c>
      <c r="C2147" s="312">
        <v>7</v>
      </c>
      <c r="D2147" s="368">
        <f>IFERROR((INDEX(METADATA!$T$2:$T$20,MATCH(B2147,METADATA!$S$2:$S$20,0))),0)</f>
        <v>0</v>
      </c>
      <c r="E2147" s="312" t="str">
        <f t="shared" si="132"/>
        <v>LO</v>
      </c>
      <c r="F2147" s="369">
        <f>VLOOKUP(C2147,METADATA!$A$5:$H$29,IF(E2147="HI",2,IF(E2147="LO",6,10))+IF(D2147=1,2,IF(D2147=7,1,(IF(WEEKDAY(B2147)=1,2,IF(WEEKDAY(B2147)=7,1,0))))))</f>
        <v>1</v>
      </c>
      <c r="G2147" s="369">
        <f>VLOOKUP(C2147,METADATA!$J$5:$Q$29,IF(E2147="HI",2,IF(E2147="LO",6,10))+IF(D2147=1,2,IF(D2147=7,1,(IF(WEEKDAY(B2147)=1,2,IF(WEEKDAY(B2147)=7,1,0))))))</f>
        <v>1</v>
      </c>
      <c r="H2147" s="370">
        <v>12921.22509765625</v>
      </c>
      <c r="I2147" s="370">
        <v>3700.8250274658203</v>
      </c>
      <c r="M2147" s="371">
        <f t="shared" si="133"/>
        <v>13440.765004575414</v>
      </c>
      <c r="N2147" s="329">
        <f t="shared" si="134"/>
        <v>0</v>
      </c>
      <c r="T2147" s="331">
        <v>0</v>
      </c>
      <c r="U2147" s="328">
        <f>VLOOKUP(C2147,METADATA!$J$5:$Q$29,IF(E2147="HI",2,IF(E2147="LO",6,10))+IF(T2147=1,2,IF(D2147=7,1,(IF(WEEKDAY(B2147)=1,2,IF(WEEKDAY(B2147)=7,1,0))))))</f>
        <v>1</v>
      </c>
      <c r="V2147" s="328">
        <f>VLOOKUP(C2147,METADATA!$A$5:$H$29,IF(E2147="HI",2,IF(E2147="LO",6,10))+IF(T2147=1,2,IF(D2147=7,1,(IF(WEEKDAY(B2147)=1,2,IF(WEEKDAY(B2147)=7,1,0))))))</f>
        <v>1</v>
      </c>
    </row>
    <row r="2148" spans="2:22">
      <c r="B2148" s="318">
        <f t="shared" si="135"/>
        <v>46202</v>
      </c>
      <c r="C2148" s="312">
        <v>8</v>
      </c>
      <c r="D2148" s="368">
        <f>IFERROR((INDEX(METADATA!$T$2:$T$20,MATCH(B2148,METADATA!$S$2:$S$20,0))),0)</f>
        <v>0</v>
      </c>
      <c r="E2148" s="312" t="str">
        <f t="shared" si="132"/>
        <v>LO</v>
      </c>
      <c r="F2148" s="369">
        <f>VLOOKUP(C2148,METADATA!$A$5:$H$29,IF(E2148="HI",2,IF(E2148="LO",6,10))+IF(D2148=1,2,IF(D2148=7,1,(IF(WEEKDAY(B2148)=1,2,IF(WEEKDAY(B2148)=7,1,0))))))</f>
        <v>1</v>
      </c>
      <c r="G2148" s="369">
        <f>VLOOKUP(C2148,METADATA!$J$5:$Q$29,IF(E2148="HI",2,IF(E2148="LO",6,10))+IF(D2148=1,2,IF(D2148=7,1,(IF(WEEKDAY(B2148)=1,2,IF(WEEKDAY(B2148)=7,1,0))))))</f>
        <v>1</v>
      </c>
      <c r="H2148" s="370">
        <v>12837.050109863281</v>
      </c>
      <c r="I2148" s="370">
        <v>3500.0799865722656</v>
      </c>
      <c r="M2148" s="371">
        <f t="shared" si="133"/>
        <v>13305.653514034724</v>
      </c>
      <c r="N2148" s="329">
        <f t="shared" si="134"/>
        <v>0</v>
      </c>
      <c r="T2148" s="331">
        <v>0</v>
      </c>
      <c r="U2148" s="328">
        <f>VLOOKUP(C2148,METADATA!$J$5:$Q$29,IF(E2148="HI",2,IF(E2148="LO",6,10))+IF(T2148=1,2,IF(D2148=7,1,(IF(WEEKDAY(B2148)=1,2,IF(WEEKDAY(B2148)=7,1,0))))))</f>
        <v>1</v>
      </c>
      <c r="V2148" s="328">
        <f>VLOOKUP(C2148,METADATA!$A$5:$H$29,IF(E2148="HI",2,IF(E2148="LO",6,10))+IF(T2148=1,2,IF(D2148=7,1,(IF(WEEKDAY(B2148)=1,2,IF(WEEKDAY(B2148)=7,1,0))))))</f>
        <v>1</v>
      </c>
    </row>
    <row r="2149" spans="2:22">
      <c r="B2149" s="318">
        <f t="shared" si="135"/>
        <v>46202</v>
      </c>
      <c r="C2149" s="312">
        <v>9</v>
      </c>
      <c r="D2149" s="368">
        <f>IFERROR((INDEX(METADATA!$T$2:$T$20,MATCH(B2149,METADATA!$S$2:$S$20,0))),0)</f>
        <v>0</v>
      </c>
      <c r="E2149" s="312" t="str">
        <f t="shared" si="132"/>
        <v>LO</v>
      </c>
      <c r="F2149" s="369">
        <f>VLOOKUP(C2149,METADATA!$A$5:$H$29,IF(E2149="HI",2,IF(E2149="LO",6,10))+IF(D2149=1,2,IF(D2149=7,1,(IF(WEEKDAY(B2149)=1,2,IF(WEEKDAY(B2149)=7,1,0))))))</f>
        <v>2</v>
      </c>
      <c r="G2149" s="369">
        <f>VLOOKUP(C2149,METADATA!$J$5:$Q$29,IF(E2149="HI",2,IF(E2149="LO",6,10))+IF(D2149=1,2,IF(D2149=7,1,(IF(WEEKDAY(B2149)=1,2,IF(WEEKDAY(B2149)=7,1,0))))))</f>
        <v>2</v>
      </c>
      <c r="H2149" s="370">
        <v>13919.200622558594</v>
      </c>
      <c r="I2149" s="370">
        <v>4648.1950073242188</v>
      </c>
      <c r="M2149" s="371">
        <f t="shared" si="133"/>
        <v>14674.803671502706</v>
      </c>
      <c r="N2149" s="329">
        <f t="shared" si="134"/>
        <v>472.43482055664117</v>
      </c>
      <c r="T2149" s="331">
        <v>0</v>
      </c>
      <c r="U2149" s="328">
        <f>VLOOKUP(C2149,METADATA!$J$5:$Q$29,IF(E2149="HI",2,IF(E2149="LO",6,10))+IF(T2149=1,2,IF(D2149=7,1,(IF(WEEKDAY(B2149)=1,2,IF(WEEKDAY(B2149)=7,1,0))))))</f>
        <v>2</v>
      </c>
      <c r="V2149" s="328">
        <f>VLOOKUP(C2149,METADATA!$A$5:$H$29,IF(E2149="HI",2,IF(E2149="LO",6,10))+IF(T2149=1,2,IF(D2149=7,1,(IF(WEEKDAY(B2149)=1,2,IF(WEEKDAY(B2149)=7,1,0))))))</f>
        <v>2</v>
      </c>
    </row>
    <row r="2150" spans="2:22">
      <c r="B2150" s="318">
        <f t="shared" si="135"/>
        <v>46202</v>
      </c>
      <c r="C2150" s="312">
        <v>10</v>
      </c>
      <c r="D2150" s="368">
        <f>IFERROR((INDEX(METADATA!$T$2:$T$20,MATCH(B2150,METADATA!$S$2:$S$20,0))),0)</f>
        <v>0</v>
      </c>
      <c r="E2150" s="312" t="str">
        <f t="shared" si="132"/>
        <v>LO</v>
      </c>
      <c r="F2150" s="369">
        <f>VLOOKUP(C2150,METADATA!$A$5:$H$29,IF(E2150="HI",2,IF(E2150="LO",6,10))+IF(D2150=1,2,IF(D2150=7,1,(IF(WEEKDAY(B2150)=1,2,IF(WEEKDAY(B2150)=7,1,0))))))</f>
        <v>2</v>
      </c>
      <c r="G2150" s="369">
        <f>VLOOKUP(C2150,METADATA!$J$5:$Q$29,IF(E2150="HI",2,IF(E2150="LO",6,10))+IF(D2150=1,2,IF(D2150=7,1,(IF(WEEKDAY(B2150)=1,2,IF(WEEKDAY(B2150)=7,1,0))))))</f>
        <v>2</v>
      </c>
      <c r="H2150" s="370">
        <v>13790.474975585938</v>
      </c>
      <c r="I2150" s="370">
        <v>4449.7349548339844</v>
      </c>
      <c r="M2150" s="371">
        <f t="shared" si="133"/>
        <v>14490.594922933058</v>
      </c>
      <c r="N2150" s="329">
        <f t="shared" si="134"/>
        <v>312.59246215820349</v>
      </c>
      <c r="T2150" s="331">
        <v>0</v>
      </c>
      <c r="U2150" s="328">
        <f>VLOOKUP(C2150,METADATA!$J$5:$Q$29,IF(E2150="HI",2,IF(E2150="LO",6,10))+IF(T2150=1,2,IF(D2150=7,1,(IF(WEEKDAY(B2150)=1,2,IF(WEEKDAY(B2150)=7,1,0))))))</f>
        <v>2</v>
      </c>
      <c r="V2150" s="328">
        <f>VLOOKUP(C2150,METADATA!$A$5:$H$29,IF(E2150="HI",2,IF(E2150="LO",6,10))+IF(T2150=1,2,IF(D2150=7,1,(IF(WEEKDAY(B2150)=1,2,IF(WEEKDAY(B2150)=7,1,0))))))</f>
        <v>2</v>
      </c>
    </row>
    <row r="2151" spans="2:22">
      <c r="B2151" s="318">
        <f t="shared" si="135"/>
        <v>46202</v>
      </c>
      <c r="C2151" s="312">
        <v>11</v>
      </c>
      <c r="D2151" s="368">
        <f>IFERROR((INDEX(METADATA!$T$2:$T$20,MATCH(B2151,METADATA!$S$2:$S$20,0))),0)</f>
        <v>0</v>
      </c>
      <c r="E2151" s="312" t="str">
        <f t="shared" si="132"/>
        <v>LO</v>
      </c>
      <c r="F2151" s="369">
        <f>VLOOKUP(C2151,METADATA!$A$5:$H$29,IF(E2151="HI",2,IF(E2151="LO",6,10))+IF(D2151=1,2,IF(D2151=7,1,(IF(WEEKDAY(B2151)=1,2,IF(WEEKDAY(B2151)=7,1,0))))))</f>
        <v>2</v>
      </c>
      <c r="G2151" s="369">
        <f>VLOOKUP(C2151,METADATA!$J$5:$Q$29,IF(E2151="HI",2,IF(E2151="LO",6,10))+IF(D2151=1,2,IF(D2151=7,1,(IF(WEEKDAY(B2151)=1,2,IF(WEEKDAY(B2151)=7,1,0))))))</f>
        <v>2</v>
      </c>
      <c r="H2151" s="370">
        <v>14020.4248046875</v>
      </c>
      <c r="I2151" s="370">
        <v>4522.0999755859375</v>
      </c>
      <c r="M2151" s="371">
        <f t="shared" si="133"/>
        <v>14731.656386608087</v>
      </c>
      <c r="N2151" s="329">
        <f t="shared" si="134"/>
        <v>315.9725341796875</v>
      </c>
      <c r="T2151" s="331">
        <v>0</v>
      </c>
      <c r="U2151" s="328">
        <f>VLOOKUP(C2151,METADATA!$J$5:$Q$29,IF(E2151="HI",2,IF(E2151="LO",6,10))+IF(T2151=1,2,IF(D2151=7,1,(IF(WEEKDAY(B2151)=1,2,IF(WEEKDAY(B2151)=7,1,0))))))</f>
        <v>2</v>
      </c>
      <c r="V2151" s="328">
        <f>VLOOKUP(C2151,METADATA!$A$5:$H$29,IF(E2151="HI",2,IF(E2151="LO",6,10))+IF(T2151=1,2,IF(D2151=7,1,(IF(WEEKDAY(B2151)=1,2,IF(WEEKDAY(B2151)=7,1,0))))))</f>
        <v>2</v>
      </c>
    </row>
    <row r="2152" spans="2:22">
      <c r="B2152" s="318">
        <f t="shared" si="135"/>
        <v>46202</v>
      </c>
      <c r="C2152" s="312">
        <v>12</v>
      </c>
      <c r="D2152" s="368">
        <f>IFERROR((INDEX(METADATA!$T$2:$T$20,MATCH(B2152,METADATA!$S$2:$S$20,0))),0)</f>
        <v>0</v>
      </c>
      <c r="E2152" s="312" t="str">
        <f t="shared" si="132"/>
        <v>LO</v>
      </c>
      <c r="F2152" s="369">
        <f>VLOOKUP(C2152,METADATA!$A$5:$H$29,IF(E2152="HI",2,IF(E2152="LO",6,10))+IF(D2152=1,2,IF(D2152=7,1,(IF(WEEKDAY(B2152)=1,2,IF(WEEKDAY(B2152)=7,1,0))))))</f>
        <v>2</v>
      </c>
      <c r="G2152" s="369">
        <f>VLOOKUP(C2152,METADATA!$J$5:$Q$29,IF(E2152="HI",2,IF(E2152="LO",6,10))+IF(D2152=1,2,IF(D2152=7,1,(IF(WEEKDAY(B2152)=1,2,IF(WEEKDAY(B2152)=7,1,0))))))</f>
        <v>2</v>
      </c>
      <c r="H2152" s="370">
        <v>13112.924987792969</v>
      </c>
      <c r="I2152" s="370">
        <v>4051.1699829101563</v>
      </c>
      <c r="M2152" s="371">
        <f t="shared" si="133"/>
        <v>13724.459186646209</v>
      </c>
      <c r="N2152" s="329">
        <f t="shared" si="134"/>
        <v>117.29248657226572</v>
      </c>
      <c r="T2152" s="331">
        <v>0</v>
      </c>
      <c r="U2152" s="328">
        <f>VLOOKUP(C2152,METADATA!$J$5:$Q$29,IF(E2152="HI",2,IF(E2152="LO",6,10))+IF(T2152=1,2,IF(D2152=7,1,(IF(WEEKDAY(B2152)=1,2,IF(WEEKDAY(B2152)=7,1,0))))))</f>
        <v>2</v>
      </c>
      <c r="V2152" s="328">
        <f>VLOOKUP(C2152,METADATA!$A$5:$H$29,IF(E2152="HI",2,IF(E2152="LO",6,10))+IF(T2152=1,2,IF(D2152=7,1,(IF(WEEKDAY(B2152)=1,2,IF(WEEKDAY(B2152)=7,1,0))))))</f>
        <v>2</v>
      </c>
    </row>
    <row r="2153" spans="2:22">
      <c r="B2153" s="318">
        <f t="shared" si="135"/>
        <v>46202</v>
      </c>
      <c r="C2153" s="312">
        <v>13</v>
      </c>
      <c r="D2153" s="368">
        <f>IFERROR((INDEX(METADATA!$T$2:$T$20,MATCH(B2153,METADATA!$S$2:$S$20,0))),0)</f>
        <v>0</v>
      </c>
      <c r="E2153" s="312" t="str">
        <f t="shared" si="132"/>
        <v>LO</v>
      </c>
      <c r="F2153" s="369">
        <f>VLOOKUP(C2153,METADATA!$A$5:$H$29,IF(E2153="HI",2,IF(E2153="LO",6,10))+IF(D2153=1,2,IF(D2153=7,1,(IF(WEEKDAY(B2153)=1,2,IF(WEEKDAY(B2153)=7,1,0))))))</f>
        <v>2</v>
      </c>
      <c r="G2153" s="369">
        <f>VLOOKUP(C2153,METADATA!$J$5:$Q$29,IF(E2153="HI",2,IF(E2153="LO",6,10))+IF(D2153=1,2,IF(D2153=7,1,(IF(WEEKDAY(B2153)=1,2,IF(WEEKDAY(B2153)=7,1,0))))))</f>
        <v>2</v>
      </c>
      <c r="H2153" s="370">
        <v>12521.274963378906</v>
      </c>
      <c r="I2153" s="370">
        <v>3659.2099914550781</v>
      </c>
      <c r="M2153" s="371">
        <f t="shared" si="133"/>
        <v>13045.004579152286</v>
      </c>
      <c r="N2153" s="329">
        <f t="shared" si="134"/>
        <v>0</v>
      </c>
      <c r="T2153" s="331">
        <v>0</v>
      </c>
      <c r="U2153" s="328">
        <f>VLOOKUP(C2153,METADATA!$J$5:$Q$29,IF(E2153="HI",2,IF(E2153="LO",6,10))+IF(T2153=1,2,IF(D2153=7,1,(IF(WEEKDAY(B2153)=1,2,IF(WEEKDAY(B2153)=7,1,0))))))</f>
        <v>2</v>
      </c>
      <c r="V2153" s="328">
        <f>VLOOKUP(C2153,METADATA!$A$5:$H$29,IF(E2153="HI",2,IF(E2153="LO",6,10))+IF(T2153=1,2,IF(D2153=7,1,(IF(WEEKDAY(B2153)=1,2,IF(WEEKDAY(B2153)=7,1,0))))))</f>
        <v>2</v>
      </c>
    </row>
    <row r="2154" spans="2:22">
      <c r="B2154" s="318">
        <f t="shared" si="135"/>
        <v>46202</v>
      </c>
      <c r="C2154" s="312">
        <v>14</v>
      </c>
      <c r="D2154" s="368">
        <f>IFERROR((INDEX(METADATA!$T$2:$T$20,MATCH(B2154,METADATA!$S$2:$S$20,0))),0)</f>
        <v>0</v>
      </c>
      <c r="E2154" s="312" t="str">
        <f t="shared" si="132"/>
        <v>LO</v>
      </c>
      <c r="F2154" s="369">
        <f>VLOOKUP(C2154,METADATA!$A$5:$H$29,IF(E2154="HI",2,IF(E2154="LO",6,10))+IF(D2154=1,2,IF(D2154=7,1,(IF(WEEKDAY(B2154)=1,2,IF(WEEKDAY(B2154)=7,1,0))))))</f>
        <v>2</v>
      </c>
      <c r="G2154" s="369">
        <f>VLOOKUP(C2154,METADATA!$J$5:$Q$29,IF(E2154="HI",2,IF(E2154="LO",6,10))+IF(D2154=1,2,IF(D2154=7,1,(IF(WEEKDAY(B2154)=1,2,IF(WEEKDAY(B2154)=7,1,0))))))</f>
        <v>2</v>
      </c>
      <c r="H2154" s="370">
        <v>13915.224853515625</v>
      </c>
      <c r="I2154" s="370">
        <v>4515.6850280761719</v>
      </c>
      <c r="M2154" s="371">
        <f t="shared" si="133"/>
        <v>14629.589672874979</v>
      </c>
      <c r="N2154" s="329">
        <f t="shared" si="134"/>
        <v>341.11757202148419</v>
      </c>
      <c r="T2154" s="331">
        <v>0</v>
      </c>
      <c r="U2154" s="328">
        <f>VLOOKUP(C2154,METADATA!$J$5:$Q$29,IF(E2154="HI",2,IF(E2154="LO",6,10))+IF(T2154=1,2,IF(D2154=7,1,(IF(WEEKDAY(B2154)=1,2,IF(WEEKDAY(B2154)=7,1,0))))))</f>
        <v>2</v>
      </c>
      <c r="V2154" s="328">
        <f>VLOOKUP(C2154,METADATA!$A$5:$H$29,IF(E2154="HI",2,IF(E2154="LO",6,10))+IF(T2154=1,2,IF(D2154=7,1,(IF(WEEKDAY(B2154)=1,2,IF(WEEKDAY(B2154)=7,1,0))))))</f>
        <v>2</v>
      </c>
    </row>
    <row r="2155" spans="2:22">
      <c r="B2155" s="318">
        <f t="shared" si="135"/>
        <v>46202</v>
      </c>
      <c r="C2155" s="312">
        <v>15</v>
      </c>
      <c r="D2155" s="368">
        <f>IFERROR((INDEX(METADATA!$T$2:$T$20,MATCH(B2155,METADATA!$S$2:$S$20,0))),0)</f>
        <v>0</v>
      </c>
      <c r="E2155" s="312" t="str">
        <f t="shared" si="132"/>
        <v>LO</v>
      </c>
      <c r="F2155" s="369">
        <f>VLOOKUP(C2155,METADATA!$A$5:$H$29,IF(E2155="HI",2,IF(E2155="LO",6,10))+IF(D2155=1,2,IF(D2155=7,1,(IF(WEEKDAY(B2155)=1,2,IF(WEEKDAY(B2155)=7,1,0))))))</f>
        <v>2</v>
      </c>
      <c r="G2155" s="369">
        <f>VLOOKUP(C2155,METADATA!$J$5:$Q$29,IF(E2155="HI",2,IF(E2155="LO",6,10))+IF(D2155=1,2,IF(D2155=7,1,(IF(WEEKDAY(B2155)=1,2,IF(WEEKDAY(B2155)=7,1,0))))))</f>
        <v>2</v>
      </c>
      <c r="H2155" s="370">
        <v>13952.024841308594</v>
      </c>
      <c r="I2155" s="370">
        <v>4526.1649780273438</v>
      </c>
      <c r="M2155" s="371">
        <f t="shared" si="133"/>
        <v>14667.82760264155</v>
      </c>
      <c r="N2155" s="329">
        <f t="shared" si="134"/>
        <v>340.55752563476563</v>
      </c>
      <c r="T2155" s="331">
        <v>0</v>
      </c>
      <c r="U2155" s="328">
        <f>VLOOKUP(C2155,METADATA!$J$5:$Q$29,IF(E2155="HI",2,IF(E2155="LO",6,10))+IF(T2155=1,2,IF(D2155=7,1,(IF(WEEKDAY(B2155)=1,2,IF(WEEKDAY(B2155)=7,1,0))))))</f>
        <v>2</v>
      </c>
      <c r="V2155" s="328">
        <f>VLOOKUP(C2155,METADATA!$A$5:$H$29,IF(E2155="HI",2,IF(E2155="LO",6,10))+IF(T2155=1,2,IF(D2155=7,1,(IF(WEEKDAY(B2155)=1,2,IF(WEEKDAY(B2155)=7,1,0))))))</f>
        <v>2</v>
      </c>
    </row>
    <row r="2156" spans="2:22">
      <c r="B2156" s="318">
        <f t="shared" si="135"/>
        <v>46202</v>
      </c>
      <c r="C2156" s="312">
        <v>16</v>
      </c>
      <c r="D2156" s="368">
        <f>IFERROR((INDEX(METADATA!$T$2:$T$20,MATCH(B2156,METADATA!$S$2:$S$20,0))),0)</f>
        <v>0</v>
      </c>
      <c r="E2156" s="312" t="str">
        <f t="shared" si="132"/>
        <v>LO</v>
      </c>
      <c r="F2156" s="369">
        <f>VLOOKUP(C2156,METADATA!$A$5:$H$29,IF(E2156="HI",2,IF(E2156="LO",6,10))+IF(D2156=1,2,IF(D2156=7,1,(IF(WEEKDAY(B2156)=1,2,IF(WEEKDAY(B2156)=7,1,0))))))</f>
        <v>2</v>
      </c>
      <c r="G2156" s="369">
        <f>VLOOKUP(C2156,METADATA!$J$5:$Q$29,IF(E2156="HI",2,IF(E2156="LO",6,10))+IF(D2156=1,2,IF(D2156=7,1,(IF(WEEKDAY(B2156)=1,2,IF(WEEKDAY(B2156)=7,1,0))))))</f>
        <v>2</v>
      </c>
      <c r="H2156" s="370">
        <v>13905.074951171875</v>
      </c>
      <c r="I2156" s="370">
        <v>4743.4750366210938</v>
      </c>
      <c r="M2156" s="371">
        <f t="shared" si="133"/>
        <v>14691.89112472438</v>
      </c>
      <c r="N2156" s="329">
        <f t="shared" si="134"/>
        <v>571.9525512695318</v>
      </c>
      <c r="T2156" s="331">
        <v>0</v>
      </c>
      <c r="U2156" s="328">
        <f>VLOOKUP(C2156,METADATA!$J$5:$Q$29,IF(E2156="HI",2,IF(E2156="LO",6,10))+IF(T2156=1,2,IF(D2156=7,1,(IF(WEEKDAY(B2156)=1,2,IF(WEEKDAY(B2156)=7,1,0))))))</f>
        <v>2</v>
      </c>
      <c r="V2156" s="328">
        <f>VLOOKUP(C2156,METADATA!$A$5:$H$29,IF(E2156="HI",2,IF(E2156="LO",6,10))+IF(T2156=1,2,IF(D2156=7,1,(IF(WEEKDAY(B2156)=1,2,IF(WEEKDAY(B2156)=7,1,0))))))</f>
        <v>2</v>
      </c>
    </row>
    <row r="2157" spans="2:22">
      <c r="B2157" s="318">
        <f t="shared" si="135"/>
        <v>46202</v>
      </c>
      <c r="C2157" s="312">
        <v>17</v>
      </c>
      <c r="D2157" s="368">
        <f>IFERROR((INDEX(METADATA!$T$2:$T$20,MATCH(B2157,METADATA!$S$2:$S$20,0))),0)</f>
        <v>0</v>
      </c>
      <c r="E2157" s="312" t="str">
        <f t="shared" si="132"/>
        <v>LO</v>
      </c>
      <c r="F2157" s="369">
        <f>VLOOKUP(C2157,METADATA!$A$5:$H$29,IF(E2157="HI",2,IF(E2157="LO",6,10))+IF(D2157=1,2,IF(D2157=7,1,(IF(WEEKDAY(B2157)=1,2,IF(WEEKDAY(B2157)=7,1,0))))))</f>
        <v>2</v>
      </c>
      <c r="G2157" s="369">
        <f>VLOOKUP(C2157,METADATA!$J$5:$Q$29,IF(E2157="HI",2,IF(E2157="LO",6,10))+IF(D2157=1,2,IF(D2157=7,1,(IF(WEEKDAY(B2157)=1,2,IF(WEEKDAY(B2157)=7,1,0))))))</f>
        <v>2</v>
      </c>
      <c r="H2157" s="370">
        <v>14159.575012207031</v>
      </c>
      <c r="I2157" s="370">
        <v>4633.7849426269531</v>
      </c>
      <c r="M2157" s="371">
        <f t="shared" si="133"/>
        <v>14898.507556827093</v>
      </c>
      <c r="N2157" s="329">
        <f t="shared" si="134"/>
        <v>385.91243896484411</v>
      </c>
      <c r="T2157" s="331">
        <v>0</v>
      </c>
      <c r="U2157" s="328">
        <f>VLOOKUP(C2157,METADATA!$J$5:$Q$29,IF(E2157="HI",2,IF(E2157="LO",6,10))+IF(T2157=1,2,IF(D2157=7,1,(IF(WEEKDAY(B2157)=1,2,IF(WEEKDAY(B2157)=7,1,0))))))</f>
        <v>2</v>
      </c>
      <c r="V2157" s="328">
        <f>VLOOKUP(C2157,METADATA!$A$5:$H$29,IF(E2157="HI",2,IF(E2157="LO",6,10))+IF(T2157=1,2,IF(D2157=7,1,(IF(WEEKDAY(B2157)=1,2,IF(WEEKDAY(B2157)=7,1,0))))))</f>
        <v>2</v>
      </c>
    </row>
    <row r="2158" spans="2:22">
      <c r="B2158" s="318">
        <f t="shared" si="135"/>
        <v>46202</v>
      </c>
      <c r="C2158" s="312">
        <v>18</v>
      </c>
      <c r="D2158" s="368">
        <f>IFERROR((INDEX(METADATA!$T$2:$T$20,MATCH(B2158,METADATA!$S$2:$S$20,0))),0)</f>
        <v>0</v>
      </c>
      <c r="E2158" s="312" t="str">
        <f t="shared" si="132"/>
        <v>LO</v>
      </c>
      <c r="F2158" s="369">
        <f>VLOOKUP(C2158,METADATA!$A$5:$H$29,IF(E2158="HI",2,IF(E2158="LO",6,10))+IF(D2158=1,2,IF(D2158=7,1,(IF(WEEKDAY(B2158)=1,2,IF(WEEKDAY(B2158)=7,1,0))))))</f>
        <v>1</v>
      </c>
      <c r="G2158" s="369">
        <f>VLOOKUP(C2158,METADATA!$J$5:$Q$29,IF(E2158="HI",2,IF(E2158="LO",6,10))+IF(D2158=1,2,IF(D2158=7,1,(IF(WEEKDAY(B2158)=1,2,IF(WEEKDAY(B2158)=7,1,0))))))</f>
        <v>1</v>
      </c>
      <c r="H2158" s="370">
        <v>13936.925415039063</v>
      </c>
      <c r="I2158" s="370">
        <v>4388.39501953125</v>
      </c>
      <c r="M2158" s="371">
        <f t="shared" si="133"/>
        <v>14611.49892625012</v>
      </c>
      <c r="N2158" s="329">
        <f t="shared" si="134"/>
        <v>207.31739501953143</v>
      </c>
      <c r="T2158" s="331">
        <v>0</v>
      </c>
      <c r="U2158" s="328">
        <f>VLOOKUP(C2158,METADATA!$J$5:$Q$29,IF(E2158="HI",2,IF(E2158="LO",6,10))+IF(T2158=1,2,IF(D2158=7,1,(IF(WEEKDAY(B2158)=1,2,IF(WEEKDAY(B2158)=7,1,0))))))</f>
        <v>1</v>
      </c>
      <c r="V2158" s="328">
        <f>VLOOKUP(C2158,METADATA!$A$5:$H$29,IF(E2158="HI",2,IF(E2158="LO",6,10))+IF(T2158=1,2,IF(D2158=7,1,(IF(WEEKDAY(B2158)=1,2,IF(WEEKDAY(B2158)=7,1,0))))))</f>
        <v>1</v>
      </c>
    </row>
    <row r="2159" spans="2:22">
      <c r="B2159" s="318">
        <f t="shared" si="135"/>
        <v>46202</v>
      </c>
      <c r="C2159" s="312">
        <v>19</v>
      </c>
      <c r="D2159" s="368">
        <f>IFERROR((INDEX(METADATA!$T$2:$T$20,MATCH(B2159,METADATA!$S$2:$S$20,0))),0)</f>
        <v>0</v>
      </c>
      <c r="E2159" s="312" t="str">
        <f t="shared" si="132"/>
        <v>LO</v>
      </c>
      <c r="F2159" s="369">
        <f>VLOOKUP(C2159,METADATA!$A$5:$H$29,IF(E2159="HI",2,IF(E2159="LO",6,10))+IF(D2159=1,2,IF(D2159=7,1,(IF(WEEKDAY(B2159)=1,2,IF(WEEKDAY(B2159)=7,1,0))))))</f>
        <v>1</v>
      </c>
      <c r="G2159" s="369">
        <f>VLOOKUP(C2159,METADATA!$J$5:$Q$29,IF(E2159="HI",2,IF(E2159="LO",6,10))+IF(D2159=1,2,IF(D2159=7,1,(IF(WEEKDAY(B2159)=1,2,IF(WEEKDAY(B2159)=7,1,0))))))</f>
        <v>1</v>
      </c>
      <c r="H2159" s="370">
        <v>13937.425170898438</v>
      </c>
      <c r="I2159" s="370">
        <v>4397.0800476074219</v>
      </c>
      <c r="M2159" s="371">
        <f t="shared" si="133"/>
        <v>14614.586321188179</v>
      </c>
      <c r="N2159" s="329">
        <f t="shared" si="134"/>
        <v>215.85249633789044</v>
      </c>
      <c r="T2159" s="331">
        <v>0</v>
      </c>
      <c r="U2159" s="328">
        <f>VLOOKUP(C2159,METADATA!$J$5:$Q$29,IF(E2159="HI",2,IF(E2159="LO",6,10))+IF(T2159=1,2,IF(D2159=7,1,(IF(WEEKDAY(B2159)=1,2,IF(WEEKDAY(B2159)=7,1,0))))))</f>
        <v>1</v>
      </c>
      <c r="V2159" s="328">
        <f>VLOOKUP(C2159,METADATA!$A$5:$H$29,IF(E2159="HI",2,IF(E2159="LO",6,10))+IF(T2159=1,2,IF(D2159=7,1,(IF(WEEKDAY(B2159)=1,2,IF(WEEKDAY(B2159)=7,1,0))))))</f>
        <v>1</v>
      </c>
    </row>
    <row r="2160" spans="2:22">
      <c r="B2160" s="318">
        <f t="shared" si="135"/>
        <v>46202</v>
      </c>
      <c r="C2160" s="312">
        <v>20</v>
      </c>
      <c r="D2160" s="368">
        <f>IFERROR((INDEX(METADATA!$T$2:$T$20,MATCH(B2160,METADATA!$S$2:$S$20,0))),0)</f>
        <v>0</v>
      </c>
      <c r="E2160" s="312" t="str">
        <f t="shared" si="132"/>
        <v>LO</v>
      </c>
      <c r="F2160" s="369">
        <f>VLOOKUP(C2160,METADATA!$A$5:$H$29,IF(E2160="HI",2,IF(E2160="LO",6,10))+IF(D2160=1,2,IF(D2160=7,1,(IF(WEEKDAY(B2160)=1,2,IF(WEEKDAY(B2160)=7,1,0))))))</f>
        <v>1</v>
      </c>
      <c r="G2160" s="369">
        <f>VLOOKUP(C2160,METADATA!$J$5:$Q$29,IF(E2160="HI",2,IF(E2160="LO",6,10))+IF(D2160=1,2,IF(D2160=7,1,(IF(WEEKDAY(B2160)=1,2,IF(WEEKDAY(B2160)=7,1,0))))))</f>
        <v>1</v>
      </c>
      <c r="H2160" s="370">
        <v>13980.875061035156</v>
      </c>
      <c r="I2160" s="370">
        <v>4601.3599548339844</v>
      </c>
      <c r="M2160" s="371">
        <f t="shared" si="133"/>
        <v>14718.606622443056</v>
      </c>
      <c r="N2160" s="329">
        <f t="shared" si="134"/>
        <v>407.09743652343786</v>
      </c>
      <c r="T2160" s="331">
        <v>0</v>
      </c>
      <c r="U2160" s="328">
        <f>VLOOKUP(C2160,METADATA!$J$5:$Q$29,IF(E2160="HI",2,IF(E2160="LO",6,10))+IF(T2160=1,2,IF(D2160=7,1,(IF(WEEKDAY(B2160)=1,2,IF(WEEKDAY(B2160)=7,1,0))))))</f>
        <v>1</v>
      </c>
      <c r="V2160" s="328">
        <f>VLOOKUP(C2160,METADATA!$A$5:$H$29,IF(E2160="HI",2,IF(E2160="LO",6,10))+IF(T2160=1,2,IF(D2160=7,1,(IF(WEEKDAY(B2160)=1,2,IF(WEEKDAY(B2160)=7,1,0))))))</f>
        <v>1</v>
      </c>
    </row>
    <row r="2161" spans="2:22">
      <c r="B2161" s="318">
        <f t="shared" si="135"/>
        <v>46202</v>
      </c>
      <c r="C2161" s="312">
        <v>21</v>
      </c>
      <c r="D2161" s="368">
        <f>IFERROR((INDEX(METADATA!$T$2:$T$20,MATCH(B2161,METADATA!$S$2:$S$20,0))),0)</f>
        <v>0</v>
      </c>
      <c r="E2161" s="312" t="str">
        <f t="shared" si="132"/>
        <v>LO</v>
      </c>
      <c r="F2161" s="369">
        <f>VLOOKUP(C2161,METADATA!$A$5:$H$29,IF(E2161="HI",2,IF(E2161="LO",6,10))+IF(D2161=1,2,IF(D2161=7,1,(IF(WEEKDAY(B2161)=1,2,IF(WEEKDAY(B2161)=7,1,0))))))</f>
        <v>2</v>
      </c>
      <c r="G2161" s="369">
        <f>VLOOKUP(C2161,METADATA!$J$5:$Q$29,IF(E2161="HI",2,IF(E2161="LO",6,10))+IF(D2161=1,2,IF(D2161=7,1,(IF(WEEKDAY(B2161)=1,2,IF(WEEKDAY(B2161)=7,1,0))))))</f>
        <v>2</v>
      </c>
      <c r="H2161" s="370">
        <v>13929.774719238281</v>
      </c>
      <c r="I2161" s="370">
        <v>4776.14990234375</v>
      </c>
      <c r="M2161" s="371">
        <f t="shared" si="133"/>
        <v>14725.835515120632</v>
      </c>
      <c r="N2161" s="329">
        <f t="shared" si="134"/>
        <v>597.21748657226544</v>
      </c>
      <c r="T2161" s="331">
        <v>0</v>
      </c>
      <c r="U2161" s="328">
        <f>VLOOKUP(C2161,METADATA!$J$5:$Q$29,IF(E2161="HI",2,IF(E2161="LO",6,10))+IF(T2161=1,2,IF(D2161=7,1,(IF(WEEKDAY(B2161)=1,2,IF(WEEKDAY(B2161)=7,1,0))))))</f>
        <v>2</v>
      </c>
      <c r="V2161" s="328">
        <f>VLOOKUP(C2161,METADATA!$A$5:$H$29,IF(E2161="HI",2,IF(E2161="LO",6,10))+IF(T2161=1,2,IF(D2161=7,1,(IF(WEEKDAY(B2161)=1,2,IF(WEEKDAY(B2161)=7,1,0))))))</f>
        <v>2</v>
      </c>
    </row>
    <row r="2162" spans="2:22">
      <c r="B2162" s="318">
        <f t="shared" si="135"/>
        <v>46202</v>
      </c>
      <c r="C2162" s="312">
        <v>22</v>
      </c>
      <c r="D2162" s="368">
        <f>IFERROR((INDEX(METADATA!$T$2:$T$20,MATCH(B2162,METADATA!$S$2:$S$20,0))),0)</f>
        <v>0</v>
      </c>
      <c r="E2162" s="312" t="str">
        <f t="shared" si="132"/>
        <v>LO</v>
      </c>
      <c r="F2162" s="369">
        <f>VLOOKUP(C2162,METADATA!$A$5:$H$29,IF(E2162="HI",2,IF(E2162="LO",6,10))+IF(D2162=1,2,IF(D2162=7,1,(IF(WEEKDAY(B2162)=1,2,IF(WEEKDAY(B2162)=7,1,0))))))</f>
        <v>3</v>
      </c>
      <c r="G2162" s="369">
        <f>VLOOKUP(C2162,METADATA!$J$5:$Q$29,IF(E2162="HI",2,IF(E2162="LO",6,10))+IF(D2162=1,2,IF(D2162=7,1,(IF(WEEKDAY(B2162)=1,2,IF(WEEKDAY(B2162)=7,1,0))))))</f>
        <v>3</v>
      </c>
      <c r="H2162" s="370">
        <v>13494.275268554688</v>
      </c>
      <c r="I2162" s="370">
        <v>4553.8500671386719</v>
      </c>
      <c r="M2162" s="371">
        <f t="shared" si="133"/>
        <v>14241.945634550973</v>
      </c>
      <c r="N2162" s="329">
        <f t="shared" si="134"/>
        <v>505.56748657226581</v>
      </c>
      <c r="T2162" s="331">
        <v>0</v>
      </c>
      <c r="U2162" s="328">
        <f>VLOOKUP(C2162,METADATA!$J$5:$Q$29,IF(E2162="HI",2,IF(E2162="LO",6,10))+IF(T2162=1,2,IF(D2162=7,1,(IF(WEEKDAY(B2162)=1,2,IF(WEEKDAY(B2162)=7,1,0))))))</f>
        <v>3</v>
      </c>
      <c r="V2162" s="328">
        <f>VLOOKUP(C2162,METADATA!$A$5:$H$29,IF(E2162="HI",2,IF(E2162="LO",6,10))+IF(T2162=1,2,IF(D2162=7,1,(IF(WEEKDAY(B2162)=1,2,IF(WEEKDAY(B2162)=7,1,0))))))</f>
        <v>3</v>
      </c>
    </row>
    <row r="2163" spans="2:22">
      <c r="B2163" s="318">
        <f t="shared" si="135"/>
        <v>46202</v>
      </c>
      <c r="C2163" s="312">
        <v>23</v>
      </c>
      <c r="D2163" s="368">
        <f>IFERROR((INDEX(METADATA!$T$2:$T$20,MATCH(B2163,METADATA!$S$2:$S$20,0))),0)</f>
        <v>0</v>
      </c>
      <c r="E2163" s="312" t="str">
        <f t="shared" si="132"/>
        <v>LO</v>
      </c>
      <c r="F2163" s="369">
        <f>VLOOKUP(C2163,METADATA!$A$5:$H$29,IF(E2163="HI",2,IF(E2163="LO",6,10))+IF(D2163=1,2,IF(D2163=7,1,(IF(WEEKDAY(B2163)=1,2,IF(WEEKDAY(B2163)=7,1,0))))))</f>
        <v>3</v>
      </c>
      <c r="G2163" s="369">
        <f>VLOOKUP(C2163,METADATA!$J$5:$Q$29,IF(E2163="HI",2,IF(E2163="LO",6,10))+IF(D2163=1,2,IF(D2163=7,1,(IF(WEEKDAY(B2163)=1,2,IF(WEEKDAY(B2163)=7,1,0))))))</f>
        <v>3</v>
      </c>
      <c r="H2163" s="370">
        <v>11684.834838867188</v>
      </c>
      <c r="I2163" s="370">
        <v>3580.3624877929688</v>
      </c>
      <c r="M2163" s="371">
        <f t="shared" si="133"/>
        <v>12221.062177879605</v>
      </c>
      <c r="N2163" s="329">
        <f t="shared" si="134"/>
        <v>74.912036132812773</v>
      </c>
      <c r="T2163" s="331">
        <v>0</v>
      </c>
      <c r="U2163" s="328">
        <f>VLOOKUP(C2163,METADATA!$J$5:$Q$29,IF(E2163="HI",2,IF(E2163="LO",6,10))+IF(T2163=1,2,IF(D2163=7,1,(IF(WEEKDAY(B2163)=1,2,IF(WEEKDAY(B2163)=7,1,0))))))</f>
        <v>3</v>
      </c>
      <c r="V2163" s="328">
        <f>VLOOKUP(C2163,METADATA!$A$5:$H$29,IF(E2163="HI",2,IF(E2163="LO",6,10))+IF(T2163=1,2,IF(D2163=7,1,(IF(WEEKDAY(B2163)=1,2,IF(WEEKDAY(B2163)=7,1,0))))))</f>
        <v>3</v>
      </c>
    </row>
    <row r="2164" spans="2:22">
      <c r="B2164" s="318">
        <f t="shared" si="135"/>
        <v>46203</v>
      </c>
      <c r="C2164" s="312">
        <v>0</v>
      </c>
      <c r="D2164" s="368">
        <f>IFERROR((INDEX(METADATA!$T$2:$T$20,MATCH(B2164,METADATA!$S$2:$S$20,0))),0)</f>
        <v>0</v>
      </c>
      <c r="E2164" s="312" t="str">
        <f t="shared" si="132"/>
        <v>LO</v>
      </c>
      <c r="F2164" s="369">
        <f>VLOOKUP(C2164,METADATA!$A$5:$H$29,IF(E2164="HI",2,IF(E2164="LO",6,10))+IF(D2164=1,2,IF(D2164=7,1,(IF(WEEKDAY(B2164)=1,2,IF(WEEKDAY(B2164)=7,1,0))))))</f>
        <v>3</v>
      </c>
      <c r="G2164" s="369">
        <f>VLOOKUP(C2164,METADATA!$J$5:$Q$29,IF(E2164="HI",2,IF(E2164="LO",6,10))+IF(D2164=1,2,IF(D2164=7,1,(IF(WEEKDAY(B2164)=1,2,IF(WEEKDAY(B2164)=7,1,0))))))</f>
        <v>3</v>
      </c>
      <c r="H2164" s="370">
        <v>11661.607391357422</v>
      </c>
      <c r="I2164" s="370">
        <v>3548.3075561523438</v>
      </c>
      <c r="M2164" s="371">
        <f t="shared" si="133"/>
        <v>12189.486185365233</v>
      </c>
      <c r="N2164" s="329">
        <f t="shared" si="134"/>
        <v>49.825338745117278</v>
      </c>
      <c r="T2164" s="331">
        <v>0</v>
      </c>
      <c r="U2164" s="328">
        <f>VLOOKUP(C2164,METADATA!$J$5:$Q$29,IF(E2164="HI",2,IF(E2164="LO",6,10))+IF(T2164=1,2,IF(D2164=7,1,(IF(WEEKDAY(B2164)=1,2,IF(WEEKDAY(B2164)=7,1,0))))))</f>
        <v>3</v>
      </c>
      <c r="V2164" s="328">
        <f>VLOOKUP(C2164,METADATA!$A$5:$H$29,IF(E2164="HI",2,IF(E2164="LO",6,10))+IF(T2164=1,2,IF(D2164=7,1,(IF(WEEKDAY(B2164)=1,2,IF(WEEKDAY(B2164)=7,1,0))))))</f>
        <v>3</v>
      </c>
    </row>
    <row r="2165" spans="2:22">
      <c r="B2165" s="318">
        <f t="shared" si="135"/>
        <v>46203</v>
      </c>
      <c r="C2165" s="312">
        <v>1</v>
      </c>
      <c r="D2165" s="368">
        <f>IFERROR((INDEX(METADATA!$T$2:$T$20,MATCH(B2165,METADATA!$S$2:$S$20,0))),0)</f>
        <v>0</v>
      </c>
      <c r="E2165" s="312" t="str">
        <f t="shared" si="132"/>
        <v>LO</v>
      </c>
      <c r="F2165" s="369">
        <f>VLOOKUP(C2165,METADATA!$A$5:$H$29,IF(E2165="HI",2,IF(E2165="LO",6,10))+IF(D2165=1,2,IF(D2165=7,1,(IF(WEEKDAY(B2165)=1,2,IF(WEEKDAY(B2165)=7,1,0))))))</f>
        <v>3</v>
      </c>
      <c r="G2165" s="369">
        <f>VLOOKUP(C2165,METADATA!$J$5:$Q$29,IF(E2165="HI",2,IF(E2165="LO",6,10))+IF(D2165=1,2,IF(D2165=7,1,(IF(WEEKDAY(B2165)=1,2,IF(WEEKDAY(B2165)=7,1,0))))))</f>
        <v>3</v>
      </c>
      <c r="H2165" s="370">
        <v>11966.727630615234</v>
      </c>
      <c r="I2165" s="370">
        <v>3567.7625732421875</v>
      </c>
      <c r="M2165" s="371">
        <f t="shared" si="133"/>
        <v>12487.253499643459</v>
      </c>
      <c r="N2165" s="329">
        <f t="shared" si="134"/>
        <v>0</v>
      </c>
      <c r="T2165" s="331">
        <v>0</v>
      </c>
      <c r="U2165" s="328">
        <f>VLOOKUP(C2165,METADATA!$J$5:$Q$29,IF(E2165="HI",2,IF(E2165="LO",6,10))+IF(T2165=1,2,IF(D2165=7,1,(IF(WEEKDAY(B2165)=1,2,IF(WEEKDAY(B2165)=7,1,0))))))</f>
        <v>3</v>
      </c>
      <c r="V2165" s="328">
        <f>VLOOKUP(C2165,METADATA!$A$5:$H$29,IF(E2165="HI",2,IF(E2165="LO",6,10))+IF(T2165=1,2,IF(D2165=7,1,(IF(WEEKDAY(B2165)=1,2,IF(WEEKDAY(B2165)=7,1,0))))))</f>
        <v>3</v>
      </c>
    </row>
    <row r="2166" spans="2:22">
      <c r="B2166" s="318">
        <f t="shared" si="135"/>
        <v>46203</v>
      </c>
      <c r="C2166" s="312">
        <v>2</v>
      </c>
      <c r="D2166" s="368">
        <f>IFERROR((INDEX(METADATA!$T$2:$T$20,MATCH(B2166,METADATA!$S$2:$S$20,0))),0)</f>
        <v>0</v>
      </c>
      <c r="E2166" s="312" t="str">
        <f t="shared" si="132"/>
        <v>LO</v>
      </c>
      <c r="F2166" s="369">
        <f>VLOOKUP(C2166,METADATA!$A$5:$H$29,IF(E2166="HI",2,IF(E2166="LO",6,10))+IF(D2166=1,2,IF(D2166=7,1,(IF(WEEKDAY(B2166)=1,2,IF(WEEKDAY(B2166)=7,1,0))))))</f>
        <v>3</v>
      </c>
      <c r="G2166" s="369">
        <f>VLOOKUP(C2166,METADATA!$J$5:$Q$29,IF(E2166="HI",2,IF(E2166="LO",6,10))+IF(D2166=1,2,IF(D2166=7,1,(IF(WEEKDAY(B2166)=1,2,IF(WEEKDAY(B2166)=7,1,0))))))</f>
        <v>3</v>
      </c>
      <c r="H2166" s="370">
        <v>11806.805419921875</v>
      </c>
      <c r="I2166" s="370">
        <v>3565.5750122070313</v>
      </c>
      <c r="M2166" s="371">
        <f t="shared" si="133"/>
        <v>12333.449614425468</v>
      </c>
      <c r="N2166" s="329">
        <f t="shared" si="134"/>
        <v>23.53338623046875</v>
      </c>
      <c r="T2166" s="331">
        <v>0</v>
      </c>
      <c r="U2166" s="328">
        <f>VLOOKUP(C2166,METADATA!$J$5:$Q$29,IF(E2166="HI",2,IF(E2166="LO",6,10))+IF(T2166=1,2,IF(D2166=7,1,(IF(WEEKDAY(B2166)=1,2,IF(WEEKDAY(B2166)=7,1,0))))))</f>
        <v>3</v>
      </c>
      <c r="V2166" s="328">
        <f>VLOOKUP(C2166,METADATA!$A$5:$H$29,IF(E2166="HI",2,IF(E2166="LO",6,10))+IF(T2166=1,2,IF(D2166=7,1,(IF(WEEKDAY(B2166)=1,2,IF(WEEKDAY(B2166)=7,1,0))))))</f>
        <v>3</v>
      </c>
    </row>
    <row r="2167" spans="2:22">
      <c r="B2167" s="318">
        <f t="shared" si="135"/>
        <v>46203</v>
      </c>
      <c r="C2167" s="312">
        <v>3</v>
      </c>
      <c r="D2167" s="368">
        <f>IFERROR((INDEX(METADATA!$T$2:$T$20,MATCH(B2167,METADATA!$S$2:$S$20,0))),0)</f>
        <v>0</v>
      </c>
      <c r="E2167" s="312" t="str">
        <f t="shared" si="132"/>
        <v>LO</v>
      </c>
      <c r="F2167" s="369">
        <f>VLOOKUP(C2167,METADATA!$A$5:$H$29,IF(E2167="HI",2,IF(E2167="LO",6,10))+IF(D2167=1,2,IF(D2167=7,1,(IF(WEEKDAY(B2167)=1,2,IF(WEEKDAY(B2167)=7,1,0))))))</f>
        <v>3</v>
      </c>
      <c r="G2167" s="369">
        <f>VLOOKUP(C2167,METADATA!$J$5:$Q$29,IF(E2167="HI",2,IF(E2167="LO",6,10))+IF(D2167=1,2,IF(D2167=7,1,(IF(WEEKDAY(B2167)=1,2,IF(WEEKDAY(B2167)=7,1,0))))))</f>
        <v>3</v>
      </c>
      <c r="H2167" s="370">
        <v>11805.730010986328</v>
      </c>
      <c r="I2167" s="370">
        <v>3563.4099426269531</v>
      </c>
      <c r="M2167" s="371">
        <f t="shared" si="133"/>
        <v>12331.794334626078</v>
      </c>
      <c r="N2167" s="329">
        <f t="shared" si="134"/>
        <v>21.690939331054778</v>
      </c>
      <c r="T2167" s="331">
        <v>0</v>
      </c>
      <c r="U2167" s="328">
        <f>VLOOKUP(C2167,METADATA!$J$5:$Q$29,IF(E2167="HI",2,IF(E2167="LO",6,10))+IF(T2167=1,2,IF(D2167=7,1,(IF(WEEKDAY(B2167)=1,2,IF(WEEKDAY(B2167)=7,1,0))))))</f>
        <v>3</v>
      </c>
      <c r="V2167" s="328">
        <f>VLOOKUP(C2167,METADATA!$A$5:$H$29,IF(E2167="HI",2,IF(E2167="LO",6,10))+IF(T2167=1,2,IF(D2167=7,1,(IF(WEEKDAY(B2167)=1,2,IF(WEEKDAY(B2167)=7,1,0))))))</f>
        <v>3</v>
      </c>
    </row>
    <row r="2168" spans="2:22">
      <c r="B2168" s="318">
        <f t="shared" si="135"/>
        <v>46203</v>
      </c>
      <c r="C2168" s="312">
        <v>4</v>
      </c>
      <c r="D2168" s="368">
        <f>IFERROR((INDEX(METADATA!$T$2:$T$20,MATCH(B2168,METADATA!$S$2:$S$20,0))),0)</f>
        <v>0</v>
      </c>
      <c r="E2168" s="312" t="str">
        <f t="shared" si="132"/>
        <v>LO</v>
      </c>
      <c r="F2168" s="369">
        <f>VLOOKUP(C2168,METADATA!$A$5:$H$29,IF(E2168="HI",2,IF(E2168="LO",6,10))+IF(D2168=1,2,IF(D2168=7,1,(IF(WEEKDAY(B2168)=1,2,IF(WEEKDAY(B2168)=7,1,0))))))</f>
        <v>3</v>
      </c>
      <c r="G2168" s="369">
        <f>VLOOKUP(C2168,METADATA!$J$5:$Q$29,IF(E2168="HI",2,IF(E2168="LO",6,10))+IF(D2168=1,2,IF(D2168=7,1,(IF(WEEKDAY(B2168)=1,2,IF(WEEKDAY(B2168)=7,1,0))))))</f>
        <v>3</v>
      </c>
      <c r="H2168" s="370">
        <v>11973.432373046875</v>
      </c>
      <c r="I2168" s="370">
        <v>3576.9774780273438</v>
      </c>
      <c r="M2168" s="371">
        <f t="shared" si="133"/>
        <v>12496.313483193424</v>
      </c>
      <c r="N2168" s="329">
        <f t="shared" si="134"/>
        <v>0</v>
      </c>
      <c r="T2168" s="331">
        <v>0</v>
      </c>
      <c r="U2168" s="328">
        <f>VLOOKUP(C2168,METADATA!$J$5:$Q$29,IF(E2168="HI",2,IF(E2168="LO",6,10))+IF(T2168=1,2,IF(D2168=7,1,(IF(WEEKDAY(B2168)=1,2,IF(WEEKDAY(B2168)=7,1,0))))))</f>
        <v>3</v>
      </c>
      <c r="V2168" s="328">
        <f>VLOOKUP(C2168,METADATA!$A$5:$H$29,IF(E2168="HI",2,IF(E2168="LO",6,10))+IF(T2168=1,2,IF(D2168=7,1,(IF(WEEKDAY(B2168)=1,2,IF(WEEKDAY(B2168)=7,1,0))))))</f>
        <v>3</v>
      </c>
    </row>
    <row r="2169" spans="2:22">
      <c r="B2169" s="318">
        <f t="shared" si="135"/>
        <v>46203</v>
      </c>
      <c r="C2169" s="312">
        <v>5</v>
      </c>
      <c r="D2169" s="368">
        <f>IFERROR((INDEX(METADATA!$T$2:$T$20,MATCH(B2169,METADATA!$S$2:$S$20,0))),0)</f>
        <v>0</v>
      </c>
      <c r="E2169" s="312" t="str">
        <f t="shared" si="132"/>
        <v>LO</v>
      </c>
      <c r="F2169" s="369">
        <f>VLOOKUP(C2169,METADATA!$A$5:$H$29,IF(E2169="HI",2,IF(E2169="LO",6,10))+IF(D2169=1,2,IF(D2169=7,1,(IF(WEEKDAY(B2169)=1,2,IF(WEEKDAY(B2169)=7,1,0))))))</f>
        <v>3</v>
      </c>
      <c r="G2169" s="369">
        <f>VLOOKUP(C2169,METADATA!$J$5:$Q$29,IF(E2169="HI",2,IF(E2169="LO",6,10))+IF(D2169=1,2,IF(D2169=7,1,(IF(WEEKDAY(B2169)=1,2,IF(WEEKDAY(B2169)=7,1,0))))))</f>
        <v>3</v>
      </c>
      <c r="H2169" s="370">
        <v>13637.924926757813</v>
      </c>
      <c r="I2169" s="370">
        <v>4297.8949890136719</v>
      </c>
      <c r="M2169" s="371">
        <f t="shared" si="133"/>
        <v>14299.122268323707</v>
      </c>
      <c r="N2169" s="329">
        <f t="shared" si="134"/>
        <v>206.51751098632849</v>
      </c>
      <c r="T2169" s="331">
        <v>0</v>
      </c>
      <c r="U2169" s="328">
        <f>VLOOKUP(C2169,METADATA!$J$5:$Q$29,IF(E2169="HI",2,IF(E2169="LO",6,10))+IF(T2169=1,2,IF(D2169=7,1,(IF(WEEKDAY(B2169)=1,2,IF(WEEKDAY(B2169)=7,1,0))))))</f>
        <v>3</v>
      </c>
      <c r="V2169" s="328">
        <f>VLOOKUP(C2169,METADATA!$A$5:$H$29,IF(E2169="HI",2,IF(E2169="LO",6,10))+IF(T2169=1,2,IF(D2169=7,1,(IF(WEEKDAY(B2169)=1,2,IF(WEEKDAY(B2169)=7,1,0))))))</f>
        <v>3</v>
      </c>
    </row>
    <row r="2170" spans="2:22">
      <c r="B2170" s="318">
        <f t="shared" si="135"/>
        <v>46203</v>
      </c>
      <c r="C2170" s="312">
        <v>6</v>
      </c>
      <c r="D2170" s="368">
        <f>IFERROR((INDEX(METADATA!$T$2:$T$20,MATCH(B2170,METADATA!$S$2:$S$20,0))),0)</f>
        <v>0</v>
      </c>
      <c r="E2170" s="312" t="str">
        <f t="shared" si="132"/>
        <v>LO</v>
      </c>
      <c r="F2170" s="369">
        <f>VLOOKUP(C2170,METADATA!$A$5:$H$29,IF(E2170="HI",2,IF(E2170="LO",6,10))+IF(D2170=1,2,IF(D2170=7,1,(IF(WEEKDAY(B2170)=1,2,IF(WEEKDAY(B2170)=7,1,0))))))</f>
        <v>2</v>
      </c>
      <c r="G2170" s="369">
        <f>VLOOKUP(C2170,METADATA!$J$5:$Q$29,IF(E2170="HI",2,IF(E2170="LO",6,10))+IF(D2170=1,2,IF(D2170=7,1,(IF(WEEKDAY(B2170)=1,2,IF(WEEKDAY(B2170)=7,1,0))))))</f>
        <v>2</v>
      </c>
      <c r="H2170" s="370">
        <v>13776.975158691406</v>
      </c>
      <c r="I2170" s="370">
        <v>4305.6000061035156</v>
      </c>
      <c r="M2170" s="371">
        <f t="shared" si="133"/>
        <v>14434.099761874957</v>
      </c>
      <c r="N2170" s="329">
        <f t="shared" si="134"/>
        <v>172.50745849609393</v>
      </c>
      <c r="T2170" s="331">
        <v>0</v>
      </c>
      <c r="U2170" s="328">
        <f>VLOOKUP(C2170,METADATA!$J$5:$Q$29,IF(E2170="HI",2,IF(E2170="LO",6,10))+IF(T2170=1,2,IF(D2170=7,1,(IF(WEEKDAY(B2170)=1,2,IF(WEEKDAY(B2170)=7,1,0))))))</f>
        <v>2</v>
      </c>
      <c r="V2170" s="328">
        <f>VLOOKUP(C2170,METADATA!$A$5:$H$29,IF(E2170="HI",2,IF(E2170="LO",6,10))+IF(T2170=1,2,IF(D2170=7,1,(IF(WEEKDAY(B2170)=1,2,IF(WEEKDAY(B2170)=7,1,0))))))</f>
        <v>2</v>
      </c>
    </row>
    <row r="2171" spans="2:22">
      <c r="B2171" s="318">
        <f t="shared" si="135"/>
        <v>46203</v>
      </c>
      <c r="C2171" s="312">
        <v>7</v>
      </c>
      <c r="D2171" s="368">
        <f>IFERROR((INDEX(METADATA!$T$2:$T$20,MATCH(B2171,METADATA!$S$2:$S$20,0))),0)</f>
        <v>0</v>
      </c>
      <c r="E2171" s="312" t="str">
        <f t="shared" si="132"/>
        <v>LO</v>
      </c>
      <c r="F2171" s="369">
        <f>VLOOKUP(C2171,METADATA!$A$5:$H$29,IF(E2171="HI",2,IF(E2171="LO",6,10))+IF(D2171=1,2,IF(D2171=7,1,(IF(WEEKDAY(B2171)=1,2,IF(WEEKDAY(B2171)=7,1,0))))))</f>
        <v>1</v>
      </c>
      <c r="G2171" s="369">
        <f>VLOOKUP(C2171,METADATA!$J$5:$Q$29,IF(E2171="HI",2,IF(E2171="LO",6,10))+IF(D2171=1,2,IF(D2171=7,1,(IF(WEEKDAY(B2171)=1,2,IF(WEEKDAY(B2171)=7,1,0))))))</f>
        <v>1</v>
      </c>
      <c r="H2171" s="370">
        <v>13802.049987792969</v>
      </c>
      <c r="I2171" s="370">
        <v>4503.4649047851563</v>
      </c>
      <c r="M2171" s="371">
        <f t="shared" si="133"/>
        <v>14518.187903941987</v>
      </c>
      <c r="N2171" s="329">
        <f t="shared" si="134"/>
        <v>362.84990844726599</v>
      </c>
      <c r="T2171" s="331">
        <v>0</v>
      </c>
      <c r="U2171" s="328">
        <f>VLOOKUP(C2171,METADATA!$J$5:$Q$29,IF(E2171="HI",2,IF(E2171="LO",6,10))+IF(T2171=1,2,IF(D2171=7,1,(IF(WEEKDAY(B2171)=1,2,IF(WEEKDAY(B2171)=7,1,0))))))</f>
        <v>1</v>
      </c>
      <c r="V2171" s="328">
        <f>VLOOKUP(C2171,METADATA!$A$5:$H$29,IF(E2171="HI",2,IF(E2171="LO",6,10))+IF(T2171=1,2,IF(D2171=7,1,(IF(WEEKDAY(B2171)=1,2,IF(WEEKDAY(B2171)=7,1,0))))))</f>
        <v>1</v>
      </c>
    </row>
    <row r="2172" spans="2:22">
      <c r="B2172" s="318">
        <f t="shared" si="135"/>
        <v>46203</v>
      </c>
      <c r="C2172" s="312">
        <v>8</v>
      </c>
      <c r="D2172" s="368">
        <f>IFERROR((INDEX(METADATA!$T$2:$T$20,MATCH(B2172,METADATA!$S$2:$S$20,0))),0)</f>
        <v>0</v>
      </c>
      <c r="E2172" s="312" t="str">
        <f t="shared" si="132"/>
        <v>LO</v>
      </c>
      <c r="F2172" s="369">
        <f>VLOOKUP(C2172,METADATA!$A$5:$H$29,IF(E2172="HI",2,IF(E2172="LO",6,10))+IF(D2172=1,2,IF(D2172=7,1,(IF(WEEKDAY(B2172)=1,2,IF(WEEKDAY(B2172)=7,1,0))))))</f>
        <v>1</v>
      </c>
      <c r="G2172" s="369">
        <f>VLOOKUP(C2172,METADATA!$J$5:$Q$29,IF(E2172="HI",2,IF(E2172="LO",6,10))+IF(D2172=1,2,IF(D2172=7,1,(IF(WEEKDAY(B2172)=1,2,IF(WEEKDAY(B2172)=7,1,0))))))</f>
        <v>1</v>
      </c>
      <c r="H2172" s="370">
        <v>13535.975219726563</v>
      </c>
      <c r="I2172" s="370">
        <v>4233.7799682617188</v>
      </c>
      <c r="M2172" s="371">
        <f t="shared" si="133"/>
        <v>14182.648482166713</v>
      </c>
      <c r="N2172" s="329">
        <f t="shared" si="134"/>
        <v>172.98740234375009</v>
      </c>
      <c r="T2172" s="331">
        <v>0</v>
      </c>
      <c r="U2172" s="328">
        <f>VLOOKUP(C2172,METADATA!$J$5:$Q$29,IF(E2172="HI",2,IF(E2172="LO",6,10))+IF(T2172=1,2,IF(D2172=7,1,(IF(WEEKDAY(B2172)=1,2,IF(WEEKDAY(B2172)=7,1,0))))))</f>
        <v>1</v>
      </c>
      <c r="V2172" s="328">
        <f>VLOOKUP(C2172,METADATA!$A$5:$H$29,IF(E2172="HI",2,IF(E2172="LO",6,10))+IF(T2172=1,2,IF(D2172=7,1,(IF(WEEKDAY(B2172)=1,2,IF(WEEKDAY(B2172)=7,1,0))))))</f>
        <v>1</v>
      </c>
    </row>
    <row r="2173" spans="2:22">
      <c r="B2173" s="318">
        <f t="shared" si="135"/>
        <v>46203</v>
      </c>
      <c r="C2173" s="312">
        <v>9</v>
      </c>
      <c r="D2173" s="368">
        <f>IFERROR((INDEX(METADATA!$T$2:$T$20,MATCH(B2173,METADATA!$S$2:$S$20,0))),0)</f>
        <v>0</v>
      </c>
      <c r="E2173" s="312" t="str">
        <f t="shared" si="132"/>
        <v>LO</v>
      </c>
      <c r="F2173" s="369">
        <f>VLOOKUP(C2173,METADATA!$A$5:$H$29,IF(E2173="HI",2,IF(E2173="LO",6,10))+IF(D2173=1,2,IF(D2173=7,1,(IF(WEEKDAY(B2173)=1,2,IF(WEEKDAY(B2173)=7,1,0))))))</f>
        <v>2</v>
      </c>
      <c r="G2173" s="369">
        <f>VLOOKUP(C2173,METADATA!$J$5:$Q$29,IF(E2173="HI",2,IF(E2173="LO",6,10))+IF(D2173=1,2,IF(D2173=7,1,(IF(WEEKDAY(B2173)=1,2,IF(WEEKDAY(B2173)=7,1,0))))))</f>
        <v>2</v>
      </c>
      <c r="H2173" s="370">
        <v>13996.150024414063</v>
      </c>
      <c r="I2173" s="370">
        <v>4486.875</v>
      </c>
      <c r="M2173" s="371">
        <f t="shared" si="133"/>
        <v>14697.763869770488</v>
      </c>
      <c r="N2173" s="329">
        <f t="shared" si="134"/>
        <v>288.02999267578161</v>
      </c>
      <c r="T2173" s="331">
        <v>0</v>
      </c>
      <c r="U2173" s="328">
        <f>VLOOKUP(C2173,METADATA!$J$5:$Q$29,IF(E2173="HI",2,IF(E2173="LO",6,10))+IF(T2173=1,2,IF(D2173=7,1,(IF(WEEKDAY(B2173)=1,2,IF(WEEKDAY(B2173)=7,1,0))))))</f>
        <v>2</v>
      </c>
      <c r="V2173" s="328">
        <f>VLOOKUP(C2173,METADATA!$A$5:$H$29,IF(E2173="HI",2,IF(E2173="LO",6,10))+IF(T2173=1,2,IF(D2173=7,1,(IF(WEEKDAY(B2173)=1,2,IF(WEEKDAY(B2173)=7,1,0))))))</f>
        <v>2</v>
      </c>
    </row>
    <row r="2174" spans="2:22">
      <c r="B2174" s="318">
        <f t="shared" si="135"/>
        <v>46203</v>
      </c>
      <c r="C2174" s="312">
        <v>10</v>
      </c>
      <c r="D2174" s="368">
        <f>IFERROR((INDEX(METADATA!$T$2:$T$20,MATCH(B2174,METADATA!$S$2:$S$20,0))),0)</f>
        <v>0</v>
      </c>
      <c r="E2174" s="312" t="str">
        <f t="shared" si="132"/>
        <v>LO</v>
      </c>
      <c r="F2174" s="369">
        <f>VLOOKUP(C2174,METADATA!$A$5:$H$29,IF(E2174="HI",2,IF(E2174="LO",6,10))+IF(D2174=1,2,IF(D2174=7,1,(IF(WEEKDAY(B2174)=1,2,IF(WEEKDAY(B2174)=7,1,0))))))</f>
        <v>2</v>
      </c>
      <c r="G2174" s="369">
        <f>VLOOKUP(C2174,METADATA!$J$5:$Q$29,IF(E2174="HI",2,IF(E2174="LO",6,10))+IF(D2174=1,2,IF(D2174=7,1,(IF(WEEKDAY(B2174)=1,2,IF(WEEKDAY(B2174)=7,1,0))))))</f>
        <v>2</v>
      </c>
      <c r="H2174" s="370">
        <v>13718.700073242188</v>
      </c>
      <c r="I2174" s="370">
        <v>4296.6300048828125</v>
      </c>
      <c r="M2174" s="371">
        <f t="shared" si="133"/>
        <v>14375.804711334751</v>
      </c>
      <c r="N2174" s="329">
        <f t="shared" si="134"/>
        <v>181.01998291015661</v>
      </c>
      <c r="T2174" s="331">
        <v>0</v>
      </c>
      <c r="U2174" s="328">
        <f>VLOOKUP(C2174,METADATA!$J$5:$Q$29,IF(E2174="HI",2,IF(E2174="LO",6,10))+IF(T2174=1,2,IF(D2174=7,1,(IF(WEEKDAY(B2174)=1,2,IF(WEEKDAY(B2174)=7,1,0))))))</f>
        <v>2</v>
      </c>
      <c r="V2174" s="328">
        <f>VLOOKUP(C2174,METADATA!$A$5:$H$29,IF(E2174="HI",2,IF(E2174="LO",6,10))+IF(T2174=1,2,IF(D2174=7,1,(IF(WEEKDAY(B2174)=1,2,IF(WEEKDAY(B2174)=7,1,0))))))</f>
        <v>2</v>
      </c>
    </row>
    <row r="2175" spans="2:22">
      <c r="B2175" s="318">
        <f t="shared" si="135"/>
        <v>46203</v>
      </c>
      <c r="C2175" s="312">
        <v>11</v>
      </c>
      <c r="D2175" s="368">
        <f>IFERROR((INDEX(METADATA!$T$2:$T$20,MATCH(B2175,METADATA!$S$2:$S$20,0))),0)</f>
        <v>0</v>
      </c>
      <c r="E2175" s="312" t="str">
        <f t="shared" si="132"/>
        <v>LO</v>
      </c>
      <c r="F2175" s="369">
        <f>VLOOKUP(C2175,METADATA!$A$5:$H$29,IF(E2175="HI",2,IF(E2175="LO",6,10))+IF(D2175=1,2,IF(D2175=7,1,(IF(WEEKDAY(B2175)=1,2,IF(WEEKDAY(B2175)=7,1,0))))))</f>
        <v>2</v>
      </c>
      <c r="G2175" s="369">
        <f>VLOOKUP(C2175,METADATA!$J$5:$Q$29,IF(E2175="HI",2,IF(E2175="LO",6,10))+IF(D2175=1,2,IF(D2175=7,1,(IF(WEEKDAY(B2175)=1,2,IF(WEEKDAY(B2175)=7,1,0))))))</f>
        <v>2</v>
      </c>
      <c r="H2175" s="370">
        <v>11703.247344970703</v>
      </c>
      <c r="I2175" s="370">
        <v>3167.2325134277344</v>
      </c>
      <c r="M2175" s="371">
        <f t="shared" si="133"/>
        <v>12124.246789457793</v>
      </c>
      <c r="N2175" s="329">
        <f t="shared" si="134"/>
        <v>0</v>
      </c>
      <c r="T2175" s="331">
        <v>0</v>
      </c>
      <c r="U2175" s="328">
        <f>VLOOKUP(C2175,METADATA!$J$5:$Q$29,IF(E2175="HI",2,IF(E2175="LO",6,10))+IF(T2175=1,2,IF(D2175=7,1,(IF(WEEKDAY(B2175)=1,2,IF(WEEKDAY(B2175)=7,1,0))))))</f>
        <v>2</v>
      </c>
      <c r="V2175" s="328">
        <f>VLOOKUP(C2175,METADATA!$A$5:$H$29,IF(E2175="HI",2,IF(E2175="LO",6,10))+IF(T2175=1,2,IF(D2175=7,1,(IF(WEEKDAY(B2175)=1,2,IF(WEEKDAY(B2175)=7,1,0))))))</f>
        <v>2</v>
      </c>
    </row>
    <row r="2176" spans="2:22">
      <c r="B2176" s="318">
        <f t="shared" si="135"/>
        <v>46203</v>
      </c>
      <c r="C2176" s="312">
        <v>12</v>
      </c>
      <c r="D2176" s="368">
        <f>IFERROR((INDEX(METADATA!$T$2:$T$20,MATCH(B2176,METADATA!$S$2:$S$20,0))),0)</f>
        <v>0</v>
      </c>
      <c r="E2176" s="312" t="str">
        <f t="shared" si="132"/>
        <v>LO</v>
      </c>
      <c r="F2176" s="369">
        <f>VLOOKUP(C2176,METADATA!$A$5:$H$29,IF(E2176="HI",2,IF(E2176="LO",6,10))+IF(D2176=1,2,IF(D2176=7,1,(IF(WEEKDAY(B2176)=1,2,IF(WEEKDAY(B2176)=7,1,0))))))</f>
        <v>2</v>
      </c>
      <c r="G2176" s="369">
        <f>VLOOKUP(C2176,METADATA!$J$5:$Q$29,IF(E2176="HI",2,IF(E2176="LO",6,10))+IF(D2176=1,2,IF(D2176=7,1,(IF(WEEKDAY(B2176)=1,2,IF(WEEKDAY(B2176)=7,1,0))))))</f>
        <v>2</v>
      </c>
      <c r="H2176" s="370">
        <v>13118.349731445313</v>
      </c>
      <c r="I2176" s="370">
        <v>4090.3000183105469</v>
      </c>
      <c r="M2176" s="371">
        <f t="shared" si="133"/>
        <v>13741.239169605577</v>
      </c>
      <c r="N2176" s="329">
        <f t="shared" si="134"/>
        <v>154.79509887695349</v>
      </c>
      <c r="T2176" s="331">
        <v>0</v>
      </c>
      <c r="U2176" s="328">
        <f>VLOOKUP(C2176,METADATA!$J$5:$Q$29,IF(E2176="HI",2,IF(E2176="LO",6,10))+IF(T2176=1,2,IF(D2176=7,1,(IF(WEEKDAY(B2176)=1,2,IF(WEEKDAY(B2176)=7,1,0))))))</f>
        <v>2</v>
      </c>
      <c r="V2176" s="328">
        <f>VLOOKUP(C2176,METADATA!$A$5:$H$29,IF(E2176="HI",2,IF(E2176="LO",6,10))+IF(T2176=1,2,IF(D2176=7,1,(IF(WEEKDAY(B2176)=1,2,IF(WEEKDAY(B2176)=7,1,0))))))</f>
        <v>2</v>
      </c>
    </row>
    <row r="2177" spans="2:22">
      <c r="B2177" s="318">
        <f t="shared" si="135"/>
        <v>46203</v>
      </c>
      <c r="C2177" s="312">
        <v>13</v>
      </c>
      <c r="D2177" s="368">
        <f>IFERROR((INDEX(METADATA!$T$2:$T$20,MATCH(B2177,METADATA!$S$2:$S$20,0))),0)</f>
        <v>0</v>
      </c>
      <c r="E2177" s="312" t="str">
        <f t="shared" si="132"/>
        <v>LO</v>
      </c>
      <c r="F2177" s="369">
        <f>VLOOKUP(C2177,METADATA!$A$5:$H$29,IF(E2177="HI",2,IF(E2177="LO",6,10))+IF(D2177=1,2,IF(D2177=7,1,(IF(WEEKDAY(B2177)=1,2,IF(WEEKDAY(B2177)=7,1,0))))))</f>
        <v>2</v>
      </c>
      <c r="G2177" s="369">
        <f>VLOOKUP(C2177,METADATA!$J$5:$Q$29,IF(E2177="HI",2,IF(E2177="LO",6,10))+IF(D2177=1,2,IF(D2177=7,1,(IF(WEEKDAY(B2177)=1,2,IF(WEEKDAY(B2177)=7,1,0))))))</f>
        <v>2</v>
      </c>
      <c r="H2177" s="370">
        <v>13617.475036621094</v>
      </c>
      <c r="I2177" s="370">
        <v>4545.1199951171875</v>
      </c>
      <c r="M2177" s="371">
        <f t="shared" si="133"/>
        <v>14355.965385267989</v>
      </c>
      <c r="N2177" s="329">
        <f t="shared" si="134"/>
        <v>459.87748413085956</v>
      </c>
      <c r="T2177" s="331">
        <v>0</v>
      </c>
      <c r="U2177" s="328">
        <f>VLOOKUP(C2177,METADATA!$J$5:$Q$29,IF(E2177="HI",2,IF(E2177="LO",6,10))+IF(T2177=1,2,IF(D2177=7,1,(IF(WEEKDAY(B2177)=1,2,IF(WEEKDAY(B2177)=7,1,0))))))</f>
        <v>2</v>
      </c>
      <c r="V2177" s="328">
        <f>VLOOKUP(C2177,METADATA!$A$5:$H$29,IF(E2177="HI",2,IF(E2177="LO",6,10))+IF(T2177=1,2,IF(D2177=7,1,(IF(WEEKDAY(B2177)=1,2,IF(WEEKDAY(B2177)=7,1,0))))))</f>
        <v>2</v>
      </c>
    </row>
    <row r="2178" spans="2:22">
      <c r="B2178" s="318">
        <f t="shared" si="135"/>
        <v>46203</v>
      </c>
      <c r="C2178" s="312">
        <v>14</v>
      </c>
      <c r="D2178" s="368">
        <f>IFERROR((INDEX(METADATA!$T$2:$T$20,MATCH(B2178,METADATA!$S$2:$S$20,0))),0)</f>
        <v>0</v>
      </c>
      <c r="E2178" s="312" t="str">
        <f t="shared" si="132"/>
        <v>LO</v>
      </c>
      <c r="F2178" s="369">
        <f>VLOOKUP(C2178,METADATA!$A$5:$H$29,IF(E2178="HI",2,IF(E2178="LO",6,10))+IF(D2178=1,2,IF(D2178=7,1,(IF(WEEKDAY(B2178)=1,2,IF(WEEKDAY(B2178)=7,1,0))))))</f>
        <v>2</v>
      </c>
      <c r="G2178" s="369">
        <f>VLOOKUP(C2178,METADATA!$J$5:$Q$29,IF(E2178="HI",2,IF(E2178="LO",6,10))+IF(D2178=1,2,IF(D2178=7,1,(IF(WEEKDAY(B2178)=1,2,IF(WEEKDAY(B2178)=7,1,0))))))</f>
        <v>2</v>
      </c>
      <c r="H2178" s="370">
        <v>13764.60009765625</v>
      </c>
      <c r="I2178" s="370">
        <v>4457.0750427246094</v>
      </c>
      <c r="M2178" s="371">
        <f t="shared" si="133"/>
        <v>14468.231881777298</v>
      </c>
      <c r="N2178" s="329">
        <f t="shared" si="134"/>
        <v>327.69501342773492</v>
      </c>
      <c r="T2178" s="331">
        <v>0</v>
      </c>
      <c r="U2178" s="328">
        <f>VLOOKUP(C2178,METADATA!$J$5:$Q$29,IF(E2178="HI",2,IF(E2178="LO",6,10))+IF(T2178=1,2,IF(D2178=7,1,(IF(WEEKDAY(B2178)=1,2,IF(WEEKDAY(B2178)=7,1,0))))))</f>
        <v>2</v>
      </c>
      <c r="V2178" s="328">
        <f>VLOOKUP(C2178,METADATA!$A$5:$H$29,IF(E2178="HI",2,IF(E2178="LO",6,10))+IF(T2178=1,2,IF(D2178=7,1,(IF(WEEKDAY(B2178)=1,2,IF(WEEKDAY(B2178)=7,1,0))))))</f>
        <v>2</v>
      </c>
    </row>
    <row r="2179" spans="2:22">
      <c r="B2179" s="318">
        <f t="shared" si="135"/>
        <v>46203</v>
      </c>
      <c r="C2179" s="312">
        <v>15</v>
      </c>
      <c r="D2179" s="368">
        <f>IFERROR((INDEX(METADATA!$T$2:$T$20,MATCH(B2179,METADATA!$S$2:$S$20,0))),0)</f>
        <v>0</v>
      </c>
      <c r="E2179" s="312" t="str">
        <f t="shared" si="132"/>
        <v>LO</v>
      </c>
      <c r="F2179" s="369">
        <f>VLOOKUP(C2179,METADATA!$A$5:$H$29,IF(E2179="HI",2,IF(E2179="LO",6,10))+IF(D2179=1,2,IF(D2179=7,1,(IF(WEEKDAY(B2179)=1,2,IF(WEEKDAY(B2179)=7,1,0))))))</f>
        <v>2</v>
      </c>
      <c r="G2179" s="369">
        <f>VLOOKUP(C2179,METADATA!$J$5:$Q$29,IF(E2179="HI",2,IF(E2179="LO",6,10))+IF(D2179=1,2,IF(D2179=7,1,(IF(WEEKDAY(B2179)=1,2,IF(WEEKDAY(B2179)=7,1,0))))))</f>
        <v>2</v>
      </c>
      <c r="H2179" s="370">
        <v>13568.750183105469</v>
      </c>
      <c r="I2179" s="370">
        <v>4337.9700317382813</v>
      </c>
      <c r="M2179" s="371">
        <f t="shared" si="133"/>
        <v>14245.313809382513</v>
      </c>
      <c r="N2179" s="329">
        <f t="shared" si="134"/>
        <v>267.34497680664072</v>
      </c>
      <c r="T2179" s="331">
        <v>0</v>
      </c>
      <c r="U2179" s="328">
        <f>VLOOKUP(C2179,METADATA!$J$5:$Q$29,IF(E2179="HI",2,IF(E2179="LO",6,10))+IF(T2179=1,2,IF(D2179=7,1,(IF(WEEKDAY(B2179)=1,2,IF(WEEKDAY(B2179)=7,1,0))))))</f>
        <v>2</v>
      </c>
      <c r="V2179" s="328">
        <f>VLOOKUP(C2179,METADATA!$A$5:$H$29,IF(E2179="HI",2,IF(E2179="LO",6,10))+IF(T2179=1,2,IF(D2179=7,1,(IF(WEEKDAY(B2179)=1,2,IF(WEEKDAY(B2179)=7,1,0))))))</f>
        <v>2</v>
      </c>
    </row>
    <row r="2180" spans="2:22">
      <c r="B2180" s="318">
        <f t="shared" si="135"/>
        <v>46203</v>
      </c>
      <c r="C2180" s="312">
        <v>16</v>
      </c>
      <c r="D2180" s="368">
        <f>IFERROR((INDEX(METADATA!$T$2:$T$20,MATCH(B2180,METADATA!$S$2:$S$20,0))),0)</f>
        <v>0</v>
      </c>
      <c r="E2180" s="312" t="str">
        <f t="shared" ref="E2180:E2243" si="136">IF(B2180="","",IF(AND(MONTH(B2180)&gt;=MONTH($Z$9),MONTH(B2180)&lt;=MONTH($Z$11)),"HI","LO"))</f>
        <v>LO</v>
      </c>
      <c r="F2180" s="369">
        <f>VLOOKUP(C2180,METADATA!$A$5:$H$29,IF(E2180="HI",2,IF(E2180="LO",6,10))+IF(D2180=1,2,IF(D2180=7,1,(IF(WEEKDAY(B2180)=1,2,IF(WEEKDAY(B2180)=7,1,0))))))</f>
        <v>2</v>
      </c>
      <c r="G2180" s="369">
        <f>VLOOKUP(C2180,METADATA!$J$5:$Q$29,IF(E2180="HI",2,IF(E2180="LO",6,10))+IF(D2180=1,2,IF(D2180=7,1,(IF(WEEKDAY(B2180)=1,2,IF(WEEKDAY(B2180)=7,1,0))))))</f>
        <v>2</v>
      </c>
      <c r="H2180" s="370">
        <v>13436.849853515625</v>
      </c>
      <c r="I2180" s="370">
        <v>4313.8300170898438</v>
      </c>
      <c r="M2180" s="371">
        <f t="shared" ref="M2180:M2243" si="137">SQRT(H2180^2+I2180^2)</f>
        <v>14112.337276378716</v>
      </c>
      <c r="N2180" s="329">
        <f t="shared" ref="N2180:N2243" si="138">IF(H2180=0,0,(IF(I2180-(0.3*H2180)&lt;0,0,(I2180-(0.3*H2180)))))</f>
        <v>282.77506103515634</v>
      </c>
      <c r="T2180" s="331">
        <v>0</v>
      </c>
      <c r="U2180" s="328">
        <f>VLOOKUP(C2180,METADATA!$J$5:$Q$29,IF(E2180="HI",2,IF(E2180="LO",6,10))+IF(T2180=1,2,IF(D2180=7,1,(IF(WEEKDAY(B2180)=1,2,IF(WEEKDAY(B2180)=7,1,0))))))</f>
        <v>2</v>
      </c>
      <c r="V2180" s="328">
        <f>VLOOKUP(C2180,METADATA!$A$5:$H$29,IF(E2180="HI",2,IF(E2180="LO",6,10))+IF(T2180=1,2,IF(D2180=7,1,(IF(WEEKDAY(B2180)=1,2,IF(WEEKDAY(B2180)=7,1,0))))))</f>
        <v>2</v>
      </c>
    </row>
    <row r="2181" spans="2:22">
      <c r="B2181" s="318">
        <f t="shared" si="135"/>
        <v>46203</v>
      </c>
      <c r="C2181" s="312">
        <v>17</v>
      </c>
      <c r="D2181" s="368">
        <f>IFERROR((INDEX(METADATA!$T$2:$T$20,MATCH(B2181,METADATA!$S$2:$S$20,0))),0)</f>
        <v>0</v>
      </c>
      <c r="E2181" s="312" t="str">
        <f t="shared" si="136"/>
        <v>LO</v>
      </c>
      <c r="F2181" s="369">
        <f>VLOOKUP(C2181,METADATA!$A$5:$H$29,IF(E2181="HI",2,IF(E2181="LO",6,10))+IF(D2181=1,2,IF(D2181=7,1,(IF(WEEKDAY(B2181)=1,2,IF(WEEKDAY(B2181)=7,1,0))))))</f>
        <v>2</v>
      </c>
      <c r="G2181" s="369">
        <f>VLOOKUP(C2181,METADATA!$J$5:$Q$29,IF(E2181="HI",2,IF(E2181="LO",6,10))+IF(D2181=1,2,IF(D2181=7,1,(IF(WEEKDAY(B2181)=1,2,IF(WEEKDAY(B2181)=7,1,0))))))</f>
        <v>2</v>
      </c>
      <c r="H2181" s="370">
        <v>8083.0499572753906</v>
      </c>
      <c r="I2181" s="370">
        <v>2389.8224639892578</v>
      </c>
      <c r="M2181" s="371">
        <f t="shared" si="137"/>
        <v>8428.9351653217363</v>
      </c>
      <c r="N2181" s="329">
        <f t="shared" si="138"/>
        <v>0</v>
      </c>
      <c r="T2181" s="331">
        <v>0</v>
      </c>
      <c r="U2181" s="328">
        <f>VLOOKUP(C2181,METADATA!$J$5:$Q$29,IF(E2181="HI",2,IF(E2181="LO",6,10))+IF(T2181=1,2,IF(D2181=7,1,(IF(WEEKDAY(B2181)=1,2,IF(WEEKDAY(B2181)=7,1,0))))))</f>
        <v>2</v>
      </c>
      <c r="V2181" s="328">
        <f>VLOOKUP(C2181,METADATA!$A$5:$H$29,IF(E2181="HI",2,IF(E2181="LO",6,10))+IF(T2181=1,2,IF(D2181=7,1,(IF(WEEKDAY(B2181)=1,2,IF(WEEKDAY(B2181)=7,1,0))))))</f>
        <v>2</v>
      </c>
    </row>
    <row r="2182" spans="2:22">
      <c r="B2182" s="318">
        <f t="shared" si="135"/>
        <v>46203</v>
      </c>
      <c r="C2182" s="312">
        <v>18</v>
      </c>
      <c r="D2182" s="368">
        <f>IFERROR((INDEX(METADATA!$T$2:$T$20,MATCH(B2182,METADATA!$S$2:$S$20,0))),0)</f>
        <v>0</v>
      </c>
      <c r="E2182" s="312" t="str">
        <f t="shared" si="136"/>
        <v>LO</v>
      </c>
      <c r="F2182" s="369">
        <f>VLOOKUP(C2182,METADATA!$A$5:$H$29,IF(E2182="HI",2,IF(E2182="LO",6,10))+IF(D2182=1,2,IF(D2182=7,1,(IF(WEEKDAY(B2182)=1,2,IF(WEEKDAY(B2182)=7,1,0))))))</f>
        <v>1</v>
      </c>
      <c r="G2182" s="369">
        <f>VLOOKUP(C2182,METADATA!$J$5:$Q$29,IF(E2182="HI",2,IF(E2182="LO",6,10))+IF(D2182=1,2,IF(D2182=7,1,(IF(WEEKDAY(B2182)=1,2,IF(WEEKDAY(B2182)=7,1,0))))))</f>
        <v>1</v>
      </c>
      <c r="H2182" s="370">
        <v>4648.4225769042969</v>
      </c>
      <c r="I2182" s="370">
        <v>1159.7699890136719</v>
      </c>
      <c r="M2182" s="371">
        <f t="shared" si="137"/>
        <v>4790.9183755194945</v>
      </c>
      <c r="N2182" s="329">
        <f t="shared" si="138"/>
        <v>0</v>
      </c>
      <c r="T2182" s="331">
        <v>0</v>
      </c>
      <c r="U2182" s="328">
        <f>VLOOKUP(C2182,METADATA!$J$5:$Q$29,IF(E2182="HI",2,IF(E2182="LO",6,10))+IF(T2182=1,2,IF(D2182=7,1,(IF(WEEKDAY(B2182)=1,2,IF(WEEKDAY(B2182)=7,1,0))))))</f>
        <v>1</v>
      </c>
      <c r="V2182" s="328">
        <f>VLOOKUP(C2182,METADATA!$A$5:$H$29,IF(E2182="HI",2,IF(E2182="LO",6,10))+IF(T2182=1,2,IF(D2182=7,1,(IF(WEEKDAY(B2182)=1,2,IF(WEEKDAY(B2182)=7,1,0))))))</f>
        <v>1</v>
      </c>
    </row>
    <row r="2183" spans="2:22">
      <c r="B2183" s="318">
        <f t="shared" si="135"/>
        <v>46203</v>
      </c>
      <c r="C2183" s="312">
        <v>19</v>
      </c>
      <c r="D2183" s="368">
        <f>IFERROR((INDEX(METADATA!$T$2:$T$20,MATCH(B2183,METADATA!$S$2:$S$20,0))),0)</f>
        <v>0</v>
      </c>
      <c r="E2183" s="312" t="str">
        <f t="shared" si="136"/>
        <v>LO</v>
      </c>
      <c r="F2183" s="369">
        <f>VLOOKUP(C2183,METADATA!$A$5:$H$29,IF(E2183="HI",2,IF(E2183="LO",6,10))+IF(D2183=1,2,IF(D2183=7,1,(IF(WEEKDAY(B2183)=1,2,IF(WEEKDAY(B2183)=7,1,0))))))</f>
        <v>1</v>
      </c>
      <c r="G2183" s="369">
        <f>VLOOKUP(C2183,METADATA!$J$5:$Q$29,IF(E2183="HI",2,IF(E2183="LO",6,10))+IF(D2183=1,2,IF(D2183=7,1,(IF(WEEKDAY(B2183)=1,2,IF(WEEKDAY(B2183)=7,1,0))))))</f>
        <v>1</v>
      </c>
      <c r="H2183" s="370">
        <v>9490.8800048828125</v>
      </c>
      <c r="I2183" s="370">
        <v>2428.3974914550781</v>
      </c>
      <c r="M2183" s="371">
        <f t="shared" si="137"/>
        <v>9796.6278710375482</v>
      </c>
      <c r="N2183" s="329">
        <f t="shared" si="138"/>
        <v>0</v>
      </c>
      <c r="T2183" s="331">
        <v>0</v>
      </c>
      <c r="U2183" s="328">
        <f>VLOOKUP(C2183,METADATA!$J$5:$Q$29,IF(E2183="HI",2,IF(E2183="LO",6,10))+IF(T2183=1,2,IF(D2183=7,1,(IF(WEEKDAY(B2183)=1,2,IF(WEEKDAY(B2183)=7,1,0))))))</f>
        <v>1</v>
      </c>
      <c r="V2183" s="328">
        <f>VLOOKUP(C2183,METADATA!$A$5:$H$29,IF(E2183="HI",2,IF(E2183="LO",6,10))+IF(T2183=1,2,IF(D2183=7,1,(IF(WEEKDAY(B2183)=1,2,IF(WEEKDAY(B2183)=7,1,0))))))</f>
        <v>1</v>
      </c>
    </row>
    <row r="2184" spans="2:22">
      <c r="B2184" s="318">
        <f t="shared" si="135"/>
        <v>46203</v>
      </c>
      <c r="C2184" s="312">
        <v>20</v>
      </c>
      <c r="D2184" s="368">
        <f>IFERROR((INDEX(METADATA!$T$2:$T$20,MATCH(B2184,METADATA!$S$2:$S$20,0))),0)</f>
        <v>0</v>
      </c>
      <c r="E2184" s="312" t="str">
        <f t="shared" si="136"/>
        <v>LO</v>
      </c>
      <c r="F2184" s="369">
        <f>VLOOKUP(C2184,METADATA!$A$5:$H$29,IF(E2184="HI",2,IF(E2184="LO",6,10))+IF(D2184=1,2,IF(D2184=7,1,(IF(WEEKDAY(B2184)=1,2,IF(WEEKDAY(B2184)=7,1,0))))))</f>
        <v>1</v>
      </c>
      <c r="G2184" s="369">
        <f>VLOOKUP(C2184,METADATA!$J$5:$Q$29,IF(E2184="HI",2,IF(E2184="LO",6,10))+IF(D2184=1,2,IF(D2184=7,1,(IF(WEEKDAY(B2184)=1,2,IF(WEEKDAY(B2184)=7,1,0))))))</f>
        <v>1</v>
      </c>
      <c r="H2184" s="370">
        <v>11550.830169677734</v>
      </c>
      <c r="I2184" s="370">
        <v>3277.5575256347656</v>
      </c>
      <c r="M2184" s="371">
        <f t="shared" si="137"/>
        <v>12006.833926667865</v>
      </c>
      <c r="N2184" s="329">
        <f t="shared" si="138"/>
        <v>0</v>
      </c>
      <c r="T2184" s="331">
        <v>0</v>
      </c>
      <c r="U2184" s="328">
        <f>VLOOKUP(C2184,METADATA!$J$5:$Q$29,IF(E2184="HI",2,IF(E2184="LO",6,10))+IF(T2184=1,2,IF(D2184=7,1,(IF(WEEKDAY(B2184)=1,2,IF(WEEKDAY(B2184)=7,1,0))))))</f>
        <v>1</v>
      </c>
      <c r="V2184" s="328">
        <f>VLOOKUP(C2184,METADATA!$A$5:$H$29,IF(E2184="HI",2,IF(E2184="LO",6,10))+IF(T2184=1,2,IF(D2184=7,1,(IF(WEEKDAY(B2184)=1,2,IF(WEEKDAY(B2184)=7,1,0))))))</f>
        <v>1</v>
      </c>
    </row>
    <row r="2185" spans="2:22">
      <c r="B2185" s="318">
        <f t="shared" si="135"/>
        <v>46203</v>
      </c>
      <c r="C2185" s="312">
        <v>21</v>
      </c>
      <c r="D2185" s="368">
        <f>IFERROR((INDEX(METADATA!$T$2:$T$20,MATCH(B2185,METADATA!$S$2:$S$20,0))),0)</f>
        <v>0</v>
      </c>
      <c r="E2185" s="312" t="str">
        <f t="shared" si="136"/>
        <v>LO</v>
      </c>
      <c r="F2185" s="369">
        <f>VLOOKUP(C2185,METADATA!$A$5:$H$29,IF(E2185="HI",2,IF(E2185="LO",6,10))+IF(D2185=1,2,IF(D2185=7,1,(IF(WEEKDAY(B2185)=1,2,IF(WEEKDAY(B2185)=7,1,0))))))</f>
        <v>2</v>
      </c>
      <c r="G2185" s="369">
        <f>VLOOKUP(C2185,METADATA!$J$5:$Q$29,IF(E2185="HI",2,IF(E2185="LO",6,10))+IF(D2185=1,2,IF(D2185=7,1,(IF(WEEKDAY(B2185)=1,2,IF(WEEKDAY(B2185)=7,1,0))))))</f>
        <v>2</v>
      </c>
      <c r="H2185" s="370">
        <v>11689.830261230469</v>
      </c>
      <c r="I2185" s="370">
        <v>3464.7550048828125</v>
      </c>
      <c r="M2185" s="371">
        <f t="shared" si="137"/>
        <v>12192.4837002245</v>
      </c>
      <c r="N2185" s="329">
        <f t="shared" si="138"/>
        <v>0</v>
      </c>
      <c r="T2185" s="331">
        <v>0</v>
      </c>
      <c r="U2185" s="328">
        <f>VLOOKUP(C2185,METADATA!$J$5:$Q$29,IF(E2185="HI",2,IF(E2185="LO",6,10))+IF(T2185=1,2,IF(D2185=7,1,(IF(WEEKDAY(B2185)=1,2,IF(WEEKDAY(B2185)=7,1,0))))))</f>
        <v>2</v>
      </c>
      <c r="V2185" s="328">
        <f>VLOOKUP(C2185,METADATA!$A$5:$H$29,IF(E2185="HI",2,IF(E2185="LO",6,10))+IF(T2185=1,2,IF(D2185=7,1,(IF(WEEKDAY(B2185)=1,2,IF(WEEKDAY(B2185)=7,1,0))))))</f>
        <v>2</v>
      </c>
    </row>
    <row r="2186" spans="2:22">
      <c r="B2186" s="318">
        <f t="shared" si="135"/>
        <v>46203</v>
      </c>
      <c r="C2186" s="312">
        <v>22</v>
      </c>
      <c r="D2186" s="368">
        <f>IFERROR((INDEX(METADATA!$T$2:$T$20,MATCH(B2186,METADATA!$S$2:$S$20,0))),0)</f>
        <v>0</v>
      </c>
      <c r="E2186" s="312" t="str">
        <f t="shared" si="136"/>
        <v>LO</v>
      </c>
      <c r="F2186" s="369">
        <f>VLOOKUP(C2186,METADATA!$A$5:$H$29,IF(E2186="HI",2,IF(E2186="LO",6,10))+IF(D2186=1,2,IF(D2186=7,1,(IF(WEEKDAY(B2186)=1,2,IF(WEEKDAY(B2186)=7,1,0))))))</f>
        <v>3</v>
      </c>
      <c r="G2186" s="369">
        <f>VLOOKUP(C2186,METADATA!$J$5:$Q$29,IF(E2186="HI",2,IF(E2186="LO",6,10))+IF(D2186=1,2,IF(D2186=7,1,(IF(WEEKDAY(B2186)=1,2,IF(WEEKDAY(B2186)=7,1,0))))))</f>
        <v>3</v>
      </c>
      <c r="H2186" s="370">
        <v>11921.750183105469</v>
      </c>
      <c r="I2186" s="370">
        <v>3748.1600036621094</v>
      </c>
      <c r="M2186" s="371">
        <f t="shared" si="137"/>
        <v>12497.072890938407</v>
      </c>
      <c r="N2186" s="329">
        <f t="shared" si="138"/>
        <v>171.63494873046875</v>
      </c>
      <c r="T2186" s="331">
        <v>0</v>
      </c>
      <c r="U2186" s="328">
        <f>VLOOKUP(C2186,METADATA!$J$5:$Q$29,IF(E2186="HI",2,IF(E2186="LO",6,10))+IF(T2186=1,2,IF(D2186=7,1,(IF(WEEKDAY(B2186)=1,2,IF(WEEKDAY(B2186)=7,1,0))))))</f>
        <v>3</v>
      </c>
      <c r="V2186" s="328">
        <f>VLOOKUP(C2186,METADATA!$A$5:$H$29,IF(E2186="HI",2,IF(E2186="LO",6,10))+IF(T2186=1,2,IF(D2186=7,1,(IF(WEEKDAY(B2186)=1,2,IF(WEEKDAY(B2186)=7,1,0))))))</f>
        <v>3</v>
      </c>
    </row>
    <row r="2187" spans="2:22">
      <c r="B2187" s="318">
        <f t="shared" si="135"/>
        <v>46203</v>
      </c>
      <c r="C2187" s="312">
        <v>23</v>
      </c>
      <c r="D2187" s="368">
        <f>IFERROR((INDEX(METADATA!$T$2:$T$20,MATCH(B2187,METADATA!$S$2:$S$20,0))),0)</f>
        <v>0</v>
      </c>
      <c r="E2187" s="312" t="str">
        <f t="shared" si="136"/>
        <v>LO</v>
      </c>
      <c r="F2187" s="369">
        <f>VLOOKUP(C2187,METADATA!$A$5:$H$29,IF(E2187="HI",2,IF(E2187="LO",6,10))+IF(D2187=1,2,IF(D2187=7,1,(IF(WEEKDAY(B2187)=1,2,IF(WEEKDAY(B2187)=7,1,0))))))</f>
        <v>3</v>
      </c>
      <c r="G2187" s="369">
        <f>VLOOKUP(C2187,METADATA!$J$5:$Q$29,IF(E2187="HI",2,IF(E2187="LO",6,10))+IF(D2187=1,2,IF(D2187=7,1,(IF(WEEKDAY(B2187)=1,2,IF(WEEKDAY(B2187)=7,1,0))))))</f>
        <v>3</v>
      </c>
      <c r="H2187" s="370">
        <v>11809.22509765625</v>
      </c>
      <c r="I2187" s="370">
        <v>3623.5900268554688</v>
      </c>
      <c r="M2187" s="371">
        <f t="shared" si="137"/>
        <v>12352.659717236636</v>
      </c>
      <c r="N2187" s="329">
        <f t="shared" si="138"/>
        <v>80.822497558594023</v>
      </c>
      <c r="T2187" s="331">
        <v>0</v>
      </c>
      <c r="U2187" s="328">
        <f>VLOOKUP(C2187,METADATA!$J$5:$Q$29,IF(E2187="HI",2,IF(E2187="LO",6,10))+IF(T2187=1,2,IF(D2187=7,1,(IF(WEEKDAY(B2187)=1,2,IF(WEEKDAY(B2187)=7,1,0))))))</f>
        <v>3</v>
      </c>
      <c r="V2187" s="328">
        <f>VLOOKUP(C2187,METADATA!$A$5:$H$29,IF(E2187="HI",2,IF(E2187="LO",6,10))+IF(T2187=1,2,IF(D2187=7,1,(IF(WEEKDAY(B2187)=1,2,IF(WEEKDAY(B2187)=7,1,0))))))</f>
        <v>3</v>
      </c>
    </row>
    <row r="2188" spans="2:22">
      <c r="B2188" s="318">
        <f t="shared" si="135"/>
        <v>46204</v>
      </c>
      <c r="C2188" s="312">
        <v>0</v>
      </c>
      <c r="D2188" s="368">
        <f>IFERROR((INDEX(METADATA!$T$2:$T$20,MATCH(B2188,METADATA!$S$2:$S$20,0))),0)</f>
        <v>0</v>
      </c>
      <c r="E2188" s="312" t="str">
        <f t="shared" si="136"/>
        <v>LO</v>
      </c>
      <c r="F2188" s="369">
        <f>VLOOKUP(C2188,METADATA!$A$5:$H$29,IF(E2188="HI",2,IF(E2188="LO",6,10))+IF(D2188=1,2,IF(D2188=7,1,(IF(WEEKDAY(B2188)=1,2,IF(WEEKDAY(B2188)=7,1,0))))))</f>
        <v>3</v>
      </c>
      <c r="G2188" s="369">
        <f>VLOOKUP(C2188,METADATA!$J$5:$Q$29,IF(E2188="HI",2,IF(E2188="LO",6,10))+IF(D2188=1,2,IF(D2188=7,1,(IF(WEEKDAY(B2188)=1,2,IF(WEEKDAY(B2188)=7,1,0))))))</f>
        <v>3</v>
      </c>
      <c r="H2188" s="370">
        <v>12765.475158691406</v>
      </c>
      <c r="I2188" s="370">
        <v>3921.5900268554688</v>
      </c>
      <c r="M2188" s="371">
        <f t="shared" si="137"/>
        <v>13354.258660288846</v>
      </c>
      <c r="N2188" s="329">
        <f t="shared" si="138"/>
        <v>91.947479248046875</v>
      </c>
      <c r="T2188" s="331">
        <v>0</v>
      </c>
      <c r="U2188" s="328">
        <f>VLOOKUP(C2188,METADATA!$J$5:$Q$29,IF(E2188="HI",2,IF(E2188="LO",6,10))+IF(T2188=1,2,IF(D2188=7,1,(IF(WEEKDAY(B2188)=1,2,IF(WEEKDAY(B2188)=7,1,0))))))</f>
        <v>3</v>
      </c>
      <c r="V2188" s="328">
        <f>VLOOKUP(C2188,METADATA!$A$5:$H$29,IF(E2188="HI",2,IF(E2188="LO",6,10))+IF(T2188=1,2,IF(D2188=7,1,(IF(WEEKDAY(B2188)=1,2,IF(WEEKDAY(B2188)=7,1,0))))))</f>
        <v>3</v>
      </c>
    </row>
    <row r="2189" spans="2:22">
      <c r="B2189" s="318">
        <f t="shared" si="135"/>
        <v>46204</v>
      </c>
      <c r="C2189" s="312">
        <v>1</v>
      </c>
      <c r="D2189" s="368">
        <f>IFERROR((INDEX(METADATA!$T$2:$T$20,MATCH(B2189,METADATA!$S$2:$S$20,0))),0)</f>
        <v>0</v>
      </c>
      <c r="E2189" s="312" t="str">
        <f t="shared" si="136"/>
        <v>LO</v>
      </c>
      <c r="F2189" s="369">
        <f>VLOOKUP(C2189,METADATA!$A$5:$H$29,IF(E2189="HI",2,IF(E2189="LO",6,10))+IF(D2189=1,2,IF(D2189=7,1,(IF(WEEKDAY(B2189)=1,2,IF(WEEKDAY(B2189)=7,1,0))))))</f>
        <v>3</v>
      </c>
      <c r="G2189" s="369">
        <f>VLOOKUP(C2189,METADATA!$J$5:$Q$29,IF(E2189="HI",2,IF(E2189="LO",6,10))+IF(D2189=1,2,IF(D2189=7,1,(IF(WEEKDAY(B2189)=1,2,IF(WEEKDAY(B2189)=7,1,0))))))</f>
        <v>3</v>
      </c>
      <c r="H2189" s="370">
        <v>13627.517578125</v>
      </c>
      <c r="I2189" s="370">
        <v>4488.3950500488281</v>
      </c>
      <c r="M2189" s="371">
        <f t="shared" si="137"/>
        <v>14347.645293476164</v>
      </c>
      <c r="N2189" s="329">
        <f t="shared" si="138"/>
        <v>400.13977661132822</v>
      </c>
      <c r="T2189" s="331">
        <v>0</v>
      </c>
      <c r="U2189" s="328">
        <f>VLOOKUP(C2189,METADATA!$J$5:$Q$29,IF(E2189="HI",2,IF(E2189="LO",6,10))+IF(T2189=1,2,IF(D2189=7,1,(IF(WEEKDAY(B2189)=1,2,IF(WEEKDAY(B2189)=7,1,0))))))</f>
        <v>3</v>
      </c>
      <c r="V2189" s="328">
        <f>VLOOKUP(C2189,METADATA!$A$5:$H$29,IF(E2189="HI",2,IF(E2189="LO",6,10))+IF(T2189=1,2,IF(D2189=7,1,(IF(WEEKDAY(B2189)=1,2,IF(WEEKDAY(B2189)=7,1,0))))))</f>
        <v>3</v>
      </c>
    </row>
    <row r="2190" spans="2:22">
      <c r="B2190" s="318">
        <f t="shared" si="135"/>
        <v>46204</v>
      </c>
      <c r="C2190" s="312">
        <v>2</v>
      </c>
      <c r="D2190" s="368">
        <f>IFERROR((INDEX(METADATA!$T$2:$T$20,MATCH(B2190,METADATA!$S$2:$S$20,0))),0)</f>
        <v>0</v>
      </c>
      <c r="E2190" s="312" t="str">
        <f t="shared" si="136"/>
        <v>LO</v>
      </c>
      <c r="F2190" s="369">
        <f>VLOOKUP(C2190,METADATA!$A$5:$H$29,IF(E2190="HI",2,IF(E2190="LO",6,10))+IF(D2190=1,2,IF(D2190=7,1,(IF(WEEKDAY(B2190)=1,2,IF(WEEKDAY(B2190)=7,1,0))))))</f>
        <v>3</v>
      </c>
      <c r="G2190" s="369">
        <f>VLOOKUP(C2190,METADATA!$J$5:$Q$29,IF(E2190="HI",2,IF(E2190="LO",6,10))+IF(D2190=1,2,IF(D2190=7,1,(IF(WEEKDAY(B2190)=1,2,IF(WEEKDAY(B2190)=7,1,0))))))</f>
        <v>3</v>
      </c>
      <c r="H2190" s="370">
        <v>13700.332336425781</v>
      </c>
      <c r="I2190" s="370">
        <v>4533.8749389648438</v>
      </c>
      <c r="M2190" s="371">
        <f t="shared" si="137"/>
        <v>14431.047366379453</v>
      </c>
      <c r="N2190" s="329">
        <f t="shared" si="138"/>
        <v>423.77523803710938</v>
      </c>
      <c r="T2190" s="331">
        <v>0</v>
      </c>
      <c r="U2190" s="328">
        <f>VLOOKUP(C2190,METADATA!$J$5:$Q$29,IF(E2190="HI",2,IF(E2190="LO",6,10))+IF(T2190=1,2,IF(D2190=7,1,(IF(WEEKDAY(B2190)=1,2,IF(WEEKDAY(B2190)=7,1,0))))))</f>
        <v>3</v>
      </c>
      <c r="V2190" s="328">
        <f>VLOOKUP(C2190,METADATA!$A$5:$H$29,IF(E2190="HI",2,IF(E2190="LO",6,10))+IF(T2190=1,2,IF(D2190=7,1,(IF(WEEKDAY(B2190)=1,2,IF(WEEKDAY(B2190)=7,1,0))))))</f>
        <v>3</v>
      </c>
    </row>
    <row r="2191" spans="2:22">
      <c r="B2191" s="318">
        <f t="shared" si="135"/>
        <v>46204</v>
      </c>
      <c r="C2191" s="312">
        <v>3</v>
      </c>
      <c r="D2191" s="368">
        <f>IFERROR((INDEX(METADATA!$T$2:$T$20,MATCH(B2191,METADATA!$S$2:$S$20,0))),0)</f>
        <v>0</v>
      </c>
      <c r="E2191" s="312" t="str">
        <f t="shared" si="136"/>
        <v>LO</v>
      </c>
      <c r="F2191" s="369">
        <f>VLOOKUP(C2191,METADATA!$A$5:$H$29,IF(E2191="HI",2,IF(E2191="LO",6,10))+IF(D2191=1,2,IF(D2191=7,1,(IF(WEEKDAY(B2191)=1,2,IF(WEEKDAY(B2191)=7,1,0))))))</f>
        <v>3</v>
      </c>
      <c r="G2191" s="369">
        <f>VLOOKUP(C2191,METADATA!$J$5:$Q$29,IF(E2191="HI",2,IF(E2191="LO",6,10))+IF(D2191=1,2,IF(D2191=7,1,(IF(WEEKDAY(B2191)=1,2,IF(WEEKDAY(B2191)=7,1,0))))))</f>
        <v>3</v>
      </c>
      <c r="H2191" s="370">
        <v>13575.049438476563</v>
      </c>
      <c r="I2191" s="370">
        <v>4436.2849426269531</v>
      </c>
      <c r="M2191" s="371">
        <f t="shared" si="137"/>
        <v>14281.547232329607</v>
      </c>
      <c r="N2191" s="329">
        <f t="shared" si="138"/>
        <v>363.77011108398438</v>
      </c>
      <c r="T2191" s="331">
        <v>0</v>
      </c>
      <c r="U2191" s="328">
        <f>VLOOKUP(C2191,METADATA!$J$5:$Q$29,IF(E2191="HI",2,IF(E2191="LO",6,10))+IF(T2191=1,2,IF(D2191=7,1,(IF(WEEKDAY(B2191)=1,2,IF(WEEKDAY(B2191)=7,1,0))))))</f>
        <v>3</v>
      </c>
      <c r="V2191" s="328">
        <f>VLOOKUP(C2191,METADATA!$A$5:$H$29,IF(E2191="HI",2,IF(E2191="LO",6,10))+IF(T2191=1,2,IF(D2191=7,1,(IF(WEEKDAY(B2191)=1,2,IF(WEEKDAY(B2191)=7,1,0))))))</f>
        <v>3</v>
      </c>
    </row>
    <row r="2192" spans="2:22">
      <c r="B2192" s="318">
        <f t="shared" si="135"/>
        <v>46204</v>
      </c>
      <c r="C2192" s="312">
        <v>4</v>
      </c>
      <c r="D2192" s="368">
        <f>IFERROR((INDEX(METADATA!$T$2:$T$20,MATCH(B2192,METADATA!$S$2:$S$20,0))),0)</f>
        <v>0</v>
      </c>
      <c r="E2192" s="312" t="str">
        <f t="shared" si="136"/>
        <v>LO</v>
      </c>
      <c r="F2192" s="369">
        <f>VLOOKUP(C2192,METADATA!$A$5:$H$29,IF(E2192="HI",2,IF(E2192="LO",6,10))+IF(D2192=1,2,IF(D2192=7,1,(IF(WEEKDAY(B2192)=1,2,IF(WEEKDAY(B2192)=7,1,0))))))</f>
        <v>3</v>
      </c>
      <c r="G2192" s="369">
        <f>VLOOKUP(C2192,METADATA!$J$5:$Q$29,IF(E2192="HI",2,IF(E2192="LO",6,10))+IF(D2192=1,2,IF(D2192=7,1,(IF(WEEKDAY(B2192)=1,2,IF(WEEKDAY(B2192)=7,1,0))))))</f>
        <v>3</v>
      </c>
      <c r="H2192" s="370">
        <v>12945.64990234375</v>
      </c>
      <c r="I2192" s="370">
        <v>3849.1100158691406</v>
      </c>
      <c r="M2192" s="371">
        <f t="shared" si="137"/>
        <v>13505.758005692123</v>
      </c>
      <c r="N2192" s="329">
        <f t="shared" si="138"/>
        <v>0</v>
      </c>
      <c r="T2192" s="331">
        <v>0</v>
      </c>
      <c r="U2192" s="328">
        <f>VLOOKUP(C2192,METADATA!$J$5:$Q$29,IF(E2192="HI",2,IF(E2192="LO",6,10))+IF(T2192=1,2,IF(D2192=7,1,(IF(WEEKDAY(B2192)=1,2,IF(WEEKDAY(B2192)=7,1,0))))))</f>
        <v>3</v>
      </c>
      <c r="V2192" s="328">
        <f>VLOOKUP(C2192,METADATA!$A$5:$H$29,IF(E2192="HI",2,IF(E2192="LO",6,10))+IF(T2192=1,2,IF(D2192=7,1,(IF(WEEKDAY(B2192)=1,2,IF(WEEKDAY(B2192)=7,1,0))))))</f>
        <v>3</v>
      </c>
    </row>
    <row r="2193" spans="2:22">
      <c r="B2193" s="318">
        <f t="shared" si="135"/>
        <v>46204</v>
      </c>
      <c r="C2193" s="312">
        <v>5</v>
      </c>
      <c r="D2193" s="368">
        <f>IFERROR((INDEX(METADATA!$T$2:$T$20,MATCH(B2193,METADATA!$S$2:$S$20,0))),0)</f>
        <v>0</v>
      </c>
      <c r="E2193" s="312" t="str">
        <f t="shared" si="136"/>
        <v>LO</v>
      </c>
      <c r="F2193" s="369">
        <f>VLOOKUP(C2193,METADATA!$A$5:$H$29,IF(E2193="HI",2,IF(E2193="LO",6,10))+IF(D2193=1,2,IF(D2193=7,1,(IF(WEEKDAY(B2193)=1,2,IF(WEEKDAY(B2193)=7,1,0))))))</f>
        <v>3</v>
      </c>
      <c r="G2193" s="369">
        <f>VLOOKUP(C2193,METADATA!$J$5:$Q$29,IF(E2193="HI",2,IF(E2193="LO",6,10))+IF(D2193=1,2,IF(D2193=7,1,(IF(WEEKDAY(B2193)=1,2,IF(WEEKDAY(B2193)=7,1,0))))))</f>
        <v>3</v>
      </c>
      <c r="H2193" s="370">
        <v>13314.375244140625</v>
      </c>
      <c r="I2193" s="370">
        <v>4093.6450500488281</v>
      </c>
      <c r="M2193" s="371">
        <f t="shared" si="137"/>
        <v>13929.483764216606</v>
      </c>
      <c r="N2193" s="329">
        <f t="shared" si="138"/>
        <v>99.332476806640898</v>
      </c>
      <c r="T2193" s="331">
        <v>0</v>
      </c>
      <c r="U2193" s="328">
        <f>VLOOKUP(C2193,METADATA!$J$5:$Q$29,IF(E2193="HI",2,IF(E2193="LO",6,10))+IF(T2193=1,2,IF(D2193=7,1,(IF(WEEKDAY(B2193)=1,2,IF(WEEKDAY(B2193)=7,1,0))))))</f>
        <v>3</v>
      </c>
      <c r="V2193" s="328">
        <f>VLOOKUP(C2193,METADATA!$A$5:$H$29,IF(E2193="HI",2,IF(E2193="LO",6,10))+IF(T2193=1,2,IF(D2193=7,1,(IF(WEEKDAY(B2193)=1,2,IF(WEEKDAY(B2193)=7,1,0))))))</f>
        <v>3</v>
      </c>
    </row>
    <row r="2194" spans="2:22">
      <c r="B2194" s="318">
        <f t="shared" si="135"/>
        <v>46204</v>
      </c>
      <c r="C2194" s="312">
        <v>6</v>
      </c>
      <c r="D2194" s="368">
        <f>IFERROR((INDEX(METADATA!$T$2:$T$20,MATCH(B2194,METADATA!$S$2:$S$20,0))),0)</f>
        <v>0</v>
      </c>
      <c r="E2194" s="312" t="str">
        <f t="shared" si="136"/>
        <v>LO</v>
      </c>
      <c r="F2194" s="369">
        <f>VLOOKUP(C2194,METADATA!$A$5:$H$29,IF(E2194="HI",2,IF(E2194="LO",6,10))+IF(D2194=1,2,IF(D2194=7,1,(IF(WEEKDAY(B2194)=1,2,IF(WEEKDAY(B2194)=7,1,0))))))</f>
        <v>2</v>
      </c>
      <c r="G2194" s="369">
        <f>VLOOKUP(C2194,METADATA!$J$5:$Q$29,IF(E2194="HI",2,IF(E2194="LO",6,10))+IF(D2194=1,2,IF(D2194=7,1,(IF(WEEKDAY(B2194)=1,2,IF(WEEKDAY(B2194)=7,1,0))))))</f>
        <v>2</v>
      </c>
      <c r="H2194" s="370">
        <v>13072.125</v>
      </c>
      <c r="I2194" s="370">
        <v>3897.7049102783203</v>
      </c>
      <c r="M2194" s="371">
        <f t="shared" si="137"/>
        <v>13640.841454369034</v>
      </c>
      <c r="N2194" s="329">
        <f t="shared" si="138"/>
        <v>0</v>
      </c>
      <c r="T2194" s="331">
        <v>0</v>
      </c>
      <c r="U2194" s="328">
        <f>VLOOKUP(C2194,METADATA!$J$5:$Q$29,IF(E2194="HI",2,IF(E2194="LO",6,10))+IF(T2194=1,2,IF(D2194=7,1,(IF(WEEKDAY(B2194)=1,2,IF(WEEKDAY(B2194)=7,1,0))))))</f>
        <v>2</v>
      </c>
      <c r="V2194" s="328">
        <f>VLOOKUP(C2194,METADATA!$A$5:$H$29,IF(E2194="HI",2,IF(E2194="LO",6,10))+IF(T2194=1,2,IF(D2194=7,1,(IF(WEEKDAY(B2194)=1,2,IF(WEEKDAY(B2194)=7,1,0))))))</f>
        <v>2</v>
      </c>
    </row>
    <row r="2195" spans="2:22">
      <c r="B2195" s="318">
        <f t="shared" si="135"/>
        <v>46204</v>
      </c>
      <c r="C2195" s="312">
        <v>7</v>
      </c>
      <c r="D2195" s="368">
        <f>IFERROR((INDEX(METADATA!$T$2:$T$20,MATCH(B2195,METADATA!$S$2:$S$20,0))),0)</f>
        <v>0</v>
      </c>
      <c r="E2195" s="312" t="str">
        <f t="shared" si="136"/>
        <v>LO</v>
      </c>
      <c r="F2195" s="369">
        <f>VLOOKUP(C2195,METADATA!$A$5:$H$29,IF(E2195="HI",2,IF(E2195="LO",6,10))+IF(D2195=1,2,IF(D2195=7,1,(IF(WEEKDAY(B2195)=1,2,IF(WEEKDAY(B2195)=7,1,0))))))</f>
        <v>1</v>
      </c>
      <c r="G2195" s="369">
        <f>VLOOKUP(C2195,METADATA!$J$5:$Q$29,IF(E2195="HI",2,IF(E2195="LO",6,10))+IF(D2195=1,2,IF(D2195=7,1,(IF(WEEKDAY(B2195)=1,2,IF(WEEKDAY(B2195)=7,1,0))))))</f>
        <v>1</v>
      </c>
      <c r="H2195" s="370">
        <v>13861.875366210938</v>
      </c>
      <c r="I2195" s="370">
        <v>4481.5100402832031</v>
      </c>
      <c r="M2195" s="371">
        <f t="shared" si="137"/>
        <v>14568.305354759857</v>
      </c>
      <c r="N2195" s="329">
        <f t="shared" si="138"/>
        <v>322.94743041992206</v>
      </c>
      <c r="T2195" s="331">
        <v>0</v>
      </c>
      <c r="U2195" s="328">
        <f>VLOOKUP(C2195,METADATA!$J$5:$Q$29,IF(E2195="HI",2,IF(E2195="LO",6,10))+IF(T2195=1,2,IF(D2195=7,1,(IF(WEEKDAY(B2195)=1,2,IF(WEEKDAY(B2195)=7,1,0))))))</f>
        <v>1</v>
      </c>
      <c r="V2195" s="328">
        <f>VLOOKUP(C2195,METADATA!$A$5:$H$29,IF(E2195="HI",2,IF(E2195="LO",6,10))+IF(T2195=1,2,IF(D2195=7,1,(IF(WEEKDAY(B2195)=1,2,IF(WEEKDAY(B2195)=7,1,0))))))</f>
        <v>1</v>
      </c>
    </row>
    <row r="2196" spans="2:22">
      <c r="B2196" s="318">
        <f t="shared" si="135"/>
        <v>46204</v>
      </c>
      <c r="C2196" s="312">
        <v>8</v>
      </c>
      <c r="D2196" s="368">
        <f>IFERROR((INDEX(METADATA!$T$2:$T$20,MATCH(B2196,METADATA!$S$2:$S$20,0))),0)</f>
        <v>0</v>
      </c>
      <c r="E2196" s="312" t="str">
        <f t="shared" si="136"/>
        <v>LO</v>
      </c>
      <c r="F2196" s="369">
        <f>VLOOKUP(C2196,METADATA!$A$5:$H$29,IF(E2196="HI",2,IF(E2196="LO",6,10))+IF(D2196=1,2,IF(D2196=7,1,(IF(WEEKDAY(B2196)=1,2,IF(WEEKDAY(B2196)=7,1,0))))))</f>
        <v>1</v>
      </c>
      <c r="G2196" s="369">
        <f>VLOOKUP(C2196,METADATA!$J$5:$Q$29,IF(E2196="HI",2,IF(E2196="LO",6,10))+IF(D2196=1,2,IF(D2196=7,1,(IF(WEEKDAY(B2196)=1,2,IF(WEEKDAY(B2196)=7,1,0))))))</f>
        <v>1</v>
      </c>
      <c r="H2196" s="370">
        <v>13095.400085449219</v>
      </c>
      <c r="I2196" s="370">
        <v>3816.5249938964844</v>
      </c>
      <c r="M2196" s="371">
        <f t="shared" si="137"/>
        <v>13640.21137765174</v>
      </c>
      <c r="N2196" s="329">
        <f t="shared" si="138"/>
        <v>0</v>
      </c>
      <c r="T2196" s="331">
        <v>0</v>
      </c>
      <c r="U2196" s="328">
        <f>VLOOKUP(C2196,METADATA!$J$5:$Q$29,IF(E2196="HI",2,IF(E2196="LO",6,10))+IF(T2196=1,2,IF(D2196=7,1,(IF(WEEKDAY(B2196)=1,2,IF(WEEKDAY(B2196)=7,1,0))))))</f>
        <v>1</v>
      </c>
      <c r="V2196" s="328">
        <f>VLOOKUP(C2196,METADATA!$A$5:$H$29,IF(E2196="HI",2,IF(E2196="LO",6,10))+IF(T2196=1,2,IF(D2196=7,1,(IF(WEEKDAY(B2196)=1,2,IF(WEEKDAY(B2196)=7,1,0))))))</f>
        <v>1</v>
      </c>
    </row>
    <row r="2197" spans="2:22">
      <c r="B2197" s="318">
        <f t="shared" si="135"/>
        <v>46204</v>
      </c>
      <c r="C2197" s="312">
        <v>9</v>
      </c>
      <c r="D2197" s="368">
        <f>IFERROR((INDEX(METADATA!$T$2:$T$20,MATCH(B2197,METADATA!$S$2:$S$20,0))),0)</f>
        <v>0</v>
      </c>
      <c r="E2197" s="312" t="str">
        <f t="shared" si="136"/>
        <v>LO</v>
      </c>
      <c r="F2197" s="369">
        <f>VLOOKUP(C2197,METADATA!$A$5:$H$29,IF(E2197="HI",2,IF(E2197="LO",6,10))+IF(D2197=1,2,IF(D2197=7,1,(IF(WEEKDAY(B2197)=1,2,IF(WEEKDAY(B2197)=7,1,0))))))</f>
        <v>2</v>
      </c>
      <c r="G2197" s="369">
        <f>VLOOKUP(C2197,METADATA!$J$5:$Q$29,IF(E2197="HI",2,IF(E2197="LO",6,10))+IF(D2197=1,2,IF(D2197=7,1,(IF(WEEKDAY(B2197)=1,2,IF(WEEKDAY(B2197)=7,1,0))))))</f>
        <v>2</v>
      </c>
      <c r="H2197" s="370">
        <v>13806.675170898438</v>
      </c>
      <c r="I2197" s="370">
        <v>4445.4149169921875</v>
      </c>
      <c r="M2197" s="371">
        <f t="shared" si="137"/>
        <v>14504.6886577727</v>
      </c>
      <c r="N2197" s="329">
        <f t="shared" si="138"/>
        <v>303.41236572265643</v>
      </c>
      <c r="T2197" s="331">
        <v>0</v>
      </c>
      <c r="U2197" s="328">
        <f>VLOOKUP(C2197,METADATA!$J$5:$Q$29,IF(E2197="HI",2,IF(E2197="LO",6,10))+IF(T2197=1,2,IF(D2197=7,1,(IF(WEEKDAY(B2197)=1,2,IF(WEEKDAY(B2197)=7,1,0))))))</f>
        <v>2</v>
      </c>
      <c r="V2197" s="328">
        <f>VLOOKUP(C2197,METADATA!$A$5:$H$29,IF(E2197="HI",2,IF(E2197="LO",6,10))+IF(T2197=1,2,IF(D2197=7,1,(IF(WEEKDAY(B2197)=1,2,IF(WEEKDAY(B2197)=7,1,0))))))</f>
        <v>2</v>
      </c>
    </row>
    <row r="2198" spans="2:22">
      <c r="B2198" s="318">
        <f t="shared" si="135"/>
        <v>46204</v>
      </c>
      <c r="C2198" s="312">
        <v>10</v>
      </c>
      <c r="D2198" s="368">
        <f>IFERROR((INDEX(METADATA!$T$2:$T$20,MATCH(B2198,METADATA!$S$2:$S$20,0))),0)</f>
        <v>0</v>
      </c>
      <c r="E2198" s="312" t="str">
        <f t="shared" si="136"/>
        <v>LO</v>
      </c>
      <c r="F2198" s="369">
        <f>VLOOKUP(C2198,METADATA!$A$5:$H$29,IF(E2198="HI",2,IF(E2198="LO",6,10))+IF(D2198=1,2,IF(D2198=7,1,(IF(WEEKDAY(B2198)=1,2,IF(WEEKDAY(B2198)=7,1,0))))))</f>
        <v>2</v>
      </c>
      <c r="G2198" s="369">
        <f>VLOOKUP(C2198,METADATA!$J$5:$Q$29,IF(E2198="HI",2,IF(E2198="LO",6,10))+IF(D2198=1,2,IF(D2198=7,1,(IF(WEEKDAY(B2198)=1,2,IF(WEEKDAY(B2198)=7,1,0))))))</f>
        <v>2</v>
      </c>
      <c r="H2198" s="370">
        <v>13872.025085449219</v>
      </c>
      <c r="I2198" s="370">
        <v>4524.3099975585938</v>
      </c>
      <c r="M2198" s="371">
        <f t="shared" si="137"/>
        <v>14591.177503044128</v>
      </c>
      <c r="N2198" s="329">
        <f t="shared" si="138"/>
        <v>362.70247192382794</v>
      </c>
      <c r="T2198" s="331">
        <v>0</v>
      </c>
      <c r="U2198" s="328">
        <f>VLOOKUP(C2198,METADATA!$J$5:$Q$29,IF(E2198="HI",2,IF(E2198="LO",6,10))+IF(T2198=1,2,IF(D2198=7,1,(IF(WEEKDAY(B2198)=1,2,IF(WEEKDAY(B2198)=7,1,0))))))</f>
        <v>2</v>
      </c>
      <c r="V2198" s="328">
        <f>VLOOKUP(C2198,METADATA!$A$5:$H$29,IF(E2198="HI",2,IF(E2198="LO",6,10))+IF(T2198=1,2,IF(D2198=7,1,(IF(WEEKDAY(B2198)=1,2,IF(WEEKDAY(B2198)=7,1,0))))))</f>
        <v>2</v>
      </c>
    </row>
    <row r="2199" spans="2:22">
      <c r="B2199" s="318">
        <f t="shared" si="135"/>
        <v>46204</v>
      </c>
      <c r="C2199" s="312">
        <v>11</v>
      </c>
      <c r="D2199" s="368">
        <f>IFERROR((INDEX(METADATA!$T$2:$T$20,MATCH(B2199,METADATA!$S$2:$S$20,0))),0)</f>
        <v>0</v>
      </c>
      <c r="E2199" s="312" t="str">
        <f t="shared" si="136"/>
        <v>LO</v>
      </c>
      <c r="F2199" s="369">
        <f>VLOOKUP(C2199,METADATA!$A$5:$H$29,IF(E2199="HI",2,IF(E2199="LO",6,10))+IF(D2199=1,2,IF(D2199=7,1,(IF(WEEKDAY(B2199)=1,2,IF(WEEKDAY(B2199)=7,1,0))))))</f>
        <v>2</v>
      </c>
      <c r="G2199" s="369">
        <f>VLOOKUP(C2199,METADATA!$J$5:$Q$29,IF(E2199="HI",2,IF(E2199="LO",6,10))+IF(D2199=1,2,IF(D2199=7,1,(IF(WEEKDAY(B2199)=1,2,IF(WEEKDAY(B2199)=7,1,0))))))</f>
        <v>2</v>
      </c>
      <c r="H2199" s="370">
        <v>13892.724914550781</v>
      </c>
      <c r="I2199" s="370">
        <v>4623.6099853515625</v>
      </c>
      <c r="M2199" s="371">
        <f t="shared" si="137"/>
        <v>14641.911584490008</v>
      </c>
      <c r="N2199" s="329">
        <f t="shared" si="138"/>
        <v>455.79251098632813</v>
      </c>
      <c r="T2199" s="331">
        <v>0</v>
      </c>
      <c r="U2199" s="328">
        <f>VLOOKUP(C2199,METADATA!$J$5:$Q$29,IF(E2199="HI",2,IF(E2199="LO",6,10))+IF(T2199=1,2,IF(D2199=7,1,(IF(WEEKDAY(B2199)=1,2,IF(WEEKDAY(B2199)=7,1,0))))))</f>
        <v>2</v>
      </c>
      <c r="V2199" s="328">
        <f>VLOOKUP(C2199,METADATA!$A$5:$H$29,IF(E2199="HI",2,IF(E2199="LO",6,10))+IF(T2199=1,2,IF(D2199=7,1,(IF(WEEKDAY(B2199)=1,2,IF(WEEKDAY(B2199)=7,1,0))))))</f>
        <v>2</v>
      </c>
    </row>
    <row r="2200" spans="2:22">
      <c r="B2200" s="318">
        <f t="shared" si="135"/>
        <v>46204</v>
      </c>
      <c r="C2200" s="312">
        <v>12</v>
      </c>
      <c r="D2200" s="368">
        <f>IFERROR((INDEX(METADATA!$T$2:$T$20,MATCH(B2200,METADATA!$S$2:$S$20,0))),0)</f>
        <v>0</v>
      </c>
      <c r="E2200" s="312" t="str">
        <f t="shared" si="136"/>
        <v>LO</v>
      </c>
      <c r="F2200" s="369">
        <f>VLOOKUP(C2200,METADATA!$A$5:$H$29,IF(E2200="HI",2,IF(E2200="LO",6,10))+IF(D2200=1,2,IF(D2200=7,1,(IF(WEEKDAY(B2200)=1,2,IF(WEEKDAY(B2200)=7,1,0))))))</f>
        <v>2</v>
      </c>
      <c r="G2200" s="369">
        <f>VLOOKUP(C2200,METADATA!$J$5:$Q$29,IF(E2200="HI",2,IF(E2200="LO",6,10))+IF(D2200=1,2,IF(D2200=7,1,(IF(WEEKDAY(B2200)=1,2,IF(WEEKDAY(B2200)=7,1,0))))))</f>
        <v>2</v>
      </c>
      <c r="H2200" s="370">
        <v>13727.250244140625</v>
      </c>
      <c r="I2200" s="370">
        <v>4643.5249633789063</v>
      </c>
      <c r="M2200" s="371">
        <f t="shared" si="137"/>
        <v>14491.367200881425</v>
      </c>
      <c r="N2200" s="329">
        <f t="shared" si="138"/>
        <v>525.3498901367193</v>
      </c>
      <c r="T2200" s="331">
        <v>0</v>
      </c>
      <c r="U2200" s="328">
        <f>VLOOKUP(C2200,METADATA!$J$5:$Q$29,IF(E2200="HI",2,IF(E2200="LO",6,10))+IF(T2200=1,2,IF(D2200=7,1,(IF(WEEKDAY(B2200)=1,2,IF(WEEKDAY(B2200)=7,1,0))))))</f>
        <v>2</v>
      </c>
      <c r="V2200" s="328">
        <f>VLOOKUP(C2200,METADATA!$A$5:$H$29,IF(E2200="HI",2,IF(E2200="LO",6,10))+IF(T2200=1,2,IF(D2200=7,1,(IF(WEEKDAY(B2200)=1,2,IF(WEEKDAY(B2200)=7,1,0))))))</f>
        <v>2</v>
      </c>
    </row>
    <row r="2201" spans="2:22">
      <c r="B2201" s="318">
        <f t="shared" si="135"/>
        <v>46204</v>
      </c>
      <c r="C2201" s="312">
        <v>13</v>
      </c>
      <c r="D2201" s="368">
        <f>IFERROR((INDEX(METADATA!$T$2:$T$20,MATCH(B2201,METADATA!$S$2:$S$20,0))),0)</f>
        <v>0</v>
      </c>
      <c r="E2201" s="312" t="str">
        <f t="shared" si="136"/>
        <v>LO</v>
      </c>
      <c r="F2201" s="369">
        <f>VLOOKUP(C2201,METADATA!$A$5:$H$29,IF(E2201="HI",2,IF(E2201="LO",6,10))+IF(D2201=1,2,IF(D2201=7,1,(IF(WEEKDAY(B2201)=1,2,IF(WEEKDAY(B2201)=7,1,0))))))</f>
        <v>2</v>
      </c>
      <c r="G2201" s="369">
        <f>VLOOKUP(C2201,METADATA!$J$5:$Q$29,IF(E2201="HI",2,IF(E2201="LO",6,10))+IF(D2201=1,2,IF(D2201=7,1,(IF(WEEKDAY(B2201)=1,2,IF(WEEKDAY(B2201)=7,1,0))))))</f>
        <v>2</v>
      </c>
      <c r="H2201" s="370">
        <v>13696.374877929688</v>
      </c>
      <c r="I2201" s="370">
        <v>4558.8299560546875</v>
      </c>
      <c r="M2201" s="371">
        <f t="shared" si="137"/>
        <v>14435.152072804949</v>
      </c>
      <c r="N2201" s="329">
        <f t="shared" si="138"/>
        <v>449.91749267578143</v>
      </c>
      <c r="T2201" s="331">
        <v>0</v>
      </c>
      <c r="U2201" s="328">
        <f>VLOOKUP(C2201,METADATA!$J$5:$Q$29,IF(E2201="HI",2,IF(E2201="LO",6,10))+IF(T2201=1,2,IF(D2201=7,1,(IF(WEEKDAY(B2201)=1,2,IF(WEEKDAY(B2201)=7,1,0))))))</f>
        <v>2</v>
      </c>
      <c r="V2201" s="328">
        <f>VLOOKUP(C2201,METADATA!$A$5:$H$29,IF(E2201="HI",2,IF(E2201="LO",6,10))+IF(T2201=1,2,IF(D2201=7,1,(IF(WEEKDAY(B2201)=1,2,IF(WEEKDAY(B2201)=7,1,0))))))</f>
        <v>2</v>
      </c>
    </row>
    <row r="2202" spans="2:22">
      <c r="B2202" s="318">
        <f t="shared" si="135"/>
        <v>46204</v>
      </c>
      <c r="C2202" s="312">
        <v>14</v>
      </c>
      <c r="D2202" s="368">
        <f>IFERROR((INDEX(METADATA!$T$2:$T$20,MATCH(B2202,METADATA!$S$2:$S$20,0))),0)</f>
        <v>0</v>
      </c>
      <c r="E2202" s="312" t="str">
        <f t="shared" si="136"/>
        <v>LO</v>
      </c>
      <c r="F2202" s="369">
        <f>VLOOKUP(C2202,METADATA!$A$5:$H$29,IF(E2202="HI",2,IF(E2202="LO",6,10))+IF(D2202=1,2,IF(D2202=7,1,(IF(WEEKDAY(B2202)=1,2,IF(WEEKDAY(B2202)=7,1,0))))))</f>
        <v>2</v>
      </c>
      <c r="G2202" s="369">
        <f>VLOOKUP(C2202,METADATA!$J$5:$Q$29,IF(E2202="HI",2,IF(E2202="LO",6,10))+IF(D2202=1,2,IF(D2202=7,1,(IF(WEEKDAY(B2202)=1,2,IF(WEEKDAY(B2202)=7,1,0))))))</f>
        <v>2</v>
      </c>
      <c r="H2202" s="370">
        <v>13675.55029296875</v>
      </c>
      <c r="I2202" s="370">
        <v>4658.0299987792969</v>
      </c>
      <c r="M2202" s="371">
        <f t="shared" si="137"/>
        <v>14447.073035222238</v>
      </c>
      <c r="N2202" s="329">
        <f t="shared" si="138"/>
        <v>555.36491088867206</v>
      </c>
      <c r="T2202" s="331">
        <v>0</v>
      </c>
      <c r="U2202" s="328">
        <f>VLOOKUP(C2202,METADATA!$J$5:$Q$29,IF(E2202="HI",2,IF(E2202="LO",6,10))+IF(T2202=1,2,IF(D2202=7,1,(IF(WEEKDAY(B2202)=1,2,IF(WEEKDAY(B2202)=7,1,0))))))</f>
        <v>2</v>
      </c>
      <c r="V2202" s="328">
        <f>VLOOKUP(C2202,METADATA!$A$5:$H$29,IF(E2202="HI",2,IF(E2202="LO",6,10))+IF(T2202=1,2,IF(D2202=7,1,(IF(WEEKDAY(B2202)=1,2,IF(WEEKDAY(B2202)=7,1,0))))))</f>
        <v>2</v>
      </c>
    </row>
    <row r="2203" spans="2:22">
      <c r="B2203" s="318">
        <f t="shared" si="135"/>
        <v>46204</v>
      </c>
      <c r="C2203" s="312">
        <v>15</v>
      </c>
      <c r="D2203" s="368">
        <f>IFERROR((INDEX(METADATA!$T$2:$T$20,MATCH(B2203,METADATA!$S$2:$S$20,0))),0)</f>
        <v>0</v>
      </c>
      <c r="E2203" s="312" t="str">
        <f t="shared" si="136"/>
        <v>LO</v>
      </c>
      <c r="F2203" s="369">
        <f>VLOOKUP(C2203,METADATA!$A$5:$H$29,IF(E2203="HI",2,IF(E2203="LO",6,10))+IF(D2203=1,2,IF(D2203=7,1,(IF(WEEKDAY(B2203)=1,2,IF(WEEKDAY(B2203)=7,1,0))))))</f>
        <v>2</v>
      </c>
      <c r="G2203" s="369">
        <f>VLOOKUP(C2203,METADATA!$J$5:$Q$29,IF(E2203="HI",2,IF(E2203="LO",6,10))+IF(D2203=1,2,IF(D2203=7,1,(IF(WEEKDAY(B2203)=1,2,IF(WEEKDAY(B2203)=7,1,0))))))</f>
        <v>2</v>
      </c>
      <c r="H2203" s="370">
        <v>13741.875305175781</v>
      </c>
      <c r="I2203" s="370">
        <v>4743.5701293945313</v>
      </c>
      <c r="M2203" s="371">
        <f t="shared" si="137"/>
        <v>14537.558064389081</v>
      </c>
      <c r="N2203" s="329">
        <f t="shared" si="138"/>
        <v>621.00753784179688</v>
      </c>
      <c r="T2203" s="331">
        <v>0</v>
      </c>
      <c r="U2203" s="328">
        <f>VLOOKUP(C2203,METADATA!$J$5:$Q$29,IF(E2203="HI",2,IF(E2203="LO",6,10))+IF(T2203=1,2,IF(D2203=7,1,(IF(WEEKDAY(B2203)=1,2,IF(WEEKDAY(B2203)=7,1,0))))))</f>
        <v>2</v>
      </c>
      <c r="V2203" s="328">
        <f>VLOOKUP(C2203,METADATA!$A$5:$H$29,IF(E2203="HI",2,IF(E2203="LO",6,10))+IF(T2203=1,2,IF(D2203=7,1,(IF(WEEKDAY(B2203)=1,2,IF(WEEKDAY(B2203)=7,1,0))))))</f>
        <v>2</v>
      </c>
    </row>
    <row r="2204" spans="2:22">
      <c r="B2204" s="318">
        <f t="shared" ref="B2204:B2267" si="139">B2180+1</f>
        <v>46204</v>
      </c>
      <c r="C2204" s="312">
        <v>16</v>
      </c>
      <c r="D2204" s="368">
        <f>IFERROR((INDEX(METADATA!$T$2:$T$20,MATCH(B2204,METADATA!$S$2:$S$20,0))),0)</f>
        <v>0</v>
      </c>
      <c r="E2204" s="312" t="str">
        <f t="shared" si="136"/>
        <v>LO</v>
      </c>
      <c r="F2204" s="369">
        <f>VLOOKUP(C2204,METADATA!$A$5:$H$29,IF(E2204="HI",2,IF(E2204="LO",6,10))+IF(D2204=1,2,IF(D2204=7,1,(IF(WEEKDAY(B2204)=1,2,IF(WEEKDAY(B2204)=7,1,0))))))</f>
        <v>2</v>
      </c>
      <c r="G2204" s="369">
        <f>VLOOKUP(C2204,METADATA!$J$5:$Q$29,IF(E2204="HI",2,IF(E2204="LO",6,10))+IF(D2204=1,2,IF(D2204=7,1,(IF(WEEKDAY(B2204)=1,2,IF(WEEKDAY(B2204)=7,1,0))))))</f>
        <v>2</v>
      </c>
      <c r="H2204" s="370">
        <v>13429.299682617188</v>
      </c>
      <c r="I2204" s="370">
        <v>4341.6549682617188</v>
      </c>
      <c r="M2204" s="371">
        <f t="shared" si="137"/>
        <v>14113.683354425015</v>
      </c>
      <c r="N2204" s="329">
        <f t="shared" si="138"/>
        <v>312.86506347656268</v>
      </c>
      <c r="T2204" s="331">
        <v>0</v>
      </c>
      <c r="U2204" s="328">
        <f>VLOOKUP(C2204,METADATA!$J$5:$Q$29,IF(E2204="HI",2,IF(E2204="LO",6,10))+IF(T2204=1,2,IF(D2204=7,1,(IF(WEEKDAY(B2204)=1,2,IF(WEEKDAY(B2204)=7,1,0))))))</f>
        <v>2</v>
      </c>
      <c r="V2204" s="328">
        <f>VLOOKUP(C2204,METADATA!$A$5:$H$29,IF(E2204="HI",2,IF(E2204="LO",6,10))+IF(T2204=1,2,IF(D2204=7,1,(IF(WEEKDAY(B2204)=1,2,IF(WEEKDAY(B2204)=7,1,0))))))</f>
        <v>2</v>
      </c>
    </row>
    <row r="2205" spans="2:22">
      <c r="B2205" s="318">
        <f t="shared" si="139"/>
        <v>46204</v>
      </c>
      <c r="C2205" s="312">
        <v>17</v>
      </c>
      <c r="D2205" s="368">
        <f>IFERROR((INDEX(METADATA!$T$2:$T$20,MATCH(B2205,METADATA!$S$2:$S$20,0))),0)</f>
        <v>0</v>
      </c>
      <c r="E2205" s="312" t="str">
        <f t="shared" si="136"/>
        <v>LO</v>
      </c>
      <c r="F2205" s="369">
        <f>VLOOKUP(C2205,METADATA!$A$5:$H$29,IF(E2205="HI",2,IF(E2205="LO",6,10))+IF(D2205=1,2,IF(D2205=7,1,(IF(WEEKDAY(B2205)=1,2,IF(WEEKDAY(B2205)=7,1,0))))))</f>
        <v>2</v>
      </c>
      <c r="G2205" s="369">
        <f>VLOOKUP(C2205,METADATA!$J$5:$Q$29,IF(E2205="HI",2,IF(E2205="LO",6,10))+IF(D2205=1,2,IF(D2205=7,1,(IF(WEEKDAY(B2205)=1,2,IF(WEEKDAY(B2205)=7,1,0))))))</f>
        <v>2</v>
      </c>
      <c r="H2205" s="370">
        <v>12976.725036621094</v>
      </c>
      <c r="I2205" s="370">
        <v>3697.9149780273438</v>
      </c>
      <c r="M2205" s="371">
        <f t="shared" si="137"/>
        <v>13493.330495499904</v>
      </c>
      <c r="N2205" s="329">
        <f t="shared" si="138"/>
        <v>0</v>
      </c>
      <c r="T2205" s="331">
        <v>0</v>
      </c>
      <c r="U2205" s="328">
        <f>VLOOKUP(C2205,METADATA!$J$5:$Q$29,IF(E2205="HI",2,IF(E2205="LO",6,10))+IF(T2205=1,2,IF(D2205=7,1,(IF(WEEKDAY(B2205)=1,2,IF(WEEKDAY(B2205)=7,1,0))))))</f>
        <v>2</v>
      </c>
      <c r="V2205" s="328">
        <f>VLOOKUP(C2205,METADATA!$A$5:$H$29,IF(E2205="HI",2,IF(E2205="LO",6,10))+IF(T2205=1,2,IF(D2205=7,1,(IF(WEEKDAY(B2205)=1,2,IF(WEEKDAY(B2205)=7,1,0))))))</f>
        <v>2</v>
      </c>
    </row>
    <row r="2206" spans="2:22">
      <c r="B2206" s="318">
        <f t="shared" si="139"/>
        <v>46204</v>
      </c>
      <c r="C2206" s="312">
        <v>18</v>
      </c>
      <c r="D2206" s="368">
        <f>IFERROR((INDEX(METADATA!$T$2:$T$20,MATCH(B2206,METADATA!$S$2:$S$20,0))),0)</f>
        <v>0</v>
      </c>
      <c r="E2206" s="312" t="str">
        <f t="shared" si="136"/>
        <v>LO</v>
      </c>
      <c r="F2206" s="369">
        <f>VLOOKUP(C2206,METADATA!$A$5:$H$29,IF(E2206="HI",2,IF(E2206="LO",6,10))+IF(D2206=1,2,IF(D2206=7,1,(IF(WEEKDAY(B2206)=1,2,IF(WEEKDAY(B2206)=7,1,0))))))</f>
        <v>1</v>
      </c>
      <c r="G2206" s="369">
        <f>VLOOKUP(C2206,METADATA!$J$5:$Q$29,IF(E2206="HI",2,IF(E2206="LO",6,10))+IF(D2206=1,2,IF(D2206=7,1,(IF(WEEKDAY(B2206)=1,2,IF(WEEKDAY(B2206)=7,1,0))))))</f>
        <v>1</v>
      </c>
      <c r="H2206" s="370">
        <v>12724.699584960938</v>
      </c>
      <c r="I2206" s="370">
        <v>3502.5249633789063</v>
      </c>
      <c r="M2206" s="371">
        <f t="shared" si="137"/>
        <v>13197.941530655356</v>
      </c>
      <c r="N2206" s="329">
        <f t="shared" si="138"/>
        <v>0</v>
      </c>
      <c r="T2206" s="331">
        <v>0</v>
      </c>
      <c r="U2206" s="328">
        <f>VLOOKUP(C2206,METADATA!$J$5:$Q$29,IF(E2206="HI",2,IF(E2206="LO",6,10))+IF(T2206=1,2,IF(D2206=7,1,(IF(WEEKDAY(B2206)=1,2,IF(WEEKDAY(B2206)=7,1,0))))))</f>
        <v>1</v>
      </c>
      <c r="V2206" s="328">
        <f>VLOOKUP(C2206,METADATA!$A$5:$H$29,IF(E2206="HI",2,IF(E2206="LO",6,10))+IF(T2206=1,2,IF(D2206=7,1,(IF(WEEKDAY(B2206)=1,2,IF(WEEKDAY(B2206)=7,1,0))))))</f>
        <v>1</v>
      </c>
    </row>
    <row r="2207" spans="2:22">
      <c r="B2207" s="318">
        <f t="shared" si="139"/>
        <v>46204</v>
      </c>
      <c r="C2207" s="312">
        <v>19</v>
      </c>
      <c r="D2207" s="368">
        <f>IFERROR((INDEX(METADATA!$T$2:$T$20,MATCH(B2207,METADATA!$S$2:$S$20,0))),0)</f>
        <v>0</v>
      </c>
      <c r="E2207" s="312" t="str">
        <f t="shared" si="136"/>
        <v>LO</v>
      </c>
      <c r="F2207" s="369">
        <f>VLOOKUP(C2207,METADATA!$A$5:$H$29,IF(E2207="HI",2,IF(E2207="LO",6,10))+IF(D2207=1,2,IF(D2207=7,1,(IF(WEEKDAY(B2207)=1,2,IF(WEEKDAY(B2207)=7,1,0))))))</f>
        <v>1</v>
      </c>
      <c r="G2207" s="369">
        <f>VLOOKUP(C2207,METADATA!$J$5:$Q$29,IF(E2207="HI",2,IF(E2207="LO",6,10))+IF(D2207=1,2,IF(D2207=7,1,(IF(WEEKDAY(B2207)=1,2,IF(WEEKDAY(B2207)=7,1,0))))))</f>
        <v>1</v>
      </c>
      <c r="H2207" s="370">
        <v>13151.275024414063</v>
      </c>
      <c r="I2207" s="370">
        <v>3972.1999359130859</v>
      </c>
      <c r="M2207" s="371">
        <f t="shared" si="137"/>
        <v>13738.064168529896</v>
      </c>
      <c r="N2207" s="329">
        <f t="shared" si="138"/>
        <v>26.817428588867188</v>
      </c>
      <c r="T2207" s="331">
        <v>0</v>
      </c>
      <c r="U2207" s="328">
        <f>VLOOKUP(C2207,METADATA!$J$5:$Q$29,IF(E2207="HI",2,IF(E2207="LO",6,10))+IF(T2207=1,2,IF(D2207=7,1,(IF(WEEKDAY(B2207)=1,2,IF(WEEKDAY(B2207)=7,1,0))))))</f>
        <v>1</v>
      </c>
      <c r="V2207" s="328">
        <f>VLOOKUP(C2207,METADATA!$A$5:$H$29,IF(E2207="HI",2,IF(E2207="LO",6,10))+IF(T2207=1,2,IF(D2207=7,1,(IF(WEEKDAY(B2207)=1,2,IF(WEEKDAY(B2207)=7,1,0))))))</f>
        <v>1</v>
      </c>
    </row>
    <row r="2208" spans="2:22">
      <c r="B2208" s="318">
        <f t="shared" si="139"/>
        <v>46204</v>
      </c>
      <c r="C2208" s="312">
        <v>20</v>
      </c>
      <c r="D2208" s="368">
        <f>IFERROR((INDEX(METADATA!$T$2:$T$20,MATCH(B2208,METADATA!$S$2:$S$20,0))),0)</f>
        <v>0</v>
      </c>
      <c r="E2208" s="312" t="str">
        <f t="shared" si="136"/>
        <v>LO</v>
      </c>
      <c r="F2208" s="369">
        <f>VLOOKUP(C2208,METADATA!$A$5:$H$29,IF(E2208="HI",2,IF(E2208="LO",6,10))+IF(D2208=1,2,IF(D2208=7,1,(IF(WEEKDAY(B2208)=1,2,IF(WEEKDAY(B2208)=7,1,0))))))</f>
        <v>1</v>
      </c>
      <c r="G2208" s="369">
        <f>VLOOKUP(C2208,METADATA!$J$5:$Q$29,IF(E2208="HI",2,IF(E2208="LO",6,10))+IF(D2208=1,2,IF(D2208=7,1,(IF(WEEKDAY(B2208)=1,2,IF(WEEKDAY(B2208)=7,1,0))))))</f>
        <v>1</v>
      </c>
      <c r="H2208" s="370">
        <v>13704.500305175781</v>
      </c>
      <c r="I2208" s="370">
        <v>4240.1050109863281</v>
      </c>
      <c r="M2208" s="371">
        <f t="shared" si="137"/>
        <v>14345.445936559603</v>
      </c>
      <c r="N2208" s="329">
        <f t="shared" si="138"/>
        <v>128.7549194335943</v>
      </c>
      <c r="T2208" s="331">
        <v>0</v>
      </c>
      <c r="U2208" s="328">
        <f>VLOOKUP(C2208,METADATA!$J$5:$Q$29,IF(E2208="HI",2,IF(E2208="LO",6,10))+IF(T2208=1,2,IF(D2208=7,1,(IF(WEEKDAY(B2208)=1,2,IF(WEEKDAY(B2208)=7,1,0))))))</f>
        <v>1</v>
      </c>
      <c r="V2208" s="328">
        <f>VLOOKUP(C2208,METADATA!$A$5:$H$29,IF(E2208="HI",2,IF(E2208="LO",6,10))+IF(T2208=1,2,IF(D2208=7,1,(IF(WEEKDAY(B2208)=1,2,IF(WEEKDAY(B2208)=7,1,0))))))</f>
        <v>1</v>
      </c>
    </row>
    <row r="2209" spans="2:22">
      <c r="B2209" s="318">
        <f t="shared" si="139"/>
        <v>46204</v>
      </c>
      <c r="C2209" s="312">
        <v>21</v>
      </c>
      <c r="D2209" s="368">
        <f>IFERROR((INDEX(METADATA!$T$2:$T$20,MATCH(B2209,METADATA!$S$2:$S$20,0))),0)</f>
        <v>0</v>
      </c>
      <c r="E2209" s="312" t="str">
        <f t="shared" si="136"/>
        <v>LO</v>
      </c>
      <c r="F2209" s="369">
        <f>VLOOKUP(C2209,METADATA!$A$5:$H$29,IF(E2209="HI",2,IF(E2209="LO",6,10))+IF(D2209=1,2,IF(D2209=7,1,(IF(WEEKDAY(B2209)=1,2,IF(WEEKDAY(B2209)=7,1,0))))))</f>
        <v>2</v>
      </c>
      <c r="G2209" s="369">
        <f>VLOOKUP(C2209,METADATA!$J$5:$Q$29,IF(E2209="HI",2,IF(E2209="LO",6,10))+IF(D2209=1,2,IF(D2209=7,1,(IF(WEEKDAY(B2209)=1,2,IF(WEEKDAY(B2209)=7,1,0))))))</f>
        <v>2</v>
      </c>
      <c r="H2209" s="370">
        <v>13673.849609375</v>
      </c>
      <c r="I2209" s="370">
        <v>4277.1749572753906</v>
      </c>
      <c r="M2209" s="371">
        <f t="shared" si="137"/>
        <v>14327.190539493378</v>
      </c>
      <c r="N2209" s="329">
        <f t="shared" si="138"/>
        <v>175.02007446289099</v>
      </c>
      <c r="T2209" s="331">
        <v>0</v>
      </c>
      <c r="U2209" s="328">
        <f>VLOOKUP(C2209,METADATA!$J$5:$Q$29,IF(E2209="HI",2,IF(E2209="LO",6,10))+IF(T2209=1,2,IF(D2209=7,1,(IF(WEEKDAY(B2209)=1,2,IF(WEEKDAY(B2209)=7,1,0))))))</f>
        <v>2</v>
      </c>
      <c r="V2209" s="328">
        <f>VLOOKUP(C2209,METADATA!$A$5:$H$29,IF(E2209="HI",2,IF(E2209="LO",6,10))+IF(T2209=1,2,IF(D2209=7,1,(IF(WEEKDAY(B2209)=1,2,IF(WEEKDAY(B2209)=7,1,0))))))</f>
        <v>2</v>
      </c>
    </row>
    <row r="2210" spans="2:22">
      <c r="B2210" s="318">
        <f t="shared" si="139"/>
        <v>46204</v>
      </c>
      <c r="C2210" s="312">
        <v>22</v>
      </c>
      <c r="D2210" s="368">
        <f>IFERROR((INDEX(METADATA!$T$2:$T$20,MATCH(B2210,METADATA!$S$2:$S$20,0))),0)</f>
        <v>0</v>
      </c>
      <c r="E2210" s="312" t="str">
        <f t="shared" si="136"/>
        <v>LO</v>
      </c>
      <c r="F2210" s="369">
        <f>VLOOKUP(C2210,METADATA!$A$5:$H$29,IF(E2210="HI",2,IF(E2210="LO",6,10))+IF(D2210=1,2,IF(D2210=7,1,(IF(WEEKDAY(B2210)=1,2,IF(WEEKDAY(B2210)=7,1,0))))))</f>
        <v>3</v>
      </c>
      <c r="G2210" s="369">
        <f>VLOOKUP(C2210,METADATA!$J$5:$Q$29,IF(E2210="HI",2,IF(E2210="LO",6,10))+IF(D2210=1,2,IF(D2210=7,1,(IF(WEEKDAY(B2210)=1,2,IF(WEEKDAY(B2210)=7,1,0))))))</f>
        <v>3</v>
      </c>
      <c r="H2210" s="370">
        <v>13720.175170898438</v>
      </c>
      <c r="I2210" s="370">
        <v>4485.9900817871094</v>
      </c>
      <c r="M2210" s="371">
        <f t="shared" si="137"/>
        <v>14434.933797355299</v>
      </c>
      <c r="N2210" s="329">
        <f t="shared" si="138"/>
        <v>369.93753051757813</v>
      </c>
      <c r="T2210" s="331">
        <v>0</v>
      </c>
      <c r="U2210" s="328">
        <f>VLOOKUP(C2210,METADATA!$J$5:$Q$29,IF(E2210="HI",2,IF(E2210="LO",6,10))+IF(T2210=1,2,IF(D2210=7,1,(IF(WEEKDAY(B2210)=1,2,IF(WEEKDAY(B2210)=7,1,0))))))</f>
        <v>3</v>
      </c>
      <c r="V2210" s="328">
        <f>VLOOKUP(C2210,METADATA!$A$5:$H$29,IF(E2210="HI",2,IF(E2210="LO",6,10))+IF(T2210=1,2,IF(D2210=7,1,(IF(WEEKDAY(B2210)=1,2,IF(WEEKDAY(B2210)=7,1,0))))))</f>
        <v>3</v>
      </c>
    </row>
    <row r="2211" spans="2:22">
      <c r="B2211" s="318">
        <f t="shared" si="139"/>
        <v>46204</v>
      </c>
      <c r="C2211" s="312">
        <v>23</v>
      </c>
      <c r="D2211" s="368">
        <f>IFERROR((INDEX(METADATA!$T$2:$T$20,MATCH(B2211,METADATA!$S$2:$S$20,0))),0)</f>
        <v>0</v>
      </c>
      <c r="E2211" s="312" t="str">
        <f t="shared" si="136"/>
        <v>LO</v>
      </c>
      <c r="F2211" s="369">
        <f>VLOOKUP(C2211,METADATA!$A$5:$H$29,IF(E2211="HI",2,IF(E2211="LO",6,10))+IF(D2211=1,2,IF(D2211=7,1,(IF(WEEKDAY(B2211)=1,2,IF(WEEKDAY(B2211)=7,1,0))))))</f>
        <v>3</v>
      </c>
      <c r="G2211" s="369">
        <f>VLOOKUP(C2211,METADATA!$J$5:$Q$29,IF(E2211="HI",2,IF(E2211="LO",6,10))+IF(D2211=1,2,IF(D2211=7,1,(IF(WEEKDAY(B2211)=1,2,IF(WEEKDAY(B2211)=7,1,0))))))</f>
        <v>3</v>
      </c>
      <c r="H2211" s="370">
        <v>13616.299682617188</v>
      </c>
      <c r="I2211" s="370">
        <v>4513.3099670410156</v>
      </c>
      <c r="M2211" s="371">
        <f t="shared" si="137"/>
        <v>14344.810347489181</v>
      </c>
      <c r="N2211" s="329">
        <f t="shared" si="138"/>
        <v>428.42006225585965</v>
      </c>
      <c r="T2211" s="331">
        <v>0</v>
      </c>
      <c r="U2211" s="328">
        <f>VLOOKUP(C2211,METADATA!$J$5:$Q$29,IF(E2211="HI",2,IF(E2211="LO",6,10))+IF(T2211=1,2,IF(D2211=7,1,(IF(WEEKDAY(B2211)=1,2,IF(WEEKDAY(B2211)=7,1,0))))))</f>
        <v>3</v>
      </c>
      <c r="V2211" s="328">
        <f>VLOOKUP(C2211,METADATA!$A$5:$H$29,IF(E2211="HI",2,IF(E2211="LO",6,10))+IF(T2211=1,2,IF(D2211=7,1,(IF(WEEKDAY(B2211)=1,2,IF(WEEKDAY(B2211)=7,1,0))))))</f>
        <v>3</v>
      </c>
    </row>
    <row r="2212" spans="2:22">
      <c r="B2212" s="318">
        <f t="shared" si="139"/>
        <v>46205</v>
      </c>
      <c r="C2212" s="312">
        <v>0</v>
      </c>
      <c r="D2212" s="368">
        <f>IFERROR((INDEX(METADATA!$T$2:$T$20,MATCH(B2212,METADATA!$S$2:$S$20,0))),0)</f>
        <v>0</v>
      </c>
      <c r="E2212" s="312" t="str">
        <f t="shared" si="136"/>
        <v>LO</v>
      </c>
      <c r="F2212" s="369">
        <f>VLOOKUP(C2212,METADATA!$A$5:$H$29,IF(E2212="HI",2,IF(E2212="LO",6,10))+IF(D2212=1,2,IF(D2212=7,1,(IF(WEEKDAY(B2212)=1,2,IF(WEEKDAY(B2212)=7,1,0))))))</f>
        <v>3</v>
      </c>
      <c r="G2212" s="369">
        <f>VLOOKUP(C2212,METADATA!$J$5:$Q$29,IF(E2212="HI",2,IF(E2212="LO",6,10))+IF(D2212=1,2,IF(D2212=7,1,(IF(WEEKDAY(B2212)=1,2,IF(WEEKDAY(B2212)=7,1,0))))))</f>
        <v>3</v>
      </c>
      <c r="H2212" s="370">
        <v>13421.775268554688</v>
      </c>
      <c r="I2212" s="370">
        <v>4442.9500122070313</v>
      </c>
      <c r="M2212" s="371">
        <f t="shared" si="137"/>
        <v>14138.028722935765</v>
      </c>
      <c r="N2212" s="329">
        <f t="shared" si="138"/>
        <v>416.41743164062518</v>
      </c>
      <c r="T2212" s="331">
        <v>0</v>
      </c>
      <c r="U2212" s="328">
        <f>VLOOKUP(C2212,METADATA!$J$5:$Q$29,IF(E2212="HI",2,IF(E2212="LO",6,10))+IF(T2212=1,2,IF(D2212=7,1,(IF(WEEKDAY(B2212)=1,2,IF(WEEKDAY(B2212)=7,1,0))))))</f>
        <v>3</v>
      </c>
      <c r="V2212" s="328">
        <f>VLOOKUP(C2212,METADATA!$A$5:$H$29,IF(E2212="HI",2,IF(E2212="LO",6,10))+IF(T2212=1,2,IF(D2212=7,1,(IF(WEEKDAY(B2212)=1,2,IF(WEEKDAY(B2212)=7,1,0))))))</f>
        <v>3</v>
      </c>
    </row>
    <row r="2213" spans="2:22">
      <c r="B2213" s="318">
        <f t="shared" si="139"/>
        <v>46205</v>
      </c>
      <c r="C2213" s="312">
        <v>1</v>
      </c>
      <c r="D2213" s="368">
        <f>IFERROR((INDEX(METADATA!$T$2:$T$20,MATCH(B2213,METADATA!$S$2:$S$20,0))),0)</f>
        <v>0</v>
      </c>
      <c r="E2213" s="312" t="str">
        <f t="shared" si="136"/>
        <v>LO</v>
      </c>
      <c r="F2213" s="369">
        <f>VLOOKUP(C2213,METADATA!$A$5:$H$29,IF(E2213="HI",2,IF(E2213="LO",6,10))+IF(D2213=1,2,IF(D2213=7,1,(IF(WEEKDAY(B2213)=1,2,IF(WEEKDAY(B2213)=7,1,0))))))</f>
        <v>3</v>
      </c>
      <c r="G2213" s="369">
        <f>VLOOKUP(C2213,METADATA!$J$5:$Q$29,IF(E2213="HI",2,IF(E2213="LO",6,10))+IF(D2213=1,2,IF(D2213=7,1,(IF(WEEKDAY(B2213)=1,2,IF(WEEKDAY(B2213)=7,1,0))))))</f>
        <v>3</v>
      </c>
      <c r="H2213" s="370">
        <v>11820.89990234375</v>
      </c>
      <c r="I2213" s="370">
        <v>3473.4250793457031</v>
      </c>
      <c r="M2213" s="371">
        <f t="shared" si="137"/>
        <v>12320.647559404422</v>
      </c>
      <c r="N2213" s="329">
        <f t="shared" si="138"/>
        <v>0</v>
      </c>
      <c r="T2213" s="331">
        <v>0</v>
      </c>
      <c r="U2213" s="328">
        <f>VLOOKUP(C2213,METADATA!$J$5:$Q$29,IF(E2213="HI",2,IF(E2213="LO",6,10))+IF(T2213=1,2,IF(D2213=7,1,(IF(WEEKDAY(B2213)=1,2,IF(WEEKDAY(B2213)=7,1,0))))))</f>
        <v>3</v>
      </c>
      <c r="V2213" s="328">
        <f>VLOOKUP(C2213,METADATA!$A$5:$H$29,IF(E2213="HI",2,IF(E2213="LO",6,10))+IF(T2213=1,2,IF(D2213=7,1,(IF(WEEKDAY(B2213)=1,2,IF(WEEKDAY(B2213)=7,1,0))))))</f>
        <v>3</v>
      </c>
    </row>
    <row r="2214" spans="2:22">
      <c r="B2214" s="318">
        <f t="shared" si="139"/>
        <v>46205</v>
      </c>
      <c r="C2214" s="312">
        <v>2</v>
      </c>
      <c r="D2214" s="368">
        <f>IFERROR((INDEX(METADATA!$T$2:$T$20,MATCH(B2214,METADATA!$S$2:$S$20,0))),0)</f>
        <v>0</v>
      </c>
      <c r="E2214" s="312" t="str">
        <f t="shared" si="136"/>
        <v>LO</v>
      </c>
      <c r="F2214" s="369">
        <f>VLOOKUP(C2214,METADATA!$A$5:$H$29,IF(E2214="HI",2,IF(E2214="LO",6,10))+IF(D2214=1,2,IF(D2214=7,1,(IF(WEEKDAY(B2214)=1,2,IF(WEEKDAY(B2214)=7,1,0))))))</f>
        <v>3</v>
      </c>
      <c r="G2214" s="369">
        <f>VLOOKUP(C2214,METADATA!$J$5:$Q$29,IF(E2214="HI",2,IF(E2214="LO",6,10))+IF(D2214=1,2,IF(D2214=7,1,(IF(WEEKDAY(B2214)=1,2,IF(WEEKDAY(B2214)=7,1,0))))))</f>
        <v>3</v>
      </c>
      <c r="H2214" s="370">
        <v>11617.75</v>
      </c>
      <c r="I2214" s="370">
        <v>3425.2799377441406</v>
      </c>
      <c r="M2214" s="371">
        <f t="shared" si="137"/>
        <v>12112.169818592063</v>
      </c>
      <c r="N2214" s="329">
        <f t="shared" si="138"/>
        <v>0</v>
      </c>
      <c r="T2214" s="331">
        <v>0</v>
      </c>
      <c r="U2214" s="328">
        <f>VLOOKUP(C2214,METADATA!$J$5:$Q$29,IF(E2214="HI",2,IF(E2214="LO",6,10))+IF(T2214=1,2,IF(D2214=7,1,(IF(WEEKDAY(B2214)=1,2,IF(WEEKDAY(B2214)=7,1,0))))))</f>
        <v>3</v>
      </c>
      <c r="V2214" s="328">
        <f>VLOOKUP(C2214,METADATA!$A$5:$H$29,IF(E2214="HI",2,IF(E2214="LO",6,10))+IF(T2214=1,2,IF(D2214=7,1,(IF(WEEKDAY(B2214)=1,2,IF(WEEKDAY(B2214)=7,1,0))))))</f>
        <v>3</v>
      </c>
    </row>
    <row r="2215" spans="2:22">
      <c r="B2215" s="318">
        <f t="shared" si="139"/>
        <v>46205</v>
      </c>
      <c r="C2215" s="312">
        <v>3</v>
      </c>
      <c r="D2215" s="368">
        <f>IFERROR((INDEX(METADATA!$T$2:$T$20,MATCH(B2215,METADATA!$S$2:$S$20,0))),0)</f>
        <v>0</v>
      </c>
      <c r="E2215" s="312" t="str">
        <f t="shared" si="136"/>
        <v>LO</v>
      </c>
      <c r="F2215" s="369">
        <f>VLOOKUP(C2215,METADATA!$A$5:$H$29,IF(E2215="HI",2,IF(E2215="LO",6,10))+IF(D2215=1,2,IF(D2215=7,1,(IF(WEEKDAY(B2215)=1,2,IF(WEEKDAY(B2215)=7,1,0))))))</f>
        <v>3</v>
      </c>
      <c r="G2215" s="369">
        <f>VLOOKUP(C2215,METADATA!$J$5:$Q$29,IF(E2215="HI",2,IF(E2215="LO",6,10))+IF(D2215=1,2,IF(D2215=7,1,(IF(WEEKDAY(B2215)=1,2,IF(WEEKDAY(B2215)=7,1,0))))))</f>
        <v>3</v>
      </c>
      <c r="H2215" s="370">
        <v>12446.299560546875</v>
      </c>
      <c r="I2215" s="370">
        <v>3816.280029296875</v>
      </c>
      <c r="M2215" s="371">
        <f t="shared" si="137"/>
        <v>13018.232061723262</v>
      </c>
      <c r="N2215" s="329">
        <f t="shared" si="138"/>
        <v>82.390161132812864</v>
      </c>
      <c r="T2215" s="331">
        <v>0</v>
      </c>
      <c r="U2215" s="328">
        <f>VLOOKUP(C2215,METADATA!$J$5:$Q$29,IF(E2215="HI",2,IF(E2215="LO",6,10))+IF(T2215=1,2,IF(D2215=7,1,(IF(WEEKDAY(B2215)=1,2,IF(WEEKDAY(B2215)=7,1,0))))))</f>
        <v>3</v>
      </c>
      <c r="V2215" s="328">
        <f>VLOOKUP(C2215,METADATA!$A$5:$H$29,IF(E2215="HI",2,IF(E2215="LO",6,10))+IF(T2215=1,2,IF(D2215=7,1,(IF(WEEKDAY(B2215)=1,2,IF(WEEKDAY(B2215)=7,1,0))))))</f>
        <v>3</v>
      </c>
    </row>
    <row r="2216" spans="2:22">
      <c r="B2216" s="318">
        <f t="shared" si="139"/>
        <v>46205</v>
      </c>
      <c r="C2216" s="312">
        <v>4</v>
      </c>
      <c r="D2216" s="368">
        <f>IFERROR((INDEX(METADATA!$T$2:$T$20,MATCH(B2216,METADATA!$S$2:$S$20,0))),0)</f>
        <v>0</v>
      </c>
      <c r="E2216" s="312" t="str">
        <f t="shared" si="136"/>
        <v>LO</v>
      </c>
      <c r="F2216" s="369">
        <f>VLOOKUP(C2216,METADATA!$A$5:$H$29,IF(E2216="HI",2,IF(E2216="LO",6,10))+IF(D2216=1,2,IF(D2216=7,1,(IF(WEEKDAY(B2216)=1,2,IF(WEEKDAY(B2216)=7,1,0))))))</f>
        <v>3</v>
      </c>
      <c r="G2216" s="369">
        <f>VLOOKUP(C2216,METADATA!$J$5:$Q$29,IF(E2216="HI",2,IF(E2216="LO",6,10))+IF(D2216=1,2,IF(D2216=7,1,(IF(WEEKDAY(B2216)=1,2,IF(WEEKDAY(B2216)=7,1,0))))))</f>
        <v>3</v>
      </c>
      <c r="H2216" s="370">
        <v>13652.892272949219</v>
      </c>
      <c r="I2216" s="370">
        <v>4335.6600952148438</v>
      </c>
      <c r="M2216" s="371">
        <f t="shared" si="137"/>
        <v>14324.783275079413</v>
      </c>
      <c r="N2216" s="329">
        <f t="shared" si="138"/>
        <v>239.79241333007849</v>
      </c>
      <c r="T2216" s="331">
        <v>0</v>
      </c>
      <c r="U2216" s="328">
        <f>VLOOKUP(C2216,METADATA!$J$5:$Q$29,IF(E2216="HI",2,IF(E2216="LO",6,10))+IF(T2216=1,2,IF(D2216=7,1,(IF(WEEKDAY(B2216)=1,2,IF(WEEKDAY(B2216)=7,1,0))))))</f>
        <v>3</v>
      </c>
      <c r="V2216" s="328">
        <f>VLOOKUP(C2216,METADATA!$A$5:$H$29,IF(E2216="HI",2,IF(E2216="LO",6,10))+IF(T2216=1,2,IF(D2216=7,1,(IF(WEEKDAY(B2216)=1,2,IF(WEEKDAY(B2216)=7,1,0))))))</f>
        <v>3</v>
      </c>
    </row>
    <row r="2217" spans="2:22">
      <c r="B2217" s="318">
        <f t="shared" si="139"/>
        <v>46205</v>
      </c>
      <c r="C2217" s="312">
        <v>5</v>
      </c>
      <c r="D2217" s="368">
        <f>IFERROR((INDEX(METADATA!$T$2:$T$20,MATCH(B2217,METADATA!$S$2:$S$20,0))),0)</f>
        <v>0</v>
      </c>
      <c r="E2217" s="312" t="str">
        <f t="shared" si="136"/>
        <v>LO</v>
      </c>
      <c r="F2217" s="369">
        <f>VLOOKUP(C2217,METADATA!$A$5:$H$29,IF(E2217="HI",2,IF(E2217="LO",6,10))+IF(D2217=1,2,IF(D2217=7,1,(IF(WEEKDAY(B2217)=1,2,IF(WEEKDAY(B2217)=7,1,0))))))</f>
        <v>3</v>
      </c>
      <c r="G2217" s="369">
        <f>VLOOKUP(C2217,METADATA!$J$5:$Q$29,IF(E2217="HI",2,IF(E2217="LO",6,10))+IF(D2217=1,2,IF(D2217=7,1,(IF(WEEKDAY(B2217)=1,2,IF(WEEKDAY(B2217)=7,1,0))))))</f>
        <v>3</v>
      </c>
      <c r="H2217" s="370">
        <v>13714.275024414063</v>
      </c>
      <c r="I2217" s="370">
        <v>4460.6150512695313</v>
      </c>
      <c r="M2217" s="371">
        <f t="shared" si="137"/>
        <v>14421.457141387607</v>
      </c>
      <c r="N2217" s="329">
        <f t="shared" si="138"/>
        <v>346.33254394531286</v>
      </c>
      <c r="T2217" s="331">
        <v>0</v>
      </c>
      <c r="U2217" s="328">
        <f>VLOOKUP(C2217,METADATA!$J$5:$Q$29,IF(E2217="HI",2,IF(E2217="LO",6,10))+IF(T2217=1,2,IF(D2217=7,1,(IF(WEEKDAY(B2217)=1,2,IF(WEEKDAY(B2217)=7,1,0))))))</f>
        <v>3</v>
      </c>
      <c r="V2217" s="328">
        <f>VLOOKUP(C2217,METADATA!$A$5:$H$29,IF(E2217="HI",2,IF(E2217="LO",6,10))+IF(T2217=1,2,IF(D2217=7,1,(IF(WEEKDAY(B2217)=1,2,IF(WEEKDAY(B2217)=7,1,0))))))</f>
        <v>3</v>
      </c>
    </row>
    <row r="2218" spans="2:22">
      <c r="B2218" s="318">
        <f t="shared" si="139"/>
        <v>46205</v>
      </c>
      <c r="C2218" s="312">
        <v>6</v>
      </c>
      <c r="D2218" s="368">
        <f>IFERROR((INDEX(METADATA!$T$2:$T$20,MATCH(B2218,METADATA!$S$2:$S$20,0))),0)</f>
        <v>0</v>
      </c>
      <c r="E2218" s="312" t="str">
        <f t="shared" si="136"/>
        <v>LO</v>
      </c>
      <c r="F2218" s="369">
        <f>VLOOKUP(C2218,METADATA!$A$5:$H$29,IF(E2218="HI",2,IF(E2218="LO",6,10))+IF(D2218=1,2,IF(D2218=7,1,(IF(WEEKDAY(B2218)=1,2,IF(WEEKDAY(B2218)=7,1,0))))))</f>
        <v>2</v>
      </c>
      <c r="G2218" s="369">
        <f>VLOOKUP(C2218,METADATA!$J$5:$Q$29,IF(E2218="HI",2,IF(E2218="LO",6,10))+IF(D2218=1,2,IF(D2218=7,1,(IF(WEEKDAY(B2218)=1,2,IF(WEEKDAY(B2218)=7,1,0))))))</f>
        <v>2</v>
      </c>
      <c r="H2218" s="370">
        <v>13468.675048828125</v>
      </c>
      <c r="I2218" s="370">
        <v>4225.6900329589844</v>
      </c>
      <c r="M2218" s="371">
        <f t="shared" si="137"/>
        <v>14116.00736134599</v>
      </c>
      <c r="N2218" s="329">
        <f t="shared" si="138"/>
        <v>185.08751831054724</v>
      </c>
      <c r="T2218" s="331">
        <v>0</v>
      </c>
      <c r="U2218" s="328">
        <f>VLOOKUP(C2218,METADATA!$J$5:$Q$29,IF(E2218="HI",2,IF(E2218="LO",6,10))+IF(T2218=1,2,IF(D2218=7,1,(IF(WEEKDAY(B2218)=1,2,IF(WEEKDAY(B2218)=7,1,0))))))</f>
        <v>2</v>
      </c>
      <c r="V2218" s="328">
        <f>VLOOKUP(C2218,METADATA!$A$5:$H$29,IF(E2218="HI",2,IF(E2218="LO",6,10))+IF(T2218=1,2,IF(D2218=7,1,(IF(WEEKDAY(B2218)=1,2,IF(WEEKDAY(B2218)=7,1,0))))))</f>
        <v>2</v>
      </c>
    </row>
    <row r="2219" spans="2:22">
      <c r="B2219" s="318">
        <f t="shared" si="139"/>
        <v>46205</v>
      </c>
      <c r="C2219" s="312">
        <v>7</v>
      </c>
      <c r="D2219" s="368">
        <f>IFERROR((INDEX(METADATA!$T$2:$T$20,MATCH(B2219,METADATA!$S$2:$S$20,0))),0)</f>
        <v>0</v>
      </c>
      <c r="E2219" s="312" t="str">
        <f t="shared" si="136"/>
        <v>LO</v>
      </c>
      <c r="F2219" s="369">
        <f>VLOOKUP(C2219,METADATA!$A$5:$H$29,IF(E2219="HI",2,IF(E2219="LO",6,10))+IF(D2219=1,2,IF(D2219=7,1,(IF(WEEKDAY(B2219)=1,2,IF(WEEKDAY(B2219)=7,1,0))))))</f>
        <v>1</v>
      </c>
      <c r="G2219" s="369">
        <f>VLOOKUP(C2219,METADATA!$J$5:$Q$29,IF(E2219="HI",2,IF(E2219="LO",6,10))+IF(D2219=1,2,IF(D2219=7,1,(IF(WEEKDAY(B2219)=1,2,IF(WEEKDAY(B2219)=7,1,0))))))</f>
        <v>1</v>
      </c>
      <c r="H2219" s="370">
        <v>13558.325073242188</v>
      </c>
      <c r="I2219" s="370">
        <v>4232.4151306152344</v>
      </c>
      <c r="M2219" s="371">
        <f t="shared" si="137"/>
        <v>14203.574079419888</v>
      </c>
      <c r="N2219" s="329">
        <f t="shared" si="138"/>
        <v>164.91760864257822</v>
      </c>
      <c r="T2219" s="331">
        <v>0</v>
      </c>
      <c r="U2219" s="328">
        <f>VLOOKUP(C2219,METADATA!$J$5:$Q$29,IF(E2219="HI",2,IF(E2219="LO",6,10))+IF(T2219=1,2,IF(D2219=7,1,(IF(WEEKDAY(B2219)=1,2,IF(WEEKDAY(B2219)=7,1,0))))))</f>
        <v>1</v>
      </c>
      <c r="V2219" s="328">
        <f>VLOOKUP(C2219,METADATA!$A$5:$H$29,IF(E2219="HI",2,IF(E2219="LO",6,10))+IF(T2219=1,2,IF(D2219=7,1,(IF(WEEKDAY(B2219)=1,2,IF(WEEKDAY(B2219)=7,1,0))))))</f>
        <v>1</v>
      </c>
    </row>
    <row r="2220" spans="2:22">
      <c r="B2220" s="318">
        <f t="shared" si="139"/>
        <v>46205</v>
      </c>
      <c r="C2220" s="312">
        <v>8</v>
      </c>
      <c r="D2220" s="368">
        <f>IFERROR((INDEX(METADATA!$T$2:$T$20,MATCH(B2220,METADATA!$S$2:$S$20,0))),0)</f>
        <v>0</v>
      </c>
      <c r="E2220" s="312" t="str">
        <f t="shared" si="136"/>
        <v>LO</v>
      </c>
      <c r="F2220" s="369">
        <f>VLOOKUP(C2220,METADATA!$A$5:$H$29,IF(E2220="HI",2,IF(E2220="LO",6,10))+IF(D2220=1,2,IF(D2220=7,1,(IF(WEEKDAY(B2220)=1,2,IF(WEEKDAY(B2220)=7,1,0))))))</f>
        <v>1</v>
      </c>
      <c r="G2220" s="369">
        <f>VLOOKUP(C2220,METADATA!$J$5:$Q$29,IF(E2220="HI",2,IF(E2220="LO",6,10))+IF(D2220=1,2,IF(D2220=7,1,(IF(WEEKDAY(B2220)=1,2,IF(WEEKDAY(B2220)=7,1,0))))))</f>
        <v>1</v>
      </c>
      <c r="H2220" s="370">
        <v>13615.77490234375</v>
      </c>
      <c r="I2220" s="370">
        <v>4217.3899536132813</v>
      </c>
      <c r="M2220" s="371">
        <f t="shared" si="137"/>
        <v>14253.971524179926</v>
      </c>
      <c r="N2220" s="329">
        <f t="shared" si="138"/>
        <v>132.65748291015643</v>
      </c>
      <c r="T2220" s="331">
        <v>0</v>
      </c>
      <c r="U2220" s="328">
        <f>VLOOKUP(C2220,METADATA!$J$5:$Q$29,IF(E2220="HI",2,IF(E2220="LO",6,10))+IF(T2220=1,2,IF(D2220=7,1,(IF(WEEKDAY(B2220)=1,2,IF(WEEKDAY(B2220)=7,1,0))))))</f>
        <v>1</v>
      </c>
      <c r="V2220" s="328">
        <f>VLOOKUP(C2220,METADATA!$A$5:$H$29,IF(E2220="HI",2,IF(E2220="LO",6,10))+IF(T2220=1,2,IF(D2220=7,1,(IF(WEEKDAY(B2220)=1,2,IF(WEEKDAY(B2220)=7,1,0))))))</f>
        <v>1</v>
      </c>
    </row>
    <row r="2221" spans="2:22">
      <c r="B2221" s="318">
        <f t="shared" si="139"/>
        <v>46205</v>
      </c>
      <c r="C2221" s="312">
        <v>9</v>
      </c>
      <c r="D2221" s="368">
        <f>IFERROR((INDEX(METADATA!$T$2:$T$20,MATCH(B2221,METADATA!$S$2:$S$20,0))),0)</f>
        <v>0</v>
      </c>
      <c r="E2221" s="312" t="str">
        <f t="shared" si="136"/>
        <v>LO</v>
      </c>
      <c r="F2221" s="369">
        <f>VLOOKUP(C2221,METADATA!$A$5:$H$29,IF(E2221="HI",2,IF(E2221="LO",6,10))+IF(D2221=1,2,IF(D2221=7,1,(IF(WEEKDAY(B2221)=1,2,IF(WEEKDAY(B2221)=7,1,0))))))</f>
        <v>2</v>
      </c>
      <c r="G2221" s="369">
        <f>VLOOKUP(C2221,METADATA!$J$5:$Q$29,IF(E2221="HI",2,IF(E2221="LO",6,10))+IF(D2221=1,2,IF(D2221=7,1,(IF(WEEKDAY(B2221)=1,2,IF(WEEKDAY(B2221)=7,1,0))))))</f>
        <v>2</v>
      </c>
      <c r="H2221" s="370">
        <v>12278.030456542969</v>
      </c>
      <c r="I2221" s="370">
        <v>3475.7074890136719</v>
      </c>
      <c r="M2221" s="371">
        <f t="shared" si="137"/>
        <v>12760.508392731947</v>
      </c>
      <c r="N2221" s="329">
        <f t="shared" si="138"/>
        <v>0</v>
      </c>
      <c r="T2221" s="331">
        <v>0</v>
      </c>
      <c r="U2221" s="328">
        <f>VLOOKUP(C2221,METADATA!$J$5:$Q$29,IF(E2221="HI",2,IF(E2221="LO",6,10))+IF(T2221=1,2,IF(D2221=7,1,(IF(WEEKDAY(B2221)=1,2,IF(WEEKDAY(B2221)=7,1,0))))))</f>
        <v>2</v>
      </c>
      <c r="V2221" s="328">
        <f>VLOOKUP(C2221,METADATA!$A$5:$H$29,IF(E2221="HI",2,IF(E2221="LO",6,10))+IF(T2221=1,2,IF(D2221=7,1,(IF(WEEKDAY(B2221)=1,2,IF(WEEKDAY(B2221)=7,1,0))))))</f>
        <v>2</v>
      </c>
    </row>
    <row r="2222" spans="2:22">
      <c r="B2222" s="318">
        <f t="shared" si="139"/>
        <v>46205</v>
      </c>
      <c r="C2222" s="312">
        <v>10</v>
      </c>
      <c r="D2222" s="368">
        <f>IFERROR((INDEX(METADATA!$T$2:$T$20,MATCH(B2222,METADATA!$S$2:$S$20,0))),0)</f>
        <v>0</v>
      </c>
      <c r="E2222" s="312" t="str">
        <f t="shared" si="136"/>
        <v>LO</v>
      </c>
      <c r="F2222" s="369">
        <f>VLOOKUP(C2222,METADATA!$A$5:$H$29,IF(E2222="HI",2,IF(E2222="LO",6,10))+IF(D2222=1,2,IF(D2222=7,1,(IF(WEEKDAY(B2222)=1,2,IF(WEEKDAY(B2222)=7,1,0))))))</f>
        <v>2</v>
      </c>
      <c r="G2222" s="369">
        <f>VLOOKUP(C2222,METADATA!$J$5:$Q$29,IF(E2222="HI",2,IF(E2222="LO",6,10))+IF(D2222=1,2,IF(D2222=7,1,(IF(WEEKDAY(B2222)=1,2,IF(WEEKDAY(B2222)=7,1,0))))))</f>
        <v>2</v>
      </c>
      <c r="H2222" s="370">
        <v>11628.522918701172</v>
      </c>
      <c r="I2222" s="370">
        <v>3325.8025207519531</v>
      </c>
      <c r="M2222" s="371">
        <f t="shared" si="137"/>
        <v>12094.771915079607</v>
      </c>
      <c r="N2222" s="329">
        <f t="shared" si="138"/>
        <v>0</v>
      </c>
      <c r="T2222" s="331">
        <v>0</v>
      </c>
      <c r="U2222" s="328">
        <f>VLOOKUP(C2222,METADATA!$J$5:$Q$29,IF(E2222="HI",2,IF(E2222="LO",6,10))+IF(T2222=1,2,IF(D2222=7,1,(IF(WEEKDAY(B2222)=1,2,IF(WEEKDAY(B2222)=7,1,0))))))</f>
        <v>2</v>
      </c>
      <c r="V2222" s="328">
        <f>VLOOKUP(C2222,METADATA!$A$5:$H$29,IF(E2222="HI",2,IF(E2222="LO",6,10))+IF(T2222=1,2,IF(D2222=7,1,(IF(WEEKDAY(B2222)=1,2,IF(WEEKDAY(B2222)=7,1,0))))))</f>
        <v>2</v>
      </c>
    </row>
    <row r="2223" spans="2:22">
      <c r="B2223" s="318">
        <f t="shared" si="139"/>
        <v>46205</v>
      </c>
      <c r="C2223" s="312">
        <v>11</v>
      </c>
      <c r="D2223" s="368">
        <f>IFERROR((INDEX(METADATA!$T$2:$T$20,MATCH(B2223,METADATA!$S$2:$S$20,0))),0)</f>
        <v>0</v>
      </c>
      <c r="E2223" s="312" t="str">
        <f t="shared" si="136"/>
        <v>LO</v>
      </c>
      <c r="F2223" s="369">
        <f>VLOOKUP(C2223,METADATA!$A$5:$H$29,IF(E2223="HI",2,IF(E2223="LO",6,10))+IF(D2223=1,2,IF(D2223=7,1,(IF(WEEKDAY(B2223)=1,2,IF(WEEKDAY(B2223)=7,1,0))))))</f>
        <v>2</v>
      </c>
      <c r="G2223" s="369">
        <f>VLOOKUP(C2223,METADATA!$J$5:$Q$29,IF(E2223="HI",2,IF(E2223="LO",6,10))+IF(D2223=1,2,IF(D2223=7,1,(IF(WEEKDAY(B2223)=1,2,IF(WEEKDAY(B2223)=7,1,0))))))</f>
        <v>2</v>
      </c>
      <c r="H2223" s="370">
        <v>13010.699951171875</v>
      </c>
      <c r="I2223" s="370">
        <v>4102.6700439453125</v>
      </c>
      <c r="M2223" s="371">
        <f t="shared" si="137"/>
        <v>13642.221765860209</v>
      </c>
      <c r="N2223" s="329">
        <f t="shared" si="138"/>
        <v>199.46005859375009</v>
      </c>
      <c r="T2223" s="331">
        <v>0</v>
      </c>
      <c r="U2223" s="328">
        <f>VLOOKUP(C2223,METADATA!$J$5:$Q$29,IF(E2223="HI",2,IF(E2223="LO",6,10))+IF(T2223=1,2,IF(D2223=7,1,(IF(WEEKDAY(B2223)=1,2,IF(WEEKDAY(B2223)=7,1,0))))))</f>
        <v>2</v>
      </c>
      <c r="V2223" s="328">
        <f>VLOOKUP(C2223,METADATA!$A$5:$H$29,IF(E2223="HI",2,IF(E2223="LO",6,10))+IF(T2223=1,2,IF(D2223=7,1,(IF(WEEKDAY(B2223)=1,2,IF(WEEKDAY(B2223)=7,1,0))))))</f>
        <v>2</v>
      </c>
    </row>
    <row r="2224" spans="2:22">
      <c r="B2224" s="318">
        <f t="shared" si="139"/>
        <v>46205</v>
      </c>
      <c r="C2224" s="312">
        <v>12</v>
      </c>
      <c r="D2224" s="368">
        <f>IFERROR((INDEX(METADATA!$T$2:$T$20,MATCH(B2224,METADATA!$S$2:$S$20,0))),0)</f>
        <v>0</v>
      </c>
      <c r="E2224" s="312" t="str">
        <f t="shared" si="136"/>
        <v>LO</v>
      </c>
      <c r="F2224" s="369">
        <f>VLOOKUP(C2224,METADATA!$A$5:$H$29,IF(E2224="HI",2,IF(E2224="LO",6,10))+IF(D2224=1,2,IF(D2224=7,1,(IF(WEEKDAY(B2224)=1,2,IF(WEEKDAY(B2224)=7,1,0))))))</f>
        <v>2</v>
      </c>
      <c r="G2224" s="369">
        <f>VLOOKUP(C2224,METADATA!$J$5:$Q$29,IF(E2224="HI",2,IF(E2224="LO",6,10))+IF(D2224=1,2,IF(D2224=7,1,(IF(WEEKDAY(B2224)=1,2,IF(WEEKDAY(B2224)=7,1,0))))))</f>
        <v>2</v>
      </c>
      <c r="H2224" s="370">
        <v>13671.374877929688</v>
      </c>
      <c r="I2224" s="370">
        <v>4674.5099487304688</v>
      </c>
      <c r="M2224" s="371">
        <f t="shared" si="137"/>
        <v>14448.444010123274</v>
      </c>
      <c r="N2224" s="329">
        <f t="shared" si="138"/>
        <v>573.09748535156268</v>
      </c>
      <c r="T2224" s="331">
        <v>0</v>
      </c>
      <c r="U2224" s="328">
        <f>VLOOKUP(C2224,METADATA!$J$5:$Q$29,IF(E2224="HI",2,IF(E2224="LO",6,10))+IF(T2224=1,2,IF(D2224=7,1,(IF(WEEKDAY(B2224)=1,2,IF(WEEKDAY(B2224)=7,1,0))))))</f>
        <v>2</v>
      </c>
      <c r="V2224" s="328">
        <f>VLOOKUP(C2224,METADATA!$A$5:$H$29,IF(E2224="HI",2,IF(E2224="LO",6,10))+IF(T2224=1,2,IF(D2224=7,1,(IF(WEEKDAY(B2224)=1,2,IF(WEEKDAY(B2224)=7,1,0))))))</f>
        <v>2</v>
      </c>
    </row>
    <row r="2225" spans="2:22">
      <c r="B2225" s="318">
        <f t="shared" si="139"/>
        <v>46205</v>
      </c>
      <c r="C2225" s="312">
        <v>13</v>
      </c>
      <c r="D2225" s="368">
        <f>IFERROR((INDEX(METADATA!$T$2:$T$20,MATCH(B2225,METADATA!$S$2:$S$20,0))),0)</f>
        <v>0</v>
      </c>
      <c r="E2225" s="312" t="str">
        <f t="shared" si="136"/>
        <v>LO</v>
      </c>
      <c r="F2225" s="369">
        <f>VLOOKUP(C2225,METADATA!$A$5:$H$29,IF(E2225="HI",2,IF(E2225="LO",6,10))+IF(D2225=1,2,IF(D2225=7,1,(IF(WEEKDAY(B2225)=1,2,IF(WEEKDAY(B2225)=7,1,0))))))</f>
        <v>2</v>
      </c>
      <c r="G2225" s="369">
        <f>VLOOKUP(C2225,METADATA!$J$5:$Q$29,IF(E2225="HI",2,IF(E2225="LO",6,10))+IF(D2225=1,2,IF(D2225=7,1,(IF(WEEKDAY(B2225)=1,2,IF(WEEKDAY(B2225)=7,1,0))))))</f>
        <v>2</v>
      </c>
      <c r="H2225" s="370">
        <v>13535.550354003906</v>
      </c>
      <c r="I2225" s="370">
        <v>4654.3900146484375</v>
      </c>
      <c r="M2225" s="371">
        <f t="shared" si="137"/>
        <v>14313.436687051588</v>
      </c>
      <c r="N2225" s="329">
        <f t="shared" si="138"/>
        <v>593.72490844726599</v>
      </c>
      <c r="T2225" s="331">
        <v>0</v>
      </c>
      <c r="U2225" s="328">
        <f>VLOOKUP(C2225,METADATA!$J$5:$Q$29,IF(E2225="HI",2,IF(E2225="LO",6,10))+IF(T2225=1,2,IF(D2225=7,1,(IF(WEEKDAY(B2225)=1,2,IF(WEEKDAY(B2225)=7,1,0))))))</f>
        <v>2</v>
      </c>
      <c r="V2225" s="328">
        <f>VLOOKUP(C2225,METADATA!$A$5:$H$29,IF(E2225="HI",2,IF(E2225="LO",6,10))+IF(T2225=1,2,IF(D2225=7,1,(IF(WEEKDAY(B2225)=1,2,IF(WEEKDAY(B2225)=7,1,0))))))</f>
        <v>2</v>
      </c>
    </row>
    <row r="2226" spans="2:22">
      <c r="B2226" s="318">
        <f t="shared" si="139"/>
        <v>46205</v>
      </c>
      <c r="C2226" s="312">
        <v>14</v>
      </c>
      <c r="D2226" s="368">
        <f>IFERROR((INDEX(METADATA!$T$2:$T$20,MATCH(B2226,METADATA!$S$2:$S$20,0))),0)</f>
        <v>0</v>
      </c>
      <c r="E2226" s="312" t="str">
        <f t="shared" si="136"/>
        <v>LO</v>
      </c>
      <c r="F2226" s="369">
        <f>VLOOKUP(C2226,METADATA!$A$5:$H$29,IF(E2226="HI",2,IF(E2226="LO",6,10))+IF(D2226=1,2,IF(D2226=7,1,(IF(WEEKDAY(B2226)=1,2,IF(WEEKDAY(B2226)=7,1,0))))))</f>
        <v>2</v>
      </c>
      <c r="G2226" s="369">
        <f>VLOOKUP(C2226,METADATA!$J$5:$Q$29,IF(E2226="HI",2,IF(E2226="LO",6,10))+IF(D2226=1,2,IF(D2226=7,1,(IF(WEEKDAY(B2226)=1,2,IF(WEEKDAY(B2226)=7,1,0))))))</f>
        <v>2</v>
      </c>
      <c r="H2226" s="370">
        <v>13399.099975585938</v>
      </c>
      <c r="I2226" s="370">
        <v>4653.9600219726563</v>
      </c>
      <c r="M2226" s="371">
        <f t="shared" si="137"/>
        <v>14184.330228878162</v>
      </c>
      <c r="N2226" s="329">
        <f t="shared" si="138"/>
        <v>634.23002929687527</v>
      </c>
      <c r="T2226" s="331">
        <v>0</v>
      </c>
      <c r="U2226" s="328">
        <f>VLOOKUP(C2226,METADATA!$J$5:$Q$29,IF(E2226="HI",2,IF(E2226="LO",6,10))+IF(T2226=1,2,IF(D2226=7,1,(IF(WEEKDAY(B2226)=1,2,IF(WEEKDAY(B2226)=7,1,0))))))</f>
        <v>2</v>
      </c>
      <c r="V2226" s="328">
        <f>VLOOKUP(C2226,METADATA!$A$5:$H$29,IF(E2226="HI",2,IF(E2226="LO",6,10))+IF(T2226=1,2,IF(D2226=7,1,(IF(WEEKDAY(B2226)=1,2,IF(WEEKDAY(B2226)=7,1,0))))))</f>
        <v>2</v>
      </c>
    </row>
    <row r="2227" spans="2:22">
      <c r="B2227" s="318">
        <f t="shared" si="139"/>
        <v>46205</v>
      </c>
      <c r="C2227" s="312">
        <v>15</v>
      </c>
      <c r="D2227" s="368">
        <f>IFERROR((INDEX(METADATA!$T$2:$T$20,MATCH(B2227,METADATA!$S$2:$S$20,0))),0)</f>
        <v>0</v>
      </c>
      <c r="E2227" s="312" t="str">
        <f t="shared" si="136"/>
        <v>LO</v>
      </c>
      <c r="F2227" s="369">
        <f>VLOOKUP(C2227,METADATA!$A$5:$H$29,IF(E2227="HI",2,IF(E2227="LO",6,10))+IF(D2227=1,2,IF(D2227=7,1,(IF(WEEKDAY(B2227)=1,2,IF(WEEKDAY(B2227)=7,1,0))))))</f>
        <v>2</v>
      </c>
      <c r="G2227" s="369">
        <f>VLOOKUP(C2227,METADATA!$J$5:$Q$29,IF(E2227="HI",2,IF(E2227="LO",6,10))+IF(D2227=1,2,IF(D2227=7,1,(IF(WEEKDAY(B2227)=1,2,IF(WEEKDAY(B2227)=7,1,0))))))</f>
        <v>2</v>
      </c>
      <c r="H2227" s="370">
        <v>13313.375122070313</v>
      </c>
      <c r="I2227" s="370">
        <v>4519.9750061035156</v>
      </c>
      <c r="M2227" s="371">
        <f t="shared" si="137"/>
        <v>14059.73439282411</v>
      </c>
      <c r="N2227" s="329">
        <f t="shared" si="138"/>
        <v>525.96246948242197</v>
      </c>
      <c r="T2227" s="331">
        <v>0</v>
      </c>
      <c r="U2227" s="328">
        <f>VLOOKUP(C2227,METADATA!$J$5:$Q$29,IF(E2227="HI",2,IF(E2227="LO",6,10))+IF(T2227=1,2,IF(D2227=7,1,(IF(WEEKDAY(B2227)=1,2,IF(WEEKDAY(B2227)=7,1,0))))))</f>
        <v>2</v>
      </c>
      <c r="V2227" s="328">
        <f>VLOOKUP(C2227,METADATA!$A$5:$H$29,IF(E2227="HI",2,IF(E2227="LO",6,10))+IF(T2227=1,2,IF(D2227=7,1,(IF(WEEKDAY(B2227)=1,2,IF(WEEKDAY(B2227)=7,1,0))))))</f>
        <v>2</v>
      </c>
    </row>
    <row r="2228" spans="2:22">
      <c r="B2228" s="318">
        <f t="shared" si="139"/>
        <v>46205</v>
      </c>
      <c r="C2228" s="312">
        <v>16</v>
      </c>
      <c r="D2228" s="368">
        <f>IFERROR((INDEX(METADATA!$T$2:$T$20,MATCH(B2228,METADATA!$S$2:$S$20,0))),0)</f>
        <v>0</v>
      </c>
      <c r="E2228" s="312" t="str">
        <f t="shared" si="136"/>
        <v>LO</v>
      </c>
      <c r="F2228" s="369">
        <f>VLOOKUP(C2228,METADATA!$A$5:$H$29,IF(E2228="HI",2,IF(E2228="LO",6,10))+IF(D2228=1,2,IF(D2228=7,1,(IF(WEEKDAY(B2228)=1,2,IF(WEEKDAY(B2228)=7,1,0))))))</f>
        <v>2</v>
      </c>
      <c r="G2228" s="369">
        <f>VLOOKUP(C2228,METADATA!$J$5:$Q$29,IF(E2228="HI",2,IF(E2228="LO",6,10))+IF(D2228=1,2,IF(D2228=7,1,(IF(WEEKDAY(B2228)=1,2,IF(WEEKDAY(B2228)=7,1,0))))))</f>
        <v>2</v>
      </c>
      <c r="H2228" s="370">
        <v>13421.750061035156</v>
      </c>
      <c r="I2228" s="370">
        <v>4598.7999877929688</v>
      </c>
      <c r="M2228" s="371">
        <f t="shared" si="137"/>
        <v>14187.753029589352</v>
      </c>
      <c r="N2228" s="329">
        <f t="shared" si="138"/>
        <v>572.27496948242197</v>
      </c>
      <c r="T2228" s="331">
        <v>0</v>
      </c>
      <c r="U2228" s="328">
        <f>VLOOKUP(C2228,METADATA!$J$5:$Q$29,IF(E2228="HI",2,IF(E2228="LO",6,10))+IF(T2228=1,2,IF(D2228=7,1,(IF(WEEKDAY(B2228)=1,2,IF(WEEKDAY(B2228)=7,1,0))))))</f>
        <v>2</v>
      </c>
      <c r="V2228" s="328">
        <f>VLOOKUP(C2228,METADATA!$A$5:$H$29,IF(E2228="HI",2,IF(E2228="LO",6,10))+IF(T2228=1,2,IF(D2228=7,1,(IF(WEEKDAY(B2228)=1,2,IF(WEEKDAY(B2228)=7,1,0))))))</f>
        <v>2</v>
      </c>
    </row>
    <row r="2229" spans="2:22">
      <c r="B2229" s="318">
        <f t="shared" si="139"/>
        <v>46205</v>
      </c>
      <c r="C2229" s="312">
        <v>17</v>
      </c>
      <c r="D2229" s="368">
        <f>IFERROR((INDEX(METADATA!$T$2:$T$20,MATCH(B2229,METADATA!$S$2:$S$20,0))),0)</f>
        <v>0</v>
      </c>
      <c r="E2229" s="312" t="str">
        <f t="shared" si="136"/>
        <v>LO</v>
      </c>
      <c r="F2229" s="369">
        <f>VLOOKUP(C2229,METADATA!$A$5:$H$29,IF(E2229="HI",2,IF(E2229="LO",6,10))+IF(D2229=1,2,IF(D2229=7,1,(IF(WEEKDAY(B2229)=1,2,IF(WEEKDAY(B2229)=7,1,0))))))</f>
        <v>2</v>
      </c>
      <c r="G2229" s="369">
        <f>VLOOKUP(C2229,METADATA!$J$5:$Q$29,IF(E2229="HI",2,IF(E2229="LO",6,10))+IF(D2229=1,2,IF(D2229=7,1,(IF(WEEKDAY(B2229)=1,2,IF(WEEKDAY(B2229)=7,1,0))))))</f>
        <v>2</v>
      </c>
      <c r="H2229" s="370">
        <v>13045.675048828125</v>
      </c>
      <c r="I2229" s="370">
        <v>4228.0800170898438</v>
      </c>
      <c r="M2229" s="371">
        <f t="shared" si="137"/>
        <v>13713.726631026708</v>
      </c>
      <c r="N2229" s="329">
        <f t="shared" si="138"/>
        <v>314.37750244140625</v>
      </c>
      <c r="T2229" s="331">
        <v>0</v>
      </c>
      <c r="U2229" s="328">
        <f>VLOOKUP(C2229,METADATA!$J$5:$Q$29,IF(E2229="HI",2,IF(E2229="LO",6,10))+IF(T2229=1,2,IF(D2229=7,1,(IF(WEEKDAY(B2229)=1,2,IF(WEEKDAY(B2229)=7,1,0))))))</f>
        <v>2</v>
      </c>
      <c r="V2229" s="328">
        <f>VLOOKUP(C2229,METADATA!$A$5:$H$29,IF(E2229="HI",2,IF(E2229="LO",6,10))+IF(T2229=1,2,IF(D2229=7,1,(IF(WEEKDAY(B2229)=1,2,IF(WEEKDAY(B2229)=7,1,0))))))</f>
        <v>2</v>
      </c>
    </row>
    <row r="2230" spans="2:22">
      <c r="B2230" s="318">
        <f t="shared" si="139"/>
        <v>46205</v>
      </c>
      <c r="C2230" s="312">
        <v>18</v>
      </c>
      <c r="D2230" s="368">
        <f>IFERROR((INDEX(METADATA!$T$2:$T$20,MATCH(B2230,METADATA!$S$2:$S$20,0))),0)</f>
        <v>0</v>
      </c>
      <c r="E2230" s="312" t="str">
        <f t="shared" si="136"/>
        <v>LO</v>
      </c>
      <c r="F2230" s="369">
        <f>VLOOKUP(C2230,METADATA!$A$5:$H$29,IF(E2230="HI",2,IF(E2230="LO",6,10))+IF(D2230=1,2,IF(D2230=7,1,(IF(WEEKDAY(B2230)=1,2,IF(WEEKDAY(B2230)=7,1,0))))))</f>
        <v>1</v>
      </c>
      <c r="G2230" s="369">
        <f>VLOOKUP(C2230,METADATA!$J$5:$Q$29,IF(E2230="HI",2,IF(E2230="LO",6,10))+IF(D2230=1,2,IF(D2230=7,1,(IF(WEEKDAY(B2230)=1,2,IF(WEEKDAY(B2230)=7,1,0))))))</f>
        <v>1</v>
      </c>
      <c r="H2230" s="370">
        <v>11412.735046386719</v>
      </c>
      <c r="I2230" s="370">
        <v>3064.7574768066406</v>
      </c>
      <c r="M2230" s="371">
        <f t="shared" si="137"/>
        <v>11817.074918551793</v>
      </c>
      <c r="N2230" s="329">
        <f t="shared" si="138"/>
        <v>0</v>
      </c>
      <c r="T2230" s="331">
        <v>0</v>
      </c>
      <c r="U2230" s="328">
        <f>VLOOKUP(C2230,METADATA!$J$5:$Q$29,IF(E2230="HI",2,IF(E2230="LO",6,10))+IF(T2230=1,2,IF(D2230=7,1,(IF(WEEKDAY(B2230)=1,2,IF(WEEKDAY(B2230)=7,1,0))))))</f>
        <v>1</v>
      </c>
      <c r="V2230" s="328">
        <f>VLOOKUP(C2230,METADATA!$A$5:$H$29,IF(E2230="HI",2,IF(E2230="LO",6,10))+IF(T2230=1,2,IF(D2230=7,1,(IF(WEEKDAY(B2230)=1,2,IF(WEEKDAY(B2230)=7,1,0))))))</f>
        <v>1</v>
      </c>
    </row>
    <row r="2231" spans="2:22">
      <c r="B2231" s="318">
        <f t="shared" si="139"/>
        <v>46205</v>
      </c>
      <c r="C2231" s="312">
        <v>19</v>
      </c>
      <c r="D2231" s="368">
        <f>IFERROR((INDEX(METADATA!$T$2:$T$20,MATCH(B2231,METADATA!$S$2:$S$20,0))),0)</f>
        <v>0</v>
      </c>
      <c r="E2231" s="312" t="str">
        <f t="shared" si="136"/>
        <v>LO</v>
      </c>
      <c r="F2231" s="369">
        <f>VLOOKUP(C2231,METADATA!$A$5:$H$29,IF(E2231="HI",2,IF(E2231="LO",6,10))+IF(D2231=1,2,IF(D2231=7,1,(IF(WEEKDAY(B2231)=1,2,IF(WEEKDAY(B2231)=7,1,0))))))</f>
        <v>1</v>
      </c>
      <c r="G2231" s="369">
        <f>VLOOKUP(C2231,METADATA!$J$5:$Q$29,IF(E2231="HI",2,IF(E2231="LO",6,10))+IF(D2231=1,2,IF(D2231=7,1,(IF(WEEKDAY(B2231)=1,2,IF(WEEKDAY(B2231)=7,1,0))))))</f>
        <v>1</v>
      </c>
      <c r="H2231" s="370">
        <v>11438.400299072266</v>
      </c>
      <c r="I2231" s="370">
        <v>3180.6700134277344</v>
      </c>
      <c r="M2231" s="371">
        <f t="shared" si="137"/>
        <v>11872.390792765158</v>
      </c>
      <c r="N2231" s="329">
        <f t="shared" si="138"/>
        <v>0</v>
      </c>
      <c r="T2231" s="331">
        <v>0</v>
      </c>
      <c r="U2231" s="328">
        <f>VLOOKUP(C2231,METADATA!$J$5:$Q$29,IF(E2231="HI",2,IF(E2231="LO",6,10))+IF(T2231=1,2,IF(D2231=7,1,(IF(WEEKDAY(B2231)=1,2,IF(WEEKDAY(B2231)=7,1,0))))))</f>
        <v>1</v>
      </c>
      <c r="V2231" s="328">
        <f>VLOOKUP(C2231,METADATA!$A$5:$H$29,IF(E2231="HI",2,IF(E2231="LO",6,10))+IF(T2231=1,2,IF(D2231=7,1,(IF(WEEKDAY(B2231)=1,2,IF(WEEKDAY(B2231)=7,1,0))))))</f>
        <v>1</v>
      </c>
    </row>
    <row r="2232" spans="2:22">
      <c r="B2232" s="318">
        <f t="shared" si="139"/>
        <v>46205</v>
      </c>
      <c r="C2232" s="312">
        <v>20</v>
      </c>
      <c r="D2232" s="368">
        <f>IFERROR((INDEX(METADATA!$T$2:$T$20,MATCH(B2232,METADATA!$S$2:$S$20,0))),0)</f>
        <v>0</v>
      </c>
      <c r="E2232" s="312" t="str">
        <f t="shared" si="136"/>
        <v>LO</v>
      </c>
      <c r="F2232" s="369">
        <f>VLOOKUP(C2232,METADATA!$A$5:$H$29,IF(E2232="HI",2,IF(E2232="LO",6,10))+IF(D2232=1,2,IF(D2232=7,1,(IF(WEEKDAY(B2232)=1,2,IF(WEEKDAY(B2232)=7,1,0))))))</f>
        <v>1</v>
      </c>
      <c r="G2232" s="369">
        <f>VLOOKUP(C2232,METADATA!$J$5:$Q$29,IF(E2232="HI",2,IF(E2232="LO",6,10))+IF(D2232=1,2,IF(D2232=7,1,(IF(WEEKDAY(B2232)=1,2,IF(WEEKDAY(B2232)=7,1,0))))))</f>
        <v>1</v>
      </c>
      <c r="H2232" s="370">
        <v>12429.295318603516</v>
      </c>
      <c r="I2232" s="370">
        <v>3846.1425170898438</v>
      </c>
      <c r="M2232" s="371">
        <f t="shared" si="137"/>
        <v>13010.772243753461</v>
      </c>
      <c r="N2232" s="329">
        <f t="shared" si="138"/>
        <v>117.35392150878943</v>
      </c>
      <c r="T2232" s="331">
        <v>0</v>
      </c>
      <c r="U2232" s="328">
        <f>VLOOKUP(C2232,METADATA!$J$5:$Q$29,IF(E2232="HI",2,IF(E2232="LO",6,10))+IF(T2232=1,2,IF(D2232=7,1,(IF(WEEKDAY(B2232)=1,2,IF(WEEKDAY(B2232)=7,1,0))))))</f>
        <v>1</v>
      </c>
      <c r="V2232" s="328">
        <f>VLOOKUP(C2232,METADATA!$A$5:$H$29,IF(E2232="HI",2,IF(E2232="LO",6,10))+IF(T2232=1,2,IF(D2232=7,1,(IF(WEEKDAY(B2232)=1,2,IF(WEEKDAY(B2232)=7,1,0))))))</f>
        <v>1</v>
      </c>
    </row>
    <row r="2233" spans="2:22">
      <c r="B2233" s="318">
        <f t="shared" si="139"/>
        <v>46205</v>
      </c>
      <c r="C2233" s="312">
        <v>21</v>
      </c>
      <c r="D2233" s="368">
        <f>IFERROR((INDEX(METADATA!$T$2:$T$20,MATCH(B2233,METADATA!$S$2:$S$20,0))),0)</f>
        <v>0</v>
      </c>
      <c r="E2233" s="312" t="str">
        <f t="shared" si="136"/>
        <v>LO</v>
      </c>
      <c r="F2233" s="369">
        <f>VLOOKUP(C2233,METADATA!$A$5:$H$29,IF(E2233="HI",2,IF(E2233="LO",6,10))+IF(D2233=1,2,IF(D2233=7,1,(IF(WEEKDAY(B2233)=1,2,IF(WEEKDAY(B2233)=7,1,0))))))</f>
        <v>2</v>
      </c>
      <c r="G2233" s="369">
        <f>VLOOKUP(C2233,METADATA!$J$5:$Q$29,IF(E2233="HI",2,IF(E2233="LO",6,10))+IF(D2233=1,2,IF(D2233=7,1,(IF(WEEKDAY(B2233)=1,2,IF(WEEKDAY(B2233)=7,1,0))))))</f>
        <v>2</v>
      </c>
      <c r="H2233" s="370">
        <v>13471.949890136719</v>
      </c>
      <c r="I2233" s="370">
        <v>4559.2999877929688</v>
      </c>
      <c r="M2233" s="371">
        <f t="shared" si="137"/>
        <v>14222.540216889658</v>
      </c>
      <c r="N2233" s="329">
        <f t="shared" si="138"/>
        <v>517.71502075195349</v>
      </c>
      <c r="T2233" s="331">
        <v>0</v>
      </c>
      <c r="U2233" s="328">
        <f>VLOOKUP(C2233,METADATA!$J$5:$Q$29,IF(E2233="HI",2,IF(E2233="LO",6,10))+IF(T2233=1,2,IF(D2233=7,1,(IF(WEEKDAY(B2233)=1,2,IF(WEEKDAY(B2233)=7,1,0))))))</f>
        <v>2</v>
      </c>
      <c r="V2233" s="328">
        <f>VLOOKUP(C2233,METADATA!$A$5:$H$29,IF(E2233="HI",2,IF(E2233="LO",6,10))+IF(T2233=1,2,IF(D2233=7,1,(IF(WEEKDAY(B2233)=1,2,IF(WEEKDAY(B2233)=7,1,0))))))</f>
        <v>2</v>
      </c>
    </row>
    <row r="2234" spans="2:22">
      <c r="B2234" s="318">
        <f t="shared" si="139"/>
        <v>46205</v>
      </c>
      <c r="C2234" s="312">
        <v>22</v>
      </c>
      <c r="D2234" s="368">
        <f>IFERROR((INDEX(METADATA!$T$2:$T$20,MATCH(B2234,METADATA!$S$2:$S$20,0))),0)</f>
        <v>0</v>
      </c>
      <c r="E2234" s="312" t="str">
        <f t="shared" si="136"/>
        <v>LO</v>
      </c>
      <c r="F2234" s="369">
        <f>VLOOKUP(C2234,METADATA!$A$5:$H$29,IF(E2234="HI",2,IF(E2234="LO",6,10))+IF(D2234=1,2,IF(D2234=7,1,(IF(WEEKDAY(B2234)=1,2,IF(WEEKDAY(B2234)=7,1,0))))))</f>
        <v>3</v>
      </c>
      <c r="G2234" s="369">
        <f>VLOOKUP(C2234,METADATA!$J$5:$Q$29,IF(E2234="HI",2,IF(E2234="LO",6,10))+IF(D2234=1,2,IF(D2234=7,1,(IF(WEEKDAY(B2234)=1,2,IF(WEEKDAY(B2234)=7,1,0))))))</f>
        <v>3</v>
      </c>
      <c r="H2234" s="370">
        <v>12678.900390625</v>
      </c>
      <c r="I2234" s="370">
        <v>3927.989990234375</v>
      </c>
      <c r="M2234" s="371">
        <f t="shared" si="137"/>
        <v>13273.417814518318</v>
      </c>
      <c r="N2234" s="329">
        <f t="shared" si="138"/>
        <v>124.31987304687527</v>
      </c>
      <c r="T2234" s="331">
        <v>0</v>
      </c>
      <c r="U2234" s="328">
        <f>VLOOKUP(C2234,METADATA!$J$5:$Q$29,IF(E2234="HI",2,IF(E2234="LO",6,10))+IF(T2234=1,2,IF(D2234=7,1,(IF(WEEKDAY(B2234)=1,2,IF(WEEKDAY(B2234)=7,1,0))))))</f>
        <v>3</v>
      </c>
      <c r="V2234" s="328">
        <f>VLOOKUP(C2234,METADATA!$A$5:$H$29,IF(E2234="HI",2,IF(E2234="LO",6,10))+IF(T2234=1,2,IF(D2234=7,1,(IF(WEEKDAY(B2234)=1,2,IF(WEEKDAY(B2234)=7,1,0))))))</f>
        <v>3</v>
      </c>
    </row>
    <row r="2235" spans="2:22">
      <c r="B2235" s="318">
        <f t="shared" si="139"/>
        <v>46205</v>
      </c>
      <c r="C2235" s="312">
        <v>23</v>
      </c>
      <c r="D2235" s="368">
        <f>IFERROR((INDEX(METADATA!$T$2:$T$20,MATCH(B2235,METADATA!$S$2:$S$20,0))),0)</f>
        <v>0</v>
      </c>
      <c r="E2235" s="312" t="str">
        <f t="shared" si="136"/>
        <v>LO</v>
      </c>
      <c r="F2235" s="369">
        <f>VLOOKUP(C2235,METADATA!$A$5:$H$29,IF(E2235="HI",2,IF(E2235="LO",6,10))+IF(D2235=1,2,IF(D2235=7,1,(IF(WEEKDAY(B2235)=1,2,IF(WEEKDAY(B2235)=7,1,0))))))</f>
        <v>3</v>
      </c>
      <c r="G2235" s="369">
        <f>VLOOKUP(C2235,METADATA!$J$5:$Q$29,IF(E2235="HI",2,IF(E2235="LO",6,10))+IF(D2235=1,2,IF(D2235=7,1,(IF(WEEKDAY(B2235)=1,2,IF(WEEKDAY(B2235)=7,1,0))))))</f>
        <v>3</v>
      </c>
      <c r="H2235" s="370">
        <v>12528.599731445313</v>
      </c>
      <c r="I2235" s="370">
        <v>3828.4100036621094</v>
      </c>
      <c r="M2235" s="371">
        <f t="shared" si="137"/>
        <v>13100.478402978712</v>
      </c>
      <c r="N2235" s="329">
        <f t="shared" si="138"/>
        <v>69.830084228515716</v>
      </c>
      <c r="T2235" s="331">
        <v>0</v>
      </c>
      <c r="U2235" s="328">
        <f>VLOOKUP(C2235,METADATA!$J$5:$Q$29,IF(E2235="HI",2,IF(E2235="LO",6,10))+IF(T2235=1,2,IF(D2235=7,1,(IF(WEEKDAY(B2235)=1,2,IF(WEEKDAY(B2235)=7,1,0))))))</f>
        <v>3</v>
      </c>
      <c r="V2235" s="328">
        <f>VLOOKUP(C2235,METADATA!$A$5:$H$29,IF(E2235="HI",2,IF(E2235="LO",6,10))+IF(T2235=1,2,IF(D2235=7,1,(IF(WEEKDAY(B2235)=1,2,IF(WEEKDAY(B2235)=7,1,0))))))</f>
        <v>3</v>
      </c>
    </row>
    <row r="2236" spans="2:22">
      <c r="B2236" s="318">
        <f t="shared" si="139"/>
        <v>46206</v>
      </c>
      <c r="C2236" s="312">
        <v>0</v>
      </c>
      <c r="D2236" s="368">
        <f>IFERROR((INDEX(METADATA!$T$2:$T$20,MATCH(B2236,METADATA!$S$2:$S$20,0))),0)</f>
        <v>0</v>
      </c>
      <c r="E2236" s="312" t="str">
        <f t="shared" si="136"/>
        <v>LO</v>
      </c>
      <c r="F2236" s="369">
        <f>VLOOKUP(C2236,METADATA!$A$5:$H$29,IF(E2236="HI",2,IF(E2236="LO",6,10))+IF(D2236=1,2,IF(D2236=7,1,(IF(WEEKDAY(B2236)=1,2,IF(WEEKDAY(B2236)=7,1,0))))))</f>
        <v>3</v>
      </c>
      <c r="G2236" s="369">
        <f>VLOOKUP(C2236,METADATA!$J$5:$Q$29,IF(E2236="HI",2,IF(E2236="LO",6,10))+IF(D2236=1,2,IF(D2236=7,1,(IF(WEEKDAY(B2236)=1,2,IF(WEEKDAY(B2236)=7,1,0))))))</f>
        <v>3</v>
      </c>
      <c r="H2236" s="370">
        <v>12660.449951171875</v>
      </c>
      <c r="I2236" s="370">
        <v>3973.6500854492188</v>
      </c>
      <c r="M2236" s="371">
        <f t="shared" si="137"/>
        <v>13269.39666931841</v>
      </c>
      <c r="N2236" s="329">
        <f t="shared" si="138"/>
        <v>175.51510009765661</v>
      </c>
      <c r="T2236" s="331">
        <v>0</v>
      </c>
      <c r="U2236" s="328">
        <f>VLOOKUP(C2236,METADATA!$J$5:$Q$29,IF(E2236="HI",2,IF(E2236="LO",6,10))+IF(T2236=1,2,IF(D2236=7,1,(IF(WEEKDAY(B2236)=1,2,IF(WEEKDAY(B2236)=7,1,0))))))</f>
        <v>3</v>
      </c>
      <c r="V2236" s="328">
        <f>VLOOKUP(C2236,METADATA!$A$5:$H$29,IF(E2236="HI",2,IF(E2236="LO",6,10))+IF(T2236=1,2,IF(D2236=7,1,(IF(WEEKDAY(B2236)=1,2,IF(WEEKDAY(B2236)=7,1,0))))))</f>
        <v>3</v>
      </c>
    </row>
    <row r="2237" spans="2:22">
      <c r="B2237" s="318">
        <f t="shared" si="139"/>
        <v>46206</v>
      </c>
      <c r="C2237" s="312">
        <v>1</v>
      </c>
      <c r="D2237" s="368">
        <f>IFERROR((INDEX(METADATA!$T$2:$T$20,MATCH(B2237,METADATA!$S$2:$S$20,0))),0)</f>
        <v>0</v>
      </c>
      <c r="E2237" s="312" t="str">
        <f t="shared" si="136"/>
        <v>LO</v>
      </c>
      <c r="F2237" s="369">
        <f>VLOOKUP(C2237,METADATA!$A$5:$H$29,IF(E2237="HI",2,IF(E2237="LO",6,10))+IF(D2237=1,2,IF(D2237=7,1,(IF(WEEKDAY(B2237)=1,2,IF(WEEKDAY(B2237)=7,1,0))))))</f>
        <v>3</v>
      </c>
      <c r="G2237" s="369">
        <f>VLOOKUP(C2237,METADATA!$J$5:$Q$29,IF(E2237="HI",2,IF(E2237="LO",6,10))+IF(D2237=1,2,IF(D2237=7,1,(IF(WEEKDAY(B2237)=1,2,IF(WEEKDAY(B2237)=7,1,0))))))</f>
        <v>3</v>
      </c>
      <c r="H2237" s="370">
        <v>12874.305419921875</v>
      </c>
      <c r="I2237" s="370">
        <v>4084.1575317382813</v>
      </c>
      <c r="M2237" s="371">
        <f t="shared" si="137"/>
        <v>13506.594048444793</v>
      </c>
      <c r="N2237" s="329">
        <f t="shared" si="138"/>
        <v>221.86590576171875</v>
      </c>
      <c r="T2237" s="331">
        <v>0</v>
      </c>
      <c r="U2237" s="328">
        <f>VLOOKUP(C2237,METADATA!$J$5:$Q$29,IF(E2237="HI",2,IF(E2237="LO",6,10))+IF(T2237=1,2,IF(D2237=7,1,(IF(WEEKDAY(B2237)=1,2,IF(WEEKDAY(B2237)=7,1,0))))))</f>
        <v>3</v>
      </c>
      <c r="V2237" s="328">
        <f>VLOOKUP(C2237,METADATA!$A$5:$H$29,IF(E2237="HI",2,IF(E2237="LO",6,10))+IF(T2237=1,2,IF(D2237=7,1,(IF(WEEKDAY(B2237)=1,2,IF(WEEKDAY(B2237)=7,1,0))))))</f>
        <v>3</v>
      </c>
    </row>
    <row r="2238" spans="2:22">
      <c r="B2238" s="318">
        <f t="shared" si="139"/>
        <v>46206</v>
      </c>
      <c r="C2238" s="312">
        <v>2</v>
      </c>
      <c r="D2238" s="368">
        <f>IFERROR((INDEX(METADATA!$T$2:$T$20,MATCH(B2238,METADATA!$S$2:$S$20,0))),0)</f>
        <v>0</v>
      </c>
      <c r="E2238" s="312" t="str">
        <f t="shared" si="136"/>
        <v>LO</v>
      </c>
      <c r="F2238" s="369">
        <f>VLOOKUP(C2238,METADATA!$A$5:$H$29,IF(E2238="HI",2,IF(E2238="LO",6,10))+IF(D2238=1,2,IF(D2238=7,1,(IF(WEEKDAY(B2238)=1,2,IF(WEEKDAY(B2238)=7,1,0))))))</f>
        <v>3</v>
      </c>
      <c r="G2238" s="369">
        <f>VLOOKUP(C2238,METADATA!$J$5:$Q$29,IF(E2238="HI",2,IF(E2238="LO",6,10))+IF(D2238=1,2,IF(D2238=7,1,(IF(WEEKDAY(B2238)=1,2,IF(WEEKDAY(B2238)=7,1,0))))))</f>
        <v>3</v>
      </c>
      <c r="H2238" s="370">
        <v>12234.940612792969</v>
      </c>
      <c r="I2238" s="370">
        <v>3395.35498046875</v>
      </c>
      <c r="M2238" s="371">
        <f t="shared" si="137"/>
        <v>12697.330713262718</v>
      </c>
      <c r="N2238" s="329">
        <f t="shared" si="138"/>
        <v>0</v>
      </c>
      <c r="T2238" s="331">
        <v>0</v>
      </c>
      <c r="U2238" s="328">
        <f>VLOOKUP(C2238,METADATA!$J$5:$Q$29,IF(E2238="HI",2,IF(E2238="LO",6,10))+IF(T2238=1,2,IF(D2238=7,1,(IF(WEEKDAY(B2238)=1,2,IF(WEEKDAY(B2238)=7,1,0))))))</f>
        <v>3</v>
      </c>
      <c r="V2238" s="328">
        <f>VLOOKUP(C2238,METADATA!$A$5:$H$29,IF(E2238="HI",2,IF(E2238="LO",6,10))+IF(T2238=1,2,IF(D2238=7,1,(IF(WEEKDAY(B2238)=1,2,IF(WEEKDAY(B2238)=7,1,0))))))</f>
        <v>3</v>
      </c>
    </row>
    <row r="2239" spans="2:22">
      <c r="B2239" s="318">
        <f t="shared" si="139"/>
        <v>46206</v>
      </c>
      <c r="C2239" s="312">
        <v>3</v>
      </c>
      <c r="D2239" s="368">
        <f>IFERROR((INDEX(METADATA!$T$2:$T$20,MATCH(B2239,METADATA!$S$2:$S$20,0))),0)</f>
        <v>0</v>
      </c>
      <c r="E2239" s="312" t="str">
        <f t="shared" si="136"/>
        <v>LO</v>
      </c>
      <c r="F2239" s="369">
        <f>VLOOKUP(C2239,METADATA!$A$5:$H$29,IF(E2239="HI",2,IF(E2239="LO",6,10))+IF(D2239=1,2,IF(D2239=7,1,(IF(WEEKDAY(B2239)=1,2,IF(WEEKDAY(B2239)=7,1,0))))))</f>
        <v>3</v>
      </c>
      <c r="G2239" s="369">
        <f>VLOOKUP(C2239,METADATA!$J$5:$Q$29,IF(E2239="HI",2,IF(E2239="LO",6,10))+IF(D2239=1,2,IF(D2239=7,1,(IF(WEEKDAY(B2239)=1,2,IF(WEEKDAY(B2239)=7,1,0))))))</f>
        <v>3</v>
      </c>
      <c r="H2239" s="370">
        <v>12188.475219726563</v>
      </c>
      <c r="I2239" s="370">
        <v>3365.4599304199219</v>
      </c>
      <c r="M2239" s="371">
        <f t="shared" si="137"/>
        <v>12644.573884680754</v>
      </c>
      <c r="N2239" s="329">
        <f t="shared" si="138"/>
        <v>0</v>
      </c>
      <c r="T2239" s="331">
        <v>0</v>
      </c>
      <c r="U2239" s="328">
        <f>VLOOKUP(C2239,METADATA!$J$5:$Q$29,IF(E2239="HI",2,IF(E2239="LO",6,10))+IF(T2239=1,2,IF(D2239=7,1,(IF(WEEKDAY(B2239)=1,2,IF(WEEKDAY(B2239)=7,1,0))))))</f>
        <v>3</v>
      </c>
      <c r="V2239" s="328">
        <f>VLOOKUP(C2239,METADATA!$A$5:$H$29,IF(E2239="HI",2,IF(E2239="LO",6,10))+IF(T2239=1,2,IF(D2239=7,1,(IF(WEEKDAY(B2239)=1,2,IF(WEEKDAY(B2239)=7,1,0))))))</f>
        <v>3</v>
      </c>
    </row>
    <row r="2240" spans="2:22">
      <c r="B2240" s="318">
        <f t="shared" si="139"/>
        <v>46206</v>
      </c>
      <c r="C2240" s="312">
        <v>4</v>
      </c>
      <c r="D2240" s="368">
        <f>IFERROR((INDEX(METADATA!$T$2:$T$20,MATCH(B2240,METADATA!$S$2:$S$20,0))),0)</f>
        <v>0</v>
      </c>
      <c r="E2240" s="312" t="str">
        <f t="shared" si="136"/>
        <v>LO</v>
      </c>
      <c r="F2240" s="369">
        <f>VLOOKUP(C2240,METADATA!$A$5:$H$29,IF(E2240="HI",2,IF(E2240="LO",6,10))+IF(D2240=1,2,IF(D2240=7,1,(IF(WEEKDAY(B2240)=1,2,IF(WEEKDAY(B2240)=7,1,0))))))</f>
        <v>3</v>
      </c>
      <c r="G2240" s="369">
        <f>VLOOKUP(C2240,METADATA!$J$5:$Q$29,IF(E2240="HI",2,IF(E2240="LO",6,10))+IF(D2240=1,2,IF(D2240=7,1,(IF(WEEKDAY(B2240)=1,2,IF(WEEKDAY(B2240)=7,1,0))))))</f>
        <v>3</v>
      </c>
      <c r="H2240" s="370">
        <v>12506.000061035156</v>
      </c>
      <c r="I2240" s="370">
        <v>3812.0749816894531</v>
      </c>
      <c r="M2240" s="371">
        <f t="shared" si="137"/>
        <v>13074.094737022291</v>
      </c>
      <c r="N2240" s="329">
        <f t="shared" si="138"/>
        <v>60.27496337890625</v>
      </c>
      <c r="T2240" s="331">
        <v>0</v>
      </c>
      <c r="U2240" s="328">
        <f>VLOOKUP(C2240,METADATA!$J$5:$Q$29,IF(E2240="HI",2,IF(E2240="LO",6,10))+IF(T2240=1,2,IF(D2240=7,1,(IF(WEEKDAY(B2240)=1,2,IF(WEEKDAY(B2240)=7,1,0))))))</f>
        <v>3</v>
      </c>
      <c r="V2240" s="328">
        <f>VLOOKUP(C2240,METADATA!$A$5:$H$29,IF(E2240="HI",2,IF(E2240="LO",6,10))+IF(T2240=1,2,IF(D2240=7,1,(IF(WEEKDAY(B2240)=1,2,IF(WEEKDAY(B2240)=7,1,0))))))</f>
        <v>3</v>
      </c>
    </row>
    <row r="2241" spans="2:22">
      <c r="B2241" s="318">
        <f t="shared" si="139"/>
        <v>46206</v>
      </c>
      <c r="C2241" s="312">
        <v>5</v>
      </c>
      <c r="D2241" s="368">
        <f>IFERROR((INDEX(METADATA!$T$2:$T$20,MATCH(B2241,METADATA!$S$2:$S$20,0))),0)</f>
        <v>0</v>
      </c>
      <c r="E2241" s="312" t="str">
        <f t="shared" si="136"/>
        <v>LO</v>
      </c>
      <c r="F2241" s="369">
        <f>VLOOKUP(C2241,METADATA!$A$5:$H$29,IF(E2241="HI",2,IF(E2241="LO",6,10))+IF(D2241=1,2,IF(D2241=7,1,(IF(WEEKDAY(B2241)=1,2,IF(WEEKDAY(B2241)=7,1,0))))))</f>
        <v>3</v>
      </c>
      <c r="G2241" s="369">
        <f>VLOOKUP(C2241,METADATA!$J$5:$Q$29,IF(E2241="HI",2,IF(E2241="LO",6,10))+IF(D2241=1,2,IF(D2241=7,1,(IF(WEEKDAY(B2241)=1,2,IF(WEEKDAY(B2241)=7,1,0))))))</f>
        <v>3</v>
      </c>
      <c r="H2241" s="370">
        <v>10893.627532958984</v>
      </c>
      <c r="I2241" s="370">
        <v>2782.6749572753906</v>
      </c>
      <c r="M2241" s="371">
        <f t="shared" si="137"/>
        <v>11243.415884182603</v>
      </c>
      <c r="N2241" s="329">
        <f t="shared" si="138"/>
        <v>0</v>
      </c>
      <c r="T2241" s="331">
        <v>0</v>
      </c>
      <c r="U2241" s="328">
        <f>VLOOKUP(C2241,METADATA!$J$5:$Q$29,IF(E2241="HI",2,IF(E2241="LO",6,10))+IF(T2241=1,2,IF(D2241=7,1,(IF(WEEKDAY(B2241)=1,2,IF(WEEKDAY(B2241)=7,1,0))))))</f>
        <v>3</v>
      </c>
      <c r="V2241" s="328">
        <f>VLOOKUP(C2241,METADATA!$A$5:$H$29,IF(E2241="HI",2,IF(E2241="LO",6,10))+IF(T2241=1,2,IF(D2241=7,1,(IF(WEEKDAY(B2241)=1,2,IF(WEEKDAY(B2241)=7,1,0))))))</f>
        <v>3</v>
      </c>
    </row>
    <row r="2242" spans="2:22">
      <c r="B2242" s="318">
        <f t="shared" si="139"/>
        <v>46206</v>
      </c>
      <c r="C2242" s="312">
        <v>6</v>
      </c>
      <c r="D2242" s="368">
        <f>IFERROR((INDEX(METADATA!$T$2:$T$20,MATCH(B2242,METADATA!$S$2:$S$20,0))),0)</f>
        <v>0</v>
      </c>
      <c r="E2242" s="312" t="str">
        <f t="shared" si="136"/>
        <v>LO</v>
      </c>
      <c r="F2242" s="369">
        <f>VLOOKUP(C2242,METADATA!$A$5:$H$29,IF(E2242="HI",2,IF(E2242="LO",6,10))+IF(D2242=1,2,IF(D2242=7,1,(IF(WEEKDAY(B2242)=1,2,IF(WEEKDAY(B2242)=7,1,0))))))</f>
        <v>2</v>
      </c>
      <c r="G2242" s="369">
        <f>VLOOKUP(C2242,METADATA!$J$5:$Q$29,IF(E2242="HI",2,IF(E2242="LO",6,10))+IF(D2242=1,2,IF(D2242=7,1,(IF(WEEKDAY(B2242)=1,2,IF(WEEKDAY(B2242)=7,1,0))))))</f>
        <v>2</v>
      </c>
      <c r="H2242" s="370">
        <v>11440.054870605469</v>
      </c>
      <c r="I2242" s="370">
        <v>3229.8976135253906</v>
      </c>
      <c r="M2242" s="371">
        <f t="shared" si="137"/>
        <v>11887.266045492584</v>
      </c>
      <c r="N2242" s="329">
        <f t="shared" si="138"/>
        <v>0</v>
      </c>
      <c r="T2242" s="331">
        <v>0</v>
      </c>
      <c r="U2242" s="328">
        <f>VLOOKUP(C2242,METADATA!$J$5:$Q$29,IF(E2242="HI",2,IF(E2242="LO",6,10))+IF(T2242=1,2,IF(D2242=7,1,(IF(WEEKDAY(B2242)=1,2,IF(WEEKDAY(B2242)=7,1,0))))))</f>
        <v>2</v>
      </c>
      <c r="V2242" s="328">
        <f>VLOOKUP(C2242,METADATA!$A$5:$H$29,IF(E2242="HI",2,IF(E2242="LO",6,10))+IF(T2242=1,2,IF(D2242=7,1,(IF(WEEKDAY(B2242)=1,2,IF(WEEKDAY(B2242)=7,1,0))))))</f>
        <v>2</v>
      </c>
    </row>
    <row r="2243" spans="2:22">
      <c r="B2243" s="318">
        <f t="shared" si="139"/>
        <v>46206</v>
      </c>
      <c r="C2243" s="312">
        <v>7</v>
      </c>
      <c r="D2243" s="368">
        <f>IFERROR((INDEX(METADATA!$T$2:$T$20,MATCH(B2243,METADATA!$S$2:$S$20,0))),0)</f>
        <v>0</v>
      </c>
      <c r="E2243" s="312" t="str">
        <f t="shared" si="136"/>
        <v>LO</v>
      </c>
      <c r="F2243" s="369">
        <f>VLOOKUP(C2243,METADATA!$A$5:$H$29,IF(E2243="HI",2,IF(E2243="LO",6,10))+IF(D2243=1,2,IF(D2243=7,1,(IF(WEEKDAY(B2243)=1,2,IF(WEEKDAY(B2243)=7,1,0))))))</f>
        <v>1</v>
      </c>
      <c r="G2243" s="369">
        <f>VLOOKUP(C2243,METADATA!$J$5:$Q$29,IF(E2243="HI",2,IF(E2243="LO",6,10))+IF(D2243=1,2,IF(D2243=7,1,(IF(WEEKDAY(B2243)=1,2,IF(WEEKDAY(B2243)=7,1,0))))))</f>
        <v>1</v>
      </c>
      <c r="H2243" s="370">
        <v>13357.549682617188</v>
      </c>
      <c r="I2243" s="370">
        <v>4433.614990234375</v>
      </c>
      <c r="M2243" s="371">
        <f t="shared" si="137"/>
        <v>14074.127873698515</v>
      </c>
      <c r="N2243" s="329">
        <f t="shared" si="138"/>
        <v>426.35008544921902</v>
      </c>
      <c r="T2243" s="331">
        <v>0</v>
      </c>
      <c r="U2243" s="328">
        <f>VLOOKUP(C2243,METADATA!$J$5:$Q$29,IF(E2243="HI",2,IF(E2243="LO",6,10))+IF(T2243=1,2,IF(D2243=7,1,(IF(WEEKDAY(B2243)=1,2,IF(WEEKDAY(B2243)=7,1,0))))))</f>
        <v>1</v>
      </c>
      <c r="V2243" s="328">
        <f>VLOOKUP(C2243,METADATA!$A$5:$H$29,IF(E2243="HI",2,IF(E2243="LO",6,10))+IF(T2243=1,2,IF(D2243=7,1,(IF(WEEKDAY(B2243)=1,2,IF(WEEKDAY(B2243)=7,1,0))))))</f>
        <v>1</v>
      </c>
    </row>
    <row r="2244" spans="2:22">
      <c r="B2244" s="318">
        <f t="shared" si="139"/>
        <v>46206</v>
      </c>
      <c r="C2244" s="312">
        <v>8</v>
      </c>
      <c r="D2244" s="368">
        <f>IFERROR((INDEX(METADATA!$T$2:$T$20,MATCH(B2244,METADATA!$S$2:$S$20,0))),0)</f>
        <v>0</v>
      </c>
      <c r="E2244" s="312" t="str">
        <f t="shared" ref="E2244:E2307" si="140">IF(B2244="","",IF(AND(MONTH(B2244)&gt;=MONTH($Z$9),MONTH(B2244)&lt;=MONTH($Z$11)),"HI","LO"))</f>
        <v>LO</v>
      </c>
      <c r="F2244" s="369">
        <f>VLOOKUP(C2244,METADATA!$A$5:$H$29,IF(E2244="HI",2,IF(E2244="LO",6,10))+IF(D2244=1,2,IF(D2244=7,1,(IF(WEEKDAY(B2244)=1,2,IF(WEEKDAY(B2244)=7,1,0))))))</f>
        <v>1</v>
      </c>
      <c r="G2244" s="369">
        <f>VLOOKUP(C2244,METADATA!$J$5:$Q$29,IF(E2244="HI",2,IF(E2244="LO",6,10))+IF(D2244=1,2,IF(D2244=7,1,(IF(WEEKDAY(B2244)=1,2,IF(WEEKDAY(B2244)=7,1,0))))))</f>
        <v>1</v>
      </c>
      <c r="H2244" s="370">
        <v>13408.724975585938</v>
      </c>
      <c r="I2244" s="370">
        <v>4462.1500244140625</v>
      </c>
      <c r="M2244" s="371">
        <f t="shared" ref="M2244:M2307" si="141">SQRT(H2244^2+I2244^2)</f>
        <v>14131.690921870621</v>
      </c>
      <c r="N2244" s="329">
        <f t="shared" ref="N2244:N2307" si="142">IF(H2244=0,0,(IF(I2244-(0.3*H2244)&lt;0,0,(I2244-(0.3*H2244)))))</f>
        <v>439.53253173828125</v>
      </c>
      <c r="T2244" s="331">
        <v>0</v>
      </c>
      <c r="U2244" s="328">
        <f>VLOOKUP(C2244,METADATA!$J$5:$Q$29,IF(E2244="HI",2,IF(E2244="LO",6,10))+IF(T2244=1,2,IF(D2244=7,1,(IF(WEEKDAY(B2244)=1,2,IF(WEEKDAY(B2244)=7,1,0))))))</f>
        <v>1</v>
      </c>
      <c r="V2244" s="328">
        <f>VLOOKUP(C2244,METADATA!$A$5:$H$29,IF(E2244="HI",2,IF(E2244="LO",6,10))+IF(T2244=1,2,IF(D2244=7,1,(IF(WEEKDAY(B2244)=1,2,IF(WEEKDAY(B2244)=7,1,0))))))</f>
        <v>1</v>
      </c>
    </row>
    <row r="2245" spans="2:22">
      <c r="B2245" s="318">
        <f t="shared" si="139"/>
        <v>46206</v>
      </c>
      <c r="C2245" s="312">
        <v>9</v>
      </c>
      <c r="D2245" s="368">
        <f>IFERROR((INDEX(METADATA!$T$2:$T$20,MATCH(B2245,METADATA!$S$2:$S$20,0))),0)</f>
        <v>0</v>
      </c>
      <c r="E2245" s="312" t="str">
        <f t="shared" si="140"/>
        <v>LO</v>
      </c>
      <c r="F2245" s="369">
        <f>VLOOKUP(C2245,METADATA!$A$5:$H$29,IF(E2245="HI",2,IF(E2245="LO",6,10))+IF(D2245=1,2,IF(D2245=7,1,(IF(WEEKDAY(B2245)=1,2,IF(WEEKDAY(B2245)=7,1,0))))))</f>
        <v>2</v>
      </c>
      <c r="G2245" s="369">
        <f>VLOOKUP(C2245,METADATA!$J$5:$Q$29,IF(E2245="HI",2,IF(E2245="LO",6,10))+IF(D2245=1,2,IF(D2245=7,1,(IF(WEEKDAY(B2245)=1,2,IF(WEEKDAY(B2245)=7,1,0))))))</f>
        <v>2</v>
      </c>
      <c r="H2245" s="370">
        <v>13375.099853515625</v>
      </c>
      <c r="I2245" s="370">
        <v>4381.9349975585938</v>
      </c>
      <c r="M2245" s="371">
        <f t="shared" si="141"/>
        <v>14074.610133653527</v>
      </c>
      <c r="N2245" s="329">
        <f t="shared" si="142"/>
        <v>369.40504150390643</v>
      </c>
      <c r="T2245" s="331">
        <v>0</v>
      </c>
      <c r="U2245" s="328">
        <f>VLOOKUP(C2245,METADATA!$J$5:$Q$29,IF(E2245="HI",2,IF(E2245="LO",6,10))+IF(T2245=1,2,IF(D2245=7,1,(IF(WEEKDAY(B2245)=1,2,IF(WEEKDAY(B2245)=7,1,0))))))</f>
        <v>2</v>
      </c>
      <c r="V2245" s="328">
        <f>VLOOKUP(C2245,METADATA!$A$5:$H$29,IF(E2245="HI",2,IF(E2245="LO",6,10))+IF(T2245=1,2,IF(D2245=7,1,(IF(WEEKDAY(B2245)=1,2,IF(WEEKDAY(B2245)=7,1,0))))))</f>
        <v>2</v>
      </c>
    </row>
    <row r="2246" spans="2:22">
      <c r="B2246" s="318">
        <f t="shared" si="139"/>
        <v>46206</v>
      </c>
      <c r="C2246" s="312">
        <v>10</v>
      </c>
      <c r="D2246" s="368">
        <f>IFERROR((INDEX(METADATA!$T$2:$T$20,MATCH(B2246,METADATA!$S$2:$S$20,0))),0)</f>
        <v>0</v>
      </c>
      <c r="E2246" s="312" t="str">
        <f t="shared" si="140"/>
        <v>LO</v>
      </c>
      <c r="F2246" s="369">
        <f>VLOOKUP(C2246,METADATA!$A$5:$H$29,IF(E2246="HI",2,IF(E2246="LO",6,10))+IF(D2246=1,2,IF(D2246=7,1,(IF(WEEKDAY(B2246)=1,2,IF(WEEKDAY(B2246)=7,1,0))))))</f>
        <v>2</v>
      </c>
      <c r="G2246" s="369">
        <f>VLOOKUP(C2246,METADATA!$J$5:$Q$29,IF(E2246="HI",2,IF(E2246="LO",6,10))+IF(D2246=1,2,IF(D2246=7,1,(IF(WEEKDAY(B2246)=1,2,IF(WEEKDAY(B2246)=7,1,0))))))</f>
        <v>2</v>
      </c>
      <c r="H2246" s="370">
        <v>13470.075073242188</v>
      </c>
      <c r="I2246" s="370">
        <v>4385.3250732421875</v>
      </c>
      <c r="M2246" s="371">
        <f t="shared" si="141"/>
        <v>14165.945025898805</v>
      </c>
      <c r="N2246" s="329">
        <f t="shared" si="142"/>
        <v>344.30255126953125</v>
      </c>
      <c r="T2246" s="331">
        <v>0</v>
      </c>
      <c r="U2246" s="328">
        <f>VLOOKUP(C2246,METADATA!$J$5:$Q$29,IF(E2246="HI",2,IF(E2246="LO",6,10))+IF(T2246=1,2,IF(D2246=7,1,(IF(WEEKDAY(B2246)=1,2,IF(WEEKDAY(B2246)=7,1,0))))))</f>
        <v>2</v>
      </c>
      <c r="V2246" s="328">
        <f>VLOOKUP(C2246,METADATA!$A$5:$H$29,IF(E2246="HI",2,IF(E2246="LO",6,10))+IF(T2246=1,2,IF(D2246=7,1,(IF(WEEKDAY(B2246)=1,2,IF(WEEKDAY(B2246)=7,1,0))))))</f>
        <v>2</v>
      </c>
    </row>
    <row r="2247" spans="2:22">
      <c r="B2247" s="318">
        <f t="shared" si="139"/>
        <v>46206</v>
      </c>
      <c r="C2247" s="312">
        <v>11</v>
      </c>
      <c r="D2247" s="368">
        <f>IFERROR((INDEX(METADATA!$T$2:$T$20,MATCH(B2247,METADATA!$S$2:$S$20,0))),0)</f>
        <v>0</v>
      </c>
      <c r="E2247" s="312" t="str">
        <f t="shared" si="140"/>
        <v>LO</v>
      </c>
      <c r="F2247" s="369">
        <f>VLOOKUP(C2247,METADATA!$A$5:$H$29,IF(E2247="HI",2,IF(E2247="LO",6,10))+IF(D2247=1,2,IF(D2247=7,1,(IF(WEEKDAY(B2247)=1,2,IF(WEEKDAY(B2247)=7,1,0))))))</f>
        <v>2</v>
      </c>
      <c r="G2247" s="369">
        <f>VLOOKUP(C2247,METADATA!$J$5:$Q$29,IF(E2247="HI",2,IF(E2247="LO",6,10))+IF(D2247=1,2,IF(D2247=7,1,(IF(WEEKDAY(B2247)=1,2,IF(WEEKDAY(B2247)=7,1,0))))))</f>
        <v>2</v>
      </c>
      <c r="H2247" s="370">
        <v>13475.849670410156</v>
      </c>
      <c r="I2247" s="370">
        <v>4415.8148803710938</v>
      </c>
      <c r="M2247" s="371">
        <f t="shared" si="141"/>
        <v>14180.900725877756</v>
      </c>
      <c r="N2247" s="329">
        <f t="shared" si="142"/>
        <v>373.05997924804706</v>
      </c>
      <c r="T2247" s="331">
        <v>0</v>
      </c>
      <c r="U2247" s="328">
        <f>VLOOKUP(C2247,METADATA!$J$5:$Q$29,IF(E2247="HI",2,IF(E2247="LO",6,10))+IF(T2247=1,2,IF(D2247=7,1,(IF(WEEKDAY(B2247)=1,2,IF(WEEKDAY(B2247)=7,1,0))))))</f>
        <v>2</v>
      </c>
      <c r="V2247" s="328">
        <f>VLOOKUP(C2247,METADATA!$A$5:$H$29,IF(E2247="HI",2,IF(E2247="LO",6,10))+IF(T2247=1,2,IF(D2247=7,1,(IF(WEEKDAY(B2247)=1,2,IF(WEEKDAY(B2247)=7,1,0))))))</f>
        <v>2</v>
      </c>
    </row>
    <row r="2248" spans="2:22">
      <c r="B2248" s="318">
        <f t="shared" si="139"/>
        <v>46206</v>
      </c>
      <c r="C2248" s="312">
        <v>12</v>
      </c>
      <c r="D2248" s="368">
        <f>IFERROR((INDEX(METADATA!$T$2:$T$20,MATCH(B2248,METADATA!$S$2:$S$20,0))),0)</f>
        <v>0</v>
      </c>
      <c r="E2248" s="312" t="str">
        <f t="shared" si="140"/>
        <v>LO</v>
      </c>
      <c r="F2248" s="369">
        <f>VLOOKUP(C2248,METADATA!$A$5:$H$29,IF(E2248="HI",2,IF(E2248="LO",6,10))+IF(D2248=1,2,IF(D2248=7,1,(IF(WEEKDAY(B2248)=1,2,IF(WEEKDAY(B2248)=7,1,0))))))</f>
        <v>2</v>
      </c>
      <c r="G2248" s="369">
        <f>VLOOKUP(C2248,METADATA!$J$5:$Q$29,IF(E2248="HI",2,IF(E2248="LO",6,10))+IF(D2248=1,2,IF(D2248=7,1,(IF(WEEKDAY(B2248)=1,2,IF(WEEKDAY(B2248)=7,1,0))))))</f>
        <v>2</v>
      </c>
      <c r="H2248" s="370">
        <v>13461.5751953125</v>
      </c>
      <c r="I2248" s="370">
        <v>4442.9399108886719</v>
      </c>
      <c r="M2248" s="371">
        <f t="shared" si="141"/>
        <v>14175.814678205277</v>
      </c>
      <c r="N2248" s="329">
        <f t="shared" si="142"/>
        <v>404.46735229492197</v>
      </c>
      <c r="T2248" s="331">
        <v>0</v>
      </c>
      <c r="U2248" s="328">
        <f>VLOOKUP(C2248,METADATA!$J$5:$Q$29,IF(E2248="HI",2,IF(E2248="LO",6,10))+IF(T2248=1,2,IF(D2248=7,1,(IF(WEEKDAY(B2248)=1,2,IF(WEEKDAY(B2248)=7,1,0))))))</f>
        <v>2</v>
      </c>
      <c r="V2248" s="328">
        <f>VLOOKUP(C2248,METADATA!$A$5:$H$29,IF(E2248="HI",2,IF(E2248="LO",6,10))+IF(T2248=1,2,IF(D2248=7,1,(IF(WEEKDAY(B2248)=1,2,IF(WEEKDAY(B2248)=7,1,0))))))</f>
        <v>2</v>
      </c>
    </row>
    <row r="2249" spans="2:22">
      <c r="B2249" s="318">
        <f t="shared" si="139"/>
        <v>46206</v>
      </c>
      <c r="C2249" s="312">
        <v>13</v>
      </c>
      <c r="D2249" s="368">
        <f>IFERROR((INDEX(METADATA!$T$2:$T$20,MATCH(B2249,METADATA!$S$2:$S$20,0))),0)</f>
        <v>0</v>
      </c>
      <c r="E2249" s="312" t="str">
        <f t="shared" si="140"/>
        <v>LO</v>
      </c>
      <c r="F2249" s="369">
        <f>VLOOKUP(C2249,METADATA!$A$5:$H$29,IF(E2249="HI",2,IF(E2249="LO",6,10))+IF(D2249=1,2,IF(D2249=7,1,(IF(WEEKDAY(B2249)=1,2,IF(WEEKDAY(B2249)=7,1,0))))))</f>
        <v>2</v>
      </c>
      <c r="G2249" s="369">
        <f>VLOOKUP(C2249,METADATA!$J$5:$Q$29,IF(E2249="HI",2,IF(E2249="LO",6,10))+IF(D2249=1,2,IF(D2249=7,1,(IF(WEEKDAY(B2249)=1,2,IF(WEEKDAY(B2249)=7,1,0))))))</f>
        <v>2</v>
      </c>
      <c r="H2249" s="370">
        <v>13447.900024414063</v>
      </c>
      <c r="I2249" s="370">
        <v>4541.0300598144531</v>
      </c>
      <c r="M2249" s="371">
        <f t="shared" si="141"/>
        <v>14193.906054035098</v>
      </c>
      <c r="N2249" s="329">
        <f t="shared" si="142"/>
        <v>506.66005249023465</v>
      </c>
      <c r="T2249" s="331">
        <v>0</v>
      </c>
      <c r="U2249" s="328">
        <f>VLOOKUP(C2249,METADATA!$J$5:$Q$29,IF(E2249="HI",2,IF(E2249="LO",6,10))+IF(T2249=1,2,IF(D2249=7,1,(IF(WEEKDAY(B2249)=1,2,IF(WEEKDAY(B2249)=7,1,0))))))</f>
        <v>2</v>
      </c>
      <c r="V2249" s="328">
        <f>VLOOKUP(C2249,METADATA!$A$5:$H$29,IF(E2249="HI",2,IF(E2249="LO",6,10))+IF(T2249=1,2,IF(D2249=7,1,(IF(WEEKDAY(B2249)=1,2,IF(WEEKDAY(B2249)=7,1,0))))))</f>
        <v>2</v>
      </c>
    </row>
    <row r="2250" spans="2:22">
      <c r="B2250" s="318">
        <f t="shared" si="139"/>
        <v>46206</v>
      </c>
      <c r="C2250" s="312">
        <v>14</v>
      </c>
      <c r="D2250" s="368">
        <f>IFERROR((INDEX(METADATA!$T$2:$T$20,MATCH(B2250,METADATA!$S$2:$S$20,0))),0)</f>
        <v>0</v>
      </c>
      <c r="E2250" s="312" t="str">
        <f t="shared" si="140"/>
        <v>LO</v>
      </c>
      <c r="F2250" s="369">
        <f>VLOOKUP(C2250,METADATA!$A$5:$H$29,IF(E2250="HI",2,IF(E2250="LO",6,10))+IF(D2250=1,2,IF(D2250=7,1,(IF(WEEKDAY(B2250)=1,2,IF(WEEKDAY(B2250)=7,1,0))))))</f>
        <v>2</v>
      </c>
      <c r="G2250" s="369">
        <f>VLOOKUP(C2250,METADATA!$J$5:$Q$29,IF(E2250="HI",2,IF(E2250="LO",6,10))+IF(D2250=1,2,IF(D2250=7,1,(IF(WEEKDAY(B2250)=1,2,IF(WEEKDAY(B2250)=7,1,0))))))</f>
        <v>2</v>
      </c>
      <c r="H2250" s="370">
        <v>13639.500122070313</v>
      </c>
      <c r="I2250" s="370">
        <v>4660.4199829101563</v>
      </c>
      <c r="M2250" s="371">
        <f t="shared" si="141"/>
        <v>14413.725333759638</v>
      </c>
      <c r="N2250" s="329">
        <f t="shared" si="142"/>
        <v>568.5699462890625</v>
      </c>
      <c r="T2250" s="331">
        <v>0</v>
      </c>
      <c r="U2250" s="328">
        <f>VLOOKUP(C2250,METADATA!$J$5:$Q$29,IF(E2250="HI",2,IF(E2250="LO",6,10))+IF(T2250=1,2,IF(D2250=7,1,(IF(WEEKDAY(B2250)=1,2,IF(WEEKDAY(B2250)=7,1,0))))))</f>
        <v>2</v>
      </c>
      <c r="V2250" s="328">
        <f>VLOOKUP(C2250,METADATA!$A$5:$H$29,IF(E2250="HI",2,IF(E2250="LO",6,10))+IF(T2250=1,2,IF(D2250=7,1,(IF(WEEKDAY(B2250)=1,2,IF(WEEKDAY(B2250)=7,1,0))))))</f>
        <v>2</v>
      </c>
    </row>
    <row r="2251" spans="2:22">
      <c r="B2251" s="318">
        <f t="shared" si="139"/>
        <v>46206</v>
      </c>
      <c r="C2251" s="312">
        <v>15</v>
      </c>
      <c r="D2251" s="368">
        <f>IFERROR((INDEX(METADATA!$T$2:$T$20,MATCH(B2251,METADATA!$S$2:$S$20,0))),0)</f>
        <v>0</v>
      </c>
      <c r="E2251" s="312" t="str">
        <f t="shared" si="140"/>
        <v>LO</v>
      </c>
      <c r="F2251" s="369">
        <f>VLOOKUP(C2251,METADATA!$A$5:$H$29,IF(E2251="HI",2,IF(E2251="LO",6,10))+IF(D2251=1,2,IF(D2251=7,1,(IF(WEEKDAY(B2251)=1,2,IF(WEEKDAY(B2251)=7,1,0))))))</f>
        <v>2</v>
      </c>
      <c r="G2251" s="369">
        <f>VLOOKUP(C2251,METADATA!$J$5:$Q$29,IF(E2251="HI",2,IF(E2251="LO",6,10))+IF(D2251=1,2,IF(D2251=7,1,(IF(WEEKDAY(B2251)=1,2,IF(WEEKDAY(B2251)=7,1,0))))))</f>
        <v>2</v>
      </c>
      <c r="H2251" s="370">
        <v>13569.474975585938</v>
      </c>
      <c r="I2251" s="370">
        <v>4818.0149841308594</v>
      </c>
      <c r="M2251" s="371">
        <f t="shared" si="141"/>
        <v>14399.441638492877</v>
      </c>
      <c r="N2251" s="329">
        <f t="shared" si="142"/>
        <v>747.17249145507822</v>
      </c>
      <c r="T2251" s="331">
        <v>0</v>
      </c>
      <c r="U2251" s="328">
        <f>VLOOKUP(C2251,METADATA!$J$5:$Q$29,IF(E2251="HI",2,IF(E2251="LO",6,10))+IF(T2251=1,2,IF(D2251=7,1,(IF(WEEKDAY(B2251)=1,2,IF(WEEKDAY(B2251)=7,1,0))))))</f>
        <v>2</v>
      </c>
      <c r="V2251" s="328">
        <f>VLOOKUP(C2251,METADATA!$A$5:$H$29,IF(E2251="HI",2,IF(E2251="LO",6,10))+IF(T2251=1,2,IF(D2251=7,1,(IF(WEEKDAY(B2251)=1,2,IF(WEEKDAY(B2251)=7,1,0))))))</f>
        <v>2</v>
      </c>
    </row>
    <row r="2252" spans="2:22">
      <c r="B2252" s="318">
        <f t="shared" si="139"/>
        <v>46206</v>
      </c>
      <c r="C2252" s="312">
        <v>16</v>
      </c>
      <c r="D2252" s="368">
        <f>IFERROR((INDEX(METADATA!$T$2:$T$20,MATCH(B2252,METADATA!$S$2:$S$20,0))),0)</f>
        <v>0</v>
      </c>
      <c r="E2252" s="312" t="str">
        <f t="shared" si="140"/>
        <v>LO</v>
      </c>
      <c r="F2252" s="369">
        <f>VLOOKUP(C2252,METADATA!$A$5:$H$29,IF(E2252="HI",2,IF(E2252="LO",6,10))+IF(D2252=1,2,IF(D2252=7,1,(IF(WEEKDAY(B2252)=1,2,IF(WEEKDAY(B2252)=7,1,0))))))</f>
        <v>2</v>
      </c>
      <c r="G2252" s="369">
        <f>VLOOKUP(C2252,METADATA!$J$5:$Q$29,IF(E2252="HI",2,IF(E2252="LO",6,10))+IF(D2252=1,2,IF(D2252=7,1,(IF(WEEKDAY(B2252)=1,2,IF(WEEKDAY(B2252)=7,1,0))))))</f>
        <v>2</v>
      </c>
      <c r="H2252" s="370">
        <v>13503.349975585938</v>
      </c>
      <c r="I2252" s="370">
        <v>4682.6999816894531</v>
      </c>
      <c r="M2252" s="371">
        <f t="shared" si="141"/>
        <v>14292.240540995354</v>
      </c>
      <c r="N2252" s="329">
        <f t="shared" si="142"/>
        <v>631.69498901367206</v>
      </c>
      <c r="T2252" s="331">
        <v>0</v>
      </c>
      <c r="U2252" s="328">
        <f>VLOOKUP(C2252,METADATA!$J$5:$Q$29,IF(E2252="HI",2,IF(E2252="LO",6,10))+IF(T2252=1,2,IF(D2252=7,1,(IF(WEEKDAY(B2252)=1,2,IF(WEEKDAY(B2252)=7,1,0))))))</f>
        <v>2</v>
      </c>
      <c r="V2252" s="328">
        <f>VLOOKUP(C2252,METADATA!$A$5:$H$29,IF(E2252="HI",2,IF(E2252="LO",6,10))+IF(T2252=1,2,IF(D2252=7,1,(IF(WEEKDAY(B2252)=1,2,IF(WEEKDAY(B2252)=7,1,0))))))</f>
        <v>2</v>
      </c>
    </row>
    <row r="2253" spans="2:22">
      <c r="B2253" s="318">
        <f t="shared" si="139"/>
        <v>46206</v>
      </c>
      <c r="C2253" s="312">
        <v>17</v>
      </c>
      <c r="D2253" s="368">
        <f>IFERROR((INDEX(METADATA!$T$2:$T$20,MATCH(B2253,METADATA!$S$2:$S$20,0))),0)</f>
        <v>0</v>
      </c>
      <c r="E2253" s="312" t="str">
        <f t="shared" si="140"/>
        <v>LO</v>
      </c>
      <c r="F2253" s="369">
        <f>VLOOKUP(C2253,METADATA!$A$5:$H$29,IF(E2253="HI",2,IF(E2253="LO",6,10))+IF(D2253=1,2,IF(D2253=7,1,(IF(WEEKDAY(B2253)=1,2,IF(WEEKDAY(B2253)=7,1,0))))))</f>
        <v>2</v>
      </c>
      <c r="G2253" s="369">
        <f>VLOOKUP(C2253,METADATA!$J$5:$Q$29,IF(E2253="HI",2,IF(E2253="LO",6,10))+IF(D2253=1,2,IF(D2253=7,1,(IF(WEEKDAY(B2253)=1,2,IF(WEEKDAY(B2253)=7,1,0))))))</f>
        <v>2</v>
      </c>
      <c r="H2253" s="370">
        <v>13556.89990234375</v>
      </c>
      <c r="I2253" s="370">
        <v>4506.4550476074219</v>
      </c>
      <c r="M2253" s="371">
        <f t="shared" si="141"/>
        <v>14286.275653867049</v>
      </c>
      <c r="N2253" s="329">
        <f t="shared" si="142"/>
        <v>439.38507690429697</v>
      </c>
      <c r="T2253" s="331">
        <v>0</v>
      </c>
      <c r="U2253" s="328">
        <f>VLOOKUP(C2253,METADATA!$J$5:$Q$29,IF(E2253="HI",2,IF(E2253="LO",6,10))+IF(T2253=1,2,IF(D2253=7,1,(IF(WEEKDAY(B2253)=1,2,IF(WEEKDAY(B2253)=7,1,0))))))</f>
        <v>2</v>
      </c>
      <c r="V2253" s="328">
        <f>VLOOKUP(C2253,METADATA!$A$5:$H$29,IF(E2253="HI",2,IF(E2253="LO",6,10))+IF(T2253=1,2,IF(D2253=7,1,(IF(WEEKDAY(B2253)=1,2,IF(WEEKDAY(B2253)=7,1,0))))))</f>
        <v>2</v>
      </c>
    </row>
    <row r="2254" spans="2:22">
      <c r="B2254" s="318">
        <f t="shared" si="139"/>
        <v>46206</v>
      </c>
      <c r="C2254" s="312">
        <v>18</v>
      </c>
      <c r="D2254" s="368">
        <f>IFERROR((INDEX(METADATA!$T$2:$T$20,MATCH(B2254,METADATA!$S$2:$S$20,0))),0)</f>
        <v>0</v>
      </c>
      <c r="E2254" s="312" t="str">
        <f t="shared" si="140"/>
        <v>LO</v>
      </c>
      <c r="F2254" s="369">
        <f>VLOOKUP(C2254,METADATA!$A$5:$H$29,IF(E2254="HI",2,IF(E2254="LO",6,10))+IF(D2254=1,2,IF(D2254=7,1,(IF(WEEKDAY(B2254)=1,2,IF(WEEKDAY(B2254)=7,1,0))))))</f>
        <v>1</v>
      </c>
      <c r="G2254" s="369">
        <f>VLOOKUP(C2254,METADATA!$J$5:$Q$29,IF(E2254="HI",2,IF(E2254="LO",6,10))+IF(D2254=1,2,IF(D2254=7,1,(IF(WEEKDAY(B2254)=1,2,IF(WEEKDAY(B2254)=7,1,0))))))</f>
        <v>1</v>
      </c>
      <c r="H2254" s="370">
        <v>13453.000122070313</v>
      </c>
      <c r="I2254" s="370">
        <v>4287.1400756835938</v>
      </c>
      <c r="M2254" s="371">
        <f t="shared" si="141"/>
        <v>14119.58860282254</v>
      </c>
      <c r="N2254" s="329">
        <f t="shared" si="142"/>
        <v>251.24003906250027</v>
      </c>
      <c r="T2254" s="331">
        <v>0</v>
      </c>
      <c r="U2254" s="328">
        <f>VLOOKUP(C2254,METADATA!$J$5:$Q$29,IF(E2254="HI",2,IF(E2254="LO",6,10))+IF(T2254=1,2,IF(D2254=7,1,(IF(WEEKDAY(B2254)=1,2,IF(WEEKDAY(B2254)=7,1,0))))))</f>
        <v>1</v>
      </c>
      <c r="V2254" s="328">
        <f>VLOOKUP(C2254,METADATA!$A$5:$H$29,IF(E2254="HI",2,IF(E2254="LO",6,10))+IF(T2254=1,2,IF(D2254=7,1,(IF(WEEKDAY(B2254)=1,2,IF(WEEKDAY(B2254)=7,1,0))))))</f>
        <v>1</v>
      </c>
    </row>
    <row r="2255" spans="2:22">
      <c r="B2255" s="318">
        <f t="shared" si="139"/>
        <v>46206</v>
      </c>
      <c r="C2255" s="312">
        <v>19</v>
      </c>
      <c r="D2255" s="368">
        <f>IFERROR((INDEX(METADATA!$T$2:$T$20,MATCH(B2255,METADATA!$S$2:$S$20,0))),0)</f>
        <v>0</v>
      </c>
      <c r="E2255" s="312" t="str">
        <f t="shared" si="140"/>
        <v>LO</v>
      </c>
      <c r="F2255" s="369">
        <f>VLOOKUP(C2255,METADATA!$A$5:$H$29,IF(E2255="HI",2,IF(E2255="LO",6,10))+IF(D2255=1,2,IF(D2255=7,1,(IF(WEEKDAY(B2255)=1,2,IF(WEEKDAY(B2255)=7,1,0))))))</f>
        <v>1</v>
      </c>
      <c r="G2255" s="369">
        <f>VLOOKUP(C2255,METADATA!$J$5:$Q$29,IF(E2255="HI",2,IF(E2255="LO",6,10))+IF(D2255=1,2,IF(D2255=7,1,(IF(WEEKDAY(B2255)=1,2,IF(WEEKDAY(B2255)=7,1,0))))))</f>
        <v>1</v>
      </c>
      <c r="H2255" s="370">
        <v>13555.4248046875</v>
      </c>
      <c r="I2255" s="370">
        <v>4430.7000427246094</v>
      </c>
      <c r="M2255" s="371">
        <f t="shared" si="141"/>
        <v>14261.158596135765</v>
      </c>
      <c r="N2255" s="329">
        <f t="shared" si="142"/>
        <v>364.07260131835938</v>
      </c>
      <c r="T2255" s="331">
        <v>0</v>
      </c>
      <c r="U2255" s="328">
        <f>VLOOKUP(C2255,METADATA!$J$5:$Q$29,IF(E2255="HI",2,IF(E2255="LO",6,10))+IF(T2255=1,2,IF(D2255=7,1,(IF(WEEKDAY(B2255)=1,2,IF(WEEKDAY(B2255)=7,1,0))))))</f>
        <v>1</v>
      </c>
      <c r="V2255" s="328">
        <f>VLOOKUP(C2255,METADATA!$A$5:$H$29,IF(E2255="HI",2,IF(E2255="LO",6,10))+IF(T2255=1,2,IF(D2255=7,1,(IF(WEEKDAY(B2255)=1,2,IF(WEEKDAY(B2255)=7,1,0))))))</f>
        <v>1</v>
      </c>
    </row>
    <row r="2256" spans="2:22">
      <c r="B2256" s="318">
        <f t="shared" si="139"/>
        <v>46206</v>
      </c>
      <c r="C2256" s="312">
        <v>20</v>
      </c>
      <c r="D2256" s="368">
        <f>IFERROR((INDEX(METADATA!$T$2:$T$20,MATCH(B2256,METADATA!$S$2:$S$20,0))),0)</f>
        <v>0</v>
      </c>
      <c r="E2256" s="312" t="str">
        <f t="shared" si="140"/>
        <v>LO</v>
      </c>
      <c r="F2256" s="369">
        <f>VLOOKUP(C2256,METADATA!$A$5:$H$29,IF(E2256="HI",2,IF(E2256="LO",6,10))+IF(D2256=1,2,IF(D2256=7,1,(IF(WEEKDAY(B2256)=1,2,IF(WEEKDAY(B2256)=7,1,0))))))</f>
        <v>1</v>
      </c>
      <c r="G2256" s="369">
        <f>VLOOKUP(C2256,METADATA!$J$5:$Q$29,IF(E2256="HI",2,IF(E2256="LO",6,10))+IF(D2256=1,2,IF(D2256=7,1,(IF(WEEKDAY(B2256)=1,2,IF(WEEKDAY(B2256)=7,1,0))))))</f>
        <v>1</v>
      </c>
      <c r="H2256" s="370">
        <v>13517.599792480469</v>
      </c>
      <c r="I2256" s="370">
        <v>4455.385009765625</v>
      </c>
      <c r="M2256" s="371">
        <f t="shared" si="141"/>
        <v>14232.918173547976</v>
      </c>
      <c r="N2256" s="329">
        <f t="shared" si="142"/>
        <v>400.10507202148438</v>
      </c>
      <c r="T2256" s="331">
        <v>0</v>
      </c>
      <c r="U2256" s="328">
        <f>VLOOKUP(C2256,METADATA!$J$5:$Q$29,IF(E2256="HI",2,IF(E2256="LO",6,10))+IF(T2256=1,2,IF(D2256=7,1,(IF(WEEKDAY(B2256)=1,2,IF(WEEKDAY(B2256)=7,1,0))))))</f>
        <v>1</v>
      </c>
      <c r="V2256" s="328">
        <f>VLOOKUP(C2256,METADATA!$A$5:$H$29,IF(E2256="HI",2,IF(E2256="LO",6,10))+IF(T2256=1,2,IF(D2256=7,1,(IF(WEEKDAY(B2256)=1,2,IF(WEEKDAY(B2256)=7,1,0))))))</f>
        <v>1</v>
      </c>
    </row>
    <row r="2257" spans="2:22">
      <c r="B2257" s="318">
        <f t="shared" si="139"/>
        <v>46206</v>
      </c>
      <c r="C2257" s="312">
        <v>21</v>
      </c>
      <c r="D2257" s="368">
        <f>IFERROR((INDEX(METADATA!$T$2:$T$20,MATCH(B2257,METADATA!$S$2:$S$20,0))),0)</f>
        <v>0</v>
      </c>
      <c r="E2257" s="312" t="str">
        <f t="shared" si="140"/>
        <v>LO</v>
      </c>
      <c r="F2257" s="369">
        <f>VLOOKUP(C2257,METADATA!$A$5:$H$29,IF(E2257="HI",2,IF(E2257="LO",6,10))+IF(D2257=1,2,IF(D2257=7,1,(IF(WEEKDAY(B2257)=1,2,IF(WEEKDAY(B2257)=7,1,0))))))</f>
        <v>2</v>
      </c>
      <c r="G2257" s="369">
        <f>VLOOKUP(C2257,METADATA!$J$5:$Q$29,IF(E2257="HI",2,IF(E2257="LO",6,10))+IF(D2257=1,2,IF(D2257=7,1,(IF(WEEKDAY(B2257)=1,2,IF(WEEKDAY(B2257)=7,1,0))))))</f>
        <v>2</v>
      </c>
      <c r="H2257" s="370">
        <v>13569.450073242188</v>
      </c>
      <c r="I2257" s="370">
        <v>4566.2200012207031</v>
      </c>
      <c r="M2257" s="371">
        <f t="shared" si="141"/>
        <v>14317.134503445875</v>
      </c>
      <c r="N2257" s="329">
        <f t="shared" si="142"/>
        <v>495.38497924804688</v>
      </c>
      <c r="T2257" s="331">
        <v>0</v>
      </c>
      <c r="U2257" s="328">
        <f>VLOOKUP(C2257,METADATA!$J$5:$Q$29,IF(E2257="HI",2,IF(E2257="LO",6,10))+IF(T2257=1,2,IF(D2257=7,1,(IF(WEEKDAY(B2257)=1,2,IF(WEEKDAY(B2257)=7,1,0))))))</f>
        <v>2</v>
      </c>
      <c r="V2257" s="328">
        <f>VLOOKUP(C2257,METADATA!$A$5:$H$29,IF(E2257="HI",2,IF(E2257="LO",6,10))+IF(T2257=1,2,IF(D2257=7,1,(IF(WEEKDAY(B2257)=1,2,IF(WEEKDAY(B2257)=7,1,0))))))</f>
        <v>2</v>
      </c>
    </row>
    <row r="2258" spans="2:22">
      <c r="B2258" s="318">
        <f t="shared" si="139"/>
        <v>46206</v>
      </c>
      <c r="C2258" s="312">
        <v>22</v>
      </c>
      <c r="D2258" s="368">
        <f>IFERROR((INDEX(METADATA!$T$2:$T$20,MATCH(B2258,METADATA!$S$2:$S$20,0))),0)</f>
        <v>0</v>
      </c>
      <c r="E2258" s="312" t="str">
        <f t="shared" si="140"/>
        <v>LO</v>
      </c>
      <c r="F2258" s="369">
        <f>VLOOKUP(C2258,METADATA!$A$5:$H$29,IF(E2258="HI",2,IF(E2258="LO",6,10))+IF(D2258=1,2,IF(D2258=7,1,(IF(WEEKDAY(B2258)=1,2,IF(WEEKDAY(B2258)=7,1,0))))))</f>
        <v>3</v>
      </c>
      <c r="G2258" s="369">
        <f>VLOOKUP(C2258,METADATA!$J$5:$Q$29,IF(E2258="HI",2,IF(E2258="LO",6,10))+IF(D2258=1,2,IF(D2258=7,1,(IF(WEEKDAY(B2258)=1,2,IF(WEEKDAY(B2258)=7,1,0))))))</f>
        <v>3</v>
      </c>
      <c r="H2258" s="370">
        <v>13617.450134277344</v>
      </c>
      <c r="I2258" s="370">
        <v>4653.2849731445313</v>
      </c>
      <c r="M2258" s="371">
        <f t="shared" si="141"/>
        <v>14390.552776068846</v>
      </c>
      <c r="N2258" s="329">
        <f t="shared" si="142"/>
        <v>568.04993286132822</v>
      </c>
      <c r="T2258" s="331">
        <v>0</v>
      </c>
      <c r="U2258" s="328">
        <f>VLOOKUP(C2258,METADATA!$J$5:$Q$29,IF(E2258="HI",2,IF(E2258="LO",6,10))+IF(T2258=1,2,IF(D2258=7,1,(IF(WEEKDAY(B2258)=1,2,IF(WEEKDAY(B2258)=7,1,0))))))</f>
        <v>3</v>
      </c>
      <c r="V2258" s="328">
        <f>VLOOKUP(C2258,METADATA!$A$5:$H$29,IF(E2258="HI",2,IF(E2258="LO",6,10))+IF(T2258=1,2,IF(D2258=7,1,(IF(WEEKDAY(B2258)=1,2,IF(WEEKDAY(B2258)=7,1,0))))))</f>
        <v>3</v>
      </c>
    </row>
    <row r="2259" spans="2:22">
      <c r="B2259" s="318">
        <f t="shared" si="139"/>
        <v>46206</v>
      </c>
      <c r="C2259" s="312">
        <v>23</v>
      </c>
      <c r="D2259" s="368">
        <f>IFERROR((INDEX(METADATA!$T$2:$T$20,MATCH(B2259,METADATA!$S$2:$S$20,0))),0)</f>
        <v>0</v>
      </c>
      <c r="E2259" s="312" t="str">
        <f t="shared" si="140"/>
        <v>LO</v>
      </c>
      <c r="F2259" s="369">
        <f>VLOOKUP(C2259,METADATA!$A$5:$H$29,IF(E2259="HI",2,IF(E2259="LO",6,10))+IF(D2259=1,2,IF(D2259=7,1,(IF(WEEKDAY(B2259)=1,2,IF(WEEKDAY(B2259)=7,1,0))))))</f>
        <v>3</v>
      </c>
      <c r="G2259" s="369">
        <f>VLOOKUP(C2259,METADATA!$J$5:$Q$29,IF(E2259="HI",2,IF(E2259="LO",6,10))+IF(D2259=1,2,IF(D2259=7,1,(IF(WEEKDAY(B2259)=1,2,IF(WEEKDAY(B2259)=7,1,0))))))</f>
        <v>3</v>
      </c>
      <c r="H2259" s="370">
        <v>13577.600280761719</v>
      </c>
      <c r="I2259" s="370">
        <v>4693.8398742675781</v>
      </c>
      <c r="M2259" s="371">
        <f t="shared" si="141"/>
        <v>14366.048940101971</v>
      </c>
      <c r="N2259" s="329">
        <f t="shared" si="142"/>
        <v>620.55979003906259</v>
      </c>
      <c r="T2259" s="331">
        <v>0</v>
      </c>
      <c r="U2259" s="328">
        <f>VLOOKUP(C2259,METADATA!$J$5:$Q$29,IF(E2259="HI",2,IF(E2259="LO",6,10))+IF(T2259=1,2,IF(D2259=7,1,(IF(WEEKDAY(B2259)=1,2,IF(WEEKDAY(B2259)=7,1,0))))))</f>
        <v>3</v>
      </c>
      <c r="V2259" s="328">
        <f>VLOOKUP(C2259,METADATA!$A$5:$H$29,IF(E2259="HI",2,IF(E2259="LO",6,10))+IF(T2259=1,2,IF(D2259=7,1,(IF(WEEKDAY(B2259)=1,2,IF(WEEKDAY(B2259)=7,1,0))))))</f>
        <v>3</v>
      </c>
    </row>
    <row r="2260" spans="2:22">
      <c r="B2260" s="318">
        <f t="shared" si="139"/>
        <v>46207</v>
      </c>
      <c r="C2260" s="312">
        <v>0</v>
      </c>
      <c r="D2260" s="368">
        <f>IFERROR((INDEX(METADATA!$T$2:$T$20,MATCH(B2260,METADATA!$S$2:$S$20,0))),0)</f>
        <v>0</v>
      </c>
      <c r="E2260" s="312" t="str">
        <f t="shared" si="140"/>
        <v>LO</v>
      </c>
      <c r="F2260" s="369">
        <f>VLOOKUP(C2260,METADATA!$A$5:$H$29,IF(E2260="HI",2,IF(E2260="LO",6,10))+IF(D2260=1,2,IF(D2260=7,1,(IF(WEEKDAY(B2260)=1,2,IF(WEEKDAY(B2260)=7,1,0))))))</f>
        <v>3</v>
      </c>
      <c r="G2260" s="369">
        <f>VLOOKUP(C2260,METADATA!$J$5:$Q$29,IF(E2260="HI",2,IF(E2260="LO",6,10))+IF(D2260=1,2,IF(D2260=7,1,(IF(WEEKDAY(B2260)=1,2,IF(WEEKDAY(B2260)=7,1,0))))))</f>
        <v>3</v>
      </c>
      <c r="H2260" s="370">
        <v>13539.0244140625</v>
      </c>
      <c r="I2260" s="370">
        <v>4690.2449340820313</v>
      </c>
      <c r="M2260" s="371">
        <f t="shared" si="141"/>
        <v>14328.418601725125</v>
      </c>
      <c r="N2260" s="329">
        <f t="shared" si="142"/>
        <v>628.53760986328143</v>
      </c>
      <c r="T2260" s="331">
        <v>0</v>
      </c>
      <c r="U2260" s="328">
        <f>VLOOKUP(C2260,METADATA!$J$5:$Q$29,IF(E2260="HI",2,IF(E2260="LO",6,10))+IF(T2260=1,2,IF(D2260=7,1,(IF(WEEKDAY(B2260)=1,2,IF(WEEKDAY(B2260)=7,1,0))))))</f>
        <v>3</v>
      </c>
      <c r="V2260" s="328">
        <f>VLOOKUP(C2260,METADATA!$A$5:$H$29,IF(E2260="HI",2,IF(E2260="LO",6,10))+IF(T2260=1,2,IF(D2260=7,1,(IF(WEEKDAY(B2260)=1,2,IF(WEEKDAY(B2260)=7,1,0))))))</f>
        <v>3</v>
      </c>
    </row>
    <row r="2261" spans="2:22">
      <c r="B2261" s="318">
        <f t="shared" si="139"/>
        <v>46207</v>
      </c>
      <c r="C2261" s="312">
        <v>1</v>
      </c>
      <c r="D2261" s="368">
        <f>IFERROR((INDEX(METADATA!$T$2:$T$20,MATCH(B2261,METADATA!$S$2:$S$20,0))),0)</f>
        <v>0</v>
      </c>
      <c r="E2261" s="312" t="str">
        <f t="shared" si="140"/>
        <v>LO</v>
      </c>
      <c r="F2261" s="369">
        <f>VLOOKUP(C2261,METADATA!$A$5:$H$29,IF(E2261="HI",2,IF(E2261="LO",6,10))+IF(D2261=1,2,IF(D2261=7,1,(IF(WEEKDAY(B2261)=1,2,IF(WEEKDAY(B2261)=7,1,0))))))</f>
        <v>3</v>
      </c>
      <c r="G2261" s="369">
        <f>VLOOKUP(C2261,METADATA!$J$5:$Q$29,IF(E2261="HI",2,IF(E2261="LO",6,10))+IF(D2261=1,2,IF(D2261=7,1,(IF(WEEKDAY(B2261)=1,2,IF(WEEKDAY(B2261)=7,1,0))))))</f>
        <v>3</v>
      </c>
      <c r="H2261" s="370">
        <v>13356.299926757813</v>
      </c>
      <c r="I2261" s="370">
        <v>4675.7349548339844</v>
      </c>
      <c r="M2261" s="371">
        <f t="shared" si="141"/>
        <v>14151.086357639369</v>
      </c>
      <c r="N2261" s="329">
        <f t="shared" si="142"/>
        <v>668.84497680664072</v>
      </c>
      <c r="T2261" s="331">
        <v>0</v>
      </c>
      <c r="U2261" s="328">
        <f>VLOOKUP(C2261,METADATA!$J$5:$Q$29,IF(E2261="HI",2,IF(E2261="LO",6,10))+IF(T2261=1,2,IF(D2261=7,1,(IF(WEEKDAY(B2261)=1,2,IF(WEEKDAY(B2261)=7,1,0))))))</f>
        <v>3</v>
      </c>
      <c r="V2261" s="328">
        <f>VLOOKUP(C2261,METADATA!$A$5:$H$29,IF(E2261="HI",2,IF(E2261="LO",6,10))+IF(T2261=1,2,IF(D2261=7,1,(IF(WEEKDAY(B2261)=1,2,IF(WEEKDAY(B2261)=7,1,0))))))</f>
        <v>3</v>
      </c>
    </row>
    <row r="2262" spans="2:22">
      <c r="B2262" s="318">
        <f t="shared" si="139"/>
        <v>46207</v>
      </c>
      <c r="C2262" s="312">
        <v>2</v>
      </c>
      <c r="D2262" s="368">
        <f>IFERROR((INDEX(METADATA!$T$2:$T$20,MATCH(B2262,METADATA!$S$2:$S$20,0))),0)</f>
        <v>0</v>
      </c>
      <c r="E2262" s="312" t="str">
        <f t="shared" si="140"/>
        <v>LO</v>
      </c>
      <c r="F2262" s="369">
        <f>VLOOKUP(C2262,METADATA!$A$5:$H$29,IF(E2262="HI",2,IF(E2262="LO",6,10))+IF(D2262=1,2,IF(D2262=7,1,(IF(WEEKDAY(B2262)=1,2,IF(WEEKDAY(B2262)=7,1,0))))))</f>
        <v>3</v>
      </c>
      <c r="G2262" s="369">
        <f>VLOOKUP(C2262,METADATA!$J$5:$Q$29,IF(E2262="HI",2,IF(E2262="LO",6,10))+IF(D2262=1,2,IF(D2262=7,1,(IF(WEEKDAY(B2262)=1,2,IF(WEEKDAY(B2262)=7,1,0))))))</f>
        <v>3</v>
      </c>
      <c r="H2262" s="370">
        <v>13405.575378417969</v>
      </c>
      <c r="I2262" s="370">
        <v>4743.7999267578125</v>
      </c>
      <c r="M2262" s="371">
        <f t="shared" si="141"/>
        <v>14220.164871461706</v>
      </c>
      <c r="N2262" s="329">
        <f t="shared" si="142"/>
        <v>722.12731323242224</v>
      </c>
      <c r="T2262" s="331">
        <v>0</v>
      </c>
      <c r="U2262" s="328">
        <f>VLOOKUP(C2262,METADATA!$J$5:$Q$29,IF(E2262="HI",2,IF(E2262="LO",6,10))+IF(T2262=1,2,IF(D2262=7,1,(IF(WEEKDAY(B2262)=1,2,IF(WEEKDAY(B2262)=7,1,0))))))</f>
        <v>3</v>
      </c>
      <c r="V2262" s="328">
        <f>VLOOKUP(C2262,METADATA!$A$5:$H$29,IF(E2262="HI",2,IF(E2262="LO",6,10))+IF(T2262=1,2,IF(D2262=7,1,(IF(WEEKDAY(B2262)=1,2,IF(WEEKDAY(B2262)=7,1,0))))))</f>
        <v>3</v>
      </c>
    </row>
    <row r="2263" spans="2:22">
      <c r="B2263" s="318">
        <f t="shared" si="139"/>
        <v>46207</v>
      </c>
      <c r="C2263" s="312">
        <v>3</v>
      </c>
      <c r="D2263" s="368">
        <f>IFERROR((INDEX(METADATA!$T$2:$T$20,MATCH(B2263,METADATA!$S$2:$S$20,0))),0)</f>
        <v>0</v>
      </c>
      <c r="E2263" s="312" t="str">
        <f t="shared" si="140"/>
        <v>LO</v>
      </c>
      <c r="F2263" s="369">
        <f>VLOOKUP(C2263,METADATA!$A$5:$H$29,IF(E2263="HI",2,IF(E2263="LO",6,10))+IF(D2263=1,2,IF(D2263=7,1,(IF(WEEKDAY(B2263)=1,2,IF(WEEKDAY(B2263)=7,1,0))))))</f>
        <v>3</v>
      </c>
      <c r="G2263" s="369">
        <f>VLOOKUP(C2263,METADATA!$J$5:$Q$29,IF(E2263="HI",2,IF(E2263="LO",6,10))+IF(D2263=1,2,IF(D2263=7,1,(IF(WEEKDAY(B2263)=1,2,IF(WEEKDAY(B2263)=7,1,0))))))</f>
        <v>3</v>
      </c>
      <c r="H2263" s="370">
        <v>13310.724670410156</v>
      </c>
      <c r="I2263" s="370">
        <v>4488.9099731445313</v>
      </c>
      <c r="M2263" s="371">
        <f t="shared" si="141"/>
        <v>14047.266780354888</v>
      </c>
      <c r="N2263" s="329">
        <f t="shared" si="142"/>
        <v>495.69257202148447</v>
      </c>
      <c r="T2263" s="331">
        <v>0</v>
      </c>
      <c r="U2263" s="328">
        <f>VLOOKUP(C2263,METADATA!$J$5:$Q$29,IF(E2263="HI",2,IF(E2263="LO",6,10))+IF(T2263=1,2,IF(D2263=7,1,(IF(WEEKDAY(B2263)=1,2,IF(WEEKDAY(B2263)=7,1,0))))))</f>
        <v>3</v>
      </c>
      <c r="V2263" s="328">
        <f>VLOOKUP(C2263,METADATA!$A$5:$H$29,IF(E2263="HI",2,IF(E2263="LO",6,10))+IF(T2263=1,2,IF(D2263=7,1,(IF(WEEKDAY(B2263)=1,2,IF(WEEKDAY(B2263)=7,1,0))))))</f>
        <v>3</v>
      </c>
    </row>
    <row r="2264" spans="2:22">
      <c r="B2264" s="318">
        <f t="shared" si="139"/>
        <v>46207</v>
      </c>
      <c r="C2264" s="312">
        <v>4</v>
      </c>
      <c r="D2264" s="368">
        <f>IFERROR((INDEX(METADATA!$T$2:$T$20,MATCH(B2264,METADATA!$S$2:$S$20,0))),0)</f>
        <v>0</v>
      </c>
      <c r="E2264" s="312" t="str">
        <f t="shared" si="140"/>
        <v>LO</v>
      </c>
      <c r="F2264" s="369">
        <f>VLOOKUP(C2264,METADATA!$A$5:$H$29,IF(E2264="HI",2,IF(E2264="LO",6,10))+IF(D2264=1,2,IF(D2264=7,1,(IF(WEEKDAY(B2264)=1,2,IF(WEEKDAY(B2264)=7,1,0))))))</f>
        <v>3</v>
      </c>
      <c r="G2264" s="369">
        <f>VLOOKUP(C2264,METADATA!$J$5:$Q$29,IF(E2264="HI",2,IF(E2264="LO",6,10))+IF(D2264=1,2,IF(D2264=7,1,(IF(WEEKDAY(B2264)=1,2,IF(WEEKDAY(B2264)=7,1,0))))))</f>
        <v>3</v>
      </c>
      <c r="H2264" s="370">
        <v>12936.875</v>
      </c>
      <c r="I2264" s="370">
        <v>4291.9949951171875</v>
      </c>
      <c r="M2264" s="371">
        <f t="shared" si="141"/>
        <v>13630.258831135085</v>
      </c>
      <c r="N2264" s="329">
        <f t="shared" si="142"/>
        <v>410.9324951171875</v>
      </c>
      <c r="T2264" s="331">
        <v>0</v>
      </c>
      <c r="U2264" s="328">
        <f>VLOOKUP(C2264,METADATA!$J$5:$Q$29,IF(E2264="HI",2,IF(E2264="LO",6,10))+IF(T2264=1,2,IF(D2264=7,1,(IF(WEEKDAY(B2264)=1,2,IF(WEEKDAY(B2264)=7,1,0))))))</f>
        <v>3</v>
      </c>
      <c r="V2264" s="328">
        <f>VLOOKUP(C2264,METADATA!$A$5:$H$29,IF(E2264="HI",2,IF(E2264="LO",6,10))+IF(T2264=1,2,IF(D2264=7,1,(IF(WEEKDAY(B2264)=1,2,IF(WEEKDAY(B2264)=7,1,0))))))</f>
        <v>3</v>
      </c>
    </row>
    <row r="2265" spans="2:22">
      <c r="B2265" s="318">
        <f t="shared" si="139"/>
        <v>46207</v>
      </c>
      <c r="C2265" s="312">
        <v>5</v>
      </c>
      <c r="D2265" s="368">
        <f>IFERROR((INDEX(METADATA!$T$2:$T$20,MATCH(B2265,METADATA!$S$2:$S$20,0))),0)</f>
        <v>0</v>
      </c>
      <c r="E2265" s="312" t="str">
        <f t="shared" si="140"/>
        <v>LO</v>
      </c>
      <c r="F2265" s="369">
        <f>VLOOKUP(C2265,METADATA!$A$5:$H$29,IF(E2265="HI",2,IF(E2265="LO",6,10))+IF(D2265=1,2,IF(D2265=7,1,(IF(WEEKDAY(B2265)=1,2,IF(WEEKDAY(B2265)=7,1,0))))))</f>
        <v>3</v>
      </c>
      <c r="G2265" s="369">
        <f>VLOOKUP(C2265,METADATA!$J$5:$Q$29,IF(E2265="HI",2,IF(E2265="LO",6,10))+IF(D2265=1,2,IF(D2265=7,1,(IF(WEEKDAY(B2265)=1,2,IF(WEEKDAY(B2265)=7,1,0))))))</f>
        <v>3</v>
      </c>
      <c r="H2265" s="370">
        <v>6777.0624694824219</v>
      </c>
      <c r="I2265" s="370">
        <v>2024.4325866699219</v>
      </c>
      <c r="M2265" s="371">
        <f t="shared" si="141"/>
        <v>7072.9698863517187</v>
      </c>
      <c r="N2265" s="329">
        <f t="shared" si="142"/>
        <v>0</v>
      </c>
      <c r="T2265" s="331">
        <v>0</v>
      </c>
      <c r="U2265" s="328">
        <f>VLOOKUP(C2265,METADATA!$J$5:$Q$29,IF(E2265="HI",2,IF(E2265="LO",6,10))+IF(T2265=1,2,IF(D2265=7,1,(IF(WEEKDAY(B2265)=1,2,IF(WEEKDAY(B2265)=7,1,0))))))</f>
        <v>3</v>
      </c>
      <c r="V2265" s="328">
        <f>VLOOKUP(C2265,METADATA!$A$5:$H$29,IF(E2265="HI",2,IF(E2265="LO",6,10))+IF(T2265=1,2,IF(D2265=7,1,(IF(WEEKDAY(B2265)=1,2,IF(WEEKDAY(B2265)=7,1,0))))))</f>
        <v>3</v>
      </c>
    </row>
    <row r="2266" spans="2:22">
      <c r="B2266" s="318">
        <f t="shared" si="139"/>
        <v>46207</v>
      </c>
      <c r="C2266" s="312">
        <v>6</v>
      </c>
      <c r="D2266" s="368">
        <f>IFERROR((INDEX(METADATA!$T$2:$T$20,MATCH(B2266,METADATA!$S$2:$S$20,0))),0)</f>
        <v>0</v>
      </c>
      <c r="E2266" s="312" t="str">
        <f t="shared" si="140"/>
        <v>LO</v>
      </c>
      <c r="F2266" s="369">
        <f>VLOOKUP(C2266,METADATA!$A$5:$H$29,IF(E2266="HI",2,IF(E2266="LO",6,10))+IF(D2266=1,2,IF(D2266=7,1,(IF(WEEKDAY(B2266)=1,2,IF(WEEKDAY(B2266)=7,1,0))))))</f>
        <v>3</v>
      </c>
      <c r="G2266" s="369">
        <f>VLOOKUP(C2266,METADATA!$J$5:$Q$29,IF(E2266="HI",2,IF(E2266="LO",6,10))+IF(D2266=1,2,IF(D2266=7,1,(IF(WEEKDAY(B2266)=1,2,IF(WEEKDAY(B2266)=7,1,0))))))</f>
        <v>3</v>
      </c>
      <c r="H2266" s="370">
        <v>5487.5775146484375</v>
      </c>
      <c r="I2266" s="370">
        <v>1444.8250427246094</v>
      </c>
      <c r="M2266" s="371">
        <f t="shared" si="141"/>
        <v>5674.5948210739498</v>
      </c>
      <c r="N2266" s="329">
        <f t="shared" si="142"/>
        <v>0</v>
      </c>
      <c r="T2266" s="331">
        <v>0</v>
      </c>
      <c r="U2266" s="328">
        <f>VLOOKUP(C2266,METADATA!$J$5:$Q$29,IF(E2266="HI",2,IF(E2266="LO",6,10))+IF(T2266=1,2,IF(D2266=7,1,(IF(WEEKDAY(B2266)=1,2,IF(WEEKDAY(B2266)=7,1,0))))))</f>
        <v>3</v>
      </c>
      <c r="V2266" s="328">
        <f>VLOOKUP(C2266,METADATA!$A$5:$H$29,IF(E2266="HI",2,IF(E2266="LO",6,10))+IF(T2266=1,2,IF(D2266=7,1,(IF(WEEKDAY(B2266)=1,2,IF(WEEKDAY(B2266)=7,1,0))))))</f>
        <v>3</v>
      </c>
    </row>
    <row r="2267" spans="2:22">
      <c r="B2267" s="318">
        <f t="shared" si="139"/>
        <v>46207</v>
      </c>
      <c r="C2267" s="312">
        <v>7</v>
      </c>
      <c r="D2267" s="368">
        <f>IFERROR((INDEX(METADATA!$T$2:$T$20,MATCH(B2267,METADATA!$S$2:$S$20,0))),0)</f>
        <v>0</v>
      </c>
      <c r="E2267" s="312" t="str">
        <f t="shared" si="140"/>
        <v>LO</v>
      </c>
      <c r="F2267" s="369">
        <f>VLOOKUP(C2267,METADATA!$A$5:$H$29,IF(E2267="HI",2,IF(E2267="LO",6,10))+IF(D2267=1,2,IF(D2267=7,1,(IF(WEEKDAY(B2267)=1,2,IF(WEEKDAY(B2267)=7,1,0))))))</f>
        <v>2</v>
      </c>
      <c r="G2267" s="369">
        <f>VLOOKUP(C2267,METADATA!$J$5:$Q$29,IF(E2267="HI",2,IF(E2267="LO",6,10))+IF(D2267=1,2,IF(D2267=7,1,(IF(WEEKDAY(B2267)=1,2,IF(WEEKDAY(B2267)=7,1,0))))))</f>
        <v>2</v>
      </c>
      <c r="H2267" s="370">
        <v>8830.8749084472656</v>
      </c>
      <c r="I2267" s="370">
        <v>2107.8475151062012</v>
      </c>
      <c r="M2267" s="371">
        <f t="shared" si="141"/>
        <v>9078.9521859949728</v>
      </c>
      <c r="N2267" s="329">
        <f t="shared" si="142"/>
        <v>0</v>
      </c>
      <c r="T2267" s="331">
        <v>0</v>
      </c>
      <c r="U2267" s="328">
        <f>VLOOKUP(C2267,METADATA!$J$5:$Q$29,IF(E2267="HI",2,IF(E2267="LO",6,10))+IF(T2267=1,2,IF(D2267=7,1,(IF(WEEKDAY(B2267)=1,2,IF(WEEKDAY(B2267)=7,1,0))))))</f>
        <v>2</v>
      </c>
      <c r="V2267" s="328">
        <f>VLOOKUP(C2267,METADATA!$A$5:$H$29,IF(E2267="HI",2,IF(E2267="LO",6,10))+IF(T2267=1,2,IF(D2267=7,1,(IF(WEEKDAY(B2267)=1,2,IF(WEEKDAY(B2267)=7,1,0))))))</f>
        <v>2</v>
      </c>
    </row>
    <row r="2268" spans="2:22">
      <c r="B2268" s="318">
        <f t="shared" ref="B2268:B2331" si="143">B2244+1</f>
        <v>46207</v>
      </c>
      <c r="C2268" s="312">
        <v>8</v>
      </c>
      <c r="D2268" s="368">
        <f>IFERROR((INDEX(METADATA!$T$2:$T$20,MATCH(B2268,METADATA!$S$2:$S$20,0))),0)</f>
        <v>0</v>
      </c>
      <c r="E2268" s="312" t="str">
        <f t="shared" si="140"/>
        <v>LO</v>
      </c>
      <c r="F2268" s="369">
        <f>VLOOKUP(C2268,METADATA!$A$5:$H$29,IF(E2268="HI",2,IF(E2268="LO",6,10))+IF(D2268=1,2,IF(D2268=7,1,(IF(WEEKDAY(B2268)=1,2,IF(WEEKDAY(B2268)=7,1,0))))))</f>
        <v>2</v>
      </c>
      <c r="G2268" s="369">
        <f>VLOOKUP(C2268,METADATA!$J$5:$Q$29,IF(E2268="HI",2,IF(E2268="LO",6,10))+IF(D2268=1,2,IF(D2268=7,1,(IF(WEEKDAY(B2268)=1,2,IF(WEEKDAY(B2268)=7,1,0))))))</f>
        <v>2</v>
      </c>
      <c r="H2268" s="370">
        <v>13016.150024414063</v>
      </c>
      <c r="I2268" s="370">
        <v>4314.5399780273438</v>
      </c>
      <c r="M2268" s="371">
        <f t="shared" si="141"/>
        <v>13712.600653415469</v>
      </c>
      <c r="N2268" s="329">
        <f t="shared" si="142"/>
        <v>409.69497070312536</v>
      </c>
      <c r="T2268" s="331">
        <v>0</v>
      </c>
      <c r="U2268" s="328">
        <f>VLOOKUP(C2268,METADATA!$J$5:$Q$29,IF(E2268="HI",2,IF(E2268="LO",6,10))+IF(T2268=1,2,IF(D2268=7,1,(IF(WEEKDAY(B2268)=1,2,IF(WEEKDAY(B2268)=7,1,0))))))</f>
        <v>2</v>
      </c>
      <c r="V2268" s="328">
        <f>VLOOKUP(C2268,METADATA!$A$5:$H$29,IF(E2268="HI",2,IF(E2268="LO",6,10))+IF(T2268=1,2,IF(D2268=7,1,(IF(WEEKDAY(B2268)=1,2,IF(WEEKDAY(B2268)=7,1,0))))))</f>
        <v>2</v>
      </c>
    </row>
    <row r="2269" spans="2:22">
      <c r="B2269" s="318">
        <f t="shared" si="143"/>
        <v>46207</v>
      </c>
      <c r="C2269" s="312">
        <v>9</v>
      </c>
      <c r="D2269" s="368">
        <f>IFERROR((INDEX(METADATA!$T$2:$T$20,MATCH(B2269,METADATA!$S$2:$S$20,0))),0)</f>
        <v>0</v>
      </c>
      <c r="E2269" s="312" t="str">
        <f t="shared" si="140"/>
        <v>LO</v>
      </c>
      <c r="F2269" s="369">
        <f>VLOOKUP(C2269,METADATA!$A$5:$H$29,IF(E2269="HI",2,IF(E2269="LO",6,10))+IF(D2269=1,2,IF(D2269=7,1,(IF(WEEKDAY(B2269)=1,2,IF(WEEKDAY(B2269)=7,1,0))))))</f>
        <v>2</v>
      </c>
      <c r="G2269" s="369">
        <f>VLOOKUP(C2269,METADATA!$J$5:$Q$29,IF(E2269="HI",2,IF(E2269="LO",6,10))+IF(D2269=1,2,IF(D2269=7,1,(IF(WEEKDAY(B2269)=1,2,IF(WEEKDAY(B2269)=7,1,0))))))</f>
        <v>2</v>
      </c>
      <c r="H2269" s="370">
        <v>13225.574829101563</v>
      </c>
      <c r="I2269" s="370">
        <v>4367.0049133300781</v>
      </c>
      <c r="M2269" s="371">
        <f t="shared" si="141"/>
        <v>13927.905853832221</v>
      </c>
      <c r="N2269" s="329">
        <f t="shared" si="142"/>
        <v>399.33246459960947</v>
      </c>
      <c r="T2269" s="331">
        <v>0</v>
      </c>
      <c r="U2269" s="328">
        <f>VLOOKUP(C2269,METADATA!$J$5:$Q$29,IF(E2269="HI",2,IF(E2269="LO",6,10))+IF(T2269=1,2,IF(D2269=7,1,(IF(WEEKDAY(B2269)=1,2,IF(WEEKDAY(B2269)=7,1,0))))))</f>
        <v>2</v>
      </c>
      <c r="V2269" s="328">
        <f>VLOOKUP(C2269,METADATA!$A$5:$H$29,IF(E2269="HI",2,IF(E2269="LO",6,10))+IF(T2269=1,2,IF(D2269=7,1,(IF(WEEKDAY(B2269)=1,2,IF(WEEKDAY(B2269)=7,1,0))))))</f>
        <v>2</v>
      </c>
    </row>
    <row r="2270" spans="2:22">
      <c r="B2270" s="318">
        <f t="shared" si="143"/>
        <v>46207</v>
      </c>
      <c r="C2270" s="312">
        <v>10</v>
      </c>
      <c r="D2270" s="368">
        <f>IFERROR((INDEX(METADATA!$T$2:$T$20,MATCH(B2270,METADATA!$S$2:$S$20,0))),0)</f>
        <v>0</v>
      </c>
      <c r="E2270" s="312" t="str">
        <f t="shared" si="140"/>
        <v>LO</v>
      </c>
      <c r="F2270" s="369">
        <f>VLOOKUP(C2270,METADATA!$A$5:$H$29,IF(E2270="HI",2,IF(E2270="LO",6,10))+IF(D2270=1,2,IF(D2270=7,1,(IF(WEEKDAY(B2270)=1,2,IF(WEEKDAY(B2270)=7,1,0))))))</f>
        <v>2</v>
      </c>
      <c r="G2270" s="369">
        <f>VLOOKUP(C2270,METADATA!$J$5:$Q$29,IF(E2270="HI",2,IF(E2270="LO",6,10))+IF(D2270=1,2,IF(D2270=7,1,(IF(WEEKDAY(B2270)=1,2,IF(WEEKDAY(B2270)=7,1,0))))))</f>
        <v>2</v>
      </c>
      <c r="H2270" s="370">
        <v>11915.624755859375</v>
      </c>
      <c r="I2270" s="370">
        <v>3643.7975463867188</v>
      </c>
      <c r="M2270" s="371">
        <f t="shared" si="141"/>
        <v>12460.311949606345</v>
      </c>
      <c r="N2270" s="329">
        <f t="shared" si="142"/>
        <v>69.110119628906432</v>
      </c>
      <c r="T2270" s="331">
        <v>0</v>
      </c>
      <c r="U2270" s="328">
        <f>VLOOKUP(C2270,METADATA!$J$5:$Q$29,IF(E2270="HI",2,IF(E2270="LO",6,10))+IF(T2270=1,2,IF(D2270=7,1,(IF(WEEKDAY(B2270)=1,2,IF(WEEKDAY(B2270)=7,1,0))))))</f>
        <v>2</v>
      </c>
      <c r="V2270" s="328">
        <f>VLOOKUP(C2270,METADATA!$A$5:$H$29,IF(E2270="HI",2,IF(E2270="LO",6,10))+IF(T2270=1,2,IF(D2270=7,1,(IF(WEEKDAY(B2270)=1,2,IF(WEEKDAY(B2270)=7,1,0))))))</f>
        <v>2</v>
      </c>
    </row>
    <row r="2271" spans="2:22">
      <c r="B2271" s="318">
        <f t="shared" si="143"/>
        <v>46207</v>
      </c>
      <c r="C2271" s="312">
        <v>11</v>
      </c>
      <c r="D2271" s="368">
        <f>IFERROR((INDEX(METADATA!$T$2:$T$20,MATCH(B2271,METADATA!$S$2:$S$20,0))),0)</f>
        <v>0</v>
      </c>
      <c r="E2271" s="312" t="str">
        <f t="shared" si="140"/>
        <v>LO</v>
      </c>
      <c r="F2271" s="369">
        <f>VLOOKUP(C2271,METADATA!$A$5:$H$29,IF(E2271="HI",2,IF(E2271="LO",6,10))+IF(D2271=1,2,IF(D2271=7,1,(IF(WEEKDAY(B2271)=1,2,IF(WEEKDAY(B2271)=7,1,0))))))</f>
        <v>2</v>
      </c>
      <c r="G2271" s="369">
        <f>VLOOKUP(C2271,METADATA!$J$5:$Q$29,IF(E2271="HI",2,IF(E2271="LO",6,10))+IF(D2271=1,2,IF(D2271=7,1,(IF(WEEKDAY(B2271)=1,2,IF(WEEKDAY(B2271)=7,1,0))))))</f>
        <v>2</v>
      </c>
      <c r="H2271" s="370">
        <v>11448.940155029297</v>
      </c>
      <c r="I2271" s="370">
        <v>3403.320068359375</v>
      </c>
      <c r="M2271" s="371">
        <f t="shared" si="141"/>
        <v>11944.070418460362</v>
      </c>
      <c r="N2271" s="329">
        <f t="shared" si="142"/>
        <v>0</v>
      </c>
      <c r="T2271" s="331">
        <v>0</v>
      </c>
      <c r="U2271" s="328">
        <f>VLOOKUP(C2271,METADATA!$J$5:$Q$29,IF(E2271="HI",2,IF(E2271="LO",6,10))+IF(T2271=1,2,IF(D2271=7,1,(IF(WEEKDAY(B2271)=1,2,IF(WEEKDAY(B2271)=7,1,0))))))</f>
        <v>2</v>
      </c>
      <c r="V2271" s="328">
        <f>VLOOKUP(C2271,METADATA!$A$5:$H$29,IF(E2271="HI",2,IF(E2271="LO",6,10))+IF(T2271=1,2,IF(D2271=7,1,(IF(WEEKDAY(B2271)=1,2,IF(WEEKDAY(B2271)=7,1,0))))))</f>
        <v>2</v>
      </c>
    </row>
    <row r="2272" spans="2:22">
      <c r="B2272" s="318">
        <f t="shared" si="143"/>
        <v>46207</v>
      </c>
      <c r="C2272" s="312">
        <v>12</v>
      </c>
      <c r="D2272" s="368">
        <f>IFERROR((INDEX(METADATA!$T$2:$T$20,MATCH(B2272,METADATA!$S$2:$S$20,0))),0)</f>
        <v>0</v>
      </c>
      <c r="E2272" s="312" t="str">
        <f t="shared" si="140"/>
        <v>LO</v>
      </c>
      <c r="F2272" s="369">
        <f>VLOOKUP(C2272,METADATA!$A$5:$H$29,IF(E2272="HI",2,IF(E2272="LO",6,10))+IF(D2272=1,2,IF(D2272=7,1,(IF(WEEKDAY(B2272)=1,2,IF(WEEKDAY(B2272)=7,1,0))))))</f>
        <v>3</v>
      </c>
      <c r="G2272" s="369">
        <f>VLOOKUP(C2272,METADATA!$J$5:$Q$29,IF(E2272="HI",2,IF(E2272="LO",6,10))+IF(D2272=1,2,IF(D2272=7,1,(IF(WEEKDAY(B2272)=1,2,IF(WEEKDAY(B2272)=7,1,0))))))</f>
        <v>3</v>
      </c>
      <c r="H2272" s="370">
        <v>12217.500061035156</v>
      </c>
      <c r="I2272" s="370">
        <v>3816.5899353027344</v>
      </c>
      <c r="M2272" s="371">
        <f t="shared" si="141"/>
        <v>12799.752594314008</v>
      </c>
      <c r="N2272" s="329">
        <f t="shared" si="142"/>
        <v>151.33991699218768</v>
      </c>
      <c r="T2272" s="331">
        <v>0</v>
      </c>
      <c r="U2272" s="328">
        <f>VLOOKUP(C2272,METADATA!$J$5:$Q$29,IF(E2272="HI",2,IF(E2272="LO",6,10))+IF(T2272=1,2,IF(D2272=7,1,(IF(WEEKDAY(B2272)=1,2,IF(WEEKDAY(B2272)=7,1,0))))))</f>
        <v>3</v>
      </c>
      <c r="V2272" s="328">
        <f>VLOOKUP(C2272,METADATA!$A$5:$H$29,IF(E2272="HI",2,IF(E2272="LO",6,10))+IF(T2272=1,2,IF(D2272=7,1,(IF(WEEKDAY(B2272)=1,2,IF(WEEKDAY(B2272)=7,1,0))))))</f>
        <v>3</v>
      </c>
    </row>
    <row r="2273" spans="2:22">
      <c r="B2273" s="318">
        <f t="shared" si="143"/>
        <v>46207</v>
      </c>
      <c r="C2273" s="312">
        <v>13</v>
      </c>
      <c r="D2273" s="368">
        <f>IFERROR((INDEX(METADATA!$T$2:$T$20,MATCH(B2273,METADATA!$S$2:$S$20,0))),0)</f>
        <v>0</v>
      </c>
      <c r="E2273" s="312" t="str">
        <f t="shared" si="140"/>
        <v>LO</v>
      </c>
      <c r="F2273" s="369">
        <f>VLOOKUP(C2273,METADATA!$A$5:$H$29,IF(E2273="HI",2,IF(E2273="LO",6,10))+IF(D2273=1,2,IF(D2273=7,1,(IF(WEEKDAY(B2273)=1,2,IF(WEEKDAY(B2273)=7,1,0))))))</f>
        <v>3</v>
      </c>
      <c r="G2273" s="369">
        <f>VLOOKUP(C2273,METADATA!$J$5:$Q$29,IF(E2273="HI",2,IF(E2273="LO",6,10))+IF(D2273=1,2,IF(D2273=7,1,(IF(WEEKDAY(B2273)=1,2,IF(WEEKDAY(B2273)=7,1,0))))))</f>
        <v>3</v>
      </c>
      <c r="H2273" s="370">
        <v>13392.500122070313</v>
      </c>
      <c r="I2273" s="370">
        <v>4430.0799560546875</v>
      </c>
      <c r="M2273" s="371">
        <f t="shared" si="141"/>
        <v>14106.192538622561</v>
      </c>
      <c r="N2273" s="329">
        <f t="shared" si="142"/>
        <v>412.32991943359411</v>
      </c>
      <c r="T2273" s="331">
        <v>0</v>
      </c>
      <c r="U2273" s="328">
        <f>VLOOKUP(C2273,METADATA!$J$5:$Q$29,IF(E2273="HI",2,IF(E2273="LO",6,10))+IF(T2273=1,2,IF(D2273=7,1,(IF(WEEKDAY(B2273)=1,2,IF(WEEKDAY(B2273)=7,1,0))))))</f>
        <v>3</v>
      </c>
      <c r="V2273" s="328">
        <f>VLOOKUP(C2273,METADATA!$A$5:$H$29,IF(E2273="HI",2,IF(E2273="LO",6,10))+IF(T2273=1,2,IF(D2273=7,1,(IF(WEEKDAY(B2273)=1,2,IF(WEEKDAY(B2273)=7,1,0))))))</f>
        <v>3</v>
      </c>
    </row>
    <row r="2274" spans="2:22">
      <c r="B2274" s="318">
        <f t="shared" si="143"/>
        <v>46207</v>
      </c>
      <c r="C2274" s="312">
        <v>14</v>
      </c>
      <c r="D2274" s="368">
        <f>IFERROR((INDEX(METADATA!$T$2:$T$20,MATCH(B2274,METADATA!$S$2:$S$20,0))),0)</f>
        <v>0</v>
      </c>
      <c r="E2274" s="312" t="str">
        <f t="shared" si="140"/>
        <v>LO</v>
      </c>
      <c r="F2274" s="369">
        <f>VLOOKUP(C2274,METADATA!$A$5:$H$29,IF(E2274="HI",2,IF(E2274="LO",6,10))+IF(D2274=1,2,IF(D2274=7,1,(IF(WEEKDAY(B2274)=1,2,IF(WEEKDAY(B2274)=7,1,0))))))</f>
        <v>3</v>
      </c>
      <c r="G2274" s="369">
        <f>VLOOKUP(C2274,METADATA!$J$5:$Q$29,IF(E2274="HI",2,IF(E2274="LO",6,10))+IF(D2274=1,2,IF(D2274=7,1,(IF(WEEKDAY(B2274)=1,2,IF(WEEKDAY(B2274)=7,1,0))))))</f>
        <v>3</v>
      </c>
      <c r="H2274" s="370">
        <v>13441.5498046875</v>
      </c>
      <c r="I2274" s="370">
        <v>4563.9849853515625</v>
      </c>
      <c r="M2274" s="371">
        <f t="shared" si="141"/>
        <v>14195.253435511782</v>
      </c>
      <c r="N2274" s="329">
        <f t="shared" si="142"/>
        <v>531.52004394531286</v>
      </c>
      <c r="T2274" s="331">
        <v>0</v>
      </c>
      <c r="U2274" s="328">
        <f>VLOOKUP(C2274,METADATA!$J$5:$Q$29,IF(E2274="HI",2,IF(E2274="LO",6,10))+IF(T2274=1,2,IF(D2274=7,1,(IF(WEEKDAY(B2274)=1,2,IF(WEEKDAY(B2274)=7,1,0))))))</f>
        <v>3</v>
      </c>
      <c r="V2274" s="328">
        <f>VLOOKUP(C2274,METADATA!$A$5:$H$29,IF(E2274="HI",2,IF(E2274="LO",6,10))+IF(T2274=1,2,IF(D2274=7,1,(IF(WEEKDAY(B2274)=1,2,IF(WEEKDAY(B2274)=7,1,0))))))</f>
        <v>3</v>
      </c>
    </row>
    <row r="2275" spans="2:22">
      <c r="B2275" s="318">
        <f t="shared" si="143"/>
        <v>46207</v>
      </c>
      <c r="C2275" s="312">
        <v>15</v>
      </c>
      <c r="D2275" s="368">
        <f>IFERROR((INDEX(METADATA!$T$2:$T$20,MATCH(B2275,METADATA!$S$2:$S$20,0))),0)</f>
        <v>0</v>
      </c>
      <c r="E2275" s="312" t="str">
        <f t="shared" si="140"/>
        <v>LO</v>
      </c>
      <c r="F2275" s="369">
        <f>VLOOKUP(C2275,METADATA!$A$5:$H$29,IF(E2275="HI",2,IF(E2275="LO",6,10))+IF(D2275=1,2,IF(D2275=7,1,(IF(WEEKDAY(B2275)=1,2,IF(WEEKDAY(B2275)=7,1,0))))))</f>
        <v>3</v>
      </c>
      <c r="G2275" s="369">
        <f>VLOOKUP(C2275,METADATA!$J$5:$Q$29,IF(E2275="HI",2,IF(E2275="LO",6,10))+IF(D2275=1,2,IF(D2275=7,1,(IF(WEEKDAY(B2275)=1,2,IF(WEEKDAY(B2275)=7,1,0))))))</f>
        <v>3</v>
      </c>
      <c r="H2275" s="370">
        <v>13460.449645996094</v>
      </c>
      <c r="I2275" s="370">
        <v>4544.2949523925781</v>
      </c>
      <c r="M2275" s="371">
        <f t="shared" si="141"/>
        <v>14206.840651134826</v>
      </c>
      <c r="N2275" s="329">
        <f t="shared" si="142"/>
        <v>506.16005859375036</v>
      </c>
      <c r="T2275" s="331">
        <v>0</v>
      </c>
      <c r="U2275" s="328">
        <f>VLOOKUP(C2275,METADATA!$J$5:$Q$29,IF(E2275="HI",2,IF(E2275="LO",6,10))+IF(T2275=1,2,IF(D2275=7,1,(IF(WEEKDAY(B2275)=1,2,IF(WEEKDAY(B2275)=7,1,0))))))</f>
        <v>3</v>
      </c>
      <c r="V2275" s="328">
        <f>VLOOKUP(C2275,METADATA!$A$5:$H$29,IF(E2275="HI",2,IF(E2275="LO",6,10))+IF(T2275=1,2,IF(D2275=7,1,(IF(WEEKDAY(B2275)=1,2,IF(WEEKDAY(B2275)=7,1,0))))))</f>
        <v>3</v>
      </c>
    </row>
    <row r="2276" spans="2:22">
      <c r="B2276" s="318">
        <f t="shared" si="143"/>
        <v>46207</v>
      </c>
      <c r="C2276" s="312">
        <v>16</v>
      </c>
      <c r="D2276" s="368">
        <f>IFERROR((INDEX(METADATA!$T$2:$T$20,MATCH(B2276,METADATA!$S$2:$S$20,0))),0)</f>
        <v>0</v>
      </c>
      <c r="E2276" s="312" t="str">
        <f t="shared" si="140"/>
        <v>LO</v>
      </c>
      <c r="F2276" s="369">
        <f>VLOOKUP(C2276,METADATA!$A$5:$H$29,IF(E2276="HI",2,IF(E2276="LO",6,10))+IF(D2276=1,2,IF(D2276=7,1,(IF(WEEKDAY(B2276)=1,2,IF(WEEKDAY(B2276)=7,1,0))))))</f>
        <v>3</v>
      </c>
      <c r="G2276" s="369">
        <f>VLOOKUP(C2276,METADATA!$J$5:$Q$29,IF(E2276="HI",2,IF(E2276="LO",6,10))+IF(D2276=1,2,IF(D2276=7,1,(IF(WEEKDAY(B2276)=1,2,IF(WEEKDAY(B2276)=7,1,0))))))</f>
        <v>3</v>
      </c>
      <c r="H2276" s="370">
        <v>13077.375</v>
      </c>
      <c r="I2276" s="370">
        <v>4189.6400146484375</v>
      </c>
      <c r="M2276" s="371">
        <f t="shared" si="141"/>
        <v>13732.109100315522</v>
      </c>
      <c r="N2276" s="329">
        <f t="shared" si="142"/>
        <v>266.42751464843786</v>
      </c>
      <c r="T2276" s="331">
        <v>0</v>
      </c>
      <c r="U2276" s="328">
        <f>VLOOKUP(C2276,METADATA!$J$5:$Q$29,IF(E2276="HI",2,IF(E2276="LO",6,10))+IF(T2276=1,2,IF(D2276=7,1,(IF(WEEKDAY(B2276)=1,2,IF(WEEKDAY(B2276)=7,1,0))))))</f>
        <v>3</v>
      </c>
      <c r="V2276" s="328">
        <f>VLOOKUP(C2276,METADATA!$A$5:$H$29,IF(E2276="HI",2,IF(E2276="LO",6,10))+IF(T2276=1,2,IF(D2276=7,1,(IF(WEEKDAY(B2276)=1,2,IF(WEEKDAY(B2276)=7,1,0))))))</f>
        <v>3</v>
      </c>
    </row>
    <row r="2277" spans="2:22">
      <c r="B2277" s="318">
        <f t="shared" si="143"/>
        <v>46207</v>
      </c>
      <c r="C2277" s="312">
        <v>17</v>
      </c>
      <c r="D2277" s="368">
        <f>IFERROR((INDEX(METADATA!$T$2:$T$20,MATCH(B2277,METADATA!$S$2:$S$20,0))),0)</f>
        <v>0</v>
      </c>
      <c r="E2277" s="312" t="str">
        <f t="shared" si="140"/>
        <v>LO</v>
      </c>
      <c r="F2277" s="369">
        <f>VLOOKUP(C2277,METADATA!$A$5:$H$29,IF(E2277="HI",2,IF(E2277="LO",6,10))+IF(D2277=1,2,IF(D2277=7,1,(IF(WEEKDAY(B2277)=1,2,IF(WEEKDAY(B2277)=7,1,0))))))</f>
        <v>3</v>
      </c>
      <c r="G2277" s="369">
        <f>VLOOKUP(C2277,METADATA!$J$5:$Q$29,IF(E2277="HI",2,IF(E2277="LO",6,10))+IF(D2277=1,2,IF(D2277=7,1,(IF(WEEKDAY(B2277)=1,2,IF(WEEKDAY(B2277)=7,1,0))))))</f>
        <v>3</v>
      </c>
      <c r="H2277" s="370">
        <v>12570.450378417969</v>
      </c>
      <c r="I2277" s="370">
        <v>3765.7149353027344</v>
      </c>
      <c r="M2277" s="371">
        <f t="shared" si="141"/>
        <v>13122.379040792508</v>
      </c>
      <c r="N2277" s="329">
        <f t="shared" si="142"/>
        <v>0</v>
      </c>
      <c r="T2277" s="331">
        <v>0</v>
      </c>
      <c r="U2277" s="328">
        <f>VLOOKUP(C2277,METADATA!$J$5:$Q$29,IF(E2277="HI",2,IF(E2277="LO",6,10))+IF(T2277=1,2,IF(D2277=7,1,(IF(WEEKDAY(B2277)=1,2,IF(WEEKDAY(B2277)=7,1,0))))))</f>
        <v>3</v>
      </c>
      <c r="V2277" s="328">
        <f>VLOOKUP(C2277,METADATA!$A$5:$H$29,IF(E2277="HI",2,IF(E2277="LO",6,10))+IF(T2277=1,2,IF(D2277=7,1,(IF(WEEKDAY(B2277)=1,2,IF(WEEKDAY(B2277)=7,1,0))))))</f>
        <v>3</v>
      </c>
    </row>
    <row r="2278" spans="2:22">
      <c r="B2278" s="318">
        <f t="shared" si="143"/>
        <v>46207</v>
      </c>
      <c r="C2278" s="312">
        <v>18</v>
      </c>
      <c r="D2278" s="368">
        <f>IFERROR((INDEX(METADATA!$T$2:$T$20,MATCH(B2278,METADATA!$S$2:$S$20,0))),0)</f>
        <v>0</v>
      </c>
      <c r="E2278" s="312" t="str">
        <f t="shared" si="140"/>
        <v>LO</v>
      </c>
      <c r="F2278" s="369">
        <f>VLOOKUP(C2278,METADATA!$A$5:$H$29,IF(E2278="HI",2,IF(E2278="LO",6,10))+IF(D2278=1,2,IF(D2278=7,1,(IF(WEEKDAY(B2278)=1,2,IF(WEEKDAY(B2278)=7,1,0))))))</f>
        <v>2</v>
      </c>
      <c r="G2278" s="369">
        <f>VLOOKUP(C2278,METADATA!$J$5:$Q$29,IF(E2278="HI",2,IF(E2278="LO",6,10))+IF(D2278=1,2,IF(D2278=7,1,(IF(WEEKDAY(B2278)=1,2,IF(WEEKDAY(B2278)=7,1,0))))))</f>
        <v>2</v>
      </c>
      <c r="H2278" s="370">
        <v>13202.775146484375</v>
      </c>
      <c r="I2278" s="370">
        <v>4050.2149963378906</v>
      </c>
      <c r="M2278" s="371">
        <f t="shared" si="141"/>
        <v>13810.05116157018</v>
      </c>
      <c r="N2278" s="329">
        <f t="shared" si="142"/>
        <v>89.382452392578216</v>
      </c>
      <c r="T2278" s="331">
        <v>0</v>
      </c>
      <c r="U2278" s="328">
        <f>VLOOKUP(C2278,METADATA!$J$5:$Q$29,IF(E2278="HI",2,IF(E2278="LO",6,10))+IF(T2278=1,2,IF(D2278=7,1,(IF(WEEKDAY(B2278)=1,2,IF(WEEKDAY(B2278)=7,1,0))))))</f>
        <v>2</v>
      </c>
      <c r="V2278" s="328">
        <f>VLOOKUP(C2278,METADATA!$A$5:$H$29,IF(E2278="HI",2,IF(E2278="LO",6,10))+IF(T2278=1,2,IF(D2278=7,1,(IF(WEEKDAY(B2278)=1,2,IF(WEEKDAY(B2278)=7,1,0))))))</f>
        <v>2</v>
      </c>
    </row>
    <row r="2279" spans="2:22">
      <c r="B2279" s="318">
        <f t="shared" si="143"/>
        <v>46207</v>
      </c>
      <c r="C2279" s="312">
        <v>19</v>
      </c>
      <c r="D2279" s="368">
        <f>IFERROR((INDEX(METADATA!$T$2:$T$20,MATCH(B2279,METADATA!$S$2:$S$20,0))),0)</f>
        <v>0</v>
      </c>
      <c r="E2279" s="312" t="str">
        <f t="shared" si="140"/>
        <v>LO</v>
      </c>
      <c r="F2279" s="369">
        <f>VLOOKUP(C2279,METADATA!$A$5:$H$29,IF(E2279="HI",2,IF(E2279="LO",6,10))+IF(D2279=1,2,IF(D2279=7,1,(IF(WEEKDAY(B2279)=1,2,IF(WEEKDAY(B2279)=7,1,0))))))</f>
        <v>2</v>
      </c>
      <c r="G2279" s="369">
        <f>VLOOKUP(C2279,METADATA!$J$5:$Q$29,IF(E2279="HI",2,IF(E2279="LO",6,10))+IF(D2279=1,2,IF(D2279=7,1,(IF(WEEKDAY(B2279)=1,2,IF(WEEKDAY(B2279)=7,1,0))))))</f>
        <v>2</v>
      </c>
      <c r="H2279" s="370">
        <v>13373.2998046875</v>
      </c>
      <c r="I2279" s="370">
        <v>4392.1250610351563</v>
      </c>
      <c r="M2279" s="371">
        <f t="shared" si="141"/>
        <v>14076.075810318292</v>
      </c>
      <c r="N2279" s="329">
        <f t="shared" si="142"/>
        <v>380.13511962890652</v>
      </c>
      <c r="T2279" s="331">
        <v>0</v>
      </c>
      <c r="U2279" s="328">
        <f>VLOOKUP(C2279,METADATA!$J$5:$Q$29,IF(E2279="HI",2,IF(E2279="LO",6,10))+IF(T2279=1,2,IF(D2279=7,1,(IF(WEEKDAY(B2279)=1,2,IF(WEEKDAY(B2279)=7,1,0))))))</f>
        <v>2</v>
      </c>
      <c r="V2279" s="328">
        <f>VLOOKUP(C2279,METADATA!$A$5:$H$29,IF(E2279="HI",2,IF(E2279="LO",6,10))+IF(T2279=1,2,IF(D2279=7,1,(IF(WEEKDAY(B2279)=1,2,IF(WEEKDAY(B2279)=7,1,0))))))</f>
        <v>2</v>
      </c>
    </row>
    <row r="2280" spans="2:22">
      <c r="B2280" s="318">
        <f t="shared" si="143"/>
        <v>46207</v>
      </c>
      <c r="C2280" s="312">
        <v>20</v>
      </c>
      <c r="D2280" s="368">
        <f>IFERROR((INDEX(METADATA!$T$2:$T$20,MATCH(B2280,METADATA!$S$2:$S$20,0))),0)</f>
        <v>0</v>
      </c>
      <c r="E2280" s="312" t="str">
        <f t="shared" si="140"/>
        <v>LO</v>
      </c>
      <c r="F2280" s="369">
        <f>VLOOKUP(C2280,METADATA!$A$5:$H$29,IF(E2280="HI",2,IF(E2280="LO",6,10))+IF(D2280=1,2,IF(D2280=7,1,(IF(WEEKDAY(B2280)=1,2,IF(WEEKDAY(B2280)=7,1,0))))))</f>
        <v>3</v>
      </c>
      <c r="G2280" s="369">
        <f>VLOOKUP(C2280,METADATA!$J$5:$Q$29,IF(E2280="HI",2,IF(E2280="LO",6,10))+IF(D2280=1,2,IF(D2280=7,1,(IF(WEEKDAY(B2280)=1,2,IF(WEEKDAY(B2280)=7,1,0))))))</f>
        <v>3</v>
      </c>
      <c r="H2280" s="370">
        <v>13010.099731445313</v>
      </c>
      <c r="I2280" s="370">
        <v>4268.4949645996094</v>
      </c>
      <c r="M2280" s="371">
        <f t="shared" si="141"/>
        <v>13692.433833506942</v>
      </c>
      <c r="N2280" s="329">
        <f t="shared" si="142"/>
        <v>365.4650451660159</v>
      </c>
      <c r="T2280" s="331">
        <v>0</v>
      </c>
      <c r="U2280" s="328">
        <f>VLOOKUP(C2280,METADATA!$J$5:$Q$29,IF(E2280="HI",2,IF(E2280="LO",6,10))+IF(T2280=1,2,IF(D2280=7,1,(IF(WEEKDAY(B2280)=1,2,IF(WEEKDAY(B2280)=7,1,0))))))</f>
        <v>3</v>
      </c>
      <c r="V2280" s="328">
        <f>VLOOKUP(C2280,METADATA!$A$5:$H$29,IF(E2280="HI",2,IF(E2280="LO",6,10))+IF(T2280=1,2,IF(D2280=7,1,(IF(WEEKDAY(B2280)=1,2,IF(WEEKDAY(B2280)=7,1,0))))))</f>
        <v>3</v>
      </c>
    </row>
    <row r="2281" spans="2:22">
      <c r="B2281" s="318">
        <f t="shared" si="143"/>
        <v>46207</v>
      </c>
      <c r="C2281" s="312">
        <v>21</v>
      </c>
      <c r="D2281" s="368">
        <f>IFERROR((INDEX(METADATA!$T$2:$T$20,MATCH(B2281,METADATA!$S$2:$S$20,0))),0)</f>
        <v>0</v>
      </c>
      <c r="E2281" s="312" t="str">
        <f t="shared" si="140"/>
        <v>LO</v>
      </c>
      <c r="F2281" s="369">
        <f>VLOOKUP(C2281,METADATA!$A$5:$H$29,IF(E2281="HI",2,IF(E2281="LO",6,10))+IF(D2281=1,2,IF(D2281=7,1,(IF(WEEKDAY(B2281)=1,2,IF(WEEKDAY(B2281)=7,1,0))))))</f>
        <v>3</v>
      </c>
      <c r="G2281" s="369">
        <f>VLOOKUP(C2281,METADATA!$J$5:$Q$29,IF(E2281="HI",2,IF(E2281="LO",6,10))+IF(D2281=1,2,IF(D2281=7,1,(IF(WEEKDAY(B2281)=1,2,IF(WEEKDAY(B2281)=7,1,0))))))</f>
        <v>3</v>
      </c>
      <c r="H2281" s="370">
        <v>13578.10009765625</v>
      </c>
      <c r="I2281" s="370">
        <v>4713.5849914550781</v>
      </c>
      <c r="M2281" s="371">
        <f t="shared" si="141"/>
        <v>14372.984579886086</v>
      </c>
      <c r="N2281" s="329">
        <f t="shared" si="142"/>
        <v>640.15496215820349</v>
      </c>
      <c r="T2281" s="331">
        <v>0</v>
      </c>
      <c r="U2281" s="328">
        <f>VLOOKUP(C2281,METADATA!$J$5:$Q$29,IF(E2281="HI",2,IF(E2281="LO",6,10))+IF(T2281=1,2,IF(D2281=7,1,(IF(WEEKDAY(B2281)=1,2,IF(WEEKDAY(B2281)=7,1,0))))))</f>
        <v>3</v>
      </c>
      <c r="V2281" s="328">
        <f>VLOOKUP(C2281,METADATA!$A$5:$H$29,IF(E2281="HI",2,IF(E2281="LO",6,10))+IF(T2281=1,2,IF(D2281=7,1,(IF(WEEKDAY(B2281)=1,2,IF(WEEKDAY(B2281)=7,1,0))))))</f>
        <v>3</v>
      </c>
    </row>
    <row r="2282" spans="2:22">
      <c r="B2282" s="318">
        <f t="shared" si="143"/>
        <v>46207</v>
      </c>
      <c r="C2282" s="312">
        <v>22</v>
      </c>
      <c r="D2282" s="368">
        <f>IFERROR((INDEX(METADATA!$T$2:$T$20,MATCH(B2282,METADATA!$S$2:$S$20,0))),0)</f>
        <v>0</v>
      </c>
      <c r="E2282" s="312" t="str">
        <f t="shared" si="140"/>
        <v>LO</v>
      </c>
      <c r="F2282" s="369">
        <f>VLOOKUP(C2282,METADATA!$A$5:$H$29,IF(E2282="HI",2,IF(E2282="LO",6,10))+IF(D2282=1,2,IF(D2282=7,1,(IF(WEEKDAY(B2282)=1,2,IF(WEEKDAY(B2282)=7,1,0))))))</f>
        <v>3</v>
      </c>
      <c r="G2282" s="369">
        <f>VLOOKUP(C2282,METADATA!$J$5:$Q$29,IF(E2282="HI",2,IF(E2282="LO",6,10))+IF(D2282=1,2,IF(D2282=7,1,(IF(WEEKDAY(B2282)=1,2,IF(WEEKDAY(B2282)=7,1,0))))))</f>
        <v>3</v>
      </c>
      <c r="H2282" s="370">
        <v>13637.30029296875</v>
      </c>
      <c r="I2282" s="370">
        <v>4795.0100708007813</v>
      </c>
      <c r="M2282" s="371">
        <f t="shared" si="141"/>
        <v>14455.728306096738</v>
      </c>
      <c r="N2282" s="329">
        <f t="shared" si="142"/>
        <v>703.81998291015634</v>
      </c>
      <c r="T2282" s="331">
        <v>0</v>
      </c>
      <c r="U2282" s="328">
        <f>VLOOKUP(C2282,METADATA!$J$5:$Q$29,IF(E2282="HI",2,IF(E2282="LO",6,10))+IF(T2282=1,2,IF(D2282=7,1,(IF(WEEKDAY(B2282)=1,2,IF(WEEKDAY(B2282)=7,1,0))))))</f>
        <v>3</v>
      </c>
      <c r="V2282" s="328">
        <f>VLOOKUP(C2282,METADATA!$A$5:$H$29,IF(E2282="HI",2,IF(E2282="LO",6,10))+IF(T2282=1,2,IF(D2282=7,1,(IF(WEEKDAY(B2282)=1,2,IF(WEEKDAY(B2282)=7,1,0))))))</f>
        <v>3</v>
      </c>
    </row>
    <row r="2283" spans="2:22">
      <c r="B2283" s="318">
        <f t="shared" si="143"/>
        <v>46207</v>
      </c>
      <c r="C2283" s="312">
        <v>23</v>
      </c>
      <c r="D2283" s="368">
        <f>IFERROR((INDEX(METADATA!$T$2:$T$20,MATCH(B2283,METADATA!$S$2:$S$20,0))),0)</f>
        <v>0</v>
      </c>
      <c r="E2283" s="312" t="str">
        <f t="shared" si="140"/>
        <v>LO</v>
      </c>
      <c r="F2283" s="369">
        <f>VLOOKUP(C2283,METADATA!$A$5:$H$29,IF(E2283="HI",2,IF(E2283="LO",6,10))+IF(D2283=1,2,IF(D2283=7,1,(IF(WEEKDAY(B2283)=1,2,IF(WEEKDAY(B2283)=7,1,0))))))</f>
        <v>3</v>
      </c>
      <c r="G2283" s="369">
        <f>VLOOKUP(C2283,METADATA!$J$5:$Q$29,IF(E2283="HI",2,IF(E2283="LO",6,10))+IF(D2283=1,2,IF(D2283=7,1,(IF(WEEKDAY(B2283)=1,2,IF(WEEKDAY(B2283)=7,1,0))))))</f>
        <v>3</v>
      </c>
      <c r="H2283" s="370">
        <v>13526.175231933594</v>
      </c>
      <c r="I2283" s="370">
        <v>4701.2650756835938</v>
      </c>
      <c r="M2283" s="371">
        <f t="shared" si="141"/>
        <v>14319.892098644321</v>
      </c>
      <c r="N2283" s="329">
        <f t="shared" si="142"/>
        <v>643.41250610351563</v>
      </c>
      <c r="T2283" s="331">
        <v>0</v>
      </c>
      <c r="U2283" s="328">
        <f>VLOOKUP(C2283,METADATA!$J$5:$Q$29,IF(E2283="HI",2,IF(E2283="LO",6,10))+IF(T2283=1,2,IF(D2283=7,1,(IF(WEEKDAY(B2283)=1,2,IF(WEEKDAY(B2283)=7,1,0))))))</f>
        <v>3</v>
      </c>
      <c r="V2283" s="328">
        <f>VLOOKUP(C2283,METADATA!$A$5:$H$29,IF(E2283="HI",2,IF(E2283="LO",6,10))+IF(T2283=1,2,IF(D2283=7,1,(IF(WEEKDAY(B2283)=1,2,IF(WEEKDAY(B2283)=7,1,0))))))</f>
        <v>3</v>
      </c>
    </row>
    <row r="2284" spans="2:22">
      <c r="B2284" s="318">
        <f t="shared" si="143"/>
        <v>46208</v>
      </c>
      <c r="C2284" s="312">
        <v>0</v>
      </c>
      <c r="D2284" s="368">
        <f>IFERROR((INDEX(METADATA!$T$2:$T$20,MATCH(B2284,METADATA!$S$2:$S$20,0))),0)</f>
        <v>0</v>
      </c>
      <c r="E2284" s="312" t="str">
        <f t="shared" si="140"/>
        <v>LO</v>
      </c>
      <c r="F2284" s="369">
        <f>VLOOKUP(C2284,METADATA!$A$5:$H$29,IF(E2284="HI",2,IF(E2284="LO",6,10))+IF(D2284=1,2,IF(D2284=7,1,(IF(WEEKDAY(B2284)=1,2,IF(WEEKDAY(B2284)=7,1,0))))))</f>
        <v>3</v>
      </c>
      <c r="G2284" s="369">
        <f>VLOOKUP(C2284,METADATA!$J$5:$Q$29,IF(E2284="HI",2,IF(E2284="LO",6,10))+IF(D2284=1,2,IF(D2284=7,1,(IF(WEEKDAY(B2284)=1,2,IF(WEEKDAY(B2284)=7,1,0))))))</f>
        <v>3</v>
      </c>
      <c r="H2284" s="370">
        <v>13513.199951171875</v>
      </c>
      <c r="I2284" s="370">
        <v>4658.6799621582031</v>
      </c>
      <c r="M2284" s="371">
        <f t="shared" si="141"/>
        <v>14293.700427466847</v>
      </c>
      <c r="N2284" s="329">
        <f t="shared" si="142"/>
        <v>604.71997680664072</v>
      </c>
      <c r="T2284" s="331">
        <v>0</v>
      </c>
      <c r="U2284" s="328">
        <f>VLOOKUP(C2284,METADATA!$J$5:$Q$29,IF(E2284="HI",2,IF(E2284="LO",6,10))+IF(T2284=1,2,IF(D2284=7,1,(IF(WEEKDAY(B2284)=1,2,IF(WEEKDAY(B2284)=7,1,0))))))</f>
        <v>3</v>
      </c>
      <c r="V2284" s="328">
        <f>VLOOKUP(C2284,METADATA!$A$5:$H$29,IF(E2284="HI",2,IF(E2284="LO",6,10))+IF(T2284=1,2,IF(D2284=7,1,(IF(WEEKDAY(B2284)=1,2,IF(WEEKDAY(B2284)=7,1,0))))))</f>
        <v>3</v>
      </c>
    </row>
    <row r="2285" spans="2:22">
      <c r="B2285" s="318">
        <f t="shared" si="143"/>
        <v>46208</v>
      </c>
      <c r="C2285" s="312">
        <v>1</v>
      </c>
      <c r="D2285" s="368">
        <f>IFERROR((INDEX(METADATA!$T$2:$T$20,MATCH(B2285,METADATA!$S$2:$S$20,0))),0)</f>
        <v>0</v>
      </c>
      <c r="E2285" s="312" t="str">
        <f t="shared" si="140"/>
        <v>LO</v>
      </c>
      <c r="F2285" s="369">
        <f>VLOOKUP(C2285,METADATA!$A$5:$H$29,IF(E2285="HI",2,IF(E2285="LO",6,10))+IF(D2285=1,2,IF(D2285=7,1,(IF(WEEKDAY(B2285)=1,2,IF(WEEKDAY(B2285)=7,1,0))))))</f>
        <v>3</v>
      </c>
      <c r="G2285" s="369">
        <f>VLOOKUP(C2285,METADATA!$J$5:$Q$29,IF(E2285="HI",2,IF(E2285="LO",6,10))+IF(D2285=1,2,IF(D2285=7,1,(IF(WEEKDAY(B2285)=1,2,IF(WEEKDAY(B2285)=7,1,0))))))</f>
        <v>3</v>
      </c>
      <c r="H2285" s="370">
        <v>13468.650329589844</v>
      </c>
      <c r="I2285" s="370">
        <v>4672.1750793457031</v>
      </c>
      <c r="M2285" s="371">
        <f t="shared" si="141"/>
        <v>14256.007915009714</v>
      </c>
      <c r="N2285" s="329">
        <f t="shared" si="142"/>
        <v>631.57998046875036</v>
      </c>
      <c r="T2285" s="331">
        <v>0</v>
      </c>
      <c r="U2285" s="328">
        <f>VLOOKUP(C2285,METADATA!$J$5:$Q$29,IF(E2285="HI",2,IF(E2285="LO",6,10))+IF(T2285=1,2,IF(D2285=7,1,(IF(WEEKDAY(B2285)=1,2,IF(WEEKDAY(B2285)=7,1,0))))))</f>
        <v>3</v>
      </c>
      <c r="V2285" s="328">
        <f>VLOOKUP(C2285,METADATA!$A$5:$H$29,IF(E2285="HI",2,IF(E2285="LO",6,10))+IF(T2285=1,2,IF(D2285=7,1,(IF(WEEKDAY(B2285)=1,2,IF(WEEKDAY(B2285)=7,1,0))))))</f>
        <v>3</v>
      </c>
    </row>
    <row r="2286" spans="2:22">
      <c r="B2286" s="318">
        <f t="shared" si="143"/>
        <v>46208</v>
      </c>
      <c r="C2286" s="312">
        <v>2</v>
      </c>
      <c r="D2286" s="368">
        <f>IFERROR((INDEX(METADATA!$T$2:$T$20,MATCH(B2286,METADATA!$S$2:$S$20,0))),0)</f>
        <v>0</v>
      </c>
      <c r="E2286" s="312" t="str">
        <f t="shared" si="140"/>
        <v>LO</v>
      </c>
      <c r="F2286" s="369">
        <f>VLOOKUP(C2286,METADATA!$A$5:$H$29,IF(E2286="HI",2,IF(E2286="LO",6,10))+IF(D2286=1,2,IF(D2286=7,1,(IF(WEEKDAY(B2286)=1,2,IF(WEEKDAY(B2286)=7,1,0))))))</f>
        <v>3</v>
      </c>
      <c r="G2286" s="369">
        <f>VLOOKUP(C2286,METADATA!$J$5:$Q$29,IF(E2286="HI",2,IF(E2286="LO",6,10))+IF(D2286=1,2,IF(D2286=7,1,(IF(WEEKDAY(B2286)=1,2,IF(WEEKDAY(B2286)=7,1,0))))))</f>
        <v>3</v>
      </c>
      <c r="H2286" s="370">
        <v>13415.774841308594</v>
      </c>
      <c r="I2286" s="370">
        <v>4676.8000183105469</v>
      </c>
      <c r="M2286" s="371">
        <f t="shared" si="141"/>
        <v>14207.585051793923</v>
      </c>
      <c r="N2286" s="329">
        <f t="shared" si="142"/>
        <v>652.06756591796875</v>
      </c>
      <c r="T2286" s="331">
        <v>0</v>
      </c>
      <c r="U2286" s="328">
        <f>VLOOKUP(C2286,METADATA!$J$5:$Q$29,IF(E2286="HI",2,IF(E2286="LO",6,10))+IF(T2286=1,2,IF(D2286=7,1,(IF(WEEKDAY(B2286)=1,2,IF(WEEKDAY(B2286)=7,1,0))))))</f>
        <v>3</v>
      </c>
      <c r="V2286" s="328">
        <f>VLOOKUP(C2286,METADATA!$A$5:$H$29,IF(E2286="HI",2,IF(E2286="LO",6,10))+IF(T2286=1,2,IF(D2286=7,1,(IF(WEEKDAY(B2286)=1,2,IF(WEEKDAY(B2286)=7,1,0))))))</f>
        <v>3</v>
      </c>
    </row>
    <row r="2287" spans="2:22">
      <c r="B2287" s="318">
        <f t="shared" si="143"/>
        <v>46208</v>
      </c>
      <c r="C2287" s="312">
        <v>3</v>
      </c>
      <c r="D2287" s="368">
        <f>IFERROR((INDEX(METADATA!$T$2:$T$20,MATCH(B2287,METADATA!$S$2:$S$20,0))),0)</f>
        <v>0</v>
      </c>
      <c r="E2287" s="312" t="str">
        <f t="shared" si="140"/>
        <v>LO</v>
      </c>
      <c r="F2287" s="369">
        <f>VLOOKUP(C2287,METADATA!$A$5:$H$29,IF(E2287="HI",2,IF(E2287="LO",6,10))+IF(D2287=1,2,IF(D2287=7,1,(IF(WEEKDAY(B2287)=1,2,IF(WEEKDAY(B2287)=7,1,0))))))</f>
        <v>3</v>
      </c>
      <c r="G2287" s="369">
        <f>VLOOKUP(C2287,METADATA!$J$5:$Q$29,IF(E2287="HI",2,IF(E2287="LO",6,10))+IF(D2287=1,2,IF(D2287=7,1,(IF(WEEKDAY(B2287)=1,2,IF(WEEKDAY(B2287)=7,1,0))))))</f>
        <v>3</v>
      </c>
      <c r="H2287" s="370">
        <v>13342.349487304688</v>
      </c>
      <c r="I2287" s="370">
        <v>4624.7900390625</v>
      </c>
      <c r="M2287" s="371">
        <f t="shared" si="141"/>
        <v>14121.153378771558</v>
      </c>
      <c r="N2287" s="329">
        <f t="shared" si="142"/>
        <v>622.08519287109402</v>
      </c>
      <c r="T2287" s="331">
        <v>0</v>
      </c>
      <c r="U2287" s="328">
        <f>VLOOKUP(C2287,METADATA!$J$5:$Q$29,IF(E2287="HI",2,IF(E2287="LO",6,10))+IF(T2287=1,2,IF(D2287=7,1,(IF(WEEKDAY(B2287)=1,2,IF(WEEKDAY(B2287)=7,1,0))))))</f>
        <v>3</v>
      </c>
      <c r="V2287" s="328">
        <f>VLOOKUP(C2287,METADATA!$A$5:$H$29,IF(E2287="HI",2,IF(E2287="LO",6,10))+IF(T2287=1,2,IF(D2287=7,1,(IF(WEEKDAY(B2287)=1,2,IF(WEEKDAY(B2287)=7,1,0))))))</f>
        <v>3</v>
      </c>
    </row>
    <row r="2288" spans="2:22">
      <c r="B2288" s="318">
        <f t="shared" si="143"/>
        <v>46208</v>
      </c>
      <c r="C2288" s="312">
        <v>4</v>
      </c>
      <c r="D2288" s="368">
        <f>IFERROR((INDEX(METADATA!$T$2:$T$20,MATCH(B2288,METADATA!$S$2:$S$20,0))),0)</f>
        <v>0</v>
      </c>
      <c r="E2288" s="312" t="str">
        <f t="shared" si="140"/>
        <v>LO</v>
      </c>
      <c r="F2288" s="369">
        <f>VLOOKUP(C2288,METADATA!$A$5:$H$29,IF(E2288="HI",2,IF(E2288="LO",6,10))+IF(D2288=1,2,IF(D2288=7,1,(IF(WEEKDAY(B2288)=1,2,IF(WEEKDAY(B2288)=7,1,0))))))</f>
        <v>3</v>
      </c>
      <c r="G2288" s="369">
        <f>VLOOKUP(C2288,METADATA!$J$5:$Q$29,IF(E2288="HI",2,IF(E2288="LO",6,10))+IF(D2288=1,2,IF(D2288=7,1,(IF(WEEKDAY(B2288)=1,2,IF(WEEKDAY(B2288)=7,1,0))))))</f>
        <v>3</v>
      </c>
      <c r="H2288" s="370">
        <v>13420.799926757813</v>
      </c>
      <c r="I2288" s="370">
        <v>4611.3149719238281</v>
      </c>
      <c r="M2288" s="371">
        <f t="shared" si="141"/>
        <v>14190.915983274348</v>
      </c>
      <c r="N2288" s="329">
        <f t="shared" si="142"/>
        <v>585.07499389648456</v>
      </c>
      <c r="T2288" s="331">
        <v>0</v>
      </c>
      <c r="U2288" s="328">
        <f>VLOOKUP(C2288,METADATA!$J$5:$Q$29,IF(E2288="HI",2,IF(E2288="LO",6,10))+IF(T2288=1,2,IF(D2288=7,1,(IF(WEEKDAY(B2288)=1,2,IF(WEEKDAY(B2288)=7,1,0))))))</f>
        <v>3</v>
      </c>
      <c r="V2288" s="328">
        <f>VLOOKUP(C2288,METADATA!$A$5:$H$29,IF(E2288="HI",2,IF(E2288="LO",6,10))+IF(T2288=1,2,IF(D2288=7,1,(IF(WEEKDAY(B2288)=1,2,IF(WEEKDAY(B2288)=7,1,0))))))</f>
        <v>3</v>
      </c>
    </row>
    <row r="2289" spans="2:22">
      <c r="B2289" s="318">
        <f t="shared" si="143"/>
        <v>46208</v>
      </c>
      <c r="C2289" s="312">
        <v>5</v>
      </c>
      <c r="D2289" s="368">
        <f>IFERROR((INDEX(METADATA!$T$2:$T$20,MATCH(B2289,METADATA!$S$2:$S$20,0))),0)</f>
        <v>0</v>
      </c>
      <c r="E2289" s="312" t="str">
        <f t="shared" si="140"/>
        <v>LO</v>
      </c>
      <c r="F2289" s="369">
        <f>VLOOKUP(C2289,METADATA!$A$5:$H$29,IF(E2289="HI",2,IF(E2289="LO",6,10))+IF(D2289=1,2,IF(D2289=7,1,(IF(WEEKDAY(B2289)=1,2,IF(WEEKDAY(B2289)=7,1,0))))))</f>
        <v>3</v>
      </c>
      <c r="G2289" s="369">
        <f>VLOOKUP(C2289,METADATA!$J$5:$Q$29,IF(E2289="HI",2,IF(E2289="LO",6,10))+IF(D2289=1,2,IF(D2289=7,1,(IF(WEEKDAY(B2289)=1,2,IF(WEEKDAY(B2289)=7,1,0))))))</f>
        <v>3</v>
      </c>
      <c r="H2289" s="370">
        <v>13465.7744140625</v>
      </c>
      <c r="I2289" s="370">
        <v>4520.239990234375</v>
      </c>
      <c r="M2289" s="371">
        <f t="shared" si="141"/>
        <v>14204.212408286998</v>
      </c>
      <c r="N2289" s="329">
        <f t="shared" si="142"/>
        <v>480.50766601562509</v>
      </c>
      <c r="T2289" s="331">
        <v>0</v>
      </c>
      <c r="U2289" s="328">
        <f>VLOOKUP(C2289,METADATA!$J$5:$Q$29,IF(E2289="HI",2,IF(E2289="LO",6,10))+IF(T2289=1,2,IF(D2289=7,1,(IF(WEEKDAY(B2289)=1,2,IF(WEEKDAY(B2289)=7,1,0))))))</f>
        <v>3</v>
      </c>
      <c r="V2289" s="328">
        <f>VLOOKUP(C2289,METADATA!$A$5:$H$29,IF(E2289="HI",2,IF(E2289="LO",6,10))+IF(T2289=1,2,IF(D2289=7,1,(IF(WEEKDAY(B2289)=1,2,IF(WEEKDAY(B2289)=7,1,0))))))</f>
        <v>3</v>
      </c>
    </row>
    <row r="2290" spans="2:22">
      <c r="B2290" s="318">
        <f t="shared" si="143"/>
        <v>46208</v>
      </c>
      <c r="C2290" s="312">
        <v>6</v>
      </c>
      <c r="D2290" s="368">
        <f>IFERROR((INDEX(METADATA!$T$2:$T$20,MATCH(B2290,METADATA!$S$2:$S$20,0))),0)</f>
        <v>0</v>
      </c>
      <c r="E2290" s="312" t="str">
        <f t="shared" si="140"/>
        <v>LO</v>
      </c>
      <c r="F2290" s="369">
        <f>VLOOKUP(C2290,METADATA!$A$5:$H$29,IF(E2290="HI",2,IF(E2290="LO",6,10))+IF(D2290=1,2,IF(D2290=7,1,(IF(WEEKDAY(B2290)=1,2,IF(WEEKDAY(B2290)=7,1,0))))))</f>
        <v>3</v>
      </c>
      <c r="G2290" s="369">
        <f>VLOOKUP(C2290,METADATA!$J$5:$Q$29,IF(E2290="HI",2,IF(E2290="LO",6,10))+IF(D2290=1,2,IF(D2290=7,1,(IF(WEEKDAY(B2290)=1,2,IF(WEEKDAY(B2290)=7,1,0))))))</f>
        <v>3</v>
      </c>
      <c r="H2290" s="370">
        <v>13537.849731445313</v>
      </c>
      <c r="I2290" s="370">
        <v>4476.179931640625</v>
      </c>
      <c r="M2290" s="371">
        <f t="shared" si="141"/>
        <v>14258.666211522597</v>
      </c>
      <c r="N2290" s="329">
        <f t="shared" si="142"/>
        <v>414.82501220703125</v>
      </c>
      <c r="T2290" s="331">
        <v>0</v>
      </c>
      <c r="U2290" s="328">
        <f>VLOOKUP(C2290,METADATA!$J$5:$Q$29,IF(E2290="HI",2,IF(E2290="LO",6,10))+IF(T2290=1,2,IF(D2290=7,1,(IF(WEEKDAY(B2290)=1,2,IF(WEEKDAY(B2290)=7,1,0))))))</f>
        <v>3</v>
      </c>
      <c r="V2290" s="328">
        <f>VLOOKUP(C2290,METADATA!$A$5:$H$29,IF(E2290="HI",2,IF(E2290="LO",6,10))+IF(T2290=1,2,IF(D2290=7,1,(IF(WEEKDAY(B2290)=1,2,IF(WEEKDAY(B2290)=7,1,0))))))</f>
        <v>3</v>
      </c>
    </row>
    <row r="2291" spans="2:22">
      <c r="B2291" s="318">
        <f t="shared" si="143"/>
        <v>46208</v>
      </c>
      <c r="C2291" s="312">
        <v>7</v>
      </c>
      <c r="D2291" s="368">
        <f>IFERROR((INDEX(METADATA!$T$2:$T$20,MATCH(B2291,METADATA!$S$2:$S$20,0))),0)</f>
        <v>0</v>
      </c>
      <c r="E2291" s="312" t="str">
        <f t="shared" si="140"/>
        <v>LO</v>
      </c>
      <c r="F2291" s="369">
        <f>VLOOKUP(C2291,METADATA!$A$5:$H$29,IF(E2291="HI",2,IF(E2291="LO",6,10))+IF(D2291=1,2,IF(D2291=7,1,(IF(WEEKDAY(B2291)=1,2,IF(WEEKDAY(B2291)=7,1,0))))))</f>
        <v>3</v>
      </c>
      <c r="G2291" s="369">
        <f>VLOOKUP(C2291,METADATA!$J$5:$Q$29,IF(E2291="HI",2,IF(E2291="LO",6,10))+IF(D2291=1,2,IF(D2291=7,1,(IF(WEEKDAY(B2291)=1,2,IF(WEEKDAY(B2291)=7,1,0))))))</f>
        <v>3</v>
      </c>
      <c r="H2291" s="370">
        <v>13632.049865722656</v>
      </c>
      <c r="I2291" s="370">
        <v>4577.3249816894531</v>
      </c>
      <c r="M2291" s="371">
        <f t="shared" si="141"/>
        <v>14380.009997546853</v>
      </c>
      <c r="N2291" s="329">
        <f t="shared" si="142"/>
        <v>487.71002197265625</v>
      </c>
      <c r="T2291" s="331">
        <v>0</v>
      </c>
      <c r="U2291" s="328">
        <f>VLOOKUP(C2291,METADATA!$J$5:$Q$29,IF(E2291="HI",2,IF(E2291="LO",6,10))+IF(T2291=1,2,IF(D2291=7,1,(IF(WEEKDAY(B2291)=1,2,IF(WEEKDAY(B2291)=7,1,0))))))</f>
        <v>3</v>
      </c>
      <c r="V2291" s="328">
        <f>VLOOKUP(C2291,METADATA!$A$5:$H$29,IF(E2291="HI",2,IF(E2291="LO",6,10))+IF(T2291=1,2,IF(D2291=7,1,(IF(WEEKDAY(B2291)=1,2,IF(WEEKDAY(B2291)=7,1,0))))))</f>
        <v>3</v>
      </c>
    </row>
    <row r="2292" spans="2:22">
      <c r="B2292" s="318">
        <f t="shared" si="143"/>
        <v>46208</v>
      </c>
      <c r="C2292" s="312">
        <v>8</v>
      </c>
      <c r="D2292" s="368">
        <f>IFERROR((INDEX(METADATA!$T$2:$T$20,MATCH(B2292,METADATA!$S$2:$S$20,0))),0)</f>
        <v>0</v>
      </c>
      <c r="E2292" s="312" t="str">
        <f t="shared" si="140"/>
        <v>LO</v>
      </c>
      <c r="F2292" s="369">
        <f>VLOOKUP(C2292,METADATA!$A$5:$H$29,IF(E2292="HI",2,IF(E2292="LO",6,10))+IF(D2292=1,2,IF(D2292=7,1,(IF(WEEKDAY(B2292)=1,2,IF(WEEKDAY(B2292)=7,1,0))))))</f>
        <v>3</v>
      </c>
      <c r="G2292" s="369">
        <f>VLOOKUP(C2292,METADATA!$J$5:$Q$29,IF(E2292="HI",2,IF(E2292="LO",6,10))+IF(D2292=1,2,IF(D2292=7,1,(IF(WEEKDAY(B2292)=1,2,IF(WEEKDAY(B2292)=7,1,0))))))</f>
        <v>3</v>
      </c>
      <c r="H2292" s="370">
        <v>13661.849548339844</v>
      </c>
      <c r="I2292" s="370">
        <v>4443.2099609375</v>
      </c>
      <c r="M2292" s="371">
        <f t="shared" si="141"/>
        <v>14366.218981988539</v>
      </c>
      <c r="N2292" s="329">
        <f t="shared" si="142"/>
        <v>344.65509643554742</v>
      </c>
      <c r="T2292" s="331">
        <v>0</v>
      </c>
      <c r="U2292" s="328">
        <f>VLOOKUP(C2292,METADATA!$J$5:$Q$29,IF(E2292="HI",2,IF(E2292="LO",6,10))+IF(T2292=1,2,IF(D2292=7,1,(IF(WEEKDAY(B2292)=1,2,IF(WEEKDAY(B2292)=7,1,0))))))</f>
        <v>3</v>
      </c>
      <c r="V2292" s="328">
        <f>VLOOKUP(C2292,METADATA!$A$5:$H$29,IF(E2292="HI",2,IF(E2292="LO",6,10))+IF(T2292=1,2,IF(D2292=7,1,(IF(WEEKDAY(B2292)=1,2,IF(WEEKDAY(B2292)=7,1,0))))))</f>
        <v>3</v>
      </c>
    </row>
    <row r="2293" spans="2:22">
      <c r="B2293" s="318">
        <f t="shared" si="143"/>
        <v>46208</v>
      </c>
      <c r="C2293" s="312">
        <v>9</v>
      </c>
      <c r="D2293" s="368">
        <f>IFERROR((INDEX(METADATA!$T$2:$T$20,MATCH(B2293,METADATA!$S$2:$S$20,0))),0)</f>
        <v>0</v>
      </c>
      <c r="E2293" s="312" t="str">
        <f t="shared" si="140"/>
        <v>LO</v>
      </c>
      <c r="F2293" s="369">
        <f>VLOOKUP(C2293,METADATA!$A$5:$H$29,IF(E2293="HI",2,IF(E2293="LO",6,10))+IF(D2293=1,2,IF(D2293=7,1,(IF(WEEKDAY(B2293)=1,2,IF(WEEKDAY(B2293)=7,1,0))))))</f>
        <v>3</v>
      </c>
      <c r="G2293" s="369">
        <f>VLOOKUP(C2293,METADATA!$J$5:$Q$29,IF(E2293="HI",2,IF(E2293="LO",6,10))+IF(D2293=1,2,IF(D2293=7,1,(IF(WEEKDAY(B2293)=1,2,IF(WEEKDAY(B2293)=7,1,0))))))</f>
        <v>3</v>
      </c>
      <c r="H2293" s="370">
        <v>13309.175415039063</v>
      </c>
      <c r="I2293" s="370">
        <v>4456.1500244140625</v>
      </c>
      <c r="M2293" s="371">
        <f t="shared" si="141"/>
        <v>14035.363310878904</v>
      </c>
      <c r="N2293" s="329">
        <f t="shared" si="142"/>
        <v>463.39739990234375</v>
      </c>
      <c r="T2293" s="331">
        <v>0</v>
      </c>
      <c r="U2293" s="328">
        <f>VLOOKUP(C2293,METADATA!$J$5:$Q$29,IF(E2293="HI",2,IF(E2293="LO",6,10))+IF(T2293=1,2,IF(D2293=7,1,(IF(WEEKDAY(B2293)=1,2,IF(WEEKDAY(B2293)=7,1,0))))))</f>
        <v>3</v>
      </c>
      <c r="V2293" s="328">
        <f>VLOOKUP(C2293,METADATA!$A$5:$H$29,IF(E2293="HI",2,IF(E2293="LO",6,10))+IF(T2293=1,2,IF(D2293=7,1,(IF(WEEKDAY(B2293)=1,2,IF(WEEKDAY(B2293)=7,1,0))))))</f>
        <v>3</v>
      </c>
    </row>
    <row r="2294" spans="2:22">
      <c r="B2294" s="318">
        <f t="shared" si="143"/>
        <v>46208</v>
      </c>
      <c r="C2294" s="312">
        <v>10</v>
      </c>
      <c r="D2294" s="368">
        <f>IFERROR((INDEX(METADATA!$T$2:$T$20,MATCH(B2294,METADATA!$S$2:$S$20,0))),0)</f>
        <v>0</v>
      </c>
      <c r="E2294" s="312" t="str">
        <f t="shared" si="140"/>
        <v>LO</v>
      </c>
      <c r="F2294" s="369">
        <f>VLOOKUP(C2294,METADATA!$A$5:$H$29,IF(E2294="HI",2,IF(E2294="LO",6,10))+IF(D2294=1,2,IF(D2294=7,1,(IF(WEEKDAY(B2294)=1,2,IF(WEEKDAY(B2294)=7,1,0))))))</f>
        <v>3</v>
      </c>
      <c r="G2294" s="369">
        <f>VLOOKUP(C2294,METADATA!$J$5:$Q$29,IF(E2294="HI",2,IF(E2294="LO",6,10))+IF(D2294=1,2,IF(D2294=7,1,(IF(WEEKDAY(B2294)=1,2,IF(WEEKDAY(B2294)=7,1,0))))))</f>
        <v>3</v>
      </c>
      <c r="H2294" s="370">
        <v>11542.747497558594</v>
      </c>
      <c r="I2294" s="370">
        <v>3318.2425231933594</v>
      </c>
      <c r="M2294" s="371">
        <f t="shared" si="141"/>
        <v>12010.235353028009</v>
      </c>
      <c r="N2294" s="329">
        <f t="shared" si="142"/>
        <v>0</v>
      </c>
      <c r="T2294" s="331">
        <v>0</v>
      </c>
      <c r="U2294" s="328">
        <f>VLOOKUP(C2294,METADATA!$J$5:$Q$29,IF(E2294="HI",2,IF(E2294="LO",6,10))+IF(T2294=1,2,IF(D2294=7,1,(IF(WEEKDAY(B2294)=1,2,IF(WEEKDAY(B2294)=7,1,0))))))</f>
        <v>3</v>
      </c>
      <c r="V2294" s="328">
        <f>VLOOKUP(C2294,METADATA!$A$5:$H$29,IF(E2294="HI",2,IF(E2294="LO",6,10))+IF(T2294=1,2,IF(D2294=7,1,(IF(WEEKDAY(B2294)=1,2,IF(WEEKDAY(B2294)=7,1,0))))))</f>
        <v>3</v>
      </c>
    </row>
    <row r="2295" spans="2:22">
      <c r="B2295" s="318">
        <f t="shared" si="143"/>
        <v>46208</v>
      </c>
      <c r="C2295" s="312">
        <v>11</v>
      </c>
      <c r="D2295" s="368">
        <f>IFERROR((INDEX(METADATA!$T$2:$T$20,MATCH(B2295,METADATA!$S$2:$S$20,0))),0)</f>
        <v>0</v>
      </c>
      <c r="E2295" s="312" t="str">
        <f t="shared" si="140"/>
        <v>LO</v>
      </c>
      <c r="F2295" s="369">
        <f>VLOOKUP(C2295,METADATA!$A$5:$H$29,IF(E2295="HI",2,IF(E2295="LO",6,10))+IF(D2295=1,2,IF(D2295=7,1,(IF(WEEKDAY(B2295)=1,2,IF(WEEKDAY(B2295)=7,1,0))))))</f>
        <v>3</v>
      </c>
      <c r="G2295" s="369">
        <f>VLOOKUP(C2295,METADATA!$J$5:$Q$29,IF(E2295="HI",2,IF(E2295="LO",6,10))+IF(D2295=1,2,IF(D2295=7,1,(IF(WEEKDAY(B2295)=1,2,IF(WEEKDAY(B2295)=7,1,0))))))</f>
        <v>3</v>
      </c>
      <c r="H2295" s="370">
        <v>13106.94970703125</v>
      </c>
      <c r="I2295" s="370">
        <v>4415.8800048828125</v>
      </c>
      <c r="M2295" s="371">
        <f t="shared" si="141"/>
        <v>13830.839701195671</v>
      </c>
      <c r="N2295" s="329">
        <f t="shared" si="142"/>
        <v>483.79509277343777</v>
      </c>
      <c r="T2295" s="331">
        <v>0</v>
      </c>
      <c r="U2295" s="328">
        <f>VLOOKUP(C2295,METADATA!$J$5:$Q$29,IF(E2295="HI",2,IF(E2295="LO",6,10))+IF(T2295=1,2,IF(D2295=7,1,(IF(WEEKDAY(B2295)=1,2,IF(WEEKDAY(B2295)=7,1,0))))))</f>
        <v>3</v>
      </c>
      <c r="V2295" s="328">
        <f>VLOOKUP(C2295,METADATA!$A$5:$H$29,IF(E2295="HI",2,IF(E2295="LO",6,10))+IF(T2295=1,2,IF(D2295=7,1,(IF(WEEKDAY(B2295)=1,2,IF(WEEKDAY(B2295)=7,1,0))))))</f>
        <v>3</v>
      </c>
    </row>
    <row r="2296" spans="2:22">
      <c r="B2296" s="318">
        <f t="shared" si="143"/>
        <v>46208</v>
      </c>
      <c r="C2296" s="312">
        <v>12</v>
      </c>
      <c r="D2296" s="368">
        <f>IFERROR((INDEX(METADATA!$T$2:$T$20,MATCH(B2296,METADATA!$S$2:$S$20,0))),0)</f>
        <v>0</v>
      </c>
      <c r="E2296" s="312" t="str">
        <f t="shared" si="140"/>
        <v>LO</v>
      </c>
      <c r="F2296" s="369">
        <f>VLOOKUP(C2296,METADATA!$A$5:$H$29,IF(E2296="HI",2,IF(E2296="LO",6,10))+IF(D2296=1,2,IF(D2296=7,1,(IF(WEEKDAY(B2296)=1,2,IF(WEEKDAY(B2296)=7,1,0))))))</f>
        <v>3</v>
      </c>
      <c r="G2296" s="369">
        <f>VLOOKUP(C2296,METADATA!$J$5:$Q$29,IF(E2296="HI",2,IF(E2296="LO",6,10))+IF(D2296=1,2,IF(D2296=7,1,(IF(WEEKDAY(B2296)=1,2,IF(WEEKDAY(B2296)=7,1,0))))))</f>
        <v>3</v>
      </c>
      <c r="H2296" s="370">
        <v>12776.599792480469</v>
      </c>
      <c r="I2296" s="370">
        <v>3834.3049621582031</v>
      </c>
      <c r="M2296" s="371">
        <f t="shared" si="141"/>
        <v>13339.542600855661</v>
      </c>
      <c r="N2296" s="329">
        <f t="shared" si="142"/>
        <v>1.3250244140626819</v>
      </c>
      <c r="T2296" s="331">
        <v>0</v>
      </c>
      <c r="U2296" s="328">
        <f>VLOOKUP(C2296,METADATA!$J$5:$Q$29,IF(E2296="HI",2,IF(E2296="LO",6,10))+IF(T2296=1,2,IF(D2296=7,1,(IF(WEEKDAY(B2296)=1,2,IF(WEEKDAY(B2296)=7,1,0))))))</f>
        <v>3</v>
      </c>
      <c r="V2296" s="328">
        <f>VLOOKUP(C2296,METADATA!$A$5:$H$29,IF(E2296="HI",2,IF(E2296="LO",6,10))+IF(T2296=1,2,IF(D2296=7,1,(IF(WEEKDAY(B2296)=1,2,IF(WEEKDAY(B2296)=7,1,0))))))</f>
        <v>3</v>
      </c>
    </row>
    <row r="2297" spans="2:22">
      <c r="B2297" s="318">
        <f t="shared" si="143"/>
        <v>46208</v>
      </c>
      <c r="C2297" s="312">
        <v>13</v>
      </c>
      <c r="D2297" s="368">
        <f>IFERROR((INDEX(METADATA!$T$2:$T$20,MATCH(B2297,METADATA!$S$2:$S$20,0))),0)</f>
        <v>0</v>
      </c>
      <c r="E2297" s="312" t="str">
        <f t="shared" si="140"/>
        <v>LO</v>
      </c>
      <c r="F2297" s="369">
        <f>VLOOKUP(C2297,METADATA!$A$5:$H$29,IF(E2297="HI",2,IF(E2297="LO",6,10))+IF(D2297=1,2,IF(D2297=7,1,(IF(WEEKDAY(B2297)=1,2,IF(WEEKDAY(B2297)=7,1,0))))))</f>
        <v>3</v>
      </c>
      <c r="G2297" s="369">
        <f>VLOOKUP(C2297,METADATA!$J$5:$Q$29,IF(E2297="HI",2,IF(E2297="LO",6,10))+IF(D2297=1,2,IF(D2297=7,1,(IF(WEEKDAY(B2297)=1,2,IF(WEEKDAY(B2297)=7,1,0))))))</f>
        <v>3</v>
      </c>
      <c r="H2297" s="370">
        <v>12250.374877929688</v>
      </c>
      <c r="I2297" s="370">
        <v>3248.8150100708008</v>
      </c>
      <c r="M2297" s="371">
        <f t="shared" si="141"/>
        <v>12673.850386503389</v>
      </c>
      <c r="N2297" s="329">
        <f t="shared" si="142"/>
        <v>0</v>
      </c>
      <c r="T2297" s="331">
        <v>0</v>
      </c>
      <c r="U2297" s="328">
        <f>VLOOKUP(C2297,METADATA!$J$5:$Q$29,IF(E2297="HI",2,IF(E2297="LO",6,10))+IF(T2297=1,2,IF(D2297=7,1,(IF(WEEKDAY(B2297)=1,2,IF(WEEKDAY(B2297)=7,1,0))))))</f>
        <v>3</v>
      </c>
      <c r="V2297" s="328">
        <f>VLOOKUP(C2297,METADATA!$A$5:$H$29,IF(E2297="HI",2,IF(E2297="LO",6,10))+IF(T2297=1,2,IF(D2297=7,1,(IF(WEEKDAY(B2297)=1,2,IF(WEEKDAY(B2297)=7,1,0))))))</f>
        <v>3</v>
      </c>
    </row>
    <row r="2298" spans="2:22">
      <c r="B2298" s="318">
        <f t="shared" si="143"/>
        <v>46208</v>
      </c>
      <c r="C2298" s="312">
        <v>14</v>
      </c>
      <c r="D2298" s="368">
        <f>IFERROR((INDEX(METADATA!$T$2:$T$20,MATCH(B2298,METADATA!$S$2:$S$20,0))),0)</f>
        <v>0</v>
      </c>
      <c r="E2298" s="312" t="str">
        <f t="shared" si="140"/>
        <v>LO</v>
      </c>
      <c r="F2298" s="369">
        <f>VLOOKUP(C2298,METADATA!$A$5:$H$29,IF(E2298="HI",2,IF(E2298="LO",6,10))+IF(D2298=1,2,IF(D2298=7,1,(IF(WEEKDAY(B2298)=1,2,IF(WEEKDAY(B2298)=7,1,0))))))</f>
        <v>3</v>
      </c>
      <c r="G2298" s="369">
        <f>VLOOKUP(C2298,METADATA!$J$5:$Q$29,IF(E2298="HI",2,IF(E2298="LO",6,10))+IF(D2298=1,2,IF(D2298=7,1,(IF(WEEKDAY(B2298)=1,2,IF(WEEKDAY(B2298)=7,1,0))))))</f>
        <v>3</v>
      </c>
      <c r="H2298" s="370">
        <v>12290.35009765625</v>
      </c>
      <c r="I2298" s="370">
        <v>3327.5599670410156</v>
      </c>
      <c r="M2298" s="371">
        <f t="shared" si="141"/>
        <v>12732.84574858319</v>
      </c>
      <c r="N2298" s="329">
        <f t="shared" si="142"/>
        <v>0</v>
      </c>
      <c r="T2298" s="331">
        <v>0</v>
      </c>
      <c r="U2298" s="328">
        <f>VLOOKUP(C2298,METADATA!$J$5:$Q$29,IF(E2298="HI",2,IF(E2298="LO",6,10))+IF(T2298=1,2,IF(D2298=7,1,(IF(WEEKDAY(B2298)=1,2,IF(WEEKDAY(B2298)=7,1,0))))))</f>
        <v>3</v>
      </c>
      <c r="V2298" s="328">
        <f>VLOOKUP(C2298,METADATA!$A$5:$H$29,IF(E2298="HI",2,IF(E2298="LO",6,10))+IF(T2298=1,2,IF(D2298=7,1,(IF(WEEKDAY(B2298)=1,2,IF(WEEKDAY(B2298)=7,1,0))))))</f>
        <v>3</v>
      </c>
    </row>
    <row r="2299" spans="2:22">
      <c r="B2299" s="318">
        <f t="shared" si="143"/>
        <v>46208</v>
      </c>
      <c r="C2299" s="312">
        <v>15</v>
      </c>
      <c r="D2299" s="368">
        <f>IFERROR((INDEX(METADATA!$T$2:$T$20,MATCH(B2299,METADATA!$S$2:$S$20,0))),0)</f>
        <v>0</v>
      </c>
      <c r="E2299" s="312" t="str">
        <f t="shared" si="140"/>
        <v>LO</v>
      </c>
      <c r="F2299" s="369">
        <f>VLOOKUP(C2299,METADATA!$A$5:$H$29,IF(E2299="HI",2,IF(E2299="LO",6,10))+IF(D2299=1,2,IF(D2299=7,1,(IF(WEEKDAY(B2299)=1,2,IF(WEEKDAY(B2299)=7,1,0))))))</f>
        <v>3</v>
      </c>
      <c r="G2299" s="369">
        <f>VLOOKUP(C2299,METADATA!$J$5:$Q$29,IF(E2299="HI",2,IF(E2299="LO",6,10))+IF(D2299=1,2,IF(D2299=7,1,(IF(WEEKDAY(B2299)=1,2,IF(WEEKDAY(B2299)=7,1,0))))))</f>
        <v>3</v>
      </c>
      <c r="H2299" s="370">
        <v>12242.649719238281</v>
      </c>
      <c r="I2299" s="370">
        <v>3324.0048980712891</v>
      </c>
      <c r="M2299" s="371">
        <f t="shared" si="141"/>
        <v>12685.8772148546</v>
      </c>
      <c r="N2299" s="329">
        <f t="shared" si="142"/>
        <v>0</v>
      </c>
      <c r="T2299" s="331">
        <v>0</v>
      </c>
      <c r="U2299" s="328">
        <f>VLOOKUP(C2299,METADATA!$J$5:$Q$29,IF(E2299="HI",2,IF(E2299="LO",6,10))+IF(T2299=1,2,IF(D2299=7,1,(IF(WEEKDAY(B2299)=1,2,IF(WEEKDAY(B2299)=7,1,0))))))</f>
        <v>3</v>
      </c>
      <c r="V2299" s="328">
        <f>VLOOKUP(C2299,METADATA!$A$5:$H$29,IF(E2299="HI",2,IF(E2299="LO",6,10))+IF(T2299=1,2,IF(D2299=7,1,(IF(WEEKDAY(B2299)=1,2,IF(WEEKDAY(B2299)=7,1,0))))))</f>
        <v>3</v>
      </c>
    </row>
    <row r="2300" spans="2:22">
      <c r="B2300" s="318">
        <f t="shared" si="143"/>
        <v>46208</v>
      </c>
      <c r="C2300" s="312">
        <v>16</v>
      </c>
      <c r="D2300" s="368">
        <f>IFERROR((INDEX(METADATA!$T$2:$T$20,MATCH(B2300,METADATA!$S$2:$S$20,0))),0)</f>
        <v>0</v>
      </c>
      <c r="E2300" s="312" t="str">
        <f t="shared" si="140"/>
        <v>LO</v>
      </c>
      <c r="F2300" s="369">
        <f>VLOOKUP(C2300,METADATA!$A$5:$H$29,IF(E2300="HI",2,IF(E2300="LO",6,10))+IF(D2300=1,2,IF(D2300=7,1,(IF(WEEKDAY(B2300)=1,2,IF(WEEKDAY(B2300)=7,1,0))))))</f>
        <v>3</v>
      </c>
      <c r="G2300" s="369">
        <f>VLOOKUP(C2300,METADATA!$J$5:$Q$29,IF(E2300="HI",2,IF(E2300="LO",6,10))+IF(D2300=1,2,IF(D2300=7,1,(IF(WEEKDAY(B2300)=1,2,IF(WEEKDAY(B2300)=7,1,0))))))</f>
        <v>3</v>
      </c>
      <c r="H2300" s="370">
        <v>12288.4248046875</v>
      </c>
      <c r="I2300" s="370">
        <v>3464.02001953125</v>
      </c>
      <c r="M2300" s="371">
        <f t="shared" si="141"/>
        <v>12767.334055164856</v>
      </c>
      <c r="N2300" s="329">
        <f t="shared" si="142"/>
        <v>0</v>
      </c>
      <c r="T2300" s="331">
        <v>0</v>
      </c>
      <c r="U2300" s="328">
        <f>VLOOKUP(C2300,METADATA!$J$5:$Q$29,IF(E2300="HI",2,IF(E2300="LO",6,10))+IF(T2300=1,2,IF(D2300=7,1,(IF(WEEKDAY(B2300)=1,2,IF(WEEKDAY(B2300)=7,1,0))))))</f>
        <v>3</v>
      </c>
      <c r="V2300" s="328">
        <f>VLOOKUP(C2300,METADATA!$A$5:$H$29,IF(E2300="HI",2,IF(E2300="LO",6,10))+IF(T2300=1,2,IF(D2300=7,1,(IF(WEEKDAY(B2300)=1,2,IF(WEEKDAY(B2300)=7,1,0))))))</f>
        <v>3</v>
      </c>
    </row>
    <row r="2301" spans="2:22">
      <c r="B2301" s="318">
        <f t="shared" si="143"/>
        <v>46208</v>
      </c>
      <c r="C2301" s="312">
        <v>17</v>
      </c>
      <c r="D2301" s="368">
        <f>IFERROR((INDEX(METADATA!$T$2:$T$20,MATCH(B2301,METADATA!$S$2:$S$20,0))),0)</f>
        <v>0</v>
      </c>
      <c r="E2301" s="312" t="str">
        <f t="shared" si="140"/>
        <v>LO</v>
      </c>
      <c r="F2301" s="369">
        <f>VLOOKUP(C2301,METADATA!$A$5:$H$29,IF(E2301="HI",2,IF(E2301="LO",6,10))+IF(D2301=1,2,IF(D2301=7,1,(IF(WEEKDAY(B2301)=1,2,IF(WEEKDAY(B2301)=7,1,0))))))</f>
        <v>3</v>
      </c>
      <c r="G2301" s="369">
        <f>VLOOKUP(C2301,METADATA!$J$5:$Q$29,IF(E2301="HI",2,IF(E2301="LO",6,10))+IF(D2301=1,2,IF(D2301=7,1,(IF(WEEKDAY(B2301)=1,2,IF(WEEKDAY(B2301)=7,1,0))))))</f>
        <v>3</v>
      </c>
      <c r="H2301" s="370">
        <v>12755.575073242188</v>
      </c>
      <c r="I2301" s="370">
        <v>3939.5099029541016</v>
      </c>
      <c r="M2301" s="371">
        <f t="shared" si="141"/>
        <v>13350.07242394553</v>
      </c>
      <c r="N2301" s="329">
        <f t="shared" si="142"/>
        <v>112.83738098144568</v>
      </c>
      <c r="T2301" s="331">
        <v>0</v>
      </c>
      <c r="U2301" s="328">
        <f>VLOOKUP(C2301,METADATA!$J$5:$Q$29,IF(E2301="HI",2,IF(E2301="LO",6,10))+IF(T2301=1,2,IF(D2301=7,1,(IF(WEEKDAY(B2301)=1,2,IF(WEEKDAY(B2301)=7,1,0))))))</f>
        <v>3</v>
      </c>
      <c r="V2301" s="328">
        <f>VLOOKUP(C2301,METADATA!$A$5:$H$29,IF(E2301="HI",2,IF(E2301="LO",6,10))+IF(T2301=1,2,IF(D2301=7,1,(IF(WEEKDAY(B2301)=1,2,IF(WEEKDAY(B2301)=7,1,0))))))</f>
        <v>3</v>
      </c>
    </row>
    <row r="2302" spans="2:22">
      <c r="B2302" s="318">
        <f t="shared" si="143"/>
        <v>46208</v>
      </c>
      <c r="C2302" s="312">
        <v>18</v>
      </c>
      <c r="D2302" s="368">
        <f>IFERROR((INDEX(METADATA!$T$2:$T$20,MATCH(B2302,METADATA!$S$2:$S$20,0))),0)</f>
        <v>0</v>
      </c>
      <c r="E2302" s="312" t="str">
        <f t="shared" si="140"/>
        <v>LO</v>
      </c>
      <c r="F2302" s="369">
        <f>VLOOKUP(C2302,METADATA!$A$5:$H$29,IF(E2302="HI",2,IF(E2302="LO",6,10))+IF(D2302=1,2,IF(D2302=7,1,(IF(WEEKDAY(B2302)=1,2,IF(WEEKDAY(B2302)=7,1,0))))))</f>
        <v>2</v>
      </c>
      <c r="G2302" s="369">
        <f>VLOOKUP(C2302,METADATA!$J$5:$Q$29,IF(E2302="HI",2,IF(E2302="LO",6,10))+IF(D2302=1,2,IF(D2302=7,1,(IF(WEEKDAY(B2302)=1,2,IF(WEEKDAY(B2302)=7,1,0))))))</f>
        <v>2</v>
      </c>
      <c r="H2302" s="370">
        <v>12676.875244140625</v>
      </c>
      <c r="I2302" s="370">
        <v>3521.1249847412109</v>
      </c>
      <c r="M2302" s="371">
        <f t="shared" si="141"/>
        <v>13156.80383351801</v>
      </c>
      <c r="N2302" s="329">
        <f t="shared" si="142"/>
        <v>0</v>
      </c>
      <c r="T2302" s="331">
        <v>0</v>
      </c>
      <c r="U2302" s="328">
        <f>VLOOKUP(C2302,METADATA!$J$5:$Q$29,IF(E2302="HI",2,IF(E2302="LO",6,10))+IF(T2302=1,2,IF(D2302=7,1,(IF(WEEKDAY(B2302)=1,2,IF(WEEKDAY(B2302)=7,1,0))))))</f>
        <v>2</v>
      </c>
      <c r="V2302" s="328">
        <f>VLOOKUP(C2302,METADATA!$A$5:$H$29,IF(E2302="HI",2,IF(E2302="LO",6,10))+IF(T2302=1,2,IF(D2302=7,1,(IF(WEEKDAY(B2302)=1,2,IF(WEEKDAY(B2302)=7,1,0))))))</f>
        <v>2</v>
      </c>
    </row>
    <row r="2303" spans="2:22">
      <c r="B2303" s="318">
        <f t="shared" si="143"/>
        <v>46208</v>
      </c>
      <c r="C2303" s="312">
        <v>19</v>
      </c>
      <c r="D2303" s="368">
        <f>IFERROR((INDEX(METADATA!$T$2:$T$20,MATCH(B2303,METADATA!$S$2:$S$20,0))),0)</f>
        <v>0</v>
      </c>
      <c r="E2303" s="312" t="str">
        <f t="shared" si="140"/>
        <v>LO</v>
      </c>
      <c r="F2303" s="369">
        <f>VLOOKUP(C2303,METADATA!$A$5:$H$29,IF(E2303="HI",2,IF(E2303="LO",6,10))+IF(D2303=1,2,IF(D2303=7,1,(IF(WEEKDAY(B2303)=1,2,IF(WEEKDAY(B2303)=7,1,0))))))</f>
        <v>2</v>
      </c>
      <c r="G2303" s="369">
        <f>VLOOKUP(C2303,METADATA!$J$5:$Q$29,IF(E2303="HI",2,IF(E2303="LO",6,10))+IF(D2303=1,2,IF(D2303=7,1,(IF(WEEKDAY(B2303)=1,2,IF(WEEKDAY(B2303)=7,1,0))))))</f>
        <v>2</v>
      </c>
      <c r="H2303" s="370">
        <v>13457.049987792969</v>
      </c>
      <c r="I2303" s="370">
        <v>4551.4650573730469</v>
      </c>
      <c r="M2303" s="371">
        <f t="shared" si="141"/>
        <v>14205.915265918158</v>
      </c>
      <c r="N2303" s="329">
        <f t="shared" si="142"/>
        <v>514.35006103515661</v>
      </c>
      <c r="T2303" s="331">
        <v>0</v>
      </c>
      <c r="U2303" s="328">
        <f>VLOOKUP(C2303,METADATA!$J$5:$Q$29,IF(E2303="HI",2,IF(E2303="LO",6,10))+IF(T2303=1,2,IF(D2303=7,1,(IF(WEEKDAY(B2303)=1,2,IF(WEEKDAY(B2303)=7,1,0))))))</f>
        <v>2</v>
      </c>
      <c r="V2303" s="328">
        <f>VLOOKUP(C2303,METADATA!$A$5:$H$29,IF(E2303="HI",2,IF(E2303="LO",6,10))+IF(T2303=1,2,IF(D2303=7,1,(IF(WEEKDAY(B2303)=1,2,IF(WEEKDAY(B2303)=7,1,0))))))</f>
        <v>2</v>
      </c>
    </row>
    <row r="2304" spans="2:22">
      <c r="B2304" s="318">
        <f t="shared" si="143"/>
        <v>46208</v>
      </c>
      <c r="C2304" s="312">
        <v>20</v>
      </c>
      <c r="D2304" s="368">
        <f>IFERROR((INDEX(METADATA!$T$2:$T$20,MATCH(B2304,METADATA!$S$2:$S$20,0))),0)</f>
        <v>0</v>
      </c>
      <c r="E2304" s="312" t="str">
        <f t="shared" si="140"/>
        <v>LO</v>
      </c>
      <c r="F2304" s="369">
        <f>VLOOKUP(C2304,METADATA!$A$5:$H$29,IF(E2304="HI",2,IF(E2304="LO",6,10))+IF(D2304=1,2,IF(D2304=7,1,(IF(WEEKDAY(B2304)=1,2,IF(WEEKDAY(B2304)=7,1,0))))))</f>
        <v>3</v>
      </c>
      <c r="G2304" s="369">
        <f>VLOOKUP(C2304,METADATA!$J$5:$Q$29,IF(E2304="HI",2,IF(E2304="LO",6,10))+IF(D2304=1,2,IF(D2304=7,1,(IF(WEEKDAY(B2304)=1,2,IF(WEEKDAY(B2304)=7,1,0))))))</f>
        <v>3</v>
      </c>
      <c r="H2304" s="370">
        <v>12688.050170898438</v>
      </c>
      <c r="I2304" s="370">
        <v>3970.9450378417969</v>
      </c>
      <c r="M2304" s="371">
        <f t="shared" si="141"/>
        <v>13294.92465690559</v>
      </c>
      <c r="N2304" s="329">
        <f t="shared" si="142"/>
        <v>164.5299865722659</v>
      </c>
      <c r="T2304" s="331">
        <v>0</v>
      </c>
      <c r="U2304" s="328">
        <f>VLOOKUP(C2304,METADATA!$J$5:$Q$29,IF(E2304="HI",2,IF(E2304="LO",6,10))+IF(T2304=1,2,IF(D2304=7,1,(IF(WEEKDAY(B2304)=1,2,IF(WEEKDAY(B2304)=7,1,0))))))</f>
        <v>3</v>
      </c>
      <c r="V2304" s="328">
        <f>VLOOKUP(C2304,METADATA!$A$5:$H$29,IF(E2304="HI",2,IF(E2304="LO",6,10))+IF(T2304=1,2,IF(D2304=7,1,(IF(WEEKDAY(B2304)=1,2,IF(WEEKDAY(B2304)=7,1,0))))))</f>
        <v>3</v>
      </c>
    </row>
    <row r="2305" spans="2:22">
      <c r="B2305" s="318">
        <f t="shared" si="143"/>
        <v>46208</v>
      </c>
      <c r="C2305" s="312">
        <v>21</v>
      </c>
      <c r="D2305" s="368">
        <f>IFERROR((INDEX(METADATA!$T$2:$T$20,MATCH(B2305,METADATA!$S$2:$S$20,0))),0)</f>
        <v>0</v>
      </c>
      <c r="E2305" s="312" t="str">
        <f t="shared" si="140"/>
        <v>LO</v>
      </c>
      <c r="F2305" s="369">
        <f>VLOOKUP(C2305,METADATA!$A$5:$H$29,IF(E2305="HI",2,IF(E2305="LO",6,10))+IF(D2305=1,2,IF(D2305=7,1,(IF(WEEKDAY(B2305)=1,2,IF(WEEKDAY(B2305)=7,1,0))))))</f>
        <v>3</v>
      </c>
      <c r="G2305" s="369">
        <f>VLOOKUP(C2305,METADATA!$J$5:$Q$29,IF(E2305="HI",2,IF(E2305="LO",6,10))+IF(D2305=1,2,IF(D2305=7,1,(IF(WEEKDAY(B2305)=1,2,IF(WEEKDAY(B2305)=7,1,0))))))</f>
        <v>3</v>
      </c>
      <c r="H2305" s="370">
        <v>12967.449768066406</v>
      </c>
      <c r="I2305" s="370">
        <v>4201.6099548339844</v>
      </c>
      <c r="M2305" s="371">
        <f t="shared" si="141"/>
        <v>13631.151077582756</v>
      </c>
      <c r="N2305" s="329">
        <f t="shared" si="142"/>
        <v>311.37502441406286</v>
      </c>
      <c r="T2305" s="331">
        <v>0</v>
      </c>
      <c r="U2305" s="328">
        <f>VLOOKUP(C2305,METADATA!$J$5:$Q$29,IF(E2305="HI",2,IF(E2305="LO",6,10))+IF(T2305=1,2,IF(D2305=7,1,(IF(WEEKDAY(B2305)=1,2,IF(WEEKDAY(B2305)=7,1,0))))))</f>
        <v>3</v>
      </c>
      <c r="V2305" s="328">
        <f>VLOOKUP(C2305,METADATA!$A$5:$H$29,IF(E2305="HI",2,IF(E2305="LO",6,10))+IF(T2305=1,2,IF(D2305=7,1,(IF(WEEKDAY(B2305)=1,2,IF(WEEKDAY(B2305)=7,1,0))))))</f>
        <v>3</v>
      </c>
    </row>
    <row r="2306" spans="2:22">
      <c r="B2306" s="318">
        <f t="shared" si="143"/>
        <v>46208</v>
      </c>
      <c r="C2306" s="312">
        <v>22</v>
      </c>
      <c r="D2306" s="368">
        <f>IFERROR((INDEX(METADATA!$T$2:$T$20,MATCH(B2306,METADATA!$S$2:$S$20,0))),0)</f>
        <v>0</v>
      </c>
      <c r="E2306" s="312" t="str">
        <f t="shared" si="140"/>
        <v>LO</v>
      </c>
      <c r="F2306" s="369">
        <f>VLOOKUP(C2306,METADATA!$A$5:$H$29,IF(E2306="HI",2,IF(E2306="LO",6,10))+IF(D2306=1,2,IF(D2306=7,1,(IF(WEEKDAY(B2306)=1,2,IF(WEEKDAY(B2306)=7,1,0))))))</f>
        <v>3</v>
      </c>
      <c r="G2306" s="369">
        <f>VLOOKUP(C2306,METADATA!$J$5:$Q$29,IF(E2306="HI",2,IF(E2306="LO",6,10))+IF(D2306=1,2,IF(D2306=7,1,(IF(WEEKDAY(B2306)=1,2,IF(WEEKDAY(B2306)=7,1,0))))))</f>
        <v>3</v>
      </c>
      <c r="H2306" s="370">
        <v>13520.60009765625</v>
      </c>
      <c r="I2306" s="370">
        <v>4644.8750610351563</v>
      </c>
      <c r="M2306" s="371">
        <f t="shared" si="141"/>
        <v>14296.205487239211</v>
      </c>
      <c r="N2306" s="329">
        <f t="shared" si="142"/>
        <v>588.69503173828161</v>
      </c>
      <c r="T2306" s="331">
        <v>0</v>
      </c>
      <c r="U2306" s="328">
        <f>VLOOKUP(C2306,METADATA!$J$5:$Q$29,IF(E2306="HI",2,IF(E2306="LO",6,10))+IF(T2306=1,2,IF(D2306=7,1,(IF(WEEKDAY(B2306)=1,2,IF(WEEKDAY(B2306)=7,1,0))))))</f>
        <v>3</v>
      </c>
      <c r="V2306" s="328">
        <f>VLOOKUP(C2306,METADATA!$A$5:$H$29,IF(E2306="HI",2,IF(E2306="LO",6,10))+IF(T2306=1,2,IF(D2306=7,1,(IF(WEEKDAY(B2306)=1,2,IF(WEEKDAY(B2306)=7,1,0))))))</f>
        <v>3</v>
      </c>
    </row>
    <row r="2307" spans="2:22">
      <c r="B2307" s="318">
        <f t="shared" si="143"/>
        <v>46208</v>
      </c>
      <c r="C2307" s="312">
        <v>23</v>
      </c>
      <c r="D2307" s="368">
        <f>IFERROR((INDEX(METADATA!$T$2:$T$20,MATCH(B2307,METADATA!$S$2:$S$20,0))),0)</f>
        <v>0</v>
      </c>
      <c r="E2307" s="312" t="str">
        <f t="shared" si="140"/>
        <v>LO</v>
      </c>
      <c r="F2307" s="369">
        <f>VLOOKUP(C2307,METADATA!$A$5:$H$29,IF(E2307="HI",2,IF(E2307="LO",6,10))+IF(D2307=1,2,IF(D2307=7,1,(IF(WEEKDAY(B2307)=1,2,IF(WEEKDAY(B2307)=7,1,0))))))</f>
        <v>3</v>
      </c>
      <c r="G2307" s="369">
        <f>VLOOKUP(C2307,METADATA!$J$5:$Q$29,IF(E2307="HI",2,IF(E2307="LO",6,10))+IF(D2307=1,2,IF(D2307=7,1,(IF(WEEKDAY(B2307)=1,2,IF(WEEKDAY(B2307)=7,1,0))))))</f>
        <v>3</v>
      </c>
      <c r="H2307" s="370">
        <v>13541.375061035156</v>
      </c>
      <c r="I2307" s="370">
        <v>4583.5801086425781</v>
      </c>
      <c r="M2307" s="371">
        <f t="shared" si="141"/>
        <v>14296.08495903577</v>
      </c>
      <c r="N2307" s="329">
        <f t="shared" si="142"/>
        <v>521.16759033203152</v>
      </c>
      <c r="T2307" s="331">
        <v>0</v>
      </c>
      <c r="U2307" s="328">
        <f>VLOOKUP(C2307,METADATA!$J$5:$Q$29,IF(E2307="HI",2,IF(E2307="LO",6,10))+IF(T2307=1,2,IF(D2307=7,1,(IF(WEEKDAY(B2307)=1,2,IF(WEEKDAY(B2307)=7,1,0))))))</f>
        <v>3</v>
      </c>
      <c r="V2307" s="328">
        <f>VLOOKUP(C2307,METADATA!$A$5:$H$29,IF(E2307="HI",2,IF(E2307="LO",6,10))+IF(T2307=1,2,IF(D2307=7,1,(IF(WEEKDAY(B2307)=1,2,IF(WEEKDAY(B2307)=7,1,0))))))</f>
        <v>3</v>
      </c>
    </row>
    <row r="2308" spans="2:22">
      <c r="B2308" s="318">
        <f t="shared" si="143"/>
        <v>46209</v>
      </c>
      <c r="C2308" s="312">
        <v>0</v>
      </c>
      <c r="D2308" s="368">
        <f>IFERROR((INDEX(METADATA!$T$2:$T$20,MATCH(B2308,METADATA!$S$2:$S$20,0))),0)</f>
        <v>0</v>
      </c>
      <c r="E2308" s="312" t="str">
        <f t="shared" ref="E2308:E2371" si="144">IF(B2308="","",IF(AND(MONTH(B2308)&gt;=MONTH($Z$9),MONTH(B2308)&lt;=MONTH($Z$11)),"HI","LO"))</f>
        <v>LO</v>
      </c>
      <c r="F2308" s="369">
        <f>VLOOKUP(C2308,METADATA!$A$5:$H$29,IF(E2308="HI",2,IF(E2308="LO",6,10))+IF(D2308=1,2,IF(D2308=7,1,(IF(WEEKDAY(B2308)=1,2,IF(WEEKDAY(B2308)=7,1,0))))))</f>
        <v>3</v>
      </c>
      <c r="G2308" s="369">
        <f>VLOOKUP(C2308,METADATA!$J$5:$Q$29,IF(E2308="HI",2,IF(E2308="LO",6,10))+IF(D2308=1,2,IF(D2308=7,1,(IF(WEEKDAY(B2308)=1,2,IF(WEEKDAY(B2308)=7,1,0))))))</f>
        <v>3</v>
      </c>
      <c r="H2308" s="370">
        <v>13682.800048828125</v>
      </c>
      <c r="I2308" s="370">
        <v>4740.8800048828125</v>
      </c>
      <c r="M2308" s="371">
        <f t="shared" ref="M2308:M2371" si="145">SQRT(H2308^2+I2308^2)</f>
        <v>14480.848055169579</v>
      </c>
      <c r="N2308" s="329">
        <f t="shared" ref="N2308:N2371" si="146">IF(H2308=0,0,(IF(I2308-(0.3*H2308)&lt;0,0,(I2308-(0.3*H2308)))))</f>
        <v>636.03999023437518</v>
      </c>
      <c r="T2308" s="331">
        <v>0</v>
      </c>
      <c r="U2308" s="328">
        <f>VLOOKUP(C2308,METADATA!$J$5:$Q$29,IF(E2308="HI",2,IF(E2308="LO",6,10))+IF(T2308=1,2,IF(D2308=7,1,(IF(WEEKDAY(B2308)=1,2,IF(WEEKDAY(B2308)=7,1,0))))))</f>
        <v>3</v>
      </c>
      <c r="V2308" s="328">
        <f>VLOOKUP(C2308,METADATA!$A$5:$H$29,IF(E2308="HI",2,IF(E2308="LO",6,10))+IF(T2308=1,2,IF(D2308=7,1,(IF(WEEKDAY(B2308)=1,2,IF(WEEKDAY(B2308)=7,1,0))))))</f>
        <v>3</v>
      </c>
    </row>
    <row r="2309" spans="2:22">
      <c r="B2309" s="318">
        <f t="shared" si="143"/>
        <v>46209</v>
      </c>
      <c r="C2309" s="312">
        <v>1</v>
      </c>
      <c r="D2309" s="368">
        <f>IFERROR((INDEX(METADATA!$T$2:$T$20,MATCH(B2309,METADATA!$S$2:$S$20,0))),0)</f>
        <v>0</v>
      </c>
      <c r="E2309" s="312" t="str">
        <f t="shared" si="144"/>
        <v>LO</v>
      </c>
      <c r="F2309" s="369">
        <f>VLOOKUP(C2309,METADATA!$A$5:$H$29,IF(E2309="HI",2,IF(E2309="LO",6,10))+IF(D2309=1,2,IF(D2309=7,1,(IF(WEEKDAY(B2309)=1,2,IF(WEEKDAY(B2309)=7,1,0))))))</f>
        <v>3</v>
      </c>
      <c r="G2309" s="369">
        <f>VLOOKUP(C2309,METADATA!$J$5:$Q$29,IF(E2309="HI",2,IF(E2309="LO",6,10))+IF(D2309=1,2,IF(D2309=7,1,(IF(WEEKDAY(B2309)=1,2,IF(WEEKDAY(B2309)=7,1,0))))))</f>
        <v>3</v>
      </c>
      <c r="H2309" s="370">
        <v>13645.500305175781</v>
      </c>
      <c r="I2309" s="370">
        <v>4670.6999816894531</v>
      </c>
      <c r="M2309" s="371">
        <f t="shared" si="145"/>
        <v>14422.729176459849</v>
      </c>
      <c r="N2309" s="329">
        <f t="shared" si="146"/>
        <v>577.04989013671911</v>
      </c>
      <c r="T2309" s="331">
        <v>0</v>
      </c>
      <c r="U2309" s="328">
        <f>VLOOKUP(C2309,METADATA!$J$5:$Q$29,IF(E2309="HI",2,IF(E2309="LO",6,10))+IF(T2309=1,2,IF(D2309=7,1,(IF(WEEKDAY(B2309)=1,2,IF(WEEKDAY(B2309)=7,1,0))))))</f>
        <v>3</v>
      </c>
      <c r="V2309" s="328">
        <f>VLOOKUP(C2309,METADATA!$A$5:$H$29,IF(E2309="HI",2,IF(E2309="LO",6,10))+IF(T2309=1,2,IF(D2309=7,1,(IF(WEEKDAY(B2309)=1,2,IF(WEEKDAY(B2309)=7,1,0))))))</f>
        <v>3</v>
      </c>
    </row>
    <row r="2310" spans="2:22">
      <c r="B2310" s="318">
        <f t="shared" si="143"/>
        <v>46209</v>
      </c>
      <c r="C2310" s="312">
        <v>2</v>
      </c>
      <c r="D2310" s="368">
        <f>IFERROR((INDEX(METADATA!$T$2:$T$20,MATCH(B2310,METADATA!$S$2:$S$20,0))),0)</f>
        <v>0</v>
      </c>
      <c r="E2310" s="312" t="str">
        <f t="shared" si="144"/>
        <v>LO</v>
      </c>
      <c r="F2310" s="369">
        <f>VLOOKUP(C2310,METADATA!$A$5:$H$29,IF(E2310="HI",2,IF(E2310="LO",6,10))+IF(D2310=1,2,IF(D2310=7,1,(IF(WEEKDAY(B2310)=1,2,IF(WEEKDAY(B2310)=7,1,0))))))</f>
        <v>3</v>
      </c>
      <c r="G2310" s="369">
        <f>VLOOKUP(C2310,METADATA!$J$5:$Q$29,IF(E2310="HI",2,IF(E2310="LO",6,10))+IF(D2310=1,2,IF(D2310=7,1,(IF(WEEKDAY(B2310)=1,2,IF(WEEKDAY(B2310)=7,1,0))))))</f>
        <v>3</v>
      </c>
      <c r="H2310" s="370">
        <v>13477.775146484375</v>
      </c>
      <c r="I2310" s="370">
        <v>4549.6449584960938</v>
      </c>
      <c r="M2310" s="371">
        <f t="shared" si="145"/>
        <v>14224.967210772784</v>
      </c>
      <c r="N2310" s="329">
        <f t="shared" si="146"/>
        <v>506.31241455078134</v>
      </c>
      <c r="T2310" s="331">
        <v>0</v>
      </c>
      <c r="U2310" s="328">
        <f>VLOOKUP(C2310,METADATA!$J$5:$Q$29,IF(E2310="HI",2,IF(E2310="LO",6,10))+IF(T2310=1,2,IF(D2310=7,1,(IF(WEEKDAY(B2310)=1,2,IF(WEEKDAY(B2310)=7,1,0))))))</f>
        <v>3</v>
      </c>
      <c r="V2310" s="328">
        <f>VLOOKUP(C2310,METADATA!$A$5:$H$29,IF(E2310="HI",2,IF(E2310="LO",6,10))+IF(T2310=1,2,IF(D2310=7,1,(IF(WEEKDAY(B2310)=1,2,IF(WEEKDAY(B2310)=7,1,0))))))</f>
        <v>3</v>
      </c>
    </row>
    <row r="2311" spans="2:22">
      <c r="B2311" s="318">
        <f t="shared" si="143"/>
        <v>46209</v>
      </c>
      <c r="C2311" s="312">
        <v>3</v>
      </c>
      <c r="D2311" s="368">
        <f>IFERROR((INDEX(METADATA!$T$2:$T$20,MATCH(B2311,METADATA!$S$2:$S$20,0))),0)</f>
        <v>0</v>
      </c>
      <c r="E2311" s="312" t="str">
        <f t="shared" si="144"/>
        <v>LO</v>
      </c>
      <c r="F2311" s="369">
        <f>VLOOKUP(C2311,METADATA!$A$5:$H$29,IF(E2311="HI",2,IF(E2311="LO",6,10))+IF(D2311=1,2,IF(D2311=7,1,(IF(WEEKDAY(B2311)=1,2,IF(WEEKDAY(B2311)=7,1,0))))))</f>
        <v>3</v>
      </c>
      <c r="G2311" s="369">
        <f>VLOOKUP(C2311,METADATA!$J$5:$Q$29,IF(E2311="HI",2,IF(E2311="LO",6,10))+IF(D2311=1,2,IF(D2311=7,1,(IF(WEEKDAY(B2311)=1,2,IF(WEEKDAY(B2311)=7,1,0))))))</f>
        <v>3</v>
      </c>
      <c r="H2311" s="370">
        <v>13593.124694824219</v>
      </c>
      <c r="I2311" s="370">
        <v>4593.3900756835938</v>
      </c>
      <c r="M2311" s="371">
        <f t="shared" si="145"/>
        <v>14348.249766310473</v>
      </c>
      <c r="N2311" s="329">
        <f t="shared" si="146"/>
        <v>515.45266723632813</v>
      </c>
      <c r="T2311" s="331">
        <v>0</v>
      </c>
      <c r="U2311" s="328">
        <f>VLOOKUP(C2311,METADATA!$J$5:$Q$29,IF(E2311="HI",2,IF(E2311="LO",6,10))+IF(T2311=1,2,IF(D2311=7,1,(IF(WEEKDAY(B2311)=1,2,IF(WEEKDAY(B2311)=7,1,0))))))</f>
        <v>3</v>
      </c>
      <c r="V2311" s="328">
        <f>VLOOKUP(C2311,METADATA!$A$5:$H$29,IF(E2311="HI",2,IF(E2311="LO",6,10))+IF(T2311=1,2,IF(D2311=7,1,(IF(WEEKDAY(B2311)=1,2,IF(WEEKDAY(B2311)=7,1,0))))))</f>
        <v>3</v>
      </c>
    </row>
    <row r="2312" spans="2:22">
      <c r="B2312" s="318">
        <f t="shared" si="143"/>
        <v>46209</v>
      </c>
      <c r="C2312" s="312">
        <v>4</v>
      </c>
      <c r="D2312" s="368">
        <f>IFERROR((INDEX(METADATA!$T$2:$T$20,MATCH(B2312,METADATA!$S$2:$S$20,0))),0)</f>
        <v>0</v>
      </c>
      <c r="E2312" s="312" t="str">
        <f t="shared" si="144"/>
        <v>LO</v>
      </c>
      <c r="F2312" s="369">
        <f>VLOOKUP(C2312,METADATA!$A$5:$H$29,IF(E2312="HI",2,IF(E2312="LO",6,10))+IF(D2312=1,2,IF(D2312=7,1,(IF(WEEKDAY(B2312)=1,2,IF(WEEKDAY(B2312)=7,1,0))))))</f>
        <v>3</v>
      </c>
      <c r="G2312" s="369">
        <f>VLOOKUP(C2312,METADATA!$J$5:$Q$29,IF(E2312="HI",2,IF(E2312="LO",6,10))+IF(D2312=1,2,IF(D2312=7,1,(IF(WEEKDAY(B2312)=1,2,IF(WEEKDAY(B2312)=7,1,0))))))</f>
        <v>3</v>
      </c>
      <c r="H2312" s="370">
        <v>13595.775024414063</v>
      </c>
      <c r="I2312" s="370">
        <v>4713.4499816894531</v>
      </c>
      <c r="M2312" s="371">
        <f t="shared" si="145"/>
        <v>14389.638954621812</v>
      </c>
      <c r="N2312" s="329">
        <f t="shared" si="146"/>
        <v>634.71747436523447</v>
      </c>
      <c r="T2312" s="331">
        <v>0</v>
      </c>
      <c r="U2312" s="328">
        <f>VLOOKUP(C2312,METADATA!$J$5:$Q$29,IF(E2312="HI",2,IF(E2312="LO",6,10))+IF(T2312=1,2,IF(D2312=7,1,(IF(WEEKDAY(B2312)=1,2,IF(WEEKDAY(B2312)=7,1,0))))))</f>
        <v>3</v>
      </c>
      <c r="V2312" s="328">
        <f>VLOOKUP(C2312,METADATA!$A$5:$H$29,IF(E2312="HI",2,IF(E2312="LO",6,10))+IF(T2312=1,2,IF(D2312=7,1,(IF(WEEKDAY(B2312)=1,2,IF(WEEKDAY(B2312)=7,1,0))))))</f>
        <v>3</v>
      </c>
    </row>
    <row r="2313" spans="2:22">
      <c r="B2313" s="318">
        <f t="shared" si="143"/>
        <v>46209</v>
      </c>
      <c r="C2313" s="312">
        <v>5</v>
      </c>
      <c r="D2313" s="368">
        <f>IFERROR((INDEX(METADATA!$T$2:$T$20,MATCH(B2313,METADATA!$S$2:$S$20,0))),0)</f>
        <v>0</v>
      </c>
      <c r="E2313" s="312" t="str">
        <f t="shared" si="144"/>
        <v>LO</v>
      </c>
      <c r="F2313" s="369">
        <f>VLOOKUP(C2313,METADATA!$A$5:$H$29,IF(E2313="HI",2,IF(E2313="LO",6,10))+IF(D2313=1,2,IF(D2313=7,1,(IF(WEEKDAY(B2313)=1,2,IF(WEEKDAY(B2313)=7,1,0))))))</f>
        <v>3</v>
      </c>
      <c r="G2313" s="369">
        <f>VLOOKUP(C2313,METADATA!$J$5:$Q$29,IF(E2313="HI",2,IF(E2313="LO",6,10))+IF(D2313=1,2,IF(D2313=7,1,(IF(WEEKDAY(B2313)=1,2,IF(WEEKDAY(B2313)=7,1,0))))))</f>
        <v>3</v>
      </c>
      <c r="H2313" s="370">
        <v>13667.724853515625</v>
      </c>
      <c r="I2313" s="370">
        <v>4728.7950439453125</v>
      </c>
      <c r="M2313" s="371">
        <f t="shared" si="145"/>
        <v>14462.648624614043</v>
      </c>
      <c r="N2313" s="329">
        <f t="shared" si="146"/>
        <v>628.47758789062482</v>
      </c>
      <c r="T2313" s="331">
        <v>0</v>
      </c>
      <c r="U2313" s="328">
        <f>VLOOKUP(C2313,METADATA!$J$5:$Q$29,IF(E2313="HI",2,IF(E2313="LO",6,10))+IF(T2313=1,2,IF(D2313=7,1,(IF(WEEKDAY(B2313)=1,2,IF(WEEKDAY(B2313)=7,1,0))))))</f>
        <v>3</v>
      </c>
      <c r="V2313" s="328">
        <f>VLOOKUP(C2313,METADATA!$A$5:$H$29,IF(E2313="HI",2,IF(E2313="LO",6,10))+IF(T2313=1,2,IF(D2313=7,1,(IF(WEEKDAY(B2313)=1,2,IF(WEEKDAY(B2313)=7,1,0))))))</f>
        <v>3</v>
      </c>
    </row>
    <row r="2314" spans="2:22">
      <c r="B2314" s="318">
        <f t="shared" si="143"/>
        <v>46209</v>
      </c>
      <c r="C2314" s="312">
        <v>6</v>
      </c>
      <c r="D2314" s="368">
        <f>IFERROR((INDEX(METADATA!$T$2:$T$20,MATCH(B2314,METADATA!$S$2:$S$20,0))),0)</f>
        <v>0</v>
      </c>
      <c r="E2314" s="312" t="str">
        <f t="shared" si="144"/>
        <v>LO</v>
      </c>
      <c r="F2314" s="369">
        <f>VLOOKUP(C2314,METADATA!$A$5:$H$29,IF(E2314="HI",2,IF(E2314="LO",6,10))+IF(D2314=1,2,IF(D2314=7,1,(IF(WEEKDAY(B2314)=1,2,IF(WEEKDAY(B2314)=7,1,0))))))</f>
        <v>2</v>
      </c>
      <c r="G2314" s="369">
        <f>VLOOKUP(C2314,METADATA!$J$5:$Q$29,IF(E2314="HI",2,IF(E2314="LO",6,10))+IF(D2314=1,2,IF(D2314=7,1,(IF(WEEKDAY(B2314)=1,2,IF(WEEKDAY(B2314)=7,1,0))))))</f>
        <v>2</v>
      </c>
      <c r="H2314" s="370">
        <v>13485.174682617188</v>
      </c>
      <c r="I2314" s="370">
        <v>4569.7599487304688</v>
      </c>
      <c r="M2314" s="371">
        <f t="shared" si="145"/>
        <v>14238.421338397056</v>
      </c>
      <c r="N2314" s="329">
        <f t="shared" si="146"/>
        <v>524.20754394531286</v>
      </c>
      <c r="T2314" s="331">
        <v>0</v>
      </c>
      <c r="U2314" s="328">
        <f>VLOOKUP(C2314,METADATA!$J$5:$Q$29,IF(E2314="HI",2,IF(E2314="LO",6,10))+IF(T2314=1,2,IF(D2314=7,1,(IF(WEEKDAY(B2314)=1,2,IF(WEEKDAY(B2314)=7,1,0))))))</f>
        <v>2</v>
      </c>
      <c r="V2314" s="328">
        <f>VLOOKUP(C2314,METADATA!$A$5:$H$29,IF(E2314="HI",2,IF(E2314="LO",6,10))+IF(T2314=1,2,IF(D2314=7,1,(IF(WEEKDAY(B2314)=1,2,IF(WEEKDAY(B2314)=7,1,0))))))</f>
        <v>2</v>
      </c>
    </row>
    <row r="2315" spans="2:22">
      <c r="B2315" s="318">
        <f t="shared" si="143"/>
        <v>46209</v>
      </c>
      <c r="C2315" s="312">
        <v>7</v>
      </c>
      <c r="D2315" s="368">
        <f>IFERROR((INDEX(METADATA!$T$2:$T$20,MATCH(B2315,METADATA!$S$2:$S$20,0))),0)</f>
        <v>0</v>
      </c>
      <c r="E2315" s="312" t="str">
        <f t="shared" si="144"/>
        <v>LO</v>
      </c>
      <c r="F2315" s="369">
        <f>VLOOKUP(C2315,METADATA!$A$5:$H$29,IF(E2315="HI",2,IF(E2315="LO",6,10))+IF(D2315=1,2,IF(D2315=7,1,(IF(WEEKDAY(B2315)=1,2,IF(WEEKDAY(B2315)=7,1,0))))))</f>
        <v>1</v>
      </c>
      <c r="G2315" s="369">
        <f>VLOOKUP(C2315,METADATA!$J$5:$Q$29,IF(E2315="HI",2,IF(E2315="LO",6,10))+IF(D2315=1,2,IF(D2315=7,1,(IF(WEEKDAY(B2315)=1,2,IF(WEEKDAY(B2315)=7,1,0))))))</f>
        <v>1</v>
      </c>
      <c r="H2315" s="370">
        <v>13334.724731445313</v>
      </c>
      <c r="I2315" s="370">
        <v>4250.0950622558594</v>
      </c>
      <c r="M2315" s="371">
        <f t="shared" si="145"/>
        <v>13995.649027523907</v>
      </c>
      <c r="N2315" s="329">
        <f t="shared" si="146"/>
        <v>249.67764282226563</v>
      </c>
      <c r="T2315" s="331">
        <v>0</v>
      </c>
      <c r="U2315" s="328">
        <f>VLOOKUP(C2315,METADATA!$J$5:$Q$29,IF(E2315="HI",2,IF(E2315="LO",6,10))+IF(T2315=1,2,IF(D2315=7,1,(IF(WEEKDAY(B2315)=1,2,IF(WEEKDAY(B2315)=7,1,0))))))</f>
        <v>1</v>
      </c>
      <c r="V2315" s="328">
        <f>VLOOKUP(C2315,METADATA!$A$5:$H$29,IF(E2315="HI",2,IF(E2315="LO",6,10))+IF(T2315=1,2,IF(D2315=7,1,(IF(WEEKDAY(B2315)=1,2,IF(WEEKDAY(B2315)=7,1,0))))))</f>
        <v>1</v>
      </c>
    </row>
    <row r="2316" spans="2:22">
      <c r="B2316" s="318">
        <f t="shared" si="143"/>
        <v>46209</v>
      </c>
      <c r="C2316" s="312">
        <v>8</v>
      </c>
      <c r="D2316" s="368">
        <f>IFERROR((INDEX(METADATA!$T$2:$T$20,MATCH(B2316,METADATA!$S$2:$S$20,0))),0)</f>
        <v>0</v>
      </c>
      <c r="E2316" s="312" t="str">
        <f t="shared" si="144"/>
        <v>LO</v>
      </c>
      <c r="F2316" s="369">
        <f>VLOOKUP(C2316,METADATA!$A$5:$H$29,IF(E2316="HI",2,IF(E2316="LO",6,10))+IF(D2316=1,2,IF(D2316=7,1,(IF(WEEKDAY(B2316)=1,2,IF(WEEKDAY(B2316)=7,1,0))))))</f>
        <v>1</v>
      </c>
      <c r="G2316" s="369">
        <f>VLOOKUP(C2316,METADATA!$J$5:$Q$29,IF(E2316="HI",2,IF(E2316="LO",6,10))+IF(D2316=1,2,IF(D2316=7,1,(IF(WEEKDAY(B2316)=1,2,IF(WEEKDAY(B2316)=7,1,0))))))</f>
        <v>1</v>
      </c>
      <c r="H2316" s="370">
        <v>12501.900085449219</v>
      </c>
      <c r="I2316" s="370">
        <v>3708.0949554443359</v>
      </c>
      <c r="M2316" s="371">
        <f t="shared" si="145"/>
        <v>13040.225226013043</v>
      </c>
      <c r="N2316" s="329">
        <f t="shared" si="146"/>
        <v>0</v>
      </c>
      <c r="T2316" s="331">
        <v>0</v>
      </c>
      <c r="U2316" s="328">
        <f>VLOOKUP(C2316,METADATA!$J$5:$Q$29,IF(E2316="HI",2,IF(E2316="LO",6,10))+IF(T2316=1,2,IF(D2316=7,1,(IF(WEEKDAY(B2316)=1,2,IF(WEEKDAY(B2316)=7,1,0))))))</f>
        <v>1</v>
      </c>
      <c r="V2316" s="328">
        <f>VLOOKUP(C2316,METADATA!$A$5:$H$29,IF(E2316="HI",2,IF(E2316="LO",6,10))+IF(T2316=1,2,IF(D2316=7,1,(IF(WEEKDAY(B2316)=1,2,IF(WEEKDAY(B2316)=7,1,0))))))</f>
        <v>1</v>
      </c>
    </row>
    <row r="2317" spans="2:22">
      <c r="B2317" s="318">
        <f t="shared" si="143"/>
        <v>46209</v>
      </c>
      <c r="C2317" s="312">
        <v>9</v>
      </c>
      <c r="D2317" s="368">
        <f>IFERROR((INDEX(METADATA!$T$2:$T$20,MATCH(B2317,METADATA!$S$2:$S$20,0))),0)</f>
        <v>0</v>
      </c>
      <c r="E2317" s="312" t="str">
        <f t="shared" si="144"/>
        <v>LO</v>
      </c>
      <c r="F2317" s="369">
        <f>VLOOKUP(C2317,METADATA!$A$5:$H$29,IF(E2317="HI",2,IF(E2317="LO",6,10))+IF(D2317=1,2,IF(D2317=7,1,(IF(WEEKDAY(B2317)=1,2,IF(WEEKDAY(B2317)=7,1,0))))))</f>
        <v>2</v>
      </c>
      <c r="G2317" s="369">
        <f>VLOOKUP(C2317,METADATA!$J$5:$Q$29,IF(E2317="HI",2,IF(E2317="LO",6,10))+IF(D2317=1,2,IF(D2317=7,1,(IF(WEEKDAY(B2317)=1,2,IF(WEEKDAY(B2317)=7,1,0))))))</f>
        <v>2</v>
      </c>
      <c r="H2317" s="370">
        <v>12428.824768066406</v>
      </c>
      <c r="I2317" s="370">
        <v>3587.0599517822266</v>
      </c>
      <c r="M2317" s="371">
        <f t="shared" si="145"/>
        <v>12936.100038766741</v>
      </c>
      <c r="N2317" s="329">
        <f t="shared" si="146"/>
        <v>0</v>
      </c>
      <c r="T2317" s="331">
        <v>0</v>
      </c>
      <c r="U2317" s="328">
        <f>VLOOKUP(C2317,METADATA!$J$5:$Q$29,IF(E2317="HI",2,IF(E2317="LO",6,10))+IF(T2317=1,2,IF(D2317=7,1,(IF(WEEKDAY(B2317)=1,2,IF(WEEKDAY(B2317)=7,1,0))))))</f>
        <v>2</v>
      </c>
      <c r="V2317" s="328">
        <f>VLOOKUP(C2317,METADATA!$A$5:$H$29,IF(E2317="HI",2,IF(E2317="LO",6,10))+IF(T2317=1,2,IF(D2317=7,1,(IF(WEEKDAY(B2317)=1,2,IF(WEEKDAY(B2317)=7,1,0))))))</f>
        <v>2</v>
      </c>
    </row>
    <row r="2318" spans="2:22">
      <c r="B2318" s="318">
        <f t="shared" si="143"/>
        <v>46209</v>
      </c>
      <c r="C2318" s="312">
        <v>10</v>
      </c>
      <c r="D2318" s="368">
        <f>IFERROR((INDEX(METADATA!$T$2:$T$20,MATCH(B2318,METADATA!$S$2:$S$20,0))),0)</f>
        <v>0</v>
      </c>
      <c r="E2318" s="312" t="str">
        <f t="shared" si="144"/>
        <v>LO</v>
      </c>
      <c r="F2318" s="369">
        <f>VLOOKUP(C2318,METADATA!$A$5:$H$29,IF(E2318="HI",2,IF(E2318="LO",6,10))+IF(D2318=1,2,IF(D2318=7,1,(IF(WEEKDAY(B2318)=1,2,IF(WEEKDAY(B2318)=7,1,0))))))</f>
        <v>2</v>
      </c>
      <c r="G2318" s="369">
        <f>VLOOKUP(C2318,METADATA!$J$5:$Q$29,IF(E2318="HI",2,IF(E2318="LO",6,10))+IF(D2318=1,2,IF(D2318=7,1,(IF(WEEKDAY(B2318)=1,2,IF(WEEKDAY(B2318)=7,1,0))))))</f>
        <v>2</v>
      </c>
      <c r="H2318" s="370">
        <v>11414.824523925781</v>
      </c>
      <c r="I2318" s="370">
        <v>3293.072509765625</v>
      </c>
      <c r="M2318" s="371">
        <f t="shared" si="145"/>
        <v>11880.342817721697</v>
      </c>
      <c r="N2318" s="329">
        <f t="shared" si="146"/>
        <v>0</v>
      </c>
      <c r="T2318" s="331">
        <v>0</v>
      </c>
      <c r="U2318" s="328">
        <f>VLOOKUP(C2318,METADATA!$J$5:$Q$29,IF(E2318="HI",2,IF(E2318="LO",6,10))+IF(T2318=1,2,IF(D2318=7,1,(IF(WEEKDAY(B2318)=1,2,IF(WEEKDAY(B2318)=7,1,0))))))</f>
        <v>2</v>
      </c>
      <c r="V2318" s="328">
        <f>VLOOKUP(C2318,METADATA!$A$5:$H$29,IF(E2318="HI",2,IF(E2318="LO",6,10))+IF(T2318=1,2,IF(D2318=7,1,(IF(WEEKDAY(B2318)=1,2,IF(WEEKDAY(B2318)=7,1,0))))))</f>
        <v>2</v>
      </c>
    </row>
    <row r="2319" spans="2:22">
      <c r="B2319" s="318">
        <f t="shared" si="143"/>
        <v>46209</v>
      </c>
      <c r="C2319" s="312">
        <v>11</v>
      </c>
      <c r="D2319" s="368">
        <f>IFERROR((INDEX(METADATA!$T$2:$T$20,MATCH(B2319,METADATA!$S$2:$S$20,0))),0)</f>
        <v>0</v>
      </c>
      <c r="E2319" s="312" t="str">
        <f t="shared" si="144"/>
        <v>LO</v>
      </c>
      <c r="F2319" s="369">
        <f>VLOOKUP(C2319,METADATA!$A$5:$H$29,IF(E2319="HI",2,IF(E2319="LO",6,10))+IF(D2319=1,2,IF(D2319=7,1,(IF(WEEKDAY(B2319)=1,2,IF(WEEKDAY(B2319)=7,1,0))))))</f>
        <v>2</v>
      </c>
      <c r="G2319" s="369">
        <f>VLOOKUP(C2319,METADATA!$J$5:$Q$29,IF(E2319="HI",2,IF(E2319="LO",6,10))+IF(D2319=1,2,IF(D2319=7,1,(IF(WEEKDAY(B2319)=1,2,IF(WEEKDAY(B2319)=7,1,0))))))</f>
        <v>2</v>
      </c>
      <c r="H2319" s="370">
        <v>13156.974670410156</v>
      </c>
      <c r="I2319" s="370">
        <v>4362.2249755859375</v>
      </c>
      <c r="M2319" s="371">
        <f t="shared" si="145"/>
        <v>13861.276608431135</v>
      </c>
      <c r="N2319" s="329">
        <f t="shared" si="146"/>
        <v>415.13257446289072</v>
      </c>
      <c r="T2319" s="331">
        <v>0</v>
      </c>
      <c r="U2319" s="328">
        <f>VLOOKUP(C2319,METADATA!$J$5:$Q$29,IF(E2319="HI",2,IF(E2319="LO",6,10))+IF(T2319=1,2,IF(D2319=7,1,(IF(WEEKDAY(B2319)=1,2,IF(WEEKDAY(B2319)=7,1,0))))))</f>
        <v>2</v>
      </c>
      <c r="V2319" s="328">
        <f>VLOOKUP(C2319,METADATA!$A$5:$H$29,IF(E2319="HI",2,IF(E2319="LO",6,10))+IF(T2319=1,2,IF(D2319=7,1,(IF(WEEKDAY(B2319)=1,2,IF(WEEKDAY(B2319)=7,1,0))))))</f>
        <v>2</v>
      </c>
    </row>
    <row r="2320" spans="2:22">
      <c r="B2320" s="318">
        <f t="shared" si="143"/>
        <v>46209</v>
      </c>
      <c r="C2320" s="312">
        <v>12</v>
      </c>
      <c r="D2320" s="368">
        <f>IFERROR((INDEX(METADATA!$T$2:$T$20,MATCH(B2320,METADATA!$S$2:$S$20,0))),0)</f>
        <v>0</v>
      </c>
      <c r="E2320" s="312" t="str">
        <f t="shared" si="144"/>
        <v>LO</v>
      </c>
      <c r="F2320" s="369">
        <f>VLOOKUP(C2320,METADATA!$A$5:$H$29,IF(E2320="HI",2,IF(E2320="LO",6,10))+IF(D2320=1,2,IF(D2320=7,1,(IF(WEEKDAY(B2320)=1,2,IF(WEEKDAY(B2320)=7,1,0))))))</f>
        <v>2</v>
      </c>
      <c r="G2320" s="369">
        <f>VLOOKUP(C2320,METADATA!$J$5:$Q$29,IF(E2320="HI",2,IF(E2320="LO",6,10))+IF(D2320=1,2,IF(D2320=7,1,(IF(WEEKDAY(B2320)=1,2,IF(WEEKDAY(B2320)=7,1,0))))))</f>
        <v>2</v>
      </c>
      <c r="H2320" s="370">
        <v>13489.074829101563</v>
      </c>
      <c r="I2320" s="370">
        <v>4542.5000610351563</v>
      </c>
      <c r="M2320" s="371">
        <f t="shared" si="145"/>
        <v>14233.391955173782</v>
      </c>
      <c r="N2320" s="329">
        <f t="shared" si="146"/>
        <v>495.77761230468786</v>
      </c>
      <c r="T2320" s="331">
        <v>0</v>
      </c>
      <c r="U2320" s="328">
        <f>VLOOKUP(C2320,METADATA!$J$5:$Q$29,IF(E2320="HI",2,IF(E2320="LO",6,10))+IF(T2320=1,2,IF(D2320=7,1,(IF(WEEKDAY(B2320)=1,2,IF(WEEKDAY(B2320)=7,1,0))))))</f>
        <v>2</v>
      </c>
      <c r="V2320" s="328">
        <f>VLOOKUP(C2320,METADATA!$A$5:$H$29,IF(E2320="HI",2,IF(E2320="LO",6,10))+IF(T2320=1,2,IF(D2320=7,1,(IF(WEEKDAY(B2320)=1,2,IF(WEEKDAY(B2320)=7,1,0))))))</f>
        <v>2</v>
      </c>
    </row>
    <row r="2321" spans="2:22">
      <c r="B2321" s="318">
        <f t="shared" si="143"/>
        <v>46209</v>
      </c>
      <c r="C2321" s="312">
        <v>13</v>
      </c>
      <c r="D2321" s="368">
        <f>IFERROR((INDEX(METADATA!$T$2:$T$20,MATCH(B2321,METADATA!$S$2:$S$20,0))),0)</f>
        <v>0</v>
      </c>
      <c r="E2321" s="312" t="str">
        <f t="shared" si="144"/>
        <v>LO</v>
      </c>
      <c r="F2321" s="369">
        <f>VLOOKUP(C2321,METADATA!$A$5:$H$29,IF(E2321="HI",2,IF(E2321="LO",6,10))+IF(D2321=1,2,IF(D2321=7,1,(IF(WEEKDAY(B2321)=1,2,IF(WEEKDAY(B2321)=7,1,0))))))</f>
        <v>2</v>
      </c>
      <c r="G2321" s="369">
        <f>VLOOKUP(C2321,METADATA!$J$5:$Q$29,IF(E2321="HI",2,IF(E2321="LO",6,10))+IF(D2321=1,2,IF(D2321=7,1,(IF(WEEKDAY(B2321)=1,2,IF(WEEKDAY(B2321)=7,1,0))))))</f>
        <v>2</v>
      </c>
      <c r="H2321" s="370">
        <v>13501.924682617188</v>
      </c>
      <c r="I2321" s="370">
        <v>4581.7850341796875</v>
      </c>
      <c r="M2321" s="371">
        <f t="shared" si="145"/>
        <v>14258.145890490116</v>
      </c>
      <c r="N2321" s="329">
        <f t="shared" si="146"/>
        <v>531.20762939453152</v>
      </c>
      <c r="T2321" s="331">
        <v>0</v>
      </c>
      <c r="U2321" s="328">
        <f>VLOOKUP(C2321,METADATA!$J$5:$Q$29,IF(E2321="HI",2,IF(E2321="LO",6,10))+IF(T2321=1,2,IF(D2321=7,1,(IF(WEEKDAY(B2321)=1,2,IF(WEEKDAY(B2321)=7,1,0))))))</f>
        <v>2</v>
      </c>
      <c r="V2321" s="328">
        <f>VLOOKUP(C2321,METADATA!$A$5:$H$29,IF(E2321="HI",2,IF(E2321="LO",6,10))+IF(T2321=1,2,IF(D2321=7,1,(IF(WEEKDAY(B2321)=1,2,IF(WEEKDAY(B2321)=7,1,0))))))</f>
        <v>2</v>
      </c>
    </row>
    <row r="2322" spans="2:22">
      <c r="B2322" s="318">
        <f t="shared" si="143"/>
        <v>46209</v>
      </c>
      <c r="C2322" s="312">
        <v>14</v>
      </c>
      <c r="D2322" s="368">
        <f>IFERROR((INDEX(METADATA!$T$2:$T$20,MATCH(B2322,METADATA!$S$2:$S$20,0))),0)</f>
        <v>0</v>
      </c>
      <c r="E2322" s="312" t="str">
        <f t="shared" si="144"/>
        <v>LO</v>
      </c>
      <c r="F2322" s="369">
        <f>VLOOKUP(C2322,METADATA!$A$5:$H$29,IF(E2322="HI",2,IF(E2322="LO",6,10))+IF(D2322=1,2,IF(D2322=7,1,(IF(WEEKDAY(B2322)=1,2,IF(WEEKDAY(B2322)=7,1,0))))))</f>
        <v>2</v>
      </c>
      <c r="G2322" s="369">
        <f>VLOOKUP(C2322,METADATA!$J$5:$Q$29,IF(E2322="HI",2,IF(E2322="LO",6,10))+IF(D2322=1,2,IF(D2322=7,1,(IF(WEEKDAY(B2322)=1,2,IF(WEEKDAY(B2322)=7,1,0))))))</f>
        <v>2</v>
      </c>
      <c r="H2322" s="370">
        <v>13772.924621582031</v>
      </c>
      <c r="I2322" s="370">
        <v>4676.4649658203125</v>
      </c>
      <c r="M2322" s="371">
        <f t="shared" si="145"/>
        <v>14545.197736996404</v>
      </c>
      <c r="N2322" s="329">
        <f t="shared" si="146"/>
        <v>544.58757934570349</v>
      </c>
      <c r="T2322" s="331">
        <v>0</v>
      </c>
      <c r="U2322" s="328">
        <f>VLOOKUP(C2322,METADATA!$J$5:$Q$29,IF(E2322="HI",2,IF(E2322="LO",6,10))+IF(T2322=1,2,IF(D2322=7,1,(IF(WEEKDAY(B2322)=1,2,IF(WEEKDAY(B2322)=7,1,0))))))</f>
        <v>2</v>
      </c>
      <c r="V2322" s="328">
        <f>VLOOKUP(C2322,METADATA!$A$5:$H$29,IF(E2322="HI",2,IF(E2322="LO",6,10))+IF(T2322=1,2,IF(D2322=7,1,(IF(WEEKDAY(B2322)=1,2,IF(WEEKDAY(B2322)=7,1,0))))))</f>
        <v>2</v>
      </c>
    </row>
    <row r="2323" spans="2:22">
      <c r="B2323" s="318">
        <f t="shared" si="143"/>
        <v>46209</v>
      </c>
      <c r="C2323" s="312">
        <v>15</v>
      </c>
      <c r="D2323" s="368">
        <f>IFERROR((INDEX(METADATA!$T$2:$T$20,MATCH(B2323,METADATA!$S$2:$S$20,0))),0)</f>
        <v>0</v>
      </c>
      <c r="E2323" s="312" t="str">
        <f t="shared" si="144"/>
        <v>LO</v>
      </c>
      <c r="F2323" s="369">
        <f>VLOOKUP(C2323,METADATA!$A$5:$H$29,IF(E2323="HI",2,IF(E2323="LO",6,10))+IF(D2323=1,2,IF(D2323=7,1,(IF(WEEKDAY(B2323)=1,2,IF(WEEKDAY(B2323)=7,1,0))))))</f>
        <v>2</v>
      </c>
      <c r="G2323" s="369">
        <f>VLOOKUP(C2323,METADATA!$J$5:$Q$29,IF(E2323="HI",2,IF(E2323="LO",6,10))+IF(D2323=1,2,IF(D2323=7,1,(IF(WEEKDAY(B2323)=1,2,IF(WEEKDAY(B2323)=7,1,0))))))</f>
        <v>2</v>
      </c>
      <c r="H2323" s="370">
        <v>13376.550048828125</v>
      </c>
      <c r="I2323" s="370">
        <v>4522.5350341796875</v>
      </c>
      <c r="M2323" s="371">
        <f t="shared" si="145"/>
        <v>14120.390020965651</v>
      </c>
      <c r="N2323" s="329">
        <f t="shared" si="146"/>
        <v>509.57001953125018</v>
      </c>
      <c r="T2323" s="331">
        <v>0</v>
      </c>
      <c r="U2323" s="328">
        <f>VLOOKUP(C2323,METADATA!$J$5:$Q$29,IF(E2323="HI",2,IF(E2323="LO",6,10))+IF(T2323=1,2,IF(D2323=7,1,(IF(WEEKDAY(B2323)=1,2,IF(WEEKDAY(B2323)=7,1,0))))))</f>
        <v>2</v>
      </c>
      <c r="V2323" s="328">
        <f>VLOOKUP(C2323,METADATA!$A$5:$H$29,IF(E2323="HI",2,IF(E2323="LO",6,10))+IF(T2323=1,2,IF(D2323=7,1,(IF(WEEKDAY(B2323)=1,2,IF(WEEKDAY(B2323)=7,1,0))))))</f>
        <v>2</v>
      </c>
    </row>
    <row r="2324" spans="2:22">
      <c r="B2324" s="318">
        <f t="shared" si="143"/>
        <v>46209</v>
      </c>
      <c r="C2324" s="312">
        <v>16</v>
      </c>
      <c r="D2324" s="368">
        <f>IFERROR((INDEX(METADATA!$T$2:$T$20,MATCH(B2324,METADATA!$S$2:$S$20,0))),0)</f>
        <v>0</v>
      </c>
      <c r="E2324" s="312" t="str">
        <f t="shared" si="144"/>
        <v>LO</v>
      </c>
      <c r="F2324" s="369">
        <f>VLOOKUP(C2324,METADATA!$A$5:$H$29,IF(E2324="HI",2,IF(E2324="LO",6,10))+IF(D2324=1,2,IF(D2324=7,1,(IF(WEEKDAY(B2324)=1,2,IF(WEEKDAY(B2324)=7,1,0))))))</f>
        <v>2</v>
      </c>
      <c r="G2324" s="369">
        <f>VLOOKUP(C2324,METADATA!$J$5:$Q$29,IF(E2324="HI",2,IF(E2324="LO",6,10))+IF(D2324=1,2,IF(D2324=7,1,(IF(WEEKDAY(B2324)=1,2,IF(WEEKDAY(B2324)=7,1,0))))))</f>
        <v>2</v>
      </c>
      <c r="H2324" s="370">
        <v>13695.750122070313</v>
      </c>
      <c r="I2324" s="370">
        <v>4692.9449462890625</v>
      </c>
      <c r="M2324" s="371">
        <f t="shared" si="145"/>
        <v>14477.475735606984</v>
      </c>
      <c r="N2324" s="329">
        <f t="shared" si="146"/>
        <v>584.21990966796875</v>
      </c>
      <c r="T2324" s="331">
        <v>0</v>
      </c>
      <c r="U2324" s="328">
        <f>VLOOKUP(C2324,METADATA!$J$5:$Q$29,IF(E2324="HI",2,IF(E2324="LO",6,10))+IF(T2324=1,2,IF(D2324=7,1,(IF(WEEKDAY(B2324)=1,2,IF(WEEKDAY(B2324)=7,1,0))))))</f>
        <v>2</v>
      </c>
      <c r="V2324" s="328">
        <f>VLOOKUP(C2324,METADATA!$A$5:$H$29,IF(E2324="HI",2,IF(E2324="LO",6,10))+IF(T2324=1,2,IF(D2324=7,1,(IF(WEEKDAY(B2324)=1,2,IF(WEEKDAY(B2324)=7,1,0))))))</f>
        <v>2</v>
      </c>
    </row>
    <row r="2325" spans="2:22">
      <c r="B2325" s="318">
        <f t="shared" si="143"/>
        <v>46209</v>
      </c>
      <c r="C2325" s="312">
        <v>17</v>
      </c>
      <c r="D2325" s="368">
        <f>IFERROR((INDEX(METADATA!$T$2:$T$20,MATCH(B2325,METADATA!$S$2:$S$20,0))),0)</f>
        <v>0</v>
      </c>
      <c r="E2325" s="312" t="str">
        <f t="shared" si="144"/>
        <v>LO</v>
      </c>
      <c r="F2325" s="369">
        <f>VLOOKUP(C2325,METADATA!$A$5:$H$29,IF(E2325="HI",2,IF(E2325="LO",6,10))+IF(D2325=1,2,IF(D2325=7,1,(IF(WEEKDAY(B2325)=1,2,IF(WEEKDAY(B2325)=7,1,0))))))</f>
        <v>2</v>
      </c>
      <c r="G2325" s="369">
        <f>VLOOKUP(C2325,METADATA!$J$5:$Q$29,IF(E2325="HI",2,IF(E2325="LO",6,10))+IF(D2325=1,2,IF(D2325=7,1,(IF(WEEKDAY(B2325)=1,2,IF(WEEKDAY(B2325)=7,1,0))))))</f>
        <v>2</v>
      </c>
      <c r="H2325" s="370">
        <v>13263.174560546875</v>
      </c>
      <c r="I2325" s="370">
        <v>4501.4649658203125</v>
      </c>
      <c r="M2325" s="371">
        <f t="shared" si="145"/>
        <v>14006.248115110822</v>
      </c>
      <c r="N2325" s="329">
        <f t="shared" si="146"/>
        <v>522.51259765625036</v>
      </c>
      <c r="T2325" s="331">
        <v>0</v>
      </c>
      <c r="U2325" s="328">
        <f>VLOOKUP(C2325,METADATA!$J$5:$Q$29,IF(E2325="HI",2,IF(E2325="LO",6,10))+IF(T2325=1,2,IF(D2325=7,1,(IF(WEEKDAY(B2325)=1,2,IF(WEEKDAY(B2325)=7,1,0))))))</f>
        <v>2</v>
      </c>
      <c r="V2325" s="328">
        <f>VLOOKUP(C2325,METADATA!$A$5:$H$29,IF(E2325="HI",2,IF(E2325="LO",6,10))+IF(T2325=1,2,IF(D2325=7,1,(IF(WEEKDAY(B2325)=1,2,IF(WEEKDAY(B2325)=7,1,0))))))</f>
        <v>2</v>
      </c>
    </row>
    <row r="2326" spans="2:22">
      <c r="B2326" s="318">
        <f t="shared" si="143"/>
        <v>46209</v>
      </c>
      <c r="C2326" s="312">
        <v>18</v>
      </c>
      <c r="D2326" s="368">
        <f>IFERROR((INDEX(METADATA!$T$2:$T$20,MATCH(B2326,METADATA!$S$2:$S$20,0))),0)</f>
        <v>0</v>
      </c>
      <c r="E2326" s="312" t="str">
        <f t="shared" si="144"/>
        <v>LO</v>
      </c>
      <c r="F2326" s="369">
        <f>VLOOKUP(C2326,METADATA!$A$5:$H$29,IF(E2326="HI",2,IF(E2326="LO",6,10))+IF(D2326=1,2,IF(D2326=7,1,(IF(WEEKDAY(B2326)=1,2,IF(WEEKDAY(B2326)=7,1,0))))))</f>
        <v>1</v>
      </c>
      <c r="G2326" s="369">
        <f>VLOOKUP(C2326,METADATA!$J$5:$Q$29,IF(E2326="HI",2,IF(E2326="LO",6,10))+IF(D2326=1,2,IF(D2326=7,1,(IF(WEEKDAY(B2326)=1,2,IF(WEEKDAY(B2326)=7,1,0))))))</f>
        <v>1</v>
      </c>
      <c r="H2326" s="370">
        <v>13715.349792480469</v>
      </c>
      <c r="I2326" s="370">
        <v>4537.5798645019531</v>
      </c>
      <c r="M2326" s="371">
        <f t="shared" si="145"/>
        <v>14446.468459690333</v>
      </c>
      <c r="N2326" s="329">
        <f t="shared" si="146"/>
        <v>422.97492675781268</v>
      </c>
      <c r="T2326" s="331">
        <v>0</v>
      </c>
      <c r="U2326" s="328">
        <f>VLOOKUP(C2326,METADATA!$J$5:$Q$29,IF(E2326="HI",2,IF(E2326="LO",6,10))+IF(T2326=1,2,IF(D2326=7,1,(IF(WEEKDAY(B2326)=1,2,IF(WEEKDAY(B2326)=7,1,0))))))</f>
        <v>1</v>
      </c>
      <c r="V2326" s="328">
        <f>VLOOKUP(C2326,METADATA!$A$5:$H$29,IF(E2326="HI",2,IF(E2326="LO",6,10))+IF(T2326=1,2,IF(D2326=7,1,(IF(WEEKDAY(B2326)=1,2,IF(WEEKDAY(B2326)=7,1,0))))))</f>
        <v>1</v>
      </c>
    </row>
    <row r="2327" spans="2:22">
      <c r="B2327" s="318">
        <f t="shared" si="143"/>
        <v>46209</v>
      </c>
      <c r="C2327" s="312">
        <v>19</v>
      </c>
      <c r="D2327" s="368">
        <f>IFERROR((INDEX(METADATA!$T$2:$T$20,MATCH(B2327,METADATA!$S$2:$S$20,0))),0)</f>
        <v>0</v>
      </c>
      <c r="E2327" s="312" t="str">
        <f t="shared" si="144"/>
        <v>LO</v>
      </c>
      <c r="F2327" s="369">
        <f>VLOOKUP(C2327,METADATA!$A$5:$H$29,IF(E2327="HI",2,IF(E2327="LO",6,10))+IF(D2327=1,2,IF(D2327=7,1,(IF(WEEKDAY(B2327)=1,2,IF(WEEKDAY(B2327)=7,1,0))))))</f>
        <v>1</v>
      </c>
      <c r="G2327" s="369">
        <f>VLOOKUP(C2327,METADATA!$J$5:$Q$29,IF(E2327="HI",2,IF(E2327="LO",6,10))+IF(D2327=1,2,IF(D2327=7,1,(IF(WEEKDAY(B2327)=1,2,IF(WEEKDAY(B2327)=7,1,0))))))</f>
        <v>1</v>
      </c>
      <c r="H2327" s="370">
        <v>13747.924865722656</v>
      </c>
      <c r="I2327" s="370">
        <v>4594.7999877929688</v>
      </c>
      <c r="M2327" s="371">
        <f t="shared" si="145"/>
        <v>14495.434627543169</v>
      </c>
      <c r="N2327" s="329">
        <f t="shared" si="146"/>
        <v>470.42252807617206</v>
      </c>
      <c r="T2327" s="331">
        <v>0</v>
      </c>
      <c r="U2327" s="328">
        <f>VLOOKUP(C2327,METADATA!$J$5:$Q$29,IF(E2327="HI",2,IF(E2327="LO",6,10))+IF(T2327=1,2,IF(D2327=7,1,(IF(WEEKDAY(B2327)=1,2,IF(WEEKDAY(B2327)=7,1,0))))))</f>
        <v>1</v>
      </c>
      <c r="V2327" s="328">
        <f>VLOOKUP(C2327,METADATA!$A$5:$H$29,IF(E2327="HI",2,IF(E2327="LO",6,10))+IF(T2327=1,2,IF(D2327=7,1,(IF(WEEKDAY(B2327)=1,2,IF(WEEKDAY(B2327)=7,1,0))))))</f>
        <v>1</v>
      </c>
    </row>
    <row r="2328" spans="2:22">
      <c r="B2328" s="318">
        <f t="shared" si="143"/>
        <v>46209</v>
      </c>
      <c r="C2328" s="312">
        <v>20</v>
      </c>
      <c r="D2328" s="368">
        <f>IFERROR((INDEX(METADATA!$T$2:$T$20,MATCH(B2328,METADATA!$S$2:$S$20,0))),0)</f>
        <v>0</v>
      </c>
      <c r="E2328" s="312" t="str">
        <f t="shared" si="144"/>
        <v>LO</v>
      </c>
      <c r="F2328" s="369">
        <f>VLOOKUP(C2328,METADATA!$A$5:$H$29,IF(E2328="HI",2,IF(E2328="LO",6,10))+IF(D2328=1,2,IF(D2328=7,1,(IF(WEEKDAY(B2328)=1,2,IF(WEEKDAY(B2328)=7,1,0))))))</f>
        <v>1</v>
      </c>
      <c r="G2328" s="369">
        <f>VLOOKUP(C2328,METADATA!$J$5:$Q$29,IF(E2328="HI",2,IF(E2328="LO",6,10))+IF(D2328=1,2,IF(D2328=7,1,(IF(WEEKDAY(B2328)=1,2,IF(WEEKDAY(B2328)=7,1,0))))))</f>
        <v>1</v>
      </c>
      <c r="H2328" s="370">
        <v>12595.92529296875</v>
      </c>
      <c r="I2328" s="370">
        <v>4022.7275695800781</v>
      </c>
      <c r="M2328" s="371">
        <f t="shared" si="145"/>
        <v>13222.695303345288</v>
      </c>
      <c r="N2328" s="329">
        <f t="shared" si="146"/>
        <v>243.94998168945313</v>
      </c>
      <c r="T2328" s="331">
        <v>0</v>
      </c>
      <c r="U2328" s="328">
        <f>VLOOKUP(C2328,METADATA!$J$5:$Q$29,IF(E2328="HI",2,IF(E2328="LO",6,10))+IF(T2328=1,2,IF(D2328=7,1,(IF(WEEKDAY(B2328)=1,2,IF(WEEKDAY(B2328)=7,1,0))))))</f>
        <v>1</v>
      </c>
      <c r="V2328" s="328">
        <f>VLOOKUP(C2328,METADATA!$A$5:$H$29,IF(E2328="HI",2,IF(E2328="LO",6,10))+IF(T2328=1,2,IF(D2328=7,1,(IF(WEEKDAY(B2328)=1,2,IF(WEEKDAY(B2328)=7,1,0))))))</f>
        <v>1</v>
      </c>
    </row>
    <row r="2329" spans="2:22">
      <c r="B2329" s="318">
        <f t="shared" si="143"/>
        <v>46209</v>
      </c>
      <c r="C2329" s="312">
        <v>21</v>
      </c>
      <c r="D2329" s="368">
        <f>IFERROR((INDEX(METADATA!$T$2:$T$20,MATCH(B2329,METADATA!$S$2:$S$20,0))),0)</f>
        <v>0</v>
      </c>
      <c r="E2329" s="312" t="str">
        <f t="shared" si="144"/>
        <v>LO</v>
      </c>
      <c r="F2329" s="369">
        <f>VLOOKUP(C2329,METADATA!$A$5:$H$29,IF(E2329="HI",2,IF(E2329="LO",6,10))+IF(D2329=1,2,IF(D2329=7,1,(IF(WEEKDAY(B2329)=1,2,IF(WEEKDAY(B2329)=7,1,0))))))</f>
        <v>2</v>
      </c>
      <c r="G2329" s="369">
        <f>VLOOKUP(C2329,METADATA!$J$5:$Q$29,IF(E2329="HI",2,IF(E2329="LO",6,10))+IF(D2329=1,2,IF(D2329=7,1,(IF(WEEKDAY(B2329)=1,2,IF(WEEKDAY(B2329)=7,1,0))))))</f>
        <v>2</v>
      </c>
      <c r="H2329" s="370">
        <v>13361.549743652344</v>
      </c>
      <c r="I2329" s="370">
        <v>4537.6050720214844</v>
      </c>
      <c r="M2329" s="371">
        <f t="shared" si="145"/>
        <v>14111.019500437631</v>
      </c>
      <c r="N2329" s="329">
        <f t="shared" si="146"/>
        <v>529.14014892578143</v>
      </c>
      <c r="T2329" s="331">
        <v>0</v>
      </c>
      <c r="U2329" s="328">
        <f>VLOOKUP(C2329,METADATA!$J$5:$Q$29,IF(E2329="HI",2,IF(E2329="LO",6,10))+IF(T2329=1,2,IF(D2329=7,1,(IF(WEEKDAY(B2329)=1,2,IF(WEEKDAY(B2329)=7,1,0))))))</f>
        <v>2</v>
      </c>
      <c r="V2329" s="328">
        <f>VLOOKUP(C2329,METADATA!$A$5:$H$29,IF(E2329="HI",2,IF(E2329="LO",6,10))+IF(T2329=1,2,IF(D2329=7,1,(IF(WEEKDAY(B2329)=1,2,IF(WEEKDAY(B2329)=7,1,0))))))</f>
        <v>2</v>
      </c>
    </row>
    <row r="2330" spans="2:22">
      <c r="B2330" s="318">
        <f t="shared" si="143"/>
        <v>46209</v>
      </c>
      <c r="C2330" s="312">
        <v>22</v>
      </c>
      <c r="D2330" s="368">
        <f>IFERROR((INDEX(METADATA!$T$2:$T$20,MATCH(B2330,METADATA!$S$2:$S$20,0))),0)</f>
        <v>0</v>
      </c>
      <c r="E2330" s="312" t="str">
        <f t="shared" si="144"/>
        <v>LO</v>
      </c>
      <c r="F2330" s="369">
        <f>VLOOKUP(C2330,METADATA!$A$5:$H$29,IF(E2330="HI",2,IF(E2330="LO",6,10))+IF(D2330=1,2,IF(D2330=7,1,(IF(WEEKDAY(B2330)=1,2,IF(WEEKDAY(B2330)=7,1,0))))))</f>
        <v>3</v>
      </c>
      <c r="G2330" s="369">
        <f>VLOOKUP(C2330,METADATA!$J$5:$Q$29,IF(E2330="HI",2,IF(E2330="LO",6,10))+IF(D2330=1,2,IF(D2330=7,1,(IF(WEEKDAY(B2330)=1,2,IF(WEEKDAY(B2330)=7,1,0))))))</f>
        <v>3</v>
      </c>
      <c r="H2330" s="370">
        <v>13386.050048828125</v>
      </c>
      <c r="I2330" s="370">
        <v>4713.3550109863281</v>
      </c>
      <c r="M2330" s="371">
        <f t="shared" si="145"/>
        <v>14191.619053840241</v>
      </c>
      <c r="N2330" s="329">
        <f t="shared" si="146"/>
        <v>697.5399963378909</v>
      </c>
      <c r="T2330" s="331">
        <v>0</v>
      </c>
      <c r="U2330" s="328">
        <f>VLOOKUP(C2330,METADATA!$J$5:$Q$29,IF(E2330="HI",2,IF(E2330="LO",6,10))+IF(T2330=1,2,IF(D2330=7,1,(IF(WEEKDAY(B2330)=1,2,IF(WEEKDAY(B2330)=7,1,0))))))</f>
        <v>3</v>
      </c>
      <c r="V2330" s="328">
        <f>VLOOKUP(C2330,METADATA!$A$5:$H$29,IF(E2330="HI",2,IF(E2330="LO",6,10))+IF(T2330=1,2,IF(D2330=7,1,(IF(WEEKDAY(B2330)=1,2,IF(WEEKDAY(B2330)=7,1,0))))))</f>
        <v>3</v>
      </c>
    </row>
    <row r="2331" spans="2:22">
      <c r="B2331" s="318">
        <f t="shared" si="143"/>
        <v>46209</v>
      </c>
      <c r="C2331" s="312">
        <v>23</v>
      </c>
      <c r="D2331" s="368">
        <f>IFERROR((INDEX(METADATA!$T$2:$T$20,MATCH(B2331,METADATA!$S$2:$S$20,0))),0)</f>
        <v>0</v>
      </c>
      <c r="E2331" s="312" t="str">
        <f t="shared" si="144"/>
        <v>LO</v>
      </c>
      <c r="F2331" s="369">
        <f>VLOOKUP(C2331,METADATA!$A$5:$H$29,IF(E2331="HI",2,IF(E2331="LO",6,10))+IF(D2331=1,2,IF(D2331=7,1,(IF(WEEKDAY(B2331)=1,2,IF(WEEKDAY(B2331)=7,1,0))))))</f>
        <v>3</v>
      </c>
      <c r="G2331" s="369">
        <f>VLOOKUP(C2331,METADATA!$J$5:$Q$29,IF(E2331="HI",2,IF(E2331="LO",6,10))+IF(D2331=1,2,IF(D2331=7,1,(IF(WEEKDAY(B2331)=1,2,IF(WEEKDAY(B2331)=7,1,0))))))</f>
        <v>3</v>
      </c>
      <c r="H2331" s="370">
        <v>13898.574951171875</v>
      </c>
      <c r="I2331" s="370">
        <v>4848.9549865722656</v>
      </c>
      <c r="M2331" s="371">
        <f t="shared" si="145"/>
        <v>14720.147762001112</v>
      </c>
      <c r="N2331" s="329">
        <f t="shared" si="146"/>
        <v>679.38250122070349</v>
      </c>
      <c r="T2331" s="331">
        <v>0</v>
      </c>
      <c r="U2331" s="328">
        <f>VLOOKUP(C2331,METADATA!$J$5:$Q$29,IF(E2331="HI",2,IF(E2331="LO",6,10))+IF(T2331=1,2,IF(D2331=7,1,(IF(WEEKDAY(B2331)=1,2,IF(WEEKDAY(B2331)=7,1,0))))))</f>
        <v>3</v>
      </c>
      <c r="V2331" s="328">
        <f>VLOOKUP(C2331,METADATA!$A$5:$H$29,IF(E2331="HI",2,IF(E2331="LO",6,10))+IF(T2331=1,2,IF(D2331=7,1,(IF(WEEKDAY(B2331)=1,2,IF(WEEKDAY(B2331)=7,1,0))))))</f>
        <v>3</v>
      </c>
    </row>
    <row r="2332" spans="2:22">
      <c r="B2332" s="318">
        <f t="shared" ref="B2332:B2395" si="147">B2308+1</f>
        <v>46210</v>
      </c>
      <c r="C2332" s="312">
        <v>0</v>
      </c>
      <c r="D2332" s="368">
        <f>IFERROR((INDEX(METADATA!$T$2:$T$20,MATCH(B2332,METADATA!$S$2:$S$20,0))),0)</f>
        <v>0</v>
      </c>
      <c r="E2332" s="312" t="str">
        <f t="shared" si="144"/>
        <v>LO</v>
      </c>
      <c r="F2332" s="369">
        <f>VLOOKUP(C2332,METADATA!$A$5:$H$29,IF(E2332="HI",2,IF(E2332="LO",6,10))+IF(D2332=1,2,IF(D2332=7,1,(IF(WEEKDAY(B2332)=1,2,IF(WEEKDAY(B2332)=7,1,0))))))</f>
        <v>3</v>
      </c>
      <c r="G2332" s="369">
        <f>VLOOKUP(C2332,METADATA!$J$5:$Q$29,IF(E2332="HI",2,IF(E2332="LO",6,10))+IF(D2332=1,2,IF(D2332=7,1,(IF(WEEKDAY(B2332)=1,2,IF(WEEKDAY(B2332)=7,1,0))))))</f>
        <v>3</v>
      </c>
      <c r="H2332" s="370">
        <v>13754.075317382813</v>
      </c>
      <c r="I2332" s="370">
        <v>4892.1749267578125</v>
      </c>
      <c r="M2332" s="371">
        <f t="shared" si="145"/>
        <v>14598.217814179814</v>
      </c>
      <c r="N2332" s="329">
        <f t="shared" si="146"/>
        <v>765.95233154296875</v>
      </c>
      <c r="T2332" s="331">
        <v>0</v>
      </c>
      <c r="U2332" s="328">
        <f>VLOOKUP(C2332,METADATA!$J$5:$Q$29,IF(E2332="HI",2,IF(E2332="LO",6,10))+IF(T2332=1,2,IF(D2332=7,1,(IF(WEEKDAY(B2332)=1,2,IF(WEEKDAY(B2332)=7,1,0))))))</f>
        <v>3</v>
      </c>
      <c r="V2332" s="328">
        <f>VLOOKUP(C2332,METADATA!$A$5:$H$29,IF(E2332="HI",2,IF(E2332="LO",6,10))+IF(T2332=1,2,IF(D2332=7,1,(IF(WEEKDAY(B2332)=1,2,IF(WEEKDAY(B2332)=7,1,0))))))</f>
        <v>3</v>
      </c>
    </row>
    <row r="2333" spans="2:22">
      <c r="B2333" s="318">
        <f t="shared" si="147"/>
        <v>46210</v>
      </c>
      <c r="C2333" s="312">
        <v>1</v>
      </c>
      <c r="D2333" s="368">
        <f>IFERROR((INDEX(METADATA!$T$2:$T$20,MATCH(B2333,METADATA!$S$2:$S$20,0))),0)</f>
        <v>0</v>
      </c>
      <c r="E2333" s="312" t="str">
        <f t="shared" si="144"/>
        <v>LO</v>
      </c>
      <c r="F2333" s="369">
        <f>VLOOKUP(C2333,METADATA!$A$5:$H$29,IF(E2333="HI",2,IF(E2333="LO",6,10))+IF(D2333=1,2,IF(D2333=7,1,(IF(WEEKDAY(B2333)=1,2,IF(WEEKDAY(B2333)=7,1,0))))))</f>
        <v>3</v>
      </c>
      <c r="G2333" s="369">
        <f>VLOOKUP(C2333,METADATA!$J$5:$Q$29,IF(E2333="HI",2,IF(E2333="LO",6,10))+IF(D2333=1,2,IF(D2333=7,1,(IF(WEEKDAY(B2333)=1,2,IF(WEEKDAY(B2333)=7,1,0))))))</f>
        <v>3</v>
      </c>
      <c r="H2333" s="370">
        <v>13872.675476074219</v>
      </c>
      <c r="I2333" s="370">
        <v>4889.4050598144531</v>
      </c>
      <c r="M2333" s="371">
        <f t="shared" si="145"/>
        <v>14709.092653981421</v>
      </c>
      <c r="N2333" s="329">
        <f t="shared" si="146"/>
        <v>727.6024169921875</v>
      </c>
      <c r="T2333" s="331">
        <v>0</v>
      </c>
      <c r="U2333" s="328">
        <f>VLOOKUP(C2333,METADATA!$J$5:$Q$29,IF(E2333="HI",2,IF(E2333="LO",6,10))+IF(T2333=1,2,IF(D2333=7,1,(IF(WEEKDAY(B2333)=1,2,IF(WEEKDAY(B2333)=7,1,0))))))</f>
        <v>3</v>
      </c>
      <c r="V2333" s="328">
        <f>VLOOKUP(C2333,METADATA!$A$5:$H$29,IF(E2333="HI",2,IF(E2333="LO",6,10))+IF(T2333=1,2,IF(D2333=7,1,(IF(WEEKDAY(B2333)=1,2,IF(WEEKDAY(B2333)=7,1,0))))))</f>
        <v>3</v>
      </c>
    </row>
    <row r="2334" spans="2:22">
      <c r="B2334" s="318">
        <f t="shared" si="147"/>
        <v>46210</v>
      </c>
      <c r="C2334" s="312">
        <v>2</v>
      </c>
      <c r="D2334" s="368">
        <f>IFERROR((INDEX(METADATA!$T$2:$T$20,MATCH(B2334,METADATA!$S$2:$S$20,0))),0)</f>
        <v>0</v>
      </c>
      <c r="E2334" s="312" t="str">
        <f t="shared" si="144"/>
        <v>LO</v>
      </c>
      <c r="F2334" s="369">
        <f>VLOOKUP(C2334,METADATA!$A$5:$H$29,IF(E2334="HI",2,IF(E2334="LO",6,10))+IF(D2334=1,2,IF(D2334=7,1,(IF(WEEKDAY(B2334)=1,2,IF(WEEKDAY(B2334)=7,1,0))))))</f>
        <v>3</v>
      </c>
      <c r="G2334" s="369">
        <f>VLOOKUP(C2334,METADATA!$J$5:$Q$29,IF(E2334="HI",2,IF(E2334="LO",6,10))+IF(D2334=1,2,IF(D2334=7,1,(IF(WEEKDAY(B2334)=1,2,IF(WEEKDAY(B2334)=7,1,0))))))</f>
        <v>3</v>
      </c>
      <c r="H2334" s="370">
        <v>13799.649658203125</v>
      </c>
      <c r="I2334" s="370">
        <v>4796.9149475097656</v>
      </c>
      <c r="M2334" s="371">
        <f t="shared" si="145"/>
        <v>14609.610662258876</v>
      </c>
      <c r="N2334" s="329">
        <f t="shared" si="146"/>
        <v>657.02005004882813</v>
      </c>
      <c r="T2334" s="331">
        <v>0</v>
      </c>
      <c r="U2334" s="328">
        <f>VLOOKUP(C2334,METADATA!$J$5:$Q$29,IF(E2334="HI",2,IF(E2334="LO",6,10))+IF(T2334=1,2,IF(D2334=7,1,(IF(WEEKDAY(B2334)=1,2,IF(WEEKDAY(B2334)=7,1,0))))))</f>
        <v>3</v>
      </c>
      <c r="V2334" s="328">
        <f>VLOOKUP(C2334,METADATA!$A$5:$H$29,IF(E2334="HI",2,IF(E2334="LO",6,10))+IF(T2334=1,2,IF(D2334=7,1,(IF(WEEKDAY(B2334)=1,2,IF(WEEKDAY(B2334)=7,1,0))))))</f>
        <v>3</v>
      </c>
    </row>
    <row r="2335" spans="2:22">
      <c r="B2335" s="318">
        <f t="shared" si="147"/>
        <v>46210</v>
      </c>
      <c r="C2335" s="312">
        <v>3</v>
      </c>
      <c r="D2335" s="368">
        <f>IFERROR((INDEX(METADATA!$T$2:$T$20,MATCH(B2335,METADATA!$S$2:$S$20,0))),0)</f>
        <v>0</v>
      </c>
      <c r="E2335" s="312" t="str">
        <f t="shared" si="144"/>
        <v>LO</v>
      </c>
      <c r="F2335" s="369">
        <f>VLOOKUP(C2335,METADATA!$A$5:$H$29,IF(E2335="HI",2,IF(E2335="LO",6,10))+IF(D2335=1,2,IF(D2335=7,1,(IF(WEEKDAY(B2335)=1,2,IF(WEEKDAY(B2335)=7,1,0))))))</f>
        <v>3</v>
      </c>
      <c r="G2335" s="369">
        <f>VLOOKUP(C2335,METADATA!$J$5:$Q$29,IF(E2335="HI",2,IF(E2335="LO",6,10))+IF(D2335=1,2,IF(D2335=7,1,(IF(WEEKDAY(B2335)=1,2,IF(WEEKDAY(B2335)=7,1,0))))))</f>
        <v>3</v>
      </c>
      <c r="H2335" s="370">
        <v>13868.250061035156</v>
      </c>
      <c r="I2335" s="370">
        <v>4674.6700439453125</v>
      </c>
      <c r="M2335" s="371">
        <f t="shared" si="145"/>
        <v>14634.920559236434</v>
      </c>
      <c r="N2335" s="329">
        <f t="shared" si="146"/>
        <v>514.19502563476544</v>
      </c>
      <c r="T2335" s="331">
        <v>0</v>
      </c>
      <c r="U2335" s="328">
        <f>VLOOKUP(C2335,METADATA!$J$5:$Q$29,IF(E2335="HI",2,IF(E2335="LO",6,10))+IF(T2335=1,2,IF(D2335=7,1,(IF(WEEKDAY(B2335)=1,2,IF(WEEKDAY(B2335)=7,1,0))))))</f>
        <v>3</v>
      </c>
      <c r="V2335" s="328">
        <f>VLOOKUP(C2335,METADATA!$A$5:$H$29,IF(E2335="HI",2,IF(E2335="LO",6,10))+IF(T2335=1,2,IF(D2335=7,1,(IF(WEEKDAY(B2335)=1,2,IF(WEEKDAY(B2335)=7,1,0))))))</f>
        <v>3</v>
      </c>
    </row>
    <row r="2336" spans="2:22">
      <c r="B2336" s="318">
        <f t="shared" si="147"/>
        <v>46210</v>
      </c>
      <c r="C2336" s="312">
        <v>4</v>
      </c>
      <c r="D2336" s="368">
        <f>IFERROR((INDEX(METADATA!$T$2:$T$20,MATCH(B2336,METADATA!$S$2:$S$20,0))),0)</f>
        <v>0</v>
      </c>
      <c r="E2336" s="312" t="str">
        <f t="shared" si="144"/>
        <v>LO</v>
      </c>
      <c r="F2336" s="369">
        <f>VLOOKUP(C2336,METADATA!$A$5:$H$29,IF(E2336="HI",2,IF(E2336="LO",6,10))+IF(D2336=1,2,IF(D2336=7,1,(IF(WEEKDAY(B2336)=1,2,IF(WEEKDAY(B2336)=7,1,0))))))</f>
        <v>3</v>
      </c>
      <c r="G2336" s="369">
        <f>VLOOKUP(C2336,METADATA!$J$5:$Q$29,IF(E2336="HI",2,IF(E2336="LO",6,10))+IF(D2336=1,2,IF(D2336=7,1,(IF(WEEKDAY(B2336)=1,2,IF(WEEKDAY(B2336)=7,1,0))))))</f>
        <v>3</v>
      </c>
      <c r="H2336" s="370">
        <v>13582.774963378906</v>
      </c>
      <c r="I2336" s="370">
        <v>4435.7149963378906</v>
      </c>
      <c r="M2336" s="371">
        <f t="shared" si="145"/>
        <v>14288.713841159031</v>
      </c>
      <c r="N2336" s="329">
        <f t="shared" si="146"/>
        <v>360.88250732421875</v>
      </c>
      <c r="T2336" s="331">
        <v>0</v>
      </c>
      <c r="U2336" s="328">
        <f>VLOOKUP(C2336,METADATA!$J$5:$Q$29,IF(E2336="HI",2,IF(E2336="LO",6,10))+IF(T2336=1,2,IF(D2336=7,1,(IF(WEEKDAY(B2336)=1,2,IF(WEEKDAY(B2336)=7,1,0))))))</f>
        <v>3</v>
      </c>
      <c r="V2336" s="328">
        <f>VLOOKUP(C2336,METADATA!$A$5:$H$29,IF(E2336="HI",2,IF(E2336="LO",6,10))+IF(T2336=1,2,IF(D2336=7,1,(IF(WEEKDAY(B2336)=1,2,IF(WEEKDAY(B2336)=7,1,0))))))</f>
        <v>3</v>
      </c>
    </row>
    <row r="2337" spans="2:22">
      <c r="B2337" s="318">
        <f t="shared" si="147"/>
        <v>46210</v>
      </c>
      <c r="C2337" s="312">
        <v>5</v>
      </c>
      <c r="D2337" s="368">
        <f>IFERROR((INDEX(METADATA!$T$2:$T$20,MATCH(B2337,METADATA!$S$2:$S$20,0))),0)</f>
        <v>0</v>
      </c>
      <c r="E2337" s="312" t="str">
        <f t="shared" si="144"/>
        <v>LO</v>
      </c>
      <c r="F2337" s="369">
        <f>VLOOKUP(C2337,METADATA!$A$5:$H$29,IF(E2337="HI",2,IF(E2337="LO",6,10))+IF(D2337=1,2,IF(D2337=7,1,(IF(WEEKDAY(B2337)=1,2,IF(WEEKDAY(B2337)=7,1,0))))))</f>
        <v>3</v>
      </c>
      <c r="G2337" s="369">
        <f>VLOOKUP(C2337,METADATA!$J$5:$Q$29,IF(E2337="HI",2,IF(E2337="LO",6,10))+IF(D2337=1,2,IF(D2337=7,1,(IF(WEEKDAY(B2337)=1,2,IF(WEEKDAY(B2337)=7,1,0))))))</f>
        <v>3</v>
      </c>
      <c r="H2337" s="370">
        <v>12789.000122070313</v>
      </c>
      <c r="I2337" s="370">
        <v>3690.2350158691406</v>
      </c>
      <c r="M2337" s="371">
        <f t="shared" si="145"/>
        <v>13310.761007345191</v>
      </c>
      <c r="N2337" s="329">
        <f t="shared" si="146"/>
        <v>0</v>
      </c>
      <c r="T2337" s="331">
        <v>0</v>
      </c>
      <c r="U2337" s="328">
        <f>VLOOKUP(C2337,METADATA!$J$5:$Q$29,IF(E2337="HI",2,IF(E2337="LO",6,10))+IF(T2337=1,2,IF(D2337=7,1,(IF(WEEKDAY(B2337)=1,2,IF(WEEKDAY(B2337)=7,1,0))))))</f>
        <v>3</v>
      </c>
      <c r="V2337" s="328">
        <f>VLOOKUP(C2337,METADATA!$A$5:$H$29,IF(E2337="HI",2,IF(E2337="LO",6,10))+IF(T2337=1,2,IF(D2337=7,1,(IF(WEEKDAY(B2337)=1,2,IF(WEEKDAY(B2337)=7,1,0))))))</f>
        <v>3</v>
      </c>
    </row>
    <row r="2338" spans="2:22">
      <c r="B2338" s="318">
        <f t="shared" si="147"/>
        <v>46210</v>
      </c>
      <c r="C2338" s="312">
        <v>6</v>
      </c>
      <c r="D2338" s="368">
        <f>IFERROR((INDEX(METADATA!$T$2:$T$20,MATCH(B2338,METADATA!$S$2:$S$20,0))),0)</f>
        <v>0</v>
      </c>
      <c r="E2338" s="312" t="str">
        <f t="shared" si="144"/>
        <v>LO</v>
      </c>
      <c r="F2338" s="369">
        <f>VLOOKUP(C2338,METADATA!$A$5:$H$29,IF(E2338="HI",2,IF(E2338="LO",6,10))+IF(D2338=1,2,IF(D2338=7,1,(IF(WEEKDAY(B2338)=1,2,IF(WEEKDAY(B2338)=7,1,0))))))</f>
        <v>2</v>
      </c>
      <c r="G2338" s="369">
        <f>VLOOKUP(C2338,METADATA!$J$5:$Q$29,IF(E2338="HI",2,IF(E2338="LO",6,10))+IF(D2338=1,2,IF(D2338=7,1,(IF(WEEKDAY(B2338)=1,2,IF(WEEKDAY(B2338)=7,1,0))))))</f>
        <v>2</v>
      </c>
      <c r="H2338" s="370">
        <v>13656.274658203125</v>
      </c>
      <c r="I2338" s="370">
        <v>4523.4899291992188</v>
      </c>
      <c r="M2338" s="371">
        <f t="shared" si="145"/>
        <v>14385.958385865282</v>
      </c>
      <c r="N2338" s="329">
        <f t="shared" si="146"/>
        <v>426.60753173828107</v>
      </c>
      <c r="T2338" s="331">
        <v>0</v>
      </c>
      <c r="U2338" s="328">
        <f>VLOOKUP(C2338,METADATA!$J$5:$Q$29,IF(E2338="HI",2,IF(E2338="LO",6,10))+IF(T2338=1,2,IF(D2338=7,1,(IF(WEEKDAY(B2338)=1,2,IF(WEEKDAY(B2338)=7,1,0))))))</f>
        <v>2</v>
      </c>
      <c r="V2338" s="328">
        <f>VLOOKUP(C2338,METADATA!$A$5:$H$29,IF(E2338="HI",2,IF(E2338="LO",6,10))+IF(T2338=1,2,IF(D2338=7,1,(IF(WEEKDAY(B2338)=1,2,IF(WEEKDAY(B2338)=7,1,0))))))</f>
        <v>2</v>
      </c>
    </row>
    <row r="2339" spans="2:22">
      <c r="B2339" s="318">
        <f t="shared" si="147"/>
        <v>46210</v>
      </c>
      <c r="C2339" s="312">
        <v>7</v>
      </c>
      <c r="D2339" s="368">
        <f>IFERROR((INDEX(METADATA!$T$2:$T$20,MATCH(B2339,METADATA!$S$2:$S$20,0))),0)</f>
        <v>0</v>
      </c>
      <c r="E2339" s="312" t="str">
        <f t="shared" si="144"/>
        <v>LO</v>
      </c>
      <c r="F2339" s="369">
        <f>VLOOKUP(C2339,METADATA!$A$5:$H$29,IF(E2339="HI",2,IF(E2339="LO",6,10))+IF(D2339=1,2,IF(D2339=7,1,(IF(WEEKDAY(B2339)=1,2,IF(WEEKDAY(B2339)=7,1,0))))))</f>
        <v>1</v>
      </c>
      <c r="G2339" s="369">
        <f>VLOOKUP(C2339,METADATA!$J$5:$Q$29,IF(E2339="HI",2,IF(E2339="LO",6,10))+IF(D2339=1,2,IF(D2339=7,1,(IF(WEEKDAY(B2339)=1,2,IF(WEEKDAY(B2339)=7,1,0))))))</f>
        <v>1</v>
      </c>
      <c r="H2339" s="370">
        <v>13653.099853515625</v>
      </c>
      <c r="I2339" s="370">
        <v>4568.6300048828125</v>
      </c>
      <c r="M2339" s="371">
        <f t="shared" si="145"/>
        <v>14397.205136122215</v>
      </c>
      <c r="N2339" s="329">
        <f t="shared" si="146"/>
        <v>472.70004882812509</v>
      </c>
      <c r="T2339" s="331">
        <v>0</v>
      </c>
      <c r="U2339" s="328">
        <f>VLOOKUP(C2339,METADATA!$J$5:$Q$29,IF(E2339="HI",2,IF(E2339="LO",6,10))+IF(T2339=1,2,IF(D2339=7,1,(IF(WEEKDAY(B2339)=1,2,IF(WEEKDAY(B2339)=7,1,0))))))</f>
        <v>1</v>
      </c>
      <c r="V2339" s="328">
        <f>VLOOKUP(C2339,METADATA!$A$5:$H$29,IF(E2339="HI",2,IF(E2339="LO",6,10))+IF(T2339=1,2,IF(D2339=7,1,(IF(WEEKDAY(B2339)=1,2,IF(WEEKDAY(B2339)=7,1,0))))))</f>
        <v>1</v>
      </c>
    </row>
    <row r="2340" spans="2:22">
      <c r="B2340" s="318">
        <f t="shared" si="147"/>
        <v>46210</v>
      </c>
      <c r="C2340" s="312">
        <v>8</v>
      </c>
      <c r="D2340" s="368">
        <f>IFERROR((INDEX(METADATA!$T$2:$T$20,MATCH(B2340,METADATA!$S$2:$S$20,0))),0)</f>
        <v>0</v>
      </c>
      <c r="E2340" s="312" t="str">
        <f t="shared" si="144"/>
        <v>LO</v>
      </c>
      <c r="F2340" s="369">
        <f>VLOOKUP(C2340,METADATA!$A$5:$H$29,IF(E2340="HI",2,IF(E2340="LO",6,10))+IF(D2340=1,2,IF(D2340=7,1,(IF(WEEKDAY(B2340)=1,2,IF(WEEKDAY(B2340)=7,1,0))))))</f>
        <v>1</v>
      </c>
      <c r="G2340" s="369">
        <f>VLOOKUP(C2340,METADATA!$J$5:$Q$29,IF(E2340="HI",2,IF(E2340="LO",6,10))+IF(D2340=1,2,IF(D2340=7,1,(IF(WEEKDAY(B2340)=1,2,IF(WEEKDAY(B2340)=7,1,0))))))</f>
        <v>1</v>
      </c>
      <c r="H2340" s="370">
        <v>13590.799743652344</v>
      </c>
      <c r="I2340" s="370">
        <v>4442.824951171875</v>
      </c>
      <c r="M2340" s="371">
        <f t="shared" si="145"/>
        <v>14298.549969098824</v>
      </c>
      <c r="N2340" s="329">
        <f t="shared" si="146"/>
        <v>365.58502807617197</v>
      </c>
      <c r="T2340" s="331">
        <v>0</v>
      </c>
      <c r="U2340" s="328">
        <f>VLOOKUP(C2340,METADATA!$J$5:$Q$29,IF(E2340="HI",2,IF(E2340="LO",6,10))+IF(T2340=1,2,IF(D2340=7,1,(IF(WEEKDAY(B2340)=1,2,IF(WEEKDAY(B2340)=7,1,0))))))</f>
        <v>1</v>
      </c>
      <c r="V2340" s="328">
        <f>VLOOKUP(C2340,METADATA!$A$5:$H$29,IF(E2340="HI",2,IF(E2340="LO",6,10))+IF(T2340=1,2,IF(D2340=7,1,(IF(WEEKDAY(B2340)=1,2,IF(WEEKDAY(B2340)=7,1,0))))))</f>
        <v>1</v>
      </c>
    </row>
    <row r="2341" spans="2:22">
      <c r="B2341" s="318">
        <f t="shared" si="147"/>
        <v>46210</v>
      </c>
      <c r="C2341" s="312">
        <v>9</v>
      </c>
      <c r="D2341" s="368">
        <f>IFERROR((INDEX(METADATA!$T$2:$T$20,MATCH(B2341,METADATA!$S$2:$S$20,0))),0)</f>
        <v>0</v>
      </c>
      <c r="E2341" s="312" t="str">
        <f t="shared" si="144"/>
        <v>LO</v>
      </c>
      <c r="F2341" s="369">
        <f>VLOOKUP(C2341,METADATA!$A$5:$H$29,IF(E2341="HI",2,IF(E2341="LO",6,10))+IF(D2341=1,2,IF(D2341=7,1,(IF(WEEKDAY(B2341)=1,2,IF(WEEKDAY(B2341)=7,1,0))))))</f>
        <v>2</v>
      </c>
      <c r="G2341" s="369">
        <f>VLOOKUP(C2341,METADATA!$J$5:$Q$29,IF(E2341="HI",2,IF(E2341="LO",6,10))+IF(D2341=1,2,IF(D2341=7,1,(IF(WEEKDAY(B2341)=1,2,IF(WEEKDAY(B2341)=7,1,0))))))</f>
        <v>2</v>
      </c>
      <c r="H2341" s="370">
        <v>13180.724487304688</v>
      </c>
      <c r="I2341" s="370">
        <v>4263.989990234375</v>
      </c>
      <c r="M2341" s="371">
        <f t="shared" si="145"/>
        <v>13853.270684103893</v>
      </c>
      <c r="N2341" s="329">
        <f t="shared" si="146"/>
        <v>309.77264404296875</v>
      </c>
      <c r="T2341" s="331">
        <v>0</v>
      </c>
      <c r="U2341" s="328">
        <f>VLOOKUP(C2341,METADATA!$J$5:$Q$29,IF(E2341="HI",2,IF(E2341="LO",6,10))+IF(T2341=1,2,IF(D2341=7,1,(IF(WEEKDAY(B2341)=1,2,IF(WEEKDAY(B2341)=7,1,0))))))</f>
        <v>2</v>
      </c>
      <c r="V2341" s="328">
        <f>VLOOKUP(C2341,METADATA!$A$5:$H$29,IF(E2341="HI",2,IF(E2341="LO",6,10))+IF(T2341=1,2,IF(D2341=7,1,(IF(WEEKDAY(B2341)=1,2,IF(WEEKDAY(B2341)=7,1,0))))))</f>
        <v>2</v>
      </c>
    </row>
    <row r="2342" spans="2:22">
      <c r="B2342" s="318">
        <f t="shared" si="147"/>
        <v>46210</v>
      </c>
      <c r="C2342" s="312">
        <v>10</v>
      </c>
      <c r="D2342" s="368">
        <f>IFERROR((INDEX(METADATA!$T$2:$T$20,MATCH(B2342,METADATA!$S$2:$S$20,0))),0)</f>
        <v>0</v>
      </c>
      <c r="E2342" s="312" t="str">
        <f t="shared" si="144"/>
        <v>LO</v>
      </c>
      <c r="F2342" s="369">
        <f>VLOOKUP(C2342,METADATA!$A$5:$H$29,IF(E2342="HI",2,IF(E2342="LO",6,10))+IF(D2342=1,2,IF(D2342=7,1,(IF(WEEKDAY(B2342)=1,2,IF(WEEKDAY(B2342)=7,1,0))))))</f>
        <v>2</v>
      </c>
      <c r="G2342" s="369">
        <f>VLOOKUP(C2342,METADATA!$J$5:$Q$29,IF(E2342="HI",2,IF(E2342="LO",6,10))+IF(D2342=1,2,IF(D2342=7,1,(IF(WEEKDAY(B2342)=1,2,IF(WEEKDAY(B2342)=7,1,0))))))</f>
        <v>2</v>
      </c>
      <c r="H2342" s="370">
        <v>12508.232604980469</v>
      </c>
      <c r="I2342" s="370">
        <v>3631.1776123046875</v>
      </c>
      <c r="M2342" s="371">
        <f t="shared" si="145"/>
        <v>13024.643325342897</v>
      </c>
      <c r="N2342" s="329">
        <f t="shared" si="146"/>
        <v>0</v>
      </c>
      <c r="T2342" s="331">
        <v>0</v>
      </c>
      <c r="U2342" s="328">
        <f>VLOOKUP(C2342,METADATA!$J$5:$Q$29,IF(E2342="HI",2,IF(E2342="LO",6,10))+IF(T2342=1,2,IF(D2342=7,1,(IF(WEEKDAY(B2342)=1,2,IF(WEEKDAY(B2342)=7,1,0))))))</f>
        <v>2</v>
      </c>
      <c r="V2342" s="328">
        <f>VLOOKUP(C2342,METADATA!$A$5:$H$29,IF(E2342="HI",2,IF(E2342="LO",6,10))+IF(T2342=1,2,IF(D2342=7,1,(IF(WEEKDAY(B2342)=1,2,IF(WEEKDAY(B2342)=7,1,0))))))</f>
        <v>2</v>
      </c>
    </row>
    <row r="2343" spans="2:22">
      <c r="B2343" s="318">
        <f t="shared" si="147"/>
        <v>46210</v>
      </c>
      <c r="C2343" s="312">
        <v>11</v>
      </c>
      <c r="D2343" s="368">
        <f>IFERROR((INDEX(METADATA!$T$2:$T$20,MATCH(B2343,METADATA!$S$2:$S$20,0))),0)</f>
        <v>0</v>
      </c>
      <c r="E2343" s="312" t="str">
        <f t="shared" si="144"/>
        <v>LO</v>
      </c>
      <c r="F2343" s="369">
        <f>VLOOKUP(C2343,METADATA!$A$5:$H$29,IF(E2343="HI",2,IF(E2343="LO",6,10))+IF(D2343=1,2,IF(D2343=7,1,(IF(WEEKDAY(B2343)=1,2,IF(WEEKDAY(B2343)=7,1,0))))))</f>
        <v>2</v>
      </c>
      <c r="G2343" s="369">
        <f>VLOOKUP(C2343,METADATA!$J$5:$Q$29,IF(E2343="HI",2,IF(E2343="LO",6,10))+IF(D2343=1,2,IF(D2343=7,1,(IF(WEEKDAY(B2343)=1,2,IF(WEEKDAY(B2343)=7,1,0))))))</f>
        <v>2</v>
      </c>
      <c r="H2343" s="370">
        <v>12781.200073242188</v>
      </c>
      <c r="I2343" s="370">
        <v>3825.5650939941406</v>
      </c>
      <c r="M2343" s="371">
        <f t="shared" si="145"/>
        <v>13341.440087210694</v>
      </c>
      <c r="N2343" s="329">
        <f t="shared" si="146"/>
        <v>0</v>
      </c>
      <c r="T2343" s="331">
        <v>0</v>
      </c>
      <c r="U2343" s="328">
        <f>VLOOKUP(C2343,METADATA!$J$5:$Q$29,IF(E2343="HI",2,IF(E2343="LO",6,10))+IF(T2343=1,2,IF(D2343=7,1,(IF(WEEKDAY(B2343)=1,2,IF(WEEKDAY(B2343)=7,1,0))))))</f>
        <v>2</v>
      </c>
      <c r="V2343" s="328">
        <f>VLOOKUP(C2343,METADATA!$A$5:$H$29,IF(E2343="HI",2,IF(E2343="LO",6,10))+IF(T2343=1,2,IF(D2343=7,1,(IF(WEEKDAY(B2343)=1,2,IF(WEEKDAY(B2343)=7,1,0))))))</f>
        <v>2</v>
      </c>
    </row>
    <row r="2344" spans="2:22">
      <c r="B2344" s="318">
        <f t="shared" si="147"/>
        <v>46210</v>
      </c>
      <c r="C2344" s="312">
        <v>12</v>
      </c>
      <c r="D2344" s="368">
        <f>IFERROR((INDEX(METADATA!$T$2:$T$20,MATCH(B2344,METADATA!$S$2:$S$20,0))),0)</f>
        <v>0</v>
      </c>
      <c r="E2344" s="312" t="str">
        <f t="shared" si="144"/>
        <v>LO</v>
      </c>
      <c r="F2344" s="369">
        <f>VLOOKUP(C2344,METADATA!$A$5:$H$29,IF(E2344="HI",2,IF(E2344="LO",6,10))+IF(D2344=1,2,IF(D2344=7,1,(IF(WEEKDAY(B2344)=1,2,IF(WEEKDAY(B2344)=7,1,0))))))</f>
        <v>2</v>
      </c>
      <c r="G2344" s="369">
        <f>VLOOKUP(C2344,METADATA!$J$5:$Q$29,IF(E2344="HI",2,IF(E2344="LO",6,10))+IF(D2344=1,2,IF(D2344=7,1,(IF(WEEKDAY(B2344)=1,2,IF(WEEKDAY(B2344)=7,1,0))))))</f>
        <v>2</v>
      </c>
      <c r="H2344" s="370">
        <v>13394.049621582031</v>
      </c>
      <c r="I2344" s="370">
        <v>4409.0449523925781</v>
      </c>
      <c r="M2344" s="371">
        <f t="shared" si="145"/>
        <v>14101.072393886227</v>
      </c>
      <c r="N2344" s="329">
        <f t="shared" si="146"/>
        <v>390.83006591796902</v>
      </c>
      <c r="T2344" s="331">
        <v>0</v>
      </c>
      <c r="U2344" s="328">
        <f>VLOOKUP(C2344,METADATA!$J$5:$Q$29,IF(E2344="HI",2,IF(E2344="LO",6,10))+IF(T2344=1,2,IF(D2344=7,1,(IF(WEEKDAY(B2344)=1,2,IF(WEEKDAY(B2344)=7,1,0))))))</f>
        <v>2</v>
      </c>
      <c r="V2344" s="328">
        <f>VLOOKUP(C2344,METADATA!$A$5:$H$29,IF(E2344="HI",2,IF(E2344="LO",6,10))+IF(T2344=1,2,IF(D2344=7,1,(IF(WEEKDAY(B2344)=1,2,IF(WEEKDAY(B2344)=7,1,0))))))</f>
        <v>2</v>
      </c>
    </row>
    <row r="2345" spans="2:22">
      <c r="B2345" s="318">
        <f t="shared" si="147"/>
        <v>46210</v>
      </c>
      <c r="C2345" s="312">
        <v>13</v>
      </c>
      <c r="D2345" s="368">
        <f>IFERROR((INDEX(METADATA!$T$2:$T$20,MATCH(B2345,METADATA!$S$2:$S$20,0))),0)</f>
        <v>0</v>
      </c>
      <c r="E2345" s="312" t="str">
        <f t="shared" si="144"/>
        <v>LO</v>
      </c>
      <c r="F2345" s="369">
        <f>VLOOKUP(C2345,METADATA!$A$5:$H$29,IF(E2345="HI",2,IF(E2345="LO",6,10))+IF(D2345=1,2,IF(D2345=7,1,(IF(WEEKDAY(B2345)=1,2,IF(WEEKDAY(B2345)=7,1,0))))))</f>
        <v>2</v>
      </c>
      <c r="G2345" s="369">
        <f>VLOOKUP(C2345,METADATA!$J$5:$Q$29,IF(E2345="HI",2,IF(E2345="LO",6,10))+IF(D2345=1,2,IF(D2345=7,1,(IF(WEEKDAY(B2345)=1,2,IF(WEEKDAY(B2345)=7,1,0))))))</f>
        <v>2</v>
      </c>
      <c r="H2345" s="370">
        <v>12945.324951171875</v>
      </c>
      <c r="I2345" s="370">
        <v>4105.5399780273438</v>
      </c>
      <c r="M2345" s="371">
        <f t="shared" si="145"/>
        <v>13580.754640395131</v>
      </c>
      <c r="N2345" s="329">
        <f t="shared" si="146"/>
        <v>221.94249267578152</v>
      </c>
      <c r="T2345" s="331">
        <v>0</v>
      </c>
      <c r="U2345" s="328">
        <f>VLOOKUP(C2345,METADATA!$J$5:$Q$29,IF(E2345="HI",2,IF(E2345="LO",6,10))+IF(T2345=1,2,IF(D2345=7,1,(IF(WEEKDAY(B2345)=1,2,IF(WEEKDAY(B2345)=7,1,0))))))</f>
        <v>2</v>
      </c>
      <c r="V2345" s="328">
        <f>VLOOKUP(C2345,METADATA!$A$5:$H$29,IF(E2345="HI",2,IF(E2345="LO",6,10))+IF(T2345=1,2,IF(D2345=7,1,(IF(WEEKDAY(B2345)=1,2,IF(WEEKDAY(B2345)=7,1,0))))))</f>
        <v>2</v>
      </c>
    </row>
    <row r="2346" spans="2:22">
      <c r="B2346" s="318">
        <f t="shared" si="147"/>
        <v>46210</v>
      </c>
      <c r="C2346" s="312">
        <v>14</v>
      </c>
      <c r="D2346" s="368">
        <f>IFERROR((INDEX(METADATA!$T$2:$T$20,MATCH(B2346,METADATA!$S$2:$S$20,0))),0)</f>
        <v>0</v>
      </c>
      <c r="E2346" s="312" t="str">
        <f t="shared" si="144"/>
        <v>LO</v>
      </c>
      <c r="F2346" s="369">
        <f>VLOOKUP(C2346,METADATA!$A$5:$H$29,IF(E2346="HI",2,IF(E2346="LO",6,10))+IF(D2346=1,2,IF(D2346=7,1,(IF(WEEKDAY(B2346)=1,2,IF(WEEKDAY(B2346)=7,1,0))))))</f>
        <v>2</v>
      </c>
      <c r="G2346" s="369">
        <f>VLOOKUP(C2346,METADATA!$J$5:$Q$29,IF(E2346="HI",2,IF(E2346="LO",6,10))+IF(D2346=1,2,IF(D2346=7,1,(IF(WEEKDAY(B2346)=1,2,IF(WEEKDAY(B2346)=7,1,0))))))</f>
        <v>2</v>
      </c>
      <c r="H2346" s="370">
        <v>13183.650024414063</v>
      </c>
      <c r="I2346" s="370">
        <v>4355.469970703125</v>
      </c>
      <c r="M2346" s="371">
        <f t="shared" si="145"/>
        <v>13884.478622977875</v>
      </c>
      <c r="N2346" s="329">
        <f t="shared" si="146"/>
        <v>400.37496337890661</v>
      </c>
      <c r="T2346" s="331">
        <v>0</v>
      </c>
      <c r="U2346" s="328">
        <f>VLOOKUP(C2346,METADATA!$J$5:$Q$29,IF(E2346="HI",2,IF(E2346="LO",6,10))+IF(T2346=1,2,IF(D2346=7,1,(IF(WEEKDAY(B2346)=1,2,IF(WEEKDAY(B2346)=7,1,0))))))</f>
        <v>2</v>
      </c>
      <c r="V2346" s="328">
        <f>VLOOKUP(C2346,METADATA!$A$5:$H$29,IF(E2346="HI",2,IF(E2346="LO",6,10))+IF(T2346=1,2,IF(D2346=7,1,(IF(WEEKDAY(B2346)=1,2,IF(WEEKDAY(B2346)=7,1,0))))))</f>
        <v>2</v>
      </c>
    </row>
    <row r="2347" spans="2:22">
      <c r="B2347" s="318">
        <f t="shared" si="147"/>
        <v>46210</v>
      </c>
      <c r="C2347" s="312">
        <v>15</v>
      </c>
      <c r="D2347" s="368">
        <f>IFERROR((INDEX(METADATA!$T$2:$T$20,MATCH(B2347,METADATA!$S$2:$S$20,0))),0)</f>
        <v>0</v>
      </c>
      <c r="E2347" s="312" t="str">
        <f t="shared" si="144"/>
        <v>LO</v>
      </c>
      <c r="F2347" s="369">
        <f>VLOOKUP(C2347,METADATA!$A$5:$H$29,IF(E2347="HI",2,IF(E2347="LO",6,10))+IF(D2347=1,2,IF(D2347=7,1,(IF(WEEKDAY(B2347)=1,2,IF(WEEKDAY(B2347)=7,1,0))))))</f>
        <v>2</v>
      </c>
      <c r="G2347" s="369">
        <f>VLOOKUP(C2347,METADATA!$J$5:$Q$29,IF(E2347="HI",2,IF(E2347="LO",6,10))+IF(D2347=1,2,IF(D2347=7,1,(IF(WEEKDAY(B2347)=1,2,IF(WEEKDAY(B2347)=7,1,0))))))</f>
        <v>2</v>
      </c>
      <c r="H2347" s="370">
        <v>13588.724975585938</v>
      </c>
      <c r="I2347" s="370">
        <v>4656.5599975585938</v>
      </c>
      <c r="M2347" s="371">
        <f t="shared" si="145"/>
        <v>14364.43516024824</v>
      </c>
      <c r="N2347" s="329">
        <f t="shared" si="146"/>
        <v>579.9425048828125</v>
      </c>
      <c r="T2347" s="331">
        <v>0</v>
      </c>
      <c r="U2347" s="328">
        <f>VLOOKUP(C2347,METADATA!$J$5:$Q$29,IF(E2347="HI",2,IF(E2347="LO",6,10))+IF(T2347=1,2,IF(D2347=7,1,(IF(WEEKDAY(B2347)=1,2,IF(WEEKDAY(B2347)=7,1,0))))))</f>
        <v>2</v>
      </c>
      <c r="V2347" s="328">
        <f>VLOOKUP(C2347,METADATA!$A$5:$H$29,IF(E2347="HI",2,IF(E2347="LO",6,10))+IF(T2347=1,2,IF(D2347=7,1,(IF(WEEKDAY(B2347)=1,2,IF(WEEKDAY(B2347)=7,1,0))))))</f>
        <v>2</v>
      </c>
    </row>
    <row r="2348" spans="2:22">
      <c r="B2348" s="318">
        <f t="shared" si="147"/>
        <v>46210</v>
      </c>
      <c r="C2348" s="312">
        <v>16</v>
      </c>
      <c r="D2348" s="368">
        <f>IFERROR((INDEX(METADATA!$T$2:$T$20,MATCH(B2348,METADATA!$S$2:$S$20,0))),0)</f>
        <v>0</v>
      </c>
      <c r="E2348" s="312" t="str">
        <f t="shared" si="144"/>
        <v>LO</v>
      </c>
      <c r="F2348" s="369">
        <f>VLOOKUP(C2348,METADATA!$A$5:$H$29,IF(E2348="HI",2,IF(E2348="LO",6,10))+IF(D2348=1,2,IF(D2348=7,1,(IF(WEEKDAY(B2348)=1,2,IF(WEEKDAY(B2348)=7,1,0))))))</f>
        <v>2</v>
      </c>
      <c r="G2348" s="369">
        <f>VLOOKUP(C2348,METADATA!$J$5:$Q$29,IF(E2348="HI",2,IF(E2348="LO",6,10))+IF(D2348=1,2,IF(D2348=7,1,(IF(WEEKDAY(B2348)=1,2,IF(WEEKDAY(B2348)=7,1,0))))))</f>
        <v>2</v>
      </c>
      <c r="H2348" s="370">
        <v>13597.199890136719</v>
      </c>
      <c r="I2348" s="370">
        <v>4703.3099365234375</v>
      </c>
      <c r="M2348" s="371">
        <f t="shared" si="145"/>
        <v>14387.667260933376</v>
      </c>
      <c r="N2348" s="329">
        <f t="shared" si="146"/>
        <v>624.14996948242197</v>
      </c>
      <c r="T2348" s="331">
        <v>0</v>
      </c>
      <c r="U2348" s="328">
        <f>VLOOKUP(C2348,METADATA!$J$5:$Q$29,IF(E2348="HI",2,IF(E2348="LO",6,10))+IF(T2348=1,2,IF(D2348=7,1,(IF(WEEKDAY(B2348)=1,2,IF(WEEKDAY(B2348)=7,1,0))))))</f>
        <v>2</v>
      </c>
      <c r="V2348" s="328">
        <f>VLOOKUP(C2348,METADATA!$A$5:$H$29,IF(E2348="HI",2,IF(E2348="LO",6,10))+IF(T2348=1,2,IF(D2348=7,1,(IF(WEEKDAY(B2348)=1,2,IF(WEEKDAY(B2348)=7,1,0))))))</f>
        <v>2</v>
      </c>
    </row>
    <row r="2349" spans="2:22">
      <c r="B2349" s="318">
        <f t="shared" si="147"/>
        <v>46210</v>
      </c>
      <c r="C2349" s="312">
        <v>17</v>
      </c>
      <c r="D2349" s="368">
        <f>IFERROR((INDEX(METADATA!$T$2:$T$20,MATCH(B2349,METADATA!$S$2:$S$20,0))),0)</f>
        <v>0</v>
      </c>
      <c r="E2349" s="312" t="str">
        <f t="shared" si="144"/>
        <v>LO</v>
      </c>
      <c r="F2349" s="369">
        <f>VLOOKUP(C2349,METADATA!$A$5:$H$29,IF(E2349="HI",2,IF(E2349="LO",6,10))+IF(D2349=1,2,IF(D2349=7,1,(IF(WEEKDAY(B2349)=1,2,IF(WEEKDAY(B2349)=7,1,0))))))</f>
        <v>2</v>
      </c>
      <c r="G2349" s="369">
        <f>VLOOKUP(C2349,METADATA!$J$5:$Q$29,IF(E2349="HI",2,IF(E2349="LO",6,10))+IF(D2349=1,2,IF(D2349=7,1,(IF(WEEKDAY(B2349)=1,2,IF(WEEKDAY(B2349)=7,1,0))))))</f>
        <v>2</v>
      </c>
      <c r="H2349" s="370">
        <v>13514.024658203125</v>
      </c>
      <c r="I2349" s="370">
        <v>4490.1950073242188</v>
      </c>
      <c r="M2349" s="371">
        <f t="shared" si="145"/>
        <v>14240.460444322769</v>
      </c>
      <c r="N2349" s="329">
        <f t="shared" si="146"/>
        <v>435.98760986328125</v>
      </c>
      <c r="T2349" s="331">
        <v>0</v>
      </c>
      <c r="U2349" s="328">
        <f>VLOOKUP(C2349,METADATA!$J$5:$Q$29,IF(E2349="HI",2,IF(E2349="LO",6,10))+IF(T2349=1,2,IF(D2349=7,1,(IF(WEEKDAY(B2349)=1,2,IF(WEEKDAY(B2349)=7,1,0))))))</f>
        <v>2</v>
      </c>
      <c r="V2349" s="328">
        <f>VLOOKUP(C2349,METADATA!$A$5:$H$29,IF(E2349="HI",2,IF(E2349="LO",6,10))+IF(T2349=1,2,IF(D2349=7,1,(IF(WEEKDAY(B2349)=1,2,IF(WEEKDAY(B2349)=7,1,0))))))</f>
        <v>2</v>
      </c>
    </row>
    <row r="2350" spans="2:22">
      <c r="B2350" s="318">
        <f t="shared" si="147"/>
        <v>46210</v>
      </c>
      <c r="C2350" s="312">
        <v>18</v>
      </c>
      <c r="D2350" s="368">
        <f>IFERROR((INDEX(METADATA!$T$2:$T$20,MATCH(B2350,METADATA!$S$2:$S$20,0))),0)</f>
        <v>0</v>
      </c>
      <c r="E2350" s="312" t="str">
        <f t="shared" si="144"/>
        <v>LO</v>
      </c>
      <c r="F2350" s="369">
        <f>VLOOKUP(C2350,METADATA!$A$5:$H$29,IF(E2350="HI",2,IF(E2350="LO",6,10))+IF(D2350=1,2,IF(D2350=7,1,(IF(WEEKDAY(B2350)=1,2,IF(WEEKDAY(B2350)=7,1,0))))))</f>
        <v>1</v>
      </c>
      <c r="G2350" s="369">
        <f>VLOOKUP(C2350,METADATA!$J$5:$Q$29,IF(E2350="HI",2,IF(E2350="LO",6,10))+IF(D2350=1,2,IF(D2350=7,1,(IF(WEEKDAY(B2350)=1,2,IF(WEEKDAY(B2350)=7,1,0))))))</f>
        <v>1</v>
      </c>
      <c r="H2350" s="370">
        <v>13525.80029296875</v>
      </c>
      <c r="I2350" s="370">
        <v>4417.510009765625</v>
      </c>
      <c r="M2350" s="371">
        <f t="shared" si="145"/>
        <v>14228.902566665252</v>
      </c>
      <c r="N2350" s="329">
        <f t="shared" si="146"/>
        <v>359.76992187500036</v>
      </c>
      <c r="T2350" s="331">
        <v>0</v>
      </c>
      <c r="U2350" s="328">
        <f>VLOOKUP(C2350,METADATA!$J$5:$Q$29,IF(E2350="HI",2,IF(E2350="LO",6,10))+IF(T2350=1,2,IF(D2350=7,1,(IF(WEEKDAY(B2350)=1,2,IF(WEEKDAY(B2350)=7,1,0))))))</f>
        <v>1</v>
      </c>
      <c r="V2350" s="328">
        <f>VLOOKUP(C2350,METADATA!$A$5:$H$29,IF(E2350="HI",2,IF(E2350="LO",6,10))+IF(T2350=1,2,IF(D2350=7,1,(IF(WEEKDAY(B2350)=1,2,IF(WEEKDAY(B2350)=7,1,0))))))</f>
        <v>1</v>
      </c>
    </row>
    <row r="2351" spans="2:22">
      <c r="B2351" s="318">
        <f t="shared" si="147"/>
        <v>46210</v>
      </c>
      <c r="C2351" s="312">
        <v>19</v>
      </c>
      <c r="D2351" s="368">
        <f>IFERROR((INDEX(METADATA!$T$2:$T$20,MATCH(B2351,METADATA!$S$2:$S$20,0))),0)</f>
        <v>0</v>
      </c>
      <c r="E2351" s="312" t="str">
        <f t="shared" si="144"/>
        <v>LO</v>
      </c>
      <c r="F2351" s="369">
        <f>VLOOKUP(C2351,METADATA!$A$5:$H$29,IF(E2351="HI",2,IF(E2351="LO",6,10))+IF(D2351=1,2,IF(D2351=7,1,(IF(WEEKDAY(B2351)=1,2,IF(WEEKDAY(B2351)=7,1,0))))))</f>
        <v>1</v>
      </c>
      <c r="G2351" s="369">
        <f>VLOOKUP(C2351,METADATA!$J$5:$Q$29,IF(E2351="HI",2,IF(E2351="LO",6,10))+IF(D2351=1,2,IF(D2351=7,1,(IF(WEEKDAY(B2351)=1,2,IF(WEEKDAY(B2351)=7,1,0))))))</f>
        <v>1</v>
      </c>
      <c r="H2351" s="370">
        <v>12986.900268554688</v>
      </c>
      <c r="I2351" s="370">
        <v>4144.5350341796875</v>
      </c>
      <c r="M2351" s="371">
        <f t="shared" si="145"/>
        <v>13632.195319717533</v>
      </c>
      <c r="N2351" s="329">
        <f t="shared" si="146"/>
        <v>248.46495361328152</v>
      </c>
      <c r="T2351" s="331">
        <v>0</v>
      </c>
      <c r="U2351" s="328">
        <f>VLOOKUP(C2351,METADATA!$J$5:$Q$29,IF(E2351="HI",2,IF(E2351="LO",6,10))+IF(T2351=1,2,IF(D2351=7,1,(IF(WEEKDAY(B2351)=1,2,IF(WEEKDAY(B2351)=7,1,0))))))</f>
        <v>1</v>
      </c>
      <c r="V2351" s="328">
        <f>VLOOKUP(C2351,METADATA!$A$5:$H$29,IF(E2351="HI",2,IF(E2351="LO",6,10))+IF(T2351=1,2,IF(D2351=7,1,(IF(WEEKDAY(B2351)=1,2,IF(WEEKDAY(B2351)=7,1,0))))))</f>
        <v>1</v>
      </c>
    </row>
    <row r="2352" spans="2:22">
      <c r="B2352" s="318">
        <f t="shared" si="147"/>
        <v>46210</v>
      </c>
      <c r="C2352" s="312">
        <v>20</v>
      </c>
      <c r="D2352" s="368">
        <f>IFERROR((INDEX(METADATA!$T$2:$T$20,MATCH(B2352,METADATA!$S$2:$S$20,0))),0)</f>
        <v>0</v>
      </c>
      <c r="E2352" s="312" t="str">
        <f t="shared" si="144"/>
        <v>LO</v>
      </c>
      <c r="F2352" s="369">
        <f>VLOOKUP(C2352,METADATA!$A$5:$H$29,IF(E2352="HI",2,IF(E2352="LO",6,10))+IF(D2352=1,2,IF(D2352=7,1,(IF(WEEKDAY(B2352)=1,2,IF(WEEKDAY(B2352)=7,1,0))))))</f>
        <v>1</v>
      </c>
      <c r="G2352" s="369">
        <f>VLOOKUP(C2352,METADATA!$J$5:$Q$29,IF(E2352="HI",2,IF(E2352="LO",6,10))+IF(D2352=1,2,IF(D2352=7,1,(IF(WEEKDAY(B2352)=1,2,IF(WEEKDAY(B2352)=7,1,0))))))</f>
        <v>1</v>
      </c>
      <c r="H2352" s="370">
        <v>13041.174865722656</v>
      </c>
      <c r="I2352" s="370">
        <v>4246.7249755859375</v>
      </c>
      <c r="M2352" s="371">
        <f t="shared" si="145"/>
        <v>13715.207431775201</v>
      </c>
      <c r="N2352" s="329">
        <f t="shared" si="146"/>
        <v>334.3725158691409</v>
      </c>
      <c r="T2352" s="331">
        <v>0</v>
      </c>
      <c r="U2352" s="328">
        <f>VLOOKUP(C2352,METADATA!$J$5:$Q$29,IF(E2352="HI",2,IF(E2352="LO",6,10))+IF(T2352=1,2,IF(D2352=7,1,(IF(WEEKDAY(B2352)=1,2,IF(WEEKDAY(B2352)=7,1,0))))))</f>
        <v>1</v>
      </c>
      <c r="V2352" s="328">
        <f>VLOOKUP(C2352,METADATA!$A$5:$H$29,IF(E2352="HI",2,IF(E2352="LO",6,10))+IF(T2352=1,2,IF(D2352=7,1,(IF(WEEKDAY(B2352)=1,2,IF(WEEKDAY(B2352)=7,1,0))))))</f>
        <v>1</v>
      </c>
    </row>
    <row r="2353" spans="2:22">
      <c r="B2353" s="318">
        <f t="shared" si="147"/>
        <v>46210</v>
      </c>
      <c r="C2353" s="312">
        <v>21</v>
      </c>
      <c r="D2353" s="368">
        <f>IFERROR((INDEX(METADATA!$T$2:$T$20,MATCH(B2353,METADATA!$S$2:$S$20,0))),0)</f>
        <v>0</v>
      </c>
      <c r="E2353" s="312" t="str">
        <f t="shared" si="144"/>
        <v>LO</v>
      </c>
      <c r="F2353" s="369">
        <f>VLOOKUP(C2353,METADATA!$A$5:$H$29,IF(E2353="HI",2,IF(E2353="LO",6,10))+IF(D2353=1,2,IF(D2353=7,1,(IF(WEEKDAY(B2353)=1,2,IF(WEEKDAY(B2353)=7,1,0))))))</f>
        <v>2</v>
      </c>
      <c r="G2353" s="369">
        <f>VLOOKUP(C2353,METADATA!$J$5:$Q$29,IF(E2353="HI",2,IF(E2353="LO",6,10))+IF(D2353=1,2,IF(D2353=7,1,(IF(WEEKDAY(B2353)=1,2,IF(WEEKDAY(B2353)=7,1,0))))))</f>
        <v>2</v>
      </c>
      <c r="H2353" s="370">
        <v>13593.949829101563</v>
      </c>
      <c r="I2353" s="370">
        <v>4592.75</v>
      </c>
      <c r="M2353" s="371">
        <f t="shared" si="145"/>
        <v>14348.826590304532</v>
      </c>
      <c r="N2353" s="329">
        <f t="shared" si="146"/>
        <v>514.56505126953152</v>
      </c>
      <c r="T2353" s="331">
        <v>0</v>
      </c>
      <c r="U2353" s="328">
        <f>VLOOKUP(C2353,METADATA!$J$5:$Q$29,IF(E2353="HI",2,IF(E2353="LO",6,10))+IF(T2353=1,2,IF(D2353=7,1,(IF(WEEKDAY(B2353)=1,2,IF(WEEKDAY(B2353)=7,1,0))))))</f>
        <v>2</v>
      </c>
      <c r="V2353" s="328">
        <f>VLOOKUP(C2353,METADATA!$A$5:$H$29,IF(E2353="HI",2,IF(E2353="LO",6,10))+IF(T2353=1,2,IF(D2353=7,1,(IF(WEEKDAY(B2353)=1,2,IF(WEEKDAY(B2353)=7,1,0))))))</f>
        <v>2</v>
      </c>
    </row>
    <row r="2354" spans="2:22">
      <c r="B2354" s="318">
        <f t="shared" si="147"/>
        <v>46210</v>
      </c>
      <c r="C2354" s="312">
        <v>22</v>
      </c>
      <c r="D2354" s="368">
        <f>IFERROR((INDEX(METADATA!$T$2:$T$20,MATCH(B2354,METADATA!$S$2:$S$20,0))),0)</f>
        <v>0</v>
      </c>
      <c r="E2354" s="312" t="str">
        <f t="shared" si="144"/>
        <v>LO</v>
      </c>
      <c r="F2354" s="369">
        <f>VLOOKUP(C2354,METADATA!$A$5:$H$29,IF(E2354="HI",2,IF(E2354="LO",6,10))+IF(D2354=1,2,IF(D2354=7,1,(IF(WEEKDAY(B2354)=1,2,IF(WEEKDAY(B2354)=7,1,0))))))</f>
        <v>3</v>
      </c>
      <c r="G2354" s="369">
        <f>VLOOKUP(C2354,METADATA!$J$5:$Q$29,IF(E2354="HI",2,IF(E2354="LO",6,10))+IF(D2354=1,2,IF(D2354=7,1,(IF(WEEKDAY(B2354)=1,2,IF(WEEKDAY(B2354)=7,1,0))))))</f>
        <v>3</v>
      </c>
      <c r="H2354" s="370">
        <v>13632.050048828125</v>
      </c>
      <c r="I2354" s="370">
        <v>4637.8649291992188</v>
      </c>
      <c r="M2354" s="371">
        <f t="shared" si="145"/>
        <v>14399.395113519558</v>
      </c>
      <c r="N2354" s="329">
        <f t="shared" si="146"/>
        <v>548.24991455078134</v>
      </c>
      <c r="T2354" s="331">
        <v>0</v>
      </c>
      <c r="U2354" s="328">
        <f>VLOOKUP(C2354,METADATA!$J$5:$Q$29,IF(E2354="HI",2,IF(E2354="LO",6,10))+IF(T2354=1,2,IF(D2354=7,1,(IF(WEEKDAY(B2354)=1,2,IF(WEEKDAY(B2354)=7,1,0))))))</f>
        <v>3</v>
      </c>
      <c r="V2354" s="328">
        <f>VLOOKUP(C2354,METADATA!$A$5:$H$29,IF(E2354="HI",2,IF(E2354="LO",6,10))+IF(T2354=1,2,IF(D2354=7,1,(IF(WEEKDAY(B2354)=1,2,IF(WEEKDAY(B2354)=7,1,0))))))</f>
        <v>3</v>
      </c>
    </row>
    <row r="2355" spans="2:22">
      <c r="B2355" s="318">
        <f t="shared" si="147"/>
        <v>46210</v>
      </c>
      <c r="C2355" s="312">
        <v>23</v>
      </c>
      <c r="D2355" s="368">
        <f>IFERROR((INDEX(METADATA!$T$2:$T$20,MATCH(B2355,METADATA!$S$2:$S$20,0))),0)</f>
        <v>0</v>
      </c>
      <c r="E2355" s="312" t="str">
        <f t="shared" si="144"/>
        <v>LO</v>
      </c>
      <c r="F2355" s="369">
        <f>VLOOKUP(C2355,METADATA!$A$5:$H$29,IF(E2355="HI",2,IF(E2355="LO",6,10))+IF(D2355=1,2,IF(D2355=7,1,(IF(WEEKDAY(B2355)=1,2,IF(WEEKDAY(B2355)=7,1,0))))))</f>
        <v>3</v>
      </c>
      <c r="G2355" s="369">
        <f>VLOOKUP(C2355,METADATA!$J$5:$Q$29,IF(E2355="HI",2,IF(E2355="LO",6,10))+IF(D2355=1,2,IF(D2355=7,1,(IF(WEEKDAY(B2355)=1,2,IF(WEEKDAY(B2355)=7,1,0))))))</f>
        <v>3</v>
      </c>
      <c r="H2355" s="370">
        <v>13732.175537109375</v>
      </c>
      <c r="I2355" s="370">
        <v>4582.4949340820313</v>
      </c>
      <c r="M2355" s="371">
        <f t="shared" si="145"/>
        <v>14476.598523233026</v>
      </c>
      <c r="N2355" s="329">
        <f t="shared" si="146"/>
        <v>462.84227294921857</v>
      </c>
      <c r="T2355" s="331">
        <v>0</v>
      </c>
      <c r="U2355" s="328">
        <f>VLOOKUP(C2355,METADATA!$J$5:$Q$29,IF(E2355="HI",2,IF(E2355="LO",6,10))+IF(T2355=1,2,IF(D2355=7,1,(IF(WEEKDAY(B2355)=1,2,IF(WEEKDAY(B2355)=7,1,0))))))</f>
        <v>3</v>
      </c>
      <c r="V2355" s="328">
        <f>VLOOKUP(C2355,METADATA!$A$5:$H$29,IF(E2355="HI",2,IF(E2355="LO",6,10))+IF(T2355=1,2,IF(D2355=7,1,(IF(WEEKDAY(B2355)=1,2,IF(WEEKDAY(B2355)=7,1,0))))))</f>
        <v>3</v>
      </c>
    </row>
    <row r="2356" spans="2:22">
      <c r="B2356" s="318">
        <f t="shared" si="147"/>
        <v>46211</v>
      </c>
      <c r="C2356" s="312">
        <v>0</v>
      </c>
      <c r="D2356" s="368">
        <f>IFERROR((INDEX(METADATA!$T$2:$T$20,MATCH(B2356,METADATA!$S$2:$S$20,0))),0)</f>
        <v>0</v>
      </c>
      <c r="E2356" s="312" t="str">
        <f t="shared" si="144"/>
        <v>LO</v>
      </c>
      <c r="F2356" s="369">
        <f>VLOOKUP(C2356,METADATA!$A$5:$H$29,IF(E2356="HI",2,IF(E2356="LO",6,10))+IF(D2356=1,2,IF(D2356=7,1,(IF(WEEKDAY(B2356)=1,2,IF(WEEKDAY(B2356)=7,1,0))))))</f>
        <v>3</v>
      </c>
      <c r="G2356" s="369">
        <f>VLOOKUP(C2356,METADATA!$J$5:$Q$29,IF(E2356="HI",2,IF(E2356="LO",6,10))+IF(D2356=1,2,IF(D2356=7,1,(IF(WEEKDAY(B2356)=1,2,IF(WEEKDAY(B2356)=7,1,0))))))</f>
        <v>3</v>
      </c>
      <c r="H2356" s="370">
        <v>13780.825073242188</v>
      </c>
      <c r="I2356" s="370">
        <v>4573.3150329589844</v>
      </c>
      <c r="M2356" s="371">
        <f t="shared" si="145"/>
        <v>14519.860539619145</v>
      </c>
      <c r="N2356" s="329">
        <f t="shared" si="146"/>
        <v>439.06751098632867</v>
      </c>
      <c r="T2356" s="331">
        <v>0</v>
      </c>
      <c r="U2356" s="328">
        <f>VLOOKUP(C2356,METADATA!$J$5:$Q$29,IF(E2356="HI",2,IF(E2356="LO",6,10))+IF(T2356=1,2,IF(D2356=7,1,(IF(WEEKDAY(B2356)=1,2,IF(WEEKDAY(B2356)=7,1,0))))))</f>
        <v>3</v>
      </c>
      <c r="V2356" s="328">
        <f>VLOOKUP(C2356,METADATA!$A$5:$H$29,IF(E2356="HI",2,IF(E2356="LO",6,10))+IF(T2356=1,2,IF(D2356=7,1,(IF(WEEKDAY(B2356)=1,2,IF(WEEKDAY(B2356)=7,1,0))))))</f>
        <v>3</v>
      </c>
    </row>
    <row r="2357" spans="2:22">
      <c r="B2357" s="318">
        <f t="shared" si="147"/>
        <v>46211</v>
      </c>
      <c r="C2357" s="312">
        <v>1</v>
      </c>
      <c r="D2357" s="368">
        <f>IFERROR((INDEX(METADATA!$T$2:$T$20,MATCH(B2357,METADATA!$S$2:$S$20,0))),0)</f>
        <v>0</v>
      </c>
      <c r="E2357" s="312" t="str">
        <f t="shared" si="144"/>
        <v>LO</v>
      </c>
      <c r="F2357" s="369">
        <f>VLOOKUP(C2357,METADATA!$A$5:$H$29,IF(E2357="HI",2,IF(E2357="LO",6,10))+IF(D2357=1,2,IF(D2357=7,1,(IF(WEEKDAY(B2357)=1,2,IF(WEEKDAY(B2357)=7,1,0))))))</f>
        <v>3</v>
      </c>
      <c r="G2357" s="369">
        <f>VLOOKUP(C2357,METADATA!$J$5:$Q$29,IF(E2357="HI",2,IF(E2357="LO",6,10))+IF(D2357=1,2,IF(D2357=7,1,(IF(WEEKDAY(B2357)=1,2,IF(WEEKDAY(B2357)=7,1,0))))))</f>
        <v>3</v>
      </c>
      <c r="H2357" s="370">
        <v>13476.239868164063</v>
      </c>
      <c r="I2357" s="370">
        <v>4496.6325073242188</v>
      </c>
      <c r="M2357" s="371">
        <f t="shared" si="145"/>
        <v>14206.644392333448</v>
      </c>
      <c r="N2357" s="329">
        <f t="shared" si="146"/>
        <v>453.76054687500027</v>
      </c>
      <c r="T2357" s="331">
        <v>0</v>
      </c>
      <c r="U2357" s="328">
        <f>VLOOKUP(C2357,METADATA!$J$5:$Q$29,IF(E2357="HI",2,IF(E2357="LO",6,10))+IF(T2357=1,2,IF(D2357=7,1,(IF(WEEKDAY(B2357)=1,2,IF(WEEKDAY(B2357)=7,1,0))))))</f>
        <v>3</v>
      </c>
      <c r="V2357" s="328">
        <f>VLOOKUP(C2357,METADATA!$A$5:$H$29,IF(E2357="HI",2,IF(E2357="LO",6,10))+IF(T2357=1,2,IF(D2357=7,1,(IF(WEEKDAY(B2357)=1,2,IF(WEEKDAY(B2357)=7,1,0))))))</f>
        <v>3</v>
      </c>
    </row>
    <row r="2358" spans="2:22">
      <c r="B2358" s="318">
        <f t="shared" si="147"/>
        <v>46211</v>
      </c>
      <c r="C2358" s="312">
        <v>2</v>
      </c>
      <c r="D2358" s="368">
        <f>IFERROR((INDEX(METADATA!$T$2:$T$20,MATCH(B2358,METADATA!$S$2:$S$20,0))),0)</f>
        <v>0</v>
      </c>
      <c r="E2358" s="312" t="str">
        <f t="shared" si="144"/>
        <v>LO</v>
      </c>
      <c r="F2358" s="369">
        <f>VLOOKUP(C2358,METADATA!$A$5:$H$29,IF(E2358="HI",2,IF(E2358="LO",6,10))+IF(D2358=1,2,IF(D2358=7,1,(IF(WEEKDAY(B2358)=1,2,IF(WEEKDAY(B2358)=7,1,0))))))</f>
        <v>3</v>
      </c>
      <c r="G2358" s="369">
        <f>VLOOKUP(C2358,METADATA!$J$5:$Q$29,IF(E2358="HI",2,IF(E2358="LO",6,10))+IF(D2358=1,2,IF(D2358=7,1,(IF(WEEKDAY(B2358)=1,2,IF(WEEKDAY(B2358)=7,1,0))))))</f>
        <v>3</v>
      </c>
      <c r="H2358" s="370">
        <v>12260.299865722656</v>
      </c>
      <c r="I2358" s="370">
        <v>3946.6575012207031</v>
      </c>
      <c r="M2358" s="371">
        <f t="shared" si="145"/>
        <v>12879.870272226372</v>
      </c>
      <c r="N2358" s="329">
        <f t="shared" si="146"/>
        <v>268.56754150390634</v>
      </c>
      <c r="T2358" s="331">
        <v>0</v>
      </c>
      <c r="U2358" s="328">
        <f>VLOOKUP(C2358,METADATA!$J$5:$Q$29,IF(E2358="HI",2,IF(E2358="LO",6,10))+IF(T2358=1,2,IF(D2358=7,1,(IF(WEEKDAY(B2358)=1,2,IF(WEEKDAY(B2358)=7,1,0))))))</f>
        <v>3</v>
      </c>
      <c r="V2358" s="328">
        <f>VLOOKUP(C2358,METADATA!$A$5:$H$29,IF(E2358="HI",2,IF(E2358="LO",6,10))+IF(T2358=1,2,IF(D2358=7,1,(IF(WEEKDAY(B2358)=1,2,IF(WEEKDAY(B2358)=7,1,0))))))</f>
        <v>3</v>
      </c>
    </row>
    <row r="2359" spans="2:22">
      <c r="B2359" s="318">
        <f t="shared" si="147"/>
        <v>46211</v>
      </c>
      <c r="C2359" s="312">
        <v>3</v>
      </c>
      <c r="D2359" s="368">
        <f>IFERROR((INDEX(METADATA!$T$2:$T$20,MATCH(B2359,METADATA!$S$2:$S$20,0))),0)</f>
        <v>0</v>
      </c>
      <c r="E2359" s="312" t="str">
        <f t="shared" si="144"/>
        <v>LO</v>
      </c>
      <c r="F2359" s="369">
        <f>VLOOKUP(C2359,METADATA!$A$5:$H$29,IF(E2359="HI",2,IF(E2359="LO",6,10))+IF(D2359=1,2,IF(D2359=7,1,(IF(WEEKDAY(B2359)=1,2,IF(WEEKDAY(B2359)=7,1,0))))))</f>
        <v>3</v>
      </c>
      <c r="G2359" s="369">
        <f>VLOOKUP(C2359,METADATA!$J$5:$Q$29,IF(E2359="HI",2,IF(E2359="LO",6,10))+IF(D2359=1,2,IF(D2359=7,1,(IF(WEEKDAY(B2359)=1,2,IF(WEEKDAY(B2359)=7,1,0))))))</f>
        <v>3</v>
      </c>
      <c r="H2359" s="370">
        <v>13914.850708007813</v>
      </c>
      <c r="I2359" s="370">
        <v>4703.5600280761719</v>
      </c>
      <c r="M2359" s="371">
        <f t="shared" si="145"/>
        <v>14688.31328518906</v>
      </c>
      <c r="N2359" s="329">
        <f t="shared" si="146"/>
        <v>529.10481567382794</v>
      </c>
      <c r="T2359" s="331">
        <v>0</v>
      </c>
      <c r="U2359" s="328">
        <f>VLOOKUP(C2359,METADATA!$J$5:$Q$29,IF(E2359="HI",2,IF(E2359="LO",6,10))+IF(T2359=1,2,IF(D2359=7,1,(IF(WEEKDAY(B2359)=1,2,IF(WEEKDAY(B2359)=7,1,0))))))</f>
        <v>3</v>
      </c>
      <c r="V2359" s="328">
        <f>VLOOKUP(C2359,METADATA!$A$5:$H$29,IF(E2359="HI",2,IF(E2359="LO",6,10))+IF(T2359=1,2,IF(D2359=7,1,(IF(WEEKDAY(B2359)=1,2,IF(WEEKDAY(B2359)=7,1,0))))))</f>
        <v>3</v>
      </c>
    </row>
    <row r="2360" spans="2:22">
      <c r="B2360" s="318">
        <f t="shared" si="147"/>
        <v>46211</v>
      </c>
      <c r="C2360" s="312">
        <v>4</v>
      </c>
      <c r="D2360" s="368">
        <f>IFERROR((INDEX(METADATA!$T$2:$T$20,MATCH(B2360,METADATA!$S$2:$S$20,0))),0)</f>
        <v>0</v>
      </c>
      <c r="E2360" s="312" t="str">
        <f t="shared" si="144"/>
        <v>LO</v>
      </c>
      <c r="F2360" s="369">
        <f>VLOOKUP(C2360,METADATA!$A$5:$H$29,IF(E2360="HI",2,IF(E2360="LO",6,10))+IF(D2360=1,2,IF(D2360=7,1,(IF(WEEKDAY(B2360)=1,2,IF(WEEKDAY(B2360)=7,1,0))))))</f>
        <v>3</v>
      </c>
      <c r="G2360" s="369">
        <f>VLOOKUP(C2360,METADATA!$J$5:$Q$29,IF(E2360="HI",2,IF(E2360="LO",6,10))+IF(D2360=1,2,IF(D2360=7,1,(IF(WEEKDAY(B2360)=1,2,IF(WEEKDAY(B2360)=7,1,0))))))</f>
        <v>3</v>
      </c>
      <c r="H2360" s="370">
        <v>13691.5498046875</v>
      </c>
      <c r="I2360" s="370">
        <v>4538.5</v>
      </c>
      <c r="M2360" s="371">
        <f t="shared" si="145"/>
        <v>14424.164388422587</v>
      </c>
      <c r="N2360" s="329">
        <f t="shared" si="146"/>
        <v>431.03505859375036</v>
      </c>
      <c r="T2360" s="331">
        <v>0</v>
      </c>
      <c r="U2360" s="328">
        <f>VLOOKUP(C2360,METADATA!$J$5:$Q$29,IF(E2360="HI",2,IF(E2360="LO",6,10))+IF(T2360=1,2,IF(D2360=7,1,(IF(WEEKDAY(B2360)=1,2,IF(WEEKDAY(B2360)=7,1,0))))))</f>
        <v>3</v>
      </c>
      <c r="V2360" s="328">
        <f>VLOOKUP(C2360,METADATA!$A$5:$H$29,IF(E2360="HI",2,IF(E2360="LO",6,10))+IF(T2360=1,2,IF(D2360=7,1,(IF(WEEKDAY(B2360)=1,2,IF(WEEKDAY(B2360)=7,1,0))))))</f>
        <v>3</v>
      </c>
    </row>
    <row r="2361" spans="2:22">
      <c r="B2361" s="318">
        <f t="shared" si="147"/>
        <v>46211</v>
      </c>
      <c r="C2361" s="312">
        <v>5</v>
      </c>
      <c r="D2361" s="368">
        <f>IFERROR((INDEX(METADATA!$T$2:$T$20,MATCH(B2361,METADATA!$S$2:$S$20,0))),0)</f>
        <v>0</v>
      </c>
      <c r="E2361" s="312" t="str">
        <f t="shared" si="144"/>
        <v>LO</v>
      </c>
      <c r="F2361" s="369">
        <f>VLOOKUP(C2361,METADATA!$A$5:$H$29,IF(E2361="HI",2,IF(E2361="LO",6,10))+IF(D2361=1,2,IF(D2361=7,1,(IF(WEEKDAY(B2361)=1,2,IF(WEEKDAY(B2361)=7,1,0))))))</f>
        <v>3</v>
      </c>
      <c r="G2361" s="369">
        <f>VLOOKUP(C2361,METADATA!$J$5:$Q$29,IF(E2361="HI",2,IF(E2361="LO",6,10))+IF(D2361=1,2,IF(D2361=7,1,(IF(WEEKDAY(B2361)=1,2,IF(WEEKDAY(B2361)=7,1,0))))))</f>
        <v>3</v>
      </c>
      <c r="H2361" s="370">
        <v>13807.775329589844</v>
      </c>
      <c r="I2361" s="370">
        <v>4461.385009765625</v>
      </c>
      <c r="M2361" s="371">
        <f t="shared" si="145"/>
        <v>14510.638020355664</v>
      </c>
      <c r="N2361" s="329">
        <f t="shared" si="146"/>
        <v>319.05241088867206</v>
      </c>
      <c r="T2361" s="331">
        <v>0</v>
      </c>
      <c r="U2361" s="328">
        <f>VLOOKUP(C2361,METADATA!$J$5:$Q$29,IF(E2361="HI",2,IF(E2361="LO",6,10))+IF(T2361=1,2,IF(D2361=7,1,(IF(WEEKDAY(B2361)=1,2,IF(WEEKDAY(B2361)=7,1,0))))))</f>
        <v>3</v>
      </c>
      <c r="V2361" s="328">
        <f>VLOOKUP(C2361,METADATA!$A$5:$H$29,IF(E2361="HI",2,IF(E2361="LO",6,10))+IF(T2361=1,2,IF(D2361=7,1,(IF(WEEKDAY(B2361)=1,2,IF(WEEKDAY(B2361)=7,1,0))))))</f>
        <v>3</v>
      </c>
    </row>
    <row r="2362" spans="2:22">
      <c r="B2362" s="318">
        <f t="shared" si="147"/>
        <v>46211</v>
      </c>
      <c r="C2362" s="312">
        <v>6</v>
      </c>
      <c r="D2362" s="368">
        <f>IFERROR((INDEX(METADATA!$T$2:$T$20,MATCH(B2362,METADATA!$S$2:$S$20,0))),0)</f>
        <v>0</v>
      </c>
      <c r="E2362" s="312" t="str">
        <f t="shared" si="144"/>
        <v>LO</v>
      </c>
      <c r="F2362" s="369">
        <f>VLOOKUP(C2362,METADATA!$A$5:$H$29,IF(E2362="HI",2,IF(E2362="LO",6,10))+IF(D2362=1,2,IF(D2362=7,1,(IF(WEEKDAY(B2362)=1,2,IF(WEEKDAY(B2362)=7,1,0))))))</f>
        <v>2</v>
      </c>
      <c r="G2362" s="369">
        <f>VLOOKUP(C2362,METADATA!$J$5:$Q$29,IF(E2362="HI",2,IF(E2362="LO",6,10))+IF(D2362=1,2,IF(D2362=7,1,(IF(WEEKDAY(B2362)=1,2,IF(WEEKDAY(B2362)=7,1,0))))))</f>
        <v>2</v>
      </c>
      <c r="H2362" s="370">
        <v>13725.149780273438</v>
      </c>
      <c r="I2362" s="370">
        <v>4555.9649963378906</v>
      </c>
      <c r="M2362" s="371">
        <f t="shared" si="145"/>
        <v>14461.554326516776</v>
      </c>
      <c r="N2362" s="329">
        <f t="shared" si="146"/>
        <v>438.42006225585919</v>
      </c>
      <c r="T2362" s="331">
        <v>0</v>
      </c>
      <c r="U2362" s="328">
        <f>VLOOKUP(C2362,METADATA!$J$5:$Q$29,IF(E2362="HI",2,IF(E2362="LO",6,10))+IF(T2362=1,2,IF(D2362=7,1,(IF(WEEKDAY(B2362)=1,2,IF(WEEKDAY(B2362)=7,1,0))))))</f>
        <v>2</v>
      </c>
      <c r="V2362" s="328">
        <f>VLOOKUP(C2362,METADATA!$A$5:$H$29,IF(E2362="HI",2,IF(E2362="LO",6,10))+IF(T2362=1,2,IF(D2362=7,1,(IF(WEEKDAY(B2362)=1,2,IF(WEEKDAY(B2362)=7,1,0))))))</f>
        <v>2</v>
      </c>
    </row>
    <row r="2363" spans="2:22">
      <c r="B2363" s="318">
        <f t="shared" si="147"/>
        <v>46211</v>
      </c>
      <c r="C2363" s="312">
        <v>7</v>
      </c>
      <c r="D2363" s="368">
        <f>IFERROR((INDEX(METADATA!$T$2:$T$20,MATCH(B2363,METADATA!$S$2:$S$20,0))),0)</f>
        <v>0</v>
      </c>
      <c r="E2363" s="312" t="str">
        <f t="shared" si="144"/>
        <v>LO</v>
      </c>
      <c r="F2363" s="369">
        <f>VLOOKUP(C2363,METADATA!$A$5:$H$29,IF(E2363="HI",2,IF(E2363="LO",6,10))+IF(D2363=1,2,IF(D2363=7,1,(IF(WEEKDAY(B2363)=1,2,IF(WEEKDAY(B2363)=7,1,0))))))</f>
        <v>1</v>
      </c>
      <c r="G2363" s="369">
        <f>VLOOKUP(C2363,METADATA!$J$5:$Q$29,IF(E2363="HI",2,IF(E2363="LO",6,10))+IF(D2363=1,2,IF(D2363=7,1,(IF(WEEKDAY(B2363)=1,2,IF(WEEKDAY(B2363)=7,1,0))))))</f>
        <v>1</v>
      </c>
      <c r="H2363" s="370">
        <v>13796.250061035156</v>
      </c>
      <c r="I2363" s="370">
        <v>4646.889892578125</v>
      </c>
      <c r="M2363" s="371">
        <f t="shared" si="145"/>
        <v>14557.81925359555</v>
      </c>
      <c r="N2363" s="329">
        <f t="shared" si="146"/>
        <v>508.01487426757831</v>
      </c>
      <c r="T2363" s="331">
        <v>0</v>
      </c>
      <c r="U2363" s="328">
        <f>VLOOKUP(C2363,METADATA!$J$5:$Q$29,IF(E2363="HI",2,IF(E2363="LO",6,10))+IF(T2363=1,2,IF(D2363=7,1,(IF(WEEKDAY(B2363)=1,2,IF(WEEKDAY(B2363)=7,1,0))))))</f>
        <v>1</v>
      </c>
      <c r="V2363" s="328">
        <f>VLOOKUP(C2363,METADATA!$A$5:$H$29,IF(E2363="HI",2,IF(E2363="LO",6,10))+IF(T2363=1,2,IF(D2363=7,1,(IF(WEEKDAY(B2363)=1,2,IF(WEEKDAY(B2363)=7,1,0))))))</f>
        <v>1</v>
      </c>
    </row>
    <row r="2364" spans="2:22">
      <c r="B2364" s="318">
        <f t="shared" si="147"/>
        <v>46211</v>
      </c>
      <c r="C2364" s="312">
        <v>8</v>
      </c>
      <c r="D2364" s="368">
        <f>IFERROR((INDEX(METADATA!$T$2:$T$20,MATCH(B2364,METADATA!$S$2:$S$20,0))),0)</f>
        <v>0</v>
      </c>
      <c r="E2364" s="312" t="str">
        <f t="shared" si="144"/>
        <v>LO</v>
      </c>
      <c r="F2364" s="369">
        <f>VLOOKUP(C2364,METADATA!$A$5:$H$29,IF(E2364="HI",2,IF(E2364="LO",6,10))+IF(D2364=1,2,IF(D2364=7,1,(IF(WEEKDAY(B2364)=1,2,IF(WEEKDAY(B2364)=7,1,0))))))</f>
        <v>1</v>
      </c>
      <c r="G2364" s="369">
        <f>VLOOKUP(C2364,METADATA!$J$5:$Q$29,IF(E2364="HI",2,IF(E2364="LO",6,10))+IF(D2364=1,2,IF(D2364=7,1,(IF(WEEKDAY(B2364)=1,2,IF(WEEKDAY(B2364)=7,1,0))))))</f>
        <v>1</v>
      </c>
      <c r="H2364" s="370">
        <v>13824.324645996094</v>
      </c>
      <c r="I2364" s="370">
        <v>4628.9100341796875</v>
      </c>
      <c r="M2364" s="371">
        <f t="shared" si="145"/>
        <v>14578.709134296643</v>
      </c>
      <c r="N2364" s="329">
        <f t="shared" si="146"/>
        <v>481.61264038085938</v>
      </c>
      <c r="T2364" s="331">
        <v>0</v>
      </c>
      <c r="U2364" s="328">
        <f>VLOOKUP(C2364,METADATA!$J$5:$Q$29,IF(E2364="HI",2,IF(E2364="LO",6,10))+IF(T2364=1,2,IF(D2364=7,1,(IF(WEEKDAY(B2364)=1,2,IF(WEEKDAY(B2364)=7,1,0))))))</f>
        <v>1</v>
      </c>
      <c r="V2364" s="328">
        <f>VLOOKUP(C2364,METADATA!$A$5:$H$29,IF(E2364="HI",2,IF(E2364="LO",6,10))+IF(T2364=1,2,IF(D2364=7,1,(IF(WEEKDAY(B2364)=1,2,IF(WEEKDAY(B2364)=7,1,0))))))</f>
        <v>1</v>
      </c>
    </row>
    <row r="2365" spans="2:22">
      <c r="B2365" s="318">
        <f t="shared" si="147"/>
        <v>46211</v>
      </c>
      <c r="C2365" s="312">
        <v>9</v>
      </c>
      <c r="D2365" s="368">
        <f>IFERROR((INDEX(METADATA!$T$2:$T$20,MATCH(B2365,METADATA!$S$2:$S$20,0))),0)</f>
        <v>0</v>
      </c>
      <c r="E2365" s="312" t="str">
        <f t="shared" si="144"/>
        <v>LO</v>
      </c>
      <c r="F2365" s="369">
        <f>VLOOKUP(C2365,METADATA!$A$5:$H$29,IF(E2365="HI",2,IF(E2365="LO",6,10))+IF(D2365=1,2,IF(D2365=7,1,(IF(WEEKDAY(B2365)=1,2,IF(WEEKDAY(B2365)=7,1,0))))))</f>
        <v>2</v>
      </c>
      <c r="G2365" s="369">
        <f>VLOOKUP(C2365,METADATA!$J$5:$Q$29,IF(E2365="HI",2,IF(E2365="LO",6,10))+IF(D2365=1,2,IF(D2365=7,1,(IF(WEEKDAY(B2365)=1,2,IF(WEEKDAY(B2365)=7,1,0))))))</f>
        <v>2</v>
      </c>
      <c r="H2365" s="370">
        <v>13019.724731445313</v>
      </c>
      <c r="I2365" s="370">
        <v>4252.8198852539063</v>
      </c>
      <c r="M2365" s="371">
        <f t="shared" si="145"/>
        <v>13696.704313776352</v>
      </c>
      <c r="N2365" s="329">
        <f t="shared" si="146"/>
        <v>346.9024658203125</v>
      </c>
      <c r="T2365" s="331">
        <v>0</v>
      </c>
      <c r="U2365" s="328">
        <f>VLOOKUP(C2365,METADATA!$J$5:$Q$29,IF(E2365="HI",2,IF(E2365="LO",6,10))+IF(T2365=1,2,IF(D2365=7,1,(IF(WEEKDAY(B2365)=1,2,IF(WEEKDAY(B2365)=7,1,0))))))</f>
        <v>2</v>
      </c>
      <c r="V2365" s="328">
        <f>VLOOKUP(C2365,METADATA!$A$5:$H$29,IF(E2365="HI",2,IF(E2365="LO",6,10))+IF(T2365=1,2,IF(D2365=7,1,(IF(WEEKDAY(B2365)=1,2,IF(WEEKDAY(B2365)=7,1,0))))))</f>
        <v>2</v>
      </c>
    </row>
    <row r="2366" spans="2:22">
      <c r="B2366" s="318">
        <f t="shared" si="147"/>
        <v>46211</v>
      </c>
      <c r="C2366" s="312">
        <v>10</v>
      </c>
      <c r="D2366" s="368">
        <f>IFERROR((INDEX(METADATA!$T$2:$T$20,MATCH(B2366,METADATA!$S$2:$S$20,0))),0)</f>
        <v>0</v>
      </c>
      <c r="E2366" s="312" t="str">
        <f t="shared" si="144"/>
        <v>LO</v>
      </c>
      <c r="F2366" s="369">
        <f>VLOOKUP(C2366,METADATA!$A$5:$H$29,IF(E2366="HI",2,IF(E2366="LO",6,10))+IF(D2366=1,2,IF(D2366=7,1,(IF(WEEKDAY(B2366)=1,2,IF(WEEKDAY(B2366)=7,1,0))))))</f>
        <v>2</v>
      </c>
      <c r="G2366" s="369">
        <f>VLOOKUP(C2366,METADATA!$J$5:$Q$29,IF(E2366="HI",2,IF(E2366="LO",6,10))+IF(D2366=1,2,IF(D2366=7,1,(IF(WEEKDAY(B2366)=1,2,IF(WEEKDAY(B2366)=7,1,0))))))</f>
        <v>2</v>
      </c>
      <c r="H2366" s="370">
        <v>11642.625061035156</v>
      </c>
      <c r="I2366" s="370">
        <v>3311.6800231933594</v>
      </c>
      <c r="M2366" s="371">
        <f t="shared" si="145"/>
        <v>12104.459628081786</v>
      </c>
      <c r="N2366" s="329">
        <f t="shared" si="146"/>
        <v>0</v>
      </c>
      <c r="T2366" s="331">
        <v>0</v>
      </c>
      <c r="U2366" s="328">
        <f>VLOOKUP(C2366,METADATA!$J$5:$Q$29,IF(E2366="HI",2,IF(E2366="LO",6,10))+IF(T2366=1,2,IF(D2366=7,1,(IF(WEEKDAY(B2366)=1,2,IF(WEEKDAY(B2366)=7,1,0))))))</f>
        <v>2</v>
      </c>
      <c r="V2366" s="328">
        <f>VLOOKUP(C2366,METADATA!$A$5:$H$29,IF(E2366="HI",2,IF(E2366="LO",6,10))+IF(T2366=1,2,IF(D2366=7,1,(IF(WEEKDAY(B2366)=1,2,IF(WEEKDAY(B2366)=7,1,0))))))</f>
        <v>2</v>
      </c>
    </row>
    <row r="2367" spans="2:22">
      <c r="B2367" s="318">
        <f t="shared" si="147"/>
        <v>46211</v>
      </c>
      <c r="C2367" s="312">
        <v>11</v>
      </c>
      <c r="D2367" s="368">
        <f>IFERROR((INDEX(METADATA!$T$2:$T$20,MATCH(B2367,METADATA!$S$2:$S$20,0))),0)</f>
        <v>0</v>
      </c>
      <c r="E2367" s="312" t="str">
        <f t="shared" si="144"/>
        <v>LO</v>
      </c>
      <c r="F2367" s="369">
        <f>VLOOKUP(C2367,METADATA!$A$5:$H$29,IF(E2367="HI",2,IF(E2367="LO",6,10))+IF(D2367=1,2,IF(D2367=7,1,(IF(WEEKDAY(B2367)=1,2,IF(WEEKDAY(B2367)=7,1,0))))))</f>
        <v>2</v>
      </c>
      <c r="G2367" s="369">
        <f>VLOOKUP(C2367,METADATA!$J$5:$Q$29,IF(E2367="HI",2,IF(E2367="LO",6,10))+IF(D2367=1,2,IF(D2367=7,1,(IF(WEEKDAY(B2367)=1,2,IF(WEEKDAY(B2367)=7,1,0))))))</f>
        <v>2</v>
      </c>
      <c r="H2367" s="370">
        <v>13595.524658203125</v>
      </c>
      <c r="I2367" s="370">
        <v>4458.7350158691406</v>
      </c>
      <c r="M2367" s="371">
        <f t="shared" si="145"/>
        <v>14307.991077490466</v>
      </c>
      <c r="N2367" s="329">
        <f t="shared" si="146"/>
        <v>380.07761840820331</v>
      </c>
      <c r="T2367" s="331">
        <v>0</v>
      </c>
      <c r="U2367" s="328">
        <f>VLOOKUP(C2367,METADATA!$J$5:$Q$29,IF(E2367="HI",2,IF(E2367="LO",6,10))+IF(T2367=1,2,IF(D2367=7,1,(IF(WEEKDAY(B2367)=1,2,IF(WEEKDAY(B2367)=7,1,0))))))</f>
        <v>2</v>
      </c>
      <c r="V2367" s="328">
        <f>VLOOKUP(C2367,METADATA!$A$5:$H$29,IF(E2367="HI",2,IF(E2367="LO",6,10))+IF(T2367=1,2,IF(D2367=7,1,(IF(WEEKDAY(B2367)=1,2,IF(WEEKDAY(B2367)=7,1,0))))))</f>
        <v>2</v>
      </c>
    </row>
    <row r="2368" spans="2:22">
      <c r="B2368" s="318">
        <f t="shared" si="147"/>
        <v>46211</v>
      </c>
      <c r="C2368" s="312">
        <v>12</v>
      </c>
      <c r="D2368" s="368">
        <f>IFERROR((INDEX(METADATA!$T$2:$T$20,MATCH(B2368,METADATA!$S$2:$S$20,0))),0)</f>
        <v>0</v>
      </c>
      <c r="E2368" s="312" t="str">
        <f t="shared" si="144"/>
        <v>LO</v>
      </c>
      <c r="F2368" s="369">
        <f>VLOOKUP(C2368,METADATA!$A$5:$H$29,IF(E2368="HI",2,IF(E2368="LO",6,10))+IF(D2368=1,2,IF(D2368=7,1,(IF(WEEKDAY(B2368)=1,2,IF(WEEKDAY(B2368)=7,1,0))))))</f>
        <v>2</v>
      </c>
      <c r="G2368" s="369">
        <f>VLOOKUP(C2368,METADATA!$J$5:$Q$29,IF(E2368="HI",2,IF(E2368="LO",6,10))+IF(D2368=1,2,IF(D2368=7,1,(IF(WEEKDAY(B2368)=1,2,IF(WEEKDAY(B2368)=7,1,0))))))</f>
        <v>2</v>
      </c>
      <c r="H2368" s="370">
        <v>13655.099975585938</v>
      </c>
      <c r="I2368" s="370">
        <v>4803.4799194335938</v>
      </c>
      <c r="M2368" s="371">
        <f t="shared" si="145"/>
        <v>14475.329864277664</v>
      </c>
      <c r="N2368" s="329">
        <f t="shared" si="146"/>
        <v>706.94992675781305</v>
      </c>
      <c r="T2368" s="331">
        <v>0</v>
      </c>
      <c r="U2368" s="328">
        <f>VLOOKUP(C2368,METADATA!$J$5:$Q$29,IF(E2368="HI",2,IF(E2368="LO",6,10))+IF(T2368=1,2,IF(D2368=7,1,(IF(WEEKDAY(B2368)=1,2,IF(WEEKDAY(B2368)=7,1,0))))))</f>
        <v>2</v>
      </c>
      <c r="V2368" s="328">
        <f>VLOOKUP(C2368,METADATA!$A$5:$H$29,IF(E2368="HI",2,IF(E2368="LO",6,10))+IF(T2368=1,2,IF(D2368=7,1,(IF(WEEKDAY(B2368)=1,2,IF(WEEKDAY(B2368)=7,1,0))))))</f>
        <v>2</v>
      </c>
    </row>
    <row r="2369" spans="2:22">
      <c r="B2369" s="318">
        <f t="shared" si="147"/>
        <v>46211</v>
      </c>
      <c r="C2369" s="312">
        <v>13</v>
      </c>
      <c r="D2369" s="368">
        <f>IFERROR((INDEX(METADATA!$T$2:$T$20,MATCH(B2369,METADATA!$S$2:$S$20,0))),0)</f>
        <v>0</v>
      </c>
      <c r="E2369" s="312" t="str">
        <f t="shared" si="144"/>
        <v>LO</v>
      </c>
      <c r="F2369" s="369">
        <f>VLOOKUP(C2369,METADATA!$A$5:$H$29,IF(E2369="HI",2,IF(E2369="LO",6,10))+IF(D2369=1,2,IF(D2369=7,1,(IF(WEEKDAY(B2369)=1,2,IF(WEEKDAY(B2369)=7,1,0))))))</f>
        <v>2</v>
      </c>
      <c r="G2369" s="369">
        <f>VLOOKUP(C2369,METADATA!$J$5:$Q$29,IF(E2369="HI",2,IF(E2369="LO",6,10))+IF(D2369=1,2,IF(D2369=7,1,(IF(WEEKDAY(B2369)=1,2,IF(WEEKDAY(B2369)=7,1,0))))))</f>
        <v>2</v>
      </c>
      <c r="H2369" s="370">
        <v>13753.650268554688</v>
      </c>
      <c r="I2369" s="370">
        <v>4887.0100402832031</v>
      </c>
      <c r="M2369" s="371">
        <f t="shared" si="145"/>
        <v>14596.087244311169</v>
      </c>
      <c r="N2369" s="329">
        <f t="shared" si="146"/>
        <v>760.91495971679706</v>
      </c>
      <c r="T2369" s="331">
        <v>0</v>
      </c>
      <c r="U2369" s="328">
        <f>VLOOKUP(C2369,METADATA!$J$5:$Q$29,IF(E2369="HI",2,IF(E2369="LO",6,10))+IF(T2369=1,2,IF(D2369=7,1,(IF(WEEKDAY(B2369)=1,2,IF(WEEKDAY(B2369)=7,1,0))))))</f>
        <v>2</v>
      </c>
      <c r="V2369" s="328">
        <f>VLOOKUP(C2369,METADATA!$A$5:$H$29,IF(E2369="HI",2,IF(E2369="LO",6,10))+IF(T2369=1,2,IF(D2369=7,1,(IF(WEEKDAY(B2369)=1,2,IF(WEEKDAY(B2369)=7,1,0))))))</f>
        <v>2</v>
      </c>
    </row>
    <row r="2370" spans="2:22">
      <c r="B2370" s="318">
        <f t="shared" si="147"/>
        <v>46211</v>
      </c>
      <c r="C2370" s="312">
        <v>14</v>
      </c>
      <c r="D2370" s="368">
        <f>IFERROR((INDEX(METADATA!$T$2:$T$20,MATCH(B2370,METADATA!$S$2:$S$20,0))),0)</f>
        <v>0</v>
      </c>
      <c r="E2370" s="312" t="str">
        <f t="shared" si="144"/>
        <v>LO</v>
      </c>
      <c r="F2370" s="369">
        <f>VLOOKUP(C2370,METADATA!$A$5:$H$29,IF(E2370="HI",2,IF(E2370="LO",6,10))+IF(D2370=1,2,IF(D2370=7,1,(IF(WEEKDAY(B2370)=1,2,IF(WEEKDAY(B2370)=7,1,0))))))</f>
        <v>2</v>
      </c>
      <c r="G2370" s="369">
        <f>VLOOKUP(C2370,METADATA!$J$5:$Q$29,IF(E2370="HI",2,IF(E2370="LO",6,10))+IF(D2370=1,2,IF(D2370=7,1,(IF(WEEKDAY(B2370)=1,2,IF(WEEKDAY(B2370)=7,1,0))))))</f>
        <v>2</v>
      </c>
      <c r="H2370" s="370">
        <v>13728.625244140625</v>
      </c>
      <c r="I2370" s="370">
        <v>4937.1099548339844</v>
      </c>
      <c r="M2370" s="371">
        <f t="shared" si="145"/>
        <v>14589.386752025463</v>
      </c>
      <c r="N2370" s="329">
        <f t="shared" si="146"/>
        <v>818.52238159179706</v>
      </c>
      <c r="T2370" s="331">
        <v>0</v>
      </c>
      <c r="U2370" s="328">
        <f>VLOOKUP(C2370,METADATA!$J$5:$Q$29,IF(E2370="HI",2,IF(E2370="LO",6,10))+IF(T2370=1,2,IF(D2370=7,1,(IF(WEEKDAY(B2370)=1,2,IF(WEEKDAY(B2370)=7,1,0))))))</f>
        <v>2</v>
      </c>
      <c r="V2370" s="328">
        <f>VLOOKUP(C2370,METADATA!$A$5:$H$29,IF(E2370="HI",2,IF(E2370="LO",6,10))+IF(T2370=1,2,IF(D2370=7,1,(IF(WEEKDAY(B2370)=1,2,IF(WEEKDAY(B2370)=7,1,0))))))</f>
        <v>2</v>
      </c>
    </row>
    <row r="2371" spans="2:22">
      <c r="B2371" s="318">
        <f t="shared" si="147"/>
        <v>46211</v>
      </c>
      <c r="C2371" s="312">
        <v>15</v>
      </c>
      <c r="D2371" s="368">
        <f>IFERROR((INDEX(METADATA!$T$2:$T$20,MATCH(B2371,METADATA!$S$2:$S$20,0))),0)</f>
        <v>0</v>
      </c>
      <c r="E2371" s="312" t="str">
        <f t="shared" si="144"/>
        <v>LO</v>
      </c>
      <c r="F2371" s="369">
        <f>VLOOKUP(C2371,METADATA!$A$5:$H$29,IF(E2371="HI",2,IF(E2371="LO",6,10))+IF(D2371=1,2,IF(D2371=7,1,(IF(WEEKDAY(B2371)=1,2,IF(WEEKDAY(B2371)=7,1,0))))))</f>
        <v>2</v>
      </c>
      <c r="G2371" s="369">
        <f>VLOOKUP(C2371,METADATA!$J$5:$Q$29,IF(E2371="HI",2,IF(E2371="LO",6,10))+IF(D2371=1,2,IF(D2371=7,1,(IF(WEEKDAY(B2371)=1,2,IF(WEEKDAY(B2371)=7,1,0))))))</f>
        <v>2</v>
      </c>
      <c r="H2371" s="370">
        <v>13770.775024414063</v>
      </c>
      <c r="I2371" s="370">
        <v>4969.5700073242188</v>
      </c>
      <c r="M2371" s="371">
        <f t="shared" si="145"/>
        <v>14640.043402624275</v>
      </c>
      <c r="N2371" s="329">
        <f t="shared" si="146"/>
        <v>838.33750000000055</v>
      </c>
      <c r="T2371" s="331">
        <v>0</v>
      </c>
      <c r="U2371" s="328">
        <f>VLOOKUP(C2371,METADATA!$J$5:$Q$29,IF(E2371="HI",2,IF(E2371="LO",6,10))+IF(T2371=1,2,IF(D2371=7,1,(IF(WEEKDAY(B2371)=1,2,IF(WEEKDAY(B2371)=7,1,0))))))</f>
        <v>2</v>
      </c>
      <c r="V2371" s="328">
        <f>VLOOKUP(C2371,METADATA!$A$5:$H$29,IF(E2371="HI",2,IF(E2371="LO",6,10))+IF(T2371=1,2,IF(D2371=7,1,(IF(WEEKDAY(B2371)=1,2,IF(WEEKDAY(B2371)=7,1,0))))))</f>
        <v>2</v>
      </c>
    </row>
    <row r="2372" spans="2:22">
      <c r="B2372" s="318">
        <f t="shared" si="147"/>
        <v>46211</v>
      </c>
      <c r="C2372" s="312">
        <v>16</v>
      </c>
      <c r="D2372" s="368">
        <f>IFERROR((INDEX(METADATA!$T$2:$T$20,MATCH(B2372,METADATA!$S$2:$S$20,0))),0)</f>
        <v>0</v>
      </c>
      <c r="E2372" s="312" t="str">
        <f t="shared" ref="E2372:E2435" si="148">IF(B2372="","",IF(AND(MONTH(B2372)&gt;=MONTH($Z$9),MONTH(B2372)&lt;=MONTH($Z$11)),"HI","LO"))</f>
        <v>LO</v>
      </c>
      <c r="F2372" s="369">
        <f>VLOOKUP(C2372,METADATA!$A$5:$H$29,IF(E2372="HI",2,IF(E2372="LO",6,10))+IF(D2372=1,2,IF(D2372=7,1,(IF(WEEKDAY(B2372)=1,2,IF(WEEKDAY(B2372)=7,1,0))))))</f>
        <v>2</v>
      </c>
      <c r="G2372" s="369">
        <f>VLOOKUP(C2372,METADATA!$J$5:$Q$29,IF(E2372="HI",2,IF(E2372="LO",6,10))+IF(D2372=1,2,IF(D2372=7,1,(IF(WEEKDAY(B2372)=1,2,IF(WEEKDAY(B2372)=7,1,0))))))</f>
        <v>2</v>
      </c>
      <c r="H2372" s="370">
        <v>13728.749938964844</v>
      </c>
      <c r="I2372" s="370">
        <v>4910.0250244140625</v>
      </c>
      <c r="M2372" s="371">
        <f t="shared" ref="M2372:M2435" si="149">SQRT(H2372^2+I2372^2)</f>
        <v>14580.36078521377</v>
      </c>
      <c r="N2372" s="329">
        <f t="shared" ref="N2372:N2435" si="150">IF(H2372=0,0,(IF(I2372-(0.3*H2372)&lt;0,0,(I2372-(0.3*H2372)))))</f>
        <v>791.40004272460919</v>
      </c>
      <c r="T2372" s="331">
        <v>0</v>
      </c>
      <c r="U2372" s="328">
        <f>VLOOKUP(C2372,METADATA!$J$5:$Q$29,IF(E2372="HI",2,IF(E2372="LO",6,10))+IF(T2372=1,2,IF(D2372=7,1,(IF(WEEKDAY(B2372)=1,2,IF(WEEKDAY(B2372)=7,1,0))))))</f>
        <v>2</v>
      </c>
      <c r="V2372" s="328">
        <f>VLOOKUP(C2372,METADATA!$A$5:$H$29,IF(E2372="HI",2,IF(E2372="LO",6,10))+IF(T2372=1,2,IF(D2372=7,1,(IF(WEEKDAY(B2372)=1,2,IF(WEEKDAY(B2372)=7,1,0))))))</f>
        <v>2</v>
      </c>
    </row>
    <row r="2373" spans="2:22">
      <c r="B2373" s="318">
        <f t="shared" si="147"/>
        <v>46211</v>
      </c>
      <c r="C2373" s="312">
        <v>17</v>
      </c>
      <c r="D2373" s="368">
        <f>IFERROR((INDEX(METADATA!$T$2:$T$20,MATCH(B2373,METADATA!$S$2:$S$20,0))),0)</f>
        <v>0</v>
      </c>
      <c r="E2373" s="312" t="str">
        <f t="shared" si="148"/>
        <v>LO</v>
      </c>
      <c r="F2373" s="369">
        <f>VLOOKUP(C2373,METADATA!$A$5:$H$29,IF(E2373="HI",2,IF(E2373="LO",6,10))+IF(D2373=1,2,IF(D2373=7,1,(IF(WEEKDAY(B2373)=1,2,IF(WEEKDAY(B2373)=7,1,0))))))</f>
        <v>2</v>
      </c>
      <c r="G2373" s="369">
        <f>VLOOKUP(C2373,METADATA!$J$5:$Q$29,IF(E2373="HI",2,IF(E2373="LO",6,10))+IF(D2373=1,2,IF(D2373=7,1,(IF(WEEKDAY(B2373)=1,2,IF(WEEKDAY(B2373)=7,1,0))))))</f>
        <v>2</v>
      </c>
      <c r="H2373" s="370">
        <v>13797.500122070313</v>
      </c>
      <c r="I2373" s="370">
        <v>4834.300048828125</v>
      </c>
      <c r="M2373" s="371">
        <f t="shared" si="149"/>
        <v>14619.899677515912</v>
      </c>
      <c r="N2373" s="329">
        <f t="shared" si="150"/>
        <v>695.05001220703161</v>
      </c>
      <c r="T2373" s="331">
        <v>0</v>
      </c>
      <c r="U2373" s="328">
        <f>VLOOKUP(C2373,METADATA!$J$5:$Q$29,IF(E2373="HI",2,IF(E2373="LO",6,10))+IF(T2373=1,2,IF(D2373=7,1,(IF(WEEKDAY(B2373)=1,2,IF(WEEKDAY(B2373)=7,1,0))))))</f>
        <v>2</v>
      </c>
      <c r="V2373" s="328">
        <f>VLOOKUP(C2373,METADATA!$A$5:$H$29,IF(E2373="HI",2,IF(E2373="LO",6,10))+IF(T2373=1,2,IF(D2373=7,1,(IF(WEEKDAY(B2373)=1,2,IF(WEEKDAY(B2373)=7,1,0))))))</f>
        <v>2</v>
      </c>
    </row>
    <row r="2374" spans="2:22">
      <c r="B2374" s="318">
        <f t="shared" si="147"/>
        <v>46211</v>
      </c>
      <c r="C2374" s="312">
        <v>18</v>
      </c>
      <c r="D2374" s="368">
        <f>IFERROR((INDEX(METADATA!$T$2:$T$20,MATCH(B2374,METADATA!$S$2:$S$20,0))),0)</f>
        <v>0</v>
      </c>
      <c r="E2374" s="312" t="str">
        <f t="shared" si="148"/>
        <v>LO</v>
      </c>
      <c r="F2374" s="369">
        <f>VLOOKUP(C2374,METADATA!$A$5:$H$29,IF(E2374="HI",2,IF(E2374="LO",6,10))+IF(D2374=1,2,IF(D2374=7,1,(IF(WEEKDAY(B2374)=1,2,IF(WEEKDAY(B2374)=7,1,0))))))</f>
        <v>1</v>
      </c>
      <c r="G2374" s="369">
        <f>VLOOKUP(C2374,METADATA!$J$5:$Q$29,IF(E2374="HI",2,IF(E2374="LO",6,10))+IF(D2374=1,2,IF(D2374=7,1,(IF(WEEKDAY(B2374)=1,2,IF(WEEKDAY(B2374)=7,1,0))))))</f>
        <v>1</v>
      </c>
      <c r="H2374" s="370">
        <v>13827.674926757813</v>
      </c>
      <c r="I2374" s="370">
        <v>4741.6849975585938</v>
      </c>
      <c r="M2374" s="371">
        <f t="shared" si="149"/>
        <v>14618.076839863679</v>
      </c>
      <c r="N2374" s="329">
        <f t="shared" si="150"/>
        <v>593.38251953125018</v>
      </c>
      <c r="T2374" s="331">
        <v>0</v>
      </c>
      <c r="U2374" s="328">
        <f>VLOOKUP(C2374,METADATA!$J$5:$Q$29,IF(E2374="HI",2,IF(E2374="LO",6,10))+IF(T2374=1,2,IF(D2374=7,1,(IF(WEEKDAY(B2374)=1,2,IF(WEEKDAY(B2374)=7,1,0))))))</f>
        <v>1</v>
      </c>
      <c r="V2374" s="328">
        <f>VLOOKUP(C2374,METADATA!$A$5:$H$29,IF(E2374="HI",2,IF(E2374="LO",6,10))+IF(T2374=1,2,IF(D2374=7,1,(IF(WEEKDAY(B2374)=1,2,IF(WEEKDAY(B2374)=7,1,0))))))</f>
        <v>1</v>
      </c>
    </row>
    <row r="2375" spans="2:22">
      <c r="B2375" s="318">
        <f t="shared" si="147"/>
        <v>46211</v>
      </c>
      <c r="C2375" s="312">
        <v>19</v>
      </c>
      <c r="D2375" s="368">
        <f>IFERROR((INDEX(METADATA!$T$2:$T$20,MATCH(B2375,METADATA!$S$2:$S$20,0))),0)</f>
        <v>0</v>
      </c>
      <c r="E2375" s="312" t="str">
        <f t="shared" si="148"/>
        <v>LO</v>
      </c>
      <c r="F2375" s="369">
        <f>VLOOKUP(C2375,METADATA!$A$5:$H$29,IF(E2375="HI",2,IF(E2375="LO",6,10))+IF(D2375=1,2,IF(D2375=7,1,(IF(WEEKDAY(B2375)=1,2,IF(WEEKDAY(B2375)=7,1,0))))))</f>
        <v>1</v>
      </c>
      <c r="G2375" s="369">
        <f>VLOOKUP(C2375,METADATA!$J$5:$Q$29,IF(E2375="HI",2,IF(E2375="LO",6,10))+IF(D2375=1,2,IF(D2375=7,1,(IF(WEEKDAY(B2375)=1,2,IF(WEEKDAY(B2375)=7,1,0))))))</f>
        <v>1</v>
      </c>
      <c r="H2375" s="370">
        <v>13853.849609375</v>
      </c>
      <c r="I2375" s="370">
        <v>4802.2100219726563</v>
      </c>
      <c r="M2375" s="371">
        <f t="shared" si="149"/>
        <v>14662.549917879716</v>
      </c>
      <c r="N2375" s="329">
        <f t="shared" si="150"/>
        <v>646.05513916015661</v>
      </c>
      <c r="T2375" s="331">
        <v>0</v>
      </c>
      <c r="U2375" s="328">
        <f>VLOOKUP(C2375,METADATA!$J$5:$Q$29,IF(E2375="HI",2,IF(E2375="LO",6,10))+IF(T2375=1,2,IF(D2375=7,1,(IF(WEEKDAY(B2375)=1,2,IF(WEEKDAY(B2375)=7,1,0))))))</f>
        <v>1</v>
      </c>
      <c r="V2375" s="328">
        <f>VLOOKUP(C2375,METADATA!$A$5:$H$29,IF(E2375="HI",2,IF(E2375="LO",6,10))+IF(T2375=1,2,IF(D2375=7,1,(IF(WEEKDAY(B2375)=1,2,IF(WEEKDAY(B2375)=7,1,0))))))</f>
        <v>1</v>
      </c>
    </row>
    <row r="2376" spans="2:22">
      <c r="B2376" s="318">
        <f t="shared" si="147"/>
        <v>46211</v>
      </c>
      <c r="C2376" s="312">
        <v>20</v>
      </c>
      <c r="D2376" s="368">
        <f>IFERROR((INDEX(METADATA!$T$2:$T$20,MATCH(B2376,METADATA!$S$2:$S$20,0))),0)</f>
        <v>0</v>
      </c>
      <c r="E2376" s="312" t="str">
        <f t="shared" si="148"/>
        <v>LO</v>
      </c>
      <c r="F2376" s="369">
        <f>VLOOKUP(C2376,METADATA!$A$5:$H$29,IF(E2376="HI",2,IF(E2376="LO",6,10))+IF(D2376=1,2,IF(D2376=7,1,(IF(WEEKDAY(B2376)=1,2,IF(WEEKDAY(B2376)=7,1,0))))))</f>
        <v>1</v>
      </c>
      <c r="G2376" s="369">
        <f>VLOOKUP(C2376,METADATA!$J$5:$Q$29,IF(E2376="HI",2,IF(E2376="LO",6,10))+IF(D2376=1,2,IF(D2376=7,1,(IF(WEEKDAY(B2376)=1,2,IF(WEEKDAY(B2376)=7,1,0))))))</f>
        <v>1</v>
      </c>
      <c r="H2376" s="370">
        <v>13894.800048828125</v>
      </c>
      <c r="I2376" s="370">
        <v>4780.3349304199219</v>
      </c>
      <c r="M2376" s="371">
        <f t="shared" si="149"/>
        <v>14694.116865055446</v>
      </c>
      <c r="N2376" s="329">
        <f t="shared" si="150"/>
        <v>611.89491577148419</v>
      </c>
      <c r="T2376" s="331">
        <v>0</v>
      </c>
      <c r="U2376" s="328">
        <f>VLOOKUP(C2376,METADATA!$J$5:$Q$29,IF(E2376="HI",2,IF(E2376="LO",6,10))+IF(T2376=1,2,IF(D2376=7,1,(IF(WEEKDAY(B2376)=1,2,IF(WEEKDAY(B2376)=7,1,0))))))</f>
        <v>1</v>
      </c>
      <c r="V2376" s="328">
        <f>VLOOKUP(C2376,METADATA!$A$5:$H$29,IF(E2376="HI",2,IF(E2376="LO",6,10))+IF(T2376=1,2,IF(D2376=7,1,(IF(WEEKDAY(B2376)=1,2,IF(WEEKDAY(B2376)=7,1,0))))))</f>
        <v>1</v>
      </c>
    </row>
    <row r="2377" spans="2:22">
      <c r="B2377" s="318">
        <f t="shared" si="147"/>
        <v>46211</v>
      </c>
      <c r="C2377" s="312">
        <v>21</v>
      </c>
      <c r="D2377" s="368">
        <f>IFERROR((INDEX(METADATA!$T$2:$T$20,MATCH(B2377,METADATA!$S$2:$S$20,0))),0)</f>
        <v>0</v>
      </c>
      <c r="E2377" s="312" t="str">
        <f t="shared" si="148"/>
        <v>LO</v>
      </c>
      <c r="F2377" s="369">
        <f>VLOOKUP(C2377,METADATA!$A$5:$H$29,IF(E2377="HI",2,IF(E2377="LO",6,10))+IF(D2377=1,2,IF(D2377=7,1,(IF(WEEKDAY(B2377)=1,2,IF(WEEKDAY(B2377)=7,1,0))))))</f>
        <v>2</v>
      </c>
      <c r="G2377" s="369">
        <f>VLOOKUP(C2377,METADATA!$J$5:$Q$29,IF(E2377="HI",2,IF(E2377="LO",6,10))+IF(D2377=1,2,IF(D2377=7,1,(IF(WEEKDAY(B2377)=1,2,IF(WEEKDAY(B2377)=7,1,0))))))</f>
        <v>2</v>
      </c>
      <c r="H2377" s="370">
        <v>13840.624877929688</v>
      </c>
      <c r="I2377" s="370">
        <v>4708.1200256347656</v>
      </c>
      <c r="M2377" s="371">
        <f t="shared" si="149"/>
        <v>14619.483273609545</v>
      </c>
      <c r="N2377" s="329">
        <f t="shared" si="150"/>
        <v>555.93256225585992</v>
      </c>
      <c r="T2377" s="331">
        <v>0</v>
      </c>
      <c r="U2377" s="328">
        <f>VLOOKUP(C2377,METADATA!$J$5:$Q$29,IF(E2377="HI",2,IF(E2377="LO",6,10))+IF(T2377=1,2,IF(D2377=7,1,(IF(WEEKDAY(B2377)=1,2,IF(WEEKDAY(B2377)=7,1,0))))))</f>
        <v>2</v>
      </c>
      <c r="V2377" s="328">
        <f>VLOOKUP(C2377,METADATA!$A$5:$H$29,IF(E2377="HI",2,IF(E2377="LO",6,10))+IF(T2377=1,2,IF(D2377=7,1,(IF(WEEKDAY(B2377)=1,2,IF(WEEKDAY(B2377)=7,1,0))))))</f>
        <v>2</v>
      </c>
    </row>
    <row r="2378" spans="2:22">
      <c r="B2378" s="318">
        <f t="shared" si="147"/>
        <v>46211</v>
      </c>
      <c r="C2378" s="312">
        <v>22</v>
      </c>
      <c r="D2378" s="368">
        <f>IFERROR((INDEX(METADATA!$T$2:$T$20,MATCH(B2378,METADATA!$S$2:$S$20,0))),0)</f>
        <v>0</v>
      </c>
      <c r="E2378" s="312" t="str">
        <f t="shared" si="148"/>
        <v>LO</v>
      </c>
      <c r="F2378" s="369">
        <f>VLOOKUP(C2378,METADATA!$A$5:$H$29,IF(E2378="HI",2,IF(E2378="LO",6,10))+IF(D2378=1,2,IF(D2378=7,1,(IF(WEEKDAY(B2378)=1,2,IF(WEEKDAY(B2378)=7,1,0))))))</f>
        <v>3</v>
      </c>
      <c r="G2378" s="369">
        <f>VLOOKUP(C2378,METADATA!$J$5:$Q$29,IF(E2378="HI",2,IF(E2378="LO",6,10))+IF(D2378=1,2,IF(D2378=7,1,(IF(WEEKDAY(B2378)=1,2,IF(WEEKDAY(B2378)=7,1,0))))))</f>
        <v>3</v>
      </c>
      <c r="H2378" s="370">
        <v>13864.775085449219</v>
      </c>
      <c r="I2378" s="370">
        <v>4766.2250061035156</v>
      </c>
      <c r="M2378" s="371">
        <f t="shared" si="149"/>
        <v>14661.135323667804</v>
      </c>
      <c r="N2378" s="329">
        <f t="shared" si="150"/>
        <v>606.79248046875</v>
      </c>
      <c r="T2378" s="331">
        <v>0</v>
      </c>
      <c r="U2378" s="328">
        <f>VLOOKUP(C2378,METADATA!$J$5:$Q$29,IF(E2378="HI",2,IF(E2378="LO",6,10))+IF(T2378=1,2,IF(D2378=7,1,(IF(WEEKDAY(B2378)=1,2,IF(WEEKDAY(B2378)=7,1,0))))))</f>
        <v>3</v>
      </c>
      <c r="V2378" s="328">
        <f>VLOOKUP(C2378,METADATA!$A$5:$H$29,IF(E2378="HI",2,IF(E2378="LO",6,10))+IF(T2378=1,2,IF(D2378=7,1,(IF(WEEKDAY(B2378)=1,2,IF(WEEKDAY(B2378)=7,1,0))))))</f>
        <v>3</v>
      </c>
    </row>
    <row r="2379" spans="2:22">
      <c r="B2379" s="318">
        <f t="shared" si="147"/>
        <v>46211</v>
      </c>
      <c r="C2379" s="312">
        <v>23</v>
      </c>
      <c r="D2379" s="368">
        <f>IFERROR((INDEX(METADATA!$T$2:$T$20,MATCH(B2379,METADATA!$S$2:$S$20,0))),0)</f>
        <v>0</v>
      </c>
      <c r="E2379" s="312" t="str">
        <f t="shared" si="148"/>
        <v>LO</v>
      </c>
      <c r="F2379" s="369">
        <f>VLOOKUP(C2379,METADATA!$A$5:$H$29,IF(E2379="HI",2,IF(E2379="LO",6,10))+IF(D2379=1,2,IF(D2379=7,1,(IF(WEEKDAY(B2379)=1,2,IF(WEEKDAY(B2379)=7,1,0))))))</f>
        <v>3</v>
      </c>
      <c r="G2379" s="369">
        <f>VLOOKUP(C2379,METADATA!$J$5:$Q$29,IF(E2379="HI",2,IF(E2379="LO",6,10))+IF(D2379=1,2,IF(D2379=7,1,(IF(WEEKDAY(B2379)=1,2,IF(WEEKDAY(B2379)=7,1,0))))))</f>
        <v>3</v>
      </c>
      <c r="H2379" s="370">
        <v>13814.375122070313</v>
      </c>
      <c r="I2379" s="370">
        <v>4929.1749572753906</v>
      </c>
      <c r="M2379" s="371">
        <f t="shared" si="149"/>
        <v>14667.43760077765</v>
      </c>
      <c r="N2379" s="329">
        <f t="shared" si="150"/>
        <v>784.86242065429724</v>
      </c>
      <c r="T2379" s="331">
        <v>0</v>
      </c>
      <c r="U2379" s="328">
        <f>VLOOKUP(C2379,METADATA!$J$5:$Q$29,IF(E2379="HI",2,IF(E2379="LO",6,10))+IF(T2379=1,2,IF(D2379=7,1,(IF(WEEKDAY(B2379)=1,2,IF(WEEKDAY(B2379)=7,1,0))))))</f>
        <v>3</v>
      </c>
      <c r="V2379" s="328">
        <f>VLOOKUP(C2379,METADATA!$A$5:$H$29,IF(E2379="HI",2,IF(E2379="LO",6,10))+IF(T2379=1,2,IF(D2379=7,1,(IF(WEEKDAY(B2379)=1,2,IF(WEEKDAY(B2379)=7,1,0))))))</f>
        <v>3</v>
      </c>
    </row>
    <row r="2380" spans="2:22">
      <c r="B2380" s="318">
        <f t="shared" si="147"/>
        <v>46212</v>
      </c>
      <c r="C2380" s="312">
        <v>0</v>
      </c>
      <c r="D2380" s="368">
        <f>IFERROR((INDEX(METADATA!$T$2:$T$20,MATCH(B2380,METADATA!$S$2:$S$20,0))),0)</f>
        <v>0</v>
      </c>
      <c r="E2380" s="312" t="str">
        <f t="shared" si="148"/>
        <v>LO</v>
      </c>
      <c r="F2380" s="369">
        <f>VLOOKUP(C2380,METADATA!$A$5:$H$29,IF(E2380="HI",2,IF(E2380="LO",6,10))+IF(D2380=1,2,IF(D2380=7,1,(IF(WEEKDAY(B2380)=1,2,IF(WEEKDAY(B2380)=7,1,0))))))</f>
        <v>3</v>
      </c>
      <c r="G2380" s="369">
        <f>VLOOKUP(C2380,METADATA!$J$5:$Q$29,IF(E2380="HI",2,IF(E2380="LO",6,10))+IF(D2380=1,2,IF(D2380=7,1,(IF(WEEKDAY(B2380)=1,2,IF(WEEKDAY(B2380)=7,1,0))))))</f>
        <v>3</v>
      </c>
      <c r="H2380" s="370">
        <v>13655.350280761719</v>
      </c>
      <c r="I2380" s="370">
        <v>4697.8449401855469</v>
      </c>
      <c r="M2380" s="371">
        <f t="shared" si="149"/>
        <v>14440.856566434211</v>
      </c>
      <c r="N2380" s="329">
        <f t="shared" si="150"/>
        <v>601.23985595703107</v>
      </c>
      <c r="T2380" s="331">
        <v>0</v>
      </c>
      <c r="U2380" s="328">
        <f>VLOOKUP(C2380,METADATA!$J$5:$Q$29,IF(E2380="HI",2,IF(E2380="LO",6,10))+IF(T2380=1,2,IF(D2380=7,1,(IF(WEEKDAY(B2380)=1,2,IF(WEEKDAY(B2380)=7,1,0))))))</f>
        <v>3</v>
      </c>
      <c r="V2380" s="328">
        <f>VLOOKUP(C2380,METADATA!$A$5:$H$29,IF(E2380="HI",2,IF(E2380="LO",6,10))+IF(T2380=1,2,IF(D2380=7,1,(IF(WEEKDAY(B2380)=1,2,IF(WEEKDAY(B2380)=7,1,0))))))</f>
        <v>3</v>
      </c>
    </row>
    <row r="2381" spans="2:22">
      <c r="B2381" s="318">
        <f t="shared" si="147"/>
        <v>46212</v>
      </c>
      <c r="C2381" s="312">
        <v>1</v>
      </c>
      <c r="D2381" s="368">
        <f>IFERROR((INDEX(METADATA!$T$2:$T$20,MATCH(B2381,METADATA!$S$2:$S$20,0))),0)</f>
        <v>0</v>
      </c>
      <c r="E2381" s="312" t="str">
        <f t="shared" si="148"/>
        <v>LO</v>
      </c>
      <c r="F2381" s="369">
        <f>VLOOKUP(C2381,METADATA!$A$5:$H$29,IF(E2381="HI",2,IF(E2381="LO",6,10))+IF(D2381=1,2,IF(D2381=7,1,(IF(WEEKDAY(B2381)=1,2,IF(WEEKDAY(B2381)=7,1,0))))))</f>
        <v>3</v>
      </c>
      <c r="G2381" s="369">
        <f>VLOOKUP(C2381,METADATA!$J$5:$Q$29,IF(E2381="HI",2,IF(E2381="LO",6,10))+IF(D2381=1,2,IF(D2381=7,1,(IF(WEEKDAY(B2381)=1,2,IF(WEEKDAY(B2381)=7,1,0))))))</f>
        <v>3</v>
      </c>
      <c r="H2381" s="370">
        <v>13633.164733886719</v>
      </c>
      <c r="I2381" s="370">
        <v>4713.6174621582031</v>
      </c>
      <c r="M2381" s="371">
        <f t="shared" si="149"/>
        <v>14425.025831548977</v>
      </c>
      <c r="N2381" s="329">
        <f t="shared" si="150"/>
        <v>623.66804199218768</v>
      </c>
      <c r="T2381" s="331">
        <v>0</v>
      </c>
      <c r="U2381" s="328">
        <f>VLOOKUP(C2381,METADATA!$J$5:$Q$29,IF(E2381="HI",2,IF(E2381="LO",6,10))+IF(T2381=1,2,IF(D2381=7,1,(IF(WEEKDAY(B2381)=1,2,IF(WEEKDAY(B2381)=7,1,0))))))</f>
        <v>3</v>
      </c>
      <c r="V2381" s="328">
        <f>VLOOKUP(C2381,METADATA!$A$5:$H$29,IF(E2381="HI",2,IF(E2381="LO",6,10))+IF(T2381=1,2,IF(D2381=7,1,(IF(WEEKDAY(B2381)=1,2,IF(WEEKDAY(B2381)=7,1,0))))))</f>
        <v>3</v>
      </c>
    </row>
    <row r="2382" spans="2:22">
      <c r="B2382" s="318">
        <f t="shared" si="147"/>
        <v>46212</v>
      </c>
      <c r="C2382" s="312">
        <v>2</v>
      </c>
      <c r="D2382" s="368">
        <f>IFERROR((INDEX(METADATA!$T$2:$T$20,MATCH(B2382,METADATA!$S$2:$S$20,0))),0)</f>
        <v>0</v>
      </c>
      <c r="E2382" s="312" t="str">
        <f t="shared" si="148"/>
        <v>LO</v>
      </c>
      <c r="F2382" s="369">
        <f>VLOOKUP(C2382,METADATA!$A$5:$H$29,IF(E2382="HI",2,IF(E2382="LO",6,10))+IF(D2382=1,2,IF(D2382=7,1,(IF(WEEKDAY(B2382)=1,2,IF(WEEKDAY(B2382)=7,1,0))))))</f>
        <v>3</v>
      </c>
      <c r="G2382" s="369">
        <f>VLOOKUP(C2382,METADATA!$J$5:$Q$29,IF(E2382="HI",2,IF(E2382="LO",6,10))+IF(D2382=1,2,IF(D2382=7,1,(IF(WEEKDAY(B2382)=1,2,IF(WEEKDAY(B2382)=7,1,0))))))</f>
        <v>3</v>
      </c>
      <c r="H2382" s="370">
        <v>13634.849731445313</v>
      </c>
      <c r="I2382" s="370">
        <v>4717.0800170898438</v>
      </c>
      <c r="M2382" s="371">
        <f t="shared" si="149"/>
        <v>14427.750035494884</v>
      </c>
      <c r="N2382" s="329">
        <f t="shared" si="150"/>
        <v>626.62509765625009</v>
      </c>
      <c r="T2382" s="331">
        <v>0</v>
      </c>
      <c r="U2382" s="328">
        <f>VLOOKUP(C2382,METADATA!$J$5:$Q$29,IF(E2382="HI",2,IF(E2382="LO",6,10))+IF(T2382=1,2,IF(D2382=7,1,(IF(WEEKDAY(B2382)=1,2,IF(WEEKDAY(B2382)=7,1,0))))))</f>
        <v>3</v>
      </c>
      <c r="V2382" s="328">
        <f>VLOOKUP(C2382,METADATA!$A$5:$H$29,IF(E2382="HI",2,IF(E2382="LO",6,10))+IF(T2382=1,2,IF(D2382=7,1,(IF(WEEKDAY(B2382)=1,2,IF(WEEKDAY(B2382)=7,1,0))))))</f>
        <v>3</v>
      </c>
    </row>
    <row r="2383" spans="2:22">
      <c r="B2383" s="318">
        <f t="shared" si="147"/>
        <v>46212</v>
      </c>
      <c r="C2383" s="312">
        <v>3</v>
      </c>
      <c r="D2383" s="368">
        <f>IFERROR((INDEX(METADATA!$T$2:$T$20,MATCH(B2383,METADATA!$S$2:$S$20,0))),0)</f>
        <v>0</v>
      </c>
      <c r="E2383" s="312" t="str">
        <f t="shared" si="148"/>
        <v>LO</v>
      </c>
      <c r="F2383" s="369">
        <f>VLOOKUP(C2383,METADATA!$A$5:$H$29,IF(E2383="HI",2,IF(E2383="LO",6,10))+IF(D2383=1,2,IF(D2383=7,1,(IF(WEEKDAY(B2383)=1,2,IF(WEEKDAY(B2383)=7,1,0))))))</f>
        <v>3</v>
      </c>
      <c r="G2383" s="369">
        <f>VLOOKUP(C2383,METADATA!$J$5:$Q$29,IF(E2383="HI",2,IF(E2383="LO",6,10))+IF(D2383=1,2,IF(D2383=7,1,(IF(WEEKDAY(B2383)=1,2,IF(WEEKDAY(B2383)=7,1,0))))))</f>
        <v>3</v>
      </c>
      <c r="H2383" s="370">
        <v>13582.500061035156</v>
      </c>
      <c r="I2383" s="370">
        <v>4695.6300354003906</v>
      </c>
      <c r="M2383" s="371">
        <f t="shared" si="149"/>
        <v>14371.264709042634</v>
      </c>
      <c r="N2383" s="329">
        <f t="shared" si="150"/>
        <v>620.88001708984393</v>
      </c>
      <c r="T2383" s="331">
        <v>0</v>
      </c>
      <c r="U2383" s="328">
        <f>VLOOKUP(C2383,METADATA!$J$5:$Q$29,IF(E2383="HI",2,IF(E2383="LO",6,10))+IF(T2383=1,2,IF(D2383=7,1,(IF(WEEKDAY(B2383)=1,2,IF(WEEKDAY(B2383)=7,1,0))))))</f>
        <v>3</v>
      </c>
      <c r="V2383" s="328">
        <f>VLOOKUP(C2383,METADATA!$A$5:$H$29,IF(E2383="HI",2,IF(E2383="LO",6,10))+IF(T2383=1,2,IF(D2383=7,1,(IF(WEEKDAY(B2383)=1,2,IF(WEEKDAY(B2383)=7,1,0))))))</f>
        <v>3</v>
      </c>
    </row>
    <row r="2384" spans="2:22">
      <c r="B2384" s="318">
        <f t="shared" si="147"/>
        <v>46212</v>
      </c>
      <c r="C2384" s="312">
        <v>4</v>
      </c>
      <c r="D2384" s="368">
        <f>IFERROR((INDEX(METADATA!$T$2:$T$20,MATCH(B2384,METADATA!$S$2:$S$20,0))),0)</f>
        <v>0</v>
      </c>
      <c r="E2384" s="312" t="str">
        <f t="shared" si="148"/>
        <v>LO</v>
      </c>
      <c r="F2384" s="369">
        <f>VLOOKUP(C2384,METADATA!$A$5:$H$29,IF(E2384="HI",2,IF(E2384="LO",6,10))+IF(D2384=1,2,IF(D2384=7,1,(IF(WEEKDAY(B2384)=1,2,IF(WEEKDAY(B2384)=7,1,0))))))</f>
        <v>3</v>
      </c>
      <c r="G2384" s="369">
        <f>VLOOKUP(C2384,METADATA!$J$5:$Q$29,IF(E2384="HI",2,IF(E2384="LO",6,10))+IF(D2384=1,2,IF(D2384=7,1,(IF(WEEKDAY(B2384)=1,2,IF(WEEKDAY(B2384)=7,1,0))))))</f>
        <v>3</v>
      </c>
      <c r="H2384" s="370">
        <v>13590.199829101563</v>
      </c>
      <c r="I2384" s="370">
        <v>4569.9600524902344</v>
      </c>
      <c r="M2384" s="371">
        <f t="shared" si="149"/>
        <v>14337.993802351453</v>
      </c>
      <c r="N2384" s="329">
        <f t="shared" si="150"/>
        <v>492.9001037597659</v>
      </c>
      <c r="T2384" s="331">
        <v>0</v>
      </c>
      <c r="U2384" s="328">
        <f>VLOOKUP(C2384,METADATA!$J$5:$Q$29,IF(E2384="HI",2,IF(E2384="LO",6,10))+IF(T2384=1,2,IF(D2384=7,1,(IF(WEEKDAY(B2384)=1,2,IF(WEEKDAY(B2384)=7,1,0))))))</f>
        <v>3</v>
      </c>
      <c r="V2384" s="328">
        <f>VLOOKUP(C2384,METADATA!$A$5:$H$29,IF(E2384="HI",2,IF(E2384="LO",6,10))+IF(T2384=1,2,IF(D2384=7,1,(IF(WEEKDAY(B2384)=1,2,IF(WEEKDAY(B2384)=7,1,0))))))</f>
        <v>3</v>
      </c>
    </row>
    <row r="2385" spans="2:22">
      <c r="B2385" s="318">
        <f t="shared" si="147"/>
        <v>46212</v>
      </c>
      <c r="C2385" s="312">
        <v>5</v>
      </c>
      <c r="D2385" s="368">
        <f>IFERROR((INDEX(METADATA!$T$2:$T$20,MATCH(B2385,METADATA!$S$2:$S$20,0))),0)</f>
        <v>0</v>
      </c>
      <c r="E2385" s="312" t="str">
        <f t="shared" si="148"/>
        <v>LO</v>
      </c>
      <c r="F2385" s="369">
        <f>VLOOKUP(C2385,METADATA!$A$5:$H$29,IF(E2385="HI",2,IF(E2385="LO",6,10))+IF(D2385=1,2,IF(D2385=7,1,(IF(WEEKDAY(B2385)=1,2,IF(WEEKDAY(B2385)=7,1,0))))))</f>
        <v>3</v>
      </c>
      <c r="G2385" s="369">
        <f>VLOOKUP(C2385,METADATA!$J$5:$Q$29,IF(E2385="HI",2,IF(E2385="LO",6,10))+IF(D2385=1,2,IF(D2385=7,1,(IF(WEEKDAY(B2385)=1,2,IF(WEEKDAY(B2385)=7,1,0))))))</f>
        <v>3</v>
      </c>
      <c r="H2385" s="370">
        <v>13609.974731445313</v>
      </c>
      <c r="I2385" s="370">
        <v>4530.3949890136719</v>
      </c>
      <c r="M2385" s="371">
        <f t="shared" si="149"/>
        <v>14344.193631817025</v>
      </c>
      <c r="N2385" s="329">
        <f t="shared" si="150"/>
        <v>447.40256958007831</v>
      </c>
      <c r="T2385" s="331">
        <v>0</v>
      </c>
      <c r="U2385" s="328">
        <f>VLOOKUP(C2385,METADATA!$J$5:$Q$29,IF(E2385="HI",2,IF(E2385="LO",6,10))+IF(T2385=1,2,IF(D2385=7,1,(IF(WEEKDAY(B2385)=1,2,IF(WEEKDAY(B2385)=7,1,0))))))</f>
        <v>3</v>
      </c>
      <c r="V2385" s="328">
        <f>VLOOKUP(C2385,METADATA!$A$5:$H$29,IF(E2385="HI",2,IF(E2385="LO",6,10))+IF(T2385=1,2,IF(D2385=7,1,(IF(WEEKDAY(B2385)=1,2,IF(WEEKDAY(B2385)=7,1,0))))))</f>
        <v>3</v>
      </c>
    </row>
    <row r="2386" spans="2:22">
      <c r="B2386" s="318">
        <f t="shared" si="147"/>
        <v>46212</v>
      </c>
      <c r="C2386" s="312">
        <v>6</v>
      </c>
      <c r="D2386" s="368">
        <f>IFERROR((INDEX(METADATA!$T$2:$T$20,MATCH(B2386,METADATA!$S$2:$S$20,0))),0)</f>
        <v>0</v>
      </c>
      <c r="E2386" s="312" t="str">
        <f t="shared" si="148"/>
        <v>LO</v>
      </c>
      <c r="F2386" s="369">
        <f>VLOOKUP(C2386,METADATA!$A$5:$H$29,IF(E2386="HI",2,IF(E2386="LO",6,10))+IF(D2386=1,2,IF(D2386=7,1,(IF(WEEKDAY(B2386)=1,2,IF(WEEKDAY(B2386)=7,1,0))))))</f>
        <v>2</v>
      </c>
      <c r="G2386" s="369">
        <f>VLOOKUP(C2386,METADATA!$J$5:$Q$29,IF(E2386="HI",2,IF(E2386="LO",6,10))+IF(D2386=1,2,IF(D2386=7,1,(IF(WEEKDAY(B2386)=1,2,IF(WEEKDAY(B2386)=7,1,0))))))</f>
        <v>2</v>
      </c>
      <c r="H2386" s="370">
        <v>13735.549621582031</v>
      </c>
      <c r="I2386" s="370">
        <v>4567.8300170898438</v>
      </c>
      <c r="M2386" s="371">
        <f t="shared" si="149"/>
        <v>14475.164747662435</v>
      </c>
      <c r="N2386" s="329">
        <f t="shared" si="150"/>
        <v>447.16513061523438</v>
      </c>
      <c r="T2386" s="331">
        <v>0</v>
      </c>
      <c r="U2386" s="328">
        <f>VLOOKUP(C2386,METADATA!$J$5:$Q$29,IF(E2386="HI",2,IF(E2386="LO",6,10))+IF(T2386=1,2,IF(D2386=7,1,(IF(WEEKDAY(B2386)=1,2,IF(WEEKDAY(B2386)=7,1,0))))))</f>
        <v>2</v>
      </c>
      <c r="V2386" s="328">
        <f>VLOOKUP(C2386,METADATA!$A$5:$H$29,IF(E2386="HI",2,IF(E2386="LO",6,10))+IF(T2386=1,2,IF(D2386=7,1,(IF(WEEKDAY(B2386)=1,2,IF(WEEKDAY(B2386)=7,1,0))))))</f>
        <v>2</v>
      </c>
    </row>
    <row r="2387" spans="2:22">
      <c r="B2387" s="318">
        <f t="shared" si="147"/>
        <v>46212</v>
      </c>
      <c r="C2387" s="312">
        <v>7</v>
      </c>
      <c r="D2387" s="368">
        <f>IFERROR((INDEX(METADATA!$T$2:$T$20,MATCH(B2387,METADATA!$S$2:$S$20,0))),0)</f>
        <v>0</v>
      </c>
      <c r="E2387" s="312" t="str">
        <f t="shared" si="148"/>
        <v>LO</v>
      </c>
      <c r="F2387" s="369">
        <f>VLOOKUP(C2387,METADATA!$A$5:$H$29,IF(E2387="HI",2,IF(E2387="LO",6,10))+IF(D2387=1,2,IF(D2387=7,1,(IF(WEEKDAY(B2387)=1,2,IF(WEEKDAY(B2387)=7,1,0))))))</f>
        <v>1</v>
      </c>
      <c r="G2387" s="369">
        <f>VLOOKUP(C2387,METADATA!$J$5:$Q$29,IF(E2387="HI",2,IF(E2387="LO",6,10))+IF(D2387=1,2,IF(D2387=7,1,(IF(WEEKDAY(B2387)=1,2,IF(WEEKDAY(B2387)=7,1,0))))))</f>
        <v>1</v>
      </c>
      <c r="H2387" s="370">
        <v>13660.349670410156</v>
      </c>
      <c r="I2387" s="370">
        <v>4557.4650573730469</v>
      </c>
      <c r="M2387" s="371">
        <f t="shared" si="149"/>
        <v>14400.543075420843</v>
      </c>
      <c r="N2387" s="329">
        <f t="shared" si="150"/>
        <v>459.36015624999982</v>
      </c>
      <c r="T2387" s="331">
        <v>0</v>
      </c>
      <c r="U2387" s="328">
        <f>VLOOKUP(C2387,METADATA!$J$5:$Q$29,IF(E2387="HI",2,IF(E2387="LO",6,10))+IF(T2387=1,2,IF(D2387=7,1,(IF(WEEKDAY(B2387)=1,2,IF(WEEKDAY(B2387)=7,1,0))))))</f>
        <v>1</v>
      </c>
      <c r="V2387" s="328">
        <f>VLOOKUP(C2387,METADATA!$A$5:$H$29,IF(E2387="HI",2,IF(E2387="LO",6,10))+IF(T2387=1,2,IF(D2387=7,1,(IF(WEEKDAY(B2387)=1,2,IF(WEEKDAY(B2387)=7,1,0))))))</f>
        <v>1</v>
      </c>
    </row>
    <row r="2388" spans="2:22">
      <c r="B2388" s="318">
        <f t="shared" si="147"/>
        <v>46212</v>
      </c>
      <c r="C2388" s="312">
        <v>8</v>
      </c>
      <c r="D2388" s="368">
        <f>IFERROR((INDEX(METADATA!$T$2:$T$20,MATCH(B2388,METADATA!$S$2:$S$20,0))),0)</f>
        <v>0</v>
      </c>
      <c r="E2388" s="312" t="str">
        <f t="shared" si="148"/>
        <v>LO</v>
      </c>
      <c r="F2388" s="369">
        <f>VLOOKUP(C2388,METADATA!$A$5:$H$29,IF(E2388="HI",2,IF(E2388="LO",6,10))+IF(D2388=1,2,IF(D2388=7,1,(IF(WEEKDAY(B2388)=1,2,IF(WEEKDAY(B2388)=7,1,0))))))</f>
        <v>1</v>
      </c>
      <c r="G2388" s="369">
        <f>VLOOKUP(C2388,METADATA!$J$5:$Q$29,IF(E2388="HI",2,IF(E2388="LO",6,10))+IF(D2388=1,2,IF(D2388=7,1,(IF(WEEKDAY(B2388)=1,2,IF(WEEKDAY(B2388)=7,1,0))))))</f>
        <v>1</v>
      </c>
      <c r="H2388" s="370">
        <v>12504.349853515625</v>
      </c>
      <c r="I2388" s="370">
        <v>3569.0751495361328</v>
      </c>
      <c r="M2388" s="371">
        <f t="shared" si="149"/>
        <v>13003.732644212299</v>
      </c>
      <c r="N2388" s="329">
        <f t="shared" si="150"/>
        <v>0</v>
      </c>
      <c r="T2388" s="331">
        <v>0</v>
      </c>
      <c r="U2388" s="328">
        <f>VLOOKUP(C2388,METADATA!$J$5:$Q$29,IF(E2388="HI",2,IF(E2388="LO",6,10))+IF(T2388=1,2,IF(D2388=7,1,(IF(WEEKDAY(B2388)=1,2,IF(WEEKDAY(B2388)=7,1,0))))))</f>
        <v>1</v>
      </c>
      <c r="V2388" s="328">
        <f>VLOOKUP(C2388,METADATA!$A$5:$H$29,IF(E2388="HI",2,IF(E2388="LO",6,10))+IF(T2388=1,2,IF(D2388=7,1,(IF(WEEKDAY(B2388)=1,2,IF(WEEKDAY(B2388)=7,1,0))))))</f>
        <v>1</v>
      </c>
    </row>
    <row r="2389" spans="2:22">
      <c r="B2389" s="318">
        <f t="shared" si="147"/>
        <v>46212</v>
      </c>
      <c r="C2389" s="312">
        <v>9</v>
      </c>
      <c r="D2389" s="368">
        <f>IFERROR((INDEX(METADATA!$T$2:$T$20,MATCH(B2389,METADATA!$S$2:$S$20,0))),0)</f>
        <v>0</v>
      </c>
      <c r="E2389" s="312" t="str">
        <f t="shared" si="148"/>
        <v>LO</v>
      </c>
      <c r="F2389" s="369">
        <f>VLOOKUP(C2389,METADATA!$A$5:$H$29,IF(E2389="HI",2,IF(E2389="LO",6,10))+IF(D2389=1,2,IF(D2389=7,1,(IF(WEEKDAY(B2389)=1,2,IF(WEEKDAY(B2389)=7,1,0))))))</f>
        <v>2</v>
      </c>
      <c r="G2389" s="369">
        <f>VLOOKUP(C2389,METADATA!$J$5:$Q$29,IF(E2389="HI",2,IF(E2389="LO",6,10))+IF(D2389=1,2,IF(D2389=7,1,(IF(WEEKDAY(B2389)=1,2,IF(WEEKDAY(B2389)=7,1,0))))))</f>
        <v>2</v>
      </c>
      <c r="H2389" s="370">
        <v>13732.750244140625</v>
      </c>
      <c r="I2389" s="370">
        <v>4668.5400085449219</v>
      </c>
      <c r="M2389" s="371">
        <f t="shared" si="149"/>
        <v>14504.609442495479</v>
      </c>
      <c r="N2389" s="329">
        <f t="shared" si="150"/>
        <v>548.71493530273438</v>
      </c>
      <c r="T2389" s="331">
        <v>0</v>
      </c>
      <c r="U2389" s="328">
        <f>VLOOKUP(C2389,METADATA!$J$5:$Q$29,IF(E2389="HI",2,IF(E2389="LO",6,10))+IF(T2389=1,2,IF(D2389=7,1,(IF(WEEKDAY(B2389)=1,2,IF(WEEKDAY(B2389)=7,1,0))))))</f>
        <v>2</v>
      </c>
      <c r="V2389" s="328">
        <f>VLOOKUP(C2389,METADATA!$A$5:$H$29,IF(E2389="HI",2,IF(E2389="LO",6,10))+IF(T2389=1,2,IF(D2389=7,1,(IF(WEEKDAY(B2389)=1,2,IF(WEEKDAY(B2389)=7,1,0))))))</f>
        <v>2</v>
      </c>
    </row>
    <row r="2390" spans="2:22">
      <c r="B2390" s="318">
        <f t="shared" si="147"/>
        <v>46212</v>
      </c>
      <c r="C2390" s="312">
        <v>10</v>
      </c>
      <c r="D2390" s="368">
        <f>IFERROR((INDEX(METADATA!$T$2:$T$20,MATCH(B2390,METADATA!$S$2:$S$20,0))),0)</f>
        <v>0</v>
      </c>
      <c r="E2390" s="312" t="str">
        <f t="shared" si="148"/>
        <v>LO</v>
      </c>
      <c r="F2390" s="369">
        <f>VLOOKUP(C2390,METADATA!$A$5:$H$29,IF(E2390="HI",2,IF(E2390="LO",6,10))+IF(D2390=1,2,IF(D2390=7,1,(IF(WEEKDAY(B2390)=1,2,IF(WEEKDAY(B2390)=7,1,0))))))</f>
        <v>2</v>
      </c>
      <c r="G2390" s="369">
        <f>VLOOKUP(C2390,METADATA!$J$5:$Q$29,IF(E2390="HI",2,IF(E2390="LO",6,10))+IF(D2390=1,2,IF(D2390=7,1,(IF(WEEKDAY(B2390)=1,2,IF(WEEKDAY(B2390)=7,1,0))))))</f>
        <v>2</v>
      </c>
      <c r="H2390" s="370">
        <v>13547.874938964844</v>
      </c>
      <c r="I2390" s="370">
        <v>4581.8350524902344</v>
      </c>
      <c r="M2390" s="371">
        <f t="shared" si="149"/>
        <v>14301.682691559754</v>
      </c>
      <c r="N2390" s="329">
        <f t="shared" si="150"/>
        <v>517.47257080078134</v>
      </c>
      <c r="T2390" s="331">
        <v>0</v>
      </c>
      <c r="U2390" s="328">
        <f>VLOOKUP(C2390,METADATA!$J$5:$Q$29,IF(E2390="HI",2,IF(E2390="LO",6,10))+IF(T2390=1,2,IF(D2390=7,1,(IF(WEEKDAY(B2390)=1,2,IF(WEEKDAY(B2390)=7,1,0))))))</f>
        <v>2</v>
      </c>
      <c r="V2390" s="328">
        <f>VLOOKUP(C2390,METADATA!$A$5:$H$29,IF(E2390="HI",2,IF(E2390="LO",6,10))+IF(T2390=1,2,IF(D2390=7,1,(IF(WEEKDAY(B2390)=1,2,IF(WEEKDAY(B2390)=7,1,0))))))</f>
        <v>2</v>
      </c>
    </row>
    <row r="2391" spans="2:22">
      <c r="B2391" s="318">
        <f t="shared" si="147"/>
        <v>46212</v>
      </c>
      <c r="C2391" s="312">
        <v>11</v>
      </c>
      <c r="D2391" s="368">
        <f>IFERROR((INDEX(METADATA!$T$2:$T$20,MATCH(B2391,METADATA!$S$2:$S$20,0))),0)</f>
        <v>0</v>
      </c>
      <c r="E2391" s="312" t="str">
        <f t="shared" si="148"/>
        <v>LO</v>
      </c>
      <c r="F2391" s="369">
        <f>VLOOKUP(C2391,METADATA!$A$5:$H$29,IF(E2391="HI",2,IF(E2391="LO",6,10))+IF(D2391=1,2,IF(D2391=7,1,(IF(WEEKDAY(B2391)=1,2,IF(WEEKDAY(B2391)=7,1,0))))))</f>
        <v>2</v>
      </c>
      <c r="G2391" s="369">
        <f>VLOOKUP(C2391,METADATA!$J$5:$Q$29,IF(E2391="HI",2,IF(E2391="LO",6,10))+IF(D2391=1,2,IF(D2391=7,1,(IF(WEEKDAY(B2391)=1,2,IF(WEEKDAY(B2391)=7,1,0))))))</f>
        <v>2</v>
      </c>
      <c r="H2391" s="370">
        <v>13456.124816894531</v>
      </c>
      <c r="I2391" s="370">
        <v>4539.4400329589844</v>
      </c>
      <c r="M2391" s="371">
        <f t="shared" si="149"/>
        <v>14201.190474769202</v>
      </c>
      <c r="N2391" s="329">
        <f t="shared" si="150"/>
        <v>502.60258789062527</v>
      </c>
      <c r="T2391" s="331">
        <v>0</v>
      </c>
      <c r="U2391" s="328">
        <f>VLOOKUP(C2391,METADATA!$J$5:$Q$29,IF(E2391="HI",2,IF(E2391="LO",6,10))+IF(T2391=1,2,IF(D2391=7,1,(IF(WEEKDAY(B2391)=1,2,IF(WEEKDAY(B2391)=7,1,0))))))</f>
        <v>2</v>
      </c>
      <c r="V2391" s="328">
        <f>VLOOKUP(C2391,METADATA!$A$5:$H$29,IF(E2391="HI",2,IF(E2391="LO",6,10))+IF(T2391=1,2,IF(D2391=7,1,(IF(WEEKDAY(B2391)=1,2,IF(WEEKDAY(B2391)=7,1,0))))))</f>
        <v>2</v>
      </c>
    </row>
    <row r="2392" spans="2:22">
      <c r="B2392" s="318">
        <f t="shared" si="147"/>
        <v>46212</v>
      </c>
      <c r="C2392" s="312">
        <v>12</v>
      </c>
      <c r="D2392" s="368">
        <f>IFERROR((INDEX(METADATA!$T$2:$T$20,MATCH(B2392,METADATA!$S$2:$S$20,0))),0)</f>
        <v>0</v>
      </c>
      <c r="E2392" s="312" t="str">
        <f t="shared" si="148"/>
        <v>LO</v>
      </c>
      <c r="F2392" s="369">
        <f>VLOOKUP(C2392,METADATA!$A$5:$H$29,IF(E2392="HI",2,IF(E2392="LO",6,10))+IF(D2392=1,2,IF(D2392=7,1,(IF(WEEKDAY(B2392)=1,2,IF(WEEKDAY(B2392)=7,1,0))))))</f>
        <v>2</v>
      </c>
      <c r="G2392" s="369">
        <f>VLOOKUP(C2392,METADATA!$J$5:$Q$29,IF(E2392="HI",2,IF(E2392="LO",6,10))+IF(D2392=1,2,IF(D2392=7,1,(IF(WEEKDAY(B2392)=1,2,IF(WEEKDAY(B2392)=7,1,0))))))</f>
        <v>2</v>
      </c>
      <c r="H2392" s="370">
        <v>13019.774780273438</v>
      </c>
      <c r="I2392" s="370">
        <v>4366.8099365234375</v>
      </c>
      <c r="M2392" s="371">
        <f t="shared" si="149"/>
        <v>13732.573114706654</v>
      </c>
      <c r="N2392" s="329">
        <f t="shared" si="150"/>
        <v>460.87750244140625</v>
      </c>
      <c r="T2392" s="331">
        <v>0</v>
      </c>
      <c r="U2392" s="328">
        <f>VLOOKUP(C2392,METADATA!$J$5:$Q$29,IF(E2392="HI",2,IF(E2392="LO",6,10))+IF(T2392=1,2,IF(D2392=7,1,(IF(WEEKDAY(B2392)=1,2,IF(WEEKDAY(B2392)=7,1,0))))))</f>
        <v>2</v>
      </c>
      <c r="V2392" s="328">
        <f>VLOOKUP(C2392,METADATA!$A$5:$H$29,IF(E2392="HI",2,IF(E2392="LO",6,10))+IF(T2392=1,2,IF(D2392=7,1,(IF(WEEKDAY(B2392)=1,2,IF(WEEKDAY(B2392)=7,1,0))))))</f>
        <v>2</v>
      </c>
    </row>
    <row r="2393" spans="2:22">
      <c r="B2393" s="318">
        <f t="shared" si="147"/>
        <v>46212</v>
      </c>
      <c r="C2393" s="312">
        <v>13</v>
      </c>
      <c r="D2393" s="368">
        <f>IFERROR((INDEX(METADATA!$T$2:$T$20,MATCH(B2393,METADATA!$S$2:$S$20,0))),0)</f>
        <v>0</v>
      </c>
      <c r="E2393" s="312" t="str">
        <f t="shared" si="148"/>
        <v>LO</v>
      </c>
      <c r="F2393" s="369">
        <f>VLOOKUP(C2393,METADATA!$A$5:$H$29,IF(E2393="HI",2,IF(E2393="LO",6,10))+IF(D2393=1,2,IF(D2393=7,1,(IF(WEEKDAY(B2393)=1,2,IF(WEEKDAY(B2393)=7,1,0))))))</f>
        <v>2</v>
      </c>
      <c r="G2393" s="369">
        <f>VLOOKUP(C2393,METADATA!$J$5:$Q$29,IF(E2393="HI",2,IF(E2393="LO",6,10))+IF(D2393=1,2,IF(D2393=7,1,(IF(WEEKDAY(B2393)=1,2,IF(WEEKDAY(B2393)=7,1,0))))))</f>
        <v>2</v>
      </c>
      <c r="H2393" s="370">
        <v>12398.800109863281</v>
      </c>
      <c r="I2393" s="370">
        <v>4112.0475463867188</v>
      </c>
      <c r="M2393" s="371">
        <f t="shared" si="149"/>
        <v>13062.893216592209</v>
      </c>
      <c r="N2393" s="329">
        <f t="shared" si="150"/>
        <v>392.40751342773456</v>
      </c>
      <c r="T2393" s="331">
        <v>0</v>
      </c>
      <c r="U2393" s="328">
        <f>VLOOKUP(C2393,METADATA!$J$5:$Q$29,IF(E2393="HI",2,IF(E2393="LO",6,10))+IF(T2393=1,2,IF(D2393=7,1,(IF(WEEKDAY(B2393)=1,2,IF(WEEKDAY(B2393)=7,1,0))))))</f>
        <v>2</v>
      </c>
      <c r="V2393" s="328">
        <f>VLOOKUP(C2393,METADATA!$A$5:$H$29,IF(E2393="HI",2,IF(E2393="LO",6,10))+IF(T2393=1,2,IF(D2393=7,1,(IF(WEEKDAY(B2393)=1,2,IF(WEEKDAY(B2393)=7,1,0))))))</f>
        <v>2</v>
      </c>
    </row>
    <row r="2394" spans="2:22">
      <c r="B2394" s="318">
        <f t="shared" si="147"/>
        <v>46212</v>
      </c>
      <c r="C2394" s="312">
        <v>14</v>
      </c>
      <c r="D2394" s="368">
        <f>IFERROR((INDEX(METADATA!$T$2:$T$20,MATCH(B2394,METADATA!$S$2:$S$20,0))),0)</f>
        <v>0</v>
      </c>
      <c r="E2394" s="312" t="str">
        <f t="shared" si="148"/>
        <v>LO</v>
      </c>
      <c r="F2394" s="369">
        <f>VLOOKUP(C2394,METADATA!$A$5:$H$29,IF(E2394="HI",2,IF(E2394="LO",6,10))+IF(D2394=1,2,IF(D2394=7,1,(IF(WEEKDAY(B2394)=1,2,IF(WEEKDAY(B2394)=7,1,0))))))</f>
        <v>2</v>
      </c>
      <c r="G2394" s="369">
        <f>VLOOKUP(C2394,METADATA!$J$5:$Q$29,IF(E2394="HI",2,IF(E2394="LO",6,10))+IF(D2394=1,2,IF(D2394=7,1,(IF(WEEKDAY(B2394)=1,2,IF(WEEKDAY(B2394)=7,1,0))))))</f>
        <v>2</v>
      </c>
      <c r="H2394" s="370">
        <v>13711.550048828125</v>
      </c>
      <c r="I2394" s="370">
        <v>4945.7000732421875</v>
      </c>
      <c r="M2394" s="371">
        <f t="shared" si="149"/>
        <v>14576.232502124351</v>
      </c>
      <c r="N2394" s="329">
        <f t="shared" si="150"/>
        <v>832.23505859375018</v>
      </c>
      <c r="T2394" s="331">
        <v>0</v>
      </c>
      <c r="U2394" s="328">
        <f>VLOOKUP(C2394,METADATA!$J$5:$Q$29,IF(E2394="HI",2,IF(E2394="LO",6,10))+IF(T2394=1,2,IF(D2394=7,1,(IF(WEEKDAY(B2394)=1,2,IF(WEEKDAY(B2394)=7,1,0))))))</f>
        <v>2</v>
      </c>
      <c r="V2394" s="328">
        <f>VLOOKUP(C2394,METADATA!$A$5:$H$29,IF(E2394="HI",2,IF(E2394="LO",6,10))+IF(T2394=1,2,IF(D2394=7,1,(IF(WEEKDAY(B2394)=1,2,IF(WEEKDAY(B2394)=7,1,0))))))</f>
        <v>2</v>
      </c>
    </row>
    <row r="2395" spans="2:22">
      <c r="B2395" s="318">
        <f t="shared" si="147"/>
        <v>46212</v>
      </c>
      <c r="C2395" s="312">
        <v>15</v>
      </c>
      <c r="D2395" s="368">
        <f>IFERROR((INDEX(METADATA!$T$2:$T$20,MATCH(B2395,METADATA!$S$2:$S$20,0))),0)</f>
        <v>0</v>
      </c>
      <c r="E2395" s="312" t="str">
        <f t="shared" si="148"/>
        <v>LO</v>
      </c>
      <c r="F2395" s="369">
        <f>VLOOKUP(C2395,METADATA!$A$5:$H$29,IF(E2395="HI",2,IF(E2395="LO",6,10))+IF(D2395=1,2,IF(D2395=7,1,(IF(WEEKDAY(B2395)=1,2,IF(WEEKDAY(B2395)=7,1,0))))))</f>
        <v>2</v>
      </c>
      <c r="G2395" s="369">
        <f>VLOOKUP(C2395,METADATA!$J$5:$Q$29,IF(E2395="HI",2,IF(E2395="LO",6,10))+IF(D2395=1,2,IF(D2395=7,1,(IF(WEEKDAY(B2395)=1,2,IF(WEEKDAY(B2395)=7,1,0))))))</f>
        <v>2</v>
      </c>
      <c r="H2395" s="370">
        <v>13673.749633789063</v>
      </c>
      <c r="I2395" s="370">
        <v>4913.6750793457031</v>
      </c>
      <c r="M2395" s="371">
        <f t="shared" si="149"/>
        <v>14529.81871300979</v>
      </c>
      <c r="N2395" s="329">
        <f t="shared" si="150"/>
        <v>811.55018920898419</v>
      </c>
      <c r="T2395" s="331">
        <v>0</v>
      </c>
      <c r="U2395" s="328">
        <f>VLOOKUP(C2395,METADATA!$J$5:$Q$29,IF(E2395="HI",2,IF(E2395="LO",6,10))+IF(T2395=1,2,IF(D2395=7,1,(IF(WEEKDAY(B2395)=1,2,IF(WEEKDAY(B2395)=7,1,0))))))</f>
        <v>2</v>
      </c>
      <c r="V2395" s="328">
        <f>VLOOKUP(C2395,METADATA!$A$5:$H$29,IF(E2395="HI",2,IF(E2395="LO",6,10))+IF(T2395=1,2,IF(D2395=7,1,(IF(WEEKDAY(B2395)=1,2,IF(WEEKDAY(B2395)=7,1,0))))))</f>
        <v>2</v>
      </c>
    </row>
    <row r="2396" spans="2:22">
      <c r="B2396" s="318">
        <f t="shared" ref="B2396:B2459" si="151">B2372+1</f>
        <v>46212</v>
      </c>
      <c r="C2396" s="312">
        <v>16</v>
      </c>
      <c r="D2396" s="368">
        <f>IFERROR((INDEX(METADATA!$T$2:$T$20,MATCH(B2396,METADATA!$S$2:$S$20,0))),0)</f>
        <v>0</v>
      </c>
      <c r="E2396" s="312" t="str">
        <f t="shared" si="148"/>
        <v>LO</v>
      </c>
      <c r="F2396" s="369">
        <f>VLOOKUP(C2396,METADATA!$A$5:$H$29,IF(E2396="HI",2,IF(E2396="LO",6,10))+IF(D2396=1,2,IF(D2396=7,1,(IF(WEEKDAY(B2396)=1,2,IF(WEEKDAY(B2396)=7,1,0))))))</f>
        <v>2</v>
      </c>
      <c r="G2396" s="369">
        <f>VLOOKUP(C2396,METADATA!$J$5:$Q$29,IF(E2396="HI",2,IF(E2396="LO",6,10))+IF(D2396=1,2,IF(D2396=7,1,(IF(WEEKDAY(B2396)=1,2,IF(WEEKDAY(B2396)=7,1,0))))))</f>
        <v>2</v>
      </c>
      <c r="H2396" s="370">
        <v>13800.599365234375</v>
      </c>
      <c r="I2396" s="370">
        <v>4962.3499755859375</v>
      </c>
      <c r="M2396" s="371">
        <f t="shared" si="149"/>
        <v>14665.655802585345</v>
      </c>
      <c r="N2396" s="329">
        <f t="shared" si="150"/>
        <v>822.170166015625</v>
      </c>
      <c r="T2396" s="331">
        <v>0</v>
      </c>
      <c r="U2396" s="328">
        <f>VLOOKUP(C2396,METADATA!$J$5:$Q$29,IF(E2396="HI",2,IF(E2396="LO",6,10))+IF(T2396=1,2,IF(D2396=7,1,(IF(WEEKDAY(B2396)=1,2,IF(WEEKDAY(B2396)=7,1,0))))))</f>
        <v>2</v>
      </c>
      <c r="V2396" s="328">
        <f>VLOOKUP(C2396,METADATA!$A$5:$H$29,IF(E2396="HI",2,IF(E2396="LO",6,10))+IF(T2396=1,2,IF(D2396=7,1,(IF(WEEKDAY(B2396)=1,2,IF(WEEKDAY(B2396)=7,1,0))))))</f>
        <v>2</v>
      </c>
    </row>
    <row r="2397" spans="2:22">
      <c r="B2397" s="318">
        <f t="shared" si="151"/>
        <v>46212</v>
      </c>
      <c r="C2397" s="312">
        <v>17</v>
      </c>
      <c r="D2397" s="368">
        <f>IFERROR((INDEX(METADATA!$T$2:$T$20,MATCH(B2397,METADATA!$S$2:$S$20,0))),0)</f>
        <v>0</v>
      </c>
      <c r="E2397" s="312" t="str">
        <f t="shared" si="148"/>
        <v>LO</v>
      </c>
      <c r="F2397" s="369">
        <f>VLOOKUP(C2397,METADATA!$A$5:$H$29,IF(E2397="HI",2,IF(E2397="LO",6,10))+IF(D2397=1,2,IF(D2397=7,1,(IF(WEEKDAY(B2397)=1,2,IF(WEEKDAY(B2397)=7,1,0))))))</f>
        <v>2</v>
      </c>
      <c r="G2397" s="369">
        <f>VLOOKUP(C2397,METADATA!$J$5:$Q$29,IF(E2397="HI",2,IF(E2397="LO",6,10))+IF(D2397=1,2,IF(D2397=7,1,(IF(WEEKDAY(B2397)=1,2,IF(WEEKDAY(B2397)=7,1,0))))))</f>
        <v>2</v>
      </c>
      <c r="H2397" s="370">
        <v>13932.2001953125</v>
      </c>
      <c r="I2397" s="370">
        <v>4951.0499877929688</v>
      </c>
      <c r="M2397" s="371">
        <f t="shared" si="149"/>
        <v>14785.773509150287</v>
      </c>
      <c r="N2397" s="329">
        <f t="shared" si="150"/>
        <v>771.3899291992193</v>
      </c>
      <c r="T2397" s="331">
        <v>0</v>
      </c>
      <c r="U2397" s="328">
        <f>VLOOKUP(C2397,METADATA!$J$5:$Q$29,IF(E2397="HI",2,IF(E2397="LO",6,10))+IF(T2397=1,2,IF(D2397=7,1,(IF(WEEKDAY(B2397)=1,2,IF(WEEKDAY(B2397)=7,1,0))))))</f>
        <v>2</v>
      </c>
      <c r="V2397" s="328">
        <f>VLOOKUP(C2397,METADATA!$A$5:$H$29,IF(E2397="HI",2,IF(E2397="LO",6,10))+IF(T2397=1,2,IF(D2397=7,1,(IF(WEEKDAY(B2397)=1,2,IF(WEEKDAY(B2397)=7,1,0))))))</f>
        <v>2</v>
      </c>
    </row>
    <row r="2398" spans="2:22">
      <c r="B2398" s="318">
        <f t="shared" si="151"/>
        <v>46212</v>
      </c>
      <c r="C2398" s="312">
        <v>18</v>
      </c>
      <c r="D2398" s="368">
        <f>IFERROR((INDEX(METADATA!$T$2:$T$20,MATCH(B2398,METADATA!$S$2:$S$20,0))),0)</f>
        <v>0</v>
      </c>
      <c r="E2398" s="312" t="str">
        <f t="shared" si="148"/>
        <v>LO</v>
      </c>
      <c r="F2398" s="369">
        <f>VLOOKUP(C2398,METADATA!$A$5:$H$29,IF(E2398="HI",2,IF(E2398="LO",6,10))+IF(D2398=1,2,IF(D2398=7,1,(IF(WEEKDAY(B2398)=1,2,IF(WEEKDAY(B2398)=7,1,0))))))</f>
        <v>1</v>
      </c>
      <c r="G2398" s="369">
        <f>VLOOKUP(C2398,METADATA!$J$5:$Q$29,IF(E2398="HI",2,IF(E2398="LO",6,10))+IF(D2398=1,2,IF(D2398=7,1,(IF(WEEKDAY(B2398)=1,2,IF(WEEKDAY(B2398)=7,1,0))))))</f>
        <v>1</v>
      </c>
      <c r="H2398" s="370">
        <v>13930.125</v>
      </c>
      <c r="I2398" s="370">
        <v>4787.1650085449219</v>
      </c>
      <c r="M2398" s="371">
        <f t="shared" si="149"/>
        <v>14729.743084475775</v>
      </c>
      <c r="N2398" s="329">
        <f t="shared" si="150"/>
        <v>608.12750854492242</v>
      </c>
      <c r="T2398" s="331">
        <v>0</v>
      </c>
      <c r="U2398" s="328">
        <f>VLOOKUP(C2398,METADATA!$J$5:$Q$29,IF(E2398="HI",2,IF(E2398="LO",6,10))+IF(T2398=1,2,IF(D2398=7,1,(IF(WEEKDAY(B2398)=1,2,IF(WEEKDAY(B2398)=7,1,0))))))</f>
        <v>1</v>
      </c>
      <c r="V2398" s="328">
        <f>VLOOKUP(C2398,METADATA!$A$5:$H$29,IF(E2398="HI",2,IF(E2398="LO",6,10))+IF(T2398=1,2,IF(D2398=7,1,(IF(WEEKDAY(B2398)=1,2,IF(WEEKDAY(B2398)=7,1,0))))))</f>
        <v>1</v>
      </c>
    </row>
    <row r="2399" spans="2:22">
      <c r="B2399" s="318">
        <f t="shared" si="151"/>
        <v>46212</v>
      </c>
      <c r="C2399" s="312">
        <v>19</v>
      </c>
      <c r="D2399" s="368">
        <f>IFERROR((INDEX(METADATA!$T$2:$T$20,MATCH(B2399,METADATA!$S$2:$S$20,0))),0)</f>
        <v>0</v>
      </c>
      <c r="E2399" s="312" t="str">
        <f t="shared" si="148"/>
        <v>LO</v>
      </c>
      <c r="F2399" s="369">
        <f>VLOOKUP(C2399,METADATA!$A$5:$H$29,IF(E2399="HI",2,IF(E2399="LO",6,10))+IF(D2399=1,2,IF(D2399=7,1,(IF(WEEKDAY(B2399)=1,2,IF(WEEKDAY(B2399)=7,1,0))))))</f>
        <v>1</v>
      </c>
      <c r="G2399" s="369">
        <f>VLOOKUP(C2399,METADATA!$J$5:$Q$29,IF(E2399="HI",2,IF(E2399="LO",6,10))+IF(D2399=1,2,IF(D2399=7,1,(IF(WEEKDAY(B2399)=1,2,IF(WEEKDAY(B2399)=7,1,0))))))</f>
        <v>1</v>
      </c>
      <c r="H2399" s="370">
        <v>13882.500122070313</v>
      </c>
      <c r="I2399" s="370">
        <v>4785.3551025390625</v>
      </c>
      <c r="M2399" s="371">
        <f t="shared" si="149"/>
        <v>14684.121802024078</v>
      </c>
      <c r="N2399" s="329">
        <f t="shared" si="150"/>
        <v>620.60506591796911</v>
      </c>
      <c r="T2399" s="331">
        <v>0</v>
      </c>
      <c r="U2399" s="328">
        <f>VLOOKUP(C2399,METADATA!$J$5:$Q$29,IF(E2399="HI",2,IF(E2399="LO",6,10))+IF(T2399=1,2,IF(D2399=7,1,(IF(WEEKDAY(B2399)=1,2,IF(WEEKDAY(B2399)=7,1,0))))))</f>
        <v>1</v>
      </c>
      <c r="V2399" s="328">
        <f>VLOOKUP(C2399,METADATA!$A$5:$H$29,IF(E2399="HI",2,IF(E2399="LO",6,10))+IF(T2399=1,2,IF(D2399=7,1,(IF(WEEKDAY(B2399)=1,2,IF(WEEKDAY(B2399)=7,1,0))))))</f>
        <v>1</v>
      </c>
    </row>
    <row r="2400" spans="2:22">
      <c r="B2400" s="318">
        <f t="shared" si="151"/>
        <v>46212</v>
      </c>
      <c r="C2400" s="312">
        <v>20</v>
      </c>
      <c r="D2400" s="368">
        <f>IFERROR((INDEX(METADATA!$T$2:$T$20,MATCH(B2400,METADATA!$S$2:$S$20,0))),0)</f>
        <v>0</v>
      </c>
      <c r="E2400" s="312" t="str">
        <f t="shared" si="148"/>
        <v>LO</v>
      </c>
      <c r="F2400" s="369">
        <f>VLOOKUP(C2400,METADATA!$A$5:$H$29,IF(E2400="HI",2,IF(E2400="LO",6,10))+IF(D2400=1,2,IF(D2400=7,1,(IF(WEEKDAY(B2400)=1,2,IF(WEEKDAY(B2400)=7,1,0))))))</f>
        <v>1</v>
      </c>
      <c r="G2400" s="369">
        <f>VLOOKUP(C2400,METADATA!$J$5:$Q$29,IF(E2400="HI",2,IF(E2400="LO",6,10))+IF(D2400=1,2,IF(D2400=7,1,(IF(WEEKDAY(B2400)=1,2,IF(WEEKDAY(B2400)=7,1,0))))))</f>
        <v>1</v>
      </c>
      <c r="H2400" s="370">
        <v>13812.174682617188</v>
      </c>
      <c r="I2400" s="370">
        <v>4715.3099670410156</v>
      </c>
      <c r="M2400" s="371">
        <f t="shared" si="149"/>
        <v>14594.872988430134</v>
      </c>
      <c r="N2400" s="329">
        <f t="shared" si="150"/>
        <v>571.65756225585938</v>
      </c>
      <c r="T2400" s="331">
        <v>0</v>
      </c>
      <c r="U2400" s="328">
        <f>VLOOKUP(C2400,METADATA!$J$5:$Q$29,IF(E2400="HI",2,IF(E2400="LO",6,10))+IF(T2400=1,2,IF(D2400=7,1,(IF(WEEKDAY(B2400)=1,2,IF(WEEKDAY(B2400)=7,1,0))))))</f>
        <v>1</v>
      </c>
      <c r="V2400" s="328">
        <f>VLOOKUP(C2400,METADATA!$A$5:$H$29,IF(E2400="HI",2,IF(E2400="LO",6,10))+IF(T2400=1,2,IF(D2400=7,1,(IF(WEEKDAY(B2400)=1,2,IF(WEEKDAY(B2400)=7,1,0))))))</f>
        <v>1</v>
      </c>
    </row>
    <row r="2401" spans="2:22">
      <c r="B2401" s="318">
        <f t="shared" si="151"/>
        <v>46212</v>
      </c>
      <c r="C2401" s="312">
        <v>21</v>
      </c>
      <c r="D2401" s="368">
        <f>IFERROR((INDEX(METADATA!$T$2:$T$20,MATCH(B2401,METADATA!$S$2:$S$20,0))),0)</f>
        <v>0</v>
      </c>
      <c r="E2401" s="312" t="str">
        <f t="shared" si="148"/>
        <v>LO</v>
      </c>
      <c r="F2401" s="369">
        <f>VLOOKUP(C2401,METADATA!$A$5:$H$29,IF(E2401="HI",2,IF(E2401="LO",6,10))+IF(D2401=1,2,IF(D2401=7,1,(IF(WEEKDAY(B2401)=1,2,IF(WEEKDAY(B2401)=7,1,0))))))</f>
        <v>2</v>
      </c>
      <c r="G2401" s="369">
        <f>VLOOKUP(C2401,METADATA!$J$5:$Q$29,IF(E2401="HI",2,IF(E2401="LO",6,10))+IF(D2401=1,2,IF(D2401=7,1,(IF(WEEKDAY(B2401)=1,2,IF(WEEKDAY(B2401)=7,1,0))))))</f>
        <v>2</v>
      </c>
      <c r="H2401" s="370">
        <v>13762.024536132813</v>
      </c>
      <c r="I2401" s="370">
        <v>4717.449951171875</v>
      </c>
      <c r="M2401" s="371">
        <f t="shared" si="149"/>
        <v>14548.115114162832</v>
      </c>
      <c r="N2401" s="329">
        <f t="shared" si="150"/>
        <v>588.84259033203125</v>
      </c>
      <c r="T2401" s="331">
        <v>0</v>
      </c>
      <c r="U2401" s="328">
        <f>VLOOKUP(C2401,METADATA!$J$5:$Q$29,IF(E2401="HI",2,IF(E2401="LO",6,10))+IF(T2401=1,2,IF(D2401=7,1,(IF(WEEKDAY(B2401)=1,2,IF(WEEKDAY(B2401)=7,1,0))))))</f>
        <v>2</v>
      </c>
      <c r="V2401" s="328">
        <f>VLOOKUP(C2401,METADATA!$A$5:$H$29,IF(E2401="HI",2,IF(E2401="LO",6,10))+IF(T2401=1,2,IF(D2401=7,1,(IF(WEEKDAY(B2401)=1,2,IF(WEEKDAY(B2401)=7,1,0))))))</f>
        <v>2</v>
      </c>
    </row>
    <row r="2402" spans="2:22">
      <c r="B2402" s="318">
        <f t="shared" si="151"/>
        <v>46212</v>
      </c>
      <c r="C2402" s="312">
        <v>22</v>
      </c>
      <c r="D2402" s="368">
        <f>IFERROR((INDEX(METADATA!$T$2:$T$20,MATCH(B2402,METADATA!$S$2:$S$20,0))),0)</f>
        <v>0</v>
      </c>
      <c r="E2402" s="312" t="str">
        <f t="shared" si="148"/>
        <v>LO</v>
      </c>
      <c r="F2402" s="369">
        <f>VLOOKUP(C2402,METADATA!$A$5:$H$29,IF(E2402="HI",2,IF(E2402="LO",6,10))+IF(D2402=1,2,IF(D2402=7,1,(IF(WEEKDAY(B2402)=1,2,IF(WEEKDAY(B2402)=7,1,0))))))</f>
        <v>3</v>
      </c>
      <c r="G2402" s="369">
        <f>VLOOKUP(C2402,METADATA!$J$5:$Q$29,IF(E2402="HI",2,IF(E2402="LO",6,10))+IF(D2402=1,2,IF(D2402=7,1,(IF(WEEKDAY(B2402)=1,2,IF(WEEKDAY(B2402)=7,1,0))))))</f>
        <v>3</v>
      </c>
      <c r="H2402" s="370">
        <v>13812.10009765625</v>
      </c>
      <c r="I2402" s="370">
        <v>4797.2750244140625</v>
      </c>
      <c r="M2402" s="371">
        <f t="shared" si="149"/>
        <v>14621.489553651594</v>
      </c>
      <c r="N2402" s="329">
        <f t="shared" si="150"/>
        <v>653.64499511718805</v>
      </c>
      <c r="T2402" s="331">
        <v>0</v>
      </c>
      <c r="U2402" s="328">
        <f>VLOOKUP(C2402,METADATA!$J$5:$Q$29,IF(E2402="HI",2,IF(E2402="LO",6,10))+IF(T2402=1,2,IF(D2402=7,1,(IF(WEEKDAY(B2402)=1,2,IF(WEEKDAY(B2402)=7,1,0))))))</f>
        <v>3</v>
      </c>
      <c r="V2402" s="328">
        <f>VLOOKUP(C2402,METADATA!$A$5:$H$29,IF(E2402="HI",2,IF(E2402="LO",6,10))+IF(T2402=1,2,IF(D2402=7,1,(IF(WEEKDAY(B2402)=1,2,IF(WEEKDAY(B2402)=7,1,0))))))</f>
        <v>3</v>
      </c>
    </row>
    <row r="2403" spans="2:22">
      <c r="B2403" s="318">
        <f t="shared" si="151"/>
        <v>46212</v>
      </c>
      <c r="C2403" s="312">
        <v>23</v>
      </c>
      <c r="D2403" s="368">
        <f>IFERROR((INDEX(METADATA!$T$2:$T$20,MATCH(B2403,METADATA!$S$2:$S$20,0))),0)</f>
        <v>0</v>
      </c>
      <c r="E2403" s="312" t="str">
        <f t="shared" si="148"/>
        <v>LO</v>
      </c>
      <c r="F2403" s="369">
        <f>VLOOKUP(C2403,METADATA!$A$5:$H$29,IF(E2403="HI",2,IF(E2403="LO",6,10))+IF(D2403=1,2,IF(D2403=7,1,(IF(WEEKDAY(B2403)=1,2,IF(WEEKDAY(B2403)=7,1,0))))))</f>
        <v>3</v>
      </c>
      <c r="G2403" s="369">
        <f>VLOOKUP(C2403,METADATA!$J$5:$Q$29,IF(E2403="HI",2,IF(E2403="LO",6,10))+IF(D2403=1,2,IF(D2403=7,1,(IF(WEEKDAY(B2403)=1,2,IF(WEEKDAY(B2403)=7,1,0))))))</f>
        <v>3</v>
      </c>
      <c r="H2403" s="370">
        <v>13790.150085449219</v>
      </c>
      <c r="I2403" s="370">
        <v>4812.8499145507813</v>
      </c>
      <c r="M2403" s="371">
        <f t="shared" si="149"/>
        <v>14605.881133269795</v>
      </c>
      <c r="N2403" s="329">
        <f t="shared" si="150"/>
        <v>675.80488891601544</v>
      </c>
      <c r="T2403" s="331">
        <v>0</v>
      </c>
      <c r="U2403" s="328">
        <f>VLOOKUP(C2403,METADATA!$J$5:$Q$29,IF(E2403="HI",2,IF(E2403="LO",6,10))+IF(T2403=1,2,IF(D2403=7,1,(IF(WEEKDAY(B2403)=1,2,IF(WEEKDAY(B2403)=7,1,0))))))</f>
        <v>3</v>
      </c>
      <c r="V2403" s="328">
        <f>VLOOKUP(C2403,METADATA!$A$5:$H$29,IF(E2403="HI",2,IF(E2403="LO",6,10))+IF(T2403=1,2,IF(D2403=7,1,(IF(WEEKDAY(B2403)=1,2,IF(WEEKDAY(B2403)=7,1,0))))))</f>
        <v>3</v>
      </c>
    </row>
    <row r="2404" spans="2:22">
      <c r="B2404" s="318">
        <f t="shared" si="151"/>
        <v>46213</v>
      </c>
      <c r="C2404" s="312">
        <v>0</v>
      </c>
      <c r="D2404" s="368">
        <f>IFERROR((INDEX(METADATA!$T$2:$T$20,MATCH(B2404,METADATA!$S$2:$S$20,0))),0)</f>
        <v>0</v>
      </c>
      <c r="E2404" s="312" t="str">
        <f t="shared" si="148"/>
        <v>LO</v>
      </c>
      <c r="F2404" s="369">
        <f>VLOOKUP(C2404,METADATA!$A$5:$H$29,IF(E2404="HI",2,IF(E2404="LO",6,10))+IF(D2404=1,2,IF(D2404=7,1,(IF(WEEKDAY(B2404)=1,2,IF(WEEKDAY(B2404)=7,1,0))))))</f>
        <v>3</v>
      </c>
      <c r="G2404" s="369">
        <f>VLOOKUP(C2404,METADATA!$J$5:$Q$29,IF(E2404="HI",2,IF(E2404="LO",6,10))+IF(D2404=1,2,IF(D2404=7,1,(IF(WEEKDAY(B2404)=1,2,IF(WEEKDAY(B2404)=7,1,0))))))</f>
        <v>3</v>
      </c>
      <c r="H2404" s="370">
        <v>13864.850280761719</v>
      </c>
      <c r="I2404" s="370">
        <v>4793.6749572753906</v>
      </c>
      <c r="M2404" s="371">
        <f t="shared" si="149"/>
        <v>14670.15313157799</v>
      </c>
      <c r="N2404" s="329">
        <f t="shared" si="150"/>
        <v>634.21987304687536</v>
      </c>
      <c r="T2404" s="331">
        <v>0</v>
      </c>
      <c r="U2404" s="328">
        <f>VLOOKUP(C2404,METADATA!$J$5:$Q$29,IF(E2404="HI",2,IF(E2404="LO",6,10))+IF(T2404=1,2,IF(D2404=7,1,(IF(WEEKDAY(B2404)=1,2,IF(WEEKDAY(B2404)=7,1,0))))))</f>
        <v>3</v>
      </c>
      <c r="V2404" s="328">
        <f>VLOOKUP(C2404,METADATA!$A$5:$H$29,IF(E2404="HI",2,IF(E2404="LO",6,10))+IF(T2404=1,2,IF(D2404=7,1,(IF(WEEKDAY(B2404)=1,2,IF(WEEKDAY(B2404)=7,1,0))))))</f>
        <v>3</v>
      </c>
    </row>
    <row r="2405" spans="2:22">
      <c r="B2405" s="318">
        <f t="shared" si="151"/>
        <v>46213</v>
      </c>
      <c r="C2405" s="312">
        <v>1</v>
      </c>
      <c r="D2405" s="368">
        <f>IFERROR((INDEX(METADATA!$T$2:$T$20,MATCH(B2405,METADATA!$S$2:$S$20,0))),0)</f>
        <v>0</v>
      </c>
      <c r="E2405" s="312" t="str">
        <f t="shared" si="148"/>
        <v>LO</v>
      </c>
      <c r="F2405" s="369">
        <f>VLOOKUP(C2405,METADATA!$A$5:$H$29,IF(E2405="HI",2,IF(E2405="LO",6,10))+IF(D2405=1,2,IF(D2405=7,1,(IF(WEEKDAY(B2405)=1,2,IF(WEEKDAY(B2405)=7,1,0))))))</f>
        <v>3</v>
      </c>
      <c r="G2405" s="369">
        <f>VLOOKUP(C2405,METADATA!$J$5:$Q$29,IF(E2405="HI",2,IF(E2405="LO",6,10))+IF(D2405=1,2,IF(D2405=7,1,(IF(WEEKDAY(B2405)=1,2,IF(WEEKDAY(B2405)=7,1,0))))))</f>
        <v>3</v>
      </c>
      <c r="H2405" s="370">
        <v>14045.749938964844</v>
      </c>
      <c r="I2405" s="370">
        <v>4822.3475341796875</v>
      </c>
      <c r="M2405" s="371">
        <f t="shared" si="149"/>
        <v>14850.526155269376</v>
      </c>
      <c r="N2405" s="329">
        <f t="shared" si="150"/>
        <v>608.62255249023474</v>
      </c>
      <c r="T2405" s="331">
        <v>0</v>
      </c>
      <c r="U2405" s="328">
        <f>VLOOKUP(C2405,METADATA!$J$5:$Q$29,IF(E2405="HI",2,IF(E2405="LO",6,10))+IF(T2405=1,2,IF(D2405=7,1,(IF(WEEKDAY(B2405)=1,2,IF(WEEKDAY(B2405)=7,1,0))))))</f>
        <v>3</v>
      </c>
      <c r="V2405" s="328">
        <f>VLOOKUP(C2405,METADATA!$A$5:$H$29,IF(E2405="HI",2,IF(E2405="LO",6,10))+IF(T2405=1,2,IF(D2405=7,1,(IF(WEEKDAY(B2405)=1,2,IF(WEEKDAY(B2405)=7,1,0))))))</f>
        <v>3</v>
      </c>
    </row>
    <row r="2406" spans="2:22">
      <c r="B2406" s="318">
        <f t="shared" si="151"/>
        <v>46213</v>
      </c>
      <c r="C2406" s="312">
        <v>2</v>
      </c>
      <c r="D2406" s="368">
        <f>IFERROR((INDEX(METADATA!$T$2:$T$20,MATCH(B2406,METADATA!$S$2:$S$20,0))),0)</f>
        <v>0</v>
      </c>
      <c r="E2406" s="312" t="str">
        <f t="shared" si="148"/>
        <v>LO</v>
      </c>
      <c r="F2406" s="369">
        <f>VLOOKUP(C2406,METADATA!$A$5:$H$29,IF(E2406="HI",2,IF(E2406="LO",6,10))+IF(D2406=1,2,IF(D2406=7,1,(IF(WEEKDAY(B2406)=1,2,IF(WEEKDAY(B2406)=7,1,0))))))</f>
        <v>3</v>
      </c>
      <c r="G2406" s="369">
        <f>VLOOKUP(C2406,METADATA!$J$5:$Q$29,IF(E2406="HI",2,IF(E2406="LO",6,10))+IF(D2406=1,2,IF(D2406=7,1,(IF(WEEKDAY(B2406)=1,2,IF(WEEKDAY(B2406)=7,1,0))))))</f>
        <v>3</v>
      </c>
      <c r="H2406" s="370">
        <v>13892.350036621094</v>
      </c>
      <c r="I2406" s="370">
        <v>4811.8299255371094</v>
      </c>
      <c r="M2406" s="371">
        <f t="shared" si="149"/>
        <v>14702.077974636803</v>
      </c>
      <c r="N2406" s="329">
        <f t="shared" si="150"/>
        <v>644.1249145507818</v>
      </c>
      <c r="T2406" s="331">
        <v>0</v>
      </c>
      <c r="U2406" s="328">
        <f>VLOOKUP(C2406,METADATA!$J$5:$Q$29,IF(E2406="HI",2,IF(E2406="LO",6,10))+IF(T2406=1,2,IF(D2406=7,1,(IF(WEEKDAY(B2406)=1,2,IF(WEEKDAY(B2406)=7,1,0))))))</f>
        <v>3</v>
      </c>
      <c r="V2406" s="328">
        <f>VLOOKUP(C2406,METADATA!$A$5:$H$29,IF(E2406="HI",2,IF(E2406="LO",6,10))+IF(T2406=1,2,IF(D2406=7,1,(IF(WEEKDAY(B2406)=1,2,IF(WEEKDAY(B2406)=7,1,0))))))</f>
        <v>3</v>
      </c>
    </row>
    <row r="2407" spans="2:22">
      <c r="B2407" s="318">
        <f t="shared" si="151"/>
        <v>46213</v>
      </c>
      <c r="C2407" s="312">
        <v>3</v>
      </c>
      <c r="D2407" s="368">
        <f>IFERROR((INDEX(METADATA!$T$2:$T$20,MATCH(B2407,METADATA!$S$2:$S$20,0))),0)</f>
        <v>0</v>
      </c>
      <c r="E2407" s="312" t="str">
        <f t="shared" si="148"/>
        <v>LO</v>
      </c>
      <c r="F2407" s="369">
        <f>VLOOKUP(C2407,METADATA!$A$5:$H$29,IF(E2407="HI",2,IF(E2407="LO",6,10))+IF(D2407=1,2,IF(D2407=7,1,(IF(WEEKDAY(B2407)=1,2,IF(WEEKDAY(B2407)=7,1,0))))))</f>
        <v>3</v>
      </c>
      <c r="G2407" s="369">
        <f>VLOOKUP(C2407,METADATA!$J$5:$Q$29,IF(E2407="HI",2,IF(E2407="LO",6,10))+IF(D2407=1,2,IF(D2407=7,1,(IF(WEEKDAY(B2407)=1,2,IF(WEEKDAY(B2407)=7,1,0))))))</f>
        <v>3</v>
      </c>
      <c r="H2407" s="370">
        <v>14003.874877929688</v>
      </c>
      <c r="I2407" s="370">
        <v>4806.375</v>
      </c>
      <c r="M2407" s="371">
        <f t="shared" si="149"/>
        <v>14805.73376220629</v>
      </c>
      <c r="N2407" s="329">
        <f t="shared" si="150"/>
        <v>605.21253662109393</v>
      </c>
      <c r="T2407" s="331">
        <v>0</v>
      </c>
      <c r="U2407" s="328">
        <f>VLOOKUP(C2407,METADATA!$J$5:$Q$29,IF(E2407="HI",2,IF(E2407="LO",6,10))+IF(T2407=1,2,IF(D2407=7,1,(IF(WEEKDAY(B2407)=1,2,IF(WEEKDAY(B2407)=7,1,0))))))</f>
        <v>3</v>
      </c>
      <c r="V2407" s="328">
        <f>VLOOKUP(C2407,METADATA!$A$5:$H$29,IF(E2407="HI",2,IF(E2407="LO",6,10))+IF(T2407=1,2,IF(D2407=7,1,(IF(WEEKDAY(B2407)=1,2,IF(WEEKDAY(B2407)=7,1,0))))))</f>
        <v>3</v>
      </c>
    </row>
    <row r="2408" spans="2:22">
      <c r="B2408" s="318">
        <f t="shared" si="151"/>
        <v>46213</v>
      </c>
      <c r="C2408" s="312">
        <v>4</v>
      </c>
      <c r="D2408" s="368">
        <f>IFERROR((INDEX(METADATA!$T$2:$T$20,MATCH(B2408,METADATA!$S$2:$S$20,0))),0)</f>
        <v>0</v>
      </c>
      <c r="E2408" s="312" t="str">
        <f t="shared" si="148"/>
        <v>LO</v>
      </c>
      <c r="F2408" s="369">
        <f>VLOOKUP(C2408,METADATA!$A$5:$H$29,IF(E2408="HI",2,IF(E2408="LO",6,10))+IF(D2408=1,2,IF(D2408=7,1,(IF(WEEKDAY(B2408)=1,2,IF(WEEKDAY(B2408)=7,1,0))))))</f>
        <v>3</v>
      </c>
      <c r="G2408" s="369">
        <f>VLOOKUP(C2408,METADATA!$J$5:$Q$29,IF(E2408="HI",2,IF(E2408="LO",6,10))+IF(D2408=1,2,IF(D2408=7,1,(IF(WEEKDAY(B2408)=1,2,IF(WEEKDAY(B2408)=7,1,0))))))</f>
        <v>3</v>
      </c>
      <c r="H2408" s="370">
        <v>13940.875061035156</v>
      </c>
      <c r="I2408" s="370">
        <v>4738.1001281738281</v>
      </c>
      <c r="M2408" s="371">
        <f t="shared" si="149"/>
        <v>14724.048026680462</v>
      </c>
      <c r="N2408" s="329">
        <f t="shared" si="150"/>
        <v>555.83760986328161</v>
      </c>
      <c r="T2408" s="331">
        <v>0</v>
      </c>
      <c r="U2408" s="328">
        <f>VLOOKUP(C2408,METADATA!$J$5:$Q$29,IF(E2408="HI",2,IF(E2408="LO",6,10))+IF(T2408=1,2,IF(D2408=7,1,(IF(WEEKDAY(B2408)=1,2,IF(WEEKDAY(B2408)=7,1,0))))))</f>
        <v>3</v>
      </c>
      <c r="V2408" s="328">
        <f>VLOOKUP(C2408,METADATA!$A$5:$H$29,IF(E2408="HI",2,IF(E2408="LO",6,10))+IF(T2408=1,2,IF(D2408=7,1,(IF(WEEKDAY(B2408)=1,2,IF(WEEKDAY(B2408)=7,1,0))))))</f>
        <v>3</v>
      </c>
    </row>
    <row r="2409" spans="2:22">
      <c r="B2409" s="318">
        <f t="shared" si="151"/>
        <v>46213</v>
      </c>
      <c r="C2409" s="312">
        <v>5</v>
      </c>
      <c r="D2409" s="368">
        <f>IFERROR((INDEX(METADATA!$T$2:$T$20,MATCH(B2409,METADATA!$S$2:$S$20,0))),0)</f>
        <v>0</v>
      </c>
      <c r="E2409" s="312" t="str">
        <f t="shared" si="148"/>
        <v>LO</v>
      </c>
      <c r="F2409" s="369">
        <f>VLOOKUP(C2409,METADATA!$A$5:$H$29,IF(E2409="HI",2,IF(E2409="LO",6,10))+IF(D2409=1,2,IF(D2409=7,1,(IF(WEEKDAY(B2409)=1,2,IF(WEEKDAY(B2409)=7,1,0))))))</f>
        <v>3</v>
      </c>
      <c r="G2409" s="369">
        <f>VLOOKUP(C2409,METADATA!$J$5:$Q$29,IF(E2409="HI",2,IF(E2409="LO",6,10))+IF(D2409=1,2,IF(D2409=7,1,(IF(WEEKDAY(B2409)=1,2,IF(WEEKDAY(B2409)=7,1,0))))))</f>
        <v>3</v>
      </c>
      <c r="H2409" s="370">
        <v>13893.874755859375</v>
      </c>
      <c r="I2409" s="370">
        <v>4633.050048828125</v>
      </c>
      <c r="M2409" s="371">
        <f t="shared" si="149"/>
        <v>14645.986087882669</v>
      </c>
      <c r="N2409" s="329">
        <f t="shared" si="150"/>
        <v>464.88762207031232</v>
      </c>
      <c r="T2409" s="331">
        <v>0</v>
      </c>
      <c r="U2409" s="328">
        <f>VLOOKUP(C2409,METADATA!$J$5:$Q$29,IF(E2409="HI",2,IF(E2409="LO",6,10))+IF(T2409=1,2,IF(D2409=7,1,(IF(WEEKDAY(B2409)=1,2,IF(WEEKDAY(B2409)=7,1,0))))))</f>
        <v>3</v>
      </c>
      <c r="V2409" s="328">
        <f>VLOOKUP(C2409,METADATA!$A$5:$H$29,IF(E2409="HI",2,IF(E2409="LO",6,10))+IF(T2409=1,2,IF(D2409=7,1,(IF(WEEKDAY(B2409)=1,2,IF(WEEKDAY(B2409)=7,1,0))))))</f>
        <v>3</v>
      </c>
    </row>
    <row r="2410" spans="2:22">
      <c r="B2410" s="318">
        <f t="shared" si="151"/>
        <v>46213</v>
      </c>
      <c r="C2410" s="312">
        <v>6</v>
      </c>
      <c r="D2410" s="368">
        <f>IFERROR((INDEX(METADATA!$T$2:$T$20,MATCH(B2410,METADATA!$S$2:$S$20,0))),0)</f>
        <v>0</v>
      </c>
      <c r="E2410" s="312" t="str">
        <f t="shared" si="148"/>
        <v>LO</v>
      </c>
      <c r="F2410" s="369">
        <f>VLOOKUP(C2410,METADATA!$A$5:$H$29,IF(E2410="HI",2,IF(E2410="LO",6,10))+IF(D2410=1,2,IF(D2410=7,1,(IF(WEEKDAY(B2410)=1,2,IF(WEEKDAY(B2410)=7,1,0))))))</f>
        <v>2</v>
      </c>
      <c r="G2410" s="369">
        <f>VLOOKUP(C2410,METADATA!$J$5:$Q$29,IF(E2410="HI",2,IF(E2410="LO",6,10))+IF(D2410=1,2,IF(D2410=7,1,(IF(WEEKDAY(B2410)=1,2,IF(WEEKDAY(B2410)=7,1,0))))))</f>
        <v>2</v>
      </c>
      <c r="H2410" s="370">
        <v>13873.749694824219</v>
      </c>
      <c r="I2410" s="370">
        <v>4697.9900817871094</v>
      </c>
      <c r="M2410" s="371">
        <f t="shared" si="149"/>
        <v>14647.595072338843</v>
      </c>
      <c r="N2410" s="329">
        <f t="shared" si="150"/>
        <v>535.86517333984375</v>
      </c>
      <c r="T2410" s="331">
        <v>0</v>
      </c>
      <c r="U2410" s="328">
        <f>VLOOKUP(C2410,METADATA!$J$5:$Q$29,IF(E2410="HI",2,IF(E2410="LO",6,10))+IF(T2410=1,2,IF(D2410=7,1,(IF(WEEKDAY(B2410)=1,2,IF(WEEKDAY(B2410)=7,1,0))))))</f>
        <v>2</v>
      </c>
      <c r="V2410" s="328">
        <f>VLOOKUP(C2410,METADATA!$A$5:$H$29,IF(E2410="HI",2,IF(E2410="LO",6,10))+IF(T2410=1,2,IF(D2410=7,1,(IF(WEEKDAY(B2410)=1,2,IF(WEEKDAY(B2410)=7,1,0))))))</f>
        <v>2</v>
      </c>
    </row>
    <row r="2411" spans="2:22">
      <c r="B2411" s="318">
        <f t="shared" si="151"/>
        <v>46213</v>
      </c>
      <c r="C2411" s="312">
        <v>7</v>
      </c>
      <c r="D2411" s="368">
        <f>IFERROR((INDEX(METADATA!$T$2:$T$20,MATCH(B2411,METADATA!$S$2:$S$20,0))),0)</f>
        <v>0</v>
      </c>
      <c r="E2411" s="312" t="str">
        <f t="shared" si="148"/>
        <v>LO</v>
      </c>
      <c r="F2411" s="369">
        <f>VLOOKUP(C2411,METADATA!$A$5:$H$29,IF(E2411="HI",2,IF(E2411="LO",6,10))+IF(D2411=1,2,IF(D2411=7,1,(IF(WEEKDAY(B2411)=1,2,IF(WEEKDAY(B2411)=7,1,0))))))</f>
        <v>1</v>
      </c>
      <c r="G2411" s="369">
        <f>VLOOKUP(C2411,METADATA!$J$5:$Q$29,IF(E2411="HI",2,IF(E2411="LO",6,10))+IF(D2411=1,2,IF(D2411=7,1,(IF(WEEKDAY(B2411)=1,2,IF(WEEKDAY(B2411)=7,1,0))))))</f>
        <v>1</v>
      </c>
      <c r="H2411" s="370">
        <v>13865.000122070313</v>
      </c>
      <c r="I2411" s="370">
        <v>4516.9698791503906</v>
      </c>
      <c r="M2411" s="371">
        <f t="shared" si="149"/>
        <v>14582.223605272335</v>
      </c>
      <c r="N2411" s="329">
        <f t="shared" si="150"/>
        <v>357.46984252929724</v>
      </c>
      <c r="T2411" s="331">
        <v>0</v>
      </c>
      <c r="U2411" s="328">
        <f>VLOOKUP(C2411,METADATA!$J$5:$Q$29,IF(E2411="HI",2,IF(E2411="LO",6,10))+IF(T2411=1,2,IF(D2411=7,1,(IF(WEEKDAY(B2411)=1,2,IF(WEEKDAY(B2411)=7,1,0))))))</f>
        <v>1</v>
      </c>
      <c r="V2411" s="328">
        <f>VLOOKUP(C2411,METADATA!$A$5:$H$29,IF(E2411="HI",2,IF(E2411="LO",6,10))+IF(T2411=1,2,IF(D2411=7,1,(IF(WEEKDAY(B2411)=1,2,IF(WEEKDAY(B2411)=7,1,0))))))</f>
        <v>1</v>
      </c>
    </row>
    <row r="2412" spans="2:22">
      <c r="B2412" s="318">
        <f t="shared" si="151"/>
        <v>46213</v>
      </c>
      <c r="C2412" s="312">
        <v>8</v>
      </c>
      <c r="D2412" s="368">
        <f>IFERROR((INDEX(METADATA!$T$2:$T$20,MATCH(B2412,METADATA!$S$2:$S$20,0))),0)</f>
        <v>0</v>
      </c>
      <c r="E2412" s="312" t="str">
        <f t="shared" si="148"/>
        <v>LO</v>
      </c>
      <c r="F2412" s="369">
        <f>VLOOKUP(C2412,METADATA!$A$5:$H$29,IF(E2412="HI",2,IF(E2412="LO",6,10))+IF(D2412=1,2,IF(D2412=7,1,(IF(WEEKDAY(B2412)=1,2,IF(WEEKDAY(B2412)=7,1,0))))))</f>
        <v>1</v>
      </c>
      <c r="G2412" s="369">
        <f>VLOOKUP(C2412,METADATA!$J$5:$Q$29,IF(E2412="HI",2,IF(E2412="LO",6,10))+IF(D2412=1,2,IF(D2412=7,1,(IF(WEEKDAY(B2412)=1,2,IF(WEEKDAY(B2412)=7,1,0))))))</f>
        <v>1</v>
      </c>
      <c r="H2412" s="370">
        <v>13843.675048828125</v>
      </c>
      <c r="I2412" s="370">
        <v>4576.2499389648438</v>
      </c>
      <c r="M2412" s="371">
        <f t="shared" si="149"/>
        <v>14580.445890349929</v>
      </c>
      <c r="N2412" s="329">
        <f t="shared" si="150"/>
        <v>423.14742431640661</v>
      </c>
      <c r="T2412" s="331">
        <v>0</v>
      </c>
      <c r="U2412" s="328">
        <f>VLOOKUP(C2412,METADATA!$J$5:$Q$29,IF(E2412="HI",2,IF(E2412="LO",6,10))+IF(T2412=1,2,IF(D2412=7,1,(IF(WEEKDAY(B2412)=1,2,IF(WEEKDAY(B2412)=7,1,0))))))</f>
        <v>1</v>
      </c>
      <c r="V2412" s="328">
        <f>VLOOKUP(C2412,METADATA!$A$5:$H$29,IF(E2412="HI",2,IF(E2412="LO",6,10))+IF(T2412=1,2,IF(D2412=7,1,(IF(WEEKDAY(B2412)=1,2,IF(WEEKDAY(B2412)=7,1,0))))))</f>
        <v>1</v>
      </c>
    </row>
    <row r="2413" spans="2:22">
      <c r="B2413" s="318">
        <f t="shared" si="151"/>
        <v>46213</v>
      </c>
      <c r="C2413" s="312">
        <v>9</v>
      </c>
      <c r="D2413" s="368">
        <f>IFERROR((INDEX(METADATA!$T$2:$T$20,MATCH(B2413,METADATA!$S$2:$S$20,0))),0)</f>
        <v>0</v>
      </c>
      <c r="E2413" s="312" t="str">
        <f t="shared" si="148"/>
        <v>LO</v>
      </c>
      <c r="F2413" s="369">
        <f>VLOOKUP(C2413,METADATA!$A$5:$H$29,IF(E2413="HI",2,IF(E2413="LO",6,10))+IF(D2413=1,2,IF(D2413=7,1,(IF(WEEKDAY(B2413)=1,2,IF(WEEKDAY(B2413)=7,1,0))))))</f>
        <v>2</v>
      </c>
      <c r="G2413" s="369">
        <f>VLOOKUP(C2413,METADATA!$J$5:$Q$29,IF(E2413="HI",2,IF(E2413="LO",6,10))+IF(D2413=1,2,IF(D2413=7,1,(IF(WEEKDAY(B2413)=1,2,IF(WEEKDAY(B2413)=7,1,0))))))</f>
        <v>2</v>
      </c>
      <c r="H2413" s="370">
        <v>14018.899780273438</v>
      </c>
      <c r="I2413" s="370">
        <v>4829.9500122070313</v>
      </c>
      <c r="M2413" s="371">
        <f t="shared" si="149"/>
        <v>14827.608309156582</v>
      </c>
      <c r="N2413" s="329">
        <f t="shared" si="150"/>
        <v>624.28007812499982</v>
      </c>
      <c r="T2413" s="331">
        <v>0</v>
      </c>
      <c r="U2413" s="328">
        <f>VLOOKUP(C2413,METADATA!$J$5:$Q$29,IF(E2413="HI",2,IF(E2413="LO",6,10))+IF(T2413=1,2,IF(D2413=7,1,(IF(WEEKDAY(B2413)=1,2,IF(WEEKDAY(B2413)=7,1,0))))))</f>
        <v>2</v>
      </c>
      <c r="V2413" s="328">
        <f>VLOOKUP(C2413,METADATA!$A$5:$H$29,IF(E2413="HI",2,IF(E2413="LO",6,10))+IF(T2413=1,2,IF(D2413=7,1,(IF(WEEKDAY(B2413)=1,2,IF(WEEKDAY(B2413)=7,1,0))))))</f>
        <v>2</v>
      </c>
    </row>
    <row r="2414" spans="2:22">
      <c r="B2414" s="318">
        <f t="shared" si="151"/>
        <v>46213</v>
      </c>
      <c r="C2414" s="312">
        <v>10</v>
      </c>
      <c r="D2414" s="368">
        <f>IFERROR((INDEX(METADATA!$T$2:$T$20,MATCH(B2414,METADATA!$S$2:$S$20,0))),0)</f>
        <v>0</v>
      </c>
      <c r="E2414" s="312" t="str">
        <f t="shared" si="148"/>
        <v>LO</v>
      </c>
      <c r="F2414" s="369">
        <f>VLOOKUP(C2414,METADATA!$A$5:$H$29,IF(E2414="HI",2,IF(E2414="LO",6,10))+IF(D2414=1,2,IF(D2414=7,1,(IF(WEEKDAY(B2414)=1,2,IF(WEEKDAY(B2414)=7,1,0))))))</f>
        <v>2</v>
      </c>
      <c r="G2414" s="369">
        <f>VLOOKUP(C2414,METADATA!$J$5:$Q$29,IF(E2414="HI",2,IF(E2414="LO",6,10))+IF(D2414=1,2,IF(D2414=7,1,(IF(WEEKDAY(B2414)=1,2,IF(WEEKDAY(B2414)=7,1,0))))))</f>
        <v>2</v>
      </c>
      <c r="H2414" s="370">
        <v>12840.450256347656</v>
      </c>
      <c r="I2414" s="370">
        <v>4139.8774719238281</v>
      </c>
      <c r="M2414" s="371">
        <f t="shared" si="149"/>
        <v>13491.321220261603</v>
      </c>
      <c r="N2414" s="329">
        <f t="shared" si="150"/>
        <v>287.74239501953161</v>
      </c>
      <c r="T2414" s="331">
        <v>0</v>
      </c>
      <c r="U2414" s="328">
        <f>VLOOKUP(C2414,METADATA!$J$5:$Q$29,IF(E2414="HI",2,IF(E2414="LO",6,10))+IF(T2414=1,2,IF(D2414=7,1,(IF(WEEKDAY(B2414)=1,2,IF(WEEKDAY(B2414)=7,1,0))))))</f>
        <v>2</v>
      </c>
      <c r="V2414" s="328">
        <f>VLOOKUP(C2414,METADATA!$A$5:$H$29,IF(E2414="HI",2,IF(E2414="LO",6,10))+IF(T2414=1,2,IF(D2414=7,1,(IF(WEEKDAY(B2414)=1,2,IF(WEEKDAY(B2414)=7,1,0))))))</f>
        <v>2</v>
      </c>
    </row>
    <row r="2415" spans="2:22">
      <c r="B2415" s="318">
        <f t="shared" si="151"/>
        <v>46213</v>
      </c>
      <c r="C2415" s="312">
        <v>11</v>
      </c>
      <c r="D2415" s="368">
        <f>IFERROR((INDEX(METADATA!$T$2:$T$20,MATCH(B2415,METADATA!$S$2:$S$20,0))),0)</f>
        <v>0</v>
      </c>
      <c r="E2415" s="312" t="str">
        <f t="shared" si="148"/>
        <v>LO</v>
      </c>
      <c r="F2415" s="369">
        <f>VLOOKUP(C2415,METADATA!$A$5:$H$29,IF(E2415="HI",2,IF(E2415="LO",6,10))+IF(D2415=1,2,IF(D2415=7,1,(IF(WEEKDAY(B2415)=1,2,IF(WEEKDAY(B2415)=7,1,0))))))</f>
        <v>2</v>
      </c>
      <c r="G2415" s="369">
        <f>VLOOKUP(C2415,METADATA!$J$5:$Q$29,IF(E2415="HI",2,IF(E2415="LO",6,10))+IF(D2415=1,2,IF(D2415=7,1,(IF(WEEKDAY(B2415)=1,2,IF(WEEKDAY(B2415)=7,1,0))))))</f>
        <v>2</v>
      </c>
      <c r="H2415" s="370">
        <v>11830.109436035156</v>
      </c>
      <c r="I2415" s="370">
        <v>3624.9800109863281</v>
      </c>
      <c r="M2415" s="371">
        <f t="shared" si="149"/>
        <v>12373.033958921251</v>
      </c>
      <c r="N2415" s="329">
        <f t="shared" si="150"/>
        <v>75.947180175781341</v>
      </c>
      <c r="T2415" s="331">
        <v>0</v>
      </c>
      <c r="U2415" s="328">
        <f>VLOOKUP(C2415,METADATA!$J$5:$Q$29,IF(E2415="HI",2,IF(E2415="LO",6,10))+IF(T2415=1,2,IF(D2415=7,1,(IF(WEEKDAY(B2415)=1,2,IF(WEEKDAY(B2415)=7,1,0))))))</f>
        <v>2</v>
      </c>
      <c r="V2415" s="328">
        <f>VLOOKUP(C2415,METADATA!$A$5:$H$29,IF(E2415="HI",2,IF(E2415="LO",6,10))+IF(T2415=1,2,IF(D2415=7,1,(IF(WEEKDAY(B2415)=1,2,IF(WEEKDAY(B2415)=7,1,0))))))</f>
        <v>2</v>
      </c>
    </row>
    <row r="2416" spans="2:22">
      <c r="B2416" s="318">
        <f t="shared" si="151"/>
        <v>46213</v>
      </c>
      <c r="C2416" s="312">
        <v>12</v>
      </c>
      <c r="D2416" s="368">
        <f>IFERROR((INDEX(METADATA!$T$2:$T$20,MATCH(B2416,METADATA!$S$2:$S$20,0))),0)</f>
        <v>0</v>
      </c>
      <c r="E2416" s="312" t="str">
        <f t="shared" si="148"/>
        <v>LO</v>
      </c>
      <c r="F2416" s="369">
        <f>VLOOKUP(C2416,METADATA!$A$5:$H$29,IF(E2416="HI",2,IF(E2416="LO",6,10))+IF(D2416=1,2,IF(D2416=7,1,(IF(WEEKDAY(B2416)=1,2,IF(WEEKDAY(B2416)=7,1,0))))))</f>
        <v>2</v>
      </c>
      <c r="G2416" s="369">
        <f>VLOOKUP(C2416,METADATA!$J$5:$Q$29,IF(E2416="HI",2,IF(E2416="LO",6,10))+IF(D2416=1,2,IF(D2416=7,1,(IF(WEEKDAY(B2416)=1,2,IF(WEEKDAY(B2416)=7,1,0))))))</f>
        <v>2</v>
      </c>
      <c r="H2416" s="370">
        <v>13902.400390625</v>
      </c>
      <c r="I2416" s="370">
        <v>4783.5250244140625</v>
      </c>
      <c r="M2416" s="371">
        <f t="shared" si="149"/>
        <v>14702.341591748087</v>
      </c>
      <c r="N2416" s="329">
        <f t="shared" si="150"/>
        <v>612.80490722656305</v>
      </c>
      <c r="T2416" s="331">
        <v>0</v>
      </c>
      <c r="U2416" s="328">
        <f>VLOOKUP(C2416,METADATA!$J$5:$Q$29,IF(E2416="HI",2,IF(E2416="LO",6,10))+IF(T2416=1,2,IF(D2416=7,1,(IF(WEEKDAY(B2416)=1,2,IF(WEEKDAY(B2416)=7,1,0))))))</f>
        <v>2</v>
      </c>
      <c r="V2416" s="328">
        <f>VLOOKUP(C2416,METADATA!$A$5:$H$29,IF(E2416="HI",2,IF(E2416="LO",6,10))+IF(T2416=1,2,IF(D2416=7,1,(IF(WEEKDAY(B2416)=1,2,IF(WEEKDAY(B2416)=7,1,0))))))</f>
        <v>2</v>
      </c>
    </row>
    <row r="2417" spans="2:22">
      <c r="B2417" s="318">
        <f t="shared" si="151"/>
        <v>46213</v>
      </c>
      <c r="C2417" s="312">
        <v>13</v>
      </c>
      <c r="D2417" s="368">
        <f>IFERROR((INDEX(METADATA!$T$2:$T$20,MATCH(B2417,METADATA!$S$2:$S$20,0))),0)</f>
        <v>0</v>
      </c>
      <c r="E2417" s="312" t="str">
        <f t="shared" si="148"/>
        <v>LO</v>
      </c>
      <c r="F2417" s="369">
        <f>VLOOKUP(C2417,METADATA!$A$5:$H$29,IF(E2417="HI",2,IF(E2417="LO",6,10))+IF(D2417=1,2,IF(D2417=7,1,(IF(WEEKDAY(B2417)=1,2,IF(WEEKDAY(B2417)=7,1,0))))))</f>
        <v>2</v>
      </c>
      <c r="G2417" s="369">
        <f>VLOOKUP(C2417,METADATA!$J$5:$Q$29,IF(E2417="HI",2,IF(E2417="LO",6,10))+IF(D2417=1,2,IF(D2417=7,1,(IF(WEEKDAY(B2417)=1,2,IF(WEEKDAY(B2417)=7,1,0))))))</f>
        <v>2</v>
      </c>
      <c r="H2417" s="370">
        <v>13889.050170898438</v>
      </c>
      <c r="I2417" s="370">
        <v>4760.3500366210938</v>
      </c>
      <c r="M2417" s="371">
        <f t="shared" si="149"/>
        <v>14682.188090366242</v>
      </c>
      <c r="N2417" s="329">
        <f t="shared" si="150"/>
        <v>593.63498535156305</v>
      </c>
      <c r="T2417" s="331">
        <v>0</v>
      </c>
      <c r="U2417" s="328">
        <f>VLOOKUP(C2417,METADATA!$J$5:$Q$29,IF(E2417="HI",2,IF(E2417="LO",6,10))+IF(T2417=1,2,IF(D2417=7,1,(IF(WEEKDAY(B2417)=1,2,IF(WEEKDAY(B2417)=7,1,0))))))</f>
        <v>2</v>
      </c>
      <c r="V2417" s="328">
        <f>VLOOKUP(C2417,METADATA!$A$5:$H$29,IF(E2417="HI",2,IF(E2417="LO",6,10))+IF(T2417=1,2,IF(D2417=7,1,(IF(WEEKDAY(B2417)=1,2,IF(WEEKDAY(B2417)=7,1,0))))))</f>
        <v>2</v>
      </c>
    </row>
    <row r="2418" spans="2:22">
      <c r="B2418" s="318">
        <f t="shared" si="151"/>
        <v>46213</v>
      </c>
      <c r="C2418" s="312">
        <v>14</v>
      </c>
      <c r="D2418" s="368">
        <f>IFERROR((INDEX(METADATA!$T$2:$T$20,MATCH(B2418,METADATA!$S$2:$S$20,0))),0)</f>
        <v>0</v>
      </c>
      <c r="E2418" s="312" t="str">
        <f t="shared" si="148"/>
        <v>LO</v>
      </c>
      <c r="F2418" s="369">
        <f>VLOOKUP(C2418,METADATA!$A$5:$H$29,IF(E2418="HI",2,IF(E2418="LO",6,10))+IF(D2418=1,2,IF(D2418=7,1,(IF(WEEKDAY(B2418)=1,2,IF(WEEKDAY(B2418)=7,1,0))))))</f>
        <v>2</v>
      </c>
      <c r="G2418" s="369">
        <f>VLOOKUP(C2418,METADATA!$J$5:$Q$29,IF(E2418="HI",2,IF(E2418="LO",6,10))+IF(D2418=1,2,IF(D2418=7,1,(IF(WEEKDAY(B2418)=1,2,IF(WEEKDAY(B2418)=7,1,0))))))</f>
        <v>2</v>
      </c>
      <c r="H2418" s="370">
        <v>13722.775024414063</v>
      </c>
      <c r="I2418" s="370">
        <v>4763.0498962402344</v>
      </c>
      <c r="M2418" s="371">
        <f t="shared" si="149"/>
        <v>14525.880306706251</v>
      </c>
      <c r="N2418" s="329">
        <f t="shared" si="150"/>
        <v>646.21738891601581</v>
      </c>
      <c r="T2418" s="331">
        <v>0</v>
      </c>
      <c r="U2418" s="328">
        <f>VLOOKUP(C2418,METADATA!$J$5:$Q$29,IF(E2418="HI",2,IF(E2418="LO",6,10))+IF(T2418=1,2,IF(D2418=7,1,(IF(WEEKDAY(B2418)=1,2,IF(WEEKDAY(B2418)=7,1,0))))))</f>
        <v>2</v>
      </c>
      <c r="V2418" s="328">
        <f>VLOOKUP(C2418,METADATA!$A$5:$H$29,IF(E2418="HI",2,IF(E2418="LO",6,10))+IF(T2418=1,2,IF(D2418=7,1,(IF(WEEKDAY(B2418)=1,2,IF(WEEKDAY(B2418)=7,1,0))))))</f>
        <v>2</v>
      </c>
    </row>
    <row r="2419" spans="2:22">
      <c r="B2419" s="318">
        <f t="shared" si="151"/>
        <v>46213</v>
      </c>
      <c r="C2419" s="312">
        <v>15</v>
      </c>
      <c r="D2419" s="368">
        <f>IFERROR((INDEX(METADATA!$T$2:$T$20,MATCH(B2419,METADATA!$S$2:$S$20,0))),0)</f>
        <v>0</v>
      </c>
      <c r="E2419" s="312" t="str">
        <f t="shared" si="148"/>
        <v>LO</v>
      </c>
      <c r="F2419" s="369">
        <f>VLOOKUP(C2419,METADATA!$A$5:$H$29,IF(E2419="HI",2,IF(E2419="LO",6,10))+IF(D2419=1,2,IF(D2419=7,1,(IF(WEEKDAY(B2419)=1,2,IF(WEEKDAY(B2419)=7,1,0))))))</f>
        <v>2</v>
      </c>
      <c r="G2419" s="369">
        <f>VLOOKUP(C2419,METADATA!$J$5:$Q$29,IF(E2419="HI",2,IF(E2419="LO",6,10))+IF(D2419=1,2,IF(D2419=7,1,(IF(WEEKDAY(B2419)=1,2,IF(WEEKDAY(B2419)=7,1,0))))))</f>
        <v>2</v>
      </c>
      <c r="H2419" s="370">
        <v>13830.675415039063</v>
      </c>
      <c r="I2419" s="370">
        <v>4776.6249389648438</v>
      </c>
      <c r="M2419" s="371">
        <f t="shared" si="149"/>
        <v>14632.283767194607</v>
      </c>
      <c r="N2419" s="329">
        <f t="shared" si="150"/>
        <v>627.42231445312518</v>
      </c>
      <c r="T2419" s="331">
        <v>0</v>
      </c>
      <c r="U2419" s="328">
        <f>VLOOKUP(C2419,METADATA!$J$5:$Q$29,IF(E2419="HI",2,IF(E2419="LO",6,10))+IF(T2419=1,2,IF(D2419=7,1,(IF(WEEKDAY(B2419)=1,2,IF(WEEKDAY(B2419)=7,1,0))))))</f>
        <v>2</v>
      </c>
      <c r="V2419" s="328">
        <f>VLOOKUP(C2419,METADATA!$A$5:$H$29,IF(E2419="HI",2,IF(E2419="LO",6,10))+IF(T2419=1,2,IF(D2419=7,1,(IF(WEEKDAY(B2419)=1,2,IF(WEEKDAY(B2419)=7,1,0))))))</f>
        <v>2</v>
      </c>
    </row>
    <row r="2420" spans="2:22">
      <c r="B2420" s="318">
        <f t="shared" si="151"/>
        <v>46213</v>
      </c>
      <c r="C2420" s="312">
        <v>16</v>
      </c>
      <c r="D2420" s="368">
        <f>IFERROR((INDEX(METADATA!$T$2:$T$20,MATCH(B2420,METADATA!$S$2:$S$20,0))),0)</f>
        <v>0</v>
      </c>
      <c r="E2420" s="312" t="str">
        <f t="shared" si="148"/>
        <v>LO</v>
      </c>
      <c r="F2420" s="369">
        <f>VLOOKUP(C2420,METADATA!$A$5:$H$29,IF(E2420="HI",2,IF(E2420="LO",6,10))+IF(D2420=1,2,IF(D2420=7,1,(IF(WEEKDAY(B2420)=1,2,IF(WEEKDAY(B2420)=7,1,0))))))</f>
        <v>2</v>
      </c>
      <c r="G2420" s="369">
        <f>VLOOKUP(C2420,METADATA!$J$5:$Q$29,IF(E2420="HI",2,IF(E2420="LO",6,10))+IF(D2420=1,2,IF(D2420=7,1,(IF(WEEKDAY(B2420)=1,2,IF(WEEKDAY(B2420)=7,1,0))))))</f>
        <v>2</v>
      </c>
      <c r="H2420" s="370">
        <v>13683.799865722656</v>
      </c>
      <c r="I2420" s="370">
        <v>4608.0699157714844</v>
      </c>
      <c r="M2420" s="371">
        <f t="shared" si="149"/>
        <v>14438.860312150318</v>
      </c>
      <c r="N2420" s="329">
        <f t="shared" si="150"/>
        <v>502.92995605468786</v>
      </c>
      <c r="T2420" s="331">
        <v>0</v>
      </c>
      <c r="U2420" s="328">
        <f>VLOOKUP(C2420,METADATA!$J$5:$Q$29,IF(E2420="HI",2,IF(E2420="LO",6,10))+IF(T2420=1,2,IF(D2420=7,1,(IF(WEEKDAY(B2420)=1,2,IF(WEEKDAY(B2420)=7,1,0))))))</f>
        <v>2</v>
      </c>
      <c r="V2420" s="328">
        <f>VLOOKUP(C2420,METADATA!$A$5:$H$29,IF(E2420="HI",2,IF(E2420="LO",6,10))+IF(T2420=1,2,IF(D2420=7,1,(IF(WEEKDAY(B2420)=1,2,IF(WEEKDAY(B2420)=7,1,0))))))</f>
        <v>2</v>
      </c>
    </row>
    <row r="2421" spans="2:22">
      <c r="B2421" s="318">
        <f t="shared" si="151"/>
        <v>46213</v>
      </c>
      <c r="C2421" s="312">
        <v>17</v>
      </c>
      <c r="D2421" s="368">
        <f>IFERROR((INDEX(METADATA!$T$2:$T$20,MATCH(B2421,METADATA!$S$2:$S$20,0))),0)</f>
        <v>0</v>
      </c>
      <c r="E2421" s="312" t="str">
        <f t="shared" si="148"/>
        <v>LO</v>
      </c>
      <c r="F2421" s="369">
        <f>VLOOKUP(C2421,METADATA!$A$5:$H$29,IF(E2421="HI",2,IF(E2421="LO",6,10))+IF(D2421=1,2,IF(D2421=7,1,(IF(WEEKDAY(B2421)=1,2,IF(WEEKDAY(B2421)=7,1,0))))))</f>
        <v>2</v>
      </c>
      <c r="G2421" s="369">
        <f>VLOOKUP(C2421,METADATA!$J$5:$Q$29,IF(E2421="HI",2,IF(E2421="LO",6,10))+IF(D2421=1,2,IF(D2421=7,1,(IF(WEEKDAY(B2421)=1,2,IF(WEEKDAY(B2421)=7,1,0))))))</f>
        <v>2</v>
      </c>
      <c r="H2421" s="370">
        <v>13537.900146484375</v>
      </c>
      <c r="I2421" s="370">
        <v>4424.7499694824219</v>
      </c>
      <c r="M2421" s="371">
        <f t="shared" si="149"/>
        <v>14242.65258540755</v>
      </c>
      <c r="N2421" s="329">
        <f t="shared" si="150"/>
        <v>363.37992553710956</v>
      </c>
      <c r="T2421" s="331">
        <v>0</v>
      </c>
      <c r="U2421" s="328">
        <f>VLOOKUP(C2421,METADATA!$J$5:$Q$29,IF(E2421="HI",2,IF(E2421="LO",6,10))+IF(T2421=1,2,IF(D2421=7,1,(IF(WEEKDAY(B2421)=1,2,IF(WEEKDAY(B2421)=7,1,0))))))</f>
        <v>2</v>
      </c>
      <c r="V2421" s="328">
        <f>VLOOKUP(C2421,METADATA!$A$5:$H$29,IF(E2421="HI",2,IF(E2421="LO",6,10))+IF(T2421=1,2,IF(D2421=7,1,(IF(WEEKDAY(B2421)=1,2,IF(WEEKDAY(B2421)=7,1,0))))))</f>
        <v>2</v>
      </c>
    </row>
    <row r="2422" spans="2:22">
      <c r="B2422" s="318">
        <f t="shared" si="151"/>
        <v>46213</v>
      </c>
      <c r="C2422" s="312">
        <v>18</v>
      </c>
      <c r="D2422" s="368">
        <f>IFERROR((INDEX(METADATA!$T$2:$T$20,MATCH(B2422,METADATA!$S$2:$S$20,0))),0)</f>
        <v>0</v>
      </c>
      <c r="E2422" s="312" t="str">
        <f t="shared" si="148"/>
        <v>LO</v>
      </c>
      <c r="F2422" s="369">
        <f>VLOOKUP(C2422,METADATA!$A$5:$H$29,IF(E2422="HI",2,IF(E2422="LO",6,10))+IF(D2422=1,2,IF(D2422=7,1,(IF(WEEKDAY(B2422)=1,2,IF(WEEKDAY(B2422)=7,1,0))))))</f>
        <v>1</v>
      </c>
      <c r="G2422" s="369">
        <f>VLOOKUP(C2422,METADATA!$J$5:$Q$29,IF(E2422="HI",2,IF(E2422="LO",6,10))+IF(D2422=1,2,IF(D2422=7,1,(IF(WEEKDAY(B2422)=1,2,IF(WEEKDAY(B2422)=7,1,0))))))</f>
        <v>1</v>
      </c>
      <c r="H2422" s="370">
        <v>13485.6748046875</v>
      </c>
      <c r="I2422" s="370">
        <v>4363.0549926757813</v>
      </c>
      <c r="M2422" s="371">
        <f t="shared" si="149"/>
        <v>14173.908205110414</v>
      </c>
      <c r="N2422" s="329">
        <f t="shared" si="150"/>
        <v>317.35255126953143</v>
      </c>
      <c r="T2422" s="331">
        <v>0</v>
      </c>
      <c r="U2422" s="328">
        <f>VLOOKUP(C2422,METADATA!$J$5:$Q$29,IF(E2422="HI",2,IF(E2422="LO",6,10))+IF(T2422=1,2,IF(D2422=7,1,(IF(WEEKDAY(B2422)=1,2,IF(WEEKDAY(B2422)=7,1,0))))))</f>
        <v>1</v>
      </c>
      <c r="V2422" s="328">
        <f>VLOOKUP(C2422,METADATA!$A$5:$H$29,IF(E2422="HI",2,IF(E2422="LO",6,10))+IF(T2422=1,2,IF(D2422=7,1,(IF(WEEKDAY(B2422)=1,2,IF(WEEKDAY(B2422)=7,1,0))))))</f>
        <v>1</v>
      </c>
    </row>
    <row r="2423" spans="2:22">
      <c r="B2423" s="318">
        <f t="shared" si="151"/>
        <v>46213</v>
      </c>
      <c r="C2423" s="312">
        <v>19</v>
      </c>
      <c r="D2423" s="368">
        <f>IFERROR((INDEX(METADATA!$T$2:$T$20,MATCH(B2423,METADATA!$S$2:$S$20,0))),0)</f>
        <v>0</v>
      </c>
      <c r="E2423" s="312" t="str">
        <f t="shared" si="148"/>
        <v>LO</v>
      </c>
      <c r="F2423" s="369">
        <f>VLOOKUP(C2423,METADATA!$A$5:$H$29,IF(E2423="HI",2,IF(E2423="LO",6,10))+IF(D2423=1,2,IF(D2423=7,1,(IF(WEEKDAY(B2423)=1,2,IF(WEEKDAY(B2423)=7,1,0))))))</f>
        <v>1</v>
      </c>
      <c r="G2423" s="369">
        <f>VLOOKUP(C2423,METADATA!$J$5:$Q$29,IF(E2423="HI",2,IF(E2423="LO",6,10))+IF(D2423=1,2,IF(D2423=7,1,(IF(WEEKDAY(B2423)=1,2,IF(WEEKDAY(B2423)=7,1,0))))))</f>
        <v>1</v>
      </c>
      <c r="H2423" s="370">
        <v>13472.300170898438</v>
      </c>
      <c r="I2423" s="370">
        <v>4362.8700256347656</v>
      </c>
      <c r="M2423" s="371">
        <f t="shared" si="149"/>
        <v>14161.126606148691</v>
      </c>
      <c r="N2423" s="329">
        <f t="shared" si="150"/>
        <v>321.17997436523456</v>
      </c>
      <c r="T2423" s="331">
        <v>0</v>
      </c>
      <c r="U2423" s="328">
        <f>VLOOKUP(C2423,METADATA!$J$5:$Q$29,IF(E2423="HI",2,IF(E2423="LO",6,10))+IF(T2423=1,2,IF(D2423=7,1,(IF(WEEKDAY(B2423)=1,2,IF(WEEKDAY(B2423)=7,1,0))))))</f>
        <v>1</v>
      </c>
      <c r="V2423" s="328">
        <f>VLOOKUP(C2423,METADATA!$A$5:$H$29,IF(E2423="HI",2,IF(E2423="LO",6,10))+IF(T2423=1,2,IF(D2423=7,1,(IF(WEEKDAY(B2423)=1,2,IF(WEEKDAY(B2423)=7,1,0))))))</f>
        <v>1</v>
      </c>
    </row>
    <row r="2424" spans="2:22">
      <c r="B2424" s="318">
        <f t="shared" si="151"/>
        <v>46213</v>
      </c>
      <c r="C2424" s="312">
        <v>20</v>
      </c>
      <c r="D2424" s="368">
        <f>IFERROR((INDEX(METADATA!$T$2:$T$20,MATCH(B2424,METADATA!$S$2:$S$20,0))),0)</f>
        <v>0</v>
      </c>
      <c r="E2424" s="312" t="str">
        <f t="shared" si="148"/>
        <v>LO</v>
      </c>
      <c r="F2424" s="369">
        <f>VLOOKUP(C2424,METADATA!$A$5:$H$29,IF(E2424="HI",2,IF(E2424="LO",6,10))+IF(D2424=1,2,IF(D2424=7,1,(IF(WEEKDAY(B2424)=1,2,IF(WEEKDAY(B2424)=7,1,0))))))</f>
        <v>1</v>
      </c>
      <c r="G2424" s="369">
        <f>VLOOKUP(C2424,METADATA!$J$5:$Q$29,IF(E2424="HI",2,IF(E2424="LO",6,10))+IF(D2424=1,2,IF(D2424=7,1,(IF(WEEKDAY(B2424)=1,2,IF(WEEKDAY(B2424)=7,1,0))))))</f>
        <v>1</v>
      </c>
      <c r="H2424" s="370">
        <v>13509.625061035156</v>
      </c>
      <c r="I2424" s="370">
        <v>4464.9399108886719</v>
      </c>
      <c r="M2424" s="371">
        <f t="shared" si="149"/>
        <v>14228.339948764075</v>
      </c>
      <c r="N2424" s="329">
        <f t="shared" si="150"/>
        <v>412.05239257812536</v>
      </c>
      <c r="T2424" s="331">
        <v>0</v>
      </c>
      <c r="U2424" s="328">
        <f>VLOOKUP(C2424,METADATA!$J$5:$Q$29,IF(E2424="HI",2,IF(E2424="LO",6,10))+IF(T2424=1,2,IF(D2424=7,1,(IF(WEEKDAY(B2424)=1,2,IF(WEEKDAY(B2424)=7,1,0))))))</f>
        <v>1</v>
      </c>
      <c r="V2424" s="328">
        <f>VLOOKUP(C2424,METADATA!$A$5:$H$29,IF(E2424="HI",2,IF(E2424="LO",6,10))+IF(T2424=1,2,IF(D2424=7,1,(IF(WEEKDAY(B2424)=1,2,IF(WEEKDAY(B2424)=7,1,0))))))</f>
        <v>1</v>
      </c>
    </row>
    <row r="2425" spans="2:22">
      <c r="B2425" s="318">
        <f t="shared" si="151"/>
        <v>46213</v>
      </c>
      <c r="C2425" s="312">
        <v>21</v>
      </c>
      <c r="D2425" s="368">
        <f>IFERROR((INDEX(METADATA!$T$2:$T$20,MATCH(B2425,METADATA!$S$2:$S$20,0))),0)</f>
        <v>0</v>
      </c>
      <c r="E2425" s="312" t="str">
        <f t="shared" si="148"/>
        <v>LO</v>
      </c>
      <c r="F2425" s="369">
        <f>VLOOKUP(C2425,METADATA!$A$5:$H$29,IF(E2425="HI",2,IF(E2425="LO",6,10))+IF(D2425=1,2,IF(D2425=7,1,(IF(WEEKDAY(B2425)=1,2,IF(WEEKDAY(B2425)=7,1,0))))))</f>
        <v>2</v>
      </c>
      <c r="G2425" s="369">
        <f>VLOOKUP(C2425,METADATA!$J$5:$Q$29,IF(E2425="HI",2,IF(E2425="LO",6,10))+IF(D2425=1,2,IF(D2425=7,1,(IF(WEEKDAY(B2425)=1,2,IF(WEEKDAY(B2425)=7,1,0))))))</f>
        <v>2</v>
      </c>
      <c r="H2425" s="370">
        <v>13697.4248046875</v>
      </c>
      <c r="I2425" s="370">
        <v>4622.1348876953125</v>
      </c>
      <c r="M2425" s="371">
        <f t="shared" si="149"/>
        <v>14456.264289231798</v>
      </c>
      <c r="N2425" s="329">
        <f t="shared" si="150"/>
        <v>512.90744628906305</v>
      </c>
      <c r="T2425" s="331">
        <v>0</v>
      </c>
      <c r="U2425" s="328">
        <f>VLOOKUP(C2425,METADATA!$J$5:$Q$29,IF(E2425="HI",2,IF(E2425="LO",6,10))+IF(T2425=1,2,IF(D2425=7,1,(IF(WEEKDAY(B2425)=1,2,IF(WEEKDAY(B2425)=7,1,0))))))</f>
        <v>2</v>
      </c>
      <c r="V2425" s="328">
        <f>VLOOKUP(C2425,METADATA!$A$5:$H$29,IF(E2425="HI",2,IF(E2425="LO",6,10))+IF(T2425=1,2,IF(D2425=7,1,(IF(WEEKDAY(B2425)=1,2,IF(WEEKDAY(B2425)=7,1,0))))))</f>
        <v>2</v>
      </c>
    </row>
    <row r="2426" spans="2:22">
      <c r="B2426" s="318">
        <f t="shared" si="151"/>
        <v>46213</v>
      </c>
      <c r="C2426" s="312">
        <v>22</v>
      </c>
      <c r="D2426" s="368">
        <f>IFERROR((INDEX(METADATA!$T$2:$T$20,MATCH(B2426,METADATA!$S$2:$S$20,0))),0)</f>
        <v>0</v>
      </c>
      <c r="E2426" s="312" t="str">
        <f t="shared" si="148"/>
        <v>LO</v>
      </c>
      <c r="F2426" s="369">
        <f>VLOOKUP(C2426,METADATA!$A$5:$H$29,IF(E2426="HI",2,IF(E2426="LO",6,10))+IF(D2426=1,2,IF(D2426=7,1,(IF(WEEKDAY(B2426)=1,2,IF(WEEKDAY(B2426)=7,1,0))))))</f>
        <v>3</v>
      </c>
      <c r="G2426" s="369">
        <f>VLOOKUP(C2426,METADATA!$J$5:$Q$29,IF(E2426="HI",2,IF(E2426="LO",6,10))+IF(D2426=1,2,IF(D2426=7,1,(IF(WEEKDAY(B2426)=1,2,IF(WEEKDAY(B2426)=7,1,0))))))</f>
        <v>3</v>
      </c>
      <c r="H2426" s="370">
        <v>13455.125061035156</v>
      </c>
      <c r="I2426" s="370">
        <v>4576.7549438476563</v>
      </c>
      <c r="M2426" s="371">
        <f t="shared" si="149"/>
        <v>14212.215739431002</v>
      </c>
      <c r="N2426" s="329">
        <f t="shared" si="150"/>
        <v>540.21742553710965</v>
      </c>
      <c r="T2426" s="331">
        <v>0</v>
      </c>
      <c r="U2426" s="328">
        <f>VLOOKUP(C2426,METADATA!$J$5:$Q$29,IF(E2426="HI",2,IF(E2426="LO",6,10))+IF(T2426=1,2,IF(D2426=7,1,(IF(WEEKDAY(B2426)=1,2,IF(WEEKDAY(B2426)=7,1,0))))))</f>
        <v>3</v>
      </c>
      <c r="V2426" s="328">
        <f>VLOOKUP(C2426,METADATA!$A$5:$H$29,IF(E2426="HI",2,IF(E2426="LO",6,10))+IF(T2426=1,2,IF(D2426=7,1,(IF(WEEKDAY(B2426)=1,2,IF(WEEKDAY(B2426)=7,1,0))))))</f>
        <v>3</v>
      </c>
    </row>
    <row r="2427" spans="2:22">
      <c r="B2427" s="318">
        <f t="shared" si="151"/>
        <v>46213</v>
      </c>
      <c r="C2427" s="312">
        <v>23</v>
      </c>
      <c r="D2427" s="368">
        <f>IFERROR((INDEX(METADATA!$T$2:$T$20,MATCH(B2427,METADATA!$S$2:$S$20,0))),0)</f>
        <v>0</v>
      </c>
      <c r="E2427" s="312" t="str">
        <f t="shared" si="148"/>
        <v>LO</v>
      </c>
      <c r="F2427" s="369">
        <f>VLOOKUP(C2427,METADATA!$A$5:$H$29,IF(E2427="HI",2,IF(E2427="LO",6,10))+IF(D2427=1,2,IF(D2427=7,1,(IF(WEEKDAY(B2427)=1,2,IF(WEEKDAY(B2427)=7,1,0))))))</f>
        <v>3</v>
      </c>
      <c r="G2427" s="369">
        <f>VLOOKUP(C2427,METADATA!$J$5:$Q$29,IF(E2427="HI",2,IF(E2427="LO",6,10))+IF(D2427=1,2,IF(D2427=7,1,(IF(WEEKDAY(B2427)=1,2,IF(WEEKDAY(B2427)=7,1,0))))))</f>
        <v>3</v>
      </c>
      <c r="H2427" s="370">
        <v>12899.225341796875</v>
      </c>
      <c r="I2427" s="370">
        <v>4235.5500793457031</v>
      </c>
      <c r="M2427" s="371">
        <f t="shared" si="149"/>
        <v>13576.814755055771</v>
      </c>
      <c r="N2427" s="329">
        <f t="shared" si="150"/>
        <v>365.78247680664072</v>
      </c>
      <c r="T2427" s="331">
        <v>0</v>
      </c>
      <c r="U2427" s="328">
        <f>VLOOKUP(C2427,METADATA!$J$5:$Q$29,IF(E2427="HI",2,IF(E2427="LO",6,10))+IF(T2427=1,2,IF(D2427=7,1,(IF(WEEKDAY(B2427)=1,2,IF(WEEKDAY(B2427)=7,1,0))))))</f>
        <v>3</v>
      </c>
      <c r="V2427" s="328">
        <f>VLOOKUP(C2427,METADATA!$A$5:$H$29,IF(E2427="HI",2,IF(E2427="LO",6,10))+IF(T2427=1,2,IF(D2427=7,1,(IF(WEEKDAY(B2427)=1,2,IF(WEEKDAY(B2427)=7,1,0))))))</f>
        <v>3</v>
      </c>
    </row>
    <row r="2428" spans="2:22">
      <c r="B2428" s="318">
        <f t="shared" si="151"/>
        <v>46214</v>
      </c>
      <c r="C2428" s="312">
        <v>0</v>
      </c>
      <c r="D2428" s="368">
        <f>IFERROR((INDEX(METADATA!$T$2:$T$20,MATCH(B2428,METADATA!$S$2:$S$20,0))),0)</f>
        <v>0</v>
      </c>
      <c r="E2428" s="312" t="str">
        <f t="shared" si="148"/>
        <v>LO</v>
      </c>
      <c r="F2428" s="369">
        <f>VLOOKUP(C2428,METADATA!$A$5:$H$29,IF(E2428="HI",2,IF(E2428="LO",6,10))+IF(D2428=1,2,IF(D2428=7,1,(IF(WEEKDAY(B2428)=1,2,IF(WEEKDAY(B2428)=7,1,0))))))</f>
        <v>3</v>
      </c>
      <c r="G2428" s="369">
        <f>VLOOKUP(C2428,METADATA!$J$5:$Q$29,IF(E2428="HI",2,IF(E2428="LO",6,10))+IF(D2428=1,2,IF(D2428=7,1,(IF(WEEKDAY(B2428)=1,2,IF(WEEKDAY(B2428)=7,1,0))))))</f>
        <v>3</v>
      </c>
      <c r="H2428" s="370">
        <v>13179.500305175781</v>
      </c>
      <c r="I2428" s="370">
        <v>4306.9400634765625</v>
      </c>
      <c r="M2428" s="371">
        <f t="shared" si="149"/>
        <v>13865.387156675721</v>
      </c>
      <c r="N2428" s="329">
        <f t="shared" si="150"/>
        <v>353.08997192382822</v>
      </c>
      <c r="T2428" s="331">
        <v>0</v>
      </c>
      <c r="U2428" s="328">
        <f>VLOOKUP(C2428,METADATA!$J$5:$Q$29,IF(E2428="HI",2,IF(E2428="LO",6,10))+IF(T2428=1,2,IF(D2428=7,1,(IF(WEEKDAY(B2428)=1,2,IF(WEEKDAY(B2428)=7,1,0))))))</f>
        <v>3</v>
      </c>
      <c r="V2428" s="328">
        <f>VLOOKUP(C2428,METADATA!$A$5:$H$29,IF(E2428="HI",2,IF(E2428="LO",6,10))+IF(T2428=1,2,IF(D2428=7,1,(IF(WEEKDAY(B2428)=1,2,IF(WEEKDAY(B2428)=7,1,0))))))</f>
        <v>3</v>
      </c>
    </row>
    <row r="2429" spans="2:22">
      <c r="B2429" s="318">
        <f t="shared" si="151"/>
        <v>46214</v>
      </c>
      <c r="C2429" s="312">
        <v>1</v>
      </c>
      <c r="D2429" s="368">
        <f>IFERROR((INDEX(METADATA!$T$2:$T$20,MATCH(B2429,METADATA!$S$2:$S$20,0))),0)</f>
        <v>0</v>
      </c>
      <c r="E2429" s="312" t="str">
        <f t="shared" si="148"/>
        <v>LO</v>
      </c>
      <c r="F2429" s="369">
        <f>VLOOKUP(C2429,METADATA!$A$5:$H$29,IF(E2429="HI",2,IF(E2429="LO",6,10))+IF(D2429=1,2,IF(D2429=7,1,(IF(WEEKDAY(B2429)=1,2,IF(WEEKDAY(B2429)=7,1,0))))))</f>
        <v>3</v>
      </c>
      <c r="G2429" s="369">
        <f>VLOOKUP(C2429,METADATA!$J$5:$Q$29,IF(E2429="HI",2,IF(E2429="LO",6,10))+IF(D2429=1,2,IF(D2429=7,1,(IF(WEEKDAY(B2429)=1,2,IF(WEEKDAY(B2429)=7,1,0))))))</f>
        <v>3</v>
      </c>
      <c r="H2429" s="370">
        <v>12980.752380371094</v>
      </c>
      <c r="I2429" s="370">
        <v>4335.6524658203125</v>
      </c>
      <c r="M2429" s="371">
        <f t="shared" si="149"/>
        <v>13685.679181717052</v>
      </c>
      <c r="N2429" s="329">
        <f t="shared" si="150"/>
        <v>441.42675170898474</v>
      </c>
      <c r="T2429" s="331">
        <v>0</v>
      </c>
      <c r="U2429" s="328">
        <f>VLOOKUP(C2429,METADATA!$J$5:$Q$29,IF(E2429="HI",2,IF(E2429="LO",6,10))+IF(T2429=1,2,IF(D2429=7,1,(IF(WEEKDAY(B2429)=1,2,IF(WEEKDAY(B2429)=7,1,0))))))</f>
        <v>3</v>
      </c>
      <c r="V2429" s="328">
        <f>VLOOKUP(C2429,METADATA!$A$5:$H$29,IF(E2429="HI",2,IF(E2429="LO",6,10))+IF(T2429=1,2,IF(D2429=7,1,(IF(WEEKDAY(B2429)=1,2,IF(WEEKDAY(B2429)=7,1,0))))))</f>
        <v>3</v>
      </c>
    </row>
    <row r="2430" spans="2:22">
      <c r="B2430" s="318">
        <f t="shared" si="151"/>
        <v>46214</v>
      </c>
      <c r="C2430" s="312">
        <v>2</v>
      </c>
      <c r="D2430" s="368">
        <f>IFERROR((INDEX(METADATA!$T$2:$T$20,MATCH(B2430,METADATA!$S$2:$S$20,0))),0)</f>
        <v>0</v>
      </c>
      <c r="E2430" s="312" t="str">
        <f t="shared" si="148"/>
        <v>LO</v>
      </c>
      <c r="F2430" s="369">
        <f>VLOOKUP(C2430,METADATA!$A$5:$H$29,IF(E2430="HI",2,IF(E2430="LO",6,10))+IF(D2430=1,2,IF(D2430=7,1,(IF(WEEKDAY(B2430)=1,2,IF(WEEKDAY(B2430)=7,1,0))))))</f>
        <v>3</v>
      </c>
      <c r="G2430" s="369">
        <f>VLOOKUP(C2430,METADATA!$J$5:$Q$29,IF(E2430="HI",2,IF(E2430="LO",6,10))+IF(D2430=1,2,IF(D2430=7,1,(IF(WEEKDAY(B2430)=1,2,IF(WEEKDAY(B2430)=7,1,0))))))</f>
        <v>3</v>
      </c>
      <c r="H2430" s="370">
        <v>11943.917633056641</v>
      </c>
      <c r="I2430" s="370">
        <v>3694.1749877929688</v>
      </c>
      <c r="M2430" s="371">
        <f t="shared" si="149"/>
        <v>12502.163703362572</v>
      </c>
      <c r="N2430" s="329">
        <f t="shared" si="150"/>
        <v>110.99969787597684</v>
      </c>
      <c r="T2430" s="331">
        <v>0</v>
      </c>
      <c r="U2430" s="328">
        <f>VLOOKUP(C2430,METADATA!$J$5:$Q$29,IF(E2430="HI",2,IF(E2430="LO",6,10))+IF(T2430=1,2,IF(D2430=7,1,(IF(WEEKDAY(B2430)=1,2,IF(WEEKDAY(B2430)=7,1,0))))))</f>
        <v>3</v>
      </c>
      <c r="V2430" s="328">
        <f>VLOOKUP(C2430,METADATA!$A$5:$H$29,IF(E2430="HI",2,IF(E2430="LO",6,10))+IF(T2430=1,2,IF(D2430=7,1,(IF(WEEKDAY(B2430)=1,2,IF(WEEKDAY(B2430)=7,1,0))))))</f>
        <v>3</v>
      </c>
    </row>
    <row r="2431" spans="2:22">
      <c r="B2431" s="318">
        <f t="shared" si="151"/>
        <v>46214</v>
      </c>
      <c r="C2431" s="312">
        <v>3</v>
      </c>
      <c r="D2431" s="368">
        <f>IFERROR((INDEX(METADATA!$T$2:$T$20,MATCH(B2431,METADATA!$S$2:$S$20,0))),0)</f>
        <v>0</v>
      </c>
      <c r="E2431" s="312" t="str">
        <f t="shared" si="148"/>
        <v>LO</v>
      </c>
      <c r="F2431" s="369">
        <f>VLOOKUP(C2431,METADATA!$A$5:$H$29,IF(E2431="HI",2,IF(E2431="LO",6,10))+IF(D2431=1,2,IF(D2431=7,1,(IF(WEEKDAY(B2431)=1,2,IF(WEEKDAY(B2431)=7,1,0))))))</f>
        <v>3</v>
      </c>
      <c r="G2431" s="369">
        <f>VLOOKUP(C2431,METADATA!$J$5:$Q$29,IF(E2431="HI",2,IF(E2431="LO",6,10))+IF(D2431=1,2,IF(D2431=7,1,(IF(WEEKDAY(B2431)=1,2,IF(WEEKDAY(B2431)=7,1,0))))))</f>
        <v>3</v>
      </c>
      <c r="H2431" s="370">
        <v>12272.509918212891</v>
      </c>
      <c r="I2431" s="370">
        <v>3862.9674682617188</v>
      </c>
      <c r="M2431" s="371">
        <f t="shared" si="149"/>
        <v>12866.118970127787</v>
      </c>
      <c r="N2431" s="329">
        <f t="shared" si="150"/>
        <v>181.21449279785156</v>
      </c>
      <c r="T2431" s="331">
        <v>0</v>
      </c>
      <c r="U2431" s="328">
        <f>VLOOKUP(C2431,METADATA!$J$5:$Q$29,IF(E2431="HI",2,IF(E2431="LO",6,10))+IF(T2431=1,2,IF(D2431=7,1,(IF(WEEKDAY(B2431)=1,2,IF(WEEKDAY(B2431)=7,1,0))))))</f>
        <v>3</v>
      </c>
      <c r="V2431" s="328">
        <f>VLOOKUP(C2431,METADATA!$A$5:$H$29,IF(E2431="HI",2,IF(E2431="LO",6,10))+IF(T2431=1,2,IF(D2431=7,1,(IF(WEEKDAY(B2431)=1,2,IF(WEEKDAY(B2431)=7,1,0))))))</f>
        <v>3</v>
      </c>
    </row>
    <row r="2432" spans="2:22">
      <c r="B2432" s="318">
        <f t="shared" si="151"/>
        <v>46214</v>
      </c>
      <c r="C2432" s="312">
        <v>4</v>
      </c>
      <c r="D2432" s="368">
        <f>IFERROR((INDEX(METADATA!$T$2:$T$20,MATCH(B2432,METADATA!$S$2:$S$20,0))),0)</f>
        <v>0</v>
      </c>
      <c r="E2432" s="312" t="str">
        <f t="shared" si="148"/>
        <v>LO</v>
      </c>
      <c r="F2432" s="369">
        <f>VLOOKUP(C2432,METADATA!$A$5:$H$29,IF(E2432="HI",2,IF(E2432="LO",6,10))+IF(D2432=1,2,IF(D2432=7,1,(IF(WEEKDAY(B2432)=1,2,IF(WEEKDAY(B2432)=7,1,0))))))</f>
        <v>3</v>
      </c>
      <c r="G2432" s="369">
        <f>VLOOKUP(C2432,METADATA!$J$5:$Q$29,IF(E2432="HI",2,IF(E2432="LO",6,10))+IF(D2432=1,2,IF(D2432=7,1,(IF(WEEKDAY(B2432)=1,2,IF(WEEKDAY(B2432)=7,1,0))))))</f>
        <v>3</v>
      </c>
      <c r="H2432" s="370">
        <v>13287.775207519531</v>
      </c>
      <c r="I2432" s="370">
        <v>4411.7749938964844</v>
      </c>
      <c r="M2432" s="371">
        <f t="shared" si="149"/>
        <v>14001.02598248932</v>
      </c>
      <c r="N2432" s="329">
        <f t="shared" si="150"/>
        <v>425.44243164062527</v>
      </c>
      <c r="T2432" s="331">
        <v>0</v>
      </c>
      <c r="U2432" s="328">
        <f>VLOOKUP(C2432,METADATA!$J$5:$Q$29,IF(E2432="HI",2,IF(E2432="LO",6,10))+IF(T2432=1,2,IF(D2432=7,1,(IF(WEEKDAY(B2432)=1,2,IF(WEEKDAY(B2432)=7,1,0))))))</f>
        <v>3</v>
      </c>
      <c r="V2432" s="328">
        <f>VLOOKUP(C2432,METADATA!$A$5:$H$29,IF(E2432="HI",2,IF(E2432="LO",6,10))+IF(T2432=1,2,IF(D2432=7,1,(IF(WEEKDAY(B2432)=1,2,IF(WEEKDAY(B2432)=7,1,0))))))</f>
        <v>3</v>
      </c>
    </row>
    <row r="2433" spans="2:22">
      <c r="B2433" s="318">
        <f t="shared" si="151"/>
        <v>46214</v>
      </c>
      <c r="C2433" s="312">
        <v>5</v>
      </c>
      <c r="D2433" s="368">
        <f>IFERROR((INDEX(METADATA!$T$2:$T$20,MATCH(B2433,METADATA!$S$2:$S$20,0))),0)</f>
        <v>0</v>
      </c>
      <c r="E2433" s="312" t="str">
        <f t="shared" si="148"/>
        <v>LO</v>
      </c>
      <c r="F2433" s="369">
        <f>VLOOKUP(C2433,METADATA!$A$5:$H$29,IF(E2433="HI",2,IF(E2433="LO",6,10))+IF(D2433=1,2,IF(D2433=7,1,(IF(WEEKDAY(B2433)=1,2,IF(WEEKDAY(B2433)=7,1,0))))))</f>
        <v>3</v>
      </c>
      <c r="G2433" s="369">
        <f>VLOOKUP(C2433,METADATA!$J$5:$Q$29,IF(E2433="HI",2,IF(E2433="LO",6,10))+IF(D2433=1,2,IF(D2433=7,1,(IF(WEEKDAY(B2433)=1,2,IF(WEEKDAY(B2433)=7,1,0))))))</f>
        <v>3</v>
      </c>
      <c r="H2433" s="370">
        <v>13364.900024414063</v>
      </c>
      <c r="I2433" s="370">
        <v>4497.4349670410156</v>
      </c>
      <c r="M2433" s="371">
        <f t="shared" si="149"/>
        <v>14101.328800696274</v>
      </c>
      <c r="N2433" s="329">
        <f t="shared" si="150"/>
        <v>487.96495971679724</v>
      </c>
      <c r="T2433" s="331">
        <v>0</v>
      </c>
      <c r="U2433" s="328">
        <f>VLOOKUP(C2433,METADATA!$J$5:$Q$29,IF(E2433="HI",2,IF(E2433="LO",6,10))+IF(T2433=1,2,IF(D2433=7,1,(IF(WEEKDAY(B2433)=1,2,IF(WEEKDAY(B2433)=7,1,0))))))</f>
        <v>3</v>
      </c>
      <c r="V2433" s="328">
        <f>VLOOKUP(C2433,METADATA!$A$5:$H$29,IF(E2433="HI",2,IF(E2433="LO",6,10))+IF(T2433=1,2,IF(D2433=7,1,(IF(WEEKDAY(B2433)=1,2,IF(WEEKDAY(B2433)=7,1,0))))))</f>
        <v>3</v>
      </c>
    </row>
    <row r="2434" spans="2:22">
      <c r="B2434" s="318">
        <f t="shared" si="151"/>
        <v>46214</v>
      </c>
      <c r="C2434" s="312">
        <v>6</v>
      </c>
      <c r="D2434" s="368">
        <f>IFERROR((INDEX(METADATA!$T$2:$T$20,MATCH(B2434,METADATA!$S$2:$S$20,0))),0)</f>
        <v>0</v>
      </c>
      <c r="E2434" s="312" t="str">
        <f t="shared" si="148"/>
        <v>LO</v>
      </c>
      <c r="F2434" s="369">
        <f>VLOOKUP(C2434,METADATA!$A$5:$H$29,IF(E2434="HI",2,IF(E2434="LO",6,10))+IF(D2434=1,2,IF(D2434=7,1,(IF(WEEKDAY(B2434)=1,2,IF(WEEKDAY(B2434)=7,1,0))))))</f>
        <v>3</v>
      </c>
      <c r="G2434" s="369">
        <f>VLOOKUP(C2434,METADATA!$J$5:$Q$29,IF(E2434="HI",2,IF(E2434="LO",6,10))+IF(D2434=1,2,IF(D2434=7,1,(IF(WEEKDAY(B2434)=1,2,IF(WEEKDAY(B2434)=7,1,0))))))</f>
        <v>3</v>
      </c>
      <c r="H2434" s="370">
        <v>13436.049987792969</v>
      </c>
      <c r="I2434" s="370">
        <v>4486.655029296875</v>
      </c>
      <c r="M2434" s="371">
        <f t="shared" si="149"/>
        <v>14165.363130763235</v>
      </c>
      <c r="N2434" s="329">
        <f t="shared" si="150"/>
        <v>455.84003295898447</v>
      </c>
      <c r="T2434" s="331">
        <v>0</v>
      </c>
      <c r="U2434" s="328">
        <f>VLOOKUP(C2434,METADATA!$J$5:$Q$29,IF(E2434="HI",2,IF(E2434="LO",6,10))+IF(T2434=1,2,IF(D2434=7,1,(IF(WEEKDAY(B2434)=1,2,IF(WEEKDAY(B2434)=7,1,0))))))</f>
        <v>3</v>
      </c>
      <c r="V2434" s="328">
        <f>VLOOKUP(C2434,METADATA!$A$5:$H$29,IF(E2434="HI",2,IF(E2434="LO",6,10))+IF(T2434=1,2,IF(D2434=7,1,(IF(WEEKDAY(B2434)=1,2,IF(WEEKDAY(B2434)=7,1,0))))))</f>
        <v>3</v>
      </c>
    </row>
    <row r="2435" spans="2:22">
      <c r="B2435" s="318">
        <f t="shared" si="151"/>
        <v>46214</v>
      </c>
      <c r="C2435" s="312">
        <v>7</v>
      </c>
      <c r="D2435" s="368">
        <f>IFERROR((INDEX(METADATA!$T$2:$T$20,MATCH(B2435,METADATA!$S$2:$S$20,0))),0)</f>
        <v>0</v>
      </c>
      <c r="E2435" s="312" t="str">
        <f t="shared" si="148"/>
        <v>LO</v>
      </c>
      <c r="F2435" s="369">
        <f>VLOOKUP(C2435,METADATA!$A$5:$H$29,IF(E2435="HI",2,IF(E2435="LO",6,10))+IF(D2435=1,2,IF(D2435=7,1,(IF(WEEKDAY(B2435)=1,2,IF(WEEKDAY(B2435)=7,1,0))))))</f>
        <v>2</v>
      </c>
      <c r="G2435" s="369">
        <f>VLOOKUP(C2435,METADATA!$J$5:$Q$29,IF(E2435="HI",2,IF(E2435="LO",6,10))+IF(D2435=1,2,IF(D2435=7,1,(IF(WEEKDAY(B2435)=1,2,IF(WEEKDAY(B2435)=7,1,0))))))</f>
        <v>2</v>
      </c>
      <c r="H2435" s="370">
        <v>13134.849853515625</v>
      </c>
      <c r="I2435" s="370">
        <v>4164.9250183105469</v>
      </c>
      <c r="M2435" s="371">
        <f t="shared" si="149"/>
        <v>13779.364320698853</v>
      </c>
      <c r="N2435" s="329">
        <f t="shared" si="150"/>
        <v>224.47006225585938</v>
      </c>
      <c r="T2435" s="331">
        <v>0</v>
      </c>
      <c r="U2435" s="328">
        <f>VLOOKUP(C2435,METADATA!$J$5:$Q$29,IF(E2435="HI",2,IF(E2435="LO",6,10))+IF(T2435=1,2,IF(D2435=7,1,(IF(WEEKDAY(B2435)=1,2,IF(WEEKDAY(B2435)=7,1,0))))))</f>
        <v>2</v>
      </c>
      <c r="V2435" s="328">
        <f>VLOOKUP(C2435,METADATA!$A$5:$H$29,IF(E2435="HI",2,IF(E2435="LO",6,10))+IF(T2435=1,2,IF(D2435=7,1,(IF(WEEKDAY(B2435)=1,2,IF(WEEKDAY(B2435)=7,1,0))))))</f>
        <v>2</v>
      </c>
    </row>
    <row r="2436" spans="2:22">
      <c r="B2436" s="318">
        <f t="shared" si="151"/>
        <v>46214</v>
      </c>
      <c r="C2436" s="312">
        <v>8</v>
      </c>
      <c r="D2436" s="368">
        <f>IFERROR((INDEX(METADATA!$T$2:$T$20,MATCH(B2436,METADATA!$S$2:$S$20,0))),0)</f>
        <v>0</v>
      </c>
      <c r="E2436" s="312" t="str">
        <f t="shared" ref="E2436:E2499" si="152">IF(B2436="","",IF(AND(MONTH(B2436)&gt;=MONTH($Z$9),MONTH(B2436)&lt;=MONTH($Z$11)),"HI","LO"))</f>
        <v>LO</v>
      </c>
      <c r="F2436" s="369">
        <f>VLOOKUP(C2436,METADATA!$A$5:$H$29,IF(E2436="HI",2,IF(E2436="LO",6,10))+IF(D2436=1,2,IF(D2436=7,1,(IF(WEEKDAY(B2436)=1,2,IF(WEEKDAY(B2436)=7,1,0))))))</f>
        <v>2</v>
      </c>
      <c r="G2436" s="369">
        <f>VLOOKUP(C2436,METADATA!$J$5:$Q$29,IF(E2436="HI",2,IF(E2436="LO",6,10))+IF(D2436=1,2,IF(D2436=7,1,(IF(WEEKDAY(B2436)=1,2,IF(WEEKDAY(B2436)=7,1,0))))))</f>
        <v>2</v>
      </c>
      <c r="H2436" s="370">
        <v>12371.374694824219</v>
      </c>
      <c r="I2436" s="370">
        <v>3397.0200958251953</v>
      </c>
      <c r="M2436" s="371">
        <f t="shared" ref="M2436:M2499" si="153">SQRT(H2436^2+I2436^2)</f>
        <v>12829.289043870564</v>
      </c>
      <c r="N2436" s="329">
        <f t="shared" ref="N2436:N2499" si="154">IF(H2436=0,0,(IF(I2436-(0.3*H2436)&lt;0,0,(I2436-(0.3*H2436)))))</f>
        <v>0</v>
      </c>
      <c r="T2436" s="331">
        <v>0</v>
      </c>
      <c r="U2436" s="328">
        <f>VLOOKUP(C2436,METADATA!$J$5:$Q$29,IF(E2436="HI",2,IF(E2436="LO",6,10))+IF(T2436=1,2,IF(D2436=7,1,(IF(WEEKDAY(B2436)=1,2,IF(WEEKDAY(B2436)=7,1,0))))))</f>
        <v>2</v>
      </c>
      <c r="V2436" s="328">
        <f>VLOOKUP(C2436,METADATA!$A$5:$H$29,IF(E2436="HI",2,IF(E2436="LO",6,10))+IF(T2436=1,2,IF(D2436=7,1,(IF(WEEKDAY(B2436)=1,2,IF(WEEKDAY(B2436)=7,1,0))))))</f>
        <v>2</v>
      </c>
    </row>
    <row r="2437" spans="2:22">
      <c r="B2437" s="318">
        <f t="shared" si="151"/>
        <v>46214</v>
      </c>
      <c r="C2437" s="312">
        <v>9</v>
      </c>
      <c r="D2437" s="368">
        <f>IFERROR((INDEX(METADATA!$T$2:$T$20,MATCH(B2437,METADATA!$S$2:$S$20,0))),0)</f>
        <v>0</v>
      </c>
      <c r="E2437" s="312" t="str">
        <f t="shared" si="152"/>
        <v>LO</v>
      </c>
      <c r="F2437" s="369">
        <f>VLOOKUP(C2437,METADATA!$A$5:$H$29,IF(E2437="HI",2,IF(E2437="LO",6,10))+IF(D2437=1,2,IF(D2437=7,1,(IF(WEEKDAY(B2437)=1,2,IF(WEEKDAY(B2437)=7,1,0))))))</f>
        <v>2</v>
      </c>
      <c r="G2437" s="369">
        <f>VLOOKUP(C2437,METADATA!$J$5:$Q$29,IF(E2437="HI",2,IF(E2437="LO",6,10))+IF(D2437=1,2,IF(D2437=7,1,(IF(WEEKDAY(B2437)=1,2,IF(WEEKDAY(B2437)=7,1,0))))))</f>
        <v>2</v>
      </c>
      <c r="H2437" s="370">
        <v>13012</v>
      </c>
      <c r="I2437" s="370">
        <v>3890.2099761962891</v>
      </c>
      <c r="M2437" s="371">
        <f t="shared" si="153"/>
        <v>13581.085290170928</v>
      </c>
      <c r="N2437" s="329">
        <f t="shared" si="154"/>
        <v>0</v>
      </c>
      <c r="T2437" s="331">
        <v>0</v>
      </c>
      <c r="U2437" s="328">
        <f>VLOOKUP(C2437,METADATA!$J$5:$Q$29,IF(E2437="HI",2,IF(E2437="LO",6,10))+IF(T2437=1,2,IF(D2437=7,1,(IF(WEEKDAY(B2437)=1,2,IF(WEEKDAY(B2437)=7,1,0))))))</f>
        <v>2</v>
      </c>
      <c r="V2437" s="328">
        <f>VLOOKUP(C2437,METADATA!$A$5:$H$29,IF(E2437="HI",2,IF(E2437="LO",6,10))+IF(T2437=1,2,IF(D2437=7,1,(IF(WEEKDAY(B2437)=1,2,IF(WEEKDAY(B2437)=7,1,0))))))</f>
        <v>2</v>
      </c>
    </row>
    <row r="2438" spans="2:22">
      <c r="B2438" s="318">
        <f t="shared" si="151"/>
        <v>46214</v>
      </c>
      <c r="C2438" s="312">
        <v>10</v>
      </c>
      <c r="D2438" s="368">
        <f>IFERROR((INDEX(METADATA!$T$2:$T$20,MATCH(B2438,METADATA!$S$2:$S$20,0))),0)</f>
        <v>0</v>
      </c>
      <c r="E2438" s="312" t="str">
        <f t="shared" si="152"/>
        <v>LO</v>
      </c>
      <c r="F2438" s="369">
        <f>VLOOKUP(C2438,METADATA!$A$5:$H$29,IF(E2438="HI",2,IF(E2438="LO",6,10))+IF(D2438=1,2,IF(D2438=7,1,(IF(WEEKDAY(B2438)=1,2,IF(WEEKDAY(B2438)=7,1,0))))))</f>
        <v>2</v>
      </c>
      <c r="G2438" s="369">
        <f>VLOOKUP(C2438,METADATA!$J$5:$Q$29,IF(E2438="HI",2,IF(E2438="LO",6,10))+IF(D2438=1,2,IF(D2438=7,1,(IF(WEEKDAY(B2438)=1,2,IF(WEEKDAY(B2438)=7,1,0))))))</f>
        <v>2</v>
      </c>
      <c r="H2438" s="370">
        <v>12983.199951171875</v>
      </c>
      <c r="I2438" s="370">
        <v>4010.1900329589844</v>
      </c>
      <c r="M2438" s="371">
        <f t="shared" si="153"/>
        <v>13588.418048932443</v>
      </c>
      <c r="N2438" s="329">
        <f t="shared" si="154"/>
        <v>115.23004760742197</v>
      </c>
      <c r="T2438" s="331">
        <v>0</v>
      </c>
      <c r="U2438" s="328">
        <f>VLOOKUP(C2438,METADATA!$J$5:$Q$29,IF(E2438="HI",2,IF(E2438="LO",6,10))+IF(T2438=1,2,IF(D2438=7,1,(IF(WEEKDAY(B2438)=1,2,IF(WEEKDAY(B2438)=7,1,0))))))</f>
        <v>2</v>
      </c>
      <c r="V2438" s="328">
        <f>VLOOKUP(C2438,METADATA!$A$5:$H$29,IF(E2438="HI",2,IF(E2438="LO",6,10))+IF(T2438=1,2,IF(D2438=7,1,(IF(WEEKDAY(B2438)=1,2,IF(WEEKDAY(B2438)=7,1,0))))))</f>
        <v>2</v>
      </c>
    </row>
    <row r="2439" spans="2:22">
      <c r="B2439" s="318">
        <f t="shared" si="151"/>
        <v>46214</v>
      </c>
      <c r="C2439" s="312">
        <v>11</v>
      </c>
      <c r="D2439" s="368">
        <f>IFERROR((INDEX(METADATA!$T$2:$T$20,MATCH(B2439,METADATA!$S$2:$S$20,0))),0)</f>
        <v>0</v>
      </c>
      <c r="E2439" s="312" t="str">
        <f t="shared" si="152"/>
        <v>LO</v>
      </c>
      <c r="F2439" s="369">
        <f>VLOOKUP(C2439,METADATA!$A$5:$H$29,IF(E2439="HI",2,IF(E2439="LO",6,10))+IF(D2439=1,2,IF(D2439=7,1,(IF(WEEKDAY(B2439)=1,2,IF(WEEKDAY(B2439)=7,1,0))))))</f>
        <v>2</v>
      </c>
      <c r="G2439" s="369">
        <f>VLOOKUP(C2439,METADATA!$J$5:$Q$29,IF(E2439="HI",2,IF(E2439="LO",6,10))+IF(D2439=1,2,IF(D2439=7,1,(IF(WEEKDAY(B2439)=1,2,IF(WEEKDAY(B2439)=7,1,0))))))</f>
        <v>2</v>
      </c>
      <c r="H2439" s="370">
        <v>11752.574829101563</v>
      </c>
      <c r="I2439" s="370">
        <v>3757.4748992919922</v>
      </c>
      <c r="M2439" s="371">
        <f t="shared" si="153"/>
        <v>12338.623615802573</v>
      </c>
      <c r="N2439" s="329">
        <f t="shared" si="154"/>
        <v>231.70245056152362</v>
      </c>
      <c r="T2439" s="331">
        <v>0</v>
      </c>
      <c r="U2439" s="328">
        <f>VLOOKUP(C2439,METADATA!$J$5:$Q$29,IF(E2439="HI",2,IF(E2439="LO",6,10))+IF(T2439=1,2,IF(D2439=7,1,(IF(WEEKDAY(B2439)=1,2,IF(WEEKDAY(B2439)=7,1,0))))))</f>
        <v>2</v>
      </c>
      <c r="V2439" s="328">
        <f>VLOOKUP(C2439,METADATA!$A$5:$H$29,IF(E2439="HI",2,IF(E2439="LO",6,10))+IF(T2439=1,2,IF(D2439=7,1,(IF(WEEKDAY(B2439)=1,2,IF(WEEKDAY(B2439)=7,1,0))))))</f>
        <v>2</v>
      </c>
    </row>
    <row r="2440" spans="2:22">
      <c r="B2440" s="318">
        <f t="shared" si="151"/>
        <v>46214</v>
      </c>
      <c r="C2440" s="312">
        <v>12</v>
      </c>
      <c r="D2440" s="368">
        <f>IFERROR((INDEX(METADATA!$T$2:$T$20,MATCH(B2440,METADATA!$S$2:$S$20,0))),0)</f>
        <v>0</v>
      </c>
      <c r="E2440" s="312" t="str">
        <f t="shared" si="152"/>
        <v>LO</v>
      </c>
      <c r="F2440" s="369">
        <f>VLOOKUP(C2440,METADATA!$A$5:$H$29,IF(E2440="HI",2,IF(E2440="LO",6,10))+IF(D2440=1,2,IF(D2440=7,1,(IF(WEEKDAY(B2440)=1,2,IF(WEEKDAY(B2440)=7,1,0))))))</f>
        <v>3</v>
      </c>
      <c r="G2440" s="369">
        <f>VLOOKUP(C2440,METADATA!$J$5:$Q$29,IF(E2440="HI",2,IF(E2440="LO",6,10))+IF(D2440=1,2,IF(D2440=7,1,(IF(WEEKDAY(B2440)=1,2,IF(WEEKDAY(B2440)=7,1,0))))))</f>
        <v>3</v>
      </c>
      <c r="H2440" s="370">
        <v>7159.875</v>
      </c>
      <c r="I2440" s="370">
        <v>2442.5999755859375</v>
      </c>
      <c r="M2440" s="371">
        <f t="shared" si="153"/>
        <v>7565.058139654805</v>
      </c>
      <c r="N2440" s="329">
        <f t="shared" si="154"/>
        <v>294.63747558593741</v>
      </c>
      <c r="T2440" s="331">
        <v>0</v>
      </c>
      <c r="U2440" s="328">
        <f>VLOOKUP(C2440,METADATA!$J$5:$Q$29,IF(E2440="HI",2,IF(E2440="LO",6,10))+IF(T2440=1,2,IF(D2440=7,1,(IF(WEEKDAY(B2440)=1,2,IF(WEEKDAY(B2440)=7,1,0))))))</f>
        <v>3</v>
      </c>
      <c r="V2440" s="328">
        <f>VLOOKUP(C2440,METADATA!$A$5:$H$29,IF(E2440="HI",2,IF(E2440="LO",6,10))+IF(T2440=1,2,IF(D2440=7,1,(IF(WEEKDAY(B2440)=1,2,IF(WEEKDAY(B2440)=7,1,0))))))</f>
        <v>3</v>
      </c>
    </row>
    <row r="2441" spans="2:22">
      <c r="B2441" s="318">
        <f t="shared" si="151"/>
        <v>46214</v>
      </c>
      <c r="C2441" s="312">
        <v>13</v>
      </c>
      <c r="D2441" s="368">
        <f>IFERROR((INDEX(METADATA!$T$2:$T$20,MATCH(B2441,METADATA!$S$2:$S$20,0))),0)</f>
        <v>0</v>
      </c>
      <c r="E2441" s="312" t="str">
        <f t="shared" si="152"/>
        <v>LO</v>
      </c>
      <c r="F2441" s="369">
        <f>VLOOKUP(C2441,METADATA!$A$5:$H$29,IF(E2441="HI",2,IF(E2441="LO",6,10))+IF(D2441=1,2,IF(D2441=7,1,(IF(WEEKDAY(B2441)=1,2,IF(WEEKDAY(B2441)=7,1,0))))))</f>
        <v>3</v>
      </c>
      <c r="G2441" s="369">
        <f>VLOOKUP(C2441,METADATA!$J$5:$Q$29,IF(E2441="HI",2,IF(E2441="LO",6,10))+IF(D2441=1,2,IF(D2441=7,1,(IF(WEEKDAY(B2441)=1,2,IF(WEEKDAY(B2441)=7,1,0))))))</f>
        <v>3</v>
      </c>
      <c r="H2441" s="370">
        <v>5160.0000915527344</v>
      </c>
      <c r="I2441" s="370">
        <v>1324.489990234375</v>
      </c>
      <c r="M2441" s="371">
        <f t="shared" si="153"/>
        <v>5327.2764785634399</v>
      </c>
      <c r="N2441" s="329">
        <f t="shared" si="154"/>
        <v>0</v>
      </c>
      <c r="T2441" s="331">
        <v>0</v>
      </c>
      <c r="U2441" s="328">
        <f>VLOOKUP(C2441,METADATA!$J$5:$Q$29,IF(E2441="HI",2,IF(E2441="LO",6,10))+IF(T2441=1,2,IF(D2441=7,1,(IF(WEEKDAY(B2441)=1,2,IF(WEEKDAY(B2441)=7,1,0))))))</f>
        <v>3</v>
      </c>
      <c r="V2441" s="328">
        <f>VLOOKUP(C2441,METADATA!$A$5:$H$29,IF(E2441="HI",2,IF(E2441="LO",6,10))+IF(T2441=1,2,IF(D2441=7,1,(IF(WEEKDAY(B2441)=1,2,IF(WEEKDAY(B2441)=7,1,0))))))</f>
        <v>3</v>
      </c>
    </row>
    <row r="2442" spans="2:22">
      <c r="B2442" s="318">
        <f t="shared" si="151"/>
        <v>46214</v>
      </c>
      <c r="C2442" s="312">
        <v>14</v>
      </c>
      <c r="D2442" s="368">
        <f>IFERROR((INDEX(METADATA!$T$2:$T$20,MATCH(B2442,METADATA!$S$2:$S$20,0))),0)</f>
        <v>0</v>
      </c>
      <c r="E2442" s="312" t="str">
        <f t="shared" si="152"/>
        <v>LO</v>
      </c>
      <c r="F2442" s="369">
        <f>VLOOKUP(C2442,METADATA!$A$5:$H$29,IF(E2442="HI",2,IF(E2442="LO",6,10))+IF(D2442=1,2,IF(D2442=7,1,(IF(WEEKDAY(B2442)=1,2,IF(WEEKDAY(B2442)=7,1,0))))))</f>
        <v>3</v>
      </c>
      <c r="G2442" s="369">
        <f>VLOOKUP(C2442,METADATA!$J$5:$Q$29,IF(E2442="HI",2,IF(E2442="LO",6,10))+IF(D2442=1,2,IF(D2442=7,1,(IF(WEEKDAY(B2442)=1,2,IF(WEEKDAY(B2442)=7,1,0))))))</f>
        <v>3</v>
      </c>
      <c r="H2442" s="370">
        <v>5059.6299743652344</v>
      </c>
      <c r="I2442" s="370">
        <v>1321.6325378417969</v>
      </c>
      <c r="M2442" s="371">
        <f t="shared" si="153"/>
        <v>5229.3946153046518</v>
      </c>
      <c r="N2442" s="329">
        <f t="shared" si="154"/>
        <v>0</v>
      </c>
      <c r="T2442" s="331">
        <v>0</v>
      </c>
      <c r="U2442" s="328">
        <f>VLOOKUP(C2442,METADATA!$J$5:$Q$29,IF(E2442="HI",2,IF(E2442="LO",6,10))+IF(T2442=1,2,IF(D2442=7,1,(IF(WEEKDAY(B2442)=1,2,IF(WEEKDAY(B2442)=7,1,0))))))</f>
        <v>3</v>
      </c>
      <c r="V2442" s="328">
        <f>VLOOKUP(C2442,METADATA!$A$5:$H$29,IF(E2442="HI",2,IF(E2442="LO",6,10))+IF(T2442=1,2,IF(D2442=7,1,(IF(WEEKDAY(B2442)=1,2,IF(WEEKDAY(B2442)=7,1,0))))))</f>
        <v>3</v>
      </c>
    </row>
    <row r="2443" spans="2:22">
      <c r="B2443" s="318">
        <f t="shared" si="151"/>
        <v>46214</v>
      </c>
      <c r="C2443" s="312">
        <v>15</v>
      </c>
      <c r="D2443" s="368">
        <f>IFERROR((INDEX(METADATA!$T$2:$T$20,MATCH(B2443,METADATA!$S$2:$S$20,0))),0)</f>
        <v>0</v>
      </c>
      <c r="E2443" s="312" t="str">
        <f t="shared" si="152"/>
        <v>LO</v>
      </c>
      <c r="F2443" s="369">
        <f>VLOOKUP(C2443,METADATA!$A$5:$H$29,IF(E2443="HI",2,IF(E2443="LO",6,10))+IF(D2443=1,2,IF(D2443=7,1,(IF(WEEKDAY(B2443)=1,2,IF(WEEKDAY(B2443)=7,1,0))))))</f>
        <v>3</v>
      </c>
      <c r="G2443" s="369">
        <f>VLOOKUP(C2443,METADATA!$J$5:$Q$29,IF(E2443="HI",2,IF(E2443="LO",6,10))+IF(D2443=1,2,IF(D2443=7,1,(IF(WEEKDAY(B2443)=1,2,IF(WEEKDAY(B2443)=7,1,0))))))</f>
        <v>3</v>
      </c>
      <c r="H2443" s="370">
        <v>4986.1350402832031</v>
      </c>
      <c r="I2443" s="370">
        <v>1310.1850280761719</v>
      </c>
      <c r="M2443" s="371">
        <f t="shared" si="153"/>
        <v>5155.3978942206722</v>
      </c>
      <c r="N2443" s="329">
        <f t="shared" si="154"/>
        <v>0</v>
      </c>
      <c r="T2443" s="331">
        <v>0</v>
      </c>
      <c r="U2443" s="328">
        <f>VLOOKUP(C2443,METADATA!$J$5:$Q$29,IF(E2443="HI",2,IF(E2443="LO",6,10))+IF(T2443=1,2,IF(D2443=7,1,(IF(WEEKDAY(B2443)=1,2,IF(WEEKDAY(B2443)=7,1,0))))))</f>
        <v>3</v>
      </c>
      <c r="V2443" s="328">
        <f>VLOOKUP(C2443,METADATA!$A$5:$H$29,IF(E2443="HI",2,IF(E2443="LO",6,10))+IF(T2443=1,2,IF(D2443=7,1,(IF(WEEKDAY(B2443)=1,2,IF(WEEKDAY(B2443)=7,1,0))))))</f>
        <v>3</v>
      </c>
    </row>
    <row r="2444" spans="2:22">
      <c r="B2444" s="318">
        <f t="shared" si="151"/>
        <v>46214</v>
      </c>
      <c r="C2444" s="312">
        <v>16</v>
      </c>
      <c r="D2444" s="368">
        <f>IFERROR((INDEX(METADATA!$T$2:$T$20,MATCH(B2444,METADATA!$S$2:$S$20,0))),0)</f>
        <v>0</v>
      </c>
      <c r="E2444" s="312" t="str">
        <f t="shared" si="152"/>
        <v>LO</v>
      </c>
      <c r="F2444" s="369">
        <f>VLOOKUP(C2444,METADATA!$A$5:$H$29,IF(E2444="HI",2,IF(E2444="LO",6,10))+IF(D2444=1,2,IF(D2444=7,1,(IF(WEEKDAY(B2444)=1,2,IF(WEEKDAY(B2444)=7,1,0))))))</f>
        <v>3</v>
      </c>
      <c r="G2444" s="369">
        <f>VLOOKUP(C2444,METADATA!$J$5:$Q$29,IF(E2444="HI",2,IF(E2444="LO",6,10))+IF(D2444=1,2,IF(D2444=7,1,(IF(WEEKDAY(B2444)=1,2,IF(WEEKDAY(B2444)=7,1,0))))))</f>
        <v>3</v>
      </c>
      <c r="H2444" s="370">
        <v>4957.3023986816406</v>
      </c>
      <c r="I2444" s="370">
        <v>1273.6799926757813</v>
      </c>
      <c r="M2444" s="371">
        <f t="shared" si="153"/>
        <v>5118.3110295992492</v>
      </c>
      <c r="N2444" s="329">
        <f t="shared" si="154"/>
        <v>0</v>
      </c>
      <c r="T2444" s="331">
        <v>0</v>
      </c>
      <c r="U2444" s="328">
        <f>VLOOKUP(C2444,METADATA!$J$5:$Q$29,IF(E2444="HI",2,IF(E2444="LO",6,10))+IF(T2444=1,2,IF(D2444=7,1,(IF(WEEKDAY(B2444)=1,2,IF(WEEKDAY(B2444)=7,1,0))))))</f>
        <v>3</v>
      </c>
      <c r="V2444" s="328">
        <f>VLOOKUP(C2444,METADATA!$A$5:$H$29,IF(E2444="HI",2,IF(E2444="LO",6,10))+IF(T2444=1,2,IF(D2444=7,1,(IF(WEEKDAY(B2444)=1,2,IF(WEEKDAY(B2444)=7,1,0))))))</f>
        <v>3</v>
      </c>
    </row>
    <row r="2445" spans="2:22">
      <c r="B2445" s="318">
        <f t="shared" si="151"/>
        <v>46214</v>
      </c>
      <c r="C2445" s="312">
        <v>17</v>
      </c>
      <c r="D2445" s="368">
        <f>IFERROR((INDEX(METADATA!$T$2:$T$20,MATCH(B2445,METADATA!$S$2:$S$20,0))),0)</f>
        <v>0</v>
      </c>
      <c r="E2445" s="312" t="str">
        <f t="shared" si="152"/>
        <v>LO</v>
      </c>
      <c r="F2445" s="369">
        <f>VLOOKUP(C2445,METADATA!$A$5:$H$29,IF(E2445="HI",2,IF(E2445="LO",6,10))+IF(D2445=1,2,IF(D2445=7,1,(IF(WEEKDAY(B2445)=1,2,IF(WEEKDAY(B2445)=7,1,0))))))</f>
        <v>3</v>
      </c>
      <c r="G2445" s="369">
        <f>VLOOKUP(C2445,METADATA!$J$5:$Q$29,IF(E2445="HI",2,IF(E2445="LO",6,10))+IF(D2445=1,2,IF(D2445=7,1,(IF(WEEKDAY(B2445)=1,2,IF(WEEKDAY(B2445)=7,1,0))))))</f>
        <v>3</v>
      </c>
      <c r="H2445" s="370">
        <v>4921.8724975585938</v>
      </c>
      <c r="I2445" s="370">
        <v>1223.3525085449219</v>
      </c>
      <c r="M2445" s="371">
        <f t="shared" si="153"/>
        <v>5071.6289535401565</v>
      </c>
      <c r="N2445" s="329">
        <f t="shared" si="154"/>
        <v>0</v>
      </c>
      <c r="T2445" s="331">
        <v>0</v>
      </c>
      <c r="U2445" s="328">
        <f>VLOOKUP(C2445,METADATA!$J$5:$Q$29,IF(E2445="HI",2,IF(E2445="LO",6,10))+IF(T2445=1,2,IF(D2445=7,1,(IF(WEEKDAY(B2445)=1,2,IF(WEEKDAY(B2445)=7,1,0))))))</f>
        <v>3</v>
      </c>
      <c r="V2445" s="328">
        <f>VLOOKUP(C2445,METADATA!$A$5:$H$29,IF(E2445="HI",2,IF(E2445="LO",6,10))+IF(T2445=1,2,IF(D2445=7,1,(IF(WEEKDAY(B2445)=1,2,IF(WEEKDAY(B2445)=7,1,0))))))</f>
        <v>3</v>
      </c>
    </row>
    <row r="2446" spans="2:22">
      <c r="B2446" s="318">
        <f t="shared" si="151"/>
        <v>46214</v>
      </c>
      <c r="C2446" s="312">
        <v>18</v>
      </c>
      <c r="D2446" s="368">
        <f>IFERROR((INDEX(METADATA!$T$2:$T$20,MATCH(B2446,METADATA!$S$2:$S$20,0))),0)</f>
        <v>0</v>
      </c>
      <c r="E2446" s="312" t="str">
        <f t="shared" si="152"/>
        <v>LO</v>
      </c>
      <c r="F2446" s="369">
        <f>VLOOKUP(C2446,METADATA!$A$5:$H$29,IF(E2446="HI",2,IF(E2446="LO",6,10))+IF(D2446=1,2,IF(D2446=7,1,(IF(WEEKDAY(B2446)=1,2,IF(WEEKDAY(B2446)=7,1,0))))))</f>
        <v>2</v>
      </c>
      <c r="G2446" s="369">
        <f>VLOOKUP(C2446,METADATA!$J$5:$Q$29,IF(E2446="HI",2,IF(E2446="LO",6,10))+IF(D2446=1,2,IF(D2446=7,1,(IF(WEEKDAY(B2446)=1,2,IF(WEEKDAY(B2446)=7,1,0))))))</f>
        <v>2</v>
      </c>
      <c r="H2446" s="370">
        <v>4970.260009765625</v>
      </c>
      <c r="I2446" s="370">
        <v>1217.7374877929688</v>
      </c>
      <c r="M2446" s="371">
        <f t="shared" si="153"/>
        <v>5117.2618805227976</v>
      </c>
      <c r="N2446" s="329">
        <f t="shared" si="154"/>
        <v>0</v>
      </c>
      <c r="T2446" s="331">
        <v>0</v>
      </c>
      <c r="U2446" s="328">
        <f>VLOOKUP(C2446,METADATA!$J$5:$Q$29,IF(E2446="HI",2,IF(E2446="LO",6,10))+IF(T2446=1,2,IF(D2446=7,1,(IF(WEEKDAY(B2446)=1,2,IF(WEEKDAY(B2446)=7,1,0))))))</f>
        <v>2</v>
      </c>
      <c r="V2446" s="328">
        <f>VLOOKUP(C2446,METADATA!$A$5:$H$29,IF(E2446="HI",2,IF(E2446="LO",6,10))+IF(T2446=1,2,IF(D2446=7,1,(IF(WEEKDAY(B2446)=1,2,IF(WEEKDAY(B2446)=7,1,0))))))</f>
        <v>2</v>
      </c>
    </row>
    <row r="2447" spans="2:22">
      <c r="B2447" s="318">
        <f t="shared" si="151"/>
        <v>46214</v>
      </c>
      <c r="C2447" s="312">
        <v>19</v>
      </c>
      <c r="D2447" s="368">
        <f>IFERROR((INDEX(METADATA!$T$2:$T$20,MATCH(B2447,METADATA!$S$2:$S$20,0))),0)</f>
        <v>0</v>
      </c>
      <c r="E2447" s="312" t="str">
        <f t="shared" si="152"/>
        <v>LO</v>
      </c>
      <c r="F2447" s="369">
        <f>VLOOKUP(C2447,METADATA!$A$5:$H$29,IF(E2447="HI",2,IF(E2447="LO",6,10))+IF(D2447=1,2,IF(D2447=7,1,(IF(WEEKDAY(B2447)=1,2,IF(WEEKDAY(B2447)=7,1,0))))))</f>
        <v>2</v>
      </c>
      <c r="G2447" s="369">
        <f>VLOOKUP(C2447,METADATA!$J$5:$Q$29,IF(E2447="HI",2,IF(E2447="LO",6,10))+IF(D2447=1,2,IF(D2447=7,1,(IF(WEEKDAY(B2447)=1,2,IF(WEEKDAY(B2447)=7,1,0))))))</f>
        <v>2</v>
      </c>
      <c r="H2447" s="370">
        <v>5235.117431640625</v>
      </c>
      <c r="I2447" s="370">
        <v>1244.447509765625</v>
      </c>
      <c r="M2447" s="371">
        <f t="shared" si="153"/>
        <v>5380.994715443363</v>
      </c>
      <c r="N2447" s="329">
        <f t="shared" si="154"/>
        <v>0</v>
      </c>
      <c r="T2447" s="331">
        <v>0</v>
      </c>
      <c r="U2447" s="328">
        <f>VLOOKUP(C2447,METADATA!$J$5:$Q$29,IF(E2447="HI",2,IF(E2447="LO",6,10))+IF(T2447=1,2,IF(D2447=7,1,(IF(WEEKDAY(B2447)=1,2,IF(WEEKDAY(B2447)=7,1,0))))))</f>
        <v>2</v>
      </c>
      <c r="V2447" s="328">
        <f>VLOOKUP(C2447,METADATA!$A$5:$H$29,IF(E2447="HI",2,IF(E2447="LO",6,10))+IF(T2447=1,2,IF(D2447=7,1,(IF(WEEKDAY(B2447)=1,2,IF(WEEKDAY(B2447)=7,1,0))))))</f>
        <v>2</v>
      </c>
    </row>
    <row r="2448" spans="2:22">
      <c r="B2448" s="318">
        <f t="shared" si="151"/>
        <v>46214</v>
      </c>
      <c r="C2448" s="312">
        <v>20</v>
      </c>
      <c r="D2448" s="368">
        <f>IFERROR((INDEX(METADATA!$T$2:$T$20,MATCH(B2448,METADATA!$S$2:$S$20,0))),0)</f>
        <v>0</v>
      </c>
      <c r="E2448" s="312" t="str">
        <f t="shared" si="152"/>
        <v>LO</v>
      </c>
      <c r="F2448" s="369">
        <f>VLOOKUP(C2448,METADATA!$A$5:$H$29,IF(E2448="HI",2,IF(E2448="LO",6,10))+IF(D2448=1,2,IF(D2448=7,1,(IF(WEEKDAY(B2448)=1,2,IF(WEEKDAY(B2448)=7,1,0))))))</f>
        <v>3</v>
      </c>
      <c r="G2448" s="369">
        <f>VLOOKUP(C2448,METADATA!$J$5:$Q$29,IF(E2448="HI",2,IF(E2448="LO",6,10))+IF(D2448=1,2,IF(D2448=7,1,(IF(WEEKDAY(B2448)=1,2,IF(WEEKDAY(B2448)=7,1,0))))))</f>
        <v>3</v>
      </c>
      <c r="H2448" s="370">
        <v>6715.7500305175781</v>
      </c>
      <c r="I2448" s="370">
        <v>1326.0699646025896</v>
      </c>
      <c r="M2448" s="371">
        <f t="shared" si="153"/>
        <v>6845.4189078111185</v>
      </c>
      <c r="N2448" s="329">
        <f t="shared" si="154"/>
        <v>0</v>
      </c>
      <c r="T2448" s="331">
        <v>0</v>
      </c>
      <c r="U2448" s="328">
        <f>VLOOKUP(C2448,METADATA!$J$5:$Q$29,IF(E2448="HI",2,IF(E2448="LO",6,10))+IF(T2448=1,2,IF(D2448=7,1,(IF(WEEKDAY(B2448)=1,2,IF(WEEKDAY(B2448)=7,1,0))))))</f>
        <v>3</v>
      </c>
      <c r="V2448" s="328">
        <f>VLOOKUP(C2448,METADATA!$A$5:$H$29,IF(E2448="HI",2,IF(E2448="LO",6,10))+IF(T2448=1,2,IF(D2448=7,1,(IF(WEEKDAY(B2448)=1,2,IF(WEEKDAY(B2448)=7,1,0))))))</f>
        <v>3</v>
      </c>
    </row>
    <row r="2449" spans="2:22">
      <c r="B2449" s="318">
        <f t="shared" si="151"/>
        <v>46214</v>
      </c>
      <c r="C2449" s="312">
        <v>21</v>
      </c>
      <c r="D2449" s="368">
        <f>IFERROR((INDEX(METADATA!$T$2:$T$20,MATCH(B2449,METADATA!$S$2:$S$20,0))),0)</f>
        <v>0</v>
      </c>
      <c r="E2449" s="312" t="str">
        <f t="shared" si="152"/>
        <v>LO</v>
      </c>
      <c r="F2449" s="369">
        <f>VLOOKUP(C2449,METADATA!$A$5:$H$29,IF(E2449="HI",2,IF(E2449="LO",6,10))+IF(D2449=1,2,IF(D2449=7,1,(IF(WEEKDAY(B2449)=1,2,IF(WEEKDAY(B2449)=7,1,0))))))</f>
        <v>3</v>
      </c>
      <c r="G2449" s="369">
        <f>VLOOKUP(C2449,METADATA!$J$5:$Q$29,IF(E2449="HI",2,IF(E2449="LO",6,10))+IF(D2449=1,2,IF(D2449=7,1,(IF(WEEKDAY(B2449)=1,2,IF(WEEKDAY(B2449)=7,1,0))))))</f>
        <v>3</v>
      </c>
      <c r="H2449" s="370">
        <v>11780.400085449219</v>
      </c>
      <c r="I2449" s="370">
        <v>3742.0450439453125</v>
      </c>
      <c r="M2449" s="371">
        <f t="shared" si="153"/>
        <v>12360.450124658391</v>
      </c>
      <c r="N2449" s="329">
        <f t="shared" si="154"/>
        <v>207.92501831054688</v>
      </c>
      <c r="T2449" s="331">
        <v>0</v>
      </c>
      <c r="U2449" s="328">
        <f>VLOOKUP(C2449,METADATA!$J$5:$Q$29,IF(E2449="HI",2,IF(E2449="LO",6,10))+IF(T2449=1,2,IF(D2449=7,1,(IF(WEEKDAY(B2449)=1,2,IF(WEEKDAY(B2449)=7,1,0))))))</f>
        <v>3</v>
      </c>
      <c r="V2449" s="328">
        <f>VLOOKUP(C2449,METADATA!$A$5:$H$29,IF(E2449="HI",2,IF(E2449="LO",6,10))+IF(T2449=1,2,IF(D2449=7,1,(IF(WEEKDAY(B2449)=1,2,IF(WEEKDAY(B2449)=7,1,0))))))</f>
        <v>3</v>
      </c>
    </row>
    <row r="2450" spans="2:22">
      <c r="B2450" s="318">
        <f t="shared" si="151"/>
        <v>46214</v>
      </c>
      <c r="C2450" s="312">
        <v>22</v>
      </c>
      <c r="D2450" s="368">
        <f>IFERROR((INDEX(METADATA!$T$2:$T$20,MATCH(B2450,METADATA!$S$2:$S$20,0))),0)</f>
        <v>0</v>
      </c>
      <c r="E2450" s="312" t="str">
        <f t="shared" si="152"/>
        <v>LO</v>
      </c>
      <c r="F2450" s="369">
        <f>VLOOKUP(C2450,METADATA!$A$5:$H$29,IF(E2450="HI",2,IF(E2450="LO",6,10))+IF(D2450=1,2,IF(D2450=7,1,(IF(WEEKDAY(B2450)=1,2,IF(WEEKDAY(B2450)=7,1,0))))))</f>
        <v>3</v>
      </c>
      <c r="G2450" s="369">
        <f>VLOOKUP(C2450,METADATA!$J$5:$Q$29,IF(E2450="HI",2,IF(E2450="LO",6,10))+IF(D2450=1,2,IF(D2450=7,1,(IF(WEEKDAY(B2450)=1,2,IF(WEEKDAY(B2450)=7,1,0))))))</f>
        <v>3</v>
      </c>
      <c r="H2450" s="370">
        <v>13466.224792480469</v>
      </c>
      <c r="I2450" s="370">
        <v>4538.4649353027344</v>
      </c>
      <c r="M2450" s="371">
        <f t="shared" si="153"/>
        <v>14210.449469689131</v>
      </c>
      <c r="N2450" s="329">
        <f t="shared" si="154"/>
        <v>498.59749755859411</v>
      </c>
      <c r="T2450" s="331">
        <v>0</v>
      </c>
      <c r="U2450" s="328">
        <f>VLOOKUP(C2450,METADATA!$J$5:$Q$29,IF(E2450="HI",2,IF(E2450="LO",6,10))+IF(T2450=1,2,IF(D2450=7,1,(IF(WEEKDAY(B2450)=1,2,IF(WEEKDAY(B2450)=7,1,0))))))</f>
        <v>3</v>
      </c>
      <c r="V2450" s="328">
        <f>VLOOKUP(C2450,METADATA!$A$5:$H$29,IF(E2450="HI",2,IF(E2450="LO",6,10))+IF(T2450=1,2,IF(D2450=7,1,(IF(WEEKDAY(B2450)=1,2,IF(WEEKDAY(B2450)=7,1,0))))))</f>
        <v>3</v>
      </c>
    </row>
    <row r="2451" spans="2:22">
      <c r="B2451" s="318">
        <f t="shared" si="151"/>
        <v>46214</v>
      </c>
      <c r="C2451" s="312">
        <v>23</v>
      </c>
      <c r="D2451" s="368">
        <f>IFERROR((INDEX(METADATA!$T$2:$T$20,MATCH(B2451,METADATA!$S$2:$S$20,0))),0)</f>
        <v>0</v>
      </c>
      <c r="E2451" s="312" t="str">
        <f t="shared" si="152"/>
        <v>LO</v>
      </c>
      <c r="F2451" s="369">
        <f>VLOOKUP(C2451,METADATA!$A$5:$H$29,IF(E2451="HI",2,IF(E2451="LO",6,10))+IF(D2451=1,2,IF(D2451=7,1,(IF(WEEKDAY(B2451)=1,2,IF(WEEKDAY(B2451)=7,1,0))))))</f>
        <v>3</v>
      </c>
      <c r="G2451" s="369">
        <f>VLOOKUP(C2451,METADATA!$J$5:$Q$29,IF(E2451="HI",2,IF(E2451="LO",6,10))+IF(D2451=1,2,IF(D2451=7,1,(IF(WEEKDAY(B2451)=1,2,IF(WEEKDAY(B2451)=7,1,0))))))</f>
        <v>3</v>
      </c>
      <c r="H2451" s="370">
        <v>13282.499633789063</v>
      </c>
      <c r="I2451" s="370">
        <v>4533.4899597167969</v>
      </c>
      <c r="M2451" s="371">
        <f t="shared" si="153"/>
        <v>14034.86115843187</v>
      </c>
      <c r="N2451" s="329">
        <f t="shared" si="154"/>
        <v>548.7400695800784</v>
      </c>
      <c r="T2451" s="331">
        <v>0</v>
      </c>
      <c r="U2451" s="328">
        <f>VLOOKUP(C2451,METADATA!$J$5:$Q$29,IF(E2451="HI",2,IF(E2451="LO",6,10))+IF(T2451=1,2,IF(D2451=7,1,(IF(WEEKDAY(B2451)=1,2,IF(WEEKDAY(B2451)=7,1,0))))))</f>
        <v>3</v>
      </c>
      <c r="V2451" s="328">
        <f>VLOOKUP(C2451,METADATA!$A$5:$H$29,IF(E2451="HI",2,IF(E2451="LO",6,10))+IF(T2451=1,2,IF(D2451=7,1,(IF(WEEKDAY(B2451)=1,2,IF(WEEKDAY(B2451)=7,1,0))))))</f>
        <v>3</v>
      </c>
    </row>
    <row r="2452" spans="2:22">
      <c r="B2452" s="318">
        <f t="shared" si="151"/>
        <v>46215</v>
      </c>
      <c r="C2452" s="312">
        <v>0</v>
      </c>
      <c r="D2452" s="368">
        <f>IFERROR((INDEX(METADATA!$T$2:$T$20,MATCH(B2452,METADATA!$S$2:$S$20,0))),0)</f>
        <v>0</v>
      </c>
      <c r="E2452" s="312" t="str">
        <f t="shared" si="152"/>
        <v>LO</v>
      </c>
      <c r="F2452" s="369">
        <f>VLOOKUP(C2452,METADATA!$A$5:$H$29,IF(E2452="HI",2,IF(E2452="LO",6,10))+IF(D2452=1,2,IF(D2452=7,1,(IF(WEEKDAY(B2452)=1,2,IF(WEEKDAY(B2452)=7,1,0))))))</f>
        <v>3</v>
      </c>
      <c r="G2452" s="369">
        <f>VLOOKUP(C2452,METADATA!$J$5:$Q$29,IF(E2452="HI",2,IF(E2452="LO",6,10))+IF(D2452=1,2,IF(D2452=7,1,(IF(WEEKDAY(B2452)=1,2,IF(WEEKDAY(B2452)=7,1,0))))))</f>
        <v>3</v>
      </c>
      <c r="H2452" s="370">
        <v>13332.150207519531</v>
      </c>
      <c r="I2452" s="370">
        <v>4328.2899780273438</v>
      </c>
      <c r="M2452" s="371">
        <f t="shared" si="153"/>
        <v>14017.143906294001</v>
      </c>
      <c r="N2452" s="329">
        <f t="shared" si="154"/>
        <v>328.64491577148465</v>
      </c>
      <c r="T2452" s="331">
        <v>0</v>
      </c>
      <c r="U2452" s="328">
        <f>VLOOKUP(C2452,METADATA!$J$5:$Q$29,IF(E2452="HI",2,IF(E2452="LO",6,10))+IF(T2452=1,2,IF(D2452=7,1,(IF(WEEKDAY(B2452)=1,2,IF(WEEKDAY(B2452)=7,1,0))))))</f>
        <v>3</v>
      </c>
      <c r="V2452" s="328">
        <f>VLOOKUP(C2452,METADATA!$A$5:$H$29,IF(E2452="HI",2,IF(E2452="LO",6,10))+IF(T2452=1,2,IF(D2452=7,1,(IF(WEEKDAY(B2452)=1,2,IF(WEEKDAY(B2452)=7,1,0))))))</f>
        <v>3</v>
      </c>
    </row>
    <row r="2453" spans="2:22">
      <c r="B2453" s="318">
        <f t="shared" si="151"/>
        <v>46215</v>
      </c>
      <c r="C2453" s="312">
        <v>1</v>
      </c>
      <c r="D2453" s="368">
        <f>IFERROR((INDEX(METADATA!$T$2:$T$20,MATCH(B2453,METADATA!$S$2:$S$20,0))),0)</f>
        <v>0</v>
      </c>
      <c r="E2453" s="312" t="str">
        <f t="shared" si="152"/>
        <v>LO</v>
      </c>
      <c r="F2453" s="369">
        <f>VLOOKUP(C2453,METADATA!$A$5:$H$29,IF(E2453="HI",2,IF(E2453="LO",6,10))+IF(D2453=1,2,IF(D2453=7,1,(IF(WEEKDAY(B2453)=1,2,IF(WEEKDAY(B2453)=7,1,0))))))</f>
        <v>3</v>
      </c>
      <c r="G2453" s="369">
        <f>VLOOKUP(C2453,METADATA!$J$5:$Q$29,IF(E2453="HI",2,IF(E2453="LO",6,10))+IF(D2453=1,2,IF(D2453=7,1,(IF(WEEKDAY(B2453)=1,2,IF(WEEKDAY(B2453)=7,1,0))))))</f>
        <v>3</v>
      </c>
      <c r="H2453" s="370">
        <v>13232.160278320313</v>
      </c>
      <c r="I2453" s="370">
        <v>4426.0875549316406</v>
      </c>
      <c r="M2453" s="371">
        <f t="shared" si="153"/>
        <v>13952.788849369097</v>
      </c>
      <c r="N2453" s="329">
        <f t="shared" si="154"/>
        <v>456.43947143554715</v>
      </c>
      <c r="T2453" s="331">
        <v>0</v>
      </c>
      <c r="U2453" s="328">
        <f>VLOOKUP(C2453,METADATA!$J$5:$Q$29,IF(E2453="HI",2,IF(E2453="LO",6,10))+IF(T2453=1,2,IF(D2453=7,1,(IF(WEEKDAY(B2453)=1,2,IF(WEEKDAY(B2453)=7,1,0))))))</f>
        <v>3</v>
      </c>
      <c r="V2453" s="328">
        <f>VLOOKUP(C2453,METADATA!$A$5:$H$29,IF(E2453="HI",2,IF(E2453="LO",6,10))+IF(T2453=1,2,IF(D2453=7,1,(IF(WEEKDAY(B2453)=1,2,IF(WEEKDAY(B2453)=7,1,0))))))</f>
        <v>3</v>
      </c>
    </row>
    <row r="2454" spans="2:22">
      <c r="B2454" s="318">
        <f t="shared" si="151"/>
        <v>46215</v>
      </c>
      <c r="C2454" s="312">
        <v>2</v>
      </c>
      <c r="D2454" s="368">
        <f>IFERROR((INDEX(METADATA!$T$2:$T$20,MATCH(B2454,METADATA!$S$2:$S$20,0))),0)</f>
        <v>0</v>
      </c>
      <c r="E2454" s="312" t="str">
        <f t="shared" si="152"/>
        <v>LO</v>
      </c>
      <c r="F2454" s="369">
        <f>VLOOKUP(C2454,METADATA!$A$5:$H$29,IF(E2454="HI",2,IF(E2454="LO",6,10))+IF(D2454=1,2,IF(D2454=7,1,(IF(WEEKDAY(B2454)=1,2,IF(WEEKDAY(B2454)=7,1,0))))))</f>
        <v>3</v>
      </c>
      <c r="G2454" s="369">
        <f>VLOOKUP(C2454,METADATA!$J$5:$Q$29,IF(E2454="HI",2,IF(E2454="LO",6,10))+IF(D2454=1,2,IF(D2454=7,1,(IF(WEEKDAY(B2454)=1,2,IF(WEEKDAY(B2454)=7,1,0))))))</f>
        <v>3</v>
      </c>
      <c r="H2454" s="370">
        <v>13286.975341796875</v>
      </c>
      <c r="I2454" s="370">
        <v>4431.1399841308594</v>
      </c>
      <c r="M2454" s="371">
        <f t="shared" si="153"/>
        <v>14006.381234725886</v>
      </c>
      <c r="N2454" s="329">
        <f t="shared" si="154"/>
        <v>445.04738159179715</v>
      </c>
      <c r="T2454" s="331">
        <v>0</v>
      </c>
      <c r="U2454" s="328">
        <f>VLOOKUP(C2454,METADATA!$J$5:$Q$29,IF(E2454="HI",2,IF(E2454="LO",6,10))+IF(T2454=1,2,IF(D2454=7,1,(IF(WEEKDAY(B2454)=1,2,IF(WEEKDAY(B2454)=7,1,0))))))</f>
        <v>3</v>
      </c>
      <c r="V2454" s="328">
        <f>VLOOKUP(C2454,METADATA!$A$5:$H$29,IF(E2454="HI",2,IF(E2454="LO",6,10))+IF(T2454=1,2,IF(D2454=7,1,(IF(WEEKDAY(B2454)=1,2,IF(WEEKDAY(B2454)=7,1,0))))))</f>
        <v>3</v>
      </c>
    </row>
    <row r="2455" spans="2:22">
      <c r="B2455" s="318">
        <f t="shared" si="151"/>
        <v>46215</v>
      </c>
      <c r="C2455" s="312">
        <v>3</v>
      </c>
      <c r="D2455" s="368">
        <f>IFERROR((INDEX(METADATA!$T$2:$T$20,MATCH(B2455,METADATA!$S$2:$S$20,0))),0)</f>
        <v>0</v>
      </c>
      <c r="E2455" s="312" t="str">
        <f t="shared" si="152"/>
        <v>LO</v>
      </c>
      <c r="F2455" s="369">
        <f>VLOOKUP(C2455,METADATA!$A$5:$H$29,IF(E2455="HI",2,IF(E2455="LO",6,10))+IF(D2455=1,2,IF(D2455=7,1,(IF(WEEKDAY(B2455)=1,2,IF(WEEKDAY(B2455)=7,1,0))))))</f>
        <v>3</v>
      </c>
      <c r="G2455" s="369">
        <f>VLOOKUP(C2455,METADATA!$J$5:$Q$29,IF(E2455="HI",2,IF(E2455="LO",6,10))+IF(D2455=1,2,IF(D2455=7,1,(IF(WEEKDAY(B2455)=1,2,IF(WEEKDAY(B2455)=7,1,0))))))</f>
        <v>3</v>
      </c>
      <c r="H2455" s="370">
        <v>13372.124877929688</v>
      </c>
      <c r="I2455" s="370">
        <v>4429.7049560546875</v>
      </c>
      <c r="M2455" s="371">
        <f t="shared" si="153"/>
        <v>14086.73169151175</v>
      </c>
      <c r="N2455" s="329">
        <f t="shared" si="154"/>
        <v>418.06749267578152</v>
      </c>
      <c r="T2455" s="331">
        <v>0</v>
      </c>
      <c r="U2455" s="328">
        <f>VLOOKUP(C2455,METADATA!$J$5:$Q$29,IF(E2455="HI",2,IF(E2455="LO",6,10))+IF(T2455=1,2,IF(D2455=7,1,(IF(WEEKDAY(B2455)=1,2,IF(WEEKDAY(B2455)=7,1,0))))))</f>
        <v>3</v>
      </c>
      <c r="V2455" s="328">
        <f>VLOOKUP(C2455,METADATA!$A$5:$H$29,IF(E2455="HI",2,IF(E2455="LO",6,10))+IF(T2455=1,2,IF(D2455=7,1,(IF(WEEKDAY(B2455)=1,2,IF(WEEKDAY(B2455)=7,1,0))))))</f>
        <v>3</v>
      </c>
    </row>
    <row r="2456" spans="2:22">
      <c r="B2456" s="318">
        <f t="shared" si="151"/>
        <v>46215</v>
      </c>
      <c r="C2456" s="312">
        <v>4</v>
      </c>
      <c r="D2456" s="368">
        <f>IFERROR((INDEX(METADATA!$T$2:$T$20,MATCH(B2456,METADATA!$S$2:$S$20,0))),0)</f>
        <v>0</v>
      </c>
      <c r="E2456" s="312" t="str">
        <f t="shared" si="152"/>
        <v>LO</v>
      </c>
      <c r="F2456" s="369">
        <f>VLOOKUP(C2456,METADATA!$A$5:$H$29,IF(E2456="HI",2,IF(E2456="LO",6,10))+IF(D2456=1,2,IF(D2456=7,1,(IF(WEEKDAY(B2456)=1,2,IF(WEEKDAY(B2456)=7,1,0))))))</f>
        <v>3</v>
      </c>
      <c r="G2456" s="369">
        <f>VLOOKUP(C2456,METADATA!$J$5:$Q$29,IF(E2456="HI",2,IF(E2456="LO",6,10))+IF(D2456=1,2,IF(D2456=7,1,(IF(WEEKDAY(B2456)=1,2,IF(WEEKDAY(B2456)=7,1,0))))))</f>
        <v>3</v>
      </c>
      <c r="H2456" s="370">
        <v>13139.574829101563</v>
      </c>
      <c r="I2456" s="370">
        <v>4213.2499694824219</v>
      </c>
      <c r="M2456" s="371">
        <f t="shared" si="153"/>
        <v>13798.547097245528</v>
      </c>
      <c r="N2456" s="329">
        <f t="shared" si="154"/>
        <v>271.3775207519534</v>
      </c>
      <c r="T2456" s="331">
        <v>0</v>
      </c>
      <c r="U2456" s="328">
        <f>VLOOKUP(C2456,METADATA!$J$5:$Q$29,IF(E2456="HI",2,IF(E2456="LO",6,10))+IF(T2456=1,2,IF(D2456=7,1,(IF(WEEKDAY(B2456)=1,2,IF(WEEKDAY(B2456)=7,1,0))))))</f>
        <v>3</v>
      </c>
      <c r="V2456" s="328">
        <f>VLOOKUP(C2456,METADATA!$A$5:$H$29,IF(E2456="HI",2,IF(E2456="LO",6,10))+IF(T2456=1,2,IF(D2456=7,1,(IF(WEEKDAY(B2456)=1,2,IF(WEEKDAY(B2456)=7,1,0))))))</f>
        <v>3</v>
      </c>
    </row>
    <row r="2457" spans="2:22">
      <c r="B2457" s="318">
        <f t="shared" si="151"/>
        <v>46215</v>
      </c>
      <c r="C2457" s="312">
        <v>5</v>
      </c>
      <c r="D2457" s="368">
        <f>IFERROR((INDEX(METADATA!$T$2:$T$20,MATCH(B2457,METADATA!$S$2:$S$20,0))),0)</f>
        <v>0</v>
      </c>
      <c r="E2457" s="312" t="str">
        <f t="shared" si="152"/>
        <v>LO</v>
      </c>
      <c r="F2457" s="369">
        <f>VLOOKUP(C2457,METADATA!$A$5:$H$29,IF(E2457="HI",2,IF(E2457="LO",6,10))+IF(D2457=1,2,IF(D2457=7,1,(IF(WEEKDAY(B2457)=1,2,IF(WEEKDAY(B2457)=7,1,0))))))</f>
        <v>3</v>
      </c>
      <c r="G2457" s="369">
        <f>VLOOKUP(C2457,METADATA!$J$5:$Q$29,IF(E2457="HI",2,IF(E2457="LO",6,10))+IF(D2457=1,2,IF(D2457=7,1,(IF(WEEKDAY(B2457)=1,2,IF(WEEKDAY(B2457)=7,1,0))))))</f>
        <v>3</v>
      </c>
      <c r="H2457" s="370">
        <v>11683.269927978516</v>
      </c>
      <c r="I2457" s="370">
        <v>3468.6024780273438</v>
      </c>
      <c r="M2457" s="371">
        <f t="shared" si="153"/>
        <v>12187.288433469708</v>
      </c>
      <c r="N2457" s="329">
        <f t="shared" si="154"/>
        <v>0</v>
      </c>
      <c r="T2457" s="331">
        <v>0</v>
      </c>
      <c r="U2457" s="328">
        <f>VLOOKUP(C2457,METADATA!$J$5:$Q$29,IF(E2457="HI",2,IF(E2457="LO",6,10))+IF(T2457=1,2,IF(D2457=7,1,(IF(WEEKDAY(B2457)=1,2,IF(WEEKDAY(B2457)=7,1,0))))))</f>
        <v>3</v>
      </c>
      <c r="V2457" s="328">
        <f>VLOOKUP(C2457,METADATA!$A$5:$H$29,IF(E2457="HI",2,IF(E2457="LO",6,10))+IF(T2457=1,2,IF(D2457=7,1,(IF(WEEKDAY(B2457)=1,2,IF(WEEKDAY(B2457)=7,1,0))))))</f>
        <v>3</v>
      </c>
    </row>
    <row r="2458" spans="2:22">
      <c r="B2458" s="318">
        <f t="shared" si="151"/>
        <v>46215</v>
      </c>
      <c r="C2458" s="312">
        <v>6</v>
      </c>
      <c r="D2458" s="368">
        <f>IFERROR((INDEX(METADATA!$T$2:$T$20,MATCH(B2458,METADATA!$S$2:$S$20,0))),0)</f>
        <v>0</v>
      </c>
      <c r="E2458" s="312" t="str">
        <f t="shared" si="152"/>
        <v>LO</v>
      </c>
      <c r="F2458" s="369">
        <f>VLOOKUP(C2458,METADATA!$A$5:$H$29,IF(E2458="HI",2,IF(E2458="LO",6,10))+IF(D2458=1,2,IF(D2458=7,1,(IF(WEEKDAY(B2458)=1,2,IF(WEEKDAY(B2458)=7,1,0))))))</f>
        <v>3</v>
      </c>
      <c r="G2458" s="369">
        <f>VLOOKUP(C2458,METADATA!$J$5:$Q$29,IF(E2458="HI",2,IF(E2458="LO",6,10))+IF(D2458=1,2,IF(D2458=7,1,(IF(WEEKDAY(B2458)=1,2,IF(WEEKDAY(B2458)=7,1,0))))))</f>
        <v>3</v>
      </c>
      <c r="H2458" s="370">
        <v>11288.849975585938</v>
      </c>
      <c r="I2458" s="370">
        <v>3167.9975280761719</v>
      </c>
      <c r="M2458" s="371">
        <f t="shared" si="153"/>
        <v>11724.945292374859</v>
      </c>
      <c r="N2458" s="329">
        <f t="shared" si="154"/>
        <v>0</v>
      </c>
      <c r="T2458" s="331">
        <v>0</v>
      </c>
      <c r="U2458" s="328">
        <f>VLOOKUP(C2458,METADATA!$J$5:$Q$29,IF(E2458="HI",2,IF(E2458="LO",6,10))+IF(T2458=1,2,IF(D2458=7,1,(IF(WEEKDAY(B2458)=1,2,IF(WEEKDAY(B2458)=7,1,0))))))</f>
        <v>3</v>
      </c>
      <c r="V2458" s="328">
        <f>VLOOKUP(C2458,METADATA!$A$5:$H$29,IF(E2458="HI",2,IF(E2458="LO",6,10))+IF(T2458=1,2,IF(D2458=7,1,(IF(WEEKDAY(B2458)=1,2,IF(WEEKDAY(B2458)=7,1,0))))))</f>
        <v>3</v>
      </c>
    </row>
    <row r="2459" spans="2:22">
      <c r="B2459" s="318">
        <f t="shared" si="151"/>
        <v>46215</v>
      </c>
      <c r="C2459" s="312">
        <v>7</v>
      </c>
      <c r="D2459" s="368">
        <f>IFERROR((INDEX(METADATA!$T$2:$T$20,MATCH(B2459,METADATA!$S$2:$S$20,0))),0)</f>
        <v>0</v>
      </c>
      <c r="E2459" s="312" t="str">
        <f t="shared" si="152"/>
        <v>LO</v>
      </c>
      <c r="F2459" s="369">
        <f>VLOOKUP(C2459,METADATA!$A$5:$H$29,IF(E2459="HI",2,IF(E2459="LO",6,10))+IF(D2459=1,2,IF(D2459=7,1,(IF(WEEKDAY(B2459)=1,2,IF(WEEKDAY(B2459)=7,1,0))))))</f>
        <v>3</v>
      </c>
      <c r="G2459" s="369">
        <f>VLOOKUP(C2459,METADATA!$J$5:$Q$29,IF(E2459="HI",2,IF(E2459="LO",6,10))+IF(D2459=1,2,IF(D2459=7,1,(IF(WEEKDAY(B2459)=1,2,IF(WEEKDAY(B2459)=7,1,0))))))</f>
        <v>3</v>
      </c>
      <c r="H2459" s="370">
        <v>13236.575256347656</v>
      </c>
      <c r="I2459" s="370">
        <v>4312.8799743652344</v>
      </c>
      <c r="M2459" s="371">
        <f t="shared" si="153"/>
        <v>13921.489079485558</v>
      </c>
      <c r="N2459" s="329">
        <f t="shared" si="154"/>
        <v>341.90739746093777</v>
      </c>
      <c r="T2459" s="331">
        <v>0</v>
      </c>
      <c r="U2459" s="328">
        <f>VLOOKUP(C2459,METADATA!$J$5:$Q$29,IF(E2459="HI",2,IF(E2459="LO",6,10))+IF(T2459=1,2,IF(D2459=7,1,(IF(WEEKDAY(B2459)=1,2,IF(WEEKDAY(B2459)=7,1,0))))))</f>
        <v>3</v>
      </c>
      <c r="V2459" s="328">
        <f>VLOOKUP(C2459,METADATA!$A$5:$H$29,IF(E2459="HI",2,IF(E2459="LO",6,10))+IF(T2459=1,2,IF(D2459=7,1,(IF(WEEKDAY(B2459)=1,2,IF(WEEKDAY(B2459)=7,1,0))))))</f>
        <v>3</v>
      </c>
    </row>
    <row r="2460" spans="2:22">
      <c r="B2460" s="318">
        <f t="shared" ref="B2460:B2523" si="155">B2436+1</f>
        <v>46215</v>
      </c>
      <c r="C2460" s="312">
        <v>8</v>
      </c>
      <c r="D2460" s="368">
        <f>IFERROR((INDEX(METADATA!$T$2:$T$20,MATCH(B2460,METADATA!$S$2:$S$20,0))),0)</f>
        <v>0</v>
      </c>
      <c r="E2460" s="312" t="str">
        <f t="shared" si="152"/>
        <v>LO</v>
      </c>
      <c r="F2460" s="369">
        <f>VLOOKUP(C2460,METADATA!$A$5:$H$29,IF(E2460="HI",2,IF(E2460="LO",6,10))+IF(D2460=1,2,IF(D2460=7,1,(IF(WEEKDAY(B2460)=1,2,IF(WEEKDAY(B2460)=7,1,0))))))</f>
        <v>3</v>
      </c>
      <c r="G2460" s="369">
        <f>VLOOKUP(C2460,METADATA!$J$5:$Q$29,IF(E2460="HI",2,IF(E2460="LO",6,10))+IF(D2460=1,2,IF(D2460=7,1,(IF(WEEKDAY(B2460)=1,2,IF(WEEKDAY(B2460)=7,1,0))))))</f>
        <v>3</v>
      </c>
      <c r="H2460" s="370">
        <v>13412.550109863281</v>
      </c>
      <c r="I2460" s="370">
        <v>4091.0549926757813</v>
      </c>
      <c r="M2460" s="371">
        <f t="shared" si="153"/>
        <v>14022.597170377923</v>
      </c>
      <c r="N2460" s="329">
        <f t="shared" si="154"/>
        <v>67.289959716797057</v>
      </c>
      <c r="T2460" s="331">
        <v>0</v>
      </c>
      <c r="U2460" s="328">
        <f>VLOOKUP(C2460,METADATA!$J$5:$Q$29,IF(E2460="HI",2,IF(E2460="LO",6,10))+IF(T2460=1,2,IF(D2460=7,1,(IF(WEEKDAY(B2460)=1,2,IF(WEEKDAY(B2460)=7,1,0))))))</f>
        <v>3</v>
      </c>
      <c r="V2460" s="328">
        <f>VLOOKUP(C2460,METADATA!$A$5:$H$29,IF(E2460="HI",2,IF(E2460="LO",6,10))+IF(T2460=1,2,IF(D2460=7,1,(IF(WEEKDAY(B2460)=1,2,IF(WEEKDAY(B2460)=7,1,0))))))</f>
        <v>3</v>
      </c>
    </row>
    <row r="2461" spans="2:22">
      <c r="B2461" s="318">
        <f t="shared" si="155"/>
        <v>46215</v>
      </c>
      <c r="C2461" s="312">
        <v>9</v>
      </c>
      <c r="D2461" s="368">
        <f>IFERROR((INDEX(METADATA!$T$2:$T$20,MATCH(B2461,METADATA!$S$2:$S$20,0))),0)</f>
        <v>0</v>
      </c>
      <c r="E2461" s="312" t="str">
        <f t="shared" si="152"/>
        <v>LO</v>
      </c>
      <c r="F2461" s="369">
        <f>VLOOKUP(C2461,METADATA!$A$5:$H$29,IF(E2461="HI",2,IF(E2461="LO",6,10))+IF(D2461=1,2,IF(D2461=7,1,(IF(WEEKDAY(B2461)=1,2,IF(WEEKDAY(B2461)=7,1,0))))))</f>
        <v>3</v>
      </c>
      <c r="G2461" s="369">
        <f>VLOOKUP(C2461,METADATA!$J$5:$Q$29,IF(E2461="HI",2,IF(E2461="LO",6,10))+IF(D2461=1,2,IF(D2461=7,1,(IF(WEEKDAY(B2461)=1,2,IF(WEEKDAY(B2461)=7,1,0))))))</f>
        <v>3</v>
      </c>
      <c r="H2461" s="370">
        <v>13515.7998046875</v>
      </c>
      <c r="I2461" s="370">
        <v>4245.320068359375</v>
      </c>
      <c r="M2461" s="371">
        <f t="shared" si="153"/>
        <v>14166.84816193092</v>
      </c>
      <c r="N2461" s="329">
        <f t="shared" si="154"/>
        <v>190.58012695312527</v>
      </c>
      <c r="T2461" s="331">
        <v>0</v>
      </c>
      <c r="U2461" s="328">
        <f>VLOOKUP(C2461,METADATA!$J$5:$Q$29,IF(E2461="HI",2,IF(E2461="LO",6,10))+IF(T2461=1,2,IF(D2461=7,1,(IF(WEEKDAY(B2461)=1,2,IF(WEEKDAY(B2461)=7,1,0))))))</f>
        <v>3</v>
      </c>
      <c r="V2461" s="328">
        <f>VLOOKUP(C2461,METADATA!$A$5:$H$29,IF(E2461="HI",2,IF(E2461="LO",6,10))+IF(T2461=1,2,IF(D2461=7,1,(IF(WEEKDAY(B2461)=1,2,IF(WEEKDAY(B2461)=7,1,0))))))</f>
        <v>3</v>
      </c>
    </row>
    <row r="2462" spans="2:22">
      <c r="B2462" s="318">
        <f t="shared" si="155"/>
        <v>46215</v>
      </c>
      <c r="C2462" s="312">
        <v>10</v>
      </c>
      <c r="D2462" s="368">
        <f>IFERROR((INDEX(METADATA!$T$2:$T$20,MATCH(B2462,METADATA!$S$2:$S$20,0))),0)</f>
        <v>0</v>
      </c>
      <c r="E2462" s="312" t="str">
        <f t="shared" si="152"/>
        <v>LO</v>
      </c>
      <c r="F2462" s="369">
        <f>VLOOKUP(C2462,METADATA!$A$5:$H$29,IF(E2462="HI",2,IF(E2462="LO",6,10))+IF(D2462=1,2,IF(D2462=7,1,(IF(WEEKDAY(B2462)=1,2,IF(WEEKDAY(B2462)=7,1,0))))))</f>
        <v>3</v>
      </c>
      <c r="G2462" s="369">
        <f>VLOOKUP(C2462,METADATA!$J$5:$Q$29,IF(E2462="HI",2,IF(E2462="LO",6,10))+IF(D2462=1,2,IF(D2462=7,1,(IF(WEEKDAY(B2462)=1,2,IF(WEEKDAY(B2462)=7,1,0))))))</f>
        <v>3</v>
      </c>
      <c r="H2462" s="370">
        <v>13456.524658203125</v>
      </c>
      <c r="I2462" s="370">
        <v>4197.6800537109375</v>
      </c>
      <c r="M2462" s="371">
        <f t="shared" si="153"/>
        <v>14096.048159330025</v>
      </c>
      <c r="N2462" s="329">
        <f t="shared" si="154"/>
        <v>160.72265625</v>
      </c>
      <c r="T2462" s="331">
        <v>0</v>
      </c>
      <c r="U2462" s="328">
        <f>VLOOKUP(C2462,METADATA!$J$5:$Q$29,IF(E2462="HI",2,IF(E2462="LO",6,10))+IF(T2462=1,2,IF(D2462=7,1,(IF(WEEKDAY(B2462)=1,2,IF(WEEKDAY(B2462)=7,1,0))))))</f>
        <v>3</v>
      </c>
      <c r="V2462" s="328">
        <f>VLOOKUP(C2462,METADATA!$A$5:$H$29,IF(E2462="HI",2,IF(E2462="LO",6,10))+IF(T2462=1,2,IF(D2462=7,1,(IF(WEEKDAY(B2462)=1,2,IF(WEEKDAY(B2462)=7,1,0))))))</f>
        <v>3</v>
      </c>
    </row>
    <row r="2463" spans="2:22">
      <c r="B2463" s="318">
        <f t="shared" si="155"/>
        <v>46215</v>
      </c>
      <c r="C2463" s="312">
        <v>11</v>
      </c>
      <c r="D2463" s="368">
        <f>IFERROR((INDEX(METADATA!$T$2:$T$20,MATCH(B2463,METADATA!$S$2:$S$20,0))),0)</f>
        <v>0</v>
      </c>
      <c r="E2463" s="312" t="str">
        <f t="shared" si="152"/>
        <v>LO</v>
      </c>
      <c r="F2463" s="369">
        <f>VLOOKUP(C2463,METADATA!$A$5:$H$29,IF(E2463="HI",2,IF(E2463="LO",6,10))+IF(D2463=1,2,IF(D2463=7,1,(IF(WEEKDAY(B2463)=1,2,IF(WEEKDAY(B2463)=7,1,0))))))</f>
        <v>3</v>
      </c>
      <c r="G2463" s="369">
        <f>VLOOKUP(C2463,METADATA!$J$5:$Q$29,IF(E2463="HI",2,IF(E2463="LO",6,10))+IF(D2463=1,2,IF(D2463=7,1,(IF(WEEKDAY(B2463)=1,2,IF(WEEKDAY(B2463)=7,1,0))))))</f>
        <v>3</v>
      </c>
      <c r="H2463" s="370">
        <v>13254.350158691406</v>
      </c>
      <c r="I2463" s="370">
        <v>4020.8400268554688</v>
      </c>
      <c r="M2463" s="371">
        <f t="shared" si="153"/>
        <v>13850.810541292014</v>
      </c>
      <c r="N2463" s="329">
        <f t="shared" si="154"/>
        <v>44.534979248046966</v>
      </c>
      <c r="T2463" s="331">
        <v>0</v>
      </c>
      <c r="U2463" s="328">
        <f>VLOOKUP(C2463,METADATA!$J$5:$Q$29,IF(E2463="HI",2,IF(E2463="LO",6,10))+IF(T2463=1,2,IF(D2463=7,1,(IF(WEEKDAY(B2463)=1,2,IF(WEEKDAY(B2463)=7,1,0))))))</f>
        <v>3</v>
      </c>
      <c r="V2463" s="328">
        <f>VLOOKUP(C2463,METADATA!$A$5:$H$29,IF(E2463="HI",2,IF(E2463="LO",6,10))+IF(T2463=1,2,IF(D2463=7,1,(IF(WEEKDAY(B2463)=1,2,IF(WEEKDAY(B2463)=7,1,0))))))</f>
        <v>3</v>
      </c>
    </row>
    <row r="2464" spans="2:22">
      <c r="B2464" s="318">
        <f t="shared" si="155"/>
        <v>46215</v>
      </c>
      <c r="C2464" s="312">
        <v>12</v>
      </c>
      <c r="D2464" s="368">
        <f>IFERROR((INDEX(METADATA!$T$2:$T$20,MATCH(B2464,METADATA!$S$2:$S$20,0))),0)</f>
        <v>0</v>
      </c>
      <c r="E2464" s="312" t="str">
        <f t="shared" si="152"/>
        <v>LO</v>
      </c>
      <c r="F2464" s="369">
        <f>VLOOKUP(C2464,METADATA!$A$5:$H$29,IF(E2464="HI",2,IF(E2464="LO",6,10))+IF(D2464=1,2,IF(D2464=7,1,(IF(WEEKDAY(B2464)=1,2,IF(WEEKDAY(B2464)=7,1,0))))))</f>
        <v>3</v>
      </c>
      <c r="G2464" s="369">
        <f>VLOOKUP(C2464,METADATA!$J$5:$Q$29,IF(E2464="HI",2,IF(E2464="LO",6,10))+IF(D2464=1,2,IF(D2464=7,1,(IF(WEEKDAY(B2464)=1,2,IF(WEEKDAY(B2464)=7,1,0))))))</f>
        <v>3</v>
      </c>
      <c r="H2464" s="370">
        <v>13245.27490234375</v>
      </c>
      <c r="I2464" s="370">
        <v>4091.1449584960938</v>
      </c>
      <c r="M2464" s="371">
        <f t="shared" si="153"/>
        <v>13862.711650686717</v>
      </c>
      <c r="N2464" s="329">
        <f t="shared" si="154"/>
        <v>117.56248779296902</v>
      </c>
      <c r="T2464" s="331">
        <v>0</v>
      </c>
      <c r="U2464" s="328">
        <f>VLOOKUP(C2464,METADATA!$J$5:$Q$29,IF(E2464="HI",2,IF(E2464="LO",6,10))+IF(T2464=1,2,IF(D2464=7,1,(IF(WEEKDAY(B2464)=1,2,IF(WEEKDAY(B2464)=7,1,0))))))</f>
        <v>3</v>
      </c>
      <c r="V2464" s="328">
        <f>VLOOKUP(C2464,METADATA!$A$5:$H$29,IF(E2464="HI",2,IF(E2464="LO",6,10))+IF(T2464=1,2,IF(D2464=7,1,(IF(WEEKDAY(B2464)=1,2,IF(WEEKDAY(B2464)=7,1,0))))))</f>
        <v>3</v>
      </c>
    </row>
    <row r="2465" spans="2:22">
      <c r="B2465" s="318">
        <f t="shared" si="155"/>
        <v>46215</v>
      </c>
      <c r="C2465" s="312">
        <v>13</v>
      </c>
      <c r="D2465" s="368">
        <f>IFERROR((INDEX(METADATA!$T$2:$T$20,MATCH(B2465,METADATA!$S$2:$S$20,0))),0)</f>
        <v>0</v>
      </c>
      <c r="E2465" s="312" t="str">
        <f t="shared" si="152"/>
        <v>LO</v>
      </c>
      <c r="F2465" s="369">
        <f>VLOOKUP(C2465,METADATA!$A$5:$H$29,IF(E2465="HI",2,IF(E2465="LO",6,10))+IF(D2465=1,2,IF(D2465=7,1,(IF(WEEKDAY(B2465)=1,2,IF(WEEKDAY(B2465)=7,1,0))))))</f>
        <v>3</v>
      </c>
      <c r="G2465" s="369">
        <f>VLOOKUP(C2465,METADATA!$J$5:$Q$29,IF(E2465="HI",2,IF(E2465="LO",6,10))+IF(D2465=1,2,IF(D2465=7,1,(IF(WEEKDAY(B2465)=1,2,IF(WEEKDAY(B2465)=7,1,0))))))</f>
        <v>3</v>
      </c>
      <c r="H2465" s="370">
        <v>13184.35009765625</v>
      </c>
      <c r="I2465" s="370">
        <v>4101.6200561523438</v>
      </c>
      <c r="M2465" s="371">
        <f t="shared" si="153"/>
        <v>13807.620163612537</v>
      </c>
      <c r="N2465" s="329">
        <f t="shared" si="154"/>
        <v>146.31502685546911</v>
      </c>
      <c r="T2465" s="331">
        <v>0</v>
      </c>
      <c r="U2465" s="328">
        <f>VLOOKUP(C2465,METADATA!$J$5:$Q$29,IF(E2465="HI",2,IF(E2465="LO",6,10))+IF(T2465=1,2,IF(D2465=7,1,(IF(WEEKDAY(B2465)=1,2,IF(WEEKDAY(B2465)=7,1,0))))))</f>
        <v>3</v>
      </c>
      <c r="V2465" s="328">
        <f>VLOOKUP(C2465,METADATA!$A$5:$H$29,IF(E2465="HI",2,IF(E2465="LO",6,10))+IF(T2465=1,2,IF(D2465=7,1,(IF(WEEKDAY(B2465)=1,2,IF(WEEKDAY(B2465)=7,1,0))))))</f>
        <v>3</v>
      </c>
    </row>
    <row r="2466" spans="2:22">
      <c r="B2466" s="318">
        <f t="shared" si="155"/>
        <v>46215</v>
      </c>
      <c r="C2466" s="312">
        <v>14</v>
      </c>
      <c r="D2466" s="368">
        <f>IFERROR((INDEX(METADATA!$T$2:$T$20,MATCH(B2466,METADATA!$S$2:$S$20,0))),0)</f>
        <v>0</v>
      </c>
      <c r="E2466" s="312" t="str">
        <f t="shared" si="152"/>
        <v>LO</v>
      </c>
      <c r="F2466" s="369">
        <f>VLOOKUP(C2466,METADATA!$A$5:$H$29,IF(E2466="HI",2,IF(E2466="LO",6,10))+IF(D2466=1,2,IF(D2466=7,1,(IF(WEEKDAY(B2466)=1,2,IF(WEEKDAY(B2466)=7,1,0))))))</f>
        <v>3</v>
      </c>
      <c r="G2466" s="369">
        <f>VLOOKUP(C2466,METADATA!$J$5:$Q$29,IF(E2466="HI",2,IF(E2466="LO",6,10))+IF(D2466=1,2,IF(D2466=7,1,(IF(WEEKDAY(B2466)=1,2,IF(WEEKDAY(B2466)=7,1,0))))))</f>
        <v>3</v>
      </c>
      <c r="H2466" s="370">
        <v>13022.825012207031</v>
      </c>
      <c r="I2466" s="370">
        <v>4100.4600219726563</v>
      </c>
      <c r="M2466" s="371">
        <f t="shared" si="153"/>
        <v>13653.122122443681</v>
      </c>
      <c r="N2466" s="329">
        <f t="shared" si="154"/>
        <v>193.61251831054688</v>
      </c>
      <c r="T2466" s="331">
        <v>0</v>
      </c>
      <c r="U2466" s="328">
        <f>VLOOKUP(C2466,METADATA!$J$5:$Q$29,IF(E2466="HI",2,IF(E2466="LO",6,10))+IF(T2466=1,2,IF(D2466=7,1,(IF(WEEKDAY(B2466)=1,2,IF(WEEKDAY(B2466)=7,1,0))))))</f>
        <v>3</v>
      </c>
      <c r="V2466" s="328">
        <f>VLOOKUP(C2466,METADATA!$A$5:$H$29,IF(E2466="HI",2,IF(E2466="LO",6,10))+IF(T2466=1,2,IF(D2466=7,1,(IF(WEEKDAY(B2466)=1,2,IF(WEEKDAY(B2466)=7,1,0))))))</f>
        <v>3</v>
      </c>
    </row>
    <row r="2467" spans="2:22">
      <c r="B2467" s="318">
        <f t="shared" si="155"/>
        <v>46215</v>
      </c>
      <c r="C2467" s="312">
        <v>15</v>
      </c>
      <c r="D2467" s="368">
        <f>IFERROR((INDEX(METADATA!$T$2:$T$20,MATCH(B2467,METADATA!$S$2:$S$20,0))),0)</f>
        <v>0</v>
      </c>
      <c r="E2467" s="312" t="str">
        <f t="shared" si="152"/>
        <v>LO</v>
      </c>
      <c r="F2467" s="369">
        <f>VLOOKUP(C2467,METADATA!$A$5:$H$29,IF(E2467="HI",2,IF(E2467="LO",6,10))+IF(D2467=1,2,IF(D2467=7,1,(IF(WEEKDAY(B2467)=1,2,IF(WEEKDAY(B2467)=7,1,0))))))</f>
        <v>3</v>
      </c>
      <c r="G2467" s="369">
        <f>VLOOKUP(C2467,METADATA!$J$5:$Q$29,IF(E2467="HI",2,IF(E2467="LO",6,10))+IF(D2467=1,2,IF(D2467=7,1,(IF(WEEKDAY(B2467)=1,2,IF(WEEKDAY(B2467)=7,1,0))))))</f>
        <v>3</v>
      </c>
      <c r="H2467" s="370">
        <v>13223.000183105469</v>
      </c>
      <c r="I2467" s="370">
        <v>4194.5598754882813</v>
      </c>
      <c r="M2467" s="371">
        <f t="shared" si="153"/>
        <v>13872.348986075269</v>
      </c>
      <c r="N2467" s="329">
        <f t="shared" si="154"/>
        <v>227.65982055664063</v>
      </c>
      <c r="T2467" s="331">
        <v>0</v>
      </c>
      <c r="U2467" s="328">
        <f>VLOOKUP(C2467,METADATA!$J$5:$Q$29,IF(E2467="HI",2,IF(E2467="LO",6,10))+IF(T2467=1,2,IF(D2467=7,1,(IF(WEEKDAY(B2467)=1,2,IF(WEEKDAY(B2467)=7,1,0))))))</f>
        <v>3</v>
      </c>
      <c r="V2467" s="328">
        <f>VLOOKUP(C2467,METADATA!$A$5:$H$29,IF(E2467="HI",2,IF(E2467="LO",6,10))+IF(T2467=1,2,IF(D2467=7,1,(IF(WEEKDAY(B2467)=1,2,IF(WEEKDAY(B2467)=7,1,0))))))</f>
        <v>3</v>
      </c>
    </row>
    <row r="2468" spans="2:22">
      <c r="B2468" s="318">
        <f t="shared" si="155"/>
        <v>46215</v>
      </c>
      <c r="C2468" s="312">
        <v>16</v>
      </c>
      <c r="D2468" s="368">
        <f>IFERROR((INDEX(METADATA!$T$2:$T$20,MATCH(B2468,METADATA!$S$2:$S$20,0))),0)</f>
        <v>0</v>
      </c>
      <c r="E2468" s="312" t="str">
        <f t="shared" si="152"/>
        <v>LO</v>
      </c>
      <c r="F2468" s="369">
        <f>VLOOKUP(C2468,METADATA!$A$5:$H$29,IF(E2468="HI",2,IF(E2468="LO",6,10))+IF(D2468=1,2,IF(D2468=7,1,(IF(WEEKDAY(B2468)=1,2,IF(WEEKDAY(B2468)=7,1,0))))))</f>
        <v>3</v>
      </c>
      <c r="G2468" s="369">
        <f>VLOOKUP(C2468,METADATA!$J$5:$Q$29,IF(E2468="HI",2,IF(E2468="LO",6,10))+IF(D2468=1,2,IF(D2468=7,1,(IF(WEEKDAY(B2468)=1,2,IF(WEEKDAY(B2468)=7,1,0))))))</f>
        <v>3</v>
      </c>
      <c r="H2468" s="370">
        <v>13203.399841308594</v>
      </c>
      <c r="I2468" s="370">
        <v>4205.3850402832031</v>
      </c>
      <c r="M2468" s="371">
        <f t="shared" si="153"/>
        <v>13856.948823839452</v>
      </c>
      <c r="N2468" s="329">
        <f t="shared" si="154"/>
        <v>244.36508789062509</v>
      </c>
      <c r="T2468" s="331">
        <v>0</v>
      </c>
      <c r="U2468" s="328">
        <f>VLOOKUP(C2468,METADATA!$J$5:$Q$29,IF(E2468="HI",2,IF(E2468="LO",6,10))+IF(T2468=1,2,IF(D2468=7,1,(IF(WEEKDAY(B2468)=1,2,IF(WEEKDAY(B2468)=7,1,0))))))</f>
        <v>3</v>
      </c>
      <c r="V2468" s="328">
        <f>VLOOKUP(C2468,METADATA!$A$5:$H$29,IF(E2468="HI",2,IF(E2468="LO",6,10))+IF(T2468=1,2,IF(D2468=7,1,(IF(WEEKDAY(B2468)=1,2,IF(WEEKDAY(B2468)=7,1,0))))))</f>
        <v>3</v>
      </c>
    </row>
    <row r="2469" spans="2:22">
      <c r="B2469" s="318">
        <f t="shared" si="155"/>
        <v>46215</v>
      </c>
      <c r="C2469" s="312">
        <v>17</v>
      </c>
      <c r="D2469" s="368">
        <f>IFERROR((INDEX(METADATA!$T$2:$T$20,MATCH(B2469,METADATA!$S$2:$S$20,0))),0)</f>
        <v>0</v>
      </c>
      <c r="E2469" s="312" t="str">
        <f t="shared" si="152"/>
        <v>LO</v>
      </c>
      <c r="F2469" s="369">
        <f>VLOOKUP(C2469,METADATA!$A$5:$H$29,IF(E2469="HI",2,IF(E2469="LO",6,10))+IF(D2469=1,2,IF(D2469=7,1,(IF(WEEKDAY(B2469)=1,2,IF(WEEKDAY(B2469)=7,1,0))))))</f>
        <v>3</v>
      </c>
      <c r="G2469" s="369">
        <f>VLOOKUP(C2469,METADATA!$J$5:$Q$29,IF(E2469="HI",2,IF(E2469="LO",6,10))+IF(D2469=1,2,IF(D2469=7,1,(IF(WEEKDAY(B2469)=1,2,IF(WEEKDAY(B2469)=7,1,0))))))</f>
        <v>3</v>
      </c>
      <c r="H2469" s="370">
        <v>13202.224975585938</v>
      </c>
      <c r="I2469" s="370">
        <v>4083.530029296875</v>
      </c>
      <c r="M2469" s="371">
        <f t="shared" si="153"/>
        <v>13819.332900185682</v>
      </c>
      <c r="N2469" s="329">
        <f t="shared" si="154"/>
        <v>122.86253662109402</v>
      </c>
      <c r="T2469" s="331">
        <v>0</v>
      </c>
      <c r="U2469" s="328">
        <f>VLOOKUP(C2469,METADATA!$J$5:$Q$29,IF(E2469="HI",2,IF(E2469="LO",6,10))+IF(T2469=1,2,IF(D2469=7,1,(IF(WEEKDAY(B2469)=1,2,IF(WEEKDAY(B2469)=7,1,0))))))</f>
        <v>3</v>
      </c>
      <c r="V2469" s="328">
        <f>VLOOKUP(C2469,METADATA!$A$5:$H$29,IF(E2469="HI",2,IF(E2469="LO",6,10))+IF(T2469=1,2,IF(D2469=7,1,(IF(WEEKDAY(B2469)=1,2,IF(WEEKDAY(B2469)=7,1,0))))))</f>
        <v>3</v>
      </c>
    </row>
    <row r="2470" spans="2:22">
      <c r="B2470" s="318">
        <f t="shared" si="155"/>
        <v>46215</v>
      </c>
      <c r="C2470" s="312">
        <v>18</v>
      </c>
      <c r="D2470" s="368">
        <f>IFERROR((INDEX(METADATA!$T$2:$T$20,MATCH(B2470,METADATA!$S$2:$S$20,0))),0)</f>
        <v>0</v>
      </c>
      <c r="E2470" s="312" t="str">
        <f t="shared" si="152"/>
        <v>LO</v>
      </c>
      <c r="F2470" s="369">
        <f>VLOOKUP(C2470,METADATA!$A$5:$H$29,IF(E2470="HI",2,IF(E2470="LO",6,10))+IF(D2470=1,2,IF(D2470=7,1,(IF(WEEKDAY(B2470)=1,2,IF(WEEKDAY(B2470)=7,1,0))))))</f>
        <v>2</v>
      </c>
      <c r="G2470" s="369">
        <f>VLOOKUP(C2470,METADATA!$J$5:$Q$29,IF(E2470="HI",2,IF(E2470="LO",6,10))+IF(D2470=1,2,IF(D2470=7,1,(IF(WEEKDAY(B2470)=1,2,IF(WEEKDAY(B2470)=7,1,0))))))</f>
        <v>2</v>
      </c>
      <c r="H2470" s="370">
        <v>13166.300048828125</v>
      </c>
      <c r="I2470" s="370">
        <v>3945.1549682617188</v>
      </c>
      <c r="M2470" s="371">
        <f t="shared" si="153"/>
        <v>13744.660952507036</v>
      </c>
      <c r="N2470" s="329">
        <f t="shared" si="154"/>
        <v>0</v>
      </c>
      <c r="T2470" s="331">
        <v>0</v>
      </c>
      <c r="U2470" s="328">
        <f>VLOOKUP(C2470,METADATA!$J$5:$Q$29,IF(E2470="HI",2,IF(E2470="LO",6,10))+IF(T2470=1,2,IF(D2470=7,1,(IF(WEEKDAY(B2470)=1,2,IF(WEEKDAY(B2470)=7,1,0))))))</f>
        <v>2</v>
      </c>
      <c r="V2470" s="328">
        <f>VLOOKUP(C2470,METADATA!$A$5:$H$29,IF(E2470="HI",2,IF(E2470="LO",6,10))+IF(T2470=1,2,IF(D2470=7,1,(IF(WEEKDAY(B2470)=1,2,IF(WEEKDAY(B2470)=7,1,0))))))</f>
        <v>2</v>
      </c>
    </row>
    <row r="2471" spans="2:22">
      <c r="B2471" s="318">
        <f t="shared" si="155"/>
        <v>46215</v>
      </c>
      <c r="C2471" s="312">
        <v>19</v>
      </c>
      <c r="D2471" s="368">
        <f>IFERROR((INDEX(METADATA!$T$2:$T$20,MATCH(B2471,METADATA!$S$2:$S$20,0))),0)</f>
        <v>0</v>
      </c>
      <c r="E2471" s="312" t="str">
        <f t="shared" si="152"/>
        <v>LO</v>
      </c>
      <c r="F2471" s="369">
        <f>VLOOKUP(C2471,METADATA!$A$5:$H$29,IF(E2471="HI",2,IF(E2471="LO",6,10))+IF(D2471=1,2,IF(D2471=7,1,(IF(WEEKDAY(B2471)=1,2,IF(WEEKDAY(B2471)=7,1,0))))))</f>
        <v>2</v>
      </c>
      <c r="G2471" s="369">
        <f>VLOOKUP(C2471,METADATA!$J$5:$Q$29,IF(E2471="HI",2,IF(E2471="LO",6,10))+IF(D2471=1,2,IF(D2471=7,1,(IF(WEEKDAY(B2471)=1,2,IF(WEEKDAY(B2471)=7,1,0))))))</f>
        <v>2</v>
      </c>
      <c r="H2471" s="370">
        <v>13171.700439453125</v>
      </c>
      <c r="I2471" s="370">
        <v>4123.2549743652344</v>
      </c>
      <c r="M2471" s="371">
        <f t="shared" si="153"/>
        <v>13801.98985836163</v>
      </c>
      <c r="N2471" s="329">
        <f t="shared" si="154"/>
        <v>171.74484252929688</v>
      </c>
      <c r="T2471" s="331">
        <v>0</v>
      </c>
      <c r="U2471" s="328">
        <f>VLOOKUP(C2471,METADATA!$J$5:$Q$29,IF(E2471="HI",2,IF(E2471="LO",6,10))+IF(T2471=1,2,IF(D2471=7,1,(IF(WEEKDAY(B2471)=1,2,IF(WEEKDAY(B2471)=7,1,0))))))</f>
        <v>2</v>
      </c>
      <c r="V2471" s="328">
        <f>VLOOKUP(C2471,METADATA!$A$5:$H$29,IF(E2471="HI",2,IF(E2471="LO",6,10))+IF(T2471=1,2,IF(D2471=7,1,(IF(WEEKDAY(B2471)=1,2,IF(WEEKDAY(B2471)=7,1,0))))))</f>
        <v>2</v>
      </c>
    </row>
    <row r="2472" spans="2:22">
      <c r="B2472" s="318">
        <f t="shared" si="155"/>
        <v>46215</v>
      </c>
      <c r="C2472" s="312">
        <v>20</v>
      </c>
      <c r="D2472" s="368">
        <f>IFERROR((INDEX(METADATA!$T$2:$T$20,MATCH(B2472,METADATA!$S$2:$S$20,0))),0)</f>
        <v>0</v>
      </c>
      <c r="E2472" s="312" t="str">
        <f t="shared" si="152"/>
        <v>LO</v>
      </c>
      <c r="F2472" s="369">
        <f>VLOOKUP(C2472,METADATA!$A$5:$H$29,IF(E2472="HI",2,IF(E2472="LO",6,10))+IF(D2472=1,2,IF(D2472=7,1,(IF(WEEKDAY(B2472)=1,2,IF(WEEKDAY(B2472)=7,1,0))))))</f>
        <v>3</v>
      </c>
      <c r="G2472" s="369">
        <f>VLOOKUP(C2472,METADATA!$J$5:$Q$29,IF(E2472="HI",2,IF(E2472="LO",6,10))+IF(D2472=1,2,IF(D2472=7,1,(IF(WEEKDAY(B2472)=1,2,IF(WEEKDAY(B2472)=7,1,0))))))</f>
        <v>3</v>
      </c>
      <c r="H2472" s="370">
        <v>13177.349914550781</v>
      </c>
      <c r="I2472" s="370">
        <v>4242.0849304199219</v>
      </c>
      <c r="M2472" s="371">
        <f t="shared" si="153"/>
        <v>13843.331800090875</v>
      </c>
      <c r="N2472" s="329">
        <f t="shared" si="154"/>
        <v>288.87995605468768</v>
      </c>
      <c r="T2472" s="331">
        <v>0</v>
      </c>
      <c r="U2472" s="328">
        <f>VLOOKUP(C2472,METADATA!$J$5:$Q$29,IF(E2472="HI",2,IF(E2472="LO",6,10))+IF(T2472=1,2,IF(D2472=7,1,(IF(WEEKDAY(B2472)=1,2,IF(WEEKDAY(B2472)=7,1,0))))))</f>
        <v>3</v>
      </c>
      <c r="V2472" s="328">
        <f>VLOOKUP(C2472,METADATA!$A$5:$H$29,IF(E2472="HI",2,IF(E2472="LO",6,10))+IF(T2472=1,2,IF(D2472=7,1,(IF(WEEKDAY(B2472)=1,2,IF(WEEKDAY(B2472)=7,1,0))))))</f>
        <v>3</v>
      </c>
    </row>
    <row r="2473" spans="2:22">
      <c r="B2473" s="318">
        <f t="shared" si="155"/>
        <v>46215</v>
      </c>
      <c r="C2473" s="312">
        <v>21</v>
      </c>
      <c r="D2473" s="368">
        <f>IFERROR((INDEX(METADATA!$T$2:$T$20,MATCH(B2473,METADATA!$S$2:$S$20,0))),0)</f>
        <v>0</v>
      </c>
      <c r="E2473" s="312" t="str">
        <f t="shared" si="152"/>
        <v>LO</v>
      </c>
      <c r="F2473" s="369">
        <f>VLOOKUP(C2473,METADATA!$A$5:$H$29,IF(E2473="HI",2,IF(E2473="LO",6,10))+IF(D2473=1,2,IF(D2473=7,1,(IF(WEEKDAY(B2473)=1,2,IF(WEEKDAY(B2473)=7,1,0))))))</f>
        <v>3</v>
      </c>
      <c r="G2473" s="369">
        <f>VLOOKUP(C2473,METADATA!$J$5:$Q$29,IF(E2473="HI",2,IF(E2473="LO",6,10))+IF(D2473=1,2,IF(D2473=7,1,(IF(WEEKDAY(B2473)=1,2,IF(WEEKDAY(B2473)=7,1,0))))))</f>
        <v>3</v>
      </c>
      <c r="H2473" s="370">
        <v>13267.325012207031</v>
      </c>
      <c r="I2473" s="370">
        <v>4308.1650390625</v>
      </c>
      <c r="M2473" s="371">
        <f t="shared" si="153"/>
        <v>13949.272346016285</v>
      </c>
      <c r="N2473" s="329">
        <f t="shared" si="154"/>
        <v>327.96753540039072</v>
      </c>
      <c r="T2473" s="331">
        <v>0</v>
      </c>
      <c r="U2473" s="328">
        <f>VLOOKUP(C2473,METADATA!$J$5:$Q$29,IF(E2473="HI",2,IF(E2473="LO",6,10))+IF(T2473=1,2,IF(D2473=7,1,(IF(WEEKDAY(B2473)=1,2,IF(WEEKDAY(B2473)=7,1,0))))))</f>
        <v>3</v>
      </c>
      <c r="V2473" s="328">
        <f>VLOOKUP(C2473,METADATA!$A$5:$H$29,IF(E2473="HI",2,IF(E2473="LO",6,10))+IF(T2473=1,2,IF(D2473=7,1,(IF(WEEKDAY(B2473)=1,2,IF(WEEKDAY(B2473)=7,1,0))))))</f>
        <v>3</v>
      </c>
    </row>
    <row r="2474" spans="2:22">
      <c r="B2474" s="318">
        <f t="shared" si="155"/>
        <v>46215</v>
      </c>
      <c r="C2474" s="312">
        <v>22</v>
      </c>
      <c r="D2474" s="368">
        <f>IFERROR((INDEX(METADATA!$T$2:$T$20,MATCH(B2474,METADATA!$S$2:$S$20,0))),0)</f>
        <v>0</v>
      </c>
      <c r="E2474" s="312" t="str">
        <f t="shared" si="152"/>
        <v>LO</v>
      </c>
      <c r="F2474" s="369">
        <f>VLOOKUP(C2474,METADATA!$A$5:$H$29,IF(E2474="HI",2,IF(E2474="LO",6,10))+IF(D2474=1,2,IF(D2474=7,1,(IF(WEEKDAY(B2474)=1,2,IF(WEEKDAY(B2474)=7,1,0))))))</f>
        <v>3</v>
      </c>
      <c r="G2474" s="369">
        <f>VLOOKUP(C2474,METADATA!$J$5:$Q$29,IF(E2474="HI",2,IF(E2474="LO",6,10))+IF(D2474=1,2,IF(D2474=7,1,(IF(WEEKDAY(B2474)=1,2,IF(WEEKDAY(B2474)=7,1,0))))))</f>
        <v>3</v>
      </c>
      <c r="H2474" s="370">
        <v>13314.949890136719</v>
      </c>
      <c r="I2474" s="370">
        <v>4154.5000915527344</v>
      </c>
      <c r="M2474" s="371">
        <f t="shared" si="153"/>
        <v>13948.037911748143</v>
      </c>
      <c r="N2474" s="329">
        <f t="shared" si="154"/>
        <v>160.01512451171902</v>
      </c>
      <c r="T2474" s="331">
        <v>0</v>
      </c>
      <c r="U2474" s="328">
        <f>VLOOKUP(C2474,METADATA!$J$5:$Q$29,IF(E2474="HI",2,IF(E2474="LO",6,10))+IF(T2474=1,2,IF(D2474=7,1,(IF(WEEKDAY(B2474)=1,2,IF(WEEKDAY(B2474)=7,1,0))))))</f>
        <v>3</v>
      </c>
      <c r="V2474" s="328">
        <f>VLOOKUP(C2474,METADATA!$A$5:$H$29,IF(E2474="HI",2,IF(E2474="LO",6,10))+IF(T2474=1,2,IF(D2474=7,1,(IF(WEEKDAY(B2474)=1,2,IF(WEEKDAY(B2474)=7,1,0))))))</f>
        <v>3</v>
      </c>
    </row>
    <row r="2475" spans="2:22">
      <c r="B2475" s="318">
        <f t="shared" si="155"/>
        <v>46215</v>
      </c>
      <c r="C2475" s="312">
        <v>23</v>
      </c>
      <c r="D2475" s="368">
        <f>IFERROR((INDEX(METADATA!$T$2:$T$20,MATCH(B2475,METADATA!$S$2:$S$20,0))),0)</f>
        <v>0</v>
      </c>
      <c r="E2475" s="312" t="str">
        <f t="shared" si="152"/>
        <v>LO</v>
      </c>
      <c r="F2475" s="369">
        <f>VLOOKUP(C2475,METADATA!$A$5:$H$29,IF(E2475="HI",2,IF(E2475="LO",6,10))+IF(D2475=1,2,IF(D2475=7,1,(IF(WEEKDAY(B2475)=1,2,IF(WEEKDAY(B2475)=7,1,0))))))</f>
        <v>3</v>
      </c>
      <c r="G2475" s="369">
        <f>VLOOKUP(C2475,METADATA!$J$5:$Q$29,IF(E2475="HI",2,IF(E2475="LO",6,10))+IF(D2475=1,2,IF(D2475=7,1,(IF(WEEKDAY(B2475)=1,2,IF(WEEKDAY(B2475)=7,1,0))))))</f>
        <v>3</v>
      </c>
      <c r="H2475" s="370">
        <v>13324.900268554688</v>
      </c>
      <c r="I2475" s="370">
        <v>4196.97998046875</v>
      </c>
      <c r="M2475" s="371">
        <f t="shared" si="153"/>
        <v>13970.240088251319</v>
      </c>
      <c r="N2475" s="329">
        <f t="shared" si="154"/>
        <v>199.50989990234393</v>
      </c>
      <c r="T2475" s="331">
        <v>0</v>
      </c>
      <c r="U2475" s="328">
        <f>VLOOKUP(C2475,METADATA!$J$5:$Q$29,IF(E2475="HI",2,IF(E2475="LO",6,10))+IF(T2475=1,2,IF(D2475=7,1,(IF(WEEKDAY(B2475)=1,2,IF(WEEKDAY(B2475)=7,1,0))))))</f>
        <v>3</v>
      </c>
      <c r="V2475" s="328">
        <f>VLOOKUP(C2475,METADATA!$A$5:$H$29,IF(E2475="HI",2,IF(E2475="LO",6,10))+IF(T2475=1,2,IF(D2475=7,1,(IF(WEEKDAY(B2475)=1,2,IF(WEEKDAY(B2475)=7,1,0))))))</f>
        <v>3</v>
      </c>
    </row>
    <row r="2476" spans="2:22">
      <c r="B2476" s="318">
        <f t="shared" si="155"/>
        <v>46216</v>
      </c>
      <c r="C2476" s="312">
        <v>0</v>
      </c>
      <c r="D2476" s="368">
        <f>IFERROR((INDEX(METADATA!$T$2:$T$20,MATCH(B2476,METADATA!$S$2:$S$20,0))),0)</f>
        <v>0</v>
      </c>
      <c r="E2476" s="312" t="str">
        <f t="shared" si="152"/>
        <v>LO</v>
      </c>
      <c r="F2476" s="369">
        <f>VLOOKUP(C2476,METADATA!$A$5:$H$29,IF(E2476="HI",2,IF(E2476="LO",6,10))+IF(D2476=1,2,IF(D2476=7,1,(IF(WEEKDAY(B2476)=1,2,IF(WEEKDAY(B2476)=7,1,0))))))</f>
        <v>3</v>
      </c>
      <c r="G2476" s="369">
        <f>VLOOKUP(C2476,METADATA!$J$5:$Q$29,IF(E2476="HI",2,IF(E2476="LO",6,10))+IF(D2476=1,2,IF(D2476=7,1,(IF(WEEKDAY(B2476)=1,2,IF(WEEKDAY(B2476)=7,1,0))))))</f>
        <v>3</v>
      </c>
      <c r="H2476" s="370">
        <v>13436.425231933594</v>
      </c>
      <c r="I2476" s="370">
        <v>4422.8400268554688</v>
      </c>
      <c r="M2476" s="371">
        <f t="shared" si="153"/>
        <v>14145.636674130175</v>
      </c>
      <c r="N2476" s="329">
        <f t="shared" si="154"/>
        <v>391.91245727539081</v>
      </c>
      <c r="T2476" s="331">
        <v>0</v>
      </c>
      <c r="U2476" s="328">
        <f>VLOOKUP(C2476,METADATA!$J$5:$Q$29,IF(E2476="HI",2,IF(E2476="LO",6,10))+IF(T2476=1,2,IF(D2476=7,1,(IF(WEEKDAY(B2476)=1,2,IF(WEEKDAY(B2476)=7,1,0))))))</f>
        <v>3</v>
      </c>
      <c r="V2476" s="328">
        <f>VLOOKUP(C2476,METADATA!$A$5:$H$29,IF(E2476="HI",2,IF(E2476="LO",6,10))+IF(T2476=1,2,IF(D2476=7,1,(IF(WEEKDAY(B2476)=1,2,IF(WEEKDAY(B2476)=7,1,0))))))</f>
        <v>3</v>
      </c>
    </row>
    <row r="2477" spans="2:22">
      <c r="B2477" s="318">
        <f t="shared" si="155"/>
        <v>46216</v>
      </c>
      <c r="C2477" s="312">
        <v>1</v>
      </c>
      <c r="D2477" s="368">
        <f>IFERROR((INDEX(METADATA!$T$2:$T$20,MATCH(B2477,METADATA!$S$2:$S$20,0))),0)</f>
        <v>0</v>
      </c>
      <c r="E2477" s="312" t="str">
        <f t="shared" si="152"/>
        <v>LO</v>
      </c>
      <c r="F2477" s="369">
        <f>VLOOKUP(C2477,METADATA!$A$5:$H$29,IF(E2477="HI",2,IF(E2477="LO",6,10))+IF(D2477=1,2,IF(D2477=7,1,(IF(WEEKDAY(B2477)=1,2,IF(WEEKDAY(B2477)=7,1,0))))))</f>
        <v>3</v>
      </c>
      <c r="G2477" s="369">
        <f>VLOOKUP(C2477,METADATA!$J$5:$Q$29,IF(E2477="HI",2,IF(E2477="LO",6,10))+IF(D2477=1,2,IF(D2477=7,1,(IF(WEEKDAY(B2477)=1,2,IF(WEEKDAY(B2477)=7,1,0))))))</f>
        <v>3</v>
      </c>
      <c r="H2477" s="370">
        <v>13356.924987792969</v>
      </c>
      <c r="I2477" s="370">
        <v>4288.8050231933594</v>
      </c>
      <c r="M2477" s="371">
        <f t="shared" si="153"/>
        <v>14028.588441339947</v>
      </c>
      <c r="N2477" s="329">
        <f t="shared" si="154"/>
        <v>281.72752685546902</v>
      </c>
      <c r="T2477" s="331">
        <v>0</v>
      </c>
      <c r="U2477" s="328">
        <f>VLOOKUP(C2477,METADATA!$J$5:$Q$29,IF(E2477="HI",2,IF(E2477="LO",6,10))+IF(T2477=1,2,IF(D2477=7,1,(IF(WEEKDAY(B2477)=1,2,IF(WEEKDAY(B2477)=7,1,0))))))</f>
        <v>3</v>
      </c>
      <c r="V2477" s="328">
        <f>VLOOKUP(C2477,METADATA!$A$5:$H$29,IF(E2477="HI",2,IF(E2477="LO",6,10))+IF(T2477=1,2,IF(D2477=7,1,(IF(WEEKDAY(B2477)=1,2,IF(WEEKDAY(B2477)=7,1,0))))))</f>
        <v>3</v>
      </c>
    </row>
    <row r="2478" spans="2:22">
      <c r="B2478" s="318">
        <f t="shared" si="155"/>
        <v>46216</v>
      </c>
      <c r="C2478" s="312">
        <v>2</v>
      </c>
      <c r="D2478" s="368">
        <f>IFERROR((INDEX(METADATA!$T$2:$T$20,MATCH(B2478,METADATA!$S$2:$S$20,0))),0)</f>
        <v>0</v>
      </c>
      <c r="E2478" s="312" t="str">
        <f t="shared" si="152"/>
        <v>LO</v>
      </c>
      <c r="F2478" s="369">
        <f>VLOOKUP(C2478,METADATA!$A$5:$H$29,IF(E2478="HI",2,IF(E2478="LO",6,10))+IF(D2478=1,2,IF(D2478=7,1,(IF(WEEKDAY(B2478)=1,2,IF(WEEKDAY(B2478)=7,1,0))))))</f>
        <v>3</v>
      </c>
      <c r="G2478" s="369">
        <f>VLOOKUP(C2478,METADATA!$J$5:$Q$29,IF(E2478="HI",2,IF(E2478="LO",6,10))+IF(D2478=1,2,IF(D2478=7,1,(IF(WEEKDAY(B2478)=1,2,IF(WEEKDAY(B2478)=7,1,0))))))</f>
        <v>3</v>
      </c>
      <c r="H2478" s="370">
        <v>12010.364898681641</v>
      </c>
      <c r="I2478" s="370">
        <v>3594.14501953125</v>
      </c>
      <c r="M2478" s="371">
        <f t="shared" si="153"/>
        <v>12536.616107263768</v>
      </c>
      <c r="N2478" s="329">
        <f t="shared" si="154"/>
        <v>0</v>
      </c>
      <c r="T2478" s="331">
        <v>0</v>
      </c>
      <c r="U2478" s="328">
        <f>VLOOKUP(C2478,METADATA!$J$5:$Q$29,IF(E2478="HI",2,IF(E2478="LO",6,10))+IF(T2478=1,2,IF(D2478=7,1,(IF(WEEKDAY(B2478)=1,2,IF(WEEKDAY(B2478)=7,1,0))))))</f>
        <v>3</v>
      </c>
      <c r="V2478" s="328">
        <f>VLOOKUP(C2478,METADATA!$A$5:$H$29,IF(E2478="HI",2,IF(E2478="LO",6,10))+IF(T2478=1,2,IF(D2478=7,1,(IF(WEEKDAY(B2478)=1,2,IF(WEEKDAY(B2478)=7,1,0))))))</f>
        <v>3</v>
      </c>
    </row>
    <row r="2479" spans="2:22">
      <c r="B2479" s="318">
        <f t="shared" si="155"/>
        <v>46216</v>
      </c>
      <c r="C2479" s="312">
        <v>3</v>
      </c>
      <c r="D2479" s="368">
        <f>IFERROR((INDEX(METADATA!$T$2:$T$20,MATCH(B2479,METADATA!$S$2:$S$20,0))),0)</f>
        <v>0</v>
      </c>
      <c r="E2479" s="312" t="str">
        <f t="shared" si="152"/>
        <v>LO</v>
      </c>
      <c r="F2479" s="369">
        <f>VLOOKUP(C2479,METADATA!$A$5:$H$29,IF(E2479="HI",2,IF(E2479="LO",6,10))+IF(D2479=1,2,IF(D2479=7,1,(IF(WEEKDAY(B2479)=1,2,IF(WEEKDAY(B2479)=7,1,0))))))</f>
        <v>3</v>
      </c>
      <c r="G2479" s="369">
        <f>VLOOKUP(C2479,METADATA!$J$5:$Q$29,IF(E2479="HI",2,IF(E2479="LO",6,10))+IF(D2479=1,2,IF(D2479=7,1,(IF(WEEKDAY(B2479)=1,2,IF(WEEKDAY(B2479)=7,1,0))))))</f>
        <v>3</v>
      </c>
      <c r="H2479" s="370">
        <v>11118.397308349609</v>
      </c>
      <c r="I2479" s="370">
        <v>3034.2950744628906</v>
      </c>
      <c r="M2479" s="371">
        <f t="shared" si="153"/>
        <v>11525.0034839572</v>
      </c>
      <c r="N2479" s="329">
        <f t="shared" si="154"/>
        <v>0</v>
      </c>
      <c r="T2479" s="331">
        <v>0</v>
      </c>
      <c r="U2479" s="328">
        <f>VLOOKUP(C2479,METADATA!$J$5:$Q$29,IF(E2479="HI",2,IF(E2479="LO",6,10))+IF(T2479=1,2,IF(D2479=7,1,(IF(WEEKDAY(B2479)=1,2,IF(WEEKDAY(B2479)=7,1,0))))))</f>
        <v>3</v>
      </c>
      <c r="V2479" s="328">
        <f>VLOOKUP(C2479,METADATA!$A$5:$H$29,IF(E2479="HI",2,IF(E2479="LO",6,10))+IF(T2479=1,2,IF(D2479=7,1,(IF(WEEKDAY(B2479)=1,2,IF(WEEKDAY(B2479)=7,1,0))))))</f>
        <v>3</v>
      </c>
    </row>
    <row r="2480" spans="2:22">
      <c r="B2480" s="318">
        <f t="shared" si="155"/>
        <v>46216</v>
      </c>
      <c r="C2480" s="312">
        <v>4</v>
      </c>
      <c r="D2480" s="368">
        <f>IFERROR((INDEX(METADATA!$T$2:$T$20,MATCH(B2480,METADATA!$S$2:$S$20,0))),0)</f>
        <v>0</v>
      </c>
      <c r="E2480" s="312" t="str">
        <f t="shared" si="152"/>
        <v>LO</v>
      </c>
      <c r="F2480" s="369">
        <f>VLOOKUP(C2480,METADATA!$A$5:$H$29,IF(E2480="HI",2,IF(E2480="LO",6,10))+IF(D2480=1,2,IF(D2480=7,1,(IF(WEEKDAY(B2480)=1,2,IF(WEEKDAY(B2480)=7,1,0))))))</f>
        <v>3</v>
      </c>
      <c r="G2480" s="369">
        <f>VLOOKUP(C2480,METADATA!$J$5:$Q$29,IF(E2480="HI",2,IF(E2480="LO",6,10))+IF(D2480=1,2,IF(D2480=7,1,(IF(WEEKDAY(B2480)=1,2,IF(WEEKDAY(B2480)=7,1,0))))))</f>
        <v>3</v>
      </c>
      <c r="H2480" s="370">
        <v>7943.6874389648438</v>
      </c>
      <c r="I2480" s="370">
        <v>1880.5425415039063</v>
      </c>
      <c r="M2480" s="371">
        <f t="shared" si="153"/>
        <v>8163.2475387172844</v>
      </c>
      <c r="N2480" s="329">
        <f t="shared" si="154"/>
        <v>0</v>
      </c>
      <c r="T2480" s="331">
        <v>0</v>
      </c>
      <c r="U2480" s="328">
        <f>VLOOKUP(C2480,METADATA!$J$5:$Q$29,IF(E2480="HI",2,IF(E2480="LO",6,10))+IF(T2480=1,2,IF(D2480=7,1,(IF(WEEKDAY(B2480)=1,2,IF(WEEKDAY(B2480)=7,1,0))))))</f>
        <v>3</v>
      </c>
      <c r="V2480" s="328">
        <f>VLOOKUP(C2480,METADATA!$A$5:$H$29,IF(E2480="HI",2,IF(E2480="LO",6,10))+IF(T2480=1,2,IF(D2480=7,1,(IF(WEEKDAY(B2480)=1,2,IF(WEEKDAY(B2480)=7,1,0))))))</f>
        <v>3</v>
      </c>
    </row>
    <row r="2481" spans="2:22">
      <c r="B2481" s="318">
        <f t="shared" si="155"/>
        <v>46216</v>
      </c>
      <c r="C2481" s="312">
        <v>5</v>
      </c>
      <c r="D2481" s="368">
        <f>IFERROR((INDEX(METADATA!$T$2:$T$20,MATCH(B2481,METADATA!$S$2:$S$20,0))),0)</f>
        <v>0</v>
      </c>
      <c r="E2481" s="312" t="str">
        <f t="shared" si="152"/>
        <v>LO</v>
      </c>
      <c r="F2481" s="369">
        <f>VLOOKUP(C2481,METADATA!$A$5:$H$29,IF(E2481="HI",2,IF(E2481="LO",6,10))+IF(D2481=1,2,IF(D2481=7,1,(IF(WEEKDAY(B2481)=1,2,IF(WEEKDAY(B2481)=7,1,0))))))</f>
        <v>3</v>
      </c>
      <c r="G2481" s="369">
        <f>VLOOKUP(C2481,METADATA!$J$5:$Q$29,IF(E2481="HI",2,IF(E2481="LO",6,10))+IF(D2481=1,2,IF(D2481=7,1,(IF(WEEKDAY(B2481)=1,2,IF(WEEKDAY(B2481)=7,1,0))))))</f>
        <v>3</v>
      </c>
      <c r="H2481" s="370">
        <v>5544.5475769042969</v>
      </c>
      <c r="I2481" s="370">
        <v>1067.4000244140625</v>
      </c>
      <c r="M2481" s="371">
        <f t="shared" si="153"/>
        <v>5646.3572898528528</v>
      </c>
      <c r="N2481" s="329">
        <f t="shared" si="154"/>
        <v>0</v>
      </c>
      <c r="T2481" s="331">
        <v>0</v>
      </c>
      <c r="U2481" s="328">
        <f>VLOOKUP(C2481,METADATA!$J$5:$Q$29,IF(E2481="HI",2,IF(E2481="LO",6,10))+IF(T2481=1,2,IF(D2481=7,1,(IF(WEEKDAY(B2481)=1,2,IF(WEEKDAY(B2481)=7,1,0))))))</f>
        <v>3</v>
      </c>
      <c r="V2481" s="328">
        <f>VLOOKUP(C2481,METADATA!$A$5:$H$29,IF(E2481="HI",2,IF(E2481="LO",6,10))+IF(T2481=1,2,IF(D2481=7,1,(IF(WEEKDAY(B2481)=1,2,IF(WEEKDAY(B2481)=7,1,0))))))</f>
        <v>3</v>
      </c>
    </row>
    <row r="2482" spans="2:22">
      <c r="B2482" s="318">
        <f t="shared" si="155"/>
        <v>46216</v>
      </c>
      <c r="C2482" s="312">
        <v>6</v>
      </c>
      <c r="D2482" s="368">
        <f>IFERROR((INDEX(METADATA!$T$2:$T$20,MATCH(B2482,METADATA!$S$2:$S$20,0))),0)</f>
        <v>0</v>
      </c>
      <c r="E2482" s="312" t="str">
        <f t="shared" si="152"/>
        <v>LO</v>
      </c>
      <c r="F2482" s="369">
        <f>VLOOKUP(C2482,METADATA!$A$5:$H$29,IF(E2482="HI",2,IF(E2482="LO",6,10))+IF(D2482=1,2,IF(D2482=7,1,(IF(WEEKDAY(B2482)=1,2,IF(WEEKDAY(B2482)=7,1,0))))))</f>
        <v>2</v>
      </c>
      <c r="G2482" s="369">
        <f>VLOOKUP(C2482,METADATA!$J$5:$Q$29,IF(E2482="HI",2,IF(E2482="LO",6,10))+IF(D2482=1,2,IF(D2482=7,1,(IF(WEEKDAY(B2482)=1,2,IF(WEEKDAY(B2482)=7,1,0))))))</f>
        <v>2</v>
      </c>
      <c r="H2482" s="370">
        <v>6158.0201110839844</v>
      </c>
      <c r="I2482" s="370">
        <v>1271.2325134277344</v>
      </c>
      <c r="M2482" s="371">
        <f t="shared" si="153"/>
        <v>6287.8648038670963</v>
      </c>
      <c r="N2482" s="329">
        <f t="shared" si="154"/>
        <v>0</v>
      </c>
      <c r="T2482" s="331">
        <v>0</v>
      </c>
      <c r="U2482" s="328">
        <f>VLOOKUP(C2482,METADATA!$J$5:$Q$29,IF(E2482="HI",2,IF(E2482="LO",6,10))+IF(T2482=1,2,IF(D2482=7,1,(IF(WEEKDAY(B2482)=1,2,IF(WEEKDAY(B2482)=7,1,0))))))</f>
        <v>2</v>
      </c>
      <c r="V2482" s="328">
        <f>VLOOKUP(C2482,METADATA!$A$5:$H$29,IF(E2482="HI",2,IF(E2482="LO",6,10))+IF(T2482=1,2,IF(D2482=7,1,(IF(WEEKDAY(B2482)=1,2,IF(WEEKDAY(B2482)=7,1,0))))))</f>
        <v>2</v>
      </c>
    </row>
    <row r="2483" spans="2:22">
      <c r="B2483" s="318">
        <f t="shared" si="155"/>
        <v>46216</v>
      </c>
      <c r="C2483" s="312">
        <v>7</v>
      </c>
      <c r="D2483" s="368">
        <f>IFERROR((INDEX(METADATA!$T$2:$T$20,MATCH(B2483,METADATA!$S$2:$S$20,0))),0)</f>
        <v>0</v>
      </c>
      <c r="E2483" s="312" t="str">
        <f t="shared" si="152"/>
        <v>LO</v>
      </c>
      <c r="F2483" s="369">
        <f>VLOOKUP(C2483,METADATA!$A$5:$H$29,IF(E2483="HI",2,IF(E2483="LO",6,10))+IF(D2483=1,2,IF(D2483=7,1,(IF(WEEKDAY(B2483)=1,2,IF(WEEKDAY(B2483)=7,1,0))))))</f>
        <v>1</v>
      </c>
      <c r="G2483" s="369">
        <f>VLOOKUP(C2483,METADATA!$J$5:$Q$29,IF(E2483="HI",2,IF(E2483="LO",6,10))+IF(D2483=1,2,IF(D2483=7,1,(IF(WEEKDAY(B2483)=1,2,IF(WEEKDAY(B2483)=7,1,0))))))</f>
        <v>1</v>
      </c>
      <c r="H2483" s="370">
        <v>5369.2749328613281</v>
      </c>
      <c r="I2483" s="370">
        <v>1288.5124816894531</v>
      </c>
      <c r="M2483" s="371">
        <f t="shared" si="153"/>
        <v>5521.7187288128443</v>
      </c>
      <c r="N2483" s="329">
        <f t="shared" si="154"/>
        <v>0</v>
      </c>
      <c r="T2483" s="331">
        <v>0</v>
      </c>
      <c r="U2483" s="328">
        <f>VLOOKUP(C2483,METADATA!$J$5:$Q$29,IF(E2483="HI",2,IF(E2483="LO",6,10))+IF(T2483=1,2,IF(D2483=7,1,(IF(WEEKDAY(B2483)=1,2,IF(WEEKDAY(B2483)=7,1,0))))))</f>
        <v>1</v>
      </c>
      <c r="V2483" s="328">
        <f>VLOOKUP(C2483,METADATA!$A$5:$H$29,IF(E2483="HI",2,IF(E2483="LO",6,10))+IF(T2483=1,2,IF(D2483=7,1,(IF(WEEKDAY(B2483)=1,2,IF(WEEKDAY(B2483)=7,1,0))))))</f>
        <v>1</v>
      </c>
    </row>
    <row r="2484" spans="2:22">
      <c r="B2484" s="318">
        <f t="shared" si="155"/>
        <v>46216</v>
      </c>
      <c r="C2484" s="312">
        <v>8</v>
      </c>
      <c r="D2484" s="368">
        <f>IFERROR((INDEX(METADATA!$T$2:$T$20,MATCH(B2484,METADATA!$S$2:$S$20,0))),0)</f>
        <v>0</v>
      </c>
      <c r="E2484" s="312" t="str">
        <f t="shared" si="152"/>
        <v>LO</v>
      </c>
      <c r="F2484" s="369">
        <f>VLOOKUP(C2484,METADATA!$A$5:$H$29,IF(E2484="HI",2,IF(E2484="LO",6,10))+IF(D2484=1,2,IF(D2484=7,1,(IF(WEEKDAY(B2484)=1,2,IF(WEEKDAY(B2484)=7,1,0))))))</f>
        <v>1</v>
      </c>
      <c r="G2484" s="369">
        <f>VLOOKUP(C2484,METADATA!$J$5:$Q$29,IF(E2484="HI",2,IF(E2484="LO",6,10))+IF(D2484=1,2,IF(D2484=7,1,(IF(WEEKDAY(B2484)=1,2,IF(WEEKDAY(B2484)=7,1,0))))))</f>
        <v>1</v>
      </c>
      <c r="H2484" s="370">
        <v>4303.6324462890625</v>
      </c>
      <c r="I2484" s="370">
        <v>1240.344970703125</v>
      </c>
      <c r="M2484" s="371">
        <f t="shared" si="153"/>
        <v>4478.8065239637799</v>
      </c>
      <c r="N2484" s="329">
        <f t="shared" si="154"/>
        <v>0</v>
      </c>
      <c r="T2484" s="331">
        <v>0</v>
      </c>
      <c r="U2484" s="328">
        <f>VLOOKUP(C2484,METADATA!$J$5:$Q$29,IF(E2484="HI",2,IF(E2484="LO",6,10))+IF(T2484=1,2,IF(D2484=7,1,(IF(WEEKDAY(B2484)=1,2,IF(WEEKDAY(B2484)=7,1,0))))))</f>
        <v>1</v>
      </c>
      <c r="V2484" s="328">
        <f>VLOOKUP(C2484,METADATA!$A$5:$H$29,IF(E2484="HI",2,IF(E2484="LO",6,10))+IF(T2484=1,2,IF(D2484=7,1,(IF(WEEKDAY(B2484)=1,2,IF(WEEKDAY(B2484)=7,1,0))))))</f>
        <v>1</v>
      </c>
    </row>
    <row r="2485" spans="2:22">
      <c r="B2485" s="318">
        <f t="shared" si="155"/>
        <v>46216</v>
      </c>
      <c r="C2485" s="312">
        <v>9</v>
      </c>
      <c r="D2485" s="368">
        <f>IFERROR((INDEX(METADATA!$T$2:$T$20,MATCH(B2485,METADATA!$S$2:$S$20,0))),0)</f>
        <v>0</v>
      </c>
      <c r="E2485" s="312" t="str">
        <f t="shared" si="152"/>
        <v>LO</v>
      </c>
      <c r="F2485" s="369">
        <f>VLOOKUP(C2485,METADATA!$A$5:$H$29,IF(E2485="HI",2,IF(E2485="LO",6,10))+IF(D2485=1,2,IF(D2485=7,1,(IF(WEEKDAY(B2485)=1,2,IF(WEEKDAY(B2485)=7,1,0))))))</f>
        <v>2</v>
      </c>
      <c r="G2485" s="369">
        <f>VLOOKUP(C2485,METADATA!$J$5:$Q$29,IF(E2485="HI",2,IF(E2485="LO",6,10))+IF(D2485=1,2,IF(D2485=7,1,(IF(WEEKDAY(B2485)=1,2,IF(WEEKDAY(B2485)=7,1,0))))))</f>
        <v>2</v>
      </c>
      <c r="H2485" s="370">
        <v>4614.1674194335938</v>
      </c>
      <c r="I2485" s="370">
        <v>1233.3600158691406</v>
      </c>
      <c r="M2485" s="371">
        <f t="shared" si="153"/>
        <v>4776.1614193101968</v>
      </c>
      <c r="N2485" s="329">
        <f t="shared" si="154"/>
        <v>0</v>
      </c>
      <c r="T2485" s="331">
        <v>0</v>
      </c>
      <c r="U2485" s="328">
        <f>VLOOKUP(C2485,METADATA!$J$5:$Q$29,IF(E2485="HI",2,IF(E2485="LO",6,10))+IF(T2485=1,2,IF(D2485=7,1,(IF(WEEKDAY(B2485)=1,2,IF(WEEKDAY(B2485)=7,1,0))))))</f>
        <v>2</v>
      </c>
      <c r="V2485" s="328">
        <f>VLOOKUP(C2485,METADATA!$A$5:$H$29,IF(E2485="HI",2,IF(E2485="LO",6,10))+IF(T2485=1,2,IF(D2485=7,1,(IF(WEEKDAY(B2485)=1,2,IF(WEEKDAY(B2485)=7,1,0))))))</f>
        <v>2</v>
      </c>
    </row>
    <row r="2486" spans="2:22">
      <c r="B2486" s="318">
        <f t="shared" si="155"/>
        <v>46216</v>
      </c>
      <c r="C2486" s="312">
        <v>10</v>
      </c>
      <c r="D2486" s="368">
        <f>IFERROR((INDEX(METADATA!$T$2:$T$20,MATCH(B2486,METADATA!$S$2:$S$20,0))),0)</f>
        <v>0</v>
      </c>
      <c r="E2486" s="312" t="str">
        <f t="shared" si="152"/>
        <v>LO</v>
      </c>
      <c r="F2486" s="369">
        <f>VLOOKUP(C2486,METADATA!$A$5:$H$29,IF(E2486="HI",2,IF(E2486="LO",6,10))+IF(D2486=1,2,IF(D2486=7,1,(IF(WEEKDAY(B2486)=1,2,IF(WEEKDAY(B2486)=7,1,0))))))</f>
        <v>2</v>
      </c>
      <c r="G2486" s="369">
        <f>VLOOKUP(C2486,METADATA!$J$5:$Q$29,IF(E2486="HI",2,IF(E2486="LO",6,10))+IF(D2486=1,2,IF(D2486=7,1,(IF(WEEKDAY(B2486)=1,2,IF(WEEKDAY(B2486)=7,1,0))))))</f>
        <v>2</v>
      </c>
      <c r="H2486" s="370">
        <v>4597.6549682617188</v>
      </c>
      <c r="I2486" s="370">
        <v>1252.5124816894531</v>
      </c>
      <c r="M2486" s="371">
        <f t="shared" si="153"/>
        <v>4765.2092004412079</v>
      </c>
      <c r="N2486" s="329">
        <f t="shared" si="154"/>
        <v>0</v>
      </c>
      <c r="T2486" s="331">
        <v>0</v>
      </c>
      <c r="U2486" s="328">
        <f>VLOOKUP(C2486,METADATA!$J$5:$Q$29,IF(E2486="HI",2,IF(E2486="LO",6,10))+IF(T2486=1,2,IF(D2486=7,1,(IF(WEEKDAY(B2486)=1,2,IF(WEEKDAY(B2486)=7,1,0))))))</f>
        <v>2</v>
      </c>
      <c r="V2486" s="328">
        <f>VLOOKUP(C2486,METADATA!$A$5:$H$29,IF(E2486="HI",2,IF(E2486="LO",6,10))+IF(T2486=1,2,IF(D2486=7,1,(IF(WEEKDAY(B2486)=1,2,IF(WEEKDAY(B2486)=7,1,0))))))</f>
        <v>2</v>
      </c>
    </row>
    <row r="2487" spans="2:22">
      <c r="B2487" s="318">
        <f t="shared" si="155"/>
        <v>46216</v>
      </c>
      <c r="C2487" s="312">
        <v>11</v>
      </c>
      <c r="D2487" s="368">
        <f>IFERROR((INDEX(METADATA!$T$2:$T$20,MATCH(B2487,METADATA!$S$2:$S$20,0))),0)</f>
        <v>0</v>
      </c>
      <c r="E2487" s="312" t="str">
        <f t="shared" si="152"/>
        <v>LO</v>
      </c>
      <c r="F2487" s="369">
        <f>VLOOKUP(C2487,METADATA!$A$5:$H$29,IF(E2487="HI",2,IF(E2487="LO",6,10))+IF(D2487=1,2,IF(D2487=7,1,(IF(WEEKDAY(B2487)=1,2,IF(WEEKDAY(B2487)=7,1,0))))))</f>
        <v>2</v>
      </c>
      <c r="G2487" s="369">
        <f>VLOOKUP(C2487,METADATA!$J$5:$Q$29,IF(E2487="HI",2,IF(E2487="LO",6,10))+IF(D2487=1,2,IF(D2487=7,1,(IF(WEEKDAY(B2487)=1,2,IF(WEEKDAY(B2487)=7,1,0))))))</f>
        <v>2</v>
      </c>
      <c r="H2487" s="370">
        <v>4565.1524353027344</v>
      </c>
      <c r="I2487" s="370">
        <v>1306.3650207519531</v>
      </c>
      <c r="M2487" s="371">
        <f t="shared" si="153"/>
        <v>4748.3898665752722</v>
      </c>
      <c r="N2487" s="329">
        <f t="shared" si="154"/>
        <v>0</v>
      </c>
      <c r="T2487" s="331">
        <v>0</v>
      </c>
      <c r="U2487" s="328">
        <f>VLOOKUP(C2487,METADATA!$J$5:$Q$29,IF(E2487="HI",2,IF(E2487="LO",6,10))+IF(T2487=1,2,IF(D2487=7,1,(IF(WEEKDAY(B2487)=1,2,IF(WEEKDAY(B2487)=7,1,0))))))</f>
        <v>2</v>
      </c>
      <c r="V2487" s="328">
        <f>VLOOKUP(C2487,METADATA!$A$5:$H$29,IF(E2487="HI",2,IF(E2487="LO",6,10))+IF(T2487=1,2,IF(D2487=7,1,(IF(WEEKDAY(B2487)=1,2,IF(WEEKDAY(B2487)=7,1,0))))))</f>
        <v>2</v>
      </c>
    </row>
    <row r="2488" spans="2:22">
      <c r="B2488" s="318">
        <f t="shared" si="155"/>
        <v>46216</v>
      </c>
      <c r="C2488" s="312">
        <v>12</v>
      </c>
      <c r="D2488" s="368">
        <f>IFERROR((INDEX(METADATA!$T$2:$T$20,MATCH(B2488,METADATA!$S$2:$S$20,0))),0)</f>
        <v>0</v>
      </c>
      <c r="E2488" s="312" t="str">
        <f t="shared" si="152"/>
        <v>LO</v>
      </c>
      <c r="F2488" s="369">
        <f>VLOOKUP(C2488,METADATA!$A$5:$H$29,IF(E2488="HI",2,IF(E2488="LO",6,10))+IF(D2488=1,2,IF(D2488=7,1,(IF(WEEKDAY(B2488)=1,2,IF(WEEKDAY(B2488)=7,1,0))))))</f>
        <v>2</v>
      </c>
      <c r="G2488" s="369">
        <f>VLOOKUP(C2488,METADATA!$J$5:$Q$29,IF(E2488="HI",2,IF(E2488="LO",6,10))+IF(D2488=1,2,IF(D2488=7,1,(IF(WEEKDAY(B2488)=1,2,IF(WEEKDAY(B2488)=7,1,0))))))</f>
        <v>2</v>
      </c>
      <c r="H2488" s="370">
        <v>4480.7450866699219</v>
      </c>
      <c r="I2488" s="370">
        <v>1264.3924865722656</v>
      </c>
      <c r="M2488" s="371">
        <f t="shared" si="153"/>
        <v>4655.7238848343486</v>
      </c>
      <c r="N2488" s="329">
        <f t="shared" si="154"/>
        <v>0</v>
      </c>
      <c r="T2488" s="331">
        <v>0</v>
      </c>
      <c r="U2488" s="328">
        <f>VLOOKUP(C2488,METADATA!$J$5:$Q$29,IF(E2488="HI",2,IF(E2488="LO",6,10))+IF(T2488=1,2,IF(D2488=7,1,(IF(WEEKDAY(B2488)=1,2,IF(WEEKDAY(B2488)=7,1,0))))))</f>
        <v>2</v>
      </c>
      <c r="V2488" s="328">
        <f>VLOOKUP(C2488,METADATA!$A$5:$H$29,IF(E2488="HI",2,IF(E2488="LO",6,10))+IF(T2488=1,2,IF(D2488=7,1,(IF(WEEKDAY(B2488)=1,2,IF(WEEKDAY(B2488)=7,1,0))))))</f>
        <v>2</v>
      </c>
    </row>
    <row r="2489" spans="2:22">
      <c r="B2489" s="318">
        <f t="shared" si="155"/>
        <v>46216</v>
      </c>
      <c r="C2489" s="312">
        <v>13</v>
      </c>
      <c r="D2489" s="368">
        <f>IFERROR((INDEX(METADATA!$T$2:$T$20,MATCH(B2489,METADATA!$S$2:$S$20,0))),0)</f>
        <v>0</v>
      </c>
      <c r="E2489" s="312" t="str">
        <f t="shared" si="152"/>
        <v>LO</v>
      </c>
      <c r="F2489" s="369">
        <f>VLOOKUP(C2489,METADATA!$A$5:$H$29,IF(E2489="HI",2,IF(E2489="LO",6,10))+IF(D2489=1,2,IF(D2489=7,1,(IF(WEEKDAY(B2489)=1,2,IF(WEEKDAY(B2489)=7,1,0))))))</f>
        <v>2</v>
      </c>
      <c r="G2489" s="369">
        <f>VLOOKUP(C2489,METADATA!$J$5:$Q$29,IF(E2489="HI",2,IF(E2489="LO",6,10))+IF(D2489=1,2,IF(D2489=7,1,(IF(WEEKDAY(B2489)=1,2,IF(WEEKDAY(B2489)=7,1,0))))))</f>
        <v>2</v>
      </c>
      <c r="H2489" s="370">
        <v>4409.9125061035156</v>
      </c>
      <c r="I2489" s="370">
        <v>1176.842529296875</v>
      </c>
      <c r="M2489" s="371">
        <f t="shared" si="153"/>
        <v>4564.2399860491623</v>
      </c>
      <c r="N2489" s="329">
        <f t="shared" si="154"/>
        <v>0</v>
      </c>
      <c r="T2489" s="331">
        <v>0</v>
      </c>
      <c r="U2489" s="328">
        <f>VLOOKUP(C2489,METADATA!$J$5:$Q$29,IF(E2489="HI",2,IF(E2489="LO",6,10))+IF(T2489=1,2,IF(D2489=7,1,(IF(WEEKDAY(B2489)=1,2,IF(WEEKDAY(B2489)=7,1,0))))))</f>
        <v>2</v>
      </c>
      <c r="V2489" s="328">
        <f>VLOOKUP(C2489,METADATA!$A$5:$H$29,IF(E2489="HI",2,IF(E2489="LO",6,10))+IF(T2489=1,2,IF(D2489=7,1,(IF(WEEKDAY(B2489)=1,2,IF(WEEKDAY(B2489)=7,1,0))))))</f>
        <v>2</v>
      </c>
    </row>
    <row r="2490" spans="2:22">
      <c r="B2490" s="318">
        <f t="shared" si="155"/>
        <v>46216</v>
      </c>
      <c r="C2490" s="312">
        <v>14</v>
      </c>
      <c r="D2490" s="368">
        <f>IFERROR((INDEX(METADATA!$T$2:$T$20,MATCH(B2490,METADATA!$S$2:$S$20,0))),0)</f>
        <v>0</v>
      </c>
      <c r="E2490" s="312" t="str">
        <f t="shared" si="152"/>
        <v>LO</v>
      </c>
      <c r="F2490" s="369">
        <f>VLOOKUP(C2490,METADATA!$A$5:$H$29,IF(E2490="HI",2,IF(E2490="LO",6,10))+IF(D2490=1,2,IF(D2490=7,1,(IF(WEEKDAY(B2490)=1,2,IF(WEEKDAY(B2490)=7,1,0))))))</f>
        <v>2</v>
      </c>
      <c r="G2490" s="369">
        <f>VLOOKUP(C2490,METADATA!$J$5:$Q$29,IF(E2490="HI",2,IF(E2490="LO",6,10))+IF(D2490=1,2,IF(D2490=7,1,(IF(WEEKDAY(B2490)=1,2,IF(WEEKDAY(B2490)=7,1,0))))))</f>
        <v>2</v>
      </c>
      <c r="H2490" s="370">
        <v>4451.3374328613281</v>
      </c>
      <c r="I2490" s="370">
        <v>1205.8574829101563</v>
      </c>
      <c r="M2490" s="371">
        <f t="shared" si="153"/>
        <v>4611.7780963835303</v>
      </c>
      <c r="N2490" s="329">
        <f t="shared" si="154"/>
        <v>0</v>
      </c>
      <c r="T2490" s="331">
        <v>0</v>
      </c>
      <c r="U2490" s="328">
        <f>VLOOKUP(C2490,METADATA!$J$5:$Q$29,IF(E2490="HI",2,IF(E2490="LO",6,10))+IF(T2490=1,2,IF(D2490=7,1,(IF(WEEKDAY(B2490)=1,2,IF(WEEKDAY(B2490)=7,1,0))))))</f>
        <v>2</v>
      </c>
      <c r="V2490" s="328">
        <f>VLOOKUP(C2490,METADATA!$A$5:$H$29,IF(E2490="HI",2,IF(E2490="LO",6,10))+IF(T2490=1,2,IF(D2490=7,1,(IF(WEEKDAY(B2490)=1,2,IF(WEEKDAY(B2490)=7,1,0))))))</f>
        <v>2</v>
      </c>
    </row>
    <row r="2491" spans="2:22">
      <c r="B2491" s="318">
        <f t="shared" si="155"/>
        <v>46216</v>
      </c>
      <c r="C2491" s="312">
        <v>15</v>
      </c>
      <c r="D2491" s="368">
        <f>IFERROR((INDEX(METADATA!$T$2:$T$20,MATCH(B2491,METADATA!$S$2:$S$20,0))),0)</f>
        <v>0</v>
      </c>
      <c r="E2491" s="312" t="str">
        <f t="shared" si="152"/>
        <v>LO</v>
      </c>
      <c r="F2491" s="369">
        <f>VLOOKUP(C2491,METADATA!$A$5:$H$29,IF(E2491="HI",2,IF(E2491="LO",6,10))+IF(D2491=1,2,IF(D2491=7,1,(IF(WEEKDAY(B2491)=1,2,IF(WEEKDAY(B2491)=7,1,0))))))</f>
        <v>2</v>
      </c>
      <c r="G2491" s="369">
        <f>VLOOKUP(C2491,METADATA!$J$5:$Q$29,IF(E2491="HI",2,IF(E2491="LO",6,10))+IF(D2491=1,2,IF(D2491=7,1,(IF(WEEKDAY(B2491)=1,2,IF(WEEKDAY(B2491)=7,1,0))))))</f>
        <v>2</v>
      </c>
      <c r="H2491" s="370">
        <v>4327.9524536132813</v>
      </c>
      <c r="I2491" s="370">
        <v>1190.5899963378906</v>
      </c>
      <c r="M2491" s="371">
        <f t="shared" si="153"/>
        <v>4488.7277685461258</v>
      </c>
      <c r="N2491" s="329">
        <f t="shared" si="154"/>
        <v>0</v>
      </c>
      <c r="T2491" s="331">
        <v>0</v>
      </c>
      <c r="U2491" s="328">
        <f>VLOOKUP(C2491,METADATA!$J$5:$Q$29,IF(E2491="HI",2,IF(E2491="LO",6,10))+IF(T2491=1,2,IF(D2491=7,1,(IF(WEEKDAY(B2491)=1,2,IF(WEEKDAY(B2491)=7,1,0))))))</f>
        <v>2</v>
      </c>
      <c r="V2491" s="328">
        <f>VLOOKUP(C2491,METADATA!$A$5:$H$29,IF(E2491="HI",2,IF(E2491="LO",6,10))+IF(T2491=1,2,IF(D2491=7,1,(IF(WEEKDAY(B2491)=1,2,IF(WEEKDAY(B2491)=7,1,0))))))</f>
        <v>2</v>
      </c>
    </row>
    <row r="2492" spans="2:22">
      <c r="B2492" s="318">
        <f t="shared" si="155"/>
        <v>46216</v>
      </c>
      <c r="C2492" s="312">
        <v>16</v>
      </c>
      <c r="D2492" s="368">
        <f>IFERROR((INDEX(METADATA!$T$2:$T$20,MATCH(B2492,METADATA!$S$2:$S$20,0))),0)</f>
        <v>0</v>
      </c>
      <c r="E2492" s="312" t="str">
        <f t="shared" si="152"/>
        <v>LO</v>
      </c>
      <c r="F2492" s="369">
        <f>VLOOKUP(C2492,METADATA!$A$5:$H$29,IF(E2492="HI",2,IF(E2492="LO",6,10))+IF(D2492=1,2,IF(D2492=7,1,(IF(WEEKDAY(B2492)=1,2,IF(WEEKDAY(B2492)=7,1,0))))))</f>
        <v>2</v>
      </c>
      <c r="G2492" s="369">
        <f>VLOOKUP(C2492,METADATA!$J$5:$Q$29,IF(E2492="HI",2,IF(E2492="LO",6,10))+IF(D2492=1,2,IF(D2492=7,1,(IF(WEEKDAY(B2492)=1,2,IF(WEEKDAY(B2492)=7,1,0))))))</f>
        <v>2</v>
      </c>
      <c r="H2492" s="370">
        <v>4210.7025756835938</v>
      </c>
      <c r="I2492" s="370">
        <v>963</v>
      </c>
      <c r="M2492" s="371">
        <f t="shared" si="153"/>
        <v>4319.4195421223494</v>
      </c>
      <c r="N2492" s="329">
        <f t="shared" si="154"/>
        <v>0</v>
      </c>
      <c r="T2492" s="331">
        <v>0</v>
      </c>
      <c r="U2492" s="328">
        <f>VLOOKUP(C2492,METADATA!$J$5:$Q$29,IF(E2492="HI",2,IF(E2492="LO",6,10))+IF(T2492=1,2,IF(D2492=7,1,(IF(WEEKDAY(B2492)=1,2,IF(WEEKDAY(B2492)=7,1,0))))))</f>
        <v>2</v>
      </c>
      <c r="V2492" s="328">
        <f>VLOOKUP(C2492,METADATA!$A$5:$H$29,IF(E2492="HI",2,IF(E2492="LO",6,10))+IF(T2492=1,2,IF(D2492=7,1,(IF(WEEKDAY(B2492)=1,2,IF(WEEKDAY(B2492)=7,1,0))))))</f>
        <v>2</v>
      </c>
    </row>
    <row r="2493" spans="2:22">
      <c r="B2493" s="318">
        <f t="shared" si="155"/>
        <v>46216</v>
      </c>
      <c r="C2493" s="312">
        <v>17</v>
      </c>
      <c r="D2493" s="368">
        <f>IFERROR((INDEX(METADATA!$T$2:$T$20,MATCH(B2493,METADATA!$S$2:$S$20,0))),0)</f>
        <v>0</v>
      </c>
      <c r="E2493" s="312" t="str">
        <f t="shared" si="152"/>
        <v>LO</v>
      </c>
      <c r="F2493" s="369">
        <f>VLOOKUP(C2493,METADATA!$A$5:$H$29,IF(E2493="HI",2,IF(E2493="LO",6,10))+IF(D2493=1,2,IF(D2493=7,1,(IF(WEEKDAY(B2493)=1,2,IF(WEEKDAY(B2493)=7,1,0))))))</f>
        <v>2</v>
      </c>
      <c r="G2493" s="369">
        <f>VLOOKUP(C2493,METADATA!$J$5:$Q$29,IF(E2493="HI",2,IF(E2493="LO",6,10))+IF(D2493=1,2,IF(D2493=7,1,(IF(WEEKDAY(B2493)=1,2,IF(WEEKDAY(B2493)=7,1,0))))))</f>
        <v>2</v>
      </c>
      <c r="H2493" s="370">
        <v>4891.8124694824219</v>
      </c>
      <c r="I2493" s="370">
        <v>1343.7325134277344</v>
      </c>
      <c r="M2493" s="371">
        <f t="shared" si="153"/>
        <v>5073.0115616097828</v>
      </c>
      <c r="N2493" s="329">
        <f t="shared" si="154"/>
        <v>0</v>
      </c>
      <c r="T2493" s="331">
        <v>0</v>
      </c>
      <c r="U2493" s="328">
        <f>VLOOKUP(C2493,METADATA!$J$5:$Q$29,IF(E2493="HI",2,IF(E2493="LO",6,10))+IF(T2493=1,2,IF(D2493=7,1,(IF(WEEKDAY(B2493)=1,2,IF(WEEKDAY(B2493)=7,1,0))))))</f>
        <v>2</v>
      </c>
      <c r="V2493" s="328">
        <f>VLOOKUP(C2493,METADATA!$A$5:$H$29,IF(E2493="HI",2,IF(E2493="LO",6,10))+IF(T2493=1,2,IF(D2493=7,1,(IF(WEEKDAY(B2493)=1,2,IF(WEEKDAY(B2493)=7,1,0))))))</f>
        <v>2</v>
      </c>
    </row>
    <row r="2494" spans="2:22">
      <c r="B2494" s="318">
        <f t="shared" si="155"/>
        <v>46216</v>
      </c>
      <c r="C2494" s="312">
        <v>18</v>
      </c>
      <c r="D2494" s="368">
        <f>IFERROR((INDEX(METADATA!$T$2:$T$20,MATCH(B2494,METADATA!$S$2:$S$20,0))),0)</f>
        <v>0</v>
      </c>
      <c r="E2494" s="312" t="str">
        <f t="shared" si="152"/>
        <v>LO</v>
      </c>
      <c r="F2494" s="369">
        <f>VLOOKUP(C2494,METADATA!$A$5:$H$29,IF(E2494="HI",2,IF(E2494="LO",6,10))+IF(D2494=1,2,IF(D2494=7,1,(IF(WEEKDAY(B2494)=1,2,IF(WEEKDAY(B2494)=7,1,0))))))</f>
        <v>1</v>
      </c>
      <c r="G2494" s="369">
        <f>VLOOKUP(C2494,METADATA!$J$5:$Q$29,IF(E2494="HI",2,IF(E2494="LO",6,10))+IF(D2494=1,2,IF(D2494=7,1,(IF(WEEKDAY(B2494)=1,2,IF(WEEKDAY(B2494)=7,1,0))))))</f>
        <v>1</v>
      </c>
      <c r="H2494" s="370">
        <v>5937.449951171875</v>
      </c>
      <c r="I2494" s="370">
        <v>1947.9375305175781</v>
      </c>
      <c r="M2494" s="371">
        <f t="shared" si="153"/>
        <v>6248.8216925649131</v>
      </c>
      <c r="N2494" s="329">
        <f t="shared" si="154"/>
        <v>166.70254516601563</v>
      </c>
      <c r="T2494" s="331">
        <v>0</v>
      </c>
      <c r="U2494" s="328">
        <f>VLOOKUP(C2494,METADATA!$J$5:$Q$29,IF(E2494="HI",2,IF(E2494="LO",6,10))+IF(T2494=1,2,IF(D2494=7,1,(IF(WEEKDAY(B2494)=1,2,IF(WEEKDAY(B2494)=7,1,0))))))</f>
        <v>1</v>
      </c>
      <c r="V2494" s="328">
        <f>VLOOKUP(C2494,METADATA!$A$5:$H$29,IF(E2494="HI",2,IF(E2494="LO",6,10))+IF(T2494=1,2,IF(D2494=7,1,(IF(WEEKDAY(B2494)=1,2,IF(WEEKDAY(B2494)=7,1,0))))))</f>
        <v>1</v>
      </c>
    </row>
    <row r="2495" spans="2:22">
      <c r="B2495" s="318">
        <f t="shared" si="155"/>
        <v>46216</v>
      </c>
      <c r="C2495" s="312">
        <v>19</v>
      </c>
      <c r="D2495" s="368">
        <f>IFERROR((INDEX(METADATA!$T$2:$T$20,MATCH(B2495,METADATA!$S$2:$S$20,0))),0)</f>
        <v>0</v>
      </c>
      <c r="E2495" s="312" t="str">
        <f t="shared" si="152"/>
        <v>LO</v>
      </c>
      <c r="F2495" s="369">
        <f>VLOOKUP(C2495,METADATA!$A$5:$H$29,IF(E2495="HI",2,IF(E2495="LO",6,10))+IF(D2495=1,2,IF(D2495=7,1,(IF(WEEKDAY(B2495)=1,2,IF(WEEKDAY(B2495)=7,1,0))))))</f>
        <v>1</v>
      </c>
      <c r="G2495" s="369">
        <f>VLOOKUP(C2495,METADATA!$J$5:$Q$29,IF(E2495="HI",2,IF(E2495="LO",6,10))+IF(D2495=1,2,IF(D2495=7,1,(IF(WEEKDAY(B2495)=1,2,IF(WEEKDAY(B2495)=7,1,0))))))</f>
        <v>1</v>
      </c>
      <c r="H2495" s="370">
        <v>5703.7249755859375</v>
      </c>
      <c r="I2495" s="370">
        <v>1827.6025085449219</v>
      </c>
      <c r="M2495" s="371">
        <f t="shared" si="153"/>
        <v>5989.3747191474413</v>
      </c>
      <c r="N2495" s="329">
        <f t="shared" si="154"/>
        <v>116.48501586914063</v>
      </c>
      <c r="T2495" s="331">
        <v>0</v>
      </c>
      <c r="U2495" s="328">
        <f>VLOOKUP(C2495,METADATA!$J$5:$Q$29,IF(E2495="HI",2,IF(E2495="LO",6,10))+IF(T2495=1,2,IF(D2495=7,1,(IF(WEEKDAY(B2495)=1,2,IF(WEEKDAY(B2495)=7,1,0))))))</f>
        <v>1</v>
      </c>
      <c r="V2495" s="328">
        <f>VLOOKUP(C2495,METADATA!$A$5:$H$29,IF(E2495="HI",2,IF(E2495="LO",6,10))+IF(T2495=1,2,IF(D2495=7,1,(IF(WEEKDAY(B2495)=1,2,IF(WEEKDAY(B2495)=7,1,0))))))</f>
        <v>1</v>
      </c>
    </row>
    <row r="2496" spans="2:22">
      <c r="B2496" s="318">
        <f t="shared" si="155"/>
        <v>46216</v>
      </c>
      <c r="C2496" s="312">
        <v>20</v>
      </c>
      <c r="D2496" s="368">
        <f>IFERROR((INDEX(METADATA!$T$2:$T$20,MATCH(B2496,METADATA!$S$2:$S$20,0))),0)</f>
        <v>0</v>
      </c>
      <c r="E2496" s="312" t="str">
        <f t="shared" si="152"/>
        <v>LO</v>
      </c>
      <c r="F2496" s="369">
        <f>VLOOKUP(C2496,METADATA!$A$5:$H$29,IF(E2496="HI",2,IF(E2496="LO",6,10))+IF(D2496=1,2,IF(D2496=7,1,(IF(WEEKDAY(B2496)=1,2,IF(WEEKDAY(B2496)=7,1,0))))))</f>
        <v>1</v>
      </c>
      <c r="G2496" s="369">
        <f>VLOOKUP(C2496,METADATA!$J$5:$Q$29,IF(E2496="HI",2,IF(E2496="LO",6,10))+IF(D2496=1,2,IF(D2496=7,1,(IF(WEEKDAY(B2496)=1,2,IF(WEEKDAY(B2496)=7,1,0))))))</f>
        <v>1</v>
      </c>
      <c r="H2496" s="370">
        <v>4396.9450378417969</v>
      </c>
      <c r="I2496" s="370">
        <v>1072.0774841308594</v>
      </c>
      <c r="M2496" s="371">
        <f t="shared" si="153"/>
        <v>4525.756930921274</v>
      </c>
      <c r="N2496" s="329">
        <f t="shared" si="154"/>
        <v>0</v>
      </c>
      <c r="T2496" s="331">
        <v>0</v>
      </c>
      <c r="U2496" s="328">
        <f>VLOOKUP(C2496,METADATA!$J$5:$Q$29,IF(E2496="HI",2,IF(E2496="LO",6,10))+IF(T2496=1,2,IF(D2496=7,1,(IF(WEEKDAY(B2496)=1,2,IF(WEEKDAY(B2496)=7,1,0))))))</f>
        <v>1</v>
      </c>
      <c r="V2496" s="328">
        <f>VLOOKUP(C2496,METADATA!$A$5:$H$29,IF(E2496="HI",2,IF(E2496="LO",6,10))+IF(T2496=1,2,IF(D2496=7,1,(IF(WEEKDAY(B2496)=1,2,IF(WEEKDAY(B2496)=7,1,0))))))</f>
        <v>1</v>
      </c>
    </row>
    <row r="2497" spans="2:22">
      <c r="B2497" s="318">
        <f t="shared" si="155"/>
        <v>46216</v>
      </c>
      <c r="C2497" s="312">
        <v>21</v>
      </c>
      <c r="D2497" s="368">
        <f>IFERROR((INDEX(METADATA!$T$2:$T$20,MATCH(B2497,METADATA!$S$2:$S$20,0))),0)</f>
        <v>0</v>
      </c>
      <c r="E2497" s="312" t="str">
        <f t="shared" si="152"/>
        <v>LO</v>
      </c>
      <c r="F2497" s="369">
        <f>VLOOKUP(C2497,METADATA!$A$5:$H$29,IF(E2497="HI",2,IF(E2497="LO",6,10))+IF(D2497=1,2,IF(D2497=7,1,(IF(WEEKDAY(B2497)=1,2,IF(WEEKDAY(B2497)=7,1,0))))))</f>
        <v>2</v>
      </c>
      <c r="G2497" s="369">
        <f>VLOOKUP(C2497,METADATA!$J$5:$Q$29,IF(E2497="HI",2,IF(E2497="LO",6,10))+IF(D2497=1,2,IF(D2497=7,1,(IF(WEEKDAY(B2497)=1,2,IF(WEEKDAY(B2497)=7,1,0))))))</f>
        <v>2</v>
      </c>
      <c r="H2497" s="370">
        <v>4400.5325622558594</v>
      </c>
      <c r="I2497" s="370">
        <v>1073.4475402832031</v>
      </c>
      <c r="M2497" s="371">
        <f t="shared" si="153"/>
        <v>4529.5669167387487</v>
      </c>
      <c r="N2497" s="329">
        <f t="shared" si="154"/>
        <v>0</v>
      </c>
      <c r="T2497" s="331">
        <v>0</v>
      </c>
      <c r="U2497" s="328">
        <f>VLOOKUP(C2497,METADATA!$J$5:$Q$29,IF(E2497="HI",2,IF(E2497="LO",6,10))+IF(T2497=1,2,IF(D2497=7,1,(IF(WEEKDAY(B2497)=1,2,IF(WEEKDAY(B2497)=7,1,0))))))</f>
        <v>2</v>
      </c>
      <c r="V2497" s="328">
        <f>VLOOKUP(C2497,METADATA!$A$5:$H$29,IF(E2497="HI",2,IF(E2497="LO",6,10))+IF(T2497=1,2,IF(D2497=7,1,(IF(WEEKDAY(B2497)=1,2,IF(WEEKDAY(B2497)=7,1,0))))))</f>
        <v>2</v>
      </c>
    </row>
    <row r="2498" spans="2:22">
      <c r="B2498" s="318">
        <f t="shared" si="155"/>
        <v>46216</v>
      </c>
      <c r="C2498" s="312">
        <v>22</v>
      </c>
      <c r="D2498" s="368">
        <f>IFERROR((INDEX(METADATA!$T$2:$T$20,MATCH(B2498,METADATA!$S$2:$S$20,0))),0)</f>
        <v>0</v>
      </c>
      <c r="E2498" s="312" t="str">
        <f t="shared" si="152"/>
        <v>LO</v>
      </c>
      <c r="F2498" s="369">
        <f>VLOOKUP(C2498,METADATA!$A$5:$H$29,IF(E2498="HI",2,IF(E2498="LO",6,10))+IF(D2498=1,2,IF(D2498=7,1,(IF(WEEKDAY(B2498)=1,2,IF(WEEKDAY(B2498)=7,1,0))))))</f>
        <v>3</v>
      </c>
      <c r="G2498" s="369">
        <f>VLOOKUP(C2498,METADATA!$J$5:$Q$29,IF(E2498="HI",2,IF(E2498="LO",6,10))+IF(D2498=1,2,IF(D2498=7,1,(IF(WEEKDAY(B2498)=1,2,IF(WEEKDAY(B2498)=7,1,0))))))</f>
        <v>3</v>
      </c>
      <c r="H2498" s="370">
        <v>4844.4950561523438</v>
      </c>
      <c r="I2498" s="370">
        <v>1109.1625061035156</v>
      </c>
      <c r="M2498" s="371">
        <f t="shared" si="153"/>
        <v>4969.8464577922659</v>
      </c>
      <c r="N2498" s="329">
        <f t="shared" si="154"/>
        <v>0</v>
      </c>
      <c r="T2498" s="331">
        <v>0</v>
      </c>
      <c r="U2498" s="328">
        <f>VLOOKUP(C2498,METADATA!$J$5:$Q$29,IF(E2498="HI",2,IF(E2498="LO",6,10))+IF(T2498=1,2,IF(D2498=7,1,(IF(WEEKDAY(B2498)=1,2,IF(WEEKDAY(B2498)=7,1,0))))))</f>
        <v>3</v>
      </c>
      <c r="V2498" s="328">
        <f>VLOOKUP(C2498,METADATA!$A$5:$H$29,IF(E2498="HI",2,IF(E2498="LO",6,10))+IF(T2498=1,2,IF(D2498=7,1,(IF(WEEKDAY(B2498)=1,2,IF(WEEKDAY(B2498)=7,1,0))))))</f>
        <v>3</v>
      </c>
    </row>
    <row r="2499" spans="2:22">
      <c r="B2499" s="318">
        <f t="shared" si="155"/>
        <v>46216</v>
      </c>
      <c r="C2499" s="312">
        <v>23</v>
      </c>
      <c r="D2499" s="368">
        <f>IFERROR((INDEX(METADATA!$T$2:$T$20,MATCH(B2499,METADATA!$S$2:$S$20,0))),0)</f>
        <v>0</v>
      </c>
      <c r="E2499" s="312" t="str">
        <f t="shared" si="152"/>
        <v>LO</v>
      </c>
      <c r="F2499" s="369">
        <f>VLOOKUP(C2499,METADATA!$A$5:$H$29,IF(E2499="HI",2,IF(E2499="LO",6,10))+IF(D2499=1,2,IF(D2499=7,1,(IF(WEEKDAY(B2499)=1,2,IF(WEEKDAY(B2499)=7,1,0))))))</f>
        <v>3</v>
      </c>
      <c r="G2499" s="369">
        <f>VLOOKUP(C2499,METADATA!$J$5:$Q$29,IF(E2499="HI",2,IF(E2499="LO",6,10))+IF(D2499=1,2,IF(D2499=7,1,(IF(WEEKDAY(B2499)=1,2,IF(WEEKDAY(B2499)=7,1,0))))))</f>
        <v>3</v>
      </c>
      <c r="H2499" s="370">
        <v>5582.5625915527344</v>
      </c>
      <c r="I2499" s="370">
        <v>1096.5575256347656</v>
      </c>
      <c r="M2499" s="371">
        <f t="shared" si="153"/>
        <v>5689.2392721373762</v>
      </c>
      <c r="N2499" s="329">
        <f t="shared" si="154"/>
        <v>0</v>
      </c>
      <c r="T2499" s="331">
        <v>0</v>
      </c>
      <c r="U2499" s="328">
        <f>VLOOKUP(C2499,METADATA!$J$5:$Q$29,IF(E2499="HI",2,IF(E2499="LO",6,10))+IF(T2499=1,2,IF(D2499=7,1,(IF(WEEKDAY(B2499)=1,2,IF(WEEKDAY(B2499)=7,1,0))))))</f>
        <v>3</v>
      </c>
      <c r="V2499" s="328">
        <f>VLOOKUP(C2499,METADATA!$A$5:$H$29,IF(E2499="HI",2,IF(E2499="LO",6,10))+IF(T2499=1,2,IF(D2499=7,1,(IF(WEEKDAY(B2499)=1,2,IF(WEEKDAY(B2499)=7,1,0))))))</f>
        <v>3</v>
      </c>
    </row>
    <row r="2500" spans="2:22">
      <c r="B2500" s="318">
        <f t="shared" si="155"/>
        <v>46217</v>
      </c>
      <c r="C2500" s="312">
        <v>0</v>
      </c>
      <c r="D2500" s="368">
        <f>IFERROR((INDEX(METADATA!$T$2:$T$20,MATCH(B2500,METADATA!$S$2:$S$20,0))),0)</f>
        <v>0</v>
      </c>
      <c r="E2500" s="312" t="str">
        <f t="shared" ref="E2500:E2563" si="156">IF(B2500="","",IF(AND(MONTH(B2500)&gt;=MONTH($Z$9),MONTH(B2500)&lt;=MONTH($Z$11)),"HI","LO"))</f>
        <v>LO</v>
      </c>
      <c r="F2500" s="369">
        <f>VLOOKUP(C2500,METADATA!$A$5:$H$29,IF(E2500="HI",2,IF(E2500="LO",6,10))+IF(D2500=1,2,IF(D2500=7,1,(IF(WEEKDAY(B2500)=1,2,IF(WEEKDAY(B2500)=7,1,0))))))</f>
        <v>3</v>
      </c>
      <c r="G2500" s="369">
        <f>VLOOKUP(C2500,METADATA!$J$5:$Q$29,IF(E2500="HI",2,IF(E2500="LO",6,10))+IF(D2500=1,2,IF(D2500=7,1,(IF(WEEKDAY(B2500)=1,2,IF(WEEKDAY(B2500)=7,1,0))))))</f>
        <v>3</v>
      </c>
      <c r="H2500" s="370">
        <v>5716.0899047851563</v>
      </c>
      <c r="I2500" s="370">
        <v>1126.72998046875</v>
      </c>
      <c r="M2500" s="371">
        <f t="shared" ref="M2500:M2563" si="157">SQRT(H2500^2+I2500^2)</f>
        <v>5826.0796637596604</v>
      </c>
      <c r="N2500" s="329">
        <f t="shared" ref="N2500:N2563" si="158">IF(H2500=0,0,(IF(I2500-(0.3*H2500)&lt;0,0,(I2500-(0.3*H2500)))))</f>
        <v>0</v>
      </c>
      <c r="T2500" s="331">
        <v>0</v>
      </c>
      <c r="U2500" s="328">
        <f>VLOOKUP(C2500,METADATA!$J$5:$Q$29,IF(E2500="HI",2,IF(E2500="LO",6,10))+IF(T2500=1,2,IF(D2500=7,1,(IF(WEEKDAY(B2500)=1,2,IF(WEEKDAY(B2500)=7,1,0))))))</f>
        <v>3</v>
      </c>
      <c r="V2500" s="328">
        <f>VLOOKUP(C2500,METADATA!$A$5:$H$29,IF(E2500="HI",2,IF(E2500="LO",6,10))+IF(T2500=1,2,IF(D2500=7,1,(IF(WEEKDAY(B2500)=1,2,IF(WEEKDAY(B2500)=7,1,0))))))</f>
        <v>3</v>
      </c>
    </row>
    <row r="2501" spans="2:22">
      <c r="B2501" s="318">
        <f t="shared" si="155"/>
        <v>46217</v>
      </c>
      <c r="C2501" s="312">
        <v>1</v>
      </c>
      <c r="D2501" s="368">
        <f>IFERROR((INDEX(METADATA!$T$2:$T$20,MATCH(B2501,METADATA!$S$2:$S$20,0))),0)</f>
        <v>0</v>
      </c>
      <c r="E2501" s="312" t="str">
        <f t="shared" si="156"/>
        <v>LO</v>
      </c>
      <c r="F2501" s="369">
        <f>VLOOKUP(C2501,METADATA!$A$5:$H$29,IF(E2501="HI",2,IF(E2501="LO",6,10))+IF(D2501=1,2,IF(D2501=7,1,(IF(WEEKDAY(B2501)=1,2,IF(WEEKDAY(B2501)=7,1,0))))))</f>
        <v>3</v>
      </c>
      <c r="G2501" s="369">
        <f>VLOOKUP(C2501,METADATA!$J$5:$Q$29,IF(E2501="HI",2,IF(E2501="LO",6,10))+IF(D2501=1,2,IF(D2501=7,1,(IF(WEEKDAY(B2501)=1,2,IF(WEEKDAY(B2501)=7,1,0))))))</f>
        <v>3</v>
      </c>
      <c r="H2501" s="370">
        <v>5956.4401245117188</v>
      </c>
      <c r="I2501" s="370">
        <v>1131.3349914550781</v>
      </c>
      <c r="M2501" s="371">
        <f t="shared" si="157"/>
        <v>6062.9281555848765</v>
      </c>
      <c r="N2501" s="329">
        <f t="shared" si="158"/>
        <v>0</v>
      </c>
      <c r="T2501" s="331">
        <v>0</v>
      </c>
      <c r="U2501" s="328">
        <f>VLOOKUP(C2501,METADATA!$J$5:$Q$29,IF(E2501="HI",2,IF(E2501="LO",6,10))+IF(T2501=1,2,IF(D2501=7,1,(IF(WEEKDAY(B2501)=1,2,IF(WEEKDAY(B2501)=7,1,0))))))</f>
        <v>3</v>
      </c>
      <c r="V2501" s="328">
        <f>VLOOKUP(C2501,METADATA!$A$5:$H$29,IF(E2501="HI",2,IF(E2501="LO",6,10))+IF(T2501=1,2,IF(D2501=7,1,(IF(WEEKDAY(B2501)=1,2,IF(WEEKDAY(B2501)=7,1,0))))))</f>
        <v>3</v>
      </c>
    </row>
    <row r="2502" spans="2:22">
      <c r="B2502" s="318">
        <f t="shared" si="155"/>
        <v>46217</v>
      </c>
      <c r="C2502" s="312">
        <v>2</v>
      </c>
      <c r="D2502" s="368">
        <f>IFERROR((INDEX(METADATA!$T$2:$T$20,MATCH(B2502,METADATA!$S$2:$S$20,0))),0)</f>
        <v>0</v>
      </c>
      <c r="E2502" s="312" t="str">
        <f t="shared" si="156"/>
        <v>LO</v>
      </c>
      <c r="F2502" s="369">
        <f>VLOOKUP(C2502,METADATA!$A$5:$H$29,IF(E2502="HI",2,IF(E2502="LO",6,10))+IF(D2502=1,2,IF(D2502=7,1,(IF(WEEKDAY(B2502)=1,2,IF(WEEKDAY(B2502)=7,1,0))))))</f>
        <v>3</v>
      </c>
      <c r="G2502" s="369">
        <f>VLOOKUP(C2502,METADATA!$J$5:$Q$29,IF(E2502="HI",2,IF(E2502="LO",6,10))+IF(D2502=1,2,IF(D2502=7,1,(IF(WEEKDAY(B2502)=1,2,IF(WEEKDAY(B2502)=7,1,0))))))</f>
        <v>3</v>
      </c>
      <c r="H2502" s="370">
        <v>6889.6249694824219</v>
      </c>
      <c r="I2502" s="370">
        <v>1202.5899677276611</v>
      </c>
      <c r="M2502" s="371">
        <f t="shared" si="157"/>
        <v>6993.7940240326552</v>
      </c>
      <c r="N2502" s="329">
        <f t="shared" si="158"/>
        <v>0</v>
      </c>
      <c r="T2502" s="331">
        <v>0</v>
      </c>
      <c r="U2502" s="328">
        <f>VLOOKUP(C2502,METADATA!$J$5:$Q$29,IF(E2502="HI",2,IF(E2502="LO",6,10))+IF(T2502=1,2,IF(D2502=7,1,(IF(WEEKDAY(B2502)=1,2,IF(WEEKDAY(B2502)=7,1,0))))))</f>
        <v>3</v>
      </c>
      <c r="V2502" s="328">
        <f>VLOOKUP(C2502,METADATA!$A$5:$H$29,IF(E2502="HI",2,IF(E2502="LO",6,10))+IF(T2502=1,2,IF(D2502=7,1,(IF(WEEKDAY(B2502)=1,2,IF(WEEKDAY(B2502)=7,1,0))))))</f>
        <v>3</v>
      </c>
    </row>
    <row r="2503" spans="2:22">
      <c r="B2503" s="318">
        <f t="shared" si="155"/>
        <v>46217</v>
      </c>
      <c r="C2503" s="312">
        <v>3</v>
      </c>
      <c r="D2503" s="368">
        <f>IFERROR((INDEX(METADATA!$T$2:$T$20,MATCH(B2503,METADATA!$S$2:$S$20,0))),0)</f>
        <v>0</v>
      </c>
      <c r="E2503" s="312" t="str">
        <f t="shared" si="156"/>
        <v>LO</v>
      </c>
      <c r="F2503" s="369">
        <f>VLOOKUP(C2503,METADATA!$A$5:$H$29,IF(E2503="HI",2,IF(E2503="LO",6,10))+IF(D2503=1,2,IF(D2503=7,1,(IF(WEEKDAY(B2503)=1,2,IF(WEEKDAY(B2503)=7,1,0))))))</f>
        <v>3</v>
      </c>
      <c r="G2503" s="369">
        <f>VLOOKUP(C2503,METADATA!$J$5:$Q$29,IF(E2503="HI",2,IF(E2503="LO",6,10))+IF(D2503=1,2,IF(D2503=7,1,(IF(WEEKDAY(B2503)=1,2,IF(WEEKDAY(B2503)=7,1,0))))))</f>
        <v>3</v>
      </c>
      <c r="H2503" s="370">
        <v>11277.527282714844</v>
      </c>
      <c r="I2503" s="370">
        <v>2976.1025085449219</v>
      </c>
      <c r="M2503" s="371">
        <f t="shared" si="157"/>
        <v>11663.610408177436</v>
      </c>
      <c r="N2503" s="329">
        <f t="shared" si="158"/>
        <v>0</v>
      </c>
      <c r="T2503" s="331">
        <v>0</v>
      </c>
      <c r="U2503" s="328">
        <f>VLOOKUP(C2503,METADATA!$J$5:$Q$29,IF(E2503="HI",2,IF(E2503="LO",6,10))+IF(T2503=1,2,IF(D2503=7,1,(IF(WEEKDAY(B2503)=1,2,IF(WEEKDAY(B2503)=7,1,0))))))</f>
        <v>3</v>
      </c>
      <c r="V2503" s="328">
        <f>VLOOKUP(C2503,METADATA!$A$5:$H$29,IF(E2503="HI",2,IF(E2503="LO",6,10))+IF(T2503=1,2,IF(D2503=7,1,(IF(WEEKDAY(B2503)=1,2,IF(WEEKDAY(B2503)=7,1,0))))))</f>
        <v>3</v>
      </c>
    </row>
    <row r="2504" spans="2:22">
      <c r="B2504" s="318">
        <f t="shared" si="155"/>
        <v>46217</v>
      </c>
      <c r="C2504" s="312">
        <v>4</v>
      </c>
      <c r="D2504" s="368">
        <f>IFERROR((INDEX(METADATA!$T$2:$T$20,MATCH(B2504,METADATA!$S$2:$S$20,0))),0)</f>
        <v>0</v>
      </c>
      <c r="E2504" s="312" t="str">
        <f t="shared" si="156"/>
        <v>LO</v>
      </c>
      <c r="F2504" s="369">
        <f>VLOOKUP(C2504,METADATA!$A$5:$H$29,IF(E2504="HI",2,IF(E2504="LO",6,10))+IF(D2504=1,2,IF(D2504=7,1,(IF(WEEKDAY(B2504)=1,2,IF(WEEKDAY(B2504)=7,1,0))))))</f>
        <v>3</v>
      </c>
      <c r="G2504" s="369">
        <f>VLOOKUP(C2504,METADATA!$J$5:$Q$29,IF(E2504="HI",2,IF(E2504="LO",6,10))+IF(D2504=1,2,IF(D2504=7,1,(IF(WEEKDAY(B2504)=1,2,IF(WEEKDAY(B2504)=7,1,0))))))</f>
        <v>3</v>
      </c>
      <c r="H2504" s="370">
        <v>13116.874694824219</v>
      </c>
      <c r="I2504" s="370">
        <v>3978.9200134277344</v>
      </c>
      <c r="M2504" s="371">
        <f t="shared" si="157"/>
        <v>13707.08598619618</v>
      </c>
      <c r="N2504" s="329">
        <f t="shared" si="158"/>
        <v>43.85760498046875</v>
      </c>
      <c r="T2504" s="331">
        <v>0</v>
      </c>
      <c r="U2504" s="328">
        <f>VLOOKUP(C2504,METADATA!$J$5:$Q$29,IF(E2504="HI",2,IF(E2504="LO",6,10))+IF(T2504=1,2,IF(D2504=7,1,(IF(WEEKDAY(B2504)=1,2,IF(WEEKDAY(B2504)=7,1,0))))))</f>
        <v>3</v>
      </c>
      <c r="V2504" s="328">
        <f>VLOOKUP(C2504,METADATA!$A$5:$H$29,IF(E2504="HI",2,IF(E2504="LO",6,10))+IF(T2504=1,2,IF(D2504=7,1,(IF(WEEKDAY(B2504)=1,2,IF(WEEKDAY(B2504)=7,1,0))))))</f>
        <v>3</v>
      </c>
    </row>
    <row r="2505" spans="2:22">
      <c r="B2505" s="318">
        <f t="shared" si="155"/>
        <v>46217</v>
      </c>
      <c r="C2505" s="312">
        <v>5</v>
      </c>
      <c r="D2505" s="368">
        <f>IFERROR((INDEX(METADATA!$T$2:$T$20,MATCH(B2505,METADATA!$S$2:$S$20,0))),0)</f>
        <v>0</v>
      </c>
      <c r="E2505" s="312" t="str">
        <f t="shared" si="156"/>
        <v>LO</v>
      </c>
      <c r="F2505" s="369">
        <f>VLOOKUP(C2505,METADATA!$A$5:$H$29,IF(E2505="HI",2,IF(E2505="LO",6,10))+IF(D2505=1,2,IF(D2505=7,1,(IF(WEEKDAY(B2505)=1,2,IF(WEEKDAY(B2505)=7,1,0))))))</f>
        <v>3</v>
      </c>
      <c r="G2505" s="369">
        <f>VLOOKUP(C2505,METADATA!$J$5:$Q$29,IF(E2505="HI",2,IF(E2505="LO",6,10))+IF(D2505=1,2,IF(D2505=7,1,(IF(WEEKDAY(B2505)=1,2,IF(WEEKDAY(B2505)=7,1,0))))))</f>
        <v>3</v>
      </c>
      <c r="H2505" s="370">
        <v>13220.450317382813</v>
      </c>
      <c r="I2505" s="370">
        <v>3976.5249633789063</v>
      </c>
      <c r="M2505" s="371">
        <f t="shared" si="157"/>
        <v>13805.544443402545</v>
      </c>
      <c r="N2505" s="329">
        <f t="shared" si="158"/>
        <v>10.389868164062591</v>
      </c>
      <c r="T2505" s="331">
        <v>0</v>
      </c>
      <c r="U2505" s="328">
        <f>VLOOKUP(C2505,METADATA!$J$5:$Q$29,IF(E2505="HI",2,IF(E2505="LO",6,10))+IF(T2505=1,2,IF(D2505=7,1,(IF(WEEKDAY(B2505)=1,2,IF(WEEKDAY(B2505)=7,1,0))))))</f>
        <v>3</v>
      </c>
      <c r="V2505" s="328">
        <f>VLOOKUP(C2505,METADATA!$A$5:$H$29,IF(E2505="HI",2,IF(E2505="LO",6,10))+IF(T2505=1,2,IF(D2505=7,1,(IF(WEEKDAY(B2505)=1,2,IF(WEEKDAY(B2505)=7,1,0))))))</f>
        <v>3</v>
      </c>
    </row>
    <row r="2506" spans="2:22">
      <c r="B2506" s="318">
        <f t="shared" si="155"/>
        <v>46217</v>
      </c>
      <c r="C2506" s="312">
        <v>6</v>
      </c>
      <c r="D2506" s="368">
        <f>IFERROR((INDEX(METADATA!$T$2:$T$20,MATCH(B2506,METADATA!$S$2:$S$20,0))),0)</f>
        <v>0</v>
      </c>
      <c r="E2506" s="312" t="str">
        <f t="shared" si="156"/>
        <v>LO</v>
      </c>
      <c r="F2506" s="369">
        <f>VLOOKUP(C2506,METADATA!$A$5:$H$29,IF(E2506="HI",2,IF(E2506="LO",6,10))+IF(D2506=1,2,IF(D2506=7,1,(IF(WEEKDAY(B2506)=1,2,IF(WEEKDAY(B2506)=7,1,0))))))</f>
        <v>2</v>
      </c>
      <c r="G2506" s="369">
        <f>VLOOKUP(C2506,METADATA!$J$5:$Q$29,IF(E2506="HI",2,IF(E2506="LO",6,10))+IF(D2506=1,2,IF(D2506=7,1,(IF(WEEKDAY(B2506)=1,2,IF(WEEKDAY(B2506)=7,1,0))))))</f>
        <v>2</v>
      </c>
      <c r="H2506" s="370">
        <v>12990.399719238281</v>
      </c>
      <c r="I2506" s="370">
        <v>3966.2249450683594</v>
      </c>
      <c r="M2506" s="371">
        <f t="shared" si="157"/>
        <v>13582.393941440092</v>
      </c>
      <c r="N2506" s="329">
        <f t="shared" si="158"/>
        <v>69.105029296875273</v>
      </c>
      <c r="T2506" s="331">
        <v>0</v>
      </c>
      <c r="U2506" s="328">
        <f>VLOOKUP(C2506,METADATA!$J$5:$Q$29,IF(E2506="HI",2,IF(E2506="LO",6,10))+IF(T2506=1,2,IF(D2506=7,1,(IF(WEEKDAY(B2506)=1,2,IF(WEEKDAY(B2506)=7,1,0))))))</f>
        <v>2</v>
      </c>
      <c r="V2506" s="328">
        <f>VLOOKUP(C2506,METADATA!$A$5:$H$29,IF(E2506="HI",2,IF(E2506="LO",6,10))+IF(T2506=1,2,IF(D2506=7,1,(IF(WEEKDAY(B2506)=1,2,IF(WEEKDAY(B2506)=7,1,0))))))</f>
        <v>2</v>
      </c>
    </row>
    <row r="2507" spans="2:22">
      <c r="B2507" s="318">
        <f t="shared" si="155"/>
        <v>46217</v>
      </c>
      <c r="C2507" s="312">
        <v>7</v>
      </c>
      <c r="D2507" s="368">
        <f>IFERROR((INDEX(METADATA!$T$2:$T$20,MATCH(B2507,METADATA!$S$2:$S$20,0))),0)</f>
        <v>0</v>
      </c>
      <c r="E2507" s="312" t="str">
        <f t="shared" si="156"/>
        <v>LO</v>
      </c>
      <c r="F2507" s="369">
        <f>VLOOKUP(C2507,METADATA!$A$5:$H$29,IF(E2507="HI",2,IF(E2507="LO",6,10))+IF(D2507=1,2,IF(D2507=7,1,(IF(WEEKDAY(B2507)=1,2,IF(WEEKDAY(B2507)=7,1,0))))))</f>
        <v>1</v>
      </c>
      <c r="G2507" s="369">
        <f>VLOOKUP(C2507,METADATA!$J$5:$Q$29,IF(E2507="HI",2,IF(E2507="LO",6,10))+IF(D2507=1,2,IF(D2507=7,1,(IF(WEEKDAY(B2507)=1,2,IF(WEEKDAY(B2507)=7,1,0))))))</f>
        <v>1</v>
      </c>
      <c r="H2507" s="370">
        <v>13166.074829101563</v>
      </c>
      <c r="I2507" s="370">
        <v>4098.35986328125</v>
      </c>
      <c r="M2507" s="371">
        <f t="shared" si="157"/>
        <v>13789.201571318639</v>
      </c>
      <c r="N2507" s="329">
        <f t="shared" si="158"/>
        <v>148.53741455078125</v>
      </c>
      <c r="T2507" s="331">
        <v>0</v>
      </c>
      <c r="U2507" s="328">
        <f>VLOOKUP(C2507,METADATA!$J$5:$Q$29,IF(E2507="HI",2,IF(E2507="LO",6,10))+IF(T2507=1,2,IF(D2507=7,1,(IF(WEEKDAY(B2507)=1,2,IF(WEEKDAY(B2507)=7,1,0))))))</f>
        <v>1</v>
      </c>
      <c r="V2507" s="328">
        <f>VLOOKUP(C2507,METADATA!$A$5:$H$29,IF(E2507="HI",2,IF(E2507="LO",6,10))+IF(T2507=1,2,IF(D2507=7,1,(IF(WEEKDAY(B2507)=1,2,IF(WEEKDAY(B2507)=7,1,0))))))</f>
        <v>1</v>
      </c>
    </row>
    <row r="2508" spans="2:22">
      <c r="B2508" s="318">
        <f t="shared" si="155"/>
        <v>46217</v>
      </c>
      <c r="C2508" s="312">
        <v>8</v>
      </c>
      <c r="D2508" s="368">
        <f>IFERROR((INDEX(METADATA!$T$2:$T$20,MATCH(B2508,METADATA!$S$2:$S$20,0))),0)</f>
        <v>0</v>
      </c>
      <c r="E2508" s="312" t="str">
        <f t="shared" si="156"/>
        <v>LO</v>
      </c>
      <c r="F2508" s="369">
        <f>VLOOKUP(C2508,METADATA!$A$5:$H$29,IF(E2508="HI",2,IF(E2508="LO",6,10))+IF(D2508=1,2,IF(D2508=7,1,(IF(WEEKDAY(B2508)=1,2,IF(WEEKDAY(B2508)=7,1,0))))))</f>
        <v>1</v>
      </c>
      <c r="G2508" s="369">
        <f>VLOOKUP(C2508,METADATA!$J$5:$Q$29,IF(E2508="HI",2,IF(E2508="LO",6,10))+IF(D2508=1,2,IF(D2508=7,1,(IF(WEEKDAY(B2508)=1,2,IF(WEEKDAY(B2508)=7,1,0))))))</f>
        <v>1</v>
      </c>
      <c r="H2508" s="370">
        <v>12500.900146484375</v>
      </c>
      <c r="I2508" s="370">
        <v>3630.6601257324219</v>
      </c>
      <c r="M2508" s="371">
        <f t="shared" si="157"/>
        <v>13017.45740999203</v>
      </c>
      <c r="N2508" s="329">
        <f t="shared" si="158"/>
        <v>0</v>
      </c>
      <c r="T2508" s="331">
        <v>0</v>
      </c>
      <c r="U2508" s="328">
        <f>VLOOKUP(C2508,METADATA!$J$5:$Q$29,IF(E2508="HI",2,IF(E2508="LO",6,10))+IF(T2508=1,2,IF(D2508=7,1,(IF(WEEKDAY(B2508)=1,2,IF(WEEKDAY(B2508)=7,1,0))))))</f>
        <v>1</v>
      </c>
      <c r="V2508" s="328">
        <f>VLOOKUP(C2508,METADATA!$A$5:$H$29,IF(E2508="HI",2,IF(E2508="LO",6,10))+IF(T2508=1,2,IF(D2508=7,1,(IF(WEEKDAY(B2508)=1,2,IF(WEEKDAY(B2508)=7,1,0))))))</f>
        <v>1</v>
      </c>
    </row>
    <row r="2509" spans="2:22">
      <c r="B2509" s="318">
        <f t="shared" si="155"/>
        <v>46217</v>
      </c>
      <c r="C2509" s="312">
        <v>9</v>
      </c>
      <c r="D2509" s="368">
        <f>IFERROR((INDEX(METADATA!$T$2:$T$20,MATCH(B2509,METADATA!$S$2:$S$20,0))),0)</f>
        <v>0</v>
      </c>
      <c r="E2509" s="312" t="str">
        <f t="shared" si="156"/>
        <v>LO</v>
      </c>
      <c r="F2509" s="369">
        <f>VLOOKUP(C2509,METADATA!$A$5:$H$29,IF(E2509="HI",2,IF(E2509="LO",6,10))+IF(D2509=1,2,IF(D2509=7,1,(IF(WEEKDAY(B2509)=1,2,IF(WEEKDAY(B2509)=7,1,0))))))</f>
        <v>2</v>
      </c>
      <c r="G2509" s="369">
        <f>VLOOKUP(C2509,METADATA!$J$5:$Q$29,IF(E2509="HI",2,IF(E2509="LO",6,10))+IF(D2509=1,2,IF(D2509=7,1,(IF(WEEKDAY(B2509)=1,2,IF(WEEKDAY(B2509)=7,1,0))))))</f>
        <v>2</v>
      </c>
      <c r="H2509" s="370">
        <v>11836.999938964844</v>
      </c>
      <c r="I2509" s="370">
        <v>3240.6850128173828</v>
      </c>
      <c r="M2509" s="371">
        <f t="shared" si="157"/>
        <v>12272.595768921623</v>
      </c>
      <c r="N2509" s="329">
        <f t="shared" si="158"/>
        <v>0</v>
      </c>
      <c r="T2509" s="331">
        <v>0</v>
      </c>
      <c r="U2509" s="328">
        <f>VLOOKUP(C2509,METADATA!$J$5:$Q$29,IF(E2509="HI",2,IF(E2509="LO",6,10))+IF(T2509=1,2,IF(D2509=7,1,(IF(WEEKDAY(B2509)=1,2,IF(WEEKDAY(B2509)=7,1,0))))))</f>
        <v>2</v>
      </c>
      <c r="V2509" s="328">
        <f>VLOOKUP(C2509,METADATA!$A$5:$H$29,IF(E2509="HI",2,IF(E2509="LO",6,10))+IF(T2509=1,2,IF(D2509=7,1,(IF(WEEKDAY(B2509)=1,2,IF(WEEKDAY(B2509)=7,1,0))))))</f>
        <v>2</v>
      </c>
    </row>
    <row r="2510" spans="2:22">
      <c r="B2510" s="318">
        <f t="shared" si="155"/>
        <v>46217</v>
      </c>
      <c r="C2510" s="312">
        <v>10</v>
      </c>
      <c r="D2510" s="368">
        <f>IFERROR((INDEX(METADATA!$T$2:$T$20,MATCH(B2510,METADATA!$S$2:$S$20,0))),0)</f>
        <v>0</v>
      </c>
      <c r="E2510" s="312" t="str">
        <f t="shared" si="156"/>
        <v>LO</v>
      </c>
      <c r="F2510" s="369">
        <f>VLOOKUP(C2510,METADATA!$A$5:$H$29,IF(E2510="HI",2,IF(E2510="LO",6,10))+IF(D2510=1,2,IF(D2510=7,1,(IF(WEEKDAY(B2510)=1,2,IF(WEEKDAY(B2510)=7,1,0))))))</f>
        <v>2</v>
      </c>
      <c r="G2510" s="369">
        <f>VLOOKUP(C2510,METADATA!$J$5:$Q$29,IF(E2510="HI",2,IF(E2510="LO",6,10))+IF(D2510=1,2,IF(D2510=7,1,(IF(WEEKDAY(B2510)=1,2,IF(WEEKDAY(B2510)=7,1,0))))))</f>
        <v>2</v>
      </c>
      <c r="H2510" s="370">
        <v>12427.524658203125</v>
      </c>
      <c r="I2510" s="370">
        <v>3220.1350479125977</v>
      </c>
      <c r="M2510" s="371">
        <f t="shared" si="157"/>
        <v>12837.937484543294</v>
      </c>
      <c r="N2510" s="329">
        <f t="shared" si="158"/>
        <v>0</v>
      </c>
      <c r="T2510" s="331">
        <v>0</v>
      </c>
      <c r="U2510" s="328">
        <f>VLOOKUP(C2510,METADATA!$J$5:$Q$29,IF(E2510="HI",2,IF(E2510="LO",6,10))+IF(T2510=1,2,IF(D2510=7,1,(IF(WEEKDAY(B2510)=1,2,IF(WEEKDAY(B2510)=7,1,0))))))</f>
        <v>2</v>
      </c>
      <c r="V2510" s="328">
        <f>VLOOKUP(C2510,METADATA!$A$5:$H$29,IF(E2510="HI",2,IF(E2510="LO",6,10))+IF(T2510=1,2,IF(D2510=7,1,(IF(WEEKDAY(B2510)=1,2,IF(WEEKDAY(B2510)=7,1,0))))))</f>
        <v>2</v>
      </c>
    </row>
    <row r="2511" spans="2:22">
      <c r="B2511" s="318">
        <f t="shared" si="155"/>
        <v>46217</v>
      </c>
      <c r="C2511" s="312">
        <v>11</v>
      </c>
      <c r="D2511" s="368">
        <f>IFERROR((INDEX(METADATA!$T$2:$T$20,MATCH(B2511,METADATA!$S$2:$S$20,0))),0)</f>
        <v>0</v>
      </c>
      <c r="E2511" s="312" t="str">
        <f t="shared" si="156"/>
        <v>LO</v>
      </c>
      <c r="F2511" s="369">
        <f>VLOOKUP(C2511,METADATA!$A$5:$H$29,IF(E2511="HI",2,IF(E2511="LO",6,10))+IF(D2511=1,2,IF(D2511=7,1,(IF(WEEKDAY(B2511)=1,2,IF(WEEKDAY(B2511)=7,1,0))))))</f>
        <v>2</v>
      </c>
      <c r="G2511" s="369">
        <f>VLOOKUP(C2511,METADATA!$J$5:$Q$29,IF(E2511="HI",2,IF(E2511="LO",6,10))+IF(D2511=1,2,IF(D2511=7,1,(IF(WEEKDAY(B2511)=1,2,IF(WEEKDAY(B2511)=7,1,0))))))</f>
        <v>2</v>
      </c>
      <c r="H2511" s="370">
        <v>12823.299865722656</v>
      </c>
      <c r="I2511" s="370">
        <v>3670.0199813842773</v>
      </c>
      <c r="M2511" s="371">
        <f t="shared" si="157"/>
        <v>13338.143278207899</v>
      </c>
      <c r="N2511" s="329">
        <f t="shared" si="158"/>
        <v>0</v>
      </c>
      <c r="T2511" s="331">
        <v>0</v>
      </c>
      <c r="U2511" s="328">
        <f>VLOOKUP(C2511,METADATA!$J$5:$Q$29,IF(E2511="HI",2,IF(E2511="LO",6,10))+IF(T2511=1,2,IF(D2511=7,1,(IF(WEEKDAY(B2511)=1,2,IF(WEEKDAY(B2511)=7,1,0))))))</f>
        <v>2</v>
      </c>
      <c r="V2511" s="328">
        <f>VLOOKUP(C2511,METADATA!$A$5:$H$29,IF(E2511="HI",2,IF(E2511="LO",6,10))+IF(T2511=1,2,IF(D2511=7,1,(IF(WEEKDAY(B2511)=1,2,IF(WEEKDAY(B2511)=7,1,0))))))</f>
        <v>2</v>
      </c>
    </row>
    <row r="2512" spans="2:22">
      <c r="B2512" s="318">
        <f t="shared" si="155"/>
        <v>46217</v>
      </c>
      <c r="C2512" s="312">
        <v>12</v>
      </c>
      <c r="D2512" s="368">
        <f>IFERROR((INDEX(METADATA!$T$2:$T$20,MATCH(B2512,METADATA!$S$2:$S$20,0))),0)</f>
        <v>0</v>
      </c>
      <c r="E2512" s="312" t="str">
        <f t="shared" si="156"/>
        <v>LO</v>
      </c>
      <c r="F2512" s="369">
        <f>VLOOKUP(C2512,METADATA!$A$5:$H$29,IF(E2512="HI",2,IF(E2512="LO",6,10))+IF(D2512=1,2,IF(D2512=7,1,(IF(WEEKDAY(B2512)=1,2,IF(WEEKDAY(B2512)=7,1,0))))))</f>
        <v>2</v>
      </c>
      <c r="G2512" s="369">
        <f>VLOOKUP(C2512,METADATA!$J$5:$Q$29,IF(E2512="HI",2,IF(E2512="LO",6,10))+IF(D2512=1,2,IF(D2512=7,1,(IF(WEEKDAY(B2512)=1,2,IF(WEEKDAY(B2512)=7,1,0))))))</f>
        <v>2</v>
      </c>
      <c r="H2512" s="370">
        <v>13653.174926757813</v>
      </c>
      <c r="I2512" s="370">
        <v>4457.8550415039063</v>
      </c>
      <c r="M2512" s="371">
        <f t="shared" si="157"/>
        <v>14362.508734608657</v>
      </c>
      <c r="N2512" s="329">
        <f t="shared" si="158"/>
        <v>361.90256347656259</v>
      </c>
      <c r="T2512" s="331">
        <v>0</v>
      </c>
      <c r="U2512" s="328">
        <f>VLOOKUP(C2512,METADATA!$J$5:$Q$29,IF(E2512="HI",2,IF(E2512="LO",6,10))+IF(T2512=1,2,IF(D2512=7,1,(IF(WEEKDAY(B2512)=1,2,IF(WEEKDAY(B2512)=7,1,0))))))</f>
        <v>2</v>
      </c>
      <c r="V2512" s="328">
        <f>VLOOKUP(C2512,METADATA!$A$5:$H$29,IF(E2512="HI",2,IF(E2512="LO",6,10))+IF(T2512=1,2,IF(D2512=7,1,(IF(WEEKDAY(B2512)=1,2,IF(WEEKDAY(B2512)=7,1,0))))))</f>
        <v>2</v>
      </c>
    </row>
    <row r="2513" spans="2:22">
      <c r="B2513" s="318">
        <f t="shared" si="155"/>
        <v>46217</v>
      </c>
      <c r="C2513" s="312">
        <v>13</v>
      </c>
      <c r="D2513" s="368">
        <f>IFERROR((INDEX(METADATA!$T$2:$T$20,MATCH(B2513,METADATA!$S$2:$S$20,0))),0)</f>
        <v>0</v>
      </c>
      <c r="E2513" s="312" t="str">
        <f t="shared" si="156"/>
        <v>LO</v>
      </c>
      <c r="F2513" s="369">
        <f>VLOOKUP(C2513,METADATA!$A$5:$H$29,IF(E2513="HI",2,IF(E2513="LO",6,10))+IF(D2513=1,2,IF(D2513=7,1,(IF(WEEKDAY(B2513)=1,2,IF(WEEKDAY(B2513)=7,1,0))))))</f>
        <v>2</v>
      </c>
      <c r="G2513" s="369">
        <f>VLOOKUP(C2513,METADATA!$J$5:$Q$29,IF(E2513="HI",2,IF(E2513="LO",6,10))+IF(D2513=1,2,IF(D2513=7,1,(IF(WEEKDAY(B2513)=1,2,IF(WEEKDAY(B2513)=7,1,0))))))</f>
        <v>2</v>
      </c>
      <c r="H2513" s="370">
        <v>11402.549987792969</v>
      </c>
      <c r="I2513" s="370">
        <v>3665.7950210571289</v>
      </c>
      <c r="M2513" s="371">
        <f t="shared" si="157"/>
        <v>11977.320207814628</v>
      </c>
      <c r="N2513" s="329">
        <f t="shared" si="158"/>
        <v>245.03002471923855</v>
      </c>
      <c r="T2513" s="331">
        <v>0</v>
      </c>
      <c r="U2513" s="328">
        <f>VLOOKUP(C2513,METADATA!$J$5:$Q$29,IF(E2513="HI",2,IF(E2513="LO",6,10))+IF(T2513=1,2,IF(D2513=7,1,(IF(WEEKDAY(B2513)=1,2,IF(WEEKDAY(B2513)=7,1,0))))))</f>
        <v>2</v>
      </c>
      <c r="V2513" s="328">
        <f>VLOOKUP(C2513,METADATA!$A$5:$H$29,IF(E2513="HI",2,IF(E2513="LO",6,10))+IF(T2513=1,2,IF(D2513=7,1,(IF(WEEKDAY(B2513)=1,2,IF(WEEKDAY(B2513)=7,1,0))))))</f>
        <v>2</v>
      </c>
    </row>
    <row r="2514" spans="2:22">
      <c r="B2514" s="318">
        <f t="shared" si="155"/>
        <v>46217</v>
      </c>
      <c r="C2514" s="312">
        <v>14</v>
      </c>
      <c r="D2514" s="368">
        <f>IFERROR((INDEX(METADATA!$T$2:$T$20,MATCH(B2514,METADATA!$S$2:$S$20,0))),0)</f>
        <v>0</v>
      </c>
      <c r="E2514" s="312" t="str">
        <f t="shared" si="156"/>
        <v>LO</v>
      </c>
      <c r="F2514" s="369">
        <f>VLOOKUP(C2514,METADATA!$A$5:$H$29,IF(E2514="HI",2,IF(E2514="LO",6,10))+IF(D2514=1,2,IF(D2514=7,1,(IF(WEEKDAY(B2514)=1,2,IF(WEEKDAY(B2514)=7,1,0))))))</f>
        <v>2</v>
      </c>
      <c r="G2514" s="369">
        <f>VLOOKUP(C2514,METADATA!$J$5:$Q$29,IF(E2514="HI",2,IF(E2514="LO",6,10))+IF(D2514=1,2,IF(D2514=7,1,(IF(WEEKDAY(B2514)=1,2,IF(WEEKDAY(B2514)=7,1,0))))))</f>
        <v>2</v>
      </c>
      <c r="H2514" s="370">
        <v>8227.3499145507813</v>
      </c>
      <c r="I2514" s="370">
        <v>2833.2849273681641</v>
      </c>
      <c r="M2514" s="371">
        <f t="shared" si="157"/>
        <v>8701.539524481308</v>
      </c>
      <c r="N2514" s="329">
        <f t="shared" si="158"/>
        <v>365.07995300292987</v>
      </c>
      <c r="T2514" s="331">
        <v>0</v>
      </c>
      <c r="U2514" s="328">
        <f>VLOOKUP(C2514,METADATA!$J$5:$Q$29,IF(E2514="HI",2,IF(E2514="LO",6,10))+IF(T2514=1,2,IF(D2514=7,1,(IF(WEEKDAY(B2514)=1,2,IF(WEEKDAY(B2514)=7,1,0))))))</f>
        <v>2</v>
      </c>
      <c r="V2514" s="328">
        <f>VLOOKUP(C2514,METADATA!$A$5:$H$29,IF(E2514="HI",2,IF(E2514="LO",6,10))+IF(T2514=1,2,IF(D2514=7,1,(IF(WEEKDAY(B2514)=1,2,IF(WEEKDAY(B2514)=7,1,0))))))</f>
        <v>2</v>
      </c>
    </row>
    <row r="2515" spans="2:22">
      <c r="B2515" s="318">
        <f t="shared" si="155"/>
        <v>46217</v>
      </c>
      <c r="C2515" s="312">
        <v>15</v>
      </c>
      <c r="D2515" s="368">
        <f>IFERROR((INDEX(METADATA!$T$2:$T$20,MATCH(B2515,METADATA!$S$2:$S$20,0))),0)</f>
        <v>0</v>
      </c>
      <c r="E2515" s="312" t="str">
        <f t="shared" si="156"/>
        <v>LO</v>
      </c>
      <c r="F2515" s="369">
        <f>VLOOKUP(C2515,METADATA!$A$5:$H$29,IF(E2515="HI",2,IF(E2515="LO",6,10))+IF(D2515=1,2,IF(D2515=7,1,(IF(WEEKDAY(B2515)=1,2,IF(WEEKDAY(B2515)=7,1,0))))))</f>
        <v>2</v>
      </c>
      <c r="G2515" s="369">
        <f>VLOOKUP(C2515,METADATA!$J$5:$Q$29,IF(E2515="HI",2,IF(E2515="LO",6,10))+IF(D2515=1,2,IF(D2515=7,1,(IF(WEEKDAY(B2515)=1,2,IF(WEEKDAY(B2515)=7,1,0))))))</f>
        <v>2</v>
      </c>
      <c r="H2515" s="370">
        <v>11422.124938964844</v>
      </c>
      <c r="I2515" s="370">
        <v>3615.5225219726563</v>
      </c>
      <c r="M2515" s="371">
        <f t="shared" si="157"/>
        <v>11980.690348565651</v>
      </c>
      <c r="N2515" s="329">
        <f t="shared" si="158"/>
        <v>188.88504028320313</v>
      </c>
      <c r="T2515" s="331">
        <v>0</v>
      </c>
      <c r="U2515" s="328">
        <f>VLOOKUP(C2515,METADATA!$J$5:$Q$29,IF(E2515="HI",2,IF(E2515="LO",6,10))+IF(T2515=1,2,IF(D2515=7,1,(IF(WEEKDAY(B2515)=1,2,IF(WEEKDAY(B2515)=7,1,0))))))</f>
        <v>2</v>
      </c>
      <c r="V2515" s="328">
        <f>VLOOKUP(C2515,METADATA!$A$5:$H$29,IF(E2515="HI",2,IF(E2515="LO",6,10))+IF(T2515=1,2,IF(D2515=7,1,(IF(WEEKDAY(B2515)=1,2,IF(WEEKDAY(B2515)=7,1,0))))))</f>
        <v>2</v>
      </c>
    </row>
    <row r="2516" spans="2:22">
      <c r="B2516" s="318">
        <f t="shared" si="155"/>
        <v>46217</v>
      </c>
      <c r="C2516" s="312">
        <v>16</v>
      </c>
      <c r="D2516" s="368">
        <f>IFERROR((INDEX(METADATA!$T$2:$T$20,MATCH(B2516,METADATA!$S$2:$S$20,0))),0)</f>
        <v>0</v>
      </c>
      <c r="E2516" s="312" t="str">
        <f t="shared" si="156"/>
        <v>LO</v>
      </c>
      <c r="F2516" s="369">
        <f>VLOOKUP(C2516,METADATA!$A$5:$H$29,IF(E2516="HI",2,IF(E2516="LO",6,10))+IF(D2516=1,2,IF(D2516=7,1,(IF(WEEKDAY(B2516)=1,2,IF(WEEKDAY(B2516)=7,1,0))))))</f>
        <v>2</v>
      </c>
      <c r="G2516" s="369">
        <f>VLOOKUP(C2516,METADATA!$J$5:$Q$29,IF(E2516="HI",2,IF(E2516="LO",6,10))+IF(D2516=1,2,IF(D2516=7,1,(IF(WEEKDAY(B2516)=1,2,IF(WEEKDAY(B2516)=7,1,0))))))</f>
        <v>2</v>
      </c>
      <c r="H2516" s="370">
        <v>11299.657653808594</v>
      </c>
      <c r="I2516" s="370">
        <v>3402.1624908447266</v>
      </c>
      <c r="M2516" s="371">
        <f t="shared" si="157"/>
        <v>11800.719160601438</v>
      </c>
      <c r="N2516" s="329">
        <f t="shared" si="158"/>
        <v>12.265194702148619</v>
      </c>
      <c r="T2516" s="331">
        <v>0</v>
      </c>
      <c r="U2516" s="328">
        <f>VLOOKUP(C2516,METADATA!$J$5:$Q$29,IF(E2516="HI",2,IF(E2516="LO",6,10))+IF(T2516=1,2,IF(D2516=7,1,(IF(WEEKDAY(B2516)=1,2,IF(WEEKDAY(B2516)=7,1,0))))))</f>
        <v>2</v>
      </c>
      <c r="V2516" s="328">
        <f>VLOOKUP(C2516,METADATA!$A$5:$H$29,IF(E2516="HI",2,IF(E2516="LO",6,10))+IF(T2516=1,2,IF(D2516=7,1,(IF(WEEKDAY(B2516)=1,2,IF(WEEKDAY(B2516)=7,1,0))))))</f>
        <v>2</v>
      </c>
    </row>
    <row r="2517" spans="2:22">
      <c r="B2517" s="318">
        <f t="shared" si="155"/>
        <v>46217</v>
      </c>
      <c r="C2517" s="312">
        <v>17</v>
      </c>
      <c r="D2517" s="368">
        <f>IFERROR((INDEX(METADATA!$T$2:$T$20,MATCH(B2517,METADATA!$S$2:$S$20,0))),0)</f>
        <v>0</v>
      </c>
      <c r="E2517" s="312" t="str">
        <f t="shared" si="156"/>
        <v>LO</v>
      </c>
      <c r="F2517" s="369">
        <f>VLOOKUP(C2517,METADATA!$A$5:$H$29,IF(E2517="HI",2,IF(E2517="LO",6,10))+IF(D2517=1,2,IF(D2517=7,1,(IF(WEEKDAY(B2517)=1,2,IF(WEEKDAY(B2517)=7,1,0))))))</f>
        <v>2</v>
      </c>
      <c r="G2517" s="369">
        <f>VLOOKUP(C2517,METADATA!$J$5:$Q$29,IF(E2517="HI",2,IF(E2517="LO",6,10))+IF(D2517=1,2,IF(D2517=7,1,(IF(WEEKDAY(B2517)=1,2,IF(WEEKDAY(B2517)=7,1,0))))))</f>
        <v>2</v>
      </c>
      <c r="H2517" s="370">
        <v>8575.1500244140625</v>
      </c>
      <c r="I2517" s="370">
        <v>2684.2000732421875</v>
      </c>
      <c r="M2517" s="371">
        <f t="shared" si="157"/>
        <v>8985.4397763493944</v>
      </c>
      <c r="N2517" s="329">
        <f t="shared" si="158"/>
        <v>111.65506591796884</v>
      </c>
      <c r="T2517" s="331">
        <v>0</v>
      </c>
      <c r="U2517" s="328">
        <f>VLOOKUP(C2517,METADATA!$J$5:$Q$29,IF(E2517="HI",2,IF(E2517="LO",6,10))+IF(T2517=1,2,IF(D2517=7,1,(IF(WEEKDAY(B2517)=1,2,IF(WEEKDAY(B2517)=7,1,0))))))</f>
        <v>2</v>
      </c>
      <c r="V2517" s="328">
        <f>VLOOKUP(C2517,METADATA!$A$5:$H$29,IF(E2517="HI",2,IF(E2517="LO",6,10))+IF(T2517=1,2,IF(D2517=7,1,(IF(WEEKDAY(B2517)=1,2,IF(WEEKDAY(B2517)=7,1,0))))))</f>
        <v>2</v>
      </c>
    </row>
    <row r="2518" spans="2:22">
      <c r="B2518" s="318">
        <f t="shared" si="155"/>
        <v>46217</v>
      </c>
      <c r="C2518" s="312">
        <v>18</v>
      </c>
      <c r="D2518" s="368">
        <f>IFERROR((INDEX(METADATA!$T$2:$T$20,MATCH(B2518,METADATA!$S$2:$S$20,0))),0)</f>
        <v>0</v>
      </c>
      <c r="E2518" s="312" t="str">
        <f t="shared" si="156"/>
        <v>LO</v>
      </c>
      <c r="F2518" s="369">
        <f>VLOOKUP(C2518,METADATA!$A$5:$H$29,IF(E2518="HI",2,IF(E2518="LO",6,10))+IF(D2518=1,2,IF(D2518=7,1,(IF(WEEKDAY(B2518)=1,2,IF(WEEKDAY(B2518)=7,1,0))))))</f>
        <v>1</v>
      </c>
      <c r="G2518" s="369">
        <f>VLOOKUP(C2518,METADATA!$J$5:$Q$29,IF(E2518="HI",2,IF(E2518="LO",6,10))+IF(D2518=1,2,IF(D2518=7,1,(IF(WEEKDAY(B2518)=1,2,IF(WEEKDAY(B2518)=7,1,0))))))</f>
        <v>1</v>
      </c>
      <c r="H2518" s="370">
        <v>7367.4249877929688</v>
      </c>
      <c r="I2518" s="370">
        <v>2192.4574584960938</v>
      </c>
      <c r="M2518" s="371">
        <f t="shared" si="157"/>
        <v>7686.7301668571254</v>
      </c>
      <c r="N2518" s="329">
        <f t="shared" si="158"/>
        <v>0</v>
      </c>
      <c r="T2518" s="331">
        <v>0</v>
      </c>
      <c r="U2518" s="328">
        <f>VLOOKUP(C2518,METADATA!$J$5:$Q$29,IF(E2518="HI",2,IF(E2518="LO",6,10))+IF(T2518=1,2,IF(D2518=7,1,(IF(WEEKDAY(B2518)=1,2,IF(WEEKDAY(B2518)=7,1,0))))))</f>
        <v>1</v>
      </c>
      <c r="V2518" s="328">
        <f>VLOOKUP(C2518,METADATA!$A$5:$H$29,IF(E2518="HI",2,IF(E2518="LO",6,10))+IF(T2518=1,2,IF(D2518=7,1,(IF(WEEKDAY(B2518)=1,2,IF(WEEKDAY(B2518)=7,1,0))))))</f>
        <v>1</v>
      </c>
    </row>
    <row r="2519" spans="2:22">
      <c r="B2519" s="318">
        <f t="shared" si="155"/>
        <v>46217</v>
      </c>
      <c r="C2519" s="312">
        <v>19</v>
      </c>
      <c r="D2519" s="368">
        <f>IFERROR((INDEX(METADATA!$T$2:$T$20,MATCH(B2519,METADATA!$S$2:$S$20,0))),0)</f>
        <v>0</v>
      </c>
      <c r="E2519" s="312" t="str">
        <f t="shared" si="156"/>
        <v>LO</v>
      </c>
      <c r="F2519" s="369">
        <f>VLOOKUP(C2519,METADATA!$A$5:$H$29,IF(E2519="HI",2,IF(E2519="LO",6,10))+IF(D2519=1,2,IF(D2519=7,1,(IF(WEEKDAY(B2519)=1,2,IF(WEEKDAY(B2519)=7,1,0))))))</f>
        <v>1</v>
      </c>
      <c r="G2519" s="369">
        <f>VLOOKUP(C2519,METADATA!$J$5:$Q$29,IF(E2519="HI",2,IF(E2519="LO",6,10))+IF(D2519=1,2,IF(D2519=7,1,(IF(WEEKDAY(B2519)=1,2,IF(WEEKDAY(B2519)=7,1,0))))))</f>
        <v>1</v>
      </c>
      <c r="H2519" s="370">
        <v>7998.3401184082031</v>
      </c>
      <c r="I2519" s="370">
        <v>1997.9775085449219</v>
      </c>
      <c r="M2519" s="371">
        <f t="shared" si="157"/>
        <v>8244.1105508350338</v>
      </c>
      <c r="N2519" s="329">
        <f t="shared" si="158"/>
        <v>0</v>
      </c>
      <c r="T2519" s="331">
        <v>0</v>
      </c>
      <c r="U2519" s="328">
        <f>VLOOKUP(C2519,METADATA!$J$5:$Q$29,IF(E2519="HI",2,IF(E2519="LO",6,10))+IF(T2519=1,2,IF(D2519=7,1,(IF(WEEKDAY(B2519)=1,2,IF(WEEKDAY(B2519)=7,1,0))))))</f>
        <v>1</v>
      </c>
      <c r="V2519" s="328">
        <f>VLOOKUP(C2519,METADATA!$A$5:$H$29,IF(E2519="HI",2,IF(E2519="LO",6,10))+IF(T2519=1,2,IF(D2519=7,1,(IF(WEEKDAY(B2519)=1,2,IF(WEEKDAY(B2519)=7,1,0))))))</f>
        <v>1</v>
      </c>
    </row>
    <row r="2520" spans="2:22">
      <c r="B2520" s="318">
        <f t="shared" si="155"/>
        <v>46217</v>
      </c>
      <c r="C2520" s="312">
        <v>20</v>
      </c>
      <c r="D2520" s="368">
        <f>IFERROR((INDEX(METADATA!$T$2:$T$20,MATCH(B2520,METADATA!$S$2:$S$20,0))),0)</f>
        <v>0</v>
      </c>
      <c r="E2520" s="312" t="str">
        <f t="shared" si="156"/>
        <v>LO</v>
      </c>
      <c r="F2520" s="369">
        <f>VLOOKUP(C2520,METADATA!$A$5:$H$29,IF(E2520="HI",2,IF(E2520="LO",6,10))+IF(D2520=1,2,IF(D2520=7,1,(IF(WEEKDAY(B2520)=1,2,IF(WEEKDAY(B2520)=7,1,0))))))</f>
        <v>1</v>
      </c>
      <c r="G2520" s="369">
        <f>VLOOKUP(C2520,METADATA!$J$5:$Q$29,IF(E2520="HI",2,IF(E2520="LO",6,10))+IF(D2520=1,2,IF(D2520=7,1,(IF(WEEKDAY(B2520)=1,2,IF(WEEKDAY(B2520)=7,1,0))))))</f>
        <v>1</v>
      </c>
      <c r="H2520" s="370">
        <v>11115.947479248047</v>
      </c>
      <c r="I2520" s="370">
        <v>2941.8724365234375</v>
      </c>
      <c r="M2520" s="371">
        <f t="shared" si="157"/>
        <v>11498.647824599959</v>
      </c>
      <c r="N2520" s="329">
        <f t="shared" si="158"/>
        <v>0</v>
      </c>
      <c r="T2520" s="331">
        <v>0</v>
      </c>
      <c r="U2520" s="328">
        <f>VLOOKUP(C2520,METADATA!$J$5:$Q$29,IF(E2520="HI",2,IF(E2520="LO",6,10))+IF(T2520=1,2,IF(D2520=7,1,(IF(WEEKDAY(B2520)=1,2,IF(WEEKDAY(B2520)=7,1,0))))))</f>
        <v>1</v>
      </c>
      <c r="V2520" s="328">
        <f>VLOOKUP(C2520,METADATA!$A$5:$H$29,IF(E2520="HI",2,IF(E2520="LO",6,10))+IF(T2520=1,2,IF(D2520=7,1,(IF(WEEKDAY(B2520)=1,2,IF(WEEKDAY(B2520)=7,1,0))))))</f>
        <v>1</v>
      </c>
    </row>
    <row r="2521" spans="2:22">
      <c r="B2521" s="318">
        <f t="shared" si="155"/>
        <v>46217</v>
      </c>
      <c r="C2521" s="312">
        <v>21</v>
      </c>
      <c r="D2521" s="368">
        <f>IFERROR((INDEX(METADATA!$T$2:$T$20,MATCH(B2521,METADATA!$S$2:$S$20,0))),0)</f>
        <v>0</v>
      </c>
      <c r="E2521" s="312" t="str">
        <f t="shared" si="156"/>
        <v>LO</v>
      </c>
      <c r="F2521" s="369">
        <f>VLOOKUP(C2521,METADATA!$A$5:$H$29,IF(E2521="HI",2,IF(E2521="LO",6,10))+IF(D2521=1,2,IF(D2521=7,1,(IF(WEEKDAY(B2521)=1,2,IF(WEEKDAY(B2521)=7,1,0))))))</f>
        <v>2</v>
      </c>
      <c r="G2521" s="369">
        <f>VLOOKUP(C2521,METADATA!$J$5:$Q$29,IF(E2521="HI",2,IF(E2521="LO",6,10))+IF(D2521=1,2,IF(D2521=7,1,(IF(WEEKDAY(B2521)=1,2,IF(WEEKDAY(B2521)=7,1,0))))))</f>
        <v>2</v>
      </c>
      <c r="H2521" s="370">
        <v>11269.617614746094</v>
      </c>
      <c r="I2521" s="370">
        <v>2990.1849975585938</v>
      </c>
      <c r="M2521" s="371">
        <f t="shared" si="157"/>
        <v>11659.56635137945</v>
      </c>
      <c r="N2521" s="329">
        <f t="shared" si="158"/>
        <v>0</v>
      </c>
      <c r="T2521" s="331">
        <v>0</v>
      </c>
      <c r="U2521" s="328">
        <f>VLOOKUP(C2521,METADATA!$J$5:$Q$29,IF(E2521="HI",2,IF(E2521="LO",6,10))+IF(T2521=1,2,IF(D2521=7,1,(IF(WEEKDAY(B2521)=1,2,IF(WEEKDAY(B2521)=7,1,0))))))</f>
        <v>2</v>
      </c>
      <c r="V2521" s="328">
        <f>VLOOKUP(C2521,METADATA!$A$5:$H$29,IF(E2521="HI",2,IF(E2521="LO",6,10))+IF(T2521=1,2,IF(D2521=7,1,(IF(WEEKDAY(B2521)=1,2,IF(WEEKDAY(B2521)=7,1,0))))))</f>
        <v>2</v>
      </c>
    </row>
    <row r="2522" spans="2:22">
      <c r="B2522" s="318">
        <f t="shared" si="155"/>
        <v>46217</v>
      </c>
      <c r="C2522" s="312">
        <v>22</v>
      </c>
      <c r="D2522" s="368">
        <f>IFERROR((INDEX(METADATA!$T$2:$T$20,MATCH(B2522,METADATA!$S$2:$S$20,0))),0)</f>
        <v>0</v>
      </c>
      <c r="E2522" s="312" t="str">
        <f t="shared" si="156"/>
        <v>LO</v>
      </c>
      <c r="F2522" s="369">
        <f>VLOOKUP(C2522,METADATA!$A$5:$H$29,IF(E2522="HI",2,IF(E2522="LO",6,10))+IF(D2522=1,2,IF(D2522=7,1,(IF(WEEKDAY(B2522)=1,2,IF(WEEKDAY(B2522)=7,1,0))))))</f>
        <v>3</v>
      </c>
      <c r="G2522" s="369">
        <f>VLOOKUP(C2522,METADATA!$J$5:$Q$29,IF(E2522="HI",2,IF(E2522="LO",6,10))+IF(D2522=1,2,IF(D2522=7,1,(IF(WEEKDAY(B2522)=1,2,IF(WEEKDAY(B2522)=7,1,0))))))</f>
        <v>3</v>
      </c>
      <c r="H2522" s="370">
        <v>11192.9794921875</v>
      </c>
      <c r="I2522" s="370">
        <v>2862.5275268554688</v>
      </c>
      <c r="M2522" s="371">
        <f t="shared" si="157"/>
        <v>11553.218328869893</v>
      </c>
      <c r="N2522" s="329">
        <f t="shared" si="158"/>
        <v>0</v>
      </c>
      <c r="T2522" s="331">
        <v>0</v>
      </c>
      <c r="U2522" s="328">
        <f>VLOOKUP(C2522,METADATA!$J$5:$Q$29,IF(E2522="HI",2,IF(E2522="LO",6,10))+IF(T2522=1,2,IF(D2522=7,1,(IF(WEEKDAY(B2522)=1,2,IF(WEEKDAY(B2522)=7,1,0))))))</f>
        <v>3</v>
      </c>
      <c r="V2522" s="328">
        <f>VLOOKUP(C2522,METADATA!$A$5:$H$29,IF(E2522="HI",2,IF(E2522="LO",6,10))+IF(T2522=1,2,IF(D2522=7,1,(IF(WEEKDAY(B2522)=1,2,IF(WEEKDAY(B2522)=7,1,0))))))</f>
        <v>3</v>
      </c>
    </row>
    <row r="2523" spans="2:22">
      <c r="B2523" s="318">
        <f t="shared" si="155"/>
        <v>46217</v>
      </c>
      <c r="C2523" s="312">
        <v>23</v>
      </c>
      <c r="D2523" s="368">
        <f>IFERROR((INDEX(METADATA!$T$2:$T$20,MATCH(B2523,METADATA!$S$2:$S$20,0))),0)</f>
        <v>0</v>
      </c>
      <c r="E2523" s="312" t="str">
        <f t="shared" si="156"/>
        <v>LO</v>
      </c>
      <c r="F2523" s="369">
        <f>VLOOKUP(C2523,METADATA!$A$5:$H$29,IF(E2523="HI",2,IF(E2523="LO",6,10))+IF(D2523=1,2,IF(D2523=7,1,(IF(WEEKDAY(B2523)=1,2,IF(WEEKDAY(B2523)=7,1,0))))))</f>
        <v>3</v>
      </c>
      <c r="G2523" s="369">
        <f>VLOOKUP(C2523,METADATA!$J$5:$Q$29,IF(E2523="HI",2,IF(E2523="LO",6,10))+IF(D2523=1,2,IF(D2523=7,1,(IF(WEEKDAY(B2523)=1,2,IF(WEEKDAY(B2523)=7,1,0))))))</f>
        <v>3</v>
      </c>
      <c r="H2523" s="370">
        <v>11209.250518798828</v>
      </c>
      <c r="I2523" s="370">
        <v>2884.3199462890625</v>
      </c>
      <c r="M2523" s="371">
        <f t="shared" si="157"/>
        <v>11574.394098429202</v>
      </c>
      <c r="N2523" s="329">
        <f t="shared" si="158"/>
        <v>0</v>
      </c>
      <c r="T2523" s="331">
        <v>0</v>
      </c>
      <c r="U2523" s="328">
        <f>VLOOKUP(C2523,METADATA!$J$5:$Q$29,IF(E2523="HI",2,IF(E2523="LO",6,10))+IF(T2523=1,2,IF(D2523=7,1,(IF(WEEKDAY(B2523)=1,2,IF(WEEKDAY(B2523)=7,1,0))))))</f>
        <v>3</v>
      </c>
      <c r="V2523" s="328">
        <f>VLOOKUP(C2523,METADATA!$A$5:$H$29,IF(E2523="HI",2,IF(E2523="LO",6,10))+IF(T2523=1,2,IF(D2523=7,1,(IF(WEEKDAY(B2523)=1,2,IF(WEEKDAY(B2523)=7,1,0))))))</f>
        <v>3</v>
      </c>
    </row>
    <row r="2524" spans="2:22">
      <c r="B2524" s="318">
        <f t="shared" ref="B2524:B2587" si="159">B2500+1</f>
        <v>46218</v>
      </c>
      <c r="C2524" s="312">
        <v>0</v>
      </c>
      <c r="D2524" s="368">
        <f>IFERROR((INDEX(METADATA!$T$2:$T$20,MATCH(B2524,METADATA!$S$2:$S$20,0))),0)</f>
        <v>0</v>
      </c>
      <c r="E2524" s="312" t="str">
        <f t="shared" si="156"/>
        <v>LO</v>
      </c>
      <c r="F2524" s="369">
        <f>VLOOKUP(C2524,METADATA!$A$5:$H$29,IF(E2524="HI",2,IF(E2524="LO",6,10))+IF(D2524=1,2,IF(D2524=7,1,(IF(WEEKDAY(B2524)=1,2,IF(WEEKDAY(B2524)=7,1,0))))))</f>
        <v>3</v>
      </c>
      <c r="G2524" s="369">
        <f>VLOOKUP(C2524,METADATA!$J$5:$Q$29,IF(E2524="HI",2,IF(E2524="LO",6,10))+IF(D2524=1,2,IF(D2524=7,1,(IF(WEEKDAY(B2524)=1,2,IF(WEEKDAY(B2524)=7,1,0))))))</f>
        <v>3</v>
      </c>
      <c r="H2524" s="370">
        <v>12965.950378417969</v>
      </c>
      <c r="I2524" s="370">
        <v>4042.3500061035156</v>
      </c>
      <c r="M2524" s="371">
        <f t="shared" si="157"/>
        <v>13581.474985709105</v>
      </c>
      <c r="N2524" s="329">
        <f t="shared" si="158"/>
        <v>152.56489257812518</v>
      </c>
      <c r="T2524" s="331">
        <v>0</v>
      </c>
      <c r="U2524" s="328">
        <f>VLOOKUP(C2524,METADATA!$J$5:$Q$29,IF(E2524="HI",2,IF(E2524="LO",6,10))+IF(T2524=1,2,IF(D2524=7,1,(IF(WEEKDAY(B2524)=1,2,IF(WEEKDAY(B2524)=7,1,0))))))</f>
        <v>3</v>
      </c>
      <c r="V2524" s="328">
        <f>VLOOKUP(C2524,METADATA!$A$5:$H$29,IF(E2524="HI",2,IF(E2524="LO",6,10))+IF(T2524=1,2,IF(D2524=7,1,(IF(WEEKDAY(B2524)=1,2,IF(WEEKDAY(B2524)=7,1,0))))))</f>
        <v>3</v>
      </c>
    </row>
    <row r="2525" spans="2:22">
      <c r="B2525" s="318">
        <f t="shared" si="159"/>
        <v>46218</v>
      </c>
      <c r="C2525" s="312">
        <v>1</v>
      </c>
      <c r="D2525" s="368">
        <f>IFERROR((INDEX(METADATA!$T$2:$T$20,MATCH(B2525,METADATA!$S$2:$S$20,0))),0)</f>
        <v>0</v>
      </c>
      <c r="E2525" s="312" t="str">
        <f t="shared" si="156"/>
        <v>LO</v>
      </c>
      <c r="F2525" s="369">
        <f>VLOOKUP(C2525,METADATA!$A$5:$H$29,IF(E2525="HI",2,IF(E2525="LO",6,10))+IF(D2525=1,2,IF(D2525=7,1,(IF(WEEKDAY(B2525)=1,2,IF(WEEKDAY(B2525)=7,1,0))))))</f>
        <v>3</v>
      </c>
      <c r="G2525" s="369">
        <f>VLOOKUP(C2525,METADATA!$J$5:$Q$29,IF(E2525="HI",2,IF(E2525="LO",6,10))+IF(D2525=1,2,IF(D2525=7,1,(IF(WEEKDAY(B2525)=1,2,IF(WEEKDAY(B2525)=7,1,0))))))</f>
        <v>3</v>
      </c>
      <c r="H2525" s="370">
        <v>13117.494750976563</v>
      </c>
      <c r="I2525" s="370">
        <v>4126.739990234375</v>
      </c>
      <c r="M2525" s="371">
        <f t="shared" si="157"/>
        <v>13751.31453675965</v>
      </c>
      <c r="N2525" s="329">
        <f t="shared" si="158"/>
        <v>191.49156494140652</v>
      </c>
      <c r="T2525" s="331">
        <v>0</v>
      </c>
      <c r="U2525" s="328">
        <f>VLOOKUP(C2525,METADATA!$J$5:$Q$29,IF(E2525="HI",2,IF(E2525="LO",6,10))+IF(T2525=1,2,IF(D2525=7,1,(IF(WEEKDAY(B2525)=1,2,IF(WEEKDAY(B2525)=7,1,0))))))</f>
        <v>3</v>
      </c>
      <c r="V2525" s="328">
        <f>VLOOKUP(C2525,METADATA!$A$5:$H$29,IF(E2525="HI",2,IF(E2525="LO",6,10))+IF(T2525=1,2,IF(D2525=7,1,(IF(WEEKDAY(B2525)=1,2,IF(WEEKDAY(B2525)=7,1,0))))))</f>
        <v>3</v>
      </c>
    </row>
    <row r="2526" spans="2:22">
      <c r="B2526" s="318">
        <f t="shared" si="159"/>
        <v>46218</v>
      </c>
      <c r="C2526" s="312">
        <v>2</v>
      </c>
      <c r="D2526" s="368">
        <f>IFERROR((INDEX(METADATA!$T$2:$T$20,MATCH(B2526,METADATA!$S$2:$S$20,0))),0)</f>
        <v>0</v>
      </c>
      <c r="E2526" s="312" t="str">
        <f t="shared" si="156"/>
        <v>LO</v>
      </c>
      <c r="F2526" s="369">
        <f>VLOOKUP(C2526,METADATA!$A$5:$H$29,IF(E2526="HI",2,IF(E2526="LO",6,10))+IF(D2526=1,2,IF(D2526=7,1,(IF(WEEKDAY(B2526)=1,2,IF(WEEKDAY(B2526)=7,1,0))))))</f>
        <v>3</v>
      </c>
      <c r="G2526" s="369">
        <f>VLOOKUP(C2526,METADATA!$J$5:$Q$29,IF(E2526="HI",2,IF(E2526="LO",6,10))+IF(D2526=1,2,IF(D2526=7,1,(IF(WEEKDAY(B2526)=1,2,IF(WEEKDAY(B2526)=7,1,0))))))</f>
        <v>3</v>
      </c>
      <c r="H2526" s="370">
        <v>13114.89990234375</v>
      </c>
      <c r="I2526" s="370">
        <v>4259.6549987792969</v>
      </c>
      <c r="M2526" s="371">
        <f t="shared" si="157"/>
        <v>13789.316885078881</v>
      </c>
      <c r="N2526" s="329">
        <f t="shared" si="158"/>
        <v>325.18502807617188</v>
      </c>
      <c r="T2526" s="331">
        <v>0</v>
      </c>
      <c r="U2526" s="328">
        <f>VLOOKUP(C2526,METADATA!$J$5:$Q$29,IF(E2526="HI",2,IF(E2526="LO",6,10))+IF(T2526=1,2,IF(D2526=7,1,(IF(WEEKDAY(B2526)=1,2,IF(WEEKDAY(B2526)=7,1,0))))))</f>
        <v>3</v>
      </c>
      <c r="V2526" s="328">
        <f>VLOOKUP(C2526,METADATA!$A$5:$H$29,IF(E2526="HI",2,IF(E2526="LO",6,10))+IF(T2526=1,2,IF(D2526=7,1,(IF(WEEKDAY(B2526)=1,2,IF(WEEKDAY(B2526)=7,1,0))))))</f>
        <v>3</v>
      </c>
    </row>
    <row r="2527" spans="2:22">
      <c r="B2527" s="318">
        <f t="shared" si="159"/>
        <v>46218</v>
      </c>
      <c r="C2527" s="312">
        <v>3</v>
      </c>
      <c r="D2527" s="368">
        <f>IFERROR((INDEX(METADATA!$T$2:$T$20,MATCH(B2527,METADATA!$S$2:$S$20,0))),0)</f>
        <v>0</v>
      </c>
      <c r="E2527" s="312" t="str">
        <f t="shared" si="156"/>
        <v>LO</v>
      </c>
      <c r="F2527" s="369">
        <f>VLOOKUP(C2527,METADATA!$A$5:$H$29,IF(E2527="HI",2,IF(E2527="LO",6,10))+IF(D2527=1,2,IF(D2527=7,1,(IF(WEEKDAY(B2527)=1,2,IF(WEEKDAY(B2527)=7,1,0))))))</f>
        <v>3</v>
      </c>
      <c r="G2527" s="369">
        <f>VLOOKUP(C2527,METADATA!$J$5:$Q$29,IF(E2527="HI",2,IF(E2527="LO",6,10))+IF(D2527=1,2,IF(D2527=7,1,(IF(WEEKDAY(B2527)=1,2,IF(WEEKDAY(B2527)=7,1,0))))))</f>
        <v>3</v>
      </c>
      <c r="H2527" s="370">
        <v>13379.250244140625</v>
      </c>
      <c r="I2527" s="370">
        <v>4529.6500244140625</v>
      </c>
      <c r="M2527" s="371">
        <f t="shared" si="157"/>
        <v>14125.22801369986</v>
      </c>
      <c r="N2527" s="329">
        <f t="shared" si="158"/>
        <v>515.87495117187518</v>
      </c>
      <c r="T2527" s="331">
        <v>0</v>
      </c>
      <c r="U2527" s="328">
        <f>VLOOKUP(C2527,METADATA!$J$5:$Q$29,IF(E2527="HI",2,IF(E2527="LO",6,10))+IF(T2527=1,2,IF(D2527=7,1,(IF(WEEKDAY(B2527)=1,2,IF(WEEKDAY(B2527)=7,1,0))))))</f>
        <v>3</v>
      </c>
      <c r="V2527" s="328">
        <f>VLOOKUP(C2527,METADATA!$A$5:$H$29,IF(E2527="HI",2,IF(E2527="LO",6,10))+IF(T2527=1,2,IF(D2527=7,1,(IF(WEEKDAY(B2527)=1,2,IF(WEEKDAY(B2527)=7,1,0))))))</f>
        <v>3</v>
      </c>
    </row>
    <row r="2528" spans="2:22">
      <c r="B2528" s="318">
        <f t="shared" si="159"/>
        <v>46218</v>
      </c>
      <c r="C2528" s="312">
        <v>4</v>
      </c>
      <c r="D2528" s="368">
        <f>IFERROR((INDEX(METADATA!$T$2:$T$20,MATCH(B2528,METADATA!$S$2:$S$20,0))),0)</f>
        <v>0</v>
      </c>
      <c r="E2528" s="312" t="str">
        <f t="shared" si="156"/>
        <v>LO</v>
      </c>
      <c r="F2528" s="369">
        <f>VLOOKUP(C2528,METADATA!$A$5:$H$29,IF(E2528="HI",2,IF(E2528="LO",6,10))+IF(D2528=1,2,IF(D2528=7,1,(IF(WEEKDAY(B2528)=1,2,IF(WEEKDAY(B2528)=7,1,0))))))</f>
        <v>3</v>
      </c>
      <c r="G2528" s="369">
        <f>VLOOKUP(C2528,METADATA!$J$5:$Q$29,IF(E2528="HI",2,IF(E2528="LO",6,10))+IF(D2528=1,2,IF(D2528=7,1,(IF(WEEKDAY(B2528)=1,2,IF(WEEKDAY(B2528)=7,1,0))))))</f>
        <v>3</v>
      </c>
      <c r="H2528" s="370">
        <v>13306.050048828125</v>
      </c>
      <c r="I2528" s="370">
        <v>4480.6149291992188</v>
      </c>
      <c r="M2528" s="371">
        <f t="shared" si="157"/>
        <v>14040.187963331611</v>
      </c>
      <c r="N2528" s="329">
        <f t="shared" si="158"/>
        <v>488.79991455078152</v>
      </c>
      <c r="T2528" s="331">
        <v>0</v>
      </c>
      <c r="U2528" s="328">
        <f>VLOOKUP(C2528,METADATA!$J$5:$Q$29,IF(E2528="HI",2,IF(E2528="LO",6,10))+IF(T2528=1,2,IF(D2528=7,1,(IF(WEEKDAY(B2528)=1,2,IF(WEEKDAY(B2528)=7,1,0))))))</f>
        <v>3</v>
      </c>
      <c r="V2528" s="328">
        <f>VLOOKUP(C2528,METADATA!$A$5:$H$29,IF(E2528="HI",2,IF(E2528="LO",6,10))+IF(T2528=1,2,IF(D2528=7,1,(IF(WEEKDAY(B2528)=1,2,IF(WEEKDAY(B2528)=7,1,0))))))</f>
        <v>3</v>
      </c>
    </row>
    <row r="2529" spans="2:22">
      <c r="B2529" s="318">
        <f t="shared" si="159"/>
        <v>46218</v>
      </c>
      <c r="C2529" s="312">
        <v>5</v>
      </c>
      <c r="D2529" s="368">
        <f>IFERROR((INDEX(METADATA!$T$2:$T$20,MATCH(B2529,METADATA!$S$2:$S$20,0))),0)</f>
        <v>0</v>
      </c>
      <c r="E2529" s="312" t="str">
        <f t="shared" si="156"/>
        <v>LO</v>
      </c>
      <c r="F2529" s="369">
        <f>VLOOKUP(C2529,METADATA!$A$5:$H$29,IF(E2529="HI",2,IF(E2529="LO",6,10))+IF(D2529=1,2,IF(D2529=7,1,(IF(WEEKDAY(B2529)=1,2,IF(WEEKDAY(B2529)=7,1,0))))))</f>
        <v>3</v>
      </c>
      <c r="G2529" s="369">
        <f>VLOOKUP(C2529,METADATA!$J$5:$Q$29,IF(E2529="HI",2,IF(E2529="LO",6,10))+IF(D2529=1,2,IF(D2529=7,1,(IF(WEEKDAY(B2529)=1,2,IF(WEEKDAY(B2529)=7,1,0))))))</f>
        <v>3</v>
      </c>
      <c r="H2529" s="370">
        <v>13259.500305175781</v>
      </c>
      <c r="I2529" s="370">
        <v>4378.3300170898438</v>
      </c>
      <c r="M2529" s="371">
        <f t="shared" si="157"/>
        <v>13963.671511515393</v>
      </c>
      <c r="N2529" s="329">
        <f t="shared" si="158"/>
        <v>400.47992553710947</v>
      </c>
      <c r="T2529" s="331">
        <v>0</v>
      </c>
      <c r="U2529" s="328">
        <f>VLOOKUP(C2529,METADATA!$J$5:$Q$29,IF(E2529="HI",2,IF(E2529="LO",6,10))+IF(T2529=1,2,IF(D2529=7,1,(IF(WEEKDAY(B2529)=1,2,IF(WEEKDAY(B2529)=7,1,0))))))</f>
        <v>3</v>
      </c>
      <c r="V2529" s="328">
        <f>VLOOKUP(C2529,METADATA!$A$5:$H$29,IF(E2529="HI",2,IF(E2529="LO",6,10))+IF(T2529=1,2,IF(D2529=7,1,(IF(WEEKDAY(B2529)=1,2,IF(WEEKDAY(B2529)=7,1,0))))))</f>
        <v>3</v>
      </c>
    </row>
    <row r="2530" spans="2:22">
      <c r="B2530" s="318">
        <f t="shared" si="159"/>
        <v>46218</v>
      </c>
      <c r="C2530" s="312">
        <v>6</v>
      </c>
      <c r="D2530" s="368">
        <f>IFERROR((INDEX(METADATA!$T$2:$T$20,MATCH(B2530,METADATA!$S$2:$S$20,0))),0)</f>
        <v>0</v>
      </c>
      <c r="E2530" s="312" t="str">
        <f t="shared" si="156"/>
        <v>LO</v>
      </c>
      <c r="F2530" s="369">
        <f>VLOOKUP(C2530,METADATA!$A$5:$H$29,IF(E2530="HI",2,IF(E2530="LO",6,10))+IF(D2530=1,2,IF(D2530=7,1,(IF(WEEKDAY(B2530)=1,2,IF(WEEKDAY(B2530)=7,1,0))))))</f>
        <v>2</v>
      </c>
      <c r="G2530" s="369">
        <f>VLOOKUP(C2530,METADATA!$J$5:$Q$29,IF(E2530="HI",2,IF(E2530="LO",6,10))+IF(D2530=1,2,IF(D2530=7,1,(IF(WEEKDAY(B2530)=1,2,IF(WEEKDAY(B2530)=7,1,0))))))</f>
        <v>2</v>
      </c>
      <c r="H2530" s="370">
        <v>13456.2001953125</v>
      </c>
      <c r="I2530" s="370">
        <v>4391.0750122070313</v>
      </c>
      <c r="M2530" s="371">
        <f t="shared" si="157"/>
        <v>14154.535084528814</v>
      </c>
      <c r="N2530" s="329">
        <f t="shared" si="158"/>
        <v>354.21495361328152</v>
      </c>
      <c r="T2530" s="331">
        <v>0</v>
      </c>
      <c r="U2530" s="328">
        <f>VLOOKUP(C2530,METADATA!$J$5:$Q$29,IF(E2530="HI",2,IF(E2530="LO",6,10))+IF(T2530=1,2,IF(D2530=7,1,(IF(WEEKDAY(B2530)=1,2,IF(WEEKDAY(B2530)=7,1,0))))))</f>
        <v>2</v>
      </c>
      <c r="V2530" s="328">
        <f>VLOOKUP(C2530,METADATA!$A$5:$H$29,IF(E2530="HI",2,IF(E2530="LO",6,10))+IF(T2530=1,2,IF(D2530=7,1,(IF(WEEKDAY(B2530)=1,2,IF(WEEKDAY(B2530)=7,1,0))))))</f>
        <v>2</v>
      </c>
    </row>
    <row r="2531" spans="2:22">
      <c r="B2531" s="318">
        <f t="shared" si="159"/>
        <v>46218</v>
      </c>
      <c r="C2531" s="312">
        <v>7</v>
      </c>
      <c r="D2531" s="368">
        <f>IFERROR((INDEX(METADATA!$T$2:$T$20,MATCH(B2531,METADATA!$S$2:$S$20,0))),0)</f>
        <v>0</v>
      </c>
      <c r="E2531" s="312" t="str">
        <f t="shared" si="156"/>
        <v>LO</v>
      </c>
      <c r="F2531" s="369">
        <f>VLOOKUP(C2531,METADATA!$A$5:$H$29,IF(E2531="HI",2,IF(E2531="LO",6,10))+IF(D2531=1,2,IF(D2531=7,1,(IF(WEEKDAY(B2531)=1,2,IF(WEEKDAY(B2531)=7,1,0))))))</f>
        <v>1</v>
      </c>
      <c r="G2531" s="369">
        <f>VLOOKUP(C2531,METADATA!$J$5:$Q$29,IF(E2531="HI",2,IF(E2531="LO",6,10))+IF(D2531=1,2,IF(D2531=7,1,(IF(WEEKDAY(B2531)=1,2,IF(WEEKDAY(B2531)=7,1,0))))))</f>
        <v>1</v>
      </c>
      <c r="H2531" s="370">
        <v>13517.349853515625</v>
      </c>
      <c r="I2531" s="370">
        <v>4399.1350402832031</v>
      </c>
      <c r="M2531" s="371">
        <f t="shared" si="157"/>
        <v>14215.17274481694</v>
      </c>
      <c r="N2531" s="329">
        <f t="shared" si="158"/>
        <v>343.93008422851563</v>
      </c>
      <c r="T2531" s="331">
        <v>0</v>
      </c>
      <c r="U2531" s="328">
        <f>VLOOKUP(C2531,METADATA!$J$5:$Q$29,IF(E2531="HI",2,IF(E2531="LO",6,10))+IF(T2531=1,2,IF(D2531=7,1,(IF(WEEKDAY(B2531)=1,2,IF(WEEKDAY(B2531)=7,1,0))))))</f>
        <v>1</v>
      </c>
      <c r="V2531" s="328">
        <f>VLOOKUP(C2531,METADATA!$A$5:$H$29,IF(E2531="HI",2,IF(E2531="LO",6,10))+IF(T2531=1,2,IF(D2531=7,1,(IF(WEEKDAY(B2531)=1,2,IF(WEEKDAY(B2531)=7,1,0))))))</f>
        <v>1</v>
      </c>
    </row>
    <row r="2532" spans="2:22">
      <c r="B2532" s="318">
        <f t="shared" si="159"/>
        <v>46218</v>
      </c>
      <c r="C2532" s="312">
        <v>8</v>
      </c>
      <c r="D2532" s="368">
        <f>IFERROR((INDEX(METADATA!$T$2:$T$20,MATCH(B2532,METADATA!$S$2:$S$20,0))),0)</f>
        <v>0</v>
      </c>
      <c r="E2532" s="312" t="str">
        <f t="shared" si="156"/>
        <v>LO</v>
      </c>
      <c r="F2532" s="369">
        <f>VLOOKUP(C2532,METADATA!$A$5:$H$29,IF(E2532="HI",2,IF(E2532="LO",6,10))+IF(D2532=1,2,IF(D2532=7,1,(IF(WEEKDAY(B2532)=1,2,IF(WEEKDAY(B2532)=7,1,0))))))</f>
        <v>1</v>
      </c>
      <c r="G2532" s="369">
        <f>VLOOKUP(C2532,METADATA!$J$5:$Q$29,IF(E2532="HI",2,IF(E2532="LO",6,10))+IF(D2532=1,2,IF(D2532=7,1,(IF(WEEKDAY(B2532)=1,2,IF(WEEKDAY(B2532)=7,1,0))))))</f>
        <v>1</v>
      </c>
      <c r="H2532" s="370">
        <v>12606.400146484375</v>
      </c>
      <c r="I2532" s="370">
        <v>3984.3549499511719</v>
      </c>
      <c r="M2532" s="371">
        <f t="shared" si="157"/>
        <v>13221.059300240722</v>
      </c>
      <c r="N2532" s="329">
        <f t="shared" si="158"/>
        <v>202.43490600585938</v>
      </c>
      <c r="T2532" s="331">
        <v>0</v>
      </c>
      <c r="U2532" s="328">
        <f>VLOOKUP(C2532,METADATA!$J$5:$Q$29,IF(E2532="HI",2,IF(E2532="LO",6,10))+IF(T2532=1,2,IF(D2532=7,1,(IF(WEEKDAY(B2532)=1,2,IF(WEEKDAY(B2532)=7,1,0))))))</f>
        <v>1</v>
      </c>
      <c r="V2532" s="328">
        <f>VLOOKUP(C2532,METADATA!$A$5:$H$29,IF(E2532="HI",2,IF(E2532="LO",6,10))+IF(T2532=1,2,IF(D2532=7,1,(IF(WEEKDAY(B2532)=1,2,IF(WEEKDAY(B2532)=7,1,0))))))</f>
        <v>1</v>
      </c>
    </row>
    <row r="2533" spans="2:22">
      <c r="B2533" s="318">
        <f t="shared" si="159"/>
        <v>46218</v>
      </c>
      <c r="C2533" s="312">
        <v>9</v>
      </c>
      <c r="D2533" s="368">
        <f>IFERROR((INDEX(METADATA!$T$2:$T$20,MATCH(B2533,METADATA!$S$2:$S$20,0))),0)</f>
        <v>0</v>
      </c>
      <c r="E2533" s="312" t="str">
        <f t="shared" si="156"/>
        <v>LO</v>
      </c>
      <c r="F2533" s="369">
        <f>VLOOKUP(C2533,METADATA!$A$5:$H$29,IF(E2533="HI",2,IF(E2533="LO",6,10))+IF(D2533=1,2,IF(D2533=7,1,(IF(WEEKDAY(B2533)=1,2,IF(WEEKDAY(B2533)=7,1,0))))))</f>
        <v>2</v>
      </c>
      <c r="G2533" s="369">
        <f>VLOOKUP(C2533,METADATA!$J$5:$Q$29,IF(E2533="HI",2,IF(E2533="LO",6,10))+IF(D2533=1,2,IF(D2533=7,1,(IF(WEEKDAY(B2533)=1,2,IF(WEEKDAY(B2533)=7,1,0))))))</f>
        <v>2</v>
      </c>
      <c r="H2533" s="370">
        <v>11746.775207519531</v>
      </c>
      <c r="I2533" s="370">
        <v>3264.18505859375</v>
      </c>
      <c r="M2533" s="371">
        <f t="shared" si="157"/>
        <v>12191.867448128782</v>
      </c>
      <c r="N2533" s="329">
        <f t="shared" si="158"/>
        <v>0</v>
      </c>
      <c r="T2533" s="331">
        <v>0</v>
      </c>
      <c r="U2533" s="328">
        <f>VLOOKUP(C2533,METADATA!$J$5:$Q$29,IF(E2533="HI",2,IF(E2533="LO",6,10))+IF(T2533=1,2,IF(D2533=7,1,(IF(WEEKDAY(B2533)=1,2,IF(WEEKDAY(B2533)=7,1,0))))))</f>
        <v>2</v>
      </c>
      <c r="V2533" s="328">
        <f>VLOOKUP(C2533,METADATA!$A$5:$H$29,IF(E2533="HI",2,IF(E2533="LO",6,10))+IF(T2533=1,2,IF(D2533=7,1,(IF(WEEKDAY(B2533)=1,2,IF(WEEKDAY(B2533)=7,1,0))))))</f>
        <v>2</v>
      </c>
    </row>
    <row r="2534" spans="2:22">
      <c r="B2534" s="318">
        <f t="shared" si="159"/>
        <v>46218</v>
      </c>
      <c r="C2534" s="312">
        <v>10</v>
      </c>
      <c r="D2534" s="368">
        <f>IFERROR((INDEX(METADATA!$T$2:$T$20,MATCH(B2534,METADATA!$S$2:$S$20,0))),0)</f>
        <v>0</v>
      </c>
      <c r="E2534" s="312" t="str">
        <f t="shared" si="156"/>
        <v>LO</v>
      </c>
      <c r="F2534" s="369">
        <f>VLOOKUP(C2534,METADATA!$A$5:$H$29,IF(E2534="HI",2,IF(E2534="LO",6,10))+IF(D2534=1,2,IF(D2534=7,1,(IF(WEEKDAY(B2534)=1,2,IF(WEEKDAY(B2534)=7,1,0))))))</f>
        <v>2</v>
      </c>
      <c r="G2534" s="369">
        <f>VLOOKUP(C2534,METADATA!$J$5:$Q$29,IF(E2534="HI",2,IF(E2534="LO",6,10))+IF(D2534=1,2,IF(D2534=7,1,(IF(WEEKDAY(B2534)=1,2,IF(WEEKDAY(B2534)=7,1,0))))))</f>
        <v>2</v>
      </c>
      <c r="H2534" s="370">
        <v>11578.525482177734</v>
      </c>
      <c r="I2534" s="370">
        <v>3213.3375549316406</v>
      </c>
      <c r="M2534" s="371">
        <f t="shared" si="157"/>
        <v>12016.147077302823</v>
      </c>
      <c r="N2534" s="329">
        <f t="shared" si="158"/>
        <v>0</v>
      </c>
      <c r="T2534" s="331">
        <v>0</v>
      </c>
      <c r="U2534" s="328">
        <f>VLOOKUP(C2534,METADATA!$J$5:$Q$29,IF(E2534="HI",2,IF(E2534="LO",6,10))+IF(T2534=1,2,IF(D2534=7,1,(IF(WEEKDAY(B2534)=1,2,IF(WEEKDAY(B2534)=7,1,0))))))</f>
        <v>2</v>
      </c>
      <c r="V2534" s="328">
        <f>VLOOKUP(C2534,METADATA!$A$5:$H$29,IF(E2534="HI",2,IF(E2534="LO",6,10))+IF(T2534=1,2,IF(D2534=7,1,(IF(WEEKDAY(B2534)=1,2,IF(WEEKDAY(B2534)=7,1,0))))))</f>
        <v>2</v>
      </c>
    </row>
    <row r="2535" spans="2:22">
      <c r="B2535" s="318">
        <f t="shared" si="159"/>
        <v>46218</v>
      </c>
      <c r="C2535" s="312">
        <v>11</v>
      </c>
      <c r="D2535" s="368">
        <f>IFERROR((INDEX(METADATA!$T$2:$T$20,MATCH(B2535,METADATA!$S$2:$S$20,0))),0)</f>
        <v>0</v>
      </c>
      <c r="E2535" s="312" t="str">
        <f t="shared" si="156"/>
        <v>LO</v>
      </c>
      <c r="F2535" s="369">
        <f>VLOOKUP(C2535,METADATA!$A$5:$H$29,IF(E2535="HI",2,IF(E2535="LO",6,10))+IF(D2535=1,2,IF(D2535=7,1,(IF(WEEKDAY(B2535)=1,2,IF(WEEKDAY(B2535)=7,1,0))))))</f>
        <v>2</v>
      </c>
      <c r="G2535" s="369">
        <f>VLOOKUP(C2535,METADATA!$J$5:$Q$29,IF(E2535="HI",2,IF(E2535="LO",6,10))+IF(D2535=1,2,IF(D2535=7,1,(IF(WEEKDAY(B2535)=1,2,IF(WEEKDAY(B2535)=7,1,0))))))</f>
        <v>2</v>
      </c>
      <c r="H2535" s="370">
        <v>11486.425567626953</v>
      </c>
      <c r="I2535" s="370">
        <v>3205.2949829101563</v>
      </c>
      <c r="M2535" s="371">
        <f t="shared" si="157"/>
        <v>11925.262607091854</v>
      </c>
      <c r="N2535" s="329">
        <f t="shared" si="158"/>
        <v>0</v>
      </c>
      <c r="T2535" s="331">
        <v>0</v>
      </c>
      <c r="U2535" s="328">
        <f>VLOOKUP(C2535,METADATA!$J$5:$Q$29,IF(E2535="HI",2,IF(E2535="LO",6,10))+IF(T2535=1,2,IF(D2535=7,1,(IF(WEEKDAY(B2535)=1,2,IF(WEEKDAY(B2535)=7,1,0))))))</f>
        <v>2</v>
      </c>
      <c r="V2535" s="328">
        <f>VLOOKUP(C2535,METADATA!$A$5:$H$29,IF(E2535="HI",2,IF(E2535="LO",6,10))+IF(T2535=1,2,IF(D2535=7,1,(IF(WEEKDAY(B2535)=1,2,IF(WEEKDAY(B2535)=7,1,0))))))</f>
        <v>2</v>
      </c>
    </row>
    <row r="2536" spans="2:22">
      <c r="B2536" s="318">
        <f t="shared" si="159"/>
        <v>46218</v>
      </c>
      <c r="C2536" s="312">
        <v>12</v>
      </c>
      <c r="D2536" s="368">
        <f>IFERROR((INDEX(METADATA!$T$2:$T$20,MATCH(B2536,METADATA!$S$2:$S$20,0))),0)</f>
        <v>0</v>
      </c>
      <c r="E2536" s="312" t="str">
        <f t="shared" si="156"/>
        <v>LO</v>
      </c>
      <c r="F2536" s="369">
        <f>VLOOKUP(C2536,METADATA!$A$5:$H$29,IF(E2536="HI",2,IF(E2536="LO",6,10))+IF(D2536=1,2,IF(D2536=7,1,(IF(WEEKDAY(B2536)=1,2,IF(WEEKDAY(B2536)=7,1,0))))))</f>
        <v>2</v>
      </c>
      <c r="G2536" s="369">
        <f>VLOOKUP(C2536,METADATA!$J$5:$Q$29,IF(E2536="HI",2,IF(E2536="LO",6,10))+IF(D2536=1,2,IF(D2536=7,1,(IF(WEEKDAY(B2536)=1,2,IF(WEEKDAY(B2536)=7,1,0))))))</f>
        <v>2</v>
      </c>
      <c r="H2536" s="370">
        <v>12562.625</v>
      </c>
      <c r="I2536" s="370">
        <v>4036.2599182128906</v>
      </c>
      <c r="M2536" s="371">
        <f t="shared" si="157"/>
        <v>13195.110496619456</v>
      </c>
      <c r="N2536" s="329">
        <f t="shared" si="158"/>
        <v>267.47241821289072</v>
      </c>
      <c r="T2536" s="331">
        <v>0</v>
      </c>
      <c r="U2536" s="328">
        <f>VLOOKUP(C2536,METADATA!$J$5:$Q$29,IF(E2536="HI",2,IF(E2536="LO",6,10))+IF(T2536=1,2,IF(D2536=7,1,(IF(WEEKDAY(B2536)=1,2,IF(WEEKDAY(B2536)=7,1,0))))))</f>
        <v>2</v>
      </c>
      <c r="V2536" s="328">
        <f>VLOOKUP(C2536,METADATA!$A$5:$H$29,IF(E2536="HI",2,IF(E2536="LO",6,10))+IF(T2536=1,2,IF(D2536=7,1,(IF(WEEKDAY(B2536)=1,2,IF(WEEKDAY(B2536)=7,1,0))))))</f>
        <v>2</v>
      </c>
    </row>
    <row r="2537" spans="2:22">
      <c r="B2537" s="318">
        <f t="shared" si="159"/>
        <v>46218</v>
      </c>
      <c r="C2537" s="312">
        <v>13</v>
      </c>
      <c r="D2537" s="368">
        <f>IFERROR((INDEX(METADATA!$T$2:$T$20,MATCH(B2537,METADATA!$S$2:$S$20,0))),0)</f>
        <v>0</v>
      </c>
      <c r="E2537" s="312" t="str">
        <f t="shared" si="156"/>
        <v>LO</v>
      </c>
      <c r="F2537" s="369">
        <f>VLOOKUP(C2537,METADATA!$A$5:$H$29,IF(E2537="HI",2,IF(E2537="LO",6,10))+IF(D2537=1,2,IF(D2537=7,1,(IF(WEEKDAY(B2537)=1,2,IF(WEEKDAY(B2537)=7,1,0))))))</f>
        <v>2</v>
      </c>
      <c r="G2537" s="369">
        <f>VLOOKUP(C2537,METADATA!$J$5:$Q$29,IF(E2537="HI",2,IF(E2537="LO",6,10))+IF(D2537=1,2,IF(D2537=7,1,(IF(WEEKDAY(B2537)=1,2,IF(WEEKDAY(B2537)=7,1,0))))))</f>
        <v>2</v>
      </c>
      <c r="H2537" s="370">
        <v>13363.024658203125</v>
      </c>
      <c r="I2537" s="370">
        <v>4282.1099548339844</v>
      </c>
      <c r="M2537" s="371">
        <f t="shared" si="157"/>
        <v>14032.351680350412</v>
      </c>
      <c r="N2537" s="329">
        <f t="shared" si="158"/>
        <v>273.20255737304706</v>
      </c>
      <c r="T2537" s="331">
        <v>0</v>
      </c>
      <c r="U2537" s="328">
        <f>VLOOKUP(C2537,METADATA!$J$5:$Q$29,IF(E2537="HI",2,IF(E2537="LO",6,10))+IF(T2537=1,2,IF(D2537=7,1,(IF(WEEKDAY(B2537)=1,2,IF(WEEKDAY(B2537)=7,1,0))))))</f>
        <v>2</v>
      </c>
      <c r="V2537" s="328">
        <f>VLOOKUP(C2537,METADATA!$A$5:$H$29,IF(E2537="HI",2,IF(E2537="LO",6,10))+IF(T2537=1,2,IF(D2537=7,1,(IF(WEEKDAY(B2537)=1,2,IF(WEEKDAY(B2537)=7,1,0))))))</f>
        <v>2</v>
      </c>
    </row>
    <row r="2538" spans="2:22">
      <c r="B2538" s="318">
        <f t="shared" si="159"/>
        <v>46218</v>
      </c>
      <c r="C2538" s="312">
        <v>14</v>
      </c>
      <c r="D2538" s="368">
        <f>IFERROR((INDEX(METADATA!$T$2:$T$20,MATCH(B2538,METADATA!$S$2:$S$20,0))),0)</f>
        <v>0</v>
      </c>
      <c r="E2538" s="312" t="str">
        <f t="shared" si="156"/>
        <v>LO</v>
      </c>
      <c r="F2538" s="369">
        <f>VLOOKUP(C2538,METADATA!$A$5:$H$29,IF(E2538="HI",2,IF(E2538="LO",6,10))+IF(D2538=1,2,IF(D2538=7,1,(IF(WEEKDAY(B2538)=1,2,IF(WEEKDAY(B2538)=7,1,0))))))</f>
        <v>2</v>
      </c>
      <c r="G2538" s="369">
        <f>VLOOKUP(C2538,METADATA!$J$5:$Q$29,IF(E2538="HI",2,IF(E2538="LO",6,10))+IF(D2538=1,2,IF(D2538=7,1,(IF(WEEKDAY(B2538)=1,2,IF(WEEKDAY(B2538)=7,1,0))))))</f>
        <v>2</v>
      </c>
      <c r="H2538" s="370">
        <v>13644.4501953125</v>
      </c>
      <c r="I2538" s="370">
        <v>4440.9300231933594</v>
      </c>
      <c r="M2538" s="371">
        <f t="shared" si="157"/>
        <v>14348.967928156488</v>
      </c>
      <c r="N2538" s="329">
        <f t="shared" si="158"/>
        <v>347.59496459960974</v>
      </c>
      <c r="T2538" s="331">
        <v>0</v>
      </c>
      <c r="U2538" s="328">
        <f>VLOOKUP(C2538,METADATA!$J$5:$Q$29,IF(E2538="HI",2,IF(E2538="LO",6,10))+IF(T2538=1,2,IF(D2538=7,1,(IF(WEEKDAY(B2538)=1,2,IF(WEEKDAY(B2538)=7,1,0))))))</f>
        <v>2</v>
      </c>
      <c r="V2538" s="328">
        <f>VLOOKUP(C2538,METADATA!$A$5:$H$29,IF(E2538="HI",2,IF(E2538="LO",6,10))+IF(T2538=1,2,IF(D2538=7,1,(IF(WEEKDAY(B2538)=1,2,IF(WEEKDAY(B2538)=7,1,0))))))</f>
        <v>2</v>
      </c>
    </row>
    <row r="2539" spans="2:22">
      <c r="B2539" s="318">
        <f t="shared" si="159"/>
        <v>46218</v>
      </c>
      <c r="C2539" s="312">
        <v>15</v>
      </c>
      <c r="D2539" s="368">
        <f>IFERROR((INDEX(METADATA!$T$2:$T$20,MATCH(B2539,METADATA!$S$2:$S$20,0))),0)</f>
        <v>0</v>
      </c>
      <c r="E2539" s="312" t="str">
        <f t="shared" si="156"/>
        <v>LO</v>
      </c>
      <c r="F2539" s="369">
        <f>VLOOKUP(C2539,METADATA!$A$5:$H$29,IF(E2539="HI",2,IF(E2539="LO",6,10))+IF(D2539=1,2,IF(D2539=7,1,(IF(WEEKDAY(B2539)=1,2,IF(WEEKDAY(B2539)=7,1,0))))))</f>
        <v>2</v>
      </c>
      <c r="G2539" s="369">
        <f>VLOOKUP(C2539,METADATA!$J$5:$Q$29,IF(E2539="HI",2,IF(E2539="LO",6,10))+IF(D2539=1,2,IF(D2539=7,1,(IF(WEEKDAY(B2539)=1,2,IF(WEEKDAY(B2539)=7,1,0))))))</f>
        <v>2</v>
      </c>
      <c r="H2539" s="370">
        <v>13575.199951171875</v>
      </c>
      <c r="I2539" s="370">
        <v>4447.4149475097656</v>
      </c>
      <c r="M2539" s="371">
        <f t="shared" si="157"/>
        <v>14285.151501808798</v>
      </c>
      <c r="N2539" s="329">
        <f t="shared" si="158"/>
        <v>374.85496215820331</v>
      </c>
      <c r="T2539" s="331">
        <v>0</v>
      </c>
      <c r="U2539" s="328">
        <f>VLOOKUP(C2539,METADATA!$J$5:$Q$29,IF(E2539="HI",2,IF(E2539="LO",6,10))+IF(T2539=1,2,IF(D2539=7,1,(IF(WEEKDAY(B2539)=1,2,IF(WEEKDAY(B2539)=7,1,0))))))</f>
        <v>2</v>
      </c>
      <c r="V2539" s="328">
        <f>VLOOKUP(C2539,METADATA!$A$5:$H$29,IF(E2539="HI",2,IF(E2539="LO",6,10))+IF(T2539=1,2,IF(D2539=7,1,(IF(WEEKDAY(B2539)=1,2,IF(WEEKDAY(B2539)=7,1,0))))))</f>
        <v>2</v>
      </c>
    </row>
    <row r="2540" spans="2:22">
      <c r="B2540" s="318">
        <f t="shared" si="159"/>
        <v>46218</v>
      </c>
      <c r="C2540" s="312">
        <v>16</v>
      </c>
      <c r="D2540" s="368">
        <f>IFERROR((INDEX(METADATA!$T$2:$T$20,MATCH(B2540,METADATA!$S$2:$S$20,0))),0)</f>
        <v>0</v>
      </c>
      <c r="E2540" s="312" t="str">
        <f t="shared" si="156"/>
        <v>LO</v>
      </c>
      <c r="F2540" s="369">
        <f>VLOOKUP(C2540,METADATA!$A$5:$H$29,IF(E2540="HI",2,IF(E2540="LO",6,10))+IF(D2540=1,2,IF(D2540=7,1,(IF(WEEKDAY(B2540)=1,2,IF(WEEKDAY(B2540)=7,1,0))))))</f>
        <v>2</v>
      </c>
      <c r="G2540" s="369">
        <f>VLOOKUP(C2540,METADATA!$J$5:$Q$29,IF(E2540="HI",2,IF(E2540="LO",6,10))+IF(D2540=1,2,IF(D2540=7,1,(IF(WEEKDAY(B2540)=1,2,IF(WEEKDAY(B2540)=7,1,0))))))</f>
        <v>2</v>
      </c>
      <c r="H2540" s="370">
        <v>13603.049987792969</v>
      </c>
      <c r="I2540" s="370">
        <v>4508.2000122070313</v>
      </c>
      <c r="M2540" s="371">
        <f t="shared" si="157"/>
        <v>14330.625817474189</v>
      </c>
      <c r="N2540" s="329">
        <f t="shared" si="158"/>
        <v>427.28501586914081</v>
      </c>
      <c r="T2540" s="331">
        <v>0</v>
      </c>
      <c r="U2540" s="328">
        <f>VLOOKUP(C2540,METADATA!$J$5:$Q$29,IF(E2540="HI",2,IF(E2540="LO",6,10))+IF(T2540=1,2,IF(D2540=7,1,(IF(WEEKDAY(B2540)=1,2,IF(WEEKDAY(B2540)=7,1,0))))))</f>
        <v>2</v>
      </c>
      <c r="V2540" s="328">
        <f>VLOOKUP(C2540,METADATA!$A$5:$H$29,IF(E2540="HI",2,IF(E2540="LO",6,10))+IF(T2540=1,2,IF(D2540=7,1,(IF(WEEKDAY(B2540)=1,2,IF(WEEKDAY(B2540)=7,1,0))))))</f>
        <v>2</v>
      </c>
    </row>
    <row r="2541" spans="2:22">
      <c r="B2541" s="318">
        <f t="shared" si="159"/>
        <v>46218</v>
      </c>
      <c r="C2541" s="312">
        <v>17</v>
      </c>
      <c r="D2541" s="368">
        <f>IFERROR((INDEX(METADATA!$T$2:$T$20,MATCH(B2541,METADATA!$S$2:$S$20,0))),0)</f>
        <v>0</v>
      </c>
      <c r="E2541" s="312" t="str">
        <f t="shared" si="156"/>
        <v>LO</v>
      </c>
      <c r="F2541" s="369">
        <f>VLOOKUP(C2541,METADATA!$A$5:$H$29,IF(E2541="HI",2,IF(E2541="LO",6,10))+IF(D2541=1,2,IF(D2541=7,1,(IF(WEEKDAY(B2541)=1,2,IF(WEEKDAY(B2541)=7,1,0))))))</f>
        <v>2</v>
      </c>
      <c r="G2541" s="369">
        <f>VLOOKUP(C2541,METADATA!$J$5:$Q$29,IF(E2541="HI",2,IF(E2541="LO",6,10))+IF(D2541=1,2,IF(D2541=7,1,(IF(WEEKDAY(B2541)=1,2,IF(WEEKDAY(B2541)=7,1,0))))))</f>
        <v>2</v>
      </c>
      <c r="H2541" s="370">
        <v>13590.100524902344</v>
      </c>
      <c r="I2541" s="370">
        <v>4487.4799194335938</v>
      </c>
      <c r="M2541" s="371">
        <f t="shared" si="157"/>
        <v>14311.824073271397</v>
      </c>
      <c r="N2541" s="329">
        <f t="shared" si="158"/>
        <v>410.44976196289099</v>
      </c>
      <c r="T2541" s="331">
        <v>0</v>
      </c>
      <c r="U2541" s="328">
        <f>VLOOKUP(C2541,METADATA!$J$5:$Q$29,IF(E2541="HI",2,IF(E2541="LO",6,10))+IF(T2541=1,2,IF(D2541=7,1,(IF(WEEKDAY(B2541)=1,2,IF(WEEKDAY(B2541)=7,1,0))))))</f>
        <v>2</v>
      </c>
      <c r="V2541" s="328">
        <f>VLOOKUP(C2541,METADATA!$A$5:$H$29,IF(E2541="HI",2,IF(E2541="LO",6,10))+IF(T2541=1,2,IF(D2541=7,1,(IF(WEEKDAY(B2541)=1,2,IF(WEEKDAY(B2541)=7,1,0))))))</f>
        <v>2</v>
      </c>
    </row>
    <row r="2542" spans="2:22">
      <c r="B2542" s="318">
        <f t="shared" si="159"/>
        <v>46218</v>
      </c>
      <c r="C2542" s="312">
        <v>18</v>
      </c>
      <c r="D2542" s="368">
        <f>IFERROR((INDEX(METADATA!$T$2:$T$20,MATCH(B2542,METADATA!$S$2:$S$20,0))),0)</f>
        <v>0</v>
      </c>
      <c r="E2542" s="312" t="str">
        <f t="shared" si="156"/>
        <v>LO</v>
      </c>
      <c r="F2542" s="369">
        <f>VLOOKUP(C2542,METADATA!$A$5:$H$29,IF(E2542="HI",2,IF(E2542="LO",6,10))+IF(D2542=1,2,IF(D2542=7,1,(IF(WEEKDAY(B2542)=1,2,IF(WEEKDAY(B2542)=7,1,0))))))</f>
        <v>1</v>
      </c>
      <c r="G2542" s="369">
        <f>VLOOKUP(C2542,METADATA!$J$5:$Q$29,IF(E2542="HI",2,IF(E2542="LO",6,10))+IF(D2542=1,2,IF(D2542=7,1,(IF(WEEKDAY(B2542)=1,2,IF(WEEKDAY(B2542)=7,1,0))))))</f>
        <v>1</v>
      </c>
      <c r="H2542" s="370">
        <v>13539.324584960938</v>
      </c>
      <c r="I2542" s="370">
        <v>4484.8250122070313</v>
      </c>
      <c r="M2542" s="371">
        <f t="shared" si="157"/>
        <v>14262.78253382016</v>
      </c>
      <c r="N2542" s="329">
        <f t="shared" si="158"/>
        <v>423.02763671875027</v>
      </c>
      <c r="T2542" s="331">
        <v>0</v>
      </c>
      <c r="U2542" s="328">
        <f>VLOOKUP(C2542,METADATA!$J$5:$Q$29,IF(E2542="HI",2,IF(E2542="LO",6,10))+IF(T2542=1,2,IF(D2542=7,1,(IF(WEEKDAY(B2542)=1,2,IF(WEEKDAY(B2542)=7,1,0))))))</f>
        <v>1</v>
      </c>
      <c r="V2542" s="328">
        <f>VLOOKUP(C2542,METADATA!$A$5:$H$29,IF(E2542="HI",2,IF(E2542="LO",6,10))+IF(T2542=1,2,IF(D2542=7,1,(IF(WEEKDAY(B2542)=1,2,IF(WEEKDAY(B2542)=7,1,0))))))</f>
        <v>1</v>
      </c>
    </row>
    <row r="2543" spans="2:22">
      <c r="B2543" s="318">
        <f t="shared" si="159"/>
        <v>46218</v>
      </c>
      <c r="C2543" s="312">
        <v>19</v>
      </c>
      <c r="D2543" s="368">
        <f>IFERROR((INDEX(METADATA!$T$2:$T$20,MATCH(B2543,METADATA!$S$2:$S$20,0))),0)</f>
        <v>0</v>
      </c>
      <c r="E2543" s="312" t="str">
        <f t="shared" si="156"/>
        <v>LO</v>
      </c>
      <c r="F2543" s="369">
        <f>VLOOKUP(C2543,METADATA!$A$5:$H$29,IF(E2543="HI",2,IF(E2543="LO",6,10))+IF(D2543=1,2,IF(D2543=7,1,(IF(WEEKDAY(B2543)=1,2,IF(WEEKDAY(B2543)=7,1,0))))))</f>
        <v>1</v>
      </c>
      <c r="G2543" s="369">
        <f>VLOOKUP(C2543,METADATA!$J$5:$Q$29,IF(E2543="HI",2,IF(E2543="LO",6,10))+IF(D2543=1,2,IF(D2543=7,1,(IF(WEEKDAY(B2543)=1,2,IF(WEEKDAY(B2543)=7,1,0))))))</f>
        <v>1</v>
      </c>
      <c r="H2543" s="370">
        <v>13513.175048828125</v>
      </c>
      <c r="I2543" s="370">
        <v>4528.1300048828125</v>
      </c>
      <c r="M2543" s="371">
        <f t="shared" si="157"/>
        <v>14251.661701057565</v>
      </c>
      <c r="N2543" s="329">
        <f t="shared" si="158"/>
        <v>474.177490234375</v>
      </c>
      <c r="T2543" s="331">
        <v>0</v>
      </c>
      <c r="U2543" s="328">
        <f>VLOOKUP(C2543,METADATA!$J$5:$Q$29,IF(E2543="HI",2,IF(E2543="LO",6,10))+IF(T2543=1,2,IF(D2543=7,1,(IF(WEEKDAY(B2543)=1,2,IF(WEEKDAY(B2543)=7,1,0))))))</f>
        <v>1</v>
      </c>
      <c r="V2543" s="328">
        <f>VLOOKUP(C2543,METADATA!$A$5:$H$29,IF(E2543="HI",2,IF(E2543="LO",6,10))+IF(T2543=1,2,IF(D2543=7,1,(IF(WEEKDAY(B2543)=1,2,IF(WEEKDAY(B2543)=7,1,0))))))</f>
        <v>1</v>
      </c>
    </row>
    <row r="2544" spans="2:22">
      <c r="B2544" s="318">
        <f t="shared" si="159"/>
        <v>46218</v>
      </c>
      <c r="C2544" s="312">
        <v>20</v>
      </c>
      <c r="D2544" s="368">
        <f>IFERROR((INDEX(METADATA!$T$2:$T$20,MATCH(B2544,METADATA!$S$2:$S$20,0))),0)</f>
        <v>0</v>
      </c>
      <c r="E2544" s="312" t="str">
        <f t="shared" si="156"/>
        <v>LO</v>
      </c>
      <c r="F2544" s="369">
        <f>VLOOKUP(C2544,METADATA!$A$5:$H$29,IF(E2544="HI",2,IF(E2544="LO",6,10))+IF(D2544=1,2,IF(D2544=7,1,(IF(WEEKDAY(B2544)=1,2,IF(WEEKDAY(B2544)=7,1,0))))))</f>
        <v>1</v>
      </c>
      <c r="G2544" s="369">
        <f>VLOOKUP(C2544,METADATA!$J$5:$Q$29,IF(E2544="HI",2,IF(E2544="LO",6,10))+IF(D2544=1,2,IF(D2544=7,1,(IF(WEEKDAY(B2544)=1,2,IF(WEEKDAY(B2544)=7,1,0))))))</f>
        <v>1</v>
      </c>
      <c r="H2544" s="370">
        <v>13596.3251953125</v>
      </c>
      <c r="I2544" s="370">
        <v>4625.4299621582031</v>
      </c>
      <c r="M2544" s="371">
        <f t="shared" si="157"/>
        <v>14361.568895894359</v>
      </c>
      <c r="N2544" s="329">
        <f t="shared" si="158"/>
        <v>546.53240356445349</v>
      </c>
      <c r="T2544" s="331">
        <v>0</v>
      </c>
      <c r="U2544" s="328">
        <f>VLOOKUP(C2544,METADATA!$J$5:$Q$29,IF(E2544="HI",2,IF(E2544="LO",6,10))+IF(T2544=1,2,IF(D2544=7,1,(IF(WEEKDAY(B2544)=1,2,IF(WEEKDAY(B2544)=7,1,0))))))</f>
        <v>1</v>
      </c>
      <c r="V2544" s="328">
        <f>VLOOKUP(C2544,METADATA!$A$5:$H$29,IF(E2544="HI",2,IF(E2544="LO",6,10))+IF(T2544=1,2,IF(D2544=7,1,(IF(WEEKDAY(B2544)=1,2,IF(WEEKDAY(B2544)=7,1,0))))))</f>
        <v>1</v>
      </c>
    </row>
    <row r="2545" spans="2:22">
      <c r="B2545" s="318">
        <f t="shared" si="159"/>
        <v>46218</v>
      </c>
      <c r="C2545" s="312">
        <v>21</v>
      </c>
      <c r="D2545" s="368">
        <f>IFERROR((INDEX(METADATA!$T$2:$T$20,MATCH(B2545,METADATA!$S$2:$S$20,0))),0)</f>
        <v>0</v>
      </c>
      <c r="E2545" s="312" t="str">
        <f t="shared" si="156"/>
        <v>LO</v>
      </c>
      <c r="F2545" s="369">
        <f>VLOOKUP(C2545,METADATA!$A$5:$H$29,IF(E2545="HI",2,IF(E2545="LO",6,10))+IF(D2545=1,2,IF(D2545=7,1,(IF(WEEKDAY(B2545)=1,2,IF(WEEKDAY(B2545)=7,1,0))))))</f>
        <v>2</v>
      </c>
      <c r="G2545" s="369">
        <f>VLOOKUP(C2545,METADATA!$J$5:$Q$29,IF(E2545="HI",2,IF(E2545="LO",6,10))+IF(D2545=1,2,IF(D2545=7,1,(IF(WEEKDAY(B2545)=1,2,IF(WEEKDAY(B2545)=7,1,0))))))</f>
        <v>2</v>
      </c>
      <c r="H2545" s="370">
        <v>13566.100524902344</v>
      </c>
      <c r="I2545" s="370">
        <v>4546.7850341796875</v>
      </c>
      <c r="M2545" s="371">
        <f t="shared" si="157"/>
        <v>14307.771929926615</v>
      </c>
      <c r="N2545" s="329">
        <f t="shared" si="158"/>
        <v>476.95487670898456</v>
      </c>
      <c r="T2545" s="331">
        <v>0</v>
      </c>
      <c r="U2545" s="328">
        <f>VLOOKUP(C2545,METADATA!$J$5:$Q$29,IF(E2545="HI",2,IF(E2545="LO",6,10))+IF(T2545=1,2,IF(D2545=7,1,(IF(WEEKDAY(B2545)=1,2,IF(WEEKDAY(B2545)=7,1,0))))))</f>
        <v>2</v>
      </c>
      <c r="V2545" s="328">
        <f>VLOOKUP(C2545,METADATA!$A$5:$H$29,IF(E2545="HI",2,IF(E2545="LO",6,10))+IF(T2545=1,2,IF(D2545=7,1,(IF(WEEKDAY(B2545)=1,2,IF(WEEKDAY(B2545)=7,1,0))))))</f>
        <v>2</v>
      </c>
    </row>
    <row r="2546" spans="2:22">
      <c r="B2546" s="318">
        <f t="shared" si="159"/>
        <v>46218</v>
      </c>
      <c r="C2546" s="312">
        <v>22</v>
      </c>
      <c r="D2546" s="368">
        <f>IFERROR((INDEX(METADATA!$T$2:$T$20,MATCH(B2546,METADATA!$S$2:$S$20,0))),0)</f>
        <v>0</v>
      </c>
      <c r="E2546" s="312" t="str">
        <f t="shared" si="156"/>
        <v>LO</v>
      </c>
      <c r="F2546" s="369">
        <f>VLOOKUP(C2546,METADATA!$A$5:$H$29,IF(E2546="HI",2,IF(E2546="LO",6,10))+IF(D2546=1,2,IF(D2546=7,1,(IF(WEEKDAY(B2546)=1,2,IF(WEEKDAY(B2546)=7,1,0))))))</f>
        <v>3</v>
      </c>
      <c r="G2546" s="369">
        <f>VLOOKUP(C2546,METADATA!$J$5:$Q$29,IF(E2546="HI",2,IF(E2546="LO",6,10))+IF(D2546=1,2,IF(D2546=7,1,(IF(WEEKDAY(B2546)=1,2,IF(WEEKDAY(B2546)=7,1,0))))))</f>
        <v>3</v>
      </c>
      <c r="H2546" s="370">
        <v>13467.200317382813</v>
      </c>
      <c r="I2546" s="370">
        <v>4460.3399658203125</v>
      </c>
      <c r="M2546" s="371">
        <f t="shared" si="157"/>
        <v>14186.617531998585</v>
      </c>
      <c r="N2546" s="329">
        <f t="shared" si="158"/>
        <v>420.17987060546875</v>
      </c>
      <c r="T2546" s="331">
        <v>0</v>
      </c>
      <c r="U2546" s="328">
        <f>VLOOKUP(C2546,METADATA!$J$5:$Q$29,IF(E2546="HI",2,IF(E2546="LO",6,10))+IF(T2546=1,2,IF(D2546=7,1,(IF(WEEKDAY(B2546)=1,2,IF(WEEKDAY(B2546)=7,1,0))))))</f>
        <v>3</v>
      </c>
      <c r="V2546" s="328">
        <f>VLOOKUP(C2546,METADATA!$A$5:$H$29,IF(E2546="HI",2,IF(E2546="LO",6,10))+IF(T2546=1,2,IF(D2546=7,1,(IF(WEEKDAY(B2546)=1,2,IF(WEEKDAY(B2546)=7,1,0))))))</f>
        <v>3</v>
      </c>
    </row>
    <row r="2547" spans="2:22">
      <c r="B2547" s="318">
        <f t="shared" si="159"/>
        <v>46218</v>
      </c>
      <c r="C2547" s="312">
        <v>23</v>
      </c>
      <c r="D2547" s="368">
        <f>IFERROR((INDEX(METADATA!$T$2:$T$20,MATCH(B2547,METADATA!$S$2:$S$20,0))),0)</f>
        <v>0</v>
      </c>
      <c r="E2547" s="312" t="str">
        <f t="shared" si="156"/>
        <v>LO</v>
      </c>
      <c r="F2547" s="369">
        <f>VLOOKUP(C2547,METADATA!$A$5:$H$29,IF(E2547="HI",2,IF(E2547="LO",6,10))+IF(D2547=1,2,IF(D2547=7,1,(IF(WEEKDAY(B2547)=1,2,IF(WEEKDAY(B2547)=7,1,0))))))</f>
        <v>3</v>
      </c>
      <c r="G2547" s="369">
        <f>VLOOKUP(C2547,METADATA!$J$5:$Q$29,IF(E2547="HI",2,IF(E2547="LO",6,10))+IF(D2547=1,2,IF(D2547=7,1,(IF(WEEKDAY(B2547)=1,2,IF(WEEKDAY(B2547)=7,1,0))))))</f>
        <v>3</v>
      </c>
      <c r="H2547" s="370">
        <v>13617.924926757813</v>
      </c>
      <c r="I2547" s="370">
        <v>4433.3749084472656</v>
      </c>
      <c r="M2547" s="371">
        <f t="shared" si="157"/>
        <v>14321.406788079918</v>
      </c>
      <c r="N2547" s="329">
        <f t="shared" si="158"/>
        <v>347.99743041992224</v>
      </c>
      <c r="T2547" s="331">
        <v>0</v>
      </c>
      <c r="U2547" s="328">
        <f>VLOOKUP(C2547,METADATA!$J$5:$Q$29,IF(E2547="HI",2,IF(E2547="LO",6,10))+IF(T2547=1,2,IF(D2547=7,1,(IF(WEEKDAY(B2547)=1,2,IF(WEEKDAY(B2547)=7,1,0))))))</f>
        <v>3</v>
      </c>
      <c r="V2547" s="328">
        <f>VLOOKUP(C2547,METADATA!$A$5:$H$29,IF(E2547="HI",2,IF(E2547="LO",6,10))+IF(T2547=1,2,IF(D2547=7,1,(IF(WEEKDAY(B2547)=1,2,IF(WEEKDAY(B2547)=7,1,0))))))</f>
        <v>3</v>
      </c>
    </row>
    <row r="2548" spans="2:22">
      <c r="B2548" s="318">
        <f t="shared" si="159"/>
        <v>46219</v>
      </c>
      <c r="C2548" s="312">
        <v>0</v>
      </c>
      <c r="D2548" s="368">
        <f>IFERROR((INDEX(METADATA!$T$2:$T$20,MATCH(B2548,METADATA!$S$2:$S$20,0))),0)</f>
        <v>0</v>
      </c>
      <c r="E2548" s="312" t="str">
        <f t="shared" si="156"/>
        <v>LO</v>
      </c>
      <c r="F2548" s="369">
        <f>VLOOKUP(C2548,METADATA!$A$5:$H$29,IF(E2548="HI",2,IF(E2548="LO",6,10))+IF(D2548=1,2,IF(D2548=7,1,(IF(WEEKDAY(B2548)=1,2,IF(WEEKDAY(B2548)=7,1,0))))))</f>
        <v>3</v>
      </c>
      <c r="G2548" s="369">
        <f>VLOOKUP(C2548,METADATA!$J$5:$Q$29,IF(E2548="HI",2,IF(E2548="LO",6,10))+IF(D2548=1,2,IF(D2548=7,1,(IF(WEEKDAY(B2548)=1,2,IF(WEEKDAY(B2548)=7,1,0))))))</f>
        <v>3</v>
      </c>
      <c r="H2548" s="370">
        <v>13453.5</v>
      </c>
      <c r="I2548" s="370">
        <v>4524.4450988769531</v>
      </c>
      <c r="M2548" s="371">
        <f t="shared" si="157"/>
        <v>14193.916503303508</v>
      </c>
      <c r="N2548" s="329">
        <f t="shared" si="158"/>
        <v>488.3950988769534</v>
      </c>
      <c r="T2548" s="331">
        <v>0</v>
      </c>
      <c r="U2548" s="328">
        <f>VLOOKUP(C2548,METADATA!$J$5:$Q$29,IF(E2548="HI",2,IF(E2548="LO",6,10))+IF(T2548=1,2,IF(D2548=7,1,(IF(WEEKDAY(B2548)=1,2,IF(WEEKDAY(B2548)=7,1,0))))))</f>
        <v>3</v>
      </c>
      <c r="V2548" s="328">
        <f>VLOOKUP(C2548,METADATA!$A$5:$H$29,IF(E2548="HI",2,IF(E2548="LO",6,10))+IF(T2548=1,2,IF(D2548=7,1,(IF(WEEKDAY(B2548)=1,2,IF(WEEKDAY(B2548)=7,1,0))))))</f>
        <v>3</v>
      </c>
    </row>
    <row r="2549" spans="2:22">
      <c r="B2549" s="318">
        <f t="shared" si="159"/>
        <v>46219</v>
      </c>
      <c r="C2549" s="312">
        <v>1</v>
      </c>
      <c r="D2549" s="368">
        <f>IFERROR((INDEX(METADATA!$T$2:$T$20,MATCH(B2549,METADATA!$S$2:$S$20,0))),0)</f>
        <v>0</v>
      </c>
      <c r="E2549" s="312" t="str">
        <f t="shared" si="156"/>
        <v>LO</v>
      </c>
      <c r="F2549" s="369">
        <f>VLOOKUP(C2549,METADATA!$A$5:$H$29,IF(E2549="HI",2,IF(E2549="LO",6,10))+IF(D2549=1,2,IF(D2549=7,1,(IF(WEEKDAY(B2549)=1,2,IF(WEEKDAY(B2549)=7,1,0))))))</f>
        <v>3</v>
      </c>
      <c r="G2549" s="369">
        <f>VLOOKUP(C2549,METADATA!$J$5:$Q$29,IF(E2549="HI",2,IF(E2549="LO",6,10))+IF(D2549=1,2,IF(D2549=7,1,(IF(WEEKDAY(B2549)=1,2,IF(WEEKDAY(B2549)=7,1,0))))))</f>
        <v>3</v>
      </c>
      <c r="H2549" s="370">
        <v>13689.115112304688</v>
      </c>
      <c r="I2549" s="370">
        <v>4509.032470703125</v>
      </c>
      <c r="M2549" s="371">
        <f t="shared" si="157"/>
        <v>14412.60720271609</v>
      </c>
      <c r="N2549" s="329">
        <f t="shared" si="158"/>
        <v>402.29793701171911</v>
      </c>
      <c r="T2549" s="331">
        <v>0</v>
      </c>
      <c r="U2549" s="328">
        <f>VLOOKUP(C2549,METADATA!$J$5:$Q$29,IF(E2549="HI",2,IF(E2549="LO",6,10))+IF(T2549=1,2,IF(D2549=7,1,(IF(WEEKDAY(B2549)=1,2,IF(WEEKDAY(B2549)=7,1,0))))))</f>
        <v>3</v>
      </c>
      <c r="V2549" s="328">
        <f>VLOOKUP(C2549,METADATA!$A$5:$H$29,IF(E2549="HI",2,IF(E2549="LO",6,10))+IF(T2549=1,2,IF(D2549=7,1,(IF(WEEKDAY(B2549)=1,2,IF(WEEKDAY(B2549)=7,1,0))))))</f>
        <v>3</v>
      </c>
    </row>
    <row r="2550" spans="2:22">
      <c r="B2550" s="318">
        <f t="shared" si="159"/>
        <v>46219</v>
      </c>
      <c r="C2550" s="312">
        <v>2</v>
      </c>
      <c r="D2550" s="368">
        <f>IFERROR((INDEX(METADATA!$T$2:$T$20,MATCH(B2550,METADATA!$S$2:$S$20,0))),0)</f>
        <v>0</v>
      </c>
      <c r="E2550" s="312" t="str">
        <f t="shared" si="156"/>
        <v>LO</v>
      </c>
      <c r="F2550" s="369">
        <f>VLOOKUP(C2550,METADATA!$A$5:$H$29,IF(E2550="HI",2,IF(E2550="LO",6,10))+IF(D2550=1,2,IF(D2550=7,1,(IF(WEEKDAY(B2550)=1,2,IF(WEEKDAY(B2550)=7,1,0))))))</f>
        <v>3</v>
      </c>
      <c r="G2550" s="369">
        <f>VLOOKUP(C2550,METADATA!$J$5:$Q$29,IF(E2550="HI",2,IF(E2550="LO",6,10))+IF(D2550=1,2,IF(D2550=7,1,(IF(WEEKDAY(B2550)=1,2,IF(WEEKDAY(B2550)=7,1,0))))))</f>
        <v>3</v>
      </c>
      <c r="H2550" s="370">
        <v>12952.80029296875</v>
      </c>
      <c r="I2550" s="370">
        <v>4264.52001953125</v>
      </c>
      <c r="M2550" s="371">
        <f t="shared" si="157"/>
        <v>13636.757914787302</v>
      </c>
      <c r="N2550" s="329">
        <f t="shared" si="158"/>
        <v>378.679931640625</v>
      </c>
      <c r="T2550" s="331">
        <v>0</v>
      </c>
      <c r="U2550" s="328">
        <f>VLOOKUP(C2550,METADATA!$J$5:$Q$29,IF(E2550="HI",2,IF(E2550="LO",6,10))+IF(T2550=1,2,IF(D2550=7,1,(IF(WEEKDAY(B2550)=1,2,IF(WEEKDAY(B2550)=7,1,0))))))</f>
        <v>3</v>
      </c>
      <c r="V2550" s="328">
        <f>VLOOKUP(C2550,METADATA!$A$5:$H$29,IF(E2550="HI",2,IF(E2550="LO",6,10))+IF(T2550=1,2,IF(D2550=7,1,(IF(WEEKDAY(B2550)=1,2,IF(WEEKDAY(B2550)=7,1,0))))))</f>
        <v>3</v>
      </c>
    </row>
    <row r="2551" spans="2:22">
      <c r="B2551" s="318">
        <f t="shared" si="159"/>
        <v>46219</v>
      </c>
      <c r="C2551" s="312">
        <v>3</v>
      </c>
      <c r="D2551" s="368">
        <f>IFERROR((INDEX(METADATA!$T$2:$T$20,MATCH(B2551,METADATA!$S$2:$S$20,0))),0)</f>
        <v>0</v>
      </c>
      <c r="E2551" s="312" t="str">
        <f t="shared" si="156"/>
        <v>LO</v>
      </c>
      <c r="F2551" s="369">
        <f>VLOOKUP(C2551,METADATA!$A$5:$H$29,IF(E2551="HI",2,IF(E2551="LO",6,10))+IF(D2551=1,2,IF(D2551=7,1,(IF(WEEKDAY(B2551)=1,2,IF(WEEKDAY(B2551)=7,1,0))))))</f>
        <v>3</v>
      </c>
      <c r="G2551" s="369">
        <f>VLOOKUP(C2551,METADATA!$J$5:$Q$29,IF(E2551="HI",2,IF(E2551="LO",6,10))+IF(D2551=1,2,IF(D2551=7,1,(IF(WEEKDAY(B2551)=1,2,IF(WEEKDAY(B2551)=7,1,0))))))</f>
        <v>3</v>
      </c>
      <c r="H2551" s="370">
        <v>11586.652618408203</v>
      </c>
      <c r="I2551" s="370">
        <v>3539.0399780273438</v>
      </c>
      <c r="M2551" s="371">
        <f t="shared" si="157"/>
        <v>12115.086581025389</v>
      </c>
      <c r="N2551" s="329">
        <f t="shared" si="158"/>
        <v>63.044192504883085</v>
      </c>
      <c r="T2551" s="331">
        <v>0</v>
      </c>
      <c r="U2551" s="328">
        <f>VLOOKUP(C2551,METADATA!$J$5:$Q$29,IF(E2551="HI",2,IF(E2551="LO",6,10))+IF(T2551=1,2,IF(D2551=7,1,(IF(WEEKDAY(B2551)=1,2,IF(WEEKDAY(B2551)=7,1,0))))))</f>
        <v>3</v>
      </c>
      <c r="V2551" s="328">
        <f>VLOOKUP(C2551,METADATA!$A$5:$H$29,IF(E2551="HI",2,IF(E2551="LO",6,10))+IF(T2551=1,2,IF(D2551=7,1,(IF(WEEKDAY(B2551)=1,2,IF(WEEKDAY(B2551)=7,1,0))))))</f>
        <v>3</v>
      </c>
    </row>
    <row r="2552" spans="2:22">
      <c r="B2552" s="318">
        <f t="shared" si="159"/>
        <v>46219</v>
      </c>
      <c r="C2552" s="312">
        <v>4</v>
      </c>
      <c r="D2552" s="368">
        <f>IFERROR((INDEX(METADATA!$T$2:$T$20,MATCH(B2552,METADATA!$S$2:$S$20,0))),0)</f>
        <v>0</v>
      </c>
      <c r="E2552" s="312" t="str">
        <f t="shared" si="156"/>
        <v>LO</v>
      </c>
      <c r="F2552" s="369">
        <f>VLOOKUP(C2552,METADATA!$A$5:$H$29,IF(E2552="HI",2,IF(E2552="LO",6,10))+IF(D2552=1,2,IF(D2552=7,1,(IF(WEEKDAY(B2552)=1,2,IF(WEEKDAY(B2552)=7,1,0))))))</f>
        <v>3</v>
      </c>
      <c r="G2552" s="369">
        <f>VLOOKUP(C2552,METADATA!$J$5:$Q$29,IF(E2552="HI",2,IF(E2552="LO",6,10))+IF(D2552=1,2,IF(D2552=7,1,(IF(WEEKDAY(B2552)=1,2,IF(WEEKDAY(B2552)=7,1,0))))))</f>
        <v>3</v>
      </c>
      <c r="H2552" s="370">
        <v>11711.892639160156</v>
      </c>
      <c r="I2552" s="370">
        <v>3463.657470703125</v>
      </c>
      <c r="M2552" s="371">
        <f t="shared" si="157"/>
        <v>12213.326830375556</v>
      </c>
      <c r="N2552" s="329">
        <f t="shared" si="158"/>
        <v>0</v>
      </c>
      <c r="T2552" s="331">
        <v>0</v>
      </c>
      <c r="U2552" s="328">
        <f>VLOOKUP(C2552,METADATA!$J$5:$Q$29,IF(E2552="HI",2,IF(E2552="LO",6,10))+IF(T2552=1,2,IF(D2552=7,1,(IF(WEEKDAY(B2552)=1,2,IF(WEEKDAY(B2552)=7,1,0))))))</f>
        <v>3</v>
      </c>
      <c r="V2552" s="328">
        <f>VLOOKUP(C2552,METADATA!$A$5:$H$29,IF(E2552="HI",2,IF(E2552="LO",6,10))+IF(T2552=1,2,IF(D2552=7,1,(IF(WEEKDAY(B2552)=1,2,IF(WEEKDAY(B2552)=7,1,0))))))</f>
        <v>3</v>
      </c>
    </row>
    <row r="2553" spans="2:22">
      <c r="B2553" s="318">
        <f t="shared" si="159"/>
        <v>46219</v>
      </c>
      <c r="C2553" s="312">
        <v>5</v>
      </c>
      <c r="D2553" s="368">
        <f>IFERROR((INDEX(METADATA!$T$2:$T$20,MATCH(B2553,METADATA!$S$2:$S$20,0))),0)</f>
        <v>0</v>
      </c>
      <c r="E2553" s="312" t="str">
        <f t="shared" si="156"/>
        <v>LO</v>
      </c>
      <c r="F2553" s="369">
        <f>VLOOKUP(C2553,METADATA!$A$5:$H$29,IF(E2553="HI",2,IF(E2553="LO",6,10))+IF(D2553=1,2,IF(D2553=7,1,(IF(WEEKDAY(B2553)=1,2,IF(WEEKDAY(B2553)=7,1,0))))))</f>
        <v>3</v>
      </c>
      <c r="G2553" s="369">
        <f>VLOOKUP(C2553,METADATA!$J$5:$Q$29,IF(E2553="HI",2,IF(E2553="LO",6,10))+IF(D2553=1,2,IF(D2553=7,1,(IF(WEEKDAY(B2553)=1,2,IF(WEEKDAY(B2553)=7,1,0))))))</f>
        <v>3</v>
      </c>
      <c r="H2553" s="370">
        <v>11702.152496337891</v>
      </c>
      <c r="I2553" s="370">
        <v>3421.9175720214844</v>
      </c>
      <c r="M2553" s="371">
        <f t="shared" si="157"/>
        <v>12192.206236660228</v>
      </c>
      <c r="N2553" s="329">
        <f t="shared" si="158"/>
        <v>0</v>
      </c>
      <c r="T2553" s="331">
        <v>0</v>
      </c>
      <c r="U2553" s="328">
        <f>VLOOKUP(C2553,METADATA!$J$5:$Q$29,IF(E2553="HI",2,IF(E2553="LO",6,10))+IF(T2553=1,2,IF(D2553=7,1,(IF(WEEKDAY(B2553)=1,2,IF(WEEKDAY(B2553)=7,1,0))))))</f>
        <v>3</v>
      </c>
      <c r="V2553" s="328">
        <f>VLOOKUP(C2553,METADATA!$A$5:$H$29,IF(E2553="HI",2,IF(E2553="LO",6,10))+IF(T2553=1,2,IF(D2553=7,1,(IF(WEEKDAY(B2553)=1,2,IF(WEEKDAY(B2553)=7,1,0))))))</f>
        <v>3</v>
      </c>
    </row>
    <row r="2554" spans="2:22">
      <c r="B2554" s="318">
        <f t="shared" si="159"/>
        <v>46219</v>
      </c>
      <c r="C2554" s="312">
        <v>6</v>
      </c>
      <c r="D2554" s="368">
        <f>IFERROR((INDEX(METADATA!$T$2:$T$20,MATCH(B2554,METADATA!$S$2:$S$20,0))),0)</f>
        <v>0</v>
      </c>
      <c r="E2554" s="312" t="str">
        <f t="shared" si="156"/>
        <v>LO</v>
      </c>
      <c r="F2554" s="369">
        <f>VLOOKUP(C2554,METADATA!$A$5:$H$29,IF(E2554="HI",2,IF(E2554="LO",6,10))+IF(D2554=1,2,IF(D2554=7,1,(IF(WEEKDAY(B2554)=1,2,IF(WEEKDAY(B2554)=7,1,0))))))</f>
        <v>2</v>
      </c>
      <c r="G2554" s="369">
        <f>VLOOKUP(C2554,METADATA!$J$5:$Q$29,IF(E2554="HI",2,IF(E2554="LO",6,10))+IF(D2554=1,2,IF(D2554=7,1,(IF(WEEKDAY(B2554)=1,2,IF(WEEKDAY(B2554)=7,1,0))))))</f>
        <v>2</v>
      </c>
      <c r="H2554" s="370">
        <v>11711.832397460938</v>
      </c>
      <c r="I2554" s="370">
        <v>3437.4275817871094</v>
      </c>
      <c r="M2554" s="371">
        <f t="shared" si="157"/>
        <v>12205.856237325032</v>
      </c>
      <c r="N2554" s="329">
        <f t="shared" si="158"/>
        <v>0</v>
      </c>
      <c r="T2554" s="331">
        <v>0</v>
      </c>
      <c r="U2554" s="328">
        <f>VLOOKUP(C2554,METADATA!$J$5:$Q$29,IF(E2554="HI",2,IF(E2554="LO",6,10))+IF(T2554=1,2,IF(D2554=7,1,(IF(WEEKDAY(B2554)=1,2,IF(WEEKDAY(B2554)=7,1,0))))))</f>
        <v>2</v>
      </c>
      <c r="V2554" s="328">
        <f>VLOOKUP(C2554,METADATA!$A$5:$H$29,IF(E2554="HI",2,IF(E2554="LO",6,10))+IF(T2554=1,2,IF(D2554=7,1,(IF(WEEKDAY(B2554)=1,2,IF(WEEKDAY(B2554)=7,1,0))))))</f>
        <v>2</v>
      </c>
    </row>
    <row r="2555" spans="2:22">
      <c r="B2555" s="318">
        <f t="shared" si="159"/>
        <v>46219</v>
      </c>
      <c r="C2555" s="312">
        <v>7</v>
      </c>
      <c r="D2555" s="368">
        <f>IFERROR((INDEX(METADATA!$T$2:$T$20,MATCH(B2555,METADATA!$S$2:$S$20,0))),0)</f>
        <v>0</v>
      </c>
      <c r="E2555" s="312" t="str">
        <f t="shared" si="156"/>
        <v>LO</v>
      </c>
      <c r="F2555" s="369">
        <f>VLOOKUP(C2555,METADATA!$A$5:$H$29,IF(E2555="HI",2,IF(E2555="LO",6,10))+IF(D2555=1,2,IF(D2555=7,1,(IF(WEEKDAY(B2555)=1,2,IF(WEEKDAY(B2555)=7,1,0))))))</f>
        <v>1</v>
      </c>
      <c r="G2555" s="369">
        <f>VLOOKUP(C2555,METADATA!$J$5:$Q$29,IF(E2555="HI",2,IF(E2555="LO",6,10))+IF(D2555=1,2,IF(D2555=7,1,(IF(WEEKDAY(B2555)=1,2,IF(WEEKDAY(B2555)=7,1,0))))))</f>
        <v>1</v>
      </c>
      <c r="H2555" s="370">
        <v>11978.81005859375</v>
      </c>
      <c r="I2555" s="370">
        <v>3393.0700073242188</v>
      </c>
      <c r="M2555" s="371">
        <f t="shared" si="157"/>
        <v>12450.092951238154</v>
      </c>
      <c r="N2555" s="329">
        <f t="shared" si="158"/>
        <v>0</v>
      </c>
      <c r="T2555" s="331">
        <v>0</v>
      </c>
      <c r="U2555" s="328">
        <f>VLOOKUP(C2555,METADATA!$J$5:$Q$29,IF(E2555="HI",2,IF(E2555="LO",6,10))+IF(T2555=1,2,IF(D2555=7,1,(IF(WEEKDAY(B2555)=1,2,IF(WEEKDAY(B2555)=7,1,0))))))</f>
        <v>1</v>
      </c>
      <c r="V2555" s="328">
        <f>VLOOKUP(C2555,METADATA!$A$5:$H$29,IF(E2555="HI",2,IF(E2555="LO",6,10))+IF(T2555=1,2,IF(D2555=7,1,(IF(WEEKDAY(B2555)=1,2,IF(WEEKDAY(B2555)=7,1,0))))))</f>
        <v>1</v>
      </c>
    </row>
    <row r="2556" spans="2:22">
      <c r="B2556" s="318">
        <f t="shared" si="159"/>
        <v>46219</v>
      </c>
      <c r="C2556" s="312">
        <v>8</v>
      </c>
      <c r="D2556" s="368">
        <f>IFERROR((INDEX(METADATA!$T$2:$T$20,MATCH(B2556,METADATA!$S$2:$S$20,0))),0)</f>
        <v>0</v>
      </c>
      <c r="E2556" s="312" t="str">
        <f t="shared" si="156"/>
        <v>LO</v>
      </c>
      <c r="F2556" s="369">
        <f>VLOOKUP(C2556,METADATA!$A$5:$H$29,IF(E2556="HI",2,IF(E2556="LO",6,10))+IF(D2556=1,2,IF(D2556=7,1,(IF(WEEKDAY(B2556)=1,2,IF(WEEKDAY(B2556)=7,1,0))))))</f>
        <v>1</v>
      </c>
      <c r="G2556" s="369">
        <f>VLOOKUP(C2556,METADATA!$J$5:$Q$29,IF(E2556="HI",2,IF(E2556="LO",6,10))+IF(D2556=1,2,IF(D2556=7,1,(IF(WEEKDAY(B2556)=1,2,IF(WEEKDAY(B2556)=7,1,0))))))</f>
        <v>1</v>
      </c>
      <c r="H2556" s="370">
        <v>13793.52490234375</v>
      </c>
      <c r="I2556" s="370">
        <v>4512.3349914550781</v>
      </c>
      <c r="M2556" s="371">
        <f t="shared" si="157"/>
        <v>14512.839016081141</v>
      </c>
      <c r="N2556" s="329">
        <f t="shared" si="158"/>
        <v>374.27752075195349</v>
      </c>
      <c r="T2556" s="331">
        <v>0</v>
      </c>
      <c r="U2556" s="328">
        <f>VLOOKUP(C2556,METADATA!$J$5:$Q$29,IF(E2556="HI",2,IF(E2556="LO",6,10))+IF(T2556=1,2,IF(D2556=7,1,(IF(WEEKDAY(B2556)=1,2,IF(WEEKDAY(B2556)=7,1,0))))))</f>
        <v>1</v>
      </c>
      <c r="V2556" s="328">
        <f>VLOOKUP(C2556,METADATA!$A$5:$H$29,IF(E2556="HI",2,IF(E2556="LO",6,10))+IF(T2556=1,2,IF(D2556=7,1,(IF(WEEKDAY(B2556)=1,2,IF(WEEKDAY(B2556)=7,1,0))))))</f>
        <v>1</v>
      </c>
    </row>
    <row r="2557" spans="2:22">
      <c r="B2557" s="318">
        <f t="shared" si="159"/>
        <v>46219</v>
      </c>
      <c r="C2557" s="312">
        <v>9</v>
      </c>
      <c r="D2557" s="368">
        <f>IFERROR((INDEX(METADATA!$T$2:$T$20,MATCH(B2557,METADATA!$S$2:$S$20,0))),0)</f>
        <v>0</v>
      </c>
      <c r="E2557" s="312" t="str">
        <f t="shared" si="156"/>
        <v>LO</v>
      </c>
      <c r="F2557" s="369">
        <f>VLOOKUP(C2557,METADATA!$A$5:$H$29,IF(E2557="HI",2,IF(E2557="LO",6,10))+IF(D2557=1,2,IF(D2557=7,1,(IF(WEEKDAY(B2557)=1,2,IF(WEEKDAY(B2557)=7,1,0))))))</f>
        <v>2</v>
      </c>
      <c r="G2557" s="369">
        <f>VLOOKUP(C2557,METADATA!$J$5:$Q$29,IF(E2557="HI",2,IF(E2557="LO",6,10))+IF(D2557=1,2,IF(D2557=7,1,(IF(WEEKDAY(B2557)=1,2,IF(WEEKDAY(B2557)=7,1,0))))))</f>
        <v>2</v>
      </c>
      <c r="H2557" s="370">
        <v>13915.250183105469</v>
      </c>
      <c r="I2557" s="370">
        <v>4525.6649475097656</v>
      </c>
      <c r="M2557" s="371">
        <f t="shared" si="157"/>
        <v>14632.697320574061</v>
      </c>
      <c r="N2557" s="329">
        <f t="shared" si="158"/>
        <v>351.08989257812482</v>
      </c>
      <c r="T2557" s="331">
        <v>0</v>
      </c>
      <c r="U2557" s="328">
        <f>VLOOKUP(C2557,METADATA!$J$5:$Q$29,IF(E2557="HI",2,IF(E2557="LO",6,10))+IF(T2557=1,2,IF(D2557=7,1,(IF(WEEKDAY(B2557)=1,2,IF(WEEKDAY(B2557)=7,1,0))))))</f>
        <v>2</v>
      </c>
      <c r="V2557" s="328">
        <f>VLOOKUP(C2557,METADATA!$A$5:$H$29,IF(E2557="HI",2,IF(E2557="LO",6,10))+IF(T2557=1,2,IF(D2557=7,1,(IF(WEEKDAY(B2557)=1,2,IF(WEEKDAY(B2557)=7,1,0))))))</f>
        <v>2</v>
      </c>
    </row>
    <row r="2558" spans="2:22">
      <c r="B2558" s="318">
        <f t="shared" si="159"/>
        <v>46219</v>
      </c>
      <c r="C2558" s="312">
        <v>10</v>
      </c>
      <c r="D2558" s="368">
        <f>IFERROR((INDEX(METADATA!$T$2:$T$20,MATCH(B2558,METADATA!$S$2:$S$20,0))),0)</f>
        <v>0</v>
      </c>
      <c r="E2558" s="312" t="str">
        <f t="shared" si="156"/>
        <v>LO</v>
      </c>
      <c r="F2558" s="369">
        <f>VLOOKUP(C2558,METADATA!$A$5:$H$29,IF(E2558="HI",2,IF(E2558="LO",6,10))+IF(D2558=1,2,IF(D2558=7,1,(IF(WEEKDAY(B2558)=1,2,IF(WEEKDAY(B2558)=7,1,0))))))</f>
        <v>2</v>
      </c>
      <c r="G2558" s="369">
        <f>VLOOKUP(C2558,METADATA!$J$5:$Q$29,IF(E2558="HI",2,IF(E2558="LO",6,10))+IF(D2558=1,2,IF(D2558=7,1,(IF(WEEKDAY(B2558)=1,2,IF(WEEKDAY(B2558)=7,1,0))))))</f>
        <v>2</v>
      </c>
      <c r="H2558" s="370">
        <v>13795.174682617188</v>
      </c>
      <c r="I2558" s="370">
        <v>4473.6900634765625</v>
      </c>
      <c r="M2558" s="371">
        <f t="shared" si="157"/>
        <v>14502.439357155441</v>
      </c>
      <c r="N2558" s="329">
        <f t="shared" si="158"/>
        <v>335.13765869140661</v>
      </c>
      <c r="T2558" s="331">
        <v>0</v>
      </c>
      <c r="U2558" s="328">
        <f>VLOOKUP(C2558,METADATA!$J$5:$Q$29,IF(E2558="HI",2,IF(E2558="LO",6,10))+IF(T2558=1,2,IF(D2558=7,1,(IF(WEEKDAY(B2558)=1,2,IF(WEEKDAY(B2558)=7,1,0))))))</f>
        <v>2</v>
      </c>
      <c r="V2558" s="328">
        <f>VLOOKUP(C2558,METADATA!$A$5:$H$29,IF(E2558="HI",2,IF(E2558="LO",6,10))+IF(T2558=1,2,IF(D2558=7,1,(IF(WEEKDAY(B2558)=1,2,IF(WEEKDAY(B2558)=7,1,0))))))</f>
        <v>2</v>
      </c>
    </row>
    <row r="2559" spans="2:22">
      <c r="B2559" s="318">
        <f t="shared" si="159"/>
        <v>46219</v>
      </c>
      <c r="C2559" s="312">
        <v>11</v>
      </c>
      <c r="D2559" s="368">
        <f>IFERROR((INDEX(METADATA!$T$2:$T$20,MATCH(B2559,METADATA!$S$2:$S$20,0))),0)</f>
        <v>0</v>
      </c>
      <c r="E2559" s="312" t="str">
        <f t="shared" si="156"/>
        <v>LO</v>
      </c>
      <c r="F2559" s="369">
        <f>VLOOKUP(C2559,METADATA!$A$5:$H$29,IF(E2559="HI",2,IF(E2559="LO",6,10))+IF(D2559=1,2,IF(D2559=7,1,(IF(WEEKDAY(B2559)=1,2,IF(WEEKDAY(B2559)=7,1,0))))))</f>
        <v>2</v>
      </c>
      <c r="G2559" s="369">
        <f>VLOOKUP(C2559,METADATA!$J$5:$Q$29,IF(E2559="HI",2,IF(E2559="LO",6,10))+IF(D2559=1,2,IF(D2559=7,1,(IF(WEEKDAY(B2559)=1,2,IF(WEEKDAY(B2559)=7,1,0))))))</f>
        <v>2</v>
      </c>
      <c r="H2559" s="370">
        <v>14048.874328613281</v>
      </c>
      <c r="I2559" s="370">
        <v>4630.1849975585938</v>
      </c>
      <c r="M2559" s="371">
        <f t="shared" si="157"/>
        <v>14792.210213919552</v>
      </c>
      <c r="N2559" s="329">
        <f t="shared" si="158"/>
        <v>415.52269897460974</v>
      </c>
      <c r="T2559" s="331">
        <v>0</v>
      </c>
      <c r="U2559" s="328">
        <f>VLOOKUP(C2559,METADATA!$J$5:$Q$29,IF(E2559="HI",2,IF(E2559="LO",6,10))+IF(T2559=1,2,IF(D2559=7,1,(IF(WEEKDAY(B2559)=1,2,IF(WEEKDAY(B2559)=7,1,0))))))</f>
        <v>2</v>
      </c>
      <c r="V2559" s="328">
        <f>VLOOKUP(C2559,METADATA!$A$5:$H$29,IF(E2559="HI",2,IF(E2559="LO",6,10))+IF(T2559=1,2,IF(D2559=7,1,(IF(WEEKDAY(B2559)=1,2,IF(WEEKDAY(B2559)=7,1,0))))))</f>
        <v>2</v>
      </c>
    </row>
    <row r="2560" spans="2:22">
      <c r="B2560" s="318">
        <f t="shared" si="159"/>
        <v>46219</v>
      </c>
      <c r="C2560" s="312">
        <v>12</v>
      </c>
      <c r="D2560" s="368">
        <f>IFERROR((INDEX(METADATA!$T$2:$T$20,MATCH(B2560,METADATA!$S$2:$S$20,0))),0)</f>
        <v>0</v>
      </c>
      <c r="E2560" s="312" t="str">
        <f t="shared" si="156"/>
        <v>LO</v>
      </c>
      <c r="F2560" s="369">
        <f>VLOOKUP(C2560,METADATA!$A$5:$H$29,IF(E2560="HI",2,IF(E2560="LO",6,10))+IF(D2560=1,2,IF(D2560=7,1,(IF(WEEKDAY(B2560)=1,2,IF(WEEKDAY(B2560)=7,1,0))))))</f>
        <v>2</v>
      </c>
      <c r="G2560" s="369">
        <f>VLOOKUP(C2560,METADATA!$J$5:$Q$29,IF(E2560="HI",2,IF(E2560="LO",6,10))+IF(D2560=1,2,IF(D2560=7,1,(IF(WEEKDAY(B2560)=1,2,IF(WEEKDAY(B2560)=7,1,0))))))</f>
        <v>2</v>
      </c>
      <c r="H2560" s="370">
        <v>13917.549682617188</v>
      </c>
      <c r="I2560" s="370">
        <v>4559.6401062011719</v>
      </c>
      <c r="M2560" s="371">
        <f t="shared" si="157"/>
        <v>14645.426148330269</v>
      </c>
      <c r="N2560" s="329">
        <f t="shared" si="158"/>
        <v>384.37520141601544</v>
      </c>
      <c r="T2560" s="331">
        <v>0</v>
      </c>
      <c r="U2560" s="328">
        <f>VLOOKUP(C2560,METADATA!$J$5:$Q$29,IF(E2560="HI",2,IF(E2560="LO",6,10))+IF(T2560=1,2,IF(D2560=7,1,(IF(WEEKDAY(B2560)=1,2,IF(WEEKDAY(B2560)=7,1,0))))))</f>
        <v>2</v>
      </c>
      <c r="V2560" s="328">
        <f>VLOOKUP(C2560,METADATA!$A$5:$H$29,IF(E2560="HI",2,IF(E2560="LO",6,10))+IF(T2560=1,2,IF(D2560=7,1,(IF(WEEKDAY(B2560)=1,2,IF(WEEKDAY(B2560)=7,1,0))))))</f>
        <v>2</v>
      </c>
    </row>
    <row r="2561" spans="2:22">
      <c r="B2561" s="318">
        <f t="shared" si="159"/>
        <v>46219</v>
      </c>
      <c r="C2561" s="312">
        <v>13</v>
      </c>
      <c r="D2561" s="368">
        <f>IFERROR((INDEX(METADATA!$T$2:$T$20,MATCH(B2561,METADATA!$S$2:$S$20,0))),0)</f>
        <v>0</v>
      </c>
      <c r="E2561" s="312" t="str">
        <f t="shared" si="156"/>
        <v>LO</v>
      </c>
      <c r="F2561" s="369">
        <f>VLOOKUP(C2561,METADATA!$A$5:$H$29,IF(E2561="HI",2,IF(E2561="LO",6,10))+IF(D2561=1,2,IF(D2561=7,1,(IF(WEEKDAY(B2561)=1,2,IF(WEEKDAY(B2561)=7,1,0))))))</f>
        <v>2</v>
      </c>
      <c r="G2561" s="369">
        <f>VLOOKUP(C2561,METADATA!$J$5:$Q$29,IF(E2561="HI",2,IF(E2561="LO",6,10))+IF(D2561=1,2,IF(D2561=7,1,(IF(WEEKDAY(B2561)=1,2,IF(WEEKDAY(B2561)=7,1,0))))))</f>
        <v>2</v>
      </c>
      <c r="H2561" s="370">
        <v>13810.19970703125</v>
      </c>
      <c r="I2561" s="370">
        <v>4594.4250793457031</v>
      </c>
      <c r="M2561" s="371">
        <f t="shared" si="157"/>
        <v>14554.393074182337</v>
      </c>
      <c r="N2561" s="329">
        <f t="shared" si="158"/>
        <v>451.36516723632849</v>
      </c>
      <c r="T2561" s="331">
        <v>0</v>
      </c>
      <c r="U2561" s="328">
        <f>VLOOKUP(C2561,METADATA!$J$5:$Q$29,IF(E2561="HI",2,IF(E2561="LO",6,10))+IF(T2561=1,2,IF(D2561=7,1,(IF(WEEKDAY(B2561)=1,2,IF(WEEKDAY(B2561)=7,1,0))))))</f>
        <v>2</v>
      </c>
      <c r="V2561" s="328">
        <f>VLOOKUP(C2561,METADATA!$A$5:$H$29,IF(E2561="HI",2,IF(E2561="LO",6,10))+IF(T2561=1,2,IF(D2561=7,1,(IF(WEEKDAY(B2561)=1,2,IF(WEEKDAY(B2561)=7,1,0))))))</f>
        <v>2</v>
      </c>
    </row>
    <row r="2562" spans="2:22">
      <c r="B2562" s="318">
        <f t="shared" si="159"/>
        <v>46219</v>
      </c>
      <c r="C2562" s="312">
        <v>14</v>
      </c>
      <c r="D2562" s="368">
        <f>IFERROR((INDEX(METADATA!$T$2:$T$20,MATCH(B2562,METADATA!$S$2:$S$20,0))),0)</f>
        <v>0</v>
      </c>
      <c r="E2562" s="312" t="str">
        <f t="shared" si="156"/>
        <v>LO</v>
      </c>
      <c r="F2562" s="369">
        <f>VLOOKUP(C2562,METADATA!$A$5:$H$29,IF(E2562="HI",2,IF(E2562="LO",6,10))+IF(D2562=1,2,IF(D2562=7,1,(IF(WEEKDAY(B2562)=1,2,IF(WEEKDAY(B2562)=7,1,0))))))</f>
        <v>2</v>
      </c>
      <c r="G2562" s="369">
        <f>VLOOKUP(C2562,METADATA!$J$5:$Q$29,IF(E2562="HI",2,IF(E2562="LO",6,10))+IF(D2562=1,2,IF(D2562=7,1,(IF(WEEKDAY(B2562)=1,2,IF(WEEKDAY(B2562)=7,1,0))))))</f>
        <v>2</v>
      </c>
      <c r="H2562" s="370">
        <v>14025.775024414063</v>
      </c>
      <c r="I2562" s="370">
        <v>4694.5150146484375</v>
      </c>
      <c r="M2562" s="371">
        <f t="shared" si="157"/>
        <v>14790.565785602554</v>
      </c>
      <c r="N2562" s="329">
        <f t="shared" si="158"/>
        <v>486.7825073242193</v>
      </c>
      <c r="T2562" s="331">
        <v>0</v>
      </c>
      <c r="U2562" s="328">
        <f>VLOOKUP(C2562,METADATA!$J$5:$Q$29,IF(E2562="HI",2,IF(E2562="LO",6,10))+IF(T2562=1,2,IF(D2562=7,1,(IF(WEEKDAY(B2562)=1,2,IF(WEEKDAY(B2562)=7,1,0))))))</f>
        <v>2</v>
      </c>
      <c r="V2562" s="328">
        <f>VLOOKUP(C2562,METADATA!$A$5:$H$29,IF(E2562="HI",2,IF(E2562="LO",6,10))+IF(T2562=1,2,IF(D2562=7,1,(IF(WEEKDAY(B2562)=1,2,IF(WEEKDAY(B2562)=7,1,0))))))</f>
        <v>2</v>
      </c>
    </row>
    <row r="2563" spans="2:22">
      <c r="B2563" s="318">
        <f t="shared" si="159"/>
        <v>46219</v>
      </c>
      <c r="C2563" s="312">
        <v>15</v>
      </c>
      <c r="D2563" s="368">
        <f>IFERROR((INDEX(METADATA!$T$2:$T$20,MATCH(B2563,METADATA!$S$2:$S$20,0))),0)</f>
        <v>0</v>
      </c>
      <c r="E2563" s="312" t="str">
        <f t="shared" si="156"/>
        <v>LO</v>
      </c>
      <c r="F2563" s="369">
        <f>VLOOKUP(C2563,METADATA!$A$5:$H$29,IF(E2563="HI",2,IF(E2563="LO",6,10))+IF(D2563=1,2,IF(D2563=7,1,(IF(WEEKDAY(B2563)=1,2,IF(WEEKDAY(B2563)=7,1,0))))))</f>
        <v>2</v>
      </c>
      <c r="G2563" s="369">
        <f>VLOOKUP(C2563,METADATA!$J$5:$Q$29,IF(E2563="HI",2,IF(E2563="LO",6,10))+IF(D2563=1,2,IF(D2563=7,1,(IF(WEEKDAY(B2563)=1,2,IF(WEEKDAY(B2563)=7,1,0))))))</f>
        <v>2</v>
      </c>
      <c r="H2563" s="370">
        <v>14001.374694824219</v>
      </c>
      <c r="I2563" s="370">
        <v>4809.405029296875</v>
      </c>
      <c r="M2563" s="371">
        <f t="shared" si="157"/>
        <v>14804.353078763355</v>
      </c>
      <c r="N2563" s="329">
        <f t="shared" si="158"/>
        <v>608.99262084960992</v>
      </c>
      <c r="T2563" s="331">
        <v>0</v>
      </c>
      <c r="U2563" s="328">
        <f>VLOOKUP(C2563,METADATA!$J$5:$Q$29,IF(E2563="HI",2,IF(E2563="LO",6,10))+IF(T2563=1,2,IF(D2563=7,1,(IF(WEEKDAY(B2563)=1,2,IF(WEEKDAY(B2563)=7,1,0))))))</f>
        <v>2</v>
      </c>
      <c r="V2563" s="328">
        <f>VLOOKUP(C2563,METADATA!$A$5:$H$29,IF(E2563="HI",2,IF(E2563="LO",6,10))+IF(T2563=1,2,IF(D2563=7,1,(IF(WEEKDAY(B2563)=1,2,IF(WEEKDAY(B2563)=7,1,0))))))</f>
        <v>2</v>
      </c>
    </row>
    <row r="2564" spans="2:22">
      <c r="B2564" s="318">
        <f t="shared" si="159"/>
        <v>46219</v>
      </c>
      <c r="C2564" s="312">
        <v>16</v>
      </c>
      <c r="D2564" s="368">
        <f>IFERROR((INDEX(METADATA!$T$2:$T$20,MATCH(B2564,METADATA!$S$2:$S$20,0))),0)</f>
        <v>0</v>
      </c>
      <c r="E2564" s="312" t="str">
        <f t="shared" ref="E2564:E2627" si="160">IF(B2564="","",IF(AND(MONTH(B2564)&gt;=MONTH($Z$9),MONTH(B2564)&lt;=MONTH($Z$11)),"HI","LO"))</f>
        <v>LO</v>
      </c>
      <c r="F2564" s="369">
        <f>VLOOKUP(C2564,METADATA!$A$5:$H$29,IF(E2564="HI",2,IF(E2564="LO",6,10))+IF(D2564=1,2,IF(D2564=7,1,(IF(WEEKDAY(B2564)=1,2,IF(WEEKDAY(B2564)=7,1,0))))))</f>
        <v>2</v>
      </c>
      <c r="G2564" s="369">
        <f>VLOOKUP(C2564,METADATA!$J$5:$Q$29,IF(E2564="HI",2,IF(E2564="LO",6,10))+IF(D2564=1,2,IF(D2564=7,1,(IF(WEEKDAY(B2564)=1,2,IF(WEEKDAY(B2564)=7,1,0))))))</f>
        <v>2</v>
      </c>
      <c r="H2564" s="370">
        <v>13972.700073242188</v>
      </c>
      <c r="I2564" s="370">
        <v>4805.340087890625</v>
      </c>
      <c r="M2564" s="371">
        <f t="shared" ref="M2564:M2627" si="161">SQRT(H2564^2+I2564^2)</f>
        <v>14775.914208504017</v>
      </c>
      <c r="N2564" s="329">
        <f t="shared" ref="N2564:N2627" si="162">IF(H2564=0,0,(IF(I2564-(0.3*H2564)&lt;0,0,(I2564-(0.3*H2564)))))</f>
        <v>613.5300659179693</v>
      </c>
      <c r="T2564" s="331">
        <v>0</v>
      </c>
      <c r="U2564" s="328">
        <f>VLOOKUP(C2564,METADATA!$J$5:$Q$29,IF(E2564="HI",2,IF(E2564="LO",6,10))+IF(T2564=1,2,IF(D2564=7,1,(IF(WEEKDAY(B2564)=1,2,IF(WEEKDAY(B2564)=7,1,0))))))</f>
        <v>2</v>
      </c>
      <c r="V2564" s="328">
        <f>VLOOKUP(C2564,METADATA!$A$5:$H$29,IF(E2564="HI",2,IF(E2564="LO",6,10))+IF(T2564=1,2,IF(D2564=7,1,(IF(WEEKDAY(B2564)=1,2,IF(WEEKDAY(B2564)=7,1,0))))))</f>
        <v>2</v>
      </c>
    </row>
    <row r="2565" spans="2:22">
      <c r="B2565" s="318">
        <f t="shared" si="159"/>
        <v>46219</v>
      </c>
      <c r="C2565" s="312">
        <v>17</v>
      </c>
      <c r="D2565" s="368">
        <f>IFERROR((INDEX(METADATA!$T$2:$T$20,MATCH(B2565,METADATA!$S$2:$S$20,0))),0)</f>
        <v>0</v>
      </c>
      <c r="E2565" s="312" t="str">
        <f t="shared" si="160"/>
        <v>LO</v>
      </c>
      <c r="F2565" s="369">
        <f>VLOOKUP(C2565,METADATA!$A$5:$H$29,IF(E2565="HI",2,IF(E2565="LO",6,10))+IF(D2565=1,2,IF(D2565=7,1,(IF(WEEKDAY(B2565)=1,2,IF(WEEKDAY(B2565)=7,1,0))))))</f>
        <v>2</v>
      </c>
      <c r="G2565" s="369">
        <f>VLOOKUP(C2565,METADATA!$J$5:$Q$29,IF(E2565="HI",2,IF(E2565="LO",6,10))+IF(D2565=1,2,IF(D2565=7,1,(IF(WEEKDAY(B2565)=1,2,IF(WEEKDAY(B2565)=7,1,0))))))</f>
        <v>2</v>
      </c>
      <c r="H2565" s="370">
        <v>13964.125122070313</v>
      </c>
      <c r="I2565" s="370">
        <v>4665.8049011230469</v>
      </c>
      <c r="M2565" s="371">
        <f t="shared" si="161"/>
        <v>14722.993099236957</v>
      </c>
      <c r="N2565" s="329">
        <f t="shared" si="162"/>
        <v>476.56736450195331</v>
      </c>
      <c r="T2565" s="331">
        <v>0</v>
      </c>
      <c r="U2565" s="328">
        <f>VLOOKUP(C2565,METADATA!$J$5:$Q$29,IF(E2565="HI",2,IF(E2565="LO",6,10))+IF(T2565=1,2,IF(D2565=7,1,(IF(WEEKDAY(B2565)=1,2,IF(WEEKDAY(B2565)=7,1,0))))))</f>
        <v>2</v>
      </c>
      <c r="V2565" s="328">
        <f>VLOOKUP(C2565,METADATA!$A$5:$H$29,IF(E2565="HI",2,IF(E2565="LO",6,10))+IF(T2565=1,2,IF(D2565=7,1,(IF(WEEKDAY(B2565)=1,2,IF(WEEKDAY(B2565)=7,1,0))))))</f>
        <v>2</v>
      </c>
    </row>
    <row r="2566" spans="2:22">
      <c r="B2566" s="318">
        <f t="shared" si="159"/>
        <v>46219</v>
      </c>
      <c r="C2566" s="312">
        <v>18</v>
      </c>
      <c r="D2566" s="368">
        <f>IFERROR((INDEX(METADATA!$T$2:$T$20,MATCH(B2566,METADATA!$S$2:$S$20,0))),0)</f>
        <v>0</v>
      </c>
      <c r="E2566" s="312" t="str">
        <f t="shared" si="160"/>
        <v>LO</v>
      </c>
      <c r="F2566" s="369">
        <f>VLOOKUP(C2566,METADATA!$A$5:$H$29,IF(E2566="HI",2,IF(E2566="LO",6,10))+IF(D2566=1,2,IF(D2566=7,1,(IF(WEEKDAY(B2566)=1,2,IF(WEEKDAY(B2566)=7,1,0))))))</f>
        <v>1</v>
      </c>
      <c r="G2566" s="369">
        <f>VLOOKUP(C2566,METADATA!$J$5:$Q$29,IF(E2566="HI",2,IF(E2566="LO",6,10))+IF(D2566=1,2,IF(D2566=7,1,(IF(WEEKDAY(B2566)=1,2,IF(WEEKDAY(B2566)=7,1,0))))))</f>
        <v>1</v>
      </c>
      <c r="H2566" s="370">
        <v>13884.275085449219</v>
      </c>
      <c r="I2566" s="370">
        <v>4544.5999450683594</v>
      </c>
      <c r="M2566" s="371">
        <f t="shared" si="161"/>
        <v>14609.123290230022</v>
      </c>
      <c r="N2566" s="329">
        <f t="shared" si="162"/>
        <v>379.3174194335943</v>
      </c>
      <c r="T2566" s="331">
        <v>0</v>
      </c>
      <c r="U2566" s="328">
        <f>VLOOKUP(C2566,METADATA!$J$5:$Q$29,IF(E2566="HI",2,IF(E2566="LO",6,10))+IF(T2566=1,2,IF(D2566=7,1,(IF(WEEKDAY(B2566)=1,2,IF(WEEKDAY(B2566)=7,1,0))))))</f>
        <v>1</v>
      </c>
      <c r="V2566" s="328">
        <f>VLOOKUP(C2566,METADATA!$A$5:$H$29,IF(E2566="HI",2,IF(E2566="LO",6,10))+IF(T2566=1,2,IF(D2566=7,1,(IF(WEEKDAY(B2566)=1,2,IF(WEEKDAY(B2566)=7,1,0))))))</f>
        <v>1</v>
      </c>
    </row>
    <row r="2567" spans="2:22">
      <c r="B2567" s="318">
        <f t="shared" si="159"/>
        <v>46219</v>
      </c>
      <c r="C2567" s="312">
        <v>19</v>
      </c>
      <c r="D2567" s="368">
        <f>IFERROR((INDEX(METADATA!$T$2:$T$20,MATCH(B2567,METADATA!$S$2:$S$20,0))),0)</f>
        <v>0</v>
      </c>
      <c r="E2567" s="312" t="str">
        <f t="shared" si="160"/>
        <v>LO</v>
      </c>
      <c r="F2567" s="369">
        <f>VLOOKUP(C2567,METADATA!$A$5:$H$29,IF(E2567="HI",2,IF(E2567="LO",6,10))+IF(D2567=1,2,IF(D2567=7,1,(IF(WEEKDAY(B2567)=1,2,IF(WEEKDAY(B2567)=7,1,0))))))</f>
        <v>1</v>
      </c>
      <c r="G2567" s="369">
        <f>VLOOKUP(C2567,METADATA!$J$5:$Q$29,IF(E2567="HI",2,IF(E2567="LO",6,10))+IF(D2567=1,2,IF(D2567=7,1,(IF(WEEKDAY(B2567)=1,2,IF(WEEKDAY(B2567)=7,1,0))))))</f>
        <v>1</v>
      </c>
      <c r="H2567" s="370">
        <v>13896.949584960938</v>
      </c>
      <c r="I2567" s="370">
        <v>4615.2300720214844</v>
      </c>
      <c r="M2567" s="371">
        <f t="shared" si="161"/>
        <v>14643.27683220656</v>
      </c>
      <c r="N2567" s="329">
        <f t="shared" si="162"/>
        <v>446.14519653320349</v>
      </c>
      <c r="T2567" s="331">
        <v>0</v>
      </c>
      <c r="U2567" s="328">
        <f>VLOOKUP(C2567,METADATA!$J$5:$Q$29,IF(E2567="HI",2,IF(E2567="LO",6,10))+IF(T2567=1,2,IF(D2567=7,1,(IF(WEEKDAY(B2567)=1,2,IF(WEEKDAY(B2567)=7,1,0))))))</f>
        <v>1</v>
      </c>
      <c r="V2567" s="328">
        <f>VLOOKUP(C2567,METADATA!$A$5:$H$29,IF(E2567="HI",2,IF(E2567="LO",6,10))+IF(T2567=1,2,IF(D2567=7,1,(IF(WEEKDAY(B2567)=1,2,IF(WEEKDAY(B2567)=7,1,0))))))</f>
        <v>1</v>
      </c>
    </row>
    <row r="2568" spans="2:22">
      <c r="B2568" s="318">
        <f t="shared" si="159"/>
        <v>46219</v>
      </c>
      <c r="C2568" s="312">
        <v>20</v>
      </c>
      <c r="D2568" s="368">
        <f>IFERROR((INDEX(METADATA!$T$2:$T$20,MATCH(B2568,METADATA!$S$2:$S$20,0))),0)</f>
        <v>0</v>
      </c>
      <c r="E2568" s="312" t="str">
        <f t="shared" si="160"/>
        <v>LO</v>
      </c>
      <c r="F2568" s="369">
        <f>VLOOKUP(C2568,METADATA!$A$5:$H$29,IF(E2568="HI",2,IF(E2568="LO",6,10))+IF(D2568=1,2,IF(D2568=7,1,(IF(WEEKDAY(B2568)=1,2,IF(WEEKDAY(B2568)=7,1,0))))))</f>
        <v>1</v>
      </c>
      <c r="G2568" s="369">
        <f>VLOOKUP(C2568,METADATA!$J$5:$Q$29,IF(E2568="HI",2,IF(E2568="LO",6,10))+IF(D2568=1,2,IF(D2568=7,1,(IF(WEEKDAY(B2568)=1,2,IF(WEEKDAY(B2568)=7,1,0))))))</f>
        <v>1</v>
      </c>
      <c r="H2568" s="370">
        <v>14046.849853515625</v>
      </c>
      <c r="I2568" s="370">
        <v>4833.3200378417969</v>
      </c>
      <c r="M2568" s="371">
        <f t="shared" si="161"/>
        <v>14855.132897265341</v>
      </c>
      <c r="N2568" s="329">
        <f t="shared" si="162"/>
        <v>619.26508178710992</v>
      </c>
      <c r="T2568" s="331">
        <v>0</v>
      </c>
      <c r="U2568" s="328">
        <f>VLOOKUP(C2568,METADATA!$J$5:$Q$29,IF(E2568="HI",2,IF(E2568="LO",6,10))+IF(T2568=1,2,IF(D2568=7,1,(IF(WEEKDAY(B2568)=1,2,IF(WEEKDAY(B2568)=7,1,0))))))</f>
        <v>1</v>
      </c>
      <c r="V2568" s="328">
        <f>VLOOKUP(C2568,METADATA!$A$5:$H$29,IF(E2568="HI",2,IF(E2568="LO",6,10))+IF(T2568=1,2,IF(D2568=7,1,(IF(WEEKDAY(B2568)=1,2,IF(WEEKDAY(B2568)=7,1,0))))))</f>
        <v>1</v>
      </c>
    </row>
    <row r="2569" spans="2:22">
      <c r="B2569" s="318">
        <f t="shared" si="159"/>
        <v>46219</v>
      </c>
      <c r="C2569" s="312">
        <v>21</v>
      </c>
      <c r="D2569" s="368">
        <f>IFERROR((INDEX(METADATA!$T$2:$T$20,MATCH(B2569,METADATA!$S$2:$S$20,0))),0)</f>
        <v>0</v>
      </c>
      <c r="E2569" s="312" t="str">
        <f t="shared" si="160"/>
        <v>LO</v>
      </c>
      <c r="F2569" s="369">
        <f>VLOOKUP(C2569,METADATA!$A$5:$H$29,IF(E2569="HI",2,IF(E2569="LO",6,10))+IF(D2569=1,2,IF(D2569=7,1,(IF(WEEKDAY(B2569)=1,2,IF(WEEKDAY(B2569)=7,1,0))))))</f>
        <v>2</v>
      </c>
      <c r="G2569" s="369">
        <f>VLOOKUP(C2569,METADATA!$J$5:$Q$29,IF(E2569="HI",2,IF(E2569="LO",6,10))+IF(D2569=1,2,IF(D2569=7,1,(IF(WEEKDAY(B2569)=1,2,IF(WEEKDAY(B2569)=7,1,0))))))</f>
        <v>2</v>
      </c>
      <c r="H2569" s="370">
        <v>13929.175170898438</v>
      </c>
      <c r="I2569" s="370">
        <v>4833.8049926757813</v>
      </c>
      <c r="M2569" s="371">
        <f t="shared" si="161"/>
        <v>14744.069711202223</v>
      </c>
      <c r="N2569" s="329">
        <f t="shared" si="162"/>
        <v>655.05244140625018</v>
      </c>
      <c r="T2569" s="331">
        <v>0</v>
      </c>
      <c r="U2569" s="328">
        <f>VLOOKUP(C2569,METADATA!$J$5:$Q$29,IF(E2569="HI",2,IF(E2569="LO",6,10))+IF(T2569=1,2,IF(D2569=7,1,(IF(WEEKDAY(B2569)=1,2,IF(WEEKDAY(B2569)=7,1,0))))))</f>
        <v>2</v>
      </c>
      <c r="V2569" s="328">
        <f>VLOOKUP(C2569,METADATA!$A$5:$H$29,IF(E2569="HI",2,IF(E2569="LO",6,10))+IF(T2569=1,2,IF(D2569=7,1,(IF(WEEKDAY(B2569)=1,2,IF(WEEKDAY(B2569)=7,1,0))))))</f>
        <v>2</v>
      </c>
    </row>
    <row r="2570" spans="2:22">
      <c r="B2570" s="318">
        <f t="shared" si="159"/>
        <v>46219</v>
      </c>
      <c r="C2570" s="312">
        <v>22</v>
      </c>
      <c r="D2570" s="368">
        <f>IFERROR((INDEX(METADATA!$T$2:$T$20,MATCH(B2570,METADATA!$S$2:$S$20,0))),0)</f>
        <v>0</v>
      </c>
      <c r="E2570" s="312" t="str">
        <f t="shared" si="160"/>
        <v>LO</v>
      </c>
      <c r="F2570" s="369">
        <f>VLOOKUP(C2570,METADATA!$A$5:$H$29,IF(E2570="HI",2,IF(E2570="LO",6,10))+IF(D2570=1,2,IF(D2570=7,1,(IF(WEEKDAY(B2570)=1,2,IF(WEEKDAY(B2570)=7,1,0))))))</f>
        <v>3</v>
      </c>
      <c r="G2570" s="369">
        <f>VLOOKUP(C2570,METADATA!$J$5:$Q$29,IF(E2570="HI",2,IF(E2570="LO",6,10))+IF(D2570=1,2,IF(D2570=7,1,(IF(WEEKDAY(B2570)=1,2,IF(WEEKDAY(B2570)=7,1,0))))))</f>
        <v>3</v>
      </c>
      <c r="H2570" s="370">
        <v>13907.225280761719</v>
      </c>
      <c r="I2570" s="370">
        <v>4678.385009765625</v>
      </c>
      <c r="M2570" s="371">
        <f t="shared" si="161"/>
        <v>14673.043355400323</v>
      </c>
      <c r="N2570" s="329">
        <f t="shared" si="162"/>
        <v>506.21742553710919</v>
      </c>
      <c r="T2570" s="331">
        <v>0</v>
      </c>
      <c r="U2570" s="328">
        <f>VLOOKUP(C2570,METADATA!$J$5:$Q$29,IF(E2570="HI",2,IF(E2570="LO",6,10))+IF(T2570=1,2,IF(D2570=7,1,(IF(WEEKDAY(B2570)=1,2,IF(WEEKDAY(B2570)=7,1,0))))))</f>
        <v>3</v>
      </c>
      <c r="V2570" s="328">
        <f>VLOOKUP(C2570,METADATA!$A$5:$H$29,IF(E2570="HI",2,IF(E2570="LO",6,10))+IF(T2570=1,2,IF(D2570=7,1,(IF(WEEKDAY(B2570)=1,2,IF(WEEKDAY(B2570)=7,1,0))))))</f>
        <v>3</v>
      </c>
    </row>
    <row r="2571" spans="2:22">
      <c r="B2571" s="318">
        <f t="shared" si="159"/>
        <v>46219</v>
      </c>
      <c r="C2571" s="312">
        <v>23</v>
      </c>
      <c r="D2571" s="368">
        <f>IFERROR((INDEX(METADATA!$T$2:$T$20,MATCH(B2571,METADATA!$S$2:$S$20,0))),0)</f>
        <v>0</v>
      </c>
      <c r="E2571" s="312" t="str">
        <f t="shared" si="160"/>
        <v>LO</v>
      </c>
      <c r="F2571" s="369">
        <f>VLOOKUP(C2571,METADATA!$A$5:$H$29,IF(E2571="HI",2,IF(E2571="LO",6,10))+IF(D2571=1,2,IF(D2571=7,1,(IF(WEEKDAY(B2571)=1,2,IF(WEEKDAY(B2571)=7,1,0))))))</f>
        <v>3</v>
      </c>
      <c r="G2571" s="369">
        <f>VLOOKUP(C2571,METADATA!$J$5:$Q$29,IF(E2571="HI",2,IF(E2571="LO",6,10))+IF(D2571=1,2,IF(D2571=7,1,(IF(WEEKDAY(B2571)=1,2,IF(WEEKDAY(B2571)=7,1,0))))))</f>
        <v>3</v>
      </c>
      <c r="H2571" s="370">
        <v>13880.275146484375</v>
      </c>
      <c r="I2571" s="370">
        <v>4675.4199829101563</v>
      </c>
      <c r="M2571" s="371">
        <f t="shared" si="161"/>
        <v>14646.555573195612</v>
      </c>
      <c r="N2571" s="329">
        <f t="shared" si="162"/>
        <v>511.3374389648443</v>
      </c>
      <c r="T2571" s="331">
        <v>0</v>
      </c>
      <c r="U2571" s="328">
        <f>VLOOKUP(C2571,METADATA!$J$5:$Q$29,IF(E2571="HI",2,IF(E2571="LO",6,10))+IF(T2571=1,2,IF(D2571=7,1,(IF(WEEKDAY(B2571)=1,2,IF(WEEKDAY(B2571)=7,1,0))))))</f>
        <v>3</v>
      </c>
      <c r="V2571" s="328">
        <f>VLOOKUP(C2571,METADATA!$A$5:$H$29,IF(E2571="HI",2,IF(E2571="LO",6,10))+IF(T2571=1,2,IF(D2571=7,1,(IF(WEEKDAY(B2571)=1,2,IF(WEEKDAY(B2571)=7,1,0))))))</f>
        <v>3</v>
      </c>
    </row>
    <row r="2572" spans="2:22">
      <c r="B2572" s="318">
        <f t="shared" si="159"/>
        <v>46220</v>
      </c>
      <c r="C2572" s="312">
        <v>0</v>
      </c>
      <c r="D2572" s="368">
        <f>IFERROR((INDEX(METADATA!$T$2:$T$20,MATCH(B2572,METADATA!$S$2:$S$20,0))),0)</f>
        <v>0</v>
      </c>
      <c r="E2572" s="312" t="str">
        <f t="shared" si="160"/>
        <v>LO</v>
      </c>
      <c r="F2572" s="369">
        <f>VLOOKUP(C2572,METADATA!$A$5:$H$29,IF(E2572="HI",2,IF(E2572="LO",6,10))+IF(D2572=1,2,IF(D2572=7,1,(IF(WEEKDAY(B2572)=1,2,IF(WEEKDAY(B2572)=7,1,0))))))</f>
        <v>3</v>
      </c>
      <c r="G2572" s="369">
        <f>VLOOKUP(C2572,METADATA!$J$5:$Q$29,IF(E2572="HI",2,IF(E2572="LO",6,10))+IF(D2572=1,2,IF(D2572=7,1,(IF(WEEKDAY(B2572)=1,2,IF(WEEKDAY(B2572)=7,1,0))))))</f>
        <v>3</v>
      </c>
      <c r="H2572" s="370">
        <v>12216.150146484375</v>
      </c>
      <c r="I2572" s="370">
        <v>3841.0374755859375</v>
      </c>
      <c r="M2572" s="371">
        <f t="shared" si="161"/>
        <v>12805.7757785425</v>
      </c>
      <c r="N2572" s="329">
        <f t="shared" si="162"/>
        <v>176.19243164062527</v>
      </c>
      <c r="T2572" s="331">
        <v>0</v>
      </c>
      <c r="U2572" s="328">
        <f>VLOOKUP(C2572,METADATA!$J$5:$Q$29,IF(E2572="HI",2,IF(E2572="LO",6,10))+IF(T2572=1,2,IF(D2572=7,1,(IF(WEEKDAY(B2572)=1,2,IF(WEEKDAY(B2572)=7,1,0))))))</f>
        <v>3</v>
      </c>
      <c r="V2572" s="328">
        <f>VLOOKUP(C2572,METADATA!$A$5:$H$29,IF(E2572="HI",2,IF(E2572="LO",6,10))+IF(T2572=1,2,IF(D2572=7,1,(IF(WEEKDAY(B2572)=1,2,IF(WEEKDAY(B2572)=7,1,0))))))</f>
        <v>3</v>
      </c>
    </row>
    <row r="2573" spans="2:22">
      <c r="B2573" s="318">
        <f t="shared" si="159"/>
        <v>46220</v>
      </c>
      <c r="C2573" s="312">
        <v>1</v>
      </c>
      <c r="D2573" s="368">
        <f>IFERROR((INDEX(METADATA!$T$2:$T$20,MATCH(B2573,METADATA!$S$2:$S$20,0))),0)</f>
        <v>0</v>
      </c>
      <c r="E2573" s="312" t="str">
        <f t="shared" si="160"/>
        <v>LO</v>
      </c>
      <c r="F2573" s="369">
        <f>VLOOKUP(C2573,METADATA!$A$5:$H$29,IF(E2573="HI",2,IF(E2573="LO",6,10))+IF(D2573=1,2,IF(D2573=7,1,(IF(WEEKDAY(B2573)=1,2,IF(WEEKDAY(B2573)=7,1,0))))))</f>
        <v>3</v>
      </c>
      <c r="G2573" s="369">
        <f>VLOOKUP(C2573,METADATA!$J$5:$Q$29,IF(E2573="HI",2,IF(E2573="LO",6,10))+IF(D2573=1,2,IF(D2573=7,1,(IF(WEEKDAY(B2573)=1,2,IF(WEEKDAY(B2573)=7,1,0))))))</f>
        <v>3</v>
      </c>
      <c r="H2573" s="370">
        <v>12012.849670410156</v>
      </c>
      <c r="I2573" s="370">
        <v>3560.3025207519531</v>
      </c>
      <c r="M2573" s="371">
        <f t="shared" si="161"/>
        <v>12529.338020946921</v>
      </c>
      <c r="N2573" s="329">
        <f t="shared" si="162"/>
        <v>0</v>
      </c>
      <c r="T2573" s="331">
        <v>0</v>
      </c>
      <c r="U2573" s="328">
        <f>VLOOKUP(C2573,METADATA!$J$5:$Q$29,IF(E2573="HI",2,IF(E2573="LO",6,10))+IF(T2573=1,2,IF(D2573=7,1,(IF(WEEKDAY(B2573)=1,2,IF(WEEKDAY(B2573)=7,1,0))))))</f>
        <v>3</v>
      </c>
      <c r="V2573" s="328">
        <f>VLOOKUP(C2573,METADATA!$A$5:$H$29,IF(E2573="HI",2,IF(E2573="LO",6,10))+IF(T2573=1,2,IF(D2573=7,1,(IF(WEEKDAY(B2573)=1,2,IF(WEEKDAY(B2573)=7,1,0))))))</f>
        <v>3</v>
      </c>
    </row>
    <row r="2574" spans="2:22">
      <c r="B2574" s="318">
        <f t="shared" si="159"/>
        <v>46220</v>
      </c>
      <c r="C2574" s="312">
        <v>2</v>
      </c>
      <c r="D2574" s="368">
        <f>IFERROR((INDEX(METADATA!$T$2:$T$20,MATCH(B2574,METADATA!$S$2:$S$20,0))),0)</f>
        <v>0</v>
      </c>
      <c r="E2574" s="312" t="str">
        <f t="shared" si="160"/>
        <v>LO</v>
      </c>
      <c r="F2574" s="369">
        <f>VLOOKUP(C2574,METADATA!$A$5:$H$29,IF(E2574="HI",2,IF(E2574="LO",6,10))+IF(D2574=1,2,IF(D2574=7,1,(IF(WEEKDAY(B2574)=1,2,IF(WEEKDAY(B2574)=7,1,0))))))</f>
        <v>3</v>
      </c>
      <c r="G2574" s="369">
        <f>VLOOKUP(C2574,METADATA!$J$5:$Q$29,IF(E2574="HI",2,IF(E2574="LO",6,10))+IF(D2574=1,2,IF(D2574=7,1,(IF(WEEKDAY(B2574)=1,2,IF(WEEKDAY(B2574)=7,1,0))))))</f>
        <v>3</v>
      </c>
      <c r="H2574" s="370">
        <v>12064.825012207031</v>
      </c>
      <c r="I2574" s="370">
        <v>3633.0250854492188</v>
      </c>
      <c r="M2574" s="371">
        <f t="shared" si="161"/>
        <v>12599.95531129693</v>
      </c>
      <c r="N2574" s="329">
        <f t="shared" si="162"/>
        <v>13.577581787109466</v>
      </c>
      <c r="T2574" s="331">
        <v>0</v>
      </c>
      <c r="U2574" s="328">
        <f>VLOOKUP(C2574,METADATA!$J$5:$Q$29,IF(E2574="HI",2,IF(E2574="LO",6,10))+IF(T2574=1,2,IF(D2574=7,1,(IF(WEEKDAY(B2574)=1,2,IF(WEEKDAY(B2574)=7,1,0))))))</f>
        <v>3</v>
      </c>
      <c r="V2574" s="328">
        <f>VLOOKUP(C2574,METADATA!$A$5:$H$29,IF(E2574="HI",2,IF(E2574="LO",6,10))+IF(T2574=1,2,IF(D2574=7,1,(IF(WEEKDAY(B2574)=1,2,IF(WEEKDAY(B2574)=7,1,0))))))</f>
        <v>3</v>
      </c>
    </row>
    <row r="2575" spans="2:22">
      <c r="B2575" s="318">
        <f t="shared" si="159"/>
        <v>46220</v>
      </c>
      <c r="C2575" s="312">
        <v>3</v>
      </c>
      <c r="D2575" s="368">
        <f>IFERROR((INDEX(METADATA!$T$2:$T$20,MATCH(B2575,METADATA!$S$2:$S$20,0))),0)</f>
        <v>0</v>
      </c>
      <c r="E2575" s="312" t="str">
        <f t="shared" si="160"/>
        <v>LO</v>
      </c>
      <c r="F2575" s="369">
        <f>VLOOKUP(C2575,METADATA!$A$5:$H$29,IF(E2575="HI",2,IF(E2575="LO",6,10))+IF(D2575=1,2,IF(D2575=7,1,(IF(WEEKDAY(B2575)=1,2,IF(WEEKDAY(B2575)=7,1,0))))))</f>
        <v>3</v>
      </c>
      <c r="G2575" s="369">
        <f>VLOOKUP(C2575,METADATA!$J$5:$Q$29,IF(E2575="HI",2,IF(E2575="LO",6,10))+IF(D2575=1,2,IF(D2575=7,1,(IF(WEEKDAY(B2575)=1,2,IF(WEEKDAY(B2575)=7,1,0))))))</f>
        <v>3</v>
      </c>
      <c r="H2575" s="370">
        <v>11968.699768066406</v>
      </c>
      <c r="I2575" s="370">
        <v>3607.1050109863281</v>
      </c>
      <c r="M2575" s="371">
        <f t="shared" si="161"/>
        <v>12500.439220219245</v>
      </c>
      <c r="N2575" s="329">
        <f t="shared" si="162"/>
        <v>16.495080566406159</v>
      </c>
      <c r="T2575" s="331">
        <v>0</v>
      </c>
      <c r="U2575" s="328">
        <f>VLOOKUP(C2575,METADATA!$J$5:$Q$29,IF(E2575="HI",2,IF(E2575="LO",6,10))+IF(T2575=1,2,IF(D2575=7,1,(IF(WEEKDAY(B2575)=1,2,IF(WEEKDAY(B2575)=7,1,0))))))</f>
        <v>3</v>
      </c>
      <c r="V2575" s="328">
        <f>VLOOKUP(C2575,METADATA!$A$5:$H$29,IF(E2575="HI",2,IF(E2575="LO",6,10))+IF(T2575=1,2,IF(D2575=7,1,(IF(WEEKDAY(B2575)=1,2,IF(WEEKDAY(B2575)=7,1,0))))))</f>
        <v>3</v>
      </c>
    </row>
    <row r="2576" spans="2:22">
      <c r="B2576" s="318">
        <f t="shared" si="159"/>
        <v>46220</v>
      </c>
      <c r="C2576" s="312">
        <v>4</v>
      </c>
      <c r="D2576" s="368">
        <f>IFERROR((INDEX(METADATA!$T$2:$T$20,MATCH(B2576,METADATA!$S$2:$S$20,0))),0)</f>
        <v>0</v>
      </c>
      <c r="E2576" s="312" t="str">
        <f t="shared" si="160"/>
        <v>LO</v>
      </c>
      <c r="F2576" s="369">
        <f>VLOOKUP(C2576,METADATA!$A$5:$H$29,IF(E2576="HI",2,IF(E2576="LO",6,10))+IF(D2576=1,2,IF(D2576=7,1,(IF(WEEKDAY(B2576)=1,2,IF(WEEKDAY(B2576)=7,1,0))))))</f>
        <v>3</v>
      </c>
      <c r="G2576" s="369">
        <f>VLOOKUP(C2576,METADATA!$J$5:$Q$29,IF(E2576="HI",2,IF(E2576="LO",6,10))+IF(D2576=1,2,IF(D2576=7,1,(IF(WEEKDAY(B2576)=1,2,IF(WEEKDAY(B2576)=7,1,0))))))</f>
        <v>3</v>
      </c>
      <c r="H2576" s="370">
        <v>11922.049865722656</v>
      </c>
      <c r="I2576" s="370">
        <v>3534.4750061035156</v>
      </c>
      <c r="M2576" s="371">
        <f t="shared" si="161"/>
        <v>12434.94216188994</v>
      </c>
      <c r="N2576" s="329">
        <f t="shared" si="162"/>
        <v>0</v>
      </c>
      <c r="T2576" s="331">
        <v>0</v>
      </c>
      <c r="U2576" s="328">
        <f>VLOOKUP(C2576,METADATA!$J$5:$Q$29,IF(E2576="HI",2,IF(E2576="LO",6,10))+IF(T2576=1,2,IF(D2576=7,1,(IF(WEEKDAY(B2576)=1,2,IF(WEEKDAY(B2576)=7,1,0))))))</f>
        <v>3</v>
      </c>
      <c r="V2576" s="328">
        <f>VLOOKUP(C2576,METADATA!$A$5:$H$29,IF(E2576="HI",2,IF(E2576="LO",6,10))+IF(T2576=1,2,IF(D2576=7,1,(IF(WEEKDAY(B2576)=1,2,IF(WEEKDAY(B2576)=7,1,0))))))</f>
        <v>3</v>
      </c>
    </row>
    <row r="2577" spans="2:22">
      <c r="B2577" s="318">
        <f t="shared" si="159"/>
        <v>46220</v>
      </c>
      <c r="C2577" s="312">
        <v>5</v>
      </c>
      <c r="D2577" s="368">
        <f>IFERROR((INDEX(METADATA!$T$2:$T$20,MATCH(B2577,METADATA!$S$2:$S$20,0))),0)</f>
        <v>0</v>
      </c>
      <c r="E2577" s="312" t="str">
        <f t="shared" si="160"/>
        <v>LO</v>
      </c>
      <c r="F2577" s="369">
        <f>VLOOKUP(C2577,METADATA!$A$5:$H$29,IF(E2577="HI",2,IF(E2577="LO",6,10))+IF(D2577=1,2,IF(D2577=7,1,(IF(WEEKDAY(B2577)=1,2,IF(WEEKDAY(B2577)=7,1,0))))))</f>
        <v>3</v>
      </c>
      <c r="G2577" s="369">
        <f>VLOOKUP(C2577,METADATA!$J$5:$Q$29,IF(E2577="HI",2,IF(E2577="LO",6,10))+IF(D2577=1,2,IF(D2577=7,1,(IF(WEEKDAY(B2577)=1,2,IF(WEEKDAY(B2577)=7,1,0))))))</f>
        <v>3</v>
      </c>
      <c r="H2577" s="370">
        <v>13790.124877929688</v>
      </c>
      <c r="I2577" s="370">
        <v>4494.4850463867188</v>
      </c>
      <c r="M2577" s="371">
        <f t="shared" si="161"/>
        <v>14504.066325727041</v>
      </c>
      <c r="N2577" s="329">
        <f t="shared" si="162"/>
        <v>357.44758300781268</v>
      </c>
      <c r="T2577" s="331">
        <v>0</v>
      </c>
      <c r="U2577" s="328">
        <f>VLOOKUP(C2577,METADATA!$J$5:$Q$29,IF(E2577="HI",2,IF(E2577="LO",6,10))+IF(T2577=1,2,IF(D2577=7,1,(IF(WEEKDAY(B2577)=1,2,IF(WEEKDAY(B2577)=7,1,0))))))</f>
        <v>3</v>
      </c>
      <c r="V2577" s="328">
        <f>VLOOKUP(C2577,METADATA!$A$5:$H$29,IF(E2577="HI",2,IF(E2577="LO",6,10))+IF(T2577=1,2,IF(D2577=7,1,(IF(WEEKDAY(B2577)=1,2,IF(WEEKDAY(B2577)=7,1,0))))))</f>
        <v>3</v>
      </c>
    </row>
    <row r="2578" spans="2:22">
      <c r="B2578" s="318">
        <f t="shared" si="159"/>
        <v>46220</v>
      </c>
      <c r="C2578" s="312">
        <v>6</v>
      </c>
      <c r="D2578" s="368">
        <f>IFERROR((INDEX(METADATA!$T$2:$T$20,MATCH(B2578,METADATA!$S$2:$S$20,0))),0)</f>
        <v>0</v>
      </c>
      <c r="E2578" s="312" t="str">
        <f t="shared" si="160"/>
        <v>LO</v>
      </c>
      <c r="F2578" s="369">
        <f>VLOOKUP(C2578,METADATA!$A$5:$H$29,IF(E2578="HI",2,IF(E2578="LO",6,10))+IF(D2578=1,2,IF(D2578=7,1,(IF(WEEKDAY(B2578)=1,2,IF(WEEKDAY(B2578)=7,1,0))))))</f>
        <v>2</v>
      </c>
      <c r="G2578" s="369">
        <f>VLOOKUP(C2578,METADATA!$J$5:$Q$29,IF(E2578="HI",2,IF(E2578="LO",6,10))+IF(D2578=1,2,IF(D2578=7,1,(IF(WEEKDAY(B2578)=1,2,IF(WEEKDAY(B2578)=7,1,0))))))</f>
        <v>2</v>
      </c>
      <c r="H2578" s="370">
        <v>13858.349853515625</v>
      </c>
      <c r="I2578" s="370">
        <v>4561.0099487304688</v>
      </c>
      <c r="M2578" s="371">
        <f t="shared" si="161"/>
        <v>14589.608370852689</v>
      </c>
      <c r="N2578" s="329">
        <f t="shared" si="162"/>
        <v>403.50499267578107</v>
      </c>
      <c r="T2578" s="331">
        <v>0</v>
      </c>
      <c r="U2578" s="328">
        <f>VLOOKUP(C2578,METADATA!$J$5:$Q$29,IF(E2578="HI",2,IF(E2578="LO",6,10))+IF(T2578=1,2,IF(D2578=7,1,(IF(WEEKDAY(B2578)=1,2,IF(WEEKDAY(B2578)=7,1,0))))))</f>
        <v>2</v>
      </c>
      <c r="V2578" s="328">
        <f>VLOOKUP(C2578,METADATA!$A$5:$H$29,IF(E2578="HI",2,IF(E2578="LO",6,10))+IF(T2578=1,2,IF(D2578=7,1,(IF(WEEKDAY(B2578)=1,2,IF(WEEKDAY(B2578)=7,1,0))))))</f>
        <v>2</v>
      </c>
    </row>
    <row r="2579" spans="2:22">
      <c r="B2579" s="318">
        <f t="shared" si="159"/>
        <v>46220</v>
      </c>
      <c r="C2579" s="312">
        <v>7</v>
      </c>
      <c r="D2579" s="368">
        <f>IFERROR((INDEX(METADATA!$T$2:$T$20,MATCH(B2579,METADATA!$S$2:$S$20,0))),0)</f>
        <v>0</v>
      </c>
      <c r="E2579" s="312" t="str">
        <f t="shared" si="160"/>
        <v>LO</v>
      </c>
      <c r="F2579" s="369">
        <f>VLOOKUP(C2579,METADATA!$A$5:$H$29,IF(E2579="HI",2,IF(E2579="LO",6,10))+IF(D2579=1,2,IF(D2579=7,1,(IF(WEEKDAY(B2579)=1,2,IF(WEEKDAY(B2579)=7,1,0))))))</f>
        <v>1</v>
      </c>
      <c r="G2579" s="369">
        <f>VLOOKUP(C2579,METADATA!$J$5:$Q$29,IF(E2579="HI",2,IF(E2579="LO",6,10))+IF(D2579=1,2,IF(D2579=7,1,(IF(WEEKDAY(B2579)=1,2,IF(WEEKDAY(B2579)=7,1,0))))))</f>
        <v>1</v>
      </c>
      <c r="H2579" s="370">
        <v>13787.000061035156</v>
      </c>
      <c r="I2579" s="370">
        <v>4438.6800537109375</v>
      </c>
      <c r="M2579" s="371">
        <f t="shared" si="161"/>
        <v>14483.896274904579</v>
      </c>
      <c r="N2579" s="329">
        <f t="shared" si="162"/>
        <v>302.58003540039044</v>
      </c>
      <c r="T2579" s="331">
        <v>0</v>
      </c>
      <c r="U2579" s="328">
        <f>VLOOKUP(C2579,METADATA!$J$5:$Q$29,IF(E2579="HI",2,IF(E2579="LO",6,10))+IF(T2579=1,2,IF(D2579=7,1,(IF(WEEKDAY(B2579)=1,2,IF(WEEKDAY(B2579)=7,1,0))))))</f>
        <v>1</v>
      </c>
      <c r="V2579" s="328">
        <f>VLOOKUP(C2579,METADATA!$A$5:$H$29,IF(E2579="HI",2,IF(E2579="LO",6,10))+IF(T2579=1,2,IF(D2579=7,1,(IF(WEEKDAY(B2579)=1,2,IF(WEEKDAY(B2579)=7,1,0))))))</f>
        <v>1</v>
      </c>
    </row>
    <row r="2580" spans="2:22">
      <c r="B2580" s="318">
        <f t="shared" si="159"/>
        <v>46220</v>
      </c>
      <c r="C2580" s="312">
        <v>8</v>
      </c>
      <c r="D2580" s="368">
        <f>IFERROR((INDEX(METADATA!$T$2:$T$20,MATCH(B2580,METADATA!$S$2:$S$20,0))),0)</f>
        <v>0</v>
      </c>
      <c r="E2580" s="312" t="str">
        <f t="shared" si="160"/>
        <v>LO</v>
      </c>
      <c r="F2580" s="369">
        <f>VLOOKUP(C2580,METADATA!$A$5:$H$29,IF(E2580="HI",2,IF(E2580="LO",6,10))+IF(D2580=1,2,IF(D2580=7,1,(IF(WEEKDAY(B2580)=1,2,IF(WEEKDAY(B2580)=7,1,0))))))</f>
        <v>1</v>
      </c>
      <c r="G2580" s="369">
        <f>VLOOKUP(C2580,METADATA!$J$5:$Q$29,IF(E2580="HI",2,IF(E2580="LO",6,10))+IF(D2580=1,2,IF(D2580=7,1,(IF(WEEKDAY(B2580)=1,2,IF(WEEKDAY(B2580)=7,1,0))))))</f>
        <v>1</v>
      </c>
      <c r="H2580" s="370">
        <v>13835.925048828125</v>
      </c>
      <c r="I2580" s="370">
        <v>4483.4449768066406</v>
      </c>
      <c r="M2580" s="371">
        <f t="shared" si="161"/>
        <v>14544.21193522847</v>
      </c>
      <c r="N2580" s="329">
        <f t="shared" si="162"/>
        <v>332.66746215820331</v>
      </c>
      <c r="T2580" s="331">
        <v>0</v>
      </c>
      <c r="U2580" s="328">
        <f>VLOOKUP(C2580,METADATA!$J$5:$Q$29,IF(E2580="HI",2,IF(E2580="LO",6,10))+IF(T2580=1,2,IF(D2580=7,1,(IF(WEEKDAY(B2580)=1,2,IF(WEEKDAY(B2580)=7,1,0))))))</f>
        <v>1</v>
      </c>
      <c r="V2580" s="328">
        <f>VLOOKUP(C2580,METADATA!$A$5:$H$29,IF(E2580="HI",2,IF(E2580="LO",6,10))+IF(T2580=1,2,IF(D2580=7,1,(IF(WEEKDAY(B2580)=1,2,IF(WEEKDAY(B2580)=7,1,0))))))</f>
        <v>1</v>
      </c>
    </row>
    <row r="2581" spans="2:22">
      <c r="B2581" s="318">
        <f t="shared" si="159"/>
        <v>46220</v>
      </c>
      <c r="C2581" s="312">
        <v>9</v>
      </c>
      <c r="D2581" s="368">
        <f>IFERROR((INDEX(METADATA!$T$2:$T$20,MATCH(B2581,METADATA!$S$2:$S$20,0))),0)</f>
        <v>0</v>
      </c>
      <c r="E2581" s="312" t="str">
        <f t="shared" si="160"/>
        <v>LO</v>
      </c>
      <c r="F2581" s="369">
        <f>VLOOKUP(C2581,METADATA!$A$5:$H$29,IF(E2581="HI",2,IF(E2581="LO",6,10))+IF(D2581=1,2,IF(D2581=7,1,(IF(WEEKDAY(B2581)=1,2,IF(WEEKDAY(B2581)=7,1,0))))))</f>
        <v>2</v>
      </c>
      <c r="G2581" s="369">
        <f>VLOOKUP(C2581,METADATA!$J$5:$Q$29,IF(E2581="HI",2,IF(E2581="LO",6,10))+IF(D2581=1,2,IF(D2581=7,1,(IF(WEEKDAY(B2581)=1,2,IF(WEEKDAY(B2581)=7,1,0))))))</f>
        <v>2</v>
      </c>
      <c r="H2581" s="370">
        <v>13762.699951171875</v>
      </c>
      <c r="I2581" s="370">
        <v>4413.2000732421875</v>
      </c>
      <c r="M2581" s="371">
        <f t="shared" si="161"/>
        <v>14452.96664468756</v>
      </c>
      <c r="N2581" s="329">
        <f t="shared" si="162"/>
        <v>284.39008789062518</v>
      </c>
      <c r="T2581" s="331">
        <v>0</v>
      </c>
      <c r="U2581" s="328">
        <f>VLOOKUP(C2581,METADATA!$J$5:$Q$29,IF(E2581="HI",2,IF(E2581="LO",6,10))+IF(T2581=1,2,IF(D2581=7,1,(IF(WEEKDAY(B2581)=1,2,IF(WEEKDAY(B2581)=7,1,0))))))</f>
        <v>2</v>
      </c>
      <c r="V2581" s="328">
        <f>VLOOKUP(C2581,METADATA!$A$5:$H$29,IF(E2581="HI",2,IF(E2581="LO",6,10))+IF(T2581=1,2,IF(D2581=7,1,(IF(WEEKDAY(B2581)=1,2,IF(WEEKDAY(B2581)=7,1,0))))))</f>
        <v>2</v>
      </c>
    </row>
    <row r="2582" spans="2:22">
      <c r="B2582" s="318">
        <f t="shared" si="159"/>
        <v>46220</v>
      </c>
      <c r="C2582" s="312">
        <v>10</v>
      </c>
      <c r="D2582" s="368">
        <f>IFERROR((INDEX(METADATA!$T$2:$T$20,MATCH(B2582,METADATA!$S$2:$S$20,0))),0)</f>
        <v>0</v>
      </c>
      <c r="E2582" s="312" t="str">
        <f t="shared" si="160"/>
        <v>LO</v>
      </c>
      <c r="F2582" s="369">
        <f>VLOOKUP(C2582,METADATA!$A$5:$H$29,IF(E2582="HI",2,IF(E2582="LO",6,10))+IF(D2582=1,2,IF(D2582=7,1,(IF(WEEKDAY(B2582)=1,2,IF(WEEKDAY(B2582)=7,1,0))))))</f>
        <v>2</v>
      </c>
      <c r="G2582" s="369">
        <f>VLOOKUP(C2582,METADATA!$J$5:$Q$29,IF(E2582="HI",2,IF(E2582="LO",6,10))+IF(D2582=1,2,IF(D2582=7,1,(IF(WEEKDAY(B2582)=1,2,IF(WEEKDAY(B2582)=7,1,0))))))</f>
        <v>2</v>
      </c>
      <c r="H2582" s="370">
        <v>13845.049560546875</v>
      </c>
      <c r="I2582" s="370">
        <v>4507.0099487304688</v>
      </c>
      <c r="M2582" s="371">
        <f t="shared" si="161"/>
        <v>14560.169504918362</v>
      </c>
      <c r="N2582" s="329">
        <f t="shared" si="162"/>
        <v>353.49508056640661</v>
      </c>
      <c r="T2582" s="331">
        <v>0</v>
      </c>
      <c r="U2582" s="328">
        <f>VLOOKUP(C2582,METADATA!$J$5:$Q$29,IF(E2582="HI",2,IF(E2582="LO",6,10))+IF(T2582=1,2,IF(D2582=7,1,(IF(WEEKDAY(B2582)=1,2,IF(WEEKDAY(B2582)=7,1,0))))))</f>
        <v>2</v>
      </c>
      <c r="V2582" s="328">
        <f>VLOOKUP(C2582,METADATA!$A$5:$H$29,IF(E2582="HI",2,IF(E2582="LO",6,10))+IF(T2582=1,2,IF(D2582=7,1,(IF(WEEKDAY(B2582)=1,2,IF(WEEKDAY(B2582)=7,1,0))))))</f>
        <v>2</v>
      </c>
    </row>
    <row r="2583" spans="2:22">
      <c r="B2583" s="318">
        <f t="shared" si="159"/>
        <v>46220</v>
      </c>
      <c r="C2583" s="312">
        <v>11</v>
      </c>
      <c r="D2583" s="368">
        <f>IFERROR((INDEX(METADATA!$T$2:$T$20,MATCH(B2583,METADATA!$S$2:$S$20,0))),0)</f>
        <v>0</v>
      </c>
      <c r="E2583" s="312" t="str">
        <f t="shared" si="160"/>
        <v>LO</v>
      </c>
      <c r="F2583" s="369">
        <f>VLOOKUP(C2583,METADATA!$A$5:$H$29,IF(E2583="HI",2,IF(E2583="LO",6,10))+IF(D2583=1,2,IF(D2583=7,1,(IF(WEEKDAY(B2583)=1,2,IF(WEEKDAY(B2583)=7,1,0))))))</f>
        <v>2</v>
      </c>
      <c r="G2583" s="369">
        <f>VLOOKUP(C2583,METADATA!$J$5:$Q$29,IF(E2583="HI",2,IF(E2583="LO",6,10))+IF(D2583=1,2,IF(D2583=7,1,(IF(WEEKDAY(B2583)=1,2,IF(WEEKDAY(B2583)=7,1,0))))))</f>
        <v>2</v>
      </c>
      <c r="H2583" s="370">
        <v>13802.24951171875</v>
      </c>
      <c r="I2583" s="370">
        <v>4484.5800476074219</v>
      </c>
      <c r="M2583" s="371">
        <f t="shared" si="161"/>
        <v>14512.530785053965</v>
      </c>
      <c r="N2583" s="329">
        <f t="shared" si="162"/>
        <v>343.90519409179706</v>
      </c>
      <c r="T2583" s="331">
        <v>0</v>
      </c>
      <c r="U2583" s="328">
        <f>VLOOKUP(C2583,METADATA!$J$5:$Q$29,IF(E2583="HI",2,IF(E2583="LO",6,10))+IF(T2583=1,2,IF(D2583=7,1,(IF(WEEKDAY(B2583)=1,2,IF(WEEKDAY(B2583)=7,1,0))))))</f>
        <v>2</v>
      </c>
      <c r="V2583" s="328">
        <f>VLOOKUP(C2583,METADATA!$A$5:$H$29,IF(E2583="HI",2,IF(E2583="LO",6,10))+IF(T2583=1,2,IF(D2583=7,1,(IF(WEEKDAY(B2583)=1,2,IF(WEEKDAY(B2583)=7,1,0))))))</f>
        <v>2</v>
      </c>
    </row>
    <row r="2584" spans="2:22">
      <c r="B2584" s="318">
        <f t="shared" si="159"/>
        <v>46220</v>
      </c>
      <c r="C2584" s="312">
        <v>12</v>
      </c>
      <c r="D2584" s="368">
        <f>IFERROR((INDEX(METADATA!$T$2:$T$20,MATCH(B2584,METADATA!$S$2:$S$20,0))),0)</f>
        <v>0</v>
      </c>
      <c r="E2584" s="312" t="str">
        <f t="shared" si="160"/>
        <v>LO</v>
      </c>
      <c r="F2584" s="369">
        <f>VLOOKUP(C2584,METADATA!$A$5:$H$29,IF(E2584="HI",2,IF(E2584="LO",6,10))+IF(D2584=1,2,IF(D2584=7,1,(IF(WEEKDAY(B2584)=1,2,IF(WEEKDAY(B2584)=7,1,0))))))</f>
        <v>2</v>
      </c>
      <c r="G2584" s="369">
        <f>VLOOKUP(C2584,METADATA!$J$5:$Q$29,IF(E2584="HI",2,IF(E2584="LO",6,10))+IF(D2584=1,2,IF(D2584=7,1,(IF(WEEKDAY(B2584)=1,2,IF(WEEKDAY(B2584)=7,1,0))))))</f>
        <v>2</v>
      </c>
      <c r="H2584" s="370">
        <v>13866.449584960938</v>
      </c>
      <c r="I2584" s="370">
        <v>4545.2548828125</v>
      </c>
      <c r="M2584" s="371">
        <f t="shared" si="161"/>
        <v>14592.387263295688</v>
      </c>
      <c r="N2584" s="329">
        <f t="shared" si="162"/>
        <v>385.32000732421875</v>
      </c>
      <c r="T2584" s="331">
        <v>0</v>
      </c>
      <c r="U2584" s="328">
        <f>VLOOKUP(C2584,METADATA!$J$5:$Q$29,IF(E2584="HI",2,IF(E2584="LO",6,10))+IF(T2584=1,2,IF(D2584=7,1,(IF(WEEKDAY(B2584)=1,2,IF(WEEKDAY(B2584)=7,1,0))))))</f>
        <v>2</v>
      </c>
      <c r="V2584" s="328">
        <f>VLOOKUP(C2584,METADATA!$A$5:$H$29,IF(E2584="HI",2,IF(E2584="LO",6,10))+IF(T2584=1,2,IF(D2584=7,1,(IF(WEEKDAY(B2584)=1,2,IF(WEEKDAY(B2584)=7,1,0))))))</f>
        <v>2</v>
      </c>
    </row>
    <row r="2585" spans="2:22">
      <c r="B2585" s="318">
        <f t="shared" si="159"/>
        <v>46220</v>
      </c>
      <c r="C2585" s="312">
        <v>13</v>
      </c>
      <c r="D2585" s="368">
        <f>IFERROR((INDEX(METADATA!$T$2:$T$20,MATCH(B2585,METADATA!$S$2:$S$20,0))),0)</f>
        <v>0</v>
      </c>
      <c r="E2585" s="312" t="str">
        <f t="shared" si="160"/>
        <v>LO</v>
      </c>
      <c r="F2585" s="369">
        <f>VLOOKUP(C2585,METADATA!$A$5:$H$29,IF(E2585="HI",2,IF(E2585="LO",6,10))+IF(D2585=1,2,IF(D2585=7,1,(IF(WEEKDAY(B2585)=1,2,IF(WEEKDAY(B2585)=7,1,0))))))</f>
        <v>2</v>
      </c>
      <c r="G2585" s="369">
        <f>VLOOKUP(C2585,METADATA!$J$5:$Q$29,IF(E2585="HI",2,IF(E2585="LO",6,10))+IF(D2585=1,2,IF(D2585=7,1,(IF(WEEKDAY(B2585)=1,2,IF(WEEKDAY(B2585)=7,1,0))))))</f>
        <v>2</v>
      </c>
      <c r="H2585" s="370">
        <v>13967.749816894531</v>
      </c>
      <c r="I2585" s="370">
        <v>4632.4049682617188</v>
      </c>
      <c r="M2585" s="371">
        <f t="shared" si="161"/>
        <v>14715.882941139926</v>
      </c>
      <c r="N2585" s="329">
        <f t="shared" si="162"/>
        <v>442.08002319335992</v>
      </c>
      <c r="T2585" s="331">
        <v>0</v>
      </c>
      <c r="U2585" s="328">
        <f>VLOOKUP(C2585,METADATA!$J$5:$Q$29,IF(E2585="HI",2,IF(E2585="LO",6,10))+IF(T2585=1,2,IF(D2585=7,1,(IF(WEEKDAY(B2585)=1,2,IF(WEEKDAY(B2585)=7,1,0))))))</f>
        <v>2</v>
      </c>
      <c r="V2585" s="328">
        <f>VLOOKUP(C2585,METADATA!$A$5:$H$29,IF(E2585="HI",2,IF(E2585="LO",6,10))+IF(T2585=1,2,IF(D2585=7,1,(IF(WEEKDAY(B2585)=1,2,IF(WEEKDAY(B2585)=7,1,0))))))</f>
        <v>2</v>
      </c>
    </row>
    <row r="2586" spans="2:22">
      <c r="B2586" s="318">
        <f t="shared" si="159"/>
        <v>46220</v>
      </c>
      <c r="C2586" s="312">
        <v>14</v>
      </c>
      <c r="D2586" s="368">
        <f>IFERROR((INDEX(METADATA!$T$2:$T$20,MATCH(B2586,METADATA!$S$2:$S$20,0))),0)</f>
        <v>0</v>
      </c>
      <c r="E2586" s="312" t="str">
        <f t="shared" si="160"/>
        <v>LO</v>
      </c>
      <c r="F2586" s="369">
        <f>VLOOKUP(C2586,METADATA!$A$5:$H$29,IF(E2586="HI",2,IF(E2586="LO",6,10))+IF(D2586=1,2,IF(D2586=7,1,(IF(WEEKDAY(B2586)=1,2,IF(WEEKDAY(B2586)=7,1,0))))))</f>
        <v>2</v>
      </c>
      <c r="G2586" s="369">
        <f>VLOOKUP(C2586,METADATA!$J$5:$Q$29,IF(E2586="HI",2,IF(E2586="LO",6,10))+IF(D2586=1,2,IF(D2586=7,1,(IF(WEEKDAY(B2586)=1,2,IF(WEEKDAY(B2586)=7,1,0))))))</f>
        <v>2</v>
      </c>
      <c r="H2586" s="370">
        <v>13875.975219726563</v>
      </c>
      <c r="I2586" s="370">
        <v>4646.4400024414063</v>
      </c>
      <c r="M2586" s="371">
        <f t="shared" si="161"/>
        <v>14633.252987451331</v>
      </c>
      <c r="N2586" s="329">
        <f t="shared" si="162"/>
        <v>483.64743652343805</v>
      </c>
      <c r="T2586" s="331">
        <v>0</v>
      </c>
      <c r="U2586" s="328">
        <f>VLOOKUP(C2586,METADATA!$J$5:$Q$29,IF(E2586="HI",2,IF(E2586="LO",6,10))+IF(T2586=1,2,IF(D2586=7,1,(IF(WEEKDAY(B2586)=1,2,IF(WEEKDAY(B2586)=7,1,0))))))</f>
        <v>2</v>
      </c>
      <c r="V2586" s="328">
        <f>VLOOKUP(C2586,METADATA!$A$5:$H$29,IF(E2586="HI",2,IF(E2586="LO",6,10))+IF(T2586=1,2,IF(D2586=7,1,(IF(WEEKDAY(B2586)=1,2,IF(WEEKDAY(B2586)=7,1,0))))))</f>
        <v>2</v>
      </c>
    </row>
    <row r="2587" spans="2:22">
      <c r="B2587" s="318">
        <f t="shared" si="159"/>
        <v>46220</v>
      </c>
      <c r="C2587" s="312">
        <v>15</v>
      </c>
      <c r="D2587" s="368">
        <f>IFERROR((INDEX(METADATA!$T$2:$T$20,MATCH(B2587,METADATA!$S$2:$S$20,0))),0)</f>
        <v>0</v>
      </c>
      <c r="E2587" s="312" t="str">
        <f t="shared" si="160"/>
        <v>LO</v>
      </c>
      <c r="F2587" s="369">
        <f>VLOOKUP(C2587,METADATA!$A$5:$H$29,IF(E2587="HI",2,IF(E2587="LO",6,10))+IF(D2587=1,2,IF(D2587=7,1,(IF(WEEKDAY(B2587)=1,2,IF(WEEKDAY(B2587)=7,1,0))))))</f>
        <v>2</v>
      </c>
      <c r="G2587" s="369">
        <f>VLOOKUP(C2587,METADATA!$J$5:$Q$29,IF(E2587="HI",2,IF(E2587="LO",6,10))+IF(D2587=1,2,IF(D2587=7,1,(IF(WEEKDAY(B2587)=1,2,IF(WEEKDAY(B2587)=7,1,0))))))</f>
        <v>2</v>
      </c>
      <c r="H2587" s="370">
        <v>13785.425048828125</v>
      </c>
      <c r="I2587" s="370">
        <v>4635.6199951171875</v>
      </c>
      <c r="M2587" s="371">
        <f t="shared" si="161"/>
        <v>14543.964951690037</v>
      </c>
      <c r="N2587" s="329">
        <f t="shared" si="162"/>
        <v>499.99248046874982</v>
      </c>
      <c r="T2587" s="331">
        <v>0</v>
      </c>
      <c r="U2587" s="328">
        <f>VLOOKUP(C2587,METADATA!$J$5:$Q$29,IF(E2587="HI",2,IF(E2587="LO",6,10))+IF(T2587=1,2,IF(D2587=7,1,(IF(WEEKDAY(B2587)=1,2,IF(WEEKDAY(B2587)=7,1,0))))))</f>
        <v>2</v>
      </c>
      <c r="V2587" s="328">
        <f>VLOOKUP(C2587,METADATA!$A$5:$H$29,IF(E2587="HI",2,IF(E2587="LO",6,10))+IF(T2587=1,2,IF(D2587=7,1,(IF(WEEKDAY(B2587)=1,2,IF(WEEKDAY(B2587)=7,1,0))))))</f>
        <v>2</v>
      </c>
    </row>
    <row r="2588" spans="2:22">
      <c r="B2588" s="318">
        <f t="shared" ref="B2588:B2651" si="163">B2564+1</f>
        <v>46220</v>
      </c>
      <c r="C2588" s="312">
        <v>16</v>
      </c>
      <c r="D2588" s="368">
        <f>IFERROR((INDEX(METADATA!$T$2:$T$20,MATCH(B2588,METADATA!$S$2:$S$20,0))),0)</f>
        <v>0</v>
      </c>
      <c r="E2588" s="312" t="str">
        <f t="shared" si="160"/>
        <v>LO</v>
      </c>
      <c r="F2588" s="369">
        <f>VLOOKUP(C2588,METADATA!$A$5:$H$29,IF(E2588="HI",2,IF(E2588="LO",6,10))+IF(D2588=1,2,IF(D2588=7,1,(IF(WEEKDAY(B2588)=1,2,IF(WEEKDAY(B2588)=7,1,0))))))</f>
        <v>2</v>
      </c>
      <c r="G2588" s="369">
        <f>VLOOKUP(C2588,METADATA!$J$5:$Q$29,IF(E2588="HI",2,IF(E2588="LO",6,10))+IF(D2588=1,2,IF(D2588=7,1,(IF(WEEKDAY(B2588)=1,2,IF(WEEKDAY(B2588)=7,1,0))))))</f>
        <v>2</v>
      </c>
      <c r="H2588" s="370">
        <v>13565.674743652344</v>
      </c>
      <c r="I2588" s="370">
        <v>4433.8699951171875</v>
      </c>
      <c r="M2588" s="371">
        <f t="shared" si="161"/>
        <v>14271.886153699781</v>
      </c>
      <c r="N2588" s="329">
        <f t="shared" si="162"/>
        <v>364.16757202148438</v>
      </c>
      <c r="T2588" s="331">
        <v>0</v>
      </c>
      <c r="U2588" s="328">
        <f>VLOOKUP(C2588,METADATA!$J$5:$Q$29,IF(E2588="HI",2,IF(E2588="LO",6,10))+IF(T2588=1,2,IF(D2588=7,1,(IF(WEEKDAY(B2588)=1,2,IF(WEEKDAY(B2588)=7,1,0))))))</f>
        <v>2</v>
      </c>
      <c r="V2588" s="328">
        <f>VLOOKUP(C2588,METADATA!$A$5:$H$29,IF(E2588="HI",2,IF(E2588="LO",6,10))+IF(T2588=1,2,IF(D2588=7,1,(IF(WEEKDAY(B2588)=1,2,IF(WEEKDAY(B2588)=7,1,0))))))</f>
        <v>2</v>
      </c>
    </row>
    <row r="2589" spans="2:22">
      <c r="B2589" s="318">
        <f t="shared" si="163"/>
        <v>46220</v>
      </c>
      <c r="C2589" s="312">
        <v>17</v>
      </c>
      <c r="D2589" s="368">
        <f>IFERROR((INDEX(METADATA!$T$2:$T$20,MATCH(B2589,METADATA!$S$2:$S$20,0))),0)</f>
        <v>0</v>
      </c>
      <c r="E2589" s="312" t="str">
        <f t="shared" si="160"/>
        <v>LO</v>
      </c>
      <c r="F2589" s="369">
        <f>VLOOKUP(C2589,METADATA!$A$5:$H$29,IF(E2589="HI",2,IF(E2589="LO",6,10))+IF(D2589=1,2,IF(D2589=7,1,(IF(WEEKDAY(B2589)=1,2,IF(WEEKDAY(B2589)=7,1,0))))))</f>
        <v>2</v>
      </c>
      <c r="G2589" s="369">
        <f>VLOOKUP(C2589,METADATA!$J$5:$Q$29,IF(E2589="HI",2,IF(E2589="LO",6,10))+IF(D2589=1,2,IF(D2589=7,1,(IF(WEEKDAY(B2589)=1,2,IF(WEEKDAY(B2589)=7,1,0))))))</f>
        <v>2</v>
      </c>
      <c r="H2589" s="370">
        <v>12241.324951171875</v>
      </c>
      <c r="I2589" s="370">
        <v>3560.9525146484375</v>
      </c>
      <c r="M2589" s="371">
        <f t="shared" si="161"/>
        <v>12748.741874073854</v>
      </c>
      <c r="N2589" s="329">
        <f t="shared" si="162"/>
        <v>0</v>
      </c>
      <c r="T2589" s="331">
        <v>0</v>
      </c>
      <c r="U2589" s="328">
        <f>VLOOKUP(C2589,METADATA!$J$5:$Q$29,IF(E2589="HI",2,IF(E2589="LO",6,10))+IF(T2589=1,2,IF(D2589=7,1,(IF(WEEKDAY(B2589)=1,2,IF(WEEKDAY(B2589)=7,1,0))))))</f>
        <v>2</v>
      </c>
      <c r="V2589" s="328">
        <f>VLOOKUP(C2589,METADATA!$A$5:$H$29,IF(E2589="HI",2,IF(E2589="LO",6,10))+IF(T2589=1,2,IF(D2589=7,1,(IF(WEEKDAY(B2589)=1,2,IF(WEEKDAY(B2589)=7,1,0))))))</f>
        <v>2</v>
      </c>
    </row>
    <row r="2590" spans="2:22">
      <c r="B2590" s="318">
        <f t="shared" si="163"/>
        <v>46220</v>
      </c>
      <c r="C2590" s="312">
        <v>18</v>
      </c>
      <c r="D2590" s="368">
        <f>IFERROR((INDEX(METADATA!$T$2:$T$20,MATCH(B2590,METADATA!$S$2:$S$20,0))),0)</f>
        <v>0</v>
      </c>
      <c r="E2590" s="312" t="str">
        <f t="shared" si="160"/>
        <v>LO</v>
      </c>
      <c r="F2590" s="369">
        <f>VLOOKUP(C2590,METADATA!$A$5:$H$29,IF(E2590="HI",2,IF(E2590="LO",6,10))+IF(D2590=1,2,IF(D2590=7,1,(IF(WEEKDAY(B2590)=1,2,IF(WEEKDAY(B2590)=7,1,0))))))</f>
        <v>1</v>
      </c>
      <c r="G2590" s="369">
        <f>VLOOKUP(C2590,METADATA!$J$5:$Q$29,IF(E2590="HI",2,IF(E2590="LO",6,10))+IF(D2590=1,2,IF(D2590=7,1,(IF(WEEKDAY(B2590)=1,2,IF(WEEKDAY(B2590)=7,1,0))))))</f>
        <v>1</v>
      </c>
      <c r="H2590" s="370">
        <v>12128.275024414063</v>
      </c>
      <c r="I2590" s="370">
        <v>3638.9100036621094</v>
      </c>
      <c r="M2590" s="371">
        <f t="shared" si="161"/>
        <v>12662.413714714035</v>
      </c>
      <c r="N2590" s="329">
        <f t="shared" si="162"/>
        <v>0.42749633789071595</v>
      </c>
      <c r="T2590" s="331">
        <v>0</v>
      </c>
      <c r="U2590" s="328">
        <f>VLOOKUP(C2590,METADATA!$J$5:$Q$29,IF(E2590="HI",2,IF(E2590="LO",6,10))+IF(T2590=1,2,IF(D2590=7,1,(IF(WEEKDAY(B2590)=1,2,IF(WEEKDAY(B2590)=7,1,0))))))</f>
        <v>1</v>
      </c>
      <c r="V2590" s="328">
        <f>VLOOKUP(C2590,METADATA!$A$5:$H$29,IF(E2590="HI",2,IF(E2590="LO",6,10))+IF(T2590=1,2,IF(D2590=7,1,(IF(WEEKDAY(B2590)=1,2,IF(WEEKDAY(B2590)=7,1,0))))))</f>
        <v>1</v>
      </c>
    </row>
    <row r="2591" spans="2:22">
      <c r="B2591" s="318">
        <f t="shared" si="163"/>
        <v>46220</v>
      </c>
      <c r="C2591" s="312">
        <v>19</v>
      </c>
      <c r="D2591" s="368">
        <f>IFERROR((INDEX(METADATA!$T$2:$T$20,MATCH(B2591,METADATA!$S$2:$S$20,0))),0)</f>
        <v>0</v>
      </c>
      <c r="E2591" s="312" t="str">
        <f t="shared" si="160"/>
        <v>LO</v>
      </c>
      <c r="F2591" s="369">
        <f>VLOOKUP(C2591,METADATA!$A$5:$H$29,IF(E2591="HI",2,IF(E2591="LO",6,10))+IF(D2591=1,2,IF(D2591=7,1,(IF(WEEKDAY(B2591)=1,2,IF(WEEKDAY(B2591)=7,1,0))))))</f>
        <v>1</v>
      </c>
      <c r="G2591" s="369">
        <f>VLOOKUP(C2591,METADATA!$J$5:$Q$29,IF(E2591="HI",2,IF(E2591="LO",6,10))+IF(D2591=1,2,IF(D2591=7,1,(IF(WEEKDAY(B2591)=1,2,IF(WEEKDAY(B2591)=7,1,0))))))</f>
        <v>1</v>
      </c>
      <c r="H2591" s="370">
        <v>13829.97509765625</v>
      </c>
      <c r="I2591" s="370">
        <v>4689.4599914550781</v>
      </c>
      <c r="M2591" s="371">
        <f t="shared" si="161"/>
        <v>14603.398447390589</v>
      </c>
      <c r="N2591" s="329">
        <f t="shared" si="162"/>
        <v>540.46746215820349</v>
      </c>
      <c r="T2591" s="331">
        <v>0</v>
      </c>
      <c r="U2591" s="328">
        <f>VLOOKUP(C2591,METADATA!$J$5:$Q$29,IF(E2591="HI",2,IF(E2591="LO",6,10))+IF(T2591=1,2,IF(D2591=7,1,(IF(WEEKDAY(B2591)=1,2,IF(WEEKDAY(B2591)=7,1,0))))))</f>
        <v>1</v>
      </c>
      <c r="V2591" s="328">
        <f>VLOOKUP(C2591,METADATA!$A$5:$H$29,IF(E2591="HI",2,IF(E2591="LO",6,10))+IF(T2591=1,2,IF(D2591=7,1,(IF(WEEKDAY(B2591)=1,2,IF(WEEKDAY(B2591)=7,1,0))))))</f>
        <v>1</v>
      </c>
    </row>
    <row r="2592" spans="2:22">
      <c r="B2592" s="318">
        <f t="shared" si="163"/>
        <v>46220</v>
      </c>
      <c r="C2592" s="312">
        <v>20</v>
      </c>
      <c r="D2592" s="368">
        <f>IFERROR((INDEX(METADATA!$T$2:$T$20,MATCH(B2592,METADATA!$S$2:$S$20,0))),0)</f>
        <v>0</v>
      </c>
      <c r="E2592" s="312" t="str">
        <f t="shared" si="160"/>
        <v>LO</v>
      </c>
      <c r="F2592" s="369">
        <f>VLOOKUP(C2592,METADATA!$A$5:$H$29,IF(E2592="HI",2,IF(E2592="LO",6,10))+IF(D2592=1,2,IF(D2592=7,1,(IF(WEEKDAY(B2592)=1,2,IF(WEEKDAY(B2592)=7,1,0))))))</f>
        <v>1</v>
      </c>
      <c r="G2592" s="369">
        <f>VLOOKUP(C2592,METADATA!$J$5:$Q$29,IF(E2592="HI",2,IF(E2592="LO",6,10))+IF(D2592=1,2,IF(D2592=7,1,(IF(WEEKDAY(B2592)=1,2,IF(WEEKDAY(B2592)=7,1,0))))))</f>
        <v>1</v>
      </c>
      <c r="H2592" s="370">
        <v>13974</v>
      </c>
      <c r="I2592" s="370">
        <v>4840.9950561523438</v>
      </c>
      <c r="M2592" s="371">
        <f t="shared" si="161"/>
        <v>14788.776458304163</v>
      </c>
      <c r="N2592" s="329">
        <f t="shared" si="162"/>
        <v>648.79505615234393</v>
      </c>
      <c r="T2592" s="331">
        <v>0</v>
      </c>
      <c r="U2592" s="328">
        <f>VLOOKUP(C2592,METADATA!$J$5:$Q$29,IF(E2592="HI",2,IF(E2592="LO",6,10))+IF(T2592=1,2,IF(D2592=7,1,(IF(WEEKDAY(B2592)=1,2,IF(WEEKDAY(B2592)=7,1,0))))))</f>
        <v>1</v>
      </c>
      <c r="V2592" s="328">
        <f>VLOOKUP(C2592,METADATA!$A$5:$H$29,IF(E2592="HI",2,IF(E2592="LO",6,10))+IF(T2592=1,2,IF(D2592=7,1,(IF(WEEKDAY(B2592)=1,2,IF(WEEKDAY(B2592)=7,1,0))))))</f>
        <v>1</v>
      </c>
    </row>
    <row r="2593" spans="2:22">
      <c r="B2593" s="318">
        <f t="shared" si="163"/>
        <v>46220</v>
      </c>
      <c r="C2593" s="312">
        <v>21</v>
      </c>
      <c r="D2593" s="368">
        <f>IFERROR((INDEX(METADATA!$T$2:$T$20,MATCH(B2593,METADATA!$S$2:$S$20,0))),0)</f>
        <v>0</v>
      </c>
      <c r="E2593" s="312" t="str">
        <f t="shared" si="160"/>
        <v>LO</v>
      </c>
      <c r="F2593" s="369">
        <f>VLOOKUP(C2593,METADATA!$A$5:$H$29,IF(E2593="HI",2,IF(E2593="LO",6,10))+IF(D2593=1,2,IF(D2593=7,1,(IF(WEEKDAY(B2593)=1,2,IF(WEEKDAY(B2593)=7,1,0))))))</f>
        <v>2</v>
      </c>
      <c r="G2593" s="369">
        <f>VLOOKUP(C2593,METADATA!$J$5:$Q$29,IF(E2593="HI",2,IF(E2593="LO",6,10))+IF(D2593=1,2,IF(D2593=7,1,(IF(WEEKDAY(B2593)=1,2,IF(WEEKDAY(B2593)=7,1,0))))))</f>
        <v>2</v>
      </c>
      <c r="H2593" s="370">
        <v>13954.200073242188</v>
      </c>
      <c r="I2593" s="370">
        <v>4821.8400573730469</v>
      </c>
      <c r="M2593" s="371">
        <f t="shared" si="161"/>
        <v>14763.801719847079</v>
      </c>
      <c r="N2593" s="329">
        <f t="shared" si="162"/>
        <v>635.58003540039044</v>
      </c>
      <c r="T2593" s="331">
        <v>0</v>
      </c>
      <c r="U2593" s="328">
        <f>VLOOKUP(C2593,METADATA!$J$5:$Q$29,IF(E2593="HI",2,IF(E2593="LO",6,10))+IF(T2593=1,2,IF(D2593=7,1,(IF(WEEKDAY(B2593)=1,2,IF(WEEKDAY(B2593)=7,1,0))))))</f>
        <v>2</v>
      </c>
      <c r="V2593" s="328">
        <f>VLOOKUP(C2593,METADATA!$A$5:$H$29,IF(E2593="HI",2,IF(E2593="LO",6,10))+IF(T2593=1,2,IF(D2593=7,1,(IF(WEEKDAY(B2593)=1,2,IF(WEEKDAY(B2593)=7,1,0))))))</f>
        <v>2</v>
      </c>
    </row>
    <row r="2594" spans="2:22">
      <c r="B2594" s="318">
        <f t="shared" si="163"/>
        <v>46220</v>
      </c>
      <c r="C2594" s="312">
        <v>22</v>
      </c>
      <c r="D2594" s="368">
        <f>IFERROR((INDEX(METADATA!$T$2:$T$20,MATCH(B2594,METADATA!$S$2:$S$20,0))),0)</f>
        <v>0</v>
      </c>
      <c r="E2594" s="312" t="str">
        <f t="shared" si="160"/>
        <v>LO</v>
      </c>
      <c r="F2594" s="369">
        <f>VLOOKUP(C2594,METADATA!$A$5:$H$29,IF(E2594="HI",2,IF(E2594="LO",6,10))+IF(D2594=1,2,IF(D2594=7,1,(IF(WEEKDAY(B2594)=1,2,IF(WEEKDAY(B2594)=7,1,0))))))</f>
        <v>3</v>
      </c>
      <c r="G2594" s="369">
        <f>VLOOKUP(C2594,METADATA!$J$5:$Q$29,IF(E2594="HI",2,IF(E2594="LO",6,10))+IF(D2594=1,2,IF(D2594=7,1,(IF(WEEKDAY(B2594)=1,2,IF(WEEKDAY(B2594)=7,1,0))))))</f>
        <v>3</v>
      </c>
      <c r="H2594" s="370">
        <v>13983.874938964844</v>
      </c>
      <c r="I2594" s="370">
        <v>4650.4200134277344</v>
      </c>
      <c r="M2594" s="371">
        <f t="shared" si="161"/>
        <v>14736.864137593799</v>
      </c>
      <c r="N2594" s="329">
        <f t="shared" si="162"/>
        <v>455.25753173828161</v>
      </c>
      <c r="T2594" s="331">
        <v>0</v>
      </c>
      <c r="U2594" s="328">
        <f>VLOOKUP(C2594,METADATA!$J$5:$Q$29,IF(E2594="HI",2,IF(E2594="LO",6,10))+IF(T2594=1,2,IF(D2594=7,1,(IF(WEEKDAY(B2594)=1,2,IF(WEEKDAY(B2594)=7,1,0))))))</f>
        <v>3</v>
      </c>
      <c r="V2594" s="328">
        <f>VLOOKUP(C2594,METADATA!$A$5:$H$29,IF(E2594="HI",2,IF(E2594="LO",6,10))+IF(T2594=1,2,IF(D2594=7,1,(IF(WEEKDAY(B2594)=1,2,IF(WEEKDAY(B2594)=7,1,0))))))</f>
        <v>3</v>
      </c>
    </row>
    <row r="2595" spans="2:22">
      <c r="B2595" s="318">
        <f t="shared" si="163"/>
        <v>46220</v>
      </c>
      <c r="C2595" s="312">
        <v>23</v>
      </c>
      <c r="D2595" s="368">
        <f>IFERROR((INDEX(METADATA!$T$2:$T$20,MATCH(B2595,METADATA!$S$2:$S$20,0))),0)</f>
        <v>0</v>
      </c>
      <c r="E2595" s="312" t="str">
        <f t="shared" si="160"/>
        <v>LO</v>
      </c>
      <c r="F2595" s="369">
        <f>VLOOKUP(C2595,METADATA!$A$5:$H$29,IF(E2595="HI",2,IF(E2595="LO",6,10))+IF(D2595=1,2,IF(D2595=7,1,(IF(WEEKDAY(B2595)=1,2,IF(WEEKDAY(B2595)=7,1,0))))))</f>
        <v>3</v>
      </c>
      <c r="G2595" s="369">
        <f>VLOOKUP(C2595,METADATA!$J$5:$Q$29,IF(E2595="HI",2,IF(E2595="LO",6,10))+IF(D2595=1,2,IF(D2595=7,1,(IF(WEEKDAY(B2595)=1,2,IF(WEEKDAY(B2595)=7,1,0))))))</f>
        <v>3</v>
      </c>
      <c r="H2595" s="370">
        <v>13918.425048828125</v>
      </c>
      <c r="I2595" s="370">
        <v>4649.9100646972656</v>
      </c>
      <c r="M2595" s="371">
        <f t="shared" si="161"/>
        <v>14674.611390071599</v>
      </c>
      <c r="N2595" s="329">
        <f t="shared" si="162"/>
        <v>474.38255004882831</v>
      </c>
      <c r="T2595" s="331">
        <v>0</v>
      </c>
      <c r="U2595" s="328">
        <f>VLOOKUP(C2595,METADATA!$J$5:$Q$29,IF(E2595="HI",2,IF(E2595="LO",6,10))+IF(T2595=1,2,IF(D2595=7,1,(IF(WEEKDAY(B2595)=1,2,IF(WEEKDAY(B2595)=7,1,0))))))</f>
        <v>3</v>
      </c>
      <c r="V2595" s="328">
        <f>VLOOKUP(C2595,METADATA!$A$5:$H$29,IF(E2595="HI",2,IF(E2595="LO",6,10))+IF(T2595=1,2,IF(D2595=7,1,(IF(WEEKDAY(B2595)=1,2,IF(WEEKDAY(B2595)=7,1,0))))))</f>
        <v>3</v>
      </c>
    </row>
    <row r="2596" spans="2:22">
      <c r="B2596" s="318">
        <f t="shared" si="163"/>
        <v>46221</v>
      </c>
      <c r="C2596" s="312">
        <v>0</v>
      </c>
      <c r="D2596" s="368">
        <f>IFERROR((INDEX(METADATA!$T$2:$T$20,MATCH(B2596,METADATA!$S$2:$S$20,0))),0)</f>
        <v>0</v>
      </c>
      <c r="E2596" s="312" t="str">
        <f t="shared" si="160"/>
        <v>LO</v>
      </c>
      <c r="F2596" s="369">
        <f>VLOOKUP(C2596,METADATA!$A$5:$H$29,IF(E2596="HI",2,IF(E2596="LO",6,10))+IF(D2596=1,2,IF(D2596=7,1,(IF(WEEKDAY(B2596)=1,2,IF(WEEKDAY(B2596)=7,1,0))))))</f>
        <v>3</v>
      </c>
      <c r="G2596" s="369">
        <f>VLOOKUP(C2596,METADATA!$J$5:$Q$29,IF(E2596="HI",2,IF(E2596="LO",6,10))+IF(D2596=1,2,IF(D2596=7,1,(IF(WEEKDAY(B2596)=1,2,IF(WEEKDAY(B2596)=7,1,0))))))</f>
        <v>3</v>
      </c>
      <c r="H2596" s="370">
        <v>13890.150207519531</v>
      </c>
      <c r="I2596" s="370">
        <v>4682.9501037597656</v>
      </c>
      <c r="M2596" s="371">
        <f t="shared" si="161"/>
        <v>14658.318268538123</v>
      </c>
      <c r="N2596" s="329">
        <f t="shared" si="162"/>
        <v>515.90504150390643</v>
      </c>
      <c r="T2596" s="331">
        <v>0</v>
      </c>
      <c r="U2596" s="328">
        <f>VLOOKUP(C2596,METADATA!$J$5:$Q$29,IF(E2596="HI",2,IF(E2596="LO",6,10))+IF(T2596=1,2,IF(D2596=7,1,(IF(WEEKDAY(B2596)=1,2,IF(WEEKDAY(B2596)=7,1,0))))))</f>
        <v>3</v>
      </c>
      <c r="V2596" s="328">
        <f>VLOOKUP(C2596,METADATA!$A$5:$H$29,IF(E2596="HI",2,IF(E2596="LO",6,10))+IF(T2596=1,2,IF(D2596=7,1,(IF(WEEKDAY(B2596)=1,2,IF(WEEKDAY(B2596)=7,1,0))))))</f>
        <v>3</v>
      </c>
    </row>
    <row r="2597" spans="2:22">
      <c r="B2597" s="318">
        <f t="shared" si="163"/>
        <v>46221</v>
      </c>
      <c r="C2597" s="312">
        <v>1</v>
      </c>
      <c r="D2597" s="368">
        <f>IFERROR((INDEX(METADATA!$T$2:$T$20,MATCH(B2597,METADATA!$S$2:$S$20,0))),0)</f>
        <v>0</v>
      </c>
      <c r="E2597" s="312" t="str">
        <f t="shared" si="160"/>
        <v>LO</v>
      </c>
      <c r="F2597" s="369">
        <f>VLOOKUP(C2597,METADATA!$A$5:$H$29,IF(E2597="HI",2,IF(E2597="LO",6,10))+IF(D2597=1,2,IF(D2597=7,1,(IF(WEEKDAY(B2597)=1,2,IF(WEEKDAY(B2597)=7,1,0))))))</f>
        <v>3</v>
      </c>
      <c r="G2597" s="369">
        <f>VLOOKUP(C2597,METADATA!$J$5:$Q$29,IF(E2597="HI",2,IF(E2597="LO",6,10))+IF(D2597=1,2,IF(D2597=7,1,(IF(WEEKDAY(B2597)=1,2,IF(WEEKDAY(B2597)=7,1,0))))))</f>
        <v>3</v>
      </c>
      <c r="H2597" s="370">
        <v>13911.824645996094</v>
      </c>
      <c r="I2597" s="370">
        <v>4657.7699279785156</v>
      </c>
      <c r="M2597" s="371">
        <f t="shared" si="161"/>
        <v>14670.844750147324</v>
      </c>
      <c r="N2597" s="329">
        <f t="shared" si="162"/>
        <v>484.2225341796875</v>
      </c>
      <c r="T2597" s="331">
        <v>0</v>
      </c>
      <c r="U2597" s="328">
        <f>VLOOKUP(C2597,METADATA!$J$5:$Q$29,IF(E2597="HI",2,IF(E2597="LO",6,10))+IF(T2597=1,2,IF(D2597=7,1,(IF(WEEKDAY(B2597)=1,2,IF(WEEKDAY(B2597)=7,1,0))))))</f>
        <v>3</v>
      </c>
      <c r="V2597" s="328">
        <f>VLOOKUP(C2597,METADATA!$A$5:$H$29,IF(E2597="HI",2,IF(E2597="LO",6,10))+IF(T2597=1,2,IF(D2597=7,1,(IF(WEEKDAY(B2597)=1,2,IF(WEEKDAY(B2597)=7,1,0))))))</f>
        <v>3</v>
      </c>
    </row>
    <row r="2598" spans="2:22">
      <c r="B2598" s="318">
        <f t="shared" si="163"/>
        <v>46221</v>
      </c>
      <c r="C2598" s="312">
        <v>2</v>
      </c>
      <c r="D2598" s="368">
        <f>IFERROR((INDEX(METADATA!$T$2:$T$20,MATCH(B2598,METADATA!$S$2:$S$20,0))),0)</f>
        <v>0</v>
      </c>
      <c r="E2598" s="312" t="str">
        <f t="shared" si="160"/>
        <v>LO</v>
      </c>
      <c r="F2598" s="369">
        <f>VLOOKUP(C2598,METADATA!$A$5:$H$29,IF(E2598="HI",2,IF(E2598="LO",6,10))+IF(D2598=1,2,IF(D2598=7,1,(IF(WEEKDAY(B2598)=1,2,IF(WEEKDAY(B2598)=7,1,0))))))</f>
        <v>3</v>
      </c>
      <c r="G2598" s="369">
        <f>VLOOKUP(C2598,METADATA!$J$5:$Q$29,IF(E2598="HI",2,IF(E2598="LO",6,10))+IF(D2598=1,2,IF(D2598=7,1,(IF(WEEKDAY(B2598)=1,2,IF(WEEKDAY(B2598)=7,1,0))))))</f>
        <v>3</v>
      </c>
      <c r="H2598" s="370">
        <v>13873.39990234375</v>
      </c>
      <c r="I2598" s="370">
        <v>4498.7349853515625</v>
      </c>
      <c r="M2598" s="371">
        <f t="shared" si="161"/>
        <v>14584.57545898329</v>
      </c>
      <c r="N2598" s="329">
        <f t="shared" si="162"/>
        <v>336.71501464843732</v>
      </c>
      <c r="T2598" s="331">
        <v>0</v>
      </c>
      <c r="U2598" s="328">
        <f>VLOOKUP(C2598,METADATA!$J$5:$Q$29,IF(E2598="HI",2,IF(E2598="LO",6,10))+IF(T2598=1,2,IF(D2598=7,1,(IF(WEEKDAY(B2598)=1,2,IF(WEEKDAY(B2598)=7,1,0))))))</f>
        <v>3</v>
      </c>
      <c r="V2598" s="328">
        <f>VLOOKUP(C2598,METADATA!$A$5:$H$29,IF(E2598="HI",2,IF(E2598="LO",6,10))+IF(T2598=1,2,IF(D2598=7,1,(IF(WEEKDAY(B2598)=1,2,IF(WEEKDAY(B2598)=7,1,0))))))</f>
        <v>3</v>
      </c>
    </row>
    <row r="2599" spans="2:22">
      <c r="B2599" s="318">
        <f t="shared" si="163"/>
        <v>46221</v>
      </c>
      <c r="C2599" s="312">
        <v>3</v>
      </c>
      <c r="D2599" s="368">
        <f>IFERROR((INDEX(METADATA!$T$2:$T$20,MATCH(B2599,METADATA!$S$2:$S$20,0))),0)</f>
        <v>0</v>
      </c>
      <c r="E2599" s="312" t="str">
        <f t="shared" si="160"/>
        <v>LO</v>
      </c>
      <c r="F2599" s="369">
        <f>VLOOKUP(C2599,METADATA!$A$5:$H$29,IF(E2599="HI",2,IF(E2599="LO",6,10))+IF(D2599=1,2,IF(D2599=7,1,(IF(WEEKDAY(B2599)=1,2,IF(WEEKDAY(B2599)=7,1,0))))))</f>
        <v>3</v>
      </c>
      <c r="G2599" s="369">
        <f>VLOOKUP(C2599,METADATA!$J$5:$Q$29,IF(E2599="HI",2,IF(E2599="LO",6,10))+IF(D2599=1,2,IF(D2599=7,1,(IF(WEEKDAY(B2599)=1,2,IF(WEEKDAY(B2599)=7,1,0))))))</f>
        <v>3</v>
      </c>
      <c r="H2599" s="370">
        <v>13785.674926757813</v>
      </c>
      <c r="I2599" s="370">
        <v>4530.4199829101563</v>
      </c>
      <c r="M2599" s="371">
        <f t="shared" si="161"/>
        <v>14511.014382454132</v>
      </c>
      <c r="N2599" s="329">
        <f t="shared" si="162"/>
        <v>394.71750488281305</v>
      </c>
      <c r="T2599" s="331">
        <v>0</v>
      </c>
      <c r="U2599" s="328">
        <f>VLOOKUP(C2599,METADATA!$J$5:$Q$29,IF(E2599="HI",2,IF(E2599="LO",6,10))+IF(T2599=1,2,IF(D2599=7,1,(IF(WEEKDAY(B2599)=1,2,IF(WEEKDAY(B2599)=7,1,0))))))</f>
        <v>3</v>
      </c>
      <c r="V2599" s="328">
        <f>VLOOKUP(C2599,METADATA!$A$5:$H$29,IF(E2599="HI",2,IF(E2599="LO",6,10))+IF(T2599=1,2,IF(D2599=7,1,(IF(WEEKDAY(B2599)=1,2,IF(WEEKDAY(B2599)=7,1,0))))))</f>
        <v>3</v>
      </c>
    </row>
    <row r="2600" spans="2:22">
      <c r="B2600" s="318">
        <f t="shared" si="163"/>
        <v>46221</v>
      </c>
      <c r="C2600" s="312">
        <v>4</v>
      </c>
      <c r="D2600" s="368">
        <f>IFERROR((INDEX(METADATA!$T$2:$T$20,MATCH(B2600,METADATA!$S$2:$S$20,0))),0)</f>
        <v>0</v>
      </c>
      <c r="E2600" s="312" t="str">
        <f t="shared" si="160"/>
        <v>LO</v>
      </c>
      <c r="F2600" s="369">
        <f>VLOOKUP(C2600,METADATA!$A$5:$H$29,IF(E2600="HI",2,IF(E2600="LO",6,10))+IF(D2600=1,2,IF(D2600=7,1,(IF(WEEKDAY(B2600)=1,2,IF(WEEKDAY(B2600)=7,1,0))))))</f>
        <v>3</v>
      </c>
      <c r="G2600" s="369">
        <f>VLOOKUP(C2600,METADATA!$J$5:$Q$29,IF(E2600="HI",2,IF(E2600="LO",6,10))+IF(D2600=1,2,IF(D2600=7,1,(IF(WEEKDAY(B2600)=1,2,IF(WEEKDAY(B2600)=7,1,0))))))</f>
        <v>3</v>
      </c>
      <c r="H2600" s="370">
        <v>13928.69970703125</v>
      </c>
      <c r="I2600" s="370">
        <v>4482.5449523925781</v>
      </c>
      <c r="M2600" s="371">
        <f t="shared" si="161"/>
        <v>14632.220773993011</v>
      </c>
      <c r="N2600" s="329">
        <f t="shared" si="162"/>
        <v>303.93504028320331</v>
      </c>
      <c r="T2600" s="331">
        <v>0</v>
      </c>
      <c r="U2600" s="328">
        <f>VLOOKUP(C2600,METADATA!$J$5:$Q$29,IF(E2600="HI",2,IF(E2600="LO",6,10))+IF(T2600=1,2,IF(D2600=7,1,(IF(WEEKDAY(B2600)=1,2,IF(WEEKDAY(B2600)=7,1,0))))))</f>
        <v>3</v>
      </c>
      <c r="V2600" s="328">
        <f>VLOOKUP(C2600,METADATA!$A$5:$H$29,IF(E2600="HI",2,IF(E2600="LO",6,10))+IF(T2600=1,2,IF(D2600=7,1,(IF(WEEKDAY(B2600)=1,2,IF(WEEKDAY(B2600)=7,1,0))))))</f>
        <v>3</v>
      </c>
    </row>
    <row r="2601" spans="2:22">
      <c r="B2601" s="318">
        <f t="shared" si="163"/>
        <v>46221</v>
      </c>
      <c r="C2601" s="312">
        <v>5</v>
      </c>
      <c r="D2601" s="368">
        <f>IFERROR((INDEX(METADATA!$T$2:$T$20,MATCH(B2601,METADATA!$S$2:$S$20,0))),0)</f>
        <v>0</v>
      </c>
      <c r="E2601" s="312" t="str">
        <f t="shared" si="160"/>
        <v>LO</v>
      </c>
      <c r="F2601" s="369">
        <f>VLOOKUP(C2601,METADATA!$A$5:$H$29,IF(E2601="HI",2,IF(E2601="LO",6,10))+IF(D2601=1,2,IF(D2601=7,1,(IF(WEEKDAY(B2601)=1,2,IF(WEEKDAY(B2601)=7,1,0))))))</f>
        <v>3</v>
      </c>
      <c r="G2601" s="369">
        <f>VLOOKUP(C2601,METADATA!$J$5:$Q$29,IF(E2601="HI",2,IF(E2601="LO",6,10))+IF(D2601=1,2,IF(D2601=7,1,(IF(WEEKDAY(B2601)=1,2,IF(WEEKDAY(B2601)=7,1,0))))))</f>
        <v>3</v>
      </c>
      <c r="H2601" s="370">
        <v>13899.549682617188</v>
      </c>
      <c r="I2601" s="370">
        <v>4426.1349487304688</v>
      </c>
      <c r="M2601" s="371">
        <f t="shared" si="161"/>
        <v>14587.259919666778</v>
      </c>
      <c r="N2601" s="329">
        <f t="shared" si="162"/>
        <v>256.27004394531286</v>
      </c>
      <c r="T2601" s="331">
        <v>0</v>
      </c>
      <c r="U2601" s="328">
        <f>VLOOKUP(C2601,METADATA!$J$5:$Q$29,IF(E2601="HI",2,IF(E2601="LO",6,10))+IF(T2601=1,2,IF(D2601=7,1,(IF(WEEKDAY(B2601)=1,2,IF(WEEKDAY(B2601)=7,1,0))))))</f>
        <v>3</v>
      </c>
      <c r="V2601" s="328">
        <f>VLOOKUP(C2601,METADATA!$A$5:$H$29,IF(E2601="HI",2,IF(E2601="LO",6,10))+IF(T2601=1,2,IF(D2601=7,1,(IF(WEEKDAY(B2601)=1,2,IF(WEEKDAY(B2601)=7,1,0))))))</f>
        <v>3</v>
      </c>
    </row>
    <row r="2602" spans="2:22">
      <c r="B2602" s="318">
        <f t="shared" si="163"/>
        <v>46221</v>
      </c>
      <c r="C2602" s="312">
        <v>6</v>
      </c>
      <c r="D2602" s="368">
        <f>IFERROR((INDEX(METADATA!$T$2:$T$20,MATCH(B2602,METADATA!$S$2:$S$20,0))),0)</f>
        <v>0</v>
      </c>
      <c r="E2602" s="312" t="str">
        <f t="shared" si="160"/>
        <v>LO</v>
      </c>
      <c r="F2602" s="369">
        <f>VLOOKUP(C2602,METADATA!$A$5:$H$29,IF(E2602="HI",2,IF(E2602="LO",6,10))+IF(D2602=1,2,IF(D2602=7,1,(IF(WEEKDAY(B2602)=1,2,IF(WEEKDAY(B2602)=7,1,0))))))</f>
        <v>3</v>
      </c>
      <c r="G2602" s="369">
        <f>VLOOKUP(C2602,METADATA!$J$5:$Q$29,IF(E2602="HI",2,IF(E2602="LO",6,10))+IF(D2602=1,2,IF(D2602=7,1,(IF(WEEKDAY(B2602)=1,2,IF(WEEKDAY(B2602)=7,1,0))))))</f>
        <v>3</v>
      </c>
      <c r="H2602" s="370">
        <v>13532.55029296875</v>
      </c>
      <c r="I2602" s="370">
        <v>4440.7850341796875</v>
      </c>
      <c r="M2602" s="371">
        <f t="shared" si="161"/>
        <v>14242.559080148583</v>
      </c>
      <c r="N2602" s="329">
        <f t="shared" si="162"/>
        <v>381.01994628906277</v>
      </c>
      <c r="T2602" s="331">
        <v>0</v>
      </c>
      <c r="U2602" s="328">
        <f>VLOOKUP(C2602,METADATA!$J$5:$Q$29,IF(E2602="HI",2,IF(E2602="LO",6,10))+IF(T2602=1,2,IF(D2602=7,1,(IF(WEEKDAY(B2602)=1,2,IF(WEEKDAY(B2602)=7,1,0))))))</f>
        <v>3</v>
      </c>
      <c r="V2602" s="328">
        <f>VLOOKUP(C2602,METADATA!$A$5:$H$29,IF(E2602="HI",2,IF(E2602="LO",6,10))+IF(T2602=1,2,IF(D2602=7,1,(IF(WEEKDAY(B2602)=1,2,IF(WEEKDAY(B2602)=7,1,0))))))</f>
        <v>3</v>
      </c>
    </row>
    <row r="2603" spans="2:22">
      <c r="B2603" s="318">
        <f t="shared" si="163"/>
        <v>46221</v>
      </c>
      <c r="C2603" s="312">
        <v>7</v>
      </c>
      <c r="D2603" s="368">
        <f>IFERROR((INDEX(METADATA!$T$2:$T$20,MATCH(B2603,METADATA!$S$2:$S$20,0))),0)</f>
        <v>0</v>
      </c>
      <c r="E2603" s="312" t="str">
        <f t="shared" si="160"/>
        <v>LO</v>
      </c>
      <c r="F2603" s="369">
        <f>VLOOKUP(C2603,METADATA!$A$5:$H$29,IF(E2603="HI",2,IF(E2603="LO",6,10))+IF(D2603=1,2,IF(D2603=7,1,(IF(WEEKDAY(B2603)=1,2,IF(WEEKDAY(B2603)=7,1,0))))))</f>
        <v>2</v>
      </c>
      <c r="G2603" s="369">
        <f>VLOOKUP(C2603,METADATA!$J$5:$Q$29,IF(E2603="HI",2,IF(E2603="LO",6,10))+IF(D2603=1,2,IF(D2603=7,1,(IF(WEEKDAY(B2603)=1,2,IF(WEEKDAY(B2603)=7,1,0))))))</f>
        <v>2</v>
      </c>
      <c r="H2603" s="370">
        <v>11541.940246582031</v>
      </c>
      <c r="I2603" s="370">
        <v>3655.9824523925781</v>
      </c>
      <c r="M2603" s="371">
        <f t="shared" si="161"/>
        <v>12107.129814612237</v>
      </c>
      <c r="N2603" s="329">
        <f t="shared" si="162"/>
        <v>193.40037841796902</v>
      </c>
      <c r="T2603" s="331">
        <v>0</v>
      </c>
      <c r="U2603" s="328">
        <f>VLOOKUP(C2603,METADATA!$J$5:$Q$29,IF(E2603="HI",2,IF(E2603="LO",6,10))+IF(T2603=1,2,IF(D2603=7,1,(IF(WEEKDAY(B2603)=1,2,IF(WEEKDAY(B2603)=7,1,0))))))</f>
        <v>2</v>
      </c>
      <c r="V2603" s="328">
        <f>VLOOKUP(C2603,METADATA!$A$5:$H$29,IF(E2603="HI",2,IF(E2603="LO",6,10))+IF(T2603=1,2,IF(D2603=7,1,(IF(WEEKDAY(B2603)=1,2,IF(WEEKDAY(B2603)=7,1,0))))))</f>
        <v>2</v>
      </c>
    </row>
    <row r="2604" spans="2:22">
      <c r="B2604" s="318">
        <f t="shared" si="163"/>
        <v>46221</v>
      </c>
      <c r="C2604" s="312">
        <v>8</v>
      </c>
      <c r="D2604" s="368">
        <f>IFERROR((INDEX(METADATA!$T$2:$T$20,MATCH(B2604,METADATA!$S$2:$S$20,0))),0)</f>
        <v>0</v>
      </c>
      <c r="E2604" s="312" t="str">
        <f t="shared" si="160"/>
        <v>LO</v>
      </c>
      <c r="F2604" s="369">
        <f>VLOOKUP(C2604,METADATA!$A$5:$H$29,IF(E2604="HI",2,IF(E2604="LO",6,10))+IF(D2604=1,2,IF(D2604=7,1,(IF(WEEKDAY(B2604)=1,2,IF(WEEKDAY(B2604)=7,1,0))))))</f>
        <v>2</v>
      </c>
      <c r="G2604" s="369">
        <f>VLOOKUP(C2604,METADATA!$J$5:$Q$29,IF(E2604="HI",2,IF(E2604="LO",6,10))+IF(D2604=1,2,IF(D2604=7,1,(IF(WEEKDAY(B2604)=1,2,IF(WEEKDAY(B2604)=7,1,0))))))</f>
        <v>2</v>
      </c>
      <c r="H2604" s="370">
        <v>10773.492767333984</v>
      </c>
      <c r="I2604" s="370">
        <v>2973.16748046875</v>
      </c>
      <c r="M2604" s="371">
        <f t="shared" si="161"/>
        <v>11176.219006207537</v>
      </c>
      <c r="N2604" s="329">
        <f t="shared" si="162"/>
        <v>0</v>
      </c>
      <c r="T2604" s="331">
        <v>0</v>
      </c>
      <c r="U2604" s="328">
        <f>VLOOKUP(C2604,METADATA!$J$5:$Q$29,IF(E2604="HI",2,IF(E2604="LO",6,10))+IF(T2604=1,2,IF(D2604=7,1,(IF(WEEKDAY(B2604)=1,2,IF(WEEKDAY(B2604)=7,1,0))))))</f>
        <v>2</v>
      </c>
      <c r="V2604" s="328">
        <f>VLOOKUP(C2604,METADATA!$A$5:$H$29,IF(E2604="HI",2,IF(E2604="LO",6,10))+IF(T2604=1,2,IF(D2604=7,1,(IF(WEEKDAY(B2604)=1,2,IF(WEEKDAY(B2604)=7,1,0))))))</f>
        <v>2</v>
      </c>
    </row>
    <row r="2605" spans="2:22">
      <c r="B2605" s="318">
        <f t="shared" si="163"/>
        <v>46221</v>
      </c>
      <c r="C2605" s="312">
        <v>9</v>
      </c>
      <c r="D2605" s="368">
        <f>IFERROR((INDEX(METADATA!$T$2:$T$20,MATCH(B2605,METADATA!$S$2:$S$20,0))),0)</f>
        <v>0</v>
      </c>
      <c r="E2605" s="312" t="str">
        <f t="shared" si="160"/>
        <v>LO</v>
      </c>
      <c r="F2605" s="369">
        <f>VLOOKUP(C2605,METADATA!$A$5:$H$29,IF(E2605="HI",2,IF(E2605="LO",6,10))+IF(D2605=1,2,IF(D2605=7,1,(IF(WEEKDAY(B2605)=1,2,IF(WEEKDAY(B2605)=7,1,0))))))</f>
        <v>2</v>
      </c>
      <c r="G2605" s="369">
        <f>VLOOKUP(C2605,METADATA!$J$5:$Q$29,IF(E2605="HI",2,IF(E2605="LO",6,10))+IF(D2605=1,2,IF(D2605=7,1,(IF(WEEKDAY(B2605)=1,2,IF(WEEKDAY(B2605)=7,1,0))))))</f>
        <v>2</v>
      </c>
      <c r="H2605" s="370">
        <v>11841.525085449219</v>
      </c>
      <c r="I2605" s="370">
        <v>3343.8975524902344</v>
      </c>
      <c r="M2605" s="371">
        <f t="shared" si="161"/>
        <v>12304.607559401205</v>
      </c>
      <c r="N2605" s="329">
        <f t="shared" si="162"/>
        <v>0</v>
      </c>
      <c r="T2605" s="331">
        <v>0</v>
      </c>
      <c r="U2605" s="328">
        <f>VLOOKUP(C2605,METADATA!$J$5:$Q$29,IF(E2605="HI",2,IF(E2605="LO",6,10))+IF(T2605=1,2,IF(D2605=7,1,(IF(WEEKDAY(B2605)=1,2,IF(WEEKDAY(B2605)=7,1,0))))))</f>
        <v>2</v>
      </c>
      <c r="V2605" s="328">
        <f>VLOOKUP(C2605,METADATA!$A$5:$H$29,IF(E2605="HI",2,IF(E2605="LO",6,10))+IF(T2605=1,2,IF(D2605=7,1,(IF(WEEKDAY(B2605)=1,2,IF(WEEKDAY(B2605)=7,1,0))))))</f>
        <v>2</v>
      </c>
    </row>
    <row r="2606" spans="2:22">
      <c r="B2606" s="318">
        <f t="shared" si="163"/>
        <v>46221</v>
      </c>
      <c r="C2606" s="312">
        <v>10</v>
      </c>
      <c r="D2606" s="368">
        <f>IFERROR((INDEX(METADATA!$T$2:$T$20,MATCH(B2606,METADATA!$S$2:$S$20,0))),0)</f>
        <v>0</v>
      </c>
      <c r="E2606" s="312" t="str">
        <f t="shared" si="160"/>
        <v>LO</v>
      </c>
      <c r="F2606" s="369">
        <f>VLOOKUP(C2606,METADATA!$A$5:$H$29,IF(E2606="HI",2,IF(E2606="LO",6,10))+IF(D2606=1,2,IF(D2606=7,1,(IF(WEEKDAY(B2606)=1,2,IF(WEEKDAY(B2606)=7,1,0))))))</f>
        <v>2</v>
      </c>
      <c r="G2606" s="369">
        <f>VLOOKUP(C2606,METADATA!$J$5:$Q$29,IF(E2606="HI",2,IF(E2606="LO",6,10))+IF(D2606=1,2,IF(D2606=7,1,(IF(WEEKDAY(B2606)=1,2,IF(WEEKDAY(B2606)=7,1,0))))))</f>
        <v>2</v>
      </c>
      <c r="H2606" s="370">
        <v>11639.752746582031</v>
      </c>
      <c r="I2606" s="370">
        <v>3072.0450439453125</v>
      </c>
      <c r="M2606" s="371">
        <f t="shared" si="161"/>
        <v>12038.326493063432</v>
      </c>
      <c r="N2606" s="329">
        <f t="shared" si="162"/>
        <v>0</v>
      </c>
      <c r="T2606" s="331">
        <v>0</v>
      </c>
      <c r="U2606" s="328">
        <f>VLOOKUP(C2606,METADATA!$J$5:$Q$29,IF(E2606="HI",2,IF(E2606="LO",6,10))+IF(T2606=1,2,IF(D2606=7,1,(IF(WEEKDAY(B2606)=1,2,IF(WEEKDAY(B2606)=7,1,0))))))</f>
        <v>2</v>
      </c>
      <c r="V2606" s="328">
        <f>VLOOKUP(C2606,METADATA!$A$5:$H$29,IF(E2606="HI",2,IF(E2606="LO",6,10))+IF(T2606=1,2,IF(D2606=7,1,(IF(WEEKDAY(B2606)=1,2,IF(WEEKDAY(B2606)=7,1,0))))))</f>
        <v>2</v>
      </c>
    </row>
    <row r="2607" spans="2:22">
      <c r="B2607" s="318">
        <f t="shared" si="163"/>
        <v>46221</v>
      </c>
      <c r="C2607" s="312">
        <v>11</v>
      </c>
      <c r="D2607" s="368">
        <f>IFERROR((INDEX(METADATA!$T$2:$T$20,MATCH(B2607,METADATA!$S$2:$S$20,0))),0)</f>
        <v>0</v>
      </c>
      <c r="E2607" s="312" t="str">
        <f t="shared" si="160"/>
        <v>LO</v>
      </c>
      <c r="F2607" s="369">
        <f>VLOOKUP(C2607,METADATA!$A$5:$H$29,IF(E2607="HI",2,IF(E2607="LO",6,10))+IF(D2607=1,2,IF(D2607=7,1,(IF(WEEKDAY(B2607)=1,2,IF(WEEKDAY(B2607)=7,1,0))))))</f>
        <v>2</v>
      </c>
      <c r="G2607" s="369">
        <f>VLOOKUP(C2607,METADATA!$J$5:$Q$29,IF(E2607="HI",2,IF(E2607="LO",6,10))+IF(D2607=1,2,IF(D2607=7,1,(IF(WEEKDAY(B2607)=1,2,IF(WEEKDAY(B2607)=7,1,0))))))</f>
        <v>2</v>
      </c>
      <c r="H2607" s="370">
        <v>13489.474975585938</v>
      </c>
      <c r="I2607" s="370">
        <v>4168.864990234375</v>
      </c>
      <c r="M2607" s="371">
        <f t="shared" si="161"/>
        <v>14118.972003080149</v>
      </c>
      <c r="N2607" s="329">
        <f t="shared" si="162"/>
        <v>122.02249755859384</v>
      </c>
      <c r="T2607" s="331">
        <v>0</v>
      </c>
      <c r="U2607" s="328">
        <f>VLOOKUP(C2607,METADATA!$J$5:$Q$29,IF(E2607="HI",2,IF(E2607="LO",6,10))+IF(T2607=1,2,IF(D2607=7,1,(IF(WEEKDAY(B2607)=1,2,IF(WEEKDAY(B2607)=7,1,0))))))</f>
        <v>2</v>
      </c>
      <c r="V2607" s="328">
        <f>VLOOKUP(C2607,METADATA!$A$5:$H$29,IF(E2607="HI",2,IF(E2607="LO",6,10))+IF(T2607=1,2,IF(D2607=7,1,(IF(WEEKDAY(B2607)=1,2,IF(WEEKDAY(B2607)=7,1,0))))))</f>
        <v>2</v>
      </c>
    </row>
    <row r="2608" spans="2:22">
      <c r="B2608" s="318">
        <f t="shared" si="163"/>
        <v>46221</v>
      </c>
      <c r="C2608" s="312">
        <v>12</v>
      </c>
      <c r="D2608" s="368">
        <f>IFERROR((INDEX(METADATA!$T$2:$T$20,MATCH(B2608,METADATA!$S$2:$S$20,0))),0)</f>
        <v>0</v>
      </c>
      <c r="E2608" s="312" t="str">
        <f t="shared" si="160"/>
        <v>LO</v>
      </c>
      <c r="F2608" s="369">
        <f>VLOOKUP(C2608,METADATA!$A$5:$H$29,IF(E2608="HI",2,IF(E2608="LO",6,10))+IF(D2608=1,2,IF(D2608=7,1,(IF(WEEKDAY(B2608)=1,2,IF(WEEKDAY(B2608)=7,1,0))))))</f>
        <v>3</v>
      </c>
      <c r="G2608" s="369">
        <f>VLOOKUP(C2608,METADATA!$J$5:$Q$29,IF(E2608="HI",2,IF(E2608="LO",6,10))+IF(D2608=1,2,IF(D2608=7,1,(IF(WEEKDAY(B2608)=1,2,IF(WEEKDAY(B2608)=7,1,0))))))</f>
        <v>3</v>
      </c>
      <c r="H2608" s="370">
        <v>13797.25</v>
      </c>
      <c r="I2608" s="370">
        <v>4378.3350219726563</v>
      </c>
      <c r="M2608" s="371">
        <f t="shared" si="161"/>
        <v>14475.286702761099</v>
      </c>
      <c r="N2608" s="329">
        <f t="shared" si="162"/>
        <v>239.16002197265607</v>
      </c>
      <c r="T2608" s="331">
        <v>0</v>
      </c>
      <c r="U2608" s="328">
        <f>VLOOKUP(C2608,METADATA!$J$5:$Q$29,IF(E2608="HI",2,IF(E2608="LO",6,10))+IF(T2608=1,2,IF(D2608=7,1,(IF(WEEKDAY(B2608)=1,2,IF(WEEKDAY(B2608)=7,1,0))))))</f>
        <v>3</v>
      </c>
      <c r="V2608" s="328">
        <f>VLOOKUP(C2608,METADATA!$A$5:$H$29,IF(E2608="HI",2,IF(E2608="LO",6,10))+IF(T2608=1,2,IF(D2608=7,1,(IF(WEEKDAY(B2608)=1,2,IF(WEEKDAY(B2608)=7,1,0))))))</f>
        <v>3</v>
      </c>
    </row>
    <row r="2609" spans="2:22">
      <c r="B2609" s="318">
        <f t="shared" si="163"/>
        <v>46221</v>
      </c>
      <c r="C2609" s="312">
        <v>13</v>
      </c>
      <c r="D2609" s="368">
        <f>IFERROR((INDEX(METADATA!$T$2:$T$20,MATCH(B2609,METADATA!$S$2:$S$20,0))),0)</f>
        <v>0</v>
      </c>
      <c r="E2609" s="312" t="str">
        <f t="shared" si="160"/>
        <v>LO</v>
      </c>
      <c r="F2609" s="369">
        <f>VLOOKUP(C2609,METADATA!$A$5:$H$29,IF(E2609="HI",2,IF(E2609="LO",6,10))+IF(D2609=1,2,IF(D2609=7,1,(IF(WEEKDAY(B2609)=1,2,IF(WEEKDAY(B2609)=7,1,0))))))</f>
        <v>3</v>
      </c>
      <c r="G2609" s="369">
        <f>VLOOKUP(C2609,METADATA!$J$5:$Q$29,IF(E2609="HI",2,IF(E2609="LO",6,10))+IF(D2609=1,2,IF(D2609=7,1,(IF(WEEKDAY(B2609)=1,2,IF(WEEKDAY(B2609)=7,1,0))))))</f>
        <v>3</v>
      </c>
      <c r="H2609" s="370">
        <v>13925.075256347656</v>
      </c>
      <c r="I2609" s="370">
        <v>4530.4850463867188</v>
      </c>
      <c r="M2609" s="371">
        <f t="shared" si="161"/>
        <v>14643.531529329917</v>
      </c>
      <c r="N2609" s="329">
        <f t="shared" si="162"/>
        <v>352.96246948242242</v>
      </c>
      <c r="T2609" s="331">
        <v>0</v>
      </c>
      <c r="U2609" s="328">
        <f>VLOOKUP(C2609,METADATA!$J$5:$Q$29,IF(E2609="HI",2,IF(E2609="LO",6,10))+IF(T2609=1,2,IF(D2609=7,1,(IF(WEEKDAY(B2609)=1,2,IF(WEEKDAY(B2609)=7,1,0))))))</f>
        <v>3</v>
      </c>
      <c r="V2609" s="328">
        <f>VLOOKUP(C2609,METADATA!$A$5:$H$29,IF(E2609="HI",2,IF(E2609="LO",6,10))+IF(T2609=1,2,IF(D2609=7,1,(IF(WEEKDAY(B2609)=1,2,IF(WEEKDAY(B2609)=7,1,0))))))</f>
        <v>3</v>
      </c>
    </row>
    <row r="2610" spans="2:22">
      <c r="B2610" s="318">
        <f t="shared" si="163"/>
        <v>46221</v>
      </c>
      <c r="C2610" s="312">
        <v>14</v>
      </c>
      <c r="D2610" s="368">
        <f>IFERROR((INDEX(METADATA!$T$2:$T$20,MATCH(B2610,METADATA!$S$2:$S$20,0))),0)</f>
        <v>0</v>
      </c>
      <c r="E2610" s="312" t="str">
        <f t="shared" si="160"/>
        <v>LO</v>
      </c>
      <c r="F2610" s="369">
        <f>VLOOKUP(C2610,METADATA!$A$5:$H$29,IF(E2610="HI",2,IF(E2610="LO",6,10))+IF(D2610=1,2,IF(D2610=7,1,(IF(WEEKDAY(B2610)=1,2,IF(WEEKDAY(B2610)=7,1,0))))))</f>
        <v>3</v>
      </c>
      <c r="G2610" s="369">
        <f>VLOOKUP(C2610,METADATA!$J$5:$Q$29,IF(E2610="HI",2,IF(E2610="LO",6,10))+IF(D2610=1,2,IF(D2610=7,1,(IF(WEEKDAY(B2610)=1,2,IF(WEEKDAY(B2610)=7,1,0))))))</f>
        <v>3</v>
      </c>
      <c r="H2610" s="370">
        <v>13810.950012207031</v>
      </c>
      <c r="I2610" s="370">
        <v>4436.0950012207031</v>
      </c>
      <c r="M2610" s="371">
        <f t="shared" si="161"/>
        <v>14505.904973476723</v>
      </c>
      <c r="N2610" s="329">
        <f t="shared" si="162"/>
        <v>292.80999755859375</v>
      </c>
      <c r="T2610" s="331">
        <v>0</v>
      </c>
      <c r="U2610" s="328">
        <f>VLOOKUP(C2610,METADATA!$J$5:$Q$29,IF(E2610="HI",2,IF(E2610="LO",6,10))+IF(T2610=1,2,IF(D2610=7,1,(IF(WEEKDAY(B2610)=1,2,IF(WEEKDAY(B2610)=7,1,0))))))</f>
        <v>3</v>
      </c>
      <c r="V2610" s="328">
        <f>VLOOKUP(C2610,METADATA!$A$5:$H$29,IF(E2610="HI",2,IF(E2610="LO",6,10))+IF(T2610=1,2,IF(D2610=7,1,(IF(WEEKDAY(B2610)=1,2,IF(WEEKDAY(B2610)=7,1,0))))))</f>
        <v>3</v>
      </c>
    </row>
    <row r="2611" spans="2:22">
      <c r="B2611" s="318">
        <f t="shared" si="163"/>
        <v>46221</v>
      </c>
      <c r="C2611" s="312">
        <v>15</v>
      </c>
      <c r="D2611" s="368">
        <f>IFERROR((INDEX(METADATA!$T$2:$T$20,MATCH(B2611,METADATA!$S$2:$S$20,0))),0)</f>
        <v>0</v>
      </c>
      <c r="E2611" s="312" t="str">
        <f t="shared" si="160"/>
        <v>LO</v>
      </c>
      <c r="F2611" s="369">
        <f>VLOOKUP(C2611,METADATA!$A$5:$H$29,IF(E2611="HI",2,IF(E2611="LO",6,10))+IF(D2611=1,2,IF(D2611=7,1,(IF(WEEKDAY(B2611)=1,2,IF(WEEKDAY(B2611)=7,1,0))))))</f>
        <v>3</v>
      </c>
      <c r="G2611" s="369">
        <f>VLOOKUP(C2611,METADATA!$J$5:$Q$29,IF(E2611="HI",2,IF(E2611="LO",6,10))+IF(D2611=1,2,IF(D2611=7,1,(IF(WEEKDAY(B2611)=1,2,IF(WEEKDAY(B2611)=7,1,0))))))</f>
        <v>3</v>
      </c>
      <c r="H2611" s="370">
        <v>13809.899780273438</v>
      </c>
      <c r="I2611" s="370">
        <v>4518.35498046875</v>
      </c>
      <c r="M2611" s="371">
        <f t="shared" si="161"/>
        <v>14530.274039766871</v>
      </c>
      <c r="N2611" s="329">
        <f t="shared" si="162"/>
        <v>375.3850463867193</v>
      </c>
      <c r="T2611" s="331">
        <v>0</v>
      </c>
      <c r="U2611" s="328">
        <f>VLOOKUP(C2611,METADATA!$J$5:$Q$29,IF(E2611="HI",2,IF(E2611="LO",6,10))+IF(T2611=1,2,IF(D2611=7,1,(IF(WEEKDAY(B2611)=1,2,IF(WEEKDAY(B2611)=7,1,0))))))</f>
        <v>3</v>
      </c>
      <c r="V2611" s="328">
        <f>VLOOKUP(C2611,METADATA!$A$5:$H$29,IF(E2611="HI",2,IF(E2611="LO",6,10))+IF(T2611=1,2,IF(D2611=7,1,(IF(WEEKDAY(B2611)=1,2,IF(WEEKDAY(B2611)=7,1,0))))))</f>
        <v>3</v>
      </c>
    </row>
    <row r="2612" spans="2:22">
      <c r="B2612" s="318">
        <f t="shared" si="163"/>
        <v>46221</v>
      </c>
      <c r="C2612" s="312">
        <v>16</v>
      </c>
      <c r="D2612" s="368">
        <f>IFERROR((INDEX(METADATA!$T$2:$T$20,MATCH(B2612,METADATA!$S$2:$S$20,0))),0)</f>
        <v>0</v>
      </c>
      <c r="E2612" s="312" t="str">
        <f t="shared" si="160"/>
        <v>LO</v>
      </c>
      <c r="F2612" s="369">
        <f>VLOOKUP(C2612,METADATA!$A$5:$H$29,IF(E2612="HI",2,IF(E2612="LO",6,10))+IF(D2612=1,2,IF(D2612=7,1,(IF(WEEKDAY(B2612)=1,2,IF(WEEKDAY(B2612)=7,1,0))))))</f>
        <v>3</v>
      </c>
      <c r="G2612" s="369">
        <f>VLOOKUP(C2612,METADATA!$J$5:$Q$29,IF(E2612="HI",2,IF(E2612="LO",6,10))+IF(D2612=1,2,IF(D2612=7,1,(IF(WEEKDAY(B2612)=1,2,IF(WEEKDAY(B2612)=7,1,0))))))</f>
        <v>3</v>
      </c>
      <c r="H2612" s="370">
        <v>13840.100219726563</v>
      </c>
      <c r="I2612" s="370">
        <v>4417.7699584960938</v>
      </c>
      <c r="M2612" s="371">
        <f t="shared" si="161"/>
        <v>14528.078520515568</v>
      </c>
      <c r="N2612" s="329">
        <f t="shared" si="162"/>
        <v>265.73989257812536</v>
      </c>
      <c r="T2612" s="331">
        <v>0</v>
      </c>
      <c r="U2612" s="328">
        <f>VLOOKUP(C2612,METADATA!$J$5:$Q$29,IF(E2612="HI",2,IF(E2612="LO",6,10))+IF(T2612=1,2,IF(D2612=7,1,(IF(WEEKDAY(B2612)=1,2,IF(WEEKDAY(B2612)=7,1,0))))))</f>
        <v>3</v>
      </c>
      <c r="V2612" s="328">
        <f>VLOOKUP(C2612,METADATA!$A$5:$H$29,IF(E2612="HI",2,IF(E2612="LO",6,10))+IF(T2612=1,2,IF(D2612=7,1,(IF(WEEKDAY(B2612)=1,2,IF(WEEKDAY(B2612)=7,1,0))))))</f>
        <v>3</v>
      </c>
    </row>
    <row r="2613" spans="2:22">
      <c r="B2613" s="318">
        <f t="shared" si="163"/>
        <v>46221</v>
      </c>
      <c r="C2613" s="312">
        <v>17</v>
      </c>
      <c r="D2613" s="368">
        <f>IFERROR((INDEX(METADATA!$T$2:$T$20,MATCH(B2613,METADATA!$S$2:$S$20,0))),0)</f>
        <v>0</v>
      </c>
      <c r="E2613" s="312" t="str">
        <f t="shared" si="160"/>
        <v>LO</v>
      </c>
      <c r="F2613" s="369">
        <f>VLOOKUP(C2613,METADATA!$A$5:$H$29,IF(E2613="HI",2,IF(E2613="LO",6,10))+IF(D2613=1,2,IF(D2613=7,1,(IF(WEEKDAY(B2613)=1,2,IF(WEEKDAY(B2613)=7,1,0))))))</f>
        <v>3</v>
      </c>
      <c r="G2613" s="369">
        <f>VLOOKUP(C2613,METADATA!$J$5:$Q$29,IF(E2613="HI",2,IF(E2613="LO",6,10))+IF(D2613=1,2,IF(D2613=7,1,(IF(WEEKDAY(B2613)=1,2,IF(WEEKDAY(B2613)=7,1,0))))))</f>
        <v>3</v>
      </c>
      <c r="H2613" s="370">
        <v>13808.975158691406</v>
      </c>
      <c r="I2613" s="370">
        <v>4228.1750793457031</v>
      </c>
      <c r="M2613" s="371">
        <f t="shared" si="161"/>
        <v>14441.788650820105</v>
      </c>
      <c r="N2613" s="329">
        <f t="shared" si="162"/>
        <v>85.482531738281068</v>
      </c>
      <c r="T2613" s="331">
        <v>0</v>
      </c>
      <c r="U2613" s="328">
        <f>VLOOKUP(C2613,METADATA!$J$5:$Q$29,IF(E2613="HI",2,IF(E2613="LO",6,10))+IF(T2613=1,2,IF(D2613=7,1,(IF(WEEKDAY(B2613)=1,2,IF(WEEKDAY(B2613)=7,1,0))))))</f>
        <v>3</v>
      </c>
      <c r="V2613" s="328">
        <f>VLOOKUP(C2613,METADATA!$A$5:$H$29,IF(E2613="HI",2,IF(E2613="LO",6,10))+IF(T2613=1,2,IF(D2613=7,1,(IF(WEEKDAY(B2613)=1,2,IF(WEEKDAY(B2613)=7,1,0))))))</f>
        <v>3</v>
      </c>
    </row>
    <row r="2614" spans="2:22">
      <c r="B2614" s="318">
        <f t="shared" si="163"/>
        <v>46221</v>
      </c>
      <c r="C2614" s="312">
        <v>18</v>
      </c>
      <c r="D2614" s="368">
        <f>IFERROR((INDEX(METADATA!$T$2:$T$20,MATCH(B2614,METADATA!$S$2:$S$20,0))),0)</f>
        <v>0</v>
      </c>
      <c r="E2614" s="312" t="str">
        <f t="shared" si="160"/>
        <v>LO</v>
      </c>
      <c r="F2614" s="369">
        <f>VLOOKUP(C2614,METADATA!$A$5:$H$29,IF(E2614="HI",2,IF(E2614="LO",6,10))+IF(D2614=1,2,IF(D2614=7,1,(IF(WEEKDAY(B2614)=1,2,IF(WEEKDAY(B2614)=7,1,0))))))</f>
        <v>2</v>
      </c>
      <c r="G2614" s="369">
        <f>VLOOKUP(C2614,METADATA!$J$5:$Q$29,IF(E2614="HI",2,IF(E2614="LO",6,10))+IF(D2614=1,2,IF(D2614=7,1,(IF(WEEKDAY(B2614)=1,2,IF(WEEKDAY(B2614)=7,1,0))))))</f>
        <v>2</v>
      </c>
      <c r="H2614" s="370">
        <v>13751.999877929688</v>
      </c>
      <c r="I2614" s="370">
        <v>4157.3500366210938</v>
      </c>
      <c r="M2614" s="371">
        <f t="shared" si="161"/>
        <v>14366.66488679859</v>
      </c>
      <c r="N2614" s="329">
        <f t="shared" si="162"/>
        <v>31.750073242187682</v>
      </c>
      <c r="T2614" s="331">
        <v>0</v>
      </c>
      <c r="U2614" s="328">
        <f>VLOOKUP(C2614,METADATA!$J$5:$Q$29,IF(E2614="HI",2,IF(E2614="LO",6,10))+IF(T2614=1,2,IF(D2614=7,1,(IF(WEEKDAY(B2614)=1,2,IF(WEEKDAY(B2614)=7,1,0))))))</f>
        <v>2</v>
      </c>
      <c r="V2614" s="328">
        <f>VLOOKUP(C2614,METADATA!$A$5:$H$29,IF(E2614="HI",2,IF(E2614="LO",6,10))+IF(T2614=1,2,IF(D2614=7,1,(IF(WEEKDAY(B2614)=1,2,IF(WEEKDAY(B2614)=7,1,0))))))</f>
        <v>2</v>
      </c>
    </row>
    <row r="2615" spans="2:22">
      <c r="B2615" s="318">
        <f t="shared" si="163"/>
        <v>46221</v>
      </c>
      <c r="C2615" s="312">
        <v>19</v>
      </c>
      <c r="D2615" s="368">
        <f>IFERROR((INDEX(METADATA!$T$2:$T$20,MATCH(B2615,METADATA!$S$2:$S$20,0))),0)</f>
        <v>0</v>
      </c>
      <c r="E2615" s="312" t="str">
        <f t="shared" si="160"/>
        <v>LO</v>
      </c>
      <c r="F2615" s="369">
        <f>VLOOKUP(C2615,METADATA!$A$5:$H$29,IF(E2615="HI",2,IF(E2615="LO",6,10))+IF(D2615=1,2,IF(D2615=7,1,(IF(WEEKDAY(B2615)=1,2,IF(WEEKDAY(B2615)=7,1,0))))))</f>
        <v>2</v>
      </c>
      <c r="G2615" s="369">
        <f>VLOOKUP(C2615,METADATA!$J$5:$Q$29,IF(E2615="HI",2,IF(E2615="LO",6,10))+IF(D2615=1,2,IF(D2615=7,1,(IF(WEEKDAY(B2615)=1,2,IF(WEEKDAY(B2615)=7,1,0))))))</f>
        <v>2</v>
      </c>
      <c r="H2615" s="370">
        <v>13703.049682617188</v>
      </c>
      <c r="I2615" s="370">
        <v>4221.235107421875</v>
      </c>
      <c r="M2615" s="371">
        <f t="shared" si="161"/>
        <v>14338.493520464623</v>
      </c>
      <c r="N2615" s="329">
        <f t="shared" si="162"/>
        <v>110.32020263671893</v>
      </c>
      <c r="T2615" s="331">
        <v>0</v>
      </c>
      <c r="U2615" s="328">
        <f>VLOOKUP(C2615,METADATA!$J$5:$Q$29,IF(E2615="HI",2,IF(E2615="LO",6,10))+IF(T2615=1,2,IF(D2615=7,1,(IF(WEEKDAY(B2615)=1,2,IF(WEEKDAY(B2615)=7,1,0))))))</f>
        <v>2</v>
      </c>
      <c r="V2615" s="328">
        <f>VLOOKUP(C2615,METADATA!$A$5:$H$29,IF(E2615="HI",2,IF(E2615="LO",6,10))+IF(T2615=1,2,IF(D2615=7,1,(IF(WEEKDAY(B2615)=1,2,IF(WEEKDAY(B2615)=7,1,0))))))</f>
        <v>2</v>
      </c>
    </row>
    <row r="2616" spans="2:22">
      <c r="B2616" s="318">
        <f t="shared" si="163"/>
        <v>46221</v>
      </c>
      <c r="C2616" s="312">
        <v>20</v>
      </c>
      <c r="D2616" s="368">
        <f>IFERROR((INDEX(METADATA!$T$2:$T$20,MATCH(B2616,METADATA!$S$2:$S$20,0))),0)</f>
        <v>0</v>
      </c>
      <c r="E2616" s="312" t="str">
        <f t="shared" si="160"/>
        <v>LO</v>
      </c>
      <c r="F2616" s="369">
        <f>VLOOKUP(C2616,METADATA!$A$5:$H$29,IF(E2616="HI",2,IF(E2616="LO",6,10))+IF(D2616=1,2,IF(D2616=7,1,(IF(WEEKDAY(B2616)=1,2,IF(WEEKDAY(B2616)=7,1,0))))))</f>
        <v>3</v>
      </c>
      <c r="G2616" s="369">
        <f>VLOOKUP(C2616,METADATA!$J$5:$Q$29,IF(E2616="HI",2,IF(E2616="LO",6,10))+IF(D2616=1,2,IF(D2616=7,1,(IF(WEEKDAY(B2616)=1,2,IF(WEEKDAY(B2616)=7,1,0))))))</f>
        <v>3</v>
      </c>
      <c r="H2616" s="370">
        <v>13883.525146484375</v>
      </c>
      <c r="I2616" s="370">
        <v>4402.1999816894531</v>
      </c>
      <c r="M2616" s="371">
        <f t="shared" si="161"/>
        <v>14564.739447441229</v>
      </c>
      <c r="N2616" s="329">
        <f t="shared" si="162"/>
        <v>237.14243774414081</v>
      </c>
      <c r="T2616" s="331">
        <v>0</v>
      </c>
      <c r="U2616" s="328">
        <f>VLOOKUP(C2616,METADATA!$J$5:$Q$29,IF(E2616="HI",2,IF(E2616="LO",6,10))+IF(T2616=1,2,IF(D2616=7,1,(IF(WEEKDAY(B2616)=1,2,IF(WEEKDAY(B2616)=7,1,0))))))</f>
        <v>3</v>
      </c>
      <c r="V2616" s="328">
        <f>VLOOKUP(C2616,METADATA!$A$5:$H$29,IF(E2616="HI",2,IF(E2616="LO",6,10))+IF(T2616=1,2,IF(D2616=7,1,(IF(WEEKDAY(B2616)=1,2,IF(WEEKDAY(B2616)=7,1,0))))))</f>
        <v>3</v>
      </c>
    </row>
    <row r="2617" spans="2:22">
      <c r="B2617" s="318">
        <f t="shared" si="163"/>
        <v>46221</v>
      </c>
      <c r="C2617" s="312">
        <v>21</v>
      </c>
      <c r="D2617" s="368">
        <f>IFERROR((INDEX(METADATA!$T$2:$T$20,MATCH(B2617,METADATA!$S$2:$S$20,0))),0)</f>
        <v>0</v>
      </c>
      <c r="E2617" s="312" t="str">
        <f t="shared" si="160"/>
        <v>LO</v>
      </c>
      <c r="F2617" s="369">
        <f>VLOOKUP(C2617,METADATA!$A$5:$H$29,IF(E2617="HI",2,IF(E2617="LO",6,10))+IF(D2617=1,2,IF(D2617=7,1,(IF(WEEKDAY(B2617)=1,2,IF(WEEKDAY(B2617)=7,1,0))))))</f>
        <v>3</v>
      </c>
      <c r="G2617" s="369">
        <f>VLOOKUP(C2617,METADATA!$J$5:$Q$29,IF(E2617="HI",2,IF(E2617="LO",6,10))+IF(D2617=1,2,IF(D2617=7,1,(IF(WEEKDAY(B2617)=1,2,IF(WEEKDAY(B2617)=7,1,0))))))</f>
        <v>3</v>
      </c>
      <c r="H2617" s="370">
        <v>13972.4501953125</v>
      </c>
      <c r="I2617" s="370">
        <v>4445.9100036621094</v>
      </c>
      <c r="M2617" s="371">
        <f t="shared" si="161"/>
        <v>14662.72417462564</v>
      </c>
      <c r="N2617" s="329">
        <f t="shared" si="162"/>
        <v>254.17494506835919</v>
      </c>
      <c r="T2617" s="331">
        <v>0</v>
      </c>
      <c r="U2617" s="328">
        <f>VLOOKUP(C2617,METADATA!$J$5:$Q$29,IF(E2617="HI",2,IF(E2617="LO",6,10))+IF(T2617=1,2,IF(D2617=7,1,(IF(WEEKDAY(B2617)=1,2,IF(WEEKDAY(B2617)=7,1,0))))))</f>
        <v>3</v>
      </c>
      <c r="V2617" s="328">
        <f>VLOOKUP(C2617,METADATA!$A$5:$H$29,IF(E2617="HI",2,IF(E2617="LO",6,10))+IF(T2617=1,2,IF(D2617=7,1,(IF(WEEKDAY(B2617)=1,2,IF(WEEKDAY(B2617)=7,1,0))))))</f>
        <v>3</v>
      </c>
    </row>
    <row r="2618" spans="2:22">
      <c r="B2618" s="318">
        <f t="shared" si="163"/>
        <v>46221</v>
      </c>
      <c r="C2618" s="312">
        <v>22</v>
      </c>
      <c r="D2618" s="368">
        <f>IFERROR((INDEX(METADATA!$T$2:$T$20,MATCH(B2618,METADATA!$S$2:$S$20,0))),0)</f>
        <v>0</v>
      </c>
      <c r="E2618" s="312" t="str">
        <f t="shared" si="160"/>
        <v>LO</v>
      </c>
      <c r="F2618" s="369">
        <f>VLOOKUP(C2618,METADATA!$A$5:$H$29,IF(E2618="HI",2,IF(E2618="LO",6,10))+IF(D2618=1,2,IF(D2618=7,1,(IF(WEEKDAY(B2618)=1,2,IF(WEEKDAY(B2618)=7,1,0))))))</f>
        <v>3</v>
      </c>
      <c r="G2618" s="369">
        <f>VLOOKUP(C2618,METADATA!$J$5:$Q$29,IF(E2618="HI",2,IF(E2618="LO",6,10))+IF(D2618=1,2,IF(D2618=7,1,(IF(WEEKDAY(B2618)=1,2,IF(WEEKDAY(B2618)=7,1,0))))))</f>
        <v>3</v>
      </c>
      <c r="H2618" s="370">
        <v>14027.250183105469</v>
      </c>
      <c r="I2618" s="370">
        <v>4335.93505859375</v>
      </c>
      <c r="M2618" s="371">
        <f t="shared" si="161"/>
        <v>14682.100685248512</v>
      </c>
      <c r="N2618" s="329">
        <f t="shared" si="162"/>
        <v>127.76000366210974</v>
      </c>
      <c r="T2618" s="331">
        <v>0</v>
      </c>
      <c r="U2618" s="328">
        <f>VLOOKUP(C2618,METADATA!$J$5:$Q$29,IF(E2618="HI",2,IF(E2618="LO",6,10))+IF(T2618=1,2,IF(D2618=7,1,(IF(WEEKDAY(B2618)=1,2,IF(WEEKDAY(B2618)=7,1,0))))))</f>
        <v>3</v>
      </c>
      <c r="V2618" s="328">
        <f>VLOOKUP(C2618,METADATA!$A$5:$H$29,IF(E2618="HI",2,IF(E2618="LO",6,10))+IF(T2618=1,2,IF(D2618=7,1,(IF(WEEKDAY(B2618)=1,2,IF(WEEKDAY(B2618)=7,1,0))))))</f>
        <v>3</v>
      </c>
    </row>
    <row r="2619" spans="2:22">
      <c r="B2619" s="318">
        <f t="shared" si="163"/>
        <v>46221</v>
      </c>
      <c r="C2619" s="312">
        <v>23</v>
      </c>
      <c r="D2619" s="368">
        <f>IFERROR((INDEX(METADATA!$T$2:$T$20,MATCH(B2619,METADATA!$S$2:$S$20,0))),0)</f>
        <v>0</v>
      </c>
      <c r="E2619" s="312" t="str">
        <f t="shared" si="160"/>
        <v>LO</v>
      </c>
      <c r="F2619" s="369">
        <f>VLOOKUP(C2619,METADATA!$A$5:$H$29,IF(E2619="HI",2,IF(E2619="LO",6,10))+IF(D2619=1,2,IF(D2619=7,1,(IF(WEEKDAY(B2619)=1,2,IF(WEEKDAY(B2619)=7,1,0))))))</f>
        <v>3</v>
      </c>
      <c r="G2619" s="369">
        <f>VLOOKUP(C2619,METADATA!$J$5:$Q$29,IF(E2619="HI",2,IF(E2619="LO",6,10))+IF(D2619=1,2,IF(D2619=7,1,(IF(WEEKDAY(B2619)=1,2,IF(WEEKDAY(B2619)=7,1,0))))))</f>
        <v>3</v>
      </c>
      <c r="H2619" s="370">
        <v>14024.025390625</v>
      </c>
      <c r="I2619" s="370">
        <v>4434.9800415039063</v>
      </c>
      <c r="M2619" s="371">
        <f t="shared" si="161"/>
        <v>14708.580357241573</v>
      </c>
      <c r="N2619" s="329">
        <f t="shared" si="162"/>
        <v>227.77242431640661</v>
      </c>
      <c r="T2619" s="331">
        <v>0</v>
      </c>
      <c r="U2619" s="328">
        <f>VLOOKUP(C2619,METADATA!$J$5:$Q$29,IF(E2619="HI",2,IF(E2619="LO",6,10))+IF(T2619=1,2,IF(D2619=7,1,(IF(WEEKDAY(B2619)=1,2,IF(WEEKDAY(B2619)=7,1,0))))))</f>
        <v>3</v>
      </c>
      <c r="V2619" s="328">
        <f>VLOOKUP(C2619,METADATA!$A$5:$H$29,IF(E2619="HI",2,IF(E2619="LO",6,10))+IF(T2619=1,2,IF(D2619=7,1,(IF(WEEKDAY(B2619)=1,2,IF(WEEKDAY(B2619)=7,1,0))))))</f>
        <v>3</v>
      </c>
    </row>
    <row r="2620" spans="2:22">
      <c r="B2620" s="318">
        <f t="shared" si="163"/>
        <v>46222</v>
      </c>
      <c r="C2620" s="312">
        <v>0</v>
      </c>
      <c r="D2620" s="368">
        <f>IFERROR((INDEX(METADATA!$T$2:$T$20,MATCH(B2620,METADATA!$S$2:$S$20,0))),0)</f>
        <v>0</v>
      </c>
      <c r="E2620" s="312" t="str">
        <f t="shared" si="160"/>
        <v>LO</v>
      </c>
      <c r="F2620" s="369">
        <f>VLOOKUP(C2620,METADATA!$A$5:$H$29,IF(E2620="HI",2,IF(E2620="LO",6,10))+IF(D2620=1,2,IF(D2620=7,1,(IF(WEEKDAY(B2620)=1,2,IF(WEEKDAY(B2620)=7,1,0))))))</f>
        <v>3</v>
      </c>
      <c r="G2620" s="369">
        <f>VLOOKUP(C2620,METADATA!$J$5:$Q$29,IF(E2620="HI",2,IF(E2620="LO",6,10))+IF(D2620=1,2,IF(D2620=7,1,(IF(WEEKDAY(B2620)=1,2,IF(WEEKDAY(B2620)=7,1,0))))))</f>
        <v>3</v>
      </c>
      <c r="H2620" s="370">
        <v>14088.10009765625</v>
      </c>
      <c r="I2620" s="370">
        <v>4380.1398620605469</v>
      </c>
      <c r="M2620" s="371">
        <f t="shared" si="161"/>
        <v>14753.311139293235</v>
      </c>
      <c r="N2620" s="329">
        <f t="shared" si="162"/>
        <v>153.70983276367224</v>
      </c>
      <c r="T2620" s="331">
        <v>0</v>
      </c>
      <c r="U2620" s="328">
        <f>VLOOKUP(C2620,METADATA!$J$5:$Q$29,IF(E2620="HI",2,IF(E2620="LO",6,10))+IF(T2620=1,2,IF(D2620=7,1,(IF(WEEKDAY(B2620)=1,2,IF(WEEKDAY(B2620)=7,1,0))))))</f>
        <v>3</v>
      </c>
      <c r="V2620" s="328">
        <f>VLOOKUP(C2620,METADATA!$A$5:$H$29,IF(E2620="HI",2,IF(E2620="LO",6,10))+IF(T2620=1,2,IF(D2620=7,1,(IF(WEEKDAY(B2620)=1,2,IF(WEEKDAY(B2620)=7,1,0))))))</f>
        <v>3</v>
      </c>
    </row>
    <row r="2621" spans="2:22">
      <c r="B2621" s="318">
        <f t="shared" si="163"/>
        <v>46222</v>
      </c>
      <c r="C2621" s="312">
        <v>1</v>
      </c>
      <c r="D2621" s="368">
        <f>IFERROR((INDEX(METADATA!$T$2:$T$20,MATCH(B2621,METADATA!$S$2:$S$20,0))),0)</f>
        <v>0</v>
      </c>
      <c r="E2621" s="312" t="str">
        <f t="shared" si="160"/>
        <v>LO</v>
      </c>
      <c r="F2621" s="369">
        <f>VLOOKUP(C2621,METADATA!$A$5:$H$29,IF(E2621="HI",2,IF(E2621="LO",6,10))+IF(D2621=1,2,IF(D2621=7,1,(IF(WEEKDAY(B2621)=1,2,IF(WEEKDAY(B2621)=7,1,0))))))</f>
        <v>3</v>
      </c>
      <c r="G2621" s="369">
        <f>VLOOKUP(C2621,METADATA!$J$5:$Q$29,IF(E2621="HI",2,IF(E2621="LO",6,10))+IF(D2621=1,2,IF(D2621=7,1,(IF(WEEKDAY(B2621)=1,2,IF(WEEKDAY(B2621)=7,1,0))))))</f>
        <v>3</v>
      </c>
      <c r="H2621" s="370">
        <v>14084.324829101563</v>
      </c>
      <c r="I2621" s="370">
        <v>4419.9600830078125</v>
      </c>
      <c r="M2621" s="371">
        <f t="shared" si="161"/>
        <v>14761.580302495704</v>
      </c>
      <c r="N2621" s="329">
        <f t="shared" si="162"/>
        <v>194.6626342773443</v>
      </c>
      <c r="T2621" s="331">
        <v>0</v>
      </c>
      <c r="U2621" s="328">
        <f>VLOOKUP(C2621,METADATA!$J$5:$Q$29,IF(E2621="HI",2,IF(E2621="LO",6,10))+IF(T2621=1,2,IF(D2621=7,1,(IF(WEEKDAY(B2621)=1,2,IF(WEEKDAY(B2621)=7,1,0))))))</f>
        <v>3</v>
      </c>
      <c r="V2621" s="328">
        <f>VLOOKUP(C2621,METADATA!$A$5:$H$29,IF(E2621="HI",2,IF(E2621="LO",6,10))+IF(T2621=1,2,IF(D2621=7,1,(IF(WEEKDAY(B2621)=1,2,IF(WEEKDAY(B2621)=7,1,0))))))</f>
        <v>3</v>
      </c>
    </row>
    <row r="2622" spans="2:22">
      <c r="B2622" s="318">
        <f t="shared" si="163"/>
        <v>46222</v>
      </c>
      <c r="C2622" s="312">
        <v>2</v>
      </c>
      <c r="D2622" s="368">
        <f>IFERROR((INDEX(METADATA!$T$2:$T$20,MATCH(B2622,METADATA!$S$2:$S$20,0))),0)</f>
        <v>0</v>
      </c>
      <c r="E2622" s="312" t="str">
        <f t="shared" si="160"/>
        <v>LO</v>
      </c>
      <c r="F2622" s="369">
        <f>VLOOKUP(C2622,METADATA!$A$5:$H$29,IF(E2622="HI",2,IF(E2622="LO",6,10))+IF(D2622=1,2,IF(D2622=7,1,(IF(WEEKDAY(B2622)=1,2,IF(WEEKDAY(B2622)=7,1,0))))))</f>
        <v>3</v>
      </c>
      <c r="G2622" s="369">
        <f>VLOOKUP(C2622,METADATA!$J$5:$Q$29,IF(E2622="HI",2,IF(E2622="LO",6,10))+IF(D2622=1,2,IF(D2622=7,1,(IF(WEEKDAY(B2622)=1,2,IF(WEEKDAY(B2622)=7,1,0))))))</f>
        <v>3</v>
      </c>
      <c r="H2622" s="370">
        <v>14024.52490234375</v>
      </c>
      <c r="I2622" s="370">
        <v>4460.1449584960938</v>
      </c>
      <c r="M2622" s="371">
        <f t="shared" si="161"/>
        <v>14716.663745131167</v>
      </c>
      <c r="N2622" s="329">
        <f t="shared" si="162"/>
        <v>252.78748779296893</v>
      </c>
      <c r="T2622" s="331">
        <v>0</v>
      </c>
      <c r="U2622" s="328">
        <f>VLOOKUP(C2622,METADATA!$J$5:$Q$29,IF(E2622="HI",2,IF(E2622="LO",6,10))+IF(T2622=1,2,IF(D2622=7,1,(IF(WEEKDAY(B2622)=1,2,IF(WEEKDAY(B2622)=7,1,0))))))</f>
        <v>3</v>
      </c>
      <c r="V2622" s="328">
        <f>VLOOKUP(C2622,METADATA!$A$5:$H$29,IF(E2622="HI",2,IF(E2622="LO",6,10))+IF(T2622=1,2,IF(D2622=7,1,(IF(WEEKDAY(B2622)=1,2,IF(WEEKDAY(B2622)=7,1,0))))))</f>
        <v>3</v>
      </c>
    </row>
    <row r="2623" spans="2:22">
      <c r="B2623" s="318">
        <f t="shared" si="163"/>
        <v>46222</v>
      </c>
      <c r="C2623" s="312">
        <v>3</v>
      </c>
      <c r="D2623" s="368">
        <f>IFERROR((INDEX(METADATA!$T$2:$T$20,MATCH(B2623,METADATA!$S$2:$S$20,0))),0)</f>
        <v>0</v>
      </c>
      <c r="E2623" s="312" t="str">
        <f t="shared" si="160"/>
        <v>LO</v>
      </c>
      <c r="F2623" s="369">
        <f>VLOOKUP(C2623,METADATA!$A$5:$H$29,IF(E2623="HI",2,IF(E2623="LO",6,10))+IF(D2623=1,2,IF(D2623=7,1,(IF(WEEKDAY(B2623)=1,2,IF(WEEKDAY(B2623)=7,1,0))))))</f>
        <v>3</v>
      </c>
      <c r="G2623" s="369">
        <f>VLOOKUP(C2623,METADATA!$J$5:$Q$29,IF(E2623="HI",2,IF(E2623="LO",6,10))+IF(D2623=1,2,IF(D2623=7,1,(IF(WEEKDAY(B2623)=1,2,IF(WEEKDAY(B2623)=7,1,0))))))</f>
        <v>3</v>
      </c>
      <c r="H2623" s="370">
        <v>13962.725036621094</v>
      </c>
      <c r="I2623" s="370">
        <v>4444.4800109863281</v>
      </c>
      <c r="M2623" s="371">
        <f t="shared" si="161"/>
        <v>14653.023340469452</v>
      </c>
      <c r="N2623" s="329">
        <f t="shared" si="162"/>
        <v>255.66250000000036</v>
      </c>
      <c r="T2623" s="331">
        <v>0</v>
      </c>
      <c r="U2623" s="328">
        <f>VLOOKUP(C2623,METADATA!$J$5:$Q$29,IF(E2623="HI",2,IF(E2623="LO",6,10))+IF(T2623=1,2,IF(D2623=7,1,(IF(WEEKDAY(B2623)=1,2,IF(WEEKDAY(B2623)=7,1,0))))))</f>
        <v>3</v>
      </c>
      <c r="V2623" s="328">
        <f>VLOOKUP(C2623,METADATA!$A$5:$H$29,IF(E2623="HI",2,IF(E2623="LO",6,10))+IF(T2623=1,2,IF(D2623=7,1,(IF(WEEKDAY(B2623)=1,2,IF(WEEKDAY(B2623)=7,1,0))))))</f>
        <v>3</v>
      </c>
    </row>
    <row r="2624" spans="2:22">
      <c r="B2624" s="318">
        <f t="shared" si="163"/>
        <v>46222</v>
      </c>
      <c r="C2624" s="312">
        <v>4</v>
      </c>
      <c r="D2624" s="368">
        <f>IFERROR((INDEX(METADATA!$T$2:$T$20,MATCH(B2624,METADATA!$S$2:$S$20,0))),0)</f>
        <v>0</v>
      </c>
      <c r="E2624" s="312" t="str">
        <f t="shared" si="160"/>
        <v>LO</v>
      </c>
      <c r="F2624" s="369">
        <f>VLOOKUP(C2624,METADATA!$A$5:$H$29,IF(E2624="HI",2,IF(E2624="LO",6,10))+IF(D2624=1,2,IF(D2624=7,1,(IF(WEEKDAY(B2624)=1,2,IF(WEEKDAY(B2624)=7,1,0))))))</f>
        <v>3</v>
      </c>
      <c r="G2624" s="369">
        <f>VLOOKUP(C2624,METADATA!$J$5:$Q$29,IF(E2624="HI",2,IF(E2624="LO",6,10))+IF(D2624=1,2,IF(D2624=7,1,(IF(WEEKDAY(B2624)=1,2,IF(WEEKDAY(B2624)=7,1,0))))))</f>
        <v>3</v>
      </c>
      <c r="H2624" s="370">
        <v>13971.025024414063</v>
      </c>
      <c r="I2624" s="370">
        <v>4383.1649780273438</v>
      </c>
      <c r="M2624" s="371">
        <f t="shared" si="161"/>
        <v>14642.461386577374</v>
      </c>
      <c r="N2624" s="329">
        <f t="shared" si="162"/>
        <v>191.85747070312482</v>
      </c>
      <c r="T2624" s="331">
        <v>0</v>
      </c>
      <c r="U2624" s="328">
        <f>VLOOKUP(C2624,METADATA!$J$5:$Q$29,IF(E2624="HI",2,IF(E2624="LO",6,10))+IF(T2624=1,2,IF(D2624=7,1,(IF(WEEKDAY(B2624)=1,2,IF(WEEKDAY(B2624)=7,1,0))))))</f>
        <v>3</v>
      </c>
      <c r="V2624" s="328">
        <f>VLOOKUP(C2624,METADATA!$A$5:$H$29,IF(E2624="HI",2,IF(E2624="LO",6,10))+IF(T2624=1,2,IF(D2624=7,1,(IF(WEEKDAY(B2624)=1,2,IF(WEEKDAY(B2624)=7,1,0))))))</f>
        <v>3</v>
      </c>
    </row>
    <row r="2625" spans="2:22">
      <c r="B2625" s="318">
        <f t="shared" si="163"/>
        <v>46222</v>
      </c>
      <c r="C2625" s="312">
        <v>5</v>
      </c>
      <c r="D2625" s="368">
        <f>IFERROR((INDEX(METADATA!$T$2:$T$20,MATCH(B2625,METADATA!$S$2:$S$20,0))),0)</f>
        <v>0</v>
      </c>
      <c r="E2625" s="312" t="str">
        <f t="shared" si="160"/>
        <v>LO</v>
      </c>
      <c r="F2625" s="369">
        <f>VLOOKUP(C2625,METADATA!$A$5:$H$29,IF(E2625="HI",2,IF(E2625="LO",6,10))+IF(D2625=1,2,IF(D2625=7,1,(IF(WEEKDAY(B2625)=1,2,IF(WEEKDAY(B2625)=7,1,0))))))</f>
        <v>3</v>
      </c>
      <c r="G2625" s="369">
        <f>VLOOKUP(C2625,METADATA!$J$5:$Q$29,IF(E2625="HI",2,IF(E2625="LO",6,10))+IF(D2625=1,2,IF(D2625=7,1,(IF(WEEKDAY(B2625)=1,2,IF(WEEKDAY(B2625)=7,1,0))))))</f>
        <v>3</v>
      </c>
      <c r="H2625" s="370">
        <v>13967.474914550781</v>
      </c>
      <c r="I2625" s="370">
        <v>4296.2699584960938</v>
      </c>
      <c r="M2625" s="371">
        <f t="shared" si="161"/>
        <v>14613.291588306905</v>
      </c>
      <c r="N2625" s="329">
        <f t="shared" si="162"/>
        <v>106.02748413085919</v>
      </c>
      <c r="T2625" s="331">
        <v>0</v>
      </c>
      <c r="U2625" s="328">
        <f>VLOOKUP(C2625,METADATA!$J$5:$Q$29,IF(E2625="HI",2,IF(E2625="LO",6,10))+IF(T2625=1,2,IF(D2625=7,1,(IF(WEEKDAY(B2625)=1,2,IF(WEEKDAY(B2625)=7,1,0))))))</f>
        <v>3</v>
      </c>
      <c r="V2625" s="328">
        <f>VLOOKUP(C2625,METADATA!$A$5:$H$29,IF(E2625="HI",2,IF(E2625="LO",6,10))+IF(T2625=1,2,IF(D2625=7,1,(IF(WEEKDAY(B2625)=1,2,IF(WEEKDAY(B2625)=7,1,0))))))</f>
        <v>3</v>
      </c>
    </row>
    <row r="2626" spans="2:22">
      <c r="B2626" s="318">
        <f t="shared" si="163"/>
        <v>46222</v>
      </c>
      <c r="C2626" s="312">
        <v>6</v>
      </c>
      <c r="D2626" s="368">
        <f>IFERROR((INDEX(METADATA!$T$2:$T$20,MATCH(B2626,METADATA!$S$2:$S$20,0))),0)</f>
        <v>0</v>
      </c>
      <c r="E2626" s="312" t="str">
        <f t="shared" si="160"/>
        <v>LO</v>
      </c>
      <c r="F2626" s="369">
        <f>VLOOKUP(C2626,METADATA!$A$5:$H$29,IF(E2626="HI",2,IF(E2626="LO",6,10))+IF(D2626=1,2,IF(D2626=7,1,(IF(WEEKDAY(B2626)=1,2,IF(WEEKDAY(B2626)=7,1,0))))))</f>
        <v>3</v>
      </c>
      <c r="G2626" s="369">
        <f>VLOOKUP(C2626,METADATA!$J$5:$Q$29,IF(E2626="HI",2,IF(E2626="LO",6,10))+IF(D2626=1,2,IF(D2626=7,1,(IF(WEEKDAY(B2626)=1,2,IF(WEEKDAY(B2626)=7,1,0))))))</f>
        <v>3</v>
      </c>
      <c r="H2626" s="370">
        <v>14050.299499511719</v>
      </c>
      <c r="I2626" s="370">
        <v>4246.0950317382813</v>
      </c>
      <c r="M2626" s="371">
        <f t="shared" si="161"/>
        <v>14677.8826485475</v>
      </c>
      <c r="N2626" s="329">
        <f t="shared" si="162"/>
        <v>31.005181884765989</v>
      </c>
      <c r="T2626" s="331">
        <v>0</v>
      </c>
      <c r="U2626" s="328">
        <f>VLOOKUP(C2626,METADATA!$J$5:$Q$29,IF(E2626="HI",2,IF(E2626="LO",6,10))+IF(T2626=1,2,IF(D2626=7,1,(IF(WEEKDAY(B2626)=1,2,IF(WEEKDAY(B2626)=7,1,0))))))</f>
        <v>3</v>
      </c>
      <c r="V2626" s="328">
        <f>VLOOKUP(C2626,METADATA!$A$5:$H$29,IF(E2626="HI",2,IF(E2626="LO",6,10))+IF(T2626=1,2,IF(D2626=7,1,(IF(WEEKDAY(B2626)=1,2,IF(WEEKDAY(B2626)=7,1,0))))))</f>
        <v>3</v>
      </c>
    </row>
    <row r="2627" spans="2:22">
      <c r="B2627" s="318">
        <f t="shared" si="163"/>
        <v>46222</v>
      </c>
      <c r="C2627" s="312">
        <v>7</v>
      </c>
      <c r="D2627" s="368">
        <f>IFERROR((INDEX(METADATA!$T$2:$T$20,MATCH(B2627,METADATA!$S$2:$S$20,0))),0)</f>
        <v>0</v>
      </c>
      <c r="E2627" s="312" t="str">
        <f t="shared" si="160"/>
        <v>LO</v>
      </c>
      <c r="F2627" s="369">
        <f>VLOOKUP(C2627,METADATA!$A$5:$H$29,IF(E2627="HI",2,IF(E2627="LO",6,10))+IF(D2627=1,2,IF(D2627=7,1,(IF(WEEKDAY(B2627)=1,2,IF(WEEKDAY(B2627)=7,1,0))))))</f>
        <v>3</v>
      </c>
      <c r="G2627" s="369">
        <f>VLOOKUP(C2627,METADATA!$J$5:$Q$29,IF(E2627="HI",2,IF(E2627="LO",6,10))+IF(D2627=1,2,IF(D2627=7,1,(IF(WEEKDAY(B2627)=1,2,IF(WEEKDAY(B2627)=7,1,0))))))</f>
        <v>3</v>
      </c>
      <c r="H2627" s="370">
        <v>14099.47509765625</v>
      </c>
      <c r="I2627" s="370">
        <v>4315.5900573730469</v>
      </c>
      <c r="M2627" s="371">
        <f t="shared" si="161"/>
        <v>14745.152273636439</v>
      </c>
      <c r="N2627" s="329">
        <f t="shared" si="162"/>
        <v>85.747528076171875</v>
      </c>
      <c r="T2627" s="331">
        <v>0</v>
      </c>
      <c r="U2627" s="328">
        <f>VLOOKUP(C2627,METADATA!$J$5:$Q$29,IF(E2627="HI",2,IF(E2627="LO",6,10))+IF(T2627=1,2,IF(D2627=7,1,(IF(WEEKDAY(B2627)=1,2,IF(WEEKDAY(B2627)=7,1,0))))))</f>
        <v>3</v>
      </c>
      <c r="V2627" s="328">
        <f>VLOOKUP(C2627,METADATA!$A$5:$H$29,IF(E2627="HI",2,IF(E2627="LO",6,10))+IF(T2627=1,2,IF(D2627=7,1,(IF(WEEKDAY(B2627)=1,2,IF(WEEKDAY(B2627)=7,1,0))))))</f>
        <v>3</v>
      </c>
    </row>
    <row r="2628" spans="2:22">
      <c r="B2628" s="318">
        <f t="shared" si="163"/>
        <v>46222</v>
      </c>
      <c r="C2628" s="312">
        <v>8</v>
      </c>
      <c r="D2628" s="368">
        <f>IFERROR((INDEX(METADATA!$T$2:$T$20,MATCH(B2628,METADATA!$S$2:$S$20,0))),0)</f>
        <v>0</v>
      </c>
      <c r="E2628" s="312" t="str">
        <f t="shared" ref="E2628:E2691" si="164">IF(B2628="","",IF(AND(MONTH(B2628)&gt;=MONTH($Z$9),MONTH(B2628)&lt;=MONTH($Z$11)),"HI","LO"))</f>
        <v>LO</v>
      </c>
      <c r="F2628" s="369">
        <f>VLOOKUP(C2628,METADATA!$A$5:$H$29,IF(E2628="HI",2,IF(E2628="LO",6,10))+IF(D2628=1,2,IF(D2628=7,1,(IF(WEEKDAY(B2628)=1,2,IF(WEEKDAY(B2628)=7,1,0))))))</f>
        <v>3</v>
      </c>
      <c r="G2628" s="369">
        <f>VLOOKUP(C2628,METADATA!$J$5:$Q$29,IF(E2628="HI",2,IF(E2628="LO",6,10))+IF(D2628=1,2,IF(D2628=7,1,(IF(WEEKDAY(B2628)=1,2,IF(WEEKDAY(B2628)=7,1,0))))))</f>
        <v>3</v>
      </c>
      <c r="H2628" s="370">
        <v>14068.200134277344</v>
      </c>
      <c r="I2628" s="370">
        <v>4414.1050720214844</v>
      </c>
      <c r="M2628" s="371">
        <f t="shared" ref="M2628:M2691" si="165">SQRT(H2628^2+I2628^2)</f>
        <v>14744.442295486353</v>
      </c>
      <c r="N2628" s="329">
        <f t="shared" ref="N2628:N2691" si="166">IF(H2628=0,0,(IF(I2628-(0.3*H2628)&lt;0,0,(I2628-(0.3*H2628)))))</f>
        <v>193.64503173828143</v>
      </c>
      <c r="T2628" s="331">
        <v>0</v>
      </c>
      <c r="U2628" s="328">
        <f>VLOOKUP(C2628,METADATA!$J$5:$Q$29,IF(E2628="HI",2,IF(E2628="LO",6,10))+IF(T2628=1,2,IF(D2628=7,1,(IF(WEEKDAY(B2628)=1,2,IF(WEEKDAY(B2628)=7,1,0))))))</f>
        <v>3</v>
      </c>
      <c r="V2628" s="328">
        <f>VLOOKUP(C2628,METADATA!$A$5:$H$29,IF(E2628="HI",2,IF(E2628="LO",6,10))+IF(T2628=1,2,IF(D2628=7,1,(IF(WEEKDAY(B2628)=1,2,IF(WEEKDAY(B2628)=7,1,0))))))</f>
        <v>3</v>
      </c>
    </row>
    <row r="2629" spans="2:22">
      <c r="B2629" s="318">
        <f t="shared" si="163"/>
        <v>46222</v>
      </c>
      <c r="C2629" s="312">
        <v>9</v>
      </c>
      <c r="D2629" s="368">
        <f>IFERROR((INDEX(METADATA!$T$2:$T$20,MATCH(B2629,METADATA!$S$2:$S$20,0))),0)</f>
        <v>0</v>
      </c>
      <c r="E2629" s="312" t="str">
        <f t="shared" si="164"/>
        <v>LO</v>
      </c>
      <c r="F2629" s="369">
        <f>VLOOKUP(C2629,METADATA!$A$5:$H$29,IF(E2629="HI",2,IF(E2629="LO",6,10))+IF(D2629=1,2,IF(D2629=7,1,(IF(WEEKDAY(B2629)=1,2,IF(WEEKDAY(B2629)=7,1,0))))))</f>
        <v>3</v>
      </c>
      <c r="G2629" s="369">
        <f>VLOOKUP(C2629,METADATA!$J$5:$Q$29,IF(E2629="HI",2,IF(E2629="LO",6,10))+IF(D2629=1,2,IF(D2629=7,1,(IF(WEEKDAY(B2629)=1,2,IF(WEEKDAY(B2629)=7,1,0))))))</f>
        <v>3</v>
      </c>
      <c r="H2629" s="370">
        <v>13616.599975585938</v>
      </c>
      <c r="I2629" s="370">
        <v>4340.8649597167969</v>
      </c>
      <c r="M2629" s="371">
        <f t="shared" si="165"/>
        <v>14291.777478453267</v>
      </c>
      <c r="N2629" s="329">
        <f t="shared" si="166"/>
        <v>255.8849670410159</v>
      </c>
      <c r="T2629" s="331">
        <v>0</v>
      </c>
      <c r="U2629" s="328">
        <f>VLOOKUP(C2629,METADATA!$J$5:$Q$29,IF(E2629="HI",2,IF(E2629="LO",6,10))+IF(T2629=1,2,IF(D2629=7,1,(IF(WEEKDAY(B2629)=1,2,IF(WEEKDAY(B2629)=7,1,0))))))</f>
        <v>3</v>
      </c>
      <c r="V2629" s="328">
        <f>VLOOKUP(C2629,METADATA!$A$5:$H$29,IF(E2629="HI",2,IF(E2629="LO",6,10))+IF(T2629=1,2,IF(D2629=7,1,(IF(WEEKDAY(B2629)=1,2,IF(WEEKDAY(B2629)=7,1,0))))))</f>
        <v>3</v>
      </c>
    </row>
    <row r="2630" spans="2:22">
      <c r="B2630" s="318">
        <f t="shared" si="163"/>
        <v>46222</v>
      </c>
      <c r="C2630" s="312">
        <v>10</v>
      </c>
      <c r="D2630" s="368">
        <f>IFERROR((INDEX(METADATA!$T$2:$T$20,MATCH(B2630,METADATA!$S$2:$S$20,0))),0)</f>
        <v>0</v>
      </c>
      <c r="E2630" s="312" t="str">
        <f t="shared" si="164"/>
        <v>LO</v>
      </c>
      <c r="F2630" s="369">
        <f>VLOOKUP(C2630,METADATA!$A$5:$H$29,IF(E2630="HI",2,IF(E2630="LO",6,10))+IF(D2630=1,2,IF(D2630=7,1,(IF(WEEKDAY(B2630)=1,2,IF(WEEKDAY(B2630)=7,1,0))))))</f>
        <v>3</v>
      </c>
      <c r="G2630" s="369">
        <f>VLOOKUP(C2630,METADATA!$J$5:$Q$29,IF(E2630="HI",2,IF(E2630="LO",6,10))+IF(D2630=1,2,IF(D2630=7,1,(IF(WEEKDAY(B2630)=1,2,IF(WEEKDAY(B2630)=7,1,0))))))</f>
        <v>3</v>
      </c>
      <c r="H2630" s="370">
        <v>12074.800109863281</v>
      </c>
      <c r="I2630" s="370">
        <v>3178.2874755859375</v>
      </c>
      <c r="M2630" s="371">
        <f t="shared" si="165"/>
        <v>12486.084613305356</v>
      </c>
      <c r="N2630" s="329">
        <f t="shared" si="166"/>
        <v>0</v>
      </c>
      <c r="T2630" s="331">
        <v>0</v>
      </c>
      <c r="U2630" s="328">
        <f>VLOOKUP(C2630,METADATA!$J$5:$Q$29,IF(E2630="HI",2,IF(E2630="LO",6,10))+IF(T2630=1,2,IF(D2630=7,1,(IF(WEEKDAY(B2630)=1,2,IF(WEEKDAY(B2630)=7,1,0))))))</f>
        <v>3</v>
      </c>
      <c r="V2630" s="328">
        <f>VLOOKUP(C2630,METADATA!$A$5:$H$29,IF(E2630="HI",2,IF(E2630="LO",6,10))+IF(T2630=1,2,IF(D2630=7,1,(IF(WEEKDAY(B2630)=1,2,IF(WEEKDAY(B2630)=7,1,0))))))</f>
        <v>3</v>
      </c>
    </row>
    <row r="2631" spans="2:22">
      <c r="B2631" s="318">
        <f t="shared" si="163"/>
        <v>46222</v>
      </c>
      <c r="C2631" s="312">
        <v>11</v>
      </c>
      <c r="D2631" s="368">
        <f>IFERROR((INDEX(METADATA!$T$2:$T$20,MATCH(B2631,METADATA!$S$2:$S$20,0))),0)</f>
        <v>0</v>
      </c>
      <c r="E2631" s="312" t="str">
        <f t="shared" si="164"/>
        <v>LO</v>
      </c>
      <c r="F2631" s="369">
        <f>VLOOKUP(C2631,METADATA!$A$5:$H$29,IF(E2631="HI",2,IF(E2631="LO",6,10))+IF(D2631=1,2,IF(D2631=7,1,(IF(WEEKDAY(B2631)=1,2,IF(WEEKDAY(B2631)=7,1,0))))))</f>
        <v>3</v>
      </c>
      <c r="G2631" s="369">
        <f>VLOOKUP(C2631,METADATA!$J$5:$Q$29,IF(E2631="HI",2,IF(E2631="LO",6,10))+IF(D2631=1,2,IF(D2631=7,1,(IF(WEEKDAY(B2631)=1,2,IF(WEEKDAY(B2631)=7,1,0))))))</f>
        <v>3</v>
      </c>
      <c r="H2631" s="370">
        <v>12210.599914550781</v>
      </c>
      <c r="I2631" s="370">
        <v>3248.8100280761719</v>
      </c>
      <c r="M2631" s="371">
        <f t="shared" si="165"/>
        <v>12635.407269722486</v>
      </c>
      <c r="N2631" s="329">
        <f t="shared" si="166"/>
        <v>0</v>
      </c>
      <c r="T2631" s="331">
        <v>0</v>
      </c>
      <c r="U2631" s="328">
        <f>VLOOKUP(C2631,METADATA!$J$5:$Q$29,IF(E2631="HI",2,IF(E2631="LO",6,10))+IF(T2631=1,2,IF(D2631=7,1,(IF(WEEKDAY(B2631)=1,2,IF(WEEKDAY(B2631)=7,1,0))))))</f>
        <v>3</v>
      </c>
      <c r="V2631" s="328">
        <f>VLOOKUP(C2631,METADATA!$A$5:$H$29,IF(E2631="HI",2,IF(E2631="LO",6,10))+IF(T2631=1,2,IF(D2631=7,1,(IF(WEEKDAY(B2631)=1,2,IF(WEEKDAY(B2631)=7,1,0))))))</f>
        <v>3</v>
      </c>
    </row>
    <row r="2632" spans="2:22">
      <c r="B2632" s="318">
        <f t="shared" si="163"/>
        <v>46222</v>
      </c>
      <c r="C2632" s="312">
        <v>12</v>
      </c>
      <c r="D2632" s="368">
        <f>IFERROR((INDEX(METADATA!$T$2:$T$20,MATCH(B2632,METADATA!$S$2:$S$20,0))),0)</f>
        <v>0</v>
      </c>
      <c r="E2632" s="312" t="str">
        <f t="shared" si="164"/>
        <v>LO</v>
      </c>
      <c r="F2632" s="369">
        <f>VLOOKUP(C2632,METADATA!$A$5:$H$29,IF(E2632="HI",2,IF(E2632="LO",6,10))+IF(D2632=1,2,IF(D2632=7,1,(IF(WEEKDAY(B2632)=1,2,IF(WEEKDAY(B2632)=7,1,0))))))</f>
        <v>3</v>
      </c>
      <c r="G2632" s="369">
        <f>VLOOKUP(C2632,METADATA!$J$5:$Q$29,IF(E2632="HI",2,IF(E2632="LO",6,10))+IF(D2632=1,2,IF(D2632=7,1,(IF(WEEKDAY(B2632)=1,2,IF(WEEKDAY(B2632)=7,1,0))))))</f>
        <v>3</v>
      </c>
      <c r="H2632" s="370">
        <v>12151.874938964844</v>
      </c>
      <c r="I2632" s="370">
        <v>3236.20751953125</v>
      </c>
      <c r="M2632" s="371">
        <f t="shared" si="165"/>
        <v>12575.416638891629</v>
      </c>
      <c r="N2632" s="329">
        <f t="shared" si="166"/>
        <v>0</v>
      </c>
      <c r="T2632" s="331">
        <v>0</v>
      </c>
      <c r="U2632" s="328">
        <f>VLOOKUP(C2632,METADATA!$J$5:$Q$29,IF(E2632="HI",2,IF(E2632="LO",6,10))+IF(T2632=1,2,IF(D2632=7,1,(IF(WEEKDAY(B2632)=1,2,IF(WEEKDAY(B2632)=7,1,0))))))</f>
        <v>3</v>
      </c>
      <c r="V2632" s="328">
        <f>VLOOKUP(C2632,METADATA!$A$5:$H$29,IF(E2632="HI",2,IF(E2632="LO",6,10))+IF(T2632=1,2,IF(D2632=7,1,(IF(WEEKDAY(B2632)=1,2,IF(WEEKDAY(B2632)=7,1,0))))))</f>
        <v>3</v>
      </c>
    </row>
    <row r="2633" spans="2:22">
      <c r="B2633" s="318">
        <f t="shared" si="163"/>
        <v>46222</v>
      </c>
      <c r="C2633" s="312">
        <v>13</v>
      </c>
      <c r="D2633" s="368">
        <f>IFERROR((INDEX(METADATA!$T$2:$T$20,MATCH(B2633,METADATA!$S$2:$S$20,0))),0)</f>
        <v>0</v>
      </c>
      <c r="E2633" s="312" t="str">
        <f t="shared" si="164"/>
        <v>LO</v>
      </c>
      <c r="F2633" s="369">
        <f>VLOOKUP(C2633,METADATA!$A$5:$H$29,IF(E2633="HI",2,IF(E2633="LO",6,10))+IF(D2633=1,2,IF(D2633=7,1,(IF(WEEKDAY(B2633)=1,2,IF(WEEKDAY(B2633)=7,1,0))))))</f>
        <v>3</v>
      </c>
      <c r="G2633" s="369">
        <f>VLOOKUP(C2633,METADATA!$J$5:$Q$29,IF(E2633="HI",2,IF(E2633="LO",6,10))+IF(D2633=1,2,IF(D2633=7,1,(IF(WEEKDAY(B2633)=1,2,IF(WEEKDAY(B2633)=7,1,0))))))</f>
        <v>3</v>
      </c>
      <c r="H2633" s="370">
        <v>14116.724853515625</v>
      </c>
      <c r="I2633" s="370">
        <v>4404.1399841308594</v>
      </c>
      <c r="M2633" s="371">
        <f t="shared" si="165"/>
        <v>14787.777709638656</v>
      </c>
      <c r="N2633" s="329">
        <f t="shared" si="166"/>
        <v>169.12252807617188</v>
      </c>
      <c r="T2633" s="331">
        <v>0</v>
      </c>
      <c r="U2633" s="328">
        <f>VLOOKUP(C2633,METADATA!$J$5:$Q$29,IF(E2633="HI",2,IF(E2633="LO",6,10))+IF(T2633=1,2,IF(D2633=7,1,(IF(WEEKDAY(B2633)=1,2,IF(WEEKDAY(B2633)=7,1,0))))))</f>
        <v>3</v>
      </c>
      <c r="V2633" s="328">
        <f>VLOOKUP(C2633,METADATA!$A$5:$H$29,IF(E2633="HI",2,IF(E2633="LO",6,10))+IF(T2633=1,2,IF(D2633=7,1,(IF(WEEKDAY(B2633)=1,2,IF(WEEKDAY(B2633)=7,1,0))))))</f>
        <v>3</v>
      </c>
    </row>
    <row r="2634" spans="2:22">
      <c r="B2634" s="318">
        <f t="shared" si="163"/>
        <v>46222</v>
      </c>
      <c r="C2634" s="312">
        <v>14</v>
      </c>
      <c r="D2634" s="368">
        <f>IFERROR((INDEX(METADATA!$T$2:$T$20,MATCH(B2634,METADATA!$S$2:$S$20,0))),0)</f>
        <v>0</v>
      </c>
      <c r="E2634" s="312" t="str">
        <f t="shared" si="164"/>
        <v>LO</v>
      </c>
      <c r="F2634" s="369">
        <f>VLOOKUP(C2634,METADATA!$A$5:$H$29,IF(E2634="HI",2,IF(E2634="LO",6,10))+IF(D2634=1,2,IF(D2634=7,1,(IF(WEEKDAY(B2634)=1,2,IF(WEEKDAY(B2634)=7,1,0))))))</f>
        <v>3</v>
      </c>
      <c r="G2634" s="369">
        <f>VLOOKUP(C2634,METADATA!$J$5:$Q$29,IF(E2634="HI",2,IF(E2634="LO",6,10))+IF(D2634=1,2,IF(D2634=7,1,(IF(WEEKDAY(B2634)=1,2,IF(WEEKDAY(B2634)=7,1,0))))))</f>
        <v>3</v>
      </c>
      <c r="H2634" s="370">
        <v>14334.050048828125</v>
      </c>
      <c r="I2634" s="370">
        <v>4455.1500244140625</v>
      </c>
      <c r="M2634" s="371">
        <f t="shared" si="165"/>
        <v>15010.441450615175</v>
      </c>
      <c r="N2634" s="329">
        <f t="shared" si="166"/>
        <v>154.93500976562518</v>
      </c>
      <c r="T2634" s="331">
        <v>0</v>
      </c>
      <c r="U2634" s="328">
        <f>VLOOKUP(C2634,METADATA!$J$5:$Q$29,IF(E2634="HI",2,IF(E2634="LO",6,10))+IF(T2634=1,2,IF(D2634=7,1,(IF(WEEKDAY(B2634)=1,2,IF(WEEKDAY(B2634)=7,1,0))))))</f>
        <v>3</v>
      </c>
      <c r="V2634" s="328">
        <f>VLOOKUP(C2634,METADATA!$A$5:$H$29,IF(E2634="HI",2,IF(E2634="LO",6,10))+IF(T2634=1,2,IF(D2634=7,1,(IF(WEEKDAY(B2634)=1,2,IF(WEEKDAY(B2634)=7,1,0))))))</f>
        <v>3</v>
      </c>
    </row>
    <row r="2635" spans="2:22">
      <c r="B2635" s="318">
        <f t="shared" si="163"/>
        <v>46222</v>
      </c>
      <c r="C2635" s="312">
        <v>15</v>
      </c>
      <c r="D2635" s="368">
        <f>IFERROR((INDEX(METADATA!$T$2:$T$20,MATCH(B2635,METADATA!$S$2:$S$20,0))),0)</f>
        <v>0</v>
      </c>
      <c r="E2635" s="312" t="str">
        <f t="shared" si="164"/>
        <v>LO</v>
      </c>
      <c r="F2635" s="369">
        <f>VLOOKUP(C2635,METADATA!$A$5:$H$29,IF(E2635="HI",2,IF(E2635="LO",6,10))+IF(D2635=1,2,IF(D2635=7,1,(IF(WEEKDAY(B2635)=1,2,IF(WEEKDAY(B2635)=7,1,0))))))</f>
        <v>3</v>
      </c>
      <c r="G2635" s="369">
        <f>VLOOKUP(C2635,METADATA!$J$5:$Q$29,IF(E2635="HI",2,IF(E2635="LO",6,10))+IF(D2635=1,2,IF(D2635=7,1,(IF(WEEKDAY(B2635)=1,2,IF(WEEKDAY(B2635)=7,1,0))))))</f>
        <v>3</v>
      </c>
      <c r="H2635" s="370">
        <v>14327.100219726563</v>
      </c>
      <c r="I2635" s="370">
        <v>4625.300048828125</v>
      </c>
      <c r="M2635" s="371">
        <f t="shared" si="165"/>
        <v>15055.205121411609</v>
      </c>
      <c r="N2635" s="329">
        <f t="shared" si="166"/>
        <v>327.16998291015625</v>
      </c>
      <c r="T2635" s="331">
        <v>0</v>
      </c>
      <c r="U2635" s="328">
        <f>VLOOKUP(C2635,METADATA!$J$5:$Q$29,IF(E2635="HI",2,IF(E2635="LO",6,10))+IF(T2635=1,2,IF(D2635=7,1,(IF(WEEKDAY(B2635)=1,2,IF(WEEKDAY(B2635)=7,1,0))))))</f>
        <v>3</v>
      </c>
      <c r="V2635" s="328">
        <f>VLOOKUP(C2635,METADATA!$A$5:$H$29,IF(E2635="HI",2,IF(E2635="LO",6,10))+IF(T2635=1,2,IF(D2635=7,1,(IF(WEEKDAY(B2635)=1,2,IF(WEEKDAY(B2635)=7,1,0))))))</f>
        <v>3</v>
      </c>
    </row>
    <row r="2636" spans="2:22">
      <c r="B2636" s="318">
        <f t="shared" si="163"/>
        <v>46222</v>
      </c>
      <c r="C2636" s="312">
        <v>16</v>
      </c>
      <c r="D2636" s="368">
        <f>IFERROR((INDEX(METADATA!$T$2:$T$20,MATCH(B2636,METADATA!$S$2:$S$20,0))),0)</f>
        <v>0</v>
      </c>
      <c r="E2636" s="312" t="str">
        <f t="shared" si="164"/>
        <v>LO</v>
      </c>
      <c r="F2636" s="369">
        <f>VLOOKUP(C2636,METADATA!$A$5:$H$29,IF(E2636="HI",2,IF(E2636="LO",6,10))+IF(D2636=1,2,IF(D2636=7,1,(IF(WEEKDAY(B2636)=1,2,IF(WEEKDAY(B2636)=7,1,0))))))</f>
        <v>3</v>
      </c>
      <c r="G2636" s="369">
        <f>VLOOKUP(C2636,METADATA!$J$5:$Q$29,IF(E2636="HI",2,IF(E2636="LO",6,10))+IF(D2636=1,2,IF(D2636=7,1,(IF(WEEKDAY(B2636)=1,2,IF(WEEKDAY(B2636)=7,1,0))))))</f>
        <v>3</v>
      </c>
      <c r="H2636" s="370">
        <v>14254.674987792969</v>
      </c>
      <c r="I2636" s="370">
        <v>4544.4849548339844</v>
      </c>
      <c r="M2636" s="371">
        <f t="shared" si="165"/>
        <v>14961.554147625269</v>
      </c>
      <c r="N2636" s="329">
        <f t="shared" si="166"/>
        <v>268.08245849609375</v>
      </c>
      <c r="T2636" s="331">
        <v>0</v>
      </c>
      <c r="U2636" s="328">
        <f>VLOOKUP(C2636,METADATA!$J$5:$Q$29,IF(E2636="HI",2,IF(E2636="LO",6,10))+IF(T2636=1,2,IF(D2636=7,1,(IF(WEEKDAY(B2636)=1,2,IF(WEEKDAY(B2636)=7,1,0))))))</f>
        <v>3</v>
      </c>
      <c r="V2636" s="328">
        <f>VLOOKUP(C2636,METADATA!$A$5:$H$29,IF(E2636="HI",2,IF(E2636="LO",6,10))+IF(T2636=1,2,IF(D2636=7,1,(IF(WEEKDAY(B2636)=1,2,IF(WEEKDAY(B2636)=7,1,0))))))</f>
        <v>3</v>
      </c>
    </row>
    <row r="2637" spans="2:22">
      <c r="B2637" s="318">
        <f t="shared" si="163"/>
        <v>46222</v>
      </c>
      <c r="C2637" s="312">
        <v>17</v>
      </c>
      <c r="D2637" s="368">
        <f>IFERROR((INDEX(METADATA!$T$2:$T$20,MATCH(B2637,METADATA!$S$2:$S$20,0))),0)</f>
        <v>0</v>
      </c>
      <c r="E2637" s="312" t="str">
        <f t="shared" si="164"/>
        <v>LO</v>
      </c>
      <c r="F2637" s="369">
        <f>VLOOKUP(C2637,METADATA!$A$5:$H$29,IF(E2637="HI",2,IF(E2637="LO",6,10))+IF(D2637=1,2,IF(D2637=7,1,(IF(WEEKDAY(B2637)=1,2,IF(WEEKDAY(B2637)=7,1,0))))))</f>
        <v>3</v>
      </c>
      <c r="G2637" s="369">
        <f>VLOOKUP(C2637,METADATA!$J$5:$Q$29,IF(E2637="HI",2,IF(E2637="LO",6,10))+IF(D2637=1,2,IF(D2637=7,1,(IF(WEEKDAY(B2637)=1,2,IF(WEEKDAY(B2637)=7,1,0))))))</f>
        <v>3</v>
      </c>
      <c r="H2637" s="370">
        <v>13835.12451171875</v>
      </c>
      <c r="I2637" s="370">
        <v>4303.3300170898438</v>
      </c>
      <c r="M2637" s="371">
        <f t="shared" si="165"/>
        <v>14488.937831695857</v>
      </c>
      <c r="N2637" s="329">
        <f t="shared" si="166"/>
        <v>152.79266357421875</v>
      </c>
      <c r="T2637" s="331">
        <v>0</v>
      </c>
      <c r="U2637" s="328">
        <f>VLOOKUP(C2637,METADATA!$J$5:$Q$29,IF(E2637="HI",2,IF(E2637="LO",6,10))+IF(T2637=1,2,IF(D2637=7,1,(IF(WEEKDAY(B2637)=1,2,IF(WEEKDAY(B2637)=7,1,0))))))</f>
        <v>3</v>
      </c>
      <c r="V2637" s="328">
        <f>VLOOKUP(C2637,METADATA!$A$5:$H$29,IF(E2637="HI",2,IF(E2637="LO",6,10))+IF(T2637=1,2,IF(D2637=7,1,(IF(WEEKDAY(B2637)=1,2,IF(WEEKDAY(B2637)=7,1,0))))))</f>
        <v>3</v>
      </c>
    </row>
    <row r="2638" spans="2:22">
      <c r="B2638" s="318">
        <f t="shared" si="163"/>
        <v>46222</v>
      </c>
      <c r="C2638" s="312">
        <v>18</v>
      </c>
      <c r="D2638" s="368">
        <f>IFERROR((INDEX(METADATA!$T$2:$T$20,MATCH(B2638,METADATA!$S$2:$S$20,0))),0)</f>
        <v>0</v>
      </c>
      <c r="E2638" s="312" t="str">
        <f t="shared" si="164"/>
        <v>LO</v>
      </c>
      <c r="F2638" s="369">
        <f>VLOOKUP(C2638,METADATA!$A$5:$H$29,IF(E2638="HI",2,IF(E2638="LO",6,10))+IF(D2638=1,2,IF(D2638=7,1,(IF(WEEKDAY(B2638)=1,2,IF(WEEKDAY(B2638)=7,1,0))))))</f>
        <v>2</v>
      </c>
      <c r="G2638" s="369">
        <f>VLOOKUP(C2638,METADATA!$J$5:$Q$29,IF(E2638="HI",2,IF(E2638="LO",6,10))+IF(D2638=1,2,IF(D2638=7,1,(IF(WEEKDAY(B2638)=1,2,IF(WEEKDAY(B2638)=7,1,0))))))</f>
        <v>2</v>
      </c>
      <c r="H2638" s="370">
        <v>13616.175170898438</v>
      </c>
      <c r="I2638" s="370">
        <v>3975.9100036621094</v>
      </c>
      <c r="M2638" s="371">
        <f t="shared" si="165"/>
        <v>14184.783630419306</v>
      </c>
      <c r="N2638" s="329">
        <f t="shared" si="166"/>
        <v>0</v>
      </c>
      <c r="T2638" s="331">
        <v>0</v>
      </c>
      <c r="U2638" s="328">
        <f>VLOOKUP(C2638,METADATA!$J$5:$Q$29,IF(E2638="HI",2,IF(E2638="LO",6,10))+IF(T2638=1,2,IF(D2638=7,1,(IF(WEEKDAY(B2638)=1,2,IF(WEEKDAY(B2638)=7,1,0))))))</f>
        <v>2</v>
      </c>
      <c r="V2638" s="328">
        <f>VLOOKUP(C2638,METADATA!$A$5:$H$29,IF(E2638="HI",2,IF(E2638="LO",6,10))+IF(T2638=1,2,IF(D2638=7,1,(IF(WEEKDAY(B2638)=1,2,IF(WEEKDAY(B2638)=7,1,0))))))</f>
        <v>2</v>
      </c>
    </row>
    <row r="2639" spans="2:22">
      <c r="B2639" s="318">
        <f t="shared" si="163"/>
        <v>46222</v>
      </c>
      <c r="C2639" s="312">
        <v>19</v>
      </c>
      <c r="D2639" s="368">
        <f>IFERROR((INDEX(METADATA!$T$2:$T$20,MATCH(B2639,METADATA!$S$2:$S$20,0))),0)</f>
        <v>0</v>
      </c>
      <c r="E2639" s="312" t="str">
        <f t="shared" si="164"/>
        <v>LO</v>
      </c>
      <c r="F2639" s="369">
        <f>VLOOKUP(C2639,METADATA!$A$5:$H$29,IF(E2639="HI",2,IF(E2639="LO",6,10))+IF(D2639=1,2,IF(D2639=7,1,(IF(WEEKDAY(B2639)=1,2,IF(WEEKDAY(B2639)=7,1,0))))))</f>
        <v>2</v>
      </c>
      <c r="G2639" s="369">
        <f>VLOOKUP(C2639,METADATA!$J$5:$Q$29,IF(E2639="HI",2,IF(E2639="LO",6,10))+IF(D2639=1,2,IF(D2639=7,1,(IF(WEEKDAY(B2639)=1,2,IF(WEEKDAY(B2639)=7,1,0))))))</f>
        <v>2</v>
      </c>
      <c r="H2639" s="370">
        <v>13546.75</v>
      </c>
      <c r="I2639" s="370">
        <v>3982.1549682617188</v>
      </c>
      <c r="M2639" s="371">
        <f t="shared" si="165"/>
        <v>14119.914792722777</v>
      </c>
      <c r="N2639" s="329">
        <f t="shared" si="166"/>
        <v>0</v>
      </c>
      <c r="T2639" s="331">
        <v>0</v>
      </c>
      <c r="U2639" s="328">
        <f>VLOOKUP(C2639,METADATA!$J$5:$Q$29,IF(E2639="HI",2,IF(E2639="LO",6,10))+IF(T2639=1,2,IF(D2639=7,1,(IF(WEEKDAY(B2639)=1,2,IF(WEEKDAY(B2639)=7,1,0))))))</f>
        <v>2</v>
      </c>
      <c r="V2639" s="328">
        <f>VLOOKUP(C2639,METADATA!$A$5:$H$29,IF(E2639="HI",2,IF(E2639="LO",6,10))+IF(T2639=1,2,IF(D2639=7,1,(IF(WEEKDAY(B2639)=1,2,IF(WEEKDAY(B2639)=7,1,0))))))</f>
        <v>2</v>
      </c>
    </row>
    <row r="2640" spans="2:22">
      <c r="B2640" s="318">
        <f t="shared" si="163"/>
        <v>46222</v>
      </c>
      <c r="C2640" s="312">
        <v>20</v>
      </c>
      <c r="D2640" s="368">
        <f>IFERROR((INDEX(METADATA!$T$2:$T$20,MATCH(B2640,METADATA!$S$2:$S$20,0))),0)</f>
        <v>0</v>
      </c>
      <c r="E2640" s="312" t="str">
        <f t="shared" si="164"/>
        <v>LO</v>
      </c>
      <c r="F2640" s="369">
        <f>VLOOKUP(C2640,METADATA!$A$5:$H$29,IF(E2640="HI",2,IF(E2640="LO",6,10))+IF(D2640=1,2,IF(D2640=7,1,(IF(WEEKDAY(B2640)=1,2,IF(WEEKDAY(B2640)=7,1,0))))))</f>
        <v>3</v>
      </c>
      <c r="G2640" s="369">
        <f>VLOOKUP(C2640,METADATA!$J$5:$Q$29,IF(E2640="HI",2,IF(E2640="LO",6,10))+IF(D2640=1,2,IF(D2640=7,1,(IF(WEEKDAY(B2640)=1,2,IF(WEEKDAY(B2640)=7,1,0))))))</f>
        <v>3</v>
      </c>
      <c r="H2640" s="370">
        <v>13754.000366210938</v>
      </c>
      <c r="I2640" s="370">
        <v>4201.3599853515625</v>
      </c>
      <c r="M2640" s="371">
        <f t="shared" si="165"/>
        <v>14381.375170693651</v>
      </c>
      <c r="N2640" s="329">
        <f t="shared" si="166"/>
        <v>75.159875488281614</v>
      </c>
      <c r="T2640" s="331">
        <v>0</v>
      </c>
      <c r="U2640" s="328">
        <f>VLOOKUP(C2640,METADATA!$J$5:$Q$29,IF(E2640="HI",2,IF(E2640="LO",6,10))+IF(T2640=1,2,IF(D2640=7,1,(IF(WEEKDAY(B2640)=1,2,IF(WEEKDAY(B2640)=7,1,0))))))</f>
        <v>3</v>
      </c>
      <c r="V2640" s="328">
        <f>VLOOKUP(C2640,METADATA!$A$5:$H$29,IF(E2640="HI",2,IF(E2640="LO",6,10))+IF(T2640=1,2,IF(D2640=7,1,(IF(WEEKDAY(B2640)=1,2,IF(WEEKDAY(B2640)=7,1,0))))))</f>
        <v>3</v>
      </c>
    </row>
    <row r="2641" spans="2:22">
      <c r="B2641" s="318">
        <f t="shared" si="163"/>
        <v>46222</v>
      </c>
      <c r="C2641" s="312">
        <v>21</v>
      </c>
      <c r="D2641" s="368">
        <f>IFERROR((INDEX(METADATA!$T$2:$T$20,MATCH(B2641,METADATA!$S$2:$S$20,0))),0)</f>
        <v>0</v>
      </c>
      <c r="E2641" s="312" t="str">
        <f t="shared" si="164"/>
        <v>LO</v>
      </c>
      <c r="F2641" s="369">
        <f>VLOOKUP(C2641,METADATA!$A$5:$H$29,IF(E2641="HI",2,IF(E2641="LO",6,10))+IF(D2641=1,2,IF(D2641=7,1,(IF(WEEKDAY(B2641)=1,2,IF(WEEKDAY(B2641)=7,1,0))))))</f>
        <v>3</v>
      </c>
      <c r="G2641" s="369">
        <f>VLOOKUP(C2641,METADATA!$J$5:$Q$29,IF(E2641="HI",2,IF(E2641="LO",6,10))+IF(D2641=1,2,IF(D2641=7,1,(IF(WEEKDAY(B2641)=1,2,IF(WEEKDAY(B2641)=7,1,0))))))</f>
        <v>3</v>
      </c>
      <c r="H2641" s="370">
        <v>14227.849975585938</v>
      </c>
      <c r="I2641" s="370">
        <v>4561.3049926757813</v>
      </c>
      <c r="M2641" s="371">
        <f t="shared" si="165"/>
        <v>14941.125063528172</v>
      </c>
      <c r="N2641" s="329">
        <f t="shared" si="166"/>
        <v>292.94999999999982</v>
      </c>
      <c r="T2641" s="331">
        <v>0</v>
      </c>
      <c r="U2641" s="328">
        <f>VLOOKUP(C2641,METADATA!$J$5:$Q$29,IF(E2641="HI",2,IF(E2641="LO",6,10))+IF(T2641=1,2,IF(D2641=7,1,(IF(WEEKDAY(B2641)=1,2,IF(WEEKDAY(B2641)=7,1,0))))))</f>
        <v>3</v>
      </c>
      <c r="V2641" s="328">
        <f>VLOOKUP(C2641,METADATA!$A$5:$H$29,IF(E2641="HI",2,IF(E2641="LO",6,10))+IF(T2641=1,2,IF(D2641=7,1,(IF(WEEKDAY(B2641)=1,2,IF(WEEKDAY(B2641)=7,1,0))))))</f>
        <v>3</v>
      </c>
    </row>
    <row r="2642" spans="2:22">
      <c r="B2642" s="318">
        <f t="shared" si="163"/>
        <v>46222</v>
      </c>
      <c r="C2642" s="312">
        <v>22</v>
      </c>
      <c r="D2642" s="368">
        <f>IFERROR((INDEX(METADATA!$T$2:$T$20,MATCH(B2642,METADATA!$S$2:$S$20,0))),0)</f>
        <v>0</v>
      </c>
      <c r="E2642" s="312" t="str">
        <f t="shared" si="164"/>
        <v>LO</v>
      </c>
      <c r="F2642" s="369">
        <f>VLOOKUP(C2642,METADATA!$A$5:$H$29,IF(E2642="HI",2,IF(E2642="LO",6,10))+IF(D2642=1,2,IF(D2642=7,1,(IF(WEEKDAY(B2642)=1,2,IF(WEEKDAY(B2642)=7,1,0))))))</f>
        <v>3</v>
      </c>
      <c r="G2642" s="369">
        <f>VLOOKUP(C2642,METADATA!$J$5:$Q$29,IF(E2642="HI",2,IF(E2642="LO",6,10))+IF(D2642=1,2,IF(D2642=7,1,(IF(WEEKDAY(B2642)=1,2,IF(WEEKDAY(B2642)=7,1,0))))))</f>
        <v>3</v>
      </c>
      <c r="H2642" s="370">
        <v>14066.874877929688</v>
      </c>
      <c r="I2642" s="370">
        <v>4396.7950744628906</v>
      </c>
      <c r="M2642" s="371">
        <f t="shared" si="165"/>
        <v>14738.004470013926</v>
      </c>
      <c r="N2642" s="329">
        <f t="shared" si="166"/>
        <v>176.73261108398492</v>
      </c>
      <c r="T2642" s="331">
        <v>0</v>
      </c>
      <c r="U2642" s="328">
        <f>VLOOKUP(C2642,METADATA!$J$5:$Q$29,IF(E2642="HI",2,IF(E2642="LO",6,10))+IF(T2642=1,2,IF(D2642=7,1,(IF(WEEKDAY(B2642)=1,2,IF(WEEKDAY(B2642)=7,1,0))))))</f>
        <v>3</v>
      </c>
      <c r="V2642" s="328">
        <f>VLOOKUP(C2642,METADATA!$A$5:$H$29,IF(E2642="HI",2,IF(E2642="LO",6,10))+IF(T2642=1,2,IF(D2642=7,1,(IF(WEEKDAY(B2642)=1,2,IF(WEEKDAY(B2642)=7,1,0))))))</f>
        <v>3</v>
      </c>
    </row>
    <row r="2643" spans="2:22">
      <c r="B2643" s="318">
        <f t="shared" si="163"/>
        <v>46222</v>
      </c>
      <c r="C2643" s="312">
        <v>23</v>
      </c>
      <c r="D2643" s="368">
        <f>IFERROR((INDEX(METADATA!$T$2:$T$20,MATCH(B2643,METADATA!$S$2:$S$20,0))),0)</f>
        <v>0</v>
      </c>
      <c r="E2643" s="312" t="str">
        <f t="shared" si="164"/>
        <v>LO</v>
      </c>
      <c r="F2643" s="369">
        <f>VLOOKUP(C2643,METADATA!$A$5:$H$29,IF(E2643="HI",2,IF(E2643="LO",6,10))+IF(D2643=1,2,IF(D2643=7,1,(IF(WEEKDAY(B2643)=1,2,IF(WEEKDAY(B2643)=7,1,0))))))</f>
        <v>3</v>
      </c>
      <c r="G2643" s="369">
        <f>VLOOKUP(C2643,METADATA!$J$5:$Q$29,IF(E2643="HI",2,IF(E2643="LO",6,10))+IF(D2643=1,2,IF(D2643=7,1,(IF(WEEKDAY(B2643)=1,2,IF(WEEKDAY(B2643)=7,1,0))))))</f>
        <v>3</v>
      </c>
      <c r="H2643" s="370">
        <v>14087.600158691406</v>
      </c>
      <c r="I2643" s="370">
        <v>4507.0349426269531</v>
      </c>
      <c r="M2643" s="371">
        <f t="shared" si="165"/>
        <v>14791.005449435224</v>
      </c>
      <c r="N2643" s="329">
        <f t="shared" si="166"/>
        <v>280.75489501953143</v>
      </c>
      <c r="T2643" s="331">
        <v>0</v>
      </c>
      <c r="U2643" s="328">
        <f>VLOOKUP(C2643,METADATA!$J$5:$Q$29,IF(E2643="HI",2,IF(E2643="LO",6,10))+IF(T2643=1,2,IF(D2643=7,1,(IF(WEEKDAY(B2643)=1,2,IF(WEEKDAY(B2643)=7,1,0))))))</f>
        <v>3</v>
      </c>
      <c r="V2643" s="328">
        <f>VLOOKUP(C2643,METADATA!$A$5:$H$29,IF(E2643="HI",2,IF(E2643="LO",6,10))+IF(T2643=1,2,IF(D2643=7,1,(IF(WEEKDAY(B2643)=1,2,IF(WEEKDAY(B2643)=7,1,0))))))</f>
        <v>3</v>
      </c>
    </row>
    <row r="2644" spans="2:22">
      <c r="B2644" s="318">
        <f t="shared" si="163"/>
        <v>46223</v>
      </c>
      <c r="C2644" s="312">
        <v>0</v>
      </c>
      <c r="D2644" s="368">
        <f>IFERROR((INDEX(METADATA!$T$2:$T$20,MATCH(B2644,METADATA!$S$2:$S$20,0))),0)</f>
        <v>0</v>
      </c>
      <c r="E2644" s="312" t="str">
        <f t="shared" si="164"/>
        <v>LO</v>
      </c>
      <c r="F2644" s="369">
        <f>VLOOKUP(C2644,METADATA!$A$5:$H$29,IF(E2644="HI",2,IF(E2644="LO",6,10))+IF(D2644=1,2,IF(D2644=7,1,(IF(WEEKDAY(B2644)=1,2,IF(WEEKDAY(B2644)=7,1,0))))))</f>
        <v>3</v>
      </c>
      <c r="G2644" s="369">
        <f>VLOOKUP(C2644,METADATA!$J$5:$Q$29,IF(E2644="HI",2,IF(E2644="LO",6,10))+IF(D2644=1,2,IF(D2644=7,1,(IF(WEEKDAY(B2644)=1,2,IF(WEEKDAY(B2644)=7,1,0))))))</f>
        <v>3</v>
      </c>
      <c r="H2644" s="370">
        <v>14080.574340820313</v>
      </c>
      <c r="I2644" s="370">
        <v>4461.47998046875</v>
      </c>
      <c r="M2644" s="371">
        <f t="shared" si="165"/>
        <v>14770.490086097036</v>
      </c>
      <c r="N2644" s="329">
        <f t="shared" si="166"/>
        <v>237.30767822265625</v>
      </c>
      <c r="T2644" s="331">
        <v>0</v>
      </c>
      <c r="U2644" s="328">
        <f>VLOOKUP(C2644,METADATA!$J$5:$Q$29,IF(E2644="HI",2,IF(E2644="LO",6,10))+IF(T2644=1,2,IF(D2644=7,1,(IF(WEEKDAY(B2644)=1,2,IF(WEEKDAY(B2644)=7,1,0))))))</f>
        <v>3</v>
      </c>
      <c r="V2644" s="328">
        <f>VLOOKUP(C2644,METADATA!$A$5:$H$29,IF(E2644="HI",2,IF(E2644="LO",6,10))+IF(T2644=1,2,IF(D2644=7,1,(IF(WEEKDAY(B2644)=1,2,IF(WEEKDAY(B2644)=7,1,0))))))</f>
        <v>3</v>
      </c>
    </row>
    <row r="2645" spans="2:22">
      <c r="B2645" s="318">
        <f t="shared" si="163"/>
        <v>46223</v>
      </c>
      <c r="C2645" s="312">
        <v>1</v>
      </c>
      <c r="D2645" s="368">
        <f>IFERROR((INDEX(METADATA!$T$2:$T$20,MATCH(B2645,METADATA!$S$2:$S$20,0))),0)</f>
        <v>0</v>
      </c>
      <c r="E2645" s="312" t="str">
        <f t="shared" si="164"/>
        <v>LO</v>
      </c>
      <c r="F2645" s="369">
        <f>VLOOKUP(C2645,METADATA!$A$5:$H$29,IF(E2645="HI",2,IF(E2645="LO",6,10))+IF(D2645=1,2,IF(D2645=7,1,(IF(WEEKDAY(B2645)=1,2,IF(WEEKDAY(B2645)=7,1,0))))))</f>
        <v>3</v>
      </c>
      <c r="G2645" s="369">
        <f>VLOOKUP(C2645,METADATA!$J$5:$Q$29,IF(E2645="HI",2,IF(E2645="LO",6,10))+IF(D2645=1,2,IF(D2645=7,1,(IF(WEEKDAY(B2645)=1,2,IF(WEEKDAY(B2645)=7,1,0))))))</f>
        <v>3</v>
      </c>
      <c r="H2645" s="370">
        <v>14135.074890136719</v>
      </c>
      <c r="I2645" s="370">
        <v>4387.5</v>
      </c>
      <c r="M2645" s="371">
        <f t="shared" si="165"/>
        <v>14800.354671418303</v>
      </c>
      <c r="N2645" s="329">
        <f t="shared" si="166"/>
        <v>146.97753295898474</v>
      </c>
      <c r="T2645" s="331">
        <v>0</v>
      </c>
      <c r="U2645" s="328">
        <f>VLOOKUP(C2645,METADATA!$J$5:$Q$29,IF(E2645="HI",2,IF(E2645="LO",6,10))+IF(T2645=1,2,IF(D2645=7,1,(IF(WEEKDAY(B2645)=1,2,IF(WEEKDAY(B2645)=7,1,0))))))</f>
        <v>3</v>
      </c>
      <c r="V2645" s="328">
        <f>VLOOKUP(C2645,METADATA!$A$5:$H$29,IF(E2645="HI",2,IF(E2645="LO",6,10))+IF(T2645=1,2,IF(D2645=7,1,(IF(WEEKDAY(B2645)=1,2,IF(WEEKDAY(B2645)=7,1,0))))))</f>
        <v>3</v>
      </c>
    </row>
    <row r="2646" spans="2:22">
      <c r="B2646" s="318">
        <f t="shared" si="163"/>
        <v>46223</v>
      </c>
      <c r="C2646" s="312">
        <v>2</v>
      </c>
      <c r="D2646" s="368">
        <f>IFERROR((INDEX(METADATA!$T$2:$T$20,MATCH(B2646,METADATA!$S$2:$S$20,0))),0)</f>
        <v>0</v>
      </c>
      <c r="E2646" s="312" t="str">
        <f t="shared" si="164"/>
        <v>LO</v>
      </c>
      <c r="F2646" s="369">
        <f>VLOOKUP(C2646,METADATA!$A$5:$H$29,IF(E2646="HI",2,IF(E2646="LO",6,10))+IF(D2646=1,2,IF(D2646=7,1,(IF(WEEKDAY(B2646)=1,2,IF(WEEKDAY(B2646)=7,1,0))))))</f>
        <v>3</v>
      </c>
      <c r="G2646" s="369">
        <f>VLOOKUP(C2646,METADATA!$J$5:$Q$29,IF(E2646="HI",2,IF(E2646="LO",6,10))+IF(D2646=1,2,IF(D2646=7,1,(IF(WEEKDAY(B2646)=1,2,IF(WEEKDAY(B2646)=7,1,0))))))</f>
        <v>3</v>
      </c>
      <c r="H2646" s="370">
        <v>14106.475463867188</v>
      </c>
      <c r="I2646" s="370">
        <v>4368.7349243164063</v>
      </c>
      <c r="M2646" s="371">
        <f t="shared" si="165"/>
        <v>14767.480992086255</v>
      </c>
      <c r="N2646" s="329">
        <f t="shared" si="166"/>
        <v>136.79228515624982</v>
      </c>
      <c r="T2646" s="331">
        <v>0</v>
      </c>
      <c r="U2646" s="328">
        <f>VLOOKUP(C2646,METADATA!$J$5:$Q$29,IF(E2646="HI",2,IF(E2646="LO",6,10))+IF(T2646=1,2,IF(D2646=7,1,(IF(WEEKDAY(B2646)=1,2,IF(WEEKDAY(B2646)=7,1,0))))))</f>
        <v>3</v>
      </c>
      <c r="V2646" s="328">
        <f>VLOOKUP(C2646,METADATA!$A$5:$H$29,IF(E2646="HI",2,IF(E2646="LO",6,10))+IF(T2646=1,2,IF(D2646=7,1,(IF(WEEKDAY(B2646)=1,2,IF(WEEKDAY(B2646)=7,1,0))))))</f>
        <v>3</v>
      </c>
    </row>
    <row r="2647" spans="2:22">
      <c r="B2647" s="318">
        <f t="shared" si="163"/>
        <v>46223</v>
      </c>
      <c r="C2647" s="312">
        <v>3</v>
      </c>
      <c r="D2647" s="368">
        <f>IFERROR((INDEX(METADATA!$T$2:$T$20,MATCH(B2647,METADATA!$S$2:$S$20,0))),0)</f>
        <v>0</v>
      </c>
      <c r="E2647" s="312" t="str">
        <f t="shared" si="164"/>
        <v>LO</v>
      </c>
      <c r="F2647" s="369">
        <f>VLOOKUP(C2647,METADATA!$A$5:$H$29,IF(E2647="HI",2,IF(E2647="LO",6,10))+IF(D2647=1,2,IF(D2647=7,1,(IF(WEEKDAY(B2647)=1,2,IF(WEEKDAY(B2647)=7,1,0))))))</f>
        <v>3</v>
      </c>
      <c r="G2647" s="369">
        <f>VLOOKUP(C2647,METADATA!$J$5:$Q$29,IF(E2647="HI",2,IF(E2647="LO",6,10))+IF(D2647=1,2,IF(D2647=7,1,(IF(WEEKDAY(B2647)=1,2,IF(WEEKDAY(B2647)=7,1,0))))))</f>
        <v>3</v>
      </c>
      <c r="H2647" s="370">
        <v>14072.175048828125</v>
      </c>
      <c r="I2647" s="370">
        <v>4453.8948974609375</v>
      </c>
      <c r="M2647" s="371">
        <f t="shared" si="165"/>
        <v>14760.19276169825</v>
      </c>
      <c r="N2647" s="329">
        <f t="shared" si="166"/>
        <v>232.24238281250018</v>
      </c>
      <c r="T2647" s="331">
        <v>0</v>
      </c>
      <c r="U2647" s="328">
        <f>VLOOKUP(C2647,METADATA!$J$5:$Q$29,IF(E2647="HI",2,IF(E2647="LO",6,10))+IF(T2647=1,2,IF(D2647=7,1,(IF(WEEKDAY(B2647)=1,2,IF(WEEKDAY(B2647)=7,1,0))))))</f>
        <v>3</v>
      </c>
      <c r="V2647" s="328">
        <f>VLOOKUP(C2647,METADATA!$A$5:$H$29,IF(E2647="HI",2,IF(E2647="LO",6,10))+IF(T2647=1,2,IF(D2647=7,1,(IF(WEEKDAY(B2647)=1,2,IF(WEEKDAY(B2647)=7,1,0))))))</f>
        <v>3</v>
      </c>
    </row>
    <row r="2648" spans="2:22">
      <c r="B2648" s="318">
        <f t="shared" si="163"/>
        <v>46223</v>
      </c>
      <c r="C2648" s="312">
        <v>4</v>
      </c>
      <c r="D2648" s="368">
        <f>IFERROR((INDEX(METADATA!$T$2:$T$20,MATCH(B2648,METADATA!$S$2:$S$20,0))),0)</f>
        <v>0</v>
      </c>
      <c r="E2648" s="312" t="str">
        <f t="shared" si="164"/>
        <v>LO</v>
      </c>
      <c r="F2648" s="369">
        <f>VLOOKUP(C2648,METADATA!$A$5:$H$29,IF(E2648="HI",2,IF(E2648="LO",6,10))+IF(D2648=1,2,IF(D2648=7,1,(IF(WEEKDAY(B2648)=1,2,IF(WEEKDAY(B2648)=7,1,0))))))</f>
        <v>3</v>
      </c>
      <c r="G2648" s="369">
        <f>VLOOKUP(C2648,METADATA!$J$5:$Q$29,IF(E2648="HI",2,IF(E2648="LO",6,10))+IF(D2648=1,2,IF(D2648=7,1,(IF(WEEKDAY(B2648)=1,2,IF(WEEKDAY(B2648)=7,1,0))))))</f>
        <v>3</v>
      </c>
      <c r="H2648" s="370">
        <v>14030.299621582031</v>
      </c>
      <c r="I2648" s="370">
        <v>4374.7950439453125</v>
      </c>
      <c r="M2648" s="371">
        <f t="shared" si="165"/>
        <v>14696.534936776538</v>
      </c>
      <c r="N2648" s="329">
        <f t="shared" si="166"/>
        <v>165.70515747070294</v>
      </c>
      <c r="T2648" s="331">
        <v>0</v>
      </c>
      <c r="U2648" s="328">
        <f>VLOOKUP(C2648,METADATA!$J$5:$Q$29,IF(E2648="HI",2,IF(E2648="LO",6,10))+IF(T2648=1,2,IF(D2648=7,1,(IF(WEEKDAY(B2648)=1,2,IF(WEEKDAY(B2648)=7,1,0))))))</f>
        <v>3</v>
      </c>
      <c r="V2648" s="328">
        <f>VLOOKUP(C2648,METADATA!$A$5:$H$29,IF(E2648="HI",2,IF(E2648="LO",6,10))+IF(T2648=1,2,IF(D2648=7,1,(IF(WEEKDAY(B2648)=1,2,IF(WEEKDAY(B2648)=7,1,0))))))</f>
        <v>3</v>
      </c>
    </row>
    <row r="2649" spans="2:22">
      <c r="B2649" s="318">
        <f t="shared" si="163"/>
        <v>46223</v>
      </c>
      <c r="C2649" s="312">
        <v>5</v>
      </c>
      <c r="D2649" s="368">
        <f>IFERROR((INDEX(METADATA!$T$2:$T$20,MATCH(B2649,METADATA!$S$2:$S$20,0))),0)</f>
        <v>0</v>
      </c>
      <c r="E2649" s="312" t="str">
        <f t="shared" si="164"/>
        <v>LO</v>
      </c>
      <c r="F2649" s="369">
        <f>VLOOKUP(C2649,METADATA!$A$5:$H$29,IF(E2649="HI",2,IF(E2649="LO",6,10))+IF(D2649=1,2,IF(D2649=7,1,(IF(WEEKDAY(B2649)=1,2,IF(WEEKDAY(B2649)=7,1,0))))))</f>
        <v>3</v>
      </c>
      <c r="G2649" s="369">
        <f>VLOOKUP(C2649,METADATA!$J$5:$Q$29,IF(E2649="HI",2,IF(E2649="LO",6,10))+IF(D2649=1,2,IF(D2649=7,1,(IF(WEEKDAY(B2649)=1,2,IF(WEEKDAY(B2649)=7,1,0))))))</f>
        <v>3</v>
      </c>
      <c r="H2649" s="370">
        <v>13818.900512695313</v>
      </c>
      <c r="I2649" s="370">
        <v>4224.6999206542969</v>
      </c>
      <c r="M2649" s="371">
        <f t="shared" si="165"/>
        <v>14450.263001044208</v>
      </c>
      <c r="N2649" s="329">
        <f t="shared" si="166"/>
        <v>79.029766845703307</v>
      </c>
      <c r="T2649" s="331">
        <v>0</v>
      </c>
      <c r="U2649" s="328">
        <f>VLOOKUP(C2649,METADATA!$J$5:$Q$29,IF(E2649="HI",2,IF(E2649="LO",6,10))+IF(T2649=1,2,IF(D2649=7,1,(IF(WEEKDAY(B2649)=1,2,IF(WEEKDAY(B2649)=7,1,0))))))</f>
        <v>3</v>
      </c>
      <c r="V2649" s="328">
        <f>VLOOKUP(C2649,METADATA!$A$5:$H$29,IF(E2649="HI",2,IF(E2649="LO",6,10))+IF(T2649=1,2,IF(D2649=7,1,(IF(WEEKDAY(B2649)=1,2,IF(WEEKDAY(B2649)=7,1,0))))))</f>
        <v>3</v>
      </c>
    </row>
    <row r="2650" spans="2:22">
      <c r="B2650" s="318">
        <f t="shared" si="163"/>
        <v>46223</v>
      </c>
      <c r="C2650" s="312">
        <v>6</v>
      </c>
      <c r="D2650" s="368">
        <f>IFERROR((INDEX(METADATA!$T$2:$T$20,MATCH(B2650,METADATA!$S$2:$S$20,0))),0)</f>
        <v>0</v>
      </c>
      <c r="E2650" s="312" t="str">
        <f t="shared" si="164"/>
        <v>LO</v>
      </c>
      <c r="F2650" s="369">
        <f>VLOOKUP(C2650,METADATA!$A$5:$H$29,IF(E2650="HI",2,IF(E2650="LO",6,10))+IF(D2650=1,2,IF(D2650=7,1,(IF(WEEKDAY(B2650)=1,2,IF(WEEKDAY(B2650)=7,1,0))))))</f>
        <v>2</v>
      </c>
      <c r="G2650" s="369">
        <f>VLOOKUP(C2650,METADATA!$J$5:$Q$29,IF(E2650="HI",2,IF(E2650="LO",6,10))+IF(D2650=1,2,IF(D2650=7,1,(IF(WEEKDAY(B2650)=1,2,IF(WEEKDAY(B2650)=7,1,0))))))</f>
        <v>2</v>
      </c>
      <c r="H2650" s="370">
        <v>13836.375122070313</v>
      </c>
      <c r="I2650" s="370">
        <v>4323.4749450683594</v>
      </c>
      <c r="M2650" s="371">
        <f t="shared" si="165"/>
        <v>14496.127486997349</v>
      </c>
      <c r="N2650" s="329">
        <f t="shared" si="166"/>
        <v>172.56240844726563</v>
      </c>
      <c r="T2650" s="331">
        <v>0</v>
      </c>
      <c r="U2650" s="328">
        <f>VLOOKUP(C2650,METADATA!$J$5:$Q$29,IF(E2650="HI",2,IF(E2650="LO",6,10))+IF(T2650=1,2,IF(D2650=7,1,(IF(WEEKDAY(B2650)=1,2,IF(WEEKDAY(B2650)=7,1,0))))))</f>
        <v>2</v>
      </c>
      <c r="V2650" s="328">
        <f>VLOOKUP(C2650,METADATA!$A$5:$H$29,IF(E2650="HI",2,IF(E2650="LO",6,10))+IF(T2650=1,2,IF(D2650=7,1,(IF(WEEKDAY(B2650)=1,2,IF(WEEKDAY(B2650)=7,1,0))))))</f>
        <v>2</v>
      </c>
    </row>
    <row r="2651" spans="2:22">
      <c r="B2651" s="318">
        <f t="shared" si="163"/>
        <v>46223</v>
      </c>
      <c r="C2651" s="312">
        <v>7</v>
      </c>
      <c r="D2651" s="368">
        <f>IFERROR((INDEX(METADATA!$T$2:$T$20,MATCH(B2651,METADATA!$S$2:$S$20,0))),0)</f>
        <v>0</v>
      </c>
      <c r="E2651" s="312" t="str">
        <f t="shared" si="164"/>
        <v>LO</v>
      </c>
      <c r="F2651" s="369">
        <f>VLOOKUP(C2651,METADATA!$A$5:$H$29,IF(E2651="HI",2,IF(E2651="LO",6,10))+IF(D2651=1,2,IF(D2651=7,1,(IF(WEEKDAY(B2651)=1,2,IF(WEEKDAY(B2651)=7,1,0))))))</f>
        <v>1</v>
      </c>
      <c r="G2651" s="369">
        <f>VLOOKUP(C2651,METADATA!$J$5:$Q$29,IF(E2651="HI",2,IF(E2651="LO",6,10))+IF(D2651=1,2,IF(D2651=7,1,(IF(WEEKDAY(B2651)=1,2,IF(WEEKDAY(B2651)=7,1,0))))))</f>
        <v>1</v>
      </c>
      <c r="H2651" s="370">
        <v>12823.124633789063</v>
      </c>
      <c r="I2651" s="370">
        <v>3534.3700561523438</v>
      </c>
      <c r="M2651" s="371">
        <f t="shared" si="165"/>
        <v>13301.289300948018</v>
      </c>
      <c r="N2651" s="329">
        <f t="shared" si="166"/>
        <v>0</v>
      </c>
      <c r="T2651" s="331">
        <v>0</v>
      </c>
      <c r="U2651" s="328">
        <f>VLOOKUP(C2651,METADATA!$J$5:$Q$29,IF(E2651="HI",2,IF(E2651="LO",6,10))+IF(T2651=1,2,IF(D2651=7,1,(IF(WEEKDAY(B2651)=1,2,IF(WEEKDAY(B2651)=7,1,0))))))</f>
        <v>1</v>
      </c>
      <c r="V2651" s="328">
        <f>VLOOKUP(C2651,METADATA!$A$5:$H$29,IF(E2651="HI",2,IF(E2651="LO",6,10))+IF(T2651=1,2,IF(D2651=7,1,(IF(WEEKDAY(B2651)=1,2,IF(WEEKDAY(B2651)=7,1,0))))))</f>
        <v>1</v>
      </c>
    </row>
    <row r="2652" spans="2:22">
      <c r="B2652" s="318">
        <f t="shared" ref="B2652:B2715" si="167">B2628+1</f>
        <v>46223</v>
      </c>
      <c r="C2652" s="312">
        <v>8</v>
      </c>
      <c r="D2652" s="368">
        <f>IFERROR((INDEX(METADATA!$T$2:$T$20,MATCH(B2652,METADATA!$S$2:$S$20,0))),0)</f>
        <v>0</v>
      </c>
      <c r="E2652" s="312" t="str">
        <f t="shared" si="164"/>
        <v>LO</v>
      </c>
      <c r="F2652" s="369">
        <f>VLOOKUP(C2652,METADATA!$A$5:$H$29,IF(E2652="HI",2,IF(E2652="LO",6,10))+IF(D2652=1,2,IF(D2652=7,1,(IF(WEEKDAY(B2652)=1,2,IF(WEEKDAY(B2652)=7,1,0))))))</f>
        <v>1</v>
      </c>
      <c r="G2652" s="369">
        <f>VLOOKUP(C2652,METADATA!$J$5:$Q$29,IF(E2652="HI",2,IF(E2652="LO",6,10))+IF(D2652=1,2,IF(D2652=7,1,(IF(WEEKDAY(B2652)=1,2,IF(WEEKDAY(B2652)=7,1,0))))))</f>
        <v>1</v>
      </c>
      <c r="H2652" s="370">
        <v>12914.82470703125</v>
      </c>
      <c r="I2652" s="370">
        <v>3417.099967956543</v>
      </c>
      <c r="M2652" s="371">
        <f t="shared" si="165"/>
        <v>13359.239102746586</v>
      </c>
      <c r="N2652" s="329">
        <f t="shared" si="166"/>
        <v>0</v>
      </c>
      <c r="T2652" s="331">
        <v>0</v>
      </c>
      <c r="U2652" s="328">
        <f>VLOOKUP(C2652,METADATA!$J$5:$Q$29,IF(E2652="HI",2,IF(E2652="LO",6,10))+IF(T2652=1,2,IF(D2652=7,1,(IF(WEEKDAY(B2652)=1,2,IF(WEEKDAY(B2652)=7,1,0))))))</f>
        <v>1</v>
      </c>
      <c r="V2652" s="328">
        <f>VLOOKUP(C2652,METADATA!$A$5:$H$29,IF(E2652="HI",2,IF(E2652="LO",6,10))+IF(T2652=1,2,IF(D2652=7,1,(IF(WEEKDAY(B2652)=1,2,IF(WEEKDAY(B2652)=7,1,0))))))</f>
        <v>1</v>
      </c>
    </row>
    <row r="2653" spans="2:22">
      <c r="B2653" s="318">
        <f t="shared" si="167"/>
        <v>46223</v>
      </c>
      <c r="C2653" s="312">
        <v>9</v>
      </c>
      <c r="D2653" s="368">
        <f>IFERROR((INDEX(METADATA!$T$2:$T$20,MATCH(B2653,METADATA!$S$2:$S$20,0))),0)</f>
        <v>0</v>
      </c>
      <c r="E2653" s="312" t="str">
        <f t="shared" si="164"/>
        <v>LO</v>
      </c>
      <c r="F2653" s="369">
        <f>VLOOKUP(C2653,METADATA!$A$5:$H$29,IF(E2653="HI",2,IF(E2653="LO",6,10))+IF(D2653=1,2,IF(D2653=7,1,(IF(WEEKDAY(B2653)=1,2,IF(WEEKDAY(B2653)=7,1,0))))))</f>
        <v>2</v>
      </c>
      <c r="G2653" s="369">
        <f>VLOOKUP(C2653,METADATA!$J$5:$Q$29,IF(E2653="HI",2,IF(E2653="LO",6,10))+IF(D2653=1,2,IF(D2653=7,1,(IF(WEEKDAY(B2653)=1,2,IF(WEEKDAY(B2653)=7,1,0))))))</f>
        <v>2</v>
      </c>
      <c r="H2653" s="370">
        <v>12940.625244140625</v>
      </c>
      <c r="I2653" s="370">
        <v>3432.7500076293945</v>
      </c>
      <c r="M2653" s="371">
        <f t="shared" si="165"/>
        <v>13388.18711865685</v>
      </c>
      <c r="N2653" s="329">
        <f t="shared" si="166"/>
        <v>0</v>
      </c>
      <c r="T2653" s="331">
        <v>0</v>
      </c>
      <c r="U2653" s="328">
        <f>VLOOKUP(C2653,METADATA!$J$5:$Q$29,IF(E2653="HI",2,IF(E2653="LO",6,10))+IF(T2653=1,2,IF(D2653=7,1,(IF(WEEKDAY(B2653)=1,2,IF(WEEKDAY(B2653)=7,1,0))))))</f>
        <v>2</v>
      </c>
      <c r="V2653" s="328">
        <f>VLOOKUP(C2653,METADATA!$A$5:$H$29,IF(E2653="HI",2,IF(E2653="LO",6,10))+IF(T2653=1,2,IF(D2653=7,1,(IF(WEEKDAY(B2653)=1,2,IF(WEEKDAY(B2653)=7,1,0))))))</f>
        <v>2</v>
      </c>
    </row>
    <row r="2654" spans="2:22">
      <c r="B2654" s="318">
        <f t="shared" si="167"/>
        <v>46223</v>
      </c>
      <c r="C2654" s="312">
        <v>10</v>
      </c>
      <c r="D2654" s="368">
        <f>IFERROR((INDEX(METADATA!$T$2:$T$20,MATCH(B2654,METADATA!$S$2:$S$20,0))),0)</f>
        <v>0</v>
      </c>
      <c r="E2654" s="312" t="str">
        <f t="shared" si="164"/>
        <v>LO</v>
      </c>
      <c r="F2654" s="369">
        <f>VLOOKUP(C2654,METADATA!$A$5:$H$29,IF(E2654="HI",2,IF(E2654="LO",6,10))+IF(D2654=1,2,IF(D2654=7,1,(IF(WEEKDAY(B2654)=1,2,IF(WEEKDAY(B2654)=7,1,0))))))</f>
        <v>2</v>
      </c>
      <c r="G2654" s="369">
        <f>VLOOKUP(C2654,METADATA!$J$5:$Q$29,IF(E2654="HI",2,IF(E2654="LO",6,10))+IF(D2654=1,2,IF(D2654=7,1,(IF(WEEKDAY(B2654)=1,2,IF(WEEKDAY(B2654)=7,1,0))))))</f>
        <v>2</v>
      </c>
      <c r="H2654" s="370">
        <v>12834.075134277344</v>
      </c>
      <c r="I2654" s="370">
        <v>3348.6799697875977</v>
      </c>
      <c r="M2654" s="371">
        <f t="shared" si="165"/>
        <v>13263.752941469194</v>
      </c>
      <c r="N2654" s="329">
        <f t="shared" si="166"/>
        <v>0</v>
      </c>
      <c r="T2654" s="331">
        <v>0</v>
      </c>
      <c r="U2654" s="328">
        <f>VLOOKUP(C2654,METADATA!$J$5:$Q$29,IF(E2654="HI",2,IF(E2654="LO",6,10))+IF(T2654=1,2,IF(D2654=7,1,(IF(WEEKDAY(B2654)=1,2,IF(WEEKDAY(B2654)=7,1,0))))))</f>
        <v>2</v>
      </c>
      <c r="V2654" s="328">
        <f>VLOOKUP(C2654,METADATA!$A$5:$H$29,IF(E2654="HI",2,IF(E2654="LO",6,10))+IF(T2654=1,2,IF(D2654=7,1,(IF(WEEKDAY(B2654)=1,2,IF(WEEKDAY(B2654)=7,1,0))))))</f>
        <v>2</v>
      </c>
    </row>
    <row r="2655" spans="2:22">
      <c r="B2655" s="318">
        <f t="shared" si="167"/>
        <v>46223</v>
      </c>
      <c r="C2655" s="312">
        <v>11</v>
      </c>
      <c r="D2655" s="368">
        <f>IFERROR((INDEX(METADATA!$T$2:$T$20,MATCH(B2655,METADATA!$S$2:$S$20,0))),0)</f>
        <v>0</v>
      </c>
      <c r="E2655" s="312" t="str">
        <f t="shared" si="164"/>
        <v>LO</v>
      </c>
      <c r="F2655" s="369">
        <f>VLOOKUP(C2655,METADATA!$A$5:$H$29,IF(E2655="HI",2,IF(E2655="LO",6,10))+IF(D2655=1,2,IF(D2655=7,1,(IF(WEEKDAY(B2655)=1,2,IF(WEEKDAY(B2655)=7,1,0))))))</f>
        <v>2</v>
      </c>
      <c r="G2655" s="369">
        <f>VLOOKUP(C2655,METADATA!$J$5:$Q$29,IF(E2655="HI",2,IF(E2655="LO",6,10))+IF(D2655=1,2,IF(D2655=7,1,(IF(WEEKDAY(B2655)=1,2,IF(WEEKDAY(B2655)=7,1,0))))))</f>
        <v>2</v>
      </c>
      <c r="H2655" s="370">
        <v>12685.052551269531</v>
      </c>
      <c r="I2655" s="370">
        <v>3180.617561340332</v>
      </c>
      <c r="M2655" s="371">
        <f t="shared" si="165"/>
        <v>13077.724813589562</v>
      </c>
      <c r="N2655" s="329">
        <f t="shared" si="166"/>
        <v>0</v>
      </c>
      <c r="T2655" s="331">
        <v>0</v>
      </c>
      <c r="U2655" s="328">
        <f>VLOOKUP(C2655,METADATA!$J$5:$Q$29,IF(E2655="HI",2,IF(E2655="LO",6,10))+IF(T2655=1,2,IF(D2655=7,1,(IF(WEEKDAY(B2655)=1,2,IF(WEEKDAY(B2655)=7,1,0))))))</f>
        <v>2</v>
      </c>
      <c r="V2655" s="328">
        <f>VLOOKUP(C2655,METADATA!$A$5:$H$29,IF(E2655="HI",2,IF(E2655="LO",6,10))+IF(T2655=1,2,IF(D2655=7,1,(IF(WEEKDAY(B2655)=1,2,IF(WEEKDAY(B2655)=7,1,0))))))</f>
        <v>2</v>
      </c>
    </row>
    <row r="2656" spans="2:22">
      <c r="B2656" s="318">
        <f t="shared" si="167"/>
        <v>46223</v>
      </c>
      <c r="C2656" s="312">
        <v>12</v>
      </c>
      <c r="D2656" s="368">
        <f>IFERROR((INDEX(METADATA!$T$2:$T$20,MATCH(B2656,METADATA!$S$2:$S$20,0))),0)</f>
        <v>0</v>
      </c>
      <c r="E2656" s="312" t="str">
        <f t="shared" si="164"/>
        <v>LO</v>
      </c>
      <c r="F2656" s="369">
        <f>VLOOKUP(C2656,METADATA!$A$5:$H$29,IF(E2656="HI",2,IF(E2656="LO",6,10))+IF(D2656=1,2,IF(D2656=7,1,(IF(WEEKDAY(B2656)=1,2,IF(WEEKDAY(B2656)=7,1,0))))))</f>
        <v>2</v>
      </c>
      <c r="G2656" s="369">
        <f>VLOOKUP(C2656,METADATA!$J$5:$Q$29,IF(E2656="HI",2,IF(E2656="LO",6,10))+IF(D2656=1,2,IF(D2656=7,1,(IF(WEEKDAY(B2656)=1,2,IF(WEEKDAY(B2656)=7,1,0))))))</f>
        <v>2</v>
      </c>
      <c r="H2656" s="370">
        <v>12772.799987792969</v>
      </c>
      <c r="I2656" s="370">
        <v>3307.7549667358398</v>
      </c>
      <c r="M2656" s="371">
        <f t="shared" si="165"/>
        <v>13194.152585449725</v>
      </c>
      <c r="N2656" s="329">
        <f t="shared" si="166"/>
        <v>0</v>
      </c>
      <c r="T2656" s="331">
        <v>0</v>
      </c>
      <c r="U2656" s="328">
        <f>VLOOKUP(C2656,METADATA!$J$5:$Q$29,IF(E2656="HI",2,IF(E2656="LO",6,10))+IF(T2656=1,2,IF(D2656=7,1,(IF(WEEKDAY(B2656)=1,2,IF(WEEKDAY(B2656)=7,1,0))))))</f>
        <v>2</v>
      </c>
      <c r="V2656" s="328">
        <f>VLOOKUP(C2656,METADATA!$A$5:$H$29,IF(E2656="HI",2,IF(E2656="LO",6,10))+IF(T2656=1,2,IF(D2656=7,1,(IF(WEEKDAY(B2656)=1,2,IF(WEEKDAY(B2656)=7,1,0))))))</f>
        <v>2</v>
      </c>
    </row>
    <row r="2657" spans="2:22">
      <c r="B2657" s="318">
        <f t="shared" si="167"/>
        <v>46223</v>
      </c>
      <c r="C2657" s="312">
        <v>13</v>
      </c>
      <c r="D2657" s="368">
        <f>IFERROR((INDEX(METADATA!$T$2:$T$20,MATCH(B2657,METADATA!$S$2:$S$20,0))),0)</f>
        <v>0</v>
      </c>
      <c r="E2657" s="312" t="str">
        <f t="shared" si="164"/>
        <v>LO</v>
      </c>
      <c r="F2657" s="369">
        <f>VLOOKUP(C2657,METADATA!$A$5:$H$29,IF(E2657="HI",2,IF(E2657="LO",6,10))+IF(D2657=1,2,IF(D2657=7,1,(IF(WEEKDAY(B2657)=1,2,IF(WEEKDAY(B2657)=7,1,0))))))</f>
        <v>2</v>
      </c>
      <c r="G2657" s="369">
        <f>VLOOKUP(C2657,METADATA!$J$5:$Q$29,IF(E2657="HI",2,IF(E2657="LO",6,10))+IF(D2657=1,2,IF(D2657=7,1,(IF(WEEKDAY(B2657)=1,2,IF(WEEKDAY(B2657)=7,1,0))))))</f>
        <v>2</v>
      </c>
      <c r="H2657" s="370">
        <v>12772.599792480469</v>
      </c>
      <c r="I2657" s="370">
        <v>3278.9799957275391</v>
      </c>
      <c r="M2657" s="371">
        <f t="shared" si="165"/>
        <v>13186.774255717486</v>
      </c>
      <c r="N2657" s="329">
        <f t="shared" si="166"/>
        <v>0</v>
      </c>
      <c r="T2657" s="331">
        <v>0</v>
      </c>
      <c r="U2657" s="328">
        <f>VLOOKUP(C2657,METADATA!$J$5:$Q$29,IF(E2657="HI",2,IF(E2657="LO",6,10))+IF(T2657=1,2,IF(D2657=7,1,(IF(WEEKDAY(B2657)=1,2,IF(WEEKDAY(B2657)=7,1,0))))))</f>
        <v>2</v>
      </c>
      <c r="V2657" s="328">
        <f>VLOOKUP(C2657,METADATA!$A$5:$H$29,IF(E2657="HI",2,IF(E2657="LO",6,10))+IF(T2657=1,2,IF(D2657=7,1,(IF(WEEKDAY(B2657)=1,2,IF(WEEKDAY(B2657)=7,1,0))))))</f>
        <v>2</v>
      </c>
    </row>
    <row r="2658" spans="2:22">
      <c r="B2658" s="318">
        <f t="shared" si="167"/>
        <v>46223</v>
      </c>
      <c r="C2658" s="312">
        <v>14</v>
      </c>
      <c r="D2658" s="368">
        <f>IFERROR((INDEX(METADATA!$T$2:$T$20,MATCH(B2658,METADATA!$S$2:$S$20,0))),0)</f>
        <v>0</v>
      </c>
      <c r="E2658" s="312" t="str">
        <f t="shared" si="164"/>
        <v>LO</v>
      </c>
      <c r="F2658" s="369">
        <f>VLOOKUP(C2658,METADATA!$A$5:$H$29,IF(E2658="HI",2,IF(E2658="LO",6,10))+IF(D2658=1,2,IF(D2658=7,1,(IF(WEEKDAY(B2658)=1,2,IF(WEEKDAY(B2658)=7,1,0))))))</f>
        <v>2</v>
      </c>
      <c r="G2658" s="369">
        <f>VLOOKUP(C2658,METADATA!$J$5:$Q$29,IF(E2658="HI",2,IF(E2658="LO",6,10))+IF(D2658=1,2,IF(D2658=7,1,(IF(WEEKDAY(B2658)=1,2,IF(WEEKDAY(B2658)=7,1,0))))))</f>
        <v>2</v>
      </c>
      <c r="H2658" s="370">
        <v>12761.950073242188</v>
      </c>
      <c r="I2658" s="370">
        <v>3286.5799942016602</v>
      </c>
      <c r="M2658" s="371">
        <f t="shared" si="165"/>
        <v>13178.352618222538</v>
      </c>
      <c r="N2658" s="329">
        <f t="shared" si="166"/>
        <v>0</v>
      </c>
      <c r="T2658" s="331">
        <v>0</v>
      </c>
      <c r="U2658" s="328">
        <f>VLOOKUP(C2658,METADATA!$J$5:$Q$29,IF(E2658="HI",2,IF(E2658="LO",6,10))+IF(T2658=1,2,IF(D2658=7,1,(IF(WEEKDAY(B2658)=1,2,IF(WEEKDAY(B2658)=7,1,0))))))</f>
        <v>2</v>
      </c>
      <c r="V2658" s="328">
        <f>VLOOKUP(C2658,METADATA!$A$5:$H$29,IF(E2658="HI",2,IF(E2658="LO",6,10))+IF(T2658=1,2,IF(D2658=7,1,(IF(WEEKDAY(B2658)=1,2,IF(WEEKDAY(B2658)=7,1,0))))))</f>
        <v>2</v>
      </c>
    </row>
    <row r="2659" spans="2:22">
      <c r="B2659" s="318">
        <f t="shared" si="167"/>
        <v>46223</v>
      </c>
      <c r="C2659" s="312">
        <v>15</v>
      </c>
      <c r="D2659" s="368">
        <f>IFERROR((INDEX(METADATA!$T$2:$T$20,MATCH(B2659,METADATA!$S$2:$S$20,0))),0)</f>
        <v>0</v>
      </c>
      <c r="E2659" s="312" t="str">
        <f t="shared" si="164"/>
        <v>LO</v>
      </c>
      <c r="F2659" s="369">
        <f>VLOOKUP(C2659,METADATA!$A$5:$H$29,IF(E2659="HI",2,IF(E2659="LO",6,10))+IF(D2659=1,2,IF(D2659=7,1,(IF(WEEKDAY(B2659)=1,2,IF(WEEKDAY(B2659)=7,1,0))))))</f>
        <v>2</v>
      </c>
      <c r="G2659" s="369">
        <f>VLOOKUP(C2659,METADATA!$J$5:$Q$29,IF(E2659="HI",2,IF(E2659="LO",6,10))+IF(D2659=1,2,IF(D2659=7,1,(IF(WEEKDAY(B2659)=1,2,IF(WEEKDAY(B2659)=7,1,0))))))</f>
        <v>2</v>
      </c>
      <c r="H2659" s="370">
        <v>8797.7498779296875</v>
      </c>
      <c r="I2659" s="370">
        <v>2645.3199462890625</v>
      </c>
      <c r="M2659" s="371">
        <f t="shared" si="165"/>
        <v>9186.8449716345276</v>
      </c>
      <c r="N2659" s="329">
        <f t="shared" si="166"/>
        <v>5.9949829101565228</v>
      </c>
      <c r="T2659" s="331">
        <v>0</v>
      </c>
      <c r="U2659" s="328">
        <f>VLOOKUP(C2659,METADATA!$J$5:$Q$29,IF(E2659="HI",2,IF(E2659="LO",6,10))+IF(T2659=1,2,IF(D2659=7,1,(IF(WEEKDAY(B2659)=1,2,IF(WEEKDAY(B2659)=7,1,0))))))</f>
        <v>2</v>
      </c>
      <c r="V2659" s="328">
        <f>VLOOKUP(C2659,METADATA!$A$5:$H$29,IF(E2659="HI",2,IF(E2659="LO",6,10))+IF(T2659=1,2,IF(D2659=7,1,(IF(WEEKDAY(B2659)=1,2,IF(WEEKDAY(B2659)=7,1,0))))))</f>
        <v>2</v>
      </c>
    </row>
    <row r="2660" spans="2:22">
      <c r="B2660" s="318">
        <f t="shared" si="167"/>
        <v>46223</v>
      </c>
      <c r="C2660" s="312">
        <v>16</v>
      </c>
      <c r="D2660" s="368">
        <f>IFERROR((INDEX(METADATA!$T$2:$T$20,MATCH(B2660,METADATA!$S$2:$S$20,0))),0)</f>
        <v>0</v>
      </c>
      <c r="E2660" s="312" t="str">
        <f t="shared" si="164"/>
        <v>LO</v>
      </c>
      <c r="F2660" s="369">
        <f>VLOOKUP(C2660,METADATA!$A$5:$H$29,IF(E2660="HI",2,IF(E2660="LO",6,10))+IF(D2660=1,2,IF(D2660=7,1,(IF(WEEKDAY(B2660)=1,2,IF(WEEKDAY(B2660)=7,1,0))))))</f>
        <v>2</v>
      </c>
      <c r="G2660" s="369">
        <f>VLOOKUP(C2660,METADATA!$J$5:$Q$29,IF(E2660="HI",2,IF(E2660="LO",6,10))+IF(D2660=1,2,IF(D2660=7,1,(IF(WEEKDAY(B2660)=1,2,IF(WEEKDAY(B2660)=7,1,0))))))</f>
        <v>2</v>
      </c>
      <c r="H2660" s="370">
        <v>8598.2550659179688</v>
      </c>
      <c r="I2660" s="370">
        <v>1791.3149633407593</v>
      </c>
      <c r="M2660" s="371">
        <f t="shared" si="165"/>
        <v>8782.8696606788217</v>
      </c>
      <c r="N2660" s="329">
        <f t="shared" si="166"/>
        <v>0</v>
      </c>
      <c r="T2660" s="331">
        <v>0</v>
      </c>
      <c r="U2660" s="328">
        <f>VLOOKUP(C2660,METADATA!$J$5:$Q$29,IF(E2660="HI",2,IF(E2660="LO",6,10))+IF(T2660=1,2,IF(D2660=7,1,(IF(WEEKDAY(B2660)=1,2,IF(WEEKDAY(B2660)=7,1,0))))))</f>
        <v>2</v>
      </c>
      <c r="V2660" s="328">
        <f>VLOOKUP(C2660,METADATA!$A$5:$H$29,IF(E2660="HI",2,IF(E2660="LO",6,10))+IF(T2660=1,2,IF(D2660=7,1,(IF(WEEKDAY(B2660)=1,2,IF(WEEKDAY(B2660)=7,1,0))))))</f>
        <v>2</v>
      </c>
    </row>
    <row r="2661" spans="2:22">
      <c r="B2661" s="318">
        <f t="shared" si="167"/>
        <v>46223</v>
      </c>
      <c r="C2661" s="312">
        <v>17</v>
      </c>
      <c r="D2661" s="368">
        <f>IFERROR((INDEX(METADATA!$T$2:$T$20,MATCH(B2661,METADATA!$S$2:$S$20,0))),0)</f>
        <v>0</v>
      </c>
      <c r="E2661" s="312" t="str">
        <f t="shared" si="164"/>
        <v>LO</v>
      </c>
      <c r="F2661" s="369">
        <f>VLOOKUP(C2661,METADATA!$A$5:$H$29,IF(E2661="HI",2,IF(E2661="LO",6,10))+IF(D2661=1,2,IF(D2661=7,1,(IF(WEEKDAY(B2661)=1,2,IF(WEEKDAY(B2661)=7,1,0))))))</f>
        <v>2</v>
      </c>
      <c r="G2661" s="369">
        <f>VLOOKUP(C2661,METADATA!$J$5:$Q$29,IF(E2661="HI",2,IF(E2661="LO",6,10))+IF(D2661=1,2,IF(D2661=7,1,(IF(WEEKDAY(B2661)=1,2,IF(WEEKDAY(B2661)=7,1,0))))))</f>
        <v>2</v>
      </c>
      <c r="H2661" s="370">
        <v>10270.375122070313</v>
      </c>
      <c r="I2661" s="370">
        <v>1877.0625228881836</v>
      </c>
      <c r="M2661" s="371">
        <f t="shared" si="165"/>
        <v>10440.496581239426</v>
      </c>
      <c r="N2661" s="329">
        <f t="shared" si="166"/>
        <v>0</v>
      </c>
      <c r="T2661" s="331">
        <v>0</v>
      </c>
      <c r="U2661" s="328">
        <f>VLOOKUP(C2661,METADATA!$J$5:$Q$29,IF(E2661="HI",2,IF(E2661="LO",6,10))+IF(T2661=1,2,IF(D2661=7,1,(IF(WEEKDAY(B2661)=1,2,IF(WEEKDAY(B2661)=7,1,0))))))</f>
        <v>2</v>
      </c>
      <c r="V2661" s="328">
        <f>VLOOKUP(C2661,METADATA!$A$5:$H$29,IF(E2661="HI",2,IF(E2661="LO",6,10))+IF(T2661=1,2,IF(D2661=7,1,(IF(WEEKDAY(B2661)=1,2,IF(WEEKDAY(B2661)=7,1,0))))))</f>
        <v>2</v>
      </c>
    </row>
    <row r="2662" spans="2:22">
      <c r="B2662" s="318">
        <f t="shared" si="167"/>
        <v>46223</v>
      </c>
      <c r="C2662" s="312">
        <v>18</v>
      </c>
      <c r="D2662" s="368">
        <f>IFERROR((INDEX(METADATA!$T$2:$T$20,MATCH(B2662,METADATA!$S$2:$S$20,0))),0)</f>
        <v>0</v>
      </c>
      <c r="E2662" s="312" t="str">
        <f t="shared" si="164"/>
        <v>LO</v>
      </c>
      <c r="F2662" s="369">
        <f>VLOOKUP(C2662,METADATA!$A$5:$H$29,IF(E2662="HI",2,IF(E2662="LO",6,10))+IF(D2662=1,2,IF(D2662=7,1,(IF(WEEKDAY(B2662)=1,2,IF(WEEKDAY(B2662)=7,1,0))))))</f>
        <v>1</v>
      </c>
      <c r="G2662" s="369">
        <f>VLOOKUP(C2662,METADATA!$J$5:$Q$29,IF(E2662="HI",2,IF(E2662="LO",6,10))+IF(D2662=1,2,IF(D2662=7,1,(IF(WEEKDAY(B2662)=1,2,IF(WEEKDAY(B2662)=7,1,0))))))</f>
        <v>1</v>
      </c>
      <c r="H2662" s="370">
        <v>10403.524780273438</v>
      </c>
      <c r="I2662" s="370">
        <v>1698.315060839057</v>
      </c>
      <c r="M2662" s="371">
        <f t="shared" si="165"/>
        <v>10541.233414531538</v>
      </c>
      <c r="N2662" s="329">
        <f t="shared" si="166"/>
        <v>0</v>
      </c>
      <c r="T2662" s="331">
        <v>0</v>
      </c>
      <c r="U2662" s="328">
        <f>VLOOKUP(C2662,METADATA!$J$5:$Q$29,IF(E2662="HI",2,IF(E2662="LO",6,10))+IF(T2662=1,2,IF(D2662=7,1,(IF(WEEKDAY(B2662)=1,2,IF(WEEKDAY(B2662)=7,1,0))))))</f>
        <v>1</v>
      </c>
      <c r="V2662" s="328">
        <f>VLOOKUP(C2662,METADATA!$A$5:$H$29,IF(E2662="HI",2,IF(E2662="LO",6,10))+IF(T2662=1,2,IF(D2662=7,1,(IF(WEEKDAY(B2662)=1,2,IF(WEEKDAY(B2662)=7,1,0))))))</f>
        <v>1</v>
      </c>
    </row>
    <row r="2663" spans="2:22">
      <c r="B2663" s="318">
        <f t="shared" si="167"/>
        <v>46223</v>
      </c>
      <c r="C2663" s="312">
        <v>19</v>
      </c>
      <c r="D2663" s="368">
        <f>IFERROR((INDEX(METADATA!$T$2:$T$20,MATCH(B2663,METADATA!$S$2:$S$20,0))),0)</f>
        <v>0</v>
      </c>
      <c r="E2663" s="312" t="str">
        <f t="shared" si="164"/>
        <v>LO</v>
      </c>
      <c r="F2663" s="369">
        <f>VLOOKUP(C2663,METADATA!$A$5:$H$29,IF(E2663="HI",2,IF(E2663="LO",6,10))+IF(D2663=1,2,IF(D2663=7,1,(IF(WEEKDAY(B2663)=1,2,IF(WEEKDAY(B2663)=7,1,0))))))</f>
        <v>1</v>
      </c>
      <c r="G2663" s="369">
        <f>VLOOKUP(C2663,METADATA!$J$5:$Q$29,IF(E2663="HI",2,IF(E2663="LO",6,10))+IF(D2663=1,2,IF(D2663=7,1,(IF(WEEKDAY(B2663)=1,2,IF(WEEKDAY(B2663)=7,1,0))))))</f>
        <v>1</v>
      </c>
      <c r="H2663" s="370">
        <v>10297.599792480469</v>
      </c>
      <c r="I2663" s="370">
        <v>1707.9325341582298</v>
      </c>
      <c r="M2663" s="371">
        <f t="shared" si="165"/>
        <v>10438.275481483037</v>
      </c>
      <c r="N2663" s="329">
        <f t="shared" si="166"/>
        <v>0</v>
      </c>
      <c r="T2663" s="331">
        <v>0</v>
      </c>
      <c r="U2663" s="328">
        <f>VLOOKUP(C2663,METADATA!$J$5:$Q$29,IF(E2663="HI",2,IF(E2663="LO",6,10))+IF(T2663=1,2,IF(D2663=7,1,(IF(WEEKDAY(B2663)=1,2,IF(WEEKDAY(B2663)=7,1,0))))))</f>
        <v>1</v>
      </c>
      <c r="V2663" s="328">
        <f>VLOOKUP(C2663,METADATA!$A$5:$H$29,IF(E2663="HI",2,IF(E2663="LO",6,10))+IF(T2663=1,2,IF(D2663=7,1,(IF(WEEKDAY(B2663)=1,2,IF(WEEKDAY(B2663)=7,1,0))))))</f>
        <v>1</v>
      </c>
    </row>
    <row r="2664" spans="2:22">
      <c r="B2664" s="318">
        <f t="shared" si="167"/>
        <v>46223</v>
      </c>
      <c r="C2664" s="312">
        <v>20</v>
      </c>
      <c r="D2664" s="368">
        <f>IFERROR((INDEX(METADATA!$T$2:$T$20,MATCH(B2664,METADATA!$S$2:$S$20,0))),0)</f>
        <v>0</v>
      </c>
      <c r="E2664" s="312" t="str">
        <f t="shared" si="164"/>
        <v>LO</v>
      </c>
      <c r="F2664" s="369">
        <f>VLOOKUP(C2664,METADATA!$A$5:$H$29,IF(E2664="HI",2,IF(E2664="LO",6,10))+IF(D2664=1,2,IF(D2664=7,1,(IF(WEEKDAY(B2664)=1,2,IF(WEEKDAY(B2664)=7,1,0))))))</f>
        <v>1</v>
      </c>
      <c r="G2664" s="369">
        <f>VLOOKUP(C2664,METADATA!$J$5:$Q$29,IF(E2664="HI",2,IF(E2664="LO",6,10))+IF(D2664=1,2,IF(D2664=7,1,(IF(WEEKDAY(B2664)=1,2,IF(WEEKDAY(B2664)=7,1,0))))))</f>
        <v>1</v>
      </c>
      <c r="H2664" s="370">
        <v>11938.75</v>
      </c>
      <c r="I2664" s="370">
        <v>2840.5349353551865</v>
      </c>
      <c r="M2664" s="371">
        <f t="shared" si="165"/>
        <v>12272.016553177937</v>
      </c>
      <c r="N2664" s="329">
        <f t="shared" si="166"/>
        <v>0</v>
      </c>
      <c r="T2664" s="331">
        <v>0</v>
      </c>
      <c r="U2664" s="328">
        <f>VLOOKUP(C2664,METADATA!$J$5:$Q$29,IF(E2664="HI",2,IF(E2664="LO",6,10))+IF(T2664=1,2,IF(D2664=7,1,(IF(WEEKDAY(B2664)=1,2,IF(WEEKDAY(B2664)=7,1,0))))))</f>
        <v>1</v>
      </c>
      <c r="V2664" s="328">
        <f>VLOOKUP(C2664,METADATA!$A$5:$H$29,IF(E2664="HI",2,IF(E2664="LO",6,10))+IF(T2664=1,2,IF(D2664=7,1,(IF(WEEKDAY(B2664)=1,2,IF(WEEKDAY(B2664)=7,1,0))))))</f>
        <v>1</v>
      </c>
    </row>
    <row r="2665" spans="2:22">
      <c r="B2665" s="318">
        <f t="shared" si="167"/>
        <v>46223</v>
      </c>
      <c r="C2665" s="312">
        <v>21</v>
      </c>
      <c r="D2665" s="368">
        <f>IFERROR((INDEX(METADATA!$T$2:$T$20,MATCH(B2665,METADATA!$S$2:$S$20,0))),0)</f>
        <v>0</v>
      </c>
      <c r="E2665" s="312" t="str">
        <f t="shared" si="164"/>
        <v>LO</v>
      </c>
      <c r="F2665" s="369">
        <f>VLOOKUP(C2665,METADATA!$A$5:$H$29,IF(E2665="HI",2,IF(E2665="LO",6,10))+IF(D2665=1,2,IF(D2665=7,1,(IF(WEEKDAY(B2665)=1,2,IF(WEEKDAY(B2665)=7,1,0))))))</f>
        <v>2</v>
      </c>
      <c r="G2665" s="369">
        <f>VLOOKUP(C2665,METADATA!$J$5:$Q$29,IF(E2665="HI",2,IF(E2665="LO",6,10))+IF(D2665=1,2,IF(D2665=7,1,(IF(WEEKDAY(B2665)=1,2,IF(WEEKDAY(B2665)=7,1,0))))))</f>
        <v>2</v>
      </c>
      <c r="H2665" s="370">
        <v>12685.674621582031</v>
      </c>
      <c r="I2665" s="370">
        <v>3387.8750457763672</v>
      </c>
      <c r="M2665" s="371">
        <f t="shared" si="165"/>
        <v>13130.271814796701</v>
      </c>
      <c r="N2665" s="329">
        <f t="shared" si="166"/>
        <v>0</v>
      </c>
      <c r="T2665" s="331">
        <v>0</v>
      </c>
      <c r="U2665" s="328">
        <f>VLOOKUP(C2665,METADATA!$J$5:$Q$29,IF(E2665="HI",2,IF(E2665="LO",6,10))+IF(T2665=1,2,IF(D2665=7,1,(IF(WEEKDAY(B2665)=1,2,IF(WEEKDAY(B2665)=7,1,0))))))</f>
        <v>2</v>
      </c>
      <c r="V2665" s="328">
        <f>VLOOKUP(C2665,METADATA!$A$5:$H$29,IF(E2665="HI",2,IF(E2665="LO",6,10))+IF(T2665=1,2,IF(D2665=7,1,(IF(WEEKDAY(B2665)=1,2,IF(WEEKDAY(B2665)=7,1,0))))))</f>
        <v>2</v>
      </c>
    </row>
    <row r="2666" spans="2:22">
      <c r="B2666" s="318">
        <f t="shared" si="167"/>
        <v>46223</v>
      </c>
      <c r="C2666" s="312">
        <v>22</v>
      </c>
      <c r="D2666" s="368">
        <f>IFERROR((INDEX(METADATA!$T$2:$T$20,MATCH(B2666,METADATA!$S$2:$S$20,0))),0)</f>
        <v>0</v>
      </c>
      <c r="E2666" s="312" t="str">
        <f t="shared" si="164"/>
        <v>LO</v>
      </c>
      <c r="F2666" s="369">
        <f>VLOOKUP(C2666,METADATA!$A$5:$H$29,IF(E2666="HI",2,IF(E2666="LO",6,10))+IF(D2666=1,2,IF(D2666=7,1,(IF(WEEKDAY(B2666)=1,2,IF(WEEKDAY(B2666)=7,1,0))))))</f>
        <v>3</v>
      </c>
      <c r="G2666" s="369">
        <f>VLOOKUP(C2666,METADATA!$J$5:$Q$29,IF(E2666="HI",2,IF(E2666="LO",6,10))+IF(D2666=1,2,IF(D2666=7,1,(IF(WEEKDAY(B2666)=1,2,IF(WEEKDAY(B2666)=7,1,0))))))</f>
        <v>3</v>
      </c>
      <c r="H2666" s="370">
        <v>12931.874877929688</v>
      </c>
      <c r="I2666" s="370">
        <v>3760.8550720214844</v>
      </c>
      <c r="M2666" s="371">
        <f t="shared" si="165"/>
        <v>13467.643399317441</v>
      </c>
      <c r="N2666" s="329">
        <f t="shared" si="166"/>
        <v>0</v>
      </c>
      <c r="T2666" s="331">
        <v>0</v>
      </c>
      <c r="U2666" s="328">
        <f>VLOOKUP(C2666,METADATA!$J$5:$Q$29,IF(E2666="HI",2,IF(E2666="LO",6,10))+IF(T2666=1,2,IF(D2666=7,1,(IF(WEEKDAY(B2666)=1,2,IF(WEEKDAY(B2666)=7,1,0))))))</f>
        <v>3</v>
      </c>
      <c r="V2666" s="328">
        <f>VLOOKUP(C2666,METADATA!$A$5:$H$29,IF(E2666="HI",2,IF(E2666="LO",6,10))+IF(T2666=1,2,IF(D2666=7,1,(IF(WEEKDAY(B2666)=1,2,IF(WEEKDAY(B2666)=7,1,0))))))</f>
        <v>3</v>
      </c>
    </row>
    <row r="2667" spans="2:22">
      <c r="B2667" s="318">
        <f t="shared" si="167"/>
        <v>46223</v>
      </c>
      <c r="C2667" s="312">
        <v>23</v>
      </c>
      <c r="D2667" s="368">
        <f>IFERROR((INDEX(METADATA!$T$2:$T$20,MATCH(B2667,METADATA!$S$2:$S$20,0))),0)</f>
        <v>0</v>
      </c>
      <c r="E2667" s="312" t="str">
        <f t="shared" si="164"/>
        <v>LO</v>
      </c>
      <c r="F2667" s="369">
        <f>VLOOKUP(C2667,METADATA!$A$5:$H$29,IF(E2667="HI",2,IF(E2667="LO",6,10))+IF(D2667=1,2,IF(D2667=7,1,(IF(WEEKDAY(B2667)=1,2,IF(WEEKDAY(B2667)=7,1,0))))))</f>
        <v>3</v>
      </c>
      <c r="G2667" s="369">
        <f>VLOOKUP(C2667,METADATA!$J$5:$Q$29,IF(E2667="HI",2,IF(E2667="LO",6,10))+IF(D2667=1,2,IF(D2667=7,1,(IF(WEEKDAY(B2667)=1,2,IF(WEEKDAY(B2667)=7,1,0))))))</f>
        <v>3</v>
      </c>
      <c r="H2667" s="370">
        <v>13651.749633789063</v>
      </c>
      <c r="I2667" s="370">
        <v>4331.7299499511719</v>
      </c>
      <c r="M2667" s="371">
        <f t="shared" si="165"/>
        <v>14322.505102912821</v>
      </c>
      <c r="N2667" s="329">
        <f t="shared" si="166"/>
        <v>236.20505981445331</v>
      </c>
      <c r="T2667" s="331">
        <v>0</v>
      </c>
      <c r="U2667" s="328">
        <f>VLOOKUP(C2667,METADATA!$J$5:$Q$29,IF(E2667="HI",2,IF(E2667="LO",6,10))+IF(T2667=1,2,IF(D2667=7,1,(IF(WEEKDAY(B2667)=1,2,IF(WEEKDAY(B2667)=7,1,0))))))</f>
        <v>3</v>
      </c>
      <c r="V2667" s="328">
        <f>VLOOKUP(C2667,METADATA!$A$5:$H$29,IF(E2667="HI",2,IF(E2667="LO",6,10))+IF(T2667=1,2,IF(D2667=7,1,(IF(WEEKDAY(B2667)=1,2,IF(WEEKDAY(B2667)=7,1,0))))))</f>
        <v>3</v>
      </c>
    </row>
    <row r="2668" spans="2:22">
      <c r="B2668" s="318">
        <f t="shared" si="167"/>
        <v>46224</v>
      </c>
      <c r="C2668" s="312">
        <v>0</v>
      </c>
      <c r="D2668" s="368">
        <f>IFERROR((INDEX(METADATA!$T$2:$T$20,MATCH(B2668,METADATA!$S$2:$S$20,0))),0)</f>
        <v>0</v>
      </c>
      <c r="E2668" s="312" t="str">
        <f t="shared" si="164"/>
        <v>LO</v>
      </c>
      <c r="F2668" s="369">
        <f>VLOOKUP(C2668,METADATA!$A$5:$H$29,IF(E2668="HI",2,IF(E2668="LO",6,10))+IF(D2668=1,2,IF(D2668=7,1,(IF(WEEKDAY(B2668)=1,2,IF(WEEKDAY(B2668)=7,1,0))))))</f>
        <v>3</v>
      </c>
      <c r="G2668" s="369">
        <f>VLOOKUP(C2668,METADATA!$J$5:$Q$29,IF(E2668="HI",2,IF(E2668="LO",6,10))+IF(D2668=1,2,IF(D2668=7,1,(IF(WEEKDAY(B2668)=1,2,IF(WEEKDAY(B2668)=7,1,0))))))</f>
        <v>3</v>
      </c>
      <c r="H2668" s="370">
        <v>13442.550537109375</v>
      </c>
      <c r="I2668" s="370">
        <v>4171.9450073242188</v>
      </c>
      <c r="M2668" s="371">
        <f t="shared" si="165"/>
        <v>14075.059150386438</v>
      </c>
      <c r="N2668" s="329">
        <f t="shared" si="166"/>
        <v>139.17984619140634</v>
      </c>
      <c r="T2668" s="331">
        <v>0</v>
      </c>
      <c r="U2668" s="328">
        <f>VLOOKUP(C2668,METADATA!$J$5:$Q$29,IF(E2668="HI",2,IF(E2668="LO",6,10))+IF(T2668=1,2,IF(D2668=7,1,(IF(WEEKDAY(B2668)=1,2,IF(WEEKDAY(B2668)=7,1,0))))))</f>
        <v>3</v>
      </c>
      <c r="V2668" s="328">
        <f>VLOOKUP(C2668,METADATA!$A$5:$H$29,IF(E2668="HI",2,IF(E2668="LO",6,10))+IF(T2668=1,2,IF(D2668=7,1,(IF(WEEKDAY(B2668)=1,2,IF(WEEKDAY(B2668)=7,1,0))))))</f>
        <v>3</v>
      </c>
    </row>
    <row r="2669" spans="2:22">
      <c r="B2669" s="318">
        <f t="shared" si="167"/>
        <v>46224</v>
      </c>
      <c r="C2669" s="312">
        <v>1</v>
      </c>
      <c r="D2669" s="368">
        <f>IFERROR((INDEX(METADATA!$T$2:$T$20,MATCH(B2669,METADATA!$S$2:$S$20,0))),0)</f>
        <v>0</v>
      </c>
      <c r="E2669" s="312" t="str">
        <f t="shared" si="164"/>
        <v>LO</v>
      </c>
      <c r="F2669" s="369">
        <f>VLOOKUP(C2669,METADATA!$A$5:$H$29,IF(E2669="HI",2,IF(E2669="LO",6,10))+IF(D2669=1,2,IF(D2669=7,1,(IF(WEEKDAY(B2669)=1,2,IF(WEEKDAY(B2669)=7,1,0))))))</f>
        <v>3</v>
      </c>
      <c r="G2669" s="369">
        <f>VLOOKUP(C2669,METADATA!$J$5:$Q$29,IF(E2669="HI",2,IF(E2669="LO",6,10))+IF(D2669=1,2,IF(D2669=7,1,(IF(WEEKDAY(B2669)=1,2,IF(WEEKDAY(B2669)=7,1,0))))))</f>
        <v>3</v>
      </c>
      <c r="H2669" s="370">
        <v>13660.467407226563</v>
      </c>
      <c r="I2669" s="370">
        <v>4335.7150268554688</v>
      </c>
      <c r="M2669" s="371">
        <f t="shared" si="165"/>
        <v>14332.019905721576</v>
      </c>
      <c r="N2669" s="329">
        <f t="shared" si="166"/>
        <v>237.57480468750055</v>
      </c>
      <c r="T2669" s="331">
        <v>0</v>
      </c>
      <c r="U2669" s="328">
        <f>VLOOKUP(C2669,METADATA!$J$5:$Q$29,IF(E2669="HI",2,IF(E2669="LO",6,10))+IF(T2669=1,2,IF(D2669=7,1,(IF(WEEKDAY(B2669)=1,2,IF(WEEKDAY(B2669)=7,1,0))))))</f>
        <v>3</v>
      </c>
      <c r="V2669" s="328">
        <f>VLOOKUP(C2669,METADATA!$A$5:$H$29,IF(E2669="HI",2,IF(E2669="LO",6,10))+IF(T2669=1,2,IF(D2669=7,1,(IF(WEEKDAY(B2669)=1,2,IF(WEEKDAY(B2669)=7,1,0))))))</f>
        <v>3</v>
      </c>
    </row>
    <row r="2670" spans="2:22">
      <c r="B2670" s="318">
        <f t="shared" si="167"/>
        <v>46224</v>
      </c>
      <c r="C2670" s="312">
        <v>2</v>
      </c>
      <c r="D2670" s="368">
        <f>IFERROR((INDEX(METADATA!$T$2:$T$20,MATCH(B2670,METADATA!$S$2:$S$20,0))),0)</f>
        <v>0</v>
      </c>
      <c r="E2670" s="312" t="str">
        <f t="shared" si="164"/>
        <v>LO</v>
      </c>
      <c r="F2670" s="369">
        <f>VLOOKUP(C2670,METADATA!$A$5:$H$29,IF(E2670="HI",2,IF(E2670="LO",6,10))+IF(D2670=1,2,IF(D2670=7,1,(IF(WEEKDAY(B2670)=1,2,IF(WEEKDAY(B2670)=7,1,0))))))</f>
        <v>3</v>
      </c>
      <c r="G2670" s="369">
        <f>VLOOKUP(C2670,METADATA!$J$5:$Q$29,IF(E2670="HI",2,IF(E2670="LO",6,10))+IF(D2670=1,2,IF(D2670=7,1,(IF(WEEKDAY(B2670)=1,2,IF(WEEKDAY(B2670)=7,1,0))))))</f>
        <v>3</v>
      </c>
      <c r="H2670" s="370">
        <v>13677.32470703125</v>
      </c>
      <c r="I2670" s="370">
        <v>4352.0049743652344</v>
      </c>
      <c r="M2670" s="371">
        <f t="shared" si="165"/>
        <v>14353.019140183267</v>
      </c>
      <c r="N2670" s="329">
        <f t="shared" si="166"/>
        <v>248.80756225585992</v>
      </c>
      <c r="T2670" s="331">
        <v>0</v>
      </c>
      <c r="U2670" s="328">
        <f>VLOOKUP(C2670,METADATA!$J$5:$Q$29,IF(E2670="HI",2,IF(E2670="LO",6,10))+IF(T2670=1,2,IF(D2670=7,1,(IF(WEEKDAY(B2670)=1,2,IF(WEEKDAY(B2670)=7,1,0))))))</f>
        <v>3</v>
      </c>
      <c r="V2670" s="328">
        <f>VLOOKUP(C2670,METADATA!$A$5:$H$29,IF(E2670="HI",2,IF(E2670="LO",6,10))+IF(T2670=1,2,IF(D2670=7,1,(IF(WEEKDAY(B2670)=1,2,IF(WEEKDAY(B2670)=7,1,0))))))</f>
        <v>3</v>
      </c>
    </row>
    <row r="2671" spans="2:22">
      <c r="B2671" s="318">
        <f t="shared" si="167"/>
        <v>46224</v>
      </c>
      <c r="C2671" s="312">
        <v>3</v>
      </c>
      <c r="D2671" s="368">
        <f>IFERROR((INDEX(METADATA!$T$2:$T$20,MATCH(B2671,METADATA!$S$2:$S$20,0))),0)</f>
        <v>0</v>
      </c>
      <c r="E2671" s="312" t="str">
        <f t="shared" si="164"/>
        <v>LO</v>
      </c>
      <c r="F2671" s="369">
        <f>VLOOKUP(C2671,METADATA!$A$5:$H$29,IF(E2671="HI",2,IF(E2671="LO",6,10))+IF(D2671=1,2,IF(D2671=7,1,(IF(WEEKDAY(B2671)=1,2,IF(WEEKDAY(B2671)=7,1,0))))))</f>
        <v>3</v>
      </c>
      <c r="G2671" s="369">
        <f>VLOOKUP(C2671,METADATA!$J$5:$Q$29,IF(E2671="HI",2,IF(E2671="LO",6,10))+IF(D2671=1,2,IF(D2671=7,1,(IF(WEEKDAY(B2671)=1,2,IF(WEEKDAY(B2671)=7,1,0))))))</f>
        <v>3</v>
      </c>
      <c r="H2671" s="370">
        <v>13708.25048828125</v>
      </c>
      <c r="I2671" s="370">
        <v>4224.7449951171875</v>
      </c>
      <c r="M2671" s="371">
        <f t="shared" si="165"/>
        <v>14344.497262826288</v>
      </c>
      <c r="N2671" s="329">
        <f t="shared" si="166"/>
        <v>112.26984863281268</v>
      </c>
      <c r="T2671" s="331">
        <v>0</v>
      </c>
      <c r="U2671" s="328">
        <f>VLOOKUP(C2671,METADATA!$J$5:$Q$29,IF(E2671="HI",2,IF(E2671="LO",6,10))+IF(T2671=1,2,IF(D2671=7,1,(IF(WEEKDAY(B2671)=1,2,IF(WEEKDAY(B2671)=7,1,0))))))</f>
        <v>3</v>
      </c>
      <c r="V2671" s="328">
        <f>VLOOKUP(C2671,METADATA!$A$5:$H$29,IF(E2671="HI",2,IF(E2671="LO",6,10))+IF(T2671=1,2,IF(D2671=7,1,(IF(WEEKDAY(B2671)=1,2,IF(WEEKDAY(B2671)=7,1,0))))))</f>
        <v>3</v>
      </c>
    </row>
    <row r="2672" spans="2:22">
      <c r="B2672" s="318">
        <f t="shared" si="167"/>
        <v>46224</v>
      </c>
      <c r="C2672" s="312">
        <v>4</v>
      </c>
      <c r="D2672" s="368">
        <f>IFERROR((INDEX(METADATA!$T$2:$T$20,MATCH(B2672,METADATA!$S$2:$S$20,0))),0)</f>
        <v>0</v>
      </c>
      <c r="E2672" s="312" t="str">
        <f t="shared" si="164"/>
        <v>LO</v>
      </c>
      <c r="F2672" s="369">
        <f>VLOOKUP(C2672,METADATA!$A$5:$H$29,IF(E2672="HI",2,IF(E2672="LO",6,10))+IF(D2672=1,2,IF(D2672=7,1,(IF(WEEKDAY(B2672)=1,2,IF(WEEKDAY(B2672)=7,1,0))))))</f>
        <v>3</v>
      </c>
      <c r="G2672" s="369">
        <f>VLOOKUP(C2672,METADATA!$J$5:$Q$29,IF(E2672="HI",2,IF(E2672="LO",6,10))+IF(D2672=1,2,IF(D2672=7,1,(IF(WEEKDAY(B2672)=1,2,IF(WEEKDAY(B2672)=7,1,0))))))</f>
        <v>3</v>
      </c>
      <c r="H2672" s="370">
        <v>13878.474975585938</v>
      </c>
      <c r="I2672" s="370">
        <v>4348.5899658203125</v>
      </c>
      <c r="M2672" s="371">
        <f t="shared" si="165"/>
        <v>14543.806322238968</v>
      </c>
      <c r="N2672" s="329">
        <f t="shared" si="166"/>
        <v>185.04747314453107</v>
      </c>
      <c r="T2672" s="331">
        <v>0</v>
      </c>
      <c r="U2672" s="328">
        <f>VLOOKUP(C2672,METADATA!$J$5:$Q$29,IF(E2672="HI",2,IF(E2672="LO",6,10))+IF(T2672=1,2,IF(D2672=7,1,(IF(WEEKDAY(B2672)=1,2,IF(WEEKDAY(B2672)=7,1,0))))))</f>
        <v>3</v>
      </c>
      <c r="V2672" s="328">
        <f>VLOOKUP(C2672,METADATA!$A$5:$H$29,IF(E2672="HI",2,IF(E2672="LO",6,10))+IF(T2672=1,2,IF(D2672=7,1,(IF(WEEKDAY(B2672)=1,2,IF(WEEKDAY(B2672)=7,1,0))))))</f>
        <v>3</v>
      </c>
    </row>
    <row r="2673" spans="2:22">
      <c r="B2673" s="318">
        <f t="shared" si="167"/>
        <v>46224</v>
      </c>
      <c r="C2673" s="312">
        <v>5</v>
      </c>
      <c r="D2673" s="368">
        <f>IFERROR((INDEX(METADATA!$T$2:$T$20,MATCH(B2673,METADATA!$S$2:$S$20,0))),0)</f>
        <v>0</v>
      </c>
      <c r="E2673" s="312" t="str">
        <f t="shared" si="164"/>
        <v>LO</v>
      </c>
      <c r="F2673" s="369">
        <f>VLOOKUP(C2673,METADATA!$A$5:$H$29,IF(E2673="HI",2,IF(E2673="LO",6,10))+IF(D2673=1,2,IF(D2673=7,1,(IF(WEEKDAY(B2673)=1,2,IF(WEEKDAY(B2673)=7,1,0))))))</f>
        <v>3</v>
      </c>
      <c r="G2673" s="369">
        <f>VLOOKUP(C2673,METADATA!$J$5:$Q$29,IF(E2673="HI",2,IF(E2673="LO",6,10))+IF(D2673=1,2,IF(D2673=7,1,(IF(WEEKDAY(B2673)=1,2,IF(WEEKDAY(B2673)=7,1,0))))))</f>
        <v>3</v>
      </c>
      <c r="H2673" s="370">
        <v>13946.775268554688</v>
      </c>
      <c r="I2673" s="370">
        <v>4408.0199279785156</v>
      </c>
      <c r="M2673" s="371">
        <f t="shared" si="165"/>
        <v>14626.796644413444</v>
      </c>
      <c r="N2673" s="329">
        <f t="shared" si="166"/>
        <v>223.98734741210956</v>
      </c>
      <c r="T2673" s="331">
        <v>0</v>
      </c>
      <c r="U2673" s="328">
        <f>VLOOKUP(C2673,METADATA!$J$5:$Q$29,IF(E2673="HI",2,IF(E2673="LO",6,10))+IF(T2673=1,2,IF(D2673=7,1,(IF(WEEKDAY(B2673)=1,2,IF(WEEKDAY(B2673)=7,1,0))))))</f>
        <v>3</v>
      </c>
      <c r="V2673" s="328">
        <f>VLOOKUP(C2673,METADATA!$A$5:$H$29,IF(E2673="HI",2,IF(E2673="LO",6,10))+IF(T2673=1,2,IF(D2673=7,1,(IF(WEEKDAY(B2673)=1,2,IF(WEEKDAY(B2673)=7,1,0))))))</f>
        <v>3</v>
      </c>
    </row>
    <row r="2674" spans="2:22">
      <c r="B2674" s="318">
        <f t="shared" si="167"/>
        <v>46224</v>
      </c>
      <c r="C2674" s="312">
        <v>6</v>
      </c>
      <c r="D2674" s="368">
        <f>IFERROR((INDEX(METADATA!$T$2:$T$20,MATCH(B2674,METADATA!$S$2:$S$20,0))),0)</f>
        <v>0</v>
      </c>
      <c r="E2674" s="312" t="str">
        <f t="shared" si="164"/>
        <v>LO</v>
      </c>
      <c r="F2674" s="369">
        <f>VLOOKUP(C2674,METADATA!$A$5:$H$29,IF(E2674="HI",2,IF(E2674="LO",6,10))+IF(D2674=1,2,IF(D2674=7,1,(IF(WEEKDAY(B2674)=1,2,IF(WEEKDAY(B2674)=7,1,0))))))</f>
        <v>2</v>
      </c>
      <c r="G2674" s="369">
        <f>VLOOKUP(C2674,METADATA!$J$5:$Q$29,IF(E2674="HI",2,IF(E2674="LO",6,10))+IF(D2674=1,2,IF(D2674=7,1,(IF(WEEKDAY(B2674)=1,2,IF(WEEKDAY(B2674)=7,1,0))))))</f>
        <v>2</v>
      </c>
      <c r="H2674" s="370">
        <v>13924.124328613281</v>
      </c>
      <c r="I2674" s="370">
        <v>4354.239990234375</v>
      </c>
      <c r="M2674" s="371">
        <f t="shared" si="165"/>
        <v>14589.059058460094</v>
      </c>
      <c r="N2674" s="329">
        <f t="shared" si="166"/>
        <v>177.00269165039117</v>
      </c>
      <c r="T2674" s="331">
        <v>0</v>
      </c>
      <c r="U2674" s="328">
        <f>VLOOKUP(C2674,METADATA!$J$5:$Q$29,IF(E2674="HI",2,IF(E2674="LO",6,10))+IF(T2674=1,2,IF(D2674=7,1,(IF(WEEKDAY(B2674)=1,2,IF(WEEKDAY(B2674)=7,1,0))))))</f>
        <v>2</v>
      </c>
      <c r="V2674" s="328">
        <f>VLOOKUP(C2674,METADATA!$A$5:$H$29,IF(E2674="HI",2,IF(E2674="LO",6,10))+IF(T2674=1,2,IF(D2674=7,1,(IF(WEEKDAY(B2674)=1,2,IF(WEEKDAY(B2674)=7,1,0))))))</f>
        <v>2</v>
      </c>
    </row>
    <row r="2675" spans="2:22">
      <c r="B2675" s="318">
        <f t="shared" si="167"/>
        <v>46224</v>
      </c>
      <c r="C2675" s="312">
        <v>7</v>
      </c>
      <c r="D2675" s="368">
        <f>IFERROR((INDEX(METADATA!$T$2:$T$20,MATCH(B2675,METADATA!$S$2:$S$20,0))),0)</f>
        <v>0</v>
      </c>
      <c r="E2675" s="312" t="str">
        <f t="shared" si="164"/>
        <v>LO</v>
      </c>
      <c r="F2675" s="369">
        <f>VLOOKUP(C2675,METADATA!$A$5:$H$29,IF(E2675="HI",2,IF(E2675="LO",6,10))+IF(D2675=1,2,IF(D2675=7,1,(IF(WEEKDAY(B2675)=1,2,IF(WEEKDAY(B2675)=7,1,0))))))</f>
        <v>1</v>
      </c>
      <c r="G2675" s="369">
        <f>VLOOKUP(C2675,METADATA!$J$5:$Q$29,IF(E2675="HI",2,IF(E2675="LO",6,10))+IF(D2675=1,2,IF(D2675=7,1,(IF(WEEKDAY(B2675)=1,2,IF(WEEKDAY(B2675)=7,1,0))))))</f>
        <v>1</v>
      </c>
      <c r="H2675" s="370">
        <v>14082.774780273438</v>
      </c>
      <c r="I2675" s="370">
        <v>4473.5450439453125</v>
      </c>
      <c r="M2675" s="371">
        <f t="shared" si="165"/>
        <v>14776.236015038241</v>
      </c>
      <c r="N2675" s="329">
        <f t="shared" si="166"/>
        <v>248.71260986328161</v>
      </c>
      <c r="T2675" s="331">
        <v>0</v>
      </c>
      <c r="U2675" s="328">
        <f>VLOOKUP(C2675,METADATA!$J$5:$Q$29,IF(E2675="HI",2,IF(E2675="LO",6,10))+IF(T2675=1,2,IF(D2675=7,1,(IF(WEEKDAY(B2675)=1,2,IF(WEEKDAY(B2675)=7,1,0))))))</f>
        <v>1</v>
      </c>
      <c r="V2675" s="328">
        <f>VLOOKUP(C2675,METADATA!$A$5:$H$29,IF(E2675="HI",2,IF(E2675="LO",6,10))+IF(T2675=1,2,IF(D2675=7,1,(IF(WEEKDAY(B2675)=1,2,IF(WEEKDAY(B2675)=7,1,0))))))</f>
        <v>1</v>
      </c>
    </row>
    <row r="2676" spans="2:22">
      <c r="B2676" s="318">
        <f t="shared" si="167"/>
        <v>46224</v>
      </c>
      <c r="C2676" s="312">
        <v>8</v>
      </c>
      <c r="D2676" s="368">
        <f>IFERROR((INDEX(METADATA!$T$2:$T$20,MATCH(B2676,METADATA!$S$2:$S$20,0))),0)</f>
        <v>0</v>
      </c>
      <c r="E2676" s="312" t="str">
        <f t="shared" si="164"/>
        <v>LO</v>
      </c>
      <c r="F2676" s="369">
        <f>VLOOKUP(C2676,METADATA!$A$5:$H$29,IF(E2676="HI",2,IF(E2676="LO",6,10))+IF(D2676=1,2,IF(D2676=7,1,(IF(WEEKDAY(B2676)=1,2,IF(WEEKDAY(B2676)=7,1,0))))))</f>
        <v>1</v>
      </c>
      <c r="G2676" s="369">
        <f>VLOOKUP(C2676,METADATA!$J$5:$Q$29,IF(E2676="HI",2,IF(E2676="LO",6,10))+IF(D2676=1,2,IF(D2676=7,1,(IF(WEEKDAY(B2676)=1,2,IF(WEEKDAY(B2676)=7,1,0))))))</f>
        <v>1</v>
      </c>
      <c r="H2676" s="370">
        <v>14233.900024414063</v>
      </c>
      <c r="I2676" s="370">
        <v>4470.5300598144531</v>
      </c>
      <c r="M2676" s="371">
        <f t="shared" si="165"/>
        <v>14919.43527485941</v>
      </c>
      <c r="N2676" s="329">
        <f t="shared" si="166"/>
        <v>200.36005249023492</v>
      </c>
      <c r="T2676" s="331">
        <v>0</v>
      </c>
      <c r="U2676" s="328">
        <f>VLOOKUP(C2676,METADATA!$J$5:$Q$29,IF(E2676="HI",2,IF(E2676="LO",6,10))+IF(T2676=1,2,IF(D2676=7,1,(IF(WEEKDAY(B2676)=1,2,IF(WEEKDAY(B2676)=7,1,0))))))</f>
        <v>1</v>
      </c>
      <c r="V2676" s="328">
        <f>VLOOKUP(C2676,METADATA!$A$5:$H$29,IF(E2676="HI",2,IF(E2676="LO",6,10))+IF(T2676=1,2,IF(D2676=7,1,(IF(WEEKDAY(B2676)=1,2,IF(WEEKDAY(B2676)=7,1,0))))))</f>
        <v>1</v>
      </c>
    </row>
    <row r="2677" spans="2:22">
      <c r="B2677" s="318">
        <f t="shared" si="167"/>
        <v>46224</v>
      </c>
      <c r="C2677" s="312">
        <v>9</v>
      </c>
      <c r="D2677" s="368">
        <f>IFERROR((INDEX(METADATA!$T$2:$T$20,MATCH(B2677,METADATA!$S$2:$S$20,0))),0)</f>
        <v>0</v>
      </c>
      <c r="E2677" s="312" t="str">
        <f t="shared" si="164"/>
        <v>LO</v>
      </c>
      <c r="F2677" s="369">
        <f>VLOOKUP(C2677,METADATA!$A$5:$H$29,IF(E2677="HI",2,IF(E2677="LO",6,10))+IF(D2677=1,2,IF(D2677=7,1,(IF(WEEKDAY(B2677)=1,2,IF(WEEKDAY(B2677)=7,1,0))))))</f>
        <v>2</v>
      </c>
      <c r="G2677" s="369">
        <f>VLOOKUP(C2677,METADATA!$J$5:$Q$29,IF(E2677="HI",2,IF(E2677="LO",6,10))+IF(D2677=1,2,IF(D2677=7,1,(IF(WEEKDAY(B2677)=1,2,IF(WEEKDAY(B2677)=7,1,0))))))</f>
        <v>2</v>
      </c>
      <c r="H2677" s="370">
        <v>14164.425231933594</v>
      </c>
      <c r="I2677" s="370">
        <v>4626.9649353027344</v>
      </c>
      <c r="M2677" s="371">
        <f t="shared" si="165"/>
        <v>14900.99817675172</v>
      </c>
      <c r="N2677" s="329">
        <f t="shared" si="166"/>
        <v>377.6373657226568</v>
      </c>
      <c r="T2677" s="331">
        <v>0</v>
      </c>
      <c r="U2677" s="328">
        <f>VLOOKUP(C2677,METADATA!$J$5:$Q$29,IF(E2677="HI",2,IF(E2677="LO",6,10))+IF(T2677=1,2,IF(D2677=7,1,(IF(WEEKDAY(B2677)=1,2,IF(WEEKDAY(B2677)=7,1,0))))))</f>
        <v>2</v>
      </c>
      <c r="V2677" s="328">
        <f>VLOOKUP(C2677,METADATA!$A$5:$H$29,IF(E2677="HI",2,IF(E2677="LO",6,10))+IF(T2677=1,2,IF(D2677=7,1,(IF(WEEKDAY(B2677)=1,2,IF(WEEKDAY(B2677)=7,1,0))))))</f>
        <v>2</v>
      </c>
    </row>
    <row r="2678" spans="2:22">
      <c r="B2678" s="318">
        <f t="shared" si="167"/>
        <v>46224</v>
      </c>
      <c r="C2678" s="312">
        <v>10</v>
      </c>
      <c r="D2678" s="368">
        <f>IFERROR((INDEX(METADATA!$T$2:$T$20,MATCH(B2678,METADATA!$S$2:$S$20,0))),0)</f>
        <v>0</v>
      </c>
      <c r="E2678" s="312" t="str">
        <f t="shared" si="164"/>
        <v>LO</v>
      </c>
      <c r="F2678" s="369">
        <f>VLOOKUP(C2678,METADATA!$A$5:$H$29,IF(E2678="HI",2,IF(E2678="LO",6,10))+IF(D2678=1,2,IF(D2678=7,1,(IF(WEEKDAY(B2678)=1,2,IF(WEEKDAY(B2678)=7,1,0))))))</f>
        <v>2</v>
      </c>
      <c r="G2678" s="369">
        <f>VLOOKUP(C2678,METADATA!$J$5:$Q$29,IF(E2678="HI",2,IF(E2678="LO",6,10))+IF(D2678=1,2,IF(D2678=7,1,(IF(WEEKDAY(B2678)=1,2,IF(WEEKDAY(B2678)=7,1,0))))))</f>
        <v>2</v>
      </c>
      <c r="H2678" s="370">
        <v>14172.02490234375</v>
      </c>
      <c r="I2678" s="370">
        <v>4646</v>
      </c>
      <c r="M2678" s="371">
        <f t="shared" si="165"/>
        <v>14914.141136272359</v>
      </c>
      <c r="N2678" s="329">
        <f t="shared" si="166"/>
        <v>394.39252929687518</v>
      </c>
      <c r="T2678" s="331">
        <v>0</v>
      </c>
      <c r="U2678" s="328">
        <f>VLOOKUP(C2678,METADATA!$J$5:$Q$29,IF(E2678="HI",2,IF(E2678="LO",6,10))+IF(T2678=1,2,IF(D2678=7,1,(IF(WEEKDAY(B2678)=1,2,IF(WEEKDAY(B2678)=7,1,0))))))</f>
        <v>2</v>
      </c>
      <c r="V2678" s="328">
        <f>VLOOKUP(C2678,METADATA!$A$5:$H$29,IF(E2678="HI",2,IF(E2678="LO",6,10))+IF(T2678=1,2,IF(D2678=7,1,(IF(WEEKDAY(B2678)=1,2,IF(WEEKDAY(B2678)=7,1,0))))))</f>
        <v>2</v>
      </c>
    </row>
    <row r="2679" spans="2:22">
      <c r="B2679" s="318">
        <f t="shared" si="167"/>
        <v>46224</v>
      </c>
      <c r="C2679" s="312">
        <v>11</v>
      </c>
      <c r="D2679" s="368">
        <f>IFERROR((INDEX(METADATA!$T$2:$T$20,MATCH(B2679,METADATA!$S$2:$S$20,0))),0)</f>
        <v>0</v>
      </c>
      <c r="E2679" s="312" t="str">
        <f t="shared" si="164"/>
        <v>LO</v>
      </c>
      <c r="F2679" s="369">
        <f>VLOOKUP(C2679,METADATA!$A$5:$H$29,IF(E2679="HI",2,IF(E2679="LO",6,10))+IF(D2679=1,2,IF(D2679=7,1,(IF(WEEKDAY(B2679)=1,2,IF(WEEKDAY(B2679)=7,1,0))))))</f>
        <v>2</v>
      </c>
      <c r="G2679" s="369">
        <f>VLOOKUP(C2679,METADATA!$J$5:$Q$29,IF(E2679="HI",2,IF(E2679="LO",6,10))+IF(D2679=1,2,IF(D2679=7,1,(IF(WEEKDAY(B2679)=1,2,IF(WEEKDAY(B2679)=7,1,0))))))</f>
        <v>2</v>
      </c>
      <c r="H2679" s="370">
        <v>14072.25048828125</v>
      </c>
      <c r="I2679" s="370">
        <v>4726.6899719238281</v>
      </c>
      <c r="M2679" s="371">
        <f t="shared" si="165"/>
        <v>14844.858769810415</v>
      </c>
      <c r="N2679" s="329">
        <f t="shared" si="166"/>
        <v>505.01482543945349</v>
      </c>
      <c r="T2679" s="331">
        <v>0</v>
      </c>
      <c r="U2679" s="328">
        <f>VLOOKUP(C2679,METADATA!$J$5:$Q$29,IF(E2679="HI",2,IF(E2679="LO",6,10))+IF(T2679=1,2,IF(D2679=7,1,(IF(WEEKDAY(B2679)=1,2,IF(WEEKDAY(B2679)=7,1,0))))))</f>
        <v>2</v>
      </c>
      <c r="V2679" s="328">
        <f>VLOOKUP(C2679,METADATA!$A$5:$H$29,IF(E2679="HI",2,IF(E2679="LO",6,10))+IF(T2679=1,2,IF(D2679=7,1,(IF(WEEKDAY(B2679)=1,2,IF(WEEKDAY(B2679)=7,1,0))))))</f>
        <v>2</v>
      </c>
    </row>
    <row r="2680" spans="2:22">
      <c r="B2680" s="318">
        <f t="shared" si="167"/>
        <v>46224</v>
      </c>
      <c r="C2680" s="312">
        <v>12</v>
      </c>
      <c r="D2680" s="368">
        <f>IFERROR((INDEX(METADATA!$T$2:$T$20,MATCH(B2680,METADATA!$S$2:$S$20,0))),0)</f>
        <v>0</v>
      </c>
      <c r="E2680" s="312" t="str">
        <f t="shared" si="164"/>
        <v>LO</v>
      </c>
      <c r="F2680" s="369">
        <f>VLOOKUP(C2680,METADATA!$A$5:$H$29,IF(E2680="HI",2,IF(E2680="LO",6,10))+IF(D2680=1,2,IF(D2680=7,1,(IF(WEEKDAY(B2680)=1,2,IF(WEEKDAY(B2680)=7,1,0))))))</f>
        <v>2</v>
      </c>
      <c r="G2680" s="369">
        <f>VLOOKUP(C2680,METADATA!$J$5:$Q$29,IF(E2680="HI",2,IF(E2680="LO",6,10))+IF(D2680=1,2,IF(D2680=7,1,(IF(WEEKDAY(B2680)=1,2,IF(WEEKDAY(B2680)=7,1,0))))))</f>
        <v>2</v>
      </c>
      <c r="H2680" s="370">
        <v>14013.249877929688</v>
      </c>
      <c r="I2680" s="370">
        <v>4659.4498901367188</v>
      </c>
      <c r="M2680" s="371">
        <f t="shared" si="165"/>
        <v>14767.587664205399</v>
      </c>
      <c r="N2680" s="329">
        <f t="shared" si="166"/>
        <v>455.47492675781268</v>
      </c>
      <c r="T2680" s="331">
        <v>0</v>
      </c>
      <c r="U2680" s="328">
        <f>VLOOKUP(C2680,METADATA!$J$5:$Q$29,IF(E2680="HI",2,IF(E2680="LO",6,10))+IF(T2680=1,2,IF(D2680=7,1,(IF(WEEKDAY(B2680)=1,2,IF(WEEKDAY(B2680)=7,1,0))))))</f>
        <v>2</v>
      </c>
      <c r="V2680" s="328">
        <f>VLOOKUP(C2680,METADATA!$A$5:$H$29,IF(E2680="HI",2,IF(E2680="LO",6,10))+IF(T2680=1,2,IF(D2680=7,1,(IF(WEEKDAY(B2680)=1,2,IF(WEEKDAY(B2680)=7,1,0))))))</f>
        <v>2</v>
      </c>
    </row>
    <row r="2681" spans="2:22">
      <c r="B2681" s="318">
        <f t="shared" si="167"/>
        <v>46224</v>
      </c>
      <c r="C2681" s="312">
        <v>13</v>
      </c>
      <c r="D2681" s="368">
        <f>IFERROR((INDEX(METADATA!$T$2:$T$20,MATCH(B2681,METADATA!$S$2:$S$20,0))),0)</f>
        <v>0</v>
      </c>
      <c r="E2681" s="312" t="str">
        <f t="shared" si="164"/>
        <v>LO</v>
      </c>
      <c r="F2681" s="369">
        <f>VLOOKUP(C2681,METADATA!$A$5:$H$29,IF(E2681="HI",2,IF(E2681="LO",6,10))+IF(D2681=1,2,IF(D2681=7,1,(IF(WEEKDAY(B2681)=1,2,IF(WEEKDAY(B2681)=7,1,0))))))</f>
        <v>2</v>
      </c>
      <c r="G2681" s="369">
        <f>VLOOKUP(C2681,METADATA!$J$5:$Q$29,IF(E2681="HI",2,IF(E2681="LO",6,10))+IF(D2681=1,2,IF(D2681=7,1,(IF(WEEKDAY(B2681)=1,2,IF(WEEKDAY(B2681)=7,1,0))))))</f>
        <v>2</v>
      </c>
      <c r="H2681" s="370">
        <v>12116.025207519531</v>
      </c>
      <c r="I2681" s="370">
        <v>3692.6725463867188</v>
      </c>
      <c r="M2681" s="371">
        <f t="shared" si="165"/>
        <v>12666.250327704995</v>
      </c>
      <c r="N2681" s="329">
        <f t="shared" si="166"/>
        <v>57.864984130859284</v>
      </c>
      <c r="T2681" s="331">
        <v>0</v>
      </c>
      <c r="U2681" s="328">
        <f>VLOOKUP(C2681,METADATA!$J$5:$Q$29,IF(E2681="HI",2,IF(E2681="LO",6,10))+IF(T2681=1,2,IF(D2681=7,1,(IF(WEEKDAY(B2681)=1,2,IF(WEEKDAY(B2681)=7,1,0))))))</f>
        <v>2</v>
      </c>
      <c r="V2681" s="328">
        <f>VLOOKUP(C2681,METADATA!$A$5:$H$29,IF(E2681="HI",2,IF(E2681="LO",6,10))+IF(T2681=1,2,IF(D2681=7,1,(IF(WEEKDAY(B2681)=1,2,IF(WEEKDAY(B2681)=7,1,0))))))</f>
        <v>2</v>
      </c>
    </row>
    <row r="2682" spans="2:22">
      <c r="B2682" s="318">
        <f t="shared" si="167"/>
        <v>46224</v>
      </c>
      <c r="C2682" s="312">
        <v>14</v>
      </c>
      <c r="D2682" s="368">
        <f>IFERROR((INDEX(METADATA!$T$2:$T$20,MATCH(B2682,METADATA!$S$2:$S$20,0))),0)</f>
        <v>0</v>
      </c>
      <c r="E2682" s="312" t="str">
        <f t="shared" si="164"/>
        <v>LO</v>
      </c>
      <c r="F2682" s="369">
        <f>VLOOKUP(C2682,METADATA!$A$5:$H$29,IF(E2682="HI",2,IF(E2682="LO",6,10))+IF(D2682=1,2,IF(D2682=7,1,(IF(WEEKDAY(B2682)=1,2,IF(WEEKDAY(B2682)=7,1,0))))))</f>
        <v>2</v>
      </c>
      <c r="G2682" s="369">
        <f>VLOOKUP(C2682,METADATA!$J$5:$Q$29,IF(E2682="HI",2,IF(E2682="LO",6,10))+IF(D2682=1,2,IF(D2682=7,1,(IF(WEEKDAY(B2682)=1,2,IF(WEEKDAY(B2682)=7,1,0))))))</f>
        <v>2</v>
      </c>
      <c r="H2682" s="370">
        <v>11790.124938964844</v>
      </c>
      <c r="I2682" s="370">
        <v>3537.0250244140625</v>
      </c>
      <c r="M2682" s="371">
        <f t="shared" si="165"/>
        <v>12309.248234548366</v>
      </c>
      <c r="N2682" s="329">
        <f t="shared" si="166"/>
        <v>0</v>
      </c>
      <c r="T2682" s="331">
        <v>0</v>
      </c>
      <c r="U2682" s="328">
        <f>VLOOKUP(C2682,METADATA!$J$5:$Q$29,IF(E2682="HI",2,IF(E2682="LO",6,10))+IF(T2682=1,2,IF(D2682=7,1,(IF(WEEKDAY(B2682)=1,2,IF(WEEKDAY(B2682)=7,1,0))))))</f>
        <v>2</v>
      </c>
      <c r="V2682" s="328">
        <f>VLOOKUP(C2682,METADATA!$A$5:$H$29,IF(E2682="HI",2,IF(E2682="LO",6,10))+IF(T2682=1,2,IF(D2682=7,1,(IF(WEEKDAY(B2682)=1,2,IF(WEEKDAY(B2682)=7,1,0))))))</f>
        <v>2</v>
      </c>
    </row>
    <row r="2683" spans="2:22">
      <c r="B2683" s="318">
        <f t="shared" si="167"/>
        <v>46224</v>
      </c>
      <c r="C2683" s="312">
        <v>15</v>
      </c>
      <c r="D2683" s="368">
        <f>IFERROR((INDEX(METADATA!$T$2:$T$20,MATCH(B2683,METADATA!$S$2:$S$20,0))),0)</f>
        <v>0</v>
      </c>
      <c r="E2683" s="312" t="str">
        <f t="shared" si="164"/>
        <v>LO</v>
      </c>
      <c r="F2683" s="369">
        <f>VLOOKUP(C2683,METADATA!$A$5:$H$29,IF(E2683="HI",2,IF(E2683="LO",6,10))+IF(D2683=1,2,IF(D2683=7,1,(IF(WEEKDAY(B2683)=1,2,IF(WEEKDAY(B2683)=7,1,0))))))</f>
        <v>2</v>
      </c>
      <c r="G2683" s="369">
        <f>VLOOKUP(C2683,METADATA!$J$5:$Q$29,IF(E2683="HI",2,IF(E2683="LO",6,10))+IF(D2683=1,2,IF(D2683=7,1,(IF(WEEKDAY(B2683)=1,2,IF(WEEKDAY(B2683)=7,1,0))))))</f>
        <v>2</v>
      </c>
      <c r="H2683" s="370">
        <v>12015.075073242188</v>
      </c>
      <c r="I2683" s="370">
        <v>3527.8074951171875</v>
      </c>
      <c r="M2683" s="371">
        <f t="shared" si="165"/>
        <v>12522.278336558837</v>
      </c>
      <c r="N2683" s="329">
        <f t="shared" si="166"/>
        <v>0</v>
      </c>
      <c r="T2683" s="331">
        <v>0</v>
      </c>
      <c r="U2683" s="328">
        <f>VLOOKUP(C2683,METADATA!$J$5:$Q$29,IF(E2683="HI",2,IF(E2683="LO",6,10))+IF(T2683=1,2,IF(D2683=7,1,(IF(WEEKDAY(B2683)=1,2,IF(WEEKDAY(B2683)=7,1,0))))))</f>
        <v>2</v>
      </c>
      <c r="V2683" s="328">
        <f>VLOOKUP(C2683,METADATA!$A$5:$H$29,IF(E2683="HI",2,IF(E2683="LO",6,10))+IF(T2683=1,2,IF(D2683=7,1,(IF(WEEKDAY(B2683)=1,2,IF(WEEKDAY(B2683)=7,1,0))))))</f>
        <v>2</v>
      </c>
    </row>
    <row r="2684" spans="2:22">
      <c r="B2684" s="318">
        <f t="shared" si="167"/>
        <v>46224</v>
      </c>
      <c r="C2684" s="312">
        <v>16</v>
      </c>
      <c r="D2684" s="368">
        <f>IFERROR((INDEX(METADATA!$T$2:$T$20,MATCH(B2684,METADATA!$S$2:$S$20,0))),0)</f>
        <v>0</v>
      </c>
      <c r="E2684" s="312" t="str">
        <f t="shared" si="164"/>
        <v>LO</v>
      </c>
      <c r="F2684" s="369">
        <f>VLOOKUP(C2684,METADATA!$A$5:$H$29,IF(E2684="HI",2,IF(E2684="LO",6,10))+IF(D2684=1,2,IF(D2684=7,1,(IF(WEEKDAY(B2684)=1,2,IF(WEEKDAY(B2684)=7,1,0))))))</f>
        <v>2</v>
      </c>
      <c r="G2684" s="369">
        <f>VLOOKUP(C2684,METADATA!$J$5:$Q$29,IF(E2684="HI",2,IF(E2684="LO",6,10))+IF(D2684=1,2,IF(D2684=7,1,(IF(WEEKDAY(B2684)=1,2,IF(WEEKDAY(B2684)=7,1,0))))))</f>
        <v>2</v>
      </c>
      <c r="H2684" s="370">
        <v>11864.325256347656</v>
      </c>
      <c r="I2684" s="370">
        <v>3324.81494140625</v>
      </c>
      <c r="M2684" s="371">
        <f t="shared" si="165"/>
        <v>12321.388240900744</v>
      </c>
      <c r="N2684" s="329">
        <f t="shared" si="166"/>
        <v>0</v>
      </c>
      <c r="T2684" s="331">
        <v>0</v>
      </c>
      <c r="U2684" s="328">
        <f>VLOOKUP(C2684,METADATA!$J$5:$Q$29,IF(E2684="HI",2,IF(E2684="LO",6,10))+IF(T2684=1,2,IF(D2684=7,1,(IF(WEEKDAY(B2684)=1,2,IF(WEEKDAY(B2684)=7,1,0))))))</f>
        <v>2</v>
      </c>
      <c r="V2684" s="328">
        <f>VLOOKUP(C2684,METADATA!$A$5:$H$29,IF(E2684="HI",2,IF(E2684="LO",6,10))+IF(T2684=1,2,IF(D2684=7,1,(IF(WEEKDAY(B2684)=1,2,IF(WEEKDAY(B2684)=7,1,0))))))</f>
        <v>2</v>
      </c>
    </row>
    <row r="2685" spans="2:22">
      <c r="B2685" s="318">
        <f t="shared" si="167"/>
        <v>46224</v>
      </c>
      <c r="C2685" s="312">
        <v>17</v>
      </c>
      <c r="D2685" s="368">
        <f>IFERROR((INDEX(METADATA!$T$2:$T$20,MATCH(B2685,METADATA!$S$2:$S$20,0))),0)</f>
        <v>0</v>
      </c>
      <c r="E2685" s="312" t="str">
        <f t="shared" si="164"/>
        <v>LO</v>
      </c>
      <c r="F2685" s="369">
        <f>VLOOKUP(C2685,METADATA!$A$5:$H$29,IF(E2685="HI",2,IF(E2685="LO",6,10))+IF(D2685=1,2,IF(D2685=7,1,(IF(WEEKDAY(B2685)=1,2,IF(WEEKDAY(B2685)=7,1,0))))))</f>
        <v>2</v>
      </c>
      <c r="G2685" s="369">
        <f>VLOOKUP(C2685,METADATA!$J$5:$Q$29,IF(E2685="HI",2,IF(E2685="LO",6,10))+IF(D2685=1,2,IF(D2685=7,1,(IF(WEEKDAY(B2685)=1,2,IF(WEEKDAY(B2685)=7,1,0))))))</f>
        <v>2</v>
      </c>
      <c r="H2685" s="370">
        <v>13525.500366210938</v>
      </c>
      <c r="I2685" s="370">
        <v>4236.5050659179688</v>
      </c>
      <c r="M2685" s="371">
        <f t="shared" si="165"/>
        <v>14173.465889821049</v>
      </c>
      <c r="N2685" s="329">
        <f t="shared" si="166"/>
        <v>178.85495605468759</v>
      </c>
      <c r="T2685" s="331">
        <v>0</v>
      </c>
      <c r="U2685" s="328">
        <f>VLOOKUP(C2685,METADATA!$J$5:$Q$29,IF(E2685="HI",2,IF(E2685="LO",6,10))+IF(T2685=1,2,IF(D2685=7,1,(IF(WEEKDAY(B2685)=1,2,IF(WEEKDAY(B2685)=7,1,0))))))</f>
        <v>2</v>
      </c>
      <c r="V2685" s="328">
        <f>VLOOKUP(C2685,METADATA!$A$5:$H$29,IF(E2685="HI",2,IF(E2685="LO",6,10))+IF(T2685=1,2,IF(D2685=7,1,(IF(WEEKDAY(B2685)=1,2,IF(WEEKDAY(B2685)=7,1,0))))))</f>
        <v>2</v>
      </c>
    </row>
    <row r="2686" spans="2:22">
      <c r="B2686" s="318">
        <f t="shared" si="167"/>
        <v>46224</v>
      </c>
      <c r="C2686" s="312">
        <v>18</v>
      </c>
      <c r="D2686" s="368">
        <f>IFERROR((INDEX(METADATA!$T$2:$T$20,MATCH(B2686,METADATA!$S$2:$S$20,0))),0)</f>
        <v>0</v>
      </c>
      <c r="E2686" s="312" t="str">
        <f t="shared" si="164"/>
        <v>LO</v>
      </c>
      <c r="F2686" s="369">
        <f>VLOOKUP(C2686,METADATA!$A$5:$H$29,IF(E2686="HI",2,IF(E2686="LO",6,10))+IF(D2686=1,2,IF(D2686=7,1,(IF(WEEKDAY(B2686)=1,2,IF(WEEKDAY(B2686)=7,1,0))))))</f>
        <v>1</v>
      </c>
      <c r="G2686" s="369">
        <f>VLOOKUP(C2686,METADATA!$J$5:$Q$29,IF(E2686="HI",2,IF(E2686="LO",6,10))+IF(D2686=1,2,IF(D2686=7,1,(IF(WEEKDAY(B2686)=1,2,IF(WEEKDAY(B2686)=7,1,0))))))</f>
        <v>1</v>
      </c>
      <c r="H2686" s="370">
        <v>11999.025512695313</v>
      </c>
      <c r="I2686" s="370">
        <v>3274.802490234375</v>
      </c>
      <c r="M2686" s="371">
        <f t="shared" si="165"/>
        <v>12437.883445520714</v>
      </c>
      <c r="N2686" s="329">
        <f t="shared" si="166"/>
        <v>0</v>
      </c>
      <c r="T2686" s="331">
        <v>0</v>
      </c>
      <c r="U2686" s="328">
        <f>VLOOKUP(C2686,METADATA!$J$5:$Q$29,IF(E2686="HI",2,IF(E2686="LO",6,10))+IF(T2686=1,2,IF(D2686=7,1,(IF(WEEKDAY(B2686)=1,2,IF(WEEKDAY(B2686)=7,1,0))))))</f>
        <v>1</v>
      </c>
      <c r="V2686" s="328">
        <f>VLOOKUP(C2686,METADATA!$A$5:$H$29,IF(E2686="HI",2,IF(E2686="LO",6,10))+IF(T2686=1,2,IF(D2686=7,1,(IF(WEEKDAY(B2686)=1,2,IF(WEEKDAY(B2686)=7,1,0))))))</f>
        <v>1</v>
      </c>
    </row>
    <row r="2687" spans="2:22">
      <c r="B2687" s="318">
        <f t="shared" si="167"/>
        <v>46224</v>
      </c>
      <c r="C2687" s="312">
        <v>19</v>
      </c>
      <c r="D2687" s="368">
        <f>IFERROR((INDEX(METADATA!$T$2:$T$20,MATCH(B2687,METADATA!$S$2:$S$20,0))),0)</f>
        <v>0</v>
      </c>
      <c r="E2687" s="312" t="str">
        <f t="shared" si="164"/>
        <v>LO</v>
      </c>
      <c r="F2687" s="369">
        <f>VLOOKUP(C2687,METADATA!$A$5:$H$29,IF(E2687="HI",2,IF(E2687="LO",6,10))+IF(D2687=1,2,IF(D2687=7,1,(IF(WEEKDAY(B2687)=1,2,IF(WEEKDAY(B2687)=7,1,0))))))</f>
        <v>1</v>
      </c>
      <c r="G2687" s="369">
        <f>VLOOKUP(C2687,METADATA!$J$5:$Q$29,IF(E2687="HI",2,IF(E2687="LO",6,10))+IF(D2687=1,2,IF(D2687=7,1,(IF(WEEKDAY(B2687)=1,2,IF(WEEKDAY(B2687)=7,1,0))))))</f>
        <v>1</v>
      </c>
      <c r="H2687" s="370">
        <v>12898.649780273438</v>
      </c>
      <c r="I2687" s="370">
        <v>4052.9225769042969</v>
      </c>
      <c r="M2687" s="371">
        <f t="shared" si="165"/>
        <v>13520.404859638211</v>
      </c>
      <c r="N2687" s="329">
        <f t="shared" si="166"/>
        <v>183.32764282226572</v>
      </c>
      <c r="T2687" s="331">
        <v>0</v>
      </c>
      <c r="U2687" s="328">
        <f>VLOOKUP(C2687,METADATA!$J$5:$Q$29,IF(E2687="HI",2,IF(E2687="LO",6,10))+IF(T2687=1,2,IF(D2687=7,1,(IF(WEEKDAY(B2687)=1,2,IF(WEEKDAY(B2687)=7,1,0))))))</f>
        <v>1</v>
      </c>
      <c r="V2687" s="328">
        <f>VLOOKUP(C2687,METADATA!$A$5:$H$29,IF(E2687="HI",2,IF(E2687="LO",6,10))+IF(T2687=1,2,IF(D2687=7,1,(IF(WEEKDAY(B2687)=1,2,IF(WEEKDAY(B2687)=7,1,0))))))</f>
        <v>1</v>
      </c>
    </row>
    <row r="2688" spans="2:22">
      <c r="B2688" s="318">
        <f t="shared" si="167"/>
        <v>46224</v>
      </c>
      <c r="C2688" s="312">
        <v>20</v>
      </c>
      <c r="D2688" s="368">
        <f>IFERROR((INDEX(METADATA!$T$2:$T$20,MATCH(B2688,METADATA!$S$2:$S$20,0))),0)</f>
        <v>0</v>
      </c>
      <c r="E2688" s="312" t="str">
        <f t="shared" si="164"/>
        <v>LO</v>
      </c>
      <c r="F2688" s="369">
        <f>VLOOKUP(C2688,METADATA!$A$5:$H$29,IF(E2688="HI",2,IF(E2688="LO",6,10))+IF(D2688=1,2,IF(D2688=7,1,(IF(WEEKDAY(B2688)=1,2,IF(WEEKDAY(B2688)=7,1,0))))))</f>
        <v>1</v>
      </c>
      <c r="G2688" s="369">
        <f>VLOOKUP(C2688,METADATA!$J$5:$Q$29,IF(E2688="HI",2,IF(E2688="LO",6,10))+IF(D2688=1,2,IF(D2688=7,1,(IF(WEEKDAY(B2688)=1,2,IF(WEEKDAY(B2688)=7,1,0))))))</f>
        <v>1</v>
      </c>
      <c r="H2688" s="370">
        <v>13939.399963378906</v>
      </c>
      <c r="I2688" s="370">
        <v>4560.5699768066406</v>
      </c>
      <c r="M2688" s="371">
        <f t="shared" si="165"/>
        <v>14666.481168037477</v>
      </c>
      <c r="N2688" s="329">
        <f t="shared" si="166"/>
        <v>378.74998779296857</v>
      </c>
      <c r="T2688" s="331">
        <v>0</v>
      </c>
      <c r="U2688" s="328">
        <f>VLOOKUP(C2688,METADATA!$J$5:$Q$29,IF(E2688="HI",2,IF(E2688="LO",6,10))+IF(T2688=1,2,IF(D2688=7,1,(IF(WEEKDAY(B2688)=1,2,IF(WEEKDAY(B2688)=7,1,0))))))</f>
        <v>1</v>
      </c>
      <c r="V2688" s="328">
        <f>VLOOKUP(C2688,METADATA!$A$5:$H$29,IF(E2688="HI",2,IF(E2688="LO",6,10))+IF(T2688=1,2,IF(D2688=7,1,(IF(WEEKDAY(B2688)=1,2,IF(WEEKDAY(B2688)=7,1,0))))))</f>
        <v>1</v>
      </c>
    </row>
    <row r="2689" spans="2:22">
      <c r="B2689" s="318">
        <f t="shared" si="167"/>
        <v>46224</v>
      </c>
      <c r="C2689" s="312">
        <v>21</v>
      </c>
      <c r="D2689" s="368">
        <f>IFERROR((INDEX(METADATA!$T$2:$T$20,MATCH(B2689,METADATA!$S$2:$S$20,0))),0)</f>
        <v>0</v>
      </c>
      <c r="E2689" s="312" t="str">
        <f t="shared" si="164"/>
        <v>LO</v>
      </c>
      <c r="F2689" s="369">
        <f>VLOOKUP(C2689,METADATA!$A$5:$H$29,IF(E2689="HI",2,IF(E2689="LO",6,10))+IF(D2689=1,2,IF(D2689=7,1,(IF(WEEKDAY(B2689)=1,2,IF(WEEKDAY(B2689)=7,1,0))))))</f>
        <v>2</v>
      </c>
      <c r="G2689" s="369">
        <f>VLOOKUP(C2689,METADATA!$J$5:$Q$29,IF(E2689="HI",2,IF(E2689="LO",6,10))+IF(D2689=1,2,IF(D2689=7,1,(IF(WEEKDAY(B2689)=1,2,IF(WEEKDAY(B2689)=7,1,0))))))</f>
        <v>2</v>
      </c>
      <c r="H2689" s="370">
        <v>14012.725708007813</v>
      </c>
      <c r="I2689" s="370">
        <v>4584.5199890136719</v>
      </c>
      <c r="M2689" s="371">
        <f t="shared" si="165"/>
        <v>14743.61913837742</v>
      </c>
      <c r="N2689" s="329">
        <f t="shared" si="166"/>
        <v>380.70227661132867</v>
      </c>
      <c r="T2689" s="331">
        <v>0</v>
      </c>
      <c r="U2689" s="328">
        <f>VLOOKUP(C2689,METADATA!$J$5:$Q$29,IF(E2689="HI",2,IF(E2689="LO",6,10))+IF(T2689=1,2,IF(D2689=7,1,(IF(WEEKDAY(B2689)=1,2,IF(WEEKDAY(B2689)=7,1,0))))))</f>
        <v>2</v>
      </c>
      <c r="V2689" s="328">
        <f>VLOOKUP(C2689,METADATA!$A$5:$H$29,IF(E2689="HI",2,IF(E2689="LO",6,10))+IF(T2689=1,2,IF(D2689=7,1,(IF(WEEKDAY(B2689)=1,2,IF(WEEKDAY(B2689)=7,1,0))))))</f>
        <v>2</v>
      </c>
    </row>
    <row r="2690" spans="2:22">
      <c r="B2690" s="318">
        <f t="shared" si="167"/>
        <v>46224</v>
      </c>
      <c r="C2690" s="312">
        <v>22</v>
      </c>
      <c r="D2690" s="368">
        <f>IFERROR((INDEX(METADATA!$T$2:$T$20,MATCH(B2690,METADATA!$S$2:$S$20,0))),0)</f>
        <v>0</v>
      </c>
      <c r="E2690" s="312" t="str">
        <f t="shared" si="164"/>
        <v>LO</v>
      </c>
      <c r="F2690" s="369">
        <f>VLOOKUP(C2690,METADATA!$A$5:$H$29,IF(E2690="HI",2,IF(E2690="LO",6,10))+IF(D2690=1,2,IF(D2690=7,1,(IF(WEEKDAY(B2690)=1,2,IF(WEEKDAY(B2690)=7,1,0))))))</f>
        <v>3</v>
      </c>
      <c r="G2690" s="369">
        <f>VLOOKUP(C2690,METADATA!$J$5:$Q$29,IF(E2690="HI",2,IF(E2690="LO",6,10))+IF(D2690=1,2,IF(D2690=7,1,(IF(WEEKDAY(B2690)=1,2,IF(WEEKDAY(B2690)=7,1,0))))))</f>
        <v>3</v>
      </c>
      <c r="H2690" s="370">
        <v>13859.525024414063</v>
      </c>
      <c r="I2690" s="370">
        <v>4706.6500244140625</v>
      </c>
      <c r="M2690" s="371">
        <f t="shared" si="165"/>
        <v>14636.90501283234</v>
      </c>
      <c r="N2690" s="329">
        <f t="shared" si="166"/>
        <v>548.7925170898443</v>
      </c>
      <c r="T2690" s="331">
        <v>0</v>
      </c>
      <c r="U2690" s="328">
        <f>VLOOKUP(C2690,METADATA!$J$5:$Q$29,IF(E2690="HI",2,IF(E2690="LO",6,10))+IF(T2690=1,2,IF(D2690=7,1,(IF(WEEKDAY(B2690)=1,2,IF(WEEKDAY(B2690)=7,1,0))))))</f>
        <v>3</v>
      </c>
      <c r="V2690" s="328">
        <f>VLOOKUP(C2690,METADATA!$A$5:$H$29,IF(E2690="HI",2,IF(E2690="LO",6,10))+IF(T2690=1,2,IF(D2690=7,1,(IF(WEEKDAY(B2690)=1,2,IF(WEEKDAY(B2690)=7,1,0))))))</f>
        <v>3</v>
      </c>
    </row>
    <row r="2691" spans="2:22">
      <c r="B2691" s="318">
        <f t="shared" si="167"/>
        <v>46224</v>
      </c>
      <c r="C2691" s="312">
        <v>23</v>
      </c>
      <c r="D2691" s="368">
        <f>IFERROR((INDEX(METADATA!$T$2:$T$20,MATCH(B2691,METADATA!$S$2:$S$20,0))),0)</f>
        <v>0</v>
      </c>
      <c r="E2691" s="312" t="str">
        <f t="shared" si="164"/>
        <v>LO</v>
      </c>
      <c r="F2691" s="369">
        <f>VLOOKUP(C2691,METADATA!$A$5:$H$29,IF(E2691="HI",2,IF(E2691="LO",6,10))+IF(D2691=1,2,IF(D2691=7,1,(IF(WEEKDAY(B2691)=1,2,IF(WEEKDAY(B2691)=7,1,0))))))</f>
        <v>3</v>
      </c>
      <c r="G2691" s="369">
        <f>VLOOKUP(C2691,METADATA!$J$5:$Q$29,IF(E2691="HI",2,IF(E2691="LO",6,10))+IF(D2691=1,2,IF(D2691=7,1,(IF(WEEKDAY(B2691)=1,2,IF(WEEKDAY(B2691)=7,1,0))))))</f>
        <v>3</v>
      </c>
      <c r="H2691" s="370">
        <v>12823.574890136719</v>
      </c>
      <c r="I2691" s="370">
        <v>3961.1849975585938</v>
      </c>
      <c r="M2691" s="371">
        <f t="shared" si="165"/>
        <v>13421.440293345131</v>
      </c>
      <c r="N2691" s="329">
        <f t="shared" si="166"/>
        <v>114.11253051757831</v>
      </c>
      <c r="T2691" s="331">
        <v>0</v>
      </c>
      <c r="U2691" s="328">
        <f>VLOOKUP(C2691,METADATA!$J$5:$Q$29,IF(E2691="HI",2,IF(E2691="LO",6,10))+IF(T2691=1,2,IF(D2691=7,1,(IF(WEEKDAY(B2691)=1,2,IF(WEEKDAY(B2691)=7,1,0))))))</f>
        <v>3</v>
      </c>
      <c r="V2691" s="328">
        <f>VLOOKUP(C2691,METADATA!$A$5:$H$29,IF(E2691="HI",2,IF(E2691="LO",6,10))+IF(T2691=1,2,IF(D2691=7,1,(IF(WEEKDAY(B2691)=1,2,IF(WEEKDAY(B2691)=7,1,0))))))</f>
        <v>3</v>
      </c>
    </row>
    <row r="2692" spans="2:22">
      <c r="B2692" s="318">
        <f t="shared" si="167"/>
        <v>46225</v>
      </c>
      <c r="C2692" s="312">
        <v>0</v>
      </c>
      <c r="D2692" s="368">
        <f>IFERROR((INDEX(METADATA!$T$2:$T$20,MATCH(B2692,METADATA!$S$2:$S$20,0))),0)</f>
        <v>0</v>
      </c>
      <c r="E2692" s="312" t="str">
        <f t="shared" ref="E2692:E2755" si="168">IF(B2692="","",IF(AND(MONTH(B2692)&gt;=MONTH($Z$9),MONTH(B2692)&lt;=MONTH($Z$11)),"HI","LO"))</f>
        <v>LO</v>
      </c>
      <c r="F2692" s="369">
        <f>VLOOKUP(C2692,METADATA!$A$5:$H$29,IF(E2692="HI",2,IF(E2692="LO",6,10))+IF(D2692=1,2,IF(D2692=7,1,(IF(WEEKDAY(B2692)=1,2,IF(WEEKDAY(B2692)=7,1,0))))))</f>
        <v>3</v>
      </c>
      <c r="G2692" s="369">
        <f>VLOOKUP(C2692,METADATA!$J$5:$Q$29,IF(E2692="HI",2,IF(E2692="LO",6,10))+IF(D2692=1,2,IF(D2692=7,1,(IF(WEEKDAY(B2692)=1,2,IF(WEEKDAY(B2692)=7,1,0))))))</f>
        <v>3</v>
      </c>
      <c r="H2692" s="370">
        <v>11881.374755859375</v>
      </c>
      <c r="I2692" s="370">
        <v>3318.93505859375</v>
      </c>
      <c r="M2692" s="371">
        <f t="shared" ref="M2692:M2755" si="169">SQRT(H2692^2+I2692^2)</f>
        <v>12336.222923258769</v>
      </c>
      <c r="N2692" s="329">
        <f t="shared" ref="N2692:N2755" si="170">IF(H2692=0,0,(IF(I2692-(0.3*H2692)&lt;0,0,(I2692-(0.3*H2692)))))</f>
        <v>0</v>
      </c>
      <c r="T2692" s="331">
        <v>0</v>
      </c>
      <c r="U2692" s="328">
        <f>VLOOKUP(C2692,METADATA!$J$5:$Q$29,IF(E2692="HI",2,IF(E2692="LO",6,10))+IF(T2692=1,2,IF(D2692=7,1,(IF(WEEKDAY(B2692)=1,2,IF(WEEKDAY(B2692)=7,1,0))))))</f>
        <v>3</v>
      </c>
      <c r="V2692" s="328">
        <f>VLOOKUP(C2692,METADATA!$A$5:$H$29,IF(E2692="HI",2,IF(E2692="LO",6,10))+IF(T2692=1,2,IF(D2692=7,1,(IF(WEEKDAY(B2692)=1,2,IF(WEEKDAY(B2692)=7,1,0))))))</f>
        <v>3</v>
      </c>
    </row>
    <row r="2693" spans="2:22">
      <c r="B2693" s="318">
        <f t="shared" si="167"/>
        <v>46225</v>
      </c>
      <c r="C2693" s="312">
        <v>1</v>
      </c>
      <c r="D2693" s="368">
        <f>IFERROR((INDEX(METADATA!$T$2:$T$20,MATCH(B2693,METADATA!$S$2:$S$20,0))),0)</f>
        <v>0</v>
      </c>
      <c r="E2693" s="312" t="str">
        <f t="shared" si="168"/>
        <v>LO</v>
      </c>
      <c r="F2693" s="369">
        <f>VLOOKUP(C2693,METADATA!$A$5:$H$29,IF(E2693="HI",2,IF(E2693="LO",6,10))+IF(D2693=1,2,IF(D2693=7,1,(IF(WEEKDAY(B2693)=1,2,IF(WEEKDAY(B2693)=7,1,0))))))</f>
        <v>3</v>
      </c>
      <c r="G2693" s="369">
        <f>VLOOKUP(C2693,METADATA!$J$5:$Q$29,IF(E2693="HI",2,IF(E2693="LO",6,10))+IF(D2693=1,2,IF(D2693=7,1,(IF(WEEKDAY(B2693)=1,2,IF(WEEKDAY(B2693)=7,1,0))))))</f>
        <v>3</v>
      </c>
      <c r="H2693" s="370">
        <v>12143.509948730469</v>
      </c>
      <c r="I2693" s="370">
        <v>3299.2049865722656</v>
      </c>
      <c r="M2693" s="371">
        <f t="shared" si="169"/>
        <v>12583.70324738863</v>
      </c>
      <c r="N2693" s="329">
        <f t="shared" si="170"/>
        <v>0</v>
      </c>
      <c r="T2693" s="331">
        <v>0</v>
      </c>
      <c r="U2693" s="328">
        <f>VLOOKUP(C2693,METADATA!$J$5:$Q$29,IF(E2693="HI",2,IF(E2693="LO",6,10))+IF(T2693=1,2,IF(D2693=7,1,(IF(WEEKDAY(B2693)=1,2,IF(WEEKDAY(B2693)=7,1,0))))))</f>
        <v>3</v>
      </c>
      <c r="V2693" s="328">
        <f>VLOOKUP(C2693,METADATA!$A$5:$H$29,IF(E2693="HI",2,IF(E2693="LO",6,10))+IF(T2693=1,2,IF(D2693=7,1,(IF(WEEKDAY(B2693)=1,2,IF(WEEKDAY(B2693)=7,1,0))))))</f>
        <v>3</v>
      </c>
    </row>
    <row r="2694" spans="2:22">
      <c r="B2694" s="318">
        <f t="shared" si="167"/>
        <v>46225</v>
      </c>
      <c r="C2694" s="312">
        <v>2</v>
      </c>
      <c r="D2694" s="368">
        <f>IFERROR((INDEX(METADATA!$T$2:$T$20,MATCH(B2694,METADATA!$S$2:$S$20,0))),0)</f>
        <v>0</v>
      </c>
      <c r="E2694" s="312" t="str">
        <f t="shared" si="168"/>
        <v>LO</v>
      </c>
      <c r="F2694" s="369">
        <f>VLOOKUP(C2694,METADATA!$A$5:$H$29,IF(E2694="HI",2,IF(E2694="LO",6,10))+IF(D2694=1,2,IF(D2694=7,1,(IF(WEEKDAY(B2694)=1,2,IF(WEEKDAY(B2694)=7,1,0))))))</f>
        <v>3</v>
      </c>
      <c r="G2694" s="369">
        <f>VLOOKUP(C2694,METADATA!$J$5:$Q$29,IF(E2694="HI",2,IF(E2694="LO",6,10))+IF(D2694=1,2,IF(D2694=7,1,(IF(WEEKDAY(B2694)=1,2,IF(WEEKDAY(B2694)=7,1,0))))))</f>
        <v>3</v>
      </c>
      <c r="H2694" s="370">
        <v>13662.199768066406</v>
      </c>
      <c r="I2694" s="370">
        <v>4309.1749572753906</v>
      </c>
      <c r="M2694" s="371">
        <f t="shared" si="169"/>
        <v>14325.665475466161</v>
      </c>
      <c r="N2694" s="329">
        <f t="shared" si="170"/>
        <v>210.51502685546893</v>
      </c>
      <c r="T2694" s="331">
        <v>0</v>
      </c>
      <c r="U2694" s="328">
        <f>VLOOKUP(C2694,METADATA!$J$5:$Q$29,IF(E2694="HI",2,IF(E2694="LO",6,10))+IF(T2694=1,2,IF(D2694=7,1,(IF(WEEKDAY(B2694)=1,2,IF(WEEKDAY(B2694)=7,1,0))))))</f>
        <v>3</v>
      </c>
      <c r="V2694" s="328">
        <f>VLOOKUP(C2694,METADATA!$A$5:$H$29,IF(E2694="HI",2,IF(E2694="LO",6,10))+IF(T2694=1,2,IF(D2694=7,1,(IF(WEEKDAY(B2694)=1,2,IF(WEEKDAY(B2694)=7,1,0))))))</f>
        <v>3</v>
      </c>
    </row>
    <row r="2695" spans="2:22">
      <c r="B2695" s="318">
        <f t="shared" si="167"/>
        <v>46225</v>
      </c>
      <c r="C2695" s="312">
        <v>3</v>
      </c>
      <c r="D2695" s="368">
        <f>IFERROR((INDEX(METADATA!$T$2:$T$20,MATCH(B2695,METADATA!$S$2:$S$20,0))),0)</f>
        <v>0</v>
      </c>
      <c r="E2695" s="312" t="str">
        <f t="shared" si="168"/>
        <v>LO</v>
      </c>
      <c r="F2695" s="369">
        <f>VLOOKUP(C2695,METADATA!$A$5:$H$29,IF(E2695="HI",2,IF(E2695="LO",6,10))+IF(D2695=1,2,IF(D2695=7,1,(IF(WEEKDAY(B2695)=1,2,IF(WEEKDAY(B2695)=7,1,0))))))</f>
        <v>3</v>
      </c>
      <c r="G2695" s="369">
        <f>VLOOKUP(C2695,METADATA!$J$5:$Q$29,IF(E2695="HI",2,IF(E2695="LO",6,10))+IF(D2695=1,2,IF(D2695=7,1,(IF(WEEKDAY(B2695)=1,2,IF(WEEKDAY(B2695)=7,1,0))))))</f>
        <v>3</v>
      </c>
      <c r="H2695" s="370">
        <v>13670.99951171875</v>
      </c>
      <c r="I2695" s="370">
        <v>4248.0649719238281</v>
      </c>
      <c r="M2695" s="371">
        <f t="shared" si="169"/>
        <v>14315.805379198911</v>
      </c>
      <c r="N2695" s="329">
        <f t="shared" si="170"/>
        <v>146.76511840820331</v>
      </c>
      <c r="T2695" s="331">
        <v>0</v>
      </c>
      <c r="U2695" s="328">
        <f>VLOOKUP(C2695,METADATA!$J$5:$Q$29,IF(E2695="HI",2,IF(E2695="LO",6,10))+IF(T2695=1,2,IF(D2695=7,1,(IF(WEEKDAY(B2695)=1,2,IF(WEEKDAY(B2695)=7,1,0))))))</f>
        <v>3</v>
      </c>
      <c r="V2695" s="328">
        <f>VLOOKUP(C2695,METADATA!$A$5:$H$29,IF(E2695="HI",2,IF(E2695="LO",6,10))+IF(T2695=1,2,IF(D2695=7,1,(IF(WEEKDAY(B2695)=1,2,IF(WEEKDAY(B2695)=7,1,0))))))</f>
        <v>3</v>
      </c>
    </row>
    <row r="2696" spans="2:22">
      <c r="B2696" s="318">
        <f t="shared" si="167"/>
        <v>46225</v>
      </c>
      <c r="C2696" s="312">
        <v>4</v>
      </c>
      <c r="D2696" s="368">
        <f>IFERROR((INDEX(METADATA!$T$2:$T$20,MATCH(B2696,METADATA!$S$2:$S$20,0))),0)</f>
        <v>0</v>
      </c>
      <c r="E2696" s="312" t="str">
        <f t="shared" si="168"/>
        <v>LO</v>
      </c>
      <c r="F2696" s="369">
        <f>VLOOKUP(C2696,METADATA!$A$5:$H$29,IF(E2696="HI",2,IF(E2696="LO",6,10))+IF(D2696=1,2,IF(D2696=7,1,(IF(WEEKDAY(B2696)=1,2,IF(WEEKDAY(B2696)=7,1,0))))))</f>
        <v>3</v>
      </c>
      <c r="G2696" s="369">
        <f>VLOOKUP(C2696,METADATA!$J$5:$Q$29,IF(E2696="HI",2,IF(E2696="LO",6,10))+IF(D2696=1,2,IF(D2696=7,1,(IF(WEEKDAY(B2696)=1,2,IF(WEEKDAY(B2696)=7,1,0))))))</f>
        <v>3</v>
      </c>
      <c r="H2696" s="370">
        <v>13646.500122070313</v>
      </c>
      <c r="I2696" s="370">
        <v>4223.3049011230469</v>
      </c>
      <c r="M2696" s="371">
        <f t="shared" si="169"/>
        <v>14285.071573832418</v>
      </c>
      <c r="N2696" s="329">
        <f t="shared" si="170"/>
        <v>129.35486450195322</v>
      </c>
      <c r="T2696" s="331">
        <v>0</v>
      </c>
      <c r="U2696" s="328">
        <f>VLOOKUP(C2696,METADATA!$J$5:$Q$29,IF(E2696="HI",2,IF(E2696="LO",6,10))+IF(T2696=1,2,IF(D2696=7,1,(IF(WEEKDAY(B2696)=1,2,IF(WEEKDAY(B2696)=7,1,0))))))</f>
        <v>3</v>
      </c>
      <c r="V2696" s="328">
        <f>VLOOKUP(C2696,METADATA!$A$5:$H$29,IF(E2696="HI",2,IF(E2696="LO",6,10))+IF(T2696=1,2,IF(D2696=7,1,(IF(WEEKDAY(B2696)=1,2,IF(WEEKDAY(B2696)=7,1,0))))))</f>
        <v>3</v>
      </c>
    </row>
    <row r="2697" spans="2:22">
      <c r="B2697" s="318">
        <f t="shared" si="167"/>
        <v>46225</v>
      </c>
      <c r="C2697" s="312">
        <v>5</v>
      </c>
      <c r="D2697" s="368">
        <f>IFERROR((INDEX(METADATA!$T$2:$T$20,MATCH(B2697,METADATA!$S$2:$S$20,0))),0)</f>
        <v>0</v>
      </c>
      <c r="E2697" s="312" t="str">
        <f t="shared" si="168"/>
        <v>LO</v>
      </c>
      <c r="F2697" s="369">
        <f>VLOOKUP(C2697,METADATA!$A$5:$H$29,IF(E2697="HI",2,IF(E2697="LO",6,10))+IF(D2697=1,2,IF(D2697=7,1,(IF(WEEKDAY(B2697)=1,2,IF(WEEKDAY(B2697)=7,1,0))))))</f>
        <v>3</v>
      </c>
      <c r="G2697" s="369">
        <f>VLOOKUP(C2697,METADATA!$J$5:$Q$29,IF(E2697="HI",2,IF(E2697="LO",6,10))+IF(D2697=1,2,IF(D2697=7,1,(IF(WEEKDAY(B2697)=1,2,IF(WEEKDAY(B2697)=7,1,0))))))</f>
        <v>3</v>
      </c>
      <c r="H2697" s="370">
        <v>13661.124328613281</v>
      </c>
      <c r="I2697" s="370">
        <v>4132.2000732421875</v>
      </c>
      <c r="M2697" s="371">
        <f t="shared" si="169"/>
        <v>14272.399776040904</v>
      </c>
      <c r="N2697" s="329">
        <f t="shared" si="170"/>
        <v>33.862774658203307</v>
      </c>
      <c r="T2697" s="331">
        <v>0</v>
      </c>
      <c r="U2697" s="328">
        <f>VLOOKUP(C2697,METADATA!$J$5:$Q$29,IF(E2697="HI",2,IF(E2697="LO",6,10))+IF(T2697=1,2,IF(D2697=7,1,(IF(WEEKDAY(B2697)=1,2,IF(WEEKDAY(B2697)=7,1,0))))))</f>
        <v>3</v>
      </c>
      <c r="V2697" s="328">
        <f>VLOOKUP(C2697,METADATA!$A$5:$H$29,IF(E2697="HI",2,IF(E2697="LO",6,10))+IF(T2697=1,2,IF(D2697=7,1,(IF(WEEKDAY(B2697)=1,2,IF(WEEKDAY(B2697)=7,1,0))))))</f>
        <v>3</v>
      </c>
    </row>
    <row r="2698" spans="2:22">
      <c r="B2698" s="318">
        <f t="shared" si="167"/>
        <v>46225</v>
      </c>
      <c r="C2698" s="312">
        <v>6</v>
      </c>
      <c r="D2698" s="368">
        <f>IFERROR((INDEX(METADATA!$T$2:$T$20,MATCH(B2698,METADATA!$S$2:$S$20,0))),0)</f>
        <v>0</v>
      </c>
      <c r="E2698" s="312" t="str">
        <f t="shared" si="168"/>
        <v>LO</v>
      </c>
      <c r="F2698" s="369">
        <f>VLOOKUP(C2698,METADATA!$A$5:$H$29,IF(E2698="HI",2,IF(E2698="LO",6,10))+IF(D2698=1,2,IF(D2698=7,1,(IF(WEEKDAY(B2698)=1,2,IF(WEEKDAY(B2698)=7,1,0))))))</f>
        <v>2</v>
      </c>
      <c r="G2698" s="369">
        <f>VLOOKUP(C2698,METADATA!$J$5:$Q$29,IF(E2698="HI",2,IF(E2698="LO",6,10))+IF(D2698=1,2,IF(D2698=7,1,(IF(WEEKDAY(B2698)=1,2,IF(WEEKDAY(B2698)=7,1,0))))))</f>
        <v>2</v>
      </c>
      <c r="H2698" s="370">
        <v>13637.27490234375</v>
      </c>
      <c r="I2698" s="370">
        <v>4161.7099609375</v>
      </c>
      <c r="M2698" s="371">
        <f t="shared" si="169"/>
        <v>14258.158947110287</v>
      </c>
      <c r="N2698" s="329">
        <f t="shared" si="170"/>
        <v>70.527490234375364</v>
      </c>
      <c r="T2698" s="331">
        <v>0</v>
      </c>
      <c r="U2698" s="328">
        <f>VLOOKUP(C2698,METADATA!$J$5:$Q$29,IF(E2698="HI",2,IF(E2698="LO",6,10))+IF(T2698=1,2,IF(D2698=7,1,(IF(WEEKDAY(B2698)=1,2,IF(WEEKDAY(B2698)=7,1,0))))))</f>
        <v>2</v>
      </c>
      <c r="V2698" s="328">
        <f>VLOOKUP(C2698,METADATA!$A$5:$H$29,IF(E2698="HI",2,IF(E2698="LO",6,10))+IF(T2698=1,2,IF(D2698=7,1,(IF(WEEKDAY(B2698)=1,2,IF(WEEKDAY(B2698)=7,1,0))))))</f>
        <v>2</v>
      </c>
    </row>
    <row r="2699" spans="2:22">
      <c r="B2699" s="318">
        <f t="shared" si="167"/>
        <v>46225</v>
      </c>
      <c r="C2699" s="312">
        <v>7</v>
      </c>
      <c r="D2699" s="368">
        <f>IFERROR((INDEX(METADATA!$T$2:$T$20,MATCH(B2699,METADATA!$S$2:$S$20,0))),0)</f>
        <v>0</v>
      </c>
      <c r="E2699" s="312" t="str">
        <f t="shared" si="168"/>
        <v>LO</v>
      </c>
      <c r="F2699" s="369">
        <f>VLOOKUP(C2699,METADATA!$A$5:$H$29,IF(E2699="HI",2,IF(E2699="LO",6,10))+IF(D2699=1,2,IF(D2699=7,1,(IF(WEEKDAY(B2699)=1,2,IF(WEEKDAY(B2699)=7,1,0))))))</f>
        <v>1</v>
      </c>
      <c r="G2699" s="369">
        <f>VLOOKUP(C2699,METADATA!$J$5:$Q$29,IF(E2699="HI",2,IF(E2699="LO",6,10))+IF(D2699=1,2,IF(D2699=7,1,(IF(WEEKDAY(B2699)=1,2,IF(WEEKDAY(B2699)=7,1,0))))))</f>
        <v>1</v>
      </c>
      <c r="H2699" s="370">
        <v>13297.349670410156</v>
      </c>
      <c r="I2699" s="370">
        <v>3989.260009765625</v>
      </c>
      <c r="M2699" s="371">
        <f t="shared" si="169"/>
        <v>13882.85646697654</v>
      </c>
      <c r="N2699" s="329">
        <f t="shared" si="170"/>
        <v>5.5108642578488798E-2</v>
      </c>
      <c r="T2699" s="331">
        <v>0</v>
      </c>
      <c r="U2699" s="328">
        <f>VLOOKUP(C2699,METADATA!$J$5:$Q$29,IF(E2699="HI",2,IF(E2699="LO",6,10))+IF(T2699=1,2,IF(D2699=7,1,(IF(WEEKDAY(B2699)=1,2,IF(WEEKDAY(B2699)=7,1,0))))))</f>
        <v>1</v>
      </c>
      <c r="V2699" s="328">
        <f>VLOOKUP(C2699,METADATA!$A$5:$H$29,IF(E2699="HI",2,IF(E2699="LO",6,10))+IF(T2699=1,2,IF(D2699=7,1,(IF(WEEKDAY(B2699)=1,2,IF(WEEKDAY(B2699)=7,1,0))))))</f>
        <v>1</v>
      </c>
    </row>
    <row r="2700" spans="2:22">
      <c r="B2700" s="318">
        <f t="shared" si="167"/>
        <v>46225</v>
      </c>
      <c r="C2700" s="312">
        <v>8</v>
      </c>
      <c r="D2700" s="368">
        <f>IFERROR((INDEX(METADATA!$T$2:$T$20,MATCH(B2700,METADATA!$S$2:$S$20,0))),0)</f>
        <v>0</v>
      </c>
      <c r="E2700" s="312" t="str">
        <f t="shared" si="168"/>
        <v>LO</v>
      </c>
      <c r="F2700" s="369">
        <f>VLOOKUP(C2700,METADATA!$A$5:$H$29,IF(E2700="HI",2,IF(E2700="LO",6,10))+IF(D2700=1,2,IF(D2700=7,1,(IF(WEEKDAY(B2700)=1,2,IF(WEEKDAY(B2700)=7,1,0))))))</f>
        <v>1</v>
      </c>
      <c r="G2700" s="369">
        <f>VLOOKUP(C2700,METADATA!$J$5:$Q$29,IF(E2700="HI",2,IF(E2700="LO",6,10))+IF(D2700=1,2,IF(D2700=7,1,(IF(WEEKDAY(B2700)=1,2,IF(WEEKDAY(B2700)=7,1,0))))))</f>
        <v>1</v>
      </c>
      <c r="H2700" s="370">
        <v>14102.249328613281</v>
      </c>
      <c r="I2700" s="370">
        <v>4358.9200744628906</v>
      </c>
      <c r="M2700" s="371">
        <f t="shared" si="169"/>
        <v>14760.542684533293</v>
      </c>
      <c r="N2700" s="329">
        <f t="shared" si="170"/>
        <v>128.2452758789068</v>
      </c>
      <c r="T2700" s="331">
        <v>0</v>
      </c>
      <c r="U2700" s="328">
        <f>VLOOKUP(C2700,METADATA!$J$5:$Q$29,IF(E2700="HI",2,IF(E2700="LO",6,10))+IF(T2700=1,2,IF(D2700=7,1,(IF(WEEKDAY(B2700)=1,2,IF(WEEKDAY(B2700)=7,1,0))))))</f>
        <v>1</v>
      </c>
      <c r="V2700" s="328">
        <f>VLOOKUP(C2700,METADATA!$A$5:$H$29,IF(E2700="HI",2,IF(E2700="LO",6,10))+IF(T2700=1,2,IF(D2700=7,1,(IF(WEEKDAY(B2700)=1,2,IF(WEEKDAY(B2700)=7,1,0))))))</f>
        <v>1</v>
      </c>
    </row>
    <row r="2701" spans="2:22">
      <c r="B2701" s="318">
        <f t="shared" si="167"/>
        <v>46225</v>
      </c>
      <c r="C2701" s="312">
        <v>9</v>
      </c>
      <c r="D2701" s="368">
        <f>IFERROR((INDEX(METADATA!$T$2:$T$20,MATCH(B2701,METADATA!$S$2:$S$20,0))),0)</f>
        <v>0</v>
      </c>
      <c r="E2701" s="312" t="str">
        <f t="shared" si="168"/>
        <v>LO</v>
      </c>
      <c r="F2701" s="369">
        <f>VLOOKUP(C2701,METADATA!$A$5:$H$29,IF(E2701="HI",2,IF(E2701="LO",6,10))+IF(D2701=1,2,IF(D2701=7,1,(IF(WEEKDAY(B2701)=1,2,IF(WEEKDAY(B2701)=7,1,0))))))</f>
        <v>2</v>
      </c>
      <c r="G2701" s="369">
        <f>VLOOKUP(C2701,METADATA!$J$5:$Q$29,IF(E2701="HI",2,IF(E2701="LO",6,10))+IF(D2701=1,2,IF(D2701=7,1,(IF(WEEKDAY(B2701)=1,2,IF(WEEKDAY(B2701)=7,1,0))))))</f>
        <v>2</v>
      </c>
      <c r="H2701" s="370">
        <v>13965.900146484375</v>
      </c>
      <c r="I2701" s="370">
        <v>4362.8200073242188</v>
      </c>
      <c r="M2701" s="371">
        <f t="shared" si="169"/>
        <v>14631.492245081525</v>
      </c>
      <c r="N2701" s="329">
        <f t="shared" si="170"/>
        <v>173.0499633789068</v>
      </c>
      <c r="T2701" s="331">
        <v>0</v>
      </c>
      <c r="U2701" s="328">
        <f>VLOOKUP(C2701,METADATA!$J$5:$Q$29,IF(E2701="HI",2,IF(E2701="LO",6,10))+IF(T2701=1,2,IF(D2701=7,1,(IF(WEEKDAY(B2701)=1,2,IF(WEEKDAY(B2701)=7,1,0))))))</f>
        <v>2</v>
      </c>
      <c r="V2701" s="328">
        <f>VLOOKUP(C2701,METADATA!$A$5:$H$29,IF(E2701="HI",2,IF(E2701="LO",6,10))+IF(T2701=1,2,IF(D2701=7,1,(IF(WEEKDAY(B2701)=1,2,IF(WEEKDAY(B2701)=7,1,0))))))</f>
        <v>2</v>
      </c>
    </row>
    <row r="2702" spans="2:22">
      <c r="B2702" s="318">
        <f t="shared" si="167"/>
        <v>46225</v>
      </c>
      <c r="C2702" s="312">
        <v>10</v>
      </c>
      <c r="D2702" s="368">
        <f>IFERROR((INDEX(METADATA!$T$2:$T$20,MATCH(B2702,METADATA!$S$2:$S$20,0))),0)</f>
        <v>0</v>
      </c>
      <c r="E2702" s="312" t="str">
        <f t="shared" si="168"/>
        <v>LO</v>
      </c>
      <c r="F2702" s="369">
        <f>VLOOKUP(C2702,METADATA!$A$5:$H$29,IF(E2702="HI",2,IF(E2702="LO",6,10))+IF(D2702=1,2,IF(D2702=7,1,(IF(WEEKDAY(B2702)=1,2,IF(WEEKDAY(B2702)=7,1,0))))))</f>
        <v>2</v>
      </c>
      <c r="G2702" s="369">
        <f>VLOOKUP(C2702,METADATA!$J$5:$Q$29,IF(E2702="HI",2,IF(E2702="LO",6,10))+IF(D2702=1,2,IF(D2702=7,1,(IF(WEEKDAY(B2702)=1,2,IF(WEEKDAY(B2702)=7,1,0))))))</f>
        <v>2</v>
      </c>
      <c r="H2702" s="370">
        <v>14107.500305175781</v>
      </c>
      <c r="I2702" s="370">
        <v>4531.7600402832031</v>
      </c>
      <c r="M2702" s="371">
        <f t="shared" si="169"/>
        <v>14817.503633312946</v>
      </c>
      <c r="N2702" s="329">
        <f t="shared" si="170"/>
        <v>299.50994873046875</v>
      </c>
      <c r="T2702" s="331">
        <v>0</v>
      </c>
      <c r="U2702" s="328">
        <f>VLOOKUP(C2702,METADATA!$J$5:$Q$29,IF(E2702="HI",2,IF(E2702="LO",6,10))+IF(T2702=1,2,IF(D2702=7,1,(IF(WEEKDAY(B2702)=1,2,IF(WEEKDAY(B2702)=7,1,0))))))</f>
        <v>2</v>
      </c>
      <c r="V2702" s="328">
        <f>VLOOKUP(C2702,METADATA!$A$5:$H$29,IF(E2702="HI",2,IF(E2702="LO",6,10))+IF(T2702=1,2,IF(D2702=7,1,(IF(WEEKDAY(B2702)=1,2,IF(WEEKDAY(B2702)=7,1,0))))))</f>
        <v>2</v>
      </c>
    </row>
    <row r="2703" spans="2:22">
      <c r="B2703" s="318">
        <f t="shared" si="167"/>
        <v>46225</v>
      </c>
      <c r="C2703" s="312">
        <v>11</v>
      </c>
      <c r="D2703" s="368">
        <f>IFERROR((INDEX(METADATA!$T$2:$T$20,MATCH(B2703,METADATA!$S$2:$S$20,0))),0)</f>
        <v>0</v>
      </c>
      <c r="E2703" s="312" t="str">
        <f t="shared" si="168"/>
        <v>LO</v>
      </c>
      <c r="F2703" s="369">
        <f>VLOOKUP(C2703,METADATA!$A$5:$H$29,IF(E2703="HI",2,IF(E2703="LO",6,10))+IF(D2703=1,2,IF(D2703=7,1,(IF(WEEKDAY(B2703)=1,2,IF(WEEKDAY(B2703)=7,1,0))))))</f>
        <v>2</v>
      </c>
      <c r="G2703" s="369">
        <f>VLOOKUP(C2703,METADATA!$J$5:$Q$29,IF(E2703="HI",2,IF(E2703="LO",6,10))+IF(D2703=1,2,IF(D2703=7,1,(IF(WEEKDAY(B2703)=1,2,IF(WEEKDAY(B2703)=7,1,0))))))</f>
        <v>2</v>
      </c>
      <c r="H2703" s="370">
        <v>14055.100341796875</v>
      </c>
      <c r="I2703" s="370">
        <v>4538.9650268554688</v>
      </c>
      <c r="M2703" s="371">
        <f t="shared" si="169"/>
        <v>14769.835785579869</v>
      </c>
      <c r="N2703" s="329">
        <f t="shared" si="170"/>
        <v>322.43492431640607</v>
      </c>
      <c r="T2703" s="331">
        <v>0</v>
      </c>
      <c r="U2703" s="328">
        <f>VLOOKUP(C2703,METADATA!$J$5:$Q$29,IF(E2703="HI",2,IF(E2703="LO",6,10))+IF(T2703=1,2,IF(D2703=7,1,(IF(WEEKDAY(B2703)=1,2,IF(WEEKDAY(B2703)=7,1,0))))))</f>
        <v>2</v>
      </c>
      <c r="V2703" s="328">
        <f>VLOOKUP(C2703,METADATA!$A$5:$H$29,IF(E2703="HI",2,IF(E2703="LO",6,10))+IF(T2703=1,2,IF(D2703=7,1,(IF(WEEKDAY(B2703)=1,2,IF(WEEKDAY(B2703)=7,1,0))))))</f>
        <v>2</v>
      </c>
    </row>
    <row r="2704" spans="2:22">
      <c r="B2704" s="318">
        <f t="shared" si="167"/>
        <v>46225</v>
      </c>
      <c r="C2704" s="312">
        <v>12</v>
      </c>
      <c r="D2704" s="368">
        <f>IFERROR((INDEX(METADATA!$T$2:$T$20,MATCH(B2704,METADATA!$S$2:$S$20,0))),0)</f>
        <v>0</v>
      </c>
      <c r="E2704" s="312" t="str">
        <f t="shared" si="168"/>
        <v>LO</v>
      </c>
      <c r="F2704" s="369">
        <f>VLOOKUP(C2704,METADATA!$A$5:$H$29,IF(E2704="HI",2,IF(E2704="LO",6,10))+IF(D2704=1,2,IF(D2704=7,1,(IF(WEEKDAY(B2704)=1,2,IF(WEEKDAY(B2704)=7,1,0))))))</f>
        <v>2</v>
      </c>
      <c r="G2704" s="369">
        <f>VLOOKUP(C2704,METADATA!$J$5:$Q$29,IF(E2704="HI",2,IF(E2704="LO",6,10))+IF(D2704=1,2,IF(D2704=7,1,(IF(WEEKDAY(B2704)=1,2,IF(WEEKDAY(B2704)=7,1,0))))))</f>
        <v>2</v>
      </c>
      <c r="H2704" s="370">
        <v>13950.675048828125</v>
      </c>
      <c r="I2704" s="370">
        <v>4554.650146484375</v>
      </c>
      <c r="M2704" s="371">
        <f t="shared" si="169"/>
        <v>14675.359357605719</v>
      </c>
      <c r="N2704" s="329">
        <f t="shared" si="170"/>
        <v>369.4476318359375</v>
      </c>
      <c r="T2704" s="331">
        <v>0</v>
      </c>
      <c r="U2704" s="328">
        <f>VLOOKUP(C2704,METADATA!$J$5:$Q$29,IF(E2704="HI",2,IF(E2704="LO",6,10))+IF(T2704=1,2,IF(D2704=7,1,(IF(WEEKDAY(B2704)=1,2,IF(WEEKDAY(B2704)=7,1,0))))))</f>
        <v>2</v>
      </c>
      <c r="V2704" s="328">
        <f>VLOOKUP(C2704,METADATA!$A$5:$H$29,IF(E2704="HI",2,IF(E2704="LO",6,10))+IF(T2704=1,2,IF(D2704=7,1,(IF(WEEKDAY(B2704)=1,2,IF(WEEKDAY(B2704)=7,1,0))))))</f>
        <v>2</v>
      </c>
    </row>
    <row r="2705" spans="2:22">
      <c r="B2705" s="318">
        <f t="shared" si="167"/>
        <v>46225</v>
      </c>
      <c r="C2705" s="312">
        <v>13</v>
      </c>
      <c r="D2705" s="368">
        <f>IFERROR((INDEX(METADATA!$T$2:$T$20,MATCH(B2705,METADATA!$S$2:$S$20,0))),0)</f>
        <v>0</v>
      </c>
      <c r="E2705" s="312" t="str">
        <f t="shared" si="168"/>
        <v>LO</v>
      </c>
      <c r="F2705" s="369">
        <f>VLOOKUP(C2705,METADATA!$A$5:$H$29,IF(E2705="HI",2,IF(E2705="LO",6,10))+IF(D2705=1,2,IF(D2705=7,1,(IF(WEEKDAY(B2705)=1,2,IF(WEEKDAY(B2705)=7,1,0))))))</f>
        <v>2</v>
      </c>
      <c r="G2705" s="369">
        <f>VLOOKUP(C2705,METADATA!$J$5:$Q$29,IF(E2705="HI",2,IF(E2705="LO",6,10))+IF(D2705=1,2,IF(D2705=7,1,(IF(WEEKDAY(B2705)=1,2,IF(WEEKDAY(B2705)=7,1,0))))))</f>
        <v>2</v>
      </c>
      <c r="H2705" s="370">
        <v>13596.199523925781</v>
      </c>
      <c r="I2705" s="370">
        <v>4438.0849304199219</v>
      </c>
      <c r="M2705" s="371">
        <f t="shared" si="169"/>
        <v>14302.2109949483</v>
      </c>
      <c r="N2705" s="329">
        <f t="shared" si="170"/>
        <v>359.22507324218759</v>
      </c>
      <c r="T2705" s="331">
        <v>0</v>
      </c>
      <c r="U2705" s="328">
        <f>VLOOKUP(C2705,METADATA!$J$5:$Q$29,IF(E2705="HI",2,IF(E2705="LO",6,10))+IF(T2705=1,2,IF(D2705=7,1,(IF(WEEKDAY(B2705)=1,2,IF(WEEKDAY(B2705)=7,1,0))))))</f>
        <v>2</v>
      </c>
      <c r="V2705" s="328">
        <f>VLOOKUP(C2705,METADATA!$A$5:$H$29,IF(E2705="HI",2,IF(E2705="LO",6,10))+IF(T2705=1,2,IF(D2705=7,1,(IF(WEEKDAY(B2705)=1,2,IF(WEEKDAY(B2705)=7,1,0))))))</f>
        <v>2</v>
      </c>
    </row>
    <row r="2706" spans="2:22">
      <c r="B2706" s="318">
        <f t="shared" si="167"/>
        <v>46225</v>
      </c>
      <c r="C2706" s="312">
        <v>14</v>
      </c>
      <c r="D2706" s="368">
        <f>IFERROR((INDEX(METADATA!$T$2:$T$20,MATCH(B2706,METADATA!$S$2:$S$20,0))),0)</f>
        <v>0</v>
      </c>
      <c r="E2706" s="312" t="str">
        <f t="shared" si="168"/>
        <v>LO</v>
      </c>
      <c r="F2706" s="369">
        <f>VLOOKUP(C2706,METADATA!$A$5:$H$29,IF(E2706="HI",2,IF(E2706="LO",6,10))+IF(D2706=1,2,IF(D2706=7,1,(IF(WEEKDAY(B2706)=1,2,IF(WEEKDAY(B2706)=7,1,0))))))</f>
        <v>2</v>
      </c>
      <c r="G2706" s="369">
        <f>VLOOKUP(C2706,METADATA!$J$5:$Q$29,IF(E2706="HI",2,IF(E2706="LO",6,10))+IF(D2706=1,2,IF(D2706=7,1,(IF(WEEKDAY(B2706)=1,2,IF(WEEKDAY(B2706)=7,1,0))))))</f>
        <v>2</v>
      </c>
      <c r="H2706" s="370">
        <v>13750.950317382813</v>
      </c>
      <c r="I2706" s="370">
        <v>4583.8401184082031</v>
      </c>
      <c r="M2706" s="371">
        <f t="shared" si="169"/>
        <v>14494.834419966961</v>
      </c>
      <c r="N2706" s="329">
        <f t="shared" si="170"/>
        <v>458.55502319335938</v>
      </c>
      <c r="T2706" s="331">
        <v>0</v>
      </c>
      <c r="U2706" s="328">
        <f>VLOOKUP(C2706,METADATA!$J$5:$Q$29,IF(E2706="HI",2,IF(E2706="LO",6,10))+IF(T2706=1,2,IF(D2706=7,1,(IF(WEEKDAY(B2706)=1,2,IF(WEEKDAY(B2706)=7,1,0))))))</f>
        <v>2</v>
      </c>
      <c r="V2706" s="328">
        <f>VLOOKUP(C2706,METADATA!$A$5:$H$29,IF(E2706="HI",2,IF(E2706="LO",6,10))+IF(T2706=1,2,IF(D2706=7,1,(IF(WEEKDAY(B2706)=1,2,IF(WEEKDAY(B2706)=7,1,0))))))</f>
        <v>2</v>
      </c>
    </row>
    <row r="2707" spans="2:22">
      <c r="B2707" s="318">
        <f t="shared" si="167"/>
        <v>46225</v>
      </c>
      <c r="C2707" s="312">
        <v>15</v>
      </c>
      <c r="D2707" s="368">
        <f>IFERROR((INDEX(METADATA!$T$2:$T$20,MATCH(B2707,METADATA!$S$2:$S$20,0))),0)</f>
        <v>0</v>
      </c>
      <c r="E2707" s="312" t="str">
        <f t="shared" si="168"/>
        <v>LO</v>
      </c>
      <c r="F2707" s="369">
        <f>VLOOKUP(C2707,METADATA!$A$5:$H$29,IF(E2707="HI",2,IF(E2707="LO",6,10))+IF(D2707=1,2,IF(D2707=7,1,(IF(WEEKDAY(B2707)=1,2,IF(WEEKDAY(B2707)=7,1,0))))))</f>
        <v>2</v>
      </c>
      <c r="G2707" s="369">
        <f>VLOOKUP(C2707,METADATA!$J$5:$Q$29,IF(E2707="HI",2,IF(E2707="LO",6,10))+IF(D2707=1,2,IF(D2707=7,1,(IF(WEEKDAY(B2707)=1,2,IF(WEEKDAY(B2707)=7,1,0))))))</f>
        <v>2</v>
      </c>
      <c r="H2707" s="370">
        <v>13719.849853515625</v>
      </c>
      <c r="I2707" s="370">
        <v>4556.8301391601563</v>
      </c>
      <c r="M2707" s="371">
        <f t="shared" si="169"/>
        <v>14456.797049145121</v>
      </c>
      <c r="N2707" s="329">
        <f t="shared" si="170"/>
        <v>440.87518310546875</v>
      </c>
      <c r="T2707" s="331">
        <v>0</v>
      </c>
      <c r="U2707" s="328">
        <f>VLOOKUP(C2707,METADATA!$J$5:$Q$29,IF(E2707="HI",2,IF(E2707="LO",6,10))+IF(T2707=1,2,IF(D2707=7,1,(IF(WEEKDAY(B2707)=1,2,IF(WEEKDAY(B2707)=7,1,0))))))</f>
        <v>2</v>
      </c>
      <c r="V2707" s="328">
        <f>VLOOKUP(C2707,METADATA!$A$5:$H$29,IF(E2707="HI",2,IF(E2707="LO",6,10))+IF(T2707=1,2,IF(D2707=7,1,(IF(WEEKDAY(B2707)=1,2,IF(WEEKDAY(B2707)=7,1,0))))))</f>
        <v>2</v>
      </c>
    </row>
    <row r="2708" spans="2:22">
      <c r="B2708" s="318">
        <f t="shared" si="167"/>
        <v>46225</v>
      </c>
      <c r="C2708" s="312">
        <v>16</v>
      </c>
      <c r="D2708" s="368">
        <f>IFERROR((INDEX(METADATA!$T$2:$T$20,MATCH(B2708,METADATA!$S$2:$S$20,0))),0)</f>
        <v>0</v>
      </c>
      <c r="E2708" s="312" t="str">
        <f t="shared" si="168"/>
        <v>LO</v>
      </c>
      <c r="F2708" s="369">
        <f>VLOOKUP(C2708,METADATA!$A$5:$H$29,IF(E2708="HI",2,IF(E2708="LO",6,10))+IF(D2708=1,2,IF(D2708=7,1,(IF(WEEKDAY(B2708)=1,2,IF(WEEKDAY(B2708)=7,1,0))))))</f>
        <v>2</v>
      </c>
      <c r="G2708" s="369">
        <f>VLOOKUP(C2708,METADATA!$J$5:$Q$29,IF(E2708="HI",2,IF(E2708="LO",6,10))+IF(D2708=1,2,IF(D2708=7,1,(IF(WEEKDAY(B2708)=1,2,IF(WEEKDAY(B2708)=7,1,0))))))</f>
        <v>2</v>
      </c>
      <c r="H2708" s="370">
        <v>13746.450317382813</v>
      </c>
      <c r="I2708" s="370">
        <v>4351.090087890625</v>
      </c>
      <c r="M2708" s="371">
        <f t="shared" si="169"/>
        <v>14418.629660311484</v>
      </c>
      <c r="N2708" s="329">
        <f t="shared" si="170"/>
        <v>227.15499267578161</v>
      </c>
      <c r="T2708" s="331">
        <v>0</v>
      </c>
      <c r="U2708" s="328">
        <f>VLOOKUP(C2708,METADATA!$J$5:$Q$29,IF(E2708="HI",2,IF(E2708="LO",6,10))+IF(T2708=1,2,IF(D2708=7,1,(IF(WEEKDAY(B2708)=1,2,IF(WEEKDAY(B2708)=7,1,0))))))</f>
        <v>2</v>
      </c>
      <c r="V2708" s="328">
        <f>VLOOKUP(C2708,METADATA!$A$5:$H$29,IF(E2708="HI",2,IF(E2708="LO",6,10))+IF(T2708=1,2,IF(D2708=7,1,(IF(WEEKDAY(B2708)=1,2,IF(WEEKDAY(B2708)=7,1,0))))))</f>
        <v>2</v>
      </c>
    </row>
    <row r="2709" spans="2:22">
      <c r="B2709" s="318">
        <f t="shared" si="167"/>
        <v>46225</v>
      </c>
      <c r="C2709" s="312">
        <v>17</v>
      </c>
      <c r="D2709" s="368">
        <f>IFERROR((INDEX(METADATA!$T$2:$T$20,MATCH(B2709,METADATA!$S$2:$S$20,0))),0)</f>
        <v>0</v>
      </c>
      <c r="E2709" s="312" t="str">
        <f t="shared" si="168"/>
        <v>LO</v>
      </c>
      <c r="F2709" s="369">
        <f>VLOOKUP(C2709,METADATA!$A$5:$H$29,IF(E2709="HI",2,IF(E2709="LO",6,10))+IF(D2709=1,2,IF(D2709=7,1,(IF(WEEKDAY(B2709)=1,2,IF(WEEKDAY(B2709)=7,1,0))))))</f>
        <v>2</v>
      </c>
      <c r="G2709" s="369">
        <f>VLOOKUP(C2709,METADATA!$J$5:$Q$29,IF(E2709="HI",2,IF(E2709="LO",6,10))+IF(D2709=1,2,IF(D2709=7,1,(IF(WEEKDAY(B2709)=1,2,IF(WEEKDAY(B2709)=7,1,0))))))</f>
        <v>2</v>
      </c>
      <c r="H2709" s="370">
        <v>13873.724487304688</v>
      </c>
      <c r="I2709" s="370">
        <v>4305.2300720214844</v>
      </c>
      <c r="M2709" s="371">
        <f t="shared" si="169"/>
        <v>14526.363520257773</v>
      </c>
      <c r="N2709" s="329">
        <f t="shared" si="170"/>
        <v>143.11272583007849</v>
      </c>
      <c r="T2709" s="331">
        <v>0</v>
      </c>
      <c r="U2709" s="328">
        <f>VLOOKUP(C2709,METADATA!$J$5:$Q$29,IF(E2709="HI",2,IF(E2709="LO",6,10))+IF(T2709=1,2,IF(D2709=7,1,(IF(WEEKDAY(B2709)=1,2,IF(WEEKDAY(B2709)=7,1,0))))))</f>
        <v>2</v>
      </c>
      <c r="V2709" s="328">
        <f>VLOOKUP(C2709,METADATA!$A$5:$H$29,IF(E2709="HI",2,IF(E2709="LO",6,10))+IF(T2709=1,2,IF(D2709=7,1,(IF(WEEKDAY(B2709)=1,2,IF(WEEKDAY(B2709)=7,1,0))))))</f>
        <v>2</v>
      </c>
    </row>
    <row r="2710" spans="2:22">
      <c r="B2710" s="318">
        <f t="shared" si="167"/>
        <v>46225</v>
      </c>
      <c r="C2710" s="312">
        <v>18</v>
      </c>
      <c r="D2710" s="368">
        <f>IFERROR((INDEX(METADATA!$T$2:$T$20,MATCH(B2710,METADATA!$S$2:$S$20,0))),0)</f>
        <v>0</v>
      </c>
      <c r="E2710" s="312" t="str">
        <f t="shared" si="168"/>
        <v>LO</v>
      </c>
      <c r="F2710" s="369">
        <f>VLOOKUP(C2710,METADATA!$A$5:$H$29,IF(E2710="HI",2,IF(E2710="LO",6,10))+IF(D2710=1,2,IF(D2710=7,1,(IF(WEEKDAY(B2710)=1,2,IF(WEEKDAY(B2710)=7,1,0))))))</f>
        <v>1</v>
      </c>
      <c r="G2710" s="369">
        <f>VLOOKUP(C2710,METADATA!$J$5:$Q$29,IF(E2710="HI",2,IF(E2710="LO",6,10))+IF(D2710=1,2,IF(D2710=7,1,(IF(WEEKDAY(B2710)=1,2,IF(WEEKDAY(B2710)=7,1,0))))))</f>
        <v>1</v>
      </c>
      <c r="H2710" s="370">
        <v>13879.89990234375</v>
      </c>
      <c r="I2710" s="370">
        <v>4247.0050659179688</v>
      </c>
      <c r="M2710" s="371">
        <f t="shared" si="169"/>
        <v>14515.118784529974</v>
      </c>
      <c r="N2710" s="329">
        <f t="shared" si="170"/>
        <v>83.03509521484375</v>
      </c>
      <c r="T2710" s="331">
        <v>0</v>
      </c>
      <c r="U2710" s="328">
        <f>VLOOKUP(C2710,METADATA!$J$5:$Q$29,IF(E2710="HI",2,IF(E2710="LO",6,10))+IF(T2710=1,2,IF(D2710=7,1,(IF(WEEKDAY(B2710)=1,2,IF(WEEKDAY(B2710)=7,1,0))))))</f>
        <v>1</v>
      </c>
      <c r="V2710" s="328">
        <f>VLOOKUP(C2710,METADATA!$A$5:$H$29,IF(E2710="HI",2,IF(E2710="LO",6,10))+IF(T2710=1,2,IF(D2710=7,1,(IF(WEEKDAY(B2710)=1,2,IF(WEEKDAY(B2710)=7,1,0))))))</f>
        <v>1</v>
      </c>
    </row>
    <row r="2711" spans="2:22">
      <c r="B2711" s="318">
        <f t="shared" si="167"/>
        <v>46225</v>
      </c>
      <c r="C2711" s="312">
        <v>19</v>
      </c>
      <c r="D2711" s="368">
        <f>IFERROR((INDEX(METADATA!$T$2:$T$20,MATCH(B2711,METADATA!$S$2:$S$20,0))),0)</f>
        <v>0</v>
      </c>
      <c r="E2711" s="312" t="str">
        <f t="shared" si="168"/>
        <v>LO</v>
      </c>
      <c r="F2711" s="369">
        <f>VLOOKUP(C2711,METADATA!$A$5:$H$29,IF(E2711="HI",2,IF(E2711="LO",6,10))+IF(D2711=1,2,IF(D2711=7,1,(IF(WEEKDAY(B2711)=1,2,IF(WEEKDAY(B2711)=7,1,0))))))</f>
        <v>1</v>
      </c>
      <c r="G2711" s="369">
        <f>VLOOKUP(C2711,METADATA!$J$5:$Q$29,IF(E2711="HI",2,IF(E2711="LO",6,10))+IF(D2711=1,2,IF(D2711=7,1,(IF(WEEKDAY(B2711)=1,2,IF(WEEKDAY(B2711)=7,1,0))))))</f>
        <v>1</v>
      </c>
      <c r="H2711" s="370">
        <v>13830.000183105469</v>
      </c>
      <c r="I2711" s="370">
        <v>4347.4049987792969</v>
      </c>
      <c r="M2711" s="371">
        <f t="shared" si="169"/>
        <v>14497.200946669274</v>
      </c>
      <c r="N2711" s="329">
        <f t="shared" si="170"/>
        <v>198.4049438476568</v>
      </c>
      <c r="T2711" s="331">
        <v>0</v>
      </c>
      <c r="U2711" s="328">
        <f>VLOOKUP(C2711,METADATA!$J$5:$Q$29,IF(E2711="HI",2,IF(E2711="LO",6,10))+IF(T2711=1,2,IF(D2711=7,1,(IF(WEEKDAY(B2711)=1,2,IF(WEEKDAY(B2711)=7,1,0))))))</f>
        <v>1</v>
      </c>
      <c r="V2711" s="328">
        <f>VLOOKUP(C2711,METADATA!$A$5:$H$29,IF(E2711="HI",2,IF(E2711="LO",6,10))+IF(T2711=1,2,IF(D2711=7,1,(IF(WEEKDAY(B2711)=1,2,IF(WEEKDAY(B2711)=7,1,0))))))</f>
        <v>1</v>
      </c>
    </row>
    <row r="2712" spans="2:22">
      <c r="B2712" s="318">
        <f t="shared" si="167"/>
        <v>46225</v>
      </c>
      <c r="C2712" s="312">
        <v>20</v>
      </c>
      <c r="D2712" s="368">
        <f>IFERROR((INDEX(METADATA!$T$2:$T$20,MATCH(B2712,METADATA!$S$2:$S$20,0))),0)</f>
        <v>0</v>
      </c>
      <c r="E2712" s="312" t="str">
        <f t="shared" si="168"/>
        <v>LO</v>
      </c>
      <c r="F2712" s="369">
        <f>VLOOKUP(C2712,METADATA!$A$5:$H$29,IF(E2712="HI",2,IF(E2712="LO",6,10))+IF(D2712=1,2,IF(D2712=7,1,(IF(WEEKDAY(B2712)=1,2,IF(WEEKDAY(B2712)=7,1,0))))))</f>
        <v>1</v>
      </c>
      <c r="G2712" s="369">
        <f>VLOOKUP(C2712,METADATA!$J$5:$Q$29,IF(E2712="HI",2,IF(E2712="LO",6,10))+IF(D2712=1,2,IF(D2712=7,1,(IF(WEEKDAY(B2712)=1,2,IF(WEEKDAY(B2712)=7,1,0))))))</f>
        <v>1</v>
      </c>
      <c r="H2712" s="370">
        <v>13793.825317382813</v>
      </c>
      <c r="I2712" s="370">
        <v>4511.3748779296875</v>
      </c>
      <c r="M2712" s="371">
        <f t="shared" si="169"/>
        <v>14512.826057514991</v>
      </c>
      <c r="N2712" s="329">
        <f t="shared" si="170"/>
        <v>373.22728271484357</v>
      </c>
      <c r="T2712" s="331">
        <v>0</v>
      </c>
      <c r="U2712" s="328">
        <f>VLOOKUP(C2712,METADATA!$J$5:$Q$29,IF(E2712="HI",2,IF(E2712="LO",6,10))+IF(T2712=1,2,IF(D2712=7,1,(IF(WEEKDAY(B2712)=1,2,IF(WEEKDAY(B2712)=7,1,0))))))</f>
        <v>1</v>
      </c>
      <c r="V2712" s="328">
        <f>VLOOKUP(C2712,METADATA!$A$5:$H$29,IF(E2712="HI",2,IF(E2712="LO",6,10))+IF(T2712=1,2,IF(D2712=7,1,(IF(WEEKDAY(B2712)=1,2,IF(WEEKDAY(B2712)=7,1,0))))))</f>
        <v>1</v>
      </c>
    </row>
    <row r="2713" spans="2:22">
      <c r="B2713" s="318">
        <f t="shared" si="167"/>
        <v>46225</v>
      </c>
      <c r="C2713" s="312">
        <v>21</v>
      </c>
      <c r="D2713" s="368">
        <f>IFERROR((INDEX(METADATA!$T$2:$T$20,MATCH(B2713,METADATA!$S$2:$S$20,0))),0)</f>
        <v>0</v>
      </c>
      <c r="E2713" s="312" t="str">
        <f t="shared" si="168"/>
        <v>LO</v>
      </c>
      <c r="F2713" s="369">
        <f>VLOOKUP(C2713,METADATA!$A$5:$H$29,IF(E2713="HI",2,IF(E2713="LO",6,10))+IF(D2713=1,2,IF(D2713=7,1,(IF(WEEKDAY(B2713)=1,2,IF(WEEKDAY(B2713)=7,1,0))))))</f>
        <v>2</v>
      </c>
      <c r="G2713" s="369">
        <f>VLOOKUP(C2713,METADATA!$J$5:$Q$29,IF(E2713="HI",2,IF(E2713="LO",6,10))+IF(D2713=1,2,IF(D2713=7,1,(IF(WEEKDAY(B2713)=1,2,IF(WEEKDAY(B2713)=7,1,0))))))</f>
        <v>2</v>
      </c>
      <c r="H2713" s="370">
        <v>13837.37451171875</v>
      </c>
      <c r="I2713" s="370">
        <v>4492.6799621582031</v>
      </c>
      <c r="M2713" s="371">
        <f t="shared" si="169"/>
        <v>14548.440006404177</v>
      </c>
      <c r="N2713" s="329">
        <f t="shared" si="170"/>
        <v>341.46760864257794</v>
      </c>
      <c r="T2713" s="331">
        <v>0</v>
      </c>
      <c r="U2713" s="328">
        <f>VLOOKUP(C2713,METADATA!$J$5:$Q$29,IF(E2713="HI",2,IF(E2713="LO",6,10))+IF(T2713=1,2,IF(D2713=7,1,(IF(WEEKDAY(B2713)=1,2,IF(WEEKDAY(B2713)=7,1,0))))))</f>
        <v>2</v>
      </c>
      <c r="V2713" s="328">
        <f>VLOOKUP(C2713,METADATA!$A$5:$H$29,IF(E2713="HI",2,IF(E2713="LO",6,10))+IF(T2713=1,2,IF(D2713=7,1,(IF(WEEKDAY(B2713)=1,2,IF(WEEKDAY(B2713)=7,1,0))))))</f>
        <v>2</v>
      </c>
    </row>
    <row r="2714" spans="2:22">
      <c r="B2714" s="318">
        <f t="shared" si="167"/>
        <v>46225</v>
      </c>
      <c r="C2714" s="312">
        <v>22</v>
      </c>
      <c r="D2714" s="368">
        <f>IFERROR((INDEX(METADATA!$T$2:$T$20,MATCH(B2714,METADATA!$S$2:$S$20,0))),0)</f>
        <v>0</v>
      </c>
      <c r="E2714" s="312" t="str">
        <f t="shared" si="168"/>
        <v>LO</v>
      </c>
      <c r="F2714" s="369">
        <f>VLOOKUP(C2714,METADATA!$A$5:$H$29,IF(E2714="HI",2,IF(E2714="LO",6,10))+IF(D2714=1,2,IF(D2714=7,1,(IF(WEEKDAY(B2714)=1,2,IF(WEEKDAY(B2714)=7,1,0))))))</f>
        <v>3</v>
      </c>
      <c r="G2714" s="369">
        <f>VLOOKUP(C2714,METADATA!$J$5:$Q$29,IF(E2714="HI",2,IF(E2714="LO",6,10))+IF(D2714=1,2,IF(D2714=7,1,(IF(WEEKDAY(B2714)=1,2,IF(WEEKDAY(B2714)=7,1,0))))))</f>
        <v>3</v>
      </c>
      <c r="H2714" s="370">
        <v>13828.849731445313</v>
      </c>
      <c r="I2714" s="370">
        <v>4571.385009765625</v>
      </c>
      <c r="M2714" s="371">
        <f t="shared" si="169"/>
        <v>14564.842800470075</v>
      </c>
      <c r="N2714" s="329">
        <f t="shared" si="170"/>
        <v>422.73009033203107</v>
      </c>
      <c r="T2714" s="331">
        <v>0</v>
      </c>
      <c r="U2714" s="328">
        <f>VLOOKUP(C2714,METADATA!$J$5:$Q$29,IF(E2714="HI",2,IF(E2714="LO",6,10))+IF(T2714=1,2,IF(D2714=7,1,(IF(WEEKDAY(B2714)=1,2,IF(WEEKDAY(B2714)=7,1,0))))))</f>
        <v>3</v>
      </c>
      <c r="V2714" s="328">
        <f>VLOOKUP(C2714,METADATA!$A$5:$H$29,IF(E2714="HI",2,IF(E2714="LO",6,10))+IF(T2714=1,2,IF(D2714=7,1,(IF(WEEKDAY(B2714)=1,2,IF(WEEKDAY(B2714)=7,1,0))))))</f>
        <v>3</v>
      </c>
    </row>
    <row r="2715" spans="2:22">
      <c r="B2715" s="318">
        <f t="shared" si="167"/>
        <v>46225</v>
      </c>
      <c r="C2715" s="312">
        <v>23</v>
      </c>
      <c r="D2715" s="368">
        <f>IFERROR((INDEX(METADATA!$T$2:$T$20,MATCH(B2715,METADATA!$S$2:$S$20,0))),0)</f>
        <v>0</v>
      </c>
      <c r="E2715" s="312" t="str">
        <f t="shared" si="168"/>
        <v>LO</v>
      </c>
      <c r="F2715" s="369">
        <f>VLOOKUP(C2715,METADATA!$A$5:$H$29,IF(E2715="HI",2,IF(E2715="LO",6,10))+IF(D2715=1,2,IF(D2715=7,1,(IF(WEEKDAY(B2715)=1,2,IF(WEEKDAY(B2715)=7,1,0))))))</f>
        <v>3</v>
      </c>
      <c r="G2715" s="369">
        <f>VLOOKUP(C2715,METADATA!$J$5:$Q$29,IF(E2715="HI",2,IF(E2715="LO",6,10))+IF(D2715=1,2,IF(D2715=7,1,(IF(WEEKDAY(B2715)=1,2,IF(WEEKDAY(B2715)=7,1,0))))))</f>
        <v>3</v>
      </c>
      <c r="H2715" s="370">
        <v>13741.675170898438</v>
      </c>
      <c r="I2715" s="370">
        <v>4692.4850769042969</v>
      </c>
      <c r="M2715" s="371">
        <f t="shared" si="169"/>
        <v>14520.780030682101</v>
      </c>
      <c r="N2715" s="329">
        <f t="shared" si="170"/>
        <v>569.98252563476581</v>
      </c>
      <c r="T2715" s="331">
        <v>0</v>
      </c>
      <c r="U2715" s="328">
        <f>VLOOKUP(C2715,METADATA!$J$5:$Q$29,IF(E2715="HI",2,IF(E2715="LO",6,10))+IF(T2715=1,2,IF(D2715=7,1,(IF(WEEKDAY(B2715)=1,2,IF(WEEKDAY(B2715)=7,1,0))))))</f>
        <v>3</v>
      </c>
      <c r="V2715" s="328">
        <f>VLOOKUP(C2715,METADATA!$A$5:$H$29,IF(E2715="HI",2,IF(E2715="LO",6,10))+IF(T2715=1,2,IF(D2715=7,1,(IF(WEEKDAY(B2715)=1,2,IF(WEEKDAY(B2715)=7,1,0))))))</f>
        <v>3</v>
      </c>
    </row>
    <row r="2716" spans="2:22">
      <c r="B2716" s="318">
        <f t="shared" ref="B2716:B2779" si="171">B2692+1</f>
        <v>46226</v>
      </c>
      <c r="C2716" s="312">
        <v>0</v>
      </c>
      <c r="D2716" s="368">
        <f>IFERROR((INDEX(METADATA!$T$2:$T$20,MATCH(B2716,METADATA!$S$2:$S$20,0))),0)</f>
        <v>0</v>
      </c>
      <c r="E2716" s="312" t="str">
        <f t="shared" si="168"/>
        <v>LO</v>
      </c>
      <c r="F2716" s="369">
        <f>VLOOKUP(C2716,METADATA!$A$5:$H$29,IF(E2716="HI",2,IF(E2716="LO",6,10))+IF(D2716=1,2,IF(D2716=7,1,(IF(WEEKDAY(B2716)=1,2,IF(WEEKDAY(B2716)=7,1,0))))))</f>
        <v>3</v>
      </c>
      <c r="G2716" s="369">
        <f>VLOOKUP(C2716,METADATA!$J$5:$Q$29,IF(E2716="HI",2,IF(E2716="LO",6,10))+IF(D2716=1,2,IF(D2716=7,1,(IF(WEEKDAY(B2716)=1,2,IF(WEEKDAY(B2716)=7,1,0))))))</f>
        <v>3</v>
      </c>
      <c r="H2716" s="370">
        <v>12628.650024414063</v>
      </c>
      <c r="I2716" s="370">
        <v>4080.5549621582031</v>
      </c>
      <c r="M2716" s="371">
        <f t="shared" si="169"/>
        <v>13271.538352366209</v>
      </c>
      <c r="N2716" s="329">
        <f t="shared" si="170"/>
        <v>291.95995483398474</v>
      </c>
      <c r="T2716" s="331">
        <v>0</v>
      </c>
      <c r="U2716" s="328">
        <f>VLOOKUP(C2716,METADATA!$J$5:$Q$29,IF(E2716="HI",2,IF(E2716="LO",6,10))+IF(T2716=1,2,IF(D2716=7,1,(IF(WEEKDAY(B2716)=1,2,IF(WEEKDAY(B2716)=7,1,0))))))</f>
        <v>3</v>
      </c>
      <c r="V2716" s="328">
        <f>VLOOKUP(C2716,METADATA!$A$5:$H$29,IF(E2716="HI",2,IF(E2716="LO",6,10))+IF(T2716=1,2,IF(D2716=7,1,(IF(WEEKDAY(B2716)=1,2,IF(WEEKDAY(B2716)=7,1,0))))))</f>
        <v>3</v>
      </c>
    </row>
    <row r="2717" spans="2:22">
      <c r="B2717" s="318">
        <f t="shared" si="171"/>
        <v>46226</v>
      </c>
      <c r="C2717" s="312">
        <v>1</v>
      </c>
      <c r="D2717" s="368">
        <f>IFERROR((INDEX(METADATA!$T$2:$T$20,MATCH(B2717,METADATA!$S$2:$S$20,0))),0)</f>
        <v>0</v>
      </c>
      <c r="E2717" s="312" t="str">
        <f t="shared" si="168"/>
        <v>LO</v>
      </c>
      <c r="F2717" s="369">
        <f>VLOOKUP(C2717,METADATA!$A$5:$H$29,IF(E2717="HI",2,IF(E2717="LO",6,10))+IF(D2717=1,2,IF(D2717=7,1,(IF(WEEKDAY(B2717)=1,2,IF(WEEKDAY(B2717)=7,1,0))))))</f>
        <v>3</v>
      </c>
      <c r="G2717" s="369">
        <f>VLOOKUP(C2717,METADATA!$J$5:$Q$29,IF(E2717="HI",2,IF(E2717="LO",6,10))+IF(D2717=1,2,IF(D2717=7,1,(IF(WEEKDAY(B2717)=1,2,IF(WEEKDAY(B2717)=7,1,0))))))</f>
        <v>3</v>
      </c>
      <c r="H2717" s="370">
        <v>13637.817626953125</v>
      </c>
      <c r="I2717" s="370">
        <v>4448.8300170898438</v>
      </c>
      <c r="M2717" s="371">
        <f t="shared" si="169"/>
        <v>14345.109206520283</v>
      </c>
      <c r="N2717" s="329">
        <f t="shared" si="170"/>
        <v>357.48472900390652</v>
      </c>
      <c r="T2717" s="331">
        <v>0</v>
      </c>
      <c r="U2717" s="328">
        <f>VLOOKUP(C2717,METADATA!$J$5:$Q$29,IF(E2717="HI",2,IF(E2717="LO",6,10))+IF(T2717=1,2,IF(D2717=7,1,(IF(WEEKDAY(B2717)=1,2,IF(WEEKDAY(B2717)=7,1,0))))))</f>
        <v>3</v>
      </c>
      <c r="V2717" s="328">
        <f>VLOOKUP(C2717,METADATA!$A$5:$H$29,IF(E2717="HI",2,IF(E2717="LO",6,10))+IF(T2717=1,2,IF(D2717=7,1,(IF(WEEKDAY(B2717)=1,2,IF(WEEKDAY(B2717)=7,1,0))))))</f>
        <v>3</v>
      </c>
    </row>
    <row r="2718" spans="2:22">
      <c r="B2718" s="318">
        <f t="shared" si="171"/>
        <v>46226</v>
      </c>
      <c r="C2718" s="312">
        <v>2</v>
      </c>
      <c r="D2718" s="368">
        <f>IFERROR((INDEX(METADATA!$T$2:$T$20,MATCH(B2718,METADATA!$S$2:$S$20,0))),0)</f>
        <v>0</v>
      </c>
      <c r="E2718" s="312" t="str">
        <f t="shared" si="168"/>
        <v>LO</v>
      </c>
      <c r="F2718" s="369">
        <f>VLOOKUP(C2718,METADATA!$A$5:$H$29,IF(E2718="HI",2,IF(E2718="LO",6,10))+IF(D2718=1,2,IF(D2718=7,1,(IF(WEEKDAY(B2718)=1,2,IF(WEEKDAY(B2718)=7,1,0))))))</f>
        <v>3</v>
      </c>
      <c r="G2718" s="369">
        <f>VLOOKUP(C2718,METADATA!$J$5:$Q$29,IF(E2718="HI",2,IF(E2718="LO",6,10))+IF(D2718=1,2,IF(D2718=7,1,(IF(WEEKDAY(B2718)=1,2,IF(WEEKDAY(B2718)=7,1,0))))))</f>
        <v>3</v>
      </c>
      <c r="H2718" s="370">
        <v>13670.975463867188</v>
      </c>
      <c r="I2718" s="370">
        <v>4459.5900573730469</v>
      </c>
      <c r="M2718" s="371">
        <f t="shared" si="169"/>
        <v>14379.969179851507</v>
      </c>
      <c r="N2718" s="329">
        <f t="shared" si="170"/>
        <v>358.29741821289099</v>
      </c>
      <c r="T2718" s="331">
        <v>0</v>
      </c>
      <c r="U2718" s="328">
        <f>VLOOKUP(C2718,METADATA!$J$5:$Q$29,IF(E2718="HI",2,IF(E2718="LO",6,10))+IF(T2718=1,2,IF(D2718=7,1,(IF(WEEKDAY(B2718)=1,2,IF(WEEKDAY(B2718)=7,1,0))))))</f>
        <v>3</v>
      </c>
      <c r="V2718" s="328">
        <f>VLOOKUP(C2718,METADATA!$A$5:$H$29,IF(E2718="HI",2,IF(E2718="LO",6,10))+IF(T2718=1,2,IF(D2718=7,1,(IF(WEEKDAY(B2718)=1,2,IF(WEEKDAY(B2718)=7,1,0))))))</f>
        <v>3</v>
      </c>
    </row>
    <row r="2719" spans="2:22">
      <c r="B2719" s="318">
        <f t="shared" si="171"/>
        <v>46226</v>
      </c>
      <c r="C2719" s="312">
        <v>3</v>
      </c>
      <c r="D2719" s="368">
        <f>IFERROR((INDEX(METADATA!$T$2:$T$20,MATCH(B2719,METADATA!$S$2:$S$20,0))),0)</f>
        <v>0</v>
      </c>
      <c r="E2719" s="312" t="str">
        <f t="shared" si="168"/>
        <v>LO</v>
      </c>
      <c r="F2719" s="369">
        <f>VLOOKUP(C2719,METADATA!$A$5:$H$29,IF(E2719="HI",2,IF(E2719="LO",6,10))+IF(D2719=1,2,IF(D2719=7,1,(IF(WEEKDAY(B2719)=1,2,IF(WEEKDAY(B2719)=7,1,0))))))</f>
        <v>3</v>
      </c>
      <c r="G2719" s="369">
        <f>VLOOKUP(C2719,METADATA!$J$5:$Q$29,IF(E2719="HI",2,IF(E2719="LO",6,10))+IF(D2719=1,2,IF(D2719=7,1,(IF(WEEKDAY(B2719)=1,2,IF(WEEKDAY(B2719)=7,1,0))))))</f>
        <v>3</v>
      </c>
      <c r="H2719" s="370">
        <v>13700.075439453125</v>
      </c>
      <c r="I2719" s="370">
        <v>4582.8099060058594</v>
      </c>
      <c r="M2719" s="371">
        <f t="shared" si="169"/>
        <v>14446.25258263513</v>
      </c>
      <c r="N2719" s="329">
        <f t="shared" si="170"/>
        <v>472.78727416992206</v>
      </c>
      <c r="T2719" s="331">
        <v>0</v>
      </c>
      <c r="U2719" s="328">
        <f>VLOOKUP(C2719,METADATA!$J$5:$Q$29,IF(E2719="HI",2,IF(E2719="LO",6,10))+IF(T2719=1,2,IF(D2719=7,1,(IF(WEEKDAY(B2719)=1,2,IF(WEEKDAY(B2719)=7,1,0))))))</f>
        <v>3</v>
      </c>
      <c r="V2719" s="328">
        <f>VLOOKUP(C2719,METADATA!$A$5:$H$29,IF(E2719="HI",2,IF(E2719="LO",6,10))+IF(T2719=1,2,IF(D2719=7,1,(IF(WEEKDAY(B2719)=1,2,IF(WEEKDAY(B2719)=7,1,0))))))</f>
        <v>3</v>
      </c>
    </row>
    <row r="2720" spans="2:22">
      <c r="B2720" s="318">
        <f t="shared" si="171"/>
        <v>46226</v>
      </c>
      <c r="C2720" s="312">
        <v>4</v>
      </c>
      <c r="D2720" s="368">
        <f>IFERROR((INDEX(METADATA!$T$2:$T$20,MATCH(B2720,METADATA!$S$2:$S$20,0))),0)</f>
        <v>0</v>
      </c>
      <c r="E2720" s="312" t="str">
        <f t="shared" si="168"/>
        <v>LO</v>
      </c>
      <c r="F2720" s="369">
        <f>VLOOKUP(C2720,METADATA!$A$5:$H$29,IF(E2720="HI",2,IF(E2720="LO",6,10))+IF(D2720=1,2,IF(D2720=7,1,(IF(WEEKDAY(B2720)=1,2,IF(WEEKDAY(B2720)=7,1,0))))))</f>
        <v>3</v>
      </c>
      <c r="G2720" s="369">
        <f>VLOOKUP(C2720,METADATA!$J$5:$Q$29,IF(E2720="HI",2,IF(E2720="LO",6,10))+IF(D2720=1,2,IF(D2720=7,1,(IF(WEEKDAY(B2720)=1,2,IF(WEEKDAY(B2720)=7,1,0))))))</f>
        <v>3</v>
      </c>
      <c r="H2720" s="370">
        <v>13665.3251953125</v>
      </c>
      <c r="I2720" s="370">
        <v>4614.2299499511719</v>
      </c>
      <c r="M2720" s="371">
        <f t="shared" si="169"/>
        <v>14423.322457903692</v>
      </c>
      <c r="N2720" s="329">
        <f t="shared" si="170"/>
        <v>514.63239135742242</v>
      </c>
      <c r="T2720" s="331">
        <v>0</v>
      </c>
      <c r="U2720" s="328">
        <f>VLOOKUP(C2720,METADATA!$J$5:$Q$29,IF(E2720="HI",2,IF(E2720="LO",6,10))+IF(T2720=1,2,IF(D2720=7,1,(IF(WEEKDAY(B2720)=1,2,IF(WEEKDAY(B2720)=7,1,0))))))</f>
        <v>3</v>
      </c>
      <c r="V2720" s="328">
        <f>VLOOKUP(C2720,METADATA!$A$5:$H$29,IF(E2720="HI",2,IF(E2720="LO",6,10))+IF(T2720=1,2,IF(D2720=7,1,(IF(WEEKDAY(B2720)=1,2,IF(WEEKDAY(B2720)=7,1,0))))))</f>
        <v>3</v>
      </c>
    </row>
    <row r="2721" spans="2:22">
      <c r="B2721" s="318">
        <f t="shared" si="171"/>
        <v>46226</v>
      </c>
      <c r="C2721" s="312">
        <v>5</v>
      </c>
      <c r="D2721" s="368">
        <f>IFERROR((INDEX(METADATA!$T$2:$T$20,MATCH(B2721,METADATA!$S$2:$S$20,0))),0)</f>
        <v>0</v>
      </c>
      <c r="E2721" s="312" t="str">
        <f t="shared" si="168"/>
        <v>LO</v>
      </c>
      <c r="F2721" s="369">
        <f>VLOOKUP(C2721,METADATA!$A$5:$H$29,IF(E2721="HI",2,IF(E2721="LO",6,10))+IF(D2721=1,2,IF(D2721=7,1,(IF(WEEKDAY(B2721)=1,2,IF(WEEKDAY(B2721)=7,1,0))))))</f>
        <v>3</v>
      </c>
      <c r="G2721" s="369">
        <f>VLOOKUP(C2721,METADATA!$J$5:$Q$29,IF(E2721="HI",2,IF(E2721="LO",6,10))+IF(D2721=1,2,IF(D2721=7,1,(IF(WEEKDAY(B2721)=1,2,IF(WEEKDAY(B2721)=7,1,0))))))</f>
        <v>3</v>
      </c>
      <c r="H2721" s="370">
        <v>13699.87451171875</v>
      </c>
      <c r="I2721" s="370">
        <v>4537.3799743652344</v>
      </c>
      <c r="M2721" s="371">
        <f t="shared" si="169"/>
        <v>14431.714335747216</v>
      </c>
      <c r="N2721" s="329">
        <f t="shared" si="170"/>
        <v>427.41762084960919</v>
      </c>
      <c r="T2721" s="331">
        <v>0</v>
      </c>
      <c r="U2721" s="328">
        <f>VLOOKUP(C2721,METADATA!$J$5:$Q$29,IF(E2721="HI",2,IF(E2721="LO",6,10))+IF(T2721=1,2,IF(D2721=7,1,(IF(WEEKDAY(B2721)=1,2,IF(WEEKDAY(B2721)=7,1,0))))))</f>
        <v>3</v>
      </c>
      <c r="V2721" s="328">
        <f>VLOOKUP(C2721,METADATA!$A$5:$H$29,IF(E2721="HI",2,IF(E2721="LO",6,10))+IF(T2721=1,2,IF(D2721=7,1,(IF(WEEKDAY(B2721)=1,2,IF(WEEKDAY(B2721)=7,1,0))))))</f>
        <v>3</v>
      </c>
    </row>
    <row r="2722" spans="2:22">
      <c r="B2722" s="318">
        <f t="shared" si="171"/>
        <v>46226</v>
      </c>
      <c r="C2722" s="312">
        <v>6</v>
      </c>
      <c r="D2722" s="368">
        <f>IFERROR((INDEX(METADATA!$T$2:$T$20,MATCH(B2722,METADATA!$S$2:$S$20,0))),0)</f>
        <v>0</v>
      </c>
      <c r="E2722" s="312" t="str">
        <f t="shared" si="168"/>
        <v>LO</v>
      </c>
      <c r="F2722" s="369">
        <f>VLOOKUP(C2722,METADATA!$A$5:$H$29,IF(E2722="HI",2,IF(E2722="LO",6,10))+IF(D2722=1,2,IF(D2722=7,1,(IF(WEEKDAY(B2722)=1,2,IF(WEEKDAY(B2722)=7,1,0))))))</f>
        <v>2</v>
      </c>
      <c r="G2722" s="369">
        <f>VLOOKUP(C2722,METADATA!$J$5:$Q$29,IF(E2722="HI",2,IF(E2722="LO",6,10))+IF(D2722=1,2,IF(D2722=7,1,(IF(WEEKDAY(B2722)=1,2,IF(WEEKDAY(B2722)=7,1,0))))))</f>
        <v>2</v>
      </c>
      <c r="H2722" s="370">
        <v>13755.425170898438</v>
      </c>
      <c r="I2722" s="370">
        <v>4524.8699951171875</v>
      </c>
      <c r="M2722" s="371">
        <f t="shared" si="169"/>
        <v>14480.544537582076</v>
      </c>
      <c r="N2722" s="329">
        <f t="shared" si="170"/>
        <v>398.24244384765643</v>
      </c>
      <c r="T2722" s="331">
        <v>0</v>
      </c>
      <c r="U2722" s="328">
        <f>VLOOKUP(C2722,METADATA!$J$5:$Q$29,IF(E2722="HI",2,IF(E2722="LO",6,10))+IF(T2722=1,2,IF(D2722=7,1,(IF(WEEKDAY(B2722)=1,2,IF(WEEKDAY(B2722)=7,1,0))))))</f>
        <v>2</v>
      </c>
      <c r="V2722" s="328">
        <f>VLOOKUP(C2722,METADATA!$A$5:$H$29,IF(E2722="HI",2,IF(E2722="LO",6,10))+IF(T2722=1,2,IF(D2722=7,1,(IF(WEEKDAY(B2722)=1,2,IF(WEEKDAY(B2722)=7,1,0))))))</f>
        <v>2</v>
      </c>
    </row>
    <row r="2723" spans="2:22">
      <c r="B2723" s="318">
        <f t="shared" si="171"/>
        <v>46226</v>
      </c>
      <c r="C2723" s="312">
        <v>7</v>
      </c>
      <c r="D2723" s="368">
        <f>IFERROR((INDEX(METADATA!$T$2:$T$20,MATCH(B2723,METADATA!$S$2:$S$20,0))),0)</f>
        <v>0</v>
      </c>
      <c r="E2723" s="312" t="str">
        <f t="shared" si="168"/>
        <v>LO</v>
      </c>
      <c r="F2723" s="369">
        <f>VLOOKUP(C2723,METADATA!$A$5:$H$29,IF(E2723="HI",2,IF(E2723="LO",6,10))+IF(D2723=1,2,IF(D2723=7,1,(IF(WEEKDAY(B2723)=1,2,IF(WEEKDAY(B2723)=7,1,0))))))</f>
        <v>1</v>
      </c>
      <c r="G2723" s="369">
        <f>VLOOKUP(C2723,METADATA!$J$5:$Q$29,IF(E2723="HI",2,IF(E2723="LO",6,10))+IF(D2723=1,2,IF(D2723=7,1,(IF(WEEKDAY(B2723)=1,2,IF(WEEKDAY(B2723)=7,1,0))))))</f>
        <v>1</v>
      </c>
      <c r="H2723" s="370">
        <v>13935.975219726563</v>
      </c>
      <c r="I2723" s="370">
        <v>4465.7949829101563</v>
      </c>
      <c r="M2723" s="371">
        <f t="shared" si="169"/>
        <v>14634.026450509728</v>
      </c>
      <c r="N2723" s="329">
        <f t="shared" si="170"/>
        <v>285.00241699218805</v>
      </c>
      <c r="T2723" s="331">
        <v>0</v>
      </c>
      <c r="U2723" s="328">
        <f>VLOOKUP(C2723,METADATA!$J$5:$Q$29,IF(E2723="HI",2,IF(E2723="LO",6,10))+IF(T2723=1,2,IF(D2723=7,1,(IF(WEEKDAY(B2723)=1,2,IF(WEEKDAY(B2723)=7,1,0))))))</f>
        <v>1</v>
      </c>
      <c r="V2723" s="328">
        <f>VLOOKUP(C2723,METADATA!$A$5:$H$29,IF(E2723="HI",2,IF(E2723="LO",6,10))+IF(T2723=1,2,IF(D2723=7,1,(IF(WEEKDAY(B2723)=1,2,IF(WEEKDAY(B2723)=7,1,0))))))</f>
        <v>1</v>
      </c>
    </row>
    <row r="2724" spans="2:22">
      <c r="B2724" s="318">
        <f t="shared" si="171"/>
        <v>46226</v>
      </c>
      <c r="C2724" s="312">
        <v>8</v>
      </c>
      <c r="D2724" s="368">
        <f>IFERROR((INDEX(METADATA!$T$2:$T$20,MATCH(B2724,METADATA!$S$2:$S$20,0))),0)</f>
        <v>0</v>
      </c>
      <c r="E2724" s="312" t="str">
        <f t="shared" si="168"/>
        <v>LO</v>
      </c>
      <c r="F2724" s="369">
        <f>VLOOKUP(C2724,METADATA!$A$5:$H$29,IF(E2724="HI",2,IF(E2724="LO",6,10))+IF(D2724=1,2,IF(D2724=7,1,(IF(WEEKDAY(B2724)=1,2,IF(WEEKDAY(B2724)=7,1,0))))))</f>
        <v>1</v>
      </c>
      <c r="G2724" s="369">
        <f>VLOOKUP(C2724,METADATA!$J$5:$Q$29,IF(E2724="HI",2,IF(E2724="LO",6,10))+IF(D2724=1,2,IF(D2724=7,1,(IF(WEEKDAY(B2724)=1,2,IF(WEEKDAY(B2724)=7,1,0))))))</f>
        <v>1</v>
      </c>
      <c r="H2724" s="370">
        <v>13949.55029296875</v>
      </c>
      <c r="I2724" s="370">
        <v>4321.7899475097656</v>
      </c>
      <c r="M2724" s="371">
        <f t="shared" si="169"/>
        <v>14603.69205805371</v>
      </c>
      <c r="N2724" s="329">
        <f t="shared" si="170"/>
        <v>136.92485961914099</v>
      </c>
      <c r="T2724" s="331">
        <v>0</v>
      </c>
      <c r="U2724" s="328">
        <f>VLOOKUP(C2724,METADATA!$J$5:$Q$29,IF(E2724="HI",2,IF(E2724="LO",6,10))+IF(T2724=1,2,IF(D2724=7,1,(IF(WEEKDAY(B2724)=1,2,IF(WEEKDAY(B2724)=7,1,0))))))</f>
        <v>1</v>
      </c>
      <c r="V2724" s="328">
        <f>VLOOKUP(C2724,METADATA!$A$5:$H$29,IF(E2724="HI",2,IF(E2724="LO",6,10))+IF(T2724=1,2,IF(D2724=7,1,(IF(WEEKDAY(B2724)=1,2,IF(WEEKDAY(B2724)=7,1,0))))))</f>
        <v>1</v>
      </c>
    </row>
    <row r="2725" spans="2:22">
      <c r="B2725" s="318">
        <f t="shared" si="171"/>
        <v>46226</v>
      </c>
      <c r="C2725" s="312">
        <v>9</v>
      </c>
      <c r="D2725" s="368">
        <f>IFERROR((INDEX(METADATA!$T$2:$T$20,MATCH(B2725,METADATA!$S$2:$S$20,0))),0)</f>
        <v>0</v>
      </c>
      <c r="E2725" s="312" t="str">
        <f t="shared" si="168"/>
        <v>LO</v>
      </c>
      <c r="F2725" s="369">
        <f>VLOOKUP(C2725,METADATA!$A$5:$H$29,IF(E2725="HI",2,IF(E2725="LO",6,10))+IF(D2725=1,2,IF(D2725=7,1,(IF(WEEKDAY(B2725)=1,2,IF(WEEKDAY(B2725)=7,1,0))))))</f>
        <v>2</v>
      </c>
      <c r="G2725" s="369">
        <f>VLOOKUP(C2725,METADATA!$J$5:$Q$29,IF(E2725="HI",2,IF(E2725="LO",6,10))+IF(D2725=1,2,IF(D2725=7,1,(IF(WEEKDAY(B2725)=1,2,IF(WEEKDAY(B2725)=7,1,0))))))</f>
        <v>2</v>
      </c>
      <c r="H2725" s="370">
        <v>13675.325561523438</v>
      </c>
      <c r="I2725" s="370">
        <v>4253.6300048828125</v>
      </c>
      <c r="M2725" s="371">
        <f t="shared" si="169"/>
        <v>14321.588509383157</v>
      </c>
      <c r="N2725" s="329">
        <f t="shared" si="170"/>
        <v>151.03233642578107</v>
      </c>
      <c r="T2725" s="331">
        <v>0</v>
      </c>
      <c r="U2725" s="328">
        <f>VLOOKUP(C2725,METADATA!$J$5:$Q$29,IF(E2725="HI",2,IF(E2725="LO",6,10))+IF(T2725=1,2,IF(D2725=7,1,(IF(WEEKDAY(B2725)=1,2,IF(WEEKDAY(B2725)=7,1,0))))))</f>
        <v>2</v>
      </c>
      <c r="V2725" s="328">
        <f>VLOOKUP(C2725,METADATA!$A$5:$H$29,IF(E2725="HI",2,IF(E2725="LO",6,10))+IF(T2725=1,2,IF(D2725=7,1,(IF(WEEKDAY(B2725)=1,2,IF(WEEKDAY(B2725)=7,1,0))))))</f>
        <v>2</v>
      </c>
    </row>
    <row r="2726" spans="2:22">
      <c r="B2726" s="318">
        <f t="shared" si="171"/>
        <v>46226</v>
      </c>
      <c r="C2726" s="312">
        <v>10</v>
      </c>
      <c r="D2726" s="368">
        <f>IFERROR((INDEX(METADATA!$T$2:$T$20,MATCH(B2726,METADATA!$S$2:$S$20,0))),0)</f>
        <v>0</v>
      </c>
      <c r="E2726" s="312" t="str">
        <f t="shared" si="168"/>
        <v>LO</v>
      </c>
      <c r="F2726" s="369">
        <f>VLOOKUP(C2726,METADATA!$A$5:$H$29,IF(E2726="HI",2,IF(E2726="LO",6,10))+IF(D2726=1,2,IF(D2726=7,1,(IF(WEEKDAY(B2726)=1,2,IF(WEEKDAY(B2726)=7,1,0))))))</f>
        <v>2</v>
      </c>
      <c r="G2726" s="369">
        <f>VLOOKUP(C2726,METADATA!$J$5:$Q$29,IF(E2726="HI",2,IF(E2726="LO",6,10))+IF(D2726=1,2,IF(D2726=7,1,(IF(WEEKDAY(B2726)=1,2,IF(WEEKDAY(B2726)=7,1,0))))))</f>
        <v>2</v>
      </c>
      <c r="H2726" s="370">
        <v>12236.149719238281</v>
      </c>
      <c r="I2726" s="370">
        <v>3485.0474853515625</v>
      </c>
      <c r="M2726" s="371">
        <f t="shared" si="169"/>
        <v>12722.771550521935</v>
      </c>
      <c r="N2726" s="329">
        <f t="shared" si="170"/>
        <v>0</v>
      </c>
      <c r="T2726" s="331">
        <v>0</v>
      </c>
      <c r="U2726" s="328">
        <f>VLOOKUP(C2726,METADATA!$J$5:$Q$29,IF(E2726="HI",2,IF(E2726="LO",6,10))+IF(T2726=1,2,IF(D2726=7,1,(IF(WEEKDAY(B2726)=1,2,IF(WEEKDAY(B2726)=7,1,0))))))</f>
        <v>2</v>
      </c>
      <c r="V2726" s="328">
        <f>VLOOKUP(C2726,METADATA!$A$5:$H$29,IF(E2726="HI",2,IF(E2726="LO",6,10))+IF(T2726=1,2,IF(D2726=7,1,(IF(WEEKDAY(B2726)=1,2,IF(WEEKDAY(B2726)=7,1,0))))))</f>
        <v>2</v>
      </c>
    </row>
    <row r="2727" spans="2:22">
      <c r="B2727" s="318">
        <f t="shared" si="171"/>
        <v>46226</v>
      </c>
      <c r="C2727" s="312">
        <v>11</v>
      </c>
      <c r="D2727" s="368">
        <f>IFERROR((INDEX(METADATA!$T$2:$T$20,MATCH(B2727,METADATA!$S$2:$S$20,0))),0)</f>
        <v>0</v>
      </c>
      <c r="E2727" s="312" t="str">
        <f t="shared" si="168"/>
        <v>LO</v>
      </c>
      <c r="F2727" s="369">
        <f>VLOOKUP(C2727,METADATA!$A$5:$H$29,IF(E2727="HI",2,IF(E2727="LO",6,10))+IF(D2727=1,2,IF(D2727=7,1,(IF(WEEKDAY(B2727)=1,2,IF(WEEKDAY(B2727)=7,1,0))))))</f>
        <v>2</v>
      </c>
      <c r="G2727" s="369">
        <f>VLOOKUP(C2727,METADATA!$J$5:$Q$29,IF(E2727="HI",2,IF(E2727="LO",6,10))+IF(D2727=1,2,IF(D2727=7,1,(IF(WEEKDAY(B2727)=1,2,IF(WEEKDAY(B2727)=7,1,0))))))</f>
        <v>2</v>
      </c>
      <c r="H2727" s="370">
        <v>13534.575561523438</v>
      </c>
      <c r="I2727" s="370">
        <v>4220.0949401855469</v>
      </c>
      <c r="M2727" s="371">
        <f t="shared" si="169"/>
        <v>14177.233049321265</v>
      </c>
      <c r="N2727" s="329">
        <f t="shared" si="170"/>
        <v>159.72227172851581</v>
      </c>
      <c r="T2727" s="331">
        <v>0</v>
      </c>
      <c r="U2727" s="328">
        <f>VLOOKUP(C2727,METADATA!$J$5:$Q$29,IF(E2727="HI",2,IF(E2727="LO",6,10))+IF(T2727=1,2,IF(D2727=7,1,(IF(WEEKDAY(B2727)=1,2,IF(WEEKDAY(B2727)=7,1,0))))))</f>
        <v>2</v>
      </c>
      <c r="V2727" s="328">
        <f>VLOOKUP(C2727,METADATA!$A$5:$H$29,IF(E2727="HI",2,IF(E2727="LO",6,10))+IF(T2727=1,2,IF(D2727=7,1,(IF(WEEKDAY(B2727)=1,2,IF(WEEKDAY(B2727)=7,1,0))))))</f>
        <v>2</v>
      </c>
    </row>
    <row r="2728" spans="2:22">
      <c r="B2728" s="318">
        <f t="shared" si="171"/>
        <v>46226</v>
      </c>
      <c r="C2728" s="312">
        <v>12</v>
      </c>
      <c r="D2728" s="368">
        <f>IFERROR((INDEX(METADATA!$T$2:$T$20,MATCH(B2728,METADATA!$S$2:$S$20,0))),0)</f>
        <v>0</v>
      </c>
      <c r="E2728" s="312" t="str">
        <f t="shared" si="168"/>
        <v>LO</v>
      </c>
      <c r="F2728" s="369">
        <f>VLOOKUP(C2728,METADATA!$A$5:$H$29,IF(E2728="HI",2,IF(E2728="LO",6,10))+IF(D2728=1,2,IF(D2728=7,1,(IF(WEEKDAY(B2728)=1,2,IF(WEEKDAY(B2728)=7,1,0))))))</f>
        <v>2</v>
      </c>
      <c r="G2728" s="369">
        <f>VLOOKUP(C2728,METADATA!$J$5:$Q$29,IF(E2728="HI",2,IF(E2728="LO",6,10))+IF(D2728=1,2,IF(D2728=7,1,(IF(WEEKDAY(B2728)=1,2,IF(WEEKDAY(B2728)=7,1,0))))))</f>
        <v>2</v>
      </c>
      <c r="H2728" s="370">
        <v>13769.049865722656</v>
      </c>
      <c r="I2728" s="370">
        <v>4392.4949645996094</v>
      </c>
      <c r="M2728" s="371">
        <f t="shared" si="169"/>
        <v>14452.707228017525</v>
      </c>
      <c r="N2728" s="329">
        <f t="shared" si="170"/>
        <v>261.78000488281305</v>
      </c>
      <c r="T2728" s="331">
        <v>0</v>
      </c>
      <c r="U2728" s="328">
        <f>VLOOKUP(C2728,METADATA!$J$5:$Q$29,IF(E2728="HI",2,IF(E2728="LO",6,10))+IF(T2728=1,2,IF(D2728=7,1,(IF(WEEKDAY(B2728)=1,2,IF(WEEKDAY(B2728)=7,1,0))))))</f>
        <v>2</v>
      </c>
      <c r="V2728" s="328">
        <f>VLOOKUP(C2728,METADATA!$A$5:$H$29,IF(E2728="HI",2,IF(E2728="LO",6,10))+IF(T2728=1,2,IF(D2728=7,1,(IF(WEEKDAY(B2728)=1,2,IF(WEEKDAY(B2728)=7,1,0))))))</f>
        <v>2</v>
      </c>
    </row>
    <row r="2729" spans="2:22">
      <c r="B2729" s="318">
        <f t="shared" si="171"/>
        <v>46226</v>
      </c>
      <c r="C2729" s="312">
        <v>13</v>
      </c>
      <c r="D2729" s="368">
        <f>IFERROR((INDEX(METADATA!$T$2:$T$20,MATCH(B2729,METADATA!$S$2:$S$20,0))),0)</f>
        <v>0</v>
      </c>
      <c r="E2729" s="312" t="str">
        <f t="shared" si="168"/>
        <v>LO</v>
      </c>
      <c r="F2729" s="369">
        <f>VLOOKUP(C2729,METADATA!$A$5:$H$29,IF(E2729="HI",2,IF(E2729="LO",6,10))+IF(D2729=1,2,IF(D2729=7,1,(IF(WEEKDAY(B2729)=1,2,IF(WEEKDAY(B2729)=7,1,0))))))</f>
        <v>2</v>
      </c>
      <c r="G2729" s="369">
        <f>VLOOKUP(C2729,METADATA!$J$5:$Q$29,IF(E2729="HI",2,IF(E2729="LO",6,10))+IF(D2729=1,2,IF(D2729=7,1,(IF(WEEKDAY(B2729)=1,2,IF(WEEKDAY(B2729)=7,1,0))))))</f>
        <v>2</v>
      </c>
      <c r="H2729" s="370">
        <v>13526.35009765625</v>
      </c>
      <c r="I2729" s="370">
        <v>4405.14501953125</v>
      </c>
      <c r="M2729" s="371">
        <f t="shared" si="169"/>
        <v>14225.591362311312</v>
      </c>
      <c r="N2729" s="329">
        <f t="shared" si="170"/>
        <v>347.239990234375</v>
      </c>
      <c r="T2729" s="331">
        <v>0</v>
      </c>
      <c r="U2729" s="328">
        <f>VLOOKUP(C2729,METADATA!$J$5:$Q$29,IF(E2729="HI",2,IF(E2729="LO",6,10))+IF(T2729=1,2,IF(D2729=7,1,(IF(WEEKDAY(B2729)=1,2,IF(WEEKDAY(B2729)=7,1,0))))))</f>
        <v>2</v>
      </c>
      <c r="V2729" s="328">
        <f>VLOOKUP(C2729,METADATA!$A$5:$H$29,IF(E2729="HI",2,IF(E2729="LO",6,10))+IF(T2729=1,2,IF(D2729=7,1,(IF(WEEKDAY(B2729)=1,2,IF(WEEKDAY(B2729)=7,1,0))))))</f>
        <v>2</v>
      </c>
    </row>
    <row r="2730" spans="2:22">
      <c r="B2730" s="318">
        <f t="shared" si="171"/>
        <v>46226</v>
      </c>
      <c r="C2730" s="312">
        <v>14</v>
      </c>
      <c r="D2730" s="368">
        <f>IFERROR((INDEX(METADATA!$T$2:$T$20,MATCH(B2730,METADATA!$S$2:$S$20,0))),0)</f>
        <v>0</v>
      </c>
      <c r="E2730" s="312" t="str">
        <f t="shared" si="168"/>
        <v>LO</v>
      </c>
      <c r="F2730" s="369">
        <f>VLOOKUP(C2730,METADATA!$A$5:$H$29,IF(E2730="HI",2,IF(E2730="LO",6,10))+IF(D2730=1,2,IF(D2730=7,1,(IF(WEEKDAY(B2730)=1,2,IF(WEEKDAY(B2730)=7,1,0))))))</f>
        <v>2</v>
      </c>
      <c r="G2730" s="369">
        <f>VLOOKUP(C2730,METADATA!$J$5:$Q$29,IF(E2730="HI",2,IF(E2730="LO",6,10))+IF(D2730=1,2,IF(D2730=7,1,(IF(WEEKDAY(B2730)=1,2,IF(WEEKDAY(B2730)=7,1,0))))))</f>
        <v>2</v>
      </c>
      <c r="H2730" s="370">
        <v>13388.499633789063</v>
      </c>
      <c r="I2730" s="370">
        <v>4324.679931640625</v>
      </c>
      <c r="M2730" s="371">
        <f t="shared" si="169"/>
        <v>14069.640327851492</v>
      </c>
      <c r="N2730" s="329">
        <f t="shared" si="170"/>
        <v>308.13004150390634</v>
      </c>
      <c r="T2730" s="331">
        <v>0</v>
      </c>
      <c r="U2730" s="328">
        <f>VLOOKUP(C2730,METADATA!$J$5:$Q$29,IF(E2730="HI",2,IF(E2730="LO",6,10))+IF(T2730=1,2,IF(D2730=7,1,(IF(WEEKDAY(B2730)=1,2,IF(WEEKDAY(B2730)=7,1,0))))))</f>
        <v>2</v>
      </c>
      <c r="V2730" s="328">
        <f>VLOOKUP(C2730,METADATA!$A$5:$H$29,IF(E2730="HI",2,IF(E2730="LO",6,10))+IF(T2730=1,2,IF(D2730=7,1,(IF(WEEKDAY(B2730)=1,2,IF(WEEKDAY(B2730)=7,1,0))))))</f>
        <v>2</v>
      </c>
    </row>
    <row r="2731" spans="2:22">
      <c r="B2731" s="318">
        <f t="shared" si="171"/>
        <v>46226</v>
      </c>
      <c r="C2731" s="312">
        <v>15</v>
      </c>
      <c r="D2731" s="368">
        <f>IFERROR((INDEX(METADATA!$T$2:$T$20,MATCH(B2731,METADATA!$S$2:$S$20,0))),0)</f>
        <v>0</v>
      </c>
      <c r="E2731" s="312" t="str">
        <f t="shared" si="168"/>
        <v>LO</v>
      </c>
      <c r="F2731" s="369">
        <f>VLOOKUP(C2731,METADATA!$A$5:$H$29,IF(E2731="HI",2,IF(E2731="LO",6,10))+IF(D2731=1,2,IF(D2731=7,1,(IF(WEEKDAY(B2731)=1,2,IF(WEEKDAY(B2731)=7,1,0))))))</f>
        <v>2</v>
      </c>
      <c r="G2731" s="369">
        <f>VLOOKUP(C2731,METADATA!$J$5:$Q$29,IF(E2731="HI",2,IF(E2731="LO",6,10))+IF(D2731=1,2,IF(D2731=7,1,(IF(WEEKDAY(B2731)=1,2,IF(WEEKDAY(B2731)=7,1,0))))))</f>
        <v>2</v>
      </c>
      <c r="H2731" s="370">
        <v>13457.874877929688</v>
      </c>
      <c r="I2731" s="370">
        <v>4409.5750732421875</v>
      </c>
      <c r="M2731" s="371">
        <f t="shared" si="169"/>
        <v>14161.876590218184</v>
      </c>
      <c r="N2731" s="329">
        <f t="shared" si="170"/>
        <v>372.21260986328161</v>
      </c>
      <c r="T2731" s="331">
        <v>0</v>
      </c>
      <c r="U2731" s="328">
        <f>VLOOKUP(C2731,METADATA!$J$5:$Q$29,IF(E2731="HI",2,IF(E2731="LO",6,10))+IF(T2731=1,2,IF(D2731=7,1,(IF(WEEKDAY(B2731)=1,2,IF(WEEKDAY(B2731)=7,1,0))))))</f>
        <v>2</v>
      </c>
      <c r="V2731" s="328">
        <f>VLOOKUP(C2731,METADATA!$A$5:$H$29,IF(E2731="HI",2,IF(E2731="LO",6,10))+IF(T2731=1,2,IF(D2731=7,1,(IF(WEEKDAY(B2731)=1,2,IF(WEEKDAY(B2731)=7,1,0))))))</f>
        <v>2</v>
      </c>
    </row>
    <row r="2732" spans="2:22">
      <c r="B2732" s="318">
        <f t="shared" si="171"/>
        <v>46226</v>
      </c>
      <c r="C2732" s="312">
        <v>16</v>
      </c>
      <c r="D2732" s="368">
        <f>IFERROR((INDEX(METADATA!$T$2:$T$20,MATCH(B2732,METADATA!$S$2:$S$20,0))),0)</f>
        <v>0</v>
      </c>
      <c r="E2732" s="312" t="str">
        <f t="shared" si="168"/>
        <v>LO</v>
      </c>
      <c r="F2732" s="369">
        <f>VLOOKUP(C2732,METADATA!$A$5:$H$29,IF(E2732="HI",2,IF(E2732="LO",6,10))+IF(D2732=1,2,IF(D2732=7,1,(IF(WEEKDAY(B2732)=1,2,IF(WEEKDAY(B2732)=7,1,0))))))</f>
        <v>2</v>
      </c>
      <c r="G2732" s="369">
        <f>VLOOKUP(C2732,METADATA!$J$5:$Q$29,IF(E2732="HI",2,IF(E2732="LO",6,10))+IF(D2732=1,2,IF(D2732=7,1,(IF(WEEKDAY(B2732)=1,2,IF(WEEKDAY(B2732)=7,1,0))))))</f>
        <v>2</v>
      </c>
      <c r="H2732" s="370">
        <v>13538.474914550781</v>
      </c>
      <c r="I2732" s="370">
        <v>4447.5949401855469</v>
      </c>
      <c r="M2732" s="371">
        <f t="shared" si="169"/>
        <v>14250.312409343342</v>
      </c>
      <c r="N2732" s="329">
        <f t="shared" si="170"/>
        <v>386.05246582031259</v>
      </c>
      <c r="T2732" s="331">
        <v>0</v>
      </c>
      <c r="U2732" s="328">
        <f>VLOOKUP(C2732,METADATA!$J$5:$Q$29,IF(E2732="HI",2,IF(E2732="LO",6,10))+IF(T2732=1,2,IF(D2732=7,1,(IF(WEEKDAY(B2732)=1,2,IF(WEEKDAY(B2732)=7,1,0))))))</f>
        <v>2</v>
      </c>
      <c r="V2732" s="328">
        <f>VLOOKUP(C2732,METADATA!$A$5:$H$29,IF(E2732="HI",2,IF(E2732="LO",6,10))+IF(T2732=1,2,IF(D2732=7,1,(IF(WEEKDAY(B2732)=1,2,IF(WEEKDAY(B2732)=7,1,0))))))</f>
        <v>2</v>
      </c>
    </row>
    <row r="2733" spans="2:22">
      <c r="B2733" s="318">
        <f t="shared" si="171"/>
        <v>46226</v>
      </c>
      <c r="C2733" s="312">
        <v>17</v>
      </c>
      <c r="D2733" s="368">
        <f>IFERROR((INDEX(METADATA!$T$2:$T$20,MATCH(B2733,METADATA!$S$2:$S$20,0))),0)</f>
        <v>0</v>
      </c>
      <c r="E2733" s="312" t="str">
        <f t="shared" si="168"/>
        <v>LO</v>
      </c>
      <c r="F2733" s="369">
        <f>VLOOKUP(C2733,METADATA!$A$5:$H$29,IF(E2733="HI",2,IF(E2733="LO",6,10))+IF(D2733=1,2,IF(D2733=7,1,(IF(WEEKDAY(B2733)=1,2,IF(WEEKDAY(B2733)=7,1,0))))))</f>
        <v>2</v>
      </c>
      <c r="G2733" s="369">
        <f>VLOOKUP(C2733,METADATA!$J$5:$Q$29,IF(E2733="HI",2,IF(E2733="LO",6,10))+IF(D2733=1,2,IF(D2733=7,1,(IF(WEEKDAY(B2733)=1,2,IF(WEEKDAY(B2733)=7,1,0))))))</f>
        <v>2</v>
      </c>
      <c r="H2733" s="370">
        <v>13666.474853515625</v>
      </c>
      <c r="I2733" s="370">
        <v>4369.3050537109375</v>
      </c>
      <c r="M2733" s="371">
        <f t="shared" si="169"/>
        <v>14347.939279706994</v>
      </c>
      <c r="N2733" s="329">
        <f t="shared" si="170"/>
        <v>269.36259765624982</v>
      </c>
      <c r="T2733" s="331">
        <v>0</v>
      </c>
      <c r="U2733" s="328">
        <f>VLOOKUP(C2733,METADATA!$J$5:$Q$29,IF(E2733="HI",2,IF(E2733="LO",6,10))+IF(T2733=1,2,IF(D2733=7,1,(IF(WEEKDAY(B2733)=1,2,IF(WEEKDAY(B2733)=7,1,0))))))</f>
        <v>2</v>
      </c>
      <c r="V2733" s="328">
        <f>VLOOKUP(C2733,METADATA!$A$5:$H$29,IF(E2733="HI",2,IF(E2733="LO",6,10))+IF(T2733=1,2,IF(D2733=7,1,(IF(WEEKDAY(B2733)=1,2,IF(WEEKDAY(B2733)=7,1,0))))))</f>
        <v>2</v>
      </c>
    </row>
    <row r="2734" spans="2:22">
      <c r="B2734" s="318">
        <f t="shared" si="171"/>
        <v>46226</v>
      </c>
      <c r="C2734" s="312">
        <v>18</v>
      </c>
      <c r="D2734" s="368">
        <f>IFERROR((INDEX(METADATA!$T$2:$T$20,MATCH(B2734,METADATA!$S$2:$S$20,0))),0)</f>
        <v>0</v>
      </c>
      <c r="E2734" s="312" t="str">
        <f t="shared" si="168"/>
        <v>LO</v>
      </c>
      <c r="F2734" s="369">
        <f>VLOOKUP(C2734,METADATA!$A$5:$H$29,IF(E2734="HI",2,IF(E2734="LO",6,10))+IF(D2734=1,2,IF(D2734=7,1,(IF(WEEKDAY(B2734)=1,2,IF(WEEKDAY(B2734)=7,1,0))))))</f>
        <v>1</v>
      </c>
      <c r="G2734" s="369">
        <f>VLOOKUP(C2734,METADATA!$J$5:$Q$29,IF(E2734="HI",2,IF(E2734="LO",6,10))+IF(D2734=1,2,IF(D2734=7,1,(IF(WEEKDAY(B2734)=1,2,IF(WEEKDAY(B2734)=7,1,0))))))</f>
        <v>1</v>
      </c>
      <c r="H2734" s="370">
        <v>13572.024658203125</v>
      </c>
      <c r="I2734" s="370">
        <v>4227.0650329589844</v>
      </c>
      <c r="M2734" s="371">
        <f t="shared" si="169"/>
        <v>14215.060046153101</v>
      </c>
      <c r="N2734" s="329">
        <f t="shared" si="170"/>
        <v>155.45763549804724</v>
      </c>
      <c r="T2734" s="331">
        <v>0</v>
      </c>
      <c r="U2734" s="328">
        <f>VLOOKUP(C2734,METADATA!$J$5:$Q$29,IF(E2734="HI",2,IF(E2734="LO",6,10))+IF(T2734=1,2,IF(D2734=7,1,(IF(WEEKDAY(B2734)=1,2,IF(WEEKDAY(B2734)=7,1,0))))))</f>
        <v>1</v>
      </c>
      <c r="V2734" s="328">
        <f>VLOOKUP(C2734,METADATA!$A$5:$H$29,IF(E2734="HI",2,IF(E2734="LO",6,10))+IF(T2734=1,2,IF(D2734=7,1,(IF(WEEKDAY(B2734)=1,2,IF(WEEKDAY(B2734)=7,1,0))))))</f>
        <v>1</v>
      </c>
    </row>
    <row r="2735" spans="2:22">
      <c r="B2735" s="318">
        <f t="shared" si="171"/>
        <v>46226</v>
      </c>
      <c r="C2735" s="312">
        <v>19</v>
      </c>
      <c r="D2735" s="368">
        <f>IFERROR((INDEX(METADATA!$T$2:$T$20,MATCH(B2735,METADATA!$S$2:$S$20,0))),0)</f>
        <v>0</v>
      </c>
      <c r="E2735" s="312" t="str">
        <f t="shared" si="168"/>
        <v>LO</v>
      </c>
      <c r="F2735" s="369">
        <f>VLOOKUP(C2735,METADATA!$A$5:$H$29,IF(E2735="HI",2,IF(E2735="LO",6,10))+IF(D2735=1,2,IF(D2735=7,1,(IF(WEEKDAY(B2735)=1,2,IF(WEEKDAY(B2735)=7,1,0))))))</f>
        <v>1</v>
      </c>
      <c r="G2735" s="369">
        <f>VLOOKUP(C2735,METADATA!$J$5:$Q$29,IF(E2735="HI",2,IF(E2735="LO",6,10))+IF(D2735=1,2,IF(D2735=7,1,(IF(WEEKDAY(B2735)=1,2,IF(WEEKDAY(B2735)=7,1,0))))))</f>
        <v>1</v>
      </c>
      <c r="H2735" s="370">
        <v>13594.949951171875</v>
      </c>
      <c r="I2735" s="370">
        <v>4431.43994140625</v>
      </c>
      <c r="M2735" s="371">
        <f t="shared" si="169"/>
        <v>14298.962344490554</v>
      </c>
      <c r="N2735" s="329">
        <f t="shared" si="170"/>
        <v>352.9549560546875</v>
      </c>
      <c r="T2735" s="331">
        <v>0</v>
      </c>
      <c r="U2735" s="328">
        <f>VLOOKUP(C2735,METADATA!$J$5:$Q$29,IF(E2735="HI",2,IF(E2735="LO",6,10))+IF(T2735=1,2,IF(D2735=7,1,(IF(WEEKDAY(B2735)=1,2,IF(WEEKDAY(B2735)=7,1,0))))))</f>
        <v>1</v>
      </c>
      <c r="V2735" s="328">
        <f>VLOOKUP(C2735,METADATA!$A$5:$H$29,IF(E2735="HI",2,IF(E2735="LO",6,10))+IF(T2735=1,2,IF(D2735=7,1,(IF(WEEKDAY(B2735)=1,2,IF(WEEKDAY(B2735)=7,1,0))))))</f>
        <v>1</v>
      </c>
    </row>
    <row r="2736" spans="2:22">
      <c r="B2736" s="318">
        <f t="shared" si="171"/>
        <v>46226</v>
      </c>
      <c r="C2736" s="312">
        <v>20</v>
      </c>
      <c r="D2736" s="368">
        <f>IFERROR((INDEX(METADATA!$T$2:$T$20,MATCH(B2736,METADATA!$S$2:$S$20,0))),0)</f>
        <v>0</v>
      </c>
      <c r="E2736" s="312" t="str">
        <f t="shared" si="168"/>
        <v>LO</v>
      </c>
      <c r="F2736" s="369">
        <f>VLOOKUP(C2736,METADATA!$A$5:$H$29,IF(E2736="HI",2,IF(E2736="LO",6,10))+IF(D2736=1,2,IF(D2736=7,1,(IF(WEEKDAY(B2736)=1,2,IF(WEEKDAY(B2736)=7,1,0))))))</f>
        <v>1</v>
      </c>
      <c r="G2736" s="369">
        <f>VLOOKUP(C2736,METADATA!$J$5:$Q$29,IF(E2736="HI",2,IF(E2736="LO",6,10))+IF(D2736=1,2,IF(D2736=7,1,(IF(WEEKDAY(B2736)=1,2,IF(WEEKDAY(B2736)=7,1,0))))))</f>
        <v>1</v>
      </c>
      <c r="H2736" s="370">
        <v>13695.749816894531</v>
      </c>
      <c r="I2736" s="370">
        <v>4568.0249633789063</v>
      </c>
      <c r="M2736" s="371">
        <f t="shared" si="169"/>
        <v>14437.465674868959</v>
      </c>
      <c r="N2736" s="329">
        <f t="shared" si="170"/>
        <v>459.30001831054688</v>
      </c>
      <c r="T2736" s="331">
        <v>0</v>
      </c>
      <c r="U2736" s="328">
        <f>VLOOKUP(C2736,METADATA!$J$5:$Q$29,IF(E2736="HI",2,IF(E2736="LO",6,10))+IF(T2736=1,2,IF(D2736=7,1,(IF(WEEKDAY(B2736)=1,2,IF(WEEKDAY(B2736)=7,1,0))))))</f>
        <v>1</v>
      </c>
      <c r="V2736" s="328">
        <f>VLOOKUP(C2736,METADATA!$A$5:$H$29,IF(E2736="HI",2,IF(E2736="LO",6,10))+IF(T2736=1,2,IF(D2736=7,1,(IF(WEEKDAY(B2736)=1,2,IF(WEEKDAY(B2736)=7,1,0))))))</f>
        <v>1</v>
      </c>
    </row>
    <row r="2737" spans="2:22">
      <c r="B2737" s="318">
        <f t="shared" si="171"/>
        <v>46226</v>
      </c>
      <c r="C2737" s="312">
        <v>21</v>
      </c>
      <c r="D2737" s="368">
        <f>IFERROR((INDEX(METADATA!$T$2:$T$20,MATCH(B2737,METADATA!$S$2:$S$20,0))),0)</f>
        <v>0</v>
      </c>
      <c r="E2737" s="312" t="str">
        <f t="shared" si="168"/>
        <v>LO</v>
      </c>
      <c r="F2737" s="369">
        <f>VLOOKUP(C2737,METADATA!$A$5:$H$29,IF(E2737="HI",2,IF(E2737="LO",6,10))+IF(D2737=1,2,IF(D2737=7,1,(IF(WEEKDAY(B2737)=1,2,IF(WEEKDAY(B2737)=7,1,0))))))</f>
        <v>2</v>
      </c>
      <c r="G2737" s="369">
        <f>VLOOKUP(C2737,METADATA!$J$5:$Q$29,IF(E2737="HI",2,IF(E2737="LO",6,10))+IF(D2737=1,2,IF(D2737=7,1,(IF(WEEKDAY(B2737)=1,2,IF(WEEKDAY(B2737)=7,1,0))))))</f>
        <v>2</v>
      </c>
      <c r="H2737" s="370">
        <v>13657.575012207031</v>
      </c>
      <c r="I2737" s="370">
        <v>4623.8799438476563</v>
      </c>
      <c r="M2737" s="371">
        <f t="shared" si="169"/>
        <v>14419.071431585964</v>
      </c>
      <c r="N2737" s="329">
        <f t="shared" si="170"/>
        <v>526.60744018554669</v>
      </c>
      <c r="T2737" s="331">
        <v>0</v>
      </c>
      <c r="U2737" s="328">
        <f>VLOOKUP(C2737,METADATA!$J$5:$Q$29,IF(E2737="HI",2,IF(E2737="LO",6,10))+IF(T2737=1,2,IF(D2737=7,1,(IF(WEEKDAY(B2737)=1,2,IF(WEEKDAY(B2737)=7,1,0))))))</f>
        <v>2</v>
      </c>
      <c r="V2737" s="328">
        <f>VLOOKUP(C2737,METADATA!$A$5:$H$29,IF(E2737="HI",2,IF(E2737="LO",6,10))+IF(T2737=1,2,IF(D2737=7,1,(IF(WEEKDAY(B2737)=1,2,IF(WEEKDAY(B2737)=7,1,0))))))</f>
        <v>2</v>
      </c>
    </row>
    <row r="2738" spans="2:22">
      <c r="B2738" s="318">
        <f t="shared" si="171"/>
        <v>46226</v>
      </c>
      <c r="C2738" s="312">
        <v>22</v>
      </c>
      <c r="D2738" s="368">
        <f>IFERROR((INDEX(METADATA!$T$2:$T$20,MATCH(B2738,METADATA!$S$2:$S$20,0))),0)</f>
        <v>0</v>
      </c>
      <c r="E2738" s="312" t="str">
        <f t="shared" si="168"/>
        <v>LO</v>
      </c>
      <c r="F2738" s="369">
        <f>VLOOKUP(C2738,METADATA!$A$5:$H$29,IF(E2738="HI",2,IF(E2738="LO",6,10))+IF(D2738=1,2,IF(D2738=7,1,(IF(WEEKDAY(B2738)=1,2,IF(WEEKDAY(B2738)=7,1,0))))))</f>
        <v>3</v>
      </c>
      <c r="G2738" s="369">
        <f>VLOOKUP(C2738,METADATA!$J$5:$Q$29,IF(E2738="HI",2,IF(E2738="LO",6,10))+IF(D2738=1,2,IF(D2738=7,1,(IF(WEEKDAY(B2738)=1,2,IF(WEEKDAY(B2738)=7,1,0))))))</f>
        <v>3</v>
      </c>
      <c r="H2738" s="370">
        <v>13625.774841308594</v>
      </c>
      <c r="I2738" s="370">
        <v>4471.2799682617188</v>
      </c>
      <c r="M2738" s="371">
        <f t="shared" si="169"/>
        <v>14340.644496695981</v>
      </c>
      <c r="N2738" s="329">
        <f t="shared" si="170"/>
        <v>383.54751586914063</v>
      </c>
      <c r="T2738" s="331">
        <v>0</v>
      </c>
      <c r="U2738" s="328">
        <f>VLOOKUP(C2738,METADATA!$J$5:$Q$29,IF(E2738="HI",2,IF(E2738="LO",6,10))+IF(T2738=1,2,IF(D2738=7,1,(IF(WEEKDAY(B2738)=1,2,IF(WEEKDAY(B2738)=7,1,0))))))</f>
        <v>3</v>
      </c>
      <c r="V2738" s="328">
        <f>VLOOKUP(C2738,METADATA!$A$5:$H$29,IF(E2738="HI",2,IF(E2738="LO",6,10))+IF(T2738=1,2,IF(D2738=7,1,(IF(WEEKDAY(B2738)=1,2,IF(WEEKDAY(B2738)=7,1,0))))))</f>
        <v>3</v>
      </c>
    </row>
    <row r="2739" spans="2:22">
      <c r="B2739" s="318">
        <f t="shared" si="171"/>
        <v>46226</v>
      </c>
      <c r="C2739" s="312">
        <v>23</v>
      </c>
      <c r="D2739" s="368">
        <f>IFERROR((INDEX(METADATA!$T$2:$T$20,MATCH(B2739,METADATA!$S$2:$S$20,0))),0)</f>
        <v>0</v>
      </c>
      <c r="E2739" s="312" t="str">
        <f t="shared" si="168"/>
        <v>LO</v>
      </c>
      <c r="F2739" s="369">
        <f>VLOOKUP(C2739,METADATA!$A$5:$H$29,IF(E2739="HI",2,IF(E2739="LO",6,10))+IF(D2739=1,2,IF(D2739=7,1,(IF(WEEKDAY(B2739)=1,2,IF(WEEKDAY(B2739)=7,1,0))))))</f>
        <v>3</v>
      </c>
      <c r="G2739" s="369">
        <f>VLOOKUP(C2739,METADATA!$J$5:$Q$29,IF(E2739="HI",2,IF(E2739="LO",6,10))+IF(D2739=1,2,IF(D2739=7,1,(IF(WEEKDAY(B2739)=1,2,IF(WEEKDAY(B2739)=7,1,0))))))</f>
        <v>3</v>
      </c>
      <c r="H2739" s="370">
        <v>13619.949890136719</v>
      </c>
      <c r="I2739" s="370">
        <v>4689.2449340820313</v>
      </c>
      <c r="M2739" s="371">
        <f t="shared" si="169"/>
        <v>14404.584445989729</v>
      </c>
      <c r="N2739" s="329">
        <f t="shared" si="170"/>
        <v>603.2599670410159</v>
      </c>
      <c r="T2739" s="331">
        <v>0</v>
      </c>
      <c r="U2739" s="328">
        <f>VLOOKUP(C2739,METADATA!$J$5:$Q$29,IF(E2739="HI",2,IF(E2739="LO",6,10))+IF(T2739=1,2,IF(D2739=7,1,(IF(WEEKDAY(B2739)=1,2,IF(WEEKDAY(B2739)=7,1,0))))))</f>
        <v>3</v>
      </c>
      <c r="V2739" s="328">
        <f>VLOOKUP(C2739,METADATA!$A$5:$H$29,IF(E2739="HI",2,IF(E2739="LO",6,10))+IF(T2739=1,2,IF(D2739=7,1,(IF(WEEKDAY(B2739)=1,2,IF(WEEKDAY(B2739)=7,1,0))))))</f>
        <v>3</v>
      </c>
    </row>
    <row r="2740" spans="2:22">
      <c r="B2740" s="318">
        <f t="shared" si="171"/>
        <v>46227</v>
      </c>
      <c r="C2740" s="312">
        <v>0</v>
      </c>
      <c r="D2740" s="368">
        <f>IFERROR((INDEX(METADATA!$T$2:$T$20,MATCH(B2740,METADATA!$S$2:$S$20,0))),0)</f>
        <v>0</v>
      </c>
      <c r="E2740" s="312" t="str">
        <f t="shared" si="168"/>
        <v>LO</v>
      </c>
      <c r="F2740" s="369">
        <f>VLOOKUP(C2740,METADATA!$A$5:$H$29,IF(E2740="HI",2,IF(E2740="LO",6,10))+IF(D2740=1,2,IF(D2740=7,1,(IF(WEEKDAY(B2740)=1,2,IF(WEEKDAY(B2740)=7,1,0))))))</f>
        <v>3</v>
      </c>
      <c r="G2740" s="369">
        <f>VLOOKUP(C2740,METADATA!$J$5:$Q$29,IF(E2740="HI",2,IF(E2740="LO",6,10))+IF(D2740=1,2,IF(D2740=7,1,(IF(WEEKDAY(B2740)=1,2,IF(WEEKDAY(B2740)=7,1,0))))))</f>
        <v>3</v>
      </c>
      <c r="H2740" s="370">
        <v>13630.674682617188</v>
      </c>
      <c r="I2740" s="370">
        <v>4553.2649230957031</v>
      </c>
      <c r="M2740" s="371">
        <f t="shared" si="169"/>
        <v>14371.06515757391</v>
      </c>
      <c r="N2740" s="329">
        <f t="shared" si="170"/>
        <v>464.06251831054715</v>
      </c>
      <c r="T2740" s="331">
        <v>0</v>
      </c>
      <c r="U2740" s="328">
        <f>VLOOKUP(C2740,METADATA!$J$5:$Q$29,IF(E2740="HI",2,IF(E2740="LO",6,10))+IF(T2740=1,2,IF(D2740=7,1,(IF(WEEKDAY(B2740)=1,2,IF(WEEKDAY(B2740)=7,1,0))))))</f>
        <v>3</v>
      </c>
      <c r="V2740" s="328">
        <f>VLOOKUP(C2740,METADATA!$A$5:$H$29,IF(E2740="HI",2,IF(E2740="LO",6,10))+IF(T2740=1,2,IF(D2740=7,1,(IF(WEEKDAY(B2740)=1,2,IF(WEEKDAY(B2740)=7,1,0))))))</f>
        <v>3</v>
      </c>
    </row>
    <row r="2741" spans="2:22">
      <c r="B2741" s="318">
        <f t="shared" si="171"/>
        <v>46227</v>
      </c>
      <c r="C2741" s="312">
        <v>1</v>
      </c>
      <c r="D2741" s="368">
        <f>IFERROR((INDEX(METADATA!$T$2:$T$20,MATCH(B2741,METADATA!$S$2:$S$20,0))),0)</f>
        <v>0</v>
      </c>
      <c r="E2741" s="312" t="str">
        <f t="shared" si="168"/>
        <v>LO</v>
      </c>
      <c r="F2741" s="369">
        <f>VLOOKUP(C2741,METADATA!$A$5:$H$29,IF(E2741="HI",2,IF(E2741="LO",6,10))+IF(D2741=1,2,IF(D2741=7,1,(IF(WEEKDAY(B2741)=1,2,IF(WEEKDAY(B2741)=7,1,0))))))</f>
        <v>3</v>
      </c>
      <c r="G2741" s="369">
        <f>VLOOKUP(C2741,METADATA!$J$5:$Q$29,IF(E2741="HI",2,IF(E2741="LO",6,10))+IF(D2741=1,2,IF(D2741=7,1,(IF(WEEKDAY(B2741)=1,2,IF(WEEKDAY(B2741)=7,1,0))))))</f>
        <v>3</v>
      </c>
      <c r="H2741" s="370">
        <v>13643.749633789063</v>
      </c>
      <c r="I2741" s="370">
        <v>4514.2550659179688</v>
      </c>
      <c r="M2741" s="371">
        <f t="shared" si="169"/>
        <v>14371.165675396174</v>
      </c>
      <c r="N2741" s="329">
        <f t="shared" si="170"/>
        <v>421.13017578125027</v>
      </c>
      <c r="T2741" s="331">
        <v>0</v>
      </c>
      <c r="U2741" s="328">
        <f>VLOOKUP(C2741,METADATA!$J$5:$Q$29,IF(E2741="HI",2,IF(E2741="LO",6,10))+IF(T2741=1,2,IF(D2741=7,1,(IF(WEEKDAY(B2741)=1,2,IF(WEEKDAY(B2741)=7,1,0))))))</f>
        <v>3</v>
      </c>
      <c r="V2741" s="328">
        <f>VLOOKUP(C2741,METADATA!$A$5:$H$29,IF(E2741="HI",2,IF(E2741="LO",6,10))+IF(T2741=1,2,IF(D2741=7,1,(IF(WEEKDAY(B2741)=1,2,IF(WEEKDAY(B2741)=7,1,0))))))</f>
        <v>3</v>
      </c>
    </row>
    <row r="2742" spans="2:22">
      <c r="B2742" s="318">
        <f t="shared" si="171"/>
        <v>46227</v>
      </c>
      <c r="C2742" s="312">
        <v>2</v>
      </c>
      <c r="D2742" s="368">
        <f>IFERROR((INDEX(METADATA!$T$2:$T$20,MATCH(B2742,METADATA!$S$2:$S$20,0))),0)</f>
        <v>0</v>
      </c>
      <c r="E2742" s="312" t="str">
        <f t="shared" si="168"/>
        <v>LO</v>
      </c>
      <c r="F2742" s="369">
        <f>VLOOKUP(C2742,METADATA!$A$5:$H$29,IF(E2742="HI",2,IF(E2742="LO",6,10))+IF(D2742=1,2,IF(D2742=7,1,(IF(WEEKDAY(B2742)=1,2,IF(WEEKDAY(B2742)=7,1,0))))))</f>
        <v>3</v>
      </c>
      <c r="G2742" s="369">
        <f>VLOOKUP(C2742,METADATA!$J$5:$Q$29,IF(E2742="HI",2,IF(E2742="LO",6,10))+IF(D2742=1,2,IF(D2742=7,1,(IF(WEEKDAY(B2742)=1,2,IF(WEEKDAY(B2742)=7,1,0))))))</f>
        <v>3</v>
      </c>
      <c r="H2742" s="370">
        <v>13610.39990234375</v>
      </c>
      <c r="I2742" s="370">
        <v>4568.6050415039063</v>
      </c>
      <c r="M2742" s="371">
        <f t="shared" si="169"/>
        <v>14356.710539917342</v>
      </c>
      <c r="N2742" s="329">
        <f t="shared" si="170"/>
        <v>485.48507080078161</v>
      </c>
      <c r="T2742" s="331">
        <v>0</v>
      </c>
      <c r="U2742" s="328">
        <f>VLOOKUP(C2742,METADATA!$J$5:$Q$29,IF(E2742="HI",2,IF(E2742="LO",6,10))+IF(T2742=1,2,IF(D2742=7,1,(IF(WEEKDAY(B2742)=1,2,IF(WEEKDAY(B2742)=7,1,0))))))</f>
        <v>3</v>
      </c>
      <c r="V2742" s="328">
        <f>VLOOKUP(C2742,METADATA!$A$5:$H$29,IF(E2742="HI",2,IF(E2742="LO",6,10))+IF(T2742=1,2,IF(D2742=7,1,(IF(WEEKDAY(B2742)=1,2,IF(WEEKDAY(B2742)=7,1,0))))))</f>
        <v>3</v>
      </c>
    </row>
    <row r="2743" spans="2:22">
      <c r="B2743" s="318">
        <f t="shared" si="171"/>
        <v>46227</v>
      </c>
      <c r="C2743" s="312">
        <v>3</v>
      </c>
      <c r="D2743" s="368">
        <f>IFERROR((INDEX(METADATA!$T$2:$T$20,MATCH(B2743,METADATA!$S$2:$S$20,0))),0)</f>
        <v>0</v>
      </c>
      <c r="E2743" s="312" t="str">
        <f t="shared" si="168"/>
        <v>LO</v>
      </c>
      <c r="F2743" s="369">
        <f>VLOOKUP(C2743,METADATA!$A$5:$H$29,IF(E2743="HI",2,IF(E2743="LO",6,10))+IF(D2743=1,2,IF(D2743=7,1,(IF(WEEKDAY(B2743)=1,2,IF(WEEKDAY(B2743)=7,1,0))))))</f>
        <v>3</v>
      </c>
      <c r="G2743" s="369">
        <f>VLOOKUP(C2743,METADATA!$J$5:$Q$29,IF(E2743="HI",2,IF(E2743="LO",6,10))+IF(D2743=1,2,IF(D2743=7,1,(IF(WEEKDAY(B2743)=1,2,IF(WEEKDAY(B2743)=7,1,0))))))</f>
        <v>3</v>
      </c>
      <c r="H2743" s="370">
        <v>13659.6748046875</v>
      </c>
      <c r="I2743" s="370">
        <v>4505.7099914550781</v>
      </c>
      <c r="M2743" s="371">
        <f t="shared" si="169"/>
        <v>14383.606581692668</v>
      </c>
      <c r="N2743" s="329">
        <f t="shared" si="170"/>
        <v>407.80755004882849</v>
      </c>
      <c r="T2743" s="331">
        <v>0</v>
      </c>
      <c r="U2743" s="328">
        <f>VLOOKUP(C2743,METADATA!$J$5:$Q$29,IF(E2743="HI",2,IF(E2743="LO",6,10))+IF(T2743=1,2,IF(D2743=7,1,(IF(WEEKDAY(B2743)=1,2,IF(WEEKDAY(B2743)=7,1,0))))))</f>
        <v>3</v>
      </c>
      <c r="V2743" s="328">
        <f>VLOOKUP(C2743,METADATA!$A$5:$H$29,IF(E2743="HI",2,IF(E2743="LO",6,10))+IF(T2743=1,2,IF(D2743=7,1,(IF(WEEKDAY(B2743)=1,2,IF(WEEKDAY(B2743)=7,1,0))))))</f>
        <v>3</v>
      </c>
    </row>
    <row r="2744" spans="2:22">
      <c r="B2744" s="318">
        <f t="shared" si="171"/>
        <v>46227</v>
      </c>
      <c r="C2744" s="312">
        <v>4</v>
      </c>
      <c r="D2744" s="368">
        <f>IFERROR((INDEX(METADATA!$T$2:$T$20,MATCH(B2744,METADATA!$S$2:$S$20,0))),0)</f>
        <v>0</v>
      </c>
      <c r="E2744" s="312" t="str">
        <f t="shared" si="168"/>
        <v>LO</v>
      </c>
      <c r="F2744" s="369">
        <f>VLOOKUP(C2744,METADATA!$A$5:$H$29,IF(E2744="HI",2,IF(E2744="LO",6,10))+IF(D2744=1,2,IF(D2744=7,1,(IF(WEEKDAY(B2744)=1,2,IF(WEEKDAY(B2744)=7,1,0))))))</f>
        <v>3</v>
      </c>
      <c r="G2744" s="369">
        <f>VLOOKUP(C2744,METADATA!$J$5:$Q$29,IF(E2744="HI",2,IF(E2744="LO",6,10))+IF(D2744=1,2,IF(D2744=7,1,(IF(WEEKDAY(B2744)=1,2,IF(WEEKDAY(B2744)=7,1,0))))))</f>
        <v>3</v>
      </c>
      <c r="H2744" s="370">
        <v>13679.074829101563</v>
      </c>
      <c r="I2744" s="370">
        <v>4489.9399108886719</v>
      </c>
      <c r="M2744" s="371">
        <f t="shared" si="169"/>
        <v>14397.105562700821</v>
      </c>
      <c r="N2744" s="329">
        <f t="shared" si="170"/>
        <v>386.21746215820349</v>
      </c>
      <c r="T2744" s="331">
        <v>0</v>
      </c>
      <c r="U2744" s="328">
        <f>VLOOKUP(C2744,METADATA!$J$5:$Q$29,IF(E2744="HI",2,IF(E2744="LO",6,10))+IF(T2744=1,2,IF(D2744=7,1,(IF(WEEKDAY(B2744)=1,2,IF(WEEKDAY(B2744)=7,1,0))))))</f>
        <v>3</v>
      </c>
      <c r="V2744" s="328">
        <f>VLOOKUP(C2744,METADATA!$A$5:$H$29,IF(E2744="HI",2,IF(E2744="LO",6,10))+IF(T2744=1,2,IF(D2744=7,1,(IF(WEEKDAY(B2744)=1,2,IF(WEEKDAY(B2744)=7,1,0))))))</f>
        <v>3</v>
      </c>
    </row>
    <row r="2745" spans="2:22">
      <c r="B2745" s="318">
        <f t="shared" si="171"/>
        <v>46227</v>
      </c>
      <c r="C2745" s="312">
        <v>5</v>
      </c>
      <c r="D2745" s="368">
        <f>IFERROR((INDEX(METADATA!$T$2:$T$20,MATCH(B2745,METADATA!$S$2:$S$20,0))),0)</f>
        <v>0</v>
      </c>
      <c r="E2745" s="312" t="str">
        <f t="shared" si="168"/>
        <v>LO</v>
      </c>
      <c r="F2745" s="369">
        <f>VLOOKUP(C2745,METADATA!$A$5:$H$29,IF(E2745="HI",2,IF(E2745="LO",6,10))+IF(D2745=1,2,IF(D2745=7,1,(IF(WEEKDAY(B2745)=1,2,IF(WEEKDAY(B2745)=7,1,0))))))</f>
        <v>3</v>
      </c>
      <c r="G2745" s="369">
        <f>VLOOKUP(C2745,METADATA!$J$5:$Q$29,IF(E2745="HI",2,IF(E2745="LO",6,10))+IF(D2745=1,2,IF(D2745=7,1,(IF(WEEKDAY(B2745)=1,2,IF(WEEKDAY(B2745)=7,1,0))))))</f>
        <v>3</v>
      </c>
      <c r="H2745" s="370">
        <v>13687.200073242188</v>
      </c>
      <c r="I2745" s="370">
        <v>4317.9150085449219</v>
      </c>
      <c r="M2745" s="371">
        <f t="shared" si="169"/>
        <v>14352.136979069648</v>
      </c>
      <c r="N2745" s="329">
        <f t="shared" si="170"/>
        <v>211.75498657226581</v>
      </c>
      <c r="T2745" s="331">
        <v>0</v>
      </c>
      <c r="U2745" s="328">
        <f>VLOOKUP(C2745,METADATA!$J$5:$Q$29,IF(E2745="HI",2,IF(E2745="LO",6,10))+IF(T2745=1,2,IF(D2745=7,1,(IF(WEEKDAY(B2745)=1,2,IF(WEEKDAY(B2745)=7,1,0))))))</f>
        <v>3</v>
      </c>
      <c r="V2745" s="328">
        <f>VLOOKUP(C2745,METADATA!$A$5:$H$29,IF(E2745="HI",2,IF(E2745="LO",6,10))+IF(T2745=1,2,IF(D2745=7,1,(IF(WEEKDAY(B2745)=1,2,IF(WEEKDAY(B2745)=7,1,0))))))</f>
        <v>3</v>
      </c>
    </row>
    <row r="2746" spans="2:22">
      <c r="B2746" s="318">
        <f t="shared" si="171"/>
        <v>46227</v>
      </c>
      <c r="C2746" s="312">
        <v>6</v>
      </c>
      <c r="D2746" s="368">
        <f>IFERROR((INDEX(METADATA!$T$2:$T$20,MATCH(B2746,METADATA!$S$2:$S$20,0))),0)</f>
        <v>0</v>
      </c>
      <c r="E2746" s="312" t="str">
        <f t="shared" si="168"/>
        <v>LO</v>
      </c>
      <c r="F2746" s="369">
        <f>VLOOKUP(C2746,METADATA!$A$5:$H$29,IF(E2746="HI",2,IF(E2746="LO",6,10))+IF(D2746=1,2,IF(D2746=7,1,(IF(WEEKDAY(B2746)=1,2,IF(WEEKDAY(B2746)=7,1,0))))))</f>
        <v>2</v>
      </c>
      <c r="G2746" s="369">
        <f>VLOOKUP(C2746,METADATA!$J$5:$Q$29,IF(E2746="HI",2,IF(E2746="LO",6,10))+IF(D2746=1,2,IF(D2746=7,1,(IF(WEEKDAY(B2746)=1,2,IF(WEEKDAY(B2746)=7,1,0))))))</f>
        <v>2</v>
      </c>
      <c r="H2746" s="370">
        <v>13716.032470703125</v>
      </c>
      <c r="I2746" s="370">
        <v>4317.5204162597656</v>
      </c>
      <c r="M2746" s="371">
        <f t="shared" si="169"/>
        <v>14379.517699916169</v>
      </c>
      <c r="N2746" s="329">
        <f t="shared" si="170"/>
        <v>202.71067504882831</v>
      </c>
      <c r="T2746" s="331">
        <v>0</v>
      </c>
      <c r="U2746" s="328">
        <f>VLOOKUP(C2746,METADATA!$J$5:$Q$29,IF(E2746="HI",2,IF(E2746="LO",6,10))+IF(T2746=1,2,IF(D2746=7,1,(IF(WEEKDAY(B2746)=1,2,IF(WEEKDAY(B2746)=7,1,0))))))</f>
        <v>2</v>
      </c>
      <c r="V2746" s="328">
        <f>VLOOKUP(C2746,METADATA!$A$5:$H$29,IF(E2746="HI",2,IF(E2746="LO",6,10))+IF(T2746=1,2,IF(D2746=7,1,(IF(WEEKDAY(B2746)=1,2,IF(WEEKDAY(B2746)=7,1,0))))))</f>
        <v>2</v>
      </c>
    </row>
    <row r="2747" spans="2:22">
      <c r="B2747" s="318">
        <f t="shared" si="171"/>
        <v>46227</v>
      </c>
      <c r="C2747" s="312">
        <v>7</v>
      </c>
      <c r="D2747" s="368">
        <f>IFERROR((INDEX(METADATA!$T$2:$T$20,MATCH(B2747,METADATA!$S$2:$S$20,0))),0)</f>
        <v>0</v>
      </c>
      <c r="E2747" s="312" t="str">
        <f t="shared" si="168"/>
        <v>LO</v>
      </c>
      <c r="F2747" s="369">
        <f>VLOOKUP(C2747,METADATA!$A$5:$H$29,IF(E2747="HI",2,IF(E2747="LO",6,10))+IF(D2747=1,2,IF(D2747=7,1,(IF(WEEKDAY(B2747)=1,2,IF(WEEKDAY(B2747)=7,1,0))))))</f>
        <v>1</v>
      </c>
      <c r="G2747" s="369">
        <f>VLOOKUP(C2747,METADATA!$J$5:$Q$29,IF(E2747="HI",2,IF(E2747="LO",6,10))+IF(D2747=1,2,IF(D2747=7,1,(IF(WEEKDAY(B2747)=1,2,IF(WEEKDAY(B2747)=7,1,0))))))</f>
        <v>1</v>
      </c>
      <c r="H2747" s="370">
        <v>13769.125305175781</v>
      </c>
      <c r="I2747" s="370">
        <v>4423.8900451660156</v>
      </c>
      <c r="M2747" s="371">
        <f t="shared" si="169"/>
        <v>14462.351634549306</v>
      </c>
      <c r="N2747" s="329">
        <f t="shared" si="170"/>
        <v>293.15245361328107</v>
      </c>
      <c r="T2747" s="331">
        <v>0</v>
      </c>
      <c r="U2747" s="328">
        <f>VLOOKUP(C2747,METADATA!$J$5:$Q$29,IF(E2747="HI",2,IF(E2747="LO",6,10))+IF(T2747=1,2,IF(D2747=7,1,(IF(WEEKDAY(B2747)=1,2,IF(WEEKDAY(B2747)=7,1,0))))))</f>
        <v>1</v>
      </c>
      <c r="V2747" s="328">
        <f>VLOOKUP(C2747,METADATA!$A$5:$H$29,IF(E2747="HI",2,IF(E2747="LO",6,10))+IF(T2747=1,2,IF(D2747=7,1,(IF(WEEKDAY(B2747)=1,2,IF(WEEKDAY(B2747)=7,1,0))))))</f>
        <v>1</v>
      </c>
    </row>
    <row r="2748" spans="2:22">
      <c r="B2748" s="318">
        <f t="shared" si="171"/>
        <v>46227</v>
      </c>
      <c r="C2748" s="312">
        <v>8</v>
      </c>
      <c r="D2748" s="368">
        <f>IFERROR((INDEX(METADATA!$T$2:$T$20,MATCH(B2748,METADATA!$S$2:$S$20,0))),0)</f>
        <v>0</v>
      </c>
      <c r="E2748" s="312" t="str">
        <f t="shared" si="168"/>
        <v>LO</v>
      </c>
      <c r="F2748" s="369">
        <f>VLOOKUP(C2748,METADATA!$A$5:$H$29,IF(E2748="HI",2,IF(E2748="LO",6,10))+IF(D2748=1,2,IF(D2748=7,1,(IF(WEEKDAY(B2748)=1,2,IF(WEEKDAY(B2748)=7,1,0))))))</f>
        <v>1</v>
      </c>
      <c r="G2748" s="369">
        <f>VLOOKUP(C2748,METADATA!$J$5:$Q$29,IF(E2748="HI",2,IF(E2748="LO",6,10))+IF(D2748=1,2,IF(D2748=7,1,(IF(WEEKDAY(B2748)=1,2,IF(WEEKDAY(B2748)=7,1,0))))))</f>
        <v>1</v>
      </c>
      <c r="H2748" s="370">
        <v>13808.050476074219</v>
      </c>
      <c r="I2748" s="370">
        <v>4490.3900451660156</v>
      </c>
      <c r="M2748" s="371">
        <f t="shared" si="169"/>
        <v>14519.843687434775</v>
      </c>
      <c r="N2748" s="329">
        <f t="shared" si="170"/>
        <v>347.97490234374982</v>
      </c>
      <c r="T2748" s="331">
        <v>0</v>
      </c>
      <c r="U2748" s="328">
        <f>VLOOKUP(C2748,METADATA!$J$5:$Q$29,IF(E2748="HI",2,IF(E2748="LO",6,10))+IF(T2748=1,2,IF(D2748=7,1,(IF(WEEKDAY(B2748)=1,2,IF(WEEKDAY(B2748)=7,1,0))))))</f>
        <v>1</v>
      </c>
      <c r="V2748" s="328">
        <f>VLOOKUP(C2748,METADATA!$A$5:$H$29,IF(E2748="HI",2,IF(E2748="LO",6,10))+IF(T2748=1,2,IF(D2748=7,1,(IF(WEEKDAY(B2748)=1,2,IF(WEEKDAY(B2748)=7,1,0))))))</f>
        <v>1</v>
      </c>
    </row>
    <row r="2749" spans="2:22">
      <c r="B2749" s="318">
        <f t="shared" si="171"/>
        <v>46227</v>
      </c>
      <c r="C2749" s="312">
        <v>9</v>
      </c>
      <c r="D2749" s="368">
        <f>IFERROR((INDEX(METADATA!$T$2:$T$20,MATCH(B2749,METADATA!$S$2:$S$20,0))),0)</f>
        <v>0</v>
      </c>
      <c r="E2749" s="312" t="str">
        <f t="shared" si="168"/>
        <v>LO</v>
      </c>
      <c r="F2749" s="369">
        <f>VLOOKUP(C2749,METADATA!$A$5:$H$29,IF(E2749="HI",2,IF(E2749="LO",6,10))+IF(D2749=1,2,IF(D2749=7,1,(IF(WEEKDAY(B2749)=1,2,IF(WEEKDAY(B2749)=7,1,0))))))</f>
        <v>2</v>
      </c>
      <c r="G2749" s="369">
        <f>VLOOKUP(C2749,METADATA!$J$5:$Q$29,IF(E2749="HI",2,IF(E2749="LO",6,10))+IF(D2749=1,2,IF(D2749=7,1,(IF(WEEKDAY(B2749)=1,2,IF(WEEKDAY(B2749)=7,1,0))))))</f>
        <v>2</v>
      </c>
      <c r="H2749" s="370">
        <v>13856.400146484375</v>
      </c>
      <c r="I2749" s="370">
        <v>4558.5400695800781</v>
      </c>
      <c r="M2749" s="371">
        <f t="shared" si="169"/>
        <v>14586.984355426564</v>
      </c>
      <c r="N2749" s="329">
        <f t="shared" si="170"/>
        <v>401.62002563476563</v>
      </c>
      <c r="T2749" s="331">
        <v>0</v>
      </c>
      <c r="U2749" s="328">
        <f>VLOOKUP(C2749,METADATA!$J$5:$Q$29,IF(E2749="HI",2,IF(E2749="LO",6,10))+IF(T2749=1,2,IF(D2749=7,1,(IF(WEEKDAY(B2749)=1,2,IF(WEEKDAY(B2749)=7,1,0))))))</f>
        <v>2</v>
      </c>
      <c r="V2749" s="328">
        <f>VLOOKUP(C2749,METADATA!$A$5:$H$29,IF(E2749="HI",2,IF(E2749="LO",6,10))+IF(T2749=1,2,IF(D2749=7,1,(IF(WEEKDAY(B2749)=1,2,IF(WEEKDAY(B2749)=7,1,0))))))</f>
        <v>2</v>
      </c>
    </row>
    <row r="2750" spans="2:22">
      <c r="B2750" s="318">
        <f t="shared" si="171"/>
        <v>46227</v>
      </c>
      <c r="C2750" s="312">
        <v>10</v>
      </c>
      <c r="D2750" s="368">
        <f>IFERROR((INDEX(METADATA!$T$2:$T$20,MATCH(B2750,METADATA!$S$2:$S$20,0))),0)</f>
        <v>0</v>
      </c>
      <c r="E2750" s="312" t="str">
        <f t="shared" si="168"/>
        <v>LO</v>
      </c>
      <c r="F2750" s="369">
        <f>VLOOKUP(C2750,METADATA!$A$5:$H$29,IF(E2750="HI",2,IF(E2750="LO",6,10))+IF(D2750=1,2,IF(D2750=7,1,(IF(WEEKDAY(B2750)=1,2,IF(WEEKDAY(B2750)=7,1,0))))))</f>
        <v>2</v>
      </c>
      <c r="G2750" s="369">
        <f>VLOOKUP(C2750,METADATA!$J$5:$Q$29,IF(E2750="HI",2,IF(E2750="LO",6,10))+IF(D2750=1,2,IF(D2750=7,1,(IF(WEEKDAY(B2750)=1,2,IF(WEEKDAY(B2750)=7,1,0))))))</f>
        <v>2</v>
      </c>
      <c r="H2750" s="370">
        <v>13777.925048828125</v>
      </c>
      <c r="I2750" s="370">
        <v>4394.4500427246094</v>
      </c>
      <c r="M2750" s="371">
        <f t="shared" si="169"/>
        <v>14461.756803000382</v>
      </c>
      <c r="N2750" s="329">
        <f t="shared" si="170"/>
        <v>261.07252807617169</v>
      </c>
      <c r="T2750" s="331">
        <v>0</v>
      </c>
      <c r="U2750" s="328">
        <f>VLOOKUP(C2750,METADATA!$J$5:$Q$29,IF(E2750="HI",2,IF(E2750="LO",6,10))+IF(T2750=1,2,IF(D2750=7,1,(IF(WEEKDAY(B2750)=1,2,IF(WEEKDAY(B2750)=7,1,0))))))</f>
        <v>2</v>
      </c>
      <c r="V2750" s="328">
        <f>VLOOKUP(C2750,METADATA!$A$5:$H$29,IF(E2750="HI",2,IF(E2750="LO",6,10))+IF(T2750=1,2,IF(D2750=7,1,(IF(WEEKDAY(B2750)=1,2,IF(WEEKDAY(B2750)=7,1,0))))))</f>
        <v>2</v>
      </c>
    </row>
    <row r="2751" spans="2:22">
      <c r="B2751" s="318">
        <f t="shared" si="171"/>
        <v>46227</v>
      </c>
      <c r="C2751" s="312">
        <v>11</v>
      </c>
      <c r="D2751" s="368">
        <f>IFERROR((INDEX(METADATA!$T$2:$T$20,MATCH(B2751,METADATA!$S$2:$S$20,0))),0)</f>
        <v>0</v>
      </c>
      <c r="E2751" s="312" t="str">
        <f t="shared" si="168"/>
        <v>LO</v>
      </c>
      <c r="F2751" s="369">
        <f>VLOOKUP(C2751,METADATA!$A$5:$H$29,IF(E2751="HI",2,IF(E2751="LO",6,10))+IF(D2751=1,2,IF(D2751=7,1,(IF(WEEKDAY(B2751)=1,2,IF(WEEKDAY(B2751)=7,1,0))))))</f>
        <v>2</v>
      </c>
      <c r="G2751" s="369">
        <f>VLOOKUP(C2751,METADATA!$J$5:$Q$29,IF(E2751="HI",2,IF(E2751="LO",6,10))+IF(D2751=1,2,IF(D2751=7,1,(IF(WEEKDAY(B2751)=1,2,IF(WEEKDAY(B2751)=7,1,0))))))</f>
        <v>2</v>
      </c>
      <c r="H2751" s="370">
        <v>13736.075073242188</v>
      </c>
      <c r="I2751" s="370">
        <v>4470.4199523925781</v>
      </c>
      <c r="M2751" s="371">
        <f t="shared" si="169"/>
        <v>14445.221111789706</v>
      </c>
      <c r="N2751" s="329">
        <f t="shared" si="170"/>
        <v>349.59743041992169</v>
      </c>
      <c r="T2751" s="331">
        <v>0</v>
      </c>
      <c r="U2751" s="328">
        <f>VLOOKUP(C2751,METADATA!$J$5:$Q$29,IF(E2751="HI",2,IF(E2751="LO",6,10))+IF(T2751=1,2,IF(D2751=7,1,(IF(WEEKDAY(B2751)=1,2,IF(WEEKDAY(B2751)=7,1,0))))))</f>
        <v>2</v>
      </c>
      <c r="V2751" s="328">
        <f>VLOOKUP(C2751,METADATA!$A$5:$H$29,IF(E2751="HI",2,IF(E2751="LO",6,10))+IF(T2751=1,2,IF(D2751=7,1,(IF(WEEKDAY(B2751)=1,2,IF(WEEKDAY(B2751)=7,1,0))))))</f>
        <v>2</v>
      </c>
    </row>
    <row r="2752" spans="2:22">
      <c r="B2752" s="318">
        <f t="shared" si="171"/>
        <v>46227</v>
      </c>
      <c r="C2752" s="312">
        <v>12</v>
      </c>
      <c r="D2752" s="368">
        <f>IFERROR((INDEX(METADATA!$T$2:$T$20,MATCH(B2752,METADATA!$S$2:$S$20,0))),0)</f>
        <v>0</v>
      </c>
      <c r="E2752" s="312" t="str">
        <f t="shared" si="168"/>
        <v>LO</v>
      </c>
      <c r="F2752" s="369">
        <f>VLOOKUP(C2752,METADATA!$A$5:$H$29,IF(E2752="HI",2,IF(E2752="LO",6,10))+IF(D2752=1,2,IF(D2752=7,1,(IF(WEEKDAY(B2752)=1,2,IF(WEEKDAY(B2752)=7,1,0))))))</f>
        <v>2</v>
      </c>
      <c r="G2752" s="369">
        <f>VLOOKUP(C2752,METADATA!$J$5:$Q$29,IF(E2752="HI",2,IF(E2752="LO",6,10))+IF(D2752=1,2,IF(D2752=7,1,(IF(WEEKDAY(B2752)=1,2,IF(WEEKDAY(B2752)=7,1,0))))))</f>
        <v>2</v>
      </c>
      <c r="H2752" s="370">
        <v>13721.849975585938</v>
      </c>
      <c r="I2752" s="370">
        <v>4491.5998840332031</v>
      </c>
      <c r="M2752" s="371">
        <f t="shared" si="169"/>
        <v>14438.269850322609</v>
      </c>
      <c r="N2752" s="329">
        <f t="shared" si="170"/>
        <v>375.04489135742188</v>
      </c>
      <c r="T2752" s="331">
        <v>0</v>
      </c>
      <c r="U2752" s="328">
        <f>VLOOKUP(C2752,METADATA!$J$5:$Q$29,IF(E2752="HI",2,IF(E2752="LO",6,10))+IF(T2752=1,2,IF(D2752=7,1,(IF(WEEKDAY(B2752)=1,2,IF(WEEKDAY(B2752)=7,1,0))))))</f>
        <v>2</v>
      </c>
      <c r="V2752" s="328">
        <f>VLOOKUP(C2752,METADATA!$A$5:$H$29,IF(E2752="HI",2,IF(E2752="LO",6,10))+IF(T2752=1,2,IF(D2752=7,1,(IF(WEEKDAY(B2752)=1,2,IF(WEEKDAY(B2752)=7,1,0))))))</f>
        <v>2</v>
      </c>
    </row>
    <row r="2753" spans="2:22">
      <c r="B2753" s="318">
        <f t="shared" si="171"/>
        <v>46227</v>
      </c>
      <c r="C2753" s="312">
        <v>13</v>
      </c>
      <c r="D2753" s="368">
        <f>IFERROR((INDEX(METADATA!$T$2:$T$20,MATCH(B2753,METADATA!$S$2:$S$20,0))),0)</f>
        <v>0</v>
      </c>
      <c r="E2753" s="312" t="str">
        <f t="shared" si="168"/>
        <v>LO</v>
      </c>
      <c r="F2753" s="369">
        <f>VLOOKUP(C2753,METADATA!$A$5:$H$29,IF(E2753="HI",2,IF(E2753="LO",6,10))+IF(D2753=1,2,IF(D2753=7,1,(IF(WEEKDAY(B2753)=1,2,IF(WEEKDAY(B2753)=7,1,0))))))</f>
        <v>2</v>
      </c>
      <c r="G2753" s="369">
        <f>VLOOKUP(C2753,METADATA!$J$5:$Q$29,IF(E2753="HI",2,IF(E2753="LO",6,10))+IF(D2753=1,2,IF(D2753=7,1,(IF(WEEKDAY(B2753)=1,2,IF(WEEKDAY(B2753)=7,1,0))))))</f>
        <v>2</v>
      </c>
      <c r="H2753" s="370">
        <v>13717.450073242188</v>
      </c>
      <c r="I2753" s="370">
        <v>4428.2050476074219</v>
      </c>
      <c r="M2753" s="371">
        <f t="shared" si="169"/>
        <v>14414.487034076097</v>
      </c>
      <c r="N2753" s="329">
        <f t="shared" si="170"/>
        <v>312.97002563476599</v>
      </c>
      <c r="T2753" s="331">
        <v>0</v>
      </c>
      <c r="U2753" s="328">
        <f>VLOOKUP(C2753,METADATA!$J$5:$Q$29,IF(E2753="HI",2,IF(E2753="LO",6,10))+IF(T2753=1,2,IF(D2753=7,1,(IF(WEEKDAY(B2753)=1,2,IF(WEEKDAY(B2753)=7,1,0))))))</f>
        <v>2</v>
      </c>
      <c r="V2753" s="328">
        <f>VLOOKUP(C2753,METADATA!$A$5:$H$29,IF(E2753="HI",2,IF(E2753="LO",6,10))+IF(T2753=1,2,IF(D2753=7,1,(IF(WEEKDAY(B2753)=1,2,IF(WEEKDAY(B2753)=7,1,0))))))</f>
        <v>2</v>
      </c>
    </row>
    <row r="2754" spans="2:22">
      <c r="B2754" s="318">
        <f t="shared" si="171"/>
        <v>46227</v>
      </c>
      <c r="C2754" s="312">
        <v>14</v>
      </c>
      <c r="D2754" s="368">
        <f>IFERROR((INDEX(METADATA!$T$2:$T$20,MATCH(B2754,METADATA!$S$2:$S$20,0))),0)</f>
        <v>0</v>
      </c>
      <c r="E2754" s="312" t="str">
        <f t="shared" si="168"/>
        <v>LO</v>
      </c>
      <c r="F2754" s="369">
        <f>VLOOKUP(C2754,METADATA!$A$5:$H$29,IF(E2754="HI",2,IF(E2754="LO",6,10))+IF(D2754=1,2,IF(D2754=7,1,(IF(WEEKDAY(B2754)=1,2,IF(WEEKDAY(B2754)=7,1,0))))))</f>
        <v>2</v>
      </c>
      <c r="G2754" s="369">
        <f>VLOOKUP(C2754,METADATA!$J$5:$Q$29,IF(E2754="HI",2,IF(E2754="LO",6,10))+IF(D2754=1,2,IF(D2754=7,1,(IF(WEEKDAY(B2754)=1,2,IF(WEEKDAY(B2754)=7,1,0))))))</f>
        <v>2</v>
      </c>
      <c r="H2754" s="370">
        <v>13587.92529296875</v>
      </c>
      <c r="I2754" s="370">
        <v>4342.71484375</v>
      </c>
      <c r="M2754" s="371">
        <f t="shared" si="169"/>
        <v>14265.023167924632</v>
      </c>
      <c r="N2754" s="329">
        <f t="shared" si="170"/>
        <v>266.33725585937509</v>
      </c>
      <c r="T2754" s="331">
        <v>0</v>
      </c>
      <c r="U2754" s="328">
        <f>VLOOKUP(C2754,METADATA!$J$5:$Q$29,IF(E2754="HI",2,IF(E2754="LO",6,10))+IF(T2754=1,2,IF(D2754=7,1,(IF(WEEKDAY(B2754)=1,2,IF(WEEKDAY(B2754)=7,1,0))))))</f>
        <v>2</v>
      </c>
      <c r="V2754" s="328">
        <f>VLOOKUP(C2754,METADATA!$A$5:$H$29,IF(E2754="HI",2,IF(E2754="LO",6,10))+IF(T2754=1,2,IF(D2754=7,1,(IF(WEEKDAY(B2754)=1,2,IF(WEEKDAY(B2754)=7,1,0))))))</f>
        <v>2</v>
      </c>
    </row>
    <row r="2755" spans="2:22">
      <c r="B2755" s="318">
        <f t="shared" si="171"/>
        <v>46227</v>
      </c>
      <c r="C2755" s="312">
        <v>15</v>
      </c>
      <c r="D2755" s="368">
        <f>IFERROR((INDEX(METADATA!$T$2:$T$20,MATCH(B2755,METADATA!$S$2:$S$20,0))),0)</f>
        <v>0</v>
      </c>
      <c r="E2755" s="312" t="str">
        <f t="shared" si="168"/>
        <v>LO</v>
      </c>
      <c r="F2755" s="369">
        <f>VLOOKUP(C2755,METADATA!$A$5:$H$29,IF(E2755="HI",2,IF(E2755="LO",6,10))+IF(D2755=1,2,IF(D2755=7,1,(IF(WEEKDAY(B2755)=1,2,IF(WEEKDAY(B2755)=7,1,0))))))</f>
        <v>2</v>
      </c>
      <c r="G2755" s="369">
        <f>VLOOKUP(C2755,METADATA!$J$5:$Q$29,IF(E2755="HI",2,IF(E2755="LO",6,10))+IF(D2755=1,2,IF(D2755=7,1,(IF(WEEKDAY(B2755)=1,2,IF(WEEKDAY(B2755)=7,1,0))))))</f>
        <v>2</v>
      </c>
      <c r="H2755" s="370">
        <v>13645.350402832031</v>
      </c>
      <c r="I2755" s="370">
        <v>4429.9550170898438</v>
      </c>
      <c r="M2755" s="371">
        <f t="shared" si="169"/>
        <v>14346.431231128798</v>
      </c>
      <c r="N2755" s="329">
        <f t="shared" si="170"/>
        <v>336.34989624023456</v>
      </c>
      <c r="T2755" s="331">
        <v>0</v>
      </c>
      <c r="U2755" s="328">
        <f>VLOOKUP(C2755,METADATA!$J$5:$Q$29,IF(E2755="HI",2,IF(E2755="LO",6,10))+IF(T2755=1,2,IF(D2755=7,1,(IF(WEEKDAY(B2755)=1,2,IF(WEEKDAY(B2755)=7,1,0))))))</f>
        <v>2</v>
      </c>
      <c r="V2755" s="328">
        <f>VLOOKUP(C2755,METADATA!$A$5:$H$29,IF(E2755="HI",2,IF(E2755="LO",6,10))+IF(T2755=1,2,IF(D2755=7,1,(IF(WEEKDAY(B2755)=1,2,IF(WEEKDAY(B2755)=7,1,0))))))</f>
        <v>2</v>
      </c>
    </row>
    <row r="2756" spans="2:22">
      <c r="B2756" s="318">
        <f t="shared" si="171"/>
        <v>46227</v>
      </c>
      <c r="C2756" s="312">
        <v>16</v>
      </c>
      <c r="D2756" s="368">
        <f>IFERROR((INDEX(METADATA!$T$2:$T$20,MATCH(B2756,METADATA!$S$2:$S$20,0))),0)</f>
        <v>0</v>
      </c>
      <c r="E2756" s="312" t="str">
        <f t="shared" ref="E2756:E2819" si="172">IF(B2756="","",IF(AND(MONTH(B2756)&gt;=MONTH($Z$9),MONTH(B2756)&lt;=MONTH($Z$11)),"HI","LO"))</f>
        <v>LO</v>
      </c>
      <c r="F2756" s="369">
        <f>VLOOKUP(C2756,METADATA!$A$5:$H$29,IF(E2756="HI",2,IF(E2756="LO",6,10))+IF(D2756=1,2,IF(D2756=7,1,(IF(WEEKDAY(B2756)=1,2,IF(WEEKDAY(B2756)=7,1,0))))))</f>
        <v>2</v>
      </c>
      <c r="G2756" s="369">
        <f>VLOOKUP(C2756,METADATA!$J$5:$Q$29,IF(E2756="HI",2,IF(E2756="LO",6,10))+IF(D2756=1,2,IF(D2756=7,1,(IF(WEEKDAY(B2756)=1,2,IF(WEEKDAY(B2756)=7,1,0))))))</f>
        <v>2</v>
      </c>
      <c r="H2756" s="370">
        <v>13610.699890136719</v>
      </c>
      <c r="I2756" s="370">
        <v>4508.6499633789063</v>
      </c>
      <c r="M2756" s="371">
        <f t="shared" ref="M2756:M2819" si="173">SQRT(H2756^2+I2756^2)</f>
        <v>14338.02901348872</v>
      </c>
      <c r="N2756" s="329">
        <f t="shared" ref="N2756:N2819" si="174">IF(H2756=0,0,(IF(I2756-(0.3*H2756)&lt;0,0,(I2756-(0.3*H2756)))))</f>
        <v>425.43999633789099</v>
      </c>
      <c r="T2756" s="331">
        <v>0</v>
      </c>
      <c r="U2756" s="328">
        <f>VLOOKUP(C2756,METADATA!$J$5:$Q$29,IF(E2756="HI",2,IF(E2756="LO",6,10))+IF(T2756=1,2,IF(D2756=7,1,(IF(WEEKDAY(B2756)=1,2,IF(WEEKDAY(B2756)=7,1,0))))))</f>
        <v>2</v>
      </c>
      <c r="V2756" s="328">
        <f>VLOOKUP(C2756,METADATA!$A$5:$H$29,IF(E2756="HI",2,IF(E2756="LO",6,10))+IF(T2756=1,2,IF(D2756=7,1,(IF(WEEKDAY(B2756)=1,2,IF(WEEKDAY(B2756)=7,1,0))))))</f>
        <v>2</v>
      </c>
    </row>
    <row r="2757" spans="2:22">
      <c r="B2757" s="318">
        <f t="shared" si="171"/>
        <v>46227</v>
      </c>
      <c r="C2757" s="312">
        <v>17</v>
      </c>
      <c r="D2757" s="368">
        <f>IFERROR((INDEX(METADATA!$T$2:$T$20,MATCH(B2757,METADATA!$S$2:$S$20,0))),0)</f>
        <v>0</v>
      </c>
      <c r="E2757" s="312" t="str">
        <f t="shared" si="172"/>
        <v>LO</v>
      </c>
      <c r="F2757" s="369">
        <f>VLOOKUP(C2757,METADATA!$A$5:$H$29,IF(E2757="HI",2,IF(E2757="LO",6,10))+IF(D2757=1,2,IF(D2757=7,1,(IF(WEEKDAY(B2757)=1,2,IF(WEEKDAY(B2757)=7,1,0))))))</f>
        <v>2</v>
      </c>
      <c r="G2757" s="369">
        <f>VLOOKUP(C2757,METADATA!$J$5:$Q$29,IF(E2757="HI",2,IF(E2757="LO",6,10))+IF(D2757=1,2,IF(D2757=7,1,(IF(WEEKDAY(B2757)=1,2,IF(WEEKDAY(B2757)=7,1,0))))))</f>
        <v>2</v>
      </c>
      <c r="H2757" s="370">
        <v>13617.849609375</v>
      </c>
      <c r="I2757" s="370">
        <v>4476.8699951171875</v>
      </c>
      <c r="M2757" s="371">
        <f t="shared" si="173"/>
        <v>14334.859362293562</v>
      </c>
      <c r="N2757" s="329">
        <f t="shared" si="174"/>
        <v>391.51511230468759</v>
      </c>
      <c r="T2757" s="331">
        <v>0</v>
      </c>
      <c r="U2757" s="328">
        <f>VLOOKUP(C2757,METADATA!$J$5:$Q$29,IF(E2757="HI",2,IF(E2757="LO",6,10))+IF(T2757=1,2,IF(D2757=7,1,(IF(WEEKDAY(B2757)=1,2,IF(WEEKDAY(B2757)=7,1,0))))))</f>
        <v>2</v>
      </c>
      <c r="V2757" s="328">
        <f>VLOOKUP(C2757,METADATA!$A$5:$H$29,IF(E2757="HI",2,IF(E2757="LO",6,10))+IF(T2757=1,2,IF(D2757=7,1,(IF(WEEKDAY(B2757)=1,2,IF(WEEKDAY(B2757)=7,1,0))))))</f>
        <v>2</v>
      </c>
    </row>
    <row r="2758" spans="2:22">
      <c r="B2758" s="318">
        <f t="shared" si="171"/>
        <v>46227</v>
      </c>
      <c r="C2758" s="312">
        <v>18</v>
      </c>
      <c r="D2758" s="368">
        <f>IFERROR((INDEX(METADATA!$T$2:$T$20,MATCH(B2758,METADATA!$S$2:$S$20,0))),0)</f>
        <v>0</v>
      </c>
      <c r="E2758" s="312" t="str">
        <f t="shared" si="172"/>
        <v>LO</v>
      </c>
      <c r="F2758" s="369">
        <f>VLOOKUP(C2758,METADATA!$A$5:$H$29,IF(E2758="HI",2,IF(E2758="LO",6,10))+IF(D2758=1,2,IF(D2758=7,1,(IF(WEEKDAY(B2758)=1,2,IF(WEEKDAY(B2758)=7,1,0))))))</f>
        <v>1</v>
      </c>
      <c r="G2758" s="369">
        <f>VLOOKUP(C2758,METADATA!$J$5:$Q$29,IF(E2758="HI",2,IF(E2758="LO",6,10))+IF(D2758=1,2,IF(D2758=7,1,(IF(WEEKDAY(B2758)=1,2,IF(WEEKDAY(B2758)=7,1,0))))))</f>
        <v>1</v>
      </c>
      <c r="H2758" s="370">
        <v>13666.25</v>
      </c>
      <c r="I2758" s="370">
        <v>4399.3600463867188</v>
      </c>
      <c r="M2758" s="371">
        <f t="shared" si="173"/>
        <v>14356.906278173015</v>
      </c>
      <c r="N2758" s="329">
        <f t="shared" si="174"/>
        <v>299.48504638671875</v>
      </c>
      <c r="T2758" s="331">
        <v>0</v>
      </c>
      <c r="U2758" s="328">
        <f>VLOOKUP(C2758,METADATA!$J$5:$Q$29,IF(E2758="HI",2,IF(E2758="LO",6,10))+IF(T2758=1,2,IF(D2758=7,1,(IF(WEEKDAY(B2758)=1,2,IF(WEEKDAY(B2758)=7,1,0))))))</f>
        <v>1</v>
      </c>
      <c r="V2758" s="328">
        <f>VLOOKUP(C2758,METADATA!$A$5:$H$29,IF(E2758="HI",2,IF(E2758="LO",6,10))+IF(T2758=1,2,IF(D2758=7,1,(IF(WEEKDAY(B2758)=1,2,IF(WEEKDAY(B2758)=7,1,0))))))</f>
        <v>1</v>
      </c>
    </row>
    <row r="2759" spans="2:22">
      <c r="B2759" s="318">
        <f t="shared" si="171"/>
        <v>46227</v>
      </c>
      <c r="C2759" s="312">
        <v>19</v>
      </c>
      <c r="D2759" s="368">
        <f>IFERROR((INDEX(METADATA!$T$2:$T$20,MATCH(B2759,METADATA!$S$2:$S$20,0))),0)</f>
        <v>0</v>
      </c>
      <c r="E2759" s="312" t="str">
        <f t="shared" si="172"/>
        <v>LO</v>
      </c>
      <c r="F2759" s="369">
        <f>VLOOKUP(C2759,METADATA!$A$5:$H$29,IF(E2759="HI",2,IF(E2759="LO",6,10))+IF(D2759=1,2,IF(D2759=7,1,(IF(WEEKDAY(B2759)=1,2,IF(WEEKDAY(B2759)=7,1,0))))))</f>
        <v>1</v>
      </c>
      <c r="G2759" s="369">
        <f>VLOOKUP(C2759,METADATA!$J$5:$Q$29,IF(E2759="HI",2,IF(E2759="LO",6,10))+IF(D2759=1,2,IF(D2759=7,1,(IF(WEEKDAY(B2759)=1,2,IF(WEEKDAY(B2759)=7,1,0))))))</f>
        <v>1</v>
      </c>
      <c r="H2759" s="370">
        <v>13740.549926757813</v>
      </c>
      <c r="I2759" s="370">
        <v>4377.0849609375</v>
      </c>
      <c r="M2759" s="371">
        <f t="shared" si="173"/>
        <v>14420.873241416046</v>
      </c>
      <c r="N2759" s="329">
        <f t="shared" si="174"/>
        <v>254.91998291015625</v>
      </c>
      <c r="T2759" s="331">
        <v>0</v>
      </c>
      <c r="U2759" s="328">
        <f>VLOOKUP(C2759,METADATA!$J$5:$Q$29,IF(E2759="HI",2,IF(E2759="LO",6,10))+IF(T2759=1,2,IF(D2759=7,1,(IF(WEEKDAY(B2759)=1,2,IF(WEEKDAY(B2759)=7,1,0))))))</f>
        <v>1</v>
      </c>
      <c r="V2759" s="328">
        <f>VLOOKUP(C2759,METADATA!$A$5:$H$29,IF(E2759="HI",2,IF(E2759="LO",6,10))+IF(T2759=1,2,IF(D2759=7,1,(IF(WEEKDAY(B2759)=1,2,IF(WEEKDAY(B2759)=7,1,0))))))</f>
        <v>1</v>
      </c>
    </row>
    <row r="2760" spans="2:22">
      <c r="B2760" s="318">
        <f t="shared" si="171"/>
        <v>46227</v>
      </c>
      <c r="C2760" s="312">
        <v>20</v>
      </c>
      <c r="D2760" s="368">
        <f>IFERROR((INDEX(METADATA!$T$2:$T$20,MATCH(B2760,METADATA!$S$2:$S$20,0))),0)</f>
        <v>0</v>
      </c>
      <c r="E2760" s="312" t="str">
        <f t="shared" si="172"/>
        <v>LO</v>
      </c>
      <c r="F2760" s="369">
        <f>VLOOKUP(C2760,METADATA!$A$5:$H$29,IF(E2760="HI",2,IF(E2760="LO",6,10))+IF(D2760=1,2,IF(D2760=7,1,(IF(WEEKDAY(B2760)=1,2,IF(WEEKDAY(B2760)=7,1,0))))))</f>
        <v>1</v>
      </c>
      <c r="G2760" s="369">
        <f>VLOOKUP(C2760,METADATA!$J$5:$Q$29,IF(E2760="HI",2,IF(E2760="LO",6,10))+IF(D2760=1,2,IF(D2760=7,1,(IF(WEEKDAY(B2760)=1,2,IF(WEEKDAY(B2760)=7,1,0))))))</f>
        <v>1</v>
      </c>
      <c r="H2760" s="370">
        <v>13770.074829101563</v>
      </c>
      <c r="I2760" s="370">
        <v>4544.1801147460938</v>
      </c>
      <c r="M2760" s="371">
        <f t="shared" si="173"/>
        <v>14500.501153901896</v>
      </c>
      <c r="N2760" s="329">
        <f t="shared" si="174"/>
        <v>413.15766601562518</v>
      </c>
      <c r="T2760" s="331">
        <v>0</v>
      </c>
      <c r="U2760" s="328">
        <f>VLOOKUP(C2760,METADATA!$J$5:$Q$29,IF(E2760="HI",2,IF(E2760="LO",6,10))+IF(T2760=1,2,IF(D2760=7,1,(IF(WEEKDAY(B2760)=1,2,IF(WEEKDAY(B2760)=7,1,0))))))</f>
        <v>1</v>
      </c>
      <c r="V2760" s="328">
        <f>VLOOKUP(C2760,METADATA!$A$5:$H$29,IF(E2760="HI",2,IF(E2760="LO",6,10))+IF(T2760=1,2,IF(D2760=7,1,(IF(WEEKDAY(B2760)=1,2,IF(WEEKDAY(B2760)=7,1,0))))))</f>
        <v>1</v>
      </c>
    </row>
    <row r="2761" spans="2:22">
      <c r="B2761" s="318">
        <f t="shared" si="171"/>
        <v>46227</v>
      </c>
      <c r="C2761" s="312">
        <v>21</v>
      </c>
      <c r="D2761" s="368">
        <f>IFERROR((INDEX(METADATA!$T$2:$T$20,MATCH(B2761,METADATA!$S$2:$S$20,0))),0)</f>
        <v>0</v>
      </c>
      <c r="E2761" s="312" t="str">
        <f t="shared" si="172"/>
        <v>LO</v>
      </c>
      <c r="F2761" s="369">
        <f>VLOOKUP(C2761,METADATA!$A$5:$H$29,IF(E2761="HI",2,IF(E2761="LO",6,10))+IF(D2761=1,2,IF(D2761=7,1,(IF(WEEKDAY(B2761)=1,2,IF(WEEKDAY(B2761)=7,1,0))))))</f>
        <v>2</v>
      </c>
      <c r="G2761" s="369">
        <f>VLOOKUP(C2761,METADATA!$J$5:$Q$29,IF(E2761="HI",2,IF(E2761="LO",6,10))+IF(D2761=1,2,IF(D2761=7,1,(IF(WEEKDAY(B2761)=1,2,IF(WEEKDAY(B2761)=7,1,0))))))</f>
        <v>2</v>
      </c>
      <c r="H2761" s="370">
        <v>13898.625244140625</v>
      </c>
      <c r="I2761" s="370">
        <v>4411.8198852539063</v>
      </c>
      <c r="M2761" s="371">
        <f t="shared" si="173"/>
        <v>14582.041639529934</v>
      </c>
      <c r="N2761" s="329">
        <f t="shared" si="174"/>
        <v>242.23231201171893</v>
      </c>
      <c r="T2761" s="331">
        <v>0</v>
      </c>
      <c r="U2761" s="328">
        <f>VLOOKUP(C2761,METADATA!$J$5:$Q$29,IF(E2761="HI",2,IF(E2761="LO",6,10))+IF(T2761=1,2,IF(D2761=7,1,(IF(WEEKDAY(B2761)=1,2,IF(WEEKDAY(B2761)=7,1,0))))))</f>
        <v>2</v>
      </c>
      <c r="V2761" s="328">
        <f>VLOOKUP(C2761,METADATA!$A$5:$H$29,IF(E2761="HI",2,IF(E2761="LO",6,10))+IF(T2761=1,2,IF(D2761=7,1,(IF(WEEKDAY(B2761)=1,2,IF(WEEKDAY(B2761)=7,1,0))))))</f>
        <v>2</v>
      </c>
    </row>
    <row r="2762" spans="2:22">
      <c r="B2762" s="318">
        <f t="shared" si="171"/>
        <v>46227</v>
      </c>
      <c r="C2762" s="312">
        <v>22</v>
      </c>
      <c r="D2762" s="368">
        <f>IFERROR((INDEX(METADATA!$T$2:$T$20,MATCH(B2762,METADATA!$S$2:$S$20,0))),0)</f>
        <v>0</v>
      </c>
      <c r="E2762" s="312" t="str">
        <f t="shared" si="172"/>
        <v>LO</v>
      </c>
      <c r="F2762" s="369">
        <f>VLOOKUP(C2762,METADATA!$A$5:$H$29,IF(E2762="HI",2,IF(E2762="LO",6,10))+IF(D2762=1,2,IF(D2762=7,1,(IF(WEEKDAY(B2762)=1,2,IF(WEEKDAY(B2762)=7,1,0))))))</f>
        <v>3</v>
      </c>
      <c r="G2762" s="369">
        <f>VLOOKUP(C2762,METADATA!$J$5:$Q$29,IF(E2762="HI",2,IF(E2762="LO",6,10))+IF(D2762=1,2,IF(D2762=7,1,(IF(WEEKDAY(B2762)=1,2,IF(WEEKDAY(B2762)=7,1,0))))))</f>
        <v>3</v>
      </c>
      <c r="H2762" s="370">
        <v>13826.150268554688</v>
      </c>
      <c r="I2762" s="370">
        <v>4506.64501953125</v>
      </c>
      <c r="M2762" s="371">
        <f t="shared" si="173"/>
        <v>14542.086527755248</v>
      </c>
      <c r="N2762" s="329">
        <f t="shared" si="174"/>
        <v>358.79993896484393</v>
      </c>
      <c r="T2762" s="331">
        <v>0</v>
      </c>
      <c r="U2762" s="328">
        <f>VLOOKUP(C2762,METADATA!$J$5:$Q$29,IF(E2762="HI",2,IF(E2762="LO",6,10))+IF(T2762=1,2,IF(D2762=7,1,(IF(WEEKDAY(B2762)=1,2,IF(WEEKDAY(B2762)=7,1,0))))))</f>
        <v>3</v>
      </c>
      <c r="V2762" s="328">
        <f>VLOOKUP(C2762,METADATA!$A$5:$H$29,IF(E2762="HI",2,IF(E2762="LO",6,10))+IF(T2762=1,2,IF(D2762=7,1,(IF(WEEKDAY(B2762)=1,2,IF(WEEKDAY(B2762)=7,1,0))))))</f>
        <v>3</v>
      </c>
    </row>
    <row r="2763" spans="2:22">
      <c r="B2763" s="318">
        <f t="shared" si="171"/>
        <v>46227</v>
      </c>
      <c r="C2763" s="312">
        <v>23</v>
      </c>
      <c r="D2763" s="368">
        <f>IFERROR((INDEX(METADATA!$T$2:$T$20,MATCH(B2763,METADATA!$S$2:$S$20,0))),0)</f>
        <v>0</v>
      </c>
      <c r="E2763" s="312" t="str">
        <f t="shared" si="172"/>
        <v>LO</v>
      </c>
      <c r="F2763" s="369">
        <f>VLOOKUP(C2763,METADATA!$A$5:$H$29,IF(E2763="HI",2,IF(E2763="LO",6,10))+IF(D2763=1,2,IF(D2763=7,1,(IF(WEEKDAY(B2763)=1,2,IF(WEEKDAY(B2763)=7,1,0))))))</f>
        <v>3</v>
      </c>
      <c r="G2763" s="369">
        <f>VLOOKUP(C2763,METADATA!$J$5:$Q$29,IF(E2763="HI",2,IF(E2763="LO",6,10))+IF(D2763=1,2,IF(D2763=7,1,(IF(WEEKDAY(B2763)=1,2,IF(WEEKDAY(B2763)=7,1,0))))))</f>
        <v>3</v>
      </c>
      <c r="H2763" s="370">
        <v>13637.474853515625</v>
      </c>
      <c r="I2763" s="370">
        <v>4554.3999633789063</v>
      </c>
      <c r="M2763" s="371">
        <f t="shared" si="173"/>
        <v>14377.87464845541</v>
      </c>
      <c r="N2763" s="329">
        <f t="shared" si="174"/>
        <v>463.15750732421884</v>
      </c>
      <c r="T2763" s="331">
        <v>0</v>
      </c>
      <c r="U2763" s="328">
        <f>VLOOKUP(C2763,METADATA!$J$5:$Q$29,IF(E2763="HI",2,IF(E2763="LO",6,10))+IF(T2763=1,2,IF(D2763=7,1,(IF(WEEKDAY(B2763)=1,2,IF(WEEKDAY(B2763)=7,1,0))))))</f>
        <v>3</v>
      </c>
      <c r="V2763" s="328">
        <f>VLOOKUP(C2763,METADATA!$A$5:$H$29,IF(E2763="HI",2,IF(E2763="LO",6,10))+IF(T2763=1,2,IF(D2763=7,1,(IF(WEEKDAY(B2763)=1,2,IF(WEEKDAY(B2763)=7,1,0))))))</f>
        <v>3</v>
      </c>
    </row>
    <row r="2764" spans="2:22">
      <c r="B2764" s="318">
        <f t="shared" si="171"/>
        <v>46228</v>
      </c>
      <c r="C2764" s="312">
        <v>0</v>
      </c>
      <c r="D2764" s="368">
        <f>IFERROR((INDEX(METADATA!$T$2:$T$20,MATCH(B2764,METADATA!$S$2:$S$20,0))),0)</f>
        <v>0</v>
      </c>
      <c r="E2764" s="312" t="str">
        <f t="shared" si="172"/>
        <v>LO</v>
      </c>
      <c r="F2764" s="369">
        <f>VLOOKUP(C2764,METADATA!$A$5:$H$29,IF(E2764="HI",2,IF(E2764="LO",6,10))+IF(D2764=1,2,IF(D2764=7,1,(IF(WEEKDAY(B2764)=1,2,IF(WEEKDAY(B2764)=7,1,0))))))</f>
        <v>3</v>
      </c>
      <c r="G2764" s="369">
        <f>VLOOKUP(C2764,METADATA!$J$5:$Q$29,IF(E2764="HI",2,IF(E2764="LO",6,10))+IF(D2764=1,2,IF(D2764=7,1,(IF(WEEKDAY(B2764)=1,2,IF(WEEKDAY(B2764)=7,1,0))))))</f>
        <v>3</v>
      </c>
      <c r="H2764" s="370">
        <v>13787.700012207031</v>
      </c>
      <c r="I2764" s="370">
        <v>4768.6299438476563</v>
      </c>
      <c r="M2764" s="371">
        <f t="shared" si="173"/>
        <v>14589.054224588181</v>
      </c>
      <c r="N2764" s="329">
        <f t="shared" si="174"/>
        <v>632.31994018554724</v>
      </c>
      <c r="T2764" s="331">
        <v>0</v>
      </c>
      <c r="U2764" s="328">
        <f>VLOOKUP(C2764,METADATA!$J$5:$Q$29,IF(E2764="HI",2,IF(E2764="LO",6,10))+IF(T2764=1,2,IF(D2764=7,1,(IF(WEEKDAY(B2764)=1,2,IF(WEEKDAY(B2764)=7,1,0))))))</f>
        <v>3</v>
      </c>
      <c r="V2764" s="328">
        <f>VLOOKUP(C2764,METADATA!$A$5:$H$29,IF(E2764="HI",2,IF(E2764="LO",6,10))+IF(T2764=1,2,IF(D2764=7,1,(IF(WEEKDAY(B2764)=1,2,IF(WEEKDAY(B2764)=7,1,0))))))</f>
        <v>3</v>
      </c>
    </row>
    <row r="2765" spans="2:22">
      <c r="B2765" s="318">
        <f t="shared" si="171"/>
        <v>46228</v>
      </c>
      <c r="C2765" s="312">
        <v>1</v>
      </c>
      <c r="D2765" s="368">
        <f>IFERROR((INDEX(METADATA!$T$2:$T$20,MATCH(B2765,METADATA!$S$2:$S$20,0))),0)</f>
        <v>0</v>
      </c>
      <c r="E2765" s="312" t="str">
        <f t="shared" si="172"/>
        <v>LO</v>
      </c>
      <c r="F2765" s="369">
        <f>VLOOKUP(C2765,METADATA!$A$5:$H$29,IF(E2765="HI",2,IF(E2765="LO",6,10))+IF(D2765=1,2,IF(D2765=7,1,(IF(WEEKDAY(B2765)=1,2,IF(WEEKDAY(B2765)=7,1,0))))))</f>
        <v>3</v>
      </c>
      <c r="G2765" s="369">
        <f>VLOOKUP(C2765,METADATA!$J$5:$Q$29,IF(E2765="HI",2,IF(E2765="LO",6,10))+IF(D2765=1,2,IF(D2765=7,1,(IF(WEEKDAY(B2765)=1,2,IF(WEEKDAY(B2765)=7,1,0))))))</f>
        <v>3</v>
      </c>
      <c r="H2765" s="370">
        <v>13893.475036621094</v>
      </c>
      <c r="I2765" s="370">
        <v>4737.0525512695313</v>
      </c>
      <c r="M2765" s="371">
        <f t="shared" si="173"/>
        <v>14678.839036746151</v>
      </c>
      <c r="N2765" s="329">
        <f t="shared" si="174"/>
        <v>569.01004028320313</v>
      </c>
      <c r="T2765" s="331">
        <v>0</v>
      </c>
      <c r="U2765" s="328">
        <f>VLOOKUP(C2765,METADATA!$J$5:$Q$29,IF(E2765="HI",2,IF(E2765="LO",6,10))+IF(T2765=1,2,IF(D2765=7,1,(IF(WEEKDAY(B2765)=1,2,IF(WEEKDAY(B2765)=7,1,0))))))</f>
        <v>3</v>
      </c>
      <c r="V2765" s="328">
        <f>VLOOKUP(C2765,METADATA!$A$5:$H$29,IF(E2765="HI",2,IF(E2765="LO",6,10))+IF(T2765=1,2,IF(D2765=7,1,(IF(WEEKDAY(B2765)=1,2,IF(WEEKDAY(B2765)=7,1,0))))))</f>
        <v>3</v>
      </c>
    </row>
    <row r="2766" spans="2:22">
      <c r="B2766" s="318">
        <f t="shared" si="171"/>
        <v>46228</v>
      </c>
      <c r="C2766" s="312">
        <v>2</v>
      </c>
      <c r="D2766" s="368">
        <f>IFERROR((INDEX(METADATA!$T$2:$T$20,MATCH(B2766,METADATA!$S$2:$S$20,0))),0)</f>
        <v>0</v>
      </c>
      <c r="E2766" s="312" t="str">
        <f t="shared" si="172"/>
        <v>LO</v>
      </c>
      <c r="F2766" s="369">
        <f>VLOOKUP(C2766,METADATA!$A$5:$H$29,IF(E2766="HI",2,IF(E2766="LO",6,10))+IF(D2766=1,2,IF(D2766=7,1,(IF(WEEKDAY(B2766)=1,2,IF(WEEKDAY(B2766)=7,1,0))))))</f>
        <v>3</v>
      </c>
      <c r="G2766" s="369">
        <f>VLOOKUP(C2766,METADATA!$J$5:$Q$29,IF(E2766="HI",2,IF(E2766="LO",6,10))+IF(D2766=1,2,IF(D2766=7,1,(IF(WEEKDAY(B2766)=1,2,IF(WEEKDAY(B2766)=7,1,0))))))</f>
        <v>3</v>
      </c>
      <c r="H2766" s="370">
        <v>13860.72509765625</v>
      </c>
      <c r="I2766" s="370">
        <v>4678.2750244140625</v>
      </c>
      <c r="M2766" s="371">
        <f t="shared" si="173"/>
        <v>14628.942457910423</v>
      </c>
      <c r="N2766" s="329">
        <f t="shared" si="174"/>
        <v>520.0574951171875</v>
      </c>
      <c r="T2766" s="331">
        <v>0</v>
      </c>
      <c r="U2766" s="328">
        <f>VLOOKUP(C2766,METADATA!$J$5:$Q$29,IF(E2766="HI",2,IF(E2766="LO",6,10))+IF(T2766=1,2,IF(D2766=7,1,(IF(WEEKDAY(B2766)=1,2,IF(WEEKDAY(B2766)=7,1,0))))))</f>
        <v>3</v>
      </c>
      <c r="V2766" s="328">
        <f>VLOOKUP(C2766,METADATA!$A$5:$H$29,IF(E2766="HI",2,IF(E2766="LO",6,10))+IF(T2766=1,2,IF(D2766=7,1,(IF(WEEKDAY(B2766)=1,2,IF(WEEKDAY(B2766)=7,1,0))))))</f>
        <v>3</v>
      </c>
    </row>
    <row r="2767" spans="2:22">
      <c r="B2767" s="318">
        <f t="shared" si="171"/>
        <v>46228</v>
      </c>
      <c r="C2767" s="312">
        <v>3</v>
      </c>
      <c r="D2767" s="368">
        <f>IFERROR((INDEX(METADATA!$T$2:$T$20,MATCH(B2767,METADATA!$S$2:$S$20,0))),0)</f>
        <v>0</v>
      </c>
      <c r="E2767" s="312" t="str">
        <f t="shared" si="172"/>
        <v>LO</v>
      </c>
      <c r="F2767" s="369">
        <f>VLOOKUP(C2767,METADATA!$A$5:$H$29,IF(E2767="HI",2,IF(E2767="LO",6,10))+IF(D2767=1,2,IF(D2767=7,1,(IF(WEEKDAY(B2767)=1,2,IF(WEEKDAY(B2767)=7,1,0))))))</f>
        <v>3</v>
      </c>
      <c r="G2767" s="369">
        <f>VLOOKUP(C2767,METADATA!$J$5:$Q$29,IF(E2767="HI",2,IF(E2767="LO",6,10))+IF(D2767=1,2,IF(D2767=7,1,(IF(WEEKDAY(B2767)=1,2,IF(WEEKDAY(B2767)=7,1,0))))))</f>
        <v>3</v>
      </c>
      <c r="H2767" s="370">
        <v>13869.699951171875</v>
      </c>
      <c r="I2767" s="370">
        <v>4720.9100341796875</v>
      </c>
      <c r="M2767" s="371">
        <f t="shared" si="173"/>
        <v>14651.128566986079</v>
      </c>
      <c r="N2767" s="329">
        <f t="shared" si="174"/>
        <v>560.00004882812482</v>
      </c>
      <c r="T2767" s="331">
        <v>0</v>
      </c>
      <c r="U2767" s="328">
        <f>VLOOKUP(C2767,METADATA!$J$5:$Q$29,IF(E2767="HI",2,IF(E2767="LO",6,10))+IF(T2767=1,2,IF(D2767=7,1,(IF(WEEKDAY(B2767)=1,2,IF(WEEKDAY(B2767)=7,1,0))))))</f>
        <v>3</v>
      </c>
      <c r="V2767" s="328">
        <f>VLOOKUP(C2767,METADATA!$A$5:$H$29,IF(E2767="HI",2,IF(E2767="LO",6,10))+IF(T2767=1,2,IF(D2767=7,1,(IF(WEEKDAY(B2767)=1,2,IF(WEEKDAY(B2767)=7,1,0))))))</f>
        <v>3</v>
      </c>
    </row>
    <row r="2768" spans="2:22">
      <c r="B2768" s="318">
        <f t="shared" si="171"/>
        <v>46228</v>
      </c>
      <c r="C2768" s="312">
        <v>4</v>
      </c>
      <c r="D2768" s="368">
        <f>IFERROR((INDEX(METADATA!$T$2:$T$20,MATCH(B2768,METADATA!$S$2:$S$20,0))),0)</f>
        <v>0</v>
      </c>
      <c r="E2768" s="312" t="str">
        <f t="shared" si="172"/>
        <v>LO</v>
      </c>
      <c r="F2768" s="369">
        <f>VLOOKUP(C2768,METADATA!$A$5:$H$29,IF(E2768="HI",2,IF(E2768="LO",6,10))+IF(D2768=1,2,IF(D2768=7,1,(IF(WEEKDAY(B2768)=1,2,IF(WEEKDAY(B2768)=7,1,0))))))</f>
        <v>3</v>
      </c>
      <c r="G2768" s="369">
        <f>VLOOKUP(C2768,METADATA!$J$5:$Q$29,IF(E2768="HI",2,IF(E2768="LO",6,10))+IF(D2768=1,2,IF(D2768=7,1,(IF(WEEKDAY(B2768)=1,2,IF(WEEKDAY(B2768)=7,1,0))))))</f>
        <v>3</v>
      </c>
      <c r="H2768" s="370">
        <v>13782.47509765625</v>
      </c>
      <c r="I2768" s="370">
        <v>4700.9249572753906</v>
      </c>
      <c r="M2768" s="371">
        <f t="shared" si="173"/>
        <v>14562.119188890376</v>
      </c>
      <c r="N2768" s="329">
        <f t="shared" si="174"/>
        <v>566.18242797851599</v>
      </c>
      <c r="T2768" s="331">
        <v>0</v>
      </c>
      <c r="U2768" s="328">
        <f>VLOOKUP(C2768,METADATA!$J$5:$Q$29,IF(E2768="HI",2,IF(E2768="LO",6,10))+IF(T2768=1,2,IF(D2768=7,1,(IF(WEEKDAY(B2768)=1,2,IF(WEEKDAY(B2768)=7,1,0))))))</f>
        <v>3</v>
      </c>
      <c r="V2768" s="328">
        <f>VLOOKUP(C2768,METADATA!$A$5:$H$29,IF(E2768="HI",2,IF(E2768="LO",6,10))+IF(T2768=1,2,IF(D2768=7,1,(IF(WEEKDAY(B2768)=1,2,IF(WEEKDAY(B2768)=7,1,0))))))</f>
        <v>3</v>
      </c>
    </row>
    <row r="2769" spans="2:22">
      <c r="B2769" s="318">
        <f t="shared" si="171"/>
        <v>46228</v>
      </c>
      <c r="C2769" s="312">
        <v>5</v>
      </c>
      <c r="D2769" s="368">
        <f>IFERROR((INDEX(METADATA!$T$2:$T$20,MATCH(B2769,METADATA!$S$2:$S$20,0))),0)</f>
        <v>0</v>
      </c>
      <c r="E2769" s="312" t="str">
        <f t="shared" si="172"/>
        <v>LO</v>
      </c>
      <c r="F2769" s="369">
        <f>VLOOKUP(C2769,METADATA!$A$5:$H$29,IF(E2769="HI",2,IF(E2769="LO",6,10))+IF(D2769=1,2,IF(D2769=7,1,(IF(WEEKDAY(B2769)=1,2,IF(WEEKDAY(B2769)=7,1,0))))))</f>
        <v>3</v>
      </c>
      <c r="G2769" s="369">
        <f>VLOOKUP(C2769,METADATA!$J$5:$Q$29,IF(E2769="HI",2,IF(E2769="LO",6,10))+IF(D2769=1,2,IF(D2769=7,1,(IF(WEEKDAY(B2769)=1,2,IF(WEEKDAY(B2769)=7,1,0))))))</f>
        <v>3</v>
      </c>
      <c r="H2769" s="370">
        <v>13764.400329589844</v>
      </c>
      <c r="I2769" s="370">
        <v>4474.3900451660156</v>
      </c>
      <c r="M2769" s="371">
        <f t="shared" si="173"/>
        <v>14473.385323050503</v>
      </c>
      <c r="N2769" s="329">
        <f t="shared" si="174"/>
        <v>345.0699462890625</v>
      </c>
      <c r="T2769" s="331">
        <v>0</v>
      </c>
      <c r="U2769" s="328">
        <f>VLOOKUP(C2769,METADATA!$J$5:$Q$29,IF(E2769="HI",2,IF(E2769="LO",6,10))+IF(T2769=1,2,IF(D2769=7,1,(IF(WEEKDAY(B2769)=1,2,IF(WEEKDAY(B2769)=7,1,0))))))</f>
        <v>3</v>
      </c>
      <c r="V2769" s="328">
        <f>VLOOKUP(C2769,METADATA!$A$5:$H$29,IF(E2769="HI",2,IF(E2769="LO",6,10))+IF(T2769=1,2,IF(D2769=7,1,(IF(WEEKDAY(B2769)=1,2,IF(WEEKDAY(B2769)=7,1,0))))))</f>
        <v>3</v>
      </c>
    </row>
    <row r="2770" spans="2:22">
      <c r="B2770" s="318">
        <f t="shared" si="171"/>
        <v>46228</v>
      </c>
      <c r="C2770" s="312">
        <v>6</v>
      </c>
      <c r="D2770" s="368">
        <f>IFERROR((INDEX(METADATA!$T$2:$T$20,MATCH(B2770,METADATA!$S$2:$S$20,0))),0)</f>
        <v>0</v>
      </c>
      <c r="E2770" s="312" t="str">
        <f t="shared" si="172"/>
        <v>LO</v>
      </c>
      <c r="F2770" s="369">
        <f>VLOOKUP(C2770,METADATA!$A$5:$H$29,IF(E2770="HI",2,IF(E2770="LO",6,10))+IF(D2770=1,2,IF(D2770=7,1,(IF(WEEKDAY(B2770)=1,2,IF(WEEKDAY(B2770)=7,1,0))))))</f>
        <v>3</v>
      </c>
      <c r="G2770" s="369">
        <f>VLOOKUP(C2770,METADATA!$J$5:$Q$29,IF(E2770="HI",2,IF(E2770="LO",6,10))+IF(D2770=1,2,IF(D2770=7,1,(IF(WEEKDAY(B2770)=1,2,IF(WEEKDAY(B2770)=7,1,0))))))</f>
        <v>3</v>
      </c>
      <c r="H2770" s="370">
        <v>13746.274963378906</v>
      </c>
      <c r="I2770" s="370">
        <v>4325.31005859375</v>
      </c>
      <c r="M2770" s="371">
        <f t="shared" si="173"/>
        <v>14410.703746583302</v>
      </c>
      <c r="N2770" s="329">
        <f t="shared" si="174"/>
        <v>201.42756958007794</v>
      </c>
      <c r="T2770" s="331">
        <v>0</v>
      </c>
      <c r="U2770" s="328">
        <f>VLOOKUP(C2770,METADATA!$J$5:$Q$29,IF(E2770="HI",2,IF(E2770="LO",6,10))+IF(T2770=1,2,IF(D2770=7,1,(IF(WEEKDAY(B2770)=1,2,IF(WEEKDAY(B2770)=7,1,0))))))</f>
        <v>3</v>
      </c>
      <c r="V2770" s="328">
        <f>VLOOKUP(C2770,METADATA!$A$5:$H$29,IF(E2770="HI",2,IF(E2770="LO",6,10))+IF(T2770=1,2,IF(D2770=7,1,(IF(WEEKDAY(B2770)=1,2,IF(WEEKDAY(B2770)=7,1,0))))))</f>
        <v>3</v>
      </c>
    </row>
    <row r="2771" spans="2:22">
      <c r="B2771" s="318">
        <f t="shared" si="171"/>
        <v>46228</v>
      </c>
      <c r="C2771" s="312">
        <v>7</v>
      </c>
      <c r="D2771" s="368">
        <f>IFERROR((INDEX(METADATA!$T$2:$T$20,MATCH(B2771,METADATA!$S$2:$S$20,0))),0)</f>
        <v>0</v>
      </c>
      <c r="E2771" s="312" t="str">
        <f t="shared" si="172"/>
        <v>LO</v>
      </c>
      <c r="F2771" s="369">
        <f>VLOOKUP(C2771,METADATA!$A$5:$H$29,IF(E2771="HI",2,IF(E2771="LO",6,10))+IF(D2771=1,2,IF(D2771=7,1,(IF(WEEKDAY(B2771)=1,2,IF(WEEKDAY(B2771)=7,1,0))))))</f>
        <v>2</v>
      </c>
      <c r="G2771" s="369">
        <f>VLOOKUP(C2771,METADATA!$J$5:$Q$29,IF(E2771="HI",2,IF(E2771="LO",6,10))+IF(D2771=1,2,IF(D2771=7,1,(IF(WEEKDAY(B2771)=1,2,IF(WEEKDAY(B2771)=7,1,0))))))</f>
        <v>2</v>
      </c>
      <c r="H2771" s="370">
        <v>13733.325073242188</v>
      </c>
      <c r="I2771" s="370">
        <v>4342.5649719238281</v>
      </c>
      <c r="M2771" s="371">
        <f t="shared" si="173"/>
        <v>14403.544289608803</v>
      </c>
      <c r="N2771" s="329">
        <f t="shared" si="174"/>
        <v>222.56744995117242</v>
      </c>
      <c r="T2771" s="331">
        <v>0</v>
      </c>
      <c r="U2771" s="328">
        <f>VLOOKUP(C2771,METADATA!$J$5:$Q$29,IF(E2771="HI",2,IF(E2771="LO",6,10))+IF(T2771=1,2,IF(D2771=7,1,(IF(WEEKDAY(B2771)=1,2,IF(WEEKDAY(B2771)=7,1,0))))))</f>
        <v>2</v>
      </c>
      <c r="V2771" s="328">
        <f>VLOOKUP(C2771,METADATA!$A$5:$H$29,IF(E2771="HI",2,IF(E2771="LO",6,10))+IF(T2771=1,2,IF(D2771=7,1,(IF(WEEKDAY(B2771)=1,2,IF(WEEKDAY(B2771)=7,1,0))))))</f>
        <v>2</v>
      </c>
    </row>
    <row r="2772" spans="2:22">
      <c r="B2772" s="318">
        <f t="shared" si="171"/>
        <v>46228</v>
      </c>
      <c r="C2772" s="312">
        <v>8</v>
      </c>
      <c r="D2772" s="368">
        <f>IFERROR((INDEX(METADATA!$T$2:$T$20,MATCH(B2772,METADATA!$S$2:$S$20,0))),0)</f>
        <v>0</v>
      </c>
      <c r="E2772" s="312" t="str">
        <f t="shared" si="172"/>
        <v>LO</v>
      </c>
      <c r="F2772" s="369">
        <f>VLOOKUP(C2772,METADATA!$A$5:$H$29,IF(E2772="HI",2,IF(E2772="LO",6,10))+IF(D2772=1,2,IF(D2772=7,1,(IF(WEEKDAY(B2772)=1,2,IF(WEEKDAY(B2772)=7,1,0))))))</f>
        <v>2</v>
      </c>
      <c r="G2772" s="369">
        <f>VLOOKUP(C2772,METADATA!$J$5:$Q$29,IF(E2772="HI",2,IF(E2772="LO",6,10))+IF(D2772=1,2,IF(D2772=7,1,(IF(WEEKDAY(B2772)=1,2,IF(WEEKDAY(B2772)=7,1,0))))))</f>
        <v>2</v>
      </c>
      <c r="H2772" s="370">
        <v>13722.524780273438</v>
      </c>
      <c r="I2772" s="370">
        <v>4478.6199951171875</v>
      </c>
      <c r="M2772" s="371">
        <f t="shared" si="173"/>
        <v>14434.87871115937</v>
      </c>
      <c r="N2772" s="329">
        <f t="shared" si="174"/>
        <v>361.86256103515643</v>
      </c>
      <c r="T2772" s="331">
        <v>0</v>
      </c>
      <c r="U2772" s="328">
        <f>VLOOKUP(C2772,METADATA!$J$5:$Q$29,IF(E2772="HI",2,IF(E2772="LO",6,10))+IF(T2772=1,2,IF(D2772=7,1,(IF(WEEKDAY(B2772)=1,2,IF(WEEKDAY(B2772)=7,1,0))))))</f>
        <v>2</v>
      </c>
      <c r="V2772" s="328">
        <f>VLOOKUP(C2772,METADATA!$A$5:$H$29,IF(E2772="HI",2,IF(E2772="LO",6,10))+IF(T2772=1,2,IF(D2772=7,1,(IF(WEEKDAY(B2772)=1,2,IF(WEEKDAY(B2772)=7,1,0))))))</f>
        <v>2</v>
      </c>
    </row>
    <row r="2773" spans="2:22">
      <c r="B2773" s="318">
        <f t="shared" si="171"/>
        <v>46228</v>
      </c>
      <c r="C2773" s="312">
        <v>9</v>
      </c>
      <c r="D2773" s="368">
        <f>IFERROR((INDEX(METADATA!$T$2:$T$20,MATCH(B2773,METADATA!$S$2:$S$20,0))),0)</f>
        <v>0</v>
      </c>
      <c r="E2773" s="312" t="str">
        <f t="shared" si="172"/>
        <v>LO</v>
      </c>
      <c r="F2773" s="369">
        <f>VLOOKUP(C2773,METADATA!$A$5:$H$29,IF(E2773="HI",2,IF(E2773="LO",6,10))+IF(D2773=1,2,IF(D2773=7,1,(IF(WEEKDAY(B2773)=1,2,IF(WEEKDAY(B2773)=7,1,0))))))</f>
        <v>2</v>
      </c>
      <c r="G2773" s="369">
        <f>VLOOKUP(C2773,METADATA!$J$5:$Q$29,IF(E2773="HI",2,IF(E2773="LO",6,10))+IF(D2773=1,2,IF(D2773=7,1,(IF(WEEKDAY(B2773)=1,2,IF(WEEKDAY(B2773)=7,1,0))))))</f>
        <v>2</v>
      </c>
      <c r="H2773" s="370">
        <v>13734.799682617188</v>
      </c>
      <c r="I2773" s="370">
        <v>4392.1149291992188</v>
      </c>
      <c r="M2773" s="371">
        <f t="shared" si="173"/>
        <v>14419.965182791388</v>
      </c>
      <c r="N2773" s="329">
        <f t="shared" si="174"/>
        <v>271.67502441406305</v>
      </c>
      <c r="T2773" s="331">
        <v>0</v>
      </c>
      <c r="U2773" s="328">
        <f>VLOOKUP(C2773,METADATA!$J$5:$Q$29,IF(E2773="HI",2,IF(E2773="LO",6,10))+IF(T2773=1,2,IF(D2773=7,1,(IF(WEEKDAY(B2773)=1,2,IF(WEEKDAY(B2773)=7,1,0))))))</f>
        <v>2</v>
      </c>
      <c r="V2773" s="328">
        <f>VLOOKUP(C2773,METADATA!$A$5:$H$29,IF(E2773="HI",2,IF(E2773="LO",6,10))+IF(T2773=1,2,IF(D2773=7,1,(IF(WEEKDAY(B2773)=1,2,IF(WEEKDAY(B2773)=7,1,0))))))</f>
        <v>2</v>
      </c>
    </row>
    <row r="2774" spans="2:22">
      <c r="B2774" s="318">
        <f t="shared" si="171"/>
        <v>46228</v>
      </c>
      <c r="C2774" s="312">
        <v>10</v>
      </c>
      <c r="D2774" s="368">
        <f>IFERROR((INDEX(METADATA!$T$2:$T$20,MATCH(B2774,METADATA!$S$2:$S$20,0))),0)</f>
        <v>0</v>
      </c>
      <c r="E2774" s="312" t="str">
        <f t="shared" si="172"/>
        <v>LO</v>
      </c>
      <c r="F2774" s="369">
        <f>VLOOKUP(C2774,METADATA!$A$5:$H$29,IF(E2774="HI",2,IF(E2774="LO",6,10))+IF(D2774=1,2,IF(D2774=7,1,(IF(WEEKDAY(B2774)=1,2,IF(WEEKDAY(B2774)=7,1,0))))))</f>
        <v>2</v>
      </c>
      <c r="G2774" s="369">
        <f>VLOOKUP(C2774,METADATA!$J$5:$Q$29,IF(E2774="HI",2,IF(E2774="LO",6,10))+IF(D2774=1,2,IF(D2774=7,1,(IF(WEEKDAY(B2774)=1,2,IF(WEEKDAY(B2774)=7,1,0))))))</f>
        <v>2</v>
      </c>
      <c r="H2774" s="370">
        <v>13714.599548339844</v>
      </c>
      <c r="I2774" s="370">
        <v>4413.0700988769531</v>
      </c>
      <c r="M2774" s="371">
        <f t="shared" si="173"/>
        <v>14407.131167200683</v>
      </c>
      <c r="N2774" s="329">
        <f t="shared" si="174"/>
        <v>298.69023437499982</v>
      </c>
      <c r="T2774" s="331">
        <v>0</v>
      </c>
      <c r="U2774" s="328">
        <f>VLOOKUP(C2774,METADATA!$J$5:$Q$29,IF(E2774="HI",2,IF(E2774="LO",6,10))+IF(T2774=1,2,IF(D2774=7,1,(IF(WEEKDAY(B2774)=1,2,IF(WEEKDAY(B2774)=7,1,0))))))</f>
        <v>2</v>
      </c>
      <c r="V2774" s="328">
        <f>VLOOKUP(C2774,METADATA!$A$5:$H$29,IF(E2774="HI",2,IF(E2774="LO",6,10))+IF(T2774=1,2,IF(D2774=7,1,(IF(WEEKDAY(B2774)=1,2,IF(WEEKDAY(B2774)=7,1,0))))))</f>
        <v>2</v>
      </c>
    </row>
    <row r="2775" spans="2:22">
      <c r="B2775" s="318">
        <f t="shared" si="171"/>
        <v>46228</v>
      </c>
      <c r="C2775" s="312">
        <v>11</v>
      </c>
      <c r="D2775" s="368">
        <f>IFERROR((INDEX(METADATA!$T$2:$T$20,MATCH(B2775,METADATA!$S$2:$S$20,0))),0)</f>
        <v>0</v>
      </c>
      <c r="E2775" s="312" t="str">
        <f t="shared" si="172"/>
        <v>LO</v>
      </c>
      <c r="F2775" s="369">
        <f>VLOOKUP(C2775,METADATA!$A$5:$H$29,IF(E2775="HI",2,IF(E2775="LO",6,10))+IF(D2775=1,2,IF(D2775=7,1,(IF(WEEKDAY(B2775)=1,2,IF(WEEKDAY(B2775)=7,1,0))))))</f>
        <v>2</v>
      </c>
      <c r="G2775" s="369">
        <f>VLOOKUP(C2775,METADATA!$J$5:$Q$29,IF(E2775="HI",2,IF(E2775="LO",6,10))+IF(D2775=1,2,IF(D2775=7,1,(IF(WEEKDAY(B2775)=1,2,IF(WEEKDAY(B2775)=7,1,0))))))</f>
        <v>2</v>
      </c>
      <c r="H2775" s="370">
        <v>13726.249816894531</v>
      </c>
      <c r="I2775" s="370">
        <v>4358.8798828125</v>
      </c>
      <c r="M2775" s="371">
        <f t="shared" si="173"/>
        <v>14401.727947318845</v>
      </c>
      <c r="N2775" s="329">
        <f t="shared" si="174"/>
        <v>241.00493774414099</v>
      </c>
      <c r="T2775" s="331">
        <v>0</v>
      </c>
      <c r="U2775" s="328">
        <f>VLOOKUP(C2775,METADATA!$J$5:$Q$29,IF(E2775="HI",2,IF(E2775="LO",6,10))+IF(T2775=1,2,IF(D2775=7,1,(IF(WEEKDAY(B2775)=1,2,IF(WEEKDAY(B2775)=7,1,0))))))</f>
        <v>2</v>
      </c>
      <c r="V2775" s="328">
        <f>VLOOKUP(C2775,METADATA!$A$5:$H$29,IF(E2775="HI",2,IF(E2775="LO",6,10))+IF(T2775=1,2,IF(D2775=7,1,(IF(WEEKDAY(B2775)=1,2,IF(WEEKDAY(B2775)=7,1,0))))))</f>
        <v>2</v>
      </c>
    </row>
    <row r="2776" spans="2:22">
      <c r="B2776" s="318">
        <f t="shared" si="171"/>
        <v>46228</v>
      </c>
      <c r="C2776" s="312">
        <v>12</v>
      </c>
      <c r="D2776" s="368">
        <f>IFERROR((INDEX(METADATA!$T$2:$T$20,MATCH(B2776,METADATA!$S$2:$S$20,0))),0)</f>
        <v>0</v>
      </c>
      <c r="E2776" s="312" t="str">
        <f t="shared" si="172"/>
        <v>LO</v>
      </c>
      <c r="F2776" s="369">
        <f>VLOOKUP(C2776,METADATA!$A$5:$H$29,IF(E2776="HI",2,IF(E2776="LO",6,10))+IF(D2776=1,2,IF(D2776=7,1,(IF(WEEKDAY(B2776)=1,2,IF(WEEKDAY(B2776)=7,1,0))))))</f>
        <v>3</v>
      </c>
      <c r="G2776" s="369">
        <f>VLOOKUP(C2776,METADATA!$J$5:$Q$29,IF(E2776="HI",2,IF(E2776="LO",6,10))+IF(D2776=1,2,IF(D2776=7,1,(IF(WEEKDAY(B2776)=1,2,IF(WEEKDAY(B2776)=7,1,0))))))</f>
        <v>3</v>
      </c>
      <c r="H2776" s="370">
        <v>13759.400268554688</v>
      </c>
      <c r="I2776" s="370">
        <v>4469.6300048828125</v>
      </c>
      <c r="M2776" s="371">
        <f t="shared" si="173"/>
        <v>14467.158951599706</v>
      </c>
      <c r="N2776" s="329">
        <f t="shared" si="174"/>
        <v>341.80992431640607</v>
      </c>
      <c r="T2776" s="331">
        <v>0</v>
      </c>
      <c r="U2776" s="328">
        <f>VLOOKUP(C2776,METADATA!$J$5:$Q$29,IF(E2776="HI",2,IF(E2776="LO",6,10))+IF(T2776=1,2,IF(D2776=7,1,(IF(WEEKDAY(B2776)=1,2,IF(WEEKDAY(B2776)=7,1,0))))))</f>
        <v>3</v>
      </c>
      <c r="V2776" s="328">
        <f>VLOOKUP(C2776,METADATA!$A$5:$H$29,IF(E2776="HI",2,IF(E2776="LO",6,10))+IF(T2776=1,2,IF(D2776=7,1,(IF(WEEKDAY(B2776)=1,2,IF(WEEKDAY(B2776)=7,1,0))))))</f>
        <v>3</v>
      </c>
    </row>
    <row r="2777" spans="2:22">
      <c r="B2777" s="318">
        <f t="shared" si="171"/>
        <v>46228</v>
      </c>
      <c r="C2777" s="312">
        <v>13</v>
      </c>
      <c r="D2777" s="368">
        <f>IFERROR((INDEX(METADATA!$T$2:$T$20,MATCH(B2777,METADATA!$S$2:$S$20,0))),0)</f>
        <v>0</v>
      </c>
      <c r="E2777" s="312" t="str">
        <f t="shared" si="172"/>
        <v>LO</v>
      </c>
      <c r="F2777" s="369">
        <f>VLOOKUP(C2777,METADATA!$A$5:$H$29,IF(E2777="HI",2,IF(E2777="LO",6,10))+IF(D2777=1,2,IF(D2777=7,1,(IF(WEEKDAY(B2777)=1,2,IF(WEEKDAY(B2777)=7,1,0))))))</f>
        <v>3</v>
      </c>
      <c r="G2777" s="369">
        <f>VLOOKUP(C2777,METADATA!$J$5:$Q$29,IF(E2777="HI",2,IF(E2777="LO",6,10))+IF(D2777=1,2,IF(D2777=7,1,(IF(WEEKDAY(B2777)=1,2,IF(WEEKDAY(B2777)=7,1,0))))))</f>
        <v>3</v>
      </c>
      <c r="H2777" s="370">
        <v>13728.999816894531</v>
      </c>
      <c r="I2777" s="370">
        <v>4352.385009765625</v>
      </c>
      <c r="M2777" s="371">
        <f t="shared" si="173"/>
        <v>14402.384915197988</v>
      </c>
      <c r="N2777" s="329">
        <f t="shared" si="174"/>
        <v>233.68506469726617</v>
      </c>
      <c r="T2777" s="331">
        <v>0</v>
      </c>
      <c r="U2777" s="328">
        <f>VLOOKUP(C2777,METADATA!$J$5:$Q$29,IF(E2777="HI",2,IF(E2777="LO",6,10))+IF(T2777=1,2,IF(D2777=7,1,(IF(WEEKDAY(B2777)=1,2,IF(WEEKDAY(B2777)=7,1,0))))))</f>
        <v>3</v>
      </c>
      <c r="V2777" s="328">
        <f>VLOOKUP(C2777,METADATA!$A$5:$H$29,IF(E2777="HI",2,IF(E2777="LO",6,10))+IF(T2777=1,2,IF(D2777=7,1,(IF(WEEKDAY(B2777)=1,2,IF(WEEKDAY(B2777)=7,1,0))))))</f>
        <v>3</v>
      </c>
    </row>
    <row r="2778" spans="2:22">
      <c r="B2778" s="318">
        <f t="shared" si="171"/>
        <v>46228</v>
      </c>
      <c r="C2778" s="312">
        <v>14</v>
      </c>
      <c r="D2778" s="368">
        <f>IFERROR((INDEX(METADATA!$T$2:$T$20,MATCH(B2778,METADATA!$S$2:$S$20,0))),0)</f>
        <v>0</v>
      </c>
      <c r="E2778" s="312" t="str">
        <f t="shared" si="172"/>
        <v>LO</v>
      </c>
      <c r="F2778" s="369">
        <f>VLOOKUP(C2778,METADATA!$A$5:$H$29,IF(E2778="HI",2,IF(E2778="LO",6,10))+IF(D2778=1,2,IF(D2778=7,1,(IF(WEEKDAY(B2778)=1,2,IF(WEEKDAY(B2778)=7,1,0))))))</f>
        <v>3</v>
      </c>
      <c r="G2778" s="369">
        <f>VLOOKUP(C2778,METADATA!$J$5:$Q$29,IF(E2778="HI",2,IF(E2778="LO",6,10))+IF(D2778=1,2,IF(D2778=7,1,(IF(WEEKDAY(B2778)=1,2,IF(WEEKDAY(B2778)=7,1,0))))))</f>
        <v>3</v>
      </c>
      <c r="H2778" s="370">
        <v>13564.774780273438</v>
      </c>
      <c r="I2778" s="370">
        <v>4282.0550231933594</v>
      </c>
      <c r="M2778" s="371">
        <f t="shared" si="173"/>
        <v>14224.595251225877</v>
      </c>
      <c r="N2778" s="329">
        <f t="shared" si="174"/>
        <v>212.62258911132813</v>
      </c>
      <c r="T2778" s="331">
        <v>0</v>
      </c>
      <c r="U2778" s="328">
        <f>VLOOKUP(C2778,METADATA!$J$5:$Q$29,IF(E2778="HI",2,IF(E2778="LO",6,10))+IF(T2778=1,2,IF(D2778=7,1,(IF(WEEKDAY(B2778)=1,2,IF(WEEKDAY(B2778)=7,1,0))))))</f>
        <v>3</v>
      </c>
      <c r="V2778" s="328">
        <f>VLOOKUP(C2778,METADATA!$A$5:$H$29,IF(E2778="HI",2,IF(E2778="LO",6,10))+IF(T2778=1,2,IF(D2778=7,1,(IF(WEEKDAY(B2778)=1,2,IF(WEEKDAY(B2778)=7,1,0))))))</f>
        <v>3</v>
      </c>
    </row>
    <row r="2779" spans="2:22">
      <c r="B2779" s="318">
        <f t="shared" si="171"/>
        <v>46228</v>
      </c>
      <c r="C2779" s="312">
        <v>15</v>
      </c>
      <c r="D2779" s="368">
        <f>IFERROR((INDEX(METADATA!$T$2:$T$20,MATCH(B2779,METADATA!$S$2:$S$20,0))),0)</f>
        <v>0</v>
      </c>
      <c r="E2779" s="312" t="str">
        <f t="shared" si="172"/>
        <v>LO</v>
      </c>
      <c r="F2779" s="369">
        <f>VLOOKUP(C2779,METADATA!$A$5:$H$29,IF(E2779="HI",2,IF(E2779="LO",6,10))+IF(D2779=1,2,IF(D2779=7,1,(IF(WEEKDAY(B2779)=1,2,IF(WEEKDAY(B2779)=7,1,0))))))</f>
        <v>3</v>
      </c>
      <c r="G2779" s="369">
        <f>VLOOKUP(C2779,METADATA!$J$5:$Q$29,IF(E2779="HI",2,IF(E2779="LO",6,10))+IF(D2779=1,2,IF(D2779=7,1,(IF(WEEKDAY(B2779)=1,2,IF(WEEKDAY(B2779)=7,1,0))))))</f>
        <v>3</v>
      </c>
      <c r="H2779" s="370">
        <v>13596.924682617188</v>
      </c>
      <c r="I2779" s="370">
        <v>4227.8748779296875</v>
      </c>
      <c r="M2779" s="371">
        <f t="shared" si="173"/>
        <v>14239.076051773634</v>
      </c>
      <c r="N2779" s="329">
        <f t="shared" si="174"/>
        <v>148.79747314453152</v>
      </c>
      <c r="T2779" s="331">
        <v>0</v>
      </c>
      <c r="U2779" s="328">
        <f>VLOOKUP(C2779,METADATA!$J$5:$Q$29,IF(E2779="HI",2,IF(E2779="LO",6,10))+IF(T2779=1,2,IF(D2779=7,1,(IF(WEEKDAY(B2779)=1,2,IF(WEEKDAY(B2779)=7,1,0))))))</f>
        <v>3</v>
      </c>
      <c r="V2779" s="328">
        <f>VLOOKUP(C2779,METADATA!$A$5:$H$29,IF(E2779="HI",2,IF(E2779="LO",6,10))+IF(T2779=1,2,IF(D2779=7,1,(IF(WEEKDAY(B2779)=1,2,IF(WEEKDAY(B2779)=7,1,0))))))</f>
        <v>3</v>
      </c>
    </row>
    <row r="2780" spans="2:22">
      <c r="B2780" s="318">
        <f t="shared" ref="B2780:B2843" si="175">B2756+1</f>
        <v>46228</v>
      </c>
      <c r="C2780" s="312">
        <v>16</v>
      </c>
      <c r="D2780" s="368">
        <f>IFERROR((INDEX(METADATA!$T$2:$T$20,MATCH(B2780,METADATA!$S$2:$S$20,0))),0)</f>
        <v>0</v>
      </c>
      <c r="E2780" s="312" t="str">
        <f t="shared" si="172"/>
        <v>LO</v>
      </c>
      <c r="F2780" s="369">
        <f>VLOOKUP(C2780,METADATA!$A$5:$H$29,IF(E2780="HI",2,IF(E2780="LO",6,10))+IF(D2780=1,2,IF(D2780=7,1,(IF(WEEKDAY(B2780)=1,2,IF(WEEKDAY(B2780)=7,1,0))))))</f>
        <v>3</v>
      </c>
      <c r="G2780" s="369">
        <f>VLOOKUP(C2780,METADATA!$J$5:$Q$29,IF(E2780="HI",2,IF(E2780="LO",6,10))+IF(D2780=1,2,IF(D2780=7,1,(IF(WEEKDAY(B2780)=1,2,IF(WEEKDAY(B2780)=7,1,0))))))</f>
        <v>3</v>
      </c>
      <c r="H2780" s="370">
        <v>13569.325378417969</v>
      </c>
      <c r="I2780" s="370">
        <v>4187.1649780273438</v>
      </c>
      <c r="M2780" s="371">
        <f t="shared" si="173"/>
        <v>14200.666948372413</v>
      </c>
      <c r="N2780" s="329">
        <f t="shared" si="174"/>
        <v>116.36736450195349</v>
      </c>
      <c r="T2780" s="331">
        <v>0</v>
      </c>
      <c r="U2780" s="328">
        <f>VLOOKUP(C2780,METADATA!$J$5:$Q$29,IF(E2780="HI",2,IF(E2780="LO",6,10))+IF(T2780=1,2,IF(D2780=7,1,(IF(WEEKDAY(B2780)=1,2,IF(WEEKDAY(B2780)=7,1,0))))))</f>
        <v>3</v>
      </c>
      <c r="V2780" s="328">
        <f>VLOOKUP(C2780,METADATA!$A$5:$H$29,IF(E2780="HI",2,IF(E2780="LO",6,10))+IF(T2780=1,2,IF(D2780=7,1,(IF(WEEKDAY(B2780)=1,2,IF(WEEKDAY(B2780)=7,1,0))))))</f>
        <v>3</v>
      </c>
    </row>
    <row r="2781" spans="2:22">
      <c r="B2781" s="318">
        <f t="shared" si="175"/>
        <v>46228</v>
      </c>
      <c r="C2781" s="312">
        <v>17</v>
      </c>
      <c r="D2781" s="368">
        <f>IFERROR((INDEX(METADATA!$T$2:$T$20,MATCH(B2781,METADATA!$S$2:$S$20,0))),0)</f>
        <v>0</v>
      </c>
      <c r="E2781" s="312" t="str">
        <f t="shared" si="172"/>
        <v>LO</v>
      </c>
      <c r="F2781" s="369">
        <f>VLOOKUP(C2781,METADATA!$A$5:$H$29,IF(E2781="HI",2,IF(E2781="LO",6,10))+IF(D2781=1,2,IF(D2781=7,1,(IF(WEEKDAY(B2781)=1,2,IF(WEEKDAY(B2781)=7,1,0))))))</f>
        <v>3</v>
      </c>
      <c r="G2781" s="369">
        <f>VLOOKUP(C2781,METADATA!$J$5:$Q$29,IF(E2781="HI",2,IF(E2781="LO",6,10))+IF(D2781=1,2,IF(D2781=7,1,(IF(WEEKDAY(B2781)=1,2,IF(WEEKDAY(B2781)=7,1,0))))))</f>
        <v>3</v>
      </c>
      <c r="H2781" s="370">
        <v>13584.450439453125</v>
      </c>
      <c r="I2781" s="370">
        <v>4212.1600952148438</v>
      </c>
      <c r="M2781" s="371">
        <f t="shared" si="173"/>
        <v>14222.502818058378</v>
      </c>
      <c r="N2781" s="329">
        <f t="shared" si="174"/>
        <v>136.82496337890643</v>
      </c>
      <c r="T2781" s="331">
        <v>0</v>
      </c>
      <c r="U2781" s="328">
        <f>VLOOKUP(C2781,METADATA!$J$5:$Q$29,IF(E2781="HI",2,IF(E2781="LO",6,10))+IF(T2781=1,2,IF(D2781=7,1,(IF(WEEKDAY(B2781)=1,2,IF(WEEKDAY(B2781)=7,1,0))))))</f>
        <v>3</v>
      </c>
      <c r="V2781" s="328">
        <f>VLOOKUP(C2781,METADATA!$A$5:$H$29,IF(E2781="HI",2,IF(E2781="LO",6,10))+IF(T2781=1,2,IF(D2781=7,1,(IF(WEEKDAY(B2781)=1,2,IF(WEEKDAY(B2781)=7,1,0))))))</f>
        <v>3</v>
      </c>
    </row>
    <row r="2782" spans="2:22">
      <c r="B2782" s="318">
        <f t="shared" si="175"/>
        <v>46228</v>
      </c>
      <c r="C2782" s="312">
        <v>18</v>
      </c>
      <c r="D2782" s="368">
        <f>IFERROR((INDEX(METADATA!$T$2:$T$20,MATCH(B2782,METADATA!$S$2:$S$20,0))),0)</f>
        <v>0</v>
      </c>
      <c r="E2782" s="312" t="str">
        <f t="shared" si="172"/>
        <v>LO</v>
      </c>
      <c r="F2782" s="369">
        <f>VLOOKUP(C2782,METADATA!$A$5:$H$29,IF(E2782="HI",2,IF(E2782="LO",6,10))+IF(D2782=1,2,IF(D2782=7,1,(IF(WEEKDAY(B2782)=1,2,IF(WEEKDAY(B2782)=7,1,0))))))</f>
        <v>2</v>
      </c>
      <c r="G2782" s="369">
        <f>VLOOKUP(C2782,METADATA!$J$5:$Q$29,IF(E2782="HI",2,IF(E2782="LO",6,10))+IF(D2782=1,2,IF(D2782=7,1,(IF(WEEKDAY(B2782)=1,2,IF(WEEKDAY(B2782)=7,1,0))))))</f>
        <v>2</v>
      </c>
      <c r="H2782" s="370">
        <v>13749.599853515625</v>
      </c>
      <c r="I2782" s="370">
        <v>4133.2449951171875</v>
      </c>
      <c r="M2782" s="371">
        <f t="shared" si="173"/>
        <v>14357.409596492613</v>
      </c>
      <c r="N2782" s="329">
        <f t="shared" si="174"/>
        <v>8.3650390624998181</v>
      </c>
      <c r="T2782" s="331">
        <v>0</v>
      </c>
      <c r="U2782" s="328">
        <f>VLOOKUP(C2782,METADATA!$J$5:$Q$29,IF(E2782="HI",2,IF(E2782="LO",6,10))+IF(T2782=1,2,IF(D2782=7,1,(IF(WEEKDAY(B2782)=1,2,IF(WEEKDAY(B2782)=7,1,0))))))</f>
        <v>2</v>
      </c>
      <c r="V2782" s="328">
        <f>VLOOKUP(C2782,METADATA!$A$5:$H$29,IF(E2782="HI",2,IF(E2782="LO",6,10))+IF(T2782=1,2,IF(D2782=7,1,(IF(WEEKDAY(B2782)=1,2,IF(WEEKDAY(B2782)=7,1,0))))))</f>
        <v>2</v>
      </c>
    </row>
    <row r="2783" spans="2:22">
      <c r="B2783" s="318">
        <f t="shared" si="175"/>
        <v>46228</v>
      </c>
      <c r="C2783" s="312">
        <v>19</v>
      </c>
      <c r="D2783" s="368">
        <f>IFERROR((INDEX(METADATA!$T$2:$T$20,MATCH(B2783,METADATA!$S$2:$S$20,0))),0)</f>
        <v>0</v>
      </c>
      <c r="E2783" s="312" t="str">
        <f t="shared" si="172"/>
        <v>LO</v>
      </c>
      <c r="F2783" s="369">
        <f>VLOOKUP(C2783,METADATA!$A$5:$H$29,IF(E2783="HI",2,IF(E2783="LO",6,10))+IF(D2783=1,2,IF(D2783=7,1,(IF(WEEKDAY(B2783)=1,2,IF(WEEKDAY(B2783)=7,1,0))))))</f>
        <v>2</v>
      </c>
      <c r="G2783" s="369">
        <f>VLOOKUP(C2783,METADATA!$J$5:$Q$29,IF(E2783="HI",2,IF(E2783="LO",6,10))+IF(D2783=1,2,IF(D2783=7,1,(IF(WEEKDAY(B2783)=1,2,IF(WEEKDAY(B2783)=7,1,0))))))</f>
        <v>2</v>
      </c>
      <c r="H2783" s="370">
        <v>13857.299499511719</v>
      </c>
      <c r="I2783" s="370">
        <v>4378.5150146484375</v>
      </c>
      <c r="M2783" s="371">
        <f t="shared" si="173"/>
        <v>14532.589003775945</v>
      </c>
      <c r="N2783" s="329">
        <f t="shared" si="174"/>
        <v>221.32516479492188</v>
      </c>
      <c r="T2783" s="331">
        <v>0</v>
      </c>
      <c r="U2783" s="328">
        <f>VLOOKUP(C2783,METADATA!$J$5:$Q$29,IF(E2783="HI",2,IF(E2783="LO",6,10))+IF(T2783=1,2,IF(D2783=7,1,(IF(WEEKDAY(B2783)=1,2,IF(WEEKDAY(B2783)=7,1,0))))))</f>
        <v>2</v>
      </c>
      <c r="V2783" s="328">
        <f>VLOOKUP(C2783,METADATA!$A$5:$H$29,IF(E2783="HI",2,IF(E2783="LO",6,10))+IF(T2783=1,2,IF(D2783=7,1,(IF(WEEKDAY(B2783)=1,2,IF(WEEKDAY(B2783)=7,1,0))))))</f>
        <v>2</v>
      </c>
    </row>
    <row r="2784" spans="2:22">
      <c r="B2784" s="318">
        <f t="shared" si="175"/>
        <v>46228</v>
      </c>
      <c r="C2784" s="312">
        <v>20</v>
      </c>
      <c r="D2784" s="368">
        <f>IFERROR((INDEX(METADATA!$T$2:$T$20,MATCH(B2784,METADATA!$S$2:$S$20,0))),0)</f>
        <v>0</v>
      </c>
      <c r="E2784" s="312" t="str">
        <f t="shared" si="172"/>
        <v>LO</v>
      </c>
      <c r="F2784" s="369">
        <f>VLOOKUP(C2784,METADATA!$A$5:$H$29,IF(E2784="HI",2,IF(E2784="LO",6,10))+IF(D2784=1,2,IF(D2784=7,1,(IF(WEEKDAY(B2784)=1,2,IF(WEEKDAY(B2784)=7,1,0))))))</f>
        <v>3</v>
      </c>
      <c r="G2784" s="369">
        <f>VLOOKUP(C2784,METADATA!$J$5:$Q$29,IF(E2784="HI",2,IF(E2784="LO",6,10))+IF(D2784=1,2,IF(D2784=7,1,(IF(WEEKDAY(B2784)=1,2,IF(WEEKDAY(B2784)=7,1,0))))))</f>
        <v>3</v>
      </c>
      <c r="H2784" s="370">
        <v>13903.949829101563</v>
      </c>
      <c r="I2784" s="370">
        <v>4448.0400390625</v>
      </c>
      <c r="M2784" s="371">
        <f t="shared" si="173"/>
        <v>14598.112242316693</v>
      </c>
      <c r="N2784" s="329">
        <f t="shared" si="174"/>
        <v>276.85509033203107</v>
      </c>
      <c r="T2784" s="331">
        <v>0</v>
      </c>
      <c r="U2784" s="328">
        <f>VLOOKUP(C2784,METADATA!$J$5:$Q$29,IF(E2784="HI",2,IF(E2784="LO",6,10))+IF(T2784=1,2,IF(D2784=7,1,(IF(WEEKDAY(B2784)=1,2,IF(WEEKDAY(B2784)=7,1,0))))))</f>
        <v>3</v>
      </c>
      <c r="V2784" s="328">
        <f>VLOOKUP(C2784,METADATA!$A$5:$H$29,IF(E2784="HI",2,IF(E2784="LO",6,10))+IF(T2784=1,2,IF(D2784=7,1,(IF(WEEKDAY(B2784)=1,2,IF(WEEKDAY(B2784)=7,1,0))))))</f>
        <v>3</v>
      </c>
    </row>
    <row r="2785" spans="2:22">
      <c r="B2785" s="318">
        <f t="shared" si="175"/>
        <v>46228</v>
      </c>
      <c r="C2785" s="312">
        <v>21</v>
      </c>
      <c r="D2785" s="368">
        <f>IFERROR((INDEX(METADATA!$T$2:$T$20,MATCH(B2785,METADATA!$S$2:$S$20,0))),0)</f>
        <v>0</v>
      </c>
      <c r="E2785" s="312" t="str">
        <f t="shared" si="172"/>
        <v>LO</v>
      </c>
      <c r="F2785" s="369">
        <f>VLOOKUP(C2785,METADATA!$A$5:$H$29,IF(E2785="HI",2,IF(E2785="LO",6,10))+IF(D2785=1,2,IF(D2785=7,1,(IF(WEEKDAY(B2785)=1,2,IF(WEEKDAY(B2785)=7,1,0))))))</f>
        <v>3</v>
      </c>
      <c r="G2785" s="369">
        <f>VLOOKUP(C2785,METADATA!$J$5:$Q$29,IF(E2785="HI",2,IF(E2785="LO",6,10))+IF(D2785=1,2,IF(D2785=7,1,(IF(WEEKDAY(B2785)=1,2,IF(WEEKDAY(B2785)=7,1,0))))))</f>
        <v>3</v>
      </c>
      <c r="H2785" s="370">
        <v>13957.574829101563</v>
      </c>
      <c r="I2785" s="370">
        <v>4575.2250366210938</v>
      </c>
      <c r="M2785" s="371">
        <f t="shared" si="173"/>
        <v>14688.314377276038</v>
      </c>
      <c r="N2785" s="329">
        <f t="shared" si="174"/>
        <v>387.95258789062518</v>
      </c>
      <c r="T2785" s="331">
        <v>0</v>
      </c>
      <c r="U2785" s="328">
        <f>VLOOKUP(C2785,METADATA!$J$5:$Q$29,IF(E2785="HI",2,IF(E2785="LO",6,10))+IF(T2785=1,2,IF(D2785=7,1,(IF(WEEKDAY(B2785)=1,2,IF(WEEKDAY(B2785)=7,1,0))))))</f>
        <v>3</v>
      </c>
      <c r="V2785" s="328">
        <f>VLOOKUP(C2785,METADATA!$A$5:$H$29,IF(E2785="HI",2,IF(E2785="LO",6,10))+IF(T2785=1,2,IF(D2785=7,1,(IF(WEEKDAY(B2785)=1,2,IF(WEEKDAY(B2785)=7,1,0))))))</f>
        <v>3</v>
      </c>
    </row>
    <row r="2786" spans="2:22">
      <c r="B2786" s="318">
        <f t="shared" si="175"/>
        <v>46228</v>
      </c>
      <c r="C2786" s="312">
        <v>22</v>
      </c>
      <c r="D2786" s="368">
        <f>IFERROR((INDEX(METADATA!$T$2:$T$20,MATCH(B2786,METADATA!$S$2:$S$20,0))),0)</f>
        <v>0</v>
      </c>
      <c r="E2786" s="312" t="str">
        <f t="shared" si="172"/>
        <v>LO</v>
      </c>
      <c r="F2786" s="369">
        <f>VLOOKUP(C2786,METADATA!$A$5:$H$29,IF(E2786="HI",2,IF(E2786="LO",6,10))+IF(D2786=1,2,IF(D2786=7,1,(IF(WEEKDAY(B2786)=1,2,IF(WEEKDAY(B2786)=7,1,0))))))</f>
        <v>3</v>
      </c>
      <c r="G2786" s="369">
        <f>VLOOKUP(C2786,METADATA!$J$5:$Q$29,IF(E2786="HI",2,IF(E2786="LO",6,10))+IF(D2786=1,2,IF(D2786=7,1,(IF(WEEKDAY(B2786)=1,2,IF(WEEKDAY(B2786)=7,1,0))))))</f>
        <v>3</v>
      </c>
      <c r="H2786" s="370">
        <v>13870.94970703125</v>
      </c>
      <c r="I2786" s="370">
        <v>4539.0599975585938</v>
      </c>
      <c r="M2786" s="371">
        <f t="shared" si="173"/>
        <v>14594.735743973815</v>
      </c>
      <c r="N2786" s="329">
        <f t="shared" si="174"/>
        <v>377.77508544921875</v>
      </c>
      <c r="T2786" s="331">
        <v>0</v>
      </c>
      <c r="U2786" s="328">
        <f>VLOOKUP(C2786,METADATA!$J$5:$Q$29,IF(E2786="HI",2,IF(E2786="LO",6,10))+IF(T2786=1,2,IF(D2786=7,1,(IF(WEEKDAY(B2786)=1,2,IF(WEEKDAY(B2786)=7,1,0))))))</f>
        <v>3</v>
      </c>
      <c r="V2786" s="328">
        <f>VLOOKUP(C2786,METADATA!$A$5:$H$29,IF(E2786="HI",2,IF(E2786="LO",6,10))+IF(T2786=1,2,IF(D2786=7,1,(IF(WEEKDAY(B2786)=1,2,IF(WEEKDAY(B2786)=7,1,0))))))</f>
        <v>3</v>
      </c>
    </row>
    <row r="2787" spans="2:22">
      <c r="B2787" s="318">
        <f t="shared" si="175"/>
        <v>46228</v>
      </c>
      <c r="C2787" s="312">
        <v>23</v>
      </c>
      <c r="D2787" s="368">
        <f>IFERROR((INDEX(METADATA!$T$2:$T$20,MATCH(B2787,METADATA!$S$2:$S$20,0))),0)</f>
        <v>0</v>
      </c>
      <c r="E2787" s="312" t="str">
        <f t="shared" si="172"/>
        <v>LO</v>
      </c>
      <c r="F2787" s="369">
        <f>VLOOKUP(C2787,METADATA!$A$5:$H$29,IF(E2787="HI",2,IF(E2787="LO",6,10))+IF(D2787=1,2,IF(D2787=7,1,(IF(WEEKDAY(B2787)=1,2,IF(WEEKDAY(B2787)=7,1,0))))))</f>
        <v>3</v>
      </c>
      <c r="G2787" s="369">
        <f>VLOOKUP(C2787,METADATA!$J$5:$Q$29,IF(E2787="HI",2,IF(E2787="LO",6,10))+IF(D2787=1,2,IF(D2787=7,1,(IF(WEEKDAY(B2787)=1,2,IF(WEEKDAY(B2787)=7,1,0))))))</f>
        <v>3</v>
      </c>
      <c r="H2787" s="370">
        <v>13917.4248046875</v>
      </c>
      <c r="I2787" s="370">
        <v>4590.7999877929688</v>
      </c>
      <c r="M2787" s="371">
        <f t="shared" si="173"/>
        <v>14655.038646214851</v>
      </c>
      <c r="N2787" s="329">
        <f t="shared" si="174"/>
        <v>415.5725463867193</v>
      </c>
      <c r="T2787" s="331">
        <v>0</v>
      </c>
      <c r="U2787" s="328">
        <f>VLOOKUP(C2787,METADATA!$J$5:$Q$29,IF(E2787="HI",2,IF(E2787="LO",6,10))+IF(T2787=1,2,IF(D2787=7,1,(IF(WEEKDAY(B2787)=1,2,IF(WEEKDAY(B2787)=7,1,0))))))</f>
        <v>3</v>
      </c>
      <c r="V2787" s="328">
        <f>VLOOKUP(C2787,METADATA!$A$5:$H$29,IF(E2787="HI",2,IF(E2787="LO",6,10))+IF(T2787=1,2,IF(D2787=7,1,(IF(WEEKDAY(B2787)=1,2,IF(WEEKDAY(B2787)=7,1,0))))))</f>
        <v>3</v>
      </c>
    </row>
    <row r="2788" spans="2:22">
      <c r="B2788" s="318">
        <f t="shared" si="175"/>
        <v>46229</v>
      </c>
      <c r="C2788" s="312">
        <v>0</v>
      </c>
      <c r="D2788" s="368">
        <f>IFERROR((INDEX(METADATA!$T$2:$T$20,MATCH(B2788,METADATA!$S$2:$S$20,0))),0)</f>
        <v>0</v>
      </c>
      <c r="E2788" s="312" t="str">
        <f t="shared" si="172"/>
        <v>LO</v>
      </c>
      <c r="F2788" s="369">
        <f>VLOOKUP(C2788,METADATA!$A$5:$H$29,IF(E2788="HI",2,IF(E2788="LO",6,10))+IF(D2788=1,2,IF(D2788=7,1,(IF(WEEKDAY(B2788)=1,2,IF(WEEKDAY(B2788)=7,1,0))))))</f>
        <v>3</v>
      </c>
      <c r="G2788" s="369">
        <f>VLOOKUP(C2788,METADATA!$J$5:$Q$29,IF(E2788="HI",2,IF(E2788="LO",6,10))+IF(D2788=1,2,IF(D2788=7,1,(IF(WEEKDAY(B2788)=1,2,IF(WEEKDAY(B2788)=7,1,0))))))</f>
        <v>3</v>
      </c>
      <c r="H2788" s="370">
        <v>13911.950073242188</v>
      </c>
      <c r="I2788" s="370">
        <v>4677.0501098632813</v>
      </c>
      <c r="M2788" s="371">
        <f t="shared" si="173"/>
        <v>14677.096190001461</v>
      </c>
      <c r="N2788" s="329">
        <f t="shared" si="174"/>
        <v>503.465087890625</v>
      </c>
      <c r="T2788" s="331">
        <v>0</v>
      </c>
      <c r="U2788" s="328">
        <f>VLOOKUP(C2788,METADATA!$J$5:$Q$29,IF(E2788="HI",2,IF(E2788="LO",6,10))+IF(T2788=1,2,IF(D2788=7,1,(IF(WEEKDAY(B2788)=1,2,IF(WEEKDAY(B2788)=7,1,0))))))</f>
        <v>3</v>
      </c>
      <c r="V2788" s="328">
        <f>VLOOKUP(C2788,METADATA!$A$5:$H$29,IF(E2788="HI",2,IF(E2788="LO",6,10))+IF(T2788=1,2,IF(D2788=7,1,(IF(WEEKDAY(B2788)=1,2,IF(WEEKDAY(B2788)=7,1,0))))))</f>
        <v>3</v>
      </c>
    </row>
    <row r="2789" spans="2:22">
      <c r="B2789" s="318">
        <f t="shared" si="175"/>
        <v>46229</v>
      </c>
      <c r="C2789" s="312">
        <v>1</v>
      </c>
      <c r="D2789" s="368">
        <f>IFERROR((INDEX(METADATA!$T$2:$T$20,MATCH(B2789,METADATA!$S$2:$S$20,0))),0)</f>
        <v>0</v>
      </c>
      <c r="E2789" s="312" t="str">
        <f t="shared" si="172"/>
        <v>LO</v>
      </c>
      <c r="F2789" s="369">
        <f>VLOOKUP(C2789,METADATA!$A$5:$H$29,IF(E2789="HI",2,IF(E2789="LO",6,10))+IF(D2789=1,2,IF(D2789=7,1,(IF(WEEKDAY(B2789)=1,2,IF(WEEKDAY(B2789)=7,1,0))))))</f>
        <v>3</v>
      </c>
      <c r="G2789" s="369">
        <f>VLOOKUP(C2789,METADATA!$J$5:$Q$29,IF(E2789="HI",2,IF(E2789="LO",6,10))+IF(D2789=1,2,IF(D2789=7,1,(IF(WEEKDAY(B2789)=1,2,IF(WEEKDAY(B2789)=7,1,0))))))</f>
        <v>3</v>
      </c>
      <c r="H2789" s="370">
        <v>13911.875183105469</v>
      </c>
      <c r="I2789" s="370">
        <v>4564.0425415039063</v>
      </c>
      <c r="M2789" s="371">
        <f t="shared" si="173"/>
        <v>14641.405514190339</v>
      </c>
      <c r="N2789" s="329">
        <f t="shared" si="174"/>
        <v>390.47998657226617</v>
      </c>
      <c r="T2789" s="331">
        <v>0</v>
      </c>
      <c r="U2789" s="328">
        <f>VLOOKUP(C2789,METADATA!$J$5:$Q$29,IF(E2789="HI",2,IF(E2789="LO",6,10))+IF(T2789=1,2,IF(D2789=7,1,(IF(WEEKDAY(B2789)=1,2,IF(WEEKDAY(B2789)=7,1,0))))))</f>
        <v>3</v>
      </c>
      <c r="V2789" s="328">
        <f>VLOOKUP(C2789,METADATA!$A$5:$H$29,IF(E2789="HI",2,IF(E2789="LO",6,10))+IF(T2789=1,2,IF(D2789=7,1,(IF(WEEKDAY(B2789)=1,2,IF(WEEKDAY(B2789)=7,1,0))))))</f>
        <v>3</v>
      </c>
    </row>
    <row r="2790" spans="2:22">
      <c r="B2790" s="318">
        <f t="shared" si="175"/>
        <v>46229</v>
      </c>
      <c r="C2790" s="312">
        <v>2</v>
      </c>
      <c r="D2790" s="368">
        <f>IFERROR((INDEX(METADATA!$T$2:$T$20,MATCH(B2790,METADATA!$S$2:$S$20,0))),0)</f>
        <v>0</v>
      </c>
      <c r="E2790" s="312" t="str">
        <f t="shared" si="172"/>
        <v>LO</v>
      </c>
      <c r="F2790" s="369">
        <f>VLOOKUP(C2790,METADATA!$A$5:$H$29,IF(E2790="HI",2,IF(E2790="LO",6,10))+IF(D2790=1,2,IF(D2790=7,1,(IF(WEEKDAY(B2790)=1,2,IF(WEEKDAY(B2790)=7,1,0))))))</f>
        <v>3</v>
      </c>
      <c r="G2790" s="369">
        <f>VLOOKUP(C2790,METADATA!$J$5:$Q$29,IF(E2790="HI",2,IF(E2790="LO",6,10))+IF(D2790=1,2,IF(D2790=7,1,(IF(WEEKDAY(B2790)=1,2,IF(WEEKDAY(B2790)=7,1,0))))))</f>
        <v>3</v>
      </c>
      <c r="H2790" s="370">
        <v>13821.424926757813</v>
      </c>
      <c r="I2790" s="370">
        <v>4294.75</v>
      </c>
      <c r="M2790" s="371">
        <f t="shared" si="173"/>
        <v>14473.308694576448</v>
      </c>
      <c r="N2790" s="329">
        <f t="shared" si="174"/>
        <v>148.32252197265643</v>
      </c>
      <c r="T2790" s="331">
        <v>0</v>
      </c>
      <c r="U2790" s="328">
        <f>VLOOKUP(C2790,METADATA!$J$5:$Q$29,IF(E2790="HI",2,IF(E2790="LO",6,10))+IF(T2790=1,2,IF(D2790=7,1,(IF(WEEKDAY(B2790)=1,2,IF(WEEKDAY(B2790)=7,1,0))))))</f>
        <v>3</v>
      </c>
      <c r="V2790" s="328">
        <f>VLOOKUP(C2790,METADATA!$A$5:$H$29,IF(E2790="HI",2,IF(E2790="LO",6,10))+IF(T2790=1,2,IF(D2790=7,1,(IF(WEEKDAY(B2790)=1,2,IF(WEEKDAY(B2790)=7,1,0))))))</f>
        <v>3</v>
      </c>
    </row>
    <row r="2791" spans="2:22">
      <c r="B2791" s="318">
        <f t="shared" si="175"/>
        <v>46229</v>
      </c>
      <c r="C2791" s="312">
        <v>3</v>
      </c>
      <c r="D2791" s="368">
        <f>IFERROR((INDEX(METADATA!$T$2:$T$20,MATCH(B2791,METADATA!$S$2:$S$20,0))),0)</f>
        <v>0</v>
      </c>
      <c r="E2791" s="312" t="str">
        <f t="shared" si="172"/>
        <v>LO</v>
      </c>
      <c r="F2791" s="369">
        <f>VLOOKUP(C2791,METADATA!$A$5:$H$29,IF(E2791="HI",2,IF(E2791="LO",6,10))+IF(D2791=1,2,IF(D2791=7,1,(IF(WEEKDAY(B2791)=1,2,IF(WEEKDAY(B2791)=7,1,0))))))</f>
        <v>3</v>
      </c>
      <c r="G2791" s="369">
        <f>VLOOKUP(C2791,METADATA!$J$5:$Q$29,IF(E2791="HI",2,IF(E2791="LO",6,10))+IF(D2791=1,2,IF(D2791=7,1,(IF(WEEKDAY(B2791)=1,2,IF(WEEKDAY(B2791)=7,1,0))))))</f>
        <v>3</v>
      </c>
      <c r="H2791" s="370">
        <v>13838.175415039063</v>
      </c>
      <c r="I2791" s="370">
        <v>4349.6199951171875</v>
      </c>
      <c r="M2791" s="371">
        <f t="shared" si="173"/>
        <v>14505.664166776878</v>
      </c>
      <c r="N2791" s="329">
        <f t="shared" si="174"/>
        <v>198.16737060546893</v>
      </c>
      <c r="T2791" s="331">
        <v>0</v>
      </c>
      <c r="U2791" s="328">
        <f>VLOOKUP(C2791,METADATA!$J$5:$Q$29,IF(E2791="HI",2,IF(E2791="LO",6,10))+IF(T2791=1,2,IF(D2791=7,1,(IF(WEEKDAY(B2791)=1,2,IF(WEEKDAY(B2791)=7,1,0))))))</f>
        <v>3</v>
      </c>
      <c r="V2791" s="328">
        <f>VLOOKUP(C2791,METADATA!$A$5:$H$29,IF(E2791="HI",2,IF(E2791="LO",6,10))+IF(T2791=1,2,IF(D2791=7,1,(IF(WEEKDAY(B2791)=1,2,IF(WEEKDAY(B2791)=7,1,0))))))</f>
        <v>3</v>
      </c>
    </row>
    <row r="2792" spans="2:22">
      <c r="B2792" s="318">
        <f t="shared" si="175"/>
        <v>46229</v>
      </c>
      <c r="C2792" s="312">
        <v>4</v>
      </c>
      <c r="D2792" s="368">
        <f>IFERROR((INDEX(METADATA!$T$2:$T$20,MATCH(B2792,METADATA!$S$2:$S$20,0))),0)</f>
        <v>0</v>
      </c>
      <c r="E2792" s="312" t="str">
        <f t="shared" si="172"/>
        <v>LO</v>
      </c>
      <c r="F2792" s="369">
        <f>VLOOKUP(C2792,METADATA!$A$5:$H$29,IF(E2792="HI",2,IF(E2792="LO",6,10))+IF(D2792=1,2,IF(D2792=7,1,(IF(WEEKDAY(B2792)=1,2,IF(WEEKDAY(B2792)=7,1,0))))))</f>
        <v>3</v>
      </c>
      <c r="G2792" s="369">
        <f>VLOOKUP(C2792,METADATA!$J$5:$Q$29,IF(E2792="HI",2,IF(E2792="LO",6,10))+IF(D2792=1,2,IF(D2792=7,1,(IF(WEEKDAY(B2792)=1,2,IF(WEEKDAY(B2792)=7,1,0))))))</f>
        <v>3</v>
      </c>
      <c r="H2792" s="370">
        <v>13799.425170898438</v>
      </c>
      <c r="I2792" s="370">
        <v>4533.5799560546875</v>
      </c>
      <c r="M2792" s="371">
        <f t="shared" si="173"/>
        <v>14525.063933255722</v>
      </c>
      <c r="N2792" s="329">
        <f t="shared" si="174"/>
        <v>393.75240478515661</v>
      </c>
      <c r="T2792" s="331">
        <v>0</v>
      </c>
      <c r="U2792" s="328">
        <f>VLOOKUP(C2792,METADATA!$J$5:$Q$29,IF(E2792="HI",2,IF(E2792="LO",6,10))+IF(T2792=1,2,IF(D2792=7,1,(IF(WEEKDAY(B2792)=1,2,IF(WEEKDAY(B2792)=7,1,0))))))</f>
        <v>3</v>
      </c>
      <c r="V2792" s="328">
        <f>VLOOKUP(C2792,METADATA!$A$5:$H$29,IF(E2792="HI",2,IF(E2792="LO",6,10))+IF(T2792=1,2,IF(D2792=7,1,(IF(WEEKDAY(B2792)=1,2,IF(WEEKDAY(B2792)=7,1,0))))))</f>
        <v>3</v>
      </c>
    </row>
    <row r="2793" spans="2:22">
      <c r="B2793" s="318">
        <f t="shared" si="175"/>
        <v>46229</v>
      </c>
      <c r="C2793" s="312">
        <v>5</v>
      </c>
      <c r="D2793" s="368">
        <f>IFERROR((INDEX(METADATA!$T$2:$T$20,MATCH(B2793,METADATA!$S$2:$S$20,0))),0)</f>
        <v>0</v>
      </c>
      <c r="E2793" s="312" t="str">
        <f t="shared" si="172"/>
        <v>LO</v>
      </c>
      <c r="F2793" s="369">
        <f>VLOOKUP(C2793,METADATA!$A$5:$H$29,IF(E2793="HI",2,IF(E2793="LO",6,10))+IF(D2793=1,2,IF(D2793=7,1,(IF(WEEKDAY(B2793)=1,2,IF(WEEKDAY(B2793)=7,1,0))))))</f>
        <v>3</v>
      </c>
      <c r="G2793" s="369">
        <f>VLOOKUP(C2793,METADATA!$J$5:$Q$29,IF(E2793="HI",2,IF(E2793="LO",6,10))+IF(D2793=1,2,IF(D2793=7,1,(IF(WEEKDAY(B2793)=1,2,IF(WEEKDAY(B2793)=7,1,0))))))</f>
        <v>3</v>
      </c>
      <c r="H2793" s="370">
        <v>13674.02490234375</v>
      </c>
      <c r="I2793" s="370">
        <v>4220.8150329589844</v>
      </c>
      <c r="M2793" s="371">
        <f t="shared" si="173"/>
        <v>14310.633688707483</v>
      </c>
      <c r="N2793" s="329">
        <f t="shared" si="174"/>
        <v>118.60756225585919</v>
      </c>
      <c r="T2793" s="331">
        <v>0</v>
      </c>
      <c r="U2793" s="328">
        <f>VLOOKUP(C2793,METADATA!$J$5:$Q$29,IF(E2793="HI",2,IF(E2793="LO",6,10))+IF(T2793=1,2,IF(D2793=7,1,(IF(WEEKDAY(B2793)=1,2,IF(WEEKDAY(B2793)=7,1,0))))))</f>
        <v>3</v>
      </c>
      <c r="V2793" s="328">
        <f>VLOOKUP(C2793,METADATA!$A$5:$H$29,IF(E2793="HI",2,IF(E2793="LO",6,10))+IF(T2793=1,2,IF(D2793=7,1,(IF(WEEKDAY(B2793)=1,2,IF(WEEKDAY(B2793)=7,1,0))))))</f>
        <v>3</v>
      </c>
    </row>
    <row r="2794" spans="2:22">
      <c r="B2794" s="318">
        <f t="shared" si="175"/>
        <v>46229</v>
      </c>
      <c r="C2794" s="312">
        <v>6</v>
      </c>
      <c r="D2794" s="368">
        <f>IFERROR((INDEX(METADATA!$T$2:$T$20,MATCH(B2794,METADATA!$S$2:$S$20,0))),0)</f>
        <v>0</v>
      </c>
      <c r="E2794" s="312" t="str">
        <f t="shared" si="172"/>
        <v>LO</v>
      </c>
      <c r="F2794" s="369">
        <f>VLOOKUP(C2794,METADATA!$A$5:$H$29,IF(E2794="HI",2,IF(E2794="LO",6,10))+IF(D2794=1,2,IF(D2794=7,1,(IF(WEEKDAY(B2794)=1,2,IF(WEEKDAY(B2794)=7,1,0))))))</f>
        <v>3</v>
      </c>
      <c r="G2794" s="369">
        <f>VLOOKUP(C2794,METADATA!$J$5:$Q$29,IF(E2794="HI",2,IF(E2794="LO",6,10))+IF(D2794=1,2,IF(D2794=7,1,(IF(WEEKDAY(B2794)=1,2,IF(WEEKDAY(B2794)=7,1,0))))))</f>
        <v>3</v>
      </c>
      <c r="H2794" s="370">
        <v>13751.5498046875</v>
      </c>
      <c r="I2794" s="370">
        <v>4103.1599731445313</v>
      </c>
      <c r="M2794" s="371">
        <f t="shared" si="173"/>
        <v>14350.64611075112</v>
      </c>
      <c r="N2794" s="329">
        <f t="shared" si="174"/>
        <v>0</v>
      </c>
      <c r="T2794" s="331">
        <v>0</v>
      </c>
      <c r="U2794" s="328">
        <f>VLOOKUP(C2794,METADATA!$J$5:$Q$29,IF(E2794="HI",2,IF(E2794="LO",6,10))+IF(T2794=1,2,IF(D2794=7,1,(IF(WEEKDAY(B2794)=1,2,IF(WEEKDAY(B2794)=7,1,0))))))</f>
        <v>3</v>
      </c>
      <c r="V2794" s="328">
        <f>VLOOKUP(C2794,METADATA!$A$5:$H$29,IF(E2794="HI",2,IF(E2794="LO",6,10))+IF(T2794=1,2,IF(D2794=7,1,(IF(WEEKDAY(B2794)=1,2,IF(WEEKDAY(B2794)=7,1,0))))))</f>
        <v>3</v>
      </c>
    </row>
    <row r="2795" spans="2:22">
      <c r="B2795" s="318">
        <f t="shared" si="175"/>
        <v>46229</v>
      </c>
      <c r="C2795" s="312">
        <v>7</v>
      </c>
      <c r="D2795" s="368">
        <f>IFERROR((INDEX(METADATA!$T$2:$T$20,MATCH(B2795,METADATA!$S$2:$S$20,0))),0)</f>
        <v>0</v>
      </c>
      <c r="E2795" s="312" t="str">
        <f t="shared" si="172"/>
        <v>LO</v>
      </c>
      <c r="F2795" s="369">
        <f>VLOOKUP(C2795,METADATA!$A$5:$H$29,IF(E2795="HI",2,IF(E2795="LO",6,10))+IF(D2795=1,2,IF(D2795=7,1,(IF(WEEKDAY(B2795)=1,2,IF(WEEKDAY(B2795)=7,1,0))))))</f>
        <v>3</v>
      </c>
      <c r="G2795" s="369">
        <f>VLOOKUP(C2795,METADATA!$J$5:$Q$29,IF(E2795="HI",2,IF(E2795="LO",6,10))+IF(D2795=1,2,IF(D2795=7,1,(IF(WEEKDAY(B2795)=1,2,IF(WEEKDAY(B2795)=7,1,0))))))</f>
        <v>3</v>
      </c>
      <c r="H2795" s="370">
        <v>13777.8251953125</v>
      </c>
      <c r="I2795" s="370">
        <v>4257.1399841308594</v>
      </c>
      <c r="M2795" s="371">
        <f t="shared" si="173"/>
        <v>14420.530779311614</v>
      </c>
      <c r="N2795" s="329">
        <f t="shared" si="174"/>
        <v>123.79242553710992</v>
      </c>
      <c r="T2795" s="331">
        <v>0</v>
      </c>
      <c r="U2795" s="328">
        <f>VLOOKUP(C2795,METADATA!$J$5:$Q$29,IF(E2795="HI",2,IF(E2795="LO",6,10))+IF(T2795=1,2,IF(D2795=7,1,(IF(WEEKDAY(B2795)=1,2,IF(WEEKDAY(B2795)=7,1,0))))))</f>
        <v>3</v>
      </c>
      <c r="V2795" s="328">
        <f>VLOOKUP(C2795,METADATA!$A$5:$H$29,IF(E2795="HI",2,IF(E2795="LO",6,10))+IF(T2795=1,2,IF(D2795=7,1,(IF(WEEKDAY(B2795)=1,2,IF(WEEKDAY(B2795)=7,1,0))))))</f>
        <v>3</v>
      </c>
    </row>
    <row r="2796" spans="2:22">
      <c r="B2796" s="318">
        <f t="shared" si="175"/>
        <v>46229</v>
      </c>
      <c r="C2796" s="312">
        <v>8</v>
      </c>
      <c r="D2796" s="368">
        <f>IFERROR((INDEX(METADATA!$T$2:$T$20,MATCH(B2796,METADATA!$S$2:$S$20,0))),0)</f>
        <v>0</v>
      </c>
      <c r="E2796" s="312" t="str">
        <f t="shared" si="172"/>
        <v>LO</v>
      </c>
      <c r="F2796" s="369">
        <f>VLOOKUP(C2796,METADATA!$A$5:$H$29,IF(E2796="HI",2,IF(E2796="LO",6,10))+IF(D2796=1,2,IF(D2796=7,1,(IF(WEEKDAY(B2796)=1,2,IF(WEEKDAY(B2796)=7,1,0))))))</f>
        <v>3</v>
      </c>
      <c r="G2796" s="369">
        <f>VLOOKUP(C2796,METADATA!$J$5:$Q$29,IF(E2796="HI",2,IF(E2796="LO",6,10))+IF(D2796=1,2,IF(D2796=7,1,(IF(WEEKDAY(B2796)=1,2,IF(WEEKDAY(B2796)=7,1,0))))))</f>
        <v>3</v>
      </c>
      <c r="H2796" s="370">
        <v>13860.97509765625</v>
      </c>
      <c r="I2796" s="370">
        <v>4377.3099060058594</v>
      </c>
      <c r="M2796" s="371">
        <f t="shared" si="173"/>
        <v>14535.730895660656</v>
      </c>
      <c r="N2796" s="329">
        <f t="shared" si="174"/>
        <v>219.01737670898456</v>
      </c>
      <c r="T2796" s="331">
        <v>0</v>
      </c>
      <c r="U2796" s="328">
        <f>VLOOKUP(C2796,METADATA!$J$5:$Q$29,IF(E2796="HI",2,IF(E2796="LO",6,10))+IF(T2796=1,2,IF(D2796=7,1,(IF(WEEKDAY(B2796)=1,2,IF(WEEKDAY(B2796)=7,1,0))))))</f>
        <v>3</v>
      </c>
      <c r="V2796" s="328">
        <f>VLOOKUP(C2796,METADATA!$A$5:$H$29,IF(E2796="HI",2,IF(E2796="LO",6,10))+IF(T2796=1,2,IF(D2796=7,1,(IF(WEEKDAY(B2796)=1,2,IF(WEEKDAY(B2796)=7,1,0))))))</f>
        <v>3</v>
      </c>
    </row>
    <row r="2797" spans="2:22">
      <c r="B2797" s="318">
        <f t="shared" si="175"/>
        <v>46229</v>
      </c>
      <c r="C2797" s="312">
        <v>9</v>
      </c>
      <c r="D2797" s="368">
        <f>IFERROR((INDEX(METADATA!$T$2:$T$20,MATCH(B2797,METADATA!$S$2:$S$20,0))),0)</f>
        <v>0</v>
      </c>
      <c r="E2797" s="312" t="str">
        <f t="shared" si="172"/>
        <v>LO</v>
      </c>
      <c r="F2797" s="369">
        <f>VLOOKUP(C2797,METADATA!$A$5:$H$29,IF(E2797="HI",2,IF(E2797="LO",6,10))+IF(D2797=1,2,IF(D2797=7,1,(IF(WEEKDAY(B2797)=1,2,IF(WEEKDAY(B2797)=7,1,0))))))</f>
        <v>3</v>
      </c>
      <c r="G2797" s="369">
        <f>VLOOKUP(C2797,METADATA!$J$5:$Q$29,IF(E2797="HI",2,IF(E2797="LO",6,10))+IF(D2797=1,2,IF(D2797=7,1,(IF(WEEKDAY(B2797)=1,2,IF(WEEKDAY(B2797)=7,1,0))))))</f>
        <v>3</v>
      </c>
      <c r="H2797" s="370">
        <v>13709.52490234375</v>
      </c>
      <c r="I2797" s="370">
        <v>4388.905029296875</v>
      </c>
      <c r="M2797" s="371">
        <f t="shared" si="173"/>
        <v>14394.91439377709</v>
      </c>
      <c r="N2797" s="329">
        <f t="shared" si="174"/>
        <v>276.04755859375018</v>
      </c>
      <c r="T2797" s="331">
        <v>0</v>
      </c>
      <c r="U2797" s="328">
        <f>VLOOKUP(C2797,METADATA!$J$5:$Q$29,IF(E2797="HI",2,IF(E2797="LO",6,10))+IF(T2797=1,2,IF(D2797=7,1,(IF(WEEKDAY(B2797)=1,2,IF(WEEKDAY(B2797)=7,1,0))))))</f>
        <v>3</v>
      </c>
      <c r="V2797" s="328">
        <f>VLOOKUP(C2797,METADATA!$A$5:$H$29,IF(E2797="HI",2,IF(E2797="LO",6,10))+IF(T2797=1,2,IF(D2797=7,1,(IF(WEEKDAY(B2797)=1,2,IF(WEEKDAY(B2797)=7,1,0))))))</f>
        <v>3</v>
      </c>
    </row>
    <row r="2798" spans="2:22">
      <c r="B2798" s="318">
        <f t="shared" si="175"/>
        <v>46229</v>
      </c>
      <c r="C2798" s="312">
        <v>10</v>
      </c>
      <c r="D2798" s="368">
        <f>IFERROR((INDEX(METADATA!$T$2:$T$20,MATCH(B2798,METADATA!$S$2:$S$20,0))),0)</f>
        <v>0</v>
      </c>
      <c r="E2798" s="312" t="str">
        <f t="shared" si="172"/>
        <v>LO</v>
      </c>
      <c r="F2798" s="369">
        <f>VLOOKUP(C2798,METADATA!$A$5:$H$29,IF(E2798="HI",2,IF(E2798="LO",6,10))+IF(D2798=1,2,IF(D2798=7,1,(IF(WEEKDAY(B2798)=1,2,IF(WEEKDAY(B2798)=7,1,0))))))</f>
        <v>3</v>
      </c>
      <c r="G2798" s="369">
        <f>VLOOKUP(C2798,METADATA!$J$5:$Q$29,IF(E2798="HI",2,IF(E2798="LO",6,10))+IF(D2798=1,2,IF(D2798=7,1,(IF(WEEKDAY(B2798)=1,2,IF(WEEKDAY(B2798)=7,1,0))))))</f>
        <v>3</v>
      </c>
      <c r="H2798" s="370">
        <v>13040.174865722656</v>
      </c>
      <c r="I2798" s="370">
        <v>3870.6400604248047</v>
      </c>
      <c r="M2798" s="371">
        <f t="shared" si="173"/>
        <v>13602.500321852238</v>
      </c>
      <c r="N2798" s="329">
        <f t="shared" si="174"/>
        <v>0</v>
      </c>
      <c r="T2798" s="331">
        <v>0</v>
      </c>
      <c r="U2798" s="328">
        <f>VLOOKUP(C2798,METADATA!$J$5:$Q$29,IF(E2798="HI",2,IF(E2798="LO",6,10))+IF(T2798=1,2,IF(D2798=7,1,(IF(WEEKDAY(B2798)=1,2,IF(WEEKDAY(B2798)=7,1,0))))))</f>
        <v>3</v>
      </c>
      <c r="V2798" s="328">
        <f>VLOOKUP(C2798,METADATA!$A$5:$H$29,IF(E2798="HI",2,IF(E2798="LO",6,10))+IF(T2798=1,2,IF(D2798=7,1,(IF(WEEKDAY(B2798)=1,2,IF(WEEKDAY(B2798)=7,1,0))))))</f>
        <v>3</v>
      </c>
    </row>
    <row r="2799" spans="2:22">
      <c r="B2799" s="318">
        <f t="shared" si="175"/>
        <v>46229</v>
      </c>
      <c r="C2799" s="312">
        <v>11</v>
      </c>
      <c r="D2799" s="368">
        <f>IFERROR((INDEX(METADATA!$T$2:$T$20,MATCH(B2799,METADATA!$S$2:$S$20,0))),0)</f>
        <v>0</v>
      </c>
      <c r="E2799" s="312" t="str">
        <f t="shared" si="172"/>
        <v>LO</v>
      </c>
      <c r="F2799" s="369">
        <f>VLOOKUP(C2799,METADATA!$A$5:$H$29,IF(E2799="HI",2,IF(E2799="LO",6,10))+IF(D2799=1,2,IF(D2799=7,1,(IF(WEEKDAY(B2799)=1,2,IF(WEEKDAY(B2799)=7,1,0))))))</f>
        <v>3</v>
      </c>
      <c r="G2799" s="369">
        <f>VLOOKUP(C2799,METADATA!$J$5:$Q$29,IF(E2799="HI",2,IF(E2799="LO",6,10))+IF(D2799=1,2,IF(D2799=7,1,(IF(WEEKDAY(B2799)=1,2,IF(WEEKDAY(B2799)=7,1,0))))))</f>
        <v>3</v>
      </c>
      <c r="H2799" s="370">
        <v>9201.3248291015625</v>
      </c>
      <c r="I2799" s="370">
        <v>2946.7149810791016</v>
      </c>
      <c r="M2799" s="371">
        <f t="shared" si="173"/>
        <v>9661.6514007884234</v>
      </c>
      <c r="N2799" s="329">
        <f t="shared" si="174"/>
        <v>186.31753234863299</v>
      </c>
      <c r="T2799" s="331">
        <v>0</v>
      </c>
      <c r="U2799" s="328">
        <f>VLOOKUP(C2799,METADATA!$J$5:$Q$29,IF(E2799="HI",2,IF(E2799="LO",6,10))+IF(T2799=1,2,IF(D2799=7,1,(IF(WEEKDAY(B2799)=1,2,IF(WEEKDAY(B2799)=7,1,0))))))</f>
        <v>3</v>
      </c>
      <c r="V2799" s="328">
        <f>VLOOKUP(C2799,METADATA!$A$5:$H$29,IF(E2799="HI",2,IF(E2799="LO",6,10))+IF(T2799=1,2,IF(D2799=7,1,(IF(WEEKDAY(B2799)=1,2,IF(WEEKDAY(B2799)=7,1,0))))))</f>
        <v>3</v>
      </c>
    </row>
    <row r="2800" spans="2:22">
      <c r="B2800" s="318">
        <f t="shared" si="175"/>
        <v>46229</v>
      </c>
      <c r="C2800" s="312">
        <v>12</v>
      </c>
      <c r="D2800" s="368">
        <f>IFERROR((INDEX(METADATA!$T$2:$T$20,MATCH(B2800,METADATA!$S$2:$S$20,0))),0)</f>
        <v>0</v>
      </c>
      <c r="E2800" s="312" t="str">
        <f t="shared" si="172"/>
        <v>LO</v>
      </c>
      <c r="F2800" s="369">
        <f>VLOOKUP(C2800,METADATA!$A$5:$H$29,IF(E2800="HI",2,IF(E2800="LO",6,10))+IF(D2800=1,2,IF(D2800=7,1,(IF(WEEKDAY(B2800)=1,2,IF(WEEKDAY(B2800)=7,1,0))))))</f>
        <v>3</v>
      </c>
      <c r="G2800" s="369">
        <f>VLOOKUP(C2800,METADATA!$J$5:$Q$29,IF(E2800="HI",2,IF(E2800="LO",6,10))+IF(D2800=1,2,IF(D2800=7,1,(IF(WEEKDAY(B2800)=1,2,IF(WEEKDAY(B2800)=7,1,0))))))</f>
        <v>3</v>
      </c>
      <c r="H2800" s="370">
        <v>5765.8749389648438</v>
      </c>
      <c r="I2800" s="370">
        <v>1633.0800476074219</v>
      </c>
      <c r="M2800" s="371">
        <f t="shared" si="173"/>
        <v>5992.6842277627393</v>
      </c>
      <c r="N2800" s="329">
        <f t="shared" si="174"/>
        <v>0</v>
      </c>
      <c r="T2800" s="331">
        <v>0</v>
      </c>
      <c r="U2800" s="328">
        <f>VLOOKUP(C2800,METADATA!$J$5:$Q$29,IF(E2800="HI",2,IF(E2800="LO",6,10))+IF(T2800=1,2,IF(D2800=7,1,(IF(WEEKDAY(B2800)=1,2,IF(WEEKDAY(B2800)=7,1,0))))))</f>
        <v>3</v>
      </c>
      <c r="V2800" s="328">
        <f>VLOOKUP(C2800,METADATA!$A$5:$H$29,IF(E2800="HI",2,IF(E2800="LO",6,10))+IF(T2800=1,2,IF(D2800=7,1,(IF(WEEKDAY(B2800)=1,2,IF(WEEKDAY(B2800)=7,1,0))))))</f>
        <v>3</v>
      </c>
    </row>
    <row r="2801" spans="2:22">
      <c r="B2801" s="318">
        <f t="shared" si="175"/>
        <v>46229</v>
      </c>
      <c r="C2801" s="312">
        <v>13</v>
      </c>
      <c r="D2801" s="368">
        <f>IFERROR((INDEX(METADATA!$T$2:$T$20,MATCH(B2801,METADATA!$S$2:$S$20,0))),0)</f>
        <v>0</v>
      </c>
      <c r="E2801" s="312" t="str">
        <f t="shared" si="172"/>
        <v>LO</v>
      </c>
      <c r="F2801" s="369">
        <f>VLOOKUP(C2801,METADATA!$A$5:$H$29,IF(E2801="HI",2,IF(E2801="LO",6,10))+IF(D2801=1,2,IF(D2801=7,1,(IF(WEEKDAY(B2801)=1,2,IF(WEEKDAY(B2801)=7,1,0))))))</f>
        <v>3</v>
      </c>
      <c r="G2801" s="369">
        <f>VLOOKUP(C2801,METADATA!$J$5:$Q$29,IF(E2801="HI",2,IF(E2801="LO",6,10))+IF(D2801=1,2,IF(D2801=7,1,(IF(WEEKDAY(B2801)=1,2,IF(WEEKDAY(B2801)=7,1,0))))))</f>
        <v>3</v>
      </c>
      <c r="H2801" s="370">
        <v>7158.7500610351563</v>
      </c>
      <c r="I2801" s="370">
        <v>2416.2499389648438</v>
      </c>
      <c r="M2801" s="371">
        <f t="shared" si="173"/>
        <v>7555.5255412127653</v>
      </c>
      <c r="N2801" s="329">
        <f t="shared" si="174"/>
        <v>268.62492065429706</v>
      </c>
      <c r="T2801" s="331">
        <v>0</v>
      </c>
      <c r="U2801" s="328">
        <f>VLOOKUP(C2801,METADATA!$J$5:$Q$29,IF(E2801="HI",2,IF(E2801="LO",6,10))+IF(T2801=1,2,IF(D2801=7,1,(IF(WEEKDAY(B2801)=1,2,IF(WEEKDAY(B2801)=7,1,0))))))</f>
        <v>3</v>
      </c>
      <c r="V2801" s="328">
        <f>VLOOKUP(C2801,METADATA!$A$5:$H$29,IF(E2801="HI",2,IF(E2801="LO",6,10))+IF(T2801=1,2,IF(D2801=7,1,(IF(WEEKDAY(B2801)=1,2,IF(WEEKDAY(B2801)=7,1,0))))))</f>
        <v>3</v>
      </c>
    </row>
    <row r="2802" spans="2:22">
      <c r="B2802" s="318">
        <f t="shared" si="175"/>
        <v>46229</v>
      </c>
      <c r="C2802" s="312">
        <v>14</v>
      </c>
      <c r="D2802" s="368">
        <f>IFERROR((INDEX(METADATA!$T$2:$T$20,MATCH(B2802,METADATA!$S$2:$S$20,0))),0)</f>
        <v>0</v>
      </c>
      <c r="E2802" s="312" t="str">
        <f t="shared" si="172"/>
        <v>LO</v>
      </c>
      <c r="F2802" s="369">
        <f>VLOOKUP(C2802,METADATA!$A$5:$H$29,IF(E2802="HI",2,IF(E2802="LO",6,10))+IF(D2802=1,2,IF(D2802=7,1,(IF(WEEKDAY(B2802)=1,2,IF(WEEKDAY(B2802)=7,1,0))))))</f>
        <v>3</v>
      </c>
      <c r="G2802" s="369">
        <f>VLOOKUP(C2802,METADATA!$J$5:$Q$29,IF(E2802="HI",2,IF(E2802="LO",6,10))+IF(D2802=1,2,IF(D2802=7,1,(IF(WEEKDAY(B2802)=1,2,IF(WEEKDAY(B2802)=7,1,0))))))</f>
        <v>3</v>
      </c>
      <c r="H2802" s="370">
        <v>8135.5501708984375</v>
      </c>
      <c r="I2802" s="370">
        <v>2752.2498779296875</v>
      </c>
      <c r="M2802" s="371">
        <f t="shared" si="173"/>
        <v>8588.4839159056228</v>
      </c>
      <c r="N2802" s="329">
        <f t="shared" si="174"/>
        <v>311.58482666015652</v>
      </c>
      <c r="T2802" s="331">
        <v>0</v>
      </c>
      <c r="U2802" s="328">
        <f>VLOOKUP(C2802,METADATA!$J$5:$Q$29,IF(E2802="HI",2,IF(E2802="LO",6,10))+IF(T2802=1,2,IF(D2802=7,1,(IF(WEEKDAY(B2802)=1,2,IF(WEEKDAY(B2802)=7,1,0))))))</f>
        <v>3</v>
      </c>
      <c r="V2802" s="328">
        <f>VLOOKUP(C2802,METADATA!$A$5:$H$29,IF(E2802="HI",2,IF(E2802="LO",6,10))+IF(T2802=1,2,IF(D2802=7,1,(IF(WEEKDAY(B2802)=1,2,IF(WEEKDAY(B2802)=7,1,0))))))</f>
        <v>3</v>
      </c>
    </row>
    <row r="2803" spans="2:22">
      <c r="B2803" s="318">
        <f t="shared" si="175"/>
        <v>46229</v>
      </c>
      <c r="C2803" s="312">
        <v>15</v>
      </c>
      <c r="D2803" s="368">
        <f>IFERROR((INDEX(METADATA!$T$2:$T$20,MATCH(B2803,METADATA!$S$2:$S$20,0))),0)</f>
        <v>0</v>
      </c>
      <c r="E2803" s="312" t="str">
        <f t="shared" si="172"/>
        <v>LO</v>
      </c>
      <c r="F2803" s="369">
        <f>VLOOKUP(C2803,METADATA!$A$5:$H$29,IF(E2803="HI",2,IF(E2803="LO",6,10))+IF(D2803=1,2,IF(D2803=7,1,(IF(WEEKDAY(B2803)=1,2,IF(WEEKDAY(B2803)=7,1,0))))))</f>
        <v>3</v>
      </c>
      <c r="G2803" s="369">
        <f>VLOOKUP(C2803,METADATA!$J$5:$Q$29,IF(E2803="HI",2,IF(E2803="LO",6,10))+IF(D2803=1,2,IF(D2803=7,1,(IF(WEEKDAY(B2803)=1,2,IF(WEEKDAY(B2803)=7,1,0))))))</f>
        <v>3</v>
      </c>
      <c r="H2803" s="370">
        <v>8065.2998657226563</v>
      </c>
      <c r="I2803" s="370">
        <v>2484.625</v>
      </c>
      <c r="M2803" s="371">
        <f t="shared" si="173"/>
        <v>8439.3378481164564</v>
      </c>
      <c r="N2803" s="329">
        <f t="shared" si="174"/>
        <v>65.035040283203216</v>
      </c>
      <c r="T2803" s="331">
        <v>0</v>
      </c>
      <c r="U2803" s="328">
        <f>VLOOKUP(C2803,METADATA!$J$5:$Q$29,IF(E2803="HI",2,IF(E2803="LO",6,10))+IF(T2803=1,2,IF(D2803=7,1,(IF(WEEKDAY(B2803)=1,2,IF(WEEKDAY(B2803)=7,1,0))))))</f>
        <v>3</v>
      </c>
      <c r="V2803" s="328">
        <f>VLOOKUP(C2803,METADATA!$A$5:$H$29,IF(E2803="HI",2,IF(E2803="LO",6,10))+IF(T2803=1,2,IF(D2803=7,1,(IF(WEEKDAY(B2803)=1,2,IF(WEEKDAY(B2803)=7,1,0))))))</f>
        <v>3</v>
      </c>
    </row>
    <row r="2804" spans="2:22">
      <c r="B2804" s="318">
        <f t="shared" si="175"/>
        <v>46229</v>
      </c>
      <c r="C2804" s="312">
        <v>16</v>
      </c>
      <c r="D2804" s="368">
        <f>IFERROR((INDEX(METADATA!$T$2:$T$20,MATCH(B2804,METADATA!$S$2:$S$20,0))),0)</f>
        <v>0</v>
      </c>
      <c r="E2804" s="312" t="str">
        <f t="shared" si="172"/>
        <v>LO</v>
      </c>
      <c r="F2804" s="369">
        <f>VLOOKUP(C2804,METADATA!$A$5:$H$29,IF(E2804="HI",2,IF(E2804="LO",6,10))+IF(D2804=1,2,IF(D2804=7,1,(IF(WEEKDAY(B2804)=1,2,IF(WEEKDAY(B2804)=7,1,0))))))</f>
        <v>3</v>
      </c>
      <c r="G2804" s="369">
        <f>VLOOKUP(C2804,METADATA!$J$5:$Q$29,IF(E2804="HI",2,IF(E2804="LO",6,10))+IF(D2804=1,2,IF(D2804=7,1,(IF(WEEKDAY(B2804)=1,2,IF(WEEKDAY(B2804)=7,1,0))))))</f>
        <v>3</v>
      </c>
      <c r="H2804" s="370">
        <v>6166.4750366210938</v>
      </c>
      <c r="I2804" s="370">
        <v>1623.427490234375</v>
      </c>
      <c r="M2804" s="371">
        <f t="shared" si="173"/>
        <v>6376.5924437210033</v>
      </c>
      <c r="N2804" s="329">
        <f t="shared" si="174"/>
        <v>0</v>
      </c>
      <c r="T2804" s="331">
        <v>0</v>
      </c>
      <c r="U2804" s="328">
        <f>VLOOKUP(C2804,METADATA!$J$5:$Q$29,IF(E2804="HI",2,IF(E2804="LO",6,10))+IF(T2804=1,2,IF(D2804=7,1,(IF(WEEKDAY(B2804)=1,2,IF(WEEKDAY(B2804)=7,1,0))))))</f>
        <v>3</v>
      </c>
      <c r="V2804" s="328">
        <f>VLOOKUP(C2804,METADATA!$A$5:$H$29,IF(E2804="HI",2,IF(E2804="LO",6,10))+IF(T2804=1,2,IF(D2804=7,1,(IF(WEEKDAY(B2804)=1,2,IF(WEEKDAY(B2804)=7,1,0))))))</f>
        <v>3</v>
      </c>
    </row>
    <row r="2805" spans="2:22">
      <c r="B2805" s="318">
        <f t="shared" si="175"/>
        <v>46229</v>
      </c>
      <c r="C2805" s="312">
        <v>17</v>
      </c>
      <c r="D2805" s="368">
        <f>IFERROR((INDEX(METADATA!$T$2:$T$20,MATCH(B2805,METADATA!$S$2:$S$20,0))),0)</f>
        <v>0</v>
      </c>
      <c r="E2805" s="312" t="str">
        <f t="shared" si="172"/>
        <v>LO</v>
      </c>
      <c r="F2805" s="369">
        <f>VLOOKUP(C2805,METADATA!$A$5:$H$29,IF(E2805="HI",2,IF(E2805="LO",6,10))+IF(D2805=1,2,IF(D2805=7,1,(IF(WEEKDAY(B2805)=1,2,IF(WEEKDAY(B2805)=7,1,0))))))</f>
        <v>3</v>
      </c>
      <c r="G2805" s="369">
        <f>VLOOKUP(C2805,METADATA!$J$5:$Q$29,IF(E2805="HI",2,IF(E2805="LO",6,10))+IF(D2805=1,2,IF(D2805=7,1,(IF(WEEKDAY(B2805)=1,2,IF(WEEKDAY(B2805)=7,1,0))))))</f>
        <v>3</v>
      </c>
      <c r="H2805" s="370">
        <v>5963.5000610351563</v>
      </c>
      <c r="I2805" s="370">
        <v>1580.3249816894531</v>
      </c>
      <c r="M2805" s="371">
        <f t="shared" si="173"/>
        <v>6169.3403233828885</v>
      </c>
      <c r="N2805" s="329">
        <f t="shared" si="174"/>
        <v>0</v>
      </c>
      <c r="T2805" s="331">
        <v>0</v>
      </c>
      <c r="U2805" s="328">
        <f>VLOOKUP(C2805,METADATA!$J$5:$Q$29,IF(E2805="HI",2,IF(E2805="LO",6,10))+IF(T2805=1,2,IF(D2805=7,1,(IF(WEEKDAY(B2805)=1,2,IF(WEEKDAY(B2805)=7,1,0))))))</f>
        <v>3</v>
      </c>
      <c r="V2805" s="328">
        <f>VLOOKUP(C2805,METADATA!$A$5:$H$29,IF(E2805="HI",2,IF(E2805="LO",6,10))+IF(T2805=1,2,IF(D2805=7,1,(IF(WEEKDAY(B2805)=1,2,IF(WEEKDAY(B2805)=7,1,0))))))</f>
        <v>3</v>
      </c>
    </row>
    <row r="2806" spans="2:22">
      <c r="B2806" s="318">
        <f t="shared" si="175"/>
        <v>46229</v>
      </c>
      <c r="C2806" s="312">
        <v>18</v>
      </c>
      <c r="D2806" s="368">
        <f>IFERROR((INDEX(METADATA!$T$2:$T$20,MATCH(B2806,METADATA!$S$2:$S$20,0))),0)</f>
        <v>0</v>
      </c>
      <c r="E2806" s="312" t="str">
        <f t="shared" si="172"/>
        <v>LO</v>
      </c>
      <c r="F2806" s="369">
        <f>VLOOKUP(C2806,METADATA!$A$5:$H$29,IF(E2806="HI",2,IF(E2806="LO",6,10))+IF(D2806=1,2,IF(D2806=7,1,(IF(WEEKDAY(B2806)=1,2,IF(WEEKDAY(B2806)=7,1,0))))))</f>
        <v>2</v>
      </c>
      <c r="G2806" s="369">
        <f>VLOOKUP(C2806,METADATA!$J$5:$Q$29,IF(E2806="HI",2,IF(E2806="LO",6,10))+IF(D2806=1,2,IF(D2806=7,1,(IF(WEEKDAY(B2806)=1,2,IF(WEEKDAY(B2806)=7,1,0))))))</f>
        <v>2</v>
      </c>
      <c r="H2806" s="370">
        <v>8143.1000366210938</v>
      </c>
      <c r="I2806" s="370">
        <v>1924.7774963378906</v>
      </c>
      <c r="M2806" s="371">
        <f t="shared" si="173"/>
        <v>8367.4874733594443</v>
      </c>
      <c r="N2806" s="329">
        <f t="shared" si="174"/>
        <v>0</v>
      </c>
      <c r="T2806" s="331">
        <v>0</v>
      </c>
      <c r="U2806" s="328">
        <f>VLOOKUP(C2806,METADATA!$J$5:$Q$29,IF(E2806="HI",2,IF(E2806="LO",6,10))+IF(T2806=1,2,IF(D2806=7,1,(IF(WEEKDAY(B2806)=1,2,IF(WEEKDAY(B2806)=7,1,0))))))</f>
        <v>2</v>
      </c>
      <c r="V2806" s="328">
        <f>VLOOKUP(C2806,METADATA!$A$5:$H$29,IF(E2806="HI",2,IF(E2806="LO",6,10))+IF(T2806=1,2,IF(D2806=7,1,(IF(WEEKDAY(B2806)=1,2,IF(WEEKDAY(B2806)=7,1,0))))))</f>
        <v>2</v>
      </c>
    </row>
    <row r="2807" spans="2:22">
      <c r="B2807" s="318">
        <f t="shared" si="175"/>
        <v>46229</v>
      </c>
      <c r="C2807" s="312">
        <v>19</v>
      </c>
      <c r="D2807" s="368">
        <f>IFERROR((INDEX(METADATA!$T$2:$T$20,MATCH(B2807,METADATA!$S$2:$S$20,0))),0)</f>
        <v>0</v>
      </c>
      <c r="E2807" s="312" t="str">
        <f t="shared" si="172"/>
        <v>LO</v>
      </c>
      <c r="F2807" s="369">
        <f>VLOOKUP(C2807,METADATA!$A$5:$H$29,IF(E2807="HI",2,IF(E2807="LO",6,10))+IF(D2807=1,2,IF(D2807=7,1,(IF(WEEKDAY(B2807)=1,2,IF(WEEKDAY(B2807)=7,1,0))))))</f>
        <v>2</v>
      </c>
      <c r="G2807" s="369">
        <f>VLOOKUP(C2807,METADATA!$J$5:$Q$29,IF(E2807="HI",2,IF(E2807="LO",6,10))+IF(D2807=1,2,IF(D2807=7,1,(IF(WEEKDAY(B2807)=1,2,IF(WEEKDAY(B2807)=7,1,0))))))</f>
        <v>2</v>
      </c>
      <c r="H2807" s="370">
        <v>11601.000183105469</v>
      </c>
      <c r="I2807" s="370">
        <v>3138.0249938964844</v>
      </c>
      <c r="M2807" s="371">
        <f t="shared" si="173"/>
        <v>12017.920207370829</v>
      </c>
      <c r="N2807" s="329">
        <f t="shared" si="174"/>
        <v>0</v>
      </c>
      <c r="T2807" s="331">
        <v>0</v>
      </c>
      <c r="U2807" s="328">
        <f>VLOOKUP(C2807,METADATA!$J$5:$Q$29,IF(E2807="HI",2,IF(E2807="LO",6,10))+IF(T2807=1,2,IF(D2807=7,1,(IF(WEEKDAY(B2807)=1,2,IF(WEEKDAY(B2807)=7,1,0))))))</f>
        <v>2</v>
      </c>
      <c r="V2807" s="328">
        <f>VLOOKUP(C2807,METADATA!$A$5:$H$29,IF(E2807="HI",2,IF(E2807="LO",6,10))+IF(T2807=1,2,IF(D2807=7,1,(IF(WEEKDAY(B2807)=1,2,IF(WEEKDAY(B2807)=7,1,0))))))</f>
        <v>2</v>
      </c>
    </row>
    <row r="2808" spans="2:22">
      <c r="B2808" s="318">
        <f t="shared" si="175"/>
        <v>46229</v>
      </c>
      <c r="C2808" s="312">
        <v>20</v>
      </c>
      <c r="D2808" s="368">
        <f>IFERROR((INDEX(METADATA!$T$2:$T$20,MATCH(B2808,METADATA!$S$2:$S$20,0))),0)</f>
        <v>0</v>
      </c>
      <c r="E2808" s="312" t="str">
        <f t="shared" si="172"/>
        <v>LO</v>
      </c>
      <c r="F2808" s="369">
        <f>VLOOKUP(C2808,METADATA!$A$5:$H$29,IF(E2808="HI",2,IF(E2808="LO",6,10))+IF(D2808=1,2,IF(D2808=7,1,(IF(WEEKDAY(B2808)=1,2,IF(WEEKDAY(B2808)=7,1,0))))))</f>
        <v>3</v>
      </c>
      <c r="G2808" s="369">
        <f>VLOOKUP(C2808,METADATA!$J$5:$Q$29,IF(E2808="HI",2,IF(E2808="LO",6,10))+IF(D2808=1,2,IF(D2808=7,1,(IF(WEEKDAY(B2808)=1,2,IF(WEEKDAY(B2808)=7,1,0))))))</f>
        <v>3</v>
      </c>
      <c r="H2808" s="370">
        <v>12790.100219726563</v>
      </c>
      <c r="I2808" s="370">
        <v>3856.9775085449219</v>
      </c>
      <c r="M2808" s="371">
        <f t="shared" si="173"/>
        <v>13359.002175764133</v>
      </c>
      <c r="N2808" s="329">
        <f t="shared" si="174"/>
        <v>19.947442626953489</v>
      </c>
      <c r="T2808" s="331">
        <v>0</v>
      </c>
      <c r="U2808" s="328">
        <f>VLOOKUP(C2808,METADATA!$J$5:$Q$29,IF(E2808="HI",2,IF(E2808="LO",6,10))+IF(T2808=1,2,IF(D2808=7,1,(IF(WEEKDAY(B2808)=1,2,IF(WEEKDAY(B2808)=7,1,0))))))</f>
        <v>3</v>
      </c>
      <c r="V2808" s="328">
        <f>VLOOKUP(C2808,METADATA!$A$5:$H$29,IF(E2808="HI",2,IF(E2808="LO",6,10))+IF(T2808=1,2,IF(D2808=7,1,(IF(WEEKDAY(B2808)=1,2,IF(WEEKDAY(B2808)=7,1,0))))))</f>
        <v>3</v>
      </c>
    </row>
    <row r="2809" spans="2:22">
      <c r="B2809" s="318">
        <f t="shared" si="175"/>
        <v>46229</v>
      </c>
      <c r="C2809" s="312">
        <v>21</v>
      </c>
      <c r="D2809" s="368">
        <f>IFERROR((INDEX(METADATA!$T$2:$T$20,MATCH(B2809,METADATA!$S$2:$S$20,0))),0)</f>
        <v>0</v>
      </c>
      <c r="E2809" s="312" t="str">
        <f t="shared" si="172"/>
        <v>LO</v>
      </c>
      <c r="F2809" s="369">
        <f>VLOOKUP(C2809,METADATA!$A$5:$H$29,IF(E2809="HI",2,IF(E2809="LO",6,10))+IF(D2809=1,2,IF(D2809=7,1,(IF(WEEKDAY(B2809)=1,2,IF(WEEKDAY(B2809)=7,1,0))))))</f>
        <v>3</v>
      </c>
      <c r="G2809" s="369">
        <f>VLOOKUP(C2809,METADATA!$J$5:$Q$29,IF(E2809="HI",2,IF(E2809="LO",6,10))+IF(D2809=1,2,IF(D2809=7,1,(IF(WEEKDAY(B2809)=1,2,IF(WEEKDAY(B2809)=7,1,0))))))</f>
        <v>3</v>
      </c>
      <c r="H2809" s="370">
        <v>12900.674926757813</v>
      </c>
      <c r="I2809" s="370">
        <v>3912.7049560546875</v>
      </c>
      <c r="M2809" s="371">
        <f t="shared" si="173"/>
        <v>13480.974506281531</v>
      </c>
      <c r="N2809" s="329">
        <f t="shared" si="174"/>
        <v>42.502478027343841</v>
      </c>
      <c r="T2809" s="331">
        <v>0</v>
      </c>
      <c r="U2809" s="328">
        <f>VLOOKUP(C2809,METADATA!$J$5:$Q$29,IF(E2809="HI",2,IF(E2809="LO",6,10))+IF(T2809=1,2,IF(D2809=7,1,(IF(WEEKDAY(B2809)=1,2,IF(WEEKDAY(B2809)=7,1,0))))))</f>
        <v>3</v>
      </c>
      <c r="V2809" s="328">
        <f>VLOOKUP(C2809,METADATA!$A$5:$H$29,IF(E2809="HI",2,IF(E2809="LO",6,10))+IF(T2809=1,2,IF(D2809=7,1,(IF(WEEKDAY(B2809)=1,2,IF(WEEKDAY(B2809)=7,1,0))))))</f>
        <v>3</v>
      </c>
    </row>
    <row r="2810" spans="2:22">
      <c r="B2810" s="318">
        <f t="shared" si="175"/>
        <v>46229</v>
      </c>
      <c r="C2810" s="312">
        <v>22</v>
      </c>
      <c r="D2810" s="368">
        <f>IFERROR((INDEX(METADATA!$T$2:$T$20,MATCH(B2810,METADATA!$S$2:$S$20,0))),0)</f>
        <v>0</v>
      </c>
      <c r="E2810" s="312" t="str">
        <f t="shared" si="172"/>
        <v>LO</v>
      </c>
      <c r="F2810" s="369">
        <f>VLOOKUP(C2810,METADATA!$A$5:$H$29,IF(E2810="HI",2,IF(E2810="LO",6,10))+IF(D2810=1,2,IF(D2810=7,1,(IF(WEEKDAY(B2810)=1,2,IF(WEEKDAY(B2810)=7,1,0))))))</f>
        <v>3</v>
      </c>
      <c r="G2810" s="369">
        <f>VLOOKUP(C2810,METADATA!$J$5:$Q$29,IF(E2810="HI",2,IF(E2810="LO",6,10))+IF(D2810=1,2,IF(D2810=7,1,(IF(WEEKDAY(B2810)=1,2,IF(WEEKDAY(B2810)=7,1,0))))))</f>
        <v>3</v>
      </c>
      <c r="H2810" s="370">
        <v>12987.824829101563</v>
      </c>
      <c r="I2810" s="370">
        <v>4022.5750122070313</v>
      </c>
      <c r="M2810" s="371">
        <f t="shared" si="173"/>
        <v>13596.496001553467</v>
      </c>
      <c r="N2810" s="329">
        <f t="shared" si="174"/>
        <v>126.22756347656286</v>
      </c>
      <c r="T2810" s="331">
        <v>0</v>
      </c>
      <c r="U2810" s="328">
        <f>VLOOKUP(C2810,METADATA!$J$5:$Q$29,IF(E2810="HI",2,IF(E2810="LO",6,10))+IF(T2810=1,2,IF(D2810=7,1,(IF(WEEKDAY(B2810)=1,2,IF(WEEKDAY(B2810)=7,1,0))))))</f>
        <v>3</v>
      </c>
      <c r="V2810" s="328">
        <f>VLOOKUP(C2810,METADATA!$A$5:$H$29,IF(E2810="HI",2,IF(E2810="LO",6,10))+IF(T2810=1,2,IF(D2810=7,1,(IF(WEEKDAY(B2810)=1,2,IF(WEEKDAY(B2810)=7,1,0))))))</f>
        <v>3</v>
      </c>
    </row>
    <row r="2811" spans="2:22">
      <c r="B2811" s="318">
        <f t="shared" si="175"/>
        <v>46229</v>
      </c>
      <c r="C2811" s="312">
        <v>23</v>
      </c>
      <c r="D2811" s="368">
        <f>IFERROR((INDEX(METADATA!$T$2:$T$20,MATCH(B2811,METADATA!$S$2:$S$20,0))),0)</f>
        <v>0</v>
      </c>
      <c r="E2811" s="312" t="str">
        <f t="shared" si="172"/>
        <v>LO</v>
      </c>
      <c r="F2811" s="369">
        <f>VLOOKUP(C2811,METADATA!$A$5:$H$29,IF(E2811="HI",2,IF(E2811="LO",6,10))+IF(D2811=1,2,IF(D2811=7,1,(IF(WEEKDAY(B2811)=1,2,IF(WEEKDAY(B2811)=7,1,0))))))</f>
        <v>3</v>
      </c>
      <c r="G2811" s="369">
        <f>VLOOKUP(C2811,METADATA!$J$5:$Q$29,IF(E2811="HI",2,IF(E2811="LO",6,10))+IF(D2811=1,2,IF(D2811=7,1,(IF(WEEKDAY(B2811)=1,2,IF(WEEKDAY(B2811)=7,1,0))))))</f>
        <v>3</v>
      </c>
      <c r="H2811" s="370">
        <v>13411.02490234375</v>
      </c>
      <c r="I2811" s="370">
        <v>4395.0649719238281</v>
      </c>
      <c r="M2811" s="371">
        <f t="shared" si="173"/>
        <v>14112.837596979425</v>
      </c>
      <c r="N2811" s="329">
        <f t="shared" si="174"/>
        <v>371.75750122070349</v>
      </c>
      <c r="T2811" s="331">
        <v>0</v>
      </c>
      <c r="U2811" s="328">
        <f>VLOOKUP(C2811,METADATA!$J$5:$Q$29,IF(E2811="HI",2,IF(E2811="LO",6,10))+IF(T2811=1,2,IF(D2811=7,1,(IF(WEEKDAY(B2811)=1,2,IF(WEEKDAY(B2811)=7,1,0))))))</f>
        <v>3</v>
      </c>
      <c r="V2811" s="328">
        <f>VLOOKUP(C2811,METADATA!$A$5:$H$29,IF(E2811="HI",2,IF(E2811="LO",6,10))+IF(T2811=1,2,IF(D2811=7,1,(IF(WEEKDAY(B2811)=1,2,IF(WEEKDAY(B2811)=7,1,0))))))</f>
        <v>3</v>
      </c>
    </row>
    <row r="2812" spans="2:22">
      <c r="B2812" s="318">
        <f t="shared" si="175"/>
        <v>46230</v>
      </c>
      <c r="C2812" s="312">
        <v>0</v>
      </c>
      <c r="D2812" s="368">
        <f>IFERROR((INDEX(METADATA!$T$2:$T$20,MATCH(B2812,METADATA!$S$2:$S$20,0))),0)</f>
        <v>0</v>
      </c>
      <c r="E2812" s="312" t="str">
        <f t="shared" si="172"/>
        <v>LO</v>
      </c>
      <c r="F2812" s="369">
        <f>VLOOKUP(C2812,METADATA!$A$5:$H$29,IF(E2812="HI",2,IF(E2812="LO",6,10))+IF(D2812=1,2,IF(D2812=7,1,(IF(WEEKDAY(B2812)=1,2,IF(WEEKDAY(B2812)=7,1,0))))))</f>
        <v>3</v>
      </c>
      <c r="G2812" s="369">
        <f>VLOOKUP(C2812,METADATA!$J$5:$Q$29,IF(E2812="HI",2,IF(E2812="LO",6,10))+IF(D2812=1,2,IF(D2812=7,1,(IF(WEEKDAY(B2812)=1,2,IF(WEEKDAY(B2812)=7,1,0))))))</f>
        <v>3</v>
      </c>
      <c r="H2812" s="370">
        <v>12833.725402832031</v>
      </c>
      <c r="I2812" s="370">
        <v>4103.4200439453125</v>
      </c>
      <c r="M2812" s="371">
        <f t="shared" si="173"/>
        <v>13473.77318245889</v>
      </c>
      <c r="N2812" s="329">
        <f t="shared" si="174"/>
        <v>253.30242309570349</v>
      </c>
      <c r="T2812" s="331">
        <v>0</v>
      </c>
      <c r="U2812" s="328">
        <f>VLOOKUP(C2812,METADATA!$J$5:$Q$29,IF(E2812="HI",2,IF(E2812="LO",6,10))+IF(T2812=1,2,IF(D2812=7,1,(IF(WEEKDAY(B2812)=1,2,IF(WEEKDAY(B2812)=7,1,0))))))</f>
        <v>3</v>
      </c>
      <c r="V2812" s="328">
        <f>VLOOKUP(C2812,METADATA!$A$5:$H$29,IF(E2812="HI",2,IF(E2812="LO",6,10))+IF(T2812=1,2,IF(D2812=7,1,(IF(WEEKDAY(B2812)=1,2,IF(WEEKDAY(B2812)=7,1,0))))))</f>
        <v>3</v>
      </c>
    </row>
    <row r="2813" spans="2:22">
      <c r="B2813" s="318">
        <f t="shared" si="175"/>
        <v>46230</v>
      </c>
      <c r="C2813" s="312">
        <v>1</v>
      </c>
      <c r="D2813" s="368">
        <f>IFERROR((INDEX(METADATA!$T$2:$T$20,MATCH(B2813,METADATA!$S$2:$S$20,0))),0)</f>
        <v>0</v>
      </c>
      <c r="E2813" s="312" t="str">
        <f t="shared" si="172"/>
        <v>LO</v>
      </c>
      <c r="F2813" s="369">
        <f>VLOOKUP(C2813,METADATA!$A$5:$H$29,IF(E2813="HI",2,IF(E2813="LO",6,10))+IF(D2813=1,2,IF(D2813=7,1,(IF(WEEKDAY(B2813)=1,2,IF(WEEKDAY(B2813)=7,1,0))))))</f>
        <v>3</v>
      </c>
      <c r="G2813" s="369">
        <f>VLOOKUP(C2813,METADATA!$J$5:$Q$29,IF(E2813="HI",2,IF(E2813="LO",6,10))+IF(D2813=1,2,IF(D2813=7,1,(IF(WEEKDAY(B2813)=1,2,IF(WEEKDAY(B2813)=7,1,0))))))</f>
        <v>3</v>
      </c>
      <c r="H2813" s="370">
        <v>13243.244506835938</v>
      </c>
      <c r="I2813" s="370">
        <v>4217.1699829101563</v>
      </c>
      <c r="M2813" s="371">
        <f t="shared" si="173"/>
        <v>13898.490843706688</v>
      </c>
      <c r="N2813" s="329">
        <f t="shared" si="174"/>
        <v>244.19663085937509</v>
      </c>
      <c r="T2813" s="331">
        <v>0</v>
      </c>
      <c r="U2813" s="328">
        <f>VLOOKUP(C2813,METADATA!$J$5:$Q$29,IF(E2813="HI",2,IF(E2813="LO",6,10))+IF(T2813=1,2,IF(D2813=7,1,(IF(WEEKDAY(B2813)=1,2,IF(WEEKDAY(B2813)=7,1,0))))))</f>
        <v>3</v>
      </c>
      <c r="V2813" s="328">
        <f>VLOOKUP(C2813,METADATA!$A$5:$H$29,IF(E2813="HI",2,IF(E2813="LO",6,10))+IF(T2813=1,2,IF(D2813=7,1,(IF(WEEKDAY(B2813)=1,2,IF(WEEKDAY(B2813)=7,1,0))))))</f>
        <v>3</v>
      </c>
    </row>
    <row r="2814" spans="2:22">
      <c r="B2814" s="318">
        <f t="shared" si="175"/>
        <v>46230</v>
      </c>
      <c r="C2814" s="312">
        <v>2</v>
      </c>
      <c r="D2814" s="368">
        <f>IFERROR((INDEX(METADATA!$T$2:$T$20,MATCH(B2814,METADATA!$S$2:$S$20,0))),0)</f>
        <v>0</v>
      </c>
      <c r="E2814" s="312" t="str">
        <f t="shared" si="172"/>
        <v>LO</v>
      </c>
      <c r="F2814" s="369">
        <f>VLOOKUP(C2814,METADATA!$A$5:$H$29,IF(E2814="HI",2,IF(E2814="LO",6,10))+IF(D2814=1,2,IF(D2814=7,1,(IF(WEEKDAY(B2814)=1,2,IF(WEEKDAY(B2814)=7,1,0))))))</f>
        <v>3</v>
      </c>
      <c r="G2814" s="369">
        <f>VLOOKUP(C2814,METADATA!$J$5:$Q$29,IF(E2814="HI",2,IF(E2814="LO",6,10))+IF(D2814=1,2,IF(D2814=7,1,(IF(WEEKDAY(B2814)=1,2,IF(WEEKDAY(B2814)=7,1,0))))))</f>
        <v>3</v>
      </c>
      <c r="H2814" s="370">
        <v>13174.449890136719</v>
      </c>
      <c r="I2814" s="370">
        <v>4246.7349853515625</v>
      </c>
      <c r="M2814" s="371">
        <f t="shared" si="173"/>
        <v>13841.997252691981</v>
      </c>
      <c r="N2814" s="329">
        <f t="shared" si="174"/>
        <v>294.40001831054724</v>
      </c>
      <c r="T2814" s="331">
        <v>0</v>
      </c>
      <c r="U2814" s="328">
        <f>VLOOKUP(C2814,METADATA!$J$5:$Q$29,IF(E2814="HI",2,IF(E2814="LO",6,10))+IF(T2814=1,2,IF(D2814=7,1,(IF(WEEKDAY(B2814)=1,2,IF(WEEKDAY(B2814)=7,1,0))))))</f>
        <v>3</v>
      </c>
      <c r="V2814" s="328">
        <f>VLOOKUP(C2814,METADATA!$A$5:$H$29,IF(E2814="HI",2,IF(E2814="LO",6,10))+IF(T2814=1,2,IF(D2814=7,1,(IF(WEEKDAY(B2814)=1,2,IF(WEEKDAY(B2814)=7,1,0))))))</f>
        <v>3</v>
      </c>
    </row>
    <row r="2815" spans="2:22">
      <c r="B2815" s="318">
        <f t="shared" si="175"/>
        <v>46230</v>
      </c>
      <c r="C2815" s="312">
        <v>3</v>
      </c>
      <c r="D2815" s="368">
        <f>IFERROR((INDEX(METADATA!$T$2:$T$20,MATCH(B2815,METADATA!$S$2:$S$20,0))),0)</f>
        <v>0</v>
      </c>
      <c r="E2815" s="312" t="str">
        <f t="shared" si="172"/>
        <v>LO</v>
      </c>
      <c r="F2815" s="369">
        <f>VLOOKUP(C2815,METADATA!$A$5:$H$29,IF(E2815="HI",2,IF(E2815="LO",6,10))+IF(D2815=1,2,IF(D2815=7,1,(IF(WEEKDAY(B2815)=1,2,IF(WEEKDAY(B2815)=7,1,0))))))</f>
        <v>3</v>
      </c>
      <c r="G2815" s="369">
        <f>VLOOKUP(C2815,METADATA!$J$5:$Q$29,IF(E2815="HI",2,IF(E2815="LO",6,10))+IF(D2815=1,2,IF(D2815=7,1,(IF(WEEKDAY(B2815)=1,2,IF(WEEKDAY(B2815)=7,1,0))))))</f>
        <v>3</v>
      </c>
      <c r="H2815" s="370">
        <v>13079.974914550781</v>
      </c>
      <c r="I2815" s="370">
        <v>3924.5799255371094</v>
      </c>
      <c r="M2815" s="371">
        <f t="shared" si="173"/>
        <v>13656.06353812132</v>
      </c>
      <c r="N2815" s="329">
        <f t="shared" si="174"/>
        <v>0.58745117187527285</v>
      </c>
      <c r="T2815" s="331">
        <v>0</v>
      </c>
      <c r="U2815" s="328">
        <f>VLOOKUP(C2815,METADATA!$J$5:$Q$29,IF(E2815="HI",2,IF(E2815="LO",6,10))+IF(T2815=1,2,IF(D2815=7,1,(IF(WEEKDAY(B2815)=1,2,IF(WEEKDAY(B2815)=7,1,0))))))</f>
        <v>3</v>
      </c>
      <c r="V2815" s="328">
        <f>VLOOKUP(C2815,METADATA!$A$5:$H$29,IF(E2815="HI",2,IF(E2815="LO",6,10))+IF(T2815=1,2,IF(D2815=7,1,(IF(WEEKDAY(B2815)=1,2,IF(WEEKDAY(B2815)=7,1,0))))))</f>
        <v>3</v>
      </c>
    </row>
    <row r="2816" spans="2:22">
      <c r="B2816" s="318">
        <f t="shared" si="175"/>
        <v>46230</v>
      </c>
      <c r="C2816" s="312">
        <v>4</v>
      </c>
      <c r="D2816" s="368">
        <f>IFERROR((INDEX(METADATA!$T$2:$T$20,MATCH(B2816,METADATA!$S$2:$S$20,0))),0)</f>
        <v>0</v>
      </c>
      <c r="E2816" s="312" t="str">
        <f t="shared" si="172"/>
        <v>LO</v>
      </c>
      <c r="F2816" s="369">
        <f>VLOOKUP(C2816,METADATA!$A$5:$H$29,IF(E2816="HI",2,IF(E2816="LO",6,10))+IF(D2816=1,2,IF(D2816=7,1,(IF(WEEKDAY(B2816)=1,2,IF(WEEKDAY(B2816)=7,1,0))))))</f>
        <v>3</v>
      </c>
      <c r="G2816" s="369">
        <f>VLOOKUP(C2816,METADATA!$J$5:$Q$29,IF(E2816="HI",2,IF(E2816="LO",6,10))+IF(D2816=1,2,IF(D2816=7,1,(IF(WEEKDAY(B2816)=1,2,IF(WEEKDAY(B2816)=7,1,0))))))</f>
        <v>3</v>
      </c>
      <c r="H2816" s="370">
        <v>12816.775329589844</v>
      </c>
      <c r="I2816" s="370">
        <v>3583.2550201416016</v>
      </c>
      <c r="M2816" s="371">
        <f t="shared" si="173"/>
        <v>13308.247307160806</v>
      </c>
      <c r="N2816" s="329">
        <f t="shared" si="174"/>
        <v>0</v>
      </c>
      <c r="T2816" s="331">
        <v>0</v>
      </c>
      <c r="U2816" s="328">
        <f>VLOOKUP(C2816,METADATA!$J$5:$Q$29,IF(E2816="HI",2,IF(E2816="LO",6,10))+IF(T2816=1,2,IF(D2816=7,1,(IF(WEEKDAY(B2816)=1,2,IF(WEEKDAY(B2816)=7,1,0))))))</f>
        <v>3</v>
      </c>
      <c r="V2816" s="328">
        <f>VLOOKUP(C2816,METADATA!$A$5:$H$29,IF(E2816="HI",2,IF(E2816="LO",6,10))+IF(T2816=1,2,IF(D2816=7,1,(IF(WEEKDAY(B2816)=1,2,IF(WEEKDAY(B2816)=7,1,0))))))</f>
        <v>3</v>
      </c>
    </row>
    <row r="2817" spans="2:22">
      <c r="B2817" s="318">
        <f t="shared" si="175"/>
        <v>46230</v>
      </c>
      <c r="C2817" s="312">
        <v>5</v>
      </c>
      <c r="D2817" s="368">
        <f>IFERROR((INDEX(METADATA!$T$2:$T$20,MATCH(B2817,METADATA!$S$2:$S$20,0))),0)</f>
        <v>0</v>
      </c>
      <c r="E2817" s="312" t="str">
        <f t="shared" si="172"/>
        <v>LO</v>
      </c>
      <c r="F2817" s="369">
        <f>VLOOKUP(C2817,METADATA!$A$5:$H$29,IF(E2817="HI",2,IF(E2817="LO",6,10))+IF(D2817=1,2,IF(D2817=7,1,(IF(WEEKDAY(B2817)=1,2,IF(WEEKDAY(B2817)=7,1,0))))))</f>
        <v>3</v>
      </c>
      <c r="G2817" s="369">
        <f>VLOOKUP(C2817,METADATA!$J$5:$Q$29,IF(E2817="HI",2,IF(E2817="LO",6,10))+IF(D2817=1,2,IF(D2817=7,1,(IF(WEEKDAY(B2817)=1,2,IF(WEEKDAY(B2817)=7,1,0))))))</f>
        <v>3</v>
      </c>
      <c r="H2817" s="370">
        <v>13247.525268554688</v>
      </c>
      <c r="I2817" s="370">
        <v>3950.9349670410156</v>
      </c>
      <c r="M2817" s="371">
        <f t="shared" si="173"/>
        <v>13824.138774433013</v>
      </c>
      <c r="N2817" s="329">
        <f t="shared" si="174"/>
        <v>0</v>
      </c>
      <c r="T2817" s="331">
        <v>0</v>
      </c>
      <c r="U2817" s="328">
        <f>VLOOKUP(C2817,METADATA!$J$5:$Q$29,IF(E2817="HI",2,IF(E2817="LO",6,10))+IF(T2817=1,2,IF(D2817=7,1,(IF(WEEKDAY(B2817)=1,2,IF(WEEKDAY(B2817)=7,1,0))))))</f>
        <v>3</v>
      </c>
      <c r="V2817" s="328">
        <f>VLOOKUP(C2817,METADATA!$A$5:$H$29,IF(E2817="HI",2,IF(E2817="LO",6,10))+IF(T2817=1,2,IF(D2817=7,1,(IF(WEEKDAY(B2817)=1,2,IF(WEEKDAY(B2817)=7,1,0))))))</f>
        <v>3</v>
      </c>
    </row>
    <row r="2818" spans="2:22">
      <c r="B2818" s="318">
        <f t="shared" si="175"/>
        <v>46230</v>
      </c>
      <c r="C2818" s="312">
        <v>6</v>
      </c>
      <c r="D2818" s="368">
        <f>IFERROR((INDEX(METADATA!$T$2:$T$20,MATCH(B2818,METADATA!$S$2:$S$20,0))),0)</f>
        <v>0</v>
      </c>
      <c r="E2818" s="312" t="str">
        <f t="shared" si="172"/>
        <v>LO</v>
      </c>
      <c r="F2818" s="369">
        <f>VLOOKUP(C2818,METADATA!$A$5:$H$29,IF(E2818="HI",2,IF(E2818="LO",6,10))+IF(D2818=1,2,IF(D2818=7,1,(IF(WEEKDAY(B2818)=1,2,IF(WEEKDAY(B2818)=7,1,0))))))</f>
        <v>2</v>
      </c>
      <c r="G2818" s="369">
        <f>VLOOKUP(C2818,METADATA!$J$5:$Q$29,IF(E2818="HI",2,IF(E2818="LO",6,10))+IF(D2818=1,2,IF(D2818=7,1,(IF(WEEKDAY(B2818)=1,2,IF(WEEKDAY(B2818)=7,1,0))))))</f>
        <v>2</v>
      </c>
      <c r="H2818" s="370">
        <v>12888.5</v>
      </c>
      <c r="I2818" s="370">
        <v>3550.3949584960938</v>
      </c>
      <c r="M2818" s="371">
        <f t="shared" si="173"/>
        <v>13368.572721547895</v>
      </c>
      <c r="N2818" s="329">
        <f t="shared" si="174"/>
        <v>0</v>
      </c>
      <c r="T2818" s="331">
        <v>0</v>
      </c>
      <c r="U2818" s="328">
        <f>VLOOKUP(C2818,METADATA!$J$5:$Q$29,IF(E2818="HI",2,IF(E2818="LO",6,10))+IF(T2818=1,2,IF(D2818=7,1,(IF(WEEKDAY(B2818)=1,2,IF(WEEKDAY(B2818)=7,1,0))))))</f>
        <v>2</v>
      </c>
      <c r="V2818" s="328">
        <f>VLOOKUP(C2818,METADATA!$A$5:$H$29,IF(E2818="HI",2,IF(E2818="LO",6,10))+IF(T2818=1,2,IF(D2818=7,1,(IF(WEEKDAY(B2818)=1,2,IF(WEEKDAY(B2818)=7,1,0))))))</f>
        <v>2</v>
      </c>
    </row>
    <row r="2819" spans="2:22">
      <c r="B2819" s="318">
        <f t="shared" si="175"/>
        <v>46230</v>
      </c>
      <c r="C2819" s="312">
        <v>7</v>
      </c>
      <c r="D2819" s="368">
        <f>IFERROR((INDEX(METADATA!$T$2:$T$20,MATCH(B2819,METADATA!$S$2:$S$20,0))),0)</f>
        <v>0</v>
      </c>
      <c r="E2819" s="312" t="str">
        <f t="shared" si="172"/>
        <v>LO</v>
      </c>
      <c r="F2819" s="369">
        <f>VLOOKUP(C2819,METADATA!$A$5:$H$29,IF(E2819="HI",2,IF(E2819="LO",6,10))+IF(D2819=1,2,IF(D2819=7,1,(IF(WEEKDAY(B2819)=1,2,IF(WEEKDAY(B2819)=7,1,0))))))</f>
        <v>1</v>
      </c>
      <c r="G2819" s="369">
        <f>VLOOKUP(C2819,METADATA!$J$5:$Q$29,IF(E2819="HI",2,IF(E2819="LO",6,10))+IF(D2819=1,2,IF(D2819=7,1,(IF(WEEKDAY(B2819)=1,2,IF(WEEKDAY(B2819)=7,1,0))))))</f>
        <v>1</v>
      </c>
      <c r="H2819" s="370">
        <v>12777.524963378906</v>
      </c>
      <c r="I2819" s="370">
        <v>3350.4249877929688</v>
      </c>
      <c r="M2819" s="371">
        <f t="shared" si="173"/>
        <v>13209.484917611233</v>
      </c>
      <c r="N2819" s="329">
        <f t="shared" si="174"/>
        <v>0</v>
      </c>
      <c r="T2819" s="331">
        <v>0</v>
      </c>
      <c r="U2819" s="328">
        <f>VLOOKUP(C2819,METADATA!$J$5:$Q$29,IF(E2819="HI",2,IF(E2819="LO",6,10))+IF(T2819=1,2,IF(D2819=7,1,(IF(WEEKDAY(B2819)=1,2,IF(WEEKDAY(B2819)=7,1,0))))))</f>
        <v>1</v>
      </c>
      <c r="V2819" s="328">
        <f>VLOOKUP(C2819,METADATA!$A$5:$H$29,IF(E2819="HI",2,IF(E2819="LO",6,10))+IF(T2819=1,2,IF(D2819=7,1,(IF(WEEKDAY(B2819)=1,2,IF(WEEKDAY(B2819)=7,1,0))))))</f>
        <v>1</v>
      </c>
    </row>
    <row r="2820" spans="2:22">
      <c r="B2820" s="318">
        <f t="shared" si="175"/>
        <v>46230</v>
      </c>
      <c r="C2820" s="312">
        <v>8</v>
      </c>
      <c r="D2820" s="368">
        <f>IFERROR((INDEX(METADATA!$T$2:$T$20,MATCH(B2820,METADATA!$S$2:$S$20,0))),0)</f>
        <v>0</v>
      </c>
      <c r="E2820" s="312" t="str">
        <f t="shared" ref="E2820:E2883" si="176">IF(B2820="","",IF(AND(MONTH(B2820)&gt;=MONTH($Z$9),MONTH(B2820)&lt;=MONTH($Z$11)),"HI","LO"))</f>
        <v>LO</v>
      </c>
      <c r="F2820" s="369">
        <f>VLOOKUP(C2820,METADATA!$A$5:$H$29,IF(E2820="HI",2,IF(E2820="LO",6,10))+IF(D2820=1,2,IF(D2820=7,1,(IF(WEEKDAY(B2820)=1,2,IF(WEEKDAY(B2820)=7,1,0))))))</f>
        <v>1</v>
      </c>
      <c r="G2820" s="369">
        <f>VLOOKUP(C2820,METADATA!$J$5:$Q$29,IF(E2820="HI",2,IF(E2820="LO",6,10))+IF(D2820=1,2,IF(D2820=7,1,(IF(WEEKDAY(B2820)=1,2,IF(WEEKDAY(B2820)=7,1,0))))))</f>
        <v>1</v>
      </c>
      <c r="H2820" s="370">
        <v>12887.775024414063</v>
      </c>
      <c r="I2820" s="370">
        <v>3493.8049926757813</v>
      </c>
      <c r="M2820" s="371">
        <f t="shared" ref="M2820:M2883" si="177">SQRT(H2820^2+I2820^2)</f>
        <v>13352.955418436664</v>
      </c>
      <c r="N2820" s="329">
        <f t="shared" ref="N2820:N2883" si="178">IF(H2820=0,0,(IF(I2820-(0.3*H2820)&lt;0,0,(I2820-(0.3*H2820)))))</f>
        <v>0</v>
      </c>
      <c r="T2820" s="331">
        <v>0</v>
      </c>
      <c r="U2820" s="328">
        <f>VLOOKUP(C2820,METADATA!$J$5:$Q$29,IF(E2820="HI",2,IF(E2820="LO",6,10))+IF(T2820=1,2,IF(D2820=7,1,(IF(WEEKDAY(B2820)=1,2,IF(WEEKDAY(B2820)=7,1,0))))))</f>
        <v>1</v>
      </c>
      <c r="V2820" s="328">
        <f>VLOOKUP(C2820,METADATA!$A$5:$H$29,IF(E2820="HI",2,IF(E2820="LO",6,10))+IF(T2820=1,2,IF(D2820=7,1,(IF(WEEKDAY(B2820)=1,2,IF(WEEKDAY(B2820)=7,1,0))))))</f>
        <v>1</v>
      </c>
    </row>
    <row r="2821" spans="2:22">
      <c r="B2821" s="318">
        <f t="shared" si="175"/>
        <v>46230</v>
      </c>
      <c r="C2821" s="312">
        <v>9</v>
      </c>
      <c r="D2821" s="368">
        <f>IFERROR((INDEX(METADATA!$T$2:$T$20,MATCH(B2821,METADATA!$S$2:$S$20,0))),0)</f>
        <v>0</v>
      </c>
      <c r="E2821" s="312" t="str">
        <f t="shared" si="176"/>
        <v>LO</v>
      </c>
      <c r="F2821" s="369">
        <f>VLOOKUP(C2821,METADATA!$A$5:$H$29,IF(E2821="HI",2,IF(E2821="LO",6,10))+IF(D2821=1,2,IF(D2821=7,1,(IF(WEEKDAY(B2821)=1,2,IF(WEEKDAY(B2821)=7,1,0))))))</f>
        <v>2</v>
      </c>
      <c r="G2821" s="369">
        <f>VLOOKUP(C2821,METADATA!$J$5:$Q$29,IF(E2821="HI",2,IF(E2821="LO",6,10))+IF(D2821=1,2,IF(D2821=7,1,(IF(WEEKDAY(B2821)=1,2,IF(WEEKDAY(B2821)=7,1,0))))))</f>
        <v>2</v>
      </c>
      <c r="H2821" s="370">
        <v>12791.650268554688</v>
      </c>
      <c r="I2821" s="370">
        <v>3521.0049133300781</v>
      </c>
      <c r="M2821" s="371">
        <f t="shared" si="177"/>
        <v>13267.395833120747</v>
      </c>
      <c r="N2821" s="329">
        <f t="shared" si="178"/>
        <v>0</v>
      </c>
      <c r="T2821" s="331">
        <v>0</v>
      </c>
      <c r="U2821" s="328">
        <f>VLOOKUP(C2821,METADATA!$J$5:$Q$29,IF(E2821="HI",2,IF(E2821="LO",6,10))+IF(T2821=1,2,IF(D2821=7,1,(IF(WEEKDAY(B2821)=1,2,IF(WEEKDAY(B2821)=7,1,0))))))</f>
        <v>2</v>
      </c>
      <c r="V2821" s="328">
        <f>VLOOKUP(C2821,METADATA!$A$5:$H$29,IF(E2821="HI",2,IF(E2821="LO",6,10))+IF(T2821=1,2,IF(D2821=7,1,(IF(WEEKDAY(B2821)=1,2,IF(WEEKDAY(B2821)=7,1,0))))))</f>
        <v>2</v>
      </c>
    </row>
    <row r="2822" spans="2:22">
      <c r="B2822" s="318">
        <f t="shared" si="175"/>
        <v>46230</v>
      </c>
      <c r="C2822" s="312">
        <v>10</v>
      </c>
      <c r="D2822" s="368">
        <f>IFERROR((INDEX(METADATA!$T$2:$T$20,MATCH(B2822,METADATA!$S$2:$S$20,0))),0)</f>
        <v>0</v>
      </c>
      <c r="E2822" s="312" t="str">
        <f t="shared" si="176"/>
        <v>LO</v>
      </c>
      <c r="F2822" s="369">
        <f>VLOOKUP(C2822,METADATA!$A$5:$H$29,IF(E2822="HI",2,IF(E2822="LO",6,10))+IF(D2822=1,2,IF(D2822=7,1,(IF(WEEKDAY(B2822)=1,2,IF(WEEKDAY(B2822)=7,1,0))))))</f>
        <v>2</v>
      </c>
      <c r="G2822" s="369">
        <f>VLOOKUP(C2822,METADATA!$J$5:$Q$29,IF(E2822="HI",2,IF(E2822="LO",6,10))+IF(D2822=1,2,IF(D2822=7,1,(IF(WEEKDAY(B2822)=1,2,IF(WEEKDAY(B2822)=7,1,0))))))</f>
        <v>2</v>
      </c>
      <c r="H2822" s="370">
        <v>12761.14990234375</v>
      </c>
      <c r="I2822" s="370">
        <v>3558.7500457763672</v>
      </c>
      <c r="M2822" s="371">
        <f t="shared" si="177"/>
        <v>13248.080944740683</v>
      </c>
      <c r="N2822" s="329">
        <f t="shared" si="178"/>
        <v>0</v>
      </c>
      <c r="T2822" s="331">
        <v>0</v>
      </c>
      <c r="U2822" s="328">
        <f>VLOOKUP(C2822,METADATA!$J$5:$Q$29,IF(E2822="HI",2,IF(E2822="LO",6,10))+IF(T2822=1,2,IF(D2822=7,1,(IF(WEEKDAY(B2822)=1,2,IF(WEEKDAY(B2822)=7,1,0))))))</f>
        <v>2</v>
      </c>
      <c r="V2822" s="328">
        <f>VLOOKUP(C2822,METADATA!$A$5:$H$29,IF(E2822="HI",2,IF(E2822="LO",6,10))+IF(T2822=1,2,IF(D2822=7,1,(IF(WEEKDAY(B2822)=1,2,IF(WEEKDAY(B2822)=7,1,0))))))</f>
        <v>2</v>
      </c>
    </row>
    <row r="2823" spans="2:22">
      <c r="B2823" s="318">
        <f t="shared" si="175"/>
        <v>46230</v>
      </c>
      <c r="C2823" s="312">
        <v>11</v>
      </c>
      <c r="D2823" s="368">
        <f>IFERROR((INDEX(METADATA!$T$2:$T$20,MATCH(B2823,METADATA!$S$2:$S$20,0))),0)</f>
        <v>0</v>
      </c>
      <c r="E2823" s="312" t="str">
        <f t="shared" si="176"/>
        <v>LO</v>
      </c>
      <c r="F2823" s="369">
        <f>VLOOKUP(C2823,METADATA!$A$5:$H$29,IF(E2823="HI",2,IF(E2823="LO",6,10))+IF(D2823=1,2,IF(D2823=7,1,(IF(WEEKDAY(B2823)=1,2,IF(WEEKDAY(B2823)=7,1,0))))))</f>
        <v>2</v>
      </c>
      <c r="G2823" s="369">
        <f>VLOOKUP(C2823,METADATA!$J$5:$Q$29,IF(E2823="HI",2,IF(E2823="LO",6,10))+IF(D2823=1,2,IF(D2823=7,1,(IF(WEEKDAY(B2823)=1,2,IF(WEEKDAY(B2823)=7,1,0))))))</f>
        <v>2</v>
      </c>
      <c r="H2823" s="370">
        <v>12907.449829101563</v>
      </c>
      <c r="I2823" s="370">
        <v>3830.8400268554688</v>
      </c>
      <c r="M2823" s="371">
        <f t="shared" si="177"/>
        <v>13463.936883472528</v>
      </c>
      <c r="N2823" s="329">
        <f t="shared" si="178"/>
        <v>0</v>
      </c>
      <c r="T2823" s="331">
        <v>0</v>
      </c>
      <c r="U2823" s="328">
        <f>VLOOKUP(C2823,METADATA!$J$5:$Q$29,IF(E2823="HI",2,IF(E2823="LO",6,10))+IF(T2823=1,2,IF(D2823=7,1,(IF(WEEKDAY(B2823)=1,2,IF(WEEKDAY(B2823)=7,1,0))))))</f>
        <v>2</v>
      </c>
      <c r="V2823" s="328">
        <f>VLOOKUP(C2823,METADATA!$A$5:$H$29,IF(E2823="HI",2,IF(E2823="LO",6,10))+IF(T2823=1,2,IF(D2823=7,1,(IF(WEEKDAY(B2823)=1,2,IF(WEEKDAY(B2823)=7,1,0))))))</f>
        <v>2</v>
      </c>
    </row>
    <row r="2824" spans="2:22">
      <c r="B2824" s="318">
        <f t="shared" si="175"/>
        <v>46230</v>
      </c>
      <c r="C2824" s="312">
        <v>12</v>
      </c>
      <c r="D2824" s="368">
        <f>IFERROR((INDEX(METADATA!$T$2:$T$20,MATCH(B2824,METADATA!$S$2:$S$20,0))),0)</f>
        <v>0</v>
      </c>
      <c r="E2824" s="312" t="str">
        <f t="shared" si="176"/>
        <v>LO</v>
      </c>
      <c r="F2824" s="369">
        <f>VLOOKUP(C2824,METADATA!$A$5:$H$29,IF(E2824="HI",2,IF(E2824="LO",6,10))+IF(D2824=1,2,IF(D2824=7,1,(IF(WEEKDAY(B2824)=1,2,IF(WEEKDAY(B2824)=7,1,0))))))</f>
        <v>2</v>
      </c>
      <c r="G2824" s="369">
        <f>VLOOKUP(C2824,METADATA!$J$5:$Q$29,IF(E2824="HI",2,IF(E2824="LO",6,10))+IF(D2824=1,2,IF(D2824=7,1,(IF(WEEKDAY(B2824)=1,2,IF(WEEKDAY(B2824)=7,1,0))))))</f>
        <v>2</v>
      </c>
      <c r="H2824" s="370">
        <v>13723.575439453125</v>
      </c>
      <c r="I2824" s="370">
        <v>4673.1049194335938</v>
      </c>
      <c r="M2824" s="371">
        <f t="shared" si="177"/>
        <v>14497.393987554988</v>
      </c>
      <c r="N2824" s="329">
        <f t="shared" si="178"/>
        <v>556.03228759765625</v>
      </c>
      <c r="T2824" s="331">
        <v>0</v>
      </c>
      <c r="U2824" s="328">
        <f>VLOOKUP(C2824,METADATA!$J$5:$Q$29,IF(E2824="HI",2,IF(E2824="LO",6,10))+IF(T2824=1,2,IF(D2824=7,1,(IF(WEEKDAY(B2824)=1,2,IF(WEEKDAY(B2824)=7,1,0))))))</f>
        <v>2</v>
      </c>
      <c r="V2824" s="328">
        <f>VLOOKUP(C2824,METADATA!$A$5:$H$29,IF(E2824="HI",2,IF(E2824="LO",6,10))+IF(T2824=1,2,IF(D2824=7,1,(IF(WEEKDAY(B2824)=1,2,IF(WEEKDAY(B2824)=7,1,0))))))</f>
        <v>2</v>
      </c>
    </row>
    <row r="2825" spans="2:22">
      <c r="B2825" s="318">
        <f t="shared" si="175"/>
        <v>46230</v>
      </c>
      <c r="C2825" s="312">
        <v>13</v>
      </c>
      <c r="D2825" s="368">
        <f>IFERROR((INDEX(METADATA!$T$2:$T$20,MATCH(B2825,METADATA!$S$2:$S$20,0))),0)</f>
        <v>0</v>
      </c>
      <c r="E2825" s="312" t="str">
        <f t="shared" si="176"/>
        <v>LO</v>
      </c>
      <c r="F2825" s="369">
        <f>VLOOKUP(C2825,METADATA!$A$5:$H$29,IF(E2825="HI",2,IF(E2825="LO",6,10))+IF(D2825=1,2,IF(D2825=7,1,(IF(WEEKDAY(B2825)=1,2,IF(WEEKDAY(B2825)=7,1,0))))))</f>
        <v>2</v>
      </c>
      <c r="G2825" s="369">
        <f>VLOOKUP(C2825,METADATA!$J$5:$Q$29,IF(E2825="HI",2,IF(E2825="LO",6,10))+IF(D2825=1,2,IF(D2825=7,1,(IF(WEEKDAY(B2825)=1,2,IF(WEEKDAY(B2825)=7,1,0))))))</f>
        <v>2</v>
      </c>
      <c r="H2825" s="370">
        <v>13674.2998046875</v>
      </c>
      <c r="I2825" s="370">
        <v>4658.6949462890625</v>
      </c>
      <c r="M2825" s="371">
        <f t="shared" si="177"/>
        <v>14446.103756759323</v>
      </c>
      <c r="N2825" s="329">
        <f t="shared" si="178"/>
        <v>556.40500488281305</v>
      </c>
      <c r="T2825" s="331">
        <v>0</v>
      </c>
      <c r="U2825" s="328">
        <f>VLOOKUP(C2825,METADATA!$J$5:$Q$29,IF(E2825="HI",2,IF(E2825="LO",6,10))+IF(T2825=1,2,IF(D2825=7,1,(IF(WEEKDAY(B2825)=1,2,IF(WEEKDAY(B2825)=7,1,0))))))</f>
        <v>2</v>
      </c>
      <c r="V2825" s="328">
        <f>VLOOKUP(C2825,METADATA!$A$5:$H$29,IF(E2825="HI",2,IF(E2825="LO",6,10))+IF(T2825=1,2,IF(D2825=7,1,(IF(WEEKDAY(B2825)=1,2,IF(WEEKDAY(B2825)=7,1,0))))))</f>
        <v>2</v>
      </c>
    </row>
    <row r="2826" spans="2:22">
      <c r="B2826" s="318">
        <f t="shared" si="175"/>
        <v>46230</v>
      </c>
      <c r="C2826" s="312">
        <v>14</v>
      </c>
      <c r="D2826" s="368">
        <f>IFERROR((INDEX(METADATA!$T$2:$T$20,MATCH(B2826,METADATA!$S$2:$S$20,0))),0)</f>
        <v>0</v>
      </c>
      <c r="E2826" s="312" t="str">
        <f t="shared" si="176"/>
        <v>LO</v>
      </c>
      <c r="F2826" s="369">
        <f>VLOOKUP(C2826,METADATA!$A$5:$H$29,IF(E2826="HI",2,IF(E2826="LO",6,10))+IF(D2826=1,2,IF(D2826=7,1,(IF(WEEKDAY(B2826)=1,2,IF(WEEKDAY(B2826)=7,1,0))))))</f>
        <v>2</v>
      </c>
      <c r="G2826" s="369">
        <f>VLOOKUP(C2826,METADATA!$J$5:$Q$29,IF(E2826="HI",2,IF(E2826="LO",6,10))+IF(D2826=1,2,IF(D2826=7,1,(IF(WEEKDAY(B2826)=1,2,IF(WEEKDAY(B2826)=7,1,0))))))</f>
        <v>2</v>
      </c>
      <c r="H2826" s="370">
        <v>13587.85009765625</v>
      </c>
      <c r="I2826" s="370">
        <v>4747.1749877929688</v>
      </c>
      <c r="M2826" s="371">
        <f t="shared" si="177"/>
        <v>14393.239407482393</v>
      </c>
      <c r="N2826" s="329">
        <f t="shared" si="178"/>
        <v>670.81995849609393</v>
      </c>
      <c r="T2826" s="331">
        <v>0</v>
      </c>
      <c r="U2826" s="328">
        <f>VLOOKUP(C2826,METADATA!$J$5:$Q$29,IF(E2826="HI",2,IF(E2826="LO",6,10))+IF(T2826=1,2,IF(D2826=7,1,(IF(WEEKDAY(B2826)=1,2,IF(WEEKDAY(B2826)=7,1,0))))))</f>
        <v>2</v>
      </c>
      <c r="V2826" s="328">
        <f>VLOOKUP(C2826,METADATA!$A$5:$H$29,IF(E2826="HI",2,IF(E2826="LO",6,10))+IF(T2826=1,2,IF(D2826=7,1,(IF(WEEKDAY(B2826)=1,2,IF(WEEKDAY(B2826)=7,1,0))))))</f>
        <v>2</v>
      </c>
    </row>
    <row r="2827" spans="2:22">
      <c r="B2827" s="318">
        <f t="shared" si="175"/>
        <v>46230</v>
      </c>
      <c r="C2827" s="312">
        <v>15</v>
      </c>
      <c r="D2827" s="368">
        <f>IFERROR((INDEX(METADATA!$T$2:$T$20,MATCH(B2827,METADATA!$S$2:$S$20,0))),0)</f>
        <v>0</v>
      </c>
      <c r="E2827" s="312" t="str">
        <f t="shared" si="176"/>
        <v>LO</v>
      </c>
      <c r="F2827" s="369">
        <f>VLOOKUP(C2827,METADATA!$A$5:$H$29,IF(E2827="HI",2,IF(E2827="LO",6,10))+IF(D2827=1,2,IF(D2827=7,1,(IF(WEEKDAY(B2827)=1,2,IF(WEEKDAY(B2827)=7,1,0))))))</f>
        <v>2</v>
      </c>
      <c r="G2827" s="369">
        <f>VLOOKUP(C2827,METADATA!$J$5:$Q$29,IF(E2827="HI",2,IF(E2827="LO",6,10))+IF(D2827=1,2,IF(D2827=7,1,(IF(WEEKDAY(B2827)=1,2,IF(WEEKDAY(B2827)=7,1,0))))))</f>
        <v>2</v>
      </c>
      <c r="H2827" s="370">
        <v>13700.64990234375</v>
      </c>
      <c r="I2827" s="370">
        <v>4779.3400268554688</v>
      </c>
      <c r="M2827" s="371">
        <f t="shared" si="177"/>
        <v>14510.33765420001</v>
      </c>
      <c r="N2827" s="329">
        <f t="shared" si="178"/>
        <v>669.1450561523443</v>
      </c>
      <c r="T2827" s="331">
        <v>0</v>
      </c>
      <c r="U2827" s="328">
        <f>VLOOKUP(C2827,METADATA!$J$5:$Q$29,IF(E2827="HI",2,IF(E2827="LO",6,10))+IF(T2827=1,2,IF(D2827=7,1,(IF(WEEKDAY(B2827)=1,2,IF(WEEKDAY(B2827)=7,1,0))))))</f>
        <v>2</v>
      </c>
      <c r="V2827" s="328">
        <f>VLOOKUP(C2827,METADATA!$A$5:$H$29,IF(E2827="HI",2,IF(E2827="LO",6,10))+IF(T2827=1,2,IF(D2827=7,1,(IF(WEEKDAY(B2827)=1,2,IF(WEEKDAY(B2827)=7,1,0))))))</f>
        <v>2</v>
      </c>
    </row>
    <row r="2828" spans="2:22">
      <c r="B2828" s="318">
        <f t="shared" si="175"/>
        <v>46230</v>
      </c>
      <c r="C2828" s="312">
        <v>16</v>
      </c>
      <c r="D2828" s="368">
        <f>IFERROR((INDEX(METADATA!$T$2:$T$20,MATCH(B2828,METADATA!$S$2:$S$20,0))),0)</f>
        <v>0</v>
      </c>
      <c r="E2828" s="312" t="str">
        <f t="shared" si="176"/>
        <v>LO</v>
      </c>
      <c r="F2828" s="369">
        <f>VLOOKUP(C2828,METADATA!$A$5:$H$29,IF(E2828="HI",2,IF(E2828="LO",6,10))+IF(D2828=1,2,IF(D2828=7,1,(IF(WEEKDAY(B2828)=1,2,IF(WEEKDAY(B2828)=7,1,0))))))</f>
        <v>2</v>
      </c>
      <c r="G2828" s="369">
        <f>VLOOKUP(C2828,METADATA!$J$5:$Q$29,IF(E2828="HI",2,IF(E2828="LO",6,10))+IF(D2828=1,2,IF(D2828=7,1,(IF(WEEKDAY(B2828)=1,2,IF(WEEKDAY(B2828)=7,1,0))))))</f>
        <v>2</v>
      </c>
      <c r="H2828" s="370">
        <v>13652.050048828125</v>
      </c>
      <c r="I2828" s="370">
        <v>4646.6449890136719</v>
      </c>
      <c r="M2828" s="371">
        <f t="shared" si="177"/>
        <v>14421.157380378105</v>
      </c>
      <c r="N2828" s="329">
        <f t="shared" si="178"/>
        <v>551.02997436523447</v>
      </c>
      <c r="T2828" s="331">
        <v>0</v>
      </c>
      <c r="U2828" s="328">
        <f>VLOOKUP(C2828,METADATA!$J$5:$Q$29,IF(E2828="HI",2,IF(E2828="LO",6,10))+IF(T2828=1,2,IF(D2828=7,1,(IF(WEEKDAY(B2828)=1,2,IF(WEEKDAY(B2828)=7,1,0))))))</f>
        <v>2</v>
      </c>
      <c r="V2828" s="328">
        <f>VLOOKUP(C2828,METADATA!$A$5:$H$29,IF(E2828="HI",2,IF(E2828="LO",6,10))+IF(T2828=1,2,IF(D2828=7,1,(IF(WEEKDAY(B2828)=1,2,IF(WEEKDAY(B2828)=7,1,0))))))</f>
        <v>2</v>
      </c>
    </row>
    <row r="2829" spans="2:22">
      <c r="B2829" s="318">
        <f t="shared" si="175"/>
        <v>46230</v>
      </c>
      <c r="C2829" s="312">
        <v>17</v>
      </c>
      <c r="D2829" s="368">
        <f>IFERROR((INDEX(METADATA!$T$2:$T$20,MATCH(B2829,METADATA!$S$2:$S$20,0))),0)</f>
        <v>0</v>
      </c>
      <c r="E2829" s="312" t="str">
        <f t="shared" si="176"/>
        <v>LO</v>
      </c>
      <c r="F2829" s="369">
        <f>VLOOKUP(C2829,METADATA!$A$5:$H$29,IF(E2829="HI",2,IF(E2829="LO",6,10))+IF(D2829=1,2,IF(D2829=7,1,(IF(WEEKDAY(B2829)=1,2,IF(WEEKDAY(B2829)=7,1,0))))))</f>
        <v>2</v>
      </c>
      <c r="G2829" s="369">
        <f>VLOOKUP(C2829,METADATA!$J$5:$Q$29,IF(E2829="HI",2,IF(E2829="LO",6,10))+IF(D2829=1,2,IF(D2829=7,1,(IF(WEEKDAY(B2829)=1,2,IF(WEEKDAY(B2829)=7,1,0))))))</f>
        <v>2</v>
      </c>
      <c r="H2829" s="370">
        <v>13653.775390625</v>
      </c>
      <c r="I2829" s="370">
        <v>4564.1250305175781</v>
      </c>
      <c r="M2829" s="371">
        <f t="shared" si="177"/>
        <v>14396.416905321752</v>
      </c>
      <c r="N2829" s="329">
        <f t="shared" si="178"/>
        <v>467.99241333007831</v>
      </c>
      <c r="T2829" s="331">
        <v>0</v>
      </c>
      <c r="U2829" s="328">
        <f>VLOOKUP(C2829,METADATA!$J$5:$Q$29,IF(E2829="HI",2,IF(E2829="LO",6,10))+IF(T2829=1,2,IF(D2829=7,1,(IF(WEEKDAY(B2829)=1,2,IF(WEEKDAY(B2829)=7,1,0))))))</f>
        <v>2</v>
      </c>
      <c r="V2829" s="328">
        <f>VLOOKUP(C2829,METADATA!$A$5:$H$29,IF(E2829="HI",2,IF(E2829="LO",6,10))+IF(T2829=1,2,IF(D2829=7,1,(IF(WEEKDAY(B2829)=1,2,IF(WEEKDAY(B2829)=7,1,0))))))</f>
        <v>2</v>
      </c>
    </row>
    <row r="2830" spans="2:22">
      <c r="B2830" s="318">
        <f t="shared" si="175"/>
        <v>46230</v>
      </c>
      <c r="C2830" s="312">
        <v>18</v>
      </c>
      <c r="D2830" s="368">
        <f>IFERROR((INDEX(METADATA!$T$2:$T$20,MATCH(B2830,METADATA!$S$2:$S$20,0))),0)</f>
        <v>0</v>
      </c>
      <c r="E2830" s="312" t="str">
        <f t="shared" si="176"/>
        <v>LO</v>
      </c>
      <c r="F2830" s="369">
        <f>VLOOKUP(C2830,METADATA!$A$5:$H$29,IF(E2830="HI",2,IF(E2830="LO",6,10))+IF(D2830=1,2,IF(D2830=7,1,(IF(WEEKDAY(B2830)=1,2,IF(WEEKDAY(B2830)=7,1,0))))))</f>
        <v>1</v>
      </c>
      <c r="G2830" s="369">
        <f>VLOOKUP(C2830,METADATA!$J$5:$Q$29,IF(E2830="HI",2,IF(E2830="LO",6,10))+IF(D2830=1,2,IF(D2830=7,1,(IF(WEEKDAY(B2830)=1,2,IF(WEEKDAY(B2830)=7,1,0))))))</f>
        <v>1</v>
      </c>
      <c r="H2830" s="370">
        <v>13632.499877929688</v>
      </c>
      <c r="I2830" s="370">
        <v>4543.5849609375</v>
      </c>
      <c r="M2830" s="371">
        <f t="shared" si="177"/>
        <v>14369.732677367743</v>
      </c>
      <c r="N2830" s="329">
        <f t="shared" si="178"/>
        <v>453.83499755859384</v>
      </c>
      <c r="T2830" s="331">
        <v>0</v>
      </c>
      <c r="U2830" s="328">
        <f>VLOOKUP(C2830,METADATA!$J$5:$Q$29,IF(E2830="HI",2,IF(E2830="LO",6,10))+IF(T2830=1,2,IF(D2830=7,1,(IF(WEEKDAY(B2830)=1,2,IF(WEEKDAY(B2830)=7,1,0))))))</f>
        <v>1</v>
      </c>
      <c r="V2830" s="328">
        <f>VLOOKUP(C2830,METADATA!$A$5:$H$29,IF(E2830="HI",2,IF(E2830="LO",6,10))+IF(T2830=1,2,IF(D2830=7,1,(IF(WEEKDAY(B2830)=1,2,IF(WEEKDAY(B2830)=7,1,0))))))</f>
        <v>1</v>
      </c>
    </row>
    <row r="2831" spans="2:22">
      <c r="B2831" s="318">
        <f t="shared" si="175"/>
        <v>46230</v>
      </c>
      <c r="C2831" s="312">
        <v>19</v>
      </c>
      <c r="D2831" s="368">
        <f>IFERROR((INDEX(METADATA!$T$2:$T$20,MATCH(B2831,METADATA!$S$2:$S$20,0))),0)</f>
        <v>0</v>
      </c>
      <c r="E2831" s="312" t="str">
        <f t="shared" si="176"/>
        <v>LO</v>
      </c>
      <c r="F2831" s="369">
        <f>VLOOKUP(C2831,METADATA!$A$5:$H$29,IF(E2831="HI",2,IF(E2831="LO",6,10))+IF(D2831=1,2,IF(D2831=7,1,(IF(WEEKDAY(B2831)=1,2,IF(WEEKDAY(B2831)=7,1,0))))))</f>
        <v>1</v>
      </c>
      <c r="G2831" s="369">
        <f>VLOOKUP(C2831,METADATA!$J$5:$Q$29,IF(E2831="HI",2,IF(E2831="LO",6,10))+IF(D2831=1,2,IF(D2831=7,1,(IF(WEEKDAY(B2831)=1,2,IF(WEEKDAY(B2831)=7,1,0))))))</f>
        <v>1</v>
      </c>
      <c r="H2831" s="370">
        <v>13355.949951171875</v>
      </c>
      <c r="I2831" s="370">
        <v>4490.3049926757813</v>
      </c>
      <c r="M2831" s="371">
        <f t="shared" si="177"/>
        <v>14090.572664922354</v>
      </c>
      <c r="N2831" s="329">
        <f t="shared" si="178"/>
        <v>483.52000732421902</v>
      </c>
      <c r="T2831" s="331">
        <v>0</v>
      </c>
      <c r="U2831" s="328">
        <f>VLOOKUP(C2831,METADATA!$J$5:$Q$29,IF(E2831="HI",2,IF(E2831="LO",6,10))+IF(T2831=1,2,IF(D2831=7,1,(IF(WEEKDAY(B2831)=1,2,IF(WEEKDAY(B2831)=7,1,0))))))</f>
        <v>1</v>
      </c>
      <c r="V2831" s="328">
        <f>VLOOKUP(C2831,METADATA!$A$5:$H$29,IF(E2831="HI",2,IF(E2831="LO",6,10))+IF(T2831=1,2,IF(D2831=7,1,(IF(WEEKDAY(B2831)=1,2,IF(WEEKDAY(B2831)=7,1,0))))))</f>
        <v>1</v>
      </c>
    </row>
    <row r="2832" spans="2:22">
      <c r="B2832" s="318">
        <f t="shared" si="175"/>
        <v>46230</v>
      </c>
      <c r="C2832" s="312">
        <v>20</v>
      </c>
      <c r="D2832" s="368">
        <f>IFERROR((INDEX(METADATA!$T$2:$T$20,MATCH(B2832,METADATA!$S$2:$S$20,0))),0)</f>
        <v>0</v>
      </c>
      <c r="E2832" s="312" t="str">
        <f t="shared" si="176"/>
        <v>LO</v>
      </c>
      <c r="F2832" s="369">
        <f>VLOOKUP(C2832,METADATA!$A$5:$H$29,IF(E2832="HI",2,IF(E2832="LO",6,10))+IF(D2832=1,2,IF(D2832=7,1,(IF(WEEKDAY(B2832)=1,2,IF(WEEKDAY(B2832)=7,1,0))))))</f>
        <v>1</v>
      </c>
      <c r="G2832" s="369">
        <f>VLOOKUP(C2832,METADATA!$J$5:$Q$29,IF(E2832="HI",2,IF(E2832="LO",6,10))+IF(D2832=1,2,IF(D2832=7,1,(IF(WEEKDAY(B2832)=1,2,IF(WEEKDAY(B2832)=7,1,0))))))</f>
        <v>1</v>
      </c>
      <c r="H2832" s="370">
        <v>13461.025268554688</v>
      </c>
      <c r="I2832" s="370">
        <v>4649.6100158691406</v>
      </c>
      <c r="M2832" s="371">
        <f t="shared" si="177"/>
        <v>14241.421087108492</v>
      </c>
      <c r="N2832" s="329">
        <f t="shared" si="178"/>
        <v>611.30243530273447</v>
      </c>
      <c r="T2832" s="331">
        <v>0</v>
      </c>
      <c r="U2832" s="328">
        <f>VLOOKUP(C2832,METADATA!$J$5:$Q$29,IF(E2832="HI",2,IF(E2832="LO",6,10))+IF(T2832=1,2,IF(D2832=7,1,(IF(WEEKDAY(B2832)=1,2,IF(WEEKDAY(B2832)=7,1,0))))))</f>
        <v>1</v>
      </c>
      <c r="V2832" s="328">
        <f>VLOOKUP(C2832,METADATA!$A$5:$H$29,IF(E2832="HI",2,IF(E2832="LO",6,10))+IF(T2832=1,2,IF(D2832=7,1,(IF(WEEKDAY(B2832)=1,2,IF(WEEKDAY(B2832)=7,1,0))))))</f>
        <v>1</v>
      </c>
    </row>
    <row r="2833" spans="2:22">
      <c r="B2833" s="318">
        <f t="shared" si="175"/>
        <v>46230</v>
      </c>
      <c r="C2833" s="312">
        <v>21</v>
      </c>
      <c r="D2833" s="368">
        <f>IFERROR((INDEX(METADATA!$T$2:$T$20,MATCH(B2833,METADATA!$S$2:$S$20,0))),0)</f>
        <v>0</v>
      </c>
      <c r="E2833" s="312" t="str">
        <f t="shared" si="176"/>
        <v>LO</v>
      </c>
      <c r="F2833" s="369">
        <f>VLOOKUP(C2833,METADATA!$A$5:$H$29,IF(E2833="HI",2,IF(E2833="LO",6,10))+IF(D2833=1,2,IF(D2833=7,1,(IF(WEEKDAY(B2833)=1,2,IF(WEEKDAY(B2833)=7,1,0))))))</f>
        <v>2</v>
      </c>
      <c r="G2833" s="369">
        <f>VLOOKUP(C2833,METADATA!$J$5:$Q$29,IF(E2833="HI",2,IF(E2833="LO",6,10))+IF(D2833=1,2,IF(D2833=7,1,(IF(WEEKDAY(B2833)=1,2,IF(WEEKDAY(B2833)=7,1,0))))))</f>
        <v>2</v>
      </c>
      <c r="H2833" s="370">
        <v>13572.650207519531</v>
      </c>
      <c r="I2833" s="370">
        <v>4549.27001953125</v>
      </c>
      <c r="M2833" s="371">
        <f t="shared" si="177"/>
        <v>14314.77178883009</v>
      </c>
      <c r="N2833" s="329">
        <f t="shared" si="178"/>
        <v>477.47495727539081</v>
      </c>
      <c r="T2833" s="331">
        <v>0</v>
      </c>
      <c r="U2833" s="328">
        <f>VLOOKUP(C2833,METADATA!$J$5:$Q$29,IF(E2833="HI",2,IF(E2833="LO",6,10))+IF(T2833=1,2,IF(D2833=7,1,(IF(WEEKDAY(B2833)=1,2,IF(WEEKDAY(B2833)=7,1,0))))))</f>
        <v>2</v>
      </c>
      <c r="V2833" s="328">
        <f>VLOOKUP(C2833,METADATA!$A$5:$H$29,IF(E2833="HI",2,IF(E2833="LO",6,10))+IF(T2833=1,2,IF(D2833=7,1,(IF(WEEKDAY(B2833)=1,2,IF(WEEKDAY(B2833)=7,1,0))))))</f>
        <v>2</v>
      </c>
    </row>
    <row r="2834" spans="2:22">
      <c r="B2834" s="318">
        <f t="shared" si="175"/>
        <v>46230</v>
      </c>
      <c r="C2834" s="312">
        <v>22</v>
      </c>
      <c r="D2834" s="368">
        <f>IFERROR((INDEX(METADATA!$T$2:$T$20,MATCH(B2834,METADATA!$S$2:$S$20,0))),0)</f>
        <v>0</v>
      </c>
      <c r="E2834" s="312" t="str">
        <f t="shared" si="176"/>
        <v>LO</v>
      </c>
      <c r="F2834" s="369">
        <f>VLOOKUP(C2834,METADATA!$A$5:$H$29,IF(E2834="HI",2,IF(E2834="LO",6,10))+IF(D2834=1,2,IF(D2834=7,1,(IF(WEEKDAY(B2834)=1,2,IF(WEEKDAY(B2834)=7,1,0))))))</f>
        <v>3</v>
      </c>
      <c r="G2834" s="369">
        <f>VLOOKUP(C2834,METADATA!$J$5:$Q$29,IF(E2834="HI",2,IF(E2834="LO",6,10))+IF(D2834=1,2,IF(D2834=7,1,(IF(WEEKDAY(B2834)=1,2,IF(WEEKDAY(B2834)=7,1,0))))))</f>
        <v>3</v>
      </c>
      <c r="H2834" s="370">
        <v>13567.050415039063</v>
      </c>
      <c r="I2834" s="370">
        <v>4535.9150085449219</v>
      </c>
      <c r="M2834" s="371">
        <f t="shared" si="177"/>
        <v>14305.222190827888</v>
      </c>
      <c r="N2834" s="329">
        <f t="shared" si="178"/>
        <v>465.7998840332034</v>
      </c>
      <c r="T2834" s="331">
        <v>0</v>
      </c>
      <c r="U2834" s="328">
        <f>VLOOKUP(C2834,METADATA!$J$5:$Q$29,IF(E2834="HI",2,IF(E2834="LO",6,10))+IF(T2834=1,2,IF(D2834=7,1,(IF(WEEKDAY(B2834)=1,2,IF(WEEKDAY(B2834)=7,1,0))))))</f>
        <v>3</v>
      </c>
      <c r="V2834" s="328">
        <f>VLOOKUP(C2834,METADATA!$A$5:$H$29,IF(E2834="HI",2,IF(E2834="LO",6,10))+IF(T2834=1,2,IF(D2834=7,1,(IF(WEEKDAY(B2834)=1,2,IF(WEEKDAY(B2834)=7,1,0))))))</f>
        <v>3</v>
      </c>
    </row>
    <row r="2835" spans="2:22">
      <c r="B2835" s="318">
        <f t="shared" si="175"/>
        <v>46230</v>
      </c>
      <c r="C2835" s="312">
        <v>23</v>
      </c>
      <c r="D2835" s="368">
        <f>IFERROR((INDEX(METADATA!$T$2:$T$20,MATCH(B2835,METADATA!$S$2:$S$20,0))),0)</f>
        <v>0</v>
      </c>
      <c r="E2835" s="312" t="str">
        <f t="shared" si="176"/>
        <v>LO</v>
      </c>
      <c r="F2835" s="369">
        <f>VLOOKUP(C2835,METADATA!$A$5:$H$29,IF(E2835="HI",2,IF(E2835="LO",6,10))+IF(D2835=1,2,IF(D2835=7,1,(IF(WEEKDAY(B2835)=1,2,IF(WEEKDAY(B2835)=7,1,0))))))</f>
        <v>3</v>
      </c>
      <c r="G2835" s="369">
        <f>VLOOKUP(C2835,METADATA!$J$5:$Q$29,IF(E2835="HI",2,IF(E2835="LO",6,10))+IF(D2835=1,2,IF(D2835=7,1,(IF(WEEKDAY(B2835)=1,2,IF(WEEKDAY(B2835)=7,1,0))))))</f>
        <v>3</v>
      </c>
      <c r="H2835" s="370">
        <v>13657.975341796875</v>
      </c>
      <c r="I2835" s="370">
        <v>4679.8800659179688</v>
      </c>
      <c r="M2835" s="371">
        <f t="shared" si="177"/>
        <v>14437.505597176676</v>
      </c>
      <c r="N2835" s="329">
        <f t="shared" si="178"/>
        <v>582.4874633789068</v>
      </c>
      <c r="T2835" s="331">
        <v>0</v>
      </c>
      <c r="U2835" s="328">
        <f>VLOOKUP(C2835,METADATA!$J$5:$Q$29,IF(E2835="HI",2,IF(E2835="LO",6,10))+IF(T2835=1,2,IF(D2835=7,1,(IF(WEEKDAY(B2835)=1,2,IF(WEEKDAY(B2835)=7,1,0))))))</f>
        <v>3</v>
      </c>
      <c r="V2835" s="328">
        <f>VLOOKUP(C2835,METADATA!$A$5:$H$29,IF(E2835="HI",2,IF(E2835="LO",6,10))+IF(T2835=1,2,IF(D2835=7,1,(IF(WEEKDAY(B2835)=1,2,IF(WEEKDAY(B2835)=7,1,0))))))</f>
        <v>3</v>
      </c>
    </row>
    <row r="2836" spans="2:22">
      <c r="B2836" s="318">
        <f t="shared" si="175"/>
        <v>46231</v>
      </c>
      <c r="C2836" s="312">
        <v>0</v>
      </c>
      <c r="D2836" s="368">
        <f>IFERROR((INDEX(METADATA!$T$2:$T$20,MATCH(B2836,METADATA!$S$2:$S$20,0))),0)</f>
        <v>0</v>
      </c>
      <c r="E2836" s="312" t="str">
        <f t="shared" si="176"/>
        <v>LO</v>
      </c>
      <c r="F2836" s="369">
        <f>VLOOKUP(C2836,METADATA!$A$5:$H$29,IF(E2836="HI",2,IF(E2836="LO",6,10))+IF(D2836=1,2,IF(D2836=7,1,(IF(WEEKDAY(B2836)=1,2,IF(WEEKDAY(B2836)=7,1,0))))))</f>
        <v>3</v>
      </c>
      <c r="G2836" s="369">
        <f>VLOOKUP(C2836,METADATA!$J$5:$Q$29,IF(E2836="HI",2,IF(E2836="LO",6,10))+IF(D2836=1,2,IF(D2836=7,1,(IF(WEEKDAY(B2836)=1,2,IF(WEEKDAY(B2836)=7,1,0))))))</f>
        <v>3</v>
      </c>
      <c r="H2836" s="370">
        <v>13591.875732421875</v>
      </c>
      <c r="I2836" s="370">
        <v>4771.8250122070313</v>
      </c>
      <c r="M2836" s="371">
        <f t="shared" si="177"/>
        <v>14405.186561538289</v>
      </c>
      <c r="N2836" s="329">
        <f t="shared" si="178"/>
        <v>694.26229248046911</v>
      </c>
      <c r="T2836" s="331">
        <v>0</v>
      </c>
      <c r="U2836" s="328">
        <f>VLOOKUP(C2836,METADATA!$J$5:$Q$29,IF(E2836="HI",2,IF(E2836="LO",6,10))+IF(T2836=1,2,IF(D2836=7,1,(IF(WEEKDAY(B2836)=1,2,IF(WEEKDAY(B2836)=7,1,0))))))</f>
        <v>3</v>
      </c>
      <c r="V2836" s="328">
        <f>VLOOKUP(C2836,METADATA!$A$5:$H$29,IF(E2836="HI",2,IF(E2836="LO",6,10))+IF(T2836=1,2,IF(D2836=7,1,(IF(WEEKDAY(B2836)=1,2,IF(WEEKDAY(B2836)=7,1,0))))))</f>
        <v>3</v>
      </c>
    </row>
    <row r="2837" spans="2:22">
      <c r="B2837" s="318">
        <f t="shared" si="175"/>
        <v>46231</v>
      </c>
      <c r="C2837" s="312">
        <v>1</v>
      </c>
      <c r="D2837" s="368">
        <f>IFERROR((INDEX(METADATA!$T$2:$T$20,MATCH(B2837,METADATA!$S$2:$S$20,0))),0)</f>
        <v>0</v>
      </c>
      <c r="E2837" s="312" t="str">
        <f t="shared" si="176"/>
        <v>LO</v>
      </c>
      <c r="F2837" s="369">
        <f>VLOOKUP(C2837,METADATA!$A$5:$H$29,IF(E2837="HI",2,IF(E2837="LO",6,10))+IF(D2837=1,2,IF(D2837=7,1,(IF(WEEKDAY(B2837)=1,2,IF(WEEKDAY(B2837)=7,1,0))))))</f>
        <v>3</v>
      </c>
      <c r="G2837" s="369">
        <f>VLOOKUP(C2837,METADATA!$J$5:$Q$29,IF(E2837="HI",2,IF(E2837="LO",6,10))+IF(D2837=1,2,IF(D2837=7,1,(IF(WEEKDAY(B2837)=1,2,IF(WEEKDAY(B2837)=7,1,0))))))</f>
        <v>3</v>
      </c>
      <c r="H2837" s="370">
        <v>13597.569702148438</v>
      </c>
      <c r="I2837" s="370">
        <v>4702.0899658203125</v>
      </c>
      <c r="M2837" s="371">
        <f t="shared" si="177"/>
        <v>14387.618004779428</v>
      </c>
      <c r="N2837" s="329">
        <f t="shared" si="178"/>
        <v>622.81905517578161</v>
      </c>
      <c r="T2837" s="331">
        <v>0</v>
      </c>
      <c r="U2837" s="328">
        <f>VLOOKUP(C2837,METADATA!$J$5:$Q$29,IF(E2837="HI",2,IF(E2837="LO",6,10))+IF(T2837=1,2,IF(D2837=7,1,(IF(WEEKDAY(B2837)=1,2,IF(WEEKDAY(B2837)=7,1,0))))))</f>
        <v>3</v>
      </c>
      <c r="V2837" s="328">
        <f>VLOOKUP(C2837,METADATA!$A$5:$H$29,IF(E2837="HI",2,IF(E2837="LO",6,10))+IF(T2837=1,2,IF(D2837=7,1,(IF(WEEKDAY(B2837)=1,2,IF(WEEKDAY(B2837)=7,1,0))))))</f>
        <v>3</v>
      </c>
    </row>
    <row r="2838" spans="2:22">
      <c r="B2838" s="318">
        <f t="shared" si="175"/>
        <v>46231</v>
      </c>
      <c r="C2838" s="312">
        <v>2</v>
      </c>
      <c r="D2838" s="368">
        <f>IFERROR((INDEX(METADATA!$T$2:$T$20,MATCH(B2838,METADATA!$S$2:$S$20,0))),0)</f>
        <v>0</v>
      </c>
      <c r="E2838" s="312" t="str">
        <f t="shared" si="176"/>
        <v>LO</v>
      </c>
      <c r="F2838" s="369">
        <f>VLOOKUP(C2838,METADATA!$A$5:$H$29,IF(E2838="HI",2,IF(E2838="LO",6,10))+IF(D2838=1,2,IF(D2838=7,1,(IF(WEEKDAY(B2838)=1,2,IF(WEEKDAY(B2838)=7,1,0))))))</f>
        <v>3</v>
      </c>
      <c r="G2838" s="369">
        <f>VLOOKUP(C2838,METADATA!$J$5:$Q$29,IF(E2838="HI",2,IF(E2838="LO",6,10))+IF(D2838=1,2,IF(D2838=7,1,(IF(WEEKDAY(B2838)=1,2,IF(WEEKDAY(B2838)=7,1,0))))))</f>
        <v>3</v>
      </c>
      <c r="H2838" s="370">
        <v>13535.375366210938</v>
      </c>
      <c r="I2838" s="370">
        <v>4692.56005859375</v>
      </c>
      <c r="M2838" s="371">
        <f t="shared" si="177"/>
        <v>14325.728819426229</v>
      </c>
      <c r="N2838" s="329">
        <f t="shared" si="178"/>
        <v>631.94744873046875</v>
      </c>
      <c r="T2838" s="331">
        <v>0</v>
      </c>
      <c r="U2838" s="328">
        <f>VLOOKUP(C2838,METADATA!$J$5:$Q$29,IF(E2838="HI",2,IF(E2838="LO",6,10))+IF(T2838=1,2,IF(D2838=7,1,(IF(WEEKDAY(B2838)=1,2,IF(WEEKDAY(B2838)=7,1,0))))))</f>
        <v>3</v>
      </c>
      <c r="V2838" s="328">
        <f>VLOOKUP(C2838,METADATA!$A$5:$H$29,IF(E2838="HI",2,IF(E2838="LO",6,10))+IF(T2838=1,2,IF(D2838=7,1,(IF(WEEKDAY(B2838)=1,2,IF(WEEKDAY(B2838)=7,1,0))))))</f>
        <v>3</v>
      </c>
    </row>
    <row r="2839" spans="2:22">
      <c r="B2839" s="318">
        <f t="shared" si="175"/>
        <v>46231</v>
      </c>
      <c r="C2839" s="312">
        <v>3</v>
      </c>
      <c r="D2839" s="368">
        <f>IFERROR((INDEX(METADATA!$T$2:$T$20,MATCH(B2839,METADATA!$S$2:$S$20,0))),0)</f>
        <v>0</v>
      </c>
      <c r="E2839" s="312" t="str">
        <f t="shared" si="176"/>
        <v>LO</v>
      </c>
      <c r="F2839" s="369">
        <f>VLOOKUP(C2839,METADATA!$A$5:$H$29,IF(E2839="HI",2,IF(E2839="LO",6,10))+IF(D2839=1,2,IF(D2839=7,1,(IF(WEEKDAY(B2839)=1,2,IF(WEEKDAY(B2839)=7,1,0))))))</f>
        <v>3</v>
      </c>
      <c r="G2839" s="369">
        <f>VLOOKUP(C2839,METADATA!$J$5:$Q$29,IF(E2839="HI",2,IF(E2839="LO",6,10))+IF(D2839=1,2,IF(D2839=7,1,(IF(WEEKDAY(B2839)=1,2,IF(WEEKDAY(B2839)=7,1,0))))))</f>
        <v>3</v>
      </c>
      <c r="H2839" s="370">
        <v>13468.950256347656</v>
      </c>
      <c r="I2839" s="370">
        <v>4563.1199645996094</v>
      </c>
      <c r="M2839" s="371">
        <f t="shared" si="177"/>
        <v>14220.92419005513</v>
      </c>
      <c r="N2839" s="329">
        <f t="shared" si="178"/>
        <v>522.43488769531268</v>
      </c>
      <c r="T2839" s="331">
        <v>0</v>
      </c>
      <c r="U2839" s="328">
        <f>VLOOKUP(C2839,METADATA!$J$5:$Q$29,IF(E2839="HI",2,IF(E2839="LO",6,10))+IF(T2839=1,2,IF(D2839=7,1,(IF(WEEKDAY(B2839)=1,2,IF(WEEKDAY(B2839)=7,1,0))))))</f>
        <v>3</v>
      </c>
      <c r="V2839" s="328">
        <f>VLOOKUP(C2839,METADATA!$A$5:$H$29,IF(E2839="HI",2,IF(E2839="LO",6,10))+IF(T2839=1,2,IF(D2839=7,1,(IF(WEEKDAY(B2839)=1,2,IF(WEEKDAY(B2839)=7,1,0))))))</f>
        <v>3</v>
      </c>
    </row>
    <row r="2840" spans="2:22">
      <c r="B2840" s="318">
        <f t="shared" si="175"/>
        <v>46231</v>
      </c>
      <c r="C2840" s="312">
        <v>4</v>
      </c>
      <c r="D2840" s="368">
        <f>IFERROR((INDEX(METADATA!$T$2:$T$20,MATCH(B2840,METADATA!$S$2:$S$20,0))),0)</f>
        <v>0</v>
      </c>
      <c r="E2840" s="312" t="str">
        <f t="shared" si="176"/>
        <v>LO</v>
      </c>
      <c r="F2840" s="369">
        <f>VLOOKUP(C2840,METADATA!$A$5:$H$29,IF(E2840="HI",2,IF(E2840="LO",6,10))+IF(D2840=1,2,IF(D2840=7,1,(IF(WEEKDAY(B2840)=1,2,IF(WEEKDAY(B2840)=7,1,0))))))</f>
        <v>3</v>
      </c>
      <c r="G2840" s="369">
        <f>VLOOKUP(C2840,METADATA!$J$5:$Q$29,IF(E2840="HI",2,IF(E2840="LO",6,10))+IF(D2840=1,2,IF(D2840=7,1,(IF(WEEKDAY(B2840)=1,2,IF(WEEKDAY(B2840)=7,1,0))))))</f>
        <v>3</v>
      </c>
      <c r="H2840" s="370">
        <v>13477.849975585938</v>
      </c>
      <c r="I2840" s="370">
        <v>4385.8099975585938</v>
      </c>
      <c r="M2840" s="371">
        <f t="shared" si="177"/>
        <v>14173.488254451928</v>
      </c>
      <c r="N2840" s="329">
        <f t="shared" si="178"/>
        <v>342.45500488281277</v>
      </c>
      <c r="T2840" s="331">
        <v>0</v>
      </c>
      <c r="U2840" s="328">
        <f>VLOOKUP(C2840,METADATA!$J$5:$Q$29,IF(E2840="HI",2,IF(E2840="LO",6,10))+IF(T2840=1,2,IF(D2840=7,1,(IF(WEEKDAY(B2840)=1,2,IF(WEEKDAY(B2840)=7,1,0))))))</f>
        <v>3</v>
      </c>
      <c r="V2840" s="328">
        <f>VLOOKUP(C2840,METADATA!$A$5:$H$29,IF(E2840="HI",2,IF(E2840="LO",6,10))+IF(T2840=1,2,IF(D2840=7,1,(IF(WEEKDAY(B2840)=1,2,IF(WEEKDAY(B2840)=7,1,0))))))</f>
        <v>3</v>
      </c>
    </row>
    <row r="2841" spans="2:22">
      <c r="B2841" s="318">
        <f t="shared" si="175"/>
        <v>46231</v>
      </c>
      <c r="C2841" s="312">
        <v>5</v>
      </c>
      <c r="D2841" s="368">
        <f>IFERROR((INDEX(METADATA!$T$2:$T$20,MATCH(B2841,METADATA!$S$2:$S$20,0))),0)</f>
        <v>0</v>
      </c>
      <c r="E2841" s="312" t="str">
        <f t="shared" si="176"/>
        <v>LO</v>
      </c>
      <c r="F2841" s="369">
        <f>VLOOKUP(C2841,METADATA!$A$5:$H$29,IF(E2841="HI",2,IF(E2841="LO",6,10))+IF(D2841=1,2,IF(D2841=7,1,(IF(WEEKDAY(B2841)=1,2,IF(WEEKDAY(B2841)=7,1,0))))))</f>
        <v>3</v>
      </c>
      <c r="G2841" s="369">
        <f>VLOOKUP(C2841,METADATA!$J$5:$Q$29,IF(E2841="HI",2,IF(E2841="LO",6,10))+IF(D2841=1,2,IF(D2841=7,1,(IF(WEEKDAY(B2841)=1,2,IF(WEEKDAY(B2841)=7,1,0))))))</f>
        <v>3</v>
      </c>
      <c r="H2841" s="370">
        <v>13447.77490234375</v>
      </c>
      <c r="I2841" s="370">
        <v>4326.0000305175781</v>
      </c>
      <c r="M2841" s="371">
        <f t="shared" si="177"/>
        <v>14126.46190976865</v>
      </c>
      <c r="N2841" s="329">
        <f t="shared" si="178"/>
        <v>291.6675598144534</v>
      </c>
      <c r="T2841" s="331">
        <v>0</v>
      </c>
      <c r="U2841" s="328">
        <f>VLOOKUP(C2841,METADATA!$J$5:$Q$29,IF(E2841="HI",2,IF(E2841="LO",6,10))+IF(T2841=1,2,IF(D2841=7,1,(IF(WEEKDAY(B2841)=1,2,IF(WEEKDAY(B2841)=7,1,0))))))</f>
        <v>3</v>
      </c>
      <c r="V2841" s="328">
        <f>VLOOKUP(C2841,METADATA!$A$5:$H$29,IF(E2841="HI",2,IF(E2841="LO",6,10))+IF(T2841=1,2,IF(D2841=7,1,(IF(WEEKDAY(B2841)=1,2,IF(WEEKDAY(B2841)=7,1,0))))))</f>
        <v>3</v>
      </c>
    </row>
    <row r="2842" spans="2:22">
      <c r="B2842" s="318">
        <f t="shared" si="175"/>
        <v>46231</v>
      </c>
      <c r="C2842" s="312">
        <v>6</v>
      </c>
      <c r="D2842" s="368">
        <f>IFERROR((INDEX(METADATA!$T$2:$T$20,MATCH(B2842,METADATA!$S$2:$S$20,0))),0)</f>
        <v>0</v>
      </c>
      <c r="E2842" s="312" t="str">
        <f t="shared" si="176"/>
        <v>LO</v>
      </c>
      <c r="F2842" s="369">
        <f>VLOOKUP(C2842,METADATA!$A$5:$H$29,IF(E2842="HI",2,IF(E2842="LO",6,10))+IF(D2842=1,2,IF(D2842=7,1,(IF(WEEKDAY(B2842)=1,2,IF(WEEKDAY(B2842)=7,1,0))))))</f>
        <v>2</v>
      </c>
      <c r="G2842" s="369">
        <f>VLOOKUP(C2842,METADATA!$J$5:$Q$29,IF(E2842="HI",2,IF(E2842="LO",6,10))+IF(D2842=1,2,IF(D2842=7,1,(IF(WEEKDAY(B2842)=1,2,IF(WEEKDAY(B2842)=7,1,0))))))</f>
        <v>2</v>
      </c>
      <c r="H2842" s="370">
        <v>13514.949890136719</v>
      </c>
      <c r="I2842" s="370">
        <v>4421.1450500488281</v>
      </c>
      <c r="M2842" s="371">
        <f t="shared" si="177"/>
        <v>14219.718495331677</v>
      </c>
      <c r="N2842" s="329">
        <f t="shared" si="178"/>
        <v>366.66008300781277</v>
      </c>
      <c r="T2842" s="331">
        <v>0</v>
      </c>
      <c r="U2842" s="328">
        <f>VLOOKUP(C2842,METADATA!$J$5:$Q$29,IF(E2842="HI",2,IF(E2842="LO",6,10))+IF(T2842=1,2,IF(D2842=7,1,(IF(WEEKDAY(B2842)=1,2,IF(WEEKDAY(B2842)=7,1,0))))))</f>
        <v>2</v>
      </c>
      <c r="V2842" s="328">
        <f>VLOOKUP(C2842,METADATA!$A$5:$H$29,IF(E2842="HI",2,IF(E2842="LO",6,10))+IF(T2842=1,2,IF(D2842=7,1,(IF(WEEKDAY(B2842)=1,2,IF(WEEKDAY(B2842)=7,1,0))))))</f>
        <v>2</v>
      </c>
    </row>
    <row r="2843" spans="2:22">
      <c r="B2843" s="318">
        <f t="shared" si="175"/>
        <v>46231</v>
      </c>
      <c r="C2843" s="312">
        <v>7</v>
      </c>
      <c r="D2843" s="368">
        <f>IFERROR((INDEX(METADATA!$T$2:$T$20,MATCH(B2843,METADATA!$S$2:$S$20,0))),0)</f>
        <v>0</v>
      </c>
      <c r="E2843" s="312" t="str">
        <f t="shared" si="176"/>
        <v>LO</v>
      </c>
      <c r="F2843" s="369">
        <f>VLOOKUP(C2843,METADATA!$A$5:$H$29,IF(E2843="HI",2,IF(E2843="LO",6,10))+IF(D2843=1,2,IF(D2843=7,1,(IF(WEEKDAY(B2843)=1,2,IF(WEEKDAY(B2843)=7,1,0))))))</f>
        <v>1</v>
      </c>
      <c r="G2843" s="369">
        <f>VLOOKUP(C2843,METADATA!$J$5:$Q$29,IF(E2843="HI",2,IF(E2843="LO",6,10))+IF(D2843=1,2,IF(D2843=7,1,(IF(WEEKDAY(B2843)=1,2,IF(WEEKDAY(B2843)=7,1,0))))))</f>
        <v>1</v>
      </c>
      <c r="H2843" s="370">
        <v>13581.499694824219</v>
      </c>
      <c r="I2843" s="370">
        <v>4437.0848999023438</v>
      </c>
      <c r="M2843" s="371">
        <f t="shared" si="177"/>
        <v>14287.926944432902</v>
      </c>
      <c r="N2843" s="329">
        <f t="shared" si="178"/>
        <v>362.63499145507831</v>
      </c>
      <c r="T2843" s="331">
        <v>0</v>
      </c>
      <c r="U2843" s="328">
        <f>VLOOKUP(C2843,METADATA!$J$5:$Q$29,IF(E2843="HI",2,IF(E2843="LO",6,10))+IF(T2843=1,2,IF(D2843=7,1,(IF(WEEKDAY(B2843)=1,2,IF(WEEKDAY(B2843)=7,1,0))))))</f>
        <v>1</v>
      </c>
      <c r="V2843" s="328">
        <f>VLOOKUP(C2843,METADATA!$A$5:$H$29,IF(E2843="HI",2,IF(E2843="LO",6,10))+IF(T2843=1,2,IF(D2843=7,1,(IF(WEEKDAY(B2843)=1,2,IF(WEEKDAY(B2843)=7,1,0))))))</f>
        <v>1</v>
      </c>
    </row>
    <row r="2844" spans="2:22">
      <c r="B2844" s="318">
        <f t="shared" ref="B2844:B2907" si="179">B2820+1</f>
        <v>46231</v>
      </c>
      <c r="C2844" s="312">
        <v>8</v>
      </c>
      <c r="D2844" s="368">
        <f>IFERROR((INDEX(METADATA!$T$2:$T$20,MATCH(B2844,METADATA!$S$2:$S$20,0))),0)</f>
        <v>0</v>
      </c>
      <c r="E2844" s="312" t="str">
        <f t="shared" si="176"/>
        <v>LO</v>
      </c>
      <c r="F2844" s="369">
        <f>VLOOKUP(C2844,METADATA!$A$5:$H$29,IF(E2844="HI",2,IF(E2844="LO",6,10))+IF(D2844=1,2,IF(D2844=7,1,(IF(WEEKDAY(B2844)=1,2,IF(WEEKDAY(B2844)=7,1,0))))))</f>
        <v>1</v>
      </c>
      <c r="G2844" s="369">
        <f>VLOOKUP(C2844,METADATA!$J$5:$Q$29,IF(E2844="HI",2,IF(E2844="LO",6,10))+IF(D2844=1,2,IF(D2844=7,1,(IF(WEEKDAY(B2844)=1,2,IF(WEEKDAY(B2844)=7,1,0))))))</f>
        <v>1</v>
      </c>
      <c r="H2844" s="370">
        <v>13033.224975585938</v>
      </c>
      <c r="I2844" s="370">
        <v>4099.8950347900391</v>
      </c>
      <c r="M2844" s="371">
        <f t="shared" si="177"/>
        <v>13662.87277846548</v>
      </c>
      <c r="N2844" s="329">
        <f t="shared" si="178"/>
        <v>189.9275421142579</v>
      </c>
      <c r="T2844" s="331">
        <v>0</v>
      </c>
      <c r="U2844" s="328">
        <f>VLOOKUP(C2844,METADATA!$J$5:$Q$29,IF(E2844="HI",2,IF(E2844="LO",6,10))+IF(T2844=1,2,IF(D2844=7,1,(IF(WEEKDAY(B2844)=1,2,IF(WEEKDAY(B2844)=7,1,0))))))</f>
        <v>1</v>
      </c>
      <c r="V2844" s="328">
        <f>VLOOKUP(C2844,METADATA!$A$5:$H$29,IF(E2844="HI",2,IF(E2844="LO",6,10))+IF(T2844=1,2,IF(D2844=7,1,(IF(WEEKDAY(B2844)=1,2,IF(WEEKDAY(B2844)=7,1,0))))))</f>
        <v>1</v>
      </c>
    </row>
    <row r="2845" spans="2:22">
      <c r="B2845" s="318">
        <f t="shared" si="179"/>
        <v>46231</v>
      </c>
      <c r="C2845" s="312">
        <v>9</v>
      </c>
      <c r="D2845" s="368">
        <f>IFERROR((INDEX(METADATA!$T$2:$T$20,MATCH(B2845,METADATA!$S$2:$S$20,0))),0)</f>
        <v>0</v>
      </c>
      <c r="E2845" s="312" t="str">
        <f t="shared" si="176"/>
        <v>LO</v>
      </c>
      <c r="F2845" s="369">
        <f>VLOOKUP(C2845,METADATA!$A$5:$H$29,IF(E2845="HI",2,IF(E2845="LO",6,10))+IF(D2845=1,2,IF(D2845=7,1,(IF(WEEKDAY(B2845)=1,2,IF(WEEKDAY(B2845)=7,1,0))))))</f>
        <v>2</v>
      </c>
      <c r="G2845" s="369">
        <f>VLOOKUP(C2845,METADATA!$J$5:$Q$29,IF(E2845="HI",2,IF(E2845="LO",6,10))+IF(D2845=1,2,IF(D2845=7,1,(IF(WEEKDAY(B2845)=1,2,IF(WEEKDAY(B2845)=7,1,0))))))</f>
        <v>2</v>
      </c>
      <c r="H2845" s="370">
        <v>12904.025024414063</v>
      </c>
      <c r="I2845" s="370">
        <v>3930.7549896240234</v>
      </c>
      <c r="M2845" s="371">
        <f t="shared" si="177"/>
        <v>13489.429069429087</v>
      </c>
      <c r="N2845" s="329">
        <f t="shared" si="178"/>
        <v>59.547482299804869</v>
      </c>
      <c r="T2845" s="331">
        <v>0</v>
      </c>
      <c r="U2845" s="328">
        <f>VLOOKUP(C2845,METADATA!$J$5:$Q$29,IF(E2845="HI",2,IF(E2845="LO",6,10))+IF(T2845=1,2,IF(D2845=7,1,(IF(WEEKDAY(B2845)=1,2,IF(WEEKDAY(B2845)=7,1,0))))))</f>
        <v>2</v>
      </c>
      <c r="V2845" s="328">
        <f>VLOOKUP(C2845,METADATA!$A$5:$H$29,IF(E2845="HI",2,IF(E2845="LO",6,10))+IF(T2845=1,2,IF(D2845=7,1,(IF(WEEKDAY(B2845)=1,2,IF(WEEKDAY(B2845)=7,1,0))))))</f>
        <v>2</v>
      </c>
    </row>
    <row r="2846" spans="2:22">
      <c r="B2846" s="318">
        <f t="shared" si="179"/>
        <v>46231</v>
      </c>
      <c r="C2846" s="312">
        <v>10</v>
      </c>
      <c r="D2846" s="368">
        <f>IFERROR((INDEX(METADATA!$T$2:$T$20,MATCH(B2846,METADATA!$S$2:$S$20,0))),0)</f>
        <v>0</v>
      </c>
      <c r="E2846" s="312" t="str">
        <f t="shared" si="176"/>
        <v>LO</v>
      </c>
      <c r="F2846" s="369">
        <f>VLOOKUP(C2846,METADATA!$A$5:$H$29,IF(E2846="HI",2,IF(E2846="LO",6,10))+IF(D2846=1,2,IF(D2846=7,1,(IF(WEEKDAY(B2846)=1,2,IF(WEEKDAY(B2846)=7,1,0))))))</f>
        <v>2</v>
      </c>
      <c r="G2846" s="369">
        <f>VLOOKUP(C2846,METADATA!$J$5:$Q$29,IF(E2846="HI",2,IF(E2846="LO",6,10))+IF(D2846=1,2,IF(D2846=7,1,(IF(WEEKDAY(B2846)=1,2,IF(WEEKDAY(B2846)=7,1,0))))))</f>
        <v>2</v>
      </c>
      <c r="H2846" s="370">
        <v>13287.39990234375</v>
      </c>
      <c r="I2846" s="370">
        <v>4406.1599426269531</v>
      </c>
      <c r="M2846" s="371">
        <f t="shared" si="177"/>
        <v>13998.901442785254</v>
      </c>
      <c r="N2846" s="329">
        <f t="shared" si="178"/>
        <v>419.93997192382813</v>
      </c>
      <c r="T2846" s="331">
        <v>0</v>
      </c>
      <c r="U2846" s="328">
        <f>VLOOKUP(C2846,METADATA!$J$5:$Q$29,IF(E2846="HI",2,IF(E2846="LO",6,10))+IF(T2846=1,2,IF(D2846=7,1,(IF(WEEKDAY(B2846)=1,2,IF(WEEKDAY(B2846)=7,1,0))))))</f>
        <v>2</v>
      </c>
      <c r="V2846" s="328">
        <f>VLOOKUP(C2846,METADATA!$A$5:$H$29,IF(E2846="HI",2,IF(E2846="LO",6,10))+IF(T2846=1,2,IF(D2846=7,1,(IF(WEEKDAY(B2846)=1,2,IF(WEEKDAY(B2846)=7,1,0))))))</f>
        <v>2</v>
      </c>
    </row>
    <row r="2847" spans="2:22">
      <c r="B2847" s="318">
        <f t="shared" si="179"/>
        <v>46231</v>
      </c>
      <c r="C2847" s="312">
        <v>11</v>
      </c>
      <c r="D2847" s="368">
        <f>IFERROR((INDEX(METADATA!$T$2:$T$20,MATCH(B2847,METADATA!$S$2:$S$20,0))),0)</f>
        <v>0</v>
      </c>
      <c r="E2847" s="312" t="str">
        <f t="shared" si="176"/>
        <v>LO</v>
      </c>
      <c r="F2847" s="369">
        <f>VLOOKUP(C2847,METADATA!$A$5:$H$29,IF(E2847="HI",2,IF(E2847="LO",6,10))+IF(D2847=1,2,IF(D2847=7,1,(IF(WEEKDAY(B2847)=1,2,IF(WEEKDAY(B2847)=7,1,0))))))</f>
        <v>2</v>
      </c>
      <c r="G2847" s="369">
        <f>VLOOKUP(C2847,METADATA!$J$5:$Q$29,IF(E2847="HI",2,IF(E2847="LO",6,10))+IF(D2847=1,2,IF(D2847=7,1,(IF(WEEKDAY(B2847)=1,2,IF(WEEKDAY(B2847)=7,1,0))))))</f>
        <v>2</v>
      </c>
      <c r="H2847" s="370">
        <v>12440.099731445313</v>
      </c>
      <c r="I2847" s="370">
        <v>3911.3050231933594</v>
      </c>
      <c r="M2847" s="371">
        <f t="shared" si="177"/>
        <v>13040.490340196695</v>
      </c>
      <c r="N2847" s="329">
        <f t="shared" si="178"/>
        <v>179.2751037597659</v>
      </c>
      <c r="T2847" s="331">
        <v>0</v>
      </c>
      <c r="U2847" s="328">
        <f>VLOOKUP(C2847,METADATA!$J$5:$Q$29,IF(E2847="HI",2,IF(E2847="LO",6,10))+IF(T2847=1,2,IF(D2847=7,1,(IF(WEEKDAY(B2847)=1,2,IF(WEEKDAY(B2847)=7,1,0))))))</f>
        <v>2</v>
      </c>
      <c r="V2847" s="328">
        <f>VLOOKUP(C2847,METADATA!$A$5:$H$29,IF(E2847="HI",2,IF(E2847="LO",6,10))+IF(T2847=1,2,IF(D2847=7,1,(IF(WEEKDAY(B2847)=1,2,IF(WEEKDAY(B2847)=7,1,0))))))</f>
        <v>2</v>
      </c>
    </row>
    <row r="2848" spans="2:22">
      <c r="B2848" s="318">
        <f t="shared" si="179"/>
        <v>46231</v>
      </c>
      <c r="C2848" s="312">
        <v>12</v>
      </c>
      <c r="D2848" s="368">
        <f>IFERROR((INDEX(METADATA!$T$2:$T$20,MATCH(B2848,METADATA!$S$2:$S$20,0))),0)</f>
        <v>0</v>
      </c>
      <c r="E2848" s="312" t="str">
        <f t="shared" si="176"/>
        <v>LO</v>
      </c>
      <c r="F2848" s="369">
        <f>VLOOKUP(C2848,METADATA!$A$5:$H$29,IF(E2848="HI",2,IF(E2848="LO",6,10))+IF(D2848=1,2,IF(D2848=7,1,(IF(WEEKDAY(B2848)=1,2,IF(WEEKDAY(B2848)=7,1,0))))))</f>
        <v>2</v>
      </c>
      <c r="G2848" s="369">
        <f>VLOOKUP(C2848,METADATA!$J$5:$Q$29,IF(E2848="HI",2,IF(E2848="LO",6,10))+IF(D2848=1,2,IF(D2848=7,1,(IF(WEEKDAY(B2848)=1,2,IF(WEEKDAY(B2848)=7,1,0))))))</f>
        <v>2</v>
      </c>
      <c r="H2848" s="370">
        <v>12487.174926757813</v>
      </c>
      <c r="I2848" s="370">
        <v>3940.5250091552734</v>
      </c>
      <c r="M2848" s="371">
        <f t="shared" si="177"/>
        <v>13094.169503990206</v>
      </c>
      <c r="N2848" s="329">
        <f t="shared" si="178"/>
        <v>194.37253112792996</v>
      </c>
      <c r="T2848" s="331">
        <v>0</v>
      </c>
      <c r="U2848" s="328">
        <f>VLOOKUP(C2848,METADATA!$J$5:$Q$29,IF(E2848="HI",2,IF(E2848="LO",6,10))+IF(T2848=1,2,IF(D2848=7,1,(IF(WEEKDAY(B2848)=1,2,IF(WEEKDAY(B2848)=7,1,0))))))</f>
        <v>2</v>
      </c>
      <c r="V2848" s="328">
        <f>VLOOKUP(C2848,METADATA!$A$5:$H$29,IF(E2848="HI",2,IF(E2848="LO",6,10))+IF(T2848=1,2,IF(D2848=7,1,(IF(WEEKDAY(B2848)=1,2,IF(WEEKDAY(B2848)=7,1,0))))))</f>
        <v>2</v>
      </c>
    </row>
    <row r="2849" spans="2:22">
      <c r="B2849" s="318">
        <f t="shared" si="179"/>
        <v>46231</v>
      </c>
      <c r="C2849" s="312">
        <v>13</v>
      </c>
      <c r="D2849" s="368">
        <f>IFERROR((INDEX(METADATA!$T$2:$T$20,MATCH(B2849,METADATA!$S$2:$S$20,0))),0)</f>
        <v>0</v>
      </c>
      <c r="E2849" s="312" t="str">
        <f t="shared" si="176"/>
        <v>LO</v>
      </c>
      <c r="F2849" s="369">
        <f>VLOOKUP(C2849,METADATA!$A$5:$H$29,IF(E2849="HI",2,IF(E2849="LO",6,10))+IF(D2849=1,2,IF(D2849=7,1,(IF(WEEKDAY(B2849)=1,2,IF(WEEKDAY(B2849)=7,1,0))))))</f>
        <v>2</v>
      </c>
      <c r="G2849" s="369">
        <f>VLOOKUP(C2849,METADATA!$J$5:$Q$29,IF(E2849="HI",2,IF(E2849="LO",6,10))+IF(D2849=1,2,IF(D2849=7,1,(IF(WEEKDAY(B2849)=1,2,IF(WEEKDAY(B2849)=7,1,0))))))</f>
        <v>2</v>
      </c>
      <c r="H2849" s="370">
        <v>10356.900024414063</v>
      </c>
      <c r="I2849" s="370">
        <v>3088.5350390598178</v>
      </c>
      <c r="M2849" s="371">
        <f t="shared" si="177"/>
        <v>10807.609671116377</v>
      </c>
      <c r="N2849" s="329">
        <f t="shared" si="178"/>
        <v>0</v>
      </c>
      <c r="T2849" s="331">
        <v>0</v>
      </c>
      <c r="U2849" s="328">
        <f>VLOOKUP(C2849,METADATA!$J$5:$Q$29,IF(E2849="HI",2,IF(E2849="LO",6,10))+IF(T2849=1,2,IF(D2849=7,1,(IF(WEEKDAY(B2849)=1,2,IF(WEEKDAY(B2849)=7,1,0))))))</f>
        <v>2</v>
      </c>
      <c r="V2849" s="328">
        <f>VLOOKUP(C2849,METADATA!$A$5:$H$29,IF(E2849="HI",2,IF(E2849="LO",6,10))+IF(T2849=1,2,IF(D2849=7,1,(IF(WEEKDAY(B2849)=1,2,IF(WEEKDAY(B2849)=7,1,0))))))</f>
        <v>2</v>
      </c>
    </row>
    <row r="2850" spans="2:22">
      <c r="B2850" s="318">
        <f t="shared" si="179"/>
        <v>46231</v>
      </c>
      <c r="C2850" s="312">
        <v>14</v>
      </c>
      <c r="D2850" s="368">
        <f>IFERROR((INDEX(METADATA!$T$2:$T$20,MATCH(B2850,METADATA!$S$2:$S$20,0))),0)</f>
        <v>0</v>
      </c>
      <c r="E2850" s="312" t="str">
        <f t="shared" si="176"/>
        <v>LO</v>
      </c>
      <c r="F2850" s="369">
        <f>VLOOKUP(C2850,METADATA!$A$5:$H$29,IF(E2850="HI",2,IF(E2850="LO",6,10))+IF(D2850=1,2,IF(D2850=7,1,(IF(WEEKDAY(B2850)=1,2,IF(WEEKDAY(B2850)=7,1,0))))))</f>
        <v>2</v>
      </c>
      <c r="G2850" s="369">
        <f>VLOOKUP(C2850,METADATA!$J$5:$Q$29,IF(E2850="HI",2,IF(E2850="LO",6,10))+IF(D2850=1,2,IF(D2850=7,1,(IF(WEEKDAY(B2850)=1,2,IF(WEEKDAY(B2850)=7,1,0))))))</f>
        <v>2</v>
      </c>
      <c r="H2850" s="370">
        <v>13682.099975585938</v>
      </c>
      <c r="I2850" s="370">
        <v>4690.2499389648438</v>
      </c>
      <c r="M2850" s="371">
        <f t="shared" si="177"/>
        <v>14463.689163968105</v>
      </c>
      <c r="N2850" s="329">
        <f t="shared" si="178"/>
        <v>585.61994628906268</v>
      </c>
      <c r="T2850" s="331">
        <v>0</v>
      </c>
      <c r="U2850" s="328">
        <f>VLOOKUP(C2850,METADATA!$J$5:$Q$29,IF(E2850="HI",2,IF(E2850="LO",6,10))+IF(T2850=1,2,IF(D2850=7,1,(IF(WEEKDAY(B2850)=1,2,IF(WEEKDAY(B2850)=7,1,0))))))</f>
        <v>2</v>
      </c>
      <c r="V2850" s="328">
        <f>VLOOKUP(C2850,METADATA!$A$5:$H$29,IF(E2850="HI",2,IF(E2850="LO",6,10))+IF(T2850=1,2,IF(D2850=7,1,(IF(WEEKDAY(B2850)=1,2,IF(WEEKDAY(B2850)=7,1,0))))))</f>
        <v>2</v>
      </c>
    </row>
    <row r="2851" spans="2:22">
      <c r="B2851" s="318">
        <f t="shared" si="179"/>
        <v>46231</v>
      </c>
      <c r="C2851" s="312">
        <v>15</v>
      </c>
      <c r="D2851" s="368">
        <f>IFERROR((INDEX(METADATA!$T$2:$T$20,MATCH(B2851,METADATA!$S$2:$S$20,0))),0)</f>
        <v>0</v>
      </c>
      <c r="E2851" s="312" t="str">
        <f t="shared" si="176"/>
        <v>LO</v>
      </c>
      <c r="F2851" s="369">
        <f>VLOOKUP(C2851,METADATA!$A$5:$H$29,IF(E2851="HI",2,IF(E2851="LO",6,10))+IF(D2851=1,2,IF(D2851=7,1,(IF(WEEKDAY(B2851)=1,2,IF(WEEKDAY(B2851)=7,1,0))))))</f>
        <v>2</v>
      </c>
      <c r="G2851" s="369">
        <f>VLOOKUP(C2851,METADATA!$J$5:$Q$29,IF(E2851="HI",2,IF(E2851="LO",6,10))+IF(D2851=1,2,IF(D2851=7,1,(IF(WEEKDAY(B2851)=1,2,IF(WEEKDAY(B2851)=7,1,0))))))</f>
        <v>2</v>
      </c>
      <c r="H2851" s="370">
        <v>13851.724853515625</v>
      </c>
      <c r="I2851" s="370">
        <v>4851.2249755859375</v>
      </c>
      <c r="M2851" s="371">
        <f t="shared" si="177"/>
        <v>14676.670779889124</v>
      </c>
      <c r="N2851" s="329">
        <f t="shared" si="178"/>
        <v>695.70751953125</v>
      </c>
      <c r="T2851" s="331">
        <v>0</v>
      </c>
      <c r="U2851" s="328">
        <f>VLOOKUP(C2851,METADATA!$J$5:$Q$29,IF(E2851="HI",2,IF(E2851="LO",6,10))+IF(T2851=1,2,IF(D2851=7,1,(IF(WEEKDAY(B2851)=1,2,IF(WEEKDAY(B2851)=7,1,0))))))</f>
        <v>2</v>
      </c>
      <c r="V2851" s="328">
        <f>VLOOKUP(C2851,METADATA!$A$5:$H$29,IF(E2851="HI",2,IF(E2851="LO",6,10))+IF(T2851=1,2,IF(D2851=7,1,(IF(WEEKDAY(B2851)=1,2,IF(WEEKDAY(B2851)=7,1,0))))))</f>
        <v>2</v>
      </c>
    </row>
    <row r="2852" spans="2:22">
      <c r="B2852" s="318">
        <f t="shared" si="179"/>
        <v>46231</v>
      </c>
      <c r="C2852" s="312">
        <v>16</v>
      </c>
      <c r="D2852" s="368">
        <f>IFERROR((INDEX(METADATA!$T$2:$T$20,MATCH(B2852,METADATA!$S$2:$S$20,0))),0)</f>
        <v>0</v>
      </c>
      <c r="E2852" s="312" t="str">
        <f t="shared" si="176"/>
        <v>LO</v>
      </c>
      <c r="F2852" s="369">
        <f>VLOOKUP(C2852,METADATA!$A$5:$H$29,IF(E2852="HI",2,IF(E2852="LO",6,10))+IF(D2852=1,2,IF(D2852=7,1,(IF(WEEKDAY(B2852)=1,2,IF(WEEKDAY(B2852)=7,1,0))))))</f>
        <v>2</v>
      </c>
      <c r="G2852" s="369">
        <f>VLOOKUP(C2852,METADATA!$J$5:$Q$29,IF(E2852="HI",2,IF(E2852="LO",6,10))+IF(D2852=1,2,IF(D2852=7,1,(IF(WEEKDAY(B2852)=1,2,IF(WEEKDAY(B2852)=7,1,0))))))</f>
        <v>2</v>
      </c>
      <c r="H2852" s="370">
        <v>14046.64990234375</v>
      </c>
      <c r="I2852" s="370">
        <v>5056.5750427246094</v>
      </c>
      <c r="M2852" s="371">
        <f t="shared" si="177"/>
        <v>14929.076483216202</v>
      </c>
      <c r="N2852" s="329">
        <f t="shared" si="178"/>
        <v>842.58007202148474</v>
      </c>
      <c r="T2852" s="331">
        <v>0</v>
      </c>
      <c r="U2852" s="328">
        <f>VLOOKUP(C2852,METADATA!$J$5:$Q$29,IF(E2852="HI",2,IF(E2852="LO",6,10))+IF(T2852=1,2,IF(D2852=7,1,(IF(WEEKDAY(B2852)=1,2,IF(WEEKDAY(B2852)=7,1,0))))))</f>
        <v>2</v>
      </c>
      <c r="V2852" s="328">
        <f>VLOOKUP(C2852,METADATA!$A$5:$H$29,IF(E2852="HI",2,IF(E2852="LO",6,10))+IF(T2852=1,2,IF(D2852=7,1,(IF(WEEKDAY(B2852)=1,2,IF(WEEKDAY(B2852)=7,1,0))))))</f>
        <v>2</v>
      </c>
    </row>
    <row r="2853" spans="2:22">
      <c r="B2853" s="318">
        <f t="shared" si="179"/>
        <v>46231</v>
      </c>
      <c r="C2853" s="312">
        <v>17</v>
      </c>
      <c r="D2853" s="368">
        <f>IFERROR((INDEX(METADATA!$T$2:$T$20,MATCH(B2853,METADATA!$S$2:$S$20,0))),0)</f>
        <v>0</v>
      </c>
      <c r="E2853" s="312" t="str">
        <f t="shared" si="176"/>
        <v>LO</v>
      </c>
      <c r="F2853" s="369">
        <f>VLOOKUP(C2853,METADATA!$A$5:$H$29,IF(E2853="HI",2,IF(E2853="LO",6,10))+IF(D2853=1,2,IF(D2853=7,1,(IF(WEEKDAY(B2853)=1,2,IF(WEEKDAY(B2853)=7,1,0))))))</f>
        <v>2</v>
      </c>
      <c r="G2853" s="369">
        <f>VLOOKUP(C2853,METADATA!$J$5:$Q$29,IF(E2853="HI",2,IF(E2853="LO",6,10))+IF(D2853=1,2,IF(D2853=7,1,(IF(WEEKDAY(B2853)=1,2,IF(WEEKDAY(B2853)=7,1,0))))))</f>
        <v>2</v>
      </c>
      <c r="H2853" s="370">
        <v>13933.424560546875</v>
      </c>
      <c r="I2853" s="370">
        <v>4978.22509765625</v>
      </c>
      <c r="M2853" s="371">
        <f t="shared" si="177"/>
        <v>14796.048293628453</v>
      </c>
      <c r="N2853" s="329">
        <f t="shared" si="178"/>
        <v>798.19772949218805</v>
      </c>
      <c r="T2853" s="331">
        <v>0</v>
      </c>
      <c r="U2853" s="328">
        <f>VLOOKUP(C2853,METADATA!$J$5:$Q$29,IF(E2853="HI",2,IF(E2853="LO",6,10))+IF(T2853=1,2,IF(D2853=7,1,(IF(WEEKDAY(B2853)=1,2,IF(WEEKDAY(B2853)=7,1,0))))))</f>
        <v>2</v>
      </c>
      <c r="V2853" s="328">
        <f>VLOOKUP(C2853,METADATA!$A$5:$H$29,IF(E2853="HI",2,IF(E2853="LO",6,10))+IF(T2853=1,2,IF(D2853=7,1,(IF(WEEKDAY(B2853)=1,2,IF(WEEKDAY(B2853)=7,1,0))))))</f>
        <v>2</v>
      </c>
    </row>
    <row r="2854" spans="2:22">
      <c r="B2854" s="318">
        <f t="shared" si="179"/>
        <v>46231</v>
      </c>
      <c r="C2854" s="312">
        <v>18</v>
      </c>
      <c r="D2854" s="368">
        <f>IFERROR((INDEX(METADATA!$T$2:$T$20,MATCH(B2854,METADATA!$S$2:$S$20,0))),0)</f>
        <v>0</v>
      </c>
      <c r="E2854" s="312" t="str">
        <f t="shared" si="176"/>
        <v>LO</v>
      </c>
      <c r="F2854" s="369">
        <f>VLOOKUP(C2854,METADATA!$A$5:$H$29,IF(E2854="HI",2,IF(E2854="LO",6,10))+IF(D2854=1,2,IF(D2854=7,1,(IF(WEEKDAY(B2854)=1,2,IF(WEEKDAY(B2854)=7,1,0))))))</f>
        <v>1</v>
      </c>
      <c r="G2854" s="369">
        <f>VLOOKUP(C2854,METADATA!$J$5:$Q$29,IF(E2854="HI",2,IF(E2854="LO",6,10))+IF(D2854=1,2,IF(D2854=7,1,(IF(WEEKDAY(B2854)=1,2,IF(WEEKDAY(B2854)=7,1,0))))))</f>
        <v>1</v>
      </c>
      <c r="H2854" s="370">
        <v>13951.725219726563</v>
      </c>
      <c r="I2854" s="370">
        <v>4779.590087890625</v>
      </c>
      <c r="M2854" s="371">
        <f t="shared" si="177"/>
        <v>14747.715688031705</v>
      </c>
      <c r="N2854" s="329">
        <f t="shared" si="178"/>
        <v>594.07252197265643</v>
      </c>
      <c r="T2854" s="331">
        <v>0</v>
      </c>
      <c r="U2854" s="328">
        <f>VLOOKUP(C2854,METADATA!$J$5:$Q$29,IF(E2854="HI",2,IF(E2854="LO",6,10))+IF(T2854=1,2,IF(D2854=7,1,(IF(WEEKDAY(B2854)=1,2,IF(WEEKDAY(B2854)=7,1,0))))))</f>
        <v>1</v>
      </c>
      <c r="V2854" s="328">
        <f>VLOOKUP(C2854,METADATA!$A$5:$H$29,IF(E2854="HI",2,IF(E2854="LO",6,10))+IF(T2854=1,2,IF(D2854=7,1,(IF(WEEKDAY(B2854)=1,2,IF(WEEKDAY(B2854)=7,1,0))))))</f>
        <v>1</v>
      </c>
    </row>
    <row r="2855" spans="2:22">
      <c r="B2855" s="318">
        <f t="shared" si="179"/>
        <v>46231</v>
      </c>
      <c r="C2855" s="312">
        <v>19</v>
      </c>
      <c r="D2855" s="368">
        <f>IFERROR((INDEX(METADATA!$T$2:$T$20,MATCH(B2855,METADATA!$S$2:$S$20,0))),0)</f>
        <v>0</v>
      </c>
      <c r="E2855" s="312" t="str">
        <f t="shared" si="176"/>
        <v>LO</v>
      </c>
      <c r="F2855" s="369">
        <f>VLOOKUP(C2855,METADATA!$A$5:$H$29,IF(E2855="HI",2,IF(E2855="LO",6,10))+IF(D2855=1,2,IF(D2855=7,1,(IF(WEEKDAY(B2855)=1,2,IF(WEEKDAY(B2855)=7,1,0))))))</f>
        <v>1</v>
      </c>
      <c r="G2855" s="369">
        <f>VLOOKUP(C2855,METADATA!$J$5:$Q$29,IF(E2855="HI",2,IF(E2855="LO",6,10))+IF(D2855=1,2,IF(D2855=7,1,(IF(WEEKDAY(B2855)=1,2,IF(WEEKDAY(B2855)=7,1,0))))))</f>
        <v>1</v>
      </c>
      <c r="H2855" s="370">
        <v>13994.800170898438</v>
      </c>
      <c r="I2855" s="370">
        <v>4702.8600158691406</v>
      </c>
      <c r="M2855" s="371">
        <f t="shared" si="177"/>
        <v>14763.851941557787</v>
      </c>
      <c r="N2855" s="329">
        <f t="shared" si="178"/>
        <v>504.41996459960956</v>
      </c>
      <c r="T2855" s="331">
        <v>0</v>
      </c>
      <c r="U2855" s="328">
        <f>VLOOKUP(C2855,METADATA!$J$5:$Q$29,IF(E2855="HI",2,IF(E2855="LO",6,10))+IF(T2855=1,2,IF(D2855=7,1,(IF(WEEKDAY(B2855)=1,2,IF(WEEKDAY(B2855)=7,1,0))))))</f>
        <v>1</v>
      </c>
      <c r="V2855" s="328">
        <f>VLOOKUP(C2855,METADATA!$A$5:$H$29,IF(E2855="HI",2,IF(E2855="LO",6,10))+IF(T2855=1,2,IF(D2855=7,1,(IF(WEEKDAY(B2855)=1,2,IF(WEEKDAY(B2855)=7,1,0))))))</f>
        <v>1</v>
      </c>
    </row>
    <row r="2856" spans="2:22">
      <c r="B2856" s="318">
        <f t="shared" si="179"/>
        <v>46231</v>
      </c>
      <c r="C2856" s="312">
        <v>20</v>
      </c>
      <c r="D2856" s="368">
        <f>IFERROR((INDEX(METADATA!$T$2:$T$20,MATCH(B2856,METADATA!$S$2:$S$20,0))),0)</f>
        <v>0</v>
      </c>
      <c r="E2856" s="312" t="str">
        <f t="shared" si="176"/>
        <v>LO</v>
      </c>
      <c r="F2856" s="369">
        <f>VLOOKUP(C2856,METADATA!$A$5:$H$29,IF(E2856="HI",2,IF(E2856="LO",6,10))+IF(D2856=1,2,IF(D2856=7,1,(IF(WEEKDAY(B2856)=1,2,IF(WEEKDAY(B2856)=7,1,0))))))</f>
        <v>1</v>
      </c>
      <c r="G2856" s="369">
        <f>VLOOKUP(C2856,METADATA!$J$5:$Q$29,IF(E2856="HI",2,IF(E2856="LO",6,10))+IF(D2856=1,2,IF(D2856=7,1,(IF(WEEKDAY(B2856)=1,2,IF(WEEKDAY(B2856)=7,1,0))))))</f>
        <v>1</v>
      </c>
      <c r="H2856" s="370">
        <v>14034.799743652344</v>
      </c>
      <c r="I2856" s="370">
        <v>4827.35498046875</v>
      </c>
      <c r="M2856" s="371">
        <f t="shared" si="177"/>
        <v>14841.797733154846</v>
      </c>
      <c r="N2856" s="329">
        <f t="shared" si="178"/>
        <v>616.91505737304669</v>
      </c>
      <c r="T2856" s="331">
        <v>0</v>
      </c>
      <c r="U2856" s="328">
        <f>VLOOKUP(C2856,METADATA!$J$5:$Q$29,IF(E2856="HI",2,IF(E2856="LO",6,10))+IF(T2856=1,2,IF(D2856=7,1,(IF(WEEKDAY(B2856)=1,2,IF(WEEKDAY(B2856)=7,1,0))))))</f>
        <v>1</v>
      </c>
      <c r="V2856" s="328">
        <f>VLOOKUP(C2856,METADATA!$A$5:$H$29,IF(E2856="HI",2,IF(E2856="LO",6,10))+IF(T2856=1,2,IF(D2856=7,1,(IF(WEEKDAY(B2856)=1,2,IF(WEEKDAY(B2856)=7,1,0))))))</f>
        <v>1</v>
      </c>
    </row>
    <row r="2857" spans="2:22">
      <c r="B2857" s="318">
        <f t="shared" si="179"/>
        <v>46231</v>
      </c>
      <c r="C2857" s="312">
        <v>21</v>
      </c>
      <c r="D2857" s="368">
        <f>IFERROR((INDEX(METADATA!$T$2:$T$20,MATCH(B2857,METADATA!$S$2:$S$20,0))),0)</f>
        <v>0</v>
      </c>
      <c r="E2857" s="312" t="str">
        <f t="shared" si="176"/>
        <v>LO</v>
      </c>
      <c r="F2857" s="369">
        <f>VLOOKUP(C2857,METADATA!$A$5:$H$29,IF(E2857="HI",2,IF(E2857="LO",6,10))+IF(D2857=1,2,IF(D2857=7,1,(IF(WEEKDAY(B2857)=1,2,IF(WEEKDAY(B2857)=7,1,0))))))</f>
        <v>2</v>
      </c>
      <c r="G2857" s="369">
        <f>VLOOKUP(C2857,METADATA!$J$5:$Q$29,IF(E2857="HI",2,IF(E2857="LO",6,10))+IF(D2857=1,2,IF(D2857=7,1,(IF(WEEKDAY(B2857)=1,2,IF(WEEKDAY(B2857)=7,1,0))))))</f>
        <v>2</v>
      </c>
      <c r="H2857" s="370">
        <v>14032.525329589844</v>
      </c>
      <c r="I2857" s="370">
        <v>4930.3499145507813</v>
      </c>
      <c r="M2857" s="371">
        <f t="shared" si="177"/>
        <v>14873.470254298136</v>
      </c>
      <c r="N2857" s="329">
        <f t="shared" si="178"/>
        <v>720.59231567382813</v>
      </c>
      <c r="T2857" s="331">
        <v>0</v>
      </c>
      <c r="U2857" s="328">
        <f>VLOOKUP(C2857,METADATA!$J$5:$Q$29,IF(E2857="HI",2,IF(E2857="LO",6,10))+IF(T2857=1,2,IF(D2857=7,1,(IF(WEEKDAY(B2857)=1,2,IF(WEEKDAY(B2857)=7,1,0))))))</f>
        <v>2</v>
      </c>
      <c r="V2857" s="328">
        <f>VLOOKUP(C2857,METADATA!$A$5:$H$29,IF(E2857="HI",2,IF(E2857="LO",6,10))+IF(T2857=1,2,IF(D2857=7,1,(IF(WEEKDAY(B2857)=1,2,IF(WEEKDAY(B2857)=7,1,0))))))</f>
        <v>2</v>
      </c>
    </row>
    <row r="2858" spans="2:22">
      <c r="B2858" s="318">
        <f t="shared" si="179"/>
        <v>46231</v>
      </c>
      <c r="C2858" s="312">
        <v>22</v>
      </c>
      <c r="D2858" s="368">
        <f>IFERROR((INDEX(METADATA!$T$2:$T$20,MATCH(B2858,METADATA!$S$2:$S$20,0))),0)</f>
        <v>0</v>
      </c>
      <c r="E2858" s="312" t="str">
        <f t="shared" si="176"/>
        <v>LO</v>
      </c>
      <c r="F2858" s="369">
        <f>VLOOKUP(C2858,METADATA!$A$5:$H$29,IF(E2858="HI",2,IF(E2858="LO",6,10))+IF(D2858=1,2,IF(D2858=7,1,(IF(WEEKDAY(B2858)=1,2,IF(WEEKDAY(B2858)=7,1,0))))))</f>
        <v>3</v>
      </c>
      <c r="G2858" s="369">
        <f>VLOOKUP(C2858,METADATA!$J$5:$Q$29,IF(E2858="HI",2,IF(E2858="LO",6,10))+IF(D2858=1,2,IF(D2858=7,1,(IF(WEEKDAY(B2858)=1,2,IF(WEEKDAY(B2858)=7,1,0))))))</f>
        <v>3</v>
      </c>
      <c r="H2858" s="370">
        <v>13814.100280761719</v>
      </c>
      <c r="I2858" s="370">
        <v>4773.1000061035156</v>
      </c>
      <c r="M2858" s="371">
        <f t="shared" si="177"/>
        <v>14615.466131300991</v>
      </c>
      <c r="N2858" s="329">
        <f t="shared" si="178"/>
        <v>628.86992187499982</v>
      </c>
      <c r="T2858" s="331">
        <v>0</v>
      </c>
      <c r="U2858" s="328">
        <f>VLOOKUP(C2858,METADATA!$J$5:$Q$29,IF(E2858="HI",2,IF(E2858="LO",6,10))+IF(T2858=1,2,IF(D2858=7,1,(IF(WEEKDAY(B2858)=1,2,IF(WEEKDAY(B2858)=7,1,0))))))</f>
        <v>3</v>
      </c>
      <c r="V2858" s="328">
        <f>VLOOKUP(C2858,METADATA!$A$5:$H$29,IF(E2858="HI",2,IF(E2858="LO",6,10))+IF(T2858=1,2,IF(D2858=7,1,(IF(WEEKDAY(B2858)=1,2,IF(WEEKDAY(B2858)=7,1,0))))))</f>
        <v>3</v>
      </c>
    </row>
    <row r="2859" spans="2:22">
      <c r="B2859" s="318">
        <f t="shared" si="179"/>
        <v>46231</v>
      </c>
      <c r="C2859" s="312">
        <v>23</v>
      </c>
      <c r="D2859" s="368">
        <f>IFERROR((INDEX(METADATA!$T$2:$T$20,MATCH(B2859,METADATA!$S$2:$S$20,0))),0)</f>
        <v>0</v>
      </c>
      <c r="E2859" s="312" t="str">
        <f t="shared" si="176"/>
        <v>LO</v>
      </c>
      <c r="F2859" s="369">
        <f>VLOOKUP(C2859,METADATA!$A$5:$H$29,IF(E2859="HI",2,IF(E2859="LO",6,10))+IF(D2859=1,2,IF(D2859=7,1,(IF(WEEKDAY(B2859)=1,2,IF(WEEKDAY(B2859)=7,1,0))))))</f>
        <v>3</v>
      </c>
      <c r="G2859" s="369">
        <f>VLOOKUP(C2859,METADATA!$J$5:$Q$29,IF(E2859="HI",2,IF(E2859="LO",6,10))+IF(D2859=1,2,IF(D2859=7,1,(IF(WEEKDAY(B2859)=1,2,IF(WEEKDAY(B2859)=7,1,0))))))</f>
        <v>3</v>
      </c>
      <c r="H2859" s="370">
        <v>13815.675231933594</v>
      </c>
      <c r="I2859" s="370">
        <v>4859.9849853515625</v>
      </c>
      <c r="M2859" s="371">
        <f t="shared" si="177"/>
        <v>14645.556874769425</v>
      </c>
      <c r="N2859" s="329">
        <f t="shared" si="178"/>
        <v>715.28241577148492</v>
      </c>
      <c r="T2859" s="331">
        <v>0</v>
      </c>
      <c r="U2859" s="328">
        <f>VLOOKUP(C2859,METADATA!$J$5:$Q$29,IF(E2859="HI",2,IF(E2859="LO",6,10))+IF(T2859=1,2,IF(D2859=7,1,(IF(WEEKDAY(B2859)=1,2,IF(WEEKDAY(B2859)=7,1,0))))))</f>
        <v>3</v>
      </c>
      <c r="V2859" s="328">
        <f>VLOOKUP(C2859,METADATA!$A$5:$H$29,IF(E2859="HI",2,IF(E2859="LO",6,10))+IF(T2859=1,2,IF(D2859=7,1,(IF(WEEKDAY(B2859)=1,2,IF(WEEKDAY(B2859)=7,1,0))))))</f>
        <v>3</v>
      </c>
    </row>
    <row r="2860" spans="2:22">
      <c r="B2860" s="318">
        <f t="shared" si="179"/>
        <v>46232</v>
      </c>
      <c r="C2860" s="312">
        <v>0</v>
      </c>
      <c r="D2860" s="368">
        <f>IFERROR((INDEX(METADATA!$T$2:$T$20,MATCH(B2860,METADATA!$S$2:$S$20,0))),0)</f>
        <v>0</v>
      </c>
      <c r="E2860" s="312" t="str">
        <f t="shared" si="176"/>
        <v>LO</v>
      </c>
      <c r="F2860" s="369">
        <f>VLOOKUP(C2860,METADATA!$A$5:$H$29,IF(E2860="HI",2,IF(E2860="LO",6,10))+IF(D2860=1,2,IF(D2860=7,1,(IF(WEEKDAY(B2860)=1,2,IF(WEEKDAY(B2860)=7,1,0))))))</f>
        <v>3</v>
      </c>
      <c r="G2860" s="369">
        <f>VLOOKUP(C2860,METADATA!$J$5:$Q$29,IF(E2860="HI",2,IF(E2860="LO",6,10))+IF(D2860=1,2,IF(D2860=7,1,(IF(WEEKDAY(B2860)=1,2,IF(WEEKDAY(B2860)=7,1,0))))))</f>
        <v>3</v>
      </c>
      <c r="H2860" s="370">
        <v>13940.724609375</v>
      </c>
      <c r="I2860" s="370">
        <v>4859.2000732421875</v>
      </c>
      <c r="M2860" s="371">
        <f t="shared" si="177"/>
        <v>14763.320357772862</v>
      </c>
      <c r="N2860" s="329">
        <f t="shared" si="178"/>
        <v>676.98269042968786</v>
      </c>
      <c r="T2860" s="331">
        <v>0</v>
      </c>
      <c r="U2860" s="328">
        <f>VLOOKUP(C2860,METADATA!$J$5:$Q$29,IF(E2860="HI",2,IF(E2860="LO",6,10))+IF(T2860=1,2,IF(D2860=7,1,(IF(WEEKDAY(B2860)=1,2,IF(WEEKDAY(B2860)=7,1,0))))))</f>
        <v>3</v>
      </c>
      <c r="V2860" s="328">
        <f>VLOOKUP(C2860,METADATA!$A$5:$H$29,IF(E2860="HI",2,IF(E2860="LO",6,10))+IF(T2860=1,2,IF(D2860=7,1,(IF(WEEKDAY(B2860)=1,2,IF(WEEKDAY(B2860)=7,1,0))))))</f>
        <v>3</v>
      </c>
    </row>
    <row r="2861" spans="2:22">
      <c r="B2861" s="318">
        <f t="shared" si="179"/>
        <v>46232</v>
      </c>
      <c r="C2861" s="312">
        <v>1</v>
      </c>
      <c r="D2861" s="368">
        <f>IFERROR((INDEX(METADATA!$T$2:$T$20,MATCH(B2861,METADATA!$S$2:$S$20,0))),0)</f>
        <v>0</v>
      </c>
      <c r="E2861" s="312" t="str">
        <f t="shared" si="176"/>
        <v>LO</v>
      </c>
      <c r="F2861" s="369">
        <f>VLOOKUP(C2861,METADATA!$A$5:$H$29,IF(E2861="HI",2,IF(E2861="LO",6,10))+IF(D2861=1,2,IF(D2861=7,1,(IF(WEEKDAY(B2861)=1,2,IF(WEEKDAY(B2861)=7,1,0))))))</f>
        <v>3</v>
      </c>
      <c r="G2861" s="369">
        <f>VLOOKUP(C2861,METADATA!$J$5:$Q$29,IF(E2861="HI",2,IF(E2861="LO",6,10))+IF(D2861=1,2,IF(D2861=7,1,(IF(WEEKDAY(B2861)=1,2,IF(WEEKDAY(B2861)=7,1,0))))))</f>
        <v>3</v>
      </c>
      <c r="H2861" s="370">
        <v>13845.055297851563</v>
      </c>
      <c r="I2861" s="370">
        <v>4678.2298889160156</v>
      </c>
      <c r="M2861" s="371">
        <f t="shared" si="177"/>
        <v>14614.081944963726</v>
      </c>
      <c r="N2861" s="329">
        <f t="shared" si="178"/>
        <v>524.71329956054706</v>
      </c>
      <c r="T2861" s="331">
        <v>0</v>
      </c>
      <c r="U2861" s="328">
        <f>VLOOKUP(C2861,METADATA!$J$5:$Q$29,IF(E2861="HI",2,IF(E2861="LO",6,10))+IF(T2861=1,2,IF(D2861=7,1,(IF(WEEKDAY(B2861)=1,2,IF(WEEKDAY(B2861)=7,1,0))))))</f>
        <v>3</v>
      </c>
      <c r="V2861" s="328">
        <f>VLOOKUP(C2861,METADATA!$A$5:$H$29,IF(E2861="HI",2,IF(E2861="LO",6,10))+IF(T2861=1,2,IF(D2861=7,1,(IF(WEEKDAY(B2861)=1,2,IF(WEEKDAY(B2861)=7,1,0))))))</f>
        <v>3</v>
      </c>
    </row>
    <row r="2862" spans="2:22">
      <c r="B2862" s="318">
        <f t="shared" si="179"/>
        <v>46232</v>
      </c>
      <c r="C2862" s="312">
        <v>2</v>
      </c>
      <c r="D2862" s="368">
        <f>IFERROR((INDEX(METADATA!$T$2:$T$20,MATCH(B2862,METADATA!$S$2:$S$20,0))),0)</f>
        <v>0</v>
      </c>
      <c r="E2862" s="312" t="str">
        <f t="shared" si="176"/>
        <v>LO</v>
      </c>
      <c r="F2862" s="369">
        <f>VLOOKUP(C2862,METADATA!$A$5:$H$29,IF(E2862="HI",2,IF(E2862="LO",6,10))+IF(D2862=1,2,IF(D2862=7,1,(IF(WEEKDAY(B2862)=1,2,IF(WEEKDAY(B2862)=7,1,0))))))</f>
        <v>3</v>
      </c>
      <c r="G2862" s="369">
        <f>VLOOKUP(C2862,METADATA!$J$5:$Q$29,IF(E2862="HI",2,IF(E2862="LO",6,10))+IF(D2862=1,2,IF(D2862=7,1,(IF(WEEKDAY(B2862)=1,2,IF(WEEKDAY(B2862)=7,1,0))))))</f>
        <v>3</v>
      </c>
      <c r="H2862" s="370">
        <v>13588.874633789063</v>
      </c>
      <c r="I2862" s="370">
        <v>4636.7199096679688</v>
      </c>
      <c r="M2862" s="371">
        <f t="shared" si="177"/>
        <v>14358.157449113976</v>
      </c>
      <c r="N2862" s="329">
        <f t="shared" si="178"/>
        <v>560.05751953125036</v>
      </c>
      <c r="T2862" s="331">
        <v>0</v>
      </c>
      <c r="U2862" s="328">
        <f>VLOOKUP(C2862,METADATA!$J$5:$Q$29,IF(E2862="HI",2,IF(E2862="LO",6,10))+IF(T2862=1,2,IF(D2862=7,1,(IF(WEEKDAY(B2862)=1,2,IF(WEEKDAY(B2862)=7,1,0))))))</f>
        <v>3</v>
      </c>
      <c r="V2862" s="328">
        <f>VLOOKUP(C2862,METADATA!$A$5:$H$29,IF(E2862="HI",2,IF(E2862="LO",6,10))+IF(T2862=1,2,IF(D2862=7,1,(IF(WEEKDAY(B2862)=1,2,IF(WEEKDAY(B2862)=7,1,0))))))</f>
        <v>3</v>
      </c>
    </row>
    <row r="2863" spans="2:22">
      <c r="B2863" s="318">
        <f t="shared" si="179"/>
        <v>46232</v>
      </c>
      <c r="C2863" s="312">
        <v>3</v>
      </c>
      <c r="D2863" s="368">
        <f>IFERROR((INDEX(METADATA!$T$2:$T$20,MATCH(B2863,METADATA!$S$2:$S$20,0))),0)</f>
        <v>0</v>
      </c>
      <c r="E2863" s="312" t="str">
        <f t="shared" si="176"/>
        <v>LO</v>
      </c>
      <c r="F2863" s="369">
        <f>VLOOKUP(C2863,METADATA!$A$5:$H$29,IF(E2863="HI",2,IF(E2863="LO",6,10))+IF(D2863=1,2,IF(D2863=7,1,(IF(WEEKDAY(B2863)=1,2,IF(WEEKDAY(B2863)=7,1,0))))))</f>
        <v>3</v>
      </c>
      <c r="G2863" s="369">
        <f>VLOOKUP(C2863,METADATA!$J$5:$Q$29,IF(E2863="HI",2,IF(E2863="LO",6,10))+IF(D2863=1,2,IF(D2863=7,1,(IF(WEEKDAY(B2863)=1,2,IF(WEEKDAY(B2863)=7,1,0))))))</f>
        <v>3</v>
      </c>
      <c r="H2863" s="370">
        <v>13530.300170898438</v>
      </c>
      <c r="I2863" s="370">
        <v>4583.1750183105469</v>
      </c>
      <c r="M2863" s="371">
        <f t="shared" si="177"/>
        <v>14285.465199393409</v>
      </c>
      <c r="N2863" s="329">
        <f t="shared" si="178"/>
        <v>524.08496704101572</v>
      </c>
      <c r="T2863" s="331">
        <v>0</v>
      </c>
      <c r="U2863" s="328">
        <f>VLOOKUP(C2863,METADATA!$J$5:$Q$29,IF(E2863="HI",2,IF(E2863="LO",6,10))+IF(T2863=1,2,IF(D2863=7,1,(IF(WEEKDAY(B2863)=1,2,IF(WEEKDAY(B2863)=7,1,0))))))</f>
        <v>3</v>
      </c>
      <c r="V2863" s="328">
        <f>VLOOKUP(C2863,METADATA!$A$5:$H$29,IF(E2863="HI",2,IF(E2863="LO",6,10))+IF(T2863=1,2,IF(D2863=7,1,(IF(WEEKDAY(B2863)=1,2,IF(WEEKDAY(B2863)=7,1,0))))))</f>
        <v>3</v>
      </c>
    </row>
    <row r="2864" spans="2:22">
      <c r="B2864" s="318">
        <f t="shared" si="179"/>
        <v>46232</v>
      </c>
      <c r="C2864" s="312">
        <v>4</v>
      </c>
      <c r="D2864" s="368">
        <f>IFERROR((INDEX(METADATA!$T$2:$T$20,MATCH(B2864,METADATA!$S$2:$S$20,0))),0)</f>
        <v>0</v>
      </c>
      <c r="E2864" s="312" t="str">
        <f t="shared" si="176"/>
        <v>LO</v>
      </c>
      <c r="F2864" s="369">
        <f>VLOOKUP(C2864,METADATA!$A$5:$H$29,IF(E2864="HI",2,IF(E2864="LO",6,10))+IF(D2864=1,2,IF(D2864=7,1,(IF(WEEKDAY(B2864)=1,2,IF(WEEKDAY(B2864)=7,1,0))))))</f>
        <v>3</v>
      </c>
      <c r="G2864" s="369">
        <f>VLOOKUP(C2864,METADATA!$J$5:$Q$29,IF(E2864="HI",2,IF(E2864="LO",6,10))+IF(D2864=1,2,IF(D2864=7,1,(IF(WEEKDAY(B2864)=1,2,IF(WEEKDAY(B2864)=7,1,0))))))</f>
        <v>3</v>
      </c>
      <c r="H2864" s="370">
        <v>13471.849670410156</v>
      </c>
      <c r="I2864" s="370">
        <v>4492.9799194335938</v>
      </c>
      <c r="M2864" s="371">
        <f t="shared" si="177"/>
        <v>14201.323955834672</v>
      </c>
      <c r="N2864" s="329">
        <f t="shared" si="178"/>
        <v>451.42501831054688</v>
      </c>
      <c r="T2864" s="331">
        <v>0</v>
      </c>
      <c r="U2864" s="328">
        <f>VLOOKUP(C2864,METADATA!$J$5:$Q$29,IF(E2864="HI",2,IF(E2864="LO",6,10))+IF(T2864=1,2,IF(D2864=7,1,(IF(WEEKDAY(B2864)=1,2,IF(WEEKDAY(B2864)=7,1,0))))))</f>
        <v>3</v>
      </c>
      <c r="V2864" s="328">
        <f>VLOOKUP(C2864,METADATA!$A$5:$H$29,IF(E2864="HI",2,IF(E2864="LO",6,10))+IF(T2864=1,2,IF(D2864=7,1,(IF(WEEKDAY(B2864)=1,2,IF(WEEKDAY(B2864)=7,1,0))))))</f>
        <v>3</v>
      </c>
    </row>
    <row r="2865" spans="2:22">
      <c r="B2865" s="318">
        <f t="shared" si="179"/>
        <v>46232</v>
      </c>
      <c r="C2865" s="312">
        <v>5</v>
      </c>
      <c r="D2865" s="368">
        <f>IFERROR((INDEX(METADATA!$T$2:$T$20,MATCH(B2865,METADATA!$S$2:$S$20,0))),0)</f>
        <v>0</v>
      </c>
      <c r="E2865" s="312" t="str">
        <f t="shared" si="176"/>
        <v>LO</v>
      </c>
      <c r="F2865" s="369">
        <f>VLOOKUP(C2865,METADATA!$A$5:$H$29,IF(E2865="HI",2,IF(E2865="LO",6,10))+IF(D2865=1,2,IF(D2865=7,1,(IF(WEEKDAY(B2865)=1,2,IF(WEEKDAY(B2865)=7,1,0))))))</f>
        <v>3</v>
      </c>
      <c r="G2865" s="369">
        <f>VLOOKUP(C2865,METADATA!$J$5:$Q$29,IF(E2865="HI",2,IF(E2865="LO",6,10))+IF(D2865=1,2,IF(D2865=7,1,(IF(WEEKDAY(B2865)=1,2,IF(WEEKDAY(B2865)=7,1,0))))))</f>
        <v>3</v>
      </c>
      <c r="H2865" s="370">
        <v>13541.525268554688</v>
      </c>
      <c r="I2865" s="370">
        <v>4465.9400634765625</v>
      </c>
      <c r="M2865" s="371">
        <f t="shared" si="177"/>
        <v>14258.94551674387</v>
      </c>
      <c r="N2865" s="329">
        <f t="shared" si="178"/>
        <v>403.48248291015625</v>
      </c>
      <c r="T2865" s="331">
        <v>0</v>
      </c>
      <c r="U2865" s="328">
        <f>VLOOKUP(C2865,METADATA!$J$5:$Q$29,IF(E2865="HI",2,IF(E2865="LO",6,10))+IF(T2865=1,2,IF(D2865=7,1,(IF(WEEKDAY(B2865)=1,2,IF(WEEKDAY(B2865)=7,1,0))))))</f>
        <v>3</v>
      </c>
      <c r="V2865" s="328">
        <f>VLOOKUP(C2865,METADATA!$A$5:$H$29,IF(E2865="HI",2,IF(E2865="LO",6,10))+IF(T2865=1,2,IF(D2865=7,1,(IF(WEEKDAY(B2865)=1,2,IF(WEEKDAY(B2865)=7,1,0))))))</f>
        <v>3</v>
      </c>
    </row>
    <row r="2866" spans="2:22">
      <c r="B2866" s="318">
        <f t="shared" si="179"/>
        <v>46232</v>
      </c>
      <c r="C2866" s="312">
        <v>6</v>
      </c>
      <c r="D2866" s="368">
        <f>IFERROR((INDEX(METADATA!$T$2:$T$20,MATCH(B2866,METADATA!$S$2:$S$20,0))),0)</f>
        <v>0</v>
      </c>
      <c r="E2866" s="312" t="str">
        <f t="shared" si="176"/>
        <v>LO</v>
      </c>
      <c r="F2866" s="369">
        <f>VLOOKUP(C2866,METADATA!$A$5:$H$29,IF(E2866="HI",2,IF(E2866="LO",6,10))+IF(D2866=1,2,IF(D2866=7,1,(IF(WEEKDAY(B2866)=1,2,IF(WEEKDAY(B2866)=7,1,0))))))</f>
        <v>2</v>
      </c>
      <c r="G2866" s="369">
        <f>VLOOKUP(C2866,METADATA!$J$5:$Q$29,IF(E2866="HI",2,IF(E2866="LO",6,10))+IF(D2866=1,2,IF(D2866=7,1,(IF(WEEKDAY(B2866)=1,2,IF(WEEKDAY(B2866)=7,1,0))))))</f>
        <v>2</v>
      </c>
      <c r="H2866" s="370">
        <v>13536.999755859375</v>
      </c>
      <c r="I2866" s="370">
        <v>4353.4549560546875</v>
      </c>
      <c r="M2866" s="371">
        <f t="shared" si="177"/>
        <v>14219.807749914689</v>
      </c>
      <c r="N2866" s="329">
        <f t="shared" si="178"/>
        <v>292.35502929687527</v>
      </c>
      <c r="T2866" s="331">
        <v>0</v>
      </c>
      <c r="U2866" s="328">
        <f>VLOOKUP(C2866,METADATA!$J$5:$Q$29,IF(E2866="HI",2,IF(E2866="LO",6,10))+IF(T2866=1,2,IF(D2866=7,1,(IF(WEEKDAY(B2866)=1,2,IF(WEEKDAY(B2866)=7,1,0))))))</f>
        <v>2</v>
      </c>
      <c r="V2866" s="328">
        <f>VLOOKUP(C2866,METADATA!$A$5:$H$29,IF(E2866="HI",2,IF(E2866="LO",6,10))+IF(T2866=1,2,IF(D2866=7,1,(IF(WEEKDAY(B2866)=1,2,IF(WEEKDAY(B2866)=7,1,0))))))</f>
        <v>2</v>
      </c>
    </row>
    <row r="2867" spans="2:22">
      <c r="B2867" s="318">
        <f t="shared" si="179"/>
        <v>46232</v>
      </c>
      <c r="C2867" s="312">
        <v>7</v>
      </c>
      <c r="D2867" s="368">
        <f>IFERROR((INDEX(METADATA!$T$2:$T$20,MATCH(B2867,METADATA!$S$2:$S$20,0))),0)</f>
        <v>0</v>
      </c>
      <c r="E2867" s="312" t="str">
        <f t="shared" si="176"/>
        <v>LO</v>
      </c>
      <c r="F2867" s="369">
        <f>VLOOKUP(C2867,METADATA!$A$5:$H$29,IF(E2867="HI",2,IF(E2867="LO",6,10))+IF(D2867=1,2,IF(D2867=7,1,(IF(WEEKDAY(B2867)=1,2,IF(WEEKDAY(B2867)=7,1,0))))))</f>
        <v>1</v>
      </c>
      <c r="G2867" s="369">
        <f>VLOOKUP(C2867,METADATA!$J$5:$Q$29,IF(E2867="HI",2,IF(E2867="LO",6,10))+IF(D2867=1,2,IF(D2867=7,1,(IF(WEEKDAY(B2867)=1,2,IF(WEEKDAY(B2867)=7,1,0))))))</f>
        <v>1</v>
      </c>
      <c r="H2867" s="370">
        <v>13685.675170898438</v>
      </c>
      <c r="I2867" s="370">
        <v>4497.4700012207031</v>
      </c>
      <c r="M2867" s="371">
        <f t="shared" si="177"/>
        <v>14405.725989870351</v>
      </c>
      <c r="N2867" s="329">
        <f t="shared" si="178"/>
        <v>391.76744995117224</v>
      </c>
      <c r="T2867" s="331">
        <v>0</v>
      </c>
      <c r="U2867" s="328">
        <f>VLOOKUP(C2867,METADATA!$J$5:$Q$29,IF(E2867="HI",2,IF(E2867="LO",6,10))+IF(T2867=1,2,IF(D2867=7,1,(IF(WEEKDAY(B2867)=1,2,IF(WEEKDAY(B2867)=7,1,0))))))</f>
        <v>1</v>
      </c>
      <c r="V2867" s="328">
        <f>VLOOKUP(C2867,METADATA!$A$5:$H$29,IF(E2867="HI",2,IF(E2867="LO",6,10))+IF(T2867=1,2,IF(D2867=7,1,(IF(WEEKDAY(B2867)=1,2,IF(WEEKDAY(B2867)=7,1,0))))))</f>
        <v>1</v>
      </c>
    </row>
    <row r="2868" spans="2:22">
      <c r="B2868" s="318">
        <f t="shared" si="179"/>
        <v>46232</v>
      </c>
      <c r="C2868" s="312">
        <v>8</v>
      </c>
      <c r="D2868" s="368">
        <f>IFERROR((INDEX(METADATA!$T$2:$T$20,MATCH(B2868,METADATA!$S$2:$S$20,0))),0)</f>
        <v>0</v>
      </c>
      <c r="E2868" s="312" t="str">
        <f t="shared" si="176"/>
        <v>LO</v>
      </c>
      <c r="F2868" s="369">
        <f>VLOOKUP(C2868,METADATA!$A$5:$H$29,IF(E2868="HI",2,IF(E2868="LO",6,10))+IF(D2868=1,2,IF(D2868=7,1,(IF(WEEKDAY(B2868)=1,2,IF(WEEKDAY(B2868)=7,1,0))))))</f>
        <v>1</v>
      </c>
      <c r="G2868" s="369">
        <f>VLOOKUP(C2868,METADATA!$J$5:$Q$29,IF(E2868="HI",2,IF(E2868="LO",6,10))+IF(D2868=1,2,IF(D2868=7,1,(IF(WEEKDAY(B2868)=1,2,IF(WEEKDAY(B2868)=7,1,0))))))</f>
        <v>1</v>
      </c>
      <c r="H2868" s="370">
        <v>13938.775024414063</v>
      </c>
      <c r="I2868" s="370">
        <v>4644.3200988769531</v>
      </c>
      <c r="M2868" s="371">
        <f t="shared" si="177"/>
        <v>14692.146145545303</v>
      </c>
      <c r="N2868" s="329">
        <f t="shared" si="178"/>
        <v>462.68759155273438</v>
      </c>
      <c r="T2868" s="331">
        <v>0</v>
      </c>
      <c r="U2868" s="328">
        <f>VLOOKUP(C2868,METADATA!$J$5:$Q$29,IF(E2868="HI",2,IF(E2868="LO",6,10))+IF(T2868=1,2,IF(D2868=7,1,(IF(WEEKDAY(B2868)=1,2,IF(WEEKDAY(B2868)=7,1,0))))))</f>
        <v>1</v>
      </c>
      <c r="V2868" s="328">
        <f>VLOOKUP(C2868,METADATA!$A$5:$H$29,IF(E2868="HI",2,IF(E2868="LO",6,10))+IF(T2868=1,2,IF(D2868=7,1,(IF(WEEKDAY(B2868)=1,2,IF(WEEKDAY(B2868)=7,1,0))))))</f>
        <v>1</v>
      </c>
    </row>
    <row r="2869" spans="2:22">
      <c r="B2869" s="318">
        <f t="shared" si="179"/>
        <v>46232</v>
      </c>
      <c r="C2869" s="312">
        <v>9</v>
      </c>
      <c r="D2869" s="368">
        <f>IFERROR((INDEX(METADATA!$T$2:$T$20,MATCH(B2869,METADATA!$S$2:$S$20,0))),0)</f>
        <v>0</v>
      </c>
      <c r="E2869" s="312" t="str">
        <f t="shared" si="176"/>
        <v>LO</v>
      </c>
      <c r="F2869" s="369">
        <f>VLOOKUP(C2869,METADATA!$A$5:$H$29,IF(E2869="HI",2,IF(E2869="LO",6,10))+IF(D2869=1,2,IF(D2869=7,1,(IF(WEEKDAY(B2869)=1,2,IF(WEEKDAY(B2869)=7,1,0))))))</f>
        <v>2</v>
      </c>
      <c r="G2869" s="369">
        <f>VLOOKUP(C2869,METADATA!$J$5:$Q$29,IF(E2869="HI",2,IF(E2869="LO",6,10))+IF(D2869=1,2,IF(D2869=7,1,(IF(WEEKDAY(B2869)=1,2,IF(WEEKDAY(B2869)=7,1,0))))))</f>
        <v>2</v>
      </c>
      <c r="H2869" s="370">
        <v>12899.450073242188</v>
      </c>
      <c r="I2869" s="370">
        <v>4067.20751953125</v>
      </c>
      <c r="M2869" s="371">
        <f t="shared" si="177"/>
        <v>13525.45707911564</v>
      </c>
      <c r="N2869" s="329">
        <f t="shared" si="178"/>
        <v>197.37249755859375</v>
      </c>
      <c r="T2869" s="331">
        <v>0</v>
      </c>
      <c r="U2869" s="328">
        <f>VLOOKUP(C2869,METADATA!$J$5:$Q$29,IF(E2869="HI",2,IF(E2869="LO",6,10))+IF(T2869=1,2,IF(D2869=7,1,(IF(WEEKDAY(B2869)=1,2,IF(WEEKDAY(B2869)=7,1,0))))))</f>
        <v>2</v>
      </c>
      <c r="V2869" s="328">
        <f>VLOOKUP(C2869,METADATA!$A$5:$H$29,IF(E2869="HI",2,IF(E2869="LO",6,10))+IF(T2869=1,2,IF(D2869=7,1,(IF(WEEKDAY(B2869)=1,2,IF(WEEKDAY(B2869)=7,1,0))))))</f>
        <v>2</v>
      </c>
    </row>
    <row r="2870" spans="2:22">
      <c r="B2870" s="318">
        <f t="shared" si="179"/>
        <v>46232</v>
      </c>
      <c r="C2870" s="312">
        <v>10</v>
      </c>
      <c r="D2870" s="368">
        <f>IFERROR((INDEX(METADATA!$T$2:$T$20,MATCH(B2870,METADATA!$S$2:$S$20,0))),0)</f>
        <v>0</v>
      </c>
      <c r="E2870" s="312" t="str">
        <f t="shared" si="176"/>
        <v>LO</v>
      </c>
      <c r="F2870" s="369">
        <f>VLOOKUP(C2870,METADATA!$A$5:$H$29,IF(E2870="HI",2,IF(E2870="LO",6,10))+IF(D2870=1,2,IF(D2870=7,1,(IF(WEEKDAY(B2870)=1,2,IF(WEEKDAY(B2870)=7,1,0))))))</f>
        <v>2</v>
      </c>
      <c r="G2870" s="369">
        <f>VLOOKUP(C2870,METADATA!$J$5:$Q$29,IF(E2870="HI",2,IF(E2870="LO",6,10))+IF(D2870=1,2,IF(D2870=7,1,(IF(WEEKDAY(B2870)=1,2,IF(WEEKDAY(B2870)=7,1,0))))))</f>
        <v>2</v>
      </c>
      <c r="H2870" s="370">
        <v>11291.122589111328</v>
      </c>
      <c r="I2870" s="370">
        <v>2970.5800170898438</v>
      </c>
      <c r="M2870" s="371">
        <f t="shared" si="177"/>
        <v>11675.349885989439</v>
      </c>
      <c r="N2870" s="329">
        <f t="shared" si="178"/>
        <v>0</v>
      </c>
      <c r="T2870" s="331">
        <v>0</v>
      </c>
      <c r="U2870" s="328">
        <f>VLOOKUP(C2870,METADATA!$J$5:$Q$29,IF(E2870="HI",2,IF(E2870="LO",6,10))+IF(T2870=1,2,IF(D2870=7,1,(IF(WEEKDAY(B2870)=1,2,IF(WEEKDAY(B2870)=7,1,0))))))</f>
        <v>2</v>
      </c>
      <c r="V2870" s="328">
        <f>VLOOKUP(C2870,METADATA!$A$5:$H$29,IF(E2870="HI",2,IF(E2870="LO",6,10))+IF(T2870=1,2,IF(D2870=7,1,(IF(WEEKDAY(B2870)=1,2,IF(WEEKDAY(B2870)=7,1,0))))))</f>
        <v>2</v>
      </c>
    </row>
    <row r="2871" spans="2:22">
      <c r="B2871" s="318">
        <f t="shared" si="179"/>
        <v>46232</v>
      </c>
      <c r="C2871" s="312">
        <v>11</v>
      </c>
      <c r="D2871" s="368">
        <f>IFERROR((INDEX(METADATA!$T$2:$T$20,MATCH(B2871,METADATA!$S$2:$S$20,0))),0)</f>
        <v>0</v>
      </c>
      <c r="E2871" s="312" t="str">
        <f t="shared" si="176"/>
        <v>LO</v>
      </c>
      <c r="F2871" s="369">
        <f>VLOOKUP(C2871,METADATA!$A$5:$H$29,IF(E2871="HI",2,IF(E2871="LO",6,10))+IF(D2871=1,2,IF(D2871=7,1,(IF(WEEKDAY(B2871)=1,2,IF(WEEKDAY(B2871)=7,1,0))))))</f>
        <v>2</v>
      </c>
      <c r="G2871" s="369">
        <f>VLOOKUP(C2871,METADATA!$J$5:$Q$29,IF(E2871="HI",2,IF(E2871="LO",6,10))+IF(D2871=1,2,IF(D2871=7,1,(IF(WEEKDAY(B2871)=1,2,IF(WEEKDAY(B2871)=7,1,0))))))</f>
        <v>2</v>
      </c>
      <c r="H2871" s="370">
        <v>10537.680297851563</v>
      </c>
      <c r="I2871" s="370">
        <v>2427.3100128173828</v>
      </c>
      <c r="M2871" s="371">
        <f t="shared" si="177"/>
        <v>10813.627511526949</v>
      </c>
      <c r="N2871" s="329">
        <f t="shared" si="178"/>
        <v>0</v>
      </c>
      <c r="T2871" s="331">
        <v>0</v>
      </c>
      <c r="U2871" s="328">
        <f>VLOOKUP(C2871,METADATA!$J$5:$Q$29,IF(E2871="HI",2,IF(E2871="LO",6,10))+IF(T2871=1,2,IF(D2871=7,1,(IF(WEEKDAY(B2871)=1,2,IF(WEEKDAY(B2871)=7,1,0))))))</f>
        <v>2</v>
      </c>
      <c r="V2871" s="328">
        <f>VLOOKUP(C2871,METADATA!$A$5:$H$29,IF(E2871="HI",2,IF(E2871="LO",6,10))+IF(T2871=1,2,IF(D2871=7,1,(IF(WEEKDAY(B2871)=1,2,IF(WEEKDAY(B2871)=7,1,0))))))</f>
        <v>2</v>
      </c>
    </row>
    <row r="2872" spans="2:22">
      <c r="B2872" s="318">
        <f t="shared" si="179"/>
        <v>46232</v>
      </c>
      <c r="C2872" s="312">
        <v>12</v>
      </c>
      <c r="D2872" s="368">
        <f>IFERROR((INDEX(METADATA!$T$2:$T$20,MATCH(B2872,METADATA!$S$2:$S$20,0))),0)</f>
        <v>0</v>
      </c>
      <c r="E2872" s="312" t="str">
        <f t="shared" si="176"/>
        <v>LO</v>
      </c>
      <c r="F2872" s="369">
        <f>VLOOKUP(C2872,METADATA!$A$5:$H$29,IF(E2872="HI",2,IF(E2872="LO",6,10))+IF(D2872=1,2,IF(D2872=7,1,(IF(WEEKDAY(B2872)=1,2,IF(WEEKDAY(B2872)=7,1,0))))))</f>
        <v>2</v>
      </c>
      <c r="G2872" s="369">
        <f>VLOOKUP(C2872,METADATA!$J$5:$Q$29,IF(E2872="HI",2,IF(E2872="LO",6,10))+IF(D2872=1,2,IF(D2872=7,1,(IF(WEEKDAY(B2872)=1,2,IF(WEEKDAY(B2872)=7,1,0))))))</f>
        <v>2</v>
      </c>
      <c r="H2872" s="370">
        <v>10858.547332763672</v>
      </c>
      <c r="I2872" s="370">
        <v>2594.7375183105469</v>
      </c>
      <c r="M2872" s="371">
        <f t="shared" si="177"/>
        <v>11164.260520374712</v>
      </c>
      <c r="N2872" s="329">
        <f t="shared" si="178"/>
        <v>0</v>
      </c>
      <c r="T2872" s="331">
        <v>0</v>
      </c>
      <c r="U2872" s="328">
        <f>VLOOKUP(C2872,METADATA!$J$5:$Q$29,IF(E2872="HI",2,IF(E2872="LO",6,10))+IF(T2872=1,2,IF(D2872=7,1,(IF(WEEKDAY(B2872)=1,2,IF(WEEKDAY(B2872)=7,1,0))))))</f>
        <v>2</v>
      </c>
      <c r="V2872" s="328">
        <f>VLOOKUP(C2872,METADATA!$A$5:$H$29,IF(E2872="HI",2,IF(E2872="LO",6,10))+IF(T2872=1,2,IF(D2872=7,1,(IF(WEEKDAY(B2872)=1,2,IF(WEEKDAY(B2872)=7,1,0))))))</f>
        <v>2</v>
      </c>
    </row>
    <row r="2873" spans="2:22">
      <c r="B2873" s="318">
        <f t="shared" si="179"/>
        <v>46232</v>
      </c>
      <c r="C2873" s="312">
        <v>13</v>
      </c>
      <c r="D2873" s="368">
        <f>IFERROR((INDEX(METADATA!$T$2:$T$20,MATCH(B2873,METADATA!$S$2:$S$20,0))),0)</f>
        <v>0</v>
      </c>
      <c r="E2873" s="312" t="str">
        <f t="shared" si="176"/>
        <v>LO</v>
      </c>
      <c r="F2873" s="369">
        <f>VLOOKUP(C2873,METADATA!$A$5:$H$29,IF(E2873="HI",2,IF(E2873="LO",6,10))+IF(D2873=1,2,IF(D2873=7,1,(IF(WEEKDAY(B2873)=1,2,IF(WEEKDAY(B2873)=7,1,0))))))</f>
        <v>2</v>
      </c>
      <c r="G2873" s="369">
        <f>VLOOKUP(C2873,METADATA!$J$5:$Q$29,IF(E2873="HI",2,IF(E2873="LO",6,10))+IF(D2873=1,2,IF(D2873=7,1,(IF(WEEKDAY(B2873)=1,2,IF(WEEKDAY(B2873)=7,1,0))))))</f>
        <v>2</v>
      </c>
      <c r="H2873" s="370">
        <v>12539.424926757813</v>
      </c>
      <c r="I2873" s="370">
        <v>3505.2300262451172</v>
      </c>
      <c r="M2873" s="371">
        <f t="shared" si="177"/>
        <v>13020.131144911156</v>
      </c>
      <c r="N2873" s="329">
        <f t="shared" si="178"/>
        <v>0</v>
      </c>
      <c r="T2873" s="331">
        <v>0</v>
      </c>
      <c r="U2873" s="328">
        <f>VLOOKUP(C2873,METADATA!$J$5:$Q$29,IF(E2873="HI",2,IF(E2873="LO",6,10))+IF(T2873=1,2,IF(D2873=7,1,(IF(WEEKDAY(B2873)=1,2,IF(WEEKDAY(B2873)=7,1,0))))))</f>
        <v>2</v>
      </c>
      <c r="V2873" s="328">
        <f>VLOOKUP(C2873,METADATA!$A$5:$H$29,IF(E2873="HI",2,IF(E2873="LO",6,10))+IF(T2873=1,2,IF(D2873=7,1,(IF(WEEKDAY(B2873)=1,2,IF(WEEKDAY(B2873)=7,1,0))))))</f>
        <v>2</v>
      </c>
    </row>
    <row r="2874" spans="2:22">
      <c r="B2874" s="318">
        <f t="shared" si="179"/>
        <v>46232</v>
      </c>
      <c r="C2874" s="312">
        <v>14</v>
      </c>
      <c r="D2874" s="368">
        <f>IFERROR((INDEX(METADATA!$T$2:$T$20,MATCH(B2874,METADATA!$S$2:$S$20,0))),0)</f>
        <v>0</v>
      </c>
      <c r="E2874" s="312" t="str">
        <f t="shared" si="176"/>
        <v>LO</v>
      </c>
      <c r="F2874" s="369">
        <f>VLOOKUP(C2874,METADATA!$A$5:$H$29,IF(E2874="HI",2,IF(E2874="LO",6,10))+IF(D2874=1,2,IF(D2874=7,1,(IF(WEEKDAY(B2874)=1,2,IF(WEEKDAY(B2874)=7,1,0))))))</f>
        <v>2</v>
      </c>
      <c r="G2874" s="369">
        <f>VLOOKUP(C2874,METADATA!$J$5:$Q$29,IF(E2874="HI",2,IF(E2874="LO",6,10))+IF(D2874=1,2,IF(D2874=7,1,(IF(WEEKDAY(B2874)=1,2,IF(WEEKDAY(B2874)=7,1,0))))))</f>
        <v>2</v>
      </c>
      <c r="H2874" s="370">
        <v>12390.72509765625</v>
      </c>
      <c r="I2874" s="370">
        <v>3378.8149719238281</v>
      </c>
      <c r="M2874" s="371">
        <f t="shared" si="177"/>
        <v>12843.148331316006</v>
      </c>
      <c r="N2874" s="329">
        <f t="shared" si="178"/>
        <v>0</v>
      </c>
      <c r="T2874" s="331">
        <v>0</v>
      </c>
      <c r="U2874" s="328">
        <f>VLOOKUP(C2874,METADATA!$J$5:$Q$29,IF(E2874="HI",2,IF(E2874="LO",6,10))+IF(T2874=1,2,IF(D2874=7,1,(IF(WEEKDAY(B2874)=1,2,IF(WEEKDAY(B2874)=7,1,0))))))</f>
        <v>2</v>
      </c>
      <c r="V2874" s="328">
        <f>VLOOKUP(C2874,METADATA!$A$5:$H$29,IF(E2874="HI",2,IF(E2874="LO",6,10))+IF(T2874=1,2,IF(D2874=7,1,(IF(WEEKDAY(B2874)=1,2,IF(WEEKDAY(B2874)=7,1,0))))))</f>
        <v>2</v>
      </c>
    </row>
    <row r="2875" spans="2:22">
      <c r="B2875" s="318">
        <f t="shared" si="179"/>
        <v>46232</v>
      </c>
      <c r="C2875" s="312">
        <v>15</v>
      </c>
      <c r="D2875" s="368">
        <f>IFERROR((INDEX(METADATA!$T$2:$T$20,MATCH(B2875,METADATA!$S$2:$S$20,0))),0)</f>
        <v>0</v>
      </c>
      <c r="E2875" s="312" t="str">
        <f t="shared" si="176"/>
        <v>LO</v>
      </c>
      <c r="F2875" s="369">
        <f>VLOOKUP(C2875,METADATA!$A$5:$H$29,IF(E2875="HI",2,IF(E2875="LO",6,10))+IF(D2875=1,2,IF(D2875=7,1,(IF(WEEKDAY(B2875)=1,2,IF(WEEKDAY(B2875)=7,1,0))))))</f>
        <v>2</v>
      </c>
      <c r="G2875" s="369">
        <f>VLOOKUP(C2875,METADATA!$J$5:$Q$29,IF(E2875="HI",2,IF(E2875="LO",6,10))+IF(D2875=1,2,IF(D2875=7,1,(IF(WEEKDAY(B2875)=1,2,IF(WEEKDAY(B2875)=7,1,0))))))</f>
        <v>2</v>
      </c>
      <c r="H2875" s="370">
        <v>13389.899780273438</v>
      </c>
      <c r="I2875" s="370">
        <v>4350.1999206542969</v>
      </c>
      <c r="M2875" s="371">
        <f t="shared" si="177"/>
        <v>14078.837149261557</v>
      </c>
      <c r="N2875" s="329">
        <f t="shared" si="178"/>
        <v>333.22998657226572</v>
      </c>
      <c r="T2875" s="331">
        <v>0</v>
      </c>
      <c r="U2875" s="328">
        <f>VLOOKUP(C2875,METADATA!$J$5:$Q$29,IF(E2875="HI",2,IF(E2875="LO",6,10))+IF(T2875=1,2,IF(D2875=7,1,(IF(WEEKDAY(B2875)=1,2,IF(WEEKDAY(B2875)=7,1,0))))))</f>
        <v>2</v>
      </c>
      <c r="V2875" s="328">
        <f>VLOOKUP(C2875,METADATA!$A$5:$H$29,IF(E2875="HI",2,IF(E2875="LO",6,10))+IF(T2875=1,2,IF(D2875=7,1,(IF(WEEKDAY(B2875)=1,2,IF(WEEKDAY(B2875)=7,1,0))))))</f>
        <v>2</v>
      </c>
    </row>
    <row r="2876" spans="2:22">
      <c r="B2876" s="318">
        <f t="shared" si="179"/>
        <v>46232</v>
      </c>
      <c r="C2876" s="312">
        <v>16</v>
      </c>
      <c r="D2876" s="368">
        <f>IFERROR((INDEX(METADATA!$T$2:$T$20,MATCH(B2876,METADATA!$S$2:$S$20,0))),0)</f>
        <v>0</v>
      </c>
      <c r="E2876" s="312" t="str">
        <f t="shared" si="176"/>
        <v>LO</v>
      </c>
      <c r="F2876" s="369">
        <f>VLOOKUP(C2876,METADATA!$A$5:$H$29,IF(E2876="HI",2,IF(E2876="LO",6,10))+IF(D2876=1,2,IF(D2876=7,1,(IF(WEEKDAY(B2876)=1,2,IF(WEEKDAY(B2876)=7,1,0))))))</f>
        <v>2</v>
      </c>
      <c r="G2876" s="369">
        <f>VLOOKUP(C2876,METADATA!$J$5:$Q$29,IF(E2876="HI",2,IF(E2876="LO",6,10))+IF(D2876=1,2,IF(D2876=7,1,(IF(WEEKDAY(B2876)=1,2,IF(WEEKDAY(B2876)=7,1,0))))))</f>
        <v>2</v>
      </c>
      <c r="H2876" s="370">
        <v>13633.274963378906</v>
      </c>
      <c r="I2876" s="370">
        <v>4639.2498168945313</v>
      </c>
      <c r="M2876" s="371">
        <f t="shared" si="177"/>
        <v>14401.000836422796</v>
      </c>
      <c r="N2876" s="329">
        <f t="shared" si="178"/>
        <v>549.26732788085974</v>
      </c>
      <c r="T2876" s="331">
        <v>0</v>
      </c>
      <c r="U2876" s="328">
        <f>VLOOKUP(C2876,METADATA!$J$5:$Q$29,IF(E2876="HI",2,IF(E2876="LO",6,10))+IF(T2876=1,2,IF(D2876=7,1,(IF(WEEKDAY(B2876)=1,2,IF(WEEKDAY(B2876)=7,1,0))))))</f>
        <v>2</v>
      </c>
      <c r="V2876" s="328">
        <f>VLOOKUP(C2876,METADATA!$A$5:$H$29,IF(E2876="HI",2,IF(E2876="LO",6,10))+IF(T2876=1,2,IF(D2876=7,1,(IF(WEEKDAY(B2876)=1,2,IF(WEEKDAY(B2876)=7,1,0))))))</f>
        <v>2</v>
      </c>
    </row>
    <row r="2877" spans="2:22">
      <c r="B2877" s="318">
        <f t="shared" si="179"/>
        <v>46232</v>
      </c>
      <c r="C2877" s="312">
        <v>17</v>
      </c>
      <c r="D2877" s="368">
        <f>IFERROR((INDEX(METADATA!$T$2:$T$20,MATCH(B2877,METADATA!$S$2:$S$20,0))),0)</f>
        <v>0</v>
      </c>
      <c r="E2877" s="312" t="str">
        <f t="shared" si="176"/>
        <v>LO</v>
      </c>
      <c r="F2877" s="369">
        <f>VLOOKUP(C2877,METADATA!$A$5:$H$29,IF(E2877="HI",2,IF(E2877="LO",6,10))+IF(D2877=1,2,IF(D2877=7,1,(IF(WEEKDAY(B2877)=1,2,IF(WEEKDAY(B2877)=7,1,0))))))</f>
        <v>2</v>
      </c>
      <c r="G2877" s="369">
        <f>VLOOKUP(C2877,METADATA!$J$5:$Q$29,IF(E2877="HI",2,IF(E2877="LO",6,10))+IF(D2877=1,2,IF(D2877=7,1,(IF(WEEKDAY(B2877)=1,2,IF(WEEKDAY(B2877)=7,1,0))))))</f>
        <v>2</v>
      </c>
      <c r="H2877" s="370">
        <v>13418.350463867188</v>
      </c>
      <c r="I2877" s="370">
        <v>4518.9499816894531</v>
      </c>
      <c r="M2877" s="371">
        <f t="shared" si="177"/>
        <v>14158.850168999454</v>
      </c>
      <c r="N2877" s="329">
        <f t="shared" si="178"/>
        <v>493.44484252929715</v>
      </c>
      <c r="T2877" s="331">
        <v>0</v>
      </c>
      <c r="U2877" s="328">
        <f>VLOOKUP(C2877,METADATA!$J$5:$Q$29,IF(E2877="HI",2,IF(E2877="LO",6,10))+IF(T2877=1,2,IF(D2877=7,1,(IF(WEEKDAY(B2877)=1,2,IF(WEEKDAY(B2877)=7,1,0))))))</f>
        <v>2</v>
      </c>
      <c r="V2877" s="328">
        <f>VLOOKUP(C2877,METADATA!$A$5:$H$29,IF(E2877="HI",2,IF(E2877="LO",6,10))+IF(T2877=1,2,IF(D2877=7,1,(IF(WEEKDAY(B2877)=1,2,IF(WEEKDAY(B2877)=7,1,0))))))</f>
        <v>2</v>
      </c>
    </row>
    <row r="2878" spans="2:22">
      <c r="B2878" s="318">
        <f t="shared" si="179"/>
        <v>46232</v>
      </c>
      <c r="C2878" s="312">
        <v>18</v>
      </c>
      <c r="D2878" s="368">
        <f>IFERROR((INDEX(METADATA!$T$2:$T$20,MATCH(B2878,METADATA!$S$2:$S$20,0))),0)</f>
        <v>0</v>
      </c>
      <c r="E2878" s="312" t="str">
        <f t="shared" si="176"/>
        <v>LO</v>
      </c>
      <c r="F2878" s="369">
        <f>VLOOKUP(C2878,METADATA!$A$5:$H$29,IF(E2878="HI",2,IF(E2878="LO",6,10))+IF(D2878=1,2,IF(D2878=7,1,(IF(WEEKDAY(B2878)=1,2,IF(WEEKDAY(B2878)=7,1,0))))))</f>
        <v>1</v>
      </c>
      <c r="G2878" s="369">
        <f>VLOOKUP(C2878,METADATA!$J$5:$Q$29,IF(E2878="HI",2,IF(E2878="LO",6,10))+IF(D2878=1,2,IF(D2878=7,1,(IF(WEEKDAY(B2878)=1,2,IF(WEEKDAY(B2878)=7,1,0))))))</f>
        <v>1</v>
      </c>
      <c r="H2878" s="370">
        <v>13554.324829101563</v>
      </c>
      <c r="I2878" s="370">
        <v>4435.3049011230469</v>
      </c>
      <c r="M2878" s="371">
        <f t="shared" si="177"/>
        <v>14261.544486440633</v>
      </c>
      <c r="N2878" s="329">
        <f t="shared" si="178"/>
        <v>369.00745239257822</v>
      </c>
      <c r="T2878" s="331">
        <v>0</v>
      </c>
      <c r="U2878" s="328">
        <f>VLOOKUP(C2878,METADATA!$J$5:$Q$29,IF(E2878="HI",2,IF(E2878="LO",6,10))+IF(T2878=1,2,IF(D2878=7,1,(IF(WEEKDAY(B2878)=1,2,IF(WEEKDAY(B2878)=7,1,0))))))</f>
        <v>1</v>
      </c>
      <c r="V2878" s="328">
        <f>VLOOKUP(C2878,METADATA!$A$5:$H$29,IF(E2878="HI",2,IF(E2878="LO",6,10))+IF(T2878=1,2,IF(D2878=7,1,(IF(WEEKDAY(B2878)=1,2,IF(WEEKDAY(B2878)=7,1,0))))))</f>
        <v>1</v>
      </c>
    </row>
    <row r="2879" spans="2:22">
      <c r="B2879" s="318">
        <f t="shared" si="179"/>
        <v>46232</v>
      </c>
      <c r="C2879" s="312">
        <v>19</v>
      </c>
      <c r="D2879" s="368">
        <f>IFERROR((INDEX(METADATA!$T$2:$T$20,MATCH(B2879,METADATA!$S$2:$S$20,0))),0)</f>
        <v>0</v>
      </c>
      <c r="E2879" s="312" t="str">
        <f t="shared" si="176"/>
        <v>LO</v>
      </c>
      <c r="F2879" s="369">
        <f>VLOOKUP(C2879,METADATA!$A$5:$H$29,IF(E2879="HI",2,IF(E2879="LO",6,10))+IF(D2879=1,2,IF(D2879=7,1,(IF(WEEKDAY(B2879)=1,2,IF(WEEKDAY(B2879)=7,1,0))))))</f>
        <v>1</v>
      </c>
      <c r="G2879" s="369">
        <f>VLOOKUP(C2879,METADATA!$J$5:$Q$29,IF(E2879="HI",2,IF(E2879="LO",6,10))+IF(D2879=1,2,IF(D2879=7,1,(IF(WEEKDAY(B2879)=1,2,IF(WEEKDAY(B2879)=7,1,0))))))</f>
        <v>1</v>
      </c>
      <c r="H2879" s="370">
        <v>13866.300109863281</v>
      </c>
      <c r="I2879" s="370">
        <v>4730.5750122070313</v>
      </c>
      <c r="M2879" s="371">
        <f t="shared" si="177"/>
        <v>14651.027905335242</v>
      </c>
      <c r="N2879" s="329">
        <f t="shared" si="178"/>
        <v>570.68497924804706</v>
      </c>
      <c r="T2879" s="331">
        <v>0</v>
      </c>
      <c r="U2879" s="328">
        <f>VLOOKUP(C2879,METADATA!$J$5:$Q$29,IF(E2879="HI",2,IF(E2879="LO",6,10))+IF(T2879=1,2,IF(D2879=7,1,(IF(WEEKDAY(B2879)=1,2,IF(WEEKDAY(B2879)=7,1,0))))))</f>
        <v>1</v>
      </c>
      <c r="V2879" s="328">
        <f>VLOOKUP(C2879,METADATA!$A$5:$H$29,IF(E2879="HI",2,IF(E2879="LO",6,10))+IF(T2879=1,2,IF(D2879=7,1,(IF(WEEKDAY(B2879)=1,2,IF(WEEKDAY(B2879)=7,1,0))))))</f>
        <v>1</v>
      </c>
    </row>
    <row r="2880" spans="2:22">
      <c r="B2880" s="318">
        <f t="shared" si="179"/>
        <v>46232</v>
      </c>
      <c r="C2880" s="312">
        <v>20</v>
      </c>
      <c r="D2880" s="368">
        <f>IFERROR((INDEX(METADATA!$T$2:$T$20,MATCH(B2880,METADATA!$S$2:$S$20,0))),0)</f>
        <v>0</v>
      </c>
      <c r="E2880" s="312" t="str">
        <f t="shared" si="176"/>
        <v>LO</v>
      </c>
      <c r="F2880" s="369">
        <f>VLOOKUP(C2880,METADATA!$A$5:$H$29,IF(E2880="HI",2,IF(E2880="LO",6,10))+IF(D2880=1,2,IF(D2880=7,1,(IF(WEEKDAY(B2880)=1,2,IF(WEEKDAY(B2880)=7,1,0))))))</f>
        <v>1</v>
      </c>
      <c r="G2880" s="369">
        <f>VLOOKUP(C2880,METADATA!$J$5:$Q$29,IF(E2880="HI",2,IF(E2880="LO",6,10))+IF(D2880=1,2,IF(D2880=7,1,(IF(WEEKDAY(B2880)=1,2,IF(WEEKDAY(B2880)=7,1,0))))))</f>
        <v>1</v>
      </c>
      <c r="H2880" s="370">
        <v>13798.900268554688</v>
      </c>
      <c r="I2880" s="370">
        <v>4788.2499389648438</v>
      </c>
      <c r="M2880" s="371">
        <f t="shared" si="177"/>
        <v>14606.059910171374</v>
      </c>
      <c r="N2880" s="329">
        <f t="shared" si="178"/>
        <v>648.57985839843786</v>
      </c>
      <c r="T2880" s="331">
        <v>0</v>
      </c>
      <c r="U2880" s="328">
        <f>VLOOKUP(C2880,METADATA!$J$5:$Q$29,IF(E2880="HI",2,IF(E2880="LO",6,10))+IF(T2880=1,2,IF(D2880=7,1,(IF(WEEKDAY(B2880)=1,2,IF(WEEKDAY(B2880)=7,1,0))))))</f>
        <v>1</v>
      </c>
      <c r="V2880" s="328">
        <f>VLOOKUP(C2880,METADATA!$A$5:$H$29,IF(E2880="HI",2,IF(E2880="LO",6,10))+IF(T2880=1,2,IF(D2880=7,1,(IF(WEEKDAY(B2880)=1,2,IF(WEEKDAY(B2880)=7,1,0))))))</f>
        <v>1</v>
      </c>
    </row>
    <row r="2881" spans="2:22">
      <c r="B2881" s="318">
        <f t="shared" si="179"/>
        <v>46232</v>
      </c>
      <c r="C2881" s="312">
        <v>21</v>
      </c>
      <c r="D2881" s="368">
        <f>IFERROR((INDEX(METADATA!$T$2:$T$20,MATCH(B2881,METADATA!$S$2:$S$20,0))),0)</f>
        <v>0</v>
      </c>
      <c r="E2881" s="312" t="str">
        <f t="shared" si="176"/>
        <v>LO</v>
      </c>
      <c r="F2881" s="369">
        <f>VLOOKUP(C2881,METADATA!$A$5:$H$29,IF(E2881="HI",2,IF(E2881="LO",6,10))+IF(D2881=1,2,IF(D2881=7,1,(IF(WEEKDAY(B2881)=1,2,IF(WEEKDAY(B2881)=7,1,0))))))</f>
        <v>2</v>
      </c>
      <c r="G2881" s="369">
        <f>VLOOKUP(C2881,METADATA!$J$5:$Q$29,IF(E2881="HI",2,IF(E2881="LO",6,10))+IF(D2881=1,2,IF(D2881=7,1,(IF(WEEKDAY(B2881)=1,2,IF(WEEKDAY(B2881)=7,1,0))))))</f>
        <v>2</v>
      </c>
      <c r="H2881" s="370">
        <v>13842.049743652344</v>
      </c>
      <c r="I2881" s="370">
        <v>4770.7750244140625</v>
      </c>
      <c r="M2881" s="371">
        <f t="shared" si="177"/>
        <v>14641.128216067193</v>
      </c>
      <c r="N2881" s="329">
        <f t="shared" si="178"/>
        <v>618.16010131835992</v>
      </c>
      <c r="T2881" s="331">
        <v>0</v>
      </c>
      <c r="U2881" s="328">
        <f>VLOOKUP(C2881,METADATA!$J$5:$Q$29,IF(E2881="HI",2,IF(E2881="LO",6,10))+IF(T2881=1,2,IF(D2881=7,1,(IF(WEEKDAY(B2881)=1,2,IF(WEEKDAY(B2881)=7,1,0))))))</f>
        <v>2</v>
      </c>
      <c r="V2881" s="328">
        <f>VLOOKUP(C2881,METADATA!$A$5:$H$29,IF(E2881="HI",2,IF(E2881="LO",6,10))+IF(T2881=1,2,IF(D2881=7,1,(IF(WEEKDAY(B2881)=1,2,IF(WEEKDAY(B2881)=7,1,0))))))</f>
        <v>2</v>
      </c>
    </row>
    <row r="2882" spans="2:22">
      <c r="B2882" s="318">
        <f t="shared" si="179"/>
        <v>46232</v>
      </c>
      <c r="C2882" s="312">
        <v>22</v>
      </c>
      <c r="D2882" s="368">
        <f>IFERROR((INDEX(METADATA!$T$2:$T$20,MATCH(B2882,METADATA!$S$2:$S$20,0))),0)</f>
        <v>0</v>
      </c>
      <c r="E2882" s="312" t="str">
        <f t="shared" si="176"/>
        <v>LO</v>
      </c>
      <c r="F2882" s="369">
        <f>VLOOKUP(C2882,METADATA!$A$5:$H$29,IF(E2882="HI",2,IF(E2882="LO",6,10))+IF(D2882=1,2,IF(D2882=7,1,(IF(WEEKDAY(B2882)=1,2,IF(WEEKDAY(B2882)=7,1,0))))))</f>
        <v>3</v>
      </c>
      <c r="G2882" s="369">
        <f>VLOOKUP(C2882,METADATA!$J$5:$Q$29,IF(E2882="HI",2,IF(E2882="LO",6,10))+IF(D2882=1,2,IF(D2882=7,1,(IF(WEEKDAY(B2882)=1,2,IF(WEEKDAY(B2882)=7,1,0))))))</f>
        <v>3</v>
      </c>
      <c r="H2882" s="370">
        <v>13674.875061035156</v>
      </c>
      <c r="I2882" s="370">
        <v>4658.2499084472656</v>
      </c>
      <c r="M2882" s="371">
        <f t="shared" si="177"/>
        <v>14446.504772590159</v>
      </c>
      <c r="N2882" s="329">
        <f t="shared" si="178"/>
        <v>555.7873901367193</v>
      </c>
      <c r="T2882" s="331">
        <v>0</v>
      </c>
      <c r="U2882" s="328">
        <f>VLOOKUP(C2882,METADATA!$J$5:$Q$29,IF(E2882="HI",2,IF(E2882="LO",6,10))+IF(T2882=1,2,IF(D2882=7,1,(IF(WEEKDAY(B2882)=1,2,IF(WEEKDAY(B2882)=7,1,0))))))</f>
        <v>3</v>
      </c>
      <c r="V2882" s="328">
        <f>VLOOKUP(C2882,METADATA!$A$5:$H$29,IF(E2882="HI",2,IF(E2882="LO",6,10))+IF(T2882=1,2,IF(D2882=7,1,(IF(WEEKDAY(B2882)=1,2,IF(WEEKDAY(B2882)=7,1,0))))))</f>
        <v>3</v>
      </c>
    </row>
    <row r="2883" spans="2:22">
      <c r="B2883" s="318">
        <f t="shared" si="179"/>
        <v>46232</v>
      </c>
      <c r="C2883" s="312">
        <v>23</v>
      </c>
      <c r="D2883" s="368">
        <f>IFERROR((INDEX(METADATA!$T$2:$T$20,MATCH(B2883,METADATA!$S$2:$S$20,0))),0)</f>
        <v>0</v>
      </c>
      <c r="E2883" s="312" t="str">
        <f t="shared" si="176"/>
        <v>LO</v>
      </c>
      <c r="F2883" s="369">
        <f>VLOOKUP(C2883,METADATA!$A$5:$H$29,IF(E2883="HI",2,IF(E2883="LO",6,10))+IF(D2883=1,2,IF(D2883=7,1,(IF(WEEKDAY(B2883)=1,2,IF(WEEKDAY(B2883)=7,1,0))))))</f>
        <v>3</v>
      </c>
      <c r="G2883" s="369">
        <f>VLOOKUP(C2883,METADATA!$J$5:$Q$29,IF(E2883="HI",2,IF(E2883="LO",6,10))+IF(D2883=1,2,IF(D2883=7,1,(IF(WEEKDAY(B2883)=1,2,IF(WEEKDAY(B2883)=7,1,0))))))</f>
        <v>3</v>
      </c>
      <c r="H2883" s="370">
        <v>13684.199890136719</v>
      </c>
      <c r="I2883" s="370">
        <v>4665.2750244140625</v>
      </c>
      <c r="M2883" s="371">
        <f t="shared" si="177"/>
        <v>14457.597230751708</v>
      </c>
      <c r="N2883" s="329">
        <f t="shared" si="178"/>
        <v>560.01505737304706</v>
      </c>
      <c r="T2883" s="331">
        <v>0</v>
      </c>
      <c r="U2883" s="328">
        <f>VLOOKUP(C2883,METADATA!$J$5:$Q$29,IF(E2883="HI",2,IF(E2883="LO",6,10))+IF(T2883=1,2,IF(D2883=7,1,(IF(WEEKDAY(B2883)=1,2,IF(WEEKDAY(B2883)=7,1,0))))))</f>
        <v>3</v>
      </c>
      <c r="V2883" s="328">
        <f>VLOOKUP(C2883,METADATA!$A$5:$H$29,IF(E2883="HI",2,IF(E2883="LO",6,10))+IF(T2883=1,2,IF(D2883=7,1,(IF(WEEKDAY(B2883)=1,2,IF(WEEKDAY(B2883)=7,1,0))))))</f>
        <v>3</v>
      </c>
    </row>
    <row r="2884" spans="2:22">
      <c r="B2884" s="318">
        <f t="shared" si="179"/>
        <v>46233</v>
      </c>
      <c r="C2884" s="312">
        <v>0</v>
      </c>
      <c r="D2884" s="368">
        <f>IFERROR((INDEX(METADATA!$T$2:$T$20,MATCH(B2884,METADATA!$S$2:$S$20,0))),0)</f>
        <v>0</v>
      </c>
      <c r="E2884" s="312" t="str">
        <f t="shared" ref="E2884:E2947" si="180">IF(B2884="","",IF(AND(MONTH(B2884)&gt;=MONTH($Z$9),MONTH(B2884)&lt;=MONTH($Z$11)),"HI","LO"))</f>
        <v>LO</v>
      </c>
      <c r="F2884" s="369">
        <f>VLOOKUP(C2884,METADATA!$A$5:$H$29,IF(E2884="HI",2,IF(E2884="LO",6,10))+IF(D2884=1,2,IF(D2884=7,1,(IF(WEEKDAY(B2884)=1,2,IF(WEEKDAY(B2884)=7,1,0))))))</f>
        <v>3</v>
      </c>
      <c r="G2884" s="369">
        <f>VLOOKUP(C2884,METADATA!$J$5:$Q$29,IF(E2884="HI",2,IF(E2884="LO",6,10))+IF(D2884=1,2,IF(D2884=7,1,(IF(WEEKDAY(B2884)=1,2,IF(WEEKDAY(B2884)=7,1,0))))))</f>
        <v>3</v>
      </c>
      <c r="H2884" s="370">
        <v>13784.000122070313</v>
      </c>
      <c r="I2884" s="370">
        <v>4760.0499877929688</v>
      </c>
      <c r="M2884" s="371">
        <f t="shared" ref="M2884:M2947" si="181">SQRT(H2884^2+I2884^2)</f>
        <v>14582.75472095455</v>
      </c>
      <c r="N2884" s="329">
        <f t="shared" ref="N2884:N2947" si="182">IF(H2884=0,0,(IF(I2884-(0.3*H2884)&lt;0,0,(I2884-(0.3*H2884)))))</f>
        <v>624.84995117187555</v>
      </c>
      <c r="T2884" s="331">
        <v>0</v>
      </c>
      <c r="U2884" s="328">
        <f>VLOOKUP(C2884,METADATA!$J$5:$Q$29,IF(E2884="HI",2,IF(E2884="LO",6,10))+IF(T2884=1,2,IF(D2884=7,1,(IF(WEEKDAY(B2884)=1,2,IF(WEEKDAY(B2884)=7,1,0))))))</f>
        <v>3</v>
      </c>
      <c r="V2884" s="328">
        <f>VLOOKUP(C2884,METADATA!$A$5:$H$29,IF(E2884="HI",2,IF(E2884="LO",6,10))+IF(T2884=1,2,IF(D2884=7,1,(IF(WEEKDAY(B2884)=1,2,IF(WEEKDAY(B2884)=7,1,0))))))</f>
        <v>3</v>
      </c>
    </row>
    <row r="2885" spans="2:22">
      <c r="B2885" s="318">
        <f t="shared" si="179"/>
        <v>46233</v>
      </c>
      <c r="C2885" s="312">
        <v>1</v>
      </c>
      <c r="D2885" s="368">
        <f>IFERROR((INDEX(METADATA!$T$2:$T$20,MATCH(B2885,METADATA!$S$2:$S$20,0))),0)</f>
        <v>0</v>
      </c>
      <c r="E2885" s="312" t="str">
        <f t="shared" si="180"/>
        <v>LO</v>
      </c>
      <c r="F2885" s="369">
        <f>VLOOKUP(C2885,METADATA!$A$5:$H$29,IF(E2885="HI",2,IF(E2885="LO",6,10))+IF(D2885=1,2,IF(D2885=7,1,(IF(WEEKDAY(B2885)=1,2,IF(WEEKDAY(B2885)=7,1,0))))))</f>
        <v>3</v>
      </c>
      <c r="G2885" s="369">
        <f>VLOOKUP(C2885,METADATA!$J$5:$Q$29,IF(E2885="HI",2,IF(E2885="LO",6,10))+IF(D2885=1,2,IF(D2885=7,1,(IF(WEEKDAY(B2885)=1,2,IF(WEEKDAY(B2885)=7,1,0))))))</f>
        <v>3</v>
      </c>
      <c r="H2885" s="370">
        <v>13619.647216796875</v>
      </c>
      <c r="I2885" s="370">
        <v>4672.5723876953125</v>
      </c>
      <c r="M2885" s="371">
        <f t="shared" si="181"/>
        <v>14398.879228198823</v>
      </c>
      <c r="N2885" s="329">
        <f t="shared" si="182"/>
        <v>586.67822265625</v>
      </c>
      <c r="T2885" s="331">
        <v>0</v>
      </c>
      <c r="U2885" s="328">
        <f>VLOOKUP(C2885,METADATA!$J$5:$Q$29,IF(E2885="HI",2,IF(E2885="LO",6,10))+IF(T2885=1,2,IF(D2885=7,1,(IF(WEEKDAY(B2885)=1,2,IF(WEEKDAY(B2885)=7,1,0))))))</f>
        <v>3</v>
      </c>
      <c r="V2885" s="328">
        <f>VLOOKUP(C2885,METADATA!$A$5:$H$29,IF(E2885="HI",2,IF(E2885="LO",6,10))+IF(T2885=1,2,IF(D2885=7,1,(IF(WEEKDAY(B2885)=1,2,IF(WEEKDAY(B2885)=7,1,0))))))</f>
        <v>3</v>
      </c>
    </row>
    <row r="2886" spans="2:22">
      <c r="B2886" s="318">
        <f t="shared" si="179"/>
        <v>46233</v>
      </c>
      <c r="C2886" s="312">
        <v>2</v>
      </c>
      <c r="D2886" s="368">
        <f>IFERROR((INDEX(METADATA!$T$2:$T$20,MATCH(B2886,METADATA!$S$2:$S$20,0))),0)</f>
        <v>0</v>
      </c>
      <c r="E2886" s="312" t="str">
        <f t="shared" si="180"/>
        <v>LO</v>
      </c>
      <c r="F2886" s="369">
        <f>VLOOKUP(C2886,METADATA!$A$5:$H$29,IF(E2886="HI",2,IF(E2886="LO",6,10))+IF(D2886=1,2,IF(D2886=7,1,(IF(WEEKDAY(B2886)=1,2,IF(WEEKDAY(B2886)=7,1,0))))))</f>
        <v>3</v>
      </c>
      <c r="G2886" s="369">
        <f>VLOOKUP(C2886,METADATA!$J$5:$Q$29,IF(E2886="HI",2,IF(E2886="LO",6,10))+IF(D2886=1,2,IF(D2886=7,1,(IF(WEEKDAY(B2886)=1,2,IF(WEEKDAY(B2886)=7,1,0))))))</f>
        <v>3</v>
      </c>
      <c r="H2886" s="370">
        <v>11731.732879638672</v>
      </c>
      <c r="I2886" s="370">
        <v>3640.7675476074219</v>
      </c>
      <c r="M2886" s="371">
        <f t="shared" si="181"/>
        <v>12283.677979127686</v>
      </c>
      <c r="N2886" s="329">
        <f t="shared" si="182"/>
        <v>121.24768371582059</v>
      </c>
      <c r="T2886" s="331">
        <v>0</v>
      </c>
      <c r="U2886" s="328">
        <f>VLOOKUP(C2886,METADATA!$J$5:$Q$29,IF(E2886="HI",2,IF(E2886="LO",6,10))+IF(T2886=1,2,IF(D2886=7,1,(IF(WEEKDAY(B2886)=1,2,IF(WEEKDAY(B2886)=7,1,0))))))</f>
        <v>3</v>
      </c>
      <c r="V2886" s="328">
        <f>VLOOKUP(C2886,METADATA!$A$5:$H$29,IF(E2886="HI",2,IF(E2886="LO",6,10))+IF(T2886=1,2,IF(D2886=7,1,(IF(WEEKDAY(B2886)=1,2,IF(WEEKDAY(B2886)=7,1,0))))))</f>
        <v>3</v>
      </c>
    </row>
    <row r="2887" spans="2:22">
      <c r="B2887" s="318">
        <f t="shared" si="179"/>
        <v>46233</v>
      </c>
      <c r="C2887" s="312">
        <v>3</v>
      </c>
      <c r="D2887" s="368">
        <f>IFERROR((INDEX(METADATA!$T$2:$T$20,MATCH(B2887,METADATA!$S$2:$S$20,0))),0)</f>
        <v>0</v>
      </c>
      <c r="E2887" s="312" t="str">
        <f t="shared" si="180"/>
        <v>LO</v>
      </c>
      <c r="F2887" s="369">
        <f>VLOOKUP(C2887,METADATA!$A$5:$H$29,IF(E2887="HI",2,IF(E2887="LO",6,10))+IF(D2887=1,2,IF(D2887=7,1,(IF(WEEKDAY(B2887)=1,2,IF(WEEKDAY(B2887)=7,1,0))))))</f>
        <v>3</v>
      </c>
      <c r="G2887" s="369">
        <f>VLOOKUP(C2887,METADATA!$J$5:$Q$29,IF(E2887="HI",2,IF(E2887="LO",6,10))+IF(D2887=1,2,IF(D2887=7,1,(IF(WEEKDAY(B2887)=1,2,IF(WEEKDAY(B2887)=7,1,0))))))</f>
        <v>3</v>
      </c>
      <c r="H2887" s="370">
        <v>11531.634582519531</v>
      </c>
      <c r="I2887" s="370">
        <v>3519.6424560546875</v>
      </c>
      <c r="M2887" s="371">
        <f t="shared" si="181"/>
        <v>12056.802194745633</v>
      </c>
      <c r="N2887" s="329">
        <f t="shared" si="182"/>
        <v>60.152081298828307</v>
      </c>
      <c r="T2887" s="331">
        <v>0</v>
      </c>
      <c r="U2887" s="328">
        <f>VLOOKUP(C2887,METADATA!$J$5:$Q$29,IF(E2887="HI",2,IF(E2887="LO",6,10))+IF(T2887=1,2,IF(D2887=7,1,(IF(WEEKDAY(B2887)=1,2,IF(WEEKDAY(B2887)=7,1,0))))))</f>
        <v>3</v>
      </c>
      <c r="V2887" s="328">
        <f>VLOOKUP(C2887,METADATA!$A$5:$H$29,IF(E2887="HI",2,IF(E2887="LO",6,10))+IF(T2887=1,2,IF(D2887=7,1,(IF(WEEKDAY(B2887)=1,2,IF(WEEKDAY(B2887)=7,1,0))))))</f>
        <v>3</v>
      </c>
    </row>
    <row r="2888" spans="2:22">
      <c r="B2888" s="318">
        <f t="shared" si="179"/>
        <v>46233</v>
      </c>
      <c r="C2888" s="312">
        <v>4</v>
      </c>
      <c r="D2888" s="368">
        <f>IFERROR((INDEX(METADATA!$T$2:$T$20,MATCH(B2888,METADATA!$S$2:$S$20,0))),0)</f>
        <v>0</v>
      </c>
      <c r="E2888" s="312" t="str">
        <f t="shared" si="180"/>
        <v>LO</v>
      </c>
      <c r="F2888" s="369">
        <f>VLOOKUP(C2888,METADATA!$A$5:$H$29,IF(E2888="HI",2,IF(E2888="LO",6,10))+IF(D2888=1,2,IF(D2888=7,1,(IF(WEEKDAY(B2888)=1,2,IF(WEEKDAY(B2888)=7,1,0))))))</f>
        <v>3</v>
      </c>
      <c r="G2888" s="369">
        <f>VLOOKUP(C2888,METADATA!$J$5:$Q$29,IF(E2888="HI",2,IF(E2888="LO",6,10))+IF(D2888=1,2,IF(D2888=7,1,(IF(WEEKDAY(B2888)=1,2,IF(WEEKDAY(B2888)=7,1,0))))))</f>
        <v>3</v>
      </c>
      <c r="H2888" s="370">
        <v>13554.42529296875</v>
      </c>
      <c r="I2888" s="370">
        <v>4566.9000854492188</v>
      </c>
      <c r="M2888" s="371">
        <f t="shared" si="181"/>
        <v>14303.112298138019</v>
      </c>
      <c r="N2888" s="329">
        <f t="shared" si="182"/>
        <v>500.57249755859402</v>
      </c>
      <c r="T2888" s="331">
        <v>0</v>
      </c>
      <c r="U2888" s="328">
        <f>VLOOKUP(C2888,METADATA!$J$5:$Q$29,IF(E2888="HI",2,IF(E2888="LO",6,10))+IF(T2888=1,2,IF(D2888=7,1,(IF(WEEKDAY(B2888)=1,2,IF(WEEKDAY(B2888)=7,1,0))))))</f>
        <v>3</v>
      </c>
      <c r="V2888" s="328">
        <f>VLOOKUP(C2888,METADATA!$A$5:$H$29,IF(E2888="HI",2,IF(E2888="LO",6,10))+IF(T2888=1,2,IF(D2888=7,1,(IF(WEEKDAY(B2888)=1,2,IF(WEEKDAY(B2888)=7,1,0))))))</f>
        <v>3</v>
      </c>
    </row>
    <row r="2889" spans="2:22">
      <c r="B2889" s="318">
        <f t="shared" si="179"/>
        <v>46233</v>
      </c>
      <c r="C2889" s="312">
        <v>5</v>
      </c>
      <c r="D2889" s="368">
        <f>IFERROR((INDEX(METADATA!$T$2:$T$20,MATCH(B2889,METADATA!$S$2:$S$20,0))),0)</f>
        <v>0</v>
      </c>
      <c r="E2889" s="312" t="str">
        <f t="shared" si="180"/>
        <v>LO</v>
      </c>
      <c r="F2889" s="369">
        <f>VLOOKUP(C2889,METADATA!$A$5:$H$29,IF(E2889="HI",2,IF(E2889="LO",6,10))+IF(D2889=1,2,IF(D2889=7,1,(IF(WEEKDAY(B2889)=1,2,IF(WEEKDAY(B2889)=7,1,0))))))</f>
        <v>3</v>
      </c>
      <c r="G2889" s="369">
        <f>VLOOKUP(C2889,METADATA!$J$5:$Q$29,IF(E2889="HI",2,IF(E2889="LO",6,10))+IF(D2889=1,2,IF(D2889=7,1,(IF(WEEKDAY(B2889)=1,2,IF(WEEKDAY(B2889)=7,1,0))))))</f>
        <v>3</v>
      </c>
      <c r="H2889" s="370">
        <v>13670.67529296875</v>
      </c>
      <c r="I2889" s="370">
        <v>4501.9298706054688</v>
      </c>
      <c r="M2889" s="371">
        <f t="shared" si="181"/>
        <v>14392.870996630101</v>
      </c>
      <c r="N2889" s="329">
        <f t="shared" si="182"/>
        <v>400.72728271484357</v>
      </c>
      <c r="T2889" s="331">
        <v>0</v>
      </c>
      <c r="U2889" s="328">
        <f>VLOOKUP(C2889,METADATA!$J$5:$Q$29,IF(E2889="HI",2,IF(E2889="LO",6,10))+IF(T2889=1,2,IF(D2889=7,1,(IF(WEEKDAY(B2889)=1,2,IF(WEEKDAY(B2889)=7,1,0))))))</f>
        <v>3</v>
      </c>
      <c r="V2889" s="328">
        <f>VLOOKUP(C2889,METADATA!$A$5:$H$29,IF(E2889="HI",2,IF(E2889="LO",6,10))+IF(T2889=1,2,IF(D2889=7,1,(IF(WEEKDAY(B2889)=1,2,IF(WEEKDAY(B2889)=7,1,0))))))</f>
        <v>3</v>
      </c>
    </row>
    <row r="2890" spans="2:22">
      <c r="B2890" s="318">
        <f t="shared" si="179"/>
        <v>46233</v>
      </c>
      <c r="C2890" s="312">
        <v>6</v>
      </c>
      <c r="D2890" s="368">
        <f>IFERROR((INDEX(METADATA!$T$2:$T$20,MATCH(B2890,METADATA!$S$2:$S$20,0))),0)</f>
        <v>0</v>
      </c>
      <c r="E2890" s="312" t="str">
        <f t="shared" si="180"/>
        <v>LO</v>
      </c>
      <c r="F2890" s="369">
        <f>VLOOKUP(C2890,METADATA!$A$5:$H$29,IF(E2890="HI",2,IF(E2890="LO",6,10))+IF(D2890=1,2,IF(D2890=7,1,(IF(WEEKDAY(B2890)=1,2,IF(WEEKDAY(B2890)=7,1,0))))))</f>
        <v>2</v>
      </c>
      <c r="G2890" s="369">
        <f>VLOOKUP(C2890,METADATA!$J$5:$Q$29,IF(E2890="HI",2,IF(E2890="LO",6,10))+IF(D2890=1,2,IF(D2890=7,1,(IF(WEEKDAY(B2890)=1,2,IF(WEEKDAY(B2890)=7,1,0))))))</f>
        <v>2</v>
      </c>
      <c r="H2890" s="370">
        <v>13466.749877929688</v>
      </c>
      <c r="I2890" s="370">
        <v>4328.9300231933594</v>
      </c>
      <c r="M2890" s="371">
        <f t="shared" si="181"/>
        <v>14145.422843465094</v>
      </c>
      <c r="N2890" s="329">
        <f t="shared" si="182"/>
        <v>288.90505981445313</v>
      </c>
      <c r="T2890" s="331">
        <v>0</v>
      </c>
      <c r="U2890" s="328">
        <f>VLOOKUP(C2890,METADATA!$J$5:$Q$29,IF(E2890="HI",2,IF(E2890="LO",6,10))+IF(T2890=1,2,IF(D2890=7,1,(IF(WEEKDAY(B2890)=1,2,IF(WEEKDAY(B2890)=7,1,0))))))</f>
        <v>2</v>
      </c>
      <c r="V2890" s="328">
        <f>VLOOKUP(C2890,METADATA!$A$5:$H$29,IF(E2890="HI",2,IF(E2890="LO",6,10))+IF(T2890=1,2,IF(D2890=7,1,(IF(WEEKDAY(B2890)=1,2,IF(WEEKDAY(B2890)=7,1,0))))))</f>
        <v>2</v>
      </c>
    </row>
    <row r="2891" spans="2:22">
      <c r="B2891" s="318">
        <f t="shared" si="179"/>
        <v>46233</v>
      </c>
      <c r="C2891" s="312">
        <v>7</v>
      </c>
      <c r="D2891" s="368">
        <f>IFERROR((INDEX(METADATA!$T$2:$T$20,MATCH(B2891,METADATA!$S$2:$S$20,0))),0)</f>
        <v>0</v>
      </c>
      <c r="E2891" s="312" t="str">
        <f t="shared" si="180"/>
        <v>LO</v>
      </c>
      <c r="F2891" s="369">
        <f>VLOOKUP(C2891,METADATA!$A$5:$H$29,IF(E2891="HI",2,IF(E2891="LO",6,10))+IF(D2891=1,2,IF(D2891=7,1,(IF(WEEKDAY(B2891)=1,2,IF(WEEKDAY(B2891)=7,1,0))))))</f>
        <v>1</v>
      </c>
      <c r="G2891" s="369">
        <f>VLOOKUP(C2891,METADATA!$J$5:$Q$29,IF(E2891="HI",2,IF(E2891="LO",6,10))+IF(D2891=1,2,IF(D2891=7,1,(IF(WEEKDAY(B2891)=1,2,IF(WEEKDAY(B2891)=7,1,0))))))</f>
        <v>1</v>
      </c>
      <c r="H2891" s="370">
        <v>13714.349975585938</v>
      </c>
      <c r="I2891" s="370">
        <v>4416.6800231933594</v>
      </c>
      <c r="M2891" s="371">
        <f t="shared" si="181"/>
        <v>14407.999780681886</v>
      </c>
      <c r="N2891" s="329">
        <f t="shared" si="182"/>
        <v>302.37503051757813</v>
      </c>
      <c r="T2891" s="331">
        <v>0</v>
      </c>
      <c r="U2891" s="328">
        <f>VLOOKUP(C2891,METADATA!$J$5:$Q$29,IF(E2891="HI",2,IF(E2891="LO",6,10))+IF(T2891=1,2,IF(D2891=7,1,(IF(WEEKDAY(B2891)=1,2,IF(WEEKDAY(B2891)=7,1,0))))))</f>
        <v>1</v>
      </c>
      <c r="V2891" s="328">
        <f>VLOOKUP(C2891,METADATA!$A$5:$H$29,IF(E2891="HI",2,IF(E2891="LO",6,10))+IF(T2891=1,2,IF(D2891=7,1,(IF(WEEKDAY(B2891)=1,2,IF(WEEKDAY(B2891)=7,1,0))))))</f>
        <v>1</v>
      </c>
    </row>
    <row r="2892" spans="2:22">
      <c r="B2892" s="318">
        <f t="shared" si="179"/>
        <v>46233</v>
      </c>
      <c r="C2892" s="312">
        <v>8</v>
      </c>
      <c r="D2892" s="368">
        <f>IFERROR((INDEX(METADATA!$T$2:$T$20,MATCH(B2892,METADATA!$S$2:$S$20,0))),0)</f>
        <v>0</v>
      </c>
      <c r="E2892" s="312" t="str">
        <f t="shared" si="180"/>
        <v>LO</v>
      </c>
      <c r="F2892" s="369">
        <f>VLOOKUP(C2892,METADATA!$A$5:$H$29,IF(E2892="HI",2,IF(E2892="LO",6,10))+IF(D2892=1,2,IF(D2892=7,1,(IF(WEEKDAY(B2892)=1,2,IF(WEEKDAY(B2892)=7,1,0))))))</f>
        <v>1</v>
      </c>
      <c r="G2892" s="369">
        <f>VLOOKUP(C2892,METADATA!$J$5:$Q$29,IF(E2892="HI",2,IF(E2892="LO",6,10))+IF(D2892=1,2,IF(D2892=7,1,(IF(WEEKDAY(B2892)=1,2,IF(WEEKDAY(B2892)=7,1,0))))))</f>
        <v>1</v>
      </c>
      <c r="H2892" s="370">
        <v>13558.424865722656</v>
      </c>
      <c r="I2892" s="370">
        <v>4449.9249877929688</v>
      </c>
      <c r="M2892" s="371">
        <f t="shared" si="181"/>
        <v>14269.993596229491</v>
      </c>
      <c r="N2892" s="329">
        <f t="shared" si="182"/>
        <v>382.39752807617197</v>
      </c>
      <c r="T2892" s="331">
        <v>0</v>
      </c>
      <c r="U2892" s="328">
        <f>VLOOKUP(C2892,METADATA!$J$5:$Q$29,IF(E2892="HI",2,IF(E2892="LO",6,10))+IF(T2892=1,2,IF(D2892=7,1,(IF(WEEKDAY(B2892)=1,2,IF(WEEKDAY(B2892)=7,1,0))))))</f>
        <v>1</v>
      </c>
      <c r="V2892" s="328">
        <f>VLOOKUP(C2892,METADATA!$A$5:$H$29,IF(E2892="HI",2,IF(E2892="LO",6,10))+IF(T2892=1,2,IF(D2892=7,1,(IF(WEEKDAY(B2892)=1,2,IF(WEEKDAY(B2892)=7,1,0))))))</f>
        <v>1</v>
      </c>
    </row>
    <row r="2893" spans="2:22">
      <c r="B2893" s="318">
        <f t="shared" si="179"/>
        <v>46233</v>
      </c>
      <c r="C2893" s="312">
        <v>9</v>
      </c>
      <c r="D2893" s="368">
        <f>IFERROR((INDEX(METADATA!$T$2:$T$20,MATCH(B2893,METADATA!$S$2:$S$20,0))),0)</f>
        <v>0</v>
      </c>
      <c r="E2893" s="312" t="str">
        <f t="shared" si="180"/>
        <v>LO</v>
      </c>
      <c r="F2893" s="369">
        <f>VLOOKUP(C2893,METADATA!$A$5:$H$29,IF(E2893="HI",2,IF(E2893="LO",6,10))+IF(D2893=1,2,IF(D2893=7,1,(IF(WEEKDAY(B2893)=1,2,IF(WEEKDAY(B2893)=7,1,0))))))</f>
        <v>2</v>
      </c>
      <c r="G2893" s="369">
        <f>VLOOKUP(C2893,METADATA!$J$5:$Q$29,IF(E2893="HI",2,IF(E2893="LO",6,10))+IF(D2893=1,2,IF(D2893=7,1,(IF(WEEKDAY(B2893)=1,2,IF(WEEKDAY(B2893)=7,1,0))))))</f>
        <v>2</v>
      </c>
      <c r="H2893" s="370">
        <v>13534.375183105469</v>
      </c>
      <c r="I2893" s="370">
        <v>4425.7000427246094</v>
      </c>
      <c r="M2893" s="371">
        <f t="shared" si="181"/>
        <v>14239.597342103245</v>
      </c>
      <c r="N2893" s="329">
        <f t="shared" si="182"/>
        <v>365.38748779296884</v>
      </c>
      <c r="T2893" s="331">
        <v>0</v>
      </c>
      <c r="U2893" s="328">
        <f>VLOOKUP(C2893,METADATA!$J$5:$Q$29,IF(E2893="HI",2,IF(E2893="LO",6,10))+IF(T2893=1,2,IF(D2893=7,1,(IF(WEEKDAY(B2893)=1,2,IF(WEEKDAY(B2893)=7,1,0))))))</f>
        <v>2</v>
      </c>
      <c r="V2893" s="328">
        <f>VLOOKUP(C2893,METADATA!$A$5:$H$29,IF(E2893="HI",2,IF(E2893="LO",6,10))+IF(T2893=1,2,IF(D2893=7,1,(IF(WEEKDAY(B2893)=1,2,IF(WEEKDAY(B2893)=7,1,0))))))</f>
        <v>2</v>
      </c>
    </row>
    <row r="2894" spans="2:22">
      <c r="B2894" s="318">
        <f t="shared" si="179"/>
        <v>46233</v>
      </c>
      <c r="C2894" s="312">
        <v>10</v>
      </c>
      <c r="D2894" s="368">
        <f>IFERROR((INDEX(METADATA!$T$2:$T$20,MATCH(B2894,METADATA!$S$2:$S$20,0))),0)</f>
        <v>0</v>
      </c>
      <c r="E2894" s="312" t="str">
        <f t="shared" si="180"/>
        <v>LO</v>
      </c>
      <c r="F2894" s="369">
        <f>VLOOKUP(C2894,METADATA!$A$5:$H$29,IF(E2894="HI",2,IF(E2894="LO",6,10))+IF(D2894=1,2,IF(D2894=7,1,(IF(WEEKDAY(B2894)=1,2,IF(WEEKDAY(B2894)=7,1,0))))))</f>
        <v>2</v>
      </c>
      <c r="G2894" s="369">
        <f>VLOOKUP(C2894,METADATA!$J$5:$Q$29,IF(E2894="HI",2,IF(E2894="LO",6,10))+IF(D2894=1,2,IF(D2894=7,1,(IF(WEEKDAY(B2894)=1,2,IF(WEEKDAY(B2894)=7,1,0))))))</f>
        <v>2</v>
      </c>
      <c r="H2894" s="370">
        <v>13616.600219726563</v>
      </c>
      <c r="I2894" s="370">
        <v>4575.4750366210938</v>
      </c>
      <c r="M2894" s="371">
        <f t="shared" si="181"/>
        <v>14364.775436970822</v>
      </c>
      <c r="N2894" s="329">
        <f t="shared" si="182"/>
        <v>490.49497070312509</v>
      </c>
      <c r="T2894" s="331">
        <v>0</v>
      </c>
      <c r="U2894" s="328">
        <f>VLOOKUP(C2894,METADATA!$J$5:$Q$29,IF(E2894="HI",2,IF(E2894="LO",6,10))+IF(T2894=1,2,IF(D2894=7,1,(IF(WEEKDAY(B2894)=1,2,IF(WEEKDAY(B2894)=7,1,0))))))</f>
        <v>2</v>
      </c>
      <c r="V2894" s="328">
        <f>VLOOKUP(C2894,METADATA!$A$5:$H$29,IF(E2894="HI",2,IF(E2894="LO",6,10))+IF(T2894=1,2,IF(D2894=7,1,(IF(WEEKDAY(B2894)=1,2,IF(WEEKDAY(B2894)=7,1,0))))))</f>
        <v>2</v>
      </c>
    </row>
    <row r="2895" spans="2:22">
      <c r="B2895" s="318">
        <f t="shared" si="179"/>
        <v>46233</v>
      </c>
      <c r="C2895" s="312">
        <v>11</v>
      </c>
      <c r="D2895" s="368">
        <f>IFERROR((INDEX(METADATA!$T$2:$T$20,MATCH(B2895,METADATA!$S$2:$S$20,0))),0)</f>
        <v>0</v>
      </c>
      <c r="E2895" s="312" t="str">
        <f t="shared" si="180"/>
        <v>LO</v>
      </c>
      <c r="F2895" s="369">
        <f>VLOOKUP(C2895,METADATA!$A$5:$H$29,IF(E2895="HI",2,IF(E2895="LO",6,10))+IF(D2895=1,2,IF(D2895=7,1,(IF(WEEKDAY(B2895)=1,2,IF(WEEKDAY(B2895)=7,1,0))))))</f>
        <v>2</v>
      </c>
      <c r="G2895" s="369">
        <f>VLOOKUP(C2895,METADATA!$J$5:$Q$29,IF(E2895="HI",2,IF(E2895="LO",6,10))+IF(D2895=1,2,IF(D2895=7,1,(IF(WEEKDAY(B2895)=1,2,IF(WEEKDAY(B2895)=7,1,0))))))</f>
        <v>2</v>
      </c>
      <c r="H2895" s="370">
        <v>13685.525024414063</v>
      </c>
      <c r="I2895" s="370">
        <v>4594.7949523925781</v>
      </c>
      <c r="M2895" s="371">
        <f t="shared" si="181"/>
        <v>14436.26460856117</v>
      </c>
      <c r="N2895" s="329">
        <f t="shared" si="182"/>
        <v>489.13744506835974</v>
      </c>
      <c r="T2895" s="331">
        <v>0</v>
      </c>
      <c r="U2895" s="328">
        <f>VLOOKUP(C2895,METADATA!$J$5:$Q$29,IF(E2895="HI",2,IF(E2895="LO",6,10))+IF(T2895=1,2,IF(D2895=7,1,(IF(WEEKDAY(B2895)=1,2,IF(WEEKDAY(B2895)=7,1,0))))))</f>
        <v>2</v>
      </c>
      <c r="V2895" s="328">
        <f>VLOOKUP(C2895,METADATA!$A$5:$H$29,IF(E2895="HI",2,IF(E2895="LO",6,10))+IF(T2895=1,2,IF(D2895=7,1,(IF(WEEKDAY(B2895)=1,2,IF(WEEKDAY(B2895)=7,1,0))))))</f>
        <v>2</v>
      </c>
    </row>
    <row r="2896" spans="2:22">
      <c r="B2896" s="318">
        <f t="shared" si="179"/>
        <v>46233</v>
      </c>
      <c r="C2896" s="312">
        <v>12</v>
      </c>
      <c r="D2896" s="368">
        <f>IFERROR((INDEX(METADATA!$T$2:$T$20,MATCH(B2896,METADATA!$S$2:$S$20,0))),0)</f>
        <v>0</v>
      </c>
      <c r="E2896" s="312" t="str">
        <f t="shared" si="180"/>
        <v>LO</v>
      </c>
      <c r="F2896" s="369">
        <f>VLOOKUP(C2896,METADATA!$A$5:$H$29,IF(E2896="HI",2,IF(E2896="LO",6,10))+IF(D2896=1,2,IF(D2896=7,1,(IF(WEEKDAY(B2896)=1,2,IF(WEEKDAY(B2896)=7,1,0))))))</f>
        <v>2</v>
      </c>
      <c r="G2896" s="369">
        <f>VLOOKUP(C2896,METADATA!$J$5:$Q$29,IF(E2896="HI",2,IF(E2896="LO",6,10))+IF(D2896=1,2,IF(D2896=7,1,(IF(WEEKDAY(B2896)=1,2,IF(WEEKDAY(B2896)=7,1,0))))))</f>
        <v>2</v>
      </c>
      <c r="H2896" s="370">
        <v>13633.699951171875</v>
      </c>
      <c r="I2896" s="370">
        <v>4736.3200378417969</v>
      </c>
      <c r="M2896" s="371">
        <f t="shared" si="181"/>
        <v>14432.96580261471</v>
      </c>
      <c r="N2896" s="329">
        <f t="shared" si="182"/>
        <v>646.21005249023438</v>
      </c>
      <c r="T2896" s="331">
        <v>0</v>
      </c>
      <c r="U2896" s="328">
        <f>VLOOKUP(C2896,METADATA!$J$5:$Q$29,IF(E2896="HI",2,IF(E2896="LO",6,10))+IF(T2896=1,2,IF(D2896=7,1,(IF(WEEKDAY(B2896)=1,2,IF(WEEKDAY(B2896)=7,1,0))))))</f>
        <v>2</v>
      </c>
      <c r="V2896" s="328">
        <f>VLOOKUP(C2896,METADATA!$A$5:$H$29,IF(E2896="HI",2,IF(E2896="LO",6,10))+IF(T2896=1,2,IF(D2896=7,1,(IF(WEEKDAY(B2896)=1,2,IF(WEEKDAY(B2896)=7,1,0))))))</f>
        <v>2</v>
      </c>
    </row>
    <row r="2897" spans="2:22">
      <c r="B2897" s="318">
        <f t="shared" si="179"/>
        <v>46233</v>
      </c>
      <c r="C2897" s="312">
        <v>13</v>
      </c>
      <c r="D2897" s="368">
        <f>IFERROR((INDEX(METADATA!$T$2:$T$20,MATCH(B2897,METADATA!$S$2:$S$20,0))),0)</f>
        <v>0</v>
      </c>
      <c r="E2897" s="312" t="str">
        <f t="shared" si="180"/>
        <v>LO</v>
      </c>
      <c r="F2897" s="369">
        <f>VLOOKUP(C2897,METADATA!$A$5:$H$29,IF(E2897="HI",2,IF(E2897="LO",6,10))+IF(D2897=1,2,IF(D2897=7,1,(IF(WEEKDAY(B2897)=1,2,IF(WEEKDAY(B2897)=7,1,0))))))</f>
        <v>2</v>
      </c>
      <c r="G2897" s="369">
        <f>VLOOKUP(C2897,METADATA!$J$5:$Q$29,IF(E2897="HI",2,IF(E2897="LO",6,10))+IF(D2897=1,2,IF(D2897=7,1,(IF(WEEKDAY(B2897)=1,2,IF(WEEKDAY(B2897)=7,1,0))))))</f>
        <v>2</v>
      </c>
      <c r="H2897" s="370">
        <v>13558.375</v>
      </c>
      <c r="I2897" s="370">
        <v>4575.0950622558594</v>
      </c>
      <c r="M2897" s="371">
        <f t="shared" si="181"/>
        <v>14309.473347027939</v>
      </c>
      <c r="N2897" s="329">
        <f t="shared" si="182"/>
        <v>507.58256225585956</v>
      </c>
      <c r="T2897" s="331">
        <v>0</v>
      </c>
      <c r="U2897" s="328">
        <f>VLOOKUP(C2897,METADATA!$J$5:$Q$29,IF(E2897="HI",2,IF(E2897="LO",6,10))+IF(T2897=1,2,IF(D2897=7,1,(IF(WEEKDAY(B2897)=1,2,IF(WEEKDAY(B2897)=7,1,0))))))</f>
        <v>2</v>
      </c>
      <c r="V2897" s="328">
        <f>VLOOKUP(C2897,METADATA!$A$5:$H$29,IF(E2897="HI",2,IF(E2897="LO",6,10))+IF(T2897=1,2,IF(D2897=7,1,(IF(WEEKDAY(B2897)=1,2,IF(WEEKDAY(B2897)=7,1,0))))))</f>
        <v>2</v>
      </c>
    </row>
    <row r="2898" spans="2:22">
      <c r="B2898" s="318">
        <f t="shared" si="179"/>
        <v>46233</v>
      </c>
      <c r="C2898" s="312">
        <v>14</v>
      </c>
      <c r="D2898" s="368">
        <f>IFERROR((INDEX(METADATA!$T$2:$T$20,MATCH(B2898,METADATA!$S$2:$S$20,0))),0)</f>
        <v>0</v>
      </c>
      <c r="E2898" s="312" t="str">
        <f t="shared" si="180"/>
        <v>LO</v>
      </c>
      <c r="F2898" s="369">
        <f>VLOOKUP(C2898,METADATA!$A$5:$H$29,IF(E2898="HI",2,IF(E2898="LO",6,10))+IF(D2898=1,2,IF(D2898=7,1,(IF(WEEKDAY(B2898)=1,2,IF(WEEKDAY(B2898)=7,1,0))))))</f>
        <v>2</v>
      </c>
      <c r="G2898" s="369">
        <f>VLOOKUP(C2898,METADATA!$J$5:$Q$29,IF(E2898="HI",2,IF(E2898="LO",6,10))+IF(D2898=1,2,IF(D2898=7,1,(IF(WEEKDAY(B2898)=1,2,IF(WEEKDAY(B2898)=7,1,0))))))</f>
        <v>2</v>
      </c>
      <c r="H2898" s="370">
        <v>13581.424987792969</v>
      </c>
      <c r="I2898" s="370">
        <v>4553.125</v>
      </c>
      <c r="M2898" s="371">
        <f t="shared" si="181"/>
        <v>14324.316806210069</v>
      </c>
      <c r="N2898" s="329">
        <f t="shared" si="182"/>
        <v>478.69750366210974</v>
      </c>
      <c r="T2898" s="331">
        <v>0</v>
      </c>
      <c r="U2898" s="328">
        <f>VLOOKUP(C2898,METADATA!$J$5:$Q$29,IF(E2898="HI",2,IF(E2898="LO",6,10))+IF(T2898=1,2,IF(D2898=7,1,(IF(WEEKDAY(B2898)=1,2,IF(WEEKDAY(B2898)=7,1,0))))))</f>
        <v>2</v>
      </c>
      <c r="V2898" s="328">
        <f>VLOOKUP(C2898,METADATA!$A$5:$H$29,IF(E2898="HI",2,IF(E2898="LO",6,10))+IF(T2898=1,2,IF(D2898=7,1,(IF(WEEKDAY(B2898)=1,2,IF(WEEKDAY(B2898)=7,1,0))))))</f>
        <v>2</v>
      </c>
    </row>
    <row r="2899" spans="2:22">
      <c r="B2899" s="318">
        <f t="shared" si="179"/>
        <v>46233</v>
      </c>
      <c r="C2899" s="312">
        <v>15</v>
      </c>
      <c r="D2899" s="368">
        <f>IFERROR((INDEX(METADATA!$T$2:$T$20,MATCH(B2899,METADATA!$S$2:$S$20,0))),0)</f>
        <v>0</v>
      </c>
      <c r="E2899" s="312" t="str">
        <f t="shared" si="180"/>
        <v>LO</v>
      </c>
      <c r="F2899" s="369">
        <f>VLOOKUP(C2899,METADATA!$A$5:$H$29,IF(E2899="HI",2,IF(E2899="LO",6,10))+IF(D2899=1,2,IF(D2899=7,1,(IF(WEEKDAY(B2899)=1,2,IF(WEEKDAY(B2899)=7,1,0))))))</f>
        <v>2</v>
      </c>
      <c r="G2899" s="369">
        <f>VLOOKUP(C2899,METADATA!$J$5:$Q$29,IF(E2899="HI",2,IF(E2899="LO",6,10))+IF(D2899=1,2,IF(D2899=7,1,(IF(WEEKDAY(B2899)=1,2,IF(WEEKDAY(B2899)=7,1,0))))))</f>
        <v>2</v>
      </c>
      <c r="H2899" s="370">
        <v>13539.124572753906</v>
      </c>
      <c r="I2899" s="370">
        <v>4608.7749328613281</v>
      </c>
      <c r="M2899" s="371">
        <f t="shared" si="181"/>
        <v>14302.052320500004</v>
      </c>
      <c r="N2899" s="329">
        <f t="shared" si="182"/>
        <v>547.03756103515661</v>
      </c>
      <c r="T2899" s="331">
        <v>0</v>
      </c>
      <c r="U2899" s="328">
        <f>VLOOKUP(C2899,METADATA!$J$5:$Q$29,IF(E2899="HI",2,IF(E2899="LO",6,10))+IF(T2899=1,2,IF(D2899=7,1,(IF(WEEKDAY(B2899)=1,2,IF(WEEKDAY(B2899)=7,1,0))))))</f>
        <v>2</v>
      </c>
      <c r="V2899" s="328">
        <f>VLOOKUP(C2899,METADATA!$A$5:$H$29,IF(E2899="HI",2,IF(E2899="LO",6,10))+IF(T2899=1,2,IF(D2899=7,1,(IF(WEEKDAY(B2899)=1,2,IF(WEEKDAY(B2899)=7,1,0))))))</f>
        <v>2</v>
      </c>
    </row>
    <row r="2900" spans="2:22">
      <c r="B2900" s="318">
        <f t="shared" si="179"/>
        <v>46233</v>
      </c>
      <c r="C2900" s="312">
        <v>16</v>
      </c>
      <c r="D2900" s="368">
        <f>IFERROR((INDEX(METADATA!$T$2:$T$20,MATCH(B2900,METADATA!$S$2:$S$20,0))),0)</f>
        <v>0</v>
      </c>
      <c r="E2900" s="312" t="str">
        <f t="shared" si="180"/>
        <v>LO</v>
      </c>
      <c r="F2900" s="369">
        <f>VLOOKUP(C2900,METADATA!$A$5:$H$29,IF(E2900="HI",2,IF(E2900="LO",6,10))+IF(D2900=1,2,IF(D2900=7,1,(IF(WEEKDAY(B2900)=1,2,IF(WEEKDAY(B2900)=7,1,0))))))</f>
        <v>2</v>
      </c>
      <c r="G2900" s="369">
        <f>VLOOKUP(C2900,METADATA!$J$5:$Q$29,IF(E2900="HI",2,IF(E2900="LO",6,10))+IF(D2900=1,2,IF(D2900=7,1,(IF(WEEKDAY(B2900)=1,2,IF(WEEKDAY(B2900)=7,1,0))))))</f>
        <v>2</v>
      </c>
      <c r="H2900" s="370">
        <v>13910.850219726563</v>
      </c>
      <c r="I2900" s="370">
        <v>4744.9249877929688</v>
      </c>
      <c r="M2900" s="371">
        <f t="shared" si="181"/>
        <v>14697.825246459037</v>
      </c>
      <c r="N2900" s="329">
        <f t="shared" si="182"/>
        <v>571.669921875</v>
      </c>
      <c r="T2900" s="331">
        <v>0</v>
      </c>
      <c r="U2900" s="328">
        <f>VLOOKUP(C2900,METADATA!$J$5:$Q$29,IF(E2900="HI",2,IF(E2900="LO",6,10))+IF(T2900=1,2,IF(D2900=7,1,(IF(WEEKDAY(B2900)=1,2,IF(WEEKDAY(B2900)=7,1,0))))))</f>
        <v>2</v>
      </c>
      <c r="V2900" s="328">
        <f>VLOOKUP(C2900,METADATA!$A$5:$H$29,IF(E2900="HI",2,IF(E2900="LO",6,10))+IF(T2900=1,2,IF(D2900=7,1,(IF(WEEKDAY(B2900)=1,2,IF(WEEKDAY(B2900)=7,1,0))))))</f>
        <v>2</v>
      </c>
    </row>
    <row r="2901" spans="2:22">
      <c r="B2901" s="318">
        <f t="shared" si="179"/>
        <v>46233</v>
      </c>
      <c r="C2901" s="312">
        <v>17</v>
      </c>
      <c r="D2901" s="368">
        <f>IFERROR((INDEX(METADATA!$T$2:$T$20,MATCH(B2901,METADATA!$S$2:$S$20,0))),0)</f>
        <v>0</v>
      </c>
      <c r="E2901" s="312" t="str">
        <f t="shared" si="180"/>
        <v>LO</v>
      </c>
      <c r="F2901" s="369">
        <f>VLOOKUP(C2901,METADATA!$A$5:$H$29,IF(E2901="HI",2,IF(E2901="LO",6,10))+IF(D2901=1,2,IF(D2901=7,1,(IF(WEEKDAY(B2901)=1,2,IF(WEEKDAY(B2901)=7,1,0))))))</f>
        <v>2</v>
      </c>
      <c r="G2901" s="369">
        <f>VLOOKUP(C2901,METADATA!$J$5:$Q$29,IF(E2901="HI",2,IF(E2901="LO",6,10))+IF(D2901=1,2,IF(D2901=7,1,(IF(WEEKDAY(B2901)=1,2,IF(WEEKDAY(B2901)=7,1,0))))))</f>
        <v>2</v>
      </c>
      <c r="H2901" s="370">
        <v>13724.099609375</v>
      </c>
      <c r="I2901" s="370">
        <v>4562.7499389648438</v>
      </c>
      <c r="M2901" s="371">
        <f t="shared" si="181"/>
        <v>14462.696743469756</v>
      </c>
      <c r="N2901" s="329">
        <f t="shared" si="182"/>
        <v>445.5200561523443</v>
      </c>
      <c r="T2901" s="331">
        <v>0</v>
      </c>
      <c r="U2901" s="328">
        <f>VLOOKUP(C2901,METADATA!$J$5:$Q$29,IF(E2901="HI",2,IF(E2901="LO",6,10))+IF(T2901=1,2,IF(D2901=7,1,(IF(WEEKDAY(B2901)=1,2,IF(WEEKDAY(B2901)=7,1,0))))))</f>
        <v>2</v>
      </c>
      <c r="V2901" s="328">
        <f>VLOOKUP(C2901,METADATA!$A$5:$H$29,IF(E2901="HI",2,IF(E2901="LO",6,10))+IF(T2901=1,2,IF(D2901=7,1,(IF(WEEKDAY(B2901)=1,2,IF(WEEKDAY(B2901)=7,1,0))))))</f>
        <v>2</v>
      </c>
    </row>
    <row r="2902" spans="2:22">
      <c r="B2902" s="318">
        <f t="shared" si="179"/>
        <v>46233</v>
      </c>
      <c r="C2902" s="312">
        <v>18</v>
      </c>
      <c r="D2902" s="368">
        <f>IFERROR((INDEX(METADATA!$T$2:$T$20,MATCH(B2902,METADATA!$S$2:$S$20,0))),0)</f>
        <v>0</v>
      </c>
      <c r="E2902" s="312" t="str">
        <f t="shared" si="180"/>
        <v>LO</v>
      </c>
      <c r="F2902" s="369">
        <f>VLOOKUP(C2902,METADATA!$A$5:$H$29,IF(E2902="HI",2,IF(E2902="LO",6,10))+IF(D2902=1,2,IF(D2902=7,1,(IF(WEEKDAY(B2902)=1,2,IF(WEEKDAY(B2902)=7,1,0))))))</f>
        <v>1</v>
      </c>
      <c r="G2902" s="369">
        <f>VLOOKUP(C2902,METADATA!$J$5:$Q$29,IF(E2902="HI",2,IF(E2902="LO",6,10))+IF(D2902=1,2,IF(D2902=7,1,(IF(WEEKDAY(B2902)=1,2,IF(WEEKDAY(B2902)=7,1,0))))))</f>
        <v>1</v>
      </c>
      <c r="H2902" s="370">
        <v>13752.700256347656</v>
      </c>
      <c r="I2902" s="370">
        <v>4403.4699401855469</v>
      </c>
      <c r="M2902" s="371">
        <f t="shared" si="181"/>
        <v>14440.474779419914</v>
      </c>
      <c r="N2902" s="329">
        <f t="shared" si="182"/>
        <v>277.65986328125018</v>
      </c>
      <c r="T2902" s="331">
        <v>0</v>
      </c>
      <c r="U2902" s="328">
        <f>VLOOKUP(C2902,METADATA!$J$5:$Q$29,IF(E2902="HI",2,IF(E2902="LO",6,10))+IF(T2902=1,2,IF(D2902=7,1,(IF(WEEKDAY(B2902)=1,2,IF(WEEKDAY(B2902)=7,1,0))))))</f>
        <v>1</v>
      </c>
      <c r="V2902" s="328">
        <f>VLOOKUP(C2902,METADATA!$A$5:$H$29,IF(E2902="HI",2,IF(E2902="LO",6,10))+IF(T2902=1,2,IF(D2902=7,1,(IF(WEEKDAY(B2902)=1,2,IF(WEEKDAY(B2902)=7,1,0))))))</f>
        <v>1</v>
      </c>
    </row>
    <row r="2903" spans="2:22">
      <c r="B2903" s="318">
        <f t="shared" si="179"/>
        <v>46233</v>
      </c>
      <c r="C2903" s="312">
        <v>19</v>
      </c>
      <c r="D2903" s="368">
        <f>IFERROR((INDEX(METADATA!$T$2:$T$20,MATCH(B2903,METADATA!$S$2:$S$20,0))),0)</f>
        <v>0</v>
      </c>
      <c r="E2903" s="312" t="str">
        <f t="shared" si="180"/>
        <v>LO</v>
      </c>
      <c r="F2903" s="369">
        <f>VLOOKUP(C2903,METADATA!$A$5:$H$29,IF(E2903="HI",2,IF(E2903="LO",6,10))+IF(D2903=1,2,IF(D2903=7,1,(IF(WEEKDAY(B2903)=1,2,IF(WEEKDAY(B2903)=7,1,0))))))</f>
        <v>1</v>
      </c>
      <c r="G2903" s="369">
        <f>VLOOKUP(C2903,METADATA!$J$5:$Q$29,IF(E2903="HI",2,IF(E2903="LO",6,10))+IF(D2903=1,2,IF(D2903=7,1,(IF(WEEKDAY(B2903)=1,2,IF(WEEKDAY(B2903)=7,1,0))))))</f>
        <v>1</v>
      </c>
      <c r="H2903" s="370">
        <v>13615.524536132813</v>
      </c>
      <c r="I2903" s="370">
        <v>4324.0201110839844</v>
      </c>
      <c r="M2903" s="371">
        <f t="shared" si="181"/>
        <v>14285.645183718283</v>
      </c>
      <c r="N2903" s="329">
        <f t="shared" si="182"/>
        <v>239.3627502441409</v>
      </c>
      <c r="T2903" s="331">
        <v>0</v>
      </c>
      <c r="U2903" s="328">
        <f>VLOOKUP(C2903,METADATA!$J$5:$Q$29,IF(E2903="HI",2,IF(E2903="LO",6,10))+IF(T2903=1,2,IF(D2903=7,1,(IF(WEEKDAY(B2903)=1,2,IF(WEEKDAY(B2903)=7,1,0))))))</f>
        <v>1</v>
      </c>
      <c r="V2903" s="328">
        <f>VLOOKUP(C2903,METADATA!$A$5:$H$29,IF(E2903="HI",2,IF(E2903="LO",6,10))+IF(T2903=1,2,IF(D2903=7,1,(IF(WEEKDAY(B2903)=1,2,IF(WEEKDAY(B2903)=7,1,0))))))</f>
        <v>1</v>
      </c>
    </row>
    <row r="2904" spans="2:22">
      <c r="B2904" s="318">
        <f t="shared" si="179"/>
        <v>46233</v>
      </c>
      <c r="C2904" s="312">
        <v>20</v>
      </c>
      <c r="D2904" s="368">
        <f>IFERROR((INDEX(METADATA!$T$2:$T$20,MATCH(B2904,METADATA!$S$2:$S$20,0))),0)</f>
        <v>0</v>
      </c>
      <c r="E2904" s="312" t="str">
        <f t="shared" si="180"/>
        <v>LO</v>
      </c>
      <c r="F2904" s="369">
        <f>VLOOKUP(C2904,METADATA!$A$5:$H$29,IF(E2904="HI",2,IF(E2904="LO",6,10))+IF(D2904=1,2,IF(D2904=7,1,(IF(WEEKDAY(B2904)=1,2,IF(WEEKDAY(B2904)=7,1,0))))))</f>
        <v>1</v>
      </c>
      <c r="G2904" s="369">
        <f>VLOOKUP(C2904,METADATA!$J$5:$Q$29,IF(E2904="HI",2,IF(E2904="LO",6,10))+IF(D2904=1,2,IF(D2904=7,1,(IF(WEEKDAY(B2904)=1,2,IF(WEEKDAY(B2904)=7,1,0))))))</f>
        <v>1</v>
      </c>
      <c r="H2904" s="370">
        <v>13660.60009765625</v>
      </c>
      <c r="I2904" s="370">
        <v>4428.2649536132813</v>
      </c>
      <c r="M2904" s="371">
        <f t="shared" si="181"/>
        <v>14360.415228240638</v>
      </c>
      <c r="N2904" s="329">
        <f t="shared" si="182"/>
        <v>330.08492431640661</v>
      </c>
      <c r="T2904" s="331">
        <v>0</v>
      </c>
      <c r="U2904" s="328">
        <f>VLOOKUP(C2904,METADATA!$J$5:$Q$29,IF(E2904="HI",2,IF(E2904="LO",6,10))+IF(T2904=1,2,IF(D2904=7,1,(IF(WEEKDAY(B2904)=1,2,IF(WEEKDAY(B2904)=7,1,0))))))</f>
        <v>1</v>
      </c>
      <c r="V2904" s="328">
        <f>VLOOKUP(C2904,METADATA!$A$5:$H$29,IF(E2904="HI",2,IF(E2904="LO",6,10))+IF(T2904=1,2,IF(D2904=7,1,(IF(WEEKDAY(B2904)=1,2,IF(WEEKDAY(B2904)=7,1,0))))))</f>
        <v>1</v>
      </c>
    </row>
    <row r="2905" spans="2:22">
      <c r="B2905" s="318">
        <f t="shared" si="179"/>
        <v>46233</v>
      </c>
      <c r="C2905" s="312">
        <v>21</v>
      </c>
      <c r="D2905" s="368">
        <f>IFERROR((INDEX(METADATA!$T$2:$T$20,MATCH(B2905,METADATA!$S$2:$S$20,0))),0)</f>
        <v>0</v>
      </c>
      <c r="E2905" s="312" t="str">
        <f t="shared" si="180"/>
        <v>LO</v>
      </c>
      <c r="F2905" s="369">
        <f>VLOOKUP(C2905,METADATA!$A$5:$H$29,IF(E2905="HI",2,IF(E2905="LO",6,10))+IF(D2905=1,2,IF(D2905=7,1,(IF(WEEKDAY(B2905)=1,2,IF(WEEKDAY(B2905)=7,1,0))))))</f>
        <v>2</v>
      </c>
      <c r="G2905" s="369">
        <f>VLOOKUP(C2905,METADATA!$J$5:$Q$29,IF(E2905="HI",2,IF(E2905="LO",6,10))+IF(D2905=1,2,IF(D2905=7,1,(IF(WEEKDAY(B2905)=1,2,IF(WEEKDAY(B2905)=7,1,0))))))</f>
        <v>2</v>
      </c>
      <c r="H2905" s="370">
        <v>13692.675109863281</v>
      </c>
      <c r="I2905" s="370">
        <v>4566.949951171875</v>
      </c>
      <c r="M2905" s="371">
        <f t="shared" si="181"/>
        <v>14434.208794415377</v>
      </c>
      <c r="N2905" s="329">
        <f t="shared" si="182"/>
        <v>459.14741821289044</v>
      </c>
      <c r="T2905" s="331">
        <v>0</v>
      </c>
      <c r="U2905" s="328">
        <f>VLOOKUP(C2905,METADATA!$J$5:$Q$29,IF(E2905="HI",2,IF(E2905="LO",6,10))+IF(T2905=1,2,IF(D2905=7,1,(IF(WEEKDAY(B2905)=1,2,IF(WEEKDAY(B2905)=7,1,0))))))</f>
        <v>2</v>
      </c>
      <c r="V2905" s="328">
        <f>VLOOKUP(C2905,METADATA!$A$5:$H$29,IF(E2905="HI",2,IF(E2905="LO",6,10))+IF(T2905=1,2,IF(D2905=7,1,(IF(WEEKDAY(B2905)=1,2,IF(WEEKDAY(B2905)=7,1,0))))))</f>
        <v>2</v>
      </c>
    </row>
    <row r="2906" spans="2:22">
      <c r="B2906" s="318">
        <f t="shared" si="179"/>
        <v>46233</v>
      </c>
      <c r="C2906" s="312">
        <v>22</v>
      </c>
      <c r="D2906" s="368">
        <f>IFERROR((INDEX(METADATA!$T$2:$T$20,MATCH(B2906,METADATA!$S$2:$S$20,0))),0)</f>
        <v>0</v>
      </c>
      <c r="E2906" s="312" t="str">
        <f t="shared" si="180"/>
        <v>LO</v>
      </c>
      <c r="F2906" s="369">
        <f>VLOOKUP(C2906,METADATA!$A$5:$H$29,IF(E2906="HI",2,IF(E2906="LO",6,10))+IF(D2906=1,2,IF(D2906=7,1,(IF(WEEKDAY(B2906)=1,2,IF(WEEKDAY(B2906)=7,1,0))))))</f>
        <v>3</v>
      </c>
      <c r="G2906" s="369">
        <f>VLOOKUP(C2906,METADATA!$J$5:$Q$29,IF(E2906="HI",2,IF(E2906="LO",6,10))+IF(D2906=1,2,IF(D2906=7,1,(IF(WEEKDAY(B2906)=1,2,IF(WEEKDAY(B2906)=7,1,0))))))</f>
        <v>3</v>
      </c>
      <c r="H2906" s="370">
        <v>13708.925048828125</v>
      </c>
      <c r="I2906" s="370">
        <v>4599.0249633789063</v>
      </c>
      <c r="M2906" s="371">
        <f t="shared" si="181"/>
        <v>14459.79448706549</v>
      </c>
      <c r="N2906" s="329">
        <f t="shared" si="182"/>
        <v>486.3474487304693</v>
      </c>
      <c r="T2906" s="331">
        <v>0</v>
      </c>
      <c r="U2906" s="328">
        <f>VLOOKUP(C2906,METADATA!$J$5:$Q$29,IF(E2906="HI",2,IF(E2906="LO",6,10))+IF(T2906=1,2,IF(D2906=7,1,(IF(WEEKDAY(B2906)=1,2,IF(WEEKDAY(B2906)=7,1,0))))))</f>
        <v>3</v>
      </c>
      <c r="V2906" s="328">
        <f>VLOOKUP(C2906,METADATA!$A$5:$H$29,IF(E2906="HI",2,IF(E2906="LO",6,10))+IF(T2906=1,2,IF(D2906=7,1,(IF(WEEKDAY(B2906)=1,2,IF(WEEKDAY(B2906)=7,1,0))))))</f>
        <v>3</v>
      </c>
    </row>
    <row r="2907" spans="2:22">
      <c r="B2907" s="318">
        <f t="shared" si="179"/>
        <v>46233</v>
      </c>
      <c r="C2907" s="312">
        <v>23</v>
      </c>
      <c r="D2907" s="368">
        <f>IFERROR((INDEX(METADATA!$T$2:$T$20,MATCH(B2907,METADATA!$S$2:$S$20,0))),0)</f>
        <v>0</v>
      </c>
      <c r="E2907" s="312" t="str">
        <f t="shared" si="180"/>
        <v>LO</v>
      </c>
      <c r="F2907" s="369">
        <f>VLOOKUP(C2907,METADATA!$A$5:$H$29,IF(E2907="HI",2,IF(E2907="LO",6,10))+IF(D2907=1,2,IF(D2907=7,1,(IF(WEEKDAY(B2907)=1,2,IF(WEEKDAY(B2907)=7,1,0))))))</f>
        <v>3</v>
      </c>
      <c r="G2907" s="369">
        <f>VLOOKUP(C2907,METADATA!$J$5:$Q$29,IF(E2907="HI",2,IF(E2907="LO",6,10))+IF(D2907=1,2,IF(D2907=7,1,(IF(WEEKDAY(B2907)=1,2,IF(WEEKDAY(B2907)=7,1,0))))))</f>
        <v>3</v>
      </c>
      <c r="H2907" s="370">
        <v>13590.250244140625</v>
      </c>
      <c r="I2907" s="370">
        <v>4574.1750793457031</v>
      </c>
      <c r="M2907" s="371">
        <f t="shared" si="181"/>
        <v>14339.385598932458</v>
      </c>
      <c r="N2907" s="329">
        <f t="shared" si="182"/>
        <v>497.10000610351563</v>
      </c>
      <c r="T2907" s="331">
        <v>0</v>
      </c>
      <c r="U2907" s="328">
        <f>VLOOKUP(C2907,METADATA!$J$5:$Q$29,IF(E2907="HI",2,IF(E2907="LO",6,10))+IF(T2907=1,2,IF(D2907=7,1,(IF(WEEKDAY(B2907)=1,2,IF(WEEKDAY(B2907)=7,1,0))))))</f>
        <v>3</v>
      </c>
      <c r="V2907" s="328">
        <f>VLOOKUP(C2907,METADATA!$A$5:$H$29,IF(E2907="HI",2,IF(E2907="LO",6,10))+IF(T2907=1,2,IF(D2907=7,1,(IF(WEEKDAY(B2907)=1,2,IF(WEEKDAY(B2907)=7,1,0))))))</f>
        <v>3</v>
      </c>
    </row>
    <row r="2908" spans="2:22">
      <c r="B2908" s="318">
        <f t="shared" ref="B2908:B2971" si="183">B2884+1</f>
        <v>46234</v>
      </c>
      <c r="C2908" s="312">
        <v>0</v>
      </c>
      <c r="D2908" s="368">
        <f>IFERROR((INDEX(METADATA!$T$2:$T$20,MATCH(B2908,METADATA!$S$2:$S$20,0))),0)</f>
        <v>0</v>
      </c>
      <c r="E2908" s="312" t="str">
        <f t="shared" si="180"/>
        <v>LO</v>
      </c>
      <c r="F2908" s="369">
        <f>VLOOKUP(C2908,METADATA!$A$5:$H$29,IF(E2908="HI",2,IF(E2908="LO",6,10))+IF(D2908=1,2,IF(D2908=7,1,(IF(WEEKDAY(B2908)=1,2,IF(WEEKDAY(B2908)=7,1,0))))))</f>
        <v>3</v>
      </c>
      <c r="G2908" s="369">
        <f>VLOOKUP(C2908,METADATA!$J$5:$Q$29,IF(E2908="HI",2,IF(E2908="LO",6,10))+IF(D2908=1,2,IF(D2908=7,1,(IF(WEEKDAY(B2908)=1,2,IF(WEEKDAY(B2908)=7,1,0))))))</f>
        <v>3</v>
      </c>
      <c r="H2908" s="370">
        <v>13358.200256347656</v>
      </c>
      <c r="I2908" s="370">
        <v>4485.0748901367188</v>
      </c>
      <c r="M2908" s="371">
        <f t="shared" si="181"/>
        <v>14091.040091448944</v>
      </c>
      <c r="N2908" s="329">
        <f t="shared" si="182"/>
        <v>477.61481323242197</v>
      </c>
      <c r="T2908" s="331">
        <v>0</v>
      </c>
      <c r="U2908" s="328">
        <f>VLOOKUP(C2908,METADATA!$J$5:$Q$29,IF(E2908="HI",2,IF(E2908="LO",6,10))+IF(T2908=1,2,IF(D2908=7,1,(IF(WEEKDAY(B2908)=1,2,IF(WEEKDAY(B2908)=7,1,0))))))</f>
        <v>3</v>
      </c>
      <c r="V2908" s="328">
        <f>VLOOKUP(C2908,METADATA!$A$5:$H$29,IF(E2908="HI",2,IF(E2908="LO",6,10))+IF(T2908=1,2,IF(D2908=7,1,(IF(WEEKDAY(B2908)=1,2,IF(WEEKDAY(B2908)=7,1,0))))))</f>
        <v>3</v>
      </c>
    </row>
    <row r="2909" spans="2:22">
      <c r="B2909" s="318">
        <f t="shared" si="183"/>
        <v>46234</v>
      </c>
      <c r="C2909" s="312">
        <v>1</v>
      </c>
      <c r="D2909" s="368">
        <f>IFERROR((INDEX(METADATA!$T$2:$T$20,MATCH(B2909,METADATA!$S$2:$S$20,0))),0)</f>
        <v>0</v>
      </c>
      <c r="E2909" s="312" t="str">
        <f t="shared" si="180"/>
        <v>LO</v>
      </c>
      <c r="F2909" s="369">
        <f>VLOOKUP(C2909,METADATA!$A$5:$H$29,IF(E2909="HI",2,IF(E2909="LO",6,10))+IF(D2909=1,2,IF(D2909=7,1,(IF(WEEKDAY(B2909)=1,2,IF(WEEKDAY(B2909)=7,1,0))))))</f>
        <v>3</v>
      </c>
      <c r="G2909" s="369">
        <f>VLOOKUP(C2909,METADATA!$J$5:$Q$29,IF(E2909="HI",2,IF(E2909="LO",6,10))+IF(D2909=1,2,IF(D2909=7,1,(IF(WEEKDAY(B2909)=1,2,IF(WEEKDAY(B2909)=7,1,0))))))</f>
        <v>3</v>
      </c>
      <c r="H2909" s="370">
        <v>13152.415161132813</v>
      </c>
      <c r="I2909" s="370">
        <v>4374.8949584960938</v>
      </c>
      <c r="M2909" s="371">
        <f t="shared" si="181"/>
        <v>13860.942625545738</v>
      </c>
      <c r="N2909" s="329">
        <f t="shared" si="182"/>
        <v>429.17041015625</v>
      </c>
      <c r="T2909" s="331">
        <v>0</v>
      </c>
      <c r="U2909" s="328">
        <f>VLOOKUP(C2909,METADATA!$J$5:$Q$29,IF(E2909="HI",2,IF(E2909="LO",6,10))+IF(T2909=1,2,IF(D2909=7,1,(IF(WEEKDAY(B2909)=1,2,IF(WEEKDAY(B2909)=7,1,0))))))</f>
        <v>3</v>
      </c>
      <c r="V2909" s="328">
        <f>VLOOKUP(C2909,METADATA!$A$5:$H$29,IF(E2909="HI",2,IF(E2909="LO",6,10))+IF(T2909=1,2,IF(D2909=7,1,(IF(WEEKDAY(B2909)=1,2,IF(WEEKDAY(B2909)=7,1,0))))))</f>
        <v>3</v>
      </c>
    </row>
    <row r="2910" spans="2:22">
      <c r="B2910" s="318">
        <f t="shared" si="183"/>
        <v>46234</v>
      </c>
      <c r="C2910" s="312">
        <v>2</v>
      </c>
      <c r="D2910" s="368">
        <f>IFERROR((INDEX(METADATA!$T$2:$T$20,MATCH(B2910,METADATA!$S$2:$S$20,0))),0)</f>
        <v>0</v>
      </c>
      <c r="E2910" s="312" t="str">
        <f t="shared" si="180"/>
        <v>LO</v>
      </c>
      <c r="F2910" s="369">
        <f>VLOOKUP(C2910,METADATA!$A$5:$H$29,IF(E2910="HI",2,IF(E2910="LO",6,10))+IF(D2910=1,2,IF(D2910=7,1,(IF(WEEKDAY(B2910)=1,2,IF(WEEKDAY(B2910)=7,1,0))))))</f>
        <v>3</v>
      </c>
      <c r="G2910" s="369">
        <f>VLOOKUP(C2910,METADATA!$J$5:$Q$29,IF(E2910="HI",2,IF(E2910="LO",6,10))+IF(D2910=1,2,IF(D2910=7,1,(IF(WEEKDAY(B2910)=1,2,IF(WEEKDAY(B2910)=7,1,0))))))</f>
        <v>3</v>
      </c>
      <c r="H2910" s="370">
        <v>13514.124755859375</v>
      </c>
      <c r="I2910" s="370">
        <v>4505.0350036621094</v>
      </c>
      <c r="M2910" s="371">
        <f t="shared" si="181"/>
        <v>14245.241602063199</v>
      </c>
      <c r="N2910" s="329">
        <f t="shared" si="182"/>
        <v>450.79757690429688</v>
      </c>
      <c r="T2910" s="331">
        <v>0</v>
      </c>
      <c r="U2910" s="328">
        <f>VLOOKUP(C2910,METADATA!$J$5:$Q$29,IF(E2910="HI",2,IF(E2910="LO",6,10))+IF(T2910=1,2,IF(D2910=7,1,(IF(WEEKDAY(B2910)=1,2,IF(WEEKDAY(B2910)=7,1,0))))))</f>
        <v>3</v>
      </c>
      <c r="V2910" s="328">
        <f>VLOOKUP(C2910,METADATA!$A$5:$H$29,IF(E2910="HI",2,IF(E2910="LO",6,10))+IF(T2910=1,2,IF(D2910=7,1,(IF(WEEKDAY(B2910)=1,2,IF(WEEKDAY(B2910)=7,1,0))))))</f>
        <v>3</v>
      </c>
    </row>
    <row r="2911" spans="2:22">
      <c r="B2911" s="318">
        <f t="shared" si="183"/>
        <v>46234</v>
      </c>
      <c r="C2911" s="312">
        <v>3</v>
      </c>
      <c r="D2911" s="368">
        <f>IFERROR((INDEX(METADATA!$T$2:$T$20,MATCH(B2911,METADATA!$S$2:$S$20,0))),0)</f>
        <v>0</v>
      </c>
      <c r="E2911" s="312" t="str">
        <f t="shared" si="180"/>
        <v>LO</v>
      </c>
      <c r="F2911" s="369">
        <f>VLOOKUP(C2911,METADATA!$A$5:$H$29,IF(E2911="HI",2,IF(E2911="LO",6,10))+IF(D2911=1,2,IF(D2911=7,1,(IF(WEEKDAY(B2911)=1,2,IF(WEEKDAY(B2911)=7,1,0))))))</f>
        <v>3</v>
      </c>
      <c r="G2911" s="369">
        <f>VLOOKUP(C2911,METADATA!$J$5:$Q$29,IF(E2911="HI",2,IF(E2911="LO",6,10))+IF(D2911=1,2,IF(D2911=7,1,(IF(WEEKDAY(B2911)=1,2,IF(WEEKDAY(B2911)=7,1,0))))))</f>
        <v>3</v>
      </c>
      <c r="H2911" s="370">
        <v>13627.249816894531</v>
      </c>
      <c r="I2911" s="370">
        <v>4532.0001220703125</v>
      </c>
      <c r="M2911" s="371">
        <f t="shared" si="181"/>
        <v>14361.091973749677</v>
      </c>
      <c r="N2911" s="329">
        <f t="shared" si="182"/>
        <v>443.82517700195331</v>
      </c>
      <c r="T2911" s="331">
        <v>0</v>
      </c>
      <c r="U2911" s="328">
        <f>VLOOKUP(C2911,METADATA!$J$5:$Q$29,IF(E2911="HI",2,IF(E2911="LO",6,10))+IF(T2911=1,2,IF(D2911=7,1,(IF(WEEKDAY(B2911)=1,2,IF(WEEKDAY(B2911)=7,1,0))))))</f>
        <v>3</v>
      </c>
      <c r="V2911" s="328">
        <f>VLOOKUP(C2911,METADATA!$A$5:$H$29,IF(E2911="HI",2,IF(E2911="LO",6,10))+IF(T2911=1,2,IF(D2911=7,1,(IF(WEEKDAY(B2911)=1,2,IF(WEEKDAY(B2911)=7,1,0))))))</f>
        <v>3</v>
      </c>
    </row>
    <row r="2912" spans="2:22">
      <c r="B2912" s="318">
        <f t="shared" si="183"/>
        <v>46234</v>
      </c>
      <c r="C2912" s="312">
        <v>4</v>
      </c>
      <c r="D2912" s="368">
        <f>IFERROR((INDEX(METADATA!$T$2:$T$20,MATCH(B2912,METADATA!$S$2:$S$20,0))),0)</f>
        <v>0</v>
      </c>
      <c r="E2912" s="312" t="str">
        <f t="shared" si="180"/>
        <v>LO</v>
      </c>
      <c r="F2912" s="369">
        <f>VLOOKUP(C2912,METADATA!$A$5:$H$29,IF(E2912="HI",2,IF(E2912="LO",6,10))+IF(D2912=1,2,IF(D2912=7,1,(IF(WEEKDAY(B2912)=1,2,IF(WEEKDAY(B2912)=7,1,0))))))</f>
        <v>3</v>
      </c>
      <c r="G2912" s="369">
        <f>VLOOKUP(C2912,METADATA!$J$5:$Q$29,IF(E2912="HI",2,IF(E2912="LO",6,10))+IF(D2912=1,2,IF(D2912=7,1,(IF(WEEKDAY(B2912)=1,2,IF(WEEKDAY(B2912)=7,1,0))))))</f>
        <v>3</v>
      </c>
      <c r="H2912" s="370">
        <v>13418.274963378906</v>
      </c>
      <c r="I2912" s="370">
        <v>4447.9699096679688</v>
      </c>
      <c r="M2912" s="371">
        <f t="shared" si="181"/>
        <v>14136.284494525175</v>
      </c>
      <c r="N2912" s="329">
        <f t="shared" si="182"/>
        <v>422.48742065429724</v>
      </c>
      <c r="T2912" s="331">
        <v>0</v>
      </c>
      <c r="U2912" s="328">
        <f>VLOOKUP(C2912,METADATA!$J$5:$Q$29,IF(E2912="HI",2,IF(E2912="LO",6,10))+IF(T2912=1,2,IF(D2912=7,1,(IF(WEEKDAY(B2912)=1,2,IF(WEEKDAY(B2912)=7,1,0))))))</f>
        <v>3</v>
      </c>
      <c r="V2912" s="328">
        <f>VLOOKUP(C2912,METADATA!$A$5:$H$29,IF(E2912="HI",2,IF(E2912="LO",6,10))+IF(T2912=1,2,IF(D2912=7,1,(IF(WEEKDAY(B2912)=1,2,IF(WEEKDAY(B2912)=7,1,0))))))</f>
        <v>3</v>
      </c>
    </row>
    <row r="2913" spans="2:22">
      <c r="B2913" s="318">
        <f t="shared" si="183"/>
        <v>46234</v>
      </c>
      <c r="C2913" s="312">
        <v>5</v>
      </c>
      <c r="D2913" s="368">
        <f>IFERROR((INDEX(METADATA!$T$2:$T$20,MATCH(B2913,METADATA!$S$2:$S$20,0))),0)</f>
        <v>0</v>
      </c>
      <c r="E2913" s="312" t="str">
        <f t="shared" si="180"/>
        <v>LO</v>
      </c>
      <c r="F2913" s="369">
        <f>VLOOKUP(C2913,METADATA!$A$5:$H$29,IF(E2913="HI",2,IF(E2913="LO",6,10))+IF(D2913=1,2,IF(D2913=7,1,(IF(WEEKDAY(B2913)=1,2,IF(WEEKDAY(B2913)=7,1,0))))))</f>
        <v>3</v>
      </c>
      <c r="G2913" s="369">
        <f>VLOOKUP(C2913,METADATA!$J$5:$Q$29,IF(E2913="HI",2,IF(E2913="LO",6,10))+IF(D2913=1,2,IF(D2913=7,1,(IF(WEEKDAY(B2913)=1,2,IF(WEEKDAY(B2913)=7,1,0))))))</f>
        <v>3</v>
      </c>
      <c r="H2913" s="370">
        <v>13243.124389648438</v>
      </c>
      <c r="I2913" s="370">
        <v>4323.8200073242188</v>
      </c>
      <c r="M2913" s="371">
        <f t="shared" si="181"/>
        <v>13931.10774688928</v>
      </c>
      <c r="N2913" s="329">
        <f t="shared" si="182"/>
        <v>350.8826904296875</v>
      </c>
      <c r="T2913" s="331">
        <v>0</v>
      </c>
      <c r="U2913" s="328">
        <f>VLOOKUP(C2913,METADATA!$J$5:$Q$29,IF(E2913="HI",2,IF(E2913="LO",6,10))+IF(T2913=1,2,IF(D2913=7,1,(IF(WEEKDAY(B2913)=1,2,IF(WEEKDAY(B2913)=7,1,0))))))</f>
        <v>3</v>
      </c>
      <c r="V2913" s="328">
        <f>VLOOKUP(C2913,METADATA!$A$5:$H$29,IF(E2913="HI",2,IF(E2913="LO",6,10))+IF(T2913=1,2,IF(D2913=7,1,(IF(WEEKDAY(B2913)=1,2,IF(WEEKDAY(B2913)=7,1,0))))))</f>
        <v>3</v>
      </c>
    </row>
    <row r="2914" spans="2:22">
      <c r="B2914" s="318">
        <f t="shared" si="183"/>
        <v>46234</v>
      </c>
      <c r="C2914" s="312">
        <v>6</v>
      </c>
      <c r="D2914" s="368">
        <f>IFERROR((INDEX(METADATA!$T$2:$T$20,MATCH(B2914,METADATA!$S$2:$S$20,0))),0)</f>
        <v>0</v>
      </c>
      <c r="E2914" s="312" t="str">
        <f t="shared" si="180"/>
        <v>LO</v>
      </c>
      <c r="F2914" s="369">
        <f>VLOOKUP(C2914,METADATA!$A$5:$H$29,IF(E2914="HI",2,IF(E2914="LO",6,10))+IF(D2914=1,2,IF(D2914=7,1,(IF(WEEKDAY(B2914)=1,2,IF(WEEKDAY(B2914)=7,1,0))))))</f>
        <v>2</v>
      </c>
      <c r="G2914" s="369">
        <f>VLOOKUP(C2914,METADATA!$J$5:$Q$29,IF(E2914="HI",2,IF(E2914="LO",6,10))+IF(D2914=1,2,IF(D2914=7,1,(IF(WEEKDAY(B2914)=1,2,IF(WEEKDAY(B2914)=7,1,0))))))</f>
        <v>2</v>
      </c>
      <c r="H2914" s="370">
        <v>13403.275085449219</v>
      </c>
      <c r="I2914" s="370">
        <v>4417.0050048828125</v>
      </c>
      <c r="M2914" s="371">
        <f t="shared" si="181"/>
        <v>14112.324976040751</v>
      </c>
      <c r="N2914" s="329">
        <f t="shared" si="182"/>
        <v>396.02247924804715</v>
      </c>
      <c r="T2914" s="331">
        <v>0</v>
      </c>
      <c r="U2914" s="328">
        <f>VLOOKUP(C2914,METADATA!$J$5:$Q$29,IF(E2914="HI",2,IF(E2914="LO",6,10))+IF(T2914=1,2,IF(D2914=7,1,(IF(WEEKDAY(B2914)=1,2,IF(WEEKDAY(B2914)=7,1,0))))))</f>
        <v>2</v>
      </c>
      <c r="V2914" s="328">
        <f>VLOOKUP(C2914,METADATA!$A$5:$H$29,IF(E2914="HI",2,IF(E2914="LO",6,10))+IF(T2914=1,2,IF(D2914=7,1,(IF(WEEKDAY(B2914)=1,2,IF(WEEKDAY(B2914)=7,1,0))))))</f>
        <v>2</v>
      </c>
    </row>
    <row r="2915" spans="2:22">
      <c r="B2915" s="318">
        <f t="shared" si="183"/>
        <v>46234</v>
      </c>
      <c r="C2915" s="312">
        <v>7</v>
      </c>
      <c r="D2915" s="368">
        <f>IFERROR((INDEX(METADATA!$T$2:$T$20,MATCH(B2915,METADATA!$S$2:$S$20,0))),0)</f>
        <v>0</v>
      </c>
      <c r="E2915" s="312" t="str">
        <f t="shared" si="180"/>
        <v>LO</v>
      </c>
      <c r="F2915" s="369">
        <f>VLOOKUP(C2915,METADATA!$A$5:$H$29,IF(E2915="HI",2,IF(E2915="LO",6,10))+IF(D2915=1,2,IF(D2915=7,1,(IF(WEEKDAY(B2915)=1,2,IF(WEEKDAY(B2915)=7,1,0))))))</f>
        <v>1</v>
      </c>
      <c r="G2915" s="369">
        <f>VLOOKUP(C2915,METADATA!$J$5:$Q$29,IF(E2915="HI",2,IF(E2915="LO",6,10))+IF(D2915=1,2,IF(D2915=7,1,(IF(WEEKDAY(B2915)=1,2,IF(WEEKDAY(B2915)=7,1,0))))))</f>
        <v>1</v>
      </c>
      <c r="H2915" s="370">
        <v>13459.075012207031</v>
      </c>
      <c r="I2915" s="370">
        <v>4398.5200500488281</v>
      </c>
      <c r="M2915" s="371">
        <f t="shared" si="181"/>
        <v>14159.579047941264</v>
      </c>
      <c r="N2915" s="329">
        <f t="shared" si="182"/>
        <v>360.79754638671875</v>
      </c>
      <c r="T2915" s="331">
        <v>0</v>
      </c>
      <c r="U2915" s="328">
        <f>VLOOKUP(C2915,METADATA!$J$5:$Q$29,IF(E2915="HI",2,IF(E2915="LO",6,10))+IF(T2915=1,2,IF(D2915=7,1,(IF(WEEKDAY(B2915)=1,2,IF(WEEKDAY(B2915)=7,1,0))))))</f>
        <v>1</v>
      </c>
      <c r="V2915" s="328">
        <f>VLOOKUP(C2915,METADATA!$A$5:$H$29,IF(E2915="HI",2,IF(E2915="LO",6,10))+IF(T2915=1,2,IF(D2915=7,1,(IF(WEEKDAY(B2915)=1,2,IF(WEEKDAY(B2915)=7,1,0))))))</f>
        <v>1</v>
      </c>
    </row>
    <row r="2916" spans="2:22">
      <c r="B2916" s="318">
        <f t="shared" si="183"/>
        <v>46234</v>
      </c>
      <c r="C2916" s="312">
        <v>8</v>
      </c>
      <c r="D2916" s="368">
        <f>IFERROR((INDEX(METADATA!$T$2:$T$20,MATCH(B2916,METADATA!$S$2:$S$20,0))),0)</f>
        <v>0</v>
      </c>
      <c r="E2916" s="312" t="str">
        <f t="shared" si="180"/>
        <v>LO</v>
      </c>
      <c r="F2916" s="369">
        <f>VLOOKUP(C2916,METADATA!$A$5:$H$29,IF(E2916="HI",2,IF(E2916="LO",6,10))+IF(D2916=1,2,IF(D2916=7,1,(IF(WEEKDAY(B2916)=1,2,IF(WEEKDAY(B2916)=7,1,0))))))</f>
        <v>1</v>
      </c>
      <c r="G2916" s="369">
        <f>VLOOKUP(C2916,METADATA!$J$5:$Q$29,IF(E2916="HI",2,IF(E2916="LO",6,10))+IF(D2916=1,2,IF(D2916=7,1,(IF(WEEKDAY(B2916)=1,2,IF(WEEKDAY(B2916)=7,1,0))))))</f>
        <v>1</v>
      </c>
      <c r="H2916" s="370">
        <v>13438.975158691406</v>
      </c>
      <c r="I2916" s="370">
        <v>4455.1300659179688</v>
      </c>
      <c r="M2916" s="371">
        <f t="shared" si="181"/>
        <v>14158.186226355794</v>
      </c>
      <c r="N2916" s="329">
        <f t="shared" si="182"/>
        <v>423.43751831054715</v>
      </c>
      <c r="T2916" s="331">
        <v>0</v>
      </c>
      <c r="U2916" s="328">
        <f>VLOOKUP(C2916,METADATA!$J$5:$Q$29,IF(E2916="HI",2,IF(E2916="LO",6,10))+IF(T2916=1,2,IF(D2916=7,1,(IF(WEEKDAY(B2916)=1,2,IF(WEEKDAY(B2916)=7,1,0))))))</f>
        <v>1</v>
      </c>
      <c r="V2916" s="328">
        <f>VLOOKUP(C2916,METADATA!$A$5:$H$29,IF(E2916="HI",2,IF(E2916="LO",6,10))+IF(T2916=1,2,IF(D2916=7,1,(IF(WEEKDAY(B2916)=1,2,IF(WEEKDAY(B2916)=7,1,0))))))</f>
        <v>1</v>
      </c>
    </row>
    <row r="2917" spans="2:22">
      <c r="B2917" s="318">
        <f t="shared" si="183"/>
        <v>46234</v>
      </c>
      <c r="C2917" s="312">
        <v>9</v>
      </c>
      <c r="D2917" s="368">
        <f>IFERROR((INDEX(METADATA!$T$2:$T$20,MATCH(B2917,METADATA!$S$2:$S$20,0))),0)</f>
        <v>0</v>
      </c>
      <c r="E2917" s="312" t="str">
        <f t="shared" si="180"/>
        <v>LO</v>
      </c>
      <c r="F2917" s="369">
        <f>VLOOKUP(C2917,METADATA!$A$5:$H$29,IF(E2917="HI",2,IF(E2917="LO",6,10))+IF(D2917=1,2,IF(D2917=7,1,(IF(WEEKDAY(B2917)=1,2,IF(WEEKDAY(B2917)=7,1,0))))))</f>
        <v>2</v>
      </c>
      <c r="G2917" s="369">
        <f>VLOOKUP(C2917,METADATA!$J$5:$Q$29,IF(E2917="HI",2,IF(E2917="LO",6,10))+IF(D2917=1,2,IF(D2917=7,1,(IF(WEEKDAY(B2917)=1,2,IF(WEEKDAY(B2917)=7,1,0))))))</f>
        <v>2</v>
      </c>
      <c r="H2917" s="370">
        <v>13177.64990234375</v>
      </c>
      <c r="I2917" s="370">
        <v>4266.2100219726563</v>
      </c>
      <c r="M2917" s="371">
        <f t="shared" si="181"/>
        <v>13851.029019546533</v>
      </c>
      <c r="N2917" s="329">
        <f t="shared" si="182"/>
        <v>312.91505126953143</v>
      </c>
      <c r="T2917" s="331">
        <v>0</v>
      </c>
      <c r="U2917" s="328">
        <f>VLOOKUP(C2917,METADATA!$J$5:$Q$29,IF(E2917="HI",2,IF(E2917="LO",6,10))+IF(T2917=1,2,IF(D2917=7,1,(IF(WEEKDAY(B2917)=1,2,IF(WEEKDAY(B2917)=7,1,0))))))</f>
        <v>2</v>
      </c>
      <c r="V2917" s="328">
        <f>VLOOKUP(C2917,METADATA!$A$5:$H$29,IF(E2917="HI",2,IF(E2917="LO",6,10))+IF(T2917=1,2,IF(D2917=7,1,(IF(WEEKDAY(B2917)=1,2,IF(WEEKDAY(B2917)=7,1,0))))))</f>
        <v>2</v>
      </c>
    </row>
    <row r="2918" spans="2:22">
      <c r="B2918" s="318">
        <f t="shared" si="183"/>
        <v>46234</v>
      </c>
      <c r="C2918" s="312">
        <v>10</v>
      </c>
      <c r="D2918" s="368">
        <f>IFERROR((INDEX(METADATA!$T$2:$T$20,MATCH(B2918,METADATA!$S$2:$S$20,0))),0)</f>
        <v>0</v>
      </c>
      <c r="E2918" s="312" t="str">
        <f t="shared" si="180"/>
        <v>LO</v>
      </c>
      <c r="F2918" s="369">
        <f>VLOOKUP(C2918,METADATA!$A$5:$H$29,IF(E2918="HI",2,IF(E2918="LO",6,10))+IF(D2918=1,2,IF(D2918=7,1,(IF(WEEKDAY(B2918)=1,2,IF(WEEKDAY(B2918)=7,1,0))))))</f>
        <v>2</v>
      </c>
      <c r="G2918" s="369">
        <f>VLOOKUP(C2918,METADATA!$J$5:$Q$29,IF(E2918="HI",2,IF(E2918="LO",6,10))+IF(D2918=1,2,IF(D2918=7,1,(IF(WEEKDAY(B2918)=1,2,IF(WEEKDAY(B2918)=7,1,0))))))</f>
        <v>2</v>
      </c>
      <c r="H2918" s="370">
        <v>13341.27490234375</v>
      </c>
      <c r="I2918" s="370">
        <v>4325.300048828125</v>
      </c>
      <c r="M2918" s="371">
        <f t="shared" si="181"/>
        <v>14024.900589034483</v>
      </c>
      <c r="N2918" s="329">
        <f t="shared" si="182"/>
        <v>322.91757812500009</v>
      </c>
      <c r="T2918" s="331">
        <v>0</v>
      </c>
      <c r="U2918" s="328">
        <f>VLOOKUP(C2918,METADATA!$J$5:$Q$29,IF(E2918="HI",2,IF(E2918="LO",6,10))+IF(T2918=1,2,IF(D2918=7,1,(IF(WEEKDAY(B2918)=1,2,IF(WEEKDAY(B2918)=7,1,0))))))</f>
        <v>2</v>
      </c>
      <c r="V2918" s="328">
        <f>VLOOKUP(C2918,METADATA!$A$5:$H$29,IF(E2918="HI",2,IF(E2918="LO",6,10))+IF(T2918=1,2,IF(D2918=7,1,(IF(WEEKDAY(B2918)=1,2,IF(WEEKDAY(B2918)=7,1,0))))))</f>
        <v>2</v>
      </c>
    </row>
    <row r="2919" spans="2:22">
      <c r="B2919" s="318">
        <f t="shared" si="183"/>
        <v>46234</v>
      </c>
      <c r="C2919" s="312">
        <v>11</v>
      </c>
      <c r="D2919" s="368">
        <f>IFERROR((INDEX(METADATA!$T$2:$T$20,MATCH(B2919,METADATA!$S$2:$S$20,0))),0)</f>
        <v>0</v>
      </c>
      <c r="E2919" s="312" t="str">
        <f t="shared" si="180"/>
        <v>LO</v>
      </c>
      <c r="F2919" s="369">
        <f>VLOOKUP(C2919,METADATA!$A$5:$H$29,IF(E2919="HI",2,IF(E2919="LO",6,10))+IF(D2919=1,2,IF(D2919=7,1,(IF(WEEKDAY(B2919)=1,2,IF(WEEKDAY(B2919)=7,1,0))))))</f>
        <v>2</v>
      </c>
      <c r="G2919" s="369">
        <f>VLOOKUP(C2919,METADATA!$J$5:$Q$29,IF(E2919="HI",2,IF(E2919="LO",6,10))+IF(D2919=1,2,IF(D2919=7,1,(IF(WEEKDAY(B2919)=1,2,IF(WEEKDAY(B2919)=7,1,0))))))</f>
        <v>2</v>
      </c>
      <c r="H2919" s="370">
        <v>13426.174682617188</v>
      </c>
      <c r="I2919" s="370">
        <v>4428.0300598144531</v>
      </c>
      <c r="M2919" s="371">
        <f t="shared" si="181"/>
        <v>14137.525130615017</v>
      </c>
      <c r="N2919" s="329">
        <f t="shared" si="182"/>
        <v>400.17765502929706</v>
      </c>
      <c r="T2919" s="331">
        <v>0</v>
      </c>
      <c r="U2919" s="328">
        <f>VLOOKUP(C2919,METADATA!$J$5:$Q$29,IF(E2919="HI",2,IF(E2919="LO",6,10))+IF(T2919=1,2,IF(D2919=7,1,(IF(WEEKDAY(B2919)=1,2,IF(WEEKDAY(B2919)=7,1,0))))))</f>
        <v>2</v>
      </c>
      <c r="V2919" s="328">
        <f>VLOOKUP(C2919,METADATA!$A$5:$H$29,IF(E2919="HI",2,IF(E2919="LO",6,10))+IF(T2919=1,2,IF(D2919=7,1,(IF(WEEKDAY(B2919)=1,2,IF(WEEKDAY(B2919)=7,1,0))))))</f>
        <v>2</v>
      </c>
    </row>
    <row r="2920" spans="2:22">
      <c r="B2920" s="318">
        <f t="shared" si="183"/>
        <v>46234</v>
      </c>
      <c r="C2920" s="312">
        <v>12</v>
      </c>
      <c r="D2920" s="368">
        <f>IFERROR((INDEX(METADATA!$T$2:$T$20,MATCH(B2920,METADATA!$S$2:$S$20,0))),0)</f>
        <v>0</v>
      </c>
      <c r="E2920" s="312" t="str">
        <f t="shared" si="180"/>
        <v>LO</v>
      </c>
      <c r="F2920" s="369">
        <f>VLOOKUP(C2920,METADATA!$A$5:$H$29,IF(E2920="HI",2,IF(E2920="LO",6,10))+IF(D2920=1,2,IF(D2920=7,1,(IF(WEEKDAY(B2920)=1,2,IF(WEEKDAY(B2920)=7,1,0))))))</f>
        <v>2</v>
      </c>
      <c r="G2920" s="369">
        <f>VLOOKUP(C2920,METADATA!$J$5:$Q$29,IF(E2920="HI",2,IF(E2920="LO",6,10))+IF(D2920=1,2,IF(D2920=7,1,(IF(WEEKDAY(B2920)=1,2,IF(WEEKDAY(B2920)=7,1,0))))))</f>
        <v>2</v>
      </c>
      <c r="H2920" s="370">
        <v>13432.500061035156</v>
      </c>
      <c r="I2920" s="370">
        <v>4511.1399230957031</v>
      </c>
      <c r="M2920" s="371">
        <f t="shared" si="181"/>
        <v>14169.77209751298</v>
      </c>
      <c r="N2920" s="329">
        <f t="shared" si="182"/>
        <v>481.38990478515643</v>
      </c>
      <c r="T2920" s="331">
        <v>0</v>
      </c>
      <c r="U2920" s="328">
        <f>VLOOKUP(C2920,METADATA!$J$5:$Q$29,IF(E2920="HI",2,IF(E2920="LO",6,10))+IF(T2920=1,2,IF(D2920=7,1,(IF(WEEKDAY(B2920)=1,2,IF(WEEKDAY(B2920)=7,1,0))))))</f>
        <v>2</v>
      </c>
      <c r="V2920" s="328">
        <f>VLOOKUP(C2920,METADATA!$A$5:$H$29,IF(E2920="HI",2,IF(E2920="LO",6,10))+IF(T2920=1,2,IF(D2920=7,1,(IF(WEEKDAY(B2920)=1,2,IF(WEEKDAY(B2920)=7,1,0))))))</f>
        <v>2</v>
      </c>
    </row>
    <row r="2921" spans="2:22">
      <c r="B2921" s="318">
        <f t="shared" si="183"/>
        <v>46234</v>
      </c>
      <c r="C2921" s="312">
        <v>13</v>
      </c>
      <c r="D2921" s="368">
        <f>IFERROR((INDEX(METADATA!$T$2:$T$20,MATCH(B2921,METADATA!$S$2:$S$20,0))),0)</f>
        <v>0</v>
      </c>
      <c r="E2921" s="312" t="str">
        <f t="shared" si="180"/>
        <v>LO</v>
      </c>
      <c r="F2921" s="369">
        <f>VLOOKUP(C2921,METADATA!$A$5:$H$29,IF(E2921="HI",2,IF(E2921="LO",6,10))+IF(D2921=1,2,IF(D2921=7,1,(IF(WEEKDAY(B2921)=1,2,IF(WEEKDAY(B2921)=7,1,0))))))</f>
        <v>2</v>
      </c>
      <c r="G2921" s="369">
        <f>VLOOKUP(C2921,METADATA!$J$5:$Q$29,IF(E2921="HI",2,IF(E2921="LO",6,10))+IF(D2921=1,2,IF(D2921=7,1,(IF(WEEKDAY(B2921)=1,2,IF(WEEKDAY(B2921)=7,1,0))))))</f>
        <v>2</v>
      </c>
      <c r="H2921" s="370">
        <v>13362.174865722656</v>
      </c>
      <c r="I2921" s="370">
        <v>4561.9700317382813</v>
      </c>
      <c r="M2921" s="371">
        <f t="shared" si="181"/>
        <v>14119.464852204153</v>
      </c>
      <c r="N2921" s="329">
        <f t="shared" si="182"/>
        <v>553.31757202148447</v>
      </c>
      <c r="T2921" s="331">
        <v>0</v>
      </c>
      <c r="U2921" s="328">
        <f>VLOOKUP(C2921,METADATA!$J$5:$Q$29,IF(E2921="HI",2,IF(E2921="LO",6,10))+IF(T2921=1,2,IF(D2921=7,1,(IF(WEEKDAY(B2921)=1,2,IF(WEEKDAY(B2921)=7,1,0))))))</f>
        <v>2</v>
      </c>
      <c r="V2921" s="328">
        <f>VLOOKUP(C2921,METADATA!$A$5:$H$29,IF(E2921="HI",2,IF(E2921="LO",6,10))+IF(T2921=1,2,IF(D2921=7,1,(IF(WEEKDAY(B2921)=1,2,IF(WEEKDAY(B2921)=7,1,0))))))</f>
        <v>2</v>
      </c>
    </row>
    <row r="2922" spans="2:22">
      <c r="B2922" s="318">
        <f t="shared" si="183"/>
        <v>46234</v>
      </c>
      <c r="C2922" s="312">
        <v>14</v>
      </c>
      <c r="D2922" s="368">
        <f>IFERROR((INDEX(METADATA!$T$2:$T$20,MATCH(B2922,METADATA!$S$2:$S$20,0))),0)</f>
        <v>0</v>
      </c>
      <c r="E2922" s="312" t="str">
        <f t="shared" si="180"/>
        <v>LO</v>
      </c>
      <c r="F2922" s="369">
        <f>VLOOKUP(C2922,METADATA!$A$5:$H$29,IF(E2922="HI",2,IF(E2922="LO",6,10))+IF(D2922=1,2,IF(D2922=7,1,(IF(WEEKDAY(B2922)=1,2,IF(WEEKDAY(B2922)=7,1,0))))))</f>
        <v>2</v>
      </c>
      <c r="G2922" s="369">
        <f>VLOOKUP(C2922,METADATA!$J$5:$Q$29,IF(E2922="HI",2,IF(E2922="LO",6,10))+IF(D2922=1,2,IF(D2922=7,1,(IF(WEEKDAY(B2922)=1,2,IF(WEEKDAY(B2922)=7,1,0))))))</f>
        <v>2</v>
      </c>
      <c r="H2922" s="370">
        <v>13510.4501953125</v>
      </c>
      <c r="I2922" s="370">
        <v>5256.824951171875</v>
      </c>
      <c r="M2922" s="371">
        <f t="shared" si="181"/>
        <v>14497.119474132878</v>
      </c>
      <c r="N2922" s="329">
        <f t="shared" si="182"/>
        <v>1203.6898925781252</v>
      </c>
      <c r="T2922" s="331">
        <v>0</v>
      </c>
      <c r="U2922" s="328">
        <f>VLOOKUP(C2922,METADATA!$J$5:$Q$29,IF(E2922="HI",2,IF(E2922="LO",6,10))+IF(T2922=1,2,IF(D2922=7,1,(IF(WEEKDAY(B2922)=1,2,IF(WEEKDAY(B2922)=7,1,0))))))</f>
        <v>2</v>
      </c>
      <c r="V2922" s="328">
        <f>VLOOKUP(C2922,METADATA!$A$5:$H$29,IF(E2922="HI",2,IF(E2922="LO",6,10))+IF(T2922=1,2,IF(D2922=7,1,(IF(WEEKDAY(B2922)=1,2,IF(WEEKDAY(B2922)=7,1,0))))))</f>
        <v>2</v>
      </c>
    </row>
    <row r="2923" spans="2:22">
      <c r="B2923" s="318">
        <f t="shared" si="183"/>
        <v>46234</v>
      </c>
      <c r="C2923" s="312">
        <v>15</v>
      </c>
      <c r="D2923" s="368">
        <f>IFERROR((INDEX(METADATA!$T$2:$T$20,MATCH(B2923,METADATA!$S$2:$S$20,0))),0)</f>
        <v>0</v>
      </c>
      <c r="E2923" s="312" t="str">
        <f t="shared" si="180"/>
        <v>LO</v>
      </c>
      <c r="F2923" s="369">
        <f>VLOOKUP(C2923,METADATA!$A$5:$H$29,IF(E2923="HI",2,IF(E2923="LO",6,10))+IF(D2923=1,2,IF(D2923=7,1,(IF(WEEKDAY(B2923)=1,2,IF(WEEKDAY(B2923)=7,1,0))))))</f>
        <v>2</v>
      </c>
      <c r="G2923" s="369">
        <f>VLOOKUP(C2923,METADATA!$J$5:$Q$29,IF(E2923="HI",2,IF(E2923="LO",6,10))+IF(D2923=1,2,IF(D2923=7,1,(IF(WEEKDAY(B2923)=1,2,IF(WEEKDAY(B2923)=7,1,0))))))</f>
        <v>2</v>
      </c>
      <c r="H2923" s="370">
        <v>13562.425048828125</v>
      </c>
      <c r="I2923" s="370">
        <v>5376.525146484375</v>
      </c>
      <c r="M2923" s="371">
        <f t="shared" si="181"/>
        <v>14589.256178978399</v>
      </c>
      <c r="N2923" s="329">
        <f t="shared" si="182"/>
        <v>1307.7976318359379</v>
      </c>
      <c r="T2923" s="331">
        <v>0</v>
      </c>
      <c r="U2923" s="328">
        <f>VLOOKUP(C2923,METADATA!$J$5:$Q$29,IF(E2923="HI",2,IF(E2923="LO",6,10))+IF(T2923=1,2,IF(D2923=7,1,(IF(WEEKDAY(B2923)=1,2,IF(WEEKDAY(B2923)=7,1,0))))))</f>
        <v>2</v>
      </c>
      <c r="V2923" s="328">
        <f>VLOOKUP(C2923,METADATA!$A$5:$H$29,IF(E2923="HI",2,IF(E2923="LO",6,10))+IF(T2923=1,2,IF(D2923=7,1,(IF(WEEKDAY(B2923)=1,2,IF(WEEKDAY(B2923)=7,1,0))))))</f>
        <v>2</v>
      </c>
    </row>
    <row r="2924" spans="2:22">
      <c r="B2924" s="318">
        <f t="shared" si="183"/>
        <v>46234</v>
      </c>
      <c r="C2924" s="312">
        <v>16</v>
      </c>
      <c r="D2924" s="368">
        <f>IFERROR((INDEX(METADATA!$T$2:$T$20,MATCH(B2924,METADATA!$S$2:$S$20,0))),0)</f>
        <v>0</v>
      </c>
      <c r="E2924" s="312" t="str">
        <f t="shared" si="180"/>
        <v>LO</v>
      </c>
      <c r="F2924" s="369">
        <f>VLOOKUP(C2924,METADATA!$A$5:$H$29,IF(E2924="HI",2,IF(E2924="LO",6,10))+IF(D2924=1,2,IF(D2924=7,1,(IF(WEEKDAY(B2924)=1,2,IF(WEEKDAY(B2924)=7,1,0))))))</f>
        <v>2</v>
      </c>
      <c r="G2924" s="369">
        <f>VLOOKUP(C2924,METADATA!$J$5:$Q$29,IF(E2924="HI",2,IF(E2924="LO",6,10))+IF(D2924=1,2,IF(D2924=7,1,(IF(WEEKDAY(B2924)=1,2,IF(WEEKDAY(B2924)=7,1,0))))))</f>
        <v>2</v>
      </c>
      <c r="H2924" s="370">
        <v>13550.924926757813</v>
      </c>
      <c r="I2924" s="370">
        <v>5120.6250610351563</v>
      </c>
      <c r="M2924" s="371">
        <f t="shared" si="181"/>
        <v>14486.143979207423</v>
      </c>
      <c r="N2924" s="329">
        <f t="shared" si="182"/>
        <v>1055.3475830078128</v>
      </c>
      <c r="T2924" s="331">
        <v>0</v>
      </c>
      <c r="U2924" s="328">
        <f>VLOOKUP(C2924,METADATA!$J$5:$Q$29,IF(E2924="HI",2,IF(E2924="LO",6,10))+IF(T2924=1,2,IF(D2924=7,1,(IF(WEEKDAY(B2924)=1,2,IF(WEEKDAY(B2924)=7,1,0))))))</f>
        <v>2</v>
      </c>
      <c r="V2924" s="328">
        <f>VLOOKUP(C2924,METADATA!$A$5:$H$29,IF(E2924="HI",2,IF(E2924="LO",6,10))+IF(T2924=1,2,IF(D2924=7,1,(IF(WEEKDAY(B2924)=1,2,IF(WEEKDAY(B2924)=7,1,0))))))</f>
        <v>2</v>
      </c>
    </row>
    <row r="2925" spans="2:22">
      <c r="B2925" s="318">
        <f t="shared" si="183"/>
        <v>46234</v>
      </c>
      <c r="C2925" s="312">
        <v>17</v>
      </c>
      <c r="D2925" s="368">
        <f>IFERROR((INDEX(METADATA!$T$2:$T$20,MATCH(B2925,METADATA!$S$2:$S$20,0))),0)</f>
        <v>0</v>
      </c>
      <c r="E2925" s="312" t="str">
        <f t="shared" si="180"/>
        <v>LO</v>
      </c>
      <c r="F2925" s="369">
        <f>VLOOKUP(C2925,METADATA!$A$5:$H$29,IF(E2925="HI",2,IF(E2925="LO",6,10))+IF(D2925=1,2,IF(D2925=7,1,(IF(WEEKDAY(B2925)=1,2,IF(WEEKDAY(B2925)=7,1,0))))))</f>
        <v>2</v>
      </c>
      <c r="G2925" s="369">
        <f>VLOOKUP(C2925,METADATA!$J$5:$Q$29,IF(E2925="HI",2,IF(E2925="LO",6,10))+IF(D2925=1,2,IF(D2925=7,1,(IF(WEEKDAY(B2925)=1,2,IF(WEEKDAY(B2925)=7,1,0))))))</f>
        <v>2</v>
      </c>
      <c r="H2925" s="370">
        <v>13382.749938964844</v>
      </c>
      <c r="I2925" s="370">
        <v>4409.8699951171875</v>
      </c>
      <c r="M2925" s="371">
        <f t="shared" si="181"/>
        <v>14090.597904372205</v>
      </c>
      <c r="N2925" s="329">
        <f t="shared" si="182"/>
        <v>395.04501342773438</v>
      </c>
      <c r="T2925" s="331">
        <v>0</v>
      </c>
      <c r="U2925" s="328">
        <f>VLOOKUP(C2925,METADATA!$J$5:$Q$29,IF(E2925="HI",2,IF(E2925="LO",6,10))+IF(T2925=1,2,IF(D2925=7,1,(IF(WEEKDAY(B2925)=1,2,IF(WEEKDAY(B2925)=7,1,0))))))</f>
        <v>2</v>
      </c>
      <c r="V2925" s="328">
        <f>VLOOKUP(C2925,METADATA!$A$5:$H$29,IF(E2925="HI",2,IF(E2925="LO",6,10))+IF(T2925=1,2,IF(D2925=7,1,(IF(WEEKDAY(B2925)=1,2,IF(WEEKDAY(B2925)=7,1,0))))))</f>
        <v>2</v>
      </c>
    </row>
    <row r="2926" spans="2:22">
      <c r="B2926" s="318">
        <f t="shared" si="183"/>
        <v>46234</v>
      </c>
      <c r="C2926" s="312">
        <v>18</v>
      </c>
      <c r="D2926" s="368">
        <f>IFERROR((INDEX(METADATA!$T$2:$T$20,MATCH(B2926,METADATA!$S$2:$S$20,0))),0)</f>
        <v>0</v>
      </c>
      <c r="E2926" s="312" t="str">
        <f t="shared" si="180"/>
        <v>LO</v>
      </c>
      <c r="F2926" s="369">
        <f>VLOOKUP(C2926,METADATA!$A$5:$H$29,IF(E2926="HI",2,IF(E2926="LO",6,10))+IF(D2926=1,2,IF(D2926=7,1,(IF(WEEKDAY(B2926)=1,2,IF(WEEKDAY(B2926)=7,1,0))))))</f>
        <v>1</v>
      </c>
      <c r="G2926" s="369">
        <f>VLOOKUP(C2926,METADATA!$J$5:$Q$29,IF(E2926="HI",2,IF(E2926="LO",6,10))+IF(D2926=1,2,IF(D2926=7,1,(IF(WEEKDAY(B2926)=1,2,IF(WEEKDAY(B2926)=7,1,0))))))</f>
        <v>1</v>
      </c>
      <c r="H2926" s="370">
        <v>13356.799865722656</v>
      </c>
      <c r="I2926" s="370">
        <v>4240.8799438476563</v>
      </c>
      <c r="M2926" s="371">
        <f t="shared" si="181"/>
        <v>14013.891870251393</v>
      </c>
      <c r="N2926" s="329">
        <f t="shared" si="182"/>
        <v>233.83998413085965</v>
      </c>
      <c r="T2926" s="331">
        <v>0</v>
      </c>
      <c r="U2926" s="328">
        <f>VLOOKUP(C2926,METADATA!$J$5:$Q$29,IF(E2926="HI",2,IF(E2926="LO",6,10))+IF(T2926=1,2,IF(D2926=7,1,(IF(WEEKDAY(B2926)=1,2,IF(WEEKDAY(B2926)=7,1,0))))))</f>
        <v>1</v>
      </c>
      <c r="V2926" s="328">
        <f>VLOOKUP(C2926,METADATA!$A$5:$H$29,IF(E2926="HI",2,IF(E2926="LO",6,10))+IF(T2926=1,2,IF(D2926=7,1,(IF(WEEKDAY(B2926)=1,2,IF(WEEKDAY(B2926)=7,1,0))))))</f>
        <v>1</v>
      </c>
    </row>
    <row r="2927" spans="2:22">
      <c r="B2927" s="318">
        <f t="shared" si="183"/>
        <v>46234</v>
      </c>
      <c r="C2927" s="312">
        <v>19</v>
      </c>
      <c r="D2927" s="368">
        <f>IFERROR((INDEX(METADATA!$T$2:$T$20,MATCH(B2927,METADATA!$S$2:$S$20,0))),0)</f>
        <v>0</v>
      </c>
      <c r="E2927" s="312" t="str">
        <f t="shared" si="180"/>
        <v>LO</v>
      </c>
      <c r="F2927" s="369">
        <f>VLOOKUP(C2927,METADATA!$A$5:$H$29,IF(E2927="HI",2,IF(E2927="LO",6,10))+IF(D2927=1,2,IF(D2927=7,1,(IF(WEEKDAY(B2927)=1,2,IF(WEEKDAY(B2927)=7,1,0))))))</f>
        <v>1</v>
      </c>
      <c r="G2927" s="369">
        <f>VLOOKUP(C2927,METADATA!$J$5:$Q$29,IF(E2927="HI",2,IF(E2927="LO",6,10))+IF(D2927=1,2,IF(D2927=7,1,(IF(WEEKDAY(B2927)=1,2,IF(WEEKDAY(B2927)=7,1,0))))))</f>
        <v>1</v>
      </c>
      <c r="H2927" s="370">
        <v>13783.974609375</v>
      </c>
      <c r="I2927" s="370">
        <v>4400.9849853515625</v>
      </c>
      <c r="M2927" s="371">
        <f t="shared" si="181"/>
        <v>14469.506725289033</v>
      </c>
      <c r="N2927" s="329">
        <f t="shared" si="182"/>
        <v>265.7926025390625</v>
      </c>
      <c r="T2927" s="331">
        <v>0</v>
      </c>
      <c r="U2927" s="328">
        <f>VLOOKUP(C2927,METADATA!$J$5:$Q$29,IF(E2927="HI",2,IF(E2927="LO",6,10))+IF(T2927=1,2,IF(D2927=7,1,(IF(WEEKDAY(B2927)=1,2,IF(WEEKDAY(B2927)=7,1,0))))))</f>
        <v>1</v>
      </c>
      <c r="V2927" s="328">
        <f>VLOOKUP(C2927,METADATA!$A$5:$H$29,IF(E2927="HI",2,IF(E2927="LO",6,10))+IF(T2927=1,2,IF(D2927=7,1,(IF(WEEKDAY(B2927)=1,2,IF(WEEKDAY(B2927)=7,1,0))))))</f>
        <v>1</v>
      </c>
    </row>
    <row r="2928" spans="2:22">
      <c r="B2928" s="318">
        <f t="shared" si="183"/>
        <v>46234</v>
      </c>
      <c r="C2928" s="312">
        <v>20</v>
      </c>
      <c r="D2928" s="368">
        <f>IFERROR((INDEX(METADATA!$T$2:$T$20,MATCH(B2928,METADATA!$S$2:$S$20,0))),0)</f>
        <v>0</v>
      </c>
      <c r="E2928" s="312" t="str">
        <f t="shared" si="180"/>
        <v>LO</v>
      </c>
      <c r="F2928" s="369">
        <f>VLOOKUP(C2928,METADATA!$A$5:$H$29,IF(E2928="HI",2,IF(E2928="LO",6,10))+IF(D2928=1,2,IF(D2928=7,1,(IF(WEEKDAY(B2928)=1,2,IF(WEEKDAY(B2928)=7,1,0))))))</f>
        <v>1</v>
      </c>
      <c r="G2928" s="369">
        <f>VLOOKUP(C2928,METADATA!$J$5:$Q$29,IF(E2928="HI",2,IF(E2928="LO",6,10))+IF(D2928=1,2,IF(D2928=7,1,(IF(WEEKDAY(B2928)=1,2,IF(WEEKDAY(B2928)=7,1,0))))))</f>
        <v>1</v>
      </c>
      <c r="H2928" s="370">
        <v>13815.624877929688</v>
      </c>
      <c r="I2928" s="370">
        <v>4479.5149841308594</v>
      </c>
      <c r="M2928" s="371">
        <f t="shared" si="181"/>
        <v>14523.689106446838</v>
      </c>
      <c r="N2928" s="329">
        <f t="shared" si="182"/>
        <v>334.82752075195367</v>
      </c>
      <c r="T2928" s="331">
        <v>0</v>
      </c>
      <c r="U2928" s="328">
        <f>VLOOKUP(C2928,METADATA!$J$5:$Q$29,IF(E2928="HI",2,IF(E2928="LO",6,10))+IF(T2928=1,2,IF(D2928=7,1,(IF(WEEKDAY(B2928)=1,2,IF(WEEKDAY(B2928)=7,1,0))))))</f>
        <v>1</v>
      </c>
      <c r="V2928" s="328">
        <f>VLOOKUP(C2928,METADATA!$A$5:$H$29,IF(E2928="HI",2,IF(E2928="LO",6,10))+IF(T2928=1,2,IF(D2928=7,1,(IF(WEEKDAY(B2928)=1,2,IF(WEEKDAY(B2928)=7,1,0))))))</f>
        <v>1</v>
      </c>
    </row>
    <row r="2929" spans="2:22">
      <c r="B2929" s="318">
        <f t="shared" si="183"/>
        <v>46234</v>
      </c>
      <c r="C2929" s="312">
        <v>21</v>
      </c>
      <c r="D2929" s="368">
        <f>IFERROR((INDEX(METADATA!$T$2:$T$20,MATCH(B2929,METADATA!$S$2:$S$20,0))),0)</f>
        <v>0</v>
      </c>
      <c r="E2929" s="312" t="str">
        <f t="shared" si="180"/>
        <v>LO</v>
      </c>
      <c r="F2929" s="369">
        <f>VLOOKUP(C2929,METADATA!$A$5:$H$29,IF(E2929="HI",2,IF(E2929="LO",6,10))+IF(D2929=1,2,IF(D2929=7,1,(IF(WEEKDAY(B2929)=1,2,IF(WEEKDAY(B2929)=7,1,0))))))</f>
        <v>2</v>
      </c>
      <c r="G2929" s="369">
        <f>VLOOKUP(C2929,METADATA!$J$5:$Q$29,IF(E2929="HI",2,IF(E2929="LO",6,10))+IF(D2929=1,2,IF(D2929=7,1,(IF(WEEKDAY(B2929)=1,2,IF(WEEKDAY(B2929)=7,1,0))))))</f>
        <v>2</v>
      </c>
      <c r="H2929" s="370">
        <v>13679.999755859375</v>
      </c>
      <c r="I2929" s="370">
        <v>4519.3250732421875</v>
      </c>
      <c r="M2929" s="371">
        <f t="shared" si="181"/>
        <v>14407.17503322383</v>
      </c>
      <c r="N2929" s="329">
        <f t="shared" si="182"/>
        <v>415.32514648437518</v>
      </c>
      <c r="T2929" s="331">
        <v>0</v>
      </c>
      <c r="U2929" s="328">
        <f>VLOOKUP(C2929,METADATA!$J$5:$Q$29,IF(E2929="HI",2,IF(E2929="LO",6,10))+IF(T2929=1,2,IF(D2929=7,1,(IF(WEEKDAY(B2929)=1,2,IF(WEEKDAY(B2929)=7,1,0))))))</f>
        <v>2</v>
      </c>
      <c r="V2929" s="328">
        <f>VLOOKUP(C2929,METADATA!$A$5:$H$29,IF(E2929="HI",2,IF(E2929="LO",6,10))+IF(T2929=1,2,IF(D2929=7,1,(IF(WEEKDAY(B2929)=1,2,IF(WEEKDAY(B2929)=7,1,0))))))</f>
        <v>2</v>
      </c>
    </row>
    <row r="2930" spans="2:22">
      <c r="B2930" s="318">
        <f t="shared" si="183"/>
        <v>46234</v>
      </c>
      <c r="C2930" s="312">
        <v>22</v>
      </c>
      <c r="D2930" s="368">
        <f>IFERROR((INDEX(METADATA!$T$2:$T$20,MATCH(B2930,METADATA!$S$2:$S$20,0))),0)</f>
        <v>0</v>
      </c>
      <c r="E2930" s="312" t="str">
        <f t="shared" si="180"/>
        <v>LO</v>
      </c>
      <c r="F2930" s="369">
        <f>VLOOKUP(C2930,METADATA!$A$5:$H$29,IF(E2930="HI",2,IF(E2930="LO",6,10))+IF(D2930=1,2,IF(D2930=7,1,(IF(WEEKDAY(B2930)=1,2,IF(WEEKDAY(B2930)=7,1,0))))))</f>
        <v>3</v>
      </c>
      <c r="G2930" s="369">
        <f>VLOOKUP(C2930,METADATA!$J$5:$Q$29,IF(E2930="HI",2,IF(E2930="LO",6,10))+IF(D2930=1,2,IF(D2930=7,1,(IF(WEEKDAY(B2930)=1,2,IF(WEEKDAY(B2930)=7,1,0))))))</f>
        <v>3</v>
      </c>
      <c r="H2930" s="370">
        <v>13526.000122070313</v>
      </c>
      <c r="I2930" s="370">
        <v>4541.1199340820313</v>
      </c>
      <c r="M2930" s="371">
        <f t="shared" si="181"/>
        <v>14267.951834722575</v>
      </c>
      <c r="N2930" s="329">
        <f t="shared" si="182"/>
        <v>483.31989746093768</v>
      </c>
      <c r="T2930" s="331">
        <v>0</v>
      </c>
      <c r="U2930" s="328">
        <f>VLOOKUP(C2930,METADATA!$J$5:$Q$29,IF(E2930="HI",2,IF(E2930="LO",6,10))+IF(T2930=1,2,IF(D2930=7,1,(IF(WEEKDAY(B2930)=1,2,IF(WEEKDAY(B2930)=7,1,0))))))</f>
        <v>3</v>
      </c>
      <c r="V2930" s="328">
        <f>VLOOKUP(C2930,METADATA!$A$5:$H$29,IF(E2930="HI",2,IF(E2930="LO",6,10))+IF(T2930=1,2,IF(D2930=7,1,(IF(WEEKDAY(B2930)=1,2,IF(WEEKDAY(B2930)=7,1,0))))))</f>
        <v>3</v>
      </c>
    </row>
    <row r="2931" spans="2:22">
      <c r="B2931" s="318">
        <f t="shared" si="183"/>
        <v>46234</v>
      </c>
      <c r="C2931" s="312">
        <v>23</v>
      </c>
      <c r="D2931" s="368">
        <f>IFERROR((INDEX(METADATA!$T$2:$T$20,MATCH(B2931,METADATA!$S$2:$S$20,0))),0)</f>
        <v>0</v>
      </c>
      <c r="E2931" s="312" t="str">
        <f t="shared" si="180"/>
        <v>LO</v>
      </c>
      <c r="F2931" s="369">
        <f>VLOOKUP(C2931,METADATA!$A$5:$H$29,IF(E2931="HI",2,IF(E2931="LO",6,10))+IF(D2931=1,2,IF(D2931=7,1,(IF(WEEKDAY(B2931)=1,2,IF(WEEKDAY(B2931)=7,1,0))))))</f>
        <v>3</v>
      </c>
      <c r="G2931" s="369">
        <f>VLOOKUP(C2931,METADATA!$J$5:$Q$29,IF(E2931="HI",2,IF(E2931="LO",6,10))+IF(D2931=1,2,IF(D2931=7,1,(IF(WEEKDAY(B2931)=1,2,IF(WEEKDAY(B2931)=7,1,0))))))</f>
        <v>3</v>
      </c>
      <c r="H2931" s="370">
        <v>13618.999877929688</v>
      </c>
      <c r="I2931" s="370">
        <v>4570.7599182128906</v>
      </c>
      <c r="M2931" s="371">
        <f t="shared" si="181"/>
        <v>14365.549203040946</v>
      </c>
      <c r="N2931" s="329">
        <f t="shared" si="182"/>
        <v>485.05995483398465</v>
      </c>
      <c r="T2931" s="331">
        <v>0</v>
      </c>
      <c r="U2931" s="328">
        <f>VLOOKUP(C2931,METADATA!$J$5:$Q$29,IF(E2931="HI",2,IF(E2931="LO",6,10))+IF(T2931=1,2,IF(D2931=7,1,(IF(WEEKDAY(B2931)=1,2,IF(WEEKDAY(B2931)=7,1,0))))))</f>
        <v>3</v>
      </c>
      <c r="V2931" s="328">
        <f>VLOOKUP(C2931,METADATA!$A$5:$H$29,IF(E2931="HI",2,IF(E2931="LO",6,10))+IF(T2931=1,2,IF(D2931=7,1,(IF(WEEKDAY(B2931)=1,2,IF(WEEKDAY(B2931)=7,1,0))))))</f>
        <v>3</v>
      </c>
    </row>
    <row r="2932" spans="2:22">
      <c r="B2932" s="318">
        <f t="shared" si="183"/>
        <v>46235</v>
      </c>
      <c r="C2932" s="312">
        <v>0</v>
      </c>
      <c r="D2932" s="368">
        <f>IFERROR((INDEX(METADATA!$T$2:$T$20,MATCH(B2932,METADATA!$S$2:$S$20,0))),0)</f>
        <v>0</v>
      </c>
      <c r="E2932" s="312" t="str">
        <f t="shared" si="180"/>
        <v>LO</v>
      </c>
      <c r="F2932" s="369">
        <f>VLOOKUP(C2932,METADATA!$A$5:$H$29,IF(E2932="HI",2,IF(E2932="LO",6,10))+IF(D2932=1,2,IF(D2932=7,1,(IF(WEEKDAY(B2932)=1,2,IF(WEEKDAY(B2932)=7,1,0))))))</f>
        <v>3</v>
      </c>
      <c r="G2932" s="369">
        <f>VLOOKUP(C2932,METADATA!$J$5:$Q$29,IF(E2932="HI",2,IF(E2932="LO",6,10))+IF(D2932=1,2,IF(D2932=7,1,(IF(WEEKDAY(B2932)=1,2,IF(WEEKDAY(B2932)=7,1,0))))))</f>
        <v>3</v>
      </c>
      <c r="H2932" s="370">
        <v>13607.925048828125</v>
      </c>
      <c r="I2932" s="370">
        <v>4475.9099426269531</v>
      </c>
      <c r="M2932" s="371">
        <f t="shared" si="181"/>
        <v>14325.131550845554</v>
      </c>
      <c r="N2932" s="329">
        <f t="shared" si="182"/>
        <v>393.5324279785159</v>
      </c>
      <c r="T2932" s="331">
        <v>0</v>
      </c>
      <c r="U2932" s="328">
        <f>VLOOKUP(C2932,METADATA!$J$5:$Q$29,IF(E2932="HI",2,IF(E2932="LO",6,10))+IF(T2932=1,2,IF(D2932=7,1,(IF(WEEKDAY(B2932)=1,2,IF(WEEKDAY(B2932)=7,1,0))))))</f>
        <v>3</v>
      </c>
      <c r="V2932" s="328">
        <f>VLOOKUP(C2932,METADATA!$A$5:$H$29,IF(E2932="HI",2,IF(E2932="LO",6,10))+IF(T2932=1,2,IF(D2932=7,1,(IF(WEEKDAY(B2932)=1,2,IF(WEEKDAY(B2932)=7,1,0))))))</f>
        <v>3</v>
      </c>
    </row>
    <row r="2933" spans="2:22">
      <c r="B2933" s="318">
        <f t="shared" si="183"/>
        <v>46235</v>
      </c>
      <c r="C2933" s="312">
        <v>1</v>
      </c>
      <c r="D2933" s="368">
        <f>IFERROR((INDEX(METADATA!$T$2:$T$20,MATCH(B2933,METADATA!$S$2:$S$20,0))),0)</f>
        <v>0</v>
      </c>
      <c r="E2933" s="312" t="str">
        <f t="shared" si="180"/>
        <v>LO</v>
      </c>
      <c r="F2933" s="369">
        <f>VLOOKUP(C2933,METADATA!$A$5:$H$29,IF(E2933="HI",2,IF(E2933="LO",6,10))+IF(D2933=1,2,IF(D2933=7,1,(IF(WEEKDAY(B2933)=1,2,IF(WEEKDAY(B2933)=7,1,0))))))</f>
        <v>3</v>
      </c>
      <c r="G2933" s="369">
        <f>VLOOKUP(C2933,METADATA!$J$5:$Q$29,IF(E2933="HI",2,IF(E2933="LO",6,10))+IF(D2933=1,2,IF(D2933=7,1,(IF(WEEKDAY(B2933)=1,2,IF(WEEKDAY(B2933)=7,1,0))))))</f>
        <v>3</v>
      </c>
      <c r="H2933" s="370">
        <v>13591.155212402344</v>
      </c>
      <c r="I2933" s="370">
        <v>4515.9500427246094</v>
      </c>
      <c r="M2933" s="371">
        <f t="shared" si="181"/>
        <v>14321.777291802711</v>
      </c>
      <c r="N2933" s="329">
        <f t="shared" si="182"/>
        <v>438.60347900390661</v>
      </c>
      <c r="T2933" s="331">
        <v>0</v>
      </c>
      <c r="U2933" s="328">
        <f>VLOOKUP(C2933,METADATA!$J$5:$Q$29,IF(E2933="HI",2,IF(E2933="LO",6,10))+IF(T2933=1,2,IF(D2933=7,1,(IF(WEEKDAY(B2933)=1,2,IF(WEEKDAY(B2933)=7,1,0))))))</f>
        <v>3</v>
      </c>
      <c r="V2933" s="328">
        <f>VLOOKUP(C2933,METADATA!$A$5:$H$29,IF(E2933="HI",2,IF(E2933="LO",6,10))+IF(T2933=1,2,IF(D2933=7,1,(IF(WEEKDAY(B2933)=1,2,IF(WEEKDAY(B2933)=7,1,0))))))</f>
        <v>3</v>
      </c>
    </row>
    <row r="2934" spans="2:22">
      <c r="B2934" s="318">
        <f t="shared" si="183"/>
        <v>46235</v>
      </c>
      <c r="C2934" s="312">
        <v>2</v>
      </c>
      <c r="D2934" s="368">
        <f>IFERROR((INDEX(METADATA!$T$2:$T$20,MATCH(B2934,METADATA!$S$2:$S$20,0))),0)</f>
        <v>0</v>
      </c>
      <c r="E2934" s="312" t="str">
        <f t="shared" si="180"/>
        <v>LO</v>
      </c>
      <c r="F2934" s="369">
        <f>VLOOKUP(C2934,METADATA!$A$5:$H$29,IF(E2934="HI",2,IF(E2934="LO",6,10))+IF(D2934=1,2,IF(D2934=7,1,(IF(WEEKDAY(B2934)=1,2,IF(WEEKDAY(B2934)=7,1,0))))))</f>
        <v>3</v>
      </c>
      <c r="G2934" s="369">
        <f>VLOOKUP(C2934,METADATA!$J$5:$Q$29,IF(E2934="HI",2,IF(E2934="LO",6,10))+IF(D2934=1,2,IF(D2934=7,1,(IF(WEEKDAY(B2934)=1,2,IF(WEEKDAY(B2934)=7,1,0))))))</f>
        <v>3</v>
      </c>
      <c r="H2934" s="370">
        <v>13661.500122070313</v>
      </c>
      <c r="I2934" s="370">
        <v>4492.4901123046875</v>
      </c>
      <c r="M2934" s="371">
        <f t="shared" si="181"/>
        <v>14381.204851975461</v>
      </c>
      <c r="N2934" s="329">
        <f t="shared" si="182"/>
        <v>394.0400756835943</v>
      </c>
      <c r="T2934" s="331">
        <v>0</v>
      </c>
      <c r="U2934" s="328">
        <f>VLOOKUP(C2934,METADATA!$J$5:$Q$29,IF(E2934="HI",2,IF(E2934="LO",6,10))+IF(T2934=1,2,IF(D2934=7,1,(IF(WEEKDAY(B2934)=1,2,IF(WEEKDAY(B2934)=7,1,0))))))</f>
        <v>3</v>
      </c>
      <c r="V2934" s="328">
        <f>VLOOKUP(C2934,METADATA!$A$5:$H$29,IF(E2934="HI",2,IF(E2934="LO",6,10))+IF(T2934=1,2,IF(D2934=7,1,(IF(WEEKDAY(B2934)=1,2,IF(WEEKDAY(B2934)=7,1,0))))))</f>
        <v>3</v>
      </c>
    </row>
    <row r="2935" spans="2:22">
      <c r="B2935" s="318">
        <f t="shared" si="183"/>
        <v>46235</v>
      </c>
      <c r="C2935" s="312">
        <v>3</v>
      </c>
      <c r="D2935" s="368">
        <f>IFERROR((INDEX(METADATA!$T$2:$T$20,MATCH(B2935,METADATA!$S$2:$S$20,0))),0)</f>
        <v>0</v>
      </c>
      <c r="E2935" s="312" t="str">
        <f t="shared" si="180"/>
        <v>LO</v>
      </c>
      <c r="F2935" s="369">
        <f>VLOOKUP(C2935,METADATA!$A$5:$H$29,IF(E2935="HI",2,IF(E2935="LO",6,10))+IF(D2935=1,2,IF(D2935=7,1,(IF(WEEKDAY(B2935)=1,2,IF(WEEKDAY(B2935)=7,1,0))))))</f>
        <v>3</v>
      </c>
      <c r="G2935" s="369">
        <f>VLOOKUP(C2935,METADATA!$J$5:$Q$29,IF(E2935="HI",2,IF(E2935="LO",6,10))+IF(D2935=1,2,IF(D2935=7,1,(IF(WEEKDAY(B2935)=1,2,IF(WEEKDAY(B2935)=7,1,0))))))</f>
        <v>3</v>
      </c>
      <c r="H2935" s="370">
        <v>13512.724609375</v>
      </c>
      <c r="I2935" s="370">
        <v>4397.06005859375</v>
      </c>
      <c r="M2935" s="371">
        <f t="shared" si="181"/>
        <v>14210.132424706295</v>
      </c>
      <c r="N2935" s="329">
        <f t="shared" si="182"/>
        <v>343.24267578125</v>
      </c>
      <c r="T2935" s="331">
        <v>0</v>
      </c>
      <c r="U2935" s="328">
        <f>VLOOKUP(C2935,METADATA!$J$5:$Q$29,IF(E2935="HI",2,IF(E2935="LO",6,10))+IF(T2935=1,2,IF(D2935=7,1,(IF(WEEKDAY(B2935)=1,2,IF(WEEKDAY(B2935)=7,1,0))))))</f>
        <v>3</v>
      </c>
      <c r="V2935" s="328">
        <f>VLOOKUP(C2935,METADATA!$A$5:$H$29,IF(E2935="HI",2,IF(E2935="LO",6,10))+IF(T2935=1,2,IF(D2935=7,1,(IF(WEEKDAY(B2935)=1,2,IF(WEEKDAY(B2935)=7,1,0))))))</f>
        <v>3</v>
      </c>
    </row>
    <row r="2936" spans="2:22">
      <c r="B2936" s="318">
        <f t="shared" si="183"/>
        <v>46235</v>
      </c>
      <c r="C2936" s="312">
        <v>4</v>
      </c>
      <c r="D2936" s="368">
        <f>IFERROR((INDEX(METADATA!$T$2:$T$20,MATCH(B2936,METADATA!$S$2:$S$20,0))),0)</f>
        <v>0</v>
      </c>
      <c r="E2936" s="312" t="str">
        <f t="shared" si="180"/>
        <v>LO</v>
      </c>
      <c r="F2936" s="369">
        <f>VLOOKUP(C2936,METADATA!$A$5:$H$29,IF(E2936="HI",2,IF(E2936="LO",6,10))+IF(D2936=1,2,IF(D2936=7,1,(IF(WEEKDAY(B2936)=1,2,IF(WEEKDAY(B2936)=7,1,0))))))</f>
        <v>3</v>
      </c>
      <c r="G2936" s="369">
        <f>VLOOKUP(C2936,METADATA!$J$5:$Q$29,IF(E2936="HI",2,IF(E2936="LO",6,10))+IF(D2936=1,2,IF(D2936=7,1,(IF(WEEKDAY(B2936)=1,2,IF(WEEKDAY(B2936)=7,1,0))))))</f>
        <v>3</v>
      </c>
      <c r="H2936" s="370">
        <v>13680.125122070313</v>
      </c>
      <c r="I2936" s="370">
        <v>4617.199951171875</v>
      </c>
      <c r="M2936" s="371">
        <f t="shared" si="181"/>
        <v>14438.29486970677</v>
      </c>
      <c r="N2936" s="329">
        <f t="shared" si="182"/>
        <v>513.16241455078125</v>
      </c>
      <c r="T2936" s="331">
        <v>0</v>
      </c>
      <c r="U2936" s="328">
        <f>VLOOKUP(C2936,METADATA!$J$5:$Q$29,IF(E2936="HI",2,IF(E2936="LO",6,10))+IF(T2936=1,2,IF(D2936=7,1,(IF(WEEKDAY(B2936)=1,2,IF(WEEKDAY(B2936)=7,1,0))))))</f>
        <v>3</v>
      </c>
      <c r="V2936" s="328">
        <f>VLOOKUP(C2936,METADATA!$A$5:$H$29,IF(E2936="HI",2,IF(E2936="LO",6,10))+IF(T2936=1,2,IF(D2936=7,1,(IF(WEEKDAY(B2936)=1,2,IF(WEEKDAY(B2936)=7,1,0))))))</f>
        <v>3</v>
      </c>
    </row>
    <row r="2937" spans="2:22">
      <c r="B2937" s="318">
        <f t="shared" si="183"/>
        <v>46235</v>
      </c>
      <c r="C2937" s="312">
        <v>5</v>
      </c>
      <c r="D2937" s="368">
        <f>IFERROR((INDEX(METADATA!$T$2:$T$20,MATCH(B2937,METADATA!$S$2:$S$20,0))),0)</f>
        <v>0</v>
      </c>
      <c r="E2937" s="312" t="str">
        <f t="shared" si="180"/>
        <v>LO</v>
      </c>
      <c r="F2937" s="369">
        <f>VLOOKUP(C2937,METADATA!$A$5:$H$29,IF(E2937="HI",2,IF(E2937="LO",6,10))+IF(D2937=1,2,IF(D2937=7,1,(IF(WEEKDAY(B2937)=1,2,IF(WEEKDAY(B2937)=7,1,0))))))</f>
        <v>3</v>
      </c>
      <c r="G2937" s="369">
        <f>VLOOKUP(C2937,METADATA!$J$5:$Q$29,IF(E2937="HI",2,IF(E2937="LO",6,10))+IF(D2937=1,2,IF(D2937=7,1,(IF(WEEKDAY(B2937)=1,2,IF(WEEKDAY(B2937)=7,1,0))))))</f>
        <v>3</v>
      </c>
      <c r="H2937" s="370">
        <v>13722.749755859375</v>
      </c>
      <c r="I2937" s="370">
        <v>4595.1200561523438</v>
      </c>
      <c r="M2937" s="371">
        <f t="shared" si="181"/>
        <v>14471.66159058427</v>
      </c>
      <c r="N2937" s="329">
        <f t="shared" si="182"/>
        <v>478.29512939453161</v>
      </c>
      <c r="T2937" s="331">
        <v>0</v>
      </c>
      <c r="U2937" s="328">
        <f>VLOOKUP(C2937,METADATA!$J$5:$Q$29,IF(E2937="HI",2,IF(E2937="LO",6,10))+IF(T2937=1,2,IF(D2937=7,1,(IF(WEEKDAY(B2937)=1,2,IF(WEEKDAY(B2937)=7,1,0))))))</f>
        <v>3</v>
      </c>
      <c r="V2937" s="328">
        <f>VLOOKUP(C2937,METADATA!$A$5:$H$29,IF(E2937="HI",2,IF(E2937="LO",6,10))+IF(T2937=1,2,IF(D2937=7,1,(IF(WEEKDAY(B2937)=1,2,IF(WEEKDAY(B2937)=7,1,0))))))</f>
        <v>3</v>
      </c>
    </row>
    <row r="2938" spans="2:22">
      <c r="B2938" s="318">
        <f t="shared" si="183"/>
        <v>46235</v>
      </c>
      <c r="C2938" s="312">
        <v>6</v>
      </c>
      <c r="D2938" s="368">
        <f>IFERROR((INDEX(METADATA!$T$2:$T$20,MATCH(B2938,METADATA!$S$2:$S$20,0))),0)</f>
        <v>0</v>
      </c>
      <c r="E2938" s="312" t="str">
        <f t="shared" si="180"/>
        <v>LO</v>
      </c>
      <c r="F2938" s="369">
        <f>VLOOKUP(C2938,METADATA!$A$5:$H$29,IF(E2938="HI",2,IF(E2938="LO",6,10))+IF(D2938=1,2,IF(D2938=7,1,(IF(WEEKDAY(B2938)=1,2,IF(WEEKDAY(B2938)=7,1,0))))))</f>
        <v>3</v>
      </c>
      <c r="G2938" s="369">
        <f>VLOOKUP(C2938,METADATA!$J$5:$Q$29,IF(E2938="HI",2,IF(E2938="LO",6,10))+IF(D2938=1,2,IF(D2938=7,1,(IF(WEEKDAY(B2938)=1,2,IF(WEEKDAY(B2938)=7,1,0))))))</f>
        <v>3</v>
      </c>
      <c r="H2938" s="370">
        <v>13506.224487304688</v>
      </c>
      <c r="I2938" s="370">
        <v>4441.3050842285156</v>
      </c>
      <c r="M2938" s="371">
        <f t="shared" si="181"/>
        <v>14217.710460994162</v>
      </c>
      <c r="N2938" s="329">
        <f t="shared" si="182"/>
        <v>389.43773803710974</v>
      </c>
      <c r="T2938" s="331">
        <v>0</v>
      </c>
      <c r="U2938" s="328">
        <f>VLOOKUP(C2938,METADATA!$J$5:$Q$29,IF(E2938="HI",2,IF(E2938="LO",6,10))+IF(T2938=1,2,IF(D2938=7,1,(IF(WEEKDAY(B2938)=1,2,IF(WEEKDAY(B2938)=7,1,0))))))</f>
        <v>3</v>
      </c>
      <c r="V2938" s="328">
        <f>VLOOKUP(C2938,METADATA!$A$5:$H$29,IF(E2938="HI",2,IF(E2938="LO",6,10))+IF(T2938=1,2,IF(D2938=7,1,(IF(WEEKDAY(B2938)=1,2,IF(WEEKDAY(B2938)=7,1,0))))))</f>
        <v>3</v>
      </c>
    </row>
    <row r="2939" spans="2:22">
      <c r="B2939" s="318">
        <f t="shared" si="183"/>
        <v>46235</v>
      </c>
      <c r="C2939" s="312">
        <v>7</v>
      </c>
      <c r="D2939" s="368">
        <f>IFERROR((INDEX(METADATA!$T$2:$T$20,MATCH(B2939,METADATA!$S$2:$S$20,0))),0)</f>
        <v>0</v>
      </c>
      <c r="E2939" s="312" t="str">
        <f t="shared" si="180"/>
        <v>LO</v>
      </c>
      <c r="F2939" s="369">
        <f>VLOOKUP(C2939,METADATA!$A$5:$H$29,IF(E2939="HI",2,IF(E2939="LO",6,10))+IF(D2939=1,2,IF(D2939=7,1,(IF(WEEKDAY(B2939)=1,2,IF(WEEKDAY(B2939)=7,1,0))))))</f>
        <v>2</v>
      </c>
      <c r="G2939" s="369">
        <f>VLOOKUP(C2939,METADATA!$J$5:$Q$29,IF(E2939="HI",2,IF(E2939="LO",6,10))+IF(D2939=1,2,IF(D2939=7,1,(IF(WEEKDAY(B2939)=1,2,IF(WEEKDAY(B2939)=7,1,0))))))</f>
        <v>2</v>
      </c>
      <c r="H2939" s="370">
        <v>13359.97509765625</v>
      </c>
      <c r="I2939" s="370">
        <v>4287.0499267578125</v>
      </c>
      <c r="M2939" s="371">
        <f t="shared" si="181"/>
        <v>14030.956192808431</v>
      </c>
      <c r="N2939" s="329">
        <f t="shared" si="182"/>
        <v>279.05739746093786</v>
      </c>
      <c r="T2939" s="331">
        <v>0</v>
      </c>
      <c r="U2939" s="328">
        <f>VLOOKUP(C2939,METADATA!$J$5:$Q$29,IF(E2939="HI",2,IF(E2939="LO",6,10))+IF(T2939=1,2,IF(D2939=7,1,(IF(WEEKDAY(B2939)=1,2,IF(WEEKDAY(B2939)=7,1,0))))))</f>
        <v>2</v>
      </c>
      <c r="V2939" s="328">
        <f>VLOOKUP(C2939,METADATA!$A$5:$H$29,IF(E2939="HI",2,IF(E2939="LO",6,10))+IF(T2939=1,2,IF(D2939=7,1,(IF(WEEKDAY(B2939)=1,2,IF(WEEKDAY(B2939)=7,1,0))))))</f>
        <v>2</v>
      </c>
    </row>
    <row r="2940" spans="2:22">
      <c r="B2940" s="318">
        <f t="shared" si="183"/>
        <v>46235</v>
      </c>
      <c r="C2940" s="312">
        <v>8</v>
      </c>
      <c r="D2940" s="368">
        <f>IFERROR((INDEX(METADATA!$T$2:$T$20,MATCH(B2940,METADATA!$S$2:$S$20,0))),0)</f>
        <v>0</v>
      </c>
      <c r="E2940" s="312" t="str">
        <f t="shared" si="180"/>
        <v>LO</v>
      </c>
      <c r="F2940" s="369">
        <f>VLOOKUP(C2940,METADATA!$A$5:$H$29,IF(E2940="HI",2,IF(E2940="LO",6,10))+IF(D2940=1,2,IF(D2940=7,1,(IF(WEEKDAY(B2940)=1,2,IF(WEEKDAY(B2940)=7,1,0))))))</f>
        <v>2</v>
      </c>
      <c r="G2940" s="369">
        <f>VLOOKUP(C2940,METADATA!$J$5:$Q$29,IF(E2940="HI",2,IF(E2940="LO",6,10))+IF(D2940=1,2,IF(D2940=7,1,(IF(WEEKDAY(B2940)=1,2,IF(WEEKDAY(B2940)=7,1,0))))))</f>
        <v>2</v>
      </c>
      <c r="H2940" s="370">
        <v>13479.550231933594</v>
      </c>
      <c r="I2940" s="370">
        <v>4231.445068359375</v>
      </c>
      <c r="M2940" s="371">
        <f t="shared" si="181"/>
        <v>14128.106802461676</v>
      </c>
      <c r="N2940" s="329">
        <f t="shared" si="182"/>
        <v>187.57999877929706</v>
      </c>
      <c r="T2940" s="331">
        <v>0</v>
      </c>
      <c r="U2940" s="328">
        <f>VLOOKUP(C2940,METADATA!$J$5:$Q$29,IF(E2940="HI",2,IF(E2940="LO",6,10))+IF(T2940=1,2,IF(D2940=7,1,(IF(WEEKDAY(B2940)=1,2,IF(WEEKDAY(B2940)=7,1,0))))))</f>
        <v>2</v>
      </c>
      <c r="V2940" s="328">
        <f>VLOOKUP(C2940,METADATA!$A$5:$H$29,IF(E2940="HI",2,IF(E2940="LO",6,10))+IF(T2940=1,2,IF(D2940=7,1,(IF(WEEKDAY(B2940)=1,2,IF(WEEKDAY(B2940)=7,1,0))))))</f>
        <v>2</v>
      </c>
    </row>
    <row r="2941" spans="2:22">
      <c r="B2941" s="318">
        <f t="shared" si="183"/>
        <v>46235</v>
      </c>
      <c r="C2941" s="312">
        <v>9</v>
      </c>
      <c r="D2941" s="368">
        <f>IFERROR((INDEX(METADATA!$T$2:$T$20,MATCH(B2941,METADATA!$S$2:$S$20,0))),0)</f>
        <v>0</v>
      </c>
      <c r="E2941" s="312" t="str">
        <f t="shared" si="180"/>
        <v>LO</v>
      </c>
      <c r="F2941" s="369">
        <f>VLOOKUP(C2941,METADATA!$A$5:$H$29,IF(E2941="HI",2,IF(E2941="LO",6,10))+IF(D2941=1,2,IF(D2941=7,1,(IF(WEEKDAY(B2941)=1,2,IF(WEEKDAY(B2941)=7,1,0))))))</f>
        <v>2</v>
      </c>
      <c r="G2941" s="369">
        <f>VLOOKUP(C2941,METADATA!$J$5:$Q$29,IF(E2941="HI",2,IF(E2941="LO",6,10))+IF(D2941=1,2,IF(D2941=7,1,(IF(WEEKDAY(B2941)=1,2,IF(WEEKDAY(B2941)=7,1,0))))))</f>
        <v>2</v>
      </c>
      <c r="H2941" s="370">
        <v>13480.150024414063</v>
      </c>
      <c r="I2941" s="370">
        <v>4213.5150451660156</v>
      </c>
      <c r="M2941" s="371">
        <f t="shared" si="181"/>
        <v>14123.3195006185</v>
      </c>
      <c r="N2941" s="329">
        <f t="shared" si="182"/>
        <v>169.47003784179697</v>
      </c>
      <c r="T2941" s="331">
        <v>0</v>
      </c>
      <c r="U2941" s="328">
        <f>VLOOKUP(C2941,METADATA!$J$5:$Q$29,IF(E2941="HI",2,IF(E2941="LO",6,10))+IF(T2941=1,2,IF(D2941=7,1,(IF(WEEKDAY(B2941)=1,2,IF(WEEKDAY(B2941)=7,1,0))))))</f>
        <v>2</v>
      </c>
      <c r="V2941" s="328">
        <f>VLOOKUP(C2941,METADATA!$A$5:$H$29,IF(E2941="HI",2,IF(E2941="LO",6,10))+IF(T2941=1,2,IF(D2941=7,1,(IF(WEEKDAY(B2941)=1,2,IF(WEEKDAY(B2941)=7,1,0))))))</f>
        <v>2</v>
      </c>
    </row>
    <row r="2942" spans="2:22">
      <c r="B2942" s="318">
        <f t="shared" si="183"/>
        <v>46235</v>
      </c>
      <c r="C2942" s="312">
        <v>10</v>
      </c>
      <c r="D2942" s="368">
        <f>IFERROR((INDEX(METADATA!$T$2:$T$20,MATCH(B2942,METADATA!$S$2:$S$20,0))),0)</f>
        <v>0</v>
      </c>
      <c r="E2942" s="312" t="str">
        <f t="shared" si="180"/>
        <v>LO</v>
      </c>
      <c r="F2942" s="369">
        <f>VLOOKUP(C2942,METADATA!$A$5:$H$29,IF(E2942="HI",2,IF(E2942="LO",6,10))+IF(D2942=1,2,IF(D2942=7,1,(IF(WEEKDAY(B2942)=1,2,IF(WEEKDAY(B2942)=7,1,0))))))</f>
        <v>2</v>
      </c>
      <c r="G2942" s="369">
        <f>VLOOKUP(C2942,METADATA!$J$5:$Q$29,IF(E2942="HI",2,IF(E2942="LO",6,10))+IF(D2942=1,2,IF(D2942=7,1,(IF(WEEKDAY(B2942)=1,2,IF(WEEKDAY(B2942)=7,1,0))))))</f>
        <v>2</v>
      </c>
      <c r="H2942" s="370">
        <v>13358.650024414063</v>
      </c>
      <c r="I2942" s="370">
        <v>4172.8550415039063</v>
      </c>
      <c r="M2942" s="371">
        <f t="shared" si="181"/>
        <v>13995.222387378572</v>
      </c>
      <c r="N2942" s="329">
        <f t="shared" si="182"/>
        <v>165.26003417968786</v>
      </c>
      <c r="T2942" s="331">
        <v>0</v>
      </c>
      <c r="U2942" s="328">
        <f>VLOOKUP(C2942,METADATA!$J$5:$Q$29,IF(E2942="HI",2,IF(E2942="LO",6,10))+IF(T2942=1,2,IF(D2942=7,1,(IF(WEEKDAY(B2942)=1,2,IF(WEEKDAY(B2942)=7,1,0))))))</f>
        <v>2</v>
      </c>
      <c r="V2942" s="328">
        <f>VLOOKUP(C2942,METADATA!$A$5:$H$29,IF(E2942="HI",2,IF(E2942="LO",6,10))+IF(T2942=1,2,IF(D2942=7,1,(IF(WEEKDAY(B2942)=1,2,IF(WEEKDAY(B2942)=7,1,0))))))</f>
        <v>2</v>
      </c>
    </row>
    <row r="2943" spans="2:22">
      <c r="B2943" s="318">
        <f t="shared" si="183"/>
        <v>46235</v>
      </c>
      <c r="C2943" s="312">
        <v>11</v>
      </c>
      <c r="D2943" s="368">
        <f>IFERROR((INDEX(METADATA!$T$2:$T$20,MATCH(B2943,METADATA!$S$2:$S$20,0))),0)</f>
        <v>0</v>
      </c>
      <c r="E2943" s="312" t="str">
        <f t="shared" si="180"/>
        <v>LO</v>
      </c>
      <c r="F2943" s="369">
        <f>VLOOKUP(C2943,METADATA!$A$5:$H$29,IF(E2943="HI",2,IF(E2943="LO",6,10))+IF(D2943=1,2,IF(D2943=7,1,(IF(WEEKDAY(B2943)=1,2,IF(WEEKDAY(B2943)=7,1,0))))))</f>
        <v>2</v>
      </c>
      <c r="G2943" s="369">
        <f>VLOOKUP(C2943,METADATA!$J$5:$Q$29,IF(E2943="HI",2,IF(E2943="LO",6,10))+IF(D2943=1,2,IF(D2943=7,1,(IF(WEEKDAY(B2943)=1,2,IF(WEEKDAY(B2943)=7,1,0))))))</f>
        <v>2</v>
      </c>
      <c r="H2943" s="370">
        <v>13539.55029296875</v>
      </c>
      <c r="I2943" s="370">
        <v>4276.43994140625</v>
      </c>
      <c r="M2943" s="371">
        <f t="shared" si="181"/>
        <v>14198.850682653327</v>
      </c>
      <c r="N2943" s="329">
        <f t="shared" si="182"/>
        <v>214.57485351562536</v>
      </c>
      <c r="T2943" s="331">
        <v>0</v>
      </c>
      <c r="U2943" s="328">
        <f>VLOOKUP(C2943,METADATA!$J$5:$Q$29,IF(E2943="HI",2,IF(E2943="LO",6,10))+IF(T2943=1,2,IF(D2943=7,1,(IF(WEEKDAY(B2943)=1,2,IF(WEEKDAY(B2943)=7,1,0))))))</f>
        <v>2</v>
      </c>
      <c r="V2943" s="328">
        <f>VLOOKUP(C2943,METADATA!$A$5:$H$29,IF(E2943="HI",2,IF(E2943="LO",6,10))+IF(T2943=1,2,IF(D2943=7,1,(IF(WEEKDAY(B2943)=1,2,IF(WEEKDAY(B2943)=7,1,0))))))</f>
        <v>2</v>
      </c>
    </row>
    <row r="2944" spans="2:22">
      <c r="B2944" s="318">
        <f t="shared" si="183"/>
        <v>46235</v>
      </c>
      <c r="C2944" s="312">
        <v>12</v>
      </c>
      <c r="D2944" s="368">
        <f>IFERROR((INDEX(METADATA!$T$2:$T$20,MATCH(B2944,METADATA!$S$2:$S$20,0))),0)</f>
        <v>0</v>
      </c>
      <c r="E2944" s="312" t="str">
        <f t="shared" si="180"/>
        <v>LO</v>
      </c>
      <c r="F2944" s="369">
        <f>VLOOKUP(C2944,METADATA!$A$5:$H$29,IF(E2944="HI",2,IF(E2944="LO",6,10))+IF(D2944=1,2,IF(D2944=7,1,(IF(WEEKDAY(B2944)=1,2,IF(WEEKDAY(B2944)=7,1,0))))))</f>
        <v>3</v>
      </c>
      <c r="G2944" s="369">
        <f>VLOOKUP(C2944,METADATA!$J$5:$Q$29,IF(E2944="HI",2,IF(E2944="LO",6,10))+IF(D2944=1,2,IF(D2944=7,1,(IF(WEEKDAY(B2944)=1,2,IF(WEEKDAY(B2944)=7,1,0))))))</f>
        <v>3</v>
      </c>
      <c r="H2944" s="370">
        <v>13549.450439453125</v>
      </c>
      <c r="I2944" s="370">
        <v>4376.4151000976563</v>
      </c>
      <c r="M2944" s="371">
        <f t="shared" si="181"/>
        <v>14238.701357201058</v>
      </c>
      <c r="N2944" s="329">
        <f t="shared" si="182"/>
        <v>311.57996826171893</v>
      </c>
      <c r="T2944" s="331">
        <v>0</v>
      </c>
      <c r="U2944" s="328">
        <f>VLOOKUP(C2944,METADATA!$J$5:$Q$29,IF(E2944="HI",2,IF(E2944="LO",6,10))+IF(T2944=1,2,IF(D2944=7,1,(IF(WEEKDAY(B2944)=1,2,IF(WEEKDAY(B2944)=7,1,0))))))</f>
        <v>3</v>
      </c>
      <c r="V2944" s="328">
        <f>VLOOKUP(C2944,METADATA!$A$5:$H$29,IF(E2944="HI",2,IF(E2944="LO",6,10))+IF(T2944=1,2,IF(D2944=7,1,(IF(WEEKDAY(B2944)=1,2,IF(WEEKDAY(B2944)=7,1,0))))))</f>
        <v>3</v>
      </c>
    </row>
    <row r="2945" spans="2:22">
      <c r="B2945" s="318">
        <f t="shared" si="183"/>
        <v>46235</v>
      </c>
      <c r="C2945" s="312">
        <v>13</v>
      </c>
      <c r="D2945" s="368">
        <f>IFERROR((INDEX(METADATA!$T$2:$T$20,MATCH(B2945,METADATA!$S$2:$S$20,0))),0)</f>
        <v>0</v>
      </c>
      <c r="E2945" s="312" t="str">
        <f t="shared" si="180"/>
        <v>LO</v>
      </c>
      <c r="F2945" s="369">
        <f>VLOOKUP(C2945,METADATA!$A$5:$H$29,IF(E2945="HI",2,IF(E2945="LO",6,10))+IF(D2945=1,2,IF(D2945=7,1,(IF(WEEKDAY(B2945)=1,2,IF(WEEKDAY(B2945)=7,1,0))))))</f>
        <v>3</v>
      </c>
      <c r="G2945" s="369">
        <f>VLOOKUP(C2945,METADATA!$J$5:$Q$29,IF(E2945="HI",2,IF(E2945="LO",6,10))+IF(D2945=1,2,IF(D2945=7,1,(IF(WEEKDAY(B2945)=1,2,IF(WEEKDAY(B2945)=7,1,0))))))</f>
        <v>3</v>
      </c>
      <c r="H2945" s="370">
        <v>13662.874877929688</v>
      </c>
      <c r="I2945" s="370">
        <v>4422.8550720214844</v>
      </c>
      <c r="M2945" s="371">
        <f t="shared" si="181"/>
        <v>14360.912119989744</v>
      </c>
      <c r="N2945" s="329">
        <f t="shared" si="182"/>
        <v>323.99260864257849</v>
      </c>
      <c r="T2945" s="331">
        <v>0</v>
      </c>
      <c r="U2945" s="328">
        <f>VLOOKUP(C2945,METADATA!$J$5:$Q$29,IF(E2945="HI",2,IF(E2945="LO",6,10))+IF(T2945=1,2,IF(D2945=7,1,(IF(WEEKDAY(B2945)=1,2,IF(WEEKDAY(B2945)=7,1,0))))))</f>
        <v>3</v>
      </c>
      <c r="V2945" s="328">
        <f>VLOOKUP(C2945,METADATA!$A$5:$H$29,IF(E2945="HI",2,IF(E2945="LO",6,10))+IF(T2945=1,2,IF(D2945=7,1,(IF(WEEKDAY(B2945)=1,2,IF(WEEKDAY(B2945)=7,1,0))))))</f>
        <v>3</v>
      </c>
    </row>
    <row r="2946" spans="2:22">
      <c r="B2946" s="318">
        <f t="shared" si="183"/>
        <v>46235</v>
      </c>
      <c r="C2946" s="312">
        <v>14</v>
      </c>
      <c r="D2946" s="368">
        <f>IFERROR((INDEX(METADATA!$T$2:$T$20,MATCH(B2946,METADATA!$S$2:$S$20,0))),0)</f>
        <v>0</v>
      </c>
      <c r="E2946" s="312" t="str">
        <f t="shared" si="180"/>
        <v>LO</v>
      </c>
      <c r="F2946" s="369">
        <f>VLOOKUP(C2946,METADATA!$A$5:$H$29,IF(E2946="HI",2,IF(E2946="LO",6,10))+IF(D2946=1,2,IF(D2946=7,1,(IF(WEEKDAY(B2946)=1,2,IF(WEEKDAY(B2946)=7,1,0))))))</f>
        <v>3</v>
      </c>
      <c r="G2946" s="369">
        <f>VLOOKUP(C2946,METADATA!$J$5:$Q$29,IF(E2946="HI",2,IF(E2946="LO",6,10))+IF(D2946=1,2,IF(D2946=7,1,(IF(WEEKDAY(B2946)=1,2,IF(WEEKDAY(B2946)=7,1,0))))))</f>
        <v>3</v>
      </c>
      <c r="H2946" s="370">
        <v>13736.099975585938</v>
      </c>
      <c r="I2946" s="370">
        <v>4535.7149658203125</v>
      </c>
      <c r="M2946" s="371">
        <f t="shared" si="181"/>
        <v>14465.585117459243</v>
      </c>
      <c r="N2946" s="329">
        <f t="shared" si="182"/>
        <v>414.88497314453161</v>
      </c>
      <c r="T2946" s="331">
        <v>0</v>
      </c>
      <c r="U2946" s="328">
        <f>VLOOKUP(C2946,METADATA!$J$5:$Q$29,IF(E2946="HI",2,IF(E2946="LO",6,10))+IF(T2946=1,2,IF(D2946=7,1,(IF(WEEKDAY(B2946)=1,2,IF(WEEKDAY(B2946)=7,1,0))))))</f>
        <v>3</v>
      </c>
      <c r="V2946" s="328">
        <f>VLOOKUP(C2946,METADATA!$A$5:$H$29,IF(E2946="HI",2,IF(E2946="LO",6,10))+IF(T2946=1,2,IF(D2946=7,1,(IF(WEEKDAY(B2946)=1,2,IF(WEEKDAY(B2946)=7,1,0))))))</f>
        <v>3</v>
      </c>
    </row>
    <row r="2947" spans="2:22">
      <c r="B2947" s="318">
        <f t="shared" si="183"/>
        <v>46235</v>
      </c>
      <c r="C2947" s="312">
        <v>15</v>
      </c>
      <c r="D2947" s="368">
        <f>IFERROR((INDEX(METADATA!$T$2:$T$20,MATCH(B2947,METADATA!$S$2:$S$20,0))),0)</f>
        <v>0</v>
      </c>
      <c r="E2947" s="312" t="str">
        <f t="shared" si="180"/>
        <v>LO</v>
      </c>
      <c r="F2947" s="369">
        <f>VLOOKUP(C2947,METADATA!$A$5:$H$29,IF(E2947="HI",2,IF(E2947="LO",6,10))+IF(D2947=1,2,IF(D2947=7,1,(IF(WEEKDAY(B2947)=1,2,IF(WEEKDAY(B2947)=7,1,0))))))</f>
        <v>3</v>
      </c>
      <c r="G2947" s="369">
        <f>VLOOKUP(C2947,METADATA!$J$5:$Q$29,IF(E2947="HI",2,IF(E2947="LO",6,10))+IF(D2947=1,2,IF(D2947=7,1,(IF(WEEKDAY(B2947)=1,2,IF(WEEKDAY(B2947)=7,1,0))))))</f>
        <v>3</v>
      </c>
      <c r="H2947" s="370">
        <v>13632.575134277344</v>
      </c>
      <c r="I2947" s="370">
        <v>4510.5301513671875</v>
      </c>
      <c r="M2947" s="371">
        <f t="shared" si="181"/>
        <v>14359.386722214476</v>
      </c>
      <c r="N2947" s="329">
        <f t="shared" si="182"/>
        <v>420.75761108398456</v>
      </c>
      <c r="T2947" s="331">
        <v>0</v>
      </c>
      <c r="U2947" s="328">
        <f>VLOOKUP(C2947,METADATA!$J$5:$Q$29,IF(E2947="HI",2,IF(E2947="LO",6,10))+IF(T2947=1,2,IF(D2947=7,1,(IF(WEEKDAY(B2947)=1,2,IF(WEEKDAY(B2947)=7,1,0))))))</f>
        <v>3</v>
      </c>
      <c r="V2947" s="328">
        <f>VLOOKUP(C2947,METADATA!$A$5:$H$29,IF(E2947="HI",2,IF(E2947="LO",6,10))+IF(T2947=1,2,IF(D2947=7,1,(IF(WEEKDAY(B2947)=1,2,IF(WEEKDAY(B2947)=7,1,0))))))</f>
        <v>3</v>
      </c>
    </row>
    <row r="2948" spans="2:22">
      <c r="B2948" s="318">
        <f t="shared" si="183"/>
        <v>46235</v>
      </c>
      <c r="C2948" s="312">
        <v>16</v>
      </c>
      <c r="D2948" s="368">
        <f>IFERROR((INDEX(METADATA!$T$2:$T$20,MATCH(B2948,METADATA!$S$2:$S$20,0))),0)</f>
        <v>0</v>
      </c>
      <c r="E2948" s="312" t="str">
        <f t="shared" ref="E2948:E3011" si="184">IF(B2948="","",IF(AND(MONTH(B2948)&gt;=MONTH($Z$9),MONTH(B2948)&lt;=MONTH($Z$11)),"HI","LO"))</f>
        <v>LO</v>
      </c>
      <c r="F2948" s="369">
        <f>VLOOKUP(C2948,METADATA!$A$5:$H$29,IF(E2948="HI",2,IF(E2948="LO",6,10))+IF(D2948=1,2,IF(D2948=7,1,(IF(WEEKDAY(B2948)=1,2,IF(WEEKDAY(B2948)=7,1,0))))))</f>
        <v>3</v>
      </c>
      <c r="G2948" s="369">
        <f>VLOOKUP(C2948,METADATA!$J$5:$Q$29,IF(E2948="HI",2,IF(E2948="LO",6,10))+IF(D2948=1,2,IF(D2948=7,1,(IF(WEEKDAY(B2948)=1,2,IF(WEEKDAY(B2948)=7,1,0))))))</f>
        <v>3</v>
      </c>
      <c r="H2948" s="370">
        <v>13632.07470703125</v>
      </c>
      <c r="I2948" s="370">
        <v>4433.2099609375</v>
      </c>
      <c r="M2948" s="371">
        <f t="shared" ref="M2948:M3011" si="185">SQRT(H2948^2+I2948^2)</f>
        <v>14334.811173358254</v>
      </c>
      <c r="N2948" s="329">
        <f t="shared" ref="N2948:N3011" si="186">IF(H2948=0,0,(IF(I2948-(0.3*H2948)&lt;0,0,(I2948-(0.3*H2948)))))</f>
        <v>343.58754882812536</v>
      </c>
      <c r="T2948" s="331">
        <v>0</v>
      </c>
      <c r="U2948" s="328">
        <f>VLOOKUP(C2948,METADATA!$J$5:$Q$29,IF(E2948="HI",2,IF(E2948="LO",6,10))+IF(T2948=1,2,IF(D2948=7,1,(IF(WEEKDAY(B2948)=1,2,IF(WEEKDAY(B2948)=7,1,0))))))</f>
        <v>3</v>
      </c>
      <c r="V2948" s="328">
        <f>VLOOKUP(C2948,METADATA!$A$5:$H$29,IF(E2948="HI",2,IF(E2948="LO",6,10))+IF(T2948=1,2,IF(D2948=7,1,(IF(WEEKDAY(B2948)=1,2,IF(WEEKDAY(B2948)=7,1,0))))))</f>
        <v>3</v>
      </c>
    </row>
    <row r="2949" spans="2:22">
      <c r="B2949" s="318">
        <f t="shared" si="183"/>
        <v>46235</v>
      </c>
      <c r="C2949" s="312">
        <v>17</v>
      </c>
      <c r="D2949" s="368">
        <f>IFERROR((INDEX(METADATA!$T$2:$T$20,MATCH(B2949,METADATA!$S$2:$S$20,0))),0)</f>
        <v>0</v>
      </c>
      <c r="E2949" s="312" t="str">
        <f t="shared" si="184"/>
        <v>LO</v>
      </c>
      <c r="F2949" s="369">
        <f>VLOOKUP(C2949,METADATA!$A$5:$H$29,IF(E2949="HI",2,IF(E2949="LO",6,10))+IF(D2949=1,2,IF(D2949=7,1,(IF(WEEKDAY(B2949)=1,2,IF(WEEKDAY(B2949)=7,1,0))))))</f>
        <v>3</v>
      </c>
      <c r="G2949" s="369">
        <f>VLOOKUP(C2949,METADATA!$J$5:$Q$29,IF(E2949="HI",2,IF(E2949="LO",6,10))+IF(D2949=1,2,IF(D2949=7,1,(IF(WEEKDAY(B2949)=1,2,IF(WEEKDAY(B2949)=7,1,0))))))</f>
        <v>3</v>
      </c>
      <c r="H2949" s="370">
        <v>13553.12451171875</v>
      </c>
      <c r="I2949" s="370">
        <v>4311.7149658203125</v>
      </c>
      <c r="M2949" s="371">
        <f t="shared" si="185"/>
        <v>14222.449506910913</v>
      </c>
      <c r="N2949" s="329">
        <f t="shared" si="186"/>
        <v>245.77761230468786</v>
      </c>
      <c r="T2949" s="331">
        <v>0</v>
      </c>
      <c r="U2949" s="328">
        <f>VLOOKUP(C2949,METADATA!$J$5:$Q$29,IF(E2949="HI",2,IF(E2949="LO",6,10))+IF(T2949=1,2,IF(D2949=7,1,(IF(WEEKDAY(B2949)=1,2,IF(WEEKDAY(B2949)=7,1,0))))))</f>
        <v>3</v>
      </c>
      <c r="V2949" s="328">
        <f>VLOOKUP(C2949,METADATA!$A$5:$H$29,IF(E2949="HI",2,IF(E2949="LO",6,10))+IF(T2949=1,2,IF(D2949=7,1,(IF(WEEKDAY(B2949)=1,2,IF(WEEKDAY(B2949)=7,1,0))))))</f>
        <v>3</v>
      </c>
    </row>
    <row r="2950" spans="2:22">
      <c r="B2950" s="318">
        <f t="shared" si="183"/>
        <v>46235</v>
      </c>
      <c r="C2950" s="312">
        <v>18</v>
      </c>
      <c r="D2950" s="368">
        <f>IFERROR((INDEX(METADATA!$T$2:$T$20,MATCH(B2950,METADATA!$S$2:$S$20,0))),0)</f>
        <v>0</v>
      </c>
      <c r="E2950" s="312" t="str">
        <f t="shared" si="184"/>
        <v>LO</v>
      </c>
      <c r="F2950" s="369">
        <f>VLOOKUP(C2950,METADATA!$A$5:$H$29,IF(E2950="HI",2,IF(E2950="LO",6,10))+IF(D2950=1,2,IF(D2950=7,1,(IF(WEEKDAY(B2950)=1,2,IF(WEEKDAY(B2950)=7,1,0))))))</f>
        <v>2</v>
      </c>
      <c r="G2950" s="369">
        <f>VLOOKUP(C2950,METADATA!$J$5:$Q$29,IF(E2950="HI",2,IF(E2950="LO",6,10))+IF(D2950=1,2,IF(D2950=7,1,(IF(WEEKDAY(B2950)=1,2,IF(WEEKDAY(B2950)=7,1,0))))))</f>
        <v>2</v>
      </c>
      <c r="H2950" s="370">
        <v>13461.600219726563</v>
      </c>
      <c r="I2950" s="370">
        <v>4251.7250366210938</v>
      </c>
      <c r="M2950" s="371">
        <f t="shared" si="185"/>
        <v>14117.076406351736</v>
      </c>
      <c r="N2950" s="329">
        <f t="shared" si="186"/>
        <v>213.24497070312509</v>
      </c>
      <c r="T2950" s="331">
        <v>0</v>
      </c>
      <c r="U2950" s="328">
        <f>VLOOKUP(C2950,METADATA!$J$5:$Q$29,IF(E2950="HI",2,IF(E2950="LO",6,10))+IF(T2950=1,2,IF(D2950=7,1,(IF(WEEKDAY(B2950)=1,2,IF(WEEKDAY(B2950)=7,1,0))))))</f>
        <v>2</v>
      </c>
      <c r="V2950" s="328">
        <f>VLOOKUP(C2950,METADATA!$A$5:$H$29,IF(E2950="HI",2,IF(E2950="LO",6,10))+IF(T2950=1,2,IF(D2950=7,1,(IF(WEEKDAY(B2950)=1,2,IF(WEEKDAY(B2950)=7,1,0))))))</f>
        <v>2</v>
      </c>
    </row>
    <row r="2951" spans="2:22">
      <c r="B2951" s="318">
        <f t="shared" si="183"/>
        <v>46235</v>
      </c>
      <c r="C2951" s="312">
        <v>19</v>
      </c>
      <c r="D2951" s="368">
        <f>IFERROR((INDEX(METADATA!$T$2:$T$20,MATCH(B2951,METADATA!$S$2:$S$20,0))),0)</f>
        <v>0</v>
      </c>
      <c r="E2951" s="312" t="str">
        <f t="shared" si="184"/>
        <v>LO</v>
      </c>
      <c r="F2951" s="369">
        <f>VLOOKUP(C2951,METADATA!$A$5:$H$29,IF(E2951="HI",2,IF(E2951="LO",6,10))+IF(D2951=1,2,IF(D2951=7,1,(IF(WEEKDAY(B2951)=1,2,IF(WEEKDAY(B2951)=7,1,0))))))</f>
        <v>2</v>
      </c>
      <c r="G2951" s="369">
        <f>VLOOKUP(C2951,METADATA!$J$5:$Q$29,IF(E2951="HI",2,IF(E2951="LO",6,10))+IF(D2951=1,2,IF(D2951=7,1,(IF(WEEKDAY(B2951)=1,2,IF(WEEKDAY(B2951)=7,1,0))))))</f>
        <v>2</v>
      </c>
      <c r="H2951" s="370">
        <v>13633.39990234375</v>
      </c>
      <c r="I2951" s="370">
        <v>4350.1349182128906</v>
      </c>
      <c r="M2951" s="371">
        <f t="shared" si="185"/>
        <v>14310.599802380109</v>
      </c>
      <c r="N2951" s="329">
        <f t="shared" si="186"/>
        <v>260.1149475097659</v>
      </c>
      <c r="T2951" s="331">
        <v>0</v>
      </c>
      <c r="U2951" s="328">
        <f>VLOOKUP(C2951,METADATA!$J$5:$Q$29,IF(E2951="HI",2,IF(E2951="LO",6,10))+IF(T2951=1,2,IF(D2951=7,1,(IF(WEEKDAY(B2951)=1,2,IF(WEEKDAY(B2951)=7,1,0))))))</f>
        <v>2</v>
      </c>
      <c r="V2951" s="328">
        <f>VLOOKUP(C2951,METADATA!$A$5:$H$29,IF(E2951="HI",2,IF(E2951="LO",6,10))+IF(T2951=1,2,IF(D2951=7,1,(IF(WEEKDAY(B2951)=1,2,IF(WEEKDAY(B2951)=7,1,0))))))</f>
        <v>2</v>
      </c>
    </row>
    <row r="2952" spans="2:22">
      <c r="B2952" s="318">
        <f t="shared" si="183"/>
        <v>46235</v>
      </c>
      <c r="C2952" s="312">
        <v>20</v>
      </c>
      <c r="D2952" s="368">
        <f>IFERROR((INDEX(METADATA!$T$2:$T$20,MATCH(B2952,METADATA!$S$2:$S$20,0))),0)</f>
        <v>0</v>
      </c>
      <c r="E2952" s="312" t="str">
        <f t="shared" si="184"/>
        <v>LO</v>
      </c>
      <c r="F2952" s="369">
        <f>VLOOKUP(C2952,METADATA!$A$5:$H$29,IF(E2952="HI",2,IF(E2952="LO",6,10))+IF(D2952=1,2,IF(D2952=7,1,(IF(WEEKDAY(B2952)=1,2,IF(WEEKDAY(B2952)=7,1,0))))))</f>
        <v>3</v>
      </c>
      <c r="G2952" s="369">
        <f>VLOOKUP(C2952,METADATA!$J$5:$Q$29,IF(E2952="HI",2,IF(E2952="LO",6,10))+IF(D2952=1,2,IF(D2952=7,1,(IF(WEEKDAY(B2952)=1,2,IF(WEEKDAY(B2952)=7,1,0))))))</f>
        <v>3</v>
      </c>
      <c r="H2952" s="370">
        <v>13899.400268554688</v>
      </c>
      <c r="I2952" s="370">
        <v>4508.544921875</v>
      </c>
      <c r="M2952" s="371">
        <f t="shared" si="185"/>
        <v>14612.334007203057</v>
      </c>
      <c r="N2952" s="329">
        <f t="shared" si="186"/>
        <v>338.72484130859357</v>
      </c>
      <c r="T2952" s="331">
        <v>0</v>
      </c>
      <c r="U2952" s="328">
        <f>VLOOKUP(C2952,METADATA!$J$5:$Q$29,IF(E2952="HI",2,IF(E2952="LO",6,10))+IF(T2952=1,2,IF(D2952=7,1,(IF(WEEKDAY(B2952)=1,2,IF(WEEKDAY(B2952)=7,1,0))))))</f>
        <v>3</v>
      </c>
      <c r="V2952" s="328">
        <f>VLOOKUP(C2952,METADATA!$A$5:$H$29,IF(E2952="HI",2,IF(E2952="LO",6,10))+IF(T2952=1,2,IF(D2952=7,1,(IF(WEEKDAY(B2952)=1,2,IF(WEEKDAY(B2952)=7,1,0))))))</f>
        <v>3</v>
      </c>
    </row>
    <row r="2953" spans="2:22">
      <c r="B2953" s="318">
        <f t="shared" si="183"/>
        <v>46235</v>
      </c>
      <c r="C2953" s="312">
        <v>21</v>
      </c>
      <c r="D2953" s="368">
        <f>IFERROR((INDEX(METADATA!$T$2:$T$20,MATCH(B2953,METADATA!$S$2:$S$20,0))),0)</f>
        <v>0</v>
      </c>
      <c r="E2953" s="312" t="str">
        <f t="shared" si="184"/>
        <v>LO</v>
      </c>
      <c r="F2953" s="369">
        <f>VLOOKUP(C2953,METADATA!$A$5:$H$29,IF(E2953="HI",2,IF(E2953="LO",6,10))+IF(D2953=1,2,IF(D2953=7,1,(IF(WEEKDAY(B2953)=1,2,IF(WEEKDAY(B2953)=7,1,0))))))</f>
        <v>3</v>
      </c>
      <c r="G2953" s="369">
        <f>VLOOKUP(C2953,METADATA!$J$5:$Q$29,IF(E2953="HI",2,IF(E2953="LO",6,10))+IF(D2953=1,2,IF(D2953=7,1,(IF(WEEKDAY(B2953)=1,2,IF(WEEKDAY(B2953)=7,1,0))))))</f>
        <v>3</v>
      </c>
      <c r="H2953" s="370">
        <v>13686.349975585938</v>
      </c>
      <c r="I2953" s="370">
        <v>4465.1199645996094</v>
      </c>
      <c r="M2953" s="371">
        <f t="shared" si="185"/>
        <v>14396.300634277099</v>
      </c>
      <c r="N2953" s="329">
        <f t="shared" si="186"/>
        <v>359.21497192382867</v>
      </c>
      <c r="T2953" s="331">
        <v>0</v>
      </c>
      <c r="U2953" s="328">
        <f>VLOOKUP(C2953,METADATA!$J$5:$Q$29,IF(E2953="HI",2,IF(E2953="LO",6,10))+IF(T2953=1,2,IF(D2953=7,1,(IF(WEEKDAY(B2953)=1,2,IF(WEEKDAY(B2953)=7,1,0))))))</f>
        <v>3</v>
      </c>
      <c r="V2953" s="328">
        <f>VLOOKUP(C2953,METADATA!$A$5:$H$29,IF(E2953="HI",2,IF(E2953="LO",6,10))+IF(T2953=1,2,IF(D2953=7,1,(IF(WEEKDAY(B2953)=1,2,IF(WEEKDAY(B2953)=7,1,0))))))</f>
        <v>3</v>
      </c>
    </row>
    <row r="2954" spans="2:22">
      <c r="B2954" s="318">
        <f t="shared" si="183"/>
        <v>46235</v>
      </c>
      <c r="C2954" s="312">
        <v>22</v>
      </c>
      <c r="D2954" s="368">
        <f>IFERROR((INDEX(METADATA!$T$2:$T$20,MATCH(B2954,METADATA!$S$2:$S$20,0))),0)</f>
        <v>0</v>
      </c>
      <c r="E2954" s="312" t="str">
        <f t="shared" si="184"/>
        <v>LO</v>
      </c>
      <c r="F2954" s="369">
        <f>VLOOKUP(C2954,METADATA!$A$5:$H$29,IF(E2954="HI",2,IF(E2954="LO",6,10))+IF(D2954=1,2,IF(D2954=7,1,(IF(WEEKDAY(B2954)=1,2,IF(WEEKDAY(B2954)=7,1,0))))))</f>
        <v>3</v>
      </c>
      <c r="G2954" s="369">
        <f>VLOOKUP(C2954,METADATA!$J$5:$Q$29,IF(E2954="HI",2,IF(E2954="LO",6,10))+IF(D2954=1,2,IF(D2954=7,1,(IF(WEEKDAY(B2954)=1,2,IF(WEEKDAY(B2954)=7,1,0))))))</f>
        <v>3</v>
      </c>
      <c r="H2954" s="370">
        <v>13596.475158691406</v>
      </c>
      <c r="I2954" s="370">
        <v>4402.8100280761719</v>
      </c>
      <c r="M2954" s="371">
        <f t="shared" si="185"/>
        <v>14291.566495113144</v>
      </c>
      <c r="N2954" s="329">
        <f t="shared" si="186"/>
        <v>323.86748046875027</v>
      </c>
      <c r="T2954" s="331">
        <v>0</v>
      </c>
      <c r="U2954" s="328">
        <f>VLOOKUP(C2954,METADATA!$J$5:$Q$29,IF(E2954="HI",2,IF(E2954="LO",6,10))+IF(T2954=1,2,IF(D2954=7,1,(IF(WEEKDAY(B2954)=1,2,IF(WEEKDAY(B2954)=7,1,0))))))</f>
        <v>3</v>
      </c>
      <c r="V2954" s="328">
        <f>VLOOKUP(C2954,METADATA!$A$5:$H$29,IF(E2954="HI",2,IF(E2954="LO",6,10))+IF(T2954=1,2,IF(D2954=7,1,(IF(WEEKDAY(B2954)=1,2,IF(WEEKDAY(B2954)=7,1,0))))))</f>
        <v>3</v>
      </c>
    </row>
    <row r="2955" spans="2:22">
      <c r="B2955" s="318">
        <f t="shared" si="183"/>
        <v>46235</v>
      </c>
      <c r="C2955" s="312">
        <v>23</v>
      </c>
      <c r="D2955" s="368">
        <f>IFERROR((INDEX(METADATA!$T$2:$T$20,MATCH(B2955,METADATA!$S$2:$S$20,0))),0)</f>
        <v>0</v>
      </c>
      <c r="E2955" s="312" t="str">
        <f t="shared" si="184"/>
        <v>LO</v>
      </c>
      <c r="F2955" s="369">
        <f>VLOOKUP(C2955,METADATA!$A$5:$H$29,IF(E2955="HI",2,IF(E2955="LO",6,10))+IF(D2955=1,2,IF(D2955=7,1,(IF(WEEKDAY(B2955)=1,2,IF(WEEKDAY(B2955)=7,1,0))))))</f>
        <v>3</v>
      </c>
      <c r="G2955" s="369">
        <f>VLOOKUP(C2955,METADATA!$J$5:$Q$29,IF(E2955="HI",2,IF(E2955="LO",6,10))+IF(D2955=1,2,IF(D2955=7,1,(IF(WEEKDAY(B2955)=1,2,IF(WEEKDAY(B2955)=7,1,0))))))</f>
        <v>3</v>
      </c>
      <c r="H2955" s="370">
        <v>13590.524963378906</v>
      </c>
      <c r="I2955" s="370">
        <v>4370.2249755859375</v>
      </c>
      <c r="M2955" s="371">
        <f t="shared" si="185"/>
        <v>14275.896998698901</v>
      </c>
      <c r="N2955" s="329">
        <f t="shared" si="186"/>
        <v>293.06748657226581</v>
      </c>
      <c r="T2955" s="331">
        <v>0</v>
      </c>
      <c r="U2955" s="328">
        <f>VLOOKUP(C2955,METADATA!$J$5:$Q$29,IF(E2955="HI",2,IF(E2955="LO",6,10))+IF(T2955=1,2,IF(D2955=7,1,(IF(WEEKDAY(B2955)=1,2,IF(WEEKDAY(B2955)=7,1,0))))))</f>
        <v>3</v>
      </c>
      <c r="V2955" s="328">
        <f>VLOOKUP(C2955,METADATA!$A$5:$H$29,IF(E2955="HI",2,IF(E2955="LO",6,10))+IF(T2955=1,2,IF(D2955=7,1,(IF(WEEKDAY(B2955)=1,2,IF(WEEKDAY(B2955)=7,1,0))))))</f>
        <v>3</v>
      </c>
    </row>
    <row r="2956" spans="2:22">
      <c r="B2956" s="318">
        <f t="shared" si="183"/>
        <v>46236</v>
      </c>
      <c r="C2956" s="312">
        <v>0</v>
      </c>
      <c r="D2956" s="368">
        <f>IFERROR((INDEX(METADATA!$T$2:$T$20,MATCH(B2956,METADATA!$S$2:$S$20,0))),0)</f>
        <v>0</v>
      </c>
      <c r="E2956" s="312" t="str">
        <f t="shared" si="184"/>
        <v>LO</v>
      </c>
      <c r="F2956" s="369">
        <f>VLOOKUP(C2956,METADATA!$A$5:$H$29,IF(E2956="HI",2,IF(E2956="LO",6,10))+IF(D2956=1,2,IF(D2956=7,1,(IF(WEEKDAY(B2956)=1,2,IF(WEEKDAY(B2956)=7,1,0))))))</f>
        <v>3</v>
      </c>
      <c r="G2956" s="369">
        <f>VLOOKUP(C2956,METADATA!$J$5:$Q$29,IF(E2956="HI",2,IF(E2956="LO",6,10))+IF(D2956=1,2,IF(D2956=7,1,(IF(WEEKDAY(B2956)=1,2,IF(WEEKDAY(B2956)=7,1,0))))))</f>
        <v>3</v>
      </c>
      <c r="H2956" s="370">
        <v>13556.374755859375</v>
      </c>
      <c r="I2956" s="370">
        <v>4477.1249694824219</v>
      </c>
      <c r="M2956" s="371">
        <f t="shared" si="185"/>
        <v>14276.552262842184</v>
      </c>
      <c r="N2956" s="329">
        <f t="shared" si="186"/>
        <v>410.21254272460965</v>
      </c>
      <c r="T2956" s="331">
        <v>0</v>
      </c>
      <c r="U2956" s="328">
        <f>VLOOKUP(C2956,METADATA!$J$5:$Q$29,IF(E2956="HI",2,IF(E2956="LO",6,10))+IF(T2956=1,2,IF(D2956=7,1,(IF(WEEKDAY(B2956)=1,2,IF(WEEKDAY(B2956)=7,1,0))))))</f>
        <v>3</v>
      </c>
      <c r="V2956" s="328">
        <f>VLOOKUP(C2956,METADATA!$A$5:$H$29,IF(E2956="HI",2,IF(E2956="LO",6,10))+IF(T2956=1,2,IF(D2956=7,1,(IF(WEEKDAY(B2956)=1,2,IF(WEEKDAY(B2956)=7,1,0))))))</f>
        <v>3</v>
      </c>
    </row>
    <row r="2957" spans="2:22">
      <c r="B2957" s="318">
        <f t="shared" si="183"/>
        <v>46236</v>
      </c>
      <c r="C2957" s="312">
        <v>1</v>
      </c>
      <c r="D2957" s="368">
        <f>IFERROR((INDEX(METADATA!$T$2:$T$20,MATCH(B2957,METADATA!$S$2:$S$20,0))),0)</f>
        <v>0</v>
      </c>
      <c r="E2957" s="312" t="str">
        <f t="shared" si="184"/>
        <v>LO</v>
      </c>
      <c r="F2957" s="369">
        <f>VLOOKUP(C2957,METADATA!$A$5:$H$29,IF(E2957="HI",2,IF(E2957="LO",6,10))+IF(D2957=1,2,IF(D2957=7,1,(IF(WEEKDAY(B2957)=1,2,IF(WEEKDAY(B2957)=7,1,0))))))</f>
        <v>3</v>
      </c>
      <c r="G2957" s="369">
        <f>VLOOKUP(C2957,METADATA!$J$5:$Q$29,IF(E2957="HI",2,IF(E2957="LO",6,10))+IF(D2957=1,2,IF(D2957=7,1,(IF(WEEKDAY(B2957)=1,2,IF(WEEKDAY(B2957)=7,1,0))))))</f>
        <v>3</v>
      </c>
      <c r="H2957" s="370">
        <v>13698.630432128906</v>
      </c>
      <c r="I2957" s="370">
        <v>4586.6099243164063</v>
      </c>
      <c r="M2957" s="371">
        <f t="shared" si="185"/>
        <v>14446.088270320306</v>
      </c>
      <c r="N2957" s="329">
        <f t="shared" si="186"/>
        <v>477.02079467773456</v>
      </c>
      <c r="T2957" s="331">
        <v>0</v>
      </c>
      <c r="U2957" s="328">
        <f>VLOOKUP(C2957,METADATA!$J$5:$Q$29,IF(E2957="HI",2,IF(E2957="LO",6,10))+IF(T2957=1,2,IF(D2957=7,1,(IF(WEEKDAY(B2957)=1,2,IF(WEEKDAY(B2957)=7,1,0))))))</f>
        <v>3</v>
      </c>
      <c r="V2957" s="328">
        <f>VLOOKUP(C2957,METADATA!$A$5:$H$29,IF(E2957="HI",2,IF(E2957="LO",6,10))+IF(T2957=1,2,IF(D2957=7,1,(IF(WEEKDAY(B2957)=1,2,IF(WEEKDAY(B2957)=7,1,0))))))</f>
        <v>3</v>
      </c>
    </row>
    <row r="2958" spans="2:22">
      <c r="B2958" s="318">
        <f t="shared" si="183"/>
        <v>46236</v>
      </c>
      <c r="C2958" s="312">
        <v>2</v>
      </c>
      <c r="D2958" s="368">
        <f>IFERROR((INDEX(METADATA!$T$2:$T$20,MATCH(B2958,METADATA!$S$2:$S$20,0))),0)</f>
        <v>0</v>
      </c>
      <c r="E2958" s="312" t="str">
        <f t="shared" si="184"/>
        <v>LO</v>
      </c>
      <c r="F2958" s="369">
        <f>VLOOKUP(C2958,METADATA!$A$5:$H$29,IF(E2958="HI",2,IF(E2958="LO",6,10))+IF(D2958=1,2,IF(D2958=7,1,(IF(WEEKDAY(B2958)=1,2,IF(WEEKDAY(B2958)=7,1,0))))))</f>
        <v>3</v>
      </c>
      <c r="G2958" s="369">
        <f>VLOOKUP(C2958,METADATA!$J$5:$Q$29,IF(E2958="HI",2,IF(E2958="LO",6,10))+IF(D2958=1,2,IF(D2958=7,1,(IF(WEEKDAY(B2958)=1,2,IF(WEEKDAY(B2958)=7,1,0))))))</f>
        <v>3</v>
      </c>
      <c r="H2958" s="370">
        <v>13730.299865722656</v>
      </c>
      <c r="I2958" s="370">
        <v>4678.074951171875</v>
      </c>
      <c r="M2958" s="371">
        <f t="shared" si="185"/>
        <v>14505.361755276748</v>
      </c>
      <c r="N2958" s="329">
        <f t="shared" si="186"/>
        <v>558.98499145507867</v>
      </c>
      <c r="T2958" s="331">
        <v>0</v>
      </c>
      <c r="U2958" s="328">
        <f>VLOOKUP(C2958,METADATA!$J$5:$Q$29,IF(E2958="HI",2,IF(E2958="LO",6,10))+IF(T2958=1,2,IF(D2958=7,1,(IF(WEEKDAY(B2958)=1,2,IF(WEEKDAY(B2958)=7,1,0))))))</f>
        <v>3</v>
      </c>
      <c r="V2958" s="328">
        <f>VLOOKUP(C2958,METADATA!$A$5:$H$29,IF(E2958="HI",2,IF(E2958="LO",6,10))+IF(T2958=1,2,IF(D2958=7,1,(IF(WEEKDAY(B2958)=1,2,IF(WEEKDAY(B2958)=7,1,0))))))</f>
        <v>3</v>
      </c>
    </row>
    <row r="2959" spans="2:22">
      <c r="B2959" s="318">
        <f t="shared" si="183"/>
        <v>46236</v>
      </c>
      <c r="C2959" s="312">
        <v>3</v>
      </c>
      <c r="D2959" s="368">
        <f>IFERROR((INDEX(METADATA!$T$2:$T$20,MATCH(B2959,METADATA!$S$2:$S$20,0))),0)</f>
        <v>0</v>
      </c>
      <c r="E2959" s="312" t="str">
        <f t="shared" si="184"/>
        <v>LO</v>
      </c>
      <c r="F2959" s="369">
        <f>VLOOKUP(C2959,METADATA!$A$5:$H$29,IF(E2959="HI",2,IF(E2959="LO",6,10))+IF(D2959=1,2,IF(D2959=7,1,(IF(WEEKDAY(B2959)=1,2,IF(WEEKDAY(B2959)=7,1,0))))))</f>
        <v>3</v>
      </c>
      <c r="G2959" s="369">
        <f>VLOOKUP(C2959,METADATA!$J$5:$Q$29,IF(E2959="HI",2,IF(E2959="LO",6,10))+IF(D2959=1,2,IF(D2959=7,1,(IF(WEEKDAY(B2959)=1,2,IF(WEEKDAY(B2959)=7,1,0))))))</f>
        <v>3</v>
      </c>
      <c r="H2959" s="370">
        <v>13360.25</v>
      </c>
      <c r="I2959" s="370">
        <v>4404.7250061035156</v>
      </c>
      <c r="M2959" s="371">
        <f t="shared" si="185"/>
        <v>14067.618222069208</v>
      </c>
      <c r="N2959" s="329">
        <f t="shared" si="186"/>
        <v>396.65000610351581</v>
      </c>
      <c r="T2959" s="331">
        <v>0</v>
      </c>
      <c r="U2959" s="328">
        <f>VLOOKUP(C2959,METADATA!$J$5:$Q$29,IF(E2959="HI",2,IF(E2959="LO",6,10))+IF(T2959=1,2,IF(D2959=7,1,(IF(WEEKDAY(B2959)=1,2,IF(WEEKDAY(B2959)=7,1,0))))))</f>
        <v>3</v>
      </c>
      <c r="V2959" s="328">
        <f>VLOOKUP(C2959,METADATA!$A$5:$H$29,IF(E2959="HI",2,IF(E2959="LO",6,10))+IF(T2959=1,2,IF(D2959=7,1,(IF(WEEKDAY(B2959)=1,2,IF(WEEKDAY(B2959)=7,1,0))))))</f>
        <v>3</v>
      </c>
    </row>
    <row r="2960" spans="2:22">
      <c r="B2960" s="318">
        <f t="shared" si="183"/>
        <v>46236</v>
      </c>
      <c r="C2960" s="312">
        <v>4</v>
      </c>
      <c r="D2960" s="368">
        <f>IFERROR((INDEX(METADATA!$T$2:$T$20,MATCH(B2960,METADATA!$S$2:$S$20,0))),0)</f>
        <v>0</v>
      </c>
      <c r="E2960" s="312" t="str">
        <f t="shared" si="184"/>
        <v>LO</v>
      </c>
      <c r="F2960" s="369">
        <f>VLOOKUP(C2960,METADATA!$A$5:$H$29,IF(E2960="HI",2,IF(E2960="LO",6,10))+IF(D2960=1,2,IF(D2960=7,1,(IF(WEEKDAY(B2960)=1,2,IF(WEEKDAY(B2960)=7,1,0))))))</f>
        <v>3</v>
      </c>
      <c r="G2960" s="369">
        <f>VLOOKUP(C2960,METADATA!$J$5:$Q$29,IF(E2960="HI",2,IF(E2960="LO",6,10))+IF(D2960=1,2,IF(D2960=7,1,(IF(WEEKDAY(B2960)=1,2,IF(WEEKDAY(B2960)=7,1,0))))))</f>
        <v>3</v>
      </c>
      <c r="H2960" s="370">
        <v>13325.425109863281</v>
      </c>
      <c r="I2960" s="370">
        <v>4367.3999938964844</v>
      </c>
      <c r="M2960" s="371">
        <f t="shared" si="185"/>
        <v>14022.879057642258</v>
      </c>
      <c r="N2960" s="329">
        <f t="shared" si="186"/>
        <v>369.7724609375</v>
      </c>
      <c r="T2960" s="331">
        <v>0</v>
      </c>
      <c r="U2960" s="328">
        <f>VLOOKUP(C2960,METADATA!$J$5:$Q$29,IF(E2960="HI",2,IF(E2960="LO",6,10))+IF(T2960=1,2,IF(D2960=7,1,(IF(WEEKDAY(B2960)=1,2,IF(WEEKDAY(B2960)=7,1,0))))))</f>
        <v>3</v>
      </c>
      <c r="V2960" s="328">
        <f>VLOOKUP(C2960,METADATA!$A$5:$H$29,IF(E2960="HI",2,IF(E2960="LO",6,10))+IF(T2960=1,2,IF(D2960=7,1,(IF(WEEKDAY(B2960)=1,2,IF(WEEKDAY(B2960)=7,1,0))))))</f>
        <v>3</v>
      </c>
    </row>
    <row r="2961" spans="2:22">
      <c r="B2961" s="318">
        <f t="shared" si="183"/>
        <v>46236</v>
      </c>
      <c r="C2961" s="312">
        <v>5</v>
      </c>
      <c r="D2961" s="368">
        <f>IFERROR((INDEX(METADATA!$T$2:$T$20,MATCH(B2961,METADATA!$S$2:$S$20,0))),0)</f>
        <v>0</v>
      </c>
      <c r="E2961" s="312" t="str">
        <f t="shared" si="184"/>
        <v>LO</v>
      </c>
      <c r="F2961" s="369">
        <f>VLOOKUP(C2961,METADATA!$A$5:$H$29,IF(E2961="HI",2,IF(E2961="LO",6,10))+IF(D2961=1,2,IF(D2961=7,1,(IF(WEEKDAY(B2961)=1,2,IF(WEEKDAY(B2961)=7,1,0))))))</f>
        <v>3</v>
      </c>
      <c r="G2961" s="369">
        <f>VLOOKUP(C2961,METADATA!$J$5:$Q$29,IF(E2961="HI",2,IF(E2961="LO",6,10))+IF(D2961=1,2,IF(D2961=7,1,(IF(WEEKDAY(B2961)=1,2,IF(WEEKDAY(B2961)=7,1,0))))))</f>
        <v>3</v>
      </c>
      <c r="H2961" s="370">
        <v>13224.524536132813</v>
      </c>
      <c r="I2961" s="370">
        <v>4168.4749755859375</v>
      </c>
      <c r="M2961" s="371">
        <f t="shared" si="185"/>
        <v>13865.937863298859</v>
      </c>
      <c r="N2961" s="329">
        <f t="shared" si="186"/>
        <v>201.11761474609375</v>
      </c>
      <c r="T2961" s="331">
        <v>0</v>
      </c>
      <c r="U2961" s="328">
        <f>VLOOKUP(C2961,METADATA!$J$5:$Q$29,IF(E2961="HI",2,IF(E2961="LO",6,10))+IF(T2961=1,2,IF(D2961=7,1,(IF(WEEKDAY(B2961)=1,2,IF(WEEKDAY(B2961)=7,1,0))))))</f>
        <v>3</v>
      </c>
      <c r="V2961" s="328">
        <f>VLOOKUP(C2961,METADATA!$A$5:$H$29,IF(E2961="HI",2,IF(E2961="LO",6,10))+IF(T2961=1,2,IF(D2961=7,1,(IF(WEEKDAY(B2961)=1,2,IF(WEEKDAY(B2961)=7,1,0))))))</f>
        <v>3</v>
      </c>
    </row>
    <row r="2962" spans="2:22">
      <c r="B2962" s="318">
        <f t="shared" si="183"/>
        <v>46236</v>
      </c>
      <c r="C2962" s="312">
        <v>6</v>
      </c>
      <c r="D2962" s="368">
        <f>IFERROR((INDEX(METADATA!$T$2:$T$20,MATCH(B2962,METADATA!$S$2:$S$20,0))),0)</f>
        <v>0</v>
      </c>
      <c r="E2962" s="312" t="str">
        <f t="shared" si="184"/>
        <v>LO</v>
      </c>
      <c r="F2962" s="369">
        <f>VLOOKUP(C2962,METADATA!$A$5:$H$29,IF(E2962="HI",2,IF(E2962="LO",6,10))+IF(D2962=1,2,IF(D2962=7,1,(IF(WEEKDAY(B2962)=1,2,IF(WEEKDAY(B2962)=7,1,0))))))</f>
        <v>3</v>
      </c>
      <c r="G2962" s="369">
        <f>VLOOKUP(C2962,METADATA!$J$5:$Q$29,IF(E2962="HI",2,IF(E2962="LO",6,10))+IF(D2962=1,2,IF(D2962=7,1,(IF(WEEKDAY(B2962)=1,2,IF(WEEKDAY(B2962)=7,1,0))))))</f>
        <v>3</v>
      </c>
      <c r="H2962" s="370">
        <v>13016.400085449219</v>
      </c>
      <c r="I2962" s="370">
        <v>4021.5599670410156</v>
      </c>
      <c r="M2962" s="371">
        <f t="shared" si="185"/>
        <v>13623.494990382951</v>
      </c>
      <c r="N2962" s="329">
        <f t="shared" si="186"/>
        <v>116.63994140625027</v>
      </c>
      <c r="T2962" s="331">
        <v>0</v>
      </c>
      <c r="U2962" s="328">
        <f>VLOOKUP(C2962,METADATA!$J$5:$Q$29,IF(E2962="HI",2,IF(E2962="LO",6,10))+IF(T2962=1,2,IF(D2962=7,1,(IF(WEEKDAY(B2962)=1,2,IF(WEEKDAY(B2962)=7,1,0))))))</f>
        <v>3</v>
      </c>
      <c r="V2962" s="328">
        <f>VLOOKUP(C2962,METADATA!$A$5:$H$29,IF(E2962="HI",2,IF(E2962="LO",6,10))+IF(T2962=1,2,IF(D2962=7,1,(IF(WEEKDAY(B2962)=1,2,IF(WEEKDAY(B2962)=7,1,0))))))</f>
        <v>3</v>
      </c>
    </row>
    <row r="2963" spans="2:22">
      <c r="B2963" s="318">
        <f t="shared" si="183"/>
        <v>46236</v>
      </c>
      <c r="C2963" s="312">
        <v>7</v>
      </c>
      <c r="D2963" s="368">
        <f>IFERROR((INDEX(METADATA!$T$2:$T$20,MATCH(B2963,METADATA!$S$2:$S$20,0))),0)</f>
        <v>0</v>
      </c>
      <c r="E2963" s="312" t="str">
        <f t="shared" si="184"/>
        <v>LO</v>
      </c>
      <c r="F2963" s="369">
        <f>VLOOKUP(C2963,METADATA!$A$5:$H$29,IF(E2963="HI",2,IF(E2963="LO",6,10))+IF(D2963=1,2,IF(D2963=7,1,(IF(WEEKDAY(B2963)=1,2,IF(WEEKDAY(B2963)=7,1,0))))))</f>
        <v>3</v>
      </c>
      <c r="G2963" s="369">
        <f>VLOOKUP(C2963,METADATA!$J$5:$Q$29,IF(E2963="HI",2,IF(E2963="LO",6,10))+IF(D2963=1,2,IF(D2963=7,1,(IF(WEEKDAY(B2963)=1,2,IF(WEEKDAY(B2963)=7,1,0))))))</f>
        <v>3</v>
      </c>
      <c r="H2963" s="370">
        <v>13448.800170898438</v>
      </c>
      <c r="I2963" s="370">
        <v>4297.9501037597656</v>
      </c>
      <c r="M2963" s="371">
        <f t="shared" si="185"/>
        <v>14118.873932830706</v>
      </c>
      <c r="N2963" s="329">
        <f t="shared" si="186"/>
        <v>263.31005249023474</v>
      </c>
      <c r="T2963" s="331">
        <v>0</v>
      </c>
      <c r="U2963" s="328">
        <f>VLOOKUP(C2963,METADATA!$J$5:$Q$29,IF(E2963="HI",2,IF(E2963="LO",6,10))+IF(T2963=1,2,IF(D2963=7,1,(IF(WEEKDAY(B2963)=1,2,IF(WEEKDAY(B2963)=7,1,0))))))</f>
        <v>3</v>
      </c>
      <c r="V2963" s="328">
        <f>VLOOKUP(C2963,METADATA!$A$5:$H$29,IF(E2963="HI",2,IF(E2963="LO",6,10))+IF(T2963=1,2,IF(D2963=7,1,(IF(WEEKDAY(B2963)=1,2,IF(WEEKDAY(B2963)=7,1,0))))))</f>
        <v>3</v>
      </c>
    </row>
    <row r="2964" spans="2:22">
      <c r="B2964" s="318">
        <f t="shared" si="183"/>
        <v>46236</v>
      </c>
      <c r="C2964" s="312">
        <v>8</v>
      </c>
      <c r="D2964" s="368">
        <f>IFERROR((INDEX(METADATA!$T$2:$T$20,MATCH(B2964,METADATA!$S$2:$S$20,0))),0)</f>
        <v>0</v>
      </c>
      <c r="E2964" s="312" t="str">
        <f t="shared" si="184"/>
        <v>LO</v>
      </c>
      <c r="F2964" s="369">
        <f>VLOOKUP(C2964,METADATA!$A$5:$H$29,IF(E2964="HI",2,IF(E2964="LO",6,10))+IF(D2964=1,2,IF(D2964=7,1,(IF(WEEKDAY(B2964)=1,2,IF(WEEKDAY(B2964)=7,1,0))))))</f>
        <v>3</v>
      </c>
      <c r="G2964" s="369">
        <f>VLOOKUP(C2964,METADATA!$J$5:$Q$29,IF(E2964="HI",2,IF(E2964="LO",6,10))+IF(D2964=1,2,IF(D2964=7,1,(IF(WEEKDAY(B2964)=1,2,IF(WEEKDAY(B2964)=7,1,0))))))</f>
        <v>3</v>
      </c>
      <c r="H2964" s="370">
        <v>13459.700317382813</v>
      </c>
      <c r="I2964" s="370">
        <v>4371.52001953125</v>
      </c>
      <c r="M2964" s="371">
        <f t="shared" si="185"/>
        <v>14151.809775251979</v>
      </c>
      <c r="N2964" s="329">
        <f t="shared" si="186"/>
        <v>333.60992431640625</v>
      </c>
      <c r="T2964" s="331">
        <v>0</v>
      </c>
      <c r="U2964" s="328">
        <f>VLOOKUP(C2964,METADATA!$J$5:$Q$29,IF(E2964="HI",2,IF(E2964="LO",6,10))+IF(T2964=1,2,IF(D2964=7,1,(IF(WEEKDAY(B2964)=1,2,IF(WEEKDAY(B2964)=7,1,0))))))</f>
        <v>3</v>
      </c>
      <c r="V2964" s="328">
        <f>VLOOKUP(C2964,METADATA!$A$5:$H$29,IF(E2964="HI",2,IF(E2964="LO",6,10))+IF(T2964=1,2,IF(D2964=7,1,(IF(WEEKDAY(B2964)=1,2,IF(WEEKDAY(B2964)=7,1,0))))))</f>
        <v>3</v>
      </c>
    </row>
    <row r="2965" spans="2:22">
      <c r="B2965" s="318">
        <f t="shared" si="183"/>
        <v>46236</v>
      </c>
      <c r="C2965" s="312">
        <v>9</v>
      </c>
      <c r="D2965" s="368">
        <f>IFERROR((INDEX(METADATA!$T$2:$T$20,MATCH(B2965,METADATA!$S$2:$S$20,0))),0)</f>
        <v>0</v>
      </c>
      <c r="E2965" s="312" t="str">
        <f t="shared" si="184"/>
        <v>LO</v>
      </c>
      <c r="F2965" s="369">
        <f>VLOOKUP(C2965,METADATA!$A$5:$H$29,IF(E2965="HI",2,IF(E2965="LO",6,10))+IF(D2965=1,2,IF(D2965=7,1,(IF(WEEKDAY(B2965)=1,2,IF(WEEKDAY(B2965)=7,1,0))))))</f>
        <v>3</v>
      </c>
      <c r="G2965" s="369">
        <f>VLOOKUP(C2965,METADATA!$J$5:$Q$29,IF(E2965="HI",2,IF(E2965="LO",6,10))+IF(D2965=1,2,IF(D2965=7,1,(IF(WEEKDAY(B2965)=1,2,IF(WEEKDAY(B2965)=7,1,0))))))</f>
        <v>3</v>
      </c>
      <c r="H2965" s="370">
        <v>13423.375</v>
      </c>
      <c r="I2965" s="370">
        <v>4314.2950134277344</v>
      </c>
      <c r="M2965" s="371">
        <f t="shared" si="185"/>
        <v>14099.650274156178</v>
      </c>
      <c r="N2965" s="329">
        <f t="shared" si="186"/>
        <v>287.28251342773456</v>
      </c>
      <c r="T2965" s="331">
        <v>0</v>
      </c>
      <c r="U2965" s="328">
        <f>VLOOKUP(C2965,METADATA!$J$5:$Q$29,IF(E2965="HI",2,IF(E2965="LO",6,10))+IF(T2965=1,2,IF(D2965=7,1,(IF(WEEKDAY(B2965)=1,2,IF(WEEKDAY(B2965)=7,1,0))))))</f>
        <v>3</v>
      </c>
      <c r="V2965" s="328">
        <f>VLOOKUP(C2965,METADATA!$A$5:$H$29,IF(E2965="HI",2,IF(E2965="LO",6,10))+IF(T2965=1,2,IF(D2965=7,1,(IF(WEEKDAY(B2965)=1,2,IF(WEEKDAY(B2965)=7,1,0))))))</f>
        <v>3</v>
      </c>
    </row>
    <row r="2966" spans="2:22">
      <c r="B2966" s="318">
        <f t="shared" si="183"/>
        <v>46236</v>
      </c>
      <c r="C2966" s="312">
        <v>10</v>
      </c>
      <c r="D2966" s="368">
        <f>IFERROR((INDEX(METADATA!$T$2:$T$20,MATCH(B2966,METADATA!$S$2:$S$20,0))),0)</f>
        <v>0</v>
      </c>
      <c r="E2966" s="312" t="str">
        <f t="shared" si="184"/>
        <v>LO</v>
      </c>
      <c r="F2966" s="369">
        <f>VLOOKUP(C2966,METADATA!$A$5:$H$29,IF(E2966="HI",2,IF(E2966="LO",6,10))+IF(D2966=1,2,IF(D2966=7,1,(IF(WEEKDAY(B2966)=1,2,IF(WEEKDAY(B2966)=7,1,0))))))</f>
        <v>3</v>
      </c>
      <c r="G2966" s="369">
        <f>VLOOKUP(C2966,METADATA!$J$5:$Q$29,IF(E2966="HI",2,IF(E2966="LO",6,10))+IF(D2966=1,2,IF(D2966=7,1,(IF(WEEKDAY(B2966)=1,2,IF(WEEKDAY(B2966)=7,1,0))))))</f>
        <v>3</v>
      </c>
      <c r="H2966" s="370">
        <v>13472.67529296875</v>
      </c>
      <c r="I2966" s="370">
        <v>4282.9149169921875</v>
      </c>
      <c r="M2966" s="371">
        <f t="shared" si="185"/>
        <v>14137.055553967552</v>
      </c>
      <c r="N2966" s="329">
        <f t="shared" si="186"/>
        <v>241.11232910156286</v>
      </c>
      <c r="T2966" s="331">
        <v>0</v>
      </c>
      <c r="U2966" s="328">
        <f>VLOOKUP(C2966,METADATA!$J$5:$Q$29,IF(E2966="HI",2,IF(E2966="LO",6,10))+IF(T2966=1,2,IF(D2966=7,1,(IF(WEEKDAY(B2966)=1,2,IF(WEEKDAY(B2966)=7,1,0))))))</f>
        <v>3</v>
      </c>
      <c r="V2966" s="328">
        <f>VLOOKUP(C2966,METADATA!$A$5:$H$29,IF(E2966="HI",2,IF(E2966="LO",6,10))+IF(T2966=1,2,IF(D2966=7,1,(IF(WEEKDAY(B2966)=1,2,IF(WEEKDAY(B2966)=7,1,0))))))</f>
        <v>3</v>
      </c>
    </row>
    <row r="2967" spans="2:22">
      <c r="B2967" s="318">
        <f t="shared" si="183"/>
        <v>46236</v>
      </c>
      <c r="C2967" s="312">
        <v>11</v>
      </c>
      <c r="D2967" s="368">
        <f>IFERROR((INDEX(METADATA!$T$2:$T$20,MATCH(B2967,METADATA!$S$2:$S$20,0))),0)</f>
        <v>0</v>
      </c>
      <c r="E2967" s="312" t="str">
        <f t="shared" si="184"/>
        <v>LO</v>
      </c>
      <c r="F2967" s="369">
        <f>VLOOKUP(C2967,METADATA!$A$5:$H$29,IF(E2967="HI",2,IF(E2967="LO",6,10))+IF(D2967=1,2,IF(D2967=7,1,(IF(WEEKDAY(B2967)=1,2,IF(WEEKDAY(B2967)=7,1,0))))))</f>
        <v>3</v>
      </c>
      <c r="G2967" s="369">
        <f>VLOOKUP(C2967,METADATA!$J$5:$Q$29,IF(E2967="HI",2,IF(E2967="LO",6,10))+IF(D2967=1,2,IF(D2967=7,1,(IF(WEEKDAY(B2967)=1,2,IF(WEEKDAY(B2967)=7,1,0))))))</f>
        <v>3</v>
      </c>
      <c r="H2967" s="370">
        <v>13501.275024414063</v>
      </c>
      <c r="I2967" s="370">
        <v>4361.0350341796875</v>
      </c>
      <c r="M2967" s="371">
        <f t="shared" si="185"/>
        <v>14188.130738550781</v>
      </c>
      <c r="N2967" s="329">
        <f t="shared" si="186"/>
        <v>310.65252685546875</v>
      </c>
      <c r="T2967" s="331">
        <v>0</v>
      </c>
      <c r="U2967" s="328">
        <f>VLOOKUP(C2967,METADATA!$J$5:$Q$29,IF(E2967="HI",2,IF(E2967="LO",6,10))+IF(T2967=1,2,IF(D2967=7,1,(IF(WEEKDAY(B2967)=1,2,IF(WEEKDAY(B2967)=7,1,0))))))</f>
        <v>3</v>
      </c>
      <c r="V2967" s="328">
        <f>VLOOKUP(C2967,METADATA!$A$5:$H$29,IF(E2967="HI",2,IF(E2967="LO",6,10))+IF(T2967=1,2,IF(D2967=7,1,(IF(WEEKDAY(B2967)=1,2,IF(WEEKDAY(B2967)=7,1,0))))))</f>
        <v>3</v>
      </c>
    </row>
    <row r="2968" spans="2:22">
      <c r="B2968" s="318">
        <f t="shared" si="183"/>
        <v>46236</v>
      </c>
      <c r="C2968" s="312">
        <v>12</v>
      </c>
      <c r="D2968" s="368">
        <f>IFERROR((INDEX(METADATA!$T$2:$T$20,MATCH(B2968,METADATA!$S$2:$S$20,0))),0)</f>
        <v>0</v>
      </c>
      <c r="E2968" s="312" t="str">
        <f t="shared" si="184"/>
        <v>LO</v>
      </c>
      <c r="F2968" s="369">
        <f>VLOOKUP(C2968,METADATA!$A$5:$H$29,IF(E2968="HI",2,IF(E2968="LO",6,10))+IF(D2968=1,2,IF(D2968=7,1,(IF(WEEKDAY(B2968)=1,2,IF(WEEKDAY(B2968)=7,1,0))))))</f>
        <v>3</v>
      </c>
      <c r="G2968" s="369">
        <f>VLOOKUP(C2968,METADATA!$J$5:$Q$29,IF(E2968="HI",2,IF(E2968="LO",6,10))+IF(D2968=1,2,IF(D2968=7,1,(IF(WEEKDAY(B2968)=1,2,IF(WEEKDAY(B2968)=7,1,0))))))</f>
        <v>3</v>
      </c>
      <c r="H2968" s="370">
        <v>13605.174926757813</v>
      </c>
      <c r="I2968" s="370">
        <v>4465.6299743652344</v>
      </c>
      <c r="M2968" s="371">
        <f t="shared" si="185"/>
        <v>14319.309894531532</v>
      </c>
      <c r="N2968" s="329">
        <f t="shared" si="186"/>
        <v>384.07749633789081</v>
      </c>
      <c r="T2968" s="331">
        <v>0</v>
      </c>
      <c r="U2968" s="328">
        <f>VLOOKUP(C2968,METADATA!$J$5:$Q$29,IF(E2968="HI",2,IF(E2968="LO",6,10))+IF(T2968=1,2,IF(D2968=7,1,(IF(WEEKDAY(B2968)=1,2,IF(WEEKDAY(B2968)=7,1,0))))))</f>
        <v>3</v>
      </c>
      <c r="V2968" s="328">
        <f>VLOOKUP(C2968,METADATA!$A$5:$H$29,IF(E2968="HI",2,IF(E2968="LO",6,10))+IF(T2968=1,2,IF(D2968=7,1,(IF(WEEKDAY(B2968)=1,2,IF(WEEKDAY(B2968)=7,1,0))))))</f>
        <v>3</v>
      </c>
    </row>
    <row r="2969" spans="2:22">
      <c r="B2969" s="318">
        <f t="shared" si="183"/>
        <v>46236</v>
      </c>
      <c r="C2969" s="312">
        <v>13</v>
      </c>
      <c r="D2969" s="368">
        <f>IFERROR((INDEX(METADATA!$T$2:$T$20,MATCH(B2969,METADATA!$S$2:$S$20,0))),0)</f>
        <v>0</v>
      </c>
      <c r="E2969" s="312" t="str">
        <f t="shared" si="184"/>
        <v>LO</v>
      </c>
      <c r="F2969" s="369">
        <f>VLOOKUP(C2969,METADATA!$A$5:$H$29,IF(E2969="HI",2,IF(E2969="LO",6,10))+IF(D2969=1,2,IF(D2969=7,1,(IF(WEEKDAY(B2969)=1,2,IF(WEEKDAY(B2969)=7,1,0))))))</f>
        <v>3</v>
      </c>
      <c r="G2969" s="369">
        <f>VLOOKUP(C2969,METADATA!$J$5:$Q$29,IF(E2969="HI",2,IF(E2969="LO",6,10))+IF(D2969=1,2,IF(D2969=7,1,(IF(WEEKDAY(B2969)=1,2,IF(WEEKDAY(B2969)=7,1,0))))))</f>
        <v>3</v>
      </c>
      <c r="H2969" s="370">
        <v>13641.525146484375</v>
      </c>
      <c r="I2969" s="370">
        <v>4625.5549926757813</v>
      </c>
      <c r="M2969" s="371">
        <f t="shared" si="185"/>
        <v>14404.407912595138</v>
      </c>
      <c r="N2969" s="329">
        <f t="shared" si="186"/>
        <v>533.09744873046884</v>
      </c>
      <c r="T2969" s="331">
        <v>0</v>
      </c>
      <c r="U2969" s="328">
        <f>VLOOKUP(C2969,METADATA!$J$5:$Q$29,IF(E2969="HI",2,IF(E2969="LO",6,10))+IF(T2969=1,2,IF(D2969=7,1,(IF(WEEKDAY(B2969)=1,2,IF(WEEKDAY(B2969)=7,1,0))))))</f>
        <v>3</v>
      </c>
      <c r="V2969" s="328">
        <f>VLOOKUP(C2969,METADATA!$A$5:$H$29,IF(E2969="HI",2,IF(E2969="LO",6,10))+IF(T2969=1,2,IF(D2969=7,1,(IF(WEEKDAY(B2969)=1,2,IF(WEEKDAY(B2969)=7,1,0))))))</f>
        <v>3</v>
      </c>
    </row>
    <row r="2970" spans="2:22">
      <c r="B2970" s="318">
        <f t="shared" si="183"/>
        <v>46236</v>
      </c>
      <c r="C2970" s="312">
        <v>14</v>
      </c>
      <c r="D2970" s="368">
        <f>IFERROR((INDEX(METADATA!$T$2:$T$20,MATCH(B2970,METADATA!$S$2:$S$20,0))),0)</f>
        <v>0</v>
      </c>
      <c r="E2970" s="312" t="str">
        <f t="shared" si="184"/>
        <v>LO</v>
      </c>
      <c r="F2970" s="369">
        <f>VLOOKUP(C2970,METADATA!$A$5:$H$29,IF(E2970="HI",2,IF(E2970="LO",6,10))+IF(D2970=1,2,IF(D2970=7,1,(IF(WEEKDAY(B2970)=1,2,IF(WEEKDAY(B2970)=7,1,0))))))</f>
        <v>3</v>
      </c>
      <c r="G2970" s="369">
        <f>VLOOKUP(C2970,METADATA!$J$5:$Q$29,IF(E2970="HI",2,IF(E2970="LO",6,10))+IF(D2970=1,2,IF(D2970=7,1,(IF(WEEKDAY(B2970)=1,2,IF(WEEKDAY(B2970)=7,1,0))))))</f>
        <v>3</v>
      </c>
      <c r="H2970" s="370">
        <v>13572.400512695313</v>
      </c>
      <c r="I2970" s="370">
        <v>4728.4249572753906</v>
      </c>
      <c r="M2970" s="371">
        <f t="shared" si="185"/>
        <v>14372.475717620704</v>
      </c>
      <c r="N2970" s="329">
        <f t="shared" si="186"/>
        <v>656.70480346679688</v>
      </c>
      <c r="T2970" s="331">
        <v>0</v>
      </c>
      <c r="U2970" s="328">
        <f>VLOOKUP(C2970,METADATA!$J$5:$Q$29,IF(E2970="HI",2,IF(E2970="LO",6,10))+IF(T2970=1,2,IF(D2970=7,1,(IF(WEEKDAY(B2970)=1,2,IF(WEEKDAY(B2970)=7,1,0))))))</f>
        <v>3</v>
      </c>
      <c r="V2970" s="328">
        <f>VLOOKUP(C2970,METADATA!$A$5:$H$29,IF(E2970="HI",2,IF(E2970="LO",6,10))+IF(T2970=1,2,IF(D2970=7,1,(IF(WEEKDAY(B2970)=1,2,IF(WEEKDAY(B2970)=7,1,0))))))</f>
        <v>3</v>
      </c>
    </row>
    <row r="2971" spans="2:22">
      <c r="B2971" s="318">
        <f t="shared" si="183"/>
        <v>46236</v>
      </c>
      <c r="C2971" s="312">
        <v>15</v>
      </c>
      <c r="D2971" s="368">
        <f>IFERROR((INDEX(METADATA!$T$2:$T$20,MATCH(B2971,METADATA!$S$2:$S$20,0))),0)</f>
        <v>0</v>
      </c>
      <c r="E2971" s="312" t="str">
        <f t="shared" si="184"/>
        <v>LO</v>
      </c>
      <c r="F2971" s="369">
        <f>VLOOKUP(C2971,METADATA!$A$5:$H$29,IF(E2971="HI",2,IF(E2971="LO",6,10))+IF(D2971=1,2,IF(D2971=7,1,(IF(WEEKDAY(B2971)=1,2,IF(WEEKDAY(B2971)=7,1,0))))))</f>
        <v>3</v>
      </c>
      <c r="G2971" s="369">
        <f>VLOOKUP(C2971,METADATA!$J$5:$Q$29,IF(E2971="HI",2,IF(E2971="LO",6,10))+IF(D2971=1,2,IF(D2971=7,1,(IF(WEEKDAY(B2971)=1,2,IF(WEEKDAY(B2971)=7,1,0))))))</f>
        <v>3</v>
      </c>
      <c r="H2971" s="370">
        <v>13527.874938964844</v>
      </c>
      <c r="I2971" s="370">
        <v>4707.6499328613281</v>
      </c>
      <c r="M2971" s="371">
        <f t="shared" si="185"/>
        <v>14323.594809077864</v>
      </c>
      <c r="N2971" s="329">
        <f t="shared" si="186"/>
        <v>649.28745117187509</v>
      </c>
      <c r="T2971" s="331">
        <v>0</v>
      </c>
      <c r="U2971" s="328">
        <f>VLOOKUP(C2971,METADATA!$J$5:$Q$29,IF(E2971="HI",2,IF(E2971="LO",6,10))+IF(T2971=1,2,IF(D2971=7,1,(IF(WEEKDAY(B2971)=1,2,IF(WEEKDAY(B2971)=7,1,0))))))</f>
        <v>3</v>
      </c>
      <c r="V2971" s="328">
        <f>VLOOKUP(C2971,METADATA!$A$5:$H$29,IF(E2971="HI",2,IF(E2971="LO",6,10))+IF(T2971=1,2,IF(D2971=7,1,(IF(WEEKDAY(B2971)=1,2,IF(WEEKDAY(B2971)=7,1,0))))))</f>
        <v>3</v>
      </c>
    </row>
    <row r="2972" spans="2:22">
      <c r="B2972" s="318">
        <f t="shared" ref="B2972:B3035" si="187">B2948+1</f>
        <v>46236</v>
      </c>
      <c r="C2972" s="312">
        <v>16</v>
      </c>
      <c r="D2972" s="368">
        <f>IFERROR((INDEX(METADATA!$T$2:$T$20,MATCH(B2972,METADATA!$S$2:$S$20,0))),0)</f>
        <v>0</v>
      </c>
      <c r="E2972" s="312" t="str">
        <f t="shared" si="184"/>
        <v>LO</v>
      </c>
      <c r="F2972" s="369">
        <f>VLOOKUP(C2972,METADATA!$A$5:$H$29,IF(E2972="HI",2,IF(E2972="LO",6,10))+IF(D2972=1,2,IF(D2972=7,1,(IF(WEEKDAY(B2972)=1,2,IF(WEEKDAY(B2972)=7,1,0))))))</f>
        <v>3</v>
      </c>
      <c r="G2972" s="369">
        <f>VLOOKUP(C2972,METADATA!$J$5:$Q$29,IF(E2972="HI",2,IF(E2972="LO",6,10))+IF(D2972=1,2,IF(D2972=7,1,(IF(WEEKDAY(B2972)=1,2,IF(WEEKDAY(B2972)=7,1,0))))))</f>
        <v>3</v>
      </c>
      <c r="H2972" s="370">
        <v>13458.200073242188</v>
      </c>
      <c r="I2972" s="370">
        <v>4585.1250915527344</v>
      </c>
      <c r="M2972" s="371">
        <f t="shared" si="185"/>
        <v>14217.824071094792</v>
      </c>
      <c r="N2972" s="329">
        <f t="shared" si="186"/>
        <v>547.66506958007813</v>
      </c>
      <c r="T2972" s="331">
        <v>0</v>
      </c>
      <c r="U2972" s="328">
        <f>VLOOKUP(C2972,METADATA!$J$5:$Q$29,IF(E2972="HI",2,IF(E2972="LO",6,10))+IF(T2972=1,2,IF(D2972=7,1,(IF(WEEKDAY(B2972)=1,2,IF(WEEKDAY(B2972)=7,1,0))))))</f>
        <v>3</v>
      </c>
      <c r="V2972" s="328">
        <f>VLOOKUP(C2972,METADATA!$A$5:$H$29,IF(E2972="HI",2,IF(E2972="LO",6,10))+IF(T2972=1,2,IF(D2972=7,1,(IF(WEEKDAY(B2972)=1,2,IF(WEEKDAY(B2972)=7,1,0))))))</f>
        <v>3</v>
      </c>
    </row>
    <row r="2973" spans="2:22">
      <c r="B2973" s="318">
        <f t="shared" si="187"/>
        <v>46236</v>
      </c>
      <c r="C2973" s="312">
        <v>17</v>
      </c>
      <c r="D2973" s="368">
        <f>IFERROR((INDEX(METADATA!$T$2:$T$20,MATCH(B2973,METADATA!$S$2:$S$20,0))),0)</f>
        <v>0</v>
      </c>
      <c r="E2973" s="312" t="str">
        <f t="shared" si="184"/>
        <v>LO</v>
      </c>
      <c r="F2973" s="369">
        <f>VLOOKUP(C2973,METADATA!$A$5:$H$29,IF(E2973="HI",2,IF(E2973="LO",6,10))+IF(D2973=1,2,IF(D2973=7,1,(IF(WEEKDAY(B2973)=1,2,IF(WEEKDAY(B2973)=7,1,0))))))</f>
        <v>3</v>
      </c>
      <c r="G2973" s="369">
        <f>VLOOKUP(C2973,METADATA!$J$5:$Q$29,IF(E2973="HI",2,IF(E2973="LO",6,10))+IF(D2973=1,2,IF(D2973=7,1,(IF(WEEKDAY(B2973)=1,2,IF(WEEKDAY(B2973)=7,1,0))))))</f>
        <v>3</v>
      </c>
      <c r="H2973" s="370">
        <v>13324.149780273438</v>
      </c>
      <c r="I2973" s="370">
        <v>4392.0500183105469</v>
      </c>
      <c r="M2973" s="371">
        <f t="shared" si="185"/>
        <v>14029.364587553579</v>
      </c>
      <c r="N2973" s="329">
        <f t="shared" si="186"/>
        <v>394.80508422851563</v>
      </c>
      <c r="T2973" s="331">
        <v>0</v>
      </c>
      <c r="U2973" s="328">
        <f>VLOOKUP(C2973,METADATA!$J$5:$Q$29,IF(E2973="HI",2,IF(E2973="LO",6,10))+IF(T2973=1,2,IF(D2973=7,1,(IF(WEEKDAY(B2973)=1,2,IF(WEEKDAY(B2973)=7,1,0))))))</f>
        <v>3</v>
      </c>
      <c r="V2973" s="328">
        <f>VLOOKUP(C2973,METADATA!$A$5:$H$29,IF(E2973="HI",2,IF(E2973="LO",6,10))+IF(T2973=1,2,IF(D2973=7,1,(IF(WEEKDAY(B2973)=1,2,IF(WEEKDAY(B2973)=7,1,0))))))</f>
        <v>3</v>
      </c>
    </row>
    <row r="2974" spans="2:22">
      <c r="B2974" s="318">
        <f t="shared" si="187"/>
        <v>46236</v>
      </c>
      <c r="C2974" s="312">
        <v>18</v>
      </c>
      <c r="D2974" s="368">
        <f>IFERROR((INDEX(METADATA!$T$2:$T$20,MATCH(B2974,METADATA!$S$2:$S$20,0))),0)</f>
        <v>0</v>
      </c>
      <c r="E2974" s="312" t="str">
        <f t="shared" si="184"/>
        <v>LO</v>
      </c>
      <c r="F2974" s="369">
        <f>VLOOKUP(C2974,METADATA!$A$5:$H$29,IF(E2974="HI",2,IF(E2974="LO",6,10))+IF(D2974=1,2,IF(D2974=7,1,(IF(WEEKDAY(B2974)=1,2,IF(WEEKDAY(B2974)=7,1,0))))))</f>
        <v>2</v>
      </c>
      <c r="G2974" s="369">
        <f>VLOOKUP(C2974,METADATA!$J$5:$Q$29,IF(E2974="HI",2,IF(E2974="LO",6,10))+IF(D2974=1,2,IF(D2974=7,1,(IF(WEEKDAY(B2974)=1,2,IF(WEEKDAY(B2974)=7,1,0))))))</f>
        <v>2</v>
      </c>
      <c r="H2974" s="370">
        <v>13304.525390625</v>
      </c>
      <c r="I2974" s="370">
        <v>4238.6349487304688</v>
      </c>
      <c r="M2974" s="371">
        <f t="shared" si="185"/>
        <v>13963.395793945851</v>
      </c>
      <c r="N2974" s="329">
        <f t="shared" si="186"/>
        <v>247.27733154296902</v>
      </c>
      <c r="T2974" s="331">
        <v>0</v>
      </c>
      <c r="U2974" s="328">
        <f>VLOOKUP(C2974,METADATA!$J$5:$Q$29,IF(E2974="HI",2,IF(E2974="LO",6,10))+IF(T2974=1,2,IF(D2974=7,1,(IF(WEEKDAY(B2974)=1,2,IF(WEEKDAY(B2974)=7,1,0))))))</f>
        <v>2</v>
      </c>
      <c r="V2974" s="328">
        <f>VLOOKUP(C2974,METADATA!$A$5:$H$29,IF(E2974="HI",2,IF(E2974="LO",6,10))+IF(T2974=1,2,IF(D2974=7,1,(IF(WEEKDAY(B2974)=1,2,IF(WEEKDAY(B2974)=7,1,0))))))</f>
        <v>2</v>
      </c>
    </row>
    <row r="2975" spans="2:22">
      <c r="B2975" s="318">
        <f t="shared" si="187"/>
        <v>46236</v>
      </c>
      <c r="C2975" s="312">
        <v>19</v>
      </c>
      <c r="D2975" s="368">
        <f>IFERROR((INDEX(METADATA!$T$2:$T$20,MATCH(B2975,METADATA!$S$2:$S$20,0))),0)</f>
        <v>0</v>
      </c>
      <c r="E2975" s="312" t="str">
        <f t="shared" si="184"/>
        <v>LO</v>
      </c>
      <c r="F2975" s="369">
        <f>VLOOKUP(C2975,METADATA!$A$5:$H$29,IF(E2975="HI",2,IF(E2975="LO",6,10))+IF(D2975=1,2,IF(D2975=7,1,(IF(WEEKDAY(B2975)=1,2,IF(WEEKDAY(B2975)=7,1,0))))))</f>
        <v>2</v>
      </c>
      <c r="G2975" s="369">
        <f>VLOOKUP(C2975,METADATA!$J$5:$Q$29,IF(E2975="HI",2,IF(E2975="LO",6,10))+IF(D2975=1,2,IF(D2975=7,1,(IF(WEEKDAY(B2975)=1,2,IF(WEEKDAY(B2975)=7,1,0))))))</f>
        <v>2</v>
      </c>
      <c r="H2975" s="370">
        <v>13233.150390625</v>
      </c>
      <c r="I2975" s="370">
        <v>4130.2300109863281</v>
      </c>
      <c r="M2975" s="371">
        <f t="shared" si="185"/>
        <v>13862.72228693018</v>
      </c>
      <c r="N2975" s="329">
        <f t="shared" si="186"/>
        <v>160.28489379882831</v>
      </c>
      <c r="T2975" s="331">
        <v>0</v>
      </c>
      <c r="U2975" s="328">
        <f>VLOOKUP(C2975,METADATA!$J$5:$Q$29,IF(E2975="HI",2,IF(E2975="LO",6,10))+IF(T2975=1,2,IF(D2975=7,1,(IF(WEEKDAY(B2975)=1,2,IF(WEEKDAY(B2975)=7,1,0))))))</f>
        <v>2</v>
      </c>
      <c r="V2975" s="328">
        <f>VLOOKUP(C2975,METADATA!$A$5:$H$29,IF(E2975="HI",2,IF(E2975="LO",6,10))+IF(T2975=1,2,IF(D2975=7,1,(IF(WEEKDAY(B2975)=1,2,IF(WEEKDAY(B2975)=7,1,0))))))</f>
        <v>2</v>
      </c>
    </row>
    <row r="2976" spans="2:22">
      <c r="B2976" s="318">
        <f t="shared" si="187"/>
        <v>46236</v>
      </c>
      <c r="C2976" s="312">
        <v>20</v>
      </c>
      <c r="D2976" s="368">
        <f>IFERROR((INDEX(METADATA!$T$2:$T$20,MATCH(B2976,METADATA!$S$2:$S$20,0))),0)</f>
        <v>0</v>
      </c>
      <c r="E2976" s="312" t="str">
        <f t="shared" si="184"/>
        <v>LO</v>
      </c>
      <c r="F2976" s="369">
        <f>VLOOKUP(C2976,METADATA!$A$5:$H$29,IF(E2976="HI",2,IF(E2976="LO",6,10))+IF(D2976=1,2,IF(D2976=7,1,(IF(WEEKDAY(B2976)=1,2,IF(WEEKDAY(B2976)=7,1,0))))))</f>
        <v>3</v>
      </c>
      <c r="G2976" s="369">
        <f>VLOOKUP(C2976,METADATA!$J$5:$Q$29,IF(E2976="HI",2,IF(E2976="LO",6,10))+IF(D2976=1,2,IF(D2976=7,1,(IF(WEEKDAY(B2976)=1,2,IF(WEEKDAY(B2976)=7,1,0))))))</f>
        <v>3</v>
      </c>
      <c r="H2976" s="370">
        <v>13233.82470703125</v>
      </c>
      <c r="I2976" s="370">
        <v>4142.0650329589844</v>
      </c>
      <c r="M2976" s="371">
        <f t="shared" si="185"/>
        <v>13866.896520623937</v>
      </c>
      <c r="N2976" s="329">
        <f t="shared" si="186"/>
        <v>171.91762084960965</v>
      </c>
      <c r="T2976" s="331">
        <v>0</v>
      </c>
      <c r="U2976" s="328">
        <f>VLOOKUP(C2976,METADATA!$J$5:$Q$29,IF(E2976="HI",2,IF(E2976="LO",6,10))+IF(T2976=1,2,IF(D2976=7,1,(IF(WEEKDAY(B2976)=1,2,IF(WEEKDAY(B2976)=7,1,0))))))</f>
        <v>3</v>
      </c>
      <c r="V2976" s="328">
        <f>VLOOKUP(C2976,METADATA!$A$5:$H$29,IF(E2976="HI",2,IF(E2976="LO",6,10))+IF(T2976=1,2,IF(D2976=7,1,(IF(WEEKDAY(B2976)=1,2,IF(WEEKDAY(B2976)=7,1,0))))))</f>
        <v>3</v>
      </c>
    </row>
    <row r="2977" spans="2:22">
      <c r="B2977" s="318">
        <f t="shared" si="187"/>
        <v>46236</v>
      </c>
      <c r="C2977" s="312">
        <v>21</v>
      </c>
      <c r="D2977" s="368">
        <f>IFERROR((INDEX(METADATA!$T$2:$T$20,MATCH(B2977,METADATA!$S$2:$S$20,0))),0)</f>
        <v>0</v>
      </c>
      <c r="E2977" s="312" t="str">
        <f t="shared" si="184"/>
        <v>LO</v>
      </c>
      <c r="F2977" s="369">
        <f>VLOOKUP(C2977,METADATA!$A$5:$H$29,IF(E2977="HI",2,IF(E2977="LO",6,10))+IF(D2977=1,2,IF(D2977=7,1,(IF(WEEKDAY(B2977)=1,2,IF(WEEKDAY(B2977)=7,1,0))))))</f>
        <v>3</v>
      </c>
      <c r="G2977" s="369">
        <f>VLOOKUP(C2977,METADATA!$J$5:$Q$29,IF(E2977="HI",2,IF(E2977="LO",6,10))+IF(D2977=1,2,IF(D2977=7,1,(IF(WEEKDAY(B2977)=1,2,IF(WEEKDAY(B2977)=7,1,0))))))</f>
        <v>3</v>
      </c>
      <c r="H2977" s="370">
        <v>13316.425048828125</v>
      </c>
      <c r="I2977" s="370">
        <v>4391.3099670410156</v>
      </c>
      <c r="M2977" s="371">
        <f t="shared" si="185"/>
        <v>14021.796579172402</v>
      </c>
      <c r="N2977" s="329">
        <f t="shared" si="186"/>
        <v>396.38245239257822</v>
      </c>
      <c r="T2977" s="331">
        <v>0</v>
      </c>
      <c r="U2977" s="328">
        <f>VLOOKUP(C2977,METADATA!$J$5:$Q$29,IF(E2977="HI",2,IF(E2977="LO",6,10))+IF(T2977=1,2,IF(D2977=7,1,(IF(WEEKDAY(B2977)=1,2,IF(WEEKDAY(B2977)=7,1,0))))))</f>
        <v>3</v>
      </c>
      <c r="V2977" s="328">
        <f>VLOOKUP(C2977,METADATA!$A$5:$H$29,IF(E2977="HI",2,IF(E2977="LO",6,10))+IF(T2977=1,2,IF(D2977=7,1,(IF(WEEKDAY(B2977)=1,2,IF(WEEKDAY(B2977)=7,1,0))))))</f>
        <v>3</v>
      </c>
    </row>
    <row r="2978" spans="2:22">
      <c r="B2978" s="318">
        <f t="shared" si="187"/>
        <v>46236</v>
      </c>
      <c r="C2978" s="312">
        <v>22</v>
      </c>
      <c r="D2978" s="368">
        <f>IFERROR((INDEX(METADATA!$T$2:$T$20,MATCH(B2978,METADATA!$S$2:$S$20,0))),0)</f>
        <v>0</v>
      </c>
      <c r="E2978" s="312" t="str">
        <f t="shared" si="184"/>
        <v>LO</v>
      </c>
      <c r="F2978" s="369">
        <f>VLOOKUP(C2978,METADATA!$A$5:$H$29,IF(E2978="HI",2,IF(E2978="LO",6,10))+IF(D2978=1,2,IF(D2978=7,1,(IF(WEEKDAY(B2978)=1,2,IF(WEEKDAY(B2978)=7,1,0))))))</f>
        <v>3</v>
      </c>
      <c r="G2978" s="369">
        <f>VLOOKUP(C2978,METADATA!$J$5:$Q$29,IF(E2978="HI",2,IF(E2978="LO",6,10))+IF(D2978=1,2,IF(D2978=7,1,(IF(WEEKDAY(B2978)=1,2,IF(WEEKDAY(B2978)=7,1,0))))))</f>
        <v>3</v>
      </c>
      <c r="H2978" s="370">
        <v>9667.39990234375</v>
      </c>
      <c r="I2978" s="370">
        <v>2962.8049926757813</v>
      </c>
      <c r="M2978" s="371">
        <f t="shared" si="185"/>
        <v>10111.223184979179</v>
      </c>
      <c r="N2978" s="329">
        <f t="shared" si="186"/>
        <v>62.58502197265625</v>
      </c>
      <c r="T2978" s="331">
        <v>0</v>
      </c>
      <c r="U2978" s="328">
        <f>VLOOKUP(C2978,METADATA!$J$5:$Q$29,IF(E2978="HI",2,IF(E2978="LO",6,10))+IF(T2978=1,2,IF(D2978=7,1,(IF(WEEKDAY(B2978)=1,2,IF(WEEKDAY(B2978)=7,1,0))))))</f>
        <v>3</v>
      </c>
      <c r="V2978" s="328">
        <f>VLOOKUP(C2978,METADATA!$A$5:$H$29,IF(E2978="HI",2,IF(E2978="LO",6,10))+IF(T2978=1,2,IF(D2978=7,1,(IF(WEEKDAY(B2978)=1,2,IF(WEEKDAY(B2978)=7,1,0))))))</f>
        <v>3</v>
      </c>
    </row>
    <row r="2979" spans="2:22">
      <c r="B2979" s="318">
        <f t="shared" si="187"/>
        <v>46236</v>
      </c>
      <c r="C2979" s="312">
        <v>23</v>
      </c>
      <c r="D2979" s="368">
        <f>IFERROR((INDEX(METADATA!$T$2:$T$20,MATCH(B2979,METADATA!$S$2:$S$20,0))),0)</f>
        <v>0</v>
      </c>
      <c r="E2979" s="312" t="str">
        <f t="shared" si="184"/>
        <v>LO</v>
      </c>
      <c r="F2979" s="369">
        <f>VLOOKUP(C2979,METADATA!$A$5:$H$29,IF(E2979="HI",2,IF(E2979="LO",6,10))+IF(D2979=1,2,IF(D2979=7,1,(IF(WEEKDAY(B2979)=1,2,IF(WEEKDAY(B2979)=7,1,0))))))</f>
        <v>3</v>
      </c>
      <c r="G2979" s="369">
        <f>VLOOKUP(C2979,METADATA!$J$5:$Q$29,IF(E2979="HI",2,IF(E2979="LO",6,10))+IF(D2979=1,2,IF(D2979=7,1,(IF(WEEKDAY(B2979)=1,2,IF(WEEKDAY(B2979)=7,1,0))))))</f>
        <v>3</v>
      </c>
      <c r="H2979" s="370">
        <v>7590.9249267578125</v>
      </c>
      <c r="I2979" s="370">
        <v>2110.570068359375</v>
      </c>
      <c r="M2979" s="371">
        <f t="shared" si="185"/>
        <v>7878.8734764005185</v>
      </c>
      <c r="N2979" s="329">
        <f t="shared" si="186"/>
        <v>0</v>
      </c>
      <c r="T2979" s="331">
        <v>0</v>
      </c>
      <c r="U2979" s="328">
        <f>VLOOKUP(C2979,METADATA!$J$5:$Q$29,IF(E2979="HI",2,IF(E2979="LO",6,10))+IF(T2979=1,2,IF(D2979=7,1,(IF(WEEKDAY(B2979)=1,2,IF(WEEKDAY(B2979)=7,1,0))))))</f>
        <v>3</v>
      </c>
      <c r="V2979" s="328">
        <f>VLOOKUP(C2979,METADATA!$A$5:$H$29,IF(E2979="HI",2,IF(E2979="LO",6,10))+IF(T2979=1,2,IF(D2979=7,1,(IF(WEEKDAY(B2979)=1,2,IF(WEEKDAY(B2979)=7,1,0))))))</f>
        <v>3</v>
      </c>
    </row>
    <row r="2980" spans="2:22">
      <c r="B2980" s="318">
        <f t="shared" si="187"/>
        <v>46237</v>
      </c>
      <c r="C2980" s="312">
        <v>0</v>
      </c>
      <c r="D2980" s="368">
        <f>IFERROR((INDEX(METADATA!$T$2:$T$20,MATCH(B2980,METADATA!$S$2:$S$20,0))),0)</f>
        <v>0</v>
      </c>
      <c r="E2980" s="312" t="str">
        <f t="shared" si="184"/>
        <v>LO</v>
      </c>
      <c r="F2980" s="369">
        <f>VLOOKUP(C2980,METADATA!$A$5:$H$29,IF(E2980="HI",2,IF(E2980="LO",6,10))+IF(D2980=1,2,IF(D2980=7,1,(IF(WEEKDAY(B2980)=1,2,IF(WEEKDAY(B2980)=7,1,0))))))</f>
        <v>3</v>
      </c>
      <c r="G2980" s="369">
        <f>VLOOKUP(C2980,METADATA!$J$5:$Q$29,IF(E2980="HI",2,IF(E2980="LO",6,10))+IF(D2980=1,2,IF(D2980=7,1,(IF(WEEKDAY(B2980)=1,2,IF(WEEKDAY(B2980)=7,1,0))))))</f>
        <v>3</v>
      </c>
      <c r="H2980" s="370">
        <v>6451.6976928710938</v>
      </c>
      <c r="I2980" s="370">
        <v>1445.257512204349</v>
      </c>
      <c r="M2980" s="371">
        <f t="shared" si="185"/>
        <v>6611.5937864316265</v>
      </c>
      <c r="N2980" s="329">
        <f t="shared" si="186"/>
        <v>0</v>
      </c>
      <c r="T2980" s="331">
        <v>0</v>
      </c>
      <c r="U2980" s="328">
        <f>VLOOKUP(C2980,METADATA!$J$5:$Q$29,IF(E2980="HI",2,IF(E2980="LO",6,10))+IF(T2980=1,2,IF(D2980=7,1,(IF(WEEKDAY(B2980)=1,2,IF(WEEKDAY(B2980)=7,1,0))))))</f>
        <v>3</v>
      </c>
      <c r="V2980" s="328">
        <f>VLOOKUP(C2980,METADATA!$A$5:$H$29,IF(E2980="HI",2,IF(E2980="LO",6,10))+IF(T2980=1,2,IF(D2980=7,1,(IF(WEEKDAY(B2980)=1,2,IF(WEEKDAY(B2980)=7,1,0))))))</f>
        <v>3</v>
      </c>
    </row>
    <row r="2981" spans="2:22">
      <c r="B2981" s="318">
        <f t="shared" si="187"/>
        <v>46237</v>
      </c>
      <c r="C2981" s="312">
        <v>1</v>
      </c>
      <c r="D2981" s="368">
        <f>IFERROR((INDEX(METADATA!$T$2:$T$20,MATCH(B2981,METADATA!$S$2:$S$20,0))),0)</f>
        <v>0</v>
      </c>
      <c r="E2981" s="312" t="str">
        <f t="shared" si="184"/>
        <v>LO</v>
      </c>
      <c r="F2981" s="369">
        <f>VLOOKUP(C2981,METADATA!$A$5:$H$29,IF(E2981="HI",2,IF(E2981="LO",6,10))+IF(D2981=1,2,IF(D2981=7,1,(IF(WEEKDAY(B2981)=1,2,IF(WEEKDAY(B2981)=7,1,0))))))</f>
        <v>3</v>
      </c>
      <c r="G2981" s="369">
        <f>VLOOKUP(C2981,METADATA!$J$5:$Q$29,IF(E2981="HI",2,IF(E2981="LO",6,10))+IF(D2981=1,2,IF(D2981=7,1,(IF(WEEKDAY(B2981)=1,2,IF(WEEKDAY(B2981)=7,1,0))))))</f>
        <v>3</v>
      </c>
      <c r="H2981" s="370">
        <v>5886.0101318359375</v>
      </c>
      <c r="I2981" s="370">
        <v>1292.6824951171875</v>
      </c>
      <c r="M2981" s="371">
        <f t="shared" si="185"/>
        <v>6026.2876885573351</v>
      </c>
      <c r="N2981" s="329">
        <f t="shared" si="186"/>
        <v>0</v>
      </c>
      <c r="T2981" s="331">
        <v>0</v>
      </c>
      <c r="U2981" s="328">
        <f>VLOOKUP(C2981,METADATA!$J$5:$Q$29,IF(E2981="HI",2,IF(E2981="LO",6,10))+IF(T2981=1,2,IF(D2981=7,1,(IF(WEEKDAY(B2981)=1,2,IF(WEEKDAY(B2981)=7,1,0))))))</f>
        <v>3</v>
      </c>
      <c r="V2981" s="328">
        <f>VLOOKUP(C2981,METADATA!$A$5:$H$29,IF(E2981="HI",2,IF(E2981="LO",6,10))+IF(T2981=1,2,IF(D2981=7,1,(IF(WEEKDAY(B2981)=1,2,IF(WEEKDAY(B2981)=7,1,0))))))</f>
        <v>3</v>
      </c>
    </row>
    <row r="2982" spans="2:22">
      <c r="B2982" s="318">
        <f t="shared" si="187"/>
        <v>46237</v>
      </c>
      <c r="C2982" s="312">
        <v>2</v>
      </c>
      <c r="D2982" s="368">
        <f>IFERROR((INDEX(METADATA!$T$2:$T$20,MATCH(B2982,METADATA!$S$2:$S$20,0))),0)</f>
        <v>0</v>
      </c>
      <c r="E2982" s="312" t="str">
        <f t="shared" si="184"/>
        <v>LO</v>
      </c>
      <c r="F2982" s="369">
        <f>VLOOKUP(C2982,METADATA!$A$5:$H$29,IF(E2982="HI",2,IF(E2982="LO",6,10))+IF(D2982=1,2,IF(D2982=7,1,(IF(WEEKDAY(B2982)=1,2,IF(WEEKDAY(B2982)=7,1,0))))))</f>
        <v>3</v>
      </c>
      <c r="G2982" s="369">
        <f>VLOOKUP(C2982,METADATA!$J$5:$Q$29,IF(E2982="HI",2,IF(E2982="LO",6,10))+IF(D2982=1,2,IF(D2982=7,1,(IF(WEEKDAY(B2982)=1,2,IF(WEEKDAY(B2982)=7,1,0))))))</f>
        <v>3</v>
      </c>
      <c r="H2982" s="370">
        <v>5763.925048828125</v>
      </c>
      <c r="I2982" s="370">
        <v>1267.7050170898438</v>
      </c>
      <c r="M2982" s="371">
        <f t="shared" si="185"/>
        <v>5901.6868757045268</v>
      </c>
      <c r="N2982" s="329">
        <f t="shared" si="186"/>
        <v>0</v>
      </c>
      <c r="T2982" s="331">
        <v>0</v>
      </c>
      <c r="U2982" s="328">
        <f>VLOOKUP(C2982,METADATA!$J$5:$Q$29,IF(E2982="HI",2,IF(E2982="LO",6,10))+IF(T2982=1,2,IF(D2982=7,1,(IF(WEEKDAY(B2982)=1,2,IF(WEEKDAY(B2982)=7,1,0))))))</f>
        <v>3</v>
      </c>
      <c r="V2982" s="328">
        <f>VLOOKUP(C2982,METADATA!$A$5:$H$29,IF(E2982="HI",2,IF(E2982="LO",6,10))+IF(T2982=1,2,IF(D2982=7,1,(IF(WEEKDAY(B2982)=1,2,IF(WEEKDAY(B2982)=7,1,0))))))</f>
        <v>3</v>
      </c>
    </row>
    <row r="2983" spans="2:22">
      <c r="B2983" s="318">
        <f t="shared" si="187"/>
        <v>46237</v>
      </c>
      <c r="C2983" s="312">
        <v>3</v>
      </c>
      <c r="D2983" s="368">
        <f>IFERROR((INDEX(METADATA!$T$2:$T$20,MATCH(B2983,METADATA!$S$2:$S$20,0))),0)</f>
        <v>0</v>
      </c>
      <c r="E2983" s="312" t="str">
        <f t="shared" si="184"/>
        <v>LO</v>
      </c>
      <c r="F2983" s="369">
        <f>VLOOKUP(C2983,METADATA!$A$5:$H$29,IF(E2983="HI",2,IF(E2983="LO",6,10))+IF(D2983=1,2,IF(D2983=7,1,(IF(WEEKDAY(B2983)=1,2,IF(WEEKDAY(B2983)=7,1,0))))))</f>
        <v>3</v>
      </c>
      <c r="G2983" s="369">
        <f>VLOOKUP(C2983,METADATA!$J$5:$Q$29,IF(E2983="HI",2,IF(E2983="LO",6,10))+IF(D2983=1,2,IF(D2983=7,1,(IF(WEEKDAY(B2983)=1,2,IF(WEEKDAY(B2983)=7,1,0))))))</f>
        <v>3</v>
      </c>
      <c r="H2983" s="370">
        <v>5844.2600402832031</v>
      </c>
      <c r="I2983" s="370">
        <v>1270.5124816894531</v>
      </c>
      <c r="M2983" s="371">
        <f t="shared" si="185"/>
        <v>5980.7672906224761</v>
      </c>
      <c r="N2983" s="329">
        <f t="shared" si="186"/>
        <v>0</v>
      </c>
      <c r="T2983" s="331">
        <v>0</v>
      </c>
      <c r="U2983" s="328">
        <f>VLOOKUP(C2983,METADATA!$J$5:$Q$29,IF(E2983="HI",2,IF(E2983="LO",6,10))+IF(T2983=1,2,IF(D2983=7,1,(IF(WEEKDAY(B2983)=1,2,IF(WEEKDAY(B2983)=7,1,0))))))</f>
        <v>3</v>
      </c>
      <c r="V2983" s="328">
        <f>VLOOKUP(C2983,METADATA!$A$5:$H$29,IF(E2983="HI",2,IF(E2983="LO",6,10))+IF(T2983=1,2,IF(D2983=7,1,(IF(WEEKDAY(B2983)=1,2,IF(WEEKDAY(B2983)=7,1,0))))))</f>
        <v>3</v>
      </c>
    </row>
    <row r="2984" spans="2:22">
      <c r="B2984" s="318">
        <f t="shared" si="187"/>
        <v>46237</v>
      </c>
      <c r="C2984" s="312">
        <v>4</v>
      </c>
      <c r="D2984" s="368">
        <f>IFERROR((INDEX(METADATA!$T$2:$T$20,MATCH(B2984,METADATA!$S$2:$S$20,0))),0)</f>
        <v>0</v>
      </c>
      <c r="E2984" s="312" t="str">
        <f t="shared" si="184"/>
        <v>LO</v>
      </c>
      <c r="F2984" s="369">
        <f>VLOOKUP(C2984,METADATA!$A$5:$H$29,IF(E2984="HI",2,IF(E2984="LO",6,10))+IF(D2984=1,2,IF(D2984=7,1,(IF(WEEKDAY(B2984)=1,2,IF(WEEKDAY(B2984)=7,1,0))))))</f>
        <v>3</v>
      </c>
      <c r="G2984" s="369">
        <f>VLOOKUP(C2984,METADATA!$J$5:$Q$29,IF(E2984="HI",2,IF(E2984="LO",6,10))+IF(D2984=1,2,IF(D2984=7,1,(IF(WEEKDAY(B2984)=1,2,IF(WEEKDAY(B2984)=7,1,0))))))</f>
        <v>3</v>
      </c>
      <c r="H2984" s="370">
        <v>5834.8976135253906</v>
      </c>
      <c r="I2984" s="370">
        <v>1276.8475036621094</v>
      </c>
      <c r="M2984" s="371">
        <f t="shared" si="185"/>
        <v>5972.9699235750768</v>
      </c>
      <c r="N2984" s="329">
        <f t="shared" si="186"/>
        <v>0</v>
      </c>
      <c r="T2984" s="331">
        <v>0</v>
      </c>
      <c r="U2984" s="328">
        <f>VLOOKUP(C2984,METADATA!$J$5:$Q$29,IF(E2984="HI",2,IF(E2984="LO",6,10))+IF(T2984=1,2,IF(D2984=7,1,(IF(WEEKDAY(B2984)=1,2,IF(WEEKDAY(B2984)=7,1,0))))))</f>
        <v>3</v>
      </c>
      <c r="V2984" s="328">
        <f>VLOOKUP(C2984,METADATA!$A$5:$H$29,IF(E2984="HI",2,IF(E2984="LO",6,10))+IF(T2984=1,2,IF(D2984=7,1,(IF(WEEKDAY(B2984)=1,2,IF(WEEKDAY(B2984)=7,1,0))))))</f>
        <v>3</v>
      </c>
    </row>
    <row r="2985" spans="2:22">
      <c r="B2985" s="318">
        <f t="shared" si="187"/>
        <v>46237</v>
      </c>
      <c r="C2985" s="312">
        <v>5</v>
      </c>
      <c r="D2985" s="368">
        <f>IFERROR((INDEX(METADATA!$T$2:$T$20,MATCH(B2985,METADATA!$S$2:$S$20,0))),0)</f>
        <v>0</v>
      </c>
      <c r="E2985" s="312" t="str">
        <f t="shared" si="184"/>
        <v>LO</v>
      </c>
      <c r="F2985" s="369">
        <f>VLOOKUP(C2985,METADATA!$A$5:$H$29,IF(E2985="HI",2,IF(E2985="LO",6,10))+IF(D2985=1,2,IF(D2985=7,1,(IF(WEEKDAY(B2985)=1,2,IF(WEEKDAY(B2985)=7,1,0))))))</f>
        <v>3</v>
      </c>
      <c r="G2985" s="369">
        <f>VLOOKUP(C2985,METADATA!$J$5:$Q$29,IF(E2985="HI",2,IF(E2985="LO",6,10))+IF(D2985=1,2,IF(D2985=7,1,(IF(WEEKDAY(B2985)=1,2,IF(WEEKDAY(B2985)=7,1,0))))))</f>
        <v>3</v>
      </c>
      <c r="H2985" s="370">
        <v>5694.6150817871094</v>
      </c>
      <c r="I2985" s="370">
        <v>1193.54248046875</v>
      </c>
      <c r="M2985" s="371">
        <f t="shared" si="185"/>
        <v>5818.3489567402794</v>
      </c>
      <c r="N2985" s="329">
        <f t="shared" si="186"/>
        <v>0</v>
      </c>
      <c r="T2985" s="331">
        <v>0</v>
      </c>
      <c r="U2985" s="328">
        <f>VLOOKUP(C2985,METADATA!$J$5:$Q$29,IF(E2985="HI",2,IF(E2985="LO",6,10))+IF(T2985=1,2,IF(D2985=7,1,(IF(WEEKDAY(B2985)=1,2,IF(WEEKDAY(B2985)=7,1,0))))))</f>
        <v>3</v>
      </c>
      <c r="V2985" s="328">
        <f>VLOOKUP(C2985,METADATA!$A$5:$H$29,IF(E2985="HI",2,IF(E2985="LO",6,10))+IF(T2985=1,2,IF(D2985=7,1,(IF(WEEKDAY(B2985)=1,2,IF(WEEKDAY(B2985)=7,1,0))))))</f>
        <v>3</v>
      </c>
    </row>
    <row r="2986" spans="2:22">
      <c r="B2986" s="318">
        <f t="shared" si="187"/>
        <v>46237</v>
      </c>
      <c r="C2986" s="312">
        <v>6</v>
      </c>
      <c r="D2986" s="368">
        <f>IFERROR((INDEX(METADATA!$T$2:$T$20,MATCH(B2986,METADATA!$S$2:$S$20,0))),0)</f>
        <v>0</v>
      </c>
      <c r="E2986" s="312" t="str">
        <f t="shared" si="184"/>
        <v>LO</v>
      </c>
      <c r="F2986" s="369">
        <f>VLOOKUP(C2986,METADATA!$A$5:$H$29,IF(E2986="HI",2,IF(E2986="LO",6,10))+IF(D2986=1,2,IF(D2986=7,1,(IF(WEEKDAY(B2986)=1,2,IF(WEEKDAY(B2986)=7,1,0))))))</f>
        <v>2</v>
      </c>
      <c r="G2986" s="369">
        <f>VLOOKUP(C2986,METADATA!$J$5:$Q$29,IF(E2986="HI",2,IF(E2986="LO",6,10))+IF(D2986=1,2,IF(D2986=7,1,(IF(WEEKDAY(B2986)=1,2,IF(WEEKDAY(B2986)=7,1,0))))))</f>
        <v>2</v>
      </c>
      <c r="H2986" s="370">
        <v>5846.7124328613281</v>
      </c>
      <c r="I2986" s="370">
        <v>1269.0024719238281</v>
      </c>
      <c r="M2986" s="371">
        <f t="shared" si="185"/>
        <v>5982.8432660670642</v>
      </c>
      <c r="N2986" s="329">
        <f t="shared" si="186"/>
        <v>0</v>
      </c>
      <c r="T2986" s="331">
        <v>0</v>
      </c>
      <c r="U2986" s="328">
        <f>VLOOKUP(C2986,METADATA!$J$5:$Q$29,IF(E2986="HI",2,IF(E2986="LO",6,10))+IF(T2986=1,2,IF(D2986=7,1,(IF(WEEKDAY(B2986)=1,2,IF(WEEKDAY(B2986)=7,1,0))))))</f>
        <v>2</v>
      </c>
      <c r="V2986" s="328">
        <f>VLOOKUP(C2986,METADATA!$A$5:$H$29,IF(E2986="HI",2,IF(E2986="LO",6,10))+IF(T2986=1,2,IF(D2986=7,1,(IF(WEEKDAY(B2986)=1,2,IF(WEEKDAY(B2986)=7,1,0))))))</f>
        <v>2</v>
      </c>
    </row>
    <row r="2987" spans="2:22">
      <c r="B2987" s="318">
        <f t="shared" si="187"/>
        <v>46237</v>
      </c>
      <c r="C2987" s="312">
        <v>7</v>
      </c>
      <c r="D2987" s="368">
        <f>IFERROR((INDEX(METADATA!$T$2:$T$20,MATCH(B2987,METADATA!$S$2:$S$20,0))),0)</f>
        <v>0</v>
      </c>
      <c r="E2987" s="312" t="str">
        <f t="shared" si="184"/>
        <v>LO</v>
      </c>
      <c r="F2987" s="369">
        <f>VLOOKUP(C2987,METADATA!$A$5:$H$29,IF(E2987="HI",2,IF(E2987="LO",6,10))+IF(D2987=1,2,IF(D2987=7,1,(IF(WEEKDAY(B2987)=1,2,IF(WEEKDAY(B2987)=7,1,0))))))</f>
        <v>1</v>
      </c>
      <c r="G2987" s="369">
        <f>VLOOKUP(C2987,METADATA!$J$5:$Q$29,IF(E2987="HI",2,IF(E2987="LO",6,10))+IF(D2987=1,2,IF(D2987=7,1,(IF(WEEKDAY(B2987)=1,2,IF(WEEKDAY(B2987)=7,1,0))))))</f>
        <v>1</v>
      </c>
      <c r="H2987" s="370">
        <v>9575.4401245117188</v>
      </c>
      <c r="I2987" s="370">
        <v>2536.70751953125</v>
      </c>
      <c r="M2987" s="371">
        <f t="shared" si="185"/>
        <v>9905.7528041918849</v>
      </c>
      <c r="N2987" s="329">
        <f t="shared" si="186"/>
        <v>0</v>
      </c>
      <c r="T2987" s="331">
        <v>0</v>
      </c>
      <c r="U2987" s="328">
        <f>VLOOKUP(C2987,METADATA!$J$5:$Q$29,IF(E2987="HI",2,IF(E2987="LO",6,10))+IF(T2987=1,2,IF(D2987=7,1,(IF(WEEKDAY(B2987)=1,2,IF(WEEKDAY(B2987)=7,1,0))))))</f>
        <v>1</v>
      </c>
      <c r="V2987" s="328">
        <f>VLOOKUP(C2987,METADATA!$A$5:$H$29,IF(E2987="HI",2,IF(E2987="LO",6,10))+IF(T2987=1,2,IF(D2987=7,1,(IF(WEEKDAY(B2987)=1,2,IF(WEEKDAY(B2987)=7,1,0))))))</f>
        <v>1</v>
      </c>
    </row>
    <row r="2988" spans="2:22">
      <c r="B2988" s="318">
        <f t="shared" si="187"/>
        <v>46237</v>
      </c>
      <c r="C2988" s="312">
        <v>8</v>
      </c>
      <c r="D2988" s="368">
        <f>IFERROR((INDEX(METADATA!$T$2:$T$20,MATCH(B2988,METADATA!$S$2:$S$20,0))),0)</f>
        <v>0</v>
      </c>
      <c r="E2988" s="312" t="str">
        <f t="shared" si="184"/>
        <v>LO</v>
      </c>
      <c r="F2988" s="369">
        <f>VLOOKUP(C2988,METADATA!$A$5:$H$29,IF(E2988="HI",2,IF(E2988="LO",6,10))+IF(D2988=1,2,IF(D2988=7,1,(IF(WEEKDAY(B2988)=1,2,IF(WEEKDAY(B2988)=7,1,0))))))</f>
        <v>1</v>
      </c>
      <c r="G2988" s="369">
        <f>VLOOKUP(C2988,METADATA!$J$5:$Q$29,IF(E2988="HI",2,IF(E2988="LO",6,10))+IF(D2988=1,2,IF(D2988=7,1,(IF(WEEKDAY(B2988)=1,2,IF(WEEKDAY(B2988)=7,1,0))))))</f>
        <v>1</v>
      </c>
      <c r="H2988" s="370">
        <v>13182.825256347656</v>
      </c>
      <c r="I2988" s="370">
        <v>4062.8999938964844</v>
      </c>
      <c r="M2988" s="371">
        <f t="shared" si="185"/>
        <v>13794.710511634585</v>
      </c>
      <c r="N2988" s="329">
        <f t="shared" si="186"/>
        <v>108.05241699218777</v>
      </c>
      <c r="T2988" s="331">
        <v>0</v>
      </c>
      <c r="U2988" s="328">
        <f>VLOOKUP(C2988,METADATA!$J$5:$Q$29,IF(E2988="HI",2,IF(E2988="LO",6,10))+IF(T2988=1,2,IF(D2988=7,1,(IF(WEEKDAY(B2988)=1,2,IF(WEEKDAY(B2988)=7,1,0))))))</f>
        <v>1</v>
      </c>
      <c r="V2988" s="328">
        <f>VLOOKUP(C2988,METADATA!$A$5:$H$29,IF(E2988="HI",2,IF(E2988="LO",6,10))+IF(T2988=1,2,IF(D2988=7,1,(IF(WEEKDAY(B2988)=1,2,IF(WEEKDAY(B2988)=7,1,0))))))</f>
        <v>1</v>
      </c>
    </row>
    <row r="2989" spans="2:22">
      <c r="B2989" s="318">
        <f t="shared" si="187"/>
        <v>46237</v>
      </c>
      <c r="C2989" s="312">
        <v>9</v>
      </c>
      <c r="D2989" s="368">
        <f>IFERROR((INDEX(METADATA!$T$2:$T$20,MATCH(B2989,METADATA!$S$2:$S$20,0))),0)</f>
        <v>0</v>
      </c>
      <c r="E2989" s="312" t="str">
        <f t="shared" si="184"/>
        <v>LO</v>
      </c>
      <c r="F2989" s="369">
        <f>VLOOKUP(C2989,METADATA!$A$5:$H$29,IF(E2989="HI",2,IF(E2989="LO",6,10))+IF(D2989=1,2,IF(D2989=7,1,(IF(WEEKDAY(B2989)=1,2,IF(WEEKDAY(B2989)=7,1,0))))))</f>
        <v>2</v>
      </c>
      <c r="G2989" s="369">
        <f>VLOOKUP(C2989,METADATA!$J$5:$Q$29,IF(E2989="HI",2,IF(E2989="LO",6,10))+IF(D2989=1,2,IF(D2989=7,1,(IF(WEEKDAY(B2989)=1,2,IF(WEEKDAY(B2989)=7,1,0))))))</f>
        <v>2</v>
      </c>
      <c r="H2989" s="370">
        <v>12366.724914550781</v>
      </c>
      <c r="I2989" s="370">
        <v>3297.7949981689453</v>
      </c>
      <c r="M2989" s="371">
        <f t="shared" si="185"/>
        <v>12798.880301109122</v>
      </c>
      <c r="N2989" s="329">
        <f t="shared" si="186"/>
        <v>0</v>
      </c>
      <c r="T2989" s="331">
        <v>0</v>
      </c>
      <c r="U2989" s="328">
        <f>VLOOKUP(C2989,METADATA!$J$5:$Q$29,IF(E2989="HI",2,IF(E2989="LO",6,10))+IF(T2989=1,2,IF(D2989=7,1,(IF(WEEKDAY(B2989)=1,2,IF(WEEKDAY(B2989)=7,1,0))))))</f>
        <v>2</v>
      </c>
      <c r="V2989" s="328">
        <f>VLOOKUP(C2989,METADATA!$A$5:$H$29,IF(E2989="HI",2,IF(E2989="LO",6,10))+IF(T2989=1,2,IF(D2989=7,1,(IF(WEEKDAY(B2989)=1,2,IF(WEEKDAY(B2989)=7,1,0))))))</f>
        <v>2</v>
      </c>
    </row>
    <row r="2990" spans="2:22">
      <c r="B2990" s="318">
        <f t="shared" si="187"/>
        <v>46237</v>
      </c>
      <c r="C2990" s="312">
        <v>10</v>
      </c>
      <c r="D2990" s="368">
        <f>IFERROR((INDEX(METADATA!$T$2:$T$20,MATCH(B2990,METADATA!$S$2:$S$20,0))),0)</f>
        <v>0</v>
      </c>
      <c r="E2990" s="312" t="str">
        <f t="shared" si="184"/>
        <v>LO</v>
      </c>
      <c r="F2990" s="369">
        <f>VLOOKUP(C2990,METADATA!$A$5:$H$29,IF(E2990="HI",2,IF(E2990="LO",6,10))+IF(D2990=1,2,IF(D2990=7,1,(IF(WEEKDAY(B2990)=1,2,IF(WEEKDAY(B2990)=7,1,0))))))</f>
        <v>2</v>
      </c>
      <c r="G2990" s="369">
        <f>VLOOKUP(C2990,METADATA!$J$5:$Q$29,IF(E2990="HI",2,IF(E2990="LO",6,10))+IF(D2990=1,2,IF(D2990=7,1,(IF(WEEKDAY(B2990)=1,2,IF(WEEKDAY(B2990)=7,1,0))))))</f>
        <v>2</v>
      </c>
      <c r="H2990" s="370">
        <v>12562.499938964844</v>
      </c>
      <c r="I2990" s="370">
        <v>3223.9399719238281</v>
      </c>
      <c r="M2990" s="371">
        <f t="shared" si="185"/>
        <v>12969.58725862392</v>
      </c>
      <c r="N2990" s="329">
        <f t="shared" si="186"/>
        <v>0</v>
      </c>
      <c r="T2990" s="331">
        <v>0</v>
      </c>
      <c r="U2990" s="328">
        <f>VLOOKUP(C2990,METADATA!$J$5:$Q$29,IF(E2990="HI",2,IF(E2990="LO",6,10))+IF(T2990=1,2,IF(D2990=7,1,(IF(WEEKDAY(B2990)=1,2,IF(WEEKDAY(B2990)=7,1,0))))))</f>
        <v>2</v>
      </c>
      <c r="V2990" s="328">
        <f>VLOOKUP(C2990,METADATA!$A$5:$H$29,IF(E2990="HI",2,IF(E2990="LO",6,10))+IF(T2990=1,2,IF(D2990=7,1,(IF(WEEKDAY(B2990)=1,2,IF(WEEKDAY(B2990)=7,1,0))))))</f>
        <v>2</v>
      </c>
    </row>
    <row r="2991" spans="2:22">
      <c r="B2991" s="318">
        <f t="shared" si="187"/>
        <v>46237</v>
      </c>
      <c r="C2991" s="312">
        <v>11</v>
      </c>
      <c r="D2991" s="368">
        <f>IFERROR((INDEX(METADATA!$T$2:$T$20,MATCH(B2991,METADATA!$S$2:$S$20,0))),0)</f>
        <v>0</v>
      </c>
      <c r="E2991" s="312" t="str">
        <f t="shared" si="184"/>
        <v>LO</v>
      </c>
      <c r="F2991" s="369">
        <f>VLOOKUP(C2991,METADATA!$A$5:$H$29,IF(E2991="HI",2,IF(E2991="LO",6,10))+IF(D2991=1,2,IF(D2991=7,1,(IF(WEEKDAY(B2991)=1,2,IF(WEEKDAY(B2991)=7,1,0))))))</f>
        <v>2</v>
      </c>
      <c r="G2991" s="369">
        <f>VLOOKUP(C2991,METADATA!$J$5:$Q$29,IF(E2991="HI",2,IF(E2991="LO",6,10))+IF(D2991=1,2,IF(D2991=7,1,(IF(WEEKDAY(B2991)=1,2,IF(WEEKDAY(B2991)=7,1,0))))))</f>
        <v>2</v>
      </c>
      <c r="H2991" s="370">
        <v>12500.124633789063</v>
      </c>
      <c r="I2991" s="370">
        <v>3389.8949127197266</v>
      </c>
      <c r="M2991" s="371">
        <f t="shared" si="185"/>
        <v>12951.621650571144</v>
      </c>
      <c r="N2991" s="329">
        <f t="shared" si="186"/>
        <v>0</v>
      </c>
      <c r="T2991" s="331">
        <v>0</v>
      </c>
      <c r="U2991" s="328">
        <f>VLOOKUP(C2991,METADATA!$J$5:$Q$29,IF(E2991="HI",2,IF(E2991="LO",6,10))+IF(T2991=1,2,IF(D2991=7,1,(IF(WEEKDAY(B2991)=1,2,IF(WEEKDAY(B2991)=7,1,0))))))</f>
        <v>2</v>
      </c>
      <c r="V2991" s="328">
        <f>VLOOKUP(C2991,METADATA!$A$5:$H$29,IF(E2991="HI",2,IF(E2991="LO",6,10))+IF(T2991=1,2,IF(D2991=7,1,(IF(WEEKDAY(B2991)=1,2,IF(WEEKDAY(B2991)=7,1,0))))))</f>
        <v>2</v>
      </c>
    </row>
    <row r="2992" spans="2:22">
      <c r="B2992" s="318">
        <f t="shared" si="187"/>
        <v>46237</v>
      </c>
      <c r="C2992" s="312">
        <v>12</v>
      </c>
      <c r="D2992" s="368">
        <f>IFERROR((INDEX(METADATA!$T$2:$T$20,MATCH(B2992,METADATA!$S$2:$S$20,0))),0)</f>
        <v>0</v>
      </c>
      <c r="E2992" s="312" t="str">
        <f t="shared" si="184"/>
        <v>LO</v>
      </c>
      <c r="F2992" s="369">
        <f>VLOOKUP(C2992,METADATA!$A$5:$H$29,IF(E2992="HI",2,IF(E2992="LO",6,10))+IF(D2992=1,2,IF(D2992=7,1,(IF(WEEKDAY(B2992)=1,2,IF(WEEKDAY(B2992)=7,1,0))))))</f>
        <v>2</v>
      </c>
      <c r="G2992" s="369">
        <f>VLOOKUP(C2992,METADATA!$J$5:$Q$29,IF(E2992="HI",2,IF(E2992="LO",6,10))+IF(D2992=1,2,IF(D2992=7,1,(IF(WEEKDAY(B2992)=1,2,IF(WEEKDAY(B2992)=7,1,0))))))</f>
        <v>2</v>
      </c>
      <c r="H2992" s="370">
        <v>12634.400512695313</v>
      </c>
      <c r="I2992" s="370">
        <v>3601.8350219726563</v>
      </c>
      <c r="M2992" s="371">
        <f t="shared" si="185"/>
        <v>13137.781085126373</v>
      </c>
      <c r="N2992" s="329">
        <f t="shared" si="186"/>
        <v>0</v>
      </c>
      <c r="T2992" s="331">
        <v>0</v>
      </c>
      <c r="U2992" s="328">
        <f>VLOOKUP(C2992,METADATA!$J$5:$Q$29,IF(E2992="HI",2,IF(E2992="LO",6,10))+IF(T2992=1,2,IF(D2992=7,1,(IF(WEEKDAY(B2992)=1,2,IF(WEEKDAY(B2992)=7,1,0))))))</f>
        <v>2</v>
      </c>
      <c r="V2992" s="328">
        <f>VLOOKUP(C2992,METADATA!$A$5:$H$29,IF(E2992="HI",2,IF(E2992="LO",6,10))+IF(T2992=1,2,IF(D2992=7,1,(IF(WEEKDAY(B2992)=1,2,IF(WEEKDAY(B2992)=7,1,0))))))</f>
        <v>2</v>
      </c>
    </row>
    <row r="2993" spans="2:22">
      <c r="B2993" s="318">
        <f t="shared" si="187"/>
        <v>46237</v>
      </c>
      <c r="C2993" s="312">
        <v>13</v>
      </c>
      <c r="D2993" s="368">
        <f>IFERROR((INDEX(METADATA!$T$2:$T$20,MATCH(B2993,METADATA!$S$2:$S$20,0))),0)</f>
        <v>0</v>
      </c>
      <c r="E2993" s="312" t="str">
        <f t="shared" si="184"/>
        <v>LO</v>
      </c>
      <c r="F2993" s="369">
        <f>VLOOKUP(C2993,METADATA!$A$5:$H$29,IF(E2993="HI",2,IF(E2993="LO",6,10))+IF(D2993=1,2,IF(D2993=7,1,(IF(WEEKDAY(B2993)=1,2,IF(WEEKDAY(B2993)=7,1,0))))))</f>
        <v>2</v>
      </c>
      <c r="G2993" s="369">
        <f>VLOOKUP(C2993,METADATA!$J$5:$Q$29,IF(E2993="HI",2,IF(E2993="LO",6,10))+IF(D2993=1,2,IF(D2993=7,1,(IF(WEEKDAY(B2993)=1,2,IF(WEEKDAY(B2993)=7,1,0))))))</f>
        <v>2</v>
      </c>
      <c r="H2993" s="370">
        <v>13567.275390625</v>
      </c>
      <c r="I2993" s="370">
        <v>4238.5901184082031</v>
      </c>
      <c r="M2993" s="371">
        <f t="shared" si="185"/>
        <v>14213.958200196255</v>
      </c>
      <c r="N2993" s="329">
        <f t="shared" si="186"/>
        <v>168.40750122070313</v>
      </c>
      <c r="T2993" s="331">
        <v>0</v>
      </c>
      <c r="U2993" s="328">
        <f>VLOOKUP(C2993,METADATA!$J$5:$Q$29,IF(E2993="HI",2,IF(E2993="LO",6,10))+IF(T2993=1,2,IF(D2993=7,1,(IF(WEEKDAY(B2993)=1,2,IF(WEEKDAY(B2993)=7,1,0))))))</f>
        <v>2</v>
      </c>
      <c r="V2993" s="328">
        <f>VLOOKUP(C2993,METADATA!$A$5:$H$29,IF(E2993="HI",2,IF(E2993="LO",6,10))+IF(T2993=1,2,IF(D2993=7,1,(IF(WEEKDAY(B2993)=1,2,IF(WEEKDAY(B2993)=7,1,0))))))</f>
        <v>2</v>
      </c>
    </row>
    <row r="2994" spans="2:22">
      <c r="B2994" s="318">
        <f t="shared" si="187"/>
        <v>46237</v>
      </c>
      <c r="C2994" s="312">
        <v>14</v>
      </c>
      <c r="D2994" s="368">
        <f>IFERROR((INDEX(METADATA!$T$2:$T$20,MATCH(B2994,METADATA!$S$2:$S$20,0))),0)</f>
        <v>0</v>
      </c>
      <c r="E2994" s="312" t="str">
        <f t="shared" si="184"/>
        <v>LO</v>
      </c>
      <c r="F2994" s="369">
        <f>VLOOKUP(C2994,METADATA!$A$5:$H$29,IF(E2994="HI",2,IF(E2994="LO",6,10))+IF(D2994=1,2,IF(D2994=7,1,(IF(WEEKDAY(B2994)=1,2,IF(WEEKDAY(B2994)=7,1,0))))))</f>
        <v>2</v>
      </c>
      <c r="G2994" s="369">
        <f>VLOOKUP(C2994,METADATA!$J$5:$Q$29,IF(E2994="HI",2,IF(E2994="LO",6,10))+IF(D2994=1,2,IF(D2994=7,1,(IF(WEEKDAY(B2994)=1,2,IF(WEEKDAY(B2994)=7,1,0))))))</f>
        <v>2</v>
      </c>
      <c r="H2994" s="370">
        <v>12398.98486328125</v>
      </c>
      <c r="I2994" s="370">
        <v>3824.7674560546875</v>
      </c>
      <c r="M2994" s="371">
        <f t="shared" si="185"/>
        <v>12975.502754528341</v>
      </c>
      <c r="N2994" s="329">
        <f t="shared" si="186"/>
        <v>105.07199707031259</v>
      </c>
      <c r="T2994" s="331">
        <v>0</v>
      </c>
      <c r="U2994" s="328">
        <f>VLOOKUP(C2994,METADATA!$J$5:$Q$29,IF(E2994="HI",2,IF(E2994="LO",6,10))+IF(T2994=1,2,IF(D2994=7,1,(IF(WEEKDAY(B2994)=1,2,IF(WEEKDAY(B2994)=7,1,0))))))</f>
        <v>2</v>
      </c>
      <c r="V2994" s="328">
        <f>VLOOKUP(C2994,METADATA!$A$5:$H$29,IF(E2994="HI",2,IF(E2994="LO",6,10))+IF(T2994=1,2,IF(D2994=7,1,(IF(WEEKDAY(B2994)=1,2,IF(WEEKDAY(B2994)=7,1,0))))))</f>
        <v>2</v>
      </c>
    </row>
    <row r="2995" spans="2:22">
      <c r="B2995" s="318">
        <f t="shared" si="187"/>
        <v>46237</v>
      </c>
      <c r="C2995" s="312">
        <v>15</v>
      </c>
      <c r="D2995" s="368">
        <f>IFERROR((INDEX(METADATA!$T$2:$T$20,MATCH(B2995,METADATA!$S$2:$S$20,0))),0)</f>
        <v>0</v>
      </c>
      <c r="E2995" s="312" t="str">
        <f t="shared" si="184"/>
        <v>LO</v>
      </c>
      <c r="F2995" s="369">
        <f>VLOOKUP(C2995,METADATA!$A$5:$H$29,IF(E2995="HI",2,IF(E2995="LO",6,10))+IF(D2995=1,2,IF(D2995=7,1,(IF(WEEKDAY(B2995)=1,2,IF(WEEKDAY(B2995)=7,1,0))))))</f>
        <v>2</v>
      </c>
      <c r="G2995" s="369">
        <f>VLOOKUP(C2995,METADATA!$J$5:$Q$29,IF(E2995="HI",2,IF(E2995="LO",6,10))+IF(D2995=1,2,IF(D2995=7,1,(IF(WEEKDAY(B2995)=1,2,IF(WEEKDAY(B2995)=7,1,0))))))</f>
        <v>2</v>
      </c>
      <c r="H2995" s="370">
        <v>11490.615051269531</v>
      </c>
      <c r="I2995" s="370">
        <v>3212.6400146484375</v>
      </c>
      <c r="M2995" s="371">
        <f t="shared" si="185"/>
        <v>11931.273616851733</v>
      </c>
      <c r="N2995" s="329">
        <f t="shared" si="186"/>
        <v>0</v>
      </c>
      <c r="T2995" s="331">
        <v>0</v>
      </c>
      <c r="U2995" s="328">
        <f>VLOOKUP(C2995,METADATA!$J$5:$Q$29,IF(E2995="HI",2,IF(E2995="LO",6,10))+IF(T2995=1,2,IF(D2995=7,1,(IF(WEEKDAY(B2995)=1,2,IF(WEEKDAY(B2995)=7,1,0))))))</f>
        <v>2</v>
      </c>
      <c r="V2995" s="328">
        <f>VLOOKUP(C2995,METADATA!$A$5:$H$29,IF(E2995="HI",2,IF(E2995="LO",6,10))+IF(T2995=1,2,IF(D2995=7,1,(IF(WEEKDAY(B2995)=1,2,IF(WEEKDAY(B2995)=7,1,0))))))</f>
        <v>2</v>
      </c>
    </row>
    <row r="2996" spans="2:22">
      <c r="B2996" s="318">
        <f t="shared" si="187"/>
        <v>46237</v>
      </c>
      <c r="C2996" s="312">
        <v>16</v>
      </c>
      <c r="D2996" s="368">
        <f>IFERROR((INDEX(METADATA!$T$2:$T$20,MATCH(B2996,METADATA!$S$2:$S$20,0))),0)</f>
        <v>0</v>
      </c>
      <c r="E2996" s="312" t="str">
        <f t="shared" si="184"/>
        <v>LO</v>
      </c>
      <c r="F2996" s="369">
        <f>VLOOKUP(C2996,METADATA!$A$5:$H$29,IF(E2996="HI",2,IF(E2996="LO",6,10))+IF(D2996=1,2,IF(D2996=7,1,(IF(WEEKDAY(B2996)=1,2,IF(WEEKDAY(B2996)=7,1,0))))))</f>
        <v>2</v>
      </c>
      <c r="G2996" s="369">
        <f>VLOOKUP(C2996,METADATA!$J$5:$Q$29,IF(E2996="HI",2,IF(E2996="LO",6,10))+IF(D2996=1,2,IF(D2996=7,1,(IF(WEEKDAY(B2996)=1,2,IF(WEEKDAY(B2996)=7,1,0))))))</f>
        <v>2</v>
      </c>
      <c r="H2996" s="370">
        <v>11495.217407226563</v>
      </c>
      <c r="I2996" s="370">
        <v>3020.7200775146484</v>
      </c>
      <c r="M2996" s="371">
        <f t="shared" si="185"/>
        <v>11885.485813634405</v>
      </c>
      <c r="N2996" s="329">
        <f t="shared" si="186"/>
        <v>0</v>
      </c>
      <c r="T2996" s="331">
        <v>0</v>
      </c>
      <c r="U2996" s="328">
        <f>VLOOKUP(C2996,METADATA!$J$5:$Q$29,IF(E2996="HI",2,IF(E2996="LO",6,10))+IF(T2996=1,2,IF(D2996=7,1,(IF(WEEKDAY(B2996)=1,2,IF(WEEKDAY(B2996)=7,1,0))))))</f>
        <v>2</v>
      </c>
      <c r="V2996" s="328">
        <f>VLOOKUP(C2996,METADATA!$A$5:$H$29,IF(E2996="HI",2,IF(E2996="LO",6,10))+IF(T2996=1,2,IF(D2996=7,1,(IF(WEEKDAY(B2996)=1,2,IF(WEEKDAY(B2996)=7,1,0))))))</f>
        <v>2</v>
      </c>
    </row>
    <row r="2997" spans="2:22">
      <c r="B2997" s="318">
        <f t="shared" si="187"/>
        <v>46237</v>
      </c>
      <c r="C2997" s="312">
        <v>17</v>
      </c>
      <c r="D2997" s="368">
        <f>IFERROR((INDEX(METADATA!$T$2:$T$20,MATCH(B2997,METADATA!$S$2:$S$20,0))),0)</f>
        <v>0</v>
      </c>
      <c r="E2997" s="312" t="str">
        <f t="shared" si="184"/>
        <v>LO</v>
      </c>
      <c r="F2997" s="369">
        <f>VLOOKUP(C2997,METADATA!$A$5:$H$29,IF(E2997="HI",2,IF(E2997="LO",6,10))+IF(D2997=1,2,IF(D2997=7,1,(IF(WEEKDAY(B2997)=1,2,IF(WEEKDAY(B2997)=7,1,0))))))</f>
        <v>2</v>
      </c>
      <c r="G2997" s="369">
        <f>VLOOKUP(C2997,METADATA!$J$5:$Q$29,IF(E2997="HI",2,IF(E2997="LO",6,10))+IF(D2997=1,2,IF(D2997=7,1,(IF(WEEKDAY(B2997)=1,2,IF(WEEKDAY(B2997)=7,1,0))))))</f>
        <v>2</v>
      </c>
      <c r="H2997" s="370">
        <v>12644.600219726563</v>
      </c>
      <c r="I2997" s="370">
        <v>3529.8400421142578</v>
      </c>
      <c r="M2997" s="371">
        <f t="shared" si="185"/>
        <v>13128.049567229025</v>
      </c>
      <c r="N2997" s="329">
        <f t="shared" si="186"/>
        <v>0</v>
      </c>
      <c r="T2997" s="331">
        <v>0</v>
      </c>
      <c r="U2997" s="328">
        <f>VLOOKUP(C2997,METADATA!$J$5:$Q$29,IF(E2997="HI",2,IF(E2997="LO",6,10))+IF(T2997=1,2,IF(D2997=7,1,(IF(WEEKDAY(B2997)=1,2,IF(WEEKDAY(B2997)=7,1,0))))))</f>
        <v>2</v>
      </c>
      <c r="V2997" s="328">
        <f>VLOOKUP(C2997,METADATA!$A$5:$H$29,IF(E2997="HI",2,IF(E2997="LO",6,10))+IF(T2997=1,2,IF(D2997=7,1,(IF(WEEKDAY(B2997)=1,2,IF(WEEKDAY(B2997)=7,1,0))))))</f>
        <v>2</v>
      </c>
    </row>
    <row r="2998" spans="2:22">
      <c r="B2998" s="318">
        <f t="shared" si="187"/>
        <v>46237</v>
      </c>
      <c r="C2998" s="312">
        <v>18</v>
      </c>
      <c r="D2998" s="368">
        <f>IFERROR((INDEX(METADATA!$T$2:$T$20,MATCH(B2998,METADATA!$S$2:$S$20,0))),0)</f>
        <v>0</v>
      </c>
      <c r="E2998" s="312" t="str">
        <f t="shared" si="184"/>
        <v>LO</v>
      </c>
      <c r="F2998" s="369">
        <f>VLOOKUP(C2998,METADATA!$A$5:$H$29,IF(E2998="HI",2,IF(E2998="LO",6,10))+IF(D2998=1,2,IF(D2998=7,1,(IF(WEEKDAY(B2998)=1,2,IF(WEEKDAY(B2998)=7,1,0))))))</f>
        <v>1</v>
      </c>
      <c r="G2998" s="369">
        <f>VLOOKUP(C2998,METADATA!$J$5:$Q$29,IF(E2998="HI",2,IF(E2998="LO",6,10))+IF(D2998=1,2,IF(D2998=7,1,(IF(WEEKDAY(B2998)=1,2,IF(WEEKDAY(B2998)=7,1,0))))))</f>
        <v>1</v>
      </c>
      <c r="H2998" s="370">
        <v>12818.25</v>
      </c>
      <c r="I2998" s="370">
        <v>3469.4299621582031</v>
      </c>
      <c r="M2998" s="371">
        <f t="shared" si="185"/>
        <v>13279.47579254622</v>
      </c>
      <c r="N2998" s="329">
        <f t="shared" si="186"/>
        <v>0</v>
      </c>
      <c r="T2998" s="331">
        <v>0</v>
      </c>
      <c r="U2998" s="328">
        <f>VLOOKUP(C2998,METADATA!$J$5:$Q$29,IF(E2998="HI",2,IF(E2998="LO",6,10))+IF(T2998=1,2,IF(D2998=7,1,(IF(WEEKDAY(B2998)=1,2,IF(WEEKDAY(B2998)=7,1,0))))))</f>
        <v>1</v>
      </c>
      <c r="V2998" s="328">
        <f>VLOOKUP(C2998,METADATA!$A$5:$H$29,IF(E2998="HI",2,IF(E2998="LO",6,10))+IF(T2998=1,2,IF(D2998=7,1,(IF(WEEKDAY(B2998)=1,2,IF(WEEKDAY(B2998)=7,1,0))))))</f>
        <v>1</v>
      </c>
    </row>
    <row r="2999" spans="2:22">
      <c r="B2999" s="318">
        <f t="shared" si="187"/>
        <v>46237</v>
      </c>
      <c r="C2999" s="312">
        <v>19</v>
      </c>
      <c r="D2999" s="368">
        <f>IFERROR((INDEX(METADATA!$T$2:$T$20,MATCH(B2999,METADATA!$S$2:$S$20,0))),0)</f>
        <v>0</v>
      </c>
      <c r="E2999" s="312" t="str">
        <f t="shared" si="184"/>
        <v>LO</v>
      </c>
      <c r="F2999" s="369">
        <f>VLOOKUP(C2999,METADATA!$A$5:$H$29,IF(E2999="HI",2,IF(E2999="LO",6,10))+IF(D2999=1,2,IF(D2999=7,1,(IF(WEEKDAY(B2999)=1,2,IF(WEEKDAY(B2999)=7,1,0))))))</f>
        <v>1</v>
      </c>
      <c r="G2999" s="369">
        <f>VLOOKUP(C2999,METADATA!$J$5:$Q$29,IF(E2999="HI",2,IF(E2999="LO",6,10))+IF(D2999=1,2,IF(D2999=7,1,(IF(WEEKDAY(B2999)=1,2,IF(WEEKDAY(B2999)=7,1,0))))))</f>
        <v>1</v>
      </c>
      <c r="H2999" s="370">
        <v>12731.925231933594</v>
      </c>
      <c r="I2999" s="370">
        <v>3500.9249877929688</v>
      </c>
      <c r="M2999" s="371">
        <f t="shared" si="185"/>
        <v>13204.483930911518</v>
      </c>
      <c r="N2999" s="329">
        <f t="shared" si="186"/>
        <v>0</v>
      </c>
      <c r="T2999" s="331">
        <v>0</v>
      </c>
      <c r="U2999" s="328">
        <f>VLOOKUP(C2999,METADATA!$J$5:$Q$29,IF(E2999="HI",2,IF(E2999="LO",6,10))+IF(T2999=1,2,IF(D2999=7,1,(IF(WEEKDAY(B2999)=1,2,IF(WEEKDAY(B2999)=7,1,0))))))</f>
        <v>1</v>
      </c>
      <c r="V2999" s="328">
        <f>VLOOKUP(C2999,METADATA!$A$5:$H$29,IF(E2999="HI",2,IF(E2999="LO",6,10))+IF(T2999=1,2,IF(D2999=7,1,(IF(WEEKDAY(B2999)=1,2,IF(WEEKDAY(B2999)=7,1,0))))))</f>
        <v>1</v>
      </c>
    </row>
    <row r="3000" spans="2:22">
      <c r="B3000" s="318">
        <f t="shared" si="187"/>
        <v>46237</v>
      </c>
      <c r="C3000" s="312">
        <v>20</v>
      </c>
      <c r="D3000" s="368">
        <f>IFERROR((INDEX(METADATA!$T$2:$T$20,MATCH(B3000,METADATA!$S$2:$S$20,0))),0)</f>
        <v>0</v>
      </c>
      <c r="E3000" s="312" t="str">
        <f t="shared" si="184"/>
        <v>LO</v>
      </c>
      <c r="F3000" s="369">
        <f>VLOOKUP(C3000,METADATA!$A$5:$H$29,IF(E3000="HI",2,IF(E3000="LO",6,10))+IF(D3000=1,2,IF(D3000=7,1,(IF(WEEKDAY(B3000)=1,2,IF(WEEKDAY(B3000)=7,1,0))))))</f>
        <v>1</v>
      </c>
      <c r="G3000" s="369">
        <f>VLOOKUP(C3000,METADATA!$J$5:$Q$29,IF(E3000="HI",2,IF(E3000="LO",6,10))+IF(D3000=1,2,IF(D3000=7,1,(IF(WEEKDAY(B3000)=1,2,IF(WEEKDAY(B3000)=7,1,0))))))</f>
        <v>1</v>
      </c>
      <c r="H3000" s="370">
        <v>13144.599731445313</v>
      </c>
      <c r="I3000" s="370">
        <v>3989.6999816894531</v>
      </c>
      <c r="M3000" s="371">
        <f t="shared" si="185"/>
        <v>13736.7466324383</v>
      </c>
      <c r="N3000" s="329">
        <f t="shared" si="186"/>
        <v>46.320062255859739</v>
      </c>
      <c r="T3000" s="331">
        <v>0</v>
      </c>
      <c r="U3000" s="328">
        <f>VLOOKUP(C3000,METADATA!$J$5:$Q$29,IF(E3000="HI",2,IF(E3000="LO",6,10))+IF(T3000=1,2,IF(D3000=7,1,(IF(WEEKDAY(B3000)=1,2,IF(WEEKDAY(B3000)=7,1,0))))))</f>
        <v>1</v>
      </c>
      <c r="V3000" s="328">
        <f>VLOOKUP(C3000,METADATA!$A$5:$H$29,IF(E3000="HI",2,IF(E3000="LO",6,10))+IF(T3000=1,2,IF(D3000=7,1,(IF(WEEKDAY(B3000)=1,2,IF(WEEKDAY(B3000)=7,1,0))))))</f>
        <v>1</v>
      </c>
    </row>
    <row r="3001" spans="2:22">
      <c r="B3001" s="318">
        <f t="shared" si="187"/>
        <v>46237</v>
      </c>
      <c r="C3001" s="312">
        <v>21</v>
      </c>
      <c r="D3001" s="368">
        <f>IFERROR((INDEX(METADATA!$T$2:$T$20,MATCH(B3001,METADATA!$S$2:$S$20,0))),0)</f>
        <v>0</v>
      </c>
      <c r="E3001" s="312" t="str">
        <f t="shared" si="184"/>
        <v>LO</v>
      </c>
      <c r="F3001" s="369">
        <f>VLOOKUP(C3001,METADATA!$A$5:$H$29,IF(E3001="HI",2,IF(E3001="LO",6,10))+IF(D3001=1,2,IF(D3001=7,1,(IF(WEEKDAY(B3001)=1,2,IF(WEEKDAY(B3001)=7,1,0))))))</f>
        <v>2</v>
      </c>
      <c r="G3001" s="369">
        <f>VLOOKUP(C3001,METADATA!$J$5:$Q$29,IF(E3001="HI",2,IF(E3001="LO",6,10))+IF(D3001=1,2,IF(D3001=7,1,(IF(WEEKDAY(B3001)=1,2,IF(WEEKDAY(B3001)=7,1,0))))))</f>
        <v>2</v>
      </c>
      <c r="H3001" s="370">
        <v>13439.899963378906</v>
      </c>
      <c r="I3001" s="370">
        <v>4351.7449951171875</v>
      </c>
      <c r="M3001" s="371">
        <f t="shared" si="185"/>
        <v>14126.87493850497</v>
      </c>
      <c r="N3001" s="329">
        <f t="shared" si="186"/>
        <v>319.77500610351581</v>
      </c>
      <c r="T3001" s="331">
        <v>0</v>
      </c>
      <c r="U3001" s="328">
        <f>VLOOKUP(C3001,METADATA!$J$5:$Q$29,IF(E3001="HI",2,IF(E3001="LO",6,10))+IF(T3001=1,2,IF(D3001=7,1,(IF(WEEKDAY(B3001)=1,2,IF(WEEKDAY(B3001)=7,1,0))))))</f>
        <v>2</v>
      </c>
      <c r="V3001" s="328">
        <f>VLOOKUP(C3001,METADATA!$A$5:$H$29,IF(E3001="HI",2,IF(E3001="LO",6,10))+IF(T3001=1,2,IF(D3001=7,1,(IF(WEEKDAY(B3001)=1,2,IF(WEEKDAY(B3001)=7,1,0))))))</f>
        <v>2</v>
      </c>
    </row>
    <row r="3002" spans="2:22">
      <c r="B3002" s="318">
        <f t="shared" si="187"/>
        <v>46237</v>
      </c>
      <c r="C3002" s="312">
        <v>22</v>
      </c>
      <c r="D3002" s="368">
        <f>IFERROR((INDEX(METADATA!$T$2:$T$20,MATCH(B3002,METADATA!$S$2:$S$20,0))),0)</f>
        <v>0</v>
      </c>
      <c r="E3002" s="312" t="str">
        <f t="shared" si="184"/>
        <v>LO</v>
      </c>
      <c r="F3002" s="369">
        <f>VLOOKUP(C3002,METADATA!$A$5:$H$29,IF(E3002="HI",2,IF(E3002="LO",6,10))+IF(D3002=1,2,IF(D3002=7,1,(IF(WEEKDAY(B3002)=1,2,IF(WEEKDAY(B3002)=7,1,0))))))</f>
        <v>3</v>
      </c>
      <c r="G3002" s="369">
        <f>VLOOKUP(C3002,METADATA!$J$5:$Q$29,IF(E3002="HI",2,IF(E3002="LO",6,10))+IF(D3002=1,2,IF(D3002=7,1,(IF(WEEKDAY(B3002)=1,2,IF(WEEKDAY(B3002)=7,1,0))))))</f>
        <v>3</v>
      </c>
      <c r="H3002" s="370">
        <v>13422.85009765625</v>
      </c>
      <c r="I3002" s="370">
        <v>4269.1700134277344</v>
      </c>
      <c r="M3002" s="371">
        <f t="shared" si="185"/>
        <v>14085.407958156589</v>
      </c>
      <c r="N3002" s="329">
        <f t="shared" si="186"/>
        <v>242.31498413085956</v>
      </c>
      <c r="T3002" s="331">
        <v>0</v>
      </c>
      <c r="U3002" s="328">
        <f>VLOOKUP(C3002,METADATA!$J$5:$Q$29,IF(E3002="HI",2,IF(E3002="LO",6,10))+IF(T3002=1,2,IF(D3002=7,1,(IF(WEEKDAY(B3002)=1,2,IF(WEEKDAY(B3002)=7,1,0))))))</f>
        <v>3</v>
      </c>
      <c r="V3002" s="328">
        <f>VLOOKUP(C3002,METADATA!$A$5:$H$29,IF(E3002="HI",2,IF(E3002="LO",6,10))+IF(T3002=1,2,IF(D3002=7,1,(IF(WEEKDAY(B3002)=1,2,IF(WEEKDAY(B3002)=7,1,0))))))</f>
        <v>3</v>
      </c>
    </row>
    <row r="3003" spans="2:22">
      <c r="B3003" s="318">
        <f t="shared" si="187"/>
        <v>46237</v>
      </c>
      <c r="C3003" s="312">
        <v>23</v>
      </c>
      <c r="D3003" s="368">
        <f>IFERROR((INDEX(METADATA!$T$2:$T$20,MATCH(B3003,METADATA!$S$2:$S$20,0))),0)</f>
        <v>0</v>
      </c>
      <c r="E3003" s="312" t="str">
        <f t="shared" si="184"/>
        <v>LO</v>
      </c>
      <c r="F3003" s="369">
        <f>VLOOKUP(C3003,METADATA!$A$5:$H$29,IF(E3003="HI",2,IF(E3003="LO",6,10))+IF(D3003=1,2,IF(D3003=7,1,(IF(WEEKDAY(B3003)=1,2,IF(WEEKDAY(B3003)=7,1,0))))))</f>
        <v>3</v>
      </c>
      <c r="G3003" s="369">
        <f>VLOOKUP(C3003,METADATA!$J$5:$Q$29,IF(E3003="HI",2,IF(E3003="LO",6,10))+IF(D3003=1,2,IF(D3003=7,1,(IF(WEEKDAY(B3003)=1,2,IF(WEEKDAY(B3003)=7,1,0))))))</f>
        <v>3</v>
      </c>
      <c r="H3003" s="370">
        <v>13091.899597167969</v>
      </c>
      <c r="I3003" s="370">
        <v>4190.0600891113281</v>
      </c>
      <c r="M3003" s="371">
        <f t="shared" si="185"/>
        <v>13746.069933355149</v>
      </c>
      <c r="N3003" s="329">
        <f t="shared" si="186"/>
        <v>262.49020996093759</v>
      </c>
      <c r="T3003" s="331">
        <v>0</v>
      </c>
      <c r="U3003" s="328">
        <f>VLOOKUP(C3003,METADATA!$J$5:$Q$29,IF(E3003="HI",2,IF(E3003="LO",6,10))+IF(T3003=1,2,IF(D3003=7,1,(IF(WEEKDAY(B3003)=1,2,IF(WEEKDAY(B3003)=7,1,0))))))</f>
        <v>3</v>
      </c>
      <c r="V3003" s="328">
        <f>VLOOKUP(C3003,METADATA!$A$5:$H$29,IF(E3003="HI",2,IF(E3003="LO",6,10))+IF(T3003=1,2,IF(D3003=7,1,(IF(WEEKDAY(B3003)=1,2,IF(WEEKDAY(B3003)=7,1,0))))))</f>
        <v>3</v>
      </c>
    </row>
    <row r="3004" spans="2:22">
      <c r="B3004" s="318">
        <f t="shared" si="187"/>
        <v>46238</v>
      </c>
      <c r="C3004" s="312">
        <v>0</v>
      </c>
      <c r="D3004" s="368">
        <f>IFERROR((INDEX(METADATA!$T$2:$T$20,MATCH(B3004,METADATA!$S$2:$S$20,0))),0)</f>
        <v>0</v>
      </c>
      <c r="E3004" s="312" t="str">
        <f t="shared" si="184"/>
        <v>LO</v>
      </c>
      <c r="F3004" s="369">
        <f>VLOOKUP(C3004,METADATA!$A$5:$H$29,IF(E3004="HI",2,IF(E3004="LO",6,10))+IF(D3004=1,2,IF(D3004=7,1,(IF(WEEKDAY(B3004)=1,2,IF(WEEKDAY(B3004)=7,1,0))))))</f>
        <v>3</v>
      </c>
      <c r="G3004" s="369">
        <f>VLOOKUP(C3004,METADATA!$J$5:$Q$29,IF(E3004="HI",2,IF(E3004="LO",6,10))+IF(D3004=1,2,IF(D3004=7,1,(IF(WEEKDAY(B3004)=1,2,IF(WEEKDAY(B3004)=7,1,0))))))</f>
        <v>3</v>
      </c>
      <c r="H3004" s="370">
        <v>11549.975341796875</v>
      </c>
      <c r="I3004" s="370">
        <v>3328.3800048828125</v>
      </c>
      <c r="M3004" s="371">
        <f t="shared" si="185"/>
        <v>12019.985185224628</v>
      </c>
      <c r="N3004" s="329">
        <f t="shared" si="186"/>
        <v>0</v>
      </c>
      <c r="T3004" s="331">
        <v>0</v>
      </c>
      <c r="U3004" s="328">
        <f>VLOOKUP(C3004,METADATA!$J$5:$Q$29,IF(E3004="HI",2,IF(E3004="LO",6,10))+IF(T3004=1,2,IF(D3004=7,1,(IF(WEEKDAY(B3004)=1,2,IF(WEEKDAY(B3004)=7,1,0))))))</f>
        <v>3</v>
      </c>
      <c r="V3004" s="328">
        <f>VLOOKUP(C3004,METADATA!$A$5:$H$29,IF(E3004="HI",2,IF(E3004="LO",6,10))+IF(T3004=1,2,IF(D3004=7,1,(IF(WEEKDAY(B3004)=1,2,IF(WEEKDAY(B3004)=7,1,0))))))</f>
        <v>3</v>
      </c>
    </row>
    <row r="3005" spans="2:22">
      <c r="B3005" s="318">
        <f t="shared" si="187"/>
        <v>46238</v>
      </c>
      <c r="C3005" s="312">
        <v>1</v>
      </c>
      <c r="D3005" s="368">
        <f>IFERROR((INDEX(METADATA!$T$2:$T$20,MATCH(B3005,METADATA!$S$2:$S$20,0))),0)</f>
        <v>0</v>
      </c>
      <c r="E3005" s="312" t="str">
        <f t="shared" si="184"/>
        <v>LO</v>
      </c>
      <c r="F3005" s="369">
        <f>VLOOKUP(C3005,METADATA!$A$5:$H$29,IF(E3005="HI",2,IF(E3005="LO",6,10))+IF(D3005=1,2,IF(D3005=7,1,(IF(WEEKDAY(B3005)=1,2,IF(WEEKDAY(B3005)=7,1,0))))))</f>
        <v>3</v>
      </c>
      <c r="G3005" s="369">
        <f>VLOOKUP(C3005,METADATA!$J$5:$Q$29,IF(E3005="HI",2,IF(E3005="LO",6,10))+IF(D3005=1,2,IF(D3005=7,1,(IF(WEEKDAY(B3005)=1,2,IF(WEEKDAY(B3005)=7,1,0))))))</f>
        <v>3</v>
      </c>
      <c r="H3005" s="370">
        <v>12794.0546875</v>
      </c>
      <c r="I3005" s="370">
        <v>4095.3949584960938</v>
      </c>
      <c r="M3005" s="371">
        <f t="shared" si="185"/>
        <v>13433.543658052999</v>
      </c>
      <c r="N3005" s="329">
        <f t="shared" si="186"/>
        <v>257.17855224609411</v>
      </c>
      <c r="T3005" s="331">
        <v>0</v>
      </c>
      <c r="U3005" s="328">
        <f>VLOOKUP(C3005,METADATA!$J$5:$Q$29,IF(E3005="HI",2,IF(E3005="LO",6,10))+IF(T3005=1,2,IF(D3005=7,1,(IF(WEEKDAY(B3005)=1,2,IF(WEEKDAY(B3005)=7,1,0))))))</f>
        <v>3</v>
      </c>
      <c r="V3005" s="328">
        <f>VLOOKUP(C3005,METADATA!$A$5:$H$29,IF(E3005="HI",2,IF(E3005="LO",6,10))+IF(T3005=1,2,IF(D3005=7,1,(IF(WEEKDAY(B3005)=1,2,IF(WEEKDAY(B3005)=7,1,0))))))</f>
        <v>3</v>
      </c>
    </row>
    <row r="3006" spans="2:22">
      <c r="B3006" s="318">
        <f t="shared" si="187"/>
        <v>46238</v>
      </c>
      <c r="C3006" s="312">
        <v>2</v>
      </c>
      <c r="D3006" s="368">
        <f>IFERROR((INDEX(METADATA!$T$2:$T$20,MATCH(B3006,METADATA!$S$2:$S$20,0))),0)</f>
        <v>0</v>
      </c>
      <c r="E3006" s="312" t="str">
        <f t="shared" si="184"/>
        <v>LO</v>
      </c>
      <c r="F3006" s="369">
        <f>VLOOKUP(C3006,METADATA!$A$5:$H$29,IF(E3006="HI",2,IF(E3006="LO",6,10))+IF(D3006=1,2,IF(D3006=7,1,(IF(WEEKDAY(B3006)=1,2,IF(WEEKDAY(B3006)=7,1,0))))))</f>
        <v>3</v>
      </c>
      <c r="G3006" s="369">
        <f>VLOOKUP(C3006,METADATA!$J$5:$Q$29,IF(E3006="HI",2,IF(E3006="LO",6,10))+IF(D3006=1,2,IF(D3006=7,1,(IF(WEEKDAY(B3006)=1,2,IF(WEEKDAY(B3006)=7,1,0))))))</f>
        <v>3</v>
      </c>
      <c r="H3006" s="370">
        <v>13560.825317382813</v>
      </c>
      <c r="I3006" s="370">
        <v>4327.3450622558594</v>
      </c>
      <c r="M3006" s="371">
        <f t="shared" si="185"/>
        <v>14234.531905770587</v>
      </c>
      <c r="N3006" s="329">
        <f t="shared" si="186"/>
        <v>259.09746704101599</v>
      </c>
      <c r="T3006" s="331">
        <v>0</v>
      </c>
      <c r="U3006" s="328">
        <f>VLOOKUP(C3006,METADATA!$J$5:$Q$29,IF(E3006="HI",2,IF(E3006="LO",6,10))+IF(T3006=1,2,IF(D3006=7,1,(IF(WEEKDAY(B3006)=1,2,IF(WEEKDAY(B3006)=7,1,0))))))</f>
        <v>3</v>
      </c>
      <c r="V3006" s="328">
        <f>VLOOKUP(C3006,METADATA!$A$5:$H$29,IF(E3006="HI",2,IF(E3006="LO",6,10))+IF(T3006=1,2,IF(D3006=7,1,(IF(WEEKDAY(B3006)=1,2,IF(WEEKDAY(B3006)=7,1,0))))))</f>
        <v>3</v>
      </c>
    </row>
    <row r="3007" spans="2:22">
      <c r="B3007" s="318">
        <f t="shared" si="187"/>
        <v>46238</v>
      </c>
      <c r="C3007" s="312">
        <v>3</v>
      </c>
      <c r="D3007" s="368">
        <f>IFERROR((INDEX(METADATA!$T$2:$T$20,MATCH(B3007,METADATA!$S$2:$S$20,0))),0)</f>
        <v>0</v>
      </c>
      <c r="E3007" s="312" t="str">
        <f t="shared" si="184"/>
        <v>LO</v>
      </c>
      <c r="F3007" s="369">
        <f>VLOOKUP(C3007,METADATA!$A$5:$H$29,IF(E3007="HI",2,IF(E3007="LO",6,10))+IF(D3007=1,2,IF(D3007=7,1,(IF(WEEKDAY(B3007)=1,2,IF(WEEKDAY(B3007)=7,1,0))))))</f>
        <v>3</v>
      </c>
      <c r="G3007" s="369">
        <f>VLOOKUP(C3007,METADATA!$J$5:$Q$29,IF(E3007="HI",2,IF(E3007="LO",6,10))+IF(D3007=1,2,IF(D3007=7,1,(IF(WEEKDAY(B3007)=1,2,IF(WEEKDAY(B3007)=7,1,0))))))</f>
        <v>3</v>
      </c>
      <c r="H3007" s="370">
        <v>13477.924926757813</v>
      </c>
      <c r="I3007" s="370">
        <v>4253.2849731445313</v>
      </c>
      <c r="M3007" s="371">
        <f t="shared" si="185"/>
        <v>14133.113365217752</v>
      </c>
      <c r="N3007" s="329">
        <f t="shared" si="186"/>
        <v>209.90749511718786</v>
      </c>
      <c r="T3007" s="331">
        <v>0</v>
      </c>
      <c r="U3007" s="328">
        <f>VLOOKUP(C3007,METADATA!$J$5:$Q$29,IF(E3007="HI",2,IF(E3007="LO",6,10))+IF(T3007=1,2,IF(D3007=7,1,(IF(WEEKDAY(B3007)=1,2,IF(WEEKDAY(B3007)=7,1,0))))))</f>
        <v>3</v>
      </c>
      <c r="V3007" s="328">
        <f>VLOOKUP(C3007,METADATA!$A$5:$H$29,IF(E3007="HI",2,IF(E3007="LO",6,10))+IF(T3007=1,2,IF(D3007=7,1,(IF(WEEKDAY(B3007)=1,2,IF(WEEKDAY(B3007)=7,1,0))))))</f>
        <v>3</v>
      </c>
    </row>
    <row r="3008" spans="2:22">
      <c r="B3008" s="318">
        <f t="shared" si="187"/>
        <v>46238</v>
      </c>
      <c r="C3008" s="312">
        <v>4</v>
      </c>
      <c r="D3008" s="368">
        <f>IFERROR((INDEX(METADATA!$T$2:$T$20,MATCH(B3008,METADATA!$S$2:$S$20,0))),0)</f>
        <v>0</v>
      </c>
      <c r="E3008" s="312" t="str">
        <f t="shared" si="184"/>
        <v>LO</v>
      </c>
      <c r="F3008" s="369">
        <f>VLOOKUP(C3008,METADATA!$A$5:$H$29,IF(E3008="HI",2,IF(E3008="LO",6,10))+IF(D3008=1,2,IF(D3008=7,1,(IF(WEEKDAY(B3008)=1,2,IF(WEEKDAY(B3008)=7,1,0))))))</f>
        <v>3</v>
      </c>
      <c r="G3008" s="369">
        <f>VLOOKUP(C3008,METADATA!$J$5:$Q$29,IF(E3008="HI",2,IF(E3008="LO",6,10))+IF(D3008=1,2,IF(D3008=7,1,(IF(WEEKDAY(B3008)=1,2,IF(WEEKDAY(B3008)=7,1,0))))))</f>
        <v>3</v>
      </c>
      <c r="H3008" s="370">
        <v>13635.60009765625</v>
      </c>
      <c r="I3008" s="370">
        <v>4239.5250854492188</v>
      </c>
      <c r="M3008" s="371">
        <f t="shared" si="185"/>
        <v>14279.466480697251</v>
      </c>
      <c r="N3008" s="329">
        <f t="shared" si="186"/>
        <v>148.84505615234411</v>
      </c>
      <c r="T3008" s="331">
        <v>0</v>
      </c>
      <c r="U3008" s="328">
        <f>VLOOKUP(C3008,METADATA!$J$5:$Q$29,IF(E3008="HI",2,IF(E3008="LO",6,10))+IF(T3008=1,2,IF(D3008=7,1,(IF(WEEKDAY(B3008)=1,2,IF(WEEKDAY(B3008)=7,1,0))))))</f>
        <v>3</v>
      </c>
      <c r="V3008" s="328">
        <f>VLOOKUP(C3008,METADATA!$A$5:$H$29,IF(E3008="HI",2,IF(E3008="LO",6,10))+IF(T3008=1,2,IF(D3008=7,1,(IF(WEEKDAY(B3008)=1,2,IF(WEEKDAY(B3008)=7,1,0))))))</f>
        <v>3</v>
      </c>
    </row>
    <row r="3009" spans="2:22">
      <c r="B3009" s="318">
        <f t="shared" si="187"/>
        <v>46238</v>
      </c>
      <c r="C3009" s="312">
        <v>5</v>
      </c>
      <c r="D3009" s="368">
        <f>IFERROR((INDEX(METADATA!$T$2:$T$20,MATCH(B3009,METADATA!$S$2:$S$20,0))),0)</f>
        <v>0</v>
      </c>
      <c r="E3009" s="312" t="str">
        <f t="shared" si="184"/>
        <v>LO</v>
      </c>
      <c r="F3009" s="369">
        <f>VLOOKUP(C3009,METADATA!$A$5:$H$29,IF(E3009="HI",2,IF(E3009="LO",6,10))+IF(D3009=1,2,IF(D3009=7,1,(IF(WEEKDAY(B3009)=1,2,IF(WEEKDAY(B3009)=7,1,0))))))</f>
        <v>3</v>
      </c>
      <c r="G3009" s="369">
        <f>VLOOKUP(C3009,METADATA!$J$5:$Q$29,IF(E3009="HI",2,IF(E3009="LO",6,10))+IF(D3009=1,2,IF(D3009=7,1,(IF(WEEKDAY(B3009)=1,2,IF(WEEKDAY(B3009)=7,1,0))))))</f>
        <v>3</v>
      </c>
      <c r="H3009" s="370">
        <v>13537.699768066406</v>
      </c>
      <c r="I3009" s="370">
        <v>4090.1700439453125</v>
      </c>
      <c r="M3009" s="371">
        <f t="shared" si="185"/>
        <v>14142.093409346893</v>
      </c>
      <c r="N3009" s="329">
        <f t="shared" si="186"/>
        <v>28.860113525390716</v>
      </c>
      <c r="T3009" s="331">
        <v>0</v>
      </c>
      <c r="U3009" s="328">
        <f>VLOOKUP(C3009,METADATA!$J$5:$Q$29,IF(E3009="HI",2,IF(E3009="LO",6,10))+IF(T3009=1,2,IF(D3009=7,1,(IF(WEEKDAY(B3009)=1,2,IF(WEEKDAY(B3009)=7,1,0))))))</f>
        <v>3</v>
      </c>
      <c r="V3009" s="328">
        <f>VLOOKUP(C3009,METADATA!$A$5:$H$29,IF(E3009="HI",2,IF(E3009="LO",6,10))+IF(T3009=1,2,IF(D3009=7,1,(IF(WEEKDAY(B3009)=1,2,IF(WEEKDAY(B3009)=7,1,0))))))</f>
        <v>3</v>
      </c>
    </row>
    <row r="3010" spans="2:22">
      <c r="B3010" s="318">
        <f t="shared" si="187"/>
        <v>46238</v>
      </c>
      <c r="C3010" s="312">
        <v>6</v>
      </c>
      <c r="D3010" s="368">
        <f>IFERROR((INDEX(METADATA!$T$2:$T$20,MATCH(B3010,METADATA!$S$2:$S$20,0))),0)</f>
        <v>0</v>
      </c>
      <c r="E3010" s="312" t="str">
        <f t="shared" si="184"/>
        <v>LO</v>
      </c>
      <c r="F3010" s="369">
        <f>VLOOKUP(C3010,METADATA!$A$5:$H$29,IF(E3010="HI",2,IF(E3010="LO",6,10))+IF(D3010=1,2,IF(D3010=7,1,(IF(WEEKDAY(B3010)=1,2,IF(WEEKDAY(B3010)=7,1,0))))))</f>
        <v>2</v>
      </c>
      <c r="G3010" s="369">
        <f>VLOOKUP(C3010,METADATA!$J$5:$Q$29,IF(E3010="HI",2,IF(E3010="LO",6,10))+IF(D3010=1,2,IF(D3010=7,1,(IF(WEEKDAY(B3010)=1,2,IF(WEEKDAY(B3010)=7,1,0))))))</f>
        <v>2</v>
      </c>
      <c r="H3010" s="370">
        <v>13420.499938964844</v>
      </c>
      <c r="I3010" s="370">
        <v>4297.3949890136719</v>
      </c>
      <c r="M3010" s="371">
        <f t="shared" si="185"/>
        <v>14091.750150472977</v>
      </c>
      <c r="N3010" s="329">
        <f t="shared" si="186"/>
        <v>271.24500732421893</v>
      </c>
      <c r="T3010" s="331">
        <v>0</v>
      </c>
      <c r="U3010" s="328">
        <f>VLOOKUP(C3010,METADATA!$J$5:$Q$29,IF(E3010="HI",2,IF(E3010="LO",6,10))+IF(T3010=1,2,IF(D3010=7,1,(IF(WEEKDAY(B3010)=1,2,IF(WEEKDAY(B3010)=7,1,0))))))</f>
        <v>2</v>
      </c>
      <c r="V3010" s="328">
        <f>VLOOKUP(C3010,METADATA!$A$5:$H$29,IF(E3010="HI",2,IF(E3010="LO",6,10))+IF(T3010=1,2,IF(D3010=7,1,(IF(WEEKDAY(B3010)=1,2,IF(WEEKDAY(B3010)=7,1,0))))))</f>
        <v>2</v>
      </c>
    </row>
    <row r="3011" spans="2:22">
      <c r="B3011" s="318">
        <f t="shared" si="187"/>
        <v>46238</v>
      </c>
      <c r="C3011" s="312">
        <v>7</v>
      </c>
      <c r="D3011" s="368">
        <f>IFERROR((INDEX(METADATA!$T$2:$T$20,MATCH(B3011,METADATA!$S$2:$S$20,0))),0)</f>
        <v>0</v>
      </c>
      <c r="E3011" s="312" t="str">
        <f t="shared" si="184"/>
        <v>LO</v>
      </c>
      <c r="F3011" s="369">
        <f>VLOOKUP(C3011,METADATA!$A$5:$H$29,IF(E3011="HI",2,IF(E3011="LO",6,10))+IF(D3011=1,2,IF(D3011=7,1,(IF(WEEKDAY(B3011)=1,2,IF(WEEKDAY(B3011)=7,1,0))))))</f>
        <v>1</v>
      </c>
      <c r="G3011" s="369">
        <f>VLOOKUP(C3011,METADATA!$J$5:$Q$29,IF(E3011="HI",2,IF(E3011="LO",6,10))+IF(D3011=1,2,IF(D3011=7,1,(IF(WEEKDAY(B3011)=1,2,IF(WEEKDAY(B3011)=7,1,0))))))</f>
        <v>1</v>
      </c>
      <c r="H3011" s="370">
        <v>13515.425415039063</v>
      </c>
      <c r="I3011" s="370">
        <v>4291.6650390625</v>
      </c>
      <c r="M3011" s="371">
        <f t="shared" si="185"/>
        <v>14180.448263612654</v>
      </c>
      <c r="N3011" s="329">
        <f t="shared" si="186"/>
        <v>237.03741455078125</v>
      </c>
      <c r="T3011" s="331">
        <v>0</v>
      </c>
      <c r="U3011" s="328">
        <f>VLOOKUP(C3011,METADATA!$J$5:$Q$29,IF(E3011="HI",2,IF(E3011="LO",6,10))+IF(T3011=1,2,IF(D3011=7,1,(IF(WEEKDAY(B3011)=1,2,IF(WEEKDAY(B3011)=7,1,0))))))</f>
        <v>1</v>
      </c>
      <c r="V3011" s="328">
        <f>VLOOKUP(C3011,METADATA!$A$5:$H$29,IF(E3011="HI",2,IF(E3011="LO",6,10))+IF(T3011=1,2,IF(D3011=7,1,(IF(WEEKDAY(B3011)=1,2,IF(WEEKDAY(B3011)=7,1,0))))))</f>
        <v>1</v>
      </c>
    </row>
    <row r="3012" spans="2:22">
      <c r="B3012" s="318">
        <f t="shared" si="187"/>
        <v>46238</v>
      </c>
      <c r="C3012" s="312">
        <v>8</v>
      </c>
      <c r="D3012" s="368">
        <f>IFERROR((INDEX(METADATA!$T$2:$T$20,MATCH(B3012,METADATA!$S$2:$S$20,0))),0)</f>
        <v>0</v>
      </c>
      <c r="E3012" s="312" t="str">
        <f t="shared" ref="E3012:E3075" si="188">IF(B3012="","",IF(AND(MONTH(B3012)&gt;=MONTH($Z$9),MONTH(B3012)&lt;=MONTH($Z$11)),"HI","LO"))</f>
        <v>LO</v>
      </c>
      <c r="F3012" s="369">
        <f>VLOOKUP(C3012,METADATA!$A$5:$H$29,IF(E3012="HI",2,IF(E3012="LO",6,10))+IF(D3012=1,2,IF(D3012=7,1,(IF(WEEKDAY(B3012)=1,2,IF(WEEKDAY(B3012)=7,1,0))))))</f>
        <v>1</v>
      </c>
      <c r="G3012" s="369">
        <f>VLOOKUP(C3012,METADATA!$J$5:$Q$29,IF(E3012="HI",2,IF(E3012="LO",6,10))+IF(D3012=1,2,IF(D3012=7,1,(IF(WEEKDAY(B3012)=1,2,IF(WEEKDAY(B3012)=7,1,0))))))</f>
        <v>1</v>
      </c>
      <c r="H3012" s="370">
        <v>13739.174499511719</v>
      </c>
      <c r="I3012" s="370">
        <v>4404.1049499511719</v>
      </c>
      <c r="M3012" s="371">
        <f t="shared" ref="M3012:M3075" si="189">SQRT(H3012^2+I3012^2)</f>
        <v>14427.787645311997</v>
      </c>
      <c r="N3012" s="329">
        <f t="shared" ref="N3012:N3075" si="190">IF(H3012=0,0,(IF(I3012-(0.3*H3012)&lt;0,0,(I3012-(0.3*H3012)))))</f>
        <v>282.35260009765625</v>
      </c>
      <c r="T3012" s="331">
        <v>0</v>
      </c>
      <c r="U3012" s="328">
        <f>VLOOKUP(C3012,METADATA!$J$5:$Q$29,IF(E3012="HI",2,IF(E3012="LO",6,10))+IF(T3012=1,2,IF(D3012=7,1,(IF(WEEKDAY(B3012)=1,2,IF(WEEKDAY(B3012)=7,1,0))))))</f>
        <v>1</v>
      </c>
      <c r="V3012" s="328">
        <f>VLOOKUP(C3012,METADATA!$A$5:$H$29,IF(E3012="HI",2,IF(E3012="LO",6,10))+IF(T3012=1,2,IF(D3012=7,1,(IF(WEEKDAY(B3012)=1,2,IF(WEEKDAY(B3012)=7,1,0))))))</f>
        <v>1</v>
      </c>
    </row>
    <row r="3013" spans="2:22">
      <c r="B3013" s="318">
        <f t="shared" si="187"/>
        <v>46238</v>
      </c>
      <c r="C3013" s="312">
        <v>9</v>
      </c>
      <c r="D3013" s="368">
        <f>IFERROR((INDEX(METADATA!$T$2:$T$20,MATCH(B3013,METADATA!$S$2:$S$20,0))),0)</f>
        <v>0</v>
      </c>
      <c r="E3013" s="312" t="str">
        <f t="shared" si="188"/>
        <v>LO</v>
      </c>
      <c r="F3013" s="369">
        <f>VLOOKUP(C3013,METADATA!$A$5:$H$29,IF(E3013="HI",2,IF(E3013="LO",6,10))+IF(D3013=1,2,IF(D3013=7,1,(IF(WEEKDAY(B3013)=1,2,IF(WEEKDAY(B3013)=7,1,0))))))</f>
        <v>2</v>
      </c>
      <c r="G3013" s="369">
        <f>VLOOKUP(C3013,METADATA!$J$5:$Q$29,IF(E3013="HI",2,IF(E3013="LO",6,10))+IF(D3013=1,2,IF(D3013=7,1,(IF(WEEKDAY(B3013)=1,2,IF(WEEKDAY(B3013)=7,1,0))))))</f>
        <v>2</v>
      </c>
      <c r="H3013" s="370">
        <v>13374.600036621094</v>
      </c>
      <c r="I3013" s="370">
        <v>4029.655029296875</v>
      </c>
      <c r="M3013" s="371">
        <f t="shared" si="189"/>
        <v>13968.466121758773</v>
      </c>
      <c r="N3013" s="329">
        <f t="shared" si="190"/>
        <v>17.275018310547239</v>
      </c>
      <c r="T3013" s="331">
        <v>0</v>
      </c>
      <c r="U3013" s="328">
        <f>VLOOKUP(C3013,METADATA!$J$5:$Q$29,IF(E3013="HI",2,IF(E3013="LO",6,10))+IF(T3013=1,2,IF(D3013=7,1,(IF(WEEKDAY(B3013)=1,2,IF(WEEKDAY(B3013)=7,1,0))))))</f>
        <v>2</v>
      </c>
      <c r="V3013" s="328">
        <f>VLOOKUP(C3013,METADATA!$A$5:$H$29,IF(E3013="HI",2,IF(E3013="LO",6,10))+IF(T3013=1,2,IF(D3013=7,1,(IF(WEEKDAY(B3013)=1,2,IF(WEEKDAY(B3013)=7,1,0))))))</f>
        <v>2</v>
      </c>
    </row>
    <row r="3014" spans="2:22">
      <c r="B3014" s="318">
        <f t="shared" si="187"/>
        <v>46238</v>
      </c>
      <c r="C3014" s="312">
        <v>10</v>
      </c>
      <c r="D3014" s="368">
        <f>IFERROR((INDEX(METADATA!$T$2:$T$20,MATCH(B3014,METADATA!$S$2:$S$20,0))),0)</f>
        <v>0</v>
      </c>
      <c r="E3014" s="312" t="str">
        <f t="shared" si="188"/>
        <v>LO</v>
      </c>
      <c r="F3014" s="369">
        <f>VLOOKUP(C3014,METADATA!$A$5:$H$29,IF(E3014="HI",2,IF(E3014="LO",6,10))+IF(D3014=1,2,IF(D3014=7,1,(IF(WEEKDAY(B3014)=1,2,IF(WEEKDAY(B3014)=7,1,0))))))</f>
        <v>2</v>
      </c>
      <c r="G3014" s="369">
        <f>VLOOKUP(C3014,METADATA!$J$5:$Q$29,IF(E3014="HI",2,IF(E3014="LO",6,10))+IF(D3014=1,2,IF(D3014=7,1,(IF(WEEKDAY(B3014)=1,2,IF(WEEKDAY(B3014)=7,1,0))))))</f>
        <v>2</v>
      </c>
      <c r="H3014" s="370">
        <v>12735.825073242188</v>
      </c>
      <c r="I3014" s="370">
        <v>3432.4599914550781</v>
      </c>
      <c r="M3014" s="371">
        <f t="shared" si="189"/>
        <v>13190.262388942994</v>
      </c>
      <c r="N3014" s="329">
        <f t="shared" si="190"/>
        <v>0</v>
      </c>
      <c r="T3014" s="331">
        <v>0</v>
      </c>
      <c r="U3014" s="328">
        <f>VLOOKUP(C3014,METADATA!$J$5:$Q$29,IF(E3014="HI",2,IF(E3014="LO",6,10))+IF(T3014=1,2,IF(D3014=7,1,(IF(WEEKDAY(B3014)=1,2,IF(WEEKDAY(B3014)=7,1,0))))))</f>
        <v>2</v>
      </c>
      <c r="V3014" s="328">
        <f>VLOOKUP(C3014,METADATA!$A$5:$H$29,IF(E3014="HI",2,IF(E3014="LO",6,10))+IF(T3014=1,2,IF(D3014=7,1,(IF(WEEKDAY(B3014)=1,2,IF(WEEKDAY(B3014)=7,1,0))))))</f>
        <v>2</v>
      </c>
    </row>
    <row r="3015" spans="2:22">
      <c r="B3015" s="318">
        <f t="shared" si="187"/>
        <v>46238</v>
      </c>
      <c r="C3015" s="312">
        <v>11</v>
      </c>
      <c r="D3015" s="368">
        <f>IFERROR((INDEX(METADATA!$T$2:$T$20,MATCH(B3015,METADATA!$S$2:$S$20,0))),0)</f>
        <v>0</v>
      </c>
      <c r="E3015" s="312" t="str">
        <f t="shared" si="188"/>
        <v>LO</v>
      </c>
      <c r="F3015" s="369">
        <f>VLOOKUP(C3015,METADATA!$A$5:$H$29,IF(E3015="HI",2,IF(E3015="LO",6,10))+IF(D3015=1,2,IF(D3015=7,1,(IF(WEEKDAY(B3015)=1,2,IF(WEEKDAY(B3015)=7,1,0))))))</f>
        <v>2</v>
      </c>
      <c r="G3015" s="369">
        <f>VLOOKUP(C3015,METADATA!$J$5:$Q$29,IF(E3015="HI",2,IF(E3015="LO",6,10))+IF(D3015=1,2,IF(D3015=7,1,(IF(WEEKDAY(B3015)=1,2,IF(WEEKDAY(B3015)=7,1,0))))))</f>
        <v>2</v>
      </c>
      <c r="H3015" s="370">
        <v>13209.325012207031</v>
      </c>
      <c r="I3015" s="370">
        <v>3871.5049896240234</v>
      </c>
      <c r="M3015" s="371">
        <f t="shared" si="189"/>
        <v>13764.985222033549</v>
      </c>
      <c r="N3015" s="329">
        <f t="shared" si="190"/>
        <v>0</v>
      </c>
      <c r="T3015" s="331">
        <v>0</v>
      </c>
      <c r="U3015" s="328">
        <f>VLOOKUP(C3015,METADATA!$J$5:$Q$29,IF(E3015="HI",2,IF(E3015="LO",6,10))+IF(T3015=1,2,IF(D3015=7,1,(IF(WEEKDAY(B3015)=1,2,IF(WEEKDAY(B3015)=7,1,0))))))</f>
        <v>2</v>
      </c>
      <c r="V3015" s="328">
        <f>VLOOKUP(C3015,METADATA!$A$5:$H$29,IF(E3015="HI",2,IF(E3015="LO",6,10))+IF(T3015=1,2,IF(D3015=7,1,(IF(WEEKDAY(B3015)=1,2,IF(WEEKDAY(B3015)=7,1,0))))))</f>
        <v>2</v>
      </c>
    </row>
    <row r="3016" spans="2:22">
      <c r="B3016" s="318">
        <f t="shared" si="187"/>
        <v>46238</v>
      </c>
      <c r="C3016" s="312">
        <v>12</v>
      </c>
      <c r="D3016" s="368">
        <f>IFERROR((INDEX(METADATA!$T$2:$T$20,MATCH(B3016,METADATA!$S$2:$S$20,0))),0)</f>
        <v>0</v>
      </c>
      <c r="E3016" s="312" t="str">
        <f t="shared" si="188"/>
        <v>LO</v>
      </c>
      <c r="F3016" s="369">
        <f>VLOOKUP(C3016,METADATA!$A$5:$H$29,IF(E3016="HI",2,IF(E3016="LO",6,10))+IF(D3016=1,2,IF(D3016=7,1,(IF(WEEKDAY(B3016)=1,2,IF(WEEKDAY(B3016)=7,1,0))))))</f>
        <v>2</v>
      </c>
      <c r="G3016" s="369">
        <f>VLOOKUP(C3016,METADATA!$J$5:$Q$29,IF(E3016="HI",2,IF(E3016="LO",6,10))+IF(D3016=1,2,IF(D3016=7,1,(IF(WEEKDAY(B3016)=1,2,IF(WEEKDAY(B3016)=7,1,0))))))</f>
        <v>2</v>
      </c>
      <c r="H3016" s="370">
        <v>13654.64990234375</v>
      </c>
      <c r="I3016" s="370">
        <v>4374.3999938964844</v>
      </c>
      <c r="M3016" s="371">
        <f t="shared" si="189"/>
        <v>14338.229990559425</v>
      </c>
      <c r="N3016" s="329">
        <f t="shared" si="190"/>
        <v>278.00502319335919</v>
      </c>
      <c r="T3016" s="331">
        <v>0</v>
      </c>
      <c r="U3016" s="328">
        <f>VLOOKUP(C3016,METADATA!$J$5:$Q$29,IF(E3016="HI",2,IF(E3016="LO",6,10))+IF(T3016=1,2,IF(D3016=7,1,(IF(WEEKDAY(B3016)=1,2,IF(WEEKDAY(B3016)=7,1,0))))))</f>
        <v>2</v>
      </c>
      <c r="V3016" s="328">
        <f>VLOOKUP(C3016,METADATA!$A$5:$H$29,IF(E3016="HI",2,IF(E3016="LO",6,10))+IF(T3016=1,2,IF(D3016=7,1,(IF(WEEKDAY(B3016)=1,2,IF(WEEKDAY(B3016)=7,1,0))))))</f>
        <v>2</v>
      </c>
    </row>
    <row r="3017" spans="2:22">
      <c r="B3017" s="318">
        <f t="shared" si="187"/>
        <v>46238</v>
      </c>
      <c r="C3017" s="312">
        <v>13</v>
      </c>
      <c r="D3017" s="368">
        <f>IFERROR((INDEX(METADATA!$T$2:$T$20,MATCH(B3017,METADATA!$S$2:$S$20,0))),0)</f>
        <v>0</v>
      </c>
      <c r="E3017" s="312" t="str">
        <f t="shared" si="188"/>
        <v>LO</v>
      </c>
      <c r="F3017" s="369">
        <f>VLOOKUP(C3017,METADATA!$A$5:$H$29,IF(E3017="HI",2,IF(E3017="LO",6,10))+IF(D3017=1,2,IF(D3017=7,1,(IF(WEEKDAY(B3017)=1,2,IF(WEEKDAY(B3017)=7,1,0))))))</f>
        <v>2</v>
      </c>
      <c r="G3017" s="369">
        <f>VLOOKUP(C3017,METADATA!$J$5:$Q$29,IF(E3017="HI",2,IF(E3017="LO",6,10))+IF(D3017=1,2,IF(D3017=7,1,(IF(WEEKDAY(B3017)=1,2,IF(WEEKDAY(B3017)=7,1,0))))))</f>
        <v>2</v>
      </c>
      <c r="H3017" s="370">
        <v>13495.999938964844</v>
      </c>
      <c r="I3017" s="370">
        <v>4279.4749755859375</v>
      </c>
      <c r="M3017" s="371">
        <f t="shared" si="189"/>
        <v>14158.245668839247</v>
      </c>
      <c r="N3017" s="329">
        <f t="shared" si="190"/>
        <v>230.67499389648447</v>
      </c>
      <c r="T3017" s="331">
        <v>0</v>
      </c>
      <c r="U3017" s="328">
        <f>VLOOKUP(C3017,METADATA!$J$5:$Q$29,IF(E3017="HI",2,IF(E3017="LO",6,10))+IF(T3017=1,2,IF(D3017=7,1,(IF(WEEKDAY(B3017)=1,2,IF(WEEKDAY(B3017)=7,1,0))))))</f>
        <v>2</v>
      </c>
      <c r="V3017" s="328">
        <f>VLOOKUP(C3017,METADATA!$A$5:$H$29,IF(E3017="HI",2,IF(E3017="LO",6,10))+IF(T3017=1,2,IF(D3017=7,1,(IF(WEEKDAY(B3017)=1,2,IF(WEEKDAY(B3017)=7,1,0))))))</f>
        <v>2</v>
      </c>
    </row>
    <row r="3018" spans="2:22">
      <c r="B3018" s="318">
        <f t="shared" si="187"/>
        <v>46238</v>
      </c>
      <c r="C3018" s="312">
        <v>14</v>
      </c>
      <c r="D3018" s="368">
        <f>IFERROR((INDEX(METADATA!$T$2:$T$20,MATCH(B3018,METADATA!$S$2:$S$20,0))),0)</f>
        <v>0</v>
      </c>
      <c r="E3018" s="312" t="str">
        <f t="shared" si="188"/>
        <v>LO</v>
      </c>
      <c r="F3018" s="369">
        <f>VLOOKUP(C3018,METADATA!$A$5:$H$29,IF(E3018="HI",2,IF(E3018="LO",6,10))+IF(D3018=1,2,IF(D3018=7,1,(IF(WEEKDAY(B3018)=1,2,IF(WEEKDAY(B3018)=7,1,0))))))</f>
        <v>2</v>
      </c>
      <c r="G3018" s="369">
        <f>VLOOKUP(C3018,METADATA!$J$5:$Q$29,IF(E3018="HI",2,IF(E3018="LO",6,10))+IF(D3018=1,2,IF(D3018=7,1,(IF(WEEKDAY(B3018)=1,2,IF(WEEKDAY(B3018)=7,1,0))))))</f>
        <v>2</v>
      </c>
      <c r="H3018" s="370">
        <v>11554.875244140625</v>
      </c>
      <c r="I3018" s="370">
        <v>3185.0399780273438</v>
      </c>
      <c r="M3018" s="371">
        <f t="shared" si="189"/>
        <v>11985.809174573333</v>
      </c>
      <c r="N3018" s="329">
        <f t="shared" si="190"/>
        <v>0</v>
      </c>
      <c r="T3018" s="331">
        <v>0</v>
      </c>
      <c r="U3018" s="328">
        <f>VLOOKUP(C3018,METADATA!$J$5:$Q$29,IF(E3018="HI",2,IF(E3018="LO",6,10))+IF(T3018=1,2,IF(D3018=7,1,(IF(WEEKDAY(B3018)=1,2,IF(WEEKDAY(B3018)=7,1,0))))))</f>
        <v>2</v>
      </c>
      <c r="V3018" s="328">
        <f>VLOOKUP(C3018,METADATA!$A$5:$H$29,IF(E3018="HI",2,IF(E3018="LO",6,10))+IF(T3018=1,2,IF(D3018=7,1,(IF(WEEKDAY(B3018)=1,2,IF(WEEKDAY(B3018)=7,1,0))))))</f>
        <v>2</v>
      </c>
    </row>
    <row r="3019" spans="2:22">
      <c r="B3019" s="318">
        <f t="shared" si="187"/>
        <v>46238</v>
      </c>
      <c r="C3019" s="312">
        <v>15</v>
      </c>
      <c r="D3019" s="368">
        <f>IFERROR((INDEX(METADATA!$T$2:$T$20,MATCH(B3019,METADATA!$S$2:$S$20,0))),0)</f>
        <v>0</v>
      </c>
      <c r="E3019" s="312" t="str">
        <f t="shared" si="188"/>
        <v>LO</v>
      </c>
      <c r="F3019" s="369">
        <f>VLOOKUP(C3019,METADATA!$A$5:$H$29,IF(E3019="HI",2,IF(E3019="LO",6,10))+IF(D3019=1,2,IF(D3019=7,1,(IF(WEEKDAY(B3019)=1,2,IF(WEEKDAY(B3019)=7,1,0))))))</f>
        <v>2</v>
      </c>
      <c r="G3019" s="369">
        <f>VLOOKUP(C3019,METADATA!$J$5:$Q$29,IF(E3019="HI",2,IF(E3019="LO",6,10))+IF(D3019=1,2,IF(D3019=7,1,(IF(WEEKDAY(B3019)=1,2,IF(WEEKDAY(B3019)=7,1,0))))))</f>
        <v>2</v>
      </c>
      <c r="H3019" s="370">
        <v>13617.4501953125</v>
      </c>
      <c r="I3019" s="370">
        <v>4556.7349853515625</v>
      </c>
      <c r="M3019" s="371">
        <f t="shared" si="189"/>
        <v>14359.623377670576</v>
      </c>
      <c r="N3019" s="329">
        <f t="shared" si="190"/>
        <v>471.49992675781277</v>
      </c>
      <c r="T3019" s="331">
        <v>0</v>
      </c>
      <c r="U3019" s="328">
        <f>VLOOKUP(C3019,METADATA!$J$5:$Q$29,IF(E3019="HI",2,IF(E3019="LO",6,10))+IF(T3019=1,2,IF(D3019=7,1,(IF(WEEKDAY(B3019)=1,2,IF(WEEKDAY(B3019)=7,1,0))))))</f>
        <v>2</v>
      </c>
      <c r="V3019" s="328">
        <f>VLOOKUP(C3019,METADATA!$A$5:$H$29,IF(E3019="HI",2,IF(E3019="LO",6,10))+IF(T3019=1,2,IF(D3019=7,1,(IF(WEEKDAY(B3019)=1,2,IF(WEEKDAY(B3019)=7,1,0))))))</f>
        <v>2</v>
      </c>
    </row>
    <row r="3020" spans="2:22">
      <c r="B3020" s="318">
        <f t="shared" si="187"/>
        <v>46238</v>
      </c>
      <c r="C3020" s="312">
        <v>16</v>
      </c>
      <c r="D3020" s="368">
        <f>IFERROR((INDEX(METADATA!$T$2:$T$20,MATCH(B3020,METADATA!$S$2:$S$20,0))),0)</f>
        <v>0</v>
      </c>
      <c r="E3020" s="312" t="str">
        <f t="shared" si="188"/>
        <v>LO</v>
      </c>
      <c r="F3020" s="369">
        <f>VLOOKUP(C3020,METADATA!$A$5:$H$29,IF(E3020="HI",2,IF(E3020="LO",6,10))+IF(D3020=1,2,IF(D3020=7,1,(IF(WEEKDAY(B3020)=1,2,IF(WEEKDAY(B3020)=7,1,0))))))</f>
        <v>2</v>
      </c>
      <c r="G3020" s="369">
        <f>VLOOKUP(C3020,METADATA!$J$5:$Q$29,IF(E3020="HI",2,IF(E3020="LO",6,10))+IF(D3020=1,2,IF(D3020=7,1,(IF(WEEKDAY(B3020)=1,2,IF(WEEKDAY(B3020)=7,1,0))))))</f>
        <v>2</v>
      </c>
      <c r="H3020" s="370">
        <v>13467.400024414063</v>
      </c>
      <c r="I3020" s="370">
        <v>4363.5199890136719</v>
      </c>
      <c r="M3020" s="371">
        <f t="shared" si="189"/>
        <v>14156.665218620865</v>
      </c>
      <c r="N3020" s="329">
        <f t="shared" si="190"/>
        <v>323.29998168945349</v>
      </c>
      <c r="T3020" s="331">
        <v>0</v>
      </c>
      <c r="U3020" s="328">
        <f>VLOOKUP(C3020,METADATA!$J$5:$Q$29,IF(E3020="HI",2,IF(E3020="LO",6,10))+IF(T3020=1,2,IF(D3020=7,1,(IF(WEEKDAY(B3020)=1,2,IF(WEEKDAY(B3020)=7,1,0))))))</f>
        <v>2</v>
      </c>
      <c r="V3020" s="328">
        <f>VLOOKUP(C3020,METADATA!$A$5:$H$29,IF(E3020="HI",2,IF(E3020="LO",6,10))+IF(T3020=1,2,IF(D3020=7,1,(IF(WEEKDAY(B3020)=1,2,IF(WEEKDAY(B3020)=7,1,0))))))</f>
        <v>2</v>
      </c>
    </row>
    <row r="3021" spans="2:22">
      <c r="B3021" s="318">
        <f t="shared" si="187"/>
        <v>46238</v>
      </c>
      <c r="C3021" s="312">
        <v>17</v>
      </c>
      <c r="D3021" s="368">
        <f>IFERROR((INDEX(METADATA!$T$2:$T$20,MATCH(B3021,METADATA!$S$2:$S$20,0))),0)</f>
        <v>0</v>
      </c>
      <c r="E3021" s="312" t="str">
        <f t="shared" si="188"/>
        <v>LO</v>
      </c>
      <c r="F3021" s="369">
        <f>VLOOKUP(C3021,METADATA!$A$5:$H$29,IF(E3021="HI",2,IF(E3021="LO",6,10))+IF(D3021=1,2,IF(D3021=7,1,(IF(WEEKDAY(B3021)=1,2,IF(WEEKDAY(B3021)=7,1,0))))))</f>
        <v>2</v>
      </c>
      <c r="G3021" s="369">
        <f>VLOOKUP(C3021,METADATA!$J$5:$Q$29,IF(E3021="HI",2,IF(E3021="LO",6,10))+IF(D3021=1,2,IF(D3021=7,1,(IF(WEEKDAY(B3021)=1,2,IF(WEEKDAY(B3021)=7,1,0))))))</f>
        <v>2</v>
      </c>
      <c r="H3021" s="370">
        <v>13358.699462890625</v>
      </c>
      <c r="I3021" s="370">
        <v>4325.0749816894531</v>
      </c>
      <c r="M3021" s="371">
        <f t="shared" si="189"/>
        <v>14041.407512677293</v>
      </c>
      <c r="N3021" s="329">
        <f t="shared" si="190"/>
        <v>317.46514282226599</v>
      </c>
      <c r="T3021" s="331">
        <v>0</v>
      </c>
      <c r="U3021" s="328">
        <f>VLOOKUP(C3021,METADATA!$J$5:$Q$29,IF(E3021="HI",2,IF(E3021="LO",6,10))+IF(T3021=1,2,IF(D3021=7,1,(IF(WEEKDAY(B3021)=1,2,IF(WEEKDAY(B3021)=7,1,0))))))</f>
        <v>2</v>
      </c>
      <c r="V3021" s="328">
        <f>VLOOKUP(C3021,METADATA!$A$5:$H$29,IF(E3021="HI",2,IF(E3021="LO",6,10))+IF(T3021=1,2,IF(D3021=7,1,(IF(WEEKDAY(B3021)=1,2,IF(WEEKDAY(B3021)=7,1,0))))))</f>
        <v>2</v>
      </c>
    </row>
    <row r="3022" spans="2:22">
      <c r="B3022" s="318">
        <f t="shared" si="187"/>
        <v>46238</v>
      </c>
      <c r="C3022" s="312">
        <v>18</v>
      </c>
      <c r="D3022" s="368">
        <f>IFERROR((INDEX(METADATA!$T$2:$T$20,MATCH(B3022,METADATA!$S$2:$S$20,0))),0)</f>
        <v>0</v>
      </c>
      <c r="E3022" s="312" t="str">
        <f t="shared" si="188"/>
        <v>LO</v>
      </c>
      <c r="F3022" s="369">
        <f>VLOOKUP(C3022,METADATA!$A$5:$H$29,IF(E3022="HI",2,IF(E3022="LO",6,10))+IF(D3022=1,2,IF(D3022=7,1,(IF(WEEKDAY(B3022)=1,2,IF(WEEKDAY(B3022)=7,1,0))))))</f>
        <v>1</v>
      </c>
      <c r="G3022" s="369">
        <f>VLOOKUP(C3022,METADATA!$J$5:$Q$29,IF(E3022="HI",2,IF(E3022="LO",6,10))+IF(D3022=1,2,IF(D3022=7,1,(IF(WEEKDAY(B3022)=1,2,IF(WEEKDAY(B3022)=7,1,0))))))</f>
        <v>1</v>
      </c>
      <c r="H3022" s="370">
        <v>13469.899963378906</v>
      </c>
      <c r="I3022" s="370">
        <v>4356.3350524902344</v>
      </c>
      <c r="M3022" s="371">
        <f t="shared" si="189"/>
        <v>14156.830864038397</v>
      </c>
      <c r="N3022" s="329">
        <f t="shared" si="190"/>
        <v>315.36506347656268</v>
      </c>
      <c r="T3022" s="331">
        <v>0</v>
      </c>
      <c r="U3022" s="328">
        <f>VLOOKUP(C3022,METADATA!$J$5:$Q$29,IF(E3022="HI",2,IF(E3022="LO",6,10))+IF(T3022=1,2,IF(D3022=7,1,(IF(WEEKDAY(B3022)=1,2,IF(WEEKDAY(B3022)=7,1,0))))))</f>
        <v>1</v>
      </c>
      <c r="V3022" s="328">
        <f>VLOOKUP(C3022,METADATA!$A$5:$H$29,IF(E3022="HI",2,IF(E3022="LO",6,10))+IF(T3022=1,2,IF(D3022=7,1,(IF(WEEKDAY(B3022)=1,2,IF(WEEKDAY(B3022)=7,1,0))))))</f>
        <v>1</v>
      </c>
    </row>
    <row r="3023" spans="2:22">
      <c r="B3023" s="318">
        <f t="shared" si="187"/>
        <v>46238</v>
      </c>
      <c r="C3023" s="312">
        <v>19</v>
      </c>
      <c r="D3023" s="368">
        <f>IFERROR((INDEX(METADATA!$T$2:$T$20,MATCH(B3023,METADATA!$S$2:$S$20,0))),0)</f>
        <v>0</v>
      </c>
      <c r="E3023" s="312" t="str">
        <f t="shared" si="188"/>
        <v>LO</v>
      </c>
      <c r="F3023" s="369">
        <f>VLOOKUP(C3023,METADATA!$A$5:$H$29,IF(E3023="HI",2,IF(E3023="LO",6,10))+IF(D3023=1,2,IF(D3023=7,1,(IF(WEEKDAY(B3023)=1,2,IF(WEEKDAY(B3023)=7,1,0))))))</f>
        <v>1</v>
      </c>
      <c r="G3023" s="369">
        <f>VLOOKUP(C3023,METADATA!$J$5:$Q$29,IF(E3023="HI",2,IF(E3023="LO",6,10))+IF(D3023=1,2,IF(D3023=7,1,(IF(WEEKDAY(B3023)=1,2,IF(WEEKDAY(B3023)=7,1,0))))))</f>
        <v>1</v>
      </c>
      <c r="H3023" s="370">
        <v>13271.39990234375</v>
      </c>
      <c r="I3023" s="370">
        <v>4355.3999938964844</v>
      </c>
      <c r="M3023" s="371">
        <f t="shared" si="189"/>
        <v>13967.804568892107</v>
      </c>
      <c r="N3023" s="329">
        <f t="shared" si="190"/>
        <v>373.98002319335956</v>
      </c>
      <c r="T3023" s="331">
        <v>0</v>
      </c>
      <c r="U3023" s="328">
        <f>VLOOKUP(C3023,METADATA!$J$5:$Q$29,IF(E3023="HI",2,IF(E3023="LO",6,10))+IF(T3023=1,2,IF(D3023=7,1,(IF(WEEKDAY(B3023)=1,2,IF(WEEKDAY(B3023)=7,1,0))))))</f>
        <v>1</v>
      </c>
      <c r="V3023" s="328">
        <f>VLOOKUP(C3023,METADATA!$A$5:$H$29,IF(E3023="HI",2,IF(E3023="LO",6,10))+IF(T3023=1,2,IF(D3023=7,1,(IF(WEEKDAY(B3023)=1,2,IF(WEEKDAY(B3023)=7,1,0))))))</f>
        <v>1</v>
      </c>
    </row>
    <row r="3024" spans="2:22">
      <c r="B3024" s="318">
        <f t="shared" si="187"/>
        <v>46238</v>
      </c>
      <c r="C3024" s="312">
        <v>20</v>
      </c>
      <c r="D3024" s="368">
        <f>IFERROR((INDEX(METADATA!$T$2:$T$20,MATCH(B3024,METADATA!$S$2:$S$20,0))),0)</f>
        <v>0</v>
      </c>
      <c r="E3024" s="312" t="str">
        <f t="shared" si="188"/>
        <v>LO</v>
      </c>
      <c r="F3024" s="369">
        <f>VLOOKUP(C3024,METADATA!$A$5:$H$29,IF(E3024="HI",2,IF(E3024="LO",6,10))+IF(D3024=1,2,IF(D3024=7,1,(IF(WEEKDAY(B3024)=1,2,IF(WEEKDAY(B3024)=7,1,0))))))</f>
        <v>1</v>
      </c>
      <c r="G3024" s="369">
        <f>VLOOKUP(C3024,METADATA!$J$5:$Q$29,IF(E3024="HI",2,IF(E3024="LO",6,10))+IF(D3024=1,2,IF(D3024=7,1,(IF(WEEKDAY(B3024)=1,2,IF(WEEKDAY(B3024)=7,1,0))))))</f>
        <v>1</v>
      </c>
      <c r="H3024" s="370">
        <v>13258.074829101563</v>
      </c>
      <c r="I3024" s="370">
        <v>4187.7099914550781</v>
      </c>
      <c r="M3024" s="371">
        <f t="shared" si="189"/>
        <v>13903.721197815681</v>
      </c>
      <c r="N3024" s="329">
        <f t="shared" si="190"/>
        <v>210.28754272460947</v>
      </c>
      <c r="T3024" s="331">
        <v>0</v>
      </c>
      <c r="U3024" s="328">
        <f>VLOOKUP(C3024,METADATA!$J$5:$Q$29,IF(E3024="HI",2,IF(E3024="LO",6,10))+IF(T3024=1,2,IF(D3024=7,1,(IF(WEEKDAY(B3024)=1,2,IF(WEEKDAY(B3024)=7,1,0))))))</f>
        <v>1</v>
      </c>
      <c r="V3024" s="328">
        <f>VLOOKUP(C3024,METADATA!$A$5:$H$29,IF(E3024="HI",2,IF(E3024="LO",6,10))+IF(T3024=1,2,IF(D3024=7,1,(IF(WEEKDAY(B3024)=1,2,IF(WEEKDAY(B3024)=7,1,0))))))</f>
        <v>1</v>
      </c>
    </row>
    <row r="3025" spans="2:22">
      <c r="B3025" s="318">
        <f t="shared" si="187"/>
        <v>46238</v>
      </c>
      <c r="C3025" s="312">
        <v>21</v>
      </c>
      <c r="D3025" s="368">
        <f>IFERROR((INDEX(METADATA!$T$2:$T$20,MATCH(B3025,METADATA!$S$2:$S$20,0))),0)</f>
        <v>0</v>
      </c>
      <c r="E3025" s="312" t="str">
        <f t="shared" si="188"/>
        <v>LO</v>
      </c>
      <c r="F3025" s="369">
        <f>VLOOKUP(C3025,METADATA!$A$5:$H$29,IF(E3025="HI",2,IF(E3025="LO",6,10))+IF(D3025=1,2,IF(D3025=7,1,(IF(WEEKDAY(B3025)=1,2,IF(WEEKDAY(B3025)=7,1,0))))))</f>
        <v>2</v>
      </c>
      <c r="G3025" s="369">
        <f>VLOOKUP(C3025,METADATA!$J$5:$Q$29,IF(E3025="HI",2,IF(E3025="LO",6,10))+IF(D3025=1,2,IF(D3025=7,1,(IF(WEEKDAY(B3025)=1,2,IF(WEEKDAY(B3025)=7,1,0))))))</f>
        <v>2</v>
      </c>
      <c r="H3025" s="370">
        <v>11645.950134277344</v>
      </c>
      <c r="I3025" s="370">
        <v>3179.6025390625</v>
      </c>
      <c r="M3025" s="371">
        <f t="shared" si="189"/>
        <v>12072.200579699096</v>
      </c>
      <c r="N3025" s="329">
        <f t="shared" si="190"/>
        <v>0</v>
      </c>
      <c r="T3025" s="331">
        <v>0</v>
      </c>
      <c r="U3025" s="328">
        <f>VLOOKUP(C3025,METADATA!$J$5:$Q$29,IF(E3025="HI",2,IF(E3025="LO",6,10))+IF(T3025=1,2,IF(D3025=7,1,(IF(WEEKDAY(B3025)=1,2,IF(WEEKDAY(B3025)=7,1,0))))))</f>
        <v>2</v>
      </c>
      <c r="V3025" s="328">
        <f>VLOOKUP(C3025,METADATA!$A$5:$H$29,IF(E3025="HI",2,IF(E3025="LO",6,10))+IF(T3025=1,2,IF(D3025=7,1,(IF(WEEKDAY(B3025)=1,2,IF(WEEKDAY(B3025)=7,1,0))))))</f>
        <v>2</v>
      </c>
    </row>
    <row r="3026" spans="2:22">
      <c r="B3026" s="318">
        <f t="shared" si="187"/>
        <v>46238</v>
      </c>
      <c r="C3026" s="312">
        <v>22</v>
      </c>
      <c r="D3026" s="368">
        <f>IFERROR((INDEX(METADATA!$T$2:$T$20,MATCH(B3026,METADATA!$S$2:$S$20,0))),0)</f>
        <v>0</v>
      </c>
      <c r="E3026" s="312" t="str">
        <f t="shared" si="188"/>
        <v>LO</v>
      </c>
      <c r="F3026" s="369">
        <f>VLOOKUP(C3026,METADATA!$A$5:$H$29,IF(E3026="HI",2,IF(E3026="LO",6,10))+IF(D3026=1,2,IF(D3026=7,1,(IF(WEEKDAY(B3026)=1,2,IF(WEEKDAY(B3026)=7,1,0))))))</f>
        <v>3</v>
      </c>
      <c r="G3026" s="369">
        <f>VLOOKUP(C3026,METADATA!$J$5:$Q$29,IF(E3026="HI",2,IF(E3026="LO",6,10))+IF(D3026=1,2,IF(D3026=7,1,(IF(WEEKDAY(B3026)=1,2,IF(WEEKDAY(B3026)=7,1,0))))))</f>
        <v>3</v>
      </c>
      <c r="H3026" s="370">
        <v>12256.599731445313</v>
      </c>
      <c r="I3026" s="370">
        <v>3638.8550109863281</v>
      </c>
      <c r="M3026" s="371">
        <f t="shared" si="189"/>
        <v>12785.362832858738</v>
      </c>
      <c r="N3026" s="329">
        <f t="shared" si="190"/>
        <v>0</v>
      </c>
      <c r="T3026" s="331">
        <v>0</v>
      </c>
      <c r="U3026" s="328">
        <f>VLOOKUP(C3026,METADATA!$J$5:$Q$29,IF(E3026="HI",2,IF(E3026="LO",6,10))+IF(T3026=1,2,IF(D3026=7,1,(IF(WEEKDAY(B3026)=1,2,IF(WEEKDAY(B3026)=7,1,0))))))</f>
        <v>3</v>
      </c>
      <c r="V3026" s="328">
        <f>VLOOKUP(C3026,METADATA!$A$5:$H$29,IF(E3026="HI",2,IF(E3026="LO",6,10))+IF(T3026=1,2,IF(D3026=7,1,(IF(WEEKDAY(B3026)=1,2,IF(WEEKDAY(B3026)=7,1,0))))))</f>
        <v>3</v>
      </c>
    </row>
    <row r="3027" spans="2:22">
      <c r="B3027" s="318">
        <f t="shared" si="187"/>
        <v>46238</v>
      </c>
      <c r="C3027" s="312">
        <v>23</v>
      </c>
      <c r="D3027" s="368">
        <f>IFERROR((INDEX(METADATA!$T$2:$T$20,MATCH(B3027,METADATA!$S$2:$S$20,0))),0)</f>
        <v>0</v>
      </c>
      <c r="E3027" s="312" t="str">
        <f t="shared" si="188"/>
        <v>LO</v>
      </c>
      <c r="F3027" s="369">
        <f>VLOOKUP(C3027,METADATA!$A$5:$H$29,IF(E3027="HI",2,IF(E3027="LO",6,10))+IF(D3027=1,2,IF(D3027=7,1,(IF(WEEKDAY(B3027)=1,2,IF(WEEKDAY(B3027)=7,1,0))))))</f>
        <v>3</v>
      </c>
      <c r="G3027" s="369">
        <f>VLOOKUP(C3027,METADATA!$J$5:$Q$29,IF(E3027="HI",2,IF(E3027="LO",6,10))+IF(D3027=1,2,IF(D3027=7,1,(IF(WEEKDAY(B3027)=1,2,IF(WEEKDAY(B3027)=7,1,0))))))</f>
        <v>3</v>
      </c>
      <c r="H3027" s="370">
        <v>13555.875244140625</v>
      </c>
      <c r="I3027" s="370">
        <v>4435.6200256347656</v>
      </c>
      <c r="M3027" s="371">
        <f t="shared" si="189"/>
        <v>14263.116021631346</v>
      </c>
      <c r="N3027" s="329">
        <f t="shared" si="190"/>
        <v>368.85745239257813</v>
      </c>
      <c r="T3027" s="331">
        <v>0</v>
      </c>
      <c r="U3027" s="328">
        <f>VLOOKUP(C3027,METADATA!$J$5:$Q$29,IF(E3027="HI",2,IF(E3027="LO",6,10))+IF(T3027=1,2,IF(D3027=7,1,(IF(WEEKDAY(B3027)=1,2,IF(WEEKDAY(B3027)=7,1,0))))))</f>
        <v>3</v>
      </c>
      <c r="V3027" s="328">
        <f>VLOOKUP(C3027,METADATA!$A$5:$H$29,IF(E3027="HI",2,IF(E3027="LO",6,10))+IF(T3027=1,2,IF(D3027=7,1,(IF(WEEKDAY(B3027)=1,2,IF(WEEKDAY(B3027)=7,1,0))))))</f>
        <v>3</v>
      </c>
    </row>
    <row r="3028" spans="2:22">
      <c r="B3028" s="318">
        <f t="shared" si="187"/>
        <v>46239</v>
      </c>
      <c r="C3028" s="312">
        <v>0</v>
      </c>
      <c r="D3028" s="368">
        <f>IFERROR((INDEX(METADATA!$T$2:$T$20,MATCH(B3028,METADATA!$S$2:$S$20,0))),0)</f>
        <v>0</v>
      </c>
      <c r="E3028" s="312" t="str">
        <f t="shared" si="188"/>
        <v>LO</v>
      </c>
      <c r="F3028" s="369">
        <f>VLOOKUP(C3028,METADATA!$A$5:$H$29,IF(E3028="HI",2,IF(E3028="LO",6,10))+IF(D3028=1,2,IF(D3028=7,1,(IF(WEEKDAY(B3028)=1,2,IF(WEEKDAY(B3028)=7,1,0))))))</f>
        <v>3</v>
      </c>
      <c r="G3028" s="369">
        <f>VLOOKUP(C3028,METADATA!$J$5:$Q$29,IF(E3028="HI",2,IF(E3028="LO",6,10))+IF(D3028=1,2,IF(D3028=7,1,(IF(WEEKDAY(B3028)=1,2,IF(WEEKDAY(B3028)=7,1,0))))))</f>
        <v>3</v>
      </c>
      <c r="H3028" s="370">
        <v>13534.900146484375</v>
      </c>
      <c r="I3028" s="370">
        <v>4218.9750366210938</v>
      </c>
      <c r="M3028" s="371">
        <f t="shared" si="189"/>
        <v>14177.209610319469</v>
      </c>
      <c r="N3028" s="329">
        <f t="shared" si="190"/>
        <v>158.50499267578152</v>
      </c>
      <c r="T3028" s="331">
        <v>0</v>
      </c>
      <c r="U3028" s="328">
        <f>VLOOKUP(C3028,METADATA!$J$5:$Q$29,IF(E3028="HI",2,IF(E3028="LO",6,10))+IF(T3028=1,2,IF(D3028=7,1,(IF(WEEKDAY(B3028)=1,2,IF(WEEKDAY(B3028)=7,1,0))))))</f>
        <v>3</v>
      </c>
      <c r="V3028" s="328">
        <f>VLOOKUP(C3028,METADATA!$A$5:$H$29,IF(E3028="HI",2,IF(E3028="LO",6,10))+IF(T3028=1,2,IF(D3028=7,1,(IF(WEEKDAY(B3028)=1,2,IF(WEEKDAY(B3028)=7,1,0))))))</f>
        <v>3</v>
      </c>
    </row>
    <row r="3029" spans="2:22">
      <c r="B3029" s="318">
        <f t="shared" si="187"/>
        <v>46239</v>
      </c>
      <c r="C3029" s="312">
        <v>1</v>
      </c>
      <c r="D3029" s="368">
        <f>IFERROR((INDEX(METADATA!$T$2:$T$20,MATCH(B3029,METADATA!$S$2:$S$20,0))),0)</f>
        <v>0</v>
      </c>
      <c r="E3029" s="312" t="str">
        <f t="shared" si="188"/>
        <v>LO</v>
      </c>
      <c r="F3029" s="369">
        <f>VLOOKUP(C3029,METADATA!$A$5:$H$29,IF(E3029="HI",2,IF(E3029="LO",6,10))+IF(D3029=1,2,IF(D3029=7,1,(IF(WEEKDAY(B3029)=1,2,IF(WEEKDAY(B3029)=7,1,0))))))</f>
        <v>3</v>
      </c>
      <c r="G3029" s="369">
        <f>VLOOKUP(C3029,METADATA!$J$5:$Q$29,IF(E3029="HI",2,IF(E3029="LO",6,10))+IF(D3029=1,2,IF(D3029=7,1,(IF(WEEKDAY(B3029)=1,2,IF(WEEKDAY(B3029)=7,1,0))))))</f>
        <v>3</v>
      </c>
      <c r="H3029" s="370">
        <v>13444.575073242188</v>
      </c>
      <c r="I3029" s="370">
        <v>4219.6749877929688</v>
      </c>
      <c r="M3029" s="371">
        <f t="shared" si="189"/>
        <v>14091.212009711966</v>
      </c>
      <c r="N3029" s="329">
        <f t="shared" si="190"/>
        <v>186.30246582031259</v>
      </c>
      <c r="T3029" s="331">
        <v>0</v>
      </c>
      <c r="U3029" s="328">
        <f>VLOOKUP(C3029,METADATA!$J$5:$Q$29,IF(E3029="HI",2,IF(E3029="LO",6,10))+IF(T3029=1,2,IF(D3029=7,1,(IF(WEEKDAY(B3029)=1,2,IF(WEEKDAY(B3029)=7,1,0))))))</f>
        <v>3</v>
      </c>
      <c r="V3029" s="328">
        <f>VLOOKUP(C3029,METADATA!$A$5:$H$29,IF(E3029="HI",2,IF(E3029="LO",6,10))+IF(T3029=1,2,IF(D3029=7,1,(IF(WEEKDAY(B3029)=1,2,IF(WEEKDAY(B3029)=7,1,0))))))</f>
        <v>3</v>
      </c>
    </row>
    <row r="3030" spans="2:22">
      <c r="B3030" s="318">
        <f t="shared" si="187"/>
        <v>46239</v>
      </c>
      <c r="C3030" s="312">
        <v>2</v>
      </c>
      <c r="D3030" s="368">
        <f>IFERROR((INDEX(METADATA!$T$2:$T$20,MATCH(B3030,METADATA!$S$2:$S$20,0))),0)</f>
        <v>0</v>
      </c>
      <c r="E3030" s="312" t="str">
        <f t="shared" si="188"/>
        <v>LO</v>
      </c>
      <c r="F3030" s="369">
        <f>VLOOKUP(C3030,METADATA!$A$5:$H$29,IF(E3030="HI",2,IF(E3030="LO",6,10))+IF(D3030=1,2,IF(D3030=7,1,(IF(WEEKDAY(B3030)=1,2,IF(WEEKDAY(B3030)=7,1,0))))))</f>
        <v>3</v>
      </c>
      <c r="G3030" s="369">
        <f>VLOOKUP(C3030,METADATA!$J$5:$Q$29,IF(E3030="HI",2,IF(E3030="LO",6,10))+IF(D3030=1,2,IF(D3030=7,1,(IF(WEEKDAY(B3030)=1,2,IF(WEEKDAY(B3030)=7,1,0))))))</f>
        <v>3</v>
      </c>
      <c r="H3030" s="370">
        <v>13468.38232421875</v>
      </c>
      <c r="I3030" s="370">
        <v>4413.8650512695313</v>
      </c>
      <c r="M3030" s="371">
        <f t="shared" si="189"/>
        <v>14173.197491114934</v>
      </c>
      <c r="N3030" s="329">
        <f t="shared" si="190"/>
        <v>373.35035400390643</v>
      </c>
      <c r="T3030" s="331">
        <v>0</v>
      </c>
      <c r="U3030" s="328">
        <f>VLOOKUP(C3030,METADATA!$J$5:$Q$29,IF(E3030="HI",2,IF(E3030="LO",6,10))+IF(T3030=1,2,IF(D3030=7,1,(IF(WEEKDAY(B3030)=1,2,IF(WEEKDAY(B3030)=7,1,0))))))</f>
        <v>3</v>
      </c>
      <c r="V3030" s="328">
        <f>VLOOKUP(C3030,METADATA!$A$5:$H$29,IF(E3030="HI",2,IF(E3030="LO",6,10))+IF(T3030=1,2,IF(D3030=7,1,(IF(WEEKDAY(B3030)=1,2,IF(WEEKDAY(B3030)=7,1,0))))))</f>
        <v>3</v>
      </c>
    </row>
    <row r="3031" spans="2:22">
      <c r="B3031" s="318">
        <f t="shared" si="187"/>
        <v>46239</v>
      </c>
      <c r="C3031" s="312">
        <v>3</v>
      </c>
      <c r="D3031" s="368">
        <f>IFERROR((INDEX(METADATA!$T$2:$T$20,MATCH(B3031,METADATA!$S$2:$S$20,0))),0)</f>
        <v>0</v>
      </c>
      <c r="E3031" s="312" t="str">
        <f t="shared" si="188"/>
        <v>LO</v>
      </c>
      <c r="F3031" s="369">
        <f>VLOOKUP(C3031,METADATA!$A$5:$H$29,IF(E3031="HI",2,IF(E3031="LO",6,10))+IF(D3031=1,2,IF(D3031=7,1,(IF(WEEKDAY(B3031)=1,2,IF(WEEKDAY(B3031)=7,1,0))))))</f>
        <v>3</v>
      </c>
      <c r="G3031" s="369">
        <f>VLOOKUP(C3031,METADATA!$J$5:$Q$29,IF(E3031="HI",2,IF(E3031="LO",6,10))+IF(D3031=1,2,IF(D3031=7,1,(IF(WEEKDAY(B3031)=1,2,IF(WEEKDAY(B3031)=7,1,0))))))</f>
        <v>3</v>
      </c>
      <c r="H3031" s="370">
        <v>13414.925170898438</v>
      </c>
      <c r="I3031" s="370">
        <v>4411.2849731445313</v>
      </c>
      <c r="M3031" s="371">
        <f t="shared" si="189"/>
        <v>14121.602333131152</v>
      </c>
      <c r="N3031" s="329">
        <f t="shared" si="190"/>
        <v>386.80742187500027</v>
      </c>
      <c r="T3031" s="331">
        <v>0</v>
      </c>
      <c r="U3031" s="328">
        <f>VLOOKUP(C3031,METADATA!$J$5:$Q$29,IF(E3031="HI",2,IF(E3031="LO",6,10))+IF(T3031=1,2,IF(D3031=7,1,(IF(WEEKDAY(B3031)=1,2,IF(WEEKDAY(B3031)=7,1,0))))))</f>
        <v>3</v>
      </c>
      <c r="V3031" s="328">
        <f>VLOOKUP(C3031,METADATA!$A$5:$H$29,IF(E3031="HI",2,IF(E3031="LO",6,10))+IF(T3031=1,2,IF(D3031=7,1,(IF(WEEKDAY(B3031)=1,2,IF(WEEKDAY(B3031)=7,1,0))))))</f>
        <v>3</v>
      </c>
    </row>
    <row r="3032" spans="2:22">
      <c r="B3032" s="318">
        <f t="shared" si="187"/>
        <v>46239</v>
      </c>
      <c r="C3032" s="312">
        <v>4</v>
      </c>
      <c r="D3032" s="368">
        <f>IFERROR((INDEX(METADATA!$T$2:$T$20,MATCH(B3032,METADATA!$S$2:$S$20,0))),0)</f>
        <v>0</v>
      </c>
      <c r="E3032" s="312" t="str">
        <f t="shared" si="188"/>
        <v>LO</v>
      </c>
      <c r="F3032" s="369">
        <f>VLOOKUP(C3032,METADATA!$A$5:$H$29,IF(E3032="HI",2,IF(E3032="LO",6,10))+IF(D3032=1,2,IF(D3032=7,1,(IF(WEEKDAY(B3032)=1,2,IF(WEEKDAY(B3032)=7,1,0))))))</f>
        <v>3</v>
      </c>
      <c r="G3032" s="369">
        <f>VLOOKUP(C3032,METADATA!$J$5:$Q$29,IF(E3032="HI",2,IF(E3032="LO",6,10))+IF(D3032=1,2,IF(D3032=7,1,(IF(WEEKDAY(B3032)=1,2,IF(WEEKDAY(B3032)=7,1,0))))))</f>
        <v>3</v>
      </c>
      <c r="H3032" s="370">
        <v>13415.949523925781</v>
      </c>
      <c r="I3032" s="370">
        <v>4152.9849243164063</v>
      </c>
      <c r="M3032" s="371">
        <f t="shared" si="189"/>
        <v>14044.037361461402</v>
      </c>
      <c r="N3032" s="329">
        <f t="shared" si="190"/>
        <v>128.20006713867224</v>
      </c>
      <c r="T3032" s="331">
        <v>0</v>
      </c>
      <c r="U3032" s="328">
        <f>VLOOKUP(C3032,METADATA!$J$5:$Q$29,IF(E3032="HI",2,IF(E3032="LO",6,10))+IF(T3032=1,2,IF(D3032=7,1,(IF(WEEKDAY(B3032)=1,2,IF(WEEKDAY(B3032)=7,1,0))))))</f>
        <v>3</v>
      </c>
      <c r="V3032" s="328">
        <f>VLOOKUP(C3032,METADATA!$A$5:$H$29,IF(E3032="HI",2,IF(E3032="LO",6,10))+IF(T3032=1,2,IF(D3032=7,1,(IF(WEEKDAY(B3032)=1,2,IF(WEEKDAY(B3032)=7,1,0))))))</f>
        <v>3</v>
      </c>
    </row>
    <row r="3033" spans="2:22">
      <c r="B3033" s="318">
        <f t="shared" si="187"/>
        <v>46239</v>
      </c>
      <c r="C3033" s="312">
        <v>5</v>
      </c>
      <c r="D3033" s="368">
        <f>IFERROR((INDEX(METADATA!$T$2:$T$20,MATCH(B3033,METADATA!$S$2:$S$20,0))),0)</f>
        <v>0</v>
      </c>
      <c r="E3033" s="312" t="str">
        <f t="shared" si="188"/>
        <v>LO</v>
      </c>
      <c r="F3033" s="369">
        <f>VLOOKUP(C3033,METADATA!$A$5:$H$29,IF(E3033="HI",2,IF(E3033="LO",6,10))+IF(D3033=1,2,IF(D3033=7,1,(IF(WEEKDAY(B3033)=1,2,IF(WEEKDAY(B3033)=7,1,0))))))</f>
        <v>3</v>
      </c>
      <c r="G3033" s="369">
        <f>VLOOKUP(C3033,METADATA!$J$5:$Q$29,IF(E3033="HI",2,IF(E3033="LO",6,10))+IF(D3033=1,2,IF(D3033=7,1,(IF(WEEKDAY(B3033)=1,2,IF(WEEKDAY(B3033)=7,1,0))))))</f>
        <v>3</v>
      </c>
      <c r="H3033" s="370">
        <v>13429.824768066406</v>
      </c>
      <c r="I3033" s="370">
        <v>4267.2449951171875</v>
      </c>
      <c r="M3033" s="371">
        <f t="shared" si="189"/>
        <v>14091.471645975183</v>
      </c>
      <c r="N3033" s="329">
        <f t="shared" si="190"/>
        <v>238.2975646972659</v>
      </c>
      <c r="T3033" s="331">
        <v>0</v>
      </c>
      <c r="U3033" s="328">
        <f>VLOOKUP(C3033,METADATA!$J$5:$Q$29,IF(E3033="HI",2,IF(E3033="LO",6,10))+IF(T3033=1,2,IF(D3033=7,1,(IF(WEEKDAY(B3033)=1,2,IF(WEEKDAY(B3033)=7,1,0))))))</f>
        <v>3</v>
      </c>
      <c r="V3033" s="328">
        <f>VLOOKUP(C3033,METADATA!$A$5:$H$29,IF(E3033="HI",2,IF(E3033="LO",6,10))+IF(T3033=1,2,IF(D3033=7,1,(IF(WEEKDAY(B3033)=1,2,IF(WEEKDAY(B3033)=7,1,0))))))</f>
        <v>3</v>
      </c>
    </row>
    <row r="3034" spans="2:22">
      <c r="B3034" s="318">
        <f t="shared" si="187"/>
        <v>46239</v>
      </c>
      <c r="C3034" s="312">
        <v>6</v>
      </c>
      <c r="D3034" s="368">
        <f>IFERROR((INDEX(METADATA!$T$2:$T$20,MATCH(B3034,METADATA!$S$2:$S$20,0))),0)</f>
        <v>0</v>
      </c>
      <c r="E3034" s="312" t="str">
        <f t="shared" si="188"/>
        <v>LO</v>
      </c>
      <c r="F3034" s="369">
        <f>VLOOKUP(C3034,METADATA!$A$5:$H$29,IF(E3034="HI",2,IF(E3034="LO",6,10))+IF(D3034=1,2,IF(D3034=7,1,(IF(WEEKDAY(B3034)=1,2,IF(WEEKDAY(B3034)=7,1,0))))))</f>
        <v>2</v>
      </c>
      <c r="G3034" s="369">
        <f>VLOOKUP(C3034,METADATA!$J$5:$Q$29,IF(E3034="HI",2,IF(E3034="LO",6,10))+IF(D3034=1,2,IF(D3034=7,1,(IF(WEEKDAY(B3034)=1,2,IF(WEEKDAY(B3034)=7,1,0))))))</f>
        <v>2</v>
      </c>
      <c r="H3034" s="370">
        <v>13370.074584960938</v>
      </c>
      <c r="I3034" s="370">
        <v>4259.0848999023438</v>
      </c>
      <c r="M3034" s="371">
        <f t="shared" si="189"/>
        <v>14032.059670340435</v>
      </c>
      <c r="N3034" s="329">
        <f t="shared" si="190"/>
        <v>248.06252441406286</v>
      </c>
      <c r="T3034" s="331">
        <v>0</v>
      </c>
      <c r="U3034" s="328">
        <f>VLOOKUP(C3034,METADATA!$J$5:$Q$29,IF(E3034="HI",2,IF(E3034="LO",6,10))+IF(T3034=1,2,IF(D3034=7,1,(IF(WEEKDAY(B3034)=1,2,IF(WEEKDAY(B3034)=7,1,0))))))</f>
        <v>2</v>
      </c>
      <c r="V3034" s="328">
        <f>VLOOKUP(C3034,METADATA!$A$5:$H$29,IF(E3034="HI",2,IF(E3034="LO",6,10))+IF(T3034=1,2,IF(D3034=7,1,(IF(WEEKDAY(B3034)=1,2,IF(WEEKDAY(B3034)=7,1,0))))))</f>
        <v>2</v>
      </c>
    </row>
    <row r="3035" spans="2:22">
      <c r="B3035" s="318">
        <f t="shared" si="187"/>
        <v>46239</v>
      </c>
      <c r="C3035" s="312">
        <v>7</v>
      </c>
      <c r="D3035" s="368">
        <f>IFERROR((INDEX(METADATA!$T$2:$T$20,MATCH(B3035,METADATA!$S$2:$S$20,0))),0)</f>
        <v>0</v>
      </c>
      <c r="E3035" s="312" t="str">
        <f t="shared" si="188"/>
        <v>LO</v>
      </c>
      <c r="F3035" s="369">
        <f>VLOOKUP(C3035,METADATA!$A$5:$H$29,IF(E3035="HI",2,IF(E3035="LO",6,10))+IF(D3035=1,2,IF(D3035=7,1,(IF(WEEKDAY(B3035)=1,2,IF(WEEKDAY(B3035)=7,1,0))))))</f>
        <v>1</v>
      </c>
      <c r="G3035" s="369">
        <f>VLOOKUP(C3035,METADATA!$J$5:$Q$29,IF(E3035="HI",2,IF(E3035="LO",6,10))+IF(D3035=1,2,IF(D3035=7,1,(IF(WEEKDAY(B3035)=1,2,IF(WEEKDAY(B3035)=7,1,0))))))</f>
        <v>1</v>
      </c>
      <c r="H3035" s="370">
        <v>13516.100402832031</v>
      </c>
      <c r="I3035" s="370">
        <v>4400.4849548339844</v>
      </c>
      <c r="M3035" s="371">
        <f t="shared" si="189"/>
        <v>14214.402482593367</v>
      </c>
      <c r="N3035" s="329">
        <f t="shared" si="190"/>
        <v>345.65483398437527</v>
      </c>
      <c r="T3035" s="331">
        <v>0</v>
      </c>
      <c r="U3035" s="328">
        <f>VLOOKUP(C3035,METADATA!$J$5:$Q$29,IF(E3035="HI",2,IF(E3035="LO",6,10))+IF(T3035=1,2,IF(D3035=7,1,(IF(WEEKDAY(B3035)=1,2,IF(WEEKDAY(B3035)=7,1,0))))))</f>
        <v>1</v>
      </c>
      <c r="V3035" s="328">
        <f>VLOOKUP(C3035,METADATA!$A$5:$H$29,IF(E3035="HI",2,IF(E3035="LO",6,10))+IF(T3035=1,2,IF(D3035=7,1,(IF(WEEKDAY(B3035)=1,2,IF(WEEKDAY(B3035)=7,1,0))))))</f>
        <v>1</v>
      </c>
    </row>
    <row r="3036" spans="2:22">
      <c r="B3036" s="318">
        <f t="shared" ref="B3036:B3099" si="191">B3012+1</f>
        <v>46239</v>
      </c>
      <c r="C3036" s="312">
        <v>8</v>
      </c>
      <c r="D3036" s="368">
        <f>IFERROR((INDEX(METADATA!$T$2:$T$20,MATCH(B3036,METADATA!$S$2:$S$20,0))),0)</f>
        <v>0</v>
      </c>
      <c r="E3036" s="312" t="str">
        <f t="shared" si="188"/>
        <v>LO</v>
      </c>
      <c r="F3036" s="369">
        <f>VLOOKUP(C3036,METADATA!$A$5:$H$29,IF(E3036="HI",2,IF(E3036="LO",6,10))+IF(D3036=1,2,IF(D3036=7,1,(IF(WEEKDAY(B3036)=1,2,IF(WEEKDAY(B3036)=7,1,0))))))</f>
        <v>1</v>
      </c>
      <c r="G3036" s="369">
        <f>VLOOKUP(C3036,METADATA!$J$5:$Q$29,IF(E3036="HI",2,IF(E3036="LO",6,10))+IF(D3036=1,2,IF(D3036=7,1,(IF(WEEKDAY(B3036)=1,2,IF(WEEKDAY(B3036)=7,1,0))))))</f>
        <v>1</v>
      </c>
      <c r="H3036" s="370">
        <v>13448.25</v>
      </c>
      <c r="I3036" s="370">
        <v>4140.7750549316406</v>
      </c>
      <c r="M3036" s="371">
        <f t="shared" si="189"/>
        <v>14071.298664943621</v>
      </c>
      <c r="N3036" s="329">
        <f t="shared" si="190"/>
        <v>106.30005493164072</v>
      </c>
      <c r="T3036" s="331">
        <v>0</v>
      </c>
      <c r="U3036" s="328">
        <f>VLOOKUP(C3036,METADATA!$J$5:$Q$29,IF(E3036="HI",2,IF(E3036="LO",6,10))+IF(T3036=1,2,IF(D3036=7,1,(IF(WEEKDAY(B3036)=1,2,IF(WEEKDAY(B3036)=7,1,0))))))</f>
        <v>1</v>
      </c>
      <c r="V3036" s="328">
        <f>VLOOKUP(C3036,METADATA!$A$5:$H$29,IF(E3036="HI",2,IF(E3036="LO",6,10))+IF(T3036=1,2,IF(D3036=7,1,(IF(WEEKDAY(B3036)=1,2,IF(WEEKDAY(B3036)=7,1,0))))))</f>
        <v>1</v>
      </c>
    </row>
    <row r="3037" spans="2:22">
      <c r="B3037" s="318">
        <f t="shared" si="191"/>
        <v>46239</v>
      </c>
      <c r="C3037" s="312">
        <v>9</v>
      </c>
      <c r="D3037" s="368">
        <f>IFERROR((INDEX(METADATA!$T$2:$T$20,MATCH(B3037,METADATA!$S$2:$S$20,0))),0)</f>
        <v>0</v>
      </c>
      <c r="E3037" s="312" t="str">
        <f t="shared" si="188"/>
        <v>LO</v>
      </c>
      <c r="F3037" s="369">
        <f>VLOOKUP(C3037,METADATA!$A$5:$H$29,IF(E3037="HI",2,IF(E3037="LO",6,10))+IF(D3037=1,2,IF(D3037=7,1,(IF(WEEKDAY(B3037)=1,2,IF(WEEKDAY(B3037)=7,1,0))))))</f>
        <v>2</v>
      </c>
      <c r="G3037" s="369">
        <f>VLOOKUP(C3037,METADATA!$J$5:$Q$29,IF(E3037="HI",2,IF(E3037="LO",6,10))+IF(D3037=1,2,IF(D3037=7,1,(IF(WEEKDAY(B3037)=1,2,IF(WEEKDAY(B3037)=7,1,0))))))</f>
        <v>2</v>
      </c>
      <c r="H3037" s="370">
        <v>12561.850219726563</v>
      </c>
      <c r="I3037" s="370">
        <v>3646.9624328613281</v>
      </c>
      <c r="M3037" s="371">
        <f t="shared" si="189"/>
        <v>13080.535766150639</v>
      </c>
      <c r="N3037" s="329">
        <f t="shared" si="190"/>
        <v>0</v>
      </c>
      <c r="T3037" s="331">
        <v>0</v>
      </c>
      <c r="U3037" s="328">
        <f>VLOOKUP(C3037,METADATA!$J$5:$Q$29,IF(E3037="HI",2,IF(E3037="LO",6,10))+IF(T3037=1,2,IF(D3037=7,1,(IF(WEEKDAY(B3037)=1,2,IF(WEEKDAY(B3037)=7,1,0))))))</f>
        <v>2</v>
      </c>
      <c r="V3037" s="328">
        <f>VLOOKUP(C3037,METADATA!$A$5:$H$29,IF(E3037="HI",2,IF(E3037="LO",6,10))+IF(T3037=1,2,IF(D3037=7,1,(IF(WEEKDAY(B3037)=1,2,IF(WEEKDAY(B3037)=7,1,0))))))</f>
        <v>2</v>
      </c>
    </row>
    <row r="3038" spans="2:22">
      <c r="B3038" s="318">
        <f t="shared" si="191"/>
        <v>46239</v>
      </c>
      <c r="C3038" s="312">
        <v>10</v>
      </c>
      <c r="D3038" s="368">
        <f>IFERROR((INDEX(METADATA!$T$2:$T$20,MATCH(B3038,METADATA!$S$2:$S$20,0))),0)</f>
        <v>0</v>
      </c>
      <c r="E3038" s="312" t="str">
        <f t="shared" si="188"/>
        <v>LO</v>
      </c>
      <c r="F3038" s="369">
        <f>VLOOKUP(C3038,METADATA!$A$5:$H$29,IF(E3038="HI",2,IF(E3038="LO",6,10))+IF(D3038=1,2,IF(D3038=7,1,(IF(WEEKDAY(B3038)=1,2,IF(WEEKDAY(B3038)=7,1,0))))))</f>
        <v>2</v>
      </c>
      <c r="G3038" s="369">
        <f>VLOOKUP(C3038,METADATA!$J$5:$Q$29,IF(E3038="HI",2,IF(E3038="LO",6,10))+IF(D3038=1,2,IF(D3038=7,1,(IF(WEEKDAY(B3038)=1,2,IF(WEEKDAY(B3038)=7,1,0))))))</f>
        <v>2</v>
      </c>
      <c r="H3038" s="370">
        <v>11289.42529296875</v>
      </c>
      <c r="I3038" s="370">
        <v>2811.7449951171875</v>
      </c>
      <c r="M3038" s="371">
        <f t="shared" si="189"/>
        <v>11634.304163253129</v>
      </c>
      <c r="N3038" s="329">
        <f t="shared" si="190"/>
        <v>0</v>
      </c>
      <c r="T3038" s="331">
        <v>0</v>
      </c>
      <c r="U3038" s="328">
        <f>VLOOKUP(C3038,METADATA!$J$5:$Q$29,IF(E3038="HI",2,IF(E3038="LO",6,10))+IF(T3038=1,2,IF(D3038=7,1,(IF(WEEKDAY(B3038)=1,2,IF(WEEKDAY(B3038)=7,1,0))))))</f>
        <v>2</v>
      </c>
      <c r="V3038" s="328">
        <f>VLOOKUP(C3038,METADATA!$A$5:$H$29,IF(E3038="HI",2,IF(E3038="LO",6,10))+IF(T3038=1,2,IF(D3038=7,1,(IF(WEEKDAY(B3038)=1,2,IF(WEEKDAY(B3038)=7,1,0))))))</f>
        <v>2</v>
      </c>
    </row>
    <row r="3039" spans="2:22">
      <c r="B3039" s="318">
        <f t="shared" si="191"/>
        <v>46239</v>
      </c>
      <c r="C3039" s="312">
        <v>11</v>
      </c>
      <c r="D3039" s="368">
        <f>IFERROR((INDEX(METADATA!$T$2:$T$20,MATCH(B3039,METADATA!$S$2:$S$20,0))),0)</f>
        <v>0</v>
      </c>
      <c r="E3039" s="312" t="str">
        <f t="shared" si="188"/>
        <v>LO</v>
      </c>
      <c r="F3039" s="369">
        <f>VLOOKUP(C3039,METADATA!$A$5:$H$29,IF(E3039="HI",2,IF(E3039="LO",6,10))+IF(D3039=1,2,IF(D3039=7,1,(IF(WEEKDAY(B3039)=1,2,IF(WEEKDAY(B3039)=7,1,0))))))</f>
        <v>2</v>
      </c>
      <c r="G3039" s="369">
        <f>VLOOKUP(C3039,METADATA!$J$5:$Q$29,IF(E3039="HI",2,IF(E3039="LO",6,10))+IF(D3039=1,2,IF(D3039=7,1,(IF(WEEKDAY(B3039)=1,2,IF(WEEKDAY(B3039)=7,1,0))))))</f>
        <v>2</v>
      </c>
      <c r="H3039" s="370">
        <v>5954.7349243164063</v>
      </c>
      <c r="I3039" s="370">
        <v>1541.5175170898438</v>
      </c>
      <c r="M3039" s="371">
        <f t="shared" si="189"/>
        <v>6151.0279038847111</v>
      </c>
      <c r="N3039" s="329">
        <f t="shared" si="190"/>
        <v>0</v>
      </c>
      <c r="T3039" s="331">
        <v>0</v>
      </c>
      <c r="U3039" s="328">
        <f>VLOOKUP(C3039,METADATA!$J$5:$Q$29,IF(E3039="HI",2,IF(E3039="LO",6,10))+IF(T3039=1,2,IF(D3039=7,1,(IF(WEEKDAY(B3039)=1,2,IF(WEEKDAY(B3039)=7,1,0))))))</f>
        <v>2</v>
      </c>
      <c r="V3039" s="328">
        <f>VLOOKUP(C3039,METADATA!$A$5:$H$29,IF(E3039="HI",2,IF(E3039="LO",6,10))+IF(T3039=1,2,IF(D3039=7,1,(IF(WEEKDAY(B3039)=1,2,IF(WEEKDAY(B3039)=7,1,0))))))</f>
        <v>2</v>
      </c>
    </row>
    <row r="3040" spans="2:22">
      <c r="B3040" s="318">
        <f t="shared" si="191"/>
        <v>46239</v>
      </c>
      <c r="C3040" s="312">
        <v>12</v>
      </c>
      <c r="D3040" s="368">
        <f>IFERROR((INDEX(METADATA!$T$2:$T$20,MATCH(B3040,METADATA!$S$2:$S$20,0))),0)</f>
        <v>0</v>
      </c>
      <c r="E3040" s="312" t="str">
        <f t="shared" si="188"/>
        <v>LO</v>
      </c>
      <c r="F3040" s="369">
        <f>VLOOKUP(C3040,METADATA!$A$5:$H$29,IF(E3040="HI",2,IF(E3040="LO",6,10))+IF(D3040=1,2,IF(D3040=7,1,(IF(WEEKDAY(B3040)=1,2,IF(WEEKDAY(B3040)=7,1,0))))))</f>
        <v>2</v>
      </c>
      <c r="G3040" s="369">
        <f>VLOOKUP(C3040,METADATA!$J$5:$Q$29,IF(E3040="HI",2,IF(E3040="LO",6,10))+IF(D3040=1,2,IF(D3040=7,1,(IF(WEEKDAY(B3040)=1,2,IF(WEEKDAY(B3040)=7,1,0))))))</f>
        <v>2</v>
      </c>
      <c r="H3040" s="370">
        <v>5562.4849853515625</v>
      </c>
      <c r="I3040" s="370">
        <v>1519.9200134277344</v>
      </c>
      <c r="M3040" s="371">
        <f t="shared" si="189"/>
        <v>5766.4023497740545</v>
      </c>
      <c r="N3040" s="329">
        <f t="shared" si="190"/>
        <v>0</v>
      </c>
      <c r="T3040" s="331">
        <v>0</v>
      </c>
      <c r="U3040" s="328">
        <f>VLOOKUP(C3040,METADATA!$J$5:$Q$29,IF(E3040="HI",2,IF(E3040="LO",6,10))+IF(T3040=1,2,IF(D3040=7,1,(IF(WEEKDAY(B3040)=1,2,IF(WEEKDAY(B3040)=7,1,0))))))</f>
        <v>2</v>
      </c>
      <c r="V3040" s="328">
        <f>VLOOKUP(C3040,METADATA!$A$5:$H$29,IF(E3040="HI",2,IF(E3040="LO",6,10))+IF(T3040=1,2,IF(D3040=7,1,(IF(WEEKDAY(B3040)=1,2,IF(WEEKDAY(B3040)=7,1,0))))))</f>
        <v>2</v>
      </c>
    </row>
    <row r="3041" spans="2:22">
      <c r="B3041" s="318">
        <f t="shared" si="191"/>
        <v>46239</v>
      </c>
      <c r="C3041" s="312">
        <v>13</v>
      </c>
      <c r="D3041" s="368">
        <f>IFERROR((INDEX(METADATA!$T$2:$T$20,MATCH(B3041,METADATA!$S$2:$S$20,0))),0)</f>
        <v>0</v>
      </c>
      <c r="E3041" s="312" t="str">
        <f t="shared" si="188"/>
        <v>LO</v>
      </c>
      <c r="F3041" s="369">
        <f>VLOOKUP(C3041,METADATA!$A$5:$H$29,IF(E3041="HI",2,IF(E3041="LO",6,10))+IF(D3041=1,2,IF(D3041=7,1,(IF(WEEKDAY(B3041)=1,2,IF(WEEKDAY(B3041)=7,1,0))))))</f>
        <v>2</v>
      </c>
      <c r="G3041" s="369">
        <f>VLOOKUP(C3041,METADATA!$J$5:$Q$29,IF(E3041="HI",2,IF(E3041="LO",6,10))+IF(D3041=1,2,IF(D3041=7,1,(IF(WEEKDAY(B3041)=1,2,IF(WEEKDAY(B3041)=7,1,0))))))</f>
        <v>2</v>
      </c>
      <c r="H3041" s="370">
        <v>5623.5250244140625</v>
      </c>
      <c r="I3041" s="370">
        <v>1471.6799621582031</v>
      </c>
      <c r="M3041" s="371">
        <f t="shared" si="189"/>
        <v>5812.9059523812311</v>
      </c>
      <c r="N3041" s="329">
        <f t="shared" si="190"/>
        <v>0</v>
      </c>
      <c r="T3041" s="331">
        <v>0</v>
      </c>
      <c r="U3041" s="328">
        <f>VLOOKUP(C3041,METADATA!$J$5:$Q$29,IF(E3041="HI",2,IF(E3041="LO",6,10))+IF(T3041=1,2,IF(D3041=7,1,(IF(WEEKDAY(B3041)=1,2,IF(WEEKDAY(B3041)=7,1,0))))))</f>
        <v>2</v>
      </c>
      <c r="V3041" s="328">
        <f>VLOOKUP(C3041,METADATA!$A$5:$H$29,IF(E3041="HI",2,IF(E3041="LO",6,10))+IF(T3041=1,2,IF(D3041=7,1,(IF(WEEKDAY(B3041)=1,2,IF(WEEKDAY(B3041)=7,1,0))))))</f>
        <v>2</v>
      </c>
    </row>
    <row r="3042" spans="2:22">
      <c r="B3042" s="318">
        <f t="shared" si="191"/>
        <v>46239</v>
      </c>
      <c r="C3042" s="312">
        <v>14</v>
      </c>
      <c r="D3042" s="368">
        <f>IFERROR((INDEX(METADATA!$T$2:$T$20,MATCH(B3042,METADATA!$S$2:$S$20,0))),0)</f>
        <v>0</v>
      </c>
      <c r="E3042" s="312" t="str">
        <f t="shared" si="188"/>
        <v>LO</v>
      </c>
      <c r="F3042" s="369">
        <f>VLOOKUP(C3042,METADATA!$A$5:$H$29,IF(E3042="HI",2,IF(E3042="LO",6,10))+IF(D3042=1,2,IF(D3042=7,1,(IF(WEEKDAY(B3042)=1,2,IF(WEEKDAY(B3042)=7,1,0))))))</f>
        <v>2</v>
      </c>
      <c r="G3042" s="369">
        <f>VLOOKUP(C3042,METADATA!$J$5:$Q$29,IF(E3042="HI",2,IF(E3042="LO",6,10))+IF(D3042=1,2,IF(D3042=7,1,(IF(WEEKDAY(B3042)=1,2,IF(WEEKDAY(B3042)=7,1,0))))))</f>
        <v>2</v>
      </c>
      <c r="H3042" s="370">
        <v>5532.8549499511719</v>
      </c>
      <c r="I3042" s="370">
        <v>1495.4425048828125</v>
      </c>
      <c r="M3042" s="371">
        <f t="shared" si="189"/>
        <v>5731.3900741974776</v>
      </c>
      <c r="N3042" s="329">
        <f t="shared" si="190"/>
        <v>0</v>
      </c>
      <c r="T3042" s="331">
        <v>0</v>
      </c>
      <c r="U3042" s="328">
        <f>VLOOKUP(C3042,METADATA!$J$5:$Q$29,IF(E3042="HI",2,IF(E3042="LO",6,10))+IF(T3042=1,2,IF(D3042=7,1,(IF(WEEKDAY(B3042)=1,2,IF(WEEKDAY(B3042)=7,1,0))))))</f>
        <v>2</v>
      </c>
      <c r="V3042" s="328">
        <f>VLOOKUP(C3042,METADATA!$A$5:$H$29,IF(E3042="HI",2,IF(E3042="LO",6,10))+IF(T3042=1,2,IF(D3042=7,1,(IF(WEEKDAY(B3042)=1,2,IF(WEEKDAY(B3042)=7,1,0))))))</f>
        <v>2</v>
      </c>
    </row>
    <row r="3043" spans="2:22">
      <c r="B3043" s="318">
        <f t="shared" si="191"/>
        <v>46239</v>
      </c>
      <c r="C3043" s="312">
        <v>15</v>
      </c>
      <c r="D3043" s="368">
        <f>IFERROR((INDEX(METADATA!$T$2:$T$20,MATCH(B3043,METADATA!$S$2:$S$20,0))),0)</f>
        <v>0</v>
      </c>
      <c r="E3043" s="312" t="str">
        <f t="shared" si="188"/>
        <v>LO</v>
      </c>
      <c r="F3043" s="369">
        <f>VLOOKUP(C3043,METADATA!$A$5:$H$29,IF(E3043="HI",2,IF(E3043="LO",6,10))+IF(D3043=1,2,IF(D3043=7,1,(IF(WEEKDAY(B3043)=1,2,IF(WEEKDAY(B3043)=7,1,0))))))</f>
        <v>2</v>
      </c>
      <c r="G3043" s="369">
        <f>VLOOKUP(C3043,METADATA!$J$5:$Q$29,IF(E3043="HI",2,IF(E3043="LO",6,10))+IF(D3043=1,2,IF(D3043=7,1,(IF(WEEKDAY(B3043)=1,2,IF(WEEKDAY(B3043)=7,1,0))))))</f>
        <v>2</v>
      </c>
      <c r="H3043" s="370">
        <v>8386.7325439453125</v>
      </c>
      <c r="I3043" s="370">
        <v>2180.7374811023474</v>
      </c>
      <c r="M3043" s="371">
        <f t="shared" si="189"/>
        <v>8665.6158883922399</v>
      </c>
      <c r="N3043" s="329">
        <f t="shared" si="190"/>
        <v>0</v>
      </c>
      <c r="T3043" s="331">
        <v>0</v>
      </c>
      <c r="U3043" s="328">
        <f>VLOOKUP(C3043,METADATA!$J$5:$Q$29,IF(E3043="HI",2,IF(E3043="LO",6,10))+IF(T3043=1,2,IF(D3043=7,1,(IF(WEEKDAY(B3043)=1,2,IF(WEEKDAY(B3043)=7,1,0))))))</f>
        <v>2</v>
      </c>
      <c r="V3043" s="328">
        <f>VLOOKUP(C3043,METADATA!$A$5:$H$29,IF(E3043="HI",2,IF(E3043="LO",6,10))+IF(T3043=1,2,IF(D3043=7,1,(IF(WEEKDAY(B3043)=1,2,IF(WEEKDAY(B3043)=7,1,0))))))</f>
        <v>2</v>
      </c>
    </row>
    <row r="3044" spans="2:22">
      <c r="B3044" s="318">
        <f t="shared" si="191"/>
        <v>46239</v>
      </c>
      <c r="C3044" s="312">
        <v>16</v>
      </c>
      <c r="D3044" s="368">
        <f>IFERROR((INDEX(METADATA!$T$2:$T$20,MATCH(B3044,METADATA!$S$2:$S$20,0))),0)</f>
        <v>0</v>
      </c>
      <c r="E3044" s="312" t="str">
        <f t="shared" si="188"/>
        <v>LO</v>
      </c>
      <c r="F3044" s="369">
        <f>VLOOKUP(C3044,METADATA!$A$5:$H$29,IF(E3044="HI",2,IF(E3044="LO",6,10))+IF(D3044=1,2,IF(D3044=7,1,(IF(WEEKDAY(B3044)=1,2,IF(WEEKDAY(B3044)=7,1,0))))))</f>
        <v>2</v>
      </c>
      <c r="G3044" s="369">
        <f>VLOOKUP(C3044,METADATA!$J$5:$Q$29,IF(E3044="HI",2,IF(E3044="LO",6,10))+IF(D3044=1,2,IF(D3044=7,1,(IF(WEEKDAY(B3044)=1,2,IF(WEEKDAY(B3044)=7,1,0))))))</f>
        <v>2</v>
      </c>
      <c r="H3044" s="370">
        <v>10203.749755859375</v>
      </c>
      <c r="I3044" s="370">
        <v>2715.5974731445313</v>
      </c>
      <c r="M3044" s="371">
        <f t="shared" si="189"/>
        <v>10558.928862169174</v>
      </c>
      <c r="N3044" s="329">
        <f t="shared" si="190"/>
        <v>0</v>
      </c>
      <c r="T3044" s="331">
        <v>0</v>
      </c>
      <c r="U3044" s="328">
        <f>VLOOKUP(C3044,METADATA!$J$5:$Q$29,IF(E3044="HI",2,IF(E3044="LO",6,10))+IF(T3044=1,2,IF(D3044=7,1,(IF(WEEKDAY(B3044)=1,2,IF(WEEKDAY(B3044)=7,1,0))))))</f>
        <v>2</v>
      </c>
      <c r="V3044" s="328">
        <f>VLOOKUP(C3044,METADATA!$A$5:$H$29,IF(E3044="HI",2,IF(E3044="LO",6,10))+IF(T3044=1,2,IF(D3044=7,1,(IF(WEEKDAY(B3044)=1,2,IF(WEEKDAY(B3044)=7,1,0))))))</f>
        <v>2</v>
      </c>
    </row>
    <row r="3045" spans="2:22">
      <c r="B3045" s="318">
        <f t="shared" si="191"/>
        <v>46239</v>
      </c>
      <c r="C3045" s="312">
        <v>17</v>
      </c>
      <c r="D3045" s="368">
        <f>IFERROR((INDEX(METADATA!$T$2:$T$20,MATCH(B3045,METADATA!$S$2:$S$20,0))),0)</f>
        <v>0</v>
      </c>
      <c r="E3045" s="312" t="str">
        <f t="shared" si="188"/>
        <v>LO</v>
      </c>
      <c r="F3045" s="369">
        <f>VLOOKUP(C3045,METADATA!$A$5:$H$29,IF(E3045="HI",2,IF(E3045="LO",6,10))+IF(D3045=1,2,IF(D3045=7,1,(IF(WEEKDAY(B3045)=1,2,IF(WEEKDAY(B3045)=7,1,0))))))</f>
        <v>2</v>
      </c>
      <c r="G3045" s="369">
        <f>VLOOKUP(C3045,METADATA!$J$5:$Q$29,IF(E3045="HI",2,IF(E3045="LO",6,10))+IF(D3045=1,2,IF(D3045=7,1,(IF(WEEKDAY(B3045)=1,2,IF(WEEKDAY(B3045)=7,1,0))))))</f>
        <v>2</v>
      </c>
      <c r="H3045" s="370">
        <v>11953.250183105469</v>
      </c>
      <c r="I3045" s="370">
        <v>3498.3250122070313</v>
      </c>
      <c r="M3045" s="371">
        <f t="shared" si="189"/>
        <v>12454.656471815842</v>
      </c>
      <c r="N3045" s="329">
        <f t="shared" si="190"/>
        <v>0</v>
      </c>
      <c r="T3045" s="331">
        <v>0</v>
      </c>
      <c r="U3045" s="328">
        <f>VLOOKUP(C3045,METADATA!$J$5:$Q$29,IF(E3045="HI",2,IF(E3045="LO",6,10))+IF(T3045=1,2,IF(D3045=7,1,(IF(WEEKDAY(B3045)=1,2,IF(WEEKDAY(B3045)=7,1,0))))))</f>
        <v>2</v>
      </c>
      <c r="V3045" s="328">
        <f>VLOOKUP(C3045,METADATA!$A$5:$H$29,IF(E3045="HI",2,IF(E3045="LO",6,10))+IF(T3045=1,2,IF(D3045=7,1,(IF(WEEKDAY(B3045)=1,2,IF(WEEKDAY(B3045)=7,1,0))))))</f>
        <v>2</v>
      </c>
    </row>
    <row r="3046" spans="2:22">
      <c r="B3046" s="318">
        <f t="shared" si="191"/>
        <v>46239</v>
      </c>
      <c r="C3046" s="312">
        <v>18</v>
      </c>
      <c r="D3046" s="368">
        <f>IFERROR((INDEX(METADATA!$T$2:$T$20,MATCH(B3046,METADATA!$S$2:$S$20,0))),0)</f>
        <v>0</v>
      </c>
      <c r="E3046" s="312" t="str">
        <f t="shared" si="188"/>
        <v>LO</v>
      </c>
      <c r="F3046" s="369">
        <f>VLOOKUP(C3046,METADATA!$A$5:$H$29,IF(E3046="HI",2,IF(E3046="LO",6,10))+IF(D3046=1,2,IF(D3046=7,1,(IF(WEEKDAY(B3046)=1,2,IF(WEEKDAY(B3046)=7,1,0))))))</f>
        <v>1</v>
      </c>
      <c r="G3046" s="369">
        <f>VLOOKUP(C3046,METADATA!$J$5:$Q$29,IF(E3046="HI",2,IF(E3046="LO",6,10))+IF(D3046=1,2,IF(D3046=7,1,(IF(WEEKDAY(B3046)=1,2,IF(WEEKDAY(B3046)=7,1,0))))))</f>
        <v>1</v>
      </c>
      <c r="H3046" s="370">
        <v>13454.9248046875</v>
      </c>
      <c r="I3046" s="370">
        <v>4156.114990234375</v>
      </c>
      <c r="M3046" s="371">
        <f t="shared" si="189"/>
        <v>14082.197744380876</v>
      </c>
      <c r="N3046" s="329">
        <f t="shared" si="190"/>
        <v>119.63754882812509</v>
      </c>
      <c r="T3046" s="331">
        <v>0</v>
      </c>
      <c r="U3046" s="328">
        <f>VLOOKUP(C3046,METADATA!$J$5:$Q$29,IF(E3046="HI",2,IF(E3046="LO",6,10))+IF(T3046=1,2,IF(D3046=7,1,(IF(WEEKDAY(B3046)=1,2,IF(WEEKDAY(B3046)=7,1,0))))))</f>
        <v>1</v>
      </c>
      <c r="V3046" s="328">
        <f>VLOOKUP(C3046,METADATA!$A$5:$H$29,IF(E3046="HI",2,IF(E3046="LO",6,10))+IF(T3046=1,2,IF(D3046=7,1,(IF(WEEKDAY(B3046)=1,2,IF(WEEKDAY(B3046)=7,1,0))))))</f>
        <v>1</v>
      </c>
    </row>
    <row r="3047" spans="2:22">
      <c r="B3047" s="318">
        <f t="shared" si="191"/>
        <v>46239</v>
      </c>
      <c r="C3047" s="312">
        <v>19</v>
      </c>
      <c r="D3047" s="368">
        <f>IFERROR((INDEX(METADATA!$T$2:$T$20,MATCH(B3047,METADATA!$S$2:$S$20,0))),0)</f>
        <v>0</v>
      </c>
      <c r="E3047" s="312" t="str">
        <f t="shared" si="188"/>
        <v>LO</v>
      </c>
      <c r="F3047" s="369">
        <f>VLOOKUP(C3047,METADATA!$A$5:$H$29,IF(E3047="HI",2,IF(E3047="LO",6,10))+IF(D3047=1,2,IF(D3047=7,1,(IF(WEEKDAY(B3047)=1,2,IF(WEEKDAY(B3047)=7,1,0))))))</f>
        <v>1</v>
      </c>
      <c r="G3047" s="369">
        <f>VLOOKUP(C3047,METADATA!$J$5:$Q$29,IF(E3047="HI",2,IF(E3047="LO",6,10))+IF(D3047=1,2,IF(D3047=7,1,(IF(WEEKDAY(B3047)=1,2,IF(WEEKDAY(B3047)=7,1,0))))))</f>
        <v>1</v>
      </c>
      <c r="H3047" s="370">
        <v>13521.775024414063</v>
      </c>
      <c r="I3047" s="370">
        <v>4420.6900634765625</v>
      </c>
      <c r="M3047" s="371">
        <f t="shared" si="189"/>
        <v>14226.064123579237</v>
      </c>
      <c r="N3047" s="329">
        <f t="shared" si="190"/>
        <v>364.15755615234411</v>
      </c>
      <c r="T3047" s="331">
        <v>0</v>
      </c>
      <c r="U3047" s="328">
        <f>VLOOKUP(C3047,METADATA!$J$5:$Q$29,IF(E3047="HI",2,IF(E3047="LO",6,10))+IF(T3047=1,2,IF(D3047=7,1,(IF(WEEKDAY(B3047)=1,2,IF(WEEKDAY(B3047)=7,1,0))))))</f>
        <v>1</v>
      </c>
      <c r="V3047" s="328">
        <f>VLOOKUP(C3047,METADATA!$A$5:$H$29,IF(E3047="HI",2,IF(E3047="LO",6,10))+IF(T3047=1,2,IF(D3047=7,1,(IF(WEEKDAY(B3047)=1,2,IF(WEEKDAY(B3047)=7,1,0))))))</f>
        <v>1</v>
      </c>
    </row>
    <row r="3048" spans="2:22">
      <c r="B3048" s="318">
        <f t="shared" si="191"/>
        <v>46239</v>
      </c>
      <c r="C3048" s="312">
        <v>20</v>
      </c>
      <c r="D3048" s="368">
        <f>IFERROR((INDEX(METADATA!$T$2:$T$20,MATCH(B3048,METADATA!$S$2:$S$20,0))),0)</f>
        <v>0</v>
      </c>
      <c r="E3048" s="312" t="str">
        <f t="shared" si="188"/>
        <v>LO</v>
      </c>
      <c r="F3048" s="369">
        <f>VLOOKUP(C3048,METADATA!$A$5:$H$29,IF(E3048="HI",2,IF(E3048="LO",6,10))+IF(D3048=1,2,IF(D3048=7,1,(IF(WEEKDAY(B3048)=1,2,IF(WEEKDAY(B3048)=7,1,0))))))</f>
        <v>1</v>
      </c>
      <c r="G3048" s="369">
        <f>VLOOKUP(C3048,METADATA!$J$5:$Q$29,IF(E3048="HI",2,IF(E3048="LO",6,10))+IF(D3048=1,2,IF(D3048=7,1,(IF(WEEKDAY(B3048)=1,2,IF(WEEKDAY(B3048)=7,1,0))))))</f>
        <v>1</v>
      </c>
      <c r="H3048" s="370">
        <v>13438.849670410156</v>
      </c>
      <c r="I3048" s="370">
        <v>4490.0400390625</v>
      </c>
      <c r="M3048" s="371">
        <f t="shared" si="189"/>
        <v>14169.091008821544</v>
      </c>
      <c r="N3048" s="329">
        <f t="shared" si="190"/>
        <v>458.38513793945322</v>
      </c>
      <c r="T3048" s="331">
        <v>0</v>
      </c>
      <c r="U3048" s="328">
        <f>VLOOKUP(C3048,METADATA!$J$5:$Q$29,IF(E3048="HI",2,IF(E3048="LO",6,10))+IF(T3048=1,2,IF(D3048=7,1,(IF(WEEKDAY(B3048)=1,2,IF(WEEKDAY(B3048)=7,1,0))))))</f>
        <v>1</v>
      </c>
      <c r="V3048" s="328">
        <f>VLOOKUP(C3048,METADATA!$A$5:$H$29,IF(E3048="HI",2,IF(E3048="LO",6,10))+IF(T3048=1,2,IF(D3048=7,1,(IF(WEEKDAY(B3048)=1,2,IF(WEEKDAY(B3048)=7,1,0))))))</f>
        <v>1</v>
      </c>
    </row>
    <row r="3049" spans="2:22">
      <c r="B3049" s="318">
        <f t="shared" si="191"/>
        <v>46239</v>
      </c>
      <c r="C3049" s="312">
        <v>21</v>
      </c>
      <c r="D3049" s="368">
        <f>IFERROR((INDEX(METADATA!$T$2:$T$20,MATCH(B3049,METADATA!$S$2:$S$20,0))),0)</f>
        <v>0</v>
      </c>
      <c r="E3049" s="312" t="str">
        <f t="shared" si="188"/>
        <v>LO</v>
      </c>
      <c r="F3049" s="369">
        <f>VLOOKUP(C3049,METADATA!$A$5:$H$29,IF(E3049="HI",2,IF(E3049="LO",6,10))+IF(D3049=1,2,IF(D3049=7,1,(IF(WEEKDAY(B3049)=1,2,IF(WEEKDAY(B3049)=7,1,0))))))</f>
        <v>2</v>
      </c>
      <c r="G3049" s="369">
        <f>VLOOKUP(C3049,METADATA!$J$5:$Q$29,IF(E3049="HI",2,IF(E3049="LO",6,10))+IF(D3049=1,2,IF(D3049=7,1,(IF(WEEKDAY(B3049)=1,2,IF(WEEKDAY(B3049)=7,1,0))))))</f>
        <v>2</v>
      </c>
      <c r="H3049" s="370">
        <v>13395.300354003906</v>
      </c>
      <c r="I3049" s="370">
        <v>4462.9099731445313</v>
      </c>
      <c r="M3049" s="371">
        <f t="shared" si="189"/>
        <v>14119.193921834563</v>
      </c>
      <c r="N3049" s="329">
        <f t="shared" si="190"/>
        <v>444.31986694335956</v>
      </c>
      <c r="T3049" s="331">
        <v>0</v>
      </c>
      <c r="U3049" s="328">
        <f>VLOOKUP(C3049,METADATA!$J$5:$Q$29,IF(E3049="HI",2,IF(E3049="LO",6,10))+IF(T3049=1,2,IF(D3049=7,1,(IF(WEEKDAY(B3049)=1,2,IF(WEEKDAY(B3049)=7,1,0))))))</f>
        <v>2</v>
      </c>
      <c r="V3049" s="328">
        <f>VLOOKUP(C3049,METADATA!$A$5:$H$29,IF(E3049="HI",2,IF(E3049="LO",6,10))+IF(T3049=1,2,IF(D3049=7,1,(IF(WEEKDAY(B3049)=1,2,IF(WEEKDAY(B3049)=7,1,0))))))</f>
        <v>2</v>
      </c>
    </row>
    <row r="3050" spans="2:22">
      <c r="B3050" s="318">
        <f t="shared" si="191"/>
        <v>46239</v>
      </c>
      <c r="C3050" s="312">
        <v>22</v>
      </c>
      <c r="D3050" s="368">
        <f>IFERROR((INDEX(METADATA!$T$2:$T$20,MATCH(B3050,METADATA!$S$2:$S$20,0))),0)</f>
        <v>0</v>
      </c>
      <c r="E3050" s="312" t="str">
        <f t="shared" si="188"/>
        <v>LO</v>
      </c>
      <c r="F3050" s="369">
        <f>VLOOKUP(C3050,METADATA!$A$5:$H$29,IF(E3050="HI",2,IF(E3050="LO",6,10))+IF(D3050=1,2,IF(D3050=7,1,(IF(WEEKDAY(B3050)=1,2,IF(WEEKDAY(B3050)=7,1,0))))))</f>
        <v>3</v>
      </c>
      <c r="G3050" s="369">
        <f>VLOOKUP(C3050,METADATA!$J$5:$Q$29,IF(E3050="HI",2,IF(E3050="LO",6,10))+IF(D3050=1,2,IF(D3050=7,1,(IF(WEEKDAY(B3050)=1,2,IF(WEEKDAY(B3050)=7,1,0))))))</f>
        <v>3</v>
      </c>
      <c r="H3050" s="370">
        <v>13389.950012207031</v>
      </c>
      <c r="I3050" s="370">
        <v>4432.8050231933594</v>
      </c>
      <c r="M3050" s="371">
        <f t="shared" si="189"/>
        <v>14104.627669777439</v>
      </c>
      <c r="N3050" s="329">
        <f t="shared" si="190"/>
        <v>415.82001953125018</v>
      </c>
      <c r="T3050" s="331">
        <v>0</v>
      </c>
      <c r="U3050" s="328">
        <f>VLOOKUP(C3050,METADATA!$J$5:$Q$29,IF(E3050="HI",2,IF(E3050="LO",6,10))+IF(T3050=1,2,IF(D3050=7,1,(IF(WEEKDAY(B3050)=1,2,IF(WEEKDAY(B3050)=7,1,0))))))</f>
        <v>3</v>
      </c>
      <c r="V3050" s="328">
        <f>VLOOKUP(C3050,METADATA!$A$5:$H$29,IF(E3050="HI",2,IF(E3050="LO",6,10))+IF(T3050=1,2,IF(D3050=7,1,(IF(WEEKDAY(B3050)=1,2,IF(WEEKDAY(B3050)=7,1,0))))))</f>
        <v>3</v>
      </c>
    </row>
    <row r="3051" spans="2:22">
      <c r="B3051" s="318">
        <f t="shared" si="191"/>
        <v>46239</v>
      </c>
      <c r="C3051" s="312">
        <v>23</v>
      </c>
      <c r="D3051" s="368">
        <f>IFERROR((INDEX(METADATA!$T$2:$T$20,MATCH(B3051,METADATA!$S$2:$S$20,0))),0)</f>
        <v>0</v>
      </c>
      <c r="E3051" s="312" t="str">
        <f t="shared" si="188"/>
        <v>LO</v>
      </c>
      <c r="F3051" s="369">
        <f>VLOOKUP(C3051,METADATA!$A$5:$H$29,IF(E3051="HI",2,IF(E3051="LO",6,10))+IF(D3051=1,2,IF(D3051=7,1,(IF(WEEKDAY(B3051)=1,2,IF(WEEKDAY(B3051)=7,1,0))))))</f>
        <v>3</v>
      </c>
      <c r="G3051" s="369">
        <f>VLOOKUP(C3051,METADATA!$J$5:$Q$29,IF(E3051="HI",2,IF(E3051="LO",6,10))+IF(D3051=1,2,IF(D3051=7,1,(IF(WEEKDAY(B3051)=1,2,IF(WEEKDAY(B3051)=7,1,0))))))</f>
        <v>3</v>
      </c>
      <c r="H3051" s="370">
        <v>13451.724670410156</v>
      </c>
      <c r="I3051" s="370">
        <v>4381.3051147460938</v>
      </c>
      <c r="M3051" s="371">
        <f t="shared" si="189"/>
        <v>14147.251716040875</v>
      </c>
      <c r="N3051" s="329">
        <f t="shared" si="190"/>
        <v>345.78771362304724</v>
      </c>
      <c r="T3051" s="331">
        <v>0</v>
      </c>
      <c r="U3051" s="328">
        <f>VLOOKUP(C3051,METADATA!$J$5:$Q$29,IF(E3051="HI",2,IF(E3051="LO",6,10))+IF(T3051=1,2,IF(D3051=7,1,(IF(WEEKDAY(B3051)=1,2,IF(WEEKDAY(B3051)=7,1,0))))))</f>
        <v>3</v>
      </c>
      <c r="V3051" s="328">
        <f>VLOOKUP(C3051,METADATA!$A$5:$H$29,IF(E3051="HI",2,IF(E3051="LO",6,10))+IF(T3051=1,2,IF(D3051=7,1,(IF(WEEKDAY(B3051)=1,2,IF(WEEKDAY(B3051)=7,1,0))))))</f>
        <v>3</v>
      </c>
    </row>
    <row r="3052" spans="2:22">
      <c r="B3052" s="318">
        <f t="shared" si="191"/>
        <v>46240</v>
      </c>
      <c r="C3052" s="312">
        <v>0</v>
      </c>
      <c r="D3052" s="368">
        <f>IFERROR((INDEX(METADATA!$T$2:$T$20,MATCH(B3052,METADATA!$S$2:$S$20,0))),0)</f>
        <v>0</v>
      </c>
      <c r="E3052" s="312" t="str">
        <f t="shared" si="188"/>
        <v>LO</v>
      </c>
      <c r="F3052" s="369">
        <f>VLOOKUP(C3052,METADATA!$A$5:$H$29,IF(E3052="HI",2,IF(E3052="LO",6,10))+IF(D3052=1,2,IF(D3052=7,1,(IF(WEEKDAY(B3052)=1,2,IF(WEEKDAY(B3052)=7,1,0))))))</f>
        <v>3</v>
      </c>
      <c r="G3052" s="369">
        <f>VLOOKUP(C3052,METADATA!$J$5:$Q$29,IF(E3052="HI",2,IF(E3052="LO",6,10))+IF(D3052=1,2,IF(D3052=7,1,(IF(WEEKDAY(B3052)=1,2,IF(WEEKDAY(B3052)=7,1,0))))))</f>
        <v>3</v>
      </c>
      <c r="H3052" s="370">
        <v>11468.449890136719</v>
      </c>
      <c r="I3052" s="370">
        <v>3407.4574890136719</v>
      </c>
      <c r="M3052" s="371">
        <f t="shared" si="189"/>
        <v>11963.950410379184</v>
      </c>
      <c r="N3052" s="329">
        <f t="shared" si="190"/>
        <v>0</v>
      </c>
      <c r="T3052" s="331">
        <v>0</v>
      </c>
      <c r="U3052" s="328">
        <f>VLOOKUP(C3052,METADATA!$J$5:$Q$29,IF(E3052="HI",2,IF(E3052="LO",6,10))+IF(T3052=1,2,IF(D3052=7,1,(IF(WEEKDAY(B3052)=1,2,IF(WEEKDAY(B3052)=7,1,0))))))</f>
        <v>3</v>
      </c>
      <c r="V3052" s="328">
        <f>VLOOKUP(C3052,METADATA!$A$5:$H$29,IF(E3052="HI",2,IF(E3052="LO",6,10))+IF(T3052=1,2,IF(D3052=7,1,(IF(WEEKDAY(B3052)=1,2,IF(WEEKDAY(B3052)=7,1,0))))))</f>
        <v>3</v>
      </c>
    </row>
    <row r="3053" spans="2:22">
      <c r="B3053" s="318">
        <f t="shared" si="191"/>
        <v>46240</v>
      </c>
      <c r="C3053" s="312">
        <v>1</v>
      </c>
      <c r="D3053" s="368">
        <f>IFERROR((INDEX(METADATA!$T$2:$T$20,MATCH(B3053,METADATA!$S$2:$S$20,0))),0)</f>
        <v>0</v>
      </c>
      <c r="E3053" s="312" t="str">
        <f t="shared" si="188"/>
        <v>LO</v>
      </c>
      <c r="F3053" s="369">
        <f>VLOOKUP(C3053,METADATA!$A$5:$H$29,IF(E3053="HI",2,IF(E3053="LO",6,10))+IF(D3053=1,2,IF(D3053=7,1,(IF(WEEKDAY(B3053)=1,2,IF(WEEKDAY(B3053)=7,1,0))))))</f>
        <v>3</v>
      </c>
      <c r="G3053" s="369">
        <f>VLOOKUP(C3053,METADATA!$J$5:$Q$29,IF(E3053="HI",2,IF(E3053="LO",6,10))+IF(D3053=1,2,IF(D3053=7,1,(IF(WEEKDAY(B3053)=1,2,IF(WEEKDAY(B3053)=7,1,0))))))</f>
        <v>3</v>
      </c>
      <c r="H3053" s="370">
        <v>10783.266052246094</v>
      </c>
      <c r="I3053" s="370">
        <v>3047.0410461425781</v>
      </c>
      <c r="M3053" s="371">
        <f t="shared" si="189"/>
        <v>11205.502482726988</v>
      </c>
      <c r="N3053" s="329">
        <f t="shared" si="190"/>
        <v>0</v>
      </c>
      <c r="T3053" s="331">
        <v>0</v>
      </c>
      <c r="U3053" s="328">
        <f>VLOOKUP(C3053,METADATA!$J$5:$Q$29,IF(E3053="HI",2,IF(E3053="LO",6,10))+IF(T3053=1,2,IF(D3053=7,1,(IF(WEEKDAY(B3053)=1,2,IF(WEEKDAY(B3053)=7,1,0))))))</f>
        <v>3</v>
      </c>
      <c r="V3053" s="328">
        <f>VLOOKUP(C3053,METADATA!$A$5:$H$29,IF(E3053="HI",2,IF(E3053="LO",6,10))+IF(T3053=1,2,IF(D3053=7,1,(IF(WEEKDAY(B3053)=1,2,IF(WEEKDAY(B3053)=7,1,0))))))</f>
        <v>3</v>
      </c>
    </row>
    <row r="3054" spans="2:22">
      <c r="B3054" s="318">
        <f t="shared" si="191"/>
        <v>46240</v>
      </c>
      <c r="C3054" s="312">
        <v>2</v>
      </c>
      <c r="D3054" s="368">
        <f>IFERROR((INDEX(METADATA!$T$2:$T$20,MATCH(B3054,METADATA!$S$2:$S$20,0))),0)</f>
        <v>0</v>
      </c>
      <c r="E3054" s="312" t="str">
        <f t="shared" si="188"/>
        <v>LO</v>
      </c>
      <c r="F3054" s="369">
        <f>VLOOKUP(C3054,METADATA!$A$5:$H$29,IF(E3054="HI",2,IF(E3054="LO",6,10))+IF(D3054=1,2,IF(D3054=7,1,(IF(WEEKDAY(B3054)=1,2,IF(WEEKDAY(B3054)=7,1,0))))))</f>
        <v>3</v>
      </c>
      <c r="G3054" s="369">
        <f>VLOOKUP(C3054,METADATA!$J$5:$Q$29,IF(E3054="HI",2,IF(E3054="LO",6,10))+IF(D3054=1,2,IF(D3054=7,1,(IF(WEEKDAY(B3054)=1,2,IF(WEEKDAY(B3054)=7,1,0))))))</f>
        <v>3</v>
      </c>
      <c r="H3054" s="370">
        <v>13497.648193359375</v>
      </c>
      <c r="I3054" s="370">
        <v>4563.06640625</v>
      </c>
      <c r="M3054" s="371">
        <f t="shared" si="189"/>
        <v>14248.09046081421</v>
      </c>
      <c r="N3054" s="329">
        <f t="shared" si="190"/>
        <v>513.77194824218759</v>
      </c>
      <c r="T3054" s="331">
        <v>0</v>
      </c>
      <c r="U3054" s="328">
        <f>VLOOKUP(C3054,METADATA!$J$5:$Q$29,IF(E3054="HI",2,IF(E3054="LO",6,10))+IF(T3054=1,2,IF(D3054=7,1,(IF(WEEKDAY(B3054)=1,2,IF(WEEKDAY(B3054)=7,1,0))))))</f>
        <v>3</v>
      </c>
      <c r="V3054" s="328">
        <f>VLOOKUP(C3054,METADATA!$A$5:$H$29,IF(E3054="HI",2,IF(E3054="LO",6,10))+IF(T3054=1,2,IF(D3054=7,1,(IF(WEEKDAY(B3054)=1,2,IF(WEEKDAY(B3054)=7,1,0))))))</f>
        <v>3</v>
      </c>
    </row>
    <row r="3055" spans="2:22">
      <c r="B3055" s="318">
        <f t="shared" si="191"/>
        <v>46240</v>
      </c>
      <c r="C3055" s="312">
        <v>3</v>
      </c>
      <c r="D3055" s="368">
        <f>IFERROR((INDEX(METADATA!$T$2:$T$20,MATCH(B3055,METADATA!$S$2:$S$20,0))),0)</f>
        <v>0</v>
      </c>
      <c r="E3055" s="312" t="str">
        <f t="shared" si="188"/>
        <v>LO</v>
      </c>
      <c r="F3055" s="369">
        <f>VLOOKUP(C3055,METADATA!$A$5:$H$29,IF(E3055="HI",2,IF(E3055="LO",6,10))+IF(D3055=1,2,IF(D3055=7,1,(IF(WEEKDAY(B3055)=1,2,IF(WEEKDAY(B3055)=7,1,0))))))</f>
        <v>3</v>
      </c>
      <c r="G3055" s="369">
        <f>VLOOKUP(C3055,METADATA!$J$5:$Q$29,IF(E3055="HI",2,IF(E3055="LO",6,10))+IF(D3055=1,2,IF(D3055=7,1,(IF(WEEKDAY(B3055)=1,2,IF(WEEKDAY(B3055)=7,1,0))))))</f>
        <v>3</v>
      </c>
      <c r="H3055" s="370">
        <v>13529.675109863281</v>
      </c>
      <c r="I3055" s="370">
        <v>4395.6351013183594</v>
      </c>
      <c r="M3055" s="371">
        <f t="shared" si="189"/>
        <v>14225.811629653897</v>
      </c>
      <c r="N3055" s="329">
        <f t="shared" si="190"/>
        <v>336.73256835937536</v>
      </c>
      <c r="T3055" s="331">
        <v>0</v>
      </c>
      <c r="U3055" s="328">
        <f>VLOOKUP(C3055,METADATA!$J$5:$Q$29,IF(E3055="HI",2,IF(E3055="LO",6,10))+IF(T3055=1,2,IF(D3055=7,1,(IF(WEEKDAY(B3055)=1,2,IF(WEEKDAY(B3055)=7,1,0))))))</f>
        <v>3</v>
      </c>
      <c r="V3055" s="328">
        <f>VLOOKUP(C3055,METADATA!$A$5:$H$29,IF(E3055="HI",2,IF(E3055="LO",6,10))+IF(T3055=1,2,IF(D3055=7,1,(IF(WEEKDAY(B3055)=1,2,IF(WEEKDAY(B3055)=7,1,0))))))</f>
        <v>3</v>
      </c>
    </row>
    <row r="3056" spans="2:22">
      <c r="B3056" s="318">
        <f t="shared" si="191"/>
        <v>46240</v>
      </c>
      <c r="C3056" s="312">
        <v>4</v>
      </c>
      <c r="D3056" s="368">
        <f>IFERROR((INDEX(METADATA!$T$2:$T$20,MATCH(B3056,METADATA!$S$2:$S$20,0))),0)</f>
        <v>0</v>
      </c>
      <c r="E3056" s="312" t="str">
        <f t="shared" si="188"/>
        <v>LO</v>
      </c>
      <c r="F3056" s="369">
        <f>VLOOKUP(C3056,METADATA!$A$5:$H$29,IF(E3056="HI",2,IF(E3056="LO",6,10))+IF(D3056=1,2,IF(D3056=7,1,(IF(WEEKDAY(B3056)=1,2,IF(WEEKDAY(B3056)=7,1,0))))))</f>
        <v>3</v>
      </c>
      <c r="G3056" s="369">
        <f>VLOOKUP(C3056,METADATA!$J$5:$Q$29,IF(E3056="HI",2,IF(E3056="LO",6,10))+IF(D3056=1,2,IF(D3056=7,1,(IF(WEEKDAY(B3056)=1,2,IF(WEEKDAY(B3056)=7,1,0))))))</f>
        <v>3</v>
      </c>
      <c r="H3056" s="370">
        <v>13649.049438476563</v>
      </c>
      <c r="I3056" s="370">
        <v>4350.0449523925781</v>
      </c>
      <c r="M3056" s="371">
        <f t="shared" si="189"/>
        <v>14325.482248839426</v>
      </c>
      <c r="N3056" s="329">
        <f t="shared" si="190"/>
        <v>255.33012084960956</v>
      </c>
      <c r="T3056" s="331">
        <v>0</v>
      </c>
      <c r="U3056" s="328">
        <f>VLOOKUP(C3056,METADATA!$J$5:$Q$29,IF(E3056="HI",2,IF(E3056="LO",6,10))+IF(T3056=1,2,IF(D3056=7,1,(IF(WEEKDAY(B3056)=1,2,IF(WEEKDAY(B3056)=7,1,0))))))</f>
        <v>3</v>
      </c>
      <c r="V3056" s="328">
        <f>VLOOKUP(C3056,METADATA!$A$5:$H$29,IF(E3056="HI",2,IF(E3056="LO",6,10))+IF(T3056=1,2,IF(D3056=7,1,(IF(WEEKDAY(B3056)=1,2,IF(WEEKDAY(B3056)=7,1,0))))))</f>
        <v>3</v>
      </c>
    </row>
    <row r="3057" spans="2:22">
      <c r="B3057" s="318">
        <f t="shared" si="191"/>
        <v>46240</v>
      </c>
      <c r="C3057" s="312">
        <v>5</v>
      </c>
      <c r="D3057" s="368">
        <f>IFERROR((INDEX(METADATA!$T$2:$T$20,MATCH(B3057,METADATA!$S$2:$S$20,0))),0)</f>
        <v>0</v>
      </c>
      <c r="E3057" s="312" t="str">
        <f t="shared" si="188"/>
        <v>LO</v>
      </c>
      <c r="F3057" s="369">
        <f>VLOOKUP(C3057,METADATA!$A$5:$H$29,IF(E3057="HI",2,IF(E3057="LO",6,10))+IF(D3057=1,2,IF(D3057=7,1,(IF(WEEKDAY(B3057)=1,2,IF(WEEKDAY(B3057)=7,1,0))))))</f>
        <v>3</v>
      </c>
      <c r="G3057" s="369">
        <f>VLOOKUP(C3057,METADATA!$J$5:$Q$29,IF(E3057="HI",2,IF(E3057="LO",6,10))+IF(D3057=1,2,IF(D3057=7,1,(IF(WEEKDAY(B3057)=1,2,IF(WEEKDAY(B3057)=7,1,0))))))</f>
        <v>3</v>
      </c>
      <c r="H3057" s="370">
        <v>13468.324890136719</v>
      </c>
      <c r="I3057" s="370">
        <v>4242.3800048828125</v>
      </c>
      <c r="M3057" s="371">
        <f t="shared" si="189"/>
        <v>14120.678576191222</v>
      </c>
      <c r="N3057" s="329">
        <f t="shared" si="190"/>
        <v>201.88253784179688</v>
      </c>
      <c r="T3057" s="331">
        <v>0</v>
      </c>
      <c r="U3057" s="328">
        <f>VLOOKUP(C3057,METADATA!$J$5:$Q$29,IF(E3057="HI",2,IF(E3057="LO",6,10))+IF(T3057=1,2,IF(D3057=7,1,(IF(WEEKDAY(B3057)=1,2,IF(WEEKDAY(B3057)=7,1,0))))))</f>
        <v>3</v>
      </c>
      <c r="V3057" s="328">
        <f>VLOOKUP(C3057,METADATA!$A$5:$H$29,IF(E3057="HI",2,IF(E3057="LO",6,10))+IF(T3057=1,2,IF(D3057=7,1,(IF(WEEKDAY(B3057)=1,2,IF(WEEKDAY(B3057)=7,1,0))))))</f>
        <v>3</v>
      </c>
    </row>
    <row r="3058" spans="2:22">
      <c r="B3058" s="318">
        <f t="shared" si="191"/>
        <v>46240</v>
      </c>
      <c r="C3058" s="312">
        <v>6</v>
      </c>
      <c r="D3058" s="368">
        <f>IFERROR((INDEX(METADATA!$T$2:$T$20,MATCH(B3058,METADATA!$S$2:$S$20,0))),0)</f>
        <v>0</v>
      </c>
      <c r="E3058" s="312" t="str">
        <f t="shared" si="188"/>
        <v>LO</v>
      </c>
      <c r="F3058" s="369">
        <f>VLOOKUP(C3058,METADATA!$A$5:$H$29,IF(E3058="HI",2,IF(E3058="LO",6,10))+IF(D3058=1,2,IF(D3058=7,1,(IF(WEEKDAY(B3058)=1,2,IF(WEEKDAY(B3058)=7,1,0))))))</f>
        <v>2</v>
      </c>
      <c r="G3058" s="369">
        <f>VLOOKUP(C3058,METADATA!$J$5:$Q$29,IF(E3058="HI",2,IF(E3058="LO",6,10))+IF(D3058=1,2,IF(D3058=7,1,(IF(WEEKDAY(B3058)=1,2,IF(WEEKDAY(B3058)=7,1,0))))))</f>
        <v>2</v>
      </c>
      <c r="H3058" s="370">
        <v>13251.7998046875</v>
      </c>
      <c r="I3058" s="370">
        <v>4073.0499267578125</v>
      </c>
      <c r="M3058" s="371">
        <f t="shared" si="189"/>
        <v>13863.61907185052</v>
      </c>
      <c r="N3058" s="329">
        <f t="shared" si="190"/>
        <v>97.509985351562591</v>
      </c>
      <c r="T3058" s="331">
        <v>0</v>
      </c>
      <c r="U3058" s="328">
        <f>VLOOKUP(C3058,METADATA!$J$5:$Q$29,IF(E3058="HI",2,IF(E3058="LO",6,10))+IF(T3058=1,2,IF(D3058=7,1,(IF(WEEKDAY(B3058)=1,2,IF(WEEKDAY(B3058)=7,1,0))))))</f>
        <v>2</v>
      </c>
      <c r="V3058" s="328">
        <f>VLOOKUP(C3058,METADATA!$A$5:$H$29,IF(E3058="HI",2,IF(E3058="LO",6,10))+IF(T3058=1,2,IF(D3058=7,1,(IF(WEEKDAY(B3058)=1,2,IF(WEEKDAY(B3058)=7,1,0))))))</f>
        <v>2</v>
      </c>
    </row>
    <row r="3059" spans="2:22">
      <c r="B3059" s="318">
        <f t="shared" si="191"/>
        <v>46240</v>
      </c>
      <c r="C3059" s="312">
        <v>7</v>
      </c>
      <c r="D3059" s="368">
        <f>IFERROR((INDEX(METADATA!$T$2:$T$20,MATCH(B3059,METADATA!$S$2:$S$20,0))),0)</f>
        <v>0</v>
      </c>
      <c r="E3059" s="312" t="str">
        <f t="shared" si="188"/>
        <v>LO</v>
      </c>
      <c r="F3059" s="369">
        <f>VLOOKUP(C3059,METADATA!$A$5:$H$29,IF(E3059="HI",2,IF(E3059="LO",6,10))+IF(D3059=1,2,IF(D3059=7,1,(IF(WEEKDAY(B3059)=1,2,IF(WEEKDAY(B3059)=7,1,0))))))</f>
        <v>1</v>
      </c>
      <c r="G3059" s="369">
        <f>VLOOKUP(C3059,METADATA!$J$5:$Q$29,IF(E3059="HI",2,IF(E3059="LO",6,10))+IF(D3059=1,2,IF(D3059=7,1,(IF(WEEKDAY(B3059)=1,2,IF(WEEKDAY(B3059)=7,1,0))))))</f>
        <v>1</v>
      </c>
      <c r="H3059" s="370">
        <v>11490.575073242188</v>
      </c>
      <c r="I3059" s="370">
        <v>3063.5399780273438</v>
      </c>
      <c r="M3059" s="371">
        <f t="shared" si="189"/>
        <v>11891.954957482243</v>
      </c>
      <c r="N3059" s="329">
        <f t="shared" si="190"/>
        <v>0</v>
      </c>
      <c r="T3059" s="331">
        <v>0</v>
      </c>
      <c r="U3059" s="328">
        <f>VLOOKUP(C3059,METADATA!$J$5:$Q$29,IF(E3059="HI",2,IF(E3059="LO",6,10))+IF(T3059=1,2,IF(D3059=7,1,(IF(WEEKDAY(B3059)=1,2,IF(WEEKDAY(B3059)=7,1,0))))))</f>
        <v>1</v>
      </c>
      <c r="V3059" s="328">
        <f>VLOOKUP(C3059,METADATA!$A$5:$H$29,IF(E3059="HI",2,IF(E3059="LO",6,10))+IF(T3059=1,2,IF(D3059=7,1,(IF(WEEKDAY(B3059)=1,2,IF(WEEKDAY(B3059)=7,1,0))))))</f>
        <v>1</v>
      </c>
    </row>
    <row r="3060" spans="2:22">
      <c r="B3060" s="318">
        <f t="shared" si="191"/>
        <v>46240</v>
      </c>
      <c r="C3060" s="312">
        <v>8</v>
      </c>
      <c r="D3060" s="368">
        <f>IFERROR((INDEX(METADATA!$T$2:$T$20,MATCH(B3060,METADATA!$S$2:$S$20,0))),0)</f>
        <v>0</v>
      </c>
      <c r="E3060" s="312" t="str">
        <f t="shared" si="188"/>
        <v>LO</v>
      </c>
      <c r="F3060" s="369">
        <f>VLOOKUP(C3060,METADATA!$A$5:$H$29,IF(E3060="HI",2,IF(E3060="LO",6,10))+IF(D3060=1,2,IF(D3060=7,1,(IF(WEEKDAY(B3060)=1,2,IF(WEEKDAY(B3060)=7,1,0))))))</f>
        <v>1</v>
      </c>
      <c r="G3060" s="369">
        <f>VLOOKUP(C3060,METADATA!$J$5:$Q$29,IF(E3060="HI",2,IF(E3060="LO",6,10))+IF(D3060=1,2,IF(D3060=7,1,(IF(WEEKDAY(B3060)=1,2,IF(WEEKDAY(B3060)=7,1,0))))))</f>
        <v>1</v>
      </c>
      <c r="H3060" s="370">
        <v>12006.305725097656</v>
      </c>
      <c r="I3060" s="370">
        <v>3290.4025573730469</v>
      </c>
      <c r="M3060" s="371">
        <f t="shared" si="189"/>
        <v>12449.021092201581</v>
      </c>
      <c r="N3060" s="329">
        <f t="shared" si="190"/>
        <v>0</v>
      </c>
      <c r="T3060" s="331">
        <v>0</v>
      </c>
      <c r="U3060" s="328">
        <f>VLOOKUP(C3060,METADATA!$J$5:$Q$29,IF(E3060="HI",2,IF(E3060="LO",6,10))+IF(T3060=1,2,IF(D3060=7,1,(IF(WEEKDAY(B3060)=1,2,IF(WEEKDAY(B3060)=7,1,0))))))</f>
        <v>1</v>
      </c>
      <c r="V3060" s="328">
        <f>VLOOKUP(C3060,METADATA!$A$5:$H$29,IF(E3060="HI",2,IF(E3060="LO",6,10))+IF(T3060=1,2,IF(D3060=7,1,(IF(WEEKDAY(B3060)=1,2,IF(WEEKDAY(B3060)=7,1,0))))))</f>
        <v>1</v>
      </c>
    </row>
    <row r="3061" spans="2:22">
      <c r="B3061" s="318">
        <f t="shared" si="191"/>
        <v>46240</v>
      </c>
      <c r="C3061" s="312">
        <v>9</v>
      </c>
      <c r="D3061" s="368">
        <f>IFERROR((INDEX(METADATA!$T$2:$T$20,MATCH(B3061,METADATA!$S$2:$S$20,0))),0)</f>
        <v>0</v>
      </c>
      <c r="E3061" s="312" t="str">
        <f t="shared" si="188"/>
        <v>LO</v>
      </c>
      <c r="F3061" s="369">
        <f>VLOOKUP(C3061,METADATA!$A$5:$H$29,IF(E3061="HI",2,IF(E3061="LO",6,10))+IF(D3061=1,2,IF(D3061=7,1,(IF(WEEKDAY(B3061)=1,2,IF(WEEKDAY(B3061)=7,1,0))))))</f>
        <v>2</v>
      </c>
      <c r="G3061" s="369">
        <f>VLOOKUP(C3061,METADATA!$J$5:$Q$29,IF(E3061="HI",2,IF(E3061="LO",6,10))+IF(D3061=1,2,IF(D3061=7,1,(IF(WEEKDAY(B3061)=1,2,IF(WEEKDAY(B3061)=7,1,0))))))</f>
        <v>2</v>
      </c>
      <c r="H3061" s="370">
        <v>13133.150329589844</v>
      </c>
      <c r="I3061" s="370">
        <v>4041.6200256347656</v>
      </c>
      <c r="M3061" s="371">
        <f t="shared" si="189"/>
        <v>13740.972673403356</v>
      </c>
      <c r="N3061" s="329">
        <f t="shared" si="190"/>
        <v>101.6749267578125</v>
      </c>
      <c r="T3061" s="331">
        <v>0</v>
      </c>
      <c r="U3061" s="328">
        <f>VLOOKUP(C3061,METADATA!$J$5:$Q$29,IF(E3061="HI",2,IF(E3061="LO",6,10))+IF(T3061=1,2,IF(D3061=7,1,(IF(WEEKDAY(B3061)=1,2,IF(WEEKDAY(B3061)=7,1,0))))))</f>
        <v>2</v>
      </c>
      <c r="V3061" s="328">
        <f>VLOOKUP(C3061,METADATA!$A$5:$H$29,IF(E3061="HI",2,IF(E3061="LO",6,10))+IF(T3061=1,2,IF(D3061=7,1,(IF(WEEKDAY(B3061)=1,2,IF(WEEKDAY(B3061)=7,1,0))))))</f>
        <v>2</v>
      </c>
    </row>
    <row r="3062" spans="2:22">
      <c r="B3062" s="318">
        <f t="shared" si="191"/>
        <v>46240</v>
      </c>
      <c r="C3062" s="312">
        <v>10</v>
      </c>
      <c r="D3062" s="368">
        <f>IFERROR((INDEX(METADATA!$T$2:$T$20,MATCH(B3062,METADATA!$S$2:$S$20,0))),0)</f>
        <v>0</v>
      </c>
      <c r="E3062" s="312" t="str">
        <f t="shared" si="188"/>
        <v>LO</v>
      </c>
      <c r="F3062" s="369">
        <f>VLOOKUP(C3062,METADATA!$A$5:$H$29,IF(E3062="HI",2,IF(E3062="LO",6,10))+IF(D3062=1,2,IF(D3062=7,1,(IF(WEEKDAY(B3062)=1,2,IF(WEEKDAY(B3062)=7,1,0))))))</f>
        <v>2</v>
      </c>
      <c r="G3062" s="369">
        <f>VLOOKUP(C3062,METADATA!$J$5:$Q$29,IF(E3062="HI",2,IF(E3062="LO",6,10))+IF(D3062=1,2,IF(D3062=7,1,(IF(WEEKDAY(B3062)=1,2,IF(WEEKDAY(B3062)=7,1,0))))))</f>
        <v>2</v>
      </c>
      <c r="H3062" s="370">
        <v>13726.724975585938</v>
      </c>
      <c r="I3062" s="370">
        <v>4348.8600769042969</v>
      </c>
      <c r="M3062" s="371">
        <f t="shared" si="189"/>
        <v>14399.151451521953</v>
      </c>
      <c r="N3062" s="329">
        <f t="shared" si="190"/>
        <v>230.84258422851599</v>
      </c>
      <c r="T3062" s="331">
        <v>0</v>
      </c>
      <c r="U3062" s="328">
        <f>VLOOKUP(C3062,METADATA!$J$5:$Q$29,IF(E3062="HI",2,IF(E3062="LO",6,10))+IF(T3062=1,2,IF(D3062=7,1,(IF(WEEKDAY(B3062)=1,2,IF(WEEKDAY(B3062)=7,1,0))))))</f>
        <v>2</v>
      </c>
      <c r="V3062" s="328">
        <f>VLOOKUP(C3062,METADATA!$A$5:$H$29,IF(E3062="HI",2,IF(E3062="LO",6,10))+IF(T3062=1,2,IF(D3062=7,1,(IF(WEEKDAY(B3062)=1,2,IF(WEEKDAY(B3062)=7,1,0))))))</f>
        <v>2</v>
      </c>
    </row>
    <row r="3063" spans="2:22">
      <c r="B3063" s="318">
        <f t="shared" si="191"/>
        <v>46240</v>
      </c>
      <c r="C3063" s="312">
        <v>11</v>
      </c>
      <c r="D3063" s="368">
        <f>IFERROR((INDEX(METADATA!$T$2:$T$20,MATCH(B3063,METADATA!$S$2:$S$20,0))),0)</f>
        <v>0</v>
      </c>
      <c r="E3063" s="312" t="str">
        <f t="shared" si="188"/>
        <v>LO</v>
      </c>
      <c r="F3063" s="369">
        <f>VLOOKUP(C3063,METADATA!$A$5:$H$29,IF(E3063="HI",2,IF(E3063="LO",6,10))+IF(D3063=1,2,IF(D3063=7,1,(IF(WEEKDAY(B3063)=1,2,IF(WEEKDAY(B3063)=7,1,0))))))</f>
        <v>2</v>
      </c>
      <c r="G3063" s="369">
        <f>VLOOKUP(C3063,METADATA!$J$5:$Q$29,IF(E3063="HI",2,IF(E3063="LO",6,10))+IF(D3063=1,2,IF(D3063=7,1,(IF(WEEKDAY(B3063)=1,2,IF(WEEKDAY(B3063)=7,1,0))))))</f>
        <v>2</v>
      </c>
      <c r="H3063" s="370">
        <v>13626.025085449219</v>
      </c>
      <c r="I3063" s="370">
        <v>4318.93994140625</v>
      </c>
      <c r="M3063" s="371">
        <f t="shared" si="189"/>
        <v>14294.117735864835</v>
      </c>
      <c r="N3063" s="329">
        <f t="shared" si="190"/>
        <v>231.13241577148438</v>
      </c>
      <c r="T3063" s="331">
        <v>0</v>
      </c>
      <c r="U3063" s="328">
        <f>VLOOKUP(C3063,METADATA!$J$5:$Q$29,IF(E3063="HI",2,IF(E3063="LO",6,10))+IF(T3063=1,2,IF(D3063=7,1,(IF(WEEKDAY(B3063)=1,2,IF(WEEKDAY(B3063)=7,1,0))))))</f>
        <v>2</v>
      </c>
      <c r="V3063" s="328">
        <f>VLOOKUP(C3063,METADATA!$A$5:$H$29,IF(E3063="HI",2,IF(E3063="LO",6,10))+IF(T3063=1,2,IF(D3063=7,1,(IF(WEEKDAY(B3063)=1,2,IF(WEEKDAY(B3063)=7,1,0))))))</f>
        <v>2</v>
      </c>
    </row>
    <row r="3064" spans="2:22">
      <c r="B3064" s="318">
        <f t="shared" si="191"/>
        <v>46240</v>
      </c>
      <c r="C3064" s="312">
        <v>12</v>
      </c>
      <c r="D3064" s="368">
        <f>IFERROR((INDEX(METADATA!$T$2:$T$20,MATCH(B3064,METADATA!$S$2:$S$20,0))),0)</f>
        <v>0</v>
      </c>
      <c r="E3064" s="312" t="str">
        <f t="shared" si="188"/>
        <v>LO</v>
      </c>
      <c r="F3064" s="369">
        <f>VLOOKUP(C3064,METADATA!$A$5:$H$29,IF(E3064="HI",2,IF(E3064="LO",6,10))+IF(D3064=1,2,IF(D3064=7,1,(IF(WEEKDAY(B3064)=1,2,IF(WEEKDAY(B3064)=7,1,0))))))</f>
        <v>2</v>
      </c>
      <c r="G3064" s="369">
        <f>VLOOKUP(C3064,METADATA!$J$5:$Q$29,IF(E3064="HI",2,IF(E3064="LO",6,10))+IF(D3064=1,2,IF(D3064=7,1,(IF(WEEKDAY(B3064)=1,2,IF(WEEKDAY(B3064)=7,1,0))))))</f>
        <v>2</v>
      </c>
      <c r="H3064" s="370">
        <v>13632.250244140625</v>
      </c>
      <c r="I3064" s="370">
        <v>4377.2400512695313</v>
      </c>
      <c r="M3064" s="371">
        <f t="shared" si="189"/>
        <v>14317.767884181885</v>
      </c>
      <c r="N3064" s="329">
        <f t="shared" si="190"/>
        <v>287.56497802734384</v>
      </c>
      <c r="T3064" s="331">
        <v>0</v>
      </c>
      <c r="U3064" s="328">
        <f>VLOOKUP(C3064,METADATA!$J$5:$Q$29,IF(E3064="HI",2,IF(E3064="LO",6,10))+IF(T3064=1,2,IF(D3064=7,1,(IF(WEEKDAY(B3064)=1,2,IF(WEEKDAY(B3064)=7,1,0))))))</f>
        <v>2</v>
      </c>
      <c r="V3064" s="328">
        <f>VLOOKUP(C3064,METADATA!$A$5:$H$29,IF(E3064="HI",2,IF(E3064="LO",6,10))+IF(T3064=1,2,IF(D3064=7,1,(IF(WEEKDAY(B3064)=1,2,IF(WEEKDAY(B3064)=7,1,0))))))</f>
        <v>2</v>
      </c>
    </row>
    <row r="3065" spans="2:22">
      <c r="B3065" s="318">
        <f t="shared" si="191"/>
        <v>46240</v>
      </c>
      <c r="C3065" s="312">
        <v>13</v>
      </c>
      <c r="D3065" s="368">
        <f>IFERROR((INDEX(METADATA!$T$2:$T$20,MATCH(B3065,METADATA!$S$2:$S$20,0))),0)</f>
        <v>0</v>
      </c>
      <c r="E3065" s="312" t="str">
        <f t="shared" si="188"/>
        <v>LO</v>
      </c>
      <c r="F3065" s="369">
        <f>VLOOKUP(C3065,METADATA!$A$5:$H$29,IF(E3065="HI",2,IF(E3065="LO",6,10))+IF(D3065=1,2,IF(D3065=7,1,(IF(WEEKDAY(B3065)=1,2,IF(WEEKDAY(B3065)=7,1,0))))))</f>
        <v>2</v>
      </c>
      <c r="G3065" s="369">
        <f>VLOOKUP(C3065,METADATA!$J$5:$Q$29,IF(E3065="HI",2,IF(E3065="LO",6,10))+IF(D3065=1,2,IF(D3065=7,1,(IF(WEEKDAY(B3065)=1,2,IF(WEEKDAY(B3065)=7,1,0))))))</f>
        <v>2</v>
      </c>
      <c r="H3065" s="370">
        <v>13507.450073242188</v>
      </c>
      <c r="I3065" s="370">
        <v>4402.3100280761719</v>
      </c>
      <c r="M3065" s="371">
        <f t="shared" si="189"/>
        <v>14206.742802783134</v>
      </c>
      <c r="N3065" s="329">
        <f t="shared" si="190"/>
        <v>350.07500610351599</v>
      </c>
      <c r="T3065" s="331">
        <v>0</v>
      </c>
      <c r="U3065" s="328">
        <f>VLOOKUP(C3065,METADATA!$J$5:$Q$29,IF(E3065="HI",2,IF(E3065="LO",6,10))+IF(T3065=1,2,IF(D3065=7,1,(IF(WEEKDAY(B3065)=1,2,IF(WEEKDAY(B3065)=7,1,0))))))</f>
        <v>2</v>
      </c>
      <c r="V3065" s="328">
        <f>VLOOKUP(C3065,METADATA!$A$5:$H$29,IF(E3065="HI",2,IF(E3065="LO",6,10))+IF(T3065=1,2,IF(D3065=7,1,(IF(WEEKDAY(B3065)=1,2,IF(WEEKDAY(B3065)=7,1,0))))))</f>
        <v>2</v>
      </c>
    </row>
    <row r="3066" spans="2:22">
      <c r="B3066" s="318">
        <f t="shared" si="191"/>
        <v>46240</v>
      </c>
      <c r="C3066" s="312">
        <v>14</v>
      </c>
      <c r="D3066" s="368">
        <f>IFERROR((INDEX(METADATA!$T$2:$T$20,MATCH(B3066,METADATA!$S$2:$S$20,0))),0)</f>
        <v>0</v>
      </c>
      <c r="E3066" s="312" t="str">
        <f t="shared" si="188"/>
        <v>LO</v>
      </c>
      <c r="F3066" s="369">
        <f>VLOOKUP(C3066,METADATA!$A$5:$H$29,IF(E3066="HI",2,IF(E3066="LO",6,10))+IF(D3066=1,2,IF(D3066=7,1,(IF(WEEKDAY(B3066)=1,2,IF(WEEKDAY(B3066)=7,1,0))))))</f>
        <v>2</v>
      </c>
      <c r="G3066" s="369">
        <f>VLOOKUP(C3066,METADATA!$J$5:$Q$29,IF(E3066="HI",2,IF(E3066="LO",6,10))+IF(D3066=1,2,IF(D3066=7,1,(IF(WEEKDAY(B3066)=1,2,IF(WEEKDAY(B3066)=7,1,0))))))</f>
        <v>2</v>
      </c>
      <c r="H3066" s="370">
        <v>13252.35009765625</v>
      </c>
      <c r="I3066" s="370">
        <v>4409.1000366210938</v>
      </c>
      <c r="M3066" s="371">
        <f t="shared" si="189"/>
        <v>13966.56529873332</v>
      </c>
      <c r="N3066" s="329">
        <f t="shared" si="190"/>
        <v>433.39500732421902</v>
      </c>
      <c r="T3066" s="331">
        <v>0</v>
      </c>
      <c r="U3066" s="328">
        <f>VLOOKUP(C3066,METADATA!$J$5:$Q$29,IF(E3066="HI",2,IF(E3066="LO",6,10))+IF(T3066=1,2,IF(D3066=7,1,(IF(WEEKDAY(B3066)=1,2,IF(WEEKDAY(B3066)=7,1,0))))))</f>
        <v>2</v>
      </c>
      <c r="V3066" s="328">
        <f>VLOOKUP(C3066,METADATA!$A$5:$H$29,IF(E3066="HI",2,IF(E3066="LO",6,10))+IF(T3066=1,2,IF(D3066=7,1,(IF(WEEKDAY(B3066)=1,2,IF(WEEKDAY(B3066)=7,1,0))))))</f>
        <v>2</v>
      </c>
    </row>
    <row r="3067" spans="2:22">
      <c r="B3067" s="318">
        <f t="shared" si="191"/>
        <v>46240</v>
      </c>
      <c r="C3067" s="312">
        <v>15</v>
      </c>
      <c r="D3067" s="368">
        <f>IFERROR((INDEX(METADATA!$T$2:$T$20,MATCH(B3067,METADATA!$S$2:$S$20,0))),0)</f>
        <v>0</v>
      </c>
      <c r="E3067" s="312" t="str">
        <f t="shared" si="188"/>
        <v>LO</v>
      </c>
      <c r="F3067" s="369">
        <f>VLOOKUP(C3067,METADATA!$A$5:$H$29,IF(E3067="HI",2,IF(E3067="LO",6,10))+IF(D3067=1,2,IF(D3067=7,1,(IF(WEEKDAY(B3067)=1,2,IF(WEEKDAY(B3067)=7,1,0))))))</f>
        <v>2</v>
      </c>
      <c r="G3067" s="369">
        <f>VLOOKUP(C3067,METADATA!$J$5:$Q$29,IF(E3067="HI",2,IF(E3067="LO",6,10))+IF(D3067=1,2,IF(D3067=7,1,(IF(WEEKDAY(B3067)=1,2,IF(WEEKDAY(B3067)=7,1,0))))))</f>
        <v>2</v>
      </c>
      <c r="H3067" s="370">
        <v>11438.072204589844</v>
      </c>
      <c r="I3067" s="370">
        <v>3378.7875061035156</v>
      </c>
      <c r="M3067" s="371">
        <f t="shared" si="189"/>
        <v>11926.680207367512</v>
      </c>
      <c r="N3067" s="329">
        <f t="shared" si="190"/>
        <v>0</v>
      </c>
      <c r="T3067" s="331">
        <v>0</v>
      </c>
      <c r="U3067" s="328">
        <f>VLOOKUP(C3067,METADATA!$J$5:$Q$29,IF(E3067="HI",2,IF(E3067="LO",6,10))+IF(T3067=1,2,IF(D3067=7,1,(IF(WEEKDAY(B3067)=1,2,IF(WEEKDAY(B3067)=7,1,0))))))</f>
        <v>2</v>
      </c>
      <c r="V3067" s="328">
        <f>VLOOKUP(C3067,METADATA!$A$5:$H$29,IF(E3067="HI",2,IF(E3067="LO",6,10))+IF(T3067=1,2,IF(D3067=7,1,(IF(WEEKDAY(B3067)=1,2,IF(WEEKDAY(B3067)=7,1,0))))))</f>
        <v>2</v>
      </c>
    </row>
    <row r="3068" spans="2:22">
      <c r="B3068" s="318">
        <f t="shared" si="191"/>
        <v>46240</v>
      </c>
      <c r="C3068" s="312">
        <v>16</v>
      </c>
      <c r="D3068" s="368">
        <f>IFERROR((INDEX(METADATA!$T$2:$T$20,MATCH(B3068,METADATA!$S$2:$S$20,0))),0)</f>
        <v>0</v>
      </c>
      <c r="E3068" s="312" t="str">
        <f t="shared" si="188"/>
        <v>LO</v>
      </c>
      <c r="F3068" s="369">
        <f>VLOOKUP(C3068,METADATA!$A$5:$H$29,IF(E3068="HI",2,IF(E3068="LO",6,10))+IF(D3068=1,2,IF(D3068=7,1,(IF(WEEKDAY(B3068)=1,2,IF(WEEKDAY(B3068)=7,1,0))))))</f>
        <v>2</v>
      </c>
      <c r="G3068" s="369">
        <f>VLOOKUP(C3068,METADATA!$J$5:$Q$29,IF(E3068="HI",2,IF(E3068="LO",6,10))+IF(D3068=1,2,IF(D3068=7,1,(IF(WEEKDAY(B3068)=1,2,IF(WEEKDAY(B3068)=7,1,0))))))</f>
        <v>2</v>
      </c>
      <c r="H3068" s="370">
        <v>11549.717681884766</v>
      </c>
      <c r="I3068" s="370">
        <v>3229.5824890136719</v>
      </c>
      <c r="M3068" s="371">
        <f t="shared" si="189"/>
        <v>11992.755379168933</v>
      </c>
      <c r="N3068" s="329">
        <f t="shared" si="190"/>
        <v>0</v>
      </c>
      <c r="T3068" s="331">
        <v>0</v>
      </c>
      <c r="U3068" s="328">
        <f>VLOOKUP(C3068,METADATA!$J$5:$Q$29,IF(E3068="HI",2,IF(E3068="LO",6,10))+IF(T3068=1,2,IF(D3068=7,1,(IF(WEEKDAY(B3068)=1,2,IF(WEEKDAY(B3068)=7,1,0))))))</f>
        <v>2</v>
      </c>
      <c r="V3068" s="328">
        <f>VLOOKUP(C3068,METADATA!$A$5:$H$29,IF(E3068="HI",2,IF(E3068="LO",6,10))+IF(T3068=1,2,IF(D3068=7,1,(IF(WEEKDAY(B3068)=1,2,IF(WEEKDAY(B3068)=7,1,0))))))</f>
        <v>2</v>
      </c>
    </row>
    <row r="3069" spans="2:22">
      <c r="B3069" s="318">
        <f t="shared" si="191"/>
        <v>46240</v>
      </c>
      <c r="C3069" s="312">
        <v>17</v>
      </c>
      <c r="D3069" s="368">
        <f>IFERROR((INDEX(METADATA!$T$2:$T$20,MATCH(B3069,METADATA!$S$2:$S$20,0))),0)</f>
        <v>0</v>
      </c>
      <c r="E3069" s="312" t="str">
        <f t="shared" si="188"/>
        <v>LO</v>
      </c>
      <c r="F3069" s="369">
        <f>VLOOKUP(C3069,METADATA!$A$5:$H$29,IF(E3069="HI",2,IF(E3069="LO",6,10))+IF(D3069=1,2,IF(D3069=7,1,(IF(WEEKDAY(B3069)=1,2,IF(WEEKDAY(B3069)=7,1,0))))))</f>
        <v>2</v>
      </c>
      <c r="G3069" s="369">
        <f>VLOOKUP(C3069,METADATA!$J$5:$Q$29,IF(E3069="HI",2,IF(E3069="LO",6,10))+IF(D3069=1,2,IF(D3069=7,1,(IF(WEEKDAY(B3069)=1,2,IF(WEEKDAY(B3069)=7,1,0))))))</f>
        <v>2</v>
      </c>
      <c r="H3069" s="370">
        <v>11580.295196533203</v>
      </c>
      <c r="I3069" s="370">
        <v>3192.3575134277344</v>
      </c>
      <c r="M3069" s="371">
        <f t="shared" si="189"/>
        <v>12012.259709662811</v>
      </c>
      <c r="N3069" s="329">
        <f t="shared" si="190"/>
        <v>0</v>
      </c>
      <c r="T3069" s="331">
        <v>0</v>
      </c>
      <c r="U3069" s="328">
        <f>VLOOKUP(C3069,METADATA!$J$5:$Q$29,IF(E3069="HI",2,IF(E3069="LO",6,10))+IF(T3069=1,2,IF(D3069=7,1,(IF(WEEKDAY(B3069)=1,2,IF(WEEKDAY(B3069)=7,1,0))))))</f>
        <v>2</v>
      </c>
      <c r="V3069" s="328">
        <f>VLOOKUP(C3069,METADATA!$A$5:$H$29,IF(E3069="HI",2,IF(E3069="LO",6,10))+IF(T3069=1,2,IF(D3069=7,1,(IF(WEEKDAY(B3069)=1,2,IF(WEEKDAY(B3069)=7,1,0))))))</f>
        <v>2</v>
      </c>
    </row>
    <row r="3070" spans="2:22">
      <c r="B3070" s="318">
        <f t="shared" si="191"/>
        <v>46240</v>
      </c>
      <c r="C3070" s="312">
        <v>18</v>
      </c>
      <c r="D3070" s="368">
        <f>IFERROR((INDEX(METADATA!$T$2:$T$20,MATCH(B3070,METADATA!$S$2:$S$20,0))),0)</f>
        <v>0</v>
      </c>
      <c r="E3070" s="312" t="str">
        <f t="shared" si="188"/>
        <v>LO</v>
      </c>
      <c r="F3070" s="369">
        <f>VLOOKUP(C3070,METADATA!$A$5:$H$29,IF(E3070="HI",2,IF(E3070="LO",6,10))+IF(D3070=1,2,IF(D3070=7,1,(IF(WEEKDAY(B3070)=1,2,IF(WEEKDAY(B3070)=7,1,0))))))</f>
        <v>1</v>
      </c>
      <c r="G3070" s="369">
        <f>VLOOKUP(C3070,METADATA!$J$5:$Q$29,IF(E3070="HI",2,IF(E3070="LO",6,10))+IF(D3070=1,2,IF(D3070=7,1,(IF(WEEKDAY(B3070)=1,2,IF(WEEKDAY(B3070)=7,1,0))))))</f>
        <v>1</v>
      </c>
      <c r="H3070" s="370">
        <v>12324.037414550781</v>
      </c>
      <c r="I3070" s="370">
        <v>3508.9199829101563</v>
      </c>
      <c r="M3070" s="371">
        <f t="shared" si="189"/>
        <v>12813.836960165901</v>
      </c>
      <c r="N3070" s="329">
        <f t="shared" si="190"/>
        <v>0</v>
      </c>
      <c r="T3070" s="331">
        <v>0</v>
      </c>
      <c r="U3070" s="328">
        <f>VLOOKUP(C3070,METADATA!$J$5:$Q$29,IF(E3070="HI",2,IF(E3070="LO",6,10))+IF(T3070=1,2,IF(D3070=7,1,(IF(WEEKDAY(B3070)=1,2,IF(WEEKDAY(B3070)=7,1,0))))))</f>
        <v>1</v>
      </c>
      <c r="V3070" s="328">
        <f>VLOOKUP(C3070,METADATA!$A$5:$H$29,IF(E3070="HI",2,IF(E3070="LO",6,10))+IF(T3070=1,2,IF(D3070=7,1,(IF(WEEKDAY(B3070)=1,2,IF(WEEKDAY(B3070)=7,1,0))))))</f>
        <v>1</v>
      </c>
    </row>
    <row r="3071" spans="2:22">
      <c r="B3071" s="318">
        <f t="shared" si="191"/>
        <v>46240</v>
      </c>
      <c r="C3071" s="312">
        <v>19</v>
      </c>
      <c r="D3071" s="368">
        <f>IFERROR((INDEX(METADATA!$T$2:$T$20,MATCH(B3071,METADATA!$S$2:$S$20,0))),0)</f>
        <v>0</v>
      </c>
      <c r="E3071" s="312" t="str">
        <f t="shared" si="188"/>
        <v>LO</v>
      </c>
      <c r="F3071" s="369">
        <f>VLOOKUP(C3071,METADATA!$A$5:$H$29,IF(E3071="HI",2,IF(E3071="LO",6,10))+IF(D3071=1,2,IF(D3071=7,1,(IF(WEEKDAY(B3071)=1,2,IF(WEEKDAY(B3071)=7,1,0))))))</f>
        <v>1</v>
      </c>
      <c r="G3071" s="369">
        <f>VLOOKUP(C3071,METADATA!$J$5:$Q$29,IF(E3071="HI",2,IF(E3071="LO",6,10))+IF(D3071=1,2,IF(D3071=7,1,(IF(WEEKDAY(B3071)=1,2,IF(WEEKDAY(B3071)=7,1,0))))))</f>
        <v>1</v>
      </c>
      <c r="H3071" s="370">
        <v>13768.949951171875</v>
      </c>
      <c r="I3071" s="370">
        <v>4318.7950134277344</v>
      </c>
      <c r="M3071" s="371">
        <f t="shared" si="189"/>
        <v>14430.383679094753</v>
      </c>
      <c r="N3071" s="329">
        <f t="shared" si="190"/>
        <v>188.11002807617206</v>
      </c>
      <c r="T3071" s="331">
        <v>0</v>
      </c>
      <c r="U3071" s="328">
        <f>VLOOKUP(C3071,METADATA!$J$5:$Q$29,IF(E3071="HI",2,IF(E3071="LO",6,10))+IF(T3071=1,2,IF(D3071=7,1,(IF(WEEKDAY(B3071)=1,2,IF(WEEKDAY(B3071)=7,1,0))))))</f>
        <v>1</v>
      </c>
      <c r="V3071" s="328">
        <f>VLOOKUP(C3071,METADATA!$A$5:$H$29,IF(E3071="HI",2,IF(E3071="LO",6,10))+IF(T3071=1,2,IF(D3071=7,1,(IF(WEEKDAY(B3071)=1,2,IF(WEEKDAY(B3071)=7,1,0))))))</f>
        <v>1</v>
      </c>
    </row>
    <row r="3072" spans="2:22">
      <c r="B3072" s="318">
        <f t="shared" si="191"/>
        <v>46240</v>
      </c>
      <c r="C3072" s="312">
        <v>20</v>
      </c>
      <c r="D3072" s="368">
        <f>IFERROR((INDEX(METADATA!$T$2:$T$20,MATCH(B3072,METADATA!$S$2:$S$20,0))),0)</f>
        <v>0</v>
      </c>
      <c r="E3072" s="312" t="str">
        <f t="shared" si="188"/>
        <v>LO</v>
      </c>
      <c r="F3072" s="369">
        <f>VLOOKUP(C3072,METADATA!$A$5:$H$29,IF(E3072="HI",2,IF(E3072="LO",6,10))+IF(D3072=1,2,IF(D3072=7,1,(IF(WEEKDAY(B3072)=1,2,IF(WEEKDAY(B3072)=7,1,0))))))</f>
        <v>1</v>
      </c>
      <c r="G3072" s="369">
        <f>VLOOKUP(C3072,METADATA!$J$5:$Q$29,IF(E3072="HI",2,IF(E3072="LO",6,10))+IF(D3072=1,2,IF(D3072=7,1,(IF(WEEKDAY(B3072)=1,2,IF(WEEKDAY(B3072)=7,1,0))))))</f>
        <v>1</v>
      </c>
      <c r="H3072" s="370">
        <v>13777.325012207031</v>
      </c>
      <c r="I3072" s="370">
        <v>4388.7150268554688</v>
      </c>
      <c r="M3072" s="371">
        <f t="shared" si="189"/>
        <v>14459.443422169903</v>
      </c>
      <c r="N3072" s="329">
        <f t="shared" si="190"/>
        <v>255.51752319335992</v>
      </c>
      <c r="T3072" s="331">
        <v>0</v>
      </c>
      <c r="U3072" s="328">
        <f>VLOOKUP(C3072,METADATA!$J$5:$Q$29,IF(E3072="HI",2,IF(E3072="LO",6,10))+IF(T3072=1,2,IF(D3072=7,1,(IF(WEEKDAY(B3072)=1,2,IF(WEEKDAY(B3072)=7,1,0))))))</f>
        <v>1</v>
      </c>
      <c r="V3072" s="328">
        <f>VLOOKUP(C3072,METADATA!$A$5:$H$29,IF(E3072="HI",2,IF(E3072="LO",6,10))+IF(T3072=1,2,IF(D3072=7,1,(IF(WEEKDAY(B3072)=1,2,IF(WEEKDAY(B3072)=7,1,0))))))</f>
        <v>1</v>
      </c>
    </row>
    <row r="3073" spans="2:22">
      <c r="B3073" s="318">
        <f t="shared" si="191"/>
        <v>46240</v>
      </c>
      <c r="C3073" s="312">
        <v>21</v>
      </c>
      <c r="D3073" s="368">
        <f>IFERROR((INDEX(METADATA!$T$2:$T$20,MATCH(B3073,METADATA!$S$2:$S$20,0))),0)</f>
        <v>0</v>
      </c>
      <c r="E3073" s="312" t="str">
        <f t="shared" si="188"/>
        <v>LO</v>
      </c>
      <c r="F3073" s="369">
        <f>VLOOKUP(C3073,METADATA!$A$5:$H$29,IF(E3073="HI",2,IF(E3073="LO",6,10))+IF(D3073=1,2,IF(D3073=7,1,(IF(WEEKDAY(B3073)=1,2,IF(WEEKDAY(B3073)=7,1,0))))))</f>
        <v>2</v>
      </c>
      <c r="G3073" s="369">
        <f>VLOOKUP(C3073,METADATA!$J$5:$Q$29,IF(E3073="HI",2,IF(E3073="LO",6,10))+IF(D3073=1,2,IF(D3073=7,1,(IF(WEEKDAY(B3073)=1,2,IF(WEEKDAY(B3073)=7,1,0))))))</f>
        <v>2</v>
      </c>
      <c r="H3073" s="370">
        <v>13649.925048828125</v>
      </c>
      <c r="I3073" s="370">
        <v>4483.2450561523438</v>
      </c>
      <c r="M3073" s="371">
        <f t="shared" si="189"/>
        <v>14367.321951990214</v>
      </c>
      <c r="N3073" s="329">
        <f t="shared" si="190"/>
        <v>388.26754150390661</v>
      </c>
      <c r="T3073" s="331">
        <v>0</v>
      </c>
      <c r="U3073" s="328">
        <f>VLOOKUP(C3073,METADATA!$J$5:$Q$29,IF(E3073="HI",2,IF(E3073="LO",6,10))+IF(T3073=1,2,IF(D3073=7,1,(IF(WEEKDAY(B3073)=1,2,IF(WEEKDAY(B3073)=7,1,0))))))</f>
        <v>2</v>
      </c>
      <c r="V3073" s="328">
        <f>VLOOKUP(C3073,METADATA!$A$5:$H$29,IF(E3073="HI",2,IF(E3073="LO",6,10))+IF(T3073=1,2,IF(D3073=7,1,(IF(WEEKDAY(B3073)=1,2,IF(WEEKDAY(B3073)=7,1,0))))))</f>
        <v>2</v>
      </c>
    </row>
    <row r="3074" spans="2:22">
      <c r="B3074" s="318">
        <f t="shared" si="191"/>
        <v>46240</v>
      </c>
      <c r="C3074" s="312">
        <v>22</v>
      </c>
      <c r="D3074" s="368">
        <f>IFERROR((INDEX(METADATA!$T$2:$T$20,MATCH(B3074,METADATA!$S$2:$S$20,0))),0)</f>
        <v>0</v>
      </c>
      <c r="E3074" s="312" t="str">
        <f t="shared" si="188"/>
        <v>LO</v>
      </c>
      <c r="F3074" s="369">
        <f>VLOOKUP(C3074,METADATA!$A$5:$H$29,IF(E3074="HI",2,IF(E3074="LO",6,10))+IF(D3074=1,2,IF(D3074=7,1,(IF(WEEKDAY(B3074)=1,2,IF(WEEKDAY(B3074)=7,1,0))))))</f>
        <v>3</v>
      </c>
      <c r="G3074" s="369">
        <f>VLOOKUP(C3074,METADATA!$J$5:$Q$29,IF(E3074="HI",2,IF(E3074="LO",6,10))+IF(D3074=1,2,IF(D3074=7,1,(IF(WEEKDAY(B3074)=1,2,IF(WEEKDAY(B3074)=7,1,0))))))</f>
        <v>3</v>
      </c>
      <c r="H3074" s="370">
        <v>11827.664886474609</v>
      </c>
      <c r="I3074" s="370">
        <v>3488.0724487304688</v>
      </c>
      <c r="M3074" s="371">
        <f t="shared" si="189"/>
        <v>12331.273497669939</v>
      </c>
      <c r="N3074" s="329">
        <f t="shared" si="190"/>
        <v>0</v>
      </c>
      <c r="T3074" s="331">
        <v>0</v>
      </c>
      <c r="U3074" s="328">
        <f>VLOOKUP(C3074,METADATA!$J$5:$Q$29,IF(E3074="HI",2,IF(E3074="LO",6,10))+IF(T3074=1,2,IF(D3074=7,1,(IF(WEEKDAY(B3074)=1,2,IF(WEEKDAY(B3074)=7,1,0))))))</f>
        <v>3</v>
      </c>
      <c r="V3074" s="328">
        <f>VLOOKUP(C3074,METADATA!$A$5:$H$29,IF(E3074="HI",2,IF(E3074="LO",6,10))+IF(T3074=1,2,IF(D3074=7,1,(IF(WEEKDAY(B3074)=1,2,IF(WEEKDAY(B3074)=7,1,0))))))</f>
        <v>3</v>
      </c>
    </row>
    <row r="3075" spans="2:22">
      <c r="B3075" s="318">
        <f t="shared" si="191"/>
        <v>46240</v>
      </c>
      <c r="C3075" s="312">
        <v>23</v>
      </c>
      <c r="D3075" s="368">
        <f>IFERROR((INDEX(METADATA!$T$2:$T$20,MATCH(B3075,METADATA!$S$2:$S$20,0))),0)</f>
        <v>0</v>
      </c>
      <c r="E3075" s="312" t="str">
        <f t="shared" si="188"/>
        <v>LO</v>
      </c>
      <c r="F3075" s="369">
        <f>VLOOKUP(C3075,METADATA!$A$5:$H$29,IF(E3075="HI",2,IF(E3075="LO",6,10))+IF(D3075=1,2,IF(D3075=7,1,(IF(WEEKDAY(B3075)=1,2,IF(WEEKDAY(B3075)=7,1,0))))))</f>
        <v>3</v>
      </c>
      <c r="G3075" s="369">
        <f>VLOOKUP(C3075,METADATA!$J$5:$Q$29,IF(E3075="HI",2,IF(E3075="LO",6,10))+IF(D3075=1,2,IF(D3075=7,1,(IF(WEEKDAY(B3075)=1,2,IF(WEEKDAY(B3075)=7,1,0))))))</f>
        <v>3</v>
      </c>
      <c r="H3075" s="370">
        <v>11541.405090332031</v>
      </c>
      <c r="I3075" s="370">
        <v>3340.054931640625</v>
      </c>
      <c r="M3075" s="371">
        <f t="shared" si="189"/>
        <v>12014.990570346652</v>
      </c>
      <c r="N3075" s="329">
        <f t="shared" si="190"/>
        <v>0</v>
      </c>
      <c r="T3075" s="331">
        <v>0</v>
      </c>
      <c r="U3075" s="328">
        <f>VLOOKUP(C3075,METADATA!$J$5:$Q$29,IF(E3075="HI",2,IF(E3075="LO",6,10))+IF(T3075=1,2,IF(D3075=7,1,(IF(WEEKDAY(B3075)=1,2,IF(WEEKDAY(B3075)=7,1,0))))))</f>
        <v>3</v>
      </c>
      <c r="V3075" s="328">
        <f>VLOOKUP(C3075,METADATA!$A$5:$H$29,IF(E3075="HI",2,IF(E3075="LO",6,10))+IF(T3075=1,2,IF(D3075=7,1,(IF(WEEKDAY(B3075)=1,2,IF(WEEKDAY(B3075)=7,1,0))))))</f>
        <v>3</v>
      </c>
    </row>
    <row r="3076" spans="2:22">
      <c r="B3076" s="318">
        <f t="shared" si="191"/>
        <v>46241</v>
      </c>
      <c r="C3076" s="312">
        <v>0</v>
      </c>
      <c r="D3076" s="368">
        <f>IFERROR((INDEX(METADATA!$T$2:$T$20,MATCH(B3076,METADATA!$S$2:$S$20,0))),0)</f>
        <v>0</v>
      </c>
      <c r="E3076" s="312" t="str">
        <f t="shared" ref="E3076:E3139" si="192">IF(B3076="","",IF(AND(MONTH(B3076)&gt;=MONTH($Z$9),MONTH(B3076)&lt;=MONTH($Z$11)),"HI","LO"))</f>
        <v>LO</v>
      </c>
      <c r="F3076" s="369">
        <f>VLOOKUP(C3076,METADATA!$A$5:$H$29,IF(E3076="HI",2,IF(E3076="LO",6,10))+IF(D3076=1,2,IF(D3076=7,1,(IF(WEEKDAY(B3076)=1,2,IF(WEEKDAY(B3076)=7,1,0))))))</f>
        <v>3</v>
      </c>
      <c r="G3076" s="369">
        <f>VLOOKUP(C3076,METADATA!$J$5:$Q$29,IF(E3076="HI",2,IF(E3076="LO",6,10))+IF(D3076=1,2,IF(D3076=7,1,(IF(WEEKDAY(B3076)=1,2,IF(WEEKDAY(B3076)=7,1,0))))))</f>
        <v>3</v>
      </c>
      <c r="H3076" s="370">
        <v>12951.77490234375</v>
      </c>
      <c r="I3076" s="370">
        <v>4302.8450012207031</v>
      </c>
      <c r="M3076" s="371">
        <f t="shared" ref="M3076:M3139" si="193">SQRT(H3076^2+I3076^2)</f>
        <v>13647.818441989601</v>
      </c>
      <c r="N3076" s="329">
        <f t="shared" ref="N3076:N3139" si="194">IF(H3076=0,0,(IF(I3076-(0.3*H3076)&lt;0,0,(I3076-(0.3*H3076)))))</f>
        <v>417.31253051757813</v>
      </c>
      <c r="T3076" s="331">
        <v>0</v>
      </c>
      <c r="U3076" s="328">
        <f>VLOOKUP(C3076,METADATA!$J$5:$Q$29,IF(E3076="HI",2,IF(E3076="LO",6,10))+IF(T3076=1,2,IF(D3076=7,1,(IF(WEEKDAY(B3076)=1,2,IF(WEEKDAY(B3076)=7,1,0))))))</f>
        <v>3</v>
      </c>
      <c r="V3076" s="328">
        <f>VLOOKUP(C3076,METADATA!$A$5:$H$29,IF(E3076="HI",2,IF(E3076="LO",6,10))+IF(T3076=1,2,IF(D3076=7,1,(IF(WEEKDAY(B3076)=1,2,IF(WEEKDAY(B3076)=7,1,0))))))</f>
        <v>3</v>
      </c>
    </row>
    <row r="3077" spans="2:22">
      <c r="B3077" s="318">
        <f t="shared" si="191"/>
        <v>46241</v>
      </c>
      <c r="C3077" s="312">
        <v>1</v>
      </c>
      <c r="D3077" s="368">
        <f>IFERROR((INDEX(METADATA!$T$2:$T$20,MATCH(B3077,METADATA!$S$2:$S$20,0))),0)</f>
        <v>0</v>
      </c>
      <c r="E3077" s="312" t="str">
        <f t="shared" si="192"/>
        <v>LO</v>
      </c>
      <c r="F3077" s="369">
        <f>VLOOKUP(C3077,METADATA!$A$5:$H$29,IF(E3077="HI",2,IF(E3077="LO",6,10))+IF(D3077=1,2,IF(D3077=7,1,(IF(WEEKDAY(B3077)=1,2,IF(WEEKDAY(B3077)=7,1,0))))))</f>
        <v>3</v>
      </c>
      <c r="G3077" s="369">
        <f>VLOOKUP(C3077,METADATA!$J$5:$Q$29,IF(E3077="HI",2,IF(E3077="LO",6,10))+IF(D3077=1,2,IF(D3077=7,1,(IF(WEEKDAY(B3077)=1,2,IF(WEEKDAY(B3077)=7,1,0))))))</f>
        <v>3</v>
      </c>
      <c r="H3077" s="370">
        <v>13607.195068359375</v>
      </c>
      <c r="I3077" s="370">
        <v>4672.4600219726563</v>
      </c>
      <c r="M3077" s="371">
        <f t="shared" si="193"/>
        <v>14387.065033748768</v>
      </c>
      <c r="N3077" s="329">
        <f t="shared" si="194"/>
        <v>590.30150146484402</v>
      </c>
      <c r="T3077" s="331">
        <v>0</v>
      </c>
      <c r="U3077" s="328">
        <f>VLOOKUP(C3077,METADATA!$J$5:$Q$29,IF(E3077="HI",2,IF(E3077="LO",6,10))+IF(T3077=1,2,IF(D3077=7,1,(IF(WEEKDAY(B3077)=1,2,IF(WEEKDAY(B3077)=7,1,0))))))</f>
        <v>3</v>
      </c>
      <c r="V3077" s="328">
        <f>VLOOKUP(C3077,METADATA!$A$5:$H$29,IF(E3077="HI",2,IF(E3077="LO",6,10))+IF(T3077=1,2,IF(D3077=7,1,(IF(WEEKDAY(B3077)=1,2,IF(WEEKDAY(B3077)=7,1,0))))))</f>
        <v>3</v>
      </c>
    </row>
    <row r="3078" spans="2:22">
      <c r="B3078" s="318">
        <f t="shared" si="191"/>
        <v>46241</v>
      </c>
      <c r="C3078" s="312">
        <v>2</v>
      </c>
      <c r="D3078" s="368">
        <f>IFERROR((INDEX(METADATA!$T$2:$T$20,MATCH(B3078,METADATA!$S$2:$S$20,0))),0)</f>
        <v>0</v>
      </c>
      <c r="E3078" s="312" t="str">
        <f t="shared" si="192"/>
        <v>LO</v>
      </c>
      <c r="F3078" s="369">
        <f>VLOOKUP(C3078,METADATA!$A$5:$H$29,IF(E3078="HI",2,IF(E3078="LO",6,10))+IF(D3078=1,2,IF(D3078=7,1,(IF(WEEKDAY(B3078)=1,2,IF(WEEKDAY(B3078)=7,1,0))))))</f>
        <v>3</v>
      </c>
      <c r="G3078" s="369">
        <f>VLOOKUP(C3078,METADATA!$J$5:$Q$29,IF(E3078="HI",2,IF(E3078="LO",6,10))+IF(D3078=1,2,IF(D3078=7,1,(IF(WEEKDAY(B3078)=1,2,IF(WEEKDAY(B3078)=7,1,0))))))</f>
        <v>3</v>
      </c>
      <c r="H3078" s="370">
        <v>13503.35009765625</v>
      </c>
      <c r="I3078" s="370">
        <v>4432.25</v>
      </c>
      <c r="M3078" s="371">
        <f t="shared" si="193"/>
        <v>14212.15338794136</v>
      </c>
      <c r="N3078" s="329">
        <f t="shared" si="194"/>
        <v>381.24497070312509</v>
      </c>
      <c r="T3078" s="331">
        <v>0</v>
      </c>
      <c r="U3078" s="328">
        <f>VLOOKUP(C3078,METADATA!$J$5:$Q$29,IF(E3078="HI",2,IF(E3078="LO",6,10))+IF(T3078=1,2,IF(D3078=7,1,(IF(WEEKDAY(B3078)=1,2,IF(WEEKDAY(B3078)=7,1,0))))))</f>
        <v>3</v>
      </c>
      <c r="V3078" s="328">
        <f>VLOOKUP(C3078,METADATA!$A$5:$H$29,IF(E3078="HI",2,IF(E3078="LO",6,10))+IF(T3078=1,2,IF(D3078=7,1,(IF(WEEKDAY(B3078)=1,2,IF(WEEKDAY(B3078)=7,1,0))))))</f>
        <v>3</v>
      </c>
    </row>
    <row r="3079" spans="2:22">
      <c r="B3079" s="318">
        <f t="shared" si="191"/>
        <v>46241</v>
      </c>
      <c r="C3079" s="312">
        <v>3</v>
      </c>
      <c r="D3079" s="368">
        <f>IFERROR((INDEX(METADATA!$T$2:$T$20,MATCH(B3079,METADATA!$S$2:$S$20,0))),0)</f>
        <v>0</v>
      </c>
      <c r="E3079" s="312" t="str">
        <f t="shared" si="192"/>
        <v>LO</v>
      </c>
      <c r="F3079" s="369">
        <f>VLOOKUP(C3079,METADATA!$A$5:$H$29,IF(E3079="HI",2,IF(E3079="LO",6,10))+IF(D3079=1,2,IF(D3079=7,1,(IF(WEEKDAY(B3079)=1,2,IF(WEEKDAY(B3079)=7,1,0))))))</f>
        <v>3</v>
      </c>
      <c r="G3079" s="369">
        <f>VLOOKUP(C3079,METADATA!$J$5:$Q$29,IF(E3079="HI",2,IF(E3079="LO",6,10))+IF(D3079=1,2,IF(D3079=7,1,(IF(WEEKDAY(B3079)=1,2,IF(WEEKDAY(B3079)=7,1,0))))))</f>
        <v>3</v>
      </c>
      <c r="H3079" s="370">
        <v>11446.617828369141</v>
      </c>
      <c r="I3079" s="370">
        <v>3289.6025085449219</v>
      </c>
      <c r="M3079" s="371">
        <f t="shared" si="193"/>
        <v>11909.934692220748</v>
      </c>
      <c r="N3079" s="329">
        <f t="shared" si="194"/>
        <v>0</v>
      </c>
      <c r="T3079" s="331">
        <v>0</v>
      </c>
      <c r="U3079" s="328">
        <f>VLOOKUP(C3079,METADATA!$J$5:$Q$29,IF(E3079="HI",2,IF(E3079="LO",6,10))+IF(T3079=1,2,IF(D3079=7,1,(IF(WEEKDAY(B3079)=1,2,IF(WEEKDAY(B3079)=7,1,0))))))</f>
        <v>3</v>
      </c>
      <c r="V3079" s="328">
        <f>VLOOKUP(C3079,METADATA!$A$5:$H$29,IF(E3079="HI",2,IF(E3079="LO",6,10))+IF(T3079=1,2,IF(D3079=7,1,(IF(WEEKDAY(B3079)=1,2,IF(WEEKDAY(B3079)=7,1,0))))))</f>
        <v>3</v>
      </c>
    </row>
    <row r="3080" spans="2:22">
      <c r="B3080" s="318">
        <f t="shared" si="191"/>
        <v>46241</v>
      </c>
      <c r="C3080" s="312">
        <v>4</v>
      </c>
      <c r="D3080" s="368">
        <f>IFERROR((INDEX(METADATA!$T$2:$T$20,MATCH(B3080,METADATA!$S$2:$S$20,0))),0)</f>
        <v>0</v>
      </c>
      <c r="E3080" s="312" t="str">
        <f t="shared" si="192"/>
        <v>LO</v>
      </c>
      <c r="F3080" s="369">
        <f>VLOOKUP(C3080,METADATA!$A$5:$H$29,IF(E3080="HI",2,IF(E3080="LO",6,10))+IF(D3080=1,2,IF(D3080=7,1,(IF(WEEKDAY(B3080)=1,2,IF(WEEKDAY(B3080)=7,1,0))))))</f>
        <v>3</v>
      </c>
      <c r="G3080" s="369">
        <f>VLOOKUP(C3080,METADATA!$J$5:$Q$29,IF(E3080="HI",2,IF(E3080="LO",6,10))+IF(D3080=1,2,IF(D3080=7,1,(IF(WEEKDAY(B3080)=1,2,IF(WEEKDAY(B3080)=7,1,0))))))</f>
        <v>3</v>
      </c>
      <c r="H3080" s="370">
        <v>11397.880126953125</v>
      </c>
      <c r="I3080" s="370">
        <v>3168.2174987792969</v>
      </c>
      <c r="M3080" s="371">
        <f t="shared" si="193"/>
        <v>11830.015786463022</v>
      </c>
      <c r="N3080" s="329">
        <f t="shared" si="194"/>
        <v>0</v>
      </c>
      <c r="T3080" s="331">
        <v>0</v>
      </c>
      <c r="U3080" s="328">
        <f>VLOOKUP(C3080,METADATA!$J$5:$Q$29,IF(E3080="HI",2,IF(E3080="LO",6,10))+IF(T3080=1,2,IF(D3080=7,1,(IF(WEEKDAY(B3080)=1,2,IF(WEEKDAY(B3080)=7,1,0))))))</f>
        <v>3</v>
      </c>
      <c r="V3080" s="328">
        <f>VLOOKUP(C3080,METADATA!$A$5:$H$29,IF(E3080="HI",2,IF(E3080="LO",6,10))+IF(T3080=1,2,IF(D3080=7,1,(IF(WEEKDAY(B3080)=1,2,IF(WEEKDAY(B3080)=7,1,0))))))</f>
        <v>3</v>
      </c>
    </row>
    <row r="3081" spans="2:22">
      <c r="B3081" s="318">
        <f t="shared" si="191"/>
        <v>46241</v>
      </c>
      <c r="C3081" s="312">
        <v>5</v>
      </c>
      <c r="D3081" s="368">
        <f>IFERROR((INDEX(METADATA!$T$2:$T$20,MATCH(B3081,METADATA!$S$2:$S$20,0))),0)</f>
        <v>0</v>
      </c>
      <c r="E3081" s="312" t="str">
        <f t="shared" si="192"/>
        <v>LO</v>
      </c>
      <c r="F3081" s="369">
        <f>VLOOKUP(C3081,METADATA!$A$5:$H$29,IF(E3081="HI",2,IF(E3081="LO",6,10))+IF(D3081=1,2,IF(D3081=7,1,(IF(WEEKDAY(B3081)=1,2,IF(WEEKDAY(B3081)=7,1,0))))))</f>
        <v>3</v>
      </c>
      <c r="G3081" s="369">
        <f>VLOOKUP(C3081,METADATA!$J$5:$Q$29,IF(E3081="HI",2,IF(E3081="LO",6,10))+IF(D3081=1,2,IF(D3081=7,1,(IF(WEEKDAY(B3081)=1,2,IF(WEEKDAY(B3081)=7,1,0))))))</f>
        <v>3</v>
      </c>
      <c r="H3081" s="370">
        <v>12637.125366210938</v>
      </c>
      <c r="I3081" s="370">
        <v>3726.0524291992188</v>
      </c>
      <c r="M3081" s="371">
        <f t="shared" si="193"/>
        <v>13174.991621495374</v>
      </c>
      <c r="N3081" s="329">
        <f t="shared" si="194"/>
        <v>0</v>
      </c>
      <c r="T3081" s="331">
        <v>0</v>
      </c>
      <c r="U3081" s="328">
        <f>VLOOKUP(C3081,METADATA!$J$5:$Q$29,IF(E3081="HI",2,IF(E3081="LO",6,10))+IF(T3081=1,2,IF(D3081=7,1,(IF(WEEKDAY(B3081)=1,2,IF(WEEKDAY(B3081)=7,1,0))))))</f>
        <v>3</v>
      </c>
      <c r="V3081" s="328">
        <f>VLOOKUP(C3081,METADATA!$A$5:$H$29,IF(E3081="HI",2,IF(E3081="LO",6,10))+IF(T3081=1,2,IF(D3081=7,1,(IF(WEEKDAY(B3081)=1,2,IF(WEEKDAY(B3081)=7,1,0))))))</f>
        <v>3</v>
      </c>
    </row>
    <row r="3082" spans="2:22">
      <c r="B3082" s="318">
        <f t="shared" si="191"/>
        <v>46241</v>
      </c>
      <c r="C3082" s="312">
        <v>6</v>
      </c>
      <c r="D3082" s="368">
        <f>IFERROR((INDEX(METADATA!$T$2:$T$20,MATCH(B3082,METADATA!$S$2:$S$20,0))),0)</f>
        <v>0</v>
      </c>
      <c r="E3082" s="312" t="str">
        <f t="shared" si="192"/>
        <v>LO</v>
      </c>
      <c r="F3082" s="369">
        <f>VLOOKUP(C3082,METADATA!$A$5:$H$29,IF(E3082="HI",2,IF(E3082="LO",6,10))+IF(D3082=1,2,IF(D3082=7,1,(IF(WEEKDAY(B3082)=1,2,IF(WEEKDAY(B3082)=7,1,0))))))</f>
        <v>2</v>
      </c>
      <c r="G3082" s="369">
        <f>VLOOKUP(C3082,METADATA!$J$5:$Q$29,IF(E3082="HI",2,IF(E3082="LO",6,10))+IF(D3082=1,2,IF(D3082=7,1,(IF(WEEKDAY(B3082)=1,2,IF(WEEKDAY(B3082)=7,1,0))))))</f>
        <v>2</v>
      </c>
      <c r="H3082" s="370">
        <v>13612.625244140625</v>
      </c>
      <c r="I3082" s="370">
        <v>4348.3250427246094</v>
      </c>
      <c r="M3082" s="371">
        <f t="shared" si="193"/>
        <v>14290.258805025212</v>
      </c>
      <c r="N3082" s="329">
        <f t="shared" si="194"/>
        <v>264.53746948242224</v>
      </c>
      <c r="T3082" s="331">
        <v>0</v>
      </c>
      <c r="U3082" s="328">
        <f>VLOOKUP(C3082,METADATA!$J$5:$Q$29,IF(E3082="HI",2,IF(E3082="LO",6,10))+IF(T3082=1,2,IF(D3082=7,1,(IF(WEEKDAY(B3082)=1,2,IF(WEEKDAY(B3082)=7,1,0))))))</f>
        <v>2</v>
      </c>
      <c r="V3082" s="328">
        <f>VLOOKUP(C3082,METADATA!$A$5:$H$29,IF(E3082="HI",2,IF(E3082="LO",6,10))+IF(T3082=1,2,IF(D3082=7,1,(IF(WEEKDAY(B3082)=1,2,IF(WEEKDAY(B3082)=7,1,0))))))</f>
        <v>2</v>
      </c>
    </row>
    <row r="3083" spans="2:22">
      <c r="B3083" s="318">
        <f t="shared" si="191"/>
        <v>46241</v>
      </c>
      <c r="C3083" s="312">
        <v>7</v>
      </c>
      <c r="D3083" s="368">
        <f>IFERROR((INDEX(METADATA!$T$2:$T$20,MATCH(B3083,METADATA!$S$2:$S$20,0))),0)</f>
        <v>0</v>
      </c>
      <c r="E3083" s="312" t="str">
        <f t="shared" si="192"/>
        <v>LO</v>
      </c>
      <c r="F3083" s="369">
        <f>VLOOKUP(C3083,METADATA!$A$5:$H$29,IF(E3083="HI",2,IF(E3083="LO",6,10))+IF(D3083=1,2,IF(D3083=7,1,(IF(WEEKDAY(B3083)=1,2,IF(WEEKDAY(B3083)=7,1,0))))))</f>
        <v>1</v>
      </c>
      <c r="G3083" s="369">
        <f>VLOOKUP(C3083,METADATA!$J$5:$Q$29,IF(E3083="HI",2,IF(E3083="LO",6,10))+IF(D3083=1,2,IF(D3083=7,1,(IF(WEEKDAY(B3083)=1,2,IF(WEEKDAY(B3083)=7,1,0))))))</f>
        <v>1</v>
      </c>
      <c r="H3083" s="370">
        <v>13536.400024414063</v>
      </c>
      <c r="I3083" s="370">
        <v>4281.3600158691406</v>
      </c>
      <c r="M3083" s="371">
        <f t="shared" si="193"/>
        <v>14197.329650551896</v>
      </c>
      <c r="N3083" s="329">
        <f t="shared" si="194"/>
        <v>220.44000854492197</v>
      </c>
      <c r="T3083" s="331">
        <v>0</v>
      </c>
      <c r="U3083" s="328">
        <f>VLOOKUP(C3083,METADATA!$J$5:$Q$29,IF(E3083="HI",2,IF(E3083="LO",6,10))+IF(T3083=1,2,IF(D3083=7,1,(IF(WEEKDAY(B3083)=1,2,IF(WEEKDAY(B3083)=7,1,0))))))</f>
        <v>1</v>
      </c>
      <c r="V3083" s="328">
        <f>VLOOKUP(C3083,METADATA!$A$5:$H$29,IF(E3083="HI",2,IF(E3083="LO",6,10))+IF(T3083=1,2,IF(D3083=7,1,(IF(WEEKDAY(B3083)=1,2,IF(WEEKDAY(B3083)=7,1,0))))))</f>
        <v>1</v>
      </c>
    </row>
    <row r="3084" spans="2:22">
      <c r="B3084" s="318">
        <f t="shared" si="191"/>
        <v>46241</v>
      </c>
      <c r="C3084" s="312">
        <v>8</v>
      </c>
      <c r="D3084" s="368">
        <f>IFERROR((INDEX(METADATA!$T$2:$T$20,MATCH(B3084,METADATA!$S$2:$S$20,0))),0)</f>
        <v>0</v>
      </c>
      <c r="E3084" s="312" t="str">
        <f t="shared" si="192"/>
        <v>LO</v>
      </c>
      <c r="F3084" s="369">
        <f>VLOOKUP(C3084,METADATA!$A$5:$H$29,IF(E3084="HI",2,IF(E3084="LO",6,10))+IF(D3084=1,2,IF(D3084=7,1,(IF(WEEKDAY(B3084)=1,2,IF(WEEKDAY(B3084)=7,1,0))))))</f>
        <v>1</v>
      </c>
      <c r="G3084" s="369">
        <f>VLOOKUP(C3084,METADATA!$J$5:$Q$29,IF(E3084="HI",2,IF(E3084="LO",6,10))+IF(D3084=1,2,IF(D3084=7,1,(IF(WEEKDAY(B3084)=1,2,IF(WEEKDAY(B3084)=7,1,0))))))</f>
        <v>1</v>
      </c>
      <c r="H3084" s="370">
        <v>13449.224975585938</v>
      </c>
      <c r="I3084" s="370">
        <v>4343.7400512695313</v>
      </c>
      <c r="M3084" s="371">
        <f t="shared" si="193"/>
        <v>14133.284475907487</v>
      </c>
      <c r="N3084" s="329">
        <f t="shared" si="194"/>
        <v>308.97255859375036</v>
      </c>
      <c r="T3084" s="331">
        <v>0</v>
      </c>
      <c r="U3084" s="328">
        <f>VLOOKUP(C3084,METADATA!$J$5:$Q$29,IF(E3084="HI",2,IF(E3084="LO",6,10))+IF(T3084=1,2,IF(D3084=7,1,(IF(WEEKDAY(B3084)=1,2,IF(WEEKDAY(B3084)=7,1,0))))))</f>
        <v>1</v>
      </c>
      <c r="V3084" s="328">
        <f>VLOOKUP(C3084,METADATA!$A$5:$H$29,IF(E3084="HI",2,IF(E3084="LO",6,10))+IF(T3084=1,2,IF(D3084=7,1,(IF(WEEKDAY(B3084)=1,2,IF(WEEKDAY(B3084)=7,1,0))))))</f>
        <v>1</v>
      </c>
    </row>
    <row r="3085" spans="2:22">
      <c r="B3085" s="318">
        <f t="shared" si="191"/>
        <v>46241</v>
      </c>
      <c r="C3085" s="312">
        <v>9</v>
      </c>
      <c r="D3085" s="368">
        <f>IFERROR((INDEX(METADATA!$T$2:$T$20,MATCH(B3085,METADATA!$S$2:$S$20,0))),0)</f>
        <v>0</v>
      </c>
      <c r="E3085" s="312" t="str">
        <f t="shared" si="192"/>
        <v>LO</v>
      </c>
      <c r="F3085" s="369">
        <f>VLOOKUP(C3085,METADATA!$A$5:$H$29,IF(E3085="HI",2,IF(E3085="LO",6,10))+IF(D3085=1,2,IF(D3085=7,1,(IF(WEEKDAY(B3085)=1,2,IF(WEEKDAY(B3085)=7,1,0))))))</f>
        <v>2</v>
      </c>
      <c r="G3085" s="369">
        <f>VLOOKUP(C3085,METADATA!$J$5:$Q$29,IF(E3085="HI",2,IF(E3085="LO",6,10))+IF(D3085=1,2,IF(D3085=7,1,(IF(WEEKDAY(B3085)=1,2,IF(WEEKDAY(B3085)=7,1,0))))))</f>
        <v>2</v>
      </c>
      <c r="H3085" s="370">
        <v>12100.197509765625</v>
      </c>
      <c r="I3085" s="370">
        <v>3479.0225219726563</v>
      </c>
      <c r="M3085" s="371">
        <f t="shared" si="193"/>
        <v>12590.408153977027</v>
      </c>
      <c r="N3085" s="329">
        <f t="shared" si="194"/>
        <v>0</v>
      </c>
      <c r="T3085" s="331">
        <v>0</v>
      </c>
      <c r="U3085" s="328">
        <f>VLOOKUP(C3085,METADATA!$J$5:$Q$29,IF(E3085="HI",2,IF(E3085="LO",6,10))+IF(T3085=1,2,IF(D3085=7,1,(IF(WEEKDAY(B3085)=1,2,IF(WEEKDAY(B3085)=7,1,0))))))</f>
        <v>2</v>
      </c>
      <c r="V3085" s="328">
        <f>VLOOKUP(C3085,METADATA!$A$5:$H$29,IF(E3085="HI",2,IF(E3085="LO",6,10))+IF(T3085=1,2,IF(D3085=7,1,(IF(WEEKDAY(B3085)=1,2,IF(WEEKDAY(B3085)=7,1,0))))))</f>
        <v>2</v>
      </c>
    </row>
    <row r="3086" spans="2:22">
      <c r="B3086" s="318">
        <f t="shared" si="191"/>
        <v>46241</v>
      </c>
      <c r="C3086" s="312">
        <v>10</v>
      </c>
      <c r="D3086" s="368">
        <f>IFERROR((INDEX(METADATA!$T$2:$T$20,MATCH(B3086,METADATA!$S$2:$S$20,0))),0)</f>
        <v>0</v>
      </c>
      <c r="E3086" s="312" t="str">
        <f t="shared" si="192"/>
        <v>LO</v>
      </c>
      <c r="F3086" s="369">
        <f>VLOOKUP(C3086,METADATA!$A$5:$H$29,IF(E3086="HI",2,IF(E3086="LO",6,10))+IF(D3086=1,2,IF(D3086=7,1,(IF(WEEKDAY(B3086)=1,2,IF(WEEKDAY(B3086)=7,1,0))))))</f>
        <v>2</v>
      </c>
      <c r="G3086" s="369">
        <f>VLOOKUP(C3086,METADATA!$J$5:$Q$29,IF(E3086="HI",2,IF(E3086="LO",6,10))+IF(D3086=1,2,IF(D3086=7,1,(IF(WEEKDAY(B3086)=1,2,IF(WEEKDAY(B3086)=7,1,0))))))</f>
        <v>2</v>
      </c>
      <c r="H3086" s="370">
        <v>11604.047454833984</v>
      </c>
      <c r="I3086" s="370">
        <v>3233.9525146484375</v>
      </c>
      <c r="M3086" s="371">
        <f t="shared" si="193"/>
        <v>12046.25942776595</v>
      </c>
      <c r="N3086" s="329">
        <f t="shared" si="194"/>
        <v>0</v>
      </c>
      <c r="T3086" s="331">
        <v>0</v>
      </c>
      <c r="U3086" s="328">
        <f>VLOOKUP(C3086,METADATA!$J$5:$Q$29,IF(E3086="HI",2,IF(E3086="LO",6,10))+IF(T3086=1,2,IF(D3086=7,1,(IF(WEEKDAY(B3086)=1,2,IF(WEEKDAY(B3086)=7,1,0))))))</f>
        <v>2</v>
      </c>
      <c r="V3086" s="328">
        <f>VLOOKUP(C3086,METADATA!$A$5:$H$29,IF(E3086="HI",2,IF(E3086="LO",6,10))+IF(T3086=1,2,IF(D3086=7,1,(IF(WEEKDAY(B3086)=1,2,IF(WEEKDAY(B3086)=7,1,0))))))</f>
        <v>2</v>
      </c>
    </row>
    <row r="3087" spans="2:22">
      <c r="B3087" s="318">
        <f t="shared" si="191"/>
        <v>46241</v>
      </c>
      <c r="C3087" s="312">
        <v>11</v>
      </c>
      <c r="D3087" s="368">
        <f>IFERROR((INDEX(METADATA!$T$2:$T$20,MATCH(B3087,METADATA!$S$2:$S$20,0))),0)</f>
        <v>0</v>
      </c>
      <c r="E3087" s="312" t="str">
        <f t="shared" si="192"/>
        <v>LO</v>
      </c>
      <c r="F3087" s="369">
        <f>VLOOKUP(C3087,METADATA!$A$5:$H$29,IF(E3087="HI",2,IF(E3087="LO",6,10))+IF(D3087=1,2,IF(D3087=7,1,(IF(WEEKDAY(B3087)=1,2,IF(WEEKDAY(B3087)=7,1,0))))))</f>
        <v>2</v>
      </c>
      <c r="G3087" s="369">
        <f>VLOOKUP(C3087,METADATA!$J$5:$Q$29,IF(E3087="HI",2,IF(E3087="LO",6,10))+IF(D3087=1,2,IF(D3087=7,1,(IF(WEEKDAY(B3087)=1,2,IF(WEEKDAY(B3087)=7,1,0))))))</f>
        <v>2</v>
      </c>
      <c r="H3087" s="370">
        <v>11732.585388183594</v>
      </c>
      <c r="I3087" s="370">
        <v>3405.5599975585938</v>
      </c>
      <c r="M3087" s="371">
        <f t="shared" si="193"/>
        <v>12216.848971317868</v>
      </c>
      <c r="N3087" s="329">
        <f t="shared" si="194"/>
        <v>0</v>
      </c>
      <c r="T3087" s="331">
        <v>0</v>
      </c>
      <c r="U3087" s="328">
        <f>VLOOKUP(C3087,METADATA!$J$5:$Q$29,IF(E3087="HI",2,IF(E3087="LO",6,10))+IF(T3087=1,2,IF(D3087=7,1,(IF(WEEKDAY(B3087)=1,2,IF(WEEKDAY(B3087)=7,1,0))))))</f>
        <v>2</v>
      </c>
      <c r="V3087" s="328">
        <f>VLOOKUP(C3087,METADATA!$A$5:$H$29,IF(E3087="HI",2,IF(E3087="LO",6,10))+IF(T3087=1,2,IF(D3087=7,1,(IF(WEEKDAY(B3087)=1,2,IF(WEEKDAY(B3087)=7,1,0))))))</f>
        <v>2</v>
      </c>
    </row>
    <row r="3088" spans="2:22">
      <c r="B3088" s="318">
        <f t="shared" si="191"/>
        <v>46241</v>
      </c>
      <c r="C3088" s="312">
        <v>12</v>
      </c>
      <c r="D3088" s="368">
        <f>IFERROR((INDEX(METADATA!$T$2:$T$20,MATCH(B3088,METADATA!$S$2:$S$20,0))),0)</f>
        <v>0</v>
      </c>
      <c r="E3088" s="312" t="str">
        <f t="shared" si="192"/>
        <v>LO</v>
      </c>
      <c r="F3088" s="369">
        <f>VLOOKUP(C3088,METADATA!$A$5:$H$29,IF(E3088="HI",2,IF(E3088="LO",6,10))+IF(D3088=1,2,IF(D3088=7,1,(IF(WEEKDAY(B3088)=1,2,IF(WEEKDAY(B3088)=7,1,0))))))</f>
        <v>2</v>
      </c>
      <c r="G3088" s="369">
        <f>VLOOKUP(C3088,METADATA!$J$5:$Q$29,IF(E3088="HI",2,IF(E3088="LO",6,10))+IF(D3088=1,2,IF(D3088=7,1,(IF(WEEKDAY(B3088)=1,2,IF(WEEKDAY(B3088)=7,1,0))))))</f>
        <v>2</v>
      </c>
      <c r="H3088" s="370">
        <v>13582.699523925781</v>
      </c>
      <c r="I3088" s="370">
        <v>4408.094970703125</v>
      </c>
      <c r="M3088" s="371">
        <f t="shared" si="193"/>
        <v>14280.092003484846</v>
      </c>
      <c r="N3088" s="329">
        <f t="shared" si="194"/>
        <v>333.2851135253909</v>
      </c>
      <c r="T3088" s="331">
        <v>0</v>
      </c>
      <c r="U3088" s="328">
        <f>VLOOKUP(C3088,METADATA!$J$5:$Q$29,IF(E3088="HI",2,IF(E3088="LO",6,10))+IF(T3088=1,2,IF(D3088=7,1,(IF(WEEKDAY(B3088)=1,2,IF(WEEKDAY(B3088)=7,1,0))))))</f>
        <v>2</v>
      </c>
      <c r="V3088" s="328">
        <f>VLOOKUP(C3088,METADATA!$A$5:$H$29,IF(E3088="HI",2,IF(E3088="LO",6,10))+IF(T3088=1,2,IF(D3088=7,1,(IF(WEEKDAY(B3088)=1,2,IF(WEEKDAY(B3088)=7,1,0))))))</f>
        <v>2</v>
      </c>
    </row>
    <row r="3089" spans="2:22">
      <c r="B3089" s="318">
        <f t="shared" si="191"/>
        <v>46241</v>
      </c>
      <c r="C3089" s="312">
        <v>13</v>
      </c>
      <c r="D3089" s="368">
        <f>IFERROR((INDEX(METADATA!$T$2:$T$20,MATCH(B3089,METADATA!$S$2:$S$20,0))),0)</f>
        <v>0</v>
      </c>
      <c r="E3089" s="312" t="str">
        <f t="shared" si="192"/>
        <v>LO</v>
      </c>
      <c r="F3089" s="369">
        <f>VLOOKUP(C3089,METADATA!$A$5:$H$29,IF(E3089="HI",2,IF(E3089="LO",6,10))+IF(D3089=1,2,IF(D3089=7,1,(IF(WEEKDAY(B3089)=1,2,IF(WEEKDAY(B3089)=7,1,0))))))</f>
        <v>2</v>
      </c>
      <c r="G3089" s="369">
        <f>VLOOKUP(C3089,METADATA!$J$5:$Q$29,IF(E3089="HI",2,IF(E3089="LO",6,10))+IF(D3089=1,2,IF(D3089=7,1,(IF(WEEKDAY(B3089)=1,2,IF(WEEKDAY(B3089)=7,1,0))))))</f>
        <v>2</v>
      </c>
      <c r="H3089" s="370">
        <v>13664.374877929688</v>
      </c>
      <c r="I3089" s="370">
        <v>4551.1049499511719</v>
      </c>
      <c r="M3089" s="371">
        <f t="shared" si="193"/>
        <v>14402.350400891724</v>
      </c>
      <c r="N3089" s="329">
        <f t="shared" si="194"/>
        <v>451.79248657226617</v>
      </c>
      <c r="T3089" s="331">
        <v>0</v>
      </c>
      <c r="U3089" s="328">
        <f>VLOOKUP(C3089,METADATA!$J$5:$Q$29,IF(E3089="HI",2,IF(E3089="LO",6,10))+IF(T3089=1,2,IF(D3089=7,1,(IF(WEEKDAY(B3089)=1,2,IF(WEEKDAY(B3089)=7,1,0))))))</f>
        <v>2</v>
      </c>
      <c r="V3089" s="328">
        <f>VLOOKUP(C3089,METADATA!$A$5:$H$29,IF(E3089="HI",2,IF(E3089="LO",6,10))+IF(T3089=1,2,IF(D3089=7,1,(IF(WEEKDAY(B3089)=1,2,IF(WEEKDAY(B3089)=7,1,0))))))</f>
        <v>2</v>
      </c>
    </row>
    <row r="3090" spans="2:22">
      <c r="B3090" s="318">
        <f t="shared" si="191"/>
        <v>46241</v>
      </c>
      <c r="C3090" s="312">
        <v>14</v>
      </c>
      <c r="D3090" s="368">
        <f>IFERROR((INDEX(METADATA!$T$2:$T$20,MATCH(B3090,METADATA!$S$2:$S$20,0))),0)</f>
        <v>0</v>
      </c>
      <c r="E3090" s="312" t="str">
        <f t="shared" si="192"/>
        <v>LO</v>
      </c>
      <c r="F3090" s="369">
        <f>VLOOKUP(C3090,METADATA!$A$5:$H$29,IF(E3090="HI",2,IF(E3090="LO",6,10))+IF(D3090=1,2,IF(D3090=7,1,(IF(WEEKDAY(B3090)=1,2,IF(WEEKDAY(B3090)=7,1,0))))))</f>
        <v>2</v>
      </c>
      <c r="G3090" s="369">
        <f>VLOOKUP(C3090,METADATA!$J$5:$Q$29,IF(E3090="HI",2,IF(E3090="LO",6,10))+IF(D3090=1,2,IF(D3090=7,1,(IF(WEEKDAY(B3090)=1,2,IF(WEEKDAY(B3090)=7,1,0))))))</f>
        <v>2</v>
      </c>
      <c r="H3090" s="370">
        <v>13612.725219726563</v>
      </c>
      <c r="I3090" s="370">
        <v>4624.4400024414063</v>
      </c>
      <c r="M3090" s="371">
        <f t="shared" si="193"/>
        <v>14376.777568146481</v>
      </c>
      <c r="N3090" s="329">
        <f t="shared" si="194"/>
        <v>540.6224365234375</v>
      </c>
      <c r="T3090" s="331">
        <v>0</v>
      </c>
      <c r="U3090" s="328">
        <f>VLOOKUP(C3090,METADATA!$J$5:$Q$29,IF(E3090="HI",2,IF(E3090="LO",6,10))+IF(T3090=1,2,IF(D3090=7,1,(IF(WEEKDAY(B3090)=1,2,IF(WEEKDAY(B3090)=7,1,0))))))</f>
        <v>2</v>
      </c>
      <c r="V3090" s="328">
        <f>VLOOKUP(C3090,METADATA!$A$5:$H$29,IF(E3090="HI",2,IF(E3090="LO",6,10))+IF(T3090=1,2,IF(D3090=7,1,(IF(WEEKDAY(B3090)=1,2,IF(WEEKDAY(B3090)=7,1,0))))))</f>
        <v>2</v>
      </c>
    </row>
    <row r="3091" spans="2:22">
      <c r="B3091" s="318">
        <f t="shared" si="191"/>
        <v>46241</v>
      </c>
      <c r="C3091" s="312">
        <v>15</v>
      </c>
      <c r="D3091" s="368">
        <f>IFERROR((INDEX(METADATA!$T$2:$T$20,MATCH(B3091,METADATA!$S$2:$S$20,0))),0)</f>
        <v>0</v>
      </c>
      <c r="E3091" s="312" t="str">
        <f t="shared" si="192"/>
        <v>LO</v>
      </c>
      <c r="F3091" s="369">
        <f>VLOOKUP(C3091,METADATA!$A$5:$H$29,IF(E3091="HI",2,IF(E3091="LO",6,10))+IF(D3091=1,2,IF(D3091=7,1,(IF(WEEKDAY(B3091)=1,2,IF(WEEKDAY(B3091)=7,1,0))))))</f>
        <v>2</v>
      </c>
      <c r="G3091" s="369">
        <f>VLOOKUP(C3091,METADATA!$J$5:$Q$29,IF(E3091="HI",2,IF(E3091="LO",6,10))+IF(D3091=1,2,IF(D3091=7,1,(IF(WEEKDAY(B3091)=1,2,IF(WEEKDAY(B3091)=7,1,0))))))</f>
        <v>2</v>
      </c>
      <c r="H3091" s="370">
        <v>13676.325012207031</v>
      </c>
      <c r="I3091" s="370">
        <v>4602.219970703125</v>
      </c>
      <c r="M3091" s="371">
        <f t="shared" si="193"/>
        <v>14429.90971899195</v>
      </c>
      <c r="N3091" s="329">
        <f t="shared" si="194"/>
        <v>499.32246704101544</v>
      </c>
      <c r="T3091" s="331">
        <v>0</v>
      </c>
      <c r="U3091" s="328">
        <f>VLOOKUP(C3091,METADATA!$J$5:$Q$29,IF(E3091="HI",2,IF(E3091="LO",6,10))+IF(T3091=1,2,IF(D3091=7,1,(IF(WEEKDAY(B3091)=1,2,IF(WEEKDAY(B3091)=7,1,0))))))</f>
        <v>2</v>
      </c>
      <c r="V3091" s="328">
        <f>VLOOKUP(C3091,METADATA!$A$5:$H$29,IF(E3091="HI",2,IF(E3091="LO",6,10))+IF(T3091=1,2,IF(D3091=7,1,(IF(WEEKDAY(B3091)=1,2,IF(WEEKDAY(B3091)=7,1,0))))))</f>
        <v>2</v>
      </c>
    </row>
    <row r="3092" spans="2:22">
      <c r="B3092" s="318">
        <f t="shared" si="191"/>
        <v>46241</v>
      </c>
      <c r="C3092" s="312">
        <v>16</v>
      </c>
      <c r="D3092" s="368">
        <f>IFERROR((INDEX(METADATA!$T$2:$T$20,MATCH(B3092,METADATA!$S$2:$S$20,0))),0)</f>
        <v>0</v>
      </c>
      <c r="E3092" s="312" t="str">
        <f t="shared" si="192"/>
        <v>LO</v>
      </c>
      <c r="F3092" s="369">
        <f>VLOOKUP(C3092,METADATA!$A$5:$H$29,IF(E3092="HI",2,IF(E3092="LO",6,10))+IF(D3092=1,2,IF(D3092=7,1,(IF(WEEKDAY(B3092)=1,2,IF(WEEKDAY(B3092)=7,1,0))))))</f>
        <v>2</v>
      </c>
      <c r="G3092" s="369">
        <f>VLOOKUP(C3092,METADATA!$J$5:$Q$29,IF(E3092="HI",2,IF(E3092="LO",6,10))+IF(D3092=1,2,IF(D3092=7,1,(IF(WEEKDAY(B3092)=1,2,IF(WEEKDAY(B3092)=7,1,0))))))</f>
        <v>2</v>
      </c>
      <c r="H3092" s="370">
        <v>13419.275146484375</v>
      </c>
      <c r="I3092" s="370">
        <v>4414.31494140625</v>
      </c>
      <c r="M3092" s="371">
        <f t="shared" si="193"/>
        <v>14126.681204691204</v>
      </c>
      <c r="N3092" s="329">
        <f t="shared" si="194"/>
        <v>388.53239746093777</v>
      </c>
      <c r="T3092" s="331">
        <v>0</v>
      </c>
      <c r="U3092" s="328">
        <f>VLOOKUP(C3092,METADATA!$J$5:$Q$29,IF(E3092="HI",2,IF(E3092="LO",6,10))+IF(T3092=1,2,IF(D3092=7,1,(IF(WEEKDAY(B3092)=1,2,IF(WEEKDAY(B3092)=7,1,0))))))</f>
        <v>2</v>
      </c>
      <c r="V3092" s="328">
        <f>VLOOKUP(C3092,METADATA!$A$5:$H$29,IF(E3092="HI",2,IF(E3092="LO",6,10))+IF(T3092=1,2,IF(D3092=7,1,(IF(WEEKDAY(B3092)=1,2,IF(WEEKDAY(B3092)=7,1,0))))))</f>
        <v>2</v>
      </c>
    </row>
    <row r="3093" spans="2:22">
      <c r="B3093" s="318">
        <f t="shared" si="191"/>
        <v>46241</v>
      </c>
      <c r="C3093" s="312">
        <v>17</v>
      </c>
      <c r="D3093" s="368">
        <f>IFERROR((INDEX(METADATA!$T$2:$T$20,MATCH(B3093,METADATA!$S$2:$S$20,0))),0)</f>
        <v>0</v>
      </c>
      <c r="E3093" s="312" t="str">
        <f t="shared" si="192"/>
        <v>LO</v>
      </c>
      <c r="F3093" s="369">
        <f>VLOOKUP(C3093,METADATA!$A$5:$H$29,IF(E3093="HI",2,IF(E3093="LO",6,10))+IF(D3093=1,2,IF(D3093=7,1,(IF(WEEKDAY(B3093)=1,2,IF(WEEKDAY(B3093)=7,1,0))))))</f>
        <v>2</v>
      </c>
      <c r="G3093" s="369">
        <f>VLOOKUP(C3093,METADATA!$J$5:$Q$29,IF(E3093="HI",2,IF(E3093="LO",6,10))+IF(D3093=1,2,IF(D3093=7,1,(IF(WEEKDAY(B3093)=1,2,IF(WEEKDAY(B3093)=7,1,0))))))</f>
        <v>2</v>
      </c>
      <c r="H3093" s="370">
        <v>11780.137634277344</v>
      </c>
      <c r="I3093" s="370">
        <v>3406.4825744628906</v>
      </c>
      <c r="M3093" s="371">
        <f t="shared" si="193"/>
        <v>12262.779709863369</v>
      </c>
      <c r="N3093" s="329">
        <f t="shared" si="194"/>
        <v>0</v>
      </c>
      <c r="T3093" s="331">
        <v>0</v>
      </c>
      <c r="U3093" s="328">
        <f>VLOOKUP(C3093,METADATA!$J$5:$Q$29,IF(E3093="HI",2,IF(E3093="LO",6,10))+IF(T3093=1,2,IF(D3093=7,1,(IF(WEEKDAY(B3093)=1,2,IF(WEEKDAY(B3093)=7,1,0))))))</f>
        <v>2</v>
      </c>
      <c r="V3093" s="328">
        <f>VLOOKUP(C3093,METADATA!$A$5:$H$29,IF(E3093="HI",2,IF(E3093="LO",6,10))+IF(T3093=1,2,IF(D3093=7,1,(IF(WEEKDAY(B3093)=1,2,IF(WEEKDAY(B3093)=7,1,0))))))</f>
        <v>2</v>
      </c>
    </row>
    <row r="3094" spans="2:22">
      <c r="B3094" s="318">
        <f t="shared" si="191"/>
        <v>46241</v>
      </c>
      <c r="C3094" s="312">
        <v>18</v>
      </c>
      <c r="D3094" s="368">
        <f>IFERROR((INDEX(METADATA!$T$2:$T$20,MATCH(B3094,METADATA!$S$2:$S$20,0))),0)</f>
        <v>0</v>
      </c>
      <c r="E3094" s="312" t="str">
        <f t="shared" si="192"/>
        <v>LO</v>
      </c>
      <c r="F3094" s="369">
        <f>VLOOKUP(C3094,METADATA!$A$5:$H$29,IF(E3094="HI",2,IF(E3094="LO",6,10))+IF(D3094=1,2,IF(D3094=7,1,(IF(WEEKDAY(B3094)=1,2,IF(WEEKDAY(B3094)=7,1,0))))))</f>
        <v>1</v>
      </c>
      <c r="G3094" s="369">
        <f>VLOOKUP(C3094,METADATA!$J$5:$Q$29,IF(E3094="HI",2,IF(E3094="LO",6,10))+IF(D3094=1,2,IF(D3094=7,1,(IF(WEEKDAY(B3094)=1,2,IF(WEEKDAY(B3094)=7,1,0))))))</f>
        <v>1</v>
      </c>
      <c r="H3094" s="370">
        <v>11882.377777099609</v>
      </c>
      <c r="I3094" s="370">
        <v>3248.4024963378906</v>
      </c>
      <c r="M3094" s="371">
        <f t="shared" si="193"/>
        <v>12318.401698918773</v>
      </c>
      <c r="N3094" s="329">
        <f t="shared" si="194"/>
        <v>0</v>
      </c>
      <c r="T3094" s="331">
        <v>0</v>
      </c>
      <c r="U3094" s="328">
        <f>VLOOKUP(C3094,METADATA!$J$5:$Q$29,IF(E3094="HI",2,IF(E3094="LO",6,10))+IF(T3094=1,2,IF(D3094=7,1,(IF(WEEKDAY(B3094)=1,2,IF(WEEKDAY(B3094)=7,1,0))))))</f>
        <v>1</v>
      </c>
      <c r="V3094" s="328">
        <f>VLOOKUP(C3094,METADATA!$A$5:$H$29,IF(E3094="HI",2,IF(E3094="LO",6,10))+IF(T3094=1,2,IF(D3094=7,1,(IF(WEEKDAY(B3094)=1,2,IF(WEEKDAY(B3094)=7,1,0))))))</f>
        <v>1</v>
      </c>
    </row>
    <row r="3095" spans="2:22">
      <c r="B3095" s="318">
        <f t="shared" si="191"/>
        <v>46241</v>
      </c>
      <c r="C3095" s="312">
        <v>19</v>
      </c>
      <c r="D3095" s="368">
        <f>IFERROR((INDEX(METADATA!$T$2:$T$20,MATCH(B3095,METADATA!$S$2:$S$20,0))),0)</f>
        <v>0</v>
      </c>
      <c r="E3095" s="312" t="str">
        <f t="shared" si="192"/>
        <v>LO</v>
      </c>
      <c r="F3095" s="369">
        <f>VLOOKUP(C3095,METADATA!$A$5:$H$29,IF(E3095="HI",2,IF(E3095="LO",6,10))+IF(D3095=1,2,IF(D3095=7,1,(IF(WEEKDAY(B3095)=1,2,IF(WEEKDAY(B3095)=7,1,0))))))</f>
        <v>1</v>
      </c>
      <c r="G3095" s="369">
        <f>VLOOKUP(C3095,METADATA!$J$5:$Q$29,IF(E3095="HI",2,IF(E3095="LO",6,10))+IF(D3095=1,2,IF(D3095=7,1,(IF(WEEKDAY(B3095)=1,2,IF(WEEKDAY(B3095)=7,1,0))))))</f>
        <v>1</v>
      </c>
      <c r="H3095" s="370">
        <v>13548.599914550781</v>
      </c>
      <c r="I3095" s="370">
        <v>4251.6500244140625</v>
      </c>
      <c r="M3095" s="371">
        <f t="shared" si="193"/>
        <v>14200.038294830953</v>
      </c>
      <c r="N3095" s="329">
        <f t="shared" si="194"/>
        <v>187.07005004882831</v>
      </c>
      <c r="T3095" s="331">
        <v>0</v>
      </c>
      <c r="U3095" s="328">
        <f>VLOOKUP(C3095,METADATA!$J$5:$Q$29,IF(E3095="HI",2,IF(E3095="LO",6,10))+IF(T3095=1,2,IF(D3095=7,1,(IF(WEEKDAY(B3095)=1,2,IF(WEEKDAY(B3095)=7,1,0))))))</f>
        <v>1</v>
      </c>
      <c r="V3095" s="328">
        <f>VLOOKUP(C3095,METADATA!$A$5:$H$29,IF(E3095="HI",2,IF(E3095="LO",6,10))+IF(T3095=1,2,IF(D3095=7,1,(IF(WEEKDAY(B3095)=1,2,IF(WEEKDAY(B3095)=7,1,0))))))</f>
        <v>1</v>
      </c>
    </row>
    <row r="3096" spans="2:22">
      <c r="B3096" s="318">
        <f t="shared" si="191"/>
        <v>46241</v>
      </c>
      <c r="C3096" s="312">
        <v>20</v>
      </c>
      <c r="D3096" s="368">
        <f>IFERROR((INDEX(METADATA!$T$2:$T$20,MATCH(B3096,METADATA!$S$2:$S$20,0))),0)</f>
        <v>0</v>
      </c>
      <c r="E3096" s="312" t="str">
        <f t="shared" si="192"/>
        <v>LO</v>
      </c>
      <c r="F3096" s="369">
        <f>VLOOKUP(C3096,METADATA!$A$5:$H$29,IF(E3096="HI",2,IF(E3096="LO",6,10))+IF(D3096=1,2,IF(D3096=7,1,(IF(WEEKDAY(B3096)=1,2,IF(WEEKDAY(B3096)=7,1,0))))))</f>
        <v>1</v>
      </c>
      <c r="G3096" s="369">
        <f>VLOOKUP(C3096,METADATA!$J$5:$Q$29,IF(E3096="HI",2,IF(E3096="LO",6,10))+IF(D3096=1,2,IF(D3096=7,1,(IF(WEEKDAY(B3096)=1,2,IF(WEEKDAY(B3096)=7,1,0))))))</f>
        <v>1</v>
      </c>
      <c r="H3096" s="370">
        <v>13714.099731445313</v>
      </c>
      <c r="I3096" s="370">
        <v>4435.0199890136719</v>
      </c>
      <c r="M3096" s="371">
        <f t="shared" si="193"/>
        <v>14413.394247954893</v>
      </c>
      <c r="N3096" s="329">
        <f t="shared" si="194"/>
        <v>320.79006958007813</v>
      </c>
      <c r="T3096" s="331">
        <v>0</v>
      </c>
      <c r="U3096" s="328">
        <f>VLOOKUP(C3096,METADATA!$J$5:$Q$29,IF(E3096="HI",2,IF(E3096="LO",6,10))+IF(T3096=1,2,IF(D3096=7,1,(IF(WEEKDAY(B3096)=1,2,IF(WEEKDAY(B3096)=7,1,0))))))</f>
        <v>1</v>
      </c>
      <c r="V3096" s="328">
        <f>VLOOKUP(C3096,METADATA!$A$5:$H$29,IF(E3096="HI",2,IF(E3096="LO",6,10))+IF(T3096=1,2,IF(D3096=7,1,(IF(WEEKDAY(B3096)=1,2,IF(WEEKDAY(B3096)=7,1,0))))))</f>
        <v>1</v>
      </c>
    </row>
    <row r="3097" spans="2:22">
      <c r="B3097" s="318">
        <f t="shared" si="191"/>
        <v>46241</v>
      </c>
      <c r="C3097" s="312">
        <v>21</v>
      </c>
      <c r="D3097" s="368">
        <f>IFERROR((INDEX(METADATA!$T$2:$T$20,MATCH(B3097,METADATA!$S$2:$S$20,0))),0)</f>
        <v>0</v>
      </c>
      <c r="E3097" s="312" t="str">
        <f t="shared" si="192"/>
        <v>LO</v>
      </c>
      <c r="F3097" s="369">
        <f>VLOOKUP(C3097,METADATA!$A$5:$H$29,IF(E3097="HI",2,IF(E3097="LO",6,10))+IF(D3097=1,2,IF(D3097=7,1,(IF(WEEKDAY(B3097)=1,2,IF(WEEKDAY(B3097)=7,1,0))))))</f>
        <v>2</v>
      </c>
      <c r="G3097" s="369">
        <f>VLOOKUP(C3097,METADATA!$J$5:$Q$29,IF(E3097="HI",2,IF(E3097="LO",6,10))+IF(D3097=1,2,IF(D3097=7,1,(IF(WEEKDAY(B3097)=1,2,IF(WEEKDAY(B3097)=7,1,0))))))</f>
        <v>2</v>
      </c>
      <c r="H3097" s="370">
        <v>11854.964752197266</v>
      </c>
      <c r="I3097" s="370">
        <v>3471.7499694824219</v>
      </c>
      <c r="M3097" s="371">
        <f t="shared" si="193"/>
        <v>12352.863519299513</v>
      </c>
      <c r="N3097" s="329">
        <f t="shared" si="194"/>
        <v>0</v>
      </c>
      <c r="T3097" s="331">
        <v>0</v>
      </c>
      <c r="U3097" s="328">
        <f>VLOOKUP(C3097,METADATA!$J$5:$Q$29,IF(E3097="HI",2,IF(E3097="LO",6,10))+IF(T3097=1,2,IF(D3097=7,1,(IF(WEEKDAY(B3097)=1,2,IF(WEEKDAY(B3097)=7,1,0))))))</f>
        <v>2</v>
      </c>
      <c r="V3097" s="328">
        <f>VLOOKUP(C3097,METADATA!$A$5:$H$29,IF(E3097="HI",2,IF(E3097="LO",6,10))+IF(T3097=1,2,IF(D3097=7,1,(IF(WEEKDAY(B3097)=1,2,IF(WEEKDAY(B3097)=7,1,0))))))</f>
        <v>2</v>
      </c>
    </row>
    <row r="3098" spans="2:22">
      <c r="B3098" s="318">
        <f t="shared" si="191"/>
        <v>46241</v>
      </c>
      <c r="C3098" s="312">
        <v>22</v>
      </c>
      <c r="D3098" s="368">
        <f>IFERROR((INDEX(METADATA!$T$2:$T$20,MATCH(B3098,METADATA!$S$2:$S$20,0))),0)</f>
        <v>0</v>
      </c>
      <c r="E3098" s="312" t="str">
        <f t="shared" si="192"/>
        <v>LO</v>
      </c>
      <c r="F3098" s="369">
        <f>VLOOKUP(C3098,METADATA!$A$5:$H$29,IF(E3098="HI",2,IF(E3098="LO",6,10))+IF(D3098=1,2,IF(D3098=7,1,(IF(WEEKDAY(B3098)=1,2,IF(WEEKDAY(B3098)=7,1,0))))))</f>
        <v>3</v>
      </c>
      <c r="G3098" s="369">
        <f>VLOOKUP(C3098,METADATA!$J$5:$Q$29,IF(E3098="HI",2,IF(E3098="LO",6,10))+IF(D3098=1,2,IF(D3098=7,1,(IF(WEEKDAY(B3098)=1,2,IF(WEEKDAY(B3098)=7,1,0))))))</f>
        <v>3</v>
      </c>
      <c r="H3098" s="370">
        <v>11444.627593994141</v>
      </c>
      <c r="I3098" s="370">
        <v>3315.1499633789063</v>
      </c>
      <c r="M3098" s="371">
        <f t="shared" si="193"/>
        <v>11915.104701382328</v>
      </c>
      <c r="N3098" s="329">
        <f t="shared" si="194"/>
        <v>0</v>
      </c>
      <c r="T3098" s="331">
        <v>0</v>
      </c>
      <c r="U3098" s="328">
        <f>VLOOKUP(C3098,METADATA!$J$5:$Q$29,IF(E3098="HI",2,IF(E3098="LO",6,10))+IF(T3098=1,2,IF(D3098=7,1,(IF(WEEKDAY(B3098)=1,2,IF(WEEKDAY(B3098)=7,1,0))))))</f>
        <v>3</v>
      </c>
      <c r="V3098" s="328">
        <f>VLOOKUP(C3098,METADATA!$A$5:$H$29,IF(E3098="HI",2,IF(E3098="LO",6,10))+IF(T3098=1,2,IF(D3098=7,1,(IF(WEEKDAY(B3098)=1,2,IF(WEEKDAY(B3098)=7,1,0))))))</f>
        <v>3</v>
      </c>
    </row>
    <row r="3099" spans="2:22">
      <c r="B3099" s="318">
        <f t="shared" si="191"/>
        <v>46241</v>
      </c>
      <c r="C3099" s="312">
        <v>23</v>
      </c>
      <c r="D3099" s="368">
        <f>IFERROR((INDEX(METADATA!$T$2:$T$20,MATCH(B3099,METADATA!$S$2:$S$20,0))),0)</f>
        <v>0</v>
      </c>
      <c r="E3099" s="312" t="str">
        <f t="shared" si="192"/>
        <v>LO</v>
      </c>
      <c r="F3099" s="369">
        <f>VLOOKUP(C3099,METADATA!$A$5:$H$29,IF(E3099="HI",2,IF(E3099="LO",6,10))+IF(D3099=1,2,IF(D3099=7,1,(IF(WEEKDAY(B3099)=1,2,IF(WEEKDAY(B3099)=7,1,0))))))</f>
        <v>3</v>
      </c>
      <c r="G3099" s="369">
        <f>VLOOKUP(C3099,METADATA!$J$5:$Q$29,IF(E3099="HI",2,IF(E3099="LO",6,10))+IF(D3099=1,2,IF(D3099=7,1,(IF(WEEKDAY(B3099)=1,2,IF(WEEKDAY(B3099)=7,1,0))))))</f>
        <v>3</v>
      </c>
      <c r="H3099" s="370">
        <v>13476.850219726563</v>
      </c>
      <c r="I3099" s="370">
        <v>4270.6649475097656</v>
      </c>
      <c r="M3099" s="371">
        <f t="shared" si="193"/>
        <v>14137.328988844833</v>
      </c>
      <c r="N3099" s="329">
        <f t="shared" si="194"/>
        <v>227.60988159179715</v>
      </c>
      <c r="T3099" s="331">
        <v>0</v>
      </c>
      <c r="U3099" s="328">
        <f>VLOOKUP(C3099,METADATA!$J$5:$Q$29,IF(E3099="HI",2,IF(E3099="LO",6,10))+IF(T3099=1,2,IF(D3099=7,1,(IF(WEEKDAY(B3099)=1,2,IF(WEEKDAY(B3099)=7,1,0))))))</f>
        <v>3</v>
      </c>
      <c r="V3099" s="328">
        <f>VLOOKUP(C3099,METADATA!$A$5:$H$29,IF(E3099="HI",2,IF(E3099="LO",6,10))+IF(T3099=1,2,IF(D3099=7,1,(IF(WEEKDAY(B3099)=1,2,IF(WEEKDAY(B3099)=7,1,0))))))</f>
        <v>3</v>
      </c>
    </row>
    <row r="3100" spans="2:22">
      <c r="B3100" s="318">
        <f t="shared" ref="B3100:B3163" si="195">B3076+1</f>
        <v>46242</v>
      </c>
      <c r="C3100" s="312">
        <v>0</v>
      </c>
      <c r="D3100" s="368">
        <f>IFERROR((INDEX(METADATA!$T$2:$T$20,MATCH(B3100,METADATA!$S$2:$S$20,0))),0)</f>
        <v>0</v>
      </c>
      <c r="E3100" s="312" t="str">
        <f t="shared" si="192"/>
        <v>LO</v>
      </c>
      <c r="F3100" s="369">
        <f>VLOOKUP(C3100,METADATA!$A$5:$H$29,IF(E3100="HI",2,IF(E3100="LO",6,10))+IF(D3100=1,2,IF(D3100=7,1,(IF(WEEKDAY(B3100)=1,2,IF(WEEKDAY(B3100)=7,1,0))))))</f>
        <v>3</v>
      </c>
      <c r="G3100" s="369">
        <f>VLOOKUP(C3100,METADATA!$J$5:$Q$29,IF(E3100="HI",2,IF(E3100="LO",6,10))+IF(D3100=1,2,IF(D3100=7,1,(IF(WEEKDAY(B3100)=1,2,IF(WEEKDAY(B3100)=7,1,0))))))</f>
        <v>3</v>
      </c>
      <c r="H3100" s="370">
        <v>13087.750244140625</v>
      </c>
      <c r="I3100" s="370">
        <v>4135.9399719238281</v>
      </c>
      <c r="M3100" s="371">
        <f t="shared" si="193"/>
        <v>13725.713311313197</v>
      </c>
      <c r="N3100" s="329">
        <f t="shared" si="194"/>
        <v>209.61489868164063</v>
      </c>
      <c r="T3100" s="331">
        <v>0</v>
      </c>
      <c r="U3100" s="328">
        <f>VLOOKUP(C3100,METADATA!$J$5:$Q$29,IF(E3100="HI",2,IF(E3100="LO",6,10))+IF(T3100=1,2,IF(D3100=7,1,(IF(WEEKDAY(B3100)=1,2,IF(WEEKDAY(B3100)=7,1,0))))))</f>
        <v>3</v>
      </c>
      <c r="V3100" s="328">
        <f>VLOOKUP(C3100,METADATA!$A$5:$H$29,IF(E3100="HI",2,IF(E3100="LO",6,10))+IF(T3100=1,2,IF(D3100=7,1,(IF(WEEKDAY(B3100)=1,2,IF(WEEKDAY(B3100)=7,1,0))))))</f>
        <v>3</v>
      </c>
    </row>
    <row r="3101" spans="2:22">
      <c r="B3101" s="318">
        <f t="shared" si="195"/>
        <v>46242</v>
      </c>
      <c r="C3101" s="312">
        <v>1</v>
      </c>
      <c r="D3101" s="368">
        <f>IFERROR((INDEX(METADATA!$T$2:$T$20,MATCH(B3101,METADATA!$S$2:$S$20,0))),0)</f>
        <v>0</v>
      </c>
      <c r="E3101" s="312" t="str">
        <f t="shared" si="192"/>
        <v>LO</v>
      </c>
      <c r="F3101" s="369">
        <f>VLOOKUP(C3101,METADATA!$A$5:$H$29,IF(E3101="HI",2,IF(E3101="LO",6,10))+IF(D3101=1,2,IF(D3101=7,1,(IF(WEEKDAY(B3101)=1,2,IF(WEEKDAY(B3101)=7,1,0))))))</f>
        <v>3</v>
      </c>
      <c r="G3101" s="369">
        <f>VLOOKUP(C3101,METADATA!$J$5:$Q$29,IF(E3101="HI",2,IF(E3101="LO",6,10))+IF(D3101=1,2,IF(D3101=7,1,(IF(WEEKDAY(B3101)=1,2,IF(WEEKDAY(B3101)=7,1,0))))))</f>
        <v>3</v>
      </c>
      <c r="H3101" s="370">
        <v>11200.642486572266</v>
      </c>
      <c r="I3101" s="370">
        <v>3041.9124755859375</v>
      </c>
      <c r="M3101" s="371">
        <f t="shared" si="193"/>
        <v>11606.361342864227</v>
      </c>
      <c r="N3101" s="329">
        <f t="shared" si="194"/>
        <v>0</v>
      </c>
      <c r="T3101" s="331">
        <v>0</v>
      </c>
      <c r="U3101" s="328">
        <f>VLOOKUP(C3101,METADATA!$J$5:$Q$29,IF(E3101="HI",2,IF(E3101="LO",6,10))+IF(T3101=1,2,IF(D3101=7,1,(IF(WEEKDAY(B3101)=1,2,IF(WEEKDAY(B3101)=7,1,0))))))</f>
        <v>3</v>
      </c>
      <c r="V3101" s="328">
        <f>VLOOKUP(C3101,METADATA!$A$5:$H$29,IF(E3101="HI",2,IF(E3101="LO",6,10))+IF(T3101=1,2,IF(D3101=7,1,(IF(WEEKDAY(B3101)=1,2,IF(WEEKDAY(B3101)=7,1,0))))))</f>
        <v>3</v>
      </c>
    </row>
    <row r="3102" spans="2:22">
      <c r="B3102" s="318">
        <f t="shared" si="195"/>
        <v>46242</v>
      </c>
      <c r="C3102" s="312">
        <v>2</v>
      </c>
      <c r="D3102" s="368">
        <f>IFERROR((INDEX(METADATA!$T$2:$T$20,MATCH(B3102,METADATA!$S$2:$S$20,0))),0)</f>
        <v>0</v>
      </c>
      <c r="E3102" s="312" t="str">
        <f t="shared" si="192"/>
        <v>LO</v>
      </c>
      <c r="F3102" s="369">
        <f>VLOOKUP(C3102,METADATA!$A$5:$H$29,IF(E3102="HI",2,IF(E3102="LO",6,10))+IF(D3102=1,2,IF(D3102=7,1,(IF(WEEKDAY(B3102)=1,2,IF(WEEKDAY(B3102)=7,1,0))))))</f>
        <v>3</v>
      </c>
      <c r="G3102" s="369">
        <f>VLOOKUP(C3102,METADATA!$J$5:$Q$29,IF(E3102="HI",2,IF(E3102="LO",6,10))+IF(D3102=1,2,IF(D3102=7,1,(IF(WEEKDAY(B3102)=1,2,IF(WEEKDAY(B3102)=7,1,0))))))</f>
        <v>3</v>
      </c>
      <c r="H3102" s="370">
        <v>11535.307159423828</v>
      </c>
      <c r="I3102" s="370">
        <v>3126.6275634765625</v>
      </c>
      <c r="M3102" s="371">
        <f t="shared" si="193"/>
        <v>11951.531750488974</v>
      </c>
      <c r="N3102" s="329">
        <f t="shared" si="194"/>
        <v>0</v>
      </c>
      <c r="T3102" s="331">
        <v>0</v>
      </c>
      <c r="U3102" s="328">
        <f>VLOOKUP(C3102,METADATA!$J$5:$Q$29,IF(E3102="HI",2,IF(E3102="LO",6,10))+IF(T3102=1,2,IF(D3102=7,1,(IF(WEEKDAY(B3102)=1,2,IF(WEEKDAY(B3102)=7,1,0))))))</f>
        <v>3</v>
      </c>
      <c r="V3102" s="328">
        <f>VLOOKUP(C3102,METADATA!$A$5:$H$29,IF(E3102="HI",2,IF(E3102="LO",6,10))+IF(T3102=1,2,IF(D3102=7,1,(IF(WEEKDAY(B3102)=1,2,IF(WEEKDAY(B3102)=7,1,0))))))</f>
        <v>3</v>
      </c>
    </row>
    <row r="3103" spans="2:22">
      <c r="B3103" s="318">
        <f t="shared" si="195"/>
        <v>46242</v>
      </c>
      <c r="C3103" s="312">
        <v>3</v>
      </c>
      <c r="D3103" s="368">
        <f>IFERROR((INDEX(METADATA!$T$2:$T$20,MATCH(B3103,METADATA!$S$2:$S$20,0))),0)</f>
        <v>0</v>
      </c>
      <c r="E3103" s="312" t="str">
        <f t="shared" si="192"/>
        <v>LO</v>
      </c>
      <c r="F3103" s="369">
        <f>VLOOKUP(C3103,METADATA!$A$5:$H$29,IF(E3103="HI",2,IF(E3103="LO",6,10))+IF(D3103=1,2,IF(D3103=7,1,(IF(WEEKDAY(B3103)=1,2,IF(WEEKDAY(B3103)=7,1,0))))))</f>
        <v>3</v>
      </c>
      <c r="G3103" s="369">
        <f>VLOOKUP(C3103,METADATA!$J$5:$Q$29,IF(E3103="HI",2,IF(E3103="LO",6,10))+IF(D3103=1,2,IF(D3103=7,1,(IF(WEEKDAY(B3103)=1,2,IF(WEEKDAY(B3103)=7,1,0))))))</f>
        <v>3</v>
      </c>
      <c r="H3103" s="370">
        <v>11723.499816894531</v>
      </c>
      <c r="I3103" s="370">
        <v>3220.510009765625</v>
      </c>
      <c r="M3103" s="371">
        <f t="shared" si="193"/>
        <v>12157.801309436123</v>
      </c>
      <c r="N3103" s="329">
        <f t="shared" si="194"/>
        <v>0</v>
      </c>
      <c r="T3103" s="331">
        <v>0</v>
      </c>
      <c r="U3103" s="328">
        <f>VLOOKUP(C3103,METADATA!$J$5:$Q$29,IF(E3103="HI",2,IF(E3103="LO",6,10))+IF(T3103=1,2,IF(D3103=7,1,(IF(WEEKDAY(B3103)=1,2,IF(WEEKDAY(B3103)=7,1,0))))))</f>
        <v>3</v>
      </c>
      <c r="V3103" s="328">
        <f>VLOOKUP(C3103,METADATA!$A$5:$H$29,IF(E3103="HI",2,IF(E3103="LO",6,10))+IF(T3103=1,2,IF(D3103=7,1,(IF(WEEKDAY(B3103)=1,2,IF(WEEKDAY(B3103)=7,1,0))))))</f>
        <v>3</v>
      </c>
    </row>
    <row r="3104" spans="2:22">
      <c r="B3104" s="318">
        <f t="shared" si="195"/>
        <v>46242</v>
      </c>
      <c r="C3104" s="312">
        <v>4</v>
      </c>
      <c r="D3104" s="368">
        <f>IFERROR((INDEX(METADATA!$T$2:$T$20,MATCH(B3104,METADATA!$S$2:$S$20,0))),0)</f>
        <v>0</v>
      </c>
      <c r="E3104" s="312" t="str">
        <f t="shared" si="192"/>
        <v>LO</v>
      </c>
      <c r="F3104" s="369">
        <f>VLOOKUP(C3104,METADATA!$A$5:$H$29,IF(E3104="HI",2,IF(E3104="LO",6,10))+IF(D3104=1,2,IF(D3104=7,1,(IF(WEEKDAY(B3104)=1,2,IF(WEEKDAY(B3104)=7,1,0))))))</f>
        <v>3</v>
      </c>
      <c r="G3104" s="369">
        <f>VLOOKUP(C3104,METADATA!$J$5:$Q$29,IF(E3104="HI",2,IF(E3104="LO",6,10))+IF(D3104=1,2,IF(D3104=7,1,(IF(WEEKDAY(B3104)=1,2,IF(WEEKDAY(B3104)=7,1,0))))))</f>
        <v>3</v>
      </c>
      <c r="H3104" s="370">
        <v>13660.049926757813</v>
      </c>
      <c r="I3104" s="370">
        <v>4271.6299743652344</v>
      </c>
      <c r="M3104" s="371">
        <f t="shared" si="193"/>
        <v>14312.364816458936</v>
      </c>
      <c r="N3104" s="329">
        <f t="shared" si="194"/>
        <v>173.61499633789117</v>
      </c>
      <c r="T3104" s="331">
        <v>0</v>
      </c>
      <c r="U3104" s="328">
        <f>VLOOKUP(C3104,METADATA!$J$5:$Q$29,IF(E3104="HI",2,IF(E3104="LO",6,10))+IF(T3104=1,2,IF(D3104=7,1,(IF(WEEKDAY(B3104)=1,2,IF(WEEKDAY(B3104)=7,1,0))))))</f>
        <v>3</v>
      </c>
      <c r="V3104" s="328">
        <f>VLOOKUP(C3104,METADATA!$A$5:$H$29,IF(E3104="HI",2,IF(E3104="LO",6,10))+IF(T3104=1,2,IF(D3104=7,1,(IF(WEEKDAY(B3104)=1,2,IF(WEEKDAY(B3104)=7,1,0))))))</f>
        <v>3</v>
      </c>
    </row>
    <row r="3105" spans="2:22">
      <c r="B3105" s="318">
        <f t="shared" si="195"/>
        <v>46242</v>
      </c>
      <c r="C3105" s="312">
        <v>5</v>
      </c>
      <c r="D3105" s="368">
        <f>IFERROR((INDEX(METADATA!$T$2:$T$20,MATCH(B3105,METADATA!$S$2:$S$20,0))),0)</f>
        <v>0</v>
      </c>
      <c r="E3105" s="312" t="str">
        <f t="shared" si="192"/>
        <v>LO</v>
      </c>
      <c r="F3105" s="369">
        <f>VLOOKUP(C3105,METADATA!$A$5:$H$29,IF(E3105="HI",2,IF(E3105="LO",6,10))+IF(D3105=1,2,IF(D3105=7,1,(IF(WEEKDAY(B3105)=1,2,IF(WEEKDAY(B3105)=7,1,0))))))</f>
        <v>3</v>
      </c>
      <c r="G3105" s="369">
        <f>VLOOKUP(C3105,METADATA!$J$5:$Q$29,IF(E3105="HI",2,IF(E3105="LO",6,10))+IF(D3105=1,2,IF(D3105=7,1,(IF(WEEKDAY(B3105)=1,2,IF(WEEKDAY(B3105)=7,1,0))))))</f>
        <v>3</v>
      </c>
      <c r="H3105" s="370">
        <v>11620.327423095703</v>
      </c>
      <c r="I3105" s="370">
        <v>3200.4099731445313</v>
      </c>
      <c r="M3105" s="371">
        <f t="shared" si="193"/>
        <v>12052.992716174394</v>
      </c>
      <c r="N3105" s="329">
        <f t="shared" si="194"/>
        <v>0</v>
      </c>
      <c r="T3105" s="331">
        <v>0</v>
      </c>
      <c r="U3105" s="328">
        <f>VLOOKUP(C3105,METADATA!$J$5:$Q$29,IF(E3105="HI",2,IF(E3105="LO",6,10))+IF(T3105=1,2,IF(D3105=7,1,(IF(WEEKDAY(B3105)=1,2,IF(WEEKDAY(B3105)=7,1,0))))))</f>
        <v>3</v>
      </c>
      <c r="V3105" s="328">
        <f>VLOOKUP(C3105,METADATA!$A$5:$H$29,IF(E3105="HI",2,IF(E3105="LO",6,10))+IF(T3105=1,2,IF(D3105=7,1,(IF(WEEKDAY(B3105)=1,2,IF(WEEKDAY(B3105)=7,1,0))))))</f>
        <v>3</v>
      </c>
    </row>
    <row r="3106" spans="2:22">
      <c r="B3106" s="318">
        <f t="shared" si="195"/>
        <v>46242</v>
      </c>
      <c r="C3106" s="312">
        <v>6</v>
      </c>
      <c r="D3106" s="368">
        <f>IFERROR((INDEX(METADATA!$T$2:$T$20,MATCH(B3106,METADATA!$S$2:$S$20,0))),0)</f>
        <v>0</v>
      </c>
      <c r="E3106" s="312" t="str">
        <f t="shared" si="192"/>
        <v>LO</v>
      </c>
      <c r="F3106" s="369">
        <f>VLOOKUP(C3106,METADATA!$A$5:$H$29,IF(E3106="HI",2,IF(E3106="LO",6,10))+IF(D3106=1,2,IF(D3106=7,1,(IF(WEEKDAY(B3106)=1,2,IF(WEEKDAY(B3106)=7,1,0))))))</f>
        <v>3</v>
      </c>
      <c r="G3106" s="369">
        <f>VLOOKUP(C3106,METADATA!$J$5:$Q$29,IF(E3106="HI",2,IF(E3106="LO",6,10))+IF(D3106=1,2,IF(D3106=7,1,(IF(WEEKDAY(B3106)=1,2,IF(WEEKDAY(B3106)=7,1,0))))))</f>
        <v>3</v>
      </c>
      <c r="H3106" s="370">
        <v>11428.759979248047</v>
      </c>
      <c r="I3106" s="370">
        <v>3201.4574584960938</v>
      </c>
      <c r="M3106" s="371">
        <f t="shared" si="193"/>
        <v>11868.693463133257</v>
      </c>
      <c r="N3106" s="329">
        <f t="shared" si="194"/>
        <v>0</v>
      </c>
      <c r="T3106" s="331">
        <v>0</v>
      </c>
      <c r="U3106" s="328">
        <f>VLOOKUP(C3106,METADATA!$J$5:$Q$29,IF(E3106="HI",2,IF(E3106="LO",6,10))+IF(T3106=1,2,IF(D3106=7,1,(IF(WEEKDAY(B3106)=1,2,IF(WEEKDAY(B3106)=7,1,0))))))</f>
        <v>3</v>
      </c>
      <c r="V3106" s="328">
        <f>VLOOKUP(C3106,METADATA!$A$5:$H$29,IF(E3106="HI",2,IF(E3106="LO",6,10))+IF(T3106=1,2,IF(D3106=7,1,(IF(WEEKDAY(B3106)=1,2,IF(WEEKDAY(B3106)=7,1,0))))))</f>
        <v>3</v>
      </c>
    </row>
    <row r="3107" spans="2:22">
      <c r="B3107" s="318">
        <f t="shared" si="195"/>
        <v>46242</v>
      </c>
      <c r="C3107" s="312">
        <v>7</v>
      </c>
      <c r="D3107" s="368">
        <f>IFERROR((INDEX(METADATA!$T$2:$T$20,MATCH(B3107,METADATA!$S$2:$S$20,0))),0)</f>
        <v>0</v>
      </c>
      <c r="E3107" s="312" t="str">
        <f t="shared" si="192"/>
        <v>LO</v>
      </c>
      <c r="F3107" s="369">
        <f>VLOOKUP(C3107,METADATA!$A$5:$H$29,IF(E3107="HI",2,IF(E3107="LO",6,10))+IF(D3107=1,2,IF(D3107=7,1,(IF(WEEKDAY(B3107)=1,2,IF(WEEKDAY(B3107)=7,1,0))))))</f>
        <v>2</v>
      </c>
      <c r="G3107" s="369">
        <f>VLOOKUP(C3107,METADATA!$J$5:$Q$29,IF(E3107="HI",2,IF(E3107="LO",6,10))+IF(D3107=1,2,IF(D3107=7,1,(IF(WEEKDAY(B3107)=1,2,IF(WEEKDAY(B3107)=7,1,0))))))</f>
        <v>2</v>
      </c>
      <c r="H3107" s="370">
        <v>13700.425231933594</v>
      </c>
      <c r="I3107" s="370">
        <v>4249.695068359375</v>
      </c>
      <c r="M3107" s="371">
        <f t="shared" si="193"/>
        <v>14344.391228275972</v>
      </c>
      <c r="N3107" s="329">
        <f t="shared" si="194"/>
        <v>139.56749877929724</v>
      </c>
      <c r="T3107" s="331">
        <v>0</v>
      </c>
      <c r="U3107" s="328">
        <f>VLOOKUP(C3107,METADATA!$J$5:$Q$29,IF(E3107="HI",2,IF(E3107="LO",6,10))+IF(T3107=1,2,IF(D3107=7,1,(IF(WEEKDAY(B3107)=1,2,IF(WEEKDAY(B3107)=7,1,0))))))</f>
        <v>2</v>
      </c>
      <c r="V3107" s="328">
        <f>VLOOKUP(C3107,METADATA!$A$5:$H$29,IF(E3107="HI",2,IF(E3107="LO",6,10))+IF(T3107=1,2,IF(D3107=7,1,(IF(WEEKDAY(B3107)=1,2,IF(WEEKDAY(B3107)=7,1,0))))))</f>
        <v>2</v>
      </c>
    </row>
    <row r="3108" spans="2:22">
      <c r="B3108" s="318">
        <f t="shared" si="195"/>
        <v>46242</v>
      </c>
      <c r="C3108" s="312">
        <v>8</v>
      </c>
      <c r="D3108" s="368">
        <f>IFERROR((INDEX(METADATA!$T$2:$T$20,MATCH(B3108,METADATA!$S$2:$S$20,0))),0)</f>
        <v>0</v>
      </c>
      <c r="E3108" s="312" t="str">
        <f t="shared" si="192"/>
        <v>LO</v>
      </c>
      <c r="F3108" s="369">
        <f>VLOOKUP(C3108,METADATA!$A$5:$H$29,IF(E3108="HI",2,IF(E3108="LO",6,10))+IF(D3108=1,2,IF(D3108=7,1,(IF(WEEKDAY(B3108)=1,2,IF(WEEKDAY(B3108)=7,1,0))))))</f>
        <v>2</v>
      </c>
      <c r="G3108" s="369">
        <f>VLOOKUP(C3108,METADATA!$J$5:$Q$29,IF(E3108="HI",2,IF(E3108="LO",6,10))+IF(D3108=1,2,IF(D3108=7,1,(IF(WEEKDAY(B3108)=1,2,IF(WEEKDAY(B3108)=7,1,0))))))</f>
        <v>2</v>
      </c>
      <c r="H3108" s="370">
        <v>13268.500122070313</v>
      </c>
      <c r="I3108" s="370">
        <v>3963.4874877929688</v>
      </c>
      <c r="M3108" s="371">
        <f t="shared" si="193"/>
        <v>13847.827575301164</v>
      </c>
      <c r="N3108" s="329">
        <f t="shared" si="194"/>
        <v>0</v>
      </c>
      <c r="T3108" s="331">
        <v>0</v>
      </c>
      <c r="U3108" s="328">
        <f>VLOOKUP(C3108,METADATA!$J$5:$Q$29,IF(E3108="HI",2,IF(E3108="LO",6,10))+IF(T3108=1,2,IF(D3108=7,1,(IF(WEEKDAY(B3108)=1,2,IF(WEEKDAY(B3108)=7,1,0))))))</f>
        <v>2</v>
      </c>
      <c r="V3108" s="328">
        <f>VLOOKUP(C3108,METADATA!$A$5:$H$29,IF(E3108="HI",2,IF(E3108="LO",6,10))+IF(T3108=1,2,IF(D3108=7,1,(IF(WEEKDAY(B3108)=1,2,IF(WEEKDAY(B3108)=7,1,0))))))</f>
        <v>2</v>
      </c>
    </row>
    <row r="3109" spans="2:22">
      <c r="B3109" s="318">
        <f t="shared" si="195"/>
        <v>46242</v>
      </c>
      <c r="C3109" s="312">
        <v>9</v>
      </c>
      <c r="D3109" s="368">
        <f>IFERROR((INDEX(METADATA!$T$2:$T$20,MATCH(B3109,METADATA!$S$2:$S$20,0))),0)</f>
        <v>0</v>
      </c>
      <c r="E3109" s="312" t="str">
        <f t="shared" si="192"/>
        <v>LO</v>
      </c>
      <c r="F3109" s="369">
        <f>VLOOKUP(C3109,METADATA!$A$5:$H$29,IF(E3109="HI",2,IF(E3109="LO",6,10))+IF(D3109=1,2,IF(D3109=7,1,(IF(WEEKDAY(B3109)=1,2,IF(WEEKDAY(B3109)=7,1,0))))))</f>
        <v>2</v>
      </c>
      <c r="G3109" s="369">
        <f>VLOOKUP(C3109,METADATA!$J$5:$Q$29,IF(E3109="HI",2,IF(E3109="LO",6,10))+IF(D3109=1,2,IF(D3109=7,1,(IF(WEEKDAY(B3109)=1,2,IF(WEEKDAY(B3109)=7,1,0))))))</f>
        <v>2</v>
      </c>
      <c r="H3109" s="370">
        <v>11848.727874755859</v>
      </c>
      <c r="I3109" s="370">
        <v>3276.4574890136719</v>
      </c>
      <c r="M3109" s="371">
        <f t="shared" si="193"/>
        <v>12293.39358872603</v>
      </c>
      <c r="N3109" s="329">
        <f t="shared" si="194"/>
        <v>0</v>
      </c>
      <c r="T3109" s="331">
        <v>0</v>
      </c>
      <c r="U3109" s="328">
        <f>VLOOKUP(C3109,METADATA!$J$5:$Q$29,IF(E3109="HI",2,IF(E3109="LO",6,10))+IF(T3109=1,2,IF(D3109=7,1,(IF(WEEKDAY(B3109)=1,2,IF(WEEKDAY(B3109)=7,1,0))))))</f>
        <v>2</v>
      </c>
      <c r="V3109" s="328">
        <f>VLOOKUP(C3109,METADATA!$A$5:$H$29,IF(E3109="HI",2,IF(E3109="LO",6,10))+IF(T3109=1,2,IF(D3109=7,1,(IF(WEEKDAY(B3109)=1,2,IF(WEEKDAY(B3109)=7,1,0))))))</f>
        <v>2</v>
      </c>
    </row>
    <row r="3110" spans="2:22">
      <c r="B3110" s="318">
        <f t="shared" si="195"/>
        <v>46242</v>
      </c>
      <c r="C3110" s="312">
        <v>10</v>
      </c>
      <c r="D3110" s="368">
        <f>IFERROR((INDEX(METADATA!$T$2:$T$20,MATCH(B3110,METADATA!$S$2:$S$20,0))),0)</f>
        <v>0</v>
      </c>
      <c r="E3110" s="312" t="str">
        <f t="shared" si="192"/>
        <v>LO</v>
      </c>
      <c r="F3110" s="369">
        <f>VLOOKUP(C3110,METADATA!$A$5:$H$29,IF(E3110="HI",2,IF(E3110="LO",6,10))+IF(D3110=1,2,IF(D3110=7,1,(IF(WEEKDAY(B3110)=1,2,IF(WEEKDAY(B3110)=7,1,0))))))</f>
        <v>2</v>
      </c>
      <c r="G3110" s="369">
        <f>VLOOKUP(C3110,METADATA!$J$5:$Q$29,IF(E3110="HI",2,IF(E3110="LO",6,10))+IF(D3110=1,2,IF(D3110=7,1,(IF(WEEKDAY(B3110)=1,2,IF(WEEKDAY(B3110)=7,1,0))))))</f>
        <v>2</v>
      </c>
      <c r="H3110" s="370">
        <v>12753.127807617188</v>
      </c>
      <c r="I3110" s="370">
        <v>3864.9625244140625</v>
      </c>
      <c r="M3110" s="371">
        <f t="shared" si="193"/>
        <v>13325.92226423912</v>
      </c>
      <c r="N3110" s="329">
        <f t="shared" si="194"/>
        <v>39.024182128906432</v>
      </c>
      <c r="T3110" s="331">
        <v>0</v>
      </c>
      <c r="U3110" s="328">
        <f>VLOOKUP(C3110,METADATA!$J$5:$Q$29,IF(E3110="HI",2,IF(E3110="LO",6,10))+IF(T3110=1,2,IF(D3110=7,1,(IF(WEEKDAY(B3110)=1,2,IF(WEEKDAY(B3110)=7,1,0))))))</f>
        <v>2</v>
      </c>
      <c r="V3110" s="328">
        <f>VLOOKUP(C3110,METADATA!$A$5:$H$29,IF(E3110="HI",2,IF(E3110="LO",6,10))+IF(T3110=1,2,IF(D3110=7,1,(IF(WEEKDAY(B3110)=1,2,IF(WEEKDAY(B3110)=7,1,0))))))</f>
        <v>2</v>
      </c>
    </row>
    <row r="3111" spans="2:22">
      <c r="B3111" s="318">
        <f t="shared" si="195"/>
        <v>46242</v>
      </c>
      <c r="C3111" s="312">
        <v>11</v>
      </c>
      <c r="D3111" s="368">
        <f>IFERROR((INDEX(METADATA!$T$2:$T$20,MATCH(B3111,METADATA!$S$2:$S$20,0))),0)</f>
        <v>0</v>
      </c>
      <c r="E3111" s="312" t="str">
        <f t="shared" si="192"/>
        <v>LO</v>
      </c>
      <c r="F3111" s="369">
        <f>VLOOKUP(C3111,METADATA!$A$5:$H$29,IF(E3111="HI",2,IF(E3111="LO",6,10))+IF(D3111=1,2,IF(D3111=7,1,(IF(WEEKDAY(B3111)=1,2,IF(WEEKDAY(B3111)=7,1,0))))))</f>
        <v>2</v>
      </c>
      <c r="G3111" s="369">
        <f>VLOOKUP(C3111,METADATA!$J$5:$Q$29,IF(E3111="HI",2,IF(E3111="LO",6,10))+IF(D3111=1,2,IF(D3111=7,1,(IF(WEEKDAY(B3111)=1,2,IF(WEEKDAY(B3111)=7,1,0))))))</f>
        <v>2</v>
      </c>
      <c r="H3111" s="370">
        <v>13858.27490234375</v>
      </c>
      <c r="I3111" s="370">
        <v>4467.094970703125</v>
      </c>
      <c r="M3111" s="371">
        <f t="shared" si="193"/>
        <v>14560.450568104403</v>
      </c>
      <c r="N3111" s="329">
        <f t="shared" si="194"/>
        <v>309.61250000000018</v>
      </c>
      <c r="T3111" s="331">
        <v>0</v>
      </c>
      <c r="U3111" s="328">
        <f>VLOOKUP(C3111,METADATA!$J$5:$Q$29,IF(E3111="HI",2,IF(E3111="LO",6,10))+IF(T3111=1,2,IF(D3111=7,1,(IF(WEEKDAY(B3111)=1,2,IF(WEEKDAY(B3111)=7,1,0))))))</f>
        <v>2</v>
      </c>
      <c r="V3111" s="328">
        <f>VLOOKUP(C3111,METADATA!$A$5:$H$29,IF(E3111="HI",2,IF(E3111="LO",6,10))+IF(T3111=1,2,IF(D3111=7,1,(IF(WEEKDAY(B3111)=1,2,IF(WEEKDAY(B3111)=7,1,0))))))</f>
        <v>2</v>
      </c>
    </row>
    <row r="3112" spans="2:22">
      <c r="B3112" s="318">
        <f t="shared" si="195"/>
        <v>46242</v>
      </c>
      <c r="C3112" s="312">
        <v>12</v>
      </c>
      <c r="D3112" s="368">
        <f>IFERROR((INDEX(METADATA!$T$2:$T$20,MATCH(B3112,METADATA!$S$2:$S$20,0))),0)</f>
        <v>0</v>
      </c>
      <c r="E3112" s="312" t="str">
        <f t="shared" si="192"/>
        <v>LO</v>
      </c>
      <c r="F3112" s="369">
        <f>VLOOKUP(C3112,METADATA!$A$5:$H$29,IF(E3112="HI",2,IF(E3112="LO",6,10))+IF(D3112=1,2,IF(D3112=7,1,(IF(WEEKDAY(B3112)=1,2,IF(WEEKDAY(B3112)=7,1,0))))))</f>
        <v>3</v>
      </c>
      <c r="G3112" s="369">
        <f>VLOOKUP(C3112,METADATA!$J$5:$Q$29,IF(E3112="HI",2,IF(E3112="LO",6,10))+IF(D3112=1,2,IF(D3112=7,1,(IF(WEEKDAY(B3112)=1,2,IF(WEEKDAY(B3112)=7,1,0))))))</f>
        <v>3</v>
      </c>
      <c r="H3112" s="370">
        <v>13893.950012207031</v>
      </c>
      <c r="I3112" s="370">
        <v>4496.1050415039063</v>
      </c>
      <c r="M3112" s="371">
        <f t="shared" si="193"/>
        <v>14603.314948529482</v>
      </c>
      <c r="N3112" s="329">
        <f t="shared" si="194"/>
        <v>327.92003784179724</v>
      </c>
      <c r="T3112" s="331">
        <v>0</v>
      </c>
      <c r="U3112" s="328">
        <f>VLOOKUP(C3112,METADATA!$J$5:$Q$29,IF(E3112="HI",2,IF(E3112="LO",6,10))+IF(T3112=1,2,IF(D3112=7,1,(IF(WEEKDAY(B3112)=1,2,IF(WEEKDAY(B3112)=7,1,0))))))</f>
        <v>3</v>
      </c>
      <c r="V3112" s="328">
        <f>VLOOKUP(C3112,METADATA!$A$5:$H$29,IF(E3112="HI",2,IF(E3112="LO",6,10))+IF(T3112=1,2,IF(D3112=7,1,(IF(WEEKDAY(B3112)=1,2,IF(WEEKDAY(B3112)=7,1,0))))))</f>
        <v>3</v>
      </c>
    </row>
    <row r="3113" spans="2:22">
      <c r="B3113" s="318">
        <f t="shared" si="195"/>
        <v>46242</v>
      </c>
      <c r="C3113" s="312">
        <v>13</v>
      </c>
      <c r="D3113" s="368">
        <f>IFERROR((INDEX(METADATA!$T$2:$T$20,MATCH(B3113,METADATA!$S$2:$S$20,0))),0)</f>
        <v>0</v>
      </c>
      <c r="E3113" s="312" t="str">
        <f t="shared" si="192"/>
        <v>LO</v>
      </c>
      <c r="F3113" s="369">
        <f>VLOOKUP(C3113,METADATA!$A$5:$H$29,IF(E3113="HI",2,IF(E3113="LO",6,10))+IF(D3113=1,2,IF(D3113=7,1,(IF(WEEKDAY(B3113)=1,2,IF(WEEKDAY(B3113)=7,1,0))))))</f>
        <v>3</v>
      </c>
      <c r="G3113" s="369">
        <f>VLOOKUP(C3113,METADATA!$J$5:$Q$29,IF(E3113="HI",2,IF(E3113="LO",6,10))+IF(D3113=1,2,IF(D3113=7,1,(IF(WEEKDAY(B3113)=1,2,IF(WEEKDAY(B3113)=7,1,0))))))</f>
        <v>3</v>
      </c>
      <c r="H3113" s="370">
        <v>13855.825073242188</v>
      </c>
      <c r="I3113" s="370">
        <v>4556.2099609375</v>
      </c>
      <c r="M3113" s="371">
        <f t="shared" si="193"/>
        <v>14585.71005019752</v>
      </c>
      <c r="N3113" s="329">
        <f t="shared" si="194"/>
        <v>399.4624389648443</v>
      </c>
      <c r="T3113" s="331">
        <v>0</v>
      </c>
      <c r="U3113" s="328">
        <f>VLOOKUP(C3113,METADATA!$J$5:$Q$29,IF(E3113="HI",2,IF(E3113="LO",6,10))+IF(T3113=1,2,IF(D3113=7,1,(IF(WEEKDAY(B3113)=1,2,IF(WEEKDAY(B3113)=7,1,0))))))</f>
        <v>3</v>
      </c>
      <c r="V3113" s="328">
        <f>VLOOKUP(C3113,METADATA!$A$5:$H$29,IF(E3113="HI",2,IF(E3113="LO",6,10))+IF(T3113=1,2,IF(D3113=7,1,(IF(WEEKDAY(B3113)=1,2,IF(WEEKDAY(B3113)=7,1,0))))))</f>
        <v>3</v>
      </c>
    </row>
    <row r="3114" spans="2:22">
      <c r="B3114" s="318">
        <f t="shared" si="195"/>
        <v>46242</v>
      </c>
      <c r="C3114" s="312">
        <v>14</v>
      </c>
      <c r="D3114" s="368">
        <f>IFERROR((INDEX(METADATA!$T$2:$T$20,MATCH(B3114,METADATA!$S$2:$S$20,0))),0)</f>
        <v>0</v>
      </c>
      <c r="E3114" s="312" t="str">
        <f t="shared" si="192"/>
        <v>LO</v>
      </c>
      <c r="F3114" s="369">
        <f>VLOOKUP(C3114,METADATA!$A$5:$H$29,IF(E3114="HI",2,IF(E3114="LO",6,10))+IF(D3114=1,2,IF(D3114=7,1,(IF(WEEKDAY(B3114)=1,2,IF(WEEKDAY(B3114)=7,1,0))))))</f>
        <v>3</v>
      </c>
      <c r="G3114" s="369">
        <f>VLOOKUP(C3114,METADATA!$J$5:$Q$29,IF(E3114="HI",2,IF(E3114="LO",6,10))+IF(D3114=1,2,IF(D3114=7,1,(IF(WEEKDAY(B3114)=1,2,IF(WEEKDAY(B3114)=7,1,0))))))</f>
        <v>3</v>
      </c>
      <c r="H3114" s="370">
        <v>13857.975219726563</v>
      </c>
      <c r="I3114" s="370">
        <v>4532.0499877929688</v>
      </c>
      <c r="M3114" s="371">
        <f t="shared" si="193"/>
        <v>14580.224767897431</v>
      </c>
      <c r="N3114" s="329">
        <f t="shared" si="194"/>
        <v>374.65742187500018</v>
      </c>
      <c r="T3114" s="331">
        <v>0</v>
      </c>
      <c r="U3114" s="328">
        <f>VLOOKUP(C3114,METADATA!$J$5:$Q$29,IF(E3114="HI",2,IF(E3114="LO",6,10))+IF(T3114=1,2,IF(D3114=7,1,(IF(WEEKDAY(B3114)=1,2,IF(WEEKDAY(B3114)=7,1,0))))))</f>
        <v>3</v>
      </c>
      <c r="V3114" s="328">
        <f>VLOOKUP(C3114,METADATA!$A$5:$H$29,IF(E3114="HI",2,IF(E3114="LO",6,10))+IF(T3114=1,2,IF(D3114=7,1,(IF(WEEKDAY(B3114)=1,2,IF(WEEKDAY(B3114)=7,1,0))))))</f>
        <v>3</v>
      </c>
    </row>
    <row r="3115" spans="2:22">
      <c r="B3115" s="318">
        <f t="shared" si="195"/>
        <v>46242</v>
      </c>
      <c r="C3115" s="312">
        <v>15</v>
      </c>
      <c r="D3115" s="368">
        <f>IFERROR((INDEX(METADATA!$T$2:$T$20,MATCH(B3115,METADATA!$S$2:$S$20,0))),0)</f>
        <v>0</v>
      </c>
      <c r="E3115" s="312" t="str">
        <f t="shared" si="192"/>
        <v>LO</v>
      </c>
      <c r="F3115" s="369">
        <f>VLOOKUP(C3115,METADATA!$A$5:$H$29,IF(E3115="HI",2,IF(E3115="LO",6,10))+IF(D3115=1,2,IF(D3115=7,1,(IF(WEEKDAY(B3115)=1,2,IF(WEEKDAY(B3115)=7,1,0))))))</f>
        <v>3</v>
      </c>
      <c r="G3115" s="369">
        <f>VLOOKUP(C3115,METADATA!$J$5:$Q$29,IF(E3115="HI",2,IF(E3115="LO",6,10))+IF(D3115=1,2,IF(D3115=7,1,(IF(WEEKDAY(B3115)=1,2,IF(WEEKDAY(B3115)=7,1,0))))))</f>
        <v>3</v>
      </c>
      <c r="H3115" s="370">
        <v>13821.549987792969</v>
      </c>
      <c r="I3115" s="370">
        <v>4686.7999877929688</v>
      </c>
      <c r="M3115" s="371">
        <f t="shared" si="193"/>
        <v>14594.565364910186</v>
      </c>
      <c r="N3115" s="329">
        <f t="shared" si="194"/>
        <v>540.33499145507813</v>
      </c>
      <c r="T3115" s="331">
        <v>0</v>
      </c>
      <c r="U3115" s="328">
        <f>VLOOKUP(C3115,METADATA!$J$5:$Q$29,IF(E3115="HI",2,IF(E3115="LO",6,10))+IF(T3115=1,2,IF(D3115=7,1,(IF(WEEKDAY(B3115)=1,2,IF(WEEKDAY(B3115)=7,1,0))))))</f>
        <v>3</v>
      </c>
      <c r="V3115" s="328">
        <f>VLOOKUP(C3115,METADATA!$A$5:$H$29,IF(E3115="HI",2,IF(E3115="LO",6,10))+IF(T3115=1,2,IF(D3115=7,1,(IF(WEEKDAY(B3115)=1,2,IF(WEEKDAY(B3115)=7,1,0))))))</f>
        <v>3</v>
      </c>
    </row>
    <row r="3116" spans="2:22">
      <c r="B3116" s="318">
        <f t="shared" si="195"/>
        <v>46242</v>
      </c>
      <c r="C3116" s="312">
        <v>16</v>
      </c>
      <c r="D3116" s="368">
        <f>IFERROR((INDEX(METADATA!$T$2:$T$20,MATCH(B3116,METADATA!$S$2:$S$20,0))),0)</f>
        <v>0</v>
      </c>
      <c r="E3116" s="312" t="str">
        <f t="shared" si="192"/>
        <v>LO</v>
      </c>
      <c r="F3116" s="369">
        <f>VLOOKUP(C3116,METADATA!$A$5:$H$29,IF(E3116="HI",2,IF(E3116="LO",6,10))+IF(D3116=1,2,IF(D3116=7,1,(IF(WEEKDAY(B3116)=1,2,IF(WEEKDAY(B3116)=7,1,0))))))</f>
        <v>3</v>
      </c>
      <c r="G3116" s="369">
        <f>VLOOKUP(C3116,METADATA!$J$5:$Q$29,IF(E3116="HI",2,IF(E3116="LO",6,10))+IF(D3116=1,2,IF(D3116=7,1,(IF(WEEKDAY(B3116)=1,2,IF(WEEKDAY(B3116)=7,1,0))))))</f>
        <v>3</v>
      </c>
      <c r="H3116" s="370">
        <v>13798.499877929688</v>
      </c>
      <c r="I3116" s="370">
        <v>4596.0498657226563</v>
      </c>
      <c r="M3116" s="371">
        <f t="shared" si="193"/>
        <v>14543.805322178747</v>
      </c>
      <c r="N3116" s="329">
        <f t="shared" si="194"/>
        <v>456.49990234375036</v>
      </c>
      <c r="T3116" s="331">
        <v>0</v>
      </c>
      <c r="U3116" s="328">
        <f>VLOOKUP(C3116,METADATA!$J$5:$Q$29,IF(E3116="HI",2,IF(E3116="LO",6,10))+IF(T3116=1,2,IF(D3116=7,1,(IF(WEEKDAY(B3116)=1,2,IF(WEEKDAY(B3116)=7,1,0))))))</f>
        <v>3</v>
      </c>
      <c r="V3116" s="328">
        <f>VLOOKUP(C3116,METADATA!$A$5:$H$29,IF(E3116="HI",2,IF(E3116="LO",6,10))+IF(T3116=1,2,IF(D3116=7,1,(IF(WEEKDAY(B3116)=1,2,IF(WEEKDAY(B3116)=7,1,0))))))</f>
        <v>3</v>
      </c>
    </row>
    <row r="3117" spans="2:22">
      <c r="B3117" s="318">
        <f t="shared" si="195"/>
        <v>46242</v>
      </c>
      <c r="C3117" s="312">
        <v>17</v>
      </c>
      <c r="D3117" s="368">
        <f>IFERROR((INDEX(METADATA!$T$2:$T$20,MATCH(B3117,METADATA!$S$2:$S$20,0))),0)</f>
        <v>0</v>
      </c>
      <c r="E3117" s="312" t="str">
        <f t="shared" si="192"/>
        <v>LO</v>
      </c>
      <c r="F3117" s="369">
        <f>VLOOKUP(C3117,METADATA!$A$5:$H$29,IF(E3117="HI",2,IF(E3117="LO",6,10))+IF(D3117=1,2,IF(D3117=7,1,(IF(WEEKDAY(B3117)=1,2,IF(WEEKDAY(B3117)=7,1,0))))))</f>
        <v>3</v>
      </c>
      <c r="G3117" s="369">
        <f>VLOOKUP(C3117,METADATA!$J$5:$Q$29,IF(E3117="HI",2,IF(E3117="LO",6,10))+IF(D3117=1,2,IF(D3117=7,1,(IF(WEEKDAY(B3117)=1,2,IF(WEEKDAY(B3117)=7,1,0))))))</f>
        <v>3</v>
      </c>
      <c r="H3117" s="370">
        <v>13738.924865722656</v>
      </c>
      <c r="I3117" s="370">
        <v>4510.9698486328125</v>
      </c>
      <c r="M3117" s="371">
        <f t="shared" si="193"/>
        <v>14460.529224106795</v>
      </c>
      <c r="N3117" s="329">
        <f t="shared" si="194"/>
        <v>389.29238891601563</v>
      </c>
      <c r="T3117" s="331">
        <v>0</v>
      </c>
      <c r="U3117" s="328">
        <f>VLOOKUP(C3117,METADATA!$J$5:$Q$29,IF(E3117="HI",2,IF(E3117="LO",6,10))+IF(T3117=1,2,IF(D3117=7,1,(IF(WEEKDAY(B3117)=1,2,IF(WEEKDAY(B3117)=7,1,0))))))</f>
        <v>3</v>
      </c>
      <c r="V3117" s="328">
        <f>VLOOKUP(C3117,METADATA!$A$5:$H$29,IF(E3117="HI",2,IF(E3117="LO",6,10))+IF(T3117=1,2,IF(D3117=7,1,(IF(WEEKDAY(B3117)=1,2,IF(WEEKDAY(B3117)=7,1,0))))))</f>
        <v>3</v>
      </c>
    </row>
    <row r="3118" spans="2:22">
      <c r="B3118" s="318">
        <f t="shared" si="195"/>
        <v>46242</v>
      </c>
      <c r="C3118" s="312">
        <v>18</v>
      </c>
      <c r="D3118" s="368">
        <f>IFERROR((INDEX(METADATA!$T$2:$T$20,MATCH(B3118,METADATA!$S$2:$S$20,0))),0)</f>
        <v>0</v>
      </c>
      <c r="E3118" s="312" t="str">
        <f t="shared" si="192"/>
        <v>LO</v>
      </c>
      <c r="F3118" s="369">
        <f>VLOOKUP(C3118,METADATA!$A$5:$H$29,IF(E3118="HI",2,IF(E3118="LO",6,10))+IF(D3118=1,2,IF(D3118=7,1,(IF(WEEKDAY(B3118)=1,2,IF(WEEKDAY(B3118)=7,1,0))))))</f>
        <v>2</v>
      </c>
      <c r="G3118" s="369">
        <f>VLOOKUP(C3118,METADATA!$J$5:$Q$29,IF(E3118="HI",2,IF(E3118="LO",6,10))+IF(D3118=1,2,IF(D3118=7,1,(IF(WEEKDAY(B3118)=1,2,IF(WEEKDAY(B3118)=7,1,0))))))</f>
        <v>2</v>
      </c>
      <c r="H3118" s="370">
        <v>13630.000122070313</v>
      </c>
      <c r="I3118" s="370">
        <v>4313.5549926757813</v>
      </c>
      <c r="M3118" s="371">
        <f t="shared" si="193"/>
        <v>14296.281334755373</v>
      </c>
      <c r="N3118" s="329">
        <f t="shared" si="194"/>
        <v>224.55495605468786</v>
      </c>
      <c r="T3118" s="331">
        <v>0</v>
      </c>
      <c r="U3118" s="328">
        <f>VLOOKUP(C3118,METADATA!$J$5:$Q$29,IF(E3118="HI",2,IF(E3118="LO",6,10))+IF(T3118=1,2,IF(D3118=7,1,(IF(WEEKDAY(B3118)=1,2,IF(WEEKDAY(B3118)=7,1,0))))))</f>
        <v>2</v>
      </c>
      <c r="V3118" s="328">
        <f>VLOOKUP(C3118,METADATA!$A$5:$H$29,IF(E3118="HI",2,IF(E3118="LO",6,10))+IF(T3118=1,2,IF(D3118=7,1,(IF(WEEKDAY(B3118)=1,2,IF(WEEKDAY(B3118)=7,1,0))))))</f>
        <v>2</v>
      </c>
    </row>
    <row r="3119" spans="2:22">
      <c r="B3119" s="318">
        <f t="shared" si="195"/>
        <v>46242</v>
      </c>
      <c r="C3119" s="312">
        <v>19</v>
      </c>
      <c r="D3119" s="368">
        <f>IFERROR((INDEX(METADATA!$T$2:$T$20,MATCH(B3119,METADATA!$S$2:$S$20,0))),0)</f>
        <v>0</v>
      </c>
      <c r="E3119" s="312" t="str">
        <f t="shared" si="192"/>
        <v>LO</v>
      </c>
      <c r="F3119" s="369">
        <f>VLOOKUP(C3119,METADATA!$A$5:$H$29,IF(E3119="HI",2,IF(E3119="LO",6,10))+IF(D3119=1,2,IF(D3119=7,1,(IF(WEEKDAY(B3119)=1,2,IF(WEEKDAY(B3119)=7,1,0))))))</f>
        <v>2</v>
      </c>
      <c r="G3119" s="369">
        <f>VLOOKUP(C3119,METADATA!$J$5:$Q$29,IF(E3119="HI",2,IF(E3119="LO",6,10))+IF(D3119=1,2,IF(D3119=7,1,(IF(WEEKDAY(B3119)=1,2,IF(WEEKDAY(B3119)=7,1,0))))))</f>
        <v>2</v>
      </c>
      <c r="H3119" s="370">
        <v>13579.650024414063</v>
      </c>
      <c r="I3119" s="370">
        <v>4342.8150024414063</v>
      </c>
      <c r="M3119" s="371">
        <f t="shared" si="193"/>
        <v>14257.17142111292</v>
      </c>
      <c r="N3119" s="329">
        <f t="shared" si="194"/>
        <v>268.91999511718768</v>
      </c>
      <c r="T3119" s="331">
        <v>0</v>
      </c>
      <c r="U3119" s="328">
        <f>VLOOKUP(C3119,METADATA!$J$5:$Q$29,IF(E3119="HI",2,IF(E3119="LO",6,10))+IF(T3119=1,2,IF(D3119=7,1,(IF(WEEKDAY(B3119)=1,2,IF(WEEKDAY(B3119)=7,1,0))))))</f>
        <v>2</v>
      </c>
      <c r="V3119" s="328">
        <f>VLOOKUP(C3119,METADATA!$A$5:$H$29,IF(E3119="HI",2,IF(E3119="LO",6,10))+IF(T3119=1,2,IF(D3119=7,1,(IF(WEEKDAY(B3119)=1,2,IF(WEEKDAY(B3119)=7,1,0))))))</f>
        <v>2</v>
      </c>
    </row>
    <row r="3120" spans="2:22">
      <c r="B3120" s="318">
        <f t="shared" si="195"/>
        <v>46242</v>
      </c>
      <c r="C3120" s="312">
        <v>20</v>
      </c>
      <c r="D3120" s="368">
        <f>IFERROR((INDEX(METADATA!$T$2:$T$20,MATCH(B3120,METADATA!$S$2:$S$20,0))),0)</f>
        <v>0</v>
      </c>
      <c r="E3120" s="312" t="str">
        <f t="shared" si="192"/>
        <v>LO</v>
      </c>
      <c r="F3120" s="369">
        <f>VLOOKUP(C3120,METADATA!$A$5:$H$29,IF(E3120="HI",2,IF(E3120="LO",6,10))+IF(D3120=1,2,IF(D3120=7,1,(IF(WEEKDAY(B3120)=1,2,IF(WEEKDAY(B3120)=7,1,0))))))</f>
        <v>3</v>
      </c>
      <c r="G3120" s="369">
        <f>VLOOKUP(C3120,METADATA!$J$5:$Q$29,IF(E3120="HI",2,IF(E3120="LO",6,10))+IF(D3120=1,2,IF(D3120=7,1,(IF(WEEKDAY(B3120)=1,2,IF(WEEKDAY(B3120)=7,1,0))))))</f>
        <v>3</v>
      </c>
      <c r="H3120" s="370">
        <v>13380.92529296875</v>
      </c>
      <c r="I3120" s="370">
        <v>4322.7300109863281</v>
      </c>
      <c r="M3120" s="371">
        <f t="shared" si="193"/>
        <v>14061.833324424404</v>
      </c>
      <c r="N3120" s="329">
        <f t="shared" si="194"/>
        <v>308.45242309570313</v>
      </c>
      <c r="T3120" s="331">
        <v>0</v>
      </c>
      <c r="U3120" s="328">
        <f>VLOOKUP(C3120,METADATA!$J$5:$Q$29,IF(E3120="HI",2,IF(E3120="LO",6,10))+IF(T3120=1,2,IF(D3120=7,1,(IF(WEEKDAY(B3120)=1,2,IF(WEEKDAY(B3120)=7,1,0))))))</f>
        <v>3</v>
      </c>
      <c r="V3120" s="328">
        <f>VLOOKUP(C3120,METADATA!$A$5:$H$29,IF(E3120="HI",2,IF(E3120="LO",6,10))+IF(T3120=1,2,IF(D3120=7,1,(IF(WEEKDAY(B3120)=1,2,IF(WEEKDAY(B3120)=7,1,0))))))</f>
        <v>3</v>
      </c>
    </row>
    <row r="3121" spans="2:22">
      <c r="B3121" s="318">
        <f t="shared" si="195"/>
        <v>46242</v>
      </c>
      <c r="C3121" s="312">
        <v>21</v>
      </c>
      <c r="D3121" s="368">
        <f>IFERROR((INDEX(METADATA!$T$2:$T$20,MATCH(B3121,METADATA!$S$2:$S$20,0))),0)</f>
        <v>0</v>
      </c>
      <c r="E3121" s="312" t="str">
        <f t="shared" si="192"/>
        <v>LO</v>
      </c>
      <c r="F3121" s="369">
        <f>VLOOKUP(C3121,METADATA!$A$5:$H$29,IF(E3121="HI",2,IF(E3121="LO",6,10))+IF(D3121=1,2,IF(D3121=7,1,(IF(WEEKDAY(B3121)=1,2,IF(WEEKDAY(B3121)=7,1,0))))))</f>
        <v>3</v>
      </c>
      <c r="G3121" s="369">
        <f>VLOOKUP(C3121,METADATA!$J$5:$Q$29,IF(E3121="HI",2,IF(E3121="LO",6,10))+IF(D3121=1,2,IF(D3121=7,1,(IF(WEEKDAY(B3121)=1,2,IF(WEEKDAY(B3121)=7,1,0))))))</f>
        <v>3</v>
      </c>
      <c r="H3121" s="370">
        <v>13267.19970703125</v>
      </c>
      <c r="I3121" s="370">
        <v>4366.0850219726563</v>
      </c>
      <c r="M3121" s="371">
        <f t="shared" si="193"/>
        <v>13967.150263577179</v>
      </c>
      <c r="N3121" s="329">
        <f t="shared" si="194"/>
        <v>385.92510986328125</v>
      </c>
      <c r="T3121" s="331">
        <v>0</v>
      </c>
      <c r="U3121" s="328">
        <f>VLOOKUP(C3121,METADATA!$J$5:$Q$29,IF(E3121="HI",2,IF(E3121="LO",6,10))+IF(T3121=1,2,IF(D3121=7,1,(IF(WEEKDAY(B3121)=1,2,IF(WEEKDAY(B3121)=7,1,0))))))</f>
        <v>3</v>
      </c>
      <c r="V3121" s="328">
        <f>VLOOKUP(C3121,METADATA!$A$5:$H$29,IF(E3121="HI",2,IF(E3121="LO",6,10))+IF(T3121=1,2,IF(D3121=7,1,(IF(WEEKDAY(B3121)=1,2,IF(WEEKDAY(B3121)=7,1,0))))))</f>
        <v>3</v>
      </c>
    </row>
    <row r="3122" spans="2:22">
      <c r="B3122" s="318">
        <f t="shared" si="195"/>
        <v>46242</v>
      </c>
      <c r="C3122" s="312">
        <v>22</v>
      </c>
      <c r="D3122" s="368">
        <f>IFERROR((INDEX(METADATA!$T$2:$T$20,MATCH(B3122,METADATA!$S$2:$S$20,0))),0)</f>
        <v>0</v>
      </c>
      <c r="E3122" s="312" t="str">
        <f t="shared" si="192"/>
        <v>LO</v>
      </c>
      <c r="F3122" s="369">
        <f>VLOOKUP(C3122,METADATA!$A$5:$H$29,IF(E3122="HI",2,IF(E3122="LO",6,10))+IF(D3122=1,2,IF(D3122=7,1,(IF(WEEKDAY(B3122)=1,2,IF(WEEKDAY(B3122)=7,1,0))))))</f>
        <v>3</v>
      </c>
      <c r="G3122" s="369">
        <f>VLOOKUP(C3122,METADATA!$J$5:$Q$29,IF(E3122="HI",2,IF(E3122="LO",6,10))+IF(D3122=1,2,IF(D3122=7,1,(IF(WEEKDAY(B3122)=1,2,IF(WEEKDAY(B3122)=7,1,0))))))</f>
        <v>3</v>
      </c>
      <c r="H3122" s="370">
        <v>13535.299743652344</v>
      </c>
      <c r="I3122" s="370">
        <v>4524.1800231933594</v>
      </c>
      <c r="M3122" s="371">
        <f t="shared" si="193"/>
        <v>14271.38900152249</v>
      </c>
      <c r="N3122" s="329">
        <f t="shared" si="194"/>
        <v>463.59010009765643</v>
      </c>
      <c r="T3122" s="331">
        <v>0</v>
      </c>
      <c r="U3122" s="328">
        <f>VLOOKUP(C3122,METADATA!$J$5:$Q$29,IF(E3122="HI",2,IF(E3122="LO",6,10))+IF(T3122=1,2,IF(D3122=7,1,(IF(WEEKDAY(B3122)=1,2,IF(WEEKDAY(B3122)=7,1,0))))))</f>
        <v>3</v>
      </c>
      <c r="V3122" s="328">
        <f>VLOOKUP(C3122,METADATA!$A$5:$H$29,IF(E3122="HI",2,IF(E3122="LO",6,10))+IF(T3122=1,2,IF(D3122=7,1,(IF(WEEKDAY(B3122)=1,2,IF(WEEKDAY(B3122)=7,1,0))))))</f>
        <v>3</v>
      </c>
    </row>
    <row r="3123" spans="2:22">
      <c r="B3123" s="318">
        <f t="shared" si="195"/>
        <v>46242</v>
      </c>
      <c r="C3123" s="312">
        <v>23</v>
      </c>
      <c r="D3123" s="368">
        <f>IFERROR((INDEX(METADATA!$T$2:$T$20,MATCH(B3123,METADATA!$S$2:$S$20,0))),0)</f>
        <v>0</v>
      </c>
      <c r="E3123" s="312" t="str">
        <f t="shared" si="192"/>
        <v>LO</v>
      </c>
      <c r="F3123" s="369">
        <f>VLOOKUP(C3123,METADATA!$A$5:$H$29,IF(E3123="HI",2,IF(E3123="LO",6,10))+IF(D3123=1,2,IF(D3123=7,1,(IF(WEEKDAY(B3123)=1,2,IF(WEEKDAY(B3123)=7,1,0))))))</f>
        <v>3</v>
      </c>
      <c r="G3123" s="369">
        <f>VLOOKUP(C3123,METADATA!$J$5:$Q$29,IF(E3123="HI",2,IF(E3123="LO",6,10))+IF(D3123=1,2,IF(D3123=7,1,(IF(WEEKDAY(B3123)=1,2,IF(WEEKDAY(B3123)=7,1,0))))))</f>
        <v>3</v>
      </c>
      <c r="H3123" s="370">
        <v>13276.224792480469</v>
      </c>
      <c r="I3123" s="370">
        <v>4190.7949829101563</v>
      </c>
      <c r="M3123" s="371">
        <f t="shared" si="193"/>
        <v>13921.957740535559</v>
      </c>
      <c r="N3123" s="329">
        <f t="shared" si="194"/>
        <v>207.92754516601599</v>
      </c>
      <c r="T3123" s="331">
        <v>0</v>
      </c>
      <c r="U3123" s="328">
        <f>VLOOKUP(C3123,METADATA!$J$5:$Q$29,IF(E3123="HI",2,IF(E3123="LO",6,10))+IF(T3123=1,2,IF(D3123=7,1,(IF(WEEKDAY(B3123)=1,2,IF(WEEKDAY(B3123)=7,1,0))))))</f>
        <v>3</v>
      </c>
      <c r="V3123" s="328">
        <f>VLOOKUP(C3123,METADATA!$A$5:$H$29,IF(E3123="HI",2,IF(E3123="LO",6,10))+IF(T3123=1,2,IF(D3123=7,1,(IF(WEEKDAY(B3123)=1,2,IF(WEEKDAY(B3123)=7,1,0))))))</f>
        <v>3</v>
      </c>
    </row>
    <row r="3124" spans="2:22">
      <c r="B3124" s="318">
        <f t="shared" si="195"/>
        <v>46243</v>
      </c>
      <c r="C3124" s="312">
        <v>0</v>
      </c>
      <c r="D3124" s="368">
        <f>IFERROR((INDEX(METADATA!$T$2:$T$20,MATCH(B3124,METADATA!$S$2:$S$20,0))),0)</f>
        <v>1</v>
      </c>
      <c r="E3124" s="312" t="str">
        <f t="shared" si="192"/>
        <v>LO</v>
      </c>
      <c r="F3124" s="369">
        <f>VLOOKUP(C3124,METADATA!$A$5:$H$29,IF(E3124="HI",2,IF(E3124="LO",6,10))+IF(D3124=1,2,IF(D3124=7,1,(IF(WEEKDAY(B3124)=1,2,IF(WEEKDAY(B3124)=7,1,0))))))</f>
        <v>3</v>
      </c>
      <c r="G3124" s="369">
        <f>VLOOKUP(C3124,METADATA!$J$5:$Q$29,IF(E3124="HI",2,IF(E3124="LO",6,10))+IF(D3124=1,2,IF(D3124=7,1,(IF(WEEKDAY(B3124)=1,2,IF(WEEKDAY(B3124)=7,1,0))))))</f>
        <v>3</v>
      </c>
      <c r="H3124" s="370">
        <v>13418.775329589844</v>
      </c>
      <c r="I3124" s="370">
        <v>4313.830078125</v>
      </c>
      <c r="M3124" s="371">
        <f t="shared" si="193"/>
        <v>14095.12899156815</v>
      </c>
      <c r="N3124" s="329">
        <f t="shared" si="194"/>
        <v>288.19747924804688</v>
      </c>
      <c r="T3124" s="331">
        <v>0</v>
      </c>
      <c r="U3124" s="328">
        <f>VLOOKUP(C3124,METADATA!$J$5:$Q$29,IF(E3124="HI",2,IF(E3124="LO",6,10))+IF(T3124=1,2,IF(D3124=7,1,(IF(WEEKDAY(B3124)=1,2,IF(WEEKDAY(B3124)=7,1,0))))))</f>
        <v>3</v>
      </c>
      <c r="V3124" s="328">
        <f>VLOOKUP(C3124,METADATA!$A$5:$H$29,IF(E3124="HI",2,IF(E3124="LO",6,10))+IF(T3124=1,2,IF(D3124=7,1,(IF(WEEKDAY(B3124)=1,2,IF(WEEKDAY(B3124)=7,1,0))))))</f>
        <v>3</v>
      </c>
    </row>
    <row r="3125" spans="2:22">
      <c r="B3125" s="318">
        <f t="shared" si="195"/>
        <v>46243</v>
      </c>
      <c r="C3125" s="312">
        <v>1</v>
      </c>
      <c r="D3125" s="368">
        <f>IFERROR((INDEX(METADATA!$T$2:$T$20,MATCH(B3125,METADATA!$S$2:$S$20,0))),0)</f>
        <v>1</v>
      </c>
      <c r="E3125" s="312" t="str">
        <f t="shared" si="192"/>
        <v>LO</v>
      </c>
      <c r="F3125" s="369">
        <f>VLOOKUP(C3125,METADATA!$A$5:$H$29,IF(E3125="HI",2,IF(E3125="LO",6,10))+IF(D3125=1,2,IF(D3125=7,1,(IF(WEEKDAY(B3125)=1,2,IF(WEEKDAY(B3125)=7,1,0))))))</f>
        <v>3</v>
      </c>
      <c r="G3125" s="369">
        <f>VLOOKUP(C3125,METADATA!$J$5:$Q$29,IF(E3125="HI",2,IF(E3125="LO",6,10))+IF(D3125=1,2,IF(D3125=7,1,(IF(WEEKDAY(B3125)=1,2,IF(WEEKDAY(B3125)=7,1,0))))))</f>
        <v>3</v>
      </c>
      <c r="H3125" s="370">
        <v>13499.880004882813</v>
      </c>
      <c r="I3125" s="370">
        <v>4287.8874816894531</v>
      </c>
      <c r="M3125" s="371">
        <f t="shared" si="193"/>
        <v>14164.488667151521</v>
      </c>
      <c r="N3125" s="329">
        <f t="shared" si="194"/>
        <v>237.92348022460965</v>
      </c>
      <c r="T3125" s="331">
        <v>0</v>
      </c>
      <c r="U3125" s="328">
        <f>VLOOKUP(C3125,METADATA!$J$5:$Q$29,IF(E3125="HI",2,IF(E3125="LO",6,10))+IF(T3125=1,2,IF(D3125=7,1,(IF(WEEKDAY(B3125)=1,2,IF(WEEKDAY(B3125)=7,1,0))))))</f>
        <v>3</v>
      </c>
      <c r="V3125" s="328">
        <f>VLOOKUP(C3125,METADATA!$A$5:$H$29,IF(E3125="HI",2,IF(E3125="LO",6,10))+IF(T3125=1,2,IF(D3125=7,1,(IF(WEEKDAY(B3125)=1,2,IF(WEEKDAY(B3125)=7,1,0))))))</f>
        <v>3</v>
      </c>
    </row>
    <row r="3126" spans="2:22">
      <c r="B3126" s="318">
        <f t="shared" si="195"/>
        <v>46243</v>
      </c>
      <c r="C3126" s="312">
        <v>2</v>
      </c>
      <c r="D3126" s="368">
        <f>IFERROR((INDEX(METADATA!$T$2:$T$20,MATCH(B3126,METADATA!$S$2:$S$20,0))),0)</f>
        <v>1</v>
      </c>
      <c r="E3126" s="312" t="str">
        <f t="shared" si="192"/>
        <v>LO</v>
      </c>
      <c r="F3126" s="369">
        <f>VLOOKUP(C3126,METADATA!$A$5:$H$29,IF(E3126="HI",2,IF(E3126="LO",6,10))+IF(D3126=1,2,IF(D3126=7,1,(IF(WEEKDAY(B3126)=1,2,IF(WEEKDAY(B3126)=7,1,0))))))</f>
        <v>3</v>
      </c>
      <c r="G3126" s="369">
        <f>VLOOKUP(C3126,METADATA!$J$5:$Q$29,IF(E3126="HI",2,IF(E3126="LO",6,10))+IF(D3126=1,2,IF(D3126=7,1,(IF(WEEKDAY(B3126)=1,2,IF(WEEKDAY(B3126)=7,1,0))))))</f>
        <v>3</v>
      </c>
      <c r="H3126" s="370">
        <v>13516.875122070313</v>
      </c>
      <c r="I3126" s="370">
        <v>4299.4899597167969</v>
      </c>
      <c r="M3126" s="371">
        <f t="shared" si="193"/>
        <v>14184.199906210742</v>
      </c>
      <c r="N3126" s="329">
        <f t="shared" si="194"/>
        <v>244.42742309570349</v>
      </c>
      <c r="T3126" s="331">
        <v>0</v>
      </c>
      <c r="U3126" s="328">
        <f>VLOOKUP(C3126,METADATA!$J$5:$Q$29,IF(E3126="HI",2,IF(E3126="LO",6,10))+IF(T3126=1,2,IF(D3126=7,1,(IF(WEEKDAY(B3126)=1,2,IF(WEEKDAY(B3126)=7,1,0))))))</f>
        <v>3</v>
      </c>
      <c r="V3126" s="328">
        <f>VLOOKUP(C3126,METADATA!$A$5:$H$29,IF(E3126="HI",2,IF(E3126="LO",6,10))+IF(T3126=1,2,IF(D3126=7,1,(IF(WEEKDAY(B3126)=1,2,IF(WEEKDAY(B3126)=7,1,0))))))</f>
        <v>3</v>
      </c>
    </row>
    <row r="3127" spans="2:22">
      <c r="B3127" s="318">
        <f t="shared" si="195"/>
        <v>46243</v>
      </c>
      <c r="C3127" s="312">
        <v>3</v>
      </c>
      <c r="D3127" s="368">
        <f>IFERROR((INDEX(METADATA!$T$2:$T$20,MATCH(B3127,METADATA!$S$2:$S$20,0))),0)</f>
        <v>1</v>
      </c>
      <c r="E3127" s="312" t="str">
        <f t="shared" si="192"/>
        <v>LO</v>
      </c>
      <c r="F3127" s="369">
        <f>VLOOKUP(C3127,METADATA!$A$5:$H$29,IF(E3127="HI",2,IF(E3127="LO",6,10))+IF(D3127=1,2,IF(D3127=7,1,(IF(WEEKDAY(B3127)=1,2,IF(WEEKDAY(B3127)=7,1,0))))))</f>
        <v>3</v>
      </c>
      <c r="G3127" s="369">
        <f>VLOOKUP(C3127,METADATA!$J$5:$Q$29,IF(E3127="HI",2,IF(E3127="LO",6,10))+IF(D3127=1,2,IF(D3127=7,1,(IF(WEEKDAY(B3127)=1,2,IF(WEEKDAY(B3127)=7,1,0))))))</f>
        <v>3</v>
      </c>
      <c r="H3127" s="370">
        <v>13460.274963378906</v>
      </c>
      <c r="I3127" s="370">
        <v>4237.9799194335938</v>
      </c>
      <c r="M3127" s="371">
        <f t="shared" si="193"/>
        <v>14111.678705500894</v>
      </c>
      <c r="N3127" s="329">
        <f t="shared" si="194"/>
        <v>199.89743041992188</v>
      </c>
      <c r="T3127" s="331">
        <v>0</v>
      </c>
      <c r="U3127" s="328">
        <f>VLOOKUP(C3127,METADATA!$J$5:$Q$29,IF(E3127="HI",2,IF(E3127="LO",6,10))+IF(T3127=1,2,IF(D3127=7,1,(IF(WEEKDAY(B3127)=1,2,IF(WEEKDAY(B3127)=7,1,0))))))</f>
        <v>3</v>
      </c>
      <c r="V3127" s="328">
        <f>VLOOKUP(C3127,METADATA!$A$5:$H$29,IF(E3127="HI",2,IF(E3127="LO",6,10))+IF(T3127=1,2,IF(D3127=7,1,(IF(WEEKDAY(B3127)=1,2,IF(WEEKDAY(B3127)=7,1,0))))))</f>
        <v>3</v>
      </c>
    </row>
    <row r="3128" spans="2:22">
      <c r="B3128" s="318">
        <f t="shared" si="195"/>
        <v>46243</v>
      </c>
      <c r="C3128" s="312">
        <v>4</v>
      </c>
      <c r="D3128" s="368">
        <f>IFERROR((INDEX(METADATA!$T$2:$T$20,MATCH(B3128,METADATA!$S$2:$S$20,0))),0)</f>
        <v>1</v>
      </c>
      <c r="E3128" s="312" t="str">
        <f t="shared" si="192"/>
        <v>LO</v>
      </c>
      <c r="F3128" s="369">
        <f>VLOOKUP(C3128,METADATA!$A$5:$H$29,IF(E3128="HI",2,IF(E3128="LO",6,10))+IF(D3128=1,2,IF(D3128=7,1,(IF(WEEKDAY(B3128)=1,2,IF(WEEKDAY(B3128)=7,1,0))))))</f>
        <v>3</v>
      </c>
      <c r="G3128" s="369">
        <f>VLOOKUP(C3128,METADATA!$J$5:$Q$29,IF(E3128="HI",2,IF(E3128="LO",6,10))+IF(D3128=1,2,IF(D3128=7,1,(IF(WEEKDAY(B3128)=1,2,IF(WEEKDAY(B3128)=7,1,0))))))</f>
        <v>3</v>
      </c>
      <c r="H3128" s="370">
        <v>13413.274963378906</v>
      </c>
      <c r="I3128" s="370">
        <v>4312.949951171875</v>
      </c>
      <c r="M3128" s="371">
        <f t="shared" si="193"/>
        <v>14089.623221524445</v>
      </c>
      <c r="N3128" s="329">
        <f t="shared" si="194"/>
        <v>288.96746215820349</v>
      </c>
      <c r="T3128" s="331">
        <v>0</v>
      </c>
      <c r="U3128" s="328">
        <f>VLOOKUP(C3128,METADATA!$J$5:$Q$29,IF(E3128="HI",2,IF(E3128="LO",6,10))+IF(T3128=1,2,IF(D3128=7,1,(IF(WEEKDAY(B3128)=1,2,IF(WEEKDAY(B3128)=7,1,0))))))</f>
        <v>3</v>
      </c>
      <c r="V3128" s="328">
        <f>VLOOKUP(C3128,METADATA!$A$5:$H$29,IF(E3128="HI",2,IF(E3128="LO",6,10))+IF(T3128=1,2,IF(D3128=7,1,(IF(WEEKDAY(B3128)=1,2,IF(WEEKDAY(B3128)=7,1,0))))))</f>
        <v>3</v>
      </c>
    </row>
    <row r="3129" spans="2:22">
      <c r="B3129" s="318">
        <f t="shared" si="195"/>
        <v>46243</v>
      </c>
      <c r="C3129" s="312">
        <v>5</v>
      </c>
      <c r="D3129" s="368">
        <f>IFERROR((INDEX(METADATA!$T$2:$T$20,MATCH(B3129,METADATA!$S$2:$S$20,0))),0)</f>
        <v>1</v>
      </c>
      <c r="E3129" s="312" t="str">
        <f t="shared" si="192"/>
        <v>LO</v>
      </c>
      <c r="F3129" s="369">
        <f>VLOOKUP(C3129,METADATA!$A$5:$H$29,IF(E3129="HI",2,IF(E3129="LO",6,10))+IF(D3129=1,2,IF(D3129=7,1,(IF(WEEKDAY(B3129)=1,2,IF(WEEKDAY(B3129)=7,1,0))))))</f>
        <v>3</v>
      </c>
      <c r="G3129" s="369">
        <f>VLOOKUP(C3129,METADATA!$J$5:$Q$29,IF(E3129="HI",2,IF(E3129="LO",6,10))+IF(D3129=1,2,IF(D3129=7,1,(IF(WEEKDAY(B3129)=1,2,IF(WEEKDAY(B3129)=7,1,0))))))</f>
        <v>3</v>
      </c>
      <c r="H3129" s="370">
        <v>13623.925415039063</v>
      </c>
      <c r="I3129" s="370">
        <v>4455.47998046875</v>
      </c>
      <c r="M3129" s="371">
        <f t="shared" si="193"/>
        <v>14333.968242287447</v>
      </c>
      <c r="N3129" s="329">
        <f t="shared" si="194"/>
        <v>368.30235595703152</v>
      </c>
      <c r="T3129" s="331">
        <v>0</v>
      </c>
      <c r="U3129" s="328">
        <f>VLOOKUP(C3129,METADATA!$J$5:$Q$29,IF(E3129="HI",2,IF(E3129="LO",6,10))+IF(T3129=1,2,IF(D3129=7,1,(IF(WEEKDAY(B3129)=1,2,IF(WEEKDAY(B3129)=7,1,0))))))</f>
        <v>3</v>
      </c>
      <c r="V3129" s="328">
        <f>VLOOKUP(C3129,METADATA!$A$5:$H$29,IF(E3129="HI",2,IF(E3129="LO",6,10))+IF(T3129=1,2,IF(D3129=7,1,(IF(WEEKDAY(B3129)=1,2,IF(WEEKDAY(B3129)=7,1,0))))))</f>
        <v>3</v>
      </c>
    </row>
    <row r="3130" spans="2:22">
      <c r="B3130" s="318">
        <f t="shared" si="195"/>
        <v>46243</v>
      </c>
      <c r="C3130" s="312">
        <v>6</v>
      </c>
      <c r="D3130" s="368">
        <f>IFERROR((INDEX(METADATA!$T$2:$T$20,MATCH(B3130,METADATA!$S$2:$S$20,0))),0)</f>
        <v>1</v>
      </c>
      <c r="E3130" s="312" t="str">
        <f t="shared" si="192"/>
        <v>LO</v>
      </c>
      <c r="F3130" s="369">
        <f>VLOOKUP(C3130,METADATA!$A$5:$H$29,IF(E3130="HI",2,IF(E3130="LO",6,10))+IF(D3130=1,2,IF(D3130=7,1,(IF(WEEKDAY(B3130)=1,2,IF(WEEKDAY(B3130)=7,1,0))))))</f>
        <v>3</v>
      </c>
      <c r="G3130" s="369">
        <f>VLOOKUP(C3130,METADATA!$J$5:$Q$29,IF(E3130="HI",2,IF(E3130="LO",6,10))+IF(D3130=1,2,IF(D3130=7,1,(IF(WEEKDAY(B3130)=1,2,IF(WEEKDAY(B3130)=7,1,0))))))</f>
        <v>3</v>
      </c>
      <c r="H3130" s="370">
        <v>13554.42529296875</v>
      </c>
      <c r="I3130" s="370">
        <v>4432.7799072265625</v>
      </c>
      <c r="M3130" s="371">
        <f t="shared" si="193"/>
        <v>14260.854908755733</v>
      </c>
      <c r="N3130" s="329">
        <f t="shared" si="194"/>
        <v>366.45231933593777</v>
      </c>
      <c r="T3130" s="331">
        <v>0</v>
      </c>
      <c r="U3130" s="328">
        <f>VLOOKUP(C3130,METADATA!$J$5:$Q$29,IF(E3130="HI",2,IF(E3130="LO",6,10))+IF(T3130=1,2,IF(D3130=7,1,(IF(WEEKDAY(B3130)=1,2,IF(WEEKDAY(B3130)=7,1,0))))))</f>
        <v>3</v>
      </c>
      <c r="V3130" s="328">
        <f>VLOOKUP(C3130,METADATA!$A$5:$H$29,IF(E3130="HI",2,IF(E3130="LO",6,10))+IF(T3130=1,2,IF(D3130=7,1,(IF(WEEKDAY(B3130)=1,2,IF(WEEKDAY(B3130)=7,1,0))))))</f>
        <v>3</v>
      </c>
    </row>
    <row r="3131" spans="2:22">
      <c r="B3131" s="318">
        <f t="shared" si="195"/>
        <v>46243</v>
      </c>
      <c r="C3131" s="312">
        <v>7</v>
      </c>
      <c r="D3131" s="368">
        <f>IFERROR((INDEX(METADATA!$T$2:$T$20,MATCH(B3131,METADATA!$S$2:$S$20,0))),0)</f>
        <v>1</v>
      </c>
      <c r="E3131" s="312" t="str">
        <f t="shared" si="192"/>
        <v>LO</v>
      </c>
      <c r="F3131" s="369">
        <f>VLOOKUP(C3131,METADATA!$A$5:$H$29,IF(E3131="HI",2,IF(E3131="LO",6,10))+IF(D3131=1,2,IF(D3131=7,1,(IF(WEEKDAY(B3131)=1,2,IF(WEEKDAY(B3131)=7,1,0))))))</f>
        <v>3</v>
      </c>
      <c r="G3131" s="369">
        <f>VLOOKUP(C3131,METADATA!$J$5:$Q$29,IF(E3131="HI",2,IF(E3131="LO",6,10))+IF(D3131=1,2,IF(D3131=7,1,(IF(WEEKDAY(B3131)=1,2,IF(WEEKDAY(B3131)=7,1,0))))))</f>
        <v>3</v>
      </c>
      <c r="H3131" s="370">
        <v>13631.950012207031</v>
      </c>
      <c r="I3131" s="370">
        <v>4368.68994140625</v>
      </c>
      <c r="M3131" s="371">
        <f t="shared" si="193"/>
        <v>14314.870343089226</v>
      </c>
      <c r="N3131" s="329">
        <f t="shared" si="194"/>
        <v>279.1049377441409</v>
      </c>
      <c r="T3131" s="331">
        <v>0</v>
      </c>
      <c r="U3131" s="328">
        <f>VLOOKUP(C3131,METADATA!$J$5:$Q$29,IF(E3131="HI",2,IF(E3131="LO",6,10))+IF(T3131=1,2,IF(D3131=7,1,(IF(WEEKDAY(B3131)=1,2,IF(WEEKDAY(B3131)=7,1,0))))))</f>
        <v>3</v>
      </c>
      <c r="V3131" s="328">
        <f>VLOOKUP(C3131,METADATA!$A$5:$H$29,IF(E3131="HI",2,IF(E3131="LO",6,10))+IF(T3131=1,2,IF(D3131=7,1,(IF(WEEKDAY(B3131)=1,2,IF(WEEKDAY(B3131)=7,1,0))))))</f>
        <v>3</v>
      </c>
    </row>
    <row r="3132" spans="2:22">
      <c r="B3132" s="318">
        <f t="shared" si="195"/>
        <v>46243</v>
      </c>
      <c r="C3132" s="312">
        <v>8</v>
      </c>
      <c r="D3132" s="368">
        <f>IFERROR((INDEX(METADATA!$T$2:$T$20,MATCH(B3132,METADATA!$S$2:$S$20,0))),0)</f>
        <v>1</v>
      </c>
      <c r="E3132" s="312" t="str">
        <f t="shared" si="192"/>
        <v>LO</v>
      </c>
      <c r="F3132" s="369">
        <f>VLOOKUP(C3132,METADATA!$A$5:$H$29,IF(E3132="HI",2,IF(E3132="LO",6,10))+IF(D3132=1,2,IF(D3132=7,1,(IF(WEEKDAY(B3132)=1,2,IF(WEEKDAY(B3132)=7,1,0))))))</f>
        <v>3</v>
      </c>
      <c r="G3132" s="369">
        <f>VLOOKUP(C3132,METADATA!$J$5:$Q$29,IF(E3132="HI",2,IF(E3132="LO",6,10))+IF(D3132=1,2,IF(D3132=7,1,(IF(WEEKDAY(B3132)=1,2,IF(WEEKDAY(B3132)=7,1,0))))))</f>
        <v>3</v>
      </c>
      <c r="H3132" s="370">
        <v>13496.200012207031</v>
      </c>
      <c r="I3132" s="370">
        <v>4245.9000244140625</v>
      </c>
      <c r="M3132" s="371">
        <f t="shared" si="193"/>
        <v>14148.324345547653</v>
      </c>
      <c r="N3132" s="329">
        <f t="shared" si="194"/>
        <v>197.04002075195331</v>
      </c>
      <c r="T3132" s="331">
        <v>0</v>
      </c>
      <c r="U3132" s="328">
        <f>VLOOKUP(C3132,METADATA!$J$5:$Q$29,IF(E3132="HI",2,IF(E3132="LO",6,10))+IF(T3132=1,2,IF(D3132=7,1,(IF(WEEKDAY(B3132)=1,2,IF(WEEKDAY(B3132)=7,1,0))))))</f>
        <v>3</v>
      </c>
      <c r="V3132" s="328">
        <f>VLOOKUP(C3132,METADATA!$A$5:$H$29,IF(E3132="HI",2,IF(E3132="LO",6,10))+IF(T3132=1,2,IF(D3132=7,1,(IF(WEEKDAY(B3132)=1,2,IF(WEEKDAY(B3132)=7,1,0))))))</f>
        <v>3</v>
      </c>
    </row>
    <row r="3133" spans="2:22">
      <c r="B3133" s="318">
        <f t="shared" si="195"/>
        <v>46243</v>
      </c>
      <c r="C3133" s="312">
        <v>9</v>
      </c>
      <c r="D3133" s="368">
        <f>IFERROR((INDEX(METADATA!$T$2:$T$20,MATCH(B3133,METADATA!$S$2:$S$20,0))),0)</f>
        <v>1</v>
      </c>
      <c r="E3133" s="312" t="str">
        <f t="shared" si="192"/>
        <v>LO</v>
      </c>
      <c r="F3133" s="369">
        <f>VLOOKUP(C3133,METADATA!$A$5:$H$29,IF(E3133="HI",2,IF(E3133="LO",6,10))+IF(D3133=1,2,IF(D3133=7,1,(IF(WEEKDAY(B3133)=1,2,IF(WEEKDAY(B3133)=7,1,0))))))</f>
        <v>3</v>
      </c>
      <c r="G3133" s="369">
        <f>VLOOKUP(C3133,METADATA!$J$5:$Q$29,IF(E3133="HI",2,IF(E3133="LO",6,10))+IF(D3133=1,2,IF(D3133=7,1,(IF(WEEKDAY(B3133)=1,2,IF(WEEKDAY(B3133)=7,1,0))))))</f>
        <v>3</v>
      </c>
      <c r="H3133" s="370">
        <v>13657.249633789063</v>
      </c>
      <c r="I3133" s="370">
        <v>4375.5000915527344</v>
      </c>
      <c r="M3133" s="371">
        <f t="shared" si="193"/>
        <v>14341.041406076807</v>
      </c>
      <c r="N3133" s="329">
        <f t="shared" si="194"/>
        <v>278.32520141601617</v>
      </c>
      <c r="T3133" s="331">
        <v>0</v>
      </c>
      <c r="U3133" s="328">
        <f>VLOOKUP(C3133,METADATA!$J$5:$Q$29,IF(E3133="HI",2,IF(E3133="LO",6,10))+IF(T3133=1,2,IF(D3133=7,1,(IF(WEEKDAY(B3133)=1,2,IF(WEEKDAY(B3133)=7,1,0))))))</f>
        <v>3</v>
      </c>
      <c r="V3133" s="328">
        <f>VLOOKUP(C3133,METADATA!$A$5:$H$29,IF(E3133="HI",2,IF(E3133="LO",6,10))+IF(T3133=1,2,IF(D3133=7,1,(IF(WEEKDAY(B3133)=1,2,IF(WEEKDAY(B3133)=7,1,0))))))</f>
        <v>3</v>
      </c>
    </row>
    <row r="3134" spans="2:22">
      <c r="B3134" s="318">
        <f t="shared" si="195"/>
        <v>46243</v>
      </c>
      <c r="C3134" s="312">
        <v>10</v>
      </c>
      <c r="D3134" s="368">
        <f>IFERROR((INDEX(METADATA!$T$2:$T$20,MATCH(B3134,METADATA!$S$2:$S$20,0))),0)</f>
        <v>1</v>
      </c>
      <c r="E3134" s="312" t="str">
        <f t="shared" si="192"/>
        <v>LO</v>
      </c>
      <c r="F3134" s="369">
        <f>VLOOKUP(C3134,METADATA!$A$5:$H$29,IF(E3134="HI",2,IF(E3134="LO",6,10))+IF(D3134=1,2,IF(D3134=7,1,(IF(WEEKDAY(B3134)=1,2,IF(WEEKDAY(B3134)=7,1,0))))))</f>
        <v>3</v>
      </c>
      <c r="G3134" s="369">
        <f>VLOOKUP(C3134,METADATA!$J$5:$Q$29,IF(E3134="HI",2,IF(E3134="LO",6,10))+IF(D3134=1,2,IF(D3134=7,1,(IF(WEEKDAY(B3134)=1,2,IF(WEEKDAY(B3134)=7,1,0))))))</f>
        <v>3</v>
      </c>
      <c r="H3134" s="370">
        <v>13251.02490234375</v>
      </c>
      <c r="I3134" s="370">
        <v>4259.0449829101563</v>
      </c>
      <c r="M3134" s="371">
        <f t="shared" si="193"/>
        <v>13918.661039373952</v>
      </c>
      <c r="N3134" s="329">
        <f t="shared" si="194"/>
        <v>283.73751220703161</v>
      </c>
      <c r="T3134" s="331">
        <v>0</v>
      </c>
      <c r="U3134" s="328">
        <f>VLOOKUP(C3134,METADATA!$J$5:$Q$29,IF(E3134="HI",2,IF(E3134="LO",6,10))+IF(T3134=1,2,IF(D3134=7,1,(IF(WEEKDAY(B3134)=1,2,IF(WEEKDAY(B3134)=7,1,0))))))</f>
        <v>3</v>
      </c>
      <c r="V3134" s="328">
        <f>VLOOKUP(C3134,METADATA!$A$5:$H$29,IF(E3134="HI",2,IF(E3134="LO",6,10))+IF(T3134=1,2,IF(D3134=7,1,(IF(WEEKDAY(B3134)=1,2,IF(WEEKDAY(B3134)=7,1,0))))))</f>
        <v>3</v>
      </c>
    </row>
    <row r="3135" spans="2:22">
      <c r="B3135" s="318">
        <f t="shared" si="195"/>
        <v>46243</v>
      </c>
      <c r="C3135" s="312">
        <v>11</v>
      </c>
      <c r="D3135" s="368">
        <f>IFERROR((INDEX(METADATA!$T$2:$T$20,MATCH(B3135,METADATA!$S$2:$S$20,0))),0)</f>
        <v>1</v>
      </c>
      <c r="E3135" s="312" t="str">
        <f t="shared" si="192"/>
        <v>LO</v>
      </c>
      <c r="F3135" s="369">
        <f>VLOOKUP(C3135,METADATA!$A$5:$H$29,IF(E3135="HI",2,IF(E3135="LO",6,10))+IF(D3135=1,2,IF(D3135=7,1,(IF(WEEKDAY(B3135)=1,2,IF(WEEKDAY(B3135)=7,1,0))))))</f>
        <v>3</v>
      </c>
      <c r="G3135" s="369">
        <f>VLOOKUP(C3135,METADATA!$J$5:$Q$29,IF(E3135="HI",2,IF(E3135="LO",6,10))+IF(D3135=1,2,IF(D3135=7,1,(IF(WEEKDAY(B3135)=1,2,IF(WEEKDAY(B3135)=7,1,0))))))</f>
        <v>3</v>
      </c>
      <c r="H3135" s="370">
        <v>12455.709899902344</v>
      </c>
      <c r="I3135" s="370">
        <v>3887.474853515625</v>
      </c>
      <c r="M3135" s="371">
        <f t="shared" si="193"/>
        <v>13048.263096950552</v>
      </c>
      <c r="N3135" s="329">
        <f t="shared" si="194"/>
        <v>150.76188354492206</v>
      </c>
      <c r="T3135" s="331">
        <v>0</v>
      </c>
      <c r="U3135" s="328">
        <f>VLOOKUP(C3135,METADATA!$J$5:$Q$29,IF(E3135="HI",2,IF(E3135="LO",6,10))+IF(T3135=1,2,IF(D3135=7,1,(IF(WEEKDAY(B3135)=1,2,IF(WEEKDAY(B3135)=7,1,0))))))</f>
        <v>3</v>
      </c>
      <c r="V3135" s="328">
        <f>VLOOKUP(C3135,METADATA!$A$5:$H$29,IF(E3135="HI",2,IF(E3135="LO",6,10))+IF(T3135=1,2,IF(D3135=7,1,(IF(WEEKDAY(B3135)=1,2,IF(WEEKDAY(B3135)=7,1,0))))))</f>
        <v>3</v>
      </c>
    </row>
    <row r="3136" spans="2:22">
      <c r="B3136" s="318">
        <f t="shared" si="195"/>
        <v>46243</v>
      </c>
      <c r="C3136" s="312">
        <v>12</v>
      </c>
      <c r="D3136" s="368">
        <f>IFERROR((INDEX(METADATA!$T$2:$T$20,MATCH(B3136,METADATA!$S$2:$S$20,0))),0)</f>
        <v>1</v>
      </c>
      <c r="E3136" s="312" t="str">
        <f t="shared" si="192"/>
        <v>LO</v>
      </c>
      <c r="F3136" s="369">
        <f>VLOOKUP(C3136,METADATA!$A$5:$H$29,IF(E3136="HI",2,IF(E3136="LO",6,10))+IF(D3136=1,2,IF(D3136=7,1,(IF(WEEKDAY(B3136)=1,2,IF(WEEKDAY(B3136)=7,1,0))))))</f>
        <v>3</v>
      </c>
      <c r="G3136" s="369">
        <f>VLOOKUP(C3136,METADATA!$J$5:$Q$29,IF(E3136="HI",2,IF(E3136="LO",6,10))+IF(D3136=1,2,IF(D3136=7,1,(IF(WEEKDAY(B3136)=1,2,IF(WEEKDAY(B3136)=7,1,0))))))</f>
        <v>3</v>
      </c>
      <c r="H3136" s="370">
        <v>13619.69970703125</v>
      </c>
      <c r="I3136" s="370">
        <v>4511.2549438476563</v>
      </c>
      <c r="M3136" s="371">
        <f t="shared" si="193"/>
        <v>14347.391445071018</v>
      </c>
      <c r="N3136" s="329">
        <f t="shared" si="194"/>
        <v>425.34503173828125</v>
      </c>
      <c r="T3136" s="331">
        <v>0</v>
      </c>
      <c r="U3136" s="328">
        <f>VLOOKUP(C3136,METADATA!$J$5:$Q$29,IF(E3136="HI",2,IF(E3136="LO",6,10))+IF(T3136=1,2,IF(D3136=7,1,(IF(WEEKDAY(B3136)=1,2,IF(WEEKDAY(B3136)=7,1,0))))))</f>
        <v>3</v>
      </c>
      <c r="V3136" s="328">
        <f>VLOOKUP(C3136,METADATA!$A$5:$H$29,IF(E3136="HI",2,IF(E3136="LO",6,10))+IF(T3136=1,2,IF(D3136=7,1,(IF(WEEKDAY(B3136)=1,2,IF(WEEKDAY(B3136)=7,1,0))))))</f>
        <v>3</v>
      </c>
    </row>
    <row r="3137" spans="2:22">
      <c r="B3137" s="318">
        <f t="shared" si="195"/>
        <v>46243</v>
      </c>
      <c r="C3137" s="312">
        <v>13</v>
      </c>
      <c r="D3137" s="368">
        <f>IFERROR((INDEX(METADATA!$T$2:$T$20,MATCH(B3137,METADATA!$S$2:$S$20,0))),0)</f>
        <v>1</v>
      </c>
      <c r="E3137" s="312" t="str">
        <f t="shared" si="192"/>
        <v>LO</v>
      </c>
      <c r="F3137" s="369">
        <f>VLOOKUP(C3137,METADATA!$A$5:$H$29,IF(E3137="HI",2,IF(E3137="LO",6,10))+IF(D3137=1,2,IF(D3137=7,1,(IF(WEEKDAY(B3137)=1,2,IF(WEEKDAY(B3137)=7,1,0))))))</f>
        <v>3</v>
      </c>
      <c r="G3137" s="369">
        <f>VLOOKUP(C3137,METADATA!$J$5:$Q$29,IF(E3137="HI",2,IF(E3137="LO",6,10))+IF(D3137=1,2,IF(D3137=7,1,(IF(WEEKDAY(B3137)=1,2,IF(WEEKDAY(B3137)=7,1,0))))))</f>
        <v>3</v>
      </c>
      <c r="H3137" s="370">
        <v>13675.250061035156</v>
      </c>
      <c r="I3137" s="370">
        <v>4480.1299743652344</v>
      </c>
      <c r="M3137" s="371">
        <f t="shared" si="193"/>
        <v>14390.414476972088</v>
      </c>
      <c r="N3137" s="329">
        <f t="shared" si="194"/>
        <v>377.55495605468786</v>
      </c>
      <c r="T3137" s="331">
        <v>0</v>
      </c>
      <c r="U3137" s="328">
        <f>VLOOKUP(C3137,METADATA!$J$5:$Q$29,IF(E3137="HI",2,IF(E3137="LO",6,10))+IF(T3137=1,2,IF(D3137=7,1,(IF(WEEKDAY(B3137)=1,2,IF(WEEKDAY(B3137)=7,1,0))))))</f>
        <v>3</v>
      </c>
      <c r="V3137" s="328">
        <f>VLOOKUP(C3137,METADATA!$A$5:$H$29,IF(E3137="HI",2,IF(E3137="LO",6,10))+IF(T3137=1,2,IF(D3137=7,1,(IF(WEEKDAY(B3137)=1,2,IF(WEEKDAY(B3137)=7,1,0))))))</f>
        <v>3</v>
      </c>
    </row>
    <row r="3138" spans="2:22">
      <c r="B3138" s="318">
        <f t="shared" si="195"/>
        <v>46243</v>
      </c>
      <c r="C3138" s="312">
        <v>14</v>
      </c>
      <c r="D3138" s="368">
        <f>IFERROR((INDEX(METADATA!$T$2:$T$20,MATCH(B3138,METADATA!$S$2:$S$20,0))),0)</f>
        <v>1</v>
      </c>
      <c r="E3138" s="312" t="str">
        <f t="shared" si="192"/>
        <v>LO</v>
      </c>
      <c r="F3138" s="369">
        <f>VLOOKUP(C3138,METADATA!$A$5:$H$29,IF(E3138="HI",2,IF(E3138="LO",6,10))+IF(D3138=1,2,IF(D3138=7,1,(IF(WEEKDAY(B3138)=1,2,IF(WEEKDAY(B3138)=7,1,0))))))</f>
        <v>3</v>
      </c>
      <c r="G3138" s="369">
        <f>VLOOKUP(C3138,METADATA!$J$5:$Q$29,IF(E3138="HI",2,IF(E3138="LO",6,10))+IF(D3138=1,2,IF(D3138=7,1,(IF(WEEKDAY(B3138)=1,2,IF(WEEKDAY(B3138)=7,1,0))))))</f>
        <v>3</v>
      </c>
      <c r="H3138" s="370">
        <v>11962.435241699219</v>
      </c>
      <c r="I3138" s="370">
        <v>3544.8099975585938</v>
      </c>
      <c r="M3138" s="371">
        <f t="shared" si="193"/>
        <v>12476.599489870579</v>
      </c>
      <c r="N3138" s="329">
        <f t="shared" si="194"/>
        <v>0</v>
      </c>
      <c r="T3138" s="331">
        <v>0</v>
      </c>
      <c r="U3138" s="328">
        <f>VLOOKUP(C3138,METADATA!$J$5:$Q$29,IF(E3138="HI",2,IF(E3138="LO",6,10))+IF(T3138=1,2,IF(D3138=7,1,(IF(WEEKDAY(B3138)=1,2,IF(WEEKDAY(B3138)=7,1,0))))))</f>
        <v>3</v>
      </c>
      <c r="V3138" s="328">
        <f>VLOOKUP(C3138,METADATA!$A$5:$H$29,IF(E3138="HI",2,IF(E3138="LO",6,10))+IF(T3138=1,2,IF(D3138=7,1,(IF(WEEKDAY(B3138)=1,2,IF(WEEKDAY(B3138)=7,1,0))))))</f>
        <v>3</v>
      </c>
    </row>
    <row r="3139" spans="2:22">
      <c r="B3139" s="318">
        <f t="shared" si="195"/>
        <v>46243</v>
      </c>
      <c r="C3139" s="312">
        <v>15</v>
      </c>
      <c r="D3139" s="368">
        <f>IFERROR((INDEX(METADATA!$T$2:$T$20,MATCH(B3139,METADATA!$S$2:$S$20,0))),0)</f>
        <v>1</v>
      </c>
      <c r="E3139" s="312" t="str">
        <f t="shared" si="192"/>
        <v>LO</v>
      </c>
      <c r="F3139" s="369">
        <f>VLOOKUP(C3139,METADATA!$A$5:$H$29,IF(E3139="HI",2,IF(E3139="LO",6,10))+IF(D3139=1,2,IF(D3139=7,1,(IF(WEEKDAY(B3139)=1,2,IF(WEEKDAY(B3139)=7,1,0))))))</f>
        <v>3</v>
      </c>
      <c r="G3139" s="369">
        <f>VLOOKUP(C3139,METADATA!$J$5:$Q$29,IF(E3139="HI",2,IF(E3139="LO",6,10))+IF(D3139=1,2,IF(D3139=7,1,(IF(WEEKDAY(B3139)=1,2,IF(WEEKDAY(B3139)=7,1,0))))))</f>
        <v>3</v>
      </c>
      <c r="H3139" s="370">
        <v>11626.167205810547</v>
      </c>
      <c r="I3139" s="370">
        <v>3355.8274536132813</v>
      </c>
      <c r="M3139" s="371">
        <f t="shared" si="193"/>
        <v>12100.79922136919</v>
      </c>
      <c r="N3139" s="329">
        <f t="shared" si="194"/>
        <v>0</v>
      </c>
      <c r="T3139" s="331">
        <v>0</v>
      </c>
      <c r="U3139" s="328">
        <f>VLOOKUP(C3139,METADATA!$J$5:$Q$29,IF(E3139="HI",2,IF(E3139="LO",6,10))+IF(T3139=1,2,IF(D3139=7,1,(IF(WEEKDAY(B3139)=1,2,IF(WEEKDAY(B3139)=7,1,0))))))</f>
        <v>3</v>
      </c>
      <c r="V3139" s="328">
        <f>VLOOKUP(C3139,METADATA!$A$5:$H$29,IF(E3139="HI",2,IF(E3139="LO",6,10))+IF(T3139=1,2,IF(D3139=7,1,(IF(WEEKDAY(B3139)=1,2,IF(WEEKDAY(B3139)=7,1,0))))))</f>
        <v>3</v>
      </c>
    </row>
    <row r="3140" spans="2:22">
      <c r="B3140" s="318">
        <f t="shared" si="195"/>
        <v>46243</v>
      </c>
      <c r="C3140" s="312">
        <v>16</v>
      </c>
      <c r="D3140" s="368">
        <f>IFERROR((INDEX(METADATA!$T$2:$T$20,MATCH(B3140,METADATA!$S$2:$S$20,0))),0)</f>
        <v>1</v>
      </c>
      <c r="E3140" s="312" t="str">
        <f t="shared" ref="E3140:E3203" si="196">IF(B3140="","",IF(AND(MONTH(B3140)&gt;=MONTH($Z$9),MONTH(B3140)&lt;=MONTH($Z$11)),"HI","LO"))</f>
        <v>LO</v>
      </c>
      <c r="F3140" s="369">
        <f>VLOOKUP(C3140,METADATA!$A$5:$H$29,IF(E3140="HI",2,IF(E3140="LO",6,10))+IF(D3140=1,2,IF(D3140=7,1,(IF(WEEKDAY(B3140)=1,2,IF(WEEKDAY(B3140)=7,1,0))))))</f>
        <v>3</v>
      </c>
      <c r="G3140" s="369">
        <f>VLOOKUP(C3140,METADATA!$J$5:$Q$29,IF(E3140="HI",2,IF(E3140="LO",6,10))+IF(D3140=1,2,IF(D3140=7,1,(IF(WEEKDAY(B3140)=1,2,IF(WEEKDAY(B3140)=7,1,0))))))</f>
        <v>3</v>
      </c>
      <c r="H3140" s="370">
        <v>13415.850341796875</v>
      </c>
      <c r="I3140" s="370">
        <v>4299.5749816894531</v>
      </c>
      <c r="M3140" s="371">
        <f t="shared" ref="M3140:M3203" si="197">SQRT(H3140^2+I3140^2)</f>
        <v>14087.98727344191</v>
      </c>
      <c r="N3140" s="329">
        <f t="shared" ref="N3140:N3203" si="198">IF(H3140=0,0,(IF(I3140-(0.3*H3140)&lt;0,0,(I3140-(0.3*H3140)))))</f>
        <v>274.81987915039099</v>
      </c>
      <c r="T3140" s="331">
        <v>0</v>
      </c>
      <c r="U3140" s="328">
        <f>VLOOKUP(C3140,METADATA!$J$5:$Q$29,IF(E3140="HI",2,IF(E3140="LO",6,10))+IF(T3140=1,2,IF(D3140=7,1,(IF(WEEKDAY(B3140)=1,2,IF(WEEKDAY(B3140)=7,1,0))))))</f>
        <v>3</v>
      </c>
      <c r="V3140" s="328">
        <f>VLOOKUP(C3140,METADATA!$A$5:$H$29,IF(E3140="HI",2,IF(E3140="LO",6,10))+IF(T3140=1,2,IF(D3140=7,1,(IF(WEEKDAY(B3140)=1,2,IF(WEEKDAY(B3140)=7,1,0))))))</f>
        <v>3</v>
      </c>
    </row>
    <row r="3141" spans="2:22">
      <c r="B3141" s="318">
        <f t="shared" si="195"/>
        <v>46243</v>
      </c>
      <c r="C3141" s="312">
        <v>17</v>
      </c>
      <c r="D3141" s="368">
        <f>IFERROR((INDEX(METADATA!$T$2:$T$20,MATCH(B3141,METADATA!$S$2:$S$20,0))),0)</f>
        <v>1</v>
      </c>
      <c r="E3141" s="312" t="str">
        <f t="shared" si="196"/>
        <v>LO</v>
      </c>
      <c r="F3141" s="369">
        <f>VLOOKUP(C3141,METADATA!$A$5:$H$29,IF(E3141="HI",2,IF(E3141="LO",6,10))+IF(D3141=1,2,IF(D3141=7,1,(IF(WEEKDAY(B3141)=1,2,IF(WEEKDAY(B3141)=7,1,0))))))</f>
        <v>3</v>
      </c>
      <c r="G3141" s="369">
        <f>VLOOKUP(C3141,METADATA!$J$5:$Q$29,IF(E3141="HI",2,IF(E3141="LO",6,10))+IF(D3141=1,2,IF(D3141=7,1,(IF(WEEKDAY(B3141)=1,2,IF(WEEKDAY(B3141)=7,1,0))))))</f>
        <v>3</v>
      </c>
      <c r="H3141" s="370">
        <v>13759.524780273438</v>
      </c>
      <c r="I3141" s="370">
        <v>4371.8800354003906</v>
      </c>
      <c r="M3141" s="371">
        <f t="shared" si="197"/>
        <v>14437.377089447074</v>
      </c>
      <c r="N3141" s="329">
        <f t="shared" si="198"/>
        <v>244.02260131835919</v>
      </c>
      <c r="T3141" s="331">
        <v>0</v>
      </c>
      <c r="U3141" s="328">
        <f>VLOOKUP(C3141,METADATA!$J$5:$Q$29,IF(E3141="HI",2,IF(E3141="LO",6,10))+IF(T3141=1,2,IF(D3141=7,1,(IF(WEEKDAY(B3141)=1,2,IF(WEEKDAY(B3141)=7,1,0))))))</f>
        <v>3</v>
      </c>
      <c r="V3141" s="328">
        <f>VLOOKUP(C3141,METADATA!$A$5:$H$29,IF(E3141="HI",2,IF(E3141="LO",6,10))+IF(T3141=1,2,IF(D3141=7,1,(IF(WEEKDAY(B3141)=1,2,IF(WEEKDAY(B3141)=7,1,0))))))</f>
        <v>3</v>
      </c>
    </row>
    <row r="3142" spans="2:22">
      <c r="B3142" s="318">
        <f t="shared" si="195"/>
        <v>46243</v>
      </c>
      <c r="C3142" s="312">
        <v>18</v>
      </c>
      <c r="D3142" s="368">
        <f>IFERROR((INDEX(METADATA!$T$2:$T$20,MATCH(B3142,METADATA!$S$2:$S$20,0))),0)</f>
        <v>1</v>
      </c>
      <c r="E3142" s="312" t="str">
        <f t="shared" si="196"/>
        <v>LO</v>
      </c>
      <c r="F3142" s="369">
        <f>VLOOKUP(C3142,METADATA!$A$5:$H$29,IF(E3142="HI",2,IF(E3142="LO",6,10))+IF(D3142=1,2,IF(D3142=7,1,(IF(WEEKDAY(B3142)=1,2,IF(WEEKDAY(B3142)=7,1,0))))))</f>
        <v>2</v>
      </c>
      <c r="G3142" s="369">
        <f>VLOOKUP(C3142,METADATA!$J$5:$Q$29,IF(E3142="HI",2,IF(E3142="LO",6,10))+IF(D3142=1,2,IF(D3142=7,1,(IF(WEEKDAY(B3142)=1,2,IF(WEEKDAY(B3142)=7,1,0))))))</f>
        <v>2</v>
      </c>
      <c r="H3142" s="370">
        <v>13458.625305175781</v>
      </c>
      <c r="I3142" s="370">
        <v>4086</v>
      </c>
      <c r="M3142" s="371">
        <f t="shared" si="197"/>
        <v>14065.204979136204</v>
      </c>
      <c r="N3142" s="329">
        <f t="shared" si="198"/>
        <v>48.412408447265989</v>
      </c>
      <c r="T3142" s="331">
        <v>0</v>
      </c>
      <c r="U3142" s="328">
        <f>VLOOKUP(C3142,METADATA!$J$5:$Q$29,IF(E3142="HI",2,IF(E3142="LO",6,10))+IF(T3142=1,2,IF(D3142=7,1,(IF(WEEKDAY(B3142)=1,2,IF(WEEKDAY(B3142)=7,1,0))))))</f>
        <v>2</v>
      </c>
      <c r="V3142" s="328">
        <f>VLOOKUP(C3142,METADATA!$A$5:$H$29,IF(E3142="HI",2,IF(E3142="LO",6,10))+IF(T3142=1,2,IF(D3142=7,1,(IF(WEEKDAY(B3142)=1,2,IF(WEEKDAY(B3142)=7,1,0))))))</f>
        <v>2</v>
      </c>
    </row>
    <row r="3143" spans="2:22">
      <c r="B3143" s="318">
        <f t="shared" si="195"/>
        <v>46243</v>
      </c>
      <c r="C3143" s="312">
        <v>19</v>
      </c>
      <c r="D3143" s="368">
        <f>IFERROR((INDEX(METADATA!$T$2:$T$20,MATCH(B3143,METADATA!$S$2:$S$20,0))),0)</f>
        <v>1</v>
      </c>
      <c r="E3143" s="312" t="str">
        <f t="shared" si="196"/>
        <v>LO</v>
      </c>
      <c r="F3143" s="369">
        <f>VLOOKUP(C3143,METADATA!$A$5:$H$29,IF(E3143="HI",2,IF(E3143="LO",6,10))+IF(D3143=1,2,IF(D3143=7,1,(IF(WEEKDAY(B3143)=1,2,IF(WEEKDAY(B3143)=7,1,0))))))</f>
        <v>2</v>
      </c>
      <c r="G3143" s="369">
        <f>VLOOKUP(C3143,METADATA!$J$5:$Q$29,IF(E3143="HI",2,IF(E3143="LO",6,10))+IF(D3143=1,2,IF(D3143=7,1,(IF(WEEKDAY(B3143)=1,2,IF(WEEKDAY(B3143)=7,1,0))))))</f>
        <v>2</v>
      </c>
      <c r="H3143" s="370">
        <v>13342.074829101563</v>
      </c>
      <c r="I3143" s="370">
        <v>3941.1899719238281</v>
      </c>
      <c r="M3143" s="371">
        <f t="shared" si="197"/>
        <v>13912.007013372961</v>
      </c>
      <c r="N3143" s="329">
        <f t="shared" si="198"/>
        <v>0</v>
      </c>
      <c r="T3143" s="331">
        <v>0</v>
      </c>
      <c r="U3143" s="328">
        <f>VLOOKUP(C3143,METADATA!$J$5:$Q$29,IF(E3143="HI",2,IF(E3143="LO",6,10))+IF(T3143=1,2,IF(D3143=7,1,(IF(WEEKDAY(B3143)=1,2,IF(WEEKDAY(B3143)=7,1,0))))))</f>
        <v>2</v>
      </c>
      <c r="V3143" s="328">
        <f>VLOOKUP(C3143,METADATA!$A$5:$H$29,IF(E3143="HI",2,IF(E3143="LO",6,10))+IF(T3143=1,2,IF(D3143=7,1,(IF(WEEKDAY(B3143)=1,2,IF(WEEKDAY(B3143)=7,1,0))))))</f>
        <v>2</v>
      </c>
    </row>
    <row r="3144" spans="2:22">
      <c r="B3144" s="318">
        <f t="shared" si="195"/>
        <v>46243</v>
      </c>
      <c r="C3144" s="312">
        <v>20</v>
      </c>
      <c r="D3144" s="368">
        <f>IFERROR((INDEX(METADATA!$T$2:$T$20,MATCH(B3144,METADATA!$S$2:$S$20,0))),0)</f>
        <v>1</v>
      </c>
      <c r="E3144" s="312" t="str">
        <f t="shared" si="196"/>
        <v>LO</v>
      </c>
      <c r="F3144" s="369">
        <f>VLOOKUP(C3144,METADATA!$A$5:$H$29,IF(E3144="HI",2,IF(E3144="LO",6,10))+IF(D3144=1,2,IF(D3144=7,1,(IF(WEEKDAY(B3144)=1,2,IF(WEEKDAY(B3144)=7,1,0))))))</f>
        <v>3</v>
      </c>
      <c r="G3144" s="369">
        <f>VLOOKUP(C3144,METADATA!$J$5:$Q$29,IF(E3144="HI",2,IF(E3144="LO",6,10))+IF(D3144=1,2,IF(D3144=7,1,(IF(WEEKDAY(B3144)=1,2,IF(WEEKDAY(B3144)=7,1,0))))))</f>
        <v>3</v>
      </c>
      <c r="H3144" s="370">
        <v>13740.674926757813</v>
      </c>
      <c r="I3144" s="370">
        <v>4298.6600646972656</v>
      </c>
      <c r="M3144" s="371">
        <f t="shared" si="197"/>
        <v>14397.382602218151</v>
      </c>
      <c r="N3144" s="329">
        <f t="shared" si="198"/>
        <v>176.45758666992242</v>
      </c>
      <c r="T3144" s="331">
        <v>0</v>
      </c>
      <c r="U3144" s="328">
        <f>VLOOKUP(C3144,METADATA!$J$5:$Q$29,IF(E3144="HI",2,IF(E3144="LO",6,10))+IF(T3144=1,2,IF(D3144=7,1,(IF(WEEKDAY(B3144)=1,2,IF(WEEKDAY(B3144)=7,1,0))))))</f>
        <v>3</v>
      </c>
      <c r="V3144" s="328">
        <f>VLOOKUP(C3144,METADATA!$A$5:$H$29,IF(E3144="HI",2,IF(E3144="LO",6,10))+IF(T3144=1,2,IF(D3144=7,1,(IF(WEEKDAY(B3144)=1,2,IF(WEEKDAY(B3144)=7,1,0))))))</f>
        <v>3</v>
      </c>
    </row>
    <row r="3145" spans="2:22">
      <c r="B3145" s="318">
        <f t="shared" si="195"/>
        <v>46243</v>
      </c>
      <c r="C3145" s="312">
        <v>21</v>
      </c>
      <c r="D3145" s="368">
        <f>IFERROR((INDEX(METADATA!$T$2:$T$20,MATCH(B3145,METADATA!$S$2:$S$20,0))),0)</f>
        <v>1</v>
      </c>
      <c r="E3145" s="312" t="str">
        <f t="shared" si="196"/>
        <v>LO</v>
      </c>
      <c r="F3145" s="369">
        <f>VLOOKUP(C3145,METADATA!$A$5:$H$29,IF(E3145="HI",2,IF(E3145="LO",6,10))+IF(D3145=1,2,IF(D3145=7,1,(IF(WEEKDAY(B3145)=1,2,IF(WEEKDAY(B3145)=7,1,0))))))</f>
        <v>3</v>
      </c>
      <c r="G3145" s="369">
        <f>VLOOKUP(C3145,METADATA!$J$5:$Q$29,IF(E3145="HI",2,IF(E3145="LO",6,10))+IF(D3145=1,2,IF(D3145=7,1,(IF(WEEKDAY(B3145)=1,2,IF(WEEKDAY(B3145)=7,1,0))))))</f>
        <v>3</v>
      </c>
      <c r="H3145" s="370">
        <v>13668.950256347656</v>
      </c>
      <c r="I3145" s="370">
        <v>4463.0549621582031</v>
      </c>
      <c r="M3145" s="371">
        <f t="shared" si="197"/>
        <v>14379.118912706424</v>
      </c>
      <c r="N3145" s="329">
        <f t="shared" si="198"/>
        <v>362.36988525390643</v>
      </c>
      <c r="T3145" s="331">
        <v>0</v>
      </c>
      <c r="U3145" s="328">
        <f>VLOOKUP(C3145,METADATA!$J$5:$Q$29,IF(E3145="HI",2,IF(E3145="LO",6,10))+IF(T3145=1,2,IF(D3145=7,1,(IF(WEEKDAY(B3145)=1,2,IF(WEEKDAY(B3145)=7,1,0))))))</f>
        <v>3</v>
      </c>
      <c r="V3145" s="328">
        <f>VLOOKUP(C3145,METADATA!$A$5:$H$29,IF(E3145="HI",2,IF(E3145="LO",6,10))+IF(T3145=1,2,IF(D3145=7,1,(IF(WEEKDAY(B3145)=1,2,IF(WEEKDAY(B3145)=7,1,0))))))</f>
        <v>3</v>
      </c>
    </row>
    <row r="3146" spans="2:22">
      <c r="B3146" s="318">
        <f t="shared" si="195"/>
        <v>46243</v>
      </c>
      <c r="C3146" s="312">
        <v>22</v>
      </c>
      <c r="D3146" s="368">
        <f>IFERROR((INDEX(METADATA!$T$2:$T$20,MATCH(B3146,METADATA!$S$2:$S$20,0))),0)</f>
        <v>1</v>
      </c>
      <c r="E3146" s="312" t="str">
        <f t="shared" si="196"/>
        <v>LO</v>
      </c>
      <c r="F3146" s="369">
        <f>VLOOKUP(C3146,METADATA!$A$5:$H$29,IF(E3146="HI",2,IF(E3146="LO",6,10))+IF(D3146=1,2,IF(D3146=7,1,(IF(WEEKDAY(B3146)=1,2,IF(WEEKDAY(B3146)=7,1,0))))))</f>
        <v>3</v>
      </c>
      <c r="G3146" s="369">
        <f>VLOOKUP(C3146,METADATA!$J$5:$Q$29,IF(E3146="HI",2,IF(E3146="LO",6,10))+IF(D3146=1,2,IF(D3146=7,1,(IF(WEEKDAY(B3146)=1,2,IF(WEEKDAY(B3146)=7,1,0))))))</f>
        <v>3</v>
      </c>
      <c r="H3146" s="370">
        <v>13715.274841308594</v>
      </c>
      <c r="I3146" s="370">
        <v>4556.5750122070313</v>
      </c>
      <c r="M3146" s="371">
        <f t="shared" si="197"/>
        <v>14452.374884928151</v>
      </c>
      <c r="N3146" s="329">
        <f t="shared" si="198"/>
        <v>441.99255981445367</v>
      </c>
      <c r="T3146" s="331">
        <v>0</v>
      </c>
      <c r="U3146" s="328">
        <f>VLOOKUP(C3146,METADATA!$J$5:$Q$29,IF(E3146="HI",2,IF(E3146="LO",6,10))+IF(T3146=1,2,IF(D3146=7,1,(IF(WEEKDAY(B3146)=1,2,IF(WEEKDAY(B3146)=7,1,0))))))</f>
        <v>3</v>
      </c>
      <c r="V3146" s="328">
        <f>VLOOKUP(C3146,METADATA!$A$5:$H$29,IF(E3146="HI",2,IF(E3146="LO",6,10))+IF(T3146=1,2,IF(D3146=7,1,(IF(WEEKDAY(B3146)=1,2,IF(WEEKDAY(B3146)=7,1,0))))))</f>
        <v>3</v>
      </c>
    </row>
    <row r="3147" spans="2:22">
      <c r="B3147" s="318">
        <f t="shared" si="195"/>
        <v>46243</v>
      </c>
      <c r="C3147" s="312">
        <v>23</v>
      </c>
      <c r="D3147" s="368">
        <f>IFERROR((INDEX(METADATA!$T$2:$T$20,MATCH(B3147,METADATA!$S$2:$S$20,0))),0)</f>
        <v>1</v>
      </c>
      <c r="E3147" s="312" t="str">
        <f t="shared" si="196"/>
        <v>LO</v>
      </c>
      <c r="F3147" s="369">
        <f>VLOOKUP(C3147,METADATA!$A$5:$H$29,IF(E3147="HI",2,IF(E3147="LO",6,10))+IF(D3147=1,2,IF(D3147=7,1,(IF(WEEKDAY(B3147)=1,2,IF(WEEKDAY(B3147)=7,1,0))))))</f>
        <v>3</v>
      </c>
      <c r="G3147" s="369">
        <f>VLOOKUP(C3147,METADATA!$J$5:$Q$29,IF(E3147="HI",2,IF(E3147="LO",6,10))+IF(D3147=1,2,IF(D3147=7,1,(IF(WEEKDAY(B3147)=1,2,IF(WEEKDAY(B3147)=7,1,0))))))</f>
        <v>3</v>
      </c>
      <c r="H3147" s="370">
        <v>13523.375</v>
      </c>
      <c r="I3147" s="370">
        <v>4365.1650085449219</v>
      </c>
      <c r="M3147" s="371">
        <f t="shared" si="197"/>
        <v>14210.43056851023</v>
      </c>
      <c r="N3147" s="329">
        <f t="shared" si="198"/>
        <v>308.15250854492206</v>
      </c>
      <c r="T3147" s="331">
        <v>0</v>
      </c>
      <c r="U3147" s="328">
        <f>VLOOKUP(C3147,METADATA!$J$5:$Q$29,IF(E3147="HI",2,IF(E3147="LO",6,10))+IF(T3147=1,2,IF(D3147=7,1,(IF(WEEKDAY(B3147)=1,2,IF(WEEKDAY(B3147)=7,1,0))))))</f>
        <v>3</v>
      </c>
      <c r="V3147" s="328">
        <f>VLOOKUP(C3147,METADATA!$A$5:$H$29,IF(E3147="HI",2,IF(E3147="LO",6,10))+IF(T3147=1,2,IF(D3147=7,1,(IF(WEEKDAY(B3147)=1,2,IF(WEEKDAY(B3147)=7,1,0))))))</f>
        <v>3</v>
      </c>
    </row>
    <row r="3148" spans="2:22">
      <c r="B3148" s="318">
        <f t="shared" si="195"/>
        <v>46244</v>
      </c>
      <c r="C3148" s="312">
        <v>0</v>
      </c>
      <c r="D3148" s="368">
        <f>IFERROR((INDEX(METADATA!$T$2:$T$20,MATCH(B3148,METADATA!$S$2:$S$20,0))),0)</f>
        <v>7</v>
      </c>
      <c r="E3148" s="312" t="str">
        <f t="shared" si="196"/>
        <v>LO</v>
      </c>
      <c r="F3148" s="369">
        <f>VLOOKUP(C3148,METADATA!$A$5:$H$29,IF(E3148="HI",2,IF(E3148="LO",6,10))+IF(D3148=1,2,IF(D3148=7,1,(IF(WEEKDAY(B3148)=1,2,IF(WEEKDAY(B3148)=7,1,0))))))</f>
        <v>3</v>
      </c>
      <c r="G3148" s="369">
        <f>VLOOKUP(C3148,METADATA!$J$5:$Q$29,IF(E3148="HI",2,IF(E3148="LO",6,10))+IF(D3148=1,2,IF(D3148=7,1,(IF(WEEKDAY(B3148)=1,2,IF(WEEKDAY(B3148)=7,1,0))))))</f>
        <v>3</v>
      </c>
      <c r="H3148" s="370">
        <v>13484.099853515625</v>
      </c>
      <c r="I3148" s="370">
        <v>4330.9300537109375</v>
      </c>
      <c r="M3148" s="371">
        <f t="shared" si="197"/>
        <v>14162.552876855101</v>
      </c>
      <c r="N3148" s="329">
        <f t="shared" si="198"/>
        <v>285.70009765625036</v>
      </c>
      <c r="T3148" s="331">
        <v>0</v>
      </c>
      <c r="U3148" s="328">
        <f>VLOOKUP(C3148,METADATA!$J$5:$Q$29,IF(E3148="HI",2,IF(E3148="LO",6,10))+IF(T3148=1,2,IF(D3148=7,1,(IF(WEEKDAY(B3148)=1,2,IF(WEEKDAY(B3148)=7,1,0))))))</f>
        <v>3</v>
      </c>
      <c r="V3148" s="328">
        <f>VLOOKUP(C3148,METADATA!$A$5:$H$29,IF(E3148="HI",2,IF(E3148="LO",6,10))+IF(T3148=1,2,IF(D3148=7,1,(IF(WEEKDAY(B3148)=1,2,IF(WEEKDAY(B3148)=7,1,0))))))</f>
        <v>3</v>
      </c>
    </row>
    <row r="3149" spans="2:22">
      <c r="B3149" s="318">
        <f t="shared" si="195"/>
        <v>46244</v>
      </c>
      <c r="C3149" s="312">
        <v>1</v>
      </c>
      <c r="D3149" s="368">
        <f>IFERROR((INDEX(METADATA!$T$2:$T$20,MATCH(B3149,METADATA!$S$2:$S$20,0))),0)</f>
        <v>7</v>
      </c>
      <c r="E3149" s="312" t="str">
        <f t="shared" si="196"/>
        <v>LO</v>
      </c>
      <c r="F3149" s="369">
        <f>VLOOKUP(C3149,METADATA!$A$5:$H$29,IF(E3149="HI",2,IF(E3149="LO",6,10))+IF(D3149=1,2,IF(D3149=7,1,(IF(WEEKDAY(B3149)=1,2,IF(WEEKDAY(B3149)=7,1,0))))))</f>
        <v>3</v>
      </c>
      <c r="G3149" s="369">
        <f>VLOOKUP(C3149,METADATA!$J$5:$Q$29,IF(E3149="HI",2,IF(E3149="LO",6,10))+IF(D3149=1,2,IF(D3149=7,1,(IF(WEEKDAY(B3149)=1,2,IF(WEEKDAY(B3149)=7,1,0))))))</f>
        <v>3</v>
      </c>
      <c r="H3149" s="370">
        <v>13313.514953613281</v>
      </c>
      <c r="I3149" s="370">
        <v>4268.7325134277344</v>
      </c>
      <c r="M3149" s="371">
        <f t="shared" si="197"/>
        <v>13981.121474734404</v>
      </c>
      <c r="N3149" s="329">
        <f t="shared" si="198"/>
        <v>274.67802734375027</v>
      </c>
      <c r="T3149" s="331">
        <v>0</v>
      </c>
      <c r="U3149" s="328">
        <f>VLOOKUP(C3149,METADATA!$J$5:$Q$29,IF(E3149="HI",2,IF(E3149="LO",6,10))+IF(T3149=1,2,IF(D3149=7,1,(IF(WEEKDAY(B3149)=1,2,IF(WEEKDAY(B3149)=7,1,0))))))</f>
        <v>3</v>
      </c>
      <c r="V3149" s="328">
        <f>VLOOKUP(C3149,METADATA!$A$5:$H$29,IF(E3149="HI",2,IF(E3149="LO",6,10))+IF(T3149=1,2,IF(D3149=7,1,(IF(WEEKDAY(B3149)=1,2,IF(WEEKDAY(B3149)=7,1,0))))))</f>
        <v>3</v>
      </c>
    </row>
    <row r="3150" spans="2:22">
      <c r="B3150" s="318">
        <f t="shared" si="195"/>
        <v>46244</v>
      </c>
      <c r="C3150" s="312">
        <v>2</v>
      </c>
      <c r="D3150" s="368">
        <f>IFERROR((INDEX(METADATA!$T$2:$T$20,MATCH(B3150,METADATA!$S$2:$S$20,0))),0)</f>
        <v>7</v>
      </c>
      <c r="E3150" s="312" t="str">
        <f t="shared" si="196"/>
        <v>LO</v>
      </c>
      <c r="F3150" s="369">
        <f>VLOOKUP(C3150,METADATA!$A$5:$H$29,IF(E3150="HI",2,IF(E3150="LO",6,10))+IF(D3150=1,2,IF(D3150=7,1,(IF(WEEKDAY(B3150)=1,2,IF(WEEKDAY(B3150)=7,1,0))))))</f>
        <v>3</v>
      </c>
      <c r="G3150" s="369">
        <f>VLOOKUP(C3150,METADATA!$J$5:$Q$29,IF(E3150="HI",2,IF(E3150="LO",6,10))+IF(D3150=1,2,IF(D3150=7,1,(IF(WEEKDAY(B3150)=1,2,IF(WEEKDAY(B3150)=7,1,0))))))</f>
        <v>3</v>
      </c>
      <c r="H3150" s="370">
        <v>11574.457183837891</v>
      </c>
      <c r="I3150" s="370">
        <v>3295.5375366210938</v>
      </c>
      <c r="M3150" s="371">
        <f t="shared" si="197"/>
        <v>12034.476588359594</v>
      </c>
      <c r="N3150" s="329">
        <f t="shared" si="198"/>
        <v>0</v>
      </c>
      <c r="T3150" s="331">
        <v>0</v>
      </c>
      <c r="U3150" s="328">
        <f>VLOOKUP(C3150,METADATA!$J$5:$Q$29,IF(E3150="HI",2,IF(E3150="LO",6,10))+IF(T3150=1,2,IF(D3150=7,1,(IF(WEEKDAY(B3150)=1,2,IF(WEEKDAY(B3150)=7,1,0))))))</f>
        <v>3</v>
      </c>
      <c r="V3150" s="328">
        <f>VLOOKUP(C3150,METADATA!$A$5:$H$29,IF(E3150="HI",2,IF(E3150="LO",6,10))+IF(T3150=1,2,IF(D3150=7,1,(IF(WEEKDAY(B3150)=1,2,IF(WEEKDAY(B3150)=7,1,0))))))</f>
        <v>3</v>
      </c>
    </row>
    <row r="3151" spans="2:22">
      <c r="B3151" s="318">
        <f t="shared" si="195"/>
        <v>46244</v>
      </c>
      <c r="C3151" s="312">
        <v>3</v>
      </c>
      <c r="D3151" s="368">
        <f>IFERROR((INDEX(METADATA!$T$2:$T$20,MATCH(B3151,METADATA!$S$2:$S$20,0))),0)</f>
        <v>7</v>
      </c>
      <c r="E3151" s="312" t="str">
        <f t="shared" si="196"/>
        <v>LO</v>
      </c>
      <c r="F3151" s="369">
        <f>VLOOKUP(C3151,METADATA!$A$5:$H$29,IF(E3151="HI",2,IF(E3151="LO",6,10))+IF(D3151=1,2,IF(D3151=7,1,(IF(WEEKDAY(B3151)=1,2,IF(WEEKDAY(B3151)=7,1,0))))))</f>
        <v>3</v>
      </c>
      <c r="G3151" s="369">
        <f>VLOOKUP(C3151,METADATA!$J$5:$Q$29,IF(E3151="HI",2,IF(E3151="LO",6,10))+IF(D3151=1,2,IF(D3151=7,1,(IF(WEEKDAY(B3151)=1,2,IF(WEEKDAY(B3151)=7,1,0))))))</f>
        <v>3</v>
      </c>
      <c r="H3151" s="370">
        <v>13182.750183105469</v>
      </c>
      <c r="I3151" s="370">
        <v>4165.9349670410156</v>
      </c>
      <c r="M3151" s="371">
        <f t="shared" si="197"/>
        <v>13825.336037137842</v>
      </c>
      <c r="N3151" s="329">
        <f t="shared" si="198"/>
        <v>211.10991210937527</v>
      </c>
      <c r="T3151" s="331">
        <v>0</v>
      </c>
      <c r="U3151" s="328">
        <f>VLOOKUP(C3151,METADATA!$J$5:$Q$29,IF(E3151="HI",2,IF(E3151="LO",6,10))+IF(T3151=1,2,IF(D3151=7,1,(IF(WEEKDAY(B3151)=1,2,IF(WEEKDAY(B3151)=7,1,0))))))</f>
        <v>3</v>
      </c>
      <c r="V3151" s="328">
        <f>VLOOKUP(C3151,METADATA!$A$5:$H$29,IF(E3151="HI",2,IF(E3151="LO",6,10))+IF(T3151=1,2,IF(D3151=7,1,(IF(WEEKDAY(B3151)=1,2,IF(WEEKDAY(B3151)=7,1,0))))))</f>
        <v>3</v>
      </c>
    </row>
    <row r="3152" spans="2:22">
      <c r="B3152" s="318">
        <f t="shared" si="195"/>
        <v>46244</v>
      </c>
      <c r="C3152" s="312">
        <v>4</v>
      </c>
      <c r="D3152" s="368">
        <f>IFERROR((INDEX(METADATA!$T$2:$T$20,MATCH(B3152,METADATA!$S$2:$S$20,0))),0)</f>
        <v>7</v>
      </c>
      <c r="E3152" s="312" t="str">
        <f t="shared" si="196"/>
        <v>LO</v>
      </c>
      <c r="F3152" s="369">
        <f>VLOOKUP(C3152,METADATA!$A$5:$H$29,IF(E3152="HI",2,IF(E3152="LO",6,10))+IF(D3152=1,2,IF(D3152=7,1,(IF(WEEKDAY(B3152)=1,2,IF(WEEKDAY(B3152)=7,1,0))))))</f>
        <v>3</v>
      </c>
      <c r="G3152" s="369">
        <f>VLOOKUP(C3152,METADATA!$J$5:$Q$29,IF(E3152="HI",2,IF(E3152="LO",6,10))+IF(D3152=1,2,IF(D3152=7,1,(IF(WEEKDAY(B3152)=1,2,IF(WEEKDAY(B3152)=7,1,0))))))</f>
        <v>3</v>
      </c>
      <c r="H3152" s="370">
        <v>13364.375244140625</v>
      </c>
      <c r="I3152" s="370">
        <v>4252.7250061035156</v>
      </c>
      <c r="M3152" s="371">
        <f t="shared" si="197"/>
        <v>14024.699484970683</v>
      </c>
      <c r="N3152" s="329">
        <f t="shared" si="198"/>
        <v>243.4124328613284</v>
      </c>
      <c r="T3152" s="331">
        <v>0</v>
      </c>
      <c r="U3152" s="328">
        <f>VLOOKUP(C3152,METADATA!$J$5:$Q$29,IF(E3152="HI",2,IF(E3152="LO",6,10))+IF(T3152=1,2,IF(D3152=7,1,(IF(WEEKDAY(B3152)=1,2,IF(WEEKDAY(B3152)=7,1,0))))))</f>
        <v>3</v>
      </c>
      <c r="V3152" s="328">
        <f>VLOOKUP(C3152,METADATA!$A$5:$H$29,IF(E3152="HI",2,IF(E3152="LO",6,10))+IF(T3152=1,2,IF(D3152=7,1,(IF(WEEKDAY(B3152)=1,2,IF(WEEKDAY(B3152)=7,1,0))))))</f>
        <v>3</v>
      </c>
    </row>
    <row r="3153" spans="2:22">
      <c r="B3153" s="318">
        <f t="shared" si="195"/>
        <v>46244</v>
      </c>
      <c r="C3153" s="312">
        <v>5</v>
      </c>
      <c r="D3153" s="368">
        <f>IFERROR((INDEX(METADATA!$T$2:$T$20,MATCH(B3153,METADATA!$S$2:$S$20,0))),0)</f>
        <v>7</v>
      </c>
      <c r="E3153" s="312" t="str">
        <f t="shared" si="196"/>
        <v>LO</v>
      </c>
      <c r="F3153" s="369">
        <f>VLOOKUP(C3153,METADATA!$A$5:$H$29,IF(E3153="HI",2,IF(E3153="LO",6,10))+IF(D3153=1,2,IF(D3153=7,1,(IF(WEEKDAY(B3153)=1,2,IF(WEEKDAY(B3153)=7,1,0))))))</f>
        <v>3</v>
      </c>
      <c r="G3153" s="369">
        <f>VLOOKUP(C3153,METADATA!$J$5:$Q$29,IF(E3153="HI",2,IF(E3153="LO",6,10))+IF(D3153=1,2,IF(D3153=7,1,(IF(WEEKDAY(B3153)=1,2,IF(WEEKDAY(B3153)=7,1,0))))))</f>
        <v>3</v>
      </c>
      <c r="H3153" s="370">
        <v>13289.000061035156</v>
      </c>
      <c r="I3153" s="370">
        <v>4058.7850341796875</v>
      </c>
      <c r="M3153" s="371">
        <f t="shared" si="197"/>
        <v>13895.008405030685</v>
      </c>
      <c r="N3153" s="329">
        <f t="shared" si="198"/>
        <v>72.085015869140989</v>
      </c>
      <c r="T3153" s="331">
        <v>0</v>
      </c>
      <c r="U3153" s="328">
        <f>VLOOKUP(C3153,METADATA!$J$5:$Q$29,IF(E3153="HI",2,IF(E3153="LO",6,10))+IF(T3153=1,2,IF(D3153=7,1,(IF(WEEKDAY(B3153)=1,2,IF(WEEKDAY(B3153)=7,1,0))))))</f>
        <v>3</v>
      </c>
      <c r="V3153" s="328">
        <f>VLOOKUP(C3153,METADATA!$A$5:$H$29,IF(E3153="HI",2,IF(E3153="LO",6,10))+IF(T3153=1,2,IF(D3153=7,1,(IF(WEEKDAY(B3153)=1,2,IF(WEEKDAY(B3153)=7,1,0))))))</f>
        <v>3</v>
      </c>
    </row>
    <row r="3154" spans="2:22">
      <c r="B3154" s="318">
        <f t="shared" si="195"/>
        <v>46244</v>
      </c>
      <c r="C3154" s="312">
        <v>6</v>
      </c>
      <c r="D3154" s="368">
        <f>IFERROR((INDEX(METADATA!$T$2:$T$20,MATCH(B3154,METADATA!$S$2:$S$20,0))),0)</f>
        <v>7</v>
      </c>
      <c r="E3154" s="312" t="str">
        <f t="shared" si="196"/>
        <v>LO</v>
      </c>
      <c r="F3154" s="369">
        <f>VLOOKUP(C3154,METADATA!$A$5:$H$29,IF(E3154="HI",2,IF(E3154="LO",6,10))+IF(D3154=1,2,IF(D3154=7,1,(IF(WEEKDAY(B3154)=1,2,IF(WEEKDAY(B3154)=7,1,0))))))</f>
        <v>3</v>
      </c>
      <c r="G3154" s="369">
        <f>VLOOKUP(C3154,METADATA!$J$5:$Q$29,IF(E3154="HI",2,IF(E3154="LO",6,10))+IF(D3154=1,2,IF(D3154=7,1,(IF(WEEKDAY(B3154)=1,2,IF(WEEKDAY(B3154)=7,1,0))))))</f>
        <v>3</v>
      </c>
      <c r="H3154" s="370">
        <v>12555.675659179688</v>
      </c>
      <c r="I3154" s="370">
        <v>3766.4750366210938</v>
      </c>
      <c r="M3154" s="371">
        <f t="shared" si="197"/>
        <v>13108.444814698925</v>
      </c>
      <c r="N3154" s="329">
        <f t="shared" si="198"/>
        <v>0</v>
      </c>
      <c r="T3154" s="331">
        <v>0</v>
      </c>
      <c r="U3154" s="328">
        <f>VLOOKUP(C3154,METADATA!$J$5:$Q$29,IF(E3154="HI",2,IF(E3154="LO",6,10))+IF(T3154=1,2,IF(D3154=7,1,(IF(WEEKDAY(B3154)=1,2,IF(WEEKDAY(B3154)=7,1,0))))))</f>
        <v>3</v>
      </c>
      <c r="V3154" s="328">
        <f>VLOOKUP(C3154,METADATA!$A$5:$H$29,IF(E3154="HI",2,IF(E3154="LO",6,10))+IF(T3154=1,2,IF(D3154=7,1,(IF(WEEKDAY(B3154)=1,2,IF(WEEKDAY(B3154)=7,1,0))))))</f>
        <v>3</v>
      </c>
    </row>
    <row r="3155" spans="2:22">
      <c r="B3155" s="318">
        <f t="shared" si="195"/>
        <v>46244</v>
      </c>
      <c r="C3155" s="312">
        <v>7</v>
      </c>
      <c r="D3155" s="368">
        <f>IFERROR((INDEX(METADATA!$T$2:$T$20,MATCH(B3155,METADATA!$S$2:$S$20,0))),0)</f>
        <v>7</v>
      </c>
      <c r="E3155" s="312" t="str">
        <f t="shared" si="196"/>
        <v>LO</v>
      </c>
      <c r="F3155" s="369">
        <f>VLOOKUP(C3155,METADATA!$A$5:$H$29,IF(E3155="HI",2,IF(E3155="LO",6,10))+IF(D3155=1,2,IF(D3155=7,1,(IF(WEEKDAY(B3155)=1,2,IF(WEEKDAY(B3155)=7,1,0))))))</f>
        <v>2</v>
      </c>
      <c r="G3155" s="369">
        <f>VLOOKUP(C3155,METADATA!$J$5:$Q$29,IF(E3155="HI",2,IF(E3155="LO",6,10))+IF(D3155=1,2,IF(D3155=7,1,(IF(WEEKDAY(B3155)=1,2,IF(WEEKDAY(B3155)=7,1,0))))))</f>
        <v>2</v>
      </c>
      <c r="H3155" s="370">
        <v>11662.892578125</v>
      </c>
      <c r="I3155" s="370">
        <v>3115.3924560546875</v>
      </c>
      <c r="M3155" s="371">
        <f t="shared" si="197"/>
        <v>12071.815664767486</v>
      </c>
      <c r="N3155" s="329">
        <f t="shared" si="198"/>
        <v>0</v>
      </c>
      <c r="T3155" s="331">
        <v>0</v>
      </c>
      <c r="U3155" s="328">
        <f>VLOOKUP(C3155,METADATA!$J$5:$Q$29,IF(E3155="HI",2,IF(E3155="LO",6,10))+IF(T3155=1,2,IF(D3155=7,1,(IF(WEEKDAY(B3155)=1,2,IF(WEEKDAY(B3155)=7,1,0))))))</f>
        <v>2</v>
      </c>
      <c r="V3155" s="328">
        <f>VLOOKUP(C3155,METADATA!$A$5:$H$29,IF(E3155="HI",2,IF(E3155="LO",6,10))+IF(T3155=1,2,IF(D3155=7,1,(IF(WEEKDAY(B3155)=1,2,IF(WEEKDAY(B3155)=7,1,0))))))</f>
        <v>2</v>
      </c>
    </row>
    <row r="3156" spans="2:22">
      <c r="B3156" s="318">
        <f t="shared" si="195"/>
        <v>46244</v>
      </c>
      <c r="C3156" s="312">
        <v>8</v>
      </c>
      <c r="D3156" s="368">
        <f>IFERROR((INDEX(METADATA!$T$2:$T$20,MATCH(B3156,METADATA!$S$2:$S$20,0))),0)</f>
        <v>7</v>
      </c>
      <c r="E3156" s="312" t="str">
        <f t="shared" si="196"/>
        <v>LO</v>
      </c>
      <c r="F3156" s="369">
        <f>VLOOKUP(C3156,METADATA!$A$5:$H$29,IF(E3156="HI",2,IF(E3156="LO",6,10))+IF(D3156=1,2,IF(D3156=7,1,(IF(WEEKDAY(B3156)=1,2,IF(WEEKDAY(B3156)=7,1,0))))))</f>
        <v>2</v>
      </c>
      <c r="G3156" s="369">
        <f>VLOOKUP(C3156,METADATA!$J$5:$Q$29,IF(E3156="HI",2,IF(E3156="LO",6,10))+IF(D3156=1,2,IF(D3156=7,1,(IF(WEEKDAY(B3156)=1,2,IF(WEEKDAY(B3156)=7,1,0))))))</f>
        <v>2</v>
      </c>
      <c r="H3156" s="370">
        <v>13565.074951171875</v>
      </c>
      <c r="I3156" s="370">
        <v>4175.0700073242188</v>
      </c>
      <c r="M3156" s="371">
        <f t="shared" si="197"/>
        <v>14193.042943532895</v>
      </c>
      <c r="N3156" s="329">
        <f t="shared" si="198"/>
        <v>105.54752197265634</v>
      </c>
      <c r="T3156" s="331">
        <v>0</v>
      </c>
      <c r="U3156" s="328">
        <f>VLOOKUP(C3156,METADATA!$J$5:$Q$29,IF(E3156="HI",2,IF(E3156="LO",6,10))+IF(T3156=1,2,IF(D3156=7,1,(IF(WEEKDAY(B3156)=1,2,IF(WEEKDAY(B3156)=7,1,0))))))</f>
        <v>2</v>
      </c>
      <c r="V3156" s="328">
        <f>VLOOKUP(C3156,METADATA!$A$5:$H$29,IF(E3156="HI",2,IF(E3156="LO",6,10))+IF(T3156=1,2,IF(D3156=7,1,(IF(WEEKDAY(B3156)=1,2,IF(WEEKDAY(B3156)=7,1,0))))))</f>
        <v>2</v>
      </c>
    </row>
    <row r="3157" spans="2:22">
      <c r="B3157" s="318">
        <f t="shared" si="195"/>
        <v>46244</v>
      </c>
      <c r="C3157" s="312">
        <v>9</v>
      </c>
      <c r="D3157" s="368">
        <f>IFERROR((INDEX(METADATA!$T$2:$T$20,MATCH(B3157,METADATA!$S$2:$S$20,0))),0)</f>
        <v>7</v>
      </c>
      <c r="E3157" s="312" t="str">
        <f t="shared" si="196"/>
        <v>LO</v>
      </c>
      <c r="F3157" s="369">
        <f>VLOOKUP(C3157,METADATA!$A$5:$H$29,IF(E3157="HI",2,IF(E3157="LO",6,10))+IF(D3157=1,2,IF(D3157=7,1,(IF(WEEKDAY(B3157)=1,2,IF(WEEKDAY(B3157)=7,1,0))))))</f>
        <v>2</v>
      </c>
      <c r="G3157" s="369">
        <f>VLOOKUP(C3157,METADATA!$J$5:$Q$29,IF(E3157="HI",2,IF(E3157="LO",6,10))+IF(D3157=1,2,IF(D3157=7,1,(IF(WEEKDAY(B3157)=1,2,IF(WEEKDAY(B3157)=7,1,0))))))</f>
        <v>2</v>
      </c>
      <c r="H3157" s="370">
        <v>13579.07470703125</v>
      </c>
      <c r="I3157" s="370">
        <v>4342.8798522949219</v>
      </c>
      <c r="M3157" s="371">
        <f t="shared" si="197"/>
        <v>14256.643199245922</v>
      </c>
      <c r="N3157" s="329">
        <f t="shared" si="198"/>
        <v>269.15744018554688</v>
      </c>
      <c r="T3157" s="331">
        <v>0</v>
      </c>
      <c r="U3157" s="328">
        <f>VLOOKUP(C3157,METADATA!$J$5:$Q$29,IF(E3157="HI",2,IF(E3157="LO",6,10))+IF(T3157=1,2,IF(D3157=7,1,(IF(WEEKDAY(B3157)=1,2,IF(WEEKDAY(B3157)=7,1,0))))))</f>
        <v>2</v>
      </c>
      <c r="V3157" s="328">
        <f>VLOOKUP(C3157,METADATA!$A$5:$H$29,IF(E3157="HI",2,IF(E3157="LO",6,10))+IF(T3157=1,2,IF(D3157=7,1,(IF(WEEKDAY(B3157)=1,2,IF(WEEKDAY(B3157)=7,1,0))))))</f>
        <v>2</v>
      </c>
    </row>
    <row r="3158" spans="2:22">
      <c r="B3158" s="318">
        <f t="shared" si="195"/>
        <v>46244</v>
      </c>
      <c r="C3158" s="312">
        <v>10</v>
      </c>
      <c r="D3158" s="368">
        <f>IFERROR((INDEX(METADATA!$T$2:$T$20,MATCH(B3158,METADATA!$S$2:$S$20,0))),0)</f>
        <v>7</v>
      </c>
      <c r="E3158" s="312" t="str">
        <f t="shared" si="196"/>
        <v>LO</v>
      </c>
      <c r="F3158" s="369">
        <f>VLOOKUP(C3158,METADATA!$A$5:$H$29,IF(E3158="HI",2,IF(E3158="LO",6,10))+IF(D3158=1,2,IF(D3158=7,1,(IF(WEEKDAY(B3158)=1,2,IF(WEEKDAY(B3158)=7,1,0))))))</f>
        <v>2</v>
      </c>
      <c r="G3158" s="369">
        <f>VLOOKUP(C3158,METADATA!$J$5:$Q$29,IF(E3158="HI",2,IF(E3158="LO",6,10))+IF(D3158=1,2,IF(D3158=7,1,(IF(WEEKDAY(B3158)=1,2,IF(WEEKDAY(B3158)=7,1,0))))))</f>
        <v>2</v>
      </c>
      <c r="H3158" s="370">
        <v>13637.325073242188</v>
      </c>
      <c r="I3158" s="370">
        <v>4369.3099670410156</v>
      </c>
      <c r="M3158" s="371">
        <f t="shared" si="197"/>
        <v>14320.178237066883</v>
      </c>
      <c r="N3158" s="329">
        <f t="shared" si="198"/>
        <v>278.11244506835965</v>
      </c>
      <c r="T3158" s="331">
        <v>0</v>
      </c>
      <c r="U3158" s="328">
        <f>VLOOKUP(C3158,METADATA!$J$5:$Q$29,IF(E3158="HI",2,IF(E3158="LO",6,10))+IF(T3158=1,2,IF(D3158=7,1,(IF(WEEKDAY(B3158)=1,2,IF(WEEKDAY(B3158)=7,1,0))))))</f>
        <v>2</v>
      </c>
      <c r="V3158" s="328">
        <f>VLOOKUP(C3158,METADATA!$A$5:$H$29,IF(E3158="HI",2,IF(E3158="LO",6,10))+IF(T3158=1,2,IF(D3158=7,1,(IF(WEEKDAY(B3158)=1,2,IF(WEEKDAY(B3158)=7,1,0))))))</f>
        <v>2</v>
      </c>
    </row>
    <row r="3159" spans="2:22">
      <c r="B3159" s="318">
        <f t="shared" si="195"/>
        <v>46244</v>
      </c>
      <c r="C3159" s="312">
        <v>11</v>
      </c>
      <c r="D3159" s="368">
        <f>IFERROR((INDEX(METADATA!$T$2:$T$20,MATCH(B3159,METADATA!$S$2:$S$20,0))),0)</f>
        <v>7</v>
      </c>
      <c r="E3159" s="312" t="str">
        <f t="shared" si="196"/>
        <v>LO</v>
      </c>
      <c r="F3159" s="369">
        <f>VLOOKUP(C3159,METADATA!$A$5:$H$29,IF(E3159="HI",2,IF(E3159="LO",6,10))+IF(D3159=1,2,IF(D3159=7,1,(IF(WEEKDAY(B3159)=1,2,IF(WEEKDAY(B3159)=7,1,0))))))</f>
        <v>2</v>
      </c>
      <c r="G3159" s="369">
        <f>VLOOKUP(C3159,METADATA!$J$5:$Q$29,IF(E3159="HI",2,IF(E3159="LO",6,10))+IF(D3159=1,2,IF(D3159=7,1,(IF(WEEKDAY(B3159)=1,2,IF(WEEKDAY(B3159)=7,1,0))))))</f>
        <v>2</v>
      </c>
      <c r="H3159" s="370">
        <v>13571.8251953125</v>
      </c>
      <c r="I3159" s="370">
        <v>4299.469970703125</v>
      </c>
      <c r="M3159" s="371">
        <f t="shared" si="197"/>
        <v>14236.56844752615</v>
      </c>
      <c r="N3159" s="329">
        <f t="shared" si="198"/>
        <v>227.92241210937527</v>
      </c>
      <c r="T3159" s="331">
        <v>0</v>
      </c>
      <c r="U3159" s="328">
        <f>VLOOKUP(C3159,METADATA!$J$5:$Q$29,IF(E3159="HI",2,IF(E3159="LO",6,10))+IF(T3159=1,2,IF(D3159=7,1,(IF(WEEKDAY(B3159)=1,2,IF(WEEKDAY(B3159)=7,1,0))))))</f>
        <v>2</v>
      </c>
      <c r="V3159" s="328">
        <f>VLOOKUP(C3159,METADATA!$A$5:$H$29,IF(E3159="HI",2,IF(E3159="LO",6,10))+IF(T3159=1,2,IF(D3159=7,1,(IF(WEEKDAY(B3159)=1,2,IF(WEEKDAY(B3159)=7,1,0))))))</f>
        <v>2</v>
      </c>
    </row>
    <row r="3160" spans="2:22">
      <c r="B3160" s="318">
        <f t="shared" si="195"/>
        <v>46244</v>
      </c>
      <c r="C3160" s="312">
        <v>12</v>
      </c>
      <c r="D3160" s="368">
        <f>IFERROR((INDEX(METADATA!$T$2:$T$20,MATCH(B3160,METADATA!$S$2:$S$20,0))),0)</f>
        <v>7</v>
      </c>
      <c r="E3160" s="312" t="str">
        <f t="shared" si="196"/>
        <v>LO</v>
      </c>
      <c r="F3160" s="369">
        <f>VLOOKUP(C3160,METADATA!$A$5:$H$29,IF(E3160="HI",2,IF(E3160="LO",6,10))+IF(D3160=1,2,IF(D3160=7,1,(IF(WEEKDAY(B3160)=1,2,IF(WEEKDAY(B3160)=7,1,0))))))</f>
        <v>3</v>
      </c>
      <c r="G3160" s="369">
        <f>VLOOKUP(C3160,METADATA!$J$5:$Q$29,IF(E3160="HI",2,IF(E3160="LO",6,10))+IF(D3160=1,2,IF(D3160=7,1,(IF(WEEKDAY(B3160)=1,2,IF(WEEKDAY(B3160)=7,1,0))))))</f>
        <v>3</v>
      </c>
      <c r="H3160" s="370">
        <v>13529.175109863281</v>
      </c>
      <c r="I3160" s="370">
        <v>4304.2799987792969</v>
      </c>
      <c r="M3160" s="371">
        <f t="shared" si="197"/>
        <v>14197.373188771071</v>
      </c>
      <c r="N3160" s="329">
        <f t="shared" si="198"/>
        <v>245.5274658203125</v>
      </c>
      <c r="T3160" s="331">
        <v>0</v>
      </c>
      <c r="U3160" s="328">
        <f>VLOOKUP(C3160,METADATA!$J$5:$Q$29,IF(E3160="HI",2,IF(E3160="LO",6,10))+IF(T3160=1,2,IF(D3160=7,1,(IF(WEEKDAY(B3160)=1,2,IF(WEEKDAY(B3160)=7,1,0))))))</f>
        <v>3</v>
      </c>
      <c r="V3160" s="328">
        <f>VLOOKUP(C3160,METADATA!$A$5:$H$29,IF(E3160="HI",2,IF(E3160="LO",6,10))+IF(T3160=1,2,IF(D3160=7,1,(IF(WEEKDAY(B3160)=1,2,IF(WEEKDAY(B3160)=7,1,0))))))</f>
        <v>3</v>
      </c>
    </row>
    <row r="3161" spans="2:22">
      <c r="B3161" s="318">
        <f t="shared" si="195"/>
        <v>46244</v>
      </c>
      <c r="C3161" s="312">
        <v>13</v>
      </c>
      <c r="D3161" s="368">
        <f>IFERROR((INDEX(METADATA!$T$2:$T$20,MATCH(B3161,METADATA!$S$2:$S$20,0))),0)</f>
        <v>7</v>
      </c>
      <c r="E3161" s="312" t="str">
        <f t="shared" si="196"/>
        <v>LO</v>
      </c>
      <c r="F3161" s="369">
        <f>VLOOKUP(C3161,METADATA!$A$5:$H$29,IF(E3161="HI",2,IF(E3161="LO",6,10))+IF(D3161=1,2,IF(D3161=7,1,(IF(WEEKDAY(B3161)=1,2,IF(WEEKDAY(B3161)=7,1,0))))))</f>
        <v>3</v>
      </c>
      <c r="G3161" s="369">
        <f>VLOOKUP(C3161,METADATA!$J$5:$Q$29,IF(E3161="HI",2,IF(E3161="LO",6,10))+IF(D3161=1,2,IF(D3161=7,1,(IF(WEEKDAY(B3161)=1,2,IF(WEEKDAY(B3161)=7,1,0))))))</f>
        <v>3</v>
      </c>
      <c r="H3161" s="370">
        <v>12708.425354003906</v>
      </c>
      <c r="I3161" s="370">
        <v>3943.4449768066406</v>
      </c>
      <c r="M3161" s="371">
        <f t="shared" si="197"/>
        <v>13306.195296304306</v>
      </c>
      <c r="N3161" s="329">
        <f t="shared" si="198"/>
        <v>130.91737060546893</v>
      </c>
      <c r="T3161" s="331">
        <v>0</v>
      </c>
      <c r="U3161" s="328">
        <f>VLOOKUP(C3161,METADATA!$J$5:$Q$29,IF(E3161="HI",2,IF(E3161="LO",6,10))+IF(T3161=1,2,IF(D3161=7,1,(IF(WEEKDAY(B3161)=1,2,IF(WEEKDAY(B3161)=7,1,0))))))</f>
        <v>3</v>
      </c>
      <c r="V3161" s="328">
        <f>VLOOKUP(C3161,METADATA!$A$5:$H$29,IF(E3161="HI",2,IF(E3161="LO",6,10))+IF(T3161=1,2,IF(D3161=7,1,(IF(WEEKDAY(B3161)=1,2,IF(WEEKDAY(B3161)=7,1,0))))))</f>
        <v>3</v>
      </c>
    </row>
    <row r="3162" spans="2:22">
      <c r="B3162" s="318">
        <f t="shared" si="195"/>
        <v>46244</v>
      </c>
      <c r="C3162" s="312">
        <v>14</v>
      </c>
      <c r="D3162" s="368">
        <f>IFERROR((INDEX(METADATA!$T$2:$T$20,MATCH(B3162,METADATA!$S$2:$S$20,0))),0)</f>
        <v>7</v>
      </c>
      <c r="E3162" s="312" t="str">
        <f t="shared" si="196"/>
        <v>LO</v>
      </c>
      <c r="F3162" s="369">
        <f>VLOOKUP(C3162,METADATA!$A$5:$H$29,IF(E3162="HI",2,IF(E3162="LO",6,10))+IF(D3162=1,2,IF(D3162=7,1,(IF(WEEKDAY(B3162)=1,2,IF(WEEKDAY(B3162)=7,1,0))))))</f>
        <v>3</v>
      </c>
      <c r="G3162" s="369">
        <f>VLOOKUP(C3162,METADATA!$J$5:$Q$29,IF(E3162="HI",2,IF(E3162="LO",6,10))+IF(D3162=1,2,IF(D3162=7,1,(IF(WEEKDAY(B3162)=1,2,IF(WEEKDAY(B3162)=7,1,0))))))</f>
        <v>3</v>
      </c>
      <c r="H3162" s="370">
        <v>10230.0048828125</v>
      </c>
      <c r="I3162" s="370">
        <v>2901.9824523925781</v>
      </c>
      <c r="M3162" s="371">
        <f t="shared" si="197"/>
        <v>10633.649517280604</v>
      </c>
      <c r="N3162" s="329">
        <f t="shared" si="198"/>
        <v>0</v>
      </c>
      <c r="T3162" s="331">
        <v>0</v>
      </c>
      <c r="U3162" s="328">
        <f>VLOOKUP(C3162,METADATA!$J$5:$Q$29,IF(E3162="HI",2,IF(E3162="LO",6,10))+IF(T3162=1,2,IF(D3162=7,1,(IF(WEEKDAY(B3162)=1,2,IF(WEEKDAY(B3162)=7,1,0))))))</f>
        <v>3</v>
      </c>
      <c r="V3162" s="328">
        <f>VLOOKUP(C3162,METADATA!$A$5:$H$29,IF(E3162="HI",2,IF(E3162="LO",6,10))+IF(T3162=1,2,IF(D3162=7,1,(IF(WEEKDAY(B3162)=1,2,IF(WEEKDAY(B3162)=7,1,0))))))</f>
        <v>3</v>
      </c>
    </row>
    <row r="3163" spans="2:22">
      <c r="B3163" s="318">
        <f t="shared" si="195"/>
        <v>46244</v>
      </c>
      <c r="C3163" s="312">
        <v>15</v>
      </c>
      <c r="D3163" s="368">
        <f>IFERROR((INDEX(METADATA!$T$2:$T$20,MATCH(B3163,METADATA!$S$2:$S$20,0))),0)</f>
        <v>7</v>
      </c>
      <c r="E3163" s="312" t="str">
        <f t="shared" si="196"/>
        <v>LO</v>
      </c>
      <c r="F3163" s="369">
        <f>VLOOKUP(C3163,METADATA!$A$5:$H$29,IF(E3163="HI",2,IF(E3163="LO",6,10))+IF(D3163=1,2,IF(D3163=7,1,(IF(WEEKDAY(B3163)=1,2,IF(WEEKDAY(B3163)=7,1,0))))))</f>
        <v>3</v>
      </c>
      <c r="G3163" s="369">
        <f>VLOOKUP(C3163,METADATA!$J$5:$Q$29,IF(E3163="HI",2,IF(E3163="LO",6,10))+IF(D3163=1,2,IF(D3163=7,1,(IF(WEEKDAY(B3163)=1,2,IF(WEEKDAY(B3163)=7,1,0))))))</f>
        <v>3</v>
      </c>
      <c r="H3163" s="370">
        <v>9935.6748352050781</v>
      </c>
      <c r="I3163" s="370">
        <v>2677.7050170898438</v>
      </c>
      <c r="M3163" s="371">
        <f t="shared" si="197"/>
        <v>10290.176800690821</v>
      </c>
      <c r="N3163" s="329">
        <f t="shared" si="198"/>
        <v>0</v>
      </c>
      <c r="T3163" s="331">
        <v>0</v>
      </c>
      <c r="U3163" s="328">
        <f>VLOOKUP(C3163,METADATA!$J$5:$Q$29,IF(E3163="HI",2,IF(E3163="LO",6,10))+IF(T3163=1,2,IF(D3163=7,1,(IF(WEEKDAY(B3163)=1,2,IF(WEEKDAY(B3163)=7,1,0))))))</f>
        <v>3</v>
      </c>
      <c r="V3163" s="328">
        <f>VLOOKUP(C3163,METADATA!$A$5:$H$29,IF(E3163="HI",2,IF(E3163="LO",6,10))+IF(T3163=1,2,IF(D3163=7,1,(IF(WEEKDAY(B3163)=1,2,IF(WEEKDAY(B3163)=7,1,0))))))</f>
        <v>3</v>
      </c>
    </row>
    <row r="3164" spans="2:22">
      <c r="B3164" s="318">
        <f t="shared" ref="B3164:B3227" si="199">B3140+1</f>
        <v>46244</v>
      </c>
      <c r="C3164" s="312">
        <v>16</v>
      </c>
      <c r="D3164" s="368">
        <f>IFERROR((INDEX(METADATA!$T$2:$T$20,MATCH(B3164,METADATA!$S$2:$S$20,0))),0)</f>
        <v>7</v>
      </c>
      <c r="E3164" s="312" t="str">
        <f t="shared" si="196"/>
        <v>LO</v>
      </c>
      <c r="F3164" s="369">
        <f>VLOOKUP(C3164,METADATA!$A$5:$H$29,IF(E3164="HI",2,IF(E3164="LO",6,10))+IF(D3164=1,2,IF(D3164=7,1,(IF(WEEKDAY(B3164)=1,2,IF(WEEKDAY(B3164)=7,1,0))))))</f>
        <v>3</v>
      </c>
      <c r="G3164" s="369">
        <f>VLOOKUP(C3164,METADATA!$J$5:$Q$29,IF(E3164="HI",2,IF(E3164="LO",6,10))+IF(D3164=1,2,IF(D3164=7,1,(IF(WEEKDAY(B3164)=1,2,IF(WEEKDAY(B3164)=7,1,0))))))</f>
        <v>3</v>
      </c>
      <c r="H3164" s="370">
        <v>10124.247528076172</v>
      </c>
      <c r="I3164" s="370">
        <v>2715.0725402832031</v>
      </c>
      <c r="M3164" s="371">
        <f t="shared" si="197"/>
        <v>10481.984874476606</v>
      </c>
      <c r="N3164" s="329">
        <f t="shared" si="198"/>
        <v>0</v>
      </c>
      <c r="T3164" s="331">
        <v>0</v>
      </c>
      <c r="U3164" s="328">
        <f>VLOOKUP(C3164,METADATA!$J$5:$Q$29,IF(E3164="HI",2,IF(E3164="LO",6,10))+IF(T3164=1,2,IF(D3164=7,1,(IF(WEEKDAY(B3164)=1,2,IF(WEEKDAY(B3164)=7,1,0))))))</f>
        <v>3</v>
      </c>
      <c r="V3164" s="328">
        <f>VLOOKUP(C3164,METADATA!$A$5:$H$29,IF(E3164="HI",2,IF(E3164="LO",6,10))+IF(T3164=1,2,IF(D3164=7,1,(IF(WEEKDAY(B3164)=1,2,IF(WEEKDAY(B3164)=7,1,0))))))</f>
        <v>3</v>
      </c>
    </row>
    <row r="3165" spans="2:22">
      <c r="B3165" s="318">
        <f t="shared" si="199"/>
        <v>46244</v>
      </c>
      <c r="C3165" s="312">
        <v>17</v>
      </c>
      <c r="D3165" s="368">
        <f>IFERROR((INDEX(METADATA!$T$2:$T$20,MATCH(B3165,METADATA!$S$2:$S$20,0))),0)</f>
        <v>7</v>
      </c>
      <c r="E3165" s="312" t="str">
        <f t="shared" si="196"/>
        <v>LO</v>
      </c>
      <c r="F3165" s="369">
        <f>VLOOKUP(C3165,METADATA!$A$5:$H$29,IF(E3165="HI",2,IF(E3165="LO",6,10))+IF(D3165=1,2,IF(D3165=7,1,(IF(WEEKDAY(B3165)=1,2,IF(WEEKDAY(B3165)=7,1,0))))))</f>
        <v>3</v>
      </c>
      <c r="G3165" s="369">
        <f>VLOOKUP(C3165,METADATA!$J$5:$Q$29,IF(E3165="HI",2,IF(E3165="LO",6,10))+IF(D3165=1,2,IF(D3165=7,1,(IF(WEEKDAY(B3165)=1,2,IF(WEEKDAY(B3165)=7,1,0))))))</f>
        <v>3</v>
      </c>
      <c r="H3165" s="370">
        <v>11225.700012207031</v>
      </c>
      <c r="I3165" s="370">
        <v>3186.3600463867188</v>
      </c>
      <c r="M3165" s="371">
        <f t="shared" si="197"/>
        <v>11669.157257886043</v>
      </c>
      <c r="N3165" s="329">
        <f t="shared" si="198"/>
        <v>0</v>
      </c>
      <c r="T3165" s="331">
        <v>0</v>
      </c>
      <c r="U3165" s="328">
        <f>VLOOKUP(C3165,METADATA!$J$5:$Q$29,IF(E3165="HI",2,IF(E3165="LO",6,10))+IF(T3165=1,2,IF(D3165=7,1,(IF(WEEKDAY(B3165)=1,2,IF(WEEKDAY(B3165)=7,1,0))))))</f>
        <v>3</v>
      </c>
      <c r="V3165" s="328">
        <f>VLOOKUP(C3165,METADATA!$A$5:$H$29,IF(E3165="HI",2,IF(E3165="LO",6,10))+IF(T3165=1,2,IF(D3165=7,1,(IF(WEEKDAY(B3165)=1,2,IF(WEEKDAY(B3165)=7,1,0))))))</f>
        <v>3</v>
      </c>
    </row>
    <row r="3166" spans="2:22">
      <c r="B3166" s="318">
        <f t="shared" si="199"/>
        <v>46244</v>
      </c>
      <c r="C3166" s="312">
        <v>18</v>
      </c>
      <c r="D3166" s="368">
        <f>IFERROR((INDEX(METADATA!$T$2:$T$20,MATCH(B3166,METADATA!$S$2:$S$20,0))),0)</f>
        <v>7</v>
      </c>
      <c r="E3166" s="312" t="str">
        <f t="shared" si="196"/>
        <v>LO</v>
      </c>
      <c r="F3166" s="369">
        <f>VLOOKUP(C3166,METADATA!$A$5:$H$29,IF(E3166="HI",2,IF(E3166="LO",6,10))+IF(D3166=1,2,IF(D3166=7,1,(IF(WEEKDAY(B3166)=1,2,IF(WEEKDAY(B3166)=7,1,0))))))</f>
        <v>2</v>
      </c>
      <c r="G3166" s="369">
        <f>VLOOKUP(C3166,METADATA!$J$5:$Q$29,IF(E3166="HI",2,IF(E3166="LO",6,10))+IF(D3166=1,2,IF(D3166=7,1,(IF(WEEKDAY(B3166)=1,2,IF(WEEKDAY(B3166)=7,1,0))))))</f>
        <v>2</v>
      </c>
      <c r="H3166" s="370">
        <v>11838.174682617188</v>
      </c>
      <c r="I3166" s="370">
        <v>3204.989990234375</v>
      </c>
      <c r="M3166" s="371">
        <f t="shared" si="197"/>
        <v>12264.352435153723</v>
      </c>
      <c r="N3166" s="329">
        <f t="shared" si="198"/>
        <v>0</v>
      </c>
      <c r="T3166" s="331">
        <v>0</v>
      </c>
      <c r="U3166" s="328">
        <f>VLOOKUP(C3166,METADATA!$J$5:$Q$29,IF(E3166="HI",2,IF(E3166="LO",6,10))+IF(T3166=1,2,IF(D3166=7,1,(IF(WEEKDAY(B3166)=1,2,IF(WEEKDAY(B3166)=7,1,0))))))</f>
        <v>2</v>
      </c>
      <c r="V3166" s="328">
        <f>VLOOKUP(C3166,METADATA!$A$5:$H$29,IF(E3166="HI",2,IF(E3166="LO",6,10))+IF(T3166=1,2,IF(D3166=7,1,(IF(WEEKDAY(B3166)=1,2,IF(WEEKDAY(B3166)=7,1,0))))))</f>
        <v>2</v>
      </c>
    </row>
    <row r="3167" spans="2:22">
      <c r="B3167" s="318">
        <f t="shared" si="199"/>
        <v>46244</v>
      </c>
      <c r="C3167" s="312">
        <v>19</v>
      </c>
      <c r="D3167" s="368">
        <f>IFERROR((INDEX(METADATA!$T$2:$T$20,MATCH(B3167,METADATA!$S$2:$S$20,0))),0)</f>
        <v>7</v>
      </c>
      <c r="E3167" s="312" t="str">
        <f t="shared" si="196"/>
        <v>LO</v>
      </c>
      <c r="F3167" s="369">
        <f>VLOOKUP(C3167,METADATA!$A$5:$H$29,IF(E3167="HI",2,IF(E3167="LO",6,10))+IF(D3167=1,2,IF(D3167=7,1,(IF(WEEKDAY(B3167)=1,2,IF(WEEKDAY(B3167)=7,1,0))))))</f>
        <v>2</v>
      </c>
      <c r="G3167" s="369">
        <f>VLOOKUP(C3167,METADATA!$J$5:$Q$29,IF(E3167="HI",2,IF(E3167="LO",6,10))+IF(D3167=1,2,IF(D3167=7,1,(IF(WEEKDAY(B3167)=1,2,IF(WEEKDAY(B3167)=7,1,0))))))</f>
        <v>2</v>
      </c>
      <c r="H3167" s="370">
        <v>12754.699829101563</v>
      </c>
      <c r="I3167" s="370">
        <v>3773.9300384521484</v>
      </c>
      <c r="M3167" s="371">
        <f t="shared" si="197"/>
        <v>13301.312554241211</v>
      </c>
      <c r="N3167" s="329">
        <f t="shared" si="198"/>
        <v>0</v>
      </c>
      <c r="T3167" s="331">
        <v>0</v>
      </c>
      <c r="U3167" s="328">
        <f>VLOOKUP(C3167,METADATA!$J$5:$Q$29,IF(E3167="HI",2,IF(E3167="LO",6,10))+IF(T3167=1,2,IF(D3167=7,1,(IF(WEEKDAY(B3167)=1,2,IF(WEEKDAY(B3167)=7,1,0))))))</f>
        <v>2</v>
      </c>
      <c r="V3167" s="328">
        <f>VLOOKUP(C3167,METADATA!$A$5:$H$29,IF(E3167="HI",2,IF(E3167="LO",6,10))+IF(T3167=1,2,IF(D3167=7,1,(IF(WEEKDAY(B3167)=1,2,IF(WEEKDAY(B3167)=7,1,0))))))</f>
        <v>2</v>
      </c>
    </row>
    <row r="3168" spans="2:22">
      <c r="B3168" s="318">
        <f t="shared" si="199"/>
        <v>46244</v>
      </c>
      <c r="C3168" s="312">
        <v>20</v>
      </c>
      <c r="D3168" s="368">
        <f>IFERROR((INDEX(METADATA!$T$2:$T$20,MATCH(B3168,METADATA!$S$2:$S$20,0))),0)</f>
        <v>7</v>
      </c>
      <c r="E3168" s="312" t="str">
        <f t="shared" si="196"/>
        <v>LO</v>
      </c>
      <c r="F3168" s="369">
        <f>VLOOKUP(C3168,METADATA!$A$5:$H$29,IF(E3168="HI",2,IF(E3168="LO",6,10))+IF(D3168=1,2,IF(D3168=7,1,(IF(WEEKDAY(B3168)=1,2,IF(WEEKDAY(B3168)=7,1,0))))))</f>
        <v>3</v>
      </c>
      <c r="G3168" s="369">
        <f>VLOOKUP(C3168,METADATA!$J$5:$Q$29,IF(E3168="HI",2,IF(E3168="LO",6,10))+IF(D3168=1,2,IF(D3168=7,1,(IF(WEEKDAY(B3168)=1,2,IF(WEEKDAY(B3168)=7,1,0))))))</f>
        <v>3</v>
      </c>
      <c r="H3168" s="370">
        <v>13024.549682617188</v>
      </c>
      <c r="I3168" s="370">
        <v>4065.2299041748047</v>
      </c>
      <c r="M3168" s="371">
        <f t="shared" si="197"/>
        <v>13644.229132082199</v>
      </c>
      <c r="N3168" s="329">
        <f t="shared" si="198"/>
        <v>157.8649993896488</v>
      </c>
      <c r="T3168" s="331">
        <v>0</v>
      </c>
      <c r="U3168" s="328">
        <f>VLOOKUP(C3168,METADATA!$J$5:$Q$29,IF(E3168="HI",2,IF(E3168="LO",6,10))+IF(T3168=1,2,IF(D3168=7,1,(IF(WEEKDAY(B3168)=1,2,IF(WEEKDAY(B3168)=7,1,0))))))</f>
        <v>3</v>
      </c>
      <c r="V3168" s="328">
        <f>VLOOKUP(C3168,METADATA!$A$5:$H$29,IF(E3168="HI",2,IF(E3168="LO",6,10))+IF(T3168=1,2,IF(D3168=7,1,(IF(WEEKDAY(B3168)=1,2,IF(WEEKDAY(B3168)=7,1,0))))))</f>
        <v>3</v>
      </c>
    </row>
    <row r="3169" spans="2:22">
      <c r="B3169" s="318">
        <f t="shared" si="199"/>
        <v>46244</v>
      </c>
      <c r="C3169" s="312">
        <v>21</v>
      </c>
      <c r="D3169" s="368">
        <f>IFERROR((INDEX(METADATA!$T$2:$T$20,MATCH(B3169,METADATA!$S$2:$S$20,0))),0)</f>
        <v>7</v>
      </c>
      <c r="E3169" s="312" t="str">
        <f t="shared" si="196"/>
        <v>LO</v>
      </c>
      <c r="F3169" s="369">
        <f>VLOOKUP(C3169,METADATA!$A$5:$H$29,IF(E3169="HI",2,IF(E3169="LO",6,10))+IF(D3169=1,2,IF(D3169=7,1,(IF(WEEKDAY(B3169)=1,2,IF(WEEKDAY(B3169)=7,1,0))))))</f>
        <v>3</v>
      </c>
      <c r="G3169" s="369">
        <f>VLOOKUP(C3169,METADATA!$J$5:$Q$29,IF(E3169="HI",2,IF(E3169="LO",6,10))+IF(D3169=1,2,IF(D3169=7,1,(IF(WEEKDAY(B3169)=1,2,IF(WEEKDAY(B3169)=7,1,0))))))</f>
        <v>3</v>
      </c>
      <c r="H3169" s="370">
        <v>13615.675415039063</v>
      </c>
      <c r="I3169" s="370">
        <v>4494.1050109863281</v>
      </c>
      <c r="M3169" s="371">
        <f t="shared" si="197"/>
        <v>14338.186665595882</v>
      </c>
      <c r="N3169" s="329">
        <f t="shared" si="198"/>
        <v>409.40238647460956</v>
      </c>
      <c r="T3169" s="331">
        <v>0</v>
      </c>
      <c r="U3169" s="328">
        <f>VLOOKUP(C3169,METADATA!$J$5:$Q$29,IF(E3169="HI",2,IF(E3169="LO",6,10))+IF(T3169=1,2,IF(D3169=7,1,(IF(WEEKDAY(B3169)=1,2,IF(WEEKDAY(B3169)=7,1,0))))))</f>
        <v>3</v>
      </c>
      <c r="V3169" s="328">
        <f>VLOOKUP(C3169,METADATA!$A$5:$H$29,IF(E3169="HI",2,IF(E3169="LO",6,10))+IF(T3169=1,2,IF(D3169=7,1,(IF(WEEKDAY(B3169)=1,2,IF(WEEKDAY(B3169)=7,1,0))))))</f>
        <v>3</v>
      </c>
    </row>
    <row r="3170" spans="2:22">
      <c r="B3170" s="318">
        <f t="shared" si="199"/>
        <v>46244</v>
      </c>
      <c r="C3170" s="312">
        <v>22</v>
      </c>
      <c r="D3170" s="368">
        <f>IFERROR((INDEX(METADATA!$T$2:$T$20,MATCH(B3170,METADATA!$S$2:$S$20,0))),0)</f>
        <v>7</v>
      </c>
      <c r="E3170" s="312" t="str">
        <f t="shared" si="196"/>
        <v>LO</v>
      </c>
      <c r="F3170" s="369">
        <f>VLOOKUP(C3170,METADATA!$A$5:$H$29,IF(E3170="HI",2,IF(E3170="LO",6,10))+IF(D3170=1,2,IF(D3170=7,1,(IF(WEEKDAY(B3170)=1,2,IF(WEEKDAY(B3170)=7,1,0))))))</f>
        <v>3</v>
      </c>
      <c r="G3170" s="369">
        <f>VLOOKUP(C3170,METADATA!$J$5:$Q$29,IF(E3170="HI",2,IF(E3170="LO",6,10))+IF(D3170=1,2,IF(D3170=7,1,(IF(WEEKDAY(B3170)=1,2,IF(WEEKDAY(B3170)=7,1,0))))))</f>
        <v>3</v>
      </c>
      <c r="H3170" s="370">
        <v>13703.92529296875</v>
      </c>
      <c r="I3170" s="370">
        <v>4585.625</v>
      </c>
      <c r="M3170" s="371">
        <f t="shared" si="197"/>
        <v>14450.7966934662</v>
      </c>
      <c r="N3170" s="329">
        <f t="shared" si="198"/>
        <v>474.44741210937536</v>
      </c>
      <c r="T3170" s="331">
        <v>0</v>
      </c>
      <c r="U3170" s="328">
        <f>VLOOKUP(C3170,METADATA!$J$5:$Q$29,IF(E3170="HI",2,IF(E3170="LO",6,10))+IF(T3170=1,2,IF(D3170=7,1,(IF(WEEKDAY(B3170)=1,2,IF(WEEKDAY(B3170)=7,1,0))))))</f>
        <v>3</v>
      </c>
      <c r="V3170" s="328">
        <f>VLOOKUP(C3170,METADATA!$A$5:$H$29,IF(E3170="HI",2,IF(E3170="LO",6,10))+IF(T3170=1,2,IF(D3170=7,1,(IF(WEEKDAY(B3170)=1,2,IF(WEEKDAY(B3170)=7,1,0))))))</f>
        <v>3</v>
      </c>
    </row>
    <row r="3171" spans="2:22">
      <c r="B3171" s="318">
        <f t="shared" si="199"/>
        <v>46244</v>
      </c>
      <c r="C3171" s="312">
        <v>23</v>
      </c>
      <c r="D3171" s="368">
        <f>IFERROR((INDEX(METADATA!$T$2:$T$20,MATCH(B3171,METADATA!$S$2:$S$20,0))),0)</f>
        <v>7</v>
      </c>
      <c r="E3171" s="312" t="str">
        <f t="shared" si="196"/>
        <v>LO</v>
      </c>
      <c r="F3171" s="369">
        <f>VLOOKUP(C3171,METADATA!$A$5:$H$29,IF(E3171="HI",2,IF(E3171="LO",6,10))+IF(D3171=1,2,IF(D3171=7,1,(IF(WEEKDAY(B3171)=1,2,IF(WEEKDAY(B3171)=7,1,0))))))</f>
        <v>3</v>
      </c>
      <c r="G3171" s="369">
        <f>VLOOKUP(C3171,METADATA!$J$5:$Q$29,IF(E3171="HI",2,IF(E3171="LO",6,10))+IF(D3171=1,2,IF(D3171=7,1,(IF(WEEKDAY(B3171)=1,2,IF(WEEKDAY(B3171)=7,1,0))))))</f>
        <v>3</v>
      </c>
      <c r="H3171" s="370">
        <v>13441.750183105469</v>
      </c>
      <c r="I3171" s="370">
        <v>4408.1649475097656</v>
      </c>
      <c r="M3171" s="371">
        <f t="shared" si="197"/>
        <v>14146.114879692928</v>
      </c>
      <c r="N3171" s="329">
        <f t="shared" si="198"/>
        <v>375.639892578125</v>
      </c>
      <c r="T3171" s="331">
        <v>0</v>
      </c>
      <c r="U3171" s="328">
        <f>VLOOKUP(C3171,METADATA!$J$5:$Q$29,IF(E3171="HI",2,IF(E3171="LO",6,10))+IF(T3171=1,2,IF(D3171=7,1,(IF(WEEKDAY(B3171)=1,2,IF(WEEKDAY(B3171)=7,1,0))))))</f>
        <v>3</v>
      </c>
      <c r="V3171" s="328">
        <f>VLOOKUP(C3171,METADATA!$A$5:$H$29,IF(E3171="HI",2,IF(E3171="LO",6,10))+IF(T3171=1,2,IF(D3171=7,1,(IF(WEEKDAY(B3171)=1,2,IF(WEEKDAY(B3171)=7,1,0))))))</f>
        <v>3</v>
      </c>
    </row>
    <row r="3172" spans="2:22">
      <c r="B3172" s="318">
        <f t="shared" si="199"/>
        <v>46245</v>
      </c>
      <c r="C3172" s="312">
        <v>0</v>
      </c>
      <c r="D3172" s="368">
        <f>IFERROR((INDEX(METADATA!$T$2:$T$20,MATCH(B3172,METADATA!$S$2:$S$20,0))),0)</f>
        <v>0</v>
      </c>
      <c r="E3172" s="312" t="str">
        <f t="shared" si="196"/>
        <v>LO</v>
      </c>
      <c r="F3172" s="369">
        <f>VLOOKUP(C3172,METADATA!$A$5:$H$29,IF(E3172="HI",2,IF(E3172="LO",6,10))+IF(D3172=1,2,IF(D3172=7,1,(IF(WEEKDAY(B3172)=1,2,IF(WEEKDAY(B3172)=7,1,0))))))</f>
        <v>3</v>
      </c>
      <c r="G3172" s="369">
        <f>VLOOKUP(C3172,METADATA!$J$5:$Q$29,IF(E3172="HI",2,IF(E3172="LO",6,10))+IF(D3172=1,2,IF(D3172=7,1,(IF(WEEKDAY(B3172)=1,2,IF(WEEKDAY(B3172)=7,1,0))))))</f>
        <v>3</v>
      </c>
      <c r="H3172" s="370">
        <v>11579.900207519531</v>
      </c>
      <c r="I3172" s="370">
        <v>3544.2825317382813</v>
      </c>
      <c r="M3172" s="371">
        <f t="shared" si="197"/>
        <v>12110.162157497974</v>
      </c>
      <c r="N3172" s="329">
        <f t="shared" si="198"/>
        <v>70.312469482421875</v>
      </c>
      <c r="T3172" s="331">
        <v>0</v>
      </c>
      <c r="U3172" s="328">
        <f>VLOOKUP(C3172,METADATA!$J$5:$Q$29,IF(E3172="HI",2,IF(E3172="LO",6,10))+IF(T3172=1,2,IF(D3172=7,1,(IF(WEEKDAY(B3172)=1,2,IF(WEEKDAY(B3172)=7,1,0))))))</f>
        <v>3</v>
      </c>
      <c r="V3172" s="328">
        <f>VLOOKUP(C3172,METADATA!$A$5:$H$29,IF(E3172="HI",2,IF(E3172="LO",6,10))+IF(T3172=1,2,IF(D3172=7,1,(IF(WEEKDAY(B3172)=1,2,IF(WEEKDAY(B3172)=7,1,0))))))</f>
        <v>3</v>
      </c>
    </row>
    <row r="3173" spans="2:22">
      <c r="B3173" s="318">
        <f t="shared" si="199"/>
        <v>46245</v>
      </c>
      <c r="C3173" s="312">
        <v>1</v>
      </c>
      <c r="D3173" s="368">
        <f>IFERROR((INDEX(METADATA!$T$2:$T$20,MATCH(B3173,METADATA!$S$2:$S$20,0))),0)</f>
        <v>0</v>
      </c>
      <c r="E3173" s="312" t="str">
        <f t="shared" si="196"/>
        <v>LO</v>
      </c>
      <c r="F3173" s="369">
        <f>VLOOKUP(C3173,METADATA!$A$5:$H$29,IF(E3173="HI",2,IF(E3173="LO",6,10))+IF(D3173=1,2,IF(D3173=7,1,(IF(WEEKDAY(B3173)=1,2,IF(WEEKDAY(B3173)=7,1,0))))))</f>
        <v>3</v>
      </c>
      <c r="G3173" s="369">
        <f>VLOOKUP(C3173,METADATA!$J$5:$Q$29,IF(E3173="HI",2,IF(E3173="LO",6,10))+IF(D3173=1,2,IF(D3173=7,1,(IF(WEEKDAY(B3173)=1,2,IF(WEEKDAY(B3173)=7,1,0))))))</f>
        <v>3</v>
      </c>
      <c r="H3173" s="370">
        <v>11495.350280761719</v>
      </c>
      <c r="I3173" s="370">
        <v>3510.6949157714844</v>
      </c>
      <c r="M3173" s="371">
        <f t="shared" si="197"/>
        <v>12019.486547645547</v>
      </c>
      <c r="N3173" s="329">
        <f t="shared" si="198"/>
        <v>62.089831542969023</v>
      </c>
      <c r="T3173" s="331">
        <v>0</v>
      </c>
      <c r="U3173" s="328">
        <f>VLOOKUP(C3173,METADATA!$J$5:$Q$29,IF(E3173="HI",2,IF(E3173="LO",6,10))+IF(T3173=1,2,IF(D3173=7,1,(IF(WEEKDAY(B3173)=1,2,IF(WEEKDAY(B3173)=7,1,0))))))</f>
        <v>3</v>
      </c>
      <c r="V3173" s="328">
        <f>VLOOKUP(C3173,METADATA!$A$5:$H$29,IF(E3173="HI",2,IF(E3173="LO",6,10))+IF(T3173=1,2,IF(D3173=7,1,(IF(WEEKDAY(B3173)=1,2,IF(WEEKDAY(B3173)=7,1,0))))))</f>
        <v>3</v>
      </c>
    </row>
    <row r="3174" spans="2:22">
      <c r="B3174" s="318">
        <f t="shared" si="199"/>
        <v>46245</v>
      </c>
      <c r="C3174" s="312">
        <v>2</v>
      </c>
      <c r="D3174" s="368">
        <f>IFERROR((INDEX(METADATA!$T$2:$T$20,MATCH(B3174,METADATA!$S$2:$S$20,0))),0)</f>
        <v>0</v>
      </c>
      <c r="E3174" s="312" t="str">
        <f t="shared" si="196"/>
        <v>LO</v>
      </c>
      <c r="F3174" s="369">
        <f>VLOOKUP(C3174,METADATA!$A$5:$H$29,IF(E3174="HI",2,IF(E3174="LO",6,10))+IF(D3174=1,2,IF(D3174=7,1,(IF(WEEKDAY(B3174)=1,2,IF(WEEKDAY(B3174)=7,1,0))))))</f>
        <v>3</v>
      </c>
      <c r="G3174" s="369">
        <f>VLOOKUP(C3174,METADATA!$J$5:$Q$29,IF(E3174="HI",2,IF(E3174="LO",6,10))+IF(D3174=1,2,IF(D3174=7,1,(IF(WEEKDAY(B3174)=1,2,IF(WEEKDAY(B3174)=7,1,0))))))</f>
        <v>3</v>
      </c>
      <c r="H3174" s="370">
        <v>12240.5</v>
      </c>
      <c r="I3174" s="370">
        <v>4134.5750122070313</v>
      </c>
      <c r="M3174" s="371">
        <f t="shared" si="197"/>
        <v>12919.928435620948</v>
      </c>
      <c r="N3174" s="329">
        <f t="shared" si="198"/>
        <v>462.42501220703116</v>
      </c>
      <c r="T3174" s="331">
        <v>0</v>
      </c>
      <c r="U3174" s="328">
        <f>VLOOKUP(C3174,METADATA!$J$5:$Q$29,IF(E3174="HI",2,IF(E3174="LO",6,10))+IF(T3174=1,2,IF(D3174=7,1,(IF(WEEKDAY(B3174)=1,2,IF(WEEKDAY(B3174)=7,1,0))))))</f>
        <v>3</v>
      </c>
      <c r="V3174" s="328">
        <f>VLOOKUP(C3174,METADATA!$A$5:$H$29,IF(E3174="HI",2,IF(E3174="LO",6,10))+IF(T3174=1,2,IF(D3174=7,1,(IF(WEEKDAY(B3174)=1,2,IF(WEEKDAY(B3174)=7,1,0))))))</f>
        <v>3</v>
      </c>
    </row>
    <row r="3175" spans="2:22">
      <c r="B3175" s="318">
        <f t="shared" si="199"/>
        <v>46245</v>
      </c>
      <c r="C3175" s="312">
        <v>3</v>
      </c>
      <c r="D3175" s="368">
        <f>IFERROR((INDEX(METADATA!$T$2:$T$20,MATCH(B3175,METADATA!$S$2:$S$20,0))),0)</f>
        <v>0</v>
      </c>
      <c r="E3175" s="312" t="str">
        <f t="shared" si="196"/>
        <v>LO</v>
      </c>
      <c r="F3175" s="369">
        <f>VLOOKUP(C3175,METADATA!$A$5:$H$29,IF(E3175="HI",2,IF(E3175="LO",6,10))+IF(D3175=1,2,IF(D3175=7,1,(IF(WEEKDAY(B3175)=1,2,IF(WEEKDAY(B3175)=7,1,0))))))</f>
        <v>3</v>
      </c>
      <c r="G3175" s="369">
        <f>VLOOKUP(C3175,METADATA!$J$5:$Q$29,IF(E3175="HI",2,IF(E3175="LO",6,10))+IF(D3175=1,2,IF(D3175=7,1,(IF(WEEKDAY(B3175)=1,2,IF(WEEKDAY(B3175)=7,1,0))))))</f>
        <v>3</v>
      </c>
      <c r="H3175" s="370">
        <v>10376.649963378906</v>
      </c>
      <c r="I3175" s="370">
        <v>3422.1200609207153</v>
      </c>
      <c r="M3175" s="371">
        <f t="shared" si="197"/>
        <v>10926.379554722023</v>
      </c>
      <c r="N3175" s="329">
        <f t="shared" si="198"/>
        <v>309.12507190704355</v>
      </c>
      <c r="T3175" s="331">
        <v>0</v>
      </c>
      <c r="U3175" s="328">
        <f>VLOOKUP(C3175,METADATA!$J$5:$Q$29,IF(E3175="HI",2,IF(E3175="LO",6,10))+IF(T3175=1,2,IF(D3175=7,1,(IF(WEEKDAY(B3175)=1,2,IF(WEEKDAY(B3175)=7,1,0))))))</f>
        <v>3</v>
      </c>
      <c r="V3175" s="328">
        <f>VLOOKUP(C3175,METADATA!$A$5:$H$29,IF(E3175="HI",2,IF(E3175="LO",6,10))+IF(T3175=1,2,IF(D3175=7,1,(IF(WEEKDAY(B3175)=1,2,IF(WEEKDAY(B3175)=7,1,0))))))</f>
        <v>3</v>
      </c>
    </row>
    <row r="3176" spans="2:22">
      <c r="B3176" s="318">
        <f t="shared" si="199"/>
        <v>46245</v>
      </c>
      <c r="C3176" s="312">
        <v>4</v>
      </c>
      <c r="D3176" s="368">
        <f>IFERROR((INDEX(METADATA!$T$2:$T$20,MATCH(B3176,METADATA!$S$2:$S$20,0))),0)</f>
        <v>0</v>
      </c>
      <c r="E3176" s="312" t="str">
        <f t="shared" si="196"/>
        <v>LO</v>
      </c>
      <c r="F3176" s="369">
        <f>VLOOKUP(C3176,METADATA!$A$5:$H$29,IF(E3176="HI",2,IF(E3176="LO",6,10))+IF(D3176=1,2,IF(D3176=7,1,(IF(WEEKDAY(B3176)=1,2,IF(WEEKDAY(B3176)=7,1,0))))))</f>
        <v>3</v>
      </c>
      <c r="G3176" s="369">
        <f>VLOOKUP(C3176,METADATA!$J$5:$Q$29,IF(E3176="HI",2,IF(E3176="LO",6,10))+IF(D3176=1,2,IF(D3176=7,1,(IF(WEEKDAY(B3176)=1,2,IF(WEEKDAY(B3176)=7,1,0))))))</f>
        <v>3</v>
      </c>
      <c r="H3176" s="370">
        <v>12715.875183105469</v>
      </c>
      <c r="I3176" s="370">
        <v>4155.9349365234375</v>
      </c>
      <c r="M3176" s="371">
        <f t="shared" si="197"/>
        <v>13377.790432987566</v>
      </c>
      <c r="N3176" s="329">
        <f t="shared" si="198"/>
        <v>341.17238159179715</v>
      </c>
      <c r="T3176" s="331">
        <v>0</v>
      </c>
      <c r="U3176" s="328">
        <f>VLOOKUP(C3176,METADATA!$J$5:$Q$29,IF(E3176="HI",2,IF(E3176="LO",6,10))+IF(T3176=1,2,IF(D3176=7,1,(IF(WEEKDAY(B3176)=1,2,IF(WEEKDAY(B3176)=7,1,0))))))</f>
        <v>3</v>
      </c>
      <c r="V3176" s="328">
        <f>VLOOKUP(C3176,METADATA!$A$5:$H$29,IF(E3176="HI",2,IF(E3176="LO",6,10))+IF(T3176=1,2,IF(D3176=7,1,(IF(WEEKDAY(B3176)=1,2,IF(WEEKDAY(B3176)=7,1,0))))))</f>
        <v>3</v>
      </c>
    </row>
    <row r="3177" spans="2:22">
      <c r="B3177" s="318">
        <f t="shared" si="199"/>
        <v>46245</v>
      </c>
      <c r="C3177" s="312">
        <v>5</v>
      </c>
      <c r="D3177" s="368">
        <f>IFERROR((INDEX(METADATA!$T$2:$T$20,MATCH(B3177,METADATA!$S$2:$S$20,0))),0)</f>
        <v>0</v>
      </c>
      <c r="E3177" s="312" t="str">
        <f t="shared" si="196"/>
        <v>LO</v>
      </c>
      <c r="F3177" s="369">
        <f>VLOOKUP(C3177,METADATA!$A$5:$H$29,IF(E3177="HI",2,IF(E3177="LO",6,10))+IF(D3177=1,2,IF(D3177=7,1,(IF(WEEKDAY(B3177)=1,2,IF(WEEKDAY(B3177)=7,1,0))))))</f>
        <v>3</v>
      </c>
      <c r="G3177" s="369">
        <f>VLOOKUP(C3177,METADATA!$J$5:$Q$29,IF(E3177="HI",2,IF(E3177="LO",6,10))+IF(D3177=1,2,IF(D3177=7,1,(IF(WEEKDAY(B3177)=1,2,IF(WEEKDAY(B3177)=7,1,0))))))</f>
        <v>3</v>
      </c>
      <c r="H3177" s="370">
        <v>11358.600280761719</v>
      </c>
      <c r="I3177" s="370">
        <v>3154.2900085449219</v>
      </c>
      <c r="M3177" s="371">
        <f t="shared" si="197"/>
        <v>11788.441194497536</v>
      </c>
      <c r="N3177" s="329">
        <f t="shared" si="198"/>
        <v>0</v>
      </c>
      <c r="T3177" s="331">
        <v>0</v>
      </c>
      <c r="U3177" s="328">
        <f>VLOOKUP(C3177,METADATA!$J$5:$Q$29,IF(E3177="HI",2,IF(E3177="LO",6,10))+IF(T3177=1,2,IF(D3177=7,1,(IF(WEEKDAY(B3177)=1,2,IF(WEEKDAY(B3177)=7,1,0))))))</f>
        <v>3</v>
      </c>
      <c r="V3177" s="328">
        <f>VLOOKUP(C3177,METADATA!$A$5:$H$29,IF(E3177="HI",2,IF(E3177="LO",6,10))+IF(T3177=1,2,IF(D3177=7,1,(IF(WEEKDAY(B3177)=1,2,IF(WEEKDAY(B3177)=7,1,0))))))</f>
        <v>3</v>
      </c>
    </row>
    <row r="3178" spans="2:22">
      <c r="B3178" s="318">
        <f t="shared" si="199"/>
        <v>46245</v>
      </c>
      <c r="C3178" s="312">
        <v>6</v>
      </c>
      <c r="D3178" s="368">
        <f>IFERROR((INDEX(METADATA!$T$2:$T$20,MATCH(B3178,METADATA!$S$2:$S$20,0))),0)</f>
        <v>0</v>
      </c>
      <c r="E3178" s="312" t="str">
        <f t="shared" si="196"/>
        <v>LO</v>
      </c>
      <c r="F3178" s="369">
        <f>VLOOKUP(C3178,METADATA!$A$5:$H$29,IF(E3178="HI",2,IF(E3178="LO",6,10))+IF(D3178=1,2,IF(D3178=7,1,(IF(WEEKDAY(B3178)=1,2,IF(WEEKDAY(B3178)=7,1,0))))))</f>
        <v>2</v>
      </c>
      <c r="G3178" s="369">
        <f>VLOOKUP(C3178,METADATA!$J$5:$Q$29,IF(E3178="HI",2,IF(E3178="LO",6,10))+IF(D3178=1,2,IF(D3178=7,1,(IF(WEEKDAY(B3178)=1,2,IF(WEEKDAY(B3178)=7,1,0))))))</f>
        <v>2</v>
      </c>
      <c r="H3178" s="370">
        <v>11267.699768066406</v>
      </c>
      <c r="I3178" s="370">
        <v>2994.3575134277344</v>
      </c>
      <c r="M3178" s="371">
        <f t="shared" si="197"/>
        <v>11658.783597850372</v>
      </c>
      <c r="N3178" s="329">
        <f t="shared" si="198"/>
        <v>0</v>
      </c>
      <c r="T3178" s="331">
        <v>0</v>
      </c>
      <c r="U3178" s="328">
        <f>VLOOKUP(C3178,METADATA!$J$5:$Q$29,IF(E3178="HI",2,IF(E3178="LO",6,10))+IF(T3178=1,2,IF(D3178=7,1,(IF(WEEKDAY(B3178)=1,2,IF(WEEKDAY(B3178)=7,1,0))))))</f>
        <v>2</v>
      </c>
      <c r="V3178" s="328">
        <f>VLOOKUP(C3178,METADATA!$A$5:$H$29,IF(E3178="HI",2,IF(E3178="LO",6,10))+IF(T3178=1,2,IF(D3178=7,1,(IF(WEEKDAY(B3178)=1,2,IF(WEEKDAY(B3178)=7,1,0))))))</f>
        <v>2</v>
      </c>
    </row>
    <row r="3179" spans="2:22">
      <c r="B3179" s="318">
        <f t="shared" si="199"/>
        <v>46245</v>
      </c>
      <c r="C3179" s="312">
        <v>7</v>
      </c>
      <c r="D3179" s="368">
        <f>IFERROR((INDEX(METADATA!$T$2:$T$20,MATCH(B3179,METADATA!$S$2:$S$20,0))),0)</f>
        <v>0</v>
      </c>
      <c r="E3179" s="312" t="str">
        <f t="shared" si="196"/>
        <v>LO</v>
      </c>
      <c r="F3179" s="369">
        <f>VLOOKUP(C3179,METADATA!$A$5:$H$29,IF(E3179="HI",2,IF(E3179="LO",6,10))+IF(D3179=1,2,IF(D3179=7,1,(IF(WEEKDAY(B3179)=1,2,IF(WEEKDAY(B3179)=7,1,0))))))</f>
        <v>1</v>
      </c>
      <c r="G3179" s="369">
        <f>VLOOKUP(C3179,METADATA!$J$5:$Q$29,IF(E3179="HI",2,IF(E3179="LO",6,10))+IF(D3179=1,2,IF(D3179=7,1,(IF(WEEKDAY(B3179)=1,2,IF(WEEKDAY(B3179)=7,1,0))))))</f>
        <v>1</v>
      </c>
      <c r="H3179" s="370">
        <v>11459.774841308594</v>
      </c>
      <c r="I3179" s="370">
        <v>3181.39501953125</v>
      </c>
      <c r="M3179" s="371">
        <f t="shared" si="197"/>
        <v>11893.179292509956</v>
      </c>
      <c r="N3179" s="329">
        <f t="shared" si="198"/>
        <v>0</v>
      </c>
      <c r="T3179" s="331">
        <v>0</v>
      </c>
      <c r="U3179" s="328">
        <f>VLOOKUP(C3179,METADATA!$J$5:$Q$29,IF(E3179="HI",2,IF(E3179="LO",6,10))+IF(T3179=1,2,IF(D3179=7,1,(IF(WEEKDAY(B3179)=1,2,IF(WEEKDAY(B3179)=7,1,0))))))</f>
        <v>1</v>
      </c>
      <c r="V3179" s="328">
        <f>VLOOKUP(C3179,METADATA!$A$5:$H$29,IF(E3179="HI",2,IF(E3179="LO",6,10))+IF(T3179=1,2,IF(D3179=7,1,(IF(WEEKDAY(B3179)=1,2,IF(WEEKDAY(B3179)=7,1,0))))))</f>
        <v>1</v>
      </c>
    </row>
    <row r="3180" spans="2:22">
      <c r="B3180" s="318">
        <f t="shared" si="199"/>
        <v>46245</v>
      </c>
      <c r="C3180" s="312">
        <v>8</v>
      </c>
      <c r="D3180" s="368">
        <f>IFERROR((INDEX(METADATA!$T$2:$T$20,MATCH(B3180,METADATA!$S$2:$S$20,0))),0)</f>
        <v>0</v>
      </c>
      <c r="E3180" s="312" t="str">
        <f t="shared" si="196"/>
        <v>LO</v>
      </c>
      <c r="F3180" s="369">
        <f>VLOOKUP(C3180,METADATA!$A$5:$H$29,IF(E3180="HI",2,IF(E3180="LO",6,10))+IF(D3180=1,2,IF(D3180=7,1,(IF(WEEKDAY(B3180)=1,2,IF(WEEKDAY(B3180)=7,1,0))))))</f>
        <v>1</v>
      </c>
      <c r="G3180" s="369">
        <f>VLOOKUP(C3180,METADATA!$J$5:$Q$29,IF(E3180="HI",2,IF(E3180="LO",6,10))+IF(D3180=1,2,IF(D3180=7,1,(IF(WEEKDAY(B3180)=1,2,IF(WEEKDAY(B3180)=7,1,0))))))</f>
        <v>1</v>
      </c>
      <c r="H3180" s="370">
        <v>13091.874938964844</v>
      </c>
      <c r="I3180" s="370">
        <v>3826.2050323486328</v>
      </c>
      <c r="M3180" s="371">
        <f t="shared" si="197"/>
        <v>13639.539375179271</v>
      </c>
      <c r="N3180" s="329">
        <f t="shared" si="198"/>
        <v>0</v>
      </c>
      <c r="T3180" s="331">
        <v>0</v>
      </c>
      <c r="U3180" s="328">
        <f>VLOOKUP(C3180,METADATA!$J$5:$Q$29,IF(E3180="HI",2,IF(E3180="LO",6,10))+IF(T3180=1,2,IF(D3180=7,1,(IF(WEEKDAY(B3180)=1,2,IF(WEEKDAY(B3180)=7,1,0))))))</f>
        <v>1</v>
      </c>
      <c r="V3180" s="328">
        <f>VLOOKUP(C3180,METADATA!$A$5:$H$29,IF(E3180="HI",2,IF(E3180="LO",6,10))+IF(T3180=1,2,IF(D3180=7,1,(IF(WEEKDAY(B3180)=1,2,IF(WEEKDAY(B3180)=7,1,0))))))</f>
        <v>1</v>
      </c>
    </row>
    <row r="3181" spans="2:22">
      <c r="B3181" s="318">
        <f t="shared" si="199"/>
        <v>46245</v>
      </c>
      <c r="C3181" s="312">
        <v>9</v>
      </c>
      <c r="D3181" s="368">
        <f>IFERROR((INDEX(METADATA!$T$2:$T$20,MATCH(B3181,METADATA!$S$2:$S$20,0))),0)</f>
        <v>0</v>
      </c>
      <c r="E3181" s="312" t="str">
        <f t="shared" si="196"/>
        <v>LO</v>
      </c>
      <c r="F3181" s="369">
        <f>VLOOKUP(C3181,METADATA!$A$5:$H$29,IF(E3181="HI",2,IF(E3181="LO",6,10))+IF(D3181=1,2,IF(D3181=7,1,(IF(WEEKDAY(B3181)=1,2,IF(WEEKDAY(B3181)=7,1,0))))))</f>
        <v>2</v>
      </c>
      <c r="G3181" s="369">
        <f>VLOOKUP(C3181,METADATA!$J$5:$Q$29,IF(E3181="HI",2,IF(E3181="LO",6,10))+IF(D3181=1,2,IF(D3181=7,1,(IF(WEEKDAY(B3181)=1,2,IF(WEEKDAY(B3181)=7,1,0))))))</f>
        <v>2</v>
      </c>
      <c r="H3181" s="370">
        <v>13013.47509765625</v>
      </c>
      <c r="I3181" s="370">
        <v>3621.0599670410156</v>
      </c>
      <c r="M3181" s="371">
        <f t="shared" si="197"/>
        <v>13507.872127105231</v>
      </c>
      <c r="N3181" s="329">
        <f t="shared" si="198"/>
        <v>0</v>
      </c>
      <c r="T3181" s="331">
        <v>0</v>
      </c>
      <c r="U3181" s="328">
        <f>VLOOKUP(C3181,METADATA!$J$5:$Q$29,IF(E3181="HI",2,IF(E3181="LO",6,10))+IF(T3181=1,2,IF(D3181=7,1,(IF(WEEKDAY(B3181)=1,2,IF(WEEKDAY(B3181)=7,1,0))))))</f>
        <v>2</v>
      </c>
      <c r="V3181" s="328">
        <f>VLOOKUP(C3181,METADATA!$A$5:$H$29,IF(E3181="HI",2,IF(E3181="LO",6,10))+IF(T3181=1,2,IF(D3181=7,1,(IF(WEEKDAY(B3181)=1,2,IF(WEEKDAY(B3181)=7,1,0))))))</f>
        <v>2</v>
      </c>
    </row>
    <row r="3182" spans="2:22">
      <c r="B3182" s="318">
        <f t="shared" si="199"/>
        <v>46245</v>
      </c>
      <c r="C3182" s="312">
        <v>10</v>
      </c>
      <c r="D3182" s="368">
        <f>IFERROR((INDEX(METADATA!$T$2:$T$20,MATCH(B3182,METADATA!$S$2:$S$20,0))),0)</f>
        <v>0</v>
      </c>
      <c r="E3182" s="312" t="str">
        <f t="shared" si="196"/>
        <v>LO</v>
      </c>
      <c r="F3182" s="369">
        <f>VLOOKUP(C3182,METADATA!$A$5:$H$29,IF(E3182="HI",2,IF(E3182="LO",6,10))+IF(D3182=1,2,IF(D3182=7,1,(IF(WEEKDAY(B3182)=1,2,IF(WEEKDAY(B3182)=7,1,0))))))</f>
        <v>2</v>
      </c>
      <c r="G3182" s="369">
        <f>VLOOKUP(C3182,METADATA!$J$5:$Q$29,IF(E3182="HI",2,IF(E3182="LO",6,10))+IF(D3182=1,2,IF(D3182=7,1,(IF(WEEKDAY(B3182)=1,2,IF(WEEKDAY(B3182)=7,1,0))))))</f>
        <v>2</v>
      </c>
      <c r="H3182" s="370">
        <v>13649.800231933594</v>
      </c>
      <c r="I3182" s="370">
        <v>4326.8399658203125</v>
      </c>
      <c r="M3182" s="371">
        <f t="shared" si="197"/>
        <v>14319.1686372329</v>
      </c>
      <c r="N3182" s="329">
        <f t="shared" si="198"/>
        <v>231.89989624023474</v>
      </c>
      <c r="T3182" s="331">
        <v>0</v>
      </c>
      <c r="U3182" s="328">
        <f>VLOOKUP(C3182,METADATA!$J$5:$Q$29,IF(E3182="HI",2,IF(E3182="LO",6,10))+IF(T3182=1,2,IF(D3182=7,1,(IF(WEEKDAY(B3182)=1,2,IF(WEEKDAY(B3182)=7,1,0))))))</f>
        <v>2</v>
      </c>
      <c r="V3182" s="328">
        <f>VLOOKUP(C3182,METADATA!$A$5:$H$29,IF(E3182="HI",2,IF(E3182="LO",6,10))+IF(T3182=1,2,IF(D3182=7,1,(IF(WEEKDAY(B3182)=1,2,IF(WEEKDAY(B3182)=7,1,0))))))</f>
        <v>2</v>
      </c>
    </row>
    <row r="3183" spans="2:22">
      <c r="B3183" s="318">
        <f t="shared" si="199"/>
        <v>46245</v>
      </c>
      <c r="C3183" s="312">
        <v>11</v>
      </c>
      <c r="D3183" s="368">
        <f>IFERROR((INDEX(METADATA!$T$2:$T$20,MATCH(B3183,METADATA!$S$2:$S$20,0))),0)</f>
        <v>0</v>
      </c>
      <c r="E3183" s="312" t="str">
        <f t="shared" si="196"/>
        <v>LO</v>
      </c>
      <c r="F3183" s="369">
        <f>VLOOKUP(C3183,METADATA!$A$5:$H$29,IF(E3183="HI",2,IF(E3183="LO",6,10))+IF(D3183=1,2,IF(D3183=7,1,(IF(WEEKDAY(B3183)=1,2,IF(WEEKDAY(B3183)=7,1,0))))))</f>
        <v>2</v>
      </c>
      <c r="G3183" s="369">
        <f>VLOOKUP(C3183,METADATA!$J$5:$Q$29,IF(E3183="HI",2,IF(E3183="LO",6,10))+IF(D3183=1,2,IF(D3183=7,1,(IF(WEEKDAY(B3183)=1,2,IF(WEEKDAY(B3183)=7,1,0))))))</f>
        <v>2</v>
      </c>
      <c r="H3183" s="370">
        <v>13866.29931640625</v>
      </c>
      <c r="I3183" s="370">
        <v>4544.2200012207031</v>
      </c>
      <c r="M3183" s="371">
        <f t="shared" si="197"/>
        <v>14591.922154111935</v>
      </c>
      <c r="N3183" s="329">
        <f t="shared" si="198"/>
        <v>384.33020629882867</v>
      </c>
      <c r="T3183" s="331">
        <v>0</v>
      </c>
      <c r="U3183" s="328">
        <f>VLOOKUP(C3183,METADATA!$J$5:$Q$29,IF(E3183="HI",2,IF(E3183="LO",6,10))+IF(T3183=1,2,IF(D3183=7,1,(IF(WEEKDAY(B3183)=1,2,IF(WEEKDAY(B3183)=7,1,0))))))</f>
        <v>2</v>
      </c>
      <c r="V3183" s="328">
        <f>VLOOKUP(C3183,METADATA!$A$5:$H$29,IF(E3183="HI",2,IF(E3183="LO",6,10))+IF(T3183=1,2,IF(D3183=7,1,(IF(WEEKDAY(B3183)=1,2,IF(WEEKDAY(B3183)=7,1,0))))))</f>
        <v>2</v>
      </c>
    </row>
    <row r="3184" spans="2:22">
      <c r="B3184" s="318">
        <f t="shared" si="199"/>
        <v>46245</v>
      </c>
      <c r="C3184" s="312">
        <v>12</v>
      </c>
      <c r="D3184" s="368">
        <f>IFERROR((INDEX(METADATA!$T$2:$T$20,MATCH(B3184,METADATA!$S$2:$S$20,0))),0)</f>
        <v>0</v>
      </c>
      <c r="E3184" s="312" t="str">
        <f t="shared" si="196"/>
        <v>LO</v>
      </c>
      <c r="F3184" s="369">
        <f>VLOOKUP(C3184,METADATA!$A$5:$H$29,IF(E3184="HI",2,IF(E3184="LO",6,10))+IF(D3184=1,2,IF(D3184=7,1,(IF(WEEKDAY(B3184)=1,2,IF(WEEKDAY(B3184)=7,1,0))))))</f>
        <v>2</v>
      </c>
      <c r="G3184" s="369">
        <f>VLOOKUP(C3184,METADATA!$J$5:$Q$29,IF(E3184="HI",2,IF(E3184="LO",6,10))+IF(D3184=1,2,IF(D3184=7,1,(IF(WEEKDAY(B3184)=1,2,IF(WEEKDAY(B3184)=7,1,0))))))</f>
        <v>2</v>
      </c>
      <c r="H3184" s="370">
        <v>13801.949951171875</v>
      </c>
      <c r="I3184" s="370">
        <v>4693.2900390625</v>
      </c>
      <c r="M3184" s="371">
        <f t="shared" si="197"/>
        <v>14578.092942680007</v>
      </c>
      <c r="N3184" s="329">
        <f t="shared" si="198"/>
        <v>552.70505371093805</v>
      </c>
      <c r="T3184" s="331">
        <v>0</v>
      </c>
      <c r="U3184" s="328">
        <f>VLOOKUP(C3184,METADATA!$J$5:$Q$29,IF(E3184="HI",2,IF(E3184="LO",6,10))+IF(T3184=1,2,IF(D3184=7,1,(IF(WEEKDAY(B3184)=1,2,IF(WEEKDAY(B3184)=7,1,0))))))</f>
        <v>2</v>
      </c>
      <c r="V3184" s="328">
        <f>VLOOKUP(C3184,METADATA!$A$5:$H$29,IF(E3184="HI",2,IF(E3184="LO",6,10))+IF(T3184=1,2,IF(D3184=7,1,(IF(WEEKDAY(B3184)=1,2,IF(WEEKDAY(B3184)=7,1,0))))))</f>
        <v>2</v>
      </c>
    </row>
    <row r="3185" spans="2:22">
      <c r="B3185" s="318">
        <f t="shared" si="199"/>
        <v>46245</v>
      </c>
      <c r="C3185" s="312">
        <v>13</v>
      </c>
      <c r="D3185" s="368">
        <f>IFERROR((INDEX(METADATA!$T$2:$T$20,MATCH(B3185,METADATA!$S$2:$S$20,0))),0)</f>
        <v>0</v>
      </c>
      <c r="E3185" s="312" t="str">
        <f t="shared" si="196"/>
        <v>LO</v>
      </c>
      <c r="F3185" s="369">
        <f>VLOOKUP(C3185,METADATA!$A$5:$H$29,IF(E3185="HI",2,IF(E3185="LO",6,10))+IF(D3185=1,2,IF(D3185=7,1,(IF(WEEKDAY(B3185)=1,2,IF(WEEKDAY(B3185)=7,1,0))))))</f>
        <v>2</v>
      </c>
      <c r="G3185" s="369">
        <f>VLOOKUP(C3185,METADATA!$J$5:$Q$29,IF(E3185="HI",2,IF(E3185="LO",6,10))+IF(D3185=1,2,IF(D3185=7,1,(IF(WEEKDAY(B3185)=1,2,IF(WEEKDAY(B3185)=7,1,0))))))</f>
        <v>2</v>
      </c>
      <c r="H3185" s="370">
        <v>13950.52490234375</v>
      </c>
      <c r="I3185" s="370">
        <v>4620.4550476074219</v>
      </c>
      <c r="M3185" s="371">
        <f t="shared" si="197"/>
        <v>14695.773198368093</v>
      </c>
      <c r="N3185" s="329">
        <f t="shared" si="198"/>
        <v>435.29757690429688</v>
      </c>
      <c r="T3185" s="331">
        <v>0</v>
      </c>
      <c r="U3185" s="328">
        <f>VLOOKUP(C3185,METADATA!$J$5:$Q$29,IF(E3185="HI",2,IF(E3185="LO",6,10))+IF(T3185=1,2,IF(D3185=7,1,(IF(WEEKDAY(B3185)=1,2,IF(WEEKDAY(B3185)=7,1,0))))))</f>
        <v>2</v>
      </c>
      <c r="V3185" s="328">
        <f>VLOOKUP(C3185,METADATA!$A$5:$H$29,IF(E3185="HI",2,IF(E3185="LO",6,10))+IF(T3185=1,2,IF(D3185=7,1,(IF(WEEKDAY(B3185)=1,2,IF(WEEKDAY(B3185)=7,1,0))))))</f>
        <v>2</v>
      </c>
    </row>
    <row r="3186" spans="2:22">
      <c r="B3186" s="318">
        <f t="shared" si="199"/>
        <v>46245</v>
      </c>
      <c r="C3186" s="312">
        <v>14</v>
      </c>
      <c r="D3186" s="368">
        <f>IFERROR((INDEX(METADATA!$T$2:$T$20,MATCH(B3186,METADATA!$S$2:$S$20,0))),0)</f>
        <v>0</v>
      </c>
      <c r="E3186" s="312" t="str">
        <f t="shared" si="196"/>
        <v>LO</v>
      </c>
      <c r="F3186" s="369">
        <f>VLOOKUP(C3186,METADATA!$A$5:$H$29,IF(E3186="HI",2,IF(E3186="LO",6,10))+IF(D3186=1,2,IF(D3186=7,1,(IF(WEEKDAY(B3186)=1,2,IF(WEEKDAY(B3186)=7,1,0))))))</f>
        <v>2</v>
      </c>
      <c r="G3186" s="369">
        <f>VLOOKUP(C3186,METADATA!$J$5:$Q$29,IF(E3186="HI",2,IF(E3186="LO",6,10))+IF(D3186=1,2,IF(D3186=7,1,(IF(WEEKDAY(B3186)=1,2,IF(WEEKDAY(B3186)=7,1,0))))))</f>
        <v>2</v>
      </c>
      <c r="H3186" s="370">
        <v>14008.899780273438</v>
      </c>
      <c r="I3186" s="370">
        <v>4773.9749450683594</v>
      </c>
      <c r="M3186" s="371">
        <f t="shared" si="197"/>
        <v>14800.003710468643</v>
      </c>
      <c r="N3186" s="329">
        <f t="shared" si="198"/>
        <v>571.30501098632794</v>
      </c>
      <c r="T3186" s="331">
        <v>0</v>
      </c>
      <c r="U3186" s="328">
        <f>VLOOKUP(C3186,METADATA!$J$5:$Q$29,IF(E3186="HI",2,IF(E3186="LO",6,10))+IF(T3186=1,2,IF(D3186=7,1,(IF(WEEKDAY(B3186)=1,2,IF(WEEKDAY(B3186)=7,1,0))))))</f>
        <v>2</v>
      </c>
      <c r="V3186" s="328">
        <f>VLOOKUP(C3186,METADATA!$A$5:$H$29,IF(E3186="HI",2,IF(E3186="LO",6,10))+IF(T3186=1,2,IF(D3186=7,1,(IF(WEEKDAY(B3186)=1,2,IF(WEEKDAY(B3186)=7,1,0))))))</f>
        <v>2</v>
      </c>
    </row>
    <row r="3187" spans="2:22">
      <c r="B3187" s="318">
        <f t="shared" si="199"/>
        <v>46245</v>
      </c>
      <c r="C3187" s="312">
        <v>15</v>
      </c>
      <c r="D3187" s="368">
        <f>IFERROR((INDEX(METADATA!$T$2:$T$20,MATCH(B3187,METADATA!$S$2:$S$20,0))),0)</f>
        <v>0</v>
      </c>
      <c r="E3187" s="312" t="str">
        <f t="shared" si="196"/>
        <v>LO</v>
      </c>
      <c r="F3187" s="369">
        <f>VLOOKUP(C3187,METADATA!$A$5:$H$29,IF(E3187="HI",2,IF(E3187="LO",6,10))+IF(D3187=1,2,IF(D3187=7,1,(IF(WEEKDAY(B3187)=1,2,IF(WEEKDAY(B3187)=7,1,0))))))</f>
        <v>2</v>
      </c>
      <c r="G3187" s="369">
        <f>VLOOKUP(C3187,METADATA!$J$5:$Q$29,IF(E3187="HI",2,IF(E3187="LO",6,10))+IF(D3187=1,2,IF(D3187=7,1,(IF(WEEKDAY(B3187)=1,2,IF(WEEKDAY(B3187)=7,1,0))))))</f>
        <v>2</v>
      </c>
      <c r="H3187" s="370">
        <v>13977.575073242188</v>
      </c>
      <c r="I3187" s="370">
        <v>4796.7899780273438</v>
      </c>
      <c r="M3187" s="371">
        <f t="shared" si="197"/>
        <v>14777.746750483475</v>
      </c>
      <c r="N3187" s="329">
        <f t="shared" si="198"/>
        <v>603.5174560546875</v>
      </c>
      <c r="T3187" s="331">
        <v>0</v>
      </c>
      <c r="U3187" s="328">
        <f>VLOOKUP(C3187,METADATA!$J$5:$Q$29,IF(E3187="HI",2,IF(E3187="LO",6,10))+IF(T3187=1,2,IF(D3187=7,1,(IF(WEEKDAY(B3187)=1,2,IF(WEEKDAY(B3187)=7,1,0))))))</f>
        <v>2</v>
      </c>
      <c r="V3187" s="328">
        <f>VLOOKUP(C3187,METADATA!$A$5:$H$29,IF(E3187="HI",2,IF(E3187="LO",6,10))+IF(T3187=1,2,IF(D3187=7,1,(IF(WEEKDAY(B3187)=1,2,IF(WEEKDAY(B3187)=7,1,0))))))</f>
        <v>2</v>
      </c>
    </row>
    <row r="3188" spans="2:22">
      <c r="B3188" s="318">
        <f t="shared" si="199"/>
        <v>46245</v>
      </c>
      <c r="C3188" s="312">
        <v>16</v>
      </c>
      <c r="D3188" s="368">
        <f>IFERROR((INDEX(METADATA!$T$2:$T$20,MATCH(B3188,METADATA!$S$2:$S$20,0))),0)</f>
        <v>0</v>
      </c>
      <c r="E3188" s="312" t="str">
        <f t="shared" si="196"/>
        <v>LO</v>
      </c>
      <c r="F3188" s="369">
        <f>VLOOKUP(C3188,METADATA!$A$5:$H$29,IF(E3188="HI",2,IF(E3188="LO",6,10))+IF(D3188=1,2,IF(D3188=7,1,(IF(WEEKDAY(B3188)=1,2,IF(WEEKDAY(B3188)=7,1,0))))))</f>
        <v>2</v>
      </c>
      <c r="G3188" s="369">
        <f>VLOOKUP(C3188,METADATA!$J$5:$Q$29,IF(E3188="HI",2,IF(E3188="LO",6,10))+IF(D3188=1,2,IF(D3188=7,1,(IF(WEEKDAY(B3188)=1,2,IF(WEEKDAY(B3188)=7,1,0))))))</f>
        <v>2</v>
      </c>
      <c r="H3188" s="370">
        <v>13389.749877929688</v>
      </c>
      <c r="I3188" s="370">
        <v>4471.3949890136719</v>
      </c>
      <c r="M3188" s="371">
        <f t="shared" si="197"/>
        <v>14116.613437411064</v>
      </c>
      <c r="N3188" s="329">
        <f t="shared" si="198"/>
        <v>454.47002563476599</v>
      </c>
      <c r="T3188" s="331">
        <v>0</v>
      </c>
      <c r="U3188" s="328">
        <f>VLOOKUP(C3188,METADATA!$J$5:$Q$29,IF(E3188="HI",2,IF(E3188="LO",6,10))+IF(T3188=1,2,IF(D3188=7,1,(IF(WEEKDAY(B3188)=1,2,IF(WEEKDAY(B3188)=7,1,0))))))</f>
        <v>2</v>
      </c>
      <c r="V3188" s="328">
        <f>VLOOKUP(C3188,METADATA!$A$5:$H$29,IF(E3188="HI",2,IF(E3188="LO",6,10))+IF(T3188=1,2,IF(D3188=7,1,(IF(WEEKDAY(B3188)=1,2,IF(WEEKDAY(B3188)=7,1,0))))))</f>
        <v>2</v>
      </c>
    </row>
    <row r="3189" spans="2:22">
      <c r="B3189" s="318">
        <f t="shared" si="199"/>
        <v>46245</v>
      </c>
      <c r="C3189" s="312">
        <v>17</v>
      </c>
      <c r="D3189" s="368">
        <f>IFERROR((INDEX(METADATA!$T$2:$T$20,MATCH(B3189,METADATA!$S$2:$S$20,0))),0)</f>
        <v>0</v>
      </c>
      <c r="E3189" s="312" t="str">
        <f t="shared" si="196"/>
        <v>LO</v>
      </c>
      <c r="F3189" s="369">
        <f>VLOOKUP(C3189,METADATA!$A$5:$H$29,IF(E3189="HI",2,IF(E3189="LO",6,10))+IF(D3189=1,2,IF(D3189=7,1,(IF(WEEKDAY(B3189)=1,2,IF(WEEKDAY(B3189)=7,1,0))))))</f>
        <v>2</v>
      </c>
      <c r="G3189" s="369">
        <f>VLOOKUP(C3189,METADATA!$J$5:$Q$29,IF(E3189="HI",2,IF(E3189="LO",6,10))+IF(D3189=1,2,IF(D3189=7,1,(IF(WEEKDAY(B3189)=1,2,IF(WEEKDAY(B3189)=7,1,0))))))</f>
        <v>2</v>
      </c>
      <c r="H3189" s="370">
        <v>11673.325256347656</v>
      </c>
      <c r="I3189" s="370">
        <v>3331.8000183105469</v>
      </c>
      <c r="M3189" s="371">
        <f t="shared" si="197"/>
        <v>12139.498091045538</v>
      </c>
      <c r="N3189" s="329">
        <f t="shared" si="198"/>
        <v>0</v>
      </c>
      <c r="T3189" s="331">
        <v>0</v>
      </c>
      <c r="U3189" s="328">
        <f>VLOOKUP(C3189,METADATA!$J$5:$Q$29,IF(E3189="HI",2,IF(E3189="LO",6,10))+IF(T3189=1,2,IF(D3189=7,1,(IF(WEEKDAY(B3189)=1,2,IF(WEEKDAY(B3189)=7,1,0))))))</f>
        <v>2</v>
      </c>
      <c r="V3189" s="328">
        <f>VLOOKUP(C3189,METADATA!$A$5:$H$29,IF(E3189="HI",2,IF(E3189="LO",6,10))+IF(T3189=1,2,IF(D3189=7,1,(IF(WEEKDAY(B3189)=1,2,IF(WEEKDAY(B3189)=7,1,0))))))</f>
        <v>2</v>
      </c>
    </row>
    <row r="3190" spans="2:22">
      <c r="B3190" s="318">
        <f t="shared" si="199"/>
        <v>46245</v>
      </c>
      <c r="C3190" s="312">
        <v>18</v>
      </c>
      <c r="D3190" s="368">
        <f>IFERROR((INDEX(METADATA!$T$2:$T$20,MATCH(B3190,METADATA!$S$2:$S$20,0))),0)</f>
        <v>0</v>
      </c>
      <c r="E3190" s="312" t="str">
        <f t="shared" si="196"/>
        <v>LO</v>
      </c>
      <c r="F3190" s="369">
        <f>VLOOKUP(C3190,METADATA!$A$5:$H$29,IF(E3190="HI",2,IF(E3190="LO",6,10))+IF(D3190=1,2,IF(D3190=7,1,(IF(WEEKDAY(B3190)=1,2,IF(WEEKDAY(B3190)=7,1,0))))))</f>
        <v>1</v>
      </c>
      <c r="G3190" s="369">
        <f>VLOOKUP(C3190,METADATA!$J$5:$Q$29,IF(E3190="HI",2,IF(E3190="LO",6,10))+IF(D3190=1,2,IF(D3190=7,1,(IF(WEEKDAY(B3190)=1,2,IF(WEEKDAY(B3190)=7,1,0))))))</f>
        <v>1</v>
      </c>
      <c r="H3190" s="370">
        <v>12220.874877929688</v>
      </c>
      <c r="I3190" s="370">
        <v>3604.947509765625</v>
      </c>
      <c r="M3190" s="371">
        <f t="shared" si="197"/>
        <v>12741.484581090946</v>
      </c>
      <c r="N3190" s="329">
        <f t="shared" si="198"/>
        <v>0</v>
      </c>
      <c r="T3190" s="331">
        <v>0</v>
      </c>
      <c r="U3190" s="328">
        <f>VLOOKUP(C3190,METADATA!$J$5:$Q$29,IF(E3190="HI",2,IF(E3190="LO",6,10))+IF(T3190=1,2,IF(D3190=7,1,(IF(WEEKDAY(B3190)=1,2,IF(WEEKDAY(B3190)=7,1,0))))))</f>
        <v>1</v>
      </c>
      <c r="V3190" s="328">
        <f>VLOOKUP(C3190,METADATA!$A$5:$H$29,IF(E3190="HI",2,IF(E3190="LO",6,10))+IF(T3190=1,2,IF(D3190=7,1,(IF(WEEKDAY(B3190)=1,2,IF(WEEKDAY(B3190)=7,1,0))))))</f>
        <v>1</v>
      </c>
    </row>
    <row r="3191" spans="2:22">
      <c r="B3191" s="318">
        <f t="shared" si="199"/>
        <v>46245</v>
      </c>
      <c r="C3191" s="312">
        <v>19</v>
      </c>
      <c r="D3191" s="368">
        <f>IFERROR((INDEX(METADATA!$T$2:$T$20,MATCH(B3191,METADATA!$S$2:$S$20,0))),0)</f>
        <v>0</v>
      </c>
      <c r="E3191" s="312" t="str">
        <f t="shared" si="196"/>
        <v>LO</v>
      </c>
      <c r="F3191" s="369">
        <f>VLOOKUP(C3191,METADATA!$A$5:$H$29,IF(E3191="HI",2,IF(E3191="LO",6,10))+IF(D3191=1,2,IF(D3191=7,1,(IF(WEEKDAY(B3191)=1,2,IF(WEEKDAY(B3191)=7,1,0))))))</f>
        <v>1</v>
      </c>
      <c r="G3191" s="369">
        <f>VLOOKUP(C3191,METADATA!$J$5:$Q$29,IF(E3191="HI",2,IF(E3191="LO",6,10))+IF(D3191=1,2,IF(D3191=7,1,(IF(WEEKDAY(B3191)=1,2,IF(WEEKDAY(B3191)=7,1,0))))))</f>
        <v>1</v>
      </c>
      <c r="H3191" s="370">
        <v>13405.850036621094</v>
      </c>
      <c r="I3191" s="370">
        <v>4383.2649230957031</v>
      </c>
      <c r="M3191" s="371">
        <f t="shared" si="197"/>
        <v>14104.248529801755</v>
      </c>
      <c r="N3191" s="329">
        <f t="shared" si="198"/>
        <v>361.50991210937536</v>
      </c>
      <c r="T3191" s="331">
        <v>0</v>
      </c>
      <c r="U3191" s="328">
        <f>VLOOKUP(C3191,METADATA!$J$5:$Q$29,IF(E3191="HI",2,IF(E3191="LO",6,10))+IF(T3191=1,2,IF(D3191=7,1,(IF(WEEKDAY(B3191)=1,2,IF(WEEKDAY(B3191)=7,1,0))))))</f>
        <v>1</v>
      </c>
      <c r="V3191" s="328">
        <f>VLOOKUP(C3191,METADATA!$A$5:$H$29,IF(E3191="HI",2,IF(E3191="LO",6,10))+IF(T3191=1,2,IF(D3191=7,1,(IF(WEEKDAY(B3191)=1,2,IF(WEEKDAY(B3191)=7,1,0))))))</f>
        <v>1</v>
      </c>
    </row>
    <row r="3192" spans="2:22">
      <c r="B3192" s="318">
        <f t="shared" si="199"/>
        <v>46245</v>
      </c>
      <c r="C3192" s="312">
        <v>20</v>
      </c>
      <c r="D3192" s="368">
        <f>IFERROR((INDEX(METADATA!$T$2:$T$20,MATCH(B3192,METADATA!$S$2:$S$20,0))),0)</f>
        <v>0</v>
      </c>
      <c r="E3192" s="312" t="str">
        <f t="shared" si="196"/>
        <v>LO</v>
      </c>
      <c r="F3192" s="369">
        <f>VLOOKUP(C3192,METADATA!$A$5:$H$29,IF(E3192="HI",2,IF(E3192="LO",6,10))+IF(D3192=1,2,IF(D3192=7,1,(IF(WEEKDAY(B3192)=1,2,IF(WEEKDAY(B3192)=7,1,0))))))</f>
        <v>1</v>
      </c>
      <c r="G3192" s="369">
        <f>VLOOKUP(C3192,METADATA!$J$5:$Q$29,IF(E3192="HI",2,IF(E3192="LO",6,10))+IF(D3192=1,2,IF(D3192=7,1,(IF(WEEKDAY(B3192)=1,2,IF(WEEKDAY(B3192)=7,1,0))))))</f>
        <v>1</v>
      </c>
      <c r="H3192" s="370">
        <v>13491.950317382813</v>
      </c>
      <c r="I3192" s="370">
        <v>4459.7650146484375</v>
      </c>
      <c r="M3192" s="371">
        <f t="shared" si="197"/>
        <v>14209.934107961526</v>
      </c>
      <c r="N3192" s="329">
        <f t="shared" si="198"/>
        <v>412.17991943359402</v>
      </c>
      <c r="T3192" s="331">
        <v>0</v>
      </c>
      <c r="U3192" s="328">
        <f>VLOOKUP(C3192,METADATA!$J$5:$Q$29,IF(E3192="HI",2,IF(E3192="LO",6,10))+IF(T3192=1,2,IF(D3192=7,1,(IF(WEEKDAY(B3192)=1,2,IF(WEEKDAY(B3192)=7,1,0))))))</f>
        <v>1</v>
      </c>
      <c r="V3192" s="328">
        <f>VLOOKUP(C3192,METADATA!$A$5:$H$29,IF(E3192="HI",2,IF(E3192="LO",6,10))+IF(T3192=1,2,IF(D3192=7,1,(IF(WEEKDAY(B3192)=1,2,IF(WEEKDAY(B3192)=7,1,0))))))</f>
        <v>1</v>
      </c>
    </row>
    <row r="3193" spans="2:22">
      <c r="B3193" s="318">
        <f t="shared" si="199"/>
        <v>46245</v>
      </c>
      <c r="C3193" s="312">
        <v>21</v>
      </c>
      <c r="D3193" s="368">
        <f>IFERROR((INDEX(METADATA!$T$2:$T$20,MATCH(B3193,METADATA!$S$2:$S$20,0))),0)</f>
        <v>0</v>
      </c>
      <c r="E3193" s="312" t="str">
        <f t="shared" si="196"/>
        <v>LO</v>
      </c>
      <c r="F3193" s="369">
        <f>VLOOKUP(C3193,METADATA!$A$5:$H$29,IF(E3193="HI",2,IF(E3193="LO",6,10))+IF(D3193=1,2,IF(D3193=7,1,(IF(WEEKDAY(B3193)=1,2,IF(WEEKDAY(B3193)=7,1,0))))))</f>
        <v>2</v>
      </c>
      <c r="G3193" s="369">
        <f>VLOOKUP(C3193,METADATA!$J$5:$Q$29,IF(E3193="HI",2,IF(E3193="LO",6,10))+IF(D3193=1,2,IF(D3193=7,1,(IF(WEEKDAY(B3193)=1,2,IF(WEEKDAY(B3193)=7,1,0))))))</f>
        <v>2</v>
      </c>
      <c r="H3193" s="370">
        <v>13605.599792480469</v>
      </c>
      <c r="I3193" s="370">
        <v>4669.7398681640625</v>
      </c>
      <c r="M3193" s="371">
        <f t="shared" si="197"/>
        <v>14384.67295941988</v>
      </c>
      <c r="N3193" s="329">
        <f t="shared" si="198"/>
        <v>588.05993041992224</v>
      </c>
      <c r="T3193" s="331">
        <v>0</v>
      </c>
      <c r="U3193" s="328">
        <f>VLOOKUP(C3193,METADATA!$J$5:$Q$29,IF(E3193="HI",2,IF(E3193="LO",6,10))+IF(T3193=1,2,IF(D3193=7,1,(IF(WEEKDAY(B3193)=1,2,IF(WEEKDAY(B3193)=7,1,0))))))</f>
        <v>2</v>
      </c>
      <c r="V3193" s="328">
        <f>VLOOKUP(C3193,METADATA!$A$5:$H$29,IF(E3193="HI",2,IF(E3193="LO",6,10))+IF(T3193=1,2,IF(D3193=7,1,(IF(WEEKDAY(B3193)=1,2,IF(WEEKDAY(B3193)=7,1,0))))))</f>
        <v>2</v>
      </c>
    </row>
    <row r="3194" spans="2:22">
      <c r="B3194" s="318">
        <f t="shared" si="199"/>
        <v>46245</v>
      </c>
      <c r="C3194" s="312">
        <v>22</v>
      </c>
      <c r="D3194" s="368">
        <f>IFERROR((INDEX(METADATA!$T$2:$T$20,MATCH(B3194,METADATA!$S$2:$S$20,0))),0)</f>
        <v>0</v>
      </c>
      <c r="E3194" s="312" t="str">
        <f t="shared" si="196"/>
        <v>LO</v>
      </c>
      <c r="F3194" s="369">
        <f>VLOOKUP(C3194,METADATA!$A$5:$H$29,IF(E3194="HI",2,IF(E3194="LO",6,10))+IF(D3194=1,2,IF(D3194=7,1,(IF(WEEKDAY(B3194)=1,2,IF(WEEKDAY(B3194)=7,1,0))))))</f>
        <v>3</v>
      </c>
      <c r="G3194" s="369">
        <f>VLOOKUP(C3194,METADATA!$J$5:$Q$29,IF(E3194="HI",2,IF(E3194="LO",6,10))+IF(D3194=1,2,IF(D3194=7,1,(IF(WEEKDAY(B3194)=1,2,IF(WEEKDAY(B3194)=7,1,0))))))</f>
        <v>3</v>
      </c>
      <c r="H3194" s="370">
        <v>13464.400146484375</v>
      </c>
      <c r="I3194" s="370">
        <v>4562.6299743652344</v>
      </c>
      <c r="M3194" s="371">
        <f t="shared" si="197"/>
        <v>14216.457490796522</v>
      </c>
      <c r="N3194" s="329">
        <f t="shared" si="198"/>
        <v>523.30993041992224</v>
      </c>
      <c r="T3194" s="331">
        <v>0</v>
      </c>
      <c r="U3194" s="328">
        <f>VLOOKUP(C3194,METADATA!$J$5:$Q$29,IF(E3194="HI",2,IF(E3194="LO",6,10))+IF(T3194=1,2,IF(D3194=7,1,(IF(WEEKDAY(B3194)=1,2,IF(WEEKDAY(B3194)=7,1,0))))))</f>
        <v>3</v>
      </c>
      <c r="V3194" s="328">
        <f>VLOOKUP(C3194,METADATA!$A$5:$H$29,IF(E3194="HI",2,IF(E3194="LO",6,10))+IF(T3194=1,2,IF(D3194=7,1,(IF(WEEKDAY(B3194)=1,2,IF(WEEKDAY(B3194)=7,1,0))))))</f>
        <v>3</v>
      </c>
    </row>
    <row r="3195" spans="2:22">
      <c r="B3195" s="318">
        <f t="shared" si="199"/>
        <v>46245</v>
      </c>
      <c r="C3195" s="312">
        <v>23</v>
      </c>
      <c r="D3195" s="368">
        <f>IFERROR((INDEX(METADATA!$T$2:$T$20,MATCH(B3195,METADATA!$S$2:$S$20,0))),0)</f>
        <v>0</v>
      </c>
      <c r="E3195" s="312" t="str">
        <f t="shared" si="196"/>
        <v>LO</v>
      </c>
      <c r="F3195" s="369">
        <f>VLOOKUP(C3195,METADATA!$A$5:$H$29,IF(E3195="HI",2,IF(E3195="LO",6,10))+IF(D3195=1,2,IF(D3195=7,1,(IF(WEEKDAY(B3195)=1,2,IF(WEEKDAY(B3195)=7,1,0))))))</f>
        <v>3</v>
      </c>
      <c r="G3195" s="369">
        <f>VLOOKUP(C3195,METADATA!$J$5:$Q$29,IF(E3195="HI",2,IF(E3195="LO",6,10))+IF(D3195=1,2,IF(D3195=7,1,(IF(WEEKDAY(B3195)=1,2,IF(WEEKDAY(B3195)=7,1,0))))))</f>
        <v>3</v>
      </c>
      <c r="H3195" s="370">
        <v>13452.4501953125</v>
      </c>
      <c r="I3195" s="370">
        <v>4608.6250305175781</v>
      </c>
      <c r="M3195" s="371">
        <f t="shared" si="197"/>
        <v>14219.98034208474</v>
      </c>
      <c r="N3195" s="329">
        <f t="shared" si="198"/>
        <v>572.8899719238284</v>
      </c>
      <c r="T3195" s="331">
        <v>0</v>
      </c>
      <c r="U3195" s="328">
        <f>VLOOKUP(C3195,METADATA!$J$5:$Q$29,IF(E3195="HI",2,IF(E3195="LO",6,10))+IF(T3195=1,2,IF(D3195=7,1,(IF(WEEKDAY(B3195)=1,2,IF(WEEKDAY(B3195)=7,1,0))))))</f>
        <v>3</v>
      </c>
      <c r="V3195" s="328">
        <f>VLOOKUP(C3195,METADATA!$A$5:$H$29,IF(E3195="HI",2,IF(E3195="LO",6,10))+IF(T3195=1,2,IF(D3195=7,1,(IF(WEEKDAY(B3195)=1,2,IF(WEEKDAY(B3195)=7,1,0))))))</f>
        <v>3</v>
      </c>
    </row>
    <row r="3196" spans="2:22">
      <c r="B3196" s="318">
        <f t="shared" si="199"/>
        <v>46246</v>
      </c>
      <c r="C3196" s="312">
        <v>0</v>
      </c>
      <c r="D3196" s="368">
        <f>IFERROR((INDEX(METADATA!$T$2:$T$20,MATCH(B3196,METADATA!$S$2:$S$20,0))),0)</f>
        <v>0</v>
      </c>
      <c r="E3196" s="312" t="str">
        <f t="shared" si="196"/>
        <v>LO</v>
      </c>
      <c r="F3196" s="369">
        <f>VLOOKUP(C3196,METADATA!$A$5:$H$29,IF(E3196="HI",2,IF(E3196="LO",6,10))+IF(D3196=1,2,IF(D3196=7,1,(IF(WEEKDAY(B3196)=1,2,IF(WEEKDAY(B3196)=7,1,0))))))</f>
        <v>3</v>
      </c>
      <c r="G3196" s="369">
        <f>VLOOKUP(C3196,METADATA!$J$5:$Q$29,IF(E3196="HI",2,IF(E3196="LO",6,10))+IF(D3196=1,2,IF(D3196=7,1,(IF(WEEKDAY(B3196)=1,2,IF(WEEKDAY(B3196)=7,1,0))))))</f>
        <v>3</v>
      </c>
      <c r="H3196" s="370">
        <v>13407.099914550781</v>
      </c>
      <c r="I3196" s="370">
        <v>4650.3050231933594</v>
      </c>
      <c r="M3196" s="371">
        <f t="shared" si="197"/>
        <v>14190.689374638745</v>
      </c>
      <c r="N3196" s="329">
        <f t="shared" si="198"/>
        <v>628.175048828125</v>
      </c>
      <c r="T3196" s="331">
        <v>0</v>
      </c>
      <c r="U3196" s="328">
        <f>VLOOKUP(C3196,METADATA!$J$5:$Q$29,IF(E3196="HI",2,IF(E3196="LO",6,10))+IF(T3196=1,2,IF(D3196=7,1,(IF(WEEKDAY(B3196)=1,2,IF(WEEKDAY(B3196)=7,1,0))))))</f>
        <v>3</v>
      </c>
      <c r="V3196" s="328">
        <f>VLOOKUP(C3196,METADATA!$A$5:$H$29,IF(E3196="HI",2,IF(E3196="LO",6,10))+IF(T3196=1,2,IF(D3196=7,1,(IF(WEEKDAY(B3196)=1,2,IF(WEEKDAY(B3196)=7,1,0))))))</f>
        <v>3</v>
      </c>
    </row>
    <row r="3197" spans="2:22">
      <c r="B3197" s="318">
        <f t="shared" si="199"/>
        <v>46246</v>
      </c>
      <c r="C3197" s="312">
        <v>1</v>
      </c>
      <c r="D3197" s="368">
        <f>IFERROR((INDEX(METADATA!$T$2:$T$20,MATCH(B3197,METADATA!$S$2:$S$20,0))),0)</f>
        <v>0</v>
      </c>
      <c r="E3197" s="312" t="str">
        <f t="shared" si="196"/>
        <v>LO</v>
      </c>
      <c r="F3197" s="369">
        <f>VLOOKUP(C3197,METADATA!$A$5:$H$29,IF(E3197="HI",2,IF(E3197="LO",6,10))+IF(D3197=1,2,IF(D3197=7,1,(IF(WEEKDAY(B3197)=1,2,IF(WEEKDAY(B3197)=7,1,0))))))</f>
        <v>3</v>
      </c>
      <c r="G3197" s="369">
        <f>VLOOKUP(C3197,METADATA!$J$5:$Q$29,IF(E3197="HI",2,IF(E3197="LO",6,10))+IF(D3197=1,2,IF(D3197=7,1,(IF(WEEKDAY(B3197)=1,2,IF(WEEKDAY(B3197)=7,1,0))))))</f>
        <v>3</v>
      </c>
      <c r="H3197" s="370">
        <v>13439.297607421875</v>
      </c>
      <c r="I3197" s="370">
        <v>4657.9050903320313</v>
      </c>
      <c r="M3197" s="371">
        <f t="shared" si="197"/>
        <v>14223.600107265262</v>
      </c>
      <c r="N3197" s="329">
        <f t="shared" si="198"/>
        <v>626.11580810546911</v>
      </c>
      <c r="T3197" s="331">
        <v>0</v>
      </c>
      <c r="U3197" s="328">
        <f>VLOOKUP(C3197,METADATA!$J$5:$Q$29,IF(E3197="HI",2,IF(E3197="LO",6,10))+IF(T3197=1,2,IF(D3197=7,1,(IF(WEEKDAY(B3197)=1,2,IF(WEEKDAY(B3197)=7,1,0))))))</f>
        <v>3</v>
      </c>
      <c r="V3197" s="328">
        <f>VLOOKUP(C3197,METADATA!$A$5:$H$29,IF(E3197="HI",2,IF(E3197="LO",6,10))+IF(T3197=1,2,IF(D3197=7,1,(IF(WEEKDAY(B3197)=1,2,IF(WEEKDAY(B3197)=7,1,0))))))</f>
        <v>3</v>
      </c>
    </row>
    <row r="3198" spans="2:22">
      <c r="B3198" s="318">
        <f t="shared" si="199"/>
        <v>46246</v>
      </c>
      <c r="C3198" s="312">
        <v>2</v>
      </c>
      <c r="D3198" s="368">
        <f>IFERROR((INDEX(METADATA!$T$2:$T$20,MATCH(B3198,METADATA!$S$2:$S$20,0))),0)</f>
        <v>0</v>
      </c>
      <c r="E3198" s="312" t="str">
        <f t="shared" si="196"/>
        <v>LO</v>
      </c>
      <c r="F3198" s="369">
        <f>VLOOKUP(C3198,METADATA!$A$5:$H$29,IF(E3198="HI",2,IF(E3198="LO",6,10))+IF(D3198=1,2,IF(D3198=7,1,(IF(WEEKDAY(B3198)=1,2,IF(WEEKDAY(B3198)=7,1,0))))))</f>
        <v>3</v>
      </c>
      <c r="G3198" s="369">
        <f>VLOOKUP(C3198,METADATA!$J$5:$Q$29,IF(E3198="HI",2,IF(E3198="LO",6,10))+IF(D3198=1,2,IF(D3198=7,1,(IF(WEEKDAY(B3198)=1,2,IF(WEEKDAY(B3198)=7,1,0))))))</f>
        <v>3</v>
      </c>
      <c r="H3198" s="370">
        <v>13423.574523925781</v>
      </c>
      <c r="I3198" s="370">
        <v>4641.8450012207031</v>
      </c>
      <c r="M3198" s="371">
        <f t="shared" si="197"/>
        <v>14203.488234048244</v>
      </c>
      <c r="N3198" s="329">
        <f t="shared" si="198"/>
        <v>614.77264404296875</v>
      </c>
      <c r="T3198" s="331">
        <v>0</v>
      </c>
      <c r="U3198" s="328">
        <f>VLOOKUP(C3198,METADATA!$J$5:$Q$29,IF(E3198="HI",2,IF(E3198="LO",6,10))+IF(T3198=1,2,IF(D3198=7,1,(IF(WEEKDAY(B3198)=1,2,IF(WEEKDAY(B3198)=7,1,0))))))</f>
        <v>3</v>
      </c>
      <c r="V3198" s="328">
        <f>VLOOKUP(C3198,METADATA!$A$5:$H$29,IF(E3198="HI",2,IF(E3198="LO",6,10))+IF(T3198=1,2,IF(D3198=7,1,(IF(WEEKDAY(B3198)=1,2,IF(WEEKDAY(B3198)=7,1,0))))))</f>
        <v>3</v>
      </c>
    </row>
    <row r="3199" spans="2:22">
      <c r="B3199" s="318">
        <f t="shared" si="199"/>
        <v>46246</v>
      </c>
      <c r="C3199" s="312">
        <v>3</v>
      </c>
      <c r="D3199" s="368">
        <f>IFERROR((INDEX(METADATA!$T$2:$T$20,MATCH(B3199,METADATA!$S$2:$S$20,0))),0)</f>
        <v>0</v>
      </c>
      <c r="E3199" s="312" t="str">
        <f t="shared" si="196"/>
        <v>LO</v>
      </c>
      <c r="F3199" s="369">
        <f>VLOOKUP(C3199,METADATA!$A$5:$H$29,IF(E3199="HI",2,IF(E3199="LO",6,10))+IF(D3199=1,2,IF(D3199=7,1,(IF(WEEKDAY(B3199)=1,2,IF(WEEKDAY(B3199)=7,1,0))))))</f>
        <v>3</v>
      </c>
      <c r="G3199" s="369">
        <f>VLOOKUP(C3199,METADATA!$J$5:$Q$29,IF(E3199="HI",2,IF(E3199="LO",6,10))+IF(D3199=1,2,IF(D3199=7,1,(IF(WEEKDAY(B3199)=1,2,IF(WEEKDAY(B3199)=7,1,0))))))</f>
        <v>3</v>
      </c>
      <c r="H3199" s="370">
        <v>13712.350036621094</v>
      </c>
      <c r="I3199" s="370">
        <v>4798.6650085449219</v>
      </c>
      <c r="M3199" s="371">
        <f t="shared" si="197"/>
        <v>14527.757204436477</v>
      </c>
      <c r="N3199" s="329">
        <f t="shared" si="198"/>
        <v>684.9599975585943</v>
      </c>
      <c r="T3199" s="331">
        <v>0</v>
      </c>
      <c r="U3199" s="328">
        <f>VLOOKUP(C3199,METADATA!$J$5:$Q$29,IF(E3199="HI",2,IF(E3199="LO",6,10))+IF(T3199=1,2,IF(D3199=7,1,(IF(WEEKDAY(B3199)=1,2,IF(WEEKDAY(B3199)=7,1,0))))))</f>
        <v>3</v>
      </c>
      <c r="V3199" s="328">
        <f>VLOOKUP(C3199,METADATA!$A$5:$H$29,IF(E3199="HI",2,IF(E3199="LO",6,10))+IF(T3199=1,2,IF(D3199=7,1,(IF(WEEKDAY(B3199)=1,2,IF(WEEKDAY(B3199)=7,1,0))))))</f>
        <v>3</v>
      </c>
    </row>
    <row r="3200" spans="2:22">
      <c r="B3200" s="318">
        <f t="shared" si="199"/>
        <v>46246</v>
      </c>
      <c r="C3200" s="312">
        <v>4</v>
      </c>
      <c r="D3200" s="368">
        <f>IFERROR((INDEX(METADATA!$T$2:$T$20,MATCH(B3200,METADATA!$S$2:$S$20,0))),0)</f>
        <v>0</v>
      </c>
      <c r="E3200" s="312" t="str">
        <f t="shared" si="196"/>
        <v>LO</v>
      </c>
      <c r="F3200" s="369">
        <f>VLOOKUP(C3200,METADATA!$A$5:$H$29,IF(E3200="HI",2,IF(E3200="LO",6,10))+IF(D3200=1,2,IF(D3200=7,1,(IF(WEEKDAY(B3200)=1,2,IF(WEEKDAY(B3200)=7,1,0))))))</f>
        <v>3</v>
      </c>
      <c r="G3200" s="369">
        <f>VLOOKUP(C3200,METADATA!$J$5:$Q$29,IF(E3200="HI",2,IF(E3200="LO",6,10))+IF(D3200=1,2,IF(D3200=7,1,(IF(WEEKDAY(B3200)=1,2,IF(WEEKDAY(B3200)=7,1,0))))))</f>
        <v>3</v>
      </c>
      <c r="H3200" s="370">
        <v>13635.450073242188</v>
      </c>
      <c r="I3200" s="370">
        <v>4621.2099914550781</v>
      </c>
      <c r="M3200" s="371">
        <f t="shared" si="197"/>
        <v>14397.259478282824</v>
      </c>
      <c r="N3200" s="329">
        <f t="shared" si="198"/>
        <v>530.57496948242215</v>
      </c>
      <c r="T3200" s="331">
        <v>0</v>
      </c>
      <c r="U3200" s="328">
        <f>VLOOKUP(C3200,METADATA!$J$5:$Q$29,IF(E3200="HI",2,IF(E3200="LO",6,10))+IF(T3200=1,2,IF(D3200=7,1,(IF(WEEKDAY(B3200)=1,2,IF(WEEKDAY(B3200)=7,1,0))))))</f>
        <v>3</v>
      </c>
      <c r="V3200" s="328">
        <f>VLOOKUP(C3200,METADATA!$A$5:$H$29,IF(E3200="HI",2,IF(E3200="LO",6,10))+IF(T3200=1,2,IF(D3200=7,1,(IF(WEEKDAY(B3200)=1,2,IF(WEEKDAY(B3200)=7,1,0))))))</f>
        <v>3</v>
      </c>
    </row>
    <row r="3201" spans="2:22">
      <c r="B3201" s="318">
        <f t="shared" si="199"/>
        <v>46246</v>
      </c>
      <c r="C3201" s="312">
        <v>5</v>
      </c>
      <c r="D3201" s="368">
        <f>IFERROR((INDEX(METADATA!$T$2:$T$20,MATCH(B3201,METADATA!$S$2:$S$20,0))),0)</f>
        <v>0</v>
      </c>
      <c r="E3201" s="312" t="str">
        <f t="shared" si="196"/>
        <v>LO</v>
      </c>
      <c r="F3201" s="369">
        <f>VLOOKUP(C3201,METADATA!$A$5:$H$29,IF(E3201="HI",2,IF(E3201="LO",6,10))+IF(D3201=1,2,IF(D3201=7,1,(IF(WEEKDAY(B3201)=1,2,IF(WEEKDAY(B3201)=7,1,0))))))</f>
        <v>3</v>
      </c>
      <c r="G3201" s="369">
        <f>VLOOKUP(C3201,METADATA!$J$5:$Q$29,IF(E3201="HI",2,IF(E3201="LO",6,10))+IF(D3201=1,2,IF(D3201=7,1,(IF(WEEKDAY(B3201)=1,2,IF(WEEKDAY(B3201)=7,1,0))))))</f>
        <v>3</v>
      </c>
      <c r="H3201" s="370">
        <v>13448.624877929688</v>
      </c>
      <c r="I3201" s="370">
        <v>4401.625</v>
      </c>
      <c r="M3201" s="371">
        <f t="shared" si="197"/>
        <v>14150.611779986555</v>
      </c>
      <c r="N3201" s="329">
        <f t="shared" si="198"/>
        <v>367.03753662109375</v>
      </c>
      <c r="T3201" s="331">
        <v>0</v>
      </c>
      <c r="U3201" s="328">
        <f>VLOOKUP(C3201,METADATA!$J$5:$Q$29,IF(E3201="HI",2,IF(E3201="LO",6,10))+IF(T3201=1,2,IF(D3201=7,1,(IF(WEEKDAY(B3201)=1,2,IF(WEEKDAY(B3201)=7,1,0))))))</f>
        <v>3</v>
      </c>
      <c r="V3201" s="328">
        <f>VLOOKUP(C3201,METADATA!$A$5:$H$29,IF(E3201="HI",2,IF(E3201="LO",6,10))+IF(T3201=1,2,IF(D3201=7,1,(IF(WEEKDAY(B3201)=1,2,IF(WEEKDAY(B3201)=7,1,0))))))</f>
        <v>3</v>
      </c>
    </row>
    <row r="3202" spans="2:22">
      <c r="B3202" s="318">
        <f t="shared" si="199"/>
        <v>46246</v>
      </c>
      <c r="C3202" s="312">
        <v>6</v>
      </c>
      <c r="D3202" s="368">
        <f>IFERROR((INDEX(METADATA!$T$2:$T$20,MATCH(B3202,METADATA!$S$2:$S$20,0))),0)</f>
        <v>0</v>
      </c>
      <c r="E3202" s="312" t="str">
        <f t="shared" si="196"/>
        <v>LO</v>
      </c>
      <c r="F3202" s="369">
        <f>VLOOKUP(C3202,METADATA!$A$5:$H$29,IF(E3202="HI",2,IF(E3202="LO",6,10))+IF(D3202=1,2,IF(D3202=7,1,(IF(WEEKDAY(B3202)=1,2,IF(WEEKDAY(B3202)=7,1,0))))))</f>
        <v>2</v>
      </c>
      <c r="G3202" s="369">
        <f>VLOOKUP(C3202,METADATA!$J$5:$Q$29,IF(E3202="HI",2,IF(E3202="LO",6,10))+IF(D3202=1,2,IF(D3202=7,1,(IF(WEEKDAY(B3202)=1,2,IF(WEEKDAY(B3202)=7,1,0))))))</f>
        <v>2</v>
      </c>
      <c r="H3202" s="370">
        <v>13377.550048828125</v>
      </c>
      <c r="I3202" s="370">
        <v>4287.9100341796875</v>
      </c>
      <c r="M3202" s="371">
        <f t="shared" si="197"/>
        <v>14047.954220103375</v>
      </c>
      <c r="N3202" s="329">
        <f t="shared" si="198"/>
        <v>274.64501953125</v>
      </c>
      <c r="T3202" s="331">
        <v>0</v>
      </c>
      <c r="U3202" s="328">
        <f>VLOOKUP(C3202,METADATA!$J$5:$Q$29,IF(E3202="HI",2,IF(E3202="LO",6,10))+IF(T3202=1,2,IF(D3202=7,1,(IF(WEEKDAY(B3202)=1,2,IF(WEEKDAY(B3202)=7,1,0))))))</f>
        <v>2</v>
      </c>
      <c r="V3202" s="328">
        <f>VLOOKUP(C3202,METADATA!$A$5:$H$29,IF(E3202="HI",2,IF(E3202="LO",6,10))+IF(T3202=1,2,IF(D3202=7,1,(IF(WEEKDAY(B3202)=1,2,IF(WEEKDAY(B3202)=7,1,0))))))</f>
        <v>2</v>
      </c>
    </row>
    <row r="3203" spans="2:22">
      <c r="B3203" s="318">
        <f t="shared" si="199"/>
        <v>46246</v>
      </c>
      <c r="C3203" s="312">
        <v>7</v>
      </c>
      <c r="D3203" s="368">
        <f>IFERROR((INDEX(METADATA!$T$2:$T$20,MATCH(B3203,METADATA!$S$2:$S$20,0))),0)</f>
        <v>0</v>
      </c>
      <c r="E3203" s="312" t="str">
        <f t="shared" si="196"/>
        <v>LO</v>
      </c>
      <c r="F3203" s="369">
        <f>VLOOKUP(C3203,METADATA!$A$5:$H$29,IF(E3203="HI",2,IF(E3203="LO",6,10))+IF(D3203=1,2,IF(D3203=7,1,(IF(WEEKDAY(B3203)=1,2,IF(WEEKDAY(B3203)=7,1,0))))))</f>
        <v>1</v>
      </c>
      <c r="G3203" s="369">
        <f>VLOOKUP(C3203,METADATA!$J$5:$Q$29,IF(E3203="HI",2,IF(E3203="LO",6,10))+IF(D3203=1,2,IF(D3203=7,1,(IF(WEEKDAY(B3203)=1,2,IF(WEEKDAY(B3203)=7,1,0))))))</f>
        <v>1</v>
      </c>
      <c r="H3203" s="370">
        <v>10507.400329589844</v>
      </c>
      <c r="I3203" s="370">
        <v>3115.29248046875</v>
      </c>
      <c r="M3203" s="371">
        <f t="shared" si="197"/>
        <v>10959.494008626945</v>
      </c>
      <c r="N3203" s="329">
        <f t="shared" si="198"/>
        <v>0</v>
      </c>
      <c r="T3203" s="331">
        <v>0</v>
      </c>
      <c r="U3203" s="328">
        <f>VLOOKUP(C3203,METADATA!$J$5:$Q$29,IF(E3203="HI",2,IF(E3203="LO",6,10))+IF(T3203=1,2,IF(D3203=7,1,(IF(WEEKDAY(B3203)=1,2,IF(WEEKDAY(B3203)=7,1,0))))))</f>
        <v>1</v>
      </c>
      <c r="V3203" s="328">
        <f>VLOOKUP(C3203,METADATA!$A$5:$H$29,IF(E3203="HI",2,IF(E3203="LO",6,10))+IF(T3203=1,2,IF(D3203=7,1,(IF(WEEKDAY(B3203)=1,2,IF(WEEKDAY(B3203)=7,1,0))))))</f>
        <v>1</v>
      </c>
    </row>
    <row r="3204" spans="2:22">
      <c r="B3204" s="318">
        <f t="shared" si="199"/>
        <v>46246</v>
      </c>
      <c r="C3204" s="312">
        <v>8</v>
      </c>
      <c r="D3204" s="368">
        <f>IFERROR((INDEX(METADATA!$T$2:$T$20,MATCH(B3204,METADATA!$S$2:$S$20,0))),0)</f>
        <v>0</v>
      </c>
      <c r="E3204" s="312" t="str">
        <f t="shared" ref="E3204:E3267" si="200">IF(B3204="","",IF(AND(MONTH(B3204)&gt;=MONTH($Z$9),MONTH(B3204)&lt;=MONTH($Z$11)),"HI","LO"))</f>
        <v>LO</v>
      </c>
      <c r="F3204" s="369">
        <f>VLOOKUP(C3204,METADATA!$A$5:$H$29,IF(E3204="HI",2,IF(E3204="LO",6,10))+IF(D3204=1,2,IF(D3204=7,1,(IF(WEEKDAY(B3204)=1,2,IF(WEEKDAY(B3204)=7,1,0))))))</f>
        <v>1</v>
      </c>
      <c r="G3204" s="369">
        <f>VLOOKUP(C3204,METADATA!$J$5:$Q$29,IF(E3204="HI",2,IF(E3204="LO",6,10))+IF(D3204=1,2,IF(D3204=7,1,(IF(WEEKDAY(B3204)=1,2,IF(WEEKDAY(B3204)=7,1,0))))))</f>
        <v>1</v>
      </c>
      <c r="H3204" s="370">
        <v>5366.5423889160156</v>
      </c>
      <c r="I3204" s="370">
        <v>1551.3875427246094</v>
      </c>
      <c r="M3204" s="371">
        <f t="shared" ref="M3204:M3267" si="201">SQRT(H3204^2+I3204^2)</f>
        <v>5586.2850374603622</v>
      </c>
      <c r="N3204" s="329">
        <f t="shared" ref="N3204:N3267" si="202">IF(H3204=0,0,(IF(I3204-(0.3*H3204)&lt;0,0,(I3204-(0.3*H3204)))))</f>
        <v>0</v>
      </c>
      <c r="T3204" s="331">
        <v>0</v>
      </c>
      <c r="U3204" s="328">
        <f>VLOOKUP(C3204,METADATA!$J$5:$Q$29,IF(E3204="HI",2,IF(E3204="LO",6,10))+IF(T3204=1,2,IF(D3204=7,1,(IF(WEEKDAY(B3204)=1,2,IF(WEEKDAY(B3204)=7,1,0))))))</f>
        <v>1</v>
      </c>
      <c r="V3204" s="328">
        <f>VLOOKUP(C3204,METADATA!$A$5:$H$29,IF(E3204="HI",2,IF(E3204="LO",6,10))+IF(T3204=1,2,IF(D3204=7,1,(IF(WEEKDAY(B3204)=1,2,IF(WEEKDAY(B3204)=7,1,0))))))</f>
        <v>1</v>
      </c>
    </row>
    <row r="3205" spans="2:22">
      <c r="B3205" s="318">
        <f t="shared" si="199"/>
        <v>46246</v>
      </c>
      <c r="C3205" s="312">
        <v>9</v>
      </c>
      <c r="D3205" s="368">
        <f>IFERROR((INDEX(METADATA!$T$2:$T$20,MATCH(B3205,METADATA!$S$2:$S$20,0))),0)</f>
        <v>0</v>
      </c>
      <c r="E3205" s="312" t="str">
        <f t="shared" si="200"/>
        <v>LO</v>
      </c>
      <c r="F3205" s="369">
        <f>VLOOKUP(C3205,METADATA!$A$5:$H$29,IF(E3205="HI",2,IF(E3205="LO",6,10))+IF(D3205=1,2,IF(D3205=7,1,(IF(WEEKDAY(B3205)=1,2,IF(WEEKDAY(B3205)=7,1,0))))))</f>
        <v>2</v>
      </c>
      <c r="G3205" s="369">
        <f>VLOOKUP(C3205,METADATA!$J$5:$Q$29,IF(E3205="HI",2,IF(E3205="LO",6,10))+IF(D3205=1,2,IF(D3205=7,1,(IF(WEEKDAY(B3205)=1,2,IF(WEEKDAY(B3205)=7,1,0))))))</f>
        <v>2</v>
      </c>
      <c r="H3205" s="370">
        <v>5813.7275390625</v>
      </c>
      <c r="I3205" s="370">
        <v>1483.8450012207031</v>
      </c>
      <c r="M3205" s="371">
        <f t="shared" si="201"/>
        <v>6000.1019896416246</v>
      </c>
      <c r="N3205" s="329">
        <f t="shared" si="202"/>
        <v>0</v>
      </c>
      <c r="T3205" s="331">
        <v>0</v>
      </c>
      <c r="U3205" s="328">
        <f>VLOOKUP(C3205,METADATA!$J$5:$Q$29,IF(E3205="HI",2,IF(E3205="LO",6,10))+IF(T3205=1,2,IF(D3205=7,1,(IF(WEEKDAY(B3205)=1,2,IF(WEEKDAY(B3205)=7,1,0))))))</f>
        <v>2</v>
      </c>
      <c r="V3205" s="328">
        <f>VLOOKUP(C3205,METADATA!$A$5:$H$29,IF(E3205="HI",2,IF(E3205="LO",6,10))+IF(T3205=1,2,IF(D3205=7,1,(IF(WEEKDAY(B3205)=1,2,IF(WEEKDAY(B3205)=7,1,0))))))</f>
        <v>2</v>
      </c>
    </row>
    <row r="3206" spans="2:22">
      <c r="B3206" s="318">
        <f t="shared" si="199"/>
        <v>46246</v>
      </c>
      <c r="C3206" s="312">
        <v>10</v>
      </c>
      <c r="D3206" s="368">
        <f>IFERROR((INDEX(METADATA!$T$2:$T$20,MATCH(B3206,METADATA!$S$2:$S$20,0))),0)</f>
        <v>0</v>
      </c>
      <c r="E3206" s="312" t="str">
        <f t="shared" si="200"/>
        <v>LO</v>
      </c>
      <c r="F3206" s="369">
        <f>VLOOKUP(C3206,METADATA!$A$5:$H$29,IF(E3206="HI",2,IF(E3206="LO",6,10))+IF(D3206=1,2,IF(D3206=7,1,(IF(WEEKDAY(B3206)=1,2,IF(WEEKDAY(B3206)=7,1,0))))))</f>
        <v>2</v>
      </c>
      <c r="G3206" s="369">
        <f>VLOOKUP(C3206,METADATA!$J$5:$Q$29,IF(E3206="HI",2,IF(E3206="LO",6,10))+IF(D3206=1,2,IF(D3206=7,1,(IF(WEEKDAY(B3206)=1,2,IF(WEEKDAY(B3206)=7,1,0))))))</f>
        <v>2</v>
      </c>
      <c r="H3206" s="370">
        <v>8768.6402587890625</v>
      </c>
      <c r="I3206" s="370">
        <v>2258.8325023651123</v>
      </c>
      <c r="M3206" s="371">
        <f t="shared" si="201"/>
        <v>9054.9089593323552</v>
      </c>
      <c r="N3206" s="329">
        <f t="shared" si="202"/>
        <v>0</v>
      </c>
      <c r="T3206" s="331">
        <v>0</v>
      </c>
      <c r="U3206" s="328">
        <f>VLOOKUP(C3206,METADATA!$J$5:$Q$29,IF(E3206="HI",2,IF(E3206="LO",6,10))+IF(T3206=1,2,IF(D3206=7,1,(IF(WEEKDAY(B3206)=1,2,IF(WEEKDAY(B3206)=7,1,0))))))</f>
        <v>2</v>
      </c>
      <c r="V3206" s="328">
        <f>VLOOKUP(C3206,METADATA!$A$5:$H$29,IF(E3206="HI",2,IF(E3206="LO",6,10))+IF(T3206=1,2,IF(D3206=7,1,(IF(WEEKDAY(B3206)=1,2,IF(WEEKDAY(B3206)=7,1,0))))))</f>
        <v>2</v>
      </c>
    </row>
    <row r="3207" spans="2:22">
      <c r="B3207" s="318">
        <f t="shared" si="199"/>
        <v>46246</v>
      </c>
      <c r="C3207" s="312">
        <v>11</v>
      </c>
      <c r="D3207" s="368">
        <f>IFERROR((INDEX(METADATA!$T$2:$T$20,MATCH(B3207,METADATA!$S$2:$S$20,0))),0)</f>
        <v>0</v>
      </c>
      <c r="E3207" s="312" t="str">
        <f t="shared" si="200"/>
        <v>LO</v>
      </c>
      <c r="F3207" s="369">
        <f>VLOOKUP(C3207,METADATA!$A$5:$H$29,IF(E3207="HI",2,IF(E3207="LO",6,10))+IF(D3207=1,2,IF(D3207=7,1,(IF(WEEKDAY(B3207)=1,2,IF(WEEKDAY(B3207)=7,1,0))))))</f>
        <v>2</v>
      </c>
      <c r="G3207" s="369">
        <f>VLOOKUP(C3207,METADATA!$J$5:$Q$29,IF(E3207="HI",2,IF(E3207="LO",6,10))+IF(D3207=1,2,IF(D3207=7,1,(IF(WEEKDAY(B3207)=1,2,IF(WEEKDAY(B3207)=7,1,0))))))</f>
        <v>2</v>
      </c>
      <c r="H3207" s="370">
        <v>11087.4248046875</v>
      </c>
      <c r="I3207" s="370">
        <v>2936.1675567626953</v>
      </c>
      <c r="M3207" s="371">
        <f t="shared" si="201"/>
        <v>11469.615020609255</v>
      </c>
      <c r="N3207" s="329">
        <f t="shared" si="202"/>
        <v>0</v>
      </c>
      <c r="T3207" s="331">
        <v>0</v>
      </c>
      <c r="U3207" s="328">
        <f>VLOOKUP(C3207,METADATA!$J$5:$Q$29,IF(E3207="HI",2,IF(E3207="LO",6,10))+IF(T3207=1,2,IF(D3207=7,1,(IF(WEEKDAY(B3207)=1,2,IF(WEEKDAY(B3207)=7,1,0))))))</f>
        <v>2</v>
      </c>
      <c r="V3207" s="328">
        <f>VLOOKUP(C3207,METADATA!$A$5:$H$29,IF(E3207="HI",2,IF(E3207="LO",6,10))+IF(T3207=1,2,IF(D3207=7,1,(IF(WEEKDAY(B3207)=1,2,IF(WEEKDAY(B3207)=7,1,0))))))</f>
        <v>2</v>
      </c>
    </row>
    <row r="3208" spans="2:22">
      <c r="B3208" s="318">
        <f t="shared" si="199"/>
        <v>46246</v>
      </c>
      <c r="C3208" s="312">
        <v>12</v>
      </c>
      <c r="D3208" s="368">
        <f>IFERROR((INDEX(METADATA!$T$2:$T$20,MATCH(B3208,METADATA!$S$2:$S$20,0))),0)</f>
        <v>0</v>
      </c>
      <c r="E3208" s="312" t="str">
        <f t="shared" si="200"/>
        <v>LO</v>
      </c>
      <c r="F3208" s="369">
        <f>VLOOKUP(C3208,METADATA!$A$5:$H$29,IF(E3208="HI",2,IF(E3208="LO",6,10))+IF(D3208=1,2,IF(D3208=7,1,(IF(WEEKDAY(B3208)=1,2,IF(WEEKDAY(B3208)=7,1,0))))))</f>
        <v>2</v>
      </c>
      <c r="G3208" s="369">
        <f>VLOOKUP(C3208,METADATA!$J$5:$Q$29,IF(E3208="HI",2,IF(E3208="LO",6,10))+IF(D3208=1,2,IF(D3208=7,1,(IF(WEEKDAY(B3208)=1,2,IF(WEEKDAY(B3208)=7,1,0))))))</f>
        <v>2</v>
      </c>
      <c r="H3208" s="370">
        <v>13366.500305175781</v>
      </c>
      <c r="I3208" s="370">
        <v>4448.1900329589844</v>
      </c>
      <c r="M3208" s="371">
        <f t="shared" si="201"/>
        <v>14087.218496835345</v>
      </c>
      <c r="N3208" s="329">
        <f t="shared" si="202"/>
        <v>438.23994140625018</v>
      </c>
      <c r="T3208" s="331">
        <v>0</v>
      </c>
      <c r="U3208" s="328">
        <f>VLOOKUP(C3208,METADATA!$J$5:$Q$29,IF(E3208="HI",2,IF(E3208="LO",6,10))+IF(T3208=1,2,IF(D3208=7,1,(IF(WEEKDAY(B3208)=1,2,IF(WEEKDAY(B3208)=7,1,0))))))</f>
        <v>2</v>
      </c>
      <c r="V3208" s="328">
        <f>VLOOKUP(C3208,METADATA!$A$5:$H$29,IF(E3208="HI",2,IF(E3208="LO",6,10))+IF(T3208=1,2,IF(D3208=7,1,(IF(WEEKDAY(B3208)=1,2,IF(WEEKDAY(B3208)=7,1,0))))))</f>
        <v>2</v>
      </c>
    </row>
    <row r="3209" spans="2:22">
      <c r="B3209" s="318">
        <f t="shared" si="199"/>
        <v>46246</v>
      </c>
      <c r="C3209" s="312">
        <v>13</v>
      </c>
      <c r="D3209" s="368">
        <f>IFERROR((INDEX(METADATA!$T$2:$T$20,MATCH(B3209,METADATA!$S$2:$S$20,0))),0)</f>
        <v>0</v>
      </c>
      <c r="E3209" s="312" t="str">
        <f t="shared" si="200"/>
        <v>LO</v>
      </c>
      <c r="F3209" s="369">
        <f>VLOOKUP(C3209,METADATA!$A$5:$H$29,IF(E3209="HI",2,IF(E3209="LO",6,10))+IF(D3209=1,2,IF(D3209=7,1,(IF(WEEKDAY(B3209)=1,2,IF(WEEKDAY(B3209)=7,1,0))))))</f>
        <v>2</v>
      </c>
      <c r="G3209" s="369">
        <f>VLOOKUP(C3209,METADATA!$J$5:$Q$29,IF(E3209="HI",2,IF(E3209="LO",6,10))+IF(D3209=1,2,IF(D3209=7,1,(IF(WEEKDAY(B3209)=1,2,IF(WEEKDAY(B3209)=7,1,0))))))</f>
        <v>2</v>
      </c>
      <c r="H3209" s="370">
        <v>13458.25</v>
      </c>
      <c r="I3209" s="370">
        <v>4520.3750610351563</v>
      </c>
      <c r="M3209" s="371">
        <f t="shared" si="201"/>
        <v>14197.122375852388</v>
      </c>
      <c r="N3209" s="329">
        <f t="shared" si="202"/>
        <v>482.90006103515634</v>
      </c>
      <c r="T3209" s="331">
        <v>0</v>
      </c>
      <c r="U3209" s="328">
        <f>VLOOKUP(C3209,METADATA!$J$5:$Q$29,IF(E3209="HI",2,IF(E3209="LO",6,10))+IF(T3209=1,2,IF(D3209=7,1,(IF(WEEKDAY(B3209)=1,2,IF(WEEKDAY(B3209)=7,1,0))))))</f>
        <v>2</v>
      </c>
      <c r="V3209" s="328">
        <f>VLOOKUP(C3209,METADATA!$A$5:$H$29,IF(E3209="HI",2,IF(E3209="LO",6,10))+IF(T3209=1,2,IF(D3209=7,1,(IF(WEEKDAY(B3209)=1,2,IF(WEEKDAY(B3209)=7,1,0))))))</f>
        <v>2</v>
      </c>
    </row>
    <row r="3210" spans="2:22">
      <c r="B3210" s="318">
        <f t="shared" si="199"/>
        <v>46246</v>
      </c>
      <c r="C3210" s="312">
        <v>14</v>
      </c>
      <c r="D3210" s="368">
        <f>IFERROR((INDEX(METADATA!$T$2:$T$20,MATCH(B3210,METADATA!$S$2:$S$20,0))),0)</f>
        <v>0</v>
      </c>
      <c r="E3210" s="312" t="str">
        <f t="shared" si="200"/>
        <v>LO</v>
      </c>
      <c r="F3210" s="369">
        <f>VLOOKUP(C3210,METADATA!$A$5:$H$29,IF(E3210="HI",2,IF(E3210="LO",6,10))+IF(D3210=1,2,IF(D3210=7,1,(IF(WEEKDAY(B3210)=1,2,IF(WEEKDAY(B3210)=7,1,0))))))</f>
        <v>2</v>
      </c>
      <c r="G3210" s="369">
        <f>VLOOKUP(C3210,METADATA!$J$5:$Q$29,IF(E3210="HI",2,IF(E3210="LO",6,10))+IF(D3210=1,2,IF(D3210=7,1,(IF(WEEKDAY(B3210)=1,2,IF(WEEKDAY(B3210)=7,1,0))))))</f>
        <v>2</v>
      </c>
      <c r="H3210" s="370">
        <v>13624.499633789063</v>
      </c>
      <c r="I3210" s="370">
        <v>4592.5750732421875</v>
      </c>
      <c r="M3210" s="371">
        <f t="shared" si="201"/>
        <v>14377.716650236356</v>
      </c>
      <c r="N3210" s="329">
        <f t="shared" si="202"/>
        <v>505.22518310546911</v>
      </c>
      <c r="T3210" s="331">
        <v>0</v>
      </c>
      <c r="U3210" s="328">
        <f>VLOOKUP(C3210,METADATA!$J$5:$Q$29,IF(E3210="HI",2,IF(E3210="LO",6,10))+IF(T3210=1,2,IF(D3210=7,1,(IF(WEEKDAY(B3210)=1,2,IF(WEEKDAY(B3210)=7,1,0))))))</f>
        <v>2</v>
      </c>
      <c r="V3210" s="328">
        <f>VLOOKUP(C3210,METADATA!$A$5:$H$29,IF(E3210="HI",2,IF(E3210="LO",6,10))+IF(T3210=1,2,IF(D3210=7,1,(IF(WEEKDAY(B3210)=1,2,IF(WEEKDAY(B3210)=7,1,0))))))</f>
        <v>2</v>
      </c>
    </row>
    <row r="3211" spans="2:22">
      <c r="B3211" s="318">
        <f t="shared" si="199"/>
        <v>46246</v>
      </c>
      <c r="C3211" s="312">
        <v>15</v>
      </c>
      <c r="D3211" s="368">
        <f>IFERROR((INDEX(METADATA!$T$2:$T$20,MATCH(B3211,METADATA!$S$2:$S$20,0))),0)</f>
        <v>0</v>
      </c>
      <c r="E3211" s="312" t="str">
        <f t="shared" si="200"/>
        <v>LO</v>
      </c>
      <c r="F3211" s="369">
        <f>VLOOKUP(C3211,METADATA!$A$5:$H$29,IF(E3211="HI",2,IF(E3211="LO",6,10))+IF(D3211=1,2,IF(D3211=7,1,(IF(WEEKDAY(B3211)=1,2,IF(WEEKDAY(B3211)=7,1,0))))))</f>
        <v>2</v>
      </c>
      <c r="G3211" s="369">
        <f>VLOOKUP(C3211,METADATA!$J$5:$Q$29,IF(E3211="HI",2,IF(E3211="LO",6,10))+IF(D3211=1,2,IF(D3211=7,1,(IF(WEEKDAY(B3211)=1,2,IF(WEEKDAY(B3211)=7,1,0))))))</f>
        <v>2</v>
      </c>
      <c r="H3211" s="370">
        <v>13591.39990234375</v>
      </c>
      <c r="I3211" s="370">
        <v>4540.5349731445313</v>
      </c>
      <c r="M3211" s="371">
        <f t="shared" si="201"/>
        <v>14329.780498939204</v>
      </c>
      <c r="N3211" s="329">
        <f t="shared" si="202"/>
        <v>463.11500244140643</v>
      </c>
      <c r="T3211" s="331">
        <v>0</v>
      </c>
      <c r="U3211" s="328">
        <f>VLOOKUP(C3211,METADATA!$J$5:$Q$29,IF(E3211="HI",2,IF(E3211="LO",6,10))+IF(T3211=1,2,IF(D3211=7,1,(IF(WEEKDAY(B3211)=1,2,IF(WEEKDAY(B3211)=7,1,0))))))</f>
        <v>2</v>
      </c>
      <c r="V3211" s="328">
        <f>VLOOKUP(C3211,METADATA!$A$5:$H$29,IF(E3211="HI",2,IF(E3211="LO",6,10))+IF(T3211=1,2,IF(D3211=7,1,(IF(WEEKDAY(B3211)=1,2,IF(WEEKDAY(B3211)=7,1,0))))))</f>
        <v>2</v>
      </c>
    </row>
    <row r="3212" spans="2:22">
      <c r="B3212" s="318">
        <f t="shared" si="199"/>
        <v>46246</v>
      </c>
      <c r="C3212" s="312">
        <v>16</v>
      </c>
      <c r="D3212" s="368">
        <f>IFERROR((INDEX(METADATA!$T$2:$T$20,MATCH(B3212,METADATA!$S$2:$S$20,0))),0)</f>
        <v>0</v>
      </c>
      <c r="E3212" s="312" t="str">
        <f t="shared" si="200"/>
        <v>LO</v>
      </c>
      <c r="F3212" s="369">
        <f>VLOOKUP(C3212,METADATA!$A$5:$H$29,IF(E3212="HI",2,IF(E3212="LO",6,10))+IF(D3212=1,2,IF(D3212=7,1,(IF(WEEKDAY(B3212)=1,2,IF(WEEKDAY(B3212)=7,1,0))))))</f>
        <v>2</v>
      </c>
      <c r="G3212" s="369">
        <f>VLOOKUP(C3212,METADATA!$J$5:$Q$29,IF(E3212="HI",2,IF(E3212="LO",6,10))+IF(D3212=1,2,IF(D3212=7,1,(IF(WEEKDAY(B3212)=1,2,IF(WEEKDAY(B3212)=7,1,0))))))</f>
        <v>2</v>
      </c>
      <c r="H3212" s="370">
        <v>13503.249755859375</v>
      </c>
      <c r="I3212" s="370">
        <v>4552.0149230957031</v>
      </c>
      <c r="M3212" s="371">
        <f t="shared" si="201"/>
        <v>14249.862940716386</v>
      </c>
      <c r="N3212" s="329">
        <f t="shared" si="202"/>
        <v>501.0399963378909</v>
      </c>
      <c r="T3212" s="331">
        <v>0</v>
      </c>
      <c r="U3212" s="328">
        <f>VLOOKUP(C3212,METADATA!$J$5:$Q$29,IF(E3212="HI",2,IF(E3212="LO",6,10))+IF(T3212=1,2,IF(D3212=7,1,(IF(WEEKDAY(B3212)=1,2,IF(WEEKDAY(B3212)=7,1,0))))))</f>
        <v>2</v>
      </c>
      <c r="V3212" s="328">
        <f>VLOOKUP(C3212,METADATA!$A$5:$H$29,IF(E3212="HI",2,IF(E3212="LO",6,10))+IF(T3212=1,2,IF(D3212=7,1,(IF(WEEKDAY(B3212)=1,2,IF(WEEKDAY(B3212)=7,1,0))))))</f>
        <v>2</v>
      </c>
    </row>
    <row r="3213" spans="2:22">
      <c r="B3213" s="318">
        <f t="shared" si="199"/>
        <v>46246</v>
      </c>
      <c r="C3213" s="312">
        <v>17</v>
      </c>
      <c r="D3213" s="368">
        <f>IFERROR((INDEX(METADATA!$T$2:$T$20,MATCH(B3213,METADATA!$S$2:$S$20,0))),0)</f>
        <v>0</v>
      </c>
      <c r="E3213" s="312" t="str">
        <f t="shared" si="200"/>
        <v>LO</v>
      </c>
      <c r="F3213" s="369">
        <f>VLOOKUP(C3213,METADATA!$A$5:$H$29,IF(E3213="HI",2,IF(E3213="LO",6,10))+IF(D3213=1,2,IF(D3213=7,1,(IF(WEEKDAY(B3213)=1,2,IF(WEEKDAY(B3213)=7,1,0))))))</f>
        <v>2</v>
      </c>
      <c r="G3213" s="369">
        <f>VLOOKUP(C3213,METADATA!$J$5:$Q$29,IF(E3213="HI",2,IF(E3213="LO",6,10))+IF(D3213=1,2,IF(D3213=7,1,(IF(WEEKDAY(B3213)=1,2,IF(WEEKDAY(B3213)=7,1,0))))))</f>
        <v>2</v>
      </c>
      <c r="H3213" s="370">
        <v>11589.624816894531</v>
      </c>
      <c r="I3213" s="370">
        <v>3451.2724914550781</v>
      </c>
      <c r="M3213" s="371">
        <f t="shared" si="201"/>
        <v>12092.588027657774</v>
      </c>
      <c r="N3213" s="329">
        <f t="shared" si="202"/>
        <v>0</v>
      </c>
      <c r="T3213" s="331">
        <v>0</v>
      </c>
      <c r="U3213" s="328">
        <f>VLOOKUP(C3213,METADATA!$J$5:$Q$29,IF(E3213="HI",2,IF(E3213="LO",6,10))+IF(T3213=1,2,IF(D3213=7,1,(IF(WEEKDAY(B3213)=1,2,IF(WEEKDAY(B3213)=7,1,0))))))</f>
        <v>2</v>
      </c>
      <c r="V3213" s="328">
        <f>VLOOKUP(C3213,METADATA!$A$5:$H$29,IF(E3213="HI",2,IF(E3213="LO",6,10))+IF(T3213=1,2,IF(D3213=7,1,(IF(WEEKDAY(B3213)=1,2,IF(WEEKDAY(B3213)=7,1,0))))))</f>
        <v>2</v>
      </c>
    </row>
    <row r="3214" spans="2:22">
      <c r="B3214" s="318">
        <f t="shared" si="199"/>
        <v>46246</v>
      </c>
      <c r="C3214" s="312">
        <v>18</v>
      </c>
      <c r="D3214" s="368">
        <f>IFERROR((INDEX(METADATA!$T$2:$T$20,MATCH(B3214,METADATA!$S$2:$S$20,0))),0)</f>
        <v>0</v>
      </c>
      <c r="E3214" s="312" t="str">
        <f t="shared" si="200"/>
        <v>LO</v>
      </c>
      <c r="F3214" s="369">
        <f>VLOOKUP(C3214,METADATA!$A$5:$H$29,IF(E3214="HI",2,IF(E3214="LO",6,10))+IF(D3214=1,2,IF(D3214=7,1,(IF(WEEKDAY(B3214)=1,2,IF(WEEKDAY(B3214)=7,1,0))))))</f>
        <v>1</v>
      </c>
      <c r="G3214" s="369">
        <f>VLOOKUP(C3214,METADATA!$J$5:$Q$29,IF(E3214="HI",2,IF(E3214="LO",6,10))+IF(D3214=1,2,IF(D3214=7,1,(IF(WEEKDAY(B3214)=1,2,IF(WEEKDAY(B3214)=7,1,0))))))</f>
        <v>1</v>
      </c>
      <c r="H3214" s="370">
        <v>11742.724975585938</v>
      </c>
      <c r="I3214" s="370">
        <v>3339.0625610351563</v>
      </c>
      <c r="M3214" s="371">
        <f t="shared" si="201"/>
        <v>12208.232002987017</v>
      </c>
      <c r="N3214" s="329">
        <f t="shared" si="202"/>
        <v>0</v>
      </c>
      <c r="T3214" s="331">
        <v>0</v>
      </c>
      <c r="U3214" s="328">
        <f>VLOOKUP(C3214,METADATA!$J$5:$Q$29,IF(E3214="HI",2,IF(E3214="LO",6,10))+IF(T3214=1,2,IF(D3214=7,1,(IF(WEEKDAY(B3214)=1,2,IF(WEEKDAY(B3214)=7,1,0))))))</f>
        <v>1</v>
      </c>
      <c r="V3214" s="328">
        <f>VLOOKUP(C3214,METADATA!$A$5:$H$29,IF(E3214="HI",2,IF(E3214="LO",6,10))+IF(T3214=1,2,IF(D3214=7,1,(IF(WEEKDAY(B3214)=1,2,IF(WEEKDAY(B3214)=7,1,0))))))</f>
        <v>1</v>
      </c>
    </row>
    <row r="3215" spans="2:22">
      <c r="B3215" s="318">
        <f t="shared" si="199"/>
        <v>46246</v>
      </c>
      <c r="C3215" s="312">
        <v>19</v>
      </c>
      <c r="D3215" s="368">
        <f>IFERROR((INDEX(METADATA!$T$2:$T$20,MATCH(B3215,METADATA!$S$2:$S$20,0))),0)</f>
        <v>0</v>
      </c>
      <c r="E3215" s="312" t="str">
        <f t="shared" si="200"/>
        <v>LO</v>
      </c>
      <c r="F3215" s="369">
        <f>VLOOKUP(C3215,METADATA!$A$5:$H$29,IF(E3215="HI",2,IF(E3215="LO",6,10))+IF(D3215=1,2,IF(D3215=7,1,(IF(WEEKDAY(B3215)=1,2,IF(WEEKDAY(B3215)=7,1,0))))))</f>
        <v>1</v>
      </c>
      <c r="G3215" s="369">
        <f>VLOOKUP(C3215,METADATA!$J$5:$Q$29,IF(E3215="HI",2,IF(E3215="LO",6,10))+IF(D3215=1,2,IF(D3215=7,1,(IF(WEEKDAY(B3215)=1,2,IF(WEEKDAY(B3215)=7,1,0))))))</f>
        <v>1</v>
      </c>
      <c r="H3215" s="370">
        <v>13433.274963378906</v>
      </c>
      <c r="I3215" s="370">
        <v>4299.89501953125</v>
      </c>
      <c r="M3215" s="371">
        <f t="shared" si="201"/>
        <v>14104.679132143779</v>
      </c>
      <c r="N3215" s="329">
        <f t="shared" si="202"/>
        <v>269.91253051757849</v>
      </c>
      <c r="T3215" s="331">
        <v>0</v>
      </c>
      <c r="U3215" s="328">
        <f>VLOOKUP(C3215,METADATA!$J$5:$Q$29,IF(E3215="HI",2,IF(E3215="LO",6,10))+IF(T3215=1,2,IF(D3215=7,1,(IF(WEEKDAY(B3215)=1,2,IF(WEEKDAY(B3215)=7,1,0))))))</f>
        <v>1</v>
      </c>
      <c r="V3215" s="328">
        <f>VLOOKUP(C3215,METADATA!$A$5:$H$29,IF(E3215="HI",2,IF(E3215="LO",6,10))+IF(T3215=1,2,IF(D3215=7,1,(IF(WEEKDAY(B3215)=1,2,IF(WEEKDAY(B3215)=7,1,0))))))</f>
        <v>1</v>
      </c>
    </row>
    <row r="3216" spans="2:22">
      <c r="B3216" s="318">
        <f t="shared" si="199"/>
        <v>46246</v>
      </c>
      <c r="C3216" s="312">
        <v>20</v>
      </c>
      <c r="D3216" s="368">
        <f>IFERROR((INDEX(METADATA!$T$2:$T$20,MATCH(B3216,METADATA!$S$2:$S$20,0))),0)</f>
        <v>0</v>
      </c>
      <c r="E3216" s="312" t="str">
        <f t="shared" si="200"/>
        <v>LO</v>
      </c>
      <c r="F3216" s="369">
        <f>VLOOKUP(C3216,METADATA!$A$5:$H$29,IF(E3216="HI",2,IF(E3216="LO",6,10))+IF(D3216=1,2,IF(D3216=7,1,(IF(WEEKDAY(B3216)=1,2,IF(WEEKDAY(B3216)=7,1,0))))))</f>
        <v>1</v>
      </c>
      <c r="G3216" s="369">
        <f>VLOOKUP(C3216,METADATA!$J$5:$Q$29,IF(E3216="HI",2,IF(E3216="LO",6,10))+IF(D3216=1,2,IF(D3216=7,1,(IF(WEEKDAY(B3216)=1,2,IF(WEEKDAY(B3216)=7,1,0))))))</f>
        <v>1</v>
      </c>
      <c r="H3216" s="370">
        <v>13435.324829101563</v>
      </c>
      <c r="I3216" s="370">
        <v>4417.9498901367188</v>
      </c>
      <c r="M3216" s="371">
        <f t="shared" si="201"/>
        <v>14143.063122790338</v>
      </c>
      <c r="N3216" s="329">
        <f t="shared" si="202"/>
        <v>387.35244140625036</v>
      </c>
      <c r="T3216" s="331">
        <v>0</v>
      </c>
      <c r="U3216" s="328">
        <f>VLOOKUP(C3216,METADATA!$J$5:$Q$29,IF(E3216="HI",2,IF(E3216="LO",6,10))+IF(T3216=1,2,IF(D3216=7,1,(IF(WEEKDAY(B3216)=1,2,IF(WEEKDAY(B3216)=7,1,0))))))</f>
        <v>1</v>
      </c>
      <c r="V3216" s="328">
        <f>VLOOKUP(C3216,METADATA!$A$5:$H$29,IF(E3216="HI",2,IF(E3216="LO",6,10))+IF(T3216=1,2,IF(D3216=7,1,(IF(WEEKDAY(B3216)=1,2,IF(WEEKDAY(B3216)=7,1,0))))))</f>
        <v>1</v>
      </c>
    </row>
    <row r="3217" spans="2:22">
      <c r="B3217" s="318">
        <f t="shared" si="199"/>
        <v>46246</v>
      </c>
      <c r="C3217" s="312">
        <v>21</v>
      </c>
      <c r="D3217" s="368">
        <f>IFERROR((INDEX(METADATA!$T$2:$T$20,MATCH(B3217,METADATA!$S$2:$S$20,0))),0)</f>
        <v>0</v>
      </c>
      <c r="E3217" s="312" t="str">
        <f t="shared" si="200"/>
        <v>LO</v>
      </c>
      <c r="F3217" s="369">
        <f>VLOOKUP(C3217,METADATA!$A$5:$H$29,IF(E3217="HI",2,IF(E3217="LO",6,10))+IF(D3217=1,2,IF(D3217=7,1,(IF(WEEKDAY(B3217)=1,2,IF(WEEKDAY(B3217)=7,1,0))))))</f>
        <v>2</v>
      </c>
      <c r="G3217" s="369">
        <f>VLOOKUP(C3217,METADATA!$J$5:$Q$29,IF(E3217="HI",2,IF(E3217="LO",6,10))+IF(D3217=1,2,IF(D3217=7,1,(IF(WEEKDAY(B3217)=1,2,IF(WEEKDAY(B3217)=7,1,0))))))</f>
        <v>2</v>
      </c>
      <c r="H3217" s="370">
        <v>13393.625244140625</v>
      </c>
      <c r="I3217" s="370">
        <v>4526.1849975585938</v>
      </c>
      <c r="M3217" s="371">
        <f t="shared" si="201"/>
        <v>14137.734889741196</v>
      </c>
      <c r="N3217" s="329">
        <f t="shared" si="202"/>
        <v>508.09742431640643</v>
      </c>
      <c r="T3217" s="331">
        <v>0</v>
      </c>
      <c r="U3217" s="328">
        <f>VLOOKUP(C3217,METADATA!$J$5:$Q$29,IF(E3217="HI",2,IF(E3217="LO",6,10))+IF(T3217=1,2,IF(D3217=7,1,(IF(WEEKDAY(B3217)=1,2,IF(WEEKDAY(B3217)=7,1,0))))))</f>
        <v>2</v>
      </c>
      <c r="V3217" s="328">
        <f>VLOOKUP(C3217,METADATA!$A$5:$H$29,IF(E3217="HI",2,IF(E3217="LO",6,10))+IF(T3217=1,2,IF(D3217=7,1,(IF(WEEKDAY(B3217)=1,2,IF(WEEKDAY(B3217)=7,1,0))))))</f>
        <v>2</v>
      </c>
    </row>
    <row r="3218" spans="2:22">
      <c r="B3218" s="318">
        <f t="shared" si="199"/>
        <v>46246</v>
      </c>
      <c r="C3218" s="312">
        <v>22</v>
      </c>
      <c r="D3218" s="368">
        <f>IFERROR((INDEX(METADATA!$T$2:$T$20,MATCH(B3218,METADATA!$S$2:$S$20,0))),0)</f>
        <v>0</v>
      </c>
      <c r="E3218" s="312" t="str">
        <f t="shared" si="200"/>
        <v>LO</v>
      </c>
      <c r="F3218" s="369">
        <f>VLOOKUP(C3218,METADATA!$A$5:$H$29,IF(E3218="HI",2,IF(E3218="LO",6,10))+IF(D3218=1,2,IF(D3218=7,1,(IF(WEEKDAY(B3218)=1,2,IF(WEEKDAY(B3218)=7,1,0))))))</f>
        <v>3</v>
      </c>
      <c r="G3218" s="369">
        <f>VLOOKUP(C3218,METADATA!$J$5:$Q$29,IF(E3218="HI",2,IF(E3218="LO",6,10))+IF(D3218=1,2,IF(D3218=7,1,(IF(WEEKDAY(B3218)=1,2,IF(WEEKDAY(B3218)=7,1,0))))))</f>
        <v>3</v>
      </c>
      <c r="H3218" s="370">
        <v>13472.200439453125</v>
      </c>
      <c r="I3218" s="370">
        <v>4706.7449951171875</v>
      </c>
      <c r="M3218" s="371">
        <f t="shared" si="201"/>
        <v>14270.726440159297</v>
      </c>
      <c r="N3218" s="329">
        <f t="shared" si="202"/>
        <v>665.08486328125036</v>
      </c>
      <c r="T3218" s="331">
        <v>0</v>
      </c>
      <c r="U3218" s="328">
        <f>VLOOKUP(C3218,METADATA!$J$5:$Q$29,IF(E3218="HI",2,IF(E3218="LO",6,10))+IF(T3218=1,2,IF(D3218=7,1,(IF(WEEKDAY(B3218)=1,2,IF(WEEKDAY(B3218)=7,1,0))))))</f>
        <v>3</v>
      </c>
      <c r="V3218" s="328">
        <f>VLOOKUP(C3218,METADATA!$A$5:$H$29,IF(E3218="HI",2,IF(E3218="LO",6,10))+IF(T3218=1,2,IF(D3218=7,1,(IF(WEEKDAY(B3218)=1,2,IF(WEEKDAY(B3218)=7,1,0))))))</f>
        <v>3</v>
      </c>
    </row>
    <row r="3219" spans="2:22">
      <c r="B3219" s="318">
        <f t="shared" si="199"/>
        <v>46246</v>
      </c>
      <c r="C3219" s="312">
        <v>23</v>
      </c>
      <c r="D3219" s="368">
        <f>IFERROR((INDEX(METADATA!$T$2:$T$20,MATCH(B3219,METADATA!$S$2:$S$20,0))),0)</f>
        <v>0</v>
      </c>
      <c r="E3219" s="312" t="str">
        <f t="shared" si="200"/>
        <v>LO</v>
      </c>
      <c r="F3219" s="369">
        <f>VLOOKUP(C3219,METADATA!$A$5:$H$29,IF(E3219="HI",2,IF(E3219="LO",6,10))+IF(D3219=1,2,IF(D3219=7,1,(IF(WEEKDAY(B3219)=1,2,IF(WEEKDAY(B3219)=7,1,0))))))</f>
        <v>3</v>
      </c>
      <c r="G3219" s="369">
        <f>VLOOKUP(C3219,METADATA!$J$5:$Q$29,IF(E3219="HI",2,IF(E3219="LO",6,10))+IF(D3219=1,2,IF(D3219=7,1,(IF(WEEKDAY(B3219)=1,2,IF(WEEKDAY(B3219)=7,1,0))))))</f>
        <v>3</v>
      </c>
      <c r="H3219" s="370">
        <v>13159.549682617188</v>
      </c>
      <c r="I3219" s="370">
        <v>4502.77001953125</v>
      </c>
      <c r="M3219" s="371">
        <f t="shared" si="201"/>
        <v>13908.583166450117</v>
      </c>
      <c r="N3219" s="329">
        <f t="shared" si="202"/>
        <v>554.90511474609411</v>
      </c>
      <c r="T3219" s="331">
        <v>0</v>
      </c>
      <c r="U3219" s="328">
        <f>VLOOKUP(C3219,METADATA!$J$5:$Q$29,IF(E3219="HI",2,IF(E3219="LO",6,10))+IF(T3219=1,2,IF(D3219=7,1,(IF(WEEKDAY(B3219)=1,2,IF(WEEKDAY(B3219)=7,1,0))))))</f>
        <v>3</v>
      </c>
      <c r="V3219" s="328">
        <f>VLOOKUP(C3219,METADATA!$A$5:$H$29,IF(E3219="HI",2,IF(E3219="LO",6,10))+IF(T3219=1,2,IF(D3219=7,1,(IF(WEEKDAY(B3219)=1,2,IF(WEEKDAY(B3219)=7,1,0))))))</f>
        <v>3</v>
      </c>
    </row>
    <row r="3220" spans="2:22">
      <c r="B3220" s="318">
        <f t="shared" si="199"/>
        <v>46247</v>
      </c>
      <c r="C3220" s="312">
        <v>0</v>
      </c>
      <c r="D3220" s="368">
        <f>IFERROR((INDEX(METADATA!$T$2:$T$20,MATCH(B3220,METADATA!$S$2:$S$20,0))),0)</f>
        <v>0</v>
      </c>
      <c r="E3220" s="312" t="str">
        <f t="shared" si="200"/>
        <v>LO</v>
      </c>
      <c r="F3220" s="369">
        <f>VLOOKUP(C3220,METADATA!$A$5:$H$29,IF(E3220="HI",2,IF(E3220="LO",6,10))+IF(D3220=1,2,IF(D3220=7,1,(IF(WEEKDAY(B3220)=1,2,IF(WEEKDAY(B3220)=7,1,0))))))</f>
        <v>3</v>
      </c>
      <c r="G3220" s="369">
        <f>VLOOKUP(C3220,METADATA!$J$5:$Q$29,IF(E3220="HI",2,IF(E3220="LO",6,10))+IF(D3220=1,2,IF(D3220=7,1,(IF(WEEKDAY(B3220)=1,2,IF(WEEKDAY(B3220)=7,1,0))))))</f>
        <v>3</v>
      </c>
      <c r="H3220" s="370">
        <v>13284.724914550781</v>
      </c>
      <c r="I3220" s="370">
        <v>4579.1899719238281</v>
      </c>
      <c r="M3220" s="371">
        <f t="shared" si="201"/>
        <v>14051.793367903401</v>
      </c>
      <c r="N3220" s="329">
        <f t="shared" si="202"/>
        <v>593.77249755859384</v>
      </c>
      <c r="T3220" s="331">
        <v>0</v>
      </c>
      <c r="U3220" s="328">
        <f>VLOOKUP(C3220,METADATA!$J$5:$Q$29,IF(E3220="HI",2,IF(E3220="LO",6,10))+IF(T3220=1,2,IF(D3220=7,1,(IF(WEEKDAY(B3220)=1,2,IF(WEEKDAY(B3220)=7,1,0))))))</f>
        <v>3</v>
      </c>
      <c r="V3220" s="328">
        <f>VLOOKUP(C3220,METADATA!$A$5:$H$29,IF(E3220="HI",2,IF(E3220="LO",6,10))+IF(T3220=1,2,IF(D3220=7,1,(IF(WEEKDAY(B3220)=1,2,IF(WEEKDAY(B3220)=7,1,0))))))</f>
        <v>3</v>
      </c>
    </row>
    <row r="3221" spans="2:22">
      <c r="B3221" s="318">
        <f t="shared" si="199"/>
        <v>46247</v>
      </c>
      <c r="C3221" s="312">
        <v>1</v>
      </c>
      <c r="D3221" s="368">
        <f>IFERROR((INDEX(METADATA!$T$2:$T$20,MATCH(B3221,METADATA!$S$2:$S$20,0))),0)</f>
        <v>0</v>
      </c>
      <c r="E3221" s="312" t="str">
        <f t="shared" si="200"/>
        <v>LO</v>
      </c>
      <c r="F3221" s="369">
        <f>VLOOKUP(C3221,METADATA!$A$5:$H$29,IF(E3221="HI",2,IF(E3221="LO",6,10))+IF(D3221=1,2,IF(D3221=7,1,(IF(WEEKDAY(B3221)=1,2,IF(WEEKDAY(B3221)=7,1,0))))))</f>
        <v>3</v>
      </c>
      <c r="G3221" s="369">
        <f>VLOOKUP(C3221,METADATA!$J$5:$Q$29,IF(E3221="HI",2,IF(E3221="LO",6,10))+IF(D3221=1,2,IF(D3221=7,1,(IF(WEEKDAY(B3221)=1,2,IF(WEEKDAY(B3221)=7,1,0))))))</f>
        <v>3</v>
      </c>
      <c r="H3221" s="370">
        <v>13360.744812011719</v>
      </c>
      <c r="I3221" s="370">
        <v>4574.33251953125</v>
      </c>
      <c r="M3221" s="371">
        <f t="shared" si="201"/>
        <v>14122.111029550049</v>
      </c>
      <c r="N3221" s="329">
        <f t="shared" si="202"/>
        <v>566.10907592773447</v>
      </c>
      <c r="T3221" s="331">
        <v>0</v>
      </c>
      <c r="U3221" s="328">
        <f>VLOOKUP(C3221,METADATA!$J$5:$Q$29,IF(E3221="HI",2,IF(E3221="LO",6,10))+IF(T3221=1,2,IF(D3221=7,1,(IF(WEEKDAY(B3221)=1,2,IF(WEEKDAY(B3221)=7,1,0))))))</f>
        <v>3</v>
      </c>
      <c r="V3221" s="328">
        <f>VLOOKUP(C3221,METADATA!$A$5:$H$29,IF(E3221="HI",2,IF(E3221="LO",6,10))+IF(T3221=1,2,IF(D3221=7,1,(IF(WEEKDAY(B3221)=1,2,IF(WEEKDAY(B3221)=7,1,0))))))</f>
        <v>3</v>
      </c>
    </row>
    <row r="3222" spans="2:22">
      <c r="B3222" s="318">
        <f t="shared" si="199"/>
        <v>46247</v>
      </c>
      <c r="C3222" s="312">
        <v>2</v>
      </c>
      <c r="D3222" s="368">
        <f>IFERROR((INDEX(METADATA!$T$2:$T$20,MATCH(B3222,METADATA!$S$2:$S$20,0))),0)</f>
        <v>0</v>
      </c>
      <c r="E3222" s="312" t="str">
        <f t="shared" si="200"/>
        <v>LO</v>
      </c>
      <c r="F3222" s="369">
        <f>VLOOKUP(C3222,METADATA!$A$5:$H$29,IF(E3222="HI",2,IF(E3222="LO",6,10))+IF(D3222=1,2,IF(D3222=7,1,(IF(WEEKDAY(B3222)=1,2,IF(WEEKDAY(B3222)=7,1,0))))))</f>
        <v>3</v>
      </c>
      <c r="G3222" s="369">
        <f>VLOOKUP(C3222,METADATA!$J$5:$Q$29,IF(E3222="HI",2,IF(E3222="LO",6,10))+IF(D3222=1,2,IF(D3222=7,1,(IF(WEEKDAY(B3222)=1,2,IF(WEEKDAY(B3222)=7,1,0))))))</f>
        <v>3</v>
      </c>
      <c r="H3222" s="370">
        <v>13555.424987792969</v>
      </c>
      <c r="I3222" s="370">
        <v>4645.6349182128906</v>
      </c>
      <c r="M3222" s="371">
        <f t="shared" si="201"/>
        <v>14329.391836117851</v>
      </c>
      <c r="N3222" s="329">
        <f t="shared" si="202"/>
        <v>579.00742187500009</v>
      </c>
      <c r="T3222" s="331">
        <v>0</v>
      </c>
      <c r="U3222" s="328">
        <f>VLOOKUP(C3222,METADATA!$J$5:$Q$29,IF(E3222="HI",2,IF(E3222="LO",6,10))+IF(T3222=1,2,IF(D3222=7,1,(IF(WEEKDAY(B3222)=1,2,IF(WEEKDAY(B3222)=7,1,0))))))</f>
        <v>3</v>
      </c>
      <c r="V3222" s="328">
        <f>VLOOKUP(C3222,METADATA!$A$5:$H$29,IF(E3222="HI",2,IF(E3222="LO",6,10))+IF(T3222=1,2,IF(D3222=7,1,(IF(WEEKDAY(B3222)=1,2,IF(WEEKDAY(B3222)=7,1,0))))))</f>
        <v>3</v>
      </c>
    </row>
    <row r="3223" spans="2:22">
      <c r="B3223" s="318">
        <f t="shared" si="199"/>
        <v>46247</v>
      </c>
      <c r="C3223" s="312">
        <v>3</v>
      </c>
      <c r="D3223" s="368">
        <f>IFERROR((INDEX(METADATA!$T$2:$T$20,MATCH(B3223,METADATA!$S$2:$S$20,0))),0)</f>
        <v>0</v>
      </c>
      <c r="E3223" s="312" t="str">
        <f t="shared" si="200"/>
        <v>LO</v>
      </c>
      <c r="F3223" s="369">
        <f>VLOOKUP(C3223,METADATA!$A$5:$H$29,IF(E3223="HI",2,IF(E3223="LO",6,10))+IF(D3223=1,2,IF(D3223=7,1,(IF(WEEKDAY(B3223)=1,2,IF(WEEKDAY(B3223)=7,1,0))))))</f>
        <v>3</v>
      </c>
      <c r="G3223" s="369">
        <f>VLOOKUP(C3223,METADATA!$J$5:$Q$29,IF(E3223="HI",2,IF(E3223="LO",6,10))+IF(D3223=1,2,IF(D3223=7,1,(IF(WEEKDAY(B3223)=1,2,IF(WEEKDAY(B3223)=7,1,0))))))</f>
        <v>3</v>
      </c>
      <c r="H3223" s="370">
        <v>13222.524963378906</v>
      </c>
      <c r="I3223" s="370">
        <v>4553.0450134277344</v>
      </c>
      <c r="M3223" s="371">
        <f t="shared" si="201"/>
        <v>13984.469432247957</v>
      </c>
      <c r="N3223" s="329">
        <f t="shared" si="202"/>
        <v>586.28752441406277</v>
      </c>
      <c r="T3223" s="331">
        <v>0</v>
      </c>
      <c r="U3223" s="328">
        <f>VLOOKUP(C3223,METADATA!$J$5:$Q$29,IF(E3223="HI",2,IF(E3223="LO",6,10))+IF(T3223=1,2,IF(D3223=7,1,(IF(WEEKDAY(B3223)=1,2,IF(WEEKDAY(B3223)=7,1,0))))))</f>
        <v>3</v>
      </c>
      <c r="V3223" s="328">
        <f>VLOOKUP(C3223,METADATA!$A$5:$H$29,IF(E3223="HI",2,IF(E3223="LO",6,10))+IF(T3223=1,2,IF(D3223=7,1,(IF(WEEKDAY(B3223)=1,2,IF(WEEKDAY(B3223)=7,1,0))))))</f>
        <v>3</v>
      </c>
    </row>
    <row r="3224" spans="2:22">
      <c r="B3224" s="318">
        <f t="shared" si="199"/>
        <v>46247</v>
      </c>
      <c r="C3224" s="312">
        <v>4</v>
      </c>
      <c r="D3224" s="368">
        <f>IFERROR((INDEX(METADATA!$T$2:$T$20,MATCH(B3224,METADATA!$S$2:$S$20,0))),0)</f>
        <v>0</v>
      </c>
      <c r="E3224" s="312" t="str">
        <f t="shared" si="200"/>
        <v>LO</v>
      </c>
      <c r="F3224" s="369">
        <f>VLOOKUP(C3224,METADATA!$A$5:$H$29,IF(E3224="HI",2,IF(E3224="LO",6,10))+IF(D3224=1,2,IF(D3224=7,1,(IF(WEEKDAY(B3224)=1,2,IF(WEEKDAY(B3224)=7,1,0))))))</f>
        <v>3</v>
      </c>
      <c r="G3224" s="369">
        <f>VLOOKUP(C3224,METADATA!$J$5:$Q$29,IF(E3224="HI",2,IF(E3224="LO",6,10))+IF(D3224=1,2,IF(D3224=7,1,(IF(WEEKDAY(B3224)=1,2,IF(WEEKDAY(B3224)=7,1,0))))))</f>
        <v>3</v>
      </c>
      <c r="H3224" s="370">
        <v>13098.349609375</v>
      </c>
      <c r="I3224" s="370">
        <v>4433.2749633789063</v>
      </c>
      <c r="M3224" s="371">
        <f t="shared" si="201"/>
        <v>13828.256918004397</v>
      </c>
      <c r="N3224" s="329">
        <f t="shared" si="202"/>
        <v>503.77008056640625</v>
      </c>
      <c r="T3224" s="331">
        <v>0</v>
      </c>
      <c r="U3224" s="328">
        <f>VLOOKUP(C3224,METADATA!$J$5:$Q$29,IF(E3224="HI",2,IF(E3224="LO",6,10))+IF(T3224=1,2,IF(D3224=7,1,(IF(WEEKDAY(B3224)=1,2,IF(WEEKDAY(B3224)=7,1,0))))))</f>
        <v>3</v>
      </c>
      <c r="V3224" s="328">
        <f>VLOOKUP(C3224,METADATA!$A$5:$H$29,IF(E3224="HI",2,IF(E3224="LO",6,10))+IF(T3224=1,2,IF(D3224=7,1,(IF(WEEKDAY(B3224)=1,2,IF(WEEKDAY(B3224)=7,1,0))))))</f>
        <v>3</v>
      </c>
    </row>
    <row r="3225" spans="2:22">
      <c r="B3225" s="318">
        <f t="shared" si="199"/>
        <v>46247</v>
      </c>
      <c r="C3225" s="312">
        <v>5</v>
      </c>
      <c r="D3225" s="368">
        <f>IFERROR((INDEX(METADATA!$T$2:$T$20,MATCH(B3225,METADATA!$S$2:$S$20,0))),0)</f>
        <v>0</v>
      </c>
      <c r="E3225" s="312" t="str">
        <f t="shared" si="200"/>
        <v>LO</v>
      </c>
      <c r="F3225" s="369">
        <f>VLOOKUP(C3225,METADATA!$A$5:$H$29,IF(E3225="HI",2,IF(E3225="LO",6,10))+IF(D3225=1,2,IF(D3225=7,1,(IF(WEEKDAY(B3225)=1,2,IF(WEEKDAY(B3225)=7,1,0))))))</f>
        <v>3</v>
      </c>
      <c r="G3225" s="369">
        <f>VLOOKUP(C3225,METADATA!$J$5:$Q$29,IF(E3225="HI",2,IF(E3225="LO",6,10))+IF(D3225=1,2,IF(D3225=7,1,(IF(WEEKDAY(B3225)=1,2,IF(WEEKDAY(B3225)=7,1,0))))))</f>
        <v>3</v>
      </c>
      <c r="H3225" s="370">
        <v>11521.577392578125</v>
      </c>
      <c r="I3225" s="370">
        <v>3395.5399475097656</v>
      </c>
      <c r="M3225" s="371">
        <f t="shared" si="201"/>
        <v>12011.512691926107</v>
      </c>
      <c r="N3225" s="329">
        <f t="shared" si="202"/>
        <v>0</v>
      </c>
      <c r="T3225" s="331">
        <v>0</v>
      </c>
      <c r="U3225" s="328">
        <f>VLOOKUP(C3225,METADATA!$J$5:$Q$29,IF(E3225="HI",2,IF(E3225="LO",6,10))+IF(T3225=1,2,IF(D3225=7,1,(IF(WEEKDAY(B3225)=1,2,IF(WEEKDAY(B3225)=7,1,0))))))</f>
        <v>3</v>
      </c>
      <c r="V3225" s="328">
        <f>VLOOKUP(C3225,METADATA!$A$5:$H$29,IF(E3225="HI",2,IF(E3225="LO",6,10))+IF(T3225=1,2,IF(D3225=7,1,(IF(WEEKDAY(B3225)=1,2,IF(WEEKDAY(B3225)=7,1,0))))))</f>
        <v>3</v>
      </c>
    </row>
    <row r="3226" spans="2:22">
      <c r="B3226" s="318">
        <f t="shared" si="199"/>
        <v>46247</v>
      </c>
      <c r="C3226" s="312">
        <v>6</v>
      </c>
      <c r="D3226" s="368">
        <f>IFERROR((INDEX(METADATA!$T$2:$T$20,MATCH(B3226,METADATA!$S$2:$S$20,0))),0)</f>
        <v>0</v>
      </c>
      <c r="E3226" s="312" t="str">
        <f t="shared" si="200"/>
        <v>LO</v>
      </c>
      <c r="F3226" s="369">
        <f>VLOOKUP(C3226,METADATA!$A$5:$H$29,IF(E3226="HI",2,IF(E3226="LO",6,10))+IF(D3226=1,2,IF(D3226=7,1,(IF(WEEKDAY(B3226)=1,2,IF(WEEKDAY(B3226)=7,1,0))))))</f>
        <v>2</v>
      </c>
      <c r="G3226" s="369">
        <f>VLOOKUP(C3226,METADATA!$J$5:$Q$29,IF(E3226="HI",2,IF(E3226="LO",6,10))+IF(D3226=1,2,IF(D3226=7,1,(IF(WEEKDAY(B3226)=1,2,IF(WEEKDAY(B3226)=7,1,0))))))</f>
        <v>2</v>
      </c>
      <c r="H3226" s="370">
        <v>11324.764953613281</v>
      </c>
      <c r="I3226" s="370">
        <v>3198.2850036621094</v>
      </c>
      <c r="M3226" s="371">
        <f t="shared" si="201"/>
        <v>11767.724003359255</v>
      </c>
      <c r="N3226" s="329">
        <f t="shared" si="202"/>
        <v>0</v>
      </c>
      <c r="T3226" s="331">
        <v>0</v>
      </c>
      <c r="U3226" s="328">
        <f>VLOOKUP(C3226,METADATA!$J$5:$Q$29,IF(E3226="HI",2,IF(E3226="LO",6,10))+IF(T3226=1,2,IF(D3226=7,1,(IF(WEEKDAY(B3226)=1,2,IF(WEEKDAY(B3226)=7,1,0))))))</f>
        <v>2</v>
      </c>
      <c r="V3226" s="328">
        <f>VLOOKUP(C3226,METADATA!$A$5:$H$29,IF(E3226="HI",2,IF(E3226="LO",6,10))+IF(T3226=1,2,IF(D3226=7,1,(IF(WEEKDAY(B3226)=1,2,IF(WEEKDAY(B3226)=7,1,0))))))</f>
        <v>2</v>
      </c>
    </row>
    <row r="3227" spans="2:22">
      <c r="B3227" s="318">
        <f t="shared" si="199"/>
        <v>46247</v>
      </c>
      <c r="C3227" s="312">
        <v>7</v>
      </c>
      <c r="D3227" s="368">
        <f>IFERROR((INDEX(METADATA!$T$2:$T$20,MATCH(B3227,METADATA!$S$2:$S$20,0))),0)</f>
        <v>0</v>
      </c>
      <c r="E3227" s="312" t="str">
        <f t="shared" si="200"/>
        <v>LO</v>
      </c>
      <c r="F3227" s="369">
        <f>VLOOKUP(C3227,METADATA!$A$5:$H$29,IF(E3227="HI",2,IF(E3227="LO",6,10))+IF(D3227=1,2,IF(D3227=7,1,(IF(WEEKDAY(B3227)=1,2,IF(WEEKDAY(B3227)=7,1,0))))))</f>
        <v>1</v>
      </c>
      <c r="G3227" s="369">
        <f>VLOOKUP(C3227,METADATA!$J$5:$Q$29,IF(E3227="HI",2,IF(E3227="LO",6,10))+IF(D3227=1,2,IF(D3227=7,1,(IF(WEEKDAY(B3227)=1,2,IF(WEEKDAY(B3227)=7,1,0))))))</f>
        <v>1</v>
      </c>
      <c r="H3227" s="370">
        <v>11568.225158691406</v>
      </c>
      <c r="I3227" s="370">
        <v>3349.4776000976563</v>
      </c>
      <c r="M3227" s="371">
        <f t="shared" si="201"/>
        <v>12043.373012397182</v>
      </c>
      <c r="N3227" s="329">
        <f t="shared" si="202"/>
        <v>0</v>
      </c>
      <c r="T3227" s="331">
        <v>0</v>
      </c>
      <c r="U3227" s="328">
        <f>VLOOKUP(C3227,METADATA!$J$5:$Q$29,IF(E3227="HI",2,IF(E3227="LO",6,10))+IF(T3227=1,2,IF(D3227=7,1,(IF(WEEKDAY(B3227)=1,2,IF(WEEKDAY(B3227)=7,1,0))))))</f>
        <v>1</v>
      </c>
      <c r="V3227" s="328">
        <f>VLOOKUP(C3227,METADATA!$A$5:$H$29,IF(E3227="HI",2,IF(E3227="LO",6,10))+IF(T3227=1,2,IF(D3227=7,1,(IF(WEEKDAY(B3227)=1,2,IF(WEEKDAY(B3227)=7,1,0))))))</f>
        <v>1</v>
      </c>
    </row>
    <row r="3228" spans="2:22">
      <c r="B3228" s="318">
        <f t="shared" ref="B3228:B3291" si="203">B3204+1</f>
        <v>46247</v>
      </c>
      <c r="C3228" s="312">
        <v>8</v>
      </c>
      <c r="D3228" s="368">
        <f>IFERROR((INDEX(METADATA!$T$2:$T$20,MATCH(B3228,METADATA!$S$2:$S$20,0))),0)</f>
        <v>0</v>
      </c>
      <c r="E3228" s="312" t="str">
        <f t="shared" si="200"/>
        <v>LO</v>
      </c>
      <c r="F3228" s="369">
        <f>VLOOKUP(C3228,METADATA!$A$5:$H$29,IF(E3228="HI",2,IF(E3228="LO",6,10))+IF(D3228=1,2,IF(D3228=7,1,(IF(WEEKDAY(B3228)=1,2,IF(WEEKDAY(B3228)=7,1,0))))))</f>
        <v>1</v>
      </c>
      <c r="G3228" s="369">
        <f>VLOOKUP(C3228,METADATA!$J$5:$Q$29,IF(E3228="HI",2,IF(E3228="LO",6,10))+IF(D3228=1,2,IF(D3228=7,1,(IF(WEEKDAY(B3228)=1,2,IF(WEEKDAY(B3228)=7,1,0))))))</f>
        <v>1</v>
      </c>
      <c r="H3228" s="370">
        <v>13562.249877929688</v>
      </c>
      <c r="I3228" s="370">
        <v>4377.4100341796875</v>
      </c>
      <c r="M3228" s="371">
        <f t="shared" si="201"/>
        <v>14251.18733154332</v>
      </c>
      <c r="N3228" s="329">
        <f t="shared" si="202"/>
        <v>308.73507080078161</v>
      </c>
      <c r="T3228" s="331">
        <v>0</v>
      </c>
      <c r="U3228" s="328">
        <f>VLOOKUP(C3228,METADATA!$J$5:$Q$29,IF(E3228="HI",2,IF(E3228="LO",6,10))+IF(T3228=1,2,IF(D3228=7,1,(IF(WEEKDAY(B3228)=1,2,IF(WEEKDAY(B3228)=7,1,0))))))</f>
        <v>1</v>
      </c>
      <c r="V3228" s="328">
        <f>VLOOKUP(C3228,METADATA!$A$5:$H$29,IF(E3228="HI",2,IF(E3228="LO",6,10))+IF(T3228=1,2,IF(D3228=7,1,(IF(WEEKDAY(B3228)=1,2,IF(WEEKDAY(B3228)=7,1,0))))))</f>
        <v>1</v>
      </c>
    </row>
    <row r="3229" spans="2:22">
      <c r="B3229" s="318">
        <f t="shared" si="203"/>
        <v>46247</v>
      </c>
      <c r="C3229" s="312">
        <v>9</v>
      </c>
      <c r="D3229" s="368">
        <f>IFERROR((INDEX(METADATA!$T$2:$T$20,MATCH(B3229,METADATA!$S$2:$S$20,0))),0)</f>
        <v>0</v>
      </c>
      <c r="E3229" s="312" t="str">
        <f t="shared" si="200"/>
        <v>LO</v>
      </c>
      <c r="F3229" s="369">
        <f>VLOOKUP(C3229,METADATA!$A$5:$H$29,IF(E3229="HI",2,IF(E3229="LO",6,10))+IF(D3229=1,2,IF(D3229=7,1,(IF(WEEKDAY(B3229)=1,2,IF(WEEKDAY(B3229)=7,1,0))))))</f>
        <v>2</v>
      </c>
      <c r="G3229" s="369">
        <f>VLOOKUP(C3229,METADATA!$J$5:$Q$29,IF(E3229="HI",2,IF(E3229="LO",6,10))+IF(D3229=1,2,IF(D3229=7,1,(IF(WEEKDAY(B3229)=1,2,IF(WEEKDAY(B3229)=7,1,0))))))</f>
        <v>2</v>
      </c>
      <c r="H3229" s="370">
        <v>13517.324645996094</v>
      </c>
      <c r="I3229" s="370">
        <v>4334.5449829101563</v>
      </c>
      <c r="M3229" s="371">
        <f t="shared" si="201"/>
        <v>14195.293085883257</v>
      </c>
      <c r="N3229" s="329">
        <f t="shared" si="202"/>
        <v>279.34758911132849</v>
      </c>
      <c r="T3229" s="331">
        <v>0</v>
      </c>
      <c r="U3229" s="328">
        <f>VLOOKUP(C3229,METADATA!$J$5:$Q$29,IF(E3229="HI",2,IF(E3229="LO",6,10))+IF(T3229=1,2,IF(D3229=7,1,(IF(WEEKDAY(B3229)=1,2,IF(WEEKDAY(B3229)=7,1,0))))))</f>
        <v>2</v>
      </c>
      <c r="V3229" s="328">
        <f>VLOOKUP(C3229,METADATA!$A$5:$H$29,IF(E3229="HI",2,IF(E3229="LO",6,10))+IF(T3229=1,2,IF(D3229=7,1,(IF(WEEKDAY(B3229)=1,2,IF(WEEKDAY(B3229)=7,1,0))))))</f>
        <v>2</v>
      </c>
    </row>
    <row r="3230" spans="2:22">
      <c r="B3230" s="318">
        <f t="shared" si="203"/>
        <v>46247</v>
      </c>
      <c r="C3230" s="312">
        <v>10</v>
      </c>
      <c r="D3230" s="368">
        <f>IFERROR((INDEX(METADATA!$T$2:$T$20,MATCH(B3230,METADATA!$S$2:$S$20,0))),0)</f>
        <v>0</v>
      </c>
      <c r="E3230" s="312" t="str">
        <f t="shared" si="200"/>
        <v>LO</v>
      </c>
      <c r="F3230" s="369">
        <f>VLOOKUP(C3230,METADATA!$A$5:$H$29,IF(E3230="HI",2,IF(E3230="LO",6,10))+IF(D3230=1,2,IF(D3230=7,1,(IF(WEEKDAY(B3230)=1,2,IF(WEEKDAY(B3230)=7,1,0))))))</f>
        <v>2</v>
      </c>
      <c r="G3230" s="369">
        <f>VLOOKUP(C3230,METADATA!$J$5:$Q$29,IF(E3230="HI",2,IF(E3230="LO",6,10))+IF(D3230=1,2,IF(D3230=7,1,(IF(WEEKDAY(B3230)=1,2,IF(WEEKDAY(B3230)=7,1,0))))))</f>
        <v>2</v>
      </c>
      <c r="H3230" s="370">
        <v>13522.599731445313</v>
      </c>
      <c r="I3230" s="370">
        <v>4335.0950317382813</v>
      </c>
      <c r="M3230" s="371">
        <f t="shared" si="201"/>
        <v>14200.484232274854</v>
      </c>
      <c r="N3230" s="329">
        <f t="shared" si="202"/>
        <v>278.31511230468777</v>
      </c>
      <c r="T3230" s="331">
        <v>0</v>
      </c>
      <c r="U3230" s="328">
        <f>VLOOKUP(C3230,METADATA!$J$5:$Q$29,IF(E3230="HI",2,IF(E3230="LO",6,10))+IF(T3230=1,2,IF(D3230=7,1,(IF(WEEKDAY(B3230)=1,2,IF(WEEKDAY(B3230)=7,1,0))))))</f>
        <v>2</v>
      </c>
      <c r="V3230" s="328">
        <f>VLOOKUP(C3230,METADATA!$A$5:$H$29,IF(E3230="HI",2,IF(E3230="LO",6,10))+IF(T3230=1,2,IF(D3230=7,1,(IF(WEEKDAY(B3230)=1,2,IF(WEEKDAY(B3230)=7,1,0))))))</f>
        <v>2</v>
      </c>
    </row>
    <row r="3231" spans="2:22">
      <c r="B3231" s="318">
        <f t="shared" si="203"/>
        <v>46247</v>
      </c>
      <c r="C3231" s="312">
        <v>11</v>
      </c>
      <c r="D3231" s="368">
        <f>IFERROR((INDEX(METADATA!$T$2:$T$20,MATCH(B3231,METADATA!$S$2:$S$20,0))),0)</f>
        <v>0</v>
      </c>
      <c r="E3231" s="312" t="str">
        <f t="shared" si="200"/>
        <v>LO</v>
      </c>
      <c r="F3231" s="369">
        <f>VLOOKUP(C3231,METADATA!$A$5:$H$29,IF(E3231="HI",2,IF(E3231="LO",6,10))+IF(D3231=1,2,IF(D3231=7,1,(IF(WEEKDAY(B3231)=1,2,IF(WEEKDAY(B3231)=7,1,0))))))</f>
        <v>2</v>
      </c>
      <c r="G3231" s="369">
        <f>VLOOKUP(C3231,METADATA!$J$5:$Q$29,IF(E3231="HI",2,IF(E3231="LO",6,10))+IF(D3231=1,2,IF(D3231=7,1,(IF(WEEKDAY(B3231)=1,2,IF(WEEKDAY(B3231)=7,1,0))))))</f>
        <v>2</v>
      </c>
      <c r="H3231" s="370">
        <v>13353.375122070313</v>
      </c>
      <c r="I3231" s="370">
        <v>4234.0299072265625</v>
      </c>
      <c r="M3231" s="371">
        <f t="shared" si="201"/>
        <v>14008.555828707515</v>
      </c>
      <c r="N3231" s="329">
        <f t="shared" si="202"/>
        <v>228.01737060546884</v>
      </c>
      <c r="T3231" s="331">
        <v>0</v>
      </c>
      <c r="U3231" s="328">
        <f>VLOOKUP(C3231,METADATA!$J$5:$Q$29,IF(E3231="HI",2,IF(E3231="LO",6,10))+IF(T3231=1,2,IF(D3231=7,1,(IF(WEEKDAY(B3231)=1,2,IF(WEEKDAY(B3231)=7,1,0))))))</f>
        <v>2</v>
      </c>
      <c r="V3231" s="328">
        <f>VLOOKUP(C3231,METADATA!$A$5:$H$29,IF(E3231="HI",2,IF(E3231="LO",6,10))+IF(T3231=1,2,IF(D3231=7,1,(IF(WEEKDAY(B3231)=1,2,IF(WEEKDAY(B3231)=7,1,0))))))</f>
        <v>2</v>
      </c>
    </row>
    <row r="3232" spans="2:22">
      <c r="B3232" s="318">
        <f t="shared" si="203"/>
        <v>46247</v>
      </c>
      <c r="C3232" s="312">
        <v>12</v>
      </c>
      <c r="D3232" s="368">
        <f>IFERROR((INDEX(METADATA!$T$2:$T$20,MATCH(B3232,METADATA!$S$2:$S$20,0))),0)</f>
        <v>0</v>
      </c>
      <c r="E3232" s="312" t="str">
        <f t="shared" si="200"/>
        <v>LO</v>
      </c>
      <c r="F3232" s="369">
        <f>VLOOKUP(C3232,METADATA!$A$5:$H$29,IF(E3232="HI",2,IF(E3232="LO",6,10))+IF(D3232=1,2,IF(D3232=7,1,(IF(WEEKDAY(B3232)=1,2,IF(WEEKDAY(B3232)=7,1,0))))))</f>
        <v>2</v>
      </c>
      <c r="G3232" s="369">
        <f>VLOOKUP(C3232,METADATA!$J$5:$Q$29,IF(E3232="HI",2,IF(E3232="LO",6,10))+IF(D3232=1,2,IF(D3232=7,1,(IF(WEEKDAY(B3232)=1,2,IF(WEEKDAY(B3232)=7,1,0))))))</f>
        <v>2</v>
      </c>
      <c r="H3232" s="370">
        <v>13240.475036621094</v>
      </c>
      <c r="I3232" s="370">
        <v>4246.47998046875</v>
      </c>
      <c r="M3232" s="371">
        <f t="shared" si="201"/>
        <v>13904.775130145335</v>
      </c>
      <c r="N3232" s="329">
        <f t="shared" si="202"/>
        <v>274.33746948242197</v>
      </c>
      <c r="T3232" s="331">
        <v>0</v>
      </c>
      <c r="U3232" s="328">
        <f>VLOOKUP(C3232,METADATA!$J$5:$Q$29,IF(E3232="HI",2,IF(E3232="LO",6,10))+IF(T3232=1,2,IF(D3232=7,1,(IF(WEEKDAY(B3232)=1,2,IF(WEEKDAY(B3232)=7,1,0))))))</f>
        <v>2</v>
      </c>
      <c r="V3232" s="328">
        <f>VLOOKUP(C3232,METADATA!$A$5:$H$29,IF(E3232="HI",2,IF(E3232="LO",6,10))+IF(T3232=1,2,IF(D3232=7,1,(IF(WEEKDAY(B3232)=1,2,IF(WEEKDAY(B3232)=7,1,0))))))</f>
        <v>2</v>
      </c>
    </row>
    <row r="3233" spans="2:22">
      <c r="B3233" s="318">
        <f t="shared" si="203"/>
        <v>46247</v>
      </c>
      <c r="C3233" s="312">
        <v>13</v>
      </c>
      <c r="D3233" s="368">
        <f>IFERROR((INDEX(METADATA!$T$2:$T$20,MATCH(B3233,METADATA!$S$2:$S$20,0))),0)</f>
        <v>0</v>
      </c>
      <c r="E3233" s="312" t="str">
        <f t="shared" si="200"/>
        <v>LO</v>
      </c>
      <c r="F3233" s="369">
        <f>VLOOKUP(C3233,METADATA!$A$5:$H$29,IF(E3233="HI",2,IF(E3233="LO",6,10))+IF(D3233=1,2,IF(D3233=7,1,(IF(WEEKDAY(B3233)=1,2,IF(WEEKDAY(B3233)=7,1,0))))))</f>
        <v>2</v>
      </c>
      <c r="G3233" s="369">
        <f>VLOOKUP(C3233,METADATA!$J$5:$Q$29,IF(E3233="HI",2,IF(E3233="LO",6,10))+IF(D3233=1,2,IF(D3233=7,1,(IF(WEEKDAY(B3233)=1,2,IF(WEEKDAY(B3233)=7,1,0))))))</f>
        <v>2</v>
      </c>
      <c r="H3233" s="370">
        <v>13179.599853515625</v>
      </c>
      <c r="I3233" s="370">
        <v>4310.3399963378906</v>
      </c>
      <c r="M3233" s="371">
        <f t="shared" si="201"/>
        <v>13866.538255196183</v>
      </c>
      <c r="N3233" s="329">
        <f t="shared" si="202"/>
        <v>356.4600402832034</v>
      </c>
      <c r="T3233" s="331">
        <v>0</v>
      </c>
      <c r="U3233" s="328">
        <f>VLOOKUP(C3233,METADATA!$J$5:$Q$29,IF(E3233="HI",2,IF(E3233="LO",6,10))+IF(T3233=1,2,IF(D3233=7,1,(IF(WEEKDAY(B3233)=1,2,IF(WEEKDAY(B3233)=7,1,0))))))</f>
        <v>2</v>
      </c>
      <c r="V3233" s="328">
        <f>VLOOKUP(C3233,METADATA!$A$5:$H$29,IF(E3233="HI",2,IF(E3233="LO",6,10))+IF(T3233=1,2,IF(D3233=7,1,(IF(WEEKDAY(B3233)=1,2,IF(WEEKDAY(B3233)=7,1,0))))))</f>
        <v>2</v>
      </c>
    </row>
    <row r="3234" spans="2:22">
      <c r="B3234" s="318">
        <f t="shared" si="203"/>
        <v>46247</v>
      </c>
      <c r="C3234" s="312">
        <v>14</v>
      </c>
      <c r="D3234" s="368">
        <f>IFERROR((INDEX(METADATA!$T$2:$T$20,MATCH(B3234,METADATA!$S$2:$S$20,0))),0)</f>
        <v>0</v>
      </c>
      <c r="E3234" s="312" t="str">
        <f t="shared" si="200"/>
        <v>LO</v>
      </c>
      <c r="F3234" s="369">
        <f>VLOOKUP(C3234,METADATA!$A$5:$H$29,IF(E3234="HI",2,IF(E3234="LO",6,10))+IF(D3234=1,2,IF(D3234=7,1,(IF(WEEKDAY(B3234)=1,2,IF(WEEKDAY(B3234)=7,1,0))))))</f>
        <v>2</v>
      </c>
      <c r="G3234" s="369">
        <f>VLOOKUP(C3234,METADATA!$J$5:$Q$29,IF(E3234="HI",2,IF(E3234="LO",6,10))+IF(D3234=1,2,IF(D3234=7,1,(IF(WEEKDAY(B3234)=1,2,IF(WEEKDAY(B3234)=7,1,0))))))</f>
        <v>2</v>
      </c>
      <c r="H3234" s="370">
        <v>13480.72509765625</v>
      </c>
      <c r="I3234" s="370">
        <v>4515.8600158691406</v>
      </c>
      <c r="M3234" s="371">
        <f t="shared" si="201"/>
        <v>14216.994789388677</v>
      </c>
      <c r="N3234" s="329">
        <f t="shared" si="202"/>
        <v>471.64248657226563</v>
      </c>
      <c r="T3234" s="331">
        <v>0</v>
      </c>
      <c r="U3234" s="328">
        <f>VLOOKUP(C3234,METADATA!$J$5:$Q$29,IF(E3234="HI",2,IF(E3234="LO",6,10))+IF(T3234=1,2,IF(D3234=7,1,(IF(WEEKDAY(B3234)=1,2,IF(WEEKDAY(B3234)=7,1,0))))))</f>
        <v>2</v>
      </c>
      <c r="V3234" s="328">
        <f>VLOOKUP(C3234,METADATA!$A$5:$H$29,IF(E3234="HI",2,IF(E3234="LO",6,10))+IF(T3234=1,2,IF(D3234=7,1,(IF(WEEKDAY(B3234)=1,2,IF(WEEKDAY(B3234)=7,1,0))))))</f>
        <v>2</v>
      </c>
    </row>
    <row r="3235" spans="2:22">
      <c r="B3235" s="318">
        <f t="shared" si="203"/>
        <v>46247</v>
      </c>
      <c r="C3235" s="312">
        <v>15</v>
      </c>
      <c r="D3235" s="368">
        <f>IFERROR((INDEX(METADATA!$T$2:$T$20,MATCH(B3235,METADATA!$S$2:$S$20,0))),0)</f>
        <v>0</v>
      </c>
      <c r="E3235" s="312" t="str">
        <f t="shared" si="200"/>
        <v>LO</v>
      </c>
      <c r="F3235" s="369">
        <f>VLOOKUP(C3235,METADATA!$A$5:$H$29,IF(E3235="HI",2,IF(E3235="LO",6,10))+IF(D3235=1,2,IF(D3235=7,1,(IF(WEEKDAY(B3235)=1,2,IF(WEEKDAY(B3235)=7,1,0))))))</f>
        <v>2</v>
      </c>
      <c r="G3235" s="369">
        <f>VLOOKUP(C3235,METADATA!$J$5:$Q$29,IF(E3235="HI",2,IF(E3235="LO",6,10))+IF(D3235=1,2,IF(D3235=7,1,(IF(WEEKDAY(B3235)=1,2,IF(WEEKDAY(B3235)=7,1,0))))))</f>
        <v>2</v>
      </c>
      <c r="H3235" s="370">
        <v>13525.17529296875</v>
      </c>
      <c r="I3235" s="370">
        <v>4593.4499816894531</v>
      </c>
      <c r="M3235" s="371">
        <f t="shared" si="201"/>
        <v>14283.912259595239</v>
      </c>
      <c r="N3235" s="329">
        <f t="shared" si="202"/>
        <v>535.89739379882849</v>
      </c>
      <c r="T3235" s="331">
        <v>0</v>
      </c>
      <c r="U3235" s="328">
        <f>VLOOKUP(C3235,METADATA!$J$5:$Q$29,IF(E3235="HI",2,IF(E3235="LO",6,10))+IF(T3235=1,2,IF(D3235=7,1,(IF(WEEKDAY(B3235)=1,2,IF(WEEKDAY(B3235)=7,1,0))))))</f>
        <v>2</v>
      </c>
      <c r="V3235" s="328">
        <f>VLOOKUP(C3235,METADATA!$A$5:$H$29,IF(E3235="HI",2,IF(E3235="LO",6,10))+IF(T3235=1,2,IF(D3235=7,1,(IF(WEEKDAY(B3235)=1,2,IF(WEEKDAY(B3235)=7,1,0))))))</f>
        <v>2</v>
      </c>
    </row>
    <row r="3236" spans="2:22">
      <c r="B3236" s="318">
        <f t="shared" si="203"/>
        <v>46247</v>
      </c>
      <c r="C3236" s="312">
        <v>16</v>
      </c>
      <c r="D3236" s="368">
        <f>IFERROR((INDEX(METADATA!$T$2:$T$20,MATCH(B3236,METADATA!$S$2:$S$20,0))),0)</f>
        <v>0</v>
      </c>
      <c r="E3236" s="312" t="str">
        <f t="shared" si="200"/>
        <v>LO</v>
      </c>
      <c r="F3236" s="369">
        <f>VLOOKUP(C3236,METADATA!$A$5:$H$29,IF(E3236="HI",2,IF(E3236="LO",6,10))+IF(D3236=1,2,IF(D3236=7,1,(IF(WEEKDAY(B3236)=1,2,IF(WEEKDAY(B3236)=7,1,0))))))</f>
        <v>2</v>
      </c>
      <c r="G3236" s="369">
        <f>VLOOKUP(C3236,METADATA!$J$5:$Q$29,IF(E3236="HI",2,IF(E3236="LO",6,10))+IF(D3236=1,2,IF(D3236=7,1,(IF(WEEKDAY(B3236)=1,2,IF(WEEKDAY(B3236)=7,1,0))))))</f>
        <v>2</v>
      </c>
      <c r="H3236" s="370">
        <v>13371.049926757813</v>
      </c>
      <c r="I3236" s="370">
        <v>4419.39501953125</v>
      </c>
      <c r="M3236" s="371">
        <f t="shared" si="201"/>
        <v>14082.472385291856</v>
      </c>
      <c r="N3236" s="329">
        <f t="shared" si="202"/>
        <v>408.08004150390661</v>
      </c>
      <c r="T3236" s="331">
        <v>0</v>
      </c>
      <c r="U3236" s="328">
        <f>VLOOKUP(C3236,METADATA!$J$5:$Q$29,IF(E3236="HI",2,IF(E3236="LO",6,10))+IF(T3236=1,2,IF(D3236=7,1,(IF(WEEKDAY(B3236)=1,2,IF(WEEKDAY(B3236)=7,1,0))))))</f>
        <v>2</v>
      </c>
      <c r="V3236" s="328">
        <f>VLOOKUP(C3236,METADATA!$A$5:$H$29,IF(E3236="HI",2,IF(E3236="LO",6,10))+IF(T3236=1,2,IF(D3236=7,1,(IF(WEEKDAY(B3236)=1,2,IF(WEEKDAY(B3236)=7,1,0))))))</f>
        <v>2</v>
      </c>
    </row>
    <row r="3237" spans="2:22">
      <c r="B3237" s="318">
        <f t="shared" si="203"/>
        <v>46247</v>
      </c>
      <c r="C3237" s="312">
        <v>17</v>
      </c>
      <c r="D3237" s="368">
        <f>IFERROR((INDEX(METADATA!$T$2:$T$20,MATCH(B3237,METADATA!$S$2:$S$20,0))),0)</f>
        <v>0</v>
      </c>
      <c r="E3237" s="312" t="str">
        <f t="shared" si="200"/>
        <v>LO</v>
      </c>
      <c r="F3237" s="369">
        <f>VLOOKUP(C3237,METADATA!$A$5:$H$29,IF(E3237="HI",2,IF(E3237="LO",6,10))+IF(D3237=1,2,IF(D3237=7,1,(IF(WEEKDAY(B3237)=1,2,IF(WEEKDAY(B3237)=7,1,0))))))</f>
        <v>2</v>
      </c>
      <c r="G3237" s="369">
        <f>VLOOKUP(C3237,METADATA!$J$5:$Q$29,IF(E3237="HI",2,IF(E3237="LO",6,10))+IF(D3237=1,2,IF(D3237=7,1,(IF(WEEKDAY(B3237)=1,2,IF(WEEKDAY(B3237)=7,1,0))))))</f>
        <v>2</v>
      </c>
      <c r="H3237" s="370">
        <v>12106.574951171875</v>
      </c>
      <c r="I3237" s="370">
        <v>3656.3349914550781</v>
      </c>
      <c r="M3237" s="371">
        <f t="shared" si="201"/>
        <v>12646.657369363696</v>
      </c>
      <c r="N3237" s="329">
        <f t="shared" si="202"/>
        <v>24.362506103515898</v>
      </c>
      <c r="T3237" s="331">
        <v>0</v>
      </c>
      <c r="U3237" s="328">
        <f>VLOOKUP(C3237,METADATA!$J$5:$Q$29,IF(E3237="HI",2,IF(E3237="LO",6,10))+IF(T3237=1,2,IF(D3237=7,1,(IF(WEEKDAY(B3237)=1,2,IF(WEEKDAY(B3237)=7,1,0))))))</f>
        <v>2</v>
      </c>
      <c r="V3237" s="328">
        <f>VLOOKUP(C3237,METADATA!$A$5:$H$29,IF(E3237="HI",2,IF(E3237="LO",6,10))+IF(T3237=1,2,IF(D3237=7,1,(IF(WEEKDAY(B3237)=1,2,IF(WEEKDAY(B3237)=7,1,0))))))</f>
        <v>2</v>
      </c>
    </row>
    <row r="3238" spans="2:22">
      <c r="B3238" s="318">
        <f t="shared" si="203"/>
        <v>46247</v>
      </c>
      <c r="C3238" s="312">
        <v>18</v>
      </c>
      <c r="D3238" s="368">
        <f>IFERROR((INDEX(METADATA!$T$2:$T$20,MATCH(B3238,METADATA!$S$2:$S$20,0))),0)</f>
        <v>0</v>
      </c>
      <c r="E3238" s="312" t="str">
        <f t="shared" si="200"/>
        <v>LO</v>
      </c>
      <c r="F3238" s="369">
        <f>VLOOKUP(C3238,METADATA!$A$5:$H$29,IF(E3238="HI",2,IF(E3238="LO",6,10))+IF(D3238=1,2,IF(D3238=7,1,(IF(WEEKDAY(B3238)=1,2,IF(WEEKDAY(B3238)=7,1,0))))))</f>
        <v>1</v>
      </c>
      <c r="G3238" s="369">
        <f>VLOOKUP(C3238,METADATA!$J$5:$Q$29,IF(E3238="HI",2,IF(E3238="LO",6,10))+IF(D3238=1,2,IF(D3238=7,1,(IF(WEEKDAY(B3238)=1,2,IF(WEEKDAY(B3238)=7,1,0))))))</f>
        <v>1</v>
      </c>
      <c r="H3238" s="370">
        <v>11955.700317382813</v>
      </c>
      <c r="I3238" s="370">
        <v>3391.4125061035156</v>
      </c>
      <c r="M3238" s="371">
        <f t="shared" si="201"/>
        <v>12427.407165842069</v>
      </c>
      <c r="N3238" s="329">
        <f t="shared" si="202"/>
        <v>0</v>
      </c>
      <c r="T3238" s="331">
        <v>0</v>
      </c>
      <c r="U3238" s="328">
        <f>VLOOKUP(C3238,METADATA!$J$5:$Q$29,IF(E3238="HI",2,IF(E3238="LO",6,10))+IF(T3238=1,2,IF(D3238=7,1,(IF(WEEKDAY(B3238)=1,2,IF(WEEKDAY(B3238)=7,1,0))))))</f>
        <v>1</v>
      </c>
      <c r="V3238" s="328">
        <f>VLOOKUP(C3238,METADATA!$A$5:$H$29,IF(E3238="HI",2,IF(E3238="LO",6,10))+IF(T3238=1,2,IF(D3238=7,1,(IF(WEEKDAY(B3238)=1,2,IF(WEEKDAY(B3238)=7,1,0))))))</f>
        <v>1</v>
      </c>
    </row>
    <row r="3239" spans="2:22">
      <c r="B3239" s="318">
        <f t="shared" si="203"/>
        <v>46247</v>
      </c>
      <c r="C3239" s="312">
        <v>19</v>
      </c>
      <c r="D3239" s="368">
        <f>IFERROR((INDEX(METADATA!$T$2:$T$20,MATCH(B3239,METADATA!$S$2:$S$20,0))),0)</f>
        <v>0</v>
      </c>
      <c r="E3239" s="312" t="str">
        <f t="shared" si="200"/>
        <v>LO</v>
      </c>
      <c r="F3239" s="369">
        <f>VLOOKUP(C3239,METADATA!$A$5:$H$29,IF(E3239="HI",2,IF(E3239="LO",6,10))+IF(D3239=1,2,IF(D3239=7,1,(IF(WEEKDAY(B3239)=1,2,IF(WEEKDAY(B3239)=7,1,0))))))</f>
        <v>1</v>
      </c>
      <c r="G3239" s="369">
        <f>VLOOKUP(C3239,METADATA!$J$5:$Q$29,IF(E3239="HI",2,IF(E3239="LO",6,10))+IF(D3239=1,2,IF(D3239=7,1,(IF(WEEKDAY(B3239)=1,2,IF(WEEKDAY(B3239)=7,1,0))))))</f>
        <v>1</v>
      </c>
      <c r="H3239" s="370">
        <v>13425.750183105469</v>
      </c>
      <c r="I3239" s="370">
        <v>4251.9349060058594</v>
      </c>
      <c r="M3239" s="371">
        <f t="shared" si="201"/>
        <v>14082.958440046168</v>
      </c>
      <c r="N3239" s="329">
        <f t="shared" si="202"/>
        <v>224.20985107421893</v>
      </c>
      <c r="T3239" s="331">
        <v>0</v>
      </c>
      <c r="U3239" s="328">
        <f>VLOOKUP(C3239,METADATA!$J$5:$Q$29,IF(E3239="HI",2,IF(E3239="LO",6,10))+IF(T3239=1,2,IF(D3239=7,1,(IF(WEEKDAY(B3239)=1,2,IF(WEEKDAY(B3239)=7,1,0))))))</f>
        <v>1</v>
      </c>
      <c r="V3239" s="328">
        <f>VLOOKUP(C3239,METADATA!$A$5:$H$29,IF(E3239="HI",2,IF(E3239="LO",6,10))+IF(T3239=1,2,IF(D3239=7,1,(IF(WEEKDAY(B3239)=1,2,IF(WEEKDAY(B3239)=7,1,0))))))</f>
        <v>1</v>
      </c>
    </row>
    <row r="3240" spans="2:22">
      <c r="B3240" s="318">
        <f t="shared" si="203"/>
        <v>46247</v>
      </c>
      <c r="C3240" s="312">
        <v>20</v>
      </c>
      <c r="D3240" s="368">
        <f>IFERROR((INDEX(METADATA!$T$2:$T$20,MATCH(B3240,METADATA!$S$2:$S$20,0))),0)</f>
        <v>0</v>
      </c>
      <c r="E3240" s="312" t="str">
        <f t="shared" si="200"/>
        <v>LO</v>
      </c>
      <c r="F3240" s="369">
        <f>VLOOKUP(C3240,METADATA!$A$5:$H$29,IF(E3240="HI",2,IF(E3240="LO",6,10))+IF(D3240=1,2,IF(D3240=7,1,(IF(WEEKDAY(B3240)=1,2,IF(WEEKDAY(B3240)=7,1,0))))))</f>
        <v>1</v>
      </c>
      <c r="G3240" s="369">
        <f>VLOOKUP(C3240,METADATA!$J$5:$Q$29,IF(E3240="HI",2,IF(E3240="LO",6,10))+IF(D3240=1,2,IF(D3240=7,1,(IF(WEEKDAY(B3240)=1,2,IF(WEEKDAY(B3240)=7,1,0))))))</f>
        <v>1</v>
      </c>
      <c r="H3240" s="370">
        <v>13520.900024414063</v>
      </c>
      <c r="I3240" s="370">
        <v>4357.9850769042969</v>
      </c>
      <c r="M3240" s="371">
        <f t="shared" si="201"/>
        <v>14205.871018727459</v>
      </c>
      <c r="N3240" s="329">
        <f t="shared" si="202"/>
        <v>301.71506958007831</v>
      </c>
      <c r="T3240" s="331">
        <v>0</v>
      </c>
      <c r="U3240" s="328">
        <f>VLOOKUP(C3240,METADATA!$J$5:$Q$29,IF(E3240="HI",2,IF(E3240="LO",6,10))+IF(T3240=1,2,IF(D3240=7,1,(IF(WEEKDAY(B3240)=1,2,IF(WEEKDAY(B3240)=7,1,0))))))</f>
        <v>1</v>
      </c>
      <c r="V3240" s="328">
        <f>VLOOKUP(C3240,METADATA!$A$5:$H$29,IF(E3240="HI",2,IF(E3240="LO",6,10))+IF(T3240=1,2,IF(D3240=7,1,(IF(WEEKDAY(B3240)=1,2,IF(WEEKDAY(B3240)=7,1,0))))))</f>
        <v>1</v>
      </c>
    </row>
    <row r="3241" spans="2:22">
      <c r="B3241" s="318">
        <f t="shared" si="203"/>
        <v>46247</v>
      </c>
      <c r="C3241" s="312">
        <v>21</v>
      </c>
      <c r="D3241" s="368">
        <f>IFERROR((INDEX(METADATA!$T$2:$T$20,MATCH(B3241,METADATA!$S$2:$S$20,0))),0)</f>
        <v>0</v>
      </c>
      <c r="E3241" s="312" t="str">
        <f t="shared" si="200"/>
        <v>LO</v>
      </c>
      <c r="F3241" s="369">
        <f>VLOOKUP(C3241,METADATA!$A$5:$H$29,IF(E3241="HI",2,IF(E3241="LO",6,10))+IF(D3241=1,2,IF(D3241=7,1,(IF(WEEKDAY(B3241)=1,2,IF(WEEKDAY(B3241)=7,1,0))))))</f>
        <v>2</v>
      </c>
      <c r="G3241" s="369">
        <f>VLOOKUP(C3241,METADATA!$J$5:$Q$29,IF(E3241="HI",2,IF(E3241="LO",6,10))+IF(D3241=1,2,IF(D3241=7,1,(IF(WEEKDAY(B3241)=1,2,IF(WEEKDAY(B3241)=7,1,0))))))</f>
        <v>2</v>
      </c>
      <c r="H3241" s="370">
        <v>13517.249877929688</v>
      </c>
      <c r="I3241" s="370">
        <v>4417.9249572753906</v>
      </c>
      <c r="M3241" s="371">
        <f t="shared" si="201"/>
        <v>14220.903810605952</v>
      </c>
      <c r="N3241" s="329">
        <f t="shared" si="202"/>
        <v>362.74999389648474</v>
      </c>
      <c r="T3241" s="331">
        <v>0</v>
      </c>
      <c r="U3241" s="328">
        <f>VLOOKUP(C3241,METADATA!$J$5:$Q$29,IF(E3241="HI",2,IF(E3241="LO",6,10))+IF(T3241=1,2,IF(D3241=7,1,(IF(WEEKDAY(B3241)=1,2,IF(WEEKDAY(B3241)=7,1,0))))))</f>
        <v>2</v>
      </c>
      <c r="V3241" s="328">
        <f>VLOOKUP(C3241,METADATA!$A$5:$H$29,IF(E3241="HI",2,IF(E3241="LO",6,10))+IF(T3241=1,2,IF(D3241=7,1,(IF(WEEKDAY(B3241)=1,2,IF(WEEKDAY(B3241)=7,1,0))))))</f>
        <v>2</v>
      </c>
    </row>
    <row r="3242" spans="2:22">
      <c r="B3242" s="318">
        <f t="shared" si="203"/>
        <v>46247</v>
      </c>
      <c r="C3242" s="312">
        <v>22</v>
      </c>
      <c r="D3242" s="368">
        <f>IFERROR((INDEX(METADATA!$T$2:$T$20,MATCH(B3242,METADATA!$S$2:$S$20,0))),0)</f>
        <v>0</v>
      </c>
      <c r="E3242" s="312" t="str">
        <f t="shared" si="200"/>
        <v>LO</v>
      </c>
      <c r="F3242" s="369">
        <f>VLOOKUP(C3242,METADATA!$A$5:$H$29,IF(E3242="HI",2,IF(E3242="LO",6,10))+IF(D3242=1,2,IF(D3242=7,1,(IF(WEEKDAY(B3242)=1,2,IF(WEEKDAY(B3242)=7,1,0))))))</f>
        <v>3</v>
      </c>
      <c r="G3242" s="369">
        <f>VLOOKUP(C3242,METADATA!$J$5:$Q$29,IF(E3242="HI",2,IF(E3242="LO",6,10))+IF(D3242=1,2,IF(D3242=7,1,(IF(WEEKDAY(B3242)=1,2,IF(WEEKDAY(B3242)=7,1,0))))))</f>
        <v>3</v>
      </c>
      <c r="H3242" s="370">
        <v>13510.974975585938</v>
      </c>
      <c r="I3242" s="370">
        <v>4532.3200073242188</v>
      </c>
      <c r="M3242" s="371">
        <f t="shared" si="201"/>
        <v>14250.907670731041</v>
      </c>
      <c r="N3242" s="329">
        <f t="shared" si="202"/>
        <v>479.02751464843777</v>
      </c>
      <c r="T3242" s="331">
        <v>0</v>
      </c>
      <c r="U3242" s="328">
        <f>VLOOKUP(C3242,METADATA!$J$5:$Q$29,IF(E3242="HI",2,IF(E3242="LO",6,10))+IF(T3242=1,2,IF(D3242=7,1,(IF(WEEKDAY(B3242)=1,2,IF(WEEKDAY(B3242)=7,1,0))))))</f>
        <v>3</v>
      </c>
      <c r="V3242" s="328">
        <f>VLOOKUP(C3242,METADATA!$A$5:$H$29,IF(E3242="HI",2,IF(E3242="LO",6,10))+IF(T3242=1,2,IF(D3242=7,1,(IF(WEEKDAY(B3242)=1,2,IF(WEEKDAY(B3242)=7,1,0))))))</f>
        <v>3</v>
      </c>
    </row>
    <row r="3243" spans="2:22">
      <c r="B3243" s="318">
        <f t="shared" si="203"/>
        <v>46247</v>
      </c>
      <c r="C3243" s="312">
        <v>23</v>
      </c>
      <c r="D3243" s="368">
        <f>IFERROR((INDEX(METADATA!$T$2:$T$20,MATCH(B3243,METADATA!$S$2:$S$20,0))),0)</f>
        <v>0</v>
      </c>
      <c r="E3243" s="312" t="str">
        <f t="shared" si="200"/>
        <v>LO</v>
      </c>
      <c r="F3243" s="369">
        <f>VLOOKUP(C3243,METADATA!$A$5:$H$29,IF(E3243="HI",2,IF(E3243="LO",6,10))+IF(D3243=1,2,IF(D3243=7,1,(IF(WEEKDAY(B3243)=1,2,IF(WEEKDAY(B3243)=7,1,0))))))</f>
        <v>3</v>
      </c>
      <c r="G3243" s="369">
        <f>VLOOKUP(C3243,METADATA!$J$5:$Q$29,IF(E3243="HI",2,IF(E3243="LO",6,10))+IF(D3243=1,2,IF(D3243=7,1,(IF(WEEKDAY(B3243)=1,2,IF(WEEKDAY(B3243)=7,1,0))))))</f>
        <v>3</v>
      </c>
      <c r="H3243" s="370">
        <v>13504.999816894531</v>
      </c>
      <c r="I3243" s="370">
        <v>4580.3399353027344</v>
      </c>
      <c r="M3243" s="371">
        <f t="shared" si="201"/>
        <v>14260.593745607172</v>
      </c>
      <c r="N3243" s="329">
        <f t="shared" si="202"/>
        <v>528.83999023437536</v>
      </c>
      <c r="T3243" s="331">
        <v>0</v>
      </c>
      <c r="U3243" s="328">
        <f>VLOOKUP(C3243,METADATA!$J$5:$Q$29,IF(E3243="HI",2,IF(E3243="LO",6,10))+IF(T3243=1,2,IF(D3243=7,1,(IF(WEEKDAY(B3243)=1,2,IF(WEEKDAY(B3243)=7,1,0))))))</f>
        <v>3</v>
      </c>
      <c r="V3243" s="328">
        <f>VLOOKUP(C3243,METADATA!$A$5:$H$29,IF(E3243="HI",2,IF(E3243="LO",6,10))+IF(T3243=1,2,IF(D3243=7,1,(IF(WEEKDAY(B3243)=1,2,IF(WEEKDAY(B3243)=7,1,0))))))</f>
        <v>3</v>
      </c>
    </row>
    <row r="3244" spans="2:22">
      <c r="B3244" s="318">
        <f t="shared" si="203"/>
        <v>46248</v>
      </c>
      <c r="C3244" s="312">
        <v>0</v>
      </c>
      <c r="D3244" s="368">
        <f>IFERROR((INDEX(METADATA!$T$2:$T$20,MATCH(B3244,METADATA!$S$2:$S$20,0))),0)</f>
        <v>0</v>
      </c>
      <c r="E3244" s="312" t="str">
        <f t="shared" si="200"/>
        <v>LO</v>
      </c>
      <c r="F3244" s="369">
        <f>VLOOKUP(C3244,METADATA!$A$5:$H$29,IF(E3244="HI",2,IF(E3244="LO",6,10))+IF(D3244=1,2,IF(D3244=7,1,(IF(WEEKDAY(B3244)=1,2,IF(WEEKDAY(B3244)=7,1,0))))))</f>
        <v>3</v>
      </c>
      <c r="G3244" s="369">
        <f>VLOOKUP(C3244,METADATA!$J$5:$Q$29,IF(E3244="HI",2,IF(E3244="LO",6,10))+IF(D3244=1,2,IF(D3244=7,1,(IF(WEEKDAY(B3244)=1,2,IF(WEEKDAY(B3244)=7,1,0))))))</f>
        <v>3</v>
      </c>
      <c r="H3244" s="370">
        <v>13151.775146484375</v>
      </c>
      <c r="I3244" s="370">
        <v>4438.9000244140625</v>
      </c>
      <c r="M3244" s="371">
        <f t="shared" si="201"/>
        <v>13880.670838631224</v>
      </c>
      <c r="N3244" s="329">
        <f t="shared" si="202"/>
        <v>493.36748046875027</v>
      </c>
      <c r="T3244" s="331">
        <v>0</v>
      </c>
      <c r="U3244" s="328">
        <f>VLOOKUP(C3244,METADATA!$J$5:$Q$29,IF(E3244="HI",2,IF(E3244="LO",6,10))+IF(T3244=1,2,IF(D3244=7,1,(IF(WEEKDAY(B3244)=1,2,IF(WEEKDAY(B3244)=7,1,0))))))</f>
        <v>3</v>
      </c>
      <c r="V3244" s="328">
        <f>VLOOKUP(C3244,METADATA!$A$5:$H$29,IF(E3244="HI",2,IF(E3244="LO",6,10))+IF(T3244=1,2,IF(D3244=7,1,(IF(WEEKDAY(B3244)=1,2,IF(WEEKDAY(B3244)=7,1,0))))))</f>
        <v>3</v>
      </c>
    </row>
    <row r="3245" spans="2:22">
      <c r="B3245" s="318">
        <f t="shared" si="203"/>
        <v>46248</v>
      </c>
      <c r="C3245" s="312">
        <v>1</v>
      </c>
      <c r="D3245" s="368">
        <f>IFERROR((INDEX(METADATA!$T$2:$T$20,MATCH(B3245,METADATA!$S$2:$S$20,0))),0)</f>
        <v>0</v>
      </c>
      <c r="E3245" s="312" t="str">
        <f t="shared" si="200"/>
        <v>LO</v>
      </c>
      <c r="F3245" s="369">
        <f>VLOOKUP(C3245,METADATA!$A$5:$H$29,IF(E3245="HI",2,IF(E3245="LO",6,10))+IF(D3245=1,2,IF(D3245=7,1,(IF(WEEKDAY(B3245)=1,2,IF(WEEKDAY(B3245)=7,1,0))))))</f>
        <v>3</v>
      </c>
      <c r="G3245" s="369">
        <f>VLOOKUP(C3245,METADATA!$J$5:$Q$29,IF(E3245="HI",2,IF(E3245="LO",6,10))+IF(D3245=1,2,IF(D3245=7,1,(IF(WEEKDAY(B3245)=1,2,IF(WEEKDAY(B3245)=7,1,0))))))</f>
        <v>3</v>
      </c>
      <c r="H3245" s="370">
        <v>13258.377563476563</v>
      </c>
      <c r="I3245" s="370">
        <v>4329.1149597167969</v>
      </c>
      <c r="M3245" s="371">
        <f t="shared" si="201"/>
        <v>13947.251053528164</v>
      </c>
      <c r="N3245" s="329">
        <f t="shared" si="202"/>
        <v>351.60169067382822</v>
      </c>
      <c r="T3245" s="331">
        <v>0</v>
      </c>
      <c r="U3245" s="328">
        <f>VLOOKUP(C3245,METADATA!$J$5:$Q$29,IF(E3245="HI",2,IF(E3245="LO",6,10))+IF(T3245=1,2,IF(D3245=7,1,(IF(WEEKDAY(B3245)=1,2,IF(WEEKDAY(B3245)=7,1,0))))))</f>
        <v>3</v>
      </c>
      <c r="V3245" s="328">
        <f>VLOOKUP(C3245,METADATA!$A$5:$H$29,IF(E3245="HI",2,IF(E3245="LO",6,10))+IF(T3245=1,2,IF(D3245=7,1,(IF(WEEKDAY(B3245)=1,2,IF(WEEKDAY(B3245)=7,1,0))))))</f>
        <v>3</v>
      </c>
    </row>
    <row r="3246" spans="2:22">
      <c r="B3246" s="318">
        <f t="shared" si="203"/>
        <v>46248</v>
      </c>
      <c r="C3246" s="312">
        <v>2</v>
      </c>
      <c r="D3246" s="368">
        <f>IFERROR((INDEX(METADATA!$T$2:$T$20,MATCH(B3246,METADATA!$S$2:$S$20,0))),0)</f>
        <v>0</v>
      </c>
      <c r="E3246" s="312" t="str">
        <f t="shared" si="200"/>
        <v>LO</v>
      </c>
      <c r="F3246" s="369">
        <f>VLOOKUP(C3246,METADATA!$A$5:$H$29,IF(E3246="HI",2,IF(E3246="LO",6,10))+IF(D3246=1,2,IF(D3246=7,1,(IF(WEEKDAY(B3246)=1,2,IF(WEEKDAY(B3246)=7,1,0))))))</f>
        <v>3</v>
      </c>
      <c r="G3246" s="369">
        <f>VLOOKUP(C3246,METADATA!$J$5:$Q$29,IF(E3246="HI",2,IF(E3246="LO",6,10))+IF(D3246=1,2,IF(D3246=7,1,(IF(WEEKDAY(B3246)=1,2,IF(WEEKDAY(B3246)=7,1,0))))))</f>
        <v>3</v>
      </c>
      <c r="H3246" s="370">
        <v>11901.22509765625</v>
      </c>
      <c r="I3246" s="370">
        <v>3410.6875305175781</v>
      </c>
      <c r="M3246" s="371">
        <f t="shared" si="201"/>
        <v>12380.304853108873</v>
      </c>
      <c r="N3246" s="329">
        <f t="shared" si="202"/>
        <v>0</v>
      </c>
      <c r="T3246" s="331">
        <v>0</v>
      </c>
      <c r="U3246" s="328">
        <f>VLOOKUP(C3246,METADATA!$J$5:$Q$29,IF(E3246="HI",2,IF(E3246="LO",6,10))+IF(T3246=1,2,IF(D3246=7,1,(IF(WEEKDAY(B3246)=1,2,IF(WEEKDAY(B3246)=7,1,0))))))</f>
        <v>3</v>
      </c>
      <c r="V3246" s="328">
        <f>VLOOKUP(C3246,METADATA!$A$5:$H$29,IF(E3246="HI",2,IF(E3246="LO",6,10))+IF(T3246=1,2,IF(D3246=7,1,(IF(WEEKDAY(B3246)=1,2,IF(WEEKDAY(B3246)=7,1,0))))))</f>
        <v>3</v>
      </c>
    </row>
    <row r="3247" spans="2:22">
      <c r="B3247" s="318">
        <f t="shared" si="203"/>
        <v>46248</v>
      </c>
      <c r="C3247" s="312">
        <v>3</v>
      </c>
      <c r="D3247" s="368">
        <f>IFERROR((INDEX(METADATA!$T$2:$T$20,MATCH(B3247,METADATA!$S$2:$S$20,0))),0)</f>
        <v>0</v>
      </c>
      <c r="E3247" s="312" t="str">
        <f t="shared" si="200"/>
        <v>LO</v>
      </c>
      <c r="F3247" s="369">
        <f>VLOOKUP(C3247,METADATA!$A$5:$H$29,IF(E3247="HI",2,IF(E3247="LO",6,10))+IF(D3247=1,2,IF(D3247=7,1,(IF(WEEKDAY(B3247)=1,2,IF(WEEKDAY(B3247)=7,1,0))))))</f>
        <v>3</v>
      </c>
      <c r="G3247" s="369">
        <f>VLOOKUP(C3247,METADATA!$J$5:$Q$29,IF(E3247="HI",2,IF(E3247="LO",6,10))+IF(D3247=1,2,IF(D3247=7,1,(IF(WEEKDAY(B3247)=1,2,IF(WEEKDAY(B3247)=7,1,0))))))</f>
        <v>3</v>
      </c>
      <c r="H3247" s="370">
        <v>11234.449645996094</v>
      </c>
      <c r="I3247" s="370">
        <v>3014.9500427246094</v>
      </c>
      <c r="M3247" s="371">
        <f t="shared" si="201"/>
        <v>11631.972429839527</v>
      </c>
      <c r="N3247" s="329">
        <f t="shared" si="202"/>
        <v>0</v>
      </c>
      <c r="T3247" s="331">
        <v>0</v>
      </c>
      <c r="U3247" s="328">
        <f>VLOOKUP(C3247,METADATA!$J$5:$Q$29,IF(E3247="HI",2,IF(E3247="LO",6,10))+IF(T3247=1,2,IF(D3247=7,1,(IF(WEEKDAY(B3247)=1,2,IF(WEEKDAY(B3247)=7,1,0))))))</f>
        <v>3</v>
      </c>
      <c r="V3247" s="328">
        <f>VLOOKUP(C3247,METADATA!$A$5:$H$29,IF(E3247="HI",2,IF(E3247="LO",6,10))+IF(T3247=1,2,IF(D3247=7,1,(IF(WEEKDAY(B3247)=1,2,IF(WEEKDAY(B3247)=7,1,0))))))</f>
        <v>3</v>
      </c>
    </row>
    <row r="3248" spans="2:22">
      <c r="B3248" s="318">
        <f t="shared" si="203"/>
        <v>46248</v>
      </c>
      <c r="C3248" s="312">
        <v>4</v>
      </c>
      <c r="D3248" s="368">
        <f>IFERROR((INDEX(METADATA!$T$2:$T$20,MATCH(B3248,METADATA!$S$2:$S$20,0))),0)</f>
        <v>0</v>
      </c>
      <c r="E3248" s="312" t="str">
        <f t="shared" si="200"/>
        <v>LO</v>
      </c>
      <c r="F3248" s="369">
        <f>VLOOKUP(C3248,METADATA!$A$5:$H$29,IF(E3248="HI",2,IF(E3248="LO",6,10))+IF(D3248=1,2,IF(D3248=7,1,(IF(WEEKDAY(B3248)=1,2,IF(WEEKDAY(B3248)=7,1,0))))))</f>
        <v>3</v>
      </c>
      <c r="G3248" s="369">
        <f>VLOOKUP(C3248,METADATA!$J$5:$Q$29,IF(E3248="HI",2,IF(E3248="LO",6,10))+IF(D3248=1,2,IF(D3248=7,1,(IF(WEEKDAY(B3248)=1,2,IF(WEEKDAY(B3248)=7,1,0))))))</f>
        <v>3</v>
      </c>
      <c r="H3248" s="370">
        <v>12944.649658203125</v>
      </c>
      <c r="I3248" s="370">
        <v>3917.0150146484375</v>
      </c>
      <c r="M3248" s="371">
        <f t="shared" si="201"/>
        <v>13524.310015620005</v>
      </c>
      <c r="N3248" s="329">
        <f t="shared" si="202"/>
        <v>33.6201171875</v>
      </c>
      <c r="T3248" s="331">
        <v>0</v>
      </c>
      <c r="U3248" s="328">
        <f>VLOOKUP(C3248,METADATA!$J$5:$Q$29,IF(E3248="HI",2,IF(E3248="LO",6,10))+IF(T3248=1,2,IF(D3248=7,1,(IF(WEEKDAY(B3248)=1,2,IF(WEEKDAY(B3248)=7,1,0))))))</f>
        <v>3</v>
      </c>
      <c r="V3248" s="328">
        <f>VLOOKUP(C3248,METADATA!$A$5:$H$29,IF(E3248="HI",2,IF(E3248="LO",6,10))+IF(T3248=1,2,IF(D3248=7,1,(IF(WEEKDAY(B3248)=1,2,IF(WEEKDAY(B3248)=7,1,0))))))</f>
        <v>3</v>
      </c>
    </row>
    <row r="3249" spans="2:22">
      <c r="B3249" s="318">
        <f t="shared" si="203"/>
        <v>46248</v>
      </c>
      <c r="C3249" s="312">
        <v>5</v>
      </c>
      <c r="D3249" s="368">
        <f>IFERROR((INDEX(METADATA!$T$2:$T$20,MATCH(B3249,METADATA!$S$2:$S$20,0))),0)</f>
        <v>0</v>
      </c>
      <c r="E3249" s="312" t="str">
        <f t="shared" si="200"/>
        <v>LO</v>
      </c>
      <c r="F3249" s="369">
        <f>VLOOKUP(C3249,METADATA!$A$5:$H$29,IF(E3249="HI",2,IF(E3249="LO",6,10))+IF(D3249=1,2,IF(D3249=7,1,(IF(WEEKDAY(B3249)=1,2,IF(WEEKDAY(B3249)=7,1,0))))))</f>
        <v>3</v>
      </c>
      <c r="G3249" s="369">
        <f>VLOOKUP(C3249,METADATA!$J$5:$Q$29,IF(E3249="HI",2,IF(E3249="LO",6,10))+IF(D3249=1,2,IF(D3249=7,1,(IF(WEEKDAY(B3249)=1,2,IF(WEEKDAY(B3249)=7,1,0))))))</f>
        <v>3</v>
      </c>
      <c r="H3249" s="370">
        <v>13476.899963378906</v>
      </c>
      <c r="I3249" s="370">
        <v>4087.6900634765625</v>
      </c>
      <c r="M3249" s="371">
        <f t="shared" si="201"/>
        <v>14083.182973957533</v>
      </c>
      <c r="N3249" s="329">
        <f t="shared" si="202"/>
        <v>44.620074462890898</v>
      </c>
      <c r="T3249" s="331">
        <v>0</v>
      </c>
      <c r="U3249" s="328">
        <f>VLOOKUP(C3249,METADATA!$J$5:$Q$29,IF(E3249="HI",2,IF(E3249="LO",6,10))+IF(T3249=1,2,IF(D3249=7,1,(IF(WEEKDAY(B3249)=1,2,IF(WEEKDAY(B3249)=7,1,0))))))</f>
        <v>3</v>
      </c>
      <c r="V3249" s="328">
        <f>VLOOKUP(C3249,METADATA!$A$5:$H$29,IF(E3249="HI",2,IF(E3249="LO",6,10))+IF(T3249=1,2,IF(D3249=7,1,(IF(WEEKDAY(B3249)=1,2,IF(WEEKDAY(B3249)=7,1,0))))))</f>
        <v>3</v>
      </c>
    </row>
    <row r="3250" spans="2:22">
      <c r="B3250" s="318">
        <f t="shared" si="203"/>
        <v>46248</v>
      </c>
      <c r="C3250" s="312">
        <v>6</v>
      </c>
      <c r="D3250" s="368">
        <f>IFERROR((INDEX(METADATA!$T$2:$T$20,MATCH(B3250,METADATA!$S$2:$S$20,0))),0)</f>
        <v>0</v>
      </c>
      <c r="E3250" s="312" t="str">
        <f t="shared" si="200"/>
        <v>LO</v>
      </c>
      <c r="F3250" s="369">
        <f>VLOOKUP(C3250,METADATA!$A$5:$H$29,IF(E3250="HI",2,IF(E3250="LO",6,10))+IF(D3250=1,2,IF(D3250=7,1,(IF(WEEKDAY(B3250)=1,2,IF(WEEKDAY(B3250)=7,1,0))))))</f>
        <v>2</v>
      </c>
      <c r="G3250" s="369">
        <f>VLOOKUP(C3250,METADATA!$J$5:$Q$29,IF(E3250="HI",2,IF(E3250="LO",6,10))+IF(D3250=1,2,IF(D3250=7,1,(IF(WEEKDAY(B3250)=1,2,IF(WEEKDAY(B3250)=7,1,0))))))</f>
        <v>2</v>
      </c>
      <c r="H3250" s="370">
        <v>13330.650024414063</v>
      </c>
      <c r="I3250" s="370">
        <v>4211.639892578125</v>
      </c>
      <c r="M3250" s="371">
        <f t="shared" si="201"/>
        <v>13980.133785417294</v>
      </c>
      <c r="N3250" s="329">
        <f t="shared" si="202"/>
        <v>212.44488525390625</v>
      </c>
      <c r="T3250" s="331">
        <v>0</v>
      </c>
      <c r="U3250" s="328">
        <f>VLOOKUP(C3250,METADATA!$J$5:$Q$29,IF(E3250="HI",2,IF(E3250="LO",6,10))+IF(T3250=1,2,IF(D3250=7,1,(IF(WEEKDAY(B3250)=1,2,IF(WEEKDAY(B3250)=7,1,0))))))</f>
        <v>2</v>
      </c>
      <c r="V3250" s="328">
        <f>VLOOKUP(C3250,METADATA!$A$5:$H$29,IF(E3250="HI",2,IF(E3250="LO",6,10))+IF(T3250=1,2,IF(D3250=7,1,(IF(WEEKDAY(B3250)=1,2,IF(WEEKDAY(B3250)=7,1,0))))))</f>
        <v>2</v>
      </c>
    </row>
    <row r="3251" spans="2:22">
      <c r="B3251" s="318">
        <f t="shared" si="203"/>
        <v>46248</v>
      </c>
      <c r="C3251" s="312">
        <v>7</v>
      </c>
      <c r="D3251" s="368">
        <f>IFERROR((INDEX(METADATA!$T$2:$T$20,MATCH(B3251,METADATA!$S$2:$S$20,0))),0)</f>
        <v>0</v>
      </c>
      <c r="E3251" s="312" t="str">
        <f t="shared" si="200"/>
        <v>LO</v>
      </c>
      <c r="F3251" s="369">
        <f>VLOOKUP(C3251,METADATA!$A$5:$H$29,IF(E3251="HI",2,IF(E3251="LO",6,10))+IF(D3251=1,2,IF(D3251=7,1,(IF(WEEKDAY(B3251)=1,2,IF(WEEKDAY(B3251)=7,1,0))))))</f>
        <v>1</v>
      </c>
      <c r="G3251" s="369">
        <f>VLOOKUP(C3251,METADATA!$J$5:$Q$29,IF(E3251="HI",2,IF(E3251="LO",6,10))+IF(D3251=1,2,IF(D3251=7,1,(IF(WEEKDAY(B3251)=1,2,IF(WEEKDAY(B3251)=7,1,0))))))</f>
        <v>1</v>
      </c>
      <c r="H3251" s="370">
        <v>13261.400268554688</v>
      </c>
      <c r="I3251" s="370">
        <v>4268.8349609375</v>
      </c>
      <c r="M3251" s="371">
        <f t="shared" si="201"/>
        <v>13931.535773436632</v>
      </c>
      <c r="N3251" s="329">
        <f t="shared" si="202"/>
        <v>290.41488037109411</v>
      </c>
      <c r="T3251" s="331">
        <v>0</v>
      </c>
      <c r="U3251" s="328">
        <f>VLOOKUP(C3251,METADATA!$J$5:$Q$29,IF(E3251="HI",2,IF(E3251="LO",6,10))+IF(T3251=1,2,IF(D3251=7,1,(IF(WEEKDAY(B3251)=1,2,IF(WEEKDAY(B3251)=7,1,0))))))</f>
        <v>1</v>
      </c>
      <c r="V3251" s="328">
        <f>VLOOKUP(C3251,METADATA!$A$5:$H$29,IF(E3251="HI",2,IF(E3251="LO",6,10))+IF(T3251=1,2,IF(D3251=7,1,(IF(WEEKDAY(B3251)=1,2,IF(WEEKDAY(B3251)=7,1,0))))))</f>
        <v>1</v>
      </c>
    </row>
    <row r="3252" spans="2:22">
      <c r="B3252" s="318">
        <f t="shared" si="203"/>
        <v>46248</v>
      </c>
      <c r="C3252" s="312">
        <v>8</v>
      </c>
      <c r="D3252" s="368">
        <f>IFERROR((INDEX(METADATA!$T$2:$T$20,MATCH(B3252,METADATA!$S$2:$S$20,0))),0)</f>
        <v>0</v>
      </c>
      <c r="E3252" s="312" t="str">
        <f t="shared" si="200"/>
        <v>LO</v>
      </c>
      <c r="F3252" s="369">
        <f>VLOOKUP(C3252,METADATA!$A$5:$H$29,IF(E3252="HI",2,IF(E3252="LO",6,10))+IF(D3252=1,2,IF(D3252=7,1,(IF(WEEKDAY(B3252)=1,2,IF(WEEKDAY(B3252)=7,1,0))))))</f>
        <v>1</v>
      </c>
      <c r="G3252" s="369">
        <f>VLOOKUP(C3252,METADATA!$J$5:$Q$29,IF(E3252="HI",2,IF(E3252="LO",6,10))+IF(D3252=1,2,IF(D3252=7,1,(IF(WEEKDAY(B3252)=1,2,IF(WEEKDAY(B3252)=7,1,0))))))</f>
        <v>1</v>
      </c>
      <c r="H3252" s="370">
        <v>13222.10009765625</v>
      </c>
      <c r="I3252" s="370">
        <v>4131.4700317382813</v>
      </c>
      <c r="M3252" s="371">
        <f t="shared" si="201"/>
        <v>13852.544012404109</v>
      </c>
      <c r="N3252" s="329">
        <f t="shared" si="202"/>
        <v>164.84000244140634</v>
      </c>
      <c r="T3252" s="331">
        <v>0</v>
      </c>
      <c r="U3252" s="328">
        <f>VLOOKUP(C3252,METADATA!$J$5:$Q$29,IF(E3252="HI",2,IF(E3252="LO",6,10))+IF(T3252=1,2,IF(D3252=7,1,(IF(WEEKDAY(B3252)=1,2,IF(WEEKDAY(B3252)=7,1,0))))))</f>
        <v>1</v>
      </c>
      <c r="V3252" s="328">
        <f>VLOOKUP(C3252,METADATA!$A$5:$H$29,IF(E3252="HI",2,IF(E3252="LO",6,10))+IF(T3252=1,2,IF(D3252=7,1,(IF(WEEKDAY(B3252)=1,2,IF(WEEKDAY(B3252)=7,1,0))))))</f>
        <v>1</v>
      </c>
    </row>
    <row r="3253" spans="2:22">
      <c r="B3253" s="318">
        <f t="shared" si="203"/>
        <v>46248</v>
      </c>
      <c r="C3253" s="312">
        <v>9</v>
      </c>
      <c r="D3253" s="368">
        <f>IFERROR((INDEX(METADATA!$T$2:$T$20,MATCH(B3253,METADATA!$S$2:$S$20,0))),0)</f>
        <v>0</v>
      </c>
      <c r="E3253" s="312" t="str">
        <f t="shared" si="200"/>
        <v>LO</v>
      </c>
      <c r="F3253" s="369">
        <f>VLOOKUP(C3253,METADATA!$A$5:$H$29,IF(E3253="HI",2,IF(E3253="LO",6,10))+IF(D3253=1,2,IF(D3253=7,1,(IF(WEEKDAY(B3253)=1,2,IF(WEEKDAY(B3253)=7,1,0))))))</f>
        <v>2</v>
      </c>
      <c r="G3253" s="369">
        <f>VLOOKUP(C3253,METADATA!$J$5:$Q$29,IF(E3253="HI",2,IF(E3253="LO",6,10))+IF(D3253=1,2,IF(D3253=7,1,(IF(WEEKDAY(B3253)=1,2,IF(WEEKDAY(B3253)=7,1,0))))))</f>
        <v>2</v>
      </c>
      <c r="H3253" s="370">
        <v>13304.000061035156</v>
      </c>
      <c r="I3253" s="370">
        <v>4207.125</v>
      </c>
      <c r="M3253" s="371">
        <f t="shared" si="201"/>
        <v>13953.362261105687</v>
      </c>
      <c r="N3253" s="329">
        <f t="shared" si="202"/>
        <v>215.92498168945349</v>
      </c>
      <c r="T3253" s="331">
        <v>0</v>
      </c>
      <c r="U3253" s="328">
        <f>VLOOKUP(C3253,METADATA!$J$5:$Q$29,IF(E3253="HI",2,IF(E3253="LO",6,10))+IF(T3253=1,2,IF(D3253=7,1,(IF(WEEKDAY(B3253)=1,2,IF(WEEKDAY(B3253)=7,1,0))))))</f>
        <v>2</v>
      </c>
      <c r="V3253" s="328">
        <f>VLOOKUP(C3253,METADATA!$A$5:$H$29,IF(E3253="HI",2,IF(E3253="LO",6,10))+IF(T3253=1,2,IF(D3253=7,1,(IF(WEEKDAY(B3253)=1,2,IF(WEEKDAY(B3253)=7,1,0))))))</f>
        <v>2</v>
      </c>
    </row>
    <row r="3254" spans="2:22">
      <c r="B3254" s="318">
        <f t="shared" si="203"/>
        <v>46248</v>
      </c>
      <c r="C3254" s="312">
        <v>10</v>
      </c>
      <c r="D3254" s="368">
        <f>IFERROR((INDEX(METADATA!$T$2:$T$20,MATCH(B3254,METADATA!$S$2:$S$20,0))),0)</f>
        <v>0</v>
      </c>
      <c r="E3254" s="312" t="str">
        <f t="shared" si="200"/>
        <v>LO</v>
      </c>
      <c r="F3254" s="369">
        <f>VLOOKUP(C3254,METADATA!$A$5:$H$29,IF(E3254="HI",2,IF(E3254="LO",6,10))+IF(D3254=1,2,IF(D3254=7,1,(IF(WEEKDAY(B3254)=1,2,IF(WEEKDAY(B3254)=7,1,0))))))</f>
        <v>2</v>
      </c>
      <c r="G3254" s="369">
        <f>VLOOKUP(C3254,METADATA!$J$5:$Q$29,IF(E3254="HI",2,IF(E3254="LO",6,10))+IF(D3254=1,2,IF(D3254=7,1,(IF(WEEKDAY(B3254)=1,2,IF(WEEKDAY(B3254)=7,1,0))))))</f>
        <v>2</v>
      </c>
      <c r="H3254" s="370">
        <v>11501.074951171875</v>
      </c>
      <c r="I3254" s="370">
        <v>3237.820068359375</v>
      </c>
      <c r="M3254" s="371">
        <f t="shared" si="201"/>
        <v>11948.146459913514</v>
      </c>
      <c r="N3254" s="329">
        <f t="shared" si="202"/>
        <v>0</v>
      </c>
      <c r="T3254" s="331">
        <v>0</v>
      </c>
      <c r="U3254" s="328">
        <f>VLOOKUP(C3254,METADATA!$J$5:$Q$29,IF(E3254="HI",2,IF(E3254="LO",6,10))+IF(T3254=1,2,IF(D3254=7,1,(IF(WEEKDAY(B3254)=1,2,IF(WEEKDAY(B3254)=7,1,0))))))</f>
        <v>2</v>
      </c>
      <c r="V3254" s="328">
        <f>VLOOKUP(C3254,METADATA!$A$5:$H$29,IF(E3254="HI",2,IF(E3254="LO",6,10))+IF(T3254=1,2,IF(D3254=7,1,(IF(WEEKDAY(B3254)=1,2,IF(WEEKDAY(B3254)=7,1,0))))))</f>
        <v>2</v>
      </c>
    </row>
    <row r="3255" spans="2:22">
      <c r="B3255" s="318">
        <f t="shared" si="203"/>
        <v>46248</v>
      </c>
      <c r="C3255" s="312">
        <v>11</v>
      </c>
      <c r="D3255" s="368">
        <f>IFERROR((INDEX(METADATA!$T$2:$T$20,MATCH(B3255,METADATA!$S$2:$S$20,0))),0)</f>
        <v>0</v>
      </c>
      <c r="E3255" s="312" t="str">
        <f t="shared" si="200"/>
        <v>LO</v>
      </c>
      <c r="F3255" s="369">
        <f>VLOOKUP(C3255,METADATA!$A$5:$H$29,IF(E3255="HI",2,IF(E3255="LO",6,10))+IF(D3255=1,2,IF(D3255=7,1,(IF(WEEKDAY(B3255)=1,2,IF(WEEKDAY(B3255)=7,1,0))))))</f>
        <v>2</v>
      </c>
      <c r="G3255" s="369">
        <f>VLOOKUP(C3255,METADATA!$J$5:$Q$29,IF(E3255="HI",2,IF(E3255="LO",6,10))+IF(D3255=1,2,IF(D3255=7,1,(IF(WEEKDAY(B3255)=1,2,IF(WEEKDAY(B3255)=7,1,0))))))</f>
        <v>2</v>
      </c>
      <c r="H3255" s="370">
        <v>12922.700134277344</v>
      </c>
      <c r="I3255" s="370">
        <v>4065.9049987792969</v>
      </c>
      <c r="M3255" s="371">
        <f t="shared" si="201"/>
        <v>13547.241867610917</v>
      </c>
      <c r="N3255" s="329">
        <f t="shared" si="202"/>
        <v>189.09495849609402</v>
      </c>
      <c r="T3255" s="331">
        <v>0</v>
      </c>
      <c r="U3255" s="328">
        <f>VLOOKUP(C3255,METADATA!$J$5:$Q$29,IF(E3255="HI",2,IF(E3255="LO",6,10))+IF(T3255=1,2,IF(D3255=7,1,(IF(WEEKDAY(B3255)=1,2,IF(WEEKDAY(B3255)=7,1,0))))))</f>
        <v>2</v>
      </c>
      <c r="V3255" s="328">
        <f>VLOOKUP(C3255,METADATA!$A$5:$H$29,IF(E3255="HI",2,IF(E3255="LO",6,10))+IF(T3255=1,2,IF(D3255=7,1,(IF(WEEKDAY(B3255)=1,2,IF(WEEKDAY(B3255)=7,1,0))))))</f>
        <v>2</v>
      </c>
    </row>
    <row r="3256" spans="2:22">
      <c r="B3256" s="318">
        <f t="shared" si="203"/>
        <v>46248</v>
      </c>
      <c r="C3256" s="312">
        <v>12</v>
      </c>
      <c r="D3256" s="368">
        <f>IFERROR((INDEX(METADATA!$T$2:$T$20,MATCH(B3256,METADATA!$S$2:$S$20,0))),0)</f>
        <v>0</v>
      </c>
      <c r="E3256" s="312" t="str">
        <f t="shared" si="200"/>
        <v>LO</v>
      </c>
      <c r="F3256" s="369">
        <f>VLOOKUP(C3256,METADATA!$A$5:$H$29,IF(E3256="HI",2,IF(E3256="LO",6,10))+IF(D3256=1,2,IF(D3256=7,1,(IF(WEEKDAY(B3256)=1,2,IF(WEEKDAY(B3256)=7,1,0))))))</f>
        <v>2</v>
      </c>
      <c r="G3256" s="369">
        <f>VLOOKUP(C3256,METADATA!$J$5:$Q$29,IF(E3256="HI",2,IF(E3256="LO",6,10))+IF(D3256=1,2,IF(D3256=7,1,(IF(WEEKDAY(B3256)=1,2,IF(WEEKDAY(B3256)=7,1,0))))))</f>
        <v>2</v>
      </c>
      <c r="H3256" s="370">
        <v>13264.375</v>
      </c>
      <c r="I3256" s="370">
        <v>4265.3599243164063</v>
      </c>
      <c r="M3256" s="371">
        <f t="shared" si="201"/>
        <v>13933.303248856297</v>
      </c>
      <c r="N3256" s="329">
        <f t="shared" si="202"/>
        <v>286.04742431640625</v>
      </c>
      <c r="T3256" s="331">
        <v>0</v>
      </c>
      <c r="U3256" s="328">
        <f>VLOOKUP(C3256,METADATA!$J$5:$Q$29,IF(E3256="HI",2,IF(E3256="LO",6,10))+IF(T3256=1,2,IF(D3256=7,1,(IF(WEEKDAY(B3256)=1,2,IF(WEEKDAY(B3256)=7,1,0))))))</f>
        <v>2</v>
      </c>
      <c r="V3256" s="328">
        <f>VLOOKUP(C3256,METADATA!$A$5:$H$29,IF(E3256="HI",2,IF(E3256="LO",6,10))+IF(T3256=1,2,IF(D3256=7,1,(IF(WEEKDAY(B3256)=1,2,IF(WEEKDAY(B3256)=7,1,0))))))</f>
        <v>2</v>
      </c>
    </row>
    <row r="3257" spans="2:22">
      <c r="B3257" s="318">
        <f t="shared" si="203"/>
        <v>46248</v>
      </c>
      <c r="C3257" s="312">
        <v>13</v>
      </c>
      <c r="D3257" s="368">
        <f>IFERROR((INDEX(METADATA!$T$2:$T$20,MATCH(B3257,METADATA!$S$2:$S$20,0))),0)</f>
        <v>0</v>
      </c>
      <c r="E3257" s="312" t="str">
        <f t="shared" si="200"/>
        <v>LO</v>
      </c>
      <c r="F3257" s="369">
        <f>VLOOKUP(C3257,METADATA!$A$5:$H$29,IF(E3257="HI",2,IF(E3257="LO",6,10))+IF(D3257=1,2,IF(D3257=7,1,(IF(WEEKDAY(B3257)=1,2,IF(WEEKDAY(B3257)=7,1,0))))))</f>
        <v>2</v>
      </c>
      <c r="G3257" s="369">
        <f>VLOOKUP(C3257,METADATA!$J$5:$Q$29,IF(E3257="HI",2,IF(E3257="LO",6,10))+IF(D3257=1,2,IF(D3257=7,1,(IF(WEEKDAY(B3257)=1,2,IF(WEEKDAY(B3257)=7,1,0))))))</f>
        <v>2</v>
      </c>
      <c r="H3257" s="370">
        <v>13187.025390625</v>
      </c>
      <c r="I3257" s="370">
        <v>4242.25</v>
      </c>
      <c r="M3257" s="371">
        <f t="shared" si="201"/>
        <v>13852.592671247085</v>
      </c>
      <c r="N3257" s="329">
        <f t="shared" si="202"/>
        <v>286.14238281250027</v>
      </c>
      <c r="T3257" s="331">
        <v>0</v>
      </c>
      <c r="U3257" s="328">
        <f>VLOOKUP(C3257,METADATA!$J$5:$Q$29,IF(E3257="HI",2,IF(E3257="LO",6,10))+IF(T3257=1,2,IF(D3257=7,1,(IF(WEEKDAY(B3257)=1,2,IF(WEEKDAY(B3257)=7,1,0))))))</f>
        <v>2</v>
      </c>
      <c r="V3257" s="328">
        <f>VLOOKUP(C3257,METADATA!$A$5:$H$29,IF(E3257="HI",2,IF(E3257="LO",6,10))+IF(T3257=1,2,IF(D3257=7,1,(IF(WEEKDAY(B3257)=1,2,IF(WEEKDAY(B3257)=7,1,0))))))</f>
        <v>2</v>
      </c>
    </row>
    <row r="3258" spans="2:22">
      <c r="B3258" s="318">
        <f t="shared" si="203"/>
        <v>46248</v>
      </c>
      <c r="C3258" s="312">
        <v>14</v>
      </c>
      <c r="D3258" s="368">
        <f>IFERROR((INDEX(METADATA!$T$2:$T$20,MATCH(B3258,METADATA!$S$2:$S$20,0))),0)</f>
        <v>0</v>
      </c>
      <c r="E3258" s="312" t="str">
        <f t="shared" si="200"/>
        <v>LO</v>
      </c>
      <c r="F3258" s="369">
        <f>VLOOKUP(C3258,METADATA!$A$5:$H$29,IF(E3258="HI",2,IF(E3258="LO",6,10))+IF(D3258=1,2,IF(D3258=7,1,(IF(WEEKDAY(B3258)=1,2,IF(WEEKDAY(B3258)=7,1,0))))))</f>
        <v>2</v>
      </c>
      <c r="G3258" s="369">
        <f>VLOOKUP(C3258,METADATA!$J$5:$Q$29,IF(E3258="HI",2,IF(E3258="LO",6,10))+IF(D3258=1,2,IF(D3258=7,1,(IF(WEEKDAY(B3258)=1,2,IF(WEEKDAY(B3258)=7,1,0))))))</f>
        <v>2</v>
      </c>
      <c r="H3258" s="370">
        <v>13165.775024414063</v>
      </c>
      <c r="I3258" s="370">
        <v>4320.39990234375</v>
      </c>
      <c r="M3258" s="371">
        <f t="shared" si="201"/>
        <v>13856.532297427701</v>
      </c>
      <c r="N3258" s="329">
        <f t="shared" si="202"/>
        <v>370.66739501953134</v>
      </c>
      <c r="T3258" s="331">
        <v>0</v>
      </c>
      <c r="U3258" s="328">
        <f>VLOOKUP(C3258,METADATA!$J$5:$Q$29,IF(E3258="HI",2,IF(E3258="LO",6,10))+IF(T3258=1,2,IF(D3258=7,1,(IF(WEEKDAY(B3258)=1,2,IF(WEEKDAY(B3258)=7,1,0))))))</f>
        <v>2</v>
      </c>
      <c r="V3258" s="328">
        <f>VLOOKUP(C3258,METADATA!$A$5:$H$29,IF(E3258="HI",2,IF(E3258="LO",6,10))+IF(T3258=1,2,IF(D3258=7,1,(IF(WEEKDAY(B3258)=1,2,IF(WEEKDAY(B3258)=7,1,0))))))</f>
        <v>2</v>
      </c>
    </row>
    <row r="3259" spans="2:22">
      <c r="B3259" s="318">
        <f t="shared" si="203"/>
        <v>46248</v>
      </c>
      <c r="C3259" s="312">
        <v>15</v>
      </c>
      <c r="D3259" s="368">
        <f>IFERROR((INDEX(METADATA!$T$2:$T$20,MATCH(B3259,METADATA!$S$2:$S$20,0))),0)</f>
        <v>0</v>
      </c>
      <c r="E3259" s="312" t="str">
        <f t="shared" si="200"/>
        <v>LO</v>
      </c>
      <c r="F3259" s="369">
        <f>VLOOKUP(C3259,METADATA!$A$5:$H$29,IF(E3259="HI",2,IF(E3259="LO",6,10))+IF(D3259=1,2,IF(D3259=7,1,(IF(WEEKDAY(B3259)=1,2,IF(WEEKDAY(B3259)=7,1,0))))))</f>
        <v>2</v>
      </c>
      <c r="G3259" s="369">
        <f>VLOOKUP(C3259,METADATA!$J$5:$Q$29,IF(E3259="HI",2,IF(E3259="LO",6,10))+IF(D3259=1,2,IF(D3259=7,1,(IF(WEEKDAY(B3259)=1,2,IF(WEEKDAY(B3259)=7,1,0))))))</f>
        <v>2</v>
      </c>
      <c r="H3259" s="370">
        <v>13372.349853515625</v>
      </c>
      <c r="I3259" s="370">
        <v>4487.4100952148438</v>
      </c>
      <c r="M3259" s="371">
        <f t="shared" si="201"/>
        <v>14105.197267938349</v>
      </c>
      <c r="N3259" s="329">
        <f t="shared" si="202"/>
        <v>475.70513916015625</v>
      </c>
      <c r="T3259" s="331">
        <v>0</v>
      </c>
      <c r="U3259" s="328">
        <f>VLOOKUP(C3259,METADATA!$J$5:$Q$29,IF(E3259="HI",2,IF(E3259="LO",6,10))+IF(T3259=1,2,IF(D3259=7,1,(IF(WEEKDAY(B3259)=1,2,IF(WEEKDAY(B3259)=7,1,0))))))</f>
        <v>2</v>
      </c>
      <c r="V3259" s="328">
        <f>VLOOKUP(C3259,METADATA!$A$5:$H$29,IF(E3259="HI",2,IF(E3259="LO",6,10))+IF(T3259=1,2,IF(D3259=7,1,(IF(WEEKDAY(B3259)=1,2,IF(WEEKDAY(B3259)=7,1,0))))))</f>
        <v>2</v>
      </c>
    </row>
    <row r="3260" spans="2:22">
      <c r="B3260" s="318">
        <f t="shared" si="203"/>
        <v>46248</v>
      </c>
      <c r="C3260" s="312">
        <v>16</v>
      </c>
      <c r="D3260" s="368">
        <f>IFERROR((INDEX(METADATA!$T$2:$T$20,MATCH(B3260,METADATA!$S$2:$S$20,0))),0)</f>
        <v>0</v>
      </c>
      <c r="E3260" s="312" t="str">
        <f t="shared" si="200"/>
        <v>LO</v>
      </c>
      <c r="F3260" s="369">
        <f>VLOOKUP(C3260,METADATA!$A$5:$H$29,IF(E3260="HI",2,IF(E3260="LO",6,10))+IF(D3260=1,2,IF(D3260=7,1,(IF(WEEKDAY(B3260)=1,2,IF(WEEKDAY(B3260)=7,1,0))))))</f>
        <v>2</v>
      </c>
      <c r="G3260" s="369">
        <f>VLOOKUP(C3260,METADATA!$J$5:$Q$29,IF(E3260="HI",2,IF(E3260="LO",6,10))+IF(D3260=1,2,IF(D3260=7,1,(IF(WEEKDAY(B3260)=1,2,IF(WEEKDAY(B3260)=7,1,0))))))</f>
        <v>2</v>
      </c>
      <c r="H3260" s="370">
        <v>12661.625</v>
      </c>
      <c r="I3260" s="370">
        <v>3995.3999328613281</v>
      </c>
      <c r="M3260" s="371">
        <f t="shared" si="201"/>
        <v>13277.046669501968</v>
      </c>
      <c r="N3260" s="329">
        <f t="shared" si="202"/>
        <v>196.9124328613284</v>
      </c>
      <c r="T3260" s="331">
        <v>0</v>
      </c>
      <c r="U3260" s="328">
        <f>VLOOKUP(C3260,METADATA!$J$5:$Q$29,IF(E3260="HI",2,IF(E3260="LO",6,10))+IF(T3260=1,2,IF(D3260=7,1,(IF(WEEKDAY(B3260)=1,2,IF(WEEKDAY(B3260)=7,1,0))))))</f>
        <v>2</v>
      </c>
      <c r="V3260" s="328">
        <f>VLOOKUP(C3260,METADATA!$A$5:$H$29,IF(E3260="HI",2,IF(E3260="LO",6,10))+IF(T3260=1,2,IF(D3260=7,1,(IF(WEEKDAY(B3260)=1,2,IF(WEEKDAY(B3260)=7,1,0))))))</f>
        <v>2</v>
      </c>
    </row>
    <row r="3261" spans="2:22">
      <c r="B3261" s="318">
        <f t="shared" si="203"/>
        <v>46248</v>
      </c>
      <c r="C3261" s="312">
        <v>17</v>
      </c>
      <c r="D3261" s="368">
        <f>IFERROR((INDEX(METADATA!$T$2:$T$20,MATCH(B3261,METADATA!$S$2:$S$20,0))),0)</f>
        <v>0</v>
      </c>
      <c r="E3261" s="312" t="str">
        <f t="shared" si="200"/>
        <v>LO</v>
      </c>
      <c r="F3261" s="369">
        <f>VLOOKUP(C3261,METADATA!$A$5:$H$29,IF(E3261="HI",2,IF(E3261="LO",6,10))+IF(D3261=1,2,IF(D3261=7,1,(IF(WEEKDAY(B3261)=1,2,IF(WEEKDAY(B3261)=7,1,0))))))</f>
        <v>2</v>
      </c>
      <c r="G3261" s="369">
        <f>VLOOKUP(C3261,METADATA!$J$5:$Q$29,IF(E3261="HI",2,IF(E3261="LO",6,10))+IF(D3261=1,2,IF(D3261=7,1,(IF(WEEKDAY(B3261)=1,2,IF(WEEKDAY(B3261)=7,1,0))))))</f>
        <v>2</v>
      </c>
      <c r="H3261" s="370">
        <v>11695.850341796875</v>
      </c>
      <c r="I3261" s="370">
        <v>3407.3224487304688</v>
      </c>
      <c r="M3261" s="371">
        <f t="shared" si="201"/>
        <v>12182.067209112445</v>
      </c>
      <c r="N3261" s="329">
        <f t="shared" si="202"/>
        <v>0</v>
      </c>
      <c r="T3261" s="331">
        <v>0</v>
      </c>
      <c r="U3261" s="328">
        <f>VLOOKUP(C3261,METADATA!$J$5:$Q$29,IF(E3261="HI",2,IF(E3261="LO",6,10))+IF(T3261=1,2,IF(D3261=7,1,(IF(WEEKDAY(B3261)=1,2,IF(WEEKDAY(B3261)=7,1,0))))))</f>
        <v>2</v>
      </c>
      <c r="V3261" s="328">
        <f>VLOOKUP(C3261,METADATA!$A$5:$H$29,IF(E3261="HI",2,IF(E3261="LO",6,10))+IF(T3261=1,2,IF(D3261=7,1,(IF(WEEKDAY(B3261)=1,2,IF(WEEKDAY(B3261)=7,1,0))))))</f>
        <v>2</v>
      </c>
    </row>
    <row r="3262" spans="2:22">
      <c r="B3262" s="318">
        <f t="shared" si="203"/>
        <v>46248</v>
      </c>
      <c r="C3262" s="312">
        <v>18</v>
      </c>
      <c r="D3262" s="368">
        <f>IFERROR((INDEX(METADATA!$T$2:$T$20,MATCH(B3262,METADATA!$S$2:$S$20,0))),0)</f>
        <v>0</v>
      </c>
      <c r="E3262" s="312" t="str">
        <f t="shared" si="200"/>
        <v>LO</v>
      </c>
      <c r="F3262" s="369">
        <f>VLOOKUP(C3262,METADATA!$A$5:$H$29,IF(E3262="HI",2,IF(E3262="LO",6,10))+IF(D3262=1,2,IF(D3262=7,1,(IF(WEEKDAY(B3262)=1,2,IF(WEEKDAY(B3262)=7,1,0))))))</f>
        <v>1</v>
      </c>
      <c r="G3262" s="369">
        <f>VLOOKUP(C3262,METADATA!$J$5:$Q$29,IF(E3262="HI",2,IF(E3262="LO",6,10))+IF(D3262=1,2,IF(D3262=7,1,(IF(WEEKDAY(B3262)=1,2,IF(WEEKDAY(B3262)=7,1,0))))))</f>
        <v>1</v>
      </c>
      <c r="H3262" s="370">
        <v>6136.3024291992188</v>
      </c>
      <c r="I3262" s="370">
        <v>1612</v>
      </c>
      <c r="M3262" s="371">
        <f t="shared" si="201"/>
        <v>6344.5056153018122</v>
      </c>
      <c r="N3262" s="329">
        <f t="shared" si="202"/>
        <v>0</v>
      </c>
      <c r="T3262" s="331">
        <v>0</v>
      </c>
      <c r="U3262" s="328">
        <f>VLOOKUP(C3262,METADATA!$J$5:$Q$29,IF(E3262="HI",2,IF(E3262="LO",6,10))+IF(T3262=1,2,IF(D3262=7,1,(IF(WEEKDAY(B3262)=1,2,IF(WEEKDAY(B3262)=7,1,0))))))</f>
        <v>1</v>
      </c>
      <c r="V3262" s="328">
        <f>VLOOKUP(C3262,METADATA!$A$5:$H$29,IF(E3262="HI",2,IF(E3262="LO",6,10))+IF(T3262=1,2,IF(D3262=7,1,(IF(WEEKDAY(B3262)=1,2,IF(WEEKDAY(B3262)=7,1,0))))))</f>
        <v>1</v>
      </c>
    </row>
    <row r="3263" spans="2:22">
      <c r="B3263" s="318">
        <f t="shared" si="203"/>
        <v>46248</v>
      </c>
      <c r="C3263" s="312">
        <v>19</v>
      </c>
      <c r="D3263" s="368">
        <f>IFERROR((INDEX(METADATA!$T$2:$T$20,MATCH(B3263,METADATA!$S$2:$S$20,0))),0)</f>
        <v>0</v>
      </c>
      <c r="E3263" s="312" t="str">
        <f t="shared" si="200"/>
        <v>LO</v>
      </c>
      <c r="F3263" s="369">
        <f>VLOOKUP(C3263,METADATA!$A$5:$H$29,IF(E3263="HI",2,IF(E3263="LO",6,10))+IF(D3263=1,2,IF(D3263=7,1,(IF(WEEKDAY(B3263)=1,2,IF(WEEKDAY(B3263)=7,1,0))))))</f>
        <v>1</v>
      </c>
      <c r="G3263" s="369">
        <f>VLOOKUP(C3263,METADATA!$J$5:$Q$29,IF(E3263="HI",2,IF(E3263="LO",6,10))+IF(D3263=1,2,IF(D3263=7,1,(IF(WEEKDAY(B3263)=1,2,IF(WEEKDAY(B3263)=7,1,0))))))</f>
        <v>1</v>
      </c>
      <c r="H3263" s="370">
        <v>5505.3724670410156</v>
      </c>
      <c r="I3263" s="370">
        <v>1502.5700073242188</v>
      </c>
      <c r="M3263" s="371">
        <f t="shared" si="201"/>
        <v>5706.7366005242948</v>
      </c>
      <c r="N3263" s="329">
        <f t="shared" si="202"/>
        <v>0</v>
      </c>
      <c r="T3263" s="331">
        <v>0</v>
      </c>
      <c r="U3263" s="328">
        <f>VLOOKUP(C3263,METADATA!$J$5:$Q$29,IF(E3263="HI",2,IF(E3263="LO",6,10))+IF(T3263=1,2,IF(D3263=7,1,(IF(WEEKDAY(B3263)=1,2,IF(WEEKDAY(B3263)=7,1,0))))))</f>
        <v>1</v>
      </c>
      <c r="V3263" s="328">
        <f>VLOOKUP(C3263,METADATA!$A$5:$H$29,IF(E3263="HI",2,IF(E3263="LO",6,10))+IF(T3263=1,2,IF(D3263=7,1,(IF(WEEKDAY(B3263)=1,2,IF(WEEKDAY(B3263)=7,1,0))))))</f>
        <v>1</v>
      </c>
    </row>
    <row r="3264" spans="2:22">
      <c r="B3264" s="318">
        <f t="shared" si="203"/>
        <v>46248</v>
      </c>
      <c r="C3264" s="312">
        <v>20</v>
      </c>
      <c r="D3264" s="368">
        <f>IFERROR((INDEX(METADATA!$T$2:$T$20,MATCH(B3264,METADATA!$S$2:$S$20,0))),0)</f>
        <v>0</v>
      </c>
      <c r="E3264" s="312" t="str">
        <f t="shared" si="200"/>
        <v>LO</v>
      </c>
      <c r="F3264" s="369">
        <f>VLOOKUP(C3264,METADATA!$A$5:$H$29,IF(E3264="HI",2,IF(E3264="LO",6,10))+IF(D3264=1,2,IF(D3264=7,1,(IF(WEEKDAY(B3264)=1,2,IF(WEEKDAY(B3264)=7,1,0))))))</f>
        <v>1</v>
      </c>
      <c r="G3264" s="369">
        <f>VLOOKUP(C3264,METADATA!$J$5:$Q$29,IF(E3264="HI",2,IF(E3264="LO",6,10))+IF(D3264=1,2,IF(D3264=7,1,(IF(WEEKDAY(B3264)=1,2,IF(WEEKDAY(B3264)=7,1,0))))))</f>
        <v>1</v>
      </c>
      <c r="H3264" s="370">
        <v>5425.8999938964844</v>
      </c>
      <c r="I3264" s="370">
        <v>1469.3749694824219</v>
      </c>
      <c r="M3264" s="371">
        <f t="shared" si="201"/>
        <v>5621.3391237949108</v>
      </c>
      <c r="N3264" s="329">
        <f t="shared" si="202"/>
        <v>0</v>
      </c>
      <c r="T3264" s="331">
        <v>0</v>
      </c>
      <c r="U3264" s="328">
        <f>VLOOKUP(C3264,METADATA!$J$5:$Q$29,IF(E3264="HI",2,IF(E3264="LO",6,10))+IF(T3264=1,2,IF(D3264=7,1,(IF(WEEKDAY(B3264)=1,2,IF(WEEKDAY(B3264)=7,1,0))))))</f>
        <v>1</v>
      </c>
      <c r="V3264" s="328">
        <f>VLOOKUP(C3264,METADATA!$A$5:$H$29,IF(E3264="HI",2,IF(E3264="LO",6,10))+IF(T3264=1,2,IF(D3264=7,1,(IF(WEEKDAY(B3264)=1,2,IF(WEEKDAY(B3264)=7,1,0))))))</f>
        <v>1</v>
      </c>
    </row>
    <row r="3265" spans="2:22">
      <c r="B3265" s="318">
        <f t="shared" si="203"/>
        <v>46248</v>
      </c>
      <c r="C3265" s="312">
        <v>21</v>
      </c>
      <c r="D3265" s="368">
        <f>IFERROR((INDEX(METADATA!$T$2:$T$20,MATCH(B3265,METADATA!$S$2:$S$20,0))),0)</f>
        <v>0</v>
      </c>
      <c r="E3265" s="312" t="str">
        <f t="shared" si="200"/>
        <v>LO</v>
      </c>
      <c r="F3265" s="369">
        <f>VLOOKUP(C3265,METADATA!$A$5:$H$29,IF(E3265="HI",2,IF(E3265="LO",6,10))+IF(D3265=1,2,IF(D3265=7,1,(IF(WEEKDAY(B3265)=1,2,IF(WEEKDAY(B3265)=7,1,0))))))</f>
        <v>2</v>
      </c>
      <c r="G3265" s="369">
        <f>VLOOKUP(C3265,METADATA!$J$5:$Q$29,IF(E3265="HI",2,IF(E3265="LO",6,10))+IF(D3265=1,2,IF(D3265=7,1,(IF(WEEKDAY(B3265)=1,2,IF(WEEKDAY(B3265)=7,1,0))))))</f>
        <v>2</v>
      </c>
      <c r="H3265" s="370">
        <v>6118.9151916503906</v>
      </c>
      <c r="I3265" s="370">
        <v>1859.7325134277344</v>
      </c>
      <c r="M3265" s="371">
        <f t="shared" si="201"/>
        <v>6395.2895277782518</v>
      </c>
      <c r="N3265" s="329">
        <f t="shared" si="202"/>
        <v>24.057955932617233</v>
      </c>
      <c r="T3265" s="331">
        <v>0</v>
      </c>
      <c r="U3265" s="328">
        <f>VLOOKUP(C3265,METADATA!$J$5:$Q$29,IF(E3265="HI",2,IF(E3265="LO",6,10))+IF(T3265=1,2,IF(D3265=7,1,(IF(WEEKDAY(B3265)=1,2,IF(WEEKDAY(B3265)=7,1,0))))))</f>
        <v>2</v>
      </c>
      <c r="V3265" s="328">
        <f>VLOOKUP(C3265,METADATA!$A$5:$H$29,IF(E3265="HI",2,IF(E3265="LO",6,10))+IF(T3265=1,2,IF(D3265=7,1,(IF(WEEKDAY(B3265)=1,2,IF(WEEKDAY(B3265)=7,1,0))))))</f>
        <v>2</v>
      </c>
    </row>
    <row r="3266" spans="2:22">
      <c r="B3266" s="318">
        <f t="shared" si="203"/>
        <v>46248</v>
      </c>
      <c r="C3266" s="312">
        <v>22</v>
      </c>
      <c r="D3266" s="368">
        <f>IFERROR((INDEX(METADATA!$T$2:$T$20,MATCH(B3266,METADATA!$S$2:$S$20,0))),0)</f>
        <v>0</v>
      </c>
      <c r="E3266" s="312" t="str">
        <f t="shared" si="200"/>
        <v>LO</v>
      </c>
      <c r="F3266" s="369">
        <f>VLOOKUP(C3266,METADATA!$A$5:$H$29,IF(E3266="HI",2,IF(E3266="LO",6,10))+IF(D3266=1,2,IF(D3266=7,1,(IF(WEEKDAY(B3266)=1,2,IF(WEEKDAY(B3266)=7,1,0))))))</f>
        <v>3</v>
      </c>
      <c r="G3266" s="369">
        <f>VLOOKUP(C3266,METADATA!$J$5:$Q$29,IF(E3266="HI",2,IF(E3266="LO",6,10))+IF(D3266=1,2,IF(D3266=7,1,(IF(WEEKDAY(B3266)=1,2,IF(WEEKDAY(B3266)=7,1,0))))))</f>
        <v>3</v>
      </c>
      <c r="H3266" s="370">
        <v>7550.5748901367188</v>
      </c>
      <c r="I3266" s="370">
        <v>2698.0250244140625</v>
      </c>
      <c r="M3266" s="371">
        <f t="shared" si="201"/>
        <v>8018.1369534279984</v>
      </c>
      <c r="N3266" s="329">
        <f t="shared" si="202"/>
        <v>432.85255737304715</v>
      </c>
      <c r="T3266" s="331">
        <v>0</v>
      </c>
      <c r="U3266" s="328">
        <f>VLOOKUP(C3266,METADATA!$J$5:$Q$29,IF(E3266="HI",2,IF(E3266="LO",6,10))+IF(T3266=1,2,IF(D3266=7,1,(IF(WEEKDAY(B3266)=1,2,IF(WEEKDAY(B3266)=7,1,0))))))</f>
        <v>3</v>
      </c>
      <c r="V3266" s="328">
        <f>VLOOKUP(C3266,METADATA!$A$5:$H$29,IF(E3266="HI",2,IF(E3266="LO",6,10))+IF(T3266=1,2,IF(D3266=7,1,(IF(WEEKDAY(B3266)=1,2,IF(WEEKDAY(B3266)=7,1,0))))))</f>
        <v>3</v>
      </c>
    </row>
    <row r="3267" spans="2:22">
      <c r="B3267" s="318">
        <f t="shared" si="203"/>
        <v>46248</v>
      </c>
      <c r="C3267" s="312">
        <v>23</v>
      </c>
      <c r="D3267" s="368">
        <f>IFERROR((INDEX(METADATA!$T$2:$T$20,MATCH(B3267,METADATA!$S$2:$S$20,0))),0)</f>
        <v>0</v>
      </c>
      <c r="E3267" s="312" t="str">
        <f t="shared" si="200"/>
        <v>LO</v>
      </c>
      <c r="F3267" s="369">
        <f>VLOOKUP(C3267,METADATA!$A$5:$H$29,IF(E3267="HI",2,IF(E3267="LO",6,10))+IF(D3267=1,2,IF(D3267=7,1,(IF(WEEKDAY(B3267)=1,2,IF(WEEKDAY(B3267)=7,1,0))))))</f>
        <v>3</v>
      </c>
      <c r="G3267" s="369">
        <f>VLOOKUP(C3267,METADATA!$J$5:$Q$29,IF(E3267="HI",2,IF(E3267="LO",6,10))+IF(D3267=1,2,IF(D3267=7,1,(IF(WEEKDAY(B3267)=1,2,IF(WEEKDAY(B3267)=7,1,0))))))</f>
        <v>3</v>
      </c>
      <c r="H3267" s="370">
        <v>5608.2699584960938</v>
      </c>
      <c r="I3267" s="370">
        <v>1601.4800109863281</v>
      </c>
      <c r="M3267" s="371">
        <f t="shared" si="201"/>
        <v>5832.4463266247512</v>
      </c>
      <c r="N3267" s="329">
        <f t="shared" si="202"/>
        <v>0</v>
      </c>
      <c r="T3267" s="331">
        <v>0</v>
      </c>
      <c r="U3267" s="328">
        <f>VLOOKUP(C3267,METADATA!$J$5:$Q$29,IF(E3267="HI",2,IF(E3267="LO",6,10))+IF(T3267=1,2,IF(D3267=7,1,(IF(WEEKDAY(B3267)=1,2,IF(WEEKDAY(B3267)=7,1,0))))))</f>
        <v>3</v>
      </c>
      <c r="V3267" s="328">
        <f>VLOOKUP(C3267,METADATA!$A$5:$H$29,IF(E3267="HI",2,IF(E3267="LO",6,10))+IF(T3267=1,2,IF(D3267=7,1,(IF(WEEKDAY(B3267)=1,2,IF(WEEKDAY(B3267)=7,1,0))))))</f>
        <v>3</v>
      </c>
    </row>
    <row r="3268" spans="2:22">
      <c r="B3268" s="318">
        <f t="shared" si="203"/>
        <v>46249</v>
      </c>
      <c r="C3268" s="312">
        <v>0</v>
      </c>
      <c r="D3268" s="368">
        <f>IFERROR((INDEX(METADATA!$T$2:$T$20,MATCH(B3268,METADATA!$S$2:$S$20,0))),0)</f>
        <v>0</v>
      </c>
      <c r="E3268" s="312" t="str">
        <f t="shared" ref="E3268:E3331" si="204">IF(B3268="","",IF(AND(MONTH(B3268)&gt;=MONTH($Z$9),MONTH(B3268)&lt;=MONTH($Z$11)),"HI","LO"))</f>
        <v>LO</v>
      </c>
      <c r="F3268" s="369">
        <f>VLOOKUP(C3268,METADATA!$A$5:$H$29,IF(E3268="HI",2,IF(E3268="LO",6,10))+IF(D3268=1,2,IF(D3268=7,1,(IF(WEEKDAY(B3268)=1,2,IF(WEEKDAY(B3268)=7,1,0))))))</f>
        <v>3</v>
      </c>
      <c r="G3268" s="369">
        <f>VLOOKUP(C3268,METADATA!$J$5:$Q$29,IF(E3268="HI",2,IF(E3268="LO",6,10))+IF(D3268=1,2,IF(D3268=7,1,(IF(WEEKDAY(B3268)=1,2,IF(WEEKDAY(B3268)=7,1,0))))))</f>
        <v>3</v>
      </c>
      <c r="H3268" s="370">
        <v>5374.8923950195313</v>
      </c>
      <c r="I3268" s="370">
        <v>1480.322509765625</v>
      </c>
      <c r="M3268" s="371">
        <f t="shared" ref="M3268:M3331" si="205">SQRT(H3268^2+I3268^2)</f>
        <v>5575.017757008276</v>
      </c>
      <c r="N3268" s="329">
        <f t="shared" ref="N3268:N3331" si="206">IF(H3268=0,0,(IF(I3268-(0.3*H3268)&lt;0,0,(I3268-(0.3*H3268)))))</f>
        <v>0</v>
      </c>
      <c r="T3268" s="331">
        <v>0</v>
      </c>
      <c r="U3268" s="328">
        <f>VLOOKUP(C3268,METADATA!$J$5:$Q$29,IF(E3268="HI",2,IF(E3268="LO",6,10))+IF(T3268=1,2,IF(D3268=7,1,(IF(WEEKDAY(B3268)=1,2,IF(WEEKDAY(B3268)=7,1,0))))))</f>
        <v>3</v>
      </c>
      <c r="V3268" s="328">
        <f>VLOOKUP(C3268,METADATA!$A$5:$H$29,IF(E3268="HI",2,IF(E3268="LO",6,10))+IF(T3268=1,2,IF(D3268=7,1,(IF(WEEKDAY(B3268)=1,2,IF(WEEKDAY(B3268)=7,1,0))))))</f>
        <v>3</v>
      </c>
    </row>
    <row r="3269" spans="2:22">
      <c r="B3269" s="318">
        <f t="shared" si="203"/>
        <v>46249</v>
      </c>
      <c r="C3269" s="312">
        <v>1</v>
      </c>
      <c r="D3269" s="368">
        <f>IFERROR((INDEX(METADATA!$T$2:$T$20,MATCH(B3269,METADATA!$S$2:$S$20,0))),0)</f>
        <v>0</v>
      </c>
      <c r="E3269" s="312" t="str">
        <f t="shared" si="204"/>
        <v>LO</v>
      </c>
      <c r="F3269" s="369">
        <f>VLOOKUP(C3269,METADATA!$A$5:$H$29,IF(E3269="HI",2,IF(E3269="LO",6,10))+IF(D3269=1,2,IF(D3269=7,1,(IF(WEEKDAY(B3269)=1,2,IF(WEEKDAY(B3269)=7,1,0))))))</f>
        <v>3</v>
      </c>
      <c r="G3269" s="369">
        <f>VLOOKUP(C3269,METADATA!$J$5:$Q$29,IF(E3269="HI",2,IF(E3269="LO",6,10))+IF(D3269=1,2,IF(D3269=7,1,(IF(WEEKDAY(B3269)=1,2,IF(WEEKDAY(B3269)=7,1,0))))))</f>
        <v>3</v>
      </c>
      <c r="H3269" s="370">
        <v>5416.2900085449219</v>
      </c>
      <c r="I3269" s="370">
        <v>1517.3999938964844</v>
      </c>
      <c r="M3269" s="371">
        <f t="shared" si="205"/>
        <v>5624.8289038992643</v>
      </c>
      <c r="N3269" s="329">
        <f t="shared" si="206"/>
        <v>0</v>
      </c>
      <c r="T3269" s="331">
        <v>0</v>
      </c>
      <c r="U3269" s="328">
        <f>VLOOKUP(C3269,METADATA!$J$5:$Q$29,IF(E3269="HI",2,IF(E3269="LO",6,10))+IF(T3269=1,2,IF(D3269=7,1,(IF(WEEKDAY(B3269)=1,2,IF(WEEKDAY(B3269)=7,1,0))))))</f>
        <v>3</v>
      </c>
      <c r="V3269" s="328">
        <f>VLOOKUP(C3269,METADATA!$A$5:$H$29,IF(E3269="HI",2,IF(E3269="LO",6,10))+IF(T3269=1,2,IF(D3269=7,1,(IF(WEEKDAY(B3269)=1,2,IF(WEEKDAY(B3269)=7,1,0))))))</f>
        <v>3</v>
      </c>
    </row>
    <row r="3270" spans="2:22">
      <c r="B3270" s="318">
        <f t="shared" si="203"/>
        <v>46249</v>
      </c>
      <c r="C3270" s="312">
        <v>2</v>
      </c>
      <c r="D3270" s="368">
        <f>IFERROR((INDEX(METADATA!$T$2:$T$20,MATCH(B3270,METADATA!$S$2:$S$20,0))),0)</f>
        <v>0</v>
      </c>
      <c r="E3270" s="312" t="str">
        <f t="shared" si="204"/>
        <v>LO</v>
      </c>
      <c r="F3270" s="369">
        <f>VLOOKUP(C3270,METADATA!$A$5:$H$29,IF(E3270="HI",2,IF(E3270="LO",6,10))+IF(D3270=1,2,IF(D3270=7,1,(IF(WEEKDAY(B3270)=1,2,IF(WEEKDAY(B3270)=7,1,0))))))</f>
        <v>3</v>
      </c>
      <c r="G3270" s="369">
        <f>VLOOKUP(C3270,METADATA!$J$5:$Q$29,IF(E3270="HI",2,IF(E3270="LO",6,10))+IF(D3270=1,2,IF(D3270=7,1,(IF(WEEKDAY(B3270)=1,2,IF(WEEKDAY(B3270)=7,1,0))))))</f>
        <v>3</v>
      </c>
      <c r="H3270" s="370">
        <v>5382.0215454101563</v>
      </c>
      <c r="I3270" s="370">
        <v>1510.7019653320313</v>
      </c>
      <c r="M3270" s="371">
        <f t="shared" si="205"/>
        <v>5590.0247175944751</v>
      </c>
      <c r="N3270" s="329">
        <f t="shared" si="206"/>
        <v>0</v>
      </c>
      <c r="T3270" s="331">
        <v>0</v>
      </c>
      <c r="U3270" s="328">
        <f>VLOOKUP(C3270,METADATA!$J$5:$Q$29,IF(E3270="HI",2,IF(E3270="LO",6,10))+IF(T3270=1,2,IF(D3270=7,1,(IF(WEEKDAY(B3270)=1,2,IF(WEEKDAY(B3270)=7,1,0))))))</f>
        <v>3</v>
      </c>
      <c r="V3270" s="328">
        <f>VLOOKUP(C3270,METADATA!$A$5:$H$29,IF(E3270="HI",2,IF(E3270="LO",6,10))+IF(T3270=1,2,IF(D3270=7,1,(IF(WEEKDAY(B3270)=1,2,IF(WEEKDAY(B3270)=7,1,0))))))</f>
        <v>3</v>
      </c>
    </row>
    <row r="3271" spans="2:22">
      <c r="B3271" s="318">
        <f t="shared" si="203"/>
        <v>46249</v>
      </c>
      <c r="C3271" s="312">
        <v>3</v>
      </c>
      <c r="D3271" s="368">
        <f>IFERROR((INDEX(METADATA!$T$2:$T$20,MATCH(B3271,METADATA!$S$2:$S$20,0))),0)</f>
        <v>0</v>
      </c>
      <c r="E3271" s="312" t="str">
        <f t="shared" si="204"/>
        <v>LO</v>
      </c>
      <c r="F3271" s="369">
        <f>VLOOKUP(C3271,METADATA!$A$5:$H$29,IF(E3271="HI",2,IF(E3271="LO",6,10))+IF(D3271=1,2,IF(D3271=7,1,(IF(WEEKDAY(B3271)=1,2,IF(WEEKDAY(B3271)=7,1,0))))))</f>
        <v>3</v>
      </c>
      <c r="G3271" s="369">
        <f>VLOOKUP(C3271,METADATA!$J$5:$Q$29,IF(E3271="HI",2,IF(E3271="LO",6,10))+IF(D3271=1,2,IF(D3271=7,1,(IF(WEEKDAY(B3271)=1,2,IF(WEEKDAY(B3271)=7,1,0))))))</f>
        <v>3</v>
      </c>
      <c r="H3271" s="370">
        <v>7046.3325805664063</v>
      </c>
      <c r="I3271" s="370">
        <v>1802.4224548339844</v>
      </c>
      <c r="M3271" s="371">
        <f t="shared" si="205"/>
        <v>7273.2062765771598</v>
      </c>
      <c r="N3271" s="329">
        <f t="shared" si="206"/>
        <v>0</v>
      </c>
      <c r="T3271" s="331">
        <v>0</v>
      </c>
      <c r="U3271" s="328">
        <f>VLOOKUP(C3271,METADATA!$J$5:$Q$29,IF(E3271="HI",2,IF(E3271="LO",6,10))+IF(T3271=1,2,IF(D3271=7,1,(IF(WEEKDAY(B3271)=1,2,IF(WEEKDAY(B3271)=7,1,0))))))</f>
        <v>3</v>
      </c>
      <c r="V3271" s="328">
        <f>VLOOKUP(C3271,METADATA!$A$5:$H$29,IF(E3271="HI",2,IF(E3271="LO",6,10))+IF(T3271=1,2,IF(D3271=7,1,(IF(WEEKDAY(B3271)=1,2,IF(WEEKDAY(B3271)=7,1,0))))))</f>
        <v>3</v>
      </c>
    </row>
    <row r="3272" spans="2:22">
      <c r="B3272" s="318">
        <f t="shared" si="203"/>
        <v>46249</v>
      </c>
      <c r="C3272" s="312">
        <v>4</v>
      </c>
      <c r="D3272" s="368">
        <f>IFERROR((INDEX(METADATA!$T$2:$T$20,MATCH(B3272,METADATA!$S$2:$S$20,0))),0)</f>
        <v>0</v>
      </c>
      <c r="E3272" s="312" t="str">
        <f t="shared" si="204"/>
        <v>LO</v>
      </c>
      <c r="F3272" s="369">
        <f>VLOOKUP(C3272,METADATA!$A$5:$H$29,IF(E3272="HI",2,IF(E3272="LO",6,10))+IF(D3272=1,2,IF(D3272=7,1,(IF(WEEKDAY(B3272)=1,2,IF(WEEKDAY(B3272)=7,1,0))))))</f>
        <v>3</v>
      </c>
      <c r="G3272" s="369">
        <f>VLOOKUP(C3272,METADATA!$J$5:$Q$29,IF(E3272="HI",2,IF(E3272="LO",6,10))+IF(D3272=1,2,IF(D3272=7,1,(IF(WEEKDAY(B3272)=1,2,IF(WEEKDAY(B3272)=7,1,0))))))</f>
        <v>3</v>
      </c>
      <c r="H3272" s="370">
        <v>11273.824951171875</v>
      </c>
      <c r="I3272" s="370">
        <v>3322.8750305175781</v>
      </c>
      <c r="M3272" s="371">
        <f t="shared" si="205"/>
        <v>11753.324104188683</v>
      </c>
      <c r="N3272" s="329">
        <f t="shared" si="206"/>
        <v>0</v>
      </c>
      <c r="T3272" s="331">
        <v>0</v>
      </c>
      <c r="U3272" s="328">
        <f>VLOOKUP(C3272,METADATA!$J$5:$Q$29,IF(E3272="HI",2,IF(E3272="LO",6,10))+IF(T3272=1,2,IF(D3272=7,1,(IF(WEEKDAY(B3272)=1,2,IF(WEEKDAY(B3272)=7,1,0))))))</f>
        <v>3</v>
      </c>
      <c r="V3272" s="328">
        <f>VLOOKUP(C3272,METADATA!$A$5:$H$29,IF(E3272="HI",2,IF(E3272="LO",6,10))+IF(T3272=1,2,IF(D3272=7,1,(IF(WEEKDAY(B3272)=1,2,IF(WEEKDAY(B3272)=7,1,0))))))</f>
        <v>3</v>
      </c>
    </row>
    <row r="3273" spans="2:22">
      <c r="B3273" s="318">
        <f t="shared" si="203"/>
        <v>46249</v>
      </c>
      <c r="C3273" s="312">
        <v>5</v>
      </c>
      <c r="D3273" s="368">
        <f>IFERROR((INDEX(METADATA!$T$2:$T$20,MATCH(B3273,METADATA!$S$2:$S$20,0))),0)</f>
        <v>0</v>
      </c>
      <c r="E3273" s="312" t="str">
        <f t="shared" si="204"/>
        <v>LO</v>
      </c>
      <c r="F3273" s="369">
        <f>VLOOKUP(C3273,METADATA!$A$5:$H$29,IF(E3273="HI",2,IF(E3273="LO",6,10))+IF(D3273=1,2,IF(D3273=7,1,(IF(WEEKDAY(B3273)=1,2,IF(WEEKDAY(B3273)=7,1,0))))))</f>
        <v>3</v>
      </c>
      <c r="G3273" s="369">
        <f>VLOOKUP(C3273,METADATA!$J$5:$Q$29,IF(E3273="HI",2,IF(E3273="LO",6,10))+IF(D3273=1,2,IF(D3273=7,1,(IF(WEEKDAY(B3273)=1,2,IF(WEEKDAY(B3273)=7,1,0))))))</f>
        <v>3</v>
      </c>
      <c r="H3273" s="370">
        <v>13022.799926757813</v>
      </c>
      <c r="I3273" s="370">
        <v>4144.39501953125</v>
      </c>
      <c r="M3273" s="371">
        <f t="shared" si="205"/>
        <v>13666.357525334932</v>
      </c>
      <c r="N3273" s="329">
        <f t="shared" si="206"/>
        <v>237.55504150390652</v>
      </c>
      <c r="T3273" s="331">
        <v>0</v>
      </c>
      <c r="U3273" s="328">
        <f>VLOOKUP(C3273,METADATA!$J$5:$Q$29,IF(E3273="HI",2,IF(E3273="LO",6,10))+IF(T3273=1,2,IF(D3273=7,1,(IF(WEEKDAY(B3273)=1,2,IF(WEEKDAY(B3273)=7,1,0))))))</f>
        <v>3</v>
      </c>
      <c r="V3273" s="328">
        <f>VLOOKUP(C3273,METADATA!$A$5:$H$29,IF(E3273="HI",2,IF(E3273="LO",6,10))+IF(T3273=1,2,IF(D3273=7,1,(IF(WEEKDAY(B3273)=1,2,IF(WEEKDAY(B3273)=7,1,0))))))</f>
        <v>3</v>
      </c>
    </row>
    <row r="3274" spans="2:22">
      <c r="B3274" s="318">
        <f t="shared" si="203"/>
        <v>46249</v>
      </c>
      <c r="C3274" s="312">
        <v>6</v>
      </c>
      <c r="D3274" s="368">
        <f>IFERROR((INDEX(METADATA!$T$2:$T$20,MATCH(B3274,METADATA!$S$2:$S$20,0))),0)</f>
        <v>0</v>
      </c>
      <c r="E3274" s="312" t="str">
        <f t="shared" si="204"/>
        <v>LO</v>
      </c>
      <c r="F3274" s="369">
        <f>VLOOKUP(C3274,METADATA!$A$5:$H$29,IF(E3274="HI",2,IF(E3274="LO",6,10))+IF(D3274=1,2,IF(D3274=7,1,(IF(WEEKDAY(B3274)=1,2,IF(WEEKDAY(B3274)=7,1,0))))))</f>
        <v>3</v>
      </c>
      <c r="G3274" s="369">
        <f>VLOOKUP(C3274,METADATA!$J$5:$Q$29,IF(E3274="HI",2,IF(E3274="LO",6,10))+IF(D3274=1,2,IF(D3274=7,1,(IF(WEEKDAY(B3274)=1,2,IF(WEEKDAY(B3274)=7,1,0))))))</f>
        <v>3</v>
      </c>
      <c r="H3274" s="370">
        <v>13446.025146484375</v>
      </c>
      <c r="I3274" s="370">
        <v>4438.6449279785156</v>
      </c>
      <c r="M3274" s="371">
        <f t="shared" si="205"/>
        <v>14159.702010867304</v>
      </c>
      <c r="N3274" s="329">
        <f t="shared" si="206"/>
        <v>404.83738403320331</v>
      </c>
      <c r="T3274" s="331">
        <v>0</v>
      </c>
      <c r="U3274" s="328">
        <f>VLOOKUP(C3274,METADATA!$J$5:$Q$29,IF(E3274="HI",2,IF(E3274="LO",6,10))+IF(T3274=1,2,IF(D3274=7,1,(IF(WEEKDAY(B3274)=1,2,IF(WEEKDAY(B3274)=7,1,0))))))</f>
        <v>3</v>
      </c>
      <c r="V3274" s="328">
        <f>VLOOKUP(C3274,METADATA!$A$5:$H$29,IF(E3274="HI",2,IF(E3274="LO",6,10))+IF(T3274=1,2,IF(D3274=7,1,(IF(WEEKDAY(B3274)=1,2,IF(WEEKDAY(B3274)=7,1,0))))))</f>
        <v>3</v>
      </c>
    </row>
    <row r="3275" spans="2:22">
      <c r="B3275" s="318">
        <f t="shared" si="203"/>
        <v>46249</v>
      </c>
      <c r="C3275" s="312">
        <v>7</v>
      </c>
      <c r="D3275" s="368">
        <f>IFERROR((INDEX(METADATA!$T$2:$T$20,MATCH(B3275,METADATA!$S$2:$S$20,0))),0)</f>
        <v>0</v>
      </c>
      <c r="E3275" s="312" t="str">
        <f t="shared" si="204"/>
        <v>LO</v>
      </c>
      <c r="F3275" s="369">
        <f>VLOOKUP(C3275,METADATA!$A$5:$H$29,IF(E3275="HI",2,IF(E3275="LO",6,10))+IF(D3275=1,2,IF(D3275=7,1,(IF(WEEKDAY(B3275)=1,2,IF(WEEKDAY(B3275)=7,1,0))))))</f>
        <v>2</v>
      </c>
      <c r="G3275" s="369">
        <f>VLOOKUP(C3275,METADATA!$J$5:$Q$29,IF(E3275="HI",2,IF(E3275="LO",6,10))+IF(D3275=1,2,IF(D3275=7,1,(IF(WEEKDAY(B3275)=1,2,IF(WEEKDAY(B3275)=7,1,0))))))</f>
        <v>2</v>
      </c>
      <c r="H3275" s="370">
        <v>13351.924926757813</v>
      </c>
      <c r="I3275" s="370">
        <v>4388.7000122070313</v>
      </c>
      <c r="M3275" s="371">
        <f t="shared" si="205"/>
        <v>14054.699820591068</v>
      </c>
      <c r="N3275" s="329">
        <f t="shared" si="206"/>
        <v>383.12253417968759</v>
      </c>
      <c r="T3275" s="331">
        <v>0</v>
      </c>
      <c r="U3275" s="328">
        <f>VLOOKUP(C3275,METADATA!$J$5:$Q$29,IF(E3275="HI",2,IF(E3275="LO",6,10))+IF(T3275=1,2,IF(D3275=7,1,(IF(WEEKDAY(B3275)=1,2,IF(WEEKDAY(B3275)=7,1,0))))))</f>
        <v>2</v>
      </c>
      <c r="V3275" s="328">
        <f>VLOOKUP(C3275,METADATA!$A$5:$H$29,IF(E3275="HI",2,IF(E3275="LO",6,10))+IF(T3275=1,2,IF(D3275=7,1,(IF(WEEKDAY(B3275)=1,2,IF(WEEKDAY(B3275)=7,1,0))))))</f>
        <v>2</v>
      </c>
    </row>
    <row r="3276" spans="2:22">
      <c r="B3276" s="318">
        <f t="shared" si="203"/>
        <v>46249</v>
      </c>
      <c r="C3276" s="312">
        <v>8</v>
      </c>
      <c r="D3276" s="368">
        <f>IFERROR((INDEX(METADATA!$T$2:$T$20,MATCH(B3276,METADATA!$S$2:$S$20,0))),0)</f>
        <v>0</v>
      </c>
      <c r="E3276" s="312" t="str">
        <f t="shared" si="204"/>
        <v>LO</v>
      </c>
      <c r="F3276" s="369">
        <f>VLOOKUP(C3276,METADATA!$A$5:$H$29,IF(E3276="HI",2,IF(E3276="LO",6,10))+IF(D3276=1,2,IF(D3276=7,1,(IF(WEEKDAY(B3276)=1,2,IF(WEEKDAY(B3276)=7,1,0))))))</f>
        <v>2</v>
      </c>
      <c r="G3276" s="369">
        <f>VLOOKUP(C3276,METADATA!$J$5:$Q$29,IF(E3276="HI",2,IF(E3276="LO",6,10))+IF(D3276=1,2,IF(D3276=7,1,(IF(WEEKDAY(B3276)=1,2,IF(WEEKDAY(B3276)=7,1,0))))))</f>
        <v>2</v>
      </c>
      <c r="H3276" s="370">
        <v>13445.02490234375</v>
      </c>
      <c r="I3276" s="370">
        <v>4351.7349853515625</v>
      </c>
      <c r="M3276" s="371">
        <f t="shared" si="205"/>
        <v>14131.747662882193</v>
      </c>
      <c r="N3276" s="329">
        <f t="shared" si="206"/>
        <v>318.22751464843759</v>
      </c>
      <c r="T3276" s="331">
        <v>0</v>
      </c>
      <c r="U3276" s="328">
        <f>VLOOKUP(C3276,METADATA!$J$5:$Q$29,IF(E3276="HI",2,IF(E3276="LO",6,10))+IF(T3276=1,2,IF(D3276=7,1,(IF(WEEKDAY(B3276)=1,2,IF(WEEKDAY(B3276)=7,1,0))))))</f>
        <v>2</v>
      </c>
      <c r="V3276" s="328">
        <f>VLOOKUP(C3276,METADATA!$A$5:$H$29,IF(E3276="HI",2,IF(E3276="LO",6,10))+IF(T3276=1,2,IF(D3276=7,1,(IF(WEEKDAY(B3276)=1,2,IF(WEEKDAY(B3276)=7,1,0))))))</f>
        <v>2</v>
      </c>
    </row>
    <row r="3277" spans="2:22">
      <c r="B3277" s="318">
        <f t="shared" si="203"/>
        <v>46249</v>
      </c>
      <c r="C3277" s="312">
        <v>9</v>
      </c>
      <c r="D3277" s="368">
        <f>IFERROR((INDEX(METADATA!$T$2:$T$20,MATCH(B3277,METADATA!$S$2:$S$20,0))),0)</f>
        <v>0</v>
      </c>
      <c r="E3277" s="312" t="str">
        <f t="shared" si="204"/>
        <v>LO</v>
      </c>
      <c r="F3277" s="369">
        <f>VLOOKUP(C3277,METADATA!$A$5:$H$29,IF(E3277="HI",2,IF(E3277="LO",6,10))+IF(D3277=1,2,IF(D3277=7,1,(IF(WEEKDAY(B3277)=1,2,IF(WEEKDAY(B3277)=7,1,0))))))</f>
        <v>2</v>
      </c>
      <c r="G3277" s="369">
        <f>VLOOKUP(C3277,METADATA!$J$5:$Q$29,IF(E3277="HI",2,IF(E3277="LO",6,10))+IF(D3277=1,2,IF(D3277=7,1,(IF(WEEKDAY(B3277)=1,2,IF(WEEKDAY(B3277)=7,1,0))))))</f>
        <v>2</v>
      </c>
      <c r="H3277" s="370">
        <v>13327.25</v>
      </c>
      <c r="I3277" s="370">
        <v>4399.9549560546875</v>
      </c>
      <c r="M3277" s="371">
        <f t="shared" si="205"/>
        <v>14034.785220223721</v>
      </c>
      <c r="N3277" s="329">
        <f t="shared" si="206"/>
        <v>401.77995605468777</v>
      </c>
      <c r="T3277" s="331">
        <v>0</v>
      </c>
      <c r="U3277" s="328">
        <f>VLOOKUP(C3277,METADATA!$J$5:$Q$29,IF(E3277="HI",2,IF(E3277="LO",6,10))+IF(T3277=1,2,IF(D3277=7,1,(IF(WEEKDAY(B3277)=1,2,IF(WEEKDAY(B3277)=7,1,0))))))</f>
        <v>2</v>
      </c>
      <c r="V3277" s="328">
        <f>VLOOKUP(C3277,METADATA!$A$5:$H$29,IF(E3277="HI",2,IF(E3277="LO",6,10))+IF(T3277=1,2,IF(D3277=7,1,(IF(WEEKDAY(B3277)=1,2,IF(WEEKDAY(B3277)=7,1,0))))))</f>
        <v>2</v>
      </c>
    </row>
    <row r="3278" spans="2:22">
      <c r="B3278" s="318">
        <f t="shared" si="203"/>
        <v>46249</v>
      </c>
      <c r="C3278" s="312">
        <v>10</v>
      </c>
      <c r="D3278" s="368">
        <f>IFERROR((INDEX(METADATA!$T$2:$T$20,MATCH(B3278,METADATA!$S$2:$S$20,0))),0)</f>
        <v>0</v>
      </c>
      <c r="E3278" s="312" t="str">
        <f t="shared" si="204"/>
        <v>LO</v>
      </c>
      <c r="F3278" s="369">
        <f>VLOOKUP(C3278,METADATA!$A$5:$H$29,IF(E3278="HI",2,IF(E3278="LO",6,10))+IF(D3278=1,2,IF(D3278=7,1,(IF(WEEKDAY(B3278)=1,2,IF(WEEKDAY(B3278)=7,1,0))))))</f>
        <v>2</v>
      </c>
      <c r="G3278" s="369">
        <f>VLOOKUP(C3278,METADATA!$J$5:$Q$29,IF(E3278="HI",2,IF(E3278="LO",6,10))+IF(D3278=1,2,IF(D3278=7,1,(IF(WEEKDAY(B3278)=1,2,IF(WEEKDAY(B3278)=7,1,0))))))</f>
        <v>2</v>
      </c>
      <c r="H3278" s="370">
        <v>13526.324829101563</v>
      </c>
      <c r="I3278" s="370">
        <v>4373.02490234375</v>
      </c>
      <c r="M3278" s="371">
        <f t="shared" si="205"/>
        <v>14215.653702130197</v>
      </c>
      <c r="N3278" s="329">
        <f t="shared" si="206"/>
        <v>315.12745361328143</v>
      </c>
      <c r="T3278" s="331">
        <v>0</v>
      </c>
      <c r="U3278" s="328">
        <f>VLOOKUP(C3278,METADATA!$J$5:$Q$29,IF(E3278="HI",2,IF(E3278="LO",6,10))+IF(T3278=1,2,IF(D3278=7,1,(IF(WEEKDAY(B3278)=1,2,IF(WEEKDAY(B3278)=7,1,0))))))</f>
        <v>2</v>
      </c>
      <c r="V3278" s="328">
        <f>VLOOKUP(C3278,METADATA!$A$5:$H$29,IF(E3278="HI",2,IF(E3278="LO",6,10))+IF(T3278=1,2,IF(D3278=7,1,(IF(WEEKDAY(B3278)=1,2,IF(WEEKDAY(B3278)=7,1,0))))))</f>
        <v>2</v>
      </c>
    </row>
    <row r="3279" spans="2:22">
      <c r="B3279" s="318">
        <f t="shared" si="203"/>
        <v>46249</v>
      </c>
      <c r="C3279" s="312">
        <v>11</v>
      </c>
      <c r="D3279" s="368">
        <f>IFERROR((INDEX(METADATA!$T$2:$T$20,MATCH(B3279,METADATA!$S$2:$S$20,0))),0)</f>
        <v>0</v>
      </c>
      <c r="E3279" s="312" t="str">
        <f t="shared" si="204"/>
        <v>LO</v>
      </c>
      <c r="F3279" s="369">
        <f>VLOOKUP(C3279,METADATA!$A$5:$H$29,IF(E3279="HI",2,IF(E3279="LO",6,10))+IF(D3279=1,2,IF(D3279=7,1,(IF(WEEKDAY(B3279)=1,2,IF(WEEKDAY(B3279)=7,1,0))))))</f>
        <v>2</v>
      </c>
      <c r="G3279" s="369">
        <f>VLOOKUP(C3279,METADATA!$J$5:$Q$29,IF(E3279="HI",2,IF(E3279="LO",6,10))+IF(D3279=1,2,IF(D3279=7,1,(IF(WEEKDAY(B3279)=1,2,IF(WEEKDAY(B3279)=7,1,0))))))</f>
        <v>2</v>
      </c>
      <c r="H3279" s="370">
        <v>13454.449584960938</v>
      </c>
      <c r="I3279" s="370">
        <v>4290.1199340820313</v>
      </c>
      <c r="M3279" s="371">
        <f t="shared" si="205"/>
        <v>14121.874616461639</v>
      </c>
      <c r="N3279" s="329">
        <f t="shared" si="206"/>
        <v>253.78505859375036</v>
      </c>
      <c r="T3279" s="331">
        <v>0</v>
      </c>
      <c r="U3279" s="328">
        <f>VLOOKUP(C3279,METADATA!$J$5:$Q$29,IF(E3279="HI",2,IF(E3279="LO",6,10))+IF(T3279=1,2,IF(D3279=7,1,(IF(WEEKDAY(B3279)=1,2,IF(WEEKDAY(B3279)=7,1,0))))))</f>
        <v>2</v>
      </c>
      <c r="V3279" s="328">
        <f>VLOOKUP(C3279,METADATA!$A$5:$H$29,IF(E3279="HI",2,IF(E3279="LO",6,10))+IF(T3279=1,2,IF(D3279=7,1,(IF(WEEKDAY(B3279)=1,2,IF(WEEKDAY(B3279)=7,1,0))))))</f>
        <v>2</v>
      </c>
    </row>
    <row r="3280" spans="2:22">
      <c r="B3280" s="318">
        <f t="shared" si="203"/>
        <v>46249</v>
      </c>
      <c r="C3280" s="312">
        <v>12</v>
      </c>
      <c r="D3280" s="368">
        <f>IFERROR((INDEX(METADATA!$T$2:$T$20,MATCH(B3280,METADATA!$S$2:$S$20,0))),0)</f>
        <v>0</v>
      </c>
      <c r="E3280" s="312" t="str">
        <f t="shared" si="204"/>
        <v>LO</v>
      </c>
      <c r="F3280" s="369">
        <f>VLOOKUP(C3280,METADATA!$A$5:$H$29,IF(E3280="HI",2,IF(E3280="LO",6,10))+IF(D3280=1,2,IF(D3280=7,1,(IF(WEEKDAY(B3280)=1,2,IF(WEEKDAY(B3280)=7,1,0))))))</f>
        <v>3</v>
      </c>
      <c r="G3280" s="369">
        <f>VLOOKUP(C3280,METADATA!$J$5:$Q$29,IF(E3280="HI",2,IF(E3280="LO",6,10))+IF(D3280=1,2,IF(D3280=7,1,(IF(WEEKDAY(B3280)=1,2,IF(WEEKDAY(B3280)=7,1,0))))))</f>
        <v>3</v>
      </c>
      <c r="H3280" s="370">
        <v>13388.874755859375</v>
      </c>
      <c r="I3280" s="370">
        <v>4257.3349609375</v>
      </c>
      <c r="M3280" s="371">
        <f t="shared" si="205"/>
        <v>14049.443697090257</v>
      </c>
      <c r="N3280" s="329">
        <f t="shared" si="206"/>
        <v>240.67253417968777</v>
      </c>
      <c r="T3280" s="331">
        <v>0</v>
      </c>
      <c r="U3280" s="328">
        <f>VLOOKUP(C3280,METADATA!$J$5:$Q$29,IF(E3280="HI",2,IF(E3280="LO",6,10))+IF(T3280=1,2,IF(D3280=7,1,(IF(WEEKDAY(B3280)=1,2,IF(WEEKDAY(B3280)=7,1,0))))))</f>
        <v>3</v>
      </c>
      <c r="V3280" s="328">
        <f>VLOOKUP(C3280,METADATA!$A$5:$H$29,IF(E3280="HI",2,IF(E3280="LO",6,10))+IF(T3280=1,2,IF(D3280=7,1,(IF(WEEKDAY(B3280)=1,2,IF(WEEKDAY(B3280)=7,1,0))))))</f>
        <v>3</v>
      </c>
    </row>
    <row r="3281" spans="2:22">
      <c r="B3281" s="318">
        <f t="shared" si="203"/>
        <v>46249</v>
      </c>
      <c r="C3281" s="312">
        <v>13</v>
      </c>
      <c r="D3281" s="368">
        <f>IFERROR((INDEX(METADATA!$T$2:$T$20,MATCH(B3281,METADATA!$S$2:$S$20,0))),0)</f>
        <v>0</v>
      </c>
      <c r="E3281" s="312" t="str">
        <f t="shared" si="204"/>
        <v>LO</v>
      </c>
      <c r="F3281" s="369">
        <f>VLOOKUP(C3281,METADATA!$A$5:$H$29,IF(E3281="HI",2,IF(E3281="LO",6,10))+IF(D3281=1,2,IF(D3281=7,1,(IF(WEEKDAY(B3281)=1,2,IF(WEEKDAY(B3281)=7,1,0))))))</f>
        <v>3</v>
      </c>
      <c r="G3281" s="369">
        <f>VLOOKUP(C3281,METADATA!$J$5:$Q$29,IF(E3281="HI",2,IF(E3281="LO",6,10))+IF(D3281=1,2,IF(D3281=7,1,(IF(WEEKDAY(B3281)=1,2,IF(WEEKDAY(B3281)=7,1,0))))))</f>
        <v>3</v>
      </c>
      <c r="H3281" s="370">
        <v>13389.049926757813</v>
      </c>
      <c r="I3281" s="370">
        <v>4272.8901062011719</v>
      </c>
      <c r="M3281" s="371">
        <f t="shared" si="205"/>
        <v>14054.331994117872</v>
      </c>
      <c r="N3281" s="329">
        <f t="shared" si="206"/>
        <v>256.1751281738284</v>
      </c>
      <c r="T3281" s="331">
        <v>0</v>
      </c>
      <c r="U3281" s="328">
        <f>VLOOKUP(C3281,METADATA!$J$5:$Q$29,IF(E3281="HI",2,IF(E3281="LO",6,10))+IF(T3281=1,2,IF(D3281=7,1,(IF(WEEKDAY(B3281)=1,2,IF(WEEKDAY(B3281)=7,1,0))))))</f>
        <v>3</v>
      </c>
      <c r="V3281" s="328">
        <f>VLOOKUP(C3281,METADATA!$A$5:$H$29,IF(E3281="HI",2,IF(E3281="LO",6,10))+IF(T3281=1,2,IF(D3281=7,1,(IF(WEEKDAY(B3281)=1,2,IF(WEEKDAY(B3281)=7,1,0))))))</f>
        <v>3</v>
      </c>
    </row>
    <row r="3282" spans="2:22">
      <c r="B3282" s="318">
        <f t="shared" si="203"/>
        <v>46249</v>
      </c>
      <c r="C3282" s="312">
        <v>14</v>
      </c>
      <c r="D3282" s="368">
        <f>IFERROR((INDEX(METADATA!$T$2:$T$20,MATCH(B3282,METADATA!$S$2:$S$20,0))),0)</f>
        <v>0</v>
      </c>
      <c r="E3282" s="312" t="str">
        <f t="shared" si="204"/>
        <v>LO</v>
      </c>
      <c r="F3282" s="369">
        <f>VLOOKUP(C3282,METADATA!$A$5:$H$29,IF(E3282="HI",2,IF(E3282="LO",6,10))+IF(D3282=1,2,IF(D3282=7,1,(IF(WEEKDAY(B3282)=1,2,IF(WEEKDAY(B3282)=7,1,0))))))</f>
        <v>3</v>
      </c>
      <c r="G3282" s="369">
        <f>VLOOKUP(C3282,METADATA!$J$5:$Q$29,IF(E3282="HI",2,IF(E3282="LO",6,10))+IF(D3282=1,2,IF(D3282=7,1,(IF(WEEKDAY(B3282)=1,2,IF(WEEKDAY(B3282)=7,1,0))))))</f>
        <v>3</v>
      </c>
      <c r="H3282" s="370">
        <v>13310.624816894531</v>
      </c>
      <c r="I3282" s="370">
        <v>4333.205078125</v>
      </c>
      <c r="M3282" s="371">
        <f t="shared" si="205"/>
        <v>13998.192714247682</v>
      </c>
      <c r="N3282" s="329">
        <f t="shared" si="206"/>
        <v>340.01763305664099</v>
      </c>
      <c r="T3282" s="331">
        <v>0</v>
      </c>
      <c r="U3282" s="328">
        <f>VLOOKUP(C3282,METADATA!$J$5:$Q$29,IF(E3282="HI",2,IF(E3282="LO",6,10))+IF(T3282=1,2,IF(D3282=7,1,(IF(WEEKDAY(B3282)=1,2,IF(WEEKDAY(B3282)=7,1,0))))))</f>
        <v>3</v>
      </c>
      <c r="V3282" s="328">
        <f>VLOOKUP(C3282,METADATA!$A$5:$H$29,IF(E3282="HI",2,IF(E3282="LO",6,10))+IF(T3282=1,2,IF(D3282=7,1,(IF(WEEKDAY(B3282)=1,2,IF(WEEKDAY(B3282)=7,1,0))))))</f>
        <v>3</v>
      </c>
    </row>
    <row r="3283" spans="2:22">
      <c r="B3283" s="318">
        <f t="shared" si="203"/>
        <v>46249</v>
      </c>
      <c r="C3283" s="312">
        <v>15</v>
      </c>
      <c r="D3283" s="368">
        <f>IFERROR((INDEX(METADATA!$T$2:$T$20,MATCH(B3283,METADATA!$S$2:$S$20,0))),0)</f>
        <v>0</v>
      </c>
      <c r="E3283" s="312" t="str">
        <f t="shared" si="204"/>
        <v>LO</v>
      </c>
      <c r="F3283" s="369">
        <f>VLOOKUP(C3283,METADATA!$A$5:$H$29,IF(E3283="HI",2,IF(E3283="LO",6,10))+IF(D3283=1,2,IF(D3283=7,1,(IF(WEEKDAY(B3283)=1,2,IF(WEEKDAY(B3283)=7,1,0))))))</f>
        <v>3</v>
      </c>
      <c r="G3283" s="369">
        <f>VLOOKUP(C3283,METADATA!$J$5:$Q$29,IF(E3283="HI",2,IF(E3283="LO",6,10))+IF(D3283=1,2,IF(D3283=7,1,(IF(WEEKDAY(B3283)=1,2,IF(WEEKDAY(B3283)=7,1,0))))))</f>
        <v>3</v>
      </c>
      <c r="H3283" s="370">
        <v>13377.124816894531</v>
      </c>
      <c r="I3283" s="370">
        <v>4467.7200622558594</v>
      </c>
      <c r="M3283" s="371">
        <f t="shared" si="205"/>
        <v>14103.474427298368</v>
      </c>
      <c r="N3283" s="329">
        <f t="shared" si="206"/>
        <v>454.58261718750009</v>
      </c>
      <c r="T3283" s="331">
        <v>0</v>
      </c>
      <c r="U3283" s="328">
        <f>VLOOKUP(C3283,METADATA!$J$5:$Q$29,IF(E3283="HI",2,IF(E3283="LO",6,10))+IF(T3283=1,2,IF(D3283=7,1,(IF(WEEKDAY(B3283)=1,2,IF(WEEKDAY(B3283)=7,1,0))))))</f>
        <v>3</v>
      </c>
      <c r="V3283" s="328">
        <f>VLOOKUP(C3283,METADATA!$A$5:$H$29,IF(E3283="HI",2,IF(E3283="LO",6,10))+IF(T3283=1,2,IF(D3283=7,1,(IF(WEEKDAY(B3283)=1,2,IF(WEEKDAY(B3283)=7,1,0))))))</f>
        <v>3</v>
      </c>
    </row>
    <row r="3284" spans="2:22">
      <c r="B3284" s="318">
        <f t="shared" si="203"/>
        <v>46249</v>
      </c>
      <c r="C3284" s="312">
        <v>16</v>
      </c>
      <c r="D3284" s="368">
        <f>IFERROR((INDEX(METADATA!$T$2:$T$20,MATCH(B3284,METADATA!$S$2:$S$20,0))),0)</f>
        <v>0</v>
      </c>
      <c r="E3284" s="312" t="str">
        <f t="shared" si="204"/>
        <v>LO</v>
      </c>
      <c r="F3284" s="369">
        <f>VLOOKUP(C3284,METADATA!$A$5:$H$29,IF(E3284="HI",2,IF(E3284="LO",6,10))+IF(D3284=1,2,IF(D3284=7,1,(IF(WEEKDAY(B3284)=1,2,IF(WEEKDAY(B3284)=7,1,0))))))</f>
        <v>3</v>
      </c>
      <c r="G3284" s="369">
        <f>VLOOKUP(C3284,METADATA!$J$5:$Q$29,IF(E3284="HI",2,IF(E3284="LO",6,10))+IF(D3284=1,2,IF(D3284=7,1,(IF(WEEKDAY(B3284)=1,2,IF(WEEKDAY(B3284)=7,1,0))))))</f>
        <v>3</v>
      </c>
      <c r="H3284" s="370">
        <v>13476.924865722656</v>
      </c>
      <c r="I3284" s="370">
        <v>4468.4049682617188</v>
      </c>
      <c r="M3284" s="371">
        <f t="shared" si="205"/>
        <v>14198.385358790612</v>
      </c>
      <c r="N3284" s="329">
        <f t="shared" si="206"/>
        <v>425.32750854492224</v>
      </c>
      <c r="T3284" s="331">
        <v>0</v>
      </c>
      <c r="U3284" s="328">
        <f>VLOOKUP(C3284,METADATA!$J$5:$Q$29,IF(E3284="HI",2,IF(E3284="LO",6,10))+IF(T3284=1,2,IF(D3284=7,1,(IF(WEEKDAY(B3284)=1,2,IF(WEEKDAY(B3284)=7,1,0))))))</f>
        <v>3</v>
      </c>
      <c r="V3284" s="328">
        <f>VLOOKUP(C3284,METADATA!$A$5:$H$29,IF(E3284="HI",2,IF(E3284="LO",6,10))+IF(T3284=1,2,IF(D3284=7,1,(IF(WEEKDAY(B3284)=1,2,IF(WEEKDAY(B3284)=7,1,0))))))</f>
        <v>3</v>
      </c>
    </row>
    <row r="3285" spans="2:22">
      <c r="B3285" s="318">
        <f t="shared" si="203"/>
        <v>46249</v>
      </c>
      <c r="C3285" s="312">
        <v>17</v>
      </c>
      <c r="D3285" s="368">
        <f>IFERROR((INDEX(METADATA!$T$2:$T$20,MATCH(B3285,METADATA!$S$2:$S$20,0))),0)</f>
        <v>0</v>
      </c>
      <c r="E3285" s="312" t="str">
        <f t="shared" si="204"/>
        <v>LO</v>
      </c>
      <c r="F3285" s="369">
        <f>VLOOKUP(C3285,METADATA!$A$5:$H$29,IF(E3285="HI",2,IF(E3285="LO",6,10))+IF(D3285=1,2,IF(D3285=7,1,(IF(WEEKDAY(B3285)=1,2,IF(WEEKDAY(B3285)=7,1,0))))))</f>
        <v>3</v>
      </c>
      <c r="G3285" s="369">
        <f>VLOOKUP(C3285,METADATA!$J$5:$Q$29,IF(E3285="HI",2,IF(E3285="LO",6,10))+IF(D3285=1,2,IF(D3285=7,1,(IF(WEEKDAY(B3285)=1,2,IF(WEEKDAY(B3285)=7,1,0))))))</f>
        <v>3</v>
      </c>
      <c r="H3285" s="370">
        <v>13418.200073242188</v>
      </c>
      <c r="I3285" s="370">
        <v>4367.9800109863281</v>
      </c>
      <c r="M3285" s="371">
        <f t="shared" si="205"/>
        <v>14111.248795975953</v>
      </c>
      <c r="N3285" s="329">
        <f t="shared" si="206"/>
        <v>342.51998901367188</v>
      </c>
      <c r="T3285" s="331">
        <v>0</v>
      </c>
      <c r="U3285" s="328">
        <f>VLOOKUP(C3285,METADATA!$J$5:$Q$29,IF(E3285="HI",2,IF(E3285="LO",6,10))+IF(T3285=1,2,IF(D3285=7,1,(IF(WEEKDAY(B3285)=1,2,IF(WEEKDAY(B3285)=7,1,0))))))</f>
        <v>3</v>
      </c>
      <c r="V3285" s="328">
        <f>VLOOKUP(C3285,METADATA!$A$5:$H$29,IF(E3285="HI",2,IF(E3285="LO",6,10))+IF(T3285=1,2,IF(D3285=7,1,(IF(WEEKDAY(B3285)=1,2,IF(WEEKDAY(B3285)=7,1,0))))))</f>
        <v>3</v>
      </c>
    </row>
    <row r="3286" spans="2:22">
      <c r="B3286" s="318">
        <f t="shared" si="203"/>
        <v>46249</v>
      </c>
      <c r="C3286" s="312">
        <v>18</v>
      </c>
      <c r="D3286" s="368">
        <f>IFERROR((INDEX(METADATA!$T$2:$T$20,MATCH(B3286,METADATA!$S$2:$S$20,0))),0)</f>
        <v>0</v>
      </c>
      <c r="E3286" s="312" t="str">
        <f t="shared" si="204"/>
        <v>LO</v>
      </c>
      <c r="F3286" s="369">
        <f>VLOOKUP(C3286,METADATA!$A$5:$H$29,IF(E3286="HI",2,IF(E3286="LO",6,10))+IF(D3286=1,2,IF(D3286=7,1,(IF(WEEKDAY(B3286)=1,2,IF(WEEKDAY(B3286)=7,1,0))))))</f>
        <v>2</v>
      </c>
      <c r="G3286" s="369">
        <f>VLOOKUP(C3286,METADATA!$J$5:$Q$29,IF(E3286="HI",2,IF(E3286="LO",6,10))+IF(D3286=1,2,IF(D3286=7,1,(IF(WEEKDAY(B3286)=1,2,IF(WEEKDAY(B3286)=7,1,0))))))</f>
        <v>2</v>
      </c>
      <c r="H3286" s="370">
        <v>13558.375305175781</v>
      </c>
      <c r="I3286" s="370">
        <v>4469.0600891113281</v>
      </c>
      <c r="M3286" s="371">
        <f t="shared" si="205"/>
        <v>14275.925153771583</v>
      </c>
      <c r="N3286" s="329">
        <f t="shared" si="206"/>
        <v>401.54749755859393</v>
      </c>
      <c r="T3286" s="331">
        <v>0</v>
      </c>
      <c r="U3286" s="328">
        <f>VLOOKUP(C3286,METADATA!$J$5:$Q$29,IF(E3286="HI",2,IF(E3286="LO",6,10))+IF(T3286=1,2,IF(D3286=7,1,(IF(WEEKDAY(B3286)=1,2,IF(WEEKDAY(B3286)=7,1,0))))))</f>
        <v>2</v>
      </c>
      <c r="V3286" s="328">
        <f>VLOOKUP(C3286,METADATA!$A$5:$H$29,IF(E3286="HI",2,IF(E3286="LO",6,10))+IF(T3286=1,2,IF(D3286=7,1,(IF(WEEKDAY(B3286)=1,2,IF(WEEKDAY(B3286)=7,1,0))))))</f>
        <v>2</v>
      </c>
    </row>
    <row r="3287" spans="2:22">
      <c r="B3287" s="318">
        <f t="shared" si="203"/>
        <v>46249</v>
      </c>
      <c r="C3287" s="312">
        <v>19</v>
      </c>
      <c r="D3287" s="368">
        <f>IFERROR((INDEX(METADATA!$T$2:$T$20,MATCH(B3287,METADATA!$S$2:$S$20,0))),0)</f>
        <v>0</v>
      </c>
      <c r="E3287" s="312" t="str">
        <f t="shared" si="204"/>
        <v>LO</v>
      </c>
      <c r="F3287" s="369">
        <f>VLOOKUP(C3287,METADATA!$A$5:$H$29,IF(E3287="HI",2,IF(E3287="LO",6,10))+IF(D3287=1,2,IF(D3287=7,1,(IF(WEEKDAY(B3287)=1,2,IF(WEEKDAY(B3287)=7,1,0))))))</f>
        <v>2</v>
      </c>
      <c r="G3287" s="369">
        <f>VLOOKUP(C3287,METADATA!$J$5:$Q$29,IF(E3287="HI",2,IF(E3287="LO",6,10))+IF(D3287=1,2,IF(D3287=7,1,(IF(WEEKDAY(B3287)=1,2,IF(WEEKDAY(B3287)=7,1,0))))))</f>
        <v>2</v>
      </c>
      <c r="H3287" s="370">
        <v>13401.425048828125</v>
      </c>
      <c r="I3287" s="370">
        <v>4507.0650634765625</v>
      </c>
      <c r="M3287" s="371">
        <f t="shared" si="205"/>
        <v>14139.017958322596</v>
      </c>
      <c r="N3287" s="329">
        <f t="shared" si="206"/>
        <v>486.63754882812509</v>
      </c>
      <c r="T3287" s="331">
        <v>0</v>
      </c>
      <c r="U3287" s="328">
        <f>VLOOKUP(C3287,METADATA!$J$5:$Q$29,IF(E3287="HI",2,IF(E3287="LO",6,10))+IF(T3287=1,2,IF(D3287=7,1,(IF(WEEKDAY(B3287)=1,2,IF(WEEKDAY(B3287)=7,1,0))))))</f>
        <v>2</v>
      </c>
      <c r="V3287" s="328">
        <f>VLOOKUP(C3287,METADATA!$A$5:$H$29,IF(E3287="HI",2,IF(E3287="LO",6,10))+IF(T3287=1,2,IF(D3287=7,1,(IF(WEEKDAY(B3287)=1,2,IF(WEEKDAY(B3287)=7,1,0))))))</f>
        <v>2</v>
      </c>
    </row>
    <row r="3288" spans="2:22">
      <c r="B3288" s="318">
        <f t="shared" si="203"/>
        <v>46249</v>
      </c>
      <c r="C3288" s="312">
        <v>20</v>
      </c>
      <c r="D3288" s="368">
        <f>IFERROR((INDEX(METADATA!$T$2:$T$20,MATCH(B3288,METADATA!$S$2:$S$20,0))),0)</f>
        <v>0</v>
      </c>
      <c r="E3288" s="312" t="str">
        <f t="shared" si="204"/>
        <v>LO</v>
      </c>
      <c r="F3288" s="369">
        <f>VLOOKUP(C3288,METADATA!$A$5:$H$29,IF(E3288="HI",2,IF(E3288="LO",6,10))+IF(D3288=1,2,IF(D3288=7,1,(IF(WEEKDAY(B3288)=1,2,IF(WEEKDAY(B3288)=7,1,0))))))</f>
        <v>3</v>
      </c>
      <c r="G3288" s="369">
        <f>VLOOKUP(C3288,METADATA!$J$5:$Q$29,IF(E3288="HI",2,IF(E3288="LO",6,10))+IF(D3288=1,2,IF(D3288=7,1,(IF(WEEKDAY(B3288)=1,2,IF(WEEKDAY(B3288)=7,1,0))))))</f>
        <v>3</v>
      </c>
      <c r="H3288" s="370">
        <v>13356.375122070313</v>
      </c>
      <c r="I3288" s="370">
        <v>4502.195068359375</v>
      </c>
      <c r="M3288" s="371">
        <f t="shared" si="205"/>
        <v>14094.769130248931</v>
      </c>
      <c r="N3288" s="329">
        <f t="shared" si="206"/>
        <v>495.28253173828125</v>
      </c>
      <c r="T3288" s="331">
        <v>0</v>
      </c>
      <c r="U3288" s="328">
        <f>VLOOKUP(C3288,METADATA!$J$5:$Q$29,IF(E3288="HI",2,IF(E3288="LO",6,10))+IF(T3288=1,2,IF(D3288=7,1,(IF(WEEKDAY(B3288)=1,2,IF(WEEKDAY(B3288)=7,1,0))))))</f>
        <v>3</v>
      </c>
      <c r="V3288" s="328">
        <f>VLOOKUP(C3288,METADATA!$A$5:$H$29,IF(E3288="HI",2,IF(E3288="LO",6,10))+IF(T3288=1,2,IF(D3288=7,1,(IF(WEEKDAY(B3288)=1,2,IF(WEEKDAY(B3288)=7,1,0))))))</f>
        <v>3</v>
      </c>
    </row>
    <row r="3289" spans="2:22">
      <c r="B3289" s="318">
        <f t="shared" si="203"/>
        <v>46249</v>
      </c>
      <c r="C3289" s="312">
        <v>21</v>
      </c>
      <c r="D3289" s="368">
        <f>IFERROR((INDEX(METADATA!$T$2:$T$20,MATCH(B3289,METADATA!$S$2:$S$20,0))),0)</f>
        <v>0</v>
      </c>
      <c r="E3289" s="312" t="str">
        <f t="shared" si="204"/>
        <v>LO</v>
      </c>
      <c r="F3289" s="369">
        <f>VLOOKUP(C3289,METADATA!$A$5:$H$29,IF(E3289="HI",2,IF(E3289="LO",6,10))+IF(D3289=1,2,IF(D3289=7,1,(IF(WEEKDAY(B3289)=1,2,IF(WEEKDAY(B3289)=7,1,0))))))</f>
        <v>3</v>
      </c>
      <c r="G3289" s="369">
        <f>VLOOKUP(C3289,METADATA!$J$5:$Q$29,IF(E3289="HI",2,IF(E3289="LO",6,10))+IF(D3289=1,2,IF(D3289=7,1,(IF(WEEKDAY(B3289)=1,2,IF(WEEKDAY(B3289)=7,1,0))))))</f>
        <v>3</v>
      </c>
      <c r="H3289" s="370">
        <v>13531.12451171875</v>
      </c>
      <c r="I3289" s="370">
        <v>4415.8399658203125</v>
      </c>
      <c r="M3289" s="371">
        <f t="shared" si="205"/>
        <v>14233.445582689103</v>
      </c>
      <c r="N3289" s="329">
        <f t="shared" si="206"/>
        <v>356.50261230468777</v>
      </c>
      <c r="T3289" s="331">
        <v>0</v>
      </c>
      <c r="U3289" s="328">
        <f>VLOOKUP(C3289,METADATA!$J$5:$Q$29,IF(E3289="HI",2,IF(E3289="LO",6,10))+IF(T3289=1,2,IF(D3289=7,1,(IF(WEEKDAY(B3289)=1,2,IF(WEEKDAY(B3289)=7,1,0))))))</f>
        <v>3</v>
      </c>
      <c r="V3289" s="328">
        <f>VLOOKUP(C3289,METADATA!$A$5:$H$29,IF(E3289="HI",2,IF(E3289="LO",6,10))+IF(T3289=1,2,IF(D3289=7,1,(IF(WEEKDAY(B3289)=1,2,IF(WEEKDAY(B3289)=7,1,0))))))</f>
        <v>3</v>
      </c>
    </row>
    <row r="3290" spans="2:22">
      <c r="B3290" s="318">
        <f t="shared" si="203"/>
        <v>46249</v>
      </c>
      <c r="C3290" s="312">
        <v>22</v>
      </c>
      <c r="D3290" s="368">
        <f>IFERROR((INDEX(METADATA!$T$2:$T$20,MATCH(B3290,METADATA!$S$2:$S$20,0))),0)</f>
        <v>0</v>
      </c>
      <c r="E3290" s="312" t="str">
        <f t="shared" si="204"/>
        <v>LO</v>
      </c>
      <c r="F3290" s="369">
        <f>VLOOKUP(C3290,METADATA!$A$5:$H$29,IF(E3290="HI",2,IF(E3290="LO",6,10))+IF(D3290=1,2,IF(D3290=7,1,(IF(WEEKDAY(B3290)=1,2,IF(WEEKDAY(B3290)=7,1,0))))))</f>
        <v>3</v>
      </c>
      <c r="G3290" s="369">
        <f>VLOOKUP(C3290,METADATA!$J$5:$Q$29,IF(E3290="HI",2,IF(E3290="LO",6,10))+IF(D3290=1,2,IF(D3290=7,1,(IF(WEEKDAY(B3290)=1,2,IF(WEEKDAY(B3290)=7,1,0))))))</f>
        <v>3</v>
      </c>
      <c r="H3290" s="370">
        <v>13444.625244140625</v>
      </c>
      <c r="I3290" s="370">
        <v>4498.6900634765625</v>
      </c>
      <c r="M3290" s="371">
        <f t="shared" si="205"/>
        <v>14177.311460308902</v>
      </c>
      <c r="N3290" s="329">
        <f t="shared" si="206"/>
        <v>465.302490234375</v>
      </c>
      <c r="T3290" s="331">
        <v>0</v>
      </c>
      <c r="U3290" s="328">
        <f>VLOOKUP(C3290,METADATA!$J$5:$Q$29,IF(E3290="HI",2,IF(E3290="LO",6,10))+IF(T3290=1,2,IF(D3290=7,1,(IF(WEEKDAY(B3290)=1,2,IF(WEEKDAY(B3290)=7,1,0))))))</f>
        <v>3</v>
      </c>
      <c r="V3290" s="328">
        <f>VLOOKUP(C3290,METADATA!$A$5:$H$29,IF(E3290="HI",2,IF(E3290="LO",6,10))+IF(T3290=1,2,IF(D3290=7,1,(IF(WEEKDAY(B3290)=1,2,IF(WEEKDAY(B3290)=7,1,0))))))</f>
        <v>3</v>
      </c>
    </row>
    <row r="3291" spans="2:22">
      <c r="B3291" s="318">
        <f t="shared" si="203"/>
        <v>46249</v>
      </c>
      <c r="C3291" s="312">
        <v>23</v>
      </c>
      <c r="D3291" s="368">
        <f>IFERROR((INDEX(METADATA!$T$2:$T$20,MATCH(B3291,METADATA!$S$2:$S$20,0))),0)</f>
        <v>0</v>
      </c>
      <c r="E3291" s="312" t="str">
        <f t="shared" si="204"/>
        <v>LO</v>
      </c>
      <c r="F3291" s="369">
        <f>VLOOKUP(C3291,METADATA!$A$5:$H$29,IF(E3291="HI",2,IF(E3291="LO",6,10))+IF(D3291=1,2,IF(D3291=7,1,(IF(WEEKDAY(B3291)=1,2,IF(WEEKDAY(B3291)=7,1,0))))))</f>
        <v>3</v>
      </c>
      <c r="G3291" s="369">
        <f>VLOOKUP(C3291,METADATA!$J$5:$Q$29,IF(E3291="HI",2,IF(E3291="LO",6,10))+IF(D3291=1,2,IF(D3291=7,1,(IF(WEEKDAY(B3291)=1,2,IF(WEEKDAY(B3291)=7,1,0))))))</f>
        <v>3</v>
      </c>
      <c r="H3291" s="370">
        <v>13464.774658203125</v>
      </c>
      <c r="I3291" s="370">
        <v>4613.7549743652344</v>
      </c>
      <c r="M3291" s="371">
        <f t="shared" si="205"/>
        <v>14233.302201515608</v>
      </c>
      <c r="N3291" s="329">
        <f t="shared" si="206"/>
        <v>574.32257690429697</v>
      </c>
      <c r="T3291" s="331">
        <v>0</v>
      </c>
      <c r="U3291" s="328">
        <f>VLOOKUP(C3291,METADATA!$J$5:$Q$29,IF(E3291="HI",2,IF(E3291="LO",6,10))+IF(T3291=1,2,IF(D3291=7,1,(IF(WEEKDAY(B3291)=1,2,IF(WEEKDAY(B3291)=7,1,0))))))</f>
        <v>3</v>
      </c>
      <c r="V3291" s="328">
        <f>VLOOKUP(C3291,METADATA!$A$5:$H$29,IF(E3291="HI",2,IF(E3291="LO",6,10))+IF(T3291=1,2,IF(D3291=7,1,(IF(WEEKDAY(B3291)=1,2,IF(WEEKDAY(B3291)=7,1,0))))))</f>
        <v>3</v>
      </c>
    </row>
    <row r="3292" spans="2:22">
      <c r="B3292" s="318">
        <f t="shared" ref="B3292:B3355" si="207">B3268+1</f>
        <v>46250</v>
      </c>
      <c r="C3292" s="312">
        <v>0</v>
      </c>
      <c r="D3292" s="368">
        <f>IFERROR((INDEX(METADATA!$T$2:$T$20,MATCH(B3292,METADATA!$S$2:$S$20,0))),0)</f>
        <v>0</v>
      </c>
      <c r="E3292" s="312" t="str">
        <f t="shared" si="204"/>
        <v>LO</v>
      </c>
      <c r="F3292" s="369">
        <f>VLOOKUP(C3292,METADATA!$A$5:$H$29,IF(E3292="HI",2,IF(E3292="LO",6,10))+IF(D3292=1,2,IF(D3292=7,1,(IF(WEEKDAY(B3292)=1,2,IF(WEEKDAY(B3292)=7,1,0))))))</f>
        <v>3</v>
      </c>
      <c r="G3292" s="369">
        <f>VLOOKUP(C3292,METADATA!$J$5:$Q$29,IF(E3292="HI",2,IF(E3292="LO",6,10))+IF(D3292=1,2,IF(D3292=7,1,(IF(WEEKDAY(B3292)=1,2,IF(WEEKDAY(B3292)=7,1,0))))))</f>
        <v>3</v>
      </c>
      <c r="H3292" s="370">
        <v>12820.500305175781</v>
      </c>
      <c r="I3292" s="370">
        <v>4367.8050537109375</v>
      </c>
      <c r="M3292" s="371">
        <f t="shared" si="205"/>
        <v>13544.111231905736</v>
      </c>
      <c r="N3292" s="329">
        <f t="shared" si="206"/>
        <v>521.65496215820349</v>
      </c>
      <c r="T3292" s="331">
        <v>0</v>
      </c>
      <c r="U3292" s="328">
        <f>VLOOKUP(C3292,METADATA!$J$5:$Q$29,IF(E3292="HI",2,IF(E3292="LO",6,10))+IF(T3292=1,2,IF(D3292=7,1,(IF(WEEKDAY(B3292)=1,2,IF(WEEKDAY(B3292)=7,1,0))))))</f>
        <v>3</v>
      </c>
      <c r="V3292" s="328">
        <f>VLOOKUP(C3292,METADATA!$A$5:$H$29,IF(E3292="HI",2,IF(E3292="LO",6,10))+IF(T3292=1,2,IF(D3292=7,1,(IF(WEEKDAY(B3292)=1,2,IF(WEEKDAY(B3292)=7,1,0))))))</f>
        <v>3</v>
      </c>
    </row>
    <row r="3293" spans="2:22">
      <c r="B3293" s="318">
        <f t="shared" si="207"/>
        <v>46250</v>
      </c>
      <c r="C3293" s="312">
        <v>1</v>
      </c>
      <c r="D3293" s="368">
        <f>IFERROR((INDEX(METADATA!$T$2:$T$20,MATCH(B3293,METADATA!$S$2:$S$20,0))),0)</f>
        <v>0</v>
      </c>
      <c r="E3293" s="312" t="str">
        <f t="shared" si="204"/>
        <v>LO</v>
      </c>
      <c r="F3293" s="369">
        <f>VLOOKUP(C3293,METADATA!$A$5:$H$29,IF(E3293="HI",2,IF(E3293="LO",6,10))+IF(D3293=1,2,IF(D3293=7,1,(IF(WEEKDAY(B3293)=1,2,IF(WEEKDAY(B3293)=7,1,0))))))</f>
        <v>3</v>
      </c>
      <c r="G3293" s="369">
        <f>VLOOKUP(C3293,METADATA!$J$5:$Q$29,IF(E3293="HI",2,IF(E3293="LO",6,10))+IF(D3293=1,2,IF(D3293=7,1,(IF(WEEKDAY(B3293)=1,2,IF(WEEKDAY(B3293)=7,1,0))))))</f>
        <v>3</v>
      </c>
      <c r="H3293" s="370">
        <v>12328.489929199219</v>
      </c>
      <c r="I3293" s="370">
        <v>4008.6125183105469</v>
      </c>
      <c r="M3293" s="371">
        <f t="shared" si="205"/>
        <v>12963.820357299101</v>
      </c>
      <c r="N3293" s="329">
        <f t="shared" si="206"/>
        <v>310.06553955078152</v>
      </c>
      <c r="T3293" s="331">
        <v>0</v>
      </c>
      <c r="U3293" s="328">
        <f>VLOOKUP(C3293,METADATA!$J$5:$Q$29,IF(E3293="HI",2,IF(E3293="LO",6,10))+IF(T3293=1,2,IF(D3293=7,1,(IF(WEEKDAY(B3293)=1,2,IF(WEEKDAY(B3293)=7,1,0))))))</f>
        <v>3</v>
      </c>
      <c r="V3293" s="328">
        <f>VLOOKUP(C3293,METADATA!$A$5:$H$29,IF(E3293="HI",2,IF(E3293="LO",6,10))+IF(T3293=1,2,IF(D3293=7,1,(IF(WEEKDAY(B3293)=1,2,IF(WEEKDAY(B3293)=7,1,0))))))</f>
        <v>3</v>
      </c>
    </row>
    <row r="3294" spans="2:22">
      <c r="B3294" s="318">
        <f t="shared" si="207"/>
        <v>46250</v>
      </c>
      <c r="C3294" s="312">
        <v>2</v>
      </c>
      <c r="D3294" s="368">
        <f>IFERROR((INDEX(METADATA!$T$2:$T$20,MATCH(B3294,METADATA!$S$2:$S$20,0))),0)</f>
        <v>0</v>
      </c>
      <c r="E3294" s="312" t="str">
        <f t="shared" si="204"/>
        <v>LO</v>
      </c>
      <c r="F3294" s="369">
        <f>VLOOKUP(C3294,METADATA!$A$5:$H$29,IF(E3294="HI",2,IF(E3294="LO",6,10))+IF(D3294=1,2,IF(D3294=7,1,(IF(WEEKDAY(B3294)=1,2,IF(WEEKDAY(B3294)=7,1,0))))))</f>
        <v>3</v>
      </c>
      <c r="G3294" s="369">
        <f>VLOOKUP(C3294,METADATA!$J$5:$Q$29,IF(E3294="HI",2,IF(E3294="LO",6,10))+IF(D3294=1,2,IF(D3294=7,1,(IF(WEEKDAY(B3294)=1,2,IF(WEEKDAY(B3294)=7,1,0))))))</f>
        <v>3</v>
      </c>
      <c r="H3294" s="370">
        <v>9920.849853515625</v>
      </c>
      <c r="I3294" s="370">
        <v>2666.9249572753906</v>
      </c>
      <c r="M3294" s="371">
        <f t="shared" si="205"/>
        <v>10273.05945391826</v>
      </c>
      <c r="N3294" s="329">
        <f t="shared" si="206"/>
        <v>0</v>
      </c>
      <c r="T3294" s="331">
        <v>0</v>
      </c>
      <c r="U3294" s="328">
        <f>VLOOKUP(C3294,METADATA!$J$5:$Q$29,IF(E3294="HI",2,IF(E3294="LO",6,10))+IF(T3294=1,2,IF(D3294=7,1,(IF(WEEKDAY(B3294)=1,2,IF(WEEKDAY(B3294)=7,1,0))))))</f>
        <v>3</v>
      </c>
      <c r="V3294" s="328">
        <f>VLOOKUP(C3294,METADATA!$A$5:$H$29,IF(E3294="HI",2,IF(E3294="LO",6,10))+IF(T3294=1,2,IF(D3294=7,1,(IF(WEEKDAY(B3294)=1,2,IF(WEEKDAY(B3294)=7,1,0))))))</f>
        <v>3</v>
      </c>
    </row>
    <row r="3295" spans="2:22">
      <c r="B3295" s="318">
        <f t="shared" si="207"/>
        <v>46250</v>
      </c>
      <c r="C3295" s="312">
        <v>3</v>
      </c>
      <c r="D3295" s="368">
        <f>IFERROR((INDEX(METADATA!$T$2:$T$20,MATCH(B3295,METADATA!$S$2:$S$20,0))),0)</f>
        <v>0</v>
      </c>
      <c r="E3295" s="312" t="str">
        <f t="shared" si="204"/>
        <v>LO</v>
      </c>
      <c r="F3295" s="369">
        <f>VLOOKUP(C3295,METADATA!$A$5:$H$29,IF(E3295="HI",2,IF(E3295="LO",6,10))+IF(D3295=1,2,IF(D3295=7,1,(IF(WEEKDAY(B3295)=1,2,IF(WEEKDAY(B3295)=7,1,0))))))</f>
        <v>3</v>
      </c>
      <c r="G3295" s="369">
        <f>VLOOKUP(C3295,METADATA!$J$5:$Q$29,IF(E3295="HI",2,IF(E3295="LO",6,10))+IF(D3295=1,2,IF(D3295=7,1,(IF(WEEKDAY(B3295)=1,2,IF(WEEKDAY(B3295)=7,1,0))))))</f>
        <v>3</v>
      </c>
      <c r="H3295" s="370">
        <v>8017.757568359375</v>
      </c>
      <c r="I3295" s="370">
        <v>1607.3275232315063</v>
      </c>
      <c r="M3295" s="371">
        <f t="shared" si="205"/>
        <v>8177.2818339544574</v>
      </c>
      <c r="N3295" s="329">
        <f t="shared" si="206"/>
        <v>0</v>
      </c>
      <c r="T3295" s="331">
        <v>0</v>
      </c>
      <c r="U3295" s="328">
        <f>VLOOKUP(C3295,METADATA!$J$5:$Q$29,IF(E3295="HI",2,IF(E3295="LO",6,10))+IF(T3295=1,2,IF(D3295=7,1,(IF(WEEKDAY(B3295)=1,2,IF(WEEKDAY(B3295)=7,1,0))))))</f>
        <v>3</v>
      </c>
      <c r="V3295" s="328">
        <f>VLOOKUP(C3295,METADATA!$A$5:$H$29,IF(E3295="HI",2,IF(E3295="LO",6,10))+IF(T3295=1,2,IF(D3295=7,1,(IF(WEEKDAY(B3295)=1,2,IF(WEEKDAY(B3295)=7,1,0))))))</f>
        <v>3</v>
      </c>
    </row>
    <row r="3296" spans="2:22">
      <c r="B3296" s="318">
        <f t="shared" si="207"/>
        <v>46250</v>
      </c>
      <c r="C3296" s="312">
        <v>4</v>
      </c>
      <c r="D3296" s="368">
        <f>IFERROR((INDEX(METADATA!$T$2:$T$20,MATCH(B3296,METADATA!$S$2:$S$20,0))),0)</f>
        <v>0</v>
      </c>
      <c r="E3296" s="312" t="str">
        <f t="shared" si="204"/>
        <v>LO</v>
      </c>
      <c r="F3296" s="369">
        <f>VLOOKUP(C3296,METADATA!$A$5:$H$29,IF(E3296="HI",2,IF(E3296="LO",6,10))+IF(D3296=1,2,IF(D3296=7,1,(IF(WEEKDAY(B3296)=1,2,IF(WEEKDAY(B3296)=7,1,0))))))</f>
        <v>3</v>
      </c>
      <c r="G3296" s="369">
        <f>VLOOKUP(C3296,METADATA!$J$5:$Q$29,IF(E3296="HI",2,IF(E3296="LO",6,10))+IF(D3296=1,2,IF(D3296=7,1,(IF(WEEKDAY(B3296)=1,2,IF(WEEKDAY(B3296)=7,1,0))))))</f>
        <v>3</v>
      </c>
      <c r="H3296" s="370">
        <v>6341.7400207519531</v>
      </c>
      <c r="I3296" s="370">
        <v>1471.7524719238281</v>
      </c>
      <c r="M3296" s="371">
        <f t="shared" si="205"/>
        <v>6510.2781683596959</v>
      </c>
      <c r="N3296" s="329">
        <f t="shared" si="206"/>
        <v>0</v>
      </c>
      <c r="T3296" s="331">
        <v>0</v>
      </c>
      <c r="U3296" s="328">
        <f>VLOOKUP(C3296,METADATA!$J$5:$Q$29,IF(E3296="HI",2,IF(E3296="LO",6,10))+IF(T3296=1,2,IF(D3296=7,1,(IF(WEEKDAY(B3296)=1,2,IF(WEEKDAY(B3296)=7,1,0))))))</f>
        <v>3</v>
      </c>
      <c r="V3296" s="328">
        <f>VLOOKUP(C3296,METADATA!$A$5:$H$29,IF(E3296="HI",2,IF(E3296="LO",6,10))+IF(T3296=1,2,IF(D3296=7,1,(IF(WEEKDAY(B3296)=1,2,IF(WEEKDAY(B3296)=7,1,0))))))</f>
        <v>3</v>
      </c>
    </row>
    <row r="3297" spans="2:22">
      <c r="B3297" s="318">
        <f t="shared" si="207"/>
        <v>46250</v>
      </c>
      <c r="C3297" s="312">
        <v>5</v>
      </c>
      <c r="D3297" s="368">
        <f>IFERROR((INDEX(METADATA!$T$2:$T$20,MATCH(B3297,METADATA!$S$2:$S$20,0))),0)</f>
        <v>0</v>
      </c>
      <c r="E3297" s="312" t="str">
        <f t="shared" si="204"/>
        <v>LO</v>
      </c>
      <c r="F3297" s="369">
        <f>VLOOKUP(C3297,METADATA!$A$5:$H$29,IF(E3297="HI",2,IF(E3297="LO",6,10))+IF(D3297=1,2,IF(D3297=7,1,(IF(WEEKDAY(B3297)=1,2,IF(WEEKDAY(B3297)=7,1,0))))))</f>
        <v>3</v>
      </c>
      <c r="G3297" s="369">
        <f>VLOOKUP(C3297,METADATA!$J$5:$Q$29,IF(E3297="HI",2,IF(E3297="LO",6,10))+IF(D3297=1,2,IF(D3297=7,1,(IF(WEEKDAY(B3297)=1,2,IF(WEEKDAY(B3297)=7,1,0))))))</f>
        <v>3</v>
      </c>
      <c r="H3297" s="370">
        <v>5835.2750549316406</v>
      </c>
      <c r="I3297" s="370">
        <v>1381.6825256347656</v>
      </c>
      <c r="M3297" s="371">
        <f t="shared" si="205"/>
        <v>5996.6225134113556</v>
      </c>
      <c r="N3297" s="329">
        <f t="shared" si="206"/>
        <v>0</v>
      </c>
      <c r="T3297" s="331">
        <v>0</v>
      </c>
      <c r="U3297" s="328">
        <f>VLOOKUP(C3297,METADATA!$J$5:$Q$29,IF(E3297="HI",2,IF(E3297="LO",6,10))+IF(T3297=1,2,IF(D3297=7,1,(IF(WEEKDAY(B3297)=1,2,IF(WEEKDAY(B3297)=7,1,0))))))</f>
        <v>3</v>
      </c>
      <c r="V3297" s="328">
        <f>VLOOKUP(C3297,METADATA!$A$5:$H$29,IF(E3297="HI",2,IF(E3297="LO",6,10))+IF(T3297=1,2,IF(D3297=7,1,(IF(WEEKDAY(B3297)=1,2,IF(WEEKDAY(B3297)=7,1,0))))))</f>
        <v>3</v>
      </c>
    </row>
    <row r="3298" spans="2:22">
      <c r="B3298" s="318">
        <f t="shared" si="207"/>
        <v>46250</v>
      </c>
      <c r="C3298" s="312">
        <v>6</v>
      </c>
      <c r="D3298" s="368">
        <f>IFERROR((INDEX(METADATA!$T$2:$T$20,MATCH(B3298,METADATA!$S$2:$S$20,0))),0)</f>
        <v>0</v>
      </c>
      <c r="E3298" s="312" t="str">
        <f t="shared" si="204"/>
        <v>LO</v>
      </c>
      <c r="F3298" s="369">
        <f>VLOOKUP(C3298,METADATA!$A$5:$H$29,IF(E3298="HI",2,IF(E3298="LO",6,10))+IF(D3298=1,2,IF(D3298=7,1,(IF(WEEKDAY(B3298)=1,2,IF(WEEKDAY(B3298)=7,1,0))))))</f>
        <v>3</v>
      </c>
      <c r="G3298" s="369">
        <f>VLOOKUP(C3298,METADATA!$J$5:$Q$29,IF(E3298="HI",2,IF(E3298="LO",6,10))+IF(D3298=1,2,IF(D3298=7,1,(IF(WEEKDAY(B3298)=1,2,IF(WEEKDAY(B3298)=7,1,0))))))</f>
        <v>3</v>
      </c>
      <c r="H3298" s="370">
        <v>5056.6449890136719</v>
      </c>
      <c r="I3298" s="370">
        <v>1397.0124816894531</v>
      </c>
      <c r="M3298" s="371">
        <f t="shared" si="205"/>
        <v>5246.0749536118146</v>
      </c>
      <c r="N3298" s="329">
        <f t="shared" si="206"/>
        <v>0</v>
      </c>
      <c r="T3298" s="331">
        <v>0</v>
      </c>
      <c r="U3298" s="328">
        <f>VLOOKUP(C3298,METADATA!$J$5:$Q$29,IF(E3298="HI",2,IF(E3298="LO",6,10))+IF(T3298=1,2,IF(D3298=7,1,(IF(WEEKDAY(B3298)=1,2,IF(WEEKDAY(B3298)=7,1,0))))))</f>
        <v>3</v>
      </c>
      <c r="V3298" s="328">
        <f>VLOOKUP(C3298,METADATA!$A$5:$H$29,IF(E3298="HI",2,IF(E3298="LO",6,10))+IF(T3298=1,2,IF(D3298=7,1,(IF(WEEKDAY(B3298)=1,2,IF(WEEKDAY(B3298)=7,1,0))))))</f>
        <v>3</v>
      </c>
    </row>
    <row r="3299" spans="2:22">
      <c r="B3299" s="318">
        <f t="shared" si="207"/>
        <v>46250</v>
      </c>
      <c r="C3299" s="312">
        <v>7</v>
      </c>
      <c r="D3299" s="368">
        <f>IFERROR((INDEX(METADATA!$T$2:$T$20,MATCH(B3299,METADATA!$S$2:$S$20,0))),0)</f>
        <v>0</v>
      </c>
      <c r="E3299" s="312" t="str">
        <f t="shared" si="204"/>
        <v>LO</v>
      </c>
      <c r="F3299" s="369">
        <f>VLOOKUP(C3299,METADATA!$A$5:$H$29,IF(E3299="HI",2,IF(E3299="LO",6,10))+IF(D3299=1,2,IF(D3299=7,1,(IF(WEEKDAY(B3299)=1,2,IF(WEEKDAY(B3299)=7,1,0))))))</f>
        <v>3</v>
      </c>
      <c r="G3299" s="369">
        <f>VLOOKUP(C3299,METADATA!$J$5:$Q$29,IF(E3299="HI",2,IF(E3299="LO",6,10))+IF(D3299=1,2,IF(D3299=7,1,(IF(WEEKDAY(B3299)=1,2,IF(WEEKDAY(B3299)=7,1,0))))))</f>
        <v>3</v>
      </c>
      <c r="H3299" s="370">
        <v>4047.9899291992188</v>
      </c>
      <c r="I3299" s="370">
        <v>1407.7474975585938</v>
      </c>
      <c r="M3299" s="371">
        <f t="shared" si="205"/>
        <v>4285.7876153375564</v>
      </c>
      <c r="N3299" s="329">
        <f t="shared" si="206"/>
        <v>193.35051879882826</v>
      </c>
      <c r="T3299" s="331">
        <v>0</v>
      </c>
      <c r="U3299" s="328">
        <f>VLOOKUP(C3299,METADATA!$J$5:$Q$29,IF(E3299="HI",2,IF(E3299="LO",6,10))+IF(T3299=1,2,IF(D3299=7,1,(IF(WEEKDAY(B3299)=1,2,IF(WEEKDAY(B3299)=7,1,0))))))</f>
        <v>3</v>
      </c>
      <c r="V3299" s="328">
        <f>VLOOKUP(C3299,METADATA!$A$5:$H$29,IF(E3299="HI",2,IF(E3299="LO",6,10))+IF(T3299=1,2,IF(D3299=7,1,(IF(WEEKDAY(B3299)=1,2,IF(WEEKDAY(B3299)=7,1,0))))))</f>
        <v>3</v>
      </c>
    </row>
    <row r="3300" spans="2:22">
      <c r="B3300" s="318">
        <f t="shared" si="207"/>
        <v>46250</v>
      </c>
      <c r="C3300" s="312">
        <v>8</v>
      </c>
      <c r="D3300" s="368">
        <f>IFERROR((INDEX(METADATA!$T$2:$T$20,MATCH(B3300,METADATA!$S$2:$S$20,0))),0)</f>
        <v>0</v>
      </c>
      <c r="E3300" s="312" t="str">
        <f t="shared" si="204"/>
        <v>LO</v>
      </c>
      <c r="F3300" s="369">
        <f>VLOOKUP(C3300,METADATA!$A$5:$H$29,IF(E3300="HI",2,IF(E3300="LO",6,10))+IF(D3300=1,2,IF(D3300=7,1,(IF(WEEKDAY(B3300)=1,2,IF(WEEKDAY(B3300)=7,1,0))))))</f>
        <v>3</v>
      </c>
      <c r="G3300" s="369">
        <f>VLOOKUP(C3300,METADATA!$J$5:$Q$29,IF(E3300="HI",2,IF(E3300="LO",6,10))+IF(D3300=1,2,IF(D3300=7,1,(IF(WEEKDAY(B3300)=1,2,IF(WEEKDAY(B3300)=7,1,0))))))</f>
        <v>3</v>
      </c>
      <c r="H3300" s="370">
        <v>3645.7675476074219</v>
      </c>
      <c r="I3300" s="370">
        <v>1395.1424865722656</v>
      </c>
      <c r="M3300" s="371">
        <f t="shared" si="205"/>
        <v>3903.5936736584763</v>
      </c>
      <c r="N3300" s="329">
        <f t="shared" si="206"/>
        <v>301.41222229003915</v>
      </c>
      <c r="T3300" s="331">
        <v>0</v>
      </c>
      <c r="U3300" s="328">
        <f>VLOOKUP(C3300,METADATA!$J$5:$Q$29,IF(E3300="HI",2,IF(E3300="LO",6,10))+IF(T3300=1,2,IF(D3300=7,1,(IF(WEEKDAY(B3300)=1,2,IF(WEEKDAY(B3300)=7,1,0))))))</f>
        <v>3</v>
      </c>
      <c r="V3300" s="328">
        <f>VLOOKUP(C3300,METADATA!$A$5:$H$29,IF(E3300="HI",2,IF(E3300="LO",6,10))+IF(T3300=1,2,IF(D3300=7,1,(IF(WEEKDAY(B3300)=1,2,IF(WEEKDAY(B3300)=7,1,0))))))</f>
        <v>3</v>
      </c>
    </row>
    <row r="3301" spans="2:22">
      <c r="B3301" s="318">
        <f t="shared" si="207"/>
        <v>46250</v>
      </c>
      <c r="C3301" s="312">
        <v>9</v>
      </c>
      <c r="D3301" s="368">
        <f>IFERROR((INDEX(METADATA!$T$2:$T$20,MATCH(B3301,METADATA!$S$2:$S$20,0))),0)</f>
        <v>0</v>
      </c>
      <c r="E3301" s="312" t="str">
        <f t="shared" si="204"/>
        <v>LO</v>
      </c>
      <c r="F3301" s="369">
        <f>VLOOKUP(C3301,METADATA!$A$5:$H$29,IF(E3301="HI",2,IF(E3301="LO",6,10))+IF(D3301=1,2,IF(D3301=7,1,(IF(WEEKDAY(B3301)=1,2,IF(WEEKDAY(B3301)=7,1,0))))))</f>
        <v>3</v>
      </c>
      <c r="G3301" s="369">
        <f>VLOOKUP(C3301,METADATA!$J$5:$Q$29,IF(E3301="HI",2,IF(E3301="LO",6,10))+IF(D3301=1,2,IF(D3301=7,1,(IF(WEEKDAY(B3301)=1,2,IF(WEEKDAY(B3301)=7,1,0))))))</f>
        <v>3</v>
      </c>
      <c r="H3301" s="370">
        <v>4303.2624816894531</v>
      </c>
      <c r="I3301" s="370">
        <v>1383.1925048828125</v>
      </c>
      <c r="M3301" s="371">
        <f t="shared" si="205"/>
        <v>4520.0983940485257</v>
      </c>
      <c r="N3301" s="329">
        <f t="shared" si="206"/>
        <v>92.213760375976563</v>
      </c>
      <c r="T3301" s="331">
        <v>0</v>
      </c>
      <c r="U3301" s="328">
        <f>VLOOKUP(C3301,METADATA!$J$5:$Q$29,IF(E3301="HI",2,IF(E3301="LO",6,10))+IF(T3301=1,2,IF(D3301=7,1,(IF(WEEKDAY(B3301)=1,2,IF(WEEKDAY(B3301)=7,1,0))))))</f>
        <v>3</v>
      </c>
      <c r="V3301" s="328">
        <f>VLOOKUP(C3301,METADATA!$A$5:$H$29,IF(E3301="HI",2,IF(E3301="LO",6,10))+IF(T3301=1,2,IF(D3301=7,1,(IF(WEEKDAY(B3301)=1,2,IF(WEEKDAY(B3301)=7,1,0))))))</f>
        <v>3</v>
      </c>
    </row>
    <row r="3302" spans="2:22">
      <c r="B3302" s="318">
        <f t="shared" si="207"/>
        <v>46250</v>
      </c>
      <c r="C3302" s="312">
        <v>10</v>
      </c>
      <c r="D3302" s="368">
        <f>IFERROR((INDEX(METADATA!$T$2:$T$20,MATCH(B3302,METADATA!$S$2:$S$20,0))),0)</f>
        <v>0</v>
      </c>
      <c r="E3302" s="312" t="str">
        <f t="shared" si="204"/>
        <v>LO</v>
      </c>
      <c r="F3302" s="369">
        <f>VLOOKUP(C3302,METADATA!$A$5:$H$29,IF(E3302="HI",2,IF(E3302="LO",6,10))+IF(D3302=1,2,IF(D3302=7,1,(IF(WEEKDAY(B3302)=1,2,IF(WEEKDAY(B3302)=7,1,0))))))</f>
        <v>3</v>
      </c>
      <c r="G3302" s="369">
        <f>VLOOKUP(C3302,METADATA!$J$5:$Q$29,IF(E3302="HI",2,IF(E3302="LO",6,10))+IF(D3302=1,2,IF(D3302=7,1,(IF(WEEKDAY(B3302)=1,2,IF(WEEKDAY(B3302)=7,1,0))))))</f>
        <v>3</v>
      </c>
      <c r="H3302" s="370">
        <v>4202.737548828125</v>
      </c>
      <c r="I3302" s="370">
        <v>1404.9375</v>
      </c>
      <c r="M3302" s="371">
        <f t="shared" si="205"/>
        <v>4431.3488108290558</v>
      </c>
      <c r="N3302" s="329">
        <f t="shared" si="206"/>
        <v>144.11623535156264</v>
      </c>
      <c r="T3302" s="331">
        <v>0</v>
      </c>
      <c r="U3302" s="328">
        <f>VLOOKUP(C3302,METADATA!$J$5:$Q$29,IF(E3302="HI",2,IF(E3302="LO",6,10))+IF(T3302=1,2,IF(D3302=7,1,(IF(WEEKDAY(B3302)=1,2,IF(WEEKDAY(B3302)=7,1,0))))))</f>
        <v>3</v>
      </c>
      <c r="V3302" s="328">
        <f>VLOOKUP(C3302,METADATA!$A$5:$H$29,IF(E3302="HI",2,IF(E3302="LO",6,10))+IF(T3302=1,2,IF(D3302=7,1,(IF(WEEKDAY(B3302)=1,2,IF(WEEKDAY(B3302)=7,1,0))))))</f>
        <v>3</v>
      </c>
    </row>
    <row r="3303" spans="2:22">
      <c r="B3303" s="318">
        <f t="shared" si="207"/>
        <v>46250</v>
      </c>
      <c r="C3303" s="312">
        <v>11</v>
      </c>
      <c r="D3303" s="368">
        <f>IFERROR((INDEX(METADATA!$T$2:$T$20,MATCH(B3303,METADATA!$S$2:$S$20,0))),0)</f>
        <v>0</v>
      </c>
      <c r="E3303" s="312" t="str">
        <f t="shared" si="204"/>
        <v>LO</v>
      </c>
      <c r="F3303" s="369">
        <f>VLOOKUP(C3303,METADATA!$A$5:$H$29,IF(E3303="HI",2,IF(E3303="LO",6,10))+IF(D3303=1,2,IF(D3303=7,1,(IF(WEEKDAY(B3303)=1,2,IF(WEEKDAY(B3303)=7,1,0))))))</f>
        <v>3</v>
      </c>
      <c r="G3303" s="369">
        <f>VLOOKUP(C3303,METADATA!$J$5:$Q$29,IF(E3303="HI",2,IF(E3303="LO",6,10))+IF(D3303=1,2,IF(D3303=7,1,(IF(WEEKDAY(B3303)=1,2,IF(WEEKDAY(B3303)=7,1,0))))))</f>
        <v>3</v>
      </c>
      <c r="H3303" s="370">
        <v>4177.6150207519531</v>
      </c>
      <c r="I3303" s="370">
        <v>1376.4949951171875</v>
      </c>
      <c r="M3303" s="371">
        <f t="shared" si="205"/>
        <v>4398.5458657600702</v>
      </c>
      <c r="N3303" s="329">
        <f t="shared" si="206"/>
        <v>123.2104888916017</v>
      </c>
      <c r="T3303" s="331">
        <v>0</v>
      </c>
      <c r="U3303" s="328">
        <f>VLOOKUP(C3303,METADATA!$J$5:$Q$29,IF(E3303="HI",2,IF(E3303="LO",6,10))+IF(T3303=1,2,IF(D3303=7,1,(IF(WEEKDAY(B3303)=1,2,IF(WEEKDAY(B3303)=7,1,0))))))</f>
        <v>3</v>
      </c>
      <c r="V3303" s="328">
        <f>VLOOKUP(C3303,METADATA!$A$5:$H$29,IF(E3303="HI",2,IF(E3303="LO",6,10))+IF(T3303=1,2,IF(D3303=7,1,(IF(WEEKDAY(B3303)=1,2,IF(WEEKDAY(B3303)=7,1,0))))))</f>
        <v>3</v>
      </c>
    </row>
    <row r="3304" spans="2:22">
      <c r="B3304" s="318">
        <f t="shared" si="207"/>
        <v>46250</v>
      </c>
      <c r="C3304" s="312">
        <v>12</v>
      </c>
      <c r="D3304" s="368">
        <f>IFERROR((INDEX(METADATA!$T$2:$T$20,MATCH(B3304,METADATA!$S$2:$S$20,0))),0)</f>
        <v>0</v>
      </c>
      <c r="E3304" s="312" t="str">
        <f t="shared" si="204"/>
        <v>LO</v>
      </c>
      <c r="F3304" s="369">
        <f>VLOOKUP(C3304,METADATA!$A$5:$H$29,IF(E3304="HI",2,IF(E3304="LO",6,10))+IF(D3304=1,2,IF(D3304=7,1,(IF(WEEKDAY(B3304)=1,2,IF(WEEKDAY(B3304)=7,1,0))))))</f>
        <v>3</v>
      </c>
      <c r="G3304" s="369">
        <f>VLOOKUP(C3304,METADATA!$J$5:$Q$29,IF(E3304="HI",2,IF(E3304="LO",6,10))+IF(D3304=1,2,IF(D3304=7,1,(IF(WEEKDAY(B3304)=1,2,IF(WEEKDAY(B3304)=7,1,0))))))</f>
        <v>3</v>
      </c>
      <c r="H3304" s="370">
        <v>4073.6049499511719</v>
      </c>
      <c r="I3304" s="370">
        <v>1375.5599670410156</v>
      </c>
      <c r="M3304" s="371">
        <f t="shared" si="205"/>
        <v>4299.5839928058813</v>
      </c>
      <c r="N3304" s="329">
        <f t="shared" si="206"/>
        <v>153.47848205566402</v>
      </c>
      <c r="T3304" s="331">
        <v>0</v>
      </c>
      <c r="U3304" s="328">
        <f>VLOOKUP(C3304,METADATA!$J$5:$Q$29,IF(E3304="HI",2,IF(E3304="LO",6,10))+IF(T3304=1,2,IF(D3304=7,1,(IF(WEEKDAY(B3304)=1,2,IF(WEEKDAY(B3304)=7,1,0))))))</f>
        <v>3</v>
      </c>
      <c r="V3304" s="328">
        <f>VLOOKUP(C3304,METADATA!$A$5:$H$29,IF(E3304="HI",2,IF(E3304="LO",6,10))+IF(T3304=1,2,IF(D3304=7,1,(IF(WEEKDAY(B3304)=1,2,IF(WEEKDAY(B3304)=7,1,0))))))</f>
        <v>3</v>
      </c>
    </row>
    <row r="3305" spans="2:22">
      <c r="B3305" s="318">
        <f t="shared" si="207"/>
        <v>46250</v>
      </c>
      <c r="C3305" s="312">
        <v>13</v>
      </c>
      <c r="D3305" s="368">
        <f>IFERROR((INDEX(METADATA!$T$2:$T$20,MATCH(B3305,METADATA!$S$2:$S$20,0))),0)</f>
        <v>0</v>
      </c>
      <c r="E3305" s="312" t="str">
        <f t="shared" si="204"/>
        <v>LO</v>
      </c>
      <c r="F3305" s="369">
        <f>VLOOKUP(C3305,METADATA!$A$5:$H$29,IF(E3305="HI",2,IF(E3305="LO",6,10))+IF(D3305=1,2,IF(D3305=7,1,(IF(WEEKDAY(B3305)=1,2,IF(WEEKDAY(B3305)=7,1,0))))))</f>
        <v>3</v>
      </c>
      <c r="G3305" s="369">
        <f>VLOOKUP(C3305,METADATA!$J$5:$Q$29,IF(E3305="HI",2,IF(E3305="LO",6,10))+IF(D3305=1,2,IF(D3305=7,1,(IF(WEEKDAY(B3305)=1,2,IF(WEEKDAY(B3305)=7,1,0))))))</f>
        <v>3</v>
      </c>
      <c r="H3305" s="370">
        <v>4052.7499084472656</v>
      </c>
      <c r="I3305" s="370">
        <v>1477.8000183105469</v>
      </c>
      <c r="M3305" s="371">
        <f t="shared" si="205"/>
        <v>4313.7773139718247</v>
      </c>
      <c r="N3305" s="329">
        <f t="shared" si="206"/>
        <v>261.97504577636732</v>
      </c>
      <c r="T3305" s="331">
        <v>0</v>
      </c>
      <c r="U3305" s="328">
        <f>VLOOKUP(C3305,METADATA!$J$5:$Q$29,IF(E3305="HI",2,IF(E3305="LO",6,10))+IF(T3305=1,2,IF(D3305=7,1,(IF(WEEKDAY(B3305)=1,2,IF(WEEKDAY(B3305)=7,1,0))))))</f>
        <v>3</v>
      </c>
      <c r="V3305" s="328">
        <f>VLOOKUP(C3305,METADATA!$A$5:$H$29,IF(E3305="HI",2,IF(E3305="LO",6,10))+IF(T3305=1,2,IF(D3305=7,1,(IF(WEEKDAY(B3305)=1,2,IF(WEEKDAY(B3305)=7,1,0))))))</f>
        <v>3</v>
      </c>
    </row>
    <row r="3306" spans="2:22">
      <c r="B3306" s="318">
        <f t="shared" si="207"/>
        <v>46250</v>
      </c>
      <c r="C3306" s="312">
        <v>14</v>
      </c>
      <c r="D3306" s="368">
        <f>IFERROR((INDEX(METADATA!$T$2:$T$20,MATCH(B3306,METADATA!$S$2:$S$20,0))),0)</f>
        <v>0</v>
      </c>
      <c r="E3306" s="312" t="str">
        <f t="shared" si="204"/>
        <v>LO</v>
      </c>
      <c r="F3306" s="369">
        <f>VLOOKUP(C3306,METADATA!$A$5:$H$29,IF(E3306="HI",2,IF(E3306="LO",6,10))+IF(D3306=1,2,IF(D3306=7,1,(IF(WEEKDAY(B3306)=1,2,IF(WEEKDAY(B3306)=7,1,0))))))</f>
        <v>3</v>
      </c>
      <c r="G3306" s="369">
        <f>VLOOKUP(C3306,METADATA!$J$5:$Q$29,IF(E3306="HI",2,IF(E3306="LO",6,10))+IF(D3306=1,2,IF(D3306=7,1,(IF(WEEKDAY(B3306)=1,2,IF(WEEKDAY(B3306)=7,1,0))))))</f>
        <v>3</v>
      </c>
      <c r="H3306" s="370">
        <v>4055.1549072265625</v>
      </c>
      <c r="I3306" s="370">
        <v>1534.7524719238281</v>
      </c>
      <c r="M3306" s="371">
        <f t="shared" si="205"/>
        <v>4335.867441663775</v>
      </c>
      <c r="N3306" s="329">
        <f t="shared" si="206"/>
        <v>318.20599975585947</v>
      </c>
      <c r="T3306" s="331">
        <v>0</v>
      </c>
      <c r="U3306" s="328">
        <f>VLOOKUP(C3306,METADATA!$J$5:$Q$29,IF(E3306="HI",2,IF(E3306="LO",6,10))+IF(T3306=1,2,IF(D3306=7,1,(IF(WEEKDAY(B3306)=1,2,IF(WEEKDAY(B3306)=7,1,0))))))</f>
        <v>3</v>
      </c>
      <c r="V3306" s="328">
        <f>VLOOKUP(C3306,METADATA!$A$5:$H$29,IF(E3306="HI",2,IF(E3306="LO",6,10))+IF(T3306=1,2,IF(D3306=7,1,(IF(WEEKDAY(B3306)=1,2,IF(WEEKDAY(B3306)=7,1,0))))))</f>
        <v>3</v>
      </c>
    </row>
    <row r="3307" spans="2:22">
      <c r="B3307" s="318">
        <f t="shared" si="207"/>
        <v>46250</v>
      </c>
      <c r="C3307" s="312">
        <v>15</v>
      </c>
      <c r="D3307" s="368">
        <f>IFERROR((INDEX(METADATA!$T$2:$T$20,MATCH(B3307,METADATA!$S$2:$S$20,0))),0)</f>
        <v>0</v>
      </c>
      <c r="E3307" s="312" t="str">
        <f t="shared" si="204"/>
        <v>LO</v>
      </c>
      <c r="F3307" s="369">
        <f>VLOOKUP(C3307,METADATA!$A$5:$H$29,IF(E3307="HI",2,IF(E3307="LO",6,10))+IF(D3307=1,2,IF(D3307=7,1,(IF(WEEKDAY(B3307)=1,2,IF(WEEKDAY(B3307)=7,1,0))))))</f>
        <v>3</v>
      </c>
      <c r="G3307" s="369">
        <f>VLOOKUP(C3307,METADATA!$J$5:$Q$29,IF(E3307="HI",2,IF(E3307="LO",6,10))+IF(D3307=1,2,IF(D3307=7,1,(IF(WEEKDAY(B3307)=1,2,IF(WEEKDAY(B3307)=7,1,0))))))</f>
        <v>3</v>
      </c>
      <c r="H3307" s="370">
        <v>4048.4549560546875</v>
      </c>
      <c r="I3307" s="370">
        <v>1443.6700134277344</v>
      </c>
      <c r="M3307" s="371">
        <f t="shared" si="205"/>
        <v>4298.1589825033452</v>
      </c>
      <c r="N3307" s="329">
        <f t="shared" si="206"/>
        <v>229.13352661132808</v>
      </c>
      <c r="T3307" s="331">
        <v>0</v>
      </c>
      <c r="U3307" s="328">
        <f>VLOOKUP(C3307,METADATA!$J$5:$Q$29,IF(E3307="HI",2,IF(E3307="LO",6,10))+IF(T3307=1,2,IF(D3307=7,1,(IF(WEEKDAY(B3307)=1,2,IF(WEEKDAY(B3307)=7,1,0))))))</f>
        <v>3</v>
      </c>
      <c r="V3307" s="328">
        <f>VLOOKUP(C3307,METADATA!$A$5:$H$29,IF(E3307="HI",2,IF(E3307="LO",6,10))+IF(T3307=1,2,IF(D3307=7,1,(IF(WEEKDAY(B3307)=1,2,IF(WEEKDAY(B3307)=7,1,0))))))</f>
        <v>3</v>
      </c>
    </row>
    <row r="3308" spans="2:22">
      <c r="B3308" s="318">
        <f t="shared" si="207"/>
        <v>46250</v>
      </c>
      <c r="C3308" s="312">
        <v>16</v>
      </c>
      <c r="D3308" s="368">
        <f>IFERROR((INDEX(METADATA!$T$2:$T$20,MATCH(B3308,METADATA!$S$2:$S$20,0))),0)</f>
        <v>0</v>
      </c>
      <c r="E3308" s="312" t="str">
        <f t="shared" si="204"/>
        <v>LO</v>
      </c>
      <c r="F3308" s="369">
        <f>VLOOKUP(C3308,METADATA!$A$5:$H$29,IF(E3308="HI",2,IF(E3308="LO",6,10))+IF(D3308=1,2,IF(D3308=7,1,(IF(WEEKDAY(B3308)=1,2,IF(WEEKDAY(B3308)=7,1,0))))))</f>
        <v>3</v>
      </c>
      <c r="G3308" s="369">
        <f>VLOOKUP(C3308,METADATA!$J$5:$Q$29,IF(E3308="HI",2,IF(E3308="LO",6,10))+IF(D3308=1,2,IF(D3308=7,1,(IF(WEEKDAY(B3308)=1,2,IF(WEEKDAY(B3308)=7,1,0))))))</f>
        <v>3</v>
      </c>
      <c r="H3308" s="370">
        <v>3942.4749755859375</v>
      </c>
      <c r="I3308" s="370">
        <v>1359.8674926757813</v>
      </c>
      <c r="M3308" s="371">
        <f t="shared" si="205"/>
        <v>4170.4134723978696</v>
      </c>
      <c r="N3308" s="329">
        <f t="shared" si="206"/>
        <v>177.125</v>
      </c>
      <c r="T3308" s="331">
        <v>0</v>
      </c>
      <c r="U3308" s="328">
        <f>VLOOKUP(C3308,METADATA!$J$5:$Q$29,IF(E3308="HI",2,IF(E3308="LO",6,10))+IF(T3308=1,2,IF(D3308=7,1,(IF(WEEKDAY(B3308)=1,2,IF(WEEKDAY(B3308)=7,1,0))))))</f>
        <v>3</v>
      </c>
      <c r="V3308" s="328">
        <f>VLOOKUP(C3308,METADATA!$A$5:$H$29,IF(E3308="HI",2,IF(E3308="LO",6,10))+IF(T3308=1,2,IF(D3308=7,1,(IF(WEEKDAY(B3308)=1,2,IF(WEEKDAY(B3308)=7,1,0))))))</f>
        <v>3</v>
      </c>
    </row>
    <row r="3309" spans="2:22">
      <c r="B3309" s="318">
        <f t="shared" si="207"/>
        <v>46250</v>
      </c>
      <c r="C3309" s="312">
        <v>17</v>
      </c>
      <c r="D3309" s="368">
        <f>IFERROR((INDEX(METADATA!$T$2:$T$20,MATCH(B3309,METADATA!$S$2:$S$20,0))),0)</f>
        <v>0</v>
      </c>
      <c r="E3309" s="312" t="str">
        <f t="shared" si="204"/>
        <v>LO</v>
      </c>
      <c r="F3309" s="369">
        <f>VLOOKUP(C3309,METADATA!$A$5:$H$29,IF(E3309="HI",2,IF(E3309="LO",6,10))+IF(D3309=1,2,IF(D3309=7,1,(IF(WEEKDAY(B3309)=1,2,IF(WEEKDAY(B3309)=7,1,0))))))</f>
        <v>3</v>
      </c>
      <c r="G3309" s="369">
        <f>VLOOKUP(C3309,METADATA!$J$5:$Q$29,IF(E3309="HI",2,IF(E3309="LO",6,10))+IF(D3309=1,2,IF(D3309=7,1,(IF(WEEKDAY(B3309)=1,2,IF(WEEKDAY(B3309)=7,1,0))))))</f>
        <v>3</v>
      </c>
      <c r="H3309" s="370">
        <v>3917.29248046875</v>
      </c>
      <c r="I3309" s="370">
        <v>1346.1100158691406</v>
      </c>
      <c r="M3309" s="371">
        <f t="shared" si="205"/>
        <v>4142.1241594573467</v>
      </c>
      <c r="N3309" s="329">
        <f t="shared" si="206"/>
        <v>170.92227172851563</v>
      </c>
      <c r="T3309" s="331">
        <v>0</v>
      </c>
      <c r="U3309" s="328">
        <f>VLOOKUP(C3309,METADATA!$J$5:$Q$29,IF(E3309="HI",2,IF(E3309="LO",6,10))+IF(T3309=1,2,IF(D3309=7,1,(IF(WEEKDAY(B3309)=1,2,IF(WEEKDAY(B3309)=7,1,0))))))</f>
        <v>3</v>
      </c>
      <c r="V3309" s="328">
        <f>VLOOKUP(C3309,METADATA!$A$5:$H$29,IF(E3309="HI",2,IF(E3309="LO",6,10))+IF(T3309=1,2,IF(D3309=7,1,(IF(WEEKDAY(B3309)=1,2,IF(WEEKDAY(B3309)=7,1,0))))))</f>
        <v>3</v>
      </c>
    </row>
    <row r="3310" spans="2:22">
      <c r="B3310" s="318">
        <f t="shared" si="207"/>
        <v>46250</v>
      </c>
      <c r="C3310" s="312">
        <v>18</v>
      </c>
      <c r="D3310" s="368">
        <f>IFERROR((INDEX(METADATA!$T$2:$T$20,MATCH(B3310,METADATA!$S$2:$S$20,0))),0)</f>
        <v>0</v>
      </c>
      <c r="E3310" s="312" t="str">
        <f t="shared" si="204"/>
        <v>LO</v>
      </c>
      <c r="F3310" s="369">
        <f>VLOOKUP(C3310,METADATA!$A$5:$H$29,IF(E3310="HI",2,IF(E3310="LO",6,10))+IF(D3310=1,2,IF(D3310=7,1,(IF(WEEKDAY(B3310)=1,2,IF(WEEKDAY(B3310)=7,1,0))))))</f>
        <v>2</v>
      </c>
      <c r="G3310" s="369">
        <f>VLOOKUP(C3310,METADATA!$J$5:$Q$29,IF(E3310="HI",2,IF(E3310="LO",6,10))+IF(D3310=1,2,IF(D3310=7,1,(IF(WEEKDAY(B3310)=1,2,IF(WEEKDAY(B3310)=7,1,0))))))</f>
        <v>2</v>
      </c>
      <c r="H3310" s="370">
        <v>3964.7000122070313</v>
      </c>
      <c r="I3310" s="370">
        <v>1312.1999816894531</v>
      </c>
      <c r="M3310" s="371">
        <f t="shared" si="205"/>
        <v>4176.208205865727</v>
      </c>
      <c r="N3310" s="329">
        <f t="shared" si="206"/>
        <v>122.78997802734375</v>
      </c>
      <c r="T3310" s="331">
        <v>0</v>
      </c>
      <c r="U3310" s="328">
        <f>VLOOKUP(C3310,METADATA!$J$5:$Q$29,IF(E3310="HI",2,IF(E3310="LO",6,10))+IF(T3310=1,2,IF(D3310=7,1,(IF(WEEKDAY(B3310)=1,2,IF(WEEKDAY(B3310)=7,1,0))))))</f>
        <v>2</v>
      </c>
      <c r="V3310" s="328">
        <f>VLOOKUP(C3310,METADATA!$A$5:$H$29,IF(E3310="HI",2,IF(E3310="LO",6,10))+IF(T3310=1,2,IF(D3310=7,1,(IF(WEEKDAY(B3310)=1,2,IF(WEEKDAY(B3310)=7,1,0))))))</f>
        <v>2</v>
      </c>
    </row>
    <row r="3311" spans="2:22">
      <c r="B3311" s="318">
        <f t="shared" si="207"/>
        <v>46250</v>
      </c>
      <c r="C3311" s="312">
        <v>19</v>
      </c>
      <c r="D3311" s="368">
        <f>IFERROR((INDEX(METADATA!$T$2:$T$20,MATCH(B3311,METADATA!$S$2:$S$20,0))),0)</f>
        <v>0</v>
      </c>
      <c r="E3311" s="312" t="str">
        <f t="shared" si="204"/>
        <v>LO</v>
      </c>
      <c r="F3311" s="369">
        <f>VLOOKUP(C3311,METADATA!$A$5:$H$29,IF(E3311="HI",2,IF(E3311="LO",6,10))+IF(D3311=1,2,IF(D3311=7,1,(IF(WEEKDAY(B3311)=1,2,IF(WEEKDAY(B3311)=7,1,0))))))</f>
        <v>2</v>
      </c>
      <c r="G3311" s="369">
        <f>VLOOKUP(C3311,METADATA!$J$5:$Q$29,IF(E3311="HI",2,IF(E3311="LO",6,10))+IF(D3311=1,2,IF(D3311=7,1,(IF(WEEKDAY(B3311)=1,2,IF(WEEKDAY(B3311)=7,1,0))))))</f>
        <v>2</v>
      </c>
      <c r="H3311" s="370">
        <v>3979.3949584960938</v>
      </c>
      <c r="I3311" s="370">
        <v>1290.5274963378906</v>
      </c>
      <c r="M3311" s="371">
        <f t="shared" si="205"/>
        <v>4183.4250865180165</v>
      </c>
      <c r="N3311" s="329">
        <f t="shared" si="206"/>
        <v>96.709008789062636</v>
      </c>
      <c r="T3311" s="331">
        <v>0</v>
      </c>
      <c r="U3311" s="328">
        <f>VLOOKUP(C3311,METADATA!$J$5:$Q$29,IF(E3311="HI",2,IF(E3311="LO",6,10))+IF(T3311=1,2,IF(D3311=7,1,(IF(WEEKDAY(B3311)=1,2,IF(WEEKDAY(B3311)=7,1,0))))))</f>
        <v>2</v>
      </c>
      <c r="V3311" s="328">
        <f>VLOOKUP(C3311,METADATA!$A$5:$H$29,IF(E3311="HI",2,IF(E3311="LO",6,10))+IF(T3311=1,2,IF(D3311=7,1,(IF(WEEKDAY(B3311)=1,2,IF(WEEKDAY(B3311)=7,1,0))))))</f>
        <v>2</v>
      </c>
    </row>
    <row r="3312" spans="2:22">
      <c r="B3312" s="318">
        <f t="shared" si="207"/>
        <v>46250</v>
      </c>
      <c r="C3312" s="312">
        <v>20</v>
      </c>
      <c r="D3312" s="368">
        <f>IFERROR((INDEX(METADATA!$T$2:$T$20,MATCH(B3312,METADATA!$S$2:$S$20,0))),0)</f>
        <v>0</v>
      </c>
      <c r="E3312" s="312" t="str">
        <f t="shared" si="204"/>
        <v>LO</v>
      </c>
      <c r="F3312" s="369">
        <f>VLOOKUP(C3312,METADATA!$A$5:$H$29,IF(E3312="HI",2,IF(E3312="LO",6,10))+IF(D3312=1,2,IF(D3312=7,1,(IF(WEEKDAY(B3312)=1,2,IF(WEEKDAY(B3312)=7,1,0))))))</f>
        <v>3</v>
      </c>
      <c r="G3312" s="369">
        <f>VLOOKUP(C3312,METADATA!$J$5:$Q$29,IF(E3312="HI",2,IF(E3312="LO",6,10))+IF(D3312=1,2,IF(D3312=7,1,(IF(WEEKDAY(B3312)=1,2,IF(WEEKDAY(B3312)=7,1,0))))))</f>
        <v>3</v>
      </c>
      <c r="H3312" s="370">
        <v>3953.14501953125</v>
      </c>
      <c r="I3312" s="370">
        <v>1310.2550354003906</v>
      </c>
      <c r="M3312" s="371">
        <f t="shared" si="205"/>
        <v>4164.6276908310547</v>
      </c>
      <c r="N3312" s="329">
        <f t="shared" si="206"/>
        <v>124.31152954101572</v>
      </c>
      <c r="T3312" s="331">
        <v>0</v>
      </c>
      <c r="U3312" s="328">
        <f>VLOOKUP(C3312,METADATA!$J$5:$Q$29,IF(E3312="HI",2,IF(E3312="LO",6,10))+IF(T3312=1,2,IF(D3312=7,1,(IF(WEEKDAY(B3312)=1,2,IF(WEEKDAY(B3312)=7,1,0))))))</f>
        <v>3</v>
      </c>
      <c r="V3312" s="328">
        <f>VLOOKUP(C3312,METADATA!$A$5:$H$29,IF(E3312="HI",2,IF(E3312="LO",6,10))+IF(T3312=1,2,IF(D3312=7,1,(IF(WEEKDAY(B3312)=1,2,IF(WEEKDAY(B3312)=7,1,0))))))</f>
        <v>3</v>
      </c>
    </row>
    <row r="3313" spans="2:22">
      <c r="B3313" s="318">
        <f t="shared" si="207"/>
        <v>46250</v>
      </c>
      <c r="C3313" s="312">
        <v>21</v>
      </c>
      <c r="D3313" s="368">
        <f>IFERROR((INDEX(METADATA!$T$2:$T$20,MATCH(B3313,METADATA!$S$2:$S$20,0))),0)</f>
        <v>0</v>
      </c>
      <c r="E3313" s="312" t="str">
        <f t="shared" si="204"/>
        <v>LO</v>
      </c>
      <c r="F3313" s="369">
        <f>VLOOKUP(C3313,METADATA!$A$5:$H$29,IF(E3313="HI",2,IF(E3313="LO",6,10))+IF(D3313=1,2,IF(D3313=7,1,(IF(WEEKDAY(B3313)=1,2,IF(WEEKDAY(B3313)=7,1,0))))))</f>
        <v>3</v>
      </c>
      <c r="G3313" s="369">
        <f>VLOOKUP(C3313,METADATA!$J$5:$Q$29,IF(E3313="HI",2,IF(E3313="LO",6,10))+IF(D3313=1,2,IF(D3313=7,1,(IF(WEEKDAY(B3313)=1,2,IF(WEEKDAY(B3313)=7,1,0))))))</f>
        <v>3</v>
      </c>
      <c r="H3313" s="370">
        <v>3926.9899597167969</v>
      </c>
      <c r="I3313" s="370">
        <v>1331.4974670410156</v>
      </c>
      <c r="M3313" s="371">
        <f t="shared" si="205"/>
        <v>4146.5812000313181</v>
      </c>
      <c r="N3313" s="329">
        <f t="shared" si="206"/>
        <v>153.40047912597652</v>
      </c>
      <c r="T3313" s="331">
        <v>0</v>
      </c>
      <c r="U3313" s="328">
        <f>VLOOKUP(C3313,METADATA!$J$5:$Q$29,IF(E3313="HI",2,IF(E3313="LO",6,10))+IF(T3313=1,2,IF(D3313=7,1,(IF(WEEKDAY(B3313)=1,2,IF(WEEKDAY(B3313)=7,1,0))))))</f>
        <v>3</v>
      </c>
      <c r="V3313" s="328">
        <f>VLOOKUP(C3313,METADATA!$A$5:$H$29,IF(E3313="HI",2,IF(E3313="LO",6,10))+IF(T3313=1,2,IF(D3313=7,1,(IF(WEEKDAY(B3313)=1,2,IF(WEEKDAY(B3313)=7,1,0))))))</f>
        <v>3</v>
      </c>
    </row>
    <row r="3314" spans="2:22">
      <c r="B3314" s="318">
        <f t="shared" si="207"/>
        <v>46250</v>
      </c>
      <c r="C3314" s="312">
        <v>22</v>
      </c>
      <c r="D3314" s="368">
        <f>IFERROR((INDEX(METADATA!$T$2:$T$20,MATCH(B3314,METADATA!$S$2:$S$20,0))),0)</f>
        <v>0</v>
      </c>
      <c r="E3314" s="312" t="str">
        <f t="shared" si="204"/>
        <v>LO</v>
      </c>
      <c r="F3314" s="369">
        <f>VLOOKUP(C3314,METADATA!$A$5:$H$29,IF(E3314="HI",2,IF(E3314="LO",6,10))+IF(D3314=1,2,IF(D3314=7,1,(IF(WEEKDAY(B3314)=1,2,IF(WEEKDAY(B3314)=7,1,0))))))</f>
        <v>3</v>
      </c>
      <c r="G3314" s="369">
        <f>VLOOKUP(C3314,METADATA!$J$5:$Q$29,IF(E3314="HI",2,IF(E3314="LO",6,10))+IF(D3314=1,2,IF(D3314=7,1,(IF(WEEKDAY(B3314)=1,2,IF(WEEKDAY(B3314)=7,1,0))))))</f>
        <v>3</v>
      </c>
      <c r="H3314" s="370">
        <v>3949.9224243164063</v>
      </c>
      <c r="I3314" s="370">
        <v>1326.8874816894531</v>
      </c>
      <c r="M3314" s="371">
        <f t="shared" si="205"/>
        <v>4166.8354355771926</v>
      </c>
      <c r="N3314" s="329">
        <f t="shared" si="206"/>
        <v>141.9107543945313</v>
      </c>
      <c r="T3314" s="331">
        <v>0</v>
      </c>
      <c r="U3314" s="328">
        <f>VLOOKUP(C3314,METADATA!$J$5:$Q$29,IF(E3314="HI",2,IF(E3314="LO",6,10))+IF(T3314=1,2,IF(D3314=7,1,(IF(WEEKDAY(B3314)=1,2,IF(WEEKDAY(B3314)=7,1,0))))))</f>
        <v>3</v>
      </c>
      <c r="V3314" s="328">
        <f>VLOOKUP(C3314,METADATA!$A$5:$H$29,IF(E3314="HI",2,IF(E3314="LO",6,10))+IF(T3314=1,2,IF(D3314=7,1,(IF(WEEKDAY(B3314)=1,2,IF(WEEKDAY(B3314)=7,1,0))))))</f>
        <v>3</v>
      </c>
    </row>
    <row r="3315" spans="2:22">
      <c r="B3315" s="318">
        <f t="shared" si="207"/>
        <v>46250</v>
      </c>
      <c r="C3315" s="312">
        <v>23</v>
      </c>
      <c r="D3315" s="368">
        <f>IFERROR((INDEX(METADATA!$T$2:$T$20,MATCH(B3315,METADATA!$S$2:$S$20,0))),0)</f>
        <v>0</v>
      </c>
      <c r="E3315" s="312" t="str">
        <f t="shared" si="204"/>
        <v>LO</v>
      </c>
      <c r="F3315" s="369">
        <f>VLOOKUP(C3315,METADATA!$A$5:$H$29,IF(E3315="HI",2,IF(E3315="LO",6,10))+IF(D3315=1,2,IF(D3315=7,1,(IF(WEEKDAY(B3315)=1,2,IF(WEEKDAY(B3315)=7,1,0))))))</f>
        <v>3</v>
      </c>
      <c r="G3315" s="369">
        <f>VLOOKUP(C3315,METADATA!$J$5:$Q$29,IF(E3315="HI",2,IF(E3315="LO",6,10))+IF(D3315=1,2,IF(D3315=7,1,(IF(WEEKDAY(B3315)=1,2,IF(WEEKDAY(B3315)=7,1,0))))))</f>
        <v>3</v>
      </c>
      <c r="H3315" s="370">
        <v>3954.2850646972656</v>
      </c>
      <c r="I3315" s="370">
        <v>1328.9024963378906</v>
      </c>
      <c r="M3315" s="371">
        <f t="shared" si="205"/>
        <v>4171.6126639060021</v>
      </c>
      <c r="N3315" s="329">
        <f t="shared" si="206"/>
        <v>142.61697692871098</v>
      </c>
      <c r="T3315" s="331">
        <v>0</v>
      </c>
      <c r="U3315" s="328">
        <f>VLOOKUP(C3315,METADATA!$J$5:$Q$29,IF(E3315="HI",2,IF(E3315="LO",6,10))+IF(T3315=1,2,IF(D3315=7,1,(IF(WEEKDAY(B3315)=1,2,IF(WEEKDAY(B3315)=7,1,0))))))</f>
        <v>3</v>
      </c>
      <c r="V3315" s="328">
        <f>VLOOKUP(C3315,METADATA!$A$5:$H$29,IF(E3315="HI",2,IF(E3315="LO",6,10))+IF(T3315=1,2,IF(D3315=7,1,(IF(WEEKDAY(B3315)=1,2,IF(WEEKDAY(B3315)=7,1,0))))))</f>
        <v>3</v>
      </c>
    </row>
    <row r="3316" spans="2:22">
      <c r="B3316" s="318">
        <f t="shared" si="207"/>
        <v>46251</v>
      </c>
      <c r="C3316" s="312">
        <v>0</v>
      </c>
      <c r="D3316" s="368">
        <f>IFERROR((INDEX(METADATA!$T$2:$T$20,MATCH(B3316,METADATA!$S$2:$S$20,0))),0)</f>
        <v>0</v>
      </c>
      <c r="E3316" s="312" t="str">
        <f t="shared" si="204"/>
        <v>LO</v>
      </c>
      <c r="F3316" s="369">
        <f>VLOOKUP(C3316,METADATA!$A$5:$H$29,IF(E3316="HI",2,IF(E3316="LO",6,10))+IF(D3316=1,2,IF(D3316=7,1,(IF(WEEKDAY(B3316)=1,2,IF(WEEKDAY(B3316)=7,1,0))))))</f>
        <v>3</v>
      </c>
      <c r="G3316" s="369">
        <f>VLOOKUP(C3316,METADATA!$J$5:$Q$29,IF(E3316="HI",2,IF(E3316="LO",6,10))+IF(D3316=1,2,IF(D3316=7,1,(IF(WEEKDAY(B3316)=1,2,IF(WEEKDAY(B3316)=7,1,0))))))</f>
        <v>3</v>
      </c>
      <c r="H3316" s="370">
        <v>3922.1624450683594</v>
      </c>
      <c r="I3316" s="370">
        <v>1292.6174926757813</v>
      </c>
      <c r="M3316" s="371">
        <f t="shared" si="205"/>
        <v>4129.6753174887772</v>
      </c>
      <c r="N3316" s="329">
        <f t="shared" si="206"/>
        <v>115.96875915527357</v>
      </c>
      <c r="T3316" s="331">
        <v>0</v>
      </c>
      <c r="U3316" s="328">
        <f>VLOOKUP(C3316,METADATA!$J$5:$Q$29,IF(E3316="HI",2,IF(E3316="LO",6,10))+IF(T3316=1,2,IF(D3316=7,1,(IF(WEEKDAY(B3316)=1,2,IF(WEEKDAY(B3316)=7,1,0))))))</f>
        <v>3</v>
      </c>
      <c r="V3316" s="328">
        <f>VLOOKUP(C3316,METADATA!$A$5:$H$29,IF(E3316="HI",2,IF(E3316="LO",6,10))+IF(T3316=1,2,IF(D3316=7,1,(IF(WEEKDAY(B3316)=1,2,IF(WEEKDAY(B3316)=7,1,0))))))</f>
        <v>3</v>
      </c>
    </row>
    <row r="3317" spans="2:22">
      <c r="B3317" s="318">
        <f t="shared" si="207"/>
        <v>46251</v>
      </c>
      <c r="C3317" s="312">
        <v>1</v>
      </c>
      <c r="D3317" s="368">
        <f>IFERROR((INDEX(METADATA!$T$2:$T$20,MATCH(B3317,METADATA!$S$2:$S$20,0))),0)</f>
        <v>0</v>
      </c>
      <c r="E3317" s="312" t="str">
        <f t="shared" si="204"/>
        <v>LO</v>
      </c>
      <c r="F3317" s="369">
        <f>VLOOKUP(C3317,METADATA!$A$5:$H$29,IF(E3317="HI",2,IF(E3317="LO",6,10))+IF(D3317=1,2,IF(D3317=7,1,(IF(WEEKDAY(B3317)=1,2,IF(WEEKDAY(B3317)=7,1,0))))))</f>
        <v>3</v>
      </c>
      <c r="G3317" s="369">
        <f>VLOOKUP(C3317,METADATA!$J$5:$Q$29,IF(E3317="HI",2,IF(E3317="LO",6,10))+IF(D3317=1,2,IF(D3317=7,1,(IF(WEEKDAY(B3317)=1,2,IF(WEEKDAY(B3317)=7,1,0))))))</f>
        <v>3</v>
      </c>
      <c r="H3317" s="370">
        <v>3873.8050231933594</v>
      </c>
      <c r="I3317" s="370">
        <v>1291.0250244140625</v>
      </c>
      <c r="M3317" s="371">
        <f t="shared" si="205"/>
        <v>4083.2720912745249</v>
      </c>
      <c r="N3317" s="329">
        <f t="shared" si="206"/>
        <v>128.88351745605473</v>
      </c>
      <c r="T3317" s="331">
        <v>0</v>
      </c>
      <c r="U3317" s="328">
        <f>VLOOKUP(C3317,METADATA!$J$5:$Q$29,IF(E3317="HI",2,IF(E3317="LO",6,10))+IF(T3317=1,2,IF(D3317=7,1,(IF(WEEKDAY(B3317)=1,2,IF(WEEKDAY(B3317)=7,1,0))))))</f>
        <v>3</v>
      </c>
      <c r="V3317" s="328">
        <f>VLOOKUP(C3317,METADATA!$A$5:$H$29,IF(E3317="HI",2,IF(E3317="LO",6,10))+IF(T3317=1,2,IF(D3317=7,1,(IF(WEEKDAY(B3317)=1,2,IF(WEEKDAY(B3317)=7,1,0))))))</f>
        <v>3</v>
      </c>
    </row>
    <row r="3318" spans="2:22">
      <c r="B3318" s="318">
        <f t="shared" si="207"/>
        <v>46251</v>
      </c>
      <c r="C3318" s="312">
        <v>2</v>
      </c>
      <c r="D3318" s="368">
        <f>IFERROR((INDEX(METADATA!$T$2:$T$20,MATCH(B3318,METADATA!$S$2:$S$20,0))),0)</f>
        <v>0</v>
      </c>
      <c r="E3318" s="312" t="str">
        <f t="shared" si="204"/>
        <v>LO</v>
      </c>
      <c r="F3318" s="369">
        <f>VLOOKUP(C3318,METADATA!$A$5:$H$29,IF(E3318="HI",2,IF(E3318="LO",6,10))+IF(D3318=1,2,IF(D3318=7,1,(IF(WEEKDAY(B3318)=1,2,IF(WEEKDAY(B3318)=7,1,0))))))</f>
        <v>3</v>
      </c>
      <c r="G3318" s="369">
        <f>VLOOKUP(C3318,METADATA!$J$5:$Q$29,IF(E3318="HI",2,IF(E3318="LO",6,10))+IF(D3318=1,2,IF(D3318=7,1,(IF(WEEKDAY(B3318)=1,2,IF(WEEKDAY(B3318)=7,1,0))))))</f>
        <v>3</v>
      </c>
      <c r="H3318" s="370">
        <v>3916.5425109863281</v>
      </c>
      <c r="I3318" s="370">
        <v>1326.8200073242188</v>
      </c>
      <c r="M3318" s="371">
        <f t="shared" si="205"/>
        <v>4135.1851920075997</v>
      </c>
      <c r="N3318" s="329">
        <f t="shared" si="206"/>
        <v>151.85725402832031</v>
      </c>
      <c r="T3318" s="331">
        <v>0</v>
      </c>
      <c r="U3318" s="328">
        <f>VLOOKUP(C3318,METADATA!$J$5:$Q$29,IF(E3318="HI",2,IF(E3318="LO",6,10))+IF(T3318=1,2,IF(D3318=7,1,(IF(WEEKDAY(B3318)=1,2,IF(WEEKDAY(B3318)=7,1,0))))))</f>
        <v>3</v>
      </c>
      <c r="V3318" s="328">
        <f>VLOOKUP(C3318,METADATA!$A$5:$H$29,IF(E3318="HI",2,IF(E3318="LO",6,10))+IF(T3318=1,2,IF(D3318=7,1,(IF(WEEKDAY(B3318)=1,2,IF(WEEKDAY(B3318)=7,1,0))))))</f>
        <v>3</v>
      </c>
    </row>
    <row r="3319" spans="2:22">
      <c r="B3319" s="318">
        <f t="shared" si="207"/>
        <v>46251</v>
      </c>
      <c r="C3319" s="312">
        <v>3</v>
      </c>
      <c r="D3319" s="368">
        <f>IFERROR((INDEX(METADATA!$T$2:$T$20,MATCH(B3319,METADATA!$S$2:$S$20,0))),0)</f>
        <v>0</v>
      </c>
      <c r="E3319" s="312" t="str">
        <f t="shared" si="204"/>
        <v>LO</v>
      </c>
      <c r="F3319" s="369">
        <f>VLOOKUP(C3319,METADATA!$A$5:$H$29,IF(E3319="HI",2,IF(E3319="LO",6,10))+IF(D3319=1,2,IF(D3319=7,1,(IF(WEEKDAY(B3319)=1,2,IF(WEEKDAY(B3319)=7,1,0))))))</f>
        <v>3</v>
      </c>
      <c r="G3319" s="369">
        <f>VLOOKUP(C3319,METADATA!$J$5:$Q$29,IF(E3319="HI",2,IF(E3319="LO",6,10))+IF(D3319=1,2,IF(D3319=7,1,(IF(WEEKDAY(B3319)=1,2,IF(WEEKDAY(B3319)=7,1,0))))))</f>
        <v>3</v>
      </c>
      <c r="H3319" s="370">
        <v>3877.8949584960938</v>
      </c>
      <c r="I3319" s="370">
        <v>1327.0325012207031</v>
      </c>
      <c r="M3319" s="371">
        <f t="shared" si="205"/>
        <v>4098.6686336450148</v>
      </c>
      <c r="N3319" s="329">
        <f t="shared" si="206"/>
        <v>163.66401367187495</v>
      </c>
      <c r="T3319" s="331">
        <v>0</v>
      </c>
      <c r="U3319" s="328">
        <f>VLOOKUP(C3319,METADATA!$J$5:$Q$29,IF(E3319="HI",2,IF(E3319="LO",6,10))+IF(T3319=1,2,IF(D3319=7,1,(IF(WEEKDAY(B3319)=1,2,IF(WEEKDAY(B3319)=7,1,0))))))</f>
        <v>3</v>
      </c>
      <c r="V3319" s="328">
        <f>VLOOKUP(C3319,METADATA!$A$5:$H$29,IF(E3319="HI",2,IF(E3319="LO",6,10))+IF(T3319=1,2,IF(D3319=7,1,(IF(WEEKDAY(B3319)=1,2,IF(WEEKDAY(B3319)=7,1,0))))))</f>
        <v>3</v>
      </c>
    </row>
    <row r="3320" spans="2:22">
      <c r="B3320" s="318">
        <f t="shared" si="207"/>
        <v>46251</v>
      </c>
      <c r="C3320" s="312">
        <v>4</v>
      </c>
      <c r="D3320" s="368">
        <f>IFERROR((INDEX(METADATA!$T$2:$T$20,MATCH(B3320,METADATA!$S$2:$S$20,0))),0)</f>
        <v>0</v>
      </c>
      <c r="E3320" s="312" t="str">
        <f t="shared" si="204"/>
        <v>LO</v>
      </c>
      <c r="F3320" s="369">
        <f>VLOOKUP(C3320,METADATA!$A$5:$H$29,IF(E3320="HI",2,IF(E3320="LO",6,10))+IF(D3320=1,2,IF(D3320=7,1,(IF(WEEKDAY(B3320)=1,2,IF(WEEKDAY(B3320)=7,1,0))))))</f>
        <v>3</v>
      </c>
      <c r="G3320" s="369">
        <f>VLOOKUP(C3320,METADATA!$J$5:$Q$29,IF(E3320="HI",2,IF(E3320="LO",6,10))+IF(D3320=1,2,IF(D3320=7,1,(IF(WEEKDAY(B3320)=1,2,IF(WEEKDAY(B3320)=7,1,0))))))</f>
        <v>3</v>
      </c>
      <c r="H3320" s="370">
        <v>3907.3299865722656</v>
      </c>
      <c r="I3320" s="370">
        <v>1313.9274597167969</v>
      </c>
      <c r="M3320" s="371">
        <f t="shared" si="205"/>
        <v>4122.3334403423332</v>
      </c>
      <c r="N3320" s="329">
        <f t="shared" si="206"/>
        <v>141.72846374511732</v>
      </c>
      <c r="T3320" s="331">
        <v>0</v>
      </c>
      <c r="U3320" s="328">
        <f>VLOOKUP(C3320,METADATA!$J$5:$Q$29,IF(E3320="HI",2,IF(E3320="LO",6,10))+IF(T3320=1,2,IF(D3320=7,1,(IF(WEEKDAY(B3320)=1,2,IF(WEEKDAY(B3320)=7,1,0))))))</f>
        <v>3</v>
      </c>
      <c r="V3320" s="328">
        <f>VLOOKUP(C3320,METADATA!$A$5:$H$29,IF(E3320="HI",2,IF(E3320="LO",6,10))+IF(T3320=1,2,IF(D3320=7,1,(IF(WEEKDAY(B3320)=1,2,IF(WEEKDAY(B3320)=7,1,0))))))</f>
        <v>3</v>
      </c>
    </row>
    <row r="3321" spans="2:22">
      <c r="B3321" s="318">
        <f t="shared" si="207"/>
        <v>46251</v>
      </c>
      <c r="C3321" s="312">
        <v>5</v>
      </c>
      <c r="D3321" s="368">
        <f>IFERROR((INDEX(METADATA!$T$2:$T$20,MATCH(B3321,METADATA!$S$2:$S$20,0))),0)</f>
        <v>0</v>
      </c>
      <c r="E3321" s="312" t="str">
        <f t="shared" si="204"/>
        <v>LO</v>
      </c>
      <c r="F3321" s="369">
        <f>VLOOKUP(C3321,METADATA!$A$5:$H$29,IF(E3321="HI",2,IF(E3321="LO",6,10))+IF(D3321=1,2,IF(D3321=7,1,(IF(WEEKDAY(B3321)=1,2,IF(WEEKDAY(B3321)=7,1,0))))))</f>
        <v>3</v>
      </c>
      <c r="G3321" s="369">
        <f>VLOOKUP(C3321,METADATA!$J$5:$Q$29,IF(E3321="HI",2,IF(E3321="LO",6,10))+IF(D3321=1,2,IF(D3321=7,1,(IF(WEEKDAY(B3321)=1,2,IF(WEEKDAY(B3321)=7,1,0))))))</f>
        <v>3</v>
      </c>
      <c r="H3321" s="370">
        <v>3896.3049621582031</v>
      </c>
      <c r="I3321" s="370">
        <v>1382.7575073242188</v>
      </c>
      <c r="M3321" s="371">
        <f t="shared" si="205"/>
        <v>4134.3936293246343</v>
      </c>
      <c r="N3321" s="329">
        <f t="shared" si="206"/>
        <v>213.8660186767579</v>
      </c>
      <c r="T3321" s="331">
        <v>0</v>
      </c>
      <c r="U3321" s="328">
        <f>VLOOKUP(C3321,METADATA!$J$5:$Q$29,IF(E3321="HI",2,IF(E3321="LO",6,10))+IF(T3321=1,2,IF(D3321=7,1,(IF(WEEKDAY(B3321)=1,2,IF(WEEKDAY(B3321)=7,1,0))))))</f>
        <v>3</v>
      </c>
      <c r="V3321" s="328">
        <f>VLOOKUP(C3321,METADATA!$A$5:$H$29,IF(E3321="HI",2,IF(E3321="LO",6,10))+IF(T3321=1,2,IF(D3321=7,1,(IF(WEEKDAY(B3321)=1,2,IF(WEEKDAY(B3321)=7,1,0))))))</f>
        <v>3</v>
      </c>
    </row>
    <row r="3322" spans="2:22">
      <c r="B3322" s="318">
        <f t="shared" si="207"/>
        <v>46251</v>
      </c>
      <c r="C3322" s="312">
        <v>6</v>
      </c>
      <c r="D3322" s="368">
        <f>IFERROR((INDEX(METADATA!$T$2:$T$20,MATCH(B3322,METADATA!$S$2:$S$20,0))),0)</f>
        <v>0</v>
      </c>
      <c r="E3322" s="312" t="str">
        <f t="shared" si="204"/>
        <v>LO</v>
      </c>
      <c r="F3322" s="369">
        <f>VLOOKUP(C3322,METADATA!$A$5:$H$29,IF(E3322="HI",2,IF(E3322="LO",6,10))+IF(D3322=1,2,IF(D3322=7,1,(IF(WEEKDAY(B3322)=1,2,IF(WEEKDAY(B3322)=7,1,0))))))</f>
        <v>2</v>
      </c>
      <c r="G3322" s="369">
        <f>VLOOKUP(C3322,METADATA!$J$5:$Q$29,IF(E3322="HI",2,IF(E3322="LO",6,10))+IF(D3322=1,2,IF(D3322=7,1,(IF(WEEKDAY(B3322)=1,2,IF(WEEKDAY(B3322)=7,1,0))))))</f>
        <v>2</v>
      </c>
      <c r="H3322" s="370">
        <v>3864.320068359375</v>
      </c>
      <c r="I3322" s="370">
        <v>1361.4474792480469</v>
      </c>
      <c r="M3322" s="371">
        <f t="shared" si="205"/>
        <v>4097.1342215597315</v>
      </c>
      <c r="N3322" s="329">
        <f t="shared" si="206"/>
        <v>202.15145874023438</v>
      </c>
      <c r="T3322" s="331">
        <v>0</v>
      </c>
      <c r="U3322" s="328">
        <f>VLOOKUP(C3322,METADATA!$J$5:$Q$29,IF(E3322="HI",2,IF(E3322="LO",6,10))+IF(T3322=1,2,IF(D3322=7,1,(IF(WEEKDAY(B3322)=1,2,IF(WEEKDAY(B3322)=7,1,0))))))</f>
        <v>2</v>
      </c>
      <c r="V3322" s="328">
        <f>VLOOKUP(C3322,METADATA!$A$5:$H$29,IF(E3322="HI",2,IF(E3322="LO",6,10))+IF(T3322=1,2,IF(D3322=7,1,(IF(WEEKDAY(B3322)=1,2,IF(WEEKDAY(B3322)=7,1,0))))))</f>
        <v>2</v>
      </c>
    </row>
    <row r="3323" spans="2:22">
      <c r="B3323" s="318">
        <f t="shared" si="207"/>
        <v>46251</v>
      </c>
      <c r="C3323" s="312">
        <v>7</v>
      </c>
      <c r="D3323" s="368">
        <f>IFERROR((INDEX(METADATA!$T$2:$T$20,MATCH(B3323,METADATA!$S$2:$S$20,0))),0)</f>
        <v>0</v>
      </c>
      <c r="E3323" s="312" t="str">
        <f t="shared" si="204"/>
        <v>LO</v>
      </c>
      <c r="F3323" s="369">
        <f>VLOOKUP(C3323,METADATA!$A$5:$H$29,IF(E3323="HI",2,IF(E3323="LO",6,10))+IF(D3323=1,2,IF(D3323=7,1,(IF(WEEKDAY(B3323)=1,2,IF(WEEKDAY(B3323)=7,1,0))))))</f>
        <v>1</v>
      </c>
      <c r="G3323" s="369">
        <f>VLOOKUP(C3323,METADATA!$J$5:$Q$29,IF(E3323="HI",2,IF(E3323="LO",6,10))+IF(D3323=1,2,IF(D3323=7,1,(IF(WEEKDAY(B3323)=1,2,IF(WEEKDAY(B3323)=7,1,0))))))</f>
        <v>1</v>
      </c>
      <c r="H3323" s="370">
        <v>3992.2149047851563</v>
      </c>
      <c r="I3323" s="370">
        <v>1410.1925048828125</v>
      </c>
      <c r="M3323" s="371">
        <f t="shared" si="205"/>
        <v>4233.9606454024124</v>
      </c>
      <c r="N3323" s="329">
        <f t="shared" si="206"/>
        <v>212.52803344726567</v>
      </c>
      <c r="T3323" s="331">
        <v>0</v>
      </c>
      <c r="U3323" s="328">
        <f>VLOOKUP(C3323,METADATA!$J$5:$Q$29,IF(E3323="HI",2,IF(E3323="LO",6,10))+IF(T3323=1,2,IF(D3323=7,1,(IF(WEEKDAY(B3323)=1,2,IF(WEEKDAY(B3323)=7,1,0))))))</f>
        <v>1</v>
      </c>
      <c r="V3323" s="328">
        <f>VLOOKUP(C3323,METADATA!$A$5:$H$29,IF(E3323="HI",2,IF(E3323="LO",6,10))+IF(T3323=1,2,IF(D3323=7,1,(IF(WEEKDAY(B3323)=1,2,IF(WEEKDAY(B3323)=7,1,0))))))</f>
        <v>1</v>
      </c>
    </row>
    <row r="3324" spans="2:22">
      <c r="B3324" s="318">
        <f t="shared" si="207"/>
        <v>46251</v>
      </c>
      <c r="C3324" s="312">
        <v>8</v>
      </c>
      <c r="D3324" s="368">
        <f>IFERROR((INDEX(METADATA!$T$2:$T$20,MATCH(B3324,METADATA!$S$2:$S$20,0))),0)</f>
        <v>0</v>
      </c>
      <c r="E3324" s="312" t="str">
        <f t="shared" si="204"/>
        <v>LO</v>
      </c>
      <c r="F3324" s="369">
        <f>VLOOKUP(C3324,METADATA!$A$5:$H$29,IF(E3324="HI",2,IF(E3324="LO",6,10))+IF(D3324=1,2,IF(D3324=7,1,(IF(WEEKDAY(B3324)=1,2,IF(WEEKDAY(B3324)=7,1,0))))))</f>
        <v>1</v>
      </c>
      <c r="G3324" s="369">
        <f>VLOOKUP(C3324,METADATA!$J$5:$Q$29,IF(E3324="HI",2,IF(E3324="LO",6,10))+IF(D3324=1,2,IF(D3324=7,1,(IF(WEEKDAY(B3324)=1,2,IF(WEEKDAY(B3324)=7,1,0))))))</f>
        <v>1</v>
      </c>
      <c r="H3324" s="370">
        <v>3964.6324462890625</v>
      </c>
      <c r="I3324" s="370">
        <v>1540.2250061035156</v>
      </c>
      <c r="M3324" s="371">
        <f t="shared" si="205"/>
        <v>4253.3050094714072</v>
      </c>
      <c r="N3324" s="329">
        <f t="shared" si="206"/>
        <v>350.83527221679697</v>
      </c>
      <c r="T3324" s="331">
        <v>0</v>
      </c>
      <c r="U3324" s="328">
        <f>VLOOKUP(C3324,METADATA!$J$5:$Q$29,IF(E3324="HI",2,IF(E3324="LO",6,10))+IF(T3324=1,2,IF(D3324=7,1,(IF(WEEKDAY(B3324)=1,2,IF(WEEKDAY(B3324)=7,1,0))))))</f>
        <v>1</v>
      </c>
      <c r="V3324" s="328">
        <f>VLOOKUP(C3324,METADATA!$A$5:$H$29,IF(E3324="HI",2,IF(E3324="LO",6,10))+IF(T3324=1,2,IF(D3324=7,1,(IF(WEEKDAY(B3324)=1,2,IF(WEEKDAY(B3324)=7,1,0))))))</f>
        <v>1</v>
      </c>
    </row>
    <row r="3325" spans="2:22">
      <c r="B3325" s="318">
        <f t="shared" si="207"/>
        <v>46251</v>
      </c>
      <c r="C3325" s="312">
        <v>9</v>
      </c>
      <c r="D3325" s="368">
        <f>IFERROR((INDEX(METADATA!$T$2:$T$20,MATCH(B3325,METADATA!$S$2:$S$20,0))),0)</f>
        <v>0</v>
      </c>
      <c r="E3325" s="312" t="str">
        <f t="shared" si="204"/>
        <v>LO</v>
      </c>
      <c r="F3325" s="369">
        <f>VLOOKUP(C3325,METADATA!$A$5:$H$29,IF(E3325="HI",2,IF(E3325="LO",6,10))+IF(D3325=1,2,IF(D3325=7,1,(IF(WEEKDAY(B3325)=1,2,IF(WEEKDAY(B3325)=7,1,0))))))</f>
        <v>2</v>
      </c>
      <c r="G3325" s="369">
        <f>VLOOKUP(C3325,METADATA!$J$5:$Q$29,IF(E3325="HI",2,IF(E3325="LO",6,10))+IF(D3325=1,2,IF(D3325=7,1,(IF(WEEKDAY(B3325)=1,2,IF(WEEKDAY(B3325)=7,1,0))))))</f>
        <v>2</v>
      </c>
      <c r="H3325" s="370">
        <v>3994.0774841308594</v>
      </c>
      <c r="I3325" s="370">
        <v>1511.8550109863281</v>
      </c>
      <c r="M3325" s="371">
        <f t="shared" si="205"/>
        <v>4270.6393576940636</v>
      </c>
      <c r="N3325" s="329">
        <f t="shared" si="206"/>
        <v>313.6317657470704</v>
      </c>
      <c r="T3325" s="331">
        <v>0</v>
      </c>
      <c r="U3325" s="328">
        <f>VLOOKUP(C3325,METADATA!$J$5:$Q$29,IF(E3325="HI",2,IF(E3325="LO",6,10))+IF(T3325=1,2,IF(D3325=7,1,(IF(WEEKDAY(B3325)=1,2,IF(WEEKDAY(B3325)=7,1,0))))))</f>
        <v>2</v>
      </c>
      <c r="V3325" s="328">
        <f>VLOOKUP(C3325,METADATA!$A$5:$H$29,IF(E3325="HI",2,IF(E3325="LO",6,10))+IF(T3325=1,2,IF(D3325=7,1,(IF(WEEKDAY(B3325)=1,2,IF(WEEKDAY(B3325)=7,1,0))))))</f>
        <v>2</v>
      </c>
    </row>
    <row r="3326" spans="2:22">
      <c r="B3326" s="318">
        <f t="shared" si="207"/>
        <v>46251</v>
      </c>
      <c r="C3326" s="312">
        <v>10</v>
      </c>
      <c r="D3326" s="368">
        <f>IFERROR((INDEX(METADATA!$T$2:$T$20,MATCH(B3326,METADATA!$S$2:$S$20,0))),0)</f>
        <v>0</v>
      </c>
      <c r="E3326" s="312" t="str">
        <f t="shared" si="204"/>
        <v>LO</v>
      </c>
      <c r="F3326" s="369">
        <f>VLOOKUP(C3326,METADATA!$A$5:$H$29,IF(E3326="HI",2,IF(E3326="LO",6,10))+IF(D3326=1,2,IF(D3326=7,1,(IF(WEEKDAY(B3326)=1,2,IF(WEEKDAY(B3326)=7,1,0))))))</f>
        <v>2</v>
      </c>
      <c r="G3326" s="369">
        <f>VLOOKUP(C3326,METADATA!$J$5:$Q$29,IF(E3326="HI",2,IF(E3326="LO",6,10))+IF(D3326=1,2,IF(D3326=7,1,(IF(WEEKDAY(B3326)=1,2,IF(WEEKDAY(B3326)=7,1,0))))))</f>
        <v>2</v>
      </c>
      <c r="H3326" s="370">
        <v>3977.8925170898438</v>
      </c>
      <c r="I3326" s="370">
        <v>1396.9450073242188</v>
      </c>
      <c r="M3326" s="371">
        <f t="shared" si="205"/>
        <v>4216.0507861039141</v>
      </c>
      <c r="N3326" s="329">
        <f t="shared" si="206"/>
        <v>203.57725219726558</v>
      </c>
      <c r="T3326" s="331">
        <v>0</v>
      </c>
      <c r="U3326" s="328">
        <f>VLOOKUP(C3326,METADATA!$J$5:$Q$29,IF(E3326="HI",2,IF(E3326="LO",6,10))+IF(T3326=1,2,IF(D3326=7,1,(IF(WEEKDAY(B3326)=1,2,IF(WEEKDAY(B3326)=7,1,0))))))</f>
        <v>2</v>
      </c>
      <c r="V3326" s="328">
        <f>VLOOKUP(C3326,METADATA!$A$5:$H$29,IF(E3326="HI",2,IF(E3326="LO",6,10))+IF(T3326=1,2,IF(D3326=7,1,(IF(WEEKDAY(B3326)=1,2,IF(WEEKDAY(B3326)=7,1,0))))))</f>
        <v>2</v>
      </c>
    </row>
    <row r="3327" spans="2:22">
      <c r="B3327" s="318">
        <f t="shared" si="207"/>
        <v>46251</v>
      </c>
      <c r="C3327" s="312">
        <v>11</v>
      </c>
      <c r="D3327" s="368">
        <f>IFERROR((INDEX(METADATA!$T$2:$T$20,MATCH(B3327,METADATA!$S$2:$S$20,0))),0)</f>
        <v>0</v>
      </c>
      <c r="E3327" s="312" t="str">
        <f t="shared" si="204"/>
        <v>LO</v>
      </c>
      <c r="F3327" s="369">
        <f>VLOOKUP(C3327,METADATA!$A$5:$H$29,IF(E3327="HI",2,IF(E3327="LO",6,10))+IF(D3327=1,2,IF(D3327=7,1,(IF(WEEKDAY(B3327)=1,2,IF(WEEKDAY(B3327)=7,1,0))))))</f>
        <v>2</v>
      </c>
      <c r="G3327" s="369">
        <f>VLOOKUP(C3327,METADATA!$J$5:$Q$29,IF(E3327="HI",2,IF(E3327="LO",6,10))+IF(D3327=1,2,IF(D3327=7,1,(IF(WEEKDAY(B3327)=1,2,IF(WEEKDAY(B3327)=7,1,0))))))</f>
        <v>2</v>
      </c>
      <c r="H3327" s="370">
        <v>3906.2373962402344</v>
      </c>
      <c r="I3327" s="370">
        <v>1433.3775024414063</v>
      </c>
      <c r="M3327" s="371">
        <f t="shared" si="205"/>
        <v>4160.920770729821</v>
      </c>
      <c r="N3327" s="329">
        <f t="shared" si="206"/>
        <v>261.50628356933589</v>
      </c>
      <c r="T3327" s="331">
        <v>0</v>
      </c>
      <c r="U3327" s="328">
        <f>VLOOKUP(C3327,METADATA!$J$5:$Q$29,IF(E3327="HI",2,IF(E3327="LO",6,10))+IF(T3327=1,2,IF(D3327=7,1,(IF(WEEKDAY(B3327)=1,2,IF(WEEKDAY(B3327)=7,1,0))))))</f>
        <v>2</v>
      </c>
      <c r="V3327" s="328">
        <f>VLOOKUP(C3327,METADATA!$A$5:$H$29,IF(E3327="HI",2,IF(E3327="LO",6,10))+IF(T3327=1,2,IF(D3327=7,1,(IF(WEEKDAY(B3327)=1,2,IF(WEEKDAY(B3327)=7,1,0))))))</f>
        <v>2</v>
      </c>
    </row>
    <row r="3328" spans="2:22">
      <c r="B3328" s="318">
        <f t="shared" si="207"/>
        <v>46251</v>
      </c>
      <c r="C3328" s="312">
        <v>12</v>
      </c>
      <c r="D3328" s="368">
        <f>IFERROR((INDEX(METADATA!$T$2:$T$20,MATCH(B3328,METADATA!$S$2:$S$20,0))),0)</f>
        <v>0</v>
      </c>
      <c r="E3328" s="312" t="str">
        <f t="shared" si="204"/>
        <v>LO</v>
      </c>
      <c r="F3328" s="369">
        <f>VLOOKUP(C3328,METADATA!$A$5:$H$29,IF(E3328="HI",2,IF(E3328="LO",6,10))+IF(D3328=1,2,IF(D3328=7,1,(IF(WEEKDAY(B3328)=1,2,IF(WEEKDAY(B3328)=7,1,0))))))</f>
        <v>2</v>
      </c>
      <c r="G3328" s="369">
        <f>VLOOKUP(C3328,METADATA!$J$5:$Q$29,IF(E3328="HI",2,IF(E3328="LO",6,10))+IF(D3328=1,2,IF(D3328=7,1,(IF(WEEKDAY(B3328)=1,2,IF(WEEKDAY(B3328)=7,1,0))))))</f>
        <v>2</v>
      </c>
      <c r="H3328" s="370">
        <v>3850.2749938964844</v>
      </c>
      <c r="I3328" s="370">
        <v>1465.2699890136719</v>
      </c>
      <c r="M3328" s="371">
        <f t="shared" si="205"/>
        <v>4119.6642665790978</v>
      </c>
      <c r="N3328" s="329">
        <f t="shared" si="206"/>
        <v>310.18749084472665</v>
      </c>
      <c r="T3328" s="331">
        <v>0</v>
      </c>
      <c r="U3328" s="328">
        <f>VLOOKUP(C3328,METADATA!$J$5:$Q$29,IF(E3328="HI",2,IF(E3328="LO",6,10))+IF(T3328=1,2,IF(D3328=7,1,(IF(WEEKDAY(B3328)=1,2,IF(WEEKDAY(B3328)=7,1,0))))))</f>
        <v>2</v>
      </c>
      <c r="V3328" s="328">
        <f>VLOOKUP(C3328,METADATA!$A$5:$H$29,IF(E3328="HI",2,IF(E3328="LO",6,10))+IF(T3328=1,2,IF(D3328=7,1,(IF(WEEKDAY(B3328)=1,2,IF(WEEKDAY(B3328)=7,1,0))))))</f>
        <v>2</v>
      </c>
    </row>
    <row r="3329" spans="2:22">
      <c r="B3329" s="318">
        <f t="shared" si="207"/>
        <v>46251</v>
      </c>
      <c r="C3329" s="312">
        <v>13</v>
      </c>
      <c r="D3329" s="368">
        <f>IFERROR((INDEX(METADATA!$T$2:$T$20,MATCH(B3329,METADATA!$S$2:$S$20,0))),0)</f>
        <v>0</v>
      </c>
      <c r="E3329" s="312" t="str">
        <f t="shared" si="204"/>
        <v>LO</v>
      </c>
      <c r="F3329" s="369">
        <f>VLOOKUP(C3329,METADATA!$A$5:$H$29,IF(E3329="HI",2,IF(E3329="LO",6,10))+IF(D3329=1,2,IF(D3329=7,1,(IF(WEEKDAY(B3329)=1,2,IF(WEEKDAY(B3329)=7,1,0))))))</f>
        <v>2</v>
      </c>
      <c r="G3329" s="369">
        <f>VLOOKUP(C3329,METADATA!$J$5:$Q$29,IF(E3329="HI",2,IF(E3329="LO",6,10))+IF(D3329=1,2,IF(D3329=7,1,(IF(WEEKDAY(B3329)=1,2,IF(WEEKDAY(B3329)=7,1,0))))))</f>
        <v>2</v>
      </c>
      <c r="H3329" s="370">
        <v>3639.7325134277344</v>
      </c>
      <c r="I3329" s="370">
        <v>1449.7224731445313</v>
      </c>
      <c r="M3329" s="371">
        <f t="shared" si="205"/>
        <v>3917.824398622693</v>
      </c>
      <c r="N3329" s="329">
        <f t="shared" si="206"/>
        <v>357.80271911621094</v>
      </c>
      <c r="T3329" s="331">
        <v>0</v>
      </c>
      <c r="U3329" s="328">
        <f>VLOOKUP(C3329,METADATA!$J$5:$Q$29,IF(E3329="HI",2,IF(E3329="LO",6,10))+IF(T3329=1,2,IF(D3329=7,1,(IF(WEEKDAY(B3329)=1,2,IF(WEEKDAY(B3329)=7,1,0))))))</f>
        <v>2</v>
      </c>
      <c r="V3329" s="328">
        <f>VLOOKUP(C3329,METADATA!$A$5:$H$29,IF(E3329="HI",2,IF(E3329="LO",6,10))+IF(T3329=1,2,IF(D3329=7,1,(IF(WEEKDAY(B3329)=1,2,IF(WEEKDAY(B3329)=7,1,0))))))</f>
        <v>2</v>
      </c>
    </row>
    <row r="3330" spans="2:22">
      <c r="B3330" s="318">
        <f t="shared" si="207"/>
        <v>46251</v>
      </c>
      <c r="C3330" s="312">
        <v>14</v>
      </c>
      <c r="D3330" s="368">
        <f>IFERROR((INDEX(METADATA!$T$2:$T$20,MATCH(B3330,METADATA!$S$2:$S$20,0))),0)</f>
        <v>0</v>
      </c>
      <c r="E3330" s="312" t="str">
        <f t="shared" si="204"/>
        <v>LO</v>
      </c>
      <c r="F3330" s="369">
        <f>VLOOKUP(C3330,METADATA!$A$5:$H$29,IF(E3330="HI",2,IF(E3330="LO",6,10))+IF(D3330=1,2,IF(D3330=7,1,(IF(WEEKDAY(B3330)=1,2,IF(WEEKDAY(B3330)=7,1,0))))))</f>
        <v>2</v>
      </c>
      <c r="G3330" s="369">
        <f>VLOOKUP(C3330,METADATA!$J$5:$Q$29,IF(E3330="HI",2,IF(E3330="LO",6,10))+IF(D3330=1,2,IF(D3330=7,1,(IF(WEEKDAY(B3330)=1,2,IF(WEEKDAY(B3330)=7,1,0))))))</f>
        <v>2</v>
      </c>
      <c r="H3330" s="370">
        <v>3623.6875610351563</v>
      </c>
      <c r="I3330" s="370">
        <v>1315.2224731445313</v>
      </c>
      <c r="M3330" s="371">
        <f t="shared" si="205"/>
        <v>3854.9866009968619</v>
      </c>
      <c r="N3330" s="329">
        <f t="shared" si="206"/>
        <v>228.11620483398451</v>
      </c>
      <c r="T3330" s="331">
        <v>0</v>
      </c>
      <c r="U3330" s="328">
        <f>VLOOKUP(C3330,METADATA!$J$5:$Q$29,IF(E3330="HI",2,IF(E3330="LO",6,10))+IF(T3330=1,2,IF(D3330=7,1,(IF(WEEKDAY(B3330)=1,2,IF(WEEKDAY(B3330)=7,1,0))))))</f>
        <v>2</v>
      </c>
      <c r="V3330" s="328">
        <f>VLOOKUP(C3330,METADATA!$A$5:$H$29,IF(E3330="HI",2,IF(E3330="LO",6,10))+IF(T3330=1,2,IF(D3330=7,1,(IF(WEEKDAY(B3330)=1,2,IF(WEEKDAY(B3330)=7,1,0))))))</f>
        <v>2</v>
      </c>
    </row>
    <row r="3331" spans="2:22">
      <c r="B3331" s="318">
        <f t="shared" si="207"/>
        <v>46251</v>
      </c>
      <c r="C3331" s="312">
        <v>15</v>
      </c>
      <c r="D3331" s="368">
        <f>IFERROR((INDEX(METADATA!$T$2:$T$20,MATCH(B3331,METADATA!$S$2:$S$20,0))),0)</f>
        <v>0</v>
      </c>
      <c r="E3331" s="312" t="str">
        <f t="shared" si="204"/>
        <v>LO</v>
      </c>
      <c r="F3331" s="369">
        <f>VLOOKUP(C3331,METADATA!$A$5:$H$29,IF(E3331="HI",2,IF(E3331="LO",6,10))+IF(D3331=1,2,IF(D3331=7,1,(IF(WEEKDAY(B3331)=1,2,IF(WEEKDAY(B3331)=7,1,0))))))</f>
        <v>2</v>
      </c>
      <c r="G3331" s="369">
        <f>VLOOKUP(C3331,METADATA!$J$5:$Q$29,IF(E3331="HI",2,IF(E3331="LO",6,10))+IF(D3331=1,2,IF(D3331=7,1,(IF(WEEKDAY(B3331)=1,2,IF(WEEKDAY(B3331)=7,1,0))))))</f>
        <v>2</v>
      </c>
      <c r="H3331" s="370">
        <v>3993.6575012207031</v>
      </c>
      <c r="I3331" s="370">
        <v>1325.0899963378906</v>
      </c>
      <c r="M3331" s="371">
        <f t="shared" si="205"/>
        <v>4207.7504364507095</v>
      </c>
      <c r="N3331" s="329">
        <f t="shared" si="206"/>
        <v>126.99274597167982</v>
      </c>
      <c r="T3331" s="331">
        <v>0</v>
      </c>
      <c r="U3331" s="328">
        <f>VLOOKUP(C3331,METADATA!$J$5:$Q$29,IF(E3331="HI",2,IF(E3331="LO",6,10))+IF(T3331=1,2,IF(D3331=7,1,(IF(WEEKDAY(B3331)=1,2,IF(WEEKDAY(B3331)=7,1,0))))))</f>
        <v>2</v>
      </c>
      <c r="V3331" s="328">
        <f>VLOOKUP(C3331,METADATA!$A$5:$H$29,IF(E3331="HI",2,IF(E3331="LO",6,10))+IF(T3331=1,2,IF(D3331=7,1,(IF(WEEKDAY(B3331)=1,2,IF(WEEKDAY(B3331)=7,1,0))))))</f>
        <v>2</v>
      </c>
    </row>
    <row r="3332" spans="2:22">
      <c r="B3332" s="318">
        <f t="shared" si="207"/>
        <v>46251</v>
      </c>
      <c r="C3332" s="312">
        <v>16</v>
      </c>
      <c r="D3332" s="368">
        <f>IFERROR((INDEX(METADATA!$T$2:$T$20,MATCH(B3332,METADATA!$S$2:$S$20,0))),0)</f>
        <v>0</v>
      </c>
      <c r="E3332" s="312" t="str">
        <f t="shared" ref="E3332:E3395" si="208">IF(B3332="","",IF(AND(MONTH(B3332)&gt;=MONTH($Z$9),MONTH(B3332)&lt;=MONTH($Z$11)),"HI","LO"))</f>
        <v>LO</v>
      </c>
      <c r="F3332" s="369">
        <f>VLOOKUP(C3332,METADATA!$A$5:$H$29,IF(E3332="HI",2,IF(E3332="LO",6,10))+IF(D3332=1,2,IF(D3332=7,1,(IF(WEEKDAY(B3332)=1,2,IF(WEEKDAY(B3332)=7,1,0))))))</f>
        <v>2</v>
      </c>
      <c r="G3332" s="369">
        <f>VLOOKUP(C3332,METADATA!$J$5:$Q$29,IF(E3332="HI",2,IF(E3332="LO",6,10))+IF(D3332=1,2,IF(D3332=7,1,(IF(WEEKDAY(B3332)=1,2,IF(WEEKDAY(B3332)=7,1,0))))))</f>
        <v>2</v>
      </c>
      <c r="H3332" s="370">
        <v>4032.0774536132813</v>
      </c>
      <c r="I3332" s="370">
        <v>1368.0699768066406</v>
      </c>
      <c r="M3332" s="371">
        <f t="shared" ref="M3332:M3395" si="209">SQRT(H3332^2+I3332^2)</f>
        <v>4257.847349703402</v>
      </c>
      <c r="N3332" s="329">
        <f t="shared" ref="N3332:N3395" si="210">IF(H3332=0,0,(IF(I3332-(0.3*H3332)&lt;0,0,(I3332-(0.3*H3332)))))</f>
        <v>158.44674072265639</v>
      </c>
      <c r="T3332" s="331">
        <v>0</v>
      </c>
      <c r="U3332" s="328">
        <f>VLOOKUP(C3332,METADATA!$J$5:$Q$29,IF(E3332="HI",2,IF(E3332="LO",6,10))+IF(T3332=1,2,IF(D3332=7,1,(IF(WEEKDAY(B3332)=1,2,IF(WEEKDAY(B3332)=7,1,0))))))</f>
        <v>2</v>
      </c>
      <c r="V3332" s="328">
        <f>VLOOKUP(C3332,METADATA!$A$5:$H$29,IF(E3332="HI",2,IF(E3332="LO",6,10))+IF(T3332=1,2,IF(D3332=7,1,(IF(WEEKDAY(B3332)=1,2,IF(WEEKDAY(B3332)=7,1,0))))))</f>
        <v>2</v>
      </c>
    </row>
    <row r="3333" spans="2:22">
      <c r="B3333" s="318">
        <f t="shared" si="207"/>
        <v>46251</v>
      </c>
      <c r="C3333" s="312">
        <v>17</v>
      </c>
      <c r="D3333" s="368">
        <f>IFERROR((INDEX(METADATA!$T$2:$T$20,MATCH(B3333,METADATA!$S$2:$S$20,0))),0)</f>
        <v>0</v>
      </c>
      <c r="E3333" s="312" t="str">
        <f t="shared" si="208"/>
        <v>LO</v>
      </c>
      <c r="F3333" s="369">
        <f>VLOOKUP(C3333,METADATA!$A$5:$H$29,IF(E3333="HI",2,IF(E3333="LO",6,10))+IF(D3333=1,2,IF(D3333=7,1,(IF(WEEKDAY(B3333)=1,2,IF(WEEKDAY(B3333)=7,1,0))))))</f>
        <v>2</v>
      </c>
      <c r="G3333" s="369">
        <f>VLOOKUP(C3333,METADATA!$J$5:$Q$29,IF(E3333="HI",2,IF(E3333="LO",6,10))+IF(D3333=1,2,IF(D3333=7,1,(IF(WEEKDAY(B3333)=1,2,IF(WEEKDAY(B3333)=7,1,0))))))</f>
        <v>2</v>
      </c>
      <c r="H3333" s="370">
        <v>4001.5124206542969</v>
      </c>
      <c r="I3333" s="370">
        <v>1331.6399841308594</v>
      </c>
      <c r="M3333" s="371">
        <f t="shared" si="209"/>
        <v>4217.2700530066422</v>
      </c>
      <c r="N3333" s="329">
        <f t="shared" si="210"/>
        <v>131.18625793457045</v>
      </c>
      <c r="T3333" s="331">
        <v>0</v>
      </c>
      <c r="U3333" s="328">
        <f>VLOOKUP(C3333,METADATA!$J$5:$Q$29,IF(E3333="HI",2,IF(E3333="LO",6,10))+IF(T3333=1,2,IF(D3333=7,1,(IF(WEEKDAY(B3333)=1,2,IF(WEEKDAY(B3333)=7,1,0))))))</f>
        <v>2</v>
      </c>
      <c r="V3333" s="328">
        <f>VLOOKUP(C3333,METADATA!$A$5:$H$29,IF(E3333="HI",2,IF(E3333="LO",6,10))+IF(T3333=1,2,IF(D3333=7,1,(IF(WEEKDAY(B3333)=1,2,IF(WEEKDAY(B3333)=7,1,0))))))</f>
        <v>2</v>
      </c>
    </row>
    <row r="3334" spans="2:22">
      <c r="B3334" s="318">
        <f t="shared" si="207"/>
        <v>46251</v>
      </c>
      <c r="C3334" s="312">
        <v>18</v>
      </c>
      <c r="D3334" s="368">
        <f>IFERROR((INDEX(METADATA!$T$2:$T$20,MATCH(B3334,METADATA!$S$2:$S$20,0))),0)</f>
        <v>0</v>
      </c>
      <c r="E3334" s="312" t="str">
        <f t="shared" si="208"/>
        <v>LO</v>
      </c>
      <c r="F3334" s="369">
        <f>VLOOKUP(C3334,METADATA!$A$5:$H$29,IF(E3334="HI",2,IF(E3334="LO",6,10))+IF(D3334=1,2,IF(D3334=7,1,(IF(WEEKDAY(B3334)=1,2,IF(WEEKDAY(B3334)=7,1,0))))))</f>
        <v>1</v>
      </c>
      <c r="G3334" s="369">
        <f>VLOOKUP(C3334,METADATA!$J$5:$Q$29,IF(E3334="HI",2,IF(E3334="LO",6,10))+IF(D3334=1,2,IF(D3334=7,1,(IF(WEEKDAY(B3334)=1,2,IF(WEEKDAY(B3334)=7,1,0))))))</f>
        <v>1</v>
      </c>
      <c r="H3334" s="370">
        <v>3917.6599731445313</v>
      </c>
      <c r="I3334" s="370">
        <v>1264.0325012207031</v>
      </c>
      <c r="M3334" s="371">
        <f t="shared" si="209"/>
        <v>4116.5322577773004</v>
      </c>
      <c r="N3334" s="329">
        <f t="shared" si="210"/>
        <v>88.734509277343705</v>
      </c>
      <c r="T3334" s="331">
        <v>0</v>
      </c>
      <c r="U3334" s="328">
        <f>VLOOKUP(C3334,METADATA!$J$5:$Q$29,IF(E3334="HI",2,IF(E3334="LO",6,10))+IF(T3334=1,2,IF(D3334=7,1,(IF(WEEKDAY(B3334)=1,2,IF(WEEKDAY(B3334)=7,1,0))))))</f>
        <v>1</v>
      </c>
      <c r="V3334" s="328">
        <f>VLOOKUP(C3334,METADATA!$A$5:$H$29,IF(E3334="HI",2,IF(E3334="LO",6,10))+IF(T3334=1,2,IF(D3334=7,1,(IF(WEEKDAY(B3334)=1,2,IF(WEEKDAY(B3334)=7,1,0))))))</f>
        <v>1</v>
      </c>
    </row>
    <row r="3335" spans="2:22">
      <c r="B3335" s="318">
        <f t="shared" si="207"/>
        <v>46251</v>
      </c>
      <c r="C3335" s="312">
        <v>19</v>
      </c>
      <c r="D3335" s="368">
        <f>IFERROR((INDEX(METADATA!$T$2:$T$20,MATCH(B3335,METADATA!$S$2:$S$20,0))),0)</f>
        <v>0</v>
      </c>
      <c r="E3335" s="312" t="str">
        <f t="shared" si="208"/>
        <v>LO</v>
      </c>
      <c r="F3335" s="369">
        <f>VLOOKUP(C3335,METADATA!$A$5:$H$29,IF(E3335="HI",2,IF(E3335="LO",6,10))+IF(D3335=1,2,IF(D3335=7,1,(IF(WEEKDAY(B3335)=1,2,IF(WEEKDAY(B3335)=7,1,0))))))</f>
        <v>1</v>
      </c>
      <c r="G3335" s="369">
        <f>VLOOKUP(C3335,METADATA!$J$5:$Q$29,IF(E3335="HI",2,IF(E3335="LO",6,10))+IF(D3335=1,2,IF(D3335=7,1,(IF(WEEKDAY(B3335)=1,2,IF(WEEKDAY(B3335)=7,1,0))))))</f>
        <v>1</v>
      </c>
      <c r="H3335" s="370">
        <v>3920.8125</v>
      </c>
      <c r="I3335" s="370">
        <v>1250.927490234375</v>
      </c>
      <c r="M3335" s="371">
        <f t="shared" si="209"/>
        <v>4115.5303723797642</v>
      </c>
      <c r="N3335" s="329">
        <f t="shared" si="210"/>
        <v>74.683740234375136</v>
      </c>
      <c r="T3335" s="331">
        <v>0</v>
      </c>
      <c r="U3335" s="328">
        <f>VLOOKUP(C3335,METADATA!$J$5:$Q$29,IF(E3335="HI",2,IF(E3335="LO",6,10))+IF(T3335=1,2,IF(D3335=7,1,(IF(WEEKDAY(B3335)=1,2,IF(WEEKDAY(B3335)=7,1,0))))))</f>
        <v>1</v>
      </c>
      <c r="V3335" s="328">
        <f>VLOOKUP(C3335,METADATA!$A$5:$H$29,IF(E3335="HI",2,IF(E3335="LO",6,10))+IF(T3335=1,2,IF(D3335=7,1,(IF(WEEKDAY(B3335)=1,2,IF(WEEKDAY(B3335)=7,1,0))))))</f>
        <v>1</v>
      </c>
    </row>
    <row r="3336" spans="2:22">
      <c r="B3336" s="318">
        <f t="shared" si="207"/>
        <v>46251</v>
      </c>
      <c r="C3336" s="312">
        <v>20</v>
      </c>
      <c r="D3336" s="368">
        <f>IFERROR((INDEX(METADATA!$T$2:$T$20,MATCH(B3336,METADATA!$S$2:$S$20,0))),0)</f>
        <v>0</v>
      </c>
      <c r="E3336" s="312" t="str">
        <f t="shared" si="208"/>
        <v>LO</v>
      </c>
      <c r="F3336" s="369">
        <f>VLOOKUP(C3336,METADATA!$A$5:$H$29,IF(E3336="HI",2,IF(E3336="LO",6,10))+IF(D3336=1,2,IF(D3336=7,1,(IF(WEEKDAY(B3336)=1,2,IF(WEEKDAY(B3336)=7,1,0))))))</f>
        <v>1</v>
      </c>
      <c r="G3336" s="369">
        <f>VLOOKUP(C3336,METADATA!$J$5:$Q$29,IF(E3336="HI",2,IF(E3336="LO",6,10))+IF(D3336=1,2,IF(D3336=7,1,(IF(WEEKDAY(B3336)=1,2,IF(WEEKDAY(B3336)=7,1,0))))))</f>
        <v>1</v>
      </c>
      <c r="H3336" s="370">
        <v>3911.7925415039063</v>
      </c>
      <c r="I3336" s="370">
        <v>1236.6699829101563</v>
      </c>
      <c r="M3336" s="371">
        <f t="shared" si="209"/>
        <v>4102.6178879340687</v>
      </c>
      <c r="N3336" s="329">
        <f t="shared" si="210"/>
        <v>63.13222045898442</v>
      </c>
      <c r="T3336" s="331">
        <v>0</v>
      </c>
      <c r="U3336" s="328">
        <f>VLOOKUP(C3336,METADATA!$J$5:$Q$29,IF(E3336="HI",2,IF(E3336="LO",6,10))+IF(T3336=1,2,IF(D3336=7,1,(IF(WEEKDAY(B3336)=1,2,IF(WEEKDAY(B3336)=7,1,0))))))</f>
        <v>1</v>
      </c>
      <c r="V3336" s="328">
        <f>VLOOKUP(C3336,METADATA!$A$5:$H$29,IF(E3336="HI",2,IF(E3336="LO",6,10))+IF(T3336=1,2,IF(D3336=7,1,(IF(WEEKDAY(B3336)=1,2,IF(WEEKDAY(B3336)=7,1,0))))))</f>
        <v>1</v>
      </c>
    </row>
    <row r="3337" spans="2:22">
      <c r="B3337" s="318">
        <f t="shared" si="207"/>
        <v>46251</v>
      </c>
      <c r="C3337" s="312">
        <v>21</v>
      </c>
      <c r="D3337" s="368">
        <f>IFERROR((INDEX(METADATA!$T$2:$T$20,MATCH(B3337,METADATA!$S$2:$S$20,0))),0)</f>
        <v>0</v>
      </c>
      <c r="E3337" s="312" t="str">
        <f t="shared" si="208"/>
        <v>LO</v>
      </c>
      <c r="F3337" s="369">
        <f>VLOOKUP(C3337,METADATA!$A$5:$H$29,IF(E3337="HI",2,IF(E3337="LO",6,10))+IF(D3337=1,2,IF(D3337=7,1,(IF(WEEKDAY(B3337)=1,2,IF(WEEKDAY(B3337)=7,1,0))))))</f>
        <v>2</v>
      </c>
      <c r="G3337" s="369">
        <f>VLOOKUP(C3337,METADATA!$J$5:$Q$29,IF(E3337="HI",2,IF(E3337="LO",6,10))+IF(D3337=1,2,IF(D3337=7,1,(IF(WEEKDAY(B3337)=1,2,IF(WEEKDAY(B3337)=7,1,0))))))</f>
        <v>2</v>
      </c>
      <c r="H3337" s="370">
        <v>3901.2774963378906</v>
      </c>
      <c r="I3337" s="370">
        <v>1228.4674682617188</v>
      </c>
      <c r="M3337" s="371">
        <f t="shared" si="209"/>
        <v>4090.1220549037162</v>
      </c>
      <c r="N3337" s="329">
        <f t="shared" si="210"/>
        <v>58.084219360351653</v>
      </c>
      <c r="T3337" s="331">
        <v>0</v>
      </c>
      <c r="U3337" s="328">
        <f>VLOOKUP(C3337,METADATA!$J$5:$Q$29,IF(E3337="HI",2,IF(E3337="LO",6,10))+IF(T3337=1,2,IF(D3337=7,1,(IF(WEEKDAY(B3337)=1,2,IF(WEEKDAY(B3337)=7,1,0))))))</f>
        <v>2</v>
      </c>
      <c r="V3337" s="328">
        <f>VLOOKUP(C3337,METADATA!$A$5:$H$29,IF(E3337="HI",2,IF(E3337="LO",6,10))+IF(T3337=1,2,IF(D3337=7,1,(IF(WEEKDAY(B3337)=1,2,IF(WEEKDAY(B3337)=7,1,0))))))</f>
        <v>2</v>
      </c>
    </row>
    <row r="3338" spans="2:22">
      <c r="B3338" s="318">
        <f t="shared" si="207"/>
        <v>46251</v>
      </c>
      <c r="C3338" s="312">
        <v>22</v>
      </c>
      <c r="D3338" s="368">
        <f>IFERROR((INDEX(METADATA!$T$2:$T$20,MATCH(B3338,METADATA!$S$2:$S$20,0))),0)</f>
        <v>0</v>
      </c>
      <c r="E3338" s="312" t="str">
        <f t="shared" si="208"/>
        <v>LO</v>
      </c>
      <c r="F3338" s="369">
        <f>VLOOKUP(C3338,METADATA!$A$5:$H$29,IF(E3338="HI",2,IF(E3338="LO",6,10))+IF(D3338=1,2,IF(D3338=7,1,(IF(WEEKDAY(B3338)=1,2,IF(WEEKDAY(B3338)=7,1,0))))))</f>
        <v>3</v>
      </c>
      <c r="G3338" s="369">
        <f>VLOOKUP(C3338,METADATA!$J$5:$Q$29,IF(E3338="HI",2,IF(E3338="LO",6,10))+IF(D3338=1,2,IF(D3338=7,1,(IF(WEEKDAY(B3338)=1,2,IF(WEEKDAY(B3338)=7,1,0))))))</f>
        <v>3</v>
      </c>
      <c r="H3338" s="370">
        <v>3804.7574462890625</v>
      </c>
      <c r="I3338" s="370">
        <v>1169.5675048828125</v>
      </c>
      <c r="M3338" s="371">
        <f t="shared" si="209"/>
        <v>3980.4606986591234</v>
      </c>
      <c r="N3338" s="329">
        <f t="shared" si="210"/>
        <v>28.140270996093705</v>
      </c>
      <c r="T3338" s="331">
        <v>0</v>
      </c>
      <c r="U3338" s="328">
        <f>VLOOKUP(C3338,METADATA!$J$5:$Q$29,IF(E3338="HI",2,IF(E3338="LO",6,10))+IF(T3338=1,2,IF(D3338=7,1,(IF(WEEKDAY(B3338)=1,2,IF(WEEKDAY(B3338)=7,1,0))))))</f>
        <v>3</v>
      </c>
      <c r="V3338" s="328">
        <f>VLOOKUP(C3338,METADATA!$A$5:$H$29,IF(E3338="HI",2,IF(E3338="LO",6,10))+IF(T3338=1,2,IF(D3338=7,1,(IF(WEEKDAY(B3338)=1,2,IF(WEEKDAY(B3338)=7,1,0))))))</f>
        <v>3</v>
      </c>
    </row>
    <row r="3339" spans="2:22">
      <c r="B3339" s="318">
        <f t="shared" si="207"/>
        <v>46251</v>
      </c>
      <c r="C3339" s="312">
        <v>23</v>
      </c>
      <c r="D3339" s="368">
        <f>IFERROR((INDEX(METADATA!$T$2:$T$20,MATCH(B3339,METADATA!$S$2:$S$20,0))),0)</f>
        <v>0</v>
      </c>
      <c r="E3339" s="312" t="str">
        <f t="shared" si="208"/>
        <v>LO</v>
      </c>
      <c r="F3339" s="369">
        <f>VLOOKUP(C3339,METADATA!$A$5:$H$29,IF(E3339="HI",2,IF(E3339="LO",6,10))+IF(D3339=1,2,IF(D3339=7,1,(IF(WEEKDAY(B3339)=1,2,IF(WEEKDAY(B3339)=7,1,0))))))</f>
        <v>3</v>
      </c>
      <c r="G3339" s="369">
        <f>VLOOKUP(C3339,METADATA!$J$5:$Q$29,IF(E3339="HI",2,IF(E3339="LO",6,10))+IF(D3339=1,2,IF(D3339=7,1,(IF(WEEKDAY(B3339)=1,2,IF(WEEKDAY(B3339)=7,1,0))))))</f>
        <v>3</v>
      </c>
      <c r="H3339" s="370">
        <v>3742.3775329589844</v>
      </c>
      <c r="I3339" s="370">
        <v>1180.8699951171875</v>
      </c>
      <c r="M3339" s="371">
        <f t="shared" si="209"/>
        <v>3924.2634397507309</v>
      </c>
      <c r="N3339" s="329">
        <f t="shared" si="210"/>
        <v>58.156735229492142</v>
      </c>
      <c r="T3339" s="331">
        <v>0</v>
      </c>
      <c r="U3339" s="328">
        <f>VLOOKUP(C3339,METADATA!$J$5:$Q$29,IF(E3339="HI",2,IF(E3339="LO",6,10))+IF(T3339=1,2,IF(D3339=7,1,(IF(WEEKDAY(B3339)=1,2,IF(WEEKDAY(B3339)=7,1,0))))))</f>
        <v>3</v>
      </c>
      <c r="V3339" s="328">
        <f>VLOOKUP(C3339,METADATA!$A$5:$H$29,IF(E3339="HI",2,IF(E3339="LO",6,10))+IF(T3339=1,2,IF(D3339=7,1,(IF(WEEKDAY(B3339)=1,2,IF(WEEKDAY(B3339)=7,1,0))))))</f>
        <v>3</v>
      </c>
    </row>
    <row r="3340" spans="2:22">
      <c r="B3340" s="318">
        <f t="shared" si="207"/>
        <v>46252</v>
      </c>
      <c r="C3340" s="312">
        <v>0</v>
      </c>
      <c r="D3340" s="368">
        <f>IFERROR((INDEX(METADATA!$T$2:$T$20,MATCH(B3340,METADATA!$S$2:$S$20,0))),0)</f>
        <v>0</v>
      </c>
      <c r="E3340" s="312" t="str">
        <f t="shared" si="208"/>
        <v>LO</v>
      </c>
      <c r="F3340" s="369">
        <f>VLOOKUP(C3340,METADATA!$A$5:$H$29,IF(E3340="HI",2,IF(E3340="LO",6,10))+IF(D3340=1,2,IF(D3340=7,1,(IF(WEEKDAY(B3340)=1,2,IF(WEEKDAY(B3340)=7,1,0))))))</f>
        <v>3</v>
      </c>
      <c r="G3340" s="369">
        <f>VLOOKUP(C3340,METADATA!$J$5:$Q$29,IF(E3340="HI",2,IF(E3340="LO",6,10))+IF(D3340=1,2,IF(D3340=7,1,(IF(WEEKDAY(B3340)=1,2,IF(WEEKDAY(B3340)=7,1,0))))))</f>
        <v>3</v>
      </c>
      <c r="H3340" s="370">
        <v>3509.2974243164063</v>
      </c>
      <c r="I3340" s="370">
        <v>1144.3675231933594</v>
      </c>
      <c r="M3340" s="371">
        <f t="shared" si="209"/>
        <v>3691.1712830013003</v>
      </c>
      <c r="N3340" s="329">
        <f t="shared" si="210"/>
        <v>91.578295898437545</v>
      </c>
      <c r="T3340" s="331">
        <v>0</v>
      </c>
      <c r="U3340" s="328">
        <f>VLOOKUP(C3340,METADATA!$J$5:$Q$29,IF(E3340="HI",2,IF(E3340="LO",6,10))+IF(T3340=1,2,IF(D3340=7,1,(IF(WEEKDAY(B3340)=1,2,IF(WEEKDAY(B3340)=7,1,0))))))</f>
        <v>3</v>
      </c>
      <c r="V3340" s="328">
        <f>VLOOKUP(C3340,METADATA!$A$5:$H$29,IF(E3340="HI",2,IF(E3340="LO",6,10))+IF(T3340=1,2,IF(D3340=7,1,(IF(WEEKDAY(B3340)=1,2,IF(WEEKDAY(B3340)=7,1,0))))))</f>
        <v>3</v>
      </c>
    </row>
    <row r="3341" spans="2:22">
      <c r="B3341" s="318">
        <f t="shared" si="207"/>
        <v>46252</v>
      </c>
      <c r="C3341" s="312">
        <v>1</v>
      </c>
      <c r="D3341" s="368">
        <f>IFERROR((INDEX(METADATA!$T$2:$T$20,MATCH(B3341,METADATA!$S$2:$S$20,0))),0)</f>
        <v>0</v>
      </c>
      <c r="E3341" s="312" t="str">
        <f t="shared" si="208"/>
        <v>LO</v>
      </c>
      <c r="F3341" s="369">
        <f>VLOOKUP(C3341,METADATA!$A$5:$H$29,IF(E3341="HI",2,IF(E3341="LO",6,10))+IF(D3341=1,2,IF(D3341=7,1,(IF(WEEKDAY(B3341)=1,2,IF(WEEKDAY(B3341)=7,1,0))))))</f>
        <v>3</v>
      </c>
      <c r="G3341" s="369">
        <f>VLOOKUP(C3341,METADATA!$J$5:$Q$29,IF(E3341="HI",2,IF(E3341="LO",6,10))+IF(D3341=1,2,IF(D3341=7,1,(IF(WEEKDAY(B3341)=1,2,IF(WEEKDAY(B3341)=7,1,0))))))</f>
        <v>3</v>
      </c>
      <c r="H3341" s="370">
        <v>2975.4049987792969</v>
      </c>
      <c r="I3341" s="370">
        <v>1159.6325073242188</v>
      </c>
      <c r="M3341" s="371">
        <f t="shared" si="209"/>
        <v>3193.3966961221527</v>
      </c>
      <c r="N3341" s="329">
        <f t="shared" si="210"/>
        <v>267.01100769042966</v>
      </c>
      <c r="T3341" s="331">
        <v>0</v>
      </c>
      <c r="U3341" s="328">
        <f>VLOOKUP(C3341,METADATA!$J$5:$Q$29,IF(E3341="HI",2,IF(E3341="LO",6,10))+IF(T3341=1,2,IF(D3341=7,1,(IF(WEEKDAY(B3341)=1,2,IF(WEEKDAY(B3341)=7,1,0))))))</f>
        <v>3</v>
      </c>
      <c r="V3341" s="328">
        <f>VLOOKUP(C3341,METADATA!$A$5:$H$29,IF(E3341="HI",2,IF(E3341="LO",6,10))+IF(T3341=1,2,IF(D3341=7,1,(IF(WEEKDAY(B3341)=1,2,IF(WEEKDAY(B3341)=7,1,0))))))</f>
        <v>3</v>
      </c>
    </row>
    <row r="3342" spans="2:22">
      <c r="B3342" s="318">
        <f t="shared" si="207"/>
        <v>46252</v>
      </c>
      <c r="C3342" s="312">
        <v>2</v>
      </c>
      <c r="D3342" s="368">
        <f>IFERROR((INDEX(METADATA!$T$2:$T$20,MATCH(B3342,METADATA!$S$2:$S$20,0))),0)</f>
        <v>0</v>
      </c>
      <c r="E3342" s="312" t="str">
        <f t="shared" si="208"/>
        <v>LO</v>
      </c>
      <c r="F3342" s="369">
        <f>VLOOKUP(C3342,METADATA!$A$5:$H$29,IF(E3342="HI",2,IF(E3342="LO",6,10))+IF(D3342=1,2,IF(D3342=7,1,(IF(WEEKDAY(B3342)=1,2,IF(WEEKDAY(B3342)=7,1,0))))))</f>
        <v>3</v>
      </c>
      <c r="G3342" s="369">
        <f>VLOOKUP(C3342,METADATA!$J$5:$Q$29,IF(E3342="HI",2,IF(E3342="LO",6,10))+IF(D3342=1,2,IF(D3342=7,1,(IF(WEEKDAY(B3342)=1,2,IF(WEEKDAY(B3342)=7,1,0))))))</f>
        <v>3</v>
      </c>
      <c r="H3342" s="370">
        <v>2502.7424621582031</v>
      </c>
      <c r="I3342" s="370">
        <v>1116.1424560546875</v>
      </c>
      <c r="M3342" s="371">
        <f t="shared" si="209"/>
        <v>2740.3455647230871</v>
      </c>
      <c r="N3342" s="329">
        <f t="shared" si="210"/>
        <v>365.31971740722656</v>
      </c>
      <c r="T3342" s="331">
        <v>0</v>
      </c>
      <c r="U3342" s="328">
        <f>VLOOKUP(C3342,METADATA!$J$5:$Q$29,IF(E3342="HI",2,IF(E3342="LO",6,10))+IF(T3342=1,2,IF(D3342=7,1,(IF(WEEKDAY(B3342)=1,2,IF(WEEKDAY(B3342)=7,1,0))))))</f>
        <v>3</v>
      </c>
      <c r="V3342" s="328">
        <f>VLOOKUP(C3342,METADATA!$A$5:$H$29,IF(E3342="HI",2,IF(E3342="LO",6,10))+IF(T3342=1,2,IF(D3342=7,1,(IF(WEEKDAY(B3342)=1,2,IF(WEEKDAY(B3342)=7,1,0))))))</f>
        <v>3</v>
      </c>
    </row>
    <row r="3343" spans="2:22">
      <c r="B3343" s="318">
        <f t="shared" si="207"/>
        <v>46252</v>
      </c>
      <c r="C3343" s="312">
        <v>3</v>
      </c>
      <c r="D3343" s="368">
        <f>IFERROR((INDEX(METADATA!$T$2:$T$20,MATCH(B3343,METADATA!$S$2:$S$20,0))),0)</f>
        <v>0</v>
      </c>
      <c r="E3343" s="312" t="str">
        <f t="shared" si="208"/>
        <v>LO</v>
      </c>
      <c r="F3343" s="369">
        <f>VLOOKUP(C3343,METADATA!$A$5:$H$29,IF(E3343="HI",2,IF(E3343="LO",6,10))+IF(D3343=1,2,IF(D3343=7,1,(IF(WEEKDAY(B3343)=1,2,IF(WEEKDAY(B3343)=7,1,0))))))</f>
        <v>3</v>
      </c>
      <c r="G3343" s="369">
        <f>VLOOKUP(C3343,METADATA!$J$5:$Q$29,IF(E3343="HI",2,IF(E3343="LO",6,10))+IF(D3343=1,2,IF(D3343=7,1,(IF(WEEKDAY(B3343)=1,2,IF(WEEKDAY(B3343)=7,1,0))))))</f>
        <v>3</v>
      </c>
      <c r="H3343" s="370">
        <v>2484.385009765625</v>
      </c>
      <c r="I3343" s="370">
        <v>1117.6549987792969</v>
      </c>
      <c r="M3343" s="371">
        <f t="shared" si="209"/>
        <v>2724.21026593846</v>
      </c>
      <c r="N3343" s="329">
        <f t="shared" si="210"/>
        <v>372.33949584960942</v>
      </c>
      <c r="T3343" s="331">
        <v>0</v>
      </c>
      <c r="U3343" s="328">
        <f>VLOOKUP(C3343,METADATA!$J$5:$Q$29,IF(E3343="HI",2,IF(E3343="LO",6,10))+IF(T3343=1,2,IF(D3343=7,1,(IF(WEEKDAY(B3343)=1,2,IF(WEEKDAY(B3343)=7,1,0))))))</f>
        <v>3</v>
      </c>
      <c r="V3343" s="328">
        <f>VLOOKUP(C3343,METADATA!$A$5:$H$29,IF(E3343="HI",2,IF(E3343="LO",6,10))+IF(T3343=1,2,IF(D3343=7,1,(IF(WEEKDAY(B3343)=1,2,IF(WEEKDAY(B3343)=7,1,0))))))</f>
        <v>3</v>
      </c>
    </row>
    <row r="3344" spans="2:22">
      <c r="B3344" s="318">
        <f t="shared" si="207"/>
        <v>46252</v>
      </c>
      <c r="C3344" s="312">
        <v>4</v>
      </c>
      <c r="D3344" s="368">
        <f>IFERROR((INDEX(METADATA!$T$2:$T$20,MATCH(B3344,METADATA!$S$2:$S$20,0))),0)</f>
        <v>0</v>
      </c>
      <c r="E3344" s="312" t="str">
        <f t="shared" si="208"/>
        <v>LO</v>
      </c>
      <c r="F3344" s="369">
        <f>VLOOKUP(C3344,METADATA!$A$5:$H$29,IF(E3344="HI",2,IF(E3344="LO",6,10))+IF(D3344=1,2,IF(D3344=7,1,(IF(WEEKDAY(B3344)=1,2,IF(WEEKDAY(B3344)=7,1,0))))))</f>
        <v>3</v>
      </c>
      <c r="G3344" s="369">
        <f>VLOOKUP(C3344,METADATA!$J$5:$Q$29,IF(E3344="HI",2,IF(E3344="LO",6,10))+IF(D3344=1,2,IF(D3344=7,1,(IF(WEEKDAY(B3344)=1,2,IF(WEEKDAY(B3344)=7,1,0))))))</f>
        <v>3</v>
      </c>
      <c r="H3344" s="370">
        <v>2286.5550231933594</v>
      </c>
      <c r="I3344" s="370">
        <v>1079.5674743652344</v>
      </c>
      <c r="M3344" s="371">
        <f t="shared" si="209"/>
        <v>2528.5964102240823</v>
      </c>
      <c r="N3344" s="329">
        <f t="shared" si="210"/>
        <v>393.60096740722656</v>
      </c>
      <c r="T3344" s="331">
        <v>0</v>
      </c>
      <c r="U3344" s="328">
        <f>VLOOKUP(C3344,METADATA!$J$5:$Q$29,IF(E3344="HI",2,IF(E3344="LO",6,10))+IF(T3344=1,2,IF(D3344=7,1,(IF(WEEKDAY(B3344)=1,2,IF(WEEKDAY(B3344)=7,1,0))))))</f>
        <v>3</v>
      </c>
      <c r="V3344" s="328">
        <f>VLOOKUP(C3344,METADATA!$A$5:$H$29,IF(E3344="HI",2,IF(E3344="LO",6,10))+IF(T3344=1,2,IF(D3344=7,1,(IF(WEEKDAY(B3344)=1,2,IF(WEEKDAY(B3344)=7,1,0))))))</f>
        <v>3</v>
      </c>
    </row>
    <row r="3345" spans="2:22">
      <c r="B3345" s="318">
        <f t="shared" si="207"/>
        <v>46252</v>
      </c>
      <c r="C3345" s="312">
        <v>5</v>
      </c>
      <c r="D3345" s="368">
        <f>IFERROR((INDEX(METADATA!$T$2:$T$20,MATCH(B3345,METADATA!$S$2:$S$20,0))),0)</f>
        <v>0</v>
      </c>
      <c r="E3345" s="312" t="str">
        <f t="shared" si="208"/>
        <v>LO</v>
      </c>
      <c r="F3345" s="369">
        <f>VLOOKUP(C3345,METADATA!$A$5:$H$29,IF(E3345="HI",2,IF(E3345="LO",6,10))+IF(D3345=1,2,IF(D3345=7,1,(IF(WEEKDAY(B3345)=1,2,IF(WEEKDAY(B3345)=7,1,0))))))</f>
        <v>3</v>
      </c>
      <c r="G3345" s="369">
        <f>VLOOKUP(C3345,METADATA!$J$5:$Q$29,IF(E3345="HI",2,IF(E3345="LO",6,10))+IF(D3345=1,2,IF(D3345=7,1,(IF(WEEKDAY(B3345)=1,2,IF(WEEKDAY(B3345)=7,1,0))))))</f>
        <v>3</v>
      </c>
      <c r="H3345" s="370">
        <v>2386.1025085449219</v>
      </c>
      <c r="I3345" s="370">
        <v>1053.6500244140625</v>
      </c>
      <c r="M3345" s="371">
        <f t="shared" si="209"/>
        <v>2608.3833221426876</v>
      </c>
      <c r="N3345" s="329">
        <f t="shared" si="210"/>
        <v>337.81927185058601</v>
      </c>
      <c r="T3345" s="331">
        <v>0</v>
      </c>
      <c r="U3345" s="328">
        <f>VLOOKUP(C3345,METADATA!$J$5:$Q$29,IF(E3345="HI",2,IF(E3345="LO",6,10))+IF(T3345=1,2,IF(D3345=7,1,(IF(WEEKDAY(B3345)=1,2,IF(WEEKDAY(B3345)=7,1,0))))))</f>
        <v>3</v>
      </c>
      <c r="V3345" s="328">
        <f>VLOOKUP(C3345,METADATA!$A$5:$H$29,IF(E3345="HI",2,IF(E3345="LO",6,10))+IF(T3345=1,2,IF(D3345=7,1,(IF(WEEKDAY(B3345)=1,2,IF(WEEKDAY(B3345)=7,1,0))))))</f>
        <v>3</v>
      </c>
    </row>
    <row r="3346" spans="2:22">
      <c r="B3346" s="318">
        <f t="shared" si="207"/>
        <v>46252</v>
      </c>
      <c r="C3346" s="312">
        <v>6</v>
      </c>
      <c r="D3346" s="368">
        <f>IFERROR((INDEX(METADATA!$T$2:$T$20,MATCH(B3346,METADATA!$S$2:$S$20,0))),0)</f>
        <v>0</v>
      </c>
      <c r="E3346" s="312" t="str">
        <f t="shared" si="208"/>
        <v>LO</v>
      </c>
      <c r="F3346" s="369">
        <f>VLOOKUP(C3346,METADATA!$A$5:$H$29,IF(E3346="HI",2,IF(E3346="LO",6,10))+IF(D3346=1,2,IF(D3346=7,1,(IF(WEEKDAY(B3346)=1,2,IF(WEEKDAY(B3346)=7,1,0))))))</f>
        <v>2</v>
      </c>
      <c r="G3346" s="369">
        <f>VLOOKUP(C3346,METADATA!$J$5:$Q$29,IF(E3346="HI",2,IF(E3346="LO",6,10))+IF(D3346=1,2,IF(D3346=7,1,(IF(WEEKDAY(B3346)=1,2,IF(WEEKDAY(B3346)=7,1,0))))))</f>
        <v>2</v>
      </c>
      <c r="H3346" s="370">
        <v>2413.6325073242188</v>
      </c>
      <c r="I3346" s="370">
        <v>1078.6299743652344</v>
      </c>
      <c r="M3346" s="371">
        <f t="shared" si="209"/>
        <v>2643.6838884426675</v>
      </c>
      <c r="N3346" s="329">
        <f t="shared" si="210"/>
        <v>354.54022216796875</v>
      </c>
      <c r="T3346" s="331">
        <v>0</v>
      </c>
      <c r="U3346" s="328">
        <f>VLOOKUP(C3346,METADATA!$J$5:$Q$29,IF(E3346="HI",2,IF(E3346="LO",6,10))+IF(T3346=1,2,IF(D3346=7,1,(IF(WEEKDAY(B3346)=1,2,IF(WEEKDAY(B3346)=7,1,0))))))</f>
        <v>2</v>
      </c>
      <c r="V3346" s="328">
        <f>VLOOKUP(C3346,METADATA!$A$5:$H$29,IF(E3346="HI",2,IF(E3346="LO",6,10))+IF(T3346=1,2,IF(D3346=7,1,(IF(WEEKDAY(B3346)=1,2,IF(WEEKDAY(B3346)=7,1,0))))))</f>
        <v>2</v>
      </c>
    </row>
    <row r="3347" spans="2:22">
      <c r="B3347" s="318">
        <f t="shared" si="207"/>
        <v>46252</v>
      </c>
      <c r="C3347" s="312">
        <v>7</v>
      </c>
      <c r="D3347" s="368">
        <f>IFERROR((INDEX(METADATA!$T$2:$T$20,MATCH(B3347,METADATA!$S$2:$S$20,0))),0)</f>
        <v>0</v>
      </c>
      <c r="E3347" s="312" t="str">
        <f t="shared" si="208"/>
        <v>LO</v>
      </c>
      <c r="F3347" s="369">
        <f>VLOOKUP(C3347,METADATA!$A$5:$H$29,IF(E3347="HI",2,IF(E3347="LO",6,10))+IF(D3347=1,2,IF(D3347=7,1,(IF(WEEKDAY(B3347)=1,2,IF(WEEKDAY(B3347)=7,1,0))))))</f>
        <v>1</v>
      </c>
      <c r="G3347" s="369">
        <f>VLOOKUP(C3347,METADATA!$J$5:$Q$29,IF(E3347="HI",2,IF(E3347="LO",6,10))+IF(D3347=1,2,IF(D3347=7,1,(IF(WEEKDAY(B3347)=1,2,IF(WEEKDAY(B3347)=7,1,0))))))</f>
        <v>1</v>
      </c>
      <c r="H3347" s="370">
        <v>2260.9700012207031</v>
      </c>
      <c r="I3347" s="370">
        <v>1045.802490234375</v>
      </c>
      <c r="M3347" s="371">
        <f t="shared" si="209"/>
        <v>2491.1218747785838</v>
      </c>
      <c r="N3347" s="329">
        <f t="shared" si="210"/>
        <v>367.51148986816406</v>
      </c>
      <c r="T3347" s="331">
        <v>0</v>
      </c>
      <c r="U3347" s="328">
        <f>VLOOKUP(C3347,METADATA!$J$5:$Q$29,IF(E3347="HI",2,IF(E3347="LO",6,10))+IF(T3347=1,2,IF(D3347=7,1,(IF(WEEKDAY(B3347)=1,2,IF(WEEKDAY(B3347)=7,1,0))))))</f>
        <v>1</v>
      </c>
      <c r="V3347" s="328">
        <f>VLOOKUP(C3347,METADATA!$A$5:$H$29,IF(E3347="HI",2,IF(E3347="LO",6,10))+IF(T3347=1,2,IF(D3347=7,1,(IF(WEEKDAY(B3347)=1,2,IF(WEEKDAY(B3347)=7,1,0))))))</f>
        <v>1</v>
      </c>
    </row>
    <row r="3348" spans="2:22">
      <c r="B3348" s="318">
        <f t="shared" si="207"/>
        <v>46252</v>
      </c>
      <c r="C3348" s="312">
        <v>8</v>
      </c>
      <c r="D3348" s="368">
        <f>IFERROR((INDEX(METADATA!$T$2:$T$20,MATCH(B3348,METADATA!$S$2:$S$20,0))),0)</f>
        <v>0</v>
      </c>
      <c r="E3348" s="312" t="str">
        <f t="shared" si="208"/>
        <v>LO</v>
      </c>
      <c r="F3348" s="369">
        <f>VLOOKUP(C3348,METADATA!$A$5:$H$29,IF(E3348="HI",2,IF(E3348="LO",6,10))+IF(D3348=1,2,IF(D3348=7,1,(IF(WEEKDAY(B3348)=1,2,IF(WEEKDAY(B3348)=7,1,0))))))</f>
        <v>1</v>
      </c>
      <c r="G3348" s="369">
        <f>VLOOKUP(C3348,METADATA!$J$5:$Q$29,IF(E3348="HI",2,IF(E3348="LO",6,10))+IF(D3348=1,2,IF(D3348=7,1,(IF(WEEKDAY(B3348)=1,2,IF(WEEKDAY(B3348)=7,1,0))))))</f>
        <v>1</v>
      </c>
      <c r="H3348" s="370">
        <v>1560.8125152587891</v>
      </c>
      <c r="I3348" s="370">
        <v>729.79249572753906</v>
      </c>
      <c r="M3348" s="371">
        <f t="shared" si="209"/>
        <v>1723.0011011629381</v>
      </c>
      <c r="N3348" s="329">
        <f t="shared" si="210"/>
        <v>261.54874114990236</v>
      </c>
      <c r="T3348" s="331">
        <v>0</v>
      </c>
      <c r="U3348" s="328">
        <f>VLOOKUP(C3348,METADATA!$J$5:$Q$29,IF(E3348="HI",2,IF(E3348="LO",6,10))+IF(T3348=1,2,IF(D3348=7,1,(IF(WEEKDAY(B3348)=1,2,IF(WEEKDAY(B3348)=7,1,0))))))</f>
        <v>1</v>
      </c>
      <c r="V3348" s="328">
        <f>VLOOKUP(C3348,METADATA!$A$5:$H$29,IF(E3348="HI",2,IF(E3348="LO",6,10))+IF(T3348=1,2,IF(D3348=7,1,(IF(WEEKDAY(B3348)=1,2,IF(WEEKDAY(B3348)=7,1,0))))))</f>
        <v>1</v>
      </c>
    </row>
    <row r="3349" spans="2:22">
      <c r="B3349" s="318">
        <f t="shared" si="207"/>
        <v>46252</v>
      </c>
      <c r="C3349" s="312">
        <v>9</v>
      </c>
      <c r="D3349" s="368">
        <f>IFERROR((INDEX(METADATA!$T$2:$T$20,MATCH(B3349,METADATA!$S$2:$S$20,0))),0)</f>
        <v>0</v>
      </c>
      <c r="E3349" s="312" t="str">
        <f t="shared" si="208"/>
        <v>LO</v>
      </c>
      <c r="F3349" s="369">
        <f>VLOOKUP(C3349,METADATA!$A$5:$H$29,IF(E3349="HI",2,IF(E3349="LO",6,10))+IF(D3349=1,2,IF(D3349=7,1,(IF(WEEKDAY(B3349)=1,2,IF(WEEKDAY(B3349)=7,1,0))))))</f>
        <v>2</v>
      </c>
      <c r="G3349" s="369">
        <f>VLOOKUP(C3349,METADATA!$J$5:$Q$29,IF(E3349="HI",2,IF(E3349="LO",6,10))+IF(D3349=1,2,IF(D3349=7,1,(IF(WEEKDAY(B3349)=1,2,IF(WEEKDAY(B3349)=7,1,0))))))</f>
        <v>2</v>
      </c>
      <c r="H3349" s="370">
        <v>1586.2799835205078</v>
      </c>
      <c r="I3349" s="370">
        <v>757.44000244140625</v>
      </c>
      <c r="M3349" s="371">
        <f t="shared" si="209"/>
        <v>1757.8394532539824</v>
      </c>
      <c r="N3349" s="329">
        <f t="shared" si="210"/>
        <v>281.55600738525391</v>
      </c>
      <c r="T3349" s="331">
        <v>0</v>
      </c>
      <c r="U3349" s="328">
        <f>VLOOKUP(C3349,METADATA!$J$5:$Q$29,IF(E3349="HI",2,IF(E3349="LO",6,10))+IF(T3349=1,2,IF(D3349=7,1,(IF(WEEKDAY(B3349)=1,2,IF(WEEKDAY(B3349)=7,1,0))))))</f>
        <v>2</v>
      </c>
      <c r="V3349" s="328">
        <f>VLOOKUP(C3349,METADATA!$A$5:$H$29,IF(E3349="HI",2,IF(E3349="LO",6,10))+IF(T3349=1,2,IF(D3349=7,1,(IF(WEEKDAY(B3349)=1,2,IF(WEEKDAY(B3349)=7,1,0))))))</f>
        <v>2</v>
      </c>
    </row>
    <row r="3350" spans="2:22">
      <c r="B3350" s="318">
        <f t="shared" si="207"/>
        <v>46252</v>
      </c>
      <c r="C3350" s="312">
        <v>10</v>
      </c>
      <c r="D3350" s="368">
        <f>IFERROR((INDEX(METADATA!$T$2:$T$20,MATCH(B3350,METADATA!$S$2:$S$20,0))),0)</f>
        <v>0</v>
      </c>
      <c r="E3350" s="312" t="str">
        <f t="shared" si="208"/>
        <v>LO</v>
      </c>
      <c r="F3350" s="369">
        <f>VLOOKUP(C3350,METADATA!$A$5:$H$29,IF(E3350="HI",2,IF(E3350="LO",6,10))+IF(D3350=1,2,IF(D3350=7,1,(IF(WEEKDAY(B3350)=1,2,IF(WEEKDAY(B3350)=7,1,0))))))</f>
        <v>2</v>
      </c>
      <c r="G3350" s="369">
        <f>VLOOKUP(C3350,METADATA!$J$5:$Q$29,IF(E3350="HI",2,IF(E3350="LO",6,10))+IF(D3350=1,2,IF(D3350=7,1,(IF(WEEKDAY(B3350)=1,2,IF(WEEKDAY(B3350)=7,1,0))))))</f>
        <v>2</v>
      </c>
      <c r="H3350" s="370">
        <v>1997.1825103759766</v>
      </c>
      <c r="I3350" s="370">
        <v>877.3175048828125</v>
      </c>
      <c r="M3350" s="371">
        <f t="shared" si="209"/>
        <v>2181.3812101798007</v>
      </c>
      <c r="N3350" s="329">
        <f t="shared" si="210"/>
        <v>278.16275177001955</v>
      </c>
      <c r="T3350" s="331">
        <v>0</v>
      </c>
      <c r="U3350" s="328">
        <f>VLOOKUP(C3350,METADATA!$J$5:$Q$29,IF(E3350="HI",2,IF(E3350="LO",6,10))+IF(T3350=1,2,IF(D3350=7,1,(IF(WEEKDAY(B3350)=1,2,IF(WEEKDAY(B3350)=7,1,0))))))</f>
        <v>2</v>
      </c>
      <c r="V3350" s="328">
        <f>VLOOKUP(C3350,METADATA!$A$5:$H$29,IF(E3350="HI",2,IF(E3350="LO",6,10))+IF(T3350=1,2,IF(D3350=7,1,(IF(WEEKDAY(B3350)=1,2,IF(WEEKDAY(B3350)=7,1,0))))))</f>
        <v>2</v>
      </c>
    </row>
    <row r="3351" spans="2:22">
      <c r="B3351" s="318">
        <f t="shared" si="207"/>
        <v>46252</v>
      </c>
      <c r="C3351" s="312">
        <v>11</v>
      </c>
      <c r="D3351" s="368">
        <f>IFERROR((INDEX(METADATA!$T$2:$T$20,MATCH(B3351,METADATA!$S$2:$S$20,0))),0)</f>
        <v>0</v>
      </c>
      <c r="E3351" s="312" t="str">
        <f t="shared" si="208"/>
        <v>LO</v>
      </c>
      <c r="F3351" s="369">
        <f>VLOOKUP(C3351,METADATA!$A$5:$H$29,IF(E3351="HI",2,IF(E3351="LO",6,10))+IF(D3351=1,2,IF(D3351=7,1,(IF(WEEKDAY(B3351)=1,2,IF(WEEKDAY(B3351)=7,1,0))))))</f>
        <v>2</v>
      </c>
      <c r="G3351" s="369">
        <f>VLOOKUP(C3351,METADATA!$J$5:$Q$29,IF(E3351="HI",2,IF(E3351="LO",6,10))+IF(D3351=1,2,IF(D3351=7,1,(IF(WEEKDAY(B3351)=1,2,IF(WEEKDAY(B3351)=7,1,0))))))</f>
        <v>2</v>
      </c>
      <c r="H3351" s="370">
        <v>1947.9849853515625</v>
      </c>
      <c r="I3351" s="370">
        <v>883.00749206542969</v>
      </c>
      <c r="M3351" s="371">
        <f t="shared" si="209"/>
        <v>2138.7724830375969</v>
      </c>
      <c r="N3351" s="329">
        <f t="shared" si="210"/>
        <v>298.61199645996101</v>
      </c>
      <c r="T3351" s="331">
        <v>0</v>
      </c>
      <c r="U3351" s="328">
        <f>VLOOKUP(C3351,METADATA!$J$5:$Q$29,IF(E3351="HI",2,IF(E3351="LO",6,10))+IF(T3351=1,2,IF(D3351=7,1,(IF(WEEKDAY(B3351)=1,2,IF(WEEKDAY(B3351)=7,1,0))))))</f>
        <v>2</v>
      </c>
      <c r="V3351" s="328">
        <f>VLOOKUP(C3351,METADATA!$A$5:$H$29,IF(E3351="HI",2,IF(E3351="LO",6,10))+IF(T3351=1,2,IF(D3351=7,1,(IF(WEEKDAY(B3351)=1,2,IF(WEEKDAY(B3351)=7,1,0))))))</f>
        <v>2</v>
      </c>
    </row>
    <row r="3352" spans="2:22">
      <c r="B3352" s="318">
        <f t="shared" si="207"/>
        <v>46252</v>
      </c>
      <c r="C3352" s="312">
        <v>12</v>
      </c>
      <c r="D3352" s="368">
        <f>IFERROR((INDEX(METADATA!$T$2:$T$20,MATCH(B3352,METADATA!$S$2:$S$20,0))),0)</f>
        <v>0</v>
      </c>
      <c r="E3352" s="312" t="str">
        <f t="shared" si="208"/>
        <v>LO</v>
      </c>
      <c r="F3352" s="369">
        <f>VLOOKUP(C3352,METADATA!$A$5:$H$29,IF(E3352="HI",2,IF(E3352="LO",6,10))+IF(D3352=1,2,IF(D3352=7,1,(IF(WEEKDAY(B3352)=1,2,IF(WEEKDAY(B3352)=7,1,0))))))</f>
        <v>2</v>
      </c>
      <c r="G3352" s="369">
        <f>VLOOKUP(C3352,METADATA!$J$5:$Q$29,IF(E3352="HI",2,IF(E3352="LO",6,10))+IF(D3352=1,2,IF(D3352=7,1,(IF(WEEKDAY(B3352)=1,2,IF(WEEKDAY(B3352)=7,1,0))))))</f>
        <v>2</v>
      </c>
      <c r="H3352" s="370">
        <v>1928.9774475097656</v>
      </c>
      <c r="I3352" s="370">
        <v>896.25750732421875</v>
      </c>
      <c r="M3352" s="371">
        <f t="shared" si="209"/>
        <v>2127.0240977563731</v>
      </c>
      <c r="N3352" s="329">
        <f t="shared" si="210"/>
        <v>317.56427307128911</v>
      </c>
      <c r="T3352" s="331">
        <v>0</v>
      </c>
      <c r="U3352" s="328">
        <f>VLOOKUP(C3352,METADATA!$J$5:$Q$29,IF(E3352="HI",2,IF(E3352="LO",6,10))+IF(T3352=1,2,IF(D3352=7,1,(IF(WEEKDAY(B3352)=1,2,IF(WEEKDAY(B3352)=7,1,0))))))</f>
        <v>2</v>
      </c>
      <c r="V3352" s="328">
        <f>VLOOKUP(C3352,METADATA!$A$5:$H$29,IF(E3352="HI",2,IF(E3352="LO",6,10))+IF(T3352=1,2,IF(D3352=7,1,(IF(WEEKDAY(B3352)=1,2,IF(WEEKDAY(B3352)=7,1,0))))))</f>
        <v>2</v>
      </c>
    </row>
    <row r="3353" spans="2:22">
      <c r="B3353" s="318">
        <f t="shared" si="207"/>
        <v>46252</v>
      </c>
      <c r="C3353" s="312">
        <v>13</v>
      </c>
      <c r="D3353" s="368">
        <f>IFERROR((INDEX(METADATA!$T$2:$T$20,MATCH(B3353,METADATA!$S$2:$S$20,0))),0)</f>
        <v>0</v>
      </c>
      <c r="E3353" s="312" t="str">
        <f t="shared" si="208"/>
        <v>LO</v>
      </c>
      <c r="F3353" s="369">
        <f>VLOOKUP(C3353,METADATA!$A$5:$H$29,IF(E3353="HI",2,IF(E3353="LO",6,10))+IF(D3353=1,2,IF(D3353=7,1,(IF(WEEKDAY(B3353)=1,2,IF(WEEKDAY(B3353)=7,1,0))))))</f>
        <v>2</v>
      </c>
      <c r="G3353" s="369">
        <f>VLOOKUP(C3353,METADATA!$J$5:$Q$29,IF(E3353="HI",2,IF(E3353="LO",6,10))+IF(D3353=1,2,IF(D3353=7,1,(IF(WEEKDAY(B3353)=1,2,IF(WEEKDAY(B3353)=7,1,0))))))</f>
        <v>2</v>
      </c>
      <c r="H3353" s="370">
        <v>1941.0474548339844</v>
      </c>
      <c r="I3353" s="370">
        <v>933.83999633789063</v>
      </c>
      <c r="M3353" s="371">
        <f t="shared" si="209"/>
        <v>2154.0014764799585</v>
      </c>
      <c r="N3353" s="329">
        <f t="shared" si="210"/>
        <v>351.52575988769536</v>
      </c>
      <c r="T3353" s="331">
        <v>0</v>
      </c>
      <c r="U3353" s="328">
        <f>VLOOKUP(C3353,METADATA!$J$5:$Q$29,IF(E3353="HI",2,IF(E3353="LO",6,10))+IF(T3353=1,2,IF(D3353=7,1,(IF(WEEKDAY(B3353)=1,2,IF(WEEKDAY(B3353)=7,1,0))))))</f>
        <v>2</v>
      </c>
      <c r="V3353" s="328">
        <f>VLOOKUP(C3353,METADATA!$A$5:$H$29,IF(E3353="HI",2,IF(E3353="LO",6,10))+IF(T3353=1,2,IF(D3353=7,1,(IF(WEEKDAY(B3353)=1,2,IF(WEEKDAY(B3353)=7,1,0))))))</f>
        <v>2</v>
      </c>
    </row>
    <row r="3354" spans="2:22">
      <c r="B3354" s="318">
        <f t="shared" si="207"/>
        <v>46252</v>
      </c>
      <c r="C3354" s="312">
        <v>14</v>
      </c>
      <c r="D3354" s="368">
        <f>IFERROR((INDEX(METADATA!$T$2:$T$20,MATCH(B3354,METADATA!$S$2:$S$20,0))),0)</f>
        <v>0</v>
      </c>
      <c r="E3354" s="312" t="str">
        <f t="shared" si="208"/>
        <v>LO</v>
      </c>
      <c r="F3354" s="369">
        <f>VLOOKUP(C3354,METADATA!$A$5:$H$29,IF(E3354="HI",2,IF(E3354="LO",6,10))+IF(D3354=1,2,IF(D3354=7,1,(IF(WEEKDAY(B3354)=1,2,IF(WEEKDAY(B3354)=7,1,0))))))</f>
        <v>2</v>
      </c>
      <c r="G3354" s="369">
        <f>VLOOKUP(C3354,METADATA!$J$5:$Q$29,IF(E3354="HI",2,IF(E3354="LO",6,10))+IF(D3354=1,2,IF(D3354=7,1,(IF(WEEKDAY(B3354)=1,2,IF(WEEKDAY(B3354)=7,1,0))))))</f>
        <v>2</v>
      </c>
      <c r="H3354" s="370">
        <v>1767.4075164794922</v>
      </c>
      <c r="I3354" s="370">
        <v>888.98248291015625</v>
      </c>
      <c r="M3354" s="371">
        <f t="shared" si="209"/>
        <v>1978.3880267099557</v>
      </c>
      <c r="N3354" s="329">
        <f t="shared" si="210"/>
        <v>358.76022796630866</v>
      </c>
      <c r="T3354" s="331">
        <v>0</v>
      </c>
      <c r="U3354" s="328">
        <f>VLOOKUP(C3354,METADATA!$J$5:$Q$29,IF(E3354="HI",2,IF(E3354="LO",6,10))+IF(T3354=1,2,IF(D3354=7,1,(IF(WEEKDAY(B3354)=1,2,IF(WEEKDAY(B3354)=7,1,0))))))</f>
        <v>2</v>
      </c>
      <c r="V3354" s="328">
        <f>VLOOKUP(C3354,METADATA!$A$5:$H$29,IF(E3354="HI",2,IF(E3354="LO",6,10))+IF(T3354=1,2,IF(D3354=7,1,(IF(WEEKDAY(B3354)=1,2,IF(WEEKDAY(B3354)=7,1,0))))))</f>
        <v>2</v>
      </c>
    </row>
    <row r="3355" spans="2:22">
      <c r="B3355" s="318">
        <f t="shared" si="207"/>
        <v>46252</v>
      </c>
      <c r="C3355" s="312">
        <v>15</v>
      </c>
      <c r="D3355" s="368">
        <f>IFERROR((INDEX(METADATA!$T$2:$T$20,MATCH(B3355,METADATA!$S$2:$S$20,0))),0)</f>
        <v>0</v>
      </c>
      <c r="E3355" s="312" t="str">
        <f t="shared" si="208"/>
        <v>LO</v>
      </c>
      <c r="F3355" s="369">
        <f>VLOOKUP(C3355,METADATA!$A$5:$H$29,IF(E3355="HI",2,IF(E3355="LO",6,10))+IF(D3355=1,2,IF(D3355=7,1,(IF(WEEKDAY(B3355)=1,2,IF(WEEKDAY(B3355)=7,1,0))))))</f>
        <v>2</v>
      </c>
      <c r="G3355" s="369">
        <f>VLOOKUP(C3355,METADATA!$J$5:$Q$29,IF(E3355="HI",2,IF(E3355="LO",6,10))+IF(D3355=1,2,IF(D3355=7,1,(IF(WEEKDAY(B3355)=1,2,IF(WEEKDAY(B3355)=7,1,0))))))</f>
        <v>2</v>
      </c>
      <c r="H3355" s="370">
        <v>1602</v>
      </c>
      <c r="I3355" s="370">
        <v>727.41749572753906</v>
      </c>
      <c r="M3355" s="371">
        <f t="shared" si="209"/>
        <v>1759.4147359535568</v>
      </c>
      <c r="N3355" s="329">
        <f t="shared" si="210"/>
        <v>246.8174957275391</v>
      </c>
      <c r="T3355" s="331">
        <v>0</v>
      </c>
      <c r="U3355" s="328">
        <f>VLOOKUP(C3355,METADATA!$J$5:$Q$29,IF(E3355="HI",2,IF(E3355="LO",6,10))+IF(T3355=1,2,IF(D3355=7,1,(IF(WEEKDAY(B3355)=1,2,IF(WEEKDAY(B3355)=7,1,0))))))</f>
        <v>2</v>
      </c>
      <c r="V3355" s="328">
        <f>VLOOKUP(C3355,METADATA!$A$5:$H$29,IF(E3355="HI",2,IF(E3355="LO",6,10))+IF(T3355=1,2,IF(D3355=7,1,(IF(WEEKDAY(B3355)=1,2,IF(WEEKDAY(B3355)=7,1,0))))))</f>
        <v>2</v>
      </c>
    </row>
    <row r="3356" spans="2:22">
      <c r="B3356" s="318">
        <f t="shared" ref="B3356:B3419" si="211">B3332+1</f>
        <v>46252</v>
      </c>
      <c r="C3356" s="312">
        <v>16</v>
      </c>
      <c r="D3356" s="368">
        <f>IFERROR((INDEX(METADATA!$T$2:$T$20,MATCH(B3356,METADATA!$S$2:$S$20,0))),0)</f>
        <v>0</v>
      </c>
      <c r="E3356" s="312" t="str">
        <f t="shared" si="208"/>
        <v>LO</v>
      </c>
      <c r="F3356" s="369">
        <f>VLOOKUP(C3356,METADATA!$A$5:$H$29,IF(E3356="HI",2,IF(E3356="LO",6,10))+IF(D3356=1,2,IF(D3356=7,1,(IF(WEEKDAY(B3356)=1,2,IF(WEEKDAY(B3356)=7,1,0))))))</f>
        <v>2</v>
      </c>
      <c r="G3356" s="369">
        <f>VLOOKUP(C3356,METADATA!$J$5:$Q$29,IF(E3356="HI",2,IF(E3356="LO",6,10))+IF(D3356=1,2,IF(D3356=7,1,(IF(WEEKDAY(B3356)=1,2,IF(WEEKDAY(B3356)=7,1,0))))))</f>
        <v>2</v>
      </c>
      <c r="H3356" s="370">
        <v>1623.0950317382813</v>
      </c>
      <c r="I3356" s="370">
        <v>711.28752136230469</v>
      </c>
      <c r="M3356" s="371">
        <f t="shared" si="209"/>
        <v>1772.1081852130876</v>
      </c>
      <c r="N3356" s="329">
        <f t="shared" si="210"/>
        <v>224.35901184082036</v>
      </c>
      <c r="T3356" s="331">
        <v>0</v>
      </c>
      <c r="U3356" s="328">
        <f>VLOOKUP(C3356,METADATA!$J$5:$Q$29,IF(E3356="HI",2,IF(E3356="LO",6,10))+IF(T3356=1,2,IF(D3356=7,1,(IF(WEEKDAY(B3356)=1,2,IF(WEEKDAY(B3356)=7,1,0))))))</f>
        <v>2</v>
      </c>
      <c r="V3356" s="328">
        <f>VLOOKUP(C3356,METADATA!$A$5:$H$29,IF(E3356="HI",2,IF(E3356="LO",6,10))+IF(T3356=1,2,IF(D3356=7,1,(IF(WEEKDAY(B3356)=1,2,IF(WEEKDAY(B3356)=7,1,0))))))</f>
        <v>2</v>
      </c>
    </row>
    <row r="3357" spans="2:22">
      <c r="B3357" s="318">
        <f t="shared" si="211"/>
        <v>46252</v>
      </c>
      <c r="C3357" s="312">
        <v>17</v>
      </c>
      <c r="D3357" s="368">
        <f>IFERROR((INDEX(METADATA!$T$2:$T$20,MATCH(B3357,METADATA!$S$2:$S$20,0))),0)</f>
        <v>0</v>
      </c>
      <c r="E3357" s="312" t="str">
        <f t="shared" si="208"/>
        <v>LO</v>
      </c>
      <c r="F3357" s="369">
        <f>VLOOKUP(C3357,METADATA!$A$5:$H$29,IF(E3357="HI",2,IF(E3357="LO",6,10))+IF(D3357=1,2,IF(D3357=7,1,(IF(WEEKDAY(B3357)=1,2,IF(WEEKDAY(B3357)=7,1,0))))))</f>
        <v>2</v>
      </c>
      <c r="G3357" s="369">
        <f>VLOOKUP(C3357,METADATA!$J$5:$Q$29,IF(E3357="HI",2,IF(E3357="LO",6,10))+IF(D3357=1,2,IF(D3357=7,1,(IF(WEEKDAY(B3357)=1,2,IF(WEEKDAY(B3357)=7,1,0))))))</f>
        <v>2</v>
      </c>
      <c r="H3357" s="370">
        <v>1087.3700103759766</v>
      </c>
      <c r="I3357" s="370">
        <v>509.61500549316406</v>
      </c>
      <c r="M3357" s="371">
        <f t="shared" si="209"/>
        <v>1200.8667675012282</v>
      </c>
      <c r="N3357" s="329">
        <f t="shared" si="210"/>
        <v>183.40400238037108</v>
      </c>
      <c r="T3357" s="331">
        <v>0</v>
      </c>
      <c r="U3357" s="328">
        <f>VLOOKUP(C3357,METADATA!$J$5:$Q$29,IF(E3357="HI",2,IF(E3357="LO",6,10))+IF(T3357=1,2,IF(D3357=7,1,(IF(WEEKDAY(B3357)=1,2,IF(WEEKDAY(B3357)=7,1,0))))))</f>
        <v>2</v>
      </c>
      <c r="V3357" s="328">
        <f>VLOOKUP(C3357,METADATA!$A$5:$H$29,IF(E3357="HI",2,IF(E3357="LO",6,10))+IF(T3357=1,2,IF(D3357=7,1,(IF(WEEKDAY(B3357)=1,2,IF(WEEKDAY(B3357)=7,1,0))))))</f>
        <v>2</v>
      </c>
    </row>
    <row r="3358" spans="2:22">
      <c r="B3358" s="318">
        <f t="shared" si="211"/>
        <v>46252</v>
      </c>
      <c r="C3358" s="312">
        <v>18</v>
      </c>
      <c r="D3358" s="368">
        <f>IFERROR((INDEX(METADATA!$T$2:$T$20,MATCH(B3358,METADATA!$S$2:$S$20,0))),0)</f>
        <v>0</v>
      </c>
      <c r="E3358" s="312" t="str">
        <f t="shared" si="208"/>
        <v>LO</v>
      </c>
      <c r="F3358" s="369">
        <f>VLOOKUP(C3358,METADATA!$A$5:$H$29,IF(E3358="HI",2,IF(E3358="LO",6,10))+IF(D3358=1,2,IF(D3358=7,1,(IF(WEEKDAY(B3358)=1,2,IF(WEEKDAY(B3358)=7,1,0))))))</f>
        <v>1</v>
      </c>
      <c r="G3358" s="369">
        <f>VLOOKUP(C3358,METADATA!$J$5:$Q$29,IF(E3358="HI",2,IF(E3358="LO",6,10))+IF(D3358=1,2,IF(D3358=7,1,(IF(WEEKDAY(B3358)=1,2,IF(WEEKDAY(B3358)=7,1,0))))))</f>
        <v>1</v>
      </c>
      <c r="H3358" s="370">
        <v>1457.8775024414063</v>
      </c>
      <c r="I3358" s="370">
        <v>789.40748596191406</v>
      </c>
      <c r="M3358" s="371">
        <f t="shared" si="209"/>
        <v>1657.8814767701283</v>
      </c>
      <c r="N3358" s="329">
        <f t="shared" si="210"/>
        <v>352.04423522949219</v>
      </c>
      <c r="T3358" s="331">
        <v>0</v>
      </c>
      <c r="U3358" s="328">
        <f>VLOOKUP(C3358,METADATA!$J$5:$Q$29,IF(E3358="HI",2,IF(E3358="LO",6,10))+IF(T3358=1,2,IF(D3358=7,1,(IF(WEEKDAY(B3358)=1,2,IF(WEEKDAY(B3358)=7,1,0))))))</f>
        <v>1</v>
      </c>
      <c r="V3358" s="328">
        <f>VLOOKUP(C3358,METADATA!$A$5:$H$29,IF(E3358="HI",2,IF(E3358="LO",6,10))+IF(T3358=1,2,IF(D3358=7,1,(IF(WEEKDAY(B3358)=1,2,IF(WEEKDAY(B3358)=7,1,0))))))</f>
        <v>1</v>
      </c>
    </row>
    <row r="3359" spans="2:22">
      <c r="B3359" s="318">
        <f t="shared" si="211"/>
        <v>46252</v>
      </c>
      <c r="C3359" s="312">
        <v>19</v>
      </c>
      <c r="D3359" s="368">
        <f>IFERROR((INDEX(METADATA!$T$2:$T$20,MATCH(B3359,METADATA!$S$2:$S$20,0))),0)</f>
        <v>0</v>
      </c>
      <c r="E3359" s="312" t="str">
        <f t="shared" si="208"/>
        <v>LO</v>
      </c>
      <c r="F3359" s="369">
        <f>VLOOKUP(C3359,METADATA!$A$5:$H$29,IF(E3359="HI",2,IF(E3359="LO",6,10))+IF(D3359=1,2,IF(D3359=7,1,(IF(WEEKDAY(B3359)=1,2,IF(WEEKDAY(B3359)=7,1,0))))))</f>
        <v>1</v>
      </c>
      <c r="G3359" s="369">
        <f>VLOOKUP(C3359,METADATA!$J$5:$Q$29,IF(E3359="HI",2,IF(E3359="LO",6,10))+IF(D3359=1,2,IF(D3359=7,1,(IF(WEEKDAY(B3359)=1,2,IF(WEEKDAY(B3359)=7,1,0))))))</f>
        <v>1</v>
      </c>
      <c r="H3359" s="370">
        <v>1595.9774780273438</v>
      </c>
      <c r="I3359" s="370">
        <v>962.13749694824219</v>
      </c>
      <c r="M3359" s="371">
        <f t="shared" si="209"/>
        <v>1863.5591413755424</v>
      </c>
      <c r="N3359" s="329">
        <f t="shared" si="210"/>
        <v>483.34425354003906</v>
      </c>
      <c r="T3359" s="331">
        <v>0</v>
      </c>
      <c r="U3359" s="328">
        <f>VLOOKUP(C3359,METADATA!$J$5:$Q$29,IF(E3359="HI",2,IF(E3359="LO",6,10))+IF(T3359=1,2,IF(D3359=7,1,(IF(WEEKDAY(B3359)=1,2,IF(WEEKDAY(B3359)=7,1,0))))))</f>
        <v>1</v>
      </c>
      <c r="V3359" s="328">
        <f>VLOOKUP(C3359,METADATA!$A$5:$H$29,IF(E3359="HI",2,IF(E3359="LO",6,10))+IF(T3359=1,2,IF(D3359=7,1,(IF(WEEKDAY(B3359)=1,2,IF(WEEKDAY(B3359)=7,1,0))))))</f>
        <v>1</v>
      </c>
    </row>
    <row r="3360" spans="2:22">
      <c r="B3360" s="318">
        <f t="shared" si="211"/>
        <v>46252</v>
      </c>
      <c r="C3360" s="312">
        <v>20</v>
      </c>
      <c r="D3360" s="368">
        <f>IFERROR((INDEX(METADATA!$T$2:$T$20,MATCH(B3360,METADATA!$S$2:$S$20,0))),0)</f>
        <v>0</v>
      </c>
      <c r="E3360" s="312" t="str">
        <f t="shared" si="208"/>
        <v>LO</v>
      </c>
      <c r="F3360" s="369">
        <f>VLOOKUP(C3360,METADATA!$A$5:$H$29,IF(E3360="HI",2,IF(E3360="LO",6,10))+IF(D3360=1,2,IF(D3360=7,1,(IF(WEEKDAY(B3360)=1,2,IF(WEEKDAY(B3360)=7,1,0))))))</f>
        <v>1</v>
      </c>
      <c r="G3360" s="369">
        <f>VLOOKUP(C3360,METADATA!$J$5:$Q$29,IF(E3360="HI",2,IF(E3360="LO",6,10))+IF(D3360=1,2,IF(D3360=7,1,(IF(WEEKDAY(B3360)=1,2,IF(WEEKDAY(B3360)=7,1,0))))))</f>
        <v>1</v>
      </c>
      <c r="H3360" s="370">
        <v>1778.1825103759766</v>
      </c>
      <c r="I3360" s="370">
        <v>1086.9825134277344</v>
      </c>
      <c r="M3360" s="371">
        <f t="shared" si="209"/>
        <v>2084.0978923036905</v>
      </c>
      <c r="N3360" s="329">
        <f t="shared" si="210"/>
        <v>553.52776031494147</v>
      </c>
      <c r="T3360" s="331">
        <v>0</v>
      </c>
      <c r="U3360" s="328">
        <f>VLOOKUP(C3360,METADATA!$J$5:$Q$29,IF(E3360="HI",2,IF(E3360="LO",6,10))+IF(T3360=1,2,IF(D3360=7,1,(IF(WEEKDAY(B3360)=1,2,IF(WEEKDAY(B3360)=7,1,0))))))</f>
        <v>1</v>
      </c>
      <c r="V3360" s="328">
        <f>VLOOKUP(C3360,METADATA!$A$5:$H$29,IF(E3360="HI",2,IF(E3360="LO",6,10))+IF(T3360=1,2,IF(D3360=7,1,(IF(WEEKDAY(B3360)=1,2,IF(WEEKDAY(B3360)=7,1,0))))))</f>
        <v>1</v>
      </c>
    </row>
    <row r="3361" spans="2:22">
      <c r="B3361" s="318">
        <f t="shared" si="211"/>
        <v>46252</v>
      </c>
      <c r="C3361" s="312">
        <v>21</v>
      </c>
      <c r="D3361" s="368">
        <f>IFERROR((INDEX(METADATA!$T$2:$T$20,MATCH(B3361,METADATA!$S$2:$S$20,0))),0)</f>
        <v>0</v>
      </c>
      <c r="E3361" s="312" t="str">
        <f t="shared" si="208"/>
        <v>LO</v>
      </c>
      <c r="F3361" s="369">
        <f>VLOOKUP(C3361,METADATA!$A$5:$H$29,IF(E3361="HI",2,IF(E3361="LO",6,10))+IF(D3361=1,2,IF(D3361=7,1,(IF(WEEKDAY(B3361)=1,2,IF(WEEKDAY(B3361)=7,1,0))))))</f>
        <v>2</v>
      </c>
      <c r="G3361" s="369">
        <f>VLOOKUP(C3361,METADATA!$J$5:$Q$29,IF(E3361="HI",2,IF(E3361="LO",6,10))+IF(D3361=1,2,IF(D3361=7,1,(IF(WEEKDAY(B3361)=1,2,IF(WEEKDAY(B3361)=7,1,0))))))</f>
        <v>2</v>
      </c>
      <c r="H3361" s="370">
        <v>1873.0799713134766</v>
      </c>
      <c r="I3361" s="370">
        <v>1119.2400512695313</v>
      </c>
      <c r="M3361" s="371">
        <f t="shared" si="209"/>
        <v>2182.0006579516689</v>
      </c>
      <c r="N3361" s="329">
        <f t="shared" si="210"/>
        <v>557.31605987548835</v>
      </c>
      <c r="T3361" s="331">
        <v>0</v>
      </c>
      <c r="U3361" s="328">
        <f>VLOOKUP(C3361,METADATA!$J$5:$Q$29,IF(E3361="HI",2,IF(E3361="LO",6,10))+IF(T3361=1,2,IF(D3361=7,1,(IF(WEEKDAY(B3361)=1,2,IF(WEEKDAY(B3361)=7,1,0))))))</f>
        <v>2</v>
      </c>
      <c r="V3361" s="328">
        <f>VLOOKUP(C3361,METADATA!$A$5:$H$29,IF(E3361="HI",2,IF(E3361="LO",6,10))+IF(T3361=1,2,IF(D3361=7,1,(IF(WEEKDAY(B3361)=1,2,IF(WEEKDAY(B3361)=7,1,0))))))</f>
        <v>2</v>
      </c>
    </row>
    <row r="3362" spans="2:22">
      <c r="B3362" s="318">
        <f t="shared" si="211"/>
        <v>46252</v>
      </c>
      <c r="C3362" s="312">
        <v>22</v>
      </c>
      <c r="D3362" s="368">
        <f>IFERROR((INDEX(METADATA!$T$2:$T$20,MATCH(B3362,METADATA!$S$2:$S$20,0))),0)</f>
        <v>0</v>
      </c>
      <c r="E3362" s="312" t="str">
        <f t="shared" si="208"/>
        <v>LO</v>
      </c>
      <c r="F3362" s="369">
        <f>VLOOKUP(C3362,METADATA!$A$5:$H$29,IF(E3362="HI",2,IF(E3362="LO",6,10))+IF(D3362=1,2,IF(D3362=7,1,(IF(WEEKDAY(B3362)=1,2,IF(WEEKDAY(B3362)=7,1,0))))))</f>
        <v>3</v>
      </c>
      <c r="G3362" s="369">
        <f>VLOOKUP(C3362,METADATA!$J$5:$Q$29,IF(E3362="HI",2,IF(E3362="LO",6,10))+IF(D3362=1,2,IF(D3362=7,1,(IF(WEEKDAY(B3362)=1,2,IF(WEEKDAY(B3362)=7,1,0))))))</f>
        <v>3</v>
      </c>
      <c r="H3362" s="370">
        <v>1823.4249725341797</v>
      </c>
      <c r="I3362" s="370">
        <v>1096.2724609375</v>
      </c>
      <c r="M3362" s="371">
        <f t="shared" si="209"/>
        <v>2127.6023921473757</v>
      </c>
      <c r="N3362" s="329">
        <f t="shared" si="210"/>
        <v>549.24496917724616</v>
      </c>
      <c r="T3362" s="331">
        <v>0</v>
      </c>
      <c r="U3362" s="328">
        <f>VLOOKUP(C3362,METADATA!$J$5:$Q$29,IF(E3362="HI",2,IF(E3362="LO",6,10))+IF(T3362=1,2,IF(D3362=7,1,(IF(WEEKDAY(B3362)=1,2,IF(WEEKDAY(B3362)=7,1,0))))))</f>
        <v>3</v>
      </c>
      <c r="V3362" s="328">
        <f>VLOOKUP(C3362,METADATA!$A$5:$H$29,IF(E3362="HI",2,IF(E3362="LO",6,10))+IF(T3362=1,2,IF(D3362=7,1,(IF(WEEKDAY(B3362)=1,2,IF(WEEKDAY(B3362)=7,1,0))))))</f>
        <v>3</v>
      </c>
    </row>
    <row r="3363" spans="2:22">
      <c r="B3363" s="318">
        <f t="shared" si="211"/>
        <v>46252</v>
      </c>
      <c r="C3363" s="312">
        <v>23</v>
      </c>
      <c r="D3363" s="368">
        <f>IFERROR((INDEX(METADATA!$T$2:$T$20,MATCH(B3363,METADATA!$S$2:$S$20,0))),0)</f>
        <v>0</v>
      </c>
      <c r="E3363" s="312" t="str">
        <f t="shared" si="208"/>
        <v>LO</v>
      </c>
      <c r="F3363" s="369">
        <f>VLOOKUP(C3363,METADATA!$A$5:$H$29,IF(E3363="HI",2,IF(E3363="LO",6,10))+IF(D3363=1,2,IF(D3363=7,1,(IF(WEEKDAY(B3363)=1,2,IF(WEEKDAY(B3363)=7,1,0))))))</f>
        <v>3</v>
      </c>
      <c r="G3363" s="369">
        <f>VLOOKUP(C3363,METADATA!$J$5:$Q$29,IF(E3363="HI",2,IF(E3363="LO",6,10))+IF(D3363=1,2,IF(D3363=7,1,(IF(WEEKDAY(B3363)=1,2,IF(WEEKDAY(B3363)=7,1,0))))))</f>
        <v>3</v>
      </c>
      <c r="H3363" s="370">
        <v>2019.4100036621094</v>
      </c>
      <c r="I3363" s="370">
        <v>1064.3074951171875</v>
      </c>
      <c r="M3363" s="371">
        <f t="shared" si="209"/>
        <v>2282.7104956724634</v>
      </c>
      <c r="N3363" s="329">
        <f t="shared" si="210"/>
        <v>458.48449401855476</v>
      </c>
      <c r="T3363" s="331">
        <v>0</v>
      </c>
      <c r="U3363" s="328">
        <f>VLOOKUP(C3363,METADATA!$J$5:$Q$29,IF(E3363="HI",2,IF(E3363="LO",6,10))+IF(T3363=1,2,IF(D3363=7,1,(IF(WEEKDAY(B3363)=1,2,IF(WEEKDAY(B3363)=7,1,0))))))</f>
        <v>3</v>
      </c>
      <c r="V3363" s="328">
        <f>VLOOKUP(C3363,METADATA!$A$5:$H$29,IF(E3363="HI",2,IF(E3363="LO",6,10))+IF(T3363=1,2,IF(D3363=7,1,(IF(WEEKDAY(B3363)=1,2,IF(WEEKDAY(B3363)=7,1,0))))))</f>
        <v>3</v>
      </c>
    </row>
    <row r="3364" spans="2:22">
      <c r="B3364" s="318">
        <f t="shared" si="211"/>
        <v>46253</v>
      </c>
      <c r="C3364" s="312">
        <v>0</v>
      </c>
      <c r="D3364" s="368">
        <f>IFERROR((INDEX(METADATA!$T$2:$T$20,MATCH(B3364,METADATA!$S$2:$S$20,0))),0)</f>
        <v>0</v>
      </c>
      <c r="E3364" s="312" t="str">
        <f t="shared" si="208"/>
        <v>LO</v>
      </c>
      <c r="F3364" s="369">
        <f>VLOOKUP(C3364,METADATA!$A$5:$H$29,IF(E3364="HI",2,IF(E3364="LO",6,10))+IF(D3364=1,2,IF(D3364=7,1,(IF(WEEKDAY(B3364)=1,2,IF(WEEKDAY(B3364)=7,1,0))))))</f>
        <v>3</v>
      </c>
      <c r="G3364" s="369">
        <f>VLOOKUP(C3364,METADATA!$J$5:$Q$29,IF(E3364="HI",2,IF(E3364="LO",6,10))+IF(D3364=1,2,IF(D3364=7,1,(IF(WEEKDAY(B3364)=1,2,IF(WEEKDAY(B3364)=7,1,0))))))</f>
        <v>3</v>
      </c>
      <c r="H3364" s="370">
        <v>2386.0550537109375</v>
      </c>
      <c r="I3364" s="370">
        <v>1089.3599853515625</v>
      </c>
      <c r="M3364" s="371">
        <f t="shared" si="209"/>
        <v>2622.9685276466171</v>
      </c>
      <c r="N3364" s="329">
        <f t="shared" si="210"/>
        <v>373.54346923828132</v>
      </c>
      <c r="T3364" s="331">
        <v>0</v>
      </c>
      <c r="U3364" s="328">
        <f>VLOOKUP(C3364,METADATA!$J$5:$Q$29,IF(E3364="HI",2,IF(E3364="LO",6,10))+IF(T3364=1,2,IF(D3364=7,1,(IF(WEEKDAY(B3364)=1,2,IF(WEEKDAY(B3364)=7,1,0))))))</f>
        <v>3</v>
      </c>
      <c r="V3364" s="328">
        <f>VLOOKUP(C3364,METADATA!$A$5:$H$29,IF(E3364="HI",2,IF(E3364="LO",6,10))+IF(T3364=1,2,IF(D3364=7,1,(IF(WEEKDAY(B3364)=1,2,IF(WEEKDAY(B3364)=7,1,0))))))</f>
        <v>3</v>
      </c>
    </row>
    <row r="3365" spans="2:22">
      <c r="B3365" s="318">
        <f t="shared" si="211"/>
        <v>46253</v>
      </c>
      <c r="C3365" s="312">
        <v>1</v>
      </c>
      <c r="D3365" s="368">
        <f>IFERROR((INDEX(METADATA!$T$2:$T$20,MATCH(B3365,METADATA!$S$2:$S$20,0))),0)</f>
        <v>0</v>
      </c>
      <c r="E3365" s="312" t="str">
        <f t="shared" si="208"/>
        <v>LO</v>
      </c>
      <c r="F3365" s="369">
        <f>VLOOKUP(C3365,METADATA!$A$5:$H$29,IF(E3365="HI",2,IF(E3365="LO",6,10))+IF(D3365=1,2,IF(D3365=7,1,(IF(WEEKDAY(B3365)=1,2,IF(WEEKDAY(B3365)=7,1,0))))))</f>
        <v>3</v>
      </c>
      <c r="G3365" s="369">
        <f>VLOOKUP(C3365,METADATA!$J$5:$Q$29,IF(E3365="HI",2,IF(E3365="LO",6,10))+IF(D3365=1,2,IF(D3365=7,1,(IF(WEEKDAY(B3365)=1,2,IF(WEEKDAY(B3365)=7,1,0))))))</f>
        <v>3</v>
      </c>
      <c r="H3365" s="370">
        <v>2381.5625</v>
      </c>
      <c r="I3365" s="370">
        <v>1080.2774963378906</v>
      </c>
      <c r="M3365" s="371">
        <f t="shared" si="209"/>
        <v>2615.117475468418</v>
      </c>
      <c r="N3365" s="329">
        <f t="shared" si="210"/>
        <v>365.80874633789063</v>
      </c>
      <c r="T3365" s="331">
        <v>0</v>
      </c>
      <c r="U3365" s="328">
        <f>VLOOKUP(C3365,METADATA!$J$5:$Q$29,IF(E3365="HI",2,IF(E3365="LO",6,10))+IF(T3365=1,2,IF(D3365=7,1,(IF(WEEKDAY(B3365)=1,2,IF(WEEKDAY(B3365)=7,1,0))))))</f>
        <v>3</v>
      </c>
      <c r="V3365" s="328">
        <f>VLOOKUP(C3365,METADATA!$A$5:$H$29,IF(E3365="HI",2,IF(E3365="LO",6,10))+IF(T3365=1,2,IF(D3365=7,1,(IF(WEEKDAY(B3365)=1,2,IF(WEEKDAY(B3365)=7,1,0))))))</f>
        <v>3</v>
      </c>
    </row>
    <row r="3366" spans="2:22">
      <c r="B3366" s="318">
        <f t="shared" si="211"/>
        <v>46253</v>
      </c>
      <c r="C3366" s="312">
        <v>2</v>
      </c>
      <c r="D3366" s="368">
        <f>IFERROR((INDEX(METADATA!$T$2:$T$20,MATCH(B3366,METADATA!$S$2:$S$20,0))),0)</f>
        <v>0</v>
      </c>
      <c r="E3366" s="312" t="str">
        <f t="shared" si="208"/>
        <v>LO</v>
      </c>
      <c r="F3366" s="369">
        <f>VLOOKUP(C3366,METADATA!$A$5:$H$29,IF(E3366="HI",2,IF(E3366="LO",6,10))+IF(D3366=1,2,IF(D3366=7,1,(IF(WEEKDAY(B3366)=1,2,IF(WEEKDAY(B3366)=7,1,0))))))</f>
        <v>3</v>
      </c>
      <c r="G3366" s="369">
        <f>VLOOKUP(C3366,METADATA!$J$5:$Q$29,IF(E3366="HI",2,IF(E3366="LO",6,10))+IF(D3366=1,2,IF(D3366=7,1,(IF(WEEKDAY(B3366)=1,2,IF(WEEKDAY(B3366)=7,1,0))))))</f>
        <v>3</v>
      </c>
      <c r="H3366" s="370">
        <v>2344.2449951171875</v>
      </c>
      <c r="I3366" s="370">
        <v>1105.7049865722656</v>
      </c>
      <c r="M3366" s="371">
        <f t="shared" si="209"/>
        <v>2591.9236320661062</v>
      </c>
      <c r="N3366" s="329">
        <f t="shared" si="210"/>
        <v>402.43148803710938</v>
      </c>
      <c r="T3366" s="331">
        <v>0</v>
      </c>
      <c r="U3366" s="328">
        <f>VLOOKUP(C3366,METADATA!$J$5:$Q$29,IF(E3366="HI",2,IF(E3366="LO",6,10))+IF(T3366=1,2,IF(D3366=7,1,(IF(WEEKDAY(B3366)=1,2,IF(WEEKDAY(B3366)=7,1,0))))))</f>
        <v>3</v>
      </c>
      <c r="V3366" s="328">
        <f>VLOOKUP(C3366,METADATA!$A$5:$H$29,IF(E3366="HI",2,IF(E3366="LO",6,10))+IF(T3366=1,2,IF(D3366=7,1,(IF(WEEKDAY(B3366)=1,2,IF(WEEKDAY(B3366)=7,1,0))))))</f>
        <v>3</v>
      </c>
    </row>
    <row r="3367" spans="2:22">
      <c r="B3367" s="318">
        <f t="shared" si="211"/>
        <v>46253</v>
      </c>
      <c r="C3367" s="312">
        <v>3</v>
      </c>
      <c r="D3367" s="368">
        <f>IFERROR((INDEX(METADATA!$T$2:$T$20,MATCH(B3367,METADATA!$S$2:$S$20,0))),0)</f>
        <v>0</v>
      </c>
      <c r="E3367" s="312" t="str">
        <f t="shared" si="208"/>
        <v>LO</v>
      </c>
      <c r="F3367" s="369">
        <f>VLOOKUP(C3367,METADATA!$A$5:$H$29,IF(E3367="HI",2,IF(E3367="LO",6,10))+IF(D3367=1,2,IF(D3367=7,1,(IF(WEEKDAY(B3367)=1,2,IF(WEEKDAY(B3367)=7,1,0))))))</f>
        <v>3</v>
      </c>
      <c r="G3367" s="369">
        <f>VLOOKUP(C3367,METADATA!$J$5:$Q$29,IF(E3367="HI",2,IF(E3367="LO",6,10))+IF(D3367=1,2,IF(D3367=7,1,(IF(WEEKDAY(B3367)=1,2,IF(WEEKDAY(B3367)=7,1,0))))))</f>
        <v>3</v>
      </c>
      <c r="H3367" s="370">
        <v>2624.3550109863281</v>
      </c>
      <c r="I3367" s="370">
        <v>1146.3125</v>
      </c>
      <c r="M3367" s="371">
        <f t="shared" si="209"/>
        <v>2863.7862300362608</v>
      </c>
      <c r="N3367" s="329">
        <f t="shared" si="210"/>
        <v>359.00599670410156</v>
      </c>
      <c r="T3367" s="331">
        <v>0</v>
      </c>
      <c r="U3367" s="328">
        <f>VLOOKUP(C3367,METADATA!$J$5:$Q$29,IF(E3367="HI",2,IF(E3367="LO",6,10))+IF(T3367=1,2,IF(D3367=7,1,(IF(WEEKDAY(B3367)=1,2,IF(WEEKDAY(B3367)=7,1,0))))))</f>
        <v>3</v>
      </c>
      <c r="V3367" s="328">
        <f>VLOOKUP(C3367,METADATA!$A$5:$H$29,IF(E3367="HI",2,IF(E3367="LO",6,10))+IF(T3367=1,2,IF(D3367=7,1,(IF(WEEKDAY(B3367)=1,2,IF(WEEKDAY(B3367)=7,1,0))))))</f>
        <v>3</v>
      </c>
    </row>
    <row r="3368" spans="2:22">
      <c r="B3368" s="318">
        <f t="shared" si="211"/>
        <v>46253</v>
      </c>
      <c r="C3368" s="312">
        <v>4</v>
      </c>
      <c r="D3368" s="368">
        <f>IFERROR((INDEX(METADATA!$T$2:$T$20,MATCH(B3368,METADATA!$S$2:$S$20,0))),0)</f>
        <v>0</v>
      </c>
      <c r="E3368" s="312" t="str">
        <f t="shared" si="208"/>
        <v>LO</v>
      </c>
      <c r="F3368" s="369">
        <f>VLOOKUP(C3368,METADATA!$A$5:$H$29,IF(E3368="HI",2,IF(E3368="LO",6,10))+IF(D3368=1,2,IF(D3368=7,1,(IF(WEEKDAY(B3368)=1,2,IF(WEEKDAY(B3368)=7,1,0))))))</f>
        <v>3</v>
      </c>
      <c r="G3368" s="369">
        <f>VLOOKUP(C3368,METADATA!$J$5:$Q$29,IF(E3368="HI",2,IF(E3368="LO",6,10))+IF(D3368=1,2,IF(D3368=7,1,(IF(WEEKDAY(B3368)=1,2,IF(WEEKDAY(B3368)=7,1,0))))))</f>
        <v>3</v>
      </c>
      <c r="H3368" s="370">
        <v>2619.6475219726563</v>
      </c>
      <c r="I3368" s="370">
        <v>1205.8575134277344</v>
      </c>
      <c r="M3368" s="371">
        <f t="shared" si="209"/>
        <v>2883.8594768240005</v>
      </c>
      <c r="N3368" s="329">
        <f t="shared" si="210"/>
        <v>419.9632568359375</v>
      </c>
      <c r="T3368" s="331">
        <v>0</v>
      </c>
      <c r="U3368" s="328">
        <f>VLOOKUP(C3368,METADATA!$J$5:$Q$29,IF(E3368="HI",2,IF(E3368="LO",6,10))+IF(T3368=1,2,IF(D3368=7,1,(IF(WEEKDAY(B3368)=1,2,IF(WEEKDAY(B3368)=7,1,0))))))</f>
        <v>3</v>
      </c>
      <c r="V3368" s="328">
        <f>VLOOKUP(C3368,METADATA!$A$5:$H$29,IF(E3368="HI",2,IF(E3368="LO",6,10))+IF(T3368=1,2,IF(D3368=7,1,(IF(WEEKDAY(B3368)=1,2,IF(WEEKDAY(B3368)=7,1,0))))))</f>
        <v>3</v>
      </c>
    </row>
    <row r="3369" spans="2:22">
      <c r="B3369" s="318">
        <f t="shared" si="211"/>
        <v>46253</v>
      </c>
      <c r="C3369" s="312">
        <v>5</v>
      </c>
      <c r="D3369" s="368">
        <f>IFERROR((INDEX(METADATA!$T$2:$T$20,MATCH(B3369,METADATA!$S$2:$S$20,0))),0)</f>
        <v>0</v>
      </c>
      <c r="E3369" s="312" t="str">
        <f t="shared" si="208"/>
        <v>LO</v>
      </c>
      <c r="F3369" s="369">
        <f>VLOOKUP(C3369,METADATA!$A$5:$H$29,IF(E3369="HI",2,IF(E3369="LO",6,10))+IF(D3369=1,2,IF(D3369=7,1,(IF(WEEKDAY(B3369)=1,2,IF(WEEKDAY(B3369)=7,1,0))))))</f>
        <v>3</v>
      </c>
      <c r="G3369" s="369">
        <f>VLOOKUP(C3369,METADATA!$J$5:$Q$29,IF(E3369="HI",2,IF(E3369="LO",6,10))+IF(D3369=1,2,IF(D3369=7,1,(IF(WEEKDAY(B3369)=1,2,IF(WEEKDAY(B3369)=7,1,0))))))</f>
        <v>3</v>
      </c>
      <c r="H3369" s="370">
        <v>2775.1650390625</v>
      </c>
      <c r="I3369" s="370">
        <v>1261.2225036621094</v>
      </c>
      <c r="M3369" s="371">
        <f t="shared" si="209"/>
        <v>3048.3148127741802</v>
      </c>
      <c r="N3369" s="329">
        <f t="shared" si="210"/>
        <v>428.67299194335942</v>
      </c>
      <c r="T3369" s="331">
        <v>0</v>
      </c>
      <c r="U3369" s="328">
        <f>VLOOKUP(C3369,METADATA!$J$5:$Q$29,IF(E3369="HI",2,IF(E3369="LO",6,10))+IF(T3369=1,2,IF(D3369=7,1,(IF(WEEKDAY(B3369)=1,2,IF(WEEKDAY(B3369)=7,1,0))))))</f>
        <v>3</v>
      </c>
      <c r="V3369" s="328">
        <f>VLOOKUP(C3369,METADATA!$A$5:$H$29,IF(E3369="HI",2,IF(E3369="LO",6,10))+IF(T3369=1,2,IF(D3369=7,1,(IF(WEEKDAY(B3369)=1,2,IF(WEEKDAY(B3369)=7,1,0))))))</f>
        <v>3</v>
      </c>
    </row>
    <row r="3370" spans="2:22">
      <c r="B3370" s="318">
        <f t="shared" si="211"/>
        <v>46253</v>
      </c>
      <c r="C3370" s="312">
        <v>6</v>
      </c>
      <c r="D3370" s="368">
        <f>IFERROR((INDEX(METADATA!$T$2:$T$20,MATCH(B3370,METADATA!$S$2:$S$20,0))),0)</f>
        <v>0</v>
      </c>
      <c r="E3370" s="312" t="str">
        <f t="shared" si="208"/>
        <v>LO</v>
      </c>
      <c r="F3370" s="369">
        <f>VLOOKUP(C3370,METADATA!$A$5:$H$29,IF(E3370="HI",2,IF(E3370="LO",6,10))+IF(D3370=1,2,IF(D3370=7,1,(IF(WEEKDAY(B3370)=1,2,IF(WEEKDAY(B3370)=7,1,0))))))</f>
        <v>2</v>
      </c>
      <c r="G3370" s="369">
        <f>VLOOKUP(C3370,METADATA!$J$5:$Q$29,IF(E3370="HI",2,IF(E3370="LO",6,10))+IF(D3370=1,2,IF(D3370=7,1,(IF(WEEKDAY(B3370)=1,2,IF(WEEKDAY(B3370)=7,1,0))))))</f>
        <v>2</v>
      </c>
      <c r="H3370" s="370">
        <v>2842.2275695800781</v>
      </c>
      <c r="I3370" s="370">
        <v>1276.8474731445313</v>
      </c>
      <c r="M3370" s="371">
        <f t="shared" si="209"/>
        <v>3115.8621643064785</v>
      </c>
      <c r="N3370" s="329">
        <f t="shared" si="210"/>
        <v>424.17920227050786</v>
      </c>
      <c r="T3370" s="331">
        <v>0</v>
      </c>
      <c r="U3370" s="328">
        <f>VLOOKUP(C3370,METADATA!$J$5:$Q$29,IF(E3370="HI",2,IF(E3370="LO",6,10))+IF(T3370=1,2,IF(D3370=7,1,(IF(WEEKDAY(B3370)=1,2,IF(WEEKDAY(B3370)=7,1,0))))))</f>
        <v>2</v>
      </c>
      <c r="V3370" s="328">
        <f>VLOOKUP(C3370,METADATA!$A$5:$H$29,IF(E3370="HI",2,IF(E3370="LO",6,10))+IF(T3370=1,2,IF(D3370=7,1,(IF(WEEKDAY(B3370)=1,2,IF(WEEKDAY(B3370)=7,1,0))))))</f>
        <v>2</v>
      </c>
    </row>
    <row r="3371" spans="2:22">
      <c r="B3371" s="318">
        <f t="shared" si="211"/>
        <v>46253</v>
      </c>
      <c r="C3371" s="312">
        <v>7</v>
      </c>
      <c r="D3371" s="368">
        <f>IFERROR((INDEX(METADATA!$T$2:$T$20,MATCH(B3371,METADATA!$S$2:$S$20,0))),0)</f>
        <v>0</v>
      </c>
      <c r="E3371" s="312" t="str">
        <f t="shared" si="208"/>
        <v>LO</v>
      </c>
      <c r="F3371" s="369">
        <f>VLOOKUP(C3371,METADATA!$A$5:$H$29,IF(E3371="HI",2,IF(E3371="LO",6,10))+IF(D3371=1,2,IF(D3371=7,1,(IF(WEEKDAY(B3371)=1,2,IF(WEEKDAY(B3371)=7,1,0))))))</f>
        <v>1</v>
      </c>
      <c r="G3371" s="369">
        <f>VLOOKUP(C3371,METADATA!$J$5:$Q$29,IF(E3371="HI",2,IF(E3371="LO",6,10))+IF(D3371=1,2,IF(D3371=7,1,(IF(WEEKDAY(B3371)=1,2,IF(WEEKDAY(B3371)=7,1,0))))))</f>
        <v>1</v>
      </c>
      <c r="H3371" s="370">
        <v>3788.8074951171875</v>
      </c>
      <c r="I3371" s="370">
        <v>1298.3050231933594</v>
      </c>
      <c r="M3371" s="371">
        <f t="shared" si="209"/>
        <v>4005.0790464490565</v>
      </c>
      <c r="N3371" s="329">
        <f t="shared" si="210"/>
        <v>161.66277465820326</v>
      </c>
      <c r="T3371" s="331">
        <v>0</v>
      </c>
      <c r="U3371" s="328">
        <f>VLOOKUP(C3371,METADATA!$J$5:$Q$29,IF(E3371="HI",2,IF(E3371="LO",6,10))+IF(T3371=1,2,IF(D3371=7,1,(IF(WEEKDAY(B3371)=1,2,IF(WEEKDAY(B3371)=7,1,0))))))</f>
        <v>1</v>
      </c>
      <c r="V3371" s="328">
        <f>VLOOKUP(C3371,METADATA!$A$5:$H$29,IF(E3371="HI",2,IF(E3371="LO",6,10))+IF(T3371=1,2,IF(D3371=7,1,(IF(WEEKDAY(B3371)=1,2,IF(WEEKDAY(B3371)=7,1,0))))))</f>
        <v>1</v>
      </c>
    </row>
    <row r="3372" spans="2:22">
      <c r="B3372" s="318">
        <f t="shared" si="211"/>
        <v>46253</v>
      </c>
      <c r="C3372" s="312">
        <v>8</v>
      </c>
      <c r="D3372" s="368">
        <f>IFERROR((INDEX(METADATA!$T$2:$T$20,MATCH(B3372,METADATA!$S$2:$S$20,0))),0)</f>
        <v>0</v>
      </c>
      <c r="E3372" s="312" t="str">
        <f t="shared" si="208"/>
        <v>LO</v>
      </c>
      <c r="F3372" s="369">
        <f>VLOOKUP(C3372,METADATA!$A$5:$H$29,IF(E3372="HI",2,IF(E3372="LO",6,10))+IF(D3372=1,2,IF(D3372=7,1,(IF(WEEKDAY(B3372)=1,2,IF(WEEKDAY(B3372)=7,1,0))))))</f>
        <v>1</v>
      </c>
      <c r="G3372" s="369">
        <f>VLOOKUP(C3372,METADATA!$J$5:$Q$29,IF(E3372="HI",2,IF(E3372="LO",6,10))+IF(D3372=1,2,IF(D3372=7,1,(IF(WEEKDAY(B3372)=1,2,IF(WEEKDAY(B3372)=7,1,0))))))</f>
        <v>1</v>
      </c>
      <c r="H3372" s="370">
        <v>3760.7874526977539</v>
      </c>
      <c r="I3372" s="370">
        <v>1308.0150451660156</v>
      </c>
      <c r="M3372" s="371">
        <f t="shared" si="209"/>
        <v>3981.7616230444428</v>
      </c>
      <c r="N3372" s="329">
        <f t="shared" si="210"/>
        <v>179.77880935668941</v>
      </c>
      <c r="T3372" s="331">
        <v>0</v>
      </c>
      <c r="U3372" s="328">
        <f>VLOOKUP(C3372,METADATA!$J$5:$Q$29,IF(E3372="HI",2,IF(E3372="LO",6,10))+IF(T3372=1,2,IF(D3372=7,1,(IF(WEEKDAY(B3372)=1,2,IF(WEEKDAY(B3372)=7,1,0))))))</f>
        <v>1</v>
      </c>
      <c r="V3372" s="328">
        <f>VLOOKUP(C3372,METADATA!$A$5:$H$29,IF(E3372="HI",2,IF(E3372="LO",6,10))+IF(T3372=1,2,IF(D3372=7,1,(IF(WEEKDAY(B3372)=1,2,IF(WEEKDAY(B3372)=7,1,0))))))</f>
        <v>1</v>
      </c>
    </row>
    <row r="3373" spans="2:22">
      <c r="B3373" s="318">
        <f t="shared" si="211"/>
        <v>46253</v>
      </c>
      <c r="C3373" s="312">
        <v>9</v>
      </c>
      <c r="D3373" s="368">
        <f>IFERROR((INDEX(METADATA!$T$2:$T$20,MATCH(B3373,METADATA!$S$2:$S$20,0))),0)</f>
        <v>0</v>
      </c>
      <c r="E3373" s="312" t="str">
        <f t="shared" si="208"/>
        <v>LO</v>
      </c>
      <c r="F3373" s="369">
        <f>VLOOKUP(C3373,METADATA!$A$5:$H$29,IF(E3373="HI",2,IF(E3373="LO",6,10))+IF(D3373=1,2,IF(D3373=7,1,(IF(WEEKDAY(B3373)=1,2,IF(WEEKDAY(B3373)=7,1,0))))))</f>
        <v>2</v>
      </c>
      <c r="G3373" s="369">
        <f>VLOOKUP(C3373,METADATA!$J$5:$Q$29,IF(E3373="HI",2,IF(E3373="LO",6,10))+IF(D3373=1,2,IF(D3373=7,1,(IF(WEEKDAY(B3373)=1,2,IF(WEEKDAY(B3373)=7,1,0))))))</f>
        <v>2</v>
      </c>
      <c r="H3373" s="370">
        <v>3860.4530732422136</v>
      </c>
      <c r="I3373" s="370">
        <v>1407.9274877929129</v>
      </c>
      <c r="M3373" s="371">
        <f t="shared" si="209"/>
        <v>4109.1796920538918</v>
      </c>
      <c r="N3373" s="329">
        <f t="shared" si="210"/>
        <v>249.79156582024893</v>
      </c>
      <c r="T3373" s="331">
        <v>0</v>
      </c>
      <c r="U3373" s="328">
        <f>VLOOKUP(C3373,METADATA!$J$5:$Q$29,IF(E3373="HI",2,IF(E3373="LO",6,10))+IF(T3373=1,2,IF(D3373=7,1,(IF(WEEKDAY(B3373)=1,2,IF(WEEKDAY(B3373)=7,1,0))))))</f>
        <v>2</v>
      </c>
      <c r="V3373" s="328">
        <f>VLOOKUP(C3373,METADATA!$A$5:$H$29,IF(E3373="HI",2,IF(E3373="LO",6,10))+IF(T3373=1,2,IF(D3373=7,1,(IF(WEEKDAY(B3373)=1,2,IF(WEEKDAY(B3373)=7,1,0))))))</f>
        <v>2</v>
      </c>
    </row>
    <row r="3374" spans="2:22">
      <c r="B3374" s="318">
        <f t="shared" si="211"/>
        <v>46253</v>
      </c>
      <c r="C3374" s="312">
        <v>10</v>
      </c>
      <c r="D3374" s="368">
        <f>IFERROR((INDEX(METADATA!$T$2:$T$20,MATCH(B3374,METADATA!$S$2:$S$20,0))),0)</f>
        <v>0</v>
      </c>
      <c r="E3374" s="312" t="str">
        <f t="shared" si="208"/>
        <v>LO</v>
      </c>
      <c r="F3374" s="369">
        <f>VLOOKUP(C3374,METADATA!$A$5:$H$29,IF(E3374="HI",2,IF(E3374="LO",6,10))+IF(D3374=1,2,IF(D3374=7,1,(IF(WEEKDAY(B3374)=1,2,IF(WEEKDAY(B3374)=7,1,0))))))</f>
        <v>2</v>
      </c>
      <c r="G3374" s="369">
        <f>VLOOKUP(C3374,METADATA!$J$5:$Q$29,IF(E3374="HI",2,IF(E3374="LO",6,10))+IF(D3374=1,2,IF(D3374=7,1,(IF(WEEKDAY(B3374)=1,2,IF(WEEKDAY(B3374)=7,1,0))))))</f>
        <v>2</v>
      </c>
      <c r="H3374" s="370">
        <v>3803.4000854492188</v>
      </c>
      <c r="I3374" s="370">
        <v>1469.625</v>
      </c>
      <c r="M3374" s="371">
        <f t="shared" si="209"/>
        <v>4077.4562965922914</v>
      </c>
      <c r="N3374" s="329">
        <f t="shared" si="210"/>
        <v>328.60497436523451</v>
      </c>
      <c r="T3374" s="331">
        <v>0</v>
      </c>
      <c r="U3374" s="328">
        <f>VLOOKUP(C3374,METADATA!$J$5:$Q$29,IF(E3374="HI",2,IF(E3374="LO",6,10))+IF(T3374=1,2,IF(D3374=7,1,(IF(WEEKDAY(B3374)=1,2,IF(WEEKDAY(B3374)=7,1,0))))))</f>
        <v>2</v>
      </c>
      <c r="V3374" s="328">
        <f>VLOOKUP(C3374,METADATA!$A$5:$H$29,IF(E3374="HI",2,IF(E3374="LO",6,10))+IF(T3374=1,2,IF(D3374=7,1,(IF(WEEKDAY(B3374)=1,2,IF(WEEKDAY(B3374)=7,1,0))))))</f>
        <v>2</v>
      </c>
    </row>
    <row r="3375" spans="2:22">
      <c r="B3375" s="318">
        <f t="shared" si="211"/>
        <v>46253</v>
      </c>
      <c r="C3375" s="312">
        <v>11</v>
      </c>
      <c r="D3375" s="368">
        <f>IFERROR((INDEX(METADATA!$T$2:$T$20,MATCH(B3375,METADATA!$S$2:$S$20,0))),0)</f>
        <v>0</v>
      </c>
      <c r="E3375" s="312" t="str">
        <f t="shared" si="208"/>
        <v>LO</v>
      </c>
      <c r="F3375" s="369">
        <f>VLOOKUP(C3375,METADATA!$A$5:$H$29,IF(E3375="HI",2,IF(E3375="LO",6,10))+IF(D3375=1,2,IF(D3375=7,1,(IF(WEEKDAY(B3375)=1,2,IF(WEEKDAY(B3375)=7,1,0))))))</f>
        <v>2</v>
      </c>
      <c r="G3375" s="369">
        <f>VLOOKUP(C3375,METADATA!$J$5:$Q$29,IF(E3375="HI",2,IF(E3375="LO",6,10))+IF(D3375=1,2,IF(D3375=7,1,(IF(WEEKDAY(B3375)=1,2,IF(WEEKDAY(B3375)=7,1,0))))))</f>
        <v>2</v>
      </c>
      <c r="H3375" s="370">
        <v>3831.6000366210938</v>
      </c>
      <c r="I3375" s="370">
        <v>1402.2000122070313</v>
      </c>
      <c r="M3375" s="371">
        <f t="shared" si="209"/>
        <v>4080.1131987811523</v>
      </c>
      <c r="N3375" s="329">
        <f t="shared" si="210"/>
        <v>252.72000122070313</v>
      </c>
      <c r="T3375" s="331">
        <v>0</v>
      </c>
      <c r="U3375" s="328">
        <f>VLOOKUP(C3375,METADATA!$J$5:$Q$29,IF(E3375="HI",2,IF(E3375="LO",6,10))+IF(T3375=1,2,IF(D3375=7,1,(IF(WEEKDAY(B3375)=1,2,IF(WEEKDAY(B3375)=7,1,0))))))</f>
        <v>2</v>
      </c>
      <c r="V3375" s="328">
        <f>VLOOKUP(C3375,METADATA!$A$5:$H$29,IF(E3375="HI",2,IF(E3375="LO",6,10))+IF(T3375=1,2,IF(D3375=7,1,(IF(WEEKDAY(B3375)=1,2,IF(WEEKDAY(B3375)=7,1,0))))))</f>
        <v>2</v>
      </c>
    </row>
    <row r="3376" spans="2:22">
      <c r="B3376" s="318">
        <f t="shared" si="211"/>
        <v>46253</v>
      </c>
      <c r="C3376" s="312">
        <v>12</v>
      </c>
      <c r="D3376" s="368">
        <f>IFERROR((INDEX(METADATA!$T$2:$T$20,MATCH(B3376,METADATA!$S$2:$S$20,0))),0)</f>
        <v>0</v>
      </c>
      <c r="E3376" s="312" t="str">
        <f t="shared" si="208"/>
        <v>LO</v>
      </c>
      <c r="F3376" s="369">
        <f>VLOOKUP(C3376,METADATA!$A$5:$H$29,IF(E3376="HI",2,IF(E3376="LO",6,10))+IF(D3376=1,2,IF(D3376=7,1,(IF(WEEKDAY(B3376)=1,2,IF(WEEKDAY(B3376)=7,1,0))))))</f>
        <v>2</v>
      </c>
      <c r="G3376" s="369">
        <f>VLOOKUP(C3376,METADATA!$J$5:$Q$29,IF(E3376="HI",2,IF(E3376="LO",6,10))+IF(D3376=1,2,IF(D3376=7,1,(IF(WEEKDAY(B3376)=1,2,IF(WEEKDAY(B3376)=7,1,0))))))</f>
        <v>2</v>
      </c>
      <c r="H3376" s="370">
        <v>3770.4000549316406</v>
      </c>
      <c r="I3376" s="370">
        <v>1503.4249267578125</v>
      </c>
      <c r="M3376" s="371">
        <f t="shared" si="209"/>
        <v>4059.088947611921</v>
      </c>
      <c r="N3376" s="329">
        <f t="shared" si="210"/>
        <v>372.30491027832045</v>
      </c>
      <c r="T3376" s="331">
        <v>0</v>
      </c>
      <c r="U3376" s="328">
        <f>VLOOKUP(C3376,METADATA!$J$5:$Q$29,IF(E3376="HI",2,IF(E3376="LO",6,10))+IF(T3376=1,2,IF(D3376=7,1,(IF(WEEKDAY(B3376)=1,2,IF(WEEKDAY(B3376)=7,1,0))))))</f>
        <v>2</v>
      </c>
      <c r="V3376" s="328">
        <f>VLOOKUP(C3376,METADATA!$A$5:$H$29,IF(E3376="HI",2,IF(E3376="LO",6,10))+IF(T3376=1,2,IF(D3376=7,1,(IF(WEEKDAY(B3376)=1,2,IF(WEEKDAY(B3376)=7,1,0))))))</f>
        <v>2</v>
      </c>
    </row>
    <row r="3377" spans="2:22">
      <c r="B3377" s="318">
        <f t="shared" si="211"/>
        <v>46253</v>
      </c>
      <c r="C3377" s="312">
        <v>13</v>
      </c>
      <c r="D3377" s="368">
        <f>IFERROR((INDEX(METADATA!$T$2:$T$20,MATCH(B3377,METADATA!$S$2:$S$20,0))),0)</f>
        <v>0</v>
      </c>
      <c r="E3377" s="312" t="str">
        <f t="shared" si="208"/>
        <v>LO</v>
      </c>
      <c r="F3377" s="369">
        <f>VLOOKUP(C3377,METADATA!$A$5:$H$29,IF(E3377="HI",2,IF(E3377="LO",6,10))+IF(D3377=1,2,IF(D3377=7,1,(IF(WEEKDAY(B3377)=1,2,IF(WEEKDAY(B3377)=7,1,0))))))</f>
        <v>2</v>
      </c>
      <c r="G3377" s="369">
        <f>VLOOKUP(C3377,METADATA!$J$5:$Q$29,IF(E3377="HI",2,IF(E3377="LO",6,10))+IF(D3377=1,2,IF(D3377=7,1,(IF(WEEKDAY(B3377)=1,2,IF(WEEKDAY(B3377)=7,1,0))))))</f>
        <v>2</v>
      </c>
      <c r="H3377" s="370">
        <v>3958.4749755859375</v>
      </c>
      <c r="I3377" s="370">
        <v>1464.8250122070313</v>
      </c>
      <c r="M3377" s="371">
        <f t="shared" si="209"/>
        <v>4220.8099280502338</v>
      </c>
      <c r="N3377" s="329">
        <f t="shared" si="210"/>
        <v>277.28251953125005</v>
      </c>
      <c r="T3377" s="331">
        <v>0</v>
      </c>
      <c r="U3377" s="328">
        <f>VLOOKUP(C3377,METADATA!$J$5:$Q$29,IF(E3377="HI",2,IF(E3377="LO",6,10))+IF(T3377=1,2,IF(D3377=7,1,(IF(WEEKDAY(B3377)=1,2,IF(WEEKDAY(B3377)=7,1,0))))))</f>
        <v>2</v>
      </c>
      <c r="V3377" s="328">
        <f>VLOOKUP(C3377,METADATA!$A$5:$H$29,IF(E3377="HI",2,IF(E3377="LO",6,10))+IF(T3377=1,2,IF(D3377=7,1,(IF(WEEKDAY(B3377)=1,2,IF(WEEKDAY(B3377)=7,1,0))))))</f>
        <v>2</v>
      </c>
    </row>
    <row r="3378" spans="2:22">
      <c r="B3378" s="318">
        <f t="shared" si="211"/>
        <v>46253</v>
      </c>
      <c r="C3378" s="312">
        <v>14</v>
      </c>
      <c r="D3378" s="368">
        <f>IFERROR((INDEX(METADATA!$T$2:$T$20,MATCH(B3378,METADATA!$S$2:$S$20,0))),0)</f>
        <v>0</v>
      </c>
      <c r="E3378" s="312" t="str">
        <f t="shared" si="208"/>
        <v>LO</v>
      </c>
      <c r="F3378" s="369">
        <f>VLOOKUP(C3378,METADATA!$A$5:$H$29,IF(E3378="HI",2,IF(E3378="LO",6,10))+IF(D3378=1,2,IF(D3378=7,1,(IF(WEEKDAY(B3378)=1,2,IF(WEEKDAY(B3378)=7,1,0))))))</f>
        <v>2</v>
      </c>
      <c r="G3378" s="369">
        <f>VLOOKUP(C3378,METADATA!$J$5:$Q$29,IF(E3378="HI",2,IF(E3378="LO",6,10))+IF(D3378=1,2,IF(D3378=7,1,(IF(WEEKDAY(B3378)=1,2,IF(WEEKDAY(B3378)=7,1,0))))))</f>
        <v>2</v>
      </c>
      <c r="H3378" s="370">
        <v>4059.0499267578125</v>
      </c>
      <c r="I3378" s="370">
        <v>1411.7999877929688</v>
      </c>
      <c r="M3378" s="371">
        <f t="shared" si="209"/>
        <v>4297.5650679710279</v>
      </c>
      <c r="N3378" s="329">
        <f t="shared" si="210"/>
        <v>194.08500976562505</v>
      </c>
      <c r="T3378" s="331">
        <v>0</v>
      </c>
      <c r="U3378" s="328">
        <f>VLOOKUP(C3378,METADATA!$J$5:$Q$29,IF(E3378="HI",2,IF(E3378="LO",6,10))+IF(T3378=1,2,IF(D3378=7,1,(IF(WEEKDAY(B3378)=1,2,IF(WEEKDAY(B3378)=7,1,0))))))</f>
        <v>2</v>
      </c>
      <c r="V3378" s="328">
        <f>VLOOKUP(C3378,METADATA!$A$5:$H$29,IF(E3378="HI",2,IF(E3378="LO",6,10))+IF(T3378=1,2,IF(D3378=7,1,(IF(WEEKDAY(B3378)=1,2,IF(WEEKDAY(B3378)=7,1,0))))))</f>
        <v>2</v>
      </c>
    </row>
    <row r="3379" spans="2:22">
      <c r="B3379" s="318">
        <f t="shared" si="211"/>
        <v>46253</v>
      </c>
      <c r="C3379" s="312">
        <v>15</v>
      </c>
      <c r="D3379" s="368">
        <f>IFERROR((INDEX(METADATA!$T$2:$T$20,MATCH(B3379,METADATA!$S$2:$S$20,0))),0)</f>
        <v>0</v>
      </c>
      <c r="E3379" s="312" t="str">
        <f t="shared" si="208"/>
        <v>LO</v>
      </c>
      <c r="F3379" s="369">
        <f>VLOOKUP(C3379,METADATA!$A$5:$H$29,IF(E3379="HI",2,IF(E3379="LO",6,10))+IF(D3379=1,2,IF(D3379=7,1,(IF(WEEKDAY(B3379)=1,2,IF(WEEKDAY(B3379)=7,1,0))))))</f>
        <v>2</v>
      </c>
      <c r="G3379" s="369">
        <f>VLOOKUP(C3379,METADATA!$J$5:$Q$29,IF(E3379="HI",2,IF(E3379="LO",6,10))+IF(D3379=1,2,IF(D3379=7,1,(IF(WEEKDAY(B3379)=1,2,IF(WEEKDAY(B3379)=7,1,0))))))</f>
        <v>2</v>
      </c>
      <c r="H3379" s="370">
        <v>3654.0200805664063</v>
      </c>
      <c r="I3379" s="370">
        <v>1438.0250244140625</v>
      </c>
      <c r="M3379" s="371">
        <f t="shared" si="209"/>
        <v>3926.8026077234376</v>
      </c>
      <c r="N3379" s="329">
        <f t="shared" si="210"/>
        <v>341.81900024414063</v>
      </c>
      <c r="T3379" s="331">
        <v>0</v>
      </c>
      <c r="U3379" s="328">
        <f>VLOOKUP(C3379,METADATA!$J$5:$Q$29,IF(E3379="HI",2,IF(E3379="LO",6,10))+IF(T3379=1,2,IF(D3379=7,1,(IF(WEEKDAY(B3379)=1,2,IF(WEEKDAY(B3379)=7,1,0))))))</f>
        <v>2</v>
      </c>
      <c r="V3379" s="328">
        <f>VLOOKUP(C3379,METADATA!$A$5:$H$29,IF(E3379="HI",2,IF(E3379="LO",6,10))+IF(T3379=1,2,IF(D3379=7,1,(IF(WEEKDAY(B3379)=1,2,IF(WEEKDAY(B3379)=7,1,0))))))</f>
        <v>2</v>
      </c>
    </row>
    <row r="3380" spans="2:22">
      <c r="B3380" s="318">
        <f t="shared" si="211"/>
        <v>46253</v>
      </c>
      <c r="C3380" s="312">
        <v>16</v>
      </c>
      <c r="D3380" s="368">
        <f>IFERROR((INDEX(METADATA!$T$2:$T$20,MATCH(B3380,METADATA!$S$2:$S$20,0))),0)</f>
        <v>0</v>
      </c>
      <c r="E3380" s="312" t="str">
        <f t="shared" si="208"/>
        <v>LO</v>
      </c>
      <c r="F3380" s="369">
        <f>VLOOKUP(C3380,METADATA!$A$5:$H$29,IF(E3380="HI",2,IF(E3380="LO",6,10))+IF(D3380=1,2,IF(D3380=7,1,(IF(WEEKDAY(B3380)=1,2,IF(WEEKDAY(B3380)=7,1,0))))))</f>
        <v>2</v>
      </c>
      <c r="G3380" s="369">
        <f>VLOOKUP(C3380,METADATA!$J$5:$Q$29,IF(E3380="HI",2,IF(E3380="LO",6,10))+IF(D3380=1,2,IF(D3380=7,1,(IF(WEEKDAY(B3380)=1,2,IF(WEEKDAY(B3380)=7,1,0))))))</f>
        <v>2</v>
      </c>
      <c r="H3380" s="370">
        <v>2851.2849426269531</v>
      </c>
      <c r="I3380" s="370">
        <v>1333.1749877929688</v>
      </c>
      <c r="M3380" s="371">
        <f t="shared" si="209"/>
        <v>3147.5675325762222</v>
      </c>
      <c r="N3380" s="329">
        <f t="shared" si="210"/>
        <v>477.78950500488281</v>
      </c>
      <c r="T3380" s="331">
        <v>0</v>
      </c>
      <c r="U3380" s="328">
        <f>VLOOKUP(C3380,METADATA!$J$5:$Q$29,IF(E3380="HI",2,IF(E3380="LO",6,10))+IF(T3380=1,2,IF(D3380=7,1,(IF(WEEKDAY(B3380)=1,2,IF(WEEKDAY(B3380)=7,1,0))))))</f>
        <v>2</v>
      </c>
      <c r="V3380" s="328">
        <f>VLOOKUP(C3380,METADATA!$A$5:$H$29,IF(E3380="HI",2,IF(E3380="LO",6,10))+IF(T3380=1,2,IF(D3380=7,1,(IF(WEEKDAY(B3380)=1,2,IF(WEEKDAY(B3380)=7,1,0))))))</f>
        <v>2</v>
      </c>
    </row>
    <row r="3381" spans="2:22">
      <c r="B3381" s="318">
        <f t="shared" si="211"/>
        <v>46253</v>
      </c>
      <c r="C3381" s="312">
        <v>17</v>
      </c>
      <c r="D3381" s="368">
        <f>IFERROR((INDEX(METADATA!$T$2:$T$20,MATCH(B3381,METADATA!$S$2:$S$20,0))),0)</f>
        <v>0</v>
      </c>
      <c r="E3381" s="312" t="str">
        <f t="shared" si="208"/>
        <v>LO</v>
      </c>
      <c r="F3381" s="369">
        <f>VLOOKUP(C3381,METADATA!$A$5:$H$29,IF(E3381="HI",2,IF(E3381="LO",6,10))+IF(D3381=1,2,IF(D3381=7,1,(IF(WEEKDAY(B3381)=1,2,IF(WEEKDAY(B3381)=7,1,0))))))</f>
        <v>2</v>
      </c>
      <c r="G3381" s="369">
        <f>VLOOKUP(C3381,METADATA!$J$5:$Q$29,IF(E3381="HI",2,IF(E3381="LO",6,10))+IF(D3381=1,2,IF(D3381=7,1,(IF(WEEKDAY(B3381)=1,2,IF(WEEKDAY(B3381)=7,1,0))))))</f>
        <v>2</v>
      </c>
      <c r="H3381" s="370">
        <v>2770.5049133300781</v>
      </c>
      <c r="I3381" s="370">
        <v>1256.9000244140625</v>
      </c>
      <c r="M3381" s="371">
        <f t="shared" si="209"/>
        <v>3042.2845274822953</v>
      </c>
      <c r="N3381" s="329">
        <f t="shared" si="210"/>
        <v>425.74855041503906</v>
      </c>
      <c r="T3381" s="331">
        <v>0</v>
      </c>
      <c r="U3381" s="328">
        <f>VLOOKUP(C3381,METADATA!$J$5:$Q$29,IF(E3381="HI",2,IF(E3381="LO",6,10))+IF(T3381=1,2,IF(D3381=7,1,(IF(WEEKDAY(B3381)=1,2,IF(WEEKDAY(B3381)=7,1,0))))))</f>
        <v>2</v>
      </c>
      <c r="V3381" s="328">
        <f>VLOOKUP(C3381,METADATA!$A$5:$H$29,IF(E3381="HI",2,IF(E3381="LO",6,10))+IF(T3381=1,2,IF(D3381=7,1,(IF(WEEKDAY(B3381)=1,2,IF(WEEKDAY(B3381)=7,1,0))))))</f>
        <v>2</v>
      </c>
    </row>
    <row r="3382" spans="2:22">
      <c r="B3382" s="318">
        <f t="shared" si="211"/>
        <v>46253</v>
      </c>
      <c r="C3382" s="312">
        <v>18</v>
      </c>
      <c r="D3382" s="368">
        <f>IFERROR((INDEX(METADATA!$T$2:$T$20,MATCH(B3382,METADATA!$S$2:$S$20,0))),0)</f>
        <v>0</v>
      </c>
      <c r="E3382" s="312" t="str">
        <f t="shared" si="208"/>
        <v>LO</v>
      </c>
      <c r="F3382" s="369">
        <f>VLOOKUP(C3382,METADATA!$A$5:$H$29,IF(E3382="HI",2,IF(E3382="LO",6,10))+IF(D3382=1,2,IF(D3382=7,1,(IF(WEEKDAY(B3382)=1,2,IF(WEEKDAY(B3382)=7,1,0))))))</f>
        <v>1</v>
      </c>
      <c r="G3382" s="369">
        <f>VLOOKUP(C3382,METADATA!$J$5:$Q$29,IF(E3382="HI",2,IF(E3382="LO",6,10))+IF(D3382=1,2,IF(D3382=7,1,(IF(WEEKDAY(B3382)=1,2,IF(WEEKDAY(B3382)=7,1,0))))))</f>
        <v>1</v>
      </c>
      <c r="H3382" s="370">
        <v>2784.1949462890625</v>
      </c>
      <c r="I3382" s="370">
        <v>1276.625</v>
      </c>
      <c r="M3382" s="371">
        <f t="shared" si="209"/>
        <v>3062.9255442414128</v>
      </c>
      <c r="N3382" s="329">
        <f t="shared" si="210"/>
        <v>441.36651611328125</v>
      </c>
      <c r="T3382" s="331">
        <v>0</v>
      </c>
      <c r="U3382" s="328">
        <f>VLOOKUP(C3382,METADATA!$J$5:$Q$29,IF(E3382="HI",2,IF(E3382="LO",6,10))+IF(T3382=1,2,IF(D3382=7,1,(IF(WEEKDAY(B3382)=1,2,IF(WEEKDAY(B3382)=7,1,0))))))</f>
        <v>1</v>
      </c>
      <c r="V3382" s="328">
        <f>VLOOKUP(C3382,METADATA!$A$5:$H$29,IF(E3382="HI",2,IF(E3382="LO",6,10))+IF(T3382=1,2,IF(D3382=7,1,(IF(WEEKDAY(B3382)=1,2,IF(WEEKDAY(B3382)=7,1,0))))))</f>
        <v>1</v>
      </c>
    </row>
    <row r="3383" spans="2:22">
      <c r="B3383" s="318">
        <f t="shared" si="211"/>
        <v>46253</v>
      </c>
      <c r="C3383" s="312">
        <v>19</v>
      </c>
      <c r="D3383" s="368">
        <f>IFERROR((INDEX(METADATA!$T$2:$T$20,MATCH(B3383,METADATA!$S$2:$S$20,0))),0)</f>
        <v>0</v>
      </c>
      <c r="E3383" s="312" t="str">
        <f t="shared" si="208"/>
        <v>LO</v>
      </c>
      <c r="F3383" s="369">
        <f>VLOOKUP(C3383,METADATA!$A$5:$H$29,IF(E3383="HI",2,IF(E3383="LO",6,10))+IF(D3383=1,2,IF(D3383=7,1,(IF(WEEKDAY(B3383)=1,2,IF(WEEKDAY(B3383)=7,1,0))))))</f>
        <v>1</v>
      </c>
      <c r="G3383" s="369">
        <f>VLOOKUP(C3383,METADATA!$J$5:$Q$29,IF(E3383="HI",2,IF(E3383="LO",6,10))+IF(D3383=1,2,IF(D3383=7,1,(IF(WEEKDAY(B3383)=1,2,IF(WEEKDAY(B3383)=7,1,0))))))</f>
        <v>1</v>
      </c>
      <c r="H3383" s="370">
        <v>2891.4901123046875</v>
      </c>
      <c r="I3383" s="370">
        <v>1312.125</v>
      </c>
      <c r="M3383" s="371">
        <f t="shared" si="209"/>
        <v>3175.277481603895</v>
      </c>
      <c r="N3383" s="329">
        <f t="shared" si="210"/>
        <v>444.6779663085938</v>
      </c>
      <c r="T3383" s="331">
        <v>0</v>
      </c>
      <c r="U3383" s="328">
        <f>VLOOKUP(C3383,METADATA!$J$5:$Q$29,IF(E3383="HI",2,IF(E3383="LO",6,10))+IF(T3383=1,2,IF(D3383=7,1,(IF(WEEKDAY(B3383)=1,2,IF(WEEKDAY(B3383)=7,1,0))))))</f>
        <v>1</v>
      </c>
      <c r="V3383" s="328">
        <f>VLOOKUP(C3383,METADATA!$A$5:$H$29,IF(E3383="HI",2,IF(E3383="LO",6,10))+IF(T3383=1,2,IF(D3383=7,1,(IF(WEEKDAY(B3383)=1,2,IF(WEEKDAY(B3383)=7,1,0))))))</f>
        <v>1</v>
      </c>
    </row>
    <row r="3384" spans="2:22">
      <c r="B3384" s="318">
        <f t="shared" si="211"/>
        <v>46253</v>
      </c>
      <c r="C3384" s="312">
        <v>20</v>
      </c>
      <c r="D3384" s="368">
        <f>IFERROR((INDEX(METADATA!$T$2:$T$20,MATCH(B3384,METADATA!$S$2:$S$20,0))),0)</f>
        <v>0</v>
      </c>
      <c r="E3384" s="312" t="str">
        <f t="shared" si="208"/>
        <v>LO</v>
      </c>
      <c r="F3384" s="369">
        <f>VLOOKUP(C3384,METADATA!$A$5:$H$29,IF(E3384="HI",2,IF(E3384="LO",6,10))+IF(D3384=1,2,IF(D3384=7,1,(IF(WEEKDAY(B3384)=1,2,IF(WEEKDAY(B3384)=7,1,0))))))</f>
        <v>1</v>
      </c>
      <c r="G3384" s="369">
        <f>VLOOKUP(C3384,METADATA!$J$5:$Q$29,IF(E3384="HI",2,IF(E3384="LO",6,10))+IF(D3384=1,2,IF(D3384=7,1,(IF(WEEKDAY(B3384)=1,2,IF(WEEKDAY(B3384)=7,1,0))))))</f>
        <v>1</v>
      </c>
      <c r="H3384" s="370">
        <v>5157.6149291992188</v>
      </c>
      <c r="I3384" s="370">
        <v>2151.2249755859375</v>
      </c>
      <c r="M3384" s="371">
        <f t="shared" si="209"/>
        <v>5588.269915947455</v>
      </c>
      <c r="N3384" s="329">
        <f t="shared" si="210"/>
        <v>603.94049682617197</v>
      </c>
      <c r="T3384" s="331">
        <v>0</v>
      </c>
      <c r="U3384" s="328">
        <f>VLOOKUP(C3384,METADATA!$J$5:$Q$29,IF(E3384="HI",2,IF(E3384="LO",6,10))+IF(T3384=1,2,IF(D3384=7,1,(IF(WEEKDAY(B3384)=1,2,IF(WEEKDAY(B3384)=7,1,0))))))</f>
        <v>1</v>
      </c>
      <c r="V3384" s="328">
        <f>VLOOKUP(C3384,METADATA!$A$5:$H$29,IF(E3384="HI",2,IF(E3384="LO",6,10))+IF(T3384=1,2,IF(D3384=7,1,(IF(WEEKDAY(B3384)=1,2,IF(WEEKDAY(B3384)=7,1,0))))))</f>
        <v>1</v>
      </c>
    </row>
    <row r="3385" spans="2:22">
      <c r="B3385" s="318">
        <f t="shared" si="211"/>
        <v>46253</v>
      </c>
      <c r="C3385" s="312">
        <v>21</v>
      </c>
      <c r="D3385" s="368">
        <f>IFERROR((INDEX(METADATA!$T$2:$T$20,MATCH(B3385,METADATA!$S$2:$S$20,0))),0)</f>
        <v>0</v>
      </c>
      <c r="E3385" s="312" t="str">
        <f t="shared" si="208"/>
        <v>LO</v>
      </c>
      <c r="F3385" s="369">
        <f>VLOOKUP(C3385,METADATA!$A$5:$H$29,IF(E3385="HI",2,IF(E3385="LO",6,10))+IF(D3385=1,2,IF(D3385=7,1,(IF(WEEKDAY(B3385)=1,2,IF(WEEKDAY(B3385)=7,1,0))))))</f>
        <v>2</v>
      </c>
      <c r="G3385" s="369">
        <f>VLOOKUP(C3385,METADATA!$J$5:$Q$29,IF(E3385="HI",2,IF(E3385="LO",6,10))+IF(D3385=1,2,IF(D3385=7,1,(IF(WEEKDAY(B3385)=1,2,IF(WEEKDAY(B3385)=7,1,0))))))</f>
        <v>2</v>
      </c>
      <c r="H3385" s="370">
        <v>5929.9249877929688</v>
      </c>
      <c r="I3385" s="370">
        <v>2550.02490234375</v>
      </c>
      <c r="M3385" s="371">
        <f t="shared" si="209"/>
        <v>6454.9699738592653</v>
      </c>
      <c r="N3385" s="329">
        <f t="shared" si="210"/>
        <v>771.04740600585933</v>
      </c>
      <c r="T3385" s="331">
        <v>0</v>
      </c>
      <c r="U3385" s="328">
        <f>VLOOKUP(C3385,METADATA!$J$5:$Q$29,IF(E3385="HI",2,IF(E3385="LO",6,10))+IF(T3385=1,2,IF(D3385=7,1,(IF(WEEKDAY(B3385)=1,2,IF(WEEKDAY(B3385)=7,1,0))))))</f>
        <v>2</v>
      </c>
      <c r="V3385" s="328">
        <f>VLOOKUP(C3385,METADATA!$A$5:$H$29,IF(E3385="HI",2,IF(E3385="LO",6,10))+IF(T3385=1,2,IF(D3385=7,1,(IF(WEEKDAY(B3385)=1,2,IF(WEEKDAY(B3385)=7,1,0))))))</f>
        <v>2</v>
      </c>
    </row>
    <row r="3386" spans="2:22">
      <c r="B3386" s="318">
        <f t="shared" si="211"/>
        <v>46253</v>
      </c>
      <c r="C3386" s="312">
        <v>22</v>
      </c>
      <c r="D3386" s="368">
        <f>IFERROR((INDEX(METADATA!$T$2:$T$20,MATCH(B3386,METADATA!$S$2:$S$20,0))),0)</f>
        <v>0</v>
      </c>
      <c r="E3386" s="312" t="str">
        <f t="shared" si="208"/>
        <v>LO</v>
      </c>
      <c r="F3386" s="369">
        <f>VLOOKUP(C3386,METADATA!$A$5:$H$29,IF(E3386="HI",2,IF(E3386="LO",6,10))+IF(D3386=1,2,IF(D3386=7,1,(IF(WEEKDAY(B3386)=1,2,IF(WEEKDAY(B3386)=7,1,0))))))</f>
        <v>3</v>
      </c>
      <c r="G3386" s="369">
        <f>VLOOKUP(C3386,METADATA!$J$5:$Q$29,IF(E3386="HI",2,IF(E3386="LO",6,10))+IF(D3386=1,2,IF(D3386=7,1,(IF(WEEKDAY(B3386)=1,2,IF(WEEKDAY(B3386)=7,1,0))))))</f>
        <v>3</v>
      </c>
      <c r="H3386" s="370">
        <v>5620.5999450683594</v>
      </c>
      <c r="I3386" s="370">
        <v>2481.625</v>
      </c>
      <c r="M3386" s="371">
        <f t="shared" si="209"/>
        <v>6144.0708315519478</v>
      </c>
      <c r="N3386" s="329">
        <f t="shared" si="210"/>
        <v>795.44501647949232</v>
      </c>
      <c r="T3386" s="331">
        <v>0</v>
      </c>
      <c r="U3386" s="328">
        <f>VLOOKUP(C3386,METADATA!$J$5:$Q$29,IF(E3386="HI",2,IF(E3386="LO",6,10))+IF(T3386=1,2,IF(D3386=7,1,(IF(WEEKDAY(B3386)=1,2,IF(WEEKDAY(B3386)=7,1,0))))))</f>
        <v>3</v>
      </c>
      <c r="V3386" s="328">
        <f>VLOOKUP(C3386,METADATA!$A$5:$H$29,IF(E3386="HI",2,IF(E3386="LO",6,10))+IF(T3386=1,2,IF(D3386=7,1,(IF(WEEKDAY(B3386)=1,2,IF(WEEKDAY(B3386)=7,1,0))))))</f>
        <v>3</v>
      </c>
    </row>
    <row r="3387" spans="2:22">
      <c r="B3387" s="318">
        <f t="shared" si="211"/>
        <v>46253</v>
      </c>
      <c r="C3387" s="312">
        <v>23</v>
      </c>
      <c r="D3387" s="368">
        <f>IFERROR((INDEX(METADATA!$T$2:$T$20,MATCH(B3387,METADATA!$S$2:$S$20,0))),0)</f>
        <v>0</v>
      </c>
      <c r="E3387" s="312" t="str">
        <f t="shared" si="208"/>
        <v>LO</v>
      </c>
      <c r="F3387" s="369">
        <f>VLOOKUP(C3387,METADATA!$A$5:$H$29,IF(E3387="HI",2,IF(E3387="LO",6,10))+IF(D3387=1,2,IF(D3387=7,1,(IF(WEEKDAY(B3387)=1,2,IF(WEEKDAY(B3387)=7,1,0))))))</f>
        <v>3</v>
      </c>
      <c r="G3387" s="369">
        <f>VLOOKUP(C3387,METADATA!$J$5:$Q$29,IF(E3387="HI",2,IF(E3387="LO",6,10))+IF(D3387=1,2,IF(D3387=7,1,(IF(WEEKDAY(B3387)=1,2,IF(WEEKDAY(B3387)=7,1,0))))))</f>
        <v>3</v>
      </c>
      <c r="H3387" s="370">
        <v>4138.9500122070313</v>
      </c>
      <c r="I3387" s="370">
        <v>1530.5250244140625</v>
      </c>
      <c r="M3387" s="371">
        <f t="shared" si="209"/>
        <v>4412.8691408092136</v>
      </c>
      <c r="N3387" s="329">
        <f t="shared" si="210"/>
        <v>288.84002075195326</v>
      </c>
      <c r="T3387" s="331">
        <v>0</v>
      </c>
      <c r="U3387" s="328">
        <f>VLOOKUP(C3387,METADATA!$J$5:$Q$29,IF(E3387="HI",2,IF(E3387="LO",6,10))+IF(T3387=1,2,IF(D3387=7,1,(IF(WEEKDAY(B3387)=1,2,IF(WEEKDAY(B3387)=7,1,0))))))</f>
        <v>3</v>
      </c>
      <c r="V3387" s="328">
        <f>VLOOKUP(C3387,METADATA!$A$5:$H$29,IF(E3387="HI",2,IF(E3387="LO",6,10))+IF(T3387=1,2,IF(D3387=7,1,(IF(WEEKDAY(B3387)=1,2,IF(WEEKDAY(B3387)=7,1,0))))))</f>
        <v>3</v>
      </c>
    </row>
    <row r="3388" spans="2:22">
      <c r="B3388" s="318">
        <f t="shared" si="211"/>
        <v>46254</v>
      </c>
      <c r="C3388" s="312">
        <v>0</v>
      </c>
      <c r="D3388" s="368">
        <f>IFERROR((INDEX(METADATA!$T$2:$T$20,MATCH(B3388,METADATA!$S$2:$S$20,0))),0)</f>
        <v>0</v>
      </c>
      <c r="E3388" s="312" t="str">
        <f t="shared" si="208"/>
        <v>LO</v>
      </c>
      <c r="F3388" s="369">
        <f>VLOOKUP(C3388,METADATA!$A$5:$H$29,IF(E3388="HI",2,IF(E3388="LO",6,10))+IF(D3388=1,2,IF(D3388=7,1,(IF(WEEKDAY(B3388)=1,2,IF(WEEKDAY(B3388)=7,1,0))))))</f>
        <v>3</v>
      </c>
      <c r="G3388" s="369">
        <f>VLOOKUP(C3388,METADATA!$J$5:$Q$29,IF(E3388="HI",2,IF(E3388="LO",6,10))+IF(D3388=1,2,IF(D3388=7,1,(IF(WEEKDAY(B3388)=1,2,IF(WEEKDAY(B3388)=7,1,0))))))</f>
        <v>3</v>
      </c>
      <c r="H3388" s="370">
        <v>4133.2499389648438</v>
      </c>
      <c r="I3388" s="370">
        <v>1409.2999877929688</v>
      </c>
      <c r="M3388" s="371">
        <f t="shared" si="209"/>
        <v>4366.9075457978433</v>
      </c>
      <c r="N3388" s="329">
        <f t="shared" si="210"/>
        <v>169.32500610351576</v>
      </c>
      <c r="T3388" s="331">
        <v>0</v>
      </c>
      <c r="U3388" s="328">
        <f>VLOOKUP(C3388,METADATA!$J$5:$Q$29,IF(E3388="HI",2,IF(E3388="LO",6,10))+IF(T3388=1,2,IF(D3388=7,1,(IF(WEEKDAY(B3388)=1,2,IF(WEEKDAY(B3388)=7,1,0))))))</f>
        <v>3</v>
      </c>
      <c r="V3388" s="328">
        <f>VLOOKUP(C3388,METADATA!$A$5:$H$29,IF(E3388="HI",2,IF(E3388="LO",6,10))+IF(T3388=1,2,IF(D3388=7,1,(IF(WEEKDAY(B3388)=1,2,IF(WEEKDAY(B3388)=7,1,0))))))</f>
        <v>3</v>
      </c>
    </row>
    <row r="3389" spans="2:22">
      <c r="B3389" s="318">
        <f t="shared" si="211"/>
        <v>46254</v>
      </c>
      <c r="C3389" s="312">
        <v>1</v>
      </c>
      <c r="D3389" s="368">
        <f>IFERROR((INDEX(METADATA!$T$2:$T$20,MATCH(B3389,METADATA!$S$2:$S$20,0))),0)</f>
        <v>0</v>
      </c>
      <c r="E3389" s="312" t="str">
        <f t="shared" si="208"/>
        <v>LO</v>
      </c>
      <c r="F3389" s="369">
        <f>VLOOKUP(C3389,METADATA!$A$5:$H$29,IF(E3389="HI",2,IF(E3389="LO",6,10))+IF(D3389=1,2,IF(D3389=7,1,(IF(WEEKDAY(B3389)=1,2,IF(WEEKDAY(B3389)=7,1,0))))))</f>
        <v>3</v>
      </c>
      <c r="G3389" s="369">
        <f>VLOOKUP(C3389,METADATA!$J$5:$Q$29,IF(E3389="HI",2,IF(E3389="LO",6,10))+IF(D3389=1,2,IF(D3389=7,1,(IF(WEEKDAY(B3389)=1,2,IF(WEEKDAY(B3389)=7,1,0))))))</f>
        <v>3</v>
      </c>
      <c r="H3389" s="370">
        <v>4224.3350219726563</v>
      </c>
      <c r="I3389" s="370">
        <v>1371.552490234375</v>
      </c>
      <c r="M3389" s="371">
        <f t="shared" si="209"/>
        <v>4441.4144831723188</v>
      </c>
      <c r="N3389" s="329">
        <f t="shared" si="210"/>
        <v>104.25198364257813</v>
      </c>
      <c r="T3389" s="331">
        <v>0</v>
      </c>
      <c r="U3389" s="328">
        <f>VLOOKUP(C3389,METADATA!$J$5:$Q$29,IF(E3389="HI",2,IF(E3389="LO",6,10))+IF(T3389=1,2,IF(D3389=7,1,(IF(WEEKDAY(B3389)=1,2,IF(WEEKDAY(B3389)=7,1,0))))))</f>
        <v>3</v>
      </c>
      <c r="V3389" s="328">
        <f>VLOOKUP(C3389,METADATA!$A$5:$H$29,IF(E3389="HI",2,IF(E3389="LO",6,10))+IF(T3389=1,2,IF(D3389=7,1,(IF(WEEKDAY(B3389)=1,2,IF(WEEKDAY(B3389)=7,1,0))))))</f>
        <v>3</v>
      </c>
    </row>
    <row r="3390" spans="2:22">
      <c r="B3390" s="318">
        <f t="shared" si="211"/>
        <v>46254</v>
      </c>
      <c r="C3390" s="312">
        <v>2</v>
      </c>
      <c r="D3390" s="368">
        <f>IFERROR((INDEX(METADATA!$T$2:$T$20,MATCH(B3390,METADATA!$S$2:$S$20,0))),0)</f>
        <v>0</v>
      </c>
      <c r="E3390" s="312" t="str">
        <f t="shared" si="208"/>
        <v>LO</v>
      </c>
      <c r="F3390" s="369">
        <f>VLOOKUP(C3390,METADATA!$A$5:$H$29,IF(E3390="HI",2,IF(E3390="LO",6,10))+IF(D3390=1,2,IF(D3390=7,1,(IF(WEEKDAY(B3390)=1,2,IF(WEEKDAY(B3390)=7,1,0))))))</f>
        <v>3</v>
      </c>
      <c r="G3390" s="369">
        <f>VLOOKUP(C3390,METADATA!$J$5:$Q$29,IF(E3390="HI",2,IF(E3390="LO",6,10))+IF(D3390=1,2,IF(D3390=7,1,(IF(WEEKDAY(B3390)=1,2,IF(WEEKDAY(B3390)=7,1,0))))))</f>
        <v>3</v>
      </c>
      <c r="H3390" s="370">
        <v>4215.0250244140625</v>
      </c>
      <c r="I3390" s="370">
        <v>1364.375</v>
      </c>
      <c r="M3390" s="371">
        <f t="shared" si="209"/>
        <v>4430.3448056626212</v>
      </c>
      <c r="N3390" s="329">
        <f t="shared" si="210"/>
        <v>99.86749267578125</v>
      </c>
      <c r="T3390" s="331">
        <v>0</v>
      </c>
      <c r="U3390" s="328">
        <f>VLOOKUP(C3390,METADATA!$J$5:$Q$29,IF(E3390="HI",2,IF(E3390="LO",6,10))+IF(T3390=1,2,IF(D3390=7,1,(IF(WEEKDAY(B3390)=1,2,IF(WEEKDAY(B3390)=7,1,0))))))</f>
        <v>3</v>
      </c>
      <c r="V3390" s="328">
        <f>VLOOKUP(C3390,METADATA!$A$5:$H$29,IF(E3390="HI",2,IF(E3390="LO",6,10))+IF(T3390=1,2,IF(D3390=7,1,(IF(WEEKDAY(B3390)=1,2,IF(WEEKDAY(B3390)=7,1,0))))))</f>
        <v>3</v>
      </c>
    </row>
    <row r="3391" spans="2:22">
      <c r="B3391" s="318">
        <f t="shared" si="211"/>
        <v>46254</v>
      </c>
      <c r="C3391" s="312">
        <v>3</v>
      </c>
      <c r="D3391" s="368">
        <f>IFERROR((INDEX(METADATA!$T$2:$T$20,MATCH(B3391,METADATA!$S$2:$S$20,0))),0)</f>
        <v>0</v>
      </c>
      <c r="E3391" s="312" t="str">
        <f t="shared" si="208"/>
        <v>LO</v>
      </c>
      <c r="F3391" s="369">
        <f>VLOOKUP(C3391,METADATA!$A$5:$H$29,IF(E3391="HI",2,IF(E3391="LO",6,10))+IF(D3391=1,2,IF(D3391=7,1,(IF(WEEKDAY(B3391)=1,2,IF(WEEKDAY(B3391)=7,1,0))))))</f>
        <v>3</v>
      </c>
      <c r="G3391" s="369">
        <f>VLOOKUP(C3391,METADATA!$J$5:$Q$29,IF(E3391="HI",2,IF(E3391="LO",6,10))+IF(D3391=1,2,IF(D3391=7,1,(IF(WEEKDAY(B3391)=1,2,IF(WEEKDAY(B3391)=7,1,0))))))</f>
        <v>3</v>
      </c>
      <c r="H3391" s="370">
        <v>4158.199951171875</v>
      </c>
      <c r="I3391" s="370">
        <v>1354.324951171875</v>
      </c>
      <c r="M3391" s="371">
        <f t="shared" si="209"/>
        <v>4373.1936736545849</v>
      </c>
      <c r="N3391" s="329">
        <f t="shared" si="210"/>
        <v>106.86496582031259</v>
      </c>
      <c r="T3391" s="331">
        <v>0</v>
      </c>
      <c r="U3391" s="328">
        <f>VLOOKUP(C3391,METADATA!$J$5:$Q$29,IF(E3391="HI",2,IF(E3391="LO",6,10))+IF(T3391=1,2,IF(D3391=7,1,(IF(WEEKDAY(B3391)=1,2,IF(WEEKDAY(B3391)=7,1,0))))))</f>
        <v>3</v>
      </c>
      <c r="V3391" s="328">
        <f>VLOOKUP(C3391,METADATA!$A$5:$H$29,IF(E3391="HI",2,IF(E3391="LO",6,10))+IF(T3391=1,2,IF(D3391=7,1,(IF(WEEKDAY(B3391)=1,2,IF(WEEKDAY(B3391)=7,1,0))))))</f>
        <v>3</v>
      </c>
    </row>
    <row r="3392" spans="2:22">
      <c r="B3392" s="318">
        <f t="shared" si="211"/>
        <v>46254</v>
      </c>
      <c r="C3392" s="312">
        <v>4</v>
      </c>
      <c r="D3392" s="368">
        <f>IFERROR((INDEX(METADATA!$T$2:$T$20,MATCH(B3392,METADATA!$S$2:$S$20,0))),0)</f>
        <v>0</v>
      </c>
      <c r="E3392" s="312" t="str">
        <f t="shared" si="208"/>
        <v>LO</v>
      </c>
      <c r="F3392" s="369">
        <f>VLOOKUP(C3392,METADATA!$A$5:$H$29,IF(E3392="HI",2,IF(E3392="LO",6,10))+IF(D3392=1,2,IF(D3392=7,1,(IF(WEEKDAY(B3392)=1,2,IF(WEEKDAY(B3392)=7,1,0))))))</f>
        <v>3</v>
      </c>
      <c r="G3392" s="369">
        <f>VLOOKUP(C3392,METADATA!$J$5:$Q$29,IF(E3392="HI",2,IF(E3392="LO",6,10))+IF(D3392=1,2,IF(D3392=7,1,(IF(WEEKDAY(B3392)=1,2,IF(WEEKDAY(B3392)=7,1,0))))))</f>
        <v>3</v>
      </c>
      <c r="H3392" s="370">
        <v>4262.5499877929688</v>
      </c>
      <c r="I3392" s="370">
        <v>1359.3500366210938</v>
      </c>
      <c r="M3392" s="371">
        <f t="shared" si="209"/>
        <v>4474.0546398647848</v>
      </c>
      <c r="N3392" s="329">
        <f t="shared" si="210"/>
        <v>80.58504028320317</v>
      </c>
      <c r="T3392" s="331">
        <v>0</v>
      </c>
      <c r="U3392" s="328">
        <f>VLOOKUP(C3392,METADATA!$J$5:$Q$29,IF(E3392="HI",2,IF(E3392="LO",6,10))+IF(T3392=1,2,IF(D3392=7,1,(IF(WEEKDAY(B3392)=1,2,IF(WEEKDAY(B3392)=7,1,0))))))</f>
        <v>3</v>
      </c>
      <c r="V3392" s="328">
        <f>VLOOKUP(C3392,METADATA!$A$5:$H$29,IF(E3392="HI",2,IF(E3392="LO",6,10))+IF(T3392=1,2,IF(D3392=7,1,(IF(WEEKDAY(B3392)=1,2,IF(WEEKDAY(B3392)=7,1,0))))))</f>
        <v>3</v>
      </c>
    </row>
    <row r="3393" spans="2:22">
      <c r="B3393" s="318">
        <f t="shared" si="211"/>
        <v>46254</v>
      </c>
      <c r="C3393" s="312">
        <v>5</v>
      </c>
      <c r="D3393" s="368">
        <f>IFERROR((INDEX(METADATA!$T$2:$T$20,MATCH(B3393,METADATA!$S$2:$S$20,0))),0)</f>
        <v>0</v>
      </c>
      <c r="E3393" s="312" t="str">
        <f t="shared" si="208"/>
        <v>LO</v>
      </c>
      <c r="F3393" s="369">
        <f>VLOOKUP(C3393,METADATA!$A$5:$H$29,IF(E3393="HI",2,IF(E3393="LO",6,10))+IF(D3393=1,2,IF(D3393=7,1,(IF(WEEKDAY(B3393)=1,2,IF(WEEKDAY(B3393)=7,1,0))))))</f>
        <v>3</v>
      </c>
      <c r="G3393" s="369">
        <f>VLOOKUP(C3393,METADATA!$J$5:$Q$29,IF(E3393="HI",2,IF(E3393="LO",6,10))+IF(D3393=1,2,IF(D3393=7,1,(IF(WEEKDAY(B3393)=1,2,IF(WEEKDAY(B3393)=7,1,0))))))</f>
        <v>3</v>
      </c>
      <c r="H3393" s="370">
        <v>4317.8250122070313</v>
      </c>
      <c r="I3393" s="370">
        <v>1362.75</v>
      </c>
      <c r="M3393" s="371">
        <f t="shared" si="209"/>
        <v>4527.769914487777</v>
      </c>
      <c r="N3393" s="329">
        <f t="shared" si="210"/>
        <v>67.402496337890625</v>
      </c>
      <c r="T3393" s="331">
        <v>0</v>
      </c>
      <c r="U3393" s="328">
        <f>VLOOKUP(C3393,METADATA!$J$5:$Q$29,IF(E3393="HI",2,IF(E3393="LO",6,10))+IF(T3393=1,2,IF(D3393=7,1,(IF(WEEKDAY(B3393)=1,2,IF(WEEKDAY(B3393)=7,1,0))))))</f>
        <v>3</v>
      </c>
      <c r="V3393" s="328">
        <f>VLOOKUP(C3393,METADATA!$A$5:$H$29,IF(E3393="HI",2,IF(E3393="LO",6,10))+IF(T3393=1,2,IF(D3393=7,1,(IF(WEEKDAY(B3393)=1,2,IF(WEEKDAY(B3393)=7,1,0))))))</f>
        <v>3</v>
      </c>
    </row>
    <row r="3394" spans="2:22">
      <c r="B3394" s="318">
        <f t="shared" si="211"/>
        <v>46254</v>
      </c>
      <c r="C3394" s="312">
        <v>6</v>
      </c>
      <c r="D3394" s="368">
        <f>IFERROR((INDEX(METADATA!$T$2:$T$20,MATCH(B3394,METADATA!$S$2:$S$20,0))),0)</f>
        <v>0</v>
      </c>
      <c r="E3394" s="312" t="str">
        <f t="shared" si="208"/>
        <v>LO</v>
      </c>
      <c r="F3394" s="369">
        <f>VLOOKUP(C3394,METADATA!$A$5:$H$29,IF(E3394="HI",2,IF(E3394="LO",6,10))+IF(D3394=1,2,IF(D3394=7,1,(IF(WEEKDAY(B3394)=1,2,IF(WEEKDAY(B3394)=7,1,0))))))</f>
        <v>2</v>
      </c>
      <c r="G3394" s="369">
        <f>VLOOKUP(C3394,METADATA!$J$5:$Q$29,IF(E3394="HI",2,IF(E3394="LO",6,10))+IF(D3394=1,2,IF(D3394=7,1,(IF(WEEKDAY(B3394)=1,2,IF(WEEKDAY(B3394)=7,1,0))))))</f>
        <v>2</v>
      </c>
      <c r="H3394" s="370">
        <v>5642.2498168945313</v>
      </c>
      <c r="I3394" s="370">
        <v>2167.5750732421875</v>
      </c>
      <c r="M3394" s="371">
        <f t="shared" si="209"/>
        <v>6044.2836378174079</v>
      </c>
      <c r="N3394" s="329">
        <f t="shared" si="210"/>
        <v>474.90012817382808</v>
      </c>
      <c r="T3394" s="331">
        <v>0</v>
      </c>
      <c r="U3394" s="328">
        <f>VLOOKUP(C3394,METADATA!$J$5:$Q$29,IF(E3394="HI",2,IF(E3394="LO",6,10))+IF(T3394=1,2,IF(D3394=7,1,(IF(WEEKDAY(B3394)=1,2,IF(WEEKDAY(B3394)=7,1,0))))))</f>
        <v>2</v>
      </c>
      <c r="V3394" s="328">
        <f>VLOOKUP(C3394,METADATA!$A$5:$H$29,IF(E3394="HI",2,IF(E3394="LO",6,10))+IF(T3394=1,2,IF(D3394=7,1,(IF(WEEKDAY(B3394)=1,2,IF(WEEKDAY(B3394)=7,1,0))))))</f>
        <v>2</v>
      </c>
    </row>
    <row r="3395" spans="2:22">
      <c r="B3395" s="318">
        <f t="shared" si="211"/>
        <v>46254</v>
      </c>
      <c r="C3395" s="312">
        <v>7</v>
      </c>
      <c r="D3395" s="368">
        <f>IFERROR((INDEX(METADATA!$T$2:$T$20,MATCH(B3395,METADATA!$S$2:$S$20,0))),0)</f>
        <v>0</v>
      </c>
      <c r="E3395" s="312" t="str">
        <f t="shared" si="208"/>
        <v>LO</v>
      </c>
      <c r="F3395" s="369">
        <f>VLOOKUP(C3395,METADATA!$A$5:$H$29,IF(E3395="HI",2,IF(E3395="LO",6,10))+IF(D3395=1,2,IF(D3395=7,1,(IF(WEEKDAY(B3395)=1,2,IF(WEEKDAY(B3395)=7,1,0))))))</f>
        <v>1</v>
      </c>
      <c r="G3395" s="369">
        <f>VLOOKUP(C3395,METADATA!$J$5:$Q$29,IF(E3395="HI",2,IF(E3395="LO",6,10))+IF(D3395=1,2,IF(D3395=7,1,(IF(WEEKDAY(B3395)=1,2,IF(WEEKDAY(B3395)=7,1,0))))))</f>
        <v>1</v>
      </c>
      <c r="H3395" s="370">
        <v>5185.8501586914063</v>
      </c>
      <c r="I3395" s="370">
        <v>1957.375</v>
      </c>
      <c r="M3395" s="371">
        <f t="shared" si="209"/>
        <v>5542.9557781949406</v>
      </c>
      <c r="N3395" s="329">
        <f t="shared" si="210"/>
        <v>401.61995239257817</v>
      </c>
      <c r="T3395" s="331">
        <v>0</v>
      </c>
      <c r="U3395" s="328">
        <f>VLOOKUP(C3395,METADATA!$J$5:$Q$29,IF(E3395="HI",2,IF(E3395="LO",6,10))+IF(T3395=1,2,IF(D3395=7,1,(IF(WEEKDAY(B3395)=1,2,IF(WEEKDAY(B3395)=7,1,0))))))</f>
        <v>1</v>
      </c>
      <c r="V3395" s="328">
        <f>VLOOKUP(C3395,METADATA!$A$5:$H$29,IF(E3395="HI",2,IF(E3395="LO",6,10))+IF(T3395=1,2,IF(D3395=7,1,(IF(WEEKDAY(B3395)=1,2,IF(WEEKDAY(B3395)=7,1,0))))))</f>
        <v>1</v>
      </c>
    </row>
    <row r="3396" spans="2:22">
      <c r="B3396" s="318">
        <f t="shared" si="211"/>
        <v>46254</v>
      </c>
      <c r="C3396" s="312">
        <v>8</v>
      </c>
      <c r="D3396" s="368">
        <f>IFERROR((INDEX(METADATA!$T$2:$T$20,MATCH(B3396,METADATA!$S$2:$S$20,0))),0)</f>
        <v>0</v>
      </c>
      <c r="E3396" s="312" t="str">
        <f t="shared" ref="E3396:E3459" si="212">IF(B3396="","",IF(AND(MONTH(B3396)&gt;=MONTH($Z$9),MONTH(B3396)&lt;=MONTH($Z$11)),"HI","LO"))</f>
        <v>LO</v>
      </c>
      <c r="F3396" s="369">
        <f>VLOOKUP(C3396,METADATA!$A$5:$H$29,IF(E3396="HI",2,IF(E3396="LO",6,10))+IF(D3396=1,2,IF(D3396=7,1,(IF(WEEKDAY(B3396)=1,2,IF(WEEKDAY(B3396)=7,1,0))))))</f>
        <v>1</v>
      </c>
      <c r="G3396" s="369">
        <f>VLOOKUP(C3396,METADATA!$J$5:$Q$29,IF(E3396="HI",2,IF(E3396="LO",6,10))+IF(D3396=1,2,IF(D3396=7,1,(IF(WEEKDAY(B3396)=1,2,IF(WEEKDAY(B3396)=7,1,0))))))</f>
        <v>1</v>
      </c>
      <c r="H3396" s="370">
        <v>4070.5250244140625</v>
      </c>
      <c r="I3396" s="370">
        <v>1504.6499633789063</v>
      </c>
      <c r="M3396" s="371">
        <f t="shared" ref="M3396:M3459" si="213">SQRT(H3396^2+I3396^2)</f>
        <v>4339.7172127544491</v>
      </c>
      <c r="N3396" s="329">
        <f t="shared" ref="N3396:N3459" si="214">IF(H3396=0,0,(IF(I3396-(0.3*H3396)&lt;0,0,(I3396-(0.3*H3396)))))</f>
        <v>283.49245605468764</v>
      </c>
      <c r="T3396" s="331">
        <v>0</v>
      </c>
      <c r="U3396" s="328">
        <f>VLOOKUP(C3396,METADATA!$J$5:$Q$29,IF(E3396="HI",2,IF(E3396="LO",6,10))+IF(T3396=1,2,IF(D3396=7,1,(IF(WEEKDAY(B3396)=1,2,IF(WEEKDAY(B3396)=7,1,0))))))</f>
        <v>1</v>
      </c>
      <c r="V3396" s="328">
        <f>VLOOKUP(C3396,METADATA!$A$5:$H$29,IF(E3396="HI",2,IF(E3396="LO",6,10))+IF(T3396=1,2,IF(D3396=7,1,(IF(WEEKDAY(B3396)=1,2,IF(WEEKDAY(B3396)=7,1,0))))))</f>
        <v>1</v>
      </c>
    </row>
    <row r="3397" spans="2:22">
      <c r="B3397" s="318">
        <f t="shared" si="211"/>
        <v>46254</v>
      </c>
      <c r="C3397" s="312">
        <v>9</v>
      </c>
      <c r="D3397" s="368">
        <f>IFERROR((INDEX(METADATA!$T$2:$T$20,MATCH(B3397,METADATA!$S$2:$S$20,0))),0)</f>
        <v>0</v>
      </c>
      <c r="E3397" s="312" t="str">
        <f t="shared" si="212"/>
        <v>LO</v>
      </c>
      <c r="F3397" s="369">
        <f>VLOOKUP(C3397,METADATA!$A$5:$H$29,IF(E3397="HI",2,IF(E3397="LO",6,10))+IF(D3397=1,2,IF(D3397=7,1,(IF(WEEKDAY(B3397)=1,2,IF(WEEKDAY(B3397)=7,1,0))))))</f>
        <v>2</v>
      </c>
      <c r="G3397" s="369">
        <f>VLOOKUP(C3397,METADATA!$J$5:$Q$29,IF(E3397="HI",2,IF(E3397="LO",6,10))+IF(D3397=1,2,IF(D3397=7,1,(IF(WEEKDAY(B3397)=1,2,IF(WEEKDAY(B3397)=7,1,0))))))</f>
        <v>2</v>
      </c>
      <c r="H3397" s="370">
        <v>4745.9999389648438</v>
      </c>
      <c r="I3397" s="370">
        <v>1556.7149634361267</v>
      </c>
      <c r="M3397" s="371">
        <f t="shared" si="213"/>
        <v>4994.784970150391</v>
      </c>
      <c r="N3397" s="329">
        <f t="shared" si="214"/>
        <v>132.91498174667367</v>
      </c>
      <c r="T3397" s="331">
        <v>0</v>
      </c>
      <c r="U3397" s="328">
        <f>VLOOKUP(C3397,METADATA!$J$5:$Q$29,IF(E3397="HI",2,IF(E3397="LO",6,10))+IF(T3397=1,2,IF(D3397=7,1,(IF(WEEKDAY(B3397)=1,2,IF(WEEKDAY(B3397)=7,1,0))))))</f>
        <v>2</v>
      </c>
      <c r="V3397" s="328">
        <f>VLOOKUP(C3397,METADATA!$A$5:$H$29,IF(E3397="HI",2,IF(E3397="LO",6,10))+IF(T3397=1,2,IF(D3397=7,1,(IF(WEEKDAY(B3397)=1,2,IF(WEEKDAY(B3397)=7,1,0))))))</f>
        <v>2</v>
      </c>
    </row>
    <row r="3398" spans="2:22">
      <c r="B3398" s="318">
        <f t="shared" si="211"/>
        <v>46254</v>
      </c>
      <c r="C3398" s="312">
        <v>10</v>
      </c>
      <c r="D3398" s="368">
        <f>IFERROR((INDEX(METADATA!$T$2:$T$20,MATCH(B3398,METADATA!$S$2:$S$20,0))),0)</f>
        <v>0</v>
      </c>
      <c r="E3398" s="312" t="str">
        <f t="shared" si="212"/>
        <v>LO</v>
      </c>
      <c r="F3398" s="369">
        <f>VLOOKUP(C3398,METADATA!$A$5:$H$29,IF(E3398="HI",2,IF(E3398="LO",6,10))+IF(D3398=1,2,IF(D3398=7,1,(IF(WEEKDAY(B3398)=1,2,IF(WEEKDAY(B3398)=7,1,0))))))</f>
        <v>2</v>
      </c>
      <c r="G3398" s="369">
        <f>VLOOKUP(C3398,METADATA!$J$5:$Q$29,IF(E3398="HI",2,IF(E3398="LO",6,10))+IF(D3398=1,2,IF(D3398=7,1,(IF(WEEKDAY(B3398)=1,2,IF(WEEKDAY(B3398)=7,1,0))))))</f>
        <v>2</v>
      </c>
      <c r="H3398" s="370">
        <v>5839.7250366210938</v>
      </c>
      <c r="I3398" s="370">
        <v>5468.1749877929688</v>
      </c>
      <c r="M3398" s="371">
        <f t="shared" si="213"/>
        <v>8000.2078848279853</v>
      </c>
      <c r="N3398" s="329">
        <f t="shared" si="214"/>
        <v>3716.2574768066406</v>
      </c>
      <c r="T3398" s="331">
        <v>0</v>
      </c>
      <c r="U3398" s="328">
        <f>VLOOKUP(C3398,METADATA!$J$5:$Q$29,IF(E3398="HI",2,IF(E3398="LO",6,10))+IF(T3398=1,2,IF(D3398=7,1,(IF(WEEKDAY(B3398)=1,2,IF(WEEKDAY(B3398)=7,1,0))))))</f>
        <v>2</v>
      </c>
      <c r="V3398" s="328">
        <f>VLOOKUP(C3398,METADATA!$A$5:$H$29,IF(E3398="HI",2,IF(E3398="LO",6,10))+IF(T3398=1,2,IF(D3398=7,1,(IF(WEEKDAY(B3398)=1,2,IF(WEEKDAY(B3398)=7,1,0))))))</f>
        <v>2</v>
      </c>
    </row>
    <row r="3399" spans="2:22">
      <c r="B3399" s="318">
        <f t="shared" si="211"/>
        <v>46254</v>
      </c>
      <c r="C3399" s="312">
        <v>11</v>
      </c>
      <c r="D3399" s="368">
        <f>IFERROR((INDEX(METADATA!$T$2:$T$20,MATCH(B3399,METADATA!$S$2:$S$20,0))),0)</f>
        <v>0</v>
      </c>
      <c r="E3399" s="312" t="str">
        <f t="shared" si="212"/>
        <v>LO</v>
      </c>
      <c r="F3399" s="369">
        <f>VLOOKUP(C3399,METADATA!$A$5:$H$29,IF(E3399="HI",2,IF(E3399="LO",6,10))+IF(D3399=1,2,IF(D3399=7,1,(IF(WEEKDAY(B3399)=1,2,IF(WEEKDAY(B3399)=7,1,0))))))</f>
        <v>2</v>
      </c>
      <c r="G3399" s="369">
        <f>VLOOKUP(C3399,METADATA!$J$5:$Q$29,IF(E3399="HI",2,IF(E3399="LO",6,10))+IF(D3399=1,2,IF(D3399=7,1,(IF(WEEKDAY(B3399)=1,2,IF(WEEKDAY(B3399)=7,1,0))))))</f>
        <v>2</v>
      </c>
      <c r="H3399" s="370">
        <v>9397.9249267578125</v>
      </c>
      <c r="I3399" s="370">
        <v>7614.0250244140625</v>
      </c>
      <c r="M3399" s="371">
        <f t="shared" si="213"/>
        <v>12095.220957112748</v>
      </c>
      <c r="N3399" s="329">
        <f t="shared" si="214"/>
        <v>4794.6475463867191</v>
      </c>
      <c r="T3399" s="331">
        <v>0</v>
      </c>
      <c r="U3399" s="328">
        <f>VLOOKUP(C3399,METADATA!$J$5:$Q$29,IF(E3399="HI",2,IF(E3399="LO",6,10))+IF(T3399=1,2,IF(D3399=7,1,(IF(WEEKDAY(B3399)=1,2,IF(WEEKDAY(B3399)=7,1,0))))))</f>
        <v>2</v>
      </c>
      <c r="V3399" s="328">
        <f>VLOOKUP(C3399,METADATA!$A$5:$H$29,IF(E3399="HI",2,IF(E3399="LO",6,10))+IF(T3399=1,2,IF(D3399=7,1,(IF(WEEKDAY(B3399)=1,2,IF(WEEKDAY(B3399)=7,1,0))))))</f>
        <v>2</v>
      </c>
    </row>
    <row r="3400" spans="2:22">
      <c r="B3400" s="318">
        <f t="shared" si="211"/>
        <v>46254</v>
      </c>
      <c r="C3400" s="312">
        <v>12</v>
      </c>
      <c r="D3400" s="368">
        <f>IFERROR((INDEX(METADATA!$T$2:$T$20,MATCH(B3400,METADATA!$S$2:$S$20,0))),0)</f>
        <v>0</v>
      </c>
      <c r="E3400" s="312" t="str">
        <f t="shared" si="212"/>
        <v>LO</v>
      </c>
      <c r="F3400" s="369">
        <f>VLOOKUP(C3400,METADATA!$A$5:$H$29,IF(E3400="HI",2,IF(E3400="LO",6,10))+IF(D3400=1,2,IF(D3400=7,1,(IF(WEEKDAY(B3400)=1,2,IF(WEEKDAY(B3400)=7,1,0))))))</f>
        <v>2</v>
      </c>
      <c r="G3400" s="369">
        <f>VLOOKUP(C3400,METADATA!$J$5:$Q$29,IF(E3400="HI",2,IF(E3400="LO",6,10))+IF(D3400=1,2,IF(D3400=7,1,(IF(WEEKDAY(B3400)=1,2,IF(WEEKDAY(B3400)=7,1,0))))))</f>
        <v>2</v>
      </c>
      <c r="H3400" s="370">
        <v>7522.2750244140625</v>
      </c>
      <c r="I3400" s="370">
        <v>6488.3998413085938</v>
      </c>
      <c r="M3400" s="371">
        <f t="shared" si="213"/>
        <v>9933.9797686333623</v>
      </c>
      <c r="N3400" s="329">
        <f t="shared" si="214"/>
        <v>4231.7173339843757</v>
      </c>
      <c r="T3400" s="331">
        <v>0</v>
      </c>
      <c r="U3400" s="328">
        <f>VLOOKUP(C3400,METADATA!$J$5:$Q$29,IF(E3400="HI",2,IF(E3400="LO",6,10))+IF(T3400=1,2,IF(D3400=7,1,(IF(WEEKDAY(B3400)=1,2,IF(WEEKDAY(B3400)=7,1,0))))))</f>
        <v>2</v>
      </c>
      <c r="V3400" s="328">
        <f>VLOOKUP(C3400,METADATA!$A$5:$H$29,IF(E3400="HI",2,IF(E3400="LO",6,10))+IF(T3400=1,2,IF(D3400=7,1,(IF(WEEKDAY(B3400)=1,2,IF(WEEKDAY(B3400)=7,1,0))))))</f>
        <v>2</v>
      </c>
    </row>
    <row r="3401" spans="2:22">
      <c r="B3401" s="318">
        <f t="shared" si="211"/>
        <v>46254</v>
      </c>
      <c r="C3401" s="312">
        <v>13</v>
      </c>
      <c r="D3401" s="368">
        <f>IFERROR((INDEX(METADATA!$T$2:$T$20,MATCH(B3401,METADATA!$S$2:$S$20,0))),0)</f>
        <v>0</v>
      </c>
      <c r="E3401" s="312" t="str">
        <f t="shared" si="212"/>
        <v>LO</v>
      </c>
      <c r="F3401" s="369">
        <f>VLOOKUP(C3401,METADATA!$A$5:$H$29,IF(E3401="HI",2,IF(E3401="LO",6,10))+IF(D3401=1,2,IF(D3401=7,1,(IF(WEEKDAY(B3401)=1,2,IF(WEEKDAY(B3401)=7,1,0))))))</f>
        <v>2</v>
      </c>
      <c r="G3401" s="369">
        <f>VLOOKUP(C3401,METADATA!$J$5:$Q$29,IF(E3401="HI",2,IF(E3401="LO",6,10))+IF(D3401=1,2,IF(D3401=7,1,(IF(WEEKDAY(B3401)=1,2,IF(WEEKDAY(B3401)=7,1,0))))))</f>
        <v>2</v>
      </c>
      <c r="H3401" s="370">
        <v>6890.60009765625</v>
      </c>
      <c r="I3401" s="370">
        <v>6182.4750366210938</v>
      </c>
      <c r="M3401" s="371">
        <f t="shared" si="213"/>
        <v>9257.6113163311911</v>
      </c>
      <c r="N3401" s="329">
        <f t="shared" si="214"/>
        <v>4115.2950073242191</v>
      </c>
      <c r="T3401" s="331">
        <v>0</v>
      </c>
      <c r="U3401" s="328">
        <f>VLOOKUP(C3401,METADATA!$J$5:$Q$29,IF(E3401="HI",2,IF(E3401="LO",6,10))+IF(T3401=1,2,IF(D3401=7,1,(IF(WEEKDAY(B3401)=1,2,IF(WEEKDAY(B3401)=7,1,0))))))</f>
        <v>2</v>
      </c>
      <c r="V3401" s="328">
        <f>VLOOKUP(C3401,METADATA!$A$5:$H$29,IF(E3401="HI",2,IF(E3401="LO",6,10))+IF(T3401=1,2,IF(D3401=7,1,(IF(WEEKDAY(B3401)=1,2,IF(WEEKDAY(B3401)=7,1,0))))))</f>
        <v>2</v>
      </c>
    </row>
    <row r="3402" spans="2:22">
      <c r="B3402" s="318">
        <f t="shared" si="211"/>
        <v>46254</v>
      </c>
      <c r="C3402" s="312">
        <v>14</v>
      </c>
      <c r="D3402" s="368">
        <f>IFERROR((INDEX(METADATA!$T$2:$T$20,MATCH(B3402,METADATA!$S$2:$S$20,0))),0)</f>
        <v>0</v>
      </c>
      <c r="E3402" s="312" t="str">
        <f t="shared" si="212"/>
        <v>LO</v>
      </c>
      <c r="F3402" s="369">
        <f>VLOOKUP(C3402,METADATA!$A$5:$H$29,IF(E3402="HI",2,IF(E3402="LO",6,10))+IF(D3402=1,2,IF(D3402=7,1,(IF(WEEKDAY(B3402)=1,2,IF(WEEKDAY(B3402)=7,1,0))))))</f>
        <v>2</v>
      </c>
      <c r="G3402" s="369">
        <f>VLOOKUP(C3402,METADATA!$J$5:$Q$29,IF(E3402="HI",2,IF(E3402="LO",6,10))+IF(D3402=1,2,IF(D3402=7,1,(IF(WEEKDAY(B3402)=1,2,IF(WEEKDAY(B3402)=7,1,0))))))</f>
        <v>2</v>
      </c>
      <c r="H3402" s="370">
        <v>9959.5697937011719</v>
      </c>
      <c r="I3402" s="370">
        <v>8234.9425659179688</v>
      </c>
      <c r="M3402" s="371">
        <f t="shared" si="213"/>
        <v>12923.13079480249</v>
      </c>
      <c r="N3402" s="329">
        <f t="shared" si="214"/>
        <v>5247.0716278076179</v>
      </c>
      <c r="T3402" s="331">
        <v>0</v>
      </c>
      <c r="U3402" s="328">
        <f>VLOOKUP(C3402,METADATA!$J$5:$Q$29,IF(E3402="HI",2,IF(E3402="LO",6,10))+IF(T3402=1,2,IF(D3402=7,1,(IF(WEEKDAY(B3402)=1,2,IF(WEEKDAY(B3402)=7,1,0))))))</f>
        <v>2</v>
      </c>
      <c r="V3402" s="328">
        <f>VLOOKUP(C3402,METADATA!$A$5:$H$29,IF(E3402="HI",2,IF(E3402="LO",6,10))+IF(T3402=1,2,IF(D3402=7,1,(IF(WEEKDAY(B3402)=1,2,IF(WEEKDAY(B3402)=7,1,0))))))</f>
        <v>2</v>
      </c>
    </row>
    <row r="3403" spans="2:22">
      <c r="B3403" s="318">
        <f t="shared" si="211"/>
        <v>46254</v>
      </c>
      <c r="C3403" s="312">
        <v>15</v>
      </c>
      <c r="D3403" s="368">
        <f>IFERROR((INDEX(METADATA!$T$2:$T$20,MATCH(B3403,METADATA!$S$2:$S$20,0))),0)</f>
        <v>0</v>
      </c>
      <c r="E3403" s="312" t="str">
        <f t="shared" si="212"/>
        <v>LO</v>
      </c>
      <c r="F3403" s="369">
        <f>VLOOKUP(C3403,METADATA!$A$5:$H$29,IF(E3403="HI",2,IF(E3403="LO",6,10))+IF(D3403=1,2,IF(D3403=7,1,(IF(WEEKDAY(B3403)=1,2,IF(WEEKDAY(B3403)=7,1,0))))))</f>
        <v>2</v>
      </c>
      <c r="G3403" s="369">
        <f>VLOOKUP(C3403,METADATA!$J$5:$Q$29,IF(E3403="HI",2,IF(E3403="LO",6,10))+IF(D3403=1,2,IF(D3403=7,1,(IF(WEEKDAY(B3403)=1,2,IF(WEEKDAY(B3403)=7,1,0))))))</f>
        <v>2</v>
      </c>
      <c r="H3403" s="370">
        <v>10554.702331542969</v>
      </c>
      <c r="I3403" s="370">
        <v>8514.5299987792969</v>
      </c>
      <c r="M3403" s="371">
        <f t="shared" si="213"/>
        <v>13560.93515977387</v>
      </c>
      <c r="N3403" s="329">
        <f t="shared" si="214"/>
        <v>5348.1192993164059</v>
      </c>
      <c r="T3403" s="331">
        <v>0</v>
      </c>
      <c r="U3403" s="328">
        <f>VLOOKUP(C3403,METADATA!$J$5:$Q$29,IF(E3403="HI",2,IF(E3403="LO",6,10))+IF(T3403=1,2,IF(D3403=7,1,(IF(WEEKDAY(B3403)=1,2,IF(WEEKDAY(B3403)=7,1,0))))))</f>
        <v>2</v>
      </c>
      <c r="V3403" s="328">
        <f>VLOOKUP(C3403,METADATA!$A$5:$H$29,IF(E3403="HI",2,IF(E3403="LO",6,10))+IF(T3403=1,2,IF(D3403=7,1,(IF(WEEKDAY(B3403)=1,2,IF(WEEKDAY(B3403)=7,1,0))))))</f>
        <v>2</v>
      </c>
    </row>
    <row r="3404" spans="2:22">
      <c r="B3404" s="318">
        <f t="shared" si="211"/>
        <v>46254</v>
      </c>
      <c r="C3404" s="312">
        <v>16</v>
      </c>
      <c r="D3404" s="368">
        <f>IFERROR((INDEX(METADATA!$T$2:$T$20,MATCH(B3404,METADATA!$S$2:$S$20,0))),0)</f>
        <v>0</v>
      </c>
      <c r="E3404" s="312" t="str">
        <f t="shared" si="212"/>
        <v>LO</v>
      </c>
      <c r="F3404" s="369">
        <f>VLOOKUP(C3404,METADATA!$A$5:$H$29,IF(E3404="HI",2,IF(E3404="LO",6,10))+IF(D3404=1,2,IF(D3404=7,1,(IF(WEEKDAY(B3404)=1,2,IF(WEEKDAY(B3404)=7,1,0))))))</f>
        <v>2</v>
      </c>
      <c r="G3404" s="369">
        <f>VLOOKUP(C3404,METADATA!$J$5:$Q$29,IF(E3404="HI",2,IF(E3404="LO",6,10))+IF(D3404=1,2,IF(D3404=7,1,(IF(WEEKDAY(B3404)=1,2,IF(WEEKDAY(B3404)=7,1,0))))))</f>
        <v>2</v>
      </c>
      <c r="H3404" s="370">
        <v>8846.3148498535156</v>
      </c>
      <c r="I3404" s="370">
        <v>7844.3849792480469</v>
      </c>
      <c r="M3404" s="371">
        <f t="shared" si="213"/>
        <v>11823.35240637744</v>
      </c>
      <c r="N3404" s="329">
        <f t="shared" si="214"/>
        <v>5190.4905242919922</v>
      </c>
      <c r="T3404" s="331">
        <v>0</v>
      </c>
      <c r="U3404" s="328">
        <f>VLOOKUP(C3404,METADATA!$J$5:$Q$29,IF(E3404="HI",2,IF(E3404="LO",6,10))+IF(T3404=1,2,IF(D3404=7,1,(IF(WEEKDAY(B3404)=1,2,IF(WEEKDAY(B3404)=7,1,0))))))</f>
        <v>2</v>
      </c>
      <c r="V3404" s="328">
        <f>VLOOKUP(C3404,METADATA!$A$5:$H$29,IF(E3404="HI",2,IF(E3404="LO",6,10))+IF(T3404=1,2,IF(D3404=7,1,(IF(WEEKDAY(B3404)=1,2,IF(WEEKDAY(B3404)=7,1,0))))))</f>
        <v>2</v>
      </c>
    </row>
    <row r="3405" spans="2:22">
      <c r="B3405" s="318">
        <f t="shared" si="211"/>
        <v>46254</v>
      </c>
      <c r="C3405" s="312">
        <v>17</v>
      </c>
      <c r="D3405" s="368">
        <f>IFERROR((INDEX(METADATA!$T$2:$T$20,MATCH(B3405,METADATA!$S$2:$S$20,0))),0)</f>
        <v>0</v>
      </c>
      <c r="E3405" s="312" t="str">
        <f t="shared" si="212"/>
        <v>LO</v>
      </c>
      <c r="F3405" s="369">
        <f>VLOOKUP(C3405,METADATA!$A$5:$H$29,IF(E3405="HI",2,IF(E3405="LO",6,10))+IF(D3405=1,2,IF(D3405=7,1,(IF(WEEKDAY(B3405)=1,2,IF(WEEKDAY(B3405)=7,1,0))))))</f>
        <v>2</v>
      </c>
      <c r="G3405" s="369">
        <f>VLOOKUP(C3405,METADATA!$J$5:$Q$29,IF(E3405="HI",2,IF(E3405="LO",6,10))+IF(D3405=1,2,IF(D3405=7,1,(IF(WEEKDAY(B3405)=1,2,IF(WEEKDAY(B3405)=7,1,0))))))</f>
        <v>2</v>
      </c>
      <c r="H3405" s="370">
        <v>12395.299926757813</v>
      </c>
      <c r="I3405" s="370">
        <v>9516.5499267578125</v>
      </c>
      <c r="M3405" s="371">
        <f t="shared" si="213"/>
        <v>15627.161699513968</v>
      </c>
      <c r="N3405" s="329">
        <f t="shared" si="214"/>
        <v>5797.9599487304695</v>
      </c>
      <c r="T3405" s="331">
        <v>0</v>
      </c>
      <c r="U3405" s="328">
        <f>VLOOKUP(C3405,METADATA!$J$5:$Q$29,IF(E3405="HI",2,IF(E3405="LO",6,10))+IF(T3405=1,2,IF(D3405=7,1,(IF(WEEKDAY(B3405)=1,2,IF(WEEKDAY(B3405)=7,1,0))))))</f>
        <v>2</v>
      </c>
      <c r="V3405" s="328">
        <f>VLOOKUP(C3405,METADATA!$A$5:$H$29,IF(E3405="HI",2,IF(E3405="LO",6,10))+IF(T3405=1,2,IF(D3405=7,1,(IF(WEEKDAY(B3405)=1,2,IF(WEEKDAY(B3405)=7,1,0))))))</f>
        <v>2</v>
      </c>
    </row>
    <row r="3406" spans="2:22">
      <c r="B3406" s="318">
        <f t="shared" si="211"/>
        <v>46254</v>
      </c>
      <c r="C3406" s="312">
        <v>18</v>
      </c>
      <c r="D3406" s="368">
        <f>IFERROR((INDEX(METADATA!$T$2:$T$20,MATCH(B3406,METADATA!$S$2:$S$20,0))),0)</f>
        <v>0</v>
      </c>
      <c r="E3406" s="312" t="str">
        <f t="shared" si="212"/>
        <v>LO</v>
      </c>
      <c r="F3406" s="369">
        <f>VLOOKUP(C3406,METADATA!$A$5:$H$29,IF(E3406="HI",2,IF(E3406="LO",6,10))+IF(D3406=1,2,IF(D3406=7,1,(IF(WEEKDAY(B3406)=1,2,IF(WEEKDAY(B3406)=7,1,0))))))</f>
        <v>1</v>
      </c>
      <c r="G3406" s="369">
        <f>VLOOKUP(C3406,METADATA!$J$5:$Q$29,IF(E3406="HI",2,IF(E3406="LO",6,10))+IF(D3406=1,2,IF(D3406=7,1,(IF(WEEKDAY(B3406)=1,2,IF(WEEKDAY(B3406)=7,1,0))))))</f>
        <v>1</v>
      </c>
      <c r="H3406" s="370">
        <v>12644.875061035156</v>
      </c>
      <c r="I3406" s="370">
        <v>9327.3500366210938</v>
      </c>
      <c r="M3406" s="371">
        <f t="shared" si="213"/>
        <v>15712.807642647585</v>
      </c>
      <c r="N3406" s="329">
        <f t="shared" si="214"/>
        <v>5533.8875183105465</v>
      </c>
      <c r="T3406" s="331">
        <v>0</v>
      </c>
      <c r="U3406" s="328">
        <f>VLOOKUP(C3406,METADATA!$J$5:$Q$29,IF(E3406="HI",2,IF(E3406="LO",6,10))+IF(T3406=1,2,IF(D3406=7,1,(IF(WEEKDAY(B3406)=1,2,IF(WEEKDAY(B3406)=7,1,0))))))</f>
        <v>1</v>
      </c>
      <c r="V3406" s="328">
        <f>VLOOKUP(C3406,METADATA!$A$5:$H$29,IF(E3406="HI",2,IF(E3406="LO",6,10))+IF(T3406=1,2,IF(D3406=7,1,(IF(WEEKDAY(B3406)=1,2,IF(WEEKDAY(B3406)=7,1,0))))))</f>
        <v>1</v>
      </c>
    </row>
    <row r="3407" spans="2:22">
      <c r="B3407" s="318">
        <f t="shared" si="211"/>
        <v>46254</v>
      </c>
      <c r="C3407" s="312">
        <v>19</v>
      </c>
      <c r="D3407" s="368">
        <f>IFERROR((INDEX(METADATA!$T$2:$T$20,MATCH(B3407,METADATA!$S$2:$S$20,0))),0)</f>
        <v>0</v>
      </c>
      <c r="E3407" s="312" t="str">
        <f t="shared" si="212"/>
        <v>LO</v>
      </c>
      <c r="F3407" s="369">
        <f>VLOOKUP(C3407,METADATA!$A$5:$H$29,IF(E3407="HI",2,IF(E3407="LO",6,10))+IF(D3407=1,2,IF(D3407=7,1,(IF(WEEKDAY(B3407)=1,2,IF(WEEKDAY(B3407)=7,1,0))))))</f>
        <v>1</v>
      </c>
      <c r="G3407" s="369">
        <f>VLOOKUP(C3407,METADATA!$J$5:$Q$29,IF(E3407="HI",2,IF(E3407="LO",6,10))+IF(D3407=1,2,IF(D3407=7,1,(IF(WEEKDAY(B3407)=1,2,IF(WEEKDAY(B3407)=7,1,0))))))</f>
        <v>1</v>
      </c>
      <c r="H3407" s="370">
        <v>12554.675048828125</v>
      </c>
      <c r="I3407" s="370">
        <v>9278.27490234375</v>
      </c>
      <c r="M3407" s="371">
        <f t="shared" si="213"/>
        <v>15611.093835639109</v>
      </c>
      <c r="N3407" s="329">
        <f t="shared" si="214"/>
        <v>5511.8723876953127</v>
      </c>
      <c r="T3407" s="331">
        <v>0</v>
      </c>
      <c r="U3407" s="328">
        <f>VLOOKUP(C3407,METADATA!$J$5:$Q$29,IF(E3407="HI",2,IF(E3407="LO",6,10))+IF(T3407=1,2,IF(D3407=7,1,(IF(WEEKDAY(B3407)=1,2,IF(WEEKDAY(B3407)=7,1,0))))))</f>
        <v>1</v>
      </c>
      <c r="V3407" s="328">
        <f>VLOOKUP(C3407,METADATA!$A$5:$H$29,IF(E3407="HI",2,IF(E3407="LO",6,10))+IF(T3407=1,2,IF(D3407=7,1,(IF(WEEKDAY(B3407)=1,2,IF(WEEKDAY(B3407)=7,1,0))))))</f>
        <v>1</v>
      </c>
    </row>
    <row r="3408" spans="2:22">
      <c r="B3408" s="318">
        <f t="shared" si="211"/>
        <v>46254</v>
      </c>
      <c r="C3408" s="312">
        <v>20</v>
      </c>
      <c r="D3408" s="368">
        <f>IFERROR((INDEX(METADATA!$T$2:$T$20,MATCH(B3408,METADATA!$S$2:$S$20,0))),0)</f>
        <v>0</v>
      </c>
      <c r="E3408" s="312" t="str">
        <f t="shared" si="212"/>
        <v>LO</v>
      </c>
      <c r="F3408" s="369">
        <f>VLOOKUP(C3408,METADATA!$A$5:$H$29,IF(E3408="HI",2,IF(E3408="LO",6,10))+IF(D3408=1,2,IF(D3408=7,1,(IF(WEEKDAY(B3408)=1,2,IF(WEEKDAY(B3408)=7,1,0))))))</f>
        <v>1</v>
      </c>
      <c r="G3408" s="369">
        <f>VLOOKUP(C3408,METADATA!$J$5:$Q$29,IF(E3408="HI",2,IF(E3408="LO",6,10))+IF(D3408=1,2,IF(D3408=7,1,(IF(WEEKDAY(B3408)=1,2,IF(WEEKDAY(B3408)=7,1,0))))))</f>
        <v>1</v>
      </c>
      <c r="H3408" s="370">
        <v>12539.500305175781</v>
      </c>
      <c r="I3408" s="370">
        <v>9305.9500122070313</v>
      </c>
      <c r="M3408" s="371">
        <f t="shared" si="213"/>
        <v>15615.36978534929</v>
      </c>
      <c r="N3408" s="329">
        <f t="shared" si="214"/>
        <v>5544.0999206542965</v>
      </c>
      <c r="T3408" s="331">
        <v>0</v>
      </c>
      <c r="U3408" s="328">
        <f>VLOOKUP(C3408,METADATA!$J$5:$Q$29,IF(E3408="HI",2,IF(E3408="LO",6,10))+IF(T3408=1,2,IF(D3408=7,1,(IF(WEEKDAY(B3408)=1,2,IF(WEEKDAY(B3408)=7,1,0))))))</f>
        <v>1</v>
      </c>
      <c r="V3408" s="328">
        <f>VLOOKUP(C3408,METADATA!$A$5:$H$29,IF(E3408="HI",2,IF(E3408="LO",6,10))+IF(T3408=1,2,IF(D3408=7,1,(IF(WEEKDAY(B3408)=1,2,IF(WEEKDAY(B3408)=7,1,0))))))</f>
        <v>1</v>
      </c>
    </row>
    <row r="3409" spans="2:22">
      <c r="B3409" s="318">
        <f t="shared" si="211"/>
        <v>46254</v>
      </c>
      <c r="C3409" s="312">
        <v>21</v>
      </c>
      <c r="D3409" s="368">
        <f>IFERROR((INDEX(METADATA!$T$2:$T$20,MATCH(B3409,METADATA!$S$2:$S$20,0))),0)</f>
        <v>0</v>
      </c>
      <c r="E3409" s="312" t="str">
        <f t="shared" si="212"/>
        <v>LO</v>
      </c>
      <c r="F3409" s="369">
        <f>VLOOKUP(C3409,METADATA!$A$5:$H$29,IF(E3409="HI",2,IF(E3409="LO",6,10))+IF(D3409=1,2,IF(D3409=7,1,(IF(WEEKDAY(B3409)=1,2,IF(WEEKDAY(B3409)=7,1,0))))))</f>
        <v>2</v>
      </c>
      <c r="G3409" s="369">
        <f>VLOOKUP(C3409,METADATA!$J$5:$Q$29,IF(E3409="HI",2,IF(E3409="LO",6,10))+IF(D3409=1,2,IF(D3409=7,1,(IF(WEEKDAY(B3409)=1,2,IF(WEEKDAY(B3409)=7,1,0))))))</f>
        <v>2</v>
      </c>
      <c r="H3409" s="370">
        <v>12406.474914550781</v>
      </c>
      <c r="I3409" s="370">
        <v>9385.8248901367188</v>
      </c>
      <c r="M3409" s="371">
        <f t="shared" si="213"/>
        <v>15556.809720302159</v>
      </c>
      <c r="N3409" s="329">
        <f t="shared" si="214"/>
        <v>5663.8824157714844</v>
      </c>
      <c r="T3409" s="331">
        <v>0</v>
      </c>
      <c r="U3409" s="328">
        <f>VLOOKUP(C3409,METADATA!$J$5:$Q$29,IF(E3409="HI",2,IF(E3409="LO",6,10))+IF(T3409=1,2,IF(D3409=7,1,(IF(WEEKDAY(B3409)=1,2,IF(WEEKDAY(B3409)=7,1,0))))))</f>
        <v>2</v>
      </c>
      <c r="V3409" s="328">
        <f>VLOOKUP(C3409,METADATA!$A$5:$H$29,IF(E3409="HI",2,IF(E3409="LO",6,10))+IF(T3409=1,2,IF(D3409=7,1,(IF(WEEKDAY(B3409)=1,2,IF(WEEKDAY(B3409)=7,1,0))))))</f>
        <v>2</v>
      </c>
    </row>
    <row r="3410" spans="2:22">
      <c r="B3410" s="318">
        <f t="shared" si="211"/>
        <v>46254</v>
      </c>
      <c r="C3410" s="312">
        <v>22</v>
      </c>
      <c r="D3410" s="368">
        <f>IFERROR((INDEX(METADATA!$T$2:$T$20,MATCH(B3410,METADATA!$S$2:$S$20,0))),0)</f>
        <v>0</v>
      </c>
      <c r="E3410" s="312" t="str">
        <f t="shared" si="212"/>
        <v>LO</v>
      </c>
      <c r="F3410" s="369">
        <f>VLOOKUP(C3410,METADATA!$A$5:$H$29,IF(E3410="HI",2,IF(E3410="LO",6,10))+IF(D3410=1,2,IF(D3410=7,1,(IF(WEEKDAY(B3410)=1,2,IF(WEEKDAY(B3410)=7,1,0))))))</f>
        <v>3</v>
      </c>
      <c r="G3410" s="369">
        <f>VLOOKUP(C3410,METADATA!$J$5:$Q$29,IF(E3410="HI",2,IF(E3410="LO",6,10))+IF(D3410=1,2,IF(D3410=7,1,(IF(WEEKDAY(B3410)=1,2,IF(WEEKDAY(B3410)=7,1,0))))))</f>
        <v>3</v>
      </c>
      <c r="H3410" s="370">
        <v>12473.374816894531</v>
      </c>
      <c r="I3410" s="370">
        <v>9551.9500122070313</v>
      </c>
      <c r="M3410" s="371">
        <f t="shared" si="213"/>
        <v>15710.659704749529</v>
      </c>
      <c r="N3410" s="329">
        <f t="shared" si="214"/>
        <v>5809.9375671386715</v>
      </c>
      <c r="T3410" s="331">
        <v>0</v>
      </c>
      <c r="U3410" s="328">
        <f>VLOOKUP(C3410,METADATA!$J$5:$Q$29,IF(E3410="HI",2,IF(E3410="LO",6,10))+IF(T3410=1,2,IF(D3410=7,1,(IF(WEEKDAY(B3410)=1,2,IF(WEEKDAY(B3410)=7,1,0))))))</f>
        <v>3</v>
      </c>
      <c r="V3410" s="328">
        <f>VLOOKUP(C3410,METADATA!$A$5:$H$29,IF(E3410="HI",2,IF(E3410="LO",6,10))+IF(T3410=1,2,IF(D3410=7,1,(IF(WEEKDAY(B3410)=1,2,IF(WEEKDAY(B3410)=7,1,0))))))</f>
        <v>3</v>
      </c>
    </row>
    <row r="3411" spans="2:22">
      <c r="B3411" s="318">
        <f t="shared" si="211"/>
        <v>46254</v>
      </c>
      <c r="C3411" s="312">
        <v>23</v>
      </c>
      <c r="D3411" s="368">
        <f>IFERROR((INDEX(METADATA!$T$2:$T$20,MATCH(B3411,METADATA!$S$2:$S$20,0))),0)</f>
        <v>0</v>
      </c>
      <c r="E3411" s="312" t="str">
        <f t="shared" si="212"/>
        <v>LO</v>
      </c>
      <c r="F3411" s="369">
        <f>VLOOKUP(C3411,METADATA!$A$5:$H$29,IF(E3411="HI",2,IF(E3411="LO",6,10))+IF(D3411=1,2,IF(D3411=7,1,(IF(WEEKDAY(B3411)=1,2,IF(WEEKDAY(B3411)=7,1,0))))))</f>
        <v>3</v>
      </c>
      <c r="G3411" s="369">
        <f>VLOOKUP(C3411,METADATA!$J$5:$Q$29,IF(E3411="HI",2,IF(E3411="LO",6,10))+IF(D3411=1,2,IF(D3411=7,1,(IF(WEEKDAY(B3411)=1,2,IF(WEEKDAY(B3411)=7,1,0))))))</f>
        <v>3</v>
      </c>
      <c r="H3411" s="370">
        <v>12422.375244140625</v>
      </c>
      <c r="I3411" s="370">
        <v>9606.849853515625</v>
      </c>
      <c r="M3411" s="371">
        <f t="shared" si="213"/>
        <v>15703.724743328605</v>
      </c>
      <c r="N3411" s="329">
        <f t="shared" si="214"/>
        <v>5880.1372802734377</v>
      </c>
      <c r="T3411" s="331">
        <v>0</v>
      </c>
      <c r="U3411" s="328">
        <f>VLOOKUP(C3411,METADATA!$J$5:$Q$29,IF(E3411="HI",2,IF(E3411="LO",6,10))+IF(T3411=1,2,IF(D3411=7,1,(IF(WEEKDAY(B3411)=1,2,IF(WEEKDAY(B3411)=7,1,0))))))</f>
        <v>3</v>
      </c>
      <c r="V3411" s="328">
        <f>VLOOKUP(C3411,METADATA!$A$5:$H$29,IF(E3411="HI",2,IF(E3411="LO",6,10))+IF(T3411=1,2,IF(D3411=7,1,(IF(WEEKDAY(B3411)=1,2,IF(WEEKDAY(B3411)=7,1,0))))))</f>
        <v>3</v>
      </c>
    </row>
    <row r="3412" spans="2:22">
      <c r="B3412" s="318">
        <f t="shared" si="211"/>
        <v>46255</v>
      </c>
      <c r="C3412" s="312">
        <v>0</v>
      </c>
      <c r="D3412" s="368">
        <f>IFERROR((INDEX(METADATA!$T$2:$T$20,MATCH(B3412,METADATA!$S$2:$S$20,0))),0)</f>
        <v>0</v>
      </c>
      <c r="E3412" s="312" t="str">
        <f t="shared" si="212"/>
        <v>LO</v>
      </c>
      <c r="F3412" s="369">
        <f>VLOOKUP(C3412,METADATA!$A$5:$H$29,IF(E3412="HI",2,IF(E3412="LO",6,10))+IF(D3412=1,2,IF(D3412=7,1,(IF(WEEKDAY(B3412)=1,2,IF(WEEKDAY(B3412)=7,1,0))))))</f>
        <v>3</v>
      </c>
      <c r="G3412" s="369">
        <f>VLOOKUP(C3412,METADATA!$J$5:$Q$29,IF(E3412="HI",2,IF(E3412="LO",6,10))+IF(D3412=1,2,IF(D3412=7,1,(IF(WEEKDAY(B3412)=1,2,IF(WEEKDAY(B3412)=7,1,0))))))</f>
        <v>3</v>
      </c>
      <c r="H3412" s="370">
        <v>6796.7949829101563</v>
      </c>
      <c r="I3412" s="370">
        <v>6470.7975463867188</v>
      </c>
      <c r="M3412" s="371">
        <f t="shared" si="213"/>
        <v>9384.4362071483574</v>
      </c>
      <c r="N3412" s="329">
        <f t="shared" si="214"/>
        <v>4431.7590515136717</v>
      </c>
      <c r="T3412" s="331">
        <v>0</v>
      </c>
      <c r="U3412" s="328">
        <f>VLOOKUP(C3412,METADATA!$J$5:$Q$29,IF(E3412="HI",2,IF(E3412="LO",6,10))+IF(T3412=1,2,IF(D3412=7,1,(IF(WEEKDAY(B3412)=1,2,IF(WEEKDAY(B3412)=7,1,0))))))</f>
        <v>3</v>
      </c>
      <c r="V3412" s="328">
        <f>VLOOKUP(C3412,METADATA!$A$5:$H$29,IF(E3412="HI",2,IF(E3412="LO",6,10))+IF(T3412=1,2,IF(D3412=7,1,(IF(WEEKDAY(B3412)=1,2,IF(WEEKDAY(B3412)=7,1,0))))))</f>
        <v>3</v>
      </c>
    </row>
    <row r="3413" spans="2:22">
      <c r="B3413" s="318">
        <f t="shared" si="211"/>
        <v>46255</v>
      </c>
      <c r="C3413" s="312">
        <v>1</v>
      </c>
      <c r="D3413" s="368">
        <f>IFERROR((INDEX(METADATA!$T$2:$T$20,MATCH(B3413,METADATA!$S$2:$S$20,0))),0)</f>
        <v>0</v>
      </c>
      <c r="E3413" s="312" t="str">
        <f t="shared" si="212"/>
        <v>LO</v>
      </c>
      <c r="F3413" s="369">
        <f>VLOOKUP(C3413,METADATA!$A$5:$H$29,IF(E3413="HI",2,IF(E3413="LO",6,10))+IF(D3413=1,2,IF(D3413=7,1,(IF(WEEKDAY(B3413)=1,2,IF(WEEKDAY(B3413)=7,1,0))))))</f>
        <v>3</v>
      </c>
      <c r="G3413" s="369">
        <f>VLOOKUP(C3413,METADATA!$J$5:$Q$29,IF(E3413="HI",2,IF(E3413="LO",6,10))+IF(D3413=1,2,IF(D3413=7,1,(IF(WEEKDAY(B3413)=1,2,IF(WEEKDAY(B3413)=7,1,0))))))</f>
        <v>3</v>
      </c>
      <c r="H3413" s="370">
        <v>4607.2249145507813</v>
      </c>
      <c r="I3413" s="370">
        <v>5059.322509765625</v>
      </c>
      <c r="M3413" s="371">
        <f t="shared" si="213"/>
        <v>6842.7527845947052</v>
      </c>
      <c r="N3413" s="329">
        <f t="shared" si="214"/>
        <v>3677.1550354003907</v>
      </c>
      <c r="T3413" s="331">
        <v>0</v>
      </c>
      <c r="U3413" s="328">
        <f>VLOOKUP(C3413,METADATA!$J$5:$Q$29,IF(E3413="HI",2,IF(E3413="LO",6,10))+IF(T3413=1,2,IF(D3413=7,1,(IF(WEEKDAY(B3413)=1,2,IF(WEEKDAY(B3413)=7,1,0))))))</f>
        <v>3</v>
      </c>
      <c r="V3413" s="328">
        <f>VLOOKUP(C3413,METADATA!$A$5:$H$29,IF(E3413="HI",2,IF(E3413="LO",6,10))+IF(T3413=1,2,IF(D3413=7,1,(IF(WEEKDAY(B3413)=1,2,IF(WEEKDAY(B3413)=7,1,0))))))</f>
        <v>3</v>
      </c>
    </row>
    <row r="3414" spans="2:22">
      <c r="B3414" s="318">
        <f t="shared" si="211"/>
        <v>46255</v>
      </c>
      <c r="C3414" s="312">
        <v>2</v>
      </c>
      <c r="D3414" s="368">
        <f>IFERROR((INDEX(METADATA!$T$2:$T$20,MATCH(B3414,METADATA!$S$2:$S$20,0))),0)</f>
        <v>0</v>
      </c>
      <c r="E3414" s="312" t="str">
        <f t="shared" si="212"/>
        <v>LO</v>
      </c>
      <c r="F3414" s="369">
        <f>VLOOKUP(C3414,METADATA!$A$5:$H$29,IF(E3414="HI",2,IF(E3414="LO",6,10))+IF(D3414=1,2,IF(D3414=7,1,(IF(WEEKDAY(B3414)=1,2,IF(WEEKDAY(B3414)=7,1,0))))))</f>
        <v>3</v>
      </c>
      <c r="G3414" s="369">
        <f>VLOOKUP(C3414,METADATA!$J$5:$Q$29,IF(E3414="HI",2,IF(E3414="LO",6,10))+IF(D3414=1,2,IF(D3414=7,1,(IF(WEEKDAY(B3414)=1,2,IF(WEEKDAY(B3414)=7,1,0))))))</f>
        <v>3</v>
      </c>
      <c r="H3414" s="370">
        <v>4410.5874328613281</v>
      </c>
      <c r="I3414" s="370">
        <v>4635.2174072265625</v>
      </c>
      <c r="M3414" s="371">
        <f t="shared" si="213"/>
        <v>6398.3218045961412</v>
      </c>
      <c r="N3414" s="329">
        <f t="shared" si="214"/>
        <v>3312.0411773681644</v>
      </c>
      <c r="T3414" s="331">
        <v>0</v>
      </c>
      <c r="U3414" s="328">
        <f>VLOOKUP(C3414,METADATA!$J$5:$Q$29,IF(E3414="HI",2,IF(E3414="LO",6,10))+IF(T3414=1,2,IF(D3414=7,1,(IF(WEEKDAY(B3414)=1,2,IF(WEEKDAY(B3414)=7,1,0))))))</f>
        <v>3</v>
      </c>
      <c r="V3414" s="328">
        <f>VLOOKUP(C3414,METADATA!$A$5:$H$29,IF(E3414="HI",2,IF(E3414="LO",6,10))+IF(T3414=1,2,IF(D3414=7,1,(IF(WEEKDAY(B3414)=1,2,IF(WEEKDAY(B3414)=7,1,0))))))</f>
        <v>3</v>
      </c>
    </row>
    <row r="3415" spans="2:22">
      <c r="B3415" s="318">
        <f t="shared" si="211"/>
        <v>46255</v>
      </c>
      <c r="C3415" s="312">
        <v>3</v>
      </c>
      <c r="D3415" s="368">
        <f>IFERROR((INDEX(METADATA!$T$2:$T$20,MATCH(B3415,METADATA!$S$2:$S$20,0))),0)</f>
        <v>0</v>
      </c>
      <c r="E3415" s="312" t="str">
        <f t="shared" si="212"/>
        <v>LO</v>
      </c>
      <c r="F3415" s="369">
        <f>VLOOKUP(C3415,METADATA!$A$5:$H$29,IF(E3415="HI",2,IF(E3415="LO",6,10))+IF(D3415=1,2,IF(D3415=7,1,(IF(WEEKDAY(B3415)=1,2,IF(WEEKDAY(B3415)=7,1,0))))))</f>
        <v>3</v>
      </c>
      <c r="G3415" s="369">
        <f>VLOOKUP(C3415,METADATA!$J$5:$Q$29,IF(E3415="HI",2,IF(E3415="LO",6,10))+IF(D3415=1,2,IF(D3415=7,1,(IF(WEEKDAY(B3415)=1,2,IF(WEEKDAY(B3415)=7,1,0))))))</f>
        <v>3</v>
      </c>
      <c r="H3415" s="370">
        <v>4433.2674865722656</v>
      </c>
      <c r="I3415" s="370">
        <v>4612.2699890136719</v>
      </c>
      <c r="M3415" s="371">
        <f t="shared" si="213"/>
        <v>6397.4131536938385</v>
      </c>
      <c r="N3415" s="329">
        <f t="shared" si="214"/>
        <v>3282.2897430419926</v>
      </c>
      <c r="T3415" s="331">
        <v>0</v>
      </c>
      <c r="U3415" s="328">
        <f>VLOOKUP(C3415,METADATA!$J$5:$Q$29,IF(E3415="HI",2,IF(E3415="LO",6,10))+IF(T3415=1,2,IF(D3415=7,1,(IF(WEEKDAY(B3415)=1,2,IF(WEEKDAY(B3415)=7,1,0))))))</f>
        <v>3</v>
      </c>
      <c r="V3415" s="328">
        <f>VLOOKUP(C3415,METADATA!$A$5:$H$29,IF(E3415="HI",2,IF(E3415="LO",6,10))+IF(T3415=1,2,IF(D3415=7,1,(IF(WEEKDAY(B3415)=1,2,IF(WEEKDAY(B3415)=7,1,0))))))</f>
        <v>3</v>
      </c>
    </row>
    <row r="3416" spans="2:22">
      <c r="B3416" s="318">
        <f t="shared" si="211"/>
        <v>46255</v>
      </c>
      <c r="C3416" s="312">
        <v>4</v>
      </c>
      <c r="D3416" s="368">
        <f>IFERROR((INDEX(METADATA!$T$2:$T$20,MATCH(B3416,METADATA!$S$2:$S$20,0))),0)</f>
        <v>0</v>
      </c>
      <c r="E3416" s="312" t="str">
        <f t="shared" si="212"/>
        <v>LO</v>
      </c>
      <c r="F3416" s="369">
        <f>VLOOKUP(C3416,METADATA!$A$5:$H$29,IF(E3416="HI",2,IF(E3416="LO",6,10))+IF(D3416=1,2,IF(D3416=7,1,(IF(WEEKDAY(B3416)=1,2,IF(WEEKDAY(B3416)=7,1,0))))))</f>
        <v>3</v>
      </c>
      <c r="G3416" s="369">
        <f>VLOOKUP(C3416,METADATA!$J$5:$Q$29,IF(E3416="HI",2,IF(E3416="LO",6,10))+IF(D3416=1,2,IF(D3416=7,1,(IF(WEEKDAY(B3416)=1,2,IF(WEEKDAY(B3416)=7,1,0))))))</f>
        <v>3</v>
      </c>
      <c r="H3416" s="370">
        <v>4372.8099670410156</v>
      </c>
      <c r="I3416" s="370">
        <v>4577.1673583984375</v>
      </c>
      <c r="M3416" s="371">
        <f t="shared" si="213"/>
        <v>6330.2391767326908</v>
      </c>
      <c r="N3416" s="329">
        <f t="shared" si="214"/>
        <v>3265.324368286133</v>
      </c>
      <c r="T3416" s="331">
        <v>0</v>
      </c>
      <c r="U3416" s="328">
        <f>VLOOKUP(C3416,METADATA!$J$5:$Q$29,IF(E3416="HI",2,IF(E3416="LO",6,10))+IF(T3416=1,2,IF(D3416=7,1,(IF(WEEKDAY(B3416)=1,2,IF(WEEKDAY(B3416)=7,1,0))))))</f>
        <v>3</v>
      </c>
      <c r="V3416" s="328">
        <f>VLOOKUP(C3416,METADATA!$A$5:$H$29,IF(E3416="HI",2,IF(E3416="LO",6,10))+IF(T3416=1,2,IF(D3416=7,1,(IF(WEEKDAY(B3416)=1,2,IF(WEEKDAY(B3416)=7,1,0))))))</f>
        <v>3</v>
      </c>
    </row>
    <row r="3417" spans="2:22">
      <c r="B3417" s="318">
        <f t="shared" si="211"/>
        <v>46255</v>
      </c>
      <c r="C3417" s="312">
        <v>5</v>
      </c>
      <c r="D3417" s="368">
        <f>IFERROR((INDEX(METADATA!$T$2:$T$20,MATCH(B3417,METADATA!$S$2:$S$20,0))),0)</f>
        <v>0</v>
      </c>
      <c r="E3417" s="312" t="str">
        <f t="shared" si="212"/>
        <v>LO</v>
      </c>
      <c r="F3417" s="369">
        <f>VLOOKUP(C3417,METADATA!$A$5:$H$29,IF(E3417="HI",2,IF(E3417="LO",6,10))+IF(D3417=1,2,IF(D3417=7,1,(IF(WEEKDAY(B3417)=1,2,IF(WEEKDAY(B3417)=7,1,0))))))</f>
        <v>3</v>
      </c>
      <c r="G3417" s="369">
        <f>VLOOKUP(C3417,METADATA!$J$5:$Q$29,IF(E3417="HI",2,IF(E3417="LO",6,10))+IF(D3417=1,2,IF(D3417=7,1,(IF(WEEKDAY(B3417)=1,2,IF(WEEKDAY(B3417)=7,1,0))))))</f>
        <v>3</v>
      </c>
      <c r="H3417" s="370">
        <v>4429.5450439453125</v>
      </c>
      <c r="I3417" s="370">
        <v>4571.4700317382813</v>
      </c>
      <c r="M3417" s="371">
        <f t="shared" si="213"/>
        <v>6365.4699392442089</v>
      </c>
      <c r="N3417" s="329">
        <f t="shared" si="214"/>
        <v>3242.6065185546877</v>
      </c>
      <c r="T3417" s="331">
        <v>0</v>
      </c>
      <c r="U3417" s="328">
        <f>VLOOKUP(C3417,METADATA!$J$5:$Q$29,IF(E3417="HI",2,IF(E3417="LO",6,10))+IF(T3417=1,2,IF(D3417=7,1,(IF(WEEKDAY(B3417)=1,2,IF(WEEKDAY(B3417)=7,1,0))))))</f>
        <v>3</v>
      </c>
      <c r="V3417" s="328">
        <f>VLOOKUP(C3417,METADATA!$A$5:$H$29,IF(E3417="HI",2,IF(E3417="LO",6,10))+IF(T3417=1,2,IF(D3417=7,1,(IF(WEEKDAY(B3417)=1,2,IF(WEEKDAY(B3417)=7,1,0))))))</f>
        <v>3</v>
      </c>
    </row>
    <row r="3418" spans="2:22">
      <c r="B3418" s="318">
        <f t="shared" si="211"/>
        <v>46255</v>
      </c>
      <c r="C3418" s="312">
        <v>6</v>
      </c>
      <c r="D3418" s="368">
        <f>IFERROR((INDEX(METADATA!$T$2:$T$20,MATCH(B3418,METADATA!$S$2:$S$20,0))),0)</f>
        <v>0</v>
      </c>
      <c r="E3418" s="312" t="str">
        <f t="shared" si="212"/>
        <v>LO</v>
      </c>
      <c r="F3418" s="369">
        <f>VLOOKUP(C3418,METADATA!$A$5:$H$29,IF(E3418="HI",2,IF(E3418="LO",6,10))+IF(D3418=1,2,IF(D3418=7,1,(IF(WEEKDAY(B3418)=1,2,IF(WEEKDAY(B3418)=7,1,0))))))</f>
        <v>2</v>
      </c>
      <c r="G3418" s="369">
        <f>VLOOKUP(C3418,METADATA!$J$5:$Q$29,IF(E3418="HI",2,IF(E3418="LO",6,10))+IF(D3418=1,2,IF(D3418=7,1,(IF(WEEKDAY(B3418)=1,2,IF(WEEKDAY(B3418)=7,1,0))))))</f>
        <v>2</v>
      </c>
      <c r="H3418" s="370">
        <v>4285.9875183105469</v>
      </c>
      <c r="I3418" s="370">
        <v>4485.2249450683594</v>
      </c>
      <c r="M3418" s="371">
        <f t="shared" si="213"/>
        <v>6203.7836692600158</v>
      </c>
      <c r="N3418" s="329">
        <f t="shared" si="214"/>
        <v>3199.4286895751957</v>
      </c>
      <c r="T3418" s="331">
        <v>0</v>
      </c>
      <c r="U3418" s="328">
        <f>VLOOKUP(C3418,METADATA!$J$5:$Q$29,IF(E3418="HI",2,IF(E3418="LO",6,10))+IF(T3418=1,2,IF(D3418=7,1,(IF(WEEKDAY(B3418)=1,2,IF(WEEKDAY(B3418)=7,1,0))))))</f>
        <v>2</v>
      </c>
      <c r="V3418" s="328">
        <f>VLOOKUP(C3418,METADATA!$A$5:$H$29,IF(E3418="HI",2,IF(E3418="LO",6,10))+IF(T3418=1,2,IF(D3418=7,1,(IF(WEEKDAY(B3418)=1,2,IF(WEEKDAY(B3418)=7,1,0))))))</f>
        <v>2</v>
      </c>
    </row>
    <row r="3419" spans="2:22">
      <c r="B3419" s="318">
        <f t="shared" si="211"/>
        <v>46255</v>
      </c>
      <c r="C3419" s="312">
        <v>7</v>
      </c>
      <c r="D3419" s="368">
        <f>IFERROR((INDEX(METADATA!$T$2:$T$20,MATCH(B3419,METADATA!$S$2:$S$20,0))),0)</f>
        <v>0</v>
      </c>
      <c r="E3419" s="312" t="str">
        <f t="shared" si="212"/>
        <v>LO</v>
      </c>
      <c r="F3419" s="369">
        <f>VLOOKUP(C3419,METADATA!$A$5:$H$29,IF(E3419="HI",2,IF(E3419="LO",6,10))+IF(D3419=1,2,IF(D3419=7,1,(IF(WEEKDAY(B3419)=1,2,IF(WEEKDAY(B3419)=7,1,0))))))</f>
        <v>1</v>
      </c>
      <c r="G3419" s="369">
        <f>VLOOKUP(C3419,METADATA!$J$5:$Q$29,IF(E3419="HI",2,IF(E3419="LO",6,10))+IF(D3419=1,2,IF(D3419=7,1,(IF(WEEKDAY(B3419)=1,2,IF(WEEKDAY(B3419)=7,1,0))))))</f>
        <v>1</v>
      </c>
      <c r="H3419" s="370">
        <v>4380.3049926757813</v>
      </c>
      <c r="I3419" s="370">
        <v>4473.822509765625</v>
      </c>
      <c r="M3419" s="371">
        <f t="shared" si="213"/>
        <v>6261.1628055614374</v>
      </c>
      <c r="N3419" s="329">
        <f t="shared" si="214"/>
        <v>3159.731011962891</v>
      </c>
      <c r="T3419" s="331">
        <v>0</v>
      </c>
      <c r="U3419" s="328">
        <f>VLOOKUP(C3419,METADATA!$J$5:$Q$29,IF(E3419="HI",2,IF(E3419="LO",6,10))+IF(T3419=1,2,IF(D3419=7,1,(IF(WEEKDAY(B3419)=1,2,IF(WEEKDAY(B3419)=7,1,0))))))</f>
        <v>1</v>
      </c>
      <c r="V3419" s="328">
        <f>VLOOKUP(C3419,METADATA!$A$5:$H$29,IF(E3419="HI",2,IF(E3419="LO",6,10))+IF(T3419=1,2,IF(D3419=7,1,(IF(WEEKDAY(B3419)=1,2,IF(WEEKDAY(B3419)=7,1,0))))))</f>
        <v>1</v>
      </c>
    </row>
    <row r="3420" spans="2:22">
      <c r="B3420" s="318">
        <f t="shared" ref="B3420:B3483" si="215">B3396+1</f>
        <v>46255</v>
      </c>
      <c r="C3420" s="312">
        <v>8</v>
      </c>
      <c r="D3420" s="368">
        <f>IFERROR((INDEX(METADATA!$T$2:$T$20,MATCH(B3420,METADATA!$S$2:$S$20,0))),0)</f>
        <v>0</v>
      </c>
      <c r="E3420" s="312" t="str">
        <f t="shared" si="212"/>
        <v>LO</v>
      </c>
      <c r="F3420" s="369">
        <f>VLOOKUP(C3420,METADATA!$A$5:$H$29,IF(E3420="HI",2,IF(E3420="LO",6,10))+IF(D3420=1,2,IF(D3420=7,1,(IF(WEEKDAY(B3420)=1,2,IF(WEEKDAY(B3420)=7,1,0))))))</f>
        <v>1</v>
      </c>
      <c r="G3420" s="369">
        <f>VLOOKUP(C3420,METADATA!$J$5:$Q$29,IF(E3420="HI",2,IF(E3420="LO",6,10))+IF(D3420=1,2,IF(D3420=7,1,(IF(WEEKDAY(B3420)=1,2,IF(WEEKDAY(B3420)=7,1,0))))))</f>
        <v>1</v>
      </c>
      <c r="H3420" s="370">
        <v>4409.1675720214844</v>
      </c>
      <c r="I3420" s="370">
        <v>4484.7723999023438</v>
      </c>
      <c r="M3420" s="371">
        <f t="shared" si="213"/>
        <v>6289.1924884751033</v>
      </c>
      <c r="N3420" s="329">
        <f t="shared" si="214"/>
        <v>3162.0221282958983</v>
      </c>
      <c r="T3420" s="331">
        <v>0</v>
      </c>
      <c r="U3420" s="328">
        <f>VLOOKUP(C3420,METADATA!$J$5:$Q$29,IF(E3420="HI",2,IF(E3420="LO",6,10))+IF(T3420=1,2,IF(D3420=7,1,(IF(WEEKDAY(B3420)=1,2,IF(WEEKDAY(B3420)=7,1,0))))))</f>
        <v>1</v>
      </c>
      <c r="V3420" s="328">
        <f>VLOOKUP(C3420,METADATA!$A$5:$H$29,IF(E3420="HI",2,IF(E3420="LO",6,10))+IF(T3420=1,2,IF(D3420=7,1,(IF(WEEKDAY(B3420)=1,2,IF(WEEKDAY(B3420)=7,1,0))))))</f>
        <v>1</v>
      </c>
    </row>
    <row r="3421" spans="2:22">
      <c r="B3421" s="318">
        <f t="shared" si="215"/>
        <v>46255</v>
      </c>
      <c r="C3421" s="312">
        <v>9</v>
      </c>
      <c r="D3421" s="368">
        <f>IFERROR((INDEX(METADATA!$T$2:$T$20,MATCH(B3421,METADATA!$S$2:$S$20,0))),0)</f>
        <v>0</v>
      </c>
      <c r="E3421" s="312" t="str">
        <f t="shared" si="212"/>
        <v>LO</v>
      </c>
      <c r="F3421" s="369">
        <f>VLOOKUP(C3421,METADATA!$A$5:$H$29,IF(E3421="HI",2,IF(E3421="LO",6,10))+IF(D3421=1,2,IF(D3421=7,1,(IF(WEEKDAY(B3421)=1,2,IF(WEEKDAY(B3421)=7,1,0))))))</f>
        <v>2</v>
      </c>
      <c r="G3421" s="369">
        <f>VLOOKUP(C3421,METADATA!$J$5:$Q$29,IF(E3421="HI",2,IF(E3421="LO",6,10))+IF(D3421=1,2,IF(D3421=7,1,(IF(WEEKDAY(B3421)=1,2,IF(WEEKDAY(B3421)=7,1,0))))))</f>
        <v>2</v>
      </c>
      <c r="H3421" s="370">
        <v>4518.705078125</v>
      </c>
      <c r="I3421" s="370">
        <v>4524.280029296875</v>
      </c>
      <c r="M3421" s="371">
        <f t="shared" si="213"/>
        <v>6394.3573067640809</v>
      </c>
      <c r="N3421" s="329">
        <f t="shared" si="214"/>
        <v>3168.6685058593748</v>
      </c>
      <c r="T3421" s="331">
        <v>0</v>
      </c>
      <c r="U3421" s="328">
        <f>VLOOKUP(C3421,METADATA!$J$5:$Q$29,IF(E3421="HI",2,IF(E3421="LO",6,10))+IF(T3421=1,2,IF(D3421=7,1,(IF(WEEKDAY(B3421)=1,2,IF(WEEKDAY(B3421)=7,1,0))))))</f>
        <v>2</v>
      </c>
      <c r="V3421" s="328">
        <f>VLOOKUP(C3421,METADATA!$A$5:$H$29,IF(E3421="HI",2,IF(E3421="LO",6,10))+IF(T3421=1,2,IF(D3421=7,1,(IF(WEEKDAY(B3421)=1,2,IF(WEEKDAY(B3421)=7,1,0))))))</f>
        <v>2</v>
      </c>
    </row>
    <row r="3422" spans="2:22">
      <c r="B3422" s="318">
        <f t="shared" si="215"/>
        <v>46255</v>
      </c>
      <c r="C3422" s="312">
        <v>10</v>
      </c>
      <c r="D3422" s="368">
        <f>IFERROR((INDEX(METADATA!$T$2:$T$20,MATCH(B3422,METADATA!$S$2:$S$20,0))),0)</f>
        <v>0</v>
      </c>
      <c r="E3422" s="312" t="str">
        <f t="shared" si="212"/>
        <v>LO</v>
      </c>
      <c r="F3422" s="369">
        <f>VLOOKUP(C3422,METADATA!$A$5:$H$29,IF(E3422="HI",2,IF(E3422="LO",6,10))+IF(D3422=1,2,IF(D3422=7,1,(IF(WEEKDAY(B3422)=1,2,IF(WEEKDAY(B3422)=7,1,0))))))</f>
        <v>2</v>
      </c>
      <c r="G3422" s="369">
        <f>VLOOKUP(C3422,METADATA!$J$5:$Q$29,IF(E3422="HI",2,IF(E3422="LO",6,10))+IF(D3422=1,2,IF(D3422=7,1,(IF(WEEKDAY(B3422)=1,2,IF(WEEKDAY(B3422)=7,1,0))))))</f>
        <v>2</v>
      </c>
      <c r="H3422" s="370">
        <v>4519.7000122070313</v>
      </c>
      <c r="I3422" s="370">
        <v>4521.717529296875</v>
      </c>
      <c r="M3422" s="371">
        <f t="shared" si="213"/>
        <v>6393.2478143033741</v>
      </c>
      <c r="N3422" s="329">
        <f t="shared" si="214"/>
        <v>3165.8075256347656</v>
      </c>
      <c r="T3422" s="331">
        <v>0</v>
      </c>
      <c r="U3422" s="328">
        <f>VLOOKUP(C3422,METADATA!$J$5:$Q$29,IF(E3422="HI",2,IF(E3422="LO",6,10))+IF(T3422=1,2,IF(D3422=7,1,(IF(WEEKDAY(B3422)=1,2,IF(WEEKDAY(B3422)=7,1,0))))))</f>
        <v>2</v>
      </c>
      <c r="V3422" s="328">
        <f>VLOOKUP(C3422,METADATA!$A$5:$H$29,IF(E3422="HI",2,IF(E3422="LO",6,10))+IF(T3422=1,2,IF(D3422=7,1,(IF(WEEKDAY(B3422)=1,2,IF(WEEKDAY(B3422)=7,1,0))))))</f>
        <v>2</v>
      </c>
    </row>
    <row r="3423" spans="2:22">
      <c r="B3423" s="318">
        <f t="shared" si="215"/>
        <v>46255</v>
      </c>
      <c r="C3423" s="312">
        <v>11</v>
      </c>
      <c r="D3423" s="368">
        <f>IFERROR((INDEX(METADATA!$T$2:$T$20,MATCH(B3423,METADATA!$S$2:$S$20,0))),0)</f>
        <v>0</v>
      </c>
      <c r="E3423" s="312" t="str">
        <f t="shared" si="212"/>
        <v>LO</v>
      </c>
      <c r="F3423" s="369">
        <f>VLOOKUP(C3423,METADATA!$A$5:$H$29,IF(E3423="HI",2,IF(E3423="LO",6,10))+IF(D3423=1,2,IF(D3423=7,1,(IF(WEEKDAY(B3423)=1,2,IF(WEEKDAY(B3423)=7,1,0))))))</f>
        <v>2</v>
      </c>
      <c r="G3423" s="369">
        <f>VLOOKUP(C3423,METADATA!$J$5:$Q$29,IF(E3423="HI",2,IF(E3423="LO",6,10))+IF(D3423=1,2,IF(D3423=7,1,(IF(WEEKDAY(B3423)=1,2,IF(WEEKDAY(B3423)=7,1,0))))))</f>
        <v>2</v>
      </c>
      <c r="H3423" s="370">
        <v>4596.5150146484375</v>
      </c>
      <c r="I3423" s="370">
        <v>4657.2524108886719</v>
      </c>
      <c r="M3423" s="371">
        <f t="shared" si="213"/>
        <v>6543.5426413080604</v>
      </c>
      <c r="N3423" s="329">
        <f t="shared" si="214"/>
        <v>3278.297906494141</v>
      </c>
      <c r="T3423" s="331">
        <v>0</v>
      </c>
      <c r="U3423" s="328">
        <f>VLOOKUP(C3423,METADATA!$J$5:$Q$29,IF(E3423="HI",2,IF(E3423="LO",6,10))+IF(T3423=1,2,IF(D3423=7,1,(IF(WEEKDAY(B3423)=1,2,IF(WEEKDAY(B3423)=7,1,0))))))</f>
        <v>2</v>
      </c>
      <c r="V3423" s="328">
        <f>VLOOKUP(C3423,METADATA!$A$5:$H$29,IF(E3423="HI",2,IF(E3423="LO",6,10))+IF(T3423=1,2,IF(D3423=7,1,(IF(WEEKDAY(B3423)=1,2,IF(WEEKDAY(B3423)=7,1,0))))))</f>
        <v>2</v>
      </c>
    </row>
    <row r="3424" spans="2:22">
      <c r="B3424" s="318">
        <f t="shared" si="215"/>
        <v>46255</v>
      </c>
      <c r="C3424" s="312">
        <v>12</v>
      </c>
      <c r="D3424" s="368">
        <f>IFERROR((INDEX(METADATA!$T$2:$T$20,MATCH(B3424,METADATA!$S$2:$S$20,0))),0)</f>
        <v>0</v>
      </c>
      <c r="E3424" s="312" t="str">
        <f t="shared" si="212"/>
        <v>LO</v>
      </c>
      <c r="F3424" s="369">
        <f>VLOOKUP(C3424,METADATA!$A$5:$H$29,IF(E3424="HI",2,IF(E3424="LO",6,10))+IF(D3424=1,2,IF(D3424=7,1,(IF(WEEKDAY(B3424)=1,2,IF(WEEKDAY(B3424)=7,1,0))))))</f>
        <v>2</v>
      </c>
      <c r="G3424" s="369">
        <f>VLOOKUP(C3424,METADATA!$J$5:$Q$29,IF(E3424="HI",2,IF(E3424="LO",6,10))+IF(D3424=1,2,IF(D3424=7,1,(IF(WEEKDAY(B3424)=1,2,IF(WEEKDAY(B3424)=7,1,0))))))</f>
        <v>2</v>
      </c>
      <c r="H3424" s="370">
        <v>4558.4225769042969</v>
      </c>
      <c r="I3424" s="370">
        <v>4726.9975280761719</v>
      </c>
      <c r="M3424" s="371">
        <f t="shared" si="213"/>
        <v>6566.8654638319676</v>
      </c>
      <c r="N3424" s="329">
        <f t="shared" si="214"/>
        <v>3359.4707550048829</v>
      </c>
      <c r="T3424" s="331">
        <v>0</v>
      </c>
      <c r="U3424" s="328">
        <f>VLOOKUP(C3424,METADATA!$J$5:$Q$29,IF(E3424="HI",2,IF(E3424="LO",6,10))+IF(T3424=1,2,IF(D3424=7,1,(IF(WEEKDAY(B3424)=1,2,IF(WEEKDAY(B3424)=7,1,0))))))</f>
        <v>2</v>
      </c>
      <c r="V3424" s="328">
        <f>VLOOKUP(C3424,METADATA!$A$5:$H$29,IF(E3424="HI",2,IF(E3424="LO",6,10))+IF(T3424=1,2,IF(D3424=7,1,(IF(WEEKDAY(B3424)=1,2,IF(WEEKDAY(B3424)=7,1,0))))))</f>
        <v>2</v>
      </c>
    </row>
    <row r="3425" spans="2:22">
      <c r="B3425" s="318">
        <f t="shared" si="215"/>
        <v>46255</v>
      </c>
      <c r="C3425" s="312">
        <v>13</v>
      </c>
      <c r="D3425" s="368">
        <f>IFERROR((INDEX(METADATA!$T$2:$T$20,MATCH(B3425,METADATA!$S$2:$S$20,0))),0)</f>
        <v>0</v>
      </c>
      <c r="E3425" s="312" t="str">
        <f t="shared" si="212"/>
        <v>LO</v>
      </c>
      <c r="F3425" s="369">
        <f>VLOOKUP(C3425,METADATA!$A$5:$H$29,IF(E3425="HI",2,IF(E3425="LO",6,10))+IF(D3425=1,2,IF(D3425=7,1,(IF(WEEKDAY(B3425)=1,2,IF(WEEKDAY(B3425)=7,1,0))))))</f>
        <v>2</v>
      </c>
      <c r="G3425" s="369">
        <f>VLOOKUP(C3425,METADATA!$J$5:$Q$29,IF(E3425="HI",2,IF(E3425="LO",6,10))+IF(D3425=1,2,IF(D3425=7,1,(IF(WEEKDAY(B3425)=1,2,IF(WEEKDAY(B3425)=7,1,0))))))</f>
        <v>2</v>
      </c>
      <c r="H3425" s="370">
        <v>4601.8099670410156</v>
      </c>
      <c r="I3425" s="370">
        <v>4700.6875</v>
      </c>
      <c r="M3425" s="371">
        <f t="shared" si="213"/>
        <v>6578.2306090174643</v>
      </c>
      <c r="N3425" s="329">
        <f t="shared" si="214"/>
        <v>3320.1445098876957</v>
      </c>
      <c r="T3425" s="331">
        <v>0</v>
      </c>
      <c r="U3425" s="328">
        <f>VLOOKUP(C3425,METADATA!$J$5:$Q$29,IF(E3425="HI",2,IF(E3425="LO",6,10))+IF(T3425=1,2,IF(D3425=7,1,(IF(WEEKDAY(B3425)=1,2,IF(WEEKDAY(B3425)=7,1,0))))))</f>
        <v>2</v>
      </c>
      <c r="V3425" s="328">
        <f>VLOOKUP(C3425,METADATA!$A$5:$H$29,IF(E3425="HI",2,IF(E3425="LO",6,10))+IF(T3425=1,2,IF(D3425=7,1,(IF(WEEKDAY(B3425)=1,2,IF(WEEKDAY(B3425)=7,1,0))))))</f>
        <v>2</v>
      </c>
    </row>
    <row r="3426" spans="2:22">
      <c r="B3426" s="318">
        <f t="shared" si="215"/>
        <v>46255</v>
      </c>
      <c r="C3426" s="312">
        <v>14</v>
      </c>
      <c r="D3426" s="368">
        <f>IFERROR((INDEX(METADATA!$T$2:$T$20,MATCH(B3426,METADATA!$S$2:$S$20,0))),0)</f>
        <v>0</v>
      </c>
      <c r="E3426" s="312" t="str">
        <f t="shared" si="212"/>
        <v>LO</v>
      </c>
      <c r="F3426" s="369">
        <f>VLOOKUP(C3426,METADATA!$A$5:$H$29,IF(E3426="HI",2,IF(E3426="LO",6,10))+IF(D3426=1,2,IF(D3426=7,1,(IF(WEEKDAY(B3426)=1,2,IF(WEEKDAY(B3426)=7,1,0))))))</f>
        <v>2</v>
      </c>
      <c r="G3426" s="369">
        <f>VLOOKUP(C3426,METADATA!$J$5:$Q$29,IF(E3426="HI",2,IF(E3426="LO",6,10))+IF(D3426=1,2,IF(D3426=7,1,(IF(WEEKDAY(B3426)=1,2,IF(WEEKDAY(B3426)=7,1,0))))))</f>
        <v>2</v>
      </c>
      <c r="H3426" s="370">
        <v>4645.8175048828125</v>
      </c>
      <c r="I3426" s="370">
        <v>4720.6449279785156</v>
      </c>
      <c r="M3426" s="371">
        <f t="shared" si="213"/>
        <v>6623.3004480187101</v>
      </c>
      <c r="N3426" s="329">
        <f t="shared" si="214"/>
        <v>3326.8996765136717</v>
      </c>
      <c r="T3426" s="331">
        <v>0</v>
      </c>
      <c r="U3426" s="328">
        <f>VLOOKUP(C3426,METADATA!$J$5:$Q$29,IF(E3426="HI",2,IF(E3426="LO",6,10))+IF(T3426=1,2,IF(D3426=7,1,(IF(WEEKDAY(B3426)=1,2,IF(WEEKDAY(B3426)=7,1,0))))))</f>
        <v>2</v>
      </c>
      <c r="V3426" s="328">
        <f>VLOOKUP(C3426,METADATA!$A$5:$H$29,IF(E3426="HI",2,IF(E3426="LO",6,10))+IF(T3426=1,2,IF(D3426=7,1,(IF(WEEKDAY(B3426)=1,2,IF(WEEKDAY(B3426)=7,1,0))))))</f>
        <v>2</v>
      </c>
    </row>
    <row r="3427" spans="2:22">
      <c r="B3427" s="318">
        <f t="shared" si="215"/>
        <v>46255</v>
      </c>
      <c r="C3427" s="312">
        <v>15</v>
      </c>
      <c r="D3427" s="368">
        <f>IFERROR((INDEX(METADATA!$T$2:$T$20,MATCH(B3427,METADATA!$S$2:$S$20,0))),0)</f>
        <v>0</v>
      </c>
      <c r="E3427" s="312" t="str">
        <f t="shared" si="212"/>
        <v>LO</v>
      </c>
      <c r="F3427" s="369">
        <f>VLOOKUP(C3427,METADATA!$A$5:$H$29,IF(E3427="HI",2,IF(E3427="LO",6,10))+IF(D3427=1,2,IF(D3427=7,1,(IF(WEEKDAY(B3427)=1,2,IF(WEEKDAY(B3427)=7,1,0))))))</f>
        <v>2</v>
      </c>
      <c r="G3427" s="369">
        <f>VLOOKUP(C3427,METADATA!$J$5:$Q$29,IF(E3427="HI",2,IF(E3427="LO",6,10))+IF(D3427=1,2,IF(D3427=7,1,(IF(WEEKDAY(B3427)=1,2,IF(WEEKDAY(B3427)=7,1,0))))))</f>
        <v>2</v>
      </c>
      <c r="H3427" s="370">
        <v>4633.927490234375</v>
      </c>
      <c r="I3427" s="370">
        <v>4697.1625061035156</v>
      </c>
      <c r="M3427" s="371">
        <f t="shared" si="213"/>
        <v>6598.2285193447578</v>
      </c>
      <c r="N3427" s="329">
        <f t="shared" si="214"/>
        <v>3306.9842590332032</v>
      </c>
      <c r="T3427" s="331">
        <v>0</v>
      </c>
      <c r="U3427" s="328">
        <f>VLOOKUP(C3427,METADATA!$J$5:$Q$29,IF(E3427="HI",2,IF(E3427="LO",6,10))+IF(T3427=1,2,IF(D3427=7,1,(IF(WEEKDAY(B3427)=1,2,IF(WEEKDAY(B3427)=7,1,0))))))</f>
        <v>2</v>
      </c>
      <c r="V3427" s="328">
        <f>VLOOKUP(C3427,METADATA!$A$5:$H$29,IF(E3427="HI",2,IF(E3427="LO",6,10))+IF(T3427=1,2,IF(D3427=7,1,(IF(WEEKDAY(B3427)=1,2,IF(WEEKDAY(B3427)=7,1,0))))))</f>
        <v>2</v>
      </c>
    </row>
    <row r="3428" spans="2:22">
      <c r="B3428" s="318">
        <f t="shared" si="215"/>
        <v>46255</v>
      </c>
      <c r="C3428" s="312">
        <v>16</v>
      </c>
      <c r="D3428" s="368">
        <f>IFERROR((INDEX(METADATA!$T$2:$T$20,MATCH(B3428,METADATA!$S$2:$S$20,0))),0)</f>
        <v>0</v>
      </c>
      <c r="E3428" s="312" t="str">
        <f t="shared" si="212"/>
        <v>LO</v>
      </c>
      <c r="F3428" s="369">
        <f>VLOOKUP(C3428,METADATA!$A$5:$H$29,IF(E3428="HI",2,IF(E3428="LO",6,10))+IF(D3428=1,2,IF(D3428=7,1,(IF(WEEKDAY(B3428)=1,2,IF(WEEKDAY(B3428)=7,1,0))))))</f>
        <v>2</v>
      </c>
      <c r="G3428" s="369">
        <f>VLOOKUP(C3428,METADATA!$J$5:$Q$29,IF(E3428="HI",2,IF(E3428="LO",6,10))+IF(D3428=1,2,IF(D3428=7,1,(IF(WEEKDAY(B3428)=1,2,IF(WEEKDAY(B3428)=7,1,0))))))</f>
        <v>2</v>
      </c>
      <c r="H3428" s="370">
        <v>4640.0475158691406</v>
      </c>
      <c r="I3428" s="370">
        <v>4676.1550903320313</v>
      </c>
      <c r="M3428" s="371">
        <f t="shared" si="213"/>
        <v>6587.5995156325007</v>
      </c>
      <c r="N3428" s="329">
        <f t="shared" si="214"/>
        <v>3284.1408355712892</v>
      </c>
      <c r="T3428" s="331">
        <v>0</v>
      </c>
      <c r="U3428" s="328">
        <f>VLOOKUP(C3428,METADATA!$J$5:$Q$29,IF(E3428="HI",2,IF(E3428="LO",6,10))+IF(T3428=1,2,IF(D3428=7,1,(IF(WEEKDAY(B3428)=1,2,IF(WEEKDAY(B3428)=7,1,0))))))</f>
        <v>2</v>
      </c>
      <c r="V3428" s="328">
        <f>VLOOKUP(C3428,METADATA!$A$5:$H$29,IF(E3428="HI",2,IF(E3428="LO",6,10))+IF(T3428=1,2,IF(D3428=7,1,(IF(WEEKDAY(B3428)=1,2,IF(WEEKDAY(B3428)=7,1,0))))))</f>
        <v>2</v>
      </c>
    </row>
    <row r="3429" spans="2:22">
      <c r="B3429" s="318">
        <f t="shared" si="215"/>
        <v>46255</v>
      </c>
      <c r="C3429" s="312">
        <v>17</v>
      </c>
      <c r="D3429" s="368">
        <f>IFERROR((INDEX(METADATA!$T$2:$T$20,MATCH(B3429,METADATA!$S$2:$S$20,0))),0)</f>
        <v>0</v>
      </c>
      <c r="E3429" s="312" t="str">
        <f t="shared" si="212"/>
        <v>LO</v>
      </c>
      <c r="F3429" s="369">
        <f>VLOOKUP(C3429,METADATA!$A$5:$H$29,IF(E3429="HI",2,IF(E3429="LO",6,10))+IF(D3429=1,2,IF(D3429=7,1,(IF(WEEKDAY(B3429)=1,2,IF(WEEKDAY(B3429)=7,1,0))))))</f>
        <v>2</v>
      </c>
      <c r="G3429" s="369">
        <f>VLOOKUP(C3429,METADATA!$J$5:$Q$29,IF(E3429="HI",2,IF(E3429="LO",6,10))+IF(D3429=1,2,IF(D3429=7,1,(IF(WEEKDAY(B3429)=1,2,IF(WEEKDAY(B3429)=7,1,0))))))</f>
        <v>2</v>
      </c>
      <c r="H3429" s="370">
        <v>4602.0049743652344</v>
      </c>
      <c r="I3429" s="370">
        <v>4590.3099975585938</v>
      </c>
      <c r="M3429" s="371">
        <f t="shared" si="213"/>
        <v>6499.9535119698157</v>
      </c>
      <c r="N3429" s="329">
        <f t="shared" si="214"/>
        <v>3209.7085052490238</v>
      </c>
      <c r="T3429" s="331">
        <v>0</v>
      </c>
      <c r="U3429" s="328">
        <f>VLOOKUP(C3429,METADATA!$J$5:$Q$29,IF(E3429="HI",2,IF(E3429="LO",6,10))+IF(T3429=1,2,IF(D3429=7,1,(IF(WEEKDAY(B3429)=1,2,IF(WEEKDAY(B3429)=7,1,0))))))</f>
        <v>2</v>
      </c>
      <c r="V3429" s="328">
        <f>VLOOKUP(C3429,METADATA!$A$5:$H$29,IF(E3429="HI",2,IF(E3429="LO",6,10))+IF(T3429=1,2,IF(D3429=7,1,(IF(WEEKDAY(B3429)=1,2,IF(WEEKDAY(B3429)=7,1,0))))))</f>
        <v>2</v>
      </c>
    </row>
    <row r="3430" spans="2:22">
      <c r="B3430" s="318">
        <f t="shared" si="215"/>
        <v>46255</v>
      </c>
      <c r="C3430" s="312">
        <v>18</v>
      </c>
      <c r="D3430" s="368">
        <f>IFERROR((INDEX(METADATA!$T$2:$T$20,MATCH(B3430,METADATA!$S$2:$S$20,0))),0)</f>
        <v>0</v>
      </c>
      <c r="E3430" s="312" t="str">
        <f t="shared" si="212"/>
        <v>LO</v>
      </c>
      <c r="F3430" s="369">
        <f>VLOOKUP(C3430,METADATA!$A$5:$H$29,IF(E3430="HI",2,IF(E3430="LO",6,10))+IF(D3430=1,2,IF(D3430=7,1,(IF(WEEKDAY(B3430)=1,2,IF(WEEKDAY(B3430)=7,1,0))))))</f>
        <v>1</v>
      </c>
      <c r="G3430" s="369">
        <f>VLOOKUP(C3430,METADATA!$J$5:$Q$29,IF(E3430="HI",2,IF(E3430="LO",6,10))+IF(D3430=1,2,IF(D3430=7,1,(IF(WEEKDAY(B3430)=1,2,IF(WEEKDAY(B3430)=7,1,0))))))</f>
        <v>1</v>
      </c>
      <c r="H3430" s="370">
        <v>4637.032470703125</v>
      </c>
      <c r="I3430" s="370">
        <v>4488.8649597167969</v>
      </c>
      <c r="M3430" s="371">
        <f t="shared" si="213"/>
        <v>6453.834423110683</v>
      </c>
      <c r="N3430" s="329">
        <f t="shared" si="214"/>
        <v>3097.7552185058594</v>
      </c>
      <c r="T3430" s="331">
        <v>0</v>
      </c>
      <c r="U3430" s="328">
        <f>VLOOKUP(C3430,METADATA!$J$5:$Q$29,IF(E3430="HI",2,IF(E3430="LO",6,10))+IF(T3430=1,2,IF(D3430=7,1,(IF(WEEKDAY(B3430)=1,2,IF(WEEKDAY(B3430)=7,1,0))))))</f>
        <v>1</v>
      </c>
      <c r="V3430" s="328">
        <f>VLOOKUP(C3430,METADATA!$A$5:$H$29,IF(E3430="HI",2,IF(E3430="LO",6,10))+IF(T3430=1,2,IF(D3430=7,1,(IF(WEEKDAY(B3430)=1,2,IF(WEEKDAY(B3430)=7,1,0))))))</f>
        <v>1</v>
      </c>
    </row>
    <row r="3431" spans="2:22">
      <c r="B3431" s="318">
        <f t="shared" si="215"/>
        <v>46255</v>
      </c>
      <c r="C3431" s="312">
        <v>19</v>
      </c>
      <c r="D3431" s="368">
        <f>IFERROR((INDEX(METADATA!$T$2:$T$20,MATCH(B3431,METADATA!$S$2:$S$20,0))),0)</f>
        <v>0</v>
      </c>
      <c r="E3431" s="312" t="str">
        <f t="shared" si="212"/>
        <v>LO</v>
      </c>
      <c r="F3431" s="369">
        <f>VLOOKUP(C3431,METADATA!$A$5:$H$29,IF(E3431="HI",2,IF(E3431="LO",6,10))+IF(D3431=1,2,IF(D3431=7,1,(IF(WEEKDAY(B3431)=1,2,IF(WEEKDAY(B3431)=7,1,0))))))</f>
        <v>1</v>
      </c>
      <c r="G3431" s="369">
        <f>VLOOKUP(C3431,METADATA!$J$5:$Q$29,IF(E3431="HI",2,IF(E3431="LO",6,10))+IF(D3431=1,2,IF(D3431=7,1,(IF(WEEKDAY(B3431)=1,2,IF(WEEKDAY(B3431)=7,1,0))))))</f>
        <v>1</v>
      </c>
      <c r="H3431" s="370">
        <v>4567.5099792480469</v>
      </c>
      <c r="I3431" s="370">
        <v>4502.0473937988281</v>
      </c>
      <c r="M3431" s="371">
        <f t="shared" si="213"/>
        <v>6413.3125720286944</v>
      </c>
      <c r="N3431" s="329">
        <f t="shared" si="214"/>
        <v>3131.7944000244142</v>
      </c>
      <c r="T3431" s="331">
        <v>0</v>
      </c>
      <c r="U3431" s="328">
        <f>VLOOKUP(C3431,METADATA!$J$5:$Q$29,IF(E3431="HI",2,IF(E3431="LO",6,10))+IF(T3431=1,2,IF(D3431=7,1,(IF(WEEKDAY(B3431)=1,2,IF(WEEKDAY(B3431)=7,1,0))))))</f>
        <v>1</v>
      </c>
      <c r="V3431" s="328">
        <f>VLOOKUP(C3431,METADATA!$A$5:$H$29,IF(E3431="HI",2,IF(E3431="LO",6,10))+IF(T3431=1,2,IF(D3431=7,1,(IF(WEEKDAY(B3431)=1,2,IF(WEEKDAY(B3431)=7,1,0))))))</f>
        <v>1</v>
      </c>
    </row>
    <row r="3432" spans="2:22">
      <c r="B3432" s="318">
        <f t="shared" si="215"/>
        <v>46255</v>
      </c>
      <c r="C3432" s="312">
        <v>20</v>
      </c>
      <c r="D3432" s="368">
        <f>IFERROR((INDEX(METADATA!$T$2:$T$20,MATCH(B3432,METADATA!$S$2:$S$20,0))),0)</f>
        <v>0</v>
      </c>
      <c r="E3432" s="312" t="str">
        <f t="shared" si="212"/>
        <v>LO</v>
      </c>
      <c r="F3432" s="369">
        <f>VLOOKUP(C3432,METADATA!$A$5:$H$29,IF(E3432="HI",2,IF(E3432="LO",6,10))+IF(D3432=1,2,IF(D3432=7,1,(IF(WEEKDAY(B3432)=1,2,IF(WEEKDAY(B3432)=7,1,0))))))</f>
        <v>1</v>
      </c>
      <c r="G3432" s="369">
        <f>VLOOKUP(C3432,METADATA!$J$5:$Q$29,IF(E3432="HI",2,IF(E3432="LO",6,10))+IF(D3432=1,2,IF(D3432=7,1,(IF(WEEKDAY(B3432)=1,2,IF(WEEKDAY(B3432)=7,1,0))))))</f>
        <v>1</v>
      </c>
      <c r="H3432" s="370">
        <v>4546.0900573730469</v>
      </c>
      <c r="I3432" s="370">
        <v>4586.7350463867188</v>
      </c>
      <c r="M3432" s="371">
        <f t="shared" si="213"/>
        <v>6457.9465153791916</v>
      </c>
      <c r="N3432" s="329">
        <f t="shared" si="214"/>
        <v>3222.9080291748051</v>
      </c>
      <c r="T3432" s="331">
        <v>0</v>
      </c>
      <c r="U3432" s="328">
        <f>VLOOKUP(C3432,METADATA!$J$5:$Q$29,IF(E3432="HI",2,IF(E3432="LO",6,10))+IF(T3432=1,2,IF(D3432=7,1,(IF(WEEKDAY(B3432)=1,2,IF(WEEKDAY(B3432)=7,1,0))))))</f>
        <v>1</v>
      </c>
      <c r="V3432" s="328">
        <f>VLOOKUP(C3432,METADATA!$A$5:$H$29,IF(E3432="HI",2,IF(E3432="LO",6,10))+IF(T3432=1,2,IF(D3432=7,1,(IF(WEEKDAY(B3432)=1,2,IF(WEEKDAY(B3432)=7,1,0))))))</f>
        <v>1</v>
      </c>
    </row>
    <row r="3433" spans="2:22">
      <c r="B3433" s="318">
        <f t="shared" si="215"/>
        <v>46255</v>
      </c>
      <c r="C3433" s="312">
        <v>21</v>
      </c>
      <c r="D3433" s="368">
        <f>IFERROR((INDEX(METADATA!$T$2:$T$20,MATCH(B3433,METADATA!$S$2:$S$20,0))),0)</f>
        <v>0</v>
      </c>
      <c r="E3433" s="312" t="str">
        <f t="shared" si="212"/>
        <v>LO</v>
      </c>
      <c r="F3433" s="369">
        <f>VLOOKUP(C3433,METADATA!$A$5:$H$29,IF(E3433="HI",2,IF(E3433="LO",6,10))+IF(D3433=1,2,IF(D3433=7,1,(IF(WEEKDAY(B3433)=1,2,IF(WEEKDAY(B3433)=7,1,0))))))</f>
        <v>2</v>
      </c>
      <c r="G3433" s="369">
        <f>VLOOKUP(C3433,METADATA!$J$5:$Q$29,IF(E3433="HI",2,IF(E3433="LO",6,10))+IF(D3433=1,2,IF(D3433=7,1,(IF(WEEKDAY(B3433)=1,2,IF(WEEKDAY(B3433)=7,1,0))))))</f>
        <v>2</v>
      </c>
      <c r="H3433" s="370">
        <v>4573.1124877929688</v>
      </c>
      <c r="I3433" s="370">
        <v>4657.3525695800781</v>
      </c>
      <c r="M3433" s="371">
        <f t="shared" si="213"/>
        <v>6527.1962421381313</v>
      </c>
      <c r="N3433" s="329">
        <f t="shared" si="214"/>
        <v>3285.4188232421875</v>
      </c>
      <c r="T3433" s="331">
        <v>0</v>
      </c>
      <c r="U3433" s="328">
        <f>VLOOKUP(C3433,METADATA!$J$5:$Q$29,IF(E3433="HI",2,IF(E3433="LO",6,10))+IF(T3433=1,2,IF(D3433=7,1,(IF(WEEKDAY(B3433)=1,2,IF(WEEKDAY(B3433)=7,1,0))))))</f>
        <v>2</v>
      </c>
      <c r="V3433" s="328">
        <f>VLOOKUP(C3433,METADATA!$A$5:$H$29,IF(E3433="HI",2,IF(E3433="LO",6,10))+IF(T3433=1,2,IF(D3433=7,1,(IF(WEEKDAY(B3433)=1,2,IF(WEEKDAY(B3433)=7,1,0))))))</f>
        <v>2</v>
      </c>
    </row>
    <row r="3434" spans="2:22">
      <c r="B3434" s="318">
        <f t="shared" si="215"/>
        <v>46255</v>
      </c>
      <c r="C3434" s="312">
        <v>22</v>
      </c>
      <c r="D3434" s="368">
        <f>IFERROR((INDEX(METADATA!$T$2:$T$20,MATCH(B3434,METADATA!$S$2:$S$20,0))),0)</f>
        <v>0</v>
      </c>
      <c r="E3434" s="312" t="str">
        <f t="shared" si="212"/>
        <v>LO</v>
      </c>
      <c r="F3434" s="369">
        <f>VLOOKUP(C3434,METADATA!$A$5:$H$29,IF(E3434="HI",2,IF(E3434="LO",6,10))+IF(D3434=1,2,IF(D3434=7,1,(IF(WEEKDAY(B3434)=1,2,IF(WEEKDAY(B3434)=7,1,0))))))</f>
        <v>3</v>
      </c>
      <c r="G3434" s="369">
        <f>VLOOKUP(C3434,METADATA!$J$5:$Q$29,IF(E3434="HI",2,IF(E3434="LO",6,10))+IF(D3434=1,2,IF(D3434=7,1,(IF(WEEKDAY(B3434)=1,2,IF(WEEKDAY(B3434)=7,1,0))))))</f>
        <v>3</v>
      </c>
      <c r="H3434" s="370">
        <v>4615.7350463867188</v>
      </c>
      <c r="I3434" s="370">
        <v>4585.1400146484375</v>
      </c>
      <c r="M3434" s="371">
        <f t="shared" si="213"/>
        <v>6506.037117352842</v>
      </c>
      <c r="N3434" s="329">
        <f t="shared" si="214"/>
        <v>3200.419500732422</v>
      </c>
      <c r="T3434" s="331">
        <v>0</v>
      </c>
      <c r="U3434" s="328">
        <f>VLOOKUP(C3434,METADATA!$J$5:$Q$29,IF(E3434="HI",2,IF(E3434="LO",6,10))+IF(T3434=1,2,IF(D3434=7,1,(IF(WEEKDAY(B3434)=1,2,IF(WEEKDAY(B3434)=7,1,0))))))</f>
        <v>3</v>
      </c>
      <c r="V3434" s="328">
        <f>VLOOKUP(C3434,METADATA!$A$5:$H$29,IF(E3434="HI",2,IF(E3434="LO",6,10))+IF(T3434=1,2,IF(D3434=7,1,(IF(WEEKDAY(B3434)=1,2,IF(WEEKDAY(B3434)=7,1,0))))))</f>
        <v>3</v>
      </c>
    </row>
    <row r="3435" spans="2:22">
      <c r="B3435" s="318">
        <f t="shared" si="215"/>
        <v>46255</v>
      </c>
      <c r="C3435" s="312">
        <v>23</v>
      </c>
      <c r="D3435" s="368">
        <f>IFERROR((INDEX(METADATA!$T$2:$T$20,MATCH(B3435,METADATA!$S$2:$S$20,0))),0)</f>
        <v>0</v>
      </c>
      <c r="E3435" s="312" t="str">
        <f t="shared" si="212"/>
        <v>LO</v>
      </c>
      <c r="F3435" s="369">
        <f>VLOOKUP(C3435,METADATA!$A$5:$H$29,IF(E3435="HI",2,IF(E3435="LO",6,10))+IF(D3435=1,2,IF(D3435=7,1,(IF(WEEKDAY(B3435)=1,2,IF(WEEKDAY(B3435)=7,1,0))))))</f>
        <v>3</v>
      </c>
      <c r="G3435" s="369">
        <f>VLOOKUP(C3435,METADATA!$J$5:$Q$29,IF(E3435="HI",2,IF(E3435="LO",6,10))+IF(D3435=1,2,IF(D3435=7,1,(IF(WEEKDAY(B3435)=1,2,IF(WEEKDAY(B3435)=7,1,0))))))</f>
        <v>3</v>
      </c>
      <c r="H3435" s="370">
        <v>4551.0625</v>
      </c>
      <c r="I3435" s="370">
        <v>4587.2051391601563</v>
      </c>
      <c r="M3435" s="371">
        <f t="shared" si="213"/>
        <v>6461.7815552402881</v>
      </c>
      <c r="N3435" s="329">
        <f t="shared" si="214"/>
        <v>3221.8863891601563</v>
      </c>
      <c r="T3435" s="331">
        <v>0</v>
      </c>
      <c r="U3435" s="328">
        <f>VLOOKUP(C3435,METADATA!$J$5:$Q$29,IF(E3435="HI",2,IF(E3435="LO",6,10))+IF(T3435=1,2,IF(D3435=7,1,(IF(WEEKDAY(B3435)=1,2,IF(WEEKDAY(B3435)=7,1,0))))))</f>
        <v>3</v>
      </c>
      <c r="V3435" s="328">
        <f>VLOOKUP(C3435,METADATA!$A$5:$H$29,IF(E3435="HI",2,IF(E3435="LO",6,10))+IF(T3435=1,2,IF(D3435=7,1,(IF(WEEKDAY(B3435)=1,2,IF(WEEKDAY(B3435)=7,1,0))))))</f>
        <v>3</v>
      </c>
    </row>
    <row r="3436" spans="2:22">
      <c r="B3436" s="318">
        <f t="shared" si="215"/>
        <v>46256</v>
      </c>
      <c r="C3436" s="312">
        <v>0</v>
      </c>
      <c r="D3436" s="368">
        <f>IFERROR((INDEX(METADATA!$T$2:$T$20,MATCH(B3436,METADATA!$S$2:$S$20,0))),0)</f>
        <v>0</v>
      </c>
      <c r="E3436" s="312" t="str">
        <f t="shared" si="212"/>
        <v>LO</v>
      </c>
      <c r="F3436" s="369">
        <f>VLOOKUP(C3436,METADATA!$A$5:$H$29,IF(E3436="HI",2,IF(E3436="LO",6,10))+IF(D3436=1,2,IF(D3436=7,1,(IF(WEEKDAY(B3436)=1,2,IF(WEEKDAY(B3436)=7,1,0))))))</f>
        <v>3</v>
      </c>
      <c r="G3436" s="369">
        <f>VLOOKUP(C3436,METADATA!$J$5:$Q$29,IF(E3436="HI",2,IF(E3436="LO",6,10))+IF(D3436=1,2,IF(D3436=7,1,(IF(WEEKDAY(B3436)=1,2,IF(WEEKDAY(B3436)=7,1,0))))))</f>
        <v>3</v>
      </c>
      <c r="H3436" s="370">
        <v>4535.7149963378906</v>
      </c>
      <c r="I3436" s="370">
        <v>4593.952392578125</v>
      </c>
      <c r="M3436" s="371">
        <f t="shared" si="213"/>
        <v>6455.781061442427</v>
      </c>
      <c r="N3436" s="329">
        <f t="shared" si="214"/>
        <v>3233.2378936767582</v>
      </c>
      <c r="T3436" s="331">
        <v>0</v>
      </c>
      <c r="U3436" s="328">
        <f>VLOOKUP(C3436,METADATA!$J$5:$Q$29,IF(E3436="HI",2,IF(E3436="LO",6,10))+IF(T3436=1,2,IF(D3436=7,1,(IF(WEEKDAY(B3436)=1,2,IF(WEEKDAY(B3436)=7,1,0))))))</f>
        <v>3</v>
      </c>
      <c r="V3436" s="328">
        <f>VLOOKUP(C3436,METADATA!$A$5:$H$29,IF(E3436="HI",2,IF(E3436="LO",6,10))+IF(T3436=1,2,IF(D3436=7,1,(IF(WEEKDAY(B3436)=1,2,IF(WEEKDAY(B3436)=7,1,0))))))</f>
        <v>3</v>
      </c>
    </row>
    <row r="3437" spans="2:22">
      <c r="B3437" s="318">
        <f t="shared" si="215"/>
        <v>46256</v>
      </c>
      <c r="C3437" s="312">
        <v>1</v>
      </c>
      <c r="D3437" s="368">
        <f>IFERROR((INDEX(METADATA!$T$2:$T$20,MATCH(B3437,METADATA!$S$2:$S$20,0))),0)</f>
        <v>0</v>
      </c>
      <c r="E3437" s="312" t="str">
        <f t="shared" si="212"/>
        <v>LO</v>
      </c>
      <c r="F3437" s="369">
        <f>VLOOKUP(C3437,METADATA!$A$5:$H$29,IF(E3437="HI",2,IF(E3437="LO",6,10))+IF(D3437=1,2,IF(D3437=7,1,(IF(WEEKDAY(B3437)=1,2,IF(WEEKDAY(B3437)=7,1,0))))))</f>
        <v>3</v>
      </c>
      <c r="G3437" s="369">
        <f>VLOOKUP(C3437,METADATA!$J$5:$Q$29,IF(E3437="HI",2,IF(E3437="LO",6,10))+IF(D3437=1,2,IF(D3437=7,1,(IF(WEEKDAY(B3437)=1,2,IF(WEEKDAY(B3437)=7,1,0))))))</f>
        <v>3</v>
      </c>
      <c r="H3437" s="370">
        <v>4467.9800415039063</v>
      </c>
      <c r="I3437" s="370">
        <v>4627.7949829101563</v>
      </c>
      <c r="M3437" s="371">
        <f t="shared" si="213"/>
        <v>6432.6768965280435</v>
      </c>
      <c r="N3437" s="329">
        <f t="shared" si="214"/>
        <v>3287.4009704589844</v>
      </c>
      <c r="T3437" s="331">
        <v>0</v>
      </c>
      <c r="U3437" s="328">
        <f>VLOOKUP(C3437,METADATA!$J$5:$Q$29,IF(E3437="HI",2,IF(E3437="LO",6,10))+IF(T3437=1,2,IF(D3437=7,1,(IF(WEEKDAY(B3437)=1,2,IF(WEEKDAY(B3437)=7,1,0))))))</f>
        <v>3</v>
      </c>
      <c r="V3437" s="328">
        <f>VLOOKUP(C3437,METADATA!$A$5:$H$29,IF(E3437="HI",2,IF(E3437="LO",6,10))+IF(T3437=1,2,IF(D3437=7,1,(IF(WEEKDAY(B3437)=1,2,IF(WEEKDAY(B3437)=7,1,0))))))</f>
        <v>3</v>
      </c>
    </row>
    <row r="3438" spans="2:22">
      <c r="B3438" s="318">
        <f t="shared" si="215"/>
        <v>46256</v>
      </c>
      <c r="C3438" s="312">
        <v>2</v>
      </c>
      <c r="D3438" s="368">
        <f>IFERROR((INDEX(METADATA!$T$2:$T$20,MATCH(B3438,METADATA!$S$2:$S$20,0))),0)</f>
        <v>0</v>
      </c>
      <c r="E3438" s="312" t="str">
        <f t="shared" si="212"/>
        <v>LO</v>
      </c>
      <c r="F3438" s="369">
        <f>VLOOKUP(C3438,METADATA!$A$5:$H$29,IF(E3438="HI",2,IF(E3438="LO",6,10))+IF(D3438=1,2,IF(D3438=7,1,(IF(WEEKDAY(B3438)=1,2,IF(WEEKDAY(B3438)=7,1,0))))))</f>
        <v>3</v>
      </c>
      <c r="G3438" s="369">
        <f>VLOOKUP(C3438,METADATA!$J$5:$Q$29,IF(E3438="HI",2,IF(E3438="LO",6,10))+IF(D3438=1,2,IF(D3438=7,1,(IF(WEEKDAY(B3438)=1,2,IF(WEEKDAY(B3438)=7,1,0))))))</f>
        <v>3</v>
      </c>
      <c r="H3438" s="370">
        <v>4036.2699584960938</v>
      </c>
      <c r="I3438" s="370">
        <v>4357.1825561523438</v>
      </c>
      <c r="M3438" s="371">
        <f t="shared" si="213"/>
        <v>5939.4035900497893</v>
      </c>
      <c r="N3438" s="329">
        <f t="shared" si="214"/>
        <v>3146.301568603516</v>
      </c>
      <c r="T3438" s="331">
        <v>0</v>
      </c>
      <c r="U3438" s="328">
        <f>VLOOKUP(C3438,METADATA!$J$5:$Q$29,IF(E3438="HI",2,IF(E3438="LO",6,10))+IF(T3438=1,2,IF(D3438=7,1,(IF(WEEKDAY(B3438)=1,2,IF(WEEKDAY(B3438)=7,1,0))))))</f>
        <v>3</v>
      </c>
      <c r="V3438" s="328">
        <f>VLOOKUP(C3438,METADATA!$A$5:$H$29,IF(E3438="HI",2,IF(E3438="LO",6,10))+IF(T3438=1,2,IF(D3438=7,1,(IF(WEEKDAY(B3438)=1,2,IF(WEEKDAY(B3438)=7,1,0))))))</f>
        <v>3</v>
      </c>
    </row>
    <row r="3439" spans="2:22">
      <c r="B3439" s="318">
        <f t="shared" si="215"/>
        <v>46256</v>
      </c>
      <c r="C3439" s="312">
        <v>3</v>
      </c>
      <c r="D3439" s="368">
        <f>IFERROR((INDEX(METADATA!$T$2:$T$20,MATCH(B3439,METADATA!$S$2:$S$20,0))),0)</f>
        <v>0</v>
      </c>
      <c r="E3439" s="312" t="str">
        <f t="shared" si="212"/>
        <v>LO</v>
      </c>
      <c r="F3439" s="369">
        <f>VLOOKUP(C3439,METADATA!$A$5:$H$29,IF(E3439="HI",2,IF(E3439="LO",6,10))+IF(D3439=1,2,IF(D3439=7,1,(IF(WEEKDAY(B3439)=1,2,IF(WEEKDAY(B3439)=7,1,0))))))</f>
        <v>3</v>
      </c>
      <c r="G3439" s="369">
        <f>VLOOKUP(C3439,METADATA!$J$5:$Q$29,IF(E3439="HI",2,IF(E3439="LO",6,10))+IF(D3439=1,2,IF(D3439=7,1,(IF(WEEKDAY(B3439)=1,2,IF(WEEKDAY(B3439)=7,1,0))))))</f>
        <v>3</v>
      </c>
      <c r="H3439" s="370">
        <v>4051.2324829101563</v>
      </c>
      <c r="I3439" s="370">
        <v>4288.6974792480469</v>
      </c>
      <c r="M3439" s="371">
        <f t="shared" si="213"/>
        <v>5899.6110633748503</v>
      </c>
      <c r="N3439" s="329">
        <f t="shared" si="214"/>
        <v>3073.3277343750001</v>
      </c>
      <c r="T3439" s="331">
        <v>0</v>
      </c>
      <c r="U3439" s="328">
        <f>VLOOKUP(C3439,METADATA!$J$5:$Q$29,IF(E3439="HI",2,IF(E3439="LO",6,10))+IF(T3439=1,2,IF(D3439=7,1,(IF(WEEKDAY(B3439)=1,2,IF(WEEKDAY(B3439)=7,1,0))))))</f>
        <v>3</v>
      </c>
      <c r="V3439" s="328">
        <f>VLOOKUP(C3439,METADATA!$A$5:$H$29,IF(E3439="HI",2,IF(E3439="LO",6,10))+IF(T3439=1,2,IF(D3439=7,1,(IF(WEEKDAY(B3439)=1,2,IF(WEEKDAY(B3439)=7,1,0))))))</f>
        <v>3</v>
      </c>
    </row>
    <row r="3440" spans="2:22">
      <c r="B3440" s="318">
        <f t="shared" si="215"/>
        <v>46256</v>
      </c>
      <c r="C3440" s="312">
        <v>4</v>
      </c>
      <c r="D3440" s="368">
        <f>IFERROR((INDEX(METADATA!$T$2:$T$20,MATCH(B3440,METADATA!$S$2:$S$20,0))),0)</f>
        <v>0</v>
      </c>
      <c r="E3440" s="312" t="str">
        <f t="shared" si="212"/>
        <v>LO</v>
      </c>
      <c r="F3440" s="369">
        <f>VLOOKUP(C3440,METADATA!$A$5:$H$29,IF(E3440="HI",2,IF(E3440="LO",6,10))+IF(D3440=1,2,IF(D3440=7,1,(IF(WEEKDAY(B3440)=1,2,IF(WEEKDAY(B3440)=7,1,0))))))</f>
        <v>3</v>
      </c>
      <c r="G3440" s="369">
        <f>VLOOKUP(C3440,METADATA!$J$5:$Q$29,IF(E3440="HI",2,IF(E3440="LO",6,10))+IF(D3440=1,2,IF(D3440=7,1,(IF(WEEKDAY(B3440)=1,2,IF(WEEKDAY(B3440)=7,1,0))))))</f>
        <v>3</v>
      </c>
      <c r="H3440" s="370">
        <v>4221.89501953125</v>
      </c>
      <c r="I3440" s="370">
        <v>4387.5649719238281</v>
      </c>
      <c r="M3440" s="371">
        <f t="shared" si="213"/>
        <v>6088.9345487363971</v>
      </c>
      <c r="N3440" s="329">
        <f t="shared" si="214"/>
        <v>3120.9964660644532</v>
      </c>
      <c r="T3440" s="331">
        <v>0</v>
      </c>
      <c r="U3440" s="328">
        <f>VLOOKUP(C3440,METADATA!$J$5:$Q$29,IF(E3440="HI",2,IF(E3440="LO",6,10))+IF(T3440=1,2,IF(D3440=7,1,(IF(WEEKDAY(B3440)=1,2,IF(WEEKDAY(B3440)=7,1,0))))))</f>
        <v>3</v>
      </c>
      <c r="V3440" s="328">
        <f>VLOOKUP(C3440,METADATA!$A$5:$H$29,IF(E3440="HI",2,IF(E3440="LO",6,10))+IF(T3440=1,2,IF(D3440=7,1,(IF(WEEKDAY(B3440)=1,2,IF(WEEKDAY(B3440)=7,1,0))))))</f>
        <v>3</v>
      </c>
    </row>
    <row r="3441" spans="2:22">
      <c r="B3441" s="318">
        <f t="shared" si="215"/>
        <v>46256</v>
      </c>
      <c r="C3441" s="312">
        <v>5</v>
      </c>
      <c r="D3441" s="368">
        <f>IFERROR((INDEX(METADATA!$T$2:$T$20,MATCH(B3441,METADATA!$S$2:$S$20,0))),0)</f>
        <v>0</v>
      </c>
      <c r="E3441" s="312" t="str">
        <f t="shared" si="212"/>
        <v>LO</v>
      </c>
      <c r="F3441" s="369">
        <f>VLOOKUP(C3441,METADATA!$A$5:$H$29,IF(E3441="HI",2,IF(E3441="LO",6,10))+IF(D3441=1,2,IF(D3441=7,1,(IF(WEEKDAY(B3441)=1,2,IF(WEEKDAY(B3441)=7,1,0))))))</f>
        <v>3</v>
      </c>
      <c r="G3441" s="369">
        <f>VLOOKUP(C3441,METADATA!$J$5:$Q$29,IF(E3441="HI",2,IF(E3441="LO",6,10))+IF(D3441=1,2,IF(D3441=7,1,(IF(WEEKDAY(B3441)=1,2,IF(WEEKDAY(B3441)=7,1,0))))))</f>
        <v>3</v>
      </c>
      <c r="H3441" s="370">
        <v>4252.4324951171875</v>
      </c>
      <c r="I3441" s="370">
        <v>4395.965087890625</v>
      </c>
      <c r="M3441" s="371">
        <f t="shared" si="213"/>
        <v>6116.182729405803</v>
      </c>
      <c r="N3441" s="329">
        <f t="shared" si="214"/>
        <v>3120.2353393554686</v>
      </c>
      <c r="T3441" s="331">
        <v>0</v>
      </c>
      <c r="U3441" s="328">
        <f>VLOOKUP(C3441,METADATA!$J$5:$Q$29,IF(E3441="HI",2,IF(E3441="LO",6,10))+IF(T3441=1,2,IF(D3441=7,1,(IF(WEEKDAY(B3441)=1,2,IF(WEEKDAY(B3441)=7,1,0))))))</f>
        <v>3</v>
      </c>
      <c r="V3441" s="328">
        <f>VLOOKUP(C3441,METADATA!$A$5:$H$29,IF(E3441="HI",2,IF(E3441="LO",6,10))+IF(T3441=1,2,IF(D3441=7,1,(IF(WEEKDAY(B3441)=1,2,IF(WEEKDAY(B3441)=7,1,0))))))</f>
        <v>3</v>
      </c>
    </row>
    <row r="3442" spans="2:22">
      <c r="B3442" s="318">
        <f t="shared" si="215"/>
        <v>46256</v>
      </c>
      <c r="C3442" s="312">
        <v>6</v>
      </c>
      <c r="D3442" s="368">
        <f>IFERROR((INDEX(METADATA!$T$2:$T$20,MATCH(B3442,METADATA!$S$2:$S$20,0))),0)</f>
        <v>0</v>
      </c>
      <c r="E3442" s="312" t="str">
        <f t="shared" si="212"/>
        <v>LO</v>
      </c>
      <c r="F3442" s="369">
        <f>VLOOKUP(C3442,METADATA!$A$5:$H$29,IF(E3442="HI",2,IF(E3442="LO",6,10))+IF(D3442=1,2,IF(D3442=7,1,(IF(WEEKDAY(B3442)=1,2,IF(WEEKDAY(B3442)=7,1,0))))))</f>
        <v>3</v>
      </c>
      <c r="G3442" s="369">
        <f>VLOOKUP(C3442,METADATA!$J$5:$Q$29,IF(E3442="HI",2,IF(E3442="LO",6,10))+IF(D3442=1,2,IF(D3442=7,1,(IF(WEEKDAY(B3442)=1,2,IF(WEEKDAY(B3442)=7,1,0))))))</f>
        <v>3</v>
      </c>
      <c r="H3442" s="370">
        <v>4172.6524658203125</v>
      </c>
      <c r="I3442" s="370">
        <v>4361.0350341796875</v>
      </c>
      <c r="M3442" s="371">
        <f t="shared" si="213"/>
        <v>6035.6983995109431</v>
      </c>
      <c r="N3442" s="329">
        <f t="shared" si="214"/>
        <v>3109.2392944335938</v>
      </c>
      <c r="T3442" s="331">
        <v>0</v>
      </c>
      <c r="U3442" s="328">
        <f>VLOOKUP(C3442,METADATA!$J$5:$Q$29,IF(E3442="HI",2,IF(E3442="LO",6,10))+IF(T3442=1,2,IF(D3442=7,1,(IF(WEEKDAY(B3442)=1,2,IF(WEEKDAY(B3442)=7,1,0))))))</f>
        <v>3</v>
      </c>
      <c r="V3442" s="328">
        <f>VLOOKUP(C3442,METADATA!$A$5:$H$29,IF(E3442="HI",2,IF(E3442="LO",6,10))+IF(T3442=1,2,IF(D3442=7,1,(IF(WEEKDAY(B3442)=1,2,IF(WEEKDAY(B3442)=7,1,0))))))</f>
        <v>3</v>
      </c>
    </row>
    <row r="3443" spans="2:22">
      <c r="B3443" s="318">
        <f t="shared" si="215"/>
        <v>46256</v>
      </c>
      <c r="C3443" s="312">
        <v>7</v>
      </c>
      <c r="D3443" s="368">
        <f>IFERROR((INDEX(METADATA!$T$2:$T$20,MATCH(B3443,METADATA!$S$2:$S$20,0))),0)</f>
        <v>0</v>
      </c>
      <c r="E3443" s="312" t="str">
        <f t="shared" si="212"/>
        <v>LO</v>
      </c>
      <c r="F3443" s="369">
        <f>VLOOKUP(C3443,METADATA!$A$5:$H$29,IF(E3443="HI",2,IF(E3443="LO",6,10))+IF(D3443=1,2,IF(D3443=7,1,(IF(WEEKDAY(B3443)=1,2,IF(WEEKDAY(B3443)=7,1,0))))))</f>
        <v>2</v>
      </c>
      <c r="G3443" s="369">
        <f>VLOOKUP(C3443,METADATA!$J$5:$Q$29,IF(E3443="HI",2,IF(E3443="LO",6,10))+IF(D3443=1,2,IF(D3443=7,1,(IF(WEEKDAY(B3443)=1,2,IF(WEEKDAY(B3443)=7,1,0))))))</f>
        <v>2</v>
      </c>
      <c r="H3443" s="370">
        <v>4038.1500549316406</v>
      </c>
      <c r="I3443" s="370">
        <v>4255.197509765625</v>
      </c>
      <c r="M3443" s="371">
        <f t="shared" si="213"/>
        <v>5866.2902854580925</v>
      </c>
      <c r="N3443" s="329">
        <f t="shared" si="214"/>
        <v>3043.7524932861329</v>
      </c>
      <c r="T3443" s="331">
        <v>0</v>
      </c>
      <c r="U3443" s="328">
        <f>VLOOKUP(C3443,METADATA!$J$5:$Q$29,IF(E3443="HI",2,IF(E3443="LO",6,10))+IF(T3443=1,2,IF(D3443=7,1,(IF(WEEKDAY(B3443)=1,2,IF(WEEKDAY(B3443)=7,1,0))))))</f>
        <v>2</v>
      </c>
      <c r="V3443" s="328">
        <f>VLOOKUP(C3443,METADATA!$A$5:$H$29,IF(E3443="HI",2,IF(E3443="LO",6,10))+IF(T3443=1,2,IF(D3443=7,1,(IF(WEEKDAY(B3443)=1,2,IF(WEEKDAY(B3443)=7,1,0))))))</f>
        <v>2</v>
      </c>
    </row>
    <row r="3444" spans="2:22">
      <c r="B3444" s="318">
        <f t="shared" si="215"/>
        <v>46256</v>
      </c>
      <c r="C3444" s="312">
        <v>8</v>
      </c>
      <c r="D3444" s="368">
        <f>IFERROR((INDEX(METADATA!$T$2:$T$20,MATCH(B3444,METADATA!$S$2:$S$20,0))),0)</f>
        <v>0</v>
      </c>
      <c r="E3444" s="312" t="str">
        <f t="shared" si="212"/>
        <v>LO</v>
      </c>
      <c r="F3444" s="369">
        <f>VLOOKUP(C3444,METADATA!$A$5:$H$29,IF(E3444="HI",2,IF(E3444="LO",6,10))+IF(D3444=1,2,IF(D3444=7,1,(IF(WEEKDAY(B3444)=1,2,IF(WEEKDAY(B3444)=7,1,0))))))</f>
        <v>2</v>
      </c>
      <c r="G3444" s="369">
        <f>VLOOKUP(C3444,METADATA!$J$5:$Q$29,IF(E3444="HI",2,IF(E3444="LO",6,10))+IF(D3444=1,2,IF(D3444=7,1,(IF(WEEKDAY(B3444)=1,2,IF(WEEKDAY(B3444)=7,1,0))))))</f>
        <v>2</v>
      </c>
      <c r="H3444" s="370">
        <v>4015.6749267578125</v>
      </c>
      <c r="I3444" s="370">
        <v>4190.1375122070313</v>
      </c>
      <c r="M3444" s="371">
        <f t="shared" si="213"/>
        <v>5803.6968811780553</v>
      </c>
      <c r="N3444" s="329">
        <f t="shared" si="214"/>
        <v>2985.4350341796876</v>
      </c>
      <c r="T3444" s="331">
        <v>0</v>
      </c>
      <c r="U3444" s="328">
        <f>VLOOKUP(C3444,METADATA!$J$5:$Q$29,IF(E3444="HI",2,IF(E3444="LO",6,10))+IF(T3444=1,2,IF(D3444=7,1,(IF(WEEKDAY(B3444)=1,2,IF(WEEKDAY(B3444)=7,1,0))))))</f>
        <v>2</v>
      </c>
      <c r="V3444" s="328">
        <f>VLOOKUP(C3444,METADATA!$A$5:$H$29,IF(E3444="HI",2,IF(E3444="LO",6,10))+IF(T3444=1,2,IF(D3444=7,1,(IF(WEEKDAY(B3444)=1,2,IF(WEEKDAY(B3444)=7,1,0))))))</f>
        <v>2</v>
      </c>
    </row>
    <row r="3445" spans="2:22">
      <c r="B3445" s="318">
        <f t="shared" si="215"/>
        <v>46256</v>
      </c>
      <c r="C3445" s="312">
        <v>9</v>
      </c>
      <c r="D3445" s="368">
        <f>IFERROR((INDEX(METADATA!$T$2:$T$20,MATCH(B3445,METADATA!$S$2:$S$20,0))),0)</f>
        <v>0</v>
      </c>
      <c r="E3445" s="312" t="str">
        <f t="shared" si="212"/>
        <v>LO</v>
      </c>
      <c r="F3445" s="369">
        <f>VLOOKUP(C3445,METADATA!$A$5:$H$29,IF(E3445="HI",2,IF(E3445="LO",6,10))+IF(D3445=1,2,IF(D3445=7,1,(IF(WEEKDAY(B3445)=1,2,IF(WEEKDAY(B3445)=7,1,0))))))</f>
        <v>2</v>
      </c>
      <c r="G3445" s="369">
        <f>VLOOKUP(C3445,METADATA!$J$5:$Q$29,IF(E3445="HI",2,IF(E3445="LO",6,10))+IF(D3445=1,2,IF(D3445=7,1,(IF(WEEKDAY(B3445)=1,2,IF(WEEKDAY(B3445)=7,1,0))))))</f>
        <v>2</v>
      </c>
      <c r="H3445" s="370">
        <v>4072.3725280761719</v>
      </c>
      <c r="I3445" s="370">
        <v>4230.8900756835938</v>
      </c>
      <c r="M3445" s="371">
        <f t="shared" si="213"/>
        <v>5872.3631393117566</v>
      </c>
      <c r="N3445" s="329">
        <f t="shared" si="214"/>
        <v>3009.178317260742</v>
      </c>
      <c r="T3445" s="331">
        <v>0</v>
      </c>
      <c r="U3445" s="328">
        <f>VLOOKUP(C3445,METADATA!$J$5:$Q$29,IF(E3445="HI",2,IF(E3445="LO",6,10))+IF(T3445=1,2,IF(D3445=7,1,(IF(WEEKDAY(B3445)=1,2,IF(WEEKDAY(B3445)=7,1,0))))))</f>
        <v>2</v>
      </c>
      <c r="V3445" s="328">
        <f>VLOOKUP(C3445,METADATA!$A$5:$H$29,IF(E3445="HI",2,IF(E3445="LO",6,10))+IF(T3445=1,2,IF(D3445=7,1,(IF(WEEKDAY(B3445)=1,2,IF(WEEKDAY(B3445)=7,1,0))))))</f>
        <v>2</v>
      </c>
    </row>
    <row r="3446" spans="2:22">
      <c r="B3446" s="318">
        <f t="shared" si="215"/>
        <v>46256</v>
      </c>
      <c r="C3446" s="312">
        <v>10</v>
      </c>
      <c r="D3446" s="368">
        <f>IFERROR((INDEX(METADATA!$T$2:$T$20,MATCH(B3446,METADATA!$S$2:$S$20,0))),0)</f>
        <v>0</v>
      </c>
      <c r="E3446" s="312" t="str">
        <f t="shared" si="212"/>
        <v>LO</v>
      </c>
      <c r="F3446" s="369">
        <f>VLOOKUP(C3446,METADATA!$A$5:$H$29,IF(E3446="HI",2,IF(E3446="LO",6,10))+IF(D3446=1,2,IF(D3446=7,1,(IF(WEEKDAY(B3446)=1,2,IF(WEEKDAY(B3446)=7,1,0))))))</f>
        <v>2</v>
      </c>
      <c r="G3446" s="369">
        <f>VLOOKUP(C3446,METADATA!$J$5:$Q$29,IF(E3446="HI",2,IF(E3446="LO",6,10))+IF(D3446=1,2,IF(D3446=7,1,(IF(WEEKDAY(B3446)=1,2,IF(WEEKDAY(B3446)=7,1,0))))))</f>
        <v>2</v>
      </c>
      <c r="H3446" s="370">
        <v>4032.6250305175781</v>
      </c>
      <c r="I3446" s="370">
        <v>4277.1873474121094</v>
      </c>
      <c r="M3446" s="371">
        <f t="shared" si="213"/>
        <v>5878.4688688143215</v>
      </c>
      <c r="N3446" s="329">
        <f t="shared" si="214"/>
        <v>3067.3998382568361</v>
      </c>
      <c r="T3446" s="331">
        <v>0</v>
      </c>
      <c r="U3446" s="328">
        <f>VLOOKUP(C3446,METADATA!$J$5:$Q$29,IF(E3446="HI",2,IF(E3446="LO",6,10))+IF(T3446=1,2,IF(D3446=7,1,(IF(WEEKDAY(B3446)=1,2,IF(WEEKDAY(B3446)=7,1,0))))))</f>
        <v>2</v>
      </c>
      <c r="V3446" s="328">
        <f>VLOOKUP(C3446,METADATA!$A$5:$H$29,IF(E3446="HI",2,IF(E3446="LO",6,10))+IF(T3446=1,2,IF(D3446=7,1,(IF(WEEKDAY(B3446)=1,2,IF(WEEKDAY(B3446)=7,1,0))))))</f>
        <v>2</v>
      </c>
    </row>
    <row r="3447" spans="2:22">
      <c r="B3447" s="318">
        <f t="shared" si="215"/>
        <v>46256</v>
      </c>
      <c r="C3447" s="312">
        <v>11</v>
      </c>
      <c r="D3447" s="368">
        <f>IFERROR((INDEX(METADATA!$T$2:$T$20,MATCH(B3447,METADATA!$S$2:$S$20,0))),0)</f>
        <v>0</v>
      </c>
      <c r="E3447" s="312" t="str">
        <f t="shared" si="212"/>
        <v>LO</v>
      </c>
      <c r="F3447" s="369">
        <f>VLOOKUP(C3447,METADATA!$A$5:$H$29,IF(E3447="HI",2,IF(E3447="LO",6,10))+IF(D3447=1,2,IF(D3447=7,1,(IF(WEEKDAY(B3447)=1,2,IF(WEEKDAY(B3447)=7,1,0))))))</f>
        <v>2</v>
      </c>
      <c r="G3447" s="369">
        <f>VLOOKUP(C3447,METADATA!$J$5:$Q$29,IF(E3447="HI",2,IF(E3447="LO",6,10))+IF(D3447=1,2,IF(D3447=7,1,(IF(WEEKDAY(B3447)=1,2,IF(WEEKDAY(B3447)=7,1,0))))))</f>
        <v>2</v>
      </c>
      <c r="H3447" s="370">
        <v>3916.0625305175781</v>
      </c>
      <c r="I3447" s="370">
        <v>4193.8474426269531</v>
      </c>
      <c r="M3447" s="371">
        <f t="shared" si="213"/>
        <v>5737.9353529777909</v>
      </c>
      <c r="N3447" s="329">
        <f t="shared" si="214"/>
        <v>3019.0286834716799</v>
      </c>
      <c r="T3447" s="331">
        <v>0</v>
      </c>
      <c r="U3447" s="328">
        <f>VLOOKUP(C3447,METADATA!$J$5:$Q$29,IF(E3447="HI",2,IF(E3447="LO",6,10))+IF(T3447=1,2,IF(D3447=7,1,(IF(WEEKDAY(B3447)=1,2,IF(WEEKDAY(B3447)=7,1,0))))))</f>
        <v>2</v>
      </c>
      <c r="V3447" s="328">
        <f>VLOOKUP(C3447,METADATA!$A$5:$H$29,IF(E3447="HI",2,IF(E3447="LO",6,10))+IF(T3447=1,2,IF(D3447=7,1,(IF(WEEKDAY(B3447)=1,2,IF(WEEKDAY(B3447)=7,1,0))))))</f>
        <v>2</v>
      </c>
    </row>
    <row r="3448" spans="2:22">
      <c r="B3448" s="318">
        <f t="shared" si="215"/>
        <v>46256</v>
      </c>
      <c r="C3448" s="312">
        <v>12</v>
      </c>
      <c r="D3448" s="368">
        <f>IFERROR((INDEX(METADATA!$T$2:$T$20,MATCH(B3448,METADATA!$S$2:$S$20,0))),0)</f>
        <v>0</v>
      </c>
      <c r="E3448" s="312" t="str">
        <f t="shared" si="212"/>
        <v>LO</v>
      </c>
      <c r="F3448" s="369">
        <f>VLOOKUP(C3448,METADATA!$A$5:$H$29,IF(E3448="HI",2,IF(E3448="LO",6,10))+IF(D3448=1,2,IF(D3448=7,1,(IF(WEEKDAY(B3448)=1,2,IF(WEEKDAY(B3448)=7,1,0))))))</f>
        <v>3</v>
      </c>
      <c r="G3448" s="369">
        <f>VLOOKUP(C3448,METADATA!$J$5:$Q$29,IF(E3448="HI",2,IF(E3448="LO",6,10))+IF(D3448=1,2,IF(D3448=7,1,(IF(WEEKDAY(B3448)=1,2,IF(WEEKDAY(B3448)=7,1,0))))))</f>
        <v>3</v>
      </c>
      <c r="H3448" s="370">
        <v>4072.9049072265625</v>
      </c>
      <c r="I3448" s="370">
        <v>4241.6175231933594</v>
      </c>
      <c r="M3448" s="371">
        <f t="shared" si="213"/>
        <v>5880.465423448316</v>
      </c>
      <c r="N3448" s="329">
        <f t="shared" si="214"/>
        <v>3019.7460510253904</v>
      </c>
      <c r="T3448" s="331">
        <v>0</v>
      </c>
      <c r="U3448" s="328">
        <f>VLOOKUP(C3448,METADATA!$J$5:$Q$29,IF(E3448="HI",2,IF(E3448="LO",6,10))+IF(T3448=1,2,IF(D3448=7,1,(IF(WEEKDAY(B3448)=1,2,IF(WEEKDAY(B3448)=7,1,0))))))</f>
        <v>3</v>
      </c>
      <c r="V3448" s="328">
        <f>VLOOKUP(C3448,METADATA!$A$5:$H$29,IF(E3448="HI",2,IF(E3448="LO",6,10))+IF(T3448=1,2,IF(D3448=7,1,(IF(WEEKDAY(B3448)=1,2,IF(WEEKDAY(B3448)=7,1,0))))))</f>
        <v>3</v>
      </c>
    </row>
    <row r="3449" spans="2:22">
      <c r="B3449" s="318">
        <f t="shared" si="215"/>
        <v>46256</v>
      </c>
      <c r="C3449" s="312">
        <v>13</v>
      </c>
      <c r="D3449" s="368">
        <f>IFERROR((INDEX(METADATA!$T$2:$T$20,MATCH(B3449,METADATA!$S$2:$S$20,0))),0)</f>
        <v>0</v>
      </c>
      <c r="E3449" s="312" t="str">
        <f t="shared" si="212"/>
        <v>LO</v>
      </c>
      <c r="F3449" s="369">
        <f>VLOOKUP(C3449,METADATA!$A$5:$H$29,IF(E3449="HI",2,IF(E3449="LO",6,10))+IF(D3449=1,2,IF(D3449=7,1,(IF(WEEKDAY(B3449)=1,2,IF(WEEKDAY(B3449)=7,1,0))))))</f>
        <v>3</v>
      </c>
      <c r="G3449" s="369">
        <f>VLOOKUP(C3449,METADATA!$J$5:$Q$29,IF(E3449="HI",2,IF(E3449="LO",6,10))+IF(D3449=1,2,IF(D3449=7,1,(IF(WEEKDAY(B3449)=1,2,IF(WEEKDAY(B3449)=7,1,0))))))</f>
        <v>3</v>
      </c>
      <c r="H3449" s="370">
        <v>4116.9674377441406</v>
      </c>
      <c r="I3449" s="370">
        <v>4339.3151245117188</v>
      </c>
      <c r="M3449" s="371">
        <f t="shared" si="213"/>
        <v>5981.5613875694453</v>
      </c>
      <c r="N3449" s="329">
        <f t="shared" si="214"/>
        <v>3104.2248931884769</v>
      </c>
      <c r="T3449" s="331">
        <v>0</v>
      </c>
      <c r="U3449" s="328">
        <f>VLOOKUP(C3449,METADATA!$J$5:$Q$29,IF(E3449="HI",2,IF(E3449="LO",6,10))+IF(T3449=1,2,IF(D3449=7,1,(IF(WEEKDAY(B3449)=1,2,IF(WEEKDAY(B3449)=7,1,0))))))</f>
        <v>3</v>
      </c>
      <c r="V3449" s="328">
        <f>VLOOKUP(C3449,METADATA!$A$5:$H$29,IF(E3449="HI",2,IF(E3449="LO",6,10))+IF(T3449=1,2,IF(D3449=7,1,(IF(WEEKDAY(B3449)=1,2,IF(WEEKDAY(B3449)=7,1,0))))))</f>
        <v>3</v>
      </c>
    </row>
    <row r="3450" spans="2:22">
      <c r="B3450" s="318">
        <f t="shared" si="215"/>
        <v>46256</v>
      </c>
      <c r="C3450" s="312">
        <v>14</v>
      </c>
      <c r="D3450" s="368">
        <f>IFERROR((INDEX(METADATA!$T$2:$T$20,MATCH(B3450,METADATA!$S$2:$S$20,0))),0)</f>
        <v>0</v>
      </c>
      <c r="E3450" s="312" t="str">
        <f t="shared" si="212"/>
        <v>LO</v>
      </c>
      <c r="F3450" s="369">
        <f>VLOOKUP(C3450,METADATA!$A$5:$H$29,IF(E3450="HI",2,IF(E3450="LO",6,10))+IF(D3450=1,2,IF(D3450=7,1,(IF(WEEKDAY(B3450)=1,2,IF(WEEKDAY(B3450)=7,1,0))))))</f>
        <v>3</v>
      </c>
      <c r="G3450" s="369">
        <f>VLOOKUP(C3450,METADATA!$J$5:$Q$29,IF(E3450="HI",2,IF(E3450="LO",6,10))+IF(D3450=1,2,IF(D3450=7,1,(IF(WEEKDAY(B3450)=1,2,IF(WEEKDAY(B3450)=7,1,0))))))</f>
        <v>3</v>
      </c>
      <c r="H3450" s="370">
        <v>4058.9625244140625</v>
      </c>
      <c r="I3450" s="370">
        <v>4353.262451171875</v>
      </c>
      <c r="M3450" s="371">
        <f t="shared" si="213"/>
        <v>5951.9804051576602</v>
      </c>
      <c r="N3450" s="329">
        <f t="shared" si="214"/>
        <v>3135.5736938476566</v>
      </c>
      <c r="T3450" s="331">
        <v>0</v>
      </c>
      <c r="U3450" s="328">
        <f>VLOOKUP(C3450,METADATA!$J$5:$Q$29,IF(E3450="HI",2,IF(E3450="LO",6,10))+IF(T3450=1,2,IF(D3450=7,1,(IF(WEEKDAY(B3450)=1,2,IF(WEEKDAY(B3450)=7,1,0))))))</f>
        <v>3</v>
      </c>
      <c r="V3450" s="328">
        <f>VLOOKUP(C3450,METADATA!$A$5:$H$29,IF(E3450="HI",2,IF(E3450="LO",6,10))+IF(T3450=1,2,IF(D3450=7,1,(IF(WEEKDAY(B3450)=1,2,IF(WEEKDAY(B3450)=7,1,0))))))</f>
        <v>3</v>
      </c>
    </row>
    <row r="3451" spans="2:22">
      <c r="B3451" s="318">
        <f t="shared" si="215"/>
        <v>46256</v>
      </c>
      <c r="C3451" s="312">
        <v>15</v>
      </c>
      <c r="D3451" s="368">
        <f>IFERROR((INDEX(METADATA!$T$2:$T$20,MATCH(B3451,METADATA!$S$2:$S$20,0))),0)</f>
        <v>0</v>
      </c>
      <c r="E3451" s="312" t="str">
        <f t="shared" si="212"/>
        <v>LO</v>
      </c>
      <c r="F3451" s="369">
        <f>VLOOKUP(C3451,METADATA!$A$5:$H$29,IF(E3451="HI",2,IF(E3451="LO",6,10))+IF(D3451=1,2,IF(D3451=7,1,(IF(WEEKDAY(B3451)=1,2,IF(WEEKDAY(B3451)=7,1,0))))))</f>
        <v>3</v>
      </c>
      <c r="G3451" s="369">
        <f>VLOOKUP(C3451,METADATA!$J$5:$Q$29,IF(E3451="HI",2,IF(E3451="LO",6,10))+IF(D3451=1,2,IF(D3451=7,1,(IF(WEEKDAY(B3451)=1,2,IF(WEEKDAY(B3451)=7,1,0))))))</f>
        <v>3</v>
      </c>
      <c r="H3451" s="370">
        <v>4020.625</v>
      </c>
      <c r="I3451" s="370">
        <v>4369.4500732421875</v>
      </c>
      <c r="M3451" s="371">
        <f t="shared" si="213"/>
        <v>5937.8042518410084</v>
      </c>
      <c r="N3451" s="329">
        <f t="shared" si="214"/>
        <v>3163.2625732421875</v>
      </c>
      <c r="T3451" s="331">
        <v>0</v>
      </c>
      <c r="U3451" s="328">
        <f>VLOOKUP(C3451,METADATA!$J$5:$Q$29,IF(E3451="HI",2,IF(E3451="LO",6,10))+IF(T3451=1,2,IF(D3451=7,1,(IF(WEEKDAY(B3451)=1,2,IF(WEEKDAY(B3451)=7,1,0))))))</f>
        <v>3</v>
      </c>
      <c r="V3451" s="328">
        <f>VLOOKUP(C3451,METADATA!$A$5:$H$29,IF(E3451="HI",2,IF(E3451="LO",6,10))+IF(T3451=1,2,IF(D3451=7,1,(IF(WEEKDAY(B3451)=1,2,IF(WEEKDAY(B3451)=7,1,0))))))</f>
        <v>3</v>
      </c>
    </row>
    <row r="3452" spans="2:22">
      <c r="B3452" s="318">
        <f t="shared" si="215"/>
        <v>46256</v>
      </c>
      <c r="C3452" s="312">
        <v>16</v>
      </c>
      <c r="D3452" s="368">
        <f>IFERROR((INDEX(METADATA!$T$2:$T$20,MATCH(B3452,METADATA!$S$2:$S$20,0))),0)</f>
        <v>0</v>
      </c>
      <c r="E3452" s="312" t="str">
        <f t="shared" si="212"/>
        <v>LO</v>
      </c>
      <c r="F3452" s="369">
        <f>VLOOKUP(C3452,METADATA!$A$5:$H$29,IF(E3452="HI",2,IF(E3452="LO",6,10))+IF(D3452=1,2,IF(D3452=7,1,(IF(WEEKDAY(B3452)=1,2,IF(WEEKDAY(B3452)=7,1,0))))))</f>
        <v>3</v>
      </c>
      <c r="G3452" s="369">
        <f>VLOOKUP(C3452,METADATA!$J$5:$Q$29,IF(E3452="HI",2,IF(E3452="LO",6,10))+IF(D3452=1,2,IF(D3452=7,1,(IF(WEEKDAY(B3452)=1,2,IF(WEEKDAY(B3452)=7,1,0))))))</f>
        <v>3</v>
      </c>
      <c r="H3452" s="370">
        <v>4002.00244140625</v>
      </c>
      <c r="I3452" s="370">
        <v>4313.6900024414063</v>
      </c>
      <c r="M3452" s="371">
        <f t="shared" si="213"/>
        <v>5884.2115001234042</v>
      </c>
      <c r="N3452" s="329">
        <f t="shared" si="214"/>
        <v>3113.0892700195313</v>
      </c>
      <c r="T3452" s="331">
        <v>0</v>
      </c>
      <c r="U3452" s="328">
        <f>VLOOKUP(C3452,METADATA!$J$5:$Q$29,IF(E3452="HI",2,IF(E3452="LO",6,10))+IF(T3452=1,2,IF(D3452=7,1,(IF(WEEKDAY(B3452)=1,2,IF(WEEKDAY(B3452)=7,1,0))))))</f>
        <v>3</v>
      </c>
      <c r="V3452" s="328">
        <f>VLOOKUP(C3452,METADATA!$A$5:$H$29,IF(E3452="HI",2,IF(E3452="LO",6,10))+IF(T3452=1,2,IF(D3452=7,1,(IF(WEEKDAY(B3452)=1,2,IF(WEEKDAY(B3452)=7,1,0))))))</f>
        <v>3</v>
      </c>
    </row>
    <row r="3453" spans="2:22">
      <c r="B3453" s="318">
        <f t="shared" si="215"/>
        <v>46256</v>
      </c>
      <c r="C3453" s="312">
        <v>17</v>
      </c>
      <c r="D3453" s="368">
        <f>IFERROR((INDEX(METADATA!$T$2:$T$20,MATCH(B3453,METADATA!$S$2:$S$20,0))),0)</f>
        <v>0</v>
      </c>
      <c r="E3453" s="312" t="str">
        <f t="shared" si="212"/>
        <v>LO</v>
      </c>
      <c r="F3453" s="369">
        <f>VLOOKUP(C3453,METADATA!$A$5:$H$29,IF(E3453="HI",2,IF(E3453="LO",6,10))+IF(D3453=1,2,IF(D3453=7,1,(IF(WEEKDAY(B3453)=1,2,IF(WEEKDAY(B3453)=7,1,0))))))</f>
        <v>3</v>
      </c>
      <c r="G3453" s="369">
        <f>VLOOKUP(C3453,METADATA!$J$5:$Q$29,IF(E3453="HI",2,IF(E3453="LO",6,10))+IF(D3453=1,2,IF(D3453=7,1,(IF(WEEKDAY(B3453)=1,2,IF(WEEKDAY(B3453)=7,1,0))))))</f>
        <v>3</v>
      </c>
      <c r="H3453" s="370">
        <v>4047.9974670410156</v>
      </c>
      <c r="I3453" s="370">
        <v>4374.7174072265625</v>
      </c>
      <c r="M3453" s="371">
        <f t="shared" si="213"/>
        <v>5960.2379051730459</v>
      </c>
      <c r="N3453" s="329">
        <f t="shared" si="214"/>
        <v>3160.3181671142579</v>
      </c>
      <c r="T3453" s="331">
        <v>0</v>
      </c>
      <c r="U3453" s="328">
        <f>VLOOKUP(C3453,METADATA!$J$5:$Q$29,IF(E3453="HI",2,IF(E3453="LO",6,10))+IF(T3453=1,2,IF(D3453=7,1,(IF(WEEKDAY(B3453)=1,2,IF(WEEKDAY(B3453)=7,1,0))))))</f>
        <v>3</v>
      </c>
      <c r="V3453" s="328">
        <f>VLOOKUP(C3453,METADATA!$A$5:$H$29,IF(E3453="HI",2,IF(E3453="LO",6,10))+IF(T3453=1,2,IF(D3453=7,1,(IF(WEEKDAY(B3453)=1,2,IF(WEEKDAY(B3453)=7,1,0))))))</f>
        <v>3</v>
      </c>
    </row>
    <row r="3454" spans="2:22">
      <c r="B3454" s="318">
        <f t="shared" si="215"/>
        <v>46256</v>
      </c>
      <c r="C3454" s="312">
        <v>18</v>
      </c>
      <c r="D3454" s="368">
        <f>IFERROR((INDEX(METADATA!$T$2:$T$20,MATCH(B3454,METADATA!$S$2:$S$20,0))),0)</f>
        <v>0</v>
      </c>
      <c r="E3454" s="312" t="str">
        <f t="shared" si="212"/>
        <v>LO</v>
      </c>
      <c r="F3454" s="369">
        <f>VLOOKUP(C3454,METADATA!$A$5:$H$29,IF(E3454="HI",2,IF(E3454="LO",6,10))+IF(D3454=1,2,IF(D3454=7,1,(IF(WEEKDAY(B3454)=1,2,IF(WEEKDAY(B3454)=7,1,0))))))</f>
        <v>2</v>
      </c>
      <c r="G3454" s="369">
        <f>VLOOKUP(C3454,METADATA!$J$5:$Q$29,IF(E3454="HI",2,IF(E3454="LO",6,10))+IF(D3454=1,2,IF(D3454=7,1,(IF(WEEKDAY(B3454)=1,2,IF(WEEKDAY(B3454)=7,1,0))))))</f>
        <v>2</v>
      </c>
      <c r="H3454" s="370">
        <v>4159.7775268554688</v>
      </c>
      <c r="I3454" s="370">
        <v>4355.3525085449219</v>
      </c>
      <c r="M3454" s="371">
        <f t="shared" si="213"/>
        <v>6022.6941269352492</v>
      </c>
      <c r="N3454" s="329">
        <f t="shared" si="214"/>
        <v>3107.4192504882813</v>
      </c>
      <c r="T3454" s="331">
        <v>0</v>
      </c>
      <c r="U3454" s="328">
        <f>VLOOKUP(C3454,METADATA!$J$5:$Q$29,IF(E3454="HI",2,IF(E3454="LO",6,10))+IF(T3454=1,2,IF(D3454=7,1,(IF(WEEKDAY(B3454)=1,2,IF(WEEKDAY(B3454)=7,1,0))))))</f>
        <v>2</v>
      </c>
      <c r="V3454" s="328">
        <f>VLOOKUP(C3454,METADATA!$A$5:$H$29,IF(E3454="HI",2,IF(E3454="LO",6,10))+IF(T3454=1,2,IF(D3454=7,1,(IF(WEEKDAY(B3454)=1,2,IF(WEEKDAY(B3454)=7,1,0))))))</f>
        <v>2</v>
      </c>
    </row>
    <row r="3455" spans="2:22">
      <c r="B3455" s="318">
        <f t="shared" si="215"/>
        <v>46256</v>
      </c>
      <c r="C3455" s="312">
        <v>19</v>
      </c>
      <c r="D3455" s="368">
        <f>IFERROR((INDEX(METADATA!$T$2:$T$20,MATCH(B3455,METADATA!$S$2:$S$20,0))),0)</f>
        <v>0</v>
      </c>
      <c r="E3455" s="312" t="str">
        <f t="shared" si="212"/>
        <v>LO</v>
      </c>
      <c r="F3455" s="369">
        <f>VLOOKUP(C3455,METADATA!$A$5:$H$29,IF(E3455="HI",2,IF(E3455="LO",6,10))+IF(D3455=1,2,IF(D3455=7,1,(IF(WEEKDAY(B3455)=1,2,IF(WEEKDAY(B3455)=7,1,0))))))</f>
        <v>2</v>
      </c>
      <c r="G3455" s="369">
        <f>VLOOKUP(C3455,METADATA!$J$5:$Q$29,IF(E3455="HI",2,IF(E3455="LO",6,10))+IF(D3455=1,2,IF(D3455=7,1,(IF(WEEKDAY(B3455)=1,2,IF(WEEKDAY(B3455)=7,1,0))))))</f>
        <v>2</v>
      </c>
      <c r="H3455" s="370">
        <v>4232.0824890136719</v>
      </c>
      <c r="I3455" s="370">
        <v>4332.2324523925781</v>
      </c>
      <c r="M3455" s="371">
        <f t="shared" si="213"/>
        <v>6056.2992177880024</v>
      </c>
      <c r="N3455" s="329">
        <f t="shared" si="214"/>
        <v>3062.6077056884769</v>
      </c>
      <c r="T3455" s="331">
        <v>0</v>
      </c>
      <c r="U3455" s="328">
        <f>VLOOKUP(C3455,METADATA!$J$5:$Q$29,IF(E3455="HI",2,IF(E3455="LO",6,10))+IF(T3455=1,2,IF(D3455=7,1,(IF(WEEKDAY(B3455)=1,2,IF(WEEKDAY(B3455)=7,1,0))))))</f>
        <v>2</v>
      </c>
      <c r="V3455" s="328">
        <f>VLOOKUP(C3455,METADATA!$A$5:$H$29,IF(E3455="HI",2,IF(E3455="LO",6,10))+IF(T3455=1,2,IF(D3455=7,1,(IF(WEEKDAY(B3455)=1,2,IF(WEEKDAY(B3455)=7,1,0))))))</f>
        <v>2</v>
      </c>
    </row>
    <row r="3456" spans="2:22">
      <c r="B3456" s="318">
        <f t="shared" si="215"/>
        <v>46256</v>
      </c>
      <c r="C3456" s="312">
        <v>20</v>
      </c>
      <c r="D3456" s="368">
        <f>IFERROR((INDEX(METADATA!$T$2:$T$20,MATCH(B3456,METADATA!$S$2:$S$20,0))),0)</f>
        <v>0</v>
      </c>
      <c r="E3456" s="312" t="str">
        <f t="shared" si="212"/>
        <v>LO</v>
      </c>
      <c r="F3456" s="369">
        <f>VLOOKUP(C3456,METADATA!$A$5:$H$29,IF(E3456="HI",2,IF(E3456="LO",6,10))+IF(D3456=1,2,IF(D3456=7,1,(IF(WEEKDAY(B3456)=1,2,IF(WEEKDAY(B3456)=7,1,0))))))</f>
        <v>3</v>
      </c>
      <c r="G3456" s="369">
        <f>VLOOKUP(C3456,METADATA!$J$5:$Q$29,IF(E3456="HI",2,IF(E3456="LO",6,10))+IF(D3456=1,2,IF(D3456=7,1,(IF(WEEKDAY(B3456)=1,2,IF(WEEKDAY(B3456)=7,1,0))))))</f>
        <v>3</v>
      </c>
      <c r="H3456" s="370">
        <v>4157.7200012207031</v>
      </c>
      <c r="I3456" s="370">
        <v>4295.5426330566406</v>
      </c>
      <c r="M3456" s="371">
        <f t="shared" si="213"/>
        <v>5978.1537384846388</v>
      </c>
      <c r="N3456" s="329">
        <f t="shared" si="214"/>
        <v>3048.2266326904301</v>
      </c>
      <c r="T3456" s="331">
        <v>0</v>
      </c>
      <c r="U3456" s="328">
        <f>VLOOKUP(C3456,METADATA!$J$5:$Q$29,IF(E3456="HI",2,IF(E3456="LO",6,10))+IF(T3456=1,2,IF(D3456=7,1,(IF(WEEKDAY(B3456)=1,2,IF(WEEKDAY(B3456)=7,1,0))))))</f>
        <v>3</v>
      </c>
      <c r="V3456" s="328">
        <f>VLOOKUP(C3456,METADATA!$A$5:$H$29,IF(E3456="HI",2,IF(E3456="LO",6,10))+IF(T3456=1,2,IF(D3456=7,1,(IF(WEEKDAY(B3456)=1,2,IF(WEEKDAY(B3456)=7,1,0))))))</f>
        <v>3</v>
      </c>
    </row>
    <row r="3457" spans="2:22">
      <c r="B3457" s="318">
        <f t="shared" si="215"/>
        <v>46256</v>
      </c>
      <c r="C3457" s="312">
        <v>21</v>
      </c>
      <c r="D3457" s="368">
        <f>IFERROR((INDEX(METADATA!$T$2:$T$20,MATCH(B3457,METADATA!$S$2:$S$20,0))),0)</f>
        <v>0</v>
      </c>
      <c r="E3457" s="312" t="str">
        <f t="shared" si="212"/>
        <v>LO</v>
      </c>
      <c r="F3457" s="369">
        <f>VLOOKUP(C3457,METADATA!$A$5:$H$29,IF(E3457="HI",2,IF(E3457="LO",6,10))+IF(D3457=1,2,IF(D3457=7,1,(IF(WEEKDAY(B3457)=1,2,IF(WEEKDAY(B3457)=7,1,0))))))</f>
        <v>3</v>
      </c>
      <c r="G3457" s="369">
        <f>VLOOKUP(C3457,METADATA!$J$5:$Q$29,IF(E3457="HI",2,IF(E3457="LO",6,10))+IF(D3457=1,2,IF(D3457=7,1,(IF(WEEKDAY(B3457)=1,2,IF(WEEKDAY(B3457)=7,1,0))))))</f>
        <v>3</v>
      </c>
      <c r="H3457" s="370">
        <v>4134.41259765625</v>
      </c>
      <c r="I3457" s="370">
        <v>4300.4799194335938</v>
      </c>
      <c r="M3457" s="371">
        <f t="shared" si="213"/>
        <v>5965.5255481064087</v>
      </c>
      <c r="N3457" s="329">
        <f t="shared" si="214"/>
        <v>3060.1561401367189</v>
      </c>
      <c r="T3457" s="331">
        <v>0</v>
      </c>
      <c r="U3457" s="328">
        <f>VLOOKUP(C3457,METADATA!$J$5:$Q$29,IF(E3457="HI",2,IF(E3457="LO",6,10))+IF(T3457=1,2,IF(D3457=7,1,(IF(WEEKDAY(B3457)=1,2,IF(WEEKDAY(B3457)=7,1,0))))))</f>
        <v>3</v>
      </c>
      <c r="V3457" s="328">
        <f>VLOOKUP(C3457,METADATA!$A$5:$H$29,IF(E3457="HI",2,IF(E3457="LO",6,10))+IF(T3457=1,2,IF(D3457=7,1,(IF(WEEKDAY(B3457)=1,2,IF(WEEKDAY(B3457)=7,1,0))))))</f>
        <v>3</v>
      </c>
    </row>
    <row r="3458" spans="2:22">
      <c r="B3458" s="318">
        <f t="shared" si="215"/>
        <v>46256</v>
      </c>
      <c r="C3458" s="312">
        <v>22</v>
      </c>
      <c r="D3458" s="368">
        <f>IFERROR((INDEX(METADATA!$T$2:$T$20,MATCH(B3458,METADATA!$S$2:$S$20,0))),0)</f>
        <v>0</v>
      </c>
      <c r="E3458" s="312" t="str">
        <f t="shared" si="212"/>
        <v>LO</v>
      </c>
      <c r="F3458" s="369">
        <f>VLOOKUP(C3458,METADATA!$A$5:$H$29,IF(E3458="HI",2,IF(E3458="LO",6,10))+IF(D3458=1,2,IF(D3458=7,1,(IF(WEEKDAY(B3458)=1,2,IF(WEEKDAY(B3458)=7,1,0))))))</f>
        <v>3</v>
      </c>
      <c r="G3458" s="369">
        <f>VLOOKUP(C3458,METADATA!$J$5:$Q$29,IF(E3458="HI",2,IF(E3458="LO",6,10))+IF(D3458=1,2,IF(D3458=7,1,(IF(WEEKDAY(B3458)=1,2,IF(WEEKDAY(B3458)=7,1,0))))))</f>
        <v>3</v>
      </c>
      <c r="H3458" s="370">
        <v>4105.5750122070313</v>
      </c>
      <c r="I3458" s="370">
        <v>4315.4824523925781</v>
      </c>
      <c r="M3458" s="371">
        <f t="shared" si="213"/>
        <v>5956.4364327815183</v>
      </c>
      <c r="N3458" s="329">
        <f t="shared" si="214"/>
        <v>3083.8099487304689</v>
      </c>
      <c r="T3458" s="331">
        <v>0</v>
      </c>
      <c r="U3458" s="328">
        <f>VLOOKUP(C3458,METADATA!$J$5:$Q$29,IF(E3458="HI",2,IF(E3458="LO",6,10))+IF(T3458=1,2,IF(D3458=7,1,(IF(WEEKDAY(B3458)=1,2,IF(WEEKDAY(B3458)=7,1,0))))))</f>
        <v>3</v>
      </c>
      <c r="V3458" s="328">
        <f>VLOOKUP(C3458,METADATA!$A$5:$H$29,IF(E3458="HI",2,IF(E3458="LO",6,10))+IF(T3458=1,2,IF(D3458=7,1,(IF(WEEKDAY(B3458)=1,2,IF(WEEKDAY(B3458)=7,1,0))))))</f>
        <v>3</v>
      </c>
    </row>
    <row r="3459" spans="2:22">
      <c r="B3459" s="318">
        <f t="shared" si="215"/>
        <v>46256</v>
      </c>
      <c r="C3459" s="312">
        <v>23</v>
      </c>
      <c r="D3459" s="368">
        <f>IFERROR((INDEX(METADATA!$T$2:$T$20,MATCH(B3459,METADATA!$S$2:$S$20,0))),0)</f>
        <v>0</v>
      </c>
      <c r="E3459" s="312" t="str">
        <f t="shared" si="212"/>
        <v>LO</v>
      </c>
      <c r="F3459" s="369">
        <f>VLOOKUP(C3459,METADATA!$A$5:$H$29,IF(E3459="HI",2,IF(E3459="LO",6,10))+IF(D3459=1,2,IF(D3459=7,1,(IF(WEEKDAY(B3459)=1,2,IF(WEEKDAY(B3459)=7,1,0))))))</f>
        <v>3</v>
      </c>
      <c r="G3459" s="369">
        <f>VLOOKUP(C3459,METADATA!$J$5:$Q$29,IF(E3459="HI",2,IF(E3459="LO",6,10))+IF(D3459=1,2,IF(D3459=7,1,(IF(WEEKDAY(B3459)=1,2,IF(WEEKDAY(B3459)=7,1,0))))))</f>
        <v>3</v>
      </c>
      <c r="H3459" s="370">
        <v>4134.3850402832031</v>
      </c>
      <c r="I3459" s="370">
        <v>4320.705078125</v>
      </c>
      <c r="M3459" s="371">
        <f t="shared" si="213"/>
        <v>5980.103011943248</v>
      </c>
      <c r="N3459" s="329">
        <f t="shared" si="214"/>
        <v>3080.3895660400394</v>
      </c>
      <c r="T3459" s="331">
        <v>0</v>
      </c>
      <c r="U3459" s="328">
        <f>VLOOKUP(C3459,METADATA!$J$5:$Q$29,IF(E3459="HI",2,IF(E3459="LO",6,10))+IF(T3459=1,2,IF(D3459=7,1,(IF(WEEKDAY(B3459)=1,2,IF(WEEKDAY(B3459)=7,1,0))))))</f>
        <v>3</v>
      </c>
      <c r="V3459" s="328">
        <f>VLOOKUP(C3459,METADATA!$A$5:$H$29,IF(E3459="HI",2,IF(E3459="LO",6,10))+IF(T3459=1,2,IF(D3459=7,1,(IF(WEEKDAY(B3459)=1,2,IF(WEEKDAY(B3459)=7,1,0))))))</f>
        <v>3</v>
      </c>
    </row>
    <row r="3460" spans="2:22">
      <c r="B3460" s="318">
        <f t="shared" si="215"/>
        <v>46257</v>
      </c>
      <c r="C3460" s="312">
        <v>0</v>
      </c>
      <c r="D3460" s="368">
        <f>IFERROR((INDEX(METADATA!$T$2:$T$20,MATCH(B3460,METADATA!$S$2:$S$20,0))),0)</f>
        <v>0</v>
      </c>
      <c r="E3460" s="312" t="str">
        <f t="shared" ref="E3460:E3523" si="216">IF(B3460="","",IF(AND(MONTH(B3460)&gt;=MONTH($Z$9),MONTH(B3460)&lt;=MONTH($Z$11)),"HI","LO"))</f>
        <v>LO</v>
      </c>
      <c r="F3460" s="369">
        <f>VLOOKUP(C3460,METADATA!$A$5:$H$29,IF(E3460="HI",2,IF(E3460="LO",6,10))+IF(D3460=1,2,IF(D3460=7,1,(IF(WEEKDAY(B3460)=1,2,IF(WEEKDAY(B3460)=7,1,0))))))</f>
        <v>3</v>
      </c>
      <c r="G3460" s="369">
        <f>VLOOKUP(C3460,METADATA!$J$5:$Q$29,IF(E3460="HI",2,IF(E3460="LO",6,10))+IF(D3460=1,2,IF(D3460=7,1,(IF(WEEKDAY(B3460)=1,2,IF(WEEKDAY(B3460)=7,1,0))))))</f>
        <v>3</v>
      </c>
      <c r="H3460" s="370">
        <v>4105.8799743652344</v>
      </c>
      <c r="I3460" s="370">
        <v>4168.1700134277344</v>
      </c>
      <c r="M3460" s="371">
        <f t="shared" ref="M3460:M3523" si="217">SQRT(H3460^2+I3460^2)</f>
        <v>5850.8026479049531</v>
      </c>
      <c r="N3460" s="329">
        <f t="shared" ref="N3460:N3523" si="218">IF(H3460=0,0,(IF(I3460-(0.3*H3460)&lt;0,0,(I3460-(0.3*H3460)))))</f>
        <v>2936.4060211181641</v>
      </c>
      <c r="T3460" s="331">
        <v>0</v>
      </c>
      <c r="U3460" s="328">
        <f>VLOOKUP(C3460,METADATA!$J$5:$Q$29,IF(E3460="HI",2,IF(E3460="LO",6,10))+IF(T3460=1,2,IF(D3460=7,1,(IF(WEEKDAY(B3460)=1,2,IF(WEEKDAY(B3460)=7,1,0))))))</f>
        <v>3</v>
      </c>
      <c r="V3460" s="328">
        <f>VLOOKUP(C3460,METADATA!$A$5:$H$29,IF(E3460="HI",2,IF(E3460="LO",6,10))+IF(T3460=1,2,IF(D3460=7,1,(IF(WEEKDAY(B3460)=1,2,IF(WEEKDAY(B3460)=7,1,0))))))</f>
        <v>3</v>
      </c>
    </row>
    <row r="3461" spans="2:22">
      <c r="B3461" s="318">
        <f t="shared" si="215"/>
        <v>46257</v>
      </c>
      <c r="C3461" s="312">
        <v>1</v>
      </c>
      <c r="D3461" s="368">
        <f>IFERROR((INDEX(METADATA!$T$2:$T$20,MATCH(B3461,METADATA!$S$2:$S$20,0))),0)</f>
        <v>0</v>
      </c>
      <c r="E3461" s="312" t="str">
        <f t="shared" si="216"/>
        <v>LO</v>
      </c>
      <c r="F3461" s="369">
        <f>VLOOKUP(C3461,METADATA!$A$5:$H$29,IF(E3461="HI",2,IF(E3461="LO",6,10))+IF(D3461=1,2,IF(D3461=7,1,(IF(WEEKDAY(B3461)=1,2,IF(WEEKDAY(B3461)=7,1,0))))))</f>
        <v>3</v>
      </c>
      <c r="G3461" s="369">
        <f>VLOOKUP(C3461,METADATA!$J$5:$Q$29,IF(E3461="HI",2,IF(E3461="LO",6,10))+IF(D3461=1,2,IF(D3461=7,1,(IF(WEEKDAY(B3461)=1,2,IF(WEEKDAY(B3461)=7,1,0))))))</f>
        <v>3</v>
      </c>
      <c r="H3461" s="370">
        <v>3867.1724853515625</v>
      </c>
      <c r="I3461" s="370">
        <v>4010.3899536132813</v>
      </c>
      <c r="M3461" s="371">
        <f t="shared" si="217"/>
        <v>5571.1983101934647</v>
      </c>
      <c r="N3461" s="329">
        <f t="shared" si="218"/>
        <v>2850.2382080078123</v>
      </c>
      <c r="T3461" s="331">
        <v>0</v>
      </c>
      <c r="U3461" s="328">
        <f>VLOOKUP(C3461,METADATA!$J$5:$Q$29,IF(E3461="HI",2,IF(E3461="LO",6,10))+IF(T3461=1,2,IF(D3461=7,1,(IF(WEEKDAY(B3461)=1,2,IF(WEEKDAY(B3461)=7,1,0))))))</f>
        <v>3</v>
      </c>
      <c r="V3461" s="328">
        <f>VLOOKUP(C3461,METADATA!$A$5:$H$29,IF(E3461="HI",2,IF(E3461="LO",6,10))+IF(T3461=1,2,IF(D3461=7,1,(IF(WEEKDAY(B3461)=1,2,IF(WEEKDAY(B3461)=7,1,0))))))</f>
        <v>3</v>
      </c>
    </row>
    <row r="3462" spans="2:22">
      <c r="B3462" s="318">
        <f t="shared" si="215"/>
        <v>46257</v>
      </c>
      <c r="C3462" s="312">
        <v>2</v>
      </c>
      <c r="D3462" s="368">
        <f>IFERROR((INDEX(METADATA!$T$2:$T$20,MATCH(B3462,METADATA!$S$2:$S$20,0))),0)</f>
        <v>0</v>
      </c>
      <c r="E3462" s="312" t="str">
        <f t="shared" si="216"/>
        <v>LO</v>
      </c>
      <c r="F3462" s="369">
        <f>VLOOKUP(C3462,METADATA!$A$5:$H$29,IF(E3462="HI",2,IF(E3462="LO",6,10))+IF(D3462=1,2,IF(D3462=7,1,(IF(WEEKDAY(B3462)=1,2,IF(WEEKDAY(B3462)=7,1,0))))))</f>
        <v>3</v>
      </c>
      <c r="G3462" s="369">
        <f>VLOOKUP(C3462,METADATA!$J$5:$Q$29,IF(E3462="HI",2,IF(E3462="LO",6,10))+IF(D3462=1,2,IF(D3462=7,1,(IF(WEEKDAY(B3462)=1,2,IF(WEEKDAY(B3462)=7,1,0))))))</f>
        <v>3</v>
      </c>
      <c r="H3462" s="370">
        <v>3724.9774475097656</v>
      </c>
      <c r="I3462" s="370">
        <v>3876.9500427246094</v>
      </c>
      <c r="M3462" s="371">
        <f t="shared" si="217"/>
        <v>5376.4485134927791</v>
      </c>
      <c r="N3462" s="329">
        <f t="shared" si="218"/>
        <v>2759.4568084716798</v>
      </c>
      <c r="T3462" s="331">
        <v>0</v>
      </c>
      <c r="U3462" s="328">
        <f>VLOOKUP(C3462,METADATA!$J$5:$Q$29,IF(E3462="HI",2,IF(E3462="LO",6,10))+IF(T3462=1,2,IF(D3462=7,1,(IF(WEEKDAY(B3462)=1,2,IF(WEEKDAY(B3462)=7,1,0))))))</f>
        <v>3</v>
      </c>
      <c r="V3462" s="328">
        <f>VLOOKUP(C3462,METADATA!$A$5:$H$29,IF(E3462="HI",2,IF(E3462="LO",6,10))+IF(T3462=1,2,IF(D3462=7,1,(IF(WEEKDAY(B3462)=1,2,IF(WEEKDAY(B3462)=7,1,0))))))</f>
        <v>3</v>
      </c>
    </row>
    <row r="3463" spans="2:22">
      <c r="B3463" s="318">
        <f t="shared" si="215"/>
        <v>46257</v>
      </c>
      <c r="C3463" s="312">
        <v>3</v>
      </c>
      <c r="D3463" s="368">
        <f>IFERROR((INDEX(METADATA!$T$2:$T$20,MATCH(B3463,METADATA!$S$2:$S$20,0))),0)</f>
        <v>0</v>
      </c>
      <c r="E3463" s="312" t="str">
        <f t="shared" si="216"/>
        <v>LO</v>
      </c>
      <c r="F3463" s="369">
        <f>VLOOKUP(C3463,METADATA!$A$5:$H$29,IF(E3463="HI",2,IF(E3463="LO",6,10))+IF(D3463=1,2,IF(D3463=7,1,(IF(WEEKDAY(B3463)=1,2,IF(WEEKDAY(B3463)=7,1,0))))))</f>
        <v>3</v>
      </c>
      <c r="G3463" s="369">
        <f>VLOOKUP(C3463,METADATA!$J$5:$Q$29,IF(E3463="HI",2,IF(E3463="LO",6,10))+IF(D3463=1,2,IF(D3463=7,1,(IF(WEEKDAY(B3463)=1,2,IF(WEEKDAY(B3463)=7,1,0))))))</f>
        <v>3</v>
      </c>
      <c r="H3463" s="370">
        <v>4151.8749694824219</v>
      </c>
      <c r="I3463" s="370">
        <v>4162.6349487304688</v>
      </c>
      <c r="M3463" s="371">
        <f t="shared" si="217"/>
        <v>5879.2512685381098</v>
      </c>
      <c r="N3463" s="329">
        <f t="shared" si="218"/>
        <v>2917.0724578857426</v>
      </c>
      <c r="T3463" s="331">
        <v>0</v>
      </c>
      <c r="U3463" s="328">
        <f>VLOOKUP(C3463,METADATA!$J$5:$Q$29,IF(E3463="HI",2,IF(E3463="LO",6,10))+IF(T3463=1,2,IF(D3463=7,1,(IF(WEEKDAY(B3463)=1,2,IF(WEEKDAY(B3463)=7,1,0))))))</f>
        <v>3</v>
      </c>
      <c r="V3463" s="328">
        <f>VLOOKUP(C3463,METADATA!$A$5:$H$29,IF(E3463="HI",2,IF(E3463="LO",6,10))+IF(T3463=1,2,IF(D3463=7,1,(IF(WEEKDAY(B3463)=1,2,IF(WEEKDAY(B3463)=7,1,0))))))</f>
        <v>3</v>
      </c>
    </row>
    <row r="3464" spans="2:22">
      <c r="B3464" s="318">
        <f t="shared" si="215"/>
        <v>46257</v>
      </c>
      <c r="C3464" s="312">
        <v>4</v>
      </c>
      <c r="D3464" s="368">
        <f>IFERROR((INDEX(METADATA!$T$2:$T$20,MATCH(B3464,METADATA!$S$2:$S$20,0))),0)</f>
        <v>0</v>
      </c>
      <c r="E3464" s="312" t="str">
        <f t="shared" si="216"/>
        <v>LO</v>
      </c>
      <c r="F3464" s="369">
        <f>VLOOKUP(C3464,METADATA!$A$5:$H$29,IF(E3464="HI",2,IF(E3464="LO",6,10))+IF(D3464=1,2,IF(D3464=7,1,(IF(WEEKDAY(B3464)=1,2,IF(WEEKDAY(B3464)=7,1,0))))))</f>
        <v>3</v>
      </c>
      <c r="G3464" s="369">
        <f>VLOOKUP(C3464,METADATA!$J$5:$Q$29,IF(E3464="HI",2,IF(E3464="LO",6,10))+IF(D3464=1,2,IF(D3464=7,1,(IF(WEEKDAY(B3464)=1,2,IF(WEEKDAY(B3464)=7,1,0))))))</f>
        <v>3</v>
      </c>
      <c r="H3464" s="370">
        <v>4131.64501953125</v>
      </c>
      <c r="I3464" s="370">
        <v>4120.8549499511719</v>
      </c>
      <c r="M3464" s="371">
        <f t="shared" si="217"/>
        <v>5835.4036780632805</v>
      </c>
      <c r="N3464" s="329">
        <f t="shared" si="218"/>
        <v>2881.3614440917972</v>
      </c>
      <c r="T3464" s="331">
        <v>0</v>
      </c>
      <c r="U3464" s="328">
        <f>VLOOKUP(C3464,METADATA!$J$5:$Q$29,IF(E3464="HI",2,IF(E3464="LO",6,10))+IF(T3464=1,2,IF(D3464=7,1,(IF(WEEKDAY(B3464)=1,2,IF(WEEKDAY(B3464)=7,1,0))))))</f>
        <v>3</v>
      </c>
      <c r="V3464" s="328">
        <f>VLOOKUP(C3464,METADATA!$A$5:$H$29,IF(E3464="HI",2,IF(E3464="LO",6,10))+IF(T3464=1,2,IF(D3464=7,1,(IF(WEEKDAY(B3464)=1,2,IF(WEEKDAY(B3464)=7,1,0))))))</f>
        <v>3</v>
      </c>
    </row>
    <row r="3465" spans="2:22">
      <c r="B3465" s="318">
        <f t="shared" si="215"/>
        <v>46257</v>
      </c>
      <c r="C3465" s="312">
        <v>5</v>
      </c>
      <c r="D3465" s="368">
        <f>IFERROR((INDEX(METADATA!$T$2:$T$20,MATCH(B3465,METADATA!$S$2:$S$20,0))),0)</f>
        <v>0</v>
      </c>
      <c r="E3465" s="312" t="str">
        <f t="shared" si="216"/>
        <v>LO</v>
      </c>
      <c r="F3465" s="369">
        <f>VLOOKUP(C3465,METADATA!$A$5:$H$29,IF(E3465="HI",2,IF(E3465="LO",6,10))+IF(D3465=1,2,IF(D3465=7,1,(IF(WEEKDAY(B3465)=1,2,IF(WEEKDAY(B3465)=7,1,0))))))</f>
        <v>3</v>
      </c>
      <c r="G3465" s="369">
        <f>VLOOKUP(C3465,METADATA!$J$5:$Q$29,IF(E3465="HI",2,IF(E3465="LO",6,10))+IF(D3465=1,2,IF(D3465=7,1,(IF(WEEKDAY(B3465)=1,2,IF(WEEKDAY(B3465)=7,1,0))))))</f>
        <v>3</v>
      </c>
      <c r="H3465" s="370">
        <v>4112.8225402832031</v>
      </c>
      <c r="I3465" s="370">
        <v>4240.3549499511719</v>
      </c>
      <c r="M3465" s="371">
        <f t="shared" si="217"/>
        <v>5907.2768133410664</v>
      </c>
      <c r="N3465" s="329">
        <f t="shared" si="218"/>
        <v>3006.5081878662113</v>
      </c>
      <c r="T3465" s="331">
        <v>0</v>
      </c>
      <c r="U3465" s="328">
        <f>VLOOKUP(C3465,METADATA!$J$5:$Q$29,IF(E3465="HI",2,IF(E3465="LO",6,10))+IF(T3465=1,2,IF(D3465=7,1,(IF(WEEKDAY(B3465)=1,2,IF(WEEKDAY(B3465)=7,1,0))))))</f>
        <v>3</v>
      </c>
      <c r="V3465" s="328">
        <f>VLOOKUP(C3465,METADATA!$A$5:$H$29,IF(E3465="HI",2,IF(E3465="LO",6,10))+IF(T3465=1,2,IF(D3465=7,1,(IF(WEEKDAY(B3465)=1,2,IF(WEEKDAY(B3465)=7,1,0))))))</f>
        <v>3</v>
      </c>
    </row>
    <row r="3466" spans="2:22">
      <c r="B3466" s="318">
        <f t="shared" si="215"/>
        <v>46257</v>
      </c>
      <c r="C3466" s="312">
        <v>6</v>
      </c>
      <c r="D3466" s="368">
        <f>IFERROR((INDEX(METADATA!$T$2:$T$20,MATCH(B3466,METADATA!$S$2:$S$20,0))),0)</f>
        <v>0</v>
      </c>
      <c r="E3466" s="312" t="str">
        <f t="shared" si="216"/>
        <v>LO</v>
      </c>
      <c r="F3466" s="369">
        <f>VLOOKUP(C3466,METADATA!$A$5:$H$29,IF(E3466="HI",2,IF(E3466="LO",6,10))+IF(D3466=1,2,IF(D3466=7,1,(IF(WEEKDAY(B3466)=1,2,IF(WEEKDAY(B3466)=7,1,0))))))</f>
        <v>3</v>
      </c>
      <c r="G3466" s="369">
        <f>VLOOKUP(C3466,METADATA!$J$5:$Q$29,IF(E3466="HI",2,IF(E3466="LO",6,10))+IF(D3466=1,2,IF(D3466=7,1,(IF(WEEKDAY(B3466)=1,2,IF(WEEKDAY(B3466)=7,1,0))))))</f>
        <v>3</v>
      </c>
      <c r="H3466" s="370">
        <v>3934.5149841308594</v>
      </c>
      <c r="I3466" s="370">
        <v>4086.132568359375</v>
      </c>
      <c r="M3466" s="371">
        <f t="shared" si="217"/>
        <v>5672.4674989423638</v>
      </c>
      <c r="N3466" s="329">
        <f t="shared" si="218"/>
        <v>2905.7780731201174</v>
      </c>
      <c r="T3466" s="331">
        <v>0</v>
      </c>
      <c r="U3466" s="328">
        <f>VLOOKUP(C3466,METADATA!$J$5:$Q$29,IF(E3466="HI",2,IF(E3466="LO",6,10))+IF(T3466=1,2,IF(D3466=7,1,(IF(WEEKDAY(B3466)=1,2,IF(WEEKDAY(B3466)=7,1,0))))))</f>
        <v>3</v>
      </c>
      <c r="V3466" s="328">
        <f>VLOOKUP(C3466,METADATA!$A$5:$H$29,IF(E3466="HI",2,IF(E3466="LO",6,10))+IF(T3466=1,2,IF(D3466=7,1,(IF(WEEKDAY(B3466)=1,2,IF(WEEKDAY(B3466)=7,1,0))))))</f>
        <v>3</v>
      </c>
    </row>
    <row r="3467" spans="2:22">
      <c r="B3467" s="318">
        <f t="shared" si="215"/>
        <v>46257</v>
      </c>
      <c r="C3467" s="312">
        <v>7</v>
      </c>
      <c r="D3467" s="368">
        <f>IFERROR((INDEX(METADATA!$T$2:$T$20,MATCH(B3467,METADATA!$S$2:$S$20,0))),0)</f>
        <v>0</v>
      </c>
      <c r="E3467" s="312" t="str">
        <f t="shared" si="216"/>
        <v>LO</v>
      </c>
      <c r="F3467" s="369">
        <f>VLOOKUP(C3467,METADATA!$A$5:$H$29,IF(E3467="HI",2,IF(E3467="LO",6,10))+IF(D3467=1,2,IF(D3467=7,1,(IF(WEEKDAY(B3467)=1,2,IF(WEEKDAY(B3467)=7,1,0))))))</f>
        <v>3</v>
      </c>
      <c r="G3467" s="369">
        <f>VLOOKUP(C3467,METADATA!$J$5:$Q$29,IF(E3467="HI",2,IF(E3467="LO",6,10))+IF(D3467=1,2,IF(D3467=7,1,(IF(WEEKDAY(B3467)=1,2,IF(WEEKDAY(B3467)=7,1,0))))))</f>
        <v>3</v>
      </c>
      <c r="H3467" s="370">
        <v>3966.4325256347656</v>
      </c>
      <c r="I3467" s="370">
        <v>4111.3924560546875</v>
      </c>
      <c r="M3467" s="371">
        <f t="shared" si="217"/>
        <v>5712.8044696205716</v>
      </c>
      <c r="N3467" s="329">
        <f t="shared" si="218"/>
        <v>2921.4626983642579</v>
      </c>
      <c r="T3467" s="331">
        <v>0</v>
      </c>
      <c r="U3467" s="328">
        <f>VLOOKUP(C3467,METADATA!$J$5:$Q$29,IF(E3467="HI",2,IF(E3467="LO",6,10))+IF(T3467=1,2,IF(D3467=7,1,(IF(WEEKDAY(B3467)=1,2,IF(WEEKDAY(B3467)=7,1,0))))))</f>
        <v>3</v>
      </c>
      <c r="V3467" s="328">
        <f>VLOOKUP(C3467,METADATA!$A$5:$H$29,IF(E3467="HI",2,IF(E3467="LO",6,10))+IF(T3467=1,2,IF(D3467=7,1,(IF(WEEKDAY(B3467)=1,2,IF(WEEKDAY(B3467)=7,1,0))))))</f>
        <v>3</v>
      </c>
    </row>
    <row r="3468" spans="2:22">
      <c r="B3468" s="318">
        <f t="shared" si="215"/>
        <v>46257</v>
      </c>
      <c r="C3468" s="312">
        <v>8</v>
      </c>
      <c r="D3468" s="368">
        <f>IFERROR((INDEX(METADATA!$T$2:$T$20,MATCH(B3468,METADATA!$S$2:$S$20,0))),0)</f>
        <v>0</v>
      </c>
      <c r="E3468" s="312" t="str">
        <f t="shared" si="216"/>
        <v>LO</v>
      </c>
      <c r="F3468" s="369">
        <f>VLOOKUP(C3468,METADATA!$A$5:$H$29,IF(E3468="HI",2,IF(E3468="LO",6,10))+IF(D3468=1,2,IF(D3468=7,1,(IF(WEEKDAY(B3468)=1,2,IF(WEEKDAY(B3468)=7,1,0))))))</f>
        <v>3</v>
      </c>
      <c r="G3468" s="369">
        <f>VLOOKUP(C3468,METADATA!$J$5:$Q$29,IF(E3468="HI",2,IF(E3468="LO",6,10))+IF(D3468=1,2,IF(D3468=7,1,(IF(WEEKDAY(B3468)=1,2,IF(WEEKDAY(B3468)=7,1,0))))))</f>
        <v>3</v>
      </c>
      <c r="H3468" s="370">
        <v>4180.9748840332031</v>
      </c>
      <c r="I3468" s="370">
        <v>4398.1650695800781</v>
      </c>
      <c r="M3468" s="371">
        <f t="shared" si="217"/>
        <v>6068.3117059187716</v>
      </c>
      <c r="N3468" s="329">
        <f t="shared" si="218"/>
        <v>3143.8726043701172</v>
      </c>
      <c r="T3468" s="331">
        <v>0</v>
      </c>
      <c r="U3468" s="328">
        <f>VLOOKUP(C3468,METADATA!$J$5:$Q$29,IF(E3468="HI",2,IF(E3468="LO",6,10))+IF(T3468=1,2,IF(D3468=7,1,(IF(WEEKDAY(B3468)=1,2,IF(WEEKDAY(B3468)=7,1,0))))))</f>
        <v>3</v>
      </c>
      <c r="V3468" s="328">
        <f>VLOOKUP(C3468,METADATA!$A$5:$H$29,IF(E3468="HI",2,IF(E3468="LO",6,10))+IF(T3468=1,2,IF(D3468=7,1,(IF(WEEKDAY(B3468)=1,2,IF(WEEKDAY(B3468)=7,1,0))))))</f>
        <v>3</v>
      </c>
    </row>
    <row r="3469" spans="2:22">
      <c r="B3469" s="318">
        <f t="shared" si="215"/>
        <v>46257</v>
      </c>
      <c r="C3469" s="312">
        <v>9</v>
      </c>
      <c r="D3469" s="368">
        <f>IFERROR((INDEX(METADATA!$T$2:$T$20,MATCH(B3469,METADATA!$S$2:$S$20,0))),0)</f>
        <v>0</v>
      </c>
      <c r="E3469" s="312" t="str">
        <f t="shared" si="216"/>
        <v>LO</v>
      </c>
      <c r="F3469" s="369">
        <f>VLOOKUP(C3469,METADATA!$A$5:$H$29,IF(E3469="HI",2,IF(E3469="LO",6,10))+IF(D3469=1,2,IF(D3469=7,1,(IF(WEEKDAY(B3469)=1,2,IF(WEEKDAY(B3469)=7,1,0))))))</f>
        <v>3</v>
      </c>
      <c r="G3469" s="369">
        <f>VLOOKUP(C3469,METADATA!$J$5:$Q$29,IF(E3469="HI",2,IF(E3469="LO",6,10))+IF(D3469=1,2,IF(D3469=7,1,(IF(WEEKDAY(B3469)=1,2,IF(WEEKDAY(B3469)=7,1,0))))))</f>
        <v>3</v>
      </c>
      <c r="H3469" s="370">
        <v>4323.6275024414063</v>
      </c>
      <c r="I3469" s="370">
        <v>4661.4224548339844</v>
      </c>
      <c r="M3469" s="371">
        <f t="shared" si="217"/>
        <v>6357.8781116264099</v>
      </c>
      <c r="N3469" s="329">
        <f t="shared" si="218"/>
        <v>3364.3342041015626</v>
      </c>
      <c r="T3469" s="331">
        <v>0</v>
      </c>
      <c r="U3469" s="328">
        <f>VLOOKUP(C3469,METADATA!$J$5:$Q$29,IF(E3469="HI",2,IF(E3469="LO",6,10))+IF(T3469=1,2,IF(D3469=7,1,(IF(WEEKDAY(B3469)=1,2,IF(WEEKDAY(B3469)=7,1,0))))))</f>
        <v>3</v>
      </c>
      <c r="V3469" s="328">
        <f>VLOOKUP(C3469,METADATA!$A$5:$H$29,IF(E3469="HI",2,IF(E3469="LO",6,10))+IF(T3469=1,2,IF(D3469=7,1,(IF(WEEKDAY(B3469)=1,2,IF(WEEKDAY(B3469)=7,1,0))))))</f>
        <v>3</v>
      </c>
    </row>
    <row r="3470" spans="2:22">
      <c r="B3470" s="318">
        <f t="shared" si="215"/>
        <v>46257</v>
      </c>
      <c r="C3470" s="312">
        <v>10</v>
      </c>
      <c r="D3470" s="368">
        <f>IFERROR((INDEX(METADATA!$T$2:$T$20,MATCH(B3470,METADATA!$S$2:$S$20,0))),0)</f>
        <v>0</v>
      </c>
      <c r="E3470" s="312" t="str">
        <f t="shared" si="216"/>
        <v>LO</v>
      </c>
      <c r="F3470" s="369">
        <f>VLOOKUP(C3470,METADATA!$A$5:$H$29,IF(E3470="HI",2,IF(E3470="LO",6,10))+IF(D3470=1,2,IF(D3470=7,1,(IF(WEEKDAY(B3470)=1,2,IF(WEEKDAY(B3470)=7,1,0))))))</f>
        <v>3</v>
      </c>
      <c r="G3470" s="369">
        <f>VLOOKUP(C3470,METADATA!$J$5:$Q$29,IF(E3470="HI",2,IF(E3470="LO",6,10))+IF(D3470=1,2,IF(D3470=7,1,(IF(WEEKDAY(B3470)=1,2,IF(WEEKDAY(B3470)=7,1,0))))))</f>
        <v>3</v>
      </c>
      <c r="H3470" s="370">
        <v>4485.0700073242188</v>
      </c>
      <c r="I3470" s="370">
        <v>4902.2450256347656</v>
      </c>
      <c r="M3470" s="371">
        <f t="shared" si="217"/>
        <v>6644.3855443494604</v>
      </c>
      <c r="N3470" s="329">
        <f t="shared" si="218"/>
        <v>3556.7240234375004</v>
      </c>
      <c r="T3470" s="331">
        <v>0</v>
      </c>
      <c r="U3470" s="328">
        <f>VLOOKUP(C3470,METADATA!$J$5:$Q$29,IF(E3470="HI",2,IF(E3470="LO",6,10))+IF(T3470=1,2,IF(D3470=7,1,(IF(WEEKDAY(B3470)=1,2,IF(WEEKDAY(B3470)=7,1,0))))))</f>
        <v>3</v>
      </c>
      <c r="V3470" s="328">
        <f>VLOOKUP(C3470,METADATA!$A$5:$H$29,IF(E3470="HI",2,IF(E3470="LO",6,10))+IF(T3470=1,2,IF(D3470=7,1,(IF(WEEKDAY(B3470)=1,2,IF(WEEKDAY(B3470)=7,1,0))))))</f>
        <v>3</v>
      </c>
    </row>
    <row r="3471" spans="2:22">
      <c r="B3471" s="318">
        <f t="shared" si="215"/>
        <v>46257</v>
      </c>
      <c r="C3471" s="312">
        <v>11</v>
      </c>
      <c r="D3471" s="368">
        <f>IFERROR((INDEX(METADATA!$T$2:$T$20,MATCH(B3471,METADATA!$S$2:$S$20,0))),0)</f>
        <v>0</v>
      </c>
      <c r="E3471" s="312" t="str">
        <f t="shared" si="216"/>
        <v>LO</v>
      </c>
      <c r="F3471" s="369">
        <f>VLOOKUP(C3471,METADATA!$A$5:$H$29,IF(E3471="HI",2,IF(E3471="LO",6,10))+IF(D3471=1,2,IF(D3471=7,1,(IF(WEEKDAY(B3471)=1,2,IF(WEEKDAY(B3471)=7,1,0))))))</f>
        <v>3</v>
      </c>
      <c r="G3471" s="369">
        <f>VLOOKUP(C3471,METADATA!$J$5:$Q$29,IF(E3471="HI",2,IF(E3471="LO",6,10))+IF(D3471=1,2,IF(D3471=7,1,(IF(WEEKDAY(B3471)=1,2,IF(WEEKDAY(B3471)=7,1,0))))))</f>
        <v>3</v>
      </c>
      <c r="H3471" s="370">
        <v>4546.85498046875</v>
      </c>
      <c r="I3471" s="370">
        <v>4804.66748046875</v>
      </c>
      <c r="M3471" s="371">
        <f t="shared" si="217"/>
        <v>6615.0374005962658</v>
      </c>
      <c r="N3471" s="329">
        <f t="shared" si="218"/>
        <v>3440.6109863281254</v>
      </c>
      <c r="T3471" s="331">
        <v>0</v>
      </c>
      <c r="U3471" s="328">
        <f>VLOOKUP(C3471,METADATA!$J$5:$Q$29,IF(E3471="HI",2,IF(E3471="LO",6,10))+IF(T3471=1,2,IF(D3471=7,1,(IF(WEEKDAY(B3471)=1,2,IF(WEEKDAY(B3471)=7,1,0))))))</f>
        <v>3</v>
      </c>
      <c r="V3471" s="328">
        <f>VLOOKUP(C3471,METADATA!$A$5:$H$29,IF(E3471="HI",2,IF(E3471="LO",6,10))+IF(T3471=1,2,IF(D3471=7,1,(IF(WEEKDAY(B3471)=1,2,IF(WEEKDAY(B3471)=7,1,0))))))</f>
        <v>3</v>
      </c>
    </row>
    <row r="3472" spans="2:22">
      <c r="B3472" s="318">
        <f t="shared" si="215"/>
        <v>46257</v>
      </c>
      <c r="C3472" s="312">
        <v>12</v>
      </c>
      <c r="D3472" s="368">
        <f>IFERROR((INDEX(METADATA!$T$2:$T$20,MATCH(B3472,METADATA!$S$2:$S$20,0))),0)</f>
        <v>0</v>
      </c>
      <c r="E3472" s="312" t="str">
        <f t="shared" si="216"/>
        <v>LO</v>
      </c>
      <c r="F3472" s="369">
        <f>VLOOKUP(C3472,METADATA!$A$5:$H$29,IF(E3472="HI",2,IF(E3472="LO",6,10))+IF(D3472=1,2,IF(D3472=7,1,(IF(WEEKDAY(B3472)=1,2,IF(WEEKDAY(B3472)=7,1,0))))))</f>
        <v>3</v>
      </c>
      <c r="G3472" s="369">
        <f>VLOOKUP(C3472,METADATA!$J$5:$Q$29,IF(E3472="HI",2,IF(E3472="LO",6,10))+IF(D3472=1,2,IF(D3472=7,1,(IF(WEEKDAY(B3472)=1,2,IF(WEEKDAY(B3472)=7,1,0))))))</f>
        <v>3</v>
      </c>
      <c r="H3472" s="370">
        <v>4141.4999694824219</v>
      </c>
      <c r="I3472" s="370">
        <v>4536.0350341796875</v>
      </c>
      <c r="M3472" s="371">
        <f t="shared" si="217"/>
        <v>6142.2826236284845</v>
      </c>
      <c r="N3472" s="329">
        <f t="shared" si="218"/>
        <v>3293.585043334961</v>
      </c>
      <c r="T3472" s="331">
        <v>0</v>
      </c>
      <c r="U3472" s="328">
        <f>VLOOKUP(C3472,METADATA!$J$5:$Q$29,IF(E3472="HI",2,IF(E3472="LO",6,10))+IF(T3472=1,2,IF(D3472=7,1,(IF(WEEKDAY(B3472)=1,2,IF(WEEKDAY(B3472)=7,1,0))))))</f>
        <v>3</v>
      </c>
      <c r="V3472" s="328">
        <f>VLOOKUP(C3472,METADATA!$A$5:$H$29,IF(E3472="HI",2,IF(E3472="LO",6,10))+IF(T3472=1,2,IF(D3472=7,1,(IF(WEEKDAY(B3472)=1,2,IF(WEEKDAY(B3472)=7,1,0))))))</f>
        <v>3</v>
      </c>
    </row>
    <row r="3473" spans="2:22">
      <c r="B3473" s="318">
        <f t="shared" si="215"/>
        <v>46257</v>
      </c>
      <c r="C3473" s="312">
        <v>13</v>
      </c>
      <c r="D3473" s="368">
        <f>IFERROR((INDEX(METADATA!$T$2:$T$20,MATCH(B3473,METADATA!$S$2:$S$20,0))),0)</f>
        <v>0</v>
      </c>
      <c r="E3473" s="312" t="str">
        <f t="shared" si="216"/>
        <v>LO</v>
      </c>
      <c r="F3473" s="369">
        <f>VLOOKUP(C3473,METADATA!$A$5:$H$29,IF(E3473="HI",2,IF(E3473="LO",6,10))+IF(D3473=1,2,IF(D3473=7,1,(IF(WEEKDAY(B3473)=1,2,IF(WEEKDAY(B3473)=7,1,0))))))</f>
        <v>3</v>
      </c>
      <c r="G3473" s="369">
        <f>VLOOKUP(C3473,METADATA!$J$5:$Q$29,IF(E3473="HI",2,IF(E3473="LO",6,10))+IF(D3473=1,2,IF(D3473=7,1,(IF(WEEKDAY(B3473)=1,2,IF(WEEKDAY(B3473)=7,1,0))))))</f>
        <v>3</v>
      </c>
      <c r="H3473" s="370">
        <v>4399.6249389648438</v>
      </c>
      <c r="I3473" s="370">
        <v>4792.6675109863281</v>
      </c>
      <c r="M3473" s="371">
        <f t="shared" si="217"/>
        <v>6505.8713078591773</v>
      </c>
      <c r="N3473" s="329">
        <f t="shared" si="218"/>
        <v>3472.780029296875</v>
      </c>
      <c r="T3473" s="331">
        <v>0</v>
      </c>
      <c r="U3473" s="328">
        <f>VLOOKUP(C3473,METADATA!$J$5:$Q$29,IF(E3473="HI",2,IF(E3473="LO",6,10))+IF(T3473=1,2,IF(D3473=7,1,(IF(WEEKDAY(B3473)=1,2,IF(WEEKDAY(B3473)=7,1,0))))))</f>
        <v>3</v>
      </c>
      <c r="V3473" s="328">
        <f>VLOOKUP(C3473,METADATA!$A$5:$H$29,IF(E3473="HI",2,IF(E3473="LO",6,10))+IF(T3473=1,2,IF(D3473=7,1,(IF(WEEKDAY(B3473)=1,2,IF(WEEKDAY(B3473)=7,1,0))))))</f>
        <v>3</v>
      </c>
    </row>
    <row r="3474" spans="2:22">
      <c r="B3474" s="318">
        <f t="shared" si="215"/>
        <v>46257</v>
      </c>
      <c r="C3474" s="312">
        <v>14</v>
      </c>
      <c r="D3474" s="368">
        <f>IFERROR((INDEX(METADATA!$T$2:$T$20,MATCH(B3474,METADATA!$S$2:$S$20,0))),0)</f>
        <v>0</v>
      </c>
      <c r="E3474" s="312" t="str">
        <f t="shared" si="216"/>
        <v>LO</v>
      </c>
      <c r="F3474" s="369">
        <f>VLOOKUP(C3474,METADATA!$A$5:$H$29,IF(E3474="HI",2,IF(E3474="LO",6,10))+IF(D3474=1,2,IF(D3474=7,1,(IF(WEEKDAY(B3474)=1,2,IF(WEEKDAY(B3474)=7,1,0))))))</f>
        <v>3</v>
      </c>
      <c r="G3474" s="369">
        <f>VLOOKUP(C3474,METADATA!$J$5:$Q$29,IF(E3474="HI",2,IF(E3474="LO",6,10))+IF(D3474=1,2,IF(D3474=7,1,(IF(WEEKDAY(B3474)=1,2,IF(WEEKDAY(B3474)=7,1,0))))))</f>
        <v>3</v>
      </c>
      <c r="H3474" s="370">
        <v>4367.8650207519531</v>
      </c>
      <c r="I3474" s="370">
        <v>4829.1349792480469</v>
      </c>
      <c r="M3474" s="371">
        <f t="shared" si="217"/>
        <v>6511.4352862717978</v>
      </c>
      <c r="N3474" s="329">
        <f t="shared" si="218"/>
        <v>3518.775473022461</v>
      </c>
      <c r="T3474" s="331">
        <v>0</v>
      </c>
      <c r="U3474" s="328">
        <f>VLOOKUP(C3474,METADATA!$J$5:$Q$29,IF(E3474="HI",2,IF(E3474="LO",6,10))+IF(T3474=1,2,IF(D3474=7,1,(IF(WEEKDAY(B3474)=1,2,IF(WEEKDAY(B3474)=7,1,0))))))</f>
        <v>3</v>
      </c>
      <c r="V3474" s="328">
        <f>VLOOKUP(C3474,METADATA!$A$5:$H$29,IF(E3474="HI",2,IF(E3474="LO",6,10))+IF(T3474=1,2,IF(D3474=7,1,(IF(WEEKDAY(B3474)=1,2,IF(WEEKDAY(B3474)=7,1,0))))))</f>
        <v>3</v>
      </c>
    </row>
    <row r="3475" spans="2:22">
      <c r="B3475" s="318">
        <f t="shared" si="215"/>
        <v>46257</v>
      </c>
      <c r="C3475" s="312">
        <v>15</v>
      </c>
      <c r="D3475" s="368">
        <f>IFERROR((INDEX(METADATA!$T$2:$T$20,MATCH(B3475,METADATA!$S$2:$S$20,0))),0)</f>
        <v>0</v>
      </c>
      <c r="E3475" s="312" t="str">
        <f t="shared" si="216"/>
        <v>LO</v>
      </c>
      <c r="F3475" s="369">
        <f>VLOOKUP(C3475,METADATA!$A$5:$H$29,IF(E3475="HI",2,IF(E3475="LO",6,10))+IF(D3475=1,2,IF(D3475=7,1,(IF(WEEKDAY(B3475)=1,2,IF(WEEKDAY(B3475)=7,1,0))))))</f>
        <v>3</v>
      </c>
      <c r="G3475" s="369">
        <f>VLOOKUP(C3475,METADATA!$J$5:$Q$29,IF(E3475="HI",2,IF(E3475="LO",6,10))+IF(D3475=1,2,IF(D3475=7,1,(IF(WEEKDAY(B3475)=1,2,IF(WEEKDAY(B3475)=7,1,0))))))</f>
        <v>3</v>
      </c>
      <c r="H3475" s="370">
        <v>4425.3075561523438</v>
      </c>
      <c r="I3475" s="370">
        <v>4782.2774658203125</v>
      </c>
      <c r="M3475" s="371">
        <f t="shared" si="217"/>
        <v>6515.6369394428184</v>
      </c>
      <c r="N3475" s="329">
        <f t="shared" si="218"/>
        <v>3454.6851989746092</v>
      </c>
      <c r="T3475" s="331">
        <v>0</v>
      </c>
      <c r="U3475" s="328">
        <f>VLOOKUP(C3475,METADATA!$J$5:$Q$29,IF(E3475="HI",2,IF(E3475="LO",6,10))+IF(T3475=1,2,IF(D3475=7,1,(IF(WEEKDAY(B3475)=1,2,IF(WEEKDAY(B3475)=7,1,0))))))</f>
        <v>3</v>
      </c>
      <c r="V3475" s="328">
        <f>VLOOKUP(C3475,METADATA!$A$5:$H$29,IF(E3475="HI",2,IF(E3475="LO",6,10))+IF(T3475=1,2,IF(D3475=7,1,(IF(WEEKDAY(B3475)=1,2,IF(WEEKDAY(B3475)=7,1,0))))))</f>
        <v>3</v>
      </c>
    </row>
    <row r="3476" spans="2:22">
      <c r="B3476" s="318">
        <f t="shared" si="215"/>
        <v>46257</v>
      </c>
      <c r="C3476" s="312">
        <v>16</v>
      </c>
      <c r="D3476" s="368">
        <f>IFERROR((INDEX(METADATA!$T$2:$T$20,MATCH(B3476,METADATA!$S$2:$S$20,0))),0)</f>
        <v>0</v>
      </c>
      <c r="E3476" s="312" t="str">
        <f t="shared" si="216"/>
        <v>LO</v>
      </c>
      <c r="F3476" s="369">
        <f>VLOOKUP(C3476,METADATA!$A$5:$H$29,IF(E3476="HI",2,IF(E3476="LO",6,10))+IF(D3476=1,2,IF(D3476=7,1,(IF(WEEKDAY(B3476)=1,2,IF(WEEKDAY(B3476)=7,1,0))))))</f>
        <v>3</v>
      </c>
      <c r="G3476" s="369">
        <f>VLOOKUP(C3476,METADATA!$J$5:$Q$29,IF(E3476="HI",2,IF(E3476="LO",6,10))+IF(D3476=1,2,IF(D3476=7,1,(IF(WEEKDAY(B3476)=1,2,IF(WEEKDAY(B3476)=7,1,0))))))</f>
        <v>3</v>
      </c>
      <c r="H3476" s="370">
        <v>4415.5875244140625</v>
      </c>
      <c r="I3476" s="370">
        <v>4692.6000061035156</v>
      </c>
      <c r="M3476" s="371">
        <f t="shared" si="217"/>
        <v>6443.4391440475192</v>
      </c>
      <c r="N3476" s="329">
        <f t="shared" si="218"/>
        <v>3367.9237487792971</v>
      </c>
      <c r="T3476" s="331">
        <v>0</v>
      </c>
      <c r="U3476" s="328">
        <f>VLOOKUP(C3476,METADATA!$J$5:$Q$29,IF(E3476="HI",2,IF(E3476="LO",6,10))+IF(T3476=1,2,IF(D3476=7,1,(IF(WEEKDAY(B3476)=1,2,IF(WEEKDAY(B3476)=7,1,0))))))</f>
        <v>3</v>
      </c>
      <c r="V3476" s="328">
        <f>VLOOKUP(C3476,METADATA!$A$5:$H$29,IF(E3476="HI",2,IF(E3476="LO",6,10))+IF(T3476=1,2,IF(D3476=7,1,(IF(WEEKDAY(B3476)=1,2,IF(WEEKDAY(B3476)=7,1,0))))))</f>
        <v>3</v>
      </c>
    </row>
    <row r="3477" spans="2:22">
      <c r="B3477" s="318">
        <f t="shared" si="215"/>
        <v>46257</v>
      </c>
      <c r="C3477" s="312">
        <v>17</v>
      </c>
      <c r="D3477" s="368">
        <f>IFERROR((INDEX(METADATA!$T$2:$T$20,MATCH(B3477,METADATA!$S$2:$S$20,0))),0)</f>
        <v>0</v>
      </c>
      <c r="E3477" s="312" t="str">
        <f t="shared" si="216"/>
        <v>LO</v>
      </c>
      <c r="F3477" s="369">
        <f>VLOOKUP(C3477,METADATA!$A$5:$H$29,IF(E3477="HI",2,IF(E3477="LO",6,10))+IF(D3477=1,2,IF(D3477=7,1,(IF(WEEKDAY(B3477)=1,2,IF(WEEKDAY(B3477)=7,1,0))))))</f>
        <v>3</v>
      </c>
      <c r="G3477" s="369">
        <f>VLOOKUP(C3477,METADATA!$J$5:$Q$29,IF(E3477="HI",2,IF(E3477="LO",6,10))+IF(D3477=1,2,IF(D3477=7,1,(IF(WEEKDAY(B3477)=1,2,IF(WEEKDAY(B3477)=7,1,0))))))</f>
        <v>3</v>
      </c>
      <c r="H3477" s="370">
        <v>4293.9199829101563</v>
      </c>
      <c r="I3477" s="370">
        <v>4635.6700134277344</v>
      </c>
      <c r="M3477" s="371">
        <f t="shared" si="217"/>
        <v>6318.7961901796016</v>
      </c>
      <c r="N3477" s="329">
        <f t="shared" si="218"/>
        <v>3347.4940185546875</v>
      </c>
      <c r="T3477" s="331">
        <v>0</v>
      </c>
      <c r="U3477" s="328">
        <f>VLOOKUP(C3477,METADATA!$J$5:$Q$29,IF(E3477="HI",2,IF(E3477="LO",6,10))+IF(T3477=1,2,IF(D3477=7,1,(IF(WEEKDAY(B3477)=1,2,IF(WEEKDAY(B3477)=7,1,0))))))</f>
        <v>3</v>
      </c>
      <c r="V3477" s="328">
        <f>VLOOKUP(C3477,METADATA!$A$5:$H$29,IF(E3477="HI",2,IF(E3477="LO",6,10))+IF(T3477=1,2,IF(D3477=7,1,(IF(WEEKDAY(B3477)=1,2,IF(WEEKDAY(B3477)=7,1,0))))))</f>
        <v>3</v>
      </c>
    </row>
    <row r="3478" spans="2:22">
      <c r="B3478" s="318">
        <f t="shared" si="215"/>
        <v>46257</v>
      </c>
      <c r="C3478" s="312">
        <v>18</v>
      </c>
      <c r="D3478" s="368">
        <f>IFERROR((INDEX(METADATA!$T$2:$T$20,MATCH(B3478,METADATA!$S$2:$S$20,0))),0)</f>
        <v>0</v>
      </c>
      <c r="E3478" s="312" t="str">
        <f t="shared" si="216"/>
        <v>LO</v>
      </c>
      <c r="F3478" s="369">
        <f>VLOOKUP(C3478,METADATA!$A$5:$H$29,IF(E3478="HI",2,IF(E3478="LO",6,10))+IF(D3478=1,2,IF(D3478=7,1,(IF(WEEKDAY(B3478)=1,2,IF(WEEKDAY(B3478)=7,1,0))))))</f>
        <v>2</v>
      </c>
      <c r="G3478" s="369">
        <f>VLOOKUP(C3478,METADATA!$J$5:$Q$29,IF(E3478="HI",2,IF(E3478="LO",6,10))+IF(D3478=1,2,IF(D3478=7,1,(IF(WEEKDAY(B3478)=1,2,IF(WEEKDAY(B3478)=7,1,0))))))</f>
        <v>2</v>
      </c>
      <c r="H3478" s="370">
        <v>4319.4024047851563</v>
      </c>
      <c r="I3478" s="370">
        <v>4556.8173828125</v>
      </c>
      <c r="M3478" s="371">
        <f t="shared" si="217"/>
        <v>6278.6799404624817</v>
      </c>
      <c r="N3478" s="329">
        <f t="shared" si="218"/>
        <v>3260.9966613769529</v>
      </c>
      <c r="T3478" s="331">
        <v>0</v>
      </c>
      <c r="U3478" s="328">
        <f>VLOOKUP(C3478,METADATA!$J$5:$Q$29,IF(E3478="HI",2,IF(E3478="LO",6,10))+IF(T3478=1,2,IF(D3478=7,1,(IF(WEEKDAY(B3478)=1,2,IF(WEEKDAY(B3478)=7,1,0))))))</f>
        <v>2</v>
      </c>
      <c r="V3478" s="328">
        <f>VLOOKUP(C3478,METADATA!$A$5:$H$29,IF(E3478="HI",2,IF(E3478="LO",6,10))+IF(T3478=1,2,IF(D3478=7,1,(IF(WEEKDAY(B3478)=1,2,IF(WEEKDAY(B3478)=7,1,0))))))</f>
        <v>2</v>
      </c>
    </row>
    <row r="3479" spans="2:22">
      <c r="B3479" s="318">
        <f t="shared" si="215"/>
        <v>46257</v>
      </c>
      <c r="C3479" s="312">
        <v>19</v>
      </c>
      <c r="D3479" s="368">
        <f>IFERROR((INDEX(METADATA!$T$2:$T$20,MATCH(B3479,METADATA!$S$2:$S$20,0))),0)</f>
        <v>0</v>
      </c>
      <c r="E3479" s="312" t="str">
        <f t="shared" si="216"/>
        <v>LO</v>
      </c>
      <c r="F3479" s="369">
        <f>VLOOKUP(C3479,METADATA!$A$5:$H$29,IF(E3479="HI",2,IF(E3479="LO",6,10))+IF(D3479=1,2,IF(D3479=7,1,(IF(WEEKDAY(B3479)=1,2,IF(WEEKDAY(B3479)=7,1,0))))))</f>
        <v>2</v>
      </c>
      <c r="G3479" s="369">
        <f>VLOOKUP(C3479,METADATA!$J$5:$Q$29,IF(E3479="HI",2,IF(E3479="LO",6,10))+IF(D3479=1,2,IF(D3479=7,1,(IF(WEEKDAY(B3479)=1,2,IF(WEEKDAY(B3479)=7,1,0))))))</f>
        <v>2</v>
      </c>
      <c r="H3479" s="370">
        <v>4381.7724304199219</v>
      </c>
      <c r="I3479" s="370">
        <v>4774.3625183105469</v>
      </c>
      <c r="M3479" s="371">
        <f t="shared" si="217"/>
        <v>6480.313810938228</v>
      </c>
      <c r="N3479" s="329">
        <f t="shared" si="218"/>
        <v>3459.8307891845707</v>
      </c>
      <c r="T3479" s="331">
        <v>0</v>
      </c>
      <c r="U3479" s="328">
        <f>VLOOKUP(C3479,METADATA!$J$5:$Q$29,IF(E3479="HI",2,IF(E3479="LO",6,10))+IF(T3479=1,2,IF(D3479=7,1,(IF(WEEKDAY(B3479)=1,2,IF(WEEKDAY(B3479)=7,1,0))))))</f>
        <v>2</v>
      </c>
      <c r="V3479" s="328">
        <f>VLOOKUP(C3479,METADATA!$A$5:$H$29,IF(E3479="HI",2,IF(E3479="LO",6,10))+IF(T3479=1,2,IF(D3479=7,1,(IF(WEEKDAY(B3479)=1,2,IF(WEEKDAY(B3479)=7,1,0))))))</f>
        <v>2</v>
      </c>
    </row>
    <row r="3480" spans="2:22">
      <c r="B3480" s="318">
        <f t="shared" si="215"/>
        <v>46257</v>
      </c>
      <c r="C3480" s="312">
        <v>20</v>
      </c>
      <c r="D3480" s="368">
        <f>IFERROR((INDEX(METADATA!$T$2:$T$20,MATCH(B3480,METADATA!$S$2:$S$20,0))),0)</f>
        <v>0</v>
      </c>
      <c r="E3480" s="312" t="str">
        <f t="shared" si="216"/>
        <v>LO</v>
      </c>
      <c r="F3480" s="369">
        <f>VLOOKUP(C3480,METADATA!$A$5:$H$29,IF(E3480="HI",2,IF(E3480="LO",6,10))+IF(D3480=1,2,IF(D3480=7,1,(IF(WEEKDAY(B3480)=1,2,IF(WEEKDAY(B3480)=7,1,0))))))</f>
        <v>3</v>
      </c>
      <c r="G3480" s="369">
        <f>VLOOKUP(C3480,METADATA!$J$5:$Q$29,IF(E3480="HI",2,IF(E3480="LO",6,10))+IF(D3480=1,2,IF(D3480=7,1,(IF(WEEKDAY(B3480)=1,2,IF(WEEKDAY(B3480)=7,1,0))))))</f>
        <v>3</v>
      </c>
      <c r="H3480" s="370">
        <v>4422.4400939941406</v>
      </c>
      <c r="I3480" s="370">
        <v>4892.7399597167969</v>
      </c>
      <c r="M3480" s="371">
        <f t="shared" si="217"/>
        <v>6595.2165012512232</v>
      </c>
      <c r="N3480" s="329">
        <f t="shared" si="218"/>
        <v>3566.0079315185549</v>
      </c>
      <c r="T3480" s="331">
        <v>0</v>
      </c>
      <c r="U3480" s="328">
        <f>VLOOKUP(C3480,METADATA!$J$5:$Q$29,IF(E3480="HI",2,IF(E3480="LO",6,10))+IF(T3480=1,2,IF(D3480=7,1,(IF(WEEKDAY(B3480)=1,2,IF(WEEKDAY(B3480)=7,1,0))))))</f>
        <v>3</v>
      </c>
      <c r="V3480" s="328">
        <f>VLOOKUP(C3480,METADATA!$A$5:$H$29,IF(E3480="HI",2,IF(E3480="LO",6,10))+IF(T3480=1,2,IF(D3480=7,1,(IF(WEEKDAY(B3480)=1,2,IF(WEEKDAY(B3480)=7,1,0))))))</f>
        <v>3</v>
      </c>
    </row>
    <row r="3481" spans="2:22">
      <c r="B3481" s="318">
        <f t="shared" si="215"/>
        <v>46257</v>
      </c>
      <c r="C3481" s="312">
        <v>21</v>
      </c>
      <c r="D3481" s="368">
        <f>IFERROR((INDEX(METADATA!$T$2:$T$20,MATCH(B3481,METADATA!$S$2:$S$20,0))),0)</f>
        <v>0</v>
      </c>
      <c r="E3481" s="312" t="str">
        <f t="shared" si="216"/>
        <v>LO</v>
      </c>
      <c r="F3481" s="369">
        <f>VLOOKUP(C3481,METADATA!$A$5:$H$29,IF(E3481="HI",2,IF(E3481="LO",6,10))+IF(D3481=1,2,IF(D3481=7,1,(IF(WEEKDAY(B3481)=1,2,IF(WEEKDAY(B3481)=7,1,0))))))</f>
        <v>3</v>
      </c>
      <c r="G3481" s="369">
        <f>VLOOKUP(C3481,METADATA!$J$5:$Q$29,IF(E3481="HI",2,IF(E3481="LO",6,10))+IF(D3481=1,2,IF(D3481=7,1,(IF(WEEKDAY(B3481)=1,2,IF(WEEKDAY(B3481)=7,1,0))))))</f>
        <v>3</v>
      </c>
      <c r="H3481" s="370">
        <v>4420.9799194335938</v>
      </c>
      <c r="I3481" s="370">
        <v>4896.9100036621094</v>
      </c>
      <c r="M3481" s="371">
        <f t="shared" si="217"/>
        <v>6597.3321147264605</v>
      </c>
      <c r="N3481" s="329">
        <f t="shared" si="218"/>
        <v>3570.6160278320313</v>
      </c>
      <c r="T3481" s="331">
        <v>0</v>
      </c>
      <c r="U3481" s="328">
        <f>VLOOKUP(C3481,METADATA!$J$5:$Q$29,IF(E3481="HI",2,IF(E3481="LO",6,10))+IF(T3481=1,2,IF(D3481=7,1,(IF(WEEKDAY(B3481)=1,2,IF(WEEKDAY(B3481)=7,1,0))))))</f>
        <v>3</v>
      </c>
      <c r="V3481" s="328">
        <f>VLOOKUP(C3481,METADATA!$A$5:$H$29,IF(E3481="HI",2,IF(E3481="LO",6,10))+IF(T3481=1,2,IF(D3481=7,1,(IF(WEEKDAY(B3481)=1,2,IF(WEEKDAY(B3481)=7,1,0))))))</f>
        <v>3</v>
      </c>
    </row>
    <row r="3482" spans="2:22">
      <c r="B3482" s="318">
        <f t="shared" si="215"/>
        <v>46257</v>
      </c>
      <c r="C3482" s="312">
        <v>22</v>
      </c>
      <c r="D3482" s="368">
        <f>IFERROR((INDEX(METADATA!$T$2:$T$20,MATCH(B3482,METADATA!$S$2:$S$20,0))),0)</f>
        <v>0</v>
      </c>
      <c r="E3482" s="312" t="str">
        <f t="shared" si="216"/>
        <v>LO</v>
      </c>
      <c r="F3482" s="369">
        <f>VLOOKUP(C3482,METADATA!$A$5:$H$29,IF(E3482="HI",2,IF(E3482="LO",6,10))+IF(D3482=1,2,IF(D3482=7,1,(IF(WEEKDAY(B3482)=1,2,IF(WEEKDAY(B3482)=7,1,0))))))</f>
        <v>3</v>
      </c>
      <c r="G3482" s="369">
        <f>VLOOKUP(C3482,METADATA!$J$5:$Q$29,IF(E3482="HI",2,IF(E3482="LO",6,10))+IF(D3482=1,2,IF(D3482=7,1,(IF(WEEKDAY(B3482)=1,2,IF(WEEKDAY(B3482)=7,1,0))))))</f>
        <v>3</v>
      </c>
      <c r="H3482" s="370">
        <v>4783.364990234375</v>
      </c>
      <c r="I3482" s="370">
        <v>5138.197509765625</v>
      </c>
      <c r="M3482" s="371">
        <f t="shared" si="217"/>
        <v>7020.089335554183</v>
      </c>
      <c r="N3482" s="329">
        <f t="shared" si="218"/>
        <v>3703.1880126953129</v>
      </c>
      <c r="T3482" s="331">
        <v>0</v>
      </c>
      <c r="U3482" s="328">
        <f>VLOOKUP(C3482,METADATA!$J$5:$Q$29,IF(E3482="HI",2,IF(E3482="LO",6,10))+IF(T3482=1,2,IF(D3482=7,1,(IF(WEEKDAY(B3482)=1,2,IF(WEEKDAY(B3482)=7,1,0))))))</f>
        <v>3</v>
      </c>
      <c r="V3482" s="328">
        <f>VLOOKUP(C3482,METADATA!$A$5:$H$29,IF(E3482="HI",2,IF(E3482="LO",6,10))+IF(T3482=1,2,IF(D3482=7,1,(IF(WEEKDAY(B3482)=1,2,IF(WEEKDAY(B3482)=7,1,0))))))</f>
        <v>3</v>
      </c>
    </row>
    <row r="3483" spans="2:22">
      <c r="B3483" s="318">
        <f t="shared" si="215"/>
        <v>46257</v>
      </c>
      <c r="C3483" s="312">
        <v>23</v>
      </c>
      <c r="D3483" s="368">
        <f>IFERROR((INDEX(METADATA!$T$2:$T$20,MATCH(B3483,METADATA!$S$2:$S$20,0))),0)</f>
        <v>0</v>
      </c>
      <c r="E3483" s="312" t="str">
        <f t="shared" si="216"/>
        <v>LO</v>
      </c>
      <c r="F3483" s="369">
        <f>VLOOKUP(C3483,METADATA!$A$5:$H$29,IF(E3483="HI",2,IF(E3483="LO",6,10))+IF(D3483=1,2,IF(D3483=7,1,(IF(WEEKDAY(B3483)=1,2,IF(WEEKDAY(B3483)=7,1,0))))))</f>
        <v>3</v>
      </c>
      <c r="G3483" s="369">
        <f>VLOOKUP(C3483,METADATA!$J$5:$Q$29,IF(E3483="HI",2,IF(E3483="LO",6,10))+IF(D3483=1,2,IF(D3483=7,1,(IF(WEEKDAY(B3483)=1,2,IF(WEEKDAY(B3483)=7,1,0))))))</f>
        <v>3</v>
      </c>
      <c r="H3483" s="370">
        <v>6519.5250244140625</v>
      </c>
      <c r="I3483" s="370">
        <v>6499.2125244140625</v>
      </c>
      <c r="M3483" s="371">
        <f t="shared" si="217"/>
        <v>9205.6488082840624</v>
      </c>
      <c r="N3483" s="329">
        <f t="shared" si="218"/>
        <v>4543.3550170898434</v>
      </c>
      <c r="T3483" s="331">
        <v>0</v>
      </c>
      <c r="U3483" s="328">
        <f>VLOOKUP(C3483,METADATA!$J$5:$Q$29,IF(E3483="HI",2,IF(E3483="LO",6,10))+IF(T3483=1,2,IF(D3483=7,1,(IF(WEEKDAY(B3483)=1,2,IF(WEEKDAY(B3483)=7,1,0))))))</f>
        <v>3</v>
      </c>
      <c r="V3483" s="328">
        <f>VLOOKUP(C3483,METADATA!$A$5:$H$29,IF(E3483="HI",2,IF(E3483="LO",6,10))+IF(T3483=1,2,IF(D3483=7,1,(IF(WEEKDAY(B3483)=1,2,IF(WEEKDAY(B3483)=7,1,0))))))</f>
        <v>3</v>
      </c>
    </row>
    <row r="3484" spans="2:22">
      <c r="B3484" s="318">
        <f t="shared" ref="B3484:B3547" si="219">B3460+1</f>
        <v>46258</v>
      </c>
      <c r="C3484" s="312">
        <v>0</v>
      </c>
      <c r="D3484" s="368">
        <f>IFERROR((INDEX(METADATA!$T$2:$T$20,MATCH(B3484,METADATA!$S$2:$S$20,0))),0)</f>
        <v>0</v>
      </c>
      <c r="E3484" s="312" t="str">
        <f t="shared" si="216"/>
        <v>LO</v>
      </c>
      <c r="F3484" s="369">
        <f>VLOOKUP(C3484,METADATA!$A$5:$H$29,IF(E3484="HI",2,IF(E3484="LO",6,10))+IF(D3484=1,2,IF(D3484=7,1,(IF(WEEKDAY(B3484)=1,2,IF(WEEKDAY(B3484)=7,1,0))))))</f>
        <v>3</v>
      </c>
      <c r="G3484" s="369">
        <f>VLOOKUP(C3484,METADATA!$J$5:$Q$29,IF(E3484="HI",2,IF(E3484="LO",6,10))+IF(D3484=1,2,IF(D3484=7,1,(IF(WEEKDAY(B3484)=1,2,IF(WEEKDAY(B3484)=7,1,0))))))</f>
        <v>3</v>
      </c>
      <c r="H3484" s="370">
        <v>7567.3751831054688</v>
      </c>
      <c r="I3484" s="370">
        <v>7270.8002319335938</v>
      </c>
      <c r="M3484" s="371">
        <f t="shared" si="217"/>
        <v>10494.270016278699</v>
      </c>
      <c r="N3484" s="329">
        <f t="shared" si="218"/>
        <v>5000.5876770019531</v>
      </c>
      <c r="T3484" s="331">
        <v>0</v>
      </c>
      <c r="U3484" s="328">
        <f>VLOOKUP(C3484,METADATA!$J$5:$Q$29,IF(E3484="HI",2,IF(E3484="LO",6,10))+IF(T3484=1,2,IF(D3484=7,1,(IF(WEEKDAY(B3484)=1,2,IF(WEEKDAY(B3484)=7,1,0))))))</f>
        <v>3</v>
      </c>
      <c r="V3484" s="328">
        <f>VLOOKUP(C3484,METADATA!$A$5:$H$29,IF(E3484="HI",2,IF(E3484="LO",6,10))+IF(T3484=1,2,IF(D3484=7,1,(IF(WEEKDAY(B3484)=1,2,IF(WEEKDAY(B3484)=7,1,0))))))</f>
        <v>3</v>
      </c>
    </row>
    <row r="3485" spans="2:22">
      <c r="B3485" s="318">
        <f t="shared" si="219"/>
        <v>46258</v>
      </c>
      <c r="C3485" s="312">
        <v>1</v>
      </c>
      <c r="D3485" s="368">
        <f>IFERROR((INDEX(METADATA!$T$2:$T$20,MATCH(B3485,METADATA!$S$2:$S$20,0))),0)</f>
        <v>0</v>
      </c>
      <c r="E3485" s="312" t="str">
        <f t="shared" si="216"/>
        <v>LO</v>
      </c>
      <c r="F3485" s="369">
        <f>VLOOKUP(C3485,METADATA!$A$5:$H$29,IF(E3485="HI",2,IF(E3485="LO",6,10))+IF(D3485=1,2,IF(D3485=7,1,(IF(WEEKDAY(B3485)=1,2,IF(WEEKDAY(B3485)=7,1,0))))))</f>
        <v>3</v>
      </c>
      <c r="G3485" s="369">
        <f>VLOOKUP(C3485,METADATA!$J$5:$Q$29,IF(E3485="HI",2,IF(E3485="LO",6,10))+IF(D3485=1,2,IF(D3485=7,1,(IF(WEEKDAY(B3485)=1,2,IF(WEEKDAY(B3485)=7,1,0))))))</f>
        <v>3</v>
      </c>
      <c r="H3485" s="370">
        <v>8283.76025390625</v>
      </c>
      <c r="I3485" s="370">
        <v>7774.1725769042969</v>
      </c>
      <c r="M3485" s="371">
        <f t="shared" si="217"/>
        <v>11360.389218670623</v>
      </c>
      <c r="N3485" s="329">
        <f t="shared" si="218"/>
        <v>5289.0445007324215</v>
      </c>
      <c r="T3485" s="331">
        <v>0</v>
      </c>
      <c r="U3485" s="328">
        <f>VLOOKUP(C3485,METADATA!$J$5:$Q$29,IF(E3485="HI",2,IF(E3485="LO",6,10))+IF(T3485=1,2,IF(D3485=7,1,(IF(WEEKDAY(B3485)=1,2,IF(WEEKDAY(B3485)=7,1,0))))))</f>
        <v>3</v>
      </c>
      <c r="V3485" s="328">
        <f>VLOOKUP(C3485,METADATA!$A$5:$H$29,IF(E3485="HI",2,IF(E3485="LO",6,10))+IF(T3485=1,2,IF(D3485=7,1,(IF(WEEKDAY(B3485)=1,2,IF(WEEKDAY(B3485)=7,1,0))))))</f>
        <v>3</v>
      </c>
    </row>
    <row r="3486" spans="2:22">
      <c r="B3486" s="318">
        <f t="shared" si="219"/>
        <v>46258</v>
      </c>
      <c r="C3486" s="312">
        <v>2</v>
      </c>
      <c r="D3486" s="368">
        <f>IFERROR((INDEX(METADATA!$T$2:$T$20,MATCH(B3486,METADATA!$S$2:$S$20,0))),0)</f>
        <v>0</v>
      </c>
      <c r="E3486" s="312" t="str">
        <f t="shared" si="216"/>
        <v>LO</v>
      </c>
      <c r="F3486" s="369">
        <f>VLOOKUP(C3486,METADATA!$A$5:$H$29,IF(E3486="HI",2,IF(E3486="LO",6,10))+IF(D3486=1,2,IF(D3486=7,1,(IF(WEEKDAY(B3486)=1,2,IF(WEEKDAY(B3486)=7,1,0))))))</f>
        <v>3</v>
      </c>
      <c r="G3486" s="369">
        <f>VLOOKUP(C3486,METADATA!$J$5:$Q$29,IF(E3486="HI",2,IF(E3486="LO",6,10))+IF(D3486=1,2,IF(D3486=7,1,(IF(WEEKDAY(B3486)=1,2,IF(WEEKDAY(B3486)=7,1,0))))))</f>
        <v>3</v>
      </c>
      <c r="H3486" s="370">
        <v>11492.074584960938</v>
      </c>
      <c r="I3486" s="370">
        <v>9273.2650146484375</v>
      </c>
      <c r="M3486" s="371">
        <f t="shared" si="217"/>
        <v>14766.896163317726</v>
      </c>
      <c r="N3486" s="329">
        <f t="shared" si="218"/>
        <v>5825.6426391601563</v>
      </c>
      <c r="T3486" s="331">
        <v>0</v>
      </c>
      <c r="U3486" s="328">
        <f>VLOOKUP(C3486,METADATA!$J$5:$Q$29,IF(E3486="HI",2,IF(E3486="LO",6,10))+IF(T3486=1,2,IF(D3486=7,1,(IF(WEEKDAY(B3486)=1,2,IF(WEEKDAY(B3486)=7,1,0))))))</f>
        <v>3</v>
      </c>
      <c r="V3486" s="328">
        <f>VLOOKUP(C3486,METADATA!$A$5:$H$29,IF(E3486="HI",2,IF(E3486="LO",6,10))+IF(T3486=1,2,IF(D3486=7,1,(IF(WEEKDAY(B3486)=1,2,IF(WEEKDAY(B3486)=7,1,0))))))</f>
        <v>3</v>
      </c>
    </row>
    <row r="3487" spans="2:22">
      <c r="B3487" s="318">
        <f t="shared" si="219"/>
        <v>46258</v>
      </c>
      <c r="C3487" s="312">
        <v>3</v>
      </c>
      <c r="D3487" s="368">
        <f>IFERROR((INDEX(METADATA!$T$2:$T$20,MATCH(B3487,METADATA!$S$2:$S$20,0))),0)</f>
        <v>0</v>
      </c>
      <c r="E3487" s="312" t="str">
        <f t="shared" si="216"/>
        <v>LO</v>
      </c>
      <c r="F3487" s="369">
        <f>VLOOKUP(C3487,METADATA!$A$5:$H$29,IF(E3487="HI",2,IF(E3487="LO",6,10))+IF(D3487=1,2,IF(D3487=7,1,(IF(WEEKDAY(B3487)=1,2,IF(WEEKDAY(B3487)=7,1,0))))))</f>
        <v>3</v>
      </c>
      <c r="G3487" s="369">
        <f>VLOOKUP(C3487,METADATA!$J$5:$Q$29,IF(E3487="HI",2,IF(E3487="LO",6,10))+IF(D3487=1,2,IF(D3487=7,1,(IF(WEEKDAY(B3487)=1,2,IF(WEEKDAY(B3487)=7,1,0))))))</f>
        <v>3</v>
      </c>
      <c r="H3487" s="370">
        <v>12573.049926757813</v>
      </c>
      <c r="I3487" s="370">
        <v>9706.14990234375</v>
      </c>
      <c r="M3487" s="371">
        <f t="shared" si="217"/>
        <v>15883.66866902959</v>
      </c>
      <c r="N3487" s="329">
        <f t="shared" si="218"/>
        <v>5934.2349243164063</v>
      </c>
      <c r="T3487" s="331">
        <v>0</v>
      </c>
      <c r="U3487" s="328">
        <f>VLOOKUP(C3487,METADATA!$J$5:$Q$29,IF(E3487="HI",2,IF(E3487="LO",6,10))+IF(T3487=1,2,IF(D3487=7,1,(IF(WEEKDAY(B3487)=1,2,IF(WEEKDAY(B3487)=7,1,0))))))</f>
        <v>3</v>
      </c>
      <c r="V3487" s="328">
        <f>VLOOKUP(C3487,METADATA!$A$5:$H$29,IF(E3487="HI",2,IF(E3487="LO",6,10))+IF(T3487=1,2,IF(D3487=7,1,(IF(WEEKDAY(B3487)=1,2,IF(WEEKDAY(B3487)=7,1,0))))))</f>
        <v>3</v>
      </c>
    </row>
    <row r="3488" spans="2:22">
      <c r="B3488" s="318">
        <f t="shared" si="219"/>
        <v>46258</v>
      </c>
      <c r="C3488" s="312">
        <v>4</v>
      </c>
      <c r="D3488" s="368">
        <f>IFERROR((INDEX(METADATA!$T$2:$T$20,MATCH(B3488,METADATA!$S$2:$S$20,0))),0)</f>
        <v>0</v>
      </c>
      <c r="E3488" s="312" t="str">
        <f t="shared" si="216"/>
        <v>LO</v>
      </c>
      <c r="F3488" s="369">
        <f>VLOOKUP(C3488,METADATA!$A$5:$H$29,IF(E3488="HI",2,IF(E3488="LO",6,10))+IF(D3488=1,2,IF(D3488=7,1,(IF(WEEKDAY(B3488)=1,2,IF(WEEKDAY(B3488)=7,1,0))))))</f>
        <v>3</v>
      </c>
      <c r="G3488" s="369">
        <f>VLOOKUP(C3488,METADATA!$J$5:$Q$29,IF(E3488="HI",2,IF(E3488="LO",6,10))+IF(D3488=1,2,IF(D3488=7,1,(IF(WEEKDAY(B3488)=1,2,IF(WEEKDAY(B3488)=7,1,0))))))</f>
        <v>3</v>
      </c>
      <c r="H3488" s="370">
        <v>12473.075134277344</v>
      </c>
      <c r="I3488" s="370">
        <v>9621.2999267578125</v>
      </c>
      <c r="M3488" s="371">
        <f t="shared" si="217"/>
        <v>15752.682805984436</v>
      </c>
      <c r="N3488" s="329">
        <f t="shared" si="218"/>
        <v>5879.377386474609</v>
      </c>
      <c r="T3488" s="331">
        <v>0</v>
      </c>
      <c r="U3488" s="328">
        <f>VLOOKUP(C3488,METADATA!$J$5:$Q$29,IF(E3488="HI",2,IF(E3488="LO",6,10))+IF(T3488=1,2,IF(D3488=7,1,(IF(WEEKDAY(B3488)=1,2,IF(WEEKDAY(B3488)=7,1,0))))))</f>
        <v>3</v>
      </c>
      <c r="V3488" s="328">
        <f>VLOOKUP(C3488,METADATA!$A$5:$H$29,IF(E3488="HI",2,IF(E3488="LO",6,10))+IF(T3488=1,2,IF(D3488=7,1,(IF(WEEKDAY(B3488)=1,2,IF(WEEKDAY(B3488)=7,1,0))))))</f>
        <v>3</v>
      </c>
    </row>
    <row r="3489" spans="2:22">
      <c r="B3489" s="318">
        <f t="shared" si="219"/>
        <v>46258</v>
      </c>
      <c r="C3489" s="312">
        <v>5</v>
      </c>
      <c r="D3489" s="368">
        <f>IFERROR((INDEX(METADATA!$T$2:$T$20,MATCH(B3489,METADATA!$S$2:$S$20,0))),0)</f>
        <v>0</v>
      </c>
      <c r="E3489" s="312" t="str">
        <f t="shared" si="216"/>
        <v>LO</v>
      </c>
      <c r="F3489" s="369">
        <f>VLOOKUP(C3489,METADATA!$A$5:$H$29,IF(E3489="HI",2,IF(E3489="LO",6,10))+IF(D3489=1,2,IF(D3489=7,1,(IF(WEEKDAY(B3489)=1,2,IF(WEEKDAY(B3489)=7,1,0))))))</f>
        <v>3</v>
      </c>
      <c r="G3489" s="369">
        <f>VLOOKUP(C3489,METADATA!$J$5:$Q$29,IF(E3489="HI",2,IF(E3489="LO",6,10))+IF(D3489=1,2,IF(D3489=7,1,(IF(WEEKDAY(B3489)=1,2,IF(WEEKDAY(B3489)=7,1,0))))))</f>
        <v>3</v>
      </c>
      <c r="H3489" s="370">
        <v>12815.500061035156</v>
      </c>
      <c r="I3489" s="370">
        <v>9655.025146484375</v>
      </c>
      <c r="M3489" s="371">
        <f t="shared" si="217"/>
        <v>16045.452701424092</v>
      </c>
      <c r="N3489" s="329">
        <f t="shared" si="218"/>
        <v>5810.3751281738278</v>
      </c>
      <c r="T3489" s="331">
        <v>0</v>
      </c>
      <c r="U3489" s="328">
        <f>VLOOKUP(C3489,METADATA!$J$5:$Q$29,IF(E3489="HI",2,IF(E3489="LO",6,10))+IF(T3489=1,2,IF(D3489=7,1,(IF(WEEKDAY(B3489)=1,2,IF(WEEKDAY(B3489)=7,1,0))))))</f>
        <v>3</v>
      </c>
      <c r="V3489" s="328">
        <f>VLOOKUP(C3489,METADATA!$A$5:$H$29,IF(E3489="HI",2,IF(E3489="LO",6,10))+IF(T3489=1,2,IF(D3489=7,1,(IF(WEEKDAY(B3489)=1,2,IF(WEEKDAY(B3489)=7,1,0))))))</f>
        <v>3</v>
      </c>
    </row>
    <row r="3490" spans="2:22">
      <c r="B3490" s="318">
        <f t="shared" si="219"/>
        <v>46258</v>
      </c>
      <c r="C3490" s="312">
        <v>6</v>
      </c>
      <c r="D3490" s="368">
        <f>IFERROR((INDEX(METADATA!$T$2:$T$20,MATCH(B3490,METADATA!$S$2:$S$20,0))),0)</f>
        <v>0</v>
      </c>
      <c r="E3490" s="312" t="str">
        <f t="shared" si="216"/>
        <v>LO</v>
      </c>
      <c r="F3490" s="369">
        <f>VLOOKUP(C3490,METADATA!$A$5:$H$29,IF(E3490="HI",2,IF(E3490="LO",6,10))+IF(D3490=1,2,IF(D3490=7,1,(IF(WEEKDAY(B3490)=1,2,IF(WEEKDAY(B3490)=7,1,0))))))</f>
        <v>2</v>
      </c>
      <c r="G3490" s="369">
        <f>VLOOKUP(C3490,METADATA!$J$5:$Q$29,IF(E3490="HI",2,IF(E3490="LO",6,10))+IF(D3490=1,2,IF(D3490=7,1,(IF(WEEKDAY(B3490)=1,2,IF(WEEKDAY(B3490)=7,1,0))))))</f>
        <v>2</v>
      </c>
      <c r="H3490" s="370">
        <v>10898.987854003906</v>
      </c>
      <c r="I3490" s="370">
        <v>8619.9001159667969</v>
      </c>
      <c r="M3490" s="371">
        <f t="shared" si="217"/>
        <v>13895.704884998424</v>
      </c>
      <c r="N3490" s="329">
        <f t="shared" si="218"/>
        <v>5350.2037597656254</v>
      </c>
      <c r="T3490" s="331">
        <v>0</v>
      </c>
      <c r="U3490" s="328">
        <f>VLOOKUP(C3490,METADATA!$J$5:$Q$29,IF(E3490="HI",2,IF(E3490="LO",6,10))+IF(T3490=1,2,IF(D3490=7,1,(IF(WEEKDAY(B3490)=1,2,IF(WEEKDAY(B3490)=7,1,0))))))</f>
        <v>2</v>
      </c>
      <c r="V3490" s="328">
        <f>VLOOKUP(C3490,METADATA!$A$5:$H$29,IF(E3490="HI",2,IF(E3490="LO",6,10))+IF(T3490=1,2,IF(D3490=7,1,(IF(WEEKDAY(B3490)=1,2,IF(WEEKDAY(B3490)=7,1,0))))))</f>
        <v>2</v>
      </c>
    </row>
    <row r="3491" spans="2:22">
      <c r="B3491" s="318">
        <f t="shared" si="219"/>
        <v>46258</v>
      </c>
      <c r="C3491" s="312">
        <v>7</v>
      </c>
      <c r="D3491" s="368">
        <f>IFERROR((INDEX(METADATA!$T$2:$T$20,MATCH(B3491,METADATA!$S$2:$S$20,0))),0)</f>
        <v>0</v>
      </c>
      <c r="E3491" s="312" t="str">
        <f t="shared" si="216"/>
        <v>LO</v>
      </c>
      <c r="F3491" s="369">
        <f>VLOOKUP(C3491,METADATA!$A$5:$H$29,IF(E3491="HI",2,IF(E3491="LO",6,10))+IF(D3491=1,2,IF(D3491=7,1,(IF(WEEKDAY(B3491)=1,2,IF(WEEKDAY(B3491)=7,1,0))))))</f>
        <v>1</v>
      </c>
      <c r="G3491" s="369">
        <f>VLOOKUP(C3491,METADATA!$J$5:$Q$29,IF(E3491="HI",2,IF(E3491="LO",6,10))+IF(D3491=1,2,IF(D3491=7,1,(IF(WEEKDAY(B3491)=1,2,IF(WEEKDAY(B3491)=7,1,0))))))</f>
        <v>1</v>
      </c>
      <c r="H3491" s="370">
        <v>12410.875061035156</v>
      </c>
      <c r="I3491" s="370">
        <v>9498.6248779296875</v>
      </c>
      <c r="M3491" s="371">
        <f t="shared" si="217"/>
        <v>15628.617800440612</v>
      </c>
      <c r="N3491" s="329">
        <f t="shared" si="218"/>
        <v>5775.362359619141</v>
      </c>
      <c r="T3491" s="331">
        <v>0</v>
      </c>
      <c r="U3491" s="328">
        <f>VLOOKUP(C3491,METADATA!$J$5:$Q$29,IF(E3491="HI",2,IF(E3491="LO",6,10))+IF(T3491=1,2,IF(D3491=7,1,(IF(WEEKDAY(B3491)=1,2,IF(WEEKDAY(B3491)=7,1,0))))))</f>
        <v>1</v>
      </c>
      <c r="V3491" s="328">
        <f>VLOOKUP(C3491,METADATA!$A$5:$H$29,IF(E3491="HI",2,IF(E3491="LO",6,10))+IF(T3491=1,2,IF(D3491=7,1,(IF(WEEKDAY(B3491)=1,2,IF(WEEKDAY(B3491)=7,1,0))))))</f>
        <v>1</v>
      </c>
    </row>
    <row r="3492" spans="2:22">
      <c r="B3492" s="318">
        <f t="shared" si="219"/>
        <v>46258</v>
      </c>
      <c r="C3492" s="312">
        <v>8</v>
      </c>
      <c r="D3492" s="368">
        <f>IFERROR((INDEX(METADATA!$T$2:$T$20,MATCH(B3492,METADATA!$S$2:$S$20,0))),0)</f>
        <v>0</v>
      </c>
      <c r="E3492" s="312" t="str">
        <f t="shared" si="216"/>
        <v>LO</v>
      </c>
      <c r="F3492" s="369">
        <f>VLOOKUP(C3492,METADATA!$A$5:$H$29,IF(E3492="HI",2,IF(E3492="LO",6,10))+IF(D3492=1,2,IF(D3492=7,1,(IF(WEEKDAY(B3492)=1,2,IF(WEEKDAY(B3492)=7,1,0))))))</f>
        <v>1</v>
      </c>
      <c r="G3492" s="369">
        <f>VLOOKUP(C3492,METADATA!$J$5:$Q$29,IF(E3492="HI",2,IF(E3492="LO",6,10))+IF(D3492=1,2,IF(D3492=7,1,(IF(WEEKDAY(B3492)=1,2,IF(WEEKDAY(B3492)=7,1,0))))))</f>
        <v>1</v>
      </c>
      <c r="H3492" s="370">
        <v>12690.174926757813</v>
      </c>
      <c r="I3492" s="370">
        <v>9843.9751586914063</v>
      </c>
      <c r="M3492" s="371">
        <f t="shared" si="217"/>
        <v>16060.647141278154</v>
      </c>
      <c r="N3492" s="329">
        <f t="shared" si="218"/>
        <v>6036.9226806640627</v>
      </c>
      <c r="T3492" s="331">
        <v>0</v>
      </c>
      <c r="U3492" s="328">
        <f>VLOOKUP(C3492,METADATA!$J$5:$Q$29,IF(E3492="HI",2,IF(E3492="LO",6,10))+IF(T3492=1,2,IF(D3492=7,1,(IF(WEEKDAY(B3492)=1,2,IF(WEEKDAY(B3492)=7,1,0))))))</f>
        <v>1</v>
      </c>
      <c r="V3492" s="328">
        <f>VLOOKUP(C3492,METADATA!$A$5:$H$29,IF(E3492="HI",2,IF(E3492="LO",6,10))+IF(T3492=1,2,IF(D3492=7,1,(IF(WEEKDAY(B3492)=1,2,IF(WEEKDAY(B3492)=7,1,0))))))</f>
        <v>1</v>
      </c>
    </row>
    <row r="3493" spans="2:22">
      <c r="B3493" s="318">
        <f t="shared" si="219"/>
        <v>46258</v>
      </c>
      <c r="C3493" s="312">
        <v>9</v>
      </c>
      <c r="D3493" s="368">
        <f>IFERROR((INDEX(METADATA!$T$2:$T$20,MATCH(B3493,METADATA!$S$2:$S$20,0))),0)</f>
        <v>0</v>
      </c>
      <c r="E3493" s="312" t="str">
        <f t="shared" si="216"/>
        <v>LO</v>
      </c>
      <c r="F3493" s="369">
        <f>VLOOKUP(C3493,METADATA!$A$5:$H$29,IF(E3493="HI",2,IF(E3493="LO",6,10))+IF(D3493=1,2,IF(D3493=7,1,(IF(WEEKDAY(B3493)=1,2,IF(WEEKDAY(B3493)=7,1,0))))))</f>
        <v>2</v>
      </c>
      <c r="G3493" s="369">
        <f>VLOOKUP(C3493,METADATA!$J$5:$Q$29,IF(E3493="HI",2,IF(E3493="LO",6,10))+IF(D3493=1,2,IF(D3493=7,1,(IF(WEEKDAY(B3493)=1,2,IF(WEEKDAY(B3493)=7,1,0))))))</f>
        <v>2</v>
      </c>
      <c r="H3493" s="370">
        <v>13065.499938964844</v>
      </c>
      <c r="I3493" s="370">
        <v>9841.8500366210938</v>
      </c>
      <c r="M3493" s="371">
        <f t="shared" si="217"/>
        <v>16357.545683825216</v>
      </c>
      <c r="N3493" s="329">
        <f t="shared" si="218"/>
        <v>5922.2000549316408</v>
      </c>
      <c r="T3493" s="331">
        <v>0</v>
      </c>
      <c r="U3493" s="328">
        <f>VLOOKUP(C3493,METADATA!$J$5:$Q$29,IF(E3493="HI",2,IF(E3493="LO",6,10))+IF(T3493=1,2,IF(D3493=7,1,(IF(WEEKDAY(B3493)=1,2,IF(WEEKDAY(B3493)=7,1,0))))))</f>
        <v>2</v>
      </c>
      <c r="V3493" s="328">
        <f>VLOOKUP(C3493,METADATA!$A$5:$H$29,IF(E3493="HI",2,IF(E3493="LO",6,10))+IF(T3493=1,2,IF(D3493=7,1,(IF(WEEKDAY(B3493)=1,2,IF(WEEKDAY(B3493)=7,1,0))))))</f>
        <v>2</v>
      </c>
    </row>
    <row r="3494" spans="2:22">
      <c r="B3494" s="318">
        <f t="shared" si="219"/>
        <v>46258</v>
      </c>
      <c r="C3494" s="312">
        <v>10</v>
      </c>
      <c r="D3494" s="368">
        <f>IFERROR((INDEX(METADATA!$T$2:$T$20,MATCH(B3494,METADATA!$S$2:$S$20,0))),0)</f>
        <v>0</v>
      </c>
      <c r="E3494" s="312" t="str">
        <f t="shared" si="216"/>
        <v>LO</v>
      </c>
      <c r="F3494" s="369">
        <f>VLOOKUP(C3494,METADATA!$A$5:$H$29,IF(E3494="HI",2,IF(E3494="LO",6,10))+IF(D3494=1,2,IF(D3494=7,1,(IF(WEEKDAY(B3494)=1,2,IF(WEEKDAY(B3494)=7,1,0))))))</f>
        <v>2</v>
      </c>
      <c r="G3494" s="369">
        <f>VLOOKUP(C3494,METADATA!$J$5:$Q$29,IF(E3494="HI",2,IF(E3494="LO",6,10))+IF(D3494=1,2,IF(D3494=7,1,(IF(WEEKDAY(B3494)=1,2,IF(WEEKDAY(B3494)=7,1,0))))))</f>
        <v>2</v>
      </c>
      <c r="H3494" s="370">
        <v>12948.35009765625</v>
      </c>
      <c r="I3494" s="370">
        <v>9933.6500244140625</v>
      </c>
      <c r="M3494" s="371">
        <f t="shared" si="217"/>
        <v>16319.839860091033</v>
      </c>
      <c r="N3494" s="329">
        <f t="shared" si="218"/>
        <v>6049.1449951171871</v>
      </c>
      <c r="T3494" s="331">
        <v>0</v>
      </c>
      <c r="U3494" s="328">
        <f>VLOOKUP(C3494,METADATA!$J$5:$Q$29,IF(E3494="HI",2,IF(E3494="LO",6,10))+IF(T3494=1,2,IF(D3494=7,1,(IF(WEEKDAY(B3494)=1,2,IF(WEEKDAY(B3494)=7,1,0))))))</f>
        <v>2</v>
      </c>
      <c r="V3494" s="328">
        <f>VLOOKUP(C3494,METADATA!$A$5:$H$29,IF(E3494="HI",2,IF(E3494="LO",6,10))+IF(T3494=1,2,IF(D3494=7,1,(IF(WEEKDAY(B3494)=1,2,IF(WEEKDAY(B3494)=7,1,0))))))</f>
        <v>2</v>
      </c>
    </row>
    <row r="3495" spans="2:22">
      <c r="B3495" s="318">
        <f t="shared" si="219"/>
        <v>46258</v>
      </c>
      <c r="C3495" s="312">
        <v>11</v>
      </c>
      <c r="D3495" s="368">
        <f>IFERROR((INDEX(METADATA!$T$2:$T$20,MATCH(B3495,METADATA!$S$2:$S$20,0))),0)</f>
        <v>0</v>
      </c>
      <c r="E3495" s="312" t="str">
        <f t="shared" si="216"/>
        <v>LO</v>
      </c>
      <c r="F3495" s="369">
        <f>VLOOKUP(C3495,METADATA!$A$5:$H$29,IF(E3495="HI",2,IF(E3495="LO",6,10))+IF(D3495=1,2,IF(D3495=7,1,(IF(WEEKDAY(B3495)=1,2,IF(WEEKDAY(B3495)=7,1,0))))))</f>
        <v>2</v>
      </c>
      <c r="G3495" s="369">
        <f>VLOOKUP(C3495,METADATA!$J$5:$Q$29,IF(E3495="HI",2,IF(E3495="LO",6,10))+IF(D3495=1,2,IF(D3495=7,1,(IF(WEEKDAY(B3495)=1,2,IF(WEEKDAY(B3495)=7,1,0))))))</f>
        <v>2</v>
      </c>
      <c r="H3495" s="370">
        <v>10434.775268554688</v>
      </c>
      <c r="I3495" s="370">
        <v>8901.8500366210938</v>
      </c>
      <c r="M3495" s="371">
        <f t="shared" si="217"/>
        <v>13715.956728560042</v>
      </c>
      <c r="N3495" s="329">
        <f t="shared" si="218"/>
        <v>5771.4174560546871</v>
      </c>
      <c r="T3495" s="331">
        <v>0</v>
      </c>
      <c r="U3495" s="328">
        <f>VLOOKUP(C3495,METADATA!$J$5:$Q$29,IF(E3495="HI",2,IF(E3495="LO",6,10))+IF(T3495=1,2,IF(D3495=7,1,(IF(WEEKDAY(B3495)=1,2,IF(WEEKDAY(B3495)=7,1,0))))))</f>
        <v>2</v>
      </c>
      <c r="V3495" s="328">
        <f>VLOOKUP(C3495,METADATA!$A$5:$H$29,IF(E3495="HI",2,IF(E3495="LO",6,10))+IF(T3495=1,2,IF(D3495=7,1,(IF(WEEKDAY(B3495)=1,2,IF(WEEKDAY(B3495)=7,1,0))))))</f>
        <v>2</v>
      </c>
    </row>
    <row r="3496" spans="2:22">
      <c r="B3496" s="318">
        <f t="shared" si="219"/>
        <v>46258</v>
      </c>
      <c r="C3496" s="312">
        <v>12</v>
      </c>
      <c r="D3496" s="368">
        <f>IFERROR((INDEX(METADATA!$T$2:$T$20,MATCH(B3496,METADATA!$S$2:$S$20,0))),0)</f>
        <v>0</v>
      </c>
      <c r="E3496" s="312" t="str">
        <f t="shared" si="216"/>
        <v>LO</v>
      </c>
      <c r="F3496" s="369">
        <f>VLOOKUP(C3496,METADATA!$A$5:$H$29,IF(E3496="HI",2,IF(E3496="LO",6,10))+IF(D3496=1,2,IF(D3496=7,1,(IF(WEEKDAY(B3496)=1,2,IF(WEEKDAY(B3496)=7,1,0))))))</f>
        <v>2</v>
      </c>
      <c r="G3496" s="369">
        <f>VLOOKUP(C3496,METADATA!$J$5:$Q$29,IF(E3496="HI",2,IF(E3496="LO",6,10))+IF(D3496=1,2,IF(D3496=7,1,(IF(WEEKDAY(B3496)=1,2,IF(WEEKDAY(B3496)=7,1,0))))))</f>
        <v>2</v>
      </c>
      <c r="H3496" s="370">
        <v>7753.175048828125</v>
      </c>
      <c r="I3496" s="370">
        <v>7481.5000610351563</v>
      </c>
      <c r="M3496" s="371">
        <f t="shared" si="217"/>
        <v>10774.254800265309</v>
      </c>
      <c r="N3496" s="329">
        <f t="shared" si="218"/>
        <v>5155.5475463867188</v>
      </c>
      <c r="T3496" s="331">
        <v>0</v>
      </c>
      <c r="U3496" s="328">
        <f>VLOOKUP(C3496,METADATA!$J$5:$Q$29,IF(E3496="HI",2,IF(E3496="LO",6,10))+IF(T3496=1,2,IF(D3496=7,1,(IF(WEEKDAY(B3496)=1,2,IF(WEEKDAY(B3496)=7,1,0))))))</f>
        <v>2</v>
      </c>
      <c r="V3496" s="328">
        <f>VLOOKUP(C3496,METADATA!$A$5:$H$29,IF(E3496="HI",2,IF(E3496="LO",6,10))+IF(T3496=1,2,IF(D3496=7,1,(IF(WEEKDAY(B3496)=1,2,IF(WEEKDAY(B3496)=7,1,0))))))</f>
        <v>2</v>
      </c>
    </row>
    <row r="3497" spans="2:22">
      <c r="B3497" s="318">
        <f t="shared" si="219"/>
        <v>46258</v>
      </c>
      <c r="C3497" s="312">
        <v>13</v>
      </c>
      <c r="D3497" s="368">
        <f>IFERROR((INDEX(METADATA!$T$2:$T$20,MATCH(B3497,METADATA!$S$2:$S$20,0))),0)</f>
        <v>0</v>
      </c>
      <c r="E3497" s="312" t="str">
        <f t="shared" si="216"/>
        <v>LO</v>
      </c>
      <c r="F3497" s="369">
        <f>VLOOKUP(C3497,METADATA!$A$5:$H$29,IF(E3497="HI",2,IF(E3497="LO",6,10))+IF(D3497=1,2,IF(D3497=7,1,(IF(WEEKDAY(B3497)=1,2,IF(WEEKDAY(B3497)=7,1,0))))))</f>
        <v>2</v>
      </c>
      <c r="G3497" s="369">
        <f>VLOOKUP(C3497,METADATA!$J$5:$Q$29,IF(E3497="HI",2,IF(E3497="LO",6,10))+IF(D3497=1,2,IF(D3497=7,1,(IF(WEEKDAY(B3497)=1,2,IF(WEEKDAY(B3497)=7,1,0))))))</f>
        <v>2</v>
      </c>
      <c r="H3497" s="370">
        <v>6297.3275451660156</v>
      </c>
      <c r="I3497" s="370">
        <v>6533.0799255371094</v>
      </c>
      <c r="M3497" s="371">
        <f t="shared" si="217"/>
        <v>9073.9995329822777</v>
      </c>
      <c r="N3497" s="329">
        <f t="shared" si="218"/>
        <v>4643.8816619873051</v>
      </c>
      <c r="T3497" s="331">
        <v>0</v>
      </c>
      <c r="U3497" s="328">
        <f>VLOOKUP(C3497,METADATA!$J$5:$Q$29,IF(E3497="HI",2,IF(E3497="LO",6,10))+IF(T3497=1,2,IF(D3497=7,1,(IF(WEEKDAY(B3497)=1,2,IF(WEEKDAY(B3497)=7,1,0))))))</f>
        <v>2</v>
      </c>
      <c r="V3497" s="328">
        <f>VLOOKUP(C3497,METADATA!$A$5:$H$29,IF(E3497="HI",2,IF(E3497="LO",6,10))+IF(T3497=1,2,IF(D3497=7,1,(IF(WEEKDAY(B3497)=1,2,IF(WEEKDAY(B3497)=7,1,0))))))</f>
        <v>2</v>
      </c>
    </row>
    <row r="3498" spans="2:22">
      <c r="B3498" s="318">
        <f t="shared" si="219"/>
        <v>46258</v>
      </c>
      <c r="C3498" s="312">
        <v>14</v>
      </c>
      <c r="D3498" s="368">
        <f>IFERROR((INDEX(METADATA!$T$2:$T$20,MATCH(B3498,METADATA!$S$2:$S$20,0))),0)</f>
        <v>0</v>
      </c>
      <c r="E3498" s="312" t="str">
        <f t="shared" si="216"/>
        <v>LO</v>
      </c>
      <c r="F3498" s="369">
        <f>VLOOKUP(C3498,METADATA!$A$5:$H$29,IF(E3498="HI",2,IF(E3498="LO",6,10))+IF(D3498=1,2,IF(D3498=7,1,(IF(WEEKDAY(B3498)=1,2,IF(WEEKDAY(B3498)=7,1,0))))))</f>
        <v>2</v>
      </c>
      <c r="G3498" s="369">
        <f>VLOOKUP(C3498,METADATA!$J$5:$Q$29,IF(E3498="HI",2,IF(E3498="LO",6,10))+IF(D3498=1,2,IF(D3498=7,1,(IF(WEEKDAY(B3498)=1,2,IF(WEEKDAY(B3498)=7,1,0))))))</f>
        <v>2</v>
      </c>
      <c r="H3498" s="370">
        <v>6081.64501953125</v>
      </c>
      <c r="I3498" s="370">
        <v>6255.4148254394531</v>
      </c>
      <c r="M3498" s="371">
        <f t="shared" si="217"/>
        <v>8724.4839837045347</v>
      </c>
      <c r="N3498" s="329">
        <f t="shared" si="218"/>
        <v>4430.9213195800785</v>
      </c>
      <c r="T3498" s="331">
        <v>0</v>
      </c>
      <c r="U3498" s="328">
        <f>VLOOKUP(C3498,METADATA!$J$5:$Q$29,IF(E3498="HI",2,IF(E3498="LO",6,10))+IF(T3498=1,2,IF(D3498=7,1,(IF(WEEKDAY(B3498)=1,2,IF(WEEKDAY(B3498)=7,1,0))))))</f>
        <v>2</v>
      </c>
      <c r="V3498" s="328">
        <f>VLOOKUP(C3498,METADATA!$A$5:$H$29,IF(E3498="HI",2,IF(E3498="LO",6,10))+IF(T3498=1,2,IF(D3498=7,1,(IF(WEEKDAY(B3498)=1,2,IF(WEEKDAY(B3498)=7,1,0))))))</f>
        <v>2</v>
      </c>
    </row>
    <row r="3499" spans="2:22">
      <c r="B3499" s="318">
        <f t="shared" si="219"/>
        <v>46258</v>
      </c>
      <c r="C3499" s="312">
        <v>15</v>
      </c>
      <c r="D3499" s="368">
        <f>IFERROR((INDEX(METADATA!$T$2:$T$20,MATCH(B3499,METADATA!$S$2:$S$20,0))),0)</f>
        <v>0</v>
      </c>
      <c r="E3499" s="312" t="str">
        <f t="shared" si="216"/>
        <v>LO</v>
      </c>
      <c r="F3499" s="369">
        <f>VLOOKUP(C3499,METADATA!$A$5:$H$29,IF(E3499="HI",2,IF(E3499="LO",6,10))+IF(D3499=1,2,IF(D3499=7,1,(IF(WEEKDAY(B3499)=1,2,IF(WEEKDAY(B3499)=7,1,0))))))</f>
        <v>2</v>
      </c>
      <c r="G3499" s="369">
        <f>VLOOKUP(C3499,METADATA!$J$5:$Q$29,IF(E3499="HI",2,IF(E3499="LO",6,10))+IF(D3499=1,2,IF(D3499=7,1,(IF(WEEKDAY(B3499)=1,2,IF(WEEKDAY(B3499)=7,1,0))))))</f>
        <v>2</v>
      </c>
      <c r="H3499" s="370">
        <v>10226.007385253906</v>
      </c>
      <c r="I3499" s="370">
        <v>8661.6500549316406</v>
      </c>
      <c r="M3499" s="371">
        <f t="shared" si="217"/>
        <v>13401.321155668375</v>
      </c>
      <c r="N3499" s="329">
        <f t="shared" si="218"/>
        <v>5593.8478393554688</v>
      </c>
      <c r="T3499" s="331">
        <v>0</v>
      </c>
      <c r="U3499" s="328">
        <f>VLOOKUP(C3499,METADATA!$J$5:$Q$29,IF(E3499="HI",2,IF(E3499="LO",6,10))+IF(T3499=1,2,IF(D3499=7,1,(IF(WEEKDAY(B3499)=1,2,IF(WEEKDAY(B3499)=7,1,0))))))</f>
        <v>2</v>
      </c>
      <c r="V3499" s="328">
        <f>VLOOKUP(C3499,METADATA!$A$5:$H$29,IF(E3499="HI",2,IF(E3499="LO",6,10))+IF(T3499=1,2,IF(D3499=7,1,(IF(WEEKDAY(B3499)=1,2,IF(WEEKDAY(B3499)=7,1,0))))))</f>
        <v>2</v>
      </c>
    </row>
    <row r="3500" spans="2:22">
      <c r="B3500" s="318">
        <f t="shared" si="219"/>
        <v>46258</v>
      </c>
      <c r="C3500" s="312">
        <v>16</v>
      </c>
      <c r="D3500" s="368">
        <f>IFERROR((INDEX(METADATA!$T$2:$T$20,MATCH(B3500,METADATA!$S$2:$S$20,0))),0)</f>
        <v>0</v>
      </c>
      <c r="E3500" s="312" t="str">
        <f t="shared" si="216"/>
        <v>LO</v>
      </c>
      <c r="F3500" s="369">
        <f>VLOOKUP(C3500,METADATA!$A$5:$H$29,IF(E3500="HI",2,IF(E3500="LO",6,10))+IF(D3500=1,2,IF(D3500=7,1,(IF(WEEKDAY(B3500)=1,2,IF(WEEKDAY(B3500)=7,1,0))))))</f>
        <v>2</v>
      </c>
      <c r="G3500" s="369">
        <f>VLOOKUP(C3500,METADATA!$J$5:$Q$29,IF(E3500="HI",2,IF(E3500="LO",6,10))+IF(D3500=1,2,IF(D3500=7,1,(IF(WEEKDAY(B3500)=1,2,IF(WEEKDAY(B3500)=7,1,0))))))</f>
        <v>2</v>
      </c>
      <c r="H3500" s="370">
        <v>11731.872497558594</v>
      </c>
      <c r="I3500" s="370">
        <v>9278.4924621582031</v>
      </c>
      <c r="M3500" s="371">
        <f t="shared" si="217"/>
        <v>14957.514989773477</v>
      </c>
      <c r="N3500" s="329">
        <f t="shared" si="218"/>
        <v>5758.9307128906257</v>
      </c>
      <c r="T3500" s="331">
        <v>0</v>
      </c>
      <c r="U3500" s="328">
        <f>VLOOKUP(C3500,METADATA!$J$5:$Q$29,IF(E3500="HI",2,IF(E3500="LO",6,10))+IF(T3500=1,2,IF(D3500=7,1,(IF(WEEKDAY(B3500)=1,2,IF(WEEKDAY(B3500)=7,1,0))))))</f>
        <v>2</v>
      </c>
      <c r="V3500" s="328">
        <f>VLOOKUP(C3500,METADATA!$A$5:$H$29,IF(E3500="HI",2,IF(E3500="LO",6,10))+IF(T3500=1,2,IF(D3500=7,1,(IF(WEEKDAY(B3500)=1,2,IF(WEEKDAY(B3500)=7,1,0))))))</f>
        <v>2</v>
      </c>
    </row>
    <row r="3501" spans="2:22">
      <c r="B3501" s="318">
        <f t="shared" si="219"/>
        <v>46258</v>
      </c>
      <c r="C3501" s="312">
        <v>17</v>
      </c>
      <c r="D3501" s="368">
        <f>IFERROR((INDEX(METADATA!$T$2:$T$20,MATCH(B3501,METADATA!$S$2:$S$20,0))),0)</f>
        <v>0</v>
      </c>
      <c r="E3501" s="312" t="str">
        <f t="shared" si="216"/>
        <v>LO</v>
      </c>
      <c r="F3501" s="369">
        <f>VLOOKUP(C3501,METADATA!$A$5:$H$29,IF(E3501="HI",2,IF(E3501="LO",6,10))+IF(D3501=1,2,IF(D3501=7,1,(IF(WEEKDAY(B3501)=1,2,IF(WEEKDAY(B3501)=7,1,0))))))</f>
        <v>2</v>
      </c>
      <c r="G3501" s="369">
        <f>VLOOKUP(C3501,METADATA!$J$5:$Q$29,IF(E3501="HI",2,IF(E3501="LO",6,10))+IF(D3501=1,2,IF(D3501=7,1,(IF(WEEKDAY(B3501)=1,2,IF(WEEKDAY(B3501)=7,1,0))))))</f>
        <v>2</v>
      </c>
      <c r="H3501" s="370">
        <v>13055.775085449219</v>
      </c>
      <c r="I3501" s="370">
        <v>9768.3749389648438</v>
      </c>
      <c r="M3501" s="371">
        <f t="shared" si="217"/>
        <v>16305.65582949772</v>
      </c>
      <c r="N3501" s="329">
        <f t="shared" si="218"/>
        <v>5851.6424133300789</v>
      </c>
      <c r="T3501" s="331">
        <v>0</v>
      </c>
      <c r="U3501" s="328">
        <f>VLOOKUP(C3501,METADATA!$J$5:$Q$29,IF(E3501="HI",2,IF(E3501="LO",6,10))+IF(T3501=1,2,IF(D3501=7,1,(IF(WEEKDAY(B3501)=1,2,IF(WEEKDAY(B3501)=7,1,0))))))</f>
        <v>2</v>
      </c>
      <c r="V3501" s="328">
        <f>VLOOKUP(C3501,METADATA!$A$5:$H$29,IF(E3501="HI",2,IF(E3501="LO",6,10))+IF(T3501=1,2,IF(D3501=7,1,(IF(WEEKDAY(B3501)=1,2,IF(WEEKDAY(B3501)=7,1,0))))))</f>
        <v>2</v>
      </c>
    </row>
    <row r="3502" spans="2:22">
      <c r="B3502" s="318">
        <f t="shared" si="219"/>
        <v>46258</v>
      </c>
      <c r="C3502" s="312">
        <v>18</v>
      </c>
      <c r="D3502" s="368">
        <f>IFERROR((INDEX(METADATA!$T$2:$T$20,MATCH(B3502,METADATA!$S$2:$S$20,0))),0)</f>
        <v>0</v>
      </c>
      <c r="E3502" s="312" t="str">
        <f t="shared" si="216"/>
        <v>LO</v>
      </c>
      <c r="F3502" s="369">
        <f>VLOOKUP(C3502,METADATA!$A$5:$H$29,IF(E3502="HI",2,IF(E3502="LO",6,10))+IF(D3502=1,2,IF(D3502=7,1,(IF(WEEKDAY(B3502)=1,2,IF(WEEKDAY(B3502)=7,1,0))))))</f>
        <v>1</v>
      </c>
      <c r="G3502" s="369">
        <f>VLOOKUP(C3502,METADATA!$J$5:$Q$29,IF(E3502="HI",2,IF(E3502="LO",6,10))+IF(D3502=1,2,IF(D3502=7,1,(IF(WEEKDAY(B3502)=1,2,IF(WEEKDAY(B3502)=7,1,0))))))</f>
        <v>1</v>
      </c>
      <c r="H3502" s="370">
        <v>10853.949890136719</v>
      </c>
      <c r="I3502" s="370">
        <v>8613.2723693847656</v>
      </c>
      <c r="M3502" s="371">
        <f t="shared" si="217"/>
        <v>13856.286989190357</v>
      </c>
      <c r="N3502" s="329">
        <f t="shared" si="218"/>
        <v>5357.08740234375</v>
      </c>
      <c r="T3502" s="331">
        <v>0</v>
      </c>
      <c r="U3502" s="328">
        <f>VLOOKUP(C3502,METADATA!$J$5:$Q$29,IF(E3502="HI",2,IF(E3502="LO",6,10))+IF(T3502=1,2,IF(D3502=7,1,(IF(WEEKDAY(B3502)=1,2,IF(WEEKDAY(B3502)=7,1,0))))))</f>
        <v>1</v>
      </c>
      <c r="V3502" s="328">
        <f>VLOOKUP(C3502,METADATA!$A$5:$H$29,IF(E3502="HI",2,IF(E3502="LO",6,10))+IF(T3502=1,2,IF(D3502=7,1,(IF(WEEKDAY(B3502)=1,2,IF(WEEKDAY(B3502)=7,1,0))))))</f>
        <v>1</v>
      </c>
    </row>
    <row r="3503" spans="2:22">
      <c r="B3503" s="318">
        <f t="shared" si="219"/>
        <v>46258</v>
      </c>
      <c r="C3503" s="312">
        <v>19</v>
      </c>
      <c r="D3503" s="368">
        <f>IFERROR((INDEX(METADATA!$T$2:$T$20,MATCH(B3503,METADATA!$S$2:$S$20,0))),0)</f>
        <v>0</v>
      </c>
      <c r="E3503" s="312" t="str">
        <f t="shared" si="216"/>
        <v>LO</v>
      </c>
      <c r="F3503" s="369">
        <f>VLOOKUP(C3503,METADATA!$A$5:$H$29,IF(E3503="HI",2,IF(E3503="LO",6,10))+IF(D3503=1,2,IF(D3503=7,1,(IF(WEEKDAY(B3503)=1,2,IF(WEEKDAY(B3503)=7,1,0))))))</f>
        <v>1</v>
      </c>
      <c r="G3503" s="369">
        <f>VLOOKUP(C3503,METADATA!$J$5:$Q$29,IF(E3503="HI",2,IF(E3503="LO",6,10))+IF(D3503=1,2,IF(D3503=7,1,(IF(WEEKDAY(B3503)=1,2,IF(WEEKDAY(B3503)=7,1,0))))))</f>
        <v>1</v>
      </c>
      <c r="H3503" s="370">
        <v>9865.3246459960938</v>
      </c>
      <c r="I3503" s="370">
        <v>8177.5374450683594</v>
      </c>
      <c r="M3503" s="371">
        <f t="shared" si="217"/>
        <v>12813.927931606027</v>
      </c>
      <c r="N3503" s="329">
        <f t="shared" si="218"/>
        <v>5217.940051269532</v>
      </c>
      <c r="T3503" s="331">
        <v>0</v>
      </c>
      <c r="U3503" s="328">
        <f>VLOOKUP(C3503,METADATA!$J$5:$Q$29,IF(E3503="HI",2,IF(E3503="LO",6,10))+IF(T3503=1,2,IF(D3503=7,1,(IF(WEEKDAY(B3503)=1,2,IF(WEEKDAY(B3503)=7,1,0))))))</f>
        <v>1</v>
      </c>
      <c r="V3503" s="328">
        <f>VLOOKUP(C3503,METADATA!$A$5:$H$29,IF(E3503="HI",2,IF(E3503="LO",6,10))+IF(T3503=1,2,IF(D3503=7,1,(IF(WEEKDAY(B3503)=1,2,IF(WEEKDAY(B3503)=7,1,0))))))</f>
        <v>1</v>
      </c>
    </row>
    <row r="3504" spans="2:22">
      <c r="B3504" s="318">
        <f t="shared" si="219"/>
        <v>46258</v>
      </c>
      <c r="C3504" s="312">
        <v>20</v>
      </c>
      <c r="D3504" s="368">
        <f>IFERROR((INDEX(METADATA!$T$2:$T$20,MATCH(B3504,METADATA!$S$2:$S$20,0))),0)</f>
        <v>0</v>
      </c>
      <c r="E3504" s="312" t="str">
        <f t="shared" si="216"/>
        <v>LO</v>
      </c>
      <c r="F3504" s="369">
        <f>VLOOKUP(C3504,METADATA!$A$5:$H$29,IF(E3504="HI",2,IF(E3504="LO",6,10))+IF(D3504=1,2,IF(D3504=7,1,(IF(WEEKDAY(B3504)=1,2,IF(WEEKDAY(B3504)=7,1,0))))))</f>
        <v>1</v>
      </c>
      <c r="G3504" s="369">
        <f>VLOOKUP(C3504,METADATA!$J$5:$Q$29,IF(E3504="HI",2,IF(E3504="LO",6,10))+IF(D3504=1,2,IF(D3504=7,1,(IF(WEEKDAY(B3504)=1,2,IF(WEEKDAY(B3504)=7,1,0))))))</f>
        <v>1</v>
      </c>
      <c r="H3504" s="370">
        <v>10965.317626953125</v>
      </c>
      <c r="I3504" s="370">
        <v>8649.1075744628906</v>
      </c>
      <c r="M3504" s="371">
        <f t="shared" si="217"/>
        <v>13965.860249000069</v>
      </c>
      <c r="N3504" s="329">
        <f t="shared" si="218"/>
        <v>5359.5122863769539</v>
      </c>
      <c r="T3504" s="331">
        <v>0</v>
      </c>
      <c r="U3504" s="328">
        <f>VLOOKUP(C3504,METADATA!$J$5:$Q$29,IF(E3504="HI",2,IF(E3504="LO",6,10))+IF(T3504=1,2,IF(D3504=7,1,(IF(WEEKDAY(B3504)=1,2,IF(WEEKDAY(B3504)=7,1,0))))))</f>
        <v>1</v>
      </c>
      <c r="V3504" s="328">
        <f>VLOOKUP(C3504,METADATA!$A$5:$H$29,IF(E3504="HI",2,IF(E3504="LO",6,10))+IF(T3504=1,2,IF(D3504=7,1,(IF(WEEKDAY(B3504)=1,2,IF(WEEKDAY(B3504)=7,1,0))))))</f>
        <v>1</v>
      </c>
    </row>
    <row r="3505" spans="2:22">
      <c r="B3505" s="318">
        <f t="shared" si="219"/>
        <v>46258</v>
      </c>
      <c r="C3505" s="312">
        <v>21</v>
      </c>
      <c r="D3505" s="368">
        <f>IFERROR((INDEX(METADATA!$T$2:$T$20,MATCH(B3505,METADATA!$S$2:$S$20,0))),0)</f>
        <v>0</v>
      </c>
      <c r="E3505" s="312" t="str">
        <f t="shared" si="216"/>
        <v>LO</v>
      </c>
      <c r="F3505" s="369">
        <f>VLOOKUP(C3505,METADATA!$A$5:$H$29,IF(E3505="HI",2,IF(E3505="LO",6,10))+IF(D3505=1,2,IF(D3505=7,1,(IF(WEEKDAY(B3505)=1,2,IF(WEEKDAY(B3505)=7,1,0))))))</f>
        <v>2</v>
      </c>
      <c r="G3505" s="369">
        <f>VLOOKUP(C3505,METADATA!$J$5:$Q$29,IF(E3505="HI",2,IF(E3505="LO",6,10))+IF(D3505=1,2,IF(D3505=7,1,(IF(WEEKDAY(B3505)=1,2,IF(WEEKDAY(B3505)=7,1,0))))))</f>
        <v>2</v>
      </c>
      <c r="H3505" s="370">
        <v>11157.304962158203</v>
      </c>
      <c r="I3505" s="370">
        <v>8806.539794921875</v>
      </c>
      <c r="M3505" s="371">
        <f t="shared" si="217"/>
        <v>14214.098535543599</v>
      </c>
      <c r="N3505" s="329">
        <f t="shared" si="218"/>
        <v>5459.3483062744144</v>
      </c>
      <c r="T3505" s="331">
        <v>0</v>
      </c>
      <c r="U3505" s="328">
        <f>VLOOKUP(C3505,METADATA!$J$5:$Q$29,IF(E3505="HI",2,IF(E3505="LO",6,10))+IF(T3505=1,2,IF(D3505=7,1,(IF(WEEKDAY(B3505)=1,2,IF(WEEKDAY(B3505)=7,1,0))))))</f>
        <v>2</v>
      </c>
      <c r="V3505" s="328">
        <f>VLOOKUP(C3505,METADATA!$A$5:$H$29,IF(E3505="HI",2,IF(E3505="LO",6,10))+IF(T3505=1,2,IF(D3505=7,1,(IF(WEEKDAY(B3505)=1,2,IF(WEEKDAY(B3505)=7,1,0))))))</f>
        <v>2</v>
      </c>
    </row>
    <row r="3506" spans="2:22">
      <c r="B3506" s="318">
        <f t="shared" si="219"/>
        <v>46258</v>
      </c>
      <c r="C3506" s="312">
        <v>22</v>
      </c>
      <c r="D3506" s="368">
        <f>IFERROR((INDEX(METADATA!$T$2:$T$20,MATCH(B3506,METADATA!$S$2:$S$20,0))),0)</f>
        <v>0</v>
      </c>
      <c r="E3506" s="312" t="str">
        <f t="shared" si="216"/>
        <v>LO</v>
      </c>
      <c r="F3506" s="369">
        <f>VLOOKUP(C3506,METADATA!$A$5:$H$29,IF(E3506="HI",2,IF(E3506="LO",6,10))+IF(D3506=1,2,IF(D3506=7,1,(IF(WEEKDAY(B3506)=1,2,IF(WEEKDAY(B3506)=7,1,0))))))</f>
        <v>3</v>
      </c>
      <c r="G3506" s="369">
        <f>VLOOKUP(C3506,METADATA!$J$5:$Q$29,IF(E3506="HI",2,IF(E3506="LO",6,10))+IF(D3506=1,2,IF(D3506=7,1,(IF(WEEKDAY(B3506)=1,2,IF(WEEKDAY(B3506)=7,1,0))))))</f>
        <v>3</v>
      </c>
      <c r="H3506" s="370">
        <v>11620.700408935547</v>
      </c>
      <c r="I3506" s="370">
        <v>9192.5426025390625</v>
      </c>
      <c r="M3506" s="371">
        <f t="shared" si="217"/>
        <v>14817.000961521546</v>
      </c>
      <c r="N3506" s="329">
        <f t="shared" si="218"/>
        <v>5706.3324798583981</v>
      </c>
      <c r="T3506" s="331">
        <v>0</v>
      </c>
      <c r="U3506" s="328">
        <f>VLOOKUP(C3506,METADATA!$J$5:$Q$29,IF(E3506="HI",2,IF(E3506="LO",6,10))+IF(T3506=1,2,IF(D3506=7,1,(IF(WEEKDAY(B3506)=1,2,IF(WEEKDAY(B3506)=7,1,0))))))</f>
        <v>3</v>
      </c>
      <c r="V3506" s="328">
        <f>VLOOKUP(C3506,METADATA!$A$5:$H$29,IF(E3506="HI",2,IF(E3506="LO",6,10))+IF(T3506=1,2,IF(D3506=7,1,(IF(WEEKDAY(B3506)=1,2,IF(WEEKDAY(B3506)=7,1,0))))))</f>
        <v>3</v>
      </c>
    </row>
    <row r="3507" spans="2:22">
      <c r="B3507" s="318">
        <f t="shared" si="219"/>
        <v>46258</v>
      </c>
      <c r="C3507" s="312">
        <v>23</v>
      </c>
      <c r="D3507" s="368">
        <f>IFERROR((INDEX(METADATA!$T$2:$T$20,MATCH(B3507,METADATA!$S$2:$S$20,0))),0)</f>
        <v>0</v>
      </c>
      <c r="E3507" s="312" t="str">
        <f t="shared" si="216"/>
        <v>LO</v>
      </c>
      <c r="F3507" s="369">
        <f>VLOOKUP(C3507,METADATA!$A$5:$H$29,IF(E3507="HI",2,IF(E3507="LO",6,10))+IF(D3507=1,2,IF(D3507=7,1,(IF(WEEKDAY(B3507)=1,2,IF(WEEKDAY(B3507)=7,1,0))))))</f>
        <v>3</v>
      </c>
      <c r="G3507" s="369">
        <f>VLOOKUP(C3507,METADATA!$J$5:$Q$29,IF(E3507="HI",2,IF(E3507="LO",6,10))+IF(D3507=1,2,IF(D3507=7,1,(IF(WEEKDAY(B3507)=1,2,IF(WEEKDAY(B3507)=7,1,0))))))</f>
        <v>3</v>
      </c>
      <c r="H3507" s="370">
        <v>13053.375244140625</v>
      </c>
      <c r="I3507" s="370">
        <v>10020.025207519531</v>
      </c>
      <c r="M3507" s="371">
        <f t="shared" si="217"/>
        <v>16455.743994838707</v>
      </c>
      <c r="N3507" s="329">
        <f t="shared" si="218"/>
        <v>6104.0126342773438</v>
      </c>
      <c r="T3507" s="331">
        <v>0</v>
      </c>
      <c r="U3507" s="328">
        <f>VLOOKUP(C3507,METADATA!$J$5:$Q$29,IF(E3507="HI",2,IF(E3507="LO",6,10))+IF(T3507=1,2,IF(D3507=7,1,(IF(WEEKDAY(B3507)=1,2,IF(WEEKDAY(B3507)=7,1,0))))))</f>
        <v>3</v>
      </c>
      <c r="V3507" s="328">
        <f>VLOOKUP(C3507,METADATA!$A$5:$H$29,IF(E3507="HI",2,IF(E3507="LO",6,10))+IF(T3507=1,2,IF(D3507=7,1,(IF(WEEKDAY(B3507)=1,2,IF(WEEKDAY(B3507)=7,1,0))))))</f>
        <v>3</v>
      </c>
    </row>
    <row r="3508" spans="2:22">
      <c r="B3508" s="318">
        <f t="shared" si="219"/>
        <v>46259</v>
      </c>
      <c r="C3508" s="312">
        <v>0</v>
      </c>
      <c r="D3508" s="368">
        <f>IFERROR((INDEX(METADATA!$T$2:$T$20,MATCH(B3508,METADATA!$S$2:$S$20,0))),0)</f>
        <v>0</v>
      </c>
      <c r="E3508" s="312" t="str">
        <f t="shared" si="216"/>
        <v>LO</v>
      </c>
      <c r="F3508" s="369">
        <f>VLOOKUP(C3508,METADATA!$A$5:$H$29,IF(E3508="HI",2,IF(E3508="LO",6,10))+IF(D3508=1,2,IF(D3508=7,1,(IF(WEEKDAY(B3508)=1,2,IF(WEEKDAY(B3508)=7,1,0))))))</f>
        <v>3</v>
      </c>
      <c r="G3508" s="369">
        <f>VLOOKUP(C3508,METADATA!$J$5:$Q$29,IF(E3508="HI",2,IF(E3508="LO",6,10))+IF(D3508=1,2,IF(D3508=7,1,(IF(WEEKDAY(B3508)=1,2,IF(WEEKDAY(B3508)=7,1,0))))))</f>
        <v>3</v>
      </c>
      <c r="H3508" s="370">
        <v>13018.924987792969</v>
      </c>
      <c r="I3508" s="370">
        <v>10186.400024414063</v>
      </c>
      <c r="M3508" s="371">
        <f t="shared" si="217"/>
        <v>16530.431128532702</v>
      </c>
      <c r="N3508" s="329">
        <f t="shared" si="218"/>
        <v>6280.7225280761722</v>
      </c>
      <c r="T3508" s="331">
        <v>0</v>
      </c>
      <c r="U3508" s="328">
        <f>VLOOKUP(C3508,METADATA!$J$5:$Q$29,IF(E3508="HI",2,IF(E3508="LO",6,10))+IF(T3508=1,2,IF(D3508=7,1,(IF(WEEKDAY(B3508)=1,2,IF(WEEKDAY(B3508)=7,1,0))))))</f>
        <v>3</v>
      </c>
      <c r="V3508" s="328">
        <f>VLOOKUP(C3508,METADATA!$A$5:$H$29,IF(E3508="HI",2,IF(E3508="LO",6,10))+IF(T3508=1,2,IF(D3508=7,1,(IF(WEEKDAY(B3508)=1,2,IF(WEEKDAY(B3508)=7,1,0))))))</f>
        <v>3</v>
      </c>
    </row>
    <row r="3509" spans="2:22">
      <c r="B3509" s="318">
        <f t="shared" si="219"/>
        <v>46259</v>
      </c>
      <c r="C3509" s="312">
        <v>1</v>
      </c>
      <c r="D3509" s="368">
        <f>IFERROR((INDEX(METADATA!$T$2:$T$20,MATCH(B3509,METADATA!$S$2:$S$20,0))),0)</f>
        <v>0</v>
      </c>
      <c r="E3509" s="312" t="str">
        <f t="shared" si="216"/>
        <v>LO</v>
      </c>
      <c r="F3509" s="369">
        <f>VLOOKUP(C3509,METADATA!$A$5:$H$29,IF(E3509="HI",2,IF(E3509="LO",6,10))+IF(D3509=1,2,IF(D3509=7,1,(IF(WEEKDAY(B3509)=1,2,IF(WEEKDAY(B3509)=7,1,0))))))</f>
        <v>3</v>
      </c>
      <c r="G3509" s="369">
        <f>VLOOKUP(C3509,METADATA!$J$5:$Q$29,IF(E3509="HI",2,IF(E3509="LO",6,10))+IF(D3509=1,2,IF(D3509=7,1,(IF(WEEKDAY(B3509)=1,2,IF(WEEKDAY(B3509)=7,1,0))))))</f>
        <v>3</v>
      </c>
      <c r="H3509" s="370">
        <v>13080.7998046875</v>
      </c>
      <c r="I3509" s="370">
        <v>10184.275085449219</v>
      </c>
      <c r="M3509" s="371">
        <f t="shared" si="217"/>
        <v>16577.900426363234</v>
      </c>
      <c r="N3509" s="329">
        <f t="shared" si="218"/>
        <v>6260.0351440429695</v>
      </c>
      <c r="T3509" s="331">
        <v>0</v>
      </c>
      <c r="U3509" s="328">
        <f>VLOOKUP(C3509,METADATA!$J$5:$Q$29,IF(E3509="HI",2,IF(E3509="LO",6,10))+IF(T3509=1,2,IF(D3509=7,1,(IF(WEEKDAY(B3509)=1,2,IF(WEEKDAY(B3509)=7,1,0))))))</f>
        <v>3</v>
      </c>
      <c r="V3509" s="328">
        <f>VLOOKUP(C3509,METADATA!$A$5:$H$29,IF(E3509="HI",2,IF(E3509="LO",6,10))+IF(T3509=1,2,IF(D3509=7,1,(IF(WEEKDAY(B3509)=1,2,IF(WEEKDAY(B3509)=7,1,0))))))</f>
        <v>3</v>
      </c>
    </row>
    <row r="3510" spans="2:22">
      <c r="B3510" s="318">
        <f t="shared" si="219"/>
        <v>46259</v>
      </c>
      <c r="C3510" s="312">
        <v>2</v>
      </c>
      <c r="D3510" s="368">
        <f>IFERROR((INDEX(METADATA!$T$2:$T$20,MATCH(B3510,METADATA!$S$2:$S$20,0))),0)</f>
        <v>0</v>
      </c>
      <c r="E3510" s="312" t="str">
        <f t="shared" si="216"/>
        <v>LO</v>
      </c>
      <c r="F3510" s="369">
        <f>VLOOKUP(C3510,METADATA!$A$5:$H$29,IF(E3510="HI",2,IF(E3510="LO",6,10))+IF(D3510=1,2,IF(D3510=7,1,(IF(WEEKDAY(B3510)=1,2,IF(WEEKDAY(B3510)=7,1,0))))))</f>
        <v>3</v>
      </c>
      <c r="G3510" s="369">
        <f>VLOOKUP(C3510,METADATA!$J$5:$Q$29,IF(E3510="HI",2,IF(E3510="LO",6,10))+IF(D3510=1,2,IF(D3510=7,1,(IF(WEEKDAY(B3510)=1,2,IF(WEEKDAY(B3510)=7,1,0))))))</f>
        <v>3</v>
      </c>
      <c r="H3510" s="370">
        <v>13112.250183105469</v>
      </c>
      <c r="I3510" s="370">
        <v>10232.950012207031</v>
      </c>
      <c r="M3510" s="371">
        <f t="shared" si="217"/>
        <v>16632.629702385526</v>
      </c>
      <c r="N3510" s="329">
        <f t="shared" si="218"/>
        <v>6299.274957275391</v>
      </c>
      <c r="T3510" s="331">
        <v>0</v>
      </c>
      <c r="U3510" s="328">
        <f>VLOOKUP(C3510,METADATA!$J$5:$Q$29,IF(E3510="HI",2,IF(E3510="LO",6,10))+IF(T3510=1,2,IF(D3510=7,1,(IF(WEEKDAY(B3510)=1,2,IF(WEEKDAY(B3510)=7,1,0))))))</f>
        <v>3</v>
      </c>
      <c r="V3510" s="328">
        <f>VLOOKUP(C3510,METADATA!$A$5:$H$29,IF(E3510="HI",2,IF(E3510="LO",6,10))+IF(T3510=1,2,IF(D3510=7,1,(IF(WEEKDAY(B3510)=1,2,IF(WEEKDAY(B3510)=7,1,0))))))</f>
        <v>3</v>
      </c>
    </row>
    <row r="3511" spans="2:22">
      <c r="B3511" s="318">
        <f t="shared" si="219"/>
        <v>46259</v>
      </c>
      <c r="C3511" s="312">
        <v>3</v>
      </c>
      <c r="D3511" s="368">
        <f>IFERROR((INDEX(METADATA!$T$2:$T$20,MATCH(B3511,METADATA!$S$2:$S$20,0))),0)</f>
        <v>0</v>
      </c>
      <c r="E3511" s="312" t="str">
        <f t="shared" si="216"/>
        <v>LO</v>
      </c>
      <c r="F3511" s="369">
        <f>VLOOKUP(C3511,METADATA!$A$5:$H$29,IF(E3511="HI",2,IF(E3511="LO",6,10))+IF(D3511=1,2,IF(D3511=7,1,(IF(WEEKDAY(B3511)=1,2,IF(WEEKDAY(B3511)=7,1,0))))))</f>
        <v>3</v>
      </c>
      <c r="G3511" s="369">
        <f>VLOOKUP(C3511,METADATA!$J$5:$Q$29,IF(E3511="HI",2,IF(E3511="LO",6,10))+IF(D3511=1,2,IF(D3511=7,1,(IF(WEEKDAY(B3511)=1,2,IF(WEEKDAY(B3511)=7,1,0))))))</f>
        <v>3</v>
      </c>
      <c r="H3511" s="370">
        <v>11767.077453613281</v>
      </c>
      <c r="I3511" s="370">
        <v>9498.1449890136719</v>
      </c>
      <c r="M3511" s="371">
        <f t="shared" si="217"/>
        <v>15122.131795208623</v>
      </c>
      <c r="N3511" s="329">
        <f t="shared" si="218"/>
        <v>5968.0217529296879</v>
      </c>
      <c r="T3511" s="331">
        <v>0</v>
      </c>
      <c r="U3511" s="328">
        <f>VLOOKUP(C3511,METADATA!$J$5:$Q$29,IF(E3511="HI",2,IF(E3511="LO",6,10))+IF(T3511=1,2,IF(D3511=7,1,(IF(WEEKDAY(B3511)=1,2,IF(WEEKDAY(B3511)=7,1,0))))))</f>
        <v>3</v>
      </c>
      <c r="V3511" s="328">
        <f>VLOOKUP(C3511,METADATA!$A$5:$H$29,IF(E3511="HI",2,IF(E3511="LO",6,10))+IF(T3511=1,2,IF(D3511=7,1,(IF(WEEKDAY(B3511)=1,2,IF(WEEKDAY(B3511)=7,1,0))))))</f>
        <v>3</v>
      </c>
    </row>
    <row r="3512" spans="2:22">
      <c r="B3512" s="318">
        <f t="shared" si="219"/>
        <v>46259</v>
      </c>
      <c r="C3512" s="312">
        <v>4</v>
      </c>
      <c r="D3512" s="368">
        <f>IFERROR((INDEX(METADATA!$T$2:$T$20,MATCH(B3512,METADATA!$S$2:$S$20,0))),0)</f>
        <v>0</v>
      </c>
      <c r="E3512" s="312" t="str">
        <f t="shared" si="216"/>
        <v>LO</v>
      </c>
      <c r="F3512" s="369">
        <f>VLOOKUP(C3512,METADATA!$A$5:$H$29,IF(E3512="HI",2,IF(E3512="LO",6,10))+IF(D3512=1,2,IF(D3512=7,1,(IF(WEEKDAY(B3512)=1,2,IF(WEEKDAY(B3512)=7,1,0))))))</f>
        <v>3</v>
      </c>
      <c r="G3512" s="369">
        <f>VLOOKUP(C3512,METADATA!$J$5:$Q$29,IF(E3512="HI",2,IF(E3512="LO",6,10))+IF(D3512=1,2,IF(D3512=7,1,(IF(WEEKDAY(B3512)=1,2,IF(WEEKDAY(B3512)=7,1,0))))))</f>
        <v>3</v>
      </c>
      <c r="H3512" s="370">
        <v>11038.547149658203</v>
      </c>
      <c r="I3512" s="370">
        <v>8993.3023986816406</v>
      </c>
      <c r="M3512" s="371">
        <f t="shared" si="217"/>
        <v>14238.29383070037</v>
      </c>
      <c r="N3512" s="329">
        <f t="shared" si="218"/>
        <v>5681.7382537841804</v>
      </c>
      <c r="T3512" s="331">
        <v>0</v>
      </c>
      <c r="U3512" s="328">
        <f>VLOOKUP(C3512,METADATA!$J$5:$Q$29,IF(E3512="HI",2,IF(E3512="LO",6,10))+IF(T3512=1,2,IF(D3512=7,1,(IF(WEEKDAY(B3512)=1,2,IF(WEEKDAY(B3512)=7,1,0))))))</f>
        <v>3</v>
      </c>
      <c r="V3512" s="328">
        <f>VLOOKUP(C3512,METADATA!$A$5:$H$29,IF(E3512="HI",2,IF(E3512="LO",6,10))+IF(T3512=1,2,IF(D3512=7,1,(IF(WEEKDAY(B3512)=1,2,IF(WEEKDAY(B3512)=7,1,0))))))</f>
        <v>3</v>
      </c>
    </row>
    <row r="3513" spans="2:22">
      <c r="B3513" s="318">
        <f t="shared" si="219"/>
        <v>46259</v>
      </c>
      <c r="C3513" s="312">
        <v>5</v>
      </c>
      <c r="D3513" s="368">
        <f>IFERROR((INDEX(METADATA!$T$2:$T$20,MATCH(B3513,METADATA!$S$2:$S$20,0))),0)</f>
        <v>0</v>
      </c>
      <c r="E3513" s="312" t="str">
        <f t="shared" si="216"/>
        <v>LO</v>
      </c>
      <c r="F3513" s="369">
        <f>VLOOKUP(C3513,METADATA!$A$5:$H$29,IF(E3513="HI",2,IF(E3513="LO",6,10))+IF(D3513=1,2,IF(D3513=7,1,(IF(WEEKDAY(B3513)=1,2,IF(WEEKDAY(B3513)=7,1,0))))))</f>
        <v>3</v>
      </c>
      <c r="G3513" s="369">
        <f>VLOOKUP(C3513,METADATA!$J$5:$Q$29,IF(E3513="HI",2,IF(E3513="LO",6,10))+IF(D3513=1,2,IF(D3513=7,1,(IF(WEEKDAY(B3513)=1,2,IF(WEEKDAY(B3513)=7,1,0))))))</f>
        <v>3</v>
      </c>
      <c r="H3513" s="370">
        <v>12692.700073242188</v>
      </c>
      <c r="I3513" s="370">
        <v>9828.3499145507813</v>
      </c>
      <c r="M3513" s="371">
        <f t="shared" si="217"/>
        <v>16053.071269764318</v>
      </c>
      <c r="N3513" s="329">
        <f t="shared" si="218"/>
        <v>6020.5398925781246</v>
      </c>
      <c r="T3513" s="331">
        <v>0</v>
      </c>
      <c r="U3513" s="328">
        <f>VLOOKUP(C3513,METADATA!$J$5:$Q$29,IF(E3513="HI",2,IF(E3513="LO",6,10))+IF(T3513=1,2,IF(D3513=7,1,(IF(WEEKDAY(B3513)=1,2,IF(WEEKDAY(B3513)=7,1,0))))))</f>
        <v>3</v>
      </c>
      <c r="V3513" s="328">
        <f>VLOOKUP(C3513,METADATA!$A$5:$H$29,IF(E3513="HI",2,IF(E3513="LO",6,10))+IF(T3513=1,2,IF(D3513=7,1,(IF(WEEKDAY(B3513)=1,2,IF(WEEKDAY(B3513)=7,1,0))))))</f>
        <v>3</v>
      </c>
    </row>
    <row r="3514" spans="2:22">
      <c r="B3514" s="318">
        <f t="shared" si="219"/>
        <v>46259</v>
      </c>
      <c r="C3514" s="312">
        <v>6</v>
      </c>
      <c r="D3514" s="368">
        <f>IFERROR((INDEX(METADATA!$T$2:$T$20,MATCH(B3514,METADATA!$S$2:$S$20,0))),0)</f>
        <v>0</v>
      </c>
      <c r="E3514" s="312" t="str">
        <f t="shared" si="216"/>
        <v>LO</v>
      </c>
      <c r="F3514" s="369">
        <f>VLOOKUP(C3514,METADATA!$A$5:$H$29,IF(E3514="HI",2,IF(E3514="LO",6,10))+IF(D3514=1,2,IF(D3514=7,1,(IF(WEEKDAY(B3514)=1,2,IF(WEEKDAY(B3514)=7,1,0))))))</f>
        <v>2</v>
      </c>
      <c r="G3514" s="369">
        <f>VLOOKUP(C3514,METADATA!$J$5:$Q$29,IF(E3514="HI",2,IF(E3514="LO",6,10))+IF(D3514=1,2,IF(D3514=7,1,(IF(WEEKDAY(B3514)=1,2,IF(WEEKDAY(B3514)=7,1,0))))))</f>
        <v>2</v>
      </c>
      <c r="H3514" s="370">
        <v>13000.224792480469</v>
      </c>
      <c r="I3514" s="370">
        <v>9879.2999877929688</v>
      </c>
      <c r="M3514" s="371">
        <f t="shared" si="217"/>
        <v>16328.086627153532</v>
      </c>
      <c r="N3514" s="329">
        <f t="shared" si="218"/>
        <v>5979.2325500488278</v>
      </c>
      <c r="T3514" s="331">
        <v>0</v>
      </c>
      <c r="U3514" s="328">
        <f>VLOOKUP(C3514,METADATA!$J$5:$Q$29,IF(E3514="HI",2,IF(E3514="LO",6,10))+IF(T3514=1,2,IF(D3514=7,1,(IF(WEEKDAY(B3514)=1,2,IF(WEEKDAY(B3514)=7,1,0))))))</f>
        <v>2</v>
      </c>
      <c r="V3514" s="328">
        <f>VLOOKUP(C3514,METADATA!$A$5:$H$29,IF(E3514="HI",2,IF(E3514="LO",6,10))+IF(T3514=1,2,IF(D3514=7,1,(IF(WEEKDAY(B3514)=1,2,IF(WEEKDAY(B3514)=7,1,0))))))</f>
        <v>2</v>
      </c>
    </row>
    <row r="3515" spans="2:22">
      <c r="B3515" s="318">
        <f t="shared" si="219"/>
        <v>46259</v>
      </c>
      <c r="C3515" s="312">
        <v>7</v>
      </c>
      <c r="D3515" s="368">
        <f>IFERROR((INDEX(METADATA!$T$2:$T$20,MATCH(B3515,METADATA!$S$2:$S$20,0))),0)</f>
        <v>0</v>
      </c>
      <c r="E3515" s="312" t="str">
        <f t="shared" si="216"/>
        <v>LO</v>
      </c>
      <c r="F3515" s="369">
        <f>VLOOKUP(C3515,METADATA!$A$5:$H$29,IF(E3515="HI",2,IF(E3515="LO",6,10))+IF(D3515=1,2,IF(D3515=7,1,(IF(WEEKDAY(B3515)=1,2,IF(WEEKDAY(B3515)=7,1,0))))))</f>
        <v>1</v>
      </c>
      <c r="G3515" s="369">
        <f>VLOOKUP(C3515,METADATA!$J$5:$Q$29,IF(E3515="HI",2,IF(E3515="LO",6,10))+IF(D3515=1,2,IF(D3515=7,1,(IF(WEEKDAY(B3515)=1,2,IF(WEEKDAY(B3515)=7,1,0))))))</f>
        <v>1</v>
      </c>
      <c r="H3515" s="370">
        <v>8666.925048828125</v>
      </c>
      <c r="I3515" s="370">
        <v>7544.8424987792969</v>
      </c>
      <c r="M3515" s="371">
        <f t="shared" si="217"/>
        <v>11490.876299629659</v>
      </c>
      <c r="N3515" s="329">
        <f t="shared" si="218"/>
        <v>4944.7649841308594</v>
      </c>
      <c r="T3515" s="331">
        <v>0</v>
      </c>
      <c r="U3515" s="328">
        <f>VLOOKUP(C3515,METADATA!$J$5:$Q$29,IF(E3515="HI",2,IF(E3515="LO",6,10))+IF(T3515=1,2,IF(D3515=7,1,(IF(WEEKDAY(B3515)=1,2,IF(WEEKDAY(B3515)=7,1,0))))))</f>
        <v>1</v>
      </c>
      <c r="V3515" s="328">
        <f>VLOOKUP(C3515,METADATA!$A$5:$H$29,IF(E3515="HI",2,IF(E3515="LO",6,10))+IF(T3515=1,2,IF(D3515=7,1,(IF(WEEKDAY(B3515)=1,2,IF(WEEKDAY(B3515)=7,1,0))))))</f>
        <v>1</v>
      </c>
    </row>
    <row r="3516" spans="2:22">
      <c r="B3516" s="318">
        <f t="shared" si="219"/>
        <v>46259</v>
      </c>
      <c r="C3516" s="312">
        <v>8</v>
      </c>
      <c r="D3516" s="368">
        <f>IFERROR((INDEX(METADATA!$T$2:$T$20,MATCH(B3516,METADATA!$S$2:$S$20,0))),0)</f>
        <v>0</v>
      </c>
      <c r="E3516" s="312" t="str">
        <f t="shared" si="216"/>
        <v>LO</v>
      </c>
      <c r="F3516" s="369">
        <f>VLOOKUP(C3516,METADATA!$A$5:$H$29,IF(E3516="HI",2,IF(E3516="LO",6,10))+IF(D3516=1,2,IF(D3516=7,1,(IF(WEEKDAY(B3516)=1,2,IF(WEEKDAY(B3516)=7,1,0))))))</f>
        <v>1</v>
      </c>
      <c r="G3516" s="369">
        <f>VLOOKUP(C3516,METADATA!$J$5:$Q$29,IF(E3516="HI",2,IF(E3516="LO",6,10))+IF(D3516=1,2,IF(D3516=7,1,(IF(WEEKDAY(B3516)=1,2,IF(WEEKDAY(B3516)=7,1,0))))))</f>
        <v>1</v>
      </c>
      <c r="H3516" s="370">
        <v>5442.1524658203125</v>
      </c>
      <c r="I3516" s="370">
        <v>5662.0425415039063</v>
      </c>
      <c r="M3516" s="371">
        <f t="shared" si="217"/>
        <v>7853.3909365976506</v>
      </c>
      <c r="N3516" s="329">
        <f t="shared" si="218"/>
        <v>4029.3968017578127</v>
      </c>
      <c r="T3516" s="331">
        <v>0</v>
      </c>
      <c r="U3516" s="328">
        <f>VLOOKUP(C3516,METADATA!$J$5:$Q$29,IF(E3516="HI",2,IF(E3516="LO",6,10))+IF(T3516=1,2,IF(D3516=7,1,(IF(WEEKDAY(B3516)=1,2,IF(WEEKDAY(B3516)=7,1,0))))))</f>
        <v>1</v>
      </c>
      <c r="V3516" s="328">
        <f>VLOOKUP(C3516,METADATA!$A$5:$H$29,IF(E3516="HI",2,IF(E3516="LO",6,10))+IF(T3516=1,2,IF(D3516=7,1,(IF(WEEKDAY(B3516)=1,2,IF(WEEKDAY(B3516)=7,1,0))))))</f>
        <v>1</v>
      </c>
    </row>
    <row r="3517" spans="2:22">
      <c r="B3517" s="318">
        <f t="shared" si="219"/>
        <v>46259</v>
      </c>
      <c r="C3517" s="312">
        <v>9</v>
      </c>
      <c r="D3517" s="368">
        <f>IFERROR((INDEX(METADATA!$T$2:$T$20,MATCH(B3517,METADATA!$S$2:$S$20,0))),0)</f>
        <v>0</v>
      </c>
      <c r="E3517" s="312" t="str">
        <f t="shared" si="216"/>
        <v>LO</v>
      </c>
      <c r="F3517" s="369">
        <f>VLOOKUP(C3517,METADATA!$A$5:$H$29,IF(E3517="HI",2,IF(E3517="LO",6,10))+IF(D3517=1,2,IF(D3517=7,1,(IF(WEEKDAY(B3517)=1,2,IF(WEEKDAY(B3517)=7,1,0))))))</f>
        <v>2</v>
      </c>
      <c r="G3517" s="369">
        <f>VLOOKUP(C3517,METADATA!$J$5:$Q$29,IF(E3517="HI",2,IF(E3517="LO",6,10))+IF(D3517=1,2,IF(D3517=7,1,(IF(WEEKDAY(B3517)=1,2,IF(WEEKDAY(B3517)=7,1,0))))))</f>
        <v>2</v>
      </c>
      <c r="H3517" s="370">
        <v>5001.5150756835938</v>
      </c>
      <c r="I3517" s="370">
        <v>5220.132568359375</v>
      </c>
      <c r="M3517" s="371">
        <f t="shared" si="217"/>
        <v>7229.4492932405647</v>
      </c>
      <c r="N3517" s="329">
        <f t="shared" si="218"/>
        <v>3719.678045654297</v>
      </c>
      <c r="T3517" s="331">
        <v>0</v>
      </c>
      <c r="U3517" s="328">
        <f>VLOOKUP(C3517,METADATA!$J$5:$Q$29,IF(E3517="HI",2,IF(E3517="LO",6,10))+IF(T3517=1,2,IF(D3517=7,1,(IF(WEEKDAY(B3517)=1,2,IF(WEEKDAY(B3517)=7,1,0))))))</f>
        <v>2</v>
      </c>
      <c r="V3517" s="328">
        <f>VLOOKUP(C3517,METADATA!$A$5:$H$29,IF(E3517="HI",2,IF(E3517="LO",6,10))+IF(T3517=1,2,IF(D3517=7,1,(IF(WEEKDAY(B3517)=1,2,IF(WEEKDAY(B3517)=7,1,0))))))</f>
        <v>2</v>
      </c>
    </row>
    <row r="3518" spans="2:22">
      <c r="B3518" s="318">
        <f t="shared" si="219"/>
        <v>46259</v>
      </c>
      <c r="C3518" s="312">
        <v>10</v>
      </c>
      <c r="D3518" s="368">
        <f>IFERROR((INDEX(METADATA!$T$2:$T$20,MATCH(B3518,METADATA!$S$2:$S$20,0))),0)</f>
        <v>0</v>
      </c>
      <c r="E3518" s="312" t="str">
        <f t="shared" si="216"/>
        <v>LO</v>
      </c>
      <c r="F3518" s="369">
        <f>VLOOKUP(C3518,METADATA!$A$5:$H$29,IF(E3518="HI",2,IF(E3518="LO",6,10))+IF(D3518=1,2,IF(D3518=7,1,(IF(WEEKDAY(B3518)=1,2,IF(WEEKDAY(B3518)=7,1,0))))))</f>
        <v>2</v>
      </c>
      <c r="G3518" s="369">
        <f>VLOOKUP(C3518,METADATA!$J$5:$Q$29,IF(E3518="HI",2,IF(E3518="LO",6,10))+IF(D3518=1,2,IF(D3518=7,1,(IF(WEEKDAY(B3518)=1,2,IF(WEEKDAY(B3518)=7,1,0))))))</f>
        <v>2</v>
      </c>
      <c r="H3518" s="370">
        <v>4923.7475891113281</v>
      </c>
      <c r="I3518" s="370">
        <v>5217.4974060058594</v>
      </c>
      <c r="M3518" s="371">
        <f t="shared" si="217"/>
        <v>7173.9507597249012</v>
      </c>
      <c r="N3518" s="329">
        <f t="shared" si="218"/>
        <v>3740.373129272461</v>
      </c>
      <c r="T3518" s="331">
        <v>0</v>
      </c>
      <c r="U3518" s="328">
        <f>VLOOKUP(C3518,METADATA!$J$5:$Q$29,IF(E3518="HI",2,IF(E3518="LO",6,10))+IF(T3518=1,2,IF(D3518=7,1,(IF(WEEKDAY(B3518)=1,2,IF(WEEKDAY(B3518)=7,1,0))))))</f>
        <v>2</v>
      </c>
      <c r="V3518" s="328">
        <f>VLOOKUP(C3518,METADATA!$A$5:$H$29,IF(E3518="HI",2,IF(E3518="LO",6,10))+IF(T3518=1,2,IF(D3518=7,1,(IF(WEEKDAY(B3518)=1,2,IF(WEEKDAY(B3518)=7,1,0))))))</f>
        <v>2</v>
      </c>
    </row>
    <row r="3519" spans="2:22">
      <c r="B3519" s="318">
        <f t="shared" si="219"/>
        <v>46259</v>
      </c>
      <c r="C3519" s="312">
        <v>11</v>
      </c>
      <c r="D3519" s="368">
        <f>IFERROR((INDEX(METADATA!$T$2:$T$20,MATCH(B3519,METADATA!$S$2:$S$20,0))),0)</f>
        <v>0</v>
      </c>
      <c r="E3519" s="312" t="str">
        <f t="shared" si="216"/>
        <v>LO</v>
      </c>
      <c r="F3519" s="369">
        <f>VLOOKUP(C3519,METADATA!$A$5:$H$29,IF(E3519="HI",2,IF(E3519="LO",6,10))+IF(D3519=1,2,IF(D3519=7,1,(IF(WEEKDAY(B3519)=1,2,IF(WEEKDAY(B3519)=7,1,0))))))</f>
        <v>2</v>
      </c>
      <c r="G3519" s="369">
        <f>VLOOKUP(C3519,METADATA!$J$5:$Q$29,IF(E3519="HI",2,IF(E3519="LO",6,10))+IF(D3519=1,2,IF(D3519=7,1,(IF(WEEKDAY(B3519)=1,2,IF(WEEKDAY(B3519)=7,1,0))))))</f>
        <v>2</v>
      </c>
      <c r="H3519" s="370">
        <v>5003.510009765625</v>
      </c>
      <c r="I3519" s="370">
        <v>5201.6449279785156</v>
      </c>
      <c r="M3519" s="371">
        <f t="shared" si="217"/>
        <v>7217.4941894392559</v>
      </c>
      <c r="N3519" s="329">
        <f t="shared" si="218"/>
        <v>3700.5919250488282</v>
      </c>
      <c r="T3519" s="331">
        <v>0</v>
      </c>
      <c r="U3519" s="328">
        <f>VLOOKUP(C3519,METADATA!$J$5:$Q$29,IF(E3519="HI",2,IF(E3519="LO",6,10))+IF(T3519=1,2,IF(D3519=7,1,(IF(WEEKDAY(B3519)=1,2,IF(WEEKDAY(B3519)=7,1,0))))))</f>
        <v>2</v>
      </c>
      <c r="V3519" s="328">
        <f>VLOOKUP(C3519,METADATA!$A$5:$H$29,IF(E3519="HI",2,IF(E3519="LO",6,10))+IF(T3519=1,2,IF(D3519=7,1,(IF(WEEKDAY(B3519)=1,2,IF(WEEKDAY(B3519)=7,1,0))))))</f>
        <v>2</v>
      </c>
    </row>
    <row r="3520" spans="2:22">
      <c r="B3520" s="318">
        <f t="shared" si="219"/>
        <v>46259</v>
      </c>
      <c r="C3520" s="312">
        <v>12</v>
      </c>
      <c r="D3520" s="368">
        <f>IFERROR((INDEX(METADATA!$T$2:$T$20,MATCH(B3520,METADATA!$S$2:$S$20,0))),0)</f>
        <v>0</v>
      </c>
      <c r="E3520" s="312" t="str">
        <f t="shared" si="216"/>
        <v>LO</v>
      </c>
      <c r="F3520" s="369">
        <f>VLOOKUP(C3520,METADATA!$A$5:$H$29,IF(E3520="HI",2,IF(E3520="LO",6,10))+IF(D3520=1,2,IF(D3520=7,1,(IF(WEEKDAY(B3520)=1,2,IF(WEEKDAY(B3520)=7,1,0))))))</f>
        <v>2</v>
      </c>
      <c r="G3520" s="369">
        <f>VLOOKUP(C3520,METADATA!$J$5:$Q$29,IF(E3520="HI",2,IF(E3520="LO",6,10))+IF(D3520=1,2,IF(D3520=7,1,(IF(WEEKDAY(B3520)=1,2,IF(WEEKDAY(B3520)=7,1,0))))))</f>
        <v>2</v>
      </c>
      <c r="H3520" s="370">
        <v>4906.1650390625</v>
      </c>
      <c r="I3520" s="370">
        <v>5161.8599853515625</v>
      </c>
      <c r="M3520" s="371">
        <f t="shared" si="217"/>
        <v>7121.464308616085</v>
      </c>
      <c r="N3520" s="329">
        <f t="shared" si="218"/>
        <v>3690.0104736328126</v>
      </c>
      <c r="T3520" s="331">
        <v>0</v>
      </c>
      <c r="U3520" s="328">
        <f>VLOOKUP(C3520,METADATA!$J$5:$Q$29,IF(E3520="HI",2,IF(E3520="LO",6,10))+IF(T3520=1,2,IF(D3520=7,1,(IF(WEEKDAY(B3520)=1,2,IF(WEEKDAY(B3520)=7,1,0))))))</f>
        <v>2</v>
      </c>
      <c r="V3520" s="328">
        <f>VLOOKUP(C3520,METADATA!$A$5:$H$29,IF(E3520="HI",2,IF(E3520="LO",6,10))+IF(T3520=1,2,IF(D3520=7,1,(IF(WEEKDAY(B3520)=1,2,IF(WEEKDAY(B3520)=7,1,0))))))</f>
        <v>2</v>
      </c>
    </row>
    <row r="3521" spans="2:22">
      <c r="B3521" s="318">
        <f t="shared" si="219"/>
        <v>46259</v>
      </c>
      <c r="C3521" s="312">
        <v>13</v>
      </c>
      <c r="D3521" s="368">
        <f>IFERROR((INDEX(METADATA!$T$2:$T$20,MATCH(B3521,METADATA!$S$2:$S$20,0))),0)</f>
        <v>0</v>
      </c>
      <c r="E3521" s="312" t="str">
        <f t="shared" si="216"/>
        <v>LO</v>
      </c>
      <c r="F3521" s="369">
        <f>VLOOKUP(C3521,METADATA!$A$5:$H$29,IF(E3521="HI",2,IF(E3521="LO",6,10))+IF(D3521=1,2,IF(D3521=7,1,(IF(WEEKDAY(B3521)=1,2,IF(WEEKDAY(B3521)=7,1,0))))))</f>
        <v>2</v>
      </c>
      <c r="G3521" s="369">
        <f>VLOOKUP(C3521,METADATA!$J$5:$Q$29,IF(E3521="HI",2,IF(E3521="LO",6,10))+IF(D3521=1,2,IF(D3521=7,1,(IF(WEEKDAY(B3521)=1,2,IF(WEEKDAY(B3521)=7,1,0))))))</f>
        <v>2</v>
      </c>
      <c r="H3521" s="370">
        <v>6434.3723754882813</v>
      </c>
      <c r="I3521" s="370">
        <v>6209.5250244140625</v>
      </c>
      <c r="M3521" s="371">
        <f t="shared" si="217"/>
        <v>8941.9991554054159</v>
      </c>
      <c r="N3521" s="329">
        <f t="shared" si="218"/>
        <v>4279.2133117675785</v>
      </c>
      <c r="T3521" s="331">
        <v>0</v>
      </c>
      <c r="U3521" s="328">
        <f>VLOOKUP(C3521,METADATA!$J$5:$Q$29,IF(E3521="HI",2,IF(E3521="LO",6,10))+IF(T3521=1,2,IF(D3521=7,1,(IF(WEEKDAY(B3521)=1,2,IF(WEEKDAY(B3521)=7,1,0))))))</f>
        <v>2</v>
      </c>
      <c r="V3521" s="328">
        <f>VLOOKUP(C3521,METADATA!$A$5:$H$29,IF(E3521="HI",2,IF(E3521="LO",6,10))+IF(T3521=1,2,IF(D3521=7,1,(IF(WEEKDAY(B3521)=1,2,IF(WEEKDAY(B3521)=7,1,0))))))</f>
        <v>2</v>
      </c>
    </row>
    <row r="3522" spans="2:22">
      <c r="B3522" s="318">
        <f t="shared" si="219"/>
        <v>46259</v>
      </c>
      <c r="C3522" s="312">
        <v>14</v>
      </c>
      <c r="D3522" s="368">
        <f>IFERROR((INDEX(METADATA!$T$2:$T$20,MATCH(B3522,METADATA!$S$2:$S$20,0))),0)</f>
        <v>0</v>
      </c>
      <c r="E3522" s="312" t="str">
        <f t="shared" si="216"/>
        <v>LO</v>
      </c>
      <c r="F3522" s="369">
        <f>VLOOKUP(C3522,METADATA!$A$5:$H$29,IF(E3522="HI",2,IF(E3522="LO",6,10))+IF(D3522=1,2,IF(D3522=7,1,(IF(WEEKDAY(B3522)=1,2,IF(WEEKDAY(B3522)=7,1,0))))))</f>
        <v>2</v>
      </c>
      <c r="G3522" s="369">
        <f>VLOOKUP(C3522,METADATA!$J$5:$Q$29,IF(E3522="HI",2,IF(E3522="LO",6,10))+IF(D3522=1,2,IF(D3522=7,1,(IF(WEEKDAY(B3522)=1,2,IF(WEEKDAY(B3522)=7,1,0))))))</f>
        <v>2</v>
      </c>
      <c r="H3522" s="370">
        <v>10351.392456054688</v>
      </c>
      <c r="I3522" s="370">
        <v>8483.1725769042969</v>
      </c>
      <c r="M3522" s="371">
        <f t="shared" si="217"/>
        <v>13383.405498930644</v>
      </c>
      <c r="N3522" s="329">
        <f t="shared" si="218"/>
        <v>5377.7548400878914</v>
      </c>
      <c r="T3522" s="331">
        <v>0</v>
      </c>
      <c r="U3522" s="328">
        <f>VLOOKUP(C3522,METADATA!$J$5:$Q$29,IF(E3522="HI",2,IF(E3522="LO",6,10))+IF(T3522=1,2,IF(D3522=7,1,(IF(WEEKDAY(B3522)=1,2,IF(WEEKDAY(B3522)=7,1,0))))))</f>
        <v>2</v>
      </c>
      <c r="V3522" s="328">
        <f>VLOOKUP(C3522,METADATA!$A$5:$H$29,IF(E3522="HI",2,IF(E3522="LO",6,10))+IF(T3522=1,2,IF(D3522=7,1,(IF(WEEKDAY(B3522)=1,2,IF(WEEKDAY(B3522)=7,1,0))))))</f>
        <v>2</v>
      </c>
    </row>
    <row r="3523" spans="2:22">
      <c r="B3523" s="318">
        <f t="shared" si="219"/>
        <v>46259</v>
      </c>
      <c r="C3523" s="312">
        <v>15</v>
      </c>
      <c r="D3523" s="368">
        <f>IFERROR((INDEX(METADATA!$T$2:$T$20,MATCH(B3523,METADATA!$S$2:$S$20,0))),0)</f>
        <v>0</v>
      </c>
      <c r="E3523" s="312" t="str">
        <f t="shared" si="216"/>
        <v>LO</v>
      </c>
      <c r="F3523" s="369">
        <f>VLOOKUP(C3523,METADATA!$A$5:$H$29,IF(E3523="HI",2,IF(E3523="LO",6,10))+IF(D3523=1,2,IF(D3523=7,1,(IF(WEEKDAY(B3523)=1,2,IF(WEEKDAY(B3523)=7,1,0))))))</f>
        <v>2</v>
      </c>
      <c r="G3523" s="369">
        <f>VLOOKUP(C3523,METADATA!$J$5:$Q$29,IF(E3523="HI",2,IF(E3523="LO",6,10))+IF(D3523=1,2,IF(D3523=7,1,(IF(WEEKDAY(B3523)=1,2,IF(WEEKDAY(B3523)=7,1,0))))))</f>
        <v>2</v>
      </c>
      <c r="H3523" s="370">
        <v>10572.83251953125</v>
      </c>
      <c r="I3523" s="370">
        <v>8607.5799865722656</v>
      </c>
      <c r="M3523" s="371">
        <f t="shared" si="217"/>
        <v>13633.60629882266</v>
      </c>
      <c r="N3523" s="329">
        <f t="shared" si="218"/>
        <v>5435.7302307128903</v>
      </c>
      <c r="T3523" s="331">
        <v>0</v>
      </c>
      <c r="U3523" s="328">
        <f>VLOOKUP(C3523,METADATA!$J$5:$Q$29,IF(E3523="HI",2,IF(E3523="LO",6,10))+IF(T3523=1,2,IF(D3523=7,1,(IF(WEEKDAY(B3523)=1,2,IF(WEEKDAY(B3523)=7,1,0))))))</f>
        <v>2</v>
      </c>
      <c r="V3523" s="328">
        <f>VLOOKUP(C3523,METADATA!$A$5:$H$29,IF(E3523="HI",2,IF(E3523="LO",6,10))+IF(T3523=1,2,IF(D3523=7,1,(IF(WEEKDAY(B3523)=1,2,IF(WEEKDAY(B3523)=7,1,0))))))</f>
        <v>2</v>
      </c>
    </row>
    <row r="3524" spans="2:22">
      <c r="B3524" s="318">
        <f t="shared" si="219"/>
        <v>46259</v>
      </c>
      <c r="C3524" s="312">
        <v>16</v>
      </c>
      <c r="D3524" s="368">
        <f>IFERROR((INDEX(METADATA!$T$2:$T$20,MATCH(B3524,METADATA!$S$2:$S$20,0))),0)</f>
        <v>0</v>
      </c>
      <c r="E3524" s="312" t="str">
        <f t="shared" ref="E3524:E3587" si="220">IF(B3524="","",IF(AND(MONTH(B3524)&gt;=MONTH($Z$9),MONTH(B3524)&lt;=MONTH($Z$11)),"HI","LO"))</f>
        <v>LO</v>
      </c>
      <c r="F3524" s="369">
        <f>VLOOKUP(C3524,METADATA!$A$5:$H$29,IF(E3524="HI",2,IF(E3524="LO",6,10))+IF(D3524=1,2,IF(D3524=7,1,(IF(WEEKDAY(B3524)=1,2,IF(WEEKDAY(B3524)=7,1,0))))))</f>
        <v>2</v>
      </c>
      <c r="G3524" s="369">
        <f>VLOOKUP(C3524,METADATA!$J$5:$Q$29,IF(E3524="HI",2,IF(E3524="LO",6,10))+IF(D3524=1,2,IF(D3524=7,1,(IF(WEEKDAY(B3524)=1,2,IF(WEEKDAY(B3524)=7,1,0))))))</f>
        <v>2</v>
      </c>
      <c r="H3524" s="370">
        <v>10981.717498779297</v>
      </c>
      <c r="I3524" s="370">
        <v>8651.4326171875</v>
      </c>
      <c r="M3524" s="371">
        <f t="shared" ref="M3524:M3587" si="221">SQRT(H3524^2+I3524^2)</f>
        <v>13980.17902434483</v>
      </c>
      <c r="N3524" s="329">
        <f t="shared" ref="N3524:N3587" si="222">IF(H3524=0,0,(IF(I3524-(0.3*H3524)&lt;0,0,(I3524-(0.3*H3524)))))</f>
        <v>5356.9173675537113</v>
      </c>
      <c r="T3524" s="331">
        <v>0</v>
      </c>
      <c r="U3524" s="328">
        <f>VLOOKUP(C3524,METADATA!$J$5:$Q$29,IF(E3524="HI",2,IF(E3524="LO",6,10))+IF(T3524=1,2,IF(D3524=7,1,(IF(WEEKDAY(B3524)=1,2,IF(WEEKDAY(B3524)=7,1,0))))))</f>
        <v>2</v>
      </c>
      <c r="V3524" s="328">
        <f>VLOOKUP(C3524,METADATA!$A$5:$H$29,IF(E3524="HI",2,IF(E3524="LO",6,10))+IF(T3524=1,2,IF(D3524=7,1,(IF(WEEKDAY(B3524)=1,2,IF(WEEKDAY(B3524)=7,1,0))))))</f>
        <v>2</v>
      </c>
    </row>
    <row r="3525" spans="2:22">
      <c r="B3525" s="318">
        <f t="shared" si="219"/>
        <v>46259</v>
      </c>
      <c r="C3525" s="312">
        <v>17</v>
      </c>
      <c r="D3525" s="368">
        <f>IFERROR((INDEX(METADATA!$T$2:$T$20,MATCH(B3525,METADATA!$S$2:$S$20,0))),0)</f>
        <v>0</v>
      </c>
      <c r="E3525" s="312" t="str">
        <f t="shared" si="220"/>
        <v>LO</v>
      </c>
      <c r="F3525" s="369">
        <f>VLOOKUP(C3525,METADATA!$A$5:$H$29,IF(E3525="HI",2,IF(E3525="LO",6,10))+IF(D3525=1,2,IF(D3525=7,1,(IF(WEEKDAY(B3525)=1,2,IF(WEEKDAY(B3525)=7,1,0))))))</f>
        <v>2</v>
      </c>
      <c r="G3525" s="369">
        <f>VLOOKUP(C3525,METADATA!$J$5:$Q$29,IF(E3525="HI",2,IF(E3525="LO",6,10))+IF(D3525=1,2,IF(D3525=7,1,(IF(WEEKDAY(B3525)=1,2,IF(WEEKDAY(B3525)=7,1,0))))))</f>
        <v>2</v>
      </c>
      <c r="H3525" s="370">
        <v>11455.652557373047</v>
      </c>
      <c r="I3525" s="370">
        <v>9057.9300537109375</v>
      </c>
      <c r="M3525" s="371">
        <f t="shared" si="221"/>
        <v>14604.043014630142</v>
      </c>
      <c r="N3525" s="329">
        <f t="shared" si="222"/>
        <v>5621.2342864990242</v>
      </c>
      <c r="T3525" s="331">
        <v>0</v>
      </c>
      <c r="U3525" s="328">
        <f>VLOOKUP(C3525,METADATA!$J$5:$Q$29,IF(E3525="HI",2,IF(E3525="LO",6,10))+IF(T3525=1,2,IF(D3525=7,1,(IF(WEEKDAY(B3525)=1,2,IF(WEEKDAY(B3525)=7,1,0))))))</f>
        <v>2</v>
      </c>
      <c r="V3525" s="328">
        <f>VLOOKUP(C3525,METADATA!$A$5:$H$29,IF(E3525="HI",2,IF(E3525="LO",6,10))+IF(T3525=1,2,IF(D3525=7,1,(IF(WEEKDAY(B3525)=1,2,IF(WEEKDAY(B3525)=7,1,0))))))</f>
        <v>2</v>
      </c>
    </row>
    <row r="3526" spans="2:22">
      <c r="B3526" s="318">
        <f t="shared" si="219"/>
        <v>46259</v>
      </c>
      <c r="C3526" s="312">
        <v>18</v>
      </c>
      <c r="D3526" s="368">
        <f>IFERROR((INDEX(METADATA!$T$2:$T$20,MATCH(B3526,METADATA!$S$2:$S$20,0))),0)</f>
        <v>0</v>
      </c>
      <c r="E3526" s="312" t="str">
        <f t="shared" si="220"/>
        <v>LO</v>
      </c>
      <c r="F3526" s="369">
        <f>VLOOKUP(C3526,METADATA!$A$5:$H$29,IF(E3526="HI",2,IF(E3526="LO",6,10))+IF(D3526=1,2,IF(D3526=7,1,(IF(WEEKDAY(B3526)=1,2,IF(WEEKDAY(B3526)=7,1,0))))))</f>
        <v>1</v>
      </c>
      <c r="G3526" s="369">
        <f>VLOOKUP(C3526,METADATA!$J$5:$Q$29,IF(E3526="HI",2,IF(E3526="LO",6,10))+IF(D3526=1,2,IF(D3526=7,1,(IF(WEEKDAY(B3526)=1,2,IF(WEEKDAY(B3526)=7,1,0))))))</f>
        <v>1</v>
      </c>
      <c r="H3526" s="370">
        <v>12925.974975585938</v>
      </c>
      <c r="I3526" s="370">
        <v>9835.8500366210938</v>
      </c>
      <c r="M3526" s="371">
        <f t="shared" si="221"/>
        <v>16242.683737990254</v>
      </c>
      <c r="N3526" s="329">
        <f t="shared" si="222"/>
        <v>5958.0575439453132</v>
      </c>
      <c r="T3526" s="331">
        <v>0</v>
      </c>
      <c r="U3526" s="328">
        <f>VLOOKUP(C3526,METADATA!$J$5:$Q$29,IF(E3526="HI",2,IF(E3526="LO",6,10))+IF(T3526=1,2,IF(D3526=7,1,(IF(WEEKDAY(B3526)=1,2,IF(WEEKDAY(B3526)=7,1,0))))))</f>
        <v>1</v>
      </c>
      <c r="V3526" s="328">
        <f>VLOOKUP(C3526,METADATA!$A$5:$H$29,IF(E3526="HI",2,IF(E3526="LO",6,10))+IF(T3526=1,2,IF(D3526=7,1,(IF(WEEKDAY(B3526)=1,2,IF(WEEKDAY(B3526)=7,1,0))))))</f>
        <v>1</v>
      </c>
    </row>
    <row r="3527" spans="2:22">
      <c r="B3527" s="318">
        <f t="shared" si="219"/>
        <v>46259</v>
      </c>
      <c r="C3527" s="312">
        <v>19</v>
      </c>
      <c r="D3527" s="368">
        <f>IFERROR((INDEX(METADATA!$T$2:$T$20,MATCH(B3527,METADATA!$S$2:$S$20,0))),0)</f>
        <v>0</v>
      </c>
      <c r="E3527" s="312" t="str">
        <f t="shared" si="220"/>
        <v>LO</v>
      </c>
      <c r="F3527" s="369">
        <f>VLOOKUP(C3527,METADATA!$A$5:$H$29,IF(E3527="HI",2,IF(E3527="LO",6,10))+IF(D3527=1,2,IF(D3527=7,1,(IF(WEEKDAY(B3527)=1,2,IF(WEEKDAY(B3527)=7,1,0))))))</f>
        <v>1</v>
      </c>
      <c r="G3527" s="369">
        <f>VLOOKUP(C3527,METADATA!$J$5:$Q$29,IF(E3527="HI",2,IF(E3527="LO",6,10))+IF(D3527=1,2,IF(D3527=7,1,(IF(WEEKDAY(B3527)=1,2,IF(WEEKDAY(B3527)=7,1,0))))))</f>
        <v>1</v>
      </c>
      <c r="H3527" s="370">
        <v>13032.274780273438</v>
      </c>
      <c r="I3527" s="370">
        <v>9925</v>
      </c>
      <c r="M3527" s="371">
        <f t="shared" si="221"/>
        <v>16381.264021697198</v>
      </c>
      <c r="N3527" s="329">
        <f t="shared" si="222"/>
        <v>6015.3175659179688</v>
      </c>
      <c r="T3527" s="331">
        <v>0</v>
      </c>
      <c r="U3527" s="328">
        <f>VLOOKUP(C3527,METADATA!$J$5:$Q$29,IF(E3527="HI",2,IF(E3527="LO",6,10))+IF(T3527=1,2,IF(D3527=7,1,(IF(WEEKDAY(B3527)=1,2,IF(WEEKDAY(B3527)=7,1,0))))))</f>
        <v>1</v>
      </c>
      <c r="V3527" s="328">
        <f>VLOOKUP(C3527,METADATA!$A$5:$H$29,IF(E3527="HI",2,IF(E3527="LO",6,10))+IF(T3527=1,2,IF(D3527=7,1,(IF(WEEKDAY(B3527)=1,2,IF(WEEKDAY(B3527)=7,1,0))))))</f>
        <v>1</v>
      </c>
    </row>
    <row r="3528" spans="2:22">
      <c r="B3528" s="318">
        <f t="shared" si="219"/>
        <v>46259</v>
      </c>
      <c r="C3528" s="312">
        <v>20</v>
      </c>
      <c r="D3528" s="368">
        <f>IFERROR((INDEX(METADATA!$T$2:$T$20,MATCH(B3528,METADATA!$S$2:$S$20,0))),0)</f>
        <v>0</v>
      </c>
      <c r="E3528" s="312" t="str">
        <f t="shared" si="220"/>
        <v>LO</v>
      </c>
      <c r="F3528" s="369">
        <f>VLOOKUP(C3528,METADATA!$A$5:$H$29,IF(E3528="HI",2,IF(E3528="LO",6,10))+IF(D3528=1,2,IF(D3528=7,1,(IF(WEEKDAY(B3528)=1,2,IF(WEEKDAY(B3528)=7,1,0))))))</f>
        <v>1</v>
      </c>
      <c r="G3528" s="369">
        <f>VLOOKUP(C3528,METADATA!$J$5:$Q$29,IF(E3528="HI",2,IF(E3528="LO",6,10))+IF(D3528=1,2,IF(D3528=7,1,(IF(WEEKDAY(B3528)=1,2,IF(WEEKDAY(B3528)=7,1,0))))))</f>
        <v>1</v>
      </c>
      <c r="H3528" s="370">
        <v>12925.375122070313</v>
      </c>
      <c r="I3528" s="370">
        <v>9854.3500366210938</v>
      </c>
      <c r="M3528" s="371">
        <f t="shared" si="221"/>
        <v>16253.416154473136</v>
      </c>
      <c r="N3528" s="329">
        <f t="shared" si="222"/>
        <v>5976.7375000000002</v>
      </c>
      <c r="T3528" s="331">
        <v>0</v>
      </c>
      <c r="U3528" s="328">
        <f>VLOOKUP(C3528,METADATA!$J$5:$Q$29,IF(E3528="HI",2,IF(E3528="LO",6,10))+IF(T3528=1,2,IF(D3528=7,1,(IF(WEEKDAY(B3528)=1,2,IF(WEEKDAY(B3528)=7,1,0))))))</f>
        <v>1</v>
      </c>
      <c r="V3528" s="328">
        <f>VLOOKUP(C3528,METADATA!$A$5:$H$29,IF(E3528="HI",2,IF(E3528="LO",6,10))+IF(T3528=1,2,IF(D3528=7,1,(IF(WEEKDAY(B3528)=1,2,IF(WEEKDAY(B3528)=7,1,0))))))</f>
        <v>1</v>
      </c>
    </row>
    <row r="3529" spans="2:22">
      <c r="B3529" s="318">
        <f t="shared" si="219"/>
        <v>46259</v>
      </c>
      <c r="C3529" s="312">
        <v>21</v>
      </c>
      <c r="D3529" s="368">
        <f>IFERROR((INDEX(METADATA!$T$2:$T$20,MATCH(B3529,METADATA!$S$2:$S$20,0))),0)</f>
        <v>0</v>
      </c>
      <c r="E3529" s="312" t="str">
        <f t="shared" si="220"/>
        <v>LO</v>
      </c>
      <c r="F3529" s="369">
        <f>VLOOKUP(C3529,METADATA!$A$5:$H$29,IF(E3529="HI",2,IF(E3529="LO",6,10))+IF(D3529=1,2,IF(D3529=7,1,(IF(WEEKDAY(B3529)=1,2,IF(WEEKDAY(B3529)=7,1,0))))))</f>
        <v>2</v>
      </c>
      <c r="G3529" s="369">
        <f>VLOOKUP(C3529,METADATA!$J$5:$Q$29,IF(E3529="HI",2,IF(E3529="LO",6,10))+IF(D3529=1,2,IF(D3529=7,1,(IF(WEEKDAY(B3529)=1,2,IF(WEEKDAY(B3529)=7,1,0))))))</f>
        <v>2</v>
      </c>
      <c r="H3529" s="370">
        <v>11956.025146484375</v>
      </c>
      <c r="I3529" s="370">
        <v>9560.9474182128906</v>
      </c>
      <c r="M3529" s="371">
        <f t="shared" si="221"/>
        <v>15308.763922577109</v>
      </c>
      <c r="N3529" s="329">
        <f t="shared" si="222"/>
        <v>5974.1398742675783</v>
      </c>
      <c r="T3529" s="331">
        <v>0</v>
      </c>
      <c r="U3529" s="328">
        <f>VLOOKUP(C3529,METADATA!$J$5:$Q$29,IF(E3529="HI",2,IF(E3529="LO",6,10))+IF(T3529=1,2,IF(D3529=7,1,(IF(WEEKDAY(B3529)=1,2,IF(WEEKDAY(B3529)=7,1,0))))))</f>
        <v>2</v>
      </c>
      <c r="V3529" s="328">
        <f>VLOOKUP(C3529,METADATA!$A$5:$H$29,IF(E3529="HI",2,IF(E3529="LO",6,10))+IF(T3529=1,2,IF(D3529=7,1,(IF(WEEKDAY(B3529)=1,2,IF(WEEKDAY(B3529)=7,1,0))))))</f>
        <v>2</v>
      </c>
    </row>
    <row r="3530" spans="2:22">
      <c r="B3530" s="318">
        <f t="shared" si="219"/>
        <v>46259</v>
      </c>
      <c r="C3530" s="312">
        <v>22</v>
      </c>
      <c r="D3530" s="368">
        <f>IFERROR((INDEX(METADATA!$T$2:$T$20,MATCH(B3530,METADATA!$S$2:$S$20,0))),0)</f>
        <v>0</v>
      </c>
      <c r="E3530" s="312" t="str">
        <f t="shared" si="220"/>
        <v>LO</v>
      </c>
      <c r="F3530" s="369">
        <f>VLOOKUP(C3530,METADATA!$A$5:$H$29,IF(E3530="HI",2,IF(E3530="LO",6,10))+IF(D3530=1,2,IF(D3530=7,1,(IF(WEEKDAY(B3530)=1,2,IF(WEEKDAY(B3530)=7,1,0))))))</f>
        <v>3</v>
      </c>
      <c r="G3530" s="369">
        <f>VLOOKUP(C3530,METADATA!$J$5:$Q$29,IF(E3530="HI",2,IF(E3530="LO",6,10))+IF(D3530=1,2,IF(D3530=7,1,(IF(WEEKDAY(B3530)=1,2,IF(WEEKDAY(B3530)=7,1,0))))))</f>
        <v>3</v>
      </c>
      <c r="H3530" s="370">
        <v>11394.574951171875</v>
      </c>
      <c r="I3530" s="370">
        <v>9286.3625183105469</v>
      </c>
      <c r="M3530" s="371">
        <f t="shared" si="221"/>
        <v>14699.417238086568</v>
      </c>
      <c r="N3530" s="329">
        <f t="shared" si="222"/>
        <v>5867.9900329589846</v>
      </c>
      <c r="T3530" s="331">
        <v>0</v>
      </c>
      <c r="U3530" s="328">
        <f>VLOOKUP(C3530,METADATA!$J$5:$Q$29,IF(E3530="HI",2,IF(E3530="LO",6,10))+IF(T3530=1,2,IF(D3530=7,1,(IF(WEEKDAY(B3530)=1,2,IF(WEEKDAY(B3530)=7,1,0))))))</f>
        <v>3</v>
      </c>
      <c r="V3530" s="328">
        <f>VLOOKUP(C3530,METADATA!$A$5:$H$29,IF(E3530="HI",2,IF(E3530="LO",6,10))+IF(T3530=1,2,IF(D3530=7,1,(IF(WEEKDAY(B3530)=1,2,IF(WEEKDAY(B3530)=7,1,0))))))</f>
        <v>3</v>
      </c>
    </row>
    <row r="3531" spans="2:22">
      <c r="B3531" s="318">
        <f t="shared" si="219"/>
        <v>46259</v>
      </c>
      <c r="C3531" s="312">
        <v>23</v>
      </c>
      <c r="D3531" s="368">
        <f>IFERROR((INDEX(METADATA!$T$2:$T$20,MATCH(B3531,METADATA!$S$2:$S$20,0))),0)</f>
        <v>0</v>
      </c>
      <c r="E3531" s="312" t="str">
        <f t="shared" si="220"/>
        <v>LO</v>
      </c>
      <c r="F3531" s="369">
        <f>VLOOKUP(C3531,METADATA!$A$5:$H$29,IF(E3531="HI",2,IF(E3531="LO",6,10))+IF(D3531=1,2,IF(D3531=7,1,(IF(WEEKDAY(B3531)=1,2,IF(WEEKDAY(B3531)=7,1,0))))))</f>
        <v>3</v>
      </c>
      <c r="G3531" s="369">
        <f>VLOOKUP(C3531,METADATA!$J$5:$Q$29,IF(E3531="HI",2,IF(E3531="LO",6,10))+IF(D3531=1,2,IF(D3531=7,1,(IF(WEEKDAY(B3531)=1,2,IF(WEEKDAY(B3531)=7,1,0))))))</f>
        <v>3</v>
      </c>
      <c r="H3531" s="370">
        <v>11034.234893798828</v>
      </c>
      <c r="I3531" s="370">
        <v>9125.6374816894531</v>
      </c>
      <c r="M3531" s="371">
        <f t="shared" si="221"/>
        <v>14318.924510546978</v>
      </c>
      <c r="N3531" s="329">
        <f t="shared" si="222"/>
        <v>5815.3670135498051</v>
      </c>
      <c r="T3531" s="331">
        <v>0</v>
      </c>
      <c r="U3531" s="328">
        <f>VLOOKUP(C3531,METADATA!$J$5:$Q$29,IF(E3531="HI",2,IF(E3531="LO",6,10))+IF(T3531=1,2,IF(D3531=7,1,(IF(WEEKDAY(B3531)=1,2,IF(WEEKDAY(B3531)=7,1,0))))))</f>
        <v>3</v>
      </c>
      <c r="V3531" s="328">
        <f>VLOOKUP(C3531,METADATA!$A$5:$H$29,IF(E3531="HI",2,IF(E3531="LO",6,10))+IF(T3531=1,2,IF(D3531=7,1,(IF(WEEKDAY(B3531)=1,2,IF(WEEKDAY(B3531)=7,1,0))))))</f>
        <v>3</v>
      </c>
    </row>
    <row r="3532" spans="2:22">
      <c r="B3532" s="318">
        <f t="shared" si="219"/>
        <v>46260</v>
      </c>
      <c r="C3532" s="312">
        <v>0</v>
      </c>
      <c r="D3532" s="368">
        <f>IFERROR((INDEX(METADATA!$T$2:$T$20,MATCH(B3532,METADATA!$S$2:$S$20,0))),0)</f>
        <v>0</v>
      </c>
      <c r="E3532" s="312" t="str">
        <f t="shared" si="220"/>
        <v>LO</v>
      </c>
      <c r="F3532" s="369">
        <f>VLOOKUP(C3532,METADATA!$A$5:$H$29,IF(E3532="HI",2,IF(E3532="LO",6,10))+IF(D3532=1,2,IF(D3532=7,1,(IF(WEEKDAY(B3532)=1,2,IF(WEEKDAY(B3532)=7,1,0))))))</f>
        <v>3</v>
      </c>
      <c r="G3532" s="369">
        <f>VLOOKUP(C3532,METADATA!$J$5:$Q$29,IF(E3532="HI",2,IF(E3532="LO",6,10))+IF(D3532=1,2,IF(D3532=7,1,(IF(WEEKDAY(B3532)=1,2,IF(WEEKDAY(B3532)=7,1,0))))))</f>
        <v>3</v>
      </c>
      <c r="H3532" s="370">
        <v>9805.7698669433594</v>
      </c>
      <c r="I3532" s="370">
        <v>8363.2899475097656</v>
      </c>
      <c r="M3532" s="371">
        <f t="shared" si="221"/>
        <v>12887.891271638362</v>
      </c>
      <c r="N3532" s="329">
        <f t="shared" si="222"/>
        <v>5421.558987426758</v>
      </c>
      <c r="T3532" s="331">
        <v>0</v>
      </c>
      <c r="U3532" s="328">
        <f>VLOOKUP(C3532,METADATA!$J$5:$Q$29,IF(E3532="HI",2,IF(E3532="LO",6,10))+IF(T3532=1,2,IF(D3532=7,1,(IF(WEEKDAY(B3532)=1,2,IF(WEEKDAY(B3532)=7,1,0))))))</f>
        <v>3</v>
      </c>
      <c r="V3532" s="328">
        <f>VLOOKUP(C3532,METADATA!$A$5:$H$29,IF(E3532="HI",2,IF(E3532="LO",6,10))+IF(T3532=1,2,IF(D3532=7,1,(IF(WEEKDAY(B3532)=1,2,IF(WEEKDAY(B3532)=7,1,0))))))</f>
        <v>3</v>
      </c>
    </row>
    <row r="3533" spans="2:22">
      <c r="B3533" s="318">
        <f t="shared" si="219"/>
        <v>46260</v>
      </c>
      <c r="C3533" s="312">
        <v>1</v>
      </c>
      <c r="D3533" s="368">
        <f>IFERROR((INDEX(METADATA!$T$2:$T$20,MATCH(B3533,METADATA!$S$2:$S$20,0))),0)</f>
        <v>0</v>
      </c>
      <c r="E3533" s="312" t="str">
        <f t="shared" si="220"/>
        <v>LO</v>
      </c>
      <c r="F3533" s="369">
        <f>VLOOKUP(C3533,METADATA!$A$5:$H$29,IF(E3533="HI",2,IF(E3533="LO",6,10))+IF(D3533=1,2,IF(D3533=7,1,(IF(WEEKDAY(B3533)=1,2,IF(WEEKDAY(B3533)=7,1,0))))))</f>
        <v>3</v>
      </c>
      <c r="G3533" s="369">
        <f>VLOOKUP(C3533,METADATA!$J$5:$Q$29,IF(E3533="HI",2,IF(E3533="LO",6,10))+IF(D3533=1,2,IF(D3533=7,1,(IF(WEEKDAY(B3533)=1,2,IF(WEEKDAY(B3533)=7,1,0))))))</f>
        <v>3</v>
      </c>
      <c r="H3533" s="370">
        <v>6019.6239624023438</v>
      </c>
      <c r="I3533" s="370">
        <v>6179.2020568847656</v>
      </c>
      <c r="M3533" s="371">
        <f t="shared" si="221"/>
        <v>8626.6106153307628</v>
      </c>
      <c r="N3533" s="329">
        <f t="shared" si="222"/>
        <v>4373.3148681640623</v>
      </c>
      <c r="T3533" s="331">
        <v>0</v>
      </c>
      <c r="U3533" s="328">
        <f>VLOOKUP(C3533,METADATA!$J$5:$Q$29,IF(E3533="HI",2,IF(E3533="LO",6,10))+IF(T3533=1,2,IF(D3533=7,1,(IF(WEEKDAY(B3533)=1,2,IF(WEEKDAY(B3533)=7,1,0))))))</f>
        <v>3</v>
      </c>
      <c r="V3533" s="328">
        <f>VLOOKUP(C3533,METADATA!$A$5:$H$29,IF(E3533="HI",2,IF(E3533="LO",6,10))+IF(T3533=1,2,IF(D3533=7,1,(IF(WEEKDAY(B3533)=1,2,IF(WEEKDAY(B3533)=7,1,0))))))</f>
        <v>3</v>
      </c>
    </row>
    <row r="3534" spans="2:22">
      <c r="B3534" s="318">
        <f t="shared" si="219"/>
        <v>46260</v>
      </c>
      <c r="C3534" s="312">
        <v>2</v>
      </c>
      <c r="D3534" s="368">
        <f>IFERROR((INDEX(METADATA!$T$2:$T$20,MATCH(B3534,METADATA!$S$2:$S$20,0))),0)</f>
        <v>0</v>
      </c>
      <c r="E3534" s="312" t="str">
        <f t="shared" si="220"/>
        <v>LO</v>
      </c>
      <c r="F3534" s="369">
        <f>VLOOKUP(C3534,METADATA!$A$5:$H$29,IF(E3534="HI",2,IF(E3534="LO",6,10))+IF(D3534=1,2,IF(D3534=7,1,(IF(WEEKDAY(B3534)=1,2,IF(WEEKDAY(B3534)=7,1,0))))))</f>
        <v>3</v>
      </c>
      <c r="G3534" s="369">
        <f>VLOOKUP(C3534,METADATA!$J$5:$Q$29,IF(E3534="HI",2,IF(E3534="LO",6,10))+IF(D3534=1,2,IF(D3534=7,1,(IF(WEEKDAY(B3534)=1,2,IF(WEEKDAY(B3534)=7,1,0))))))</f>
        <v>3</v>
      </c>
      <c r="H3534" s="370">
        <v>5863.8674621582031</v>
      </c>
      <c r="I3534" s="370">
        <v>6117.7674865722656</v>
      </c>
      <c r="M3534" s="371">
        <f t="shared" si="221"/>
        <v>8474.1973444992673</v>
      </c>
      <c r="N3534" s="329">
        <f t="shared" si="222"/>
        <v>4358.6072479248051</v>
      </c>
      <c r="T3534" s="331">
        <v>0</v>
      </c>
      <c r="U3534" s="328">
        <f>VLOOKUP(C3534,METADATA!$J$5:$Q$29,IF(E3534="HI",2,IF(E3534="LO",6,10))+IF(T3534=1,2,IF(D3534=7,1,(IF(WEEKDAY(B3534)=1,2,IF(WEEKDAY(B3534)=7,1,0))))))</f>
        <v>3</v>
      </c>
      <c r="V3534" s="328">
        <f>VLOOKUP(C3534,METADATA!$A$5:$H$29,IF(E3534="HI",2,IF(E3534="LO",6,10))+IF(T3534=1,2,IF(D3534=7,1,(IF(WEEKDAY(B3534)=1,2,IF(WEEKDAY(B3534)=7,1,0))))))</f>
        <v>3</v>
      </c>
    </row>
    <row r="3535" spans="2:22">
      <c r="B3535" s="318">
        <f t="shared" si="219"/>
        <v>46260</v>
      </c>
      <c r="C3535" s="312">
        <v>3</v>
      </c>
      <c r="D3535" s="368">
        <f>IFERROR((INDEX(METADATA!$T$2:$T$20,MATCH(B3535,METADATA!$S$2:$S$20,0))),0)</f>
        <v>0</v>
      </c>
      <c r="E3535" s="312" t="str">
        <f t="shared" si="220"/>
        <v>LO</v>
      </c>
      <c r="F3535" s="369">
        <f>VLOOKUP(C3535,METADATA!$A$5:$H$29,IF(E3535="HI",2,IF(E3535="LO",6,10))+IF(D3535=1,2,IF(D3535=7,1,(IF(WEEKDAY(B3535)=1,2,IF(WEEKDAY(B3535)=7,1,0))))))</f>
        <v>3</v>
      </c>
      <c r="G3535" s="369">
        <f>VLOOKUP(C3535,METADATA!$J$5:$Q$29,IF(E3535="HI",2,IF(E3535="LO",6,10))+IF(D3535=1,2,IF(D3535=7,1,(IF(WEEKDAY(B3535)=1,2,IF(WEEKDAY(B3535)=7,1,0))))))</f>
        <v>3</v>
      </c>
      <c r="H3535" s="370">
        <v>5764.9099426269531</v>
      </c>
      <c r="I3535" s="370">
        <v>6098.114990234375</v>
      </c>
      <c r="M3535" s="371">
        <f t="shared" si="221"/>
        <v>8391.7336159294464</v>
      </c>
      <c r="N3535" s="329">
        <f t="shared" si="222"/>
        <v>4368.6420074462894</v>
      </c>
      <c r="T3535" s="331">
        <v>0</v>
      </c>
      <c r="U3535" s="328">
        <f>VLOOKUP(C3535,METADATA!$J$5:$Q$29,IF(E3535="HI",2,IF(E3535="LO",6,10))+IF(T3535=1,2,IF(D3535=7,1,(IF(WEEKDAY(B3535)=1,2,IF(WEEKDAY(B3535)=7,1,0))))))</f>
        <v>3</v>
      </c>
      <c r="V3535" s="328">
        <f>VLOOKUP(C3535,METADATA!$A$5:$H$29,IF(E3535="HI",2,IF(E3535="LO",6,10))+IF(T3535=1,2,IF(D3535=7,1,(IF(WEEKDAY(B3535)=1,2,IF(WEEKDAY(B3535)=7,1,0))))))</f>
        <v>3</v>
      </c>
    </row>
    <row r="3536" spans="2:22">
      <c r="B3536" s="318">
        <f t="shared" si="219"/>
        <v>46260</v>
      </c>
      <c r="C3536" s="312">
        <v>4</v>
      </c>
      <c r="D3536" s="368">
        <f>IFERROR((INDEX(METADATA!$T$2:$T$20,MATCH(B3536,METADATA!$S$2:$S$20,0))),0)</f>
        <v>0</v>
      </c>
      <c r="E3536" s="312" t="str">
        <f t="shared" si="220"/>
        <v>LO</v>
      </c>
      <c r="F3536" s="369">
        <f>VLOOKUP(C3536,METADATA!$A$5:$H$29,IF(E3536="HI",2,IF(E3536="LO",6,10))+IF(D3536=1,2,IF(D3536=7,1,(IF(WEEKDAY(B3536)=1,2,IF(WEEKDAY(B3536)=7,1,0))))))</f>
        <v>3</v>
      </c>
      <c r="G3536" s="369">
        <f>VLOOKUP(C3536,METADATA!$J$5:$Q$29,IF(E3536="HI",2,IF(E3536="LO",6,10))+IF(D3536=1,2,IF(D3536=7,1,(IF(WEEKDAY(B3536)=1,2,IF(WEEKDAY(B3536)=7,1,0))))))</f>
        <v>3</v>
      </c>
      <c r="H3536" s="370">
        <v>5548.9050598144531</v>
      </c>
      <c r="I3536" s="370">
        <v>5911.8873901367188</v>
      </c>
      <c r="M3536" s="371">
        <f t="shared" si="221"/>
        <v>8108.0675796697687</v>
      </c>
      <c r="N3536" s="329">
        <f t="shared" si="222"/>
        <v>4247.2158721923824</v>
      </c>
      <c r="T3536" s="331">
        <v>0</v>
      </c>
      <c r="U3536" s="328">
        <f>VLOOKUP(C3536,METADATA!$J$5:$Q$29,IF(E3536="HI",2,IF(E3536="LO",6,10))+IF(T3536=1,2,IF(D3536=7,1,(IF(WEEKDAY(B3536)=1,2,IF(WEEKDAY(B3536)=7,1,0))))))</f>
        <v>3</v>
      </c>
      <c r="V3536" s="328">
        <f>VLOOKUP(C3536,METADATA!$A$5:$H$29,IF(E3536="HI",2,IF(E3536="LO",6,10))+IF(T3536=1,2,IF(D3536=7,1,(IF(WEEKDAY(B3536)=1,2,IF(WEEKDAY(B3536)=7,1,0))))))</f>
        <v>3</v>
      </c>
    </row>
    <row r="3537" spans="2:22">
      <c r="B3537" s="318">
        <f t="shared" si="219"/>
        <v>46260</v>
      </c>
      <c r="C3537" s="312">
        <v>5</v>
      </c>
      <c r="D3537" s="368">
        <f>IFERROR((INDEX(METADATA!$T$2:$T$20,MATCH(B3537,METADATA!$S$2:$S$20,0))),0)</f>
        <v>0</v>
      </c>
      <c r="E3537" s="312" t="str">
        <f t="shared" si="220"/>
        <v>LO</v>
      </c>
      <c r="F3537" s="369">
        <f>VLOOKUP(C3537,METADATA!$A$5:$H$29,IF(E3537="HI",2,IF(E3537="LO",6,10))+IF(D3537=1,2,IF(D3537=7,1,(IF(WEEKDAY(B3537)=1,2,IF(WEEKDAY(B3537)=7,1,0))))))</f>
        <v>3</v>
      </c>
      <c r="G3537" s="369">
        <f>VLOOKUP(C3537,METADATA!$J$5:$Q$29,IF(E3537="HI",2,IF(E3537="LO",6,10))+IF(D3537=1,2,IF(D3537=7,1,(IF(WEEKDAY(B3537)=1,2,IF(WEEKDAY(B3537)=7,1,0))))))</f>
        <v>3</v>
      </c>
      <c r="H3537" s="370">
        <v>5659.1249389648438</v>
      </c>
      <c r="I3537" s="370">
        <v>5851.6974182128906</v>
      </c>
      <c r="M3537" s="371">
        <f t="shared" si="221"/>
        <v>8140.5195011825417</v>
      </c>
      <c r="N3537" s="329">
        <f t="shared" si="222"/>
        <v>4153.9599365234371</v>
      </c>
      <c r="T3537" s="331">
        <v>0</v>
      </c>
      <c r="U3537" s="328">
        <f>VLOOKUP(C3537,METADATA!$J$5:$Q$29,IF(E3537="HI",2,IF(E3537="LO",6,10))+IF(T3537=1,2,IF(D3537=7,1,(IF(WEEKDAY(B3537)=1,2,IF(WEEKDAY(B3537)=7,1,0))))))</f>
        <v>3</v>
      </c>
      <c r="V3537" s="328">
        <f>VLOOKUP(C3537,METADATA!$A$5:$H$29,IF(E3537="HI",2,IF(E3537="LO",6,10))+IF(T3537=1,2,IF(D3537=7,1,(IF(WEEKDAY(B3537)=1,2,IF(WEEKDAY(B3537)=7,1,0))))))</f>
        <v>3</v>
      </c>
    </row>
    <row r="3538" spans="2:22">
      <c r="B3538" s="318">
        <f t="shared" si="219"/>
        <v>46260</v>
      </c>
      <c r="C3538" s="312">
        <v>6</v>
      </c>
      <c r="D3538" s="368">
        <f>IFERROR((INDEX(METADATA!$T$2:$T$20,MATCH(B3538,METADATA!$S$2:$S$20,0))),0)</f>
        <v>0</v>
      </c>
      <c r="E3538" s="312" t="str">
        <f t="shared" si="220"/>
        <v>LO</v>
      </c>
      <c r="F3538" s="369">
        <f>VLOOKUP(C3538,METADATA!$A$5:$H$29,IF(E3538="HI",2,IF(E3538="LO",6,10))+IF(D3538=1,2,IF(D3538=7,1,(IF(WEEKDAY(B3538)=1,2,IF(WEEKDAY(B3538)=7,1,0))))))</f>
        <v>2</v>
      </c>
      <c r="G3538" s="369">
        <f>VLOOKUP(C3538,METADATA!$J$5:$Q$29,IF(E3538="HI",2,IF(E3538="LO",6,10))+IF(D3538=1,2,IF(D3538=7,1,(IF(WEEKDAY(B3538)=1,2,IF(WEEKDAY(B3538)=7,1,0))))))</f>
        <v>2</v>
      </c>
      <c r="H3538" s="370">
        <v>6467.0750122070313</v>
      </c>
      <c r="I3538" s="370">
        <v>6295.9073181152344</v>
      </c>
      <c r="M3538" s="371">
        <f t="shared" si="221"/>
        <v>9025.6029256670445</v>
      </c>
      <c r="N3538" s="329">
        <f t="shared" si="222"/>
        <v>4355.7848144531254</v>
      </c>
      <c r="T3538" s="331">
        <v>0</v>
      </c>
      <c r="U3538" s="328">
        <f>VLOOKUP(C3538,METADATA!$J$5:$Q$29,IF(E3538="HI",2,IF(E3538="LO",6,10))+IF(T3538=1,2,IF(D3538=7,1,(IF(WEEKDAY(B3538)=1,2,IF(WEEKDAY(B3538)=7,1,0))))))</f>
        <v>2</v>
      </c>
      <c r="V3538" s="328">
        <f>VLOOKUP(C3538,METADATA!$A$5:$H$29,IF(E3538="HI",2,IF(E3538="LO",6,10))+IF(T3538=1,2,IF(D3538=7,1,(IF(WEEKDAY(B3538)=1,2,IF(WEEKDAY(B3538)=7,1,0))))))</f>
        <v>2</v>
      </c>
    </row>
    <row r="3539" spans="2:22">
      <c r="B3539" s="318">
        <f t="shared" si="219"/>
        <v>46260</v>
      </c>
      <c r="C3539" s="312">
        <v>7</v>
      </c>
      <c r="D3539" s="368">
        <f>IFERROR((INDEX(METADATA!$T$2:$T$20,MATCH(B3539,METADATA!$S$2:$S$20,0))),0)</f>
        <v>0</v>
      </c>
      <c r="E3539" s="312" t="str">
        <f t="shared" si="220"/>
        <v>LO</v>
      </c>
      <c r="F3539" s="369">
        <f>VLOOKUP(C3539,METADATA!$A$5:$H$29,IF(E3539="HI",2,IF(E3539="LO",6,10))+IF(D3539=1,2,IF(D3539=7,1,(IF(WEEKDAY(B3539)=1,2,IF(WEEKDAY(B3539)=7,1,0))))))</f>
        <v>1</v>
      </c>
      <c r="G3539" s="369">
        <f>VLOOKUP(C3539,METADATA!$J$5:$Q$29,IF(E3539="HI",2,IF(E3539="LO",6,10))+IF(D3539=1,2,IF(D3539=7,1,(IF(WEEKDAY(B3539)=1,2,IF(WEEKDAY(B3539)=7,1,0))))))</f>
        <v>1</v>
      </c>
      <c r="H3539" s="370">
        <v>5738.4098510742188</v>
      </c>
      <c r="I3539" s="370">
        <v>5884.3548583984375</v>
      </c>
      <c r="M3539" s="371">
        <f t="shared" si="221"/>
        <v>8219.1836406338389</v>
      </c>
      <c r="N3539" s="329">
        <f t="shared" si="222"/>
        <v>4162.8319030761722</v>
      </c>
      <c r="T3539" s="331">
        <v>0</v>
      </c>
      <c r="U3539" s="328">
        <f>VLOOKUP(C3539,METADATA!$J$5:$Q$29,IF(E3539="HI",2,IF(E3539="LO",6,10))+IF(T3539=1,2,IF(D3539=7,1,(IF(WEEKDAY(B3539)=1,2,IF(WEEKDAY(B3539)=7,1,0))))))</f>
        <v>1</v>
      </c>
      <c r="V3539" s="328">
        <f>VLOOKUP(C3539,METADATA!$A$5:$H$29,IF(E3539="HI",2,IF(E3539="LO",6,10))+IF(T3539=1,2,IF(D3539=7,1,(IF(WEEKDAY(B3539)=1,2,IF(WEEKDAY(B3539)=7,1,0))))))</f>
        <v>1</v>
      </c>
    </row>
    <row r="3540" spans="2:22">
      <c r="B3540" s="318">
        <f t="shared" si="219"/>
        <v>46260</v>
      </c>
      <c r="C3540" s="312">
        <v>8</v>
      </c>
      <c r="D3540" s="368">
        <f>IFERROR((INDEX(METADATA!$T$2:$T$20,MATCH(B3540,METADATA!$S$2:$S$20,0))),0)</f>
        <v>0</v>
      </c>
      <c r="E3540" s="312" t="str">
        <f t="shared" si="220"/>
        <v>LO</v>
      </c>
      <c r="F3540" s="369">
        <f>VLOOKUP(C3540,METADATA!$A$5:$H$29,IF(E3540="HI",2,IF(E3540="LO",6,10))+IF(D3540=1,2,IF(D3540=7,1,(IF(WEEKDAY(B3540)=1,2,IF(WEEKDAY(B3540)=7,1,0))))))</f>
        <v>1</v>
      </c>
      <c r="G3540" s="369">
        <f>VLOOKUP(C3540,METADATA!$J$5:$Q$29,IF(E3540="HI",2,IF(E3540="LO",6,10))+IF(D3540=1,2,IF(D3540=7,1,(IF(WEEKDAY(B3540)=1,2,IF(WEEKDAY(B3540)=7,1,0))))))</f>
        <v>1</v>
      </c>
      <c r="H3540" s="370">
        <v>5987.0574645996094</v>
      </c>
      <c r="I3540" s="370">
        <v>6105.527587890625</v>
      </c>
      <c r="M3540" s="371">
        <f t="shared" si="221"/>
        <v>8551.159231993719</v>
      </c>
      <c r="N3540" s="329">
        <f t="shared" si="222"/>
        <v>4309.4103485107426</v>
      </c>
      <c r="T3540" s="331">
        <v>0</v>
      </c>
      <c r="U3540" s="328">
        <f>VLOOKUP(C3540,METADATA!$J$5:$Q$29,IF(E3540="HI",2,IF(E3540="LO",6,10))+IF(T3540=1,2,IF(D3540=7,1,(IF(WEEKDAY(B3540)=1,2,IF(WEEKDAY(B3540)=7,1,0))))))</f>
        <v>1</v>
      </c>
      <c r="V3540" s="328">
        <f>VLOOKUP(C3540,METADATA!$A$5:$H$29,IF(E3540="HI",2,IF(E3540="LO",6,10))+IF(T3540=1,2,IF(D3540=7,1,(IF(WEEKDAY(B3540)=1,2,IF(WEEKDAY(B3540)=7,1,0))))))</f>
        <v>1</v>
      </c>
    </row>
    <row r="3541" spans="2:22">
      <c r="B3541" s="318">
        <f t="shared" si="219"/>
        <v>46260</v>
      </c>
      <c r="C3541" s="312">
        <v>9</v>
      </c>
      <c r="D3541" s="368">
        <f>IFERROR((INDEX(METADATA!$T$2:$T$20,MATCH(B3541,METADATA!$S$2:$S$20,0))),0)</f>
        <v>0</v>
      </c>
      <c r="E3541" s="312" t="str">
        <f t="shared" si="220"/>
        <v>LO</v>
      </c>
      <c r="F3541" s="369">
        <f>VLOOKUP(C3541,METADATA!$A$5:$H$29,IF(E3541="HI",2,IF(E3541="LO",6,10))+IF(D3541=1,2,IF(D3541=7,1,(IF(WEEKDAY(B3541)=1,2,IF(WEEKDAY(B3541)=7,1,0))))))</f>
        <v>2</v>
      </c>
      <c r="G3541" s="369">
        <f>VLOOKUP(C3541,METADATA!$J$5:$Q$29,IF(E3541="HI",2,IF(E3541="LO",6,10))+IF(D3541=1,2,IF(D3541=7,1,(IF(WEEKDAY(B3541)=1,2,IF(WEEKDAY(B3541)=7,1,0))))))</f>
        <v>2</v>
      </c>
      <c r="H3541" s="370">
        <v>5894.3350219726563</v>
      </c>
      <c r="I3541" s="370">
        <v>5931.3850402832031</v>
      </c>
      <c r="M3541" s="371">
        <f t="shared" si="221"/>
        <v>8362.0878880426008</v>
      </c>
      <c r="N3541" s="329">
        <f t="shared" si="222"/>
        <v>4163.0845336914063</v>
      </c>
      <c r="T3541" s="331">
        <v>0</v>
      </c>
      <c r="U3541" s="328">
        <f>VLOOKUP(C3541,METADATA!$J$5:$Q$29,IF(E3541="HI",2,IF(E3541="LO",6,10))+IF(T3541=1,2,IF(D3541=7,1,(IF(WEEKDAY(B3541)=1,2,IF(WEEKDAY(B3541)=7,1,0))))))</f>
        <v>2</v>
      </c>
      <c r="V3541" s="328">
        <f>VLOOKUP(C3541,METADATA!$A$5:$H$29,IF(E3541="HI",2,IF(E3541="LO",6,10))+IF(T3541=1,2,IF(D3541=7,1,(IF(WEEKDAY(B3541)=1,2,IF(WEEKDAY(B3541)=7,1,0))))))</f>
        <v>2</v>
      </c>
    </row>
    <row r="3542" spans="2:22">
      <c r="B3542" s="318">
        <f t="shared" si="219"/>
        <v>46260</v>
      </c>
      <c r="C3542" s="312">
        <v>10</v>
      </c>
      <c r="D3542" s="368">
        <f>IFERROR((INDEX(METADATA!$T$2:$T$20,MATCH(B3542,METADATA!$S$2:$S$20,0))),0)</f>
        <v>0</v>
      </c>
      <c r="E3542" s="312" t="str">
        <f t="shared" si="220"/>
        <v>LO</v>
      </c>
      <c r="F3542" s="369">
        <f>VLOOKUP(C3542,METADATA!$A$5:$H$29,IF(E3542="HI",2,IF(E3542="LO",6,10))+IF(D3542=1,2,IF(D3542=7,1,(IF(WEEKDAY(B3542)=1,2,IF(WEEKDAY(B3542)=7,1,0))))))</f>
        <v>2</v>
      </c>
      <c r="G3542" s="369">
        <f>VLOOKUP(C3542,METADATA!$J$5:$Q$29,IF(E3542="HI",2,IF(E3542="LO",6,10))+IF(D3542=1,2,IF(D3542=7,1,(IF(WEEKDAY(B3542)=1,2,IF(WEEKDAY(B3542)=7,1,0))))))</f>
        <v>2</v>
      </c>
      <c r="H3542" s="370">
        <v>5678.4650573730469</v>
      </c>
      <c r="I3542" s="370">
        <v>5946.2074584960938</v>
      </c>
      <c r="M3542" s="371">
        <f t="shared" si="221"/>
        <v>8222.0647374781256</v>
      </c>
      <c r="N3542" s="329">
        <f t="shared" si="222"/>
        <v>4242.6679412841795</v>
      </c>
      <c r="T3542" s="331">
        <v>0</v>
      </c>
      <c r="U3542" s="328">
        <f>VLOOKUP(C3542,METADATA!$J$5:$Q$29,IF(E3542="HI",2,IF(E3542="LO",6,10))+IF(T3542=1,2,IF(D3542=7,1,(IF(WEEKDAY(B3542)=1,2,IF(WEEKDAY(B3542)=7,1,0))))))</f>
        <v>2</v>
      </c>
      <c r="V3542" s="328">
        <f>VLOOKUP(C3542,METADATA!$A$5:$H$29,IF(E3542="HI",2,IF(E3542="LO",6,10))+IF(T3542=1,2,IF(D3542=7,1,(IF(WEEKDAY(B3542)=1,2,IF(WEEKDAY(B3542)=7,1,0))))))</f>
        <v>2</v>
      </c>
    </row>
    <row r="3543" spans="2:22">
      <c r="B3543" s="318">
        <f t="shared" si="219"/>
        <v>46260</v>
      </c>
      <c r="C3543" s="312">
        <v>11</v>
      </c>
      <c r="D3543" s="368">
        <f>IFERROR((INDEX(METADATA!$T$2:$T$20,MATCH(B3543,METADATA!$S$2:$S$20,0))),0)</f>
        <v>0</v>
      </c>
      <c r="E3543" s="312" t="str">
        <f t="shared" si="220"/>
        <v>LO</v>
      </c>
      <c r="F3543" s="369">
        <f>VLOOKUP(C3543,METADATA!$A$5:$H$29,IF(E3543="HI",2,IF(E3543="LO",6,10))+IF(D3543=1,2,IF(D3543=7,1,(IF(WEEKDAY(B3543)=1,2,IF(WEEKDAY(B3543)=7,1,0))))))</f>
        <v>2</v>
      </c>
      <c r="G3543" s="369">
        <f>VLOOKUP(C3543,METADATA!$J$5:$Q$29,IF(E3543="HI",2,IF(E3543="LO",6,10))+IF(D3543=1,2,IF(D3543=7,1,(IF(WEEKDAY(B3543)=1,2,IF(WEEKDAY(B3543)=7,1,0))))))</f>
        <v>2</v>
      </c>
      <c r="H3543" s="370">
        <v>6726.2100219726563</v>
      </c>
      <c r="I3543" s="370">
        <v>6557.4049682617188</v>
      </c>
      <c r="M3543" s="371">
        <f t="shared" si="221"/>
        <v>9393.692627368051</v>
      </c>
      <c r="N3543" s="329">
        <f t="shared" si="222"/>
        <v>4539.5419616699219</v>
      </c>
      <c r="T3543" s="331">
        <v>0</v>
      </c>
      <c r="U3543" s="328">
        <f>VLOOKUP(C3543,METADATA!$J$5:$Q$29,IF(E3543="HI",2,IF(E3543="LO",6,10))+IF(T3543=1,2,IF(D3543=7,1,(IF(WEEKDAY(B3543)=1,2,IF(WEEKDAY(B3543)=7,1,0))))))</f>
        <v>2</v>
      </c>
      <c r="V3543" s="328">
        <f>VLOOKUP(C3543,METADATA!$A$5:$H$29,IF(E3543="HI",2,IF(E3543="LO",6,10))+IF(T3543=1,2,IF(D3543=7,1,(IF(WEEKDAY(B3543)=1,2,IF(WEEKDAY(B3543)=7,1,0))))))</f>
        <v>2</v>
      </c>
    </row>
    <row r="3544" spans="2:22">
      <c r="B3544" s="318">
        <f t="shared" si="219"/>
        <v>46260</v>
      </c>
      <c r="C3544" s="312">
        <v>12</v>
      </c>
      <c r="D3544" s="368">
        <f>IFERROR((INDEX(METADATA!$T$2:$T$20,MATCH(B3544,METADATA!$S$2:$S$20,0))),0)</f>
        <v>0</v>
      </c>
      <c r="E3544" s="312" t="str">
        <f t="shared" si="220"/>
        <v>LO</v>
      </c>
      <c r="F3544" s="369">
        <f>VLOOKUP(C3544,METADATA!$A$5:$H$29,IF(E3544="HI",2,IF(E3544="LO",6,10))+IF(D3544=1,2,IF(D3544=7,1,(IF(WEEKDAY(B3544)=1,2,IF(WEEKDAY(B3544)=7,1,0))))))</f>
        <v>2</v>
      </c>
      <c r="G3544" s="369">
        <f>VLOOKUP(C3544,METADATA!$J$5:$Q$29,IF(E3544="HI",2,IF(E3544="LO",6,10))+IF(D3544=1,2,IF(D3544=7,1,(IF(WEEKDAY(B3544)=1,2,IF(WEEKDAY(B3544)=7,1,0))))))</f>
        <v>2</v>
      </c>
      <c r="H3544" s="370">
        <v>9452.125</v>
      </c>
      <c r="I3544" s="370">
        <v>8134.8750610351563</v>
      </c>
      <c r="M3544" s="371">
        <f t="shared" si="221"/>
        <v>12470.720078418757</v>
      </c>
      <c r="N3544" s="329">
        <f t="shared" si="222"/>
        <v>5299.2375610351564</v>
      </c>
      <c r="T3544" s="331">
        <v>0</v>
      </c>
      <c r="U3544" s="328">
        <f>VLOOKUP(C3544,METADATA!$J$5:$Q$29,IF(E3544="HI",2,IF(E3544="LO",6,10))+IF(T3544=1,2,IF(D3544=7,1,(IF(WEEKDAY(B3544)=1,2,IF(WEEKDAY(B3544)=7,1,0))))))</f>
        <v>2</v>
      </c>
      <c r="V3544" s="328">
        <f>VLOOKUP(C3544,METADATA!$A$5:$H$29,IF(E3544="HI",2,IF(E3544="LO",6,10))+IF(T3544=1,2,IF(D3544=7,1,(IF(WEEKDAY(B3544)=1,2,IF(WEEKDAY(B3544)=7,1,0))))))</f>
        <v>2</v>
      </c>
    </row>
    <row r="3545" spans="2:22">
      <c r="B3545" s="318">
        <f t="shared" si="219"/>
        <v>46260</v>
      </c>
      <c r="C3545" s="312">
        <v>13</v>
      </c>
      <c r="D3545" s="368">
        <f>IFERROR((INDEX(METADATA!$T$2:$T$20,MATCH(B3545,METADATA!$S$2:$S$20,0))),0)</f>
        <v>0</v>
      </c>
      <c r="E3545" s="312" t="str">
        <f t="shared" si="220"/>
        <v>LO</v>
      </c>
      <c r="F3545" s="369">
        <f>VLOOKUP(C3545,METADATA!$A$5:$H$29,IF(E3545="HI",2,IF(E3545="LO",6,10))+IF(D3545=1,2,IF(D3545=7,1,(IF(WEEKDAY(B3545)=1,2,IF(WEEKDAY(B3545)=7,1,0))))))</f>
        <v>2</v>
      </c>
      <c r="G3545" s="369">
        <f>VLOOKUP(C3545,METADATA!$J$5:$Q$29,IF(E3545="HI",2,IF(E3545="LO",6,10))+IF(D3545=1,2,IF(D3545=7,1,(IF(WEEKDAY(B3545)=1,2,IF(WEEKDAY(B3545)=7,1,0))))))</f>
        <v>2</v>
      </c>
      <c r="H3545" s="370">
        <v>12938.075134277344</v>
      </c>
      <c r="I3545" s="370">
        <v>9807.9498901367188</v>
      </c>
      <c r="M3545" s="371">
        <f t="shared" si="221"/>
        <v>16235.444842308405</v>
      </c>
      <c r="N3545" s="329">
        <f t="shared" si="222"/>
        <v>5926.5273498535153</v>
      </c>
      <c r="T3545" s="331">
        <v>0</v>
      </c>
      <c r="U3545" s="328">
        <f>VLOOKUP(C3545,METADATA!$J$5:$Q$29,IF(E3545="HI",2,IF(E3545="LO",6,10))+IF(T3545=1,2,IF(D3545=7,1,(IF(WEEKDAY(B3545)=1,2,IF(WEEKDAY(B3545)=7,1,0))))))</f>
        <v>2</v>
      </c>
      <c r="V3545" s="328">
        <f>VLOOKUP(C3545,METADATA!$A$5:$H$29,IF(E3545="HI",2,IF(E3545="LO",6,10))+IF(T3545=1,2,IF(D3545=7,1,(IF(WEEKDAY(B3545)=1,2,IF(WEEKDAY(B3545)=7,1,0))))))</f>
        <v>2</v>
      </c>
    </row>
    <row r="3546" spans="2:22">
      <c r="B3546" s="318">
        <f t="shared" si="219"/>
        <v>46260</v>
      </c>
      <c r="C3546" s="312">
        <v>14</v>
      </c>
      <c r="D3546" s="368">
        <f>IFERROR((INDEX(METADATA!$T$2:$T$20,MATCH(B3546,METADATA!$S$2:$S$20,0))),0)</f>
        <v>0</v>
      </c>
      <c r="E3546" s="312" t="str">
        <f t="shared" si="220"/>
        <v>LO</v>
      </c>
      <c r="F3546" s="369">
        <f>VLOOKUP(C3546,METADATA!$A$5:$H$29,IF(E3546="HI",2,IF(E3546="LO",6,10))+IF(D3546=1,2,IF(D3546=7,1,(IF(WEEKDAY(B3546)=1,2,IF(WEEKDAY(B3546)=7,1,0))))))</f>
        <v>2</v>
      </c>
      <c r="G3546" s="369">
        <f>VLOOKUP(C3546,METADATA!$J$5:$Q$29,IF(E3546="HI",2,IF(E3546="LO",6,10))+IF(D3546=1,2,IF(D3546=7,1,(IF(WEEKDAY(B3546)=1,2,IF(WEEKDAY(B3546)=7,1,0))))))</f>
        <v>2</v>
      </c>
      <c r="H3546" s="370">
        <v>12877.575073242188</v>
      </c>
      <c r="I3546" s="370">
        <v>9883.7500610351563</v>
      </c>
      <c r="M3546" s="371">
        <f t="shared" si="221"/>
        <v>16233.313125668492</v>
      </c>
      <c r="N3546" s="329">
        <f t="shared" si="222"/>
        <v>6020.4775390625</v>
      </c>
      <c r="T3546" s="331">
        <v>0</v>
      </c>
      <c r="U3546" s="328">
        <f>VLOOKUP(C3546,METADATA!$J$5:$Q$29,IF(E3546="HI",2,IF(E3546="LO",6,10))+IF(T3546=1,2,IF(D3546=7,1,(IF(WEEKDAY(B3546)=1,2,IF(WEEKDAY(B3546)=7,1,0))))))</f>
        <v>2</v>
      </c>
      <c r="V3546" s="328">
        <f>VLOOKUP(C3546,METADATA!$A$5:$H$29,IF(E3546="HI",2,IF(E3546="LO",6,10))+IF(T3546=1,2,IF(D3546=7,1,(IF(WEEKDAY(B3546)=1,2,IF(WEEKDAY(B3546)=7,1,0))))))</f>
        <v>2</v>
      </c>
    </row>
    <row r="3547" spans="2:22">
      <c r="B3547" s="318">
        <f t="shared" si="219"/>
        <v>46260</v>
      </c>
      <c r="C3547" s="312">
        <v>15</v>
      </c>
      <c r="D3547" s="368">
        <f>IFERROR((INDEX(METADATA!$T$2:$T$20,MATCH(B3547,METADATA!$S$2:$S$20,0))),0)</f>
        <v>0</v>
      </c>
      <c r="E3547" s="312" t="str">
        <f t="shared" si="220"/>
        <v>LO</v>
      </c>
      <c r="F3547" s="369">
        <f>VLOOKUP(C3547,METADATA!$A$5:$H$29,IF(E3547="HI",2,IF(E3547="LO",6,10))+IF(D3547=1,2,IF(D3547=7,1,(IF(WEEKDAY(B3547)=1,2,IF(WEEKDAY(B3547)=7,1,0))))))</f>
        <v>2</v>
      </c>
      <c r="G3547" s="369">
        <f>VLOOKUP(C3547,METADATA!$J$5:$Q$29,IF(E3547="HI",2,IF(E3547="LO",6,10))+IF(D3547=1,2,IF(D3547=7,1,(IF(WEEKDAY(B3547)=1,2,IF(WEEKDAY(B3547)=7,1,0))))))</f>
        <v>2</v>
      </c>
      <c r="H3547" s="370">
        <v>12925.174926757813</v>
      </c>
      <c r="I3547" s="370">
        <v>9888.3997802734375</v>
      </c>
      <c r="M3547" s="371">
        <f t="shared" si="221"/>
        <v>16273.923838515422</v>
      </c>
      <c r="N3547" s="329">
        <f t="shared" si="222"/>
        <v>6010.8473022460939</v>
      </c>
      <c r="T3547" s="331">
        <v>0</v>
      </c>
      <c r="U3547" s="328">
        <f>VLOOKUP(C3547,METADATA!$J$5:$Q$29,IF(E3547="HI",2,IF(E3547="LO",6,10))+IF(T3547=1,2,IF(D3547=7,1,(IF(WEEKDAY(B3547)=1,2,IF(WEEKDAY(B3547)=7,1,0))))))</f>
        <v>2</v>
      </c>
      <c r="V3547" s="328">
        <f>VLOOKUP(C3547,METADATA!$A$5:$H$29,IF(E3547="HI",2,IF(E3547="LO",6,10))+IF(T3547=1,2,IF(D3547=7,1,(IF(WEEKDAY(B3547)=1,2,IF(WEEKDAY(B3547)=7,1,0))))))</f>
        <v>2</v>
      </c>
    </row>
    <row r="3548" spans="2:22">
      <c r="B3548" s="318">
        <f t="shared" ref="B3548:B3611" si="223">B3524+1</f>
        <v>46260</v>
      </c>
      <c r="C3548" s="312">
        <v>16</v>
      </c>
      <c r="D3548" s="368">
        <f>IFERROR((INDEX(METADATA!$T$2:$T$20,MATCH(B3548,METADATA!$S$2:$S$20,0))),0)</f>
        <v>0</v>
      </c>
      <c r="E3548" s="312" t="str">
        <f t="shared" si="220"/>
        <v>LO</v>
      </c>
      <c r="F3548" s="369">
        <f>VLOOKUP(C3548,METADATA!$A$5:$H$29,IF(E3548="HI",2,IF(E3548="LO",6,10))+IF(D3548=1,2,IF(D3548=7,1,(IF(WEEKDAY(B3548)=1,2,IF(WEEKDAY(B3548)=7,1,0))))))</f>
        <v>2</v>
      </c>
      <c r="G3548" s="369">
        <f>VLOOKUP(C3548,METADATA!$J$5:$Q$29,IF(E3548="HI",2,IF(E3548="LO",6,10))+IF(D3548=1,2,IF(D3548=7,1,(IF(WEEKDAY(B3548)=1,2,IF(WEEKDAY(B3548)=7,1,0))))))</f>
        <v>2</v>
      </c>
      <c r="H3548" s="370">
        <v>13023.650024414063</v>
      </c>
      <c r="I3548" s="370">
        <v>10079.424987792969</v>
      </c>
      <c r="M3548" s="371">
        <f t="shared" si="221"/>
        <v>16468.46283181784</v>
      </c>
      <c r="N3548" s="329">
        <f t="shared" si="222"/>
        <v>6172.3299804687504</v>
      </c>
      <c r="T3548" s="331">
        <v>0</v>
      </c>
      <c r="U3548" s="328">
        <f>VLOOKUP(C3548,METADATA!$J$5:$Q$29,IF(E3548="HI",2,IF(E3548="LO",6,10))+IF(T3548=1,2,IF(D3548=7,1,(IF(WEEKDAY(B3548)=1,2,IF(WEEKDAY(B3548)=7,1,0))))))</f>
        <v>2</v>
      </c>
      <c r="V3548" s="328">
        <f>VLOOKUP(C3548,METADATA!$A$5:$H$29,IF(E3548="HI",2,IF(E3548="LO",6,10))+IF(T3548=1,2,IF(D3548=7,1,(IF(WEEKDAY(B3548)=1,2,IF(WEEKDAY(B3548)=7,1,0))))))</f>
        <v>2</v>
      </c>
    </row>
    <row r="3549" spans="2:22">
      <c r="B3549" s="318">
        <f t="shared" si="223"/>
        <v>46260</v>
      </c>
      <c r="C3549" s="312">
        <v>17</v>
      </c>
      <c r="D3549" s="368">
        <f>IFERROR((INDEX(METADATA!$T$2:$T$20,MATCH(B3549,METADATA!$S$2:$S$20,0))),0)</f>
        <v>0</v>
      </c>
      <c r="E3549" s="312" t="str">
        <f t="shared" si="220"/>
        <v>LO</v>
      </c>
      <c r="F3549" s="369">
        <f>VLOOKUP(C3549,METADATA!$A$5:$H$29,IF(E3549="HI",2,IF(E3549="LO",6,10))+IF(D3549=1,2,IF(D3549=7,1,(IF(WEEKDAY(B3549)=1,2,IF(WEEKDAY(B3549)=7,1,0))))))</f>
        <v>2</v>
      </c>
      <c r="G3549" s="369">
        <f>VLOOKUP(C3549,METADATA!$J$5:$Q$29,IF(E3549="HI",2,IF(E3549="LO",6,10))+IF(D3549=1,2,IF(D3549=7,1,(IF(WEEKDAY(B3549)=1,2,IF(WEEKDAY(B3549)=7,1,0))))))</f>
        <v>2</v>
      </c>
      <c r="H3549" s="370">
        <v>12848.125244140625</v>
      </c>
      <c r="I3549" s="370">
        <v>10110.174926757813</v>
      </c>
      <c r="M3549" s="371">
        <f t="shared" si="221"/>
        <v>16349.004842459553</v>
      </c>
      <c r="N3549" s="329">
        <f t="shared" si="222"/>
        <v>6255.7373535156257</v>
      </c>
      <c r="T3549" s="331">
        <v>0</v>
      </c>
      <c r="U3549" s="328">
        <f>VLOOKUP(C3549,METADATA!$J$5:$Q$29,IF(E3549="HI",2,IF(E3549="LO",6,10))+IF(T3549=1,2,IF(D3549=7,1,(IF(WEEKDAY(B3549)=1,2,IF(WEEKDAY(B3549)=7,1,0))))))</f>
        <v>2</v>
      </c>
      <c r="V3549" s="328">
        <f>VLOOKUP(C3549,METADATA!$A$5:$H$29,IF(E3549="HI",2,IF(E3549="LO",6,10))+IF(T3549=1,2,IF(D3549=7,1,(IF(WEEKDAY(B3549)=1,2,IF(WEEKDAY(B3549)=7,1,0))))))</f>
        <v>2</v>
      </c>
    </row>
    <row r="3550" spans="2:22">
      <c r="B3550" s="318">
        <f t="shared" si="223"/>
        <v>46260</v>
      </c>
      <c r="C3550" s="312">
        <v>18</v>
      </c>
      <c r="D3550" s="368">
        <f>IFERROR((INDEX(METADATA!$T$2:$T$20,MATCH(B3550,METADATA!$S$2:$S$20,0))),0)</f>
        <v>0</v>
      </c>
      <c r="E3550" s="312" t="str">
        <f t="shared" si="220"/>
        <v>LO</v>
      </c>
      <c r="F3550" s="369">
        <f>VLOOKUP(C3550,METADATA!$A$5:$H$29,IF(E3550="HI",2,IF(E3550="LO",6,10))+IF(D3550=1,2,IF(D3550=7,1,(IF(WEEKDAY(B3550)=1,2,IF(WEEKDAY(B3550)=7,1,0))))))</f>
        <v>1</v>
      </c>
      <c r="G3550" s="369">
        <f>VLOOKUP(C3550,METADATA!$J$5:$Q$29,IF(E3550="HI",2,IF(E3550="LO",6,10))+IF(D3550=1,2,IF(D3550=7,1,(IF(WEEKDAY(B3550)=1,2,IF(WEEKDAY(B3550)=7,1,0))))))</f>
        <v>1</v>
      </c>
      <c r="H3550" s="370">
        <v>12752.424865722656</v>
      </c>
      <c r="I3550" s="370">
        <v>9923.7750244140625</v>
      </c>
      <c r="M3550" s="371">
        <f t="shared" si="221"/>
        <v>16158.763897374261</v>
      </c>
      <c r="N3550" s="329">
        <f t="shared" si="222"/>
        <v>6098.0475646972664</v>
      </c>
      <c r="T3550" s="331">
        <v>0</v>
      </c>
      <c r="U3550" s="328">
        <f>VLOOKUP(C3550,METADATA!$J$5:$Q$29,IF(E3550="HI",2,IF(E3550="LO",6,10))+IF(T3550=1,2,IF(D3550=7,1,(IF(WEEKDAY(B3550)=1,2,IF(WEEKDAY(B3550)=7,1,0))))))</f>
        <v>1</v>
      </c>
      <c r="V3550" s="328">
        <f>VLOOKUP(C3550,METADATA!$A$5:$H$29,IF(E3550="HI",2,IF(E3550="LO",6,10))+IF(T3550=1,2,IF(D3550=7,1,(IF(WEEKDAY(B3550)=1,2,IF(WEEKDAY(B3550)=7,1,0))))))</f>
        <v>1</v>
      </c>
    </row>
    <row r="3551" spans="2:22">
      <c r="B3551" s="318">
        <f t="shared" si="223"/>
        <v>46260</v>
      </c>
      <c r="C3551" s="312">
        <v>19</v>
      </c>
      <c r="D3551" s="368">
        <f>IFERROR((INDEX(METADATA!$T$2:$T$20,MATCH(B3551,METADATA!$S$2:$S$20,0))),0)</f>
        <v>0</v>
      </c>
      <c r="E3551" s="312" t="str">
        <f t="shared" si="220"/>
        <v>LO</v>
      </c>
      <c r="F3551" s="369">
        <f>VLOOKUP(C3551,METADATA!$A$5:$H$29,IF(E3551="HI",2,IF(E3551="LO",6,10))+IF(D3551=1,2,IF(D3551=7,1,(IF(WEEKDAY(B3551)=1,2,IF(WEEKDAY(B3551)=7,1,0))))))</f>
        <v>1</v>
      </c>
      <c r="G3551" s="369">
        <f>VLOOKUP(C3551,METADATA!$J$5:$Q$29,IF(E3551="HI",2,IF(E3551="LO",6,10))+IF(D3551=1,2,IF(D3551=7,1,(IF(WEEKDAY(B3551)=1,2,IF(WEEKDAY(B3551)=7,1,0))))))</f>
        <v>1</v>
      </c>
      <c r="H3551" s="370">
        <v>12858.300354003906</v>
      </c>
      <c r="I3551" s="370">
        <v>10004.224914550781</v>
      </c>
      <c r="M3551" s="371">
        <f t="shared" si="221"/>
        <v>16291.728089269584</v>
      </c>
      <c r="N3551" s="329">
        <f t="shared" si="222"/>
        <v>6146.734808349609</v>
      </c>
      <c r="T3551" s="331">
        <v>0</v>
      </c>
      <c r="U3551" s="328">
        <f>VLOOKUP(C3551,METADATA!$J$5:$Q$29,IF(E3551="HI",2,IF(E3551="LO",6,10))+IF(T3551=1,2,IF(D3551=7,1,(IF(WEEKDAY(B3551)=1,2,IF(WEEKDAY(B3551)=7,1,0))))))</f>
        <v>1</v>
      </c>
      <c r="V3551" s="328">
        <f>VLOOKUP(C3551,METADATA!$A$5:$H$29,IF(E3551="HI",2,IF(E3551="LO",6,10))+IF(T3551=1,2,IF(D3551=7,1,(IF(WEEKDAY(B3551)=1,2,IF(WEEKDAY(B3551)=7,1,0))))))</f>
        <v>1</v>
      </c>
    </row>
    <row r="3552" spans="2:22">
      <c r="B3552" s="318">
        <f t="shared" si="223"/>
        <v>46260</v>
      </c>
      <c r="C3552" s="312">
        <v>20</v>
      </c>
      <c r="D3552" s="368">
        <f>IFERROR((INDEX(METADATA!$T$2:$T$20,MATCH(B3552,METADATA!$S$2:$S$20,0))),0)</f>
        <v>0</v>
      </c>
      <c r="E3552" s="312" t="str">
        <f t="shared" si="220"/>
        <v>LO</v>
      </c>
      <c r="F3552" s="369">
        <f>VLOOKUP(C3552,METADATA!$A$5:$H$29,IF(E3552="HI",2,IF(E3552="LO",6,10))+IF(D3552=1,2,IF(D3552=7,1,(IF(WEEKDAY(B3552)=1,2,IF(WEEKDAY(B3552)=7,1,0))))))</f>
        <v>1</v>
      </c>
      <c r="G3552" s="369">
        <f>VLOOKUP(C3552,METADATA!$J$5:$Q$29,IF(E3552="HI",2,IF(E3552="LO",6,10))+IF(D3552=1,2,IF(D3552=7,1,(IF(WEEKDAY(B3552)=1,2,IF(WEEKDAY(B3552)=7,1,0))))))</f>
        <v>1</v>
      </c>
      <c r="H3552" s="370">
        <v>12806</v>
      </c>
      <c r="I3552" s="370">
        <v>9951.375</v>
      </c>
      <c r="M3552" s="371">
        <f t="shared" si="221"/>
        <v>16217.999272124322</v>
      </c>
      <c r="N3552" s="329">
        <f t="shared" si="222"/>
        <v>6109.5750000000007</v>
      </c>
      <c r="T3552" s="331">
        <v>0</v>
      </c>
      <c r="U3552" s="328">
        <f>VLOOKUP(C3552,METADATA!$J$5:$Q$29,IF(E3552="HI",2,IF(E3552="LO",6,10))+IF(T3552=1,2,IF(D3552=7,1,(IF(WEEKDAY(B3552)=1,2,IF(WEEKDAY(B3552)=7,1,0))))))</f>
        <v>1</v>
      </c>
      <c r="V3552" s="328">
        <f>VLOOKUP(C3552,METADATA!$A$5:$H$29,IF(E3552="HI",2,IF(E3552="LO",6,10))+IF(T3552=1,2,IF(D3552=7,1,(IF(WEEKDAY(B3552)=1,2,IF(WEEKDAY(B3552)=7,1,0))))))</f>
        <v>1</v>
      </c>
    </row>
    <row r="3553" spans="2:22">
      <c r="B3553" s="318">
        <f t="shared" si="223"/>
        <v>46260</v>
      </c>
      <c r="C3553" s="312">
        <v>21</v>
      </c>
      <c r="D3553" s="368">
        <f>IFERROR((INDEX(METADATA!$T$2:$T$20,MATCH(B3553,METADATA!$S$2:$S$20,0))),0)</f>
        <v>0</v>
      </c>
      <c r="E3553" s="312" t="str">
        <f t="shared" si="220"/>
        <v>LO</v>
      </c>
      <c r="F3553" s="369">
        <f>VLOOKUP(C3553,METADATA!$A$5:$H$29,IF(E3553="HI",2,IF(E3553="LO",6,10))+IF(D3553=1,2,IF(D3553=7,1,(IF(WEEKDAY(B3553)=1,2,IF(WEEKDAY(B3553)=7,1,0))))))</f>
        <v>2</v>
      </c>
      <c r="G3553" s="369">
        <f>VLOOKUP(C3553,METADATA!$J$5:$Q$29,IF(E3553="HI",2,IF(E3553="LO",6,10))+IF(D3553=1,2,IF(D3553=7,1,(IF(WEEKDAY(B3553)=1,2,IF(WEEKDAY(B3553)=7,1,0))))))</f>
        <v>2</v>
      </c>
      <c r="H3553" s="370">
        <v>12739.64990234375</v>
      </c>
      <c r="I3553" s="370">
        <v>10073.14990234375</v>
      </c>
      <c r="M3553" s="371">
        <f t="shared" si="221"/>
        <v>16240.906027354971</v>
      </c>
      <c r="N3553" s="329">
        <f t="shared" si="222"/>
        <v>6251.2549316406257</v>
      </c>
      <c r="T3553" s="331">
        <v>0</v>
      </c>
      <c r="U3553" s="328">
        <f>VLOOKUP(C3553,METADATA!$J$5:$Q$29,IF(E3553="HI",2,IF(E3553="LO",6,10))+IF(T3553=1,2,IF(D3553=7,1,(IF(WEEKDAY(B3553)=1,2,IF(WEEKDAY(B3553)=7,1,0))))))</f>
        <v>2</v>
      </c>
      <c r="V3553" s="328">
        <f>VLOOKUP(C3553,METADATA!$A$5:$H$29,IF(E3553="HI",2,IF(E3553="LO",6,10))+IF(T3553=1,2,IF(D3553=7,1,(IF(WEEKDAY(B3553)=1,2,IF(WEEKDAY(B3553)=7,1,0))))))</f>
        <v>2</v>
      </c>
    </row>
    <row r="3554" spans="2:22">
      <c r="B3554" s="318">
        <f t="shared" si="223"/>
        <v>46260</v>
      </c>
      <c r="C3554" s="312">
        <v>22</v>
      </c>
      <c r="D3554" s="368">
        <f>IFERROR((INDEX(METADATA!$T$2:$T$20,MATCH(B3554,METADATA!$S$2:$S$20,0))),0)</f>
        <v>0</v>
      </c>
      <c r="E3554" s="312" t="str">
        <f t="shared" si="220"/>
        <v>LO</v>
      </c>
      <c r="F3554" s="369">
        <f>VLOOKUP(C3554,METADATA!$A$5:$H$29,IF(E3554="HI",2,IF(E3554="LO",6,10))+IF(D3554=1,2,IF(D3554=7,1,(IF(WEEKDAY(B3554)=1,2,IF(WEEKDAY(B3554)=7,1,0))))))</f>
        <v>3</v>
      </c>
      <c r="G3554" s="369">
        <f>VLOOKUP(C3554,METADATA!$J$5:$Q$29,IF(E3554="HI",2,IF(E3554="LO",6,10))+IF(D3554=1,2,IF(D3554=7,1,(IF(WEEKDAY(B3554)=1,2,IF(WEEKDAY(B3554)=7,1,0))))))</f>
        <v>3</v>
      </c>
      <c r="H3554" s="370">
        <v>12773.349731445313</v>
      </c>
      <c r="I3554" s="370">
        <v>9936.3502197265625</v>
      </c>
      <c r="M3554" s="371">
        <f t="shared" si="221"/>
        <v>16183.000928470408</v>
      </c>
      <c r="N3554" s="329">
        <f t="shared" si="222"/>
        <v>6104.3453002929691</v>
      </c>
      <c r="T3554" s="331">
        <v>0</v>
      </c>
      <c r="U3554" s="328">
        <f>VLOOKUP(C3554,METADATA!$J$5:$Q$29,IF(E3554="HI",2,IF(E3554="LO",6,10))+IF(T3554=1,2,IF(D3554=7,1,(IF(WEEKDAY(B3554)=1,2,IF(WEEKDAY(B3554)=7,1,0))))))</f>
        <v>3</v>
      </c>
      <c r="V3554" s="328">
        <f>VLOOKUP(C3554,METADATA!$A$5:$H$29,IF(E3554="HI",2,IF(E3554="LO",6,10))+IF(T3554=1,2,IF(D3554=7,1,(IF(WEEKDAY(B3554)=1,2,IF(WEEKDAY(B3554)=7,1,0))))))</f>
        <v>3</v>
      </c>
    </row>
    <row r="3555" spans="2:22">
      <c r="B3555" s="318">
        <f t="shared" si="223"/>
        <v>46260</v>
      </c>
      <c r="C3555" s="312">
        <v>23</v>
      </c>
      <c r="D3555" s="368">
        <f>IFERROR((INDEX(METADATA!$T$2:$T$20,MATCH(B3555,METADATA!$S$2:$S$20,0))),0)</f>
        <v>0</v>
      </c>
      <c r="E3555" s="312" t="str">
        <f t="shared" si="220"/>
        <v>LO</v>
      </c>
      <c r="F3555" s="369">
        <f>VLOOKUP(C3555,METADATA!$A$5:$H$29,IF(E3555="HI",2,IF(E3555="LO",6,10))+IF(D3555=1,2,IF(D3555=7,1,(IF(WEEKDAY(B3555)=1,2,IF(WEEKDAY(B3555)=7,1,0))))))</f>
        <v>3</v>
      </c>
      <c r="G3555" s="369">
        <f>VLOOKUP(C3555,METADATA!$J$5:$Q$29,IF(E3555="HI",2,IF(E3555="LO",6,10))+IF(D3555=1,2,IF(D3555=7,1,(IF(WEEKDAY(B3555)=1,2,IF(WEEKDAY(B3555)=7,1,0))))))</f>
        <v>3</v>
      </c>
      <c r="H3555" s="370">
        <v>12720.450073242188</v>
      </c>
      <c r="I3555" s="370">
        <v>9965.9999389648438</v>
      </c>
      <c r="M3555" s="371">
        <f t="shared" si="221"/>
        <v>16159.548411056989</v>
      </c>
      <c r="N3555" s="329">
        <f t="shared" si="222"/>
        <v>6149.8649169921882</v>
      </c>
      <c r="T3555" s="331">
        <v>0</v>
      </c>
      <c r="U3555" s="328">
        <f>VLOOKUP(C3555,METADATA!$J$5:$Q$29,IF(E3555="HI",2,IF(E3555="LO",6,10))+IF(T3555=1,2,IF(D3555=7,1,(IF(WEEKDAY(B3555)=1,2,IF(WEEKDAY(B3555)=7,1,0))))))</f>
        <v>3</v>
      </c>
      <c r="V3555" s="328">
        <f>VLOOKUP(C3555,METADATA!$A$5:$H$29,IF(E3555="HI",2,IF(E3555="LO",6,10))+IF(T3555=1,2,IF(D3555=7,1,(IF(WEEKDAY(B3555)=1,2,IF(WEEKDAY(B3555)=7,1,0))))))</f>
        <v>3</v>
      </c>
    </row>
    <row r="3556" spans="2:22">
      <c r="B3556" s="318">
        <f t="shared" si="223"/>
        <v>46261</v>
      </c>
      <c r="C3556" s="312">
        <v>0</v>
      </c>
      <c r="D3556" s="368">
        <f>IFERROR((INDEX(METADATA!$T$2:$T$20,MATCH(B3556,METADATA!$S$2:$S$20,0))),0)</f>
        <v>0</v>
      </c>
      <c r="E3556" s="312" t="str">
        <f t="shared" si="220"/>
        <v>LO</v>
      </c>
      <c r="F3556" s="369">
        <f>VLOOKUP(C3556,METADATA!$A$5:$H$29,IF(E3556="HI",2,IF(E3556="LO",6,10))+IF(D3556=1,2,IF(D3556=7,1,(IF(WEEKDAY(B3556)=1,2,IF(WEEKDAY(B3556)=7,1,0))))))</f>
        <v>3</v>
      </c>
      <c r="G3556" s="369">
        <f>VLOOKUP(C3556,METADATA!$J$5:$Q$29,IF(E3556="HI",2,IF(E3556="LO",6,10))+IF(D3556=1,2,IF(D3556=7,1,(IF(WEEKDAY(B3556)=1,2,IF(WEEKDAY(B3556)=7,1,0))))))</f>
        <v>3</v>
      </c>
      <c r="H3556" s="370">
        <v>10978.652801513672</v>
      </c>
      <c r="I3556" s="370">
        <v>9088.2552795410156</v>
      </c>
      <c r="M3556" s="371">
        <f t="shared" si="221"/>
        <v>14252.270042427948</v>
      </c>
      <c r="N3556" s="329">
        <f t="shared" si="222"/>
        <v>5794.6594390869141</v>
      </c>
      <c r="T3556" s="331">
        <v>0</v>
      </c>
      <c r="U3556" s="328">
        <f>VLOOKUP(C3556,METADATA!$J$5:$Q$29,IF(E3556="HI",2,IF(E3556="LO",6,10))+IF(T3556=1,2,IF(D3556=7,1,(IF(WEEKDAY(B3556)=1,2,IF(WEEKDAY(B3556)=7,1,0))))))</f>
        <v>3</v>
      </c>
      <c r="V3556" s="328">
        <f>VLOOKUP(C3556,METADATA!$A$5:$H$29,IF(E3556="HI",2,IF(E3556="LO",6,10))+IF(T3556=1,2,IF(D3556=7,1,(IF(WEEKDAY(B3556)=1,2,IF(WEEKDAY(B3556)=7,1,0))))))</f>
        <v>3</v>
      </c>
    </row>
    <row r="3557" spans="2:22">
      <c r="B3557" s="318">
        <f t="shared" si="223"/>
        <v>46261</v>
      </c>
      <c r="C3557" s="312">
        <v>1</v>
      </c>
      <c r="D3557" s="368">
        <f>IFERROR((INDEX(METADATA!$T$2:$T$20,MATCH(B3557,METADATA!$S$2:$S$20,0))),0)</f>
        <v>0</v>
      </c>
      <c r="E3557" s="312" t="str">
        <f t="shared" si="220"/>
        <v>LO</v>
      </c>
      <c r="F3557" s="369">
        <f>VLOOKUP(C3557,METADATA!$A$5:$H$29,IF(E3557="HI",2,IF(E3557="LO",6,10))+IF(D3557=1,2,IF(D3557=7,1,(IF(WEEKDAY(B3557)=1,2,IF(WEEKDAY(B3557)=7,1,0))))))</f>
        <v>3</v>
      </c>
      <c r="G3557" s="369">
        <f>VLOOKUP(C3557,METADATA!$J$5:$Q$29,IF(E3557="HI",2,IF(E3557="LO",6,10))+IF(D3557=1,2,IF(D3557=7,1,(IF(WEEKDAY(B3557)=1,2,IF(WEEKDAY(B3557)=7,1,0))))))</f>
        <v>3</v>
      </c>
      <c r="H3557" s="370">
        <v>10968.827514648438</v>
      </c>
      <c r="I3557" s="370">
        <v>9077.9974365234375</v>
      </c>
      <c r="M3557" s="371">
        <f t="shared" si="221"/>
        <v>14238.160502804943</v>
      </c>
      <c r="N3557" s="329">
        <f t="shared" si="222"/>
        <v>5787.3491821289063</v>
      </c>
      <c r="T3557" s="331">
        <v>0</v>
      </c>
      <c r="U3557" s="328">
        <f>VLOOKUP(C3557,METADATA!$J$5:$Q$29,IF(E3557="HI",2,IF(E3557="LO",6,10))+IF(T3557=1,2,IF(D3557=7,1,(IF(WEEKDAY(B3557)=1,2,IF(WEEKDAY(B3557)=7,1,0))))))</f>
        <v>3</v>
      </c>
      <c r="V3557" s="328">
        <f>VLOOKUP(C3557,METADATA!$A$5:$H$29,IF(E3557="HI",2,IF(E3557="LO",6,10))+IF(T3557=1,2,IF(D3557=7,1,(IF(WEEKDAY(B3557)=1,2,IF(WEEKDAY(B3557)=7,1,0))))))</f>
        <v>3</v>
      </c>
    </row>
    <row r="3558" spans="2:22">
      <c r="B3558" s="318">
        <f t="shared" si="223"/>
        <v>46261</v>
      </c>
      <c r="C3558" s="312">
        <v>2</v>
      </c>
      <c r="D3558" s="368">
        <f>IFERROR((INDEX(METADATA!$T$2:$T$20,MATCH(B3558,METADATA!$S$2:$S$20,0))),0)</f>
        <v>0</v>
      </c>
      <c r="E3558" s="312" t="str">
        <f t="shared" si="220"/>
        <v>LO</v>
      </c>
      <c r="F3558" s="369">
        <f>VLOOKUP(C3558,METADATA!$A$5:$H$29,IF(E3558="HI",2,IF(E3558="LO",6,10))+IF(D3558=1,2,IF(D3558=7,1,(IF(WEEKDAY(B3558)=1,2,IF(WEEKDAY(B3558)=7,1,0))))))</f>
        <v>3</v>
      </c>
      <c r="G3558" s="369">
        <f>VLOOKUP(C3558,METADATA!$J$5:$Q$29,IF(E3558="HI",2,IF(E3558="LO",6,10))+IF(D3558=1,2,IF(D3558=7,1,(IF(WEEKDAY(B3558)=1,2,IF(WEEKDAY(B3558)=7,1,0))))))</f>
        <v>3</v>
      </c>
      <c r="H3558" s="370">
        <v>12842.174743652344</v>
      </c>
      <c r="I3558" s="370">
        <v>10072.924987792969</v>
      </c>
      <c r="M3558" s="371">
        <f t="shared" si="221"/>
        <v>16321.313364928881</v>
      </c>
      <c r="N3558" s="329">
        <f t="shared" si="222"/>
        <v>6220.2725646972658</v>
      </c>
      <c r="T3558" s="331">
        <v>0</v>
      </c>
      <c r="U3558" s="328">
        <f>VLOOKUP(C3558,METADATA!$J$5:$Q$29,IF(E3558="HI",2,IF(E3558="LO",6,10))+IF(T3558=1,2,IF(D3558=7,1,(IF(WEEKDAY(B3558)=1,2,IF(WEEKDAY(B3558)=7,1,0))))))</f>
        <v>3</v>
      </c>
      <c r="V3558" s="328">
        <f>VLOOKUP(C3558,METADATA!$A$5:$H$29,IF(E3558="HI",2,IF(E3558="LO",6,10))+IF(T3558=1,2,IF(D3558=7,1,(IF(WEEKDAY(B3558)=1,2,IF(WEEKDAY(B3558)=7,1,0))))))</f>
        <v>3</v>
      </c>
    </row>
    <row r="3559" spans="2:22">
      <c r="B3559" s="318">
        <f t="shared" si="223"/>
        <v>46261</v>
      </c>
      <c r="C3559" s="312">
        <v>3</v>
      </c>
      <c r="D3559" s="368">
        <f>IFERROR((INDEX(METADATA!$T$2:$T$20,MATCH(B3559,METADATA!$S$2:$S$20,0))),0)</f>
        <v>0</v>
      </c>
      <c r="E3559" s="312" t="str">
        <f t="shared" si="220"/>
        <v>LO</v>
      </c>
      <c r="F3559" s="369">
        <f>VLOOKUP(C3559,METADATA!$A$5:$H$29,IF(E3559="HI",2,IF(E3559="LO",6,10))+IF(D3559=1,2,IF(D3559=7,1,(IF(WEEKDAY(B3559)=1,2,IF(WEEKDAY(B3559)=7,1,0))))))</f>
        <v>3</v>
      </c>
      <c r="G3559" s="369">
        <f>VLOOKUP(C3559,METADATA!$J$5:$Q$29,IF(E3559="HI",2,IF(E3559="LO",6,10))+IF(D3559=1,2,IF(D3559=7,1,(IF(WEEKDAY(B3559)=1,2,IF(WEEKDAY(B3559)=7,1,0))))))</f>
        <v>3</v>
      </c>
      <c r="H3559" s="370">
        <v>12784.449951171875</v>
      </c>
      <c r="I3559" s="370">
        <v>10060.874877929688</v>
      </c>
      <c r="M3559" s="371">
        <f t="shared" si="221"/>
        <v>16268.477613574518</v>
      </c>
      <c r="N3559" s="329">
        <f t="shared" si="222"/>
        <v>6225.5398925781246</v>
      </c>
      <c r="T3559" s="331">
        <v>0</v>
      </c>
      <c r="U3559" s="328">
        <f>VLOOKUP(C3559,METADATA!$J$5:$Q$29,IF(E3559="HI",2,IF(E3559="LO",6,10))+IF(T3559=1,2,IF(D3559=7,1,(IF(WEEKDAY(B3559)=1,2,IF(WEEKDAY(B3559)=7,1,0))))))</f>
        <v>3</v>
      </c>
      <c r="V3559" s="328">
        <f>VLOOKUP(C3559,METADATA!$A$5:$H$29,IF(E3559="HI",2,IF(E3559="LO",6,10))+IF(T3559=1,2,IF(D3559=7,1,(IF(WEEKDAY(B3559)=1,2,IF(WEEKDAY(B3559)=7,1,0))))))</f>
        <v>3</v>
      </c>
    </row>
    <row r="3560" spans="2:22">
      <c r="B3560" s="318">
        <f t="shared" si="223"/>
        <v>46261</v>
      </c>
      <c r="C3560" s="312">
        <v>4</v>
      </c>
      <c r="D3560" s="368">
        <f>IFERROR((INDEX(METADATA!$T$2:$T$20,MATCH(B3560,METADATA!$S$2:$S$20,0))),0)</f>
        <v>0</v>
      </c>
      <c r="E3560" s="312" t="str">
        <f t="shared" si="220"/>
        <v>LO</v>
      </c>
      <c r="F3560" s="369">
        <f>VLOOKUP(C3560,METADATA!$A$5:$H$29,IF(E3560="HI",2,IF(E3560="LO",6,10))+IF(D3560=1,2,IF(D3560=7,1,(IF(WEEKDAY(B3560)=1,2,IF(WEEKDAY(B3560)=7,1,0))))))</f>
        <v>3</v>
      </c>
      <c r="G3560" s="369">
        <f>VLOOKUP(C3560,METADATA!$J$5:$Q$29,IF(E3560="HI",2,IF(E3560="LO",6,10))+IF(D3560=1,2,IF(D3560=7,1,(IF(WEEKDAY(B3560)=1,2,IF(WEEKDAY(B3560)=7,1,0))))))</f>
        <v>3</v>
      </c>
      <c r="H3560" s="370">
        <v>12854.525024414063</v>
      </c>
      <c r="I3560" s="370">
        <v>10108.349975585938</v>
      </c>
      <c r="M3560" s="371">
        <f t="shared" si="221"/>
        <v>16352.906556090129</v>
      </c>
      <c r="N3560" s="329">
        <f t="shared" si="222"/>
        <v>6251.9924682617184</v>
      </c>
      <c r="T3560" s="331">
        <v>0</v>
      </c>
      <c r="U3560" s="328">
        <f>VLOOKUP(C3560,METADATA!$J$5:$Q$29,IF(E3560="HI",2,IF(E3560="LO",6,10))+IF(T3560=1,2,IF(D3560=7,1,(IF(WEEKDAY(B3560)=1,2,IF(WEEKDAY(B3560)=7,1,0))))))</f>
        <v>3</v>
      </c>
      <c r="V3560" s="328">
        <f>VLOOKUP(C3560,METADATA!$A$5:$H$29,IF(E3560="HI",2,IF(E3560="LO",6,10))+IF(T3560=1,2,IF(D3560=7,1,(IF(WEEKDAY(B3560)=1,2,IF(WEEKDAY(B3560)=7,1,0))))))</f>
        <v>3</v>
      </c>
    </row>
    <row r="3561" spans="2:22">
      <c r="B3561" s="318">
        <f t="shared" si="223"/>
        <v>46261</v>
      </c>
      <c r="C3561" s="312">
        <v>5</v>
      </c>
      <c r="D3561" s="368">
        <f>IFERROR((INDEX(METADATA!$T$2:$T$20,MATCH(B3561,METADATA!$S$2:$S$20,0))),0)</f>
        <v>0</v>
      </c>
      <c r="E3561" s="312" t="str">
        <f t="shared" si="220"/>
        <v>LO</v>
      </c>
      <c r="F3561" s="369">
        <f>VLOOKUP(C3561,METADATA!$A$5:$H$29,IF(E3561="HI",2,IF(E3561="LO",6,10))+IF(D3561=1,2,IF(D3561=7,1,(IF(WEEKDAY(B3561)=1,2,IF(WEEKDAY(B3561)=7,1,0))))))</f>
        <v>3</v>
      </c>
      <c r="G3561" s="369">
        <f>VLOOKUP(C3561,METADATA!$J$5:$Q$29,IF(E3561="HI",2,IF(E3561="LO",6,10))+IF(D3561=1,2,IF(D3561=7,1,(IF(WEEKDAY(B3561)=1,2,IF(WEEKDAY(B3561)=7,1,0))))))</f>
        <v>3</v>
      </c>
      <c r="H3561" s="370">
        <v>12785.999633789063</v>
      </c>
      <c r="I3561" s="370">
        <v>9975.4498291015625</v>
      </c>
      <c r="M3561" s="371">
        <f t="shared" si="221"/>
        <v>16217.009154840371</v>
      </c>
      <c r="N3561" s="329">
        <f t="shared" si="222"/>
        <v>6139.6499389648434</v>
      </c>
      <c r="T3561" s="331">
        <v>0</v>
      </c>
      <c r="U3561" s="328">
        <f>VLOOKUP(C3561,METADATA!$J$5:$Q$29,IF(E3561="HI",2,IF(E3561="LO",6,10))+IF(T3561=1,2,IF(D3561=7,1,(IF(WEEKDAY(B3561)=1,2,IF(WEEKDAY(B3561)=7,1,0))))))</f>
        <v>3</v>
      </c>
      <c r="V3561" s="328">
        <f>VLOOKUP(C3561,METADATA!$A$5:$H$29,IF(E3561="HI",2,IF(E3561="LO",6,10))+IF(T3561=1,2,IF(D3561=7,1,(IF(WEEKDAY(B3561)=1,2,IF(WEEKDAY(B3561)=7,1,0))))))</f>
        <v>3</v>
      </c>
    </row>
    <row r="3562" spans="2:22">
      <c r="B3562" s="318">
        <f t="shared" si="223"/>
        <v>46261</v>
      </c>
      <c r="C3562" s="312">
        <v>6</v>
      </c>
      <c r="D3562" s="368">
        <f>IFERROR((INDEX(METADATA!$T$2:$T$20,MATCH(B3562,METADATA!$S$2:$S$20,0))),0)</f>
        <v>0</v>
      </c>
      <c r="E3562" s="312" t="str">
        <f t="shared" si="220"/>
        <v>LO</v>
      </c>
      <c r="F3562" s="369">
        <f>VLOOKUP(C3562,METADATA!$A$5:$H$29,IF(E3562="HI",2,IF(E3562="LO",6,10))+IF(D3562=1,2,IF(D3562=7,1,(IF(WEEKDAY(B3562)=1,2,IF(WEEKDAY(B3562)=7,1,0))))))</f>
        <v>2</v>
      </c>
      <c r="G3562" s="369">
        <f>VLOOKUP(C3562,METADATA!$J$5:$Q$29,IF(E3562="HI",2,IF(E3562="LO",6,10))+IF(D3562=1,2,IF(D3562=7,1,(IF(WEEKDAY(B3562)=1,2,IF(WEEKDAY(B3562)=7,1,0))))))</f>
        <v>2</v>
      </c>
      <c r="H3562" s="370">
        <v>12734.224853515625</v>
      </c>
      <c r="I3562" s="370">
        <v>9849.9998779296875</v>
      </c>
      <c r="M3562" s="371">
        <f t="shared" si="221"/>
        <v>16099.160854377158</v>
      </c>
      <c r="N3562" s="329">
        <f t="shared" si="222"/>
        <v>6029.732421875</v>
      </c>
      <c r="T3562" s="331">
        <v>0</v>
      </c>
      <c r="U3562" s="328">
        <f>VLOOKUP(C3562,METADATA!$J$5:$Q$29,IF(E3562="HI",2,IF(E3562="LO",6,10))+IF(T3562=1,2,IF(D3562=7,1,(IF(WEEKDAY(B3562)=1,2,IF(WEEKDAY(B3562)=7,1,0))))))</f>
        <v>2</v>
      </c>
      <c r="V3562" s="328">
        <f>VLOOKUP(C3562,METADATA!$A$5:$H$29,IF(E3562="HI",2,IF(E3562="LO",6,10))+IF(T3562=1,2,IF(D3562=7,1,(IF(WEEKDAY(B3562)=1,2,IF(WEEKDAY(B3562)=7,1,0))))))</f>
        <v>2</v>
      </c>
    </row>
    <row r="3563" spans="2:22">
      <c r="B3563" s="318">
        <f t="shared" si="223"/>
        <v>46261</v>
      </c>
      <c r="C3563" s="312">
        <v>7</v>
      </c>
      <c r="D3563" s="368">
        <f>IFERROR((INDEX(METADATA!$T$2:$T$20,MATCH(B3563,METADATA!$S$2:$S$20,0))),0)</f>
        <v>0</v>
      </c>
      <c r="E3563" s="312" t="str">
        <f t="shared" si="220"/>
        <v>LO</v>
      </c>
      <c r="F3563" s="369">
        <f>VLOOKUP(C3563,METADATA!$A$5:$H$29,IF(E3563="HI",2,IF(E3563="LO",6,10))+IF(D3563=1,2,IF(D3563=7,1,(IF(WEEKDAY(B3563)=1,2,IF(WEEKDAY(B3563)=7,1,0))))))</f>
        <v>1</v>
      </c>
      <c r="G3563" s="369">
        <f>VLOOKUP(C3563,METADATA!$J$5:$Q$29,IF(E3563="HI",2,IF(E3563="LO",6,10))+IF(D3563=1,2,IF(D3563=7,1,(IF(WEEKDAY(B3563)=1,2,IF(WEEKDAY(B3563)=7,1,0))))))</f>
        <v>1</v>
      </c>
      <c r="H3563" s="370">
        <v>12939.400268554688</v>
      </c>
      <c r="I3563" s="370">
        <v>9791.60009765625</v>
      </c>
      <c r="M3563" s="371">
        <f t="shared" si="221"/>
        <v>16226.62971113518</v>
      </c>
      <c r="N3563" s="329">
        <f t="shared" si="222"/>
        <v>5909.7800170898445</v>
      </c>
      <c r="T3563" s="331">
        <v>0</v>
      </c>
      <c r="U3563" s="328">
        <f>VLOOKUP(C3563,METADATA!$J$5:$Q$29,IF(E3563="HI",2,IF(E3563="LO",6,10))+IF(T3563=1,2,IF(D3563=7,1,(IF(WEEKDAY(B3563)=1,2,IF(WEEKDAY(B3563)=7,1,0))))))</f>
        <v>1</v>
      </c>
      <c r="V3563" s="328">
        <f>VLOOKUP(C3563,METADATA!$A$5:$H$29,IF(E3563="HI",2,IF(E3563="LO",6,10))+IF(T3563=1,2,IF(D3563=7,1,(IF(WEEKDAY(B3563)=1,2,IF(WEEKDAY(B3563)=7,1,0))))))</f>
        <v>1</v>
      </c>
    </row>
    <row r="3564" spans="2:22">
      <c r="B3564" s="318">
        <f t="shared" si="223"/>
        <v>46261</v>
      </c>
      <c r="C3564" s="312">
        <v>8</v>
      </c>
      <c r="D3564" s="368">
        <f>IFERROR((INDEX(METADATA!$T$2:$T$20,MATCH(B3564,METADATA!$S$2:$S$20,0))),0)</f>
        <v>0</v>
      </c>
      <c r="E3564" s="312" t="str">
        <f t="shared" si="220"/>
        <v>LO</v>
      </c>
      <c r="F3564" s="369">
        <f>VLOOKUP(C3564,METADATA!$A$5:$H$29,IF(E3564="HI",2,IF(E3564="LO",6,10))+IF(D3564=1,2,IF(D3564=7,1,(IF(WEEKDAY(B3564)=1,2,IF(WEEKDAY(B3564)=7,1,0))))))</f>
        <v>1</v>
      </c>
      <c r="G3564" s="369">
        <f>VLOOKUP(C3564,METADATA!$J$5:$Q$29,IF(E3564="HI",2,IF(E3564="LO",6,10))+IF(D3564=1,2,IF(D3564=7,1,(IF(WEEKDAY(B3564)=1,2,IF(WEEKDAY(B3564)=7,1,0))))))</f>
        <v>1</v>
      </c>
      <c r="H3564" s="370">
        <v>12239.775085449219</v>
      </c>
      <c r="I3564" s="370">
        <v>9228.6998901367188</v>
      </c>
      <c r="M3564" s="371">
        <f t="shared" si="221"/>
        <v>15329.089855715274</v>
      </c>
      <c r="N3564" s="329">
        <f t="shared" si="222"/>
        <v>5556.7673645019531</v>
      </c>
      <c r="T3564" s="331">
        <v>0</v>
      </c>
      <c r="U3564" s="328">
        <f>VLOOKUP(C3564,METADATA!$J$5:$Q$29,IF(E3564="HI",2,IF(E3564="LO",6,10))+IF(T3564=1,2,IF(D3564=7,1,(IF(WEEKDAY(B3564)=1,2,IF(WEEKDAY(B3564)=7,1,0))))))</f>
        <v>1</v>
      </c>
      <c r="V3564" s="328">
        <f>VLOOKUP(C3564,METADATA!$A$5:$H$29,IF(E3564="HI",2,IF(E3564="LO",6,10))+IF(T3564=1,2,IF(D3564=7,1,(IF(WEEKDAY(B3564)=1,2,IF(WEEKDAY(B3564)=7,1,0))))))</f>
        <v>1</v>
      </c>
    </row>
    <row r="3565" spans="2:22">
      <c r="B3565" s="318">
        <f t="shared" si="223"/>
        <v>46261</v>
      </c>
      <c r="C3565" s="312">
        <v>9</v>
      </c>
      <c r="D3565" s="368">
        <f>IFERROR((INDEX(METADATA!$T$2:$T$20,MATCH(B3565,METADATA!$S$2:$S$20,0))),0)</f>
        <v>0</v>
      </c>
      <c r="E3565" s="312" t="str">
        <f t="shared" si="220"/>
        <v>LO</v>
      </c>
      <c r="F3565" s="369">
        <f>VLOOKUP(C3565,METADATA!$A$5:$H$29,IF(E3565="HI",2,IF(E3565="LO",6,10))+IF(D3565=1,2,IF(D3565=7,1,(IF(WEEKDAY(B3565)=1,2,IF(WEEKDAY(B3565)=7,1,0))))))</f>
        <v>2</v>
      </c>
      <c r="G3565" s="369">
        <f>VLOOKUP(C3565,METADATA!$J$5:$Q$29,IF(E3565="HI",2,IF(E3565="LO",6,10))+IF(D3565=1,2,IF(D3565=7,1,(IF(WEEKDAY(B3565)=1,2,IF(WEEKDAY(B3565)=7,1,0))))))</f>
        <v>2</v>
      </c>
      <c r="H3565" s="370">
        <v>11805.349975585938</v>
      </c>
      <c r="I3565" s="370">
        <v>8957.0498657226563</v>
      </c>
      <c r="M3565" s="371">
        <f t="shared" si="221"/>
        <v>14818.739161720512</v>
      </c>
      <c r="N3565" s="329">
        <f t="shared" si="222"/>
        <v>5415.4448730468757</v>
      </c>
      <c r="T3565" s="331">
        <v>0</v>
      </c>
      <c r="U3565" s="328">
        <f>VLOOKUP(C3565,METADATA!$J$5:$Q$29,IF(E3565="HI",2,IF(E3565="LO",6,10))+IF(T3565=1,2,IF(D3565=7,1,(IF(WEEKDAY(B3565)=1,2,IF(WEEKDAY(B3565)=7,1,0))))))</f>
        <v>2</v>
      </c>
      <c r="V3565" s="328">
        <f>VLOOKUP(C3565,METADATA!$A$5:$H$29,IF(E3565="HI",2,IF(E3565="LO",6,10))+IF(T3565=1,2,IF(D3565=7,1,(IF(WEEKDAY(B3565)=1,2,IF(WEEKDAY(B3565)=7,1,0))))))</f>
        <v>2</v>
      </c>
    </row>
    <row r="3566" spans="2:22">
      <c r="B3566" s="318">
        <f t="shared" si="223"/>
        <v>46261</v>
      </c>
      <c r="C3566" s="312">
        <v>10</v>
      </c>
      <c r="D3566" s="368">
        <f>IFERROR((INDEX(METADATA!$T$2:$T$20,MATCH(B3566,METADATA!$S$2:$S$20,0))),0)</f>
        <v>0</v>
      </c>
      <c r="E3566" s="312" t="str">
        <f t="shared" si="220"/>
        <v>LO</v>
      </c>
      <c r="F3566" s="369">
        <f>VLOOKUP(C3566,METADATA!$A$5:$H$29,IF(E3566="HI",2,IF(E3566="LO",6,10))+IF(D3566=1,2,IF(D3566=7,1,(IF(WEEKDAY(B3566)=1,2,IF(WEEKDAY(B3566)=7,1,0))))))</f>
        <v>2</v>
      </c>
      <c r="G3566" s="369">
        <f>VLOOKUP(C3566,METADATA!$J$5:$Q$29,IF(E3566="HI",2,IF(E3566="LO",6,10))+IF(D3566=1,2,IF(D3566=7,1,(IF(WEEKDAY(B3566)=1,2,IF(WEEKDAY(B3566)=7,1,0))))))</f>
        <v>2</v>
      </c>
      <c r="H3566" s="370">
        <v>12751.999816894531</v>
      </c>
      <c r="I3566" s="370">
        <v>10126.199951171875</v>
      </c>
      <c r="M3566" s="371">
        <f t="shared" si="221"/>
        <v>16283.532318916294</v>
      </c>
      <c r="N3566" s="329">
        <f t="shared" si="222"/>
        <v>6300.6000061035156</v>
      </c>
      <c r="T3566" s="331">
        <v>0</v>
      </c>
      <c r="U3566" s="328">
        <f>VLOOKUP(C3566,METADATA!$J$5:$Q$29,IF(E3566="HI",2,IF(E3566="LO",6,10))+IF(T3566=1,2,IF(D3566=7,1,(IF(WEEKDAY(B3566)=1,2,IF(WEEKDAY(B3566)=7,1,0))))))</f>
        <v>2</v>
      </c>
      <c r="V3566" s="328">
        <f>VLOOKUP(C3566,METADATA!$A$5:$H$29,IF(E3566="HI",2,IF(E3566="LO",6,10))+IF(T3566=1,2,IF(D3566=7,1,(IF(WEEKDAY(B3566)=1,2,IF(WEEKDAY(B3566)=7,1,0))))))</f>
        <v>2</v>
      </c>
    </row>
    <row r="3567" spans="2:22">
      <c r="B3567" s="318">
        <f t="shared" si="223"/>
        <v>46261</v>
      </c>
      <c r="C3567" s="312">
        <v>11</v>
      </c>
      <c r="D3567" s="368">
        <f>IFERROR((INDEX(METADATA!$T$2:$T$20,MATCH(B3567,METADATA!$S$2:$S$20,0))),0)</f>
        <v>0</v>
      </c>
      <c r="E3567" s="312" t="str">
        <f t="shared" si="220"/>
        <v>LO</v>
      </c>
      <c r="F3567" s="369">
        <f>VLOOKUP(C3567,METADATA!$A$5:$H$29,IF(E3567="HI",2,IF(E3567="LO",6,10))+IF(D3567=1,2,IF(D3567=7,1,(IF(WEEKDAY(B3567)=1,2,IF(WEEKDAY(B3567)=7,1,0))))))</f>
        <v>2</v>
      </c>
      <c r="G3567" s="369">
        <f>VLOOKUP(C3567,METADATA!$J$5:$Q$29,IF(E3567="HI",2,IF(E3567="LO",6,10))+IF(D3567=1,2,IF(D3567=7,1,(IF(WEEKDAY(B3567)=1,2,IF(WEEKDAY(B3567)=7,1,0))))))</f>
        <v>2</v>
      </c>
      <c r="H3567" s="370">
        <v>12691.4248046875</v>
      </c>
      <c r="I3567" s="370">
        <v>10206.275024414063</v>
      </c>
      <c r="M3567" s="371">
        <f t="shared" si="221"/>
        <v>16286.200092317895</v>
      </c>
      <c r="N3567" s="329">
        <f t="shared" si="222"/>
        <v>6398.8475830078132</v>
      </c>
      <c r="T3567" s="331">
        <v>0</v>
      </c>
      <c r="U3567" s="328">
        <f>VLOOKUP(C3567,METADATA!$J$5:$Q$29,IF(E3567="HI",2,IF(E3567="LO",6,10))+IF(T3567=1,2,IF(D3567=7,1,(IF(WEEKDAY(B3567)=1,2,IF(WEEKDAY(B3567)=7,1,0))))))</f>
        <v>2</v>
      </c>
      <c r="V3567" s="328">
        <f>VLOOKUP(C3567,METADATA!$A$5:$H$29,IF(E3567="HI",2,IF(E3567="LO",6,10))+IF(T3567=1,2,IF(D3567=7,1,(IF(WEEKDAY(B3567)=1,2,IF(WEEKDAY(B3567)=7,1,0))))))</f>
        <v>2</v>
      </c>
    </row>
    <row r="3568" spans="2:22">
      <c r="B3568" s="318">
        <f t="shared" si="223"/>
        <v>46261</v>
      </c>
      <c r="C3568" s="312">
        <v>12</v>
      </c>
      <c r="D3568" s="368">
        <f>IFERROR((INDEX(METADATA!$T$2:$T$20,MATCH(B3568,METADATA!$S$2:$S$20,0))),0)</f>
        <v>0</v>
      </c>
      <c r="E3568" s="312" t="str">
        <f t="shared" si="220"/>
        <v>LO</v>
      </c>
      <c r="F3568" s="369">
        <f>VLOOKUP(C3568,METADATA!$A$5:$H$29,IF(E3568="HI",2,IF(E3568="LO",6,10))+IF(D3568=1,2,IF(D3568=7,1,(IF(WEEKDAY(B3568)=1,2,IF(WEEKDAY(B3568)=7,1,0))))))</f>
        <v>2</v>
      </c>
      <c r="G3568" s="369">
        <f>VLOOKUP(C3568,METADATA!$J$5:$Q$29,IF(E3568="HI",2,IF(E3568="LO",6,10))+IF(D3568=1,2,IF(D3568=7,1,(IF(WEEKDAY(B3568)=1,2,IF(WEEKDAY(B3568)=7,1,0))))))</f>
        <v>2</v>
      </c>
      <c r="H3568" s="370">
        <v>12756.074890136719</v>
      </c>
      <c r="I3568" s="370">
        <v>9916.599853515625</v>
      </c>
      <c r="M3568" s="371">
        <f t="shared" si="221"/>
        <v>16157.239840316866</v>
      </c>
      <c r="N3568" s="329">
        <f t="shared" si="222"/>
        <v>6089.7773864746096</v>
      </c>
      <c r="T3568" s="331">
        <v>0</v>
      </c>
      <c r="U3568" s="328">
        <f>VLOOKUP(C3568,METADATA!$J$5:$Q$29,IF(E3568="HI",2,IF(E3568="LO",6,10))+IF(T3568=1,2,IF(D3568=7,1,(IF(WEEKDAY(B3568)=1,2,IF(WEEKDAY(B3568)=7,1,0))))))</f>
        <v>2</v>
      </c>
      <c r="V3568" s="328">
        <f>VLOOKUP(C3568,METADATA!$A$5:$H$29,IF(E3568="HI",2,IF(E3568="LO",6,10))+IF(T3568=1,2,IF(D3568=7,1,(IF(WEEKDAY(B3568)=1,2,IF(WEEKDAY(B3568)=7,1,0))))))</f>
        <v>2</v>
      </c>
    </row>
    <row r="3569" spans="2:22">
      <c r="B3569" s="318">
        <f t="shared" si="223"/>
        <v>46261</v>
      </c>
      <c r="C3569" s="312">
        <v>13</v>
      </c>
      <c r="D3569" s="368">
        <f>IFERROR((INDEX(METADATA!$T$2:$T$20,MATCH(B3569,METADATA!$S$2:$S$20,0))),0)</f>
        <v>0</v>
      </c>
      <c r="E3569" s="312" t="str">
        <f t="shared" si="220"/>
        <v>LO</v>
      </c>
      <c r="F3569" s="369">
        <f>VLOOKUP(C3569,METADATA!$A$5:$H$29,IF(E3569="HI",2,IF(E3569="LO",6,10))+IF(D3569=1,2,IF(D3569=7,1,(IF(WEEKDAY(B3569)=1,2,IF(WEEKDAY(B3569)=7,1,0))))))</f>
        <v>2</v>
      </c>
      <c r="G3569" s="369">
        <f>VLOOKUP(C3569,METADATA!$J$5:$Q$29,IF(E3569="HI",2,IF(E3569="LO",6,10))+IF(D3569=1,2,IF(D3569=7,1,(IF(WEEKDAY(B3569)=1,2,IF(WEEKDAY(B3569)=7,1,0))))))</f>
        <v>2</v>
      </c>
      <c r="H3569" s="370">
        <v>12728.125244140625</v>
      </c>
      <c r="I3569" s="370">
        <v>9931.52490234375</v>
      </c>
      <c r="M3569" s="371">
        <f t="shared" si="221"/>
        <v>16144.359978531322</v>
      </c>
      <c r="N3569" s="329">
        <f t="shared" si="222"/>
        <v>6113.0873291015632</v>
      </c>
      <c r="T3569" s="331">
        <v>0</v>
      </c>
      <c r="U3569" s="328">
        <f>VLOOKUP(C3569,METADATA!$J$5:$Q$29,IF(E3569="HI",2,IF(E3569="LO",6,10))+IF(T3569=1,2,IF(D3569=7,1,(IF(WEEKDAY(B3569)=1,2,IF(WEEKDAY(B3569)=7,1,0))))))</f>
        <v>2</v>
      </c>
      <c r="V3569" s="328">
        <f>VLOOKUP(C3569,METADATA!$A$5:$H$29,IF(E3569="HI",2,IF(E3569="LO",6,10))+IF(T3569=1,2,IF(D3569=7,1,(IF(WEEKDAY(B3569)=1,2,IF(WEEKDAY(B3569)=7,1,0))))))</f>
        <v>2</v>
      </c>
    </row>
    <row r="3570" spans="2:22">
      <c r="B3570" s="318">
        <f t="shared" si="223"/>
        <v>46261</v>
      </c>
      <c r="C3570" s="312">
        <v>14</v>
      </c>
      <c r="D3570" s="368">
        <f>IFERROR((INDEX(METADATA!$T$2:$T$20,MATCH(B3570,METADATA!$S$2:$S$20,0))),0)</f>
        <v>0</v>
      </c>
      <c r="E3570" s="312" t="str">
        <f t="shared" si="220"/>
        <v>LO</v>
      </c>
      <c r="F3570" s="369">
        <f>VLOOKUP(C3570,METADATA!$A$5:$H$29,IF(E3570="HI",2,IF(E3570="LO",6,10))+IF(D3570=1,2,IF(D3570=7,1,(IF(WEEKDAY(B3570)=1,2,IF(WEEKDAY(B3570)=7,1,0))))))</f>
        <v>2</v>
      </c>
      <c r="G3570" s="369">
        <f>VLOOKUP(C3570,METADATA!$J$5:$Q$29,IF(E3570="HI",2,IF(E3570="LO",6,10))+IF(D3570=1,2,IF(D3570=7,1,(IF(WEEKDAY(B3570)=1,2,IF(WEEKDAY(B3570)=7,1,0))))))</f>
        <v>2</v>
      </c>
      <c r="H3570" s="370">
        <v>12637.099853515625</v>
      </c>
      <c r="I3570" s="370">
        <v>9947.72509765625</v>
      </c>
      <c r="M3570" s="371">
        <f t="shared" si="221"/>
        <v>16082.708954845408</v>
      </c>
      <c r="N3570" s="329">
        <f t="shared" si="222"/>
        <v>6156.5951416015632</v>
      </c>
      <c r="T3570" s="331">
        <v>0</v>
      </c>
      <c r="U3570" s="328">
        <f>VLOOKUP(C3570,METADATA!$J$5:$Q$29,IF(E3570="HI",2,IF(E3570="LO",6,10))+IF(T3570=1,2,IF(D3570=7,1,(IF(WEEKDAY(B3570)=1,2,IF(WEEKDAY(B3570)=7,1,0))))))</f>
        <v>2</v>
      </c>
      <c r="V3570" s="328">
        <f>VLOOKUP(C3570,METADATA!$A$5:$H$29,IF(E3570="HI",2,IF(E3570="LO",6,10))+IF(T3570=1,2,IF(D3570=7,1,(IF(WEEKDAY(B3570)=1,2,IF(WEEKDAY(B3570)=7,1,0))))))</f>
        <v>2</v>
      </c>
    </row>
    <row r="3571" spans="2:22">
      <c r="B3571" s="318">
        <f t="shared" si="223"/>
        <v>46261</v>
      </c>
      <c r="C3571" s="312">
        <v>15</v>
      </c>
      <c r="D3571" s="368">
        <f>IFERROR((INDEX(METADATA!$T$2:$T$20,MATCH(B3571,METADATA!$S$2:$S$20,0))),0)</f>
        <v>0</v>
      </c>
      <c r="E3571" s="312" t="str">
        <f t="shared" si="220"/>
        <v>LO</v>
      </c>
      <c r="F3571" s="369">
        <f>VLOOKUP(C3571,METADATA!$A$5:$H$29,IF(E3571="HI",2,IF(E3571="LO",6,10))+IF(D3571=1,2,IF(D3571=7,1,(IF(WEEKDAY(B3571)=1,2,IF(WEEKDAY(B3571)=7,1,0))))))</f>
        <v>2</v>
      </c>
      <c r="G3571" s="369">
        <f>VLOOKUP(C3571,METADATA!$J$5:$Q$29,IF(E3571="HI",2,IF(E3571="LO",6,10))+IF(D3571=1,2,IF(D3571=7,1,(IF(WEEKDAY(B3571)=1,2,IF(WEEKDAY(B3571)=7,1,0))))))</f>
        <v>2</v>
      </c>
      <c r="H3571" s="370">
        <v>12633.000122070313</v>
      </c>
      <c r="I3571" s="370">
        <v>9885.2750854492188</v>
      </c>
      <c r="M3571" s="371">
        <f t="shared" si="221"/>
        <v>16040.927516800004</v>
      </c>
      <c r="N3571" s="329">
        <f t="shared" si="222"/>
        <v>6095.3750488281257</v>
      </c>
      <c r="T3571" s="331">
        <v>0</v>
      </c>
      <c r="U3571" s="328">
        <f>VLOOKUP(C3571,METADATA!$J$5:$Q$29,IF(E3571="HI",2,IF(E3571="LO",6,10))+IF(T3571=1,2,IF(D3571=7,1,(IF(WEEKDAY(B3571)=1,2,IF(WEEKDAY(B3571)=7,1,0))))))</f>
        <v>2</v>
      </c>
      <c r="V3571" s="328">
        <f>VLOOKUP(C3571,METADATA!$A$5:$H$29,IF(E3571="HI",2,IF(E3571="LO",6,10))+IF(T3571=1,2,IF(D3571=7,1,(IF(WEEKDAY(B3571)=1,2,IF(WEEKDAY(B3571)=7,1,0))))))</f>
        <v>2</v>
      </c>
    </row>
    <row r="3572" spans="2:22">
      <c r="B3572" s="318">
        <f t="shared" si="223"/>
        <v>46261</v>
      </c>
      <c r="C3572" s="312">
        <v>16</v>
      </c>
      <c r="D3572" s="368">
        <f>IFERROR((INDEX(METADATA!$T$2:$T$20,MATCH(B3572,METADATA!$S$2:$S$20,0))),0)</f>
        <v>0</v>
      </c>
      <c r="E3572" s="312" t="str">
        <f t="shared" si="220"/>
        <v>LO</v>
      </c>
      <c r="F3572" s="369">
        <f>VLOOKUP(C3572,METADATA!$A$5:$H$29,IF(E3572="HI",2,IF(E3572="LO",6,10))+IF(D3572=1,2,IF(D3572=7,1,(IF(WEEKDAY(B3572)=1,2,IF(WEEKDAY(B3572)=7,1,0))))))</f>
        <v>2</v>
      </c>
      <c r="G3572" s="369">
        <f>VLOOKUP(C3572,METADATA!$J$5:$Q$29,IF(E3572="HI",2,IF(E3572="LO",6,10))+IF(D3572=1,2,IF(D3572=7,1,(IF(WEEKDAY(B3572)=1,2,IF(WEEKDAY(B3572)=7,1,0))))))</f>
        <v>2</v>
      </c>
      <c r="H3572" s="370">
        <v>12616.950012207031</v>
      </c>
      <c r="I3572" s="370">
        <v>9671.9749755859375</v>
      </c>
      <c r="M3572" s="371">
        <f t="shared" si="221"/>
        <v>15897.626475008514</v>
      </c>
      <c r="N3572" s="329">
        <f t="shared" si="222"/>
        <v>5886.8899719238289</v>
      </c>
      <c r="T3572" s="331">
        <v>0</v>
      </c>
      <c r="U3572" s="328">
        <f>VLOOKUP(C3572,METADATA!$J$5:$Q$29,IF(E3572="HI",2,IF(E3572="LO",6,10))+IF(T3572=1,2,IF(D3572=7,1,(IF(WEEKDAY(B3572)=1,2,IF(WEEKDAY(B3572)=7,1,0))))))</f>
        <v>2</v>
      </c>
      <c r="V3572" s="328">
        <f>VLOOKUP(C3572,METADATA!$A$5:$H$29,IF(E3572="HI",2,IF(E3572="LO",6,10))+IF(T3572=1,2,IF(D3572=7,1,(IF(WEEKDAY(B3572)=1,2,IF(WEEKDAY(B3572)=7,1,0))))))</f>
        <v>2</v>
      </c>
    </row>
    <row r="3573" spans="2:22">
      <c r="B3573" s="318">
        <f t="shared" si="223"/>
        <v>46261</v>
      </c>
      <c r="C3573" s="312">
        <v>17</v>
      </c>
      <c r="D3573" s="368">
        <f>IFERROR((INDEX(METADATA!$T$2:$T$20,MATCH(B3573,METADATA!$S$2:$S$20,0))),0)</f>
        <v>0</v>
      </c>
      <c r="E3573" s="312" t="str">
        <f t="shared" si="220"/>
        <v>LO</v>
      </c>
      <c r="F3573" s="369">
        <f>VLOOKUP(C3573,METADATA!$A$5:$H$29,IF(E3573="HI",2,IF(E3573="LO",6,10))+IF(D3573=1,2,IF(D3573=7,1,(IF(WEEKDAY(B3573)=1,2,IF(WEEKDAY(B3573)=7,1,0))))))</f>
        <v>2</v>
      </c>
      <c r="G3573" s="369">
        <f>VLOOKUP(C3573,METADATA!$J$5:$Q$29,IF(E3573="HI",2,IF(E3573="LO",6,10))+IF(D3573=1,2,IF(D3573=7,1,(IF(WEEKDAY(B3573)=1,2,IF(WEEKDAY(B3573)=7,1,0))))))</f>
        <v>2</v>
      </c>
      <c r="H3573" s="370">
        <v>12555.799743652344</v>
      </c>
      <c r="I3573" s="370">
        <v>9636.6000366210938</v>
      </c>
      <c r="M3573" s="371">
        <f t="shared" si="221"/>
        <v>15827.576171622297</v>
      </c>
      <c r="N3573" s="329">
        <f t="shared" si="222"/>
        <v>5869.8601135253903</v>
      </c>
      <c r="T3573" s="331">
        <v>0</v>
      </c>
      <c r="U3573" s="328">
        <f>VLOOKUP(C3573,METADATA!$J$5:$Q$29,IF(E3573="HI",2,IF(E3573="LO",6,10))+IF(T3573=1,2,IF(D3573=7,1,(IF(WEEKDAY(B3573)=1,2,IF(WEEKDAY(B3573)=7,1,0))))))</f>
        <v>2</v>
      </c>
      <c r="V3573" s="328">
        <f>VLOOKUP(C3573,METADATA!$A$5:$H$29,IF(E3573="HI",2,IF(E3573="LO",6,10))+IF(T3573=1,2,IF(D3573=7,1,(IF(WEEKDAY(B3573)=1,2,IF(WEEKDAY(B3573)=7,1,0))))))</f>
        <v>2</v>
      </c>
    </row>
    <row r="3574" spans="2:22">
      <c r="B3574" s="318">
        <f t="shared" si="223"/>
        <v>46261</v>
      </c>
      <c r="C3574" s="312">
        <v>18</v>
      </c>
      <c r="D3574" s="368">
        <f>IFERROR((INDEX(METADATA!$T$2:$T$20,MATCH(B3574,METADATA!$S$2:$S$20,0))),0)</f>
        <v>0</v>
      </c>
      <c r="E3574" s="312" t="str">
        <f t="shared" si="220"/>
        <v>LO</v>
      </c>
      <c r="F3574" s="369">
        <f>VLOOKUP(C3574,METADATA!$A$5:$H$29,IF(E3574="HI",2,IF(E3574="LO",6,10))+IF(D3574=1,2,IF(D3574=7,1,(IF(WEEKDAY(B3574)=1,2,IF(WEEKDAY(B3574)=7,1,0))))))</f>
        <v>1</v>
      </c>
      <c r="G3574" s="369">
        <f>VLOOKUP(C3574,METADATA!$J$5:$Q$29,IF(E3574="HI",2,IF(E3574="LO",6,10))+IF(D3574=1,2,IF(D3574=7,1,(IF(WEEKDAY(B3574)=1,2,IF(WEEKDAY(B3574)=7,1,0))))))</f>
        <v>1</v>
      </c>
      <c r="H3574" s="370">
        <v>12497.25</v>
      </c>
      <c r="I3574" s="370">
        <v>9470.8251342773438</v>
      </c>
      <c r="M3574" s="371">
        <f t="shared" si="221"/>
        <v>15680.490626461899</v>
      </c>
      <c r="N3574" s="329">
        <f t="shared" si="222"/>
        <v>5721.6501342773445</v>
      </c>
      <c r="T3574" s="331">
        <v>0</v>
      </c>
      <c r="U3574" s="328">
        <f>VLOOKUP(C3574,METADATA!$J$5:$Q$29,IF(E3574="HI",2,IF(E3574="LO",6,10))+IF(T3574=1,2,IF(D3574=7,1,(IF(WEEKDAY(B3574)=1,2,IF(WEEKDAY(B3574)=7,1,0))))))</f>
        <v>1</v>
      </c>
      <c r="V3574" s="328">
        <f>VLOOKUP(C3574,METADATA!$A$5:$H$29,IF(E3574="HI",2,IF(E3574="LO",6,10))+IF(T3574=1,2,IF(D3574=7,1,(IF(WEEKDAY(B3574)=1,2,IF(WEEKDAY(B3574)=7,1,0))))))</f>
        <v>1</v>
      </c>
    </row>
    <row r="3575" spans="2:22">
      <c r="B3575" s="318">
        <f t="shared" si="223"/>
        <v>46261</v>
      </c>
      <c r="C3575" s="312">
        <v>19</v>
      </c>
      <c r="D3575" s="368">
        <f>IFERROR((INDEX(METADATA!$T$2:$T$20,MATCH(B3575,METADATA!$S$2:$S$20,0))),0)</f>
        <v>0</v>
      </c>
      <c r="E3575" s="312" t="str">
        <f t="shared" si="220"/>
        <v>LO</v>
      </c>
      <c r="F3575" s="369">
        <f>VLOOKUP(C3575,METADATA!$A$5:$H$29,IF(E3575="HI",2,IF(E3575="LO",6,10))+IF(D3575=1,2,IF(D3575=7,1,(IF(WEEKDAY(B3575)=1,2,IF(WEEKDAY(B3575)=7,1,0))))))</f>
        <v>1</v>
      </c>
      <c r="G3575" s="369">
        <f>VLOOKUP(C3575,METADATA!$J$5:$Q$29,IF(E3575="HI",2,IF(E3575="LO",6,10))+IF(D3575=1,2,IF(D3575=7,1,(IF(WEEKDAY(B3575)=1,2,IF(WEEKDAY(B3575)=7,1,0))))))</f>
        <v>1</v>
      </c>
      <c r="H3575" s="370">
        <v>12587.275085449219</v>
      </c>
      <c r="I3575" s="370">
        <v>9549.5000610351563</v>
      </c>
      <c r="M3575" s="371">
        <f t="shared" si="221"/>
        <v>15799.7609314977</v>
      </c>
      <c r="N3575" s="329">
        <f t="shared" si="222"/>
        <v>5773.3175354003906</v>
      </c>
      <c r="T3575" s="331">
        <v>0</v>
      </c>
      <c r="U3575" s="328">
        <f>VLOOKUP(C3575,METADATA!$J$5:$Q$29,IF(E3575="HI",2,IF(E3575="LO",6,10))+IF(T3575=1,2,IF(D3575=7,1,(IF(WEEKDAY(B3575)=1,2,IF(WEEKDAY(B3575)=7,1,0))))))</f>
        <v>1</v>
      </c>
      <c r="V3575" s="328">
        <f>VLOOKUP(C3575,METADATA!$A$5:$H$29,IF(E3575="HI",2,IF(E3575="LO",6,10))+IF(T3575=1,2,IF(D3575=7,1,(IF(WEEKDAY(B3575)=1,2,IF(WEEKDAY(B3575)=7,1,0))))))</f>
        <v>1</v>
      </c>
    </row>
    <row r="3576" spans="2:22">
      <c r="B3576" s="318">
        <f t="shared" si="223"/>
        <v>46261</v>
      </c>
      <c r="C3576" s="312">
        <v>20</v>
      </c>
      <c r="D3576" s="368">
        <f>IFERROR((INDEX(METADATA!$T$2:$T$20,MATCH(B3576,METADATA!$S$2:$S$20,0))),0)</f>
        <v>0</v>
      </c>
      <c r="E3576" s="312" t="str">
        <f t="shared" si="220"/>
        <v>LO</v>
      </c>
      <c r="F3576" s="369">
        <f>VLOOKUP(C3576,METADATA!$A$5:$H$29,IF(E3576="HI",2,IF(E3576="LO",6,10))+IF(D3576=1,2,IF(D3576=7,1,(IF(WEEKDAY(B3576)=1,2,IF(WEEKDAY(B3576)=7,1,0))))))</f>
        <v>1</v>
      </c>
      <c r="G3576" s="369">
        <f>VLOOKUP(C3576,METADATA!$J$5:$Q$29,IF(E3576="HI",2,IF(E3576="LO",6,10))+IF(D3576=1,2,IF(D3576=7,1,(IF(WEEKDAY(B3576)=1,2,IF(WEEKDAY(B3576)=7,1,0))))))</f>
        <v>1</v>
      </c>
      <c r="H3576" s="370">
        <v>12542.199768066406</v>
      </c>
      <c r="I3576" s="370">
        <v>9688.5</v>
      </c>
      <c r="M3576" s="371">
        <f t="shared" si="221"/>
        <v>15848.463877363163</v>
      </c>
      <c r="N3576" s="329">
        <f t="shared" si="222"/>
        <v>5925.8400695800783</v>
      </c>
      <c r="T3576" s="331">
        <v>0</v>
      </c>
      <c r="U3576" s="328">
        <f>VLOOKUP(C3576,METADATA!$J$5:$Q$29,IF(E3576="HI",2,IF(E3576="LO",6,10))+IF(T3576=1,2,IF(D3576=7,1,(IF(WEEKDAY(B3576)=1,2,IF(WEEKDAY(B3576)=7,1,0))))))</f>
        <v>1</v>
      </c>
      <c r="V3576" s="328">
        <f>VLOOKUP(C3576,METADATA!$A$5:$H$29,IF(E3576="HI",2,IF(E3576="LO",6,10))+IF(T3576=1,2,IF(D3576=7,1,(IF(WEEKDAY(B3576)=1,2,IF(WEEKDAY(B3576)=7,1,0))))))</f>
        <v>1</v>
      </c>
    </row>
    <row r="3577" spans="2:22">
      <c r="B3577" s="318">
        <f t="shared" si="223"/>
        <v>46261</v>
      </c>
      <c r="C3577" s="312">
        <v>21</v>
      </c>
      <c r="D3577" s="368">
        <f>IFERROR((INDEX(METADATA!$T$2:$T$20,MATCH(B3577,METADATA!$S$2:$S$20,0))),0)</f>
        <v>0</v>
      </c>
      <c r="E3577" s="312" t="str">
        <f t="shared" si="220"/>
        <v>LO</v>
      </c>
      <c r="F3577" s="369">
        <f>VLOOKUP(C3577,METADATA!$A$5:$H$29,IF(E3577="HI",2,IF(E3577="LO",6,10))+IF(D3577=1,2,IF(D3577=7,1,(IF(WEEKDAY(B3577)=1,2,IF(WEEKDAY(B3577)=7,1,0))))))</f>
        <v>2</v>
      </c>
      <c r="G3577" s="369">
        <f>VLOOKUP(C3577,METADATA!$J$5:$Q$29,IF(E3577="HI",2,IF(E3577="LO",6,10))+IF(D3577=1,2,IF(D3577=7,1,(IF(WEEKDAY(B3577)=1,2,IF(WEEKDAY(B3577)=7,1,0))))))</f>
        <v>2</v>
      </c>
      <c r="H3577" s="370">
        <v>12394.52490234375</v>
      </c>
      <c r="I3577" s="370">
        <v>9581.9749145507813</v>
      </c>
      <c r="M3577" s="371">
        <f t="shared" si="221"/>
        <v>15666.476656156603</v>
      </c>
      <c r="N3577" s="329">
        <f t="shared" si="222"/>
        <v>5863.6174438476564</v>
      </c>
      <c r="T3577" s="331">
        <v>0</v>
      </c>
      <c r="U3577" s="328">
        <f>VLOOKUP(C3577,METADATA!$J$5:$Q$29,IF(E3577="HI",2,IF(E3577="LO",6,10))+IF(T3577=1,2,IF(D3577=7,1,(IF(WEEKDAY(B3577)=1,2,IF(WEEKDAY(B3577)=7,1,0))))))</f>
        <v>2</v>
      </c>
      <c r="V3577" s="328">
        <f>VLOOKUP(C3577,METADATA!$A$5:$H$29,IF(E3577="HI",2,IF(E3577="LO",6,10))+IF(T3577=1,2,IF(D3577=7,1,(IF(WEEKDAY(B3577)=1,2,IF(WEEKDAY(B3577)=7,1,0))))))</f>
        <v>2</v>
      </c>
    </row>
    <row r="3578" spans="2:22">
      <c r="B3578" s="318">
        <f t="shared" si="223"/>
        <v>46261</v>
      </c>
      <c r="C3578" s="312">
        <v>22</v>
      </c>
      <c r="D3578" s="368">
        <f>IFERROR((INDEX(METADATA!$T$2:$T$20,MATCH(B3578,METADATA!$S$2:$S$20,0))),0)</f>
        <v>0</v>
      </c>
      <c r="E3578" s="312" t="str">
        <f t="shared" si="220"/>
        <v>LO</v>
      </c>
      <c r="F3578" s="369">
        <f>VLOOKUP(C3578,METADATA!$A$5:$H$29,IF(E3578="HI",2,IF(E3578="LO",6,10))+IF(D3578=1,2,IF(D3578=7,1,(IF(WEEKDAY(B3578)=1,2,IF(WEEKDAY(B3578)=7,1,0))))))</f>
        <v>3</v>
      </c>
      <c r="G3578" s="369">
        <f>VLOOKUP(C3578,METADATA!$J$5:$Q$29,IF(E3578="HI",2,IF(E3578="LO",6,10))+IF(D3578=1,2,IF(D3578=7,1,(IF(WEEKDAY(B3578)=1,2,IF(WEEKDAY(B3578)=7,1,0))))))</f>
        <v>3</v>
      </c>
      <c r="H3578" s="370">
        <v>12409.224975585938</v>
      </c>
      <c r="I3578" s="370">
        <v>9750.0249633789063</v>
      </c>
      <c r="M3578" s="371">
        <f t="shared" si="221"/>
        <v>15781.376723252557</v>
      </c>
      <c r="N3578" s="329">
        <f t="shared" si="222"/>
        <v>6027.2574707031254</v>
      </c>
      <c r="T3578" s="331">
        <v>0</v>
      </c>
      <c r="U3578" s="328">
        <f>VLOOKUP(C3578,METADATA!$J$5:$Q$29,IF(E3578="HI",2,IF(E3578="LO",6,10))+IF(T3578=1,2,IF(D3578=7,1,(IF(WEEKDAY(B3578)=1,2,IF(WEEKDAY(B3578)=7,1,0))))))</f>
        <v>3</v>
      </c>
      <c r="V3578" s="328">
        <f>VLOOKUP(C3578,METADATA!$A$5:$H$29,IF(E3578="HI",2,IF(E3578="LO",6,10))+IF(T3578=1,2,IF(D3578=7,1,(IF(WEEKDAY(B3578)=1,2,IF(WEEKDAY(B3578)=7,1,0))))))</f>
        <v>3</v>
      </c>
    </row>
    <row r="3579" spans="2:22">
      <c r="B3579" s="318">
        <f t="shared" si="223"/>
        <v>46261</v>
      </c>
      <c r="C3579" s="312">
        <v>23</v>
      </c>
      <c r="D3579" s="368">
        <f>IFERROR((INDEX(METADATA!$T$2:$T$20,MATCH(B3579,METADATA!$S$2:$S$20,0))),0)</f>
        <v>0</v>
      </c>
      <c r="E3579" s="312" t="str">
        <f t="shared" si="220"/>
        <v>LO</v>
      </c>
      <c r="F3579" s="369">
        <f>VLOOKUP(C3579,METADATA!$A$5:$H$29,IF(E3579="HI",2,IF(E3579="LO",6,10))+IF(D3579=1,2,IF(D3579=7,1,(IF(WEEKDAY(B3579)=1,2,IF(WEEKDAY(B3579)=7,1,0))))))</f>
        <v>3</v>
      </c>
      <c r="G3579" s="369">
        <f>VLOOKUP(C3579,METADATA!$J$5:$Q$29,IF(E3579="HI",2,IF(E3579="LO",6,10))+IF(D3579=1,2,IF(D3579=7,1,(IF(WEEKDAY(B3579)=1,2,IF(WEEKDAY(B3579)=7,1,0))))))</f>
        <v>3</v>
      </c>
      <c r="H3579" s="370">
        <v>12472.89990234375</v>
      </c>
      <c r="I3579" s="370">
        <v>9783.5750122070313</v>
      </c>
      <c r="M3579" s="371">
        <f t="shared" si="221"/>
        <v>15852.178777485717</v>
      </c>
      <c r="N3579" s="329">
        <f t="shared" si="222"/>
        <v>6041.7050415039066</v>
      </c>
      <c r="T3579" s="331">
        <v>0</v>
      </c>
      <c r="U3579" s="328">
        <f>VLOOKUP(C3579,METADATA!$J$5:$Q$29,IF(E3579="HI",2,IF(E3579="LO",6,10))+IF(T3579=1,2,IF(D3579=7,1,(IF(WEEKDAY(B3579)=1,2,IF(WEEKDAY(B3579)=7,1,0))))))</f>
        <v>3</v>
      </c>
      <c r="V3579" s="328">
        <f>VLOOKUP(C3579,METADATA!$A$5:$H$29,IF(E3579="HI",2,IF(E3579="LO",6,10))+IF(T3579=1,2,IF(D3579=7,1,(IF(WEEKDAY(B3579)=1,2,IF(WEEKDAY(B3579)=7,1,0))))))</f>
        <v>3</v>
      </c>
    </row>
    <row r="3580" spans="2:22">
      <c r="B3580" s="318">
        <f t="shared" si="223"/>
        <v>46262</v>
      </c>
      <c r="C3580" s="312">
        <v>0</v>
      </c>
      <c r="D3580" s="368">
        <f>IFERROR((INDEX(METADATA!$T$2:$T$20,MATCH(B3580,METADATA!$S$2:$S$20,0))),0)</f>
        <v>0</v>
      </c>
      <c r="E3580" s="312" t="str">
        <f t="shared" si="220"/>
        <v>LO</v>
      </c>
      <c r="F3580" s="369">
        <f>VLOOKUP(C3580,METADATA!$A$5:$H$29,IF(E3580="HI",2,IF(E3580="LO",6,10))+IF(D3580=1,2,IF(D3580=7,1,(IF(WEEKDAY(B3580)=1,2,IF(WEEKDAY(B3580)=7,1,0))))))</f>
        <v>3</v>
      </c>
      <c r="G3580" s="369">
        <f>VLOOKUP(C3580,METADATA!$J$5:$Q$29,IF(E3580="HI",2,IF(E3580="LO",6,10))+IF(D3580=1,2,IF(D3580=7,1,(IF(WEEKDAY(B3580)=1,2,IF(WEEKDAY(B3580)=7,1,0))))))</f>
        <v>3</v>
      </c>
      <c r="H3580" s="370">
        <v>12581.575012207031</v>
      </c>
      <c r="I3580" s="370">
        <v>9886.5750732421875</v>
      </c>
      <c r="M3580" s="371">
        <f t="shared" si="221"/>
        <v>16001.262339785762</v>
      </c>
      <c r="N3580" s="329">
        <f t="shared" si="222"/>
        <v>6112.1025695800781</v>
      </c>
      <c r="T3580" s="331">
        <v>0</v>
      </c>
      <c r="U3580" s="328">
        <f>VLOOKUP(C3580,METADATA!$J$5:$Q$29,IF(E3580="HI",2,IF(E3580="LO",6,10))+IF(T3580=1,2,IF(D3580=7,1,(IF(WEEKDAY(B3580)=1,2,IF(WEEKDAY(B3580)=7,1,0))))))</f>
        <v>3</v>
      </c>
      <c r="V3580" s="328">
        <f>VLOOKUP(C3580,METADATA!$A$5:$H$29,IF(E3580="HI",2,IF(E3580="LO",6,10))+IF(T3580=1,2,IF(D3580=7,1,(IF(WEEKDAY(B3580)=1,2,IF(WEEKDAY(B3580)=7,1,0))))))</f>
        <v>3</v>
      </c>
    </row>
    <row r="3581" spans="2:22">
      <c r="B3581" s="318">
        <f t="shared" si="223"/>
        <v>46262</v>
      </c>
      <c r="C3581" s="312">
        <v>1</v>
      </c>
      <c r="D3581" s="368">
        <f>IFERROR((INDEX(METADATA!$T$2:$T$20,MATCH(B3581,METADATA!$S$2:$S$20,0))),0)</f>
        <v>0</v>
      </c>
      <c r="E3581" s="312" t="str">
        <f t="shared" si="220"/>
        <v>LO</v>
      </c>
      <c r="F3581" s="369">
        <f>VLOOKUP(C3581,METADATA!$A$5:$H$29,IF(E3581="HI",2,IF(E3581="LO",6,10))+IF(D3581=1,2,IF(D3581=7,1,(IF(WEEKDAY(B3581)=1,2,IF(WEEKDAY(B3581)=7,1,0))))))</f>
        <v>3</v>
      </c>
      <c r="G3581" s="369">
        <f>VLOOKUP(C3581,METADATA!$J$5:$Q$29,IF(E3581="HI",2,IF(E3581="LO",6,10))+IF(D3581=1,2,IF(D3581=7,1,(IF(WEEKDAY(B3581)=1,2,IF(WEEKDAY(B3581)=7,1,0))))))</f>
        <v>3</v>
      </c>
      <c r="H3581" s="370">
        <v>12654.300170898438</v>
      </c>
      <c r="I3581" s="370">
        <v>9981.1497192382813</v>
      </c>
      <c r="M3581" s="371">
        <f t="shared" si="221"/>
        <v>16116.90610920876</v>
      </c>
      <c r="N3581" s="329">
        <f t="shared" si="222"/>
        <v>6184.8596679687507</v>
      </c>
      <c r="T3581" s="331">
        <v>0</v>
      </c>
      <c r="U3581" s="328">
        <f>VLOOKUP(C3581,METADATA!$J$5:$Q$29,IF(E3581="HI",2,IF(E3581="LO",6,10))+IF(T3581=1,2,IF(D3581=7,1,(IF(WEEKDAY(B3581)=1,2,IF(WEEKDAY(B3581)=7,1,0))))))</f>
        <v>3</v>
      </c>
      <c r="V3581" s="328">
        <f>VLOOKUP(C3581,METADATA!$A$5:$H$29,IF(E3581="HI",2,IF(E3581="LO",6,10))+IF(T3581=1,2,IF(D3581=7,1,(IF(WEEKDAY(B3581)=1,2,IF(WEEKDAY(B3581)=7,1,0))))))</f>
        <v>3</v>
      </c>
    </row>
    <row r="3582" spans="2:22">
      <c r="B3582" s="318">
        <f t="shared" si="223"/>
        <v>46262</v>
      </c>
      <c r="C3582" s="312">
        <v>2</v>
      </c>
      <c r="D3582" s="368">
        <f>IFERROR((INDEX(METADATA!$T$2:$T$20,MATCH(B3582,METADATA!$S$2:$S$20,0))),0)</f>
        <v>0</v>
      </c>
      <c r="E3582" s="312" t="str">
        <f t="shared" si="220"/>
        <v>LO</v>
      </c>
      <c r="F3582" s="369">
        <f>VLOOKUP(C3582,METADATA!$A$5:$H$29,IF(E3582="HI",2,IF(E3582="LO",6,10))+IF(D3582=1,2,IF(D3582=7,1,(IF(WEEKDAY(B3582)=1,2,IF(WEEKDAY(B3582)=7,1,0))))))</f>
        <v>3</v>
      </c>
      <c r="G3582" s="369">
        <f>VLOOKUP(C3582,METADATA!$J$5:$Q$29,IF(E3582="HI",2,IF(E3582="LO",6,10))+IF(D3582=1,2,IF(D3582=7,1,(IF(WEEKDAY(B3582)=1,2,IF(WEEKDAY(B3582)=7,1,0))))))</f>
        <v>3</v>
      </c>
      <c r="H3582" s="370">
        <v>12499.475280761719</v>
      </c>
      <c r="I3582" s="370">
        <v>9845.0750122070313</v>
      </c>
      <c r="M3582" s="371">
        <f t="shared" si="221"/>
        <v>15911.077408219611</v>
      </c>
      <c r="N3582" s="329">
        <f t="shared" si="222"/>
        <v>6095.2324279785153</v>
      </c>
      <c r="T3582" s="331">
        <v>0</v>
      </c>
      <c r="U3582" s="328">
        <f>VLOOKUP(C3582,METADATA!$J$5:$Q$29,IF(E3582="HI",2,IF(E3582="LO",6,10))+IF(T3582=1,2,IF(D3582=7,1,(IF(WEEKDAY(B3582)=1,2,IF(WEEKDAY(B3582)=7,1,0))))))</f>
        <v>3</v>
      </c>
      <c r="V3582" s="328">
        <f>VLOOKUP(C3582,METADATA!$A$5:$H$29,IF(E3582="HI",2,IF(E3582="LO",6,10))+IF(T3582=1,2,IF(D3582=7,1,(IF(WEEKDAY(B3582)=1,2,IF(WEEKDAY(B3582)=7,1,0))))))</f>
        <v>3</v>
      </c>
    </row>
    <row r="3583" spans="2:22">
      <c r="B3583" s="318">
        <f t="shared" si="223"/>
        <v>46262</v>
      </c>
      <c r="C3583" s="312">
        <v>3</v>
      </c>
      <c r="D3583" s="368">
        <f>IFERROR((INDEX(METADATA!$T$2:$T$20,MATCH(B3583,METADATA!$S$2:$S$20,0))),0)</f>
        <v>0</v>
      </c>
      <c r="E3583" s="312" t="str">
        <f t="shared" si="220"/>
        <v>LO</v>
      </c>
      <c r="F3583" s="369">
        <f>VLOOKUP(C3583,METADATA!$A$5:$H$29,IF(E3583="HI",2,IF(E3583="LO",6,10))+IF(D3583=1,2,IF(D3583=7,1,(IF(WEEKDAY(B3583)=1,2,IF(WEEKDAY(B3583)=7,1,0))))))</f>
        <v>3</v>
      </c>
      <c r="G3583" s="369">
        <f>VLOOKUP(C3583,METADATA!$J$5:$Q$29,IF(E3583="HI",2,IF(E3583="LO",6,10))+IF(D3583=1,2,IF(D3583=7,1,(IF(WEEKDAY(B3583)=1,2,IF(WEEKDAY(B3583)=7,1,0))))))</f>
        <v>3</v>
      </c>
      <c r="H3583" s="370">
        <v>12497.025024414063</v>
      </c>
      <c r="I3583" s="370">
        <v>9637.599853515625</v>
      </c>
      <c r="M3583" s="371">
        <f t="shared" si="221"/>
        <v>15781.602117570817</v>
      </c>
      <c r="N3583" s="329">
        <f t="shared" si="222"/>
        <v>5888.4923461914059</v>
      </c>
      <c r="T3583" s="331">
        <v>0</v>
      </c>
      <c r="U3583" s="328">
        <f>VLOOKUP(C3583,METADATA!$J$5:$Q$29,IF(E3583="HI",2,IF(E3583="LO",6,10))+IF(T3583=1,2,IF(D3583=7,1,(IF(WEEKDAY(B3583)=1,2,IF(WEEKDAY(B3583)=7,1,0))))))</f>
        <v>3</v>
      </c>
      <c r="V3583" s="328">
        <f>VLOOKUP(C3583,METADATA!$A$5:$H$29,IF(E3583="HI",2,IF(E3583="LO",6,10))+IF(T3583=1,2,IF(D3583=7,1,(IF(WEEKDAY(B3583)=1,2,IF(WEEKDAY(B3583)=7,1,0))))))</f>
        <v>3</v>
      </c>
    </row>
    <row r="3584" spans="2:22">
      <c r="B3584" s="318">
        <f t="shared" si="223"/>
        <v>46262</v>
      </c>
      <c r="C3584" s="312">
        <v>4</v>
      </c>
      <c r="D3584" s="368">
        <f>IFERROR((INDEX(METADATA!$T$2:$T$20,MATCH(B3584,METADATA!$S$2:$S$20,0))),0)</f>
        <v>0</v>
      </c>
      <c r="E3584" s="312" t="str">
        <f t="shared" si="220"/>
        <v>LO</v>
      </c>
      <c r="F3584" s="369">
        <f>VLOOKUP(C3584,METADATA!$A$5:$H$29,IF(E3584="HI",2,IF(E3584="LO",6,10))+IF(D3584=1,2,IF(D3584=7,1,(IF(WEEKDAY(B3584)=1,2,IF(WEEKDAY(B3584)=7,1,0))))))</f>
        <v>3</v>
      </c>
      <c r="G3584" s="369">
        <f>VLOOKUP(C3584,METADATA!$J$5:$Q$29,IF(E3584="HI",2,IF(E3584="LO",6,10))+IF(D3584=1,2,IF(D3584=7,1,(IF(WEEKDAY(B3584)=1,2,IF(WEEKDAY(B3584)=7,1,0))))))</f>
        <v>3</v>
      </c>
      <c r="H3584" s="370">
        <v>12443.525329589844</v>
      </c>
      <c r="I3584" s="370">
        <v>9674.1749877929688</v>
      </c>
      <c r="M3584" s="371">
        <f t="shared" si="221"/>
        <v>15761.693574060597</v>
      </c>
      <c r="N3584" s="329">
        <f t="shared" si="222"/>
        <v>5941.1173889160164</v>
      </c>
      <c r="T3584" s="331">
        <v>0</v>
      </c>
      <c r="U3584" s="328">
        <f>VLOOKUP(C3584,METADATA!$J$5:$Q$29,IF(E3584="HI",2,IF(E3584="LO",6,10))+IF(T3584=1,2,IF(D3584=7,1,(IF(WEEKDAY(B3584)=1,2,IF(WEEKDAY(B3584)=7,1,0))))))</f>
        <v>3</v>
      </c>
      <c r="V3584" s="328">
        <f>VLOOKUP(C3584,METADATA!$A$5:$H$29,IF(E3584="HI",2,IF(E3584="LO",6,10))+IF(T3584=1,2,IF(D3584=7,1,(IF(WEEKDAY(B3584)=1,2,IF(WEEKDAY(B3584)=7,1,0))))))</f>
        <v>3</v>
      </c>
    </row>
    <row r="3585" spans="2:22">
      <c r="B3585" s="318">
        <f t="shared" si="223"/>
        <v>46262</v>
      </c>
      <c r="C3585" s="312">
        <v>5</v>
      </c>
      <c r="D3585" s="368">
        <f>IFERROR((INDEX(METADATA!$T$2:$T$20,MATCH(B3585,METADATA!$S$2:$S$20,0))),0)</f>
        <v>0</v>
      </c>
      <c r="E3585" s="312" t="str">
        <f t="shared" si="220"/>
        <v>LO</v>
      </c>
      <c r="F3585" s="369">
        <f>VLOOKUP(C3585,METADATA!$A$5:$H$29,IF(E3585="HI",2,IF(E3585="LO",6,10))+IF(D3585=1,2,IF(D3585=7,1,(IF(WEEKDAY(B3585)=1,2,IF(WEEKDAY(B3585)=7,1,0))))))</f>
        <v>3</v>
      </c>
      <c r="G3585" s="369">
        <f>VLOOKUP(C3585,METADATA!$J$5:$Q$29,IF(E3585="HI",2,IF(E3585="LO",6,10))+IF(D3585=1,2,IF(D3585=7,1,(IF(WEEKDAY(B3585)=1,2,IF(WEEKDAY(B3585)=7,1,0))))))</f>
        <v>3</v>
      </c>
      <c r="H3585" s="370">
        <v>12494.14990234375</v>
      </c>
      <c r="I3585" s="370">
        <v>9689.7250366210938</v>
      </c>
      <c r="M3585" s="371">
        <f t="shared" si="221"/>
        <v>15811.21605277589</v>
      </c>
      <c r="N3585" s="329">
        <f t="shared" si="222"/>
        <v>5941.4800659179691</v>
      </c>
      <c r="T3585" s="331">
        <v>0</v>
      </c>
      <c r="U3585" s="328">
        <f>VLOOKUP(C3585,METADATA!$J$5:$Q$29,IF(E3585="HI",2,IF(E3585="LO",6,10))+IF(T3585=1,2,IF(D3585=7,1,(IF(WEEKDAY(B3585)=1,2,IF(WEEKDAY(B3585)=7,1,0))))))</f>
        <v>3</v>
      </c>
      <c r="V3585" s="328">
        <f>VLOOKUP(C3585,METADATA!$A$5:$H$29,IF(E3585="HI",2,IF(E3585="LO",6,10))+IF(T3585=1,2,IF(D3585=7,1,(IF(WEEKDAY(B3585)=1,2,IF(WEEKDAY(B3585)=7,1,0))))))</f>
        <v>3</v>
      </c>
    </row>
    <row r="3586" spans="2:22">
      <c r="B3586" s="318">
        <f t="shared" si="223"/>
        <v>46262</v>
      </c>
      <c r="C3586" s="312">
        <v>6</v>
      </c>
      <c r="D3586" s="368">
        <f>IFERROR((INDEX(METADATA!$T$2:$T$20,MATCH(B3586,METADATA!$S$2:$S$20,0))),0)</f>
        <v>0</v>
      </c>
      <c r="E3586" s="312" t="str">
        <f t="shared" si="220"/>
        <v>LO</v>
      </c>
      <c r="F3586" s="369">
        <f>VLOOKUP(C3586,METADATA!$A$5:$H$29,IF(E3586="HI",2,IF(E3586="LO",6,10))+IF(D3586=1,2,IF(D3586=7,1,(IF(WEEKDAY(B3586)=1,2,IF(WEEKDAY(B3586)=7,1,0))))))</f>
        <v>2</v>
      </c>
      <c r="G3586" s="369">
        <f>VLOOKUP(C3586,METADATA!$J$5:$Q$29,IF(E3586="HI",2,IF(E3586="LO",6,10))+IF(D3586=1,2,IF(D3586=7,1,(IF(WEEKDAY(B3586)=1,2,IF(WEEKDAY(B3586)=7,1,0))))))</f>
        <v>2</v>
      </c>
      <c r="H3586" s="370">
        <v>12493.874816894531</v>
      </c>
      <c r="I3586" s="370">
        <v>9672.849853515625</v>
      </c>
      <c r="M3586" s="371">
        <f t="shared" si="221"/>
        <v>15800.662398421422</v>
      </c>
      <c r="N3586" s="329">
        <f t="shared" si="222"/>
        <v>5924.6874084472656</v>
      </c>
      <c r="T3586" s="331">
        <v>0</v>
      </c>
      <c r="U3586" s="328">
        <f>VLOOKUP(C3586,METADATA!$J$5:$Q$29,IF(E3586="HI",2,IF(E3586="LO",6,10))+IF(T3586=1,2,IF(D3586=7,1,(IF(WEEKDAY(B3586)=1,2,IF(WEEKDAY(B3586)=7,1,0))))))</f>
        <v>2</v>
      </c>
      <c r="V3586" s="328">
        <f>VLOOKUP(C3586,METADATA!$A$5:$H$29,IF(E3586="HI",2,IF(E3586="LO",6,10))+IF(T3586=1,2,IF(D3586=7,1,(IF(WEEKDAY(B3586)=1,2,IF(WEEKDAY(B3586)=7,1,0))))))</f>
        <v>2</v>
      </c>
    </row>
    <row r="3587" spans="2:22">
      <c r="B3587" s="318">
        <f t="shared" si="223"/>
        <v>46262</v>
      </c>
      <c r="C3587" s="312">
        <v>7</v>
      </c>
      <c r="D3587" s="368">
        <f>IFERROR((INDEX(METADATA!$T$2:$T$20,MATCH(B3587,METADATA!$S$2:$S$20,0))),0)</f>
        <v>0</v>
      </c>
      <c r="E3587" s="312" t="str">
        <f t="shared" si="220"/>
        <v>LO</v>
      </c>
      <c r="F3587" s="369">
        <f>VLOOKUP(C3587,METADATA!$A$5:$H$29,IF(E3587="HI",2,IF(E3587="LO",6,10))+IF(D3587=1,2,IF(D3587=7,1,(IF(WEEKDAY(B3587)=1,2,IF(WEEKDAY(B3587)=7,1,0))))))</f>
        <v>1</v>
      </c>
      <c r="G3587" s="369">
        <f>VLOOKUP(C3587,METADATA!$J$5:$Q$29,IF(E3587="HI",2,IF(E3587="LO",6,10))+IF(D3587=1,2,IF(D3587=7,1,(IF(WEEKDAY(B3587)=1,2,IF(WEEKDAY(B3587)=7,1,0))))))</f>
        <v>1</v>
      </c>
      <c r="H3587" s="370">
        <v>12449.475158691406</v>
      </c>
      <c r="I3587" s="370">
        <v>9563.4497680664063</v>
      </c>
      <c r="M3587" s="371">
        <f t="shared" si="221"/>
        <v>15698.694314916887</v>
      </c>
      <c r="N3587" s="329">
        <f t="shared" si="222"/>
        <v>5828.6072204589846</v>
      </c>
      <c r="T3587" s="331">
        <v>0</v>
      </c>
      <c r="U3587" s="328">
        <f>VLOOKUP(C3587,METADATA!$J$5:$Q$29,IF(E3587="HI",2,IF(E3587="LO",6,10))+IF(T3587=1,2,IF(D3587=7,1,(IF(WEEKDAY(B3587)=1,2,IF(WEEKDAY(B3587)=7,1,0))))))</f>
        <v>1</v>
      </c>
      <c r="V3587" s="328">
        <f>VLOOKUP(C3587,METADATA!$A$5:$H$29,IF(E3587="HI",2,IF(E3587="LO",6,10))+IF(T3587=1,2,IF(D3587=7,1,(IF(WEEKDAY(B3587)=1,2,IF(WEEKDAY(B3587)=7,1,0))))))</f>
        <v>1</v>
      </c>
    </row>
    <row r="3588" spans="2:22">
      <c r="B3588" s="318">
        <f t="shared" si="223"/>
        <v>46262</v>
      </c>
      <c r="C3588" s="312">
        <v>8</v>
      </c>
      <c r="D3588" s="368">
        <f>IFERROR((INDEX(METADATA!$T$2:$T$20,MATCH(B3588,METADATA!$S$2:$S$20,0))),0)</f>
        <v>0</v>
      </c>
      <c r="E3588" s="312" t="str">
        <f t="shared" ref="E3588:E3651" si="224">IF(B3588="","",IF(AND(MONTH(B3588)&gt;=MONTH($Z$9),MONTH(B3588)&lt;=MONTH($Z$11)),"HI","LO"))</f>
        <v>LO</v>
      </c>
      <c r="F3588" s="369">
        <f>VLOOKUP(C3588,METADATA!$A$5:$H$29,IF(E3588="HI",2,IF(E3588="LO",6,10))+IF(D3588=1,2,IF(D3588=7,1,(IF(WEEKDAY(B3588)=1,2,IF(WEEKDAY(B3588)=7,1,0))))))</f>
        <v>1</v>
      </c>
      <c r="G3588" s="369">
        <f>VLOOKUP(C3588,METADATA!$J$5:$Q$29,IF(E3588="HI",2,IF(E3588="LO",6,10))+IF(D3588=1,2,IF(D3588=7,1,(IF(WEEKDAY(B3588)=1,2,IF(WEEKDAY(B3588)=7,1,0))))))</f>
        <v>1</v>
      </c>
      <c r="H3588" s="370">
        <v>12508.924926757813</v>
      </c>
      <c r="I3588" s="370">
        <v>9708.1748046875</v>
      </c>
      <c r="M3588" s="371">
        <f t="shared" ref="M3588:M3651" si="225">SQRT(H3588^2+I3588^2)</f>
        <v>15834.19909125915</v>
      </c>
      <c r="N3588" s="329">
        <f t="shared" ref="N3588:N3651" si="226">IF(H3588=0,0,(IF(I3588-(0.3*H3588)&lt;0,0,(I3588-(0.3*H3588)))))</f>
        <v>5955.4973266601564</v>
      </c>
      <c r="T3588" s="331">
        <v>0</v>
      </c>
      <c r="U3588" s="328">
        <f>VLOOKUP(C3588,METADATA!$J$5:$Q$29,IF(E3588="HI",2,IF(E3588="LO",6,10))+IF(T3588=1,2,IF(D3588=7,1,(IF(WEEKDAY(B3588)=1,2,IF(WEEKDAY(B3588)=7,1,0))))))</f>
        <v>1</v>
      </c>
      <c r="V3588" s="328">
        <f>VLOOKUP(C3588,METADATA!$A$5:$H$29,IF(E3588="HI",2,IF(E3588="LO",6,10))+IF(T3588=1,2,IF(D3588=7,1,(IF(WEEKDAY(B3588)=1,2,IF(WEEKDAY(B3588)=7,1,0))))))</f>
        <v>1</v>
      </c>
    </row>
    <row r="3589" spans="2:22">
      <c r="B3589" s="318">
        <f t="shared" si="223"/>
        <v>46262</v>
      </c>
      <c r="C3589" s="312">
        <v>9</v>
      </c>
      <c r="D3589" s="368">
        <f>IFERROR((INDEX(METADATA!$T$2:$T$20,MATCH(B3589,METADATA!$S$2:$S$20,0))),0)</f>
        <v>0</v>
      </c>
      <c r="E3589" s="312" t="str">
        <f t="shared" si="224"/>
        <v>LO</v>
      </c>
      <c r="F3589" s="369">
        <f>VLOOKUP(C3589,METADATA!$A$5:$H$29,IF(E3589="HI",2,IF(E3589="LO",6,10))+IF(D3589=1,2,IF(D3589=7,1,(IF(WEEKDAY(B3589)=1,2,IF(WEEKDAY(B3589)=7,1,0))))))</f>
        <v>2</v>
      </c>
      <c r="G3589" s="369">
        <f>VLOOKUP(C3589,METADATA!$J$5:$Q$29,IF(E3589="HI",2,IF(E3589="LO",6,10))+IF(D3589=1,2,IF(D3589=7,1,(IF(WEEKDAY(B3589)=1,2,IF(WEEKDAY(B3589)=7,1,0))))))</f>
        <v>2</v>
      </c>
      <c r="H3589" s="370">
        <v>12452.174865722656</v>
      </c>
      <c r="I3589" s="370">
        <v>9571.0250244140625</v>
      </c>
      <c r="M3589" s="371">
        <f t="shared" si="225"/>
        <v>15705.45061131629</v>
      </c>
      <c r="N3589" s="329">
        <f t="shared" si="226"/>
        <v>5835.3725646972653</v>
      </c>
      <c r="T3589" s="331">
        <v>0</v>
      </c>
      <c r="U3589" s="328">
        <f>VLOOKUP(C3589,METADATA!$J$5:$Q$29,IF(E3589="HI",2,IF(E3589="LO",6,10))+IF(T3589=1,2,IF(D3589=7,1,(IF(WEEKDAY(B3589)=1,2,IF(WEEKDAY(B3589)=7,1,0))))))</f>
        <v>2</v>
      </c>
      <c r="V3589" s="328">
        <f>VLOOKUP(C3589,METADATA!$A$5:$H$29,IF(E3589="HI",2,IF(E3589="LO",6,10))+IF(T3589=1,2,IF(D3589=7,1,(IF(WEEKDAY(B3589)=1,2,IF(WEEKDAY(B3589)=7,1,0))))))</f>
        <v>2</v>
      </c>
    </row>
    <row r="3590" spans="2:22">
      <c r="B3590" s="318">
        <f t="shared" si="223"/>
        <v>46262</v>
      </c>
      <c r="C3590" s="312">
        <v>10</v>
      </c>
      <c r="D3590" s="368">
        <f>IFERROR((INDEX(METADATA!$T$2:$T$20,MATCH(B3590,METADATA!$S$2:$S$20,0))),0)</f>
        <v>0</v>
      </c>
      <c r="E3590" s="312" t="str">
        <f t="shared" si="224"/>
        <v>LO</v>
      </c>
      <c r="F3590" s="369">
        <f>VLOOKUP(C3590,METADATA!$A$5:$H$29,IF(E3590="HI",2,IF(E3590="LO",6,10))+IF(D3590=1,2,IF(D3590=7,1,(IF(WEEKDAY(B3590)=1,2,IF(WEEKDAY(B3590)=7,1,0))))))</f>
        <v>2</v>
      </c>
      <c r="G3590" s="369">
        <f>VLOOKUP(C3590,METADATA!$J$5:$Q$29,IF(E3590="HI",2,IF(E3590="LO",6,10))+IF(D3590=1,2,IF(D3590=7,1,(IF(WEEKDAY(B3590)=1,2,IF(WEEKDAY(B3590)=7,1,0))))))</f>
        <v>2</v>
      </c>
      <c r="H3590" s="370">
        <v>12475.974853515625</v>
      </c>
      <c r="I3590" s="370">
        <v>9550.10009765625</v>
      </c>
      <c r="M3590" s="371">
        <f t="shared" si="225"/>
        <v>15711.599550039713</v>
      </c>
      <c r="N3590" s="329">
        <f t="shared" si="226"/>
        <v>5807.3076416015629</v>
      </c>
      <c r="T3590" s="331">
        <v>0</v>
      </c>
      <c r="U3590" s="328">
        <f>VLOOKUP(C3590,METADATA!$J$5:$Q$29,IF(E3590="HI",2,IF(E3590="LO",6,10))+IF(T3590=1,2,IF(D3590=7,1,(IF(WEEKDAY(B3590)=1,2,IF(WEEKDAY(B3590)=7,1,0))))))</f>
        <v>2</v>
      </c>
      <c r="V3590" s="328">
        <f>VLOOKUP(C3590,METADATA!$A$5:$H$29,IF(E3590="HI",2,IF(E3590="LO",6,10))+IF(T3590=1,2,IF(D3590=7,1,(IF(WEEKDAY(B3590)=1,2,IF(WEEKDAY(B3590)=7,1,0))))))</f>
        <v>2</v>
      </c>
    </row>
    <row r="3591" spans="2:22">
      <c r="B3591" s="318">
        <f t="shared" si="223"/>
        <v>46262</v>
      </c>
      <c r="C3591" s="312">
        <v>11</v>
      </c>
      <c r="D3591" s="368">
        <f>IFERROR((INDEX(METADATA!$T$2:$T$20,MATCH(B3591,METADATA!$S$2:$S$20,0))),0)</f>
        <v>0</v>
      </c>
      <c r="E3591" s="312" t="str">
        <f t="shared" si="224"/>
        <v>LO</v>
      </c>
      <c r="F3591" s="369">
        <f>VLOOKUP(C3591,METADATA!$A$5:$H$29,IF(E3591="HI",2,IF(E3591="LO",6,10))+IF(D3591=1,2,IF(D3591=7,1,(IF(WEEKDAY(B3591)=1,2,IF(WEEKDAY(B3591)=7,1,0))))))</f>
        <v>2</v>
      </c>
      <c r="G3591" s="369">
        <f>VLOOKUP(C3591,METADATA!$J$5:$Q$29,IF(E3591="HI",2,IF(E3591="LO",6,10))+IF(D3591=1,2,IF(D3591=7,1,(IF(WEEKDAY(B3591)=1,2,IF(WEEKDAY(B3591)=7,1,0))))))</f>
        <v>2</v>
      </c>
      <c r="H3591" s="370">
        <v>12548.699462890625</v>
      </c>
      <c r="I3591" s="370">
        <v>9620.9749755859375</v>
      </c>
      <c r="M3591" s="371">
        <f t="shared" si="225"/>
        <v>15812.432377430181</v>
      </c>
      <c r="N3591" s="329">
        <f t="shared" si="226"/>
        <v>5856.3651367187504</v>
      </c>
      <c r="T3591" s="331">
        <v>0</v>
      </c>
      <c r="U3591" s="328">
        <f>VLOOKUP(C3591,METADATA!$J$5:$Q$29,IF(E3591="HI",2,IF(E3591="LO",6,10))+IF(T3591=1,2,IF(D3591=7,1,(IF(WEEKDAY(B3591)=1,2,IF(WEEKDAY(B3591)=7,1,0))))))</f>
        <v>2</v>
      </c>
      <c r="V3591" s="328">
        <f>VLOOKUP(C3591,METADATA!$A$5:$H$29,IF(E3591="HI",2,IF(E3591="LO",6,10))+IF(T3591=1,2,IF(D3591=7,1,(IF(WEEKDAY(B3591)=1,2,IF(WEEKDAY(B3591)=7,1,0))))))</f>
        <v>2</v>
      </c>
    </row>
    <row r="3592" spans="2:22">
      <c r="B3592" s="318">
        <f t="shared" si="223"/>
        <v>46262</v>
      </c>
      <c r="C3592" s="312">
        <v>12</v>
      </c>
      <c r="D3592" s="368">
        <f>IFERROR((INDEX(METADATA!$T$2:$T$20,MATCH(B3592,METADATA!$S$2:$S$20,0))),0)</f>
        <v>0</v>
      </c>
      <c r="E3592" s="312" t="str">
        <f t="shared" si="224"/>
        <v>LO</v>
      </c>
      <c r="F3592" s="369">
        <f>VLOOKUP(C3592,METADATA!$A$5:$H$29,IF(E3592="HI",2,IF(E3592="LO",6,10))+IF(D3592=1,2,IF(D3592=7,1,(IF(WEEKDAY(B3592)=1,2,IF(WEEKDAY(B3592)=7,1,0))))))</f>
        <v>2</v>
      </c>
      <c r="G3592" s="369">
        <f>VLOOKUP(C3592,METADATA!$J$5:$Q$29,IF(E3592="HI",2,IF(E3592="LO",6,10))+IF(D3592=1,2,IF(D3592=7,1,(IF(WEEKDAY(B3592)=1,2,IF(WEEKDAY(B3592)=7,1,0))))))</f>
        <v>2</v>
      </c>
      <c r="H3592" s="370">
        <v>12560.649963378906</v>
      </c>
      <c r="I3592" s="370">
        <v>9680.3750610351563</v>
      </c>
      <c r="M3592" s="371">
        <f t="shared" si="225"/>
        <v>15858.107983767859</v>
      </c>
      <c r="N3592" s="329">
        <f t="shared" si="226"/>
        <v>5912.1800720214851</v>
      </c>
      <c r="T3592" s="331">
        <v>0</v>
      </c>
      <c r="U3592" s="328">
        <f>VLOOKUP(C3592,METADATA!$J$5:$Q$29,IF(E3592="HI",2,IF(E3592="LO",6,10))+IF(T3592=1,2,IF(D3592=7,1,(IF(WEEKDAY(B3592)=1,2,IF(WEEKDAY(B3592)=7,1,0))))))</f>
        <v>2</v>
      </c>
      <c r="V3592" s="328">
        <f>VLOOKUP(C3592,METADATA!$A$5:$H$29,IF(E3592="HI",2,IF(E3592="LO",6,10))+IF(T3592=1,2,IF(D3592=7,1,(IF(WEEKDAY(B3592)=1,2,IF(WEEKDAY(B3592)=7,1,0))))))</f>
        <v>2</v>
      </c>
    </row>
    <row r="3593" spans="2:22">
      <c r="B3593" s="318">
        <f t="shared" si="223"/>
        <v>46262</v>
      </c>
      <c r="C3593" s="312">
        <v>13</v>
      </c>
      <c r="D3593" s="368">
        <f>IFERROR((INDEX(METADATA!$T$2:$T$20,MATCH(B3593,METADATA!$S$2:$S$20,0))),0)</f>
        <v>0</v>
      </c>
      <c r="E3593" s="312" t="str">
        <f t="shared" si="224"/>
        <v>LO</v>
      </c>
      <c r="F3593" s="369">
        <f>VLOOKUP(C3593,METADATA!$A$5:$H$29,IF(E3593="HI",2,IF(E3593="LO",6,10))+IF(D3593=1,2,IF(D3593=7,1,(IF(WEEKDAY(B3593)=1,2,IF(WEEKDAY(B3593)=7,1,0))))))</f>
        <v>2</v>
      </c>
      <c r="G3593" s="369">
        <f>VLOOKUP(C3593,METADATA!$J$5:$Q$29,IF(E3593="HI",2,IF(E3593="LO",6,10))+IF(D3593=1,2,IF(D3593=7,1,(IF(WEEKDAY(B3593)=1,2,IF(WEEKDAY(B3593)=7,1,0))))))</f>
        <v>2</v>
      </c>
      <c r="H3593" s="370">
        <v>12549.374877929688</v>
      </c>
      <c r="I3593" s="370">
        <v>9746.074951171875</v>
      </c>
      <c r="M3593" s="371">
        <f t="shared" si="225"/>
        <v>15889.392272225914</v>
      </c>
      <c r="N3593" s="329">
        <f t="shared" si="226"/>
        <v>5981.2624877929684</v>
      </c>
      <c r="T3593" s="331">
        <v>0</v>
      </c>
      <c r="U3593" s="328">
        <f>VLOOKUP(C3593,METADATA!$J$5:$Q$29,IF(E3593="HI",2,IF(E3593="LO",6,10))+IF(T3593=1,2,IF(D3593=7,1,(IF(WEEKDAY(B3593)=1,2,IF(WEEKDAY(B3593)=7,1,0))))))</f>
        <v>2</v>
      </c>
      <c r="V3593" s="328">
        <f>VLOOKUP(C3593,METADATA!$A$5:$H$29,IF(E3593="HI",2,IF(E3593="LO",6,10))+IF(T3593=1,2,IF(D3593=7,1,(IF(WEEKDAY(B3593)=1,2,IF(WEEKDAY(B3593)=7,1,0))))))</f>
        <v>2</v>
      </c>
    </row>
    <row r="3594" spans="2:22">
      <c r="B3594" s="318">
        <f t="shared" si="223"/>
        <v>46262</v>
      </c>
      <c r="C3594" s="312">
        <v>14</v>
      </c>
      <c r="D3594" s="368">
        <f>IFERROR((INDEX(METADATA!$T$2:$T$20,MATCH(B3594,METADATA!$S$2:$S$20,0))),0)</f>
        <v>0</v>
      </c>
      <c r="E3594" s="312" t="str">
        <f t="shared" si="224"/>
        <v>LO</v>
      </c>
      <c r="F3594" s="369">
        <f>VLOOKUP(C3594,METADATA!$A$5:$H$29,IF(E3594="HI",2,IF(E3594="LO",6,10))+IF(D3594=1,2,IF(D3594=7,1,(IF(WEEKDAY(B3594)=1,2,IF(WEEKDAY(B3594)=7,1,0))))))</f>
        <v>2</v>
      </c>
      <c r="G3594" s="369">
        <f>VLOOKUP(C3594,METADATA!$J$5:$Q$29,IF(E3594="HI",2,IF(E3594="LO",6,10))+IF(D3594=1,2,IF(D3594=7,1,(IF(WEEKDAY(B3594)=1,2,IF(WEEKDAY(B3594)=7,1,0))))))</f>
        <v>2</v>
      </c>
      <c r="H3594" s="370">
        <v>12580.450256347656</v>
      </c>
      <c r="I3594" s="370">
        <v>9853.625</v>
      </c>
      <c r="M3594" s="371">
        <f t="shared" si="225"/>
        <v>15980.039245667165</v>
      </c>
      <c r="N3594" s="329">
        <f t="shared" si="226"/>
        <v>6079.4899230957035</v>
      </c>
      <c r="T3594" s="331">
        <v>0</v>
      </c>
      <c r="U3594" s="328">
        <f>VLOOKUP(C3594,METADATA!$J$5:$Q$29,IF(E3594="HI",2,IF(E3594="LO",6,10))+IF(T3594=1,2,IF(D3594=7,1,(IF(WEEKDAY(B3594)=1,2,IF(WEEKDAY(B3594)=7,1,0))))))</f>
        <v>2</v>
      </c>
      <c r="V3594" s="328">
        <f>VLOOKUP(C3594,METADATA!$A$5:$H$29,IF(E3594="HI",2,IF(E3594="LO",6,10))+IF(T3594=1,2,IF(D3594=7,1,(IF(WEEKDAY(B3594)=1,2,IF(WEEKDAY(B3594)=7,1,0))))))</f>
        <v>2</v>
      </c>
    </row>
    <row r="3595" spans="2:22">
      <c r="B3595" s="318">
        <f t="shared" si="223"/>
        <v>46262</v>
      </c>
      <c r="C3595" s="312">
        <v>15</v>
      </c>
      <c r="D3595" s="368">
        <f>IFERROR((INDEX(METADATA!$T$2:$T$20,MATCH(B3595,METADATA!$S$2:$S$20,0))),0)</f>
        <v>0</v>
      </c>
      <c r="E3595" s="312" t="str">
        <f t="shared" si="224"/>
        <v>LO</v>
      </c>
      <c r="F3595" s="369">
        <f>VLOOKUP(C3595,METADATA!$A$5:$H$29,IF(E3595="HI",2,IF(E3595="LO",6,10))+IF(D3595=1,2,IF(D3595=7,1,(IF(WEEKDAY(B3595)=1,2,IF(WEEKDAY(B3595)=7,1,0))))))</f>
        <v>2</v>
      </c>
      <c r="G3595" s="369">
        <f>VLOOKUP(C3595,METADATA!$J$5:$Q$29,IF(E3595="HI",2,IF(E3595="LO",6,10))+IF(D3595=1,2,IF(D3595=7,1,(IF(WEEKDAY(B3595)=1,2,IF(WEEKDAY(B3595)=7,1,0))))))</f>
        <v>2</v>
      </c>
      <c r="H3595" s="370">
        <v>12572.674926757813</v>
      </c>
      <c r="I3595" s="370">
        <v>9891.4750366210938</v>
      </c>
      <c r="M3595" s="371">
        <f t="shared" si="225"/>
        <v>15997.294559206654</v>
      </c>
      <c r="N3595" s="329">
        <f t="shared" si="226"/>
        <v>6119.6725585937502</v>
      </c>
      <c r="T3595" s="331">
        <v>0</v>
      </c>
      <c r="U3595" s="328">
        <f>VLOOKUP(C3595,METADATA!$J$5:$Q$29,IF(E3595="HI",2,IF(E3595="LO",6,10))+IF(T3595=1,2,IF(D3595=7,1,(IF(WEEKDAY(B3595)=1,2,IF(WEEKDAY(B3595)=7,1,0))))))</f>
        <v>2</v>
      </c>
      <c r="V3595" s="328">
        <f>VLOOKUP(C3595,METADATA!$A$5:$H$29,IF(E3595="HI",2,IF(E3595="LO",6,10))+IF(T3595=1,2,IF(D3595=7,1,(IF(WEEKDAY(B3595)=1,2,IF(WEEKDAY(B3595)=7,1,0))))))</f>
        <v>2</v>
      </c>
    </row>
    <row r="3596" spans="2:22">
      <c r="B3596" s="318">
        <f t="shared" si="223"/>
        <v>46262</v>
      </c>
      <c r="C3596" s="312">
        <v>16</v>
      </c>
      <c r="D3596" s="368">
        <f>IFERROR((INDEX(METADATA!$T$2:$T$20,MATCH(B3596,METADATA!$S$2:$S$20,0))),0)</f>
        <v>0</v>
      </c>
      <c r="E3596" s="312" t="str">
        <f t="shared" si="224"/>
        <v>LO</v>
      </c>
      <c r="F3596" s="369">
        <f>VLOOKUP(C3596,METADATA!$A$5:$H$29,IF(E3596="HI",2,IF(E3596="LO",6,10))+IF(D3596=1,2,IF(D3596=7,1,(IF(WEEKDAY(B3596)=1,2,IF(WEEKDAY(B3596)=7,1,0))))))</f>
        <v>2</v>
      </c>
      <c r="G3596" s="369">
        <f>VLOOKUP(C3596,METADATA!$J$5:$Q$29,IF(E3596="HI",2,IF(E3596="LO",6,10))+IF(D3596=1,2,IF(D3596=7,1,(IF(WEEKDAY(B3596)=1,2,IF(WEEKDAY(B3596)=7,1,0))))))</f>
        <v>2</v>
      </c>
      <c r="H3596" s="370">
        <v>12550.375061035156</v>
      </c>
      <c r="I3596" s="370">
        <v>9781.199951171875</v>
      </c>
      <c r="M3596" s="371">
        <f t="shared" si="225"/>
        <v>15911.749955848913</v>
      </c>
      <c r="N3596" s="329">
        <f t="shared" si="226"/>
        <v>6016.0874328613281</v>
      </c>
      <c r="T3596" s="331">
        <v>0</v>
      </c>
      <c r="U3596" s="328">
        <f>VLOOKUP(C3596,METADATA!$J$5:$Q$29,IF(E3596="HI",2,IF(E3596="LO",6,10))+IF(T3596=1,2,IF(D3596=7,1,(IF(WEEKDAY(B3596)=1,2,IF(WEEKDAY(B3596)=7,1,0))))))</f>
        <v>2</v>
      </c>
      <c r="V3596" s="328">
        <f>VLOOKUP(C3596,METADATA!$A$5:$H$29,IF(E3596="HI",2,IF(E3596="LO",6,10))+IF(T3596=1,2,IF(D3596=7,1,(IF(WEEKDAY(B3596)=1,2,IF(WEEKDAY(B3596)=7,1,0))))))</f>
        <v>2</v>
      </c>
    </row>
    <row r="3597" spans="2:22">
      <c r="B3597" s="318">
        <f t="shared" si="223"/>
        <v>46262</v>
      </c>
      <c r="C3597" s="312">
        <v>17</v>
      </c>
      <c r="D3597" s="368">
        <f>IFERROR((INDEX(METADATA!$T$2:$T$20,MATCH(B3597,METADATA!$S$2:$S$20,0))),0)</f>
        <v>0</v>
      </c>
      <c r="E3597" s="312" t="str">
        <f t="shared" si="224"/>
        <v>LO</v>
      </c>
      <c r="F3597" s="369">
        <f>VLOOKUP(C3597,METADATA!$A$5:$H$29,IF(E3597="HI",2,IF(E3597="LO",6,10))+IF(D3597=1,2,IF(D3597=7,1,(IF(WEEKDAY(B3597)=1,2,IF(WEEKDAY(B3597)=7,1,0))))))</f>
        <v>2</v>
      </c>
      <c r="G3597" s="369">
        <f>VLOOKUP(C3597,METADATA!$J$5:$Q$29,IF(E3597="HI",2,IF(E3597="LO",6,10))+IF(D3597=1,2,IF(D3597=7,1,(IF(WEEKDAY(B3597)=1,2,IF(WEEKDAY(B3597)=7,1,0))))))</f>
        <v>2</v>
      </c>
      <c r="H3597" s="370">
        <v>12657.250122070313</v>
      </c>
      <c r="I3597" s="370">
        <v>9641.499755859375</v>
      </c>
      <c r="M3597" s="371">
        <f t="shared" si="225"/>
        <v>15911.143836785755</v>
      </c>
      <c r="N3597" s="329">
        <f t="shared" si="226"/>
        <v>5844.3247192382814</v>
      </c>
      <c r="T3597" s="331">
        <v>0</v>
      </c>
      <c r="U3597" s="328">
        <f>VLOOKUP(C3597,METADATA!$J$5:$Q$29,IF(E3597="HI",2,IF(E3597="LO",6,10))+IF(T3597=1,2,IF(D3597=7,1,(IF(WEEKDAY(B3597)=1,2,IF(WEEKDAY(B3597)=7,1,0))))))</f>
        <v>2</v>
      </c>
      <c r="V3597" s="328">
        <f>VLOOKUP(C3597,METADATA!$A$5:$H$29,IF(E3597="HI",2,IF(E3597="LO",6,10))+IF(T3597=1,2,IF(D3597=7,1,(IF(WEEKDAY(B3597)=1,2,IF(WEEKDAY(B3597)=7,1,0))))))</f>
        <v>2</v>
      </c>
    </row>
    <row r="3598" spans="2:22">
      <c r="B3598" s="318">
        <f t="shared" si="223"/>
        <v>46262</v>
      </c>
      <c r="C3598" s="312">
        <v>18</v>
      </c>
      <c r="D3598" s="368">
        <f>IFERROR((INDEX(METADATA!$T$2:$T$20,MATCH(B3598,METADATA!$S$2:$S$20,0))),0)</f>
        <v>0</v>
      </c>
      <c r="E3598" s="312" t="str">
        <f t="shared" si="224"/>
        <v>LO</v>
      </c>
      <c r="F3598" s="369">
        <f>VLOOKUP(C3598,METADATA!$A$5:$H$29,IF(E3598="HI",2,IF(E3598="LO",6,10))+IF(D3598=1,2,IF(D3598=7,1,(IF(WEEKDAY(B3598)=1,2,IF(WEEKDAY(B3598)=7,1,0))))))</f>
        <v>1</v>
      </c>
      <c r="G3598" s="369">
        <f>VLOOKUP(C3598,METADATA!$J$5:$Q$29,IF(E3598="HI",2,IF(E3598="LO",6,10))+IF(D3598=1,2,IF(D3598=7,1,(IF(WEEKDAY(B3598)=1,2,IF(WEEKDAY(B3598)=7,1,0))))))</f>
        <v>1</v>
      </c>
      <c r="H3598" s="370">
        <v>12255.0498046875</v>
      </c>
      <c r="I3598" s="370">
        <v>9404.8001708984375</v>
      </c>
      <c r="M3598" s="371">
        <f t="shared" si="225"/>
        <v>15447.864317435677</v>
      </c>
      <c r="N3598" s="329">
        <f t="shared" si="226"/>
        <v>5728.2852294921877</v>
      </c>
      <c r="T3598" s="331">
        <v>0</v>
      </c>
      <c r="U3598" s="328">
        <f>VLOOKUP(C3598,METADATA!$J$5:$Q$29,IF(E3598="HI",2,IF(E3598="LO",6,10))+IF(T3598=1,2,IF(D3598=7,1,(IF(WEEKDAY(B3598)=1,2,IF(WEEKDAY(B3598)=7,1,0))))))</f>
        <v>1</v>
      </c>
      <c r="V3598" s="328">
        <f>VLOOKUP(C3598,METADATA!$A$5:$H$29,IF(E3598="HI",2,IF(E3598="LO",6,10))+IF(T3598=1,2,IF(D3598=7,1,(IF(WEEKDAY(B3598)=1,2,IF(WEEKDAY(B3598)=7,1,0))))))</f>
        <v>1</v>
      </c>
    </row>
    <row r="3599" spans="2:22">
      <c r="B3599" s="318">
        <f t="shared" si="223"/>
        <v>46262</v>
      </c>
      <c r="C3599" s="312">
        <v>19</v>
      </c>
      <c r="D3599" s="368">
        <f>IFERROR((INDEX(METADATA!$T$2:$T$20,MATCH(B3599,METADATA!$S$2:$S$20,0))),0)</f>
        <v>0</v>
      </c>
      <c r="E3599" s="312" t="str">
        <f t="shared" si="224"/>
        <v>LO</v>
      </c>
      <c r="F3599" s="369">
        <f>VLOOKUP(C3599,METADATA!$A$5:$H$29,IF(E3599="HI",2,IF(E3599="LO",6,10))+IF(D3599=1,2,IF(D3599=7,1,(IF(WEEKDAY(B3599)=1,2,IF(WEEKDAY(B3599)=7,1,0))))))</f>
        <v>1</v>
      </c>
      <c r="G3599" s="369">
        <f>VLOOKUP(C3599,METADATA!$J$5:$Q$29,IF(E3599="HI",2,IF(E3599="LO",6,10))+IF(D3599=1,2,IF(D3599=7,1,(IF(WEEKDAY(B3599)=1,2,IF(WEEKDAY(B3599)=7,1,0))))))</f>
        <v>1</v>
      </c>
      <c r="H3599" s="370">
        <v>12415.924560546875</v>
      </c>
      <c r="I3599" s="370">
        <v>9469.525146484375</v>
      </c>
      <c r="M3599" s="371">
        <f t="shared" si="225"/>
        <v>15614.963630860337</v>
      </c>
      <c r="N3599" s="329">
        <f t="shared" si="226"/>
        <v>5744.7477783203121</v>
      </c>
      <c r="T3599" s="331">
        <v>0</v>
      </c>
      <c r="U3599" s="328">
        <f>VLOOKUP(C3599,METADATA!$J$5:$Q$29,IF(E3599="HI",2,IF(E3599="LO",6,10))+IF(T3599=1,2,IF(D3599=7,1,(IF(WEEKDAY(B3599)=1,2,IF(WEEKDAY(B3599)=7,1,0))))))</f>
        <v>1</v>
      </c>
      <c r="V3599" s="328">
        <f>VLOOKUP(C3599,METADATA!$A$5:$H$29,IF(E3599="HI",2,IF(E3599="LO",6,10))+IF(T3599=1,2,IF(D3599=7,1,(IF(WEEKDAY(B3599)=1,2,IF(WEEKDAY(B3599)=7,1,0))))))</f>
        <v>1</v>
      </c>
    </row>
    <row r="3600" spans="2:22">
      <c r="B3600" s="318">
        <f t="shared" si="223"/>
        <v>46262</v>
      </c>
      <c r="C3600" s="312">
        <v>20</v>
      </c>
      <c r="D3600" s="368">
        <f>IFERROR((INDEX(METADATA!$T$2:$T$20,MATCH(B3600,METADATA!$S$2:$S$20,0))),0)</f>
        <v>0</v>
      </c>
      <c r="E3600" s="312" t="str">
        <f t="shared" si="224"/>
        <v>LO</v>
      </c>
      <c r="F3600" s="369">
        <f>VLOOKUP(C3600,METADATA!$A$5:$H$29,IF(E3600="HI",2,IF(E3600="LO",6,10))+IF(D3600=1,2,IF(D3600=7,1,(IF(WEEKDAY(B3600)=1,2,IF(WEEKDAY(B3600)=7,1,0))))))</f>
        <v>1</v>
      </c>
      <c r="G3600" s="369">
        <f>VLOOKUP(C3600,METADATA!$J$5:$Q$29,IF(E3600="HI",2,IF(E3600="LO",6,10))+IF(D3600=1,2,IF(D3600=7,1,(IF(WEEKDAY(B3600)=1,2,IF(WEEKDAY(B3600)=7,1,0))))))</f>
        <v>1</v>
      </c>
      <c r="H3600" s="370">
        <v>12456.699890136719</v>
      </c>
      <c r="I3600" s="370">
        <v>9620.6751708984375</v>
      </c>
      <c r="M3600" s="371">
        <f t="shared" si="225"/>
        <v>15739.338070480404</v>
      </c>
      <c r="N3600" s="329">
        <f t="shared" si="226"/>
        <v>5883.6652038574221</v>
      </c>
      <c r="T3600" s="331">
        <v>0</v>
      </c>
      <c r="U3600" s="328">
        <f>VLOOKUP(C3600,METADATA!$J$5:$Q$29,IF(E3600="HI",2,IF(E3600="LO",6,10))+IF(T3600=1,2,IF(D3600=7,1,(IF(WEEKDAY(B3600)=1,2,IF(WEEKDAY(B3600)=7,1,0))))))</f>
        <v>1</v>
      </c>
      <c r="V3600" s="328">
        <f>VLOOKUP(C3600,METADATA!$A$5:$H$29,IF(E3600="HI",2,IF(E3600="LO",6,10))+IF(T3600=1,2,IF(D3600=7,1,(IF(WEEKDAY(B3600)=1,2,IF(WEEKDAY(B3600)=7,1,0))))))</f>
        <v>1</v>
      </c>
    </row>
    <row r="3601" spans="2:22">
      <c r="B3601" s="318">
        <f t="shared" si="223"/>
        <v>46262</v>
      </c>
      <c r="C3601" s="312">
        <v>21</v>
      </c>
      <c r="D3601" s="368">
        <f>IFERROR((INDEX(METADATA!$T$2:$T$20,MATCH(B3601,METADATA!$S$2:$S$20,0))),0)</f>
        <v>0</v>
      </c>
      <c r="E3601" s="312" t="str">
        <f t="shared" si="224"/>
        <v>LO</v>
      </c>
      <c r="F3601" s="369">
        <f>VLOOKUP(C3601,METADATA!$A$5:$H$29,IF(E3601="HI",2,IF(E3601="LO",6,10))+IF(D3601=1,2,IF(D3601=7,1,(IF(WEEKDAY(B3601)=1,2,IF(WEEKDAY(B3601)=7,1,0))))))</f>
        <v>2</v>
      </c>
      <c r="G3601" s="369">
        <f>VLOOKUP(C3601,METADATA!$J$5:$Q$29,IF(E3601="HI",2,IF(E3601="LO",6,10))+IF(D3601=1,2,IF(D3601=7,1,(IF(WEEKDAY(B3601)=1,2,IF(WEEKDAY(B3601)=7,1,0))))))</f>
        <v>2</v>
      </c>
      <c r="H3601" s="370">
        <v>12573.75</v>
      </c>
      <c r="I3601" s="370">
        <v>9755.2249755859375</v>
      </c>
      <c r="M3601" s="371">
        <f t="shared" si="225"/>
        <v>15914.257864782625</v>
      </c>
      <c r="N3601" s="329">
        <f t="shared" si="226"/>
        <v>5983.0999755859375</v>
      </c>
      <c r="T3601" s="331">
        <v>0</v>
      </c>
      <c r="U3601" s="328">
        <f>VLOOKUP(C3601,METADATA!$J$5:$Q$29,IF(E3601="HI",2,IF(E3601="LO",6,10))+IF(T3601=1,2,IF(D3601=7,1,(IF(WEEKDAY(B3601)=1,2,IF(WEEKDAY(B3601)=7,1,0))))))</f>
        <v>2</v>
      </c>
      <c r="V3601" s="328">
        <f>VLOOKUP(C3601,METADATA!$A$5:$H$29,IF(E3601="HI",2,IF(E3601="LO",6,10))+IF(T3601=1,2,IF(D3601=7,1,(IF(WEEKDAY(B3601)=1,2,IF(WEEKDAY(B3601)=7,1,0))))))</f>
        <v>2</v>
      </c>
    </row>
    <row r="3602" spans="2:22">
      <c r="B3602" s="318">
        <f t="shared" si="223"/>
        <v>46262</v>
      </c>
      <c r="C3602" s="312">
        <v>22</v>
      </c>
      <c r="D3602" s="368">
        <f>IFERROR((INDEX(METADATA!$T$2:$T$20,MATCH(B3602,METADATA!$S$2:$S$20,0))),0)</f>
        <v>0</v>
      </c>
      <c r="E3602" s="312" t="str">
        <f t="shared" si="224"/>
        <v>LO</v>
      </c>
      <c r="F3602" s="369">
        <f>VLOOKUP(C3602,METADATA!$A$5:$H$29,IF(E3602="HI",2,IF(E3602="LO",6,10))+IF(D3602=1,2,IF(D3602=7,1,(IF(WEEKDAY(B3602)=1,2,IF(WEEKDAY(B3602)=7,1,0))))))</f>
        <v>3</v>
      </c>
      <c r="G3602" s="369">
        <f>VLOOKUP(C3602,METADATA!$J$5:$Q$29,IF(E3602="HI",2,IF(E3602="LO",6,10))+IF(D3602=1,2,IF(D3602=7,1,(IF(WEEKDAY(B3602)=1,2,IF(WEEKDAY(B3602)=7,1,0))))))</f>
        <v>3</v>
      </c>
      <c r="H3602" s="370">
        <v>12188.425231933594</v>
      </c>
      <c r="I3602" s="370">
        <v>9718.4498901367188</v>
      </c>
      <c r="M3602" s="371">
        <f t="shared" si="225"/>
        <v>15588.649008221779</v>
      </c>
      <c r="N3602" s="329">
        <f t="shared" si="226"/>
        <v>6061.9223205566414</v>
      </c>
      <c r="T3602" s="331">
        <v>0</v>
      </c>
      <c r="U3602" s="328">
        <f>VLOOKUP(C3602,METADATA!$J$5:$Q$29,IF(E3602="HI",2,IF(E3602="LO",6,10))+IF(T3602=1,2,IF(D3602=7,1,(IF(WEEKDAY(B3602)=1,2,IF(WEEKDAY(B3602)=7,1,0))))))</f>
        <v>3</v>
      </c>
      <c r="V3602" s="328">
        <f>VLOOKUP(C3602,METADATA!$A$5:$H$29,IF(E3602="HI",2,IF(E3602="LO",6,10))+IF(T3602=1,2,IF(D3602=7,1,(IF(WEEKDAY(B3602)=1,2,IF(WEEKDAY(B3602)=7,1,0))))))</f>
        <v>3</v>
      </c>
    </row>
    <row r="3603" spans="2:22">
      <c r="B3603" s="318">
        <f t="shared" si="223"/>
        <v>46262</v>
      </c>
      <c r="C3603" s="312">
        <v>23</v>
      </c>
      <c r="D3603" s="368">
        <f>IFERROR((INDEX(METADATA!$T$2:$T$20,MATCH(B3603,METADATA!$S$2:$S$20,0))),0)</f>
        <v>0</v>
      </c>
      <c r="E3603" s="312" t="str">
        <f t="shared" si="224"/>
        <v>LO</v>
      </c>
      <c r="F3603" s="369">
        <f>VLOOKUP(C3603,METADATA!$A$5:$H$29,IF(E3603="HI",2,IF(E3603="LO",6,10))+IF(D3603=1,2,IF(D3603=7,1,(IF(WEEKDAY(B3603)=1,2,IF(WEEKDAY(B3603)=7,1,0))))))</f>
        <v>3</v>
      </c>
      <c r="G3603" s="369">
        <f>VLOOKUP(C3603,METADATA!$J$5:$Q$29,IF(E3603="HI",2,IF(E3603="LO",6,10))+IF(D3603=1,2,IF(D3603=7,1,(IF(WEEKDAY(B3603)=1,2,IF(WEEKDAY(B3603)=7,1,0))))))</f>
        <v>3</v>
      </c>
      <c r="H3603" s="370">
        <v>12352.625244140625</v>
      </c>
      <c r="I3603" s="370">
        <v>9867.7251586914063</v>
      </c>
      <c r="M3603" s="371">
        <f t="shared" si="225"/>
        <v>15810.102789977413</v>
      </c>
      <c r="N3603" s="329">
        <f t="shared" si="226"/>
        <v>6161.9375854492191</v>
      </c>
      <c r="T3603" s="331">
        <v>0</v>
      </c>
      <c r="U3603" s="328">
        <f>VLOOKUP(C3603,METADATA!$J$5:$Q$29,IF(E3603="HI",2,IF(E3603="LO",6,10))+IF(T3603=1,2,IF(D3603=7,1,(IF(WEEKDAY(B3603)=1,2,IF(WEEKDAY(B3603)=7,1,0))))))</f>
        <v>3</v>
      </c>
      <c r="V3603" s="328">
        <f>VLOOKUP(C3603,METADATA!$A$5:$H$29,IF(E3603="HI",2,IF(E3603="LO",6,10))+IF(T3603=1,2,IF(D3603=7,1,(IF(WEEKDAY(B3603)=1,2,IF(WEEKDAY(B3603)=7,1,0))))))</f>
        <v>3</v>
      </c>
    </row>
    <row r="3604" spans="2:22">
      <c r="B3604" s="318">
        <f t="shared" si="223"/>
        <v>46263</v>
      </c>
      <c r="C3604" s="312">
        <v>0</v>
      </c>
      <c r="D3604" s="368">
        <f>IFERROR((INDEX(METADATA!$T$2:$T$20,MATCH(B3604,METADATA!$S$2:$S$20,0))),0)</f>
        <v>0</v>
      </c>
      <c r="E3604" s="312" t="str">
        <f t="shared" si="224"/>
        <v>LO</v>
      </c>
      <c r="F3604" s="369">
        <f>VLOOKUP(C3604,METADATA!$A$5:$H$29,IF(E3604="HI",2,IF(E3604="LO",6,10))+IF(D3604=1,2,IF(D3604=7,1,(IF(WEEKDAY(B3604)=1,2,IF(WEEKDAY(B3604)=7,1,0))))))</f>
        <v>3</v>
      </c>
      <c r="G3604" s="369">
        <f>VLOOKUP(C3604,METADATA!$J$5:$Q$29,IF(E3604="HI",2,IF(E3604="LO",6,10))+IF(D3604=1,2,IF(D3604=7,1,(IF(WEEKDAY(B3604)=1,2,IF(WEEKDAY(B3604)=7,1,0))))))</f>
        <v>3</v>
      </c>
      <c r="H3604" s="370">
        <v>12541.949890136719</v>
      </c>
      <c r="I3604" s="370">
        <v>10075.750061035156</v>
      </c>
      <c r="M3604" s="371">
        <f t="shared" si="225"/>
        <v>16087.922374848482</v>
      </c>
      <c r="N3604" s="329">
        <f t="shared" si="226"/>
        <v>6313.165093994141</v>
      </c>
      <c r="T3604" s="331">
        <v>0</v>
      </c>
      <c r="U3604" s="328">
        <f>VLOOKUP(C3604,METADATA!$J$5:$Q$29,IF(E3604="HI",2,IF(E3604="LO",6,10))+IF(T3604=1,2,IF(D3604=7,1,(IF(WEEKDAY(B3604)=1,2,IF(WEEKDAY(B3604)=7,1,0))))))</f>
        <v>3</v>
      </c>
      <c r="V3604" s="328">
        <f>VLOOKUP(C3604,METADATA!$A$5:$H$29,IF(E3604="HI",2,IF(E3604="LO",6,10))+IF(T3604=1,2,IF(D3604=7,1,(IF(WEEKDAY(B3604)=1,2,IF(WEEKDAY(B3604)=7,1,0))))))</f>
        <v>3</v>
      </c>
    </row>
    <row r="3605" spans="2:22">
      <c r="B3605" s="318">
        <f t="shared" si="223"/>
        <v>46263</v>
      </c>
      <c r="C3605" s="312">
        <v>1</v>
      </c>
      <c r="D3605" s="368">
        <f>IFERROR((INDEX(METADATA!$T$2:$T$20,MATCH(B3605,METADATA!$S$2:$S$20,0))),0)</f>
        <v>0</v>
      </c>
      <c r="E3605" s="312" t="str">
        <f t="shared" si="224"/>
        <v>LO</v>
      </c>
      <c r="F3605" s="369">
        <f>VLOOKUP(C3605,METADATA!$A$5:$H$29,IF(E3605="HI",2,IF(E3605="LO",6,10))+IF(D3605=1,2,IF(D3605=7,1,(IF(WEEKDAY(B3605)=1,2,IF(WEEKDAY(B3605)=7,1,0))))))</f>
        <v>3</v>
      </c>
      <c r="G3605" s="369">
        <f>VLOOKUP(C3605,METADATA!$J$5:$Q$29,IF(E3605="HI",2,IF(E3605="LO",6,10))+IF(D3605=1,2,IF(D3605=7,1,(IF(WEEKDAY(B3605)=1,2,IF(WEEKDAY(B3605)=7,1,0))))))</f>
        <v>3</v>
      </c>
      <c r="H3605" s="370">
        <v>12501.324340820313</v>
      </c>
      <c r="I3605" s="370">
        <v>9825.7000122070313</v>
      </c>
      <c r="M3605" s="371">
        <f t="shared" si="225"/>
        <v>15900.550022067528</v>
      </c>
      <c r="N3605" s="329">
        <f t="shared" si="226"/>
        <v>6075.3027099609371</v>
      </c>
      <c r="T3605" s="331">
        <v>0</v>
      </c>
      <c r="U3605" s="328">
        <f>VLOOKUP(C3605,METADATA!$J$5:$Q$29,IF(E3605="HI",2,IF(E3605="LO",6,10))+IF(T3605=1,2,IF(D3605=7,1,(IF(WEEKDAY(B3605)=1,2,IF(WEEKDAY(B3605)=7,1,0))))))</f>
        <v>3</v>
      </c>
      <c r="V3605" s="328">
        <f>VLOOKUP(C3605,METADATA!$A$5:$H$29,IF(E3605="HI",2,IF(E3605="LO",6,10))+IF(T3605=1,2,IF(D3605=7,1,(IF(WEEKDAY(B3605)=1,2,IF(WEEKDAY(B3605)=7,1,0))))))</f>
        <v>3</v>
      </c>
    </row>
    <row r="3606" spans="2:22">
      <c r="B3606" s="318">
        <f t="shared" si="223"/>
        <v>46263</v>
      </c>
      <c r="C3606" s="312">
        <v>2</v>
      </c>
      <c r="D3606" s="368">
        <f>IFERROR((INDEX(METADATA!$T$2:$T$20,MATCH(B3606,METADATA!$S$2:$S$20,0))),0)</f>
        <v>0</v>
      </c>
      <c r="E3606" s="312" t="str">
        <f t="shared" si="224"/>
        <v>LO</v>
      </c>
      <c r="F3606" s="369">
        <f>VLOOKUP(C3606,METADATA!$A$5:$H$29,IF(E3606="HI",2,IF(E3606="LO",6,10))+IF(D3606=1,2,IF(D3606=7,1,(IF(WEEKDAY(B3606)=1,2,IF(WEEKDAY(B3606)=7,1,0))))))</f>
        <v>3</v>
      </c>
      <c r="G3606" s="369">
        <f>VLOOKUP(C3606,METADATA!$J$5:$Q$29,IF(E3606="HI",2,IF(E3606="LO",6,10))+IF(D3606=1,2,IF(D3606=7,1,(IF(WEEKDAY(B3606)=1,2,IF(WEEKDAY(B3606)=7,1,0))))))</f>
        <v>3</v>
      </c>
      <c r="H3606" s="370">
        <v>12512.349853515625</v>
      </c>
      <c r="I3606" s="370">
        <v>9675.6749267578125</v>
      </c>
      <c r="M3606" s="371">
        <f t="shared" si="225"/>
        <v>15817.00300768329</v>
      </c>
      <c r="N3606" s="329">
        <f t="shared" si="226"/>
        <v>5921.969970703125</v>
      </c>
      <c r="T3606" s="331">
        <v>0</v>
      </c>
      <c r="U3606" s="328">
        <f>VLOOKUP(C3606,METADATA!$J$5:$Q$29,IF(E3606="HI",2,IF(E3606="LO",6,10))+IF(T3606=1,2,IF(D3606=7,1,(IF(WEEKDAY(B3606)=1,2,IF(WEEKDAY(B3606)=7,1,0))))))</f>
        <v>3</v>
      </c>
      <c r="V3606" s="328">
        <f>VLOOKUP(C3606,METADATA!$A$5:$H$29,IF(E3606="HI",2,IF(E3606="LO",6,10))+IF(T3606=1,2,IF(D3606=7,1,(IF(WEEKDAY(B3606)=1,2,IF(WEEKDAY(B3606)=7,1,0))))))</f>
        <v>3</v>
      </c>
    </row>
    <row r="3607" spans="2:22">
      <c r="B3607" s="318">
        <f t="shared" si="223"/>
        <v>46263</v>
      </c>
      <c r="C3607" s="312">
        <v>3</v>
      </c>
      <c r="D3607" s="368">
        <f>IFERROR((INDEX(METADATA!$T$2:$T$20,MATCH(B3607,METADATA!$S$2:$S$20,0))),0)</f>
        <v>0</v>
      </c>
      <c r="E3607" s="312" t="str">
        <f t="shared" si="224"/>
        <v>LO</v>
      </c>
      <c r="F3607" s="369">
        <f>VLOOKUP(C3607,METADATA!$A$5:$H$29,IF(E3607="HI",2,IF(E3607="LO",6,10))+IF(D3607=1,2,IF(D3607=7,1,(IF(WEEKDAY(B3607)=1,2,IF(WEEKDAY(B3607)=7,1,0))))))</f>
        <v>3</v>
      </c>
      <c r="G3607" s="369">
        <f>VLOOKUP(C3607,METADATA!$J$5:$Q$29,IF(E3607="HI",2,IF(E3607="LO",6,10))+IF(D3607=1,2,IF(D3607=7,1,(IF(WEEKDAY(B3607)=1,2,IF(WEEKDAY(B3607)=7,1,0))))))</f>
        <v>3</v>
      </c>
      <c r="H3607" s="370">
        <v>12323.499816894531</v>
      </c>
      <c r="I3607" s="370">
        <v>9497.1000366210938</v>
      </c>
      <c r="M3607" s="371">
        <f t="shared" si="225"/>
        <v>15558.391846286297</v>
      </c>
      <c r="N3607" s="329">
        <f t="shared" si="226"/>
        <v>5800.0500915527346</v>
      </c>
      <c r="T3607" s="331">
        <v>0</v>
      </c>
      <c r="U3607" s="328">
        <f>VLOOKUP(C3607,METADATA!$J$5:$Q$29,IF(E3607="HI",2,IF(E3607="LO",6,10))+IF(T3607=1,2,IF(D3607=7,1,(IF(WEEKDAY(B3607)=1,2,IF(WEEKDAY(B3607)=7,1,0))))))</f>
        <v>3</v>
      </c>
      <c r="V3607" s="328">
        <f>VLOOKUP(C3607,METADATA!$A$5:$H$29,IF(E3607="HI",2,IF(E3607="LO",6,10))+IF(T3607=1,2,IF(D3607=7,1,(IF(WEEKDAY(B3607)=1,2,IF(WEEKDAY(B3607)=7,1,0))))))</f>
        <v>3</v>
      </c>
    </row>
    <row r="3608" spans="2:22">
      <c r="B3608" s="318">
        <f t="shared" si="223"/>
        <v>46263</v>
      </c>
      <c r="C3608" s="312">
        <v>4</v>
      </c>
      <c r="D3608" s="368">
        <f>IFERROR((INDEX(METADATA!$T$2:$T$20,MATCH(B3608,METADATA!$S$2:$S$20,0))),0)</f>
        <v>0</v>
      </c>
      <c r="E3608" s="312" t="str">
        <f t="shared" si="224"/>
        <v>LO</v>
      </c>
      <c r="F3608" s="369">
        <f>VLOOKUP(C3608,METADATA!$A$5:$H$29,IF(E3608="HI",2,IF(E3608="LO",6,10))+IF(D3608=1,2,IF(D3608=7,1,(IF(WEEKDAY(B3608)=1,2,IF(WEEKDAY(B3608)=7,1,0))))))</f>
        <v>3</v>
      </c>
      <c r="G3608" s="369">
        <f>VLOOKUP(C3608,METADATA!$J$5:$Q$29,IF(E3608="HI",2,IF(E3608="LO",6,10))+IF(D3608=1,2,IF(D3608=7,1,(IF(WEEKDAY(B3608)=1,2,IF(WEEKDAY(B3608)=7,1,0))))))</f>
        <v>3</v>
      </c>
      <c r="H3608" s="370">
        <v>12531.474975585938</v>
      </c>
      <c r="I3608" s="370">
        <v>9640.8499145507813</v>
      </c>
      <c r="M3608" s="371">
        <f t="shared" si="225"/>
        <v>15810.877652383197</v>
      </c>
      <c r="N3608" s="329">
        <f t="shared" si="226"/>
        <v>5881.4074218750002</v>
      </c>
      <c r="T3608" s="331">
        <v>0</v>
      </c>
      <c r="U3608" s="328">
        <f>VLOOKUP(C3608,METADATA!$J$5:$Q$29,IF(E3608="HI",2,IF(E3608="LO",6,10))+IF(T3608=1,2,IF(D3608=7,1,(IF(WEEKDAY(B3608)=1,2,IF(WEEKDAY(B3608)=7,1,0))))))</f>
        <v>3</v>
      </c>
      <c r="V3608" s="328">
        <f>VLOOKUP(C3608,METADATA!$A$5:$H$29,IF(E3608="HI",2,IF(E3608="LO",6,10))+IF(T3608=1,2,IF(D3608=7,1,(IF(WEEKDAY(B3608)=1,2,IF(WEEKDAY(B3608)=7,1,0))))))</f>
        <v>3</v>
      </c>
    </row>
    <row r="3609" spans="2:22">
      <c r="B3609" s="318">
        <f t="shared" si="223"/>
        <v>46263</v>
      </c>
      <c r="C3609" s="312">
        <v>5</v>
      </c>
      <c r="D3609" s="368">
        <f>IFERROR((INDEX(METADATA!$T$2:$T$20,MATCH(B3609,METADATA!$S$2:$S$20,0))),0)</f>
        <v>0</v>
      </c>
      <c r="E3609" s="312" t="str">
        <f t="shared" si="224"/>
        <v>LO</v>
      </c>
      <c r="F3609" s="369">
        <f>VLOOKUP(C3609,METADATA!$A$5:$H$29,IF(E3609="HI",2,IF(E3609="LO",6,10))+IF(D3609=1,2,IF(D3609=7,1,(IF(WEEKDAY(B3609)=1,2,IF(WEEKDAY(B3609)=7,1,0))))))</f>
        <v>3</v>
      </c>
      <c r="G3609" s="369">
        <f>VLOOKUP(C3609,METADATA!$J$5:$Q$29,IF(E3609="HI",2,IF(E3609="LO",6,10))+IF(D3609=1,2,IF(D3609=7,1,(IF(WEEKDAY(B3609)=1,2,IF(WEEKDAY(B3609)=7,1,0))))))</f>
        <v>3</v>
      </c>
      <c r="H3609" s="370">
        <v>12648.999877929688</v>
      </c>
      <c r="I3609" s="370">
        <v>9605.9249267578125</v>
      </c>
      <c r="M3609" s="371">
        <f t="shared" si="225"/>
        <v>15883.041006380747</v>
      </c>
      <c r="N3609" s="329">
        <f t="shared" si="226"/>
        <v>5811.224963378907</v>
      </c>
      <c r="T3609" s="331">
        <v>0</v>
      </c>
      <c r="U3609" s="328">
        <f>VLOOKUP(C3609,METADATA!$J$5:$Q$29,IF(E3609="HI",2,IF(E3609="LO",6,10))+IF(T3609=1,2,IF(D3609=7,1,(IF(WEEKDAY(B3609)=1,2,IF(WEEKDAY(B3609)=7,1,0))))))</f>
        <v>3</v>
      </c>
      <c r="V3609" s="328">
        <f>VLOOKUP(C3609,METADATA!$A$5:$H$29,IF(E3609="HI",2,IF(E3609="LO",6,10))+IF(T3609=1,2,IF(D3609=7,1,(IF(WEEKDAY(B3609)=1,2,IF(WEEKDAY(B3609)=7,1,0))))))</f>
        <v>3</v>
      </c>
    </row>
    <row r="3610" spans="2:22">
      <c r="B3610" s="318">
        <f t="shared" si="223"/>
        <v>46263</v>
      </c>
      <c r="C3610" s="312">
        <v>6</v>
      </c>
      <c r="D3610" s="368">
        <f>IFERROR((INDEX(METADATA!$T$2:$T$20,MATCH(B3610,METADATA!$S$2:$S$20,0))),0)</f>
        <v>0</v>
      </c>
      <c r="E3610" s="312" t="str">
        <f t="shared" si="224"/>
        <v>LO</v>
      </c>
      <c r="F3610" s="369">
        <f>VLOOKUP(C3610,METADATA!$A$5:$H$29,IF(E3610="HI",2,IF(E3610="LO",6,10))+IF(D3610=1,2,IF(D3610=7,1,(IF(WEEKDAY(B3610)=1,2,IF(WEEKDAY(B3610)=7,1,0))))))</f>
        <v>3</v>
      </c>
      <c r="G3610" s="369">
        <f>VLOOKUP(C3610,METADATA!$J$5:$Q$29,IF(E3610="HI",2,IF(E3610="LO",6,10))+IF(D3610=1,2,IF(D3610=7,1,(IF(WEEKDAY(B3610)=1,2,IF(WEEKDAY(B3610)=7,1,0))))))</f>
        <v>3</v>
      </c>
      <c r="H3610" s="370">
        <v>12610.85009765625</v>
      </c>
      <c r="I3610" s="370">
        <v>9598.6250610351563</v>
      </c>
      <c r="M3610" s="371">
        <f t="shared" si="225"/>
        <v>15848.253634009294</v>
      </c>
      <c r="N3610" s="329">
        <f t="shared" si="226"/>
        <v>5815.3700317382809</v>
      </c>
      <c r="T3610" s="331">
        <v>0</v>
      </c>
      <c r="U3610" s="328">
        <f>VLOOKUP(C3610,METADATA!$J$5:$Q$29,IF(E3610="HI",2,IF(E3610="LO",6,10))+IF(T3610=1,2,IF(D3610=7,1,(IF(WEEKDAY(B3610)=1,2,IF(WEEKDAY(B3610)=7,1,0))))))</f>
        <v>3</v>
      </c>
      <c r="V3610" s="328">
        <f>VLOOKUP(C3610,METADATA!$A$5:$H$29,IF(E3610="HI",2,IF(E3610="LO",6,10))+IF(T3610=1,2,IF(D3610=7,1,(IF(WEEKDAY(B3610)=1,2,IF(WEEKDAY(B3610)=7,1,0))))))</f>
        <v>3</v>
      </c>
    </row>
    <row r="3611" spans="2:22">
      <c r="B3611" s="318">
        <f t="shared" si="223"/>
        <v>46263</v>
      </c>
      <c r="C3611" s="312">
        <v>7</v>
      </c>
      <c r="D3611" s="368">
        <f>IFERROR((INDEX(METADATA!$T$2:$T$20,MATCH(B3611,METADATA!$S$2:$S$20,0))),0)</f>
        <v>0</v>
      </c>
      <c r="E3611" s="312" t="str">
        <f t="shared" si="224"/>
        <v>LO</v>
      </c>
      <c r="F3611" s="369">
        <f>VLOOKUP(C3611,METADATA!$A$5:$H$29,IF(E3611="HI",2,IF(E3611="LO",6,10))+IF(D3611=1,2,IF(D3611=7,1,(IF(WEEKDAY(B3611)=1,2,IF(WEEKDAY(B3611)=7,1,0))))))</f>
        <v>2</v>
      </c>
      <c r="G3611" s="369">
        <f>VLOOKUP(C3611,METADATA!$J$5:$Q$29,IF(E3611="HI",2,IF(E3611="LO",6,10))+IF(D3611=1,2,IF(D3611=7,1,(IF(WEEKDAY(B3611)=1,2,IF(WEEKDAY(B3611)=7,1,0))))))</f>
        <v>2</v>
      </c>
      <c r="H3611" s="370">
        <v>12652.375122070313</v>
      </c>
      <c r="I3611" s="370">
        <v>9719.1499633789063</v>
      </c>
      <c r="M3611" s="371">
        <f t="shared" si="225"/>
        <v>15954.449919700521</v>
      </c>
      <c r="N3611" s="329">
        <f t="shared" si="226"/>
        <v>5923.4374267578132</v>
      </c>
      <c r="T3611" s="331">
        <v>0</v>
      </c>
      <c r="U3611" s="328">
        <f>VLOOKUP(C3611,METADATA!$J$5:$Q$29,IF(E3611="HI",2,IF(E3611="LO",6,10))+IF(T3611=1,2,IF(D3611=7,1,(IF(WEEKDAY(B3611)=1,2,IF(WEEKDAY(B3611)=7,1,0))))))</f>
        <v>2</v>
      </c>
      <c r="V3611" s="328">
        <f>VLOOKUP(C3611,METADATA!$A$5:$H$29,IF(E3611="HI",2,IF(E3611="LO",6,10))+IF(T3611=1,2,IF(D3611=7,1,(IF(WEEKDAY(B3611)=1,2,IF(WEEKDAY(B3611)=7,1,0))))))</f>
        <v>2</v>
      </c>
    </row>
    <row r="3612" spans="2:22">
      <c r="B3612" s="318">
        <f t="shared" ref="B3612:B3675" si="227">B3588+1</f>
        <v>46263</v>
      </c>
      <c r="C3612" s="312">
        <v>8</v>
      </c>
      <c r="D3612" s="368">
        <f>IFERROR((INDEX(METADATA!$T$2:$T$20,MATCH(B3612,METADATA!$S$2:$S$20,0))),0)</f>
        <v>0</v>
      </c>
      <c r="E3612" s="312" t="str">
        <f t="shared" si="224"/>
        <v>LO</v>
      </c>
      <c r="F3612" s="369">
        <f>VLOOKUP(C3612,METADATA!$A$5:$H$29,IF(E3612="HI",2,IF(E3612="LO",6,10))+IF(D3612=1,2,IF(D3612=7,1,(IF(WEEKDAY(B3612)=1,2,IF(WEEKDAY(B3612)=7,1,0))))))</f>
        <v>2</v>
      </c>
      <c r="G3612" s="369">
        <f>VLOOKUP(C3612,METADATA!$J$5:$Q$29,IF(E3612="HI",2,IF(E3612="LO",6,10))+IF(D3612=1,2,IF(D3612=7,1,(IF(WEEKDAY(B3612)=1,2,IF(WEEKDAY(B3612)=7,1,0))))))</f>
        <v>2</v>
      </c>
      <c r="H3612" s="370">
        <v>12398.55029296875</v>
      </c>
      <c r="I3612" s="370">
        <v>9402.0001220703125</v>
      </c>
      <c r="M3612" s="371">
        <f t="shared" si="225"/>
        <v>15560.25885590229</v>
      </c>
      <c r="N3612" s="329">
        <f t="shared" si="226"/>
        <v>5682.4350341796871</v>
      </c>
      <c r="T3612" s="331">
        <v>0</v>
      </c>
      <c r="U3612" s="328">
        <f>VLOOKUP(C3612,METADATA!$J$5:$Q$29,IF(E3612="HI",2,IF(E3612="LO",6,10))+IF(T3612=1,2,IF(D3612=7,1,(IF(WEEKDAY(B3612)=1,2,IF(WEEKDAY(B3612)=7,1,0))))))</f>
        <v>2</v>
      </c>
      <c r="V3612" s="328">
        <f>VLOOKUP(C3612,METADATA!$A$5:$H$29,IF(E3612="HI",2,IF(E3612="LO",6,10))+IF(T3612=1,2,IF(D3612=7,1,(IF(WEEKDAY(B3612)=1,2,IF(WEEKDAY(B3612)=7,1,0))))))</f>
        <v>2</v>
      </c>
    </row>
    <row r="3613" spans="2:22">
      <c r="B3613" s="318">
        <f t="shared" si="227"/>
        <v>46263</v>
      </c>
      <c r="C3613" s="312">
        <v>9</v>
      </c>
      <c r="D3613" s="368">
        <f>IFERROR((INDEX(METADATA!$T$2:$T$20,MATCH(B3613,METADATA!$S$2:$S$20,0))),0)</f>
        <v>0</v>
      </c>
      <c r="E3613" s="312" t="str">
        <f t="shared" si="224"/>
        <v>LO</v>
      </c>
      <c r="F3613" s="369">
        <f>VLOOKUP(C3613,METADATA!$A$5:$H$29,IF(E3613="HI",2,IF(E3613="LO",6,10))+IF(D3613=1,2,IF(D3613=7,1,(IF(WEEKDAY(B3613)=1,2,IF(WEEKDAY(B3613)=7,1,0))))))</f>
        <v>2</v>
      </c>
      <c r="G3613" s="369">
        <f>VLOOKUP(C3613,METADATA!$J$5:$Q$29,IF(E3613="HI",2,IF(E3613="LO",6,10))+IF(D3613=1,2,IF(D3613=7,1,(IF(WEEKDAY(B3613)=1,2,IF(WEEKDAY(B3613)=7,1,0))))))</f>
        <v>2</v>
      </c>
      <c r="H3613" s="370">
        <v>12497.050048828125</v>
      </c>
      <c r="I3613" s="370">
        <v>9485.89990234375</v>
      </c>
      <c r="M3613" s="371">
        <f t="shared" si="225"/>
        <v>15689.440935871495</v>
      </c>
      <c r="N3613" s="329">
        <f t="shared" si="226"/>
        <v>5736.7848876953121</v>
      </c>
      <c r="T3613" s="331">
        <v>0</v>
      </c>
      <c r="U3613" s="328">
        <f>VLOOKUP(C3613,METADATA!$J$5:$Q$29,IF(E3613="HI",2,IF(E3613="LO",6,10))+IF(T3613=1,2,IF(D3613=7,1,(IF(WEEKDAY(B3613)=1,2,IF(WEEKDAY(B3613)=7,1,0))))))</f>
        <v>2</v>
      </c>
      <c r="V3613" s="328">
        <f>VLOOKUP(C3613,METADATA!$A$5:$H$29,IF(E3613="HI",2,IF(E3613="LO",6,10))+IF(T3613=1,2,IF(D3613=7,1,(IF(WEEKDAY(B3613)=1,2,IF(WEEKDAY(B3613)=7,1,0))))))</f>
        <v>2</v>
      </c>
    </row>
    <row r="3614" spans="2:22">
      <c r="B3614" s="318">
        <f t="shared" si="227"/>
        <v>46263</v>
      </c>
      <c r="C3614" s="312">
        <v>10</v>
      </c>
      <c r="D3614" s="368">
        <f>IFERROR((INDEX(METADATA!$T$2:$T$20,MATCH(B3614,METADATA!$S$2:$S$20,0))),0)</f>
        <v>0</v>
      </c>
      <c r="E3614" s="312" t="str">
        <f t="shared" si="224"/>
        <v>LO</v>
      </c>
      <c r="F3614" s="369">
        <f>VLOOKUP(C3614,METADATA!$A$5:$H$29,IF(E3614="HI",2,IF(E3614="LO",6,10))+IF(D3614=1,2,IF(D3614=7,1,(IF(WEEKDAY(B3614)=1,2,IF(WEEKDAY(B3614)=7,1,0))))))</f>
        <v>2</v>
      </c>
      <c r="G3614" s="369">
        <f>VLOOKUP(C3614,METADATA!$J$5:$Q$29,IF(E3614="HI",2,IF(E3614="LO",6,10))+IF(D3614=1,2,IF(D3614=7,1,(IF(WEEKDAY(B3614)=1,2,IF(WEEKDAY(B3614)=7,1,0))))))</f>
        <v>2</v>
      </c>
      <c r="H3614" s="370">
        <v>11503.124938964844</v>
      </c>
      <c r="I3614" s="370">
        <v>8995.6200561523438</v>
      </c>
      <c r="M3614" s="371">
        <f t="shared" si="225"/>
        <v>14602.844365262721</v>
      </c>
      <c r="N3614" s="329">
        <f t="shared" si="226"/>
        <v>5544.6825744628914</v>
      </c>
      <c r="T3614" s="331">
        <v>0</v>
      </c>
      <c r="U3614" s="328">
        <f>VLOOKUP(C3614,METADATA!$J$5:$Q$29,IF(E3614="HI",2,IF(E3614="LO",6,10))+IF(T3614=1,2,IF(D3614=7,1,(IF(WEEKDAY(B3614)=1,2,IF(WEEKDAY(B3614)=7,1,0))))))</f>
        <v>2</v>
      </c>
      <c r="V3614" s="328">
        <f>VLOOKUP(C3614,METADATA!$A$5:$H$29,IF(E3614="HI",2,IF(E3614="LO",6,10))+IF(T3614=1,2,IF(D3614=7,1,(IF(WEEKDAY(B3614)=1,2,IF(WEEKDAY(B3614)=7,1,0))))))</f>
        <v>2</v>
      </c>
    </row>
    <row r="3615" spans="2:22">
      <c r="B3615" s="318">
        <f t="shared" si="227"/>
        <v>46263</v>
      </c>
      <c r="C3615" s="312">
        <v>11</v>
      </c>
      <c r="D3615" s="368">
        <f>IFERROR((INDEX(METADATA!$T$2:$T$20,MATCH(B3615,METADATA!$S$2:$S$20,0))),0)</f>
        <v>0</v>
      </c>
      <c r="E3615" s="312" t="str">
        <f t="shared" si="224"/>
        <v>LO</v>
      </c>
      <c r="F3615" s="369">
        <f>VLOOKUP(C3615,METADATA!$A$5:$H$29,IF(E3615="HI",2,IF(E3615="LO",6,10))+IF(D3615=1,2,IF(D3615=7,1,(IF(WEEKDAY(B3615)=1,2,IF(WEEKDAY(B3615)=7,1,0))))))</f>
        <v>2</v>
      </c>
      <c r="G3615" s="369">
        <f>VLOOKUP(C3615,METADATA!$J$5:$Q$29,IF(E3615="HI",2,IF(E3615="LO",6,10))+IF(D3615=1,2,IF(D3615=7,1,(IF(WEEKDAY(B3615)=1,2,IF(WEEKDAY(B3615)=7,1,0))))))</f>
        <v>2</v>
      </c>
      <c r="H3615" s="370">
        <v>10770.099884033203</v>
      </c>
      <c r="I3615" s="370">
        <v>8649.4501953125</v>
      </c>
      <c r="M3615" s="371">
        <f t="shared" si="225"/>
        <v>13813.328353197265</v>
      </c>
      <c r="N3615" s="329">
        <f t="shared" si="226"/>
        <v>5418.4202301025398</v>
      </c>
      <c r="T3615" s="331">
        <v>0</v>
      </c>
      <c r="U3615" s="328">
        <f>VLOOKUP(C3615,METADATA!$J$5:$Q$29,IF(E3615="HI",2,IF(E3615="LO",6,10))+IF(T3615=1,2,IF(D3615=7,1,(IF(WEEKDAY(B3615)=1,2,IF(WEEKDAY(B3615)=7,1,0))))))</f>
        <v>2</v>
      </c>
      <c r="V3615" s="328">
        <f>VLOOKUP(C3615,METADATA!$A$5:$H$29,IF(E3615="HI",2,IF(E3615="LO",6,10))+IF(T3615=1,2,IF(D3615=7,1,(IF(WEEKDAY(B3615)=1,2,IF(WEEKDAY(B3615)=7,1,0))))))</f>
        <v>2</v>
      </c>
    </row>
    <row r="3616" spans="2:22">
      <c r="B3616" s="318">
        <f t="shared" si="227"/>
        <v>46263</v>
      </c>
      <c r="C3616" s="312">
        <v>12</v>
      </c>
      <c r="D3616" s="368">
        <f>IFERROR((INDEX(METADATA!$T$2:$T$20,MATCH(B3616,METADATA!$S$2:$S$20,0))),0)</f>
        <v>0</v>
      </c>
      <c r="E3616" s="312" t="str">
        <f t="shared" si="224"/>
        <v>LO</v>
      </c>
      <c r="F3616" s="369">
        <f>VLOOKUP(C3616,METADATA!$A$5:$H$29,IF(E3616="HI",2,IF(E3616="LO",6,10))+IF(D3616=1,2,IF(D3616=7,1,(IF(WEEKDAY(B3616)=1,2,IF(WEEKDAY(B3616)=7,1,0))))))</f>
        <v>3</v>
      </c>
      <c r="G3616" s="369">
        <f>VLOOKUP(C3616,METADATA!$J$5:$Q$29,IF(E3616="HI",2,IF(E3616="LO",6,10))+IF(D3616=1,2,IF(D3616=7,1,(IF(WEEKDAY(B3616)=1,2,IF(WEEKDAY(B3616)=7,1,0))))))</f>
        <v>3</v>
      </c>
      <c r="H3616" s="370">
        <v>11815.299682617188</v>
      </c>
      <c r="I3616" s="370">
        <v>9348.5347900390625</v>
      </c>
      <c r="M3616" s="371">
        <f t="shared" si="225"/>
        <v>15066.400011635975</v>
      </c>
      <c r="N3616" s="329">
        <f t="shared" si="226"/>
        <v>5803.9448852539063</v>
      </c>
      <c r="T3616" s="331">
        <v>0</v>
      </c>
      <c r="U3616" s="328">
        <f>VLOOKUP(C3616,METADATA!$J$5:$Q$29,IF(E3616="HI",2,IF(E3616="LO",6,10))+IF(T3616=1,2,IF(D3616=7,1,(IF(WEEKDAY(B3616)=1,2,IF(WEEKDAY(B3616)=7,1,0))))))</f>
        <v>3</v>
      </c>
      <c r="V3616" s="328">
        <f>VLOOKUP(C3616,METADATA!$A$5:$H$29,IF(E3616="HI",2,IF(E3616="LO",6,10))+IF(T3616=1,2,IF(D3616=7,1,(IF(WEEKDAY(B3616)=1,2,IF(WEEKDAY(B3616)=7,1,0))))))</f>
        <v>3</v>
      </c>
    </row>
    <row r="3617" spans="2:22">
      <c r="B3617" s="318">
        <f t="shared" si="227"/>
        <v>46263</v>
      </c>
      <c r="C3617" s="312">
        <v>13</v>
      </c>
      <c r="D3617" s="368">
        <f>IFERROR((INDEX(METADATA!$T$2:$T$20,MATCH(B3617,METADATA!$S$2:$S$20,0))),0)</f>
        <v>0</v>
      </c>
      <c r="E3617" s="312" t="str">
        <f t="shared" si="224"/>
        <v>LO</v>
      </c>
      <c r="F3617" s="369">
        <f>VLOOKUP(C3617,METADATA!$A$5:$H$29,IF(E3617="HI",2,IF(E3617="LO",6,10))+IF(D3617=1,2,IF(D3617=7,1,(IF(WEEKDAY(B3617)=1,2,IF(WEEKDAY(B3617)=7,1,0))))))</f>
        <v>3</v>
      </c>
      <c r="G3617" s="369">
        <f>VLOOKUP(C3617,METADATA!$J$5:$Q$29,IF(E3617="HI",2,IF(E3617="LO",6,10))+IF(D3617=1,2,IF(D3617=7,1,(IF(WEEKDAY(B3617)=1,2,IF(WEEKDAY(B3617)=7,1,0))))))</f>
        <v>3</v>
      </c>
      <c r="H3617" s="370">
        <v>12519.224853515625</v>
      </c>
      <c r="I3617" s="370">
        <v>9766.4248657226563</v>
      </c>
      <c r="M3617" s="371">
        <f t="shared" si="225"/>
        <v>15878.099558533104</v>
      </c>
      <c r="N3617" s="329">
        <f t="shared" si="226"/>
        <v>6010.6574096679688</v>
      </c>
      <c r="T3617" s="331">
        <v>0</v>
      </c>
      <c r="U3617" s="328">
        <f>VLOOKUP(C3617,METADATA!$J$5:$Q$29,IF(E3617="HI",2,IF(E3617="LO",6,10))+IF(T3617=1,2,IF(D3617=7,1,(IF(WEEKDAY(B3617)=1,2,IF(WEEKDAY(B3617)=7,1,0))))))</f>
        <v>3</v>
      </c>
      <c r="V3617" s="328">
        <f>VLOOKUP(C3617,METADATA!$A$5:$H$29,IF(E3617="HI",2,IF(E3617="LO",6,10))+IF(T3617=1,2,IF(D3617=7,1,(IF(WEEKDAY(B3617)=1,2,IF(WEEKDAY(B3617)=7,1,0))))))</f>
        <v>3</v>
      </c>
    </row>
    <row r="3618" spans="2:22">
      <c r="B3618" s="318">
        <f t="shared" si="227"/>
        <v>46263</v>
      </c>
      <c r="C3618" s="312">
        <v>14</v>
      </c>
      <c r="D3618" s="368">
        <f>IFERROR((INDEX(METADATA!$T$2:$T$20,MATCH(B3618,METADATA!$S$2:$S$20,0))),0)</f>
        <v>0</v>
      </c>
      <c r="E3618" s="312" t="str">
        <f t="shared" si="224"/>
        <v>LO</v>
      </c>
      <c r="F3618" s="369">
        <f>VLOOKUP(C3618,METADATA!$A$5:$H$29,IF(E3618="HI",2,IF(E3618="LO",6,10))+IF(D3618=1,2,IF(D3618=7,1,(IF(WEEKDAY(B3618)=1,2,IF(WEEKDAY(B3618)=7,1,0))))))</f>
        <v>3</v>
      </c>
      <c r="G3618" s="369">
        <f>VLOOKUP(C3618,METADATA!$J$5:$Q$29,IF(E3618="HI",2,IF(E3618="LO",6,10))+IF(D3618=1,2,IF(D3618=7,1,(IF(WEEKDAY(B3618)=1,2,IF(WEEKDAY(B3618)=7,1,0))))))</f>
        <v>3</v>
      </c>
      <c r="H3618" s="370">
        <v>12404.974731445313</v>
      </c>
      <c r="I3618" s="370">
        <v>9824.9498901367188</v>
      </c>
      <c r="M3618" s="371">
        <f t="shared" si="225"/>
        <v>15824.444332471652</v>
      </c>
      <c r="N3618" s="329">
        <f t="shared" si="226"/>
        <v>6103.4574707031252</v>
      </c>
      <c r="T3618" s="331">
        <v>0</v>
      </c>
      <c r="U3618" s="328">
        <f>VLOOKUP(C3618,METADATA!$J$5:$Q$29,IF(E3618="HI",2,IF(E3618="LO",6,10))+IF(T3618=1,2,IF(D3618=7,1,(IF(WEEKDAY(B3618)=1,2,IF(WEEKDAY(B3618)=7,1,0))))))</f>
        <v>3</v>
      </c>
      <c r="V3618" s="328">
        <f>VLOOKUP(C3618,METADATA!$A$5:$H$29,IF(E3618="HI",2,IF(E3618="LO",6,10))+IF(T3618=1,2,IF(D3618=7,1,(IF(WEEKDAY(B3618)=1,2,IF(WEEKDAY(B3618)=7,1,0))))))</f>
        <v>3</v>
      </c>
    </row>
    <row r="3619" spans="2:22">
      <c r="B3619" s="318">
        <f t="shared" si="227"/>
        <v>46263</v>
      </c>
      <c r="C3619" s="312">
        <v>15</v>
      </c>
      <c r="D3619" s="368">
        <f>IFERROR((INDEX(METADATA!$T$2:$T$20,MATCH(B3619,METADATA!$S$2:$S$20,0))),0)</f>
        <v>0</v>
      </c>
      <c r="E3619" s="312" t="str">
        <f t="shared" si="224"/>
        <v>LO</v>
      </c>
      <c r="F3619" s="369">
        <f>VLOOKUP(C3619,METADATA!$A$5:$H$29,IF(E3619="HI",2,IF(E3619="LO",6,10))+IF(D3619=1,2,IF(D3619=7,1,(IF(WEEKDAY(B3619)=1,2,IF(WEEKDAY(B3619)=7,1,0))))))</f>
        <v>3</v>
      </c>
      <c r="G3619" s="369">
        <f>VLOOKUP(C3619,METADATA!$J$5:$Q$29,IF(E3619="HI",2,IF(E3619="LO",6,10))+IF(D3619=1,2,IF(D3619=7,1,(IF(WEEKDAY(B3619)=1,2,IF(WEEKDAY(B3619)=7,1,0))))))</f>
        <v>3</v>
      </c>
      <c r="H3619" s="370">
        <v>12582.7998046875</v>
      </c>
      <c r="I3619" s="370">
        <v>9950.6251220703125</v>
      </c>
      <c r="M3619" s="371">
        <f t="shared" si="225"/>
        <v>16041.876175959613</v>
      </c>
      <c r="N3619" s="329">
        <f t="shared" si="226"/>
        <v>6175.7851806640629</v>
      </c>
      <c r="T3619" s="331">
        <v>0</v>
      </c>
      <c r="U3619" s="328">
        <f>VLOOKUP(C3619,METADATA!$J$5:$Q$29,IF(E3619="HI",2,IF(E3619="LO",6,10))+IF(T3619=1,2,IF(D3619=7,1,(IF(WEEKDAY(B3619)=1,2,IF(WEEKDAY(B3619)=7,1,0))))))</f>
        <v>3</v>
      </c>
      <c r="V3619" s="328">
        <f>VLOOKUP(C3619,METADATA!$A$5:$H$29,IF(E3619="HI",2,IF(E3619="LO",6,10))+IF(T3619=1,2,IF(D3619=7,1,(IF(WEEKDAY(B3619)=1,2,IF(WEEKDAY(B3619)=7,1,0))))))</f>
        <v>3</v>
      </c>
    </row>
    <row r="3620" spans="2:22">
      <c r="B3620" s="318">
        <f t="shared" si="227"/>
        <v>46263</v>
      </c>
      <c r="C3620" s="312">
        <v>16</v>
      </c>
      <c r="D3620" s="368">
        <f>IFERROR((INDEX(METADATA!$T$2:$T$20,MATCH(B3620,METADATA!$S$2:$S$20,0))),0)</f>
        <v>0</v>
      </c>
      <c r="E3620" s="312" t="str">
        <f t="shared" si="224"/>
        <v>LO</v>
      </c>
      <c r="F3620" s="369">
        <f>VLOOKUP(C3620,METADATA!$A$5:$H$29,IF(E3620="HI",2,IF(E3620="LO",6,10))+IF(D3620=1,2,IF(D3620=7,1,(IF(WEEKDAY(B3620)=1,2,IF(WEEKDAY(B3620)=7,1,0))))))</f>
        <v>3</v>
      </c>
      <c r="G3620" s="369">
        <f>VLOOKUP(C3620,METADATA!$J$5:$Q$29,IF(E3620="HI",2,IF(E3620="LO",6,10))+IF(D3620=1,2,IF(D3620=7,1,(IF(WEEKDAY(B3620)=1,2,IF(WEEKDAY(B3620)=7,1,0))))))</f>
        <v>3</v>
      </c>
      <c r="H3620" s="370">
        <v>12753.55029296875</v>
      </c>
      <c r="I3620" s="370">
        <v>9910.6749877929688</v>
      </c>
      <c r="M3620" s="371">
        <f t="shared" si="225"/>
        <v>16151.610563313754</v>
      </c>
      <c r="N3620" s="329">
        <f t="shared" si="226"/>
        <v>6084.6098999023434</v>
      </c>
      <c r="T3620" s="331">
        <v>0</v>
      </c>
      <c r="U3620" s="328">
        <f>VLOOKUP(C3620,METADATA!$J$5:$Q$29,IF(E3620="HI",2,IF(E3620="LO",6,10))+IF(T3620=1,2,IF(D3620=7,1,(IF(WEEKDAY(B3620)=1,2,IF(WEEKDAY(B3620)=7,1,0))))))</f>
        <v>3</v>
      </c>
      <c r="V3620" s="328">
        <f>VLOOKUP(C3620,METADATA!$A$5:$H$29,IF(E3620="HI",2,IF(E3620="LO",6,10))+IF(T3620=1,2,IF(D3620=7,1,(IF(WEEKDAY(B3620)=1,2,IF(WEEKDAY(B3620)=7,1,0))))))</f>
        <v>3</v>
      </c>
    </row>
    <row r="3621" spans="2:22">
      <c r="B3621" s="318">
        <f t="shared" si="227"/>
        <v>46263</v>
      </c>
      <c r="C3621" s="312">
        <v>17</v>
      </c>
      <c r="D3621" s="368">
        <f>IFERROR((INDEX(METADATA!$T$2:$T$20,MATCH(B3621,METADATA!$S$2:$S$20,0))),0)</f>
        <v>0</v>
      </c>
      <c r="E3621" s="312" t="str">
        <f t="shared" si="224"/>
        <v>LO</v>
      </c>
      <c r="F3621" s="369">
        <f>VLOOKUP(C3621,METADATA!$A$5:$H$29,IF(E3621="HI",2,IF(E3621="LO",6,10))+IF(D3621=1,2,IF(D3621=7,1,(IF(WEEKDAY(B3621)=1,2,IF(WEEKDAY(B3621)=7,1,0))))))</f>
        <v>3</v>
      </c>
      <c r="G3621" s="369">
        <f>VLOOKUP(C3621,METADATA!$J$5:$Q$29,IF(E3621="HI",2,IF(E3621="LO",6,10))+IF(D3621=1,2,IF(D3621=7,1,(IF(WEEKDAY(B3621)=1,2,IF(WEEKDAY(B3621)=7,1,0))))))</f>
        <v>3</v>
      </c>
      <c r="H3621" s="370">
        <v>12646.099853515625</v>
      </c>
      <c r="I3621" s="370">
        <v>9791.9249877929688</v>
      </c>
      <c r="M3621" s="371">
        <f t="shared" si="225"/>
        <v>15993.9249864332</v>
      </c>
      <c r="N3621" s="329">
        <f t="shared" si="226"/>
        <v>5998.0950317382813</v>
      </c>
      <c r="T3621" s="331">
        <v>0</v>
      </c>
      <c r="U3621" s="328">
        <f>VLOOKUP(C3621,METADATA!$J$5:$Q$29,IF(E3621="HI",2,IF(E3621="LO",6,10))+IF(T3621=1,2,IF(D3621=7,1,(IF(WEEKDAY(B3621)=1,2,IF(WEEKDAY(B3621)=7,1,0))))))</f>
        <v>3</v>
      </c>
      <c r="V3621" s="328">
        <f>VLOOKUP(C3621,METADATA!$A$5:$H$29,IF(E3621="HI",2,IF(E3621="LO",6,10))+IF(T3621=1,2,IF(D3621=7,1,(IF(WEEKDAY(B3621)=1,2,IF(WEEKDAY(B3621)=7,1,0))))))</f>
        <v>3</v>
      </c>
    </row>
    <row r="3622" spans="2:22">
      <c r="B3622" s="318">
        <f t="shared" si="227"/>
        <v>46263</v>
      </c>
      <c r="C3622" s="312">
        <v>18</v>
      </c>
      <c r="D3622" s="368">
        <f>IFERROR((INDEX(METADATA!$T$2:$T$20,MATCH(B3622,METADATA!$S$2:$S$20,0))),0)</f>
        <v>0</v>
      </c>
      <c r="E3622" s="312" t="str">
        <f t="shared" si="224"/>
        <v>LO</v>
      </c>
      <c r="F3622" s="369">
        <f>VLOOKUP(C3622,METADATA!$A$5:$H$29,IF(E3622="HI",2,IF(E3622="LO",6,10))+IF(D3622=1,2,IF(D3622=7,1,(IF(WEEKDAY(B3622)=1,2,IF(WEEKDAY(B3622)=7,1,0))))))</f>
        <v>2</v>
      </c>
      <c r="G3622" s="369">
        <f>VLOOKUP(C3622,METADATA!$J$5:$Q$29,IF(E3622="HI",2,IF(E3622="LO",6,10))+IF(D3622=1,2,IF(D3622=7,1,(IF(WEEKDAY(B3622)=1,2,IF(WEEKDAY(B3622)=7,1,0))))))</f>
        <v>2</v>
      </c>
      <c r="H3622" s="370">
        <v>12618.424987792969</v>
      </c>
      <c r="I3622" s="370">
        <v>9620.675048828125</v>
      </c>
      <c r="M3622" s="371">
        <f t="shared" si="225"/>
        <v>15867.641209949954</v>
      </c>
      <c r="N3622" s="329">
        <f t="shared" si="226"/>
        <v>5835.1475524902344</v>
      </c>
      <c r="T3622" s="331">
        <v>0</v>
      </c>
      <c r="U3622" s="328">
        <f>VLOOKUP(C3622,METADATA!$J$5:$Q$29,IF(E3622="HI",2,IF(E3622="LO",6,10))+IF(T3622=1,2,IF(D3622=7,1,(IF(WEEKDAY(B3622)=1,2,IF(WEEKDAY(B3622)=7,1,0))))))</f>
        <v>2</v>
      </c>
      <c r="V3622" s="328">
        <f>VLOOKUP(C3622,METADATA!$A$5:$H$29,IF(E3622="HI",2,IF(E3622="LO",6,10))+IF(T3622=1,2,IF(D3622=7,1,(IF(WEEKDAY(B3622)=1,2,IF(WEEKDAY(B3622)=7,1,0))))))</f>
        <v>2</v>
      </c>
    </row>
    <row r="3623" spans="2:22">
      <c r="B3623" s="318">
        <f t="shared" si="227"/>
        <v>46263</v>
      </c>
      <c r="C3623" s="312">
        <v>19</v>
      </c>
      <c r="D3623" s="368">
        <f>IFERROR((INDEX(METADATA!$T$2:$T$20,MATCH(B3623,METADATA!$S$2:$S$20,0))),0)</f>
        <v>0</v>
      </c>
      <c r="E3623" s="312" t="str">
        <f t="shared" si="224"/>
        <v>LO</v>
      </c>
      <c r="F3623" s="369">
        <f>VLOOKUP(C3623,METADATA!$A$5:$H$29,IF(E3623="HI",2,IF(E3623="LO",6,10))+IF(D3623=1,2,IF(D3623=7,1,(IF(WEEKDAY(B3623)=1,2,IF(WEEKDAY(B3623)=7,1,0))))))</f>
        <v>2</v>
      </c>
      <c r="G3623" s="369">
        <f>VLOOKUP(C3623,METADATA!$J$5:$Q$29,IF(E3623="HI",2,IF(E3623="LO",6,10))+IF(D3623=1,2,IF(D3623=7,1,(IF(WEEKDAY(B3623)=1,2,IF(WEEKDAY(B3623)=7,1,0))))))</f>
        <v>2</v>
      </c>
      <c r="H3623" s="370">
        <v>12616.074584960938</v>
      </c>
      <c r="I3623" s="370">
        <v>9566.4497680664063</v>
      </c>
      <c r="M3623" s="371">
        <f t="shared" si="225"/>
        <v>15832.949791439214</v>
      </c>
      <c r="N3623" s="329">
        <f t="shared" si="226"/>
        <v>5781.6273925781252</v>
      </c>
      <c r="T3623" s="331">
        <v>0</v>
      </c>
      <c r="U3623" s="328">
        <f>VLOOKUP(C3623,METADATA!$J$5:$Q$29,IF(E3623="HI",2,IF(E3623="LO",6,10))+IF(T3623=1,2,IF(D3623=7,1,(IF(WEEKDAY(B3623)=1,2,IF(WEEKDAY(B3623)=7,1,0))))))</f>
        <v>2</v>
      </c>
      <c r="V3623" s="328">
        <f>VLOOKUP(C3623,METADATA!$A$5:$H$29,IF(E3623="HI",2,IF(E3623="LO",6,10))+IF(T3623=1,2,IF(D3623=7,1,(IF(WEEKDAY(B3623)=1,2,IF(WEEKDAY(B3623)=7,1,0))))))</f>
        <v>2</v>
      </c>
    </row>
    <row r="3624" spans="2:22">
      <c r="B3624" s="318">
        <f t="shared" si="227"/>
        <v>46263</v>
      </c>
      <c r="C3624" s="312">
        <v>20</v>
      </c>
      <c r="D3624" s="368">
        <f>IFERROR((INDEX(METADATA!$T$2:$T$20,MATCH(B3624,METADATA!$S$2:$S$20,0))),0)</f>
        <v>0</v>
      </c>
      <c r="E3624" s="312" t="str">
        <f t="shared" si="224"/>
        <v>LO</v>
      </c>
      <c r="F3624" s="369">
        <f>VLOOKUP(C3624,METADATA!$A$5:$H$29,IF(E3624="HI",2,IF(E3624="LO",6,10))+IF(D3624=1,2,IF(D3624=7,1,(IF(WEEKDAY(B3624)=1,2,IF(WEEKDAY(B3624)=7,1,0))))))</f>
        <v>3</v>
      </c>
      <c r="G3624" s="369">
        <f>VLOOKUP(C3624,METADATA!$J$5:$Q$29,IF(E3624="HI",2,IF(E3624="LO",6,10))+IF(D3624=1,2,IF(D3624=7,1,(IF(WEEKDAY(B3624)=1,2,IF(WEEKDAY(B3624)=7,1,0))))))</f>
        <v>3</v>
      </c>
      <c r="H3624" s="370">
        <v>12624.449829101563</v>
      </c>
      <c r="I3624" s="370">
        <v>9671.3749389648438</v>
      </c>
      <c r="M3624" s="371">
        <f t="shared" si="225"/>
        <v>15903.21435111593</v>
      </c>
      <c r="N3624" s="329">
        <f t="shared" si="226"/>
        <v>5884.0399902343752</v>
      </c>
      <c r="T3624" s="331">
        <v>0</v>
      </c>
      <c r="U3624" s="328">
        <f>VLOOKUP(C3624,METADATA!$J$5:$Q$29,IF(E3624="HI",2,IF(E3624="LO",6,10))+IF(T3624=1,2,IF(D3624=7,1,(IF(WEEKDAY(B3624)=1,2,IF(WEEKDAY(B3624)=7,1,0))))))</f>
        <v>3</v>
      </c>
      <c r="V3624" s="328">
        <f>VLOOKUP(C3624,METADATA!$A$5:$H$29,IF(E3624="HI",2,IF(E3624="LO",6,10))+IF(T3624=1,2,IF(D3624=7,1,(IF(WEEKDAY(B3624)=1,2,IF(WEEKDAY(B3624)=7,1,0))))))</f>
        <v>3</v>
      </c>
    </row>
    <row r="3625" spans="2:22">
      <c r="B3625" s="318">
        <f t="shared" si="227"/>
        <v>46263</v>
      </c>
      <c r="C3625" s="312">
        <v>21</v>
      </c>
      <c r="D3625" s="368">
        <f>IFERROR((INDEX(METADATA!$T$2:$T$20,MATCH(B3625,METADATA!$S$2:$S$20,0))),0)</f>
        <v>0</v>
      </c>
      <c r="E3625" s="312" t="str">
        <f t="shared" si="224"/>
        <v>LO</v>
      </c>
      <c r="F3625" s="369">
        <f>VLOOKUP(C3625,METADATA!$A$5:$H$29,IF(E3625="HI",2,IF(E3625="LO",6,10))+IF(D3625=1,2,IF(D3625=7,1,(IF(WEEKDAY(B3625)=1,2,IF(WEEKDAY(B3625)=7,1,0))))))</f>
        <v>3</v>
      </c>
      <c r="G3625" s="369">
        <f>VLOOKUP(C3625,METADATA!$J$5:$Q$29,IF(E3625="HI",2,IF(E3625="LO",6,10))+IF(D3625=1,2,IF(D3625=7,1,(IF(WEEKDAY(B3625)=1,2,IF(WEEKDAY(B3625)=7,1,0))))))</f>
        <v>3</v>
      </c>
      <c r="H3625" s="370">
        <v>12705.600219726563</v>
      </c>
      <c r="I3625" s="370">
        <v>9887.8749389648438</v>
      </c>
      <c r="M3625" s="371">
        <f t="shared" si="225"/>
        <v>16099.762350796507</v>
      </c>
      <c r="N3625" s="329">
        <f t="shared" si="226"/>
        <v>6076.1948730468757</v>
      </c>
      <c r="T3625" s="331">
        <v>0</v>
      </c>
      <c r="U3625" s="328">
        <f>VLOOKUP(C3625,METADATA!$J$5:$Q$29,IF(E3625="HI",2,IF(E3625="LO",6,10))+IF(T3625=1,2,IF(D3625=7,1,(IF(WEEKDAY(B3625)=1,2,IF(WEEKDAY(B3625)=7,1,0))))))</f>
        <v>3</v>
      </c>
      <c r="V3625" s="328">
        <f>VLOOKUP(C3625,METADATA!$A$5:$H$29,IF(E3625="HI",2,IF(E3625="LO",6,10))+IF(T3625=1,2,IF(D3625=7,1,(IF(WEEKDAY(B3625)=1,2,IF(WEEKDAY(B3625)=7,1,0))))))</f>
        <v>3</v>
      </c>
    </row>
    <row r="3626" spans="2:22">
      <c r="B3626" s="318">
        <f t="shared" si="227"/>
        <v>46263</v>
      </c>
      <c r="C3626" s="312">
        <v>22</v>
      </c>
      <c r="D3626" s="368">
        <f>IFERROR((INDEX(METADATA!$T$2:$T$20,MATCH(B3626,METADATA!$S$2:$S$20,0))),0)</f>
        <v>0</v>
      </c>
      <c r="E3626" s="312" t="str">
        <f t="shared" si="224"/>
        <v>LO</v>
      </c>
      <c r="F3626" s="369">
        <f>VLOOKUP(C3626,METADATA!$A$5:$H$29,IF(E3626="HI",2,IF(E3626="LO",6,10))+IF(D3626=1,2,IF(D3626=7,1,(IF(WEEKDAY(B3626)=1,2,IF(WEEKDAY(B3626)=7,1,0))))))</f>
        <v>3</v>
      </c>
      <c r="G3626" s="369">
        <f>VLOOKUP(C3626,METADATA!$J$5:$Q$29,IF(E3626="HI",2,IF(E3626="LO",6,10))+IF(D3626=1,2,IF(D3626=7,1,(IF(WEEKDAY(B3626)=1,2,IF(WEEKDAY(B3626)=7,1,0))))))</f>
        <v>3</v>
      </c>
      <c r="H3626" s="370">
        <v>12593.650451660156</v>
      </c>
      <c r="I3626" s="370">
        <v>9942.0751342773438</v>
      </c>
      <c r="M3626" s="371">
        <f t="shared" si="225"/>
        <v>16045.089269749044</v>
      </c>
      <c r="N3626" s="329">
        <f t="shared" si="226"/>
        <v>6163.9799987792976</v>
      </c>
      <c r="T3626" s="331">
        <v>0</v>
      </c>
      <c r="U3626" s="328">
        <f>VLOOKUP(C3626,METADATA!$J$5:$Q$29,IF(E3626="HI",2,IF(E3626="LO",6,10))+IF(T3626=1,2,IF(D3626=7,1,(IF(WEEKDAY(B3626)=1,2,IF(WEEKDAY(B3626)=7,1,0))))))</f>
        <v>3</v>
      </c>
      <c r="V3626" s="328">
        <f>VLOOKUP(C3626,METADATA!$A$5:$H$29,IF(E3626="HI",2,IF(E3626="LO",6,10))+IF(T3626=1,2,IF(D3626=7,1,(IF(WEEKDAY(B3626)=1,2,IF(WEEKDAY(B3626)=7,1,0))))))</f>
        <v>3</v>
      </c>
    </row>
    <row r="3627" spans="2:22">
      <c r="B3627" s="318">
        <f t="shared" si="227"/>
        <v>46263</v>
      </c>
      <c r="C3627" s="312">
        <v>23</v>
      </c>
      <c r="D3627" s="368">
        <f>IFERROR((INDEX(METADATA!$T$2:$T$20,MATCH(B3627,METADATA!$S$2:$S$20,0))),0)</f>
        <v>0</v>
      </c>
      <c r="E3627" s="312" t="str">
        <f t="shared" si="224"/>
        <v>LO</v>
      </c>
      <c r="F3627" s="369">
        <f>VLOOKUP(C3627,METADATA!$A$5:$H$29,IF(E3627="HI",2,IF(E3627="LO",6,10))+IF(D3627=1,2,IF(D3627=7,1,(IF(WEEKDAY(B3627)=1,2,IF(WEEKDAY(B3627)=7,1,0))))))</f>
        <v>3</v>
      </c>
      <c r="G3627" s="369">
        <f>VLOOKUP(C3627,METADATA!$J$5:$Q$29,IF(E3627="HI",2,IF(E3627="LO",6,10))+IF(D3627=1,2,IF(D3627=7,1,(IF(WEEKDAY(B3627)=1,2,IF(WEEKDAY(B3627)=7,1,0))))))</f>
        <v>3</v>
      </c>
      <c r="H3627" s="370">
        <v>11239.547393798828</v>
      </c>
      <c r="I3627" s="370">
        <v>9258.6630859375</v>
      </c>
      <c r="M3627" s="371">
        <f t="shared" si="225"/>
        <v>14561.945878087576</v>
      </c>
      <c r="N3627" s="329">
        <f t="shared" si="226"/>
        <v>5886.7988677978519</v>
      </c>
      <c r="T3627" s="331">
        <v>0</v>
      </c>
      <c r="U3627" s="328">
        <f>VLOOKUP(C3627,METADATA!$J$5:$Q$29,IF(E3627="HI",2,IF(E3627="LO",6,10))+IF(T3627=1,2,IF(D3627=7,1,(IF(WEEKDAY(B3627)=1,2,IF(WEEKDAY(B3627)=7,1,0))))))</f>
        <v>3</v>
      </c>
      <c r="V3627" s="328">
        <f>VLOOKUP(C3627,METADATA!$A$5:$H$29,IF(E3627="HI",2,IF(E3627="LO",6,10))+IF(T3627=1,2,IF(D3627=7,1,(IF(WEEKDAY(B3627)=1,2,IF(WEEKDAY(B3627)=7,1,0))))))</f>
        <v>3</v>
      </c>
    </row>
    <row r="3628" spans="2:22">
      <c r="B3628" s="318">
        <f t="shared" si="227"/>
        <v>46264</v>
      </c>
      <c r="C3628" s="312">
        <v>0</v>
      </c>
      <c r="D3628" s="368">
        <f>IFERROR((INDEX(METADATA!$T$2:$T$20,MATCH(B3628,METADATA!$S$2:$S$20,0))),0)</f>
        <v>0</v>
      </c>
      <c r="E3628" s="312" t="str">
        <f t="shared" si="224"/>
        <v>LO</v>
      </c>
      <c r="F3628" s="369">
        <f>VLOOKUP(C3628,METADATA!$A$5:$H$29,IF(E3628="HI",2,IF(E3628="LO",6,10))+IF(D3628=1,2,IF(D3628=7,1,(IF(WEEKDAY(B3628)=1,2,IF(WEEKDAY(B3628)=7,1,0))))))</f>
        <v>3</v>
      </c>
      <c r="G3628" s="369">
        <f>VLOOKUP(C3628,METADATA!$J$5:$Q$29,IF(E3628="HI",2,IF(E3628="LO",6,10))+IF(D3628=1,2,IF(D3628=7,1,(IF(WEEKDAY(B3628)=1,2,IF(WEEKDAY(B3628)=7,1,0))))))</f>
        <v>3</v>
      </c>
      <c r="H3628" s="370">
        <v>10550.387573242188</v>
      </c>
      <c r="I3628" s="370">
        <v>8552.087646484375</v>
      </c>
      <c r="M3628" s="371">
        <f t="shared" si="225"/>
        <v>13581.19586261732</v>
      </c>
      <c r="N3628" s="329">
        <f t="shared" si="226"/>
        <v>5386.9713745117188</v>
      </c>
      <c r="T3628" s="331">
        <v>0</v>
      </c>
      <c r="U3628" s="328">
        <f>VLOOKUP(C3628,METADATA!$J$5:$Q$29,IF(E3628="HI",2,IF(E3628="LO",6,10))+IF(T3628=1,2,IF(D3628=7,1,(IF(WEEKDAY(B3628)=1,2,IF(WEEKDAY(B3628)=7,1,0))))))</f>
        <v>3</v>
      </c>
      <c r="V3628" s="328">
        <f>VLOOKUP(C3628,METADATA!$A$5:$H$29,IF(E3628="HI",2,IF(E3628="LO",6,10))+IF(T3628=1,2,IF(D3628=7,1,(IF(WEEKDAY(B3628)=1,2,IF(WEEKDAY(B3628)=7,1,0))))))</f>
        <v>3</v>
      </c>
    </row>
    <row r="3629" spans="2:22">
      <c r="B3629" s="318">
        <f t="shared" si="227"/>
        <v>46264</v>
      </c>
      <c r="C3629" s="312">
        <v>1</v>
      </c>
      <c r="D3629" s="368">
        <f>IFERROR((INDEX(METADATA!$T$2:$T$20,MATCH(B3629,METADATA!$S$2:$S$20,0))),0)</f>
        <v>0</v>
      </c>
      <c r="E3629" s="312" t="str">
        <f t="shared" si="224"/>
        <v>LO</v>
      </c>
      <c r="F3629" s="369">
        <f>VLOOKUP(C3629,METADATA!$A$5:$H$29,IF(E3629="HI",2,IF(E3629="LO",6,10))+IF(D3629=1,2,IF(D3629=7,1,(IF(WEEKDAY(B3629)=1,2,IF(WEEKDAY(B3629)=7,1,0))))))</f>
        <v>3</v>
      </c>
      <c r="G3629" s="369">
        <f>VLOOKUP(C3629,METADATA!$J$5:$Q$29,IF(E3629="HI",2,IF(E3629="LO",6,10))+IF(D3629=1,2,IF(D3629=7,1,(IF(WEEKDAY(B3629)=1,2,IF(WEEKDAY(B3629)=7,1,0))))))</f>
        <v>3</v>
      </c>
      <c r="H3629" s="370">
        <v>10603.619934082031</v>
      </c>
      <c r="I3629" s="370">
        <v>8419.8175048828125</v>
      </c>
      <c r="M3629" s="371">
        <f t="shared" si="225"/>
        <v>13539.943963030011</v>
      </c>
      <c r="N3629" s="329">
        <f t="shared" si="226"/>
        <v>5238.7315246582039</v>
      </c>
      <c r="T3629" s="331">
        <v>0</v>
      </c>
      <c r="U3629" s="328">
        <f>VLOOKUP(C3629,METADATA!$J$5:$Q$29,IF(E3629="HI",2,IF(E3629="LO",6,10))+IF(T3629=1,2,IF(D3629=7,1,(IF(WEEKDAY(B3629)=1,2,IF(WEEKDAY(B3629)=7,1,0))))))</f>
        <v>3</v>
      </c>
      <c r="V3629" s="328">
        <f>VLOOKUP(C3629,METADATA!$A$5:$H$29,IF(E3629="HI",2,IF(E3629="LO",6,10))+IF(T3629=1,2,IF(D3629=7,1,(IF(WEEKDAY(B3629)=1,2,IF(WEEKDAY(B3629)=7,1,0))))))</f>
        <v>3</v>
      </c>
    </row>
    <row r="3630" spans="2:22">
      <c r="B3630" s="318">
        <f t="shared" si="227"/>
        <v>46264</v>
      </c>
      <c r="C3630" s="312">
        <v>2</v>
      </c>
      <c r="D3630" s="368">
        <f>IFERROR((INDEX(METADATA!$T$2:$T$20,MATCH(B3630,METADATA!$S$2:$S$20,0))),0)</f>
        <v>0</v>
      </c>
      <c r="E3630" s="312" t="str">
        <f t="shared" si="224"/>
        <v>LO</v>
      </c>
      <c r="F3630" s="369">
        <f>VLOOKUP(C3630,METADATA!$A$5:$H$29,IF(E3630="HI",2,IF(E3630="LO",6,10))+IF(D3630=1,2,IF(D3630=7,1,(IF(WEEKDAY(B3630)=1,2,IF(WEEKDAY(B3630)=7,1,0))))))</f>
        <v>3</v>
      </c>
      <c r="G3630" s="369">
        <f>VLOOKUP(C3630,METADATA!$J$5:$Q$29,IF(E3630="HI",2,IF(E3630="LO",6,10))+IF(D3630=1,2,IF(D3630=7,1,(IF(WEEKDAY(B3630)=1,2,IF(WEEKDAY(B3630)=7,1,0))))))</f>
        <v>3</v>
      </c>
      <c r="H3630" s="370">
        <v>11504.412353515625</v>
      </c>
      <c r="I3630" s="370">
        <v>9019.552490234375</v>
      </c>
      <c r="M3630" s="371">
        <f t="shared" si="225"/>
        <v>14618.61247601208</v>
      </c>
      <c r="N3630" s="329">
        <f t="shared" si="226"/>
        <v>5568.2287841796879</v>
      </c>
      <c r="T3630" s="331">
        <v>0</v>
      </c>
      <c r="U3630" s="328">
        <f>VLOOKUP(C3630,METADATA!$J$5:$Q$29,IF(E3630="HI",2,IF(E3630="LO",6,10))+IF(T3630=1,2,IF(D3630=7,1,(IF(WEEKDAY(B3630)=1,2,IF(WEEKDAY(B3630)=7,1,0))))))</f>
        <v>3</v>
      </c>
      <c r="V3630" s="328">
        <f>VLOOKUP(C3630,METADATA!$A$5:$H$29,IF(E3630="HI",2,IF(E3630="LO",6,10))+IF(T3630=1,2,IF(D3630=7,1,(IF(WEEKDAY(B3630)=1,2,IF(WEEKDAY(B3630)=7,1,0))))))</f>
        <v>3</v>
      </c>
    </row>
    <row r="3631" spans="2:22">
      <c r="B3631" s="318">
        <f t="shared" si="227"/>
        <v>46264</v>
      </c>
      <c r="C3631" s="312">
        <v>3</v>
      </c>
      <c r="D3631" s="368">
        <f>IFERROR((INDEX(METADATA!$T$2:$T$20,MATCH(B3631,METADATA!$S$2:$S$20,0))),0)</f>
        <v>0</v>
      </c>
      <c r="E3631" s="312" t="str">
        <f t="shared" si="224"/>
        <v>LO</v>
      </c>
      <c r="F3631" s="369">
        <f>VLOOKUP(C3631,METADATA!$A$5:$H$29,IF(E3631="HI",2,IF(E3631="LO",6,10))+IF(D3631=1,2,IF(D3631=7,1,(IF(WEEKDAY(B3631)=1,2,IF(WEEKDAY(B3631)=7,1,0))))))</f>
        <v>3</v>
      </c>
      <c r="G3631" s="369">
        <f>VLOOKUP(C3631,METADATA!$J$5:$Q$29,IF(E3631="HI",2,IF(E3631="LO",6,10))+IF(D3631=1,2,IF(D3631=7,1,(IF(WEEKDAY(B3631)=1,2,IF(WEEKDAY(B3631)=7,1,0))))))</f>
        <v>3</v>
      </c>
      <c r="H3631" s="370">
        <v>11616.924987792969</v>
      </c>
      <c r="I3631" s="370">
        <v>9073.1249389648438</v>
      </c>
      <c r="M3631" s="371">
        <f t="shared" si="225"/>
        <v>14740.235490997911</v>
      </c>
      <c r="N3631" s="329">
        <f t="shared" si="226"/>
        <v>5588.0474426269539</v>
      </c>
      <c r="T3631" s="331">
        <v>0</v>
      </c>
      <c r="U3631" s="328">
        <f>VLOOKUP(C3631,METADATA!$J$5:$Q$29,IF(E3631="HI",2,IF(E3631="LO",6,10))+IF(T3631=1,2,IF(D3631=7,1,(IF(WEEKDAY(B3631)=1,2,IF(WEEKDAY(B3631)=7,1,0))))))</f>
        <v>3</v>
      </c>
      <c r="V3631" s="328">
        <f>VLOOKUP(C3631,METADATA!$A$5:$H$29,IF(E3631="HI",2,IF(E3631="LO",6,10))+IF(T3631=1,2,IF(D3631=7,1,(IF(WEEKDAY(B3631)=1,2,IF(WEEKDAY(B3631)=7,1,0))))))</f>
        <v>3</v>
      </c>
    </row>
    <row r="3632" spans="2:22">
      <c r="B3632" s="318">
        <f t="shared" si="227"/>
        <v>46264</v>
      </c>
      <c r="C3632" s="312">
        <v>4</v>
      </c>
      <c r="D3632" s="368">
        <f>IFERROR((INDEX(METADATA!$T$2:$T$20,MATCH(B3632,METADATA!$S$2:$S$20,0))),0)</f>
        <v>0</v>
      </c>
      <c r="E3632" s="312" t="str">
        <f t="shared" si="224"/>
        <v>LO</v>
      </c>
      <c r="F3632" s="369">
        <f>VLOOKUP(C3632,METADATA!$A$5:$H$29,IF(E3632="HI",2,IF(E3632="LO",6,10))+IF(D3632=1,2,IF(D3632=7,1,(IF(WEEKDAY(B3632)=1,2,IF(WEEKDAY(B3632)=7,1,0))))))</f>
        <v>3</v>
      </c>
      <c r="G3632" s="369">
        <f>VLOOKUP(C3632,METADATA!$J$5:$Q$29,IF(E3632="HI",2,IF(E3632="LO",6,10))+IF(D3632=1,2,IF(D3632=7,1,(IF(WEEKDAY(B3632)=1,2,IF(WEEKDAY(B3632)=7,1,0))))))</f>
        <v>3</v>
      </c>
      <c r="H3632" s="370">
        <v>11555.549926757813</v>
      </c>
      <c r="I3632" s="370">
        <v>8943.5999145507813</v>
      </c>
      <c r="M3632" s="371">
        <f t="shared" si="225"/>
        <v>14612.279546372813</v>
      </c>
      <c r="N3632" s="329">
        <f t="shared" si="226"/>
        <v>5476.9349365234375</v>
      </c>
      <c r="T3632" s="331">
        <v>0</v>
      </c>
      <c r="U3632" s="328">
        <f>VLOOKUP(C3632,METADATA!$J$5:$Q$29,IF(E3632="HI",2,IF(E3632="LO",6,10))+IF(T3632=1,2,IF(D3632=7,1,(IF(WEEKDAY(B3632)=1,2,IF(WEEKDAY(B3632)=7,1,0))))))</f>
        <v>3</v>
      </c>
      <c r="V3632" s="328">
        <f>VLOOKUP(C3632,METADATA!$A$5:$H$29,IF(E3632="HI",2,IF(E3632="LO",6,10))+IF(T3632=1,2,IF(D3632=7,1,(IF(WEEKDAY(B3632)=1,2,IF(WEEKDAY(B3632)=7,1,0))))))</f>
        <v>3</v>
      </c>
    </row>
    <row r="3633" spans="2:22">
      <c r="B3633" s="318">
        <f t="shared" si="227"/>
        <v>46264</v>
      </c>
      <c r="C3633" s="312">
        <v>5</v>
      </c>
      <c r="D3633" s="368">
        <f>IFERROR((INDEX(METADATA!$T$2:$T$20,MATCH(B3633,METADATA!$S$2:$S$20,0))),0)</f>
        <v>0</v>
      </c>
      <c r="E3633" s="312" t="str">
        <f t="shared" si="224"/>
        <v>LO</v>
      </c>
      <c r="F3633" s="369">
        <f>VLOOKUP(C3633,METADATA!$A$5:$H$29,IF(E3633="HI",2,IF(E3633="LO",6,10))+IF(D3633=1,2,IF(D3633=7,1,(IF(WEEKDAY(B3633)=1,2,IF(WEEKDAY(B3633)=7,1,0))))))</f>
        <v>3</v>
      </c>
      <c r="G3633" s="369">
        <f>VLOOKUP(C3633,METADATA!$J$5:$Q$29,IF(E3633="HI",2,IF(E3633="LO",6,10))+IF(D3633=1,2,IF(D3633=7,1,(IF(WEEKDAY(B3633)=1,2,IF(WEEKDAY(B3633)=7,1,0))))))</f>
        <v>3</v>
      </c>
      <c r="H3633" s="370">
        <v>11600.574951171875</v>
      </c>
      <c r="I3633" s="370">
        <v>8758.3500366210938</v>
      </c>
      <c r="M3633" s="371">
        <f t="shared" si="225"/>
        <v>14535.543834399079</v>
      </c>
      <c r="N3633" s="329">
        <f t="shared" si="226"/>
        <v>5278.1775512695313</v>
      </c>
      <c r="T3633" s="331">
        <v>0</v>
      </c>
      <c r="U3633" s="328">
        <f>VLOOKUP(C3633,METADATA!$J$5:$Q$29,IF(E3633="HI",2,IF(E3633="LO",6,10))+IF(T3633=1,2,IF(D3633=7,1,(IF(WEEKDAY(B3633)=1,2,IF(WEEKDAY(B3633)=7,1,0))))))</f>
        <v>3</v>
      </c>
      <c r="V3633" s="328">
        <f>VLOOKUP(C3633,METADATA!$A$5:$H$29,IF(E3633="HI",2,IF(E3633="LO",6,10))+IF(T3633=1,2,IF(D3633=7,1,(IF(WEEKDAY(B3633)=1,2,IF(WEEKDAY(B3633)=7,1,0))))))</f>
        <v>3</v>
      </c>
    </row>
    <row r="3634" spans="2:22">
      <c r="B3634" s="318">
        <f t="shared" si="227"/>
        <v>46264</v>
      </c>
      <c r="C3634" s="312">
        <v>6</v>
      </c>
      <c r="D3634" s="368">
        <f>IFERROR((INDEX(METADATA!$T$2:$T$20,MATCH(B3634,METADATA!$S$2:$S$20,0))),0)</f>
        <v>0</v>
      </c>
      <c r="E3634" s="312" t="str">
        <f t="shared" si="224"/>
        <v>LO</v>
      </c>
      <c r="F3634" s="369">
        <f>VLOOKUP(C3634,METADATA!$A$5:$H$29,IF(E3634="HI",2,IF(E3634="LO",6,10))+IF(D3634=1,2,IF(D3634=7,1,(IF(WEEKDAY(B3634)=1,2,IF(WEEKDAY(B3634)=7,1,0))))))</f>
        <v>3</v>
      </c>
      <c r="G3634" s="369">
        <f>VLOOKUP(C3634,METADATA!$J$5:$Q$29,IF(E3634="HI",2,IF(E3634="LO",6,10))+IF(D3634=1,2,IF(D3634=7,1,(IF(WEEKDAY(B3634)=1,2,IF(WEEKDAY(B3634)=7,1,0))))))</f>
        <v>3</v>
      </c>
      <c r="H3634" s="370">
        <v>11604.024780273438</v>
      </c>
      <c r="I3634" s="370">
        <v>8788.025146484375</v>
      </c>
      <c r="M3634" s="371">
        <f t="shared" si="225"/>
        <v>14556.193770228592</v>
      </c>
      <c r="N3634" s="329">
        <f t="shared" si="226"/>
        <v>5306.8177124023441</v>
      </c>
      <c r="T3634" s="331">
        <v>0</v>
      </c>
      <c r="U3634" s="328">
        <f>VLOOKUP(C3634,METADATA!$J$5:$Q$29,IF(E3634="HI",2,IF(E3634="LO",6,10))+IF(T3634=1,2,IF(D3634=7,1,(IF(WEEKDAY(B3634)=1,2,IF(WEEKDAY(B3634)=7,1,0))))))</f>
        <v>3</v>
      </c>
      <c r="V3634" s="328">
        <f>VLOOKUP(C3634,METADATA!$A$5:$H$29,IF(E3634="HI",2,IF(E3634="LO",6,10))+IF(T3634=1,2,IF(D3634=7,1,(IF(WEEKDAY(B3634)=1,2,IF(WEEKDAY(B3634)=7,1,0))))))</f>
        <v>3</v>
      </c>
    </row>
    <row r="3635" spans="2:22">
      <c r="B3635" s="318">
        <f t="shared" si="227"/>
        <v>46264</v>
      </c>
      <c r="C3635" s="312">
        <v>7</v>
      </c>
      <c r="D3635" s="368">
        <f>IFERROR((INDEX(METADATA!$T$2:$T$20,MATCH(B3635,METADATA!$S$2:$S$20,0))),0)</f>
        <v>0</v>
      </c>
      <c r="E3635" s="312" t="str">
        <f t="shared" si="224"/>
        <v>LO</v>
      </c>
      <c r="F3635" s="369">
        <f>VLOOKUP(C3635,METADATA!$A$5:$H$29,IF(E3635="HI",2,IF(E3635="LO",6,10))+IF(D3635=1,2,IF(D3635=7,1,(IF(WEEKDAY(B3635)=1,2,IF(WEEKDAY(B3635)=7,1,0))))))</f>
        <v>3</v>
      </c>
      <c r="G3635" s="369">
        <f>VLOOKUP(C3635,METADATA!$J$5:$Q$29,IF(E3635="HI",2,IF(E3635="LO",6,10))+IF(D3635=1,2,IF(D3635=7,1,(IF(WEEKDAY(B3635)=1,2,IF(WEEKDAY(B3635)=7,1,0))))))</f>
        <v>3</v>
      </c>
      <c r="H3635" s="370">
        <v>11817.30029296875</v>
      </c>
      <c r="I3635" s="370">
        <v>8762.4249267578125</v>
      </c>
      <c r="M3635" s="371">
        <f t="shared" si="225"/>
        <v>14711.515109303526</v>
      </c>
      <c r="N3635" s="329">
        <f t="shared" si="226"/>
        <v>5217.2348388671871</v>
      </c>
      <c r="T3635" s="331">
        <v>0</v>
      </c>
      <c r="U3635" s="328">
        <f>VLOOKUP(C3635,METADATA!$J$5:$Q$29,IF(E3635="HI",2,IF(E3635="LO",6,10))+IF(T3635=1,2,IF(D3635=7,1,(IF(WEEKDAY(B3635)=1,2,IF(WEEKDAY(B3635)=7,1,0))))))</f>
        <v>3</v>
      </c>
      <c r="V3635" s="328">
        <f>VLOOKUP(C3635,METADATA!$A$5:$H$29,IF(E3635="HI",2,IF(E3635="LO",6,10))+IF(T3635=1,2,IF(D3635=7,1,(IF(WEEKDAY(B3635)=1,2,IF(WEEKDAY(B3635)=7,1,0))))))</f>
        <v>3</v>
      </c>
    </row>
    <row r="3636" spans="2:22">
      <c r="B3636" s="318">
        <f t="shared" si="227"/>
        <v>46264</v>
      </c>
      <c r="C3636" s="312">
        <v>8</v>
      </c>
      <c r="D3636" s="368">
        <f>IFERROR((INDEX(METADATA!$T$2:$T$20,MATCH(B3636,METADATA!$S$2:$S$20,0))),0)</f>
        <v>0</v>
      </c>
      <c r="E3636" s="312" t="str">
        <f t="shared" si="224"/>
        <v>LO</v>
      </c>
      <c r="F3636" s="369">
        <f>VLOOKUP(C3636,METADATA!$A$5:$H$29,IF(E3636="HI",2,IF(E3636="LO",6,10))+IF(D3636=1,2,IF(D3636=7,1,(IF(WEEKDAY(B3636)=1,2,IF(WEEKDAY(B3636)=7,1,0))))))</f>
        <v>3</v>
      </c>
      <c r="G3636" s="369">
        <f>VLOOKUP(C3636,METADATA!$J$5:$Q$29,IF(E3636="HI",2,IF(E3636="LO",6,10))+IF(D3636=1,2,IF(D3636=7,1,(IF(WEEKDAY(B3636)=1,2,IF(WEEKDAY(B3636)=7,1,0))))))</f>
        <v>3</v>
      </c>
      <c r="H3636" s="370">
        <v>11841.824951171875</v>
      </c>
      <c r="I3636" s="370">
        <v>8895.1248779296875</v>
      </c>
      <c r="M3636" s="371">
        <f t="shared" si="225"/>
        <v>14810.538976288486</v>
      </c>
      <c r="N3636" s="329">
        <f t="shared" si="226"/>
        <v>5342.577392578125</v>
      </c>
      <c r="T3636" s="331">
        <v>0</v>
      </c>
      <c r="U3636" s="328">
        <f>VLOOKUP(C3636,METADATA!$J$5:$Q$29,IF(E3636="HI",2,IF(E3636="LO",6,10))+IF(T3636=1,2,IF(D3636=7,1,(IF(WEEKDAY(B3636)=1,2,IF(WEEKDAY(B3636)=7,1,0))))))</f>
        <v>3</v>
      </c>
      <c r="V3636" s="328">
        <f>VLOOKUP(C3636,METADATA!$A$5:$H$29,IF(E3636="HI",2,IF(E3636="LO",6,10))+IF(T3636=1,2,IF(D3636=7,1,(IF(WEEKDAY(B3636)=1,2,IF(WEEKDAY(B3636)=7,1,0))))))</f>
        <v>3</v>
      </c>
    </row>
    <row r="3637" spans="2:22">
      <c r="B3637" s="318">
        <f t="shared" si="227"/>
        <v>46264</v>
      </c>
      <c r="C3637" s="312">
        <v>9</v>
      </c>
      <c r="D3637" s="368">
        <f>IFERROR((INDEX(METADATA!$T$2:$T$20,MATCH(B3637,METADATA!$S$2:$S$20,0))),0)</f>
        <v>0</v>
      </c>
      <c r="E3637" s="312" t="str">
        <f t="shared" si="224"/>
        <v>LO</v>
      </c>
      <c r="F3637" s="369">
        <f>VLOOKUP(C3637,METADATA!$A$5:$H$29,IF(E3637="HI",2,IF(E3637="LO",6,10))+IF(D3637=1,2,IF(D3637=7,1,(IF(WEEKDAY(B3637)=1,2,IF(WEEKDAY(B3637)=7,1,0))))))</f>
        <v>3</v>
      </c>
      <c r="G3637" s="369">
        <f>VLOOKUP(C3637,METADATA!$J$5:$Q$29,IF(E3637="HI",2,IF(E3637="LO",6,10))+IF(D3637=1,2,IF(D3637=7,1,(IF(WEEKDAY(B3637)=1,2,IF(WEEKDAY(B3637)=7,1,0))))))</f>
        <v>3</v>
      </c>
      <c r="H3637" s="370">
        <v>12122.199951171875</v>
      </c>
      <c r="I3637" s="370">
        <v>9207.1248168945313</v>
      </c>
      <c r="M3637" s="371">
        <f t="shared" si="225"/>
        <v>15222.315167216404</v>
      </c>
      <c r="N3637" s="329">
        <f t="shared" si="226"/>
        <v>5570.4648315429695</v>
      </c>
      <c r="T3637" s="331">
        <v>0</v>
      </c>
      <c r="U3637" s="328">
        <f>VLOOKUP(C3637,METADATA!$J$5:$Q$29,IF(E3637="HI",2,IF(E3637="LO",6,10))+IF(T3637=1,2,IF(D3637=7,1,(IF(WEEKDAY(B3637)=1,2,IF(WEEKDAY(B3637)=7,1,0))))))</f>
        <v>3</v>
      </c>
      <c r="V3637" s="328">
        <f>VLOOKUP(C3637,METADATA!$A$5:$H$29,IF(E3637="HI",2,IF(E3637="LO",6,10))+IF(T3637=1,2,IF(D3637=7,1,(IF(WEEKDAY(B3637)=1,2,IF(WEEKDAY(B3637)=7,1,0))))))</f>
        <v>3</v>
      </c>
    </row>
    <row r="3638" spans="2:22">
      <c r="B3638" s="318">
        <f t="shared" si="227"/>
        <v>46264</v>
      </c>
      <c r="C3638" s="312">
        <v>10</v>
      </c>
      <c r="D3638" s="368">
        <f>IFERROR((INDEX(METADATA!$T$2:$T$20,MATCH(B3638,METADATA!$S$2:$S$20,0))),0)</f>
        <v>0</v>
      </c>
      <c r="E3638" s="312" t="str">
        <f t="shared" si="224"/>
        <v>LO</v>
      </c>
      <c r="F3638" s="369">
        <f>VLOOKUP(C3638,METADATA!$A$5:$H$29,IF(E3638="HI",2,IF(E3638="LO",6,10))+IF(D3638=1,2,IF(D3638=7,1,(IF(WEEKDAY(B3638)=1,2,IF(WEEKDAY(B3638)=7,1,0))))))</f>
        <v>3</v>
      </c>
      <c r="G3638" s="369">
        <f>VLOOKUP(C3638,METADATA!$J$5:$Q$29,IF(E3638="HI",2,IF(E3638="LO",6,10))+IF(D3638=1,2,IF(D3638=7,1,(IF(WEEKDAY(B3638)=1,2,IF(WEEKDAY(B3638)=7,1,0))))))</f>
        <v>3</v>
      </c>
      <c r="H3638" s="370">
        <v>12413.850036621094</v>
      </c>
      <c r="I3638" s="370">
        <v>9629.324951171875</v>
      </c>
      <c r="M3638" s="371">
        <f t="shared" si="225"/>
        <v>15710.74701428862</v>
      </c>
      <c r="N3638" s="329">
        <f t="shared" si="226"/>
        <v>5905.1699401855476</v>
      </c>
      <c r="T3638" s="331">
        <v>0</v>
      </c>
      <c r="U3638" s="328">
        <f>VLOOKUP(C3638,METADATA!$J$5:$Q$29,IF(E3638="HI",2,IF(E3638="LO",6,10))+IF(T3638=1,2,IF(D3638=7,1,(IF(WEEKDAY(B3638)=1,2,IF(WEEKDAY(B3638)=7,1,0))))))</f>
        <v>3</v>
      </c>
      <c r="V3638" s="328">
        <f>VLOOKUP(C3638,METADATA!$A$5:$H$29,IF(E3638="HI",2,IF(E3638="LO",6,10))+IF(T3638=1,2,IF(D3638=7,1,(IF(WEEKDAY(B3638)=1,2,IF(WEEKDAY(B3638)=7,1,0))))))</f>
        <v>3</v>
      </c>
    </row>
    <row r="3639" spans="2:22">
      <c r="B3639" s="318">
        <f t="shared" si="227"/>
        <v>46264</v>
      </c>
      <c r="C3639" s="312">
        <v>11</v>
      </c>
      <c r="D3639" s="368">
        <f>IFERROR((INDEX(METADATA!$T$2:$T$20,MATCH(B3639,METADATA!$S$2:$S$20,0))),0)</f>
        <v>0</v>
      </c>
      <c r="E3639" s="312" t="str">
        <f t="shared" si="224"/>
        <v>LO</v>
      </c>
      <c r="F3639" s="369">
        <f>VLOOKUP(C3639,METADATA!$A$5:$H$29,IF(E3639="HI",2,IF(E3639="LO",6,10))+IF(D3639=1,2,IF(D3639=7,1,(IF(WEEKDAY(B3639)=1,2,IF(WEEKDAY(B3639)=7,1,0))))))</f>
        <v>3</v>
      </c>
      <c r="G3639" s="369">
        <f>VLOOKUP(C3639,METADATA!$J$5:$Q$29,IF(E3639="HI",2,IF(E3639="LO",6,10))+IF(D3639=1,2,IF(D3639=7,1,(IF(WEEKDAY(B3639)=1,2,IF(WEEKDAY(B3639)=7,1,0))))))</f>
        <v>3</v>
      </c>
      <c r="H3639" s="370">
        <v>12866.825439453125</v>
      </c>
      <c r="I3639" s="370">
        <v>10033.975036621094</v>
      </c>
      <c r="M3639" s="371">
        <f t="shared" si="225"/>
        <v>16316.735332930217</v>
      </c>
      <c r="N3639" s="329">
        <f t="shared" si="226"/>
        <v>6173.9274047851559</v>
      </c>
      <c r="T3639" s="331">
        <v>0</v>
      </c>
      <c r="U3639" s="328">
        <f>VLOOKUP(C3639,METADATA!$J$5:$Q$29,IF(E3639="HI",2,IF(E3639="LO",6,10))+IF(T3639=1,2,IF(D3639=7,1,(IF(WEEKDAY(B3639)=1,2,IF(WEEKDAY(B3639)=7,1,0))))))</f>
        <v>3</v>
      </c>
      <c r="V3639" s="328">
        <f>VLOOKUP(C3639,METADATA!$A$5:$H$29,IF(E3639="HI",2,IF(E3639="LO",6,10))+IF(T3639=1,2,IF(D3639=7,1,(IF(WEEKDAY(B3639)=1,2,IF(WEEKDAY(B3639)=7,1,0))))))</f>
        <v>3</v>
      </c>
    </row>
    <row r="3640" spans="2:22">
      <c r="B3640" s="318">
        <f t="shared" si="227"/>
        <v>46264</v>
      </c>
      <c r="C3640" s="312">
        <v>12</v>
      </c>
      <c r="D3640" s="368">
        <f>IFERROR((INDEX(METADATA!$T$2:$T$20,MATCH(B3640,METADATA!$S$2:$S$20,0))),0)</f>
        <v>0</v>
      </c>
      <c r="E3640" s="312" t="str">
        <f t="shared" si="224"/>
        <v>LO</v>
      </c>
      <c r="F3640" s="369">
        <f>VLOOKUP(C3640,METADATA!$A$5:$H$29,IF(E3640="HI",2,IF(E3640="LO",6,10))+IF(D3640=1,2,IF(D3640=7,1,(IF(WEEKDAY(B3640)=1,2,IF(WEEKDAY(B3640)=7,1,0))))))</f>
        <v>3</v>
      </c>
      <c r="G3640" s="369">
        <f>VLOOKUP(C3640,METADATA!$J$5:$Q$29,IF(E3640="HI",2,IF(E3640="LO",6,10))+IF(D3640=1,2,IF(D3640=7,1,(IF(WEEKDAY(B3640)=1,2,IF(WEEKDAY(B3640)=7,1,0))))))</f>
        <v>3</v>
      </c>
      <c r="H3640" s="370">
        <v>10921.050170898438</v>
      </c>
      <c r="I3640" s="370">
        <v>9091.099853515625</v>
      </c>
      <c r="M3640" s="371">
        <f t="shared" si="225"/>
        <v>14209.765423182487</v>
      </c>
      <c r="N3640" s="329">
        <f t="shared" si="226"/>
        <v>5814.7848022460939</v>
      </c>
      <c r="T3640" s="331">
        <v>0</v>
      </c>
      <c r="U3640" s="328">
        <f>VLOOKUP(C3640,METADATA!$J$5:$Q$29,IF(E3640="HI",2,IF(E3640="LO",6,10))+IF(T3640=1,2,IF(D3640=7,1,(IF(WEEKDAY(B3640)=1,2,IF(WEEKDAY(B3640)=7,1,0))))))</f>
        <v>3</v>
      </c>
      <c r="V3640" s="328">
        <f>VLOOKUP(C3640,METADATA!$A$5:$H$29,IF(E3640="HI",2,IF(E3640="LO",6,10))+IF(T3640=1,2,IF(D3640=7,1,(IF(WEEKDAY(B3640)=1,2,IF(WEEKDAY(B3640)=7,1,0))))))</f>
        <v>3</v>
      </c>
    </row>
    <row r="3641" spans="2:22">
      <c r="B3641" s="318">
        <f t="shared" si="227"/>
        <v>46264</v>
      </c>
      <c r="C3641" s="312">
        <v>13</v>
      </c>
      <c r="D3641" s="368">
        <f>IFERROR((INDEX(METADATA!$T$2:$T$20,MATCH(B3641,METADATA!$S$2:$S$20,0))),0)</f>
        <v>0</v>
      </c>
      <c r="E3641" s="312" t="str">
        <f t="shared" si="224"/>
        <v>LO</v>
      </c>
      <c r="F3641" s="369">
        <f>VLOOKUP(C3641,METADATA!$A$5:$H$29,IF(E3641="HI",2,IF(E3641="LO",6,10))+IF(D3641=1,2,IF(D3641=7,1,(IF(WEEKDAY(B3641)=1,2,IF(WEEKDAY(B3641)=7,1,0))))))</f>
        <v>3</v>
      </c>
      <c r="G3641" s="369">
        <f>VLOOKUP(C3641,METADATA!$J$5:$Q$29,IF(E3641="HI",2,IF(E3641="LO",6,10))+IF(D3641=1,2,IF(D3641=7,1,(IF(WEEKDAY(B3641)=1,2,IF(WEEKDAY(B3641)=7,1,0))))))</f>
        <v>3</v>
      </c>
      <c r="H3641" s="370">
        <v>6334.4324951171875</v>
      </c>
      <c r="I3641" s="370">
        <v>6578.1150207519531</v>
      </c>
      <c r="M3641" s="371">
        <f t="shared" si="225"/>
        <v>9132.1756587047221</v>
      </c>
      <c r="N3641" s="329">
        <f t="shared" si="226"/>
        <v>4677.7852722167972</v>
      </c>
      <c r="T3641" s="331">
        <v>0</v>
      </c>
      <c r="U3641" s="328">
        <f>VLOOKUP(C3641,METADATA!$J$5:$Q$29,IF(E3641="HI",2,IF(E3641="LO",6,10))+IF(T3641=1,2,IF(D3641=7,1,(IF(WEEKDAY(B3641)=1,2,IF(WEEKDAY(B3641)=7,1,0))))))</f>
        <v>3</v>
      </c>
      <c r="V3641" s="328">
        <f>VLOOKUP(C3641,METADATA!$A$5:$H$29,IF(E3641="HI",2,IF(E3641="LO",6,10))+IF(T3641=1,2,IF(D3641=7,1,(IF(WEEKDAY(B3641)=1,2,IF(WEEKDAY(B3641)=7,1,0))))))</f>
        <v>3</v>
      </c>
    </row>
    <row r="3642" spans="2:22">
      <c r="B3642" s="318">
        <f t="shared" si="227"/>
        <v>46264</v>
      </c>
      <c r="C3642" s="312">
        <v>14</v>
      </c>
      <c r="D3642" s="368">
        <f>IFERROR((INDEX(METADATA!$T$2:$T$20,MATCH(B3642,METADATA!$S$2:$S$20,0))),0)</f>
        <v>0</v>
      </c>
      <c r="E3642" s="312" t="str">
        <f t="shared" si="224"/>
        <v>LO</v>
      </c>
      <c r="F3642" s="369">
        <f>VLOOKUP(C3642,METADATA!$A$5:$H$29,IF(E3642="HI",2,IF(E3642="LO",6,10))+IF(D3642=1,2,IF(D3642=7,1,(IF(WEEKDAY(B3642)=1,2,IF(WEEKDAY(B3642)=7,1,0))))))</f>
        <v>3</v>
      </c>
      <c r="G3642" s="369">
        <f>VLOOKUP(C3642,METADATA!$J$5:$Q$29,IF(E3642="HI",2,IF(E3642="LO",6,10))+IF(D3642=1,2,IF(D3642=7,1,(IF(WEEKDAY(B3642)=1,2,IF(WEEKDAY(B3642)=7,1,0))))))</f>
        <v>3</v>
      </c>
      <c r="H3642" s="370">
        <v>6412.5726623535156</v>
      </c>
      <c r="I3642" s="370">
        <v>6575.507568359375</v>
      </c>
      <c r="M3642" s="371">
        <f t="shared" si="225"/>
        <v>9184.6822444499994</v>
      </c>
      <c r="N3642" s="329">
        <f t="shared" si="226"/>
        <v>4651.7357696533199</v>
      </c>
      <c r="T3642" s="331">
        <v>0</v>
      </c>
      <c r="U3642" s="328">
        <f>VLOOKUP(C3642,METADATA!$J$5:$Q$29,IF(E3642="HI",2,IF(E3642="LO",6,10))+IF(T3642=1,2,IF(D3642=7,1,(IF(WEEKDAY(B3642)=1,2,IF(WEEKDAY(B3642)=7,1,0))))))</f>
        <v>3</v>
      </c>
      <c r="V3642" s="328">
        <f>VLOOKUP(C3642,METADATA!$A$5:$H$29,IF(E3642="HI",2,IF(E3642="LO",6,10))+IF(T3642=1,2,IF(D3642=7,1,(IF(WEEKDAY(B3642)=1,2,IF(WEEKDAY(B3642)=7,1,0))))))</f>
        <v>3</v>
      </c>
    </row>
    <row r="3643" spans="2:22">
      <c r="B3643" s="318">
        <f t="shared" si="227"/>
        <v>46264</v>
      </c>
      <c r="C3643" s="312">
        <v>15</v>
      </c>
      <c r="D3643" s="368">
        <f>IFERROR((INDEX(METADATA!$T$2:$T$20,MATCH(B3643,METADATA!$S$2:$S$20,0))),0)</f>
        <v>0</v>
      </c>
      <c r="E3643" s="312" t="str">
        <f t="shared" si="224"/>
        <v>LO</v>
      </c>
      <c r="F3643" s="369">
        <f>VLOOKUP(C3643,METADATA!$A$5:$H$29,IF(E3643="HI",2,IF(E3643="LO",6,10))+IF(D3643=1,2,IF(D3643=7,1,(IF(WEEKDAY(B3643)=1,2,IF(WEEKDAY(B3643)=7,1,0))))))</f>
        <v>3</v>
      </c>
      <c r="G3643" s="369">
        <f>VLOOKUP(C3643,METADATA!$J$5:$Q$29,IF(E3643="HI",2,IF(E3643="LO",6,10))+IF(D3643=1,2,IF(D3643=7,1,(IF(WEEKDAY(B3643)=1,2,IF(WEEKDAY(B3643)=7,1,0))))))</f>
        <v>3</v>
      </c>
      <c r="H3643" s="370">
        <v>10227.957458496094</v>
      </c>
      <c r="I3643" s="370">
        <v>8540.4723815917969</v>
      </c>
      <c r="M3643" s="371">
        <f t="shared" si="225"/>
        <v>13324.818282946229</v>
      </c>
      <c r="N3643" s="329">
        <f t="shared" si="226"/>
        <v>5472.0851440429688</v>
      </c>
      <c r="T3643" s="331">
        <v>0</v>
      </c>
      <c r="U3643" s="328">
        <f>VLOOKUP(C3643,METADATA!$J$5:$Q$29,IF(E3643="HI",2,IF(E3643="LO",6,10))+IF(T3643=1,2,IF(D3643=7,1,(IF(WEEKDAY(B3643)=1,2,IF(WEEKDAY(B3643)=7,1,0))))))</f>
        <v>3</v>
      </c>
      <c r="V3643" s="328">
        <f>VLOOKUP(C3643,METADATA!$A$5:$H$29,IF(E3643="HI",2,IF(E3643="LO",6,10))+IF(T3643=1,2,IF(D3643=7,1,(IF(WEEKDAY(B3643)=1,2,IF(WEEKDAY(B3643)=7,1,0))))))</f>
        <v>3</v>
      </c>
    </row>
    <row r="3644" spans="2:22">
      <c r="B3644" s="318">
        <f t="shared" si="227"/>
        <v>46264</v>
      </c>
      <c r="C3644" s="312">
        <v>16</v>
      </c>
      <c r="D3644" s="368">
        <f>IFERROR((INDEX(METADATA!$T$2:$T$20,MATCH(B3644,METADATA!$S$2:$S$20,0))),0)</f>
        <v>0</v>
      </c>
      <c r="E3644" s="312" t="str">
        <f t="shared" si="224"/>
        <v>LO</v>
      </c>
      <c r="F3644" s="369">
        <f>VLOOKUP(C3644,METADATA!$A$5:$H$29,IF(E3644="HI",2,IF(E3644="LO",6,10))+IF(D3644=1,2,IF(D3644=7,1,(IF(WEEKDAY(B3644)=1,2,IF(WEEKDAY(B3644)=7,1,0))))))</f>
        <v>3</v>
      </c>
      <c r="G3644" s="369">
        <f>VLOOKUP(C3644,METADATA!$J$5:$Q$29,IF(E3644="HI",2,IF(E3644="LO",6,10))+IF(D3644=1,2,IF(D3644=7,1,(IF(WEEKDAY(B3644)=1,2,IF(WEEKDAY(B3644)=7,1,0))))))</f>
        <v>3</v>
      </c>
      <c r="H3644" s="370">
        <v>6434.9249267578125</v>
      </c>
      <c r="I3644" s="370">
        <v>6129.550048828125</v>
      </c>
      <c r="M3644" s="371">
        <f t="shared" si="225"/>
        <v>8887.0491511017262</v>
      </c>
      <c r="N3644" s="329">
        <f t="shared" si="226"/>
        <v>4199.0725708007813</v>
      </c>
      <c r="T3644" s="331">
        <v>0</v>
      </c>
      <c r="U3644" s="328">
        <f>VLOOKUP(C3644,METADATA!$J$5:$Q$29,IF(E3644="HI",2,IF(E3644="LO",6,10))+IF(T3644=1,2,IF(D3644=7,1,(IF(WEEKDAY(B3644)=1,2,IF(WEEKDAY(B3644)=7,1,0))))))</f>
        <v>3</v>
      </c>
      <c r="V3644" s="328">
        <f>VLOOKUP(C3644,METADATA!$A$5:$H$29,IF(E3644="HI",2,IF(E3644="LO",6,10))+IF(T3644=1,2,IF(D3644=7,1,(IF(WEEKDAY(B3644)=1,2,IF(WEEKDAY(B3644)=7,1,0))))))</f>
        <v>3</v>
      </c>
    </row>
    <row r="3645" spans="2:22">
      <c r="B3645" s="318">
        <f t="shared" si="227"/>
        <v>46264</v>
      </c>
      <c r="C3645" s="312">
        <v>17</v>
      </c>
      <c r="D3645" s="368">
        <f>IFERROR((INDEX(METADATA!$T$2:$T$20,MATCH(B3645,METADATA!$S$2:$S$20,0))),0)</f>
        <v>0</v>
      </c>
      <c r="E3645" s="312" t="str">
        <f t="shared" si="224"/>
        <v>LO</v>
      </c>
      <c r="F3645" s="369">
        <f>VLOOKUP(C3645,METADATA!$A$5:$H$29,IF(E3645="HI",2,IF(E3645="LO",6,10))+IF(D3645=1,2,IF(D3645=7,1,(IF(WEEKDAY(B3645)=1,2,IF(WEEKDAY(B3645)=7,1,0))))))</f>
        <v>3</v>
      </c>
      <c r="G3645" s="369">
        <f>VLOOKUP(C3645,METADATA!$J$5:$Q$29,IF(E3645="HI",2,IF(E3645="LO",6,10))+IF(D3645=1,2,IF(D3645=7,1,(IF(WEEKDAY(B3645)=1,2,IF(WEEKDAY(B3645)=7,1,0))))))</f>
        <v>3</v>
      </c>
      <c r="H3645" s="370">
        <v>6727.4749755859375</v>
      </c>
      <c r="I3645" s="370">
        <v>6363.9376831054688</v>
      </c>
      <c r="M3645" s="371">
        <f t="shared" si="225"/>
        <v>9260.5951418677632</v>
      </c>
      <c r="N3645" s="329">
        <f t="shared" si="226"/>
        <v>4345.6951904296875</v>
      </c>
      <c r="T3645" s="331">
        <v>0</v>
      </c>
      <c r="U3645" s="328">
        <f>VLOOKUP(C3645,METADATA!$J$5:$Q$29,IF(E3645="HI",2,IF(E3645="LO",6,10))+IF(T3645=1,2,IF(D3645=7,1,(IF(WEEKDAY(B3645)=1,2,IF(WEEKDAY(B3645)=7,1,0))))))</f>
        <v>3</v>
      </c>
      <c r="V3645" s="328">
        <f>VLOOKUP(C3645,METADATA!$A$5:$H$29,IF(E3645="HI",2,IF(E3645="LO",6,10))+IF(T3645=1,2,IF(D3645=7,1,(IF(WEEKDAY(B3645)=1,2,IF(WEEKDAY(B3645)=7,1,0))))))</f>
        <v>3</v>
      </c>
    </row>
    <row r="3646" spans="2:22">
      <c r="B3646" s="318">
        <f t="shared" si="227"/>
        <v>46264</v>
      </c>
      <c r="C3646" s="312">
        <v>18</v>
      </c>
      <c r="D3646" s="368">
        <f>IFERROR((INDEX(METADATA!$T$2:$T$20,MATCH(B3646,METADATA!$S$2:$S$20,0))),0)</f>
        <v>0</v>
      </c>
      <c r="E3646" s="312" t="str">
        <f t="shared" si="224"/>
        <v>LO</v>
      </c>
      <c r="F3646" s="369">
        <f>VLOOKUP(C3646,METADATA!$A$5:$H$29,IF(E3646="HI",2,IF(E3646="LO",6,10))+IF(D3646=1,2,IF(D3646=7,1,(IF(WEEKDAY(B3646)=1,2,IF(WEEKDAY(B3646)=7,1,0))))))</f>
        <v>2</v>
      </c>
      <c r="G3646" s="369">
        <f>VLOOKUP(C3646,METADATA!$J$5:$Q$29,IF(E3646="HI",2,IF(E3646="LO",6,10))+IF(D3646=1,2,IF(D3646=7,1,(IF(WEEKDAY(B3646)=1,2,IF(WEEKDAY(B3646)=7,1,0))))))</f>
        <v>2</v>
      </c>
      <c r="H3646" s="370">
        <v>9665.1724853515625</v>
      </c>
      <c r="I3646" s="370">
        <v>7488.2525329589844</v>
      </c>
      <c r="M3646" s="371">
        <f t="shared" si="225"/>
        <v>12226.589269659939</v>
      </c>
      <c r="N3646" s="329">
        <f t="shared" si="226"/>
        <v>4588.7007873535158</v>
      </c>
      <c r="T3646" s="331">
        <v>0</v>
      </c>
      <c r="U3646" s="328">
        <f>VLOOKUP(C3646,METADATA!$J$5:$Q$29,IF(E3646="HI",2,IF(E3646="LO",6,10))+IF(T3646=1,2,IF(D3646=7,1,(IF(WEEKDAY(B3646)=1,2,IF(WEEKDAY(B3646)=7,1,0))))))</f>
        <v>2</v>
      </c>
      <c r="V3646" s="328">
        <f>VLOOKUP(C3646,METADATA!$A$5:$H$29,IF(E3646="HI",2,IF(E3646="LO",6,10))+IF(T3646=1,2,IF(D3646=7,1,(IF(WEEKDAY(B3646)=1,2,IF(WEEKDAY(B3646)=7,1,0))))))</f>
        <v>2</v>
      </c>
    </row>
    <row r="3647" spans="2:22">
      <c r="B3647" s="318">
        <f t="shared" si="227"/>
        <v>46264</v>
      </c>
      <c r="C3647" s="312">
        <v>19</v>
      </c>
      <c r="D3647" s="368">
        <f>IFERROR((INDEX(METADATA!$T$2:$T$20,MATCH(B3647,METADATA!$S$2:$S$20,0))),0)</f>
        <v>0</v>
      </c>
      <c r="E3647" s="312" t="str">
        <f t="shared" si="224"/>
        <v>LO</v>
      </c>
      <c r="F3647" s="369">
        <f>VLOOKUP(C3647,METADATA!$A$5:$H$29,IF(E3647="HI",2,IF(E3647="LO",6,10))+IF(D3647=1,2,IF(D3647=7,1,(IF(WEEKDAY(B3647)=1,2,IF(WEEKDAY(B3647)=7,1,0))))))</f>
        <v>2</v>
      </c>
      <c r="G3647" s="369">
        <f>VLOOKUP(C3647,METADATA!$J$5:$Q$29,IF(E3647="HI",2,IF(E3647="LO",6,10))+IF(D3647=1,2,IF(D3647=7,1,(IF(WEEKDAY(B3647)=1,2,IF(WEEKDAY(B3647)=7,1,0))))))</f>
        <v>2</v>
      </c>
      <c r="H3647" s="370">
        <v>10975.605102539063</v>
      </c>
      <c r="I3647" s="370">
        <v>8204.9500427246094</v>
      </c>
      <c r="M3647" s="371">
        <f t="shared" si="225"/>
        <v>13703.470822039506</v>
      </c>
      <c r="N3647" s="329">
        <f t="shared" si="226"/>
        <v>4912.2685119628914</v>
      </c>
      <c r="T3647" s="331">
        <v>0</v>
      </c>
      <c r="U3647" s="328">
        <f>VLOOKUP(C3647,METADATA!$J$5:$Q$29,IF(E3647="HI",2,IF(E3647="LO",6,10))+IF(T3647=1,2,IF(D3647=7,1,(IF(WEEKDAY(B3647)=1,2,IF(WEEKDAY(B3647)=7,1,0))))))</f>
        <v>2</v>
      </c>
      <c r="V3647" s="328">
        <f>VLOOKUP(C3647,METADATA!$A$5:$H$29,IF(E3647="HI",2,IF(E3647="LO",6,10))+IF(T3647=1,2,IF(D3647=7,1,(IF(WEEKDAY(B3647)=1,2,IF(WEEKDAY(B3647)=7,1,0))))))</f>
        <v>2</v>
      </c>
    </row>
    <row r="3648" spans="2:22">
      <c r="B3648" s="318">
        <f t="shared" si="227"/>
        <v>46264</v>
      </c>
      <c r="C3648" s="312">
        <v>20</v>
      </c>
      <c r="D3648" s="368">
        <f>IFERROR((INDEX(METADATA!$T$2:$T$20,MATCH(B3648,METADATA!$S$2:$S$20,0))),0)</f>
        <v>0</v>
      </c>
      <c r="E3648" s="312" t="str">
        <f t="shared" si="224"/>
        <v>LO</v>
      </c>
      <c r="F3648" s="369">
        <f>VLOOKUP(C3648,METADATA!$A$5:$H$29,IF(E3648="HI",2,IF(E3648="LO",6,10))+IF(D3648=1,2,IF(D3648=7,1,(IF(WEEKDAY(B3648)=1,2,IF(WEEKDAY(B3648)=7,1,0))))))</f>
        <v>3</v>
      </c>
      <c r="G3648" s="369">
        <f>VLOOKUP(C3648,METADATA!$J$5:$Q$29,IF(E3648="HI",2,IF(E3648="LO",6,10))+IF(D3648=1,2,IF(D3648=7,1,(IF(WEEKDAY(B3648)=1,2,IF(WEEKDAY(B3648)=7,1,0))))))</f>
        <v>3</v>
      </c>
      <c r="H3648" s="370">
        <v>12057.024841308594</v>
      </c>
      <c r="I3648" s="370">
        <v>8954.0250854492188</v>
      </c>
      <c r="M3648" s="371">
        <f t="shared" si="225"/>
        <v>15018.202730512943</v>
      </c>
      <c r="N3648" s="329">
        <f t="shared" si="226"/>
        <v>5336.9176330566406</v>
      </c>
      <c r="T3648" s="331">
        <v>0</v>
      </c>
      <c r="U3648" s="328">
        <f>VLOOKUP(C3648,METADATA!$J$5:$Q$29,IF(E3648="HI",2,IF(E3648="LO",6,10))+IF(T3648=1,2,IF(D3648=7,1,(IF(WEEKDAY(B3648)=1,2,IF(WEEKDAY(B3648)=7,1,0))))))</f>
        <v>3</v>
      </c>
      <c r="V3648" s="328">
        <f>VLOOKUP(C3648,METADATA!$A$5:$H$29,IF(E3648="HI",2,IF(E3648="LO",6,10))+IF(T3648=1,2,IF(D3648=7,1,(IF(WEEKDAY(B3648)=1,2,IF(WEEKDAY(B3648)=7,1,0))))))</f>
        <v>3</v>
      </c>
    </row>
    <row r="3649" spans="2:22">
      <c r="B3649" s="318">
        <f t="shared" si="227"/>
        <v>46264</v>
      </c>
      <c r="C3649" s="312">
        <v>21</v>
      </c>
      <c r="D3649" s="368">
        <f>IFERROR((INDEX(METADATA!$T$2:$T$20,MATCH(B3649,METADATA!$S$2:$S$20,0))),0)</f>
        <v>0</v>
      </c>
      <c r="E3649" s="312" t="str">
        <f t="shared" si="224"/>
        <v>LO</v>
      </c>
      <c r="F3649" s="369">
        <f>VLOOKUP(C3649,METADATA!$A$5:$H$29,IF(E3649="HI",2,IF(E3649="LO",6,10))+IF(D3649=1,2,IF(D3649=7,1,(IF(WEEKDAY(B3649)=1,2,IF(WEEKDAY(B3649)=7,1,0))))))</f>
        <v>3</v>
      </c>
      <c r="G3649" s="369">
        <f>VLOOKUP(C3649,METADATA!$J$5:$Q$29,IF(E3649="HI",2,IF(E3649="LO",6,10))+IF(D3649=1,2,IF(D3649=7,1,(IF(WEEKDAY(B3649)=1,2,IF(WEEKDAY(B3649)=7,1,0))))))</f>
        <v>3</v>
      </c>
      <c r="H3649" s="370">
        <v>12324.049926757813</v>
      </c>
      <c r="I3649" s="370">
        <v>9319.6002197265625</v>
      </c>
      <c r="M3649" s="371">
        <f t="shared" si="225"/>
        <v>15451.12147556761</v>
      </c>
      <c r="N3649" s="329">
        <f t="shared" si="226"/>
        <v>5622.3852416992195</v>
      </c>
      <c r="T3649" s="331">
        <v>0</v>
      </c>
      <c r="U3649" s="328">
        <f>VLOOKUP(C3649,METADATA!$J$5:$Q$29,IF(E3649="HI",2,IF(E3649="LO",6,10))+IF(T3649=1,2,IF(D3649=7,1,(IF(WEEKDAY(B3649)=1,2,IF(WEEKDAY(B3649)=7,1,0))))))</f>
        <v>3</v>
      </c>
      <c r="V3649" s="328">
        <f>VLOOKUP(C3649,METADATA!$A$5:$H$29,IF(E3649="HI",2,IF(E3649="LO",6,10))+IF(T3649=1,2,IF(D3649=7,1,(IF(WEEKDAY(B3649)=1,2,IF(WEEKDAY(B3649)=7,1,0))))))</f>
        <v>3</v>
      </c>
    </row>
    <row r="3650" spans="2:22">
      <c r="B3650" s="318">
        <f t="shared" si="227"/>
        <v>46264</v>
      </c>
      <c r="C3650" s="312">
        <v>22</v>
      </c>
      <c r="D3650" s="368">
        <f>IFERROR((INDEX(METADATA!$T$2:$T$20,MATCH(B3650,METADATA!$S$2:$S$20,0))),0)</f>
        <v>0</v>
      </c>
      <c r="E3650" s="312" t="str">
        <f t="shared" si="224"/>
        <v>LO</v>
      </c>
      <c r="F3650" s="369">
        <f>VLOOKUP(C3650,METADATA!$A$5:$H$29,IF(E3650="HI",2,IF(E3650="LO",6,10))+IF(D3650=1,2,IF(D3650=7,1,(IF(WEEKDAY(B3650)=1,2,IF(WEEKDAY(B3650)=7,1,0))))))</f>
        <v>3</v>
      </c>
      <c r="G3650" s="369">
        <f>VLOOKUP(C3650,METADATA!$J$5:$Q$29,IF(E3650="HI",2,IF(E3650="LO",6,10))+IF(D3650=1,2,IF(D3650=7,1,(IF(WEEKDAY(B3650)=1,2,IF(WEEKDAY(B3650)=7,1,0))))))</f>
        <v>3</v>
      </c>
      <c r="H3650" s="370">
        <v>13045.150085449219</v>
      </c>
      <c r="I3650" s="370">
        <v>10138.775024414063</v>
      </c>
      <c r="M3650" s="371">
        <f t="shared" si="225"/>
        <v>16521.824952092251</v>
      </c>
      <c r="N3650" s="329">
        <f t="shared" si="226"/>
        <v>6225.2299987792976</v>
      </c>
      <c r="T3650" s="331">
        <v>0</v>
      </c>
      <c r="U3650" s="328">
        <f>VLOOKUP(C3650,METADATA!$J$5:$Q$29,IF(E3650="HI",2,IF(E3650="LO",6,10))+IF(T3650=1,2,IF(D3650=7,1,(IF(WEEKDAY(B3650)=1,2,IF(WEEKDAY(B3650)=7,1,0))))))</f>
        <v>3</v>
      </c>
      <c r="V3650" s="328">
        <f>VLOOKUP(C3650,METADATA!$A$5:$H$29,IF(E3650="HI",2,IF(E3650="LO",6,10))+IF(T3650=1,2,IF(D3650=7,1,(IF(WEEKDAY(B3650)=1,2,IF(WEEKDAY(B3650)=7,1,0))))))</f>
        <v>3</v>
      </c>
    </row>
    <row r="3651" spans="2:22">
      <c r="B3651" s="318">
        <f t="shared" si="227"/>
        <v>46264</v>
      </c>
      <c r="C3651" s="312">
        <v>23</v>
      </c>
      <c r="D3651" s="368">
        <f>IFERROR((INDEX(METADATA!$T$2:$T$20,MATCH(B3651,METADATA!$S$2:$S$20,0))),0)</f>
        <v>0</v>
      </c>
      <c r="E3651" s="312" t="str">
        <f t="shared" si="224"/>
        <v>LO</v>
      </c>
      <c r="F3651" s="369">
        <f>VLOOKUP(C3651,METADATA!$A$5:$H$29,IF(E3651="HI",2,IF(E3651="LO",6,10))+IF(D3651=1,2,IF(D3651=7,1,(IF(WEEKDAY(B3651)=1,2,IF(WEEKDAY(B3651)=7,1,0))))))</f>
        <v>3</v>
      </c>
      <c r="G3651" s="369">
        <f>VLOOKUP(C3651,METADATA!$J$5:$Q$29,IF(E3651="HI",2,IF(E3651="LO",6,10))+IF(D3651=1,2,IF(D3651=7,1,(IF(WEEKDAY(B3651)=1,2,IF(WEEKDAY(B3651)=7,1,0))))))</f>
        <v>3</v>
      </c>
      <c r="H3651" s="370">
        <v>13115.925048828125</v>
      </c>
      <c r="I3651" s="370">
        <v>10049.874816894531</v>
      </c>
      <c r="M3651" s="371">
        <f t="shared" si="225"/>
        <v>16523.543013583014</v>
      </c>
      <c r="N3651" s="329">
        <f t="shared" si="226"/>
        <v>6115.0973022460939</v>
      </c>
      <c r="T3651" s="331">
        <v>0</v>
      </c>
      <c r="U3651" s="328">
        <f>VLOOKUP(C3651,METADATA!$J$5:$Q$29,IF(E3651="HI",2,IF(E3651="LO",6,10))+IF(T3651=1,2,IF(D3651=7,1,(IF(WEEKDAY(B3651)=1,2,IF(WEEKDAY(B3651)=7,1,0))))))</f>
        <v>3</v>
      </c>
      <c r="V3651" s="328">
        <f>VLOOKUP(C3651,METADATA!$A$5:$H$29,IF(E3651="HI",2,IF(E3651="LO",6,10))+IF(T3651=1,2,IF(D3651=7,1,(IF(WEEKDAY(B3651)=1,2,IF(WEEKDAY(B3651)=7,1,0))))))</f>
        <v>3</v>
      </c>
    </row>
    <row r="3652" spans="2:22">
      <c r="B3652" s="318">
        <f t="shared" si="227"/>
        <v>46265</v>
      </c>
      <c r="C3652" s="312">
        <v>0</v>
      </c>
      <c r="D3652" s="368">
        <f>IFERROR((INDEX(METADATA!$T$2:$T$20,MATCH(B3652,METADATA!$S$2:$S$20,0))),0)</f>
        <v>0</v>
      </c>
      <c r="E3652" s="312" t="str">
        <f t="shared" ref="E3652:E3715" si="228">IF(B3652="","",IF(AND(MONTH(B3652)&gt;=MONTH($Z$9),MONTH(B3652)&lt;=MONTH($Z$11)),"HI","LO"))</f>
        <v>LO</v>
      </c>
      <c r="F3652" s="369">
        <f>VLOOKUP(C3652,METADATA!$A$5:$H$29,IF(E3652="HI",2,IF(E3652="LO",6,10))+IF(D3652=1,2,IF(D3652=7,1,(IF(WEEKDAY(B3652)=1,2,IF(WEEKDAY(B3652)=7,1,0))))))</f>
        <v>3</v>
      </c>
      <c r="G3652" s="369">
        <f>VLOOKUP(C3652,METADATA!$J$5:$Q$29,IF(E3652="HI",2,IF(E3652="LO",6,10))+IF(D3652=1,2,IF(D3652=7,1,(IF(WEEKDAY(B3652)=1,2,IF(WEEKDAY(B3652)=7,1,0))))))</f>
        <v>3</v>
      </c>
      <c r="H3652" s="370">
        <v>13074.199890136719</v>
      </c>
      <c r="I3652" s="370">
        <v>10122.25</v>
      </c>
      <c r="M3652" s="371">
        <f t="shared" ref="M3652:M3715" si="229">SQRT(H3652^2+I3652^2)</f>
        <v>16534.649915548591</v>
      </c>
      <c r="N3652" s="329">
        <f t="shared" ref="N3652:N3715" si="230">IF(H3652=0,0,(IF(I3652-(0.3*H3652)&lt;0,0,(I3652-(0.3*H3652)))))</f>
        <v>6199.9900329589846</v>
      </c>
      <c r="T3652" s="331">
        <v>0</v>
      </c>
      <c r="U3652" s="328">
        <f>VLOOKUP(C3652,METADATA!$J$5:$Q$29,IF(E3652="HI",2,IF(E3652="LO",6,10))+IF(T3652=1,2,IF(D3652=7,1,(IF(WEEKDAY(B3652)=1,2,IF(WEEKDAY(B3652)=7,1,0))))))</f>
        <v>3</v>
      </c>
      <c r="V3652" s="328">
        <f>VLOOKUP(C3652,METADATA!$A$5:$H$29,IF(E3652="HI",2,IF(E3652="LO",6,10))+IF(T3652=1,2,IF(D3652=7,1,(IF(WEEKDAY(B3652)=1,2,IF(WEEKDAY(B3652)=7,1,0))))))</f>
        <v>3</v>
      </c>
    </row>
    <row r="3653" spans="2:22">
      <c r="B3653" s="318">
        <f t="shared" si="227"/>
        <v>46265</v>
      </c>
      <c r="C3653" s="312">
        <v>1</v>
      </c>
      <c r="D3653" s="368">
        <f>IFERROR((INDEX(METADATA!$T$2:$T$20,MATCH(B3653,METADATA!$S$2:$S$20,0))),0)</f>
        <v>0</v>
      </c>
      <c r="E3653" s="312" t="str">
        <f t="shared" si="228"/>
        <v>LO</v>
      </c>
      <c r="F3653" s="369">
        <f>VLOOKUP(C3653,METADATA!$A$5:$H$29,IF(E3653="HI",2,IF(E3653="LO",6,10))+IF(D3653=1,2,IF(D3653=7,1,(IF(WEEKDAY(B3653)=1,2,IF(WEEKDAY(B3653)=7,1,0))))))</f>
        <v>3</v>
      </c>
      <c r="G3653" s="369">
        <f>VLOOKUP(C3653,METADATA!$J$5:$Q$29,IF(E3653="HI",2,IF(E3653="LO",6,10))+IF(D3653=1,2,IF(D3653=7,1,(IF(WEEKDAY(B3653)=1,2,IF(WEEKDAY(B3653)=7,1,0))))))</f>
        <v>3</v>
      </c>
      <c r="H3653" s="370">
        <v>13056.956909179688</v>
      </c>
      <c r="I3653" s="370">
        <v>10126.482482910156</v>
      </c>
      <c r="M3653" s="371">
        <f t="shared" si="229"/>
        <v>16523.612534941061</v>
      </c>
      <c r="N3653" s="329">
        <f t="shared" si="230"/>
        <v>6209.3954101562504</v>
      </c>
      <c r="T3653" s="331">
        <v>0</v>
      </c>
      <c r="U3653" s="328">
        <f>VLOOKUP(C3653,METADATA!$J$5:$Q$29,IF(E3653="HI",2,IF(E3653="LO",6,10))+IF(T3653=1,2,IF(D3653=7,1,(IF(WEEKDAY(B3653)=1,2,IF(WEEKDAY(B3653)=7,1,0))))))</f>
        <v>3</v>
      </c>
      <c r="V3653" s="328">
        <f>VLOOKUP(C3653,METADATA!$A$5:$H$29,IF(E3653="HI",2,IF(E3653="LO",6,10))+IF(T3653=1,2,IF(D3653=7,1,(IF(WEEKDAY(B3653)=1,2,IF(WEEKDAY(B3653)=7,1,0))))))</f>
        <v>3</v>
      </c>
    </row>
    <row r="3654" spans="2:22">
      <c r="B3654" s="318">
        <f t="shared" si="227"/>
        <v>46265</v>
      </c>
      <c r="C3654" s="312">
        <v>2</v>
      </c>
      <c r="D3654" s="368">
        <f>IFERROR((INDEX(METADATA!$T$2:$T$20,MATCH(B3654,METADATA!$S$2:$S$20,0))),0)</f>
        <v>0</v>
      </c>
      <c r="E3654" s="312" t="str">
        <f t="shared" si="228"/>
        <v>LO</v>
      </c>
      <c r="F3654" s="369">
        <f>VLOOKUP(C3654,METADATA!$A$5:$H$29,IF(E3654="HI",2,IF(E3654="LO",6,10))+IF(D3654=1,2,IF(D3654=7,1,(IF(WEEKDAY(B3654)=1,2,IF(WEEKDAY(B3654)=7,1,0))))))</f>
        <v>3</v>
      </c>
      <c r="G3654" s="369">
        <f>VLOOKUP(C3654,METADATA!$J$5:$Q$29,IF(E3654="HI",2,IF(E3654="LO",6,10))+IF(D3654=1,2,IF(D3654=7,1,(IF(WEEKDAY(B3654)=1,2,IF(WEEKDAY(B3654)=7,1,0))))))</f>
        <v>3</v>
      </c>
      <c r="H3654" s="370">
        <v>13053.049438476563</v>
      </c>
      <c r="I3654" s="370">
        <v>10172.774963378906</v>
      </c>
      <c r="M3654" s="371">
        <f t="shared" si="229"/>
        <v>16548.941056722088</v>
      </c>
      <c r="N3654" s="329">
        <f t="shared" si="230"/>
        <v>6256.8601318359379</v>
      </c>
      <c r="T3654" s="331">
        <v>0</v>
      </c>
      <c r="U3654" s="328">
        <f>VLOOKUP(C3654,METADATA!$J$5:$Q$29,IF(E3654="HI",2,IF(E3654="LO",6,10))+IF(T3654=1,2,IF(D3654=7,1,(IF(WEEKDAY(B3654)=1,2,IF(WEEKDAY(B3654)=7,1,0))))))</f>
        <v>3</v>
      </c>
      <c r="V3654" s="328">
        <f>VLOOKUP(C3654,METADATA!$A$5:$H$29,IF(E3654="HI",2,IF(E3654="LO",6,10))+IF(T3654=1,2,IF(D3654=7,1,(IF(WEEKDAY(B3654)=1,2,IF(WEEKDAY(B3654)=7,1,0))))))</f>
        <v>3</v>
      </c>
    </row>
    <row r="3655" spans="2:22">
      <c r="B3655" s="318">
        <f t="shared" si="227"/>
        <v>46265</v>
      </c>
      <c r="C3655" s="312">
        <v>3</v>
      </c>
      <c r="D3655" s="368">
        <f>IFERROR((INDEX(METADATA!$T$2:$T$20,MATCH(B3655,METADATA!$S$2:$S$20,0))),0)</f>
        <v>0</v>
      </c>
      <c r="E3655" s="312" t="str">
        <f t="shared" si="228"/>
        <v>LO</v>
      </c>
      <c r="F3655" s="369">
        <f>VLOOKUP(C3655,METADATA!$A$5:$H$29,IF(E3655="HI",2,IF(E3655="LO",6,10))+IF(D3655=1,2,IF(D3655=7,1,(IF(WEEKDAY(B3655)=1,2,IF(WEEKDAY(B3655)=7,1,0))))))</f>
        <v>3</v>
      </c>
      <c r="G3655" s="369">
        <f>VLOOKUP(C3655,METADATA!$J$5:$Q$29,IF(E3655="HI",2,IF(E3655="LO",6,10))+IF(D3655=1,2,IF(D3655=7,1,(IF(WEEKDAY(B3655)=1,2,IF(WEEKDAY(B3655)=7,1,0))))))</f>
        <v>3</v>
      </c>
      <c r="H3655" s="370">
        <v>13049.799926757813</v>
      </c>
      <c r="I3655" s="370">
        <v>10218.875</v>
      </c>
      <c r="M3655" s="371">
        <f t="shared" si="229"/>
        <v>16574.760462644193</v>
      </c>
      <c r="N3655" s="329">
        <f t="shared" si="230"/>
        <v>6303.9350219726566</v>
      </c>
      <c r="T3655" s="331">
        <v>0</v>
      </c>
      <c r="U3655" s="328">
        <f>VLOOKUP(C3655,METADATA!$J$5:$Q$29,IF(E3655="HI",2,IF(E3655="LO",6,10))+IF(T3655=1,2,IF(D3655=7,1,(IF(WEEKDAY(B3655)=1,2,IF(WEEKDAY(B3655)=7,1,0))))))</f>
        <v>3</v>
      </c>
      <c r="V3655" s="328">
        <f>VLOOKUP(C3655,METADATA!$A$5:$H$29,IF(E3655="HI",2,IF(E3655="LO",6,10))+IF(T3655=1,2,IF(D3655=7,1,(IF(WEEKDAY(B3655)=1,2,IF(WEEKDAY(B3655)=7,1,0))))))</f>
        <v>3</v>
      </c>
    </row>
    <row r="3656" spans="2:22">
      <c r="B3656" s="318">
        <f t="shared" si="227"/>
        <v>46265</v>
      </c>
      <c r="C3656" s="312">
        <v>4</v>
      </c>
      <c r="D3656" s="368">
        <f>IFERROR((INDEX(METADATA!$T$2:$T$20,MATCH(B3656,METADATA!$S$2:$S$20,0))),0)</f>
        <v>0</v>
      </c>
      <c r="E3656" s="312" t="str">
        <f t="shared" si="228"/>
        <v>LO</v>
      </c>
      <c r="F3656" s="369">
        <f>VLOOKUP(C3656,METADATA!$A$5:$H$29,IF(E3656="HI",2,IF(E3656="LO",6,10))+IF(D3656=1,2,IF(D3656=7,1,(IF(WEEKDAY(B3656)=1,2,IF(WEEKDAY(B3656)=7,1,0))))))</f>
        <v>3</v>
      </c>
      <c r="G3656" s="369">
        <f>VLOOKUP(C3656,METADATA!$J$5:$Q$29,IF(E3656="HI",2,IF(E3656="LO",6,10))+IF(D3656=1,2,IF(D3656=7,1,(IF(WEEKDAY(B3656)=1,2,IF(WEEKDAY(B3656)=7,1,0))))))</f>
        <v>3</v>
      </c>
      <c r="H3656" s="370">
        <v>12971.650268554688</v>
      </c>
      <c r="I3656" s="370">
        <v>10086.550048828125</v>
      </c>
      <c r="M3656" s="371">
        <f t="shared" si="229"/>
        <v>16431.743747308425</v>
      </c>
      <c r="N3656" s="329">
        <f t="shared" si="230"/>
        <v>6195.0549682617184</v>
      </c>
      <c r="T3656" s="331">
        <v>0</v>
      </c>
      <c r="U3656" s="328">
        <f>VLOOKUP(C3656,METADATA!$J$5:$Q$29,IF(E3656="HI",2,IF(E3656="LO",6,10))+IF(T3656=1,2,IF(D3656=7,1,(IF(WEEKDAY(B3656)=1,2,IF(WEEKDAY(B3656)=7,1,0))))))</f>
        <v>3</v>
      </c>
      <c r="V3656" s="328">
        <f>VLOOKUP(C3656,METADATA!$A$5:$H$29,IF(E3656="HI",2,IF(E3656="LO",6,10))+IF(T3656=1,2,IF(D3656=7,1,(IF(WEEKDAY(B3656)=1,2,IF(WEEKDAY(B3656)=7,1,0))))))</f>
        <v>3</v>
      </c>
    </row>
    <row r="3657" spans="2:22">
      <c r="B3657" s="318">
        <f t="shared" si="227"/>
        <v>46265</v>
      </c>
      <c r="C3657" s="312">
        <v>5</v>
      </c>
      <c r="D3657" s="368">
        <f>IFERROR((INDEX(METADATA!$T$2:$T$20,MATCH(B3657,METADATA!$S$2:$S$20,0))),0)</f>
        <v>0</v>
      </c>
      <c r="E3657" s="312" t="str">
        <f t="shared" si="228"/>
        <v>LO</v>
      </c>
      <c r="F3657" s="369">
        <f>VLOOKUP(C3657,METADATA!$A$5:$H$29,IF(E3657="HI",2,IF(E3657="LO",6,10))+IF(D3657=1,2,IF(D3657=7,1,(IF(WEEKDAY(B3657)=1,2,IF(WEEKDAY(B3657)=7,1,0))))))</f>
        <v>3</v>
      </c>
      <c r="G3657" s="369">
        <f>VLOOKUP(C3657,METADATA!$J$5:$Q$29,IF(E3657="HI",2,IF(E3657="LO",6,10))+IF(D3657=1,2,IF(D3657=7,1,(IF(WEEKDAY(B3657)=1,2,IF(WEEKDAY(B3657)=7,1,0))))))</f>
        <v>3</v>
      </c>
      <c r="H3657" s="370">
        <v>12913.9248046875</v>
      </c>
      <c r="I3657" s="370">
        <v>9954.6251220703125</v>
      </c>
      <c r="M3657" s="371">
        <f t="shared" si="229"/>
        <v>16305.337015286634</v>
      </c>
      <c r="N3657" s="329">
        <f t="shared" si="230"/>
        <v>6080.4476806640632</v>
      </c>
      <c r="T3657" s="331">
        <v>0</v>
      </c>
      <c r="U3657" s="328">
        <f>VLOOKUP(C3657,METADATA!$J$5:$Q$29,IF(E3657="HI",2,IF(E3657="LO",6,10))+IF(T3657=1,2,IF(D3657=7,1,(IF(WEEKDAY(B3657)=1,2,IF(WEEKDAY(B3657)=7,1,0))))))</f>
        <v>3</v>
      </c>
      <c r="V3657" s="328">
        <f>VLOOKUP(C3657,METADATA!$A$5:$H$29,IF(E3657="HI",2,IF(E3657="LO",6,10))+IF(T3657=1,2,IF(D3657=7,1,(IF(WEEKDAY(B3657)=1,2,IF(WEEKDAY(B3657)=7,1,0))))))</f>
        <v>3</v>
      </c>
    </row>
    <row r="3658" spans="2:22">
      <c r="B3658" s="318">
        <f t="shared" si="227"/>
        <v>46265</v>
      </c>
      <c r="C3658" s="312">
        <v>6</v>
      </c>
      <c r="D3658" s="368">
        <f>IFERROR((INDEX(METADATA!$T$2:$T$20,MATCH(B3658,METADATA!$S$2:$S$20,0))),0)</f>
        <v>0</v>
      </c>
      <c r="E3658" s="312" t="str">
        <f t="shared" si="228"/>
        <v>LO</v>
      </c>
      <c r="F3658" s="369">
        <f>VLOOKUP(C3658,METADATA!$A$5:$H$29,IF(E3658="HI",2,IF(E3658="LO",6,10))+IF(D3658=1,2,IF(D3658=7,1,(IF(WEEKDAY(B3658)=1,2,IF(WEEKDAY(B3658)=7,1,0))))))</f>
        <v>2</v>
      </c>
      <c r="G3658" s="369">
        <f>VLOOKUP(C3658,METADATA!$J$5:$Q$29,IF(E3658="HI",2,IF(E3658="LO",6,10))+IF(D3658=1,2,IF(D3658=7,1,(IF(WEEKDAY(B3658)=1,2,IF(WEEKDAY(B3658)=7,1,0))))))</f>
        <v>2</v>
      </c>
      <c r="H3658" s="370">
        <v>12883.525024414063</v>
      </c>
      <c r="I3658" s="370">
        <v>9863.8499145507813</v>
      </c>
      <c r="M3658" s="371">
        <f t="shared" si="229"/>
        <v>16225.928392282729</v>
      </c>
      <c r="N3658" s="329">
        <f t="shared" si="230"/>
        <v>5998.7924072265632</v>
      </c>
      <c r="T3658" s="331">
        <v>0</v>
      </c>
      <c r="U3658" s="328">
        <f>VLOOKUP(C3658,METADATA!$J$5:$Q$29,IF(E3658="HI",2,IF(E3658="LO",6,10))+IF(T3658=1,2,IF(D3658=7,1,(IF(WEEKDAY(B3658)=1,2,IF(WEEKDAY(B3658)=7,1,0))))))</f>
        <v>2</v>
      </c>
      <c r="V3658" s="328">
        <f>VLOOKUP(C3658,METADATA!$A$5:$H$29,IF(E3658="HI",2,IF(E3658="LO",6,10))+IF(T3658=1,2,IF(D3658=7,1,(IF(WEEKDAY(B3658)=1,2,IF(WEEKDAY(B3658)=7,1,0))))))</f>
        <v>2</v>
      </c>
    </row>
    <row r="3659" spans="2:22">
      <c r="B3659" s="318">
        <f t="shared" si="227"/>
        <v>46265</v>
      </c>
      <c r="C3659" s="312">
        <v>7</v>
      </c>
      <c r="D3659" s="368">
        <f>IFERROR((INDEX(METADATA!$T$2:$T$20,MATCH(B3659,METADATA!$S$2:$S$20,0))),0)</f>
        <v>0</v>
      </c>
      <c r="E3659" s="312" t="str">
        <f t="shared" si="228"/>
        <v>LO</v>
      </c>
      <c r="F3659" s="369">
        <f>VLOOKUP(C3659,METADATA!$A$5:$H$29,IF(E3659="HI",2,IF(E3659="LO",6,10))+IF(D3659=1,2,IF(D3659=7,1,(IF(WEEKDAY(B3659)=1,2,IF(WEEKDAY(B3659)=7,1,0))))))</f>
        <v>1</v>
      </c>
      <c r="G3659" s="369">
        <f>VLOOKUP(C3659,METADATA!$J$5:$Q$29,IF(E3659="HI",2,IF(E3659="LO",6,10))+IF(D3659=1,2,IF(D3659=7,1,(IF(WEEKDAY(B3659)=1,2,IF(WEEKDAY(B3659)=7,1,0))))))</f>
        <v>1</v>
      </c>
      <c r="H3659" s="370">
        <v>13104.499572753906</v>
      </c>
      <c r="I3659" s="370">
        <v>9798.4251708984375</v>
      </c>
      <c r="M3659" s="371">
        <f t="shared" si="229"/>
        <v>16362.672302591754</v>
      </c>
      <c r="N3659" s="329">
        <f t="shared" si="230"/>
        <v>5867.0752990722658</v>
      </c>
      <c r="T3659" s="331">
        <v>0</v>
      </c>
      <c r="U3659" s="328">
        <f>VLOOKUP(C3659,METADATA!$J$5:$Q$29,IF(E3659="HI",2,IF(E3659="LO",6,10))+IF(T3659=1,2,IF(D3659=7,1,(IF(WEEKDAY(B3659)=1,2,IF(WEEKDAY(B3659)=7,1,0))))))</f>
        <v>1</v>
      </c>
      <c r="V3659" s="328">
        <f>VLOOKUP(C3659,METADATA!$A$5:$H$29,IF(E3659="HI",2,IF(E3659="LO",6,10))+IF(T3659=1,2,IF(D3659=7,1,(IF(WEEKDAY(B3659)=1,2,IF(WEEKDAY(B3659)=7,1,0))))))</f>
        <v>1</v>
      </c>
    </row>
    <row r="3660" spans="2:22">
      <c r="B3660" s="318">
        <f t="shared" si="227"/>
        <v>46265</v>
      </c>
      <c r="C3660" s="312">
        <v>8</v>
      </c>
      <c r="D3660" s="368">
        <f>IFERROR((INDEX(METADATA!$T$2:$T$20,MATCH(B3660,METADATA!$S$2:$S$20,0))),0)</f>
        <v>0</v>
      </c>
      <c r="E3660" s="312" t="str">
        <f t="shared" si="228"/>
        <v>LO</v>
      </c>
      <c r="F3660" s="369">
        <f>VLOOKUP(C3660,METADATA!$A$5:$H$29,IF(E3660="HI",2,IF(E3660="LO",6,10))+IF(D3660=1,2,IF(D3660=7,1,(IF(WEEKDAY(B3660)=1,2,IF(WEEKDAY(B3660)=7,1,0))))))</f>
        <v>1</v>
      </c>
      <c r="G3660" s="369">
        <f>VLOOKUP(C3660,METADATA!$J$5:$Q$29,IF(E3660="HI",2,IF(E3660="LO",6,10))+IF(D3660=1,2,IF(D3660=7,1,(IF(WEEKDAY(B3660)=1,2,IF(WEEKDAY(B3660)=7,1,0))))))</f>
        <v>1</v>
      </c>
      <c r="H3660" s="370">
        <v>12965.874877929688</v>
      </c>
      <c r="I3660" s="370">
        <v>9738.5999755859375</v>
      </c>
      <c r="M3660" s="371">
        <f t="shared" si="229"/>
        <v>16215.863863347231</v>
      </c>
      <c r="N3660" s="329">
        <f t="shared" si="230"/>
        <v>5848.837512207032</v>
      </c>
      <c r="T3660" s="331">
        <v>0</v>
      </c>
      <c r="U3660" s="328">
        <f>VLOOKUP(C3660,METADATA!$J$5:$Q$29,IF(E3660="HI",2,IF(E3660="LO",6,10))+IF(T3660=1,2,IF(D3660=7,1,(IF(WEEKDAY(B3660)=1,2,IF(WEEKDAY(B3660)=7,1,0))))))</f>
        <v>1</v>
      </c>
      <c r="V3660" s="328">
        <f>VLOOKUP(C3660,METADATA!$A$5:$H$29,IF(E3660="HI",2,IF(E3660="LO",6,10))+IF(T3660=1,2,IF(D3660=7,1,(IF(WEEKDAY(B3660)=1,2,IF(WEEKDAY(B3660)=7,1,0))))))</f>
        <v>1</v>
      </c>
    </row>
    <row r="3661" spans="2:22">
      <c r="B3661" s="318">
        <f t="shared" si="227"/>
        <v>46265</v>
      </c>
      <c r="C3661" s="312">
        <v>9</v>
      </c>
      <c r="D3661" s="368">
        <f>IFERROR((INDEX(METADATA!$T$2:$T$20,MATCH(B3661,METADATA!$S$2:$S$20,0))),0)</f>
        <v>0</v>
      </c>
      <c r="E3661" s="312" t="str">
        <f t="shared" si="228"/>
        <v>LO</v>
      </c>
      <c r="F3661" s="369">
        <f>VLOOKUP(C3661,METADATA!$A$5:$H$29,IF(E3661="HI",2,IF(E3661="LO",6,10))+IF(D3661=1,2,IF(D3661=7,1,(IF(WEEKDAY(B3661)=1,2,IF(WEEKDAY(B3661)=7,1,0))))))</f>
        <v>2</v>
      </c>
      <c r="G3661" s="369">
        <f>VLOOKUP(C3661,METADATA!$J$5:$Q$29,IF(E3661="HI",2,IF(E3661="LO",6,10))+IF(D3661=1,2,IF(D3661=7,1,(IF(WEEKDAY(B3661)=1,2,IF(WEEKDAY(B3661)=7,1,0))))))</f>
        <v>2</v>
      </c>
      <c r="H3661" s="370">
        <v>13070.299926757813</v>
      </c>
      <c r="I3661" s="370">
        <v>9824.72509765625</v>
      </c>
      <c r="M3661" s="371">
        <f t="shared" si="229"/>
        <v>16351.084472288738</v>
      </c>
      <c r="N3661" s="329">
        <f t="shared" si="230"/>
        <v>5903.635119628907</v>
      </c>
      <c r="T3661" s="331">
        <v>0</v>
      </c>
      <c r="U3661" s="328">
        <f>VLOOKUP(C3661,METADATA!$J$5:$Q$29,IF(E3661="HI",2,IF(E3661="LO",6,10))+IF(T3661=1,2,IF(D3661=7,1,(IF(WEEKDAY(B3661)=1,2,IF(WEEKDAY(B3661)=7,1,0))))))</f>
        <v>2</v>
      </c>
      <c r="V3661" s="328">
        <f>VLOOKUP(C3661,METADATA!$A$5:$H$29,IF(E3661="HI",2,IF(E3661="LO",6,10))+IF(T3661=1,2,IF(D3661=7,1,(IF(WEEKDAY(B3661)=1,2,IF(WEEKDAY(B3661)=7,1,0))))))</f>
        <v>2</v>
      </c>
    </row>
    <row r="3662" spans="2:22">
      <c r="B3662" s="318">
        <f t="shared" si="227"/>
        <v>46265</v>
      </c>
      <c r="C3662" s="312">
        <v>10</v>
      </c>
      <c r="D3662" s="368">
        <f>IFERROR((INDEX(METADATA!$T$2:$T$20,MATCH(B3662,METADATA!$S$2:$S$20,0))),0)</f>
        <v>0</v>
      </c>
      <c r="E3662" s="312" t="str">
        <f t="shared" si="228"/>
        <v>LO</v>
      </c>
      <c r="F3662" s="369">
        <f>VLOOKUP(C3662,METADATA!$A$5:$H$29,IF(E3662="HI",2,IF(E3662="LO",6,10))+IF(D3662=1,2,IF(D3662=7,1,(IF(WEEKDAY(B3662)=1,2,IF(WEEKDAY(B3662)=7,1,0))))))</f>
        <v>2</v>
      </c>
      <c r="G3662" s="369">
        <f>VLOOKUP(C3662,METADATA!$J$5:$Q$29,IF(E3662="HI",2,IF(E3662="LO",6,10))+IF(D3662=1,2,IF(D3662=7,1,(IF(WEEKDAY(B3662)=1,2,IF(WEEKDAY(B3662)=7,1,0))))))</f>
        <v>2</v>
      </c>
      <c r="H3662" s="370">
        <v>13065.200012207031</v>
      </c>
      <c r="I3662" s="370">
        <v>9829.2250366210938</v>
      </c>
      <c r="M3662" s="371">
        <f t="shared" si="229"/>
        <v>16349.713030494253</v>
      </c>
      <c r="N3662" s="329">
        <f t="shared" si="230"/>
        <v>5909.6650329589847</v>
      </c>
      <c r="T3662" s="331">
        <v>0</v>
      </c>
      <c r="U3662" s="328">
        <f>VLOOKUP(C3662,METADATA!$J$5:$Q$29,IF(E3662="HI",2,IF(E3662="LO",6,10))+IF(T3662=1,2,IF(D3662=7,1,(IF(WEEKDAY(B3662)=1,2,IF(WEEKDAY(B3662)=7,1,0))))))</f>
        <v>2</v>
      </c>
      <c r="V3662" s="328">
        <f>VLOOKUP(C3662,METADATA!$A$5:$H$29,IF(E3662="HI",2,IF(E3662="LO",6,10))+IF(T3662=1,2,IF(D3662=7,1,(IF(WEEKDAY(B3662)=1,2,IF(WEEKDAY(B3662)=7,1,0))))))</f>
        <v>2</v>
      </c>
    </row>
    <row r="3663" spans="2:22">
      <c r="B3663" s="318">
        <f t="shared" si="227"/>
        <v>46265</v>
      </c>
      <c r="C3663" s="312">
        <v>11</v>
      </c>
      <c r="D3663" s="368">
        <f>IFERROR((INDEX(METADATA!$T$2:$T$20,MATCH(B3663,METADATA!$S$2:$S$20,0))),0)</f>
        <v>0</v>
      </c>
      <c r="E3663" s="312" t="str">
        <f t="shared" si="228"/>
        <v>LO</v>
      </c>
      <c r="F3663" s="369">
        <f>VLOOKUP(C3663,METADATA!$A$5:$H$29,IF(E3663="HI",2,IF(E3663="LO",6,10))+IF(D3663=1,2,IF(D3663=7,1,(IF(WEEKDAY(B3663)=1,2,IF(WEEKDAY(B3663)=7,1,0))))))</f>
        <v>2</v>
      </c>
      <c r="G3663" s="369">
        <f>VLOOKUP(C3663,METADATA!$J$5:$Q$29,IF(E3663="HI",2,IF(E3663="LO",6,10))+IF(D3663=1,2,IF(D3663=7,1,(IF(WEEKDAY(B3663)=1,2,IF(WEEKDAY(B3663)=7,1,0))))))</f>
        <v>2</v>
      </c>
      <c r="H3663" s="370">
        <v>13088.049987792969</v>
      </c>
      <c r="I3663" s="370">
        <v>9983.97509765625</v>
      </c>
      <c r="M3663" s="371">
        <f t="shared" si="229"/>
        <v>16461.373309465635</v>
      </c>
      <c r="N3663" s="329">
        <f t="shared" si="230"/>
        <v>6057.5601013183596</v>
      </c>
      <c r="T3663" s="331">
        <v>0</v>
      </c>
      <c r="U3663" s="328">
        <f>VLOOKUP(C3663,METADATA!$J$5:$Q$29,IF(E3663="HI",2,IF(E3663="LO",6,10))+IF(T3663=1,2,IF(D3663=7,1,(IF(WEEKDAY(B3663)=1,2,IF(WEEKDAY(B3663)=7,1,0))))))</f>
        <v>2</v>
      </c>
      <c r="V3663" s="328">
        <f>VLOOKUP(C3663,METADATA!$A$5:$H$29,IF(E3663="HI",2,IF(E3663="LO",6,10))+IF(T3663=1,2,IF(D3663=7,1,(IF(WEEKDAY(B3663)=1,2,IF(WEEKDAY(B3663)=7,1,0))))))</f>
        <v>2</v>
      </c>
    </row>
    <row r="3664" spans="2:22">
      <c r="B3664" s="318">
        <f t="shared" si="227"/>
        <v>46265</v>
      </c>
      <c r="C3664" s="312">
        <v>12</v>
      </c>
      <c r="D3664" s="368">
        <f>IFERROR((INDEX(METADATA!$T$2:$T$20,MATCH(B3664,METADATA!$S$2:$S$20,0))),0)</f>
        <v>0</v>
      </c>
      <c r="E3664" s="312" t="str">
        <f t="shared" si="228"/>
        <v>LO</v>
      </c>
      <c r="F3664" s="369">
        <f>VLOOKUP(C3664,METADATA!$A$5:$H$29,IF(E3664="HI",2,IF(E3664="LO",6,10))+IF(D3664=1,2,IF(D3664=7,1,(IF(WEEKDAY(B3664)=1,2,IF(WEEKDAY(B3664)=7,1,0))))))</f>
        <v>2</v>
      </c>
      <c r="G3664" s="369">
        <f>VLOOKUP(C3664,METADATA!$J$5:$Q$29,IF(E3664="HI",2,IF(E3664="LO",6,10))+IF(D3664=1,2,IF(D3664=7,1,(IF(WEEKDAY(B3664)=1,2,IF(WEEKDAY(B3664)=7,1,0))))))</f>
        <v>2</v>
      </c>
      <c r="H3664" s="370">
        <v>13070.4248046875</v>
      </c>
      <c r="I3664" s="370">
        <v>10024.275207519531</v>
      </c>
      <c r="M3664" s="371">
        <f t="shared" si="229"/>
        <v>16471.857758342892</v>
      </c>
      <c r="N3664" s="329">
        <f t="shared" si="230"/>
        <v>6103.1477661132813</v>
      </c>
      <c r="T3664" s="331">
        <v>0</v>
      </c>
      <c r="U3664" s="328">
        <f>VLOOKUP(C3664,METADATA!$J$5:$Q$29,IF(E3664="HI",2,IF(E3664="LO",6,10))+IF(T3664=1,2,IF(D3664=7,1,(IF(WEEKDAY(B3664)=1,2,IF(WEEKDAY(B3664)=7,1,0))))))</f>
        <v>2</v>
      </c>
      <c r="V3664" s="328">
        <f>VLOOKUP(C3664,METADATA!$A$5:$H$29,IF(E3664="HI",2,IF(E3664="LO",6,10))+IF(T3664=1,2,IF(D3664=7,1,(IF(WEEKDAY(B3664)=1,2,IF(WEEKDAY(B3664)=7,1,0))))))</f>
        <v>2</v>
      </c>
    </row>
    <row r="3665" spans="2:22">
      <c r="B3665" s="318">
        <f t="shared" si="227"/>
        <v>46265</v>
      </c>
      <c r="C3665" s="312">
        <v>13</v>
      </c>
      <c r="D3665" s="368">
        <f>IFERROR((INDEX(METADATA!$T$2:$T$20,MATCH(B3665,METADATA!$S$2:$S$20,0))),0)</f>
        <v>0</v>
      </c>
      <c r="E3665" s="312" t="str">
        <f t="shared" si="228"/>
        <v>LO</v>
      </c>
      <c r="F3665" s="369">
        <f>VLOOKUP(C3665,METADATA!$A$5:$H$29,IF(E3665="HI",2,IF(E3665="LO",6,10))+IF(D3665=1,2,IF(D3665=7,1,(IF(WEEKDAY(B3665)=1,2,IF(WEEKDAY(B3665)=7,1,0))))))</f>
        <v>2</v>
      </c>
      <c r="G3665" s="369">
        <f>VLOOKUP(C3665,METADATA!$J$5:$Q$29,IF(E3665="HI",2,IF(E3665="LO",6,10))+IF(D3665=1,2,IF(D3665=7,1,(IF(WEEKDAY(B3665)=1,2,IF(WEEKDAY(B3665)=7,1,0))))))</f>
        <v>2</v>
      </c>
      <c r="H3665" s="370">
        <v>12705.375122070313</v>
      </c>
      <c r="I3665" s="370">
        <v>9766.9248657226563</v>
      </c>
      <c r="M3665" s="371">
        <f t="shared" si="229"/>
        <v>16025.585116469061</v>
      </c>
      <c r="N3665" s="329">
        <f t="shared" si="230"/>
        <v>5955.3123291015627</v>
      </c>
      <c r="T3665" s="331">
        <v>0</v>
      </c>
      <c r="U3665" s="328">
        <f>VLOOKUP(C3665,METADATA!$J$5:$Q$29,IF(E3665="HI",2,IF(E3665="LO",6,10))+IF(T3665=1,2,IF(D3665=7,1,(IF(WEEKDAY(B3665)=1,2,IF(WEEKDAY(B3665)=7,1,0))))))</f>
        <v>2</v>
      </c>
      <c r="V3665" s="328">
        <f>VLOOKUP(C3665,METADATA!$A$5:$H$29,IF(E3665="HI",2,IF(E3665="LO",6,10))+IF(T3665=1,2,IF(D3665=7,1,(IF(WEEKDAY(B3665)=1,2,IF(WEEKDAY(B3665)=7,1,0))))))</f>
        <v>2</v>
      </c>
    </row>
    <row r="3666" spans="2:22">
      <c r="B3666" s="318">
        <f t="shared" si="227"/>
        <v>46265</v>
      </c>
      <c r="C3666" s="312">
        <v>14</v>
      </c>
      <c r="D3666" s="368">
        <f>IFERROR((INDEX(METADATA!$T$2:$T$20,MATCH(B3666,METADATA!$S$2:$S$20,0))),0)</f>
        <v>0</v>
      </c>
      <c r="E3666" s="312" t="str">
        <f t="shared" si="228"/>
        <v>LO</v>
      </c>
      <c r="F3666" s="369">
        <f>VLOOKUP(C3666,METADATA!$A$5:$H$29,IF(E3666="HI",2,IF(E3666="LO",6,10))+IF(D3666=1,2,IF(D3666=7,1,(IF(WEEKDAY(B3666)=1,2,IF(WEEKDAY(B3666)=7,1,0))))))</f>
        <v>2</v>
      </c>
      <c r="G3666" s="369">
        <f>VLOOKUP(C3666,METADATA!$J$5:$Q$29,IF(E3666="HI",2,IF(E3666="LO",6,10))+IF(D3666=1,2,IF(D3666=7,1,(IF(WEEKDAY(B3666)=1,2,IF(WEEKDAY(B3666)=7,1,0))))))</f>
        <v>2</v>
      </c>
      <c r="H3666" s="370">
        <v>13114.850463867188</v>
      </c>
      <c r="I3666" s="370">
        <v>9983.4500732421875</v>
      </c>
      <c r="M3666" s="371">
        <f t="shared" si="229"/>
        <v>16482.371736328387</v>
      </c>
      <c r="N3666" s="329">
        <f t="shared" si="230"/>
        <v>6048.9949340820313</v>
      </c>
      <c r="T3666" s="331">
        <v>0</v>
      </c>
      <c r="U3666" s="328">
        <f>VLOOKUP(C3666,METADATA!$J$5:$Q$29,IF(E3666="HI",2,IF(E3666="LO",6,10))+IF(T3666=1,2,IF(D3666=7,1,(IF(WEEKDAY(B3666)=1,2,IF(WEEKDAY(B3666)=7,1,0))))))</f>
        <v>2</v>
      </c>
      <c r="V3666" s="328">
        <f>VLOOKUP(C3666,METADATA!$A$5:$H$29,IF(E3666="HI",2,IF(E3666="LO",6,10))+IF(T3666=1,2,IF(D3666=7,1,(IF(WEEKDAY(B3666)=1,2,IF(WEEKDAY(B3666)=7,1,0))))))</f>
        <v>2</v>
      </c>
    </row>
    <row r="3667" spans="2:22">
      <c r="B3667" s="318">
        <f t="shared" si="227"/>
        <v>46265</v>
      </c>
      <c r="C3667" s="312">
        <v>15</v>
      </c>
      <c r="D3667" s="368">
        <f>IFERROR((INDEX(METADATA!$T$2:$T$20,MATCH(B3667,METADATA!$S$2:$S$20,0))),0)</f>
        <v>0</v>
      </c>
      <c r="E3667" s="312" t="str">
        <f t="shared" si="228"/>
        <v>LO</v>
      </c>
      <c r="F3667" s="369">
        <f>VLOOKUP(C3667,METADATA!$A$5:$H$29,IF(E3667="HI",2,IF(E3667="LO",6,10))+IF(D3667=1,2,IF(D3667=7,1,(IF(WEEKDAY(B3667)=1,2,IF(WEEKDAY(B3667)=7,1,0))))))</f>
        <v>2</v>
      </c>
      <c r="G3667" s="369">
        <f>VLOOKUP(C3667,METADATA!$J$5:$Q$29,IF(E3667="HI",2,IF(E3667="LO",6,10))+IF(D3667=1,2,IF(D3667=7,1,(IF(WEEKDAY(B3667)=1,2,IF(WEEKDAY(B3667)=7,1,0))))))</f>
        <v>2</v>
      </c>
      <c r="H3667" s="370">
        <v>13117.024841308594</v>
      </c>
      <c r="I3667" s="370">
        <v>10030.224914550781</v>
      </c>
      <c r="M3667" s="371">
        <f t="shared" si="229"/>
        <v>16512.472635071405</v>
      </c>
      <c r="N3667" s="329">
        <f t="shared" si="230"/>
        <v>6095.1174621582031</v>
      </c>
      <c r="T3667" s="331">
        <v>0</v>
      </c>
      <c r="U3667" s="328">
        <f>VLOOKUP(C3667,METADATA!$J$5:$Q$29,IF(E3667="HI",2,IF(E3667="LO",6,10))+IF(T3667=1,2,IF(D3667=7,1,(IF(WEEKDAY(B3667)=1,2,IF(WEEKDAY(B3667)=7,1,0))))))</f>
        <v>2</v>
      </c>
      <c r="V3667" s="328">
        <f>VLOOKUP(C3667,METADATA!$A$5:$H$29,IF(E3667="HI",2,IF(E3667="LO",6,10))+IF(T3667=1,2,IF(D3667=7,1,(IF(WEEKDAY(B3667)=1,2,IF(WEEKDAY(B3667)=7,1,0))))))</f>
        <v>2</v>
      </c>
    </row>
    <row r="3668" spans="2:22">
      <c r="B3668" s="318">
        <f t="shared" si="227"/>
        <v>46265</v>
      </c>
      <c r="C3668" s="312">
        <v>16</v>
      </c>
      <c r="D3668" s="368">
        <f>IFERROR((INDEX(METADATA!$T$2:$T$20,MATCH(B3668,METADATA!$S$2:$S$20,0))),0)</f>
        <v>0</v>
      </c>
      <c r="E3668" s="312" t="str">
        <f t="shared" si="228"/>
        <v>LO</v>
      </c>
      <c r="F3668" s="369">
        <f>VLOOKUP(C3668,METADATA!$A$5:$H$29,IF(E3668="HI",2,IF(E3668="LO",6,10))+IF(D3668=1,2,IF(D3668=7,1,(IF(WEEKDAY(B3668)=1,2,IF(WEEKDAY(B3668)=7,1,0))))))</f>
        <v>2</v>
      </c>
      <c r="G3668" s="369">
        <f>VLOOKUP(C3668,METADATA!$J$5:$Q$29,IF(E3668="HI",2,IF(E3668="LO",6,10))+IF(D3668=1,2,IF(D3668=7,1,(IF(WEEKDAY(B3668)=1,2,IF(WEEKDAY(B3668)=7,1,0))))))</f>
        <v>2</v>
      </c>
      <c r="H3668" s="370">
        <v>13077.424987792969</v>
      </c>
      <c r="I3668" s="370">
        <v>9925.7499389648438</v>
      </c>
      <c r="M3668" s="371">
        <f t="shared" si="229"/>
        <v>16417.659886908747</v>
      </c>
      <c r="N3668" s="329">
        <f t="shared" si="230"/>
        <v>6002.5224426269533</v>
      </c>
      <c r="T3668" s="331">
        <v>0</v>
      </c>
      <c r="U3668" s="328">
        <f>VLOOKUP(C3668,METADATA!$J$5:$Q$29,IF(E3668="HI",2,IF(E3668="LO",6,10))+IF(T3668=1,2,IF(D3668=7,1,(IF(WEEKDAY(B3668)=1,2,IF(WEEKDAY(B3668)=7,1,0))))))</f>
        <v>2</v>
      </c>
      <c r="V3668" s="328">
        <f>VLOOKUP(C3668,METADATA!$A$5:$H$29,IF(E3668="HI",2,IF(E3668="LO",6,10))+IF(T3668=1,2,IF(D3668=7,1,(IF(WEEKDAY(B3668)=1,2,IF(WEEKDAY(B3668)=7,1,0))))))</f>
        <v>2</v>
      </c>
    </row>
    <row r="3669" spans="2:22">
      <c r="B3669" s="318">
        <f t="shared" si="227"/>
        <v>46265</v>
      </c>
      <c r="C3669" s="312">
        <v>17</v>
      </c>
      <c r="D3669" s="368">
        <f>IFERROR((INDEX(METADATA!$T$2:$T$20,MATCH(B3669,METADATA!$S$2:$S$20,0))),0)</f>
        <v>0</v>
      </c>
      <c r="E3669" s="312" t="str">
        <f t="shared" si="228"/>
        <v>LO</v>
      </c>
      <c r="F3669" s="369">
        <f>VLOOKUP(C3669,METADATA!$A$5:$H$29,IF(E3669="HI",2,IF(E3669="LO",6,10))+IF(D3669=1,2,IF(D3669=7,1,(IF(WEEKDAY(B3669)=1,2,IF(WEEKDAY(B3669)=7,1,0))))))</f>
        <v>2</v>
      </c>
      <c r="G3669" s="369">
        <f>VLOOKUP(C3669,METADATA!$J$5:$Q$29,IF(E3669="HI",2,IF(E3669="LO",6,10))+IF(D3669=1,2,IF(D3669=7,1,(IF(WEEKDAY(B3669)=1,2,IF(WEEKDAY(B3669)=7,1,0))))))</f>
        <v>2</v>
      </c>
      <c r="H3669" s="370">
        <v>12966.349914550781</v>
      </c>
      <c r="I3669" s="370">
        <v>9946.550048828125</v>
      </c>
      <c r="M3669" s="371">
        <f t="shared" si="229"/>
        <v>16341.973197273755</v>
      </c>
      <c r="N3669" s="329">
        <f t="shared" si="230"/>
        <v>6056.645074462891</v>
      </c>
      <c r="T3669" s="331">
        <v>0</v>
      </c>
      <c r="U3669" s="328">
        <f>VLOOKUP(C3669,METADATA!$J$5:$Q$29,IF(E3669="HI",2,IF(E3669="LO",6,10))+IF(T3669=1,2,IF(D3669=7,1,(IF(WEEKDAY(B3669)=1,2,IF(WEEKDAY(B3669)=7,1,0))))))</f>
        <v>2</v>
      </c>
      <c r="V3669" s="328">
        <f>VLOOKUP(C3669,METADATA!$A$5:$H$29,IF(E3669="HI",2,IF(E3669="LO",6,10))+IF(T3669=1,2,IF(D3669=7,1,(IF(WEEKDAY(B3669)=1,2,IF(WEEKDAY(B3669)=7,1,0))))))</f>
        <v>2</v>
      </c>
    </row>
    <row r="3670" spans="2:22">
      <c r="B3670" s="318">
        <f t="shared" si="227"/>
        <v>46265</v>
      </c>
      <c r="C3670" s="312">
        <v>18</v>
      </c>
      <c r="D3670" s="368">
        <f>IFERROR((INDEX(METADATA!$T$2:$T$20,MATCH(B3670,METADATA!$S$2:$S$20,0))),0)</f>
        <v>0</v>
      </c>
      <c r="E3670" s="312" t="str">
        <f t="shared" si="228"/>
        <v>LO</v>
      </c>
      <c r="F3670" s="369">
        <f>VLOOKUP(C3670,METADATA!$A$5:$H$29,IF(E3670="HI",2,IF(E3670="LO",6,10))+IF(D3670=1,2,IF(D3670=7,1,(IF(WEEKDAY(B3670)=1,2,IF(WEEKDAY(B3670)=7,1,0))))))</f>
        <v>1</v>
      </c>
      <c r="G3670" s="369">
        <f>VLOOKUP(C3670,METADATA!$J$5:$Q$29,IF(E3670="HI",2,IF(E3670="LO",6,10))+IF(D3670=1,2,IF(D3670=7,1,(IF(WEEKDAY(B3670)=1,2,IF(WEEKDAY(B3670)=7,1,0))))))</f>
        <v>1</v>
      </c>
      <c r="H3670" s="370">
        <v>13123.775390625</v>
      </c>
      <c r="I3670" s="370">
        <v>9888.699951171875</v>
      </c>
      <c r="M3670" s="371">
        <f t="shared" si="229"/>
        <v>16432.281254527046</v>
      </c>
      <c r="N3670" s="329">
        <f t="shared" si="230"/>
        <v>5951.5673339843752</v>
      </c>
      <c r="T3670" s="331">
        <v>0</v>
      </c>
      <c r="U3670" s="328">
        <f>VLOOKUP(C3670,METADATA!$J$5:$Q$29,IF(E3670="HI",2,IF(E3670="LO",6,10))+IF(T3670=1,2,IF(D3670=7,1,(IF(WEEKDAY(B3670)=1,2,IF(WEEKDAY(B3670)=7,1,0))))))</f>
        <v>1</v>
      </c>
      <c r="V3670" s="328">
        <f>VLOOKUP(C3670,METADATA!$A$5:$H$29,IF(E3670="HI",2,IF(E3670="LO",6,10))+IF(T3670=1,2,IF(D3670=7,1,(IF(WEEKDAY(B3670)=1,2,IF(WEEKDAY(B3670)=7,1,0))))))</f>
        <v>1</v>
      </c>
    </row>
    <row r="3671" spans="2:22">
      <c r="B3671" s="318">
        <f t="shared" si="227"/>
        <v>46265</v>
      </c>
      <c r="C3671" s="312">
        <v>19</v>
      </c>
      <c r="D3671" s="368">
        <f>IFERROR((INDEX(METADATA!$T$2:$T$20,MATCH(B3671,METADATA!$S$2:$S$20,0))),0)</f>
        <v>0</v>
      </c>
      <c r="E3671" s="312" t="str">
        <f t="shared" si="228"/>
        <v>LO</v>
      </c>
      <c r="F3671" s="369">
        <f>VLOOKUP(C3671,METADATA!$A$5:$H$29,IF(E3671="HI",2,IF(E3671="LO",6,10))+IF(D3671=1,2,IF(D3671=7,1,(IF(WEEKDAY(B3671)=1,2,IF(WEEKDAY(B3671)=7,1,0))))))</f>
        <v>1</v>
      </c>
      <c r="G3671" s="369">
        <f>VLOOKUP(C3671,METADATA!$J$5:$Q$29,IF(E3671="HI",2,IF(E3671="LO",6,10))+IF(D3671=1,2,IF(D3671=7,1,(IF(WEEKDAY(B3671)=1,2,IF(WEEKDAY(B3671)=7,1,0))))))</f>
        <v>1</v>
      </c>
      <c r="H3671" s="370">
        <v>13042.425231933594</v>
      </c>
      <c r="I3671" s="370">
        <v>9777.7752075195313</v>
      </c>
      <c r="M3671" s="371">
        <f t="shared" si="229"/>
        <v>16300.605631060511</v>
      </c>
      <c r="N3671" s="329">
        <f t="shared" si="230"/>
        <v>5865.0476379394531</v>
      </c>
      <c r="T3671" s="331">
        <v>0</v>
      </c>
      <c r="U3671" s="328">
        <f>VLOOKUP(C3671,METADATA!$J$5:$Q$29,IF(E3671="HI",2,IF(E3671="LO",6,10))+IF(T3671=1,2,IF(D3671=7,1,(IF(WEEKDAY(B3671)=1,2,IF(WEEKDAY(B3671)=7,1,0))))))</f>
        <v>1</v>
      </c>
      <c r="V3671" s="328">
        <f>VLOOKUP(C3671,METADATA!$A$5:$H$29,IF(E3671="HI",2,IF(E3671="LO",6,10))+IF(T3671=1,2,IF(D3671=7,1,(IF(WEEKDAY(B3671)=1,2,IF(WEEKDAY(B3671)=7,1,0))))))</f>
        <v>1</v>
      </c>
    </row>
    <row r="3672" spans="2:22">
      <c r="B3672" s="318">
        <f t="shared" si="227"/>
        <v>46265</v>
      </c>
      <c r="C3672" s="312">
        <v>20</v>
      </c>
      <c r="D3672" s="368">
        <f>IFERROR((INDEX(METADATA!$T$2:$T$20,MATCH(B3672,METADATA!$S$2:$S$20,0))),0)</f>
        <v>0</v>
      </c>
      <c r="E3672" s="312" t="str">
        <f t="shared" si="228"/>
        <v>LO</v>
      </c>
      <c r="F3672" s="369">
        <f>VLOOKUP(C3672,METADATA!$A$5:$H$29,IF(E3672="HI",2,IF(E3672="LO",6,10))+IF(D3672=1,2,IF(D3672=7,1,(IF(WEEKDAY(B3672)=1,2,IF(WEEKDAY(B3672)=7,1,0))))))</f>
        <v>1</v>
      </c>
      <c r="G3672" s="369">
        <f>VLOOKUP(C3672,METADATA!$J$5:$Q$29,IF(E3672="HI",2,IF(E3672="LO",6,10))+IF(D3672=1,2,IF(D3672=7,1,(IF(WEEKDAY(B3672)=1,2,IF(WEEKDAY(B3672)=7,1,0))))))</f>
        <v>1</v>
      </c>
      <c r="H3672" s="370">
        <v>13013.949951171875</v>
      </c>
      <c r="I3672" s="370">
        <v>9851.6500854492188</v>
      </c>
      <c r="M3672" s="371">
        <f t="shared" si="229"/>
        <v>16322.313032708877</v>
      </c>
      <c r="N3672" s="329">
        <f t="shared" si="230"/>
        <v>5947.4651000976564</v>
      </c>
      <c r="T3672" s="331">
        <v>0</v>
      </c>
      <c r="U3672" s="328">
        <f>VLOOKUP(C3672,METADATA!$J$5:$Q$29,IF(E3672="HI",2,IF(E3672="LO",6,10))+IF(T3672=1,2,IF(D3672=7,1,(IF(WEEKDAY(B3672)=1,2,IF(WEEKDAY(B3672)=7,1,0))))))</f>
        <v>1</v>
      </c>
      <c r="V3672" s="328">
        <f>VLOOKUP(C3672,METADATA!$A$5:$H$29,IF(E3672="HI",2,IF(E3672="LO",6,10))+IF(T3672=1,2,IF(D3672=7,1,(IF(WEEKDAY(B3672)=1,2,IF(WEEKDAY(B3672)=7,1,0))))))</f>
        <v>1</v>
      </c>
    </row>
    <row r="3673" spans="2:22">
      <c r="B3673" s="318">
        <f t="shared" si="227"/>
        <v>46265</v>
      </c>
      <c r="C3673" s="312">
        <v>21</v>
      </c>
      <c r="D3673" s="368">
        <f>IFERROR((INDEX(METADATA!$T$2:$T$20,MATCH(B3673,METADATA!$S$2:$S$20,0))),0)</f>
        <v>0</v>
      </c>
      <c r="E3673" s="312" t="str">
        <f t="shared" si="228"/>
        <v>LO</v>
      </c>
      <c r="F3673" s="369">
        <f>VLOOKUP(C3673,METADATA!$A$5:$H$29,IF(E3673="HI",2,IF(E3673="LO",6,10))+IF(D3673=1,2,IF(D3673=7,1,(IF(WEEKDAY(B3673)=1,2,IF(WEEKDAY(B3673)=7,1,0))))))</f>
        <v>2</v>
      </c>
      <c r="G3673" s="369">
        <f>VLOOKUP(C3673,METADATA!$J$5:$Q$29,IF(E3673="HI",2,IF(E3673="LO",6,10))+IF(D3673=1,2,IF(D3673=7,1,(IF(WEEKDAY(B3673)=1,2,IF(WEEKDAY(B3673)=7,1,0))))))</f>
        <v>2</v>
      </c>
      <c r="H3673" s="370">
        <v>13095.075073242188</v>
      </c>
      <c r="I3673" s="370">
        <v>10019.224975585938</v>
      </c>
      <c r="M3673" s="371">
        <f t="shared" si="229"/>
        <v>16488.355293517114</v>
      </c>
      <c r="N3673" s="329">
        <f t="shared" si="230"/>
        <v>6090.7024536132813</v>
      </c>
      <c r="T3673" s="331">
        <v>0</v>
      </c>
      <c r="U3673" s="328">
        <f>VLOOKUP(C3673,METADATA!$J$5:$Q$29,IF(E3673="HI",2,IF(E3673="LO",6,10))+IF(T3673=1,2,IF(D3673=7,1,(IF(WEEKDAY(B3673)=1,2,IF(WEEKDAY(B3673)=7,1,0))))))</f>
        <v>2</v>
      </c>
      <c r="V3673" s="328">
        <f>VLOOKUP(C3673,METADATA!$A$5:$H$29,IF(E3673="HI",2,IF(E3673="LO",6,10))+IF(T3673=1,2,IF(D3673=7,1,(IF(WEEKDAY(B3673)=1,2,IF(WEEKDAY(B3673)=7,1,0))))))</f>
        <v>2</v>
      </c>
    </row>
    <row r="3674" spans="2:22">
      <c r="B3674" s="318">
        <f t="shared" si="227"/>
        <v>46265</v>
      </c>
      <c r="C3674" s="312">
        <v>22</v>
      </c>
      <c r="D3674" s="368">
        <f>IFERROR((INDEX(METADATA!$T$2:$T$20,MATCH(B3674,METADATA!$S$2:$S$20,0))),0)</f>
        <v>0</v>
      </c>
      <c r="E3674" s="312" t="str">
        <f t="shared" si="228"/>
        <v>LO</v>
      </c>
      <c r="F3674" s="369">
        <f>VLOOKUP(C3674,METADATA!$A$5:$H$29,IF(E3674="HI",2,IF(E3674="LO",6,10))+IF(D3674=1,2,IF(D3674=7,1,(IF(WEEKDAY(B3674)=1,2,IF(WEEKDAY(B3674)=7,1,0))))))</f>
        <v>3</v>
      </c>
      <c r="G3674" s="369">
        <f>VLOOKUP(C3674,METADATA!$J$5:$Q$29,IF(E3674="HI",2,IF(E3674="LO",6,10))+IF(D3674=1,2,IF(D3674=7,1,(IF(WEEKDAY(B3674)=1,2,IF(WEEKDAY(B3674)=7,1,0))))))</f>
        <v>3</v>
      </c>
      <c r="H3674" s="370">
        <v>13041.874877929688</v>
      </c>
      <c r="I3674" s="370">
        <v>10107.974914550781</v>
      </c>
      <c r="M3674" s="371">
        <f t="shared" si="229"/>
        <v>16500.353244847862</v>
      </c>
      <c r="N3674" s="329">
        <f t="shared" si="230"/>
        <v>6195.4124511718746</v>
      </c>
      <c r="T3674" s="331">
        <v>0</v>
      </c>
      <c r="U3674" s="328">
        <f>VLOOKUP(C3674,METADATA!$J$5:$Q$29,IF(E3674="HI",2,IF(E3674="LO",6,10))+IF(T3674=1,2,IF(D3674=7,1,(IF(WEEKDAY(B3674)=1,2,IF(WEEKDAY(B3674)=7,1,0))))))</f>
        <v>3</v>
      </c>
      <c r="V3674" s="328">
        <f>VLOOKUP(C3674,METADATA!$A$5:$H$29,IF(E3674="HI",2,IF(E3674="LO",6,10))+IF(T3674=1,2,IF(D3674=7,1,(IF(WEEKDAY(B3674)=1,2,IF(WEEKDAY(B3674)=7,1,0))))))</f>
        <v>3</v>
      </c>
    </row>
    <row r="3675" spans="2:22">
      <c r="B3675" s="318">
        <f t="shared" si="227"/>
        <v>46265</v>
      </c>
      <c r="C3675" s="312">
        <v>23</v>
      </c>
      <c r="D3675" s="368">
        <f>IFERROR((INDEX(METADATA!$T$2:$T$20,MATCH(B3675,METADATA!$S$2:$S$20,0))),0)</f>
        <v>0</v>
      </c>
      <c r="E3675" s="312" t="str">
        <f t="shared" si="228"/>
        <v>LO</v>
      </c>
      <c r="F3675" s="369">
        <f>VLOOKUP(C3675,METADATA!$A$5:$H$29,IF(E3675="HI",2,IF(E3675="LO",6,10))+IF(D3675=1,2,IF(D3675=7,1,(IF(WEEKDAY(B3675)=1,2,IF(WEEKDAY(B3675)=7,1,0))))))</f>
        <v>3</v>
      </c>
      <c r="G3675" s="369">
        <f>VLOOKUP(C3675,METADATA!$J$5:$Q$29,IF(E3675="HI",2,IF(E3675="LO",6,10))+IF(D3675=1,2,IF(D3675=7,1,(IF(WEEKDAY(B3675)=1,2,IF(WEEKDAY(B3675)=7,1,0))))))</f>
        <v>3</v>
      </c>
      <c r="H3675" s="370">
        <v>13159.475158691406</v>
      </c>
      <c r="I3675" s="370">
        <v>10255.300231933594</v>
      </c>
      <c r="M3675" s="371">
        <f t="shared" si="229"/>
        <v>16683.613796156798</v>
      </c>
      <c r="N3675" s="329">
        <f t="shared" si="230"/>
        <v>6307.4576843261721</v>
      </c>
      <c r="T3675" s="331">
        <v>0</v>
      </c>
      <c r="U3675" s="328">
        <f>VLOOKUP(C3675,METADATA!$J$5:$Q$29,IF(E3675="HI",2,IF(E3675="LO",6,10))+IF(T3675=1,2,IF(D3675=7,1,(IF(WEEKDAY(B3675)=1,2,IF(WEEKDAY(B3675)=7,1,0))))))</f>
        <v>3</v>
      </c>
      <c r="V3675" s="328">
        <f>VLOOKUP(C3675,METADATA!$A$5:$H$29,IF(E3675="HI",2,IF(E3675="LO",6,10))+IF(T3675=1,2,IF(D3675=7,1,(IF(WEEKDAY(B3675)=1,2,IF(WEEKDAY(B3675)=7,1,0))))))</f>
        <v>3</v>
      </c>
    </row>
    <row r="3676" spans="2:22">
      <c r="B3676" s="318">
        <f t="shared" ref="B3676:B3739" si="231">B3652+1</f>
        <v>46266</v>
      </c>
      <c r="C3676" s="312">
        <v>0</v>
      </c>
      <c r="D3676" s="368">
        <f>IFERROR((INDEX(METADATA!$T$2:$T$20,MATCH(B3676,METADATA!$S$2:$S$20,0))),0)</f>
        <v>0</v>
      </c>
      <c r="E3676" s="312" t="str">
        <f t="shared" si="228"/>
        <v>LO</v>
      </c>
      <c r="F3676" s="369">
        <f>VLOOKUP(C3676,METADATA!$A$5:$H$29,IF(E3676="HI",2,IF(E3676="LO",6,10))+IF(D3676=1,2,IF(D3676=7,1,(IF(WEEKDAY(B3676)=1,2,IF(WEEKDAY(B3676)=7,1,0))))))</f>
        <v>3</v>
      </c>
      <c r="G3676" s="369">
        <f>VLOOKUP(C3676,METADATA!$J$5:$Q$29,IF(E3676="HI",2,IF(E3676="LO",6,10))+IF(D3676=1,2,IF(D3676=7,1,(IF(WEEKDAY(B3676)=1,2,IF(WEEKDAY(B3676)=7,1,0))))))</f>
        <v>3</v>
      </c>
      <c r="H3676" s="370">
        <v>13093.150268554688</v>
      </c>
      <c r="I3676" s="370">
        <v>10219.799987792969</v>
      </c>
      <c r="M3676" s="371">
        <f t="shared" si="229"/>
        <v>16609.482103468694</v>
      </c>
      <c r="N3676" s="329">
        <f t="shared" si="230"/>
        <v>6291.8549072265632</v>
      </c>
      <c r="T3676" s="331">
        <v>0</v>
      </c>
      <c r="U3676" s="328">
        <f>VLOOKUP(C3676,METADATA!$J$5:$Q$29,IF(E3676="HI",2,IF(E3676="LO",6,10))+IF(T3676=1,2,IF(D3676=7,1,(IF(WEEKDAY(B3676)=1,2,IF(WEEKDAY(B3676)=7,1,0))))))</f>
        <v>3</v>
      </c>
      <c r="V3676" s="328">
        <f>VLOOKUP(C3676,METADATA!$A$5:$H$29,IF(E3676="HI",2,IF(E3676="LO",6,10))+IF(T3676=1,2,IF(D3676=7,1,(IF(WEEKDAY(B3676)=1,2,IF(WEEKDAY(B3676)=7,1,0))))))</f>
        <v>3</v>
      </c>
    </row>
    <row r="3677" spans="2:22">
      <c r="B3677" s="318">
        <f t="shared" si="231"/>
        <v>46266</v>
      </c>
      <c r="C3677" s="312">
        <v>1</v>
      </c>
      <c r="D3677" s="368">
        <f>IFERROR((INDEX(METADATA!$T$2:$T$20,MATCH(B3677,METADATA!$S$2:$S$20,0))),0)</f>
        <v>0</v>
      </c>
      <c r="E3677" s="312" t="str">
        <f t="shared" si="228"/>
        <v>LO</v>
      </c>
      <c r="F3677" s="369">
        <f>VLOOKUP(C3677,METADATA!$A$5:$H$29,IF(E3677="HI",2,IF(E3677="LO",6,10))+IF(D3677=1,2,IF(D3677=7,1,(IF(WEEKDAY(B3677)=1,2,IF(WEEKDAY(B3677)=7,1,0))))))</f>
        <v>3</v>
      </c>
      <c r="G3677" s="369">
        <f>VLOOKUP(C3677,METADATA!$J$5:$Q$29,IF(E3677="HI",2,IF(E3677="LO",6,10))+IF(D3677=1,2,IF(D3677=7,1,(IF(WEEKDAY(B3677)=1,2,IF(WEEKDAY(B3677)=7,1,0))))))</f>
        <v>3</v>
      </c>
      <c r="H3677" s="370">
        <v>12979.549865722656</v>
      </c>
      <c r="I3677" s="370">
        <v>10194.727783203125</v>
      </c>
      <c r="M3677" s="371">
        <f t="shared" si="229"/>
        <v>16504.580857761724</v>
      </c>
      <c r="N3677" s="329">
        <f t="shared" si="230"/>
        <v>6300.8628234863281</v>
      </c>
      <c r="T3677" s="331">
        <v>0</v>
      </c>
      <c r="U3677" s="328">
        <f>VLOOKUP(C3677,METADATA!$J$5:$Q$29,IF(E3677="HI",2,IF(E3677="LO",6,10))+IF(T3677=1,2,IF(D3677=7,1,(IF(WEEKDAY(B3677)=1,2,IF(WEEKDAY(B3677)=7,1,0))))))</f>
        <v>3</v>
      </c>
      <c r="V3677" s="328">
        <f>VLOOKUP(C3677,METADATA!$A$5:$H$29,IF(E3677="HI",2,IF(E3677="LO",6,10))+IF(T3677=1,2,IF(D3677=7,1,(IF(WEEKDAY(B3677)=1,2,IF(WEEKDAY(B3677)=7,1,0))))))</f>
        <v>3</v>
      </c>
    </row>
    <row r="3678" spans="2:22">
      <c r="B3678" s="318">
        <f t="shared" si="231"/>
        <v>46266</v>
      </c>
      <c r="C3678" s="312">
        <v>2</v>
      </c>
      <c r="D3678" s="368">
        <f>IFERROR((INDEX(METADATA!$T$2:$T$20,MATCH(B3678,METADATA!$S$2:$S$20,0))),0)</f>
        <v>0</v>
      </c>
      <c r="E3678" s="312" t="str">
        <f t="shared" si="228"/>
        <v>LO</v>
      </c>
      <c r="F3678" s="369">
        <f>VLOOKUP(C3678,METADATA!$A$5:$H$29,IF(E3678="HI",2,IF(E3678="LO",6,10))+IF(D3678=1,2,IF(D3678=7,1,(IF(WEEKDAY(B3678)=1,2,IF(WEEKDAY(B3678)=7,1,0))))))</f>
        <v>3</v>
      </c>
      <c r="G3678" s="369">
        <f>VLOOKUP(C3678,METADATA!$J$5:$Q$29,IF(E3678="HI",2,IF(E3678="LO",6,10))+IF(D3678=1,2,IF(D3678=7,1,(IF(WEEKDAY(B3678)=1,2,IF(WEEKDAY(B3678)=7,1,0))))))</f>
        <v>3</v>
      </c>
      <c r="H3678" s="370">
        <v>13018.9501953125</v>
      </c>
      <c r="I3678" s="370">
        <v>10187.800048828125</v>
      </c>
      <c r="M3678" s="371">
        <f t="shared" si="229"/>
        <v>16531.313741591432</v>
      </c>
      <c r="N3678" s="329">
        <f t="shared" si="230"/>
        <v>6282.114990234375</v>
      </c>
      <c r="T3678" s="331">
        <v>0</v>
      </c>
      <c r="U3678" s="328">
        <f>VLOOKUP(C3678,METADATA!$J$5:$Q$29,IF(E3678="HI",2,IF(E3678="LO",6,10))+IF(T3678=1,2,IF(D3678=7,1,(IF(WEEKDAY(B3678)=1,2,IF(WEEKDAY(B3678)=7,1,0))))))</f>
        <v>3</v>
      </c>
      <c r="V3678" s="328">
        <f>VLOOKUP(C3678,METADATA!$A$5:$H$29,IF(E3678="HI",2,IF(E3678="LO",6,10))+IF(T3678=1,2,IF(D3678=7,1,(IF(WEEKDAY(B3678)=1,2,IF(WEEKDAY(B3678)=7,1,0))))))</f>
        <v>3</v>
      </c>
    </row>
    <row r="3679" spans="2:22">
      <c r="B3679" s="318">
        <f t="shared" si="231"/>
        <v>46266</v>
      </c>
      <c r="C3679" s="312">
        <v>3</v>
      </c>
      <c r="D3679" s="368">
        <f>IFERROR((INDEX(METADATA!$T$2:$T$20,MATCH(B3679,METADATA!$S$2:$S$20,0))),0)</f>
        <v>0</v>
      </c>
      <c r="E3679" s="312" t="str">
        <f t="shared" si="228"/>
        <v>LO</v>
      </c>
      <c r="F3679" s="369">
        <f>VLOOKUP(C3679,METADATA!$A$5:$H$29,IF(E3679="HI",2,IF(E3679="LO",6,10))+IF(D3679=1,2,IF(D3679=7,1,(IF(WEEKDAY(B3679)=1,2,IF(WEEKDAY(B3679)=7,1,0))))))</f>
        <v>3</v>
      </c>
      <c r="G3679" s="369">
        <f>VLOOKUP(C3679,METADATA!$J$5:$Q$29,IF(E3679="HI",2,IF(E3679="LO",6,10))+IF(D3679=1,2,IF(D3679=7,1,(IF(WEEKDAY(B3679)=1,2,IF(WEEKDAY(B3679)=7,1,0))))))</f>
        <v>3</v>
      </c>
      <c r="H3679" s="370">
        <v>12937.024719238281</v>
      </c>
      <c r="I3679" s="370">
        <v>9928.7499389648438</v>
      </c>
      <c r="M3679" s="371">
        <f t="shared" si="229"/>
        <v>16307.871839595648</v>
      </c>
      <c r="N3679" s="329">
        <f t="shared" si="230"/>
        <v>6047.642523193359</v>
      </c>
      <c r="T3679" s="331">
        <v>0</v>
      </c>
      <c r="U3679" s="328">
        <f>VLOOKUP(C3679,METADATA!$J$5:$Q$29,IF(E3679="HI",2,IF(E3679="LO",6,10))+IF(T3679=1,2,IF(D3679=7,1,(IF(WEEKDAY(B3679)=1,2,IF(WEEKDAY(B3679)=7,1,0))))))</f>
        <v>3</v>
      </c>
      <c r="V3679" s="328">
        <f>VLOOKUP(C3679,METADATA!$A$5:$H$29,IF(E3679="HI",2,IF(E3679="LO",6,10))+IF(T3679=1,2,IF(D3679=7,1,(IF(WEEKDAY(B3679)=1,2,IF(WEEKDAY(B3679)=7,1,0))))))</f>
        <v>3</v>
      </c>
    </row>
    <row r="3680" spans="2:22">
      <c r="B3680" s="318">
        <f t="shared" si="231"/>
        <v>46266</v>
      </c>
      <c r="C3680" s="312">
        <v>4</v>
      </c>
      <c r="D3680" s="368">
        <f>IFERROR((INDEX(METADATA!$T$2:$T$20,MATCH(B3680,METADATA!$S$2:$S$20,0))),0)</f>
        <v>0</v>
      </c>
      <c r="E3680" s="312" t="str">
        <f t="shared" si="228"/>
        <v>LO</v>
      </c>
      <c r="F3680" s="369">
        <f>VLOOKUP(C3680,METADATA!$A$5:$H$29,IF(E3680="HI",2,IF(E3680="LO",6,10))+IF(D3680=1,2,IF(D3680=7,1,(IF(WEEKDAY(B3680)=1,2,IF(WEEKDAY(B3680)=7,1,0))))))</f>
        <v>3</v>
      </c>
      <c r="G3680" s="369">
        <f>VLOOKUP(C3680,METADATA!$J$5:$Q$29,IF(E3680="HI",2,IF(E3680="LO",6,10))+IF(D3680=1,2,IF(D3680=7,1,(IF(WEEKDAY(B3680)=1,2,IF(WEEKDAY(B3680)=7,1,0))))))</f>
        <v>3</v>
      </c>
      <c r="H3680" s="370">
        <v>12958.799560546875</v>
      </c>
      <c r="I3680" s="370">
        <v>9878.449951171875</v>
      </c>
      <c r="M3680" s="371">
        <f t="shared" si="229"/>
        <v>16294.608295023158</v>
      </c>
      <c r="N3680" s="329">
        <f t="shared" si="230"/>
        <v>5990.8100830078129</v>
      </c>
      <c r="T3680" s="331">
        <v>0</v>
      </c>
      <c r="U3680" s="328">
        <f>VLOOKUP(C3680,METADATA!$J$5:$Q$29,IF(E3680="HI",2,IF(E3680="LO",6,10))+IF(T3680=1,2,IF(D3680=7,1,(IF(WEEKDAY(B3680)=1,2,IF(WEEKDAY(B3680)=7,1,0))))))</f>
        <v>3</v>
      </c>
      <c r="V3680" s="328">
        <f>VLOOKUP(C3680,METADATA!$A$5:$H$29,IF(E3680="HI",2,IF(E3680="LO",6,10))+IF(T3680=1,2,IF(D3680=7,1,(IF(WEEKDAY(B3680)=1,2,IF(WEEKDAY(B3680)=7,1,0))))))</f>
        <v>3</v>
      </c>
    </row>
    <row r="3681" spans="2:22">
      <c r="B3681" s="318">
        <f t="shared" si="231"/>
        <v>46266</v>
      </c>
      <c r="C3681" s="312">
        <v>5</v>
      </c>
      <c r="D3681" s="368">
        <f>IFERROR((INDEX(METADATA!$T$2:$T$20,MATCH(B3681,METADATA!$S$2:$S$20,0))),0)</f>
        <v>0</v>
      </c>
      <c r="E3681" s="312" t="str">
        <f t="shared" si="228"/>
        <v>LO</v>
      </c>
      <c r="F3681" s="369">
        <f>VLOOKUP(C3681,METADATA!$A$5:$H$29,IF(E3681="HI",2,IF(E3681="LO",6,10))+IF(D3681=1,2,IF(D3681=7,1,(IF(WEEKDAY(B3681)=1,2,IF(WEEKDAY(B3681)=7,1,0))))))</f>
        <v>3</v>
      </c>
      <c r="G3681" s="369">
        <f>VLOOKUP(C3681,METADATA!$J$5:$Q$29,IF(E3681="HI",2,IF(E3681="LO",6,10))+IF(D3681=1,2,IF(D3681=7,1,(IF(WEEKDAY(B3681)=1,2,IF(WEEKDAY(B3681)=7,1,0))))))</f>
        <v>3</v>
      </c>
      <c r="H3681" s="370">
        <v>13071.249816894531</v>
      </c>
      <c r="I3681" s="370">
        <v>9850.4000854492188</v>
      </c>
      <c r="M3681" s="371">
        <f t="shared" si="229"/>
        <v>16367.283024958153</v>
      </c>
      <c r="N3681" s="329">
        <f t="shared" si="230"/>
        <v>5929.0251403808597</v>
      </c>
      <c r="T3681" s="331">
        <v>0</v>
      </c>
      <c r="U3681" s="328">
        <f>VLOOKUP(C3681,METADATA!$J$5:$Q$29,IF(E3681="HI",2,IF(E3681="LO",6,10))+IF(T3681=1,2,IF(D3681=7,1,(IF(WEEKDAY(B3681)=1,2,IF(WEEKDAY(B3681)=7,1,0))))))</f>
        <v>3</v>
      </c>
      <c r="V3681" s="328">
        <f>VLOOKUP(C3681,METADATA!$A$5:$H$29,IF(E3681="HI",2,IF(E3681="LO",6,10))+IF(T3681=1,2,IF(D3681=7,1,(IF(WEEKDAY(B3681)=1,2,IF(WEEKDAY(B3681)=7,1,0))))))</f>
        <v>3</v>
      </c>
    </row>
    <row r="3682" spans="2:22">
      <c r="B3682" s="318">
        <f t="shared" si="231"/>
        <v>46266</v>
      </c>
      <c r="C3682" s="312">
        <v>6</v>
      </c>
      <c r="D3682" s="368">
        <f>IFERROR((INDEX(METADATA!$T$2:$T$20,MATCH(B3682,METADATA!$S$2:$S$20,0))),0)</f>
        <v>0</v>
      </c>
      <c r="E3682" s="312" t="str">
        <f t="shared" si="228"/>
        <v>LO</v>
      </c>
      <c r="F3682" s="369">
        <f>VLOOKUP(C3682,METADATA!$A$5:$H$29,IF(E3682="HI",2,IF(E3682="LO",6,10))+IF(D3682=1,2,IF(D3682=7,1,(IF(WEEKDAY(B3682)=1,2,IF(WEEKDAY(B3682)=7,1,0))))))</f>
        <v>2</v>
      </c>
      <c r="G3682" s="369">
        <f>VLOOKUP(C3682,METADATA!$J$5:$Q$29,IF(E3682="HI",2,IF(E3682="LO",6,10))+IF(D3682=1,2,IF(D3682=7,1,(IF(WEEKDAY(B3682)=1,2,IF(WEEKDAY(B3682)=7,1,0))))))</f>
        <v>2</v>
      </c>
      <c r="H3682" s="370">
        <v>12959.250244140625</v>
      </c>
      <c r="I3682" s="370">
        <v>9773.8250732421875</v>
      </c>
      <c r="M3682" s="371">
        <f t="shared" si="229"/>
        <v>16231.753554456047</v>
      </c>
      <c r="N3682" s="329">
        <f t="shared" si="230"/>
        <v>5886.05</v>
      </c>
      <c r="T3682" s="331">
        <v>0</v>
      </c>
      <c r="U3682" s="328">
        <f>VLOOKUP(C3682,METADATA!$J$5:$Q$29,IF(E3682="HI",2,IF(E3682="LO",6,10))+IF(T3682=1,2,IF(D3682=7,1,(IF(WEEKDAY(B3682)=1,2,IF(WEEKDAY(B3682)=7,1,0))))))</f>
        <v>2</v>
      </c>
      <c r="V3682" s="328">
        <f>VLOOKUP(C3682,METADATA!$A$5:$H$29,IF(E3682="HI",2,IF(E3682="LO",6,10))+IF(T3682=1,2,IF(D3682=7,1,(IF(WEEKDAY(B3682)=1,2,IF(WEEKDAY(B3682)=7,1,0))))))</f>
        <v>2</v>
      </c>
    </row>
    <row r="3683" spans="2:22">
      <c r="B3683" s="318">
        <f t="shared" si="231"/>
        <v>46266</v>
      </c>
      <c r="C3683" s="312">
        <v>7</v>
      </c>
      <c r="D3683" s="368">
        <f>IFERROR((INDEX(METADATA!$T$2:$T$20,MATCH(B3683,METADATA!$S$2:$S$20,0))),0)</f>
        <v>0</v>
      </c>
      <c r="E3683" s="312" t="str">
        <f t="shared" si="228"/>
        <v>LO</v>
      </c>
      <c r="F3683" s="369">
        <f>VLOOKUP(C3683,METADATA!$A$5:$H$29,IF(E3683="HI",2,IF(E3683="LO",6,10))+IF(D3683=1,2,IF(D3683=7,1,(IF(WEEKDAY(B3683)=1,2,IF(WEEKDAY(B3683)=7,1,0))))))</f>
        <v>1</v>
      </c>
      <c r="G3683" s="369">
        <f>VLOOKUP(C3683,METADATA!$J$5:$Q$29,IF(E3683="HI",2,IF(E3683="LO",6,10))+IF(D3683=1,2,IF(D3683=7,1,(IF(WEEKDAY(B3683)=1,2,IF(WEEKDAY(B3683)=7,1,0))))))</f>
        <v>1</v>
      </c>
      <c r="H3683" s="370">
        <v>12986.949584960938</v>
      </c>
      <c r="I3683" s="370">
        <v>9806.2001953125</v>
      </c>
      <c r="M3683" s="371">
        <f t="shared" si="229"/>
        <v>16273.365410782859</v>
      </c>
      <c r="N3683" s="329">
        <f t="shared" si="230"/>
        <v>5910.1153198242191</v>
      </c>
      <c r="T3683" s="331">
        <v>0</v>
      </c>
      <c r="U3683" s="328">
        <f>VLOOKUP(C3683,METADATA!$J$5:$Q$29,IF(E3683="HI",2,IF(E3683="LO",6,10))+IF(T3683=1,2,IF(D3683=7,1,(IF(WEEKDAY(B3683)=1,2,IF(WEEKDAY(B3683)=7,1,0))))))</f>
        <v>1</v>
      </c>
      <c r="V3683" s="328">
        <f>VLOOKUP(C3683,METADATA!$A$5:$H$29,IF(E3683="HI",2,IF(E3683="LO",6,10))+IF(T3683=1,2,IF(D3683=7,1,(IF(WEEKDAY(B3683)=1,2,IF(WEEKDAY(B3683)=7,1,0))))))</f>
        <v>1</v>
      </c>
    </row>
    <row r="3684" spans="2:22">
      <c r="B3684" s="318">
        <f t="shared" si="231"/>
        <v>46266</v>
      </c>
      <c r="C3684" s="312">
        <v>8</v>
      </c>
      <c r="D3684" s="368">
        <f>IFERROR((INDEX(METADATA!$T$2:$T$20,MATCH(B3684,METADATA!$S$2:$S$20,0))),0)</f>
        <v>0</v>
      </c>
      <c r="E3684" s="312" t="str">
        <f t="shared" si="228"/>
        <v>LO</v>
      </c>
      <c r="F3684" s="369">
        <f>VLOOKUP(C3684,METADATA!$A$5:$H$29,IF(E3684="HI",2,IF(E3684="LO",6,10))+IF(D3684=1,2,IF(D3684=7,1,(IF(WEEKDAY(B3684)=1,2,IF(WEEKDAY(B3684)=7,1,0))))))</f>
        <v>1</v>
      </c>
      <c r="G3684" s="369">
        <f>VLOOKUP(C3684,METADATA!$J$5:$Q$29,IF(E3684="HI",2,IF(E3684="LO",6,10))+IF(D3684=1,2,IF(D3684=7,1,(IF(WEEKDAY(B3684)=1,2,IF(WEEKDAY(B3684)=7,1,0))))))</f>
        <v>1</v>
      </c>
      <c r="H3684" s="370">
        <v>13255.67529296875</v>
      </c>
      <c r="I3684" s="370">
        <v>9912.8749389648438</v>
      </c>
      <c r="M3684" s="371">
        <f t="shared" si="229"/>
        <v>16552.281323980071</v>
      </c>
      <c r="N3684" s="329">
        <f t="shared" si="230"/>
        <v>5936.1723510742195</v>
      </c>
      <c r="T3684" s="331">
        <v>0</v>
      </c>
      <c r="U3684" s="328">
        <f>VLOOKUP(C3684,METADATA!$J$5:$Q$29,IF(E3684="HI",2,IF(E3684="LO",6,10))+IF(T3684=1,2,IF(D3684=7,1,(IF(WEEKDAY(B3684)=1,2,IF(WEEKDAY(B3684)=7,1,0))))))</f>
        <v>1</v>
      </c>
      <c r="V3684" s="328">
        <f>VLOOKUP(C3684,METADATA!$A$5:$H$29,IF(E3684="HI",2,IF(E3684="LO",6,10))+IF(T3684=1,2,IF(D3684=7,1,(IF(WEEKDAY(B3684)=1,2,IF(WEEKDAY(B3684)=7,1,0))))))</f>
        <v>1</v>
      </c>
    </row>
    <row r="3685" spans="2:22">
      <c r="B3685" s="318">
        <f t="shared" si="231"/>
        <v>46266</v>
      </c>
      <c r="C3685" s="312">
        <v>9</v>
      </c>
      <c r="D3685" s="368">
        <f>IFERROR((INDEX(METADATA!$T$2:$T$20,MATCH(B3685,METADATA!$S$2:$S$20,0))),0)</f>
        <v>0</v>
      </c>
      <c r="E3685" s="312" t="str">
        <f t="shared" si="228"/>
        <v>LO</v>
      </c>
      <c r="F3685" s="369">
        <f>VLOOKUP(C3685,METADATA!$A$5:$H$29,IF(E3685="HI",2,IF(E3685="LO",6,10))+IF(D3685=1,2,IF(D3685=7,1,(IF(WEEKDAY(B3685)=1,2,IF(WEEKDAY(B3685)=7,1,0))))))</f>
        <v>2</v>
      </c>
      <c r="G3685" s="369">
        <f>VLOOKUP(C3685,METADATA!$J$5:$Q$29,IF(E3685="HI",2,IF(E3685="LO",6,10))+IF(D3685=1,2,IF(D3685=7,1,(IF(WEEKDAY(B3685)=1,2,IF(WEEKDAY(B3685)=7,1,0))))))</f>
        <v>2</v>
      </c>
      <c r="H3685" s="370">
        <v>13059.60009765625</v>
      </c>
      <c r="I3685" s="370">
        <v>9657.8001098632813</v>
      </c>
      <c r="M3685" s="371">
        <f t="shared" si="229"/>
        <v>16242.729378795249</v>
      </c>
      <c r="N3685" s="329">
        <f t="shared" si="230"/>
        <v>5739.9200805664059</v>
      </c>
      <c r="T3685" s="331">
        <v>0</v>
      </c>
      <c r="U3685" s="328">
        <f>VLOOKUP(C3685,METADATA!$J$5:$Q$29,IF(E3685="HI",2,IF(E3685="LO",6,10))+IF(T3685=1,2,IF(D3685=7,1,(IF(WEEKDAY(B3685)=1,2,IF(WEEKDAY(B3685)=7,1,0))))))</f>
        <v>2</v>
      </c>
      <c r="V3685" s="328">
        <f>VLOOKUP(C3685,METADATA!$A$5:$H$29,IF(E3685="HI",2,IF(E3685="LO",6,10))+IF(T3685=1,2,IF(D3685=7,1,(IF(WEEKDAY(B3685)=1,2,IF(WEEKDAY(B3685)=7,1,0))))))</f>
        <v>2</v>
      </c>
    </row>
    <row r="3686" spans="2:22">
      <c r="B3686" s="318">
        <f t="shared" si="231"/>
        <v>46266</v>
      </c>
      <c r="C3686" s="312">
        <v>10</v>
      </c>
      <c r="D3686" s="368">
        <f>IFERROR((INDEX(METADATA!$T$2:$T$20,MATCH(B3686,METADATA!$S$2:$S$20,0))),0)</f>
        <v>0</v>
      </c>
      <c r="E3686" s="312" t="str">
        <f t="shared" si="228"/>
        <v>LO</v>
      </c>
      <c r="F3686" s="369">
        <f>VLOOKUP(C3686,METADATA!$A$5:$H$29,IF(E3686="HI",2,IF(E3686="LO",6,10))+IF(D3686=1,2,IF(D3686=7,1,(IF(WEEKDAY(B3686)=1,2,IF(WEEKDAY(B3686)=7,1,0))))))</f>
        <v>2</v>
      </c>
      <c r="G3686" s="369">
        <f>VLOOKUP(C3686,METADATA!$J$5:$Q$29,IF(E3686="HI",2,IF(E3686="LO",6,10))+IF(D3686=1,2,IF(D3686=7,1,(IF(WEEKDAY(B3686)=1,2,IF(WEEKDAY(B3686)=7,1,0))))))</f>
        <v>2</v>
      </c>
      <c r="H3686" s="370">
        <v>12395.375</v>
      </c>
      <c r="I3686" s="370">
        <v>3426.1349563598633</v>
      </c>
      <c r="M3686" s="371">
        <f t="shared" si="229"/>
        <v>12860.160268434292</v>
      </c>
      <c r="N3686" s="329">
        <f t="shared" si="230"/>
        <v>0</v>
      </c>
      <c r="T3686" s="331">
        <v>0</v>
      </c>
      <c r="U3686" s="328">
        <f>VLOOKUP(C3686,METADATA!$J$5:$Q$29,IF(E3686="HI",2,IF(E3686="LO",6,10))+IF(T3686=1,2,IF(D3686=7,1,(IF(WEEKDAY(B3686)=1,2,IF(WEEKDAY(B3686)=7,1,0))))))</f>
        <v>2</v>
      </c>
      <c r="V3686" s="328">
        <f>VLOOKUP(C3686,METADATA!$A$5:$H$29,IF(E3686="HI",2,IF(E3686="LO",6,10))+IF(T3686=1,2,IF(D3686=7,1,(IF(WEEKDAY(B3686)=1,2,IF(WEEKDAY(B3686)=7,1,0))))))</f>
        <v>2</v>
      </c>
    </row>
    <row r="3687" spans="2:22">
      <c r="B3687" s="318">
        <f t="shared" si="231"/>
        <v>46266</v>
      </c>
      <c r="C3687" s="312">
        <v>11</v>
      </c>
      <c r="D3687" s="368">
        <f>IFERROR((INDEX(METADATA!$T$2:$T$20,MATCH(B3687,METADATA!$S$2:$S$20,0))),0)</f>
        <v>0</v>
      </c>
      <c r="E3687" s="312" t="str">
        <f t="shared" si="228"/>
        <v>LO</v>
      </c>
      <c r="F3687" s="369">
        <f>VLOOKUP(C3687,METADATA!$A$5:$H$29,IF(E3687="HI",2,IF(E3687="LO",6,10))+IF(D3687=1,2,IF(D3687=7,1,(IF(WEEKDAY(B3687)=1,2,IF(WEEKDAY(B3687)=7,1,0))))))</f>
        <v>2</v>
      </c>
      <c r="G3687" s="369">
        <f>VLOOKUP(C3687,METADATA!$J$5:$Q$29,IF(E3687="HI",2,IF(E3687="LO",6,10))+IF(D3687=1,2,IF(D3687=7,1,(IF(WEEKDAY(B3687)=1,2,IF(WEEKDAY(B3687)=7,1,0))))))</f>
        <v>2</v>
      </c>
      <c r="H3687" s="370">
        <v>11506.199829101563</v>
      </c>
      <c r="I3687" s="370">
        <v>2848.2450408935547</v>
      </c>
      <c r="M3687" s="371">
        <f t="shared" si="229"/>
        <v>11853.486167376734</v>
      </c>
      <c r="N3687" s="329">
        <f t="shared" si="230"/>
        <v>0</v>
      </c>
      <c r="T3687" s="331">
        <v>0</v>
      </c>
      <c r="U3687" s="328">
        <f>VLOOKUP(C3687,METADATA!$J$5:$Q$29,IF(E3687="HI",2,IF(E3687="LO",6,10))+IF(T3687=1,2,IF(D3687=7,1,(IF(WEEKDAY(B3687)=1,2,IF(WEEKDAY(B3687)=7,1,0))))))</f>
        <v>2</v>
      </c>
      <c r="V3687" s="328">
        <f>VLOOKUP(C3687,METADATA!$A$5:$H$29,IF(E3687="HI",2,IF(E3687="LO",6,10))+IF(T3687=1,2,IF(D3687=7,1,(IF(WEEKDAY(B3687)=1,2,IF(WEEKDAY(B3687)=7,1,0))))))</f>
        <v>2</v>
      </c>
    </row>
    <row r="3688" spans="2:22">
      <c r="B3688" s="318">
        <f t="shared" si="231"/>
        <v>46266</v>
      </c>
      <c r="C3688" s="312">
        <v>12</v>
      </c>
      <c r="D3688" s="368">
        <f>IFERROR((INDEX(METADATA!$T$2:$T$20,MATCH(B3688,METADATA!$S$2:$S$20,0))),0)</f>
        <v>0</v>
      </c>
      <c r="E3688" s="312" t="str">
        <f t="shared" si="228"/>
        <v>LO</v>
      </c>
      <c r="F3688" s="369">
        <f>VLOOKUP(C3688,METADATA!$A$5:$H$29,IF(E3688="HI",2,IF(E3688="LO",6,10))+IF(D3688=1,2,IF(D3688=7,1,(IF(WEEKDAY(B3688)=1,2,IF(WEEKDAY(B3688)=7,1,0))))))</f>
        <v>2</v>
      </c>
      <c r="G3688" s="369">
        <f>VLOOKUP(C3688,METADATA!$J$5:$Q$29,IF(E3688="HI",2,IF(E3688="LO",6,10))+IF(D3688=1,2,IF(D3688=7,1,(IF(WEEKDAY(B3688)=1,2,IF(WEEKDAY(B3688)=7,1,0))))))</f>
        <v>2</v>
      </c>
      <c r="H3688" s="370">
        <v>10391.575012207031</v>
      </c>
      <c r="I3688" s="370">
        <v>2693.1450500488281</v>
      </c>
      <c r="M3688" s="371">
        <f t="shared" si="229"/>
        <v>10734.889915361407</v>
      </c>
      <c r="N3688" s="329">
        <f t="shared" si="230"/>
        <v>0</v>
      </c>
      <c r="T3688" s="331">
        <v>0</v>
      </c>
      <c r="U3688" s="328">
        <f>VLOOKUP(C3688,METADATA!$J$5:$Q$29,IF(E3688="HI",2,IF(E3688="LO",6,10))+IF(T3688=1,2,IF(D3688=7,1,(IF(WEEKDAY(B3688)=1,2,IF(WEEKDAY(B3688)=7,1,0))))))</f>
        <v>2</v>
      </c>
      <c r="V3688" s="328">
        <f>VLOOKUP(C3688,METADATA!$A$5:$H$29,IF(E3688="HI",2,IF(E3688="LO",6,10))+IF(T3688=1,2,IF(D3688=7,1,(IF(WEEKDAY(B3688)=1,2,IF(WEEKDAY(B3688)=7,1,0))))))</f>
        <v>2</v>
      </c>
    </row>
    <row r="3689" spans="2:22">
      <c r="B3689" s="318">
        <f t="shared" si="231"/>
        <v>46266</v>
      </c>
      <c r="C3689" s="312">
        <v>13</v>
      </c>
      <c r="D3689" s="368">
        <f>IFERROR((INDEX(METADATA!$T$2:$T$20,MATCH(B3689,METADATA!$S$2:$S$20,0))),0)</f>
        <v>0</v>
      </c>
      <c r="E3689" s="312" t="str">
        <f t="shared" si="228"/>
        <v>LO</v>
      </c>
      <c r="F3689" s="369">
        <f>VLOOKUP(C3689,METADATA!$A$5:$H$29,IF(E3689="HI",2,IF(E3689="LO",6,10))+IF(D3689=1,2,IF(D3689=7,1,(IF(WEEKDAY(B3689)=1,2,IF(WEEKDAY(B3689)=7,1,0))))))</f>
        <v>2</v>
      </c>
      <c r="G3689" s="369">
        <f>VLOOKUP(C3689,METADATA!$J$5:$Q$29,IF(E3689="HI",2,IF(E3689="LO",6,10))+IF(D3689=1,2,IF(D3689=7,1,(IF(WEEKDAY(B3689)=1,2,IF(WEEKDAY(B3689)=7,1,0))))))</f>
        <v>2</v>
      </c>
      <c r="H3689" s="370">
        <v>9730.85009765625</v>
      </c>
      <c r="I3689" s="370">
        <v>2830.6950011998415</v>
      </c>
      <c r="M3689" s="371">
        <f t="shared" si="229"/>
        <v>10134.213231073956</v>
      </c>
      <c r="N3689" s="329">
        <f t="shared" si="230"/>
        <v>0</v>
      </c>
      <c r="T3689" s="331">
        <v>0</v>
      </c>
      <c r="U3689" s="328">
        <f>VLOOKUP(C3689,METADATA!$J$5:$Q$29,IF(E3689="HI",2,IF(E3689="LO",6,10))+IF(T3689=1,2,IF(D3689=7,1,(IF(WEEKDAY(B3689)=1,2,IF(WEEKDAY(B3689)=7,1,0))))))</f>
        <v>2</v>
      </c>
      <c r="V3689" s="328">
        <f>VLOOKUP(C3689,METADATA!$A$5:$H$29,IF(E3689="HI",2,IF(E3689="LO",6,10))+IF(T3689=1,2,IF(D3689=7,1,(IF(WEEKDAY(B3689)=1,2,IF(WEEKDAY(B3689)=7,1,0))))))</f>
        <v>2</v>
      </c>
    </row>
    <row r="3690" spans="2:22">
      <c r="B3690" s="318">
        <f t="shared" si="231"/>
        <v>46266</v>
      </c>
      <c r="C3690" s="312">
        <v>14</v>
      </c>
      <c r="D3690" s="368">
        <f>IFERROR((INDEX(METADATA!$T$2:$T$20,MATCH(B3690,METADATA!$S$2:$S$20,0))),0)</f>
        <v>0</v>
      </c>
      <c r="E3690" s="312" t="str">
        <f t="shared" si="228"/>
        <v>LO</v>
      </c>
      <c r="F3690" s="369">
        <f>VLOOKUP(C3690,METADATA!$A$5:$H$29,IF(E3690="HI",2,IF(E3690="LO",6,10))+IF(D3690=1,2,IF(D3690=7,1,(IF(WEEKDAY(B3690)=1,2,IF(WEEKDAY(B3690)=7,1,0))))))</f>
        <v>2</v>
      </c>
      <c r="G3690" s="369">
        <f>VLOOKUP(C3690,METADATA!$J$5:$Q$29,IF(E3690="HI",2,IF(E3690="LO",6,10))+IF(D3690=1,2,IF(D3690=7,1,(IF(WEEKDAY(B3690)=1,2,IF(WEEKDAY(B3690)=7,1,0))))))</f>
        <v>2</v>
      </c>
      <c r="H3690" s="370">
        <v>12823.650146484375</v>
      </c>
      <c r="I3690" s="370">
        <v>4112.4499206542969</v>
      </c>
      <c r="M3690" s="371">
        <f t="shared" si="229"/>
        <v>13466.931626369767</v>
      </c>
      <c r="N3690" s="329">
        <f t="shared" si="230"/>
        <v>265.35487670898465</v>
      </c>
      <c r="T3690" s="331">
        <v>0</v>
      </c>
      <c r="U3690" s="328">
        <f>VLOOKUP(C3690,METADATA!$J$5:$Q$29,IF(E3690="HI",2,IF(E3690="LO",6,10))+IF(T3690=1,2,IF(D3690=7,1,(IF(WEEKDAY(B3690)=1,2,IF(WEEKDAY(B3690)=7,1,0))))))</f>
        <v>2</v>
      </c>
      <c r="V3690" s="328">
        <f>VLOOKUP(C3690,METADATA!$A$5:$H$29,IF(E3690="HI",2,IF(E3690="LO",6,10))+IF(T3690=1,2,IF(D3690=7,1,(IF(WEEKDAY(B3690)=1,2,IF(WEEKDAY(B3690)=7,1,0))))))</f>
        <v>2</v>
      </c>
    </row>
    <row r="3691" spans="2:22">
      <c r="B3691" s="318">
        <f t="shared" si="231"/>
        <v>46266</v>
      </c>
      <c r="C3691" s="312">
        <v>15</v>
      </c>
      <c r="D3691" s="368">
        <f>IFERROR((INDEX(METADATA!$T$2:$T$20,MATCH(B3691,METADATA!$S$2:$S$20,0))),0)</f>
        <v>0</v>
      </c>
      <c r="E3691" s="312" t="str">
        <f t="shared" si="228"/>
        <v>LO</v>
      </c>
      <c r="F3691" s="369">
        <f>VLOOKUP(C3691,METADATA!$A$5:$H$29,IF(E3691="HI",2,IF(E3691="LO",6,10))+IF(D3691=1,2,IF(D3691=7,1,(IF(WEEKDAY(B3691)=1,2,IF(WEEKDAY(B3691)=7,1,0))))))</f>
        <v>2</v>
      </c>
      <c r="G3691" s="369">
        <f>VLOOKUP(C3691,METADATA!$J$5:$Q$29,IF(E3691="HI",2,IF(E3691="LO",6,10))+IF(D3691=1,2,IF(D3691=7,1,(IF(WEEKDAY(B3691)=1,2,IF(WEEKDAY(B3691)=7,1,0))))))</f>
        <v>2</v>
      </c>
      <c r="H3691" s="370">
        <v>12756.124938964844</v>
      </c>
      <c r="I3691" s="370">
        <v>4120.8450317382813</v>
      </c>
      <c r="M3691" s="371">
        <f t="shared" si="229"/>
        <v>13405.226116484679</v>
      </c>
      <c r="N3691" s="329">
        <f t="shared" si="230"/>
        <v>294.00755004882831</v>
      </c>
      <c r="T3691" s="331">
        <v>0</v>
      </c>
      <c r="U3691" s="328">
        <f>VLOOKUP(C3691,METADATA!$J$5:$Q$29,IF(E3691="HI",2,IF(E3691="LO",6,10))+IF(T3691=1,2,IF(D3691=7,1,(IF(WEEKDAY(B3691)=1,2,IF(WEEKDAY(B3691)=7,1,0))))))</f>
        <v>2</v>
      </c>
      <c r="V3691" s="328">
        <f>VLOOKUP(C3691,METADATA!$A$5:$H$29,IF(E3691="HI",2,IF(E3691="LO",6,10))+IF(T3691=1,2,IF(D3691=7,1,(IF(WEEKDAY(B3691)=1,2,IF(WEEKDAY(B3691)=7,1,0))))))</f>
        <v>2</v>
      </c>
    </row>
    <row r="3692" spans="2:22">
      <c r="B3692" s="318">
        <f t="shared" si="231"/>
        <v>46266</v>
      </c>
      <c r="C3692" s="312">
        <v>16</v>
      </c>
      <c r="D3692" s="368">
        <f>IFERROR((INDEX(METADATA!$T$2:$T$20,MATCH(B3692,METADATA!$S$2:$S$20,0))),0)</f>
        <v>0</v>
      </c>
      <c r="E3692" s="312" t="str">
        <f t="shared" si="228"/>
        <v>LO</v>
      </c>
      <c r="F3692" s="369">
        <f>VLOOKUP(C3692,METADATA!$A$5:$H$29,IF(E3692="HI",2,IF(E3692="LO",6,10))+IF(D3692=1,2,IF(D3692=7,1,(IF(WEEKDAY(B3692)=1,2,IF(WEEKDAY(B3692)=7,1,0))))))</f>
        <v>2</v>
      </c>
      <c r="G3692" s="369">
        <f>VLOOKUP(C3692,METADATA!$J$5:$Q$29,IF(E3692="HI",2,IF(E3692="LO",6,10))+IF(D3692=1,2,IF(D3692=7,1,(IF(WEEKDAY(B3692)=1,2,IF(WEEKDAY(B3692)=7,1,0))))))</f>
        <v>2</v>
      </c>
      <c r="H3692" s="370">
        <v>12779.700012207031</v>
      </c>
      <c r="I3692" s="370">
        <v>4006.8350524902344</v>
      </c>
      <c r="M3692" s="371">
        <f t="shared" si="229"/>
        <v>13393.112391817998</v>
      </c>
      <c r="N3692" s="329">
        <f t="shared" si="230"/>
        <v>172.925048828125</v>
      </c>
      <c r="T3692" s="331">
        <v>0</v>
      </c>
      <c r="U3692" s="328">
        <f>VLOOKUP(C3692,METADATA!$J$5:$Q$29,IF(E3692="HI",2,IF(E3692="LO",6,10))+IF(T3692=1,2,IF(D3692=7,1,(IF(WEEKDAY(B3692)=1,2,IF(WEEKDAY(B3692)=7,1,0))))))</f>
        <v>2</v>
      </c>
      <c r="V3692" s="328">
        <f>VLOOKUP(C3692,METADATA!$A$5:$H$29,IF(E3692="HI",2,IF(E3692="LO",6,10))+IF(T3692=1,2,IF(D3692=7,1,(IF(WEEKDAY(B3692)=1,2,IF(WEEKDAY(B3692)=7,1,0))))))</f>
        <v>2</v>
      </c>
    </row>
    <row r="3693" spans="2:22">
      <c r="B3693" s="318">
        <f t="shared" si="231"/>
        <v>46266</v>
      </c>
      <c r="C3693" s="312">
        <v>17</v>
      </c>
      <c r="D3693" s="368">
        <f>IFERROR((INDEX(METADATA!$T$2:$T$20,MATCH(B3693,METADATA!$S$2:$S$20,0))),0)</f>
        <v>0</v>
      </c>
      <c r="E3693" s="312" t="str">
        <f t="shared" si="228"/>
        <v>LO</v>
      </c>
      <c r="F3693" s="369">
        <f>VLOOKUP(C3693,METADATA!$A$5:$H$29,IF(E3693="HI",2,IF(E3693="LO",6,10))+IF(D3693=1,2,IF(D3693=7,1,(IF(WEEKDAY(B3693)=1,2,IF(WEEKDAY(B3693)=7,1,0))))))</f>
        <v>2</v>
      </c>
      <c r="G3693" s="369">
        <f>VLOOKUP(C3693,METADATA!$J$5:$Q$29,IF(E3693="HI",2,IF(E3693="LO",6,10))+IF(D3693=1,2,IF(D3693=7,1,(IF(WEEKDAY(B3693)=1,2,IF(WEEKDAY(B3693)=7,1,0))))))</f>
        <v>2</v>
      </c>
      <c r="H3693" s="370">
        <v>12717.900207519531</v>
      </c>
      <c r="I3693" s="370">
        <v>3987.6850280761719</v>
      </c>
      <c r="M3693" s="371">
        <f t="shared" si="229"/>
        <v>13328.41391807623</v>
      </c>
      <c r="N3693" s="329">
        <f t="shared" si="230"/>
        <v>172.31496582031286</v>
      </c>
      <c r="T3693" s="331">
        <v>0</v>
      </c>
      <c r="U3693" s="328">
        <f>VLOOKUP(C3693,METADATA!$J$5:$Q$29,IF(E3693="HI",2,IF(E3693="LO",6,10))+IF(T3693=1,2,IF(D3693=7,1,(IF(WEEKDAY(B3693)=1,2,IF(WEEKDAY(B3693)=7,1,0))))))</f>
        <v>2</v>
      </c>
      <c r="V3693" s="328">
        <f>VLOOKUP(C3693,METADATA!$A$5:$H$29,IF(E3693="HI",2,IF(E3693="LO",6,10))+IF(T3693=1,2,IF(D3693=7,1,(IF(WEEKDAY(B3693)=1,2,IF(WEEKDAY(B3693)=7,1,0))))))</f>
        <v>2</v>
      </c>
    </row>
    <row r="3694" spans="2:22">
      <c r="B3694" s="318">
        <f t="shared" si="231"/>
        <v>46266</v>
      </c>
      <c r="C3694" s="312">
        <v>18</v>
      </c>
      <c r="D3694" s="368">
        <f>IFERROR((INDEX(METADATA!$T$2:$T$20,MATCH(B3694,METADATA!$S$2:$S$20,0))),0)</f>
        <v>0</v>
      </c>
      <c r="E3694" s="312" t="str">
        <f t="shared" si="228"/>
        <v>LO</v>
      </c>
      <c r="F3694" s="369">
        <f>VLOOKUP(C3694,METADATA!$A$5:$H$29,IF(E3694="HI",2,IF(E3694="LO",6,10))+IF(D3694=1,2,IF(D3694=7,1,(IF(WEEKDAY(B3694)=1,2,IF(WEEKDAY(B3694)=7,1,0))))))</f>
        <v>1</v>
      </c>
      <c r="G3694" s="369">
        <f>VLOOKUP(C3694,METADATA!$J$5:$Q$29,IF(E3694="HI",2,IF(E3694="LO",6,10))+IF(D3694=1,2,IF(D3694=7,1,(IF(WEEKDAY(B3694)=1,2,IF(WEEKDAY(B3694)=7,1,0))))))</f>
        <v>1</v>
      </c>
      <c r="H3694" s="370">
        <v>12483.249755859375</v>
      </c>
      <c r="I3694" s="370">
        <v>3765.2174682617188</v>
      </c>
      <c r="M3694" s="371">
        <f t="shared" si="229"/>
        <v>13038.726435141829</v>
      </c>
      <c r="N3694" s="329">
        <f t="shared" si="230"/>
        <v>20.242541503906523</v>
      </c>
      <c r="T3694" s="331">
        <v>0</v>
      </c>
      <c r="U3694" s="328">
        <f>VLOOKUP(C3694,METADATA!$J$5:$Q$29,IF(E3694="HI",2,IF(E3694="LO",6,10))+IF(T3694=1,2,IF(D3694=7,1,(IF(WEEKDAY(B3694)=1,2,IF(WEEKDAY(B3694)=7,1,0))))))</f>
        <v>1</v>
      </c>
      <c r="V3694" s="328">
        <f>VLOOKUP(C3694,METADATA!$A$5:$H$29,IF(E3694="HI",2,IF(E3694="LO",6,10))+IF(T3694=1,2,IF(D3694=7,1,(IF(WEEKDAY(B3694)=1,2,IF(WEEKDAY(B3694)=7,1,0))))))</f>
        <v>1</v>
      </c>
    </row>
    <row r="3695" spans="2:22">
      <c r="B3695" s="318">
        <f t="shared" si="231"/>
        <v>46266</v>
      </c>
      <c r="C3695" s="312">
        <v>19</v>
      </c>
      <c r="D3695" s="368">
        <f>IFERROR((INDEX(METADATA!$T$2:$T$20,MATCH(B3695,METADATA!$S$2:$S$20,0))),0)</f>
        <v>0</v>
      </c>
      <c r="E3695" s="312" t="str">
        <f t="shared" si="228"/>
        <v>LO</v>
      </c>
      <c r="F3695" s="369">
        <f>VLOOKUP(C3695,METADATA!$A$5:$H$29,IF(E3695="HI",2,IF(E3695="LO",6,10))+IF(D3695=1,2,IF(D3695=7,1,(IF(WEEKDAY(B3695)=1,2,IF(WEEKDAY(B3695)=7,1,0))))))</f>
        <v>1</v>
      </c>
      <c r="G3695" s="369">
        <f>VLOOKUP(C3695,METADATA!$J$5:$Q$29,IF(E3695="HI",2,IF(E3695="LO",6,10))+IF(D3695=1,2,IF(D3695=7,1,(IF(WEEKDAY(B3695)=1,2,IF(WEEKDAY(B3695)=7,1,0))))))</f>
        <v>1</v>
      </c>
      <c r="H3695" s="370">
        <v>13369.299926757813</v>
      </c>
      <c r="I3695" s="370">
        <v>4195.8500061035156</v>
      </c>
      <c r="M3695" s="371">
        <f t="shared" si="229"/>
        <v>14012.256699237469</v>
      </c>
      <c r="N3695" s="329">
        <f t="shared" si="230"/>
        <v>185.06002807617188</v>
      </c>
      <c r="T3695" s="331">
        <v>0</v>
      </c>
      <c r="U3695" s="328">
        <f>VLOOKUP(C3695,METADATA!$J$5:$Q$29,IF(E3695="HI",2,IF(E3695="LO",6,10))+IF(T3695=1,2,IF(D3695=7,1,(IF(WEEKDAY(B3695)=1,2,IF(WEEKDAY(B3695)=7,1,0))))))</f>
        <v>1</v>
      </c>
      <c r="V3695" s="328">
        <f>VLOOKUP(C3695,METADATA!$A$5:$H$29,IF(E3695="HI",2,IF(E3695="LO",6,10))+IF(T3695=1,2,IF(D3695=7,1,(IF(WEEKDAY(B3695)=1,2,IF(WEEKDAY(B3695)=7,1,0))))))</f>
        <v>1</v>
      </c>
    </row>
    <row r="3696" spans="2:22">
      <c r="B3696" s="318">
        <f t="shared" si="231"/>
        <v>46266</v>
      </c>
      <c r="C3696" s="312">
        <v>20</v>
      </c>
      <c r="D3696" s="368">
        <f>IFERROR((INDEX(METADATA!$T$2:$T$20,MATCH(B3696,METADATA!$S$2:$S$20,0))),0)</f>
        <v>0</v>
      </c>
      <c r="E3696" s="312" t="str">
        <f t="shared" si="228"/>
        <v>LO</v>
      </c>
      <c r="F3696" s="369">
        <f>VLOOKUP(C3696,METADATA!$A$5:$H$29,IF(E3696="HI",2,IF(E3696="LO",6,10))+IF(D3696=1,2,IF(D3696=7,1,(IF(WEEKDAY(B3696)=1,2,IF(WEEKDAY(B3696)=7,1,0))))))</f>
        <v>1</v>
      </c>
      <c r="G3696" s="369">
        <f>VLOOKUP(C3696,METADATA!$J$5:$Q$29,IF(E3696="HI",2,IF(E3696="LO",6,10))+IF(D3696=1,2,IF(D3696=7,1,(IF(WEEKDAY(B3696)=1,2,IF(WEEKDAY(B3696)=7,1,0))))))</f>
        <v>1</v>
      </c>
      <c r="H3696" s="370">
        <v>13405.250061035156</v>
      </c>
      <c r="I3696" s="370">
        <v>4245.68505859375</v>
      </c>
      <c r="M3696" s="371">
        <f t="shared" si="229"/>
        <v>14061.528039855742</v>
      </c>
      <c r="N3696" s="329">
        <f t="shared" si="230"/>
        <v>224.11004028320349</v>
      </c>
      <c r="T3696" s="331">
        <v>0</v>
      </c>
      <c r="U3696" s="328">
        <f>VLOOKUP(C3696,METADATA!$J$5:$Q$29,IF(E3696="HI",2,IF(E3696="LO",6,10))+IF(T3696=1,2,IF(D3696=7,1,(IF(WEEKDAY(B3696)=1,2,IF(WEEKDAY(B3696)=7,1,0))))))</f>
        <v>1</v>
      </c>
      <c r="V3696" s="328">
        <f>VLOOKUP(C3696,METADATA!$A$5:$H$29,IF(E3696="HI",2,IF(E3696="LO",6,10))+IF(T3696=1,2,IF(D3696=7,1,(IF(WEEKDAY(B3696)=1,2,IF(WEEKDAY(B3696)=7,1,0))))))</f>
        <v>1</v>
      </c>
    </row>
    <row r="3697" spans="2:22">
      <c r="B3697" s="318">
        <f t="shared" si="231"/>
        <v>46266</v>
      </c>
      <c r="C3697" s="312">
        <v>21</v>
      </c>
      <c r="D3697" s="368">
        <f>IFERROR((INDEX(METADATA!$T$2:$T$20,MATCH(B3697,METADATA!$S$2:$S$20,0))),0)</f>
        <v>0</v>
      </c>
      <c r="E3697" s="312" t="str">
        <f t="shared" si="228"/>
        <v>LO</v>
      </c>
      <c r="F3697" s="369">
        <f>VLOOKUP(C3697,METADATA!$A$5:$H$29,IF(E3697="HI",2,IF(E3697="LO",6,10))+IF(D3697=1,2,IF(D3697=7,1,(IF(WEEKDAY(B3697)=1,2,IF(WEEKDAY(B3697)=7,1,0))))))</f>
        <v>2</v>
      </c>
      <c r="G3697" s="369">
        <f>VLOOKUP(C3697,METADATA!$J$5:$Q$29,IF(E3697="HI",2,IF(E3697="LO",6,10))+IF(D3697=1,2,IF(D3697=7,1,(IF(WEEKDAY(B3697)=1,2,IF(WEEKDAY(B3697)=7,1,0))))))</f>
        <v>2</v>
      </c>
      <c r="H3697" s="370">
        <v>13675.150024414063</v>
      </c>
      <c r="I3697" s="370">
        <v>4445.7999877929688</v>
      </c>
      <c r="M3697" s="371">
        <f t="shared" si="229"/>
        <v>14379.668484415482</v>
      </c>
      <c r="N3697" s="329">
        <f t="shared" si="230"/>
        <v>343.25498046875055</v>
      </c>
      <c r="T3697" s="331">
        <v>0</v>
      </c>
      <c r="U3697" s="328">
        <f>VLOOKUP(C3697,METADATA!$J$5:$Q$29,IF(E3697="HI",2,IF(E3697="LO",6,10))+IF(T3697=1,2,IF(D3697=7,1,(IF(WEEKDAY(B3697)=1,2,IF(WEEKDAY(B3697)=7,1,0))))))</f>
        <v>2</v>
      </c>
      <c r="V3697" s="328">
        <f>VLOOKUP(C3697,METADATA!$A$5:$H$29,IF(E3697="HI",2,IF(E3697="LO",6,10))+IF(T3697=1,2,IF(D3697=7,1,(IF(WEEKDAY(B3697)=1,2,IF(WEEKDAY(B3697)=7,1,0))))))</f>
        <v>2</v>
      </c>
    </row>
    <row r="3698" spans="2:22">
      <c r="B3698" s="318">
        <f t="shared" si="231"/>
        <v>46266</v>
      </c>
      <c r="C3698" s="312">
        <v>22</v>
      </c>
      <c r="D3698" s="368">
        <f>IFERROR((INDEX(METADATA!$T$2:$T$20,MATCH(B3698,METADATA!$S$2:$S$20,0))),0)</f>
        <v>0</v>
      </c>
      <c r="E3698" s="312" t="str">
        <f t="shared" si="228"/>
        <v>LO</v>
      </c>
      <c r="F3698" s="369">
        <f>VLOOKUP(C3698,METADATA!$A$5:$H$29,IF(E3698="HI",2,IF(E3698="LO",6,10))+IF(D3698=1,2,IF(D3698=7,1,(IF(WEEKDAY(B3698)=1,2,IF(WEEKDAY(B3698)=7,1,0))))))</f>
        <v>3</v>
      </c>
      <c r="G3698" s="369">
        <f>VLOOKUP(C3698,METADATA!$J$5:$Q$29,IF(E3698="HI",2,IF(E3698="LO",6,10))+IF(D3698=1,2,IF(D3698=7,1,(IF(WEEKDAY(B3698)=1,2,IF(WEEKDAY(B3698)=7,1,0))))))</f>
        <v>3</v>
      </c>
      <c r="H3698" s="370">
        <v>13557.199890136719</v>
      </c>
      <c r="I3698" s="370">
        <v>4435.1750183105469</v>
      </c>
      <c r="M3698" s="371">
        <f t="shared" si="229"/>
        <v>14264.236618346213</v>
      </c>
      <c r="N3698" s="329">
        <f t="shared" si="230"/>
        <v>368.01505126953134</v>
      </c>
      <c r="T3698" s="331">
        <v>0</v>
      </c>
      <c r="U3698" s="328">
        <f>VLOOKUP(C3698,METADATA!$J$5:$Q$29,IF(E3698="HI",2,IF(E3698="LO",6,10))+IF(T3698=1,2,IF(D3698=7,1,(IF(WEEKDAY(B3698)=1,2,IF(WEEKDAY(B3698)=7,1,0))))))</f>
        <v>3</v>
      </c>
      <c r="V3698" s="328">
        <f>VLOOKUP(C3698,METADATA!$A$5:$H$29,IF(E3698="HI",2,IF(E3698="LO",6,10))+IF(T3698=1,2,IF(D3698=7,1,(IF(WEEKDAY(B3698)=1,2,IF(WEEKDAY(B3698)=7,1,0))))))</f>
        <v>3</v>
      </c>
    </row>
    <row r="3699" spans="2:22">
      <c r="B3699" s="318">
        <f t="shared" si="231"/>
        <v>46266</v>
      </c>
      <c r="C3699" s="312">
        <v>23</v>
      </c>
      <c r="D3699" s="368">
        <f>IFERROR((INDEX(METADATA!$T$2:$T$20,MATCH(B3699,METADATA!$S$2:$S$20,0))),0)</f>
        <v>0</v>
      </c>
      <c r="E3699" s="312" t="str">
        <f t="shared" si="228"/>
        <v>LO</v>
      </c>
      <c r="F3699" s="369">
        <f>VLOOKUP(C3699,METADATA!$A$5:$H$29,IF(E3699="HI",2,IF(E3699="LO",6,10))+IF(D3699=1,2,IF(D3699=7,1,(IF(WEEKDAY(B3699)=1,2,IF(WEEKDAY(B3699)=7,1,0))))))</f>
        <v>3</v>
      </c>
      <c r="G3699" s="369">
        <f>VLOOKUP(C3699,METADATA!$J$5:$Q$29,IF(E3699="HI",2,IF(E3699="LO",6,10))+IF(D3699=1,2,IF(D3699=7,1,(IF(WEEKDAY(B3699)=1,2,IF(WEEKDAY(B3699)=7,1,0))))))</f>
        <v>3</v>
      </c>
      <c r="H3699" s="370">
        <v>13463.825378417969</v>
      </c>
      <c r="I3699" s="370">
        <v>4568.5399475097656</v>
      </c>
      <c r="M3699" s="371">
        <f t="shared" si="229"/>
        <v>14217.811050668955</v>
      </c>
      <c r="N3699" s="329">
        <f t="shared" si="230"/>
        <v>529.392333984375</v>
      </c>
      <c r="T3699" s="331">
        <v>0</v>
      </c>
      <c r="U3699" s="328">
        <f>VLOOKUP(C3699,METADATA!$J$5:$Q$29,IF(E3699="HI",2,IF(E3699="LO",6,10))+IF(T3699=1,2,IF(D3699=7,1,(IF(WEEKDAY(B3699)=1,2,IF(WEEKDAY(B3699)=7,1,0))))))</f>
        <v>3</v>
      </c>
      <c r="V3699" s="328">
        <f>VLOOKUP(C3699,METADATA!$A$5:$H$29,IF(E3699="HI",2,IF(E3699="LO",6,10))+IF(T3699=1,2,IF(D3699=7,1,(IF(WEEKDAY(B3699)=1,2,IF(WEEKDAY(B3699)=7,1,0))))))</f>
        <v>3</v>
      </c>
    </row>
    <row r="3700" spans="2:22">
      <c r="B3700" s="318">
        <f t="shared" si="231"/>
        <v>46267</v>
      </c>
      <c r="C3700" s="312">
        <v>0</v>
      </c>
      <c r="D3700" s="368">
        <f>IFERROR((INDEX(METADATA!$T$2:$T$20,MATCH(B3700,METADATA!$S$2:$S$20,0))),0)</f>
        <v>0</v>
      </c>
      <c r="E3700" s="312" t="str">
        <f t="shared" si="228"/>
        <v>LO</v>
      </c>
      <c r="F3700" s="369">
        <f>VLOOKUP(C3700,METADATA!$A$5:$H$29,IF(E3700="HI",2,IF(E3700="LO",6,10))+IF(D3700=1,2,IF(D3700=7,1,(IF(WEEKDAY(B3700)=1,2,IF(WEEKDAY(B3700)=7,1,0))))))</f>
        <v>3</v>
      </c>
      <c r="G3700" s="369">
        <f>VLOOKUP(C3700,METADATA!$J$5:$Q$29,IF(E3700="HI",2,IF(E3700="LO",6,10))+IF(D3700=1,2,IF(D3700=7,1,(IF(WEEKDAY(B3700)=1,2,IF(WEEKDAY(B3700)=7,1,0))))))</f>
        <v>3</v>
      </c>
      <c r="H3700" s="370">
        <v>13199.875244140625</v>
      </c>
      <c r="I3700" s="370">
        <v>4349</v>
      </c>
      <c r="M3700" s="371">
        <f t="shared" si="229"/>
        <v>13897.859815844904</v>
      </c>
      <c r="N3700" s="329">
        <f t="shared" si="230"/>
        <v>389.03742675781268</v>
      </c>
      <c r="T3700" s="331">
        <v>0</v>
      </c>
      <c r="U3700" s="328">
        <f>VLOOKUP(C3700,METADATA!$J$5:$Q$29,IF(E3700="HI",2,IF(E3700="LO",6,10))+IF(T3700=1,2,IF(D3700=7,1,(IF(WEEKDAY(B3700)=1,2,IF(WEEKDAY(B3700)=7,1,0))))))</f>
        <v>3</v>
      </c>
      <c r="V3700" s="328">
        <f>VLOOKUP(C3700,METADATA!$A$5:$H$29,IF(E3700="HI",2,IF(E3700="LO",6,10))+IF(T3700=1,2,IF(D3700=7,1,(IF(WEEKDAY(B3700)=1,2,IF(WEEKDAY(B3700)=7,1,0))))))</f>
        <v>3</v>
      </c>
    </row>
    <row r="3701" spans="2:22">
      <c r="B3701" s="318">
        <f t="shared" si="231"/>
        <v>46267</v>
      </c>
      <c r="C3701" s="312">
        <v>1</v>
      </c>
      <c r="D3701" s="368">
        <f>IFERROR((INDEX(METADATA!$T$2:$T$20,MATCH(B3701,METADATA!$S$2:$S$20,0))),0)</f>
        <v>0</v>
      </c>
      <c r="E3701" s="312" t="str">
        <f t="shared" si="228"/>
        <v>LO</v>
      </c>
      <c r="F3701" s="369">
        <f>VLOOKUP(C3701,METADATA!$A$5:$H$29,IF(E3701="HI",2,IF(E3701="LO",6,10))+IF(D3701=1,2,IF(D3701=7,1,(IF(WEEKDAY(B3701)=1,2,IF(WEEKDAY(B3701)=7,1,0))))))</f>
        <v>3</v>
      </c>
      <c r="G3701" s="369">
        <f>VLOOKUP(C3701,METADATA!$J$5:$Q$29,IF(E3701="HI",2,IF(E3701="LO",6,10))+IF(D3701=1,2,IF(D3701=7,1,(IF(WEEKDAY(B3701)=1,2,IF(WEEKDAY(B3701)=7,1,0))))))</f>
        <v>3</v>
      </c>
      <c r="H3701" s="370">
        <v>12798.332641601563</v>
      </c>
      <c r="I3701" s="370">
        <v>4179.880126953125</v>
      </c>
      <c r="M3701" s="371">
        <f t="shared" si="229"/>
        <v>13463.60710511049</v>
      </c>
      <c r="N3701" s="329">
        <f t="shared" si="230"/>
        <v>340.38033447265661</v>
      </c>
      <c r="T3701" s="331">
        <v>0</v>
      </c>
      <c r="U3701" s="328">
        <f>VLOOKUP(C3701,METADATA!$J$5:$Q$29,IF(E3701="HI",2,IF(E3701="LO",6,10))+IF(T3701=1,2,IF(D3701=7,1,(IF(WEEKDAY(B3701)=1,2,IF(WEEKDAY(B3701)=7,1,0))))))</f>
        <v>3</v>
      </c>
      <c r="V3701" s="328">
        <f>VLOOKUP(C3701,METADATA!$A$5:$H$29,IF(E3701="HI",2,IF(E3701="LO",6,10))+IF(T3701=1,2,IF(D3701=7,1,(IF(WEEKDAY(B3701)=1,2,IF(WEEKDAY(B3701)=7,1,0))))))</f>
        <v>3</v>
      </c>
    </row>
    <row r="3702" spans="2:22">
      <c r="B3702" s="318">
        <f t="shared" si="231"/>
        <v>46267</v>
      </c>
      <c r="C3702" s="312">
        <v>2</v>
      </c>
      <c r="D3702" s="368">
        <f>IFERROR((INDEX(METADATA!$T$2:$T$20,MATCH(B3702,METADATA!$S$2:$S$20,0))),0)</f>
        <v>0</v>
      </c>
      <c r="E3702" s="312" t="str">
        <f t="shared" si="228"/>
        <v>LO</v>
      </c>
      <c r="F3702" s="369">
        <f>VLOOKUP(C3702,METADATA!$A$5:$H$29,IF(E3702="HI",2,IF(E3702="LO",6,10))+IF(D3702=1,2,IF(D3702=7,1,(IF(WEEKDAY(B3702)=1,2,IF(WEEKDAY(B3702)=7,1,0))))))</f>
        <v>3</v>
      </c>
      <c r="G3702" s="369">
        <f>VLOOKUP(C3702,METADATA!$J$5:$Q$29,IF(E3702="HI",2,IF(E3702="LO",6,10))+IF(D3702=1,2,IF(D3702=7,1,(IF(WEEKDAY(B3702)=1,2,IF(WEEKDAY(B3702)=7,1,0))))))</f>
        <v>3</v>
      </c>
      <c r="H3702" s="370">
        <v>6828.5774536132813</v>
      </c>
      <c r="I3702" s="370">
        <v>2091.7900133132935</v>
      </c>
      <c r="M3702" s="371">
        <f t="shared" si="229"/>
        <v>7141.7823755553391</v>
      </c>
      <c r="N3702" s="329">
        <f t="shared" si="230"/>
        <v>43.216777229309173</v>
      </c>
      <c r="T3702" s="331">
        <v>0</v>
      </c>
      <c r="U3702" s="328">
        <f>VLOOKUP(C3702,METADATA!$J$5:$Q$29,IF(E3702="HI",2,IF(E3702="LO",6,10))+IF(T3702=1,2,IF(D3702=7,1,(IF(WEEKDAY(B3702)=1,2,IF(WEEKDAY(B3702)=7,1,0))))))</f>
        <v>3</v>
      </c>
      <c r="V3702" s="328">
        <f>VLOOKUP(C3702,METADATA!$A$5:$H$29,IF(E3702="HI",2,IF(E3702="LO",6,10))+IF(T3702=1,2,IF(D3702=7,1,(IF(WEEKDAY(B3702)=1,2,IF(WEEKDAY(B3702)=7,1,0))))))</f>
        <v>3</v>
      </c>
    </row>
    <row r="3703" spans="2:22">
      <c r="B3703" s="318">
        <f t="shared" si="231"/>
        <v>46267</v>
      </c>
      <c r="C3703" s="312">
        <v>3</v>
      </c>
      <c r="D3703" s="368">
        <f>IFERROR((INDEX(METADATA!$T$2:$T$20,MATCH(B3703,METADATA!$S$2:$S$20,0))),0)</f>
        <v>0</v>
      </c>
      <c r="E3703" s="312" t="str">
        <f t="shared" si="228"/>
        <v>LO</v>
      </c>
      <c r="F3703" s="369">
        <f>VLOOKUP(C3703,METADATA!$A$5:$H$29,IF(E3703="HI",2,IF(E3703="LO",6,10))+IF(D3703=1,2,IF(D3703=7,1,(IF(WEEKDAY(B3703)=1,2,IF(WEEKDAY(B3703)=7,1,0))))))</f>
        <v>3</v>
      </c>
      <c r="G3703" s="369">
        <f>VLOOKUP(C3703,METADATA!$J$5:$Q$29,IF(E3703="HI",2,IF(E3703="LO",6,10))+IF(D3703=1,2,IF(D3703=7,1,(IF(WEEKDAY(B3703)=1,2,IF(WEEKDAY(B3703)=7,1,0))))))</f>
        <v>3</v>
      </c>
      <c r="H3703" s="370">
        <v>5267.4450378417969</v>
      </c>
      <c r="I3703" s="370">
        <v>1414.2999572753906</v>
      </c>
      <c r="M3703" s="371">
        <f t="shared" si="229"/>
        <v>5454.0096805775238</v>
      </c>
      <c r="N3703" s="329">
        <f t="shared" si="230"/>
        <v>0</v>
      </c>
      <c r="T3703" s="331">
        <v>0</v>
      </c>
      <c r="U3703" s="328">
        <f>VLOOKUP(C3703,METADATA!$J$5:$Q$29,IF(E3703="HI",2,IF(E3703="LO",6,10))+IF(T3703=1,2,IF(D3703=7,1,(IF(WEEKDAY(B3703)=1,2,IF(WEEKDAY(B3703)=7,1,0))))))</f>
        <v>3</v>
      </c>
      <c r="V3703" s="328">
        <f>VLOOKUP(C3703,METADATA!$A$5:$H$29,IF(E3703="HI",2,IF(E3703="LO",6,10))+IF(T3703=1,2,IF(D3703=7,1,(IF(WEEKDAY(B3703)=1,2,IF(WEEKDAY(B3703)=7,1,0))))))</f>
        <v>3</v>
      </c>
    </row>
    <row r="3704" spans="2:22">
      <c r="B3704" s="318">
        <f t="shared" si="231"/>
        <v>46267</v>
      </c>
      <c r="C3704" s="312">
        <v>4</v>
      </c>
      <c r="D3704" s="368">
        <f>IFERROR((INDEX(METADATA!$T$2:$T$20,MATCH(B3704,METADATA!$S$2:$S$20,0))),0)</f>
        <v>0</v>
      </c>
      <c r="E3704" s="312" t="str">
        <f t="shared" si="228"/>
        <v>LO</v>
      </c>
      <c r="F3704" s="369">
        <f>VLOOKUP(C3704,METADATA!$A$5:$H$29,IF(E3704="HI",2,IF(E3704="LO",6,10))+IF(D3704=1,2,IF(D3704=7,1,(IF(WEEKDAY(B3704)=1,2,IF(WEEKDAY(B3704)=7,1,0))))))</f>
        <v>3</v>
      </c>
      <c r="G3704" s="369">
        <f>VLOOKUP(C3704,METADATA!$J$5:$Q$29,IF(E3704="HI",2,IF(E3704="LO",6,10))+IF(D3704=1,2,IF(D3704=7,1,(IF(WEEKDAY(B3704)=1,2,IF(WEEKDAY(B3704)=7,1,0))))))</f>
        <v>3</v>
      </c>
      <c r="H3704" s="370">
        <v>5205.2425842285156</v>
      </c>
      <c r="I3704" s="370">
        <v>1366.4149780273438</v>
      </c>
      <c r="M3704" s="371">
        <f t="shared" si="229"/>
        <v>5381.6020154637426</v>
      </c>
      <c r="N3704" s="329">
        <f t="shared" si="230"/>
        <v>0</v>
      </c>
      <c r="T3704" s="331">
        <v>0</v>
      </c>
      <c r="U3704" s="328">
        <f>VLOOKUP(C3704,METADATA!$J$5:$Q$29,IF(E3704="HI",2,IF(E3704="LO",6,10))+IF(T3704=1,2,IF(D3704=7,1,(IF(WEEKDAY(B3704)=1,2,IF(WEEKDAY(B3704)=7,1,0))))))</f>
        <v>3</v>
      </c>
      <c r="V3704" s="328">
        <f>VLOOKUP(C3704,METADATA!$A$5:$H$29,IF(E3704="HI",2,IF(E3704="LO",6,10))+IF(T3704=1,2,IF(D3704=7,1,(IF(WEEKDAY(B3704)=1,2,IF(WEEKDAY(B3704)=7,1,0))))))</f>
        <v>3</v>
      </c>
    </row>
    <row r="3705" spans="2:22">
      <c r="B3705" s="318">
        <f t="shared" si="231"/>
        <v>46267</v>
      </c>
      <c r="C3705" s="312">
        <v>5</v>
      </c>
      <c r="D3705" s="368">
        <f>IFERROR((INDEX(METADATA!$T$2:$T$20,MATCH(B3705,METADATA!$S$2:$S$20,0))),0)</f>
        <v>0</v>
      </c>
      <c r="E3705" s="312" t="str">
        <f t="shared" si="228"/>
        <v>LO</v>
      </c>
      <c r="F3705" s="369">
        <f>VLOOKUP(C3705,METADATA!$A$5:$H$29,IF(E3705="HI",2,IF(E3705="LO",6,10))+IF(D3705=1,2,IF(D3705=7,1,(IF(WEEKDAY(B3705)=1,2,IF(WEEKDAY(B3705)=7,1,0))))))</f>
        <v>3</v>
      </c>
      <c r="G3705" s="369">
        <f>VLOOKUP(C3705,METADATA!$J$5:$Q$29,IF(E3705="HI",2,IF(E3705="LO",6,10))+IF(D3705=1,2,IF(D3705=7,1,(IF(WEEKDAY(B3705)=1,2,IF(WEEKDAY(B3705)=7,1,0))))))</f>
        <v>3</v>
      </c>
      <c r="H3705" s="370">
        <v>5142.4549255371094</v>
      </c>
      <c r="I3705" s="370">
        <v>1391.5425109863281</v>
      </c>
      <c r="M3705" s="371">
        <f t="shared" si="229"/>
        <v>5327.4039851566549</v>
      </c>
      <c r="N3705" s="329">
        <f t="shared" si="230"/>
        <v>0</v>
      </c>
      <c r="T3705" s="331">
        <v>0</v>
      </c>
      <c r="U3705" s="328">
        <f>VLOOKUP(C3705,METADATA!$J$5:$Q$29,IF(E3705="HI",2,IF(E3705="LO",6,10))+IF(T3705=1,2,IF(D3705=7,1,(IF(WEEKDAY(B3705)=1,2,IF(WEEKDAY(B3705)=7,1,0))))))</f>
        <v>3</v>
      </c>
      <c r="V3705" s="328">
        <f>VLOOKUP(C3705,METADATA!$A$5:$H$29,IF(E3705="HI",2,IF(E3705="LO",6,10))+IF(T3705=1,2,IF(D3705=7,1,(IF(WEEKDAY(B3705)=1,2,IF(WEEKDAY(B3705)=7,1,0))))))</f>
        <v>3</v>
      </c>
    </row>
    <row r="3706" spans="2:22">
      <c r="B3706" s="318">
        <f t="shared" si="231"/>
        <v>46267</v>
      </c>
      <c r="C3706" s="312">
        <v>6</v>
      </c>
      <c r="D3706" s="368">
        <f>IFERROR((INDEX(METADATA!$T$2:$T$20,MATCH(B3706,METADATA!$S$2:$S$20,0))),0)</f>
        <v>0</v>
      </c>
      <c r="E3706" s="312" t="str">
        <f t="shared" si="228"/>
        <v>LO</v>
      </c>
      <c r="F3706" s="369">
        <f>VLOOKUP(C3706,METADATA!$A$5:$H$29,IF(E3706="HI",2,IF(E3706="LO",6,10))+IF(D3706=1,2,IF(D3706=7,1,(IF(WEEKDAY(B3706)=1,2,IF(WEEKDAY(B3706)=7,1,0))))))</f>
        <v>2</v>
      </c>
      <c r="G3706" s="369">
        <f>VLOOKUP(C3706,METADATA!$J$5:$Q$29,IF(E3706="HI",2,IF(E3706="LO",6,10))+IF(D3706=1,2,IF(D3706=7,1,(IF(WEEKDAY(B3706)=1,2,IF(WEEKDAY(B3706)=7,1,0))))))</f>
        <v>2</v>
      </c>
      <c r="H3706" s="370">
        <v>5080.7400817871094</v>
      </c>
      <c r="I3706" s="370">
        <v>1399.1024780273438</v>
      </c>
      <c r="M3706" s="371">
        <f t="shared" si="229"/>
        <v>5269.858396835757</v>
      </c>
      <c r="N3706" s="329">
        <f t="shared" si="230"/>
        <v>0</v>
      </c>
      <c r="T3706" s="331">
        <v>0</v>
      </c>
      <c r="U3706" s="328">
        <f>VLOOKUP(C3706,METADATA!$J$5:$Q$29,IF(E3706="HI",2,IF(E3706="LO",6,10))+IF(T3706=1,2,IF(D3706=7,1,(IF(WEEKDAY(B3706)=1,2,IF(WEEKDAY(B3706)=7,1,0))))))</f>
        <v>2</v>
      </c>
      <c r="V3706" s="328">
        <f>VLOOKUP(C3706,METADATA!$A$5:$H$29,IF(E3706="HI",2,IF(E3706="LO",6,10))+IF(T3706=1,2,IF(D3706=7,1,(IF(WEEKDAY(B3706)=1,2,IF(WEEKDAY(B3706)=7,1,0))))))</f>
        <v>2</v>
      </c>
    </row>
    <row r="3707" spans="2:22">
      <c r="B3707" s="318">
        <f t="shared" si="231"/>
        <v>46267</v>
      </c>
      <c r="C3707" s="312">
        <v>7</v>
      </c>
      <c r="D3707" s="368">
        <f>IFERROR((INDEX(METADATA!$T$2:$T$20,MATCH(B3707,METADATA!$S$2:$S$20,0))),0)</f>
        <v>0</v>
      </c>
      <c r="E3707" s="312" t="str">
        <f t="shared" si="228"/>
        <v>LO</v>
      </c>
      <c r="F3707" s="369">
        <f>VLOOKUP(C3707,METADATA!$A$5:$H$29,IF(E3707="HI",2,IF(E3707="LO",6,10))+IF(D3707=1,2,IF(D3707=7,1,(IF(WEEKDAY(B3707)=1,2,IF(WEEKDAY(B3707)=7,1,0))))))</f>
        <v>1</v>
      </c>
      <c r="G3707" s="369">
        <f>VLOOKUP(C3707,METADATA!$J$5:$Q$29,IF(E3707="HI",2,IF(E3707="LO",6,10))+IF(D3707=1,2,IF(D3707=7,1,(IF(WEEKDAY(B3707)=1,2,IF(WEEKDAY(B3707)=7,1,0))))))</f>
        <v>1</v>
      </c>
      <c r="H3707" s="370">
        <v>5318.0326232910156</v>
      </c>
      <c r="I3707" s="370">
        <v>1440.6475219726563</v>
      </c>
      <c r="M3707" s="371">
        <f t="shared" si="229"/>
        <v>5509.7129022258023</v>
      </c>
      <c r="N3707" s="329">
        <f t="shared" si="230"/>
        <v>0</v>
      </c>
      <c r="T3707" s="331">
        <v>0</v>
      </c>
      <c r="U3707" s="328">
        <f>VLOOKUP(C3707,METADATA!$J$5:$Q$29,IF(E3707="HI",2,IF(E3707="LO",6,10))+IF(T3707=1,2,IF(D3707=7,1,(IF(WEEKDAY(B3707)=1,2,IF(WEEKDAY(B3707)=7,1,0))))))</f>
        <v>1</v>
      </c>
      <c r="V3707" s="328">
        <f>VLOOKUP(C3707,METADATA!$A$5:$H$29,IF(E3707="HI",2,IF(E3707="LO",6,10))+IF(T3707=1,2,IF(D3707=7,1,(IF(WEEKDAY(B3707)=1,2,IF(WEEKDAY(B3707)=7,1,0))))))</f>
        <v>1</v>
      </c>
    </row>
    <row r="3708" spans="2:22">
      <c r="B3708" s="318">
        <f t="shared" si="231"/>
        <v>46267</v>
      </c>
      <c r="C3708" s="312">
        <v>8</v>
      </c>
      <c r="D3708" s="368">
        <f>IFERROR((INDEX(METADATA!$T$2:$T$20,MATCH(B3708,METADATA!$S$2:$S$20,0))),0)</f>
        <v>0</v>
      </c>
      <c r="E3708" s="312" t="str">
        <f t="shared" si="228"/>
        <v>LO</v>
      </c>
      <c r="F3708" s="369">
        <f>VLOOKUP(C3708,METADATA!$A$5:$H$29,IF(E3708="HI",2,IF(E3708="LO",6,10))+IF(D3708=1,2,IF(D3708=7,1,(IF(WEEKDAY(B3708)=1,2,IF(WEEKDAY(B3708)=7,1,0))))))</f>
        <v>1</v>
      </c>
      <c r="G3708" s="369">
        <f>VLOOKUP(C3708,METADATA!$J$5:$Q$29,IF(E3708="HI",2,IF(E3708="LO",6,10))+IF(D3708=1,2,IF(D3708=7,1,(IF(WEEKDAY(B3708)=1,2,IF(WEEKDAY(B3708)=7,1,0))))))</f>
        <v>1</v>
      </c>
      <c r="H3708" s="370">
        <v>5294.3775939941406</v>
      </c>
      <c r="I3708" s="370">
        <v>1372.9700012207031</v>
      </c>
      <c r="M3708" s="371">
        <f t="shared" si="229"/>
        <v>5469.5046148658803</v>
      </c>
      <c r="N3708" s="329">
        <f t="shared" si="230"/>
        <v>0</v>
      </c>
      <c r="T3708" s="331">
        <v>0</v>
      </c>
      <c r="U3708" s="328">
        <f>VLOOKUP(C3708,METADATA!$J$5:$Q$29,IF(E3708="HI",2,IF(E3708="LO",6,10))+IF(T3708=1,2,IF(D3708=7,1,(IF(WEEKDAY(B3708)=1,2,IF(WEEKDAY(B3708)=7,1,0))))))</f>
        <v>1</v>
      </c>
      <c r="V3708" s="328">
        <f>VLOOKUP(C3708,METADATA!$A$5:$H$29,IF(E3708="HI",2,IF(E3708="LO",6,10))+IF(T3708=1,2,IF(D3708=7,1,(IF(WEEKDAY(B3708)=1,2,IF(WEEKDAY(B3708)=7,1,0))))))</f>
        <v>1</v>
      </c>
    </row>
    <row r="3709" spans="2:22">
      <c r="B3709" s="318">
        <f t="shared" si="231"/>
        <v>46267</v>
      </c>
      <c r="C3709" s="312">
        <v>9</v>
      </c>
      <c r="D3709" s="368">
        <f>IFERROR((INDEX(METADATA!$T$2:$T$20,MATCH(B3709,METADATA!$S$2:$S$20,0))),0)</f>
        <v>0</v>
      </c>
      <c r="E3709" s="312" t="str">
        <f t="shared" si="228"/>
        <v>LO</v>
      </c>
      <c r="F3709" s="369">
        <f>VLOOKUP(C3709,METADATA!$A$5:$H$29,IF(E3709="HI",2,IF(E3709="LO",6,10))+IF(D3709=1,2,IF(D3709=7,1,(IF(WEEKDAY(B3709)=1,2,IF(WEEKDAY(B3709)=7,1,0))))))</f>
        <v>2</v>
      </c>
      <c r="G3709" s="369">
        <f>VLOOKUP(C3709,METADATA!$J$5:$Q$29,IF(E3709="HI",2,IF(E3709="LO",6,10))+IF(D3709=1,2,IF(D3709=7,1,(IF(WEEKDAY(B3709)=1,2,IF(WEEKDAY(B3709)=7,1,0))))))</f>
        <v>2</v>
      </c>
      <c r="H3709" s="370">
        <v>5081.0924377441406</v>
      </c>
      <c r="I3709" s="370">
        <v>1357.4849853515625</v>
      </c>
      <c r="M3709" s="371">
        <f t="shared" si="229"/>
        <v>5259.3027908987733</v>
      </c>
      <c r="N3709" s="329">
        <f t="shared" si="230"/>
        <v>0</v>
      </c>
      <c r="T3709" s="331">
        <v>0</v>
      </c>
      <c r="U3709" s="328">
        <f>VLOOKUP(C3709,METADATA!$J$5:$Q$29,IF(E3709="HI",2,IF(E3709="LO",6,10))+IF(T3709=1,2,IF(D3709=7,1,(IF(WEEKDAY(B3709)=1,2,IF(WEEKDAY(B3709)=7,1,0))))))</f>
        <v>2</v>
      </c>
      <c r="V3709" s="328">
        <f>VLOOKUP(C3709,METADATA!$A$5:$H$29,IF(E3709="HI",2,IF(E3709="LO",6,10))+IF(T3709=1,2,IF(D3709=7,1,(IF(WEEKDAY(B3709)=1,2,IF(WEEKDAY(B3709)=7,1,0))))))</f>
        <v>2</v>
      </c>
    </row>
    <row r="3710" spans="2:22">
      <c r="B3710" s="318">
        <f t="shared" si="231"/>
        <v>46267</v>
      </c>
      <c r="C3710" s="312">
        <v>10</v>
      </c>
      <c r="D3710" s="368">
        <f>IFERROR((INDEX(METADATA!$T$2:$T$20,MATCH(B3710,METADATA!$S$2:$S$20,0))),0)</f>
        <v>0</v>
      </c>
      <c r="E3710" s="312" t="str">
        <f t="shared" si="228"/>
        <v>LO</v>
      </c>
      <c r="F3710" s="369">
        <f>VLOOKUP(C3710,METADATA!$A$5:$H$29,IF(E3710="HI",2,IF(E3710="LO",6,10))+IF(D3710=1,2,IF(D3710=7,1,(IF(WEEKDAY(B3710)=1,2,IF(WEEKDAY(B3710)=7,1,0))))))</f>
        <v>2</v>
      </c>
      <c r="G3710" s="369">
        <f>VLOOKUP(C3710,METADATA!$J$5:$Q$29,IF(E3710="HI",2,IF(E3710="LO",6,10))+IF(D3710=1,2,IF(D3710=7,1,(IF(WEEKDAY(B3710)=1,2,IF(WEEKDAY(B3710)=7,1,0))))))</f>
        <v>2</v>
      </c>
      <c r="H3710" s="370">
        <v>5037.6699829101563</v>
      </c>
      <c r="I3710" s="370">
        <v>1360.5149841308594</v>
      </c>
      <c r="M3710" s="371">
        <f t="shared" si="229"/>
        <v>5218.1529182995973</v>
      </c>
      <c r="N3710" s="329">
        <f t="shared" si="230"/>
        <v>0</v>
      </c>
      <c r="T3710" s="331">
        <v>0</v>
      </c>
      <c r="U3710" s="328">
        <f>VLOOKUP(C3710,METADATA!$J$5:$Q$29,IF(E3710="HI",2,IF(E3710="LO",6,10))+IF(T3710=1,2,IF(D3710=7,1,(IF(WEEKDAY(B3710)=1,2,IF(WEEKDAY(B3710)=7,1,0))))))</f>
        <v>2</v>
      </c>
      <c r="V3710" s="328">
        <f>VLOOKUP(C3710,METADATA!$A$5:$H$29,IF(E3710="HI",2,IF(E3710="LO",6,10))+IF(T3710=1,2,IF(D3710=7,1,(IF(WEEKDAY(B3710)=1,2,IF(WEEKDAY(B3710)=7,1,0))))))</f>
        <v>2</v>
      </c>
    </row>
    <row r="3711" spans="2:22">
      <c r="B3711" s="318">
        <f t="shared" si="231"/>
        <v>46267</v>
      </c>
      <c r="C3711" s="312">
        <v>11</v>
      </c>
      <c r="D3711" s="368">
        <f>IFERROR((INDEX(METADATA!$T$2:$T$20,MATCH(B3711,METADATA!$S$2:$S$20,0))),0)</f>
        <v>0</v>
      </c>
      <c r="E3711" s="312" t="str">
        <f t="shared" si="228"/>
        <v>LO</v>
      </c>
      <c r="F3711" s="369">
        <f>VLOOKUP(C3711,METADATA!$A$5:$H$29,IF(E3711="HI",2,IF(E3711="LO",6,10))+IF(D3711=1,2,IF(D3711=7,1,(IF(WEEKDAY(B3711)=1,2,IF(WEEKDAY(B3711)=7,1,0))))))</f>
        <v>2</v>
      </c>
      <c r="G3711" s="369">
        <f>VLOOKUP(C3711,METADATA!$J$5:$Q$29,IF(E3711="HI",2,IF(E3711="LO",6,10))+IF(D3711=1,2,IF(D3711=7,1,(IF(WEEKDAY(B3711)=1,2,IF(WEEKDAY(B3711)=7,1,0))))))</f>
        <v>2</v>
      </c>
      <c r="H3711" s="370">
        <v>5199.6449279785156</v>
      </c>
      <c r="I3711" s="370">
        <v>1534.9674987792969</v>
      </c>
      <c r="M3711" s="371">
        <f t="shared" si="229"/>
        <v>5421.4788203368898</v>
      </c>
      <c r="N3711" s="329">
        <f t="shared" si="230"/>
        <v>0</v>
      </c>
      <c r="T3711" s="331">
        <v>0</v>
      </c>
      <c r="U3711" s="328">
        <f>VLOOKUP(C3711,METADATA!$J$5:$Q$29,IF(E3711="HI",2,IF(E3711="LO",6,10))+IF(T3711=1,2,IF(D3711=7,1,(IF(WEEKDAY(B3711)=1,2,IF(WEEKDAY(B3711)=7,1,0))))))</f>
        <v>2</v>
      </c>
      <c r="V3711" s="328">
        <f>VLOOKUP(C3711,METADATA!$A$5:$H$29,IF(E3711="HI",2,IF(E3711="LO",6,10))+IF(T3711=1,2,IF(D3711=7,1,(IF(WEEKDAY(B3711)=1,2,IF(WEEKDAY(B3711)=7,1,0))))))</f>
        <v>2</v>
      </c>
    </row>
    <row r="3712" spans="2:22">
      <c r="B3712" s="318">
        <f t="shared" si="231"/>
        <v>46267</v>
      </c>
      <c r="C3712" s="312">
        <v>12</v>
      </c>
      <c r="D3712" s="368">
        <f>IFERROR((INDEX(METADATA!$T$2:$T$20,MATCH(B3712,METADATA!$S$2:$S$20,0))),0)</f>
        <v>0</v>
      </c>
      <c r="E3712" s="312" t="str">
        <f t="shared" si="228"/>
        <v>LO</v>
      </c>
      <c r="F3712" s="369">
        <f>VLOOKUP(C3712,METADATA!$A$5:$H$29,IF(E3712="HI",2,IF(E3712="LO",6,10))+IF(D3712=1,2,IF(D3712=7,1,(IF(WEEKDAY(B3712)=1,2,IF(WEEKDAY(B3712)=7,1,0))))))</f>
        <v>2</v>
      </c>
      <c r="G3712" s="369">
        <f>VLOOKUP(C3712,METADATA!$J$5:$Q$29,IF(E3712="HI",2,IF(E3712="LO",6,10))+IF(D3712=1,2,IF(D3712=7,1,(IF(WEEKDAY(B3712)=1,2,IF(WEEKDAY(B3712)=7,1,0))))))</f>
        <v>2</v>
      </c>
      <c r="H3712" s="370">
        <v>5176.8775329589844</v>
      </c>
      <c r="I3712" s="370">
        <v>1491.3374938964844</v>
      </c>
      <c r="M3712" s="371">
        <f t="shared" si="229"/>
        <v>5387.4064736157552</v>
      </c>
      <c r="N3712" s="329">
        <f t="shared" si="230"/>
        <v>0</v>
      </c>
      <c r="T3712" s="331">
        <v>0</v>
      </c>
      <c r="U3712" s="328">
        <f>VLOOKUP(C3712,METADATA!$J$5:$Q$29,IF(E3712="HI",2,IF(E3712="LO",6,10))+IF(T3712=1,2,IF(D3712=7,1,(IF(WEEKDAY(B3712)=1,2,IF(WEEKDAY(B3712)=7,1,0))))))</f>
        <v>2</v>
      </c>
      <c r="V3712" s="328">
        <f>VLOOKUP(C3712,METADATA!$A$5:$H$29,IF(E3712="HI",2,IF(E3712="LO",6,10))+IF(T3712=1,2,IF(D3712=7,1,(IF(WEEKDAY(B3712)=1,2,IF(WEEKDAY(B3712)=7,1,0))))))</f>
        <v>2</v>
      </c>
    </row>
    <row r="3713" spans="2:22">
      <c r="B3713" s="318">
        <f t="shared" si="231"/>
        <v>46267</v>
      </c>
      <c r="C3713" s="312">
        <v>13</v>
      </c>
      <c r="D3713" s="368">
        <f>IFERROR((INDEX(METADATA!$T$2:$T$20,MATCH(B3713,METADATA!$S$2:$S$20,0))),0)</f>
        <v>0</v>
      </c>
      <c r="E3713" s="312" t="str">
        <f t="shared" si="228"/>
        <v>LO</v>
      </c>
      <c r="F3713" s="369">
        <f>VLOOKUP(C3713,METADATA!$A$5:$H$29,IF(E3713="HI",2,IF(E3713="LO",6,10))+IF(D3713=1,2,IF(D3713=7,1,(IF(WEEKDAY(B3713)=1,2,IF(WEEKDAY(B3713)=7,1,0))))))</f>
        <v>2</v>
      </c>
      <c r="G3713" s="369">
        <f>VLOOKUP(C3713,METADATA!$J$5:$Q$29,IF(E3713="HI",2,IF(E3713="LO",6,10))+IF(D3713=1,2,IF(D3713=7,1,(IF(WEEKDAY(B3713)=1,2,IF(WEEKDAY(B3713)=7,1,0))))))</f>
        <v>2</v>
      </c>
      <c r="H3713" s="370">
        <v>5159.8874816894531</v>
      </c>
      <c r="I3713" s="370">
        <v>1417.3899841308594</v>
      </c>
      <c r="M3713" s="371">
        <f t="shared" si="229"/>
        <v>5351.0216959763866</v>
      </c>
      <c r="N3713" s="329">
        <f t="shared" si="230"/>
        <v>0</v>
      </c>
      <c r="T3713" s="331">
        <v>0</v>
      </c>
      <c r="U3713" s="328">
        <f>VLOOKUP(C3713,METADATA!$J$5:$Q$29,IF(E3713="HI",2,IF(E3713="LO",6,10))+IF(T3713=1,2,IF(D3713=7,1,(IF(WEEKDAY(B3713)=1,2,IF(WEEKDAY(B3713)=7,1,0))))))</f>
        <v>2</v>
      </c>
      <c r="V3713" s="328">
        <f>VLOOKUP(C3713,METADATA!$A$5:$H$29,IF(E3713="HI",2,IF(E3713="LO",6,10))+IF(T3713=1,2,IF(D3713=7,1,(IF(WEEKDAY(B3713)=1,2,IF(WEEKDAY(B3713)=7,1,0))))))</f>
        <v>2</v>
      </c>
    </row>
    <row r="3714" spans="2:22">
      <c r="B3714" s="318">
        <f t="shared" si="231"/>
        <v>46267</v>
      </c>
      <c r="C3714" s="312">
        <v>14</v>
      </c>
      <c r="D3714" s="368">
        <f>IFERROR((INDEX(METADATA!$T$2:$T$20,MATCH(B3714,METADATA!$S$2:$S$20,0))),0)</f>
        <v>0</v>
      </c>
      <c r="E3714" s="312" t="str">
        <f t="shared" si="228"/>
        <v>LO</v>
      </c>
      <c r="F3714" s="369">
        <f>VLOOKUP(C3714,METADATA!$A$5:$H$29,IF(E3714="HI",2,IF(E3714="LO",6,10))+IF(D3714=1,2,IF(D3714=7,1,(IF(WEEKDAY(B3714)=1,2,IF(WEEKDAY(B3714)=7,1,0))))))</f>
        <v>2</v>
      </c>
      <c r="G3714" s="369">
        <f>VLOOKUP(C3714,METADATA!$J$5:$Q$29,IF(E3714="HI",2,IF(E3714="LO",6,10))+IF(D3714=1,2,IF(D3714=7,1,(IF(WEEKDAY(B3714)=1,2,IF(WEEKDAY(B3714)=7,1,0))))))</f>
        <v>2</v>
      </c>
      <c r="H3714" s="370">
        <v>4851.3900451660156</v>
      </c>
      <c r="I3714" s="370">
        <v>1336.9650268554688</v>
      </c>
      <c r="M3714" s="371">
        <f t="shared" si="229"/>
        <v>5032.2421298433719</v>
      </c>
      <c r="N3714" s="329">
        <f t="shared" si="230"/>
        <v>0</v>
      </c>
      <c r="T3714" s="331">
        <v>0</v>
      </c>
      <c r="U3714" s="328">
        <f>VLOOKUP(C3714,METADATA!$J$5:$Q$29,IF(E3714="HI",2,IF(E3714="LO",6,10))+IF(T3714=1,2,IF(D3714=7,1,(IF(WEEKDAY(B3714)=1,2,IF(WEEKDAY(B3714)=7,1,0))))))</f>
        <v>2</v>
      </c>
      <c r="V3714" s="328">
        <f>VLOOKUP(C3714,METADATA!$A$5:$H$29,IF(E3714="HI",2,IF(E3714="LO",6,10))+IF(T3714=1,2,IF(D3714=7,1,(IF(WEEKDAY(B3714)=1,2,IF(WEEKDAY(B3714)=7,1,0))))))</f>
        <v>2</v>
      </c>
    </row>
    <row r="3715" spans="2:22">
      <c r="B3715" s="318">
        <f t="shared" si="231"/>
        <v>46267</v>
      </c>
      <c r="C3715" s="312">
        <v>15</v>
      </c>
      <c r="D3715" s="368">
        <f>IFERROR((INDEX(METADATA!$T$2:$T$20,MATCH(B3715,METADATA!$S$2:$S$20,0))),0)</f>
        <v>0</v>
      </c>
      <c r="E3715" s="312" t="str">
        <f t="shared" si="228"/>
        <v>LO</v>
      </c>
      <c r="F3715" s="369">
        <f>VLOOKUP(C3715,METADATA!$A$5:$H$29,IF(E3715="HI",2,IF(E3715="LO",6,10))+IF(D3715=1,2,IF(D3715=7,1,(IF(WEEKDAY(B3715)=1,2,IF(WEEKDAY(B3715)=7,1,0))))))</f>
        <v>2</v>
      </c>
      <c r="G3715" s="369">
        <f>VLOOKUP(C3715,METADATA!$J$5:$Q$29,IF(E3715="HI",2,IF(E3715="LO",6,10))+IF(D3715=1,2,IF(D3715=7,1,(IF(WEEKDAY(B3715)=1,2,IF(WEEKDAY(B3715)=7,1,0))))))</f>
        <v>2</v>
      </c>
      <c r="H3715" s="370">
        <v>4966.0499267578125</v>
      </c>
      <c r="I3715" s="370">
        <v>1367.4250183105469</v>
      </c>
      <c r="M3715" s="371">
        <f t="shared" si="229"/>
        <v>5150.8740089185712</v>
      </c>
      <c r="N3715" s="329">
        <f t="shared" si="230"/>
        <v>0</v>
      </c>
      <c r="T3715" s="331">
        <v>0</v>
      </c>
      <c r="U3715" s="328">
        <f>VLOOKUP(C3715,METADATA!$J$5:$Q$29,IF(E3715="HI",2,IF(E3715="LO",6,10))+IF(T3715=1,2,IF(D3715=7,1,(IF(WEEKDAY(B3715)=1,2,IF(WEEKDAY(B3715)=7,1,0))))))</f>
        <v>2</v>
      </c>
      <c r="V3715" s="328">
        <f>VLOOKUP(C3715,METADATA!$A$5:$H$29,IF(E3715="HI",2,IF(E3715="LO",6,10))+IF(T3715=1,2,IF(D3715=7,1,(IF(WEEKDAY(B3715)=1,2,IF(WEEKDAY(B3715)=7,1,0))))))</f>
        <v>2</v>
      </c>
    </row>
    <row r="3716" spans="2:22">
      <c r="B3716" s="318">
        <f t="shared" si="231"/>
        <v>46267</v>
      </c>
      <c r="C3716" s="312">
        <v>16</v>
      </c>
      <c r="D3716" s="368">
        <f>IFERROR((INDEX(METADATA!$T$2:$T$20,MATCH(B3716,METADATA!$S$2:$S$20,0))),0)</f>
        <v>0</v>
      </c>
      <c r="E3716" s="312" t="str">
        <f t="shared" ref="E3716:E3779" si="232">IF(B3716="","",IF(AND(MONTH(B3716)&gt;=MONTH($Z$9),MONTH(B3716)&lt;=MONTH($Z$11)),"HI","LO"))</f>
        <v>LO</v>
      </c>
      <c r="F3716" s="369">
        <f>VLOOKUP(C3716,METADATA!$A$5:$H$29,IF(E3716="HI",2,IF(E3716="LO",6,10))+IF(D3716=1,2,IF(D3716=7,1,(IF(WEEKDAY(B3716)=1,2,IF(WEEKDAY(B3716)=7,1,0))))))</f>
        <v>2</v>
      </c>
      <c r="G3716" s="369">
        <f>VLOOKUP(C3716,METADATA!$J$5:$Q$29,IF(E3716="HI",2,IF(E3716="LO",6,10))+IF(D3716=1,2,IF(D3716=7,1,(IF(WEEKDAY(B3716)=1,2,IF(WEEKDAY(B3716)=7,1,0))))))</f>
        <v>2</v>
      </c>
      <c r="H3716" s="370">
        <v>4615.6824645996094</v>
      </c>
      <c r="I3716" s="370">
        <v>1320.1950073242188</v>
      </c>
      <c r="M3716" s="371">
        <f t="shared" ref="M3716:M3779" si="233">SQRT(H3716^2+I3716^2)</f>
        <v>4800.774882388896</v>
      </c>
      <c r="N3716" s="329">
        <f t="shared" ref="N3716:N3779" si="234">IF(H3716=0,0,(IF(I3716-(0.3*H3716)&lt;0,0,(I3716-(0.3*H3716)))))</f>
        <v>0</v>
      </c>
      <c r="T3716" s="331">
        <v>0</v>
      </c>
      <c r="U3716" s="328">
        <f>VLOOKUP(C3716,METADATA!$J$5:$Q$29,IF(E3716="HI",2,IF(E3716="LO",6,10))+IF(T3716=1,2,IF(D3716=7,1,(IF(WEEKDAY(B3716)=1,2,IF(WEEKDAY(B3716)=7,1,0))))))</f>
        <v>2</v>
      </c>
      <c r="V3716" s="328">
        <f>VLOOKUP(C3716,METADATA!$A$5:$H$29,IF(E3716="HI",2,IF(E3716="LO",6,10))+IF(T3716=1,2,IF(D3716=7,1,(IF(WEEKDAY(B3716)=1,2,IF(WEEKDAY(B3716)=7,1,0))))))</f>
        <v>2</v>
      </c>
    </row>
    <row r="3717" spans="2:22">
      <c r="B3717" s="318">
        <f t="shared" si="231"/>
        <v>46267</v>
      </c>
      <c r="C3717" s="312">
        <v>17</v>
      </c>
      <c r="D3717" s="368">
        <f>IFERROR((INDEX(METADATA!$T$2:$T$20,MATCH(B3717,METADATA!$S$2:$S$20,0))),0)</f>
        <v>0</v>
      </c>
      <c r="E3717" s="312" t="str">
        <f t="shared" si="232"/>
        <v>LO</v>
      </c>
      <c r="F3717" s="369">
        <f>VLOOKUP(C3717,METADATA!$A$5:$H$29,IF(E3717="HI",2,IF(E3717="LO",6,10))+IF(D3717=1,2,IF(D3717=7,1,(IF(WEEKDAY(B3717)=1,2,IF(WEEKDAY(B3717)=7,1,0))))))</f>
        <v>2</v>
      </c>
      <c r="G3717" s="369">
        <f>VLOOKUP(C3717,METADATA!$J$5:$Q$29,IF(E3717="HI",2,IF(E3717="LO",6,10))+IF(D3717=1,2,IF(D3717=7,1,(IF(WEEKDAY(B3717)=1,2,IF(WEEKDAY(B3717)=7,1,0))))))</f>
        <v>2</v>
      </c>
      <c r="H3717" s="370">
        <v>4521.4724426269531</v>
      </c>
      <c r="I3717" s="370">
        <v>1307.5924987792969</v>
      </c>
      <c r="M3717" s="371">
        <f t="shared" si="233"/>
        <v>4706.7516603597041</v>
      </c>
      <c r="N3717" s="329">
        <f t="shared" si="234"/>
        <v>0</v>
      </c>
      <c r="T3717" s="331">
        <v>0</v>
      </c>
      <c r="U3717" s="328">
        <f>VLOOKUP(C3717,METADATA!$J$5:$Q$29,IF(E3717="HI",2,IF(E3717="LO",6,10))+IF(T3717=1,2,IF(D3717=7,1,(IF(WEEKDAY(B3717)=1,2,IF(WEEKDAY(B3717)=7,1,0))))))</f>
        <v>2</v>
      </c>
      <c r="V3717" s="328">
        <f>VLOOKUP(C3717,METADATA!$A$5:$H$29,IF(E3717="HI",2,IF(E3717="LO",6,10))+IF(T3717=1,2,IF(D3717=7,1,(IF(WEEKDAY(B3717)=1,2,IF(WEEKDAY(B3717)=7,1,0))))))</f>
        <v>2</v>
      </c>
    </row>
    <row r="3718" spans="2:22">
      <c r="B3718" s="318">
        <f t="shared" si="231"/>
        <v>46267</v>
      </c>
      <c r="C3718" s="312">
        <v>18</v>
      </c>
      <c r="D3718" s="368">
        <f>IFERROR((INDEX(METADATA!$T$2:$T$20,MATCH(B3718,METADATA!$S$2:$S$20,0))),0)</f>
        <v>0</v>
      </c>
      <c r="E3718" s="312" t="str">
        <f t="shared" si="232"/>
        <v>LO</v>
      </c>
      <c r="F3718" s="369">
        <f>VLOOKUP(C3718,METADATA!$A$5:$H$29,IF(E3718="HI",2,IF(E3718="LO",6,10))+IF(D3718=1,2,IF(D3718=7,1,(IF(WEEKDAY(B3718)=1,2,IF(WEEKDAY(B3718)=7,1,0))))))</f>
        <v>1</v>
      </c>
      <c r="G3718" s="369">
        <f>VLOOKUP(C3718,METADATA!$J$5:$Q$29,IF(E3718="HI",2,IF(E3718="LO",6,10))+IF(D3718=1,2,IF(D3718=7,1,(IF(WEEKDAY(B3718)=1,2,IF(WEEKDAY(B3718)=7,1,0))))))</f>
        <v>1</v>
      </c>
      <c r="H3718" s="370">
        <v>4736.0575256347656</v>
      </c>
      <c r="I3718" s="370">
        <v>1265.9750061035156</v>
      </c>
      <c r="M3718" s="371">
        <f t="shared" si="233"/>
        <v>4902.3396049437961</v>
      </c>
      <c r="N3718" s="329">
        <f t="shared" si="234"/>
        <v>0</v>
      </c>
      <c r="T3718" s="331">
        <v>0</v>
      </c>
      <c r="U3718" s="328">
        <f>VLOOKUP(C3718,METADATA!$J$5:$Q$29,IF(E3718="HI",2,IF(E3718="LO",6,10))+IF(T3718=1,2,IF(D3718=7,1,(IF(WEEKDAY(B3718)=1,2,IF(WEEKDAY(B3718)=7,1,0))))))</f>
        <v>1</v>
      </c>
      <c r="V3718" s="328">
        <f>VLOOKUP(C3718,METADATA!$A$5:$H$29,IF(E3718="HI",2,IF(E3718="LO",6,10))+IF(T3718=1,2,IF(D3718=7,1,(IF(WEEKDAY(B3718)=1,2,IF(WEEKDAY(B3718)=7,1,0))))))</f>
        <v>1</v>
      </c>
    </row>
    <row r="3719" spans="2:22">
      <c r="B3719" s="318">
        <f t="shared" si="231"/>
        <v>46267</v>
      </c>
      <c r="C3719" s="312">
        <v>19</v>
      </c>
      <c r="D3719" s="368">
        <f>IFERROR((INDEX(METADATA!$T$2:$T$20,MATCH(B3719,METADATA!$S$2:$S$20,0))),0)</f>
        <v>0</v>
      </c>
      <c r="E3719" s="312" t="str">
        <f t="shared" si="232"/>
        <v>LO</v>
      </c>
      <c r="F3719" s="369">
        <f>VLOOKUP(C3719,METADATA!$A$5:$H$29,IF(E3719="HI",2,IF(E3719="LO",6,10))+IF(D3719=1,2,IF(D3719=7,1,(IF(WEEKDAY(B3719)=1,2,IF(WEEKDAY(B3719)=7,1,0))))))</f>
        <v>1</v>
      </c>
      <c r="G3719" s="369">
        <f>VLOOKUP(C3719,METADATA!$J$5:$Q$29,IF(E3719="HI",2,IF(E3719="LO",6,10))+IF(D3719=1,2,IF(D3719=7,1,(IF(WEEKDAY(B3719)=1,2,IF(WEEKDAY(B3719)=7,1,0))))))</f>
        <v>1</v>
      </c>
      <c r="H3719" s="370">
        <v>4849.9524841308594</v>
      </c>
      <c r="I3719" s="370">
        <v>1246.2474975585938</v>
      </c>
      <c r="M3719" s="371">
        <f t="shared" si="233"/>
        <v>5007.511550011458</v>
      </c>
      <c r="N3719" s="329">
        <f t="shared" si="234"/>
        <v>0</v>
      </c>
      <c r="T3719" s="331">
        <v>0</v>
      </c>
      <c r="U3719" s="328">
        <f>VLOOKUP(C3719,METADATA!$J$5:$Q$29,IF(E3719="HI",2,IF(E3719="LO",6,10))+IF(T3719=1,2,IF(D3719=7,1,(IF(WEEKDAY(B3719)=1,2,IF(WEEKDAY(B3719)=7,1,0))))))</f>
        <v>1</v>
      </c>
      <c r="V3719" s="328">
        <f>VLOOKUP(C3719,METADATA!$A$5:$H$29,IF(E3719="HI",2,IF(E3719="LO",6,10))+IF(T3719=1,2,IF(D3719=7,1,(IF(WEEKDAY(B3719)=1,2,IF(WEEKDAY(B3719)=7,1,0))))))</f>
        <v>1</v>
      </c>
    </row>
    <row r="3720" spans="2:22">
      <c r="B3720" s="318">
        <f t="shared" si="231"/>
        <v>46267</v>
      </c>
      <c r="C3720" s="312">
        <v>20</v>
      </c>
      <c r="D3720" s="368">
        <f>IFERROR((INDEX(METADATA!$T$2:$T$20,MATCH(B3720,METADATA!$S$2:$S$20,0))),0)</f>
        <v>0</v>
      </c>
      <c r="E3720" s="312" t="str">
        <f t="shared" si="232"/>
        <v>LO</v>
      </c>
      <c r="F3720" s="369">
        <f>VLOOKUP(C3720,METADATA!$A$5:$H$29,IF(E3720="HI",2,IF(E3720="LO",6,10))+IF(D3720=1,2,IF(D3720=7,1,(IF(WEEKDAY(B3720)=1,2,IF(WEEKDAY(B3720)=7,1,0))))))</f>
        <v>1</v>
      </c>
      <c r="G3720" s="369">
        <f>VLOOKUP(C3720,METADATA!$J$5:$Q$29,IF(E3720="HI",2,IF(E3720="LO",6,10))+IF(D3720=1,2,IF(D3720=7,1,(IF(WEEKDAY(B3720)=1,2,IF(WEEKDAY(B3720)=7,1,0))))))</f>
        <v>1</v>
      </c>
      <c r="H3720" s="370">
        <v>5053.7225952148438</v>
      </c>
      <c r="I3720" s="370">
        <v>1249.1275024414063</v>
      </c>
      <c r="M3720" s="371">
        <f t="shared" si="233"/>
        <v>5205.8074865231583</v>
      </c>
      <c r="N3720" s="329">
        <f t="shared" si="234"/>
        <v>0</v>
      </c>
      <c r="T3720" s="331">
        <v>0</v>
      </c>
      <c r="U3720" s="328">
        <f>VLOOKUP(C3720,METADATA!$J$5:$Q$29,IF(E3720="HI",2,IF(E3720="LO",6,10))+IF(T3720=1,2,IF(D3720=7,1,(IF(WEEKDAY(B3720)=1,2,IF(WEEKDAY(B3720)=7,1,0))))))</f>
        <v>1</v>
      </c>
      <c r="V3720" s="328">
        <f>VLOOKUP(C3720,METADATA!$A$5:$H$29,IF(E3720="HI",2,IF(E3720="LO",6,10))+IF(T3720=1,2,IF(D3720=7,1,(IF(WEEKDAY(B3720)=1,2,IF(WEEKDAY(B3720)=7,1,0))))))</f>
        <v>1</v>
      </c>
    </row>
    <row r="3721" spans="2:22">
      <c r="B3721" s="318">
        <f t="shared" si="231"/>
        <v>46267</v>
      </c>
      <c r="C3721" s="312">
        <v>21</v>
      </c>
      <c r="D3721" s="368">
        <f>IFERROR((INDEX(METADATA!$T$2:$T$20,MATCH(B3721,METADATA!$S$2:$S$20,0))),0)</f>
        <v>0</v>
      </c>
      <c r="E3721" s="312" t="str">
        <f t="shared" si="232"/>
        <v>LO</v>
      </c>
      <c r="F3721" s="369">
        <f>VLOOKUP(C3721,METADATA!$A$5:$H$29,IF(E3721="HI",2,IF(E3721="LO",6,10))+IF(D3721=1,2,IF(D3721=7,1,(IF(WEEKDAY(B3721)=1,2,IF(WEEKDAY(B3721)=7,1,0))))))</f>
        <v>2</v>
      </c>
      <c r="G3721" s="369">
        <f>VLOOKUP(C3721,METADATA!$J$5:$Q$29,IF(E3721="HI",2,IF(E3721="LO",6,10))+IF(D3721=1,2,IF(D3721=7,1,(IF(WEEKDAY(B3721)=1,2,IF(WEEKDAY(B3721)=7,1,0))))))</f>
        <v>2</v>
      </c>
      <c r="H3721" s="370">
        <v>4989.5425109863281</v>
      </c>
      <c r="I3721" s="370">
        <v>1259.0650024414063</v>
      </c>
      <c r="M3721" s="371">
        <f t="shared" si="233"/>
        <v>5145.9478377955338</v>
      </c>
      <c r="N3721" s="329">
        <f t="shared" si="234"/>
        <v>0</v>
      </c>
      <c r="T3721" s="331">
        <v>0</v>
      </c>
      <c r="U3721" s="328">
        <f>VLOOKUP(C3721,METADATA!$J$5:$Q$29,IF(E3721="HI",2,IF(E3721="LO",6,10))+IF(T3721=1,2,IF(D3721=7,1,(IF(WEEKDAY(B3721)=1,2,IF(WEEKDAY(B3721)=7,1,0))))))</f>
        <v>2</v>
      </c>
      <c r="V3721" s="328">
        <f>VLOOKUP(C3721,METADATA!$A$5:$H$29,IF(E3721="HI",2,IF(E3721="LO",6,10))+IF(T3721=1,2,IF(D3721=7,1,(IF(WEEKDAY(B3721)=1,2,IF(WEEKDAY(B3721)=7,1,0))))))</f>
        <v>2</v>
      </c>
    </row>
    <row r="3722" spans="2:22">
      <c r="B3722" s="318">
        <f t="shared" si="231"/>
        <v>46267</v>
      </c>
      <c r="C3722" s="312">
        <v>22</v>
      </c>
      <c r="D3722" s="368">
        <f>IFERROR((INDEX(METADATA!$T$2:$T$20,MATCH(B3722,METADATA!$S$2:$S$20,0))),0)</f>
        <v>0</v>
      </c>
      <c r="E3722" s="312" t="str">
        <f t="shared" si="232"/>
        <v>LO</v>
      </c>
      <c r="F3722" s="369">
        <f>VLOOKUP(C3722,METADATA!$A$5:$H$29,IF(E3722="HI",2,IF(E3722="LO",6,10))+IF(D3722=1,2,IF(D3722=7,1,(IF(WEEKDAY(B3722)=1,2,IF(WEEKDAY(B3722)=7,1,0))))))</f>
        <v>3</v>
      </c>
      <c r="G3722" s="369">
        <f>VLOOKUP(C3722,METADATA!$J$5:$Q$29,IF(E3722="HI",2,IF(E3722="LO",6,10))+IF(D3722=1,2,IF(D3722=7,1,(IF(WEEKDAY(B3722)=1,2,IF(WEEKDAY(B3722)=7,1,0))))))</f>
        <v>3</v>
      </c>
      <c r="H3722" s="370">
        <v>4990.0574340820313</v>
      </c>
      <c r="I3722" s="370">
        <v>1297.9474792480469</v>
      </c>
      <c r="M3722" s="371">
        <f t="shared" si="233"/>
        <v>5156.0974442230727</v>
      </c>
      <c r="N3722" s="329">
        <f t="shared" si="234"/>
        <v>0</v>
      </c>
      <c r="T3722" s="331">
        <v>0</v>
      </c>
      <c r="U3722" s="328">
        <f>VLOOKUP(C3722,METADATA!$J$5:$Q$29,IF(E3722="HI",2,IF(E3722="LO",6,10))+IF(T3722=1,2,IF(D3722=7,1,(IF(WEEKDAY(B3722)=1,2,IF(WEEKDAY(B3722)=7,1,0))))))</f>
        <v>3</v>
      </c>
      <c r="V3722" s="328">
        <f>VLOOKUP(C3722,METADATA!$A$5:$H$29,IF(E3722="HI",2,IF(E3722="LO",6,10))+IF(T3722=1,2,IF(D3722=7,1,(IF(WEEKDAY(B3722)=1,2,IF(WEEKDAY(B3722)=7,1,0))))))</f>
        <v>3</v>
      </c>
    </row>
    <row r="3723" spans="2:22">
      <c r="B3723" s="318">
        <f t="shared" si="231"/>
        <v>46267</v>
      </c>
      <c r="C3723" s="312">
        <v>23</v>
      </c>
      <c r="D3723" s="368">
        <f>IFERROR((INDEX(METADATA!$T$2:$T$20,MATCH(B3723,METADATA!$S$2:$S$20,0))),0)</f>
        <v>0</v>
      </c>
      <c r="E3723" s="312" t="str">
        <f t="shared" si="232"/>
        <v>LO</v>
      </c>
      <c r="F3723" s="369">
        <f>VLOOKUP(C3723,METADATA!$A$5:$H$29,IF(E3723="HI",2,IF(E3723="LO",6,10))+IF(D3723=1,2,IF(D3723=7,1,(IF(WEEKDAY(B3723)=1,2,IF(WEEKDAY(B3723)=7,1,0))))))</f>
        <v>3</v>
      </c>
      <c r="G3723" s="369">
        <f>VLOOKUP(C3723,METADATA!$J$5:$Q$29,IF(E3723="HI",2,IF(E3723="LO",6,10))+IF(D3723=1,2,IF(D3723=7,1,(IF(WEEKDAY(B3723)=1,2,IF(WEEKDAY(B3723)=7,1,0))))))</f>
        <v>3</v>
      </c>
      <c r="H3723" s="370">
        <v>5003.4999389648438</v>
      </c>
      <c r="I3723" s="370">
        <v>1311.9800109863281</v>
      </c>
      <c r="M3723" s="371">
        <f t="shared" si="233"/>
        <v>5172.6495327297089</v>
      </c>
      <c r="N3723" s="329">
        <f t="shared" si="234"/>
        <v>0</v>
      </c>
      <c r="T3723" s="331">
        <v>0</v>
      </c>
      <c r="U3723" s="328">
        <f>VLOOKUP(C3723,METADATA!$J$5:$Q$29,IF(E3723="HI",2,IF(E3723="LO",6,10))+IF(T3723=1,2,IF(D3723=7,1,(IF(WEEKDAY(B3723)=1,2,IF(WEEKDAY(B3723)=7,1,0))))))</f>
        <v>3</v>
      </c>
      <c r="V3723" s="328">
        <f>VLOOKUP(C3723,METADATA!$A$5:$H$29,IF(E3723="HI",2,IF(E3723="LO",6,10))+IF(T3723=1,2,IF(D3723=7,1,(IF(WEEKDAY(B3723)=1,2,IF(WEEKDAY(B3723)=7,1,0))))))</f>
        <v>3</v>
      </c>
    </row>
    <row r="3724" spans="2:22">
      <c r="B3724" s="318">
        <f t="shared" si="231"/>
        <v>46268</v>
      </c>
      <c r="C3724" s="312">
        <v>0</v>
      </c>
      <c r="D3724" s="368">
        <f>IFERROR((INDEX(METADATA!$T$2:$T$20,MATCH(B3724,METADATA!$S$2:$S$20,0))),0)</f>
        <v>0</v>
      </c>
      <c r="E3724" s="312" t="str">
        <f t="shared" si="232"/>
        <v>LO</v>
      </c>
      <c r="F3724" s="369">
        <f>VLOOKUP(C3724,METADATA!$A$5:$H$29,IF(E3724="HI",2,IF(E3724="LO",6,10))+IF(D3724=1,2,IF(D3724=7,1,(IF(WEEKDAY(B3724)=1,2,IF(WEEKDAY(B3724)=7,1,0))))))</f>
        <v>3</v>
      </c>
      <c r="G3724" s="369">
        <f>VLOOKUP(C3724,METADATA!$J$5:$Q$29,IF(E3724="HI",2,IF(E3724="LO",6,10))+IF(D3724=1,2,IF(D3724=7,1,(IF(WEEKDAY(B3724)=1,2,IF(WEEKDAY(B3724)=7,1,0))))))</f>
        <v>3</v>
      </c>
      <c r="H3724" s="370">
        <v>5016.7375183105469</v>
      </c>
      <c r="I3724" s="370">
        <v>1343.3775024414063</v>
      </c>
      <c r="M3724" s="371">
        <f t="shared" si="233"/>
        <v>5193.4880804417344</v>
      </c>
      <c r="N3724" s="329">
        <f t="shared" si="234"/>
        <v>0</v>
      </c>
      <c r="T3724" s="331">
        <v>0</v>
      </c>
      <c r="U3724" s="328">
        <f>VLOOKUP(C3724,METADATA!$J$5:$Q$29,IF(E3724="HI",2,IF(E3724="LO",6,10))+IF(T3724=1,2,IF(D3724=7,1,(IF(WEEKDAY(B3724)=1,2,IF(WEEKDAY(B3724)=7,1,0))))))</f>
        <v>3</v>
      </c>
      <c r="V3724" s="328">
        <f>VLOOKUP(C3724,METADATA!$A$5:$H$29,IF(E3724="HI",2,IF(E3724="LO",6,10))+IF(T3724=1,2,IF(D3724=7,1,(IF(WEEKDAY(B3724)=1,2,IF(WEEKDAY(B3724)=7,1,0))))))</f>
        <v>3</v>
      </c>
    </row>
    <row r="3725" spans="2:22">
      <c r="B3725" s="318">
        <f t="shared" si="231"/>
        <v>46268</v>
      </c>
      <c r="C3725" s="312">
        <v>1</v>
      </c>
      <c r="D3725" s="368">
        <f>IFERROR((INDEX(METADATA!$T$2:$T$20,MATCH(B3725,METADATA!$S$2:$S$20,0))),0)</f>
        <v>0</v>
      </c>
      <c r="E3725" s="312" t="str">
        <f t="shared" si="232"/>
        <v>LO</v>
      </c>
      <c r="F3725" s="369">
        <f>VLOOKUP(C3725,METADATA!$A$5:$H$29,IF(E3725="HI",2,IF(E3725="LO",6,10))+IF(D3725=1,2,IF(D3725=7,1,(IF(WEEKDAY(B3725)=1,2,IF(WEEKDAY(B3725)=7,1,0))))))</f>
        <v>3</v>
      </c>
      <c r="G3725" s="369">
        <f>VLOOKUP(C3725,METADATA!$J$5:$Q$29,IF(E3725="HI",2,IF(E3725="LO",6,10))+IF(D3725=1,2,IF(D3725=7,1,(IF(WEEKDAY(B3725)=1,2,IF(WEEKDAY(B3725)=7,1,0))))))</f>
        <v>3</v>
      </c>
      <c r="H3725" s="370">
        <v>4921.0950317382813</v>
      </c>
      <c r="I3725" s="370">
        <v>1333.3575134277344</v>
      </c>
      <c r="M3725" s="371">
        <f t="shared" si="233"/>
        <v>5098.531020795439</v>
      </c>
      <c r="N3725" s="329">
        <f t="shared" si="234"/>
        <v>0</v>
      </c>
      <c r="T3725" s="331">
        <v>0</v>
      </c>
      <c r="U3725" s="328">
        <f>VLOOKUP(C3725,METADATA!$J$5:$Q$29,IF(E3725="HI",2,IF(E3725="LO",6,10))+IF(T3725=1,2,IF(D3725=7,1,(IF(WEEKDAY(B3725)=1,2,IF(WEEKDAY(B3725)=7,1,0))))))</f>
        <v>3</v>
      </c>
      <c r="V3725" s="328">
        <f>VLOOKUP(C3725,METADATA!$A$5:$H$29,IF(E3725="HI",2,IF(E3725="LO",6,10))+IF(T3725=1,2,IF(D3725=7,1,(IF(WEEKDAY(B3725)=1,2,IF(WEEKDAY(B3725)=7,1,0))))))</f>
        <v>3</v>
      </c>
    </row>
    <row r="3726" spans="2:22">
      <c r="B3726" s="318">
        <f t="shared" si="231"/>
        <v>46268</v>
      </c>
      <c r="C3726" s="312">
        <v>2</v>
      </c>
      <c r="D3726" s="368">
        <f>IFERROR((INDEX(METADATA!$T$2:$T$20,MATCH(B3726,METADATA!$S$2:$S$20,0))),0)</f>
        <v>0</v>
      </c>
      <c r="E3726" s="312" t="str">
        <f t="shared" si="232"/>
        <v>LO</v>
      </c>
      <c r="F3726" s="369">
        <f>VLOOKUP(C3726,METADATA!$A$5:$H$29,IF(E3726="HI",2,IF(E3726="LO",6,10))+IF(D3726=1,2,IF(D3726=7,1,(IF(WEEKDAY(B3726)=1,2,IF(WEEKDAY(B3726)=7,1,0))))))</f>
        <v>3</v>
      </c>
      <c r="G3726" s="369">
        <f>VLOOKUP(C3726,METADATA!$J$5:$Q$29,IF(E3726="HI",2,IF(E3726="LO",6,10))+IF(D3726=1,2,IF(D3726=7,1,(IF(WEEKDAY(B3726)=1,2,IF(WEEKDAY(B3726)=7,1,0))))))</f>
        <v>3</v>
      </c>
      <c r="H3726" s="370">
        <v>4949.5575866699219</v>
      </c>
      <c r="I3726" s="370">
        <v>1325.7400207519531</v>
      </c>
      <c r="M3726" s="371">
        <f t="shared" si="233"/>
        <v>5124.0322897484912</v>
      </c>
      <c r="N3726" s="329">
        <f t="shared" si="234"/>
        <v>0</v>
      </c>
      <c r="T3726" s="331">
        <v>0</v>
      </c>
      <c r="U3726" s="328">
        <f>VLOOKUP(C3726,METADATA!$J$5:$Q$29,IF(E3726="HI",2,IF(E3726="LO",6,10))+IF(T3726=1,2,IF(D3726=7,1,(IF(WEEKDAY(B3726)=1,2,IF(WEEKDAY(B3726)=7,1,0))))))</f>
        <v>3</v>
      </c>
      <c r="V3726" s="328">
        <f>VLOOKUP(C3726,METADATA!$A$5:$H$29,IF(E3726="HI",2,IF(E3726="LO",6,10))+IF(T3726=1,2,IF(D3726=7,1,(IF(WEEKDAY(B3726)=1,2,IF(WEEKDAY(B3726)=7,1,0))))))</f>
        <v>3</v>
      </c>
    </row>
    <row r="3727" spans="2:22">
      <c r="B3727" s="318">
        <f t="shared" si="231"/>
        <v>46268</v>
      </c>
      <c r="C3727" s="312">
        <v>3</v>
      </c>
      <c r="D3727" s="368">
        <f>IFERROR((INDEX(METADATA!$T$2:$T$20,MATCH(B3727,METADATA!$S$2:$S$20,0))),0)</f>
        <v>0</v>
      </c>
      <c r="E3727" s="312" t="str">
        <f t="shared" si="232"/>
        <v>LO</v>
      </c>
      <c r="F3727" s="369">
        <f>VLOOKUP(C3727,METADATA!$A$5:$H$29,IF(E3727="HI",2,IF(E3727="LO",6,10))+IF(D3727=1,2,IF(D3727=7,1,(IF(WEEKDAY(B3727)=1,2,IF(WEEKDAY(B3727)=7,1,0))))))</f>
        <v>3</v>
      </c>
      <c r="G3727" s="369">
        <f>VLOOKUP(C3727,METADATA!$J$5:$Q$29,IF(E3727="HI",2,IF(E3727="LO",6,10))+IF(D3727=1,2,IF(D3727=7,1,(IF(WEEKDAY(B3727)=1,2,IF(WEEKDAY(B3727)=7,1,0))))))</f>
        <v>3</v>
      </c>
      <c r="H3727" s="370">
        <v>5155.8799743652344</v>
      </c>
      <c r="I3727" s="370">
        <v>1336.1050109863281</v>
      </c>
      <c r="M3727" s="371">
        <f t="shared" si="233"/>
        <v>5326.1876525750786</v>
      </c>
      <c r="N3727" s="329">
        <f t="shared" si="234"/>
        <v>0</v>
      </c>
      <c r="T3727" s="331">
        <v>0</v>
      </c>
      <c r="U3727" s="328">
        <f>VLOOKUP(C3727,METADATA!$J$5:$Q$29,IF(E3727="HI",2,IF(E3727="LO",6,10))+IF(T3727=1,2,IF(D3727=7,1,(IF(WEEKDAY(B3727)=1,2,IF(WEEKDAY(B3727)=7,1,0))))))</f>
        <v>3</v>
      </c>
      <c r="V3727" s="328">
        <f>VLOOKUP(C3727,METADATA!$A$5:$H$29,IF(E3727="HI",2,IF(E3727="LO",6,10))+IF(T3727=1,2,IF(D3727=7,1,(IF(WEEKDAY(B3727)=1,2,IF(WEEKDAY(B3727)=7,1,0))))))</f>
        <v>3</v>
      </c>
    </row>
    <row r="3728" spans="2:22">
      <c r="B3728" s="318">
        <f t="shared" si="231"/>
        <v>46268</v>
      </c>
      <c r="C3728" s="312">
        <v>4</v>
      </c>
      <c r="D3728" s="368">
        <f>IFERROR((INDEX(METADATA!$T$2:$T$20,MATCH(B3728,METADATA!$S$2:$S$20,0))),0)</f>
        <v>0</v>
      </c>
      <c r="E3728" s="312" t="str">
        <f t="shared" si="232"/>
        <v>LO</v>
      </c>
      <c r="F3728" s="369">
        <f>VLOOKUP(C3728,METADATA!$A$5:$H$29,IF(E3728="HI",2,IF(E3728="LO",6,10))+IF(D3728=1,2,IF(D3728=7,1,(IF(WEEKDAY(B3728)=1,2,IF(WEEKDAY(B3728)=7,1,0))))))</f>
        <v>3</v>
      </c>
      <c r="G3728" s="369">
        <f>VLOOKUP(C3728,METADATA!$J$5:$Q$29,IF(E3728="HI",2,IF(E3728="LO",6,10))+IF(D3728=1,2,IF(D3728=7,1,(IF(WEEKDAY(B3728)=1,2,IF(WEEKDAY(B3728)=7,1,0))))))</f>
        <v>3</v>
      </c>
      <c r="H3728" s="370">
        <v>5139.0476379394531</v>
      </c>
      <c r="I3728" s="370">
        <v>1324.4349670410156</v>
      </c>
      <c r="M3728" s="371">
        <f t="shared" si="233"/>
        <v>5306.9707561783307</v>
      </c>
      <c r="N3728" s="329">
        <f t="shared" si="234"/>
        <v>0</v>
      </c>
      <c r="T3728" s="331">
        <v>0</v>
      </c>
      <c r="U3728" s="328">
        <f>VLOOKUP(C3728,METADATA!$J$5:$Q$29,IF(E3728="HI",2,IF(E3728="LO",6,10))+IF(T3728=1,2,IF(D3728=7,1,(IF(WEEKDAY(B3728)=1,2,IF(WEEKDAY(B3728)=7,1,0))))))</f>
        <v>3</v>
      </c>
      <c r="V3728" s="328">
        <f>VLOOKUP(C3728,METADATA!$A$5:$H$29,IF(E3728="HI",2,IF(E3728="LO",6,10))+IF(T3728=1,2,IF(D3728=7,1,(IF(WEEKDAY(B3728)=1,2,IF(WEEKDAY(B3728)=7,1,0))))))</f>
        <v>3</v>
      </c>
    </row>
    <row r="3729" spans="2:22">
      <c r="B3729" s="318">
        <f t="shared" si="231"/>
        <v>46268</v>
      </c>
      <c r="C3729" s="312">
        <v>5</v>
      </c>
      <c r="D3729" s="368">
        <f>IFERROR((INDEX(METADATA!$T$2:$T$20,MATCH(B3729,METADATA!$S$2:$S$20,0))),0)</f>
        <v>0</v>
      </c>
      <c r="E3729" s="312" t="str">
        <f t="shared" si="232"/>
        <v>LO</v>
      </c>
      <c r="F3729" s="369">
        <f>VLOOKUP(C3729,METADATA!$A$5:$H$29,IF(E3729="HI",2,IF(E3729="LO",6,10))+IF(D3729=1,2,IF(D3729=7,1,(IF(WEEKDAY(B3729)=1,2,IF(WEEKDAY(B3729)=7,1,0))))))</f>
        <v>3</v>
      </c>
      <c r="G3729" s="369">
        <f>VLOOKUP(C3729,METADATA!$J$5:$Q$29,IF(E3729="HI",2,IF(E3729="LO",6,10))+IF(D3729=1,2,IF(D3729=7,1,(IF(WEEKDAY(B3729)=1,2,IF(WEEKDAY(B3729)=7,1,0))))))</f>
        <v>3</v>
      </c>
      <c r="H3729" s="370">
        <v>5066.8125</v>
      </c>
      <c r="I3729" s="370">
        <v>1318.1075134277344</v>
      </c>
      <c r="M3729" s="371">
        <f t="shared" si="233"/>
        <v>5235.4556943126636</v>
      </c>
      <c r="N3729" s="329">
        <f t="shared" si="234"/>
        <v>0</v>
      </c>
      <c r="T3729" s="331">
        <v>0</v>
      </c>
      <c r="U3729" s="328">
        <f>VLOOKUP(C3729,METADATA!$J$5:$Q$29,IF(E3729="HI",2,IF(E3729="LO",6,10))+IF(T3729=1,2,IF(D3729=7,1,(IF(WEEKDAY(B3729)=1,2,IF(WEEKDAY(B3729)=7,1,0))))))</f>
        <v>3</v>
      </c>
      <c r="V3729" s="328">
        <f>VLOOKUP(C3729,METADATA!$A$5:$H$29,IF(E3729="HI",2,IF(E3729="LO",6,10))+IF(T3729=1,2,IF(D3729=7,1,(IF(WEEKDAY(B3729)=1,2,IF(WEEKDAY(B3729)=7,1,0))))))</f>
        <v>3</v>
      </c>
    </row>
    <row r="3730" spans="2:22">
      <c r="B3730" s="318">
        <f t="shared" si="231"/>
        <v>46268</v>
      </c>
      <c r="C3730" s="312">
        <v>6</v>
      </c>
      <c r="D3730" s="368">
        <f>IFERROR((INDEX(METADATA!$T$2:$T$20,MATCH(B3730,METADATA!$S$2:$S$20,0))),0)</f>
        <v>0</v>
      </c>
      <c r="E3730" s="312" t="str">
        <f t="shared" si="232"/>
        <v>LO</v>
      </c>
      <c r="F3730" s="369">
        <f>VLOOKUP(C3730,METADATA!$A$5:$H$29,IF(E3730="HI",2,IF(E3730="LO",6,10))+IF(D3730=1,2,IF(D3730=7,1,(IF(WEEKDAY(B3730)=1,2,IF(WEEKDAY(B3730)=7,1,0))))))</f>
        <v>2</v>
      </c>
      <c r="G3730" s="369">
        <f>VLOOKUP(C3730,METADATA!$J$5:$Q$29,IF(E3730="HI",2,IF(E3730="LO",6,10))+IF(D3730=1,2,IF(D3730=7,1,(IF(WEEKDAY(B3730)=1,2,IF(WEEKDAY(B3730)=7,1,0))))))</f>
        <v>2</v>
      </c>
      <c r="H3730" s="370">
        <v>4877.1400451660156</v>
      </c>
      <c r="I3730" s="370">
        <v>1332.79248046875</v>
      </c>
      <c r="M3730" s="371">
        <f t="shared" si="233"/>
        <v>5055.969819545604</v>
      </c>
      <c r="N3730" s="329">
        <f t="shared" si="234"/>
        <v>0</v>
      </c>
      <c r="T3730" s="331">
        <v>0</v>
      </c>
      <c r="U3730" s="328">
        <f>VLOOKUP(C3730,METADATA!$J$5:$Q$29,IF(E3730="HI",2,IF(E3730="LO",6,10))+IF(T3730=1,2,IF(D3730=7,1,(IF(WEEKDAY(B3730)=1,2,IF(WEEKDAY(B3730)=7,1,0))))))</f>
        <v>2</v>
      </c>
      <c r="V3730" s="328">
        <f>VLOOKUP(C3730,METADATA!$A$5:$H$29,IF(E3730="HI",2,IF(E3730="LO",6,10))+IF(T3730=1,2,IF(D3730=7,1,(IF(WEEKDAY(B3730)=1,2,IF(WEEKDAY(B3730)=7,1,0))))))</f>
        <v>2</v>
      </c>
    </row>
    <row r="3731" spans="2:22">
      <c r="B3731" s="318">
        <f t="shared" si="231"/>
        <v>46268</v>
      </c>
      <c r="C3731" s="312">
        <v>7</v>
      </c>
      <c r="D3731" s="368">
        <f>IFERROR((INDEX(METADATA!$T$2:$T$20,MATCH(B3731,METADATA!$S$2:$S$20,0))),0)</f>
        <v>0</v>
      </c>
      <c r="E3731" s="312" t="str">
        <f t="shared" si="232"/>
        <v>LO</v>
      </c>
      <c r="F3731" s="369">
        <f>VLOOKUP(C3731,METADATA!$A$5:$H$29,IF(E3731="HI",2,IF(E3731="LO",6,10))+IF(D3731=1,2,IF(D3731=7,1,(IF(WEEKDAY(B3731)=1,2,IF(WEEKDAY(B3731)=7,1,0))))))</f>
        <v>1</v>
      </c>
      <c r="G3731" s="369">
        <f>VLOOKUP(C3731,METADATA!$J$5:$Q$29,IF(E3731="HI",2,IF(E3731="LO",6,10))+IF(D3731=1,2,IF(D3731=7,1,(IF(WEEKDAY(B3731)=1,2,IF(WEEKDAY(B3731)=7,1,0))))))</f>
        <v>1</v>
      </c>
      <c r="H3731" s="370">
        <v>4901.8475341796875</v>
      </c>
      <c r="I3731" s="370">
        <v>1311.9075012207031</v>
      </c>
      <c r="M3731" s="371">
        <f t="shared" si="233"/>
        <v>5074.3679941548025</v>
      </c>
      <c r="N3731" s="329">
        <f t="shared" si="234"/>
        <v>0</v>
      </c>
      <c r="T3731" s="331">
        <v>0</v>
      </c>
      <c r="U3731" s="328">
        <f>VLOOKUP(C3731,METADATA!$J$5:$Q$29,IF(E3731="HI",2,IF(E3731="LO",6,10))+IF(T3731=1,2,IF(D3731=7,1,(IF(WEEKDAY(B3731)=1,2,IF(WEEKDAY(B3731)=7,1,0))))))</f>
        <v>1</v>
      </c>
      <c r="V3731" s="328">
        <f>VLOOKUP(C3731,METADATA!$A$5:$H$29,IF(E3731="HI",2,IF(E3731="LO",6,10))+IF(T3731=1,2,IF(D3731=7,1,(IF(WEEKDAY(B3731)=1,2,IF(WEEKDAY(B3731)=7,1,0))))))</f>
        <v>1</v>
      </c>
    </row>
    <row r="3732" spans="2:22">
      <c r="B3732" s="318">
        <f t="shared" si="231"/>
        <v>46268</v>
      </c>
      <c r="C3732" s="312">
        <v>8</v>
      </c>
      <c r="D3732" s="368">
        <f>IFERROR((INDEX(METADATA!$T$2:$T$20,MATCH(B3732,METADATA!$S$2:$S$20,0))),0)</f>
        <v>0</v>
      </c>
      <c r="E3732" s="312" t="str">
        <f t="shared" si="232"/>
        <v>LO</v>
      </c>
      <c r="F3732" s="369">
        <f>VLOOKUP(C3732,METADATA!$A$5:$H$29,IF(E3732="HI",2,IF(E3732="LO",6,10))+IF(D3732=1,2,IF(D3732=7,1,(IF(WEEKDAY(B3732)=1,2,IF(WEEKDAY(B3732)=7,1,0))))))</f>
        <v>1</v>
      </c>
      <c r="G3732" s="369">
        <f>VLOOKUP(C3732,METADATA!$J$5:$Q$29,IF(E3732="HI",2,IF(E3732="LO",6,10))+IF(D3732=1,2,IF(D3732=7,1,(IF(WEEKDAY(B3732)=1,2,IF(WEEKDAY(B3732)=7,1,0))))))</f>
        <v>1</v>
      </c>
      <c r="H3732" s="370">
        <v>4475.54248046875</v>
      </c>
      <c r="I3732" s="370">
        <v>1298.8100280761719</v>
      </c>
      <c r="M3732" s="371">
        <f t="shared" si="233"/>
        <v>4660.1918397756544</v>
      </c>
      <c r="N3732" s="329">
        <f t="shared" si="234"/>
        <v>0</v>
      </c>
      <c r="T3732" s="331">
        <v>0</v>
      </c>
      <c r="U3732" s="328">
        <f>VLOOKUP(C3732,METADATA!$J$5:$Q$29,IF(E3732="HI",2,IF(E3732="LO",6,10))+IF(T3732=1,2,IF(D3732=7,1,(IF(WEEKDAY(B3732)=1,2,IF(WEEKDAY(B3732)=7,1,0))))))</f>
        <v>1</v>
      </c>
      <c r="V3732" s="328">
        <f>VLOOKUP(C3732,METADATA!$A$5:$H$29,IF(E3732="HI",2,IF(E3732="LO",6,10))+IF(T3732=1,2,IF(D3732=7,1,(IF(WEEKDAY(B3732)=1,2,IF(WEEKDAY(B3732)=7,1,0))))))</f>
        <v>1</v>
      </c>
    </row>
    <row r="3733" spans="2:22">
      <c r="B3733" s="318">
        <f t="shared" si="231"/>
        <v>46268</v>
      </c>
      <c r="C3733" s="312">
        <v>9</v>
      </c>
      <c r="D3733" s="368">
        <f>IFERROR((INDEX(METADATA!$T$2:$T$20,MATCH(B3733,METADATA!$S$2:$S$20,0))),0)</f>
        <v>0</v>
      </c>
      <c r="E3733" s="312" t="str">
        <f t="shared" si="232"/>
        <v>LO</v>
      </c>
      <c r="F3733" s="369">
        <f>VLOOKUP(C3733,METADATA!$A$5:$H$29,IF(E3733="HI",2,IF(E3733="LO",6,10))+IF(D3733=1,2,IF(D3733=7,1,(IF(WEEKDAY(B3733)=1,2,IF(WEEKDAY(B3733)=7,1,0))))))</f>
        <v>2</v>
      </c>
      <c r="G3733" s="369">
        <f>VLOOKUP(C3733,METADATA!$J$5:$Q$29,IF(E3733="HI",2,IF(E3733="LO",6,10))+IF(D3733=1,2,IF(D3733=7,1,(IF(WEEKDAY(B3733)=1,2,IF(WEEKDAY(B3733)=7,1,0))))))</f>
        <v>2</v>
      </c>
      <c r="H3733" s="370">
        <v>4442.7899780273438</v>
      </c>
      <c r="I3733" s="370">
        <v>1296.5024719238281</v>
      </c>
      <c r="M3733" s="371">
        <f t="shared" si="233"/>
        <v>4628.0991182735925</v>
      </c>
      <c r="N3733" s="329">
        <f t="shared" si="234"/>
        <v>0</v>
      </c>
      <c r="T3733" s="331">
        <v>0</v>
      </c>
      <c r="U3733" s="328">
        <f>VLOOKUP(C3733,METADATA!$J$5:$Q$29,IF(E3733="HI",2,IF(E3733="LO",6,10))+IF(T3733=1,2,IF(D3733=7,1,(IF(WEEKDAY(B3733)=1,2,IF(WEEKDAY(B3733)=7,1,0))))))</f>
        <v>2</v>
      </c>
      <c r="V3733" s="328">
        <f>VLOOKUP(C3733,METADATA!$A$5:$H$29,IF(E3733="HI",2,IF(E3733="LO",6,10))+IF(T3733=1,2,IF(D3733=7,1,(IF(WEEKDAY(B3733)=1,2,IF(WEEKDAY(B3733)=7,1,0))))))</f>
        <v>2</v>
      </c>
    </row>
    <row r="3734" spans="2:22">
      <c r="B3734" s="318">
        <f t="shared" si="231"/>
        <v>46268</v>
      </c>
      <c r="C3734" s="312">
        <v>10</v>
      </c>
      <c r="D3734" s="368">
        <f>IFERROR((INDEX(METADATA!$T$2:$T$20,MATCH(B3734,METADATA!$S$2:$S$20,0))),0)</f>
        <v>0</v>
      </c>
      <c r="E3734" s="312" t="str">
        <f t="shared" si="232"/>
        <v>LO</v>
      </c>
      <c r="F3734" s="369">
        <f>VLOOKUP(C3734,METADATA!$A$5:$H$29,IF(E3734="HI",2,IF(E3734="LO",6,10))+IF(D3734=1,2,IF(D3734=7,1,(IF(WEEKDAY(B3734)=1,2,IF(WEEKDAY(B3734)=7,1,0))))))</f>
        <v>2</v>
      </c>
      <c r="G3734" s="369">
        <f>VLOOKUP(C3734,METADATA!$J$5:$Q$29,IF(E3734="HI",2,IF(E3734="LO",6,10))+IF(D3734=1,2,IF(D3734=7,1,(IF(WEEKDAY(B3734)=1,2,IF(WEEKDAY(B3734)=7,1,0))))))</f>
        <v>2</v>
      </c>
      <c r="H3734" s="370">
        <v>4933.3825073242188</v>
      </c>
      <c r="I3734" s="370">
        <v>1306.4424438476563</v>
      </c>
      <c r="M3734" s="371">
        <f t="shared" si="233"/>
        <v>5103.4355901352601</v>
      </c>
      <c r="N3734" s="329">
        <f t="shared" si="234"/>
        <v>0</v>
      </c>
      <c r="T3734" s="331">
        <v>0</v>
      </c>
      <c r="U3734" s="328">
        <f>VLOOKUP(C3734,METADATA!$J$5:$Q$29,IF(E3734="HI",2,IF(E3734="LO",6,10))+IF(T3734=1,2,IF(D3734=7,1,(IF(WEEKDAY(B3734)=1,2,IF(WEEKDAY(B3734)=7,1,0))))))</f>
        <v>2</v>
      </c>
      <c r="V3734" s="328">
        <f>VLOOKUP(C3734,METADATA!$A$5:$H$29,IF(E3734="HI",2,IF(E3734="LO",6,10))+IF(T3734=1,2,IF(D3734=7,1,(IF(WEEKDAY(B3734)=1,2,IF(WEEKDAY(B3734)=7,1,0))))))</f>
        <v>2</v>
      </c>
    </row>
    <row r="3735" spans="2:22">
      <c r="B3735" s="318">
        <f t="shared" si="231"/>
        <v>46268</v>
      </c>
      <c r="C3735" s="312">
        <v>11</v>
      </c>
      <c r="D3735" s="368">
        <f>IFERROR((INDEX(METADATA!$T$2:$T$20,MATCH(B3735,METADATA!$S$2:$S$20,0))),0)</f>
        <v>0</v>
      </c>
      <c r="E3735" s="312" t="str">
        <f t="shared" si="232"/>
        <v>LO</v>
      </c>
      <c r="F3735" s="369">
        <f>VLOOKUP(C3735,METADATA!$A$5:$H$29,IF(E3735="HI",2,IF(E3735="LO",6,10))+IF(D3735=1,2,IF(D3735=7,1,(IF(WEEKDAY(B3735)=1,2,IF(WEEKDAY(B3735)=7,1,0))))))</f>
        <v>2</v>
      </c>
      <c r="G3735" s="369">
        <f>VLOOKUP(C3735,METADATA!$J$5:$Q$29,IF(E3735="HI",2,IF(E3735="LO",6,10))+IF(D3735=1,2,IF(D3735=7,1,(IF(WEEKDAY(B3735)=1,2,IF(WEEKDAY(B3735)=7,1,0))))))</f>
        <v>2</v>
      </c>
      <c r="H3735" s="370">
        <v>4830.7050170898438</v>
      </c>
      <c r="I3735" s="370">
        <v>1320.4075012207031</v>
      </c>
      <c r="M3735" s="371">
        <f t="shared" si="233"/>
        <v>5007.912432482909</v>
      </c>
      <c r="N3735" s="329">
        <f t="shared" si="234"/>
        <v>0</v>
      </c>
      <c r="T3735" s="331">
        <v>0</v>
      </c>
      <c r="U3735" s="328">
        <f>VLOOKUP(C3735,METADATA!$J$5:$Q$29,IF(E3735="HI",2,IF(E3735="LO",6,10))+IF(T3735=1,2,IF(D3735=7,1,(IF(WEEKDAY(B3735)=1,2,IF(WEEKDAY(B3735)=7,1,0))))))</f>
        <v>2</v>
      </c>
      <c r="V3735" s="328">
        <f>VLOOKUP(C3735,METADATA!$A$5:$H$29,IF(E3735="HI",2,IF(E3735="LO",6,10))+IF(T3735=1,2,IF(D3735=7,1,(IF(WEEKDAY(B3735)=1,2,IF(WEEKDAY(B3735)=7,1,0))))))</f>
        <v>2</v>
      </c>
    </row>
    <row r="3736" spans="2:22">
      <c r="B3736" s="318">
        <f t="shared" si="231"/>
        <v>46268</v>
      </c>
      <c r="C3736" s="312">
        <v>12</v>
      </c>
      <c r="D3736" s="368">
        <f>IFERROR((INDEX(METADATA!$T$2:$T$20,MATCH(B3736,METADATA!$S$2:$S$20,0))),0)</f>
        <v>0</v>
      </c>
      <c r="E3736" s="312" t="str">
        <f t="shared" si="232"/>
        <v>LO</v>
      </c>
      <c r="F3736" s="369">
        <f>VLOOKUP(C3736,METADATA!$A$5:$H$29,IF(E3736="HI",2,IF(E3736="LO",6,10))+IF(D3736=1,2,IF(D3736=7,1,(IF(WEEKDAY(B3736)=1,2,IF(WEEKDAY(B3736)=7,1,0))))))</f>
        <v>2</v>
      </c>
      <c r="G3736" s="369">
        <f>VLOOKUP(C3736,METADATA!$J$5:$Q$29,IF(E3736="HI",2,IF(E3736="LO",6,10))+IF(D3736=1,2,IF(D3736=7,1,(IF(WEEKDAY(B3736)=1,2,IF(WEEKDAY(B3736)=7,1,0))))))</f>
        <v>2</v>
      </c>
      <c r="H3736" s="370">
        <v>5602.0649719238281</v>
      </c>
      <c r="I3736" s="370">
        <v>1794.2849731445313</v>
      </c>
      <c r="M3736" s="371">
        <f t="shared" si="233"/>
        <v>5882.3966641589368</v>
      </c>
      <c r="N3736" s="329">
        <f t="shared" si="234"/>
        <v>113.66548156738281</v>
      </c>
      <c r="T3736" s="331">
        <v>0</v>
      </c>
      <c r="U3736" s="328">
        <f>VLOOKUP(C3736,METADATA!$J$5:$Q$29,IF(E3736="HI",2,IF(E3736="LO",6,10))+IF(T3736=1,2,IF(D3736=7,1,(IF(WEEKDAY(B3736)=1,2,IF(WEEKDAY(B3736)=7,1,0))))))</f>
        <v>2</v>
      </c>
      <c r="V3736" s="328">
        <f>VLOOKUP(C3736,METADATA!$A$5:$H$29,IF(E3736="HI",2,IF(E3736="LO",6,10))+IF(T3736=1,2,IF(D3736=7,1,(IF(WEEKDAY(B3736)=1,2,IF(WEEKDAY(B3736)=7,1,0))))))</f>
        <v>2</v>
      </c>
    </row>
    <row r="3737" spans="2:22">
      <c r="B3737" s="318">
        <f t="shared" si="231"/>
        <v>46268</v>
      </c>
      <c r="C3737" s="312">
        <v>13</v>
      </c>
      <c r="D3737" s="368">
        <f>IFERROR((INDEX(METADATA!$T$2:$T$20,MATCH(B3737,METADATA!$S$2:$S$20,0))),0)</f>
        <v>0</v>
      </c>
      <c r="E3737" s="312" t="str">
        <f t="shared" si="232"/>
        <v>LO</v>
      </c>
      <c r="F3737" s="369">
        <f>VLOOKUP(C3737,METADATA!$A$5:$H$29,IF(E3737="HI",2,IF(E3737="LO",6,10))+IF(D3737=1,2,IF(D3737=7,1,(IF(WEEKDAY(B3737)=1,2,IF(WEEKDAY(B3737)=7,1,0))))))</f>
        <v>2</v>
      </c>
      <c r="G3737" s="369">
        <f>VLOOKUP(C3737,METADATA!$J$5:$Q$29,IF(E3737="HI",2,IF(E3737="LO",6,10))+IF(D3737=1,2,IF(D3737=7,1,(IF(WEEKDAY(B3737)=1,2,IF(WEEKDAY(B3737)=7,1,0))))))</f>
        <v>2</v>
      </c>
      <c r="H3737" s="370">
        <v>5030.4673767089844</v>
      </c>
      <c r="I3737" s="370">
        <v>1456.8749694824219</v>
      </c>
      <c r="M3737" s="371">
        <f t="shared" si="233"/>
        <v>5237.1830887260166</v>
      </c>
      <c r="N3737" s="329">
        <f t="shared" si="234"/>
        <v>0</v>
      </c>
      <c r="T3737" s="331">
        <v>0</v>
      </c>
      <c r="U3737" s="328">
        <f>VLOOKUP(C3737,METADATA!$J$5:$Q$29,IF(E3737="HI",2,IF(E3737="LO",6,10))+IF(T3737=1,2,IF(D3737=7,1,(IF(WEEKDAY(B3737)=1,2,IF(WEEKDAY(B3737)=7,1,0))))))</f>
        <v>2</v>
      </c>
      <c r="V3737" s="328">
        <f>VLOOKUP(C3737,METADATA!$A$5:$H$29,IF(E3737="HI",2,IF(E3737="LO",6,10))+IF(T3737=1,2,IF(D3737=7,1,(IF(WEEKDAY(B3737)=1,2,IF(WEEKDAY(B3737)=7,1,0))))))</f>
        <v>2</v>
      </c>
    </row>
    <row r="3738" spans="2:22">
      <c r="B3738" s="318">
        <f t="shared" si="231"/>
        <v>46268</v>
      </c>
      <c r="C3738" s="312">
        <v>14</v>
      </c>
      <c r="D3738" s="368">
        <f>IFERROR((INDEX(METADATA!$T$2:$T$20,MATCH(B3738,METADATA!$S$2:$S$20,0))),0)</f>
        <v>0</v>
      </c>
      <c r="E3738" s="312" t="str">
        <f t="shared" si="232"/>
        <v>LO</v>
      </c>
      <c r="F3738" s="369">
        <f>VLOOKUP(C3738,METADATA!$A$5:$H$29,IF(E3738="HI",2,IF(E3738="LO",6,10))+IF(D3738=1,2,IF(D3738=7,1,(IF(WEEKDAY(B3738)=1,2,IF(WEEKDAY(B3738)=7,1,0))))))</f>
        <v>2</v>
      </c>
      <c r="G3738" s="369">
        <f>VLOOKUP(C3738,METADATA!$J$5:$Q$29,IF(E3738="HI",2,IF(E3738="LO",6,10))+IF(D3738=1,2,IF(D3738=7,1,(IF(WEEKDAY(B3738)=1,2,IF(WEEKDAY(B3738)=7,1,0))))))</f>
        <v>2</v>
      </c>
      <c r="H3738" s="370">
        <v>5222.7374572753906</v>
      </c>
      <c r="I3738" s="370">
        <v>1476.8649597167969</v>
      </c>
      <c r="M3738" s="371">
        <f t="shared" si="233"/>
        <v>5427.53320182076</v>
      </c>
      <c r="N3738" s="329">
        <f t="shared" si="234"/>
        <v>0</v>
      </c>
      <c r="T3738" s="331">
        <v>0</v>
      </c>
      <c r="U3738" s="328">
        <f>VLOOKUP(C3738,METADATA!$J$5:$Q$29,IF(E3738="HI",2,IF(E3738="LO",6,10))+IF(T3738=1,2,IF(D3738=7,1,(IF(WEEKDAY(B3738)=1,2,IF(WEEKDAY(B3738)=7,1,0))))))</f>
        <v>2</v>
      </c>
      <c r="V3738" s="328">
        <f>VLOOKUP(C3738,METADATA!$A$5:$H$29,IF(E3738="HI",2,IF(E3738="LO",6,10))+IF(T3738=1,2,IF(D3738=7,1,(IF(WEEKDAY(B3738)=1,2,IF(WEEKDAY(B3738)=7,1,0))))))</f>
        <v>2</v>
      </c>
    </row>
    <row r="3739" spans="2:22">
      <c r="B3739" s="318">
        <f t="shared" si="231"/>
        <v>46268</v>
      </c>
      <c r="C3739" s="312">
        <v>15</v>
      </c>
      <c r="D3739" s="368">
        <f>IFERROR((INDEX(METADATA!$T$2:$T$20,MATCH(B3739,METADATA!$S$2:$S$20,0))),0)</f>
        <v>0</v>
      </c>
      <c r="E3739" s="312" t="str">
        <f t="shared" si="232"/>
        <v>LO</v>
      </c>
      <c r="F3739" s="369">
        <f>VLOOKUP(C3739,METADATA!$A$5:$H$29,IF(E3739="HI",2,IF(E3739="LO",6,10))+IF(D3739=1,2,IF(D3739=7,1,(IF(WEEKDAY(B3739)=1,2,IF(WEEKDAY(B3739)=7,1,0))))))</f>
        <v>2</v>
      </c>
      <c r="G3739" s="369">
        <f>VLOOKUP(C3739,METADATA!$J$5:$Q$29,IF(E3739="HI",2,IF(E3739="LO",6,10))+IF(D3739=1,2,IF(D3739=7,1,(IF(WEEKDAY(B3739)=1,2,IF(WEEKDAY(B3739)=7,1,0))))))</f>
        <v>2</v>
      </c>
      <c r="H3739" s="370">
        <v>5134.1225280761719</v>
      </c>
      <c r="I3739" s="370">
        <v>1419.9125366210938</v>
      </c>
      <c r="M3739" s="371">
        <f t="shared" si="233"/>
        <v>5326.8532685773325</v>
      </c>
      <c r="N3739" s="329">
        <f t="shared" si="234"/>
        <v>0</v>
      </c>
      <c r="T3739" s="331">
        <v>0</v>
      </c>
      <c r="U3739" s="328">
        <f>VLOOKUP(C3739,METADATA!$J$5:$Q$29,IF(E3739="HI",2,IF(E3739="LO",6,10))+IF(T3739=1,2,IF(D3739=7,1,(IF(WEEKDAY(B3739)=1,2,IF(WEEKDAY(B3739)=7,1,0))))))</f>
        <v>2</v>
      </c>
      <c r="V3739" s="328">
        <f>VLOOKUP(C3739,METADATA!$A$5:$H$29,IF(E3739="HI",2,IF(E3739="LO",6,10))+IF(T3739=1,2,IF(D3739=7,1,(IF(WEEKDAY(B3739)=1,2,IF(WEEKDAY(B3739)=7,1,0))))))</f>
        <v>2</v>
      </c>
    </row>
    <row r="3740" spans="2:22">
      <c r="B3740" s="318">
        <f t="shared" ref="B3740:B3803" si="235">B3716+1</f>
        <v>46268</v>
      </c>
      <c r="C3740" s="312">
        <v>16</v>
      </c>
      <c r="D3740" s="368">
        <f>IFERROR((INDEX(METADATA!$T$2:$T$20,MATCH(B3740,METADATA!$S$2:$S$20,0))),0)</f>
        <v>0</v>
      </c>
      <c r="E3740" s="312" t="str">
        <f t="shared" si="232"/>
        <v>LO</v>
      </c>
      <c r="F3740" s="369">
        <f>VLOOKUP(C3740,METADATA!$A$5:$H$29,IF(E3740="HI",2,IF(E3740="LO",6,10))+IF(D3740=1,2,IF(D3740=7,1,(IF(WEEKDAY(B3740)=1,2,IF(WEEKDAY(B3740)=7,1,0))))))</f>
        <v>2</v>
      </c>
      <c r="G3740" s="369">
        <f>VLOOKUP(C3740,METADATA!$J$5:$Q$29,IF(E3740="HI",2,IF(E3740="LO",6,10))+IF(D3740=1,2,IF(D3740=7,1,(IF(WEEKDAY(B3740)=1,2,IF(WEEKDAY(B3740)=7,1,0))))))</f>
        <v>2</v>
      </c>
      <c r="H3740" s="370">
        <v>5312.50244140625</v>
      </c>
      <c r="I3740" s="370">
        <v>1430.5650024414063</v>
      </c>
      <c r="M3740" s="371">
        <f t="shared" si="233"/>
        <v>5501.7450337286209</v>
      </c>
      <c r="N3740" s="329">
        <f t="shared" si="234"/>
        <v>0</v>
      </c>
      <c r="T3740" s="331">
        <v>0</v>
      </c>
      <c r="U3740" s="328">
        <f>VLOOKUP(C3740,METADATA!$J$5:$Q$29,IF(E3740="HI",2,IF(E3740="LO",6,10))+IF(T3740=1,2,IF(D3740=7,1,(IF(WEEKDAY(B3740)=1,2,IF(WEEKDAY(B3740)=7,1,0))))))</f>
        <v>2</v>
      </c>
      <c r="V3740" s="328">
        <f>VLOOKUP(C3740,METADATA!$A$5:$H$29,IF(E3740="HI",2,IF(E3740="LO",6,10))+IF(T3740=1,2,IF(D3740=7,1,(IF(WEEKDAY(B3740)=1,2,IF(WEEKDAY(B3740)=7,1,0))))))</f>
        <v>2</v>
      </c>
    </row>
    <row r="3741" spans="2:22">
      <c r="B3741" s="318">
        <f t="shared" si="235"/>
        <v>46268</v>
      </c>
      <c r="C3741" s="312">
        <v>17</v>
      </c>
      <c r="D3741" s="368">
        <f>IFERROR((INDEX(METADATA!$T$2:$T$20,MATCH(B3741,METADATA!$S$2:$S$20,0))),0)</f>
        <v>0</v>
      </c>
      <c r="E3741" s="312" t="str">
        <f t="shared" si="232"/>
        <v>LO</v>
      </c>
      <c r="F3741" s="369">
        <f>VLOOKUP(C3741,METADATA!$A$5:$H$29,IF(E3741="HI",2,IF(E3741="LO",6,10))+IF(D3741=1,2,IF(D3741=7,1,(IF(WEEKDAY(B3741)=1,2,IF(WEEKDAY(B3741)=7,1,0))))))</f>
        <v>2</v>
      </c>
      <c r="G3741" s="369">
        <f>VLOOKUP(C3741,METADATA!$J$5:$Q$29,IF(E3741="HI",2,IF(E3741="LO",6,10))+IF(D3741=1,2,IF(D3741=7,1,(IF(WEEKDAY(B3741)=1,2,IF(WEEKDAY(B3741)=7,1,0))))))</f>
        <v>2</v>
      </c>
      <c r="H3741" s="370">
        <v>5240.6249389648438</v>
      </c>
      <c r="I3741" s="370">
        <v>1408.6824951171875</v>
      </c>
      <c r="M3741" s="371">
        <f t="shared" si="233"/>
        <v>5426.650543654885</v>
      </c>
      <c r="N3741" s="329">
        <f t="shared" si="234"/>
        <v>0</v>
      </c>
      <c r="T3741" s="331">
        <v>0</v>
      </c>
      <c r="U3741" s="328">
        <f>VLOOKUP(C3741,METADATA!$J$5:$Q$29,IF(E3741="HI",2,IF(E3741="LO",6,10))+IF(T3741=1,2,IF(D3741=7,1,(IF(WEEKDAY(B3741)=1,2,IF(WEEKDAY(B3741)=7,1,0))))))</f>
        <v>2</v>
      </c>
      <c r="V3741" s="328">
        <f>VLOOKUP(C3741,METADATA!$A$5:$H$29,IF(E3741="HI",2,IF(E3741="LO",6,10))+IF(T3741=1,2,IF(D3741=7,1,(IF(WEEKDAY(B3741)=1,2,IF(WEEKDAY(B3741)=7,1,0))))))</f>
        <v>2</v>
      </c>
    </row>
    <row r="3742" spans="2:22">
      <c r="B3742" s="318">
        <f t="shared" si="235"/>
        <v>46268</v>
      </c>
      <c r="C3742" s="312">
        <v>18</v>
      </c>
      <c r="D3742" s="368">
        <f>IFERROR((INDEX(METADATA!$T$2:$T$20,MATCH(B3742,METADATA!$S$2:$S$20,0))),0)</f>
        <v>0</v>
      </c>
      <c r="E3742" s="312" t="str">
        <f t="shared" si="232"/>
        <v>LO</v>
      </c>
      <c r="F3742" s="369">
        <f>VLOOKUP(C3742,METADATA!$A$5:$H$29,IF(E3742="HI",2,IF(E3742="LO",6,10))+IF(D3742=1,2,IF(D3742=7,1,(IF(WEEKDAY(B3742)=1,2,IF(WEEKDAY(B3742)=7,1,0))))))</f>
        <v>1</v>
      </c>
      <c r="G3742" s="369">
        <f>VLOOKUP(C3742,METADATA!$J$5:$Q$29,IF(E3742="HI",2,IF(E3742="LO",6,10))+IF(D3742=1,2,IF(D3742=7,1,(IF(WEEKDAY(B3742)=1,2,IF(WEEKDAY(B3742)=7,1,0))))))</f>
        <v>1</v>
      </c>
      <c r="H3742" s="370">
        <v>5266.844970703125</v>
      </c>
      <c r="I3742" s="370">
        <v>1401.1199951171875</v>
      </c>
      <c r="M3742" s="371">
        <f t="shared" si="233"/>
        <v>5450.0268977444493</v>
      </c>
      <c r="N3742" s="329">
        <f t="shared" si="234"/>
        <v>0</v>
      </c>
      <c r="T3742" s="331">
        <v>0</v>
      </c>
      <c r="U3742" s="328">
        <f>VLOOKUP(C3742,METADATA!$J$5:$Q$29,IF(E3742="HI",2,IF(E3742="LO",6,10))+IF(T3742=1,2,IF(D3742=7,1,(IF(WEEKDAY(B3742)=1,2,IF(WEEKDAY(B3742)=7,1,0))))))</f>
        <v>1</v>
      </c>
      <c r="V3742" s="328">
        <f>VLOOKUP(C3742,METADATA!$A$5:$H$29,IF(E3742="HI",2,IF(E3742="LO",6,10))+IF(T3742=1,2,IF(D3742=7,1,(IF(WEEKDAY(B3742)=1,2,IF(WEEKDAY(B3742)=7,1,0))))))</f>
        <v>1</v>
      </c>
    </row>
    <row r="3743" spans="2:22">
      <c r="B3743" s="318">
        <f t="shared" si="235"/>
        <v>46268</v>
      </c>
      <c r="C3743" s="312">
        <v>19</v>
      </c>
      <c r="D3743" s="368">
        <f>IFERROR((INDEX(METADATA!$T$2:$T$20,MATCH(B3743,METADATA!$S$2:$S$20,0))),0)</f>
        <v>0</v>
      </c>
      <c r="E3743" s="312" t="str">
        <f t="shared" si="232"/>
        <v>LO</v>
      </c>
      <c r="F3743" s="369">
        <f>VLOOKUP(C3743,METADATA!$A$5:$H$29,IF(E3743="HI",2,IF(E3743="LO",6,10))+IF(D3743=1,2,IF(D3743=7,1,(IF(WEEKDAY(B3743)=1,2,IF(WEEKDAY(B3743)=7,1,0))))))</f>
        <v>1</v>
      </c>
      <c r="G3743" s="369">
        <f>VLOOKUP(C3743,METADATA!$J$5:$Q$29,IF(E3743="HI",2,IF(E3743="LO",6,10))+IF(D3743=1,2,IF(D3743=7,1,(IF(WEEKDAY(B3743)=1,2,IF(WEEKDAY(B3743)=7,1,0))))))</f>
        <v>1</v>
      </c>
      <c r="H3743" s="370">
        <v>4932.4949645996094</v>
      </c>
      <c r="I3743" s="370">
        <v>1386.2874755859375</v>
      </c>
      <c r="M3743" s="371">
        <f t="shared" si="233"/>
        <v>5123.6022036031382</v>
      </c>
      <c r="N3743" s="329">
        <f t="shared" si="234"/>
        <v>0</v>
      </c>
      <c r="T3743" s="331">
        <v>0</v>
      </c>
      <c r="U3743" s="328">
        <f>VLOOKUP(C3743,METADATA!$J$5:$Q$29,IF(E3743="HI",2,IF(E3743="LO",6,10))+IF(T3743=1,2,IF(D3743=7,1,(IF(WEEKDAY(B3743)=1,2,IF(WEEKDAY(B3743)=7,1,0))))))</f>
        <v>1</v>
      </c>
      <c r="V3743" s="328">
        <f>VLOOKUP(C3743,METADATA!$A$5:$H$29,IF(E3743="HI",2,IF(E3743="LO",6,10))+IF(T3743=1,2,IF(D3743=7,1,(IF(WEEKDAY(B3743)=1,2,IF(WEEKDAY(B3743)=7,1,0))))))</f>
        <v>1</v>
      </c>
    </row>
    <row r="3744" spans="2:22">
      <c r="B3744" s="318">
        <f t="shared" si="235"/>
        <v>46268</v>
      </c>
      <c r="C3744" s="312">
        <v>20</v>
      </c>
      <c r="D3744" s="368">
        <f>IFERROR((INDEX(METADATA!$T$2:$T$20,MATCH(B3744,METADATA!$S$2:$S$20,0))),0)</f>
        <v>0</v>
      </c>
      <c r="E3744" s="312" t="str">
        <f t="shared" si="232"/>
        <v>LO</v>
      </c>
      <c r="F3744" s="369">
        <f>VLOOKUP(C3744,METADATA!$A$5:$H$29,IF(E3744="HI",2,IF(E3744="LO",6,10))+IF(D3744=1,2,IF(D3744=7,1,(IF(WEEKDAY(B3744)=1,2,IF(WEEKDAY(B3744)=7,1,0))))))</f>
        <v>1</v>
      </c>
      <c r="G3744" s="369">
        <f>VLOOKUP(C3744,METADATA!$J$5:$Q$29,IF(E3744="HI",2,IF(E3744="LO",6,10))+IF(D3744=1,2,IF(D3744=7,1,(IF(WEEKDAY(B3744)=1,2,IF(WEEKDAY(B3744)=7,1,0))))))</f>
        <v>1</v>
      </c>
      <c r="H3744" s="370">
        <v>4972.3125305175781</v>
      </c>
      <c r="I3744" s="370">
        <v>1412.2774658203125</v>
      </c>
      <c r="M3744" s="371">
        <f t="shared" si="233"/>
        <v>5168.9863166394589</v>
      </c>
      <c r="N3744" s="329">
        <f t="shared" si="234"/>
        <v>0</v>
      </c>
      <c r="T3744" s="331">
        <v>0</v>
      </c>
      <c r="U3744" s="328">
        <f>VLOOKUP(C3744,METADATA!$J$5:$Q$29,IF(E3744="HI",2,IF(E3744="LO",6,10))+IF(T3744=1,2,IF(D3744=7,1,(IF(WEEKDAY(B3744)=1,2,IF(WEEKDAY(B3744)=7,1,0))))))</f>
        <v>1</v>
      </c>
      <c r="V3744" s="328">
        <f>VLOOKUP(C3744,METADATA!$A$5:$H$29,IF(E3744="HI",2,IF(E3744="LO",6,10))+IF(T3744=1,2,IF(D3744=7,1,(IF(WEEKDAY(B3744)=1,2,IF(WEEKDAY(B3744)=7,1,0))))))</f>
        <v>1</v>
      </c>
    </row>
    <row r="3745" spans="2:22">
      <c r="B3745" s="318">
        <f t="shared" si="235"/>
        <v>46268</v>
      </c>
      <c r="C3745" s="312">
        <v>21</v>
      </c>
      <c r="D3745" s="368">
        <f>IFERROR((INDEX(METADATA!$T$2:$T$20,MATCH(B3745,METADATA!$S$2:$S$20,0))),0)</f>
        <v>0</v>
      </c>
      <c r="E3745" s="312" t="str">
        <f t="shared" si="232"/>
        <v>LO</v>
      </c>
      <c r="F3745" s="369">
        <f>VLOOKUP(C3745,METADATA!$A$5:$H$29,IF(E3745="HI",2,IF(E3745="LO",6,10))+IF(D3745=1,2,IF(D3745=7,1,(IF(WEEKDAY(B3745)=1,2,IF(WEEKDAY(B3745)=7,1,0))))))</f>
        <v>2</v>
      </c>
      <c r="G3745" s="369">
        <f>VLOOKUP(C3745,METADATA!$J$5:$Q$29,IF(E3745="HI",2,IF(E3745="LO",6,10))+IF(D3745=1,2,IF(D3745=7,1,(IF(WEEKDAY(B3745)=1,2,IF(WEEKDAY(B3745)=7,1,0))))))</f>
        <v>2</v>
      </c>
      <c r="H3745" s="370">
        <v>5069.3675842285156</v>
      </c>
      <c r="I3745" s="370">
        <v>1398.2425231933594</v>
      </c>
      <c r="M3745" s="371">
        <f t="shared" si="233"/>
        <v>5258.6661671656802</v>
      </c>
      <c r="N3745" s="329">
        <f t="shared" si="234"/>
        <v>0</v>
      </c>
      <c r="T3745" s="331">
        <v>0</v>
      </c>
      <c r="U3745" s="328">
        <f>VLOOKUP(C3745,METADATA!$J$5:$Q$29,IF(E3745="HI",2,IF(E3745="LO",6,10))+IF(T3745=1,2,IF(D3745=7,1,(IF(WEEKDAY(B3745)=1,2,IF(WEEKDAY(B3745)=7,1,0))))))</f>
        <v>2</v>
      </c>
      <c r="V3745" s="328">
        <f>VLOOKUP(C3745,METADATA!$A$5:$H$29,IF(E3745="HI",2,IF(E3745="LO",6,10))+IF(T3745=1,2,IF(D3745=7,1,(IF(WEEKDAY(B3745)=1,2,IF(WEEKDAY(B3745)=7,1,0))))))</f>
        <v>2</v>
      </c>
    </row>
    <row r="3746" spans="2:22">
      <c r="B3746" s="318">
        <f t="shared" si="235"/>
        <v>46268</v>
      </c>
      <c r="C3746" s="312">
        <v>22</v>
      </c>
      <c r="D3746" s="368">
        <f>IFERROR((INDEX(METADATA!$T$2:$T$20,MATCH(B3746,METADATA!$S$2:$S$20,0))),0)</f>
        <v>0</v>
      </c>
      <c r="E3746" s="312" t="str">
        <f t="shared" si="232"/>
        <v>LO</v>
      </c>
      <c r="F3746" s="369">
        <f>VLOOKUP(C3746,METADATA!$A$5:$H$29,IF(E3746="HI",2,IF(E3746="LO",6,10))+IF(D3746=1,2,IF(D3746=7,1,(IF(WEEKDAY(B3746)=1,2,IF(WEEKDAY(B3746)=7,1,0))))))</f>
        <v>3</v>
      </c>
      <c r="G3746" s="369">
        <f>VLOOKUP(C3746,METADATA!$J$5:$Q$29,IF(E3746="HI",2,IF(E3746="LO",6,10))+IF(D3746=1,2,IF(D3746=7,1,(IF(WEEKDAY(B3746)=1,2,IF(WEEKDAY(B3746)=7,1,0))))))</f>
        <v>3</v>
      </c>
      <c r="H3746" s="370">
        <v>5094.6949768066406</v>
      </c>
      <c r="I3746" s="370">
        <v>1418.6150512695313</v>
      </c>
      <c r="M3746" s="371">
        <f t="shared" si="233"/>
        <v>5288.5144956204167</v>
      </c>
      <c r="N3746" s="329">
        <f t="shared" si="234"/>
        <v>0</v>
      </c>
      <c r="T3746" s="331">
        <v>0</v>
      </c>
      <c r="U3746" s="328">
        <f>VLOOKUP(C3746,METADATA!$J$5:$Q$29,IF(E3746="HI",2,IF(E3746="LO",6,10))+IF(T3746=1,2,IF(D3746=7,1,(IF(WEEKDAY(B3746)=1,2,IF(WEEKDAY(B3746)=7,1,0))))))</f>
        <v>3</v>
      </c>
      <c r="V3746" s="328">
        <f>VLOOKUP(C3746,METADATA!$A$5:$H$29,IF(E3746="HI",2,IF(E3746="LO",6,10))+IF(T3746=1,2,IF(D3746=7,1,(IF(WEEKDAY(B3746)=1,2,IF(WEEKDAY(B3746)=7,1,0))))))</f>
        <v>3</v>
      </c>
    </row>
    <row r="3747" spans="2:22">
      <c r="B3747" s="318">
        <f t="shared" si="235"/>
        <v>46268</v>
      </c>
      <c r="C3747" s="312">
        <v>23</v>
      </c>
      <c r="D3747" s="368">
        <f>IFERROR((INDEX(METADATA!$T$2:$T$20,MATCH(B3747,METADATA!$S$2:$S$20,0))),0)</f>
        <v>0</v>
      </c>
      <c r="E3747" s="312" t="str">
        <f t="shared" si="232"/>
        <v>LO</v>
      </c>
      <c r="F3747" s="369">
        <f>VLOOKUP(C3747,METADATA!$A$5:$H$29,IF(E3747="HI",2,IF(E3747="LO",6,10))+IF(D3747=1,2,IF(D3747=7,1,(IF(WEEKDAY(B3747)=1,2,IF(WEEKDAY(B3747)=7,1,0))))))</f>
        <v>3</v>
      </c>
      <c r="G3747" s="369">
        <f>VLOOKUP(C3747,METADATA!$J$5:$Q$29,IF(E3747="HI",2,IF(E3747="LO",6,10))+IF(D3747=1,2,IF(D3747=7,1,(IF(WEEKDAY(B3747)=1,2,IF(WEEKDAY(B3747)=7,1,0))))))</f>
        <v>3</v>
      </c>
      <c r="H3747" s="370">
        <v>4857.4824523925781</v>
      </c>
      <c r="I3747" s="370">
        <v>1411.3424987792969</v>
      </c>
      <c r="M3747" s="371">
        <f t="shared" si="233"/>
        <v>5058.361733225729</v>
      </c>
      <c r="N3747" s="329">
        <f t="shared" si="234"/>
        <v>0</v>
      </c>
      <c r="T3747" s="331">
        <v>0</v>
      </c>
      <c r="U3747" s="328">
        <f>VLOOKUP(C3747,METADATA!$J$5:$Q$29,IF(E3747="HI",2,IF(E3747="LO",6,10))+IF(T3747=1,2,IF(D3747=7,1,(IF(WEEKDAY(B3747)=1,2,IF(WEEKDAY(B3747)=7,1,0))))))</f>
        <v>3</v>
      </c>
      <c r="V3747" s="328">
        <f>VLOOKUP(C3747,METADATA!$A$5:$H$29,IF(E3747="HI",2,IF(E3747="LO",6,10))+IF(T3747=1,2,IF(D3747=7,1,(IF(WEEKDAY(B3747)=1,2,IF(WEEKDAY(B3747)=7,1,0))))))</f>
        <v>3</v>
      </c>
    </row>
    <row r="3748" spans="2:22">
      <c r="B3748" s="318">
        <f t="shared" si="235"/>
        <v>46269</v>
      </c>
      <c r="C3748" s="312">
        <v>0</v>
      </c>
      <c r="D3748" s="368">
        <f>IFERROR((INDEX(METADATA!$T$2:$T$20,MATCH(B3748,METADATA!$S$2:$S$20,0))),0)</f>
        <v>0</v>
      </c>
      <c r="E3748" s="312" t="str">
        <f t="shared" si="232"/>
        <v>LO</v>
      </c>
      <c r="F3748" s="369">
        <f>VLOOKUP(C3748,METADATA!$A$5:$H$29,IF(E3748="HI",2,IF(E3748="LO",6,10))+IF(D3748=1,2,IF(D3748=7,1,(IF(WEEKDAY(B3748)=1,2,IF(WEEKDAY(B3748)=7,1,0))))))</f>
        <v>3</v>
      </c>
      <c r="G3748" s="369">
        <f>VLOOKUP(C3748,METADATA!$J$5:$Q$29,IF(E3748="HI",2,IF(E3748="LO",6,10))+IF(D3748=1,2,IF(D3748=7,1,(IF(WEEKDAY(B3748)=1,2,IF(WEEKDAY(B3748)=7,1,0))))))</f>
        <v>3</v>
      </c>
      <c r="H3748" s="370">
        <v>4935.9949951171875</v>
      </c>
      <c r="I3748" s="370">
        <v>1429.7774963378906</v>
      </c>
      <c r="M3748" s="371">
        <f t="shared" si="233"/>
        <v>5138.9016609443079</v>
      </c>
      <c r="N3748" s="329">
        <f t="shared" si="234"/>
        <v>0</v>
      </c>
      <c r="T3748" s="331">
        <v>0</v>
      </c>
      <c r="U3748" s="328">
        <f>VLOOKUP(C3748,METADATA!$J$5:$Q$29,IF(E3748="HI",2,IF(E3748="LO",6,10))+IF(T3748=1,2,IF(D3748=7,1,(IF(WEEKDAY(B3748)=1,2,IF(WEEKDAY(B3748)=7,1,0))))))</f>
        <v>3</v>
      </c>
      <c r="V3748" s="328">
        <f>VLOOKUP(C3748,METADATA!$A$5:$H$29,IF(E3748="HI",2,IF(E3748="LO",6,10))+IF(T3748=1,2,IF(D3748=7,1,(IF(WEEKDAY(B3748)=1,2,IF(WEEKDAY(B3748)=7,1,0))))))</f>
        <v>3</v>
      </c>
    </row>
    <row r="3749" spans="2:22">
      <c r="B3749" s="318">
        <f t="shared" si="235"/>
        <v>46269</v>
      </c>
      <c r="C3749" s="312">
        <v>1</v>
      </c>
      <c r="D3749" s="368">
        <f>IFERROR((INDEX(METADATA!$T$2:$T$20,MATCH(B3749,METADATA!$S$2:$S$20,0))),0)</f>
        <v>0</v>
      </c>
      <c r="E3749" s="312" t="str">
        <f t="shared" si="232"/>
        <v>LO</v>
      </c>
      <c r="F3749" s="369">
        <f>VLOOKUP(C3749,METADATA!$A$5:$H$29,IF(E3749="HI",2,IF(E3749="LO",6,10))+IF(D3749=1,2,IF(D3749=7,1,(IF(WEEKDAY(B3749)=1,2,IF(WEEKDAY(B3749)=7,1,0))))))</f>
        <v>3</v>
      </c>
      <c r="G3749" s="369">
        <f>VLOOKUP(C3749,METADATA!$J$5:$Q$29,IF(E3749="HI",2,IF(E3749="LO",6,10))+IF(D3749=1,2,IF(D3749=7,1,(IF(WEEKDAY(B3749)=1,2,IF(WEEKDAY(B3749)=7,1,0))))))</f>
        <v>3</v>
      </c>
      <c r="H3749" s="370">
        <v>4894.1999206542969</v>
      </c>
      <c r="I3749" s="370">
        <v>1377.4300231933594</v>
      </c>
      <c r="M3749" s="371">
        <f t="shared" si="233"/>
        <v>5084.3393211042658</v>
      </c>
      <c r="N3749" s="329">
        <f t="shared" si="234"/>
        <v>0</v>
      </c>
      <c r="T3749" s="331">
        <v>0</v>
      </c>
      <c r="U3749" s="328">
        <f>VLOOKUP(C3749,METADATA!$J$5:$Q$29,IF(E3749="HI",2,IF(E3749="LO",6,10))+IF(T3749=1,2,IF(D3749=7,1,(IF(WEEKDAY(B3749)=1,2,IF(WEEKDAY(B3749)=7,1,0))))))</f>
        <v>3</v>
      </c>
      <c r="V3749" s="328">
        <f>VLOOKUP(C3749,METADATA!$A$5:$H$29,IF(E3749="HI",2,IF(E3749="LO",6,10))+IF(T3749=1,2,IF(D3749=7,1,(IF(WEEKDAY(B3749)=1,2,IF(WEEKDAY(B3749)=7,1,0))))))</f>
        <v>3</v>
      </c>
    </row>
    <row r="3750" spans="2:22">
      <c r="B3750" s="318">
        <f t="shared" si="235"/>
        <v>46269</v>
      </c>
      <c r="C3750" s="312">
        <v>2</v>
      </c>
      <c r="D3750" s="368">
        <f>IFERROR((INDEX(METADATA!$T$2:$T$20,MATCH(B3750,METADATA!$S$2:$S$20,0))),0)</f>
        <v>0</v>
      </c>
      <c r="E3750" s="312" t="str">
        <f t="shared" si="232"/>
        <v>LO</v>
      </c>
      <c r="F3750" s="369">
        <f>VLOOKUP(C3750,METADATA!$A$5:$H$29,IF(E3750="HI",2,IF(E3750="LO",6,10))+IF(D3750=1,2,IF(D3750=7,1,(IF(WEEKDAY(B3750)=1,2,IF(WEEKDAY(B3750)=7,1,0))))))</f>
        <v>3</v>
      </c>
      <c r="G3750" s="369">
        <f>VLOOKUP(C3750,METADATA!$J$5:$Q$29,IF(E3750="HI",2,IF(E3750="LO",6,10))+IF(D3750=1,2,IF(D3750=7,1,(IF(WEEKDAY(B3750)=1,2,IF(WEEKDAY(B3750)=7,1,0))))))</f>
        <v>3</v>
      </c>
      <c r="H3750" s="370">
        <v>4943.3050231933594</v>
      </c>
      <c r="I3750" s="370">
        <v>1282.6825256347656</v>
      </c>
      <c r="M3750" s="371">
        <f t="shared" si="233"/>
        <v>5107.0088127883118</v>
      </c>
      <c r="N3750" s="329">
        <f t="shared" si="234"/>
        <v>0</v>
      </c>
      <c r="T3750" s="331">
        <v>0</v>
      </c>
      <c r="U3750" s="328">
        <f>VLOOKUP(C3750,METADATA!$J$5:$Q$29,IF(E3750="HI",2,IF(E3750="LO",6,10))+IF(T3750=1,2,IF(D3750=7,1,(IF(WEEKDAY(B3750)=1,2,IF(WEEKDAY(B3750)=7,1,0))))))</f>
        <v>3</v>
      </c>
      <c r="V3750" s="328">
        <f>VLOOKUP(C3750,METADATA!$A$5:$H$29,IF(E3750="HI",2,IF(E3750="LO",6,10))+IF(T3750=1,2,IF(D3750=7,1,(IF(WEEKDAY(B3750)=1,2,IF(WEEKDAY(B3750)=7,1,0))))))</f>
        <v>3</v>
      </c>
    </row>
    <row r="3751" spans="2:22">
      <c r="B3751" s="318">
        <f t="shared" si="235"/>
        <v>46269</v>
      </c>
      <c r="C3751" s="312">
        <v>3</v>
      </c>
      <c r="D3751" s="368">
        <f>IFERROR((INDEX(METADATA!$T$2:$T$20,MATCH(B3751,METADATA!$S$2:$S$20,0))),0)</f>
        <v>0</v>
      </c>
      <c r="E3751" s="312" t="str">
        <f t="shared" si="232"/>
        <v>LO</v>
      </c>
      <c r="F3751" s="369">
        <f>VLOOKUP(C3751,METADATA!$A$5:$H$29,IF(E3751="HI",2,IF(E3751="LO",6,10))+IF(D3751=1,2,IF(D3751=7,1,(IF(WEEKDAY(B3751)=1,2,IF(WEEKDAY(B3751)=7,1,0))))))</f>
        <v>3</v>
      </c>
      <c r="G3751" s="369">
        <f>VLOOKUP(C3751,METADATA!$J$5:$Q$29,IF(E3751="HI",2,IF(E3751="LO",6,10))+IF(D3751=1,2,IF(D3751=7,1,(IF(WEEKDAY(B3751)=1,2,IF(WEEKDAY(B3751)=7,1,0))))))</f>
        <v>3</v>
      </c>
      <c r="H3751" s="370">
        <v>5050.3974609375</v>
      </c>
      <c r="I3751" s="370">
        <v>1312.7724609375</v>
      </c>
      <c r="M3751" s="371">
        <f t="shared" si="233"/>
        <v>5218.2263315843102</v>
      </c>
      <c r="N3751" s="329">
        <f t="shared" si="234"/>
        <v>0</v>
      </c>
      <c r="T3751" s="331">
        <v>0</v>
      </c>
      <c r="U3751" s="328">
        <f>VLOOKUP(C3751,METADATA!$J$5:$Q$29,IF(E3751="HI",2,IF(E3751="LO",6,10))+IF(T3751=1,2,IF(D3751=7,1,(IF(WEEKDAY(B3751)=1,2,IF(WEEKDAY(B3751)=7,1,0))))))</f>
        <v>3</v>
      </c>
      <c r="V3751" s="328">
        <f>VLOOKUP(C3751,METADATA!$A$5:$H$29,IF(E3751="HI",2,IF(E3751="LO",6,10))+IF(T3751=1,2,IF(D3751=7,1,(IF(WEEKDAY(B3751)=1,2,IF(WEEKDAY(B3751)=7,1,0))))))</f>
        <v>3</v>
      </c>
    </row>
    <row r="3752" spans="2:22">
      <c r="B3752" s="318">
        <f t="shared" si="235"/>
        <v>46269</v>
      </c>
      <c r="C3752" s="312">
        <v>4</v>
      </c>
      <c r="D3752" s="368">
        <f>IFERROR((INDEX(METADATA!$T$2:$T$20,MATCH(B3752,METADATA!$S$2:$S$20,0))),0)</f>
        <v>0</v>
      </c>
      <c r="E3752" s="312" t="str">
        <f t="shared" si="232"/>
        <v>LO</v>
      </c>
      <c r="F3752" s="369">
        <f>VLOOKUP(C3752,METADATA!$A$5:$H$29,IF(E3752="HI",2,IF(E3752="LO",6,10))+IF(D3752=1,2,IF(D3752=7,1,(IF(WEEKDAY(B3752)=1,2,IF(WEEKDAY(B3752)=7,1,0))))))</f>
        <v>3</v>
      </c>
      <c r="G3752" s="369">
        <f>VLOOKUP(C3752,METADATA!$J$5:$Q$29,IF(E3752="HI",2,IF(E3752="LO",6,10))+IF(D3752=1,2,IF(D3752=7,1,(IF(WEEKDAY(B3752)=1,2,IF(WEEKDAY(B3752)=7,1,0))))))</f>
        <v>3</v>
      </c>
      <c r="H3752" s="370">
        <v>5045.7025146484375</v>
      </c>
      <c r="I3752" s="370">
        <v>1316.375</v>
      </c>
      <c r="M3752" s="371">
        <f t="shared" si="233"/>
        <v>5214.5907803925102</v>
      </c>
      <c r="N3752" s="329">
        <f t="shared" si="234"/>
        <v>0</v>
      </c>
      <c r="T3752" s="331">
        <v>0</v>
      </c>
      <c r="U3752" s="328">
        <f>VLOOKUP(C3752,METADATA!$J$5:$Q$29,IF(E3752="HI",2,IF(E3752="LO",6,10))+IF(T3752=1,2,IF(D3752=7,1,(IF(WEEKDAY(B3752)=1,2,IF(WEEKDAY(B3752)=7,1,0))))))</f>
        <v>3</v>
      </c>
      <c r="V3752" s="328">
        <f>VLOOKUP(C3752,METADATA!$A$5:$H$29,IF(E3752="HI",2,IF(E3752="LO",6,10))+IF(T3752=1,2,IF(D3752=7,1,(IF(WEEKDAY(B3752)=1,2,IF(WEEKDAY(B3752)=7,1,0))))))</f>
        <v>3</v>
      </c>
    </row>
    <row r="3753" spans="2:22">
      <c r="B3753" s="318">
        <f t="shared" si="235"/>
        <v>46269</v>
      </c>
      <c r="C3753" s="312">
        <v>5</v>
      </c>
      <c r="D3753" s="368">
        <f>IFERROR((INDEX(METADATA!$T$2:$T$20,MATCH(B3753,METADATA!$S$2:$S$20,0))),0)</f>
        <v>0</v>
      </c>
      <c r="E3753" s="312" t="str">
        <f t="shared" si="232"/>
        <v>LO</v>
      </c>
      <c r="F3753" s="369">
        <f>VLOOKUP(C3753,METADATA!$A$5:$H$29,IF(E3753="HI",2,IF(E3753="LO",6,10))+IF(D3753=1,2,IF(D3753=7,1,(IF(WEEKDAY(B3753)=1,2,IF(WEEKDAY(B3753)=7,1,0))))))</f>
        <v>3</v>
      </c>
      <c r="G3753" s="369">
        <f>VLOOKUP(C3753,METADATA!$J$5:$Q$29,IF(E3753="HI",2,IF(E3753="LO",6,10))+IF(D3753=1,2,IF(D3753=7,1,(IF(WEEKDAY(B3753)=1,2,IF(WEEKDAY(B3753)=7,1,0))))))</f>
        <v>3</v>
      </c>
      <c r="H3753" s="370">
        <v>5061.56494140625</v>
      </c>
      <c r="I3753" s="370">
        <v>1326.3850402832031</v>
      </c>
      <c r="M3753" s="371">
        <f t="shared" si="233"/>
        <v>5232.4694868828356</v>
      </c>
      <c r="N3753" s="329">
        <f t="shared" si="234"/>
        <v>0</v>
      </c>
      <c r="T3753" s="331">
        <v>0</v>
      </c>
      <c r="U3753" s="328">
        <f>VLOOKUP(C3753,METADATA!$J$5:$Q$29,IF(E3753="HI",2,IF(E3753="LO",6,10))+IF(T3753=1,2,IF(D3753=7,1,(IF(WEEKDAY(B3753)=1,2,IF(WEEKDAY(B3753)=7,1,0))))))</f>
        <v>3</v>
      </c>
      <c r="V3753" s="328">
        <f>VLOOKUP(C3753,METADATA!$A$5:$H$29,IF(E3753="HI",2,IF(E3753="LO",6,10))+IF(T3753=1,2,IF(D3753=7,1,(IF(WEEKDAY(B3753)=1,2,IF(WEEKDAY(B3753)=7,1,0))))))</f>
        <v>3</v>
      </c>
    </row>
    <row r="3754" spans="2:22">
      <c r="B3754" s="318">
        <f t="shared" si="235"/>
        <v>46269</v>
      </c>
      <c r="C3754" s="312">
        <v>6</v>
      </c>
      <c r="D3754" s="368">
        <f>IFERROR((INDEX(METADATA!$T$2:$T$20,MATCH(B3754,METADATA!$S$2:$S$20,0))),0)</f>
        <v>0</v>
      </c>
      <c r="E3754" s="312" t="str">
        <f t="shared" si="232"/>
        <v>LO</v>
      </c>
      <c r="F3754" s="369">
        <f>VLOOKUP(C3754,METADATA!$A$5:$H$29,IF(E3754="HI",2,IF(E3754="LO",6,10))+IF(D3754=1,2,IF(D3754=7,1,(IF(WEEKDAY(B3754)=1,2,IF(WEEKDAY(B3754)=7,1,0))))))</f>
        <v>2</v>
      </c>
      <c r="G3754" s="369">
        <f>VLOOKUP(C3754,METADATA!$J$5:$Q$29,IF(E3754="HI",2,IF(E3754="LO",6,10))+IF(D3754=1,2,IF(D3754=7,1,(IF(WEEKDAY(B3754)=1,2,IF(WEEKDAY(B3754)=7,1,0))))))</f>
        <v>2</v>
      </c>
      <c r="H3754" s="370">
        <v>5004.0850219726563</v>
      </c>
      <c r="I3754" s="370">
        <v>1323.7899780273438</v>
      </c>
      <c r="M3754" s="371">
        <f t="shared" si="233"/>
        <v>5176.2232190137156</v>
      </c>
      <c r="N3754" s="329">
        <f t="shared" si="234"/>
        <v>0</v>
      </c>
      <c r="T3754" s="331">
        <v>0</v>
      </c>
      <c r="U3754" s="328">
        <f>VLOOKUP(C3754,METADATA!$J$5:$Q$29,IF(E3754="HI",2,IF(E3754="LO",6,10))+IF(T3754=1,2,IF(D3754=7,1,(IF(WEEKDAY(B3754)=1,2,IF(WEEKDAY(B3754)=7,1,0))))))</f>
        <v>2</v>
      </c>
      <c r="V3754" s="328">
        <f>VLOOKUP(C3754,METADATA!$A$5:$H$29,IF(E3754="HI",2,IF(E3754="LO",6,10))+IF(T3754=1,2,IF(D3754=7,1,(IF(WEEKDAY(B3754)=1,2,IF(WEEKDAY(B3754)=7,1,0))))))</f>
        <v>2</v>
      </c>
    </row>
    <row r="3755" spans="2:22">
      <c r="B3755" s="318">
        <f t="shared" si="235"/>
        <v>46269</v>
      </c>
      <c r="C3755" s="312">
        <v>7</v>
      </c>
      <c r="D3755" s="368">
        <f>IFERROR((INDEX(METADATA!$T$2:$T$20,MATCH(B3755,METADATA!$S$2:$S$20,0))),0)</f>
        <v>0</v>
      </c>
      <c r="E3755" s="312" t="str">
        <f t="shared" si="232"/>
        <v>LO</v>
      </c>
      <c r="F3755" s="369">
        <f>VLOOKUP(C3755,METADATA!$A$5:$H$29,IF(E3755="HI",2,IF(E3755="LO",6,10))+IF(D3755=1,2,IF(D3755=7,1,(IF(WEEKDAY(B3755)=1,2,IF(WEEKDAY(B3755)=7,1,0))))))</f>
        <v>1</v>
      </c>
      <c r="G3755" s="369">
        <f>VLOOKUP(C3755,METADATA!$J$5:$Q$29,IF(E3755="HI",2,IF(E3755="LO",6,10))+IF(D3755=1,2,IF(D3755=7,1,(IF(WEEKDAY(B3755)=1,2,IF(WEEKDAY(B3755)=7,1,0))))))</f>
        <v>1</v>
      </c>
      <c r="H3755" s="370">
        <v>8271.6776428222656</v>
      </c>
      <c r="I3755" s="370">
        <v>1865.9075129032135</v>
      </c>
      <c r="M3755" s="371">
        <f t="shared" si="233"/>
        <v>8479.5201440573492</v>
      </c>
      <c r="N3755" s="329">
        <f t="shared" si="234"/>
        <v>0</v>
      </c>
      <c r="T3755" s="331">
        <v>0</v>
      </c>
      <c r="U3755" s="328">
        <f>VLOOKUP(C3755,METADATA!$J$5:$Q$29,IF(E3755="HI",2,IF(E3755="LO",6,10))+IF(T3755=1,2,IF(D3755=7,1,(IF(WEEKDAY(B3755)=1,2,IF(WEEKDAY(B3755)=7,1,0))))))</f>
        <v>1</v>
      </c>
      <c r="V3755" s="328">
        <f>VLOOKUP(C3755,METADATA!$A$5:$H$29,IF(E3755="HI",2,IF(E3755="LO",6,10))+IF(T3755=1,2,IF(D3755=7,1,(IF(WEEKDAY(B3755)=1,2,IF(WEEKDAY(B3755)=7,1,0))))))</f>
        <v>1</v>
      </c>
    </row>
    <row r="3756" spans="2:22">
      <c r="B3756" s="318">
        <f t="shared" si="235"/>
        <v>46269</v>
      </c>
      <c r="C3756" s="312">
        <v>8</v>
      </c>
      <c r="D3756" s="368">
        <f>IFERROR((INDEX(METADATA!$T$2:$T$20,MATCH(B3756,METADATA!$S$2:$S$20,0))),0)</f>
        <v>0</v>
      </c>
      <c r="E3756" s="312" t="str">
        <f t="shared" si="232"/>
        <v>LO</v>
      </c>
      <c r="F3756" s="369">
        <f>VLOOKUP(C3756,METADATA!$A$5:$H$29,IF(E3756="HI",2,IF(E3756="LO",6,10))+IF(D3756=1,2,IF(D3756=7,1,(IF(WEEKDAY(B3756)=1,2,IF(WEEKDAY(B3756)=7,1,0))))))</f>
        <v>1</v>
      </c>
      <c r="G3756" s="369">
        <f>VLOOKUP(C3756,METADATA!$J$5:$Q$29,IF(E3756="HI",2,IF(E3756="LO",6,10))+IF(D3756=1,2,IF(D3756=7,1,(IF(WEEKDAY(B3756)=1,2,IF(WEEKDAY(B3756)=7,1,0))))))</f>
        <v>1</v>
      </c>
      <c r="H3756" s="370">
        <v>12594.849975585938</v>
      </c>
      <c r="I3756" s="370">
        <v>3767.0325622558594</v>
      </c>
      <c r="M3756" s="371">
        <f t="shared" si="233"/>
        <v>13146.131759289994</v>
      </c>
      <c r="N3756" s="329">
        <f t="shared" si="234"/>
        <v>0</v>
      </c>
      <c r="T3756" s="331">
        <v>0</v>
      </c>
      <c r="U3756" s="328">
        <f>VLOOKUP(C3756,METADATA!$J$5:$Q$29,IF(E3756="HI",2,IF(E3756="LO",6,10))+IF(T3756=1,2,IF(D3756=7,1,(IF(WEEKDAY(B3756)=1,2,IF(WEEKDAY(B3756)=7,1,0))))))</f>
        <v>1</v>
      </c>
      <c r="V3756" s="328">
        <f>VLOOKUP(C3756,METADATA!$A$5:$H$29,IF(E3756="HI",2,IF(E3756="LO",6,10))+IF(T3756=1,2,IF(D3756=7,1,(IF(WEEKDAY(B3756)=1,2,IF(WEEKDAY(B3756)=7,1,0))))))</f>
        <v>1</v>
      </c>
    </row>
    <row r="3757" spans="2:22">
      <c r="B3757" s="318">
        <f t="shared" si="235"/>
        <v>46269</v>
      </c>
      <c r="C3757" s="312">
        <v>9</v>
      </c>
      <c r="D3757" s="368">
        <f>IFERROR((INDEX(METADATA!$T$2:$T$20,MATCH(B3757,METADATA!$S$2:$S$20,0))),0)</f>
        <v>0</v>
      </c>
      <c r="E3757" s="312" t="str">
        <f t="shared" si="232"/>
        <v>LO</v>
      </c>
      <c r="F3757" s="369">
        <f>VLOOKUP(C3757,METADATA!$A$5:$H$29,IF(E3757="HI",2,IF(E3757="LO",6,10))+IF(D3757=1,2,IF(D3757=7,1,(IF(WEEKDAY(B3757)=1,2,IF(WEEKDAY(B3757)=7,1,0))))))</f>
        <v>2</v>
      </c>
      <c r="G3757" s="369">
        <f>VLOOKUP(C3757,METADATA!$J$5:$Q$29,IF(E3757="HI",2,IF(E3757="LO",6,10))+IF(D3757=1,2,IF(D3757=7,1,(IF(WEEKDAY(B3757)=1,2,IF(WEEKDAY(B3757)=7,1,0))))))</f>
        <v>2</v>
      </c>
      <c r="H3757" s="370">
        <v>13184.575073242188</v>
      </c>
      <c r="I3757" s="370">
        <v>4335.9599914550781</v>
      </c>
      <c r="M3757" s="371">
        <f t="shared" si="233"/>
        <v>13879.249580199152</v>
      </c>
      <c r="N3757" s="329">
        <f t="shared" si="234"/>
        <v>380.58746948242197</v>
      </c>
      <c r="T3757" s="331">
        <v>0</v>
      </c>
      <c r="U3757" s="328">
        <f>VLOOKUP(C3757,METADATA!$J$5:$Q$29,IF(E3757="HI",2,IF(E3757="LO",6,10))+IF(T3757=1,2,IF(D3757=7,1,(IF(WEEKDAY(B3757)=1,2,IF(WEEKDAY(B3757)=7,1,0))))))</f>
        <v>2</v>
      </c>
      <c r="V3757" s="328">
        <f>VLOOKUP(C3757,METADATA!$A$5:$H$29,IF(E3757="HI",2,IF(E3757="LO",6,10))+IF(T3757=1,2,IF(D3757=7,1,(IF(WEEKDAY(B3757)=1,2,IF(WEEKDAY(B3757)=7,1,0))))))</f>
        <v>2</v>
      </c>
    </row>
    <row r="3758" spans="2:22">
      <c r="B3758" s="318">
        <f t="shared" si="235"/>
        <v>46269</v>
      </c>
      <c r="C3758" s="312">
        <v>10</v>
      </c>
      <c r="D3758" s="368">
        <f>IFERROR((INDEX(METADATA!$T$2:$T$20,MATCH(B3758,METADATA!$S$2:$S$20,0))),0)</f>
        <v>0</v>
      </c>
      <c r="E3758" s="312" t="str">
        <f t="shared" si="232"/>
        <v>LO</v>
      </c>
      <c r="F3758" s="369">
        <f>VLOOKUP(C3758,METADATA!$A$5:$H$29,IF(E3758="HI",2,IF(E3758="LO",6,10))+IF(D3758=1,2,IF(D3758=7,1,(IF(WEEKDAY(B3758)=1,2,IF(WEEKDAY(B3758)=7,1,0))))))</f>
        <v>2</v>
      </c>
      <c r="G3758" s="369">
        <f>VLOOKUP(C3758,METADATA!$J$5:$Q$29,IF(E3758="HI",2,IF(E3758="LO",6,10))+IF(D3758=1,2,IF(D3758=7,1,(IF(WEEKDAY(B3758)=1,2,IF(WEEKDAY(B3758)=7,1,0))))))</f>
        <v>2</v>
      </c>
      <c r="H3758" s="370">
        <v>13439.974731445313</v>
      </c>
      <c r="I3758" s="370">
        <v>4430.9450073242188</v>
      </c>
      <c r="M3758" s="371">
        <f t="shared" si="233"/>
        <v>14151.543888912613</v>
      </c>
      <c r="N3758" s="329">
        <f t="shared" si="234"/>
        <v>398.95258789062518</v>
      </c>
      <c r="T3758" s="331">
        <v>0</v>
      </c>
      <c r="U3758" s="328">
        <f>VLOOKUP(C3758,METADATA!$J$5:$Q$29,IF(E3758="HI",2,IF(E3758="LO",6,10))+IF(T3758=1,2,IF(D3758=7,1,(IF(WEEKDAY(B3758)=1,2,IF(WEEKDAY(B3758)=7,1,0))))))</f>
        <v>2</v>
      </c>
      <c r="V3758" s="328">
        <f>VLOOKUP(C3758,METADATA!$A$5:$H$29,IF(E3758="HI",2,IF(E3758="LO",6,10))+IF(T3758=1,2,IF(D3758=7,1,(IF(WEEKDAY(B3758)=1,2,IF(WEEKDAY(B3758)=7,1,0))))))</f>
        <v>2</v>
      </c>
    </row>
    <row r="3759" spans="2:22">
      <c r="B3759" s="318">
        <f t="shared" si="235"/>
        <v>46269</v>
      </c>
      <c r="C3759" s="312">
        <v>11</v>
      </c>
      <c r="D3759" s="368">
        <f>IFERROR((INDEX(METADATA!$T$2:$T$20,MATCH(B3759,METADATA!$S$2:$S$20,0))),0)</f>
        <v>0</v>
      </c>
      <c r="E3759" s="312" t="str">
        <f t="shared" si="232"/>
        <v>LO</v>
      </c>
      <c r="F3759" s="369">
        <f>VLOOKUP(C3759,METADATA!$A$5:$H$29,IF(E3759="HI",2,IF(E3759="LO",6,10))+IF(D3759=1,2,IF(D3759=7,1,(IF(WEEKDAY(B3759)=1,2,IF(WEEKDAY(B3759)=7,1,0))))))</f>
        <v>2</v>
      </c>
      <c r="G3759" s="369">
        <f>VLOOKUP(C3759,METADATA!$J$5:$Q$29,IF(E3759="HI",2,IF(E3759="LO",6,10))+IF(D3759=1,2,IF(D3759=7,1,(IF(WEEKDAY(B3759)=1,2,IF(WEEKDAY(B3759)=7,1,0))))))</f>
        <v>2</v>
      </c>
      <c r="H3759" s="370">
        <v>13630.299987792969</v>
      </c>
      <c r="I3759" s="370">
        <v>4448.8399658203125</v>
      </c>
      <c r="M3759" s="371">
        <f t="shared" si="233"/>
        <v>14337.965504167914</v>
      </c>
      <c r="N3759" s="329">
        <f t="shared" si="234"/>
        <v>359.74996948242188</v>
      </c>
      <c r="T3759" s="331">
        <v>0</v>
      </c>
      <c r="U3759" s="328">
        <f>VLOOKUP(C3759,METADATA!$J$5:$Q$29,IF(E3759="HI",2,IF(E3759="LO",6,10))+IF(T3759=1,2,IF(D3759=7,1,(IF(WEEKDAY(B3759)=1,2,IF(WEEKDAY(B3759)=7,1,0))))))</f>
        <v>2</v>
      </c>
      <c r="V3759" s="328">
        <f>VLOOKUP(C3759,METADATA!$A$5:$H$29,IF(E3759="HI",2,IF(E3759="LO",6,10))+IF(T3759=1,2,IF(D3759=7,1,(IF(WEEKDAY(B3759)=1,2,IF(WEEKDAY(B3759)=7,1,0))))))</f>
        <v>2</v>
      </c>
    </row>
    <row r="3760" spans="2:22">
      <c r="B3760" s="318">
        <f t="shared" si="235"/>
        <v>46269</v>
      </c>
      <c r="C3760" s="312">
        <v>12</v>
      </c>
      <c r="D3760" s="368">
        <f>IFERROR((INDEX(METADATA!$T$2:$T$20,MATCH(B3760,METADATA!$S$2:$S$20,0))),0)</f>
        <v>0</v>
      </c>
      <c r="E3760" s="312" t="str">
        <f t="shared" si="232"/>
        <v>LO</v>
      </c>
      <c r="F3760" s="369">
        <f>VLOOKUP(C3760,METADATA!$A$5:$H$29,IF(E3760="HI",2,IF(E3760="LO",6,10))+IF(D3760=1,2,IF(D3760=7,1,(IF(WEEKDAY(B3760)=1,2,IF(WEEKDAY(B3760)=7,1,0))))))</f>
        <v>2</v>
      </c>
      <c r="G3760" s="369">
        <f>VLOOKUP(C3760,METADATA!$J$5:$Q$29,IF(E3760="HI",2,IF(E3760="LO",6,10))+IF(D3760=1,2,IF(D3760=7,1,(IF(WEEKDAY(B3760)=1,2,IF(WEEKDAY(B3760)=7,1,0))))))</f>
        <v>2</v>
      </c>
      <c r="H3760" s="370">
        <v>13684.849914550781</v>
      </c>
      <c r="I3760" s="370">
        <v>4558.0100708007813</v>
      </c>
      <c r="M3760" s="371">
        <f t="shared" si="233"/>
        <v>14423.958298237758</v>
      </c>
      <c r="N3760" s="329">
        <f t="shared" si="234"/>
        <v>452.55509643554706</v>
      </c>
      <c r="T3760" s="331">
        <v>0</v>
      </c>
      <c r="U3760" s="328">
        <f>VLOOKUP(C3760,METADATA!$J$5:$Q$29,IF(E3760="HI",2,IF(E3760="LO",6,10))+IF(T3760=1,2,IF(D3760=7,1,(IF(WEEKDAY(B3760)=1,2,IF(WEEKDAY(B3760)=7,1,0))))))</f>
        <v>2</v>
      </c>
      <c r="V3760" s="328">
        <f>VLOOKUP(C3760,METADATA!$A$5:$H$29,IF(E3760="HI",2,IF(E3760="LO",6,10))+IF(T3760=1,2,IF(D3760=7,1,(IF(WEEKDAY(B3760)=1,2,IF(WEEKDAY(B3760)=7,1,0))))))</f>
        <v>2</v>
      </c>
    </row>
    <row r="3761" spans="2:22">
      <c r="B3761" s="318">
        <f t="shared" si="235"/>
        <v>46269</v>
      </c>
      <c r="C3761" s="312">
        <v>13</v>
      </c>
      <c r="D3761" s="368">
        <f>IFERROR((INDEX(METADATA!$T$2:$T$20,MATCH(B3761,METADATA!$S$2:$S$20,0))),0)</f>
        <v>0</v>
      </c>
      <c r="E3761" s="312" t="str">
        <f t="shared" si="232"/>
        <v>LO</v>
      </c>
      <c r="F3761" s="369">
        <f>VLOOKUP(C3761,METADATA!$A$5:$H$29,IF(E3761="HI",2,IF(E3761="LO",6,10))+IF(D3761=1,2,IF(D3761=7,1,(IF(WEEKDAY(B3761)=1,2,IF(WEEKDAY(B3761)=7,1,0))))))</f>
        <v>2</v>
      </c>
      <c r="G3761" s="369">
        <f>VLOOKUP(C3761,METADATA!$J$5:$Q$29,IF(E3761="HI",2,IF(E3761="LO",6,10))+IF(D3761=1,2,IF(D3761=7,1,(IF(WEEKDAY(B3761)=1,2,IF(WEEKDAY(B3761)=7,1,0))))))</f>
        <v>2</v>
      </c>
      <c r="H3761" s="370">
        <v>13743.775268554688</v>
      </c>
      <c r="I3761" s="370">
        <v>4566.7849731445313</v>
      </c>
      <c r="M3761" s="371">
        <f t="shared" si="233"/>
        <v>14482.640768294785</v>
      </c>
      <c r="N3761" s="329">
        <f t="shared" si="234"/>
        <v>443.65239257812482</v>
      </c>
      <c r="T3761" s="331">
        <v>0</v>
      </c>
      <c r="U3761" s="328">
        <f>VLOOKUP(C3761,METADATA!$J$5:$Q$29,IF(E3761="HI",2,IF(E3761="LO",6,10))+IF(T3761=1,2,IF(D3761=7,1,(IF(WEEKDAY(B3761)=1,2,IF(WEEKDAY(B3761)=7,1,0))))))</f>
        <v>2</v>
      </c>
      <c r="V3761" s="328">
        <f>VLOOKUP(C3761,METADATA!$A$5:$H$29,IF(E3761="HI",2,IF(E3761="LO",6,10))+IF(T3761=1,2,IF(D3761=7,1,(IF(WEEKDAY(B3761)=1,2,IF(WEEKDAY(B3761)=7,1,0))))))</f>
        <v>2</v>
      </c>
    </row>
    <row r="3762" spans="2:22">
      <c r="B3762" s="318">
        <f t="shared" si="235"/>
        <v>46269</v>
      </c>
      <c r="C3762" s="312">
        <v>14</v>
      </c>
      <c r="D3762" s="368">
        <f>IFERROR((INDEX(METADATA!$T$2:$T$20,MATCH(B3762,METADATA!$S$2:$S$20,0))),0)</f>
        <v>0</v>
      </c>
      <c r="E3762" s="312" t="str">
        <f t="shared" si="232"/>
        <v>LO</v>
      </c>
      <c r="F3762" s="369">
        <f>VLOOKUP(C3762,METADATA!$A$5:$H$29,IF(E3762="HI",2,IF(E3762="LO",6,10))+IF(D3762=1,2,IF(D3762=7,1,(IF(WEEKDAY(B3762)=1,2,IF(WEEKDAY(B3762)=7,1,0))))))</f>
        <v>2</v>
      </c>
      <c r="G3762" s="369">
        <f>VLOOKUP(C3762,METADATA!$J$5:$Q$29,IF(E3762="HI",2,IF(E3762="LO",6,10))+IF(D3762=1,2,IF(D3762=7,1,(IF(WEEKDAY(B3762)=1,2,IF(WEEKDAY(B3762)=7,1,0))))))</f>
        <v>2</v>
      </c>
      <c r="H3762" s="370">
        <v>13629.125</v>
      </c>
      <c r="I3762" s="370">
        <v>4573.3950500488281</v>
      </c>
      <c r="M3762" s="371">
        <f t="shared" si="233"/>
        <v>14375.986593950209</v>
      </c>
      <c r="N3762" s="329">
        <f t="shared" si="234"/>
        <v>484.6575500488284</v>
      </c>
      <c r="T3762" s="331">
        <v>0</v>
      </c>
      <c r="U3762" s="328">
        <f>VLOOKUP(C3762,METADATA!$J$5:$Q$29,IF(E3762="HI",2,IF(E3762="LO",6,10))+IF(T3762=1,2,IF(D3762=7,1,(IF(WEEKDAY(B3762)=1,2,IF(WEEKDAY(B3762)=7,1,0))))))</f>
        <v>2</v>
      </c>
      <c r="V3762" s="328">
        <f>VLOOKUP(C3762,METADATA!$A$5:$H$29,IF(E3762="HI",2,IF(E3762="LO",6,10))+IF(T3762=1,2,IF(D3762=7,1,(IF(WEEKDAY(B3762)=1,2,IF(WEEKDAY(B3762)=7,1,0))))))</f>
        <v>2</v>
      </c>
    </row>
    <row r="3763" spans="2:22">
      <c r="B3763" s="318">
        <f t="shared" si="235"/>
        <v>46269</v>
      </c>
      <c r="C3763" s="312">
        <v>15</v>
      </c>
      <c r="D3763" s="368">
        <f>IFERROR((INDEX(METADATA!$T$2:$T$20,MATCH(B3763,METADATA!$S$2:$S$20,0))),0)</f>
        <v>0</v>
      </c>
      <c r="E3763" s="312" t="str">
        <f t="shared" si="232"/>
        <v>LO</v>
      </c>
      <c r="F3763" s="369">
        <f>VLOOKUP(C3763,METADATA!$A$5:$H$29,IF(E3763="HI",2,IF(E3763="LO",6,10))+IF(D3763=1,2,IF(D3763=7,1,(IF(WEEKDAY(B3763)=1,2,IF(WEEKDAY(B3763)=7,1,0))))))</f>
        <v>2</v>
      </c>
      <c r="G3763" s="369">
        <f>VLOOKUP(C3763,METADATA!$J$5:$Q$29,IF(E3763="HI",2,IF(E3763="LO",6,10))+IF(D3763=1,2,IF(D3763=7,1,(IF(WEEKDAY(B3763)=1,2,IF(WEEKDAY(B3763)=7,1,0))))))</f>
        <v>2</v>
      </c>
      <c r="H3763" s="370">
        <v>13656.700317382813</v>
      </c>
      <c r="I3763" s="370">
        <v>4445.7298889160156</v>
      </c>
      <c r="M3763" s="371">
        <f t="shared" si="233"/>
        <v>14362.102137361542</v>
      </c>
      <c r="N3763" s="329">
        <f t="shared" si="234"/>
        <v>348.71979370117242</v>
      </c>
      <c r="T3763" s="331">
        <v>0</v>
      </c>
      <c r="U3763" s="328">
        <f>VLOOKUP(C3763,METADATA!$J$5:$Q$29,IF(E3763="HI",2,IF(E3763="LO",6,10))+IF(T3763=1,2,IF(D3763=7,1,(IF(WEEKDAY(B3763)=1,2,IF(WEEKDAY(B3763)=7,1,0))))))</f>
        <v>2</v>
      </c>
      <c r="V3763" s="328">
        <f>VLOOKUP(C3763,METADATA!$A$5:$H$29,IF(E3763="HI",2,IF(E3763="LO",6,10))+IF(T3763=1,2,IF(D3763=7,1,(IF(WEEKDAY(B3763)=1,2,IF(WEEKDAY(B3763)=7,1,0))))))</f>
        <v>2</v>
      </c>
    </row>
    <row r="3764" spans="2:22">
      <c r="B3764" s="318">
        <f t="shared" si="235"/>
        <v>46269</v>
      </c>
      <c r="C3764" s="312">
        <v>16</v>
      </c>
      <c r="D3764" s="368">
        <f>IFERROR((INDEX(METADATA!$T$2:$T$20,MATCH(B3764,METADATA!$S$2:$S$20,0))),0)</f>
        <v>0</v>
      </c>
      <c r="E3764" s="312" t="str">
        <f t="shared" si="232"/>
        <v>LO</v>
      </c>
      <c r="F3764" s="369">
        <f>VLOOKUP(C3764,METADATA!$A$5:$H$29,IF(E3764="HI",2,IF(E3764="LO",6,10))+IF(D3764=1,2,IF(D3764=7,1,(IF(WEEKDAY(B3764)=1,2,IF(WEEKDAY(B3764)=7,1,0))))))</f>
        <v>2</v>
      </c>
      <c r="G3764" s="369">
        <f>VLOOKUP(C3764,METADATA!$J$5:$Q$29,IF(E3764="HI",2,IF(E3764="LO",6,10))+IF(D3764=1,2,IF(D3764=7,1,(IF(WEEKDAY(B3764)=1,2,IF(WEEKDAY(B3764)=7,1,0))))))</f>
        <v>2</v>
      </c>
      <c r="H3764" s="370">
        <v>13557.775390625</v>
      </c>
      <c r="I3764" s="370">
        <v>4383.419921875</v>
      </c>
      <c r="M3764" s="371">
        <f t="shared" si="233"/>
        <v>14248.776921340565</v>
      </c>
      <c r="N3764" s="329">
        <f t="shared" si="234"/>
        <v>316.08730468750036</v>
      </c>
      <c r="T3764" s="331">
        <v>0</v>
      </c>
      <c r="U3764" s="328">
        <f>VLOOKUP(C3764,METADATA!$J$5:$Q$29,IF(E3764="HI",2,IF(E3764="LO",6,10))+IF(T3764=1,2,IF(D3764=7,1,(IF(WEEKDAY(B3764)=1,2,IF(WEEKDAY(B3764)=7,1,0))))))</f>
        <v>2</v>
      </c>
      <c r="V3764" s="328">
        <f>VLOOKUP(C3764,METADATA!$A$5:$H$29,IF(E3764="HI",2,IF(E3764="LO",6,10))+IF(T3764=1,2,IF(D3764=7,1,(IF(WEEKDAY(B3764)=1,2,IF(WEEKDAY(B3764)=7,1,0))))))</f>
        <v>2</v>
      </c>
    </row>
    <row r="3765" spans="2:22">
      <c r="B3765" s="318">
        <f t="shared" si="235"/>
        <v>46269</v>
      </c>
      <c r="C3765" s="312">
        <v>17</v>
      </c>
      <c r="D3765" s="368">
        <f>IFERROR((INDEX(METADATA!$T$2:$T$20,MATCH(B3765,METADATA!$S$2:$S$20,0))),0)</f>
        <v>0</v>
      </c>
      <c r="E3765" s="312" t="str">
        <f t="shared" si="232"/>
        <v>LO</v>
      </c>
      <c r="F3765" s="369">
        <f>VLOOKUP(C3765,METADATA!$A$5:$H$29,IF(E3765="HI",2,IF(E3765="LO",6,10))+IF(D3765=1,2,IF(D3765=7,1,(IF(WEEKDAY(B3765)=1,2,IF(WEEKDAY(B3765)=7,1,0))))))</f>
        <v>2</v>
      </c>
      <c r="G3765" s="369">
        <f>VLOOKUP(C3765,METADATA!$J$5:$Q$29,IF(E3765="HI",2,IF(E3765="LO",6,10))+IF(D3765=1,2,IF(D3765=7,1,(IF(WEEKDAY(B3765)=1,2,IF(WEEKDAY(B3765)=7,1,0))))))</f>
        <v>2</v>
      </c>
      <c r="H3765" s="370">
        <v>13511.750244140625</v>
      </c>
      <c r="I3765" s="370">
        <v>4416.1900939941406</v>
      </c>
      <c r="M3765" s="371">
        <f t="shared" si="233"/>
        <v>14215.137340396195</v>
      </c>
      <c r="N3765" s="329">
        <f t="shared" si="234"/>
        <v>362.66502075195331</v>
      </c>
      <c r="T3765" s="331">
        <v>0</v>
      </c>
      <c r="U3765" s="328">
        <f>VLOOKUP(C3765,METADATA!$J$5:$Q$29,IF(E3765="HI",2,IF(E3765="LO",6,10))+IF(T3765=1,2,IF(D3765=7,1,(IF(WEEKDAY(B3765)=1,2,IF(WEEKDAY(B3765)=7,1,0))))))</f>
        <v>2</v>
      </c>
      <c r="V3765" s="328">
        <f>VLOOKUP(C3765,METADATA!$A$5:$H$29,IF(E3765="HI",2,IF(E3765="LO",6,10))+IF(T3765=1,2,IF(D3765=7,1,(IF(WEEKDAY(B3765)=1,2,IF(WEEKDAY(B3765)=7,1,0))))))</f>
        <v>2</v>
      </c>
    </row>
    <row r="3766" spans="2:22">
      <c r="B3766" s="318">
        <f t="shared" si="235"/>
        <v>46269</v>
      </c>
      <c r="C3766" s="312">
        <v>18</v>
      </c>
      <c r="D3766" s="368">
        <f>IFERROR((INDEX(METADATA!$T$2:$T$20,MATCH(B3766,METADATA!$S$2:$S$20,0))),0)</f>
        <v>0</v>
      </c>
      <c r="E3766" s="312" t="str">
        <f t="shared" si="232"/>
        <v>LO</v>
      </c>
      <c r="F3766" s="369">
        <f>VLOOKUP(C3766,METADATA!$A$5:$H$29,IF(E3766="HI",2,IF(E3766="LO",6,10))+IF(D3766=1,2,IF(D3766=7,1,(IF(WEEKDAY(B3766)=1,2,IF(WEEKDAY(B3766)=7,1,0))))))</f>
        <v>1</v>
      </c>
      <c r="G3766" s="369">
        <f>VLOOKUP(C3766,METADATA!$J$5:$Q$29,IF(E3766="HI",2,IF(E3766="LO",6,10))+IF(D3766=1,2,IF(D3766=7,1,(IF(WEEKDAY(B3766)=1,2,IF(WEEKDAY(B3766)=7,1,0))))))</f>
        <v>1</v>
      </c>
      <c r="H3766" s="370">
        <v>11797.780151367188</v>
      </c>
      <c r="I3766" s="370">
        <v>3401.6875</v>
      </c>
      <c r="M3766" s="371">
        <f t="shared" si="233"/>
        <v>12278.399502689665</v>
      </c>
      <c r="N3766" s="329">
        <f t="shared" si="234"/>
        <v>0</v>
      </c>
      <c r="T3766" s="331">
        <v>0</v>
      </c>
      <c r="U3766" s="328">
        <f>VLOOKUP(C3766,METADATA!$J$5:$Q$29,IF(E3766="HI",2,IF(E3766="LO",6,10))+IF(T3766=1,2,IF(D3766=7,1,(IF(WEEKDAY(B3766)=1,2,IF(WEEKDAY(B3766)=7,1,0))))))</f>
        <v>1</v>
      </c>
      <c r="V3766" s="328">
        <f>VLOOKUP(C3766,METADATA!$A$5:$H$29,IF(E3766="HI",2,IF(E3766="LO",6,10))+IF(T3766=1,2,IF(D3766=7,1,(IF(WEEKDAY(B3766)=1,2,IF(WEEKDAY(B3766)=7,1,0))))))</f>
        <v>1</v>
      </c>
    </row>
    <row r="3767" spans="2:22">
      <c r="B3767" s="318">
        <f t="shared" si="235"/>
        <v>46269</v>
      </c>
      <c r="C3767" s="312">
        <v>19</v>
      </c>
      <c r="D3767" s="368">
        <f>IFERROR((INDEX(METADATA!$T$2:$T$20,MATCH(B3767,METADATA!$S$2:$S$20,0))),0)</f>
        <v>0</v>
      </c>
      <c r="E3767" s="312" t="str">
        <f t="shared" si="232"/>
        <v>LO</v>
      </c>
      <c r="F3767" s="369">
        <f>VLOOKUP(C3767,METADATA!$A$5:$H$29,IF(E3767="HI",2,IF(E3767="LO",6,10))+IF(D3767=1,2,IF(D3767=7,1,(IF(WEEKDAY(B3767)=1,2,IF(WEEKDAY(B3767)=7,1,0))))))</f>
        <v>1</v>
      </c>
      <c r="G3767" s="369">
        <f>VLOOKUP(C3767,METADATA!$J$5:$Q$29,IF(E3767="HI",2,IF(E3767="LO",6,10))+IF(D3767=1,2,IF(D3767=7,1,(IF(WEEKDAY(B3767)=1,2,IF(WEEKDAY(B3767)=7,1,0))))))</f>
        <v>1</v>
      </c>
      <c r="H3767" s="370">
        <v>11479.159698486328</v>
      </c>
      <c r="I3767" s="370">
        <v>3289.9224853515625</v>
      </c>
      <c r="M3767" s="371">
        <f t="shared" si="233"/>
        <v>11941.302162786709</v>
      </c>
      <c r="N3767" s="329">
        <f t="shared" si="234"/>
        <v>0</v>
      </c>
      <c r="T3767" s="331">
        <v>0</v>
      </c>
      <c r="U3767" s="328">
        <f>VLOOKUP(C3767,METADATA!$J$5:$Q$29,IF(E3767="HI",2,IF(E3767="LO",6,10))+IF(T3767=1,2,IF(D3767=7,1,(IF(WEEKDAY(B3767)=1,2,IF(WEEKDAY(B3767)=7,1,0))))))</f>
        <v>1</v>
      </c>
      <c r="V3767" s="328">
        <f>VLOOKUP(C3767,METADATA!$A$5:$H$29,IF(E3767="HI",2,IF(E3767="LO",6,10))+IF(T3767=1,2,IF(D3767=7,1,(IF(WEEKDAY(B3767)=1,2,IF(WEEKDAY(B3767)=7,1,0))))))</f>
        <v>1</v>
      </c>
    </row>
    <row r="3768" spans="2:22">
      <c r="B3768" s="318">
        <f t="shared" si="235"/>
        <v>46269</v>
      </c>
      <c r="C3768" s="312">
        <v>20</v>
      </c>
      <c r="D3768" s="368">
        <f>IFERROR((INDEX(METADATA!$T$2:$T$20,MATCH(B3768,METADATA!$S$2:$S$20,0))),0)</f>
        <v>0</v>
      </c>
      <c r="E3768" s="312" t="str">
        <f t="shared" si="232"/>
        <v>LO</v>
      </c>
      <c r="F3768" s="369">
        <f>VLOOKUP(C3768,METADATA!$A$5:$H$29,IF(E3768="HI",2,IF(E3768="LO",6,10))+IF(D3768=1,2,IF(D3768=7,1,(IF(WEEKDAY(B3768)=1,2,IF(WEEKDAY(B3768)=7,1,0))))))</f>
        <v>1</v>
      </c>
      <c r="G3768" s="369">
        <f>VLOOKUP(C3768,METADATA!$J$5:$Q$29,IF(E3768="HI",2,IF(E3768="LO",6,10))+IF(D3768=1,2,IF(D3768=7,1,(IF(WEEKDAY(B3768)=1,2,IF(WEEKDAY(B3768)=7,1,0))))))</f>
        <v>1</v>
      </c>
      <c r="H3768" s="370">
        <v>13186.074768066406</v>
      </c>
      <c r="I3768" s="370">
        <v>4216.074951171875</v>
      </c>
      <c r="M3768" s="371">
        <f t="shared" si="233"/>
        <v>13843.693718908131</v>
      </c>
      <c r="N3768" s="329">
        <f t="shared" si="234"/>
        <v>260.2525207519534</v>
      </c>
      <c r="T3768" s="331">
        <v>0</v>
      </c>
      <c r="U3768" s="328">
        <f>VLOOKUP(C3768,METADATA!$J$5:$Q$29,IF(E3768="HI",2,IF(E3768="LO",6,10))+IF(T3768=1,2,IF(D3768=7,1,(IF(WEEKDAY(B3768)=1,2,IF(WEEKDAY(B3768)=7,1,0))))))</f>
        <v>1</v>
      </c>
      <c r="V3768" s="328">
        <f>VLOOKUP(C3768,METADATA!$A$5:$H$29,IF(E3768="HI",2,IF(E3768="LO",6,10))+IF(T3768=1,2,IF(D3768=7,1,(IF(WEEKDAY(B3768)=1,2,IF(WEEKDAY(B3768)=7,1,0))))))</f>
        <v>1</v>
      </c>
    </row>
    <row r="3769" spans="2:22">
      <c r="B3769" s="318">
        <f t="shared" si="235"/>
        <v>46269</v>
      </c>
      <c r="C3769" s="312">
        <v>21</v>
      </c>
      <c r="D3769" s="368">
        <f>IFERROR((INDEX(METADATA!$T$2:$T$20,MATCH(B3769,METADATA!$S$2:$S$20,0))),0)</f>
        <v>0</v>
      </c>
      <c r="E3769" s="312" t="str">
        <f t="shared" si="232"/>
        <v>LO</v>
      </c>
      <c r="F3769" s="369">
        <f>VLOOKUP(C3769,METADATA!$A$5:$H$29,IF(E3769="HI",2,IF(E3769="LO",6,10))+IF(D3769=1,2,IF(D3769=7,1,(IF(WEEKDAY(B3769)=1,2,IF(WEEKDAY(B3769)=7,1,0))))))</f>
        <v>2</v>
      </c>
      <c r="G3769" s="369">
        <f>VLOOKUP(C3769,METADATA!$J$5:$Q$29,IF(E3769="HI",2,IF(E3769="LO",6,10))+IF(D3769=1,2,IF(D3769=7,1,(IF(WEEKDAY(B3769)=1,2,IF(WEEKDAY(B3769)=7,1,0))))))</f>
        <v>2</v>
      </c>
      <c r="H3769" s="370">
        <v>13519.0751953125</v>
      </c>
      <c r="I3769" s="370">
        <v>4436.5299987792969</v>
      </c>
      <c r="M3769" s="371">
        <f t="shared" si="233"/>
        <v>14228.429026655835</v>
      </c>
      <c r="N3769" s="329">
        <f t="shared" si="234"/>
        <v>380.80744018554697</v>
      </c>
      <c r="T3769" s="331">
        <v>0</v>
      </c>
      <c r="U3769" s="328">
        <f>VLOOKUP(C3769,METADATA!$J$5:$Q$29,IF(E3769="HI",2,IF(E3769="LO",6,10))+IF(T3769=1,2,IF(D3769=7,1,(IF(WEEKDAY(B3769)=1,2,IF(WEEKDAY(B3769)=7,1,0))))))</f>
        <v>2</v>
      </c>
      <c r="V3769" s="328">
        <f>VLOOKUP(C3769,METADATA!$A$5:$H$29,IF(E3769="HI",2,IF(E3769="LO",6,10))+IF(T3769=1,2,IF(D3769=7,1,(IF(WEEKDAY(B3769)=1,2,IF(WEEKDAY(B3769)=7,1,0))))))</f>
        <v>2</v>
      </c>
    </row>
    <row r="3770" spans="2:22">
      <c r="B3770" s="318">
        <f t="shared" si="235"/>
        <v>46269</v>
      </c>
      <c r="C3770" s="312">
        <v>22</v>
      </c>
      <c r="D3770" s="368">
        <f>IFERROR((INDEX(METADATA!$T$2:$T$20,MATCH(B3770,METADATA!$S$2:$S$20,0))),0)</f>
        <v>0</v>
      </c>
      <c r="E3770" s="312" t="str">
        <f t="shared" si="232"/>
        <v>LO</v>
      </c>
      <c r="F3770" s="369">
        <f>VLOOKUP(C3770,METADATA!$A$5:$H$29,IF(E3770="HI",2,IF(E3770="LO",6,10))+IF(D3770=1,2,IF(D3770=7,1,(IF(WEEKDAY(B3770)=1,2,IF(WEEKDAY(B3770)=7,1,0))))))</f>
        <v>3</v>
      </c>
      <c r="G3770" s="369">
        <f>VLOOKUP(C3770,METADATA!$J$5:$Q$29,IF(E3770="HI",2,IF(E3770="LO",6,10))+IF(D3770=1,2,IF(D3770=7,1,(IF(WEEKDAY(B3770)=1,2,IF(WEEKDAY(B3770)=7,1,0))))))</f>
        <v>3</v>
      </c>
      <c r="H3770" s="370">
        <v>13558.474914550781</v>
      </c>
      <c r="I3770" s="370">
        <v>4318.1950073242188</v>
      </c>
      <c r="M3770" s="371">
        <f t="shared" si="233"/>
        <v>14229.513348311762</v>
      </c>
      <c r="N3770" s="329">
        <f t="shared" si="234"/>
        <v>250.65253295898447</v>
      </c>
      <c r="T3770" s="331">
        <v>0</v>
      </c>
      <c r="U3770" s="328">
        <f>VLOOKUP(C3770,METADATA!$J$5:$Q$29,IF(E3770="HI",2,IF(E3770="LO",6,10))+IF(T3770=1,2,IF(D3770=7,1,(IF(WEEKDAY(B3770)=1,2,IF(WEEKDAY(B3770)=7,1,0))))))</f>
        <v>3</v>
      </c>
      <c r="V3770" s="328">
        <f>VLOOKUP(C3770,METADATA!$A$5:$H$29,IF(E3770="HI",2,IF(E3770="LO",6,10))+IF(T3770=1,2,IF(D3770=7,1,(IF(WEEKDAY(B3770)=1,2,IF(WEEKDAY(B3770)=7,1,0))))))</f>
        <v>3</v>
      </c>
    </row>
    <row r="3771" spans="2:22">
      <c r="B3771" s="318">
        <f t="shared" si="235"/>
        <v>46269</v>
      </c>
      <c r="C3771" s="312">
        <v>23</v>
      </c>
      <c r="D3771" s="368">
        <f>IFERROR((INDEX(METADATA!$T$2:$T$20,MATCH(B3771,METADATA!$S$2:$S$20,0))),0)</f>
        <v>0</v>
      </c>
      <c r="E3771" s="312" t="str">
        <f t="shared" si="232"/>
        <v>LO</v>
      </c>
      <c r="F3771" s="369">
        <f>VLOOKUP(C3771,METADATA!$A$5:$H$29,IF(E3771="HI",2,IF(E3771="LO",6,10))+IF(D3771=1,2,IF(D3771=7,1,(IF(WEEKDAY(B3771)=1,2,IF(WEEKDAY(B3771)=7,1,0))))))</f>
        <v>3</v>
      </c>
      <c r="G3771" s="369">
        <f>VLOOKUP(C3771,METADATA!$J$5:$Q$29,IF(E3771="HI",2,IF(E3771="LO",6,10))+IF(D3771=1,2,IF(D3771=7,1,(IF(WEEKDAY(B3771)=1,2,IF(WEEKDAY(B3771)=7,1,0))))))</f>
        <v>3</v>
      </c>
      <c r="H3771" s="370">
        <v>13494.674926757813</v>
      </c>
      <c r="I3771" s="370">
        <v>4315.1349792480469</v>
      </c>
      <c r="M3771" s="371">
        <f t="shared" si="233"/>
        <v>14167.802979572945</v>
      </c>
      <c r="N3771" s="329">
        <f t="shared" si="234"/>
        <v>266.7325012207034</v>
      </c>
      <c r="T3771" s="331">
        <v>0</v>
      </c>
      <c r="U3771" s="328">
        <f>VLOOKUP(C3771,METADATA!$J$5:$Q$29,IF(E3771="HI",2,IF(E3771="LO",6,10))+IF(T3771=1,2,IF(D3771=7,1,(IF(WEEKDAY(B3771)=1,2,IF(WEEKDAY(B3771)=7,1,0))))))</f>
        <v>3</v>
      </c>
      <c r="V3771" s="328">
        <f>VLOOKUP(C3771,METADATA!$A$5:$H$29,IF(E3771="HI",2,IF(E3771="LO",6,10))+IF(T3771=1,2,IF(D3771=7,1,(IF(WEEKDAY(B3771)=1,2,IF(WEEKDAY(B3771)=7,1,0))))))</f>
        <v>3</v>
      </c>
    </row>
    <row r="3772" spans="2:22">
      <c r="B3772" s="318">
        <f t="shared" si="235"/>
        <v>46270</v>
      </c>
      <c r="C3772" s="312">
        <v>0</v>
      </c>
      <c r="D3772" s="368">
        <f>IFERROR((INDEX(METADATA!$T$2:$T$20,MATCH(B3772,METADATA!$S$2:$S$20,0))),0)</f>
        <v>0</v>
      </c>
      <c r="E3772" s="312" t="str">
        <f t="shared" si="232"/>
        <v>LO</v>
      </c>
      <c r="F3772" s="369">
        <f>VLOOKUP(C3772,METADATA!$A$5:$H$29,IF(E3772="HI",2,IF(E3772="LO",6,10))+IF(D3772=1,2,IF(D3772=7,1,(IF(WEEKDAY(B3772)=1,2,IF(WEEKDAY(B3772)=7,1,0))))))</f>
        <v>3</v>
      </c>
      <c r="G3772" s="369">
        <f>VLOOKUP(C3772,METADATA!$J$5:$Q$29,IF(E3772="HI",2,IF(E3772="LO",6,10))+IF(D3772=1,2,IF(D3772=7,1,(IF(WEEKDAY(B3772)=1,2,IF(WEEKDAY(B3772)=7,1,0))))))</f>
        <v>3</v>
      </c>
      <c r="H3772" s="370">
        <v>13396.924987792969</v>
      </c>
      <c r="I3772" s="370">
        <v>4382.4700317382813</v>
      </c>
      <c r="M3772" s="371">
        <f t="shared" si="233"/>
        <v>14095.518532769051</v>
      </c>
      <c r="N3772" s="329">
        <f t="shared" si="234"/>
        <v>363.3925354003909</v>
      </c>
      <c r="T3772" s="331">
        <v>0</v>
      </c>
      <c r="U3772" s="328">
        <f>VLOOKUP(C3772,METADATA!$J$5:$Q$29,IF(E3772="HI",2,IF(E3772="LO",6,10))+IF(T3772=1,2,IF(D3772=7,1,(IF(WEEKDAY(B3772)=1,2,IF(WEEKDAY(B3772)=7,1,0))))))</f>
        <v>3</v>
      </c>
      <c r="V3772" s="328">
        <f>VLOOKUP(C3772,METADATA!$A$5:$H$29,IF(E3772="HI",2,IF(E3772="LO",6,10))+IF(T3772=1,2,IF(D3772=7,1,(IF(WEEKDAY(B3772)=1,2,IF(WEEKDAY(B3772)=7,1,0))))))</f>
        <v>3</v>
      </c>
    </row>
    <row r="3773" spans="2:22">
      <c r="B3773" s="318">
        <f t="shared" si="235"/>
        <v>46270</v>
      </c>
      <c r="C3773" s="312">
        <v>1</v>
      </c>
      <c r="D3773" s="368">
        <f>IFERROR((INDEX(METADATA!$T$2:$T$20,MATCH(B3773,METADATA!$S$2:$S$20,0))),0)</f>
        <v>0</v>
      </c>
      <c r="E3773" s="312" t="str">
        <f t="shared" si="232"/>
        <v>LO</v>
      </c>
      <c r="F3773" s="369">
        <f>VLOOKUP(C3773,METADATA!$A$5:$H$29,IF(E3773="HI",2,IF(E3773="LO",6,10))+IF(D3773=1,2,IF(D3773=7,1,(IF(WEEKDAY(B3773)=1,2,IF(WEEKDAY(B3773)=7,1,0))))))</f>
        <v>3</v>
      </c>
      <c r="G3773" s="369">
        <f>VLOOKUP(C3773,METADATA!$J$5:$Q$29,IF(E3773="HI",2,IF(E3773="LO",6,10))+IF(D3773=1,2,IF(D3773=7,1,(IF(WEEKDAY(B3773)=1,2,IF(WEEKDAY(B3773)=7,1,0))))))</f>
        <v>3</v>
      </c>
      <c r="H3773" s="370">
        <v>13472.95751953125</v>
      </c>
      <c r="I3773" s="370">
        <v>4317.2624206542969</v>
      </c>
      <c r="M3773" s="371">
        <f t="shared" si="233"/>
        <v>14147.767991166926</v>
      </c>
      <c r="N3773" s="329">
        <f t="shared" si="234"/>
        <v>275.37516479492206</v>
      </c>
      <c r="T3773" s="331">
        <v>0</v>
      </c>
      <c r="U3773" s="328">
        <f>VLOOKUP(C3773,METADATA!$J$5:$Q$29,IF(E3773="HI",2,IF(E3773="LO",6,10))+IF(T3773=1,2,IF(D3773=7,1,(IF(WEEKDAY(B3773)=1,2,IF(WEEKDAY(B3773)=7,1,0))))))</f>
        <v>3</v>
      </c>
      <c r="V3773" s="328">
        <f>VLOOKUP(C3773,METADATA!$A$5:$H$29,IF(E3773="HI",2,IF(E3773="LO",6,10))+IF(T3773=1,2,IF(D3773=7,1,(IF(WEEKDAY(B3773)=1,2,IF(WEEKDAY(B3773)=7,1,0))))))</f>
        <v>3</v>
      </c>
    </row>
    <row r="3774" spans="2:22">
      <c r="B3774" s="318">
        <f t="shared" si="235"/>
        <v>46270</v>
      </c>
      <c r="C3774" s="312">
        <v>2</v>
      </c>
      <c r="D3774" s="368">
        <f>IFERROR((INDEX(METADATA!$T$2:$T$20,MATCH(B3774,METADATA!$S$2:$S$20,0))),0)</f>
        <v>0</v>
      </c>
      <c r="E3774" s="312" t="str">
        <f t="shared" si="232"/>
        <v>LO</v>
      </c>
      <c r="F3774" s="369">
        <f>VLOOKUP(C3774,METADATA!$A$5:$H$29,IF(E3774="HI",2,IF(E3774="LO",6,10))+IF(D3774=1,2,IF(D3774=7,1,(IF(WEEKDAY(B3774)=1,2,IF(WEEKDAY(B3774)=7,1,0))))))</f>
        <v>3</v>
      </c>
      <c r="G3774" s="369">
        <f>VLOOKUP(C3774,METADATA!$J$5:$Q$29,IF(E3774="HI",2,IF(E3774="LO",6,10))+IF(D3774=1,2,IF(D3774=7,1,(IF(WEEKDAY(B3774)=1,2,IF(WEEKDAY(B3774)=7,1,0))))))</f>
        <v>3</v>
      </c>
      <c r="H3774" s="370">
        <v>13392.149963378906</v>
      </c>
      <c r="I3774" s="370">
        <v>4331.1299438476563</v>
      </c>
      <c r="M3774" s="371">
        <f t="shared" si="233"/>
        <v>14075.097414658396</v>
      </c>
      <c r="N3774" s="329">
        <f t="shared" si="234"/>
        <v>313.48495483398438</v>
      </c>
      <c r="T3774" s="331">
        <v>0</v>
      </c>
      <c r="U3774" s="328">
        <f>VLOOKUP(C3774,METADATA!$J$5:$Q$29,IF(E3774="HI",2,IF(E3774="LO",6,10))+IF(T3774=1,2,IF(D3774=7,1,(IF(WEEKDAY(B3774)=1,2,IF(WEEKDAY(B3774)=7,1,0))))))</f>
        <v>3</v>
      </c>
      <c r="V3774" s="328">
        <f>VLOOKUP(C3774,METADATA!$A$5:$H$29,IF(E3774="HI",2,IF(E3774="LO",6,10))+IF(T3774=1,2,IF(D3774=7,1,(IF(WEEKDAY(B3774)=1,2,IF(WEEKDAY(B3774)=7,1,0))))))</f>
        <v>3</v>
      </c>
    </row>
    <row r="3775" spans="2:22">
      <c r="B3775" s="318">
        <f t="shared" si="235"/>
        <v>46270</v>
      </c>
      <c r="C3775" s="312">
        <v>3</v>
      </c>
      <c r="D3775" s="368">
        <f>IFERROR((INDEX(METADATA!$T$2:$T$20,MATCH(B3775,METADATA!$S$2:$S$20,0))),0)</f>
        <v>0</v>
      </c>
      <c r="E3775" s="312" t="str">
        <f t="shared" si="232"/>
        <v>LO</v>
      </c>
      <c r="F3775" s="369">
        <f>VLOOKUP(C3775,METADATA!$A$5:$H$29,IF(E3775="HI",2,IF(E3775="LO",6,10))+IF(D3775=1,2,IF(D3775=7,1,(IF(WEEKDAY(B3775)=1,2,IF(WEEKDAY(B3775)=7,1,0))))))</f>
        <v>3</v>
      </c>
      <c r="G3775" s="369">
        <f>VLOOKUP(C3775,METADATA!$J$5:$Q$29,IF(E3775="HI",2,IF(E3775="LO",6,10))+IF(D3775=1,2,IF(D3775=7,1,(IF(WEEKDAY(B3775)=1,2,IF(WEEKDAY(B3775)=7,1,0))))))</f>
        <v>3</v>
      </c>
      <c r="H3775" s="370">
        <v>13308.74951171875</v>
      </c>
      <c r="I3775" s="370">
        <v>4205.0350341796875</v>
      </c>
      <c r="M3775" s="371">
        <f t="shared" si="233"/>
        <v>13957.260949210366</v>
      </c>
      <c r="N3775" s="329">
        <f t="shared" si="234"/>
        <v>212.41018066406286</v>
      </c>
      <c r="T3775" s="331">
        <v>0</v>
      </c>
      <c r="U3775" s="328">
        <f>VLOOKUP(C3775,METADATA!$J$5:$Q$29,IF(E3775="HI",2,IF(E3775="LO",6,10))+IF(T3775=1,2,IF(D3775=7,1,(IF(WEEKDAY(B3775)=1,2,IF(WEEKDAY(B3775)=7,1,0))))))</f>
        <v>3</v>
      </c>
      <c r="V3775" s="328">
        <f>VLOOKUP(C3775,METADATA!$A$5:$H$29,IF(E3775="HI",2,IF(E3775="LO",6,10))+IF(T3775=1,2,IF(D3775=7,1,(IF(WEEKDAY(B3775)=1,2,IF(WEEKDAY(B3775)=7,1,0))))))</f>
        <v>3</v>
      </c>
    </row>
    <row r="3776" spans="2:22">
      <c r="B3776" s="318">
        <f t="shared" si="235"/>
        <v>46270</v>
      </c>
      <c r="C3776" s="312">
        <v>4</v>
      </c>
      <c r="D3776" s="368">
        <f>IFERROR((INDEX(METADATA!$T$2:$T$20,MATCH(B3776,METADATA!$S$2:$S$20,0))),0)</f>
        <v>0</v>
      </c>
      <c r="E3776" s="312" t="str">
        <f t="shared" si="232"/>
        <v>LO</v>
      </c>
      <c r="F3776" s="369">
        <f>VLOOKUP(C3776,METADATA!$A$5:$H$29,IF(E3776="HI",2,IF(E3776="LO",6,10))+IF(D3776=1,2,IF(D3776=7,1,(IF(WEEKDAY(B3776)=1,2,IF(WEEKDAY(B3776)=7,1,0))))))</f>
        <v>3</v>
      </c>
      <c r="G3776" s="369">
        <f>VLOOKUP(C3776,METADATA!$J$5:$Q$29,IF(E3776="HI",2,IF(E3776="LO",6,10))+IF(D3776=1,2,IF(D3776=7,1,(IF(WEEKDAY(B3776)=1,2,IF(WEEKDAY(B3776)=7,1,0))))))</f>
        <v>3</v>
      </c>
      <c r="H3776" s="370">
        <v>12077.562438964844</v>
      </c>
      <c r="I3776" s="370">
        <v>3588.8000183105469</v>
      </c>
      <c r="M3776" s="371">
        <f t="shared" si="233"/>
        <v>12599.484117951823</v>
      </c>
      <c r="N3776" s="329">
        <f t="shared" si="234"/>
        <v>0</v>
      </c>
      <c r="T3776" s="331">
        <v>0</v>
      </c>
      <c r="U3776" s="328">
        <f>VLOOKUP(C3776,METADATA!$J$5:$Q$29,IF(E3776="HI",2,IF(E3776="LO",6,10))+IF(T3776=1,2,IF(D3776=7,1,(IF(WEEKDAY(B3776)=1,2,IF(WEEKDAY(B3776)=7,1,0))))))</f>
        <v>3</v>
      </c>
      <c r="V3776" s="328">
        <f>VLOOKUP(C3776,METADATA!$A$5:$H$29,IF(E3776="HI",2,IF(E3776="LO",6,10))+IF(T3776=1,2,IF(D3776=7,1,(IF(WEEKDAY(B3776)=1,2,IF(WEEKDAY(B3776)=7,1,0))))))</f>
        <v>3</v>
      </c>
    </row>
    <row r="3777" spans="2:22">
      <c r="B3777" s="318">
        <f t="shared" si="235"/>
        <v>46270</v>
      </c>
      <c r="C3777" s="312">
        <v>5</v>
      </c>
      <c r="D3777" s="368">
        <f>IFERROR((INDEX(METADATA!$T$2:$T$20,MATCH(B3777,METADATA!$S$2:$S$20,0))),0)</f>
        <v>0</v>
      </c>
      <c r="E3777" s="312" t="str">
        <f t="shared" si="232"/>
        <v>LO</v>
      </c>
      <c r="F3777" s="369">
        <f>VLOOKUP(C3777,METADATA!$A$5:$H$29,IF(E3777="HI",2,IF(E3777="LO",6,10))+IF(D3777=1,2,IF(D3777=7,1,(IF(WEEKDAY(B3777)=1,2,IF(WEEKDAY(B3777)=7,1,0))))))</f>
        <v>3</v>
      </c>
      <c r="G3777" s="369">
        <f>VLOOKUP(C3777,METADATA!$J$5:$Q$29,IF(E3777="HI",2,IF(E3777="LO",6,10))+IF(D3777=1,2,IF(D3777=7,1,(IF(WEEKDAY(B3777)=1,2,IF(WEEKDAY(B3777)=7,1,0))))))</f>
        <v>3</v>
      </c>
      <c r="H3777" s="370">
        <v>11359.607360839844</v>
      </c>
      <c r="I3777" s="370">
        <v>3075.62744140625</v>
      </c>
      <c r="M3777" s="371">
        <f t="shared" si="233"/>
        <v>11768.609244544485</v>
      </c>
      <c r="N3777" s="329">
        <f t="shared" si="234"/>
        <v>0</v>
      </c>
      <c r="T3777" s="331">
        <v>0</v>
      </c>
      <c r="U3777" s="328">
        <f>VLOOKUP(C3777,METADATA!$J$5:$Q$29,IF(E3777="HI",2,IF(E3777="LO",6,10))+IF(T3777=1,2,IF(D3777=7,1,(IF(WEEKDAY(B3777)=1,2,IF(WEEKDAY(B3777)=7,1,0))))))</f>
        <v>3</v>
      </c>
      <c r="V3777" s="328">
        <f>VLOOKUP(C3777,METADATA!$A$5:$H$29,IF(E3777="HI",2,IF(E3777="LO",6,10))+IF(T3777=1,2,IF(D3777=7,1,(IF(WEEKDAY(B3777)=1,2,IF(WEEKDAY(B3777)=7,1,0))))))</f>
        <v>3</v>
      </c>
    </row>
    <row r="3778" spans="2:22">
      <c r="B3778" s="318">
        <f t="shared" si="235"/>
        <v>46270</v>
      </c>
      <c r="C3778" s="312">
        <v>6</v>
      </c>
      <c r="D3778" s="368">
        <f>IFERROR((INDEX(METADATA!$T$2:$T$20,MATCH(B3778,METADATA!$S$2:$S$20,0))),0)</f>
        <v>0</v>
      </c>
      <c r="E3778" s="312" t="str">
        <f t="shared" si="232"/>
        <v>LO</v>
      </c>
      <c r="F3778" s="369">
        <f>VLOOKUP(C3778,METADATA!$A$5:$H$29,IF(E3778="HI",2,IF(E3778="LO",6,10))+IF(D3778=1,2,IF(D3778=7,1,(IF(WEEKDAY(B3778)=1,2,IF(WEEKDAY(B3778)=7,1,0))))))</f>
        <v>3</v>
      </c>
      <c r="G3778" s="369">
        <f>VLOOKUP(C3778,METADATA!$J$5:$Q$29,IF(E3778="HI",2,IF(E3778="LO",6,10))+IF(D3778=1,2,IF(D3778=7,1,(IF(WEEKDAY(B3778)=1,2,IF(WEEKDAY(B3778)=7,1,0))))))</f>
        <v>3</v>
      </c>
      <c r="H3778" s="370">
        <v>12246.560180664063</v>
      </c>
      <c r="I3778" s="370">
        <v>3682.7875061035156</v>
      </c>
      <c r="M3778" s="371">
        <f t="shared" si="233"/>
        <v>12788.321237509586</v>
      </c>
      <c r="N3778" s="329">
        <f t="shared" si="234"/>
        <v>8.8194519042967841</v>
      </c>
      <c r="T3778" s="331">
        <v>0</v>
      </c>
      <c r="U3778" s="328">
        <f>VLOOKUP(C3778,METADATA!$J$5:$Q$29,IF(E3778="HI",2,IF(E3778="LO",6,10))+IF(T3778=1,2,IF(D3778=7,1,(IF(WEEKDAY(B3778)=1,2,IF(WEEKDAY(B3778)=7,1,0))))))</f>
        <v>3</v>
      </c>
      <c r="V3778" s="328">
        <f>VLOOKUP(C3778,METADATA!$A$5:$H$29,IF(E3778="HI",2,IF(E3778="LO",6,10))+IF(T3778=1,2,IF(D3778=7,1,(IF(WEEKDAY(B3778)=1,2,IF(WEEKDAY(B3778)=7,1,0))))))</f>
        <v>3</v>
      </c>
    </row>
    <row r="3779" spans="2:22">
      <c r="B3779" s="318">
        <f t="shared" si="235"/>
        <v>46270</v>
      </c>
      <c r="C3779" s="312">
        <v>7</v>
      </c>
      <c r="D3779" s="368">
        <f>IFERROR((INDEX(METADATA!$T$2:$T$20,MATCH(B3779,METADATA!$S$2:$S$20,0))),0)</f>
        <v>0</v>
      </c>
      <c r="E3779" s="312" t="str">
        <f t="shared" si="232"/>
        <v>LO</v>
      </c>
      <c r="F3779" s="369">
        <f>VLOOKUP(C3779,METADATA!$A$5:$H$29,IF(E3779="HI",2,IF(E3779="LO",6,10))+IF(D3779=1,2,IF(D3779=7,1,(IF(WEEKDAY(B3779)=1,2,IF(WEEKDAY(B3779)=7,1,0))))))</f>
        <v>2</v>
      </c>
      <c r="G3779" s="369">
        <f>VLOOKUP(C3779,METADATA!$J$5:$Q$29,IF(E3779="HI",2,IF(E3779="LO",6,10))+IF(D3779=1,2,IF(D3779=7,1,(IF(WEEKDAY(B3779)=1,2,IF(WEEKDAY(B3779)=7,1,0))))))</f>
        <v>2</v>
      </c>
      <c r="H3779" s="370">
        <v>13323.874633789063</v>
      </c>
      <c r="I3779" s="370">
        <v>4165.7751159667969</v>
      </c>
      <c r="M3779" s="371">
        <f t="shared" si="233"/>
        <v>13959.918250968942</v>
      </c>
      <c r="N3779" s="329">
        <f t="shared" si="234"/>
        <v>168.61272583007849</v>
      </c>
      <c r="T3779" s="331">
        <v>0</v>
      </c>
      <c r="U3779" s="328">
        <f>VLOOKUP(C3779,METADATA!$J$5:$Q$29,IF(E3779="HI",2,IF(E3779="LO",6,10))+IF(T3779=1,2,IF(D3779=7,1,(IF(WEEKDAY(B3779)=1,2,IF(WEEKDAY(B3779)=7,1,0))))))</f>
        <v>2</v>
      </c>
      <c r="V3779" s="328">
        <f>VLOOKUP(C3779,METADATA!$A$5:$H$29,IF(E3779="HI",2,IF(E3779="LO",6,10))+IF(T3779=1,2,IF(D3779=7,1,(IF(WEEKDAY(B3779)=1,2,IF(WEEKDAY(B3779)=7,1,0))))))</f>
        <v>2</v>
      </c>
    </row>
    <row r="3780" spans="2:22">
      <c r="B3780" s="318">
        <f t="shared" si="235"/>
        <v>46270</v>
      </c>
      <c r="C3780" s="312">
        <v>8</v>
      </c>
      <c r="D3780" s="368">
        <f>IFERROR((INDEX(METADATA!$T$2:$T$20,MATCH(B3780,METADATA!$S$2:$S$20,0))),0)</f>
        <v>0</v>
      </c>
      <c r="E3780" s="312" t="str">
        <f t="shared" ref="E3780:E3843" si="236">IF(B3780="","",IF(AND(MONTH(B3780)&gt;=MONTH($Z$9),MONTH(B3780)&lt;=MONTH($Z$11)),"HI","LO"))</f>
        <v>LO</v>
      </c>
      <c r="F3780" s="369">
        <f>VLOOKUP(C3780,METADATA!$A$5:$H$29,IF(E3780="HI",2,IF(E3780="LO",6,10))+IF(D3780=1,2,IF(D3780=7,1,(IF(WEEKDAY(B3780)=1,2,IF(WEEKDAY(B3780)=7,1,0))))))</f>
        <v>2</v>
      </c>
      <c r="G3780" s="369">
        <f>VLOOKUP(C3780,METADATA!$J$5:$Q$29,IF(E3780="HI",2,IF(E3780="LO",6,10))+IF(D3780=1,2,IF(D3780=7,1,(IF(WEEKDAY(B3780)=1,2,IF(WEEKDAY(B3780)=7,1,0))))))</f>
        <v>2</v>
      </c>
      <c r="H3780" s="370">
        <v>13283.875183105469</v>
      </c>
      <c r="I3780" s="370">
        <v>4099.1800537109375</v>
      </c>
      <c r="M3780" s="371">
        <f t="shared" ref="M3780:M3843" si="237">SQRT(H3780^2+I3780^2)</f>
        <v>13901.964501215896</v>
      </c>
      <c r="N3780" s="329">
        <f t="shared" ref="N3780:N3843" si="238">IF(H3780=0,0,(IF(I3780-(0.3*H3780)&lt;0,0,(I3780-(0.3*H3780)))))</f>
        <v>114.01749877929706</v>
      </c>
      <c r="T3780" s="331">
        <v>0</v>
      </c>
      <c r="U3780" s="328">
        <f>VLOOKUP(C3780,METADATA!$J$5:$Q$29,IF(E3780="HI",2,IF(E3780="LO",6,10))+IF(T3780=1,2,IF(D3780=7,1,(IF(WEEKDAY(B3780)=1,2,IF(WEEKDAY(B3780)=7,1,0))))))</f>
        <v>2</v>
      </c>
      <c r="V3780" s="328">
        <f>VLOOKUP(C3780,METADATA!$A$5:$H$29,IF(E3780="HI",2,IF(E3780="LO",6,10))+IF(T3780=1,2,IF(D3780=7,1,(IF(WEEKDAY(B3780)=1,2,IF(WEEKDAY(B3780)=7,1,0))))))</f>
        <v>2</v>
      </c>
    </row>
    <row r="3781" spans="2:22">
      <c r="B3781" s="318">
        <f t="shared" si="235"/>
        <v>46270</v>
      </c>
      <c r="C3781" s="312">
        <v>9</v>
      </c>
      <c r="D3781" s="368">
        <f>IFERROR((INDEX(METADATA!$T$2:$T$20,MATCH(B3781,METADATA!$S$2:$S$20,0))),0)</f>
        <v>0</v>
      </c>
      <c r="E3781" s="312" t="str">
        <f t="shared" si="236"/>
        <v>LO</v>
      </c>
      <c r="F3781" s="369">
        <f>VLOOKUP(C3781,METADATA!$A$5:$H$29,IF(E3781="HI",2,IF(E3781="LO",6,10))+IF(D3781=1,2,IF(D3781=7,1,(IF(WEEKDAY(B3781)=1,2,IF(WEEKDAY(B3781)=7,1,0))))))</f>
        <v>2</v>
      </c>
      <c r="G3781" s="369">
        <f>VLOOKUP(C3781,METADATA!$J$5:$Q$29,IF(E3781="HI",2,IF(E3781="LO",6,10))+IF(D3781=1,2,IF(D3781=7,1,(IF(WEEKDAY(B3781)=1,2,IF(WEEKDAY(B3781)=7,1,0))))))</f>
        <v>2</v>
      </c>
      <c r="H3781" s="370">
        <v>13335.274780273438</v>
      </c>
      <c r="I3781" s="370">
        <v>4241.1051025390625</v>
      </c>
      <c r="M3781" s="371">
        <f t="shared" si="237"/>
        <v>13993.445821390085</v>
      </c>
      <c r="N3781" s="329">
        <f t="shared" si="238"/>
        <v>240.52266845703161</v>
      </c>
      <c r="T3781" s="331">
        <v>0</v>
      </c>
      <c r="U3781" s="328">
        <f>VLOOKUP(C3781,METADATA!$J$5:$Q$29,IF(E3781="HI",2,IF(E3781="LO",6,10))+IF(T3781=1,2,IF(D3781=7,1,(IF(WEEKDAY(B3781)=1,2,IF(WEEKDAY(B3781)=7,1,0))))))</f>
        <v>2</v>
      </c>
      <c r="V3781" s="328">
        <f>VLOOKUP(C3781,METADATA!$A$5:$H$29,IF(E3781="HI",2,IF(E3781="LO",6,10))+IF(T3781=1,2,IF(D3781=7,1,(IF(WEEKDAY(B3781)=1,2,IF(WEEKDAY(B3781)=7,1,0))))))</f>
        <v>2</v>
      </c>
    </row>
    <row r="3782" spans="2:22">
      <c r="B3782" s="318">
        <f t="shared" si="235"/>
        <v>46270</v>
      </c>
      <c r="C3782" s="312">
        <v>10</v>
      </c>
      <c r="D3782" s="368">
        <f>IFERROR((INDEX(METADATA!$T$2:$T$20,MATCH(B3782,METADATA!$S$2:$S$20,0))),0)</f>
        <v>0</v>
      </c>
      <c r="E3782" s="312" t="str">
        <f t="shared" si="236"/>
        <v>LO</v>
      </c>
      <c r="F3782" s="369">
        <f>VLOOKUP(C3782,METADATA!$A$5:$H$29,IF(E3782="HI",2,IF(E3782="LO",6,10))+IF(D3782=1,2,IF(D3782=7,1,(IF(WEEKDAY(B3782)=1,2,IF(WEEKDAY(B3782)=7,1,0))))))</f>
        <v>2</v>
      </c>
      <c r="G3782" s="369">
        <f>VLOOKUP(C3782,METADATA!$J$5:$Q$29,IF(E3782="HI",2,IF(E3782="LO",6,10))+IF(D3782=1,2,IF(D3782=7,1,(IF(WEEKDAY(B3782)=1,2,IF(WEEKDAY(B3782)=7,1,0))))))</f>
        <v>2</v>
      </c>
      <c r="H3782" s="370">
        <v>13310.524780273438</v>
      </c>
      <c r="I3782" s="370">
        <v>4238.8149719238281</v>
      </c>
      <c r="M3782" s="371">
        <f t="shared" si="237"/>
        <v>13969.166843175681</v>
      </c>
      <c r="N3782" s="329">
        <f t="shared" si="238"/>
        <v>245.65753784179697</v>
      </c>
      <c r="T3782" s="331">
        <v>0</v>
      </c>
      <c r="U3782" s="328">
        <f>VLOOKUP(C3782,METADATA!$J$5:$Q$29,IF(E3782="HI",2,IF(E3782="LO",6,10))+IF(T3782=1,2,IF(D3782=7,1,(IF(WEEKDAY(B3782)=1,2,IF(WEEKDAY(B3782)=7,1,0))))))</f>
        <v>2</v>
      </c>
      <c r="V3782" s="328">
        <f>VLOOKUP(C3782,METADATA!$A$5:$H$29,IF(E3782="HI",2,IF(E3782="LO",6,10))+IF(T3782=1,2,IF(D3782=7,1,(IF(WEEKDAY(B3782)=1,2,IF(WEEKDAY(B3782)=7,1,0))))))</f>
        <v>2</v>
      </c>
    </row>
    <row r="3783" spans="2:22">
      <c r="B3783" s="318">
        <f t="shared" si="235"/>
        <v>46270</v>
      </c>
      <c r="C3783" s="312">
        <v>11</v>
      </c>
      <c r="D3783" s="368">
        <f>IFERROR((INDEX(METADATA!$T$2:$T$20,MATCH(B3783,METADATA!$S$2:$S$20,0))),0)</f>
        <v>0</v>
      </c>
      <c r="E3783" s="312" t="str">
        <f t="shared" si="236"/>
        <v>LO</v>
      </c>
      <c r="F3783" s="369">
        <f>VLOOKUP(C3783,METADATA!$A$5:$H$29,IF(E3783="HI",2,IF(E3783="LO",6,10))+IF(D3783=1,2,IF(D3783=7,1,(IF(WEEKDAY(B3783)=1,2,IF(WEEKDAY(B3783)=7,1,0))))))</f>
        <v>2</v>
      </c>
      <c r="G3783" s="369">
        <f>VLOOKUP(C3783,METADATA!$J$5:$Q$29,IF(E3783="HI",2,IF(E3783="LO",6,10))+IF(D3783=1,2,IF(D3783=7,1,(IF(WEEKDAY(B3783)=1,2,IF(WEEKDAY(B3783)=7,1,0))))))</f>
        <v>2</v>
      </c>
      <c r="H3783" s="370">
        <v>13255.949890136719</v>
      </c>
      <c r="I3783" s="370">
        <v>4214.4249877929688</v>
      </c>
      <c r="M3783" s="371">
        <f t="shared" si="237"/>
        <v>13909.765830794904</v>
      </c>
      <c r="N3783" s="329">
        <f t="shared" si="238"/>
        <v>237.64002075195322</v>
      </c>
      <c r="T3783" s="331">
        <v>0</v>
      </c>
      <c r="U3783" s="328">
        <f>VLOOKUP(C3783,METADATA!$J$5:$Q$29,IF(E3783="HI",2,IF(E3783="LO",6,10))+IF(T3783=1,2,IF(D3783=7,1,(IF(WEEKDAY(B3783)=1,2,IF(WEEKDAY(B3783)=7,1,0))))))</f>
        <v>2</v>
      </c>
      <c r="V3783" s="328">
        <f>VLOOKUP(C3783,METADATA!$A$5:$H$29,IF(E3783="HI",2,IF(E3783="LO",6,10))+IF(T3783=1,2,IF(D3783=7,1,(IF(WEEKDAY(B3783)=1,2,IF(WEEKDAY(B3783)=7,1,0))))))</f>
        <v>2</v>
      </c>
    </row>
    <row r="3784" spans="2:22">
      <c r="B3784" s="318">
        <f t="shared" si="235"/>
        <v>46270</v>
      </c>
      <c r="C3784" s="312">
        <v>12</v>
      </c>
      <c r="D3784" s="368">
        <f>IFERROR((INDEX(METADATA!$T$2:$T$20,MATCH(B3784,METADATA!$S$2:$S$20,0))),0)</f>
        <v>0</v>
      </c>
      <c r="E3784" s="312" t="str">
        <f t="shared" si="236"/>
        <v>LO</v>
      </c>
      <c r="F3784" s="369">
        <f>VLOOKUP(C3784,METADATA!$A$5:$H$29,IF(E3784="HI",2,IF(E3784="LO",6,10))+IF(D3784=1,2,IF(D3784=7,1,(IF(WEEKDAY(B3784)=1,2,IF(WEEKDAY(B3784)=7,1,0))))))</f>
        <v>3</v>
      </c>
      <c r="G3784" s="369">
        <f>VLOOKUP(C3784,METADATA!$J$5:$Q$29,IF(E3784="HI",2,IF(E3784="LO",6,10))+IF(D3784=1,2,IF(D3784=7,1,(IF(WEEKDAY(B3784)=1,2,IF(WEEKDAY(B3784)=7,1,0))))))</f>
        <v>3</v>
      </c>
      <c r="H3784" s="370">
        <v>12565.500305175781</v>
      </c>
      <c r="I3784" s="370">
        <v>3906.7200317382813</v>
      </c>
      <c r="M3784" s="371">
        <f t="shared" si="237"/>
        <v>13158.809191023243</v>
      </c>
      <c r="N3784" s="329">
        <f t="shared" si="238"/>
        <v>137.06994018554724</v>
      </c>
      <c r="T3784" s="331">
        <v>0</v>
      </c>
      <c r="U3784" s="328">
        <f>VLOOKUP(C3784,METADATA!$J$5:$Q$29,IF(E3784="HI",2,IF(E3784="LO",6,10))+IF(T3784=1,2,IF(D3784=7,1,(IF(WEEKDAY(B3784)=1,2,IF(WEEKDAY(B3784)=7,1,0))))))</f>
        <v>3</v>
      </c>
      <c r="V3784" s="328">
        <f>VLOOKUP(C3784,METADATA!$A$5:$H$29,IF(E3784="HI",2,IF(E3784="LO",6,10))+IF(T3784=1,2,IF(D3784=7,1,(IF(WEEKDAY(B3784)=1,2,IF(WEEKDAY(B3784)=7,1,0))))))</f>
        <v>3</v>
      </c>
    </row>
    <row r="3785" spans="2:22">
      <c r="B3785" s="318">
        <f t="shared" si="235"/>
        <v>46270</v>
      </c>
      <c r="C3785" s="312">
        <v>13</v>
      </c>
      <c r="D3785" s="368">
        <f>IFERROR((INDEX(METADATA!$T$2:$T$20,MATCH(B3785,METADATA!$S$2:$S$20,0))),0)</f>
        <v>0</v>
      </c>
      <c r="E3785" s="312" t="str">
        <f t="shared" si="236"/>
        <v>LO</v>
      </c>
      <c r="F3785" s="369">
        <f>VLOOKUP(C3785,METADATA!$A$5:$H$29,IF(E3785="HI",2,IF(E3785="LO",6,10))+IF(D3785=1,2,IF(D3785=7,1,(IF(WEEKDAY(B3785)=1,2,IF(WEEKDAY(B3785)=7,1,0))))))</f>
        <v>3</v>
      </c>
      <c r="G3785" s="369">
        <f>VLOOKUP(C3785,METADATA!$J$5:$Q$29,IF(E3785="HI",2,IF(E3785="LO",6,10))+IF(D3785=1,2,IF(D3785=7,1,(IF(WEEKDAY(B3785)=1,2,IF(WEEKDAY(B3785)=7,1,0))))))</f>
        <v>3</v>
      </c>
      <c r="H3785" s="370">
        <v>11497.174987792969</v>
      </c>
      <c r="I3785" s="370">
        <v>3190.7825012207031</v>
      </c>
      <c r="M3785" s="371">
        <f t="shared" si="237"/>
        <v>11931.727690071899</v>
      </c>
      <c r="N3785" s="329">
        <f t="shared" si="238"/>
        <v>0</v>
      </c>
      <c r="T3785" s="331">
        <v>0</v>
      </c>
      <c r="U3785" s="328">
        <f>VLOOKUP(C3785,METADATA!$J$5:$Q$29,IF(E3785="HI",2,IF(E3785="LO",6,10))+IF(T3785=1,2,IF(D3785=7,1,(IF(WEEKDAY(B3785)=1,2,IF(WEEKDAY(B3785)=7,1,0))))))</f>
        <v>3</v>
      </c>
      <c r="V3785" s="328">
        <f>VLOOKUP(C3785,METADATA!$A$5:$H$29,IF(E3785="HI",2,IF(E3785="LO",6,10))+IF(T3785=1,2,IF(D3785=7,1,(IF(WEEKDAY(B3785)=1,2,IF(WEEKDAY(B3785)=7,1,0))))))</f>
        <v>3</v>
      </c>
    </row>
    <row r="3786" spans="2:22">
      <c r="B3786" s="318">
        <f t="shared" si="235"/>
        <v>46270</v>
      </c>
      <c r="C3786" s="312">
        <v>14</v>
      </c>
      <c r="D3786" s="368">
        <f>IFERROR((INDEX(METADATA!$T$2:$T$20,MATCH(B3786,METADATA!$S$2:$S$20,0))),0)</f>
        <v>0</v>
      </c>
      <c r="E3786" s="312" t="str">
        <f t="shared" si="236"/>
        <v>LO</v>
      </c>
      <c r="F3786" s="369">
        <f>VLOOKUP(C3786,METADATA!$A$5:$H$29,IF(E3786="HI",2,IF(E3786="LO",6,10))+IF(D3786=1,2,IF(D3786=7,1,(IF(WEEKDAY(B3786)=1,2,IF(WEEKDAY(B3786)=7,1,0))))))</f>
        <v>3</v>
      </c>
      <c r="G3786" s="369">
        <f>VLOOKUP(C3786,METADATA!$J$5:$Q$29,IF(E3786="HI",2,IF(E3786="LO",6,10))+IF(D3786=1,2,IF(D3786=7,1,(IF(WEEKDAY(B3786)=1,2,IF(WEEKDAY(B3786)=7,1,0))))))</f>
        <v>3</v>
      </c>
      <c r="H3786" s="370">
        <v>11451.255310058594</v>
      </c>
      <c r="I3786" s="370">
        <v>3236.0425109863281</v>
      </c>
      <c r="M3786" s="371">
        <f t="shared" si="237"/>
        <v>11899.71509360858</v>
      </c>
      <c r="N3786" s="329">
        <f t="shared" si="238"/>
        <v>0</v>
      </c>
      <c r="T3786" s="331">
        <v>0</v>
      </c>
      <c r="U3786" s="328">
        <f>VLOOKUP(C3786,METADATA!$J$5:$Q$29,IF(E3786="HI",2,IF(E3786="LO",6,10))+IF(T3786=1,2,IF(D3786=7,1,(IF(WEEKDAY(B3786)=1,2,IF(WEEKDAY(B3786)=7,1,0))))))</f>
        <v>3</v>
      </c>
      <c r="V3786" s="328">
        <f>VLOOKUP(C3786,METADATA!$A$5:$H$29,IF(E3786="HI",2,IF(E3786="LO",6,10))+IF(T3786=1,2,IF(D3786=7,1,(IF(WEEKDAY(B3786)=1,2,IF(WEEKDAY(B3786)=7,1,0))))))</f>
        <v>3</v>
      </c>
    </row>
    <row r="3787" spans="2:22">
      <c r="B3787" s="318">
        <f t="shared" si="235"/>
        <v>46270</v>
      </c>
      <c r="C3787" s="312">
        <v>15</v>
      </c>
      <c r="D3787" s="368">
        <f>IFERROR((INDEX(METADATA!$T$2:$T$20,MATCH(B3787,METADATA!$S$2:$S$20,0))),0)</f>
        <v>0</v>
      </c>
      <c r="E3787" s="312" t="str">
        <f t="shared" si="236"/>
        <v>LO</v>
      </c>
      <c r="F3787" s="369">
        <f>VLOOKUP(C3787,METADATA!$A$5:$H$29,IF(E3787="HI",2,IF(E3787="LO",6,10))+IF(D3787=1,2,IF(D3787=7,1,(IF(WEEKDAY(B3787)=1,2,IF(WEEKDAY(B3787)=7,1,0))))))</f>
        <v>3</v>
      </c>
      <c r="G3787" s="369">
        <f>VLOOKUP(C3787,METADATA!$J$5:$Q$29,IF(E3787="HI",2,IF(E3787="LO",6,10))+IF(D3787=1,2,IF(D3787=7,1,(IF(WEEKDAY(B3787)=1,2,IF(WEEKDAY(B3787)=7,1,0))))))</f>
        <v>3</v>
      </c>
      <c r="H3787" s="370">
        <v>11853.257659912109</v>
      </c>
      <c r="I3787" s="370">
        <v>3633.8249816894531</v>
      </c>
      <c r="M3787" s="371">
        <f t="shared" si="237"/>
        <v>12397.757908179021</v>
      </c>
      <c r="N3787" s="329">
        <f t="shared" si="238"/>
        <v>77.847683715820494</v>
      </c>
      <c r="T3787" s="331">
        <v>0</v>
      </c>
      <c r="U3787" s="328">
        <f>VLOOKUP(C3787,METADATA!$J$5:$Q$29,IF(E3787="HI",2,IF(E3787="LO",6,10))+IF(T3787=1,2,IF(D3787=7,1,(IF(WEEKDAY(B3787)=1,2,IF(WEEKDAY(B3787)=7,1,0))))))</f>
        <v>3</v>
      </c>
      <c r="V3787" s="328">
        <f>VLOOKUP(C3787,METADATA!$A$5:$H$29,IF(E3787="HI",2,IF(E3787="LO",6,10))+IF(T3787=1,2,IF(D3787=7,1,(IF(WEEKDAY(B3787)=1,2,IF(WEEKDAY(B3787)=7,1,0))))))</f>
        <v>3</v>
      </c>
    </row>
    <row r="3788" spans="2:22">
      <c r="B3788" s="318">
        <f t="shared" si="235"/>
        <v>46270</v>
      </c>
      <c r="C3788" s="312">
        <v>16</v>
      </c>
      <c r="D3788" s="368">
        <f>IFERROR((INDEX(METADATA!$T$2:$T$20,MATCH(B3788,METADATA!$S$2:$S$20,0))),0)</f>
        <v>0</v>
      </c>
      <c r="E3788" s="312" t="str">
        <f t="shared" si="236"/>
        <v>LO</v>
      </c>
      <c r="F3788" s="369">
        <f>VLOOKUP(C3788,METADATA!$A$5:$H$29,IF(E3788="HI",2,IF(E3788="LO",6,10))+IF(D3788=1,2,IF(D3788=7,1,(IF(WEEKDAY(B3788)=1,2,IF(WEEKDAY(B3788)=7,1,0))))))</f>
        <v>3</v>
      </c>
      <c r="G3788" s="369">
        <f>VLOOKUP(C3788,METADATA!$J$5:$Q$29,IF(E3788="HI",2,IF(E3788="LO",6,10))+IF(D3788=1,2,IF(D3788=7,1,(IF(WEEKDAY(B3788)=1,2,IF(WEEKDAY(B3788)=7,1,0))))))</f>
        <v>3</v>
      </c>
      <c r="H3788" s="370">
        <v>13465.149780273438</v>
      </c>
      <c r="I3788" s="370">
        <v>4409.0149536132813</v>
      </c>
      <c r="M3788" s="371">
        <f t="shared" si="237"/>
        <v>14168.615721600445</v>
      </c>
      <c r="N3788" s="329">
        <f t="shared" si="238"/>
        <v>369.47001953125027</v>
      </c>
      <c r="T3788" s="331">
        <v>0</v>
      </c>
      <c r="U3788" s="328">
        <f>VLOOKUP(C3788,METADATA!$J$5:$Q$29,IF(E3788="HI",2,IF(E3788="LO",6,10))+IF(T3788=1,2,IF(D3788=7,1,(IF(WEEKDAY(B3788)=1,2,IF(WEEKDAY(B3788)=7,1,0))))))</f>
        <v>3</v>
      </c>
      <c r="V3788" s="328">
        <f>VLOOKUP(C3788,METADATA!$A$5:$H$29,IF(E3788="HI",2,IF(E3788="LO",6,10))+IF(T3788=1,2,IF(D3788=7,1,(IF(WEEKDAY(B3788)=1,2,IF(WEEKDAY(B3788)=7,1,0))))))</f>
        <v>3</v>
      </c>
    </row>
    <row r="3789" spans="2:22">
      <c r="B3789" s="318">
        <f t="shared" si="235"/>
        <v>46270</v>
      </c>
      <c r="C3789" s="312">
        <v>17</v>
      </c>
      <c r="D3789" s="368">
        <f>IFERROR((INDEX(METADATA!$T$2:$T$20,MATCH(B3789,METADATA!$S$2:$S$20,0))),0)</f>
        <v>0</v>
      </c>
      <c r="E3789" s="312" t="str">
        <f t="shared" si="236"/>
        <v>LO</v>
      </c>
      <c r="F3789" s="369">
        <f>VLOOKUP(C3789,METADATA!$A$5:$H$29,IF(E3789="HI",2,IF(E3789="LO",6,10))+IF(D3789=1,2,IF(D3789=7,1,(IF(WEEKDAY(B3789)=1,2,IF(WEEKDAY(B3789)=7,1,0))))))</f>
        <v>3</v>
      </c>
      <c r="G3789" s="369">
        <f>VLOOKUP(C3789,METADATA!$J$5:$Q$29,IF(E3789="HI",2,IF(E3789="LO",6,10))+IF(D3789=1,2,IF(D3789=7,1,(IF(WEEKDAY(B3789)=1,2,IF(WEEKDAY(B3789)=7,1,0))))))</f>
        <v>3</v>
      </c>
      <c r="H3789" s="370">
        <v>13397.400085449219</v>
      </c>
      <c r="I3789" s="370">
        <v>4260.6800231933594</v>
      </c>
      <c r="M3789" s="371">
        <f t="shared" si="237"/>
        <v>14058.581838494012</v>
      </c>
      <c r="N3789" s="329">
        <f t="shared" si="238"/>
        <v>241.45999755859384</v>
      </c>
      <c r="T3789" s="331">
        <v>0</v>
      </c>
      <c r="U3789" s="328">
        <f>VLOOKUP(C3789,METADATA!$J$5:$Q$29,IF(E3789="HI",2,IF(E3789="LO",6,10))+IF(T3789=1,2,IF(D3789=7,1,(IF(WEEKDAY(B3789)=1,2,IF(WEEKDAY(B3789)=7,1,0))))))</f>
        <v>3</v>
      </c>
      <c r="V3789" s="328">
        <f>VLOOKUP(C3789,METADATA!$A$5:$H$29,IF(E3789="HI",2,IF(E3789="LO",6,10))+IF(T3789=1,2,IF(D3789=7,1,(IF(WEEKDAY(B3789)=1,2,IF(WEEKDAY(B3789)=7,1,0))))))</f>
        <v>3</v>
      </c>
    </row>
    <row r="3790" spans="2:22">
      <c r="B3790" s="318">
        <f t="shared" si="235"/>
        <v>46270</v>
      </c>
      <c r="C3790" s="312">
        <v>18</v>
      </c>
      <c r="D3790" s="368">
        <f>IFERROR((INDEX(METADATA!$T$2:$T$20,MATCH(B3790,METADATA!$S$2:$S$20,0))),0)</f>
        <v>0</v>
      </c>
      <c r="E3790" s="312" t="str">
        <f t="shared" si="236"/>
        <v>LO</v>
      </c>
      <c r="F3790" s="369">
        <f>VLOOKUP(C3790,METADATA!$A$5:$H$29,IF(E3790="HI",2,IF(E3790="LO",6,10))+IF(D3790=1,2,IF(D3790=7,1,(IF(WEEKDAY(B3790)=1,2,IF(WEEKDAY(B3790)=7,1,0))))))</f>
        <v>2</v>
      </c>
      <c r="G3790" s="369">
        <f>VLOOKUP(C3790,METADATA!$J$5:$Q$29,IF(E3790="HI",2,IF(E3790="LO",6,10))+IF(D3790=1,2,IF(D3790=7,1,(IF(WEEKDAY(B3790)=1,2,IF(WEEKDAY(B3790)=7,1,0))))))</f>
        <v>2</v>
      </c>
      <c r="H3790" s="370">
        <v>13300.049743652344</v>
      </c>
      <c r="I3790" s="370">
        <v>4140.7749938964844</v>
      </c>
      <c r="M3790" s="371">
        <f t="shared" si="237"/>
        <v>13929.728666908957</v>
      </c>
      <c r="N3790" s="329">
        <f t="shared" si="238"/>
        <v>150.76007080078125</v>
      </c>
      <c r="T3790" s="331">
        <v>0</v>
      </c>
      <c r="U3790" s="328">
        <f>VLOOKUP(C3790,METADATA!$J$5:$Q$29,IF(E3790="HI",2,IF(E3790="LO",6,10))+IF(T3790=1,2,IF(D3790=7,1,(IF(WEEKDAY(B3790)=1,2,IF(WEEKDAY(B3790)=7,1,0))))))</f>
        <v>2</v>
      </c>
      <c r="V3790" s="328">
        <f>VLOOKUP(C3790,METADATA!$A$5:$H$29,IF(E3790="HI",2,IF(E3790="LO",6,10))+IF(T3790=1,2,IF(D3790=7,1,(IF(WEEKDAY(B3790)=1,2,IF(WEEKDAY(B3790)=7,1,0))))))</f>
        <v>2</v>
      </c>
    </row>
    <row r="3791" spans="2:22">
      <c r="B3791" s="318">
        <f t="shared" si="235"/>
        <v>46270</v>
      </c>
      <c r="C3791" s="312">
        <v>19</v>
      </c>
      <c r="D3791" s="368">
        <f>IFERROR((INDEX(METADATA!$T$2:$T$20,MATCH(B3791,METADATA!$S$2:$S$20,0))),0)</f>
        <v>0</v>
      </c>
      <c r="E3791" s="312" t="str">
        <f t="shared" si="236"/>
        <v>LO</v>
      </c>
      <c r="F3791" s="369">
        <f>VLOOKUP(C3791,METADATA!$A$5:$H$29,IF(E3791="HI",2,IF(E3791="LO",6,10))+IF(D3791=1,2,IF(D3791=7,1,(IF(WEEKDAY(B3791)=1,2,IF(WEEKDAY(B3791)=7,1,0))))))</f>
        <v>2</v>
      </c>
      <c r="G3791" s="369">
        <f>VLOOKUP(C3791,METADATA!$J$5:$Q$29,IF(E3791="HI",2,IF(E3791="LO",6,10))+IF(D3791=1,2,IF(D3791=7,1,(IF(WEEKDAY(B3791)=1,2,IF(WEEKDAY(B3791)=7,1,0))))))</f>
        <v>2</v>
      </c>
      <c r="H3791" s="370">
        <v>12165.210083007813</v>
      </c>
      <c r="I3791" s="370">
        <v>3531.1925048828125</v>
      </c>
      <c r="M3791" s="371">
        <f t="shared" si="237"/>
        <v>12667.346086306139</v>
      </c>
      <c r="N3791" s="329">
        <f t="shared" si="238"/>
        <v>0</v>
      </c>
      <c r="T3791" s="331">
        <v>0</v>
      </c>
      <c r="U3791" s="328">
        <f>VLOOKUP(C3791,METADATA!$J$5:$Q$29,IF(E3791="HI",2,IF(E3791="LO",6,10))+IF(T3791=1,2,IF(D3791=7,1,(IF(WEEKDAY(B3791)=1,2,IF(WEEKDAY(B3791)=7,1,0))))))</f>
        <v>2</v>
      </c>
      <c r="V3791" s="328">
        <f>VLOOKUP(C3791,METADATA!$A$5:$H$29,IF(E3791="HI",2,IF(E3791="LO",6,10))+IF(T3791=1,2,IF(D3791=7,1,(IF(WEEKDAY(B3791)=1,2,IF(WEEKDAY(B3791)=7,1,0))))))</f>
        <v>2</v>
      </c>
    </row>
    <row r="3792" spans="2:22">
      <c r="B3792" s="318">
        <f t="shared" si="235"/>
        <v>46270</v>
      </c>
      <c r="C3792" s="312">
        <v>20</v>
      </c>
      <c r="D3792" s="368">
        <f>IFERROR((INDEX(METADATA!$T$2:$T$20,MATCH(B3792,METADATA!$S$2:$S$20,0))),0)</f>
        <v>0</v>
      </c>
      <c r="E3792" s="312" t="str">
        <f t="shared" si="236"/>
        <v>LO</v>
      </c>
      <c r="F3792" s="369">
        <f>VLOOKUP(C3792,METADATA!$A$5:$H$29,IF(E3792="HI",2,IF(E3792="LO",6,10))+IF(D3792=1,2,IF(D3792=7,1,(IF(WEEKDAY(B3792)=1,2,IF(WEEKDAY(B3792)=7,1,0))))))</f>
        <v>3</v>
      </c>
      <c r="G3792" s="369">
        <f>VLOOKUP(C3792,METADATA!$J$5:$Q$29,IF(E3792="HI",2,IF(E3792="LO",6,10))+IF(D3792=1,2,IF(D3792=7,1,(IF(WEEKDAY(B3792)=1,2,IF(WEEKDAY(B3792)=7,1,0))))))</f>
        <v>3</v>
      </c>
      <c r="H3792" s="370">
        <v>11281.470184326172</v>
      </c>
      <c r="I3792" s="370">
        <v>3104.9975280761719</v>
      </c>
      <c r="M3792" s="371">
        <f t="shared" si="237"/>
        <v>11700.964881974458</v>
      </c>
      <c r="N3792" s="329">
        <f t="shared" si="238"/>
        <v>0</v>
      </c>
      <c r="T3792" s="331">
        <v>0</v>
      </c>
      <c r="U3792" s="328">
        <f>VLOOKUP(C3792,METADATA!$J$5:$Q$29,IF(E3792="HI",2,IF(E3792="LO",6,10))+IF(T3792=1,2,IF(D3792=7,1,(IF(WEEKDAY(B3792)=1,2,IF(WEEKDAY(B3792)=7,1,0))))))</f>
        <v>3</v>
      </c>
      <c r="V3792" s="328">
        <f>VLOOKUP(C3792,METADATA!$A$5:$H$29,IF(E3792="HI",2,IF(E3792="LO",6,10))+IF(T3792=1,2,IF(D3792=7,1,(IF(WEEKDAY(B3792)=1,2,IF(WEEKDAY(B3792)=7,1,0))))))</f>
        <v>3</v>
      </c>
    </row>
    <row r="3793" spans="2:22">
      <c r="B3793" s="318">
        <f t="shared" si="235"/>
        <v>46270</v>
      </c>
      <c r="C3793" s="312">
        <v>21</v>
      </c>
      <c r="D3793" s="368">
        <f>IFERROR((INDEX(METADATA!$T$2:$T$20,MATCH(B3793,METADATA!$S$2:$S$20,0))),0)</f>
        <v>0</v>
      </c>
      <c r="E3793" s="312" t="str">
        <f t="shared" si="236"/>
        <v>LO</v>
      </c>
      <c r="F3793" s="369">
        <f>VLOOKUP(C3793,METADATA!$A$5:$H$29,IF(E3793="HI",2,IF(E3793="LO",6,10))+IF(D3793=1,2,IF(D3793=7,1,(IF(WEEKDAY(B3793)=1,2,IF(WEEKDAY(B3793)=7,1,0))))))</f>
        <v>3</v>
      </c>
      <c r="G3793" s="369">
        <f>VLOOKUP(C3793,METADATA!$J$5:$Q$29,IF(E3793="HI",2,IF(E3793="LO",6,10))+IF(D3793=1,2,IF(D3793=7,1,(IF(WEEKDAY(B3793)=1,2,IF(WEEKDAY(B3793)=7,1,0))))))</f>
        <v>3</v>
      </c>
      <c r="H3793" s="370">
        <v>11382.234649658203</v>
      </c>
      <c r="I3793" s="370">
        <v>3231.4800109863281</v>
      </c>
      <c r="M3793" s="371">
        <f t="shared" si="237"/>
        <v>11832.063585076105</v>
      </c>
      <c r="N3793" s="329">
        <f t="shared" si="238"/>
        <v>0</v>
      </c>
      <c r="T3793" s="331">
        <v>0</v>
      </c>
      <c r="U3793" s="328">
        <f>VLOOKUP(C3793,METADATA!$J$5:$Q$29,IF(E3793="HI",2,IF(E3793="LO",6,10))+IF(T3793=1,2,IF(D3793=7,1,(IF(WEEKDAY(B3793)=1,2,IF(WEEKDAY(B3793)=7,1,0))))))</f>
        <v>3</v>
      </c>
      <c r="V3793" s="328">
        <f>VLOOKUP(C3793,METADATA!$A$5:$H$29,IF(E3793="HI",2,IF(E3793="LO",6,10))+IF(T3793=1,2,IF(D3793=7,1,(IF(WEEKDAY(B3793)=1,2,IF(WEEKDAY(B3793)=7,1,0))))))</f>
        <v>3</v>
      </c>
    </row>
    <row r="3794" spans="2:22">
      <c r="B3794" s="318">
        <f t="shared" si="235"/>
        <v>46270</v>
      </c>
      <c r="C3794" s="312">
        <v>22</v>
      </c>
      <c r="D3794" s="368">
        <f>IFERROR((INDEX(METADATA!$T$2:$T$20,MATCH(B3794,METADATA!$S$2:$S$20,0))),0)</f>
        <v>0</v>
      </c>
      <c r="E3794" s="312" t="str">
        <f t="shared" si="236"/>
        <v>LO</v>
      </c>
      <c r="F3794" s="369">
        <f>VLOOKUP(C3794,METADATA!$A$5:$H$29,IF(E3794="HI",2,IF(E3794="LO",6,10))+IF(D3794=1,2,IF(D3794=7,1,(IF(WEEKDAY(B3794)=1,2,IF(WEEKDAY(B3794)=7,1,0))))))</f>
        <v>3</v>
      </c>
      <c r="G3794" s="369">
        <f>VLOOKUP(C3794,METADATA!$J$5:$Q$29,IF(E3794="HI",2,IF(E3794="LO",6,10))+IF(D3794=1,2,IF(D3794=7,1,(IF(WEEKDAY(B3794)=1,2,IF(WEEKDAY(B3794)=7,1,0))))))</f>
        <v>3</v>
      </c>
      <c r="H3794" s="370">
        <v>11914.154602050781</v>
      </c>
      <c r="I3794" s="370">
        <v>3519.4800720214844</v>
      </c>
      <c r="M3794" s="371">
        <f t="shared" si="237"/>
        <v>12423.116350534763</v>
      </c>
      <c r="N3794" s="329">
        <f t="shared" si="238"/>
        <v>0</v>
      </c>
      <c r="T3794" s="331">
        <v>0</v>
      </c>
      <c r="U3794" s="328">
        <f>VLOOKUP(C3794,METADATA!$J$5:$Q$29,IF(E3794="HI",2,IF(E3794="LO",6,10))+IF(T3794=1,2,IF(D3794=7,1,(IF(WEEKDAY(B3794)=1,2,IF(WEEKDAY(B3794)=7,1,0))))))</f>
        <v>3</v>
      </c>
      <c r="V3794" s="328">
        <f>VLOOKUP(C3794,METADATA!$A$5:$H$29,IF(E3794="HI",2,IF(E3794="LO",6,10))+IF(T3794=1,2,IF(D3794=7,1,(IF(WEEKDAY(B3794)=1,2,IF(WEEKDAY(B3794)=7,1,0))))))</f>
        <v>3</v>
      </c>
    </row>
    <row r="3795" spans="2:22">
      <c r="B3795" s="318">
        <f t="shared" si="235"/>
        <v>46270</v>
      </c>
      <c r="C3795" s="312">
        <v>23</v>
      </c>
      <c r="D3795" s="368">
        <f>IFERROR((INDEX(METADATA!$T$2:$T$20,MATCH(B3795,METADATA!$S$2:$S$20,0))),0)</f>
        <v>0</v>
      </c>
      <c r="E3795" s="312" t="str">
        <f t="shared" si="236"/>
        <v>LO</v>
      </c>
      <c r="F3795" s="369">
        <f>VLOOKUP(C3795,METADATA!$A$5:$H$29,IF(E3795="HI",2,IF(E3795="LO",6,10))+IF(D3795=1,2,IF(D3795=7,1,(IF(WEEKDAY(B3795)=1,2,IF(WEEKDAY(B3795)=7,1,0))))))</f>
        <v>3</v>
      </c>
      <c r="G3795" s="369">
        <f>VLOOKUP(C3795,METADATA!$J$5:$Q$29,IF(E3795="HI",2,IF(E3795="LO",6,10))+IF(D3795=1,2,IF(D3795=7,1,(IF(WEEKDAY(B3795)=1,2,IF(WEEKDAY(B3795)=7,1,0))))))</f>
        <v>3</v>
      </c>
      <c r="H3795" s="370">
        <v>13297.549743652344</v>
      </c>
      <c r="I3795" s="370">
        <v>4320.280029296875</v>
      </c>
      <c r="M3795" s="371">
        <f t="shared" si="237"/>
        <v>13981.761288065603</v>
      </c>
      <c r="N3795" s="329">
        <f t="shared" si="238"/>
        <v>331.01510620117188</v>
      </c>
      <c r="T3795" s="331">
        <v>0</v>
      </c>
      <c r="U3795" s="328">
        <f>VLOOKUP(C3795,METADATA!$J$5:$Q$29,IF(E3795="HI",2,IF(E3795="LO",6,10))+IF(T3795=1,2,IF(D3795=7,1,(IF(WEEKDAY(B3795)=1,2,IF(WEEKDAY(B3795)=7,1,0))))))</f>
        <v>3</v>
      </c>
      <c r="V3795" s="328">
        <f>VLOOKUP(C3795,METADATA!$A$5:$H$29,IF(E3795="HI",2,IF(E3795="LO",6,10))+IF(T3795=1,2,IF(D3795=7,1,(IF(WEEKDAY(B3795)=1,2,IF(WEEKDAY(B3795)=7,1,0))))))</f>
        <v>3</v>
      </c>
    </row>
    <row r="3796" spans="2:22">
      <c r="B3796" s="318">
        <f t="shared" si="235"/>
        <v>46271</v>
      </c>
      <c r="C3796" s="312">
        <v>0</v>
      </c>
      <c r="D3796" s="368">
        <f>IFERROR((INDEX(METADATA!$T$2:$T$20,MATCH(B3796,METADATA!$S$2:$S$20,0))),0)</f>
        <v>0</v>
      </c>
      <c r="E3796" s="312" t="str">
        <f t="shared" si="236"/>
        <v>LO</v>
      </c>
      <c r="F3796" s="369">
        <f>VLOOKUP(C3796,METADATA!$A$5:$H$29,IF(E3796="HI",2,IF(E3796="LO",6,10))+IF(D3796=1,2,IF(D3796=7,1,(IF(WEEKDAY(B3796)=1,2,IF(WEEKDAY(B3796)=7,1,0))))))</f>
        <v>3</v>
      </c>
      <c r="G3796" s="369">
        <f>VLOOKUP(C3796,METADATA!$J$5:$Q$29,IF(E3796="HI",2,IF(E3796="LO",6,10))+IF(D3796=1,2,IF(D3796=7,1,(IF(WEEKDAY(B3796)=1,2,IF(WEEKDAY(B3796)=7,1,0))))))</f>
        <v>3</v>
      </c>
      <c r="H3796" s="370">
        <v>13270.149780273438</v>
      </c>
      <c r="I3796" s="370">
        <v>4278.8699645996094</v>
      </c>
      <c r="M3796" s="371">
        <f t="shared" si="237"/>
        <v>13942.94098692395</v>
      </c>
      <c r="N3796" s="329">
        <f t="shared" si="238"/>
        <v>297.8250305175784</v>
      </c>
      <c r="T3796" s="331">
        <v>0</v>
      </c>
      <c r="U3796" s="328">
        <f>VLOOKUP(C3796,METADATA!$J$5:$Q$29,IF(E3796="HI",2,IF(E3796="LO",6,10))+IF(T3796=1,2,IF(D3796=7,1,(IF(WEEKDAY(B3796)=1,2,IF(WEEKDAY(B3796)=7,1,0))))))</f>
        <v>3</v>
      </c>
      <c r="V3796" s="328">
        <f>VLOOKUP(C3796,METADATA!$A$5:$H$29,IF(E3796="HI",2,IF(E3796="LO",6,10))+IF(T3796=1,2,IF(D3796=7,1,(IF(WEEKDAY(B3796)=1,2,IF(WEEKDAY(B3796)=7,1,0))))))</f>
        <v>3</v>
      </c>
    </row>
    <row r="3797" spans="2:22">
      <c r="B3797" s="318">
        <f t="shared" si="235"/>
        <v>46271</v>
      </c>
      <c r="C3797" s="312">
        <v>1</v>
      </c>
      <c r="D3797" s="368">
        <f>IFERROR((INDEX(METADATA!$T$2:$T$20,MATCH(B3797,METADATA!$S$2:$S$20,0))),0)</f>
        <v>0</v>
      </c>
      <c r="E3797" s="312" t="str">
        <f t="shared" si="236"/>
        <v>LO</v>
      </c>
      <c r="F3797" s="369">
        <f>VLOOKUP(C3797,METADATA!$A$5:$H$29,IF(E3797="HI",2,IF(E3797="LO",6,10))+IF(D3797=1,2,IF(D3797=7,1,(IF(WEEKDAY(B3797)=1,2,IF(WEEKDAY(B3797)=7,1,0))))))</f>
        <v>3</v>
      </c>
      <c r="G3797" s="369">
        <f>VLOOKUP(C3797,METADATA!$J$5:$Q$29,IF(E3797="HI",2,IF(E3797="LO",6,10))+IF(D3797=1,2,IF(D3797=7,1,(IF(WEEKDAY(B3797)=1,2,IF(WEEKDAY(B3797)=7,1,0))))))</f>
        <v>3</v>
      </c>
      <c r="H3797" s="370">
        <v>13447.712463378906</v>
      </c>
      <c r="I3797" s="370">
        <v>4445.5699157714844</v>
      </c>
      <c r="M3797" s="371">
        <f t="shared" si="237"/>
        <v>14163.476352002317</v>
      </c>
      <c r="N3797" s="329">
        <f t="shared" si="238"/>
        <v>411.25617675781268</v>
      </c>
      <c r="T3797" s="331">
        <v>0</v>
      </c>
      <c r="U3797" s="328">
        <f>VLOOKUP(C3797,METADATA!$J$5:$Q$29,IF(E3797="HI",2,IF(E3797="LO",6,10))+IF(T3797=1,2,IF(D3797=7,1,(IF(WEEKDAY(B3797)=1,2,IF(WEEKDAY(B3797)=7,1,0))))))</f>
        <v>3</v>
      </c>
      <c r="V3797" s="328">
        <f>VLOOKUP(C3797,METADATA!$A$5:$H$29,IF(E3797="HI",2,IF(E3797="LO",6,10))+IF(T3797=1,2,IF(D3797=7,1,(IF(WEEKDAY(B3797)=1,2,IF(WEEKDAY(B3797)=7,1,0))))))</f>
        <v>3</v>
      </c>
    </row>
    <row r="3798" spans="2:22">
      <c r="B3798" s="318">
        <f t="shared" si="235"/>
        <v>46271</v>
      </c>
      <c r="C3798" s="312">
        <v>2</v>
      </c>
      <c r="D3798" s="368">
        <f>IFERROR((INDEX(METADATA!$T$2:$T$20,MATCH(B3798,METADATA!$S$2:$S$20,0))),0)</f>
        <v>0</v>
      </c>
      <c r="E3798" s="312" t="str">
        <f t="shared" si="236"/>
        <v>LO</v>
      </c>
      <c r="F3798" s="369">
        <f>VLOOKUP(C3798,METADATA!$A$5:$H$29,IF(E3798="HI",2,IF(E3798="LO",6,10))+IF(D3798=1,2,IF(D3798=7,1,(IF(WEEKDAY(B3798)=1,2,IF(WEEKDAY(B3798)=7,1,0))))))</f>
        <v>3</v>
      </c>
      <c r="G3798" s="369">
        <f>VLOOKUP(C3798,METADATA!$J$5:$Q$29,IF(E3798="HI",2,IF(E3798="LO",6,10))+IF(D3798=1,2,IF(D3798=7,1,(IF(WEEKDAY(B3798)=1,2,IF(WEEKDAY(B3798)=7,1,0))))))</f>
        <v>3</v>
      </c>
      <c r="H3798" s="370">
        <v>13256.024780273438</v>
      </c>
      <c r="I3798" s="370">
        <v>4305.5299987792969</v>
      </c>
      <c r="M3798" s="371">
        <f t="shared" si="237"/>
        <v>13937.710771343041</v>
      </c>
      <c r="N3798" s="329">
        <f t="shared" si="238"/>
        <v>328.72256469726563</v>
      </c>
      <c r="T3798" s="331">
        <v>0</v>
      </c>
      <c r="U3798" s="328">
        <f>VLOOKUP(C3798,METADATA!$J$5:$Q$29,IF(E3798="HI",2,IF(E3798="LO",6,10))+IF(T3798=1,2,IF(D3798=7,1,(IF(WEEKDAY(B3798)=1,2,IF(WEEKDAY(B3798)=7,1,0))))))</f>
        <v>3</v>
      </c>
      <c r="V3798" s="328">
        <f>VLOOKUP(C3798,METADATA!$A$5:$H$29,IF(E3798="HI",2,IF(E3798="LO",6,10))+IF(T3798=1,2,IF(D3798=7,1,(IF(WEEKDAY(B3798)=1,2,IF(WEEKDAY(B3798)=7,1,0))))))</f>
        <v>3</v>
      </c>
    </row>
    <row r="3799" spans="2:22">
      <c r="B3799" s="318">
        <f t="shared" si="235"/>
        <v>46271</v>
      </c>
      <c r="C3799" s="312">
        <v>3</v>
      </c>
      <c r="D3799" s="368">
        <f>IFERROR((INDEX(METADATA!$T$2:$T$20,MATCH(B3799,METADATA!$S$2:$S$20,0))),0)</f>
        <v>0</v>
      </c>
      <c r="E3799" s="312" t="str">
        <f t="shared" si="236"/>
        <v>LO</v>
      </c>
      <c r="F3799" s="369">
        <f>VLOOKUP(C3799,METADATA!$A$5:$H$29,IF(E3799="HI",2,IF(E3799="LO",6,10))+IF(D3799=1,2,IF(D3799=7,1,(IF(WEEKDAY(B3799)=1,2,IF(WEEKDAY(B3799)=7,1,0))))))</f>
        <v>3</v>
      </c>
      <c r="G3799" s="369">
        <f>VLOOKUP(C3799,METADATA!$J$5:$Q$29,IF(E3799="HI",2,IF(E3799="LO",6,10))+IF(D3799=1,2,IF(D3799=7,1,(IF(WEEKDAY(B3799)=1,2,IF(WEEKDAY(B3799)=7,1,0))))))</f>
        <v>3</v>
      </c>
      <c r="H3799" s="370">
        <v>11988.125</v>
      </c>
      <c r="I3799" s="370">
        <v>3553.4850158691406</v>
      </c>
      <c r="M3799" s="371">
        <f t="shared" si="237"/>
        <v>12503.695324728267</v>
      </c>
      <c r="N3799" s="329">
        <f t="shared" si="238"/>
        <v>0</v>
      </c>
      <c r="T3799" s="331">
        <v>0</v>
      </c>
      <c r="U3799" s="328">
        <f>VLOOKUP(C3799,METADATA!$J$5:$Q$29,IF(E3799="HI",2,IF(E3799="LO",6,10))+IF(T3799=1,2,IF(D3799=7,1,(IF(WEEKDAY(B3799)=1,2,IF(WEEKDAY(B3799)=7,1,0))))))</f>
        <v>3</v>
      </c>
      <c r="V3799" s="328">
        <f>VLOOKUP(C3799,METADATA!$A$5:$H$29,IF(E3799="HI",2,IF(E3799="LO",6,10))+IF(T3799=1,2,IF(D3799=7,1,(IF(WEEKDAY(B3799)=1,2,IF(WEEKDAY(B3799)=7,1,0))))))</f>
        <v>3</v>
      </c>
    </row>
    <row r="3800" spans="2:22">
      <c r="B3800" s="318">
        <f t="shared" si="235"/>
        <v>46271</v>
      </c>
      <c r="C3800" s="312">
        <v>4</v>
      </c>
      <c r="D3800" s="368">
        <f>IFERROR((INDEX(METADATA!$T$2:$T$20,MATCH(B3800,METADATA!$S$2:$S$20,0))),0)</f>
        <v>0</v>
      </c>
      <c r="E3800" s="312" t="str">
        <f t="shared" si="236"/>
        <v>LO</v>
      </c>
      <c r="F3800" s="369">
        <f>VLOOKUP(C3800,METADATA!$A$5:$H$29,IF(E3800="HI",2,IF(E3800="LO",6,10))+IF(D3800=1,2,IF(D3800=7,1,(IF(WEEKDAY(B3800)=1,2,IF(WEEKDAY(B3800)=7,1,0))))))</f>
        <v>3</v>
      </c>
      <c r="G3800" s="369">
        <f>VLOOKUP(C3800,METADATA!$J$5:$Q$29,IF(E3800="HI",2,IF(E3800="LO",6,10))+IF(D3800=1,2,IF(D3800=7,1,(IF(WEEKDAY(B3800)=1,2,IF(WEEKDAY(B3800)=7,1,0))))))</f>
        <v>3</v>
      </c>
      <c r="H3800" s="370">
        <v>11497.400085449219</v>
      </c>
      <c r="I3800" s="370">
        <v>3169.8974304199219</v>
      </c>
      <c r="M3800" s="371">
        <f t="shared" si="237"/>
        <v>11926.376584875665</v>
      </c>
      <c r="N3800" s="329">
        <f t="shared" si="238"/>
        <v>0</v>
      </c>
      <c r="T3800" s="331">
        <v>0</v>
      </c>
      <c r="U3800" s="328">
        <f>VLOOKUP(C3800,METADATA!$J$5:$Q$29,IF(E3800="HI",2,IF(E3800="LO",6,10))+IF(T3800=1,2,IF(D3800=7,1,(IF(WEEKDAY(B3800)=1,2,IF(WEEKDAY(B3800)=7,1,0))))))</f>
        <v>3</v>
      </c>
      <c r="V3800" s="328">
        <f>VLOOKUP(C3800,METADATA!$A$5:$H$29,IF(E3800="HI",2,IF(E3800="LO",6,10))+IF(T3800=1,2,IF(D3800=7,1,(IF(WEEKDAY(B3800)=1,2,IF(WEEKDAY(B3800)=7,1,0))))))</f>
        <v>3</v>
      </c>
    </row>
    <row r="3801" spans="2:22">
      <c r="B3801" s="318">
        <f t="shared" si="235"/>
        <v>46271</v>
      </c>
      <c r="C3801" s="312">
        <v>5</v>
      </c>
      <c r="D3801" s="368">
        <f>IFERROR((INDEX(METADATA!$T$2:$T$20,MATCH(B3801,METADATA!$S$2:$S$20,0))),0)</f>
        <v>0</v>
      </c>
      <c r="E3801" s="312" t="str">
        <f t="shared" si="236"/>
        <v>LO</v>
      </c>
      <c r="F3801" s="369">
        <f>VLOOKUP(C3801,METADATA!$A$5:$H$29,IF(E3801="HI",2,IF(E3801="LO",6,10))+IF(D3801=1,2,IF(D3801=7,1,(IF(WEEKDAY(B3801)=1,2,IF(WEEKDAY(B3801)=7,1,0))))))</f>
        <v>3</v>
      </c>
      <c r="G3801" s="369">
        <f>VLOOKUP(C3801,METADATA!$J$5:$Q$29,IF(E3801="HI",2,IF(E3801="LO",6,10))+IF(D3801=1,2,IF(D3801=7,1,(IF(WEEKDAY(B3801)=1,2,IF(WEEKDAY(B3801)=7,1,0))))))</f>
        <v>3</v>
      </c>
      <c r="H3801" s="370">
        <v>11461.972503662109</v>
      </c>
      <c r="I3801" s="370">
        <v>3061.7475280761719</v>
      </c>
      <c r="M3801" s="371">
        <f t="shared" si="237"/>
        <v>11863.857365982904</v>
      </c>
      <c r="N3801" s="329">
        <f t="shared" si="238"/>
        <v>0</v>
      </c>
      <c r="T3801" s="331">
        <v>0</v>
      </c>
      <c r="U3801" s="328">
        <f>VLOOKUP(C3801,METADATA!$J$5:$Q$29,IF(E3801="HI",2,IF(E3801="LO",6,10))+IF(T3801=1,2,IF(D3801=7,1,(IF(WEEKDAY(B3801)=1,2,IF(WEEKDAY(B3801)=7,1,0))))))</f>
        <v>3</v>
      </c>
      <c r="V3801" s="328">
        <f>VLOOKUP(C3801,METADATA!$A$5:$H$29,IF(E3801="HI",2,IF(E3801="LO",6,10))+IF(T3801=1,2,IF(D3801=7,1,(IF(WEEKDAY(B3801)=1,2,IF(WEEKDAY(B3801)=7,1,0))))))</f>
        <v>3</v>
      </c>
    </row>
    <row r="3802" spans="2:22">
      <c r="B3802" s="318">
        <f t="shared" si="235"/>
        <v>46271</v>
      </c>
      <c r="C3802" s="312">
        <v>6</v>
      </c>
      <c r="D3802" s="368">
        <f>IFERROR((INDEX(METADATA!$T$2:$T$20,MATCH(B3802,METADATA!$S$2:$S$20,0))),0)</f>
        <v>0</v>
      </c>
      <c r="E3802" s="312" t="str">
        <f t="shared" si="236"/>
        <v>LO</v>
      </c>
      <c r="F3802" s="369">
        <f>VLOOKUP(C3802,METADATA!$A$5:$H$29,IF(E3802="HI",2,IF(E3802="LO",6,10))+IF(D3802=1,2,IF(D3802=7,1,(IF(WEEKDAY(B3802)=1,2,IF(WEEKDAY(B3802)=7,1,0))))))</f>
        <v>3</v>
      </c>
      <c r="G3802" s="369">
        <f>VLOOKUP(C3802,METADATA!$J$5:$Q$29,IF(E3802="HI",2,IF(E3802="LO",6,10))+IF(D3802=1,2,IF(D3802=7,1,(IF(WEEKDAY(B3802)=1,2,IF(WEEKDAY(B3802)=7,1,0))))))</f>
        <v>3</v>
      </c>
      <c r="H3802" s="370">
        <v>11381.144805908203</v>
      </c>
      <c r="I3802" s="370">
        <v>2955.5799865722656</v>
      </c>
      <c r="M3802" s="371">
        <f t="shared" si="237"/>
        <v>11758.652565242235</v>
      </c>
      <c r="N3802" s="329">
        <f t="shared" si="238"/>
        <v>0</v>
      </c>
      <c r="T3802" s="331">
        <v>0</v>
      </c>
      <c r="U3802" s="328">
        <f>VLOOKUP(C3802,METADATA!$J$5:$Q$29,IF(E3802="HI",2,IF(E3802="LO",6,10))+IF(T3802=1,2,IF(D3802=7,1,(IF(WEEKDAY(B3802)=1,2,IF(WEEKDAY(B3802)=7,1,0))))))</f>
        <v>3</v>
      </c>
      <c r="V3802" s="328">
        <f>VLOOKUP(C3802,METADATA!$A$5:$H$29,IF(E3802="HI",2,IF(E3802="LO",6,10))+IF(T3802=1,2,IF(D3802=7,1,(IF(WEEKDAY(B3802)=1,2,IF(WEEKDAY(B3802)=7,1,0))))))</f>
        <v>3</v>
      </c>
    </row>
    <row r="3803" spans="2:22">
      <c r="B3803" s="318">
        <f t="shared" si="235"/>
        <v>46271</v>
      </c>
      <c r="C3803" s="312">
        <v>7</v>
      </c>
      <c r="D3803" s="368">
        <f>IFERROR((INDEX(METADATA!$T$2:$T$20,MATCH(B3803,METADATA!$S$2:$S$20,0))),0)</f>
        <v>0</v>
      </c>
      <c r="E3803" s="312" t="str">
        <f t="shared" si="236"/>
        <v>LO</v>
      </c>
      <c r="F3803" s="369">
        <f>VLOOKUP(C3803,METADATA!$A$5:$H$29,IF(E3803="HI",2,IF(E3803="LO",6,10))+IF(D3803=1,2,IF(D3803=7,1,(IF(WEEKDAY(B3803)=1,2,IF(WEEKDAY(B3803)=7,1,0))))))</f>
        <v>3</v>
      </c>
      <c r="G3803" s="369">
        <f>VLOOKUP(C3803,METADATA!$J$5:$Q$29,IF(E3803="HI",2,IF(E3803="LO",6,10))+IF(D3803=1,2,IF(D3803=7,1,(IF(WEEKDAY(B3803)=1,2,IF(WEEKDAY(B3803)=7,1,0))))))</f>
        <v>3</v>
      </c>
      <c r="H3803" s="370">
        <v>12092.249938964844</v>
      </c>
      <c r="I3803" s="370">
        <v>3368.7999267578125</v>
      </c>
      <c r="M3803" s="371">
        <f t="shared" si="237"/>
        <v>12552.741594286035</v>
      </c>
      <c r="N3803" s="329">
        <f t="shared" si="238"/>
        <v>0</v>
      </c>
      <c r="T3803" s="331">
        <v>0</v>
      </c>
      <c r="U3803" s="328">
        <f>VLOOKUP(C3803,METADATA!$J$5:$Q$29,IF(E3803="HI",2,IF(E3803="LO",6,10))+IF(T3803=1,2,IF(D3803=7,1,(IF(WEEKDAY(B3803)=1,2,IF(WEEKDAY(B3803)=7,1,0))))))</f>
        <v>3</v>
      </c>
      <c r="V3803" s="328">
        <f>VLOOKUP(C3803,METADATA!$A$5:$H$29,IF(E3803="HI",2,IF(E3803="LO",6,10))+IF(T3803=1,2,IF(D3803=7,1,(IF(WEEKDAY(B3803)=1,2,IF(WEEKDAY(B3803)=7,1,0))))))</f>
        <v>3</v>
      </c>
    </row>
    <row r="3804" spans="2:22">
      <c r="B3804" s="318">
        <f t="shared" ref="B3804:B3867" si="239">B3780+1</f>
        <v>46271</v>
      </c>
      <c r="C3804" s="312">
        <v>8</v>
      </c>
      <c r="D3804" s="368">
        <f>IFERROR((INDEX(METADATA!$T$2:$T$20,MATCH(B3804,METADATA!$S$2:$S$20,0))),0)</f>
        <v>0</v>
      </c>
      <c r="E3804" s="312" t="str">
        <f t="shared" si="236"/>
        <v>LO</v>
      </c>
      <c r="F3804" s="369">
        <f>VLOOKUP(C3804,METADATA!$A$5:$H$29,IF(E3804="HI",2,IF(E3804="LO",6,10))+IF(D3804=1,2,IF(D3804=7,1,(IF(WEEKDAY(B3804)=1,2,IF(WEEKDAY(B3804)=7,1,0))))))</f>
        <v>3</v>
      </c>
      <c r="G3804" s="369">
        <f>VLOOKUP(C3804,METADATA!$J$5:$Q$29,IF(E3804="HI",2,IF(E3804="LO",6,10))+IF(D3804=1,2,IF(D3804=7,1,(IF(WEEKDAY(B3804)=1,2,IF(WEEKDAY(B3804)=7,1,0))))))</f>
        <v>3</v>
      </c>
      <c r="H3804" s="370">
        <v>13466.124938964844</v>
      </c>
      <c r="I3804" s="370">
        <v>4132.7849731445313</v>
      </c>
      <c r="M3804" s="371">
        <f t="shared" si="237"/>
        <v>14086.036792017127</v>
      </c>
      <c r="N3804" s="329">
        <f t="shared" si="238"/>
        <v>92.947491455078307</v>
      </c>
      <c r="T3804" s="331">
        <v>0</v>
      </c>
      <c r="U3804" s="328">
        <f>VLOOKUP(C3804,METADATA!$J$5:$Q$29,IF(E3804="HI",2,IF(E3804="LO",6,10))+IF(T3804=1,2,IF(D3804=7,1,(IF(WEEKDAY(B3804)=1,2,IF(WEEKDAY(B3804)=7,1,0))))))</f>
        <v>3</v>
      </c>
      <c r="V3804" s="328">
        <f>VLOOKUP(C3804,METADATA!$A$5:$H$29,IF(E3804="HI",2,IF(E3804="LO",6,10))+IF(T3804=1,2,IF(D3804=7,1,(IF(WEEKDAY(B3804)=1,2,IF(WEEKDAY(B3804)=7,1,0))))))</f>
        <v>3</v>
      </c>
    </row>
    <row r="3805" spans="2:22">
      <c r="B3805" s="318">
        <f t="shared" si="239"/>
        <v>46271</v>
      </c>
      <c r="C3805" s="312">
        <v>9</v>
      </c>
      <c r="D3805" s="368">
        <f>IFERROR((INDEX(METADATA!$T$2:$T$20,MATCH(B3805,METADATA!$S$2:$S$20,0))),0)</f>
        <v>0</v>
      </c>
      <c r="E3805" s="312" t="str">
        <f t="shared" si="236"/>
        <v>LO</v>
      </c>
      <c r="F3805" s="369">
        <f>VLOOKUP(C3805,METADATA!$A$5:$H$29,IF(E3805="HI",2,IF(E3805="LO",6,10))+IF(D3805=1,2,IF(D3805=7,1,(IF(WEEKDAY(B3805)=1,2,IF(WEEKDAY(B3805)=7,1,0))))))</f>
        <v>3</v>
      </c>
      <c r="G3805" s="369">
        <f>VLOOKUP(C3805,METADATA!$J$5:$Q$29,IF(E3805="HI",2,IF(E3805="LO",6,10))+IF(D3805=1,2,IF(D3805=7,1,(IF(WEEKDAY(B3805)=1,2,IF(WEEKDAY(B3805)=7,1,0))))))</f>
        <v>3</v>
      </c>
      <c r="H3805" s="370">
        <v>13443.575134277344</v>
      </c>
      <c r="I3805" s="370">
        <v>4209.6300354003906</v>
      </c>
      <c r="M3805" s="371">
        <f t="shared" si="237"/>
        <v>14087.253012063962</v>
      </c>
      <c r="N3805" s="329">
        <f t="shared" si="238"/>
        <v>176.5574951171875</v>
      </c>
      <c r="T3805" s="331">
        <v>0</v>
      </c>
      <c r="U3805" s="328">
        <f>VLOOKUP(C3805,METADATA!$J$5:$Q$29,IF(E3805="HI",2,IF(E3805="LO",6,10))+IF(T3805=1,2,IF(D3805=7,1,(IF(WEEKDAY(B3805)=1,2,IF(WEEKDAY(B3805)=7,1,0))))))</f>
        <v>3</v>
      </c>
      <c r="V3805" s="328">
        <f>VLOOKUP(C3805,METADATA!$A$5:$H$29,IF(E3805="HI",2,IF(E3805="LO",6,10))+IF(T3805=1,2,IF(D3805=7,1,(IF(WEEKDAY(B3805)=1,2,IF(WEEKDAY(B3805)=7,1,0))))))</f>
        <v>3</v>
      </c>
    </row>
    <row r="3806" spans="2:22">
      <c r="B3806" s="318">
        <f t="shared" si="239"/>
        <v>46271</v>
      </c>
      <c r="C3806" s="312">
        <v>10</v>
      </c>
      <c r="D3806" s="368">
        <f>IFERROR((INDEX(METADATA!$T$2:$T$20,MATCH(B3806,METADATA!$S$2:$S$20,0))),0)</f>
        <v>0</v>
      </c>
      <c r="E3806" s="312" t="str">
        <f t="shared" si="236"/>
        <v>LO</v>
      </c>
      <c r="F3806" s="369">
        <f>VLOOKUP(C3806,METADATA!$A$5:$H$29,IF(E3806="HI",2,IF(E3806="LO",6,10))+IF(D3806=1,2,IF(D3806=7,1,(IF(WEEKDAY(B3806)=1,2,IF(WEEKDAY(B3806)=7,1,0))))))</f>
        <v>3</v>
      </c>
      <c r="G3806" s="369">
        <f>VLOOKUP(C3806,METADATA!$J$5:$Q$29,IF(E3806="HI",2,IF(E3806="LO",6,10))+IF(D3806=1,2,IF(D3806=7,1,(IF(WEEKDAY(B3806)=1,2,IF(WEEKDAY(B3806)=7,1,0))))))</f>
        <v>3</v>
      </c>
      <c r="H3806" s="370">
        <v>13639.64990234375</v>
      </c>
      <c r="I3806" s="370">
        <v>4582.1099853515625</v>
      </c>
      <c r="M3806" s="371">
        <f t="shared" si="237"/>
        <v>14388.738004994197</v>
      </c>
      <c r="N3806" s="329">
        <f t="shared" si="238"/>
        <v>490.21501464843777</v>
      </c>
      <c r="T3806" s="331">
        <v>0</v>
      </c>
      <c r="U3806" s="328">
        <f>VLOOKUP(C3806,METADATA!$J$5:$Q$29,IF(E3806="HI",2,IF(E3806="LO",6,10))+IF(T3806=1,2,IF(D3806=7,1,(IF(WEEKDAY(B3806)=1,2,IF(WEEKDAY(B3806)=7,1,0))))))</f>
        <v>3</v>
      </c>
      <c r="V3806" s="328">
        <f>VLOOKUP(C3806,METADATA!$A$5:$H$29,IF(E3806="HI",2,IF(E3806="LO",6,10))+IF(T3806=1,2,IF(D3806=7,1,(IF(WEEKDAY(B3806)=1,2,IF(WEEKDAY(B3806)=7,1,0))))))</f>
        <v>3</v>
      </c>
    </row>
    <row r="3807" spans="2:22">
      <c r="B3807" s="318">
        <f t="shared" si="239"/>
        <v>46271</v>
      </c>
      <c r="C3807" s="312">
        <v>11</v>
      </c>
      <c r="D3807" s="368">
        <f>IFERROR((INDEX(METADATA!$T$2:$T$20,MATCH(B3807,METADATA!$S$2:$S$20,0))),0)</f>
        <v>0</v>
      </c>
      <c r="E3807" s="312" t="str">
        <f t="shared" si="236"/>
        <v>LO</v>
      </c>
      <c r="F3807" s="369">
        <f>VLOOKUP(C3807,METADATA!$A$5:$H$29,IF(E3807="HI",2,IF(E3807="LO",6,10))+IF(D3807=1,2,IF(D3807=7,1,(IF(WEEKDAY(B3807)=1,2,IF(WEEKDAY(B3807)=7,1,0))))))</f>
        <v>3</v>
      </c>
      <c r="G3807" s="369">
        <f>VLOOKUP(C3807,METADATA!$J$5:$Q$29,IF(E3807="HI",2,IF(E3807="LO",6,10))+IF(D3807=1,2,IF(D3807=7,1,(IF(WEEKDAY(B3807)=1,2,IF(WEEKDAY(B3807)=7,1,0))))))</f>
        <v>3</v>
      </c>
      <c r="H3807" s="370">
        <v>13625.2998046875</v>
      </c>
      <c r="I3807" s="370">
        <v>4552.7999572753906</v>
      </c>
      <c r="M3807" s="371">
        <f t="shared" si="237"/>
        <v>14365.819928517272</v>
      </c>
      <c r="N3807" s="329">
        <f t="shared" si="238"/>
        <v>465.21001586914099</v>
      </c>
      <c r="T3807" s="331">
        <v>0</v>
      </c>
      <c r="U3807" s="328">
        <f>VLOOKUP(C3807,METADATA!$J$5:$Q$29,IF(E3807="HI",2,IF(E3807="LO",6,10))+IF(T3807=1,2,IF(D3807=7,1,(IF(WEEKDAY(B3807)=1,2,IF(WEEKDAY(B3807)=7,1,0))))))</f>
        <v>3</v>
      </c>
      <c r="V3807" s="328">
        <f>VLOOKUP(C3807,METADATA!$A$5:$H$29,IF(E3807="HI",2,IF(E3807="LO",6,10))+IF(T3807=1,2,IF(D3807=7,1,(IF(WEEKDAY(B3807)=1,2,IF(WEEKDAY(B3807)=7,1,0))))))</f>
        <v>3</v>
      </c>
    </row>
    <row r="3808" spans="2:22">
      <c r="B3808" s="318">
        <f t="shared" si="239"/>
        <v>46271</v>
      </c>
      <c r="C3808" s="312">
        <v>12</v>
      </c>
      <c r="D3808" s="368">
        <f>IFERROR((INDEX(METADATA!$T$2:$T$20,MATCH(B3808,METADATA!$S$2:$S$20,0))),0)</f>
        <v>0</v>
      </c>
      <c r="E3808" s="312" t="str">
        <f t="shared" si="236"/>
        <v>LO</v>
      </c>
      <c r="F3808" s="369">
        <f>VLOOKUP(C3808,METADATA!$A$5:$H$29,IF(E3808="HI",2,IF(E3808="LO",6,10))+IF(D3808=1,2,IF(D3808=7,1,(IF(WEEKDAY(B3808)=1,2,IF(WEEKDAY(B3808)=7,1,0))))))</f>
        <v>3</v>
      </c>
      <c r="G3808" s="369">
        <f>VLOOKUP(C3808,METADATA!$J$5:$Q$29,IF(E3808="HI",2,IF(E3808="LO",6,10))+IF(D3808=1,2,IF(D3808=7,1,(IF(WEEKDAY(B3808)=1,2,IF(WEEKDAY(B3808)=7,1,0))))))</f>
        <v>3</v>
      </c>
      <c r="H3808" s="370">
        <v>13513.550354003906</v>
      </c>
      <c r="I3808" s="370">
        <v>4516.39013671875</v>
      </c>
      <c r="M3808" s="371">
        <f t="shared" si="237"/>
        <v>14248.291934026671</v>
      </c>
      <c r="N3808" s="329">
        <f t="shared" si="238"/>
        <v>462.3250305175784</v>
      </c>
      <c r="T3808" s="331">
        <v>0</v>
      </c>
      <c r="U3808" s="328">
        <f>VLOOKUP(C3808,METADATA!$J$5:$Q$29,IF(E3808="HI",2,IF(E3808="LO",6,10))+IF(T3808=1,2,IF(D3808=7,1,(IF(WEEKDAY(B3808)=1,2,IF(WEEKDAY(B3808)=7,1,0))))))</f>
        <v>3</v>
      </c>
      <c r="V3808" s="328">
        <f>VLOOKUP(C3808,METADATA!$A$5:$H$29,IF(E3808="HI",2,IF(E3808="LO",6,10))+IF(T3808=1,2,IF(D3808=7,1,(IF(WEEKDAY(B3808)=1,2,IF(WEEKDAY(B3808)=7,1,0))))))</f>
        <v>3</v>
      </c>
    </row>
    <row r="3809" spans="2:22">
      <c r="B3809" s="318">
        <f t="shared" si="239"/>
        <v>46271</v>
      </c>
      <c r="C3809" s="312">
        <v>13</v>
      </c>
      <c r="D3809" s="368">
        <f>IFERROR((INDEX(METADATA!$T$2:$T$20,MATCH(B3809,METADATA!$S$2:$S$20,0))),0)</f>
        <v>0</v>
      </c>
      <c r="E3809" s="312" t="str">
        <f t="shared" si="236"/>
        <v>LO</v>
      </c>
      <c r="F3809" s="369">
        <f>VLOOKUP(C3809,METADATA!$A$5:$H$29,IF(E3809="HI",2,IF(E3809="LO",6,10))+IF(D3809=1,2,IF(D3809=7,1,(IF(WEEKDAY(B3809)=1,2,IF(WEEKDAY(B3809)=7,1,0))))))</f>
        <v>3</v>
      </c>
      <c r="G3809" s="369">
        <f>VLOOKUP(C3809,METADATA!$J$5:$Q$29,IF(E3809="HI",2,IF(E3809="LO",6,10))+IF(D3809=1,2,IF(D3809=7,1,(IF(WEEKDAY(B3809)=1,2,IF(WEEKDAY(B3809)=7,1,0))))))</f>
        <v>3</v>
      </c>
      <c r="H3809" s="370">
        <v>13158.724975585938</v>
      </c>
      <c r="I3809" s="370">
        <v>4222.534912109375</v>
      </c>
      <c r="M3809" s="371">
        <f t="shared" si="237"/>
        <v>13819.618086875325</v>
      </c>
      <c r="N3809" s="329">
        <f t="shared" si="238"/>
        <v>274.91741943359375</v>
      </c>
      <c r="T3809" s="331">
        <v>0</v>
      </c>
      <c r="U3809" s="328">
        <f>VLOOKUP(C3809,METADATA!$J$5:$Q$29,IF(E3809="HI",2,IF(E3809="LO",6,10))+IF(T3809=1,2,IF(D3809=7,1,(IF(WEEKDAY(B3809)=1,2,IF(WEEKDAY(B3809)=7,1,0))))))</f>
        <v>3</v>
      </c>
      <c r="V3809" s="328">
        <f>VLOOKUP(C3809,METADATA!$A$5:$H$29,IF(E3809="HI",2,IF(E3809="LO",6,10))+IF(T3809=1,2,IF(D3809=7,1,(IF(WEEKDAY(B3809)=1,2,IF(WEEKDAY(B3809)=7,1,0))))))</f>
        <v>3</v>
      </c>
    </row>
    <row r="3810" spans="2:22">
      <c r="B3810" s="318">
        <f t="shared" si="239"/>
        <v>46271</v>
      </c>
      <c r="C3810" s="312">
        <v>14</v>
      </c>
      <c r="D3810" s="368">
        <f>IFERROR((INDEX(METADATA!$T$2:$T$20,MATCH(B3810,METADATA!$S$2:$S$20,0))),0)</f>
        <v>0</v>
      </c>
      <c r="E3810" s="312" t="str">
        <f t="shared" si="236"/>
        <v>LO</v>
      </c>
      <c r="F3810" s="369">
        <f>VLOOKUP(C3810,METADATA!$A$5:$H$29,IF(E3810="HI",2,IF(E3810="LO",6,10))+IF(D3810=1,2,IF(D3810=7,1,(IF(WEEKDAY(B3810)=1,2,IF(WEEKDAY(B3810)=7,1,0))))))</f>
        <v>3</v>
      </c>
      <c r="G3810" s="369">
        <f>VLOOKUP(C3810,METADATA!$J$5:$Q$29,IF(E3810="HI",2,IF(E3810="LO",6,10))+IF(D3810=1,2,IF(D3810=7,1,(IF(WEEKDAY(B3810)=1,2,IF(WEEKDAY(B3810)=7,1,0))))))</f>
        <v>3</v>
      </c>
      <c r="H3810" s="370">
        <v>11538.025085449219</v>
      </c>
      <c r="I3810" s="370">
        <v>3298.8374633789063</v>
      </c>
      <c r="M3810" s="371">
        <f t="shared" si="237"/>
        <v>12000.347973381757</v>
      </c>
      <c r="N3810" s="329">
        <f t="shared" si="238"/>
        <v>0</v>
      </c>
      <c r="T3810" s="331">
        <v>0</v>
      </c>
      <c r="U3810" s="328">
        <f>VLOOKUP(C3810,METADATA!$J$5:$Q$29,IF(E3810="HI",2,IF(E3810="LO",6,10))+IF(T3810=1,2,IF(D3810=7,1,(IF(WEEKDAY(B3810)=1,2,IF(WEEKDAY(B3810)=7,1,0))))))</f>
        <v>3</v>
      </c>
      <c r="V3810" s="328">
        <f>VLOOKUP(C3810,METADATA!$A$5:$H$29,IF(E3810="HI",2,IF(E3810="LO",6,10))+IF(T3810=1,2,IF(D3810=7,1,(IF(WEEKDAY(B3810)=1,2,IF(WEEKDAY(B3810)=7,1,0))))))</f>
        <v>3</v>
      </c>
    </row>
    <row r="3811" spans="2:22">
      <c r="B3811" s="318">
        <f t="shared" si="239"/>
        <v>46271</v>
      </c>
      <c r="C3811" s="312">
        <v>15</v>
      </c>
      <c r="D3811" s="368">
        <f>IFERROR((INDEX(METADATA!$T$2:$T$20,MATCH(B3811,METADATA!$S$2:$S$20,0))),0)</f>
        <v>0</v>
      </c>
      <c r="E3811" s="312" t="str">
        <f t="shared" si="236"/>
        <v>LO</v>
      </c>
      <c r="F3811" s="369">
        <f>VLOOKUP(C3811,METADATA!$A$5:$H$29,IF(E3811="HI",2,IF(E3811="LO",6,10))+IF(D3811=1,2,IF(D3811=7,1,(IF(WEEKDAY(B3811)=1,2,IF(WEEKDAY(B3811)=7,1,0))))))</f>
        <v>3</v>
      </c>
      <c r="G3811" s="369">
        <f>VLOOKUP(C3811,METADATA!$J$5:$Q$29,IF(E3811="HI",2,IF(E3811="LO",6,10))+IF(D3811=1,2,IF(D3811=7,1,(IF(WEEKDAY(B3811)=1,2,IF(WEEKDAY(B3811)=7,1,0))))))</f>
        <v>3</v>
      </c>
      <c r="H3811" s="370">
        <v>11596.950012207031</v>
      </c>
      <c r="I3811" s="370">
        <v>3434.2074890136719</v>
      </c>
      <c r="M3811" s="371">
        <f t="shared" si="237"/>
        <v>12094.752195197148</v>
      </c>
      <c r="N3811" s="329">
        <f t="shared" si="238"/>
        <v>0</v>
      </c>
      <c r="T3811" s="331">
        <v>0</v>
      </c>
      <c r="U3811" s="328">
        <f>VLOOKUP(C3811,METADATA!$J$5:$Q$29,IF(E3811="HI",2,IF(E3811="LO",6,10))+IF(T3811=1,2,IF(D3811=7,1,(IF(WEEKDAY(B3811)=1,2,IF(WEEKDAY(B3811)=7,1,0))))))</f>
        <v>3</v>
      </c>
      <c r="V3811" s="328">
        <f>VLOOKUP(C3811,METADATA!$A$5:$H$29,IF(E3811="HI",2,IF(E3811="LO",6,10))+IF(T3811=1,2,IF(D3811=7,1,(IF(WEEKDAY(B3811)=1,2,IF(WEEKDAY(B3811)=7,1,0))))))</f>
        <v>3</v>
      </c>
    </row>
    <row r="3812" spans="2:22">
      <c r="B3812" s="318">
        <f t="shared" si="239"/>
        <v>46271</v>
      </c>
      <c r="C3812" s="312">
        <v>16</v>
      </c>
      <c r="D3812" s="368">
        <f>IFERROR((INDEX(METADATA!$T$2:$T$20,MATCH(B3812,METADATA!$S$2:$S$20,0))),0)</f>
        <v>0</v>
      </c>
      <c r="E3812" s="312" t="str">
        <f t="shared" si="236"/>
        <v>LO</v>
      </c>
      <c r="F3812" s="369">
        <f>VLOOKUP(C3812,METADATA!$A$5:$H$29,IF(E3812="HI",2,IF(E3812="LO",6,10))+IF(D3812=1,2,IF(D3812=7,1,(IF(WEEKDAY(B3812)=1,2,IF(WEEKDAY(B3812)=7,1,0))))))</f>
        <v>3</v>
      </c>
      <c r="G3812" s="369">
        <f>VLOOKUP(C3812,METADATA!$J$5:$Q$29,IF(E3812="HI",2,IF(E3812="LO",6,10))+IF(D3812=1,2,IF(D3812=7,1,(IF(WEEKDAY(B3812)=1,2,IF(WEEKDAY(B3812)=7,1,0))))))</f>
        <v>3</v>
      </c>
      <c r="H3812" s="370">
        <v>12036.374755859375</v>
      </c>
      <c r="I3812" s="370">
        <v>3702.7024841308594</v>
      </c>
      <c r="M3812" s="371">
        <f t="shared" si="237"/>
        <v>12593.026758864513</v>
      </c>
      <c r="N3812" s="329">
        <f t="shared" si="238"/>
        <v>91.790057373047148</v>
      </c>
      <c r="T3812" s="331">
        <v>0</v>
      </c>
      <c r="U3812" s="328">
        <f>VLOOKUP(C3812,METADATA!$J$5:$Q$29,IF(E3812="HI",2,IF(E3812="LO",6,10))+IF(T3812=1,2,IF(D3812=7,1,(IF(WEEKDAY(B3812)=1,2,IF(WEEKDAY(B3812)=7,1,0))))))</f>
        <v>3</v>
      </c>
      <c r="V3812" s="328">
        <f>VLOOKUP(C3812,METADATA!$A$5:$H$29,IF(E3812="HI",2,IF(E3812="LO",6,10))+IF(T3812=1,2,IF(D3812=7,1,(IF(WEEKDAY(B3812)=1,2,IF(WEEKDAY(B3812)=7,1,0))))))</f>
        <v>3</v>
      </c>
    </row>
    <row r="3813" spans="2:22">
      <c r="B3813" s="318">
        <f t="shared" si="239"/>
        <v>46271</v>
      </c>
      <c r="C3813" s="312">
        <v>17</v>
      </c>
      <c r="D3813" s="368">
        <f>IFERROR((INDEX(METADATA!$T$2:$T$20,MATCH(B3813,METADATA!$S$2:$S$20,0))),0)</f>
        <v>0</v>
      </c>
      <c r="E3813" s="312" t="str">
        <f t="shared" si="236"/>
        <v>LO</v>
      </c>
      <c r="F3813" s="369">
        <f>VLOOKUP(C3813,METADATA!$A$5:$H$29,IF(E3813="HI",2,IF(E3813="LO",6,10))+IF(D3813=1,2,IF(D3813=7,1,(IF(WEEKDAY(B3813)=1,2,IF(WEEKDAY(B3813)=7,1,0))))))</f>
        <v>3</v>
      </c>
      <c r="G3813" s="369">
        <f>VLOOKUP(C3813,METADATA!$J$5:$Q$29,IF(E3813="HI",2,IF(E3813="LO",6,10))+IF(D3813=1,2,IF(D3813=7,1,(IF(WEEKDAY(B3813)=1,2,IF(WEEKDAY(B3813)=7,1,0))))))</f>
        <v>3</v>
      </c>
      <c r="H3813" s="370">
        <v>13572.299743652344</v>
      </c>
      <c r="I3813" s="370">
        <v>4581.9001159667969</v>
      </c>
      <c r="M3813" s="371">
        <f t="shared" si="237"/>
        <v>14324.843070841718</v>
      </c>
      <c r="N3813" s="329">
        <f t="shared" si="238"/>
        <v>510.21019287109402</v>
      </c>
      <c r="T3813" s="331">
        <v>0</v>
      </c>
      <c r="U3813" s="328">
        <f>VLOOKUP(C3813,METADATA!$J$5:$Q$29,IF(E3813="HI",2,IF(E3813="LO",6,10))+IF(T3813=1,2,IF(D3813=7,1,(IF(WEEKDAY(B3813)=1,2,IF(WEEKDAY(B3813)=7,1,0))))))</f>
        <v>3</v>
      </c>
      <c r="V3813" s="328">
        <f>VLOOKUP(C3813,METADATA!$A$5:$H$29,IF(E3813="HI",2,IF(E3813="LO",6,10))+IF(T3813=1,2,IF(D3813=7,1,(IF(WEEKDAY(B3813)=1,2,IF(WEEKDAY(B3813)=7,1,0))))))</f>
        <v>3</v>
      </c>
    </row>
    <row r="3814" spans="2:22">
      <c r="B3814" s="318">
        <f t="shared" si="239"/>
        <v>46271</v>
      </c>
      <c r="C3814" s="312">
        <v>18</v>
      </c>
      <c r="D3814" s="368">
        <f>IFERROR((INDEX(METADATA!$T$2:$T$20,MATCH(B3814,METADATA!$S$2:$S$20,0))),0)</f>
        <v>0</v>
      </c>
      <c r="E3814" s="312" t="str">
        <f t="shared" si="236"/>
        <v>LO</v>
      </c>
      <c r="F3814" s="369">
        <f>VLOOKUP(C3814,METADATA!$A$5:$H$29,IF(E3814="HI",2,IF(E3814="LO",6,10))+IF(D3814=1,2,IF(D3814=7,1,(IF(WEEKDAY(B3814)=1,2,IF(WEEKDAY(B3814)=7,1,0))))))</f>
        <v>2</v>
      </c>
      <c r="G3814" s="369">
        <f>VLOOKUP(C3814,METADATA!$J$5:$Q$29,IF(E3814="HI",2,IF(E3814="LO",6,10))+IF(D3814=1,2,IF(D3814=7,1,(IF(WEEKDAY(B3814)=1,2,IF(WEEKDAY(B3814)=7,1,0))))))</f>
        <v>2</v>
      </c>
      <c r="H3814" s="370">
        <v>13430.549743652344</v>
      </c>
      <c r="I3814" s="370">
        <v>4349.0900573730469</v>
      </c>
      <c r="M3814" s="371">
        <f t="shared" si="237"/>
        <v>14117.161568242433</v>
      </c>
      <c r="N3814" s="329">
        <f t="shared" si="238"/>
        <v>319.92513427734411</v>
      </c>
      <c r="T3814" s="331">
        <v>0</v>
      </c>
      <c r="U3814" s="328">
        <f>VLOOKUP(C3814,METADATA!$J$5:$Q$29,IF(E3814="HI",2,IF(E3814="LO",6,10))+IF(T3814=1,2,IF(D3814=7,1,(IF(WEEKDAY(B3814)=1,2,IF(WEEKDAY(B3814)=7,1,0))))))</f>
        <v>2</v>
      </c>
      <c r="V3814" s="328">
        <f>VLOOKUP(C3814,METADATA!$A$5:$H$29,IF(E3814="HI",2,IF(E3814="LO",6,10))+IF(T3814=1,2,IF(D3814=7,1,(IF(WEEKDAY(B3814)=1,2,IF(WEEKDAY(B3814)=7,1,0))))))</f>
        <v>2</v>
      </c>
    </row>
    <row r="3815" spans="2:22">
      <c r="B3815" s="318">
        <f t="shared" si="239"/>
        <v>46271</v>
      </c>
      <c r="C3815" s="312">
        <v>19</v>
      </c>
      <c r="D3815" s="368">
        <f>IFERROR((INDEX(METADATA!$T$2:$T$20,MATCH(B3815,METADATA!$S$2:$S$20,0))),0)</f>
        <v>0</v>
      </c>
      <c r="E3815" s="312" t="str">
        <f t="shared" si="236"/>
        <v>LO</v>
      </c>
      <c r="F3815" s="369">
        <f>VLOOKUP(C3815,METADATA!$A$5:$H$29,IF(E3815="HI",2,IF(E3815="LO",6,10))+IF(D3815=1,2,IF(D3815=7,1,(IF(WEEKDAY(B3815)=1,2,IF(WEEKDAY(B3815)=7,1,0))))))</f>
        <v>2</v>
      </c>
      <c r="G3815" s="369">
        <f>VLOOKUP(C3815,METADATA!$J$5:$Q$29,IF(E3815="HI",2,IF(E3815="LO",6,10))+IF(D3815=1,2,IF(D3815=7,1,(IF(WEEKDAY(B3815)=1,2,IF(WEEKDAY(B3815)=7,1,0))))))</f>
        <v>2</v>
      </c>
      <c r="H3815" s="370">
        <v>13534.549743652344</v>
      </c>
      <c r="I3815" s="370">
        <v>4362.2100219726563</v>
      </c>
      <c r="M3815" s="371">
        <f t="shared" si="237"/>
        <v>14220.158685443646</v>
      </c>
      <c r="N3815" s="329">
        <f t="shared" si="238"/>
        <v>301.84509887695322</v>
      </c>
      <c r="T3815" s="331">
        <v>0</v>
      </c>
      <c r="U3815" s="328">
        <f>VLOOKUP(C3815,METADATA!$J$5:$Q$29,IF(E3815="HI",2,IF(E3815="LO",6,10))+IF(T3815=1,2,IF(D3815=7,1,(IF(WEEKDAY(B3815)=1,2,IF(WEEKDAY(B3815)=7,1,0))))))</f>
        <v>2</v>
      </c>
      <c r="V3815" s="328">
        <f>VLOOKUP(C3815,METADATA!$A$5:$H$29,IF(E3815="HI",2,IF(E3815="LO",6,10))+IF(T3815=1,2,IF(D3815=7,1,(IF(WEEKDAY(B3815)=1,2,IF(WEEKDAY(B3815)=7,1,0))))))</f>
        <v>2</v>
      </c>
    </row>
    <row r="3816" spans="2:22">
      <c r="B3816" s="318">
        <f t="shared" si="239"/>
        <v>46271</v>
      </c>
      <c r="C3816" s="312">
        <v>20</v>
      </c>
      <c r="D3816" s="368">
        <f>IFERROR((INDEX(METADATA!$T$2:$T$20,MATCH(B3816,METADATA!$S$2:$S$20,0))),0)</f>
        <v>0</v>
      </c>
      <c r="E3816" s="312" t="str">
        <f t="shared" si="236"/>
        <v>LO</v>
      </c>
      <c r="F3816" s="369">
        <f>VLOOKUP(C3816,METADATA!$A$5:$H$29,IF(E3816="HI",2,IF(E3816="LO",6,10))+IF(D3816=1,2,IF(D3816=7,1,(IF(WEEKDAY(B3816)=1,2,IF(WEEKDAY(B3816)=7,1,0))))))</f>
        <v>3</v>
      </c>
      <c r="G3816" s="369">
        <f>VLOOKUP(C3816,METADATA!$J$5:$Q$29,IF(E3816="HI",2,IF(E3816="LO",6,10))+IF(D3816=1,2,IF(D3816=7,1,(IF(WEEKDAY(B3816)=1,2,IF(WEEKDAY(B3816)=7,1,0))))))</f>
        <v>3</v>
      </c>
      <c r="H3816" s="370">
        <v>13450.374877929688</v>
      </c>
      <c r="I3816" s="370">
        <v>4476.7500305175781</v>
      </c>
      <c r="M3816" s="371">
        <f t="shared" si="237"/>
        <v>14175.820088890137</v>
      </c>
      <c r="N3816" s="329">
        <f t="shared" si="238"/>
        <v>441.63756713867224</v>
      </c>
      <c r="T3816" s="331">
        <v>0</v>
      </c>
      <c r="U3816" s="328">
        <f>VLOOKUP(C3816,METADATA!$J$5:$Q$29,IF(E3816="HI",2,IF(E3816="LO",6,10))+IF(T3816=1,2,IF(D3816=7,1,(IF(WEEKDAY(B3816)=1,2,IF(WEEKDAY(B3816)=7,1,0))))))</f>
        <v>3</v>
      </c>
      <c r="V3816" s="328">
        <f>VLOOKUP(C3816,METADATA!$A$5:$H$29,IF(E3816="HI",2,IF(E3816="LO",6,10))+IF(T3816=1,2,IF(D3816=7,1,(IF(WEEKDAY(B3816)=1,2,IF(WEEKDAY(B3816)=7,1,0))))))</f>
        <v>3</v>
      </c>
    </row>
    <row r="3817" spans="2:22">
      <c r="B3817" s="318">
        <f t="shared" si="239"/>
        <v>46271</v>
      </c>
      <c r="C3817" s="312">
        <v>21</v>
      </c>
      <c r="D3817" s="368">
        <f>IFERROR((INDEX(METADATA!$T$2:$T$20,MATCH(B3817,METADATA!$S$2:$S$20,0))),0)</f>
        <v>0</v>
      </c>
      <c r="E3817" s="312" t="str">
        <f t="shared" si="236"/>
        <v>LO</v>
      </c>
      <c r="F3817" s="369">
        <f>VLOOKUP(C3817,METADATA!$A$5:$H$29,IF(E3817="HI",2,IF(E3817="LO",6,10))+IF(D3817=1,2,IF(D3817=7,1,(IF(WEEKDAY(B3817)=1,2,IF(WEEKDAY(B3817)=7,1,0))))))</f>
        <v>3</v>
      </c>
      <c r="G3817" s="369">
        <f>VLOOKUP(C3817,METADATA!$J$5:$Q$29,IF(E3817="HI",2,IF(E3817="LO",6,10))+IF(D3817=1,2,IF(D3817=7,1,(IF(WEEKDAY(B3817)=1,2,IF(WEEKDAY(B3817)=7,1,0))))))</f>
        <v>3</v>
      </c>
      <c r="H3817" s="370">
        <v>11699.524963378906</v>
      </c>
      <c r="I3817" s="370">
        <v>3322.4200744628906</v>
      </c>
      <c r="M3817" s="371">
        <f t="shared" si="237"/>
        <v>12162.128083518945</v>
      </c>
      <c r="N3817" s="329">
        <f t="shared" si="238"/>
        <v>0</v>
      </c>
      <c r="T3817" s="331">
        <v>0</v>
      </c>
      <c r="U3817" s="328">
        <f>VLOOKUP(C3817,METADATA!$J$5:$Q$29,IF(E3817="HI",2,IF(E3817="LO",6,10))+IF(T3817=1,2,IF(D3817=7,1,(IF(WEEKDAY(B3817)=1,2,IF(WEEKDAY(B3817)=7,1,0))))))</f>
        <v>3</v>
      </c>
      <c r="V3817" s="328">
        <f>VLOOKUP(C3817,METADATA!$A$5:$H$29,IF(E3817="HI",2,IF(E3817="LO",6,10))+IF(T3817=1,2,IF(D3817=7,1,(IF(WEEKDAY(B3817)=1,2,IF(WEEKDAY(B3817)=7,1,0))))))</f>
        <v>3</v>
      </c>
    </row>
    <row r="3818" spans="2:22">
      <c r="B3818" s="318">
        <f t="shared" si="239"/>
        <v>46271</v>
      </c>
      <c r="C3818" s="312">
        <v>22</v>
      </c>
      <c r="D3818" s="368">
        <f>IFERROR((INDEX(METADATA!$T$2:$T$20,MATCH(B3818,METADATA!$S$2:$S$20,0))),0)</f>
        <v>0</v>
      </c>
      <c r="E3818" s="312" t="str">
        <f t="shared" si="236"/>
        <v>LO</v>
      </c>
      <c r="F3818" s="369">
        <f>VLOOKUP(C3818,METADATA!$A$5:$H$29,IF(E3818="HI",2,IF(E3818="LO",6,10))+IF(D3818=1,2,IF(D3818=7,1,(IF(WEEKDAY(B3818)=1,2,IF(WEEKDAY(B3818)=7,1,0))))))</f>
        <v>3</v>
      </c>
      <c r="G3818" s="369">
        <f>VLOOKUP(C3818,METADATA!$J$5:$Q$29,IF(E3818="HI",2,IF(E3818="LO",6,10))+IF(D3818=1,2,IF(D3818=7,1,(IF(WEEKDAY(B3818)=1,2,IF(WEEKDAY(B3818)=7,1,0))))))</f>
        <v>3</v>
      </c>
      <c r="H3818" s="370">
        <v>11466.124816894531</v>
      </c>
      <c r="I3818" s="370">
        <v>3207</v>
      </c>
      <c r="M3818" s="371">
        <f t="shared" si="237"/>
        <v>11906.169296486785</v>
      </c>
      <c r="N3818" s="329">
        <f t="shared" si="238"/>
        <v>0</v>
      </c>
      <c r="T3818" s="331">
        <v>0</v>
      </c>
      <c r="U3818" s="328">
        <f>VLOOKUP(C3818,METADATA!$J$5:$Q$29,IF(E3818="HI",2,IF(E3818="LO",6,10))+IF(T3818=1,2,IF(D3818=7,1,(IF(WEEKDAY(B3818)=1,2,IF(WEEKDAY(B3818)=7,1,0))))))</f>
        <v>3</v>
      </c>
      <c r="V3818" s="328">
        <f>VLOOKUP(C3818,METADATA!$A$5:$H$29,IF(E3818="HI",2,IF(E3818="LO",6,10))+IF(T3818=1,2,IF(D3818=7,1,(IF(WEEKDAY(B3818)=1,2,IF(WEEKDAY(B3818)=7,1,0))))))</f>
        <v>3</v>
      </c>
    </row>
    <row r="3819" spans="2:22">
      <c r="B3819" s="318">
        <f t="shared" si="239"/>
        <v>46271</v>
      </c>
      <c r="C3819" s="312">
        <v>23</v>
      </c>
      <c r="D3819" s="368">
        <f>IFERROR((INDEX(METADATA!$T$2:$T$20,MATCH(B3819,METADATA!$S$2:$S$20,0))),0)</f>
        <v>0</v>
      </c>
      <c r="E3819" s="312" t="str">
        <f t="shared" si="236"/>
        <v>LO</v>
      </c>
      <c r="F3819" s="369">
        <f>VLOOKUP(C3819,METADATA!$A$5:$H$29,IF(E3819="HI",2,IF(E3819="LO",6,10))+IF(D3819=1,2,IF(D3819=7,1,(IF(WEEKDAY(B3819)=1,2,IF(WEEKDAY(B3819)=7,1,0))))))</f>
        <v>3</v>
      </c>
      <c r="G3819" s="369">
        <f>VLOOKUP(C3819,METADATA!$J$5:$Q$29,IF(E3819="HI",2,IF(E3819="LO",6,10))+IF(D3819=1,2,IF(D3819=7,1,(IF(WEEKDAY(B3819)=1,2,IF(WEEKDAY(B3819)=7,1,0))))))</f>
        <v>3</v>
      </c>
      <c r="H3819" s="370">
        <v>11541.224853515625</v>
      </c>
      <c r="I3819" s="370">
        <v>3359.85498046875</v>
      </c>
      <c r="M3819" s="371">
        <f t="shared" si="237"/>
        <v>12020.336792668808</v>
      </c>
      <c r="N3819" s="329">
        <f t="shared" si="238"/>
        <v>0</v>
      </c>
      <c r="T3819" s="331">
        <v>0</v>
      </c>
      <c r="U3819" s="328">
        <f>VLOOKUP(C3819,METADATA!$J$5:$Q$29,IF(E3819="HI",2,IF(E3819="LO",6,10))+IF(T3819=1,2,IF(D3819=7,1,(IF(WEEKDAY(B3819)=1,2,IF(WEEKDAY(B3819)=7,1,0))))))</f>
        <v>3</v>
      </c>
      <c r="V3819" s="328">
        <f>VLOOKUP(C3819,METADATA!$A$5:$H$29,IF(E3819="HI",2,IF(E3819="LO",6,10))+IF(T3819=1,2,IF(D3819=7,1,(IF(WEEKDAY(B3819)=1,2,IF(WEEKDAY(B3819)=7,1,0))))))</f>
        <v>3</v>
      </c>
    </row>
    <row r="3820" spans="2:22">
      <c r="B3820" s="318">
        <f t="shared" si="239"/>
        <v>46272</v>
      </c>
      <c r="C3820" s="312">
        <v>0</v>
      </c>
      <c r="D3820" s="368">
        <f>IFERROR((INDEX(METADATA!$T$2:$T$20,MATCH(B3820,METADATA!$S$2:$S$20,0))),0)</f>
        <v>0</v>
      </c>
      <c r="E3820" s="312" t="str">
        <f t="shared" si="236"/>
        <v>LO</v>
      </c>
      <c r="F3820" s="369">
        <f>VLOOKUP(C3820,METADATA!$A$5:$H$29,IF(E3820="HI",2,IF(E3820="LO",6,10))+IF(D3820=1,2,IF(D3820=7,1,(IF(WEEKDAY(B3820)=1,2,IF(WEEKDAY(B3820)=7,1,0))))))</f>
        <v>3</v>
      </c>
      <c r="G3820" s="369">
        <f>VLOOKUP(C3820,METADATA!$J$5:$Q$29,IF(E3820="HI",2,IF(E3820="LO",6,10))+IF(D3820=1,2,IF(D3820=7,1,(IF(WEEKDAY(B3820)=1,2,IF(WEEKDAY(B3820)=7,1,0))))))</f>
        <v>3</v>
      </c>
      <c r="H3820" s="370">
        <v>13419.275146484375</v>
      </c>
      <c r="I3820" s="370">
        <v>4476.5199584960938</v>
      </c>
      <c r="M3820" s="371">
        <f t="shared" si="237"/>
        <v>14146.242483283932</v>
      </c>
      <c r="N3820" s="329">
        <f t="shared" si="238"/>
        <v>450.73741455078152</v>
      </c>
      <c r="T3820" s="331">
        <v>0</v>
      </c>
      <c r="U3820" s="328">
        <f>VLOOKUP(C3820,METADATA!$J$5:$Q$29,IF(E3820="HI",2,IF(E3820="LO",6,10))+IF(T3820=1,2,IF(D3820=7,1,(IF(WEEKDAY(B3820)=1,2,IF(WEEKDAY(B3820)=7,1,0))))))</f>
        <v>3</v>
      </c>
      <c r="V3820" s="328">
        <f>VLOOKUP(C3820,METADATA!$A$5:$H$29,IF(E3820="HI",2,IF(E3820="LO",6,10))+IF(T3820=1,2,IF(D3820=7,1,(IF(WEEKDAY(B3820)=1,2,IF(WEEKDAY(B3820)=7,1,0))))))</f>
        <v>3</v>
      </c>
    </row>
    <row r="3821" spans="2:22">
      <c r="B3821" s="318">
        <f t="shared" si="239"/>
        <v>46272</v>
      </c>
      <c r="C3821" s="312">
        <v>1</v>
      </c>
      <c r="D3821" s="368">
        <f>IFERROR((INDEX(METADATA!$T$2:$T$20,MATCH(B3821,METADATA!$S$2:$S$20,0))),0)</f>
        <v>0</v>
      </c>
      <c r="E3821" s="312" t="str">
        <f t="shared" si="236"/>
        <v>LO</v>
      </c>
      <c r="F3821" s="369">
        <f>VLOOKUP(C3821,METADATA!$A$5:$H$29,IF(E3821="HI",2,IF(E3821="LO",6,10))+IF(D3821=1,2,IF(D3821=7,1,(IF(WEEKDAY(B3821)=1,2,IF(WEEKDAY(B3821)=7,1,0))))))</f>
        <v>3</v>
      </c>
      <c r="G3821" s="369">
        <f>VLOOKUP(C3821,METADATA!$J$5:$Q$29,IF(E3821="HI",2,IF(E3821="LO",6,10))+IF(D3821=1,2,IF(D3821=7,1,(IF(WEEKDAY(B3821)=1,2,IF(WEEKDAY(B3821)=7,1,0))))))</f>
        <v>3</v>
      </c>
      <c r="H3821" s="370">
        <v>13397.712280273438</v>
      </c>
      <c r="I3821" s="370">
        <v>4483.614990234375</v>
      </c>
      <c r="M3821" s="371">
        <f t="shared" si="237"/>
        <v>14128.039415490179</v>
      </c>
      <c r="N3821" s="329">
        <f t="shared" si="238"/>
        <v>464.30130615234384</v>
      </c>
      <c r="T3821" s="331">
        <v>0</v>
      </c>
      <c r="U3821" s="328">
        <f>VLOOKUP(C3821,METADATA!$J$5:$Q$29,IF(E3821="HI",2,IF(E3821="LO",6,10))+IF(T3821=1,2,IF(D3821=7,1,(IF(WEEKDAY(B3821)=1,2,IF(WEEKDAY(B3821)=7,1,0))))))</f>
        <v>3</v>
      </c>
      <c r="V3821" s="328">
        <f>VLOOKUP(C3821,METADATA!$A$5:$H$29,IF(E3821="HI",2,IF(E3821="LO",6,10))+IF(T3821=1,2,IF(D3821=7,1,(IF(WEEKDAY(B3821)=1,2,IF(WEEKDAY(B3821)=7,1,0))))))</f>
        <v>3</v>
      </c>
    </row>
    <row r="3822" spans="2:22">
      <c r="B3822" s="318">
        <f t="shared" si="239"/>
        <v>46272</v>
      </c>
      <c r="C3822" s="312">
        <v>2</v>
      </c>
      <c r="D3822" s="368">
        <f>IFERROR((INDEX(METADATA!$T$2:$T$20,MATCH(B3822,METADATA!$S$2:$S$20,0))),0)</f>
        <v>0</v>
      </c>
      <c r="E3822" s="312" t="str">
        <f t="shared" si="236"/>
        <v>LO</v>
      </c>
      <c r="F3822" s="369">
        <f>VLOOKUP(C3822,METADATA!$A$5:$H$29,IF(E3822="HI",2,IF(E3822="LO",6,10))+IF(D3822=1,2,IF(D3822=7,1,(IF(WEEKDAY(B3822)=1,2,IF(WEEKDAY(B3822)=7,1,0))))))</f>
        <v>3</v>
      </c>
      <c r="G3822" s="369">
        <f>VLOOKUP(C3822,METADATA!$J$5:$Q$29,IF(E3822="HI",2,IF(E3822="LO",6,10))+IF(D3822=1,2,IF(D3822=7,1,(IF(WEEKDAY(B3822)=1,2,IF(WEEKDAY(B3822)=7,1,0))))))</f>
        <v>3</v>
      </c>
      <c r="H3822" s="370">
        <v>13396.4501953125</v>
      </c>
      <c r="I3822" s="370">
        <v>4304.6900024414063</v>
      </c>
      <c r="M3822" s="371">
        <f t="shared" si="237"/>
        <v>14071.077920778042</v>
      </c>
      <c r="N3822" s="329">
        <f t="shared" si="238"/>
        <v>285.75494384765625</v>
      </c>
      <c r="T3822" s="331">
        <v>0</v>
      </c>
      <c r="U3822" s="328">
        <f>VLOOKUP(C3822,METADATA!$J$5:$Q$29,IF(E3822="HI",2,IF(E3822="LO",6,10))+IF(T3822=1,2,IF(D3822=7,1,(IF(WEEKDAY(B3822)=1,2,IF(WEEKDAY(B3822)=7,1,0))))))</f>
        <v>3</v>
      </c>
      <c r="V3822" s="328">
        <f>VLOOKUP(C3822,METADATA!$A$5:$H$29,IF(E3822="HI",2,IF(E3822="LO",6,10))+IF(T3822=1,2,IF(D3822=7,1,(IF(WEEKDAY(B3822)=1,2,IF(WEEKDAY(B3822)=7,1,0))))))</f>
        <v>3</v>
      </c>
    </row>
    <row r="3823" spans="2:22">
      <c r="B3823" s="318">
        <f t="shared" si="239"/>
        <v>46272</v>
      </c>
      <c r="C3823" s="312">
        <v>3</v>
      </c>
      <c r="D3823" s="368">
        <f>IFERROR((INDEX(METADATA!$T$2:$T$20,MATCH(B3823,METADATA!$S$2:$S$20,0))),0)</f>
        <v>0</v>
      </c>
      <c r="E3823" s="312" t="str">
        <f t="shared" si="236"/>
        <v>LO</v>
      </c>
      <c r="F3823" s="369">
        <f>VLOOKUP(C3823,METADATA!$A$5:$H$29,IF(E3823="HI",2,IF(E3823="LO",6,10))+IF(D3823=1,2,IF(D3823=7,1,(IF(WEEKDAY(B3823)=1,2,IF(WEEKDAY(B3823)=7,1,0))))))</f>
        <v>3</v>
      </c>
      <c r="G3823" s="369">
        <f>VLOOKUP(C3823,METADATA!$J$5:$Q$29,IF(E3823="HI",2,IF(E3823="LO",6,10))+IF(D3823=1,2,IF(D3823=7,1,(IF(WEEKDAY(B3823)=1,2,IF(WEEKDAY(B3823)=7,1,0))))))</f>
        <v>3</v>
      </c>
      <c r="H3823" s="370">
        <v>13361.024841308594</v>
      </c>
      <c r="I3823" s="370">
        <v>4232.2600708007813</v>
      </c>
      <c r="M3823" s="371">
        <f t="shared" si="237"/>
        <v>14015.313414867323</v>
      </c>
      <c r="N3823" s="329">
        <f t="shared" si="238"/>
        <v>223.95261840820331</v>
      </c>
      <c r="T3823" s="331">
        <v>0</v>
      </c>
      <c r="U3823" s="328">
        <f>VLOOKUP(C3823,METADATA!$J$5:$Q$29,IF(E3823="HI",2,IF(E3823="LO",6,10))+IF(T3823=1,2,IF(D3823=7,1,(IF(WEEKDAY(B3823)=1,2,IF(WEEKDAY(B3823)=7,1,0))))))</f>
        <v>3</v>
      </c>
      <c r="V3823" s="328">
        <f>VLOOKUP(C3823,METADATA!$A$5:$H$29,IF(E3823="HI",2,IF(E3823="LO",6,10))+IF(T3823=1,2,IF(D3823=7,1,(IF(WEEKDAY(B3823)=1,2,IF(WEEKDAY(B3823)=7,1,0))))))</f>
        <v>3</v>
      </c>
    </row>
    <row r="3824" spans="2:22">
      <c r="B3824" s="318">
        <f t="shared" si="239"/>
        <v>46272</v>
      </c>
      <c r="C3824" s="312">
        <v>4</v>
      </c>
      <c r="D3824" s="368">
        <f>IFERROR((INDEX(METADATA!$T$2:$T$20,MATCH(B3824,METADATA!$S$2:$S$20,0))),0)</f>
        <v>0</v>
      </c>
      <c r="E3824" s="312" t="str">
        <f t="shared" si="236"/>
        <v>LO</v>
      </c>
      <c r="F3824" s="369">
        <f>VLOOKUP(C3824,METADATA!$A$5:$H$29,IF(E3824="HI",2,IF(E3824="LO",6,10))+IF(D3824=1,2,IF(D3824=7,1,(IF(WEEKDAY(B3824)=1,2,IF(WEEKDAY(B3824)=7,1,0))))))</f>
        <v>3</v>
      </c>
      <c r="G3824" s="369">
        <f>VLOOKUP(C3824,METADATA!$J$5:$Q$29,IF(E3824="HI",2,IF(E3824="LO",6,10))+IF(D3824=1,2,IF(D3824=7,1,(IF(WEEKDAY(B3824)=1,2,IF(WEEKDAY(B3824)=7,1,0))))))</f>
        <v>3</v>
      </c>
      <c r="H3824" s="370">
        <v>13353.9248046875</v>
      </c>
      <c r="I3824" s="370">
        <v>4218.1449890136719</v>
      </c>
      <c r="M3824" s="371">
        <f t="shared" si="237"/>
        <v>14004.287016395701</v>
      </c>
      <c r="N3824" s="329">
        <f t="shared" si="238"/>
        <v>211.96754760742215</v>
      </c>
      <c r="T3824" s="331">
        <v>0</v>
      </c>
      <c r="U3824" s="328">
        <f>VLOOKUP(C3824,METADATA!$J$5:$Q$29,IF(E3824="HI",2,IF(E3824="LO",6,10))+IF(T3824=1,2,IF(D3824=7,1,(IF(WEEKDAY(B3824)=1,2,IF(WEEKDAY(B3824)=7,1,0))))))</f>
        <v>3</v>
      </c>
      <c r="V3824" s="328">
        <f>VLOOKUP(C3824,METADATA!$A$5:$H$29,IF(E3824="HI",2,IF(E3824="LO",6,10))+IF(T3824=1,2,IF(D3824=7,1,(IF(WEEKDAY(B3824)=1,2,IF(WEEKDAY(B3824)=7,1,0))))))</f>
        <v>3</v>
      </c>
    </row>
    <row r="3825" spans="2:22">
      <c r="B3825" s="318">
        <f t="shared" si="239"/>
        <v>46272</v>
      </c>
      <c r="C3825" s="312">
        <v>5</v>
      </c>
      <c r="D3825" s="368">
        <f>IFERROR((INDEX(METADATA!$T$2:$T$20,MATCH(B3825,METADATA!$S$2:$S$20,0))),0)</f>
        <v>0</v>
      </c>
      <c r="E3825" s="312" t="str">
        <f t="shared" si="236"/>
        <v>LO</v>
      </c>
      <c r="F3825" s="369">
        <f>VLOOKUP(C3825,METADATA!$A$5:$H$29,IF(E3825="HI",2,IF(E3825="LO",6,10))+IF(D3825=1,2,IF(D3825=7,1,(IF(WEEKDAY(B3825)=1,2,IF(WEEKDAY(B3825)=7,1,0))))))</f>
        <v>3</v>
      </c>
      <c r="G3825" s="369">
        <f>VLOOKUP(C3825,METADATA!$J$5:$Q$29,IF(E3825="HI",2,IF(E3825="LO",6,10))+IF(D3825=1,2,IF(D3825=7,1,(IF(WEEKDAY(B3825)=1,2,IF(WEEKDAY(B3825)=7,1,0))))))</f>
        <v>3</v>
      </c>
      <c r="H3825" s="370">
        <v>13348.199951171875</v>
      </c>
      <c r="I3825" s="370">
        <v>4127.9999694824219</v>
      </c>
      <c r="M3825" s="371">
        <f t="shared" si="237"/>
        <v>13971.929919825383</v>
      </c>
      <c r="N3825" s="329">
        <f t="shared" si="238"/>
        <v>123.53998413085947</v>
      </c>
      <c r="T3825" s="331">
        <v>0</v>
      </c>
      <c r="U3825" s="328">
        <f>VLOOKUP(C3825,METADATA!$J$5:$Q$29,IF(E3825="HI",2,IF(E3825="LO",6,10))+IF(T3825=1,2,IF(D3825=7,1,(IF(WEEKDAY(B3825)=1,2,IF(WEEKDAY(B3825)=7,1,0))))))</f>
        <v>3</v>
      </c>
      <c r="V3825" s="328">
        <f>VLOOKUP(C3825,METADATA!$A$5:$H$29,IF(E3825="HI",2,IF(E3825="LO",6,10))+IF(T3825=1,2,IF(D3825=7,1,(IF(WEEKDAY(B3825)=1,2,IF(WEEKDAY(B3825)=7,1,0))))))</f>
        <v>3</v>
      </c>
    </row>
    <row r="3826" spans="2:22">
      <c r="B3826" s="318">
        <f t="shared" si="239"/>
        <v>46272</v>
      </c>
      <c r="C3826" s="312">
        <v>6</v>
      </c>
      <c r="D3826" s="368">
        <f>IFERROR((INDEX(METADATA!$T$2:$T$20,MATCH(B3826,METADATA!$S$2:$S$20,0))),0)</f>
        <v>0</v>
      </c>
      <c r="E3826" s="312" t="str">
        <f t="shared" si="236"/>
        <v>LO</v>
      </c>
      <c r="F3826" s="369">
        <f>VLOOKUP(C3826,METADATA!$A$5:$H$29,IF(E3826="HI",2,IF(E3826="LO",6,10))+IF(D3826=1,2,IF(D3826=7,1,(IF(WEEKDAY(B3826)=1,2,IF(WEEKDAY(B3826)=7,1,0))))))</f>
        <v>2</v>
      </c>
      <c r="G3826" s="369">
        <f>VLOOKUP(C3826,METADATA!$J$5:$Q$29,IF(E3826="HI",2,IF(E3826="LO",6,10))+IF(D3826=1,2,IF(D3826=7,1,(IF(WEEKDAY(B3826)=1,2,IF(WEEKDAY(B3826)=7,1,0))))))</f>
        <v>2</v>
      </c>
      <c r="H3826" s="370">
        <v>13326.425170898438</v>
      </c>
      <c r="I3826" s="370">
        <v>4065.3099670410156</v>
      </c>
      <c r="M3826" s="371">
        <f t="shared" si="237"/>
        <v>13932.708026929957</v>
      </c>
      <c r="N3826" s="329">
        <f t="shared" si="238"/>
        <v>67.382415771484375</v>
      </c>
      <c r="T3826" s="331">
        <v>0</v>
      </c>
      <c r="U3826" s="328">
        <f>VLOOKUP(C3826,METADATA!$J$5:$Q$29,IF(E3826="HI",2,IF(E3826="LO",6,10))+IF(T3826=1,2,IF(D3826=7,1,(IF(WEEKDAY(B3826)=1,2,IF(WEEKDAY(B3826)=7,1,0))))))</f>
        <v>2</v>
      </c>
      <c r="V3826" s="328">
        <f>VLOOKUP(C3826,METADATA!$A$5:$H$29,IF(E3826="HI",2,IF(E3826="LO",6,10))+IF(T3826=1,2,IF(D3826=7,1,(IF(WEEKDAY(B3826)=1,2,IF(WEEKDAY(B3826)=7,1,0))))))</f>
        <v>2</v>
      </c>
    </row>
    <row r="3827" spans="2:22">
      <c r="B3827" s="318">
        <f t="shared" si="239"/>
        <v>46272</v>
      </c>
      <c r="C3827" s="312">
        <v>7</v>
      </c>
      <c r="D3827" s="368">
        <f>IFERROR((INDEX(METADATA!$T$2:$T$20,MATCH(B3827,METADATA!$S$2:$S$20,0))),0)</f>
        <v>0</v>
      </c>
      <c r="E3827" s="312" t="str">
        <f t="shared" si="236"/>
        <v>LO</v>
      </c>
      <c r="F3827" s="369">
        <f>VLOOKUP(C3827,METADATA!$A$5:$H$29,IF(E3827="HI",2,IF(E3827="LO",6,10))+IF(D3827=1,2,IF(D3827=7,1,(IF(WEEKDAY(B3827)=1,2,IF(WEEKDAY(B3827)=7,1,0))))))</f>
        <v>1</v>
      </c>
      <c r="G3827" s="369">
        <f>VLOOKUP(C3827,METADATA!$J$5:$Q$29,IF(E3827="HI",2,IF(E3827="LO",6,10))+IF(D3827=1,2,IF(D3827=7,1,(IF(WEEKDAY(B3827)=1,2,IF(WEEKDAY(B3827)=7,1,0))))))</f>
        <v>1</v>
      </c>
      <c r="H3827" s="370">
        <v>13361</v>
      </c>
      <c r="I3827" s="370">
        <v>4238.5250244140625</v>
      </c>
      <c r="M3827" s="371">
        <f t="shared" si="237"/>
        <v>14017.182861851528</v>
      </c>
      <c r="N3827" s="329">
        <f t="shared" si="238"/>
        <v>230.22502441406277</v>
      </c>
      <c r="T3827" s="331">
        <v>0</v>
      </c>
      <c r="U3827" s="328">
        <f>VLOOKUP(C3827,METADATA!$J$5:$Q$29,IF(E3827="HI",2,IF(E3827="LO",6,10))+IF(T3827=1,2,IF(D3827=7,1,(IF(WEEKDAY(B3827)=1,2,IF(WEEKDAY(B3827)=7,1,0))))))</f>
        <v>1</v>
      </c>
      <c r="V3827" s="328">
        <f>VLOOKUP(C3827,METADATA!$A$5:$H$29,IF(E3827="HI",2,IF(E3827="LO",6,10))+IF(T3827=1,2,IF(D3827=7,1,(IF(WEEKDAY(B3827)=1,2,IF(WEEKDAY(B3827)=7,1,0))))))</f>
        <v>1</v>
      </c>
    </row>
    <row r="3828" spans="2:22">
      <c r="B3828" s="318">
        <f t="shared" si="239"/>
        <v>46272</v>
      </c>
      <c r="C3828" s="312">
        <v>8</v>
      </c>
      <c r="D3828" s="368">
        <f>IFERROR((INDEX(METADATA!$T$2:$T$20,MATCH(B3828,METADATA!$S$2:$S$20,0))),0)</f>
        <v>0</v>
      </c>
      <c r="E3828" s="312" t="str">
        <f t="shared" si="236"/>
        <v>LO</v>
      </c>
      <c r="F3828" s="369">
        <f>VLOOKUP(C3828,METADATA!$A$5:$H$29,IF(E3828="HI",2,IF(E3828="LO",6,10))+IF(D3828=1,2,IF(D3828=7,1,(IF(WEEKDAY(B3828)=1,2,IF(WEEKDAY(B3828)=7,1,0))))))</f>
        <v>1</v>
      </c>
      <c r="G3828" s="369">
        <f>VLOOKUP(C3828,METADATA!$J$5:$Q$29,IF(E3828="HI",2,IF(E3828="LO",6,10))+IF(D3828=1,2,IF(D3828=7,1,(IF(WEEKDAY(B3828)=1,2,IF(WEEKDAY(B3828)=7,1,0))))))</f>
        <v>1</v>
      </c>
      <c r="H3828" s="370">
        <v>13426.574890136719</v>
      </c>
      <c r="I3828" s="370">
        <v>4319.1900329589844</v>
      </c>
      <c r="M3828" s="371">
        <f t="shared" si="237"/>
        <v>14104.194972463407</v>
      </c>
      <c r="N3828" s="329">
        <f t="shared" si="238"/>
        <v>291.21756591796884</v>
      </c>
      <c r="T3828" s="331">
        <v>0</v>
      </c>
      <c r="U3828" s="328">
        <f>VLOOKUP(C3828,METADATA!$J$5:$Q$29,IF(E3828="HI",2,IF(E3828="LO",6,10))+IF(T3828=1,2,IF(D3828=7,1,(IF(WEEKDAY(B3828)=1,2,IF(WEEKDAY(B3828)=7,1,0))))))</f>
        <v>1</v>
      </c>
      <c r="V3828" s="328">
        <f>VLOOKUP(C3828,METADATA!$A$5:$H$29,IF(E3828="HI",2,IF(E3828="LO",6,10))+IF(T3828=1,2,IF(D3828=7,1,(IF(WEEKDAY(B3828)=1,2,IF(WEEKDAY(B3828)=7,1,0))))))</f>
        <v>1</v>
      </c>
    </row>
    <row r="3829" spans="2:22">
      <c r="B3829" s="318">
        <f t="shared" si="239"/>
        <v>46272</v>
      </c>
      <c r="C3829" s="312">
        <v>9</v>
      </c>
      <c r="D3829" s="368">
        <f>IFERROR((INDEX(METADATA!$T$2:$T$20,MATCH(B3829,METADATA!$S$2:$S$20,0))),0)</f>
        <v>0</v>
      </c>
      <c r="E3829" s="312" t="str">
        <f t="shared" si="236"/>
        <v>LO</v>
      </c>
      <c r="F3829" s="369">
        <f>VLOOKUP(C3829,METADATA!$A$5:$H$29,IF(E3829="HI",2,IF(E3829="LO",6,10))+IF(D3829=1,2,IF(D3829=7,1,(IF(WEEKDAY(B3829)=1,2,IF(WEEKDAY(B3829)=7,1,0))))))</f>
        <v>2</v>
      </c>
      <c r="G3829" s="369">
        <f>VLOOKUP(C3829,METADATA!$J$5:$Q$29,IF(E3829="HI",2,IF(E3829="LO",6,10))+IF(D3829=1,2,IF(D3829=7,1,(IF(WEEKDAY(B3829)=1,2,IF(WEEKDAY(B3829)=7,1,0))))))</f>
        <v>2</v>
      </c>
      <c r="H3829" s="370">
        <v>13371.025207519531</v>
      </c>
      <c r="I3829" s="370">
        <v>4301.9800109863281</v>
      </c>
      <c r="M3829" s="371">
        <f t="shared" si="237"/>
        <v>14046.043824331769</v>
      </c>
      <c r="N3829" s="329">
        <f t="shared" si="238"/>
        <v>290.67244873046911</v>
      </c>
      <c r="T3829" s="331">
        <v>0</v>
      </c>
      <c r="U3829" s="328">
        <f>VLOOKUP(C3829,METADATA!$J$5:$Q$29,IF(E3829="HI",2,IF(E3829="LO",6,10))+IF(T3829=1,2,IF(D3829=7,1,(IF(WEEKDAY(B3829)=1,2,IF(WEEKDAY(B3829)=7,1,0))))))</f>
        <v>2</v>
      </c>
      <c r="V3829" s="328">
        <f>VLOOKUP(C3829,METADATA!$A$5:$H$29,IF(E3829="HI",2,IF(E3829="LO",6,10))+IF(T3829=1,2,IF(D3829=7,1,(IF(WEEKDAY(B3829)=1,2,IF(WEEKDAY(B3829)=7,1,0))))))</f>
        <v>2</v>
      </c>
    </row>
    <row r="3830" spans="2:22">
      <c r="B3830" s="318">
        <f t="shared" si="239"/>
        <v>46272</v>
      </c>
      <c r="C3830" s="312">
        <v>10</v>
      </c>
      <c r="D3830" s="368">
        <f>IFERROR((INDEX(METADATA!$T$2:$T$20,MATCH(B3830,METADATA!$S$2:$S$20,0))),0)</f>
        <v>0</v>
      </c>
      <c r="E3830" s="312" t="str">
        <f t="shared" si="236"/>
        <v>LO</v>
      </c>
      <c r="F3830" s="369">
        <f>VLOOKUP(C3830,METADATA!$A$5:$H$29,IF(E3830="HI",2,IF(E3830="LO",6,10))+IF(D3830=1,2,IF(D3830=7,1,(IF(WEEKDAY(B3830)=1,2,IF(WEEKDAY(B3830)=7,1,0))))))</f>
        <v>2</v>
      </c>
      <c r="G3830" s="369">
        <f>VLOOKUP(C3830,METADATA!$J$5:$Q$29,IF(E3830="HI",2,IF(E3830="LO",6,10))+IF(D3830=1,2,IF(D3830=7,1,(IF(WEEKDAY(B3830)=1,2,IF(WEEKDAY(B3830)=7,1,0))))))</f>
        <v>2</v>
      </c>
      <c r="H3830" s="370">
        <v>13449.949645996094</v>
      </c>
      <c r="I3830" s="370">
        <v>4270.719970703125</v>
      </c>
      <c r="M3830" s="371">
        <f t="shared" si="237"/>
        <v>14111.704168809412</v>
      </c>
      <c r="N3830" s="329">
        <f t="shared" si="238"/>
        <v>235.73507690429688</v>
      </c>
      <c r="T3830" s="331">
        <v>0</v>
      </c>
      <c r="U3830" s="328">
        <f>VLOOKUP(C3830,METADATA!$J$5:$Q$29,IF(E3830="HI",2,IF(E3830="LO",6,10))+IF(T3830=1,2,IF(D3830=7,1,(IF(WEEKDAY(B3830)=1,2,IF(WEEKDAY(B3830)=7,1,0))))))</f>
        <v>2</v>
      </c>
      <c r="V3830" s="328">
        <f>VLOOKUP(C3830,METADATA!$A$5:$H$29,IF(E3830="HI",2,IF(E3830="LO",6,10))+IF(T3830=1,2,IF(D3830=7,1,(IF(WEEKDAY(B3830)=1,2,IF(WEEKDAY(B3830)=7,1,0))))))</f>
        <v>2</v>
      </c>
    </row>
    <row r="3831" spans="2:22">
      <c r="B3831" s="318">
        <f t="shared" si="239"/>
        <v>46272</v>
      </c>
      <c r="C3831" s="312">
        <v>11</v>
      </c>
      <c r="D3831" s="368">
        <f>IFERROR((INDEX(METADATA!$T$2:$T$20,MATCH(B3831,METADATA!$S$2:$S$20,0))),0)</f>
        <v>0</v>
      </c>
      <c r="E3831" s="312" t="str">
        <f t="shared" si="236"/>
        <v>LO</v>
      </c>
      <c r="F3831" s="369">
        <f>VLOOKUP(C3831,METADATA!$A$5:$H$29,IF(E3831="HI",2,IF(E3831="LO",6,10))+IF(D3831=1,2,IF(D3831=7,1,(IF(WEEKDAY(B3831)=1,2,IF(WEEKDAY(B3831)=7,1,0))))))</f>
        <v>2</v>
      </c>
      <c r="G3831" s="369">
        <f>VLOOKUP(C3831,METADATA!$J$5:$Q$29,IF(E3831="HI",2,IF(E3831="LO",6,10))+IF(D3831=1,2,IF(D3831=7,1,(IF(WEEKDAY(B3831)=1,2,IF(WEEKDAY(B3831)=7,1,0))))))</f>
        <v>2</v>
      </c>
      <c r="H3831" s="370">
        <v>13334.725036621094</v>
      </c>
      <c r="I3831" s="370">
        <v>4196.5399475097656</v>
      </c>
      <c r="M3831" s="371">
        <f t="shared" si="237"/>
        <v>13979.479222536678</v>
      </c>
      <c r="N3831" s="329">
        <f t="shared" si="238"/>
        <v>196.1224365234375</v>
      </c>
      <c r="T3831" s="331">
        <v>0</v>
      </c>
      <c r="U3831" s="328">
        <f>VLOOKUP(C3831,METADATA!$J$5:$Q$29,IF(E3831="HI",2,IF(E3831="LO",6,10))+IF(T3831=1,2,IF(D3831=7,1,(IF(WEEKDAY(B3831)=1,2,IF(WEEKDAY(B3831)=7,1,0))))))</f>
        <v>2</v>
      </c>
      <c r="V3831" s="328">
        <f>VLOOKUP(C3831,METADATA!$A$5:$H$29,IF(E3831="HI",2,IF(E3831="LO",6,10))+IF(T3831=1,2,IF(D3831=7,1,(IF(WEEKDAY(B3831)=1,2,IF(WEEKDAY(B3831)=7,1,0))))))</f>
        <v>2</v>
      </c>
    </row>
    <row r="3832" spans="2:22">
      <c r="B3832" s="318">
        <f t="shared" si="239"/>
        <v>46272</v>
      </c>
      <c r="C3832" s="312">
        <v>12</v>
      </c>
      <c r="D3832" s="368">
        <f>IFERROR((INDEX(METADATA!$T$2:$T$20,MATCH(B3832,METADATA!$S$2:$S$20,0))),0)</f>
        <v>0</v>
      </c>
      <c r="E3832" s="312" t="str">
        <f t="shared" si="236"/>
        <v>LO</v>
      </c>
      <c r="F3832" s="369">
        <f>VLOOKUP(C3832,METADATA!$A$5:$H$29,IF(E3832="HI",2,IF(E3832="LO",6,10))+IF(D3832=1,2,IF(D3832=7,1,(IF(WEEKDAY(B3832)=1,2,IF(WEEKDAY(B3832)=7,1,0))))))</f>
        <v>2</v>
      </c>
      <c r="G3832" s="369">
        <f>VLOOKUP(C3832,METADATA!$J$5:$Q$29,IF(E3832="HI",2,IF(E3832="LO",6,10))+IF(D3832=1,2,IF(D3832=7,1,(IF(WEEKDAY(B3832)=1,2,IF(WEEKDAY(B3832)=7,1,0))))))</f>
        <v>2</v>
      </c>
      <c r="H3832" s="370">
        <v>13276.874877929688</v>
      </c>
      <c r="I3832" s="370">
        <v>4191.5048828125</v>
      </c>
      <c r="M3832" s="371">
        <f t="shared" si="237"/>
        <v>13922.791376259342</v>
      </c>
      <c r="N3832" s="329">
        <f t="shared" si="238"/>
        <v>208.44241943359384</v>
      </c>
      <c r="T3832" s="331">
        <v>0</v>
      </c>
      <c r="U3832" s="328">
        <f>VLOOKUP(C3832,METADATA!$J$5:$Q$29,IF(E3832="HI",2,IF(E3832="LO",6,10))+IF(T3832=1,2,IF(D3832=7,1,(IF(WEEKDAY(B3832)=1,2,IF(WEEKDAY(B3832)=7,1,0))))))</f>
        <v>2</v>
      </c>
      <c r="V3832" s="328">
        <f>VLOOKUP(C3832,METADATA!$A$5:$H$29,IF(E3832="HI",2,IF(E3832="LO",6,10))+IF(T3832=1,2,IF(D3832=7,1,(IF(WEEKDAY(B3832)=1,2,IF(WEEKDAY(B3832)=7,1,0))))))</f>
        <v>2</v>
      </c>
    </row>
    <row r="3833" spans="2:22">
      <c r="B3833" s="318">
        <f t="shared" si="239"/>
        <v>46272</v>
      </c>
      <c r="C3833" s="312">
        <v>13</v>
      </c>
      <c r="D3833" s="368">
        <f>IFERROR((INDEX(METADATA!$T$2:$T$20,MATCH(B3833,METADATA!$S$2:$S$20,0))),0)</f>
        <v>0</v>
      </c>
      <c r="E3833" s="312" t="str">
        <f t="shared" si="236"/>
        <v>LO</v>
      </c>
      <c r="F3833" s="369">
        <f>VLOOKUP(C3833,METADATA!$A$5:$H$29,IF(E3833="HI",2,IF(E3833="LO",6,10))+IF(D3833=1,2,IF(D3833=7,1,(IF(WEEKDAY(B3833)=1,2,IF(WEEKDAY(B3833)=7,1,0))))))</f>
        <v>2</v>
      </c>
      <c r="G3833" s="369">
        <f>VLOOKUP(C3833,METADATA!$J$5:$Q$29,IF(E3833="HI",2,IF(E3833="LO",6,10))+IF(D3833=1,2,IF(D3833=7,1,(IF(WEEKDAY(B3833)=1,2,IF(WEEKDAY(B3833)=7,1,0))))))</f>
        <v>2</v>
      </c>
      <c r="H3833" s="370">
        <v>13172.699829101563</v>
      </c>
      <c r="I3833" s="370">
        <v>4478.0249328613281</v>
      </c>
      <c r="M3833" s="371">
        <f t="shared" si="237"/>
        <v>13913.041654754723</v>
      </c>
      <c r="N3833" s="329">
        <f t="shared" si="238"/>
        <v>526.21498413085965</v>
      </c>
      <c r="T3833" s="331">
        <v>0</v>
      </c>
      <c r="U3833" s="328">
        <f>VLOOKUP(C3833,METADATA!$J$5:$Q$29,IF(E3833="HI",2,IF(E3833="LO",6,10))+IF(T3833=1,2,IF(D3833=7,1,(IF(WEEKDAY(B3833)=1,2,IF(WEEKDAY(B3833)=7,1,0))))))</f>
        <v>2</v>
      </c>
      <c r="V3833" s="328">
        <f>VLOOKUP(C3833,METADATA!$A$5:$H$29,IF(E3833="HI",2,IF(E3833="LO",6,10))+IF(T3833=1,2,IF(D3833=7,1,(IF(WEEKDAY(B3833)=1,2,IF(WEEKDAY(B3833)=7,1,0))))))</f>
        <v>2</v>
      </c>
    </row>
    <row r="3834" spans="2:22">
      <c r="B3834" s="318">
        <f t="shared" si="239"/>
        <v>46272</v>
      </c>
      <c r="C3834" s="312">
        <v>14</v>
      </c>
      <c r="D3834" s="368">
        <f>IFERROR((INDEX(METADATA!$T$2:$T$20,MATCH(B3834,METADATA!$S$2:$S$20,0))),0)</f>
        <v>0</v>
      </c>
      <c r="E3834" s="312" t="str">
        <f t="shared" si="236"/>
        <v>LO</v>
      </c>
      <c r="F3834" s="369">
        <f>VLOOKUP(C3834,METADATA!$A$5:$H$29,IF(E3834="HI",2,IF(E3834="LO",6,10))+IF(D3834=1,2,IF(D3834=7,1,(IF(WEEKDAY(B3834)=1,2,IF(WEEKDAY(B3834)=7,1,0))))))</f>
        <v>2</v>
      </c>
      <c r="G3834" s="369">
        <f>VLOOKUP(C3834,METADATA!$J$5:$Q$29,IF(E3834="HI",2,IF(E3834="LO",6,10))+IF(D3834=1,2,IF(D3834=7,1,(IF(WEEKDAY(B3834)=1,2,IF(WEEKDAY(B3834)=7,1,0))))))</f>
        <v>2</v>
      </c>
      <c r="H3834" s="370">
        <v>11954.52490234375</v>
      </c>
      <c r="I3834" s="370">
        <v>3720.0750427246094</v>
      </c>
      <c r="M3834" s="371">
        <f t="shared" si="237"/>
        <v>12519.969008118964</v>
      </c>
      <c r="N3834" s="329">
        <f t="shared" si="238"/>
        <v>133.71757202148456</v>
      </c>
      <c r="T3834" s="331">
        <v>0</v>
      </c>
      <c r="U3834" s="328">
        <f>VLOOKUP(C3834,METADATA!$J$5:$Q$29,IF(E3834="HI",2,IF(E3834="LO",6,10))+IF(T3834=1,2,IF(D3834=7,1,(IF(WEEKDAY(B3834)=1,2,IF(WEEKDAY(B3834)=7,1,0))))))</f>
        <v>2</v>
      </c>
      <c r="V3834" s="328">
        <f>VLOOKUP(C3834,METADATA!$A$5:$H$29,IF(E3834="HI",2,IF(E3834="LO",6,10))+IF(T3834=1,2,IF(D3834=7,1,(IF(WEEKDAY(B3834)=1,2,IF(WEEKDAY(B3834)=7,1,0))))))</f>
        <v>2</v>
      </c>
    </row>
    <row r="3835" spans="2:22">
      <c r="B3835" s="318">
        <f t="shared" si="239"/>
        <v>46272</v>
      </c>
      <c r="C3835" s="312">
        <v>15</v>
      </c>
      <c r="D3835" s="368">
        <f>IFERROR((INDEX(METADATA!$T$2:$T$20,MATCH(B3835,METADATA!$S$2:$S$20,0))),0)</f>
        <v>0</v>
      </c>
      <c r="E3835" s="312" t="str">
        <f t="shared" si="236"/>
        <v>LO</v>
      </c>
      <c r="F3835" s="369">
        <f>VLOOKUP(C3835,METADATA!$A$5:$H$29,IF(E3835="HI",2,IF(E3835="LO",6,10))+IF(D3835=1,2,IF(D3835=7,1,(IF(WEEKDAY(B3835)=1,2,IF(WEEKDAY(B3835)=7,1,0))))))</f>
        <v>2</v>
      </c>
      <c r="G3835" s="369">
        <f>VLOOKUP(C3835,METADATA!$J$5:$Q$29,IF(E3835="HI",2,IF(E3835="LO",6,10))+IF(D3835=1,2,IF(D3835=7,1,(IF(WEEKDAY(B3835)=1,2,IF(WEEKDAY(B3835)=7,1,0))))))</f>
        <v>2</v>
      </c>
      <c r="H3835" s="370">
        <v>11643.025207519531</v>
      </c>
      <c r="I3835" s="370">
        <v>3374.8800048828125</v>
      </c>
      <c r="M3835" s="371">
        <f t="shared" si="237"/>
        <v>12122.287367914236</v>
      </c>
      <c r="N3835" s="329">
        <f t="shared" si="238"/>
        <v>0</v>
      </c>
      <c r="T3835" s="331">
        <v>0</v>
      </c>
      <c r="U3835" s="328">
        <f>VLOOKUP(C3835,METADATA!$J$5:$Q$29,IF(E3835="HI",2,IF(E3835="LO",6,10))+IF(T3835=1,2,IF(D3835=7,1,(IF(WEEKDAY(B3835)=1,2,IF(WEEKDAY(B3835)=7,1,0))))))</f>
        <v>2</v>
      </c>
      <c r="V3835" s="328">
        <f>VLOOKUP(C3835,METADATA!$A$5:$H$29,IF(E3835="HI",2,IF(E3835="LO",6,10))+IF(T3835=1,2,IF(D3835=7,1,(IF(WEEKDAY(B3835)=1,2,IF(WEEKDAY(B3835)=7,1,0))))))</f>
        <v>2</v>
      </c>
    </row>
    <row r="3836" spans="2:22">
      <c r="B3836" s="318">
        <f t="shared" si="239"/>
        <v>46272</v>
      </c>
      <c r="C3836" s="312">
        <v>16</v>
      </c>
      <c r="D3836" s="368">
        <f>IFERROR((INDEX(METADATA!$T$2:$T$20,MATCH(B3836,METADATA!$S$2:$S$20,0))),0)</f>
        <v>0</v>
      </c>
      <c r="E3836" s="312" t="str">
        <f t="shared" si="236"/>
        <v>LO</v>
      </c>
      <c r="F3836" s="369">
        <f>VLOOKUP(C3836,METADATA!$A$5:$H$29,IF(E3836="HI",2,IF(E3836="LO",6,10))+IF(D3836=1,2,IF(D3836=7,1,(IF(WEEKDAY(B3836)=1,2,IF(WEEKDAY(B3836)=7,1,0))))))</f>
        <v>2</v>
      </c>
      <c r="G3836" s="369">
        <f>VLOOKUP(C3836,METADATA!$J$5:$Q$29,IF(E3836="HI",2,IF(E3836="LO",6,10))+IF(D3836=1,2,IF(D3836=7,1,(IF(WEEKDAY(B3836)=1,2,IF(WEEKDAY(B3836)=7,1,0))))))</f>
        <v>2</v>
      </c>
      <c r="H3836" s="370">
        <v>13028.149658203125</v>
      </c>
      <c r="I3836" s="370">
        <v>4169.3199462890625</v>
      </c>
      <c r="M3836" s="371">
        <f t="shared" si="237"/>
        <v>13679.031849186624</v>
      </c>
      <c r="N3836" s="329">
        <f t="shared" si="238"/>
        <v>260.87504882812527</v>
      </c>
      <c r="T3836" s="331">
        <v>0</v>
      </c>
      <c r="U3836" s="328">
        <f>VLOOKUP(C3836,METADATA!$J$5:$Q$29,IF(E3836="HI",2,IF(E3836="LO",6,10))+IF(T3836=1,2,IF(D3836=7,1,(IF(WEEKDAY(B3836)=1,2,IF(WEEKDAY(B3836)=7,1,0))))))</f>
        <v>2</v>
      </c>
      <c r="V3836" s="328">
        <f>VLOOKUP(C3836,METADATA!$A$5:$H$29,IF(E3836="HI",2,IF(E3836="LO",6,10))+IF(T3836=1,2,IF(D3836=7,1,(IF(WEEKDAY(B3836)=1,2,IF(WEEKDAY(B3836)=7,1,0))))))</f>
        <v>2</v>
      </c>
    </row>
    <row r="3837" spans="2:22">
      <c r="B3837" s="318">
        <f t="shared" si="239"/>
        <v>46272</v>
      </c>
      <c r="C3837" s="312">
        <v>17</v>
      </c>
      <c r="D3837" s="368">
        <f>IFERROR((INDEX(METADATA!$T$2:$T$20,MATCH(B3837,METADATA!$S$2:$S$20,0))),0)</f>
        <v>0</v>
      </c>
      <c r="E3837" s="312" t="str">
        <f t="shared" si="236"/>
        <v>LO</v>
      </c>
      <c r="F3837" s="369">
        <f>VLOOKUP(C3837,METADATA!$A$5:$H$29,IF(E3837="HI",2,IF(E3837="LO",6,10))+IF(D3837=1,2,IF(D3837=7,1,(IF(WEEKDAY(B3837)=1,2,IF(WEEKDAY(B3837)=7,1,0))))))</f>
        <v>2</v>
      </c>
      <c r="G3837" s="369">
        <f>VLOOKUP(C3837,METADATA!$J$5:$Q$29,IF(E3837="HI",2,IF(E3837="LO",6,10))+IF(D3837=1,2,IF(D3837=7,1,(IF(WEEKDAY(B3837)=1,2,IF(WEEKDAY(B3837)=7,1,0))))))</f>
        <v>2</v>
      </c>
      <c r="H3837" s="370">
        <v>13416.4248046875</v>
      </c>
      <c r="I3837" s="370">
        <v>4398.5849304199219</v>
      </c>
      <c r="M3837" s="371">
        <f t="shared" si="237"/>
        <v>14119.065264030451</v>
      </c>
      <c r="N3837" s="329">
        <f t="shared" si="238"/>
        <v>373.65748901367215</v>
      </c>
      <c r="T3837" s="331">
        <v>0</v>
      </c>
      <c r="U3837" s="328">
        <f>VLOOKUP(C3837,METADATA!$J$5:$Q$29,IF(E3837="HI",2,IF(E3837="LO",6,10))+IF(T3837=1,2,IF(D3837=7,1,(IF(WEEKDAY(B3837)=1,2,IF(WEEKDAY(B3837)=7,1,0))))))</f>
        <v>2</v>
      </c>
      <c r="V3837" s="328">
        <f>VLOOKUP(C3837,METADATA!$A$5:$H$29,IF(E3837="HI",2,IF(E3837="LO",6,10))+IF(T3837=1,2,IF(D3837=7,1,(IF(WEEKDAY(B3837)=1,2,IF(WEEKDAY(B3837)=7,1,0))))))</f>
        <v>2</v>
      </c>
    </row>
    <row r="3838" spans="2:22">
      <c r="B3838" s="318">
        <f t="shared" si="239"/>
        <v>46272</v>
      </c>
      <c r="C3838" s="312">
        <v>18</v>
      </c>
      <c r="D3838" s="368">
        <f>IFERROR((INDEX(METADATA!$T$2:$T$20,MATCH(B3838,METADATA!$S$2:$S$20,0))),0)</f>
        <v>0</v>
      </c>
      <c r="E3838" s="312" t="str">
        <f t="shared" si="236"/>
        <v>LO</v>
      </c>
      <c r="F3838" s="369">
        <f>VLOOKUP(C3838,METADATA!$A$5:$H$29,IF(E3838="HI",2,IF(E3838="LO",6,10))+IF(D3838=1,2,IF(D3838=7,1,(IF(WEEKDAY(B3838)=1,2,IF(WEEKDAY(B3838)=7,1,0))))))</f>
        <v>1</v>
      </c>
      <c r="G3838" s="369">
        <f>VLOOKUP(C3838,METADATA!$J$5:$Q$29,IF(E3838="HI",2,IF(E3838="LO",6,10))+IF(D3838=1,2,IF(D3838=7,1,(IF(WEEKDAY(B3838)=1,2,IF(WEEKDAY(B3838)=7,1,0))))))</f>
        <v>1</v>
      </c>
      <c r="H3838" s="370">
        <v>13555.899536132813</v>
      </c>
      <c r="I3838" s="370">
        <v>4382.3349609375</v>
      </c>
      <c r="M3838" s="371">
        <f t="shared" si="237"/>
        <v>14246.658272857563</v>
      </c>
      <c r="N3838" s="329">
        <f t="shared" si="238"/>
        <v>315.56510009765634</v>
      </c>
      <c r="T3838" s="331">
        <v>0</v>
      </c>
      <c r="U3838" s="328">
        <f>VLOOKUP(C3838,METADATA!$J$5:$Q$29,IF(E3838="HI",2,IF(E3838="LO",6,10))+IF(T3838=1,2,IF(D3838=7,1,(IF(WEEKDAY(B3838)=1,2,IF(WEEKDAY(B3838)=7,1,0))))))</f>
        <v>1</v>
      </c>
      <c r="V3838" s="328">
        <f>VLOOKUP(C3838,METADATA!$A$5:$H$29,IF(E3838="HI",2,IF(E3838="LO",6,10))+IF(T3838=1,2,IF(D3838=7,1,(IF(WEEKDAY(B3838)=1,2,IF(WEEKDAY(B3838)=7,1,0))))))</f>
        <v>1</v>
      </c>
    </row>
    <row r="3839" spans="2:22">
      <c r="B3839" s="318">
        <f t="shared" si="239"/>
        <v>46272</v>
      </c>
      <c r="C3839" s="312">
        <v>19</v>
      </c>
      <c r="D3839" s="368">
        <f>IFERROR((INDEX(METADATA!$T$2:$T$20,MATCH(B3839,METADATA!$S$2:$S$20,0))),0)</f>
        <v>0</v>
      </c>
      <c r="E3839" s="312" t="str">
        <f t="shared" si="236"/>
        <v>LO</v>
      </c>
      <c r="F3839" s="369">
        <f>VLOOKUP(C3839,METADATA!$A$5:$H$29,IF(E3839="HI",2,IF(E3839="LO",6,10))+IF(D3839=1,2,IF(D3839=7,1,(IF(WEEKDAY(B3839)=1,2,IF(WEEKDAY(B3839)=7,1,0))))))</f>
        <v>1</v>
      </c>
      <c r="G3839" s="369">
        <f>VLOOKUP(C3839,METADATA!$J$5:$Q$29,IF(E3839="HI",2,IF(E3839="LO",6,10))+IF(D3839=1,2,IF(D3839=7,1,(IF(WEEKDAY(B3839)=1,2,IF(WEEKDAY(B3839)=7,1,0))))))</f>
        <v>1</v>
      </c>
      <c r="H3839" s="370">
        <v>12901.625</v>
      </c>
      <c r="I3839" s="370">
        <v>3919.5350341796875</v>
      </c>
      <c r="M3839" s="371">
        <f t="shared" si="237"/>
        <v>13483.867491368601</v>
      </c>
      <c r="N3839" s="329">
        <f t="shared" si="238"/>
        <v>49.047534179687773</v>
      </c>
      <c r="T3839" s="331">
        <v>0</v>
      </c>
      <c r="U3839" s="328">
        <f>VLOOKUP(C3839,METADATA!$J$5:$Q$29,IF(E3839="HI",2,IF(E3839="LO",6,10))+IF(T3839=1,2,IF(D3839=7,1,(IF(WEEKDAY(B3839)=1,2,IF(WEEKDAY(B3839)=7,1,0))))))</f>
        <v>1</v>
      </c>
      <c r="V3839" s="328">
        <f>VLOOKUP(C3839,METADATA!$A$5:$H$29,IF(E3839="HI",2,IF(E3839="LO",6,10))+IF(T3839=1,2,IF(D3839=7,1,(IF(WEEKDAY(B3839)=1,2,IF(WEEKDAY(B3839)=7,1,0))))))</f>
        <v>1</v>
      </c>
    </row>
    <row r="3840" spans="2:22">
      <c r="B3840" s="318">
        <f t="shared" si="239"/>
        <v>46272</v>
      </c>
      <c r="C3840" s="312">
        <v>20</v>
      </c>
      <c r="D3840" s="368">
        <f>IFERROR((INDEX(METADATA!$T$2:$T$20,MATCH(B3840,METADATA!$S$2:$S$20,0))),0)</f>
        <v>0</v>
      </c>
      <c r="E3840" s="312" t="str">
        <f t="shared" si="236"/>
        <v>LO</v>
      </c>
      <c r="F3840" s="369">
        <f>VLOOKUP(C3840,METADATA!$A$5:$H$29,IF(E3840="HI",2,IF(E3840="LO",6,10))+IF(D3840=1,2,IF(D3840=7,1,(IF(WEEKDAY(B3840)=1,2,IF(WEEKDAY(B3840)=7,1,0))))))</f>
        <v>1</v>
      </c>
      <c r="G3840" s="369">
        <f>VLOOKUP(C3840,METADATA!$J$5:$Q$29,IF(E3840="HI",2,IF(E3840="LO",6,10))+IF(D3840=1,2,IF(D3840=7,1,(IF(WEEKDAY(B3840)=1,2,IF(WEEKDAY(B3840)=7,1,0))))))</f>
        <v>1</v>
      </c>
      <c r="H3840" s="370">
        <v>11622.374969482422</v>
      </c>
      <c r="I3840" s="370">
        <v>3263.4650268554688</v>
      </c>
      <c r="M3840" s="371">
        <f t="shared" si="237"/>
        <v>12071.860002201827</v>
      </c>
      <c r="N3840" s="329">
        <f t="shared" si="238"/>
        <v>0</v>
      </c>
      <c r="T3840" s="331">
        <v>0</v>
      </c>
      <c r="U3840" s="328">
        <f>VLOOKUP(C3840,METADATA!$J$5:$Q$29,IF(E3840="HI",2,IF(E3840="LO",6,10))+IF(T3840=1,2,IF(D3840=7,1,(IF(WEEKDAY(B3840)=1,2,IF(WEEKDAY(B3840)=7,1,0))))))</f>
        <v>1</v>
      </c>
      <c r="V3840" s="328">
        <f>VLOOKUP(C3840,METADATA!$A$5:$H$29,IF(E3840="HI",2,IF(E3840="LO",6,10))+IF(T3840=1,2,IF(D3840=7,1,(IF(WEEKDAY(B3840)=1,2,IF(WEEKDAY(B3840)=7,1,0))))))</f>
        <v>1</v>
      </c>
    </row>
    <row r="3841" spans="2:22">
      <c r="B3841" s="318">
        <f t="shared" si="239"/>
        <v>46272</v>
      </c>
      <c r="C3841" s="312">
        <v>21</v>
      </c>
      <c r="D3841" s="368">
        <f>IFERROR((INDEX(METADATA!$T$2:$T$20,MATCH(B3841,METADATA!$S$2:$S$20,0))),0)</f>
        <v>0</v>
      </c>
      <c r="E3841" s="312" t="str">
        <f t="shared" si="236"/>
        <v>LO</v>
      </c>
      <c r="F3841" s="369">
        <f>VLOOKUP(C3841,METADATA!$A$5:$H$29,IF(E3841="HI",2,IF(E3841="LO",6,10))+IF(D3841=1,2,IF(D3841=7,1,(IF(WEEKDAY(B3841)=1,2,IF(WEEKDAY(B3841)=7,1,0))))))</f>
        <v>2</v>
      </c>
      <c r="G3841" s="369">
        <f>VLOOKUP(C3841,METADATA!$J$5:$Q$29,IF(E3841="HI",2,IF(E3841="LO",6,10))+IF(D3841=1,2,IF(D3841=7,1,(IF(WEEKDAY(B3841)=1,2,IF(WEEKDAY(B3841)=7,1,0))))))</f>
        <v>2</v>
      </c>
      <c r="H3841" s="370">
        <v>11878.0498046875</v>
      </c>
      <c r="I3841" s="370">
        <v>3534.4550476074219</v>
      </c>
      <c r="M3841" s="371">
        <f t="shared" si="237"/>
        <v>12392.757548108264</v>
      </c>
      <c r="N3841" s="329">
        <f t="shared" si="238"/>
        <v>0</v>
      </c>
      <c r="T3841" s="331">
        <v>0</v>
      </c>
      <c r="U3841" s="328">
        <f>VLOOKUP(C3841,METADATA!$J$5:$Q$29,IF(E3841="HI",2,IF(E3841="LO",6,10))+IF(T3841=1,2,IF(D3841=7,1,(IF(WEEKDAY(B3841)=1,2,IF(WEEKDAY(B3841)=7,1,0))))))</f>
        <v>2</v>
      </c>
      <c r="V3841" s="328">
        <f>VLOOKUP(C3841,METADATA!$A$5:$H$29,IF(E3841="HI",2,IF(E3841="LO",6,10))+IF(T3841=1,2,IF(D3841=7,1,(IF(WEEKDAY(B3841)=1,2,IF(WEEKDAY(B3841)=7,1,0))))))</f>
        <v>2</v>
      </c>
    </row>
    <row r="3842" spans="2:22">
      <c r="B3842" s="318">
        <f t="shared" si="239"/>
        <v>46272</v>
      </c>
      <c r="C3842" s="312">
        <v>22</v>
      </c>
      <c r="D3842" s="368">
        <f>IFERROR((INDEX(METADATA!$T$2:$T$20,MATCH(B3842,METADATA!$S$2:$S$20,0))),0)</f>
        <v>0</v>
      </c>
      <c r="E3842" s="312" t="str">
        <f t="shared" si="236"/>
        <v>LO</v>
      </c>
      <c r="F3842" s="369">
        <f>VLOOKUP(C3842,METADATA!$A$5:$H$29,IF(E3842="HI",2,IF(E3842="LO",6,10))+IF(D3842=1,2,IF(D3842=7,1,(IF(WEEKDAY(B3842)=1,2,IF(WEEKDAY(B3842)=7,1,0))))))</f>
        <v>3</v>
      </c>
      <c r="G3842" s="369">
        <f>VLOOKUP(C3842,METADATA!$J$5:$Q$29,IF(E3842="HI",2,IF(E3842="LO",6,10))+IF(D3842=1,2,IF(D3842=7,1,(IF(WEEKDAY(B3842)=1,2,IF(WEEKDAY(B3842)=7,1,0))))))</f>
        <v>3</v>
      </c>
      <c r="H3842" s="370">
        <v>13175.624877929688</v>
      </c>
      <c r="I3842" s="370">
        <v>4364.39501953125</v>
      </c>
      <c r="M3842" s="371">
        <f t="shared" si="237"/>
        <v>13879.662633163274</v>
      </c>
      <c r="N3842" s="329">
        <f t="shared" si="238"/>
        <v>411.70755615234384</v>
      </c>
      <c r="T3842" s="331">
        <v>0</v>
      </c>
      <c r="U3842" s="328">
        <f>VLOOKUP(C3842,METADATA!$J$5:$Q$29,IF(E3842="HI",2,IF(E3842="LO",6,10))+IF(T3842=1,2,IF(D3842=7,1,(IF(WEEKDAY(B3842)=1,2,IF(WEEKDAY(B3842)=7,1,0))))))</f>
        <v>3</v>
      </c>
      <c r="V3842" s="328">
        <f>VLOOKUP(C3842,METADATA!$A$5:$H$29,IF(E3842="HI",2,IF(E3842="LO",6,10))+IF(T3842=1,2,IF(D3842=7,1,(IF(WEEKDAY(B3842)=1,2,IF(WEEKDAY(B3842)=7,1,0))))))</f>
        <v>3</v>
      </c>
    </row>
    <row r="3843" spans="2:22">
      <c r="B3843" s="318">
        <f t="shared" si="239"/>
        <v>46272</v>
      </c>
      <c r="C3843" s="312">
        <v>23</v>
      </c>
      <c r="D3843" s="368">
        <f>IFERROR((INDEX(METADATA!$T$2:$T$20,MATCH(B3843,METADATA!$S$2:$S$20,0))),0)</f>
        <v>0</v>
      </c>
      <c r="E3843" s="312" t="str">
        <f t="shared" si="236"/>
        <v>LO</v>
      </c>
      <c r="F3843" s="369">
        <f>VLOOKUP(C3843,METADATA!$A$5:$H$29,IF(E3843="HI",2,IF(E3843="LO",6,10))+IF(D3843=1,2,IF(D3843=7,1,(IF(WEEKDAY(B3843)=1,2,IF(WEEKDAY(B3843)=7,1,0))))))</f>
        <v>3</v>
      </c>
      <c r="G3843" s="369">
        <f>VLOOKUP(C3843,METADATA!$J$5:$Q$29,IF(E3843="HI",2,IF(E3843="LO",6,10))+IF(D3843=1,2,IF(D3843=7,1,(IF(WEEKDAY(B3843)=1,2,IF(WEEKDAY(B3843)=7,1,0))))))</f>
        <v>3</v>
      </c>
      <c r="H3843" s="370">
        <v>13268.324829101563</v>
      </c>
      <c r="I3843" s="370">
        <v>4288.0850830078125</v>
      </c>
      <c r="M3843" s="371">
        <f t="shared" si="237"/>
        <v>13944.03519249959</v>
      </c>
      <c r="N3843" s="329">
        <f t="shared" si="238"/>
        <v>307.58763427734402</v>
      </c>
      <c r="T3843" s="331">
        <v>0</v>
      </c>
      <c r="U3843" s="328">
        <f>VLOOKUP(C3843,METADATA!$J$5:$Q$29,IF(E3843="HI",2,IF(E3843="LO",6,10))+IF(T3843=1,2,IF(D3843=7,1,(IF(WEEKDAY(B3843)=1,2,IF(WEEKDAY(B3843)=7,1,0))))))</f>
        <v>3</v>
      </c>
      <c r="V3843" s="328">
        <f>VLOOKUP(C3843,METADATA!$A$5:$H$29,IF(E3843="HI",2,IF(E3843="LO",6,10))+IF(T3843=1,2,IF(D3843=7,1,(IF(WEEKDAY(B3843)=1,2,IF(WEEKDAY(B3843)=7,1,0))))))</f>
        <v>3</v>
      </c>
    </row>
    <row r="3844" spans="2:22">
      <c r="B3844" s="318">
        <f t="shared" si="239"/>
        <v>46273</v>
      </c>
      <c r="C3844" s="312">
        <v>0</v>
      </c>
      <c r="D3844" s="368">
        <f>IFERROR((INDEX(METADATA!$T$2:$T$20,MATCH(B3844,METADATA!$S$2:$S$20,0))),0)</f>
        <v>0</v>
      </c>
      <c r="E3844" s="312" t="str">
        <f t="shared" ref="E3844:E3907" si="240">IF(B3844="","",IF(AND(MONTH(B3844)&gt;=MONTH($Z$9),MONTH(B3844)&lt;=MONTH($Z$11)),"HI","LO"))</f>
        <v>LO</v>
      </c>
      <c r="F3844" s="369">
        <f>VLOOKUP(C3844,METADATA!$A$5:$H$29,IF(E3844="HI",2,IF(E3844="LO",6,10))+IF(D3844=1,2,IF(D3844=7,1,(IF(WEEKDAY(B3844)=1,2,IF(WEEKDAY(B3844)=7,1,0))))))</f>
        <v>3</v>
      </c>
      <c r="G3844" s="369">
        <f>VLOOKUP(C3844,METADATA!$J$5:$Q$29,IF(E3844="HI",2,IF(E3844="LO",6,10))+IF(D3844=1,2,IF(D3844=7,1,(IF(WEEKDAY(B3844)=1,2,IF(WEEKDAY(B3844)=7,1,0))))))</f>
        <v>3</v>
      </c>
      <c r="H3844" s="370">
        <v>13304.099853515625</v>
      </c>
      <c r="I3844" s="370">
        <v>4294.06494140625</v>
      </c>
      <c r="M3844" s="371">
        <f t="shared" ref="M3844:M3907" si="241">SQRT(H3844^2+I3844^2)</f>
        <v>13979.916546007302</v>
      </c>
      <c r="N3844" s="329">
        <f t="shared" ref="N3844:N3907" si="242">IF(H3844=0,0,(IF(I3844-(0.3*H3844)&lt;0,0,(I3844-(0.3*H3844)))))</f>
        <v>302.83498535156286</v>
      </c>
      <c r="T3844" s="331">
        <v>0</v>
      </c>
      <c r="U3844" s="328">
        <f>VLOOKUP(C3844,METADATA!$J$5:$Q$29,IF(E3844="HI",2,IF(E3844="LO",6,10))+IF(T3844=1,2,IF(D3844=7,1,(IF(WEEKDAY(B3844)=1,2,IF(WEEKDAY(B3844)=7,1,0))))))</f>
        <v>3</v>
      </c>
      <c r="V3844" s="328">
        <f>VLOOKUP(C3844,METADATA!$A$5:$H$29,IF(E3844="HI",2,IF(E3844="LO",6,10))+IF(T3844=1,2,IF(D3844=7,1,(IF(WEEKDAY(B3844)=1,2,IF(WEEKDAY(B3844)=7,1,0))))))</f>
        <v>3</v>
      </c>
    </row>
    <row r="3845" spans="2:22">
      <c r="B3845" s="318">
        <f t="shared" si="239"/>
        <v>46273</v>
      </c>
      <c r="C3845" s="312">
        <v>1</v>
      </c>
      <c r="D3845" s="368">
        <f>IFERROR((INDEX(METADATA!$T$2:$T$20,MATCH(B3845,METADATA!$S$2:$S$20,0))),0)</f>
        <v>0</v>
      </c>
      <c r="E3845" s="312" t="str">
        <f t="shared" si="240"/>
        <v>LO</v>
      </c>
      <c r="F3845" s="369">
        <f>VLOOKUP(C3845,METADATA!$A$5:$H$29,IF(E3845="HI",2,IF(E3845="LO",6,10))+IF(D3845=1,2,IF(D3845=7,1,(IF(WEEKDAY(B3845)=1,2,IF(WEEKDAY(B3845)=7,1,0))))))</f>
        <v>3</v>
      </c>
      <c r="G3845" s="369">
        <f>VLOOKUP(C3845,METADATA!$J$5:$Q$29,IF(E3845="HI",2,IF(E3845="LO",6,10))+IF(D3845=1,2,IF(D3845=7,1,(IF(WEEKDAY(B3845)=1,2,IF(WEEKDAY(B3845)=7,1,0))))))</f>
        <v>3</v>
      </c>
      <c r="H3845" s="370">
        <v>13231.767150878906</v>
      </c>
      <c r="I3845" s="370">
        <v>4285.5849609375</v>
      </c>
      <c r="M3845" s="371">
        <f t="shared" si="241"/>
        <v>13908.483037071001</v>
      </c>
      <c r="N3845" s="329">
        <f t="shared" si="242"/>
        <v>316.05481567382822</v>
      </c>
      <c r="T3845" s="331">
        <v>0</v>
      </c>
      <c r="U3845" s="328">
        <f>VLOOKUP(C3845,METADATA!$J$5:$Q$29,IF(E3845="HI",2,IF(E3845="LO",6,10))+IF(T3845=1,2,IF(D3845=7,1,(IF(WEEKDAY(B3845)=1,2,IF(WEEKDAY(B3845)=7,1,0))))))</f>
        <v>3</v>
      </c>
      <c r="V3845" s="328">
        <f>VLOOKUP(C3845,METADATA!$A$5:$H$29,IF(E3845="HI",2,IF(E3845="LO",6,10))+IF(T3845=1,2,IF(D3845=7,1,(IF(WEEKDAY(B3845)=1,2,IF(WEEKDAY(B3845)=7,1,0))))))</f>
        <v>3</v>
      </c>
    </row>
    <row r="3846" spans="2:22">
      <c r="B3846" s="318">
        <f t="shared" si="239"/>
        <v>46273</v>
      </c>
      <c r="C3846" s="312">
        <v>2</v>
      </c>
      <c r="D3846" s="368">
        <f>IFERROR((INDEX(METADATA!$T$2:$T$20,MATCH(B3846,METADATA!$S$2:$S$20,0))),0)</f>
        <v>0</v>
      </c>
      <c r="E3846" s="312" t="str">
        <f t="shared" si="240"/>
        <v>LO</v>
      </c>
      <c r="F3846" s="369">
        <f>VLOOKUP(C3846,METADATA!$A$5:$H$29,IF(E3846="HI",2,IF(E3846="LO",6,10))+IF(D3846=1,2,IF(D3846=7,1,(IF(WEEKDAY(B3846)=1,2,IF(WEEKDAY(B3846)=7,1,0))))))</f>
        <v>3</v>
      </c>
      <c r="G3846" s="369">
        <f>VLOOKUP(C3846,METADATA!$J$5:$Q$29,IF(E3846="HI",2,IF(E3846="LO",6,10))+IF(D3846=1,2,IF(D3846=7,1,(IF(WEEKDAY(B3846)=1,2,IF(WEEKDAY(B3846)=7,1,0))))))</f>
        <v>3</v>
      </c>
      <c r="H3846" s="370">
        <v>13276.600280761719</v>
      </c>
      <c r="I3846" s="370">
        <v>4304.2449340820313</v>
      </c>
      <c r="M3846" s="371">
        <f t="shared" si="241"/>
        <v>13956.885020221847</v>
      </c>
      <c r="N3846" s="329">
        <f t="shared" si="242"/>
        <v>321.2648498535159</v>
      </c>
      <c r="T3846" s="331">
        <v>0</v>
      </c>
      <c r="U3846" s="328">
        <f>VLOOKUP(C3846,METADATA!$J$5:$Q$29,IF(E3846="HI",2,IF(E3846="LO",6,10))+IF(T3846=1,2,IF(D3846=7,1,(IF(WEEKDAY(B3846)=1,2,IF(WEEKDAY(B3846)=7,1,0))))))</f>
        <v>3</v>
      </c>
      <c r="V3846" s="328">
        <f>VLOOKUP(C3846,METADATA!$A$5:$H$29,IF(E3846="HI",2,IF(E3846="LO",6,10))+IF(T3846=1,2,IF(D3846=7,1,(IF(WEEKDAY(B3846)=1,2,IF(WEEKDAY(B3846)=7,1,0))))))</f>
        <v>3</v>
      </c>
    </row>
    <row r="3847" spans="2:22">
      <c r="B3847" s="318">
        <f t="shared" si="239"/>
        <v>46273</v>
      </c>
      <c r="C3847" s="312">
        <v>3</v>
      </c>
      <c r="D3847" s="368">
        <f>IFERROR((INDEX(METADATA!$T$2:$T$20,MATCH(B3847,METADATA!$S$2:$S$20,0))),0)</f>
        <v>0</v>
      </c>
      <c r="E3847" s="312" t="str">
        <f t="shared" si="240"/>
        <v>LO</v>
      </c>
      <c r="F3847" s="369">
        <f>VLOOKUP(C3847,METADATA!$A$5:$H$29,IF(E3847="HI",2,IF(E3847="LO",6,10))+IF(D3847=1,2,IF(D3847=7,1,(IF(WEEKDAY(B3847)=1,2,IF(WEEKDAY(B3847)=7,1,0))))))</f>
        <v>3</v>
      </c>
      <c r="G3847" s="369">
        <f>VLOOKUP(C3847,METADATA!$J$5:$Q$29,IF(E3847="HI",2,IF(E3847="LO",6,10))+IF(D3847=1,2,IF(D3847=7,1,(IF(WEEKDAY(B3847)=1,2,IF(WEEKDAY(B3847)=7,1,0))))))</f>
        <v>3</v>
      </c>
      <c r="H3847" s="370">
        <v>13251.0498046875</v>
      </c>
      <c r="I3847" s="370">
        <v>4223.1099853515625</v>
      </c>
      <c r="M3847" s="371">
        <f t="shared" si="241"/>
        <v>13907.73090315903</v>
      </c>
      <c r="N3847" s="329">
        <f t="shared" si="242"/>
        <v>247.7950439453125</v>
      </c>
      <c r="T3847" s="331">
        <v>0</v>
      </c>
      <c r="U3847" s="328">
        <f>VLOOKUP(C3847,METADATA!$J$5:$Q$29,IF(E3847="HI",2,IF(E3847="LO",6,10))+IF(T3847=1,2,IF(D3847=7,1,(IF(WEEKDAY(B3847)=1,2,IF(WEEKDAY(B3847)=7,1,0))))))</f>
        <v>3</v>
      </c>
      <c r="V3847" s="328">
        <f>VLOOKUP(C3847,METADATA!$A$5:$H$29,IF(E3847="HI",2,IF(E3847="LO",6,10))+IF(T3847=1,2,IF(D3847=7,1,(IF(WEEKDAY(B3847)=1,2,IF(WEEKDAY(B3847)=7,1,0))))))</f>
        <v>3</v>
      </c>
    </row>
    <row r="3848" spans="2:22">
      <c r="B3848" s="318">
        <f t="shared" si="239"/>
        <v>46273</v>
      </c>
      <c r="C3848" s="312">
        <v>4</v>
      </c>
      <c r="D3848" s="368">
        <f>IFERROR((INDEX(METADATA!$T$2:$T$20,MATCH(B3848,METADATA!$S$2:$S$20,0))),0)</f>
        <v>0</v>
      </c>
      <c r="E3848" s="312" t="str">
        <f t="shared" si="240"/>
        <v>LO</v>
      </c>
      <c r="F3848" s="369">
        <f>VLOOKUP(C3848,METADATA!$A$5:$H$29,IF(E3848="HI",2,IF(E3848="LO",6,10))+IF(D3848=1,2,IF(D3848=7,1,(IF(WEEKDAY(B3848)=1,2,IF(WEEKDAY(B3848)=7,1,0))))))</f>
        <v>3</v>
      </c>
      <c r="G3848" s="369">
        <f>VLOOKUP(C3848,METADATA!$J$5:$Q$29,IF(E3848="HI",2,IF(E3848="LO",6,10))+IF(D3848=1,2,IF(D3848=7,1,(IF(WEEKDAY(B3848)=1,2,IF(WEEKDAY(B3848)=7,1,0))))))</f>
        <v>3</v>
      </c>
      <c r="H3848" s="370">
        <v>13242.575256347656</v>
      </c>
      <c r="I3848" s="370">
        <v>4182.7500305175781</v>
      </c>
      <c r="M3848" s="371">
        <f t="shared" si="241"/>
        <v>13887.447470209419</v>
      </c>
      <c r="N3848" s="329">
        <f t="shared" si="242"/>
        <v>209.97745361328134</v>
      </c>
      <c r="T3848" s="331">
        <v>0</v>
      </c>
      <c r="U3848" s="328">
        <f>VLOOKUP(C3848,METADATA!$J$5:$Q$29,IF(E3848="HI",2,IF(E3848="LO",6,10))+IF(T3848=1,2,IF(D3848=7,1,(IF(WEEKDAY(B3848)=1,2,IF(WEEKDAY(B3848)=7,1,0))))))</f>
        <v>3</v>
      </c>
      <c r="V3848" s="328">
        <f>VLOOKUP(C3848,METADATA!$A$5:$H$29,IF(E3848="HI",2,IF(E3848="LO",6,10))+IF(T3848=1,2,IF(D3848=7,1,(IF(WEEKDAY(B3848)=1,2,IF(WEEKDAY(B3848)=7,1,0))))))</f>
        <v>3</v>
      </c>
    </row>
    <row r="3849" spans="2:22">
      <c r="B3849" s="318">
        <f t="shared" si="239"/>
        <v>46273</v>
      </c>
      <c r="C3849" s="312">
        <v>5</v>
      </c>
      <c r="D3849" s="368">
        <f>IFERROR((INDEX(METADATA!$T$2:$T$20,MATCH(B3849,METADATA!$S$2:$S$20,0))),0)</f>
        <v>0</v>
      </c>
      <c r="E3849" s="312" t="str">
        <f t="shared" si="240"/>
        <v>LO</v>
      </c>
      <c r="F3849" s="369">
        <f>VLOOKUP(C3849,METADATA!$A$5:$H$29,IF(E3849="HI",2,IF(E3849="LO",6,10))+IF(D3849=1,2,IF(D3849=7,1,(IF(WEEKDAY(B3849)=1,2,IF(WEEKDAY(B3849)=7,1,0))))))</f>
        <v>3</v>
      </c>
      <c r="G3849" s="369">
        <f>VLOOKUP(C3849,METADATA!$J$5:$Q$29,IF(E3849="HI",2,IF(E3849="LO",6,10))+IF(D3849=1,2,IF(D3849=7,1,(IF(WEEKDAY(B3849)=1,2,IF(WEEKDAY(B3849)=7,1,0))))))</f>
        <v>3</v>
      </c>
      <c r="H3849" s="370">
        <v>13148.700073242188</v>
      </c>
      <c r="I3849" s="370">
        <v>4101.4800415039063</v>
      </c>
      <c r="M3849" s="371">
        <f t="shared" si="241"/>
        <v>13773.54174302797</v>
      </c>
      <c r="N3849" s="329">
        <f t="shared" si="242"/>
        <v>156.87001953125036</v>
      </c>
      <c r="T3849" s="331">
        <v>0</v>
      </c>
      <c r="U3849" s="328">
        <f>VLOOKUP(C3849,METADATA!$J$5:$Q$29,IF(E3849="HI",2,IF(E3849="LO",6,10))+IF(T3849=1,2,IF(D3849=7,1,(IF(WEEKDAY(B3849)=1,2,IF(WEEKDAY(B3849)=7,1,0))))))</f>
        <v>3</v>
      </c>
      <c r="V3849" s="328">
        <f>VLOOKUP(C3849,METADATA!$A$5:$H$29,IF(E3849="HI",2,IF(E3849="LO",6,10))+IF(T3849=1,2,IF(D3849=7,1,(IF(WEEKDAY(B3849)=1,2,IF(WEEKDAY(B3849)=7,1,0))))))</f>
        <v>3</v>
      </c>
    </row>
    <row r="3850" spans="2:22">
      <c r="B3850" s="318">
        <f t="shared" si="239"/>
        <v>46273</v>
      </c>
      <c r="C3850" s="312">
        <v>6</v>
      </c>
      <c r="D3850" s="368">
        <f>IFERROR((INDEX(METADATA!$T$2:$T$20,MATCH(B3850,METADATA!$S$2:$S$20,0))),0)</f>
        <v>0</v>
      </c>
      <c r="E3850" s="312" t="str">
        <f t="shared" si="240"/>
        <v>LO</v>
      </c>
      <c r="F3850" s="369">
        <f>VLOOKUP(C3850,METADATA!$A$5:$H$29,IF(E3850="HI",2,IF(E3850="LO",6,10))+IF(D3850=1,2,IF(D3850=7,1,(IF(WEEKDAY(B3850)=1,2,IF(WEEKDAY(B3850)=7,1,0))))))</f>
        <v>2</v>
      </c>
      <c r="G3850" s="369">
        <f>VLOOKUP(C3850,METADATA!$J$5:$Q$29,IF(E3850="HI",2,IF(E3850="LO",6,10))+IF(D3850=1,2,IF(D3850=7,1,(IF(WEEKDAY(B3850)=1,2,IF(WEEKDAY(B3850)=7,1,0))))))</f>
        <v>2</v>
      </c>
      <c r="H3850" s="370">
        <v>13079.725341796875</v>
      </c>
      <c r="I3850" s="370">
        <v>4019.0950317382813</v>
      </c>
      <c r="M3850" s="371">
        <f t="shared" si="241"/>
        <v>13683.286881849212</v>
      </c>
      <c r="N3850" s="329">
        <f t="shared" si="242"/>
        <v>95.17742919921875</v>
      </c>
      <c r="T3850" s="331">
        <v>0</v>
      </c>
      <c r="U3850" s="328">
        <f>VLOOKUP(C3850,METADATA!$J$5:$Q$29,IF(E3850="HI",2,IF(E3850="LO",6,10))+IF(T3850=1,2,IF(D3850=7,1,(IF(WEEKDAY(B3850)=1,2,IF(WEEKDAY(B3850)=7,1,0))))))</f>
        <v>2</v>
      </c>
      <c r="V3850" s="328">
        <f>VLOOKUP(C3850,METADATA!$A$5:$H$29,IF(E3850="HI",2,IF(E3850="LO",6,10))+IF(T3850=1,2,IF(D3850=7,1,(IF(WEEKDAY(B3850)=1,2,IF(WEEKDAY(B3850)=7,1,0))))))</f>
        <v>2</v>
      </c>
    </row>
    <row r="3851" spans="2:22">
      <c r="B3851" s="318">
        <f t="shared" si="239"/>
        <v>46273</v>
      </c>
      <c r="C3851" s="312">
        <v>7</v>
      </c>
      <c r="D3851" s="368">
        <f>IFERROR((INDEX(METADATA!$T$2:$T$20,MATCH(B3851,METADATA!$S$2:$S$20,0))),0)</f>
        <v>0</v>
      </c>
      <c r="E3851" s="312" t="str">
        <f t="shared" si="240"/>
        <v>LO</v>
      </c>
      <c r="F3851" s="369">
        <f>VLOOKUP(C3851,METADATA!$A$5:$H$29,IF(E3851="HI",2,IF(E3851="LO",6,10))+IF(D3851=1,2,IF(D3851=7,1,(IF(WEEKDAY(B3851)=1,2,IF(WEEKDAY(B3851)=7,1,0))))))</f>
        <v>1</v>
      </c>
      <c r="G3851" s="369">
        <f>VLOOKUP(C3851,METADATA!$J$5:$Q$29,IF(E3851="HI",2,IF(E3851="LO",6,10))+IF(D3851=1,2,IF(D3851=7,1,(IF(WEEKDAY(B3851)=1,2,IF(WEEKDAY(B3851)=7,1,0))))))</f>
        <v>1</v>
      </c>
      <c r="H3851" s="370">
        <v>13153.574951171875</v>
      </c>
      <c r="I3851" s="370">
        <v>4045.3499145507813</v>
      </c>
      <c r="M3851" s="371">
        <f t="shared" si="241"/>
        <v>13761.591111759286</v>
      </c>
      <c r="N3851" s="329">
        <f t="shared" si="242"/>
        <v>99.277429199219114</v>
      </c>
      <c r="T3851" s="331">
        <v>0</v>
      </c>
      <c r="U3851" s="328">
        <f>VLOOKUP(C3851,METADATA!$J$5:$Q$29,IF(E3851="HI",2,IF(E3851="LO",6,10))+IF(T3851=1,2,IF(D3851=7,1,(IF(WEEKDAY(B3851)=1,2,IF(WEEKDAY(B3851)=7,1,0))))))</f>
        <v>1</v>
      </c>
      <c r="V3851" s="328">
        <f>VLOOKUP(C3851,METADATA!$A$5:$H$29,IF(E3851="HI",2,IF(E3851="LO",6,10))+IF(T3851=1,2,IF(D3851=7,1,(IF(WEEKDAY(B3851)=1,2,IF(WEEKDAY(B3851)=7,1,0))))))</f>
        <v>1</v>
      </c>
    </row>
    <row r="3852" spans="2:22">
      <c r="B3852" s="318">
        <f t="shared" si="239"/>
        <v>46273</v>
      </c>
      <c r="C3852" s="312">
        <v>8</v>
      </c>
      <c r="D3852" s="368">
        <f>IFERROR((INDEX(METADATA!$T$2:$T$20,MATCH(B3852,METADATA!$S$2:$S$20,0))),0)</f>
        <v>0</v>
      </c>
      <c r="E3852" s="312" t="str">
        <f t="shared" si="240"/>
        <v>LO</v>
      </c>
      <c r="F3852" s="369">
        <f>VLOOKUP(C3852,METADATA!$A$5:$H$29,IF(E3852="HI",2,IF(E3852="LO",6,10))+IF(D3852=1,2,IF(D3852=7,1,(IF(WEEKDAY(B3852)=1,2,IF(WEEKDAY(B3852)=7,1,0))))))</f>
        <v>1</v>
      </c>
      <c r="G3852" s="369">
        <f>VLOOKUP(C3852,METADATA!$J$5:$Q$29,IF(E3852="HI",2,IF(E3852="LO",6,10))+IF(D3852=1,2,IF(D3852=7,1,(IF(WEEKDAY(B3852)=1,2,IF(WEEKDAY(B3852)=7,1,0))))))</f>
        <v>1</v>
      </c>
      <c r="H3852" s="370">
        <v>13356.349975585938</v>
      </c>
      <c r="I3852" s="370">
        <v>4247.3350524902344</v>
      </c>
      <c r="M3852" s="371">
        <f t="shared" si="241"/>
        <v>14015.417928782812</v>
      </c>
      <c r="N3852" s="329">
        <f t="shared" si="242"/>
        <v>240.43005981445322</v>
      </c>
      <c r="T3852" s="331">
        <v>0</v>
      </c>
      <c r="U3852" s="328">
        <f>VLOOKUP(C3852,METADATA!$J$5:$Q$29,IF(E3852="HI",2,IF(E3852="LO",6,10))+IF(T3852=1,2,IF(D3852=7,1,(IF(WEEKDAY(B3852)=1,2,IF(WEEKDAY(B3852)=7,1,0))))))</f>
        <v>1</v>
      </c>
      <c r="V3852" s="328">
        <f>VLOOKUP(C3852,METADATA!$A$5:$H$29,IF(E3852="HI",2,IF(E3852="LO",6,10))+IF(T3852=1,2,IF(D3852=7,1,(IF(WEEKDAY(B3852)=1,2,IF(WEEKDAY(B3852)=7,1,0))))))</f>
        <v>1</v>
      </c>
    </row>
    <row r="3853" spans="2:22">
      <c r="B3853" s="318">
        <f t="shared" si="239"/>
        <v>46273</v>
      </c>
      <c r="C3853" s="312">
        <v>9</v>
      </c>
      <c r="D3853" s="368">
        <f>IFERROR((INDEX(METADATA!$T$2:$T$20,MATCH(B3853,METADATA!$S$2:$S$20,0))),0)</f>
        <v>0</v>
      </c>
      <c r="E3853" s="312" t="str">
        <f t="shared" si="240"/>
        <v>LO</v>
      </c>
      <c r="F3853" s="369">
        <f>VLOOKUP(C3853,METADATA!$A$5:$H$29,IF(E3853="HI",2,IF(E3853="LO",6,10))+IF(D3853=1,2,IF(D3853=7,1,(IF(WEEKDAY(B3853)=1,2,IF(WEEKDAY(B3853)=7,1,0))))))</f>
        <v>2</v>
      </c>
      <c r="G3853" s="369">
        <f>VLOOKUP(C3853,METADATA!$J$5:$Q$29,IF(E3853="HI",2,IF(E3853="LO",6,10))+IF(D3853=1,2,IF(D3853=7,1,(IF(WEEKDAY(B3853)=1,2,IF(WEEKDAY(B3853)=7,1,0))))))</f>
        <v>2</v>
      </c>
      <c r="H3853" s="370">
        <v>13451.249755859375</v>
      </c>
      <c r="I3853" s="370">
        <v>4219.6000366210938</v>
      </c>
      <c r="M3853" s="371">
        <f t="shared" si="241"/>
        <v>14097.558102861631</v>
      </c>
      <c r="N3853" s="329">
        <f t="shared" si="242"/>
        <v>184.22510986328143</v>
      </c>
      <c r="T3853" s="331">
        <v>0</v>
      </c>
      <c r="U3853" s="328">
        <f>VLOOKUP(C3853,METADATA!$J$5:$Q$29,IF(E3853="HI",2,IF(E3853="LO",6,10))+IF(T3853=1,2,IF(D3853=7,1,(IF(WEEKDAY(B3853)=1,2,IF(WEEKDAY(B3853)=7,1,0))))))</f>
        <v>2</v>
      </c>
      <c r="V3853" s="328">
        <f>VLOOKUP(C3853,METADATA!$A$5:$H$29,IF(E3853="HI",2,IF(E3853="LO",6,10))+IF(T3853=1,2,IF(D3853=7,1,(IF(WEEKDAY(B3853)=1,2,IF(WEEKDAY(B3853)=7,1,0))))))</f>
        <v>2</v>
      </c>
    </row>
    <row r="3854" spans="2:22">
      <c r="B3854" s="318">
        <f t="shared" si="239"/>
        <v>46273</v>
      </c>
      <c r="C3854" s="312">
        <v>10</v>
      </c>
      <c r="D3854" s="368">
        <f>IFERROR((INDEX(METADATA!$T$2:$T$20,MATCH(B3854,METADATA!$S$2:$S$20,0))),0)</f>
        <v>0</v>
      </c>
      <c r="E3854" s="312" t="str">
        <f t="shared" si="240"/>
        <v>LO</v>
      </c>
      <c r="F3854" s="369">
        <f>VLOOKUP(C3854,METADATA!$A$5:$H$29,IF(E3854="HI",2,IF(E3854="LO",6,10))+IF(D3854=1,2,IF(D3854=7,1,(IF(WEEKDAY(B3854)=1,2,IF(WEEKDAY(B3854)=7,1,0))))))</f>
        <v>2</v>
      </c>
      <c r="G3854" s="369">
        <f>VLOOKUP(C3854,METADATA!$J$5:$Q$29,IF(E3854="HI",2,IF(E3854="LO",6,10))+IF(D3854=1,2,IF(D3854=7,1,(IF(WEEKDAY(B3854)=1,2,IF(WEEKDAY(B3854)=7,1,0))))))</f>
        <v>2</v>
      </c>
      <c r="H3854" s="370">
        <v>13370.300109863281</v>
      </c>
      <c r="I3854" s="370">
        <v>4190.1800231933594</v>
      </c>
      <c r="M3854" s="371">
        <f t="shared" si="241"/>
        <v>14011.514324104257</v>
      </c>
      <c r="N3854" s="329">
        <f t="shared" si="242"/>
        <v>179.08999023437536</v>
      </c>
      <c r="T3854" s="331">
        <v>0</v>
      </c>
      <c r="U3854" s="328">
        <f>VLOOKUP(C3854,METADATA!$J$5:$Q$29,IF(E3854="HI",2,IF(E3854="LO",6,10))+IF(T3854=1,2,IF(D3854=7,1,(IF(WEEKDAY(B3854)=1,2,IF(WEEKDAY(B3854)=7,1,0))))))</f>
        <v>2</v>
      </c>
      <c r="V3854" s="328">
        <f>VLOOKUP(C3854,METADATA!$A$5:$H$29,IF(E3854="HI",2,IF(E3854="LO",6,10))+IF(T3854=1,2,IF(D3854=7,1,(IF(WEEKDAY(B3854)=1,2,IF(WEEKDAY(B3854)=7,1,0))))))</f>
        <v>2</v>
      </c>
    </row>
    <row r="3855" spans="2:22">
      <c r="B3855" s="318">
        <f t="shared" si="239"/>
        <v>46273</v>
      </c>
      <c r="C3855" s="312">
        <v>11</v>
      </c>
      <c r="D3855" s="368">
        <f>IFERROR((INDEX(METADATA!$T$2:$T$20,MATCH(B3855,METADATA!$S$2:$S$20,0))),0)</f>
        <v>0</v>
      </c>
      <c r="E3855" s="312" t="str">
        <f t="shared" si="240"/>
        <v>LO</v>
      </c>
      <c r="F3855" s="369">
        <f>VLOOKUP(C3855,METADATA!$A$5:$H$29,IF(E3855="HI",2,IF(E3855="LO",6,10))+IF(D3855=1,2,IF(D3855=7,1,(IF(WEEKDAY(B3855)=1,2,IF(WEEKDAY(B3855)=7,1,0))))))</f>
        <v>2</v>
      </c>
      <c r="G3855" s="369">
        <f>VLOOKUP(C3855,METADATA!$J$5:$Q$29,IF(E3855="HI",2,IF(E3855="LO",6,10))+IF(D3855=1,2,IF(D3855=7,1,(IF(WEEKDAY(B3855)=1,2,IF(WEEKDAY(B3855)=7,1,0))))))</f>
        <v>2</v>
      </c>
      <c r="H3855" s="370">
        <v>12778.249877929688</v>
      </c>
      <c r="I3855" s="370">
        <v>3733.8150024414063</v>
      </c>
      <c r="M3855" s="371">
        <f t="shared" si="241"/>
        <v>13312.589696045867</v>
      </c>
      <c r="N3855" s="329">
        <f t="shared" si="242"/>
        <v>0</v>
      </c>
      <c r="T3855" s="331">
        <v>0</v>
      </c>
      <c r="U3855" s="328">
        <f>VLOOKUP(C3855,METADATA!$J$5:$Q$29,IF(E3855="HI",2,IF(E3855="LO",6,10))+IF(T3855=1,2,IF(D3855=7,1,(IF(WEEKDAY(B3855)=1,2,IF(WEEKDAY(B3855)=7,1,0))))))</f>
        <v>2</v>
      </c>
      <c r="V3855" s="328">
        <f>VLOOKUP(C3855,METADATA!$A$5:$H$29,IF(E3855="HI",2,IF(E3855="LO",6,10))+IF(T3855=1,2,IF(D3855=7,1,(IF(WEEKDAY(B3855)=1,2,IF(WEEKDAY(B3855)=7,1,0))))))</f>
        <v>2</v>
      </c>
    </row>
    <row r="3856" spans="2:22">
      <c r="B3856" s="318">
        <f t="shared" si="239"/>
        <v>46273</v>
      </c>
      <c r="C3856" s="312">
        <v>12</v>
      </c>
      <c r="D3856" s="368">
        <f>IFERROR((INDEX(METADATA!$T$2:$T$20,MATCH(B3856,METADATA!$S$2:$S$20,0))),0)</f>
        <v>0</v>
      </c>
      <c r="E3856" s="312" t="str">
        <f t="shared" si="240"/>
        <v>LO</v>
      </c>
      <c r="F3856" s="369">
        <f>VLOOKUP(C3856,METADATA!$A$5:$H$29,IF(E3856="HI",2,IF(E3856="LO",6,10))+IF(D3856=1,2,IF(D3856=7,1,(IF(WEEKDAY(B3856)=1,2,IF(WEEKDAY(B3856)=7,1,0))))))</f>
        <v>2</v>
      </c>
      <c r="G3856" s="369">
        <f>VLOOKUP(C3856,METADATA!$J$5:$Q$29,IF(E3856="HI",2,IF(E3856="LO",6,10))+IF(D3856=1,2,IF(D3856=7,1,(IF(WEEKDAY(B3856)=1,2,IF(WEEKDAY(B3856)=7,1,0))))))</f>
        <v>2</v>
      </c>
      <c r="H3856" s="370">
        <v>13291.900207519531</v>
      </c>
      <c r="I3856" s="370">
        <v>4325.2699890136719</v>
      </c>
      <c r="M3856" s="371">
        <f t="shared" si="241"/>
        <v>13977.931592496798</v>
      </c>
      <c r="N3856" s="329">
        <f t="shared" si="242"/>
        <v>337.69992675781259</v>
      </c>
      <c r="T3856" s="331">
        <v>0</v>
      </c>
      <c r="U3856" s="328">
        <f>VLOOKUP(C3856,METADATA!$J$5:$Q$29,IF(E3856="HI",2,IF(E3856="LO",6,10))+IF(T3856=1,2,IF(D3856=7,1,(IF(WEEKDAY(B3856)=1,2,IF(WEEKDAY(B3856)=7,1,0))))))</f>
        <v>2</v>
      </c>
      <c r="V3856" s="328">
        <f>VLOOKUP(C3856,METADATA!$A$5:$H$29,IF(E3856="HI",2,IF(E3856="LO",6,10))+IF(T3856=1,2,IF(D3856=7,1,(IF(WEEKDAY(B3856)=1,2,IF(WEEKDAY(B3856)=7,1,0))))))</f>
        <v>2</v>
      </c>
    </row>
    <row r="3857" spans="2:22">
      <c r="B3857" s="318">
        <f t="shared" si="239"/>
        <v>46273</v>
      </c>
      <c r="C3857" s="312">
        <v>13</v>
      </c>
      <c r="D3857" s="368">
        <f>IFERROR((INDEX(METADATA!$T$2:$T$20,MATCH(B3857,METADATA!$S$2:$S$20,0))),0)</f>
        <v>0</v>
      </c>
      <c r="E3857" s="312" t="str">
        <f t="shared" si="240"/>
        <v>LO</v>
      </c>
      <c r="F3857" s="369">
        <f>VLOOKUP(C3857,METADATA!$A$5:$H$29,IF(E3857="HI",2,IF(E3857="LO",6,10))+IF(D3857=1,2,IF(D3857=7,1,(IF(WEEKDAY(B3857)=1,2,IF(WEEKDAY(B3857)=7,1,0))))))</f>
        <v>2</v>
      </c>
      <c r="G3857" s="369">
        <f>VLOOKUP(C3857,METADATA!$J$5:$Q$29,IF(E3857="HI",2,IF(E3857="LO",6,10))+IF(D3857=1,2,IF(D3857=7,1,(IF(WEEKDAY(B3857)=1,2,IF(WEEKDAY(B3857)=7,1,0))))))</f>
        <v>2</v>
      </c>
      <c r="H3857" s="370">
        <v>13527.750366210938</v>
      </c>
      <c r="I3857" s="370">
        <v>4474.1400146484375</v>
      </c>
      <c r="M3857" s="371">
        <f t="shared" si="241"/>
        <v>14248.437066611848</v>
      </c>
      <c r="N3857" s="329">
        <f t="shared" si="242"/>
        <v>415.81490478515661</v>
      </c>
      <c r="T3857" s="331">
        <v>0</v>
      </c>
      <c r="U3857" s="328">
        <f>VLOOKUP(C3857,METADATA!$J$5:$Q$29,IF(E3857="HI",2,IF(E3857="LO",6,10))+IF(T3857=1,2,IF(D3857=7,1,(IF(WEEKDAY(B3857)=1,2,IF(WEEKDAY(B3857)=7,1,0))))))</f>
        <v>2</v>
      </c>
      <c r="V3857" s="328">
        <f>VLOOKUP(C3857,METADATA!$A$5:$H$29,IF(E3857="HI",2,IF(E3857="LO",6,10))+IF(T3857=1,2,IF(D3857=7,1,(IF(WEEKDAY(B3857)=1,2,IF(WEEKDAY(B3857)=7,1,0))))))</f>
        <v>2</v>
      </c>
    </row>
    <row r="3858" spans="2:22">
      <c r="B3858" s="318">
        <f t="shared" si="239"/>
        <v>46273</v>
      </c>
      <c r="C3858" s="312">
        <v>14</v>
      </c>
      <c r="D3858" s="368">
        <f>IFERROR((INDEX(METADATA!$T$2:$T$20,MATCH(B3858,METADATA!$S$2:$S$20,0))),0)</f>
        <v>0</v>
      </c>
      <c r="E3858" s="312" t="str">
        <f t="shared" si="240"/>
        <v>LO</v>
      </c>
      <c r="F3858" s="369">
        <f>VLOOKUP(C3858,METADATA!$A$5:$H$29,IF(E3858="HI",2,IF(E3858="LO",6,10))+IF(D3858=1,2,IF(D3858=7,1,(IF(WEEKDAY(B3858)=1,2,IF(WEEKDAY(B3858)=7,1,0))))))</f>
        <v>2</v>
      </c>
      <c r="G3858" s="369">
        <f>VLOOKUP(C3858,METADATA!$J$5:$Q$29,IF(E3858="HI",2,IF(E3858="LO",6,10))+IF(D3858=1,2,IF(D3858=7,1,(IF(WEEKDAY(B3858)=1,2,IF(WEEKDAY(B3858)=7,1,0))))))</f>
        <v>2</v>
      </c>
      <c r="H3858" s="370">
        <v>13410.150146484375</v>
      </c>
      <c r="I3858" s="370">
        <v>4239.1099853515625</v>
      </c>
      <c r="M3858" s="371">
        <f t="shared" si="241"/>
        <v>14064.216310166814</v>
      </c>
      <c r="N3858" s="329">
        <f t="shared" si="242"/>
        <v>216.06494140625</v>
      </c>
      <c r="T3858" s="331">
        <v>0</v>
      </c>
      <c r="U3858" s="328">
        <f>VLOOKUP(C3858,METADATA!$J$5:$Q$29,IF(E3858="HI",2,IF(E3858="LO",6,10))+IF(T3858=1,2,IF(D3858=7,1,(IF(WEEKDAY(B3858)=1,2,IF(WEEKDAY(B3858)=7,1,0))))))</f>
        <v>2</v>
      </c>
      <c r="V3858" s="328">
        <f>VLOOKUP(C3858,METADATA!$A$5:$H$29,IF(E3858="HI",2,IF(E3858="LO",6,10))+IF(T3858=1,2,IF(D3858=7,1,(IF(WEEKDAY(B3858)=1,2,IF(WEEKDAY(B3858)=7,1,0))))))</f>
        <v>2</v>
      </c>
    </row>
    <row r="3859" spans="2:22">
      <c r="B3859" s="318">
        <f t="shared" si="239"/>
        <v>46273</v>
      </c>
      <c r="C3859" s="312">
        <v>15</v>
      </c>
      <c r="D3859" s="368">
        <f>IFERROR((INDEX(METADATA!$T$2:$T$20,MATCH(B3859,METADATA!$S$2:$S$20,0))),0)</f>
        <v>0</v>
      </c>
      <c r="E3859" s="312" t="str">
        <f t="shared" si="240"/>
        <v>LO</v>
      </c>
      <c r="F3859" s="369">
        <f>VLOOKUP(C3859,METADATA!$A$5:$H$29,IF(E3859="HI",2,IF(E3859="LO",6,10))+IF(D3859=1,2,IF(D3859=7,1,(IF(WEEKDAY(B3859)=1,2,IF(WEEKDAY(B3859)=7,1,0))))))</f>
        <v>2</v>
      </c>
      <c r="G3859" s="369">
        <f>VLOOKUP(C3859,METADATA!$J$5:$Q$29,IF(E3859="HI",2,IF(E3859="LO",6,10))+IF(D3859=1,2,IF(D3859=7,1,(IF(WEEKDAY(B3859)=1,2,IF(WEEKDAY(B3859)=7,1,0))))))</f>
        <v>2</v>
      </c>
      <c r="H3859" s="370">
        <v>13268.874633789063</v>
      </c>
      <c r="I3859" s="370">
        <v>4314.6249694824219</v>
      </c>
      <c r="M3859" s="371">
        <f t="shared" si="241"/>
        <v>13952.742478613012</v>
      </c>
      <c r="N3859" s="329">
        <f t="shared" si="242"/>
        <v>333.96257934570349</v>
      </c>
      <c r="T3859" s="331">
        <v>0</v>
      </c>
      <c r="U3859" s="328">
        <f>VLOOKUP(C3859,METADATA!$J$5:$Q$29,IF(E3859="HI",2,IF(E3859="LO",6,10))+IF(T3859=1,2,IF(D3859=7,1,(IF(WEEKDAY(B3859)=1,2,IF(WEEKDAY(B3859)=7,1,0))))))</f>
        <v>2</v>
      </c>
      <c r="V3859" s="328">
        <f>VLOOKUP(C3859,METADATA!$A$5:$H$29,IF(E3859="HI",2,IF(E3859="LO",6,10))+IF(T3859=1,2,IF(D3859=7,1,(IF(WEEKDAY(B3859)=1,2,IF(WEEKDAY(B3859)=7,1,0))))))</f>
        <v>2</v>
      </c>
    </row>
    <row r="3860" spans="2:22">
      <c r="B3860" s="318">
        <f t="shared" si="239"/>
        <v>46273</v>
      </c>
      <c r="C3860" s="312">
        <v>16</v>
      </c>
      <c r="D3860" s="368">
        <f>IFERROR((INDEX(METADATA!$T$2:$T$20,MATCH(B3860,METADATA!$S$2:$S$20,0))),0)</f>
        <v>0</v>
      </c>
      <c r="E3860" s="312" t="str">
        <f t="shared" si="240"/>
        <v>LO</v>
      </c>
      <c r="F3860" s="369">
        <f>VLOOKUP(C3860,METADATA!$A$5:$H$29,IF(E3860="HI",2,IF(E3860="LO",6,10))+IF(D3860=1,2,IF(D3860=7,1,(IF(WEEKDAY(B3860)=1,2,IF(WEEKDAY(B3860)=7,1,0))))))</f>
        <v>2</v>
      </c>
      <c r="G3860" s="369">
        <f>VLOOKUP(C3860,METADATA!$J$5:$Q$29,IF(E3860="HI",2,IF(E3860="LO",6,10))+IF(D3860=1,2,IF(D3860=7,1,(IF(WEEKDAY(B3860)=1,2,IF(WEEKDAY(B3860)=7,1,0))))))</f>
        <v>2</v>
      </c>
      <c r="H3860" s="370">
        <v>12991.499877929688</v>
      </c>
      <c r="I3860" s="370">
        <v>4253.989990234375</v>
      </c>
      <c r="M3860" s="371">
        <f t="shared" si="241"/>
        <v>13670.241399304598</v>
      </c>
      <c r="N3860" s="329">
        <f t="shared" si="242"/>
        <v>356.54002685546902</v>
      </c>
      <c r="T3860" s="331">
        <v>0</v>
      </c>
      <c r="U3860" s="328">
        <f>VLOOKUP(C3860,METADATA!$J$5:$Q$29,IF(E3860="HI",2,IF(E3860="LO",6,10))+IF(T3860=1,2,IF(D3860=7,1,(IF(WEEKDAY(B3860)=1,2,IF(WEEKDAY(B3860)=7,1,0))))))</f>
        <v>2</v>
      </c>
      <c r="V3860" s="328">
        <f>VLOOKUP(C3860,METADATA!$A$5:$H$29,IF(E3860="HI",2,IF(E3860="LO",6,10))+IF(T3860=1,2,IF(D3860=7,1,(IF(WEEKDAY(B3860)=1,2,IF(WEEKDAY(B3860)=7,1,0))))))</f>
        <v>2</v>
      </c>
    </row>
    <row r="3861" spans="2:22">
      <c r="B3861" s="318">
        <f t="shared" si="239"/>
        <v>46273</v>
      </c>
      <c r="C3861" s="312">
        <v>17</v>
      </c>
      <c r="D3861" s="368">
        <f>IFERROR((INDEX(METADATA!$T$2:$T$20,MATCH(B3861,METADATA!$S$2:$S$20,0))),0)</f>
        <v>0</v>
      </c>
      <c r="E3861" s="312" t="str">
        <f t="shared" si="240"/>
        <v>LO</v>
      </c>
      <c r="F3861" s="369">
        <f>VLOOKUP(C3861,METADATA!$A$5:$H$29,IF(E3861="HI",2,IF(E3861="LO",6,10))+IF(D3861=1,2,IF(D3861=7,1,(IF(WEEKDAY(B3861)=1,2,IF(WEEKDAY(B3861)=7,1,0))))))</f>
        <v>2</v>
      </c>
      <c r="G3861" s="369">
        <f>VLOOKUP(C3861,METADATA!$J$5:$Q$29,IF(E3861="HI",2,IF(E3861="LO",6,10))+IF(D3861=1,2,IF(D3861=7,1,(IF(WEEKDAY(B3861)=1,2,IF(WEEKDAY(B3861)=7,1,0))))))</f>
        <v>2</v>
      </c>
      <c r="H3861" s="370">
        <v>13163.275085449219</v>
      </c>
      <c r="I3861" s="370">
        <v>4175.4899597167969</v>
      </c>
      <c r="M3861" s="371">
        <f t="shared" si="241"/>
        <v>13809.65341270026</v>
      </c>
      <c r="N3861" s="329">
        <f t="shared" si="242"/>
        <v>226.50743408203152</v>
      </c>
      <c r="T3861" s="331">
        <v>0</v>
      </c>
      <c r="U3861" s="328">
        <f>VLOOKUP(C3861,METADATA!$J$5:$Q$29,IF(E3861="HI",2,IF(E3861="LO",6,10))+IF(T3861=1,2,IF(D3861=7,1,(IF(WEEKDAY(B3861)=1,2,IF(WEEKDAY(B3861)=7,1,0))))))</f>
        <v>2</v>
      </c>
      <c r="V3861" s="328">
        <f>VLOOKUP(C3861,METADATA!$A$5:$H$29,IF(E3861="HI",2,IF(E3861="LO",6,10))+IF(T3861=1,2,IF(D3861=7,1,(IF(WEEKDAY(B3861)=1,2,IF(WEEKDAY(B3861)=7,1,0))))))</f>
        <v>2</v>
      </c>
    </row>
    <row r="3862" spans="2:22">
      <c r="B3862" s="318">
        <f t="shared" si="239"/>
        <v>46273</v>
      </c>
      <c r="C3862" s="312">
        <v>18</v>
      </c>
      <c r="D3862" s="368">
        <f>IFERROR((INDEX(METADATA!$T$2:$T$20,MATCH(B3862,METADATA!$S$2:$S$20,0))),0)</f>
        <v>0</v>
      </c>
      <c r="E3862" s="312" t="str">
        <f t="shared" si="240"/>
        <v>LO</v>
      </c>
      <c r="F3862" s="369">
        <f>VLOOKUP(C3862,METADATA!$A$5:$H$29,IF(E3862="HI",2,IF(E3862="LO",6,10))+IF(D3862=1,2,IF(D3862=7,1,(IF(WEEKDAY(B3862)=1,2,IF(WEEKDAY(B3862)=7,1,0))))))</f>
        <v>1</v>
      </c>
      <c r="G3862" s="369">
        <f>VLOOKUP(C3862,METADATA!$J$5:$Q$29,IF(E3862="HI",2,IF(E3862="LO",6,10))+IF(D3862=1,2,IF(D3862=7,1,(IF(WEEKDAY(B3862)=1,2,IF(WEEKDAY(B3862)=7,1,0))))))</f>
        <v>1</v>
      </c>
      <c r="H3862" s="370">
        <v>13361.050476074219</v>
      </c>
      <c r="I3862" s="370">
        <v>4140.8749389648438</v>
      </c>
      <c r="M3862" s="371">
        <f t="shared" si="241"/>
        <v>13988.013264375688</v>
      </c>
      <c r="N3862" s="329">
        <f t="shared" si="242"/>
        <v>132.55979614257831</v>
      </c>
      <c r="T3862" s="331">
        <v>0</v>
      </c>
      <c r="U3862" s="328">
        <f>VLOOKUP(C3862,METADATA!$J$5:$Q$29,IF(E3862="HI",2,IF(E3862="LO",6,10))+IF(T3862=1,2,IF(D3862=7,1,(IF(WEEKDAY(B3862)=1,2,IF(WEEKDAY(B3862)=7,1,0))))))</f>
        <v>1</v>
      </c>
      <c r="V3862" s="328">
        <f>VLOOKUP(C3862,METADATA!$A$5:$H$29,IF(E3862="HI",2,IF(E3862="LO",6,10))+IF(T3862=1,2,IF(D3862=7,1,(IF(WEEKDAY(B3862)=1,2,IF(WEEKDAY(B3862)=7,1,0))))))</f>
        <v>1</v>
      </c>
    </row>
    <row r="3863" spans="2:22">
      <c r="B3863" s="318">
        <f t="shared" si="239"/>
        <v>46273</v>
      </c>
      <c r="C3863" s="312">
        <v>19</v>
      </c>
      <c r="D3863" s="368">
        <f>IFERROR((INDEX(METADATA!$T$2:$T$20,MATCH(B3863,METADATA!$S$2:$S$20,0))),0)</f>
        <v>0</v>
      </c>
      <c r="E3863" s="312" t="str">
        <f t="shared" si="240"/>
        <v>LO</v>
      </c>
      <c r="F3863" s="369">
        <f>VLOOKUP(C3863,METADATA!$A$5:$H$29,IF(E3863="HI",2,IF(E3863="LO",6,10))+IF(D3863=1,2,IF(D3863=7,1,(IF(WEEKDAY(B3863)=1,2,IF(WEEKDAY(B3863)=7,1,0))))))</f>
        <v>1</v>
      </c>
      <c r="G3863" s="369">
        <f>VLOOKUP(C3863,METADATA!$J$5:$Q$29,IF(E3863="HI",2,IF(E3863="LO",6,10))+IF(D3863=1,2,IF(D3863=7,1,(IF(WEEKDAY(B3863)=1,2,IF(WEEKDAY(B3863)=7,1,0))))))</f>
        <v>1</v>
      </c>
      <c r="H3863" s="370">
        <v>13220.049926757813</v>
      </c>
      <c r="I3863" s="370">
        <v>4151.7901000976563</v>
      </c>
      <c r="M3863" s="371">
        <f t="shared" si="241"/>
        <v>13856.66197542677</v>
      </c>
      <c r="N3863" s="329">
        <f t="shared" si="242"/>
        <v>185.77512207031259</v>
      </c>
      <c r="T3863" s="331">
        <v>0</v>
      </c>
      <c r="U3863" s="328">
        <f>VLOOKUP(C3863,METADATA!$J$5:$Q$29,IF(E3863="HI",2,IF(E3863="LO",6,10))+IF(T3863=1,2,IF(D3863=7,1,(IF(WEEKDAY(B3863)=1,2,IF(WEEKDAY(B3863)=7,1,0))))))</f>
        <v>1</v>
      </c>
      <c r="V3863" s="328">
        <f>VLOOKUP(C3863,METADATA!$A$5:$H$29,IF(E3863="HI",2,IF(E3863="LO",6,10))+IF(T3863=1,2,IF(D3863=7,1,(IF(WEEKDAY(B3863)=1,2,IF(WEEKDAY(B3863)=7,1,0))))))</f>
        <v>1</v>
      </c>
    </row>
    <row r="3864" spans="2:22">
      <c r="B3864" s="318">
        <f t="shared" si="239"/>
        <v>46273</v>
      </c>
      <c r="C3864" s="312">
        <v>20</v>
      </c>
      <c r="D3864" s="368">
        <f>IFERROR((INDEX(METADATA!$T$2:$T$20,MATCH(B3864,METADATA!$S$2:$S$20,0))),0)</f>
        <v>0</v>
      </c>
      <c r="E3864" s="312" t="str">
        <f t="shared" si="240"/>
        <v>LO</v>
      </c>
      <c r="F3864" s="369">
        <f>VLOOKUP(C3864,METADATA!$A$5:$H$29,IF(E3864="HI",2,IF(E3864="LO",6,10))+IF(D3864=1,2,IF(D3864=7,1,(IF(WEEKDAY(B3864)=1,2,IF(WEEKDAY(B3864)=7,1,0))))))</f>
        <v>1</v>
      </c>
      <c r="G3864" s="369">
        <f>VLOOKUP(C3864,METADATA!$J$5:$Q$29,IF(E3864="HI",2,IF(E3864="LO",6,10))+IF(D3864=1,2,IF(D3864=7,1,(IF(WEEKDAY(B3864)=1,2,IF(WEEKDAY(B3864)=7,1,0))))))</f>
        <v>1</v>
      </c>
      <c r="H3864" s="370">
        <v>13545.900268554688</v>
      </c>
      <c r="I3864" s="370">
        <v>4400.199951171875</v>
      </c>
      <c r="M3864" s="371">
        <f t="shared" si="241"/>
        <v>14242.653323588373</v>
      </c>
      <c r="N3864" s="329">
        <f t="shared" si="242"/>
        <v>336.42987060546875</v>
      </c>
      <c r="T3864" s="331">
        <v>0</v>
      </c>
      <c r="U3864" s="328">
        <f>VLOOKUP(C3864,METADATA!$J$5:$Q$29,IF(E3864="HI",2,IF(E3864="LO",6,10))+IF(T3864=1,2,IF(D3864=7,1,(IF(WEEKDAY(B3864)=1,2,IF(WEEKDAY(B3864)=7,1,0))))))</f>
        <v>1</v>
      </c>
      <c r="V3864" s="328">
        <f>VLOOKUP(C3864,METADATA!$A$5:$H$29,IF(E3864="HI",2,IF(E3864="LO",6,10))+IF(T3864=1,2,IF(D3864=7,1,(IF(WEEKDAY(B3864)=1,2,IF(WEEKDAY(B3864)=7,1,0))))))</f>
        <v>1</v>
      </c>
    </row>
    <row r="3865" spans="2:22">
      <c r="B3865" s="318">
        <f t="shared" si="239"/>
        <v>46273</v>
      </c>
      <c r="C3865" s="312">
        <v>21</v>
      </c>
      <c r="D3865" s="368">
        <f>IFERROR((INDEX(METADATA!$T$2:$T$20,MATCH(B3865,METADATA!$S$2:$S$20,0))),0)</f>
        <v>0</v>
      </c>
      <c r="E3865" s="312" t="str">
        <f t="shared" si="240"/>
        <v>LO</v>
      </c>
      <c r="F3865" s="369">
        <f>VLOOKUP(C3865,METADATA!$A$5:$H$29,IF(E3865="HI",2,IF(E3865="LO",6,10))+IF(D3865=1,2,IF(D3865=7,1,(IF(WEEKDAY(B3865)=1,2,IF(WEEKDAY(B3865)=7,1,0))))))</f>
        <v>2</v>
      </c>
      <c r="G3865" s="369">
        <f>VLOOKUP(C3865,METADATA!$J$5:$Q$29,IF(E3865="HI",2,IF(E3865="LO",6,10))+IF(D3865=1,2,IF(D3865=7,1,(IF(WEEKDAY(B3865)=1,2,IF(WEEKDAY(B3865)=7,1,0))))))</f>
        <v>2</v>
      </c>
      <c r="H3865" s="370">
        <v>13544.424926757813</v>
      </c>
      <c r="I3865" s="370">
        <v>4483.1850280761719</v>
      </c>
      <c r="M3865" s="371">
        <f t="shared" si="241"/>
        <v>14267.108837902117</v>
      </c>
      <c r="N3865" s="329">
        <f t="shared" si="242"/>
        <v>419.85755004882822</v>
      </c>
      <c r="T3865" s="331">
        <v>0</v>
      </c>
      <c r="U3865" s="328">
        <f>VLOOKUP(C3865,METADATA!$J$5:$Q$29,IF(E3865="HI",2,IF(E3865="LO",6,10))+IF(T3865=1,2,IF(D3865=7,1,(IF(WEEKDAY(B3865)=1,2,IF(WEEKDAY(B3865)=7,1,0))))))</f>
        <v>2</v>
      </c>
      <c r="V3865" s="328">
        <f>VLOOKUP(C3865,METADATA!$A$5:$H$29,IF(E3865="HI",2,IF(E3865="LO",6,10))+IF(T3865=1,2,IF(D3865=7,1,(IF(WEEKDAY(B3865)=1,2,IF(WEEKDAY(B3865)=7,1,0))))))</f>
        <v>2</v>
      </c>
    </row>
    <row r="3866" spans="2:22">
      <c r="B3866" s="318">
        <f t="shared" si="239"/>
        <v>46273</v>
      </c>
      <c r="C3866" s="312">
        <v>22</v>
      </c>
      <c r="D3866" s="368">
        <f>IFERROR((INDEX(METADATA!$T$2:$T$20,MATCH(B3866,METADATA!$S$2:$S$20,0))),0)</f>
        <v>0</v>
      </c>
      <c r="E3866" s="312" t="str">
        <f t="shared" si="240"/>
        <v>LO</v>
      </c>
      <c r="F3866" s="369">
        <f>VLOOKUP(C3866,METADATA!$A$5:$H$29,IF(E3866="HI",2,IF(E3866="LO",6,10))+IF(D3866=1,2,IF(D3866=7,1,(IF(WEEKDAY(B3866)=1,2,IF(WEEKDAY(B3866)=7,1,0))))))</f>
        <v>3</v>
      </c>
      <c r="G3866" s="369">
        <f>VLOOKUP(C3866,METADATA!$J$5:$Q$29,IF(E3866="HI",2,IF(E3866="LO",6,10))+IF(D3866=1,2,IF(D3866=7,1,(IF(WEEKDAY(B3866)=1,2,IF(WEEKDAY(B3866)=7,1,0))))))</f>
        <v>3</v>
      </c>
      <c r="H3866" s="370">
        <v>13186.325073242188</v>
      </c>
      <c r="I3866" s="370">
        <v>4266.114990234375</v>
      </c>
      <c r="M3866" s="371">
        <f t="shared" si="241"/>
        <v>13859.253444797017</v>
      </c>
      <c r="N3866" s="329">
        <f t="shared" si="242"/>
        <v>310.21746826171875</v>
      </c>
      <c r="T3866" s="331">
        <v>0</v>
      </c>
      <c r="U3866" s="328">
        <f>VLOOKUP(C3866,METADATA!$J$5:$Q$29,IF(E3866="HI",2,IF(E3866="LO",6,10))+IF(T3866=1,2,IF(D3866=7,1,(IF(WEEKDAY(B3866)=1,2,IF(WEEKDAY(B3866)=7,1,0))))))</f>
        <v>3</v>
      </c>
      <c r="V3866" s="328">
        <f>VLOOKUP(C3866,METADATA!$A$5:$H$29,IF(E3866="HI",2,IF(E3866="LO",6,10))+IF(T3866=1,2,IF(D3866=7,1,(IF(WEEKDAY(B3866)=1,2,IF(WEEKDAY(B3866)=7,1,0))))))</f>
        <v>3</v>
      </c>
    </row>
    <row r="3867" spans="2:22">
      <c r="B3867" s="318">
        <f t="shared" si="239"/>
        <v>46273</v>
      </c>
      <c r="C3867" s="312">
        <v>23</v>
      </c>
      <c r="D3867" s="368">
        <f>IFERROR((INDEX(METADATA!$T$2:$T$20,MATCH(B3867,METADATA!$S$2:$S$20,0))),0)</f>
        <v>0</v>
      </c>
      <c r="E3867" s="312" t="str">
        <f t="shared" si="240"/>
        <v>LO</v>
      </c>
      <c r="F3867" s="369">
        <f>VLOOKUP(C3867,METADATA!$A$5:$H$29,IF(E3867="HI",2,IF(E3867="LO",6,10))+IF(D3867=1,2,IF(D3867=7,1,(IF(WEEKDAY(B3867)=1,2,IF(WEEKDAY(B3867)=7,1,0))))))</f>
        <v>3</v>
      </c>
      <c r="G3867" s="369">
        <f>VLOOKUP(C3867,METADATA!$J$5:$Q$29,IF(E3867="HI",2,IF(E3867="LO",6,10))+IF(D3867=1,2,IF(D3867=7,1,(IF(WEEKDAY(B3867)=1,2,IF(WEEKDAY(B3867)=7,1,0))))))</f>
        <v>3</v>
      </c>
      <c r="H3867" s="370">
        <v>13161.69970703125</v>
      </c>
      <c r="I3867" s="370">
        <v>4289.3000183105469</v>
      </c>
      <c r="M3867" s="371">
        <f t="shared" si="241"/>
        <v>13842.992228024452</v>
      </c>
      <c r="N3867" s="329">
        <f t="shared" si="242"/>
        <v>340.79010620117197</v>
      </c>
      <c r="T3867" s="331">
        <v>0</v>
      </c>
      <c r="U3867" s="328">
        <f>VLOOKUP(C3867,METADATA!$J$5:$Q$29,IF(E3867="HI",2,IF(E3867="LO",6,10))+IF(T3867=1,2,IF(D3867=7,1,(IF(WEEKDAY(B3867)=1,2,IF(WEEKDAY(B3867)=7,1,0))))))</f>
        <v>3</v>
      </c>
      <c r="V3867" s="328">
        <f>VLOOKUP(C3867,METADATA!$A$5:$H$29,IF(E3867="HI",2,IF(E3867="LO",6,10))+IF(T3867=1,2,IF(D3867=7,1,(IF(WEEKDAY(B3867)=1,2,IF(WEEKDAY(B3867)=7,1,0))))))</f>
        <v>3</v>
      </c>
    </row>
    <row r="3868" spans="2:22">
      <c r="B3868" s="318">
        <f t="shared" ref="B3868:B3931" si="243">B3844+1</f>
        <v>46274</v>
      </c>
      <c r="C3868" s="312">
        <v>0</v>
      </c>
      <c r="D3868" s="368">
        <f>IFERROR((INDEX(METADATA!$T$2:$T$20,MATCH(B3868,METADATA!$S$2:$S$20,0))),0)</f>
        <v>0</v>
      </c>
      <c r="E3868" s="312" t="str">
        <f t="shared" si="240"/>
        <v>LO</v>
      </c>
      <c r="F3868" s="369">
        <f>VLOOKUP(C3868,METADATA!$A$5:$H$29,IF(E3868="HI",2,IF(E3868="LO",6,10))+IF(D3868=1,2,IF(D3868=7,1,(IF(WEEKDAY(B3868)=1,2,IF(WEEKDAY(B3868)=7,1,0))))))</f>
        <v>3</v>
      </c>
      <c r="G3868" s="369">
        <f>VLOOKUP(C3868,METADATA!$J$5:$Q$29,IF(E3868="HI",2,IF(E3868="LO",6,10))+IF(D3868=1,2,IF(D3868=7,1,(IF(WEEKDAY(B3868)=1,2,IF(WEEKDAY(B3868)=7,1,0))))))</f>
        <v>3</v>
      </c>
      <c r="H3868" s="370">
        <v>13066.399780273438</v>
      </c>
      <c r="I3868" s="370">
        <v>4269.3498840332031</v>
      </c>
      <c r="M3868" s="371">
        <f t="shared" si="241"/>
        <v>13746.204990841074</v>
      </c>
      <c r="N3868" s="329">
        <f t="shared" si="242"/>
        <v>349.42994995117215</v>
      </c>
      <c r="T3868" s="331">
        <v>0</v>
      </c>
      <c r="U3868" s="328">
        <f>VLOOKUP(C3868,METADATA!$J$5:$Q$29,IF(E3868="HI",2,IF(E3868="LO",6,10))+IF(T3868=1,2,IF(D3868=7,1,(IF(WEEKDAY(B3868)=1,2,IF(WEEKDAY(B3868)=7,1,0))))))</f>
        <v>3</v>
      </c>
      <c r="V3868" s="328">
        <f>VLOOKUP(C3868,METADATA!$A$5:$H$29,IF(E3868="HI",2,IF(E3868="LO",6,10))+IF(T3868=1,2,IF(D3868=7,1,(IF(WEEKDAY(B3868)=1,2,IF(WEEKDAY(B3868)=7,1,0))))))</f>
        <v>3</v>
      </c>
    </row>
    <row r="3869" spans="2:22">
      <c r="B3869" s="318">
        <f t="shared" si="243"/>
        <v>46274</v>
      </c>
      <c r="C3869" s="312">
        <v>1</v>
      </c>
      <c r="D3869" s="368">
        <f>IFERROR((INDEX(METADATA!$T$2:$T$20,MATCH(B3869,METADATA!$S$2:$S$20,0))),0)</f>
        <v>0</v>
      </c>
      <c r="E3869" s="312" t="str">
        <f t="shared" si="240"/>
        <v>LO</v>
      </c>
      <c r="F3869" s="369">
        <f>VLOOKUP(C3869,METADATA!$A$5:$H$29,IF(E3869="HI",2,IF(E3869="LO",6,10))+IF(D3869=1,2,IF(D3869=7,1,(IF(WEEKDAY(B3869)=1,2,IF(WEEKDAY(B3869)=7,1,0))))))</f>
        <v>3</v>
      </c>
      <c r="G3869" s="369">
        <f>VLOOKUP(C3869,METADATA!$J$5:$Q$29,IF(E3869="HI",2,IF(E3869="LO",6,10))+IF(D3869=1,2,IF(D3869=7,1,(IF(WEEKDAY(B3869)=1,2,IF(WEEKDAY(B3869)=7,1,0))))))</f>
        <v>3</v>
      </c>
      <c r="H3869" s="370">
        <v>13110.797729492188</v>
      </c>
      <c r="I3869" s="370">
        <v>4324.8999633789063</v>
      </c>
      <c r="M3869" s="371">
        <f t="shared" si="241"/>
        <v>13805.715367082299</v>
      </c>
      <c r="N3869" s="329">
        <f t="shared" si="242"/>
        <v>391.66064453125</v>
      </c>
      <c r="T3869" s="331">
        <v>0</v>
      </c>
      <c r="U3869" s="328">
        <f>VLOOKUP(C3869,METADATA!$J$5:$Q$29,IF(E3869="HI",2,IF(E3869="LO",6,10))+IF(T3869=1,2,IF(D3869=7,1,(IF(WEEKDAY(B3869)=1,2,IF(WEEKDAY(B3869)=7,1,0))))))</f>
        <v>3</v>
      </c>
      <c r="V3869" s="328">
        <f>VLOOKUP(C3869,METADATA!$A$5:$H$29,IF(E3869="HI",2,IF(E3869="LO",6,10))+IF(T3869=1,2,IF(D3869=7,1,(IF(WEEKDAY(B3869)=1,2,IF(WEEKDAY(B3869)=7,1,0))))))</f>
        <v>3</v>
      </c>
    </row>
    <row r="3870" spans="2:22">
      <c r="B3870" s="318">
        <f t="shared" si="243"/>
        <v>46274</v>
      </c>
      <c r="C3870" s="312">
        <v>2</v>
      </c>
      <c r="D3870" s="368">
        <f>IFERROR((INDEX(METADATA!$T$2:$T$20,MATCH(B3870,METADATA!$S$2:$S$20,0))),0)</f>
        <v>0</v>
      </c>
      <c r="E3870" s="312" t="str">
        <f t="shared" si="240"/>
        <v>LO</v>
      </c>
      <c r="F3870" s="369">
        <f>VLOOKUP(C3870,METADATA!$A$5:$H$29,IF(E3870="HI",2,IF(E3870="LO",6,10))+IF(D3870=1,2,IF(D3870=7,1,(IF(WEEKDAY(B3870)=1,2,IF(WEEKDAY(B3870)=7,1,0))))))</f>
        <v>3</v>
      </c>
      <c r="G3870" s="369">
        <f>VLOOKUP(C3870,METADATA!$J$5:$Q$29,IF(E3870="HI",2,IF(E3870="LO",6,10))+IF(D3870=1,2,IF(D3870=7,1,(IF(WEEKDAY(B3870)=1,2,IF(WEEKDAY(B3870)=7,1,0))))))</f>
        <v>3</v>
      </c>
      <c r="H3870" s="370">
        <v>13135.525207519531</v>
      </c>
      <c r="I3870" s="370">
        <v>4363.7799072265625</v>
      </c>
      <c r="M3870" s="371">
        <f t="shared" si="241"/>
        <v>13841.408799544044</v>
      </c>
      <c r="N3870" s="329">
        <f t="shared" si="242"/>
        <v>423.12234497070313</v>
      </c>
      <c r="T3870" s="331">
        <v>0</v>
      </c>
      <c r="U3870" s="328">
        <f>VLOOKUP(C3870,METADATA!$J$5:$Q$29,IF(E3870="HI",2,IF(E3870="LO",6,10))+IF(T3870=1,2,IF(D3870=7,1,(IF(WEEKDAY(B3870)=1,2,IF(WEEKDAY(B3870)=7,1,0))))))</f>
        <v>3</v>
      </c>
      <c r="V3870" s="328">
        <f>VLOOKUP(C3870,METADATA!$A$5:$H$29,IF(E3870="HI",2,IF(E3870="LO",6,10))+IF(T3870=1,2,IF(D3870=7,1,(IF(WEEKDAY(B3870)=1,2,IF(WEEKDAY(B3870)=7,1,0))))))</f>
        <v>3</v>
      </c>
    </row>
    <row r="3871" spans="2:22">
      <c r="B3871" s="318">
        <f t="shared" si="243"/>
        <v>46274</v>
      </c>
      <c r="C3871" s="312">
        <v>3</v>
      </c>
      <c r="D3871" s="368">
        <f>IFERROR((INDEX(METADATA!$T$2:$T$20,MATCH(B3871,METADATA!$S$2:$S$20,0))),0)</f>
        <v>0</v>
      </c>
      <c r="E3871" s="312" t="str">
        <f t="shared" si="240"/>
        <v>LO</v>
      </c>
      <c r="F3871" s="369">
        <f>VLOOKUP(C3871,METADATA!$A$5:$H$29,IF(E3871="HI",2,IF(E3871="LO",6,10))+IF(D3871=1,2,IF(D3871=7,1,(IF(WEEKDAY(B3871)=1,2,IF(WEEKDAY(B3871)=7,1,0))))))</f>
        <v>3</v>
      </c>
      <c r="G3871" s="369">
        <f>VLOOKUP(C3871,METADATA!$J$5:$Q$29,IF(E3871="HI",2,IF(E3871="LO",6,10))+IF(D3871=1,2,IF(D3871=7,1,(IF(WEEKDAY(B3871)=1,2,IF(WEEKDAY(B3871)=7,1,0))))))</f>
        <v>3</v>
      </c>
      <c r="H3871" s="370">
        <v>13169.900024414063</v>
      </c>
      <c r="I3871" s="370">
        <v>4352.080078125</v>
      </c>
      <c r="M3871" s="371">
        <f t="shared" si="241"/>
        <v>13870.359319767964</v>
      </c>
      <c r="N3871" s="329">
        <f t="shared" si="242"/>
        <v>401.11007080078161</v>
      </c>
      <c r="T3871" s="331">
        <v>0</v>
      </c>
      <c r="U3871" s="328">
        <f>VLOOKUP(C3871,METADATA!$J$5:$Q$29,IF(E3871="HI",2,IF(E3871="LO",6,10))+IF(T3871=1,2,IF(D3871=7,1,(IF(WEEKDAY(B3871)=1,2,IF(WEEKDAY(B3871)=7,1,0))))))</f>
        <v>3</v>
      </c>
      <c r="V3871" s="328">
        <f>VLOOKUP(C3871,METADATA!$A$5:$H$29,IF(E3871="HI",2,IF(E3871="LO",6,10))+IF(T3871=1,2,IF(D3871=7,1,(IF(WEEKDAY(B3871)=1,2,IF(WEEKDAY(B3871)=7,1,0))))))</f>
        <v>3</v>
      </c>
    </row>
    <row r="3872" spans="2:22">
      <c r="B3872" s="318">
        <f t="shared" si="243"/>
        <v>46274</v>
      </c>
      <c r="C3872" s="312">
        <v>4</v>
      </c>
      <c r="D3872" s="368">
        <f>IFERROR((INDEX(METADATA!$T$2:$T$20,MATCH(B3872,METADATA!$S$2:$S$20,0))),0)</f>
        <v>0</v>
      </c>
      <c r="E3872" s="312" t="str">
        <f t="shared" si="240"/>
        <v>LO</v>
      </c>
      <c r="F3872" s="369">
        <f>VLOOKUP(C3872,METADATA!$A$5:$H$29,IF(E3872="HI",2,IF(E3872="LO",6,10))+IF(D3872=1,2,IF(D3872=7,1,(IF(WEEKDAY(B3872)=1,2,IF(WEEKDAY(B3872)=7,1,0))))))</f>
        <v>3</v>
      </c>
      <c r="G3872" s="369">
        <f>VLOOKUP(C3872,METADATA!$J$5:$Q$29,IF(E3872="HI",2,IF(E3872="LO",6,10))+IF(D3872=1,2,IF(D3872=7,1,(IF(WEEKDAY(B3872)=1,2,IF(WEEKDAY(B3872)=7,1,0))))))</f>
        <v>3</v>
      </c>
      <c r="H3872" s="370">
        <v>13352.675354003906</v>
      </c>
      <c r="I3872" s="370">
        <v>4297.3150024414063</v>
      </c>
      <c r="M3872" s="371">
        <f t="shared" si="241"/>
        <v>14027.147084836293</v>
      </c>
      <c r="N3872" s="329">
        <f t="shared" si="242"/>
        <v>291.51239624023447</v>
      </c>
      <c r="T3872" s="331">
        <v>0</v>
      </c>
      <c r="U3872" s="328">
        <f>VLOOKUP(C3872,METADATA!$J$5:$Q$29,IF(E3872="HI",2,IF(E3872="LO",6,10))+IF(T3872=1,2,IF(D3872=7,1,(IF(WEEKDAY(B3872)=1,2,IF(WEEKDAY(B3872)=7,1,0))))))</f>
        <v>3</v>
      </c>
      <c r="V3872" s="328">
        <f>VLOOKUP(C3872,METADATA!$A$5:$H$29,IF(E3872="HI",2,IF(E3872="LO",6,10))+IF(T3872=1,2,IF(D3872=7,1,(IF(WEEKDAY(B3872)=1,2,IF(WEEKDAY(B3872)=7,1,0))))))</f>
        <v>3</v>
      </c>
    </row>
    <row r="3873" spans="2:22">
      <c r="B3873" s="318">
        <f t="shared" si="243"/>
        <v>46274</v>
      </c>
      <c r="C3873" s="312">
        <v>5</v>
      </c>
      <c r="D3873" s="368">
        <f>IFERROR((INDEX(METADATA!$T$2:$T$20,MATCH(B3873,METADATA!$S$2:$S$20,0))),0)</f>
        <v>0</v>
      </c>
      <c r="E3873" s="312" t="str">
        <f t="shared" si="240"/>
        <v>LO</v>
      </c>
      <c r="F3873" s="369">
        <f>VLOOKUP(C3873,METADATA!$A$5:$H$29,IF(E3873="HI",2,IF(E3873="LO",6,10))+IF(D3873=1,2,IF(D3873=7,1,(IF(WEEKDAY(B3873)=1,2,IF(WEEKDAY(B3873)=7,1,0))))))</f>
        <v>3</v>
      </c>
      <c r="G3873" s="369">
        <f>VLOOKUP(C3873,METADATA!$J$5:$Q$29,IF(E3873="HI",2,IF(E3873="LO",6,10))+IF(D3873=1,2,IF(D3873=7,1,(IF(WEEKDAY(B3873)=1,2,IF(WEEKDAY(B3873)=7,1,0))))))</f>
        <v>3</v>
      </c>
      <c r="H3873" s="370">
        <v>13402.175109863281</v>
      </c>
      <c r="I3873" s="370">
        <v>4304.7150268554688</v>
      </c>
      <c r="M3873" s="371">
        <f t="shared" si="241"/>
        <v>14076.53612000744</v>
      </c>
      <c r="N3873" s="329">
        <f t="shared" si="242"/>
        <v>284.06249389648474</v>
      </c>
      <c r="T3873" s="331">
        <v>0</v>
      </c>
      <c r="U3873" s="328">
        <f>VLOOKUP(C3873,METADATA!$J$5:$Q$29,IF(E3873="HI",2,IF(E3873="LO",6,10))+IF(T3873=1,2,IF(D3873=7,1,(IF(WEEKDAY(B3873)=1,2,IF(WEEKDAY(B3873)=7,1,0))))))</f>
        <v>3</v>
      </c>
      <c r="V3873" s="328">
        <f>VLOOKUP(C3873,METADATA!$A$5:$H$29,IF(E3873="HI",2,IF(E3873="LO",6,10))+IF(T3873=1,2,IF(D3873=7,1,(IF(WEEKDAY(B3873)=1,2,IF(WEEKDAY(B3873)=7,1,0))))))</f>
        <v>3</v>
      </c>
    </row>
    <row r="3874" spans="2:22">
      <c r="B3874" s="318">
        <f t="shared" si="243"/>
        <v>46274</v>
      </c>
      <c r="C3874" s="312">
        <v>6</v>
      </c>
      <c r="D3874" s="368">
        <f>IFERROR((INDEX(METADATA!$T$2:$T$20,MATCH(B3874,METADATA!$S$2:$S$20,0))),0)</f>
        <v>0</v>
      </c>
      <c r="E3874" s="312" t="str">
        <f t="shared" si="240"/>
        <v>LO</v>
      </c>
      <c r="F3874" s="369">
        <f>VLOOKUP(C3874,METADATA!$A$5:$H$29,IF(E3874="HI",2,IF(E3874="LO",6,10))+IF(D3874=1,2,IF(D3874=7,1,(IF(WEEKDAY(B3874)=1,2,IF(WEEKDAY(B3874)=7,1,0))))))</f>
        <v>2</v>
      </c>
      <c r="G3874" s="369">
        <f>VLOOKUP(C3874,METADATA!$J$5:$Q$29,IF(E3874="HI",2,IF(E3874="LO",6,10))+IF(D3874=1,2,IF(D3874=7,1,(IF(WEEKDAY(B3874)=1,2,IF(WEEKDAY(B3874)=7,1,0))))))</f>
        <v>2</v>
      </c>
      <c r="H3874" s="370">
        <v>12392.849731445313</v>
      </c>
      <c r="I3874" s="370">
        <v>3703.472412109375</v>
      </c>
      <c r="M3874" s="371">
        <f t="shared" si="241"/>
        <v>12934.38952457515</v>
      </c>
      <c r="N3874" s="329">
        <f t="shared" si="242"/>
        <v>0</v>
      </c>
      <c r="T3874" s="331">
        <v>0</v>
      </c>
      <c r="U3874" s="328">
        <f>VLOOKUP(C3874,METADATA!$J$5:$Q$29,IF(E3874="HI",2,IF(E3874="LO",6,10))+IF(T3874=1,2,IF(D3874=7,1,(IF(WEEKDAY(B3874)=1,2,IF(WEEKDAY(B3874)=7,1,0))))))</f>
        <v>2</v>
      </c>
      <c r="V3874" s="328">
        <f>VLOOKUP(C3874,METADATA!$A$5:$H$29,IF(E3874="HI",2,IF(E3874="LO",6,10))+IF(T3874=1,2,IF(D3874=7,1,(IF(WEEKDAY(B3874)=1,2,IF(WEEKDAY(B3874)=7,1,0))))))</f>
        <v>2</v>
      </c>
    </row>
    <row r="3875" spans="2:22">
      <c r="B3875" s="318">
        <f t="shared" si="243"/>
        <v>46274</v>
      </c>
      <c r="C3875" s="312">
        <v>7</v>
      </c>
      <c r="D3875" s="368">
        <f>IFERROR((INDEX(METADATA!$T$2:$T$20,MATCH(B3875,METADATA!$S$2:$S$20,0))),0)</f>
        <v>0</v>
      </c>
      <c r="E3875" s="312" t="str">
        <f t="shared" si="240"/>
        <v>LO</v>
      </c>
      <c r="F3875" s="369">
        <f>VLOOKUP(C3875,METADATA!$A$5:$H$29,IF(E3875="HI",2,IF(E3875="LO",6,10))+IF(D3875=1,2,IF(D3875=7,1,(IF(WEEKDAY(B3875)=1,2,IF(WEEKDAY(B3875)=7,1,0))))))</f>
        <v>1</v>
      </c>
      <c r="G3875" s="369">
        <f>VLOOKUP(C3875,METADATA!$J$5:$Q$29,IF(E3875="HI",2,IF(E3875="LO",6,10))+IF(D3875=1,2,IF(D3875=7,1,(IF(WEEKDAY(B3875)=1,2,IF(WEEKDAY(B3875)=7,1,0))))))</f>
        <v>1</v>
      </c>
      <c r="H3875" s="370">
        <v>13272.89990234375</v>
      </c>
      <c r="I3875" s="370">
        <v>4121.3249816894531</v>
      </c>
      <c r="M3875" s="371">
        <f t="shared" si="241"/>
        <v>13898.028328591588</v>
      </c>
      <c r="N3875" s="329">
        <f t="shared" si="242"/>
        <v>139.45501098632849</v>
      </c>
      <c r="T3875" s="331">
        <v>0</v>
      </c>
      <c r="U3875" s="328">
        <f>VLOOKUP(C3875,METADATA!$J$5:$Q$29,IF(E3875="HI",2,IF(E3875="LO",6,10))+IF(T3875=1,2,IF(D3875=7,1,(IF(WEEKDAY(B3875)=1,2,IF(WEEKDAY(B3875)=7,1,0))))))</f>
        <v>1</v>
      </c>
      <c r="V3875" s="328">
        <f>VLOOKUP(C3875,METADATA!$A$5:$H$29,IF(E3875="HI",2,IF(E3875="LO",6,10))+IF(T3875=1,2,IF(D3875=7,1,(IF(WEEKDAY(B3875)=1,2,IF(WEEKDAY(B3875)=7,1,0))))))</f>
        <v>1</v>
      </c>
    </row>
    <row r="3876" spans="2:22">
      <c r="B3876" s="318">
        <f t="shared" si="243"/>
        <v>46274</v>
      </c>
      <c r="C3876" s="312">
        <v>8</v>
      </c>
      <c r="D3876" s="368">
        <f>IFERROR((INDEX(METADATA!$T$2:$T$20,MATCH(B3876,METADATA!$S$2:$S$20,0))),0)</f>
        <v>0</v>
      </c>
      <c r="E3876" s="312" t="str">
        <f t="shared" si="240"/>
        <v>LO</v>
      </c>
      <c r="F3876" s="369">
        <f>VLOOKUP(C3876,METADATA!$A$5:$H$29,IF(E3876="HI",2,IF(E3876="LO",6,10))+IF(D3876=1,2,IF(D3876=7,1,(IF(WEEKDAY(B3876)=1,2,IF(WEEKDAY(B3876)=7,1,0))))))</f>
        <v>1</v>
      </c>
      <c r="G3876" s="369">
        <f>VLOOKUP(C3876,METADATA!$J$5:$Q$29,IF(E3876="HI",2,IF(E3876="LO",6,10))+IF(D3876=1,2,IF(D3876=7,1,(IF(WEEKDAY(B3876)=1,2,IF(WEEKDAY(B3876)=7,1,0))))))</f>
        <v>1</v>
      </c>
      <c r="H3876" s="370">
        <v>13564.300048828125</v>
      </c>
      <c r="I3876" s="370">
        <v>4137.3449401855469</v>
      </c>
      <c r="M3876" s="371">
        <f t="shared" si="241"/>
        <v>14181.250261127107</v>
      </c>
      <c r="N3876" s="329">
        <f t="shared" si="242"/>
        <v>68.054925537109739</v>
      </c>
      <c r="T3876" s="331">
        <v>0</v>
      </c>
      <c r="U3876" s="328">
        <f>VLOOKUP(C3876,METADATA!$J$5:$Q$29,IF(E3876="HI",2,IF(E3876="LO",6,10))+IF(T3876=1,2,IF(D3876=7,1,(IF(WEEKDAY(B3876)=1,2,IF(WEEKDAY(B3876)=7,1,0))))))</f>
        <v>1</v>
      </c>
      <c r="V3876" s="328">
        <f>VLOOKUP(C3876,METADATA!$A$5:$H$29,IF(E3876="HI",2,IF(E3876="LO",6,10))+IF(T3876=1,2,IF(D3876=7,1,(IF(WEEKDAY(B3876)=1,2,IF(WEEKDAY(B3876)=7,1,0))))))</f>
        <v>1</v>
      </c>
    </row>
    <row r="3877" spans="2:22">
      <c r="B3877" s="318">
        <f t="shared" si="243"/>
        <v>46274</v>
      </c>
      <c r="C3877" s="312">
        <v>9</v>
      </c>
      <c r="D3877" s="368">
        <f>IFERROR((INDEX(METADATA!$T$2:$T$20,MATCH(B3877,METADATA!$S$2:$S$20,0))),0)</f>
        <v>0</v>
      </c>
      <c r="E3877" s="312" t="str">
        <f t="shared" si="240"/>
        <v>LO</v>
      </c>
      <c r="F3877" s="369">
        <f>VLOOKUP(C3877,METADATA!$A$5:$H$29,IF(E3877="HI",2,IF(E3877="LO",6,10))+IF(D3877=1,2,IF(D3877=7,1,(IF(WEEKDAY(B3877)=1,2,IF(WEEKDAY(B3877)=7,1,0))))))</f>
        <v>2</v>
      </c>
      <c r="G3877" s="369">
        <f>VLOOKUP(C3877,METADATA!$J$5:$Q$29,IF(E3877="HI",2,IF(E3877="LO",6,10))+IF(D3877=1,2,IF(D3877=7,1,(IF(WEEKDAY(B3877)=1,2,IF(WEEKDAY(B3877)=7,1,0))))))</f>
        <v>2</v>
      </c>
      <c r="H3877" s="370">
        <v>13419.124938964844</v>
      </c>
      <c r="I3877" s="370">
        <v>3968.1800231933594</v>
      </c>
      <c r="M3877" s="371">
        <f t="shared" si="241"/>
        <v>13993.547328108734</v>
      </c>
      <c r="N3877" s="329">
        <f t="shared" si="242"/>
        <v>0</v>
      </c>
      <c r="T3877" s="331">
        <v>0</v>
      </c>
      <c r="U3877" s="328">
        <f>VLOOKUP(C3877,METADATA!$J$5:$Q$29,IF(E3877="HI",2,IF(E3877="LO",6,10))+IF(T3877=1,2,IF(D3877=7,1,(IF(WEEKDAY(B3877)=1,2,IF(WEEKDAY(B3877)=7,1,0))))))</f>
        <v>2</v>
      </c>
      <c r="V3877" s="328">
        <f>VLOOKUP(C3877,METADATA!$A$5:$H$29,IF(E3877="HI",2,IF(E3877="LO",6,10))+IF(T3877=1,2,IF(D3877=7,1,(IF(WEEKDAY(B3877)=1,2,IF(WEEKDAY(B3877)=7,1,0))))))</f>
        <v>2</v>
      </c>
    </row>
    <row r="3878" spans="2:22">
      <c r="B3878" s="318">
        <f t="shared" si="243"/>
        <v>46274</v>
      </c>
      <c r="C3878" s="312">
        <v>10</v>
      </c>
      <c r="D3878" s="368">
        <f>IFERROR((INDEX(METADATA!$T$2:$T$20,MATCH(B3878,METADATA!$S$2:$S$20,0))),0)</f>
        <v>0</v>
      </c>
      <c r="E3878" s="312" t="str">
        <f t="shared" si="240"/>
        <v>LO</v>
      </c>
      <c r="F3878" s="369">
        <f>VLOOKUP(C3878,METADATA!$A$5:$H$29,IF(E3878="HI",2,IF(E3878="LO",6,10))+IF(D3878=1,2,IF(D3878=7,1,(IF(WEEKDAY(B3878)=1,2,IF(WEEKDAY(B3878)=7,1,0))))))</f>
        <v>2</v>
      </c>
      <c r="G3878" s="369">
        <f>VLOOKUP(C3878,METADATA!$J$5:$Q$29,IF(E3878="HI",2,IF(E3878="LO",6,10))+IF(D3878=1,2,IF(D3878=7,1,(IF(WEEKDAY(B3878)=1,2,IF(WEEKDAY(B3878)=7,1,0))))))</f>
        <v>2</v>
      </c>
      <c r="H3878" s="370">
        <v>11042.025451660156</v>
      </c>
      <c r="I3878" s="370">
        <v>2700.6449584960938</v>
      </c>
      <c r="M3878" s="371">
        <f t="shared" si="241"/>
        <v>11367.489136434706</v>
      </c>
      <c r="N3878" s="329">
        <f t="shared" si="242"/>
        <v>0</v>
      </c>
      <c r="T3878" s="331">
        <v>0</v>
      </c>
      <c r="U3878" s="328">
        <f>VLOOKUP(C3878,METADATA!$J$5:$Q$29,IF(E3878="HI",2,IF(E3878="LO",6,10))+IF(T3878=1,2,IF(D3878=7,1,(IF(WEEKDAY(B3878)=1,2,IF(WEEKDAY(B3878)=7,1,0))))))</f>
        <v>2</v>
      </c>
      <c r="V3878" s="328">
        <f>VLOOKUP(C3878,METADATA!$A$5:$H$29,IF(E3878="HI",2,IF(E3878="LO",6,10))+IF(T3878=1,2,IF(D3878=7,1,(IF(WEEKDAY(B3878)=1,2,IF(WEEKDAY(B3878)=7,1,0))))))</f>
        <v>2</v>
      </c>
    </row>
    <row r="3879" spans="2:22">
      <c r="B3879" s="318">
        <f t="shared" si="243"/>
        <v>46274</v>
      </c>
      <c r="C3879" s="312">
        <v>11</v>
      </c>
      <c r="D3879" s="368">
        <f>IFERROR((INDEX(METADATA!$T$2:$T$20,MATCH(B3879,METADATA!$S$2:$S$20,0))),0)</f>
        <v>0</v>
      </c>
      <c r="E3879" s="312" t="str">
        <f t="shared" si="240"/>
        <v>LO</v>
      </c>
      <c r="F3879" s="369">
        <f>VLOOKUP(C3879,METADATA!$A$5:$H$29,IF(E3879="HI",2,IF(E3879="LO",6,10))+IF(D3879=1,2,IF(D3879=7,1,(IF(WEEKDAY(B3879)=1,2,IF(WEEKDAY(B3879)=7,1,0))))))</f>
        <v>2</v>
      </c>
      <c r="G3879" s="369">
        <f>VLOOKUP(C3879,METADATA!$J$5:$Q$29,IF(E3879="HI",2,IF(E3879="LO",6,10))+IF(D3879=1,2,IF(D3879=7,1,(IF(WEEKDAY(B3879)=1,2,IF(WEEKDAY(B3879)=7,1,0))))))</f>
        <v>2</v>
      </c>
      <c r="H3879" s="370">
        <v>11099.149780273438</v>
      </c>
      <c r="I3879" s="370">
        <v>2665.9900054931641</v>
      </c>
      <c r="M3879" s="371">
        <f t="shared" si="241"/>
        <v>11414.842467346334</v>
      </c>
      <c r="N3879" s="329">
        <f t="shared" si="242"/>
        <v>0</v>
      </c>
      <c r="T3879" s="331">
        <v>0</v>
      </c>
      <c r="U3879" s="328">
        <f>VLOOKUP(C3879,METADATA!$J$5:$Q$29,IF(E3879="HI",2,IF(E3879="LO",6,10))+IF(T3879=1,2,IF(D3879=7,1,(IF(WEEKDAY(B3879)=1,2,IF(WEEKDAY(B3879)=7,1,0))))))</f>
        <v>2</v>
      </c>
      <c r="V3879" s="328">
        <f>VLOOKUP(C3879,METADATA!$A$5:$H$29,IF(E3879="HI",2,IF(E3879="LO",6,10))+IF(T3879=1,2,IF(D3879=7,1,(IF(WEEKDAY(B3879)=1,2,IF(WEEKDAY(B3879)=7,1,0))))))</f>
        <v>2</v>
      </c>
    </row>
    <row r="3880" spans="2:22">
      <c r="B3880" s="318">
        <f t="shared" si="243"/>
        <v>46274</v>
      </c>
      <c r="C3880" s="312">
        <v>12</v>
      </c>
      <c r="D3880" s="368">
        <f>IFERROR((INDEX(METADATA!$T$2:$T$20,MATCH(B3880,METADATA!$S$2:$S$20,0))),0)</f>
        <v>0</v>
      </c>
      <c r="E3880" s="312" t="str">
        <f t="shared" si="240"/>
        <v>LO</v>
      </c>
      <c r="F3880" s="369">
        <f>VLOOKUP(C3880,METADATA!$A$5:$H$29,IF(E3880="HI",2,IF(E3880="LO",6,10))+IF(D3880=1,2,IF(D3880=7,1,(IF(WEEKDAY(B3880)=1,2,IF(WEEKDAY(B3880)=7,1,0))))))</f>
        <v>2</v>
      </c>
      <c r="G3880" s="369">
        <f>VLOOKUP(C3880,METADATA!$J$5:$Q$29,IF(E3880="HI",2,IF(E3880="LO",6,10))+IF(D3880=1,2,IF(D3880=7,1,(IF(WEEKDAY(B3880)=1,2,IF(WEEKDAY(B3880)=7,1,0))))))</f>
        <v>2</v>
      </c>
      <c r="H3880" s="370">
        <v>13787.124633789063</v>
      </c>
      <c r="I3880" s="370">
        <v>4429.9549865722656</v>
      </c>
      <c r="M3880" s="371">
        <f t="shared" si="241"/>
        <v>14481.343406282776</v>
      </c>
      <c r="N3880" s="329">
        <f t="shared" si="242"/>
        <v>293.81759643554688</v>
      </c>
      <c r="T3880" s="331">
        <v>0</v>
      </c>
      <c r="U3880" s="328">
        <f>VLOOKUP(C3880,METADATA!$J$5:$Q$29,IF(E3880="HI",2,IF(E3880="LO",6,10))+IF(T3880=1,2,IF(D3880=7,1,(IF(WEEKDAY(B3880)=1,2,IF(WEEKDAY(B3880)=7,1,0))))))</f>
        <v>2</v>
      </c>
      <c r="V3880" s="328">
        <f>VLOOKUP(C3880,METADATA!$A$5:$H$29,IF(E3880="HI",2,IF(E3880="LO",6,10))+IF(T3880=1,2,IF(D3880=7,1,(IF(WEEKDAY(B3880)=1,2,IF(WEEKDAY(B3880)=7,1,0))))))</f>
        <v>2</v>
      </c>
    </row>
    <row r="3881" spans="2:22">
      <c r="B3881" s="318">
        <f t="shared" si="243"/>
        <v>46274</v>
      </c>
      <c r="C3881" s="312">
        <v>13</v>
      </c>
      <c r="D3881" s="368">
        <f>IFERROR((INDEX(METADATA!$T$2:$T$20,MATCH(B3881,METADATA!$S$2:$S$20,0))),0)</f>
        <v>0</v>
      </c>
      <c r="E3881" s="312" t="str">
        <f t="shared" si="240"/>
        <v>LO</v>
      </c>
      <c r="F3881" s="369">
        <f>VLOOKUP(C3881,METADATA!$A$5:$H$29,IF(E3881="HI",2,IF(E3881="LO",6,10))+IF(D3881=1,2,IF(D3881=7,1,(IF(WEEKDAY(B3881)=1,2,IF(WEEKDAY(B3881)=7,1,0))))))</f>
        <v>2</v>
      </c>
      <c r="G3881" s="369">
        <f>VLOOKUP(C3881,METADATA!$J$5:$Q$29,IF(E3881="HI",2,IF(E3881="LO",6,10))+IF(D3881=1,2,IF(D3881=7,1,(IF(WEEKDAY(B3881)=1,2,IF(WEEKDAY(B3881)=7,1,0))))))</f>
        <v>2</v>
      </c>
      <c r="H3881" s="370">
        <v>13969.100402832031</v>
      </c>
      <c r="I3881" s="370">
        <v>4735.1349792480469</v>
      </c>
      <c r="M3881" s="371">
        <f t="shared" si="241"/>
        <v>14749.822688293592</v>
      </c>
      <c r="N3881" s="329">
        <f t="shared" si="242"/>
        <v>544.40485839843768</v>
      </c>
      <c r="T3881" s="331">
        <v>0</v>
      </c>
      <c r="U3881" s="328">
        <f>VLOOKUP(C3881,METADATA!$J$5:$Q$29,IF(E3881="HI",2,IF(E3881="LO",6,10))+IF(T3881=1,2,IF(D3881=7,1,(IF(WEEKDAY(B3881)=1,2,IF(WEEKDAY(B3881)=7,1,0))))))</f>
        <v>2</v>
      </c>
      <c r="V3881" s="328">
        <f>VLOOKUP(C3881,METADATA!$A$5:$H$29,IF(E3881="HI",2,IF(E3881="LO",6,10))+IF(T3881=1,2,IF(D3881=7,1,(IF(WEEKDAY(B3881)=1,2,IF(WEEKDAY(B3881)=7,1,0))))))</f>
        <v>2</v>
      </c>
    </row>
    <row r="3882" spans="2:22">
      <c r="B3882" s="318">
        <f t="shared" si="243"/>
        <v>46274</v>
      </c>
      <c r="C3882" s="312">
        <v>14</v>
      </c>
      <c r="D3882" s="368">
        <f>IFERROR((INDEX(METADATA!$T$2:$T$20,MATCH(B3882,METADATA!$S$2:$S$20,0))),0)</f>
        <v>0</v>
      </c>
      <c r="E3882" s="312" t="str">
        <f t="shared" si="240"/>
        <v>LO</v>
      </c>
      <c r="F3882" s="369">
        <f>VLOOKUP(C3882,METADATA!$A$5:$H$29,IF(E3882="HI",2,IF(E3882="LO",6,10))+IF(D3882=1,2,IF(D3882=7,1,(IF(WEEKDAY(B3882)=1,2,IF(WEEKDAY(B3882)=7,1,0))))))</f>
        <v>2</v>
      </c>
      <c r="G3882" s="369">
        <f>VLOOKUP(C3882,METADATA!$J$5:$Q$29,IF(E3882="HI",2,IF(E3882="LO",6,10))+IF(D3882=1,2,IF(D3882=7,1,(IF(WEEKDAY(B3882)=1,2,IF(WEEKDAY(B3882)=7,1,0))))))</f>
        <v>2</v>
      </c>
      <c r="H3882" s="370">
        <v>13854.974975585938</v>
      </c>
      <c r="I3882" s="370">
        <v>4640.6600646972656</v>
      </c>
      <c r="M3882" s="371">
        <f t="shared" si="241"/>
        <v>14611.504282933656</v>
      </c>
      <c r="N3882" s="329">
        <f t="shared" si="242"/>
        <v>484.16757202148438</v>
      </c>
      <c r="T3882" s="331">
        <v>0</v>
      </c>
      <c r="U3882" s="328">
        <f>VLOOKUP(C3882,METADATA!$J$5:$Q$29,IF(E3882="HI",2,IF(E3882="LO",6,10))+IF(T3882=1,2,IF(D3882=7,1,(IF(WEEKDAY(B3882)=1,2,IF(WEEKDAY(B3882)=7,1,0))))))</f>
        <v>2</v>
      </c>
      <c r="V3882" s="328">
        <f>VLOOKUP(C3882,METADATA!$A$5:$H$29,IF(E3882="HI",2,IF(E3882="LO",6,10))+IF(T3882=1,2,IF(D3882=7,1,(IF(WEEKDAY(B3882)=1,2,IF(WEEKDAY(B3882)=7,1,0))))))</f>
        <v>2</v>
      </c>
    </row>
    <row r="3883" spans="2:22">
      <c r="B3883" s="318">
        <f t="shared" si="243"/>
        <v>46274</v>
      </c>
      <c r="C3883" s="312">
        <v>15</v>
      </c>
      <c r="D3883" s="368">
        <f>IFERROR((INDEX(METADATA!$T$2:$T$20,MATCH(B3883,METADATA!$S$2:$S$20,0))),0)</f>
        <v>0</v>
      </c>
      <c r="E3883" s="312" t="str">
        <f t="shared" si="240"/>
        <v>LO</v>
      </c>
      <c r="F3883" s="369">
        <f>VLOOKUP(C3883,METADATA!$A$5:$H$29,IF(E3883="HI",2,IF(E3883="LO",6,10))+IF(D3883=1,2,IF(D3883=7,1,(IF(WEEKDAY(B3883)=1,2,IF(WEEKDAY(B3883)=7,1,0))))))</f>
        <v>2</v>
      </c>
      <c r="G3883" s="369">
        <f>VLOOKUP(C3883,METADATA!$J$5:$Q$29,IF(E3883="HI",2,IF(E3883="LO",6,10))+IF(D3883=1,2,IF(D3883=7,1,(IF(WEEKDAY(B3883)=1,2,IF(WEEKDAY(B3883)=7,1,0))))))</f>
        <v>2</v>
      </c>
      <c r="H3883" s="370">
        <v>10219.699829101563</v>
      </c>
      <c r="I3883" s="370">
        <v>3355.5800476074219</v>
      </c>
      <c r="M3883" s="371">
        <f t="shared" si="241"/>
        <v>10756.494877646692</v>
      </c>
      <c r="N3883" s="329">
        <f t="shared" si="242"/>
        <v>289.67009887695303</v>
      </c>
      <c r="T3883" s="331">
        <v>0</v>
      </c>
      <c r="U3883" s="328">
        <f>VLOOKUP(C3883,METADATA!$J$5:$Q$29,IF(E3883="HI",2,IF(E3883="LO",6,10))+IF(T3883=1,2,IF(D3883=7,1,(IF(WEEKDAY(B3883)=1,2,IF(WEEKDAY(B3883)=7,1,0))))))</f>
        <v>2</v>
      </c>
      <c r="V3883" s="328">
        <f>VLOOKUP(C3883,METADATA!$A$5:$H$29,IF(E3883="HI",2,IF(E3883="LO",6,10))+IF(T3883=1,2,IF(D3883=7,1,(IF(WEEKDAY(B3883)=1,2,IF(WEEKDAY(B3883)=7,1,0))))))</f>
        <v>2</v>
      </c>
    </row>
    <row r="3884" spans="2:22">
      <c r="B3884" s="318">
        <f t="shared" si="243"/>
        <v>46274</v>
      </c>
      <c r="C3884" s="312">
        <v>16</v>
      </c>
      <c r="D3884" s="368">
        <f>IFERROR((INDEX(METADATA!$T$2:$T$20,MATCH(B3884,METADATA!$S$2:$S$20,0))),0)</f>
        <v>0</v>
      </c>
      <c r="E3884" s="312" t="str">
        <f t="shared" si="240"/>
        <v>LO</v>
      </c>
      <c r="F3884" s="369">
        <f>VLOOKUP(C3884,METADATA!$A$5:$H$29,IF(E3884="HI",2,IF(E3884="LO",6,10))+IF(D3884=1,2,IF(D3884=7,1,(IF(WEEKDAY(B3884)=1,2,IF(WEEKDAY(B3884)=7,1,0))))))</f>
        <v>2</v>
      </c>
      <c r="G3884" s="369">
        <f>VLOOKUP(C3884,METADATA!$J$5:$Q$29,IF(E3884="HI",2,IF(E3884="LO",6,10))+IF(D3884=1,2,IF(D3884=7,1,(IF(WEEKDAY(B3884)=1,2,IF(WEEKDAY(B3884)=7,1,0))))))</f>
        <v>2</v>
      </c>
      <c r="H3884" s="370">
        <v>9852.2000732421875</v>
      </c>
      <c r="I3884" s="370">
        <v>3146.2649841308594</v>
      </c>
      <c r="M3884" s="371">
        <f t="shared" si="241"/>
        <v>10342.380269239829</v>
      </c>
      <c r="N3884" s="329">
        <f t="shared" si="242"/>
        <v>190.60496215820331</v>
      </c>
      <c r="T3884" s="331">
        <v>0</v>
      </c>
      <c r="U3884" s="328">
        <f>VLOOKUP(C3884,METADATA!$J$5:$Q$29,IF(E3884="HI",2,IF(E3884="LO",6,10))+IF(T3884=1,2,IF(D3884=7,1,(IF(WEEKDAY(B3884)=1,2,IF(WEEKDAY(B3884)=7,1,0))))))</f>
        <v>2</v>
      </c>
      <c r="V3884" s="328">
        <f>VLOOKUP(C3884,METADATA!$A$5:$H$29,IF(E3884="HI",2,IF(E3884="LO",6,10))+IF(T3884=1,2,IF(D3884=7,1,(IF(WEEKDAY(B3884)=1,2,IF(WEEKDAY(B3884)=7,1,0))))))</f>
        <v>2</v>
      </c>
    </row>
    <row r="3885" spans="2:22">
      <c r="B3885" s="318">
        <f t="shared" si="243"/>
        <v>46274</v>
      </c>
      <c r="C3885" s="312">
        <v>17</v>
      </c>
      <c r="D3885" s="368">
        <f>IFERROR((INDEX(METADATA!$T$2:$T$20,MATCH(B3885,METADATA!$S$2:$S$20,0))),0)</f>
        <v>0</v>
      </c>
      <c r="E3885" s="312" t="str">
        <f t="shared" si="240"/>
        <v>LO</v>
      </c>
      <c r="F3885" s="369">
        <f>VLOOKUP(C3885,METADATA!$A$5:$H$29,IF(E3885="HI",2,IF(E3885="LO",6,10))+IF(D3885=1,2,IF(D3885=7,1,(IF(WEEKDAY(B3885)=1,2,IF(WEEKDAY(B3885)=7,1,0))))))</f>
        <v>2</v>
      </c>
      <c r="G3885" s="369">
        <f>VLOOKUP(C3885,METADATA!$J$5:$Q$29,IF(E3885="HI",2,IF(E3885="LO",6,10))+IF(D3885=1,2,IF(D3885=7,1,(IF(WEEKDAY(B3885)=1,2,IF(WEEKDAY(B3885)=7,1,0))))))</f>
        <v>2</v>
      </c>
      <c r="H3885" s="370">
        <v>13683.725158691406</v>
      </c>
      <c r="I3885" s="370">
        <v>4569.4349670410156</v>
      </c>
      <c r="M3885" s="371">
        <f t="shared" si="241"/>
        <v>14426.505818687396</v>
      </c>
      <c r="N3885" s="329">
        <f t="shared" si="242"/>
        <v>464.3174194335943</v>
      </c>
      <c r="T3885" s="331">
        <v>0</v>
      </c>
      <c r="U3885" s="328">
        <f>VLOOKUP(C3885,METADATA!$J$5:$Q$29,IF(E3885="HI",2,IF(E3885="LO",6,10))+IF(T3885=1,2,IF(D3885=7,1,(IF(WEEKDAY(B3885)=1,2,IF(WEEKDAY(B3885)=7,1,0))))))</f>
        <v>2</v>
      </c>
      <c r="V3885" s="328">
        <f>VLOOKUP(C3885,METADATA!$A$5:$H$29,IF(E3885="HI",2,IF(E3885="LO",6,10))+IF(T3885=1,2,IF(D3885=7,1,(IF(WEEKDAY(B3885)=1,2,IF(WEEKDAY(B3885)=7,1,0))))))</f>
        <v>2</v>
      </c>
    </row>
    <row r="3886" spans="2:22">
      <c r="B3886" s="318">
        <f t="shared" si="243"/>
        <v>46274</v>
      </c>
      <c r="C3886" s="312">
        <v>18</v>
      </c>
      <c r="D3886" s="368">
        <f>IFERROR((INDEX(METADATA!$T$2:$T$20,MATCH(B3886,METADATA!$S$2:$S$20,0))),0)</f>
        <v>0</v>
      </c>
      <c r="E3886" s="312" t="str">
        <f t="shared" si="240"/>
        <v>LO</v>
      </c>
      <c r="F3886" s="369">
        <f>VLOOKUP(C3886,METADATA!$A$5:$H$29,IF(E3886="HI",2,IF(E3886="LO",6,10))+IF(D3886=1,2,IF(D3886=7,1,(IF(WEEKDAY(B3886)=1,2,IF(WEEKDAY(B3886)=7,1,0))))))</f>
        <v>1</v>
      </c>
      <c r="G3886" s="369">
        <f>VLOOKUP(C3886,METADATA!$J$5:$Q$29,IF(E3886="HI",2,IF(E3886="LO",6,10))+IF(D3886=1,2,IF(D3886=7,1,(IF(WEEKDAY(B3886)=1,2,IF(WEEKDAY(B3886)=7,1,0))))))</f>
        <v>1</v>
      </c>
      <c r="H3886" s="370">
        <v>13820.89990234375</v>
      </c>
      <c r="I3886" s="370">
        <v>4392.6399841308594</v>
      </c>
      <c r="M3886" s="371">
        <f t="shared" si="241"/>
        <v>14502.157085785226</v>
      </c>
      <c r="N3886" s="329">
        <f t="shared" si="242"/>
        <v>246.37001342773419</v>
      </c>
      <c r="T3886" s="331">
        <v>0</v>
      </c>
      <c r="U3886" s="328">
        <f>VLOOKUP(C3886,METADATA!$J$5:$Q$29,IF(E3886="HI",2,IF(E3886="LO",6,10))+IF(T3886=1,2,IF(D3886=7,1,(IF(WEEKDAY(B3886)=1,2,IF(WEEKDAY(B3886)=7,1,0))))))</f>
        <v>1</v>
      </c>
      <c r="V3886" s="328">
        <f>VLOOKUP(C3886,METADATA!$A$5:$H$29,IF(E3886="HI",2,IF(E3886="LO",6,10))+IF(T3886=1,2,IF(D3886=7,1,(IF(WEEKDAY(B3886)=1,2,IF(WEEKDAY(B3886)=7,1,0))))))</f>
        <v>1</v>
      </c>
    </row>
    <row r="3887" spans="2:22">
      <c r="B3887" s="318">
        <f t="shared" si="243"/>
        <v>46274</v>
      </c>
      <c r="C3887" s="312">
        <v>19</v>
      </c>
      <c r="D3887" s="368">
        <f>IFERROR((INDEX(METADATA!$T$2:$T$20,MATCH(B3887,METADATA!$S$2:$S$20,0))),0)</f>
        <v>0</v>
      </c>
      <c r="E3887" s="312" t="str">
        <f t="shared" si="240"/>
        <v>LO</v>
      </c>
      <c r="F3887" s="369">
        <f>VLOOKUP(C3887,METADATA!$A$5:$H$29,IF(E3887="HI",2,IF(E3887="LO",6,10))+IF(D3887=1,2,IF(D3887=7,1,(IF(WEEKDAY(B3887)=1,2,IF(WEEKDAY(B3887)=7,1,0))))))</f>
        <v>1</v>
      </c>
      <c r="G3887" s="369">
        <f>VLOOKUP(C3887,METADATA!$J$5:$Q$29,IF(E3887="HI",2,IF(E3887="LO",6,10))+IF(D3887=1,2,IF(D3887=7,1,(IF(WEEKDAY(B3887)=1,2,IF(WEEKDAY(B3887)=7,1,0))))))</f>
        <v>1</v>
      </c>
      <c r="H3887" s="370">
        <v>13435.349609375</v>
      </c>
      <c r="I3887" s="370">
        <v>4138.094970703125</v>
      </c>
      <c r="M3887" s="371">
        <f t="shared" si="241"/>
        <v>14058.180860719194</v>
      </c>
      <c r="N3887" s="329">
        <f t="shared" si="242"/>
        <v>107.49008789062509</v>
      </c>
      <c r="T3887" s="331">
        <v>0</v>
      </c>
      <c r="U3887" s="328">
        <f>VLOOKUP(C3887,METADATA!$J$5:$Q$29,IF(E3887="HI",2,IF(E3887="LO",6,10))+IF(T3887=1,2,IF(D3887=7,1,(IF(WEEKDAY(B3887)=1,2,IF(WEEKDAY(B3887)=7,1,0))))))</f>
        <v>1</v>
      </c>
      <c r="V3887" s="328">
        <f>VLOOKUP(C3887,METADATA!$A$5:$H$29,IF(E3887="HI",2,IF(E3887="LO",6,10))+IF(T3887=1,2,IF(D3887=7,1,(IF(WEEKDAY(B3887)=1,2,IF(WEEKDAY(B3887)=7,1,0))))))</f>
        <v>1</v>
      </c>
    </row>
    <row r="3888" spans="2:22">
      <c r="B3888" s="318">
        <f t="shared" si="243"/>
        <v>46274</v>
      </c>
      <c r="C3888" s="312">
        <v>20</v>
      </c>
      <c r="D3888" s="368">
        <f>IFERROR((INDEX(METADATA!$T$2:$T$20,MATCH(B3888,METADATA!$S$2:$S$20,0))),0)</f>
        <v>0</v>
      </c>
      <c r="E3888" s="312" t="str">
        <f t="shared" si="240"/>
        <v>LO</v>
      </c>
      <c r="F3888" s="369">
        <f>VLOOKUP(C3888,METADATA!$A$5:$H$29,IF(E3888="HI",2,IF(E3888="LO",6,10))+IF(D3888=1,2,IF(D3888=7,1,(IF(WEEKDAY(B3888)=1,2,IF(WEEKDAY(B3888)=7,1,0))))))</f>
        <v>1</v>
      </c>
      <c r="G3888" s="369">
        <f>VLOOKUP(C3888,METADATA!$J$5:$Q$29,IF(E3888="HI",2,IF(E3888="LO",6,10))+IF(D3888=1,2,IF(D3888=7,1,(IF(WEEKDAY(B3888)=1,2,IF(WEEKDAY(B3888)=7,1,0))))))</f>
        <v>1</v>
      </c>
      <c r="H3888" s="370">
        <v>13535.624877929688</v>
      </c>
      <c r="I3888" s="370">
        <v>4223.9198913574219</v>
      </c>
      <c r="M3888" s="371">
        <f t="shared" si="241"/>
        <v>14179.373755022962</v>
      </c>
      <c r="N3888" s="329">
        <f t="shared" si="242"/>
        <v>163.23242797851572</v>
      </c>
      <c r="T3888" s="331">
        <v>0</v>
      </c>
      <c r="U3888" s="328">
        <f>VLOOKUP(C3888,METADATA!$J$5:$Q$29,IF(E3888="HI",2,IF(E3888="LO",6,10))+IF(T3888=1,2,IF(D3888=7,1,(IF(WEEKDAY(B3888)=1,2,IF(WEEKDAY(B3888)=7,1,0))))))</f>
        <v>1</v>
      </c>
      <c r="V3888" s="328">
        <f>VLOOKUP(C3888,METADATA!$A$5:$H$29,IF(E3888="HI",2,IF(E3888="LO",6,10))+IF(T3888=1,2,IF(D3888=7,1,(IF(WEEKDAY(B3888)=1,2,IF(WEEKDAY(B3888)=7,1,0))))))</f>
        <v>1</v>
      </c>
    </row>
    <row r="3889" spans="2:22">
      <c r="B3889" s="318">
        <f t="shared" si="243"/>
        <v>46274</v>
      </c>
      <c r="C3889" s="312">
        <v>21</v>
      </c>
      <c r="D3889" s="368">
        <f>IFERROR((INDEX(METADATA!$T$2:$T$20,MATCH(B3889,METADATA!$S$2:$S$20,0))),0)</f>
        <v>0</v>
      </c>
      <c r="E3889" s="312" t="str">
        <f t="shared" si="240"/>
        <v>LO</v>
      </c>
      <c r="F3889" s="369">
        <f>VLOOKUP(C3889,METADATA!$A$5:$H$29,IF(E3889="HI",2,IF(E3889="LO",6,10))+IF(D3889=1,2,IF(D3889=7,1,(IF(WEEKDAY(B3889)=1,2,IF(WEEKDAY(B3889)=7,1,0))))))</f>
        <v>2</v>
      </c>
      <c r="G3889" s="369">
        <f>VLOOKUP(C3889,METADATA!$J$5:$Q$29,IF(E3889="HI",2,IF(E3889="LO",6,10))+IF(D3889=1,2,IF(D3889=7,1,(IF(WEEKDAY(B3889)=1,2,IF(WEEKDAY(B3889)=7,1,0))))))</f>
        <v>2</v>
      </c>
      <c r="H3889" s="370">
        <v>13658.250244140625</v>
      </c>
      <c r="I3889" s="370">
        <v>4430.4849853515625</v>
      </c>
      <c r="M3889" s="371">
        <f t="shared" si="241"/>
        <v>14358.864750981989</v>
      </c>
      <c r="N3889" s="329">
        <f t="shared" si="242"/>
        <v>333.00991210937536</v>
      </c>
      <c r="T3889" s="331">
        <v>0</v>
      </c>
      <c r="U3889" s="328">
        <f>VLOOKUP(C3889,METADATA!$J$5:$Q$29,IF(E3889="HI",2,IF(E3889="LO",6,10))+IF(T3889=1,2,IF(D3889=7,1,(IF(WEEKDAY(B3889)=1,2,IF(WEEKDAY(B3889)=7,1,0))))))</f>
        <v>2</v>
      </c>
      <c r="V3889" s="328">
        <f>VLOOKUP(C3889,METADATA!$A$5:$H$29,IF(E3889="HI",2,IF(E3889="LO",6,10))+IF(T3889=1,2,IF(D3889=7,1,(IF(WEEKDAY(B3889)=1,2,IF(WEEKDAY(B3889)=7,1,0))))))</f>
        <v>2</v>
      </c>
    </row>
    <row r="3890" spans="2:22">
      <c r="B3890" s="318">
        <f t="shared" si="243"/>
        <v>46274</v>
      </c>
      <c r="C3890" s="312">
        <v>22</v>
      </c>
      <c r="D3890" s="368">
        <f>IFERROR((INDEX(METADATA!$T$2:$T$20,MATCH(B3890,METADATA!$S$2:$S$20,0))),0)</f>
        <v>0</v>
      </c>
      <c r="E3890" s="312" t="str">
        <f t="shared" si="240"/>
        <v>LO</v>
      </c>
      <c r="F3890" s="369">
        <f>VLOOKUP(C3890,METADATA!$A$5:$H$29,IF(E3890="HI",2,IF(E3890="LO",6,10))+IF(D3890=1,2,IF(D3890=7,1,(IF(WEEKDAY(B3890)=1,2,IF(WEEKDAY(B3890)=7,1,0))))))</f>
        <v>3</v>
      </c>
      <c r="G3890" s="369">
        <f>VLOOKUP(C3890,METADATA!$J$5:$Q$29,IF(E3890="HI",2,IF(E3890="LO",6,10))+IF(D3890=1,2,IF(D3890=7,1,(IF(WEEKDAY(B3890)=1,2,IF(WEEKDAY(B3890)=7,1,0))))))</f>
        <v>3</v>
      </c>
      <c r="H3890" s="370">
        <v>13586.174987792969</v>
      </c>
      <c r="I3890" s="370">
        <v>4300.0650024414063</v>
      </c>
      <c r="M3890" s="371">
        <f t="shared" si="241"/>
        <v>14250.428408442767</v>
      </c>
      <c r="N3890" s="329">
        <f t="shared" si="242"/>
        <v>224.21250610351581</v>
      </c>
      <c r="T3890" s="331">
        <v>0</v>
      </c>
      <c r="U3890" s="328">
        <f>VLOOKUP(C3890,METADATA!$J$5:$Q$29,IF(E3890="HI",2,IF(E3890="LO",6,10))+IF(T3890=1,2,IF(D3890=7,1,(IF(WEEKDAY(B3890)=1,2,IF(WEEKDAY(B3890)=7,1,0))))))</f>
        <v>3</v>
      </c>
      <c r="V3890" s="328">
        <f>VLOOKUP(C3890,METADATA!$A$5:$H$29,IF(E3890="HI",2,IF(E3890="LO",6,10))+IF(T3890=1,2,IF(D3890=7,1,(IF(WEEKDAY(B3890)=1,2,IF(WEEKDAY(B3890)=7,1,0))))))</f>
        <v>3</v>
      </c>
    </row>
    <row r="3891" spans="2:22">
      <c r="B3891" s="318">
        <f t="shared" si="243"/>
        <v>46274</v>
      </c>
      <c r="C3891" s="312">
        <v>23</v>
      </c>
      <c r="D3891" s="368">
        <f>IFERROR((INDEX(METADATA!$T$2:$T$20,MATCH(B3891,METADATA!$S$2:$S$20,0))),0)</f>
        <v>0</v>
      </c>
      <c r="E3891" s="312" t="str">
        <f t="shared" si="240"/>
        <v>LO</v>
      </c>
      <c r="F3891" s="369">
        <f>VLOOKUP(C3891,METADATA!$A$5:$H$29,IF(E3891="HI",2,IF(E3891="LO",6,10))+IF(D3891=1,2,IF(D3891=7,1,(IF(WEEKDAY(B3891)=1,2,IF(WEEKDAY(B3891)=7,1,0))))))</f>
        <v>3</v>
      </c>
      <c r="G3891" s="369">
        <f>VLOOKUP(C3891,METADATA!$J$5:$Q$29,IF(E3891="HI",2,IF(E3891="LO",6,10))+IF(D3891=1,2,IF(D3891=7,1,(IF(WEEKDAY(B3891)=1,2,IF(WEEKDAY(B3891)=7,1,0))))))</f>
        <v>3</v>
      </c>
      <c r="H3891" s="370">
        <v>13552.624938964844</v>
      </c>
      <c r="I3891" s="370">
        <v>4338.6649780273438</v>
      </c>
      <c r="M3891" s="371">
        <f t="shared" si="241"/>
        <v>14230.167129300093</v>
      </c>
      <c r="N3891" s="329">
        <f t="shared" si="242"/>
        <v>272.87749633789099</v>
      </c>
      <c r="T3891" s="331">
        <v>0</v>
      </c>
      <c r="U3891" s="328">
        <f>VLOOKUP(C3891,METADATA!$J$5:$Q$29,IF(E3891="HI",2,IF(E3891="LO",6,10))+IF(T3891=1,2,IF(D3891=7,1,(IF(WEEKDAY(B3891)=1,2,IF(WEEKDAY(B3891)=7,1,0))))))</f>
        <v>3</v>
      </c>
      <c r="V3891" s="328">
        <f>VLOOKUP(C3891,METADATA!$A$5:$H$29,IF(E3891="HI",2,IF(E3891="LO",6,10))+IF(T3891=1,2,IF(D3891=7,1,(IF(WEEKDAY(B3891)=1,2,IF(WEEKDAY(B3891)=7,1,0))))))</f>
        <v>3</v>
      </c>
    </row>
    <row r="3892" spans="2:22">
      <c r="B3892" s="318">
        <f t="shared" si="243"/>
        <v>46275</v>
      </c>
      <c r="C3892" s="312">
        <v>0</v>
      </c>
      <c r="D3892" s="368">
        <f>IFERROR((INDEX(METADATA!$T$2:$T$20,MATCH(B3892,METADATA!$S$2:$S$20,0))),0)</f>
        <v>0</v>
      </c>
      <c r="E3892" s="312" t="str">
        <f t="shared" si="240"/>
        <v>LO</v>
      </c>
      <c r="F3892" s="369">
        <f>VLOOKUP(C3892,METADATA!$A$5:$H$29,IF(E3892="HI",2,IF(E3892="LO",6,10))+IF(D3892=1,2,IF(D3892=7,1,(IF(WEEKDAY(B3892)=1,2,IF(WEEKDAY(B3892)=7,1,0))))))</f>
        <v>3</v>
      </c>
      <c r="G3892" s="369">
        <f>VLOOKUP(C3892,METADATA!$J$5:$Q$29,IF(E3892="HI",2,IF(E3892="LO",6,10))+IF(D3892=1,2,IF(D3892=7,1,(IF(WEEKDAY(B3892)=1,2,IF(WEEKDAY(B3892)=7,1,0))))))</f>
        <v>3</v>
      </c>
      <c r="H3892" s="370">
        <v>13454.35009765625</v>
      </c>
      <c r="I3892" s="370">
        <v>4372.0799560546875</v>
      </c>
      <c r="M3892" s="371">
        <f t="shared" si="241"/>
        <v>14146.894347963367</v>
      </c>
      <c r="N3892" s="329">
        <f t="shared" si="242"/>
        <v>335.77492675781286</v>
      </c>
      <c r="T3892" s="331">
        <v>0</v>
      </c>
      <c r="U3892" s="328">
        <f>VLOOKUP(C3892,METADATA!$J$5:$Q$29,IF(E3892="HI",2,IF(E3892="LO",6,10))+IF(T3892=1,2,IF(D3892=7,1,(IF(WEEKDAY(B3892)=1,2,IF(WEEKDAY(B3892)=7,1,0))))))</f>
        <v>3</v>
      </c>
      <c r="V3892" s="328">
        <f>VLOOKUP(C3892,METADATA!$A$5:$H$29,IF(E3892="HI",2,IF(E3892="LO",6,10))+IF(T3892=1,2,IF(D3892=7,1,(IF(WEEKDAY(B3892)=1,2,IF(WEEKDAY(B3892)=7,1,0))))))</f>
        <v>3</v>
      </c>
    </row>
    <row r="3893" spans="2:22">
      <c r="B3893" s="318">
        <f t="shared" si="243"/>
        <v>46275</v>
      </c>
      <c r="C3893" s="312">
        <v>1</v>
      </c>
      <c r="D3893" s="368">
        <f>IFERROR((INDEX(METADATA!$T$2:$T$20,MATCH(B3893,METADATA!$S$2:$S$20,0))),0)</f>
        <v>0</v>
      </c>
      <c r="E3893" s="312" t="str">
        <f t="shared" si="240"/>
        <v>LO</v>
      </c>
      <c r="F3893" s="369">
        <f>VLOOKUP(C3893,METADATA!$A$5:$H$29,IF(E3893="HI",2,IF(E3893="LO",6,10))+IF(D3893=1,2,IF(D3893=7,1,(IF(WEEKDAY(B3893)=1,2,IF(WEEKDAY(B3893)=7,1,0))))))</f>
        <v>3</v>
      </c>
      <c r="G3893" s="369">
        <f>VLOOKUP(C3893,METADATA!$J$5:$Q$29,IF(E3893="HI",2,IF(E3893="LO",6,10))+IF(D3893=1,2,IF(D3893=7,1,(IF(WEEKDAY(B3893)=1,2,IF(WEEKDAY(B3893)=7,1,0))))))</f>
        <v>3</v>
      </c>
      <c r="H3893" s="370">
        <v>13418.89990234375</v>
      </c>
      <c r="I3893" s="370">
        <v>4395.6550598144531</v>
      </c>
      <c r="M3893" s="371">
        <f t="shared" si="241"/>
        <v>14120.50487744661</v>
      </c>
      <c r="N3893" s="329">
        <f t="shared" si="242"/>
        <v>369.98508911132831</v>
      </c>
      <c r="T3893" s="331">
        <v>0</v>
      </c>
      <c r="U3893" s="328">
        <f>VLOOKUP(C3893,METADATA!$J$5:$Q$29,IF(E3893="HI",2,IF(E3893="LO",6,10))+IF(T3893=1,2,IF(D3893=7,1,(IF(WEEKDAY(B3893)=1,2,IF(WEEKDAY(B3893)=7,1,0))))))</f>
        <v>3</v>
      </c>
      <c r="V3893" s="328">
        <f>VLOOKUP(C3893,METADATA!$A$5:$H$29,IF(E3893="HI",2,IF(E3893="LO",6,10))+IF(T3893=1,2,IF(D3893=7,1,(IF(WEEKDAY(B3893)=1,2,IF(WEEKDAY(B3893)=7,1,0))))))</f>
        <v>3</v>
      </c>
    </row>
    <row r="3894" spans="2:22">
      <c r="B3894" s="318">
        <f t="shared" si="243"/>
        <v>46275</v>
      </c>
      <c r="C3894" s="312">
        <v>2</v>
      </c>
      <c r="D3894" s="368">
        <f>IFERROR((INDEX(METADATA!$T$2:$T$20,MATCH(B3894,METADATA!$S$2:$S$20,0))),0)</f>
        <v>0</v>
      </c>
      <c r="E3894" s="312" t="str">
        <f t="shared" si="240"/>
        <v>LO</v>
      </c>
      <c r="F3894" s="369">
        <f>VLOOKUP(C3894,METADATA!$A$5:$H$29,IF(E3894="HI",2,IF(E3894="LO",6,10))+IF(D3894=1,2,IF(D3894=7,1,(IF(WEEKDAY(B3894)=1,2,IF(WEEKDAY(B3894)=7,1,0))))))</f>
        <v>3</v>
      </c>
      <c r="G3894" s="369">
        <f>VLOOKUP(C3894,METADATA!$J$5:$Q$29,IF(E3894="HI",2,IF(E3894="LO",6,10))+IF(D3894=1,2,IF(D3894=7,1,(IF(WEEKDAY(B3894)=1,2,IF(WEEKDAY(B3894)=7,1,0))))))</f>
        <v>3</v>
      </c>
      <c r="H3894" s="370">
        <v>13430.125183105469</v>
      </c>
      <c r="I3894" s="370">
        <v>4380.0549926757813</v>
      </c>
      <c r="M3894" s="371">
        <f t="shared" si="241"/>
        <v>14126.328049877213</v>
      </c>
      <c r="N3894" s="329">
        <f t="shared" si="242"/>
        <v>351.01743774414081</v>
      </c>
      <c r="T3894" s="331">
        <v>0</v>
      </c>
      <c r="U3894" s="328">
        <f>VLOOKUP(C3894,METADATA!$J$5:$Q$29,IF(E3894="HI",2,IF(E3894="LO",6,10))+IF(T3894=1,2,IF(D3894=7,1,(IF(WEEKDAY(B3894)=1,2,IF(WEEKDAY(B3894)=7,1,0))))))</f>
        <v>3</v>
      </c>
      <c r="V3894" s="328">
        <f>VLOOKUP(C3894,METADATA!$A$5:$H$29,IF(E3894="HI",2,IF(E3894="LO",6,10))+IF(T3894=1,2,IF(D3894=7,1,(IF(WEEKDAY(B3894)=1,2,IF(WEEKDAY(B3894)=7,1,0))))))</f>
        <v>3</v>
      </c>
    </row>
    <row r="3895" spans="2:22">
      <c r="B3895" s="318">
        <f t="shared" si="243"/>
        <v>46275</v>
      </c>
      <c r="C3895" s="312">
        <v>3</v>
      </c>
      <c r="D3895" s="368">
        <f>IFERROR((INDEX(METADATA!$T$2:$T$20,MATCH(B3895,METADATA!$S$2:$S$20,0))),0)</f>
        <v>0</v>
      </c>
      <c r="E3895" s="312" t="str">
        <f t="shared" si="240"/>
        <v>LO</v>
      </c>
      <c r="F3895" s="369">
        <f>VLOOKUP(C3895,METADATA!$A$5:$H$29,IF(E3895="HI",2,IF(E3895="LO",6,10))+IF(D3895=1,2,IF(D3895=7,1,(IF(WEEKDAY(B3895)=1,2,IF(WEEKDAY(B3895)=7,1,0))))))</f>
        <v>3</v>
      </c>
      <c r="G3895" s="369">
        <f>VLOOKUP(C3895,METADATA!$J$5:$Q$29,IF(E3895="HI",2,IF(E3895="LO",6,10))+IF(D3895=1,2,IF(D3895=7,1,(IF(WEEKDAY(B3895)=1,2,IF(WEEKDAY(B3895)=7,1,0))))))</f>
        <v>3</v>
      </c>
      <c r="H3895" s="370">
        <v>13662.375305175781</v>
      </c>
      <c r="I3895" s="370">
        <v>4558.2300415039063</v>
      </c>
      <c r="M3895" s="371">
        <f t="shared" si="241"/>
        <v>14402.706693213804</v>
      </c>
      <c r="N3895" s="329">
        <f t="shared" si="242"/>
        <v>459.51744995117224</v>
      </c>
      <c r="T3895" s="331">
        <v>0</v>
      </c>
      <c r="U3895" s="328">
        <f>VLOOKUP(C3895,METADATA!$J$5:$Q$29,IF(E3895="HI",2,IF(E3895="LO",6,10))+IF(T3895=1,2,IF(D3895=7,1,(IF(WEEKDAY(B3895)=1,2,IF(WEEKDAY(B3895)=7,1,0))))))</f>
        <v>3</v>
      </c>
      <c r="V3895" s="328">
        <f>VLOOKUP(C3895,METADATA!$A$5:$H$29,IF(E3895="HI",2,IF(E3895="LO",6,10))+IF(T3895=1,2,IF(D3895=7,1,(IF(WEEKDAY(B3895)=1,2,IF(WEEKDAY(B3895)=7,1,0))))))</f>
        <v>3</v>
      </c>
    </row>
    <row r="3896" spans="2:22">
      <c r="B3896" s="318">
        <f t="shared" si="243"/>
        <v>46275</v>
      </c>
      <c r="C3896" s="312">
        <v>4</v>
      </c>
      <c r="D3896" s="368">
        <f>IFERROR((INDEX(METADATA!$T$2:$T$20,MATCH(B3896,METADATA!$S$2:$S$20,0))),0)</f>
        <v>0</v>
      </c>
      <c r="E3896" s="312" t="str">
        <f t="shared" si="240"/>
        <v>LO</v>
      </c>
      <c r="F3896" s="369">
        <f>VLOOKUP(C3896,METADATA!$A$5:$H$29,IF(E3896="HI",2,IF(E3896="LO",6,10))+IF(D3896=1,2,IF(D3896=7,1,(IF(WEEKDAY(B3896)=1,2,IF(WEEKDAY(B3896)=7,1,0))))))</f>
        <v>3</v>
      </c>
      <c r="G3896" s="369">
        <f>VLOOKUP(C3896,METADATA!$J$5:$Q$29,IF(E3896="HI",2,IF(E3896="LO",6,10))+IF(D3896=1,2,IF(D3896=7,1,(IF(WEEKDAY(B3896)=1,2,IF(WEEKDAY(B3896)=7,1,0))))))</f>
        <v>3</v>
      </c>
      <c r="H3896" s="370">
        <v>13537.600219726563</v>
      </c>
      <c r="I3896" s="370">
        <v>4414.2649841308594</v>
      </c>
      <c r="M3896" s="371">
        <f t="shared" si="241"/>
        <v>14239.113562973802</v>
      </c>
      <c r="N3896" s="329">
        <f t="shared" si="242"/>
        <v>352.98491821289099</v>
      </c>
      <c r="T3896" s="331">
        <v>0</v>
      </c>
      <c r="U3896" s="328">
        <f>VLOOKUP(C3896,METADATA!$J$5:$Q$29,IF(E3896="HI",2,IF(E3896="LO",6,10))+IF(T3896=1,2,IF(D3896=7,1,(IF(WEEKDAY(B3896)=1,2,IF(WEEKDAY(B3896)=7,1,0))))))</f>
        <v>3</v>
      </c>
      <c r="V3896" s="328">
        <f>VLOOKUP(C3896,METADATA!$A$5:$H$29,IF(E3896="HI",2,IF(E3896="LO",6,10))+IF(T3896=1,2,IF(D3896=7,1,(IF(WEEKDAY(B3896)=1,2,IF(WEEKDAY(B3896)=7,1,0))))))</f>
        <v>3</v>
      </c>
    </row>
    <row r="3897" spans="2:22">
      <c r="B3897" s="318">
        <f t="shared" si="243"/>
        <v>46275</v>
      </c>
      <c r="C3897" s="312">
        <v>5</v>
      </c>
      <c r="D3897" s="368">
        <f>IFERROR((INDEX(METADATA!$T$2:$T$20,MATCH(B3897,METADATA!$S$2:$S$20,0))),0)</f>
        <v>0</v>
      </c>
      <c r="E3897" s="312" t="str">
        <f t="shared" si="240"/>
        <v>LO</v>
      </c>
      <c r="F3897" s="369">
        <f>VLOOKUP(C3897,METADATA!$A$5:$H$29,IF(E3897="HI",2,IF(E3897="LO",6,10))+IF(D3897=1,2,IF(D3897=7,1,(IF(WEEKDAY(B3897)=1,2,IF(WEEKDAY(B3897)=7,1,0))))))</f>
        <v>3</v>
      </c>
      <c r="G3897" s="369">
        <f>VLOOKUP(C3897,METADATA!$J$5:$Q$29,IF(E3897="HI",2,IF(E3897="LO",6,10))+IF(D3897=1,2,IF(D3897=7,1,(IF(WEEKDAY(B3897)=1,2,IF(WEEKDAY(B3897)=7,1,0))))))</f>
        <v>3</v>
      </c>
      <c r="H3897" s="370">
        <v>13296.124877929688</v>
      </c>
      <c r="I3897" s="370">
        <v>4119.0550537109375</v>
      </c>
      <c r="M3897" s="371">
        <f t="shared" si="241"/>
        <v>13919.538473132014</v>
      </c>
      <c r="N3897" s="329">
        <f t="shared" si="242"/>
        <v>130.21759033203125</v>
      </c>
      <c r="T3897" s="331">
        <v>0</v>
      </c>
      <c r="U3897" s="328">
        <f>VLOOKUP(C3897,METADATA!$J$5:$Q$29,IF(E3897="HI",2,IF(E3897="LO",6,10))+IF(T3897=1,2,IF(D3897=7,1,(IF(WEEKDAY(B3897)=1,2,IF(WEEKDAY(B3897)=7,1,0))))))</f>
        <v>3</v>
      </c>
      <c r="V3897" s="328">
        <f>VLOOKUP(C3897,METADATA!$A$5:$H$29,IF(E3897="HI",2,IF(E3897="LO",6,10))+IF(T3897=1,2,IF(D3897=7,1,(IF(WEEKDAY(B3897)=1,2,IF(WEEKDAY(B3897)=7,1,0))))))</f>
        <v>3</v>
      </c>
    </row>
    <row r="3898" spans="2:22">
      <c r="B3898" s="318">
        <f t="shared" si="243"/>
        <v>46275</v>
      </c>
      <c r="C3898" s="312">
        <v>6</v>
      </c>
      <c r="D3898" s="368">
        <f>IFERROR((INDEX(METADATA!$T$2:$T$20,MATCH(B3898,METADATA!$S$2:$S$20,0))),0)</f>
        <v>0</v>
      </c>
      <c r="E3898" s="312" t="str">
        <f t="shared" si="240"/>
        <v>LO</v>
      </c>
      <c r="F3898" s="369">
        <f>VLOOKUP(C3898,METADATA!$A$5:$H$29,IF(E3898="HI",2,IF(E3898="LO",6,10))+IF(D3898=1,2,IF(D3898=7,1,(IF(WEEKDAY(B3898)=1,2,IF(WEEKDAY(B3898)=7,1,0))))))</f>
        <v>2</v>
      </c>
      <c r="G3898" s="369">
        <f>VLOOKUP(C3898,METADATA!$J$5:$Q$29,IF(E3898="HI",2,IF(E3898="LO",6,10))+IF(D3898=1,2,IF(D3898=7,1,(IF(WEEKDAY(B3898)=1,2,IF(WEEKDAY(B3898)=7,1,0))))))</f>
        <v>2</v>
      </c>
      <c r="H3898" s="370">
        <v>11982.150268554688</v>
      </c>
      <c r="I3898" s="370">
        <v>3263.6025695800781</v>
      </c>
      <c r="M3898" s="371">
        <f t="shared" si="241"/>
        <v>12418.656400367749</v>
      </c>
      <c r="N3898" s="329">
        <f t="shared" si="242"/>
        <v>0</v>
      </c>
      <c r="T3898" s="331">
        <v>0</v>
      </c>
      <c r="U3898" s="328">
        <f>VLOOKUP(C3898,METADATA!$J$5:$Q$29,IF(E3898="HI",2,IF(E3898="LO",6,10))+IF(T3898=1,2,IF(D3898=7,1,(IF(WEEKDAY(B3898)=1,2,IF(WEEKDAY(B3898)=7,1,0))))))</f>
        <v>2</v>
      </c>
      <c r="V3898" s="328">
        <f>VLOOKUP(C3898,METADATA!$A$5:$H$29,IF(E3898="HI",2,IF(E3898="LO",6,10))+IF(T3898=1,2,IF(D3898=7,1,(IF(WEEKDAY(B3898)=1,2,IF(WEEKDAY(B3898)=7,1,0))))))</f>
        <v>2</v>
      </c>
    </row>
    <row r="3899" spans="2:22">
      <c r="B3899" s="318">
        <f t="shared" si="243"/>
        <v>46275</v>
      </c>
      <c r="C3899" s="312">
        <v>7</v>
      </c>
      <c r="D3899" s="368">
        <f>IFERROR((INDEX(METADATA!$T$2:$T$20,MATCH(B3899,METADATA!$S$2:$S$20,0))),0)</f>
        <v>0</v>
      </c>
      <c r="E3899" s="312" t="str">
        <f t="shared" si="240"/>
        <v>LO</v>
      </c>
      <c r="F3899" s="369">
        <f>VLOOKUP(C3899,METADATA!$A$5:$H$29,IF(E3899="HI",2,IF(E3899="LO",6,10))+IF(D3899=1,2,IF(D3899=7,1,(IF(WEEKDAY(B3899)=1,2,IF(WEEKDAY(B3899)=7,1,0))))))</f>
        <v>1</v>
      </c>
      <c r="G3899" s="369">
        <f>VLOOKUP(C3899,METADATA!$J$5:$Q$29,IF(E3899="HI",2,IF(E3899="LO",6,10))+IF(D3899=1,2,IF(D3899=7,1,(IF(WEEKDAY(B3899)=1,2,IF(WEEKDAY(B3899)=7,1,0))))))</f>
        <v>1</v>
      </c>
      <c r="H3899" s="370">
        <v>12804.800231933594</v>
      </c>
      <c r="I3899" s="370">
        <v>3817.8349609375</v>
      </c>
      <c r="M3899" s="371">
        <f t="shared" si="241"/>
        <v>13361.840171498956</v>
      </c>
      <c r="N3899" s="329">
        <f t="shared" si="242"/>
        <v>0</v>
      </c>
      <c r="T3899" s="331">
        <v>0</v>
      </c>
      <c r="U3899" s="328">
        <f>VLOOKUP(C3899,METADATA!$J$5:$Q$29,IF(E3899="HI",2,IF(E3899="LO",6,10))+IF(T3899=1,2,IF(D3899=7,1,(IF(WEEKDAY(B3899)=1,2,IF(WEEKDAY(B3899)=7,1,0))))))</f>
        <v>1</v>
      </c>
      <c r="V3899" s="328">
        <f>VLOOKUP(C3899,METADATA!$A$5:$H$29,IF(E3899="HI",2,IF(E3899="LO",6,10))+IF(T3899=1,2,IF(D3899=7,1,(IF(WEEKDAY(B3899)=1,2,IF(WEEKDAY(B3899)=7,1,0))))))</f>
        <v>1</v>
      </c>
    </row>
    <row r="3900" spans="2:22">
      <c r="B3900" s="318">
        <f t="shared" si="243"/>
        <v>46275</v>
      </c>
      <c r="C3900" s="312">
        <v>8</v>
      </c>
      <c r="D3900" s="368">
        <f>IFERROR((INDEX(METADATA!$T$2:$T$20,MATCH(B3900,METADATA!$S$2:$S$20,0))),0)</f>
        <v>0</v>
      </c>
      <c r="E3900" s="312" t="str">
        <f t="shared" si="240"/>
        <v>LO</v>
      </c>
      <c r="F3900" s="369">
        <f>VLOOKUP(C3900,METADATA!$A$5:$H$29,IF(E3900="HI",2,IF(E3900="LO",6,10))+IF(D3900=1,2,IF(D3900=7,1,(IF(WEEKDAY(B3900)=1,2,IF(WEEKDAY(B3900)=7,1,0))))))</f>
        <v>1</v>
      </c>
      <c r="G3900" s="369">
        <f>VLOOKUP(C3900,METADATA!$J$5:$Q$29,IF(E3900="HI",2,IF(E3900="LO",6,10))+IF(D3900=1,2,IF(D3900=7,1,(IF(WEEKDAY(B3900)=1,2,IF(WEEKDAY(B3900)=7,1,0))))))</f>
        <v>1</v>
      </c>
      <c r="H3900" s="370">
        <v>13483.099548339844</v>
      </c>
      <c r="I3900" s="370">
        <v>4244.5299377441406</v>
      </c>
      <c r="M3900" s="371">
        <f t="shared" si="241"/>
        <v>14135.416789852656</v>
      </c>
      <c r="N3900" s="329">
        <f t="shared" si="242"/>
        <v>199.60007324218759</v>
      </c>
      <c r="T3900" s="331">
        <v>0</v>
      </c>
      <c r="U3900" s="328">
        <f>VLOOKUP(C3900,METADATA!$J$5:$Q$29,IF(E3900="HI",2,IF(E3900="LO",6,10))+IF(T3900=1,2,IF(D3900=7,1,(IF(WEEKDAY(B3900)=1,2,IF(WEEKDAY(B3900)=7,1,0))))))</f>
        <v>1</v>
      </c>
      <c r="V3900" s="328">
        <f>VLOOKUP(C3900,METADATA!$A$5:$H$29,IF(E3900="HI",2,IF(E3900="LO",6,10))+IF(T3900=1,2,IF(D3900=7,1,(IF(WEEKDAY(B3900)=1,2,IF(WEEKDAY(B3900)=7,1,0))))))</f>
        <v>1</v>
      </c>
    </row>
    <row r="3901" spans="2:22">
      <c r="B3901" s="318">
        <f t="shared" si="243"/>
        <v>46275</v>
      </c>
      <c r="C3901" s="312">
        <v>9</v>
      </c>
      <c r="D3901" s="368">
        <f>IFERROR((INDEX(METADATA!$T$2:$T$20,MATCH(B3901,METADATA!$S$2:$S$20,0))),0)</f>
        <v>0</v>
      </c>
      <c r="E3901" s="312" t="str">
        <f t="shared" si="240"/>
        <v>LO</v>
      </c>
      <c r="F3901" s="369">
        <f>VLOOKUP(C3901,METADATA!$A$5:$H$29,IF(E3901="HI",2,IF(E3901="LO",6,10))+IF(D3901=1,2,IF(D3901=7,1,(IF(WEEKDAY(B3901)=1,2,IF(WEEKDAY(B3901)=7,1,0))))))</f>
        <v>2</v>
      </c>
      <c r="G3901" s="369">
        <f>VLOOKUP(C3901,METADATA!$J$5:$Q$29,IF(E3901="HI",2,IF(E3901="LO",6,10))+IF(D3901=1,2,IF(D3901=7,1,(IF(WEEKDAY(B3901)=1,2,IF(WEEKDAY(B3901)=7,1,0))))))</f>
        <v>2</v>
      </c>
      <c r="H3901" s="370">
        <v>12949.75</v>
      </c>
      <c r="I3901" s="370">
        <v>4051.0599060058594</v>
      </c>
      <c r="M3901" s="371">
        <f t="shared" si="241"/>
        <v>13568.607571322424</v>
      </c>
      <c r="N3901" s="329">
        <f t="shared" si="242"/>
        <v>166.13490600585965</v>
      </c>
      <c r="T3901" s="331">
        <v>0</v>
      </c>
      <c r="U3901" s="328">
        <f>VLOOKUP(C3901,METADATA!$J$5:$Q$29,IF(E3901="HI",2,IF(E3901="LO",6,10))+IF(T3901=1,2,IF(D3901=7,1,(IF(WEEKDAY(B3901)=1,2,IF(WEEKDAY(B3901)=7,1,0))))))</f>
        <v>2</v>
      </c>
      <c r="V3901" s="328">
        <f>VLOOKUP(C3901,METADATA!$A$5:$H$29,IF(E3901="HI",2,IF(E3901="LO",6,10))+IF(T3901=1,2,IF(D3901=7,1,(IF(WEEKDAY(B3901)=1,2,IF(WEEKDAY(B3901)=7,1,0))))))</f>
        <v>2</v>
      </c>
    </row>
    <row r="3902" spans="2:22">
      <c r="B3902" s="318">
        <f t="shared" si="243"/>
        <v>46275</v>
      </c>
      <c r="C3902" s="312">
        <v>10</v>
      </c>
      <c r="D3902" s="368">
        <f>IFERROR((INDEX(METADATA!$T$2:$T$20,MATCH(B3902,METADATA!$S$2:$S$20,0))),0)</f>
        <v>0</v>
      </c>
      <c r="E3902" s="312" t="str">
        <f t="shared" si="240"/>
        <v>LO</v>
      </c>
      <c r="F3902" s="369">
        <f>VLOOKUP(C3902,METADATA!$A$5:$H$29,IF(E3902="HI",2,IF(E3902="LO",6,10))+IF(D3902=1,2,IF(D3902=7,1,(IF(WEEKDAY(B3902)=1,2,IF(WEEKDAY(B3902)=7,1,0))))))</f>
        <v>2</v>
      </c>
      <c r="G3902" s="369">
        <f>VLOOKUP(C3902,METADATA!$J$5:$Q$29,IF(E3902="HI",2,IF(E3902="LO",6,10))+IF(D3902=1,2,IF(D3902=7,1,(IF(WEEKDAY(B3902)=1,2,IF(WEEKDAY(B3902)=7,1,0))))))</f>
        <v>2</v>
      </c>
      <c r="H3902" s="370">
        <v>11182.549926757813</v>
      </c>
      <c r="I3902" s="370">
        <v>3470.9450531005859</v>
      </c>
      <c r="M3902" s="371">
        <f t="shared" si="241"/>
        <v>11708.837791432359</v>
      </c>
      <c r="N3902" s="329">
        <f t="shared" si="242"/>
        <v>116.18007507324228</v>
      </c>
      <c r="T3902" s="331">
        <v>0</v>
      </c>
      <c r="U3902" s="328">
        <f>VLOOKUP(C3902,METADATA!$J$5:$Q$29,IF(E3902="HI",2,IF(E3902="LO",6,10))+IF(T3902=1,2,IF(D3902=7,1,(IF(WEEKDAY(B3902)=1,2,IF(WEEKDAY(B3902)=7,1,0))))))</f>
        <v>2</v>
      </c>
      <c r="V3902" s="328">
        <f>VLOOKUP(C3902,METADATA!$A$5:$H$29,IF(E3902="HI",2,IF(E3902="LO",6,10))+IF(T3902=1,2,IF(D3902=7,1,(IF(WEEKDAY(B3902)=1,2,IF(WEEKDAY(B3902)=7,1,0))))))</f>
        <v>2</v>
      </c>
    </row>
    <row r="3903" spans="2:22">
      <c r="B3903" s="318">
        <f t="shared" si="243"/>
        <v>46275</v>
      </c>
      <c r="C3903" s="312">
        <v>11</v>
      </c>
      <c r="D3903" s="368">
        <f>IFERROR((INDEX(METADATA!$T$2:$T$20,MATCH(B3903,METADATA!$S$2:$S$20,0))),0)</f>
        <v>0</v>
      </c>
      <c r="E3903" s="312" t="str">
        <f t="shared" si="240"/>
        <v>LO</v>
      </c>
      <c r="F3903" s="369">
        <f>VLOOKUP(C3903,METADATA!$A$5:$H$29,IF(E3903="HI",2,IF(E3903="LO",6,10))+IF(D3903=1,2,IF(D3903=7,1,(IF(WEEKDAY(B3903)=1,2,IF(WEEKDAY(B3903)=7,1,0))))))</f>
        <v>2</v>
      </c>
      <c r="G3903" s="369">
        <f>VLOOKUP(C3903,METADATA!$J$5:$Q$29,IF(E3903="HI",2,IF(E3903="LO",6,10))+IF(D3903=1,2,IF(D3903=7,1,(IF(WEEKDAY(B3903)=1,2,IF(WEEKDAY(B3903)=7,1,0))))))</f>
        <v>2</v>
      </c>
      <c r="H3903" s="370">
        <v>11587.857482910156</v>
      </c>
      <c r="I3903" s="370">
        <v>3483.3900451660156</v>
      </c>
      <c r="M3903" s="371">
        <f t="shared" si="241"/>
        <v>12100.101125651743</v>
      </c>
      <c r="N3903" s="329">
        <f t="shared" si="242"/>
        <v>7.0328002929686591</v>
      </c>
      <c r="T3903" s="331">
        <v>0</v>
      </c>
      <c r="U3903" s="328">
        <f>VLOOKUP(C3903,METADATA!$J$5:$Q$29,IF(E3903="HI",2,IF(E3903="LO",6,10))+IF(T3903=1,2,IF(D3903=7,1,(IF(WEEKDAY(B3903)=1,2,IF(WEEKDAY(B3903)=7,1,0))))))</f>
        <v>2</v>
      </c>
      <c r="V3903" s="328">
        <f>VLOOKUP(C3903,METADATA!$A$5:$H$29,IF(E3903="HI",2,IF(E3903="LO",6,10))+IF(T3903=1,2,IF(D3903=7,1,(IF(WEEKDAY(B3903)=1,2,IF(WEEKDAY(B3903)=7,1,0))))))</f>
        <v>2</v>
      </c>
    </row>
    <row r="3904" spans="2:22">
      <c r="B3904" s="318">
        <f t="shared" si="243"/>
        <v>46275</v>
      </c>
      <c r="C3904" s="312">
        <v>12</v>
      </c>
      <c r="D3904" s="368">
        <f>IFERROR((INDEX(METADATA!$T$2:$T$20,MATCH(B3904,METADATA!$S$2:$S$20,0))),0)</f>
        <v>0</v>
      </c>
      <c r="E3904" s="312" t="str">
        <f t="shared" si="240"/>
        <v>LO</v>
      </c>
      <c r="F3904" s="369">
        <f>VLOOKUP(C3904,METADATA!$A$5:$H$29,IF(E3904="HI",2,IF(E3904="LO",6,10))+IF(D3904=1,2,IF(D3904=7,1,(IF(WEEKDAY(B3904)=1,2,IF(WEEKDAY(B3904)=7,1,0))))))</f>
        <v>2</v>
      </c>
      <c r="G3904" s="369">
        <f>VLOOKUP(C3904,METADATA!$J$5:$Q$29,IF(E3904="HI",2,IF(E3904="LO",6,10))+IF(D3904=1,2,IF(D3904=7,1,(IF(WEEKDAY(B3904)=1,2,IF(WEEKDAY(B3904)=7,1,0))))))</f>
        <v>2</v>
      </c>
      <c r="H3904" s="370">
        <v>12184.875366210938</v>
      </c>
      <c r="I3904" s="370">
        <v>4053.9100341796875</v>
      </c>
      <c r="M3904" s="371">
        <f t="shared" si="241"/>
        <v>12841.548748313688</v>
      </c>
      <c r="N3904" s="329">
        <f t="shared" si="242"/>
        <v>398.44742431640634</v>
      </c>
      <c r="T3904" s="331">
        <v>0</v>
      </c>
      <c r="U3904" s="328">
        <f>VLOOKUP(C3904,METADATA!$J$5:$Q$29,IF(E3904="HI",2,IF(E3904="LO",6,10))+IF(T3904=1,2,IF(D3904=7,1,(IF(WEEKDAY(B3904)=1,2,IF(WEEKDAY(B3904)=7,1,0))))))</f>
        <v>2</v>
      </c>
      <c r="V3904" s="328">
        <f>VLOOKUP(C3904,METADATA!$A$5:$H$29,IF(E3904="HI",2,IF(E3904="LO",6,10))+IF(T3904=1,2,IF(D3904=7,1,(IF(WEEKDAY(B3904)=1,2,IF(WEEKDAY(B3904)=7,1,0))))))</f>
        <v>2</v>
      </c>
    </row>
    <row r="3905" spans="2:22">
      <c r="B3905" s="318">
        <f t="shared" si="243"/>
        <v>46275</v>
      </c>
      <c r="C3905" s="312">
        <v>13</v>
      </c>
      <c r="D3905" s="368">
        <f>IFERROR((INDEX(METADATA!$T$2:$T$20,MATCH(B3905,METADATA!$S$2:$S$20,0))),0)</f>
        <v>0</v>
      </c>
      <c r="E3905" s="312" t="str">
        <f t="shared" si="240"/>
        <v>LO</v>
      </c>
      <c r="F3905" s="369">
        <f>VLOOKUP(C3905,METADATA!$A$5:$H$29,IF(E3905="HI",2,IF(E3905="LO",6,10))+IF(D3905=1,2,IF(D3905=7,1,(IF(WEEKDAY(B3905)=1,2,IF(WEEKDAY(B3905)=7,1,0))))))</f>
        <v>2</v>
      </c>
      <c r="G3905" s="369">
        <f>VLOOKUP(C3905,METADATA!$J$5:$Q$29,IF(E3905="HI",2,IF(E3905="LO",6,10))+IF(D3905=1,2,IF(D3905=7,1,(IF(WEEKDAY(B3905)=1,2,IF(WEEKDAY(B3905)=7,1,0))))))</f>
        <v>2</v>
      </c>
      <c r="H3905" s="370">
        <v>9829.6499633789063</v>
      </c>
      <c r="I3905" s="370">
        <v>3032.3050231933594</v>
      </c>
      <c r="M3905" s="371">
        <f t="shared" si="241"/>
        <v>10286.733794370233</v>
      </c>
      <c r="N3905" s="329">
        <f t="shared" si="242"/>
        <v>83.4100341796875</v>
      </c>
      <c r="T3905" s="331">
        <v>0</v>
      </c>
      <c r="U3905" s="328">
        <f>VLOOKUP(C3905,METADATA!$J$5:$Q$29,IF(E3905="HI",2,IF(E3905="LO",6,10))+IF(T3905=1,2,IF(D3905=7,1,(IF(WEEKDAY(B3905)=1,2,IF(WEEKDAY(B3905)=7,1,0))))))</f>
        <v>2</v>
      </c>
      <c r="V3905" s="328">
        <f>VLOOKUP(C3905,METADATA!$A$5:$H$29,IF(E3905="HI",2,IF(E3905="LO",6,10))+IF(T3905=1,2,IF(D3905=7,1,(IF(WEEKDAY(B3905)=1,2,IF(WEEKDAY(B3905)=7,1,0))))))</f>
        <v>2</v>
      </c>
    </row>
    <row r="3906" spans="2:22">
      <c r="B3906" s="318">
        <f t="shared" si="243"/>
        <v>46275</v>
      </c>
      <c r="C3906" s="312">
        <v>14</v>
      </c>
      <c r="D3906" s="368">
        <f>IFERROR((INDEX(METADATA!$T$2:$T$20,MATCH(B3906,METADATA!$S$2:$S$20,0))),0)</f>
        <v>0</v>
      </c>
      <c r="E3906" s="312" t="str">
        <f t="shared" si="240"/>
        <v>LO</v>
      </c>
      <c r="F3906" s="369">
        <f>VLOOKUP(C3906,METADATA!$A$5:$H$29,IF(E3906="HI",2,IF(E3906="LO",6,10))+IF(D3906=1,2,IF(D3906=7,1,(IF(WEEKDAY(B3906)=1,2,IF(WEEKDAY(B3906)=7,1,0))))))</f>
        <v>2</v>
      </c>
      <c r="G3906" s="369">
        <f>VLOOKUP(C3906,METADATA!$J$5:$Q$29,IF(E3906="HI",2,IF(E3906="LO",6,10))+IF(D3906=1,2,IF(D3906=7,1,(IF(WEEKDAY(B3906)=1,2,IF(WEEKDAY(B3906)=7,1,0))))))</f>
        <v>2</v>
      </c>
      <c r="H3906" s="370">
        <v>6855.9624633789063</v>
      </c>
      <c r="I3906" s="370">
        <v>1544.0650170817971</v>
      </c>
      <c r="M3906" s="371">
        <f t="shared" si="241"/>
        <v>7027.6851150458051</v>
      </c>
      <c r="N3906" s="329">
        <f t="shared" si="242"/>
        <v>0</v>
      </c>
      <c r="T3906" s="331">
        <v>0</v>
      </c>
      <c r="U3906" s="328">
        <f>VLOOKUP(C3906,METADATA!$J$5:$Q$29,IF(E3906="HI",2,IF(E3906="LO",6,10))+IF(T3906=1,2,IF(D3906=7,1,(IF(WEEKDAY(B3906)=1,2,IF(WEEKDAY(B3906)=7,1,0))))))</f>
        <v>2</v>
      </c>
      <c r="V3906" s="328">
        <f>VLOOKUP(C3906,METADATA!$A$5:$H$29,IF(E3906="HI",2,IF(E3906="LO",6,10))+IF(T3906=1,2,IF(D3906=7,1,(IF(WEEKDAY(B3906)=1,2,IF(WEEKDAY(B3906)=7,1,0))))))</f>
        <v>2</v>
      </c>
    </row>
    <row r="3907" spans="2:22">
      <c r="B3907" s="318">
        <f t="shared" si="243"/>
        <v>46275</v>
      </c>
      <c r="C3907" s="312">
        <v>15</v>
      </c>
      <c r="D3907" s="368">
        <f>IFERROR((INDEX(METADATA!$T$2:$T$20,MATCH(B3907,METADATA!$S$2:$S$20,0))),0)</f>
        <v>0</v>
      </c>
      <c r="E3907" s="312" t="str">
        <f t="shared" si="240"/>
        <v>LO</v>
      </c>
      <c r="F3907" s="369">
        <f>VLOOKUP(C3907,METADATA!$A$5:$H$29,IF(E3907="HI",2,IF(E3907="LO",6,10))+IF(D3907=1,2,IF(D3907=7,1,(IF(WEEKDAY(B3907)=1,2,IF(WEEKDAY(B3907)=7,1,0))))))</f>
        <v>2</v>
      </c>
      <c r="G3907" s="369">
        <f>VLOOKUP(C3907,METADATA!$J$5:$Q$29,IF(E3907="HI",2,IF(E3907="LO",6,10))+IF(D3907=1,2,IF(D3907=7,1,(IF(WEEKDAY(B3907)=1,2,IF(WEEKDAY(B3907)=7,1,0))))))</f>
        <v>2</v>
      </c>
      <c r="H3907" s="370">
        <v>6072.9100952148438</v>
      </c>
      <c r="I3907" s="370">
        <v>1512.5749816894531</v>
      </c>
      <c r="M3907" s="371">
        <f t="shared" si="241"/>
        <v>6258.4439040224051</v>
      </c>
      <c r="N3907" s="329">
        <f t="shared" si="242"/>
        <v>0</v>
      </c>
      <c r="T3907" s="331">
        <v>0</v>
      </c>
      <c r="U3907" s="328">
        <f>VLOOKUP(C3907,METADATA!$J$5:$Q$29,IF(E3907="HI",2,IF(E3907="LO",6,10))+IF(T3907=1,2,IF(D3907=7,1,(IF(WEEKDAY(B3907)=1,2,IF(WEEKDAY(B3907)=7,1,0))))))</f>
        <v>2</v>
      </c>
      <c r="V3907" s="328">
        <f>VLOOKUP(C3907,METADATA!$A$5:$H$29,IF(E3907="HI",2,IF(E3907="LO",6,10))+IF(T3907=1,2,IF(D3907=7,1,(IF(WEEKDAY(B3907)=1,2,IF(WEEKDAY(B3907)=7,1,0))))))</f>
        <v>2</v>
      </c>
    </row>
    <row r="3908" spans="2:22">
      <c r="B3908" s="318">
        <f t="shared" si="243"/>
        <v>46275</v>
      </c>
      <c r="C3908" s="312">
        <v>16</v>
      </c>
      <c r="D3908" s="368">
        <f>IFERROR((INDEX(METADATA!$T$2:$T$20,MATCH(B3908,METADATA!$S$2:$S$20,0))),0)</f>
        <v>0</v>
      </c>
      <c r="E3908" s="312" t="str">
        <f t="shared" ref="E3908:E3971" si="244">IF(B3908="","",IF(AND(MONTH(B3908)&gt;=MONTH($Z$9),MONTH(B3908)&lt;=MONTH($Z$11)),"HI","LO"))</f>
        <v>LO</v>
      </c>
      <c r="F3908" s="369">
        <f>VLOOKUP(C3908,METADATA!$A$5:$H$29,IF(E3908="HI",2,IF(E3908="LO",6,10))+IF(D3908=1,2,IF(D3908=7,1,(IF(WEEKDAY(B3908)=1,2,IF(WEEKDAY(B3908)=7,1,0))))))</f>
        <v>2</v>
      </c>
      <c r="G3908" s="369">
        <f>VLOOKUP(C3908,METADATA!$J$5:$Q$29,IF(E3908="HI",2,IF(E3908="LO",6,10))+IF(D3908=1,2,IF(D3908=7,1,(IF(WEEKDAY(B3908)=1,2,IF(WEEKDAY(B3908)=7,1,0))))))</f>
        <v>2</v>
      </c>
      <c r="H3908" s="370">
        <v>5779.3049926757813</v>
      </c>
      <c r="I3908" s="370">
        <v>1314.7200012207031</v>
      </c>
      <c r="M3908" s="371">
        <f t="shared" ref="M3908:M3971" si="245">SQRT(H3908^2+I3908^2)</f>
        <v>5926.9600032374929</v>
      </c>
      <c r="N3908" s="329">
        <f t="shared" ref="N3908:N3971" si="246">IF(H3908=0,0,(IF(I3908-(0.3*H3908)&lt;0,0,(I3908-(0.3*H3908)))))</f>
        <v>0</v>
      </c>
      <c r="T3908" s="331">
        <v>0</v>
      </c>
      <c r="U3908" s="328">
        <f>VLOOKUP(C3908,METADATA!$J$5:$Q$29,IF(E3908="HI",2,IF(E3908="LO",6,10))+IF(T3908=1,2,IF(D3908=7,1,(IF(WEEKDAY(B3908)=1,2,IF(WEEKDAY(B3908)=7,1,0))))))</f>
        <v>2</v>
      </c>
      <c r="V3908" s="328">
        <f>VLOOKUP(C3908,METADATA!$A$5:$H$29,IF(E3908="HI",2,IF(E3908="LO",6,10))+IF(T3908=1,2,IF(D3908=7,1,(IF(WEEKDAY(B3908)=1,2,IF(WEEKDAY(B3908)=7,1,0))))))</f>
        <v>2</v>
      </c>
    </row>
    <row r="3909" spans="2:22">
      <c r="B3909" s="318">
        <f t="shared" si="243"/>
        <v>46275</v>
      </c>
      <c r="C3909" s="312">
        <v>17</v>
      </c>
      <c r="D3909" s="368">
        <f>IFERROR((INDEX(METADATA!$T$2:$T$20,MATCH(B3909,METADATA!$S$2:$S$20,0))),0)</f>
        <v>0</v>
      </c>
      <c r="E3909" s="312" t="str">
        <f t="shared" si="244"/>
        <v>LO</v>
      </c>
      <c r="F3909" s="369">
        <f>VLOOKUP(C3909,METADATA!$A$5:$H$29,IF(E3909="HI",2,IF(E3909="LO",6,10))+IF(D3909=1,2,IF(D3909=7,1,(IF(WEEKDAY(B3909)=1,2,IF(WEEKDAY(B3909)=7,1,0))))))</f>
        <v>2</v>
      </c>
      <c r="G3909" s="369">
        <f>VLOOKUP(C3909,METADATA!$J$5:$Q$29,IF(E3909="HI",2,IF(E3909="LO",6,10))+IF(D3909=1,2,IF(D3909=7,1,(IF(WEEKDAY(B3909)=1,2,IF(WEEKDAY(B3909)=7,1,0))))))</f>
        <v>2</v>
      </c>
      <c r="H3909" s="370">
        <v>5860.8200988769531</v>
      </c>
      <c r="I3909" s="370">
        <v>1386.0724792480469</v>
      </c>
      <c r="M3909" s="371">
        <f t="shared" si="245"/>
        <v>6022.4919384860023</v>
      </c>
      <c r="N3909" s="329">
        <f t="shared" si="246"/>
        <v>0</v>
      </c>
      <c r="T3909" s="331">
        <v>0</v>
      </c>
      <c r="U3909" s="328">
        <f>VLOOKUP(C3909,METADATA!$J$5:$Q$29,IF(E3909="HI",2,IF(E3909="LO",6,10))+IF(T3909=1,2,IF(D3909=7,1,(IF(WEEKDAY(B3909)=1,2,IF(WEEKDAY(B3909)=7,1,0))))))</f>
        <v>2</v>
      </c>
      <c r="V3909" s="328">
        <f>VLOOKUP(C3909,METADATA!$A$5:$H$29,IF(E3909="HI",2,IF(E3909="LO",6,10))+IF(T3909=1,2,IF(D3909=7,1,(IF(WEEKDAY(B3909)=1,2,IF(WEEKDAY(B3909)=7,1,0))))))</f>
        <v>2</v>
      </c>
    </row>
    <row r="3910" spans="2:22">
      <c r="B3910" s="318">
        <f t="shared" si="243"/>
        <v>46275</v>
      </c>
      <c r="C3910" s="312">
        <v>18</v>
      </c>
      <c r="D3910" s="368">
        <f>IFERROR((INDEX(METADATA!$T$2:$T$20,MATCH(B3910,METADATA!$S$2:$S$20,0))),0)</f>
        <v>0</v>
      </c>
      <c r="E3910" s="312" t="str">
        <f t="shared" si="244"/>
        <v>LO</v>
      </c>
      <c r="F3910" s="369">
        <f>VLOOKUP(C3910,METADATA!$A$5:$H$29,IF(E3910="HI",2,IF(E3910="LO",6,10))+IF(D3910=1,2,IF(D3910=7,1,(IF(WEEKDAY(B3910)=1,2,IF(WEEKDAY(B3910)=7,1,0))))))</f>
        <v>1</v>
      </c>
      <c r="G3910" s="369">
        <f>VLOOKUP(C3910,METADATA!$J$5:$Q$29,IF(E3910="HI",2,IF(E3910="LO",6,10))+IF(D3910=1,2,IF(D3910=7,1,(IF(WEEKDAY(B3910)=1,2,IF(WEEKDAY(B3910)=7,1,0))))))</f>
        <v>1</v>
      </c>
      <c r="H3910" s="370">
        <v>5787.5398559570313</v>
      </c>
      <c r="I3910" s="370">
        <v>1363.0325012207031</v>
      </c>
      <c r="M3910" s="371">
        <f t="shared" si="245"/>
        <v>5945.8788403124317</v>
      </c>
      <c r="N3910" s="329">
        <f t="shared" si="246"/>
        <v>0</v>
      </c>
      <c r="T3910" s="331">
        <v>0</v>
      </c>
      <c r="U3910" s="328">
        <f>VLOOKUP(C3910,METADATA!$J$5:$Q$29,IF(E3910="HI",2,IF(E3910="LO",6,10))+IF(T3910=1,2,IF(D3910=7,1,(IF(WEEKDAY(B3910)=1,2,IF(WEEKDAY(B3910)=7,1,0))))))</f>
        <v>1</v>
      </c>
      <c r="V3910" s="328">
        <f>VLOOKUP(C3910,METADATA!$A$5:$H$29,IF(E3910="HI",2,IF(E3910="LO",6,10))+IF(T3910=1,2,IF(D3910=7,1,(IF(WEEKDAY(B3910)=1,2,IF(WEEKDAY(B3910)=7,1,0))))))</f>
        <v>1</v>
      </c>
    </row>
    <row r="3911" spans="2:22">
      <c r="B3911" s="318">
        <f t="shared" si="243"/>
        <v>46275</v>
      </c>
      <c r="C3911" s="312">
        <v>19</v>
      </c>
      <c r="D3911" s="368">
        <f>IFERROR((INDEX(METADATA!$T$2:$T$20,MATCH(B3911,METADATA!$S$2:$S$20,0))),0)</f>
        <v>0</v>
      </c>
      <c r="E3911" s="312" t="str">
        <f t="shared" si="244"/>
        <v>LO</v>
      </c>
      <c r="F3911" s="369">
        <f>VLOOKUP(C3911,METADATA!$A$5:$H$29,IF(E3911="HI",2,IF(E3911="LO",6,10))+IF(D3911=1,2,IF(D3911=7,1,(IF(WEEKDAY(B3911)=1,2,IF(WEEKDAY(B3911)=7,1,0))))))</f>
        <v>1</v>
      </c>
      <c r="G3911" s="369">
        <f>VLOOKUP(C3911,METADATA!$J$5:$Q$29,IF(E3911="HI",2,IF(E3911="LO",6,10))+IF(D3911=1,2,IF(D3911=7,1,(IF(WEEKDAY(B3911)=1,2,IF(WEEKDAY(B3911)=7,1,0))))))</f>
        <v>1</v>
      </c>
      <c r="H3911" s="370">
        <v>10054.927520751953</v>
      </c>
      <c r="I3911" s="370">
        <v>2509.8725128173828</v>
      </c>
      <c r="M3911" s="371">
        <f t="shared" si="245"/>
        <v>10363.446698766355</v>
      </c>
      <c r="N3911" s="329">
        <f t="shared" si="246"/>
        <v>0</v>
      </c>
      <c r="T3911" s="331">
        <v>0</v>
      </c>
      <c r="U3911" s="328">
        <f>VLOOKUP(C3911,METADATA!$J$5:$Q$29,IF(E3911="HI",2,IF(E3911="LO",6,10))+IF(T3911=1,2,IF(D3911=7,1,(IF(WEEKDAY(B3911)=1,2,IF(WEEKDAY(B3911)=7,1,0))))))</f>
        <v>1</v>
      </c>
      <c r="V3911" s="328">
        <f>VLOOKUP(C3911,METADATA!$A$5:$H$29,IF(E3911="HI",2,IF(E3911="LO",6,10))+IF(T3911=1,2,IF(D3911=7,1,(IF(WEEKDAY(B3911)=1,2,IF(WEEKDAY(B3911)=7,1,0))))))</f>
        <v>1</v>
      </c>
    </row>
    <row r="3912" spans="2:22">
      <c r="B3912" s="318">
        <f t="shared" si="243"/>
        <v>46275</v>
      </c>
      <c r="C3912" s="312">
        <v>20</v>
      </c>
      <c r="D3912" s="368">
        <f>IFERROR((INDEX(METADATA!$T$2:$T$20,MATCH(B3912,METADATA!$S$2:$S$20,0))),0)</f>
        <v>0</v>
      </c>
      <c r="E3912" s="312" t="str">
        <f t="shared" si="244"/>
        <v>LO</v>
      </c>
      <c r="F3912" s="369">
        <f>VLOOKUP(C3912,METADATA!$A$5:$H$29,IF(E3912="HI",2,IF(E3912="LO",6,10))+IF(D3912=1,2,IF(D3912=7,1,(IF(WEEKDAY(B3912)=1,2,IF(WEEKDAY(B3912)=7,1,0))))))</f>
        <v>1</v>
      </c>
      <c r="G3912" s="369">
        <f>VLOOKUP(C3912,METADATA!$J$5:$Q$29,IF(E3912="HI",2,IF(E3912="LO",6,10))+IF(D3912=1,2,IF(D3912=7,1,(IF(WEEKDAY(B3912)=1,2,IF(WEEKDAY(B3912)=7,1,0))))))</f>
        <v>1</v>
      </c>
      <c r="H3912" s="370">
        <v>12739.174987792969</v>
      </c>
      <c r="I3912" s="370">
        <v>3920.3899536132813</v>
      </c>
      <c r="M3912" s="371">
        <f t="shared" si="245"/>
        <v>13328.767263254391</v>
      </c>
      <c r="N3912" s="329">
        <f t="shared" si="246"/>
        <v>98.637457275390716</v>
      </c>
      <c r="T3912" s="331">
        <v>0</v>
      </c>
      <c r="U3912" s="328">
        <f>VLOOKUP(C3912,METADATA!$J$5:$Q$29,IF(E3912="HI",2,IF(E3912="LO",6,10))+IF(T3912=1,2,IF(D3912=7,1,(IF(WEEKDAY(B3912)=1,2,IF(WEEKDAY(B3912)=7,1,0))))))</f>
        <v>1</v>
      </c>
      <c r="V3912" s="328">
        <f>VLOOKUP(C3912,METADATA!$A$5:$H$29,IF(E3912="HI",2,IF(E3912="LO",6,10))+IF(T3912=1,2,IF(D3912=7,1,(IF(WEEKDAY(B3912)=1,2,IF(WEEKDAY(B3912)=7,1,0))))))</f>
        <v>1</v>
      </c>
    </row>
    <row r="3913" spans="2:22">
      <c r="B3913" s="318">
        <f t="shared" si="243"/>
        <v>46275</v>
      </c>
      <c r="C3913" s="312">
        <v>21</v>
      </c>
      <c r="D3913" s="368">
        <f>IFERROR((INDEX(METADATA!$T$2:$T$20,MATCH(B3913,METADATA!$S$2:$S$20,0))),0)</f>
        <v>0</v>
      </c>
      <c r="E3913" s="312" t="str">
        <f t="shared" si="244"/>
        <v>LO</v>
      </c>
      <c r="F3913" s="369">
        <f>VLOOKUP(C3913,METADATA!$A$5:$H$29,IF(E3913="HI",2,IF(E3913="LO",6,10))+IF(D3913=1,2,IF(D3913=7,1,(IF(WEEKDAY(B3913)=1,2,IF(WEEKDAY(B3913)=7,1,0))))))</f>
        <v>2</v>
      </c>
      <c r="G3913" s="369">
        <f>VLOOKUP(C3913,METADATA!$J$5:$Q$29,IF(E3913="HI",2,IF(E3913="LO",6,10))+IF(D3913=1,2,IF(D3913=7,1,(IF(WEEKDAY(B3913)=1,2,IF(WEEKDAY(B3913)=7,1,0))))))</f>
        <v>2</v>
      </c>
      <c r="H3913" s="370">
        <v>13135.999572753906</v>
      </c>
      <c r="I3913" s="370">
        <v>4078.2450561523438</v>
      </c>
      <c r="M3913" s="371">
        <f t="shared" si="245"/>
        <v>13754.510806038208</v>
      </c>
      <c r="N3913" s="329">
        <f t="shared" si="246"/>
        <v>137.44518432617224</v>
      </c>
      <c r="T3913" s="331">
        <v>0</v>
      </c>
      <c r="U3913" s="328">
        <f>VLOOKUP(C3913,METADATA!$J$5:$Q$29,IF(E3913="HI",2,IF(E3913="LO",6,10))+IF(T3913=1,2,IF(D3913=7,1,(IF(WEEKDAY(B3913)=1,2,IF(WEEKDAY(B3913)=7,1,0))))))</f>
        <v>2</v>
      </c>
      <c r="V3913" s="328">
        <f>VLOOKUP(C3913,METADATA!$A$5:$H$29,IF(E3913="HI",2,IF(E3913="LO",6,10))+IF(T3913=1,2,IF(D3913=7,1,(IF(WEEKDAY(B3913)=1,2,IF(WEEKDAY(B3913)=7,1,0))))))</f>
        <v>2</v>
      </c>
    </row>
    <row r="3914" spans="2:22">
      <c r="B3914" s="318">
        <f t="shared" si="243"/>
        <v>46275</v>
      </c>
      <c r="C3914" s="312">
        <v>22</v>
      </c>
      <c r="D3914" s="368">
        <f>IFERROR((INDEX(METADATA!$T$2:$T$20,MATCH(B3914,METADATA!$S$2:$S$20,0))),0)</f>
        <v>0</v>
      </c>
      <c r="E3914" s="312" t="str">
        <f t="shared" si="244"/>
        <v>LO</v>
      </c>
      <c r="F3914" s="369">
        <f>VLOOKUP(C3914,METADATA!$A$5:$H$29,IF(E3914="HI",2,IF(E3914="LO",6,10))+IF(D3914=1,2,IF(D3914=7,1,(IF(WEEKDAY(B3914)=1,2,IF(WEEKDAY(B3914)=7,1,0))))))</f>
        <v>3</v>
      </c>
      <c r="G3914" s="369">
        <f>VLOOKUP(C3914,METADATA!$J$5:$Q$29,IF(E3914="HI",2,IF(E3914="LO",6,10))+IF(D3914=1,2,IF(D3914=7,1,(IF(WEEKDAY(B3914)=1,2,IF(WEEKDAY(B3914)=7,1,0))))))</f>
        <v>3</v>
      </c>
      <c r="H3914" s="370">
        <v>12965.900024414063</v>
      </c>
      <c r="I3914" s="370">
        <v>4030.2449340820313</v>
      </c>
      <c r="M3914" s="371">
        <f t="shared" si="245"/>
        <v>13577.828901256431</v>
      </c>
      <c r="N3914" s="329">
        <f t="shared" si="246"/>
        <v>140.47492675781268</v>
      </c>
      <c r="T3914" s="331">
        <v>0</v>
      </c>
      <c r="U3914" s="328">
        <f>VLOOKUP(C3914,METADATA!$J$5:$Q$29,IF(E3914="HI",2,IF(E3914="LO",6,10))+IF(T3914=1,2,IF(D3914=7,1,(IF(WEEKDAY(B3914)=1,2,IF(WEEKDAY(B3914)=7,1,0))))))</f>
        <v>3</v>
      </c>
      <c r="V3914" s="328">
        <f>VLOOKUP(C3914,METADATA!$A$5:$H$29,IF(E3914="HI",2,IF(E3914="LO",6,10))+IF(T3914=1,2,IF(D3914=7,1,(IF(WEEKDAY(B3914)=1,2,IF(WEEKDAY(B3914)=7,1,0))))))</f>
        <v>3</v>
      </c>
    </row>
    <row r="3915" spans="2:22">
      <c r="B3915" s="318">
        <f t="shared" si="243"/>
        <v>46275</v>
      </c>
      <c r="C3915" s="312">
        <v>23</v>
      </c>
      <c r="D3915" s="368">
        <f>IFERROR((INDEX(METADATA!$T$2:$T$20,MATCH(B3915,METADATA!$S$2:$S$20,0))),0)</f>
        <v>0</v>
      </c>
      <c r="E3915" s="312" t="str">
        <f t="shared" si="244"/>
        <v>LO</v>
      </c>
      <c r="F3915" s="369">
        <f>VLOOKUP(C3915,METADATA!$A$5:$H$29,IF(E3915="HI",2,IF(E3915="LO",6,10))+IF(D3915=1,2,IF(D3915=7,1,(IF(WEEKDAY(B3915)=1,2,IF(WEEKDAY(B3915)=7,1,0))))))</f>
        <v>3</v>
      </c>
      <c r="G3915" s="369">
        <f>VLOOKUP(C3915,METADATA!$J$5:$Q$29,IF(E3915="HI",2,IF(E3915="LO",6,10))+IF(D3915=1,2,IF(D3915=7,1,(IF(WEEKDAY(B3915)=1,2,IF(WEEKDAY(B3915)=7,1,0))))))</f>
        <v>3</v>
      </c>
      <c r="H3915" s="370">
        <v>13159.175231933594</v>
      </c>
      <c r="I3915" s="370">
        <v>4064.2400207519531</v>
      </c>
      <c r="M3915" s="371">
        <f t="shared" si="245"/>
        <v>13772.506661135307</v>
      </c>
      <c r="N3915" s="329">
        <f t="shared" si="246"/>
        <v>116.48745117187536</v>
      </c>
      <c r="T3915" s="331">
        <v>0</v>
      </c>
      <c r="U3915" s="328">
        <f>VLOOKUP(C3915,METADATA!$J$5:$Q$29,IF(E3915="HI",2,IF(E3915="LO",6,10))+IF(T3915=1,2,IF(D3915=7,1,(IF(WEEKDAY(B3915)=1,2,IF(WEEKDAY(B3915)=7,1,0))))))</f>
        <v>3</v>
      </c>
      <c r="V3915" s="328">
        <f>VLOOKUP(C3915,METADATA!$A$5:$H$29,IF(E3915="HI",2,IF(E3915="LO",6,10))+IF(T3915=1,2,IF(D3915=7,1,(IF(WEEKDAY(B3915)=1,2,IF(WEEKDAY(B3915)=7,1,0))))))</f>
        <v>3</v>
      </c>
    </row>
    <row r="3916" spans="2:22">
      <c r="B3916" s="318">
        <f t="shared" si="243"/>
        <v>46276</v>
      </c>
      <c r="C3916" s="312">
        <v>0</v>
      </c>
      <c r="D3916" s="368">
        <f>IFERROR((INDEX(METADATA!$T$2:$T$20,MATCH(B3916,METADATA!$S$2:$S$20,0))),0)</f>
        <v>0</v>
      </c>
      <c r="E3916" s="312" t="str">
        <f t="shared" si="244"/>
        <v>LO</v>
      </c>
      <c r="F3916" s="369">
        <f>VLOOKUP(C3916,METADATA!$A$5:$H$29,IF(E3916="HI",2,IF(E3916="LO",6,10))+IF(D3916=1,2,IF(D3916=7,1,(IF(WEEKDAY(B3916)=1,2,IF(WEEKDAY(B3916)=7,1,0))))))</f>
        <v>3</v>
      </c>
      <c r="G3916" s="369">
        <f>VLOOKUP(C3916,METADATA!$J$5:$Q$29,IF(E3916="HI",2,IF(E3916="LO",6,10))+IF(D3916=1,2,IF(D3916=7,1,(IF(WEEKDAY(B3916)=1,2,IF(WEEKDAY(B3916)=7,1,0))))))</f>
        <v>3</v>
      </c>
      <c r="H3916" s="370">
        <v>11916.750366210938</v>
      </c>
      <c r="I3916" s="370">
        <v>3594.0699844360352</v>
      </c>
      <c r="M3916" s="371">
        <f t="shared" si="245"/>
        <v>12446.93851288792</v>
      </c>
      <c r="N3916" s="329">
        <f t="shared" si="246"/>
        <v>19.044874572753997</v>
      </c>
      <c r="T3916" s="331">
        <v>0</v>
      </c>
      <c r="U3916" s="328">
        <f>VLOOKUP(C3916,METADATA!$J$5:$Q$29,IF(E3916="HI",2,IF(E3916="LO",6,10))+IF(T3916=1,2,IF(D3916=7,1,(IF(WEEKDAY(B3916)=1,2,IF(WEEKDAY(B3916)=7,1,0))))))</f>
        <v>3</v>
      </c>
      <c r="V3916" s="328">
        <f>VLOOKUP(C3916,METADATA!$A$5:$H$29,IF(E3916="HI",2,IF(E3916="LO",6,10))+IF(T3916=1,2,IF(D3916=7,1,(IF(WEEKDAY(B3916)=1,2,IF(WEEKDAY(B3916)=7,1,0))))))</f>
        <v>3</v>
      </c>
    </row>
    <row r="3917" spans="2:22">
      <c r="B3917" s="318">
        <f t="shared" si="243"/>
        <v>46276</v>
      </c>
      <c r="C3917" s="312">
        <v>1</v>
      </c>
      <c r="D3917" s="368">
        <f>IFERROR((INDEX(METADATA!$T$2:$T$20,MATCH(B3917,METADATA!$S$2:$S$20,0))),0)</f>
        <v>0</v>
      </c>
      <c r="E3917" s="312" t="str">
        <f t="shared" si="244"/>
        <v>LO</v>
      </c>
      <c r="F3917" s="369">
        <f>VLOOKUP(C3917,METADATA!$A$5:$H$29,IF(E3917="HI",2,IF(E3917="LO",6,10))+IF(D3917=1,2,IF(D3917=7,1,(IF(WEEKDAY(B3917)=1,2,IF(WEEKDAY(B3917)=7,1,0))))))</f>
        <v>3</v>
      </c>
      <c r="G3917" s="369">
        <f>VLOOKUP(C3917,METADATA!$J$5:$Q$29,IF(E3917="HI",2,IF(E3917="LO",6,10))+IF(D3917=1,2,IF(D3917=7,1,(IF(WEEKDAY(B3917)=1,2,IF(WEEKDAY(B3917)=7,1,0))))))</f>
        <v>3</v>
      </c>
      <c r="H3917" s="370">
        <v>9734.5</v>
      </c>
      <c r="I3917" s="370">
        <v>2554.5150409936905</v>
      </c>
      <c r="M3917" s="371">
        <f t="shared" si="245"/>
        <v>10064.096449491281</v>
      </c>
      <c r="N3917" s="329">
        <f t="shared" si="246"/>
        <v>0</v>
      </c>
      <c r="T3917" s="331">
        <v>0</v>
      </c>
      <c r="U3917" s="328">
        <f>VLOOKUP(C3917,METADATA!$J$5:$Q$29,IF(E3917="HI",2,IF(E3917="LO",6,10))+IF(T3917=1,2,IF(D3917=7,1,(IF(WEEKDAY(B3917)=1,2,IF(WEEKDAY(B3917)=7,1,0))))))</f>
        <v>3</v>
      </c>
      <c r="V3917" s="328">
        <f>VLOOKUP(C3917,METADATA!$A$5:$H$29,IF(E3917="HI",2,IF(E3917="LO",6,10))+IF(T3917=1,2,IF(D3917=7,1,(IF(WEEKDAY(B3917)=1,2,IF(WEEKDAY(B3917)=7,1,0))))))</f>
        <v>3</v>
      </c>
    </row>
    <row r="3918" spans="2:22">
      <c r="B3918" s="318">
        <f t="shared" si="243"/>
        <v>46276</v>
      </c>
      <c r="C3918" s="312">
        <v>2</v>
      </c>
      <c r="D3918" s="368">
        <f>IFERROR((INDEX(METADATA!$T$2:$T$20,MATCH(B3918,METADATA!$S$2:$S$20,0))),0)</f>
        <v>0</v>
      </c>
      <c r="E3918" s="312" t="str">
        <f t="shared" si="244"/>
        <v>LO</v>
      </c>
      <c r="F3918" s="369">
        <f>VLOOKUP(C3918,METADATA!$A$5:$H$29,IF(E3918="HI",2,IF(E3918="LO",6,10))+IF(D3918=1,2,IF(D3918=7,1,(IF(WEEKDAY(B3918)=1,2,IF(WEEKDAY(B3918)=7,1,0))))))</f>
        <v>3</v>
      </c>
      <c r="G3918" s="369">
        <f>VLOOKUP(C3918,METADATA!$J$5:$Q$29,IF(E3918="HI",2,IF(E3918="LO",6,10))+IF(D3918=1,2,IF(D3918=7,1,(IF(WEEKDAY(B3918)=1,2,IF(WEEKDAY(B3918)=7,1,0))))))</f>
        <v>3</v>
      </c>
      <c r="H3918" s="370">
        <v>11403.950012207031</v>
      </c>
      <c r="I3918" s="370">
        <v>3284.6850433349609</v>
      </c>
      <c r="M3918" s="371">
        <f t="shared" si="245"/>
        <v>11867.570590260888</v>
      </c>
      <c r="N3918" s="329">
        <f t="shared" si="246"/>
        <v>0</v>
      </c>
      <c r="T3918" s="331">
        <v>0</v>
      </c>
      <c r="U3918" s="328">
        <f>VLOOKUP(C3918,METADATA!$J$5:$Q$29,IF(E3918="HI",2,IF(E3918="LO",6,10))+IF(T3918=1,2,IF(D3918=7,1,(IF(WEEKDAY(B3918)=1,2,IF(WEEKDAY(B3918)=7,1,0))))))</f>
        <v>3</v>
      </c>
      <c r="V3918" s="328">
        <f>VLOOKUP(C3918,METADATA!$A$5:$H$29,IF(E3918="HI",2,IF(E3918="LO",6,10))+IF(T3918=1,2,IF(D3918=7,1,(IF(WEEKDAY(B3918)=1,2,IF(WEEKDAY(B3918)=7,1,0))))))</f>
        <v>3</v>
      </c>
    </row>
    <row r="3919" spans="2:22">
      <c r="B3919" s="318">
        <f t="shared" si="243"/>
        <v>46276</v>
      </c>
      <c r="C3919" s="312">
        <v>3</v>
      </c>
      <c r="D3919" s="368">
        <f>IFERROR((INDEX(METADATA!$T$2:$T$20,MATCH(B3919,METADATA!$S$2:$S$20,0))),0)</f>
        <v>0</v>
      </c>
      <c r="E3919" s="312" t="str">
        <f t="shared" si="244"/>
        <v>LO</v>
      </c>
      <c r="F3919" s="369">
        <f>VLOOKUP(C3919,METADATA!$A$5:$H$29,IF(E3919="HI",2,IF(E3919="LO",6,10))+IF(D3919=1,2,IF(D3919=7,1,(IF(WEEKDAY(B3919)=1,2,IF(WEEKDAY(B3919)=7,1,0))))))</f>
        <v>3</v>
      </c>
      <c r="G3919" s="369">
        <f>VLOOKUP(C3919,METADATA!$J$5:$Q$29,IF(E3919="HI",2,IF(E3919="LO",6,10))+IF(D3919=1,2,IF(D3919=7,1,(IF(WEEKDAY(B3919)=1,2,IF(WEEKDAY(B3919)=7,1,0))))))</f>
        <v>3</v>
      </c>
      <c r="H3919" s="370">
        <v>13060.725219726563</v>
      </c>
      <c r="I3919" s="370">
        <v>4088.7298889160156</v>
      </c>
      <c r="M3919" s="371">
        <f t="shared" si="245"/>
        <v>13685.76835145607</v>
      </c>
      <c r="N3919" s="329">
        <f t="shared" si="246"/>
        <v>170.51232299804724</v>
      </c>
      <c r="T3919" s="331">
        <v>0</v>
      </c>
      <c r="U3919" s="328">
        <f>VLOOKUP(C3919,METADATA!$J$5:$Q$29,IF(E3919="HI",2,IF(E3919="LO",6,10))+IF(T3919=1,2,IF(D3919=7,1,(IF(WEEKDAY(B3919)=1,2,IF(WEEKDAY(B3919)=7,1,0))))))</f>
        <v>3</v>
      </c>
      <c r="V3919" s="328">
        <f>VLOOKUP(C3919,METADATA!$A$5:$H$29,IF(E3919="HI",2,IF(E3919="LO",6,10))+IF(T3919=1,2,IF(D3919=7,1,(IF(WEEKDAY(B3919)=1,2,IF(WEEKDAY(B3919)=7,1,0))))))</f>
        <v>3</v>
      </c>
    </row>
    <row r="3920" spans="2:22">
      <c r="B3920" s="318">
        <f t="shared" si="243"/>
        <v>46276</v>
      </c>
      <c r="C3920" s="312">
        <v>4</v>
      </c>
      <c r="D3920" s="368">
        <f>IFERROR((INDEX(METADATA!$T$2:$T$20,MATCH(B3920,METADATA!$S$2:$S$20,0))),0)</f>
        <v>0</v>
      </c>
      <c r="E3920" s="312" t="str">
        <f t="shared" si="244"/>
        <v>LO</v>
      </c>
      <c r="F3920" s="369">
        <f>VLOOKUP(C3920,METADATA!$A$5:$H$29,IF(E3920="HI",2,IF(E3920="LO",6,10))+IF(D3920=1,2,IF(D3920=7,1,(IF(WEEKDAY(B3920)=1,2,IF(WEEKDAY(B3920)=7,1,0))))))</f>
        <v>3</v>
      </c>
      <c r="G3920" s="369">
        <f>VLOOKUP(C3920,METADATA!$J$5:$Q$29,IF(E3920="HI",2,IF(E3920="LO",6,10))+IF(D3920=1,2,IF(D3920=7,1,(IF(WEEKDAY(B3920)=1,2,IF(WEEKDAY(B3920)=7,1,0))))))</f>
        <v>3</v>
      </c>
      <c r="H3920" s="370">
        <v>12898.050231933594</v>
      </c>
      <c r="I3920" s="370">
        <v>3730.3900146484375</v>
      </c>
      <c r="M3920" s="371">
        <f t="shared" si="245"/>
        <v>13426.671569933889</v>
      </c>
      <c r="N3920" s="329">
        <f t="shared" si="246"/>
        <v>0</v>
      </c>
      <c r="T3920" s="331">
        <v>0</v>
      </c>
      <c r="U3920" s="328">
        <f>VLOOKUP(C3920,METADATA!$J$5:$Q$29,IF(E3920="HI",2,IF(E3920="LO",6,10))+IF(T3920=1,2,IF(D3920=7,1,(IF(WEEKDAY(B3920)=1,2,IF(WEEKDAY(B3920)=7,1,0))))))</f>
        <v>3</v>
      </c>
      <c r="V3920" s="328">
        <f>VLOOKUP(C3920,METADATA!$A$5:$H$29,IF(E3920="HI",2,IF(E3920="LO",6,10))+IF(T3920=1,2,IF(D3920=7,1,(IF(WEEKDAY(B3920)=1,2,IF(WEEKDAY(B3920)=7,1,0))))))</f>
        <v>3</v>
      </c>
    </row>
    <row r="3921" spans="2:22">
      <c r="B3921" s="318">
        <f t="shared" si="243"/>
        <v>46276</v>
      </c>
      <c r="C3921" s="312">
        <v>5</v>
      </c>
      <c r="D3921" s="368">
        <f>IFERROR((INDEX(METADATA!$T$2:$T$20,MATCH(B3921,METADATA!$S$2:$S$20,0))),0)</f>
        <v>0</v>
      </c>
      <c r="E3921" s="312" t="str">
        <f t="shared" si="244"/>
        <v>LO</v>
      </c>
      <c r="F3921" s="369">
        <f>VLOOKUP(C3921,METADATA!$A$5:$H$29,IF(E3921="HI",2,IF(E3921="LO",6,10))+IF(D3921=1,2,IF(D3921=7,1,(IF(WEEKDAY(B3921)=1,2,IF(WEEKDAY(B3921)=7,1,0))))))</f>
        <v>3</v>
      </c>
      <c r="G3921" s="369">
        <f>VLOOKUP(C3921,METADATA!$J$5:$Q$29,IF(E3921="HI",2,IF(E3921="LO",6,10))+IF(D3921=1,2,IF(D3921=7,1,(IF(WEEKDAY(B3921)=1,2,IF(WEEKDAY(B3921)=7,1,0))))))</f>
        <v>3</v>
      </c>
      <c r="H3921" s="370">
        <v>13167.199768066406</v>
      </c>
      <c r="I3921" s="370">
        <v>3871.3149719238281</v>
      </c>
      <c r="M3921" s="371">
        <f t="shared" si="245"/>
        <v>13724.511989284341</v>
      </c>
      <c r="N3921" s="329">
        <f t="shared" si="246"/>
        <v>0</v>
      </c>
      <c r="T3921" s="331">
        <v>0</v>
      </c>
      <c r="U3921" s="328">
        <f>VLOOKUP(C3921,METADATA!$J$5:$Q$29,IF(E3921="HI",2,IF(E3921="LO",6,10))+IF(T3921=1,2,IF(D3921=7,1,(IF(WEEKDAY(B3921)=1,2,IF(WEEKDAY(B3921)=7,1,0))))))</f>
        <v>3</v>
      </c>
      <c r="V3921" s="328">
        <f>VLOOKUP(C3921,METADATA!$A$5:$H$29,IF(E3921="HI",2,IF(E3921="LO",6,10))+IF(T3921=1,2,IF(D3921=7,1,(IF(WEEKDAY(B3921)=1,2,IF(WEEKDAY(B3921)=7,1,0))))))</f>
        <v>3</v>
      </c>
    </row>
    <row r="3922" spans="2:22">
      <c r="B3922" s="318">
        <f t="shared" si="243"/>
        <v>46276</v>
      </c>
      <c r="C3922" s="312">
        <v>6</v>
      </c>
      <c r="D3922" s="368">
        <f>IFERROR((INDEX(METADATA!$T$2:$T$20,MATCH(B3922,METADATA!$S$2:$S$20,0))),0)</f>
        <v>0</v>
      </c>
      <c r="E3922" s="312" t="str">
        <f t="shared" si="244"/>
        <v>LO</v>
      </c>
      <c r="F3922" s="369">
        <f>VLOOKUP(C3922,METADATA!$A$5:$H$29,IF(E3922="HI",2,IF(E3922="LO",6,10))+IF(D3922=1,2,IF(D3922=7,1,(IF(WEEKDAY(B3922)=1,2,IF(WEEKDAY(B3922)=7,1,0))))))</f>
        <v>2</v>
      </c>
      <c r="G3922" s="369">
        <f>VLOOKUP(C3922,METADATA!$J$5:$Q$29,IF(E3922="HI",2,IF(E3922="LO",6,10))+IF(D3922=1,2,IF(D3922=7,1,(IF(WEEKDAY(B3922)=1,2,IF(WEEKDAY(B3922)=7,1,0))))))</f>
        <v>2</v>
      </c>
      <c r="H3922" s="370">
        <v>11791.600280761719</v>
      </c>
      <c r="I3922" s="370">
        <v>3502.8949890136719</v>
      </c>
      <c r="M3922" s="371">
        <f t="shared" si="245"/>
        <v>12300.898767379436</v>
      </c>
      <c r="N3922" s="329">
        <f t="shared" si="246"/>
        <v>0</v>
      </c>
      <c r="T3922" s="331">
        <v>0</v>
      </c>
      <c r="U3922" s="328">
        <f>VLOOKUP(C3922,METADATA!$J$5:$Q$29,IF(E3922="HI",2,IF(E3922="LO",6,10))+IF(T3922=1,2,IF(D3922=7,1,(IF(WEEKDAY(B3922)=1,2,IF(WEEKDAY(B3922)=7,1,0))))))</f>
        <v>2</v>
      </c>
      <c r="V3922" s="328">
        <f>VLOOKUP(C3922,METADATA!$A$5:$H$29,IF(E3922="HI",2,IF(E3922="LO",6,10))+IF(T3922=1,2,IF(D3922=7,1,(IF(WEEKDAY(B3922)=1,2,IF(WEEKDAY(B3922)=7,1,0))))))</f>
        <v>2</v>
      </c>
    </row>
    <row r="3923" spans="2:22">
      <c r="B3923" s="318">
        <f t="shared" si="243"/>
        <v>46276</v>
      </c>
      <c r="C3923" s="312">
        <v>7</v>
      </c>
      <c r="D3923" s="368">
        <f>IFERROR((INDEX(METADATA!$T$2:$T$20,MATCH(B3923,METADATA!$S$2:$S$20,0))),0)</f>
        <v>0</v>
      </c>
      <c r="E3923" s="312" t="str">
        <f t="shared" si="244"/>
        <v>LO</v>
      </c>
      <c r="F3923" s="369">
        <f>VLOOKUP(C3923,METADATA!$A$5:$H$29,IF(E3923="HI",2,IF(E3923="LO",6,10))+IF(D3923=1,2,IF(D3923=7,1,(IF(WEEKDAY(B3923)=1,2,IF(WEEKDAY(B3923)=7,1,0))))))</f>
        <v>1</v>
      </c>
      <c r="G3923" s="369">
        <f>VLOOKUP(C3923,METADATA!$J$5:$Q$29,IF(E3923="HI",2,IF(E3923="LO",6,10))+IF(D3923=1,2,IF(D3923=7,1,(IF(WEEKDAY(B3923)=1,2,IF(WEEKDAY(B3923)=7,1,0))))))</f>
        <v>1</v>
      </c>
      <c r="H3923" s="370">
        <v>7597.3898315429688</v>
      </c>
      <c r="I3923" s="370">
        <v>1827.2874902263284</v>
      </c>
      <c r="M3923" s="371">
        <f t="shared" si="245"/>
        <v>7814.0458038310817</v>
      </c>
      <c r="N3923" s="329">
        <f t="shared" si="246"/>
        <v>0</v>
      </c>
      <c r="T3923" s="331">
        <v>0</v>
      </c>
      <c r="U3923" s="328">
        <f>VLOOKUP(C3923,METADATA!$J$5:$Q$29,IF(E3923="HI",2,IF(E3923="LO",6,10))+IF(T3923=1,2,IF(D3923=7,1,(IF(WEEKDAY(B3923)=1,2,IF(WEEKDAY(B3923)=7,1,0))))))</f>
        <v>1</v>
      </c>
      <c r="V3923" s="328">
        <f>VLOOKUP(C3923,METADATA!$A$5:$H$29,IF(E3923="HI",2,IF(E3923="LO",6,10))+IF(T3923=1,2,IF(D3923=7,1,(IF(WEEKDAY(B3923)=1,2,IF(WEEKDAY(B3923)=7,1,0))))))</f>
        <v>1</v>
      </c>
    </row>
    <row r="3924" spans="2:22">
      <c r="B3924" s="318">
        <f t="shared" si="243"/>
        <v>46276</v>
      </c>
      <c r="C3924" s="312">
        <v>8</v>
      </c>
      <c r="D3924" s="368">
        <f>IFERROR((INDEX(METADATA!$T$2:$T$20,MATCH(B3924,METADATA!$S$2:$S$20,0))),0)</f>
        <v>0</v>
      </c>
      <c r="E3924" s="312" t="str">
        <f t="shared" si="244"/>
        <v>LO</v>
      </c>
      <c r="F3924" s="369">
        <f>VLOOKUP(C3924,METADATA!$A$5:$H$29,IF(E3924="HI",2,IF(E3924="LO",6,10))+IF(D3924=1,2,IF(D3924=7,1,(IF(WEEKDAY(B3924)=1,2,IF(WEEKDAY(B3924)=7,1,0))))))</f>
        <v>1</v>
      </c>
      <c r="G3924" s="369">
        <f>VLOOKUP(C3924,METADATA!$J$5:$Q$29,IF(E3924="HI",2,IF(E3924="LO",6,10))+IF(D3924=1,2,IF(D3924=7,1,(IF(WEEKDAY(B3924)=1,2,IF(WEEKDAY(B3924)=7,1,0))))))</f>
        <v>1</v>
      </c>
      <c r="H3924" s="370">
        <v>7000.0299987792969</v>
      </c>
      <c r="I3924" s="370">
        <v>1788.1425170898438</v>
      </c>
      <c r="M3924" s="371">
        <f t="shared" si="245"/>
        <v>7224.809592316913</v>
      </c>
      <c r="N3924" s="329">
        <f t="shared" si="246"/>
        <v>0</v>
      </c>
      <c r="T3924" s="331">
        <v>0</v>
      </c>
      <c r="U3924" s="328">
        <f>VLOOKUP(C3924,METADATA!$J$5:$Q$29,IF(E3924="HI",2,IF(E3924="LO",6,10))+IF(T3924=1,2,IF(D3924=7,1,(IF(WEEKDAY(B3924)=1,2,IF(WEEKDAY(B3924)=7,1,0))))))</f>
        <v>1</v>
      </c>
      <c r="V3924" s="328">
        <f>VLOOKUP(C3924,METADATA!$A$5:$H$29,IF(E3924="HI",2,IF(E3924="LO",6,10))+IF(T3924=1,2,IF(D3924=7,1,(IF(WEEKDAY(B3924)=1,2,IF(WEEKDAY(B3924)=7,1,0))))))</f>
        <v>1</v>
      </c>
    </row>
    <row r="3925" spans="2:22">
      <c r="B3925" s="318">
        <f t="shared" si="243"/>
        <v>46276</v>
      </c>
      <c r="C3925" s="312">
        <v>9</v>
      </c>
      <c r="D3925" s="368">
        <f>IFERROR((INDEX(METADATA!$T$2:$T$20,MATCH(B3925,METADATA!$S$2:$S$20,0))),0)</f>
        <v>0</v>
      </c>
      <c r="E3925" s="312" t="str">
        <f t="shared" si="244"/>
        <v>LO</v>
      </c>
      <c r="F3925" s="369">
        <f>VLOOKUP(C3925,METADATA!$A$5:$H$29,IF(E3925="HI",2,IF(E3925="LO",6,10))+IF(D3925=1,2,IF(D3925=7,1,(IF(WEEKDAY(B3925)=1,2,IF(WEEKDAY(B3925)=7,1,0))))))</f>
        <v>2</v>
      </c>
      <c r="G3925" s="369">
        <f>VLOOKUP(C3925,METADATA!$J$5:$Q$29,IF(E3925="HI",2,IF(E3925="LO",6,10))+IF(D3925=1,2,IF(D3925=7,1,(IF(WEEKDAY(B3925)=1,2,IF(WEEKDAY(B3925)=7,1,0))))))</f>
        <v>2</v>
      </c>
      <c r="H3925" s="370">
        <v>5444.4999389648438</v>
      </c>
      <c r="I3925" s="370">
        <v>1459.5125427246094</v>
      </c>
      <c r="M3925" s="371">
        <f t="shared" si="245"/>
        <v>5636.7327812979247</v>
      </c>
      <c r="N3925" s="329">
        <f t="shared" si="246"/>
        <v>0</v>
      </c>
      <c r="T3925" s="331">
        <v>0</v>
      </c>
      <c r="U3925" s="328">
        <f>VLOOKUP(C3925,METADATA!$J$5:$Q$29,IF(E3925="HI",2,IF(E3925="LO",6,10))+IF(T3925=1,2,IF(D3925=7,1,(IF(WEEKDAY(B3925)=1,2,IF(WEEKDAY(B3925)=7,1,0))))))</f>
        <v>2</v>
      </c>
      <c r="V3925" s="328">
        <f>VLOOKUP(C3925,METADATA!$A$5:$H$29,IF(E3925="HI",2,IF(E3925="LO",6,10))+IF(T3925=1,2,IF(D3925=7,1,(IF(WEEKDAY(B3925)=1,2,IF(WEEKDAY(B3925)=7,1,0))))))</f>
        <v>2</v>
      </c>
    </row>
    <row r="3926" spans="2:22">
      <c r="B3926" s="318">
        <f t="shared" si="243"/>
        <v>46276</v>
      </c>
      <c r="C3926" s="312">
        <v>10</v>
      </c>
      <c r="D3926" s="368">
        <f>IFERROR((INDEX(METADATA!$T$2:$T$20,MATCH(B3926,METADATA!$S$2:$S$20,0))),0)</f>
        <v>0</v>
      </c>
      <c r="E3926" s="312" t="str">
        <f t="shared" si="244"/>
        <v>LO</v>
      </c>
      <c r="F3926" s="369">
        <f>VLOOKUP(C3926,METADATA!$A$5:$H$29,IF(E3926="HI",2,IF(E3926="LO",6,10))+IF(D3926=1,2,IF(D3926=7,1,(IF(WEEKDAY(B3926)=1,2,IF(WEEKDAY(B3926)=7,1,0))))))</f>
        <v>2</v>
      </c>
      <c r="G3926" s="369">
        <f>VLOOKUP(C3926,METADATA!$J$5:$Q$29,IF(E3926="HI",2,IF(E3926="LO",6,10))+IF(D3926=1,2,IF(D3926=7,1,(IF(WEEKDAY(B3926)=1,2,IF(WEEKDAY(B3926)=7,1,0))))))</f>
        <v>2</v>
      </c>
      <c r="H3926" s="370">
        <v>5550.7174987792969</v>
      </c>
      <c r="I3926" s="370">
        <v>1491.1924743652344</v>
      </c>
      <c r="M3926" s="371">
        <f t="shared" si="245"/>
        <v>5747.5316220842315</v>
      </c>
      <c r="N3926" s="329">
        <f t="shared" si="246"/>
        <v>0</v>
      </c>
      <c r="T3926" s="331">
        <v>0</v>
      </c>
      <c r="U3926" s="328">
        <f>VLOOKUP(C3926,METADATA!$J$5:$Q$29,IF(E3926="HI",2,IF(E3926="LO",6,10))+IF(T3926=1,2,IF(D3926=7,1,(IF(WEEKDAY(B3926)=1,2,IF(WEEKDAY(B3926)=7,1,0))))))</f>
        <v>2</v>
      </c>
      <c r="V3926" s="328">
        <f>VLOOKUP(C3926,METADATA!$A$5:$H$29,IF(E3926="HI",2,IF(E3926="LO",6,10))+IF(T3926=1,2,IF(D3926=7,1,(IF(WEEKDAY(B3926)=1,2,IF(WEEKDAY(B3926)=7,1,0))))))</f>
        <v>2</v>
      </c>
    </row>
    <row r="3927" spans="2:22">
      <c r="B3927" s="318">
        <f t="shared" si="243"/>
        <v>46276</v>
      </c>
      <c r="C3927" s="312">
        <v>11</v>
      </c>
      <c r="D3927" s="368">
        <f>IFERROR((INDEX(METADATA!$T$2:$T$20,MATCH(B3927,METADATA!$S$2:$S$20,0))),0)</f>
        <v>0</v>
      </c>
      <c r="E3927" s="312" t="str">
        <f t="shared" si="244"/>
        <v>LO</v>
      </c>
      <c r="F3927" s="369">
        <f>VLOOKUP(C3927,METADATA!$A$5:$H$29,IF(E3927="HI",2,IF(E3927="LO",6,10))+IF(D3927=1,2,IF(D3927=7,1,(IF(WEEKDAY(B3927)=1,2,IF(WEEKDAY(B3927)=7,1,0))))))</f>
        <v>2</v>
      </c>
      <c r="G3927" s="369">
        <f>VLOOKUP(C3927,METADATA!$J$5:$Q$29,IF(E3927="HI",2,IF(E3927="LO",6,10))+IF(D3927=1,2,IF(D3927=7,1,(IF(WEEKDAY(B3927)=1,2,IF(WEEKDAY(B3927)=7,1,0))))))</f>
        <v>2</v>
      </c>
      <c r="H3927" s="370">
        <v>5575.27001953125</v>
      </c>
      <c r="I3927" s="370">
        <v>1490.1824645996094</v>
      </c>
      <c r="M3927" s="371">
        <f t="shared" si="245"/>
        <v>5770.9860135408535</v>
      </c>
      <c r="N3927" s="329">
        <f t="shared" si="246"/>
        <v>0</v>
      </c>
      <c r="T3927" s="331">
        <v>0</v>
      </c>
      <c r="U3927" s="328">
        <f>VLOOKUP(C3927,METADATA!$J$5:$Q$29,IF(E3927="HI",2,IF(E3927="LO",6,10))+IF(T3927=1,2,IF(D3927=7,1,(IF(WEEKDAY(B3927)=1,2,IF(WEEKDAY(B3927)=7,1,0))))))</f>
        <v>2</v>
      </c>
      <c r="V3927" s="328">
        <f>VLOOKUP(C3927,METADATA!$A$5:$H$29,IF(E3927="HI",2,IF(E3927="LO",6,10))+IF(T3927=1,2,IF(D3927=7,1,(IF(WEEKDAY(B3927)=1,2,IF(WEEKDAY(B3927)=7,1,0))))))</f>
        <v>2</v>
      </c>
    </row>
    <row r="3928" spans="2:22">
      <c r="B3928" s="318">
        <f t="shared" si="243"/>
        <v>46276</v>
      </c>
      <c r="C3928" s="312">
        <v>12</v>
      </c>
      <c r="D3928" s="368">
        <f>IFERROR((INDEX(METADATA!$T$2:$T$20,MATCH(B3928,METADATA!$S$2:$S$20,0))),0)</f>
        <v>0</v>
      </c>
      <c r="E3928" s="312" t="str">
        <f t="shared" si="244"/>
        <v>LO</v>
      </c>
      <c r="F3928" s="369">
        <f>VLOOKUP(C3928,METADATA!$A$5:$H$29,IF(E3928="HI",2,IF(E3928="LO",6,10))+IF(D3928=1,2,IF(D3928=7,1,(IF(WEEKDAY(B3928)=1,2,IF(WEEKDAY(B3928)=7,1,0))))))</f>
        <v>2</v>
      </c>
      <c r="G3928" s="369">
        <f>VLOOKUP(C3928,METADATA!$J$5:$Q$29,IF(E3928="HI",2,IF(E3928="LO",6,10))+IF(D3928=1,2,IF(D3928=7,1,(IF(WEEKDAY(B3928)=1,2,IF(WEEKDAY(B3928)=7,1,0))))))</f>
        <v>2</v>
      </c>
      <c r="H3928" s="370">
        <v>6209.0049133300781</v>
      </c>
      <c r="I3928" s="370">
        <v>1520.4924783706665</v>
      </c>
      <c r="M3928" s="371">
        <f t="shared" si="245"/>
        <v>6392.4673945620416</v>
      </c>
      <c r="N3928" s="329">
        <f t="shared" si="246"/>
        <v>0</v>
      </c>
      <c r="T3928" s="331">
        <v>0</v>
      </c>
      <c r="U3928" s="328">
        <f>VLOOKUP(C3928,METADATA!$J$5:$Q$29,IF(E3928="HI",2,IF(E3928="LO",6,10))+IF(T3928=1,2,IF(D3928=7,1,(IF(WEEKDAY(B3928)=1,2,IF(WEEKDAY(B3928)=7,1,0))))))</f>
        <v>2</v>
      </c>
      <c r="V3928" s="328">
        <f>VLOOKUP(C3928,METADATA!$A$5:$H$29,IF(E3928="HI",2,IF(E3928="LO",6,10))+IF(T3928=1,2,IF(D3928=7,1,(IF(WEEKDAY(B3928)=1,2,IF(WEEKDAY(B3928)=7,1,0))))))</f>
        <v>2</v>
      </c>
    </row>
    <row r="3929" spans="2:22">
      <c r="B3929" s="318">
        <f t="shared" si="243"/>
        <v>46276</v>
      </c>
      <c r="C3929" s="312">
        <v>13</v>
      </c>
      <c r="D3929" s="368">
        <f>IFERROR((INDEX(METADATA!$T$2:$T$20,MATCH(B3929,METADATA!$S$2:$S$20,0))),0)</f>
        <v>0</v>
      </c>
      <c r="E3929" s="312" t="str">
        <f t="shared" si="244"/>
        <v>LO</v>
      </c>
      <c r="F3929" s="369">
        <f>VLOOKUP(C3929,METADATA!$A$5:$H$29,IF(E3929="HI",2,IF(E3929="LO",6,10))+IF(D3929=1,2,IF(D3929=7,1,(IF(WEEKDAY(B3929)=1,2,IF(WEEKDAY(B3929)=7,1,0))))))</f>
        <v>2</v>
      </c>
      <c r="G3929" s="369">
        <f>VLOOKUP(C3929,METADATA!$J$5:$Q$29,IF(E3929="HI",2,IF(E3929="LO",6,10))+IF(D3929=1,2,IF(D3929=7,1,(IF(WEEKDAY(B3929)=1,2,IF(WEEKDAY(B3929)=7,1,0))))))</f>
        <v>2</v>
      </c>
      <c r="H3929" s="370">
        <v>8503.6424560546875</v>
      </c>
      <c r="I3929" s="370">
        <v>1984.3950004577637</v>
      </c>
      <c r="M3929" s="371">
        <f t="shared" si="245"/>
        <v>8732.1107722163924</v>
      </c>
      <c r="N3929" s="329">
        <f t="shared" si="246"/>
        <v>0</v>
      </c>
      <c r="T3929" s="331">
        <v>0</v>
      </c>
      <c r="U3929" s="328">
        <f>VLOOKUP(C3929,METADATA!$J$5:$Q$29,IF(E3929="HI",2,IF(E3929="LO",6,10))+IF(T3929=1,2,IF(D3929=7,1,(IF(WEEKDAY(B3929)=1,2,IF(WEEKDAY(B3929)=7,1,0))))))</f>
        <v>2</v>
      </c>
      <c r="V3929" s="328">
        <f>VLOOKUP(C3929,METADATA!$A$5:$H$29,IF(E3929="HI",2,IF(E3929="LO",6,10))+IF(T3929=1,2,IF(D3929=7,1,(IF(WEEKDAY(B3929)=1,2,IF(WEEKDAY(B3929)=7,1,0))))))</f>
        <v>2</v>
      </c>
    </row>
    <row r="3930" spans="2:22">
      <c r="B3930" s="318">
        <f t="shared" si="243"/>
        <v>46276</v>
      </c>
      <c r="C3930" s="312">
        <v>14</v>
      </c>
      <c r="D3930" s="368">
        <f>IFERROR((INDEX(METADATA!$T$2:$T$20,MATCH(B3930,METADATA!$S$2:$S$20,0))),0)</f>
        <v>0</v>
      </c>
      <c r="E3930" s="312" t="str">
        <f t="shared" si="244"/>
        <v>LO</v>
      </c>
      <c r="F3930" s="369">
        <f>VLOOKUP(C3930,METADATA!$A$5:$H$29,IF(E3930="HI",2,IF(E3930="LO",6,10))+IF(D3930=1,2,IF(D3930=7,1,(IF(WEEKDAY(B3930)=1,2,IF(WEEKDAY(B3930)=7,1,0))))))</f>
        <v>2</v>
      </c>
      <c r="G3930" s="369">
        <f>VLOOKUP(C3930,METADATA!$J$5:$Q$29,IF(E3930="HI",2,IF(E3930="LO",6,10))+IF(D3930=1,2,IF(D3930=7,1,(IF(WEEKDAY(B3930)=1,2,IF(WEEKDAY(B3930)=7,1,0))))))</f>
        <v>2</v>
      </c>
      <c r="H3930" s="370">
        <v>5723.0325622558594</v>
      </c>
      <c r="I3930" s="370">
        <v>1527.0475158691406</v>
      </c>
      <c r="M3930" s="371">
        <f t="shared" si="245"/>
        <v>5923.257197215311</v>
      </c>
      <c r="N3930" s="329">
        <f t="shared" si="246"/>
        <v>0</v>
      </c>
      <c r="T3930" s="331">
        <v>0</v>
      </c>
      <c r="U3930" s="328">
        <f>VLOOKUP(C3930,METADATA!$J$5:$Q$29,IF(E3930="HI",2,IF(E3930="LO",6,10))+IF(T3930=1,2,IF(D3930=7,1,(IF(WEEKDAY(B3930)=1,2,IF(WEEKDAY(B3930)=7,1,0))))))</f>
        <v>2</v>
      </c>
      <c r="V3930" s="328">
        <f>VLOOKUP(C3930,METADATA!$A$5:$H$29,IF(E3930="HI",2,IF(E3930="LO",6,10))+IF(T3930=1,2,IF(D3930=7,1,(IF(WEEKDAY(B3930)=1,2,IF(WEEKDAY(B3930)=7,1,0))))))</f>
        <v>2</v>
      </c>
    </row>
    <row r="3931" spans="2:22">
      <c r="B3931" s="318">
        <f t="shared" si="243"/>
        <v>46276</v>
      </c>
      <c r="C3931" s="312">
        <v>15</v>
      </c>
      <c r="D3931" s="368">
        <f>IFERROR((INDEX(METADATA!$T$2:$T$20,MATCH(B3931,METADATA!$S$2:$S$20,0))),0)</f>
        <v>0</v>
      </c>
      <c r="E3931" s="312" t="str">
        <f t="shared" si="244"/>
        <v>LO</v>
      </c>
      <c r="F3931" s="369">
        <f>VLOOKUP(C3931,METADATA!$A$5:$H$29,IF(E3931="HI",2,IF(E3931="LO",6,10))+IF(D3931=1,2,IF(D3931=7,1,(IF(WEEKDAY(B3931)=1,2,IF(WEEKDAY(B3931)=7,1,0))))))</f>
        <v>2</v>
      </c>
      <c r="G3931" s="369">
        <f>VLOOKUP(C3931,METADATA!$J$5:$Q$29,IF(E3931="HI",2,IF(E3931="LO",6,10))+IF(D3931=1,2,IF(D3931=7,1,(IF(WEEKDAY(B3931)=1,2,IF(WEEKDAY(B3931)=7,1,0))))))</f>
        <v>2</v>
      </c>
      <c r="H3931" s="370">
        <v>5419.1850891113281</v>
      </c>
      <c r="I3931" s="370">
        <v>1491.9150085449219</v>
      </c>
      <c r="M3931" s="371">
        <f t="shared" si="245"/>
        <v>5620.7986463462776</v>
      </c>
      <c r="N3931" s="329">
        <f t="shared" si="246"/>
        <v>0</v>
      </c>
      <c r="T3931" s="331">
        <v>0</v>
      </c>
      <c r="U3931" s="328">
        <f>VLOOKUP(C3931,METADATA!$J$5:$Q$29,IF(E3931="HI",2,IF(E3931="LO",6,10))+IF(T3931=1,2,IF(D3931=7,1,(IF(WEEKDAY(B3931)=1,2,IF(WEEKDAY(B3931)=7,1,0))))))</f>
        <v>2</v>
      </c>
      <c r="V3931" s="328">
        <f>VLOOKUP(C3931,METADATA!$A$5:$H$29,IF(E3931="HI",2,IF(E3931="LO",6,10))+IF(T3931=1,2,IF(D3931=7,1,(IF(WEEKDAY(B3931)=1,2,IF(WEEKDAY(B3931)=7,1,0))))))</f>
        <v>2</v>
      </c>
    </row>
    <row r="3932" spans="2:22">
      <c r="B3932" s="318">
        <f t="shared" ref="B3932:B3995" si="247">B3908+1</f>
        <v>46276</v>
      </c>
      <c r="C3932" s="312">
        <v>16</v>
      </c>
      <c r="D3932" s="368">
        <f>IFERROR((INDEX(METADATA!$T$2:$T$20,MATCH(B3932,METADATA!$S$2:$S$20,0))),0)</f>
        <v>0</v>
      </c>
      <c r="E3932" s="312" t="str">
        <f t="shared" si="244"/>
        <v>LO</v>
      </c>
      <c r="F3932" s="369">
        <f>VLOOKUP(C3932,METADATA!$A$5:$H$29,IF(E3932="HI",2,IF(E3932="LO",6,10))+IF(D3932=1,2,IF(D3932=7,1,(IF(WEEKDAY(B3932)=1,2,IF(WEEKDAY(B3932)=7,1,0))))))</f>
        <v>2</v>
      </c>
      <c r="G3932" s="369">
        <f>VLOOKUP(C3932,METADATA!$J$5:$Q$29,IF(E3932="HI",2,IF(E3932="LO",6,10))+IF(D3932=1,2,IF(D3932=7,1,(IF(WEEKDAY(B3932)=1,2,IF(WEEKDAY(B3932)=7,1,0))))))</f>
        <v>2</v>
      </c>
      <c r="H3932" s="370">
        <v>5457.4651489257813</v>
      </c>
      <c r="I3932" s="370">
        <v>1499.3250122070313</v>
      </c>
      <c r="M3932" s="371">
        <f t="shared" si="245"/>
        <v>5659.6732541701658</v>
      </c>
      <c r="N3932" s="329">
        <f t="shared" si="246"/>
        <v>0</v>
      </c>
      <c r="T3932" s="331">
        <v>0</v>
      </c>
      <c r="U3932" s="328">
        <f>VLOOKUP(C3932,METADATA!$J$5:$Q$29,IF(E3932="HI",2,IF(E3932="LO",6,10))+IF(T3932=1,2,IF(D3932=7,1,(IF(WEEKDAY(B3932)=1,2,IF(WEEKDAY(B3932)=7,1,0))))))</f>
        <v>2</v>
      </c>
      <c r="V3932" s="328">
        <f>VLOOKUP(C3932,METADATA!$A$5:$H$29,IF(E3932="HI",2,IF(E3932="LO",6,10))+IF(T3932=1,2,IF(D3932=7,1,(IF(WEEKDAY(B3932)=1,2,IF(WEEKDAY(B3932)=7,1,0))))))</f>
        <v>2</v>
      </c>
    </row>
    <row r="3933" spans="2:22">
      <c r="B3933" s="318">
        <f t="shared" si="247"/>
        <v>46276</v>
      </c>
      <c r="C3933" s="312">
        <v>17</v>
      </c>
      <c r="D3933" s="368">
        <f>IFERROR((INDEX(METADATA!$T$2:$T$20,MATCH(B3933,METADATA!$S$2:$S$20,0))),0)</f>
        <v>0</v>
      </c>
      <c r="E3933" s="312" t="str">
        <f t="shared" si="244"/>
        <v>LO</v>
      </c>
      <c r="F3933" s="369">
        <f>VLOOKUP(C3933,METADATA!$A$5:$H$29,IF(E3933="HI",2,IF(E3933="LO",6,10))+IF(D3933=1,2,IF(D3933=7,1,(IF(WEEKDAY(B3933)=1,2,IF(WEEKDAY(B3933)=7,1,0))))))</f>
        <v>2</v>
      </c>
      <c r="G3933" s="369">
        <f>VLOOKUP(C3933,METADATA!$J$5:$Q$29,IF(E3933="HI",2,IF(E3933="LO",6,10))+IF(D3933=1,2,IF(D3933=7,1,(IF(WEEKDAY(B3933)=1,2,IF(WEEKDAY(B3933)=7,1,0))))))</f>
        <v>2</v>
      </c>
      <c r="H3933" s="370">
        <v>5521.1649780273438</v>
      </c>
      <c r="I3933" s="370">
        <v>1506.6025085449219</v>
      </c>
      <c r="M3933" s="371">
        <f t="shared" si="245"/>
        <v>5723.0336215463149</v>
      </c>
      <c r="N3933" s="329">
        <f t="shared" si="246"/>
        <v>0</v>
      </c>
      <c r="T3933" s="331">
        <v>0</v>
      </c>
      <c r="U3933" s="328">
        <f>VLOOKUP(C3933,METADATA!$J$5:$Q$29,IF(E3933="HI",2,IF(E3933="LO",6,10))+IF(T3933=1,2,IF(D3933=7,1,(IF(WEEKDAY(B3933)=1,2,IF(WEEKDAY(B3933)=7,1,0))))))</f>
        <v>2</v>
      </c>
      <c r="V3933" s="328">
        <f>VLOOKUP(C3933,METADATA!$A$5:$H$29,IF(E3933="HI",2,IF(E3933="LO",6,10))+IF(T3933=1,2,IF(D3933=7,1,(IF(WEEKDAY(B3933)=1,2,IF(WEEKDAY(B3933)=7,1,0))))))</f>
        <v>2</v>
      </c>
    </row>
    <row r="3934" spans="2:22">
      <c r="B3934" s="318">
        <f t="shared" si="247"/>
        <v>46276</v>
      </c>
      <c r="C3934" s="312">
        <v>18</v>
      </c>
      <c r="D3934" s="368">
        <f>IFERROR((INDEX(METADATA!$T$2:$T$20,MATCH(B3934,METADATA!$S$2:$S$20,0))),0)</f>
        <v>0</v>
      </c>
      <c r="E3934" s="312" t="str">
        <f t="shared" si="244"/>
        <v>LO</v>
      </c>
      <c r="F3934" s="369">
        <f>VLOOKUP(C3934,METADATA!$A$5:$H$29,IF(E3934="HI",2,IF(E3934="LO",6,10))+IF(D3934=1,2,IF(D3934=7,1,(IF(WEEKDAY(B3934)=1,2,IF(WEEKDAY(B3934)=7,1,0))))))</f>
        <v>1</v>
      </c>
      <c r="G3934" s="369">
        <f>VLOOKUP(C3934,METADATA!$J$5:$Q$29,IF(E3934="HI",2,IF(E3934="LO",6,10))+IF(D3934=1,2,IF(D3934=7,1,(IF(WEEKDAY(B3934)=1,2,IF(WEEKDAY(B3934)=7,1,0))))))</f>
        <v>1</v>
      </c>
      <c r="H3934" s="370">
        <v>5771.7749633789063</v>
      </c>
      <c r="I3934" s="370">
        <v>1527.4049987792969</v>
      </c>
      <c r="M3934" s="371">
        <f t="shared" si="245"/>
        <v>5970.4566205763158</v>
      </c>
      <c r="N3934" s="329">
        <f t="shared" si="246"/>
        <v>0</v>
      </c>
      <c r="T3934" s="331">
        <v>0</v>
      </c>
      <c r="U3934" s="328">
        <f>VLOOKUP(C3934,METADATA!$J$5:$Q$29,IF(E3934="HI",2,IF(E3934="LO",6,10))+IF(T3934=1,2,IF(D3934=7,1,(IF(WEEKDAY(B3934)=1,2,IF(WEEKDAY(B3934)=7,1,0))))))</f>
        <v>1</v>
      </c>
      <c r="V3934" s="328">
        <f>VLOOKUP(C3934,METADATA!$A$5:$H$29,IF(E3934="HI",2,IF(E3934="LO",6,10))+IF(T3934=1,2,IF(D3934=7,1,(IF(WEEKDAY(B3934)=1,2,IF(WEEKDAY(B3934)=7,1,0))))))</f>
        <v>1</v>
      </c>
    </row>
    <row r="3935" spans="2:22">
      <c r="B3935" s="318">
        <f t="shared" si="247"/>
        <v>46276</v>
      </c>
      <c r="C3935" s="312">
        <v>19</v>
      </c>
      <c r="D3935" s="368">
        <f>IFERROR((INDEX(METADATA!$T$2:$T$20,MATCH(B3935,METADATA!$S$2:$S$20,0))),0)</f>
        <v>0</v>
      </c>
      <c r="E3935" s="312" t="str">
        <f t="shared" si="244"/>
        <v>LO</v>
      </c>
      <c r="F3935" s="369">
        <f>VLOOKUP(C3935,METADATA!$A$5:$H$29,IF(E3935="HI",2,IF(E3935="LO",6,10))+IF(D3935=1,2,IF(D3935=7,1,(IF(WEEKDAY(B3935)=1,2,IF(WEEKDAY(B3935)=7,1,0))))))</f>
        <v>1</v>
      </c>
      <c r="G3935" s="369">
        <f>VLOOKUP(C3935,METADATA!$J$5:$Q$29,IF(E3935="HI",2,IF(E3935="LO",6,10))+IF(D3935=1,2,IF(D3935=7,1,(IF(WEEKDAY(B3935)=1,2,IF(WEEKDAY(B3935)=7,1,0))))))</f>
        <v>1</v>
      </c>
      <c r="H3935" s="370">
        <v>10016.875183105469</v>
      </c>
      <c r="I3935" s="370">
        <v>2504.7474670410156</v>
      </c>
      <c r="M3935" s="371">
        <f t="shared" si="245"/>
        <v>10325.286838996901</v>
      </c>
      <c r="N3935" s="329">
        <f t="shared" si="246"/>
        <v>0</v>
      </c>
      <c r="T3935" s="331">
        <v>0</v>
      </c>
      <c r="U3935" s="328">
        <f>VLOOKUP(C3935,METADATA!$J$5:$Q$29,IF(E3935="HI",2,IF(E3935="LO",6,10))+IF(T3935=1,2,IF(D3935=7,1,(IF(WEEKDAY(B3935)=1,2,IF(WEEKDAY(B3935)=7,1,0))))))</f>
        <v>1</v>
      </c>
      <c r="V3935" s="328">
        <f>VLOOKUP(C3935,METADATA!$A$5:$H$29,IF(E3935="HI",2,IF(E3935="LO",6,10))+IF(T3935=1,2,IF(D3935=7,1,(IF(WEEKDAY(B3935)=1,2,IF(WEEKDAY(B3935)=7,1,0))))))</f>
        <v>1</v>
      </c>
    </row>
    <row r="3936" spans="2:22">
      <c r="B3936" s="318">
        <f t="shared" si="247"/>
        <v>46276</v>
      </c>
      <c r="C3936" s="312">
        <v>20</v>
      </c>
      <c r="D3936" s="368">
        <f>IFERROR((INDEX(METADATA!$T$2:$T$20,MATCH(B3936,METADATA!$S$2:$S$20,0))),0)</f>
        <v>0</v>
      </c>
      <c r="E3936" s="312" t="str">
        <f t="shared" si="244"/>
        <v>LO</v>
      </c>
      <c r="F3936" s="369">
        <f>VLOOKUP(C3936,METADATA!$A$5:$H$29,IF(E3936="HI",2,IF(E3936="LO",6,10))+IF(D3936=1,2,IF(D3936=7,1,(IF(WEEKDAY(B3936)=1,2,IF(WEEKDAY(B3936)=7,1,0))))))</f>
        <v>1</v>
      </c>
      <c r="G3936" s="369">
        <f>VLOOKUP(C3936,METADATA!$J$5:$Q$29,IF(E3936="HI",2,IF(E3936="LO",6,10))+IF(D3936=1,2,IF(D3936=7,1,(IF(WEEKDAY(B3936)=1,2,IF(WEEKDAY(B3936)=7,1,0))))))</f>
        <v>1</v>
      </c>
      <c r="H3936" s="370">
        <v>7529.0499877929688</v>
      </c>
      <c r="I3936" s="370">
        <v>2514.074951171875</v>
      </c>
      <c r="M3936" s="371">
        <f t="shared" si="245"/>
        <v>7937.7053723853451</v>
      </c>
      <c r="N3936" s="329">
        <f t="shared" si="246"/>
        <v>255.35995483398438</v>
      </c>
      <c r="T3936" s="331">
        <v>0</v>
      </c>
      <c r="U3936" s="328">
        <f>VLOOKUP(C3936,METADATA!$J$5:$Q$29,IF(E3936="HI",2,IF(E3936="LO",6,10))+IF(T3936=1,2,IF(D3936=7,1,(IF(WEEKDAY(B3936)=1,2,IF(WEEKDAY(B3936)=7,1,0))))))</f>
        <v>1</v>
      </c>
      <c r="V3936" s="328">
        <f>VLOOKUP(C3936,METADATA!$A$5:$H$29,IF(E3936="HI",2,IF(E3936="LO",6,10))+IF(T3936=1,2,IF(D3936=7,1,(IF(WEEKDAY(B3936)=1,2,IF(WEEKDAY(B3936)=7,1,0))))))</f>
        <v>1</v>
      </c>
    </row>
    <row r="3937" spans="2:22">
      <c r="B3937" s="318">
        <f t="shared" si="247"/>
        <v>46276</v>
      </c>
      <c r="C3937" s="312">
        <v>21</v>
      </c>
      <c r="D3937" s="368">
        <f>IFERROR((INDEX(METADATA!$T$2:$T$20,MATCH(B3937,METADATA!$S$2:$S$20,0))),0)</f>
        <v>0</v>
      </c>
      <c r="E3937" s="312" t="str">
        <f t="shared" si="244"/>
        <v>LO</v>
      </c>
      <c r="F3937" s="369">
        <f>VLOOKUP(C3937,METADATA!$A$5:$H$29,IF(E3937="HI",2,IF(E3937="LO",6,10))+IF(D3937=1,2,IF(D3937=7,1,(IF(WEEKDAY(B3937)=1,2,IF(WEEKDAY(B3937)=7,1,0))))))</f>
        <v>2</v>
      </c>
      <c r="G3937" s="369">
        <f>VLOOKUP(C3937,METADATA!$J$5:$Q$29,IF(E3937="HI",2,IF(E3937="LO",6,10))+IF(D3937=1,2,IF(D3937=7,1,(IF(WEEKDAY(B3937)=1,2,IF(WEEKDAY(B3937)=7,1,0))))))</f>
        <v>2</v>
      </c>
      <c r="H3937" s="370">
        <v>7389.0000610351563</v>
      </c>
      <c r="I3937" s="370">
        <v>2520.7000732421875</v>
      </c>
      <c r="M3937" s="371">
        <f t="shared" si="245"/>
        <v>7807.12820192039</v>
      </c>
      <c r="N3937" s="329">
        <f t="shared" si="246"/>
        <v>304.00005493164053</v>
      </c>
      <c r="T3937" s="331">
        <v>0</v>
      </c>
      <c r="U3937" s="328">
        <f>VLOOKUP(C3937,METADATA!$J$5:$Q$29,IF(E3937="HI",2,IF(E3937="LO",6,10))+IF(T3937=1,2,IF(D3937=7,1,(IF(WEEKDAY(B3937)=1,2,IF(WEEKDAY(B3937)=7,1,0))))))</f>
        <v>2</v>
      </c>
      <c r="V3937" s="328">
        <f>VLOOKUP(C3937,METADATA!$A$5:$H$29,IF(E3937="HI",2,IF(E3937="LO",6,10))+IF(T3937=1,2,IF(D3937=7,1,(IF(WEEKDAY(B3937)=1,2,IF(WEEKDAY(B3937)=7,1,0))))))</f>
        <v>2</v>
      </c>
    </row>
    <row r="3938" spans="2:22">
      <c r="B3938" s="318">
        <f t="shared" si="247"/>
        <v>46276</v>
      </c>
      <c r="C3938" s="312">
        <v>22</v>
      </c>
      <c r="D3938" s="368">
        <f>IFERROR((INDEX(METADATA!$T$2:$T$20,MATCH(B3938,METADATA!$S$2:$S$20,0))),0)</f>
        <v>0</v>
      </c>
      <c r="E3938" s="312" t="str">
        <f t="shared" si="244"/>
        <v>LO</v>
      </c>
      <c r="F3938" s="369">
        <f>VLOOKUP(C3938,METADATA!$A$5:$H$29,IF(E3938="HI",2,IF(E3938="LO",6,10))+IF(D3938=1,2,IF(D3938=7,1,(IF(WEEKDAY(B3938)=1,2,IF(WEEKDAY(B3938)=7,1,0))))))</f>
        <v>3</v>
      </c>
      <c r="G3938" s="369">
        <f>VLOOKUP(C3938,METADATA!$J$5:$Q$29,IF(E3938="HI",2,IF(E3938="LO",6,10))+IF(D3938=1,2,IF(D3938=7,1,(IF(WEEKDAY(B3938)=1,2,IF(WEEKDAY(B3938)=7,1,0))))))</f>
        <v>3</v>
      </c>
      <c r="H3938" s="370">
        <v>12095.850036621094</v>
      </c>
      <c r="I3938" s="370">
        <v>3755.8599395751953</v>
      </c>
      <c r="M3938" s="371">
        <f t="shared" si="245"/>
        <v>12665.546652005682</v>
      </c>
      <c r="N3938" s="329">
        <f t="shared" si="246"/>
        <v>127.1049285888671</v>
      </c>
      <c r="T3938" s="331">
        <v>0</v>
      </c>
      <c r="U3938" s="328">
        <f>VLOOKUP(C3938,METADATA!$J$5:$Q$29,IF(E3938="HI",2,IF(E3938="LO",6,10))+IF(T3938=1,2,IF(D3938=7,1,(IF(WEEKDAY(B3938)=1,2,IF(WEEKDAY(B3938)=7,1,0))))))</f>
        <v>3</v>
      </c>
      <c r="V3938" s="328">
        <f>VLOOKUP(C3938,METADATA!$A$5:$H$29,IF(E3938="HI",2,IF(E3938="LO",6,10))+IF(T3938=1,2,IF(D3938=7,1,(IF(WEEKDAY(B3938)=1,2,IF(WEEKDAY(B3938)=7,1,0))))))</f>
        <v>3</v>
      </c>
    </row>
    <row r="3939" spans="2:22">
      <c r="B3939" s="318">
        <f t="shared" si="247"/>
        <v>46276</v>
      </c>
      <c r="C3939" s="312">
        <v>23</v>
      </c>
      <c r="D3939" s="368">
        <f>IFERROR((INDEX(METADATA!$T$2:$T$20,MATCH(B3939,METADATA!$S$2:$S$20,0))),0)</f>
        <v>0</v>
      </c>
      <c r="E3939" s="312" t="str">
        <f t="shared" si="244"/>
        <v>LO</v>
      </c>
      <c r="F3939" s="369">
        <f>VLOOKUP(C3939,METADATA!$A$5:$H$29,IF(E3939="HI",2,IF(E3939="LO",6,10))+IF(D3939=1,2,IF(D3939=7,1,(IF(WEEKDAY(B3939)=1,2,IF(WEEKDAY(B3939)=7,1,0))))))</f>
        <v>3</v>
      </c>
      <c r="G3939" s="369">
        <f>VLOOKUP(C3939,METADATA!$J$5:$Q$29,IF(E3939="HI",2,IF(E3939="LO",6,10))+IF(D3939=1,2,IF(D3939=7,1,(IF(WEEKDAY(B3939)=1,2,IF(WEEKDAY(B3939)=7,1,0))))))</f>
        <v>3</v>
      </c>
      <c r="H3939" s="370">
        <v>13243.250061035156</v>
      </c>
      <c r="I3939" s="370">
        <v>4196.070068359375</v>
      </c>
      <c r="M3939" s="371">
        <f t="shared" si="245"/>
        <v>13892.108414408847</v>
      </c>
      <c r="N3939" s="329">
        <f t="shared" si="246"/>
        <v>223.0950500488284</v>
      </c>
      <c r="T3939" s="331">
        <v>0</v>
      </c>
      <c r="U3939" s="328">
        <f>VLOOKUP(C3939,METADATA!$J$5:$Q$29,IF(E3939="HI",2,IF(E3939="LO",6,10))+IF(T3939=1,2,IF(D3939=7,1,(IF(WEEKDAY(B3939)=1,2,IF(WEEKDAY(B3939)=7,1,0))))))</f>
        <v>3</v>
      </c>
      <c r="V3939" s="328">
        <f>VLOOKUP(C3939,METADATA!$A$5:$H$29,IF(E3939="HI",2,IF(E3939="LO",6,10))+IF(T3939=1,2,IF(D3939=7,1,(IF(WEEKDAY(B3939)=1,2,IF(WEEKDAY(B3939)=7,1,0))))))</f>
        <v>3</v>
      </c>
    </row>
    <row r="3940" spans="2:22">
      <c r="B3940" s="318">
        <f t="shared" si="247"/>
        <v>46277</v>
      </c>
      <c r="C3940" s="312">
        <v>0</v>
      </c>
      <c r="D3940" s="368">
        <f>IFERROR((INDEX(METADATA!$T$2:$T$20,MATCH(B3940,METADATA!$S$2:$S$20,0))),0)</f>
        <v>0</v>
      </c>
      <c r="E3940" s="312" t="str">
        <f t="shared" si="244"/>
        <v>LO</v>
      </c>
      <c r="F3940" s="369">
        <f>VLOOKUP(C3940,METADATA!$A$5:$H$29,IF(E3940="HI",2,IF(E3940="LO",6,10))+IF(D3940=1,2,IF(D3940=7,1,(IF(WEEKDAY(B3940)=1,2,IF(WEEKDAY(B3940)=7,1,0))))))</f>
        <v>3</v>
      </c>
      <c r="G3940" s="369">
        <f>VLOOKUP(C3940,METADATA!$J$5:$Q$29,IF(E3940="HI",2,IF(E3940="LO",6,10))+IF(D3940=1,2,IF(D3940=7,1,(IF(WEEKDAY(B3940)=1,2,IF(WEEKDAY(B3940)=7,1,0))))))</f>
        <v>3</v>
      </c>
      <c r="H3940" s="370">
        <v>13160.649841308594</v>
      </c>
      <c r="I3940" s="370">
        <v>3958.31494140625</v>
      </c>
      <c r="M3940" s="371">
        <f t="shared" si="245"/>
        <v>13743.033195801278</v>
      </c>
      <c r="N3940" s="329">
        <f t="shared" si="246"/>
        <v>10.119989013672239</v>
      </c>
      <c r="T3940" s="331">
        <v>0</v>
      </c>
      <c r="U3940" s="328">
        <f>VLOOKUP(C3940,METADATA!$J$5:$Q$29,IF(E3940="HI",2,IF(E3940="LO",6,10))+IF(T3940=1,2,IF(D3940=7,1,(IF(WEEKDAY(B3940)=1,2,IF(WEEKDAY(B3940)=7,1,0))))))</f>
        <v>3</v>
      </c>
      <c r="V3940" s="328">
        <f>VLOOKUP(C3940,METADATA!$A$5:$H$29,IF(E3940="HI",2,IF(E3940="LO",6,10))+IF(T3940=1,2,IF(D3940=7,1,(IF(WEEKDAY(B3940)=1,2,IF(WEEKDAY(B3940)=7,1,0))))))</f>
        <v>3</v>
      </c>
    </row>
    <row r="3941" spans="2:22">
      <c r="B3941" s="318">
        <f t="shared" si="247"/>
        <v>46277</v>
      </c>
      <c r="C3941" s="312">
        <v>1</v>
      </c>
      <c r="D3941" s="368">
        <f>IFERROR((INDEX(METADATA!$T$2:$T$20,MATCH(B3941,METADATA!$S$2:$S$20,0))),0)</f>
        <v>0</v>
      </c>
      <c r="E3941" s="312" t="str">
        <f t="shared" si="244"/>
        <v>LO</v>
      </c>
      <c r="F3941" s="369">
        <f>VLOOKUP(C3941,METADATA!$A$5:$H$29,IF(E3941="HI",2,IF(E3941="LO",6,10))+IF(D3941=1,2,IF(D3941=7,1,(IF(WEEKDAY(B3941)=1,2,IF(WEEKDAY(B3941)=7,1,0))))))</f>
        <v>3</v>
      </c>
      <c r="G3941" s="369">
        <f>VLOOKUP(C3941,METADATA!$J$5:$Q$29,IF(E3941="HI",2,IF(E3941="LO",6,10))+IF(D3941=1,2,IF(D3941=7,1,(IF(WEEKDAY(B3941)=1,2,IF(WEEKDAY(B3941)=7,1,0))))))</f>
        <v>3</v>
      </c>
      <c r="H3941" s="370">
        <v>13185.739868164063</v>
      </c>
      <c r="I3941" s="370">
        <v>3985.7874145507813</v>
      </c>
      <c r="M3941" s="371">
        <f t="shared" si="245"/>
        <v>13774.985923219036</v>
      </c>
      <c r="N3941" s="329">
        <f t="shared" si="246"/>
        <v>30.065454101562864</v>
      </c>
      <c r="T3941" s="331">
        <v>0</v>
      </c>
      <c r="U3941" s="328">
        <f>VLOOKUP(C3941,METADATA!$J$5:$Q$29,IF(E3941="HI",2,IF(E3941="LO",6,10))+IF(T3941=1,2,IF(D3941=7,1,(IF(WEEKDAY(B3941)=1,2,IF(WEEKDAY(B3941)=7,1,0))))))</f>
        <v>3</v>
      </c>
      <c r="V3941" s="328">
        <f>VLOOKUP(C3941,METADATA!$A$5:$H$29,IF(E3941="HI",2,IF(E3941="LO",6,10))+IF(T3941=1,2,IF(D3941=7,1,(IF(WEEKDAY(B3941)=1,2,IF(WEEKDAY(B3941)=7,1,0))))))</f>
        <v>3</v>
      </c>
    </row>
    <row r="3942" spans="2:22">
      <c r="B3942" s="318">
        <f t="shared" si="247"/>
        <v>46277</v>
      </c>
      <c r="C3942" s="312">
        <v>2</v>
      </c>
      <c r="D3942" s="368">
        <f>IFERROR((INDEX(METADATA!$T$2:$T$20,MATCH(B3942,METADATA!$S$2:$S$20,0))),0)</f>
        <v>0</v>
      </c>
      <c r="E3942" s="312" t="str">
        <f t="shared" si="244"/>
        <v>LO</v>
      </c>
      <c r="F3942" s="369">
        <f>VLOOKUP(C3942,METADATA!$A$5:$H$29,IF(E3942="HI",2,IF(E3942="LO",6,10))+IF(D3942=1,2,IF(D3942=7,1,(IF(WEEKDAY(B3942)=1,2,IF(WEEKDAY(B3942)=7,1,0))))))</f>
        <v>3</v>
      </c>
      <c r="G3942" s="369">
        <f>VLOOKUP(C3942,METADATA!$J$5:$Q$29,IF(E3942="HI",2,IF(E3942="LO",6,10))+IF(D3942=1,2,IF(D3942=7,1,(IF(WEEKDAY(B3942)=1,2,IF(WEEKDAY(B3942)=7,1,0))))))</f>
        <v>3</v>
      </c>
      <c r="H3942" s="370">
        <v>13232.474731445313</v>
      </c>
      <c r="I3942" s="370">
        <v>3970.7249755859375</v>
      </c>
      <c r="M3942" s="371">
        <f t="shared" si="245"/>
        <v>13815.391574258061</v>
      </c>
      <c r="N3942" s="329">
        <f t="shared" si="246"/>
        <v>0.9825561523439319</v>
      </c>
      <c r="T3942" s="331">
        <v>0</v>
      </c>
      <c r="U3942" s="328">
        <f>VLOOKUP(C3942,METADATA!$J$5:$Q$29,IF(E3942="HI",2,IF(E3942="LO",6,10))+IF(T3942=1,2,IF(D3942=7,1,(IF(WEEKDAY(B3942)=1,2,IF(WEEKDAY(B3942)=7,1,0))))))</f>
        <v>3</v>
      </c>
      <c r="V3942" s="328">
        <f>VLOOKUP(C3942,METADATA!$A$5:$H$29,IF(E3942="HI",2,IF(E3942="LO",6,10))+IF(T3942=1,2,IF(D3942=7,1,(IF(WEEKDAY(B3942)=1,2,IF(WEEKDAY(B3942)=7,1,0))))))</f>
        <v>3</v>
      </c>
    </row>
    <row r="3943" spans="2:22">
      <c r="B3943" s="318">
        <f t="shared" si="247"/>
        <v>46277</v>
      </c>
      <c r="C3943" s="312">
        <v>3</v>
      </c>
      <c r="D3943" s="368">
        <f>IFERROR((INDEX(METADATA!$T$2:$T$20,MATCH(B3943,METADATA!$S$2:$S$20,0))),0)</f>
        <v>0</v>
      </c>
      <c r="E3943" s="312" t="str">
        <f t="shared" si="244"/>
        <v>LO</v>
      </c>
      <c r="F3943" s="369">
        <f>VLOOKUP(C3943,METADATA!$A$5:$H$29,IF(E3943="HI",2,IF(E3943="LO",6,10))+IF(D3943=1,2,IF(D3943=7,1,(IF(WEEKDAY(B3943)=1,2,IF(WEEKDAY(B3943)=7,1,0))))))</f>
        <v>3</v>
      </c>
      <c r="G3943" s="369">
        <f>VLOOKUP(C3943,METADATA!$J$5:$Q$29,IF(E3943="HI",2,IF(E3943="LO",6,10))+IF(D3943=1,2,IF(D3943=7,1,(IF(WEEKDAY(B3943)=1,2,IF(WEEKDAY(B3943)=7,1,0))))))</f>
        <v>3</v>
      </c>
      <c r="H3943" s="370">
        <v>13098.400207519531</v>
      </c>
      <c r="I3943" s="370">
        <v>3943.5549621582031</v>
      </c>
      <c r="M3943" s="371">
        <f t="shared" si="245"/>
        <v>13679.170798550265</v>
      </c>
      <c r="N3943" s="329">
        <f t="shared" si="246"/>
        <v>14.034899902344023</v>
      </c>
      <c r="T3943" s="331">
        <v>0</v>
      </c>
      <c r="U3943" s="328">
        <f>VLOOKUP(C3943,METADATA!$J$5:$Q$29,IF(E3943="HI",2,IF(E3943="LO",6,10))+IF(T3943=1,2,IF(D3943=7,1,(IF(WEEKDAY(B3943)=1,2,IF(WEEKDAY(B3943)=7,1,0))))))</f>
        <v>3</v>
      </c>
      <c r="V3943" s="328">
        <f>VLOOKUP(C3943,METADATA!$A$5:$H$29,IF(E3943="HI",2,IF(E3943="LO",6,10))+IF(T3943=1,2,IF(D3943=7,1,(IF(WEEKDAY(B3943)=1,2,IF(WEEKDAY(B3943)=7,1,0))))))</f>
        <v>3</v>
      </c>
    </row>
    <row r="3944" spans="2:22">
      <c r="B3944" s="318">
        <f t="shared" si="247"/>
        <v>46277</v>
      </c>
      <c r="C3944" s="312">
        <v>4</v>
      </c>
      <c r="D3944" s="368">
        <f>IFERROR((INDEX(METADATA!$T$2:$T$20,MATCH(B3944,METADATA!$S$2:$S$20,0))),0)</f>
        <v>0</v>
      </c>
      <c r="E3944" s="312" t="str">
        <f t="shared" si="244"/>
        <v>LO</v>
      </c>
      <c r="F3944" s="369">
        <f>VLOOKUP(C3944,METADATA!$A$5:$H$29,IF(E3944="HI",2,IF(E3944="LO",6,10))+IF(D3944=1,2,IF(D3944=7,1,(IF(WEEKDAY(B3944)=1,2,IF(WEEKDAY(B3944)=7,1,0))))))</f>
        <v>3</v>
      </c>
      <c r="G3944" s="369">
        <f>VLOOKUP(C3944,METADATA!$J$5:$Q$29,IF(E3944="HI",2,IF(E3944="LO",6,10))+IF(D3944=1,2,IF(D3944=7,1,(IF(WEEKDAY(B3944)=1,2,IF(WEEKDAY(B3944)=7,1,0))))))</f>
        <v>3</v>
      </c>
      <c r="H3944" s="370">
        <v>12914.000122070313</v>
      </c>
      <c r="I3944" s="370">
        <v>3901.7149963378906</v>
      </c>
      <c r="M3944" s="371">
        <f t="shared" si="245"/>
        <v>13490.544061137047</v>
      </c>
      <c r="N3944" s="329">
        <f t="shared" si="246"/>
        <v>27.514959716796966</v>
      </c>
      <c r="T3944" s="331">
        <v>0</v>
      </c>
      <c r="U3944" s="328">
        <f>VLOOKUP(C3944,METADATA!$J$5:$Q$29,IF(E3944="HI",2,IF(E3944="LO",6,10))+IF(T3944=1,2,IF(D3944=7,1,(IF(WEEKDAY(B3944)=1,2,IF(WEEKDAY(B3944)=7,1,0))))))</f>
        <v>3</v>
      </c>
      <c r="V3944" s="328">
        <f>VLOOKUP(C3944,METADATA!$A$5:$H$29,IF(E3944="HI",2,IF(E3944="LO",6,10))+IF(T3944=1,2,IF(D3944=7,1,(IF(WEEKDAY(B3944)=1,2,IF(WEEKDAY(B3944)=7,1,0))))))</f>
        <v>3</v>
      </c>
    </row>
    <row r="3945" spans="2:22">
      <c r="B3945" s="318">
        <f t="shared" si="247"/>
        <v>46277</v>
      </c>
      <c r="C3945" s="312">
        <v>5</v>
      </c>
      <c r="D3945" s="368">
        <f>IFERROR((INDEX(METADATA!$T$2:$T$20,MATCH(B3945,METADATA!$S$2:$S$20,0))),0)</f>
        <v>0</v>
      </c>
      <c r="E3945" s="312" t="str">
        <f t="shared" si="244"/>
        <v>LO</v>
      </c>
      <c r="F3945" s="369">
        <f>VLOOKUP(C3945,METADATA!$A$5:$H$29,IF(E3945="HI",2,IF(E3945="LO",6,10))+IF(D3945=1,2,IF(D3945=7,1,(IF(WEEKDAY(B3945)=1,2,IF(WEEKDAY(B3945)=7,1,0))))))</f>
        <v>3</v>
      </c>
      <c r="G3945" s="369">
        <f>VLOOKUP(C3945,METADATA!$J$5:$Q$29,IF(E3945="HI",2,IF(E3945="LO",6,10))+IF(D3945=1,2,IF(D3945=7,1,(IF(WEEKDAY(B3945)=1,2,IF(WEEKDAY(B3945)=7,1,0))))))</f>
        <v>3</v>
      </c>
      <c r="H3945" s="370">
        <v>12922.875183105469</v>
      </c>
      <c r="I3945" s="370">
        <v>3873.7299194335938</v>
      </c>
      <c r="M3945" s="371">
        <f t="shared" si="245"/>
        <v>13490.977966286884</v>
      </c>
      <c r="N3945" s="329">
        <f t="shared" si="246"/>
        <v>0</v>
      </c>
      <c r="T3945" s="331">
        <v>0</v>
      </c>
      <c r="U3945" s="328">
        <f>VLOOKUP(C3945,METADATA!$J$5:$Q$29,IF(E3945="HI",2,IF(E3945="LO",6,10))+IF(T3945=1,2,IF(D3945=7,1,(IF(WEEKDAY(B3945)=1,2,IF(WEEKDAY(B3945)=7,1,0))))))</f>
        <v>3</v>
      </c>
      <c r="V3945" s="328">
        <f>VLOOKUP(C3945,METADATA!$A$5:$H$29,IF(E3945="HI",2,IF(E3945="LO",6,10))+IF(T3945=1,2,IF(D3945=7,1,(IF(WEEKDAY(B3945)=1,2,IF(WEEKDAY(B3945)=7,1,0))))))</f>
        <v>3</v>
      </c>
    </row>
    <row r="3946" spans="2:22">
      <c r="B3946" s="318">
        <f t="shared" si="247"/>
        <v>46277</v>
      </c>
      <c r="C3946" s="312">
        <v>6</v>
      </c>
      <c r="D3946" s="368">
        <f>IFERROR((INDEX(METADATA!$T$2:$T$20,MATCH(B3946,METADATA!$S$2:$S$20,0))),0)</f>
        <v>0</v>
      </c>
      <c r="E3946" s="312" t="str">
        <f t="shared" si="244"/>
        <v>LO</v>
      </c>
      <c r="F3946" s="369">
        <f>VLOOKUP(C3946,METADATA!$A$5:$H$29,IF(E3946="HI",2,IF(E3946="LO",6,10))+IF(D3946=1,2,IF(D3946=7,1,(IF(WEEKDAY(B3946)=1,2,IF(WEEKDAY(B3946)=7,1,0))))))</f>
        <v>3</v>
      </c>
      <c r="G3946" s="369">
        <f>VLOOKUP(C3946,METADATA!$J$5:$Q$29,IF(E3946="HI",2,IF(E3946="LO",6,10))+IF(D3946=1,2,IF(D3946=7,1,(IF(WEEKDAY(B3946)=1,2,IF(WEEKDAY(B3946)=7,1,0))))))</f>
        <v>3</v>
      </c>
      <c r="H3946" s="370">
        <v>12836.599426269531</v>
      </c>
      <c r="I3946" s="370">
        <v>3920.7649536132813</v>
      </c>
      <c r="M3946" s="371">
        <f t="shared" si="245"/>
        <v>13422.0223011283</v>
      </c>
      <c r="N3946" s="329">
        <f t="shared" si="246"/>
        <v>69.785125732421875</v>
      </c>
      <c r="T3946" s="331">
        <v>0</v>
      </c>
      <c r="U3946" s="328">
        <f>VLOOKUP(C3946,METADATA!$J$5:$Q$29,IF(E3946="HI",2,IF(E3946="LO",6,10))+IF(T3946=1,2,IF(D3946=7,1,(IF(WEEKDAY(B3946)=1,2,IF(WEEKDAY(B3946)=7,1,0))))))</f>
        <v>3</v>
      </c>
      <c r="V3946" s="328">
        <f>VLOOKUP(C3946,METADATA!$A$5:$H$29,IF(E3946="HI",2,IF(E3946="LO",6,10))+IF(T3946=1,2,IF(D3946=7,1,(IF(WEEKDAY(B3946)=1,2,IF(WEEKDAY(B3946)=7,1,0))))))</f>
        <v>3</v>
      </c>
    </row>
    <row r="3947" spans="2:22">
      <c r="B3947" s="318">
        <f t="shared" si="247"/>
        <v>46277</v>
      </c>
      <c r="C3947" s="312">
        <v>7</v>
      </c>
      <c r="D3947" s="368">
        <f>IFERROR((INDEX(METADATA!$T$2:$T$20,MATCH(B3947,METADATA!$S$2:$S$20,0))),0)</f>
        <v>0</v>
      </c>
      <c r="E3947" s="312" t="str">
        <f t="shared" si="244"/>
        <v>LO</v>
      </c>
      <c r="F3947" s="369">
        <f>VLOOKUP(C3947,METADATA!$A$5:$H$29,IF(E3947="HI",2,IF(E3947="LO",6,10))+IF(D3947=1,2,IF(D3947=7,1,(IF(WEEKDAY(B3947)=1,2,IF(WEEKDAY(B3947)=7,1,0))))))</f>
        <v>2</v>
      </c>
      <c r="G3947" s="369">
        <f>VLOOKUP(C3947,METADATA!$J$5:$Q$29,IF(E3947="HI",2,IF(E3947="LO",6,10))+IF(D3947=1,2,IF(D3947=7,1,(IF(WEEKDAY(B3947)=1,2,IF(WEEKDAY(B3947)=7,1,0))))))</f>
        <v>2</v>
      </c>
      <c r="H3947" s="370">
        <v>12889.07470703125</v>
      </c>
      <c r="I3947" s="370">
        <v>3827.1150512695313</v>
      </c>
      <c r="M3947" s="371">
        <f t="shared" si="245"/>
        <v>13445.261485708877</v>
      </c>
      <c r="N3947" s="329">
        <f t="shared" si="246"/>
        <v>0</v>
      </c>
      <c r="T3947" s="331">
        <v>0</v>
      </c>
      <c r="U3947" s="328">
        <f>VLOOKUP(C3947,METADATA!$J$5:$Q$29,IF(E3947="HI",2,IF(E3947="LO",6,10))+IF(T3947=1,2,IF(D3947=7,1,(IF(WEEKDAY(B3947)=1,2,IF(WEEKDAY(B3947)=7,1,0))))))</f>
        <v>2</v>
      </c>
      <c r="V3947" s="328">
        <f>VLOOKUP(C3947,METADATA!$A$5:$H$29,IF(E3947="HI",2,IF(E3947="LO",6,10))+IF(T3947=1,2,IF(D3947=7,1,(IF(WEEKDAY(B3947)=1,2,IF(WEEKDAY(B3947)=7,1,0))))))</f>
        <v>2</v>
      </c>
    </row>
    <row r="3948" spans="2:22">
      <c r="B3948" s="318">
        <f t="shared" si="247"/>
        <v>46277</v>
      </c>
      <c r="C3948" s="312">
        <v>8</v>
      </c>
      <c r="D3948" s="368">
        <f>IFERROR((INDEX(METADATA!$T$2:$T$20,MATCH(B3948,METADATA!$S$2:$S$20,0))),0)</f>
        <v>0</v>
      </c>
      <c r="E3948" s="312" t="str">
        <f t="shared" si="244"/>
        <v>LO</v>
      </c>
      <c r="F3948" s="369">
        <f>VLOOKUP(C3948,METADATA!$A$5:$H$29,IF(E3948="HI",2,IF(E3948="LO",6,10))+IF(D3948=1,2,IF(D3948=7,1,(IF(WEEKDAY(B3948)=1,2,IF(WEEKDAY(B3948)=7,1,0))))))</f>
        <v>2</v>
      </c>
      <c r="G3948" s="369">
        <f>VLOOKUP(C3948,METADATA!$J$5:$Q$29,IF(E3948="HI",2,IF(E3948="LO",6,10))+IF(D3948=1,2,IF(D3948=7,1,(IF(WEEKDAY(B3948)=1,2,IF(WEEKDAY(B3948)=7,1,0))))))</f>
        <v>2</v>
      </c>
      <c r="H3948" s="370">
        <v>12828.64990234375</v>
      </c>
      <c r="I3948" s="370">
        <v>3721.5251159667969</v>
      </c>
      <c r="M3948" s="371">
        <f t="shared" si="245"/>
        <v>13357.544965512037</v>
      </c>
      <c r="N3948" s="329">
        <f t="shared" si="246"/>
        <v>0</v>
      </c>
      <c r="T3948" s="331">
        <v>0</v>
      </c>
      <c r="U3948" s="328">
        <f>VLOOKUP(C3948,METADATA!$J$5:$Q$29,IF(E3948="HI",2,IF(E3948="LO",6,10))+IF(T3948=1,2,IF(D3948=7,1,(IF(WEEKDAY(B3948)=1,2,IF(WEEKDAY(B3948)=7,1,0))))))</f>
        <v>2</v>
      </c>
      <c r="V3948" s="328">
        <f>VLOOKUP(C3948,METADATA!$A$5:$H$29,IF(E3948="HI",2,IF(E3948="LO",6,10))+IF(T3948=1,2,IF(D3948=7,1,(IF(WEEKDAY(B3948)=1,2,IF(WEEKDAY(B3948)=7,1,0))))))</f>
        <v>2</v>
      </c>
    </row>
    <row r="3949" spans="2:22">
      <c r="B3949" s="318">
        <f t="shared" si="247"/>
        <v>46277</v>
      </c>
      <c r="C3949" s="312">
        <v>9</v>
      </c>
      <c r="D3949" s="368">
        <f>IFERROR((INDEX(METADATA!$T$2:$T$20,MATCH(B3949,METADATA!$S$2:$S$20,0))),0)</f>
        <v>0</v>
      </c>
      <c r="E3949" s="312" t="str">
        <f t="shared" si="244"/>
        <v>LO</v>
      </c>
      <c r="F3949" s="369">
        <f>VLOOKUP(C3949,METADATA!$A$5:$H$29,IF(E3949="HI",2,IF(E3949="LO",6,10))+IF(D3949=1,2,IF(D3949=7,1,(IF(WEEKDAY(B3949)=1,2,IF(WEEKDAY(B3949)=7,1,0))))))</f>
        <v>2</v>
      </c>
      <c r="G3949" s="369">
        <f>VLOOKUP(C3949,METADATA!$J$5:$Q$29,IF(E3949="HI",2,IF(E3949="LO",6,10))+IF(D3949=1,2,IF(D3949=7,1,(IF(WEEKDAY(B3949)=1,2,IF(WEEKDAY(B3949)=7,1,0))))))</f>
        <v>2</v>
      </c>
      <c r="H3949" s="370">
        <v>12941.075500488281</v>
      </c>
      <c r="I3949" s="370">
        <v>3771.8000793457031</v>
      </c>
      <c r="M3949" s="371">
        <f t="shared" si="245"/>
        <v>13479.536748267363</v>
      </c>
      <c r="N3949" s="329">
        <f t="shared" si="246"/>
        <v>0</v>
      </c>
      <c r="T3949" s="331">
        <v>0</v>
      </c>
      <c r="U3949" s="328">
        <f>VLOOKUP(C3949,METADATA!$J$5:$Q$29,IF(E3949="HI",2,IF(E3949="LO",6,10))+IF(T3949=1,2,IF(D3949=7,1,(IF(WEEKDAY(B3949)=1,2,IF(WEEKDAY(B3949)=7,1,0))))))</f>
        <v>2</v>
      </c>
      <c r="V3949" s="328">
        <f>VLOOKUP(C3949,METADATA!$A$5:$H$29,IF(E3949="HI",2,IF(E3949="LO",6,10))+IF(T3949=1,2,IF(D3949=7,1,(IF(WEEKDAY(B3949)=1,2,IF(WEEKDAY(B3949)=7,1,0))))))</f>
        <v>2</v>
      </c>
    </row>
    <row r="3950" spans="2:22">
      <c r="B3950" s="318">
        <f t="shared" si="247"/>
        <v>46277</v>
      </c>
      <c r="C3950" s="312">
        <v>10</v>
      </c>
      <c r="D3950" s="368">
        <f>IFERROR((INDEX(METADATA!$T$2:$T$20,MATCH(B3950,METADATA!$S$2:$S$20,0))),0)</f>
        <v>0</v>
      </c>
      <c r="E3950" s="312" t="str">
        <f t="shared" si="244"/>
        <v>LO</v>
      </c>
      <c r="F3950" s="369">
        <f>VLOOKUP(C3950,METADATA!$A$5:$H$29,IF(E3950="HI",2,IF(E3950="LO",6,10))+IF(D3950=1,2,IF(D3950=7,1,(IF(WEEKDAY(B3950)=1,2,IF(WEEKDAY(B3950)=7,1,0))))))</f>
        <v>2</v>
      </c>
      <c r="G3950" s="369">
        <f>VLOOKUP(C3950,METADATA!$J$5:$Q$29,IF(E3950="HI",2,IF(E3950="LO",6,10))+IF(D3950=1,2,IF(D3950=7,1,(IF(WEEKDAY(B3950)=1,2,IF(WEEKDAY(B3950)=7,1,0))))))</f>
        <v>2</v>
      </c>
      <c r="H3950" s="370">
        <v>13025.999755859375</v>
      </c>
      <c r="I3950" s="370">
        <v>3767.7699584960938</v>
      </c>
      <c r="M3950" s="371">
        <f t="shared" si="245"/>
        <v>13559.969030193031</v>
      </c>
      <c r="N3950" s="329">
        <f t="shared" si="246"/>
        <v>0</v>
      </c>
      <c r="T3950" s="331">
        <v>0</v>
      </c>
      <c r="U3950" s="328">
        <f>VLOOKUP(C3950,METADATA!$J$5:$Q$29,IF(E3950="HI",2,IF(E3950="LO",6,10))+IF(T3950=1,2,IF(D3950=7,1,(IF(WEEKDAY(B3950)=1,2,IF(WEEKDAY(B3950)=7,1,0))))))</f>
        <v>2</v>
      </c>
      <c r="V3950" s="328">
        <f>VLOOKUP(C3950,METADATA!$A$5:$H$29,IF(E3950="HI",2,IF(E3950="LO",6,10))+IF(T3950=1,2,IF(D3950=7,1,(IF(WEEKDAY(B3950)=1,2,IF(WEEKDAY(B3950)=7,1,0))))))</f>
        <v>2</v>
      </c>
    </row>
    <row r="3951" spans="2:22">
      <c r="B3951" s="318">
        <f t="shared" si="247"/>
        <v>46277</v>
      </c>
      <c r="C3951" s="312">
        <v>11</v>
      </c>
      <c r="D3951" s="368">
        <f>IFERROR((INDEX(METADATA!$T$2:$T$20,MATCH(B3951,METADATA!$S$2:$S$20,0))),0)</f>
        <v>0</v>
      </c>
      <c r="E3951" s="312" t="str">
        <f t="shared" si="244"/>
        <v>LO</v>
      </c>
      <c r="F3951" s="369">
        <f>VLOOKUP(C3951,METADATA!$A$5:$H$29,IF(E3951="HI",2,IF(E3951="LO",6,10))+IF(D3951=1,2,IF(D3951=7,1,(IF(WEEKDAY(B3951)=1,2,IF(WEEKDAY(B3951)=7,1,0))))))</f>
        <v>2</v>
      </c>
      <c r="G3951" s="369">
        <f>VLOOKUP(C3951,METADATA!$J$5:$Q$29,IF(E3951="HI",2,IF(E3951="LO",6,10))+IF(D3951=1,2,IF(D3951=7,1,(IF(WEEKDAY(B3951)=1,2,IF(WEEKDAY(B3951)=7,1,0))))))</f>
        <v>2</v>
      </c>
      <c r="H3951" s="370">
        <v>12368.499877929688</v>
      </c>
      <c r="I3951" s="370">
        <v>3279.7099761962891</v>
      </c>
      <c r="M3951" s="371">
        <f t="shared" si="245"/>
        <v>12795.948060159832</v>
      </c>
      <c r="N3951" s="329">
        <f t="shared" si="246"/>
        <v>0</v>
      </c>
      <c r="T3951" s="331">
        <v>0</v>
      </c>
      <c r="U3951" s="328">
        <f>VLOOKUP(C3951,METADATA!$J$5:$Q$29,IF(E3951="HI",2,IF(E3951="LO",6,10))+IF(T3951=1,2,IF(D3951=7,1,(IF(WEEKDAY(B3951)=1,2,IF(WEEKDAY(B3951)=7,1,0))))))</f>
        <v>2</v>
      </c>
      <c r="V3951" s="328">
        <f>VLOOKUP(C3951,METADATA!$A$5:$H$29,IF(E3951="HI",2,IF(E3951="LO",6,10))+IF(T3951=1,2,IF(D3951=7,1,(IF(WEEKDAY(B3951)=1,2,IF(WEEKDAY(B3951)=7,1,0))))))</f>
        <v>2</v>
      </c>
    </row>
    <row r="3952" spans="2:22">
      <c r="B3952" s="318">
        <f t="shared" si="247"/>
        <v>46277</v>
      </c>
      <c r="C3952" s="312">
        <v>12</v>
      </c>
      <c r="D3952" s="368">
        <f>IFERROR((INDEX(METADATA!$T$2:$T$20,MATCH(B3952,METADATA!$S$2:$S$20,0))),0)</f>
        <v>0</v>
      </c>
      <c r="E3952" s="312" t="str">
        <f t="shared" si="244"/>
        <v>LO</v>
      </c>
      <c r="F3952" s="369">
        <f>VLOOKUP(C3952,METADATA!$A$5:$H$29,IF(E3952="HI",2,IF(E3952="LO",6,10))+IF(D3952=1,2,IF(D3952=7,1,(IF(WEEKDAY(B3952)=1,2,IF(WEEKDAY(B3952)=7,1,0))))))</f>
        <v>3</v>
      </c>
      <c r="G3952" s="369">
        <f>VLOOKUP(C3952,METADATA!$J$5:$Q$29,IF(E3952="HI",2,IF(E3952="LO",6,10))+IF(D3952=1,2,IF(D3952=7,1,(IF(WEEKDAY(B3952)=1,2,IF(WEEKDAY(B3952)=7,1,0))))))</f>
        <v>3</v>
      </c>
      <c r="H3952" s="370">
        <v>13116.150024414063</v>
      </c>
      <c r="I3952" s="370">
        <v>3826.7749786376953</v>
      </c>
      <c r="M3952" s="371">
        <f t="shared" si="245"/>
        <v>13663.001068581694</v>
      </c>
      <c r="N3952" s="329">
        <f t="shared" si="246"/>
        <v>0</v>
      </c>
      <c r="T3952" s="331">
        <v>0</v>
      </c>
      <c r="U3952" s="328">
        <f>VLOOKUP(C3952,METADATA!$J$5:$Q$29,IF(E3952="HI",2,IF(E3952="LO",6,10))+IF(T3952=1,2,IF(D3952=7,1,(IF(WEEKDAY(B3952)=1,2,IF(WEEKDAY(B3952)=7,1,0))))))</f>
        <v>3</v>
      </c>
      <c r="V3952" s="328">
        <f>VLOOKUP(C3952,METADATA!$A$5:$H$29,IF(E3952="HI",2,IF(E3952="LO",6,10))+IF(T3952=1,2,IF(D3952=7,1,(IF(WEEKDAY(B3952)=1,2,IF(WEEKDAY(B3952)=7,1,0))))))</f>
        <v>3</v>
      </c>
    </row>
    <row r="3953" spans="2:22">
      <c r="B3953" s="318">
        <f t="shared" si="247"/>
        <v>46277</v>
      </c>
      <c r="C3953" s="312">
        <v>13</v>
      </c>
      <c r="D3953" s="368">
        <f>IFERROR((INDEX(METADATA!$T$2:$T$20,MATCH(B3953,METADATA!$S$2:$S$20,0))),0)</f>
        <v>0</v>
      </c>
      <c r="E3953" s="312" t="str">
        <f t="shared" si="244"/>
        <v>LO</v>
      </c>
      <c r="F3953" s="369">
        <f>VLOOKUP(C3953,METADATA!$A$5:$H$29,IF(E3953="HI",2,IF(E3953="LO",6,10))+IF(D3953=1,2,IF(D3953=7,1,(IF(WEEKDAY(B3953)=1,2,IF(WEEKDAY(B3953)=7,1,0))))))</f>
        <v>3</v>
      </c>
      <c r="G3953" s="369">
        <f>VLOOKUP(C3953,METADATA!$J$5:$Q$29,IF(E3953="HI",2,IF(E3953="LO",6,10))+IF(D3953=1,2,IF(D3953=7,1,(IF(WEEKDAY(B3953)=1,2,IF(WEEKDAY(B3953)=7,1,0))))))</f>
        <v>3</v>
      </c>
      <c r="H3953" s="370">
        <v>13118.424987792969</v>
      </c>
      <c r="I3953" s="370">
        <v>3835.5</v>
      </c>
      <c r="M3953" s="371">
        <f t="shared" si="245"/>
        <v>13667.630899696953</v>
      </c>
      <c r="N3953" s="329">
        <f t="shared" si="246"/>
        <v>0</v>
      </c>
      <c r="T3953" s="331">
        <v>0</v>
      </c>
      <c r="U3953" s="328">
        <f>VLOOKUP(C3953,METADATA!$J$5:$Q$29,IF(E3953="HI",2,IF(E3953="LO",6,10))+IF(T3953=1,2,IF(D3953=7,1,(IF(WEEKDAY(B3953)=1,2,IF(WEEKDAY(B3953)=7,1,0))))))</f>
        <v>3</v>
      </c>
      <c r="V3953" s="328">
        <f>VLOOKUP(C3953,METADATA!$A$5:$H$29,IF(E3953="HI",2,IF(E3953="LO",6,10))+IF(T3953=1,2,IF(D3953=7,1,(IF(WEEKDAY(B3953)=1,2,IF(WEEKDAY(B3953)=7,1,0))))))</f>
        <v>3</v>
      </c>
    </row>
    <row r="3954" spans="2:22">
      <c r="B3954" s="318">
        <f t="shared" si="247"/>
        <v>46277</v>
      </c>
      <c r="C3954" s="312">
        <v>14</v>
      </c>
      <c r="D3954" s="368">
        <f>IFERROR((INDEX(METADATA!$T$2:$T$20,MATCH(B3954,METADATA!$S$2:$S$20,0))),0)</f>
        <v>0</v>
      </c>
      <c r="E3954" s="312" t="str">
        <f t="shared" si="244"/>
        <v>LO</v>
      </c>
      <c r="F3954" s="369">
        <f>VLOOKUP(C3954,METADATA!$A$5:$H$29,IF(E3954="HI",2,IF(E3954="LO",6,10))+IF(D3954=1,2,IF(D3954=7,1,(IF(WEEKDAY(B3954)=1,2,IF(WEEKDAY(B3954)=7,1,0))))))</f>
        <v>3</v>
      </c>
      <c r="G3954" s="369">
        <f>VLOOKUP(C3954,METADATA!$J$5:$Q$29,IF(E3954="HI",2,IF(E3954="LO",6,10))+IF(D3954=1,2,IF(D3954=7,1,(IF(WEEKDAY(B3954)=1,2,IF(WEEKDAY(B3954)=7,1,0))))))</f>
        <v>3</v>
      </c>
      <c r="H3954" s="370">
        <v>13053.125122070313</v>
      </c>
      <c r="I3954" s="370">
        <v>3929.8000793457031</v>
      </c>
      <c r="M3954" s="371">
        <f t="shared" si="245"/>
        <v>13631.852556276002</v>
      </c>
      <c r="N3954" s="329">
        <f t="shared" si="246"/>
        <v>13.862542724609739</v>
      </c>
      <c r="T3954" s="331">
        <v>0</v>
      </c>
      <c r="U3954" s="328">
        <f>VLOOKUP(C3954,METADATA!$J$5:$Q$29,IF(E3954="HI",2,IF(E3954="LO",6,10))+IF(T3954=1,2,IF(D3954=7,1,(IF(WEEKDAY(B3954)=1,2,IF(WEEKDAY(B3954)=7,1,0))))))</f>
        <v>3</v>
      </c>
      <c r="V3954" s="328">
        <f>VLOOKUP(C3954,METADATA!$A$5:$H$29,IF(E3954="HI",2,IF(E3954="LO",6,10))+IF(T3954=1,2,IF(D3954=7,1,(IF(WEEKDAY(B3954)=1,2,IF(WEEKDAY(B3954)=7,1,0))))))</f>
        <v>3</v>
      </c>
    </row>
    <row r="3955" spans="2:22">
      <c r="B3955" s="318">
        <f t="shared" si="247"/>
        <v>46277</v>
      </c>
      <c r="C3955" s="312">
        <v>15</v>
      </c>
      <c r="D3955" s="368">
        <f>IFERROR((INDEX(METADATA!$T$2:$T$20,MATCH(B3955,METADATA!$S$2:$S$20,0))),0)</f>
        <v>0</v>
      </c>
      <c r="E3955" s="312" t="str">
        <f t="shared" si="244"/>
        <v>LO</v>
      </c>
      <c r="F3955" s="369">
        <f>VLOOKUP(C3955,METADATA!$A$5:$H$29,IF(E3955="HI",2,IF(E3955="LO",6,10))+IF(D3955=1,2,IF(D3955=7,1,(IF(WEEKDAY(B3955)=1,2,IF(WEEKDAY(B3955)=7,1,0))))))</f>
        <v>3</v>
      </c>
      <c r="G3955" s="369">
        <f>VLOOKUP(C3955,METADATA!$J$5:$Q$29,IF(E3955="HI",2,IF(E3955="LO",6,10))+IF(D3955=1,2,IF(D3955=7,1,(IF(WEEKDAY(B3955)=1,2,IF(WEEKDAY(B3955)=7,1,0))))))</f>
        <v>3</v>
      </c>
      <c r="H3955" s="370">
        <v>13142.000183105469</v>
      </c>
      <c r="I3955" s="370">
        <v>3956.8600158691406</v>
      </c>
      <c r="M3955" s="371">
        <f t="shared" si="245"/>
        <v>13724.755371150632</v>
      </c>
      <c r="N3955" s="329">
        <f t="shared" si="246"/>
        <v>14.259960937500182</v>
      </c>
      <c r="T3955" s="331">
        <v>0</v>
      </c>
      <c r="U3955" s="328">
        <f>VLOOKUP(C3955,METADATA!$J$5:$Q$29,IF(E3955="HI",2,IF(E3955="LO",6,10))+IF(T3955=1,2,IF(D3955=7,1,(IF(WEEKDAY(B3955)=1,2,IF(WEEKDAY(B3955)=7,1,0))))))</f>
        <v>3</v>
      </c>
      <c r="V3955" s="328">
        <f>VLOOKUP(C3955,METADATA!$A$5:$H$29,IF(E3955="HI",2,IF(E3955="LO",6,10))+IF(T3955=1,2,IF(D3955=7,1,(IF(WEEKDAY(B3955)=1,2,IF(WEEKDAY(B3955)=7,1,0))))))</f>
        <v>3</v>
      </c>
    </row>
    <row r="3956" spans="2:22">
      <c r="B3956" s="318">
        <f t="shared" si="247"/>
        <v>46277</v>
      </c>
      <c r="C3956" s="312">
        <v>16</v>
      </c>
      <c r="D3956" s="368">
        <f>IFERROR((INDEX(METADATA!$T$2:$T$20,MATCH(B3956,METADATA!$S$2:$S$20,0))),0)</f>
        <v>0</v>
      </c>
      <c r="E3956" s="312" t="str">
        <f t="shared" si="244"/>
        <v>LO</v>
      </c>
      <c r="F3956" s="369">
        <f>VLOOKUP(C3956,METADATA!$A$5:$H$29,IF(E3956="HI",2,IF(E3956="LO",6,10))+IF(D3956=1,2,IF(D3956=7,1,(IF(WEEKDAY(B3956)=1,2,IF(WEEKDAY(B3956)=7,1,0))))))</f>
        <v>3</v>
      </c>
      <c r="G3956" s="369">
        <f>VLOOKUP(C3956,METADATA!$J$5:$Q$29,IF(E3956="HI",2,IF(E3956="LO",6,10))+IF(D3956=1,2,IF(D3956=7,1,(IF(WEEKDAY(B3956)=1,2,IF(WEEKDAY(B3956)=7,1,0))))))</f>
        <v>3</v>
      </c>
      <c r="H3956" s="370">
        <v>13114.024658203125</v>
      </c>
      <c r="I3956" s="370">
        <v>3940.2750244140625</v>
      </c>
      <c r="M3956" s="371">
        <f t="shared" si="245"/>
        <v>13693.188452803124</v>
      </c>
      <c r="N3956" s="329">
        <f t="shared" si="246"/>
        <v>6.067626953125</v>
      </c>
      <c r="T3956" s="331">
        <v>0</v>
      </c>
      <c r="U3956" s="328">
        <f>VLOOKUP(C3956,METADATA!$J$5:$Q$29,IF(E3956="HI",2,IF(E3956="LO",6,10))+IF(T3956=1,2,IF(D3956=7,1,(IF(WEEKDAY(B3956)=1,2,IF(WEEKDAY(B3956)=7,1,0))))))</f>
        <v>3</v>
      </c>
      <c r="V3956" s="328">
        <f>VLOOKUP(C3956,METADATA!$A$5:$H$29,IF(E3956="HI",2,IF(E3956="LO",6,10))+IF(T3956=1,2,IF(D3956=7,1,(IF(WEEKDAY(B3956)=1,2,IF(WEEKDAY(B3956)=7,1,0))))))</f>
        <v>3</v>
      </c>
    </row>
    <row r="3957" spans="2:22">
      <c r="B3957" s="318">
        <f t="shared" si="247"/>
        <v>46277</v>
      </c>
      <c r="C3957" s="312">
        <v>17</v>
      </c>
      <c r="D3957" s="368">
        <f>IFERROR((INDEX(METADATA!$T$2:$T$20,MATCH(B3957,METADATA!$S$2:$S$20,0))),0)</f>
        <v>0</v>
      </c>
      <c r="E3957" s="312" t="str">
        <f t="shared" si="244"/>
        <v>LO</v>
      </c>
      <c r="F3957" s="369">
        <f>VLOOKUP(C3957,METADATA!$A$5:$H$29,IF(E3957="HI",2,IF(E3957="LO",6,10))+IF(D3957=1,2,IF(D3957=7,1,(IF(WEEKDAY(B3957)=1,2,IF(WEEKDAY(B3957)=7,1,0))))))</f>
        <v>3</v>
      </c>
      <c r="G3957" s="369">
        <f>VLOOKUP(C3957,METADATA!$J$5:$Q$29,IF(E3957="HI",2,IF(E3957="LO",6,10))+IF(D3957=1,2,IF(D3957=7,1,(IF(WEEKDAY(B3957)=1,2,IF(WEEKDAY(B3957)=7,1,0))))))</f>
        <v>3</v>
      </c>
      <c r="H3957" s="370">
        <v>13140.425048828125</v>
      </c>
      <c r="I3957" s="370">
        <v>3891.2900085449219</v>
      </c>
      <c r="M3957" s="371">
        <f t="shared" si="245"/>
        <v>13704.484973703724</v>
      </c>
      <c r="N3957" s="329">
        <f t="shared" si="246"/>
        <v>0</v>
      </c>
      <c r="T3957" s="331">
        <v>0</v>
      </c>
      <c r="U3957" s="328">
        <f>VLOOKUP(C3957,METADATA!$J$5:$Q$29,IF(E3957="HI",2,IF(E3957="LO",6,10))+IF(T3957=1,2,IF(D3957=7,1,(IF(WEEKDAY(B3957)=1,2,IF(WEEKDAY(B3957)=7,1,0))))))</f>
        <v>3</v>
      </c>
      <c r="V3957" s="328">
        <f>VLOOKUP(C3957,METADATA!$A$5:$H$29,IF(E3957="HI",2,IF(E3957="LO",6,10))+IF(T3957=1,2,IF(D3957=7,1,(IF(WEEKDAY(B3957)=1,2,IF(WEEKDAY(B3957)=7,1,0))))))</f>
        <v>3</v>
      </c>
    </row>
    <row r="3958" spans="2:22">
      <c r="B3958" s="318">
        <f t="shared" si="247"/>
        <v>46277</v>
      </c>
      <c r="C3958" s="312">
        <v>18</v>
      </c>
      <c r="D3958" s="368">
        <f>IFERROR((INDEX(METADATA!$T$2:$T$20,MATCH(B3958,METADATA!$S$2:$S$20,0))),0)</f>
        <v>0</v>
      </c>
      <c r="E3958" s="312" t="str">
        <f t="shared" si="244"/>
        <v>LO</v>
      </c>
      <c r="F3958" s="369">
        <f>VLOOKUP(C3958,METADATA!$A$5:$H$29,IF(E3958="HI",2,IF(E3958="LO",6,10))+IF(D3958=1,2,IF(D3958=7,1,(IF(WEEKDAY(B3958)=1,2,IF(WEEKDAY(B3958)=7,1,0))))))</f>
        <v>2</v>
      </c>
      <c r="G3958" s="369">
        <f>VLOOKUP(C3958,METADATA!$J$5:$Q$29,IF(E3958="HI",2,IF(E3958="LO",6,10))+IF(D3958=1,2,IF(D3958=7,1,(IF(WEEKDAY(B3958)=1,2,IF(WEEKDAY(B3958)=7,1,0))))))</f>
        <v>2</v>
      </c>
      <c r="H3958" s="370">
        <v>13082.650085449219</v>
      </c>
      <c r="I3958" s="370">
        <v>3903.52001953125</v>
      </c>
      <c r="M3958" s="371">
        <f t="shared" si="245"/>
        <v>13652.589563932028</v>
      </c>
      <c r="N3958" s="329">
        <f t="shared" si="246"/>
        <v>0</v>
      </c>
      <c r="T3958" s="331">
        <v>0</v>
      </c>
      <c r="U3958" s="328">
        <f>VLOOKUP(C3958,METADATA!$J$5:$Q$29,IF(E3958="HI",2,IF(E3958="LO",6,10))+IF(T3958=1,2,IF(D3958=7,1,(IF(WEEKDAY(B3958)=1,2,IF(WEEKDAY(B3958)=7,1,0))))))</f>
        <v>2</v>
      </c>
      <c r="V3958" s="328">
        <f>VLOOKUP(C3958,METADATA!$A$5:$H$29,IF(E3958="HI",2,IF(E3958="LO",6,10))+IF(T3958=1,2,IF(D3958=7,1,(IF(WEEKDAY(B3958)=1,2,IF(WEEKDAY(B3958)=7,1,0))))))</f>
        <v>2</v>
      </c>
    </row>
    <row r="3959" spans="2:22">
      <c r="B3959" s="318">
        <f t="shared" si="247"/>
        <v>46277</v>
      </c>
      <c r="C3959" s="312">
        <v>19</v>
      </c>
      <c r="D3959" s="368">
        <f>IFERROR((INDEX(METADATA!$T$2:$T$20,MATCH(B3959,METADATA!$S$2:$S$20,0))),0)</f>
        <v>0</v>
      </c>
      <c r="E3959" s="312" t="str">
        <f t="shared" si="244"/>
        <v>LO</v>
      </c>
      <c r="F3959" s="369">
        <f>VLOOKUP(C3959,METADATA!$A$5:$H$29,IF(E3959="HI",2,IF(E3959="LO",6,10))+IF(D3959=1,2,IF(D3959=7,1,(IF(WEEKDAY(B3959)=1,2,IF(WEEKDAY(B3959)=7,1,0))))))</f>
        <v>2</v>
      </c>
      <c r="G3959" s="369">
        <f>VLOOKUP(C3959,METADATA!$J$5:$Q$29,IF(E3959="HI",2,IF(E3959="LO",6,10))+IF(D3959=1,2,IF(D3959=7,1,(IF(WEEKDAY(B3959)=1,2,IF(WEEKDAY(B3959)=7,1,0))))))</f>
        <v>2</v>
      </c>
      <c r="H3959" s="370">
        <v>13014.225219726563</v>
      </c>
      <c r="I3959" s="370">
        <v>3945.0450439453125</v>
      </c>
      <c r="M3959" s="371">
        <f t="shared" si="245"/>
        <v>13599.023438045995</v>
      </c>
      <c r="N3959" s="329">
        <f t="shared" si="246"/>
        <v>40.777478027343932</v>
      </c>
      <c r="T3959" s="331">
        <v>0</v>
      </c>
      <c r="U3959" s="328">
        <f>VLOOKUP(C3959,METADATA!$J$5:$Q$29,IF(E3959="HI",2,IF(E3959="LO",6,10))+IF(T3959=1,2,IF(D3959=7,1,(IF(WEEKDAY(B3959)=1,2,IF(WEEKDAY(B3959)=7,1,0))))))</f>
        <v>2</v>
      </c>
      <c r="V3959" s="328">
        <f>VLOOKUP(C3959,METADATA!$A$5:$H$29,IF(E3959="HI",2,IF(E3959="LO",6,10))+IF(T3959=1,2,IF(D3959=7,1,(IF(WEEKDAY(B3959)=1,2,IF(WEEKDAY(B3959)=7,1,0))))))</f>
        <v>2</v>
      </c>
    </row>
    <row r="3960" spans="2:22">
      <c r="B3960" s="318">
        <f t="shared" si="247"/>
        <v>46277</v>
      </c>
      <c r="C3960" s="312">
        <v>20</v>
      </c>
      <c r="D3960" s="368">
        <f>IFERROR((INDEX(METADATA!$T$2:$T$20,MATCH(B3960,METADATA!$S$2:$S$20,0))),0)</f>
        <v>0</v>
      </c>
      <c r="E3960" s="312" t="str">
        <f t="shared" si="244"/>
        <v>LO</v>
      </c>
      <c r="F3960" s="369">
        <f>VLOOKUP(C3960,METADATA!$A$5:$H$29,IF(E3960="HI",2,IF(E3960="LO",6,10))+IF(D3960=1,2,IF(D3960=7,1,(IF(WEEKDAY(B3960)=1,2,IF(WEEKDAY(B3960)=7,1,0))))))</f>
        <v>3</v>
      </c>
      <c r="G3960" s="369">
        <f>VLOOKUP(C3960,METADATA!$J$5:$Q$29,IF(E3960="HI",2,IF(E3960="LO",6,10))+IF(D3960=1,2,IF(D3960=7,1,(IF(WEEKDAY(B3960)=1,2,IF(WEEKDAY(B3960)=7,1,0))))))</f>
        <v>3</v>
      </c>
      <c r="H3960" s="370">
        <v>13199.500122070313</v>
      </c>
      <c r="I3960" s="370">
        <v>4065.1700439453125</v>
      </c>
      <c r="M3960" s="371">
        <f t="shared" si="245"/>
        <v>13811.314599223511</v>
      </c>
      <c r="N3960" s="329">
        <f t="shared" si="246"/>
        <v>105.32000732421875</v>
      </c>
      <c r="T3960" s="331">
        <v>0</v>
      </c>
      <c r="U3960" s="328">
        <f>VLOOKUP(C3960,METADATA!$J$5:$Q$29,IF(E3960="HI",2,IF(E3960="LO",6,10))+IF(T3960=1,2,IF(D3960=7,1,(IF(WEEKDAY(B3960)=1,2,IF(WEEKDAY(B3960)=7,1,0))))))</f>
        <v>3</v>
      </c>
      <c r="V3960" s="328">
        <f>VLOOKUP(C3960,METADATA!$A$5:$H$29,IF(E3960="HI",2,IF(E3960="LO",6,10))+IF(T3960=1,2,IF(D3960=7,1,(IF(WEEKDAY(B3960)=1,2,IF(WEEKDAY(B3960)=7,1,0))))))</f>
        <v>3</v>
      </c>
    </row>
    <row r="3961" spans="2:22">
      <c r="B3961" s="318">
        <f t="shared" si="247"/>
        <v>46277</v>
      </c>
      <c r="C3961" s="312">
        <v>21</v>
      </c>
      <c r="D3961" s="368">
        <f>IFERROR((INDEX(METADATA!$T$2:$T$20,MATCH(B3961,METADATA!$S$2:$S$20,0))),0)</f>
        <v>0</v>
      </c>
      <c r="E3961" s="312" t="str">
        <f t="shared" si="244"/>
        <v>LO</v>
      </c>
      <c r="F3961" s="369">
        <f>VLOOKUP(C3961,METADATA!$A$5:$H$29,IF(E3961="HI",2,IF(E3961="LO",6,10))+IF(D3961=1,2,IF(D3961=7,1,(IF(WEEKDAY(B3961)=1,2,IF(WEEKDAY(B3961)=7,1,0))))))</f>
        <v>3</v>
      </c>
      <c r="G3961" s="369">
        <f>VLOOKUP(C3961,METADATA!$J$5:$Q$29,IF(E3961="HI",2,IF(E3961="LO",6,10))+IF(D3961=1,2,IF(D3961=7,1,(IF(WEEKDAY(B3961)=1,2,IF(WEEKDAY(B3961)=7,1,0))))))</f>
        <v>3</v>
      </c>
      <c r="H3961" s="370">
        <v>13216.325378417969</v>
      </c>
      <c r="I3961" s="370">
        <v>4130.7799377441406</v>
      </c>
      <c r="M3961" s="371">
        <f t="shared" si="245"/>
        <v>13846.82632960652</v>
      </c>
      <c r="N3961" s="329">
        <f t="shared" si="246"/>
        <v>165.88232421875</v>
      </c>
      <c r="T3961" s="331">
        <v>0</v>
      </c>
      <c r="U3961" s="328">
        <f>VLOOKUP(C3961,METADATA!$J$5:$Q$29,IF(E3961="HI",2,IF(E3961="LO",6,10))+IF(T3961=1,2,IF(D3961=7,1,(IF(WEEKDAY(B3961)=1,2,IF(WEEKDAY(B3961)=7,1,0))))))</f>
        <v>3</v>
      </c>
      <c r="V3961" s="328">
        <f>VLOOKUP(C3961,METADATA!$A$5:$H$29,IF(E3961="HI",2,IF(E3961="LO",6,10))+IF(T3961=1,2,IF(D3961=7,1,(IF(WEEKDAY(B3961)=1,2,IF(WEEKDAY(B3961)=7,1,0))))))</f>
        <v>3</v>
      </c>
    </row>
    <row r="3962" spans="2:22">
      <c r="B3962" s="318">
        <f t="shared" si="247"/>
        <v>46277</v>
      </c>
      <c r="C3962" s="312">
        <v>22</v>
      </c>
      <c r="D3962" s="368">
        <f>IFERROR((INDEX(METADATA!$T$2:$T$20,MATCH(B3962,METADATA!$S$2:$S$20,0))),0)</f>
        <v>0</v>
      </c>
      <c r="E3962" s="312" t="str">
        <f t="shared" si="244"/>
        <v>LO</v>
      </c>
      <c r="F3962" s="369">
        <f>VLOOKUP(C3962,METADATA!$A$5:$H$29,IF(E3962="HI",2,IF(E3962="LO",6,10))+IF(D3962=1,2,IF(D3962=7,1,(IF(WEEKDAY(B3962)=1,2,IF(WEEKDAY(B3962)=7,1,0))))))</f>
        <v>3</v>
      </c>
      <c r="G3962" s="369">
        <f>VLOOKUP(C3962,METADATA!$J$5:$Q$29,IF(E3962="HI",2,IF(E3962="LO",6,10))+IF(D3962=1,2,IF(D3962=7,1,(IF(WEEKDAY(B3962)=1,2,IF(WEEKDAY(B3962)=7,1,0))))))</f>
        <v>3</v>
      </c>
      <c r="H3962" s="370">
        <v>13148.525268554688</v>
      </c>
      <c r="I3962" s="370">
        <v>4148.2999267578125</v>
      </c>
      <c r="M3962" s="371">
        <f t="shared" si="245"/>
        <v>13787.389492581979</v>
      </c>
      <c r="N3962" s="329">
        <f t="shared" si="246"/>
        <v>203.74234619140634</v>
      </c>
      <c r="T3962" s="331">
        <v>0</v>
      </c>
      <c r="U3962" s="328">
        <f>VLOOKUP(C3962,METADATA!$J$5:$Q$29,IF(E3962="HI",2,IF(E3962="LO",6,10))+IF(T3962=1,2,IF(D3962=7,1,(IF(WEEKDAY(B3962)=1,2,IF(WEEKDAY(B3962)=7,1,0))))))</f>
        <v>3</v>
      </c>
      <c r="V3962" s="328">
        <f>VLOOKUP(C3962,METADATA!$A$5:$H$29,IF(E3962="HI",2,IF(E3962="LO",6,10))+IF(T3962=1,2,IF(D3962=7,1,(IF(WEEKDAY(B3962)=1,2,IF(WEEKDAY(B3962)=7,1,0))))))</f>
        <v>3</v>
      </c>
    </row>
    <row r="3963" spans="2:22">
      <c r="B3963" s="318">
        <f t="shared" si="247"/>
        <v>46277</v>
      </c>
      <c r="C3963" s="312">
        <v>23</v>
      </c>
      <c r="D3963" s="368">
        <f>IFERROR((INDEX(METADATA!$T$2:$T$20,MATCH(B3963,METADATA!$S$2:$S$20,0))),0)</f>
        <v>0</v>
      </c>
      <c r="E3963" s="312" t="str">
        <f t="shared" si="244"/>
        <v>LO</v>
      </c>
      <c r="F3963" s="369">
        <f>VLOOKUP(C3963,METADATA!$A$5:$H$29,IF(E3963="HI",2,IF(E3963="LO",6,10))+IF(D3963=1,2,IF(D3963=7,1,(IF(WEEKDAY(B3963)=1,2,IF(WEEKDAY(B3963)=7,1,0))))))</f>
        <v>3</v>
      </c>
      <c r="G3963" s="369">
        <f>VLOOKUP(C3963,METADATA!$J$5:$Q$29,IF(E3963="HI",2,IF(E3963="LO",6,10))+IF(D3963=1,2,IF(D3963=7,1,(IF(WEEKDAY(B3963)=1,2,IF(WEEKDAY(B3963)=7,1,0))))))</f>
        <v>3</v>
      </c>
      <c r="H3963" s="370">
        <v>13135.799743652344</v>
      </c>
      <c r="I3963" s="370">
        <v>4112.1300354003906</v>
      </c>
      <c r="M3963" s="371">
        <f t="shared" si="245"/>
        <v>13764.405120940715</v>
      </c>
      <c r="N3963" s="329">
        <f t="shared" si="246"/>
        <v>171.39011230468759</v>
      </c>
      <c r="T3963" s="331">
        <v>0</v>
      </c>
      <c r="U3963" s="328">
        <f>VLOOKUP(C3963,METADATA!$J$5:$Q$29,IF(E3963="HI",2,IF(E3963="LO",6,10))+IF(T3963=1,2,IF(D3963=7,1,(IF(WEEKDAY(B3963)=1,2,IF(WEEKDAY(B3963)=7,1,0))))))</f>
        <v>3</v>
      </c>
      <c r="V3963" s="328">
        <f>VLOOKUP(C3963,METADATA!$A$5:$H$29,IF(E3963="HI",2,IF(E3963="LO",6,10))+IF(T3963=1,2,IF(D3963=7,1,(IF(WEEKDAY(B3963)=1,2,IF(WEEKDAY(B3963)=7,1,0))))))</f>
        <v>3</v>
      </c>
    </row>
    <row r="3964" spans="2:22">
      <c r="B3964" s="318">
        <f t="shared" si="247"/>
        <v>46278</v>
      </c>
      <c r="C3964" s="312">
        <v>0</v>
      </c>
      <c r="D3964" s="368">
        <f>IFERROR((INDEX(METADATA!$T$2:$T$20,MATCH(B3964,METADATA!$S$2:$S$20,0))),0)</f>
        <v>0</v>
      </c>
      <c r="E3964" s="312" t="str">
        <f t="shared" si="244"/>
        <v>LO</v>
      </c>
      <c r="F3964" s="369">
        <f>VLOOKUP(C3964,METADATA!$A$5:$H$29,IF(E3964="HI",2,IF(E3964="LO",6,10))+IF(D3964=1,2,IF(D3964=7,1,(IF(WEEKDAY(B3964)=1,2,IF(WEEKDAY(B3964)=7,1,0))))))</f>
        <v>3</v>
      </c>
      <c r="G3964" s="369">
        <f>VLOOKUP(C3964,METADATA!$J$5:$Q$29,IF(E3964="HI",2,IF(E3964="LO",6,10))+IF(D3964=1,2,IF(D3964=7,1,(IF(WEEKDAY(B3964)=1,2,IF(WEEKDAY(B3964)=7,1,0))))))</f>
        <v>3</v>
      </c>
      <c r="H3964" s="370">
        <v>13118.349731445313</v>
      </c>
      <c r="I3964" s="370">
        <v>4057.5849914550781</v>
      </c>
      <c r="M3964" s="371">
        <f t="shared" si="245"/>
        <v>13731.536535995992</v>
      </c>
      <c r="N3964" s="329">
        <f t="shared" si="246"/>
        <v>122.08007202148474</v>
      </c>
      <c r="T3964" s="331">
        <v>0</v>
      </c>
      <c r="U3964" s="328">
        <f>VLOOKUP(C3964,METADATA!$J$5:$Q$29,IF(E3964="HI",2,IF(E3964="LO",6,10))+IF(T3964=1,2,IF(D3964=7,1,(IF(WEEKDAY(B3964)=1,2,IF(WEEKDAY(B3964)=7,1,0))))))</f>
        <v>3</v>
      </c>
      <c r="V3964" s="328">
        <f>VLOOKUP(C3964,METADATA!$A$5:$H$29,IF(E3964="HI",2,IF(E3964="LO",6,10))+IF(T3964=1,2,IF(D3964=7,1,(IF(WEEKDAY(B3964)=1,2,IF(WEEKDAY(B3964)=7,1,0))))))</f>
        <v>3</v>
      </c>
    </row>
    <row r="3965" spans="2:22">
      <c r="B3965" s="318">
        <f t="shared" si="247"/>
        <v>46278</v>
      </c>
      <c r="C3965" s="312">
        <v>1</v>
      </c>
      <c r="D3965" s="368">
        <f>IFERROR((INDEX(METADATA!$T$2:$T$20,MATCH(B3965,METADATA!$S$2:$S$20,0))),0)</f>
        <v>0</v>
      </c>
      <c r="E3965" s="312" t="str">
        <f t="shared" si="244"/>
        <v>LO</v>
      </c>
      <c r="F3965" s="369">
        <f>VLOOKUP(C3965,METADATA!$A$5:$H$29,IF(E3965="HI",2,IF(E3965="LO",6,10))+IF(D3965=1,2,IF(D3965=7,1,(IF(WEEKDAY(B3965)=1,2,IF(WEEKDAY(B3965)=7,1,0))))))</f>
        <v>3</v>
      </c>
      <c r="G3965" s="369">
        <f>VLOOKUP(C3965,METADATA!$J$5:$Q$29,IF(E3965="HI",2,IF(E3965="LO",6,10))+IF(D3965=1,2,IF(D3965=7,1,(IF(WEEKDAY(B3965)=1,2,IF(WEEKDAY(B3965)=7,1,0))))))</f>
        <v>3</v>
      </c>
      <c r="H3965" s="370">
        <v>13221.072387695313</v>
      </c>
      <c r="I3965" s="370">
        <v>4014.1049499511719</v>
      </c>
      <c r="M3965" s="371">
        <f t="shared" si="245"/>
        <v>13817.011023730925</v>
      </c>
      <c r="N3965" s="329">
        <f t="shared" si="246"/>
        <v>47.783233642578125</v>
      </c>
      <c r="T3965" s="331">
        <v>0</v>
      </c>
      <c r="U3965" s="328">
        <f>VLOOKUP(C3965,METADATA!$J$5:$Q$29,IF(E3965="HI",2,IF(E3965="LO",6,10))+IF(T3965=1,2,IF(D3965=7,1,(IF(WEEKDAY(B3965)=1,2,IF(WEEKDAY(B3965)=7,1,0))))))</f>
        <v>3</v>
      </c>
      <c r="V3965" s="328">
        <f>VLOOKUP(C3965,METADATA!$A$5:$H$29,IF(E3965="HI",2,IF(E3965="LO",6,10))+IF(T3965=1,2,IF(D3965=7,1,(IF(WEEKDAY(B3965)=1,2,IF(WEEKDAY(B3965)=7,1,0))))))</f>
        <v>3</v>
      </c>
    </row>
    <row r="3966" spans="2:22">
      <c r="B3966" s="318">
        <f t="shared" si="247"/>
        <v>46278</v>
      </c>
      <c r="C3966" s="312">
        <v>2</v>
      </c>
      <c r="D3966" s="368">
        <f>IFERROR((INDEX(METADATA!$T$2:$T$20,MATCH(B3966,METADATA!$S$2:$S$20,0))),0)</f>
        <v>0</v>
      </c>
      <c r="E3966" s="312" t="str">
        <f t="shared" si="244"/>
        <v>LO</v>
      </c>
      <c r="F3966" s="369">
        <f>VLOOKUP(C3966,METADATA!$A$5:$H$29,IF(E3966="HI",2,IF(E3966="LO",6,10))+IF(D3966=1,2,IF(D3966=7,1,(IF(WEEKDAY(B3966)=1,2,IF(WEEKDAY(B3966)=7,1,0))))))</f>
        <v>3</v>
      </c>
      <c r="G3966" s="369">
        <f>VLOOKUP(C3966,METADATA!$J$5:$Q$29,IF(E3966="HI",2,IF(E3966="LO",6,10))+IF(D3966=1,2,IF(D3966=7,1,(IF(WEEKDAY(B3966)=1,2,IF(WEEKDAY(B3966)=7,1,0))))))</f>
        <v>3</v>
      </c>
      <c r="H3966" s="370">
        <v>13060.849853515625</v>
      </c>
      <c r="I3966" s="370">
        <v>3910.9600219726563</v>
      </c>
      <c r="M3966" s="371">
        <f t="shared" si="245"/>
        <v>13633.833180347612</v>
      </c>
      <c r="N3966" s="329">
        <f t="shared" si="246"/>
        <v>0</v>
      </c>
      <c r="T3966" s="331">
        <v>0</v>
      </c>
      <c r="U3966" s="328">
        <f>VLOOKUP(C3966,METADATA!$J$5:$Q$29,IF(E3966="HI",2,IF(E3966="LO",6,10))+IF(T3966=1,2,IF(D3966=7,1,(IF(WEEKDAY(B3966)=1,2,IF(WEEKDAY(B3966)=7,1,0))))))</f>
        <v>3</v>
      </c>
      <c r="V3966" s="328">
        <f>VLOOKUP(C3966,METADATA!$A$5:$H$29,IF(E3966="HI",2,IF(E3966="LO",6,10))+IF(T3966=1,2,IF(D3966=7,1,(IF(WEEKDAY(B3966)=1,2,IF(WEEKDAY(B3966)=7,1,0))))))</f>
        <v>3</v>
      </c>
    </row>
    <row r="3967" spans="2:22">
      <c r="B3967" s="318">
        <f t="shared" si="247"/>
        <v>46278</v>
      </c>
      <c r="C3967" s="312">
        <v>3</v>
      </c>
      <c r="D3967" s="368">
        <f>IFERROR((INDEX(METADATA!$T$2:$T$20,MATCH(B3967,METADATA!$S$2:$S$20,0))),0)</f>
        <v>0</v>
      </c>
      <c r="E3967" s="312" t="str">
        <f t="shared" si="244"/>
        <v>LO</v>
      </c>
      <c r="F3967" s="369">
        <f>VLOOKUP(C3967,METADATA!$A$5:$H$29,IF(E3967="HI",2,IF(E3967="LO",6,10))+IF(D3967=1,2,IF(D3967=7,1,(IF(WEEKDAY(B3967)=1,2,IF(WEEKDAY(B3967)=7,1,0))))))</f>
        <v>3</v>
      </c>
      <c r="G3967" s="369">
        <f>VLOOKUP(C3967,METADATA!$J$5:$Q$29,IF(E3967="HI",2,IF(E3967="LO",6,10))+IF(D3967=1,2,IF(D3967=7,1,(IF(WEEKDAY(B3967)=1,2,IF(WEEKDAY(B3967)=7,1,0))))))</f>
        <v>3</v>
      </c>
      <c r="H3967" s="370">
        <v>12807.800170898438</v>
      </c>
      <c r="I3967" s="370">
        <v>3836.5799865722656</v>
      </c>
      <c r="M3967" s="371">
        <f t="shared" si="245"/>
        <v>13370.081944813684</v>
      </c>
      <c r="N3967" s="329">
        <f t="shared" si="246"/>
        <v>0</v>
      </c>
      <c r="T3967" s="331">
        <v>0</v>
      </c>
      <c r="U3967" s="328">
        <f>VLOOKUP(C3967,METADATA!$J$5:$Q$29,IF(E3967="HI",2,IF(E3967="LO",6,10))+IF(T3967=1,2,IF(D3967=7,1,(IF(WEEKDAY(B3967)=1,2,IF(WEEKDAY(B3967)=7,1,0))))))</f>
        <v>3</v>
      </c>
      <c r="V3967" s="328">
        <f>VLOOKUP(C3967,METADATA!$A$5:$H$29,IF(E3967="HI",2,IF(E3967="LO",6,10))+IF(T3967=1,2,IF(D3967=7,1,(IF(WEEKDAY(B3967)=1,2,IF(WEEKDAY(B3967)=7,1,0))))))</f>
        <v>3</v>
      </c>
    </row>
    <row r="3968" spans="2:22">
      <c r="B3968" s="318">
        <f t="shared" si="247"/>
        <v>46278</v>
      </c>
      <c r="C3968" s="312">
        <v>4</v>
      </c>
      <c r="D3968" s="368">
        <f>IFERROR((INDEX(METADATA!$T$2:$T$20,MATCH(B3968,METADATA!$S$2:$S$20,0))),0)</f>
        <v>0</v>
      </c>
      <c r="E3968" s="312" t="str">
        <f t="shared" si="244"/>
        <v>LO</v>
      </c>
      <c r="F3968" s="369">
        <f>VLOOKUP(C3968,METADATA!$A$5:$H$29,IF(E3968="HI",2,IF(E3968="LO",6,10))+IF(D3968=1,2,IF(D3968=7,1,(IF(WEEKDAY(B3968)=1,2,IF(WEEKDAY(B3968)=7,1,0))))))</f>
        <v>3</v>
      </c>
      <c r="G3968" s="369">
        <f>VLOOKUP(C3968,METADATA!$J$5:$Q$29,IF(E3968="HI",2,IF(E3968="LO",6,10))+IF(D3968=1,2,IF(D3968=7,1,(IF(WEEKDAY(B3968)=1,2,IF(WEEKDAY(B3968)=7,1,0))))))</f>
        <v>3</v>
      </c>
      <c r="H3968" s="370">
        <v>12802.949829101563</v>
      </c>
      <c r="I3968" s="370">
        <v>3773.2500305175781</v>
      </c>
      <c r="M3968" s="371">
        <f t="shared" si="245"/>
        <v>13347.394506767701</v>
      </c>
      <c r="N3968" s="329">
        <f t="shared" si="246"/>
        <v>0</v>
      </c>
      <c r="T3968" s="331">
        <v>0</v>
      </c>
      <c r="U3968" s="328">
        <f>VLOOKUP(C3968,METADATA!$J$5:$Q$29,IF(E3968="HI",2,IF(E3968="LO",6,10))+IF(T3968=1,2,IF(D3968=7,1,(IF(WEEKDAY(B3968)=1,2,IF(WEEKDAY(B3968)=7,1,0))))))</f>
        <v>3</v>
      </c>
      <c r="V3968" s="328">
        <f>VLOOKUP(C3968,METADATA!$A$5:$H$29,IF(E3968="HI",2,IF(E3968="LO",6,10))+IF(T3968=1,2,IF(D3968=7,1,(IF(WEEKDAY(B3968)=1,2,IF(WEEKDAY(B3968)=7,1,0))))))</f>
        <v>3</v>
      </c>
    </row>
    <row r="3969" spans="2:22">
      <c r="B3969" s="318">
        <f t="shared" si="247"/>
        <v>46278</v>
      </c>
      <c r="C3969" s="312">
        <v>5</v>
      </c>
      <c r="D3969" s="368">
        <f>IFERROR((INDEX(METADATA!$T$2:$T$20,MATCH(B3969,METADATA!$S$2:$S$20,0))),0)</f>
        <v>0</v>
      </c>
      <c r="E3969" s="312" t="str">
        <f t="shared" si="244"/>
        <v>LO</v>
      </c>
      <c r="F3969" s="369">
        <f>VLOOKUP(C3969,METADATA!$A$5:$H$29,IF(E3969="HI",2,IF(E3969="LO",6,10))+IF(D3969=1,2,IF(D3969=7,1,(IF(WEEKDAY(B3969)=1,2,IF(WEEKDAY(B3969)=7,1,0))))))</f>
        <v>3</v>
      </c>
      <c r="G3969" s="369">
        <f>VLOOKUP(C3969,METADATA!$J$5:$Q$29,IF(E3969="HI",2,IF(E3969="LO",6,10))+IF(D3969=1,2,IF(D3969=7,1,(IF(WEEKDAY(B3969)=1,2,IF(WEEKDAY(B3969)=7,1,0))))))</f>
        <v>3</v>
      </c>
      <c r="H3969" s="370">
        <v>12786.899658203125</v>
      </c>
      <c r="I3969" s="370">
        <v>3689.0649719238281</v>
      </c>
      <c r="M3969" s="371">
        <f t="shared" si="245"/>
        <v>13308.418509951907</v>
      </c>
      <c r="N3969" s="329">
        <f t="shared" si="246"/>
        <v>0</v>
      </c>
      <c r="T3969" s="331">
        <v>0</v>
      </c>
      <c r="U3969" s="328">
        <f>VLOOKUP(C3969,METADATA!$J$5:$Q$29,IF(E3969="HI",2,IF(E3969="LO",6,10))+IF(T3969=1,2,IF(D3969=7,1,(IF(WEEKDAY(B3969)=1,2,IF(WEEKDAY(B3969)=7,1,0))))))</f>
        <v>3</v>
      </c>
      <c r="V3969" s="328">
        <f>VLOOKUP(C3969,METADATA!$A$5:$H$29,IF(E3969="HI",2,IF(E3969="LO",6,10))+IF(T3969=1,2,IF(D3969=7,1,(IF(WEEKDAY(B3969)=1,2,IF(WEEKDAY(B3969)=7,1,0))))))</f>
        <v>3</v>
      </c>
    </row>
    <row r="3970" spans="2:22">
      <c r="B3970" s="318">
        <f t="shared" si="247"/>
        <v>46278</v>
      </c>
      <c r="C3970" s="312">
        <v>6</v>
      </c>
      <c r="D3970" s="368">
        <f>IFERROR((INDEX(METADATA!$T$2:$T$20,MATCH(B3970,METADATA!$S$2:$S$20,0))),0)</f>
        <v>0</v>
      </c>
      <c r="E3970" s="312" t="str">
        <f t="shared" si="244"/>
        <v>LO</v>
      </c>
      <c r="F3970" s="369">
        <f>VLOOKUP(C3970,METADATA!$A$5:$H$29,IF(E3970="HI",2,IF(E3970="LO",6,10))+IF(D3970=1,2,IF(D3970=7,1,(IF(WEEKDAY(B3970)=1,2,IF(WEEKDAY(B3970)=7,1,0))))))</f>
        <v>3</v>
      </c>
      <c r="G3970" s="369">
        <f>VLOOKUP(C3970,METADATA!$J$5:$Q$29,IF(E3970="HI",2,IF(E3970="LO",6,10))+IF(D3970=1,2,IF(D3970=7,1,(IF(WEEKDAY(B3970)=1,2,IF(WEEKDAY(B3970)=7,1,0))))))</f>
        <v>3</v>
      </c>
      <c r="H3970" s="370">
        <v>12809.249938964844</v>
      </c>
      <c r="I3970" s="370">
        <v>3690.5199584960938</v>
      </c>
      <c r="M3970" s="371">
        <f t="shared" si="245"/>
        <v>13330.297129581502</v>
      </c>
      <c r="N3970" s="329">
        <f t="shared" si="246"/>
        <v>0</v>
      </c>
      <c r="T3970" s="331">
        <v>0</v>
      </c>
      <c r="U3970" s="328">
        <f>VLOOKUP(C3970,METADATA!$J$5:$Q$29,IF(E3970="HI",2,IF(E3970="LO",6,10))+IF(T3970=1,2,IF(D3970=7,1,(IF(WEEKDAY(B3970)=1,2,IF(WEEKDAY(B3970)=7,1,0))))))</f>
        <v>3</v>
      </c>
      <c r="V3970" s="328">
        <f>VLOOKUP(C3970,METADATA!$A$5:$H$29,IF(E3970="HI",2,IF(E3970="LO",6,10))+IF(T3970=1,2,IF(D3970=7,1,(IF(WEEKDAY(B3970)=1,2,IF(WEEKDAY(B3970)=7,1,0))))))</f>
        <v>3</v>
      </c>
    </row>
    <row r="3971" spans="2:22">
      <c r="B3971" s="318">
        <f t="shared" si="247"/>
        <v>46278</v>
      </c>
      <c r="C3971" s="312">
        <v>7</v>
      </c>
      <c r="D3971" s="368">
        <f>IFERROR((INDEX(METADATA!$T$2:$T$20,MATCH(B3971,METADATA!$S$2:$S$20,0))),0)</f>
        <v>0</v>
      </c>
      <c r="E3971" s="312" t="str">
        <f t="shared" si="244"/>
        <v>LO</v>
      </c>
      <c r="F3971" s="369">
        <f>VLOOKUP(C3971,METADATA!$A$5:$H$29,IF(E3971="HI",2,IF(E3971="LO",6,10))+IF(D3971=1,2,IF(D3971=7,1,(IF(WEEKDAY(B3971)=1,2,IF(WEEKDAY(B3971)=7,1,0))))))</f>
        <v>3</v>
      </c>
      <c r="G3971" s="369">
        <f>VLOOKUP(C3971,METADATA!$J$5:$Q$29,IF(E3971="HI",2,IF(E3971="LO",6,10))+IF(D3971=1,2,IF(D3971=7,1,(IF(WEEKDAY(B3971)=1,2,IF(WEEKDAY(B3971)=7,1,0))))))</f>
        <v>3</v>
      </c>
      <c r="H3971" s="370">
        <v>12972.350463867188</v>
      </c>
      <c r="I3971" s="370">
        <v>3871.1250152587891</v>
      </c>
      <c r="M3971" s="371">
        <f t="shared" si="245"/>
        <v>13537.632194780503</v>
      </c>
      <c r="N3971" s="329">
        <f t="shared" si="246"/>
        <v>0</v>
      </c>
      <c r="T3971" s="331">
        <v>0</v>
      </c>
      <c r="U3971" s="328">
        <f>VLOOKUP(C3971,METADATA!$J$5:$Q$29,IF(E3971="HI",2,IF(E3971="LO",6,10))+IF(T3971=1,2,IF(D3971=7,1,(IF(WEEKDAY(B3971)=1,2,IF(WEEKDAY(B3971)=7,1,0))))))</f>
        <v>3</v>
      </c>
      <c r="V3971" s="328">
        <f>VLOOKUP(C3971,METADATA!$A$5:$H$29,IF(E3971="HI",2,IF(E3971="LO",6,10))+IF(T3971=1,2,IF(D3971=7,1,(IF(WEEKDAY(B3971)=1,2,IF(WEEKDAY(B3971)=7,1,0))))))</f>
        <v>3</v>
      </c>
    </row>
    <row r="3972" spans="2:22">
      <c r="B3972" s="318">
        <f t="shared" si="247"/>
        <v>46278</v>
      </c>
      <c r="C3972" s="312">
        <v>8</v>
      </c>
      <c r="D3972" s="368">
        <f>IFERROR((INDEX(METADATA!$T$2:$T$20,MATCH(B3972,METADATA!$S$2:$S$20,0))),0)</f>
        <v>0</v>
      </c>
      <c r="E3972" s="312" t="str">
        <f t="shared" ref="E3972:E4035" si="248">IF(B3972="","",IF(AND(MONTH(B3972)&gt;=MONTH($Z$9),MONTH(B3972)&lt;=MONTH($Z$11)),"HI","LO"))</f>
        <v>LO</v>
      </c>
      <c r="F3972" s="369">
        <f>VLOOKUP(C3972,METADATA!$A$5:$H$29,IF(E3972="HI",2,IF(E3972="LO",6,10))+IF(D3972=1,2,IF(D3972=7,1,(IF(WEEKDAY(B3972)=1,2,IF(WEEKDAY(B3972)=7,1,0))))))</f>
        <v>3</v>
      </c>
      <c r="G3972" s="369">
        <f>VLOOKUP(C3972,METADATA!$J$5:$Q$29,IF(E3972="HI",2,IF(E3972="LO",6,10))+IF(D3972=1,2,IF(D3972=7,1,(IF(WEEKDAY(B3972)=1,2,IF(WEEKDAY(B3972)=7,1,0))))))</f>
        <v>3</v>
      </c>
      <c r="H3972" s="370">
        <v>13133.050170898438</v>
      </c>
      <c r="I3972" s="370">
        <v>3947.0848999023438</v>
      </c>
      <c r="M3972" s="371">
        <f t="shared" ref="M3972:M4035" si="249">SQRT(H3972^2+I3972^2)</f>
        <v>13713.368878520425</v>
      </c>
      <c r="N3972" s="329">
        <f t="shared" ref="N3972:N4035" si="250">IF(H3972=0,0,(IF(I3972-(0.3*H3972)&lt;0,0,(I3972-(0.3*H3972)))))</f>
        <v>7.1698486328127728</v>
      </c>
      <c r="T3972" s="331">
        <v>0</v>
      </c>
      <c r="U3972" s="328">
        <f>VLOOKUP(C3972,METADATA!$J$5:$Q$29,IF(E3972="HI",2,IF(E3972="LO",6,10))+IF(T3972=1,2,IF(D3972=7,1,(IF(WEEKDAY(B3972)=1,2,IF(WEEKDAY(B3972)=7,1,0))))))</f>
        <v>3</v>
      </c>
      <c r="V3972" s="328">
        <f>VLOOKUP(C3972,METADATA!$A$5:$H$29,IF(E3972="HI",2,IF(E3972="LO",6,10))+IF(T3972=1,2,IF(D3972=7,1,(IF(WEEKDAY(B3972)=1,2,IF(WEEKDAY(B3972)=7,1,0))))))</f>
        <v>3</v>
      </c>
    </row>
    <row r="3973" spans="2:22">
      <c r="B3973" s="318">
        <f t="shared" si="247"/>
        <v>46278</v>
      </c>
      <c r="C3973" s="312">
        <v>9</v>
      </c>
      <c r="D3973" s="368">
        <f>IFERROR((INDEX(METADATA!$T$2:$T$20,MATCH(B3973,METADATA!$S$2:$S$20,0))),0)</f>
        <v>0</v>
      </c>
      <c r="E3973" s="312" t="str">
        <f t="shared" si="248"/>
        <v>LO</v>
      </c>
      <c r="F3973" s="369">
        <f>VLOOKUP(C3973,METADATA!$A$5:$H$29,IF(E3973="HI",2,IF(E3973="LO",6,10))+IF(D3973=1,2,IF(D3973=7,1,(IF(WEEKDAY(B3973)=1,2,IF(WEEKDAY(B3973)=7,1,0))))))</f>
        <v>3</v>
      </c>
      <c r="G3973" s="369">
        <f>VLOOKUP(C3973,METADATA!$J$5:$Q$29,IF(E3973="HI",2,IF(E3973="LO",6,10))+IF(D3973=1,2,IF(D3973=7,1,(IF(WEEKDAY(B3973)=1,2,IF(WEEKDAY(B3973)=7,1,0))))))</f>
        <v>3</v>
      </c>
      <c r="H3973" s="370">
        <v>12835.749877929688</v>
      </c>
      <c r="I3973" s="370">
        <v>3766.2450103759766</v>
      </c>
      <c r="M3973" s="371">
        <f t="shared" si="249"/>
        <v>13376.885900946972</v>
      </c>
      <c r="N3973" s="329">
        <f t="shared" si="250"/>
        <v>0</v>
      </c>
      <c r="T3973" s="331">
        <v>0</v>
      </c>
      <c r="U3973" s="328">
        <f>VLOOKUP(C3973,METADATA!$J$5:$Q$29,IF(E3973="HI",2,IF(E3973="LO",6,10))+IF(T3973=1,2,IF(D3973=7,1,(IF(WEEKDAY(B3973)=1,2,IF(WEEKDAY(B3973)=7,1,0))))))</f>
        <v>3</v>
      </c>
      <c r="V3973" s="328">
        <f>VLOOKUP(C3973,METADATA!$A$5:$H$29,IF(E3973="HI",2,IF(E3973="LO",6,10))+IF(T3973=1,2,IF(D3973=7,1,(IF(WEEKDAY(B3973)=1,2,IF(WEEKDAY(B3973)=7,1,0))))))</f>
        <v>3</v>
      </c>
    </row>
    <row r="3974" spans="2:22">
      <c r="B3974" s="318">
        <f t="shared" si="247"/>
        <v>46278</v>
      </c>
      <c r="C3974" s="312">
        <v>10</v>
      </c>
      <c r="D3974" s="368">
        <f>IFERROR((INDEX(METADATA!$T$2:$T$20,MATCH(B3974,METADATA!$S$2:$S$20,0))),0)</f>
        <v>0</v>
      </c>
      <c r="E3974" s="312" t="str">
        <f t="shared" si="248"/>
        <v>LO</v>
      </c>
      <c r="F3974" s="369">
        <f>VLOOKUP(C3974,METADATA!$A$5:$H$29,IF(E3974="HI",2,IF(E3974="LO",6,10))+IF(D3974=1,2,IF(D3974=7,1,(IF(WEEKDAY(B3974)=1,2,IF(WEEKDAY(B3974)=7,1,0))))))</f>
        <v>3</v>
      </c>
      <c r="G3974" s="369">
        <f>VLOOKUP(C3974,METADATA!$J$5:$Q$29,IF(E3974="HI",2,IF(E3974="LO",6,10))+IF(D3974=1,2,IF(D3974=7,1,(IF(WEEKDAY(B3974)=1,2,IF(WEEKDAY(B3974)=7,1,0))))))</f>
        <v>3</v>
      </c>
      <c r="H3974" s="370">
        <v>12792.800109863281</v>
      </c>
      <c r="I3974" s="370">
        <v>3753.4149780273438</v>
      </c>
      <c r="M3974" s="371">
        <f t="shared" si="249"/>
        <v>13332.061305297017</v>
      </c>
      <c r="N3974" s="329">
        <f t="shared" si="250"/>
        <v>0</v>
      </c>
      <c r="T3974" s="331">
        <v>0</v>
      </c>
      <c r="U3974" s="328">
        <f>VLOOKUP(C3974,METADATA!$J$5:$Q$29,IF(E3974="HI",2,IF(E3974="LO",6,10))+IF(T3974=1,2,IF(D3974=7,1,(IF(WEEKDAY(B3974)=1,2,IF(WEEKDAY(B3974)=7,1,0))))))</f>
        <v>3</v>
      </c>
      <c r="V3974" s="328">
        <f>VLOOKUP(C3974,METADATA!$A$5:$H$29,IF(E3974="HI",2,IF(E3974="LO",6,10))+IF(T3974=1,2,IF(D3974=7,1,(IF(WEEKDAY(B3974)=1,2,IF(WEEKDAY(B3974)=7,1,0))))))</f>
        <v>3</v>
      </c>
    </row>
    <row r="3975" spans="2:22">
      <c r="B3975" s="318">
        <f t="shared" si="247"/>
        <v>46278</v>
      </c>
      <c r="C3975" s="312">
        <v>11</v>
      </c>
      <c r="D3975" s="368">
        <f>IFERROR((INDEX(METADATA!$T$2:$T$20,MATCH(B3975,METADATA!$S$2:$S$20,0))),0)</f>
        <v>0</v>
      </c>
      <c r="E3975" s="312" t="str">
        <f t="shared" si="248"/>
        <v>LO</v>
      </c>
      <c r="F3975" s="369">
        <f>VLOOKUP(C3975,METADATA!$A$5:$H$29,IF(E3975="HI",2,IF(E3975="LO",6,10))+IF(D3975=1,2,IF(D3975=7,1,(IF(WEEKDAY(B3975)=1,2,IF(WEEKDAY(B3975)=7,1,0))))))</f>
        <v>3</v>
      </c>
      <c r="G3975" s="369">
        <f>VLOOKUP(C3975,METADATA!$J$5:$Q$29,IF(E3975="HI",2,IF(E3975="LO",6,10))+IF(D3975=1,2,IF(D3975=7,1,(IF(WEEKDAY(B3975)=1,2,IF(WEEKDAY(B3975)=7,1,0))))))</f>
        <v>3</v>
      </c>
      <c r="H3975" s="370">
        <v>12988.049926757813</v>
      </c>
      <c r="I3975" s="370">
        <v>4128.93994140625</v>
      </c>
      <c r="M3975" s="371">
        <f t="shared" si="249"/>
        <v>13628.557735127128</v>
      </c>
      <c r="N3975" s="329">
        <f t="shared" si="250"/>
        <v>232.52496337890625</v>
      </c>
      <c r="T3975" s="331">
        <v>0</v>
      </c>
      <c r="U3975" s="328">
        <f>VLOOKUP(C3975,METADATA!$J$5:$Q$29,IF(E3975="HI",2,IF(E3975="LO",6,10))+IF(T3975=1,2,IF(D3975=7,1,(IF(WEEKDAY(B3975)=1,2,IF(WEEKDAY(B3975)=7,1,0))))))</f>
        <v>3</v>
      </c>
      <c r="V3975" s="328">
        <f>VLOOKUP(C3975,METADATA!$A$5:$H$29,IF(E3975="HI",2,IF(E3975="LO",6,10))+IF(T3975=1,2,IF(D3975=7,1,(IF(WEEKDAY(B3975)=1,2,IF(WEEKDAY(B3975)=7,1,0))))))</f>
        <v>3</v>
      </c>
    </row>
    <row r="3976" spans="2:22">
      <c r="B3976" s="318">
        <f t="shared" si="247"/>
        <v>46278</v>
      </c>
      <c r="C3976" s="312">
        <v>12</v>
      </c>
      <c r="D3976" s="368">
        <f>IFERROR((INDEX(METADATA!$T$2:$T$20,MATCH(B3976,METADATA!$S$2:$S$20,0))),0)</f>
        <v>0</v>
      </c>
      <c r="E3976" s="312" t="str">
        <f t="shared" si="248"/>
        <v>LO</v>
      </c>
      <c r="F3976" s="369">
        <f>VLOOKUP(C3976,METADATA!$A$5:$H$29,IF(E3976="HI",2,IF(E3976="LO",6,10))+IF(D3976=1,2,IF(D3976=7,1,(IF(WEEKDAY(B3976)=1,2,IF(WEEKDAY(B3976)=7,1,0))))))</f>
        <v>3</v>
      </c>
      <c r="G3976" s="369">
        <f>VLOOKUP(C3976,METADATA!$J$5:$Q$29,IF(E3976="HI",2,IF(E3976="LO",6,10))+IF(D3976=1,2,IF(D3976=7,1,(IF(WEEKDAY(B3976)=1,2,IF(WEEKDAY(B3976)=7,1,0))))))</f>
        <v>3</v>
      </c>
      <c r="H3976" s="370">
        <v>12819.249694824219</v>
      </c>
      <c r="I3976" s="370">
        <v>4124.3650207519531</v>
      </c>
      <c r="M3976" s="371">
        <f t="shared" si="249"/>
        <v>13466.385913178527</v>
      </c>
      <c r="N3976" s="329">
        <f t="shared" si="250"/>
        <v>278.59011230468786</v>
      </c>
      <c r="T3976" s="331">
        <v>0</v>
      </c>
      <c r="U3976" s="328">
        <f>VLOOKUP(C3976,METADATA!$J$5:$Q$29,IF(E3976="HI",2,IF(E3976="LO",6,10))+IF(T3976=1,2,IF(D3976=7,1,(IF(WEEKDAY(B3976)=1,2,IF(WEEKDAY(B3976)=7,1,0))))))</f>
        <v>3</v>
      </c>
      <c r="V3976" s="328">
        <f>VLOOKUP(C3976,METADATA!$A$5:$H$29,IF(E3976="HI",2,IF(E3976="LO",6,10))+IF(T3976=1,2,IF(D3976=7,1,(IF(WEEKDAY(B3976)=1,2,IF(WEEKDAY(B3976)=7,1,0))))))</f>
        <v>3</v>
      </c>
    </row>
    <row r="3977" spans="2:22">
      <c r="B3977" s="318">
        <f t="shared" si="247"/>
        <v>46278</v>
      </c>
      <c r="C3977" s="312">
        <v>13</v>
      </c>
      <c r="D3977" s="368">
        <f>IFERROR((INDEX(METADATA!$T$2:$T$20,MATCH(B3977,METADATA!$S$2:$S$20,0))),0)</f>
        <v>0</v>
      </c>
      <c r="E3977" s="312" t="str">
        <f t="shared" si="248"/>
        <v>LO</v>
      </c>
      <c r="F3977" s="369">
        <f>VLOOKUP(C3977,METADATA!$A$5:$H$29,IF(E3977="HI",2,IF(E3977="LO",6,10))+IF(D3977=1,2,IF(D3977=7,1,(IF(WEEKDAY(B3977)=1,2,IF(WEEKDAY(B3977)=7,1,0))))))</f>
        <v>3</v>
      </c>
      <c r="G3977" s="369">
        <f>VLOOKUP(C3977,METADATA!$J$5:$Q$29,IF(E3977="HI",2,IF(E3977="LO",6,10))+IF(D3977=1,2,IF(D3977=7,1,(IF(WEEKDAY(B3977)=1,2,IF(WEEKDAY(B3977)=7,1,0))))))</f>
        <v>3</v>
      </c>
      <c r="H3977" s="370">
        <v>12913.474914550781</v>
      </c>
      <c r="I3977" s="370">
        <v>4193.8850402832031</v>
      </c>
      <c r="M3977" s="371">
        <f t="shared" si="249"/>
        <v>13577.426343009325</v>
      </c>
      <c r="N3977" s="329">
        <f t="shared" si="250"/>
        <v>319.84256591796884</v>
      </c>
      <c r="T3977" s="331">
        <v>0</v>
      </c>
      <c r="U3977" s="328">
        <f>VLOOKUP(C3977,METADATA!$J$5:$Q$29,IF(E3977="HI",2,IF(E3977="LO",6,10))+IF(T3977=1,2,IF(D3977=7,1,(IF(WEEKDAY(B3977)=1,2,IF(WEEKDAY(B3977)=7,1,0))))))</f>
        <v>3</v>
      </c>
      <c r="V3977" s="328">
        <f>VLOOKUP(C3977,METADATA!$A$5:$H$29,IF(E3977="HI",2,IF(E3977="LO",6,10))+IF(T3977=1,2,IF(D3977=7,1,(IF(WEEKDAY(B3977)=1,2,IF(WEEKDAY(B3977)=7,1,0))))))</f>
        <v>3</v>
      </c>
    </row>
    <row r="3978" spans="2:22">
      <c r="B3978" s="318">
        <f t="shared" si="247"/>
        <v>46278</v>
      </c>
      <c r="C3978" s="312">
        <v>14</v>
      </c>
      <c r="D3978" s="368">
        <f>IFERROR((INDEX(METADATA!$T$2:$T$20,MATCH(B3978,METADATA!$S$2:$S$20,0))),0)</f>
        <v>0</v>
      </c>
      <c r="E3978" s="312" t="str">
        <f t="shared" si="248"/>
        <v>LO</v>
      </c>
      <c r="F3978" s="369">
        <f>VLOOKUP(C3978,METADATA!$A$5:$H$29,IF(E3978="HI",2,IF(E3978="LO",6,10))+IF(D3978=1,2,IF(D3978=7,1,(IF(WEEKDAY(B3978)=1,2,IF(WEEKDAY(B3978)=7,1,0))))))</f>
        <v>3</v>
      </c>
      <c r="G3978" s="369">
        <f>VLOOKUP(C3978,METADATA!$J$5:$Q$29,IF(E3978="HI",2,IF(E3978="LO",6,10))+IF(D3978=1,2,IF(D3978=7,1,(IF(WEEKDAY(B3978)=1,2,IF(WEEKDAY(B3978)=7,1,0))))))</f>
        <v>3</v>
      </c>
      <c r="H3978" s="370">
        <v>13092.000305175781</v>
      </c>
      <c r="I3978" s="370">
        <v>4236.3800048828125</v>
      </c>
      <c r="M3978" s="371">
        <f t="shared" si="249"/>
        <v>13760.355647166016</v>
      </c>
      <c r="N3978" s="329">
        <f t="shared" si="250"/>
        <v>308.77991333007822</v>
      </c>
      <c r="T3978" s="331">
        <v>0</v>
      </c>
      <c r="U3978" s="328">
        <f>VLOOKUP(C3978,METADATA!$J$5:$Q$29,IF(E3978="HI",2,IF(E3978="LO",6,10))+IF(T3978=1,2,IF(D3978=7,1,(IF(WEEKDAY(B3978)=1,2,IF(WEEKDAY(B3978)=7,1,0))))))</f>
        <v>3</v>
      </c>
      <c r="V3978" s="328">
        <f>VLOOKUP(C3978,METADATA!$A$5:$H$29,IF(E3978="HI",2,IF(E3978="LO",6,10))+IF(T3978=1,2,IF(D3978=7,1,(IF(WEEKDAY(B3978)=1,2,IF(WEEKDAY(B3978)=7,1,0))))))</f>
        <v>3</v>
      </c>
    </row>
    <row r="3979" spans="2:22">
      <c r="B3979" s="318">
        <f t="shared" si="247"/>
        <v>46278</v>
      </c>
      <c r="C3979" s="312">
        <v>15</v>
      </c>
      <c r="D3979" s="368">
        <f>IFERROR((INDEX(METADATA!$T$2:$T$20,MATCH(B3979,METADATA!$S$2:$S$20,0))),0)</f>
        <v>0</v>
      </c>
      <c r="E3979" s="312" t="str">
        <f t="shared" si="248"/>
        <v>LO</v>
      </c>
      <c r="F3979" s="369">
        <f>VLOOKUP(C3979,METADATA!$A$5:$H$29,IF(E3979="HI",2,IF(E3979="LO",6,10))+IF(D3979=1,2,IF(D3979=7,1,(IF(WEEKDAY(B3979)=1,2,IF(WEEKDAY(B3979)=7,1,0))))))</f>
        <v>3</v>
      </c>
      <c r="G3979" s="369">
        <f>VLOOKUP(C3979,METADATA!$J$5:$Q$29,IF(E3979="HI",2,IF(E3979="LO",6,10))+IF(D3979=1,2,IF(D3979=7,1,(IF(WEEKDAY(B3979)=1,2,IF(WEEKDAY(B3979)=7,1,0))))))</f>
        <v>3</v>
      </c>
      <c r="H3979" s="370">
        <v>13015.225158691406</v>
      </c>
      <c r="I3979" s="370">
        <v>4369.2049560546875</v>
      </c>
      <c r="M3979" s="371">
        <f t="shared" si="249"/>
        <v>13729.02173788965</v>
      </c>
      <c r="N3979" s="329">
        <f t="shared" si="250"/>
        <v>464.6374084472659</v>
      </c>
      <c r="T3979" s="331">
        <v>0</v>
      </c>
      <c r="U3979" s="328">
        <f>VLOOKUP(C3979,METADATA!$J$5:$Q$29,IF(E3979="HI",2,IF(E3979="LO",6,10))+IF(T3979=1,2,IF(D3979=7,1,(IF(WEEKDAY(B3979)=1,2,IF(WEEKDAY(B3979)=7,1,0))))))</f>
        <v>3</v>
      </c>
      <c r="V3979" s="328">
        <f>VLOOKUP(C3979,METADATA!$A$5:$H$29,IF(E3979="HI",2,IF(E3979="LO",6,10))+IF(T3979=1,2,IF(D3979=7,1,(IF(WEEKDAY(B3979)=1,2,IF(WEEKDAY(B3979)=7,1,0))))))</f>
        <v>3</v>
      </c>
    </row>
    <row r="3980" spans="2:22">
      <c r="B3980" s="318">
        <f t="shared" si="247"/>
        <v>46278</v>
      </c>
      <c r="C3980" s="312">
        <v>16</v>
      </c>
      <c r="D3980" s="368">
        <f>IFERROR((INDEX(METADATA!$T$2:$T$20,MATCH(B3980,METADATA!$S$2:$S$20,0))),0)</f>
        <v>0</v>
      </c>
      <c r="E3980" s="312" t="str">
        <f t="shared" si="248"/>
        <v>LO</v>
      </c>
      <c r="F3980" s="369">
        <f>VLOOKUP(C3980,METADATA!$A$5:$H$29,IF(E3980="HI",2,IF(E3980="LO",6,10))+IF(D3980=1,2,IF(D3980=7,1,(IF(WEEKDAY(B3980)=1,2,IF(WEEKDAY(B3980)=7,1,0))))))</f>
        <v>3</v>
      </c>
      <c r="G3980" s="369">
        <f>VLOOKUP(C3980,METADATA!$J$5:$Q$29,IF(E3980="HI",2,IF(E3980="LO",6,10))+IF(D3980=1,2,IF(D3980=7,1,(IF(WEEKDAY(B3980)=1,2,IF(WEEKDAY(B3980)=7,1,0))))))</f>
        <v>3</v>
      </c>
      <c r="H3980" s="370">
        <v>12853.499938964844</v>
      </c>
      <c r="I3980" s="370">
        <v>4247.6000061035156</v>
      </c>
      <c r="M3980" s="371">
        <f t="shared" si="249"/>
        <v>13537.155036890868</v>
      </c>
      <c r="N3980" s="329">
        <f t="shared" si="250"/>
        <v>391.55002441406259</v>
      </c>
      <c r="T3980" s="331">
        <v>0</v>
      </c>
      <c r="U3980" s="328">
        <f>VLOOKUP(C3980,METADATA!$J$5:$Q$29,IF(E3980="HI",2,IF(E3980="LO",6,10))+IF(T3980=1,2,IF(D3980=7,1,(IF(WEEKDAY(B3980)=1,2,IF(WEEKDAY(B3980)=7,1,0))))))</f>
        <v>3</v>
      </c>
      <c r="V3980" s="328">
        <f>VLOOKUP(C3980,METADATA!$A$5:$H$29,IF(E3980="HI",2,IF(E3980="LO",6,10))+IF(T3980=1,2,IF(D3980=7,1,(IF(WEEKDAY(B3980)=1,2,IF(WEEKDAY(B3980)=7,1,0))))))</f>
        <v>3</v>
      </c>
    </row>
    <row r="3981" spans="2:22">
      <c r="B3981" s="318">
        <f t="shared" si="247"/>
        <v>46278</v>
      </c>
      <c r="C3981" s="312">
        <v>17</v>
      </c>
      <c r="D3981" s="368">
        <f>IFERROR((INDEX(METADATA!$T$2:$T$20,MATCH(B3981,METADATA!$S$2:$S$20,0))),0)</f>
        <v>0</v>
      </c>
      <c r="E3981" s="312" t="str">
        <f t="shared" si="248"/>
        <v>LO</v>
      </c>
      <c r="F3981" s="369">
        <f>VLOOKUP(C3981,METADATA!$A$5:$H$29,IF(E3981="HI",2,IF(E3981="LO",6,10))+IF(D3981=1,2,IF(D3981=7,1,(IF(WEEKDAY(B3981)=1,2,IF(WEEKDAY(B3981)=7,1,0))))))</f>
        <v>3</v>
      </c>
      <c r="G3981" s="369">
        <f>VLOOKUP(C3981,METADATA!$J$5:$Q$29,IF(E3981="HI",2,IF(E3981="LO",6,10))+IF(D3981=1,2,IF(D3981=7,1,(IF(WEEKDAY(B3981)=1,2,IF(WEEKDAY(B3981)=7,1,0))))))</f>
        <v>3</v>
      </c>
      <c r="H3981" s="370">
        <v>12945.77490234375</v>
      </c>
      <c r="I3981" s="370">
        <v>3995.0100402832031</v>
      </c>
      <c r="M3981" s="371">
        <f t="shared" si="249"/>
        <v>13548.18043296283</v>
      </c>
      <c r="N3981" s="329">
        <f t="shared" si="250"/>
        <v>111.27756958007831</v>
      </c>
      <c r="T3981" s="331">
        <v>0</v>
      </c>
      <c r="U3981" s="328">
        <f>VLOOKUP(C3981,METADATA!$J$5:$Q$29,IF(E3981="HI",2,IF(E3981="LO",6,10))+IF(T3981=1,2,IF(D3981=7,1,(IF(WEEKDAY(B3981)=1,2,IF(WEEKDAY(B3981)=7,1,0))))))</f>
        <v>3</v>
      </c>
      <c r="V3981" s="328">
        <f>VLOOKUP(C3981,METADATA!$A$5:$H$29,IF(E3981="HI",2,IF(E3981="LO",6,10))+IF(T3981=1,2,IF(D3981=7,1,(IF(WEEKDAY(B3981)=1,2,IF(WEEKDAY(B3981)=7,1,0))))))</f>
        <v>3</v>
      </c>
    </row>
    <row r="3982" spans="2:22">
      <c r="B3982" s="318">
        <f t="shared" si="247"/>
        <v>46278</v>
      </c>
      <c r="C3982" s="312">
        <v>18</v>
      </c>
      <c r="D3982" s="368">
        <f>IFERROR((INDEX(METADATA!$T$2:$T$20,MATCH(B3982,METADATA!$S$2:$S$20,0))),0)</f>
        <v>0</v>
      </c>
      <c r="E3982" s="312" t="str">
        <f t="shared" si="248"/>
        <v>LO</v>
      </c>
      <c r="F3982" s="369">
        <f>VLOOKUP(C3982,METADATA!$A$5:$H$29,IF(E3982="HI",2,IF(E3982="LO",6,10))+IF(D3982=1,2,IF(D3982=7,1,(IF(WEEKDAY(B3982)=1,2,IF(WEEKDAY(B3982)=7,1,0))))))</f>
        <v>2</v>
      </c>
      <c r="G3982" s="369">
        <f>VLOOKUP(C3982,METADATA!$J$5:$Q$29,IF(E3982="HI",2,IF(E3982="LO",6,10))+IF(D3982=1,2,IF(D3982=7,1,(IF(WEEKDAY(B3982)=1,2,IF(WEEKDAY(B3982)=7,1,0))))))</f>
        <v>2</v>
      </c>
      <c r="H3982" s="370">
        <v>12649.225219726563</v>
      </c>
      <c r="I3982" s="370">
        <v>3747.125</v>
      </c>
      <c r="M3982" s="371">
        <f t="shared" si="249"/>
        <v>13192.567772234164</v>
      </c>
      <c r="N3982" s="329">
        <f t="shared" si="250"/>
        <v>0</v>
      </c>
      <c r="T3982" s="331">
        <v>0</v>
      </c>
      <c r="U3982" s="328">
        <f>VLOOKUP(C3982,METADATA!$J$5:$Q$29,IF(E3982="HI",2,IF(E3982="LO",6,10))+IF(T3982=1,2,IF(D3982=7,1,(IF(WEEKDAY(B3982)=1,2,IF(WEEKDAY(B3982)=7,1,0))))))</f>
        <v>2</v>
      </c>
      <c r="V3982" s="328">
        <f>VLOOKUP(C3982,METADATA!$A$5:$H$29,IF(E3982="HI",2,IF(E3982="LO",6,10))+IF(T3982=1,2,IF(D3982=7,1,(IF(WEEKDAY(B3982)=1,2,IF(WEEKDAY(B3982)=7,1,0))))))</f>
        <v>2</v>
      </c>
    </row>
    <row r="3983" spans="2:22">
      <c r="B3983" s="318">
        <f t="shared" si="247"/>
        <v>46278</v>
      </c>
      <c r="C3983" s="312">
        <v>19</v>
      </c>
      <c r="D3983" s="368">
        <f>IFERROR((INDEX(METADATA!$T$2:$T$20,MATCH(B3983,METADATA!$S$2:$S$20,0))),0)</f>
        <v>0</v>
      </c>
      <c r="E3983" s="312" t="str">
        <f t="shared" si="248"/>
        <v>LO</v>
      </c>
      <c r="F3983" s="369">
        <f>VLOOKUP(C3983,METADATA!$A$5:$H$29,IF(E3983="HI",2,IF(E3983="LO",6,10))+IF(D3983=1,2,IF(D3983=7,1,(IF(WEEKDAY(B3983)=1,2,IF(WEEKDAY(B3983)=7,1,0))))))</f>
        <v>2</v>
      </c>
      <c r="G3983" s="369">
        <f>VLOOKUP(C3983,METADATA!$J$5:$Q$29,IF(E3983="HI",2,IF(E3983="LO",6,10))+IF(D3983=1,2,IF(D3983=7,1,(IF(WEEKDAY(B3983)=1,2,IF(WEEKDAY(B3983)=7,1,0))))))</f>
        <v>2</v>
      </c>
      <c r="H3983" s="370">
        <v>12956.350402832031</v>
      </c>
      <c r="I3983" s="370">
        <v>3910.6798400878906</v>
      </c>
      <c r="M3983" s="371">
        <f t="shared" si="249"/>
        <v>13533.677717924111</v>
      </c>
      <c r="N3983" s="329">
        <f t="shared" si="250"/>
        <v>23.77471923828125</v>
      </c>
      <c r="T3983" s="331">
        <v>0</v>
      </c>
      <c r="U3983" s="328">
        <f>VLOOKUP(C3983,METADATA!$J$5:$Q$29,IF(E3983="HI",2,IF(E3983="LO",6,10))+IF(T3983=1,2,IF(D3983=7,1,(IF(WEEKDAY(B3983)=1,2,IF(WEEKDAY(B3983)=7,1,0))))))</f>
        <v>2</v>
      </c>
      <c r="V3983" s="328">
        <f>VLOOKUP(C3983,METADATA!$A$5:$H$29,IF(E3983="HI",2,IF(E3983="LO",6,10))+IF(T3983=1,2,IF(D3983=7,1,(IF(WEEKDAY(B3983)=1,2,IF(WEEKDAY(B3983)=7,1,0))))))</f>
        <v>2</v>
      </c>
    </row>
    <row r="3984" spans="2:22">
      <c r="B3984" s="318">
        <f t="shared" si="247"/>
        <v>46278</v>
      </c>
      <c r="C3984" s="312">
        <v>20</v>
      </c>
      <c r="D3984" s="368">
        <f>IFERROR((INDEX(METADATA!$T$2:$T$20,MATCH(B3984,METADATA!$S$2:$S$20,0))),0)</f>
        <v>0</v>
      </c>
      <c r="E3984" s="312" t="str">
        <f t="shared" si="248"/>
        <v>LO</v>
      </c>
      <c r="F3984" s="369">
        <f>VLOOKUP(C3984,METADATA!$A$5:$H$29,IF(E3984="HI",2,IF(E3984="LO",6,10))+IF(D3984=1,2,IF(D3984=7,1,(IF(WEEKDAY(B3984)=1,2,IF(WEEKDAY(B3984)=7,1,0))))))</f>
        <v>3</v>
      </c>
      <c r="G3984" s="369">
        <f>VLOOKUP(C3984,METADATA!$J$5:$Q$29,IF(E3984="HI",2,IF(E3984="LO",6,10))+IF(D3984=1,2,IF(D3984=7,1,(IF(WEEKDAY(B3984)=1,2,IF(WEEKDAY(B3984)=7,1,0))))))</f>
        <v>3</v>
      </c>
      <c r="H3984" s="370">
        <v>12970.0498046875</v>
      </c>
      <c r="I3984" s="370">
        <v>4012.7950439453125</v>
      </c>
      <c r="M3984" s="371">
        <f t="shared" si="249"/>
        <v>13576.623880802852</v>
      </c>
      <c r="N3984" s="329">
        <f t="shared" si="250"/>
        <v>121.78010253906268</v>
      </c>
      <c r="T3984" s="331">
        <v>0</v>
      </c>
      <c r="U3984" s="328">
        <f>VLOOKUP(C3984,METADATA!$J$5:$Q$29,IF(E3984="HI",2,IF(E3984="LO",6,10))+IF(T3984=1,2,IF(D3984=7,1,(IF(WEEKDAY(B3984)=1,2,IF(WEEKDAY(B3984)=7,1,0))))))</f>
        <v>3</v>
      </c>
      <c r="V3984" s="328">
        <f>VLOOKUP(C3984,METADATA!$A$5:$H$29,IF(E3984="HI",2,IF(E3984="LO",6,10))+IF(T3984=1,2,IF(D3984=7,1,(IF(WEEKDAY(B3984)=1,2,IF(WEEKDAY(B3984)=7,1,0))))))</f>
        <v>3</v>
      </c>
    </row>
    <row r="3985" spans="2:22">
      <c r="B3985" s="318">
        <f t="shared" si="247"/>
        <v>46278</v>
      </c>
      <c r="C3985" s="312">
        <v>21</v>
      </c>
      <c r="D3985" s="368">
        <f>IFERROR((INDEX(METADATA!$T$2:$T$20,MATCH(B3985,METADATA!$S$2:$S$20,0))),0)</f>
        <v>0</v>
      </c>
      <c r="E3985" s="312" t="str">
        <f t="shared" si="248"/>
        <v>LO</v>
      </c>
      <c r="F3985" s="369">
        <f>VLOOKUP(C3985,METADATA!$A$5:$H$29,IF(E3985="HI",2,IF(E3985="LO",6,10))+IF(D3985=1,2,IF(D3985=7,1,(IF(WEEKDAY(B3985)=1,2,IF(WEEKDAY(B3985)=7,1,0))))))</f>
        <v>3</v>
      </c>
      <c r="G3985" s="369">
        <f>VLOOKUP(C3985,METADATA!$J$5:$Q$29,IF(E3985="HI",2,IF(E3985="LO",6,10))+IF(D3985=1,2,IF(D3985=7,1,(IF(WEEKDAY(B3985)=1,2,IF(WEEKDAY(B3985)=7,1,0))))))</f>
        <v>3</v>
      </c>
      <c r="H3985" s="370">
        <v>13052.725158691406</v>
      </c>
      <c r="I3985" s="370">
        <v>4122.9299621582031</v>
      </c>
      <c r="M3985" s="371">
        <f t="shared" si="249"/>
        <v>13688.39601783925</v>
      </c>
      <c r="N3985" s="329">
        <f t="shared" si="250"/>
        <v>207.11241455078152</v>
      </c>
      <c r="T3985" s="331">
        <v>0</v>
      </c>
      <c r="U3985" s="328">
        <f>VLOOKUP(C3985,METADATA!$J$5:$Q$29,IF(E3985="HI",2,IF(E3985="LO",6,10))+IF(T3985=1,2,IF(D3985=7,1,(IF(WEEKDAY(B3985)=1,2,IF(WEEKDAY(B3985)=7,1,0))))))</f>
        <v>3</v>
      </c>
      <c r="V3985" s="328">
        <f>VLOOKUP(C3985,METADATA!$A$5:$H$29,IF(E3985="HI",2,IF(E3985="LO",6,10))+IF(T3985=1,2,IF(D3985=7,1,(IF(WEEKDAY(B3985)=1,2,IF(WEEKDAY(B3985)=7,1,0))))))</f>
        <v>3</v>
      </c>
    </row>
    <row r="3986" spans="2:22">
      <c r="B3986" s="318">
        <f t="shared" si="247"/>
        <v>46278</v>
      </c>
      <c r="C3986" s="312">
        <v>22</v>
      </c>
      <c r="D3986" s="368">
        <f>IFERROR((INDEX(METADATA!$T$2:$T$20,MATCH(B3986,METADATA!$S$2:$S$20,0))),0)</f>
        <v>0</v>
      </c>
      <c r="E3986" s="312" t="str">
        <f t="shared" si="248"/>
        <v>LO</v>
      </c>
      <c r="F3986" s="369">
        <f>VLOOKUP(C3986,METADATA!$A$5:$H$29,IF(E3986="HI",2,IF(E3986="LO",6,10))+IF(D3986=1,2,IF(D3986=7,1,(IF(WEEKDAY(B3986)=1,2,IF(WEEKDAY(B3986)=7,1,0))))))</f>
        <v>3</v>
      </c>
      <c r="G3986" s="369">
        <f>VLOOKUP(C3986,METADATA!$J$5:$Q$29,IF(E3986="HI",2,IF(E3986="LO",6,10))+IF(D3986=1,2,IF(D3986=7,1,(IF(WEEKDAY(B3986)=1,2,IF(WEEKDAY(B3986)=7,1,0))))))</f>
        <v>3</v>
      </c>
      <c r="H3986" s="370">
        <v>12105.199951171875</v>
      </c>
      <c r="I3986" s="370">
        <v>3976.4349517822266</v>
      </c>
      <c r="M3986" s="371">
        <f t="shared" si="249"/>
        <v>12741.581565237766</v>
      </c>
      <c r="N3986" s="329">
        <f t="shared" si="250"/>
        <v>344.87496643066424</v>
      </c>
      <c r="T3986" s="331">
        <v>0</v>
      </c>
      <c r="U3986" s="328">
        <f>VLOOKUP(C3986,METADATA!$J$5:$Q$29,IF(E3986="HI",2,IF(E3986="LO",6,10))+IF(T3986=1,2,IF(D3986=7,1,(IF(WEEKDAY(B3986)=1,2,IF(WEEKDAY(B3986)=7,1,0))))))</f>
        <v>3</v>
      </c>
      <c r="V3986" s="328">
        <f>VLOOKUP(C3986,METADATA!$A$5:$H$29,IF(E3986="HI",2,IF(E3986="LO",6,10))+IF(T3986=1,2,IF(D3986=7,1,(IF(WEEKDAY(B3986)=1,2,IF(WEEKDAY(B3986)=7,1,0))))))</f>
        <v>3</v>
      </c>
    </row>
    <row r="3987" spans="2:22">
      <c r="B3987" s="318">
        <f t="shared" si="247"/>
        <v>46278</v>
      </c>
      <c r="C3987" s="312">
        <v>23</v>
      </c>
      <c r="D3987" s="368">
        <f>IFERROR((INDEX(METADATA!$T$2:$T$20,MATCH(B3987,METADATA!$S$2:$S$20,0))),0)</f>
        <v>0</v>
      </c>
      <c r="E3987" s="312" t="str">
        <f t="shared" si="248"/>
        <v>LO</v>
      </c>
      <c r="F3987" s="369">
        <f>VLOOKUP(C3987,METADATA!$A$5:$H$29,IF(E3987="HI",2,IF(E3987="LO",6,10))+IF(D3987=1,2,IF(D3987=7,1,(IF(WEEKDAY(B3987)=1,2,IF(WEEKDAY(B3987)=7,1,0))))))</f>
        <v>3</v>
      </c>
      <c r="G3987" s="369">
        <f>VLOOKUP(C3987,METADATA!$J$5:$Q$29,IF(E3987="HI",2,IF(E3987="LO",6,10))+IF(D3987=1,2,IF(D3987=7,1,(IF(WEEKDAY(B3987)=1,2,IF(WEEKDAY(B3987)=7,1,0))))))</f>
        <v>3</v>
      </c>
      <c r="H3987" s="370">
        <v>6830.1751708984375</v>
      </c>
      <c r="I3987" s="370">
        <v>2402.1724853515625</v>
      </c>
      <c r="M3987" s="371">
        <f t="shared" si="249"/>
        <v>7240.2849056192263</v>
      </c>
      <c r="N3987" s="329">
        <f t="shared" si="250"/>
        <v>353.11993408203125</v>
      </c>
      <c r="T3987" s="331">
        <v>0</v>
      </c>
      <c r="U3987" s="328">
        <f>VLOOKUP(C3987,METADATA!$J$5:$Q$29,IF(E3987="HI",2,IF(E3987="LO",6,10))+IF(T3987=1,2,IF(D3987=7,1,(IF(WEEKDAY(B3987)=1,2,IF(WEEKDAY(B3987)=7,1,0))))))</f>
        <v>3</v>
      </c>
      <c r="V3987" s="328">
        <f>VLOOKUP(C3987,METADATA!$A$5:$H$29,IF(E3987="HI",2,IF(E3987="LO",6,10))+IF(T3987=1,2,IF(D3987=7,1,(IF(WEEKDAY(B3987)=1,2,IF(WEEKDAY(B3987)=7,1,0))))))</f>
        <v>3</v>
      </c>
    </row>
    <row r="3988" spans="2:22">
      <c r="B3988" s="318">
        <f t="shared" si="247"/>
        <v>46279</v>
      </c>
      <c r="C3988" s="312">
        <v>0</v>
      </c>
      <c r="D3988" s="368">
        <f>IFERROR((INDEX(METADATA!$T$2:$T$20,MATCH(B3988,METADATA!$S$2:$S$20,0))),0)</f>
        <v>0</v>
      </c>
      <c r="E3988" s="312" t="str">
        <f t="shared" si="248"/>
        <v>LO</v>
      </c>
      <c r="F3988" s="369">
        <f>VLOOKUP(C3988,METADATA!$A$5:$H$29,IF(E3988="HI",2,IF(E3988="LO",6,10))+IF(D3988=1,2,IF(D3988=7,1,(IF(WEEKDAY(B3988)=1,2,IF(WEEKDAY(B3988)=7,1,0))))))</f>
        <v>3</v>
      </c>
      <c r="G3988" s="369">
        <f>VLOOKUP(C3988,METADATA!$J$5:$Q$29,IF(E3988="HI",2,IF(E3988="LO",6,10))+IF(D3988=1,2,IF(D3988=7,1,(IF(WEEKDAY(B3988)=1,2,IF(WEEKDAY(B3988)=7,1,0))))))</f>
        <v>3</v>
      </c>
      <c r="H3988" s="370">
        <v>5561.5599365234375</v>
      </c>
      <c r="I3988" s="370">
        <v>1732.3374938964844</v>
      </c>
      <c r="M3988" s="371">
        <f t="shared" si="249"/>
        <v>5825.1130564395171</v>
      </c>
      <c r="N3988" s="329">
        <f t="shared" si="250"/>
        <v>63.869512939453216</v>
      </c>
      <c r="T3988" s="331">
        <v>0</v>
      </c>
      <c r="U3988" s="328">
        <f>VLOOKUP(C3988,METADATA!$J$5:$Q$29,IF(E3988="HI",2,IF(E3988="LO",6,10))+IF(T3988=1,2,IF(D3988=7,1,(IF(WEEKDAY(B3988)=1,2,IF(WEEKDAY(B3988)=7,1,0))))))</f>
        <v>3</v>
      </c>
      <c r="V3988" s="328">
        <f>VLOOKUP(C3988,METADATA!$A$5:$H$29,IF(E3988="HI",2,IF(E3988="LO",6,10))+IF(T3988=1,2,IF(D3988=7,1,(IF(WEEKDAY(B3988)=1,2,IF(WEEKDAY(B3988)=7,1,0))))))</f>
        <v>3</v>
      </c>
    </row>
    <row r="3989" spans="2:22">
      <c r="B3989" s="318">
        <f t="shared" si="247"/>
        <v>46279</v>
      </c>
      <c r="C3989" s="312">
        <v>1</v>
      </c>
      <c r="D3989" s="368">
        <f>IFERROR((INDEX(METADATA!$T$2:$T$20,MATCH(B3989,METADATA!$S$2:$S$20,0))),0)</f>
        <v>0</v>
      </c>
      <c r="E3989" s="312" t="str">
        <f t="shared" si="248"/>
        <v>LO</v>
      </c>
      <c r="F3989" s="369">
        <f>VLOOKUP(C3989,METADATA!$A$5:$H$29,IF(E3989="HI",2,IF(E3989="LO",6,10))+IF(D3989=1,2,IF(D3989=7,1,(IF(WEEKDAY(B3989)=1,2,IF(WEEKDAY(B3989)=7,1,0))))))</f>
        <v>3</v>
      </c>
      <c r="G3989" s="369">
        <f>VLOOKUP(C3989,METADATA!$J$5:$Q$29,IF(E3989="HI",2,IF(E3989="LO",6,10))+IF(D3989=1,2,IF(D3989=7,1,(IF(WEEKDAY(B3989)=1,2,IF(WEEKDAY(B3989)=7,1,0))))))</f>
        <v>3</v>
      </c>
      <c r="H3989" s="370">
        <v>5473.6726379394531</v>
      </c>
      <c r="I3989" s="370">
        <v>1664.5649719238281</v>
      </c>
      <c r="M3989" s="371">
        <f t="shared" si="249"/>
        <v>5721.1772121725808</v>
      </c>
      <c r="N3989" s="329">
        <f t="shared" si="250"/>
        <v>22.463180541992188</v>
      </c>
      <c r="T3989" s="331">
        <v>0</v>
      </c>
      <c r="U3989" s="328">
        <f>VLOOKUP(C3989,METADATA!$J$5:$Q$29,IF(E3989="HI",2,IF(E3989="LO",6,10))+IF(T3989=1,2,IF(D3989=7,1,(IF(WEEKDAY(B3989)=1,2,IF(WEEKDAY(B3989)=7,1,0))))))</f>
        <v>3</v>
      </c>
      <c r="V3989" s="328">
        <f>VLOOKUP(C3989,METADATA!$A$5:$H$29,IF(E3989="HI",2,IF(E3989="LO",6,10))+IF(T3989=1,2,IF(D3989=7,1,(IF(WEEKDAY(B3989)=1,2,IF(WEEKDAY(B3989)=7,1,0))))))</f>
        <v>3</v>
      </c>
    </row>
    <row r="3990" spans="2:22">
      <c r="B3990" s="318">
        <f t="shared" si="247"/>
        <v>46279</v>
      </c>
      <c r="C3990" s="312">
        <v>2</v>
      </c>
      <c r="D3990" s="368">
        <f>IFERROR((INDEX(METADATA!$T$2:$T$20,MATCH(B3990,METADATA!$S$2:$S$20,0))),0)</f>
        <v>0</v>
      </c>
      <c r="E3990" s="312" t="str">
        <f t="shared" si="248"/>
        <v>LO</v>
      </c>
      <c r="F3990" s="369">
        <f>VLOOKUP(C3990,METADATA!$A$5:$H$29,IF(E3990="HI",2,IF(E3990="LO",6,10))+IF(D3990=1,2,IF(D3990=7,1,(IF(WEEKDAY(B3990)=1,2,IF(WEEKDAY(B3990)=7,1,0))))))</f>
        <v>3</v>
      </c>
      <c r="G3990" s="369">
        <f>VLOOKUP(C3990,METADATA!$J$5:$Q$29,IF(E3990="HI",2,IF(E3990="LO",6,10))+IF(D3990=1,2,IF(D3990=7,1,(IF(WEEKDAY(B3990)=1,2,IF(WEEKDAY(B3990)=7,1,0))))))</f>
        <v>3</v>
      </c>
      <c r="H3990" s="370">
        <v>5480.9875183105469</v>
      </c>
      <c r="I3990" s="370">
        <v>1659.6725158691406</v>
      </c>
      <c r="M3990" s="371">
        <f t="shared" si="249"/>
        <v>5726.7562402993381</v>
      </c>
      <c r="N3990" s="329">
        <f t="shared" si="250"/>
        <v>15.376260375976699</v>
      </c>
      <c r="T3990" s="331">
        <v>0</v>
      </c>
      <c r="U3990" s="328">
        <f>VLOOKUP(C3990,METADATA!$J$5:$Q$29,IF(E3990="HI",2,IF(E3990="LO",6,10))+IF(T3990=1,2,IF(D3990=7,1,(IF(WEEKDAY(B3990)=1,2,IF(WEEKDAY(B3990)=7,1,0))))))</f>
        <v>3</v>
      </c>
      <c r="V3990" s="328">
        <f>VLOOKUP(C3990,METADATA!$A$5:$H$29,IF(E3990="HI",2,IF(E3990="LO",6,10))+IF(T3990=1,2,IF(D3990=7,1,(IF(WEEKDAY(B3990)=1,2,IF(WEEKDAY(B3990)=7,1,0))))))</f>
        <v>3</v>
      </c>
    </row>
    <row r="3991" spans="2:22">
      <c r="B3991" s="318">
        <f t="shared" si="247"/>
        <v>46279</v>
      </c>
      <c r="C3991" s="312">
        <v>3</v>
      </c>
      <c r="D3991" s="368">
        <f>IFERROR((INDEX(METADATA!$T$2:$T$20,MATCH(B3991,METADATA!$S$2:$S$20,0))),0)</f>
        <v>0</v>
      </c>
      <c r="E3991" s="312" t="str">
        <f t="shared" si="248"/>
        <v>LO</v>
      </c>
      <c r="F3991" s="369">
        <f>VLOOKUP(C3991,METADATA!$A$5:$H$29,IF(E3991="HI",2,IF(E3991="LO",6,10))+IF(D3991=1,2,IF(D3991=7,1,(IF(WEEKDAY(B3991)=1,2,IF(WEEKDAY(B3991)=7,1,0))))))</f>
        <v>3</v>
      </c>
      <c r="G3991" s="369">
        <f>VLOOKUP(C3991,METADATA!$J$5:$Q$29,IF(E3991="HI",2,IF(E3991="LO",6,10))+IF(D3991=1,2,IF(D3991=7,1,(IF(WEEKDAY(B3991)=1,2,IF(WEEKDAY(B3991)=7,1,0))))))</f>
        <v>3</v>
      </c>
      <c r="H3991" s="370">
        <v>5490.2449951171875</v>
      </c>
      <c r="I3991" s="370">
        <v>1655.85498046875</v>
      </c>
      <c r="M3991" s="371">
        <f t="shared" si="249"/>
        <v>5734.5135646149174</v>
      </c>
      <c r="N3991" s="329">
        <f t="shared" si="250"/>
        <v>8.7814819335937955</v>
      </c>
      <c r="T3991" s="331">
        <v>0</v>
      </c>
      <c r="U3991" s="328">
        <f>VLOOKUP(C3991,METADATA!$J$5:$Q$29,IF(E3991="HI",2,IF(E3991="LO",6,10))+IF(T3991=1,2,IF(D3991=7,1,(IF(WEEKDAY(B3991)=1,2,IF(WEEKDAY(B3991)=7,1,0))))))</f>
        <v>3</v>
      </c>
      <c r="V3991" s="328">
        <f>VLOOKUP(C3991,METADATA!$A$5:$H$29,IF(E3991="HI",2,IF(E3991="LO",6,10))+IF(T3991=1,2,IF(D3991=7,1,(IF(WEEKDAY(B3991)=1,2,IF(WEEKDAY(B3991)=7,1,0))))))</f>
        <v>3</v>
      </c>
    </row>
    <row r="3992" spans="2:22">
      <c r="B3992" s="318">
        <f t="shared" si="247"/>
        <v>46279</v>
      </c>
      <c r="C3992" s="312">
        <v>4</v>
      </c>
      <c r="D3992" s="368">
        <f>IFERROR((INDEX(METADATA!$T$2:$T$20,MATCH(B3992,METADATA!$S$2:$S$20,0))),0)</f>
        <v>0</v>
      </c>
      <c r="E3992" s="312" t="str">
        <f t="shared" si="248"/>
        <v>LO</v>
      </c>
      <c r="F3992" s="369">
        <f>VLOOKUP(C3992,METADATA!$A$5:$H$29,IF(E3992="HI",2,IF(E3992="LO",6,10))+IF(D3992=1,2,IF(D3992=7,1,(IF(WEEKDAY(B3992)=1,2,IF(WEEKDAY(B3992)=7,1,0))))))</f>
        <v>3</v>
      </c>
      <c r="G3992" s="369">
        <f>VLOOKUP(C3992,METADATA!$J$5:$Q$29,IF(E3992="HI",2,IF(E3992="LO",6,10))+IF(D3992=1,2,IF(D3992=7,1,(IF(WEEKDAY(B3992)=1,2,IF(WEEKDAY(B3992)=7,1,0))))))</f>
        <v>3</v>
      </c>
      <c r="H3992" s="370">
        <v>8356.6449279785156</v>
      </c>
      <c r="I3992" s="370">
        <v>2131.9699878692627</v>
      </c>
      <c r="M3992" s="371">
        <f t="shared" si="249"/>
        <v>8624.3150731802652</v>
      </c>
      <c r="N3992" s="329">
        <f t="shared" si="250"/>
        <v>0</v>
      </c>
      <c r="T3992" s="331">
        <v>0</v>
      </c>
      <c r="U3992" s="328">
        <f>VLOOKUP(C3992,METADATA!$J$5:$Q$29,IF(E3992="HI",2,IF(E3992="LO",6,10))+IF(T3992=1,2,IF(D3992=7,1,(IF(WEEKDAY(B3992)=1,2,IF(WEEKDAY(B3992)=7,1,0))))))</f>
        <v>3</v>
      </c>
      <c r="V3992" s="328">
        <f>VLOOKUP(C3992,METADATA!$A$5:$H$29,IF(E3992="HI",2,IF(E3992="LO",6,10))+IF(T3992=1,2,IF(D3992=7,1,(IF(WEEKDAY(B3992)=1,2,IF(WEEKDAY(B3992)=7,1,0))))))</f>
        <v>3</v>
      </c>
    </row>
    <row r="3993" spans="2:22">
      <c r="B3993" s="318">
        <f t="shared" si="247"/>
        <v>46279</v>
      </c>
      <c r="C3993" s="312">
        <v>5</v>
      </c>
      <c r="D3993" s="368">
        <f>IFERROR((INDEX(METADATA!$T$2:$T$20,MATCH(B3993,METADATA!$S$2:$S$20,0))),0)</f>
        <v>0</v>
      </c>
      <c r="E3993" s="312" t="str">
        <f t="shared" si="248"/>
        <v>LO</v>
      </c>
      <c r="F3993" s="369">
        <f>VLOOKUP(C3993,METADATA!$A$5:$H$29,IF(E3993="HI",2,IF(E3993="LO",6,10))+IF(D3993=1,2,IF(D3993=7,1,(IF(WEEKDAY(B3993)=1,2,IF(WEEKDAY(B3993)=7,1,0))))))</f>
        <v>3</v>
      </c>
      <c r="G3993" s="369">
        <f>VLOOKUP(C3993,METADATA!$J$5:$Q$29,IF(E3993="HI",2,IF(E3993="LO",6,10))+IF(D3993=1,2,IF(D3993=7,1,(IF(WEEKDAY(B3993)=1,2,IF(WEEKDAY(B3993)=7,1,0))))))</f>
        <v>3</v>
      </c>
      <c r="H3993" s="370">
        <v>11556.950134277344</v>
      </c>
      <c r="I3993" s="370">
        <v>2907.3899307250977</v>
      </c>
      <c r="M3993" s="371">
        <f t="shared" si="249"/>
        <v>11917.047143292451</v>
      </c>
      <c r="N3993" s="329">
        <f t="shared" si="250"/>
        <v>0</v>
      </c>
      <c r="T3993" s="331">
        <v>0</v>
      </c>
      <c r="U3993" s="328">
        <f>VLOOKUP(C3993,METADATA!$J$5:$Q$29,IF(E3993="HI",2,IF(E3993="LO",6,10))+IF(T3993=1,2,IF(D3993=7,1,(IF(WEEKDAY(B3993)=1,2,IF(WEEKDAY(B3993)=7,1,0))))))</f>
        <v>3</v>
      </c>
      <c r="V3993" s="328">
        <f>VLOOKUP(C3993,METADATA!$A$5:$H$29,IF(E3993="HI",2,IF(E3993="LO",6,10))+IF(T3993=1,2,IF(D3993=7,1,(IF(WEEKDAY(B3993)=1,2,IF(WEEKDAY(B3993)=7,1,0))))))</f>
        <v>3</v>
      </c>
    </row>
    <row r="3994" spans="2:22">
      <c r="B3994" s="318">
        <f t="shared" si="247"/>
        <v>46279</v>
      </c>
      <c r="C3994" s="312">
        <v>6</v>
      </c>
      <c r="D3994" s="368">
        <f>IFERROR((INDEX(METADATA!$T$2:$T$20,MATCH(B3994,METADATA!$S$2:$S$20,0))),0)</f>
        <v>0</v>
      </c>
      <c r="E3994" s="312" t="str">
        <f t="shared" si="248"/>
        <v>LO</v>
      </c>
      <c r="F3994" s="369">
        <f>VLOOKUP(C3994,METADATA!$A$5:$H$29,IF(E3994="HI",2,IF(E3994="LO",6,10))+IF(D3994=1,2,IF(D3994=7,1,(IF(WEEKDAY(B3994)=1,2,IF(WEEKDAY(B3994)=7,1,0))))))</f>
        <v>2</v>
      </c>
      <c r="G3994" s="369">
        <f>VLOOKUP(C3994,METADATA!$J$5:$Q$29,IF(E3994="HI",2,IF(E3994="LO",6,10))+IF(D3994=1,2,IF(D3994=7,1,(IF(WEEKDAY(B3994)=1,2,IF(WEEKDAY(B3994)=7,1,0))))))</f>
        <v>2</v>
      </c>
      <c r="H3994" s="370">
        <v>12059.249755859375</v>
      </c>
      <c r="I3994" s="370">
        <v>3120.7350463867188</v>
      </c>
      <c r="M3994" s="371">
        <f t="shared" si="249"/>
        <v>12456.504000077257</v>
      </c>
      <c r="N3994" s="329">
        <f t="shared" si="250"/>
        <v>0</v>
      </c>
      <c r="T3994" s="331">
        <v>0</v>
      </c>
      <c r="U3994" s="328">
        <f>VLOOKUP(C3994,METADATA!$J$5:$Q$29,IF(E3994="HI",2,IF(E3994="LO",6,10))+IF(T3994=1,2,IF(D3994=7,1,(IF(WEEKDAY(B3994)=1,2,IF(WEEKDAY(B3994)=7,1,0))))))</f>
        <v>2</v>
      </c>
      <c r="V3994" s="328">
        <f>VLOOKUP(C3994,METADATA!$A$5:$H$29,IF(E3994="HI",2,IF(E3994="LO",6,10))+IF(T3994=1,2,IF(D3994=7,1,(IF(WEEKDAY(B3994)=1,2,IF(WEEKDAY(B3994)=7,1,0))))))</f>
        <v>2</v>
      </c>
    </row>
    <row r="3995" spans="2:22">
      <c r="B3995" s="318">
        <f t="shared" si="247"/>
        <v>46279</v>
      </c>
      <c r="C3995" s="312">
        <v>7</v>
      </c>
      <c r="D3995" s="368">
        <f>IFERROR((INDEX(METADATA!$T$2:$T$20,MATCH(B3995,METADATA!$S$2:$S$20,0))),0)</f>
        <v>0</v>
      </c>
      <c r="E3995" s="312" t="str">
        <f t="shared" si="248"/>
        <v>LO</v>
      </c>
      <c r="F3995" s="369">
        <f>VLOOKUP(C3995,METADATA!$A$5:$H$29,IF(E3995="HI",2,IF(E3995="LO",6,10))+IF(D3995=1,2,IF(D3995=7,1,(IF(WEEKDAY(B3995)=1,2,IF(WEEKDAY(B3995)=7,1,0))))))</f>
        <v>1</v>
      </c>
      <c r="G3995" s="369">
        <f>VLOOKUP(C3995,METADATA!$J$5:$Q$29,IF(E3995="HI",2,IF(E3995="LO",6,10))+IF(D3995=1,2,IF(D3995=7,1,(IF(WEEKDAY(B3995)=1,2,IF(WEEKDAY(B3995)=7,1,0))))))</f>
        <v>1</v>
      </c>
      <c r="H3995" s="370">
        <v>11815.950134277344</v>
      </c>
      <c r="I3995" s="370">
        <v>2878.2751083374023</v>
      </c>
      <c r="M3995" s="371">
        <f t="shared" si="249"/>
        <v>12161.461473647132</v>
      </c>
      <c r="N3995" s="329">
        <f t="shared" si="250"/>
        <v>0</v>
      </c>
      <c r="T3995" s="331">
        <v>0</v>
      </c>
      <c r="U3995" s="328">
        <f>VLOOKUP(C3995,METADATA!$J$5:$Q$29,IF(E3995="HI",2,IF(E3995="LO",6,10))+IF(T3995=1,2,IF(D3995=7,1,(IF(WEEKDAY(B3995)=1,2,IF(WEEKDAY(B3995)=7,1,0))))))</f>
        <v>1</v>
      </c>
      <c r="V3995" s="328">
        <f>VLOOKUP(C3995,METADATA!$A$5:$H$29,IF(E3995="HI",2,IF(E3995="LO",6,10))+IF(T3995=1,2,IF(D3995=7,1,(IF(WEEKDAY(B3995)=1,2,IF(WEEKDAY(B3995)=7,1,0))))))</f>
        <v>1</v>
      </c>
    </row>
    <row r="3996" spans="2:22">
      <c r="B3996" s="318">
        <f t="shared" ref="B3996:B4059" si="251">B3972+1</f>
        <v>46279</v>
      </c>
      <c r="C3996" s="312">
        <v>8</v>
      </c>
      <c r="D3996" s="368">
        <f>IFERROR((INDEX(METADATA!$T$2:$T$20,MATCH(B3996,METADATA!$S$2:$S$20,0))),0)</f>
        <v>0</v>
      </c>
      <c r="E3996" s="312" t="str">
        <f t="shared" si="248"/>
        <v>LO</v>
      </c>
      <c r="F3996" s="369">
        <f>VLOOKUP(C3996,METADATA!$A$5:$H$29,IF(E3996="HI",2,IF(E3996="LO",6,10))+IF(D3996=1,2,IF(D3996=7,1,(IF(WEEKDAY(B3996)=1,2,IF(WEEKDAY(B3996)=7,1,0))))))</f>
        <v>1</v>
      </c>
      <c r="G3996" s="369">
        <f>VLOOKUP(C3996,METADATA!$J$5:$Q$29,IF(E3996="HI",2,IF(E3996="LO",6,10))+IF(D3996=1,2,IF(D3996=7,1,(IF(WEEKDAY(B3996)=1,2,IF(WEEKDAY(B3996)=7,1,0))))))</f>
        <v>1</v>
      </c>
      <c r="H3996" s="370">
        <v>11613.899841308594</v>
      </c>
      <c r="I3996" s="370">
        <v>2791.5500000715256</v>
      </c>
      <c r="M3996" s="371">
        <f t="shared" si="249"/>
        <v>11944.681700524594</v>
      </c>
      <c r="N3996" s="329">
        <f t="shared" si="250"/>
        <v>0</v>
      </c>
      <c r="T3996" s="331">
        <v>0</v>
      </c>
      <c r="U3996" s="328">
        <f>VLOOKUP(C3996,METADATA!$J$5:$Q$29,IF(E3996="HI",2,IF(E3996="LO",6,10))+IF(T3996=1,2,IF(D3996=7,1,(IF(WEEKDAY(B3996)=1,2,IF(WEEKDAY(B3996)=7,1,0))))))</f>
        <v>1</v>
      </c>
      <c r="V3996" s="328">
        <f>VLOOKUP(C3996,METADATA!$A$5:$H$29,IF(E3996="HI",2,IF(E3996="LO",6,10))+IF(T3996=1,2,IF(D3996=7,1,(IF(WEEKDAY(B3996)=1,2,IF(WEEKDAY(B3996)=7,1,0))))))</f>
        <v>1</v>
      </c>
    </row>
    <row r="3997" spans="2:22">
      <c r="B3997" s="318">
        <f t="shared" si="251"/>
        <v>46279</v>
      </c>
      <c r="C3997" s="312">
        <v>9</v>
      </c>
      <c r="D3997" s="368">
        <f>IFERROR((INDEX(METADATA!$T$2:$T$20,MATCH(B3997,METADATA!$S$2:$S$20,0))),0)</f>
        <v>0</v>
      </c>
      <c r="E3997" s="312" t="str">
        <f t="shared" si="248"/>
        <v>LO</v>
      </c>
      <c r="F3997" s="369">
        <f>VLOOKUP(C3997,METADATA!$A$5:$H$29,IF(E3997="HI",2,IF(E3997="LO",6,10))+IF(D3997=1,2,IF(D3997=7,1,(IF(WEEKDAY(B3997)=1,2,IF(WEEKDAY(B3997)=7,1,0))))))</f>
        <v>2</v>
      </c>
      <c r="G3997" s="369">
        <f>VLOOKUP(C3997,METADATA!$J$5:$Q$29,IF(E3997="HI",2,IF(E3997="LO",6,10))+IF(D3997=1,2,IF(D3997=7,1,(IF(WEEKDAY(B3997)=1,2,IF(WEEKDAY(B3997)=7,1,0))))))</f>
        <v>2</v>
      </c>
      <c r="H3997" s="370">
        <v>11638.0498046875</v>
      </c>
      <c r="I3997" s="370">
        <v>2754.125</v>
      </c>
      <c r="M3997" s="371">
        <f t="shared" si="249"/>
        <v>11959.49028061028</v>
      </c>
      <c r="N3997" s="329">
        <f t="shared" si="250"/>
        <v>0</v>
      </c>
      <c r="T3997" s="331">
        <v>0</v>
      </c>
      <c r="U3997" s="328">
        <f>VLOOKUP(C3997,METADATA!$J$5:$Q$29,IF(E3997="HI",2,IF(E3997="LO",6,10))+IF(T3997=1,2,IF(D3997=7,1,(IF(WEEKDAY(B3997)=1,2,IF(WEEKDAY(B3997)=7,1,0))))))</f>
        <v>2</v>
      </c>
      <c r="V3997" s="328">
        <f>VLOOKUP(C3997,METADATA!$A$5:$H$29,IF(E3997="HI",2,IF(E3997="LO",6,10))+IF(T3997=1,2,IF(D3997=7,1,(IF(WEEKDAY(B3997)=1,2,IF(WEEKDAY(B3997)=7,1,0))))))</f>
        <v>2</v>
      </c>
    </row>
    <row r="3998" spans="2:22">
      <c r="B3998" s="318">
        <f t="shared" si="251"/>
        <v>46279</v>
      </c>
      <c r="C3998" s="312">
        <v>10</v>
      </c>
      <c r="D3998" s="368">
        <f>IFERROR((INDEX(METADATA!$T$2:$T$20,MATCH(B3998,METADATA!$S$2:$S$20,0))),0)</f>
        <v>0</v>
      </c>
      <c r="E3998" s="312" t="str">
        <f t="shared" si="248"/>
        <v>LO</v>
      </c>
      <c r="F3998" s="369">
        <f>VLOOKUP(C3998,METADATA!$A$5:$H$29,IF(E3998="HI",2,IF(E3998="LO",6,10))+IF(D3998=1,2,IF(D3998=7,1,(IF(WEEKDAY(B3998)=1,2,IF(WEEKDAY(B3998)=7,1,0))))))</f>
        <v>2</v>
      </c>
      <c r="G3998" s="369">
        <f>VLOOKUP(C3998,METADATA!$J$5:$Q$29,IF(E3998="HI",2,IF(E3998="LO",6,10))+IF(D3998=1,2,IF(D3998=7,1,(IF(WEEKDAY(B3998)=1,2,IF(WEEKDAY(B3998)=7,1,0))))))</f>
        <v>2</v>
      </c>
      <c r="H3998" s="370">
        <v>11672.825012207031</v>
      </c>
      <c r="I3998" s="370">
        <v>2878.875</v>
      </c>
      <c r="M3998" s="371">
        <f t="shared" si="249"/>
        <v>12022.593939380598</v>
      </c>
      <c r="N3998" s="329">
        <f t="shared" si="250"/>
        <v>0</v>
      </c>
      <c r="T3998" s="331">
        <v>0</v>
      </c>
      <c r="U3998" s="328">
        <f>VLOOKUP(C3998,METADATA!$J$5:$Q$29,IF(E3998="HI",2,IF(E3998="LO",6,10))+IF(T3998=1,2,IF(D3998=7,1,(IF(WEEKDAY(B3998)=1,2,IF(WEEKDAY(B3998)=7,1,0))))))</f>
        <v>2</v>
      </c>
      <c r="V3998" s="328">
        <f>VLOOKUP(C3998,METADATA!$A$5:$H$29,IF(E3998="HI",2,IF(E3998="LO",6,10))+IF(T3998=1,2,IF(D3998=7,1,(IF(WEEKDAY(B3998)=1,2,IF(WEEKDAY(B3998)=7,1,0))))))</f>
        <v>2</v>
      </c>
    </row>
    <row r="3999" spans="2:22">
      <c r="B3999" s="318">
        <f t="shared" si="251"/>
        <v>46279</v>
      </c>
      <c r="C3999" s="312">
        <v>11</v>
      </c>
      <c r="D3999" s="368">
        <f>IFERROR((INDEX(METADATA!$T$2:$T$20,MATCH(B3999,METADATA!$S$2:$S$20,0))),0)</f>
        <v>0</v>
      </c>
      <c r="E3999" s="312" t="str">
        <f t="shared" si="248"/>
        <v>LO</v>
      </c>
      <c r="F3999" s="369">
        <f>VLOOKUP(C3999,METADATA!$A$5:$H$29,IF(E3999="HI",2,IF(E3999="LO",6,10))+IF(D3999=1,2,IF(D3999=7,1,(IF(WEEKDAY(B3999)=1,2,IF(WEEKDAY(B3999)=7,1,0))))))</f>
        <v>2</v>
      </c>
      <c r="G3999" s="369">
        <f>VLOOKUP(C3999,METADATA!$J$5:$Q$29,IF(E3999="HI",2,IF(E3999="LO",6,10))+IF(D3999=1,2,IF(D3999=7,1,(IF(WEEKDAY(B3999)=1,2,IF(WEEKDAY(B3999)=7,1,0))))))</f>
        <v>2</v>
      </c>
      <c r="H3999" s="370">
        <v>11601.825073242188</v>
      </c>
      <c r="I3999" s="370">
        <v>2906.3499755859375</v>
      </c>
      <c r="M3999" s="371">
        <f t="shared" si="249"/>
        <v>11960.318357414213</v>
      </c>
      <c r="N3999" s="329">
        <f t="shared" si="250"/>
        <v>0</v>
      </c>
      <c r="T3999" s="331">
        <v>0</v>
      </c>
      <c r="U3999" s="328">
        <f>VLOOKUP(C3999,METADATA!$J$5:$Q$29,IF(E3999="HI",2,IF(E3999="LO",6,10))+IF(T3999=1,2,IF(D3999=7,1,(IF(WEEKDAY(B3999)=1,2,IF(WEEKDAY(B3999)=7,1,0))))))</f>
        <v>2</v>
      </c>
      <c r="V3999" s="328">
        <f>VLOOKUP(C3999,METADATA!$A$5:$H$29,IF(E3999="HI",2,IF(E3999="LO",6,10))+IF(T3999=1,2,IF(D3999=7,1,(IF(WEEKDAY(B3999)=1,2,IF(WEEKDAY(B3999)=7,1,0))))))</f>
        <v>2</v>
      </c>
    </row>
    <row r="4000" spans="2:22">
      <c r="B4000" s="318">
        <f t="shared" si="251"/>
        <v>46279</v>
      </c>
      <c r="C4000" s="312">
        <v>12</v>
      </c>
      <c r="D4000" s="368">
        <f>IFERROR((INDEX(METADATA!$T$2:$T$20,MATCH(B4000,METADATA!$S$2:$S$20,0))),0)</f>
        <v>0</v>
      </c>
      <c r="E4000" s="312" t="str">
        <f t="shared" si="248"/>
        <v>LO</v>
      </c>
      <c r="F4000" s="369">
        <f>VLOOKUP(C4000,METADATA!$A$5:$H$29,IF(E4000="HI",2,IF(E4000="LO",6,10))+IF(D4000=1,2,IF(D4000=7,1,(IF(WEEKDAY(B4000)=1,2,IF(WEEKDAY(B4000)=7,1,0))))))</f>
        <v>2</v>
      </c>
      <c r="G4000" s="369">
        <f>VLOOKUP(C4000,METADATA!$J$5:$Q$29,IF(E4000="HI",2,IF(E4000="LO",6,10))+IF(D4000=1,2,IF(D4000=7,1,(IF(WEEKDAY(B4000)=1,2,IF(WEEKDAY(B4000)=7,1,0))))))</f>
        <v>2</v>
      </c>
      <c r="H4000" s="370">
        <v>11597.525024414063</v>
      </c>
      <c r="I4000" s="370">
        <v>2819.1251220703125</v>
      </c>
      <c r="M4000" s="371">
        <f t="shared" si="249"/>
        <v>11935.244159454733</v>
      </c>
      <c r="N4000" s="329">
        <f t="shared" si="250"/>
        <v>0</v>
      </c>
      <c r="T4000" s="331">
        <v>0</v>
      </c>
      <c r="U4000" s="328">
        <f>VLOOKUP(C4000,METADATA!$J$5:$Q$29,IF(E4000="HI",2,IF(E4000="LO",6,10))+IF(T4000=1,2,IF(D4000=7,1,(IF(WEEKDAY(B4000)=1,2,IF(WEEKDAY(B4000)=7,1,0))))))</f>
        <v>2</v>
      </c>
      <c r="V4000" s="328">
        <f>VLOOKUP(C4000,METADATA!$A$5:$H$29,IF(E4000="HI",2,IF(E4000="LO",6,10))+IF(T4000=1,2,IF(D4000=7,1,(IF(WEEKDAY(B4000)=1,2,IF(WEEKDAY(B4000)=7,1,0))))))</f>
        <v>2</v>
      </c>
    </row>
    <row r="4001" spans="2:22">
      <c r="B4001" s="318">
        <f t="shared" si="251"/>
        <v>46279</v>
      </c>
      <c r="C4001" s="312">
        <v>13</v>
      </c>
      <c r="D4001" s="368">
        <f>IFERROR((INDEX(METADATA!$T$2:$T$20,MATCH(B4001,METADATA!$S$2:$S$20,0))),0)</f>
        <v>0</v>
      </c>
      <c r="E4001" s="312" t="str">
        <f t="shared" si="248"/>
        <v>LO</v>
      </c>
      <c r="F4001" s="369">
        <f>VLOOKUP(C4001,METADATA!$A$5:$H$29,IF(E4001="HI",2,IF(E4001="LO",6,10))+IF(D4001=1,2,IF(D4001=7,1,(IF(WEEKDAY(B4001)=1,2,IF(WEEKDAY(B4001)=7,1,0))))))</f>
        <v>2</v>
      </c>
      <c r="G4001" s="369">
        <f>VLOOKUP(C4001,METADATA!$J$5:$Q$29,IF(E4001="HI",2,IF(E4001="LO",6,10))+IF(D4001=1,2,IF(D4001=7,1,(IF(WEEKDAY(B4001)=1,2,IF(WEEKDAY(B4001)=7,1,0))))))</f>
        <v>2</v>
      </c>
      <c r="H4001" s="370">
        <v>11713.300048828125</v>
      </c>
      <c r="I4001" s="370">
        <v>2760.9299755096436</v>
      </c>
      <c r="M4001" s="371">
        <f t="shared" si="249"/>
        <v>12034.289857051999</v>
      </c>
      <c r="N4001" s="329">
        <f t="shared" si="250"/>
        <v>0</v>
      </c>
      <c r="T4001" s="331">
        <v>0</v>
      </c>
      <c r="U4001" s="328">
        <f>VLOOKUP(C4001,METADATA!$J$5:$Q$29,IF(E4001="HI",2,IF(E4001="LO",6,10))+IF(T4001=1,2,IF(D4001=7,1,(IF(WEEKDAY(B4001)=1,2,IF(WEEKDAY(B4001)=7,1,0))))))</f>
        <v>2</v>
      </c>
      <c r="V4001" s="328">
        <f>VLOOKUP(C4001,METADATA!$A$5:$H$29,IF(E4001="HI",2,IF(E4001="LO",6,10))+IF(T4001=1,2,IF(D4001=7,1,(IF(WEEKDAY(B4001)=1,2,IF(WEEKDAY(B4001)=7,1,0))))))</f>
        <v>2</v>
      </c>
    </row>
    <row r="4002" spans="2:22">
      <c r="B4002" s="318">
        <f t="shared" si="251"/>
        <v>46279</v>
      </c>
      <c r="C4002" s="312">
        <v>14</v>
      </c>
      <c r="D4002" s="368">
        <f>IFERROR((INDEX(METADATA!$T$2:$T$20,MATCH(B4002,METADATA!$S$2:$S$20,0))),0)</f>
        <v>0</v>
      </c>
      <c r="E4002" s="312" t="str">
        <f t="shared" si="248"/>
        <v>LO</v>
      </c>
      <c r="F4002" s="369">
        <f>VLOOKUP(C4002,METADATA!$A$5:$H$29,IF(E4002="HI",2,IF(E4002="LO",6,10))+IF(D4002=1,2,IF(D4002=7,1,(IF(WEEKDAY(B4002)=1,2,IF(WEEKDAY(B4002)=7,1,0))))))</f>
        <v>2</v>
      </c>
      <c r="G4002" s="369">
        <f>VLOOKUP(C4002,METADATA!$J$5:$Q$29,IF(E4002="HI",2,IF(E4002="LO",6,10))+IF(D4002=1,2,IF(D4002=7,1,(IF(WEEKDAY(B4002)=1,2,IF(WEEKDAY(B4002)=7,1,0))))))</f>
        <v>2</v>
      </c>
      <c r="H4002" s="370">
        <v>11537.200134277344</v>
      </c>
      <c r="I4002" s="370">
        <v>2706.2249872684479</v>
      </c>
      <c r="M4002" s="371">
        <f t="shared" si="249"/>
        <v>11850.34348110152</v>
      </c>
      <c r="N4002" s="329">
        <f t="shared" si="250"/>
        <v>0</v>
      </c>
      <c r="T4002" s="331">
        <v>0</v>
      </c>
      <c r="U4002" s="328">
        <f>VLOOKUP(C4002,METADATA!$J$5:$Q$29,IF(E4002="HI",2,IF(E4002="LO",6,10))+IF(T4002=1,2,IF(D4002=7,1,(IF(WEEKDAY(B4002)=1,2,IF(WEEKDAY(B4002)=7,1,0))))))</f>
        <v>2</v>
      </c>
      <c r="V4002" s="328">
        <f>VLOOKUP(C4002,METADATA!$A$5:$H$29,IF(E4002="HI",2,IF(E4002="LO",6,10))+IF(T4002=1,2,IF(D4002=7,1,(IF(WEEKDAY(B4002)=1,2,IF(WEEKDAY(B4002)=7,1,0))))))</f>
        <v>2</v>
      </c>
    </row>
    <row r="4003" spans="2:22">
      <c r="B4003" s="318">
        <f t="shared" si="251"/>
        <v>46279</v>
      </c>
      <c r="C4003" s="312">
        <v>15</v>
      </c>
      <c r="D4003" s="368">
        <f>IFERROR((INDEX(METADATA!$T$2:$T$20,MATCH(B4003,METADATA!$S$2:$S$20,0))),0)</f>
        <v>0</v>
      </c>
      <c r="E4003" s="312" t="str">
        <f t="shared" si="248"/>
        <v>LO</v>
      </c>
      <c r="F4003" s="369">
        <f>VLOOKUP(C4003,METADATA!$A$5:$H$29,IF(E4003="HI",2,IF(E4003="LO",6,10))+IF(D4003=1,2,IF(D4003=7,1,(IF(WEEKDAY(B4003)=1,2,IF(WEEKDAY(B4003)=7,1,0))))))</f>
        <v>2</v>
      </c>
      <c r="G4003" s="369">
        <f>VLOOKUP(C4003,METADATA!$J$5:$Q$29,IF(E4003="HI",2,IF(E4003="LO",6,10))+IF(D4003=1,2,IF(D4003=7,1,(IF(WEEKDAY(B4003)=1,2,IF(WEEKDAY(B4003)=7,1,0))))))</f>
        <v>2</v>
      </c>
      <c r="H4003" s="370">
        <v>11820.200012207031</v>
      </c>
      <c r="I4003" s="370">
        <v>2833.4900493621826</v>
      </c>
      <c r="M4003" s="371">
        <f t="shared" si="249"/>
        <v>12155.072775940653</v>
      </c>
      <c r="N4003" s="329">
        <f t="shared" si="250"/>
        <v>0</v>
      </c>
      <c r="T4003" s="331">
        <v>0</v>
      </c>
      <c r="U4003" s="328">
        <f>VLOOKUP(C4003,METADATA!$J$5:$Q$29,IF(E4003="HI",2,IF(E4003="LO",6,10))+IF(T4003=1,2,IF(D4003=7,1,(IF(WEEKDAY(B4003)=1,2,IF(WEEKDAY(B4003)=7,1,0))))))</f>
        <v>2</v>
      </c>
      <c r="V4003" s="328">
        <f>VLOOKUP(C4003,METADATA!$A$5:$H$29,IF(E4003="HI",2,IF(E4003="LO",6,10))+IF(T4003=1,2,IF(D4003=7,1,(IF(WEEKDAY(B4003)=1,2,IF(WEEKDAY(B4003)=7,1,0))))))</f>
        <v>2</v>
      </c>
    </row>
    <row r="4004" spans="2:22">
      <c r="B4004" s="318">
        <f t="shared" si="251"/>
        <v>46279</v>
      </c>
      <c r="C4004" s="312">
        <v>16</v>
      </c>
      <c r="D4004" s="368">
        <f>IFERROR((INDEX(METADATA!$T$2:$T$20,MATCH(B4004,METADATA!$S$2:$S$20,0))),0)</f>
        <v>0</v>
      </c>
      <c r="E4004" s="312" t="str">
        <f t="shared" si="248"/>
        <v>LO</v>
      </c>
      <c r="F4004" s="369">
        <f>VLOOKUP(C4004,METADATA!$A$5:$H$29,IF(E4004="HI",2,IF(E4004="LO",6,10))+IF(D4004=1,2,IF(D4004=7,1,(IF(WEEKDAY(B4004)=1,2,IF(WEEKDAY(B4004)=7,1,0))))))</f>
        <v>2</v>
      </c>
      <c r="G4004" s="369">
        <f>VLOOKUP(C4004,METADATA!$J$5:$Q$29,IF(E4004="HI",2,IF(E4004="LO",6,10))+IF(D4004=1,2,IF(D4004=7,1,(IF(WEEKDAY(B4004)=1,2,IF(WEEKDAY(B4004)=7,1,0))))))</f>
        <v>2</v>
      </c>
      <c r="H4004" s="370">
        <v>11960.1748046875</v>
      </c>
      <c r="I4004" s="370">
        <v>2909.0199632644653</v>
      </c>
      <c r="M4004" s="371">
        <f t="shared" si="249"/>
        <v>12308.865849677331</v>
      </c>
      <c r="N4004" s="329">
        <f t="shared" si="250"/>
        <v>0</v>
      </c>
      <c r="T4004" s="331">
        <v>0</v>
      </c>
      <c r="U4004" s="328">
        <f>VLOOKUP(C4004,METADATA!$J$5:$Q$29,IF(E4004="HI",2,IF(E4004="LO",6,10))+IF(T4004=1,2,IF(D4004=7,1,(IF(WEEKDAY(B4004)=1,2,IF(WEEKDAY(B4004)=7,1,0))))))</f>
        <v>2</v>
      </c>
      <c r="V4004" s="328">
        <f>VLOOKUP(C4004,METADATA!$A$5:$H$29,IF(E4004="HI",2,IF(E4004="LO",6,10))+IF(T4004=1,2,IF(D4004=7,1,(IF(WEEKDAY(B4004)=1,2,IF(WEEKDAY(B4004)=7,1,0))))))</f>
        <v>2</v>
      </c>
    </row>
    <row r="4005" spans="2:22">
      <c r="B4005" s="318">
        <f t="shared" si="251"/>
        <v>46279</v>
      </c>
      <c r="C4005" s="312">
        <v>17</v>
      </c>
      <c r="D4005" s="368">
        <f>IFERROR((INDEX(METADATA!$T$2:$T$20,MATCH(B4005,METADATA!$S$2:$S$20,0))),0)</f>
        <v>0</v>
      </c>
      <c r="E4005" s="312" t="str">
        <f t="shared" si="248"/>
        <v>LO</v>
      </c>
      <c r="F4005" s="369">
        <f>VLOOKUP(C4005,METADATA!$A$5:$H$29,IF(E4005="HI",2,IF(E4005="LO",6,10))+IF(D4005=1,2,IF(D4005=7,1,(IF(WEEKDAY(B4005)=1,2,IF(WEEKDAY(B4005)=7,1,0))))))</f>
        <v>2</v>
      </c>
      <c r="G4005" s="369">
        <f>VLOOKUP(C4005,METADATA!$J$5:$Q$29,IF(E4005="HI",2,IF(E4005="LO",6,10))+IF(D4005=1,2,IF(D4005=7,1,(IF(WEEKDAY(B4005)=1,2,IF(WEEKDAY(B4005)=7,1,0))))))</f>
        <v>2</v>
      </c>
      <c r="H4005" s="370">
        <v>11824.650146484375</v>
      </c>
      <c r="I4005" s="370">
        <v>2879.4651079177856</v>
      </c>
      <c r="M4005" s="371">
        <f t="shared" si="249"/>
        <v>12170.195988334326</v>
      </c>
      <c r="N4005" s="329">
        <f t="shared" si="250"/>
        <v>0</v>
      </c>
      <c r="T4005" s="331">
        <v>0</v>
      </c>
      <c r="U4005" s="328">
        <f>VLOOKUP(C4005,METADATA!$J$5:$Q$29,IF(E4005="HI",2,IF(E4005="LO",6,10))+IF(T4005=1,2,IF(D4005=7,1,(IF(WEEKDAY(B4005)=1,2,IF(WEEKDAY(B4005)=7,1,0))))))</f>
        <v>2</v>
      </c>
      <c r="V4005" s="328">
        <f>VLOOKUP(C4005,METADATA!$A$5:$H$29,IF(E4005="HI",2,IF(E4005="LO",6,10))+IF(T4005=1,2,IF(D4005=7,1,(IF(WEEKDAY(B4005)=1,2,IF(WEEKDAY(B4005)=7,1,0))))))</f>
        <v>2</v>
      </c>
    </row>
    <row r="4006" spans="2:22">
      <c r="B4006" s="318">
        <f t="shared" si="251"/>
        <v>46279</v>
      </c>
      <c r="C4006" s="312">
        <v>18</v>
      </c>
      <c r="D4006" s="368">
        <f>IFERROR((INDEX(METADATA!$T$2:$T$20,MATCH(B4006,METADATA!$S$2:$S$20,0))),0)</f>
        <v>0</v>
      </c>
      <c r="E4006" s="312" t="str">
        <f t="shared" si="248"/>
        <v>LO</v>
      </c>
      <c r="F4006" s="369">
        <f>VLOOKUP(C4006,METADATA!$A$5:$H$29,IF(E4006="HI",2,IF(E4006="LO",6,10))+IF(D4006=1,2,IF(D4006=7,1,(IF(WEEKDAY(B4006)=1,2,IF(WEEKDAY(B4006)=7,1,0))))))</f>
        <v>1</v>
      </c>
      <c r="G4006" s="369">
        <f>VLOOKUP(C4006,METADATA!$J$5:$Q$29,IF(E4006="HI",2,IF(E4006="LO",6,10))+IF(D4006=1,2,IF(D4006=7,1,(IF(WEEKDAY(B4006)=1,2,IF(WEEKDAY(B4006)=7,1,0))))))</f>
        <v>1</v>
      </c>
      <c r="H4006" s="370">
        <v>11831.125061035156</v>
      </c>
      <c r="I4006" s="370">
        <v>2823.5650845691562</v>
      </c>
      <c r="M4006" s="371">
        <f t="shared" si="249"/>
        <v>12163.38933014364</v>
      </c>
      <c r="N4006" s="329">
        <f t="shared" si="250"/>
        <v>0</v>
      </c>
      <c r="T4006" s="331">
        <v>0</v>
      </c>
      <c r="U4006" s="328">
        <f>VLOOKUP(C4006,METADATA!$J$5:$Q$29,IF(E4006="HI",2,IF(E4006="LO",6,10))+IF(T4006=1,2,IF(D4006=7,1,(IF(WEEKDAY(B4006)=1,2,IF(WEEKDAY(B4006)=7,1,0))))))</f>
        <v>1</v>
      </c>
      <c r="V4006" s="328">
        <f>VLOOKUP(C4006,METADATA!$A$5:$H$29,IF(E4006="HI",2,IF(E4006="LO",6,10))+IF(T4006=1,2,IF(D4006=7,1,(IF(WEEKDAY(B4006)=1,2,IF(WEEKDAY(B4006)=7,1,0))))))</f>
        <v>1</v>
      </c>
    </row>
    <row r="4007" spans="2:22">
      <c r="B4007" s="318">
        <f t="shared" si="251"/>
        <v>46279</v>
      </c>
      <c r="C4007" s="312">
        <v>19</v>
      </c>
      <c r="D4007" s="368">
        <f>IFERROR((INDEX(METADATA!$T$2:$T$20,MATCH(B4007,METADATA!$S$2:$S$20,0))),0)</f>
        <v>0</v>
      </c>
      <c r="E4007" s="312" t="str">
        <f t="shared" si="248"/>
        <v>LO</v>
      </c>
      <c r="F4007" s="369">
        <f>VLOOKUP(C4007,METADATA!$A$5:$H$29,IF(E4007="HI",2,IF(E4007="LO",6,10))+IF(D4007=1,2,IF(D4007=7,1,(IF(WEEKDAY(B4007)=1,2,IF(WEEKDAY(B4007)=7,1,0))))))</f>
        <v>1</v>
      </c>
      <c r="G4007" s="369">
        <f>VLOOKUP(C4007,METADATA!$J$5:$Q$29,IF(E4007="HI",2,IF(E4007="LO",6,10))+IF(D4007=1,2,IF(D4007=7,1,(IF(WEEKDAY(B4007)=1,2,IF(WEEKDAY(B4007)=7,1,0))))))</f>
        <v>1</v>
      </c>
      <c r="H4007" s="370">
        <v>11713.374877929688</v>
      </c>
      <c r="I4007" s="370">
        <v>2717.7549632489681</v>
      </c>
      <c r="M4007" s="371">
        <f t="shared" si="249"/>
        <v>12024.530887780142</v>
      </c>
      <c r="N4007" s="329">
        <f t="shared" si="250"/>
        <v>0</v>
      </c>
      <c r="T4007" s="331">
        <v>0</v>
      </c>
      <c r="U4007" s="328">
        <f>VLOOKUP(C4007,METADATA!$J$5:$Q$29,IF(E4007="HI",2,IF(E4007="LO",6,10))+IF(T4007=1,2,IF(D4007=7,1,(IF(WEEKDAY(B4007)=1,2,IF(WEEKDAY(B4007)=7,1,0))))))</f>
        <v>1</v>
      </c>
      <c r="V4007" s="328">
        <f>VLOOKUP(C4007,METADATA!$A$5:$H$29,IF(E4007="HI",2,IF(E4007="LO",6,10))+IF(T4007=1,2,IF(D4007=7,1,(IF(WEEKDAY(B4007)=1,2,IF(WEEKDAY(B4007)=7,1,0))))))</f>
        <v>1</v>
      </c>
    </row>
    <row r="4008" spans="2:22">
      <c r="B4008" s="318">
        <f t="shared" si="251"/>
        <v>46279</v>
      </c>
      <c r="C4008" s="312">
        <v>20</v>
      </c>
      <c r="D4008" s="368">
        <f>IFERROR((INDEX(METADATA!$T$2:$T$20,MATCH(B4008,METADATA!$S$2:$S$20,0))),0)</f>
        <v>0</v>
      </c>
      <c r="E4008" s="312" t="str">
        <f t="shared" si="248"/>
        <v>LO</v>
      </c>
      <c r="F4008" s="369">
        <f>VLOOKUP(C4008,METADATA!$A$5:$H$29,IF(E4008="HI",2,IF(E4008="LO",6,10))+IF(D4008=1,2,IF(D4008=7,1,(IF(WEEKDAY(B4008)=1,2,IF(WEEKDAY(B4008)=7,1,0))))))</f>
        <v>1</v>
      </c>
      <c r="G4008" s="369">
        <f>VLOOKUP(C4008,METADATA!$J$5:$Q$29,IF(E4008="HI",2,IF(E4008="LO",6,10))+IF(D4008=1,2,IF(D4008=7,1,(IF(WEEKDAY(B4008)=1,2,IF(WEEKDAY(B4008)=7,1,0))))))</f>
        <v>1</v>
      </c>
      <c r="H4008" s="370">
        <v>11713.550048828125</v>
      </c>
      <c r="I4008" s="370">
        <v>2806.2999868392944</v>
      </c>
      <c r="M4008" s="371">
        <f t="shared" si="249"/>
        <v>12045.022804566855</v>
      </c>
      <c r="N4008" s="329">
        <f t="shared" si="250"/>
        <v>0</v>
      </c>
      <c r="T4008" s="331">
        <v>0</v>
      </c>
      <c r="U4008" s="328">
        <f>VLOOKUP(C4008,METADATA!$J$5:$Q$29,IF(E4008="HI",2,IF(E4008="LO",6,10))+IF(T4008=1,2,IF(D4008=7,1,(IF(WEEKDAY(B4008)=1,2,IF(WEEKDAY(B4008)=7,1,0))))))</f>
        <v>1</v>
      </c>
      <c r="V4008" s="328">
        <f>VLOOKUP(C4008,METADATA!$A$5:$H$29,IF(E4008="HI",2,IF(E4008="LO",6,10))+IF(T4008=1,2,IF(D4008=7,1,(IF(WEEKDAY(B4008)=1,2,IF(WEEKDAY(B4008)=7,1,0))))))</f>
        <v>1</v>
      </c>
    </row>
    <row r="4009" spans="2:22">
      <c r="B4009" s="318">
        <f t="shared" si="251"/>
        <v>46279</v>
      </c>
      <c r="C4009" s="312">
        <v>21</v>
      </c>
      <c r="D4009" s="368">
        <f>IFERROR((INDEX(METADATA!$T$2:$T$20,MATCH(B4009,METADATA!$S$2:$S$20,0))),0)</f>
        <v>0</v>
      </c>
      <c r="E4009" s="312" t="str">
        <f t="shared" si="248"/>
        <v>LO</v>
      </c>
      <c r="F4009" s="369">
        <f>VLOOKUP(C4009,METADATA!$A$5:$H$29,IF(E4009="HI",2,IF(E4009="LO",6,10))+IF(D4009=1,2,IF(D4009=7,1,(IF(WEEKDAY(B4009)=1,2,IF(WEEKDAY(B4009)=7,1,0))))))</f>
        <v>2</v>
      </c>
      <c r="G4009" s="369">
        <f>VLOOKUP(C4009,METADATA!$J$5:$Q$29,IF(E4009="HI",2,IF(E4009="LO",6,10))+IF(D4009=1,2,IF(D4009=7,1,(IF(WEEKDAY(B4009)=1,2,IF(WEEKDAY(B4009)=7,1,0))))))</f>
        <v>2</v>
      </c>
      <c r="H4009" s="370">
        <v>11711.399841308594</v>
      </c>
      <c r="I4009" s="370">
        <v>2813.6249389648438</v>
      </c>
      <c r="M4009" s="371">
        <f t="shared" si="249"/>
        <v>12044.640780868804</v>
      </c>
      <c r="N4009" s="329">
        <f t="shared" si="250"/>
        <v>0</v>
      </c>
      <c r="T4009" s="331">
        <v>0</v>
      </c>
      <c r="U4009" s="328">
        <f>VLOOKUP(C4009,METADATA!$J$5:$Q$29,IF(E4009="HI",2,IF(E4009="LO",6,10))+IF(T4009=1,2,IF(D4009=7,1,(IF(WEEKDAY(B4009)=1,2,IF(WEEKDAY(B4009)=7,1,0))))))</f>
        <v>2</v>
      </c>
      <c r="V4009" s="328">
        <f>VLOOKUP(C4009,METADATA!$A$5:$H$29,IF(E4009="HI",2,IF(E4009="LO",6,10))+IF(T4009=1,2,IF(D4009=7,1,(IF(WEEKDAY(B4009)=1,2,IF(WEEKDAY(B4009)=7,1,0))))))</f>
        <v>2</v>
      </c>
    </row>
    <row r="4010" spans="2:22">
      <c r="B4010" s="318">
        <f t="shared" si="251"/>
        <v>46279</v>
      </c>
      <c r="C4010" s="312">
        <v>22</v>
      </c>
      <c r="D4010" s="368">
        <f>IFERROR((INDEX(METADATA!$T$2:$T$20,MATCH(B4010,METADATA!$S$2:$S$20,0))),0)</f>
        <v>0</v>
      </c>
      <c r="E4010" s="312" t="str">
        <f t="shared" si="248"/>
        <v>LO</v>
      </c>
      <c r="F4010" s="369">
        <f>VLOOKUP(C4010,METADATA!$A$5:$H$29,IF(E4010="HI",2,IF(E4010="LO",6,10))+IF(D4010=1,2,IF(D4010=7,1,(IF(WEEKDAY(B4010)=1,2,IF(WEEKDAY(B4010)=7,1,0))))))</f>
        <v>3</v>
      </c>
      <c r="G4010" s="369">
        <f>VLOOKUP(C4010,METADATA!$J$5:$Q$29,IF(E4010="HI",2,IF(E4010="LO",6,10))+IF(D4010=1,2,IF(D4010=7,1,(IF(WEEKDAY(B4010)=1,2,IF(WEEKDAY(B4010)=7,1,0))))))</f>
        <v>3</v>
      </c>
      <c r="H4010" s="370">
        <v>11920.875061035156</v>
      </c>
      <c r="I4010" s="370">
        <v>2941.7849979400635</v>
      </c>
      <c r="M4010" s="371">
        <f t="shared" si="249"/>
        <v>12278.491812715238</v>
      </c>
      <c r="N4010" s="329">
        <f t="shared" si="250"/>
        <v>0</v>
      </c>
      <c r="T4010" s="331">
        <v>0</v>
      </c>
      <c r="U4010" s="328">
        <f>VLOOKUP(C4010,METADATA!$J$5:$Q$29,IF(E4010="HI",2,IF(E4010="LO",6,10))+IF(T4010=1,2,IF(D4010=7,1,(IF(WEEKDAY(B4010)=1,2,IF(WEEKDAY(B4010)=7,1,0))))))</f>
        <v>3</v>
      </c>
      <c r="V4010" s="328">
        <f>VLOOKUP(C4010,METADATA!$A$5:$H$29,IF(E4010="HI",2,IF(E4010="LO",6,10))+IF(T4010=1,2,IF(D4010=7,1,(IF(WEEKDAY(B4010)=1,2,IF(WEEKDAY(B4010)=7,1,0))))))</f>
        <v>3</v>
      </c>
    </row>
    <row r="4011" spans="2:22">
      <c r="B4011" s="318">
        <f t="shared" si="251"/>
        <v>46279</v>
      </c>
      <c r="C4011" s="312">
        <v>23</v>
      </c>
      <c r="D4011" s="368">
        <f>IFERROR((INDEX(METADATA!$T$2:$T$20,MATCH(B4011,METADATA!$S$2:$S$20,0))),0)</f>
        <v>0</v>
      </c>
      <c r="E4011" s="312" t="str">
        <f t="shared" si="248"/>
        <v>LO</v>
      </c>
      <c r="F4011" s="369">
        <f>VLOOKUP(C4011,METADATA!$A$5:$H$29,IF(E4011="HI",2,IF(E4011="LO",6,10))+IF(D4011=1,2,IF(D4011=7,1,(IF(WEEKDAY(B4011)=1,2,IF(WEEKDAY(B4011)=7,1,0))))))</f>
        <v>3</v>
      </c>
      <c r="G4011" s="369">
        <f>VLOOKUP(C4011,METADATA!$J$5:$Q$29,IF(E4011="HI",2,IF(E4011="LO",6,10))+IF(D4011=1,2,IF(D4011=7,1,(IF(WEEKDAY(B4011)=1,2,IF(WEEKDAY(B4011)=7,1,0))))))</f>
        <v>3</v>
      </c>
      <c r="H4011" s="370">
        <v>12114.849609375</v>
      </c>
      <c r="I4011" s="370">
        <v>3264.7849349975586</v>
      </c>
      <c r="M4011" s="371">
        <f t="shared" si="249"/>
        <v>12547.047530377838</v>
      </c>
      <c r="N4011" s="329">
        <f t="shared" si="250"/>
        <v>0</v>
      </c>
      <c r="T4011" s="331">
        <v>0</v>
      </c>
      <c r="U4011" s="328">
        <f>VLOOKUP(C4011,METADATA!$J$5:$Q$29,IF(E4011="HI",2,IF(E4011="LO",6,10))+IF(T4011=1,2,IF(D4011=7,1,(IF(WEEKDAY(B4011)=1,2,IF(WEEKDAY(B4011)=7,1,0))))))</f>
        <v>3</v>
      </c>
      <c r="V4011" s="328">
        <f>VLOOKUP(C4011,METADATA!$A$5:$H$29,IF(E4011="HI",2,IF(E4011="LO",6,10))+IF(T4011=1,2,IF(D4011=7,1,(IF(WEEKDAY(B4011)=1,2,IF(WEEKDAY(B4011)=7,1,0))))))</f>
        <v>3</v>
      </c>
    </row>
    <row r="4012" spans="2:22">
      <c r="B4012" s="318">
        <f t="shared" si="251"/>
        <v>46280</v>
      </c>
      <c r="C4012" s="312">
        <v>0</v>
      </c>
      <c r="D4012" s="368">
        <f>IFERROR((INDEX(METADATA!$T$2:$T$20,MATCH(B4012,METADATA!$S$2:$S$20,0))),0)</f>
        <v>0</v>
      </c>
      <c r="E4012" s="312" t="str">
        <f t="shared" si="248"/>
        <v>LO</v>
      </c>
      <c r="F4012" s="369">
        <f>VLOOKUP(C4012,METADATA!$A$5:$H$29,IF(E4012="HI",2,IF(E4012="LO",6,10))+IF(D4012=1,2,IF(D4012=7,1,(IF(WEEKDAY(B4012)=1,2,IF(WEEKDAY(B4012)=7,1,0))))))</f>
        <v>3</v>
      </c>
      <c r="G4012" s="369">
        <f>VLOOKUP(C4012,METADATA!$J$5:$Q$29,IF(E4012="HI",2,IF(E4012="LO",6,10))+IF(D4012=1,2,IF(D4012=7,1,(IF(WEEKDAY(B4012)=1,2,IF(WEEKDAY(B4012)=7,1,0))))))</f>
        <v>3</v>
      </c>
      <c r="H4012" s="370">
        <v>12462.350219726563</v>
      </c>
      <c r="I4012" s="370">
        <v>3619.3599853515625</v>
      </c>
      <c r="M4012" s="371">
        <f t="shared" si="249"/>
        <v>12977.285529057404</v>
      </c>
      <c r="N4012" s="329">
        <f t="shared" si="250"/>
        <v>0</v>
      </c>
      <c r="T4012" s="331">
        <v>0</v>
      </c>
      <c r="U4012" s="328">
        <f>VLOOKUP(C4012,METADATA!$J$5:$Q$29,IF(E4012="HI",2,IF(E4012="LO",6,10))+IF(T4012=1,2,IF(D4012=7,1,(IF(WEEKDAY(B4012)=1,2,IF(WEEKDAY(B4012)=7,1,0))))))</f>
        <v>3</v>
      </c>
      <c r="V4012" s="328">
        <f>VLOOKUP(C4012,METADATA!$A$5:$H$29,IF(E4012="HI",2,IF(E4012="LO",6,10))+IF(T4012=1,2,IF(D4012=7,1,(IF(WEEKDAY(B4012)=1,2,IF(WEEKDAY(B4012)=7,1,0))))))</f>
        <v>3</v>
      </c>
    </row>
    <row r="4013" spans="2:22">
      <c r="B4013" s="318">
        <f t="shared" si="251"/>
        <v>46280</v>
      </c>
      <c r="C4013" s="312">
        <v>1</v>
      </c>
      <c r="D4013" s="368">
        <f>IFERROR((INDEX(METADATA!$T$2:$T$20,MATCH(B4013,METADATA!$S$2:$S$20,0))),0)</f>
        <v>0</v>
      </c>
      <c r="E4013" s="312" t="str">
        <f t="shared" si="248"/>
        <v>LO</v>
      </c>
      <c r="F4013" s="369">
        <f>VLOOKUP(C4013,METADATA!$A$5:$H$29,IF(E4013="HI",2,IF(E4013="LO",6,10))+IF(D4013=1,2,IF(D4013=7,1,(IF(WEEKDAY(B4013)=1,2,IF(WEEKDAY(B4013)=7,1,0))))))</f>
        <v>3</v>
      </c>
      <c r="G4013" s="369">
        <f>VLOOKUP(C4013,METADATA!$J$5:$Q$29,IF(E4013="HI",2,IF(E4013="LO",6,10))+IF(D4013=1,2,IF(D4013=7,1,(IF(WEEKDAY(B4013)=1,2,IF(WEEKDAY(B4013)=7,1,0))))))</f>
        <v>3</v>
      </c>
      <c r="H4013" s="370">
        <v>12616.795532226563</v>
      </c>
      <c r="I4013" s="370">
        <v>3839.527587890625</v>
      </c>
      <c r="M4013" s="371">
        <f t="shared" si="249"/>
        <v>13188.081801391183</v>
      </c>
      <c r="N4013" s="329">
        <f t="shared" si="250"/>
        <v>54.488928222656341</v>
      </c>
      <c r="T4013" s="331">
        <v>0</v>
      </c>
      <c r="U4013" s="328">
        <f>VLOOKUP(C4013,METADATA!$J$5:$Q$29,IF(E4013="HI",2,IF(E4013="LO",6,10))+IF(T4013=1,2,IF(D4013=7,1,(IF(WEEKDAY(B4013)=1,2,IF(WEEKDAY(B4013)=7,1,0))))))</f>
        <v>3</v>
      </c>
      <c r="V4013" s="328">
        <f>VLOOKUP(C4013,METADATA!$A$5:$H$29,IF(E4013="HI",2,IF(E4013="LO",6,10))+IF(T4013=1,2,IF(D4013=7,1,(IF(WEEKDAY(B4013)=1,2,IF(WEEKDAY(B4013)=7,1,0))))))</f>
        <v>3</v>
      </c>
    </row>
    <row r="4014" spans="2:22">
      <c r="B4014" s="318">
        <f t="shared" si="251"/>
        <v>46280</v>
      </c>
      <c r="C4014" s="312">
        <v>2</v>
      </c>
      <c r="D4014" s="368">
        <f>IFERROR((INDEX(METADATA!$T$2:$T$20,MATCH(B4014,METADATA!$S$2:$S$20,0))),0)</f>
        <v>0</v>
      </c>
      <c r="E4014" s="312" t="str">
        <f t="shared" si="248"/>
        <v>LO</v>
      </c>
      <c r="F4014" s="369">
        <f>VLOOKUP(C4014,METADATA!$A$5:$H$29,IF(E4014="HI",2,IF(E4014="LO",6,10))+IF(D4014=1,2,IF(D4014=7,1,(IF(WEEKDAY(B4014)=1,2,IF(WEEKDAY(B4014)=7,1,0))))))</f>
        <v>3</v>
      </c>
      <c r="G4014" s="369">
        <f>VLOOKUP(C4014,METADATA!$J$5:$Q$29,IF(E4014="HI",2,IF(E4014="LO",6,10))+IF(D4014=1,2,IF(D4014=7,1,(IF(WEEKDAY(B4014)=1,2,IF(WEEKDAY(B4014)=7,1,0))))))</f>
        <v>3</v>
      </c>
      <c r="H4014" s="370">
        <v>12877.750244140625</v>
      </c>
      <c r="I4014" s="370">
        <v>3970.1399536132813</v>
      </c>
      <c r="M4014" s="371">
        <f t="shared" si="249"/>
        <v>13475.847379728682</v>
      </c>
      <c r="N4014" s="329">
        <f t="shared" si="250"/>
        <v>106.81488037109375</v>
      </c>
      <c r="T4014" s="331">
        <v>0</v>
      </c>
      <c r="U4014" s="328">
        <f>VLOOKUP(C4014,METADATA!$J$5:$Q$29,IF(E4014="HI",2,IF(E4014="LO",6,10))+IF(T4014=1,2,IF(D4014=7,1,(IF(WEEKDAY(B4014)=1,2,IF(WEEKDAY(B4014)=7,1,0))))))</f>
        <v>3</v>
      </c>
      <c r="V4014" s="328">
        <f>VLOOKUP(C4014,METADATA!$A$5:$H$29,IF(E4014="HI",2,IF(E4014="LO",6,10))+IF(T4014=1,2,IF(D4014=7,1,(IF(WEEKDAY(B4014)=1,2,IF(WEEKDAY(B4014)=7,1,0))))))</f>
        <v>3</v>
      </c>
    </row>
    <row r="4015" spans="2:22">
      <c r="B4015" s="318">
        <f t="shared" si="251"/>
        <v>46280</v>
      </c>
      <c r="C4015" s="312">
        <v>3</v>
      </c>
      <c r="D4015" s="368">
        <f>IFERROR((INDEX(METADATA!$T$2:$T$20,MATCH(B4015,METADATA!$S$2:$S$20,0))),0)</f>
        <v>0</v>
      </c>
      <c r="E4015" s="312" t="str">
        <f t="shared" si="248"/>
        <v>LO</v>
      </c>
      <c r="F4015" s="369">
        <f>VLOOKUP(C4015,METADATA!$A$5:$H$29,IF(E4015="HI",2,IF(E4015="LO",6,10))+IF(D4015=1,2,IF(D4015=7,1,(IF(WEEKDAY(B4015)=1,2,IF(WEEKDAY(B4015)=7,1,0))))))</f>
        <v>3</v>
      </c>
      <c r="G4015" s="369">
        <f>VLOOKUP(C4015,METADATA!$J$5:$Q$29,IF(E4015="HI",2,IF(E4015="LO",6,10))+IF(D4015=1,2,IF(D4015=7,1,(IF(WEEKDAY(B4015)=1,2,IF(WEEKDAY(B4015)=7,1,0))))))</f>
        <v>3</v>
      </c>
      <c r="H4015" s="370">
        <v>12851.624816894531</v>
      </c>
      <c r="I4015" s="370">
        <v>4049.0350036621094</v>
      </c>
      <c r="M4015" s="371">
        <f t="shared" si="249"/>
        <v>13474.381057959597</v>
      </c>
      <c r="N4015" s="329">
        <f t="shared" si="250"/>
        <v>193.54755859375018</v>
      </c>
      <c r="T4015" s="331">
        <v>0</v>
      </c>
      <c r="U4015" s="328">
        <f>VLOOKUP(C4015,METADATA!$J$5:$Q$29,IF(E4015="HI",2,IF(E4015="LO",6,10))+IF(T4015=1,2,IF(D4015=7,1,(IF(WEEKDAY(B4015)=1,2,IF(WEEKDAY(B4015)=7,1,0))))))</f>
        <v>3</v>
      </c>
      <c r="V4015" s="328">
        <f>VLOOKUP(C4015,METADATA!$A$5:$H$29,IF(E4015="HI",2,IF(E4015="LO",6,10))+IF(T4015=1,2,IF(D4015=7,1,(IF(WEEKDAY(B4015)=1,2,IF(WEEKDAY(B4015)=7,1,0))))))</f>
        <v>3</v>
      </c>
    </row>
    <row r="4016" spans="2:22">
      <c r="B4016" s="318">
        <f t="shared" si="251"/>
        <v>46280</v>
      </c>
      <c r="C4016" s="312">
        <v>4</v>
      </c>
      <c r="D4016" s="368">
        <f>IFERROR((INDEX(METADATA!$T$2:$T$20,MATCH(B4016,METADATA!$S$2:$S$20,0))),0)</f>
        <v>0</v>
      </c>
      <c r="E4016" s="312" t="str">
        <f t="shared" si="248"/>
        <v>LO</v>
      </c>
      <c r="F4016" s="369">
        <f>VLOOKUP(C4016,METADATA!$A$5:$H$29,IF(E4016="HI",2,IF(E4016="LO",6,10))+IF(D4016=1,2,IF(D4016=7,1,(IF(WEEKDAY(B4016)=1,2,IF(WEEKDAY(B4016)=7,1,0))))))</f>
        <v>3</v>
      </c>
      <c r="G4016" s="369">
        <f>VLOOKUP(C4016,METADATA!$J$5:$Q$29,IF(E4016="HI",2,IF(E4016="LO",6,10))+IF(D4016=1,2,IF(D4016=7,1,(IF(WEEKDAY(B4016)=1,2,IF(WEEKDAY(B4016)=7,1,0))))))</f>
        <v>3</v>
      </c>
      <c r="H4016" s="370">
        <v>12942.999938964844</v>
      </c>
      <c r="I4016" s="370">
        <v>4066</v>
      </c>
      <c r="M4016" s="371">
        <f t="shared" si="249"/>
        <v>13566.635670645981</v>
      </c>
      <c r="N4016" s="329">
        <f t="shared" si="250"/>
        <v>183.10001831054706</v>
      </c>
      <c r="T4016" s="331">
        <v>0</v>
      </c>
      <c r="U4016" s="328">
        <f>VLOOKUP(C4016,METADATA!$J$5:$Q$29,IF(E4016="HI",2,IF(E4016="LO",6,10))+IF(T4016=1,2,IF(D4016=7,1,(IF(WEEKDAY(B4016)=1,2,IF(WEEKDAY(B4016)=7,1,0))))))</f>
        <v>3</v>
      </c>
      <c r="V4016" s="328">
        <f>VLOOKUP(C4016,METADATA!$A$5:$H$29,IF(E4016="HI",2,IF(E4016="LO",6,10))+IF(T4016=1,2,IF(D4016=7,1,(IF(WEEKDAY(B4016)=1,2,IF(WEEKDAY(B4016)=7,1,0))))))</f>
        <v>3</v>
      </c>
    </row>
    <row r="4017" spans="2:22">
      <c r="B4017" s="318">
        <f t="shared" si="251"/>
        <v>46280</v>
      </c>
      <c r="C4017" s="312">
        <v>5</v>
      </c>
      <c r="D4017" s="368">
        <f>IFERROR((INDEX(METADATA!$T$2:$T$20,MATCH(B4017,METADATA!$S$2:$S$20,0))),0)</f>
        <v>0</v>
      </c>
      <c r="E4017" s="312" t="str">
        <f t="shared" si="248"/>
        <v>LO</v>
      </c>
      <c r="F4017" s="369">
        <f>VLOOKUP(C4017,METADATA!$A$5:$H$29,IF(E4017="HI",2,IF(E4017="LO",6,10))+IF(D4017=1,2,IF(D4017=7,1,(IF(WEEKDAY(B4017)=1,2,IF(WEEKDAY(B4017)=7,1,0))))))</f>
        <v>3</v>
      </c>
      <c r="G4017" s="369">
        <f>VLOOKUP(C4017,METADATA!$J$5:$Q$29,IF(E4017="HI",2,IF(E4017="LO",6,10))+IF(D4017=1,2,IF(D4017=7,1,(IF(WEEKDAY(B4017)=1,2,IF(WEEKDAY(B4017)=7,1,0))))))</f>
        <v>3</v>
      </c>
      <c r="H4017" s="370">
        <v>12733.174743652344</v>
      </c>
      <c r="I4017" s="370">
        <v>3687.0250549316406</v>
      </c>
      <c r="M4017" s="371">
        <f t="shared" si="249"/>
        <v>13256.239768806221</v>
      </c>
      <c r="N4017" s="329">
        <f t="shared" si="250"/>
        <v>0</v>
      </c>
      <c r="T4017" s="331">
        <v>0</v>
      </c>
      <c r="U4017" s="328">
        <f>VLOOKUP(C4017,METADATA!$J$5:$Q$29,IF(E4017="HI",2,IF(E4017="LO",6,10))+IF(T4017=1,2,IF(D4017=7,1,(IF(WEEKDAY(B4017)=1,2,IF(WEEKDAY(B4017)=7,1,0))))))</f>
        <v>3</v>
      </c>
      <c r="V4017" s="328">
        <f>VLOOKUP(C4017,METADATA!$A$5:$H$29,IF(E4017="HI",2,IF(E4017="LO",6,10))+IF(T4017=1,2,IF(D4017=7,1,(IF(WEEKDAY(B4017)=1,2,IF(WEEKDAY(B4017)=7,1,0))))))</f>
        <v>3</v>
      </c>
    </row>
    <row r="4018" spans="2:22">
      <c r="B4018" s="318">
        <f t="shared" si="251"/>
        <v>46280</v>
      </c>
      <c r="C4018" s="312">
        <v>6</v>
      </c>
      <c r="D4018" s="368">
        <f>IFERROR((INDEX(METADATA!$T$2:$T$20,MATCH(B4018,METADATA!$S$2:$S$20,0))),0)</f>
        <v>0</v>
      </c>
      <c r="E4018" s="312" t="str">
        <f t="shared" si="248"/>
        <v>LO</v>
      </c>
      <c r="F4018" s="369">
        <f>VLOOKUP(C4018,METADATA!$A$5:$H$29,IF(E4018="HI",2,IF(E4018="LO",6,10))+IF(D4018=1,2,IF(D4018=7,1,(IF(WEEKDAY(B4018)=1,2,IF(WEEKDAY(B4018)=7,1,0))))))</f>
        <v>2</v>
      </c>
      <c r="G4018" s="369">
        <f>VLOOKUP(C4018,METADATA!$J$5:$Q$29,IF(E4018="HI",2,IF(E4018="LO",6,10))+IF(D4018=1,2,IF(D4018=7,1,(IF(WEEKDAY(B4018)=1,2,IF(WEEKDAY(B4018)=7,1,0))))))</f>
        <v>2</v>
      </c>
      <c r="H4018" s="370">
        <v>12634.324890136719</v>
      </c>
      <c r="I4018" s="370">
        <v>3650.6250152587891</v>
      </c>
      <c r="M4018" s="371">
        <f t="shared" si="249"/>
        <v>13151.168329527283</v>
      </c>
      <c r="N4018" s="329">
        <f t="shared" si="250"/>
        <v>0</v>
      </c>
      <c r="T4018" s="331">
        <v>0</v>
      </c>
      <c r="U4018" s="328">
        <f>VLOOKUP(C4018,METADATA!$J$5:$Q$29,IF(E4018="HI",2,IF(E4018="LO",6,10))+IF(T4018=1,2,IF(D4018=7,1,(IF(WEEKDAY(B4018)=1,2,IF(WEEKDAY(B4018)=7,1,0))))))</f>
        <v>2</v>
      </c>
      <c r="V4018" s="328">
        <f>VLOOKUP(C4018,METADATA!$A$5:$H$29,IF(E4018="HI",2,IF(E4018="LO",6,10))+IF(T4018=1,2,IF(D4018=7,1,(IF(WEEKDAY(B4018)=1,2,IF(WEEKDAY(B4018)=7,1,0))))))</f>
        <v>2</v>
      </c>
    </row>
    <row r="4019" spans="2:22">
      <c r="B4019" s="318">
        <f t="shared" si="251"/>
        <v>46280</v>
      </c>
      <c r="C4019" s="312">
        <v>7</v>
      </c>
      <c r="D4019" s="368">
        <f>IFERROR((INDEX(METADATA!$T$2:$T$20,MATCH(B4019,METADATA!$S$2:$S$20,0))),0)</f>
        <v>0</v>
      </c>
      <c r="E4019" s="312" t="str">
        <f t="shared" si="248"/>
        <v>LO</v>
      </c>
      <c r="F4019" s="369">
        <f>VLOOKUP(C4019,METADATA!$A$5:$H$29,IF(E4019="HI",2,IF(E4019="LO",6,10))+IF(D4019=1,2,IF(D4019=7,1,(IF(WEEKDAY(B4019)=1,2,IF(WEEKDAY(B4019)=7,1,0))))))</f>
        <v>1</v>
      </c>
      <c r="G4019" s="369">
        <f>VLOOKUP(C4019,METADATA!$J$5:$Q$29,IF(E4019="HI",2,IF(E4019="LO",6,10))+IF(D4019=1,2,IF(D4019=7,1,(IF(WEEKDAY(B4019)=1,2,IF(WEEKDAY(B4019)=7,1,0))))))</f>
        <v>1</v>
      </c>
      <c r="H4019" s="370">
        <v>12680.299987792969</v>
      </c>
      <c r="I4019" s="370">
        <v>3698.5749359130859</v>
      </c>
      <c r="M4019" s="371">
        <f t="shared" si="249"/>
        <v>13208.688971165413</v>
      </c>
      <c r="N4019" s="329">
        <f t="shared" si="250"/>
        <v>0</v>
      </c>
      <c r="T4019" s="331">
        <v>0</v>
      </c>
      <c r="U4019" s="328">
        <f>VLOOKUP(C4019,METADATA!$J$5:$Q$29,IF(E4019="HI",2,IF(E4019="LO",6,10))+IF(T4019=1,2,IF(D4019=7,1,(IF(WEEKDAY(B4019)=1,2,IF(WEEKDAY(B4019)=7,1,0))))))</f>
        <v>1</v>
      </c>
      <c r="V4019" s="328">
        <f>VLOOKUP(C4019,METADATA!$A$5:$H$29,IF(E4019="HI",2,IF(E4019="LO",6,10))+IF(T4019=1,2,IF(D4019=7,1,(IF(WEEKDAY(B4019)=1,2,IF(WEEKDAY(B4019)=7,1,0))))))</f>
        <v>1</v>
      </c>
    </row>
    <row r="4020" spans="2:22">
      <c r="B4020" s="318">
        <f t="shared" si="251"/>
        <v>46280</v>
      </c>
      <c r="C4020" s="312">
        <v>8</v>
      </c>
      <c r="D4020" s="368">
        <f>IFERROR((INDEX(METADATA!$T$2:$T$20,MATCH(B4020,METADATA!$S$2:$S$20,0))),0)</f>
        <v>0</v>
      </c>
      <c r="E4020" s="312" t="str">
        <f t="shared" si="248"/>
        <v>LO</v>
      </c>
      <c r="F4020" s="369">
        <f>VLOOKUP(C4020,METADATA!$A$5:$H$29,IF(E4020="HI",2,IF(E4020="LO",6,10))+IF(D4020=1,2,IF(D4020=7,1,(IF(WEEKDAY(B4020)=1,2,IF(WEEKDAY(B4020)=7,1,0))))))</f>
        <v>1</v>
      </c>
      <c r="G4020" s="369">
        <f>VLOOKUP(C4020,METADATA!$J$5:$Q$29,IF(E4020="HI",2,IF(E4020="LO",6,10))+IF(D4020=1,2,IF(D4020=7,1,(IF(WEEKDAY(B4020)=1,2,IF(WEEKDAY(B4020)=7,1,0))))))</f>
        <v>1</v>
      </c>
      <c r="H4020" s="370">
        <v>12778.100219726563</v>
      </c>
      <c r="I4020" s="370">
        <v>3933.5250549316406</v>
      </c>
      <c r="M4020" s="371">
        <f t="shared" si="249"/>
        <v>13369.834126987178</v>
      </c>
      <c r="N4020" s="329">
        <f t="shared" si="250"/>
        <v>100.09498901367215</v>
      </c>
      <c r="T4020" s="331">
        <v>0</v>
      </c>
      <c r="U4020" s="328">
        <f>VLOOKUP(C4020,METADATA!$J$5:$Q$29,IF(E4020="HI",2,IF(E4020="LO",6,10))+IF(T4020=1,2,IF(D4020=7,1,(IF(WEEKDAY(B4020)=1,2,IF(WEEKDAY(B4020)=7,1,0))))))</f>
        <v>1</v>
      </c>
      <c r="V4020" s="328">
        <f>VLOOKUP(C4020,METADATA!$A$5:$H$29,IF(E4020="HI",2,IF(E4020="LO",6,10))+IF(T4020=1,2,IF(D4020=7,1,(IF(WEEKDAY(B4020)=1,2,IF(WEEKDAY(B4020)=7,1,0))))))</f>
        <v>1</v>
      </c>
    </row>
    <row r="4021" spans="2:22">
      <c r="B4021" s="318">
        <f t="shared" si="251"/>
        <v>46280</v>
      </c>
      <c r="C4021" s="312">
        <v>9</v>
      </c>
      <c r="D4021" s="368">
        <f>IFERROR((INDEX(METADATA!$T$2:$T$20,MATCH(B4021,METADATA!$S$2:$S$20,0))),0)</f>
        <v>0</v>
      </c>
      <c r="E4021" s="312" t="str">
        <f t="shared" si="248"/>
        <v>LO</v>
      </c>
      <c r="F4021" s="369">
        <f>VLOOKUP(C4021,METADATA!$A$5:$H$29,IF(E4021="HI",2,IF(E4021="LO",6,10))+IF(D4021=1,2,IF(D4021=7,1,(IF(WEEKDAY(B4021)=1,2,IF(WEEKDAY(B4021)=7,1,0))))))</f>
        <v>2</v>
      </c>
      <c r="G4021" s="369">
        <f>VLOOKUP(C4021,METADATA!$J$5:$Q$29,IF(E4021="HI",2,IF(E4021="LO",6,10))+IF(D4021=1,2,IF(D4021=7,1,(IF(WEEKDAY(B4021)=1,2,IF(WEEKDAY(B4021)=7,1,0))))))</f>
        <v>2</v>
      </c>
      <c r="H4021" s="370">
        <v>12737.874938964844</v>
      </c>
      <c r="I4021" s="370">
        <v>3730.6650238037109</v>
      </c>
      <c r="M4021" s="371">
        <f t="shared" si="249"/>
        <v>13272.954436768814</v>
      </c>
      <c r="N4021" s="329">
        <f t="shared" si="250"/>
        <v>0</v>
      </c>
      <c r="T4021" s="331">
        <v>0</v>
      </c>
      <c r="U4021" s="328">
        <f>VLOOKUP(C4021,METADATA!$J$5:$Q$29,IF(E4021="HI",2,IF(E4021="LO",6,10))+IF(T4021=1,2,IF(D4021=7,1,(IF(WEEKDAY(B4021)=1,2,IF(WEEKDAY(B4021)=7,1,0))))))</f>
        <v>2</v>
      </c>
      <c r="V4021" s="328">
        <f>VLOOKUP(C4021,METADATA!$A$5:$H$29,IF(E4021="HI",2,IF(E4021="LO",6,10))+IF(T4021=1,2,IF(D4021=7,1,(IF(WEEKDAY(B4021)=1,2,IF(WEEKDAY(B4021)=7,1,0))))))</f>
        <v>2</v>
      </c>
    </row>
    <row r="4022" spans="2:22">
      <c r="B4022" s="318">
        <f t="shared" si="251"/>
        <v>46280</v>
      </c>
      <c r="C4022" s="312">
        <v>10</v>
      </c>
      <c r="D4022" s="368">
        <f>IFERROR((INDEX(METADATA!$T$2:$T$20,MATCH(B4022,METADATA!$S$2:$S$20,0))),0)</f>
        <v>0</v>
      </c>
      <c r="E4022" s="312" t="str">
        <f t="shared" si="248"/>
        <v>LO</v>
      </c>
      <c r="F4022" s="369">
        <f>VLOOKUP(C4022,METADATA!$A$5:$H$29,IF(E4022="HI",2,IF(E4022="LO",6,10))+IF(D4022=1,2,IF(D4022=7,1,(IF(WEEKDAY(B4022)=1,2,IF(WEEKDAY(B4022)=7,1,0))))))</f>
        <v>2</v>
      </c>
      <c r="G4022" s="369">
        <f>VLOOKUP(C4022,METADATA!$J$5:$Q$29,IF(E4022="HI",2,IF(E4022="LO",6,10))+IF(D4022=1,2,IF(D4022=7,1,(IF(WEEKDAY(B4022)=1,2,IF(WEEKDAY(B4022)=7,1,0))))))</f>
        <v>2</v>
      </c>
      <c r="H4022" s="370">
        <v>11781.975036621094</v>
      </c>
      <c r="I4022" s="370">
        <v>2931.8850250244141</v>
      </c>
      <c r="M4022" s="371">
        <f t="shared" si="249"/>
        <v>12141.288463895626</v>
      </c>
      <c r="N4022" s="329">
        <f t="shared" si="250"/>
        <v>0</v>
      </c>
      <c r="T4022" s="331">
        <v>0</v>
      </c>
      <c r="U4022" s="328">
        <f>VLOOKUP(C4022,METADATA!$J$5:$Q$29,IF(E4022="HI",2,IF(E4022="LO",6,10))+IF(T4022=1,2,IF(D4022=7,1,(IF(WEEKDAY(B4022)=1,2,IF(WEEKDAY(B4022)=7,1,0))))))</f>
        <v>2</v>
      </c>
      <c r="V4022" s="328">
        <f>VLOOKUP(C4022,METADATA!$A$5:$H$29,IF(E4022="HI",2,IF(E4022="LO",6,10))+IF(T4022=1,2,IF(D4022=7,1,(IF(WEEKDAY(B4022)=1,2,IF(WEEKDAY(B4022)=7,1,0))))))</f>
        <v>2</v>
      </c>
    </row>
    <row r="4023" spans="2:22">
      <c r="B4023" s="318">
        <f t="shared" si="251"/>
        <v>46280</v>
      </c>
      <c r="C4023" s="312">
        <v>11</v>
      </c>
      <c r="D4023" s="368">
        <f>IFERROR((INDEX(METADATA!$T$2:$T$20,MATCH(B4023,METADATA!$S$2:$S$20,0))),0)</f>
        <v>0</v>
      </c>
      <c r="E4023" s="312" t="str">
        <f t="shared" si="248"/>
        <v>LO</v>
      </c>
      <c r="F4023" s="369">
        <f>VLOOKUP(C4023,METADATA!$A$5:$H$29,IF(E4023="HI",2,IF(E4023="LO",6,10))+IF(D4023=1,2,IF(D4023=7,1,(IF(WEEKDAY(B4023)=1,2,IF(WEEKDAY(B4023)=7,1,0))))))</f>
        <v>2</v>
      </c>
      <c r="G4023" s="369">
        <f>VLOOKUP(C4023,METADATA!$J$5:$Q$29,IF(E4023="HI",2,IF(E4023="LO",6,10))+IF(D4023=1,2,IF(D4023=7,1,(IF(WEEKDAY(B4023)=1,2,IF(WEEKDAY(B4023)=7,1,0))))))</f>
        <v>2</v>
      </c>
      <c r="H4023" s="370">
        <v>11680.749755859375</v>
      </c>
      <c r="I4023" s="370">
        <v>2876.2600212097168</v>
      </c>
      <c r="M4023" s="371">
        <f t="shared" si="249"/>
        <v>12029.662778674146</v>
      </c>
      <c r="N4023" s="329">
        <f t="shared" si="250"/>
        <v>0</v>
      </c>
      <c r="T4023" s="331">
        <v>0</v>
      </c>
      <c r="U4023" s="328">
        <f>VLOOKUP(C4023,METADATA!$J$5:$Q$29,IF(E4023="HI",2,IF(E4023="LO",6,10))+IF(T4023=1,2,IF(D4023=7,1,(IF(WEEKDAY(B4023)=1,2,IF(WEEKDAY(B4023)=7,1,0))))))</f>
        <v>2</v>
      </c>
      <c r="V4023" s="328">
        <f>VLOOKUP(C4023,METADATA!$A$5:$H$29,IF(E4023="HI",2,IF(E4023="LO",6,10))+IF(T4023=1,2,IF(D4023=7,1,(IF(WEEKDAY(B4023)=1,2,IF(WEEKDAY(B4023)=7,1,0))))))</f>
        <v>2</v>
      </c>
    </row>
    <row r="4024" spans="2:22">
      <c r="B4024" s="318">
        <f t="shared" si="251"/>
        <v>46280</v>
      </c>
      <c r="C4024" s="312">
        <v>12</v>
      </c>
      <c r="D4024" s="368">
        <f>IFERROR((INDEX(METADATA!$T$2:$T$20,MATCH(B4024,METADATA!$S$2:$S$20,0))),0)</f>
        <v>0</v>
      </c>
      <c r="E4024" s="312" t="str">
        <f t="shared" si="248"/>
        <v>LO</v>
      </c>
      <c r="F4024" s="369">
        <f>VLOOKUP(C4024,METADATA!$A$5:$H$29,IF(E4024="HI",2,IF(E4024="LO",6,10))+IF(D4024=1,2,IF(D4024=7,1,(IF(WEEKDAY(B4024)=1,2,IF(WEEKDAY(B4024)=7,1,0))))))</f>
        <v>2</v>
      </c>
      <c r="G4024" s="369">
        <f>VLOOKUP(C4024,METADATA!$J$5:$Q$29,IF(E4024="HI",2,IF(E4024="LO",6,10))+IF(D4024=1,2,IF(D4024=7,1,(IF(WEEKDAY(B4024)=1,2,IF(WEEKDAY(B4024)=7,1,0))))))</f>
        <v>2</v>
      </c>
      <c r="H4024" s="370">
        <v>12677.824951171875</v>
      </c>
      <c r="I4024" s="370">
        <v>3792.3800659179688</v>
      </c>
      <c r="M4024" s="371">
        <f t="shared" si="249"/>
        <v>13232.890540502787</v>
      </c>
      <c r="N4024" s="329">
        <f t="shared" si="250"/>
        <v>0</v>
      </c>
      <c r="T4024" s="331">
        <v>0</v>
      </c>
      <c r="U4024" s="328">
        <f>VLOOKUP(C4024,METADATA!$J$5:$Q$29,IF(E4024="HI",2,IF(E4024="LO",6,10))+IF(T4024=1,2,IF(D4024=7,1,(IF(WEEKDAY(B4024)=1,2,IF(WEEKDAY(B4024)=7,1,0))))))</f>
        <v>2</v>
      </c>
      <c r="V4024" s="328">
        <f>VLOOKUP(C4024,METADATA!$A$5:$H$29,IF(E4024="HI",2,IF(E4024="LO",6,10))+IF(T4024=1,2,IF(D4024=7,1,(IF(WEEKDAY(B4024)=1,2,IF(WEEKDAY(B4024)=7,1,0))))))</f>
        <v>2</v>
      </c>
    </row>
    <row r="4025" spans="2:22">
      <c r="B4025" s="318">
        <f t="shared" si="251"/>
        <v>46280</v>
      </c>
      <c r="C4025" s="312">
        <v>13</v>
      </c>
      <c r="D4025" s="368">
        <f>IFERROR((INDEX(METADATA!$T$2:$T$20,MATCH(B4025,METADATA!$S$2:$S$20,0))),0)</f>
        <v>0</v>
      </c>
      <c r="E4025" s="312" t="str">
        <f t="shared" si="248"/>
        <v>LO</v>
      </c>
      <c r="F4025" s="369">
        <f>VLOOKUP(C4025,METADATA!$A$5:$H$29,IF(E4025="HI",2,IF(E4025="LO",6,10))+IF(D4025=1,2,IF(D4025=7,1,(IF(WEEKDAY(B4025)=1,2,IF(WEEKDAY(B4025)=7,1,0))))))</f>
        <v>2</v>
      </c>
      <c r="G4025" s="369">
        <f>VLOOKUP(C4025,METADATA!$J$5:$Q$29,IF(E4025="HI",2,IF(E4025="LO",6,10))+IF(D4025=1,2,IF(D4025=7,1,(IF(WEEKDAY(B4025)=1,2,IF(WEEKDAY(B4025)=7,1,0))))))</f>
        <v>2</v>
      </c>
      <c r="H4025" s="370">
        <v>12984.000122070313</v>
      </c>
      <c r="I4025" s="370">
        <v>4112.9850463867188</v>
      </c>
      <c r="M4025" s="371">
        <f t="shared" si="249"/>
        <v>13619.871701367918</v>
      </c>
      <c r="N4025" s="329">
        <f t="shared" si="250"/>
        <v>217.78500976562509</v>
      </c>
      <c r="T4025" s="331">
        <v>0</v>
      </c>
      <c r="U4025" s="328">
        <f>VLOOKUP(C4025,METADATA!$J$5:$Q$29,IF(E4025="HI",2,IF(E4025="LO",6,10))+IF(T4025=1,2,IF(D4025=7,1,(IF(WEEKDAY(B4025)=1,2,IF(WEEKDAY(B4025)=7,1,0))))))</f>
        <v>2</v>
      </c>
      <c r="V4025" s="328">
        <f>VLOOKUP(C4025,METADATA!$A$5:$H$29,IF(E4025="HI",2,IF(E4025="LO",6,10))+IF(T4025=1,2,IF(D4025=7,1,(IF(WEEKDAY(B4025)=1,2,IF(WEEKDAY(B4025)=7,1,0))))))</f>
        <v>2</v>
      </c>
    </row>
    <row r="4026" spans="2:22">
      <c r="B4026" s="318">
        <f t="shared" si="251"/>
        <v>46280</v>
      </c>
      <c r="C4026" s="312">
        <v>14</v>
      </c>
      <c r="D4026" s="368">
        <f>IFERROR((INDEX(METADATA!$T$2:$T$20,MATCH(B4026,METADATA!$S$2:$S$20,0))),0)</f>
        <v>0</v>
      </c>
      <c r="E4026" s="312" t="str">
        <f t="shared" si="248"/>
        <v>LO</v>
      </c>
      <c r="F4026" s="369">
        <f>VLOOKUP(C4026,METADATA!$A$5:$H$29,IF(E4026="HI",2,IF(E4026="LO",6,10))+IF(D4026=1,2,IF(D4026=7,1,(IF(WEEKDAY(B4026)=1,2,IF(WEEKDAY(B4026)=7,1,0))))))</f>
        <v>2</v>
      </c>
      <c r="G4026" s="369">
        <f>VLOOKUP(C4026,METADATA!$J$5:$Q$29,IF(E4026="HI",2,IF(E4026="LO",6,10))+IF(D4026=1,2,IF(D4026=7,1,(IF(WEEKDAY(B4026)=1,2,IF(WEEKDAY(B4026)=7,1,0))))))</f>
        <v>2</v>
      </c>
      <c r="H4026" s="370">
        <v>13231.475036621094</v>
      </c>
      <c r="I4026" s="370">
        <v>4216.8699340820313</v>
      </c>
      <c r="M4026" s="371">
        <f t="shared" si="249"/>
        <v>13887.185592685515</v>
      </c>
      <c r="N4026" s="329">
        <f t="shared" si="250"/>
        <v>247.42742309570349</v>
      </c>
      <c r="T4026" s="331">
        <v>0</v>
      </c>
      <c r="U4026" s="328">
        <f>VLOOKUP(C4026,METADATA!$J$5:$Q$29,IF(E4026="HI",2,IF(E4026="LO",6,10))+IF(T4026=1,2,IF(D4026=7,1,(IF(WEEKDAY(B4026)=1,2,IF(WEEKDAY(B4026)=7,1,0))))))</f>
        <v>2</v>
      </c>
      <c r="V4026" s="328">
        <f>VLOOKUP(C4026,METADATA!$A$5:$H$29,IF(E4026="HI",2,IF(E4026="LO",6,10))+IF(T4026=1,2,IF(D4026=7,1,(IF(WEEKDAY(B4026)=1,2,IF(WEEKDAY(B4026)=7,1,0))))))</f>
        <v>2</v>
      </c>
    </row>
    <row r="4027" spans="2:22">
      <c r="B4027" s="318">
        <f t="shared" si="251"/>
        <v>46280</v>
      </c>
      <c r="C4027" s="312">
        <v>15</v>
      </c>
      <c r="D4027" s="368">
        <f>IFERROR((INDEX(METADATA!$T$2:$T$20,MATCH(B4027,METADATA!$S$2:$S$20,0))),0)</f>
        <v>0</v>
      </c>
      <c r="E4027" s="312" t="str">
        <f t="shared" si="248"/>
        <v>LO</v>
      </c>
      <c r="F4027" s="369">
        <f>VLOOKUP(C4027,METADATA!$A$5:$H$29,IF(E4027="HI",2,IF(E4027="LO",6,10))+IF(D4027=1,2,IF(D4027=7,1,(IF(WEEKDAY(B4027)=1,2,IF(WEEKDAY(B4027)=7,1,0))))))</f>
        <v>2</v>
      </c>
      <c r="G4027" s="369">
        <f>VLOOKUP(C4027,METADATA!$J$5:$Q$29,IF(E4027="HI",2,IF(E4027="LO",6,10))+IF(D4027=1,2,IF(D4027=7,1,(IF(WEEKDAY(B4027)=1,2,IF(WEEKDAY(B4027)=7,1,0))))))</f>
        <v>2</v>
      </c>
      <c r="H4027" s="370">
        <v>13131.349975585938</v>
      </c>
      <c r="I4027" s="370">
        <v>4213.9600524902344</v>
      </c>
      <c r="M4027" s="371">
        <f t="shared" si="249"/>
        <v>13790.932220314342</v>
      </c>
      <c r="N4027" s="329">
        <f t="shared" si="250"/>
        <v>274.55505981445322</v>
      </c>
      <c r="T4027" s="331">
        <v>0</v>
      </c>
      <c r="U4027" s="328">
        <f>VLOOKUP(C4027,METADATA!$J$5:$Q$29,IF(E4027="HI",2,IF(E4027="LO",6,10))+IF(T4027=1,2,IF(D4027=7,1,(IF(WEEKDAY(B4027)=1,2,IF(WEEKDAY(B4027)=7,1,0))))))</f>
        <v>2</v>
      </c>
      <c r="V4027" s="328">
        <f>VLOOKUP(C4027,METADATA!$A$5:$H$29,IF(E4027="HI",2,IF(E4027="LO",6,10))+IF(T4027=1,2,IF(D4027=7,1,(IF(WEEKDAY(B4027)=1,2,IF(WEEKDAY(B4027)=7,1,0))))))</f>
        <v>2</v>
      </c>
    </row>
    <row r="4028" spans="2:22">
      <c r="B4028" s="318">
        <f t="shared" si="251"/>
        <v>46280</v>
      </c>
      <c r="C4028" s="312">
        <v>16</v>
      </c>
      <c r="D4028" s="368">
        <f>IFERROR((INDEX(METADATA!$T$2:$T$20,MATCH(B4028,METADATA!$S$2:$S$20,0))),0)</f>
        <v>0</v>
      </c>
      <c r="E4028" s="312" t="str">
        <f t="shared" si="248"/>
        <v>LO</v>
      </c>
      <c r="F4028" s="369">
        <f>VLOOKUP(C4028,METADATA!$A$5:$H$29,IF(E4028="HI",2,IF(E4028="LO",6,10))+IF(D4028=1,2,IF(D4028=7,1,(IF(WEEKDAY(B4028)=1,2,IF(WEEKDAY(B4028)=7,1,0))))))</f>
        <v>2</v>
      </c>
      <c r="G4028" s="369">
        <f>VLOOKUP(C4028,METADATA!$J$5:$Q$29,IF(E4028="HI",2,IF(E4028="LO",6,10))+IF(D4028=1,2,IF(D4028=7,1,(IF(WEEKDAY(B4028)=1,2,IF(WEEKDAY(B4028)=7,1,0))))))</f>
        <v>2</v>
      </c>
      <c r="H4028" s="370">
        <v>12964.725280761719</v>
      </c>
      <c r="I4028" s="370">
        <v>4181.8749389648438</v>
      </c>
      <c r="M4028" s="371">
        <f t="shared" si="249"/>
        <v>13622.488011033969</v>
      </c>
      <c r="N4028" s="329">
        <f t="shared" si="250"/>
        <v>292.4573547363284</v>
      </c>
      <c r="T4028" s="331">
        <v>0</v>
      </c>
      <c r="U4028" s="328">
        <f>VLOOKUP(C4028,METADATA!$J$5:$Q$29,IF(E4028="HI",2,IF(E4028="LO",6,10))+IF(T4028=1,2,IF(D4028=7,1,(IF(WEEKDAY(B4028)=1,2,IF(WEEKDAY(B4028)=7,1,0))))))</f>
        <v>2</v>
      </c>
      <c r="V4028" s="328">
        <f>VLOOKUP(C4028,METADATA!$A$5:$H$29,IF(E4028="HI",2,IF(E4028="LO",6,10))+IF(T4028=1,2,IF(D4028=7,1,(IF(WEEKDAY(B4028)=1,2,IF(WEEKDAY(B4028)=7,1,0))))))</f>
        <v>2</v>
      </c>
    </row>
    <row r="4029" spans="2:22">
      <c r="B4029" s="318">
        <f t="shared" si="251"/>
        <v>46280</v>
      </c>
      <c r="C4029" s="312">
        <v>17</v>
      </c>
      <c r="D4029" s="368">
        <f>IFERROR((INDEX(METADATA!$T$2:$T$20,MATCH(B4029,METADATA!$S$2:$S$20,0))),0)</f>
        <v>0</v>
      </c>
      <c r="E4029" s="312" t="str">
        <f t="shared" si="248"/>
        <v>LO</v>
      </c>
      <c r="F4029" s="369">
        <f>VLOOKUP(C4029,METADATA!$A$5:$H$29,IF(E4029="HI",2,IF(E4029="LO",6,10))+IF(D4029=1,2,IF(D4029=7,1,(IF(WEEKDAY(B4029)=1,2,IF(WEEKDAY(B4029)=7,1,0))))))</f>
        <v>2</v>
      </c>
      <c r="G4029" s="369">
        <f>VLOOKUP(C4029,METADATA!$J$5:$Q$29,IF(E4029="HI",2,IF(E4029="LO",6,10))+IF(D4029=1,2,IF(D4029=7,1,(IF(WEEKDAY(B4029)=1,2,IF(WEEKDAY(B4029)=7,1,0))))))</f>
        <v>2</v>
      </c>
      <c r="H4029" s="370">
        <v>12970.4248046875</v>
      </c>
      <c r="I4029" s="370">
        <v>4265.2950439453125</v>
      </c>
      <c r="M4029" s="371">
        <f t="shared" si="249"/>
        <v>13653.741663952676</v>
      </c>
      <c r="N4029" s="329">
        <f t="shared" si="250"/>
        <v>374.1676025390625</v>
      </c>
      <c r="T4029" s="331">
        <v>0</v>
      </c>
      <c r="U4029" s="328">
        <f>VLOOKUP(C4029,METADATA!$J$5:$Q$29,IF(E4029="HI",2,IF(E4029="LO",6,10))+IF(T4029=1,2,IF(D4029=7,1,(IF(WEEKDAY(B4029)=1,2,IF(WEEKDAY(B4029)=7,1,0))))))</f>
        <v>2</v>
      </c>
      <c r="V4029" s="328">
        <f>VLOOKUP(C4029,METADATA!$A$5:$H$29,IF(E4029="HI",2,IF(E4029="LO",6,10))+IF(T4029=1,2,IF(D4029=7,1,(IF(WEEKDAY(B4029)=1,2,IF(WEEKDAY(B4029)=7,1,0))))))</f>
        <v>2</v>
      </c>
    </row>
    <row r="4030" spans="2:22">
      <c r="B4030" s="318">
        <f t="shared" si="251"/>
        <v>46280</v>
      </c>
      <c r="C4030" s="312">
        <v>18</v>
      </c>
      <c r="D4030" s="368">
        <f>IFERROR((INDEX(METADATA!$T$2:$T$20,MATCH(B4030,METADATA!$S$2:$S$20,0))),0)</f>
        <v>0</v>
      </c>
      <c r="E4030" s="312" t="str">
        <f t="shared" si="248"/>
        <v>LO</v>
      </c>
      <c r="F4030" s="369">
        <f>VLOOKUP(C4030,METADATA!$A$5:$H$29,IF(E4030="HI",2,IF(E4030="LO",6,10))+IF(D4030=1,2,IF(D4030=7,1,(IF(WEEKDAY(B4030)=1,2,IF(WEEKDAY(B4030)=7,1,0))))))</f>
        <v>1</v>
      </c>
      <c r="G4030" s="369">
        <f>VLOOKUP(C4030,METADATA!$J$5:$Q$29,IF(E4030="HI",2,IF(E4030="LO",6,10))+IF(D4030=1,2,IF(D4030=7,1,(IF(WEEKDAY(B4030)=1,2,IF(WEEKDAY(B4030)=7,1,0))))))</f>
        <v>1</v>
      </c>
      <c r="H4030" s="370">
        <v>13102.875</v>
      </c>
      <c r="I4030" s="370">
        <v>4286.8000793457031</v>
      </c>
      <c r="M4030" s="371">
        <f t="shared" si="249"/>
        <v>13786.297116553935</v>
      </c>
      <c r="N4030" s="329">
        <f t="shared" si="250"/>
        <v>355.9375793457034</v>
      </c>
      <c r="T4030" s="331">
        <v>0</v>
      </c>
      <c r="U4030" s="328">
        <f>VLOOKUP(C4030,METADATA!$J$5:$Q$29,IF(E4030="HI",2,IF(E4030="LO",6,10))+IF(T4030=1,2,IF(D4030=7,1,(IF(WEEKDAY(B4030)=1,2,IF(WEEKDAY(B4030)=7,1,0))))))</f>
        <v>1</v>
      </c>
      <c r="V4030" s="328">
        <f>VLOOKUP(C4030,METADATA!$A$5:$H$29,IF(E4030="HI",2,IF(E4030="LO",6,10))+IF(T4030=1,2,IF(D4030=7,1,(IF(WEEKDAY(B4030)=1,2,IF(WEEKDAY(B4030)=7,1,0))))))</f>
        <v>1</v>
      </c>
    </row>
    <row r="4031" spans="2:22">
      <c r="B4031" s="318">
        <f t="shared" si="251"/>
        <v>46280</v>
      </c>
      <c r="C4031" s="312">
        <v>19</v>
      </c>
      <c r="D4031" s="368">
        <f>IFERROR((INDEX(METADATA!$T$2:$T$20,MATCH(B4031,METADATA!$S$2:$S$20,0))),0)</f>
        <v>0</v>
      </c>
      <c r="E4031" s="312" t="str">
        <f t="shared" si="248"/>
        <v>LO</v>
      </c>
      <c r="F4031" s="369">
        <f>VLOOKUP(C4031,METADATA!$A$5:$H$29,IF(E4031="HI",2,IF(E4031="LO",6,10))+IF(D4031=1,2,IF(D4031=7,1,(IF(WEEKDAY(B4031)=1,2,IF(WEEKDAY(B4031)=7,1,0))))))</f>
        <v>1</v>
      </c>
      <c r="G4031" s="369">
        <f>VLOOKUP(C4031,METADATA!$J$5:$Q$29,IF(E4031="HI",2,IF(E4031="LO",6,10))+IF(D4031=1,2,IF(D4031=7,1,(IF(WEEKDAY(B4031)=1,2,IF(WEEKDAY(B4031)=7,1,0))))))</f>
        <v>1</v>
      </c>
      <c r="H4031" s="370">
        <v>13021.72509765625</v>
      </c>
      <c r="I4031" s="370">
        <v>4283.4049072265625</v>
      </c>
      <c r="M4031" s="371">
        <f t="shared" si="249"/>
        <v>13708.131970410237</v>
      </c>
      <c r="N4031" s="329">
        <f t="shared" si="250"/>
        <v>376.88737792968777</v>
      </c>
      <c r="T4031" s="331">
        <v>0</v>
      </c>
      <c r="U4031" s="328">
        <f>VLOOKUP(C4031,METADATA!$J$5:$Q$29,IF(E4031="HI",2,IF(E4031="LO",6,10))+IF(T4031=1,2,IF(D4031=7,1,(IF(WEEKDAY(B4031)=1,2,IF(WEEKDAY(B4031)=7,1,0))))))</f>
        <v>1</v>
      </c>
      <c r="V4031" s="328">
        <f>VLOOKUP(C4031,METADATA!$A$5:$H$29,IF(E4031="HI",2,IF(E4031="LO",6,10))+IF(T4031=1,2,IF(D4031=7,1,(IF(WEEKDAY(B4031)=1,2,IF(WEEKDAY(B4031)=7,1,0))))))</f>
        <v>1</v>
      </c>
    </row>
    <row r="4032" spans="2:22">
      <c r="B4032" s="318">
        <f t="shared" si="251"/>
        <v>46280</v>
      </c>
      <c r="C4032" s="312">
        <v>20</v>
      </c>
      <c r="D4032" s="368">
        <f>IFERROR((INDEX(METADATA!$T$2:$T$20,MATCH(B4032,METADATA!$S$2:$S$20,0))),0)</f>
        <v>0</v>
      </c>
      <c r="E4032" s="312" t="str">
        <f t="shared" si="248"/>
        <v>LO</v>
      </c>
      <c r="F4032" s="369">
        <f>VLOOKUP(C4032,METADATA!$A$5:$H$29,IF(E4032="HI",2,IF(E4032="LO",6,10))+IF(D4032=1,2,IF(D4032=7,1,(IF(WEEKDAY(B4032)=1,2,IF(WEEKDAY(B4032)=7,1,0))))))</f>
        <v>1</v>
      </c>
      <c r="G4032" s="369">
        <f>VLOOKUP(C4032,METADATA!$J$5:$Q$29,IF(E4032="HI",2,IF(E4032="LO",6,10))+IF(D4032=1,2,IF(D4032=7,1,(IF(WEEKDAY(B4032)=1,2,IF(WEEKDAY(B4032)=7,1,0))))))</f>
        <v>1</v>
      </c>
      <c r="H4032" s="370">
        <v>12949.599853515625</v>
      </c>
      <c r="I4032" s="370">
        <v>4286.4600830078125</v>
      </c>
      <c r="M4032" s="371">
        <f t="shared" si="249"/>
        <v>13640.596629524356</v>
      </c>
      <c r="N4032" s="329">
        <f t="shared" si="250"/>
        <v>401.58012695312527</v>
      </c>
      <c r="T4032" s="331">
        <v>0</v>
      </c>
      <c r="U4032" s="328">
        <f>VLOOKUP(C4032,METADATA!$J$5:$Q$29,IF(E4032="HI",2,IF(E4032="LO",6,10))+IF(T4032=1,2,IF(D4032=7,1,(IF(WEEKDAY(B4032)=1,2,IF(WEEKDAY(B4032)=7,1,0))))))</f>
        <v>1</v>
      </c>
      <c r="V4032" s="328">
        <f>VLOOKUP(C4032,METADATA!$A$5:$H$29,IF(E4032="HI",2,IF(E4032="LO",6,10))+IF(T4032=1,2,IF(D4032=7,1,(IF(WEEKDAY(B4032)=1,2,IF(WEEKDAY(B4032)=7,1,0))))))</f>
        <v>1</v>
      </c>
    </row>
    <row r="4033" spans="2:22">
      <c r="B4033" s="318">
        <f t="shared" si="251"/>
        <v>46280</v>
      </c>
      <c r="C4033" s="312">
        <v>21</v>
      </c>
      <c r="D4033" s="368">
        <f>IFERROR((INDEX(METADATA!$T$2:$T$20,MATCH(B4033,METADATA!$S$2:$S$20,0))),0)</f>
        <v>0</v>
      </c>
      <c r="E4033" s="312" t="str">
        <f t="shared" si="248"/>
        <v>LO</v>
      </c>
      <c r="F4033" s="369">
        <f>VLOOKUP(C4033,METADATA!$A$5:$H$29,IF(E4033="HI",2,IF(E4033="LO",6,10))+IF(D4033=1,2,IF(D4033=7,1,(IF(WEEKDAY(B4033)=1,2,IF(WEEKDAY(B4033)=7,1,0))))))</f>
        <v>2</v>
      </c>
      <c r="G4033" s="369">
        <f>VLOOKUP(C4033,METADATA!$J$5:$Q$29,IF(E4033="HI",2,IF(E4033="LO",6,10))+IF(D4033=1,2,IF(D4033=7,1,(IF(WEEKDAY(B4033)=1,2,IF(WEEKDAY(B4033)=7,1,0))))))</f>
        <v>2</v>
      </c>
      <c r="H4033" s="370">
        <v>13062.250366210938</v>
      </c>
      <c r="I4033" s="370">
        <v>4230.1650390625</v>
      </c>
      <c r="M4033" s="371">
        <f t="shared" si="249"/>
        <v>13730.137686392092</v>
      </c>
      <c r="N4033" s="329">
        <f t="shared" si="250"/>
        <v>311.48992919921875</v>
      </c>
      <c r="T4033" s="331">
        <v>0</v>
      </c>
      <c r="U4033" s="328">
        <f>VLOOKUP(C4033,METADATA!$J$5:$Q$29,IF(E4033="HI",2,IF(E4033="LO",6,10))+IF(T4033=1,2,IF(D4033=7,1,(IF(WEEKDAY(B4033)=1,2,IF(WEEKDAY(B4033)=7,1,0))))))</f>
        <v>2</v>
      </c>
      <c r="V4033" s="328">
        <f>VLOOKUP(C4033,METADATA!$A$5:$H$29,IF(E4033="HI",2,IF(E4033="LO",6,10))+IF(T4033=1,2,IF(D4033=7,1,(IF(WEEKDAY(B4033)=1,2,IF(WEEKDAY(B4033)=7,1,0))))))</f>
        <v>2</v>
      </c>
    </row>
    <row r="4034" spans="2:22">
      <c r="B4034" s="318">
        <f t="shared" si="251"/>
        <v>46280</v>
      </c>
      <c r="C4034" s="312">
        <v>22</v>
      </c>
      <c r="D4034" s="368">
        <f>IFERROR((INDEX(METADATA!$T$2:$T$20,MATCH(B4034,METADATA!$S$2:$S$20,0))),0)</f>
        <v>0</v>
      </c>
      <c r="E4034" s="312" t="str">
        <f t="shared" si="248"/>
        <v>LO</v>
      </c>
      <c r="F4034" s="369">
        <f>VLOOKUP(C4034,METADATA!$A$5:$H$29,IF(E4034="HI",2,IF(E4034="LO",6,10))+IF(D4034=1,2,IF(D4034=7,1,(IF(WEEKDAY(B4034)=1,2,IF(WEEKDAY(B4034)=7,1,0))))))</f>
        <v>3</v>
      </c>
      <c r="G4034" s="369">
        <f>VLOOKUP(C4034,METADATA!$J$5:$Q$29,IF(E4034="HI",2,IF(E4034="LO",6,10))+IF(D4034=1,2,IF(D4034=7,1,(IF(WEEKDAY(B4034)=1,2,IF(WEEKDAY(B4034)=7,1,0))))))</f>
        <v>3</v>
      </c>
      <c r="H4034" s="370">
        <v>13011.549865722656</v>
      </c>
      <c r="I4034" s="370">
        <v>4356.4100952148438</v>
      </c>
      <c r="M4034" s="371">
        <f t="shared" si="249"/>
        <v>13721.469995079866</v>
      </c>
      <c r="N4034" s="329">
        <f t="shared" si="250"/>
        <v>452.94513549804697</v>
      </c>
      <c r="T4034" s="331">
        <v>0</v>
      </c>
      <c r="U4034" s="328">
        <f>VLOOKUP(C4034,METADATA!$J$5:$Q$29,IF(E4034="HI",2,IF(E4034="LO",6,10))+IF(T4034=1,2,IF(D4034=7,1,(IF(WEEKDAY(B4034)=1,2,IF(WEEKDAY(B4034)=7,1,0))))))</f>
        <v>3</v>
      </c>
      <c r="V4034" s="328">
        <f>VLOOKUP(C4034,METADATA!$A$5:$H$29,IF(E4034="HI",2,IF(E4034="LO",6,10))+IF(T4034=1,2,IF(D4034=7,1,(IF(WEEKDAY(B4034)=1,2,IF(WEEKDAY(B4034)=7,1,0))))))</f>
        <v>3</v>
      </c>
    </row>
    <row r="4035" spans="2:22">
      <c r="B4035" s="318">
        <f t="shared" si="251"/>
        <v>46280</v>
      </c>
      <c r="C4035" s="312">
        <v>23</v>
      </c>
      <c r="D4035" s="368">
        <f>IFERROR((INDEX(METADATA!$T$2:$T$20,MATCH(B4035,METADATA!$S$2:$S$20,0))),0)</f>
        <v>0</v>
      </c>
      <c r="E4035" s="312" t="str">
        <f t="shared" si="248"/>
        <v>LO</v>
      </c>
      <c r="F4035" s="369">
        <f>VLOOKUP(C4035,METADATA!$A$5:$H$29,IF(E4035="HI",2,IF(E4035="LO",6,10))+IF(D4035=1,2,IF(D4035=7,1,(IF(WEEKDAY(B4035)=1,2,IF(WEEKDAY(B4035)=7,1,0))))))</f>
        <v>3</v>
      </c>
      <c r="G4035" s="369">
        <f>VLOOKUP(C4035,METADATA!$J$5:$Q$29,IF(E4035="HI",2,IF(E4035="LO",6,10))+IF(D4035=1,2,IF(D4035=7,1,(IF(WEEKDAY(B4035)=1,2,IF(WEEKDAY(B4035)=7,1,0))))))</f>
        <v>3</v>
      </c>
      <c r="H4035" s="370">
        <v>13085.875366210938</v>
      </c>
      <c r="I4035" s="370">
        <v>4443.7649841308594</v>
      </c>
      <c r="M4035" s="371">
        <f t="shared" si="249"/>
        <v>13819.811190251254</v>
      </c>
      <c r="N4035" s="329">
        <f t="shared" si="250"/>
        <v>518.00237426757849</v>
      </c>
      <c r="T4035" s="331">
        <v>0</v>
      </c>
      <c r="U4035" s="328">
        <f>VLOOKUP(C4035,METADATA!$J$5:$Q$29,IF(E4035="HI",2,IF(E4035="LO",6,10))+IF(T4035=1,2,IF(D4035=7,1,(IF(WEEKDAY(B4035)=1,2,IF(WEEKDAY(B4035)=7,1,0))))))</f>
        <v>3</v>
      </c>
      <c r="V4035" s="328">
        <f>VLOOKUP(C4035,METADATA!$A$5:$H$29,IF(E4035="HI",2,IF(E4035="LO",6,10))+IF(T4035=1,2,IF(D4035=7,1,(IF(WEEKDAY(B4035)=1,2,IF(WEEKDAY(B4035)=7,1,0))))))</f>
        <v>3</v>
      </c>
    </row>
    <row r="4036" spans="2:22">
      <c r="B4036" s="318">
        <f t="shared" si="251"/>
        <v>46281</v>
      </c>
      <c r="C4036" s="312">
        <v>0</v>
      </c>
      <c r="D4036" s="368">
        <f>IFERROR((INDEX(METADATA!$T$2:$T$20,MATCH(B4036,METADATA!$S$2:$S$20,0))),0)</f>
        <v>0</v>
      </c>
      <c r="E4036" s="312" t="str">
        <f t="shared" ref="E4036:E4099" si="252">IF(B4036="","",IF(AND(MONTH(B4036)&gt;=MONTH($Z$9),MONTH(B4036)&lt;=MONTH($Z$11)),"HI","LO"))</f>
        <v>LO</v>
      </c>
      <c r="F4036" s="369">
        <f>VLOOKUP(C4036,METADATA!$A$5:$H$29,IF(E4036="HI",2,IF(E4036="LO",6,10))+IF(D4036=1,2,IF(D4036=7,1,(IF(WEEKDAY(B4036)=1,2,IF(WEEKDAY(B4036)=7,1,0))))))</f>
        <v>3</v>
      </c>
      <c r="G4036" s="369">
        <f>VLOOKUP(C4036,METADATA!$J$5:$Q$29,IF(E4036="HI",2,IF(E4036="LO",6,10))+IF(D4036=1,2,IF(D4036=7,1,(IF(WEEKDAY(B4036)=1,2,IF(WEEKDAY(B4036)=7,1,0))))))</f>
        <v>3</v>
      </c>
      <c r="H4036" s="370">
        <v>13059.099792480469</v>
      </c>
      <c r="I4036" s="370">
        <v>4447.75</v>
      </c>
      <c r="M4036" s="371">
        <f t="shared" ref="M4036:M4099" si="253">SQRT(H4036^2+I4036^2)</f>
        <v>13795.744541432456</v>
      </c>
      <c r="N4036" s="329">
        <f t="shared" ref="N4036:N4099" si="254">IF(H4036=0,0,(IF(I4036-(0.3*H4036)&lt;0,0,(I4036-(0.3*H4036)))))</f>
        <v>530.02006225585956</v>
      </c>
      <c r="T4036" s="331">
        <v>0</v>
      </c>
      <c r="U4036" s="328">
        <f>VLOOKUP(C4036,METADATA!$J$5:$Q$29,IF(E4036="HI",2,IF(E4036="LO",6,10))+IF(T4036=1,2,IF(D4036=7,1,(IF(WEEKDAY(B4036)=1,2,IF(WEEKDAY(B4036)=7,1,0))))))</f>
        <v>3</v>
      </c>
      <c r="V4036" s="328">
        <f>VLOOKUP(C4036,METADATA!$A$5:$H$29,IF(E4036="HI",2,IF(E4036="LO",6,10))+IF(T4036=1,2,IF(D4036=7,1,(IF(WEEKDAY(B4036)=1,2,IF(WEEKDAY(B4036)=7,1,0))))))</f>
        <v>3</v>
      </c>
    </row>
    <row r="4037" spans="2:22">
      <c r="B4037" s="318">
        <f t="shared" si="251"/>
        <v>46281</v>
      </c>
      <c r="C4037" s="312">
        <v>1</v>
      </c>
      <c r="D4037" s="368">
        <f>IFERROR((INDEX(METADATA!$T$2:$T$20,MATCH(B4037,METADATA!$S$2:$S$20,0))),0)</f>
        <v>0</v>
      </c>
      <c r="E4037" s="312" t="str">
        <f t="shared" si="252"/>
        <v>LO</v>
      </c>
      <c r="F4037" s="369">
        <f>VLOOKUP(C4037,METADATA!$A$5:$H$29,IF(E4037="HI",2,IF(E4037="LO",6,10))+IF(D4037=1,2,IF(D4037=7,1,(IF(WEEKDAY(B4037)=1,2,IF(WEEKDAY(B4037)=7,1,0))))))</f>
        <v>3</v>
      </c>
      <c r="G4037" s="369">
        <f>VLOOKUP(C4037,METADATA!$J$5:$Q$29,IF(E4037="HI",2,IF(E4037="LO",6,10))+IF(D4037=1,2,IF(D4037=7,1,(IF(WEEKDAY(B4037)=1,2,IF(WEEKDAY(B4037)=7,1,0))))))</f>
        <v>3</v>
      </c>
      <c r="H4037" s="370">
        <v>13140.047546386719</v>
      </c>
      <c r="I4037" s="370">
        <v>4450.1100158691406</v>
      </c>
      <c r="M4037" s="371">
        <f t="shared" si="253"/>
        <v>13873.151360618916</v>
      </c>
      <c r="N4037" s="329">
        <f t="shared" si="254"/>
        <v>508.09575195312527</v>
      </c>
      <c r="T4037" s="331">
        <v>0</v>
      </c>
      <c r="U4037" s="328">
        <f>VLOOKUP(C4037,METADATA!$J$5:$Q$29,IF(E4037="HI",2,IF(E4037="LO",6,10))+IF(T4037=1,2,IF(D4037=7,1,(IF(WEEKDAY(B4037)=1,2,IF(WEEKDAY(B4037)=7,1,0))))))</f>
        <v>3</v>
      </c>
      <c r="V4037" s="328">
        <f>VLOOKUP(C4037,METADATA!$A$5:$H$29,IF(E4037="HI",2,IF(E4037="LO",6,10))+IF(T4037=1,2,IF(D4037=7,1,(IF(WEEKDAY(B4037)=1,2,IF(WEEKDAY(B4037)=7,1,0))))))</f>
        <v>3</v>
      </c>
    </row>
    <row r="4038" spans="2:22">
      <c r="B4038" s="318">
        <f t="shared" si="251"/>
        <v>46281</v>
      </c>
      <c r="C4038" s="312">
        <v>2</v>
      </c>
      <c r="D4038" s="368">
        <f>IFERROR((INDEX(METADATA!$T$2:$T$20,MATCH(B4038,METADATA!$S$2:$S$20,0))),0)</f>
        <v>0</v>
      </c>
      <c r="E4038" s="312" t="str">
        <f t="shared" si="252"/>
        <v>LO</v>
      </c>
      <c r="F4038" s="369">
        <f>VLOOKUP(C4038,METADATA!$A$5:$H$29,IF(E4038="HI",2,IF(E4038="LO",6,10))+IF(D4038=1,2,IF(D4038=7,1,(IF(WEEKDAY(B4038)=1,2,IF(WEEKDAY(B4038)=7,1,0))))))</f>
        <v>3</v>
      </c>
      <c r="G4038" s="369">
        <f>VLOOKUP(C4038,METADATA!$J$5:$Q$29,IF(E4038="HI",2,IF(E4038="LO",6,10))+IF(D4038=1,2,IF(D4038=7,1,(IF(WEEKDAY(B4038)=1,2,IF(WEEKDAY(B4038)=7,1,0))))))</f>
        <v>3</v>
      </c>
      <c r="H4038" s="370">
        <v>13279.525451660156</v>
      </c>
      <c r="I4038" s="370">
        <v>4553.2301330566406</v>
      </c>
      <c r="M4038" s="371">
        <f t="shared" si="253"/>
        <v>14038.436553472216</v>
      </c>
      <c r="N4038" s="329">
        <f t="shared" si="254"/>
        <v>569.37249755859375</v>
      </c>
      <c r="T4038" s="331">
        <v>0</v>
      </c>
      <c r="U4038" s="328">
        <f>VLOOKUP(C4038,METADATA!$J$5:$Q$29,IF(E4038="HI",2,IF(E4038="LO",6,10))+IF(T4038=1,2,IF(D4038=7,1,(IF(WEEKDAY(B4038)=1,2,IF(WEEKDAY(B4038)=7,1,0))))))</f>
        <v>3</v>
      </c>
      <c r="V4038" s="328">
        <f>VLOOKUP(C4038,METADATA!$A$5:$H$29,IF(E4038="HI",2,IF(E4038="LO",6,10))+IF(T4038=1,2,IF(D4038=7,1,(IF(WEEKDAY(B4038)=1,2,IF(WEEKDAY(B4038)=7,1,0))))))</f>
        <v>3</v>
      </c>
    </row>
    <row r="4039" spans="2:22">
      <c r="B4039" s="318">
        <f t="shared" si="251"/>
        <v>46281</v>
      </c>
      <c r="C4039" s="312">
        <v>3</v>
      </c>
      <c r="D4039" s="368">
        <f>IFERROR((INDEX(METADATA!$T$2:$T$20,MATCH(B4039,METADATA!$S$2:$S$20,0))),0)</f>
        <v>0</v>
      </c>
      <c r="E4039" s="312" t="str">
        <f t="shared" si="252"/>
        <v>LO</v>
      </c>
      <c r="F4039" s="369">
        <f>VLOOKUP(C4039,METADATA!$A$5:$H$29,IF(E4039="HI",2,IF(E4039="LO",6,10))+IF(D4039=1,2,IF(D4039=7,1,(IF(WEEKDAY(B4039)=1,2,IF(WEEKDAY(B4039)=7,1,0))))))</f>
        <v>3</v>
      </c>
      <c r="G4039" s="369">
        <f>VLOOKUP(C4039,METADATA!$J$5:$Q$29,IF(E4039="HI",2,IF(E4039="LO",6,10))+IF(D4039=1,2,IF(D4039=7,1,(IF(WEEKDAY(B4039)=1,2,IF(WEEKDAY(B4039)=7,1,0))))))</f>
        <v>3</v>
      </c>
      <c r="H4039" s="370">
        <v>13329.399658203125</v>
      </c>
      <c r="I4039" s="370">
        <v>4464.219970703125</v>
      </c>
      <c r="M4039" s="371">
        <f t="shared" si="253"/>
        <v>14057.103371425075</v>
      </c>
      <c r="N4039" s="329">
        <f t="shared" si="254"/>
        <v>465.40007324218777</v>
      </c>
      <c r="T4039" s="331">
        <v>0</v>
      </c>
      <c r="U4039" s="328">
        <f>VLOOKUP(C4039,METADATA!$J$5:$Q$29,IF(E4039="HI",2,IF(E4039="LO",6,10))+IF(T4039=1,2,IF(D4039=7,1,(IF(WEEKDAY(B4039)=1,2,IF(WEEKDAY(B4039)=7,1,0))))))</f>
        <v>3</v>
      </c>
      <c r="V4039" s="328">
        <f>VLOOKUP(C4039,METADATA!$A$5:$H$29,IF(E4039="HI",2,IF(E4039="LO",6,10))+IF(T4039=1,2,IF(D4039=7,1,(IF(WEEKDAY(B4039)=1,2,IF(WEEKDAY(B4039)=7,1,0))))))</f>
        <v>3</v>
      </c>
    </row>
    <row r="4040" spans="2:22">
      <c r="B4040" s="318">
        <f t="shared" si="251"/>
        <v>46281</v>
      </c>
      <c r="C4040" s="312">
        <v>4</v>
      </c>
      <c r="D4040" s="368">
        <f>IFERROR((INDEX(METADATA!$T$2:$T$20,MATCH(B4040,METADATA!$S$2:$S$20,0))),0)</f>
        <v>0</v>
      </c>
      <c r="E4040" s="312" t="str">
        <f t="shared" si="252"/>
        <v>LO</v>
      </c>
      <c r="F4040" s="369">
        <f>VLOOKUP(C4040,METADATA!$A$5:$H$29,IF(E4040="HI",2,IF(E4040="LO",6,10))+IF(D4040=1,2,IF(D4040=7,1,(IF(WEEKDAY(B4040)=1,2,IF(WEEKDAY(B4040)=7,1,0))))))</f>
        <v>3</v>
      </c>
      <c r="G4040" s="369">
        <f>VLOOKUP(C4040,METADATA!$J$5:$Q$29,IF(E4040="HI",2,IF(E4040="LO",6,10))+IF(D4040=1,2,IF(D4040=7,1,(IF(WEEKDAY(B4040)=1,2,IF(WEEKDAY(B4040)=7,1,0))))))</f>
        <v>3</v>
      </c>
      <c r="H4040" s="370">
        <v>13214.22509765625</v>
      </c>
      <c r="I4040" s="370">
        <v>4200.1549072265625</v>
      </c>
      <c r="M4040" s="371">
        <f t="shared" si="253"/>
        <v>13865.678713147356</v>
      </c>
      <c r="N4040" s="329">
        <f t="shared" si="254"/>
        <v>235.88737792968777</v>
      </c>
      <c r="T4040" s="331">
        <v>0</v>
      </c>
      <c r="U4040" s="328">
        <f>VLOOKUP(C4040,METADATA!$J$5:$Q$29,IF(E4040="HI",2,IF(E4040="LO",6,10))+IF(T4040=1,2,IF(D4040=7,1,(IF(WEEKDAY(B4040)=1,2,IF(WEEKDAY(B4040)=7,1,0))))))</f>
        <v>3</v>
      </c>
      <c r="V4040" s="328">
        <f>VLOOKUP(C4040,METADATA!$A$5:$H$29,IF(E4040="HI",2,IF(E4040="LO",6,10))+IF(T4040=1,2,IF(D4040=7,1,(IF(WEEKDAY(B4040)=1,2,IF(WEEKDAY(B4040)=7,1,0))))))</f>
        <v>3</v>
      </c>
    </row>
    <row r="4041" spans="2:22">
      <c r="B4041" s="318">
        <f t="shared" si="251"/>
        <v>46281</v>
      </c>
      <c r="C4041" s="312">
        <v>5</v>
      </c>
      <c r="D4041" s="368">
        <f>IFERROR((INDEX(METADATA!$T$2:$T$20,MATCH(B4041,METADATA!$S$2:$S$20,0))),0)</f>
        <v>0</v>
      </c>
      <c r="E4041" s="312" t="str">
        <f t="shared" si="252"/>
        <v>LO</v>
      </c>
      <c r="F4041" s="369">
        <f>VLOOKUP(C4041,METADATA!$A$5:$H$29,IF(E4041="HI",2,IF(E4041="LO",6,10))+IF(D4041=1,2,IF(D4041=7,1,(IF(WEEKDAY(B4041)=1,2,IF(WEEKDAY(B4041)=7,1,0))))))</f>
        <v>3</v>
      </c>
      <c r="G4041" s="369">
        <f>VLOOKUP(C4041,METADATA!$J$5:$Q$29,IF(E4041="HI",2,IF(E4041="LO",6,10))+IF(D4041=1,2,IF(D4041=7,1,(IF(WEEKDAY(B4041)=1,2,IF(WEEKDAY(B4041)=7,1,0))))))</f>
        <v>3</v>
      </c>
      <c r="H4041" s="370">
        <v>13167.625427246094</v>
      </c>
      <c r="I4041" s="370">
        <v>4107.1000061035156</v>
      </c>
      <c r="M4041" s="371">
        <f t="shared" si="253"/>
        <v>13793.282055130801</v>
      </c>
      <c r="N4041" s="329">
        <f t="shared" si="254"/>
        <v>156.8123779296875</v>
      </c>
      <c r="T4041" s="331">
        <v>0</v>
      </c>
      <c r="U4041" s="328">
        <f>VLOOKUP(C4041,METADATA!$J$5:$Q$29,IF(E4041="HI",2,IF(E4041="LO",6,10))+IF(T4041=1,2,IF(D4041=7,1,(IF(WEEKDAY(B4041)=1,2,IF(WEEKDAY(B4041)=7,1,0))))))</f>
        <v>3</v>
      </c>
      <c r="V4041" s="328">
        <f>VLOOKUP(C4041,METADATA!$A$5:$H$29,IF(E4041="HI",2,IF(E4041="LO",6,10))+IF(T4041=1,2,IF(D4041=7,1,(IF(WEEKDAY(B4041)=1,2,IF(WEEKDAY(B4041)=7,1,0))))))</f>
        <v>3</v>
      </c>
    </row>
    <row r="4042" spans="2:22">
      <c r="B4042" s="318">
        <f t="shared" si="251"/>
        <v>46281</v>
      </c>
      <c r="C4042" s="312">
        <v>6</v>
      </c>
      <c r="D4042" s="368">
        <f>IFERROR((INDEX(METADATA!$T$2:$T$20,MATCH(B4042,METADATA!$S$2:$S$20,0))),0)</f>
        <v>0</v>
      </c>
      <c r="E4042" s="312" t="str">
        <f t="shared" si="252"/>
        <v>LO</v>
      </c>
      <c r="F4042" s="369">
        <f>VLOOKUP(C4042,METADATA!$A$5:$H$29,IF(E4042="HI",2,IF(E4042="LO",6,10))+IF(D4042=1,2,IF(D4042=7,1,(IF(WEEKDAY(B4042)=1,2,IF(WEEKDAY(B4042)=7,1,0))))))</f>
        <v>2</v>
      </c>
      <c r="G4042" s="369">
        <f>VLOOKUP(C4042,METADATA!$J$5:$Q$29,IF(E4042="HI",2,IF(E4042="LO",6,10))+IF(D4042=1,2,IF(D4042=7,1,(IF(WEEKDAY(B4042)=1,2,IF(WEEKDAY(B4042)=7,1,0))))))</f>
        <v>2</v>
      </c>
      <c r="H4042" s="370">
        <v>13200.274963378906</v>
      </c>
      <c r="I4042" s="370">
        <v>4091.699951171875</v>
      </c>
      <c r="M4042" s="371">
        <f t="shared" si="253"/>
        <v>13819.88667099799</v>
      </c>
      <c r="N4042" s="329">
        <f t="shared" si="254"/>
        <v>131.61746215820313</v>
      </c>
      <c r="T4042" s="331">
        <v>0</v>
      </c>
      <c r="U4042" s="328">
        <f>VLOOKUP(C4042,METADATA!$J$5:$Q$29,IF(E4042="HI",2,IF(E4042="LO",6,10))+IF(T4042=1,2,IF(D4042=7,1,(IF(WEEKDAY(B4042)=1,2,IF(WEEKDAY(B4042)=7,1,0))))))</f>
        <v>2</v>
      </c>
      <c r="V4042" s="328">
        <f>VLOOKUP(C4042,METADATA!$A$5:$H$29,IF(E4042="HI",2,IF(E4042="LO",6,10))+IF(T4042=1,2,IF(D4042=7,1,(IF(WEEKDAY(B4042)=1,2,IF(WEEKDAY(B4042)=7,1,0))))))</f>
        <v>2</v>
      </c>
    </row>
    <row r="4043" spans="2:22">
      <c r="B4043" s="318">
        <f t="shared" si="251"/>
        <v>46281</v>
      </c>
      <c r="C4043" s="312">
        <v>7</v>
      </c>
      <c r="D4043" s="368">
        <f>IFERROR((INDEX(METADATA!$T$2:$T$20,MATCH(B4043,METADATA!$S$2:$S$20,0))),0)</f>
        <v>0</v>
      </c>
      <c r="E4043" s="312" t="str">
        <f t="shared" si="252"/>
        <v>LO</v>
      </c>
      <c r="F4043" s="369">
        <f>VLOOKUP(C4043,METADATA!$A$5:$H$29,IF(E4043="HI",2,IF(E4043="LO",6,10))+IF(D4043=1,2,IF(D4043=7,1,(IF(WEEKDAY(B4043)=1,2,IF(WEEKDAY(B4043)=7,1,0))))))</f>
        <v>1</v>
      </c>
      <c r="G4043" s="369">
        <f>VLOOKUP(C4043,METADATA!$J$5:$Q$29,IF(E4043="HI",2,IF(E4043="LO",6,10))+IF(D4043=1,2,IF(D4043=7,1,(IF(WEEKDAY(B4043)=1,2,IF(WEEKDAY(B4043)=7,1,0))))))</f>
        <v>1</v>
      </c>
      <c r="H4043" s="370">
        <v>13166.725036621094</v>
      </c>
      <c r="I4043" s="370">
        <v>4170.6100158691406</v>
      </c>
      <c r="M4043" s="371">
        <f t="shared" si="253"/>
        <v>13811.467557593318</v>
      </c>
      <c r="N4043" s="329">
        <f t="shared" si="254"/>
        <v>220.59250488281259</v>
      </c>
      <c r="T4043" s="331">
        <v>0</v>
      </c>
      <c r="U4043" s="328">
        <f>VLOOKUP(C4043,METADATA!$J$5:$Q$29,IF(E4043="HI",2,IF(E4043="LO",6,10))+IF(T4043=1,2,IF(D4043=7,1,(IF(WEEKDAY(B4043)=1,2,IF(WEEKDAY(B4043)=7,1,0))))))</f>
        <v>1</v>
      </c>
      <c r="V4043" s="328">
        <f>VLOOKUP(C4043,METADATA!$A$5:$H$29,IF(E4043="HI",2,IF(E4043="LO",6,10))+IF(T4043=1,2,IF(D4043=7,1,(IF(WEEKDAY(B4043)=1,2,IF(WEEKDAY(B4043)=7,1,0))))))</f>
        <v>1</v>
      </c>
    </row>
    <row r="4044" spans="2:22">
      <c r="B4044" s="318">
        <f t="shared" si="251"/>
        <v>46281</v>
      </c>
      <c r="C4044" s="312">
        <v>8</v>
      </c>
      <c r="D4044" s="368">
        <f>IFERROR((INDEX(METADATA!$T$2:$T$20,MATCH(B4044,METADATA!$S$2:$S$20,0))),0)</f>
        <v>0</v>
      </c>
      <c r="E4044" s="312" t="str">
        <f t="shared" si="252"/>
        <v>LO</v>
      </c>
      <c r="F4044" s="369">
        <f>VLOOKUP(C4044,METADATA!$A$5:$H$29,IF(E4044="HI",2,IF(E4044="LO",6,10))+IF(D4044=1,2,IF(D4044=7,1,(IF(WEEKDAY(B4044)=1,2,IF(WEEKDAY(B4044)=7,1,0))))))</f>
        <v>1</v>
      </c>
      <c r="G4044" s="369">
        <f>VLOOKUP(C4044,METADATA!$J$5:$Q$29,IF(E4044="HI",2,IF(E4044="LO",6,10))+IF(D4044=1,2,IF(D4044=7,1,(IF(WEEKDAY(B4044)=1,2,IF(WEEKDAY(B4044)=7,1,0))))))</f>
        <v>1</v>
      </c>
      <c r="H4044" s="370">
        <v>13121.85009765625</v>
      </c>
      <c r="I4044" s="370">
        <v>3996.43994140625</v>
      </c>
      <c r="M4044" s="371">
        <f t="shared" si="253"/>
        <v>13716.941429875267</v>
      </c>
      <c r="N4044" s="329">
        <f t="shared" si="254"/>
        <v>59.884912109375364</v>
      </c>
      <c r="T4044" s="331">
        <v>0</v>
      </c>
      <c r="U4044" s="328">
        <f>VLOOKUP(C4044,METADATA!$J$5:$Q$29,IF(E4044="HI",2,IF(E4044="LO",6,10))+IF(T4044=1,2,IF(D4044=7,1,(IF(WEEKDAY(B4044)=1,2,IF(WEEKDAY(B4044)=7,1,0))))))</f>
        <v>1</v>
      </c>
      <c r="V4044" s="328">
        <f>VLOOKUP(C4044,METADATA!$A$5:$H$29,IF(E4044="HI",2,IF(E4044="LO",6,10))+IF(T4044=1,2,IF(D4044=7,1,(IF(WEEKDAY(B4044)=1,2,IF(WEEKDAY(B4044)=7,1,0))))))</f>
        <v>1</v>
      </c>
    </row>
    <row r="4045" spans="2:22">
      <c r="B4045" s="318">
        <f t="shared" si="251"/>
        <v>46281</v>
      </c>
      <c r="C4045" s="312">
        <v>9</v>
      </c>
      <c r="D4045" s="368">
        <f>IFERROR((INDEX(METADATA!$T$2:$T$20,MATCH(B4045,METADATA!$S$2:$S$20,0))),0)</f>
        <v>0</v>
      </c>
      <c r="E4045" s="312" t="str">
        <f t="shared" si="252"/>
        <v>LO</v>
      </c>
      <c r="F4045" s="369">
        <f>VLOOKUP(C4045,METADATA!$A$5:$H$29,IF(E4045="HI",2,IF(E4045="LO",6,10))+IF(D4045=1,2,IF(D4045=7,1,(IF(WEEKDAY(B4045)=1,2,IF(WEEKDAY(B4045)=7,1,0))))))</f>
        <v>2</v>
      </c>
      <c r="G4045" s="369">
        <f>VLOOKUP(C4045,METADATA!$J$5:$Q$29,IF(E4045="HI",2,IF(E4045="LO",6,10))+IF(D4045=1,2,IF(D4045=7,1,(IF(WEEKDAY(B4045)=1,2,IF(WEEKDAY(B4045)=7,1,0))))))</f>
        <v>2</v>
      </c>
      <c r="H4045" s="370">
        <v>13752.775268554688</v>
      </c>
      <c r="I4045" s="370">
        <v>4437.0000610351563</v>
      </c>
      <c r="M4045" s="371">
        <f t="shared" si="253"/>
        <v>14450.806106546286</v>
      </c>
      <c r="N4045" s="329">
        <f t="shared" si="254"/>
        <v>311.16748046875</v>
      </c>
      <c r="T4045" s="331">
        <v>0</v>
      </c>
      <c r="U4045" s="328">
        <f>VLOOKUP(C4045,METADATA!$J$5:$Q$29,IF(E4045="HI",2,IF(E4045="LO",6,10))+IF(T4045=1,2,IF(D4045=7,1,(IF(WEEKDAY(B4045)=1,2,IF(WEEKDAY(B4045)=7,1,0))))))</f>
        <v>2</v>
      </c>
      <c r="V4045" s="328">
        <f>VLOOKUP(C4045,METADATA!$A$5:$H$29,IF(E4045="HI",2,IF(E4045="LO",6,10))+IF(T4045=1,2,IF(D4045=7,1,(IF(WEEKDAY(B4045)=1,2,IF(WEEKDAY(B4045)=7,1,0))))))</f>
        <v>2</v>
      </c>
    </row>
    <row r="4046" spans="2:22">
      <c r="B4046" s="318">
        <f t="shared" si="251"/>
        <v>46281</v>
      </c>
      <c r="C4046" s="312">
        <v>10</v>
      </c>
      <c r="D4046" s="368">
        <f>IFERROR((INDEX(METADATA!$T$2:$T$20,MATCH(B4046,METADATA!$S$2:$S$20,0))),0)</f>
        <v>0</v>
      </c>
      <c r="E4046" s="312" t="str">
        <f t="shared" si="252"/>
        <v>LO</v>
      </c>
      <c r="F4046" s="369">
        <f>VLOOKUP(C4046,METADATA!$A$5:$H$29,IF(E4046="HI",2,IF(E4046="LO",6,10))+IF(D4046=1,2,IF(D4046=7,1,(IF(WEEKDAY(B4046)=1,2,IF(WEEKDAY(B4046)=7,1,0))))))</f>
        <v>2</v>
      </c>
      <c r="G4046" s="369">
        <f>VLOOKUP(C4046,METADATA!$J$5:$Q$29,IF(E4046="HI",2,IF(E4046="LO",6,10))+IF(D4046=1,2,IF(D4046=7,1,(IF(WEEKDAY(B4046)=1,2,IF(WEEKDAY(B4046)=7,1,0))))))</f>
        <v>2</v>
      </c>
      <c r="H4046" s="370">
        <v>13768.624877929688</v>
      </c>
      <c r="I4046" s="370">
        <v>4314.5149230957031</v>
      </c>
      <c r="M4046" s="371">
        <f t="shared" si="253"/>
        <v>14428.793090579677</v>
      </c>
      <c r="N4046" s="329">
        <f t="shared" si="254"/>
        <v>183.92745971679688</v>
      </c>
      <c r="T4046" s="331">
        <v>0</v>
      </c>
      <c r="U4046" s="328">
        <f>VLOOKUP(C4046,METADATA!$J$5:$Q$29,IF(E4046="HI",2,IF(E4046="LO",6,10))+IF(T4046=1,2,IF(D4046=7,1,(IF(WEEKDAY(B4046)=1,2,IF(WEEKDAY(B4046)=7,1,0))))))</f>
        <v>2</v>
      </c>
      <c r="V4046" s="328">
        <f>VLOOKUP(C4046,METADATA!$A$5:$H$29,IF(E4046="HI",2,IF(E4046="LO",6,10))+IF(T4046=1,2,IF(D4046=7,1,(IF(WEEKDAY(B4046)=1,2,IF(WEEKDAY(B4046)=7,1,0))))))</f>
        <v>2</v>
      </c>
    </row>
    <row r="4047" spans="2:22">
      <c r="B4047" s="318">
        <f t="shared" si="251"/>
        <v>46281</v>
      </c>
      <c r="C4047" s="312">
        <v>11</v>
      </c>
      <c r="D4047" s="368">
        <f>IFERROR((INDEX(METADATA!$T$2:$T$20,MATCH(B4047,METADATA!$S$2:$S$20,0))),0)</f>
        <v>0</v>
      </c>
      <c r="E4047" s="312" t="str">
        <f t="shared" si="252"/>
        <v>LO</v>
      </c>
      <c r="F4047" s="369">
        <f>VLOOKUP(C4047,METADATA!$A$5:$H$29,IF(E4047="HI",2,IF(E4047="LO",6,10))+IF(D4047=1,2,IF(D4047=7,1,(IF(WEEKDAY(B4047)=1,2,IF(WEEKDAY(B4047)=7,1,0))))))</f>
        <v>2</v>
      </c>
      <c r="G4047" s="369">
        <f>VLOOKUP(C4047,METADATA!$J$5:$Q$29,IF(E4047="HI",2,IF(E4047="LO",6,10))+IF(D4047=1,2,IF(D4047=7,1,(IF(WEEKDAY(B4047)=1,2,IF(WEEKDAY(B4047)=7,1,0))))))</f>
        <v>2</v>
      </c>
      <c r="H4047" s="370">
        <v>13713.125244140625</v>
      </c>
      <c r="I4047" s="370">
        <v>4290.9499206542969</v>
      </c>
      <c r="M4047" s="371">
        <f t="shared" si="253"/>
        <v>14368.787533506436</v>
      </c>
      <c r="N4047" s="329">
        <f t="shared" si="254"/>
        <v>177.01234741210919</v>
      </c>
      <c r="T4047" s="331">
        <v>0</v>
      </c>
      <c r="U4047" s="328">
        <f>VLOOKUP(C4047,METADATA!$J$5:$Q$29,IF(E4047="HI",2,IF(E4047="LO",6,10))+IF(T4047=1,2,IF(D4047=7,1,(IF(WEEKDAY(B4047)=1,2,IF(WEEKDAY(B4047)=7,1,0))))))</f>
        <v>2</v>
      </c>
      <c r="V4047" s="328">
        <f>VLOOKUP(C4047,METADATA!$A$5:$H$29,IF(E4047="HI",2,IF(E4047="LO",6,10))+IF(T4047=1,2,IF(D4047=7,1,(IF(WEEKDAY(B4047)=1,2,IF(WEEKDAY(B4047)=7,1,0))))))</f>
        <v>2</v>
      </c>
    </row>
    <row r="4048" spans="2:22">
      <c r="B4048" s="318">
        <f t="shared" si="251"/>
        <v>46281</v>
      </c>
      <c r="C4048" s="312">
        <v>12</v>
      </c>
      <c r="D4048" s="368">
        <f>IFERROR((INDEX(METADATA!$T$2:$T$20,MATCH(B4048,METADATA!$S$2:$S$20,0))),0)</f>
        <v>0</v>
      </c>
      <c r="E4048" s="312" t="str">
        <f t="shared" si="252"/>
        <v>LO</v>
      </c>
      <c r="F4048" s="369">
        <f>VLOOKUP(C4048,METADATA!$A$5:$H$29,IF(E4048="HI",2,IF(E4048="LO",6,10))+IF(D4048=1,2,IF(D4048=7,1,(IF(WEEKDAY(B4048)=1,2,IF(WEEKDAY(B4048)=7,1,0))))))</f>
        <v>2</v>
      </c>
      <c r="G4048" s="369">
        <f>VLOOKUP(C4048,METADATA!$J$5:$Q$29,IF(E4048="HI",2,IF(E4048="LO",6,10))+IF(D4048=1,2,IF(D4048=7,1,(IF(WEEKDAY(B4048)=1,2,IF(WEEKDAY(B4048)=7,1,0))))))</f>
        <v>2</v>
      </c>
      <c r="H4048" s="370">
        <v>13730.650085449219</v>
      </c>
      <c r="I4048" s="370">
        <v>4266.8450622558594</v>
      </c>
      <c r="M4048" s="371">
        <f t="shared" si="253"/>
        <v>14378.341996014138</v>
      </c>
      <c r="N4048" s="329">
        <f t="shared" si="254"/>
        <v>147.65003662109393</v>
      </c>
      <c r="T4048" s="331">
        <v>0</v>
      </c>
      <c r="U4048" s="328">
        <f>VLOOKUP(C4048,METADATA!$J$5:$Q$29,IF(E4048="HI",2,IF(E4048="LO",6,10))+IF(T4048=1,2,IF(D4048=7,1,(IF(WEEKDAY(B4048)=1,2,IF(WEEKDAY(B4048)=7,1,0))))))</f>
        <v>2</v>
      </c>
      <c r="V4048" s="328">
        <f>VLOOKUP(C4048,METADATA!$A$5:$H$29,IF(E4048="HI",2,IF(E4048="LO",6,10))+IF(T4048=1,2,IF(D4048=7,1,(IF(WEEKDAY(B4048)=1,2,IF(WEEKDAY(B4048)=7,1,0))))))</f>
        <v>2</v>
      </c>
    </row>
    <row r="4049" spans="2:22">
      <c r="B4049" s="318">
        <f t="shared" si="251"/>
        <v>46281</v>
      </c>
      <c r="C4049" s="312">
        <v>13</v>
      </c>
      <c r="D4049" s="368">
        <f>IFERROR((INDEX(METADATA!$T$2:$T$20,MATCH(B4049,METADATA!$S$2:$S$20,0))),0)</f>
        <v>0</v>
      </c>
      <c r="E4049" s="312" t="str">
        <f t="shared" si="252"/>
        <v>LO</v>
      </c>
      <c r="F4049" s="369">
        <f>VLOOKUP(C4049,METADATA!$A$5:$H$29,IF(E4049="HI",2,IF(E4049="LO",6,10))+IF(D4049=1,2,IF(D4049=7,1,(IF(WEEKDAY(B4049)=1,2,IF(WEEKDAY(B4049)=7,1,0))))))</f>
        <v>2</v>
      </c>
      <c r="G4049" s="369">
        <f>VLOOKUP(C4049,METADATA!$J$5:$Q$29,IF(E4049="HI",2,IF(E4049="LO",6,10))+IF(D4049=1,2,IF(D4049=7,1,(IF(WEEKDAY(B4049)=1,2,IF(WEEKDAY(B4049)=7,1,0))))))</f>
        <v>2</v>
      </c>
      <c r="H4049" s="370">
        <v>12670.149963378906</v>
      </c>
      <c r="I4049" s="370">
        <v>3650.2900085449219</v>
      </c>
      <c r="M4049" s="371">
        <f t="shared" si="253"/>
        <v>13185.496473056803</v>
      </c>
      <c r="N4049" s="329">
        <f t="shared" si="254"/>
        <v>0</v>
      </c>
      <c r="T4049" s="331">
        <v>0</v>
      </c>
      <c r="U4049" s="328">
        <f>VLOOKUP(C4049,METADATA!$J$5:$Q$29,IF(E4049="HI",2,IF(E4049="LO",6,10))+IF(T4049=1,2,IF(D4049=7,1,(IF(WEEKDAY(B4049)=1,2,IF(WEEKDAY(B4049)=7,1,0))))))</f>
        <v>2</v>
      </c>
      <c r="V4049" s="328">
        <f>VLOOKUP(C4049,METADATA!$A$5:$H$29,IF(E4049="HI",2,IF(E4049="LO",6,10))+IF(T4049=1,2,IF(D4049=7,1,(IF(WEEKDAY(B4049)=1,2,IF(WEEKDAY(B4049)=7,1,0))))))</f>
        <v>2</v>
      </c>
    </row>
    <row r="4050" spans="2:22">
      <c r="B4050" s="318">
        <f t="shared" si="251"/>
        <v>46281</v>
      </c>
      <c r="C4050" s="312">
        <v>14</v>
      </c>
      <c r="D4050" s="368">
        <f>IFERROR((INDEX(METADATA!$T$2:$T$20,MATCH(B4050,METADATA!$S$2:$S$20,0))),0)</f>
        <v>0</v>
      </c>
      <c r="E4050" s="312" t="str">
        <f t="shared" si="252"/>
        <v>LO</v>
      </c>
      <c r="F4050" s="369">
        <f>VLOOKUP(C4050,METADATA!$A$5:$H$29,IF(E4050="HI",2,IF(E4050="LO",6,10))+IF(D4050=1,2,IF(D4050=7,1,(IF(WEEKDAY(B4050)=1,2,IF(WEEKDAY(B4050)=7,1,0))))))</f>
        <v>2</v>
      </c>
      <c r="G4050" s="369">
        <f>VLOOKUP(C4050,METADATA!$J$5:$Q$29,IF(E4050="HI",2,IF(E4050="LO",6,10))+IF(D4050=1,2,IF(D4050=7,1,(IF(WEEKDAY(B4050)=1,2,IF(WEEKDAY(B4050)=7,1,0))))))</f>
        <v>2</v>
      </c>
      <c r="H4050" s="370">
        <v>11755.574829101563</v>
      </c>
      <c r="I4050" s="370">
        <v>3262.9200134277344</v>
      </c>
      <c r="M4050" s="371">
        <f t="shared" si="253"/>
        <v>12200.007646580942</v>
      </c>
      <c r="N4050" s="329">
        <f t="shared" si="254"/>
        <v>0</v>
      </c>
      <c r="T4050" s="331">
        <v>0</v>
      </c>
      <c r="U4050" s="328">
        <f>VLOOKUP(C4050,METADATA!$J$5:$Q$29,IF(E4050="HI",2,IF(E4050="LO",6,10))+IF(T4050=1,2,IF(D4050=7,1,(IF(WEEKDAY(B4050)=1,2,IF(WEEKDAY(B4050)=7,1,0))))))</f>
        <v>2</v>
      </c>
      <c r="V4050" s="328">
        <f>VLOOKUP(C4050,METADATA!$A$5:$H$29,IF(E4050="HI",2,IF(E4050="LO",6,10))+IF(T4050=1,2,IF(D4050=7,1,(IF(WEEKDAY(B4050)=1,2,IF(WEEKDAY(B4050)=7,1,0))))))</f>
        <v>2</v>
      </c>
    </row>
    <row r="4051" spans="2:22">
      <c r="B4051" s="318">
        <f t="shared" si="251"/>
        <v>46281</v>
      </c>
      <c r="C4051" s="312">
        <v>15</v>
      </c>
      <c r="D4051" s="368">
        <f>IFERROR((INDEX(METADATA!$T$2:$T$20,MATCH(B4051,METADATA!$S$2:$S$20,0))),0)</f>
        <v>0</v>
      </c>
      <c r="E4051" s="312" t="str">
        <f t="shared" si="252"/>
        <v>LO</v>
      </c>
      <c r="F4051" s="369">
        <f>VLOOKUP(C4051,METADATA!$A$5:$H$29,IF(E4051="HI",2,IF(E4051="LO",6,10))+IF(D4051=1,2,IF(D4051=7,1,(IF(WEEKDAY(B4051)=1,2,IF(WEEKDAY(B4051)=7,1,0))))))</f>
        <v>2</v>
      </c>
      <c r="G4051" s="369">
        <f>VLOOKUP(C4051,METADATA!$J$5:$Q$29,IF(E4051="HI",2,IF(E4051="LO",6,10))+IF(D4051=1,2,IF(D4051=7,1,(IF(WEEKDAY(B4051)=1,2,IF(WEEKDAY(B4051)=7,1,0))))))</f>
        <v>2</v>
      </c>
      <c r="H4051" s="370">
        <v>12247.800109863281</v>
      </c>
      <c r="I4051" s="370">
        <v>3853.7300262451172</v>
      </c>
      <c r="M4051" s="371">
        <f t="shared" si="253"/>
        <v>12839.775802028251</v>
      </c>
      <c r="N4051" s="329">
        <f t="shared" si="254"/>
        <v>179.38999328613272</v>
      </c>
      <c r="T4051" s="331">
        <v>0</v>
      </c>
      <c r="U4051" s="328">
        <f>VLOOKUP(C4051,METADATA!$J$5:$Q$29,IF(E4051="HI",2,IF(E4051="LO",6,10))+IF(T4051=1,2,IF(D4051=7,1,(IF(WEEKDAY(B4051)=1,2,IF(WEEKDAY(B4051)=7,1,0))))))</f>
        <v>2</v>
      </c>
      <c r="V4051" s="328">
        <f>VLOOKUP(C4051,METADATA!$A$5:$H$29,IF(E4051="HI",2,IF(E4051="LO",6,10))+IF(T4051=1,2,IF(D4051=7,1,(IF(WEEKDAY(B4051)=1,2,IF(WEEKDAY(B4051)=7,1,0))))))</f>
        <v>2</v>
      </c>
    </row>
    <row r="4052" spans="2:22">
      <c r="B4052" s="318">
        <f t="shared" si="251"/>
        <v>46281</v>
      </c>
      <c r="C4052" s="312">
        <v>16</v>
      </c>
      <c r="D4052" s="368">
        <f>IFERROR((INDEX(METADATA!$T$2:$T$20,MATCH(B4052,METADATA!$S$2:$S$20,0))),0)</f>
        <v>0</v>
      </c>
      <c r="E4052" s="312" t="str">
        <f t="shared" si="252"/>
        <v>LO</v>
      </c>
      <c r="F4052" s="369">
        <f>VLOOKUP(C4052,METADATA!$A$5:$H$29,IF(E4052="HI",2,IF(E4052="LO",6,10))+IF(D4052=1,2,IF(D4052=7,1,(IF(WEEKDAY(B4052)=1,2,IF(WEEKDAY(B4052)=7,1,0))))))</f>
        <v>2</v>
      </c>
      <c r="G4052" s="369">
        <f>VLOOKUP(C4052,METADATA!$J$5:$Q$29,IF(E4052="HI",2,IF(E4052="LO",6,10))+IF(D4052=1,2,IF(D4052=7,1,(IF(WEEKDAY(B4052)=1,2,IF(WEEKDAY(B4052)=7,1,0))))))</f>
        <v>2</v>
      </c>
      <c r="H4052" s="370">
        <v>13827.574829101563</v>
      </c>
      <c r="I4052" s="370">
        <v>4496.4249572753906</v>
      </c>
      <c r="M4052" s="371">
        <f t="shared" si="253"/>
        <v>14540.277268704751</v>
      </c>
      <c r="N4052" s="329">
        <f t="shared" si="254"/>
        <v>348.15250854492206</v>
      </c>
      <c r="T4052" s="331">
        <v>0</v>
      </c>
      <c r="U4052" s="328">
        <f>VLOOKUP(C4052,METADATA!$J$5:$Q$29,IF(E4052="HI",2,IF(E4052="LO",6,10))+IF(T4052=1,2,IF(D4052=7,1,(IF(WEEKDAY(B4052)=1,2,IF(WEEKDAY(B4052)=7,1,0))))))</f>
        <v>2</v>
      </c>
      <c r="V4052" s="328">
        <f>VLOOKUP(C4052,METADATA!$A$5:$H$29,IF(E4052="HI",2,IF(E4052="LO",6,10))+IF(T4052=1,2,IF(D4052=7,1,(IF(WEEKDAY(B4052)=1,2,IF(WEEKDAY(B4052)=7,1,0))))))</f>
        <v>2</v>
      </c>
    </row>
    <row r="4053" spans="2:22">
      <c r="B4053" s="318">
        <f t="shared" si="251"/>
        <v>46281</v>
      </c>
      <c r="C4053" s="312">
        <v>17</v>
      </c>
      <c r="D4053" s="368">
        <f>IFERROR((INDEX(METADATA!$T$2:$T$20,MATCH(B4053,METADATA!$S$2:$S$20,0))),0)</f>
        <v>0</v>
      </c>
      <c r="E4053" s="312" t="str">
        <f t="shared" si="252"/>
        <v>LO</v>
      </c>
      <c r="F4053" s="369">
        <f>VLOOKUP(C4053,METADATA!$A$5:$H$29,IF(E4053="HI",2,IF(E4053="LO",6,10))+IF(D4053=1,2,IF(D4053=7,1,(IF(WEEKDAY(B4053)=1,2,IF(WEEKDAY(B4053)=7,1,0))))))</f>
        <v>2</v>
      </c>
      <c r="G4053" s="369">
        <f>VLOOKUP(C4053,METADATA!$J$5:$Q$29,IF(E4053="HI",2,IF(E4053="LO",6,10))+IF(D4053=1,2,IF(D4053=7,1,(IF(WEEKDAY(B4053)=1,2,IF(WEEKDAY(B4053)=7,1,0))))))</f>
        <v>2</v>
      </c>
      <c r="H4053" s="370">
        <v>13735.200073242188</v>
      </c>
      <c r="I4053" s="370">
        <v>4455.0149230957031</v>
      </c>
      <c r="M4053" s="371">
        <f t="shared" si="253"/>
        <v>14439.628770054913</v>
      </c>
      <c r="N4053" s="329">
        <f t="shared" si="254"/>
        <v>334.45490112304742</v>
      </c>
      <c r="T4053" s="331">
        <v>0</v>
      </c>
      <c r="U4053" s="328">
        <f>VLOOKUP(C4053,METADATA!$J$5:$Q$29,IF(E4053="HI",2,IF(E4053="LO",6,10))+IF(T4053=1,2,IF(D4053=7,1,(IF(WEEKDAY(B4053)=1,2,IF(WEEKDAY(B4053)=7,1,0))))))</f>
        <v>2</v>
      </c>
      <c r="V4053" s="328">
        <f>VLOOKUP(C4053,METADATA!$A$5:$H$29,IF(E4053="HI",2,IF(E4053="LO",6,10))+IF(T4053=1,2,IF(D4053=7,1,(IF(WEEKDAY(B4053)=1,2,IF(WEEKDAY(B4053)=7,1,0))))))</f>
        <v>2</v>
      </c>
    </row>
    <row r="4054" spans="2:22">
      <c r="B4054" s="318">
        <f t="shared" si="251"/>
        <v>46281</v>
      </c>
      <c r="C4054" s="312">
        <v>18</v>
      </c>
      <c r="D4054" s="368">
        <f>IFERROR((INDEX(METADATA!$T$2:$T$20,MATCH(B4054,METADATA!$S$2:$S$20,0))),0)</f>
        <v>0</v>
      </c>
      <c r="E4054" s="312" t="str">
        <f t="shared" si="252"/>
        <v>LO</v>
      </c>
      <c r="F4054" s="369">
        <f>VLOOKUP(C4054,METADATA!$A$5:$H$29,IF(E4054="HI",2,IF(E4054="LO",6,10))+IF(D4054=1,2,IF(D4054=7,1,(IF(WEEKDAY(B4054)=1,2,IF(WEEKDAY(B4054)=7,1,0))))))</f>
        <v>1</v>
      </c>
      <c r="G4054" s="369">
        <f>VLOOKUP(C4054,METADATA!$J$5:$Q$29,IF(E4054="HI",2,IF(E4054="LO",6,10))+IF(D4054=1,2,IF(D4054=7,1,(IF(WEEKDAY(B4054)=1,2,IF(WEEKDAY(B4054)=7,1,0))))))</f>
        <v>1</v>
      </c>
      <c r="H4054" s="370">
        <v>13703.924560546875</v>
      </c>
      <c r="I4054" s="370">
        <v>4425.9849548339844</v>
      </c>
      <c r="M4054" s="371">
        <f t="shared" si="253"/>
        <v>14400.933691312403</v>
      </c>
      <c r="N4054" s="329">
        <f t="shared" si="254"/>
        <v>314.80758666992188</v>
      </c>
      <c r="T4054" s="331">
        <v>0</v>
      </c>
      <c r="U4054" s="328">
        <f>VLOOKUP(C4054,METADATA!$J$5:$Q$29,IF(E4054="HI",2,IF(E4054="LO",6,10))+IF(T4054=1,2,IF(D4054=7,1,(IF(WEEKDAY(B4054)=1,2,IF(WEEKDAY(B4054)=7,1,0))))))</f>
        <v>1</v>
      </c>
      <c r="V4054" s="328">
        <f>VLOOKUP(C4054,METADATA!$A$5:$H$29,IF(E4054="HI",2,IF(E4054="LO",6,10))+IF(T4054=1,2,IF(D4054=7,1,(IF(WEEKDAY(B4054)=1,2,IF(WEEKDAY(B4054)=7,1,0))))))</f>
        <v>1</v>
      </c>
    </row>
    <row r="4055" spans="2:22">
      <c r="B4055" s="318">
        <f t="shared" si="251"/>
        <v>46281</v>
      </c>
      <c r="C4055" s="312">
        <v>19</v>
      </c>
      <c r="D4055" s="368">
        <f>IFERROR((INDEX(METADATA!$T$2:$T$20,MATCH(B4055,METADATA!$S$2:$S$20,0))),0)</f>
        <v>0</v>
      </c>
      <c r="E4055" s="312" t="str">
        <f t="shared" si="252"/>
        <v>LO</v>
      </c>
      <c r="F4055" s="369">
        <f>VLOOKUP(C4055,METADATA!$A$5:$H$29,IF(E4055="HI",2,IF(E4055="LO",6,10))+IF(D4055=1,2,IF(D4055=7,1,(IF(WEEKDAY(B4055)=1,2,IF(WEEKDAY(B4055)=7,1,0))))))</f>
        <v>1</v>
      </c>
      <c r="G4055" s="369">
        <f>VLOOKUP(C4055,METADATA!$J$5:$Q$29,IF(E4055="HI",2,IF(E4055="LO",6,10))+IF(D4055=1,2,IF(D4055=7,1,(IF(WEEKDAY(B4055)=1,2,IF(WEEKDAY(B4055)=7,1,0))))))</f>
        <v>1</v>
      </c>
      <c r="H4055" s="370">
        <v>13645.674560546875</v>
      </c>
      <c r="I4055" s="370">
        <v>4406.6199645996094</v>
      </c>
      <c r="M4055" s="371">
        <f t="shared" si="253"/>
        <v>14339.551378085858</v>
      </c>
      <c r="N4055" s="329">
        <f t="shared" si="254"/>
        <v>312.91759643554724</v>
      </c>
      <c r="T4055" s="331">
        <v>0</v>
      </c>
      <c r="U4055" s="328">
        <f>VLOOKUP(C4055,METADATA!$J$5:$Q$29,IF(E4055="HI",2,IF(E4055="LO",6,10))+IF(T4055=1,2,IF(D4055=7,1,(IF(WEEKDAY(B4055)=1,2,IF(WEEKDAY(B4055)=7,1,0))))))</f>
        <v>1</v>
      </c>
      <c r="V4055" s="328">
        <f>VLOOKUP(C4055,METADATA!$A$5:$H$29,IF(E4055="HI",2,IF(E4055="LO",6,10))+IF(T4055=1,2,IF(D4055=7,1,(IF(WEEKDAY(B4055)=1,2,IF(WEEKDAY(B4055)=7,1,0))))))</f>
        <v>1</v>
      </c>
    </row>
    <row r="4056" spans="2:22">
      <c r="B4056" s="318">
        <f t="shared" si="251"/>
        <v>46281</v>
      </c>
      <c r="C4056" s="312">
        <v>20</v>
      </c>
      <c r="D4056" s="368">
        <f>IFERROR((INDEX(METADATA!$T$2:$T$20,MATCH(B4056,METADATA!$S$2:$S$20,0))),0)</f>
        <v>0</v>
      </c>
      <c r="E4056" s="312" t="str">
        <f t="shared" si="252"/>
        <v>LO</v>
      </c>
      <c r="F4056" s="369">
        <f>VLOOKUP(C4056,METADATA!$A$5:$H$29,IF(E4056="HI",2,IF(E4056="LO",6,10))+IF(D4056=1,2,IF(D4056=7,1,(IF(WEEKDAY(B4056)=1,2,IF(WEEKDAY(B4056)=7,1,0))))))</f>
        <v>1</v>
      </c>
      <c r="G4056" s="369">
        <f>VLOOKUP(C4056,METADATA!$J$5:$Q$29,IF(E4056="HI",2,IF(E4056="LO",6,10))+IF(D4056=1,2,IF(D4056=7,1,(IF(WEEKDAY(B4056)=1,2,IF(WEEKDAY(B4056)=7,1,0))))))</f>
        <v>1</v>
      </c>
      <c r="H4056" s="370">
        <v>13409.549743652344</v>
      </c>
      <c r="I4056" s="370">
        <v>4275.85498046875</v>
      </c>
      <c r="M4056" s="371">
        <f t="shared" si="253"/>
        <v>14074.763235716828</v>
      </c>
      <c r="N4056" s="329">
        <f t="shared" si="254"/>
        <v>252.99005737304697</v>
      </c>
      <c r="T4056" s="331">
        <v>0</v>
      </c>
      <c r="U4056" s="328">
        <f>VLOOKUP(C4056,METADATA!$J$5:$Q$29,IF(E4056="HI",2,IF(E4056="LO",6,10))+IF(T4056=1,2,IF(D4056=7,1,(IF(WEEKDAY(B4056)=1,2,IF(WEEKDAY(B4056)=7,1,0))))))</f>
        <v>1</v>
      </c>
      <c r="V4056" s="328">
        <f>VLOOKUP(C4056,METADATA!$A$5:$H$29,IF(E4056="HI",2,IF(E4056="LO",6,10))+IF(T4056=1,2,IF(D4056=7,1,(IF(WEEKDAY(B4056)=1,2,IF(WEEKDAY(B4056)=7,1,0))))))</f>
        <v>1</v>
      </c>
    </row>
    <row r="4057" spans="2:22">
      <c r="B4057" s="318">
        <f t="shared" si="251"/>
        <v>46281</v>
      </c>
      <c r="C4057" s="312">
        <v>21</v>
      </c>
      <c r="D4057" s="368">
        <f>IFERROR((INDEX(METADATA!$T$2:$T$20,MATCH(B4057,METADATA!$S$2:$S$20,0))),0)</f>
        <v>0</v>
      </c>
      <c r="E4057" s="312" t="str">
        <f t="shared" si="252"/>
        <v>LO</v>
      </c>
      <c r="F4057" s="369">
        <f>VLOOKUP(C4057,METADATA!$A$5:$H$29,IF(E4057="HI",2,IF(E4057="LO",6,10))+IF(D4057=1,2,IF(D4057=7,1,(IF(WEEKDAY(B4057)=1,2,IF(WEEKDAY(B4057)=7,1,0))))))</f>
        <v>2</v>
      </c>
      <c r="G4057" s="369">
        <f>VLOOKUP(C4057,METADATA!$J$5:$Q$29,IF(E4057="HI",2,IF(E4057="LO",6,10))+IF(D4057=1,2,IF(D4057=7,1,(IF(WEEKDAY(B4057)=1,2,IF(WEEKDAY(B4057)=7,1,0))))))</f>
        <v>2</v>
      </c>
      <c r="H4057" s="370">
        <v>13374.75</v>
      </c>
      <c r="I4057" s="370">
        <v>4174.4898986816406</v>
      </c>
      <c r="M4057" s="371">
        <f t="shared" si="253"/>
        <v>14011.077884184895</v>
      </c>
      <c r="N4057" s="329">
        <f t="shared" si="254"/>
        <v>162.0648986816409</v>
      </c>
      <c r="T4057" s="331">
        <v>0</v>
      </c>
      <c r="U4057" s="328">
        <f>VLOOKUP(C4057,METADATA!$J$5:$Q$29,IF(E4057="HI",2,IF(E4057="LO",6,10))+IF(T4057=1,2,IF(D4057=7,1,(IF(WEEKDAY(B4057)=1,2,IF(WEEKDAY(B4057)=7,1,0))))))</f>
        <v>2</v>
      </c>
      <c r="V4057" s="328">
        <f>VLOOKUP(C4057,METADATA!$A$5:$H$29,IF(E4057="HI",2,IF(E4057="LO",6,10))+IF(T4057=1,2,IF(D4057=7,1,(IF(WEEKDAY(B4057)=1,2,IF(WEEKDAY(B4057)=7,1,0))))))</f>
        <v>2</v>
      </c>
    </row>
    <row r="4058" spans="2:22">
      <c r="B4058" s="318">
        <f t="shared" si="251"/>
        <v>46281</v>
      </c>
      <c r="C4058" s="312">
        <v>22</v>
      </c>
      <c r="D4058" s="368">
        <f>IFERROR((INDEX(METADATA!$T$2:$T$20,MATCH(B4058,METADATA!$S$2:$S$20,0))),0)</f>
        <v>0</v>
      </c>
      <c r="E4058" s="312" t="str">
        <f t="shared" si="252"/>
        <v>LO</v>
      </c>
      <c r="F4058" s="369">
        <f>VLOOKUP(C4058,METADATA!$A$5:$H$29,IF(E4058="HI",2,IF(E4058="LO",6,10))+IF(D4058=1,2,IF(D4058=7,1,(IF(WEEKDAY(B4058)=1,2,IF(WEEKDAY(B4058)=7,1,0))))))</f>
        <v>3</v>
      </c>
      <c r="G4058" s="369">
        <f>VLOOKUP(C4058,METADATA!$J$5:$Q$29,IF(E4058="HI",2,IF(E4058="LO",6,10))+IF(D4058=1,2,IF(D4058=7,1,(IF(WEEKDAY(B4058)=1,2,IF(WEEKDAY(B4058)=7,1,0))))))</f>
        <v>3</v>
      </c>
      <c r="H4058" s="370">
        <v>13359.69970703125</v>
      </c>
      <c r="I4058" s="370">
        <v>4218.6600341796875</v>
      </c>
      <c r="M4058" s="371">
        <f t="shared" si="253"/>
        <v>14009.948920179395</v>
      </c>
      <c r="N4058" s="329">
        <f t="shared" si="254"/>
        <v>210.7501220703125</v>
      </c>
      <c r="T4058" s="331">
        <v>0</v>
      </c>
      <c r="U4058" s="328">
        <f>VLOOKUP(C4058,METADATA!$J$5:$Q$29,IF(E4058="HI",2,IF(E4058="LO",6,10))+IF(T4058=1,2,IF(D4058=7,1,(IF(WEEKDAY(B4058)=1,2,IF(WEEKDAY(B4058)=7,1,0))))))</f>
        <v>3</v>
      </c>
      <c r="V4058" s="328">
        <f>VLOOKUP(C4058,METADATA!$A$5:$H$29,IF(E4058="HI",2,IF(E4058="LO",6,10))+IF(T4058=1,2,IF(D4058=7,1,(IF(WEEKDAY(B4058)=1,2,IF(WEEKDAY(B4058)=7,1,0))))))</f>
        <v>3</v>
      </c>
    </row>
    <row r="4059" spans="2:22">
      <c r="B4059" s="318">
        <f t="shared" si="251"/>
        <v>46281</v>
      </c>
      <c r="C4059" s="312">
        <v>23</v>
      </c>
      <c r="D4059" s="368">
        <f>IFERROR((INDEX(METADATA!$T$2:$T$20,MATCH(B4059,METADATA!$S$2:$S$20,0))),0)</f>
        <v>0</v>
      </c>
      <c r="E4059" s="312" t="str">
        <f t="shared" si="252"/>
        <v>LO</v>
      </c>
      <c r="F4059" s="369">
        <f>VLOOKUP(C4059,METADATA!$A$5:$H$29,IF(E4059="HI",2,IF(E4059="LO",6,10))+IF(D4059=1,2,IF(D4059=7,1,(IF(WEEKDAY(B4059)=1,2,IF(WEEKDAY(B4059)=7,1,0))))))</f>
        <v>3</v>
      </c>
      <c r="G4059" s="369">
        <f>VLOOKUP(C4059,METADATA!$J$5:$Q$29,IF(E4059="HI",2,IF(E4059="LO",6,10))+IF(D4059=1,2,IF(D4059=7,1,(IF(WEEKDAY(B4059)=1,2,IF(WEEKDAY(B4059)=7,1,0))))))</f>
        <v>3</v>
      </c>
      <c r="H4059" s="370">
        <v>13572.875061035156</v>
      </c>
      <c r="I4059" s="370">
        <v>4487.5399780273438</v>
      </c>
      <c r="M4059" s="371">
        <f t="shared" si="253"/>
        <v>14295.487136745769</v>
      </c>
      <c r="N4059" s="329">
        <f t="shared" si="254"/>
        <v>415.67745971679688</v>
      </c>
      <c r="T4059" s="331">
        <v>0</v>
      </c>
      <c r="U4059" s="328">
        <f>VLOOKUP(C4059,METADATA!$J$5:$Q$29,IF(E4059="HI",2,IF(E4059="LO",6,10))+IF(T4059=1,2,IF(D4059=7,1,(IF(WEEKDAY(B4059)=1,2,IF(WEEKDAY(B4059)=7,1,0))))))</f>
        <v>3</v>
      </c>
      <c r="V4059" s="328">
        <f>VLOOKUP(C4059,METADATA!$A$5:$H$29,IF(E4059="HI",2,IF(E4059="LO",6,10))+IF(T4059=1,2,IF(D4059=7,1,(IF(WEEKDAY(B4059)=1,2,IF(WEEKDAY(B4059)=7,1,0))))))</f>
        <v>3</v>
      </c>
    </row>
    <row r="4060" spans="2:22">
      <c r="B4060" s="318">
        <f t="shared" ref="B4060:B4123" si="255">B4036+1</f>
        <v>46282</v>
      </c>
      <c r="C4060" s="312">
        <v>0</v>
      </c>
      <c r="D4060" s="368">
        <f>IFERROR((INDEX(METADATA!$T$2:$T$20,MATCH(B4060,METADATA!$S$2:$S$20,0))),0)</f>
        <v>0</v>
      </c>
      <c r="E4060" s="312" t="str">
        <f t="shared" si="252"/>
        <v>LO</v>
      </c>
      <c r="F4060" s="369">
        <f>VLOOKUP(C4060,METADATA!$A$5:$H$29,IF(E4060="HI",2,IF(E4060="LO",6,10))+IF(D4060=1,2,IF(D4060=7,1,(IF(WEEKDAY(B4060)=1,2,IF(WEEKDAY(B4060)=7,1,0))))))</f>
        <v>3</v>
      </c>
      <c r="G4060" s="369">
        <f>VLOOKUP(C4060,METADATA!$J$5:$Q$29,IF(E4060="HI",2,IF(E4060="LO",6,10))+IF(D4060=1,2,IF(D4060=7,1,(IF(WEEKDAY(B4060)=1,2,IF(WEEKDAY(B4060)=7,1,0))))))</f>
        <v>3</v>
      </c>
      <c r="H4060" s="370">
        <v>13521.624877929688</v>
      </c>
      <c r="I4060" s="370">
        <v>4361.1000366210938</v>
      </c>
      <c r="M4060" s="371">
        <f t="shared" si="253"/>
        <v>14207.516773485208</v>
      </c>
      <c r="N4060" s="329">
        <f t="shared" si="254"/>
        <v>304.61257324218786</v>
      </c>
      <c r="T4060" s="331">
        <v>0</v>
      </c>
      <c r="U4060" s="328">
        <f>VLOOKUP(C4060,METADATA!$J$5:$Q$29,IF(E4060="HI",2,IF(E4060="LO",6,10))+IF(T4060=1,2,IF(D4060=7,1,(IF(WEEKDAY(B4060)=1,2,IF(WEEKDAY(B4060)=7,1,0))))))</f>
        <v>3</v>
      </c>
      <c r="V4060" s="328">
        <f>VLOOKUP(C4060,METADATA!$A$5:$H$29,IF(E4060="HI",2,IF(E4060="LO",6,10))+IF(T4060=1,2,IF(D4060=7,1,(IF(WEEKDAY(B4060)=1,2,IF(WEEKDAY(B4060)=7,1,0))))))</f>
        <v>3</v>
      </c>
    </row>
    <row r="4061" spans="2:22">
      <c r="B4061" s="318">
        <f t="shared" si="255"/>
        <v>46282</v>
      </c>
      <c r="C4061" s="312">
        <v>1</v>
      </c>
      <c r="D4061" s="368">
        <f>IFERROR((INDEX(METADATA!$T$2:$T$20,MATCH(B4061,METADATA!$S$2:$S$20,0))),0)</f>
        <v>0</v>
      </c>
      <c r="E4061" s="312" t="str">
        <f t="shared" si="252"/>
        <v>LO</v>
      </c>
      <c r="F4061" s="369">
        <f>VLOOKUP(C4061,METADATA!$A$5:$H$29,IF(E4061="HI",2,IF(E4061="LO",6,10))+IF(D4061=1,2,IF(D4061=7,1,(IF(WEEKDAY(B4061)=1,2,IF(WEEKDAY(B4061)=7,1,0))))))</f>
        <v>3</v>
      </c>
      <c r="G4061" s="369">
        <f>VLOOKUP(C4061,METADATA!$J$5:$Q$29,IF(E4061="HI",2,IF(E4061="LO",6,10))+IF(D4061=1,2,IF(D4061=7,1,(IF(WEEKDAY(B4061)=1,2,IF(WEEKDAY(B4061)=7,1,0))))))</f>
        <v>3</v>
      </c>
      <c r="H4061" s="370">
        <v>13506.025024414063</v>
      </c>
      <c r="I4061" s="370">
        <v>4254.8599853515625</v>
      </c>
      <c r="M4061" s="371">
        <f t="shared" si="253"/>
        <v>14160.386486782229</v>
      </c>
      <c r="N4061" s="329">
        <f t="shared" si="254"/>
        <v>203.05247802734402</v>
      </c>
      <c r="T4061" s="331">
        <v>0</v>
      </c>
      <c r="U4061" s="328">
        <f>VLOOKUP(C4061,METADATA!$J$5:$Q$29,IF(E4061="HI",2,IF(E4061="LO",6,10))+IF(T4061=1,2,IF(D4061=7,1,(IF(WEEKDAY(B4061)=1,2,IF(WEEKDAY(B4061)=7,1,0))))))</f>
        <v>3</v>
      </c>
      <c r="V4061" s="328">
        <f>VLOOKUP(C4061,METADATA!$A$5:$H$29,IF(E4061="HI",2,IF(E4061="LO",6,10))+IF(T4061=1,2,IF(D4061=7,1,(IF(WEEKDAY(B4061)=1,2,IF(WEEKDAY(B4061)=7,1,0))))))</f>
        <v>3</v>
      </c>
    </row>
    <row r="4062" spans="2:22">
      <c r="B4062" s="318">
        <f t="shared" si="255"/>
        <v>46282</v>
      </c>
      <c r="C4062" s="312">
        <v>2</v>
      </c>
      <c r="D4062" s="368">
        <f>IFERROR((INDEX(METADATA!$T$2:$T$20,MATCH(B4062,METADATA!$S$2:$S$20,0))),0)</f>
        <v>0</v>
      </c>
      <c r="E4062" s="312" t="str">
        <f t="shared" si="252"/>
        <v>LO</v>
      </c>
      <c r="F4062" s="369">
        <f>VLOOKUP(C4062,METADATA!$A$5:$H$29,IF(E4062="HI",2,IF(E4062="LO",6,10))+IF(D4062=1,2,IF(D4062=7,1,(IF(WEEKDAY(B4062)=1,2,IF(WEEKDAY(B4062)=7,1,0))))))</f>
        <v>3</v>
      </c>
      <c r="G4062" s="369">
        <f>VLOOKUP(C4062,METADATA!$J$5:$Q$29,IF(E4062="HI",2,IF(E4062="LO",6,10))+IF(D4062=1,2,IF(D4062=7,1,(IF(WEEKDAY(B4062)=1,2,IF(WEEKDAY(B4062)=7,1,0))))))</f>
        <v>3</v>
      </c>
      <c r="H4062" s="370">
        <v>13635.474975585938</v>
      </c>
      <c r="I4062" s="370">
        <v>4337.8699951171875</v>
      </c>
      <c r="M4062" s="371">
        <f t="shared" si="253"/>
        <v>14308.853689389947</v>
      </c>
      <c r="N4062" s="329">
        <f t="shared" si="254"/>
        <v>247.22750244140661</v>
      </c>
      <c r="T4062" s="331">
        <v>0</v>
      </c>
      <c r="U4062" s="328">
        <f>VLOOKUP(C4062,METADATA!$J$5:$Q$29,IF(E4062="HI",2,IF(E4062="LO",6,10))+IF(T4062=1,2,IF(D4062=7,1,(IF(WEEKDAY(B4062)=1,2,IF(WEEKDAY(B4062)=7,1,0))))))</f>
        <v>3</v>
      </c>
      <c r="V4062" s="328">
        <f>VLOOKUP(C4062,METADATA!$A$5:$H$29,IF(E4062="HI",2,IF(E4062="LO",6,10))+IF(T4062=1,2,IF(D4062=7,1,(IF(WEEKDAY(B4062)=1,2,IF(WEEKDAY(B4062)=7,1,0))))))</f>
        <v>3</v>
      </c>
    </row>
    <row r="4063" spans="2:22">
      <c r="B4063" s="318">
        <f t="shared" si="255"/>
        <v>46282</v>
      </c>
      <c r="C4063" s="312">
        <v>3</v>
      </c>
      <c r="D4063" s="368">
        <f>IFERROR((INDEX(METADATA!$T$2:$T$20,MATCH(B4063,METADATA!$S$2:$S$20,0))),0)</f>
        <v>0</v>
      </c>
      <c r="E4063" s="312" t="str">
        <f t="shared" si="252"/>
        <v>LO</v>
      </c>
      <c r="F4063" s="369">
        <f>VLOOKUP(C4063,METADATA!$A$5:$H$29,IF(E4063="HI",2,IF(E4063="LO",6,10))+IF(D4063=1,2,IF(D4063=7,1,(IF(WEEKDAY(B4063)=1,2,IF(WEEKDAY(B4063)=7,1,0))))))</f>
        <v>3</v>
      </c>
      <c r="G4063" s="369">
        <f>VLOOKUP(C4063,METADATA!$J$5:$Q$29,IF(E4063="HI",2,IF(E4063="LO",6,10))+IF(D4063=1,2,IF(D4063=7,1,(IF(WEEKDAY(B4063)=1,2,IF(WEEKDAY(B4063)=7,1,0))))))</f>
        <v>3</v>
      </c>
      <c r="H4063" s="370">
        <v>13607.075317382813</v>
      </c>
      <c r="I4063" s="370">
        <v>4279.77001953125</v>
      </c>
      <c r="M4063" s="371">
        <f t="shared" si="253"/>
        <v>14264.253577141955</v>
      </c>
      <c r="N4063" s="329">
        <f t="shared" si="254"/>
        <v>197.64742431640661</v>
      </c>
      <c r="T4063" s="331">
        <v>0</v>
      </c>
      <c r="U4063" s="328">
        <f>VLOOKUP(C4063,METADATA!$J$5:$Q$29,IF(E4063="HI",2,IF(E4063="LO",6,10))+IF(T4063=1,2,IF(D4063=7,1,(IF(WEEKDAY(B4063)=1,2,IF(WEEKDAY(B4063)=7,1,0))))))</f>
        <v>3</v>
      </c>
      <c r="V4063" s="328">
        <f>VLOOKUP(C4063,METADATA!$A$5:$H$29,IF(E4063="HI",2,IF(E4063="LO",6,10))+IF(T4063=1,2,IF(D4063=7,1,(IF(WEEKDAY(B4063)=1,2,IF(WEEKDAY(B4063)=7,1,0))))))</f>
        <v>3</v>
      </c>
    </row>
    <row r="4064" spans="2:22">
      <c r="B4064" s="318">
        <f t="shared" si="255"/>
        <v>46282</v>
      </c>
      <c r="C4064" s="312">
        <v>4</v>
      </c>
      <c r="D4064" s="368">
        <f>IFERROR((INDEX(METADATA!$T$2:$T$20,MATCH(B4064,METADATA!$S$2:$S$20,0))),0)</f>
        <v>0</v>
      </c>
      <c r="E4064" s="312" t="str">
        <f t="shared" si="252"/>
        <v>LO</v>
      </c>
      <c r="F4064" s="369">
        <f>VLOOKUP(C4064,METADATA!$A$5:$H$29,IF(E4064="HI",2,IF(E4064="LO",6,10))+IF(D4064=1,2,IF(D4064=7,1,(IF(WEEKDAY(B4064)=1,2,IF(WEEKDAY(B4064)=7,1,0))))))</f>
        <v>3</v>
      </c>
      <c r="G4064" s="369">
        <f>VLOOKUP(C4064,METADATA!$J$5:$Q$29,IF(E4064="HI",2,IF(E4064="LO",6,10))+IF(D4064=1,2,IF(D4064=7,1,(IF(WEEKDAY(B4064)=1,2,IF(WEEKDAY(B4064)=7,1,0))))))</f>
        <v>3</v>
      </c>
      <c r="H4064" s="370">
        <v>13466.775024414063</v>
      </c>
      <c r="I4064" s="370">
        <v>4111.3500366210938</v>
      </c>
      <c r="M4064" s="371">
        <f t="shared" si="253"/>
        <v>14080.384536006346</v>
      </c>
      <c r="N4064" s="329">
        <f t="shared" si="254"/>
        <v>71.317529296875364</v>
      </c>
      <c r="T4064" s="331">
        <v>0</v>
      </c>
      <c r="U4064" s="328">
        <f>VLOOKUP(C4064,METADATA!$J$5:$Q$29,IF(E4064="HI",2,IF(E4064="LO",6,10))+IF(T4064=1,2,IF(D4064=7,1,(IF(WEEKDAY(B4064)=1,2,IF(WEEKDAY(B4064)=7,1,0))))))</f>
        <v>3</v>
      </c>
      <c r="V4064" s="328">
        <f>VLOOKUP(C4064,METADATA!$A$5:$H$29,IF(E4064="HI",2,IF(E4064="LO",6,10))+IF(T4064=1,2,IF(D4064=7,1,(IF(WEEKDAY(B4064)=1,2,IF(WEEKDAY(B4064)=7,1,0))))))</f>
        <v>3</v>
      </c>
    </row>
    <row r="4065" spans="2:22">
      <c r="B4065" s="318">
        <f t="shared" si="255"/>
        <v>46282</v>
      </c>
      <c r="C4065" s="312">
        <v>5</v>
      </c>
      <c r="D4065" s="368">
        <f>IFERROR((INDEX(METADATA!$T$2:$T$20,MATCH(B4065,METADATA!$S$2:$S$20,0))),0)</f>
        <v>0</v>
      </c>
      <c r="E4065" s="312" t="str">
        <f t="shared" si="252"/>
        <v>LO</v>
      </c>
      <c r="F4065" s="369">
        <f>VLOOKUP(C4065,METADATA!$A$5:$H$29,IF(E4065="HI",2,IF(E4065="LO",6,10))+IF(D4065=1,2,IF(D4065=7,1,(IF(WEEKDAY(B4065)=1,2,IF(WEEKDAY(B4065)=7,1,0))))))</f>
        <v>3</v>
      </c>
      <c r="G4065" s="369">
        <f>VLOOKUP(C4065,METADATA!$J$5:$Q$29,IF(E4065="HI",2,IF(E4065="LO",6,10))+IF(D4065=1,2,IF(D4065=7,1,(IF(WEEKDAY(B4065)=1,2,IF(WEEKDAY(B4065)=7,1,0))))))</f>
        <v>3</v>
      </c>
      <c r="H4065" s="370">
        <v>13484.22509765625</v>
      </c>
      <c r="I4065" s="370">
        <v>4061.97998046875</v>
      </c>
      <c r="M4065" s="371">
        <f t="shared" si="253"/>
        <v>14082.755690772727</v>
      </c>
      <c r="N4065" s="329">
        <f t="shared" si="254"/>
        <v>16.712451171875273</v>
      </c>
      <c r="T4065" s="331">
        <v>0</v>
      </c>
      <c r="U4065" s="328">
        <f>VLOOKUP(C4065,METADATA!$J$5:$Q$29,IF(E4065="HI",2,IF(E4065="LO",6,10))+IF(T4065=1,2,IF(D4065=7,1,(IF(WEEKDAY(B4065)=1,2,IF(WEEKDAY(B4065)=7,1,0))))))</f>
        <v>3</v>
      </c>
      <c r="V4065" s="328">
        <f>VLOOKUP(C4065,METADATA!$A$5:$H$29,IF(E4065="HI",2,IF(E4065="LO",6,10))+IF(T4065=1,2,IF(D4065=7,1,(IF(WEEKDAY(B4065)=1,2,IF(WEEKDAY(B4065)=7,1,0))))))</f>
        <v>3</v>
      </c>
    </row>
    <row r="4066" spans="2:22">
      <c r="B4066" s="318">
        <f t="shared" si="255"/>
        <v>46282</v>
      </c>
      <c r="C4066" s="312">
        <v>6</v>
      </c>
      <c r="D4066" s="368">
        <f>IFERROR((INDEX(METADATA!$T$2:$T$20,MATCH(B4066,METADATA!$S$2:$S$20,0))),0)</f>
        <v>0</v>
      </c>
      <c r="E4066" s="312" t="str">
        <f t="shared" si="252"/>
        <v>LO</v>
      </c>
      <c r="F4066" s="369">
        <f>VLOOKUP(C4066,METADATA!$A$5:$H$29,IF(E4066="HI",2,IF(E4066="LO",6,10))+IF(D4066=1,2,IF(D4066=7,1,(IF(WEEKDAY(B4066)=1,2,IF(WEEKDAY(B4066)=7,1,0))))))</f>
        <v>2</v>
      </c>
      <c r="G4066" s="369">
        <f>VLOOKUP(C4066,METADATA!$J$5:$Q$29,IF(E4066="HI",2,IF(E4066="LO",6,10))+IF(D4066=1,2,IF(D4066=7,1,(IF(WEEKDAY(B4066)=1,2,IF(WEEKDAY(B4066)=7,1,0))))))</f>
        <v>2</v>
      </c>
      <c r="H4066" s="370">
        <v>13552.600219726563</v>
      </c>
      <c r="I4066" s="370">
        <v>4094.1849670410156</v>
      </c>
      <c r="M4066" s="371">
        <f t="shared" si="253"/>
        <v>14157.518259217506</v>
      </c>
      <c r="N4066" s="329">
        <f t="shared" si="254"/>
        <v>28.404901123047239</v>
      </c>
      <c r="T4066" s="331">
        <v>0</v>
      </c>
      <c r="U4066" s="328">
        <f>VLOOKUP(C4066,METADATA!$J$5:$Q$29,IF(E4066="HI",2,IF(E4066="LO",6,10))+IF(T4066=1,2,IF(D4066=7,1,(IF(WEEKDAY(B4066)=1,2,IF(WEEKDAY(B4066)=7,1,0))))))</f>
        <v>2</v>
      </c>
      <c r="V4066" s="328">
        <f>VLOOKUP(C4066,METADATA!$A$5:$H$29,IF(E4066="HI",2,IF(E4066="LO",6,10))+IF(T4066=1,2,IF(D4066=7,1,(IF(WEEKDAY(B4066)=1,2,IF(WEEKDAY(B4066)=7,1,0))))))</f>
        <v>2</v>
      </c>
    </row>
    <row r="4067" spans="2:22">
      <c r="B4067" s="318">
        <f t="shared" si="255"/>
        <v>46282</v>
      </c>
      <c r="C4067" s="312">
        <v>7</v>
      </c>
      <c r="D4067" s="368">
        <f>IFERROR((INDEX(METADATA!$T$2:$T$20,MATCH(B4067,METADATA!$S$2:$S$20,0))),0)</f>
        <v>0</v>
      </c>
      <c r="E4067" s="312" t="str">
        <f t="shared" si="252"/>
        <v>LO</v>
      </c>
      <c r="F4067" s="369">
        <f>VLOOKUP(C4067,METADATA!$A$5:$H$29,IF(E4067="HI",2,IF(E4067="LO",6,10))+IF(D4067=1,2,IF(D4067=7,1,(IF(WEEKDAY(B4067)=1,2,IF(WEEKDAY(B4067)=7,1,0))))))</f>
        <v>1</v>
      </c>
      <c r="G4067" s="369">
        <f>VLOOKUP(C4067,METADATA!$J$5:$Q$29,IF(E4067="HI",2,IF(E4067="LO",6,10))+IF(D4067=1,2,IF(D4067=7,1,(IF(WEEKDAY(B4067)=1,2,IF(WEEKDAY(B4067)=7,1,0))))))</f>
        <v>1</v>
      </c>
      <c r="H4067" s="370">
        <v>13585.150268554688</v>
      </c>
      <c r="I4067" s="370">
        <v>4218.7000732421875</v>
      </c>
      <c r="M4067" s="371">
        <f t="shared" si="253"/>
        <v>14225.109424084761</v>
      </c>
      <c r="N4067" s="329">
        <f t="shared" si="254"/>
        <v>143.15499267578161</v>
      </c>
      <c r="T4067" s="331">
        <v>0</v>
      </c>
      <c r="U4067" s="328">
        <f>VLOOKUP(C4067,METADATA!$J$5:$Q$29,IF(E4067="HI",2,IF(E4067="LO",6,10))+IF(T4067=1,2,IF(D4067=7,1,(IF(WEEKDAY(B4067)=1,2,IF(WEEKDAY(B4067)=7,1,0))))))</f>
        <v>1</v>
      </c>
      <c r="V4067" s="328">
        <f>VLOOKUP(C4067,METADATA!$A$5:$H$29,IF(E4067="HI",2,IF(E4067="LO",6,10))+IF(T4067=1,2,IF(D4067=7,1,(IF(WEEKDAY(B4067)=1,2,IF(WEEKDAY(B4067)=7,1,0))))))</f>
        <v>1</v>
      </c>
    </row>
    <row r="4068" spans="2:22">
      <c r="B4068" s="318">
        <f t="shared" si="255"/>
        <v>46282</v>
      </c>
      <c r="C4068" s="312">
        <v>8</v>
      </c>
      <c r="D4068" s="368">
        <f>IFERROR((INDEX(METADATA!$T$2:$T$20,MATCH(B4068,METADATA!$S$2:$S$20,0))),0)</f>
        <v>0</v>
      </c>
      <c r="E4068" s="312" t="str">
        <f t="shared" si="252"/>
        <v>LO</v>
      </c>
      <c r="F4068" s="369">
        <f>VLOOKUP(C4068,METADATA!$A$5:$H$29,IF(E4068="HI",2,IF(E4068="LO",6,10))+IF(D4068=1,2,IF(D4068=7,1,(IF(WEEKDAY(B4068)=1,2,IF(WEEKDAY(B4068)=7,1,0))))))</f>
        <v>1</v>
      </c>
      <c r="G4068" s="369">
        <f>VLOOKUP(C4068,METADATA!$J$5:$Q$29,IF(E4068="HI",2,IF(E4068="LO",6,10))+IF(D4068=1,2,IF(D4068=7,1,(IF(WEEKDAY(B4068)=1,2,IF(WEEKDAY(B4068)=7,1,0))))))</f>
        <v>1</v>
      </c>
      <c r="H4068" s="370">
        <v>13567.174682617188</v>
      </c>
      <c r="I4068" s="370">
        <v>3982.4500732421875</v>
      </c>
      <c r="M4068" s="371">
        <f t="shared" si="253"/>
        <v>14139.59467079999</v>
      </c>
      <c r="N4068" s="329">
        <f t="shared" si="254"/>
        <v>0</v>
      </c>
      <c r="T4068" s="331">
        <v>0</v>
      </c>
      <c r="U4068" s="328">
        <f>VLOOKUP(C4068,METADATA!$J$5:$Q$29,IF(E4068="HI",2,IF(E4068="LO",6,10))+IF(T4068=1,2,IF(D4068=7,1,(IF(WEEKDAY(B4068)=1,2,IF(WEEKDAY(B4068)=7,1,0))))))</f>
        <v>1</v>
      </c>
      <c r="V4068" s="328">
        <f>VLOOKUP(C4068,METADATA!$A$5:$H$29,IF(E4068="HI",2,IF(E4068="LO",6,10))+IF(T4068=1,2,IF(D4068=7,1,(IF(WEEKDAY(B4068)=1,2,IF(WEEKDAY(B4068)=7,1,0))))))</f>
        <v>1</v>
      </c>
    </row>
    <row r="4069" spans="2:22">
      <c r="B4069" s="318">
        <f t="shared" si="255"/>
        <v>46282</v>
      </c>
      <c r="C4069" s="312">
        <v>9</v>
      </c>
      <c r="D4069" s="368">
        <f>IFERROR((INDEX(METADATA!$T$2:$T$20,MATCH(B4069,METADATA!$S$2:$S$20,0))),0)</f>
        <v>0</v>
      </c>
      <c r="E4069" s="312" t="str">
        <f t="shared" si="252"/>
        <v>LO</v>
      </c>
      <c r="F4069" s="369">
        <f>VLOOKUP(C4069,METADATA!$A$5:$H$29,IF(E4069="HI",2,IF(E4069="LO",6,10))+IF(D4069=1,2,IF(D4069=7,1,(IF(WEEKDAY(B4069)=1,2,IF(WEEKDAY(B4069)=7,1,0))))))</f>
        <v>2</v>
      </c>
      <c r="G4069" s="369">
        <f>VLOOKUP(C4069,METADATA!$J$5:$Q$29,IF(E4069="HI",2,IF(E4069="LO",6,10))+IF(D4069=1,2,IF(D4069=7,1,(IF(WEEKDAY(B4069)=1,2,IF(WEEKDAY(B4069)=7,1,0))))))</f>
        <v>2</v>
      </c>
      <c r="H4069" s="370">
        <v>13873.224853515625</v>
      </c>
      <c r="I4069" s="370">
        <v>4221.8199462890625</v>
      </c>
      <c r="M4069" s="371">
        <f t="shared" si="253"/>
        <v>14501.383778629121</v>
      </c>
      <c r="N4069" s="329">
        <f t="shared" si="254"/>
        <v>59.852490234375182</v>
      </c>
      <c r="T4069" s="331">
        <v>0</v>
      </c>
      <c r="U4069" s="328">
        <f>VLOOKUP(C4069,METADATA!$J$5:$Q$29,IF(E4069="HI",2,IF(E4069="LO",6,10))+IF(T4069=1,2,IF(D4069=7,1,(IF(WEEKDAY(B4069)=1,2,IF(WEEKDAY(B4069)=7,1,0))))))</f>
        <v>2</v>
      </c>
      <c r="V4069" s="328">
        <f>VLOOKUP(C4069,METADATA!$A$5:$H$29,IF(E4069="HI",2,IF(E4069="LO",6,10))+IF(T4069=1,2,IF(D4069=7,1,(IF(WEEKDAY(B4069)=1,2,IF(WEEKDAY(B4069)=7,1,0))))))</f>
        <v>2</v>
      </c>
    </row>
    <row r="4070" spans="2:22">
      <c r="B4070" s="318">
        <f t="shared" si="255"/>
        <v>46282</v>
      </c>
      <c r="C4070" s="312">
        <v>10</v>
      </c>
      <c r="D4070" s="368">
        <f>IFERROR((INDEX(METADATA!$T$2:$T$20,MATCH(B4070,METADATA!$S$2:$S$20,0))),0)</f>
        <v>0</v>
      </c>
      <c r="E4070" s="312" t="str">
        <f t="shared" si="252"/>
        <v>LO</v>
      </c>
      <c r="F4070" s="369">
        <f>VLOOKUP(C4070,METADATA!$A$5:$H$29,IF(E4070="HI",2,IF(E4070="LO",6,10))+IF(D4070=1,2,IF(D4070=7,1,(IF(WEEKDAY(B4070)=1,2,IF(WEEKDAY(B4070)=7,1,0))))))</f>
        <v>2</v>
      </c>
      <c r="G4070" s="369">
        <f>VLOOKUP(C4070,METADATA!$J$5:$Q$29,IF(E4070="HI",2,IF(E4070="LO",6,10))+IF(D4070=1,2,IF(D4070=7,1,(IF(WEEKDAY(B4070)=1,2,IF(WEEKDAY(B4070)=7,1,0))))))</f>
        <v>2</v>
      </c>
      <c r="H4070" s="370">
        <v>13641.349975585938</v>
      </c>
      <c r="I4070" s="370">
        <v>4194.2199401855469</v>
      </c>
      <c r="M4070" s="371">
        <f t="shared" si="253"/>
        <v>14271.576999864748</v>
      </c>
      <c r="N4070" s="329">
        <f t="shared" si="254"/>
        <v>101.81494750976572</v>
      </c>
      <c r="T4070" s="331">
        <v>0</v>
      </c>
      <c r="U4070" s="328">
        <f>VLOOKUP(C4070,METADATA!$J$5:$Q$29,IF(E4070="HI",2,IF(E4070="LO",6,10))+IF(T4070=1,2,IF(D4070=7,1,(IF(WEEKDAY(B4070)=1,2,IF(WEEKDAY(B4070)=7,1,0))))))</f>
        <v>2</v>
      </c>
      <c r="V4070" s="328">
        <f>VLOOKUP(C4070,METADATA!$A$5:$H$29,IF(E4070="HI",2,IF(E4070="LO",6,10))+IF(T4070=1,2,IF(D4070=7,1,(IF(WEEKDAY(B4070)=1,2,IF(WEEKDAY(B4070)=7,1,0))))))</f>
        <v>2</v>
      </c>
    </row>
    <row r="4071" spans="2:22">
      <c r="B4071" s="318">
        <f t="shared" si="255"/>
        <v>46282</v>
      </c>
      <c r="C4071" s="312">
        <v>11</v>
      </c>
      <c r="D4071" s="368">
        <f>IFERROR((INDEX(METADATA!$T$2:$T$20,MATCH(B4071,METADATA!$S$2:$S$20,0))),0)</f>
        <v>0</v>
      </c>
      <c r="E4071" s="312" t="str">
        <f t="shared" si="252"/>
        <v>LO</v>
      </c>
      <c r="F4071" s="369">
        <f>VLOOKUP(C4071,METADATA!$A$5:$H$29,IF(E4071="HI",2,IF(E4071="LO",6,10))+IF(D4071=1,2,IF(D4071=7,1,(IF(WEEKDAY(B4071)=1,2,IF(WEEKDAY(B4071)=7,1,0))))))</f>
        <v>2</v>
      </c>
      <c r="G4071" s="369">
        <f>VLOOKUP(C4071,METADATA!$J$5:$Q$29,IF(E4071="HI",2,IF(E4071="LO",6,10))+IF(D4071=1,2,IF(D4071=7,1,(IF(WEEKDAY(B4071)=1,2,IF(WEEKDAY(B4071)=7,1,0))))))</f>
        <v>2</v>
      </c>
      <c r="H4071" s="370">
        <v>11797.575134277344</v>
      </c>
      <c r="I4071" s="370">
        <v>3254.7449951171875</v>
      </c>
      <c r="M4071" s="371">
        <f t="shared" si="253"/>
        <v>12238.306420095856</v>
      </c>
      <c r="N4071" s="329">
        <f t="shared" si="254"/>
        <v>0</v>
      </c>
      <c r="T4071" s="331">
        <v>0</v>
      </c>
      <c r="U4071" s="328">
        <f>VLOOKUP(C4071,METADATA!$J$5:$Q$29,IF(E4071="HI",2,IF(E4071="LO",6,10))+IF(T4071=1,2,IF(D4071=7,1,(IF(WEEKDAY(B4071)=1,2,IF(WEEKDAY(B4071)=7,1,0))))))</f>
        <v>2</v>
      </c>
      <c r="V4071" s="328">
        <f>VLOOKUP(C4071,METADATA!$A$5:$H$29,IF(E4071="HI",2,IF(E4071="LO",6,10))+IF(T4071=1,2,IF(D4071=7,1,(IF(WEEKDAY(B4071)=1,2,IF(WEEKDAY(B4071)=7,1,0))))))</f>
        <v>2</v>
      </c>
    </row>
    <row r="4072" spans="2:22">
      <c r="B4072" s="318">
        <f t="shared" si="255"/>
        <v>46282</v>
      </c>
      <c r="C4072" s="312">
        <v>12</v>
      </c>
      <c r="D4072" s="368">
        <f>IFERROR((INDEX(METADATA!$T$2:$T$20,MATCH(B4072,METADATA!$S$2:$S$20,0))),0)</f>
        <v>0</v>
      </c>
      <c r="E4072" s="312" t="str">
        <f t="shared" si="252"/>
        <v>LO</v>
      </c>
      <c r="F4072" s="369">
        <f>VLOOKUP(C4072,METADATA!$A$5:$H$29,IF(E4072="HI",2,IF(E4072="LO",6,10))+IF(D4072=1,2,IF(D4072=7,1,(IF(WEEKDAY(B4072)=1,2,IF(WEEKDAY(B4072)=7,1,0))))))</f>
        <v>2</v>
      </c>
      <c r="G4072" s="369">
        <f>VLOOKUP(C4072,METADATA!$J$5:$Q$29,IF(E4072="HI",2,IF(E4072="LO",6,10))+IF(D4072=1,2,IF(D4072=7,1,(IF(WEEKDAY(B4072)=1,2,IF(WEEKDAY(B4072)=7,1,0))))))</f>
        <v>2</v>
      </c>
      <c r="H4072" s="370">
        <v>13701.324768066406</v>
      </c>
      <c r="I4072" s="370">
        <v>4519.5450439453125</v>
      </c>
      <c r="M4072" s="371">
        <f t="shared" si="253"/>
        <v>14427.494162337429</v>
      </c>
      <c r="N4072" s="329">
        <f t="shared" si="254"/>
        <v>409.14761352539063</v>
      </c>
      <c r="T4072" s="331">
        <v>0</v>
      </c>
      <c r="U4072" s="328">
        <f>VLOOKUP(C4072,METADATA!$J$5:$Q$29,IF(E4072="HI",2,IF(E4072="LO",6,10))+IF(T4072=1,2,IF(D4072=7,1,(IF(WEEKDAY(B4072)=1,2,IF(WEEKDAY(B4072)=7,1,0))))))</f>
        <v>2</v>
      </c>
      <c r="V4072" s="328">
        <f>VLOOKUP(C4072,METADATA!$A$5:$H$29,IF(E4072="HI",2,IF(E4072="LO",6,10))+IF(T4072=1,2,IF(D4072=7,1,(IF(WEEKDAY(B4072)=1,2,IF(WEEKDAY(B4072)=7,1,0))))))</f>
        <v>2</v>
      </c>
    </row>
    <row r="4073" spans="2:22">
      <c r="B4073" s="318">
        <f t="shared" si="255"/>
        <v>46282</v>
      </c>
      <c r="C4073" s="312">
        <v>13</v>
      </c>
      <c r="D4073" s="368">
        <f>IFERROR((INDEX(METADATA!$T$2:$T$20,MATCH(B4073,METADATA!$S$2:$S$20,0))),0)</f>
        <v>0</v>
      </c>
      <c r="E4073" s="312" t="str">
        <f t="shared" si="252"/>
        <v>LO</v>
      </c>
      <c r="F4073" s="369">
        <f>VLOOKUP(C4073,METADATA!$A$5:$H$29,IF(E4073="HI",2,IF(E4073="LO",6,10))+IF(D4073=1,2,IF(D4073=7,1,(IF(WEEKDAY(B4073)=1,2,IF(WEEKDAY(B4073)=7,1,0))))))</f>
        <v>2</v>
      </c>
      <c r="G4073" s="369">
        <f>VLOOKUP(C4073,METADATA!$J$5:$Q$29,IF(E4073="HI",2,IF(E4073="LO",6,10))+IF(D4073=1,2,IF(D4073=7,1,(IF(WEEKDAY(B4073)=1,2,IF(WEEKDAY(B4073)=7,1,0))))))</f>
        <v>2</v>
      </c>
      <c r="H4073" s="370">
        <v>13657.625122070313</v>
      </c>
      <c r="I4073" s="370">
        <v>4611.9950256347656</v>
      </c>
      <c r="M4073" s="371">
        <f t="shared" si="253"/>
        <v>14415.312070554904</v>
      </c>
      <c r="N4073" s="329">
        <f t="shared" si="254"/>
        <v>514.70748901367188</v>
      </c>
      <c r="T4073" s="331">
        <v>0</v>
      </c>
      <c r="U4073" s="328">
        <f>VLOOKUP(C4073,METADATA!$J$5:$Q$29,IF(E4073="HI",2,IF(E4073="LO",6,10))+IF(T4073=1,2,IF(D4073=7,1,(IF(WEEKDAY(B4073)=1,2,IF(WEEKDAY(B4073)=7,1,0))))))</f>
        <v>2</v>
      </c>
      <c r="V4073" s="328">
        <f>VLOOKUP(C4073,METADATA!$A$5:$H$29,IF(E4073="HI",2,IF(E4073="LO",6,10))+IF(T4073=1,2,IF(D4073=7,1,(IF(WEEKDAY(B4073)=1,2,IF(WEEKDAY(B4073)=7,1,0))))))</f>
        <v>2</v>
      </c>
    </row>
    <row r="4074" spans="2:22">
      <c r="B4074" s="318">
        <f t="shared" si="255"/>
        <v>46282</v>
      </c>
      <c r="C4074" s="312">
        <v>14</v>
      </c>
      <c r="D4074" s="368">
        <f>IFERROR((INDEX(METADATA!$T$2:$T$20,MATCH(B4074,METADATA!$S$2:$S$20,0))),0)</f>
        <v>0</v>
      </c>
      <c r="E4074" s="312" t="str">
        <f t="shared" si="252"/>
        <v>LO</v>
      </c>
      <c r="F4074" s="369">
        <f>VLOOKUP(C4074,METADATA!$A$5:$H$29,IF(E4074="HI",2,IF(E4074="LO",6,10))+IF(D4074=1,2,IF(D4074=7,1,(IF(WEEKDAY(B4074)=1,2,IF(WEEKDAY(B4074)=7,1,0))))))</f>
        <v>2</v>
      </c>
      <c r="G4074" s="369">
        <f>VLOOKUP(C4074,METADATA!$J$5:$Q$29,IF(E4074="HI",2,IF(E4074="LO",6,10))+IF(D4074=1,2,IF(D4074=7,1,(IF(WEEKDAY(B4074)=1,2,IF(WEEKDAY(B4074)=7,1,0))))))</f>
        <v>2</v>
      </c>
      <c r="H4074" s="370">
        <v>13767.7001953125</v>
      </c>
      <c r="I4074" s="370">
        <v>4746.9549255371094</v>
      </c>
      <c r="M4074" s="371">
        <f t="shared" si="253"/>
        <v>14563.074872192647</v>
      </c>
      <c r="N4074" s="329">
        <f t="shared" si="254"/>
        <v>616.64486694335938</v>
      </c>
      <c r="T4074" s="331">
        <v>0</v>
      </c>
      <c r="U4074" s="328">
        <f>VLOOKUP(C4074,METADATA!$J$5:$Q$29,IF(E4074="HI",2,IF(E4074="LO",6,10))+IF(T4074=1,2,IF(D4074=7,1,(IF(WEEKDAY(B4074)=1,2,IF(WEEKDAY(B4074)=7,1,0))))))</f>
        <v>2</v>
      </c>
      <c r="V4074" s="328">
        <f>VLOOKUP(C4074,METADATA!$A$5:$H$29,IF(E4074="HI",2,IF(E4074="LO",6,10))+IF(T4074=1,2,IF(D4074=7,1,(IF(WEEKDAY(B4074)=1,2,IF(WEEKDAY(B4074)=7,1,0))))))</f>
        <v>2</v>
      </c>
    </row>
    <row r="4075" spans="2:22">
      <c r="B4075" s="318">
        <f t="shared" si="255"/>
        <v>46282</v>
      </c>
      <c r="C4075" s="312">
        <v>15</v>
      </c>
      <c r="D4075" s="368">
        <f>IFERROR((INDEX(METADATA!$T$2:$T$20,MATCH(B4075,METADATA!$S$2:$S$20,0))),0)</f>
        <v>0</v>
      </c>
      <c r="E4075" s="312" t="str">
        <f t="shared" si="252"/>
        <v>LO</v>
      </c>
      <c r="F4075" s="369">
        <f>VLOOKUP(C4075,METADATA!$A$5:$H$29,IF(E4075="HI",2,IF(E4075="LO",6,10))+IF(D4075=1,2,IF(D4075=7,1,(IF(WEEKDAY(B4075)=1,2,IF(WEEKDAY(B4075)=7,1,0))))))</f>
        <v>2</v>
      </c>
      <c r="G4075" s="369">
        <f>VLOOKUP(C4075,METADATA!$J$5:$Q$29,IF(E4075="HI",2,IF(E4075="LO",6,10))+IF(D4075=1,2,IF(D4075=7,1,(IF(WEEKDAY(B4075)=1,2,IF(WEEKDAY(B4075)=7,1,0))))))</f>
        <v>2</v>
      </c>
      <c r="H4075" s="370">
        <v>13642.474670410156</v>
      </c>
      <c r="I4075" s="370">
        <v>4723.8500366210938</v>
      </c>
      <c r="M4075" s="371">
        <f t="shared" si="253"/>
        <v>14437.169885447349</v>
      </c>
      <c r="N4075" s="329">
        <f t="shared" si="254"/>
        <v>631.10763549804688</v>
      </c>
      <c r="T4075" s="331">
        <v>0</v>
      </c>
      <c r="U4075" s="328">
        <f>VLOOKUP(C4075,METADATA!$J$5:$Q$29,IF(E4075="HI",2,IF(E4075="LO",6,10))+IF(T4075=1,2,IF(D4075=7,1,(IF(WEEKDAY(B4075)=1,2,IF(WEEKDAY(B4075)=7,1,0))))))</f>
        <v>2</v>
      </c>
      <c r="V4075" s="328">
        <f>VLOOKUP(C4075,METADATA!$A$5:$H$29,IF(E4075="HI",2,IF(E4075="LO",6,10))+IF(T4075=1,2,IF(D4075=7,1,(IF(WEEKDAY(B4075)=1,2,IF(WEEKDAY(B4075)=7,1,0))))))</f>
        <v>2</v>
      </c>
    </row>
    <row r="4076" spans="2:22">
      <c r="B4076" s="318">
        <f t="shared" si="255"/>
        <v>46282</v>
      </c>
      <c r="C4076" s="312">
        <v>16</v>
      </c>
      <c r="D4076" s="368">
        <f>IFERROR((INDEX(METADATA!$T$2:$T$20,MATCH(B4076,METADATA!$S$2:$S$20,0))),0)</f>
        <v>0</v>
      </c>
      <c r="E4076" s="312" t="str">
        <f t="shared" si="252"/>
        <v>LO</v>
      </c>
      <c r="F4076" s="369">
        <f>VLOOKUP(C4076,METADATA!$A$5:$H$29,IF(E4076="HI",2,IF(E4076="LO",6,10))+IF(D4076=1,2,IF(D4076=7,1,(IF(WEEKDAY(B4076)=1,2,IF(WEEKDAY(B4076)=7,1,0))))))</f>
        <v>2</v>
      </c>
      <c r="G4076" s="369">
        <f>VLOOKUP(C4076,METADATA!$J$5:$Q$29,IF(E4076="HI",2,IF(E4076="LO",6,10))+IF(D4076=1,2,IF(D4076=7,1,(IF(WEEKDAY(B4076)=1,2,IF(WEEKDAY(B4076)=7,1,0))))))</f>
        <v>2</v>
      </c>
      <c r="H4076" s="370">
        <v>13565.899841308594</v>
      </c>
      <c r="I4076" s="370">
        <v>4689.0050048828125</v>
      </c>
      <c r="M4076" s="371">
        <f t="shared" si="253"/>
        <v>14353.410968833596</v>
      </c>
      <c r="N4076" s="329">
        <f t="shared" si="254"/>
        <v>619.23505249023447</v>
      </c>
      <c r="T4076" s="331">
        <v>0</v>
      </c>
      <c r="U4076" s="328">
        <f>VLOOKUP(C4076,METADATA!$J$5:$Q$29,IF(E4076="HI",2,IF(E4076="LO",6,10))+IF(T4076=1,2,IF(D4076=7,1,(IF(WEEKDAY(B4076)=1,2,IF(WEEKDAY(B4076)=7,1,0))))))</f>
        <v>2</v>
      </c>
      <c r="V4076" s="328">
        <f>VLOOKUP(C4076,METADATA!$A$5:$H$29,IF(E4076="HI",2,IF(E4076="LO",6,10))+IF(T4076=1,2,IF(D4076=7,1,(IF(WEEKDAY(B4076)=1,2,IF(WEEKDAY(B4076)=7,1,0))))))</f>
        <v>2</v>
      </c>
    </row>
    <row r="4077" spans="2:22">
      <c r="B4077" s="318">
        <f t="shared" si="255"/>
        <v>46282</v>
      </c>
      <c r="C4077" s="312">
        <v>17</v>
      </c>
      <c r="D4077" s="368">
        <f>IFERROR((INDEX(METADATA!$T$2:$T$20,MATCH(B4077,METADATA!$S$2:$S$20,0))),0)</f>
        <v>0</v>
      </c>
      <c r="E4077" s="312" t="str">
        <f t="shared" si="252"/>
        <v>LO</v>
      </c>
      <c r="F4077" s="369">
        <f>VLOOKUP(C4077,METADATA!$A$5:$H$29,IF(E4077="HI",2,IF(E4077="LO",6,10))+IF(D4077=1,2,IF(D4077=7,1,(IF(WEEKDAY(B4077)=1,2,IF(WEEKDAY(B4077)=7,1,0))))))</f>
        <v>2</v>
      </c>
      <c r="G4077" s="369">
        <f>VLOOKUP(C4077,METADATA!$J$5:$Q$29,IF(E4077="HI",2,IF(E4077="LO",6,10))+IF(D4077=1,2,IF(D4077=7,1,(IF(WEEKDAY(B4077)=1,2,IF(WEEKDAY(B4077)=7,1,0))))))</f>
        <v>2</v>
      </c>
      <c r="H4077" s="370">
        <v>13605.6494140625</v>
      </c>
      <c r="I4077" s="370">
        <v>4795.074951171875</v>
      </c>
      <c r="M4077" s="371">
        <f t="shared" si="253"/>
        <v>14425.894764822569</v>
      </c>
      <c r="N4077" s="329">
        <f t="shared" si="254"/>
        <v>713.380126953125</v>
      </c>
      <c r="T4077" s="331">
        <v>0</v>
      </c>
      <c r="U4077" s="328">
        <f>VLOOKUP(C4077,METADATA!$J$5:$Q$29,IF(E4077="HI",2,IF(E4077="LO",6,10))+IF(T4077=1,2,IF(D4077=7,1,(IF(WEEKDAY(B4077)=1,2,IF(WEEKDAY(B4077)=7,1,0))))))</f>
        <v>2</v>
      </c>
      <c r="V4077" s="328">
        <f>VLOOKUP(C4077,METADATA!$A$5:$H$29,IF(E4077="HI",2,IF(E4077="LO",6,10))+IF(T4077=1,2,IF(D4077=7,1,(IF(WEEKDAY(B4077)=1,2,IF(WEEKDAY(B4077)=7,1,0))))))</f>
        <v>2</v>
      </c>
    </row>
    <row r="4078" spans="2:22">
      <c r="B4078" s="318">
        <f t="shared" si="255"/>
        <v>46282</v>
      </c>
      <c r="C4078" s="312">
        <v>18</v>
      </c>
      <c r="D4078" s="368">
        <f>IFERROR((INDEX(METADATA!$T$2:$T$20,MATCH(B4078,METADATA!$S$2:$S$20,0))),0)</f>
        <v>0</v>
      </c>
      <c r="E4078" s="312" t="str">
        <f t="shared" si="252"/>
        <v>LO</v>
      </c>
      <c r="F4078" s="369">
        <f>VLOOKUP(C4078,METADATA!$A$5:$H$29,IF(E4078="HI",2,IF(E4078="LO",6,10))+IF(D4078=1,2,IF(D4078=7,1,(IF(WEEKDAY(B4078)=1,2,IF(WEEKDAY(B4078)=7,1,0))))))</f>
        <v>1</v>
      </c>
      <c r="G4078" s="369">
        <f>VLOOKUP(C4078,METADATA!$J$5:$Q$29,IF(E4078="HI",2,IF(E4078="LO",6,10))+IF(D4078=1,2,IF(D4078=7,1,(IF(WEEKDAY(B4078)=1,2,IF(WEEKDAY(B4078)=7,1,0))))))</f>
        <v>1</v>
      </c>
      <c r="H4078" s="370">
        <v>13376.825073242188</v>
      </c>
      <c r="I4078" s="370">
        <v>4588.8300476074219</v>
      </c>
      <c r="M4078" s="371">
        <f t="shared" si="253"/>
        <v>14142.022848445182</v>
      </c>
      <c r="N4078" s="329">
        <f t="shared" si="254"/>
        <v>575.78252563476599</v>
      </c>
      <c r="T4078" s="331">
        <v>0</v>
      </c>
      <c r="U4078" s="328">
        <f>VLOOKUP(C4078,METADATA!$J$5:$Q$29,IF(E4078="HI",2,IF(E4078="LO",6,10))+IF(T4078=1,2,IF(D4078=7,1,(IF(WEEKDAY(B4078)=1,2,IF(WEEKDAY(B4078)=7,1,0))))))</f>
        <v>1</v>
      </c>
      <c r="V4078" s="328">
        <f>VLOOKUP(C4078,METADATA!$A$5:$H$29,IF(E4078="HI",2,IF(E4078="LO",6,10))+IF(T4078=1,2,IF(D4078=7,1,(IF(WEEKDAY(B4078)=1,2,IF(WEEKDAY(B4078)=7,1,0))))))</f>
        <v>1</v>
      </c>
    </row>
    <row r="4079" spans="2:22">
      <c r="B4079" s="318">
        <f t="shared" si="255"/>
        <v>46282</v>
      </c>
      <c r="C4079" s="312">
        <v>19</v>
      </c>
      <c r="D4079" s="368">
        <f>IFERROR((INDEX(METADATA!$T$2:$T$20,MATCH(B4079,METADATA!$S$2:$S$20,0))),0)</f>
        <v>0</v>
      </c>
      <c r="E4079" s="312" t="str">
        <f t="shared" si="252"/>
        <v>LO</v>
      </c>
      <c r="F4079" s="369">
        <f>VLOOKUP(C4079,METADATA!$A$5:$H$29,IF(E4079="HI",2,IF(E4079="LO",6,10))+IF(D4079=1,2,IF(D4079=7,1,(IF(WEEKDAY(B4079)=1,2,IF(WEEKDAY(B4079)=7,1,0))))))</f>
        <v>1</v>
      </c>
      <c r="G4079" s="369">
        <f>VLOOKUP(C4079,METADATA!$J$5:$Q$29,IF(E4079="HI",2,IF(E4079="LO",6,10))+IF(D4079=1,2,IF(D4079=7,1,(IF(WEEKDAY(B4079)=1,2,IF(WEEKDAY(B4079)=7,1,0))))))</f>
        <v>1</v>
      </c>
      <c r="H4079" s="370">
        <v>13309.250366210938</v>
      </c>
      <c r="I4079" s="370">
        <v>4352.4501342773438</v>
      </c>
      <c r="M4079" s="371">
        <f t="shared" si="253"/>
        <v>14002.855690246073</v>
      </c>
      <c r="N4079" s="329">
        <f t="shared" si="254"/>
        <v>359.67502441406259</v>
      </c>
      <c r="T4079" s="331">
        <v>0</v>
      </c>
      <c r="U4079" s="328">
        <f>VLOOKUP(C4079,METADATA!$J$5:$Q$29,IF(E4079="HI",2,IF(E4079="LO",6,10))+IF(T4079=1,2,IF(D4079=7,1,(IF(WEEKDAY(B4079)=1,2,IF(WEEKDAY(B4079)=7,1,0))))))</f>
        <v>1</v>
      </c>
      <c r="V4079" s="328">
        <f>VLOOKUP(C4079,METADATA!$A$5:$H$29,IF(E4079="HI",2,IF(E4079="LO",6,10))+IF(T4079=1,2,IF(D4079=7,1,(IF(WEEKDAY(B4079)=1,2,IF(WEEKDAY(B4079)=7,1,0))))))</f>
        <v>1</v>
      </c>
    </row>
    <row r="4080" spans="2:22">
      <c r="B4080" s="318">
        <f t="shared" si="255"/>
        <v>46282</v>
      </c>
      <c r="C4080" s="312">
        <v>20</v>
      </c>
      <c r="D4080" s="368">
        <f>IFERROR((INDEX(METADATA!$T$2:$T$20,MATCH(B4080,METADATA!$S$2:$S$20,0))),0)</f>
        <v>0</v>
      </c>
      <c r="E4080" s="312" t="str">
        <f t="shared" si="252"/>
        <v>LO</v>
      </c>
      <c r="F4080" s="369">
        <f>VLOOKUP(C4080,METADATA!$A$5:$H$29,IF(E4080="HI",2,IF(E4080="LO",6,10))+IF(D4080=1,2,IF(D4080=7,1,(IF(WEEKDAY(B4080)=1,2,IF(WEEKDAY(B4080)=7,1,0))))))</f>
        <v>1</v>
      </c>
      <c r="G4080" s="369">
        <f>VLOOKUP(C4080,METADATA!$J$5:$Q$29,IF(E4080="HI",2,IF(E4080="LO",6,10))+IF(D4080=1,2,IF(D4080=7,1,(IF(WEEKDAY(B4080)=1,2,IF(WEEKDAY(B4080)=7,1,0))))))</f>
        <v>1</v>
      </c>
      <c r="H4080" s="370">
        <v>12632.050170898438</v>
      </c>
      <c r="I4080" s="370">
        <v>3625.2299957275391</v>
      </c>
      <c r="M4080" s="371">
        <f t="shared" si="253"/>
        <v>13141.955107289705</v>
      </c>
      <c r="N4080" s="329">
        <f t="shared" si="254"/>
        <v>0</v>
      </c>
      <c r="T4080" s="331">
        <v>0</v>
      </c>
      <c r="U4080" s="328">
        <f>VLOOKUP(C4080,METADATA!$J$5:$Q$29,IF(E4080="HI",2,IF(E4080="LO",6,10))+IF(T4080=1,2,IF(D4080=7,1,(IF(WEEKDAY(B4080)=1,2,IF(WEEKDAY(B4080)=7,1,0))))))</f>
        <v>1</v>
      </c>
      <c r="V4080" s="328">
        <f>VLOOKUP(C4080,METADATA!$A$5:$H$29,IF(E4080="HI",2,IF(E4080="LO",6,10))+IF(T4080=1,2,IF(D4080=7,1,(IF(WEEKDAY(B4080)=1,2,IF(WEEKDAY(B4080)=7,1,0))))))</f>
        <v>1</v>
      </c>
    </row>
    <row r="4081" spans="2:22">
      <c r="B4081" s="318">
        <f t="shared" si="255"/>
        <v>46282</v>
      </c>
      <c r="C4081" s="312">
        <v>21</v>
      </c>
      <c r="D4081" s="368">
        <f>IFERROR((INDEX(METADATA!$T$2:$T$20,MATCH(B4081,METADATA!$S$2:$S$20,0))),0)</f>
        <v>0</v>
      </c>
      <c r="E4081" s="312" t="str">
        <f t="shared" si="252"/>
        <v>LO</v>
      </c>
      <c r="F4081" s="369">
        <f>VLOOKUP(C4081,METADATA!$A$5:$H$29,IF(E4081="HI",2,IF(E4081="LO",6,10))+IF(D4081=1,2,IF(D4081=7,1,(IF(WEEKDAY(B4081)=1,2,IF(WEEKDAY(B4081)=7,1,0))))))</f>
        <v>2</v>
      </c>
      <c r="G4081" s="369">
        <f>VLOOKUP(C4081,METADATA!$J$5:$Q$29,IF(E4081="HI",2,IF(E4081="LO",6,10))+IF(D4081=1,2,IF(D4081=7,1,(IF(WEEKDAY(B4081)=1,2,IF(WEEKDAY(B4081)=7,1,0))))))</f>
        <v>2</v>
      </c>
      <c r="H4081" s="370">
        <v>12093.599914550781</v>
      </c>
      <c r="I4081" s="370">
        <v>3087.8800201416016</v>
      </c>
      <c r="M4081" s="371">
        <f t="shared" si="253"/>
        <v>12481.592923662123</v>
      </c>
      <c r="N4081" s="329">
        <f t="shared" si="254"/>
        <v>0</v>
      </c>
      <c r="T4081" s="331">
        <v>0</v>
      </c>
      <c r="U4081" s="328">
        <f>VLOOKUP(C4081,METADATA!$J$5:$Q$29,IF(E4081="HI",2,IF(E4081="LO",6,10))+IF(T4081=1,2,IF(D4081=7,1,(IF(WEEKDAY(B4081)=1,2,IF(WEEKDAY(B4081)=7,1,0))))))</f>
        <v>2</v>
      </c>
      <c r="V4081" s="328">
        <f>VLOOKUP(C4081,METADATA!$A$5:$H$29,IF(E4081="HI",2,IF(E4081="LO",6,10))+IF(T4081=1,2,IF(D4081=7,1,(IF(WEEKDAY(B4081)=1,2,IF(WEEKDAY(B4081)=7,1,0))))))</f>
        <v>2</v>
      </c>
    </row>
    <row r="4082" spans="2:22">
      <c r="B4082" s="318">
        <f t="shared" si="255"/>
        <v>46282</v>
      </c>
      <c r="C4082" s="312">
        <v>22</v>
      </c>
      <c r="D4082" s="368">
        <f>IFERROR((INDEX(METADATA!$T$2:$T$20,MATCH(B4082,METADATA!$S$2:$S$20,0))),0)</f>
        <v>0</v>
      </c>
      <c r="E4082" s="312" t="str">
        <f t="shared" si="252"/>
        <v>LO</v>
      </c>
      <c r="F4082" s="369">
        <f>VLOOKUP(C4082,METADATA!$A$5:$H$29,IF(E4082="HI",2,IF(E4082="LO",6,10))+IF(D4082=1,2,IF(D4082=7,1,(IF(WEEKDAY(B4082)=1,2,IF(WEEKDAY(B4082)=7,1,0))))))</f>
        <v>3</v>
      </c>
      <c r="G4082" s="369">
        <f>VLOOKUP(C4082,METADATA!$J$5:$Q$29,IF(E4082="HI",2,IF(E4082="LO",6,10))+IF(D4082=1,2,IF(D4082=7,1,(IF(WEEKDAY(B4082)=1,2,IF(WEEKDAY(B4082)=7,1,0))))))</f>
        <v>3</v>
      </c>
      <c r="H4082" s="370">
        <v>12090.100036621094</v>
      </c>
      <c r="I4082" s="370">
        <v>3042.5699863433838</v>
      </c>
      <c r="M4082" s="371">
        <f t="shared" si="253"/>
        <v>12467.066656487523</v>
      </c>
      <c r="N4082" s="329">
        <f t="shared" si="254"/>
        <v>0</v>
      </c>
      <c r="T4082" s="331">
        <v>0</v>
      </c>
      <c r="U4082" s="328">
        <f>VLOOKUP(C4082,METADATA!$J$5:$Q$29,IF(E4082="HI",2,IF(E4082="LO",6,10))+IF(T4082=1,2,IF(D4082=7,1,(IF(WEEKDAY(B4082)=1,2,IF(WEEKDAY(B4082)=7,1,0))))))</f>
        <v>3</v>
      </c>
      <c r="V4082" s="328">
        <f>VLOOKUP(C4082,METADATA!$A$5:$H$29,IF(E4082="HI",2,IF(E4082="LO",6,10))+IF(T4082=1,2,IF(D4082=7,1,(IF(WEEKDAY(B4082)=1,2,IF(WEEKDAY(B4082)=7,1,0))))))</f>
        <v>3</v>
      </c>
    </row>
    <row r="4083" spans="2:22">
      <c r="B4083" s="318">
        <f t="shared" si="255"/>
        <v>46282</v>
      </c>
      <c r="C4083" s="312">
        <v>23</v>
      </c>
      <c r="D4083" s="368">
        <f>IFERROR((INDEX(METADATA!$T$2:$T$20,MATCH(B4083,METADATA!$S$2:$S$20,0))),0)</f>
        <v>0</v>
      </c>
      <c r="E4083" s="312" t="str">
        <f t="shared" si="252"/>
        <v>LO</v>
      </c>
      <c r="F4083" s="369">
        <f>VLOOKUP(C4083,METADATA!$A$5:$H$29,IF(E4083="HI",2,IF(E4083="LO",6,10))+IF(D4083=1,2,IF(D4083=7,1,(IF(WEEKDAY(B4083)=1,2,IF(WEEKDAY(B4083)=7,1,0))))))</f>
        <v>3</v>
      </c>
      <c r="G4083" s="369">
        <f>VLOOKUP(C4083,METADATA!$J$5:$Q$29,IF(E4083="HI",2,IF(E4083="LO",6,10))+IF(D4083=1,2,IF(D4083=7,1,(IF(WEEKDAY(B4083)=1,2,IF(WEEKDAY(B4083)=7,1,0))))))</f>
        <v>3</v>
      </c>
      <c r="H4083" s="370">
        <v>12174.600036621094</v>
      </c>
      <c r="I4083" s="370">
        <v>3110.1600036621094</v>
      </c>
      <c r="M4083" s="371">
        <f t="shared" si="253"/>
        <v>12565.58718485029</v>
      </c>
      <c r="N4083" s="329">
        <f t="shared" si="254"/>
        <v>0</v>
      </c>
      <c r="T4083" s="331">
        <v>0</v>
      </c>
      <c r="U4083" s="328">
        <f>VLOOKUP(C4083,METADATA!$J$5:$Q$29,IF(E4083="HI",2,IF(E4083="LO",6,10))+IF(T4083=1,2,IF(D4083=7,1,(IF(WEEKDAY(B4083)=1,2,IF(WEEKDAY(B4083)=7,1,0))))))</f>
        <v>3</v>
      </c>
      <c r="V4083" s="328">
        <f>VLOOKUP(C4083,METADATA!$A$5:$H$29,IF(E4083="HI",2,IF(E4083="LO",6,10))+IF(T4083=1,2,IF(D4083=7,1,(IF(WEEKDAY(B4083)=1,2,IF(WEEKDAY(B4083)=7,1,0))))))</f>
        <v>3</v>
      </c>
    </row>
    <row r="4084" spans="2:22">
      <c r="B4084" s="318">
        <f t="shared" si="255"/>
        <v>46283</v>
      </c>
      <c r="C4084" s="312">
        <v>0</v>
      </c>
      <c r="D4084" s="368">
        <f>IFERROR((INDEX(METADATA!$T$2:$T$20,MATCH(B4084,METADATA!$S$2:$S$20,0))),0)</f>
        <v>0</v>
      </c>
      <c r="E4084" s="312" t="str">
        <f t="shared" si="252"/>
        <v>LO</v>
      </c>
      <c r="F4084" s="369">
        <f>VLOOKUP(C4084,METADATA!$A$5:$H$29,IF(E4084="HI",2,IF(E4084="LO",6,10))+IF(D4084=1,2,IF(D4084=7,1,(IF(WEEKDAY(B4084)=1,2,IF(WEEKDAY(B4084)=7,1,0))))))</f>
        <v>3</v>
      </c>
      <c r="G4084" s="369">
        <f>VLOOKUP(C4084,METADATA!$J$5:$Q$29,IF(E4084="HI",2,IF(E4084="LO",6,10))+IF(D4084=1,2,IF(D4084=7,1,(IF(WEEKDAY(B4084)=1,2,IF(WEEKDAY(B4084)=7,1,0))))))</f>
        <v>3</v>
      </c>
      <c r="H4084" s="370">
        <v>12118.89990234375</v>
      </c>
      <c r="I4084" s="370">
        <v>2908.4349737167358</v>
      </c>
      <c r="M4084" s="371">
        <f t="shared" si="253"/>
        <v>12463.014436297746</v>
      </c>
      <c r="N4084" s="329">
        <f t="shared" si="254"/>
        <v>0</v>
      </c>
      <c r="T4084" s="331">
        <v>0</v>
      </c>
      <c r="U4084" s="328">
        <f>VLOOKUP(C4084,METADATA!$J$5:$Q$29,IF(E4084="HI",2,IF(E4084="LO",6,10))+IF(T4084=1,2,IF(D4084=7,1,(IF(WEEKDAY(B4084)=1,2,IF(WEEKDAY(B4084)=7,1,0))))))</f>
        <v>3</v>
      </c>
      <c r="V4084" s="328">
        <f>VLOOKUP(C4084,METADATA!$A$5:$H$29,IF(E4084="HI",2,IF(E4084="LO",6,10))+IF(T4084=1,2,IF(D4084=7,1,(IF(WEEKDAY(B4084)=1,2,IF(WEEKDAY(B4084)=7,1,0))))))</f>
        <v>3</v>
      </c>
    </row>
    <row r="4085" spans="2:22">
      <c r="B4085" s="318">
        <f t="shared" si="255"/>
        <v>46283</v>
      </c>
      <c r="C4085" s="312">
        <v>1</v>
      </c>
      <c r="D4085" s="368">
        <f>IFERROR((INDEX(METADATA!$T$2:$T$20,MATCH(B4085,METADATA!$S$2:$S$20,0))),0)</f>
        <v>0</v>
      </c>
      <c r="E4085" s="312" t="str">
        <f t="shared" si="252"/>
        <v>LO</v>
      </c>
      <c r="F4085" s="369">
        <f>VLOOKUP(C4085,METADATA!$A$5:$H$29,IF(E4085="HI",2,IF(E4085="LO",6,10))+IF(D4085=1,2,IF(D4085=7,1,(IF(WEEKDAY(B4085)=1,2,IF(WEEKDAY(B4085)=7,1,0))))))</f>
        <v>3</v>
      </c>
      <c r="G4085" s="369">
        <f>VLOOKUP(C4085,METADATA!$J$5:$Q$29,IF(E4085="HI",2,IF(E4085="LO",6,10))+IF(D4085=1,2,IF(D4085=7,1,(IF(WEEKDAY(B4085)=1,2,IF(WEEKDAY(B4085)=7,1,0))))))</f>
        <v>3</v>
      </c>
      <c r="H4085" s="370">
        <v>12195.802368164063</v>
      </c>
      <c r="I4085" s="370">
        <v>2952.4049463272095</v>
      </c>
      <c r="M4085" s="371">
        <f t="shared" si="253"/>
        <v>12548.079150627538</v>
      </c>
      <c r="N4085" s="329">
        <f t="shared" si="254"/>
        <v>0</v>
      </c>
      <c r="T4085" s="331">
        <v>0</v>
      </c>
      <c r="U4085" s="328">
        <f>VLOOKUP(C4085,METADATA!$J$5:$Q$29,IF(E4085="HI",2,IF(E4085="LO",6,10))+IF(T4085=1,2,IF(D4085=7,1,(IF(WEEKDAY(B4085)=1,2,IF(WEEKDAY(B4085)=7,1,0))))))</f>
        <v>3</v>
      </c>
      <c r="V4085" s="328">
        <f>VLOOKUP(C4085,METADATA!$A$5:$H$29,IF(E4085="HI",2,IF(E4085="LO",6,10))+IF(T4085=1,2,IF(D4085=7,1,(IF(WEEKDAY(B4085)=1,2,IF(WEEKDAY(B4085)=7,1,0))))))</f>
        <v>3</v>
      </c>
    </row>
    <row r="4086" spans="2:22">
      <c r="B4086" s="318">
        <f t="shared" si="255"/>
        <v>46283</v>
      </c>
      <c r="C4086" s="312">
        <v>2</v>
      </c>
      <c r="D4086" s="368">
        <f>IFERROR((INDEX(METADATA!$T$2:$T$20,MATCH(B4086,METADATA!$S$2:$S$20,0))),0)</f>
        <v>0</v>
      </c>
      <c r="E4086" s="312" t="str">
        <f t="shared" si="252"/>
        <v>LO</v>
      </c>
      <c r="F4086" s="369">
        <f>VLOOKUP(C4086,METADATA!$A$5:$H$29,IF(E4086="HI",2,IF(E4086="LO",6,10))+IF(D4086=1,2,IF(D4086=7,1,(IF(WEEKDAY(B4086)=1,2,IF(WEEKDAY(B4086)=7,1,0))))))</f>
        <v>3</v>
      </c>
      <c r="G4086" s="369">
        <f>VLOOKUP(C4086,METADATA!$J$5:$Q$29,IF(E4086="HI",2,IF(E4086="LO",6,10))+IF(D4086=1,2,IF(D4086=7,1,(IF(WEEKDAY(B4086)=1,2,IF(WEEKDAY(B4086)=7,1,0))))))</f>
        <v>3</v>
      </c>
      <c r="H4086" s="370">
        <v>12084.900085449219</v>
      </c>
      <c r="I4086" s="370">
        <v>2889.7000851482153</v>
      </c>
      <c r="M4086" s="371">
        <f t="shared" si="253"/>
        <v>12425.585565976202</v>
      </c>
      <c r="N4086" s="329">
        <f t="shared" si="254"/>
        <v>0</v>
      </c>
      <c r="T4086" s="331">
        <v>0</v>
      </c>
      <c r="U4086" s="328">
        <f>VLOOKUP(C4086,METADATA!$J$5:$Q$29,IF(E4086="HI",2,IF(E4086="LO",6,10))+IF(T4086=1,2,IF(D4086=7,1,(IF(WEEKDAY(B4086)=1,2,IF(WEEKDAY(B4086)=7,1,0))))))</f>
        <v>3</v>
      </c>
      <c r="V4086" s="328">
        <f>VLOOKUP(C4086,METADATA!$A$5:$H$29,IF(E4086="HI",2,IF(E4086="LO",6,10))+IF(T4086=1,2,IF(D4086=7,1,(IF(WEEKDAY(B4086)=1,2,IF(WEEKDAY(B4086)=7,1,0))))))</f>
        <v>3</v>
      </c>
    </row>
    <row r="4087" spans="2:22">
      <c r="B4087" s="318">
        <f t="shared" si="255"/>
        <v>46283</v>
      </c>
      <c r="C4087" s="312">
        <v>3</v>
      </c>
      <c r="D4087" s="368">
        <f>IFERROR((INDEX(METADATA!$T$2:$T$20,MATCH(B4087,METADATA!$S$2:$S$20,0))),0)</f>
        <v>0</v>
      </c>
      <c r="E4087" s="312" t="str">
        <f t="shared" si="252"/>
        <v>LO</v>
      </c>
      <c r="F4087" s="369">
        <f>VLOOKUP(C4087,METADATA!$A$5:$H$29,IF(E4087="HI",2,IF(E4087="LO",6,10))+IF(D4087=1,2,IF(D4087=7,1,(IF(WEEKDAY(B4087)=1,2,IF(WEEKDAY(B4087)=7,1,0))))))</f>
        <v>3</v>
      </c>
      <c r="G4087" s="369">
        <f>VLOOKUP(C4087,METADATA!$J$5:$Q$29,IF(E4087="HI",2,IF(E4087="LO",6,10))+IF(D4087=1,2,IF(D4087=7,1,(IF(WEEKDAY(B4087)=1,2,IF(WEEKDAY(B4087)=7,1,0))))))</f>
        <v>3</v>
      </c>
      <c r="H4087" s="370">
        <v>12077.674926757813</v>
      </c>
      <c r="I4087" s="370">
        <v>2906.6750608682632</v>
      </c>
      <c r="M4087" s="371">
        <f t="shared" si="253"/>
        <v>12422.519532925187</v>
      </c>
      <c r="N4087" s="329">
        <f t="shared" si="254"/>
        <v>0</v>
      </c>
      <c r="T4087" s="331">
        <v>0</v>
      </c>
      <c r="U4087" s="328">
        <f>VLOOKUP(C4087,METADATA!$J$5:$Q$29,IF(E4087="HI",2,IF(E4087="LO",6,10))+IF(T4087=1,2,IF(D4087=7,1,(IF(WEEKDAY(B4087)=1,2,IF(WEEKDAY(B4087)=7,1,0))))))</f>
        <v>3</v>
      </c>
      <c r="V4087" s="328">
        <f>VLOOKUP(C4087,METADATA!$A$5:$H$29,IF(E4087="HI",2,IF(E4087="LO",6,10))+IF(T4087=1,2,IF(D4087=7,1,(IF(WEEKDAY(B4087)=1,2,IF(WEEKDAY(B4087)=7,1,0))))))</f>
        <v>3</v>
      </c>
    </row>
    <row r="4088" spans="2:22">
      <c r="B4088" s="318">
        <f t="shared" si="255"/>
        <v>46283</v>
      </c>
      <c r="C4088" s="312">
        <v>4</v>
      </c>
      <c r="D4088" s="368">
        <f>IFERROR((INDEX(METADATA!$T$2:$T$20,MATCH(B4088,METADATA!$S$2:$S$20,0))),0)</f>
        <v>0</v>
      </c>
      <c r="E4088" s="312" t="str">
        <f t="shared" si="252"/>
        <v>LO</v>
      </c>
      <c r="F4088" s="369">
        <f>VLOOKUP(C4088,METADATA!$A$5:$H$29,IF(E4088="HI",2,IF(E4088="LO",6,10))+IF(D4088=1,2,IF(D4088=7,1,(IF(WEEKDAY(B4088)=1,2,IF(WEEKDAY(B4088)=7,1,0))))))</f>
        <v>3</v>
      </c>
      <c r="G4088" s="369">
        <f>VLOOKUP(C4088,METADATA!$J$5:$Q$29,IF(E4088="HI",2,IF(E4088="LO",6,10))+IF(D4088=1,2,IF(D4088=7,1,(IF(WEEKDAY(B4088)=1,2,IF(WEEKDAY(B4088)=7,1,0))))))</f>
        <v>3</v>
      </c>
      <c r="H4088" s="370">
        <v>11999.174926757813</v>
      </c>
      <c r="I4088" s="370">
        <v>2914.2701096534729</v>
      </c>
      <c r="M4088" s="371">
        <f t="shared" si="253"/>
        <v>12348.002639899012</v>
      </c>
      <c r="N4088" s="329">
        <f t="shared" si="254"/>
        <v>0</v>
      </c>
      <c r="T4088" s="331">
        <v>0</v>
      </c>
      <c r="U4088" s="328">
        <f>VLOOKUP(C4088,METADATA!$J$5:$Q$29,IF(E4088="HI",2,IF(E4088="LO",6,10))+IF(T4088=1,2,IF(D4088=7,1,(IF(WEEKDAY(B4088)=1,2,IF(WEEKDAY(B4088)=7,1,0))))))</f>
        <v>3</v>
      </c>
      <c r="V4088" s="328">
        <f>VLOOKUP(C4088,METADATA!$A$5:$H$29,IF(E4088="HI",2,IF(E4088="LO",6,10))+IF(T4088=1,2,IF(D4088=7,1,(IF(WEEKDAY(B4088)=1,2,IF(WEEKDAY(B4088)=7,1,0))))))</f>
        <v>3</v>
      </c>
    </row>
    <row r="4089" spans="2:22">
      <c r="B4089" s="318">
        <f t="shared" si="255"/>
        <v>46283</v>
      </c>
      <c r="C4089" s="312">
        <v>5</v>
      </c>
      <c r="D4089" s="368">
        <f>IFERROR((INDEX(METADATA!$T$2:$T$20,MATCH(B4089,METADATA!$S$2:$S$20,0))),0)</f>
        <v>0</v>
      </c>
      <c r="E4089" s="312" t="str">
        <f t="shared" si="252"/>
        <v>LO</v>
      </c>
      <c r="F4089" s="369">
        <f>VLOOKUP(C4089,METADATA!$A$5:$H$29,IF(E4089="HI",2,IF(E4089="LO",6,10))+IF(D4089=1,2,IF(D4089=7,1,(IF(WEEKDAY(B4089)=1,2,IF(WEEKDAY(B4089)=7,1,0))))))</f>
        <v>3</v>
      </c>
      <c r="G4089" s="369">
        <f>VLOOKUP(C4089,METADATA!$J$5:$Q$29,IF(E4089="HI",2,IF(E4089="LO",6,10))+IF(D4089=1,2,IF(D4089=7,1,(IF(WEEKDAY(B4089)=1,2,IF(WEEKDAY(B4089)=7,1,0))))))</f>
        <v>3</v>
      </c>
      <c r="H4089" s="370">
        <v>12170.400024414063</v>
      </c>
      <c r="I4089" s="370">
        <v>2956.6750040054321</v>
      </c>
      <c r="M4089" s="371">
        <f t="shared" si="253"/>
        <v>12524.398741399458</v>
      </c>
      <c r="N4089" s="329">
        <f t="shared" si="254"/>
        <v>0</v>
      </c>
      <c r="T4089" s="331">
        <v>0</v>
      </c>
      <c r="U4089" s="328">
        <f>VLOOKUP(C4089,METADATA!$J$5:$Q$29,IF(E4089="HI",2,IF(E4089="LO",6,10))+IF(T4089=1,2,IF(D4089=7,1,(IF(WEEKDAY(B4089)=1,2,IF(WEEKDAY(B4089)=7,1,0))))))</f>
        <v>3</v>
      </c>
      <c r="V4089" s="328">
        <f>VLOOKUP(C4089,METADATA!$A$5:$H$29,IF(E4089="HI",2,IF(E4089="LO",6,10))+IF(T4089=1,2,IF(D4089=7,1,(IF(WEEKDAY(B4089)=1,2,IF(WEEKDAY(B4089)=7,1,0))))))</f>
        <v>3</v>
      </c>
    </row>
    <row r="4090" spans="2:22">
      <c r="B4090" s="318">
        <f t="shared" si="255"/>
        <v>46283</v>
      </c>
      <c r="C4090" s="312">
        <v>6</v>
      </c>
      <c r="D4090" s="368">
        <f>IFERROR((INDEX(METADATA!$T$2:$T$20,MATCH(B4090,METADATA!$S$2:$S$20,0))),0)</f>
        <v>0</v>
      </c>
      <c r="E4090" s="312" t="str">
        <f t="shared" si="252"/>
        <v>LO</v>
      </c>
      <c r="F4090" s="369">
        <f>VLOOKUP(C4090,METADATA!$A$5:$H$29,IF(E4090="HI",2,IF(E4090="LO",6,10))+IF(D4090=1,2,IF(D4090=7,1,(IF(WEEKDAY(B4090)=1,2,IF(WEEKDAY(B4090)=7,1,0))))))</f>
        <v>2</v>
      </c>
      <c r="G4090" s="369">
        <f>VLOOKUP(C4090,METADATA!$J$5:$Q$29,IF(E4090="HI",2,IF(E4090="LO",6,10))+IF(D4090=1,2,IF(D4090=7,1,(IF(WEEKDAY(B4090)=1,2,IF(WEEKDAY(B4090)=7,1,0))))))</f>
        <v>2</v>
      </c>
      <c r="H4090" s="370">
        <v>12322.400146484375</v>
      </c>
      <c r="I4090" s="370">
        <v>3049.7050971984863</v>
      </c>
      <c r="M4090" s="371">
        <f t="shared" si="253"/>
        <v>12694.181602212746</v>
      </c>
      <c r="N4090" s="329">
        <f t="shared" si="254"/>
        <v>0</v>
      </c>
      <c r="T4090" s="331">
        <v>0</v>
      </c>
      <c r="U4090" s="328">
        <f>VLOOKUP(C4090,METADATA!$J$5:$Q$29,IF(E4090="HI",2,IF(E4090="LO",6,10))+IF(T4090=1,2,IF(D4090=7,1,(IF(WEEKDAY(B4090)=1,2,IF(WEEKDAY(B4090)=7,1,0))))))</f>
        <v>2</v>
      </c>
      <c r="V4090" s="328">
        <f>VLOOKUP(C4090,METADATA!$A$5:$H$29,IF(E4090="HI",2,IF(E4090="LO",6,10))+IF(T4090=1,2,IF(D4090=7,1,(IF(WEEKDAY(B4090)=1,2,IF(WEEKDAY(B4090)=7,1,0))))))</f>
        <v>2</v>
      </c>
    </row>
    <row r="4091" spans="2:22">
      <c r="B4091" s="318">
        <f t="shared" si="255"/>
        <v>46283</v>
      </c>
      <c r="C4091" s="312">
        <v>7</v>
      </c>
      <c r="D4091" s="368">
        <f>IFERROR((INDEX(METADATA!$T$2:$T$20,MATCH(B4091,METADATA!$S$2:$S$20,0))),0)</f>
        <v>0</v>
      </c>
      <c r="E4091" s="312" t="str">
        <f t="shared" si="252"/>
        <v>LO</v>
      </c>
      <c r="F4091" s="369">
        <f>VLOOKUP(C4091,METADATA!$A$5:$H$29,IF(E4091="HI",2,IF(E4091="LO",6,10))+IF(D4091=1,2,IF(D4091=7,1,(IF(WEEKDAY(B4091)=1,2,IF(WEEKDAY(B4091)=7,1,0))))))</f>
        <v>1</v>
      </c>
      <c r="G4091" s="369">
        <f>VLOOKUP(C4091,METADATA!$J$5:$Q$29,IF(E4091="HI",2,IF(E4091="LO",6,10))+IF(D4091=1,2,IF(D4091=7,1,(IF(WEEKDAY(B4091)=1,2,IF(WEEKDAY(B4091)=7,1,0))))))</f>
        <v>1</v>
      </c>
      <c r="H4091" s="370">
        <v>12292.100036621094</v>
      </c>
      <c r="I4091" s="370">
        <v>3077.6299667358398</v>
      </c>
      <c r="M4091" s="371">
        <f t="shared" si="253"/>
        <v>12671.524356700371</v>
      </c>
      <c r="N4091" s="329">
        <f t="shared" si="254"/>
        <v>0</v>
      </c>
      <c r="T4091" s="331">
        <v>0</v>
      </c>
      <c r="U4091" s="328">
        <f>VLOOKUP(C4091,METADATA!$J$5:$Q$29,IF(E4091="HI",2,IF(E4091="LO",6,10))+IF(T4091=1,2,IF(D4091=7,1,(IF(WEEKDAY(B4091)=1,2,IF(WEEKDAY(B4091)=7,1,0))))))</f>
        <v>1</v>
      </c>
      <c r="V4091" s="328">
        <f>VLOOKUP(C4091,METADATA!$A$5:$H$29,IF(E4091="HI",2,IF(E4091="LO",6,10))+IF(T4091=1,2,IF(D4091=7,1,(IF(WEEKDAY(B4091)=1,2,IF(WEEKDAY(B4091)=7,1,0))))))</f>
        <v>1</v>
      </c>
    </row>
    <row r="4092" spans="2:22">
      <c r="B4092" s="318">
        <f t="shared" si="255"/>
        <v>46283</v>
      </c>
      <c r="C4092" s="312">
        <v>8</v>
      </c>
      <c r="D4092" s="368">
        <f>IFERROR((INDEX(METADATA!$T$2:$T$20,MATCH(B4092,METADATA!$S$2:$S$20,0))),0)</f>
        <v>0</v>
      </c>
      <c r="E4092" s="312" t="str">
        <f t="shared" si="252"/>
        <v>LO</v>
      </c>
      <c r="F4092" s="369">
        <f>VLOOKUP(C4092,METADATA!$A$5:$H$29,IF(E4092="HI",2,IF(E4092="LO",6,10))+IF(D4092=1,2,IF(D4092=7,1,(IF(WEEKDAY(B4092)=1,2,IF(WEEKDAY(B4092)=7,1,0))))))</f>
        <v>1</v>
      </c>
      <c r="G4092" s="369">
        <f>VLOOKUP(C4092,METADATA!$J$5:$Q$29,IF(E4092="HI",2,IF(E4092="LO",6,10))+IF(D4092=1,2,IF(D4092=7,1,(IF(WEEKDAY(B4092)=1,2,IF(WEEKDAY(B4092)=7,1,0))))))</f>
        <v>1</v>
      </c>
      <c r="H4092" s="370">
        <v>12317.099914550781</v>
      </c>
      <c r="I4092" s="370">
        <v>3028.3950004577637</v>
      </c>
      <c r="M4092" s="371">
        <f t="shared" si="253"/>
        <v>12683.931826678367</v>
      </c>
      <c r="N4092" s="329">
        <f t="shared" si="254"/>
        <v>0</v>
      </c>
      <c r="T4092" s="331">
        <v>0</v>
      </c>
      <c r="U4092" s="328">
        <f>VLOOKUP(C4092,METADATA!$J$5:$Q$29,IF(E4092="HI",2,IF(E4092="LO",6,10))+IF(T4092=1,2,IF(D4092=7,1,(IF(WEEKDAY(B4092)=1,2,IF(WEEKDAY(B4092)=7,1,0))))))</f>
        <v>1</v>
      </c>
      <c r="V4092" s="328">
        <f>VLOOKUP(C4092,METADATA!$A$5:$H$29,IF(E4092="HI",2,IF(E4092="LO",6,10))+IF(T4092=1,2,IF(D4092=7,1,(IF(WEEKDAY(B4092)=1,2,IF(WEEKDAY(B4092)=7,1,0))))))</f>
        <v>1</v>
      </c>
    </row>
    <row r="4093" spans="2:22">
      <c r="B4093" s="318">
        <f t="shared" si="255"/>
        <v>46283</v>
      </c>
      <c r="C4093" s="312">
        <v>9</v>
      </c>
      <c r="D4093" s="368">
        <f>IFERROR((INDEX(METADATA!$T$2:$T$20,MATCH(B4093,METADATA!$S$2:$S$20,0))),0)</f>
        <v>0</v>
      </c>
      <c r="E4093" s="312" t="str">
        <f t="shared" si="252"/>
        <v>LO</v>
      </c>
      <c r="F4093" s="369">
        <f>VLOOKUP(C4093,METADATA!$A$5:$H$29,IF(E4093="HI",2,IF(E4093="LO",6,10))+IF(D4093=1,2,IF(D4093=7,1,(IF(WEEKDAY(B4093)=1,2,IF(WEEKDAY(B4093)=7,1,0))))))</f>
        <v>2</v>
      </c>
      <c r="G4093" s="369">
        <f>VLOOKUP(C4093,METADATA!$J$5:$Q$29,IF(E4093="HI",2,IF(E4093="LO",6,10))+IF(D4093=1,2,IF(D4093=7,1,(IF(WEEKDAY(B4093)=1,2,IF(WEEKDAY(B4093)=7,1,0))))))</f>
        <v>2</v>
      </c>
      <c r="H4093" s="370">
        <v>12177.82470703125</v>
      </c>
      <c r="I4093" s="370">
        <v>3121.5549697875977</v>
      </c>
      <c r="M4093" s="371">
        <f t="shared" si="253"/>
        <v>12571.536104414066</v>
      </c>
      <c r="N4093" s="329">
        <f t="shared" si="254"/>
        <v>0</v>
      </c>
      <c r="T4093" s="331">
        <v>0</v>
      </c>
      <c r="U4093" s="328">
        <f>VLOOKUP(C4093,METADATA!$J$5:$Q$29,IF(E4093="HI",2,IF(E4093="LO",6,10))+IF(T4093=1,2,IF(D4093=7,1,(IF(WEEKDAY(B4093)=1,2,IF(WEEKDAY(B4093)=7,1,0))))))</f>
        <v>2</v>
      </c>
      <c r="V4093" s="328">
        <f>VLOOKUP(C4093,METADATA!$A$5:$H$29,IF(E4093="HI",2,IF(E4093="LO",6,10))+IF(T4093=1,2,IF(D4093=7,1,(IF(WEEKDAY(B4093)=1,2,IF(WEEKDAY(B4093)=7,1,0))))))</f>
        <v>2</v>
      </c>
    </row>
    <row r="4094" spans="2:22">
      <c r="B4094" s="318">
        <f t="shared" si="255"/>
        <v>46283</v>
      </c>
      <c r="C4094" s="312">
        <v>10</v>
      </c>
      <c r="D4094" s="368">
        <f>IFERROR((INDEX(METADATA!$T$2:$T$20,MATCH(B4094,METADATA!$S$2:$S$20,0))),0)</f>
        <v>0</v>
      </c>
      <c r="E4094" s="312" t="str">
        <f t="shared" si="252"/>
        <v>LO</v>
      </c>
      <c r="F4094" s="369">
        <f>VLOOKUP(C4094,METADATA!$A$5:$H$29,IF(E4094="HI",2,IF(E4094="LO",6,10))+IF(D4094=1,2,IF(D4094=7,1,(IF(WEEKDAY(B4094)=1,2,IF(WEEKDAY(B4094)=7,1,0))))))</f>
        <v>2</v>
      </c>
      <c r="G4094" s="369">
        <f>VLOOKUP(C4094,METADATA!$J$5:$Q$29,IF(E4094="HI",2,IF(E4094="LO",6,10))+IF(D4094=1,2,IF(D4094=7,1,(IF(WEEKDAY(B4094)=1,2,IF(WEEKDAY(B4094)=7,1,0))))))</f>
        <v>2</v>
      </c>
      <c r="H4094" s="370">
        <v>12110.375</v>
      </c>
      <c r="I4094" s="370">
        <v>3071.4050254821777</v>
      </c>
      <c r="M4094" s="371">
        <f t="shared" si="253"/>
        <v>12493.786914750153</v>
      </c>
      <c r="N4094" s="329">
        <f t="shared" si="254"/>
        <v>0</v>
      </c>
      <c r="T4094" s="331">
        <v>0</v>
      </c>
      <c r="U4094" s="328">
        <f>VLOOKUP(C4094,METADATA!$J$5:$Q$29,IF(E4094="HI",2,IF(E4094="LO",6,10))+IF(T4094=1,2,IF(D4094=7,1,(IF(WEEKDAY(B4094)=1,2,IF(WEEKDAY(B4094)=7,1,0))))))</f>
        <v>2</v>
      </c>
      <c r="V4094" s="328">
        <f>VLOOKUP(C4094,METADATA!$A$5:$H$29,IF(E4094="HI",2,IF(E4094="LO",6,10))+IF(T4094=1,2,IF(D4094=7,1,(IF(WEEKDAY(B4094)=1,2,IF(WEEKDAY(B4094)=7,1,0))))))</f>
        <v>2</v>
      </c>
    </row>
    <row r="4095" spans="2:22">
      <c r="B4095" s="318">
        <f t="shared" si="255"/>
        <v>46283</v>
      </c>
      <c r="C4095" s="312">
        <v>11</v>
      </c>
      <c r="D4095" s="368">
        <f>IFERROR((INDEX(METADATA!$T$2:$T$20,MATCH(B4095,METADATA!$S$2:$S$20,0))),0)</f>
        <v>0</v>
      </c>
      <c r="E4095" s="312" t="str">
        <f t="shared" si="252"/>
        <v>LO</v>
      </c>
      <c r="F4095" s="369">
        <f>VLOOKUP(C4095,METADATA!$A$5:$H$29,IF(E4095="HI",2,IF(E4095="LO",6,10))+IF(D4095=1,2,IF(D4095=7,1,(IF(WEEKDAY(B4095)=1,2,IF(WEEKDAY(B4095)=7,1,0))))))</f>
        <v>2</v>
      </c>
      <c r="G4095" s="369">
        <f>VLOOKUP(C4095,METADATA!$J$5:$Q$29,IF(E4095="HI",2,IF(E4095="LO",6,10))+IF(D4095=1,2,IF(D4095=7,1,(IF(WEEKDAY(B4095)=1,2,IF(WEEKDAY(B4095)=7,1,0))))))</f>
        <v>2</v>
      </c>
      <c r="H4095" s="370">
        <v>12087.149841308594</v>
      </c>
      <c r="I4095" s="370">
        <v>3036.8900966644287</v>
      </c>
      <c r="M4095" s="371">
        <f t="shared" si="253"/>
        <v>12462.820416962801</v>
      </c>
      <c r="N4095" s="329">
        <f t="shared" si="254"/>
        <v>0</v>
      </c>
      <c r="T4095" s="331">
        <v>0</v>
      </c>
      <c r="U4095" s="328">
        <f>VLOOKUP(C4095,METADATA!$J$5:$Q$29,IF(E4095="HI",2,IF(E4095="LO",6,10))+IF(T4095=1,2,IF(D4095=7,1,(IF(WEEKDAY(B4095)=1,2,IF(WEEKDAY(B4095)=7,1,0))))))</f>
        <v>2</v>
      </c>
      <c r="V4095" s="328">
        <f>VLOOKUP(C4095,METADATA!$A$5:$H$29,IF(E4095="HI",2,IF(E4095="LO",6,10))+IF(T4095=1,2,IF(D4095=7,1,(IF(WEEKDAY(B4095)=1,2,IF(WEEKDAY(B4095)=7,1,0))))))</f>
        <v>2</v>
      </c>
    </row>
    <row r="4096" spans="2:22">
      <c r="B4096" s="318">
        <f t="shared" si="255"/>
        <v>46283</v>
      </c>
      <c r="C4096" s="312">
        <v>12</v>
      </c>
      <c r="D4096" s="368">
        <f>IFERROR((INDEX(METADATA!$T$2:$T$20,MATCH(B4096,METADATA!$S$2:$S$20,0))),0)</f>
        <v>0</v>
      </c>
      <c r="E4096" s="312" t="str">
        <f t="shared" si="252"/>
        <v>LO</v>
      </c>
      <c r="F4096" s="369">
        <f>VLOOKUP(C4096,METADATA!$A$5:$H$29,IF(E4096="HI",2,IF(E4096="LO",6,10))+IF(D4096=1,2,IF(D4096=7,1,(IF(WEEKDAY(B4096)=1,2,IF(WEEKDAY(B4096)=7,1,0))))))</f>
        <v>2</v>
      </c>
      <c r="G4096" s="369">
        <f>VLOOKUP(C4096,METADATA!$J$5:$Q$29,IF(E4096="HI",2,IF(E4096="LO",6,10))+IF(D4096=1,2,IF(D4096=7,1,(IF(WEEKDAY(B4096)=1,2,IF(WEEKDAY(B4096)=7,1,0))))))</f>
        <v>2</v>
      </c>
      <c r="H4096" s="370">
        <v>11905.80029296875</v>
      </c>
      <c r="I4096" s="370">
        <v>2912.4049873352051</v>
      </c>
      <c r="M4096" s="371">
        <f t="shared" si="253"/>
        <v>12256.842310575337</v>
      </c>
      <c r="N4096" s="329">
        <f t="shared" si="254"/>
        <v>0</v>
      </c>
      <c r="T4096" s="331">
        <v>0</v>
      </c>
      <c r="U4096" s="328">
        <f>VLOOKUP(C4096,METADATA!$J$5:$Q$29,IF(E4096="HI",2,IF(E4096="LO",6,10))+IF(T4096=1,2,IF(D4096=7,1,(IF(WEEKDAY(B4096)=1,2,IF(WEEKDAY(B4096)=7,1,0))))))</f>
        <v>2</v>
      </c>
      <c r="V4096" s="328">
        <f>VLOOKUP(C4096,METADATA!$A$5:$H$29,IF(E4096="HI",2,IF(E4096="LO",6,10))+IF(T4096=1,2,IF(D4096=7,1,(IF(WEEKDAY(B4096)=1,2,IF(WEEKDAY(B4096)=7,1,0))))))</f>
        <v>2</v>
      </c>
    </row>
    <row r="4097" spans="2:22">
      <c r="B4097" s="318">
        <f t="shared" si="255"/>
        <v>46283</v>
      </c>
      <c r="C4097" s="312">
        <v>13</v>
      </c>
      <c r="D4097" s="368">
        <f>IFERROR((INDEX(METADATA!$T$2:$T$20,MATCH(B4097,METADATA!$S$2:$S$20,0))),0)</f>
        <v>0</v>
      </c>
      <c r="E4097" s="312" t="str">
        <f t="shared" si="252"/>
        <v>LO</v>
      </c>
      <c r="F4097" s="369">
        <f>VLOOKUP(C4097,METADATA!$A$5:$H$29,IF(E4097="HI",2,IF(E4097="LO",6,10))+IF(D4097=1,2,IF(D4097=7,1,(IF(WEEKDAY(B4097)=1,2,IF(WEEKDAY(B4097)=7,1,0))))))</f>
        <v>2</v>
      </c>
      <c r="G4097" s="369">
        <f>VLOOKUP(C4097,METADATA!$J$5:$Q$29,IF(E4097="HI",2,IF(E4097="LO",6,10))+IF(D4097=1,2,IF(D4097=7,1,(IF(WEEKDAY(B4097)=1,2,IF(WEEKDAY(B4097)=7,1,0))))))</f>
        <v>2</v>
      </c>
      <c r="H4097" s="370">
        <v>12040.325073242188</v>
      </c>
      <c r="I4097" s="370">
        <v>3055.6849880218506</v>
      </c>
      <c r="M4097" s="371">
        <f t="shared" si="253"/>
        <v>12422.022323895839</v>
      </c>
      <c r="N4097" s="329">
        <f t="shared" si="254"/>
        <v>0</v>
      </c>
      <c r="T4097" s="331">
        <v>0</v>
      </c>
      <c r="U4097" s="328">
        <f>VLOOKUP(C4097,METADATA!$J$5:$Q$29,IF(E4097="HI",2,IF(E4097="LO",6,10))+IF(T4097=1,2,IF(D4097=7,1,(IF(WEEKDAY(B4097)=1,2,IF(WEEKDAY(B4097)=7,1,0))))))</f>
        <v>2</v>
      </c>
      <c r="V4097" s="328">
        <f>VLOOKUP(C4097,METADATA!$A$5:$H$29,IF(E4097="HI",2,IF(E4097="LO",6,10))+IF(T4097=1,2,IF(D4097=7,1,(IF(WEEKDAY(B4097)=1,2,IF(WEEKDAY(B4097)=7,1,0))))))</f>
        <v>2</v>
      </c>
    </row>
    <row r="4098" spans="2:22">
      <c r="B4098" s="318">
        <f t="shared" si="255"/>
        <v>46283</v>
      </c>
      <c r="C4098" s="312">
        <v>14</v>
      </c>
      <c r="D4098" s="368">
        <f>IFERROR((INDEX(METADATA!$T$2:$T$20,MATCH(B4098,METADATA!$S$2:$S$20,0))),0)</f>
        <v>0</v>
      </c>
      <c r="E4098" s="312" t="str">
        <f t="shared" si="252"/>
        <v>LO</v>
      </c>
      <c r="F4098" s="369">
        <f>VLOOKUP(C4098,METADATA!$A$5:$H$29,IF(E4098="HI",2,IF(E4098="LO",6,10))+IF(D4098=1,2,IF(D4098=7,1,(IF(WEEKDAY(B4098)=1,2,IF(WEEKDAY(B4098)=7,1,0))))))</f>
        <v>2</v>
      </c>
      <c r="G4098" s="369">
        <f>VLOOKUP(C4098,METADATA!$J$5:$Q$29,IF(E4098="HI",2,IF(E4098="LO",6,10))+IF(D4098=1,2,IF(D4098=7,1,(IF(WEEKDAY(B4098)=1,2,IF(WEEKDAY(B4098)=7,1,0))))))</f>
        <v>2</v>
      </c>
      <c r="H4098" s="370">
        <v>11992.174987792969</v>
      </c>
      <c r="I4098" s="370">
        <v>3079.7750263214111</v>
      </c>
      <c r="M4098" s="371">
        <f t="shared" si="253"/>
        <v>12381.327681254557</v>
      </c>
      <c r="N4098" s="329">
        <f t="shared" si="254"/>
        <v>0</v>
      </c>
      <c r="T4098" s="331">
        <v>0</v>
      </c>
      <c r="U4098" s="328">
        <f>VLOOKUP(C4098,METADATA!$J$5:$Q$29,IF(E4098="HI",2,IF(E4098="LO",6,10))+IF(T4098=1,2,IF(D4098=7,1,(IF(WEEKDAY(B4098)=1,2,IF(WEEKDAY(B4098)=7,1,0))))))</f>
        <v>2</v>
      </c>
      <c r="V4098" s="328">
        <f>VLOOKUP(C4098,METADATA!$A$5:$H$29,IF(E4098="HI",2,IF(E4098="LO",6,10))+IF(T4098=1,2,IF(D4098=7,1,(IF(WEEKDAY(B4098)=1,2,IF(WEEKDAY(B4098)=7,1,0))))))</f>
        <v>2</v>
      </c>
    </row>
    <row r="4099" spans="2:22">
      <c r="B4099" s="318">
        <f t="shared" si="255"/>
        <v>46283</v>
      </c>
      <c r="C4099" s="312">
        <v>15</v>
      </c>
      <c r="D4099" s="368">
        <f>IFERROR((INDEX(METADATA!$T$2:$T$20,MATCH(B4099,METADATA!$S$2:$S$20,0))),0)</f>
        <v>0</v>
      </c>
      <c r="E4099" s="312" t="str">
        <f t="shared" si="252"/>
        <v>LO</v>
      </c>
      <c r="F4099" s="369">
        <f>VLOOKUP(C4099,METADATA!$A$5:$H$29,IF(E4099="HI",2,IF(E4099="LO",6,10))+IF(D4099=1,2,IF(D4099=7,1,(IF(WEEKDAY(B4099)=1,2,IF(WEEKDAY(B4099)=7,1,0))))))</f>
        <v>2</v>
      </c>
      <c r="G4099" s="369">
        <f>VLOOKUP(C4099,METADATA!$J$5:$Q$29,IF(E4099="HI",2,IF(E4099="LO",6,10))+IF(D4099=1,2,IF(D4099=7,1,(IF(WEEKDAY(B4099)=1,2,IF(WEEKDAY(B4099)=7,1,0))))))</f>
        <v>2</v>
      </c>
      <c r="H4099" s="370">
        <v>11870.300048828125</v>
      </c>
      <c r="I4099" s="370">
        <v>3024.8099727630615</v>
      </c>
      <c r="M4099" s="371">
        <f t="shared" si="253"/>
        <v>12249.632591246802</v>
      </c>
      <c r="N4099" s="329">
        <f t="shared" si="254"/>
        <v>0</v>
      </c>
      <c r="T4099" s="331">
        <v>0</v>
      </c>
      <c r="U4099" s="328">
        <f>VLOOKUP(C4099,METADATA!$J$5:$Q$29,IF(E4099="HI",2,IF(E4099="LO",6,10))+IF(T4099=1,2,IF(D4099=7,1,(IF(WEEKDAY(B4099)=1,2,IF(WEEKDAY(B4099)=7,1,0))))))</f>
        <v>2</v>
      </c>
      <c r="V4099" s="328">
        <f>VLOOKUP(C4099,METADATA!$A$5:$H$29,IF(E4099="HI",2,IF(E4099="LO",6,10))+IF(T4099=1,2,IF(D4099=7,1,(IF(WEEKDAY(B4099)=1,2,IF(WEEKDAY(B4099)=7,1,0))))))</f>
        <v>2</v>
      </c>
    </row>
    <row r="4100" spans="2:22">
      <c r="B4100" s="318">
        <f t="shared" si="255"/>
        <v>46283</v>
      </c>
      <c r="C4100" s="312">
        <v>16</v>
      </c>
      <c r="D4100" s="368">
        <f>IFERROR((INDEX(METADATA!$T$2:$T$20,MATCH(B4100,METADATA!$S$2:$S$20,0))),0)</f>
        <v>0</v>
      </c>
      <c r="E4100" s="312" t="str">
        <f t="shared" ref="E4100:E4163" si="256">IF(B4100="","",IF(AND(MONTH(B4100)&gt;=MONTH($Z$9),MONTH(B4100)&lt;=MONTH($Z$11)),"HI","LO"))</f>
        <v>LO</v>
      </c>
      <c r="F4100" s="369">
        <f>VLOOKUP(C4100,METADATA!$A$5:$H$29,IF(E4100="HI",2,IF(E4100="LO",6,10))+IF(D4100=1,2,IF(D4100=7,1,(IF(WEEKDAY(B4100)=1,2,IF(WEEKDAY(B4100)=7,1,0))))))</f>
        <v>2</v>
      </c>
      <c r="G4100" s="369">
        <f>VLOOKUP(C4100,METADATA!$J$5:$Q$29,IF(E4100="HI",2,IF(E4100="LO",6,10))+IF(D4100=1,2,IF(D4100=7,1,(IF(WEEKDAY(B4100)=1,2,IF(WEEKDAY(B4100)=7,1,0))))))</f>
        <v>2</v>
      </c>
      <c r="H4100" s="370">
        <v>11882.350036621094</v>
      </c>
      <c r="I4100" s="370">
        <v>3037.6100006103516</v>
      </c>
      <c r="M4100" s="371">
        <f t="shared" ref="M4100:M4163" si="257">SQRT(H4100^2+I4100^2)</f>
        <v>12264.47377218433</v>
      </c>
      <c r="N4100" s="329">
        <f t="shared" ref="N4100:N4163" si="258">IF(H4100=0,0,(IF(I4100-(0.3*H4100)&lt;0,0,(I4100-(0.3*H4100)))))</f>
        <v>0</v>
      </c>
      <c r="T4100" s="331">
        <v>0</v>
      </c>
      <c r="U4100" s="328">
        <f>VLOOKUP(C4100,METADATA!$J$5:$Q$29,IF(E4100="HI",2,IF(E4100="LO",6,10))+IF(T4100=1,2,IF(D4100=7,1,(IF(WEEKDAY(B4100)=1,2,IF(WEEKDAY(B4100)=7,1,0))))))</f>
        <v>2</v>
      </c>
      <c r="V4100" s="328">
        <f>VLOOKUP(C4100,METADATA!$A$5:$H$29,IF(E4100="HI",2,IF(E4100="LO",6,10))+IF(T4100=1,2,IF(D4100=7,1,(IF(WEEKDAY(B4100)=1,2,IF(WEEKDAY(B4100)=7,1,0))))))</f>
        <v>2</v>
      </c>
    </row>
    <row r="4101" spans="2:22">
      <c r="B4101" s="318">
        <f t="shared" si="255"/>
        <v>46283</v>
      </c>
      <c r="C4101" s="312">
        <v>17</v>
      </c>
      <c r="D4101" s="368">
        <f>IFERROR((INDEX(METADATA!$T$2:$T$20,MATCH(B4101,METADATA!$S$2:$S$20,0))),0)</f>
        <v>0</v>
      </c>
      <c r="E4101" s="312" t="str">
        <f t="shared" si="256"/>
        <v>LO</v>
      </c>
      <c r="F4101" s="369">
        <f>VLOOKUP(C4101,METADATA!$A$5:$H$29,IF(E4101="HI",2,IF(E4101="LO",6,10))+IF(D4101=1,2,IF(D4101=7,1,(IF(WEEKDAY(B4101)=1,2,IF(WEEKDAY(B4101)=7,1,0))))))</f>
        <v>2</v>
      </c>
      <c r="G4101" s="369">
        <f>VLOOKUP(C4101,METADATA!$J$5:$Q$29,IF(E4101="HI",2,IF(E4101="LO",6,10))+IF(D4101=1,2,IF(D4101=7,1,(IF(WEEKDAY(B4101)=1,2,IF(WEEKDAY(B4101)=7,1,0))))))</f>
        <v>2</v>
      </c>
      <c r="H4101" s="370">
        <v>11873.600036621094</v>
      </c>
      <c r="I4101" s="370">
        <v>3050.4149875640869</v>
      </c>
      <c r="M4101" s="371">
        <f t="shared" si="257"/>
        <v>12259.176539474585</v>
      </c>
      <c r="N4101" s="329">
        <f t="shared" si="258"/>
        <v>0</v>
      </c>
      <c r="T4101" s="331">
        <v>0</v>
      </c>
      <c r="U4101" s="328">
        <f>VLOOKUP(C4101,METADATA!$J$5:$Q$29,IF(E4101="HI",2,IF(E4101="LO",6,10))+IF(T4101=1,2,IF(D4101=7,1,(IF(WEEKDAY(B4101)=1,2,IF(WEEKDAY(B4101)=7,1,0))))))</f>
        <v>2</v>
      </c>
      <c r="V4101" s="328">
        <f>VLOOKUP(C4101,METADATA!$A$5:$H$29,IF(E4101="HI",2,IF(E4101="LO",6,10))+IF(T4101=1,2,IF(D4101=7,1,(IF(WEEKDAY(B4101)=1,2,IF(WEEKDAY(B4101)=7,1,0))))))</f>
        <v>2</v>
      </c>
    </row>
    <row r="4102" spans="2:22">
      <c r="B4102" s="318">
        <f t="shared" si="255"/>
        <v>46283</v>
      </c>
      <c r="C4102" s="312">
        <v>18</v>
      </c>
      <c r="D4102" s="368">
        <f>IFERROR((INDEX(METADATA!$T$2:$T$20,MATCH(B4102,METADATA!$S$2:$S$20,0))),0)</f>
        <v>0</v>
      </c>
      <c r="E4102" s="312" t="str">
        <f t="shared" si="256"/>
        <v>LO</v>
      </c>
      <c r="F4102" s="369">
        <f>VLOOKUP(C4102,METADATA!$A$5:$H$29,IF(E4102="HI",2,IF(E4102="LO",6,10))+IF(D4102=1,2,IF(D4102=7,1,(IF(WEEKDAY(B4102)=1,2,IF(WEEKDAY(B4102)=7,1,0))))))</f>
        <v>1</v>
      </c>
      <c r="G4102" s="369">
        <f>VLOOKUP(C4102,METADATA!$J$5:$Q$29,IF(E4102="HI",2,IF(E4102="LO",6,10))+IF(D4102=1,2,IF(D4102=7,1,(IF(WEEKDAY(B4102)=1,2,IF(WEEKDAY(B4102)=7,1,0))))))</f>
        <v>1</v>
      </c>
      <c r="H4102" s="370">
        <v>12053.5</v>
      </c>
      <c r="I4102" s="370">
        <v>3120.2550315856934</v>
      </c>
      <c r="M4102" s="371">
        <f t="shared" si="257"/>
        <v>12450.817391325594</v>
      </c>
      <c r="N4102" s="329">
        <f t="shared" si="258"/>
        <v>0</v>
      </c>
      <c r="T4102" s="331">
        <v>0</v>
      </c>
      <c r="U4102" s="328">
        <f>VLOOKUP(C4102,METADATA!$J$5:$Q$29,IF(E4102="HI",2,IF(E4102="LO",6,10))+IF(T4102=1,2,IF(D4102=7,1,(IF(WEEKDAY(B4102)=1,2,IF(WEEKDAY(B4102)=7,1,0))))))</f>
        <v>1</v>
      </c>
      <c r="V4102" s="328">
        <f>VLOOKUP(C4102,METADATA!$A$5:$H$29,IF(E4102="HI",2,IF(E4102="LO",6,10))+IF(T4102=1,2,IF(D4102=7,1,(IF(WEEKDAY(B4102)=1,2,IF(WEEKDAY(B4102)=7,1,0))))))</f>
        <v>1</v>
      </c>
    </row>
    <row r="4103" spans="2:22">
      <c r="B4103" s="318">
        <f t="shared" si="255"/>
        <v>46283</v>
      </c>
      <c r="C4103" s="312">
        <v>19</v>
      </c>
      <c r="D4103" s="368">
        <f>IFERROR((INDEX(METADATA!$T$2:$T$20,MATCH(B4103,METADATA!$S$2:$S$20,0))),0)</f>
        <v>0</v>
      </c>
      <c r="E4103" s="312" t="str">
        <f t="shared" si="256"/>
        <v>LO</v>
      </c>
      <c r="F4103" s="369">
        <f>VLOOKUP(C4103,METADATA!$A$5:$H$29,IF(E4103="HI",2,IF(E4103="LO",6,10))+IF(D4103=1,2,IF(D4103=7,1,(IF(WEEKDAY(B4103)=1,2,IF(WEEKDAY(B4103)=7,1,0))))))</f>
        <v>1</v>
      </c>
      <c r="G4103" s="369">
        <f>VLOOKUP(C4103,METADATA!$J$5:$Q$29,IF(E4103="HI",2,IF(E4103="LO",6,10))+IF(D4103=1,2,IF(D4103=7,1,(IF(WEEKDAY(B4103)=1,2,IF(WEEKDAY(B4103)=7,1,0))))))</f>
        <v>1</v>
      </c>
      <c r="H4103" s="370">
        <v>12925.450317382813</v>
      </c>
      <c r="I4103" s="370">
        <v>4106.5049438476563</v>
      </c>
      <c r="M4103" s="371">
        <f t="shared" si="257"/>
        <v>13562.10340474429</v>
      </c>
      <c r="N4103" s="329">
        <f t="shared" si="258"/>
        <v>228.86984863281259</v>
      </c>
      <c r="T4103" s="331">
        <v>0</v>
      </c>
      <c r="U4103" s="328">
        <f>VLOOKUP(C4103,METADATA!$J$5:$Q$29,IF(E4103="HI",2,IF(E4103="LO",6,10))+IF(T4103=1,2,IF(D4103=7,1,(IF(WEEKDAY(B4103)=1,2,IF(WEEKDAY(B4103)=7,1,0))))))</f>
        <v>1</v>
      </c>
      <c r="V4103" s="328">
        <f>VLOOKUP(C4103,METADATA!$A$5:$H$29,IF(E4103="HI",2,IF(E4103="LO",6,10))+IF(T4103=1,2,IF(D4103=7,1,(IF(WEEKDAY(B4103)=1,2,IF(WEEKDAY(B4103)=7,1,0))))))</f>
        <v>1</v>
      </c>
    </row>
    <row r="4104" spans="2:22">
      <c r="B4104" s="318">
        <f t="shared" si="255"/>
        <v>46283</v>
      </c>
      <c r="C4104" s="312">
        <v>20</v>
      </c>
      <c r="D4104" s="368">
        <f>IFERROR((INDEX(METADATA!$T$2:$T$20,MATCH(B4104,METADATA!$S$2:$S$20,0))),0)</f>
        <v>0</v>
      </c>
      <c r="E4104" s="312" t="str">
        <f t="shared" si="256"/>
        <v>LO</v>
      </c>
      <c r="F4104" s="369">
        <f>VLOOKUP(C4104,METADATA!$A$5:$H$29,IF(E4104="HI",2,IF(E4104="LO",6,10))+IF(D4104=1,2,IF(D4104=7,1,(IF(WEEKDAY(B4104)=1,2,IF(WEEKDAY(B4104)=7,1,0))))))</f>
        <v>1</v>
      </c>
      <c r="G4104" s="369">
        <f>VLOOKUP(C4104,METADATA!$J$5:$Q$29,IF(E4104="HI",2,IF(E4104="LO",6,10))+IF(D4104=1,2,IF(D4104=7,1,(IF(WEEKDAY(B4104)=1,2,IF(WEEKDAY(B4104)=7,1,0))))))</f>
        <v>1</v>
      </c>
      <c r="H4104" s="370">
        <v>13015.699829101563</v>
      </c>
      <c r="I4104" s="370">
        <v>4181.3750305175781</v>
      </c>
      <c r="M4104" s="371">
        <f t="shared" si="257"/>
        <v>13670.857295250737</v>
      </c>
      <c r="N4104" s="329">
        <f t="shared" si="258"/>
        <v>276.66508178710956</v>
      </c>
      <c r="T4104" s="331">
        <v>0</v>
      </c>
      <c r="U4104" s="328">
        <f>VLOOKUP(C4104,METADATA!$J$5:$Q$29,IF(E4104="HI",2,IF(E4104="LO",6,10))+IF(T4104=1,2,IF(D4104=7,1,(IF(WEEKDAY(B4104)=1,2,IF(WEEKDAY(B4104)=7,1,0))))))</f>
        <v>1</v>
      </c>
      <c r="V4104" s="328">
        <f>VLOOKUP(C4104,METADATA!$A$5:$H$29,IF(E4104="HI",2,IF(E4104="LO",6,10))+IF(T4104=1,2,IF(D4104=7,1,(IF(WEEKDAY(B4104)=1,2,IF(WEEKDAY(B4104)=7,1,0))))))</f>
        <v>1</v>
      </c>
    </row>
    <row r="4105" spans="2:22">
      <c r="B4105" s="318">
        <f t="shared" si="255"/>
        <v>46283</v>
      </c>
      <c r="C4105" s="312">
        <v>21</v>
      </c>
      <c r="D4105" s="368">
        <f>IFERROR((INDEX(METADATA!$T$2:$T$20,MATCH(B4105,METADATA!$S$2:$S$20,0))),0)</f>
        <v>0</v>
      </c>
      <c r="E4105" s="312" t="str">
        <f t="shared" si="256"/>
        <v>LO</v>
      </c>
      <c r="F4105" s="369">
        <f>VLOOKUP(C4105,METADATA!$A$5:$H$29,IF(E4105="HI",2,IF(E4105="LO",6,10))+IF(D4105=1,2,IF(D4105=7,1,(IF(WEEKDAY(B4105)=1,2,IF(WEEKDAY(B4105)=7,1,0))))))</f>
        <v>2</v>
      </c>
      <c r="G4105" s="369">
        <f>VLOOKUP(C4105,METADATA!$J$5:$Q$29,IF(E4105="HI",2,IF(E4105="LO",6,10))+IF(D4105=1,2,IF(D4105=7,1,(IF(WEEKDAY(B4105)=1,2,IF(WEEKDAY(B4105)=7,1,0))))))</f>
        <v>2</v>
      </c>
      <c r="H4105" s="370">
        <v>12908.425231933594</v>
      </c>
      <c r="I4105" s="370">
        <v>4153.43505859375</v>
      </c>
      <c r="M4105" s="371">
        <f t="shared" si="257"/>
        <v>13560.179377662211</v>
      </c>
      <c r="N4105" s="329">
        <f t="shared" si="258"/>
        <v>280.90748901367215</v>
      </c>
      <c r="T4105" s="331">
        <v>0</v>
      </c>
      <c r="U4105" s="328">
        <f>VLOOKUP(C4105,METADATA!$J$5:$Q$29,IF(E4105="HI",2,IF(E4105="LO",6,10))+IF(T4105=1,2,IF(D4105=7,1,(IF(WEEKDAY(B4105)=1,2,IF(WEEKDAY(B4105)=7,1,0))))))</f>
        <v>2</v>
      </c>
      <c r="V4105" s="328">
        <f>VLOOKUP(C4105,METADATA!$A$5:$H$29,IF(E4105="HI",2,IF(E4105="LO",6,10))+IF(T4105=1,2,IF(D4105=7,1,(IF(WEEKDAY(B4105)=1,2,IF(WEEKDAY(B4105)=7,1,0))))))</f>
        <v>2</v>
      </c>
    </row>
    <row r="4106" spans="2:22">
      <c r="B4106" s="318">
        <f t="shared" si="255"/>
        <v>46283</v>
      </c>
      <c r="C4106" s="312">
        <v>22</v>
      </c>
      <c r="D4106" s="368">
        <f>IFERROR((INDEX(METADATA!$T$2:$T$20,MATCH(B4106,METADATA!$S$2:$S$20,0))),0)</f>
        <v>0</v>
      </c>
      <c r="E4106" s="312" t="str">
        <f t="shared" si="256"/>
        <v>LO</v>
      </c>
      <c r="F4106" s="369">
        <f>VLOOKUP(C4106,METADATA!$A$5:$H$29,IF(E4106="HI",2,IF(E4106="LO",6,10))+IF(D4106=1,2,IF(D4106=7,1,(IF(WEEKDAY(B4106)=1,2,IF(WEEKDAY(B4106)=7,1,0))))))</f>
        <v>3</v>
      </c>
      <c r="G4106" s="369">
        <f>VLOOKUP(C4106,METADATA!$J$5:$Q$29,IF(E4106="HI",2,IF(E4106="LO",6,10))+IF(D4106=1,2,IF(D4106=7,1,(IF(WEEKDAY(B4106)=1,2,IF(WEEKDAY(B4106)=7,1,0))))))</f>
        <v>3</v>
      </c>
      <c r="H4106" s="370">
        <v>13137.049743652344</v>
      </c>
      <c r="I4106" s="370">
        <v>4338.8549499511719</v>
      </c>
      <c r="M4106" s="371">
        <f t="shared" si="257"/>
        <v>13835.018548737544</v>
      </c>
      <c r="N4106" s="329">
        <f t="shared" si="258"/>
        <v>397.74002685546884</v>
      </c>
      <c r="T4106" s="331">
        <v>0</v>
      </c>
      <c r="U4106" s="328">
        <f>VLOOKUP(C4106,METADATA!$J$5:$Q$29,IF(E4106="HI",2,IF(E4106="LO",6,10))+IF(T4106=1,2,IF(D4106=7,1,(IF(WEEKDAY(B4106)=1,2,IF(WEEKDAY(B4106)=7,1,0))))))</f>
        <v>3</v>
      </c>
      <c r="V4106" s="328">
        <f>VLOOKUP(C4106,METADATA!$A$5:$H$29,IF(E4106="HI",2,IF(E4106="LO",6,10))+IF(T4106=1,2,IF(D4106=7,1,(IF(WEEKDAY(B4106)=1,2,IF(WEEKDAY(B4106)=7,1,0))))))</f>
        <v>3</v>
      </c>
    </row>
    <row r="4107" spans="2:22">
      <c r="B4107" s="318">
        <f t="shared" si="255"/>
        <v>46283</v>
      </c>
      <c r="C4107" s="312">
        <v>23</v>
      </c>
      <c r="D4107" s="368">
        <f>IFERROR((INDEX(METADATA!$T$2:$T$20,MATCH(B4107,METADATA!$S$2:$S$20,0))),0)</f>
        <v>0</v>
      </c>
      <c r="E4107" s="312" t="str">
        <f t="shared" si="256"/>
        <v>LO</v>
      </c>
      <c r="F4107" s="369">
        <f>VLOOKUP(C4107,METADATA!$A$5:$H$29,IF(E4107="HI",2,IF(E4107="LO",6,10))+IF(D4107=1,2,IF(D4107=7,1,(IF(WEEKDAY(B4107)=1,2,IF(WEEKDAY(B4107)=7,1,0))))))</f>
        <v>3</v>
      </c>
      <c r="G4107" s="369">
        <f>VLOOKUP(C4107,METADATA!$J$5:$Q$29,IF(E4107="HI",2,IF(E4107="LO",6,10))+IF(D4107=1,2,IF(D4107=7,1,(IF(WEEKDAY(B4107)=1,2,IF(WEEKDAY(B4107)=7,1,0))))))</f>
        <v>3</v>
      </c>
      <c r="H4107" s="370">
        <v>13121.650207519531</v>
      </c>
      <c r="I4107" s="370">
        <v>4047.9749450683594</v>
      </c>
      <c r="M4107" s="371">
        <f t="shared" si="257"/>
        <v>13731.853674009148</v>
      </c>
      <c r="N4107" s="329">
        <f t="shared" si="258"/>
        <v>111.47988281250036</v>
      </c>
      <c r="T4107" s="331">
        <v>0</v>
      </c>
      <c r="U4107" s="328">
        <f>VLOOKUP(C4107,METADATA!$J$5:$Q$29,IF(E4107="HI",2,IF(E4107="LO",6,10))+IF(T4107=1,2,IF(D4107=7,1,(IF(WEEKDAY(B4107)=1,2,IF(WEEKDAY(B4107)=7,1,0))))))</f>
        <v>3</v>
      </c>
      <c r="V4107" s="328">
        <f>VLOOKUP(C4107,METADATA!$A$5:$H$29,IF(E4107="HI",2,IF(E4107="LO",6,10))+IF(T4107=1,2,IF(D4107=7,1,(IF(WEEKDAY(B4107)=1,2,IF(WEEKDAY(B4107)=7,1,0))))))</f>
        <v>3</v>
      </c>
    </row>
    <row r="4108" spans="2:22">
      <c r="B4108" s="318">
        <f t="shared" si="255"/>
        <v>46284</v>
      </c>
      <c r="C4108" s="312">
        <v>0</v>
      </c>
      <c r="D4108" s="368">
        <f>IFERROR((INDEX(METADATA!$T$2:$T$20,MATCH(B4108,METADATA!$S$2:$S$20,0))),0)</f>
        <v>0</v>
      </c>
      <c r="E4108" s="312" t="str">
        <f t="shared" si="256"/>
        <v>LO</v>
      </c>
      <c r="F4108" s="369">
        <f>VLOOKUP(C4108,METADATA!$A$5:$H$29,IF(E4108="HI",2,IF(E4108="LO",6,10))+IF(D4108=1,2,IF(D4108=7,1,(IF(WEEKDAY(B4108)=1,2,IF(WEEKDAY(B4108)=7,1,0))))))</f>
        <v>3</v>
      </c>
      <c r="G4108" s="369">
        <f>VLOOKUP(C4108,METADATA!$J$5:$Q$29,IF(E4108="HI",2,IF(E4108="LO",6,10))+IF(D4108=1,2,IF(D4108=7,1,(IF(WEEKDAY(B4108)=1,2,IF(WEEKDAY(B4108)=7,1,0))))))</f>
        <v>3</v>
      </c>
      <c r="H4108" s="370">
        <v>13211.350036621094</v>
      </c>
      <c r="I4108" s="370">
        <v>4055.35009765625</v>
      </c>
      <c r="M4108" s="371">
        <f t="shared" si="257"/>
        <v>13819.755215078476</v>
      </c>
      <c r="N4108" s="329">
        <f t="shared" si="258"/>
        <v>91.945086669922148</v>
      </c>
      <c r="T4108" s="331">
        <v>0</v>
      </c>
      <c r="U4108" s="328">
        <f>VLOOKUP(C4108,METADATA!$J$5:$Q$29,IF(E4108="HI",2,IF(E4108="LO",6,10))+IF(T4108=1,2,IF(D4108=7,1,(IF(WEEKDAY(B4108)=1,2,IF(WEEKDAY(B4108)=7,1,0))))))</f>
        <v>3</v>
      </c>
      <c r="V4108" s="328">
        <f>VLOOKUP(C4108,METADATA!$A$5:$H$29,IF(E4108="HI",2,IF(E4108="LO",6,10))+IF(T4108=1,2,IF(D4108=7,1,(IF(WEEKDAY(B4108)=1,2,IF(WEEKDAY(B4108)=7,1,0))))))</f>
        <v>3</v>
      </c>
    </row>
    <row r="4109" spans="2:22">
      <c r="B4109" s="318">
        <f t="shared" si="255"/>
        <v>46284</v>
      </c>
      <c r="C4109" s="312">
        <v>1</v>
      </c>
      <c r="D4109" s="368">
        <f>IFERROR((INDEX(METADATA!$T$2:$T$20,MATCH(B4109,METADATA!$S$2:$S$20,0))),0)</f>
        <v>0</v>
      </c>
      <c r="E4109" s="312" t="str">
        <f t="shared" si="256"/>
        <v>LO</v>
      </c>
      <c r="F4109" s="369">
        <f>VLOOKUP(C4109,METADATA!$A$5:$H$29,IF(E4109="HI",2,IF(E4109="LO",6,10))+IF(D4109=1,2,IF(D4109=7,1,(IF(WEEKDAY(B4109)=1,2,IF(WEEKDAY(B4109)=7,1,0))))))</f>
        <v>3</v>
      </c>
      <c r="G4109" s="369">
        <f>VLOOKUP(C4109,METADATA!$J$5:$Q$29,IF(E4109="HI",2,IF(E4109="LO",6,10))+IF(D4109=1,2,IF(D4109=7,1,(IF(WEEKDAY(B4109)=1,2,IF(WEEKDAY(B4109)=7,1,0))))))</f>
        <v>3</v>
      </c>
      <c r="H4109" s="370">
        <v>13132.967407226563</v>
      </c>
      <c r="I4109" s="370">
        <v>4095.5150146484375</v>
      </c>
      <c r="M4109" s="371">
        <f t="shared" si="257"/>
        <v>13756.746568665352</v>
      </c>
      <c r="N4109" s="329">
        <f t="shared" si="258"/>
        <v>155.62479248046884</v>
      </c>
      <c r="T4109" s="331">
        <v>0</v>
      </c>
      <c r="U4109" s="328">
        <f>VLOOKUP(C4109,METADATA!$J$5:$Q$29,IF(E4109="HI",2,IF(E4109="LO",6,10))+IF(T4109=1,2,IF(D4109=7,1,(IF(WEEKDAY(B4109)=1,2,IF(WEEKDAY(B4109)=7,1,0))))))</f>
        <v>3</v>
      </c>
      <c r="V4109" s="328">
        <f>VLOOKUP(C4109,METADATA!$A$5:$H$29,IF(E4109="HI",2,IF(E4109="LO",6,10))+IF(T4109=1,2,IF(D4109=7,1,(IF(WEEKDAY(B4109)=1,2,IF(WEEKDAY(B4109)=7,1,0))))))</f>
        <v>3</v>
      </c>
    </row>
    <row r="4110" spans="2:22">
      <c r="B4110" s="318">
        <f t="shared" si="255"/>
        <v>46284</v>
      </c>
      <c r="C4110" s="312">
        <v>2</v>
      </c>
      <c r="D4110" s="368">
        <f>IFERROR((INDEX(METADATA!$T$2:$T$20,MATCH(B4110,METADATA!$S$2:$S$20,0))),0)</f>
        <v>0</v>
      </c>
      <c r="E4110" s="312" t="str">
        <f t="shared" si="256"/>
        <v>LO</v>
      </c>
      <c r="F4110" s="369">
        <f>VLOOKUP(C4110,METADATA!$A$5:$H$29,IF(E4110="HI",2,IF(E4110="LO",6,10))+IF(D4110=1,2,IF(D4110=7,1,(IF(WEEKDAY(B4110)=1,2,IF(WEEKDAY(B4110)=7,1,0))))))</f>
        <v>3</v>
      </c>
      <c r="G4110" s="369">
        <f>VLOOKUP(C4110,METADATA!$J$5:$Q$29,IF(E4110="HI",2,IF(E4110="LO",6,10))+IF(D4110=1,2,IF(D4110=7,1,(IF(WEEKDAY(B4110)=1,2,IF(WEEKDAY(B4110)=7,1,0))))))</f>
        <v>3</v>
      </c>
      <c r="H4110" s="370">
        <v>12918.875061035156</v>
      </c>
      <c r="I4110" s="370">
        <v>3954.7950134277344</v>
      </c>
      <c r="M4110" s="371">
        <f t="shared" si="257"/>
        <v>13510.652702251989</v>
      </c>
      <c r="N4110" s="329">
        <f t="shared" si="258"/>
        <v>79.132495117187773</v>
      </c>
      <c r="T4110" s="331">
        <v>0</v>
      </c>
      <c r="U4110" s="328">
        <f>VLOOKUP(C4110,METADATA!$J$5:$Q$29,IF(E4110="HI",2,IF(E4110="LO",6,10))+IF(T4110=1,2,IF(D4110=7,1,(IF(WEEKDAY(B4110)=1,2,IF(WEEKDAY(B4110)=7,1,0))))))</f>
        <v>3</v>
      </c>
      <c r="V4110" s="328">
        <f>VLOOKUP(C4110,METADATA!$A$5:$H$29,IF(E4110="HI",2,IF(E4110="LO",6,10))+IF(T4110=1,2,IF(D4110=7,1,(IF(WEEKDAY(B4110)=1,2,IF(WEEKDAY(B4110)=7,1,0))))))</f>
        <v>3</v>
      </c>
    </row>
    <row r="4111" spans="2:22">
      <c r="B4111" s="318">
        <f t="shared" si="255"/>
        <v>46284</v>
      </c>
      <c r="C4111" s="312">
        <v>3</v>
      </c>
      <c r="D4111" s="368">
        <f>IFERROR((INDEX(METADATA!$T$2:$T$20,MATCH(B4111,METADATA!$S$2:$S$20,0))),0)</f>
        <v>0</v>
      </c>
      <c r="E4111" s="312" t="str">
        <f t="shared" si="256"/>
        <v>LO</v>
      </c>
      <c r="F4111" s="369">
        <f>VLOOKUP(C4111,METADATA!$A$5:$H$29,IF(E4111="HI",2,IF(E4111="LO",6,10))+IF(D4111=1,2,IF(D4111=7,1,(IF(WEEKDAY(B4111)=1,2,IF(WEEKDAY(B4111)=7,1,0))))))</f>
        <v>3</v>
      </c>
      <c r="G4111" s="369">
        <f>VLOOKUP(C4111,METADATA!$J$5:$Q$29,IF(E4111="HI",2,IF(E4111="LO",6,10))+IF(D4111=1,2,IF(D4111=7,1,(IF(WEEKDAY(B4111)=1,2,IF(WEEKDAY(B4111)=7,1,0))))))</f>
        <v>3</v>
      </c>
      <c r="H4111" s="370">
        <v>13174.350158691406</v>
      </c>
      <c r="I4111" s="370">
        <v>4138.3999633789063</v>
      </c>
      <c r="M4111" s="371">
        <f t="shared" si="257"/>
        <v>13809.049799341981</v>
      </c>
      <c r="N4111" s="329">
        <f t="shared" si="258"/>
        <v>186.09491577148447</v>
      </c>
      <c r="T4111" s="331">
        <v>0</v>
      </c>
      <c r="U4111" s="328">
        <f>VLOOKUP(C4111,METADATA!$J$5:$Q$29,IF(E4111="HI",2,IF(E4111="LO",6,10))+IF(T4111=1,2,IF(D4111=7,1,(IF(WEEKDAY(B4111)=1,2,IF(WEEKDAY(B4111)=7,1,0))))))</f>
        <v>3</v>
      </c>
      <c r="V4111" s="328">
        <f>VLOOKUP(C4111,METADATA!$A$5:$H$29,IF(E4111="HI",2,IF(E4111="LO",6,10))+IF(T4111=1,2,IF(D4111=7,1,(IF(WEEKDAY(B4111)=1,2,IF(WEEKDAY(B4111)=7,1,0))))))</f>
        <v>3</v>
      </c>
    </row>
    <row r="4112" spans="2:22">
      <c r="B4112" s="318">
        <f t="shared" si="255"/>
        <v>46284</v>
      </c>
      <c r="C4112" s="312">
        <v>4</v>
      </c>
      <c r="D4112" s="368">
        <f>IFERROR((INDEX(METADATA!$T$2:$T$20,MATCH(B4112,METADATA!$S$2:$S$20,0))),0)</f>
        <v>0</v>
      </c>
      <c r="E4112" s="312" t="str">
        <f t="shared" si="256"/>
        <v>LO</v>
      </c>
      <c r="F4112" s="369">
        <f>VLOOKUP(C4112,METADATA!$A$5:$H$29,IF(E4112="HI",2,IF(E4112="LO",6,10))+IF(D4112=1,2,IF(D4112=7,1,(IF(WEEKDAY(B4112)=1,2,IF(WEEKDAY(B4112)=7,1,0))))))</f>
        <v>3</v>
      </c>
      <c r="G4112" s="369">
        <f>VLOOKUP(C4112,METADATA!$J$5:$Q$29,IF(E4112="HI",2,IF(E4112="LO",6,10))+IF(D4112=1,2,IF(D4112=7,1,(IF(WEEKDAY(B4112)=1,2,IF(WEEKDAY(B4112)=7,1,0))))))</f>
        <v>3</v>
      </c>
      <c r="H4112" s="370">
        <v>13151.824768066406</v>
      </c>
      <c r="I4112" s="370">
        <v>4122.4498901367188</v>
      </c>
      <c r="M4112" s="371">
        <f t="shared" si="257"/>
        <v>13782.782296278689</v>
      </c>
      <c r="N4112" s="329">
        <f t="shared" si="258"/>
        <v>176.90245971679724</v>
      </c>
      <c r="T4112" s="331">
        <v>0</v>
      </c>
      <c r="U4112" s="328">
        <f>VLOOKUP(C4112,METADATA!$J$5:$Q$29,IF(E4112="HI",2,IF(E4112="LO",6,10))+IF(T4112=1,2,IF(D4112=7,1,(IF(WEEKDAY(B4112)=1,2,IF(WEEKDAY(B4112)=7,1,0))))))</f>
        <v>3</v>
      </c>
      <c r="V4112" s="328">
        <f>VLOOKUP(C4112,METADATA!$A$5:$H$29,IF(E4112="HI",2,IF(E4112="LO",6,10))+IF(T4112=1,2,IF(D4112=7,1,(IF(WEEKDAY(B4112)=1,2,IF(WEEKDAY(B4112)=7,1,0))))))</f>
        <v>3</v>
      </c>
    </row>
    <row r="4113" spans="2:22">
      <c r="B4113" s="318">
        <f t="shared" si="255"/>
        <v>46284</v>
      </c>
      <c r="C4113" s="312">
        <v>5</v>
      </c>
      <c r="D4113" s="368">
        <f>IFERROR((INDEX(METADATA!$T$2:$T$20,MATCH(B4113,METADATA!$S$2:$S$20,0))),0)</f>
        <v>0</v>
      </c>
      <c r="E4113" s="312" t="str">
        <f t="shared" si="256"/>
        <v>LO</v>
      </c>
      <c r="F4113" s="369">
        <f>VLOOKUP(C4113,METADATA!$A$5:$H$29,IF(E4113="HI",2,IF(E4113="LO",6,10))+IF(D4113=1,2,IF(D4113=7,1,(IF(WEEKDAY(B4113)=1,2,IF(WEEKDAY(B4113)=7,1,0))))))</f>
        <v>3</v>
      </c>
      <c r="G4113" s="369">
        <f>VLOOKUP(C4113,METADATA!$J$5:$Q$29,IF(E4113="HI",2,IF(E4113="LO",6,10))+IF(D4113=1,2,IF(D4113=7,1,(IF(WEEKDAY(B4113)=1,2,IF(WEEKDAY(B4113)=7,1,0))))))</f>
        <v>3</v>
      </c>
      <c r="H4113" s="370">
        <v>13159.224670410156</v>
      </c>
      <c r="I4113" s="370">
        <v>4173.4801330566406</v>
      </c>
      <c r="M4113" s="371">
        <f t="shared" si="257"/>
        <v>13805.184908118752</v>
      </c>
      <c r="N4113" s="329">
        <f t="shared" si="258"/>
        <v>225.71273193359411</v>
      </c>
      <c r="T4113" s="331">
        <v>0</v>
      </c>
      <c r="U4113" s="328">
        <f>VLOOKUP(C4113,METADATA!$J$5:$Q$29,IF(E4113="HI",2,IF(E4113="LO",6,10))+IF(T4113=1,2,IF(D4113=7,1,(IF(WEEKDAY(B4113)=1,2,IF(WEEKDAY(B4113)=7,1,0))))))</f>
        <v>3</v>
      </c>
      <c r="V4113" s="328">
        <f>VLOOKUP(C4113,METADATA!$A$5:$H$29,IF(E4113="HI",2,IF(E4113="LO",6,10))+IF(T4113=1,2,IF(D4113=7,1,(IF(WEEKDAY(B4113)=1,2,IF(WEEKDAY(B4113)=7,1,0))))))</f>
        <v>3</v>
      </c>
    </row>
    <row r="4114" spans="2:22">
      <c r="B4114" s="318">
        <f t="shared" si="255"/>
        <v>46284</v>
      </c>
      <c r="C4114" s="312">
        <v>6</v>
      </c>
      <c r="D4114" s="368">
        <f>IFERROR((INDEX(METADATA!$T$2:$T$20,MATCH(B4114,METADATA!$S$2:$S$20,0))),0)</f>
        <v>0</v>
      </c>
      <c r="E4114" s="312" t="str">
        <f t="shared" si="256"/>
        <v>LO</v>
      </c>
      <c r="F4114" s="369">
        <f>VLOOKUP(C4114,METADATA!$A$5:$H$29,IF(E4114="HI",2,IF(E4114="LO",6,10))+IF(D4114=1,2,IF(D4114=7,1,(IF(WEEKDAY(B4114)=1,2,IF(WEEKDAY(B4114)=7,1,0))))))</f>
        <v>3</v>
      </c>
      <c r="G4114" s="369">
        <f>VLOOKUP(C4114,METADATA!$J$5:$Q$29,IF(E4114="HI",2,IF(E4114="LO",6,10))+IF(D4114=1,2,IF(D4114=7,1,(IF(WEEKDAY(B4114)=1,2,IF(WEEKDAY(B4114)=7,1,0))))))</f>
        <v>3</v>
      </c>
      <c r="H4114" s="370">
        <v>13015.949829101563</v>
      </c>
      <c r="I4114" s="370">
        <v>4046.3349609375</v>
      </c>
      <c r="M4114" s="371">
        <f t="shared" si="257"/>
        <v>13630.39898791646</v>
      </c>
      <c r="N4114" s="329">
        <f t="shared" si="258"/>
        <v>141.55001220703161</v>
      </c>
      <c r="T4114" s="331">
        <v>0</v>
      </c>
      <c r="U4114" s="328">
        <f>VLOOKUP(C4114,METADATA!$J$5:$Q$29,IF(E4114="HI",2,IF(E4114="LO",6,10))+IF(T4114=1,2,IF(D4114=7,1,(IF(WEEKDAY(B4114)=1,2,IF(WEEKDAY(B4114)=7,1,0))))))</f>
        <v>3</v>
      </c>
      <c r="V4114" s="328">
        <f>VLOOKUP(C4114,METADATA!$A$5:$H$29,IF(E4114="HI",2,IF(E4114="LO",6,10))+IF(T4114=1,2,IF(D4114=7,1,(IF(WEEKDAY(B4114)=1,2,IF(WEEKDAY(B4114)=7,1,0))))))</f>
        <v>3</v>
      </c>
    </row>
    <row r="4115" spans="2:22">
      <c r="B4115" s="318">
        <f t="shared" si="255"/>
        <v>46284</v>
      </c>
      <c r="C4115" s="312">
        <v>7</v>
      </c>
      <c r="D4115" s="368">
        <f>IFERROR((INDEX(METADATA!$T$2:$T$20,MATCH(B4115,METADATA!$S$2:$S$20,0))),0)</f>
        <v>0</v>
      </c>
      <c r="E4115" s="312" t="str">
        <f t="shared" si="256"/>
        <v>LO</v>
      </c>
      <c r="F4115" s="369">
        <f>VLOOKUP(C4115,METADATA!$A$5:$H$29,IF(E4115="HI",2,IF(E4115="LO",6,10))+IF(D4115=1,2,IF(D4115=7,1,(IF(WEEKDAY(B4115)=1,2,IF(WEEKDAY(B4115)=7,1,0))))))</f>
        <v>2</v>
      </c>
      <c r="G4115" s="369">
        <f>VLOOKUP(C4115,METADATA!$J$5:$Q$29,IF(E4115="HI",2,IF(E4115="LO",6,10))+IF(D4115=1,2,IF(D4115=7,1,(IF(WEEKDAY(B4115)=1,2,IF(WEEKDAY(B4115)=7,1,0))))))</f>
        <v>2</v>
      </c>
      <c r="H4115" s="370">
        <v>12945.7001953125</v>
      </c>
      <c r="I4115" s="370">
        <v>3966.9999084472656</v>
      </c>
      <c r="M4115" s="371">
        <f t="shared" si="257"/>
        <v>13539.875989850672</v>
      </c>
      <c r="N4115" s="329">
        <f t="shared" si="258"/>
        <v>83.289849853515989</v>
      </c>
      <c r="T4115" s="331">
        <v>0</v>
      </c>
      <c r="U4115" s="328">
        <f>VLOOKUP(C4115,METADATA!$J$5:$Q$29,IF(E4115="HI",2,IF(E4115="LO",6,10))+IF(T4115=1,2,IF(D4115=7,1,(IF(WEEKDAY(B4115)=1,2,IF(WEEKDAY(B4115)=7,1,0))))))</f>
        <v>2</v>
      </c>
      <c r="V4115" s="328">
        <f>VLOOKUP(C4115,METADATA!$A$5:$H$29,IF(E4115="HI",2,IF(E4115="LO",6,10))+IF(T4115=1,2,IF(D4115=7,1,(IF(WEEKDAY(B4115)=1,2,IF(WEEKDAY(B4115)=7,1,0))))))</f>
        <v>2</v>
      </c>
    </row>
    <row r="4116" spans="2:22">
      <c r="B4116" s="318">
        <f t="shared" si="255"/>
        <v>46284</v>
      </c>
      <c r="C4116" s="312">
        <v>8</v>
      </c>
      <c r="D4116" s="368">
        <f>IFERROR((INDEX(METADATA!$T$2:$T$20,MATCH(B4116,METADATA!$S$2:$S$20,0))),0)</f>
        <v>0</v>
      </c>
      <c r="E4116" s="312" t="str">
        <f t="shared" si="256"/>
        <v>LO</v>
      </c>
      <c r="F4116" s="369">
        <f>VLOOKUP(C4116,METADATA!$A$5:$H$29,IF(E4116="HI",2,IF(E4116="LO",6,10))+IF(D4116=1,2,IF(D4116=7,1,(IF(WEEKDAY(B4116)=1,2,IF(WEEKDAY(B4116)=7,1,0))))))</f>
        <v>2</v>
      </c>
      <c r="G4116" s="369">
        <f>VLOOKUP(C4116,METADATA!$J$5:$Q$29,IF(E4116="HI",2,IF(E4116="LO",6,10))+IF(D4116=1,2,IF(D4116=7,1,(IF(WEEKDAY(B4116)=1,2,IF(WEEKDAY(B4116)=7,1,0))))))</f>
        <v>2</v>
      </c>
      <c r="H4116" s="370">
        <v>12985.125305175781</v>
      </c>
      <c r="I4116" s="370">
        <v>4100.5099487304688</v>
      </c>
      <c r="M4116" s="371">
        <f t="shared" si="257"/>
        <v>13617.182565815659</v>
      </c>
      <c r="N4116" s="329">
        <f t="shared" si="258"/>
        <v>204.97235717773447</v>
      </c>
      <c r="T4116" s="331">
        <v>0</v>
      </c>
      <c r="U4116" s="328">
        <f>VLOOKUP(C4116,METADATA!$J$5:$Q$29,IF(E4116="HI",2,IF(E4116="LO",6,10))+IF(T4116=1,2,IF(D4116=7,1,(IF(WEEKDAY(B4116)=1,2,IF(WEEKDAY(B4116)=7,1,0))))))</f>
        <v>2</v>
      </c>
      <c r="V4116" s="328">
        <f>VLOOKUP(C4116,METADATA!$A$5:$H$29,IF(E4116="HI",2,IF(E4116="LO",6,10))+IF(T4116=1,2,IF(D4116=7,1,(IF(WEEKDAY(B4116)=1,2,IF(WEEKDAY(B4116)=7,1,0))))))</f>
        <v>2</v>
      </c>
    </row>
    <row r="4117" spans="2:22">
      <c r="B4117" s="318">
        <f t="shared" si="255"/>
        <v>46284</v>
      </c>
      <c r="C4117" s="312">
        <v>9</v>
      </c>
      <c r="D4117" s="368">
        <f>IFERROR((INDEX(METADATA!$T$2:$T$20,MATCH(B4117,METADATA!$S$2:$S$20,0))),0)</f>
        <v>0</v>
      </c>
      <c r="E4117" s="312" t="str">
        <f t="shared" si="256"/>
        <v>LO</v>
      </c>
      <c r="F4117" s="369">
        <f>VLOOKUP(C4117,METADATA!$A$5:$H$29,IF(E4117="HI",2,IF(E4117="LO",6,10))+IF(D4117=1,2,IF(D4117=7,1,(IF(WEEKDAY(B4117)=1,2,IF(WEEKDAY(B4117)=7,1,0))))))</f>
        <v>2</v>
      </c>
      <c r="G4117" s="369">
        <f>VLOOKUP(C4117,METADATA!$J$5:$Q$29,IF(E4117="HI",2,IF(E4117="LO",6,10))+IF(D4117=1,2,IF(D4117=7,1,(IF(WEEKDAY(B4117)=1,2,IF(WEEKDAY(B4117)=7,1,0))))))</f>
        <v>2</v>
      </c>
      <c r="H4117" s="370">
        <v>13232.650085449219</v>
      </c>
      <c r="I4117" s="370">
        <v>4175.3749389648438</v>
      </c>
      <c r="M4117" s="371">
        <f t="shared" si="257"/>
        <v>13875.762471477914</v>
      </c>
      <c r="N4117" s="329">
        <f t="shared" si="258"/>
        <v>205.5799133300784</v>
      </c>
      <c r="T4117" s="331">
        <v>0</v>
      </c>
      <c r="U4117" s="328">
        <f>VLOOKUP(C4117,METADATA!$J$5:$Q$29,IF(E4117="HI",2,IF(E4117="LO",6,10))+IF(T4117=1,2,IF(D4117=7,1,(IF(WEEKDAY(B4117)=1,2,IF(WEEKDAY(B4117)=7,1,0))))))</f>
        <v>2</v>
      </c>
      <c r="V4117" s="328">
        <f>VLOOKUP(C4117,METADATA!$A$5:$H$29,IF(E4117="HI",2,IF(E4117="LO",6,10))+IF(T4117=1,2,IF(D4117=7,1,(IF(WEEKDAY(B4117)=1,2,IF(WEEKDAY(B4117)=7,1,0))))))</f>
        <v>2</v>
      </c>
    </row>
    <row r="4118" spans="2:22">
      <c r="B4118" s="318">
        <f t="shared" si="255"/>
        <v>46284</v>
      </c>
      <c r="C4118" s="312">
        <v>10</v>
      </c>
      <c r="D4118" s="368">
        <f>IFERROR((INDEX(METADATA!$T$2:$T$20,MATCH(B4118,METADATA!$S$2:$S$20,0))),0)</f>
        <v>0</v>
      </c>
      <c r="E4118" s="312" t="str">
        <f t="shared" si="256"/>
        <v>LO</v>
      </c>
      <c r="F4118" s="369">
        <f>VLOOKUP(C4118,METADATA!$A$5:$H$29,IF(E4118="HI",2,IF(E4118="LO",6,10))+IF(D4118=1,2,IF(D4118=7,1,(IF(WEEKDAY(B4118)=1,2,IF(WEEKDAY(B4118)=7,1,0))))))</f>
        <v>2</v>
      </c>
      <c r="G4118" s="369">
        <f>VLOOKUP(C4118,METADATA!$J$5:$Q$29,IF(E4118="HI",2,IF(E4118="LO",6,10))+IF(D4118=1,2,IF(D4118=7,1,(IF(WEEKDAY(B4118)=1,2,IF(WEEKDAY(B4118)=7,1,0))))))</f>
        <v>2</v>
      </c>
      <c r="H4118" s="370">
        <v>13292.699890136719</v>
      </c>
      <c r="I4118" s="370">
        <v>4253.7449645996094</v>
      </c>
      <c r="M4118" s="371">
        <f t="shared" si="257"/>
        <v>13956.726571553132</v>
      </c>
      <c r="N4118" s="329">
        <f t="shared" si="258"/>
        <v>265.93499755859375</v>
      </c>
      <c r="T4118" s="331">
        <v>0</v>
      </c>
      <c r="U4118" s="328">
        <f>VLOOKUP(C4118,METADATA!$J$5:$Q$29,IF(E4118="HI",2,IF(E4118="LO",6,10))+IF(T4118=1,2,IF(D4118=7,1,(IF(WEEKDAY(B4118)=1,2,IF(WEEKDAY(B4118)=7,1,0))))))</f>
        <v>2</v>
      </c>
      <c r="V4118" s="328">
        <f>VLOOKUP(C4118,METADATA!$A$5:$H$29,IF(E4118="HI",2,IF(E4118="LO",6,10))+IF(T4118=1,2,IF(D4118=7,1,(IF(WEEKDAY(B4118)=1,2,IF(WEEKDAY(B4118)=7,1,0))))))</f>
        <v>2</v>
      </c>
    </row>
    <row r="4119" spans="2:22">
      <c r="B4119" s="318">
        <f t="shared" si="255"/>
        <v>46284</v>
      </c>
      <c r="C4119" s="312">
        <v>11</v>
      </c>
      <c r="D4119" s="368">
        <f>IFERROR((INDEX(METADATA!$T$2:$T$20,MATCH(B4119,METADATA!$S$2:$S$20,0))),0)</f>
        <v>0</v>
      </c>
      <c r="E4119" s="312" t="str">
        <f t="shared" si="256"/>
        <v>LO</v>
      </c>
      <c r="F4119" s="369">
        <f>VLOOKUP(C4119,METADATA!$A$5:$H$29,IF(E4119="HI",2,IF(E4119="LO",6,10))+IF(D4119=1,2,IF(D4119=7,1,(IF(WEEKDAY(B4119)=1,2,IF(WEEKDAY(B4119)=7,1,0))))))</f>
        <v>2</v>
      </c>
      <c r="G4119" s="369">
        <f>VLOOKUP(C4119,METADATA!$J$5:$Q$29,IF(E4119="HI",2,IF(E4119="LO",6,10))+IF(D4119=1,2,IF(D4119=7,1,(IF(WEEKDAY(B4119)=1,2,IF(WEEKDAY(B4119)=7,1,0))))))</f>
        <v>2</v>
      </c>
      <c r="H4119" s="370">
        <v>13157.424987792969</v>
      </c>
      <c r="I4119" s="370">
        <v>4298.1650390625</v>
      </c>
      <c r="M4119" s="371">
        <f t="shared" si="257"/>
        <v>13841.678186275605</v>
      </c>
      <c r="N4119" s="329">
        <f t="shared" si="258"/>
        <v>350.93754272460956</v>
      </c>
      <c r="T4119" s="331">
        <v>0</v>
      </c>
      <c r="U4119" s="328">
        <f>VLOOKUP(C4119,METADATA!$J$5:$Q$29,IF(E4119="HI",2,IF(E4119="LO",6,10))+IF(T4119=1,2,IF(D4119=7,1,(IF(WEEKDAY(B4119)=1,2,IF(WEEKDAY(B4119)=7,1,0))))))</f>
        <v>2</v>
      </c>
      <c r="V4119" s="328">
        <f>VLOOKUP(C4119,METADATA!$A$5:$H$29,IF(E4119="HI",2,IF(E4119="LO",6,10))+IF(T4119=1,2,IF(D4119=7,1,(IF(WEEKDAY(B4119)=1,2,IF(WEEKDAY(B4119)=7,1,0))))))</f>
        <v>2</v>
      </c>
    </row>
    <row r="4120" spans="2:22">
      <c r="B4120" s="318">
        <f t="shared" si="255"/>
        <v>46284</v>
      </c>
      <c r="C4120" s="312">
        <v>12</v>
      </c>
      <c r="D4120" s="368">
        <f>IFERROR((INDEX(METADATA!$T$2:$T$20,MATCH(B4120,METADATA!$S$2:$S$20,0))),0)</f>
        <v>0</v>
      </c>
      <c r="E4120" s="312" t="str">
        <f t="shared" si="256"/>
        <v>LO</v>
      </c>
      <c r="F4120" s="369">
        <f>VLOOKUP(C4120,METADATA!$A$5:$H$29,IF(E4120="HI",2,IF(E4120="LO",6,10))+IF(D4120=1,2,IF(D4120=7,1,(IF(WEEKDAY(B4120)=1,2,IF(WEEKDAY(B4120)=7,1,0))))))</f>
        <v>3</v>
      </c>
      <c r="G4120" s="369">
        <f>VLOOKUP(C4120,METADATA!$J$5:$Q$29,IF(E4120="HI",2,IF(E4120="LO",6,10))+IF(D4120=1,2,IF(D4120=7,1,(IF(WEEKDAY(B4120)=1,2,IF(WEEKDAY(B4120)=7,1,0))))))</f>
        <v>3</v>
      </c>
      <c r="H4120" s="370">
        <v>13274.725219726563</v>
      </c>
      <c r="I4120" s="370">
        <v>4435.3299560546875</v>
      </c>
      <c r="M4120" s="371">
        <f t="shared" si="257"/>
        <v>13996.088077685154</v>
      </c>
      <c r="N4120" s="329">
        <f t="shared" si="258"/>
        <v>452.91239013671884</v>
      </c>
      <c r="T4120" s="331">
        <v>0</v>
      </c>
      <c r="U4120" s="328">
        <f>VLOOKUP(C4120,METADATA!$J$5:$Q$29,IF(E4120="HI",2,IF(E4120="LO",6,10))+IF(T4120=1,2,IF(D4120=7,1,(IF(WEEKDAY(B4120)=1,2,IF(WEEKDAY(B4120)=7,1,0))))))</f>
        <v>3</v>
      </c>
      <c r="V4120" s="328">
        <f>VLOOKUP(C4120,METADATA!$A$5:$H$29,IF(E4120="HI",2,IF(E4120="LO",6,10))+IF(T4120=1,2,IF(D4120=7,1,(IF(WEEKDAY(B4120)=1,2,IF(WEEKDAY(B4120)=7,1,0))))))</f>
        <v>3</v>
      </c>
    </row>
    <row r="4121" spans="2:22">
      <c r="B4121" s="318">
        <f t="shared" si="255"/>
        <v>46284</v>
      </c>
      <c r="C4121" s="312">
        <v>13</v>
      </c>
      <c r="D4121" s="368">
        <f>IFERROR((INDEX(METADATA!$T$2:$T$20,MATCH(B4121,METADATA!$S$2:$S$20,0))),0)</f>
        <v>0</v>
      </c>
      <c r="E4121" s="312" t="str">
        <f t="shared" si="256"/>
        <v>LO</v>
      </c>
      <c r="F4121" s="369">
        <f>VLOOKUP(C4121,METADATA!$A$5:$H$29,IF(E4121="HI",2,IF(E4121="LO",6,10))+IF(D4121=1,2,IF(D4121=7,1,(IF(WEEKDAY(B4121)=1,2,IF(WEEKDAY(B4121)=7,1,0))))))</f>
        <v>3</v>
      </c>
      <c r="G4121" s="369">
        <f>VLOOKUP(C4121,METADATA!$J$5:$Q$29,IF(E4121="HI",2,IF(E4121="LO",6,10))+IF(D4121=1,2,IF(D4121=7,1,(IF(WEEKDAY(B4121)=1,2,IF(WEEKDAY(B4121)=7,1,0))))))</f>
        <v>3</v>
      </c>
      <c r="H4121" s="370">
        <v>12973.275024414063</v>
      </c>
      <c r="I4121" s="370">
        <v>4203.6050415039063</v>
      </c>
      <c r="M4121" s="371">
        <f t="shared" si="257"/>
        <v>13637.307659653452</v>
      </c>
      <c r="N4121" s="329">
        <f t="shared" si="258"/>
        <v>311.62253417968759</v>
      </c>
      <c r="T4121" s="331">
        <v>0</v>
      </c>
      <c r="U4121" s="328">
        <f>VLOOKUP(C4121,METADATA!$J$5:$Q$29,IF(E4121="HI",2,IF(E4121="LO",6,10))+IF(T4121=1,2,IF(D4121=7,1,(IF(WEEKDAY(B4121)=1,2,IF(WEEKDAY(B4121)=7,1,0))))))</f>
        <v>3</v>
      </c>
      <c r="V4121" s="328">
        <f>VLOOKUP(C4121,METADATA!$A$5:$H$29,IF(E4121="HI",2,IF(E4121="LO",6,10))+IF(T4121=1,2,IF(D4121=7,1,(IF(WEEKDAY(B4121)=1,2,IF(WEEKDAY(B4121)=7,1,0))))))</f>
        <v>3</v>
      </c>
    </row>
    <row r="4122" spans="2:22">
      <c r="B4122" s="318">
        <f t="shared" si="255"/>
        <v>46284</v>
      </c>
      <c r="C4122" s="312">
        <v>14</v>
      </c>
      <c r="D4122" s="368">
        <f>IFERROR((INDEX(METADATA!$T$2:$T$20,MATCH(B4122,METADATA!$S$2:$S$20,0))),0)</f>
        <v>0</v>
      </c>
      <c r="E4122" s="312" t="str">
        <f t="shared" si="256"/>
        <v>LO</v>
      </c>
      <c r="F4122" s="369">
        <f>VLOOKUP(C4122,METADATA!$A$5:$H$29,IF(E4122="HI",2,IF(E4122="LO",6,10))+IF(D4122=1,2,IF(D4122=7,1,(IF(WEEKDAY(B4122)=1,2,IF(WEEKDAY(B4122)=7,1,0))))))</f>
        <v>3</v>
      </c>
      <c r="G4122" s="369">
        <f>VLOOKUP(C4122,METADATA!$J$5:$Q$29,IF(E4122="HI",2,IF(E4122="LO",6,10))+IF(D4122=1,2,IF(D4122=7,1,(IF(WEEKDAY(B4122)=1,2,IF(WEEKDAY(B4122)=7,1,0))))))</f>
        <v>3</v>
      </c>
      <c r="H4122" s="370">
        <v>13172.19970703125</v>
      </c>
      <c r="I4122" s="370">
        <v>4435.4399719238281</v>
      </c>
      <c r="M4122" s="371">
        <f t="shared" si="257"/>
        <v>13898.919845313656</v>
      </c>
      <c r="N4122" s="329">
        <f t="shared" si="258"/>
        <v>483.78005981445313</v>
      </c>
      <c r="T4122" s="331">
        <v>0</v>
      </c>
      <c r="U4122" s="328">
        <f>VLOOKUP(C4122,METADATA!$J$5:$Q$29,IF(E4122="HI",2,IF(E4122="LO",6,10))+IF(T4122=1,2,IF(D4122=7,1,(IF(WEEKDAY(B4122)=1,2,IF(WEEKDAY(B4122)=7,1,0))))))</f>
        <v>3</v>
      </c>
      <c r="V4122" s="328">
        <f>VLOOKUP(C4122,METADATA!$A$5:$H$29,IF(E4122="HI",2,IF(E4122="LO",6,10))+IF(T4122=1,2,IF(D4122=7,1,(IF(WEEKDAY(B4122)=1,2,IF(WEEKDAY(B4122)=7,1,0))))))</f>
        <v>3</v>
      </c>
    </row>
    <row r="4123" spans="2:22">
      <c r="B4123" s="318">
        <f t="shared" si="255"/>
        <v>46284</v>
      </c>
      <c r="C4123" s="312">
        <v>15</v>
      </c>
      <c r="D4123" s="368">
        <f>IFERROR((INDEX(METADATA!$T$2:$T$20,MATCH(B4123,METADATA!$S$2:$S$20,0))),0)</f>
        <v>0</v>
      </c>
      <c r="E4123" s="312" t="str">
        <f t="shared" si="256"/>
        <v>LO</v>
      </c>
      <c r="F4123" s="369">
        <f>VLOOKUP(C4123,METADATA!$A$5:$H$29,IF(E4123="HI",2,IF(E4123="LO",6,10))+IF(D4123=1,2,IF(D4123=7,1,(IF(WEEKDAY(B4123)=1,2,IF(WEEKDAY(B4123)=7,1,0))))))</f>
        <v>3</v>
      </c>
      <c r="G4123" s="369">
        <f>VLOOKUP(C4123,METADATA!$J$5:$Q$29,IF(E4123="HI",2,IF(E4123="LO",6,10))+IF(D4123=1,2,IF(D4123=7,1,(IF(WEEKDAY(B4123)=1,2,IF(WEEKDAY(B4123)=7,1,0))))))</f>
        <v>3</v>
      </c>
      <c r="H4123" s="370">
        <v>13177.150268554688</v>
      </c>
      <c r="I4123" s="370">
        <v>4447.4199523925781</v>
      </c>
      <c r="M4123" s="371">
        <f t="shared" si="257"/>
        <v>13907.438061447927</v>
      </c>
      <c r="N4123" s="329">
        <f t="shared" si="258"/>
        <v>494.27487182617188</v>
      </c>
      <c r="T4123" s="331">
        <v>0</v>
      </c>
      <c r="U4123" s="328">
        <f>VLOOKUP(C4123,METADATA!$J$5:$Q$29,IF(E4123="HI",2,IF(E4123="LO",6,10))+IF(T4123=1,2,IF(D4123=7,1,(IF(WEEKDAY(B4123)=1,2,IF(WEEKDAY(B4123)=7,1,0))))))</f>
        <v>3</v>
      </c>
      <c r="V4123" s="328">
        <f>VLOOKUP(C4123,METADATA!$A$5:$H$29,IF(E4123="HI",2,IF(E4123="LO",6,10))+IF(T4123=1,2,IF(D4123=7,1,(IF(WEEKDAY(B4123)=1,2,IF(WEEKDAY(B4123)=7,1,0))))))</f>
        <v>3</v>
      </c>
    </row>
    <row r="4124" spans="2:22">
      <c r="B4124" s="318">
        <f t="shared" ref="B4124:B4187" si="259">B4100+1</f>
        <v>46284</v>
      </c>
      <c r="C4124" s="312">
        <v>16</v>
      </c>
      <c r="D4124" s="368">
        <f>IFERROR((INDEX(METADATA!$T$2:$T$20,MATCH(B4124,METADATA!$S$2:$S$20,0))),0)</f>
        <v>0</v>
      </c>
      <c r="E4124" s="312" t="str">
        <f t="shared" si="256"/>
        <v>LO</v>
      </c>
      <c r="F4124" s="369">
        <f>VLOOKUP(C4124,METADATA!$A$5:$H$29,IF(E4124="HI",2,IF(E4124="LO",6,10))+IF(D4124=1,2,IF(D4124=7,1,(IF(WEEKDAY(B4124)=1,2,IF(WEEKDAY(B4124)=7,1,0))))))</f>
        <v>3</v>
      </c>
      <c r="G4124" s="369">
        <f>VLOOKUP(C4124,METADATA!$J$5:$Q$29,IF(E4124="HI",2,IF(E4124="LO",6,10))+IF(D4124=1,2,IF(D4124=7,1,(IF(WEEKDAY(B4124)=1,2,IF(WEEKDAY(B4124)=7,1,0))))))</f>
        <v>3</v>
      </c>
      <c r="H4124" s="370">
        <v>13478.725280761719</v>
      </c>
      <c r="I4124" s="370">
        <v>4596.8899536132813</v>
      </c>
      <c r="M4124" s="371">
        <f t="shared" si="257"/>
        <v>14241.047448831698</v>
      </c>
      <c r="N4124" s="329">
        <f t="shared" si="258"/>
        <v>553.27236938476563</v>
      </c>
      <c r="T4124" s="331">
        <v>0</v>
      </c>
      <c r="U4124" s="328">
        <f>VLOOKUP(C4124,METADATA!$J$5:$Q$29,IF(E4124="HI",2,IF(E4124="LO",6,10))+IF(T4124=1,2,IF(D4124=7,1,(IF(WEEKDAY(B4124)=1,2,IF(WEEKDAY(B4124)=7,1,0))))))</f>
        <v>3</v>
      </c>
      <c r="V4124" s="328">
        <f>VLOOKUP(C4124,METADATA!$A$5:$H$29,IF(E4124="HI",2,IF(E4124="LO",6,10))+IF(T4124=1,2,IF(D4124=7,1,(IF(WEEKDAY(B4124)=1,2,IF(WEEKDAY(B4124)=7,1,0))))))</f>
        <v>3</v>
      </c>
    </row>
    <row r="4125" spans="2:22">
      <c r="B4125" s="318">
        <f t="shared" si="259"/>
        <v>46284</v>
      </c>
      <c r="C4125" s="312">
        <v>17</v>
      </c>
      <c r="D4125" s="368">
        <f>IFERROR((INDEX(METADATA!$T$2:$T$20,MATCH(B4125,METADATA!$S$2:$S$20,0))),0)</f>
        <v>0</v>
      </c>
      <c r="E4125" s="312" t="str">
        <f t="shared" si="256"/>
        <v>LO</v>
      </c>
      <c r="F4125" s="369">
        <f>VLOOKUP(C4125,METADATA!$A$5:$H$29,IF(E4125="HI",2,IF(E4125="LO",6,10))+IF(D4125=1,2,IF(D4125=7,1,(IF(WEEKDAY(B4125)=1,2,IF(WEEKDAY(B4125)=7,1,0))))))</f>
        <v>3</v>
      </c>
      <c r="G4125" s="369">
        <f>VLOOKUP(C4125,METADATA!$J$5:$Q$29,IF(E4125="HI",2,IF(E4125="LO",6,10))+IF(D4125=1,2,IF(D4125=7,1,(IF(WEEKDAY(B4125)=1,2,IF(WEEKDAY(B4125)=7,1,0))))))</f>
        <v>3</v>
      </c>
      <c r="H4125" s="370">
        <v>13266.549499511719</v>
      </c>
      <c r="I4125" s="370">
        <v>4343.5849609375</v>
      </c>
      <c r="M4125" s="371">
        <f t="shared" si="257"/>
        <v>13959.51524716661</v>
      </c>
      <c r="N4125" s="329">
        <f t="shared" si="258"/>
        <v>363.62011108398474</v>
      </c>
      <c r="T4125" s="331">
        <v>0</v>
      </c>
      <c r="U4125" s="328">
        <f>VLOOKUP(C4125,METADATA!$J$5:$Q$29,IF(E4125="HI",2,IF(E4125="LO",6,10))+IF(T4125=1,2,IF(D4125=7,1,(IF(WEEKDAY(B4125)=1,2,IF(WEEKDAY(B4125)=7,1,0))))))</f>
        <v>3</v>
      </c>
      <c r="V4125" s="328">
        <f>VLOOKUP(C4125,METADATA!$A$5:$H$29,IF(E4125="HI",2,IF(E4125="LO",6,10))+IF(T4125=1,2,IF(D4125=7,1,(IF(WEEKDAY(B4125)=1,2,IF(WEEKDAY(B4125)=7,1,0))))))</f>
        <v>3</v>
      </c>
    </row>
    <row r="4126" spans="2:22">
      <c r="B4126" s="318">
        <f t="shared" si="259"/>
        <v>46284</v>
      </c>
      <c r="C4126" s="312">
        <v>18</v>
      </c>
      <c r="D4126" s="368">
        <f>IFERROR((INDEX(METADATA!$T$2:$T$20,MATCH(B4126,METADATA!$S$2:$S$20,0))),0)</f>
        <v>0</v>
      </c>
      <c r="E4126" s="312" t="str">
        <f t="shared" si="256"/>
        <v>LO</v>
      </c>
      <c r="F4126" s="369">
        <f>VLOOKUP(C4126,METADATA!$A$5:$H$29,IF(E4126="HI",2,IF(E4126="LO",6,10))+IF(D4126=1,2,IF(D4126=7,1,(IF(WEEKDAY(B4126)=1,2,IF(WEEKDAY(B4126)=7,1,0))))))</f>
        <v>2</v>
      </c>
      <c r="G4126" s="369">
        <f>VLOOKUP(C4126,METADATA!$J$5:$Q$29,IF(E4126="HI",2,IF(E4126="LO",6,10))+IF(D4126=1,2,IF(D4126=7,1,(IF(WEEKDAY(B4126)=1,2,IF(WEEKDAY(B4126)=7,1,0))))))</f>
        <v>2</v>
      </c>
      <c r="H4126" s="370">
        <v>13133.675109863281</v>
      </c>
      <c r="I4126" s="370">
        <v>4155.8099975585938</v>
      </c>
      <c r="M4126" s="371">
        <f t="shared" si="257"/>
        <v>13775.4919559067</v>
      </c>
      <c r="N4126" s="329">
        <f t="shared" si="258"/>
        <v>215.70746459960947</v>
      </c>
      <c r="T4126" s="331">
        <v>0</v>
      </c>
      <c r="U4126" s="328">
        <f>VLOOKUP(C4126,METADATA!$J$5:$Q$29,IF(E4126="HI",2,IF(E4126="LO",6,10))+IF(T4126=1,2,IF(D4126=7,1,(IF(WEEKDAY(B4126)=1,2,IF(WEEKDAY(B4126)=7,1,0))))))</f>
        <v>2</v>
      </c>
      <c r="V4126" s="328">
        <f>VLOOKUP(C4126,METADATA!$A$5:$H$29,IF(E4126="HI",2,IF(E4126="LO",6,10))+IF(T4126=1,2,IF(D4126=7,1,(IF(WEEKDAY(B4126)=1,2,IF(WEEKDAY(B4126)=7,1,0))))))</f>
        <v>2</v>
      </c>
    </row>
    <row r="4127" spans="2:22">
      <c r="B4127" s="318">
        <f t="shared" si="259"/>
        <v>46284</v>
      </c>
      <c r="C4127" s="312">
        <v>19</v>
      </c>
      <c r="D4127" s="368">
        <f>IFERROR((INDEX(METADATA!$T$2:$T$20,MATCH(B4127,METADATA!$S$2:$S$20,0))),0)</f>
        <v>0</v>
      </c>
      <c r="E4127" s="312" t="str">
        <f t="shared" si="256"/>
        <v>LO</v>
      </c>
      <c r="F4127" s="369">
        <f>VLOOKUP(C4127,METADATA!$A$5:$H$29,IF(E4127="HI",2,IF(E4127="LO",6,10))+IF(D4127=1,2,IF(D4127=7,1,(IF(WEEKDAY(B4127)=1,2,IF(WEEKDAY(B4127)=7,1,0))))))</f>
        <v>2</v>
      </c>
      <c r="G4127" s="369">
        <f>VLOOKUP(C4127,METADATA!$J$5:$Q$29,IF(E4127="HI",2,IF(E4127="LO",6,10))+IF(D4127=1,2,IF(D4127=7,1,(IF(WEEKDAY(B4127)=1,2,IF(WEEKDAY(B4127)=7,1,0))))))</f>
        <v>2</v>
      </c>
      <c r="H4127" s="370">
        <v>13156.625183105469</v>
      </c>
      <c r="I4127" s="370">
        <v>4150.8248901367188</v>
      </c>
      <c r="M4127" s="371">
        <f t="shared" si="257"/>
        <v>13795.873784480036</v>
      </c>
      <c r="N4127" s="329">
        <f t="shared" si="258"/>
        <v>203.83733520507849</v>
      </c>
      <c r="T4127" s="331">
        <v>0</v>
      </c>
      <c r="U4127" s="328">
        <f>VLOOKUP(C4127,METADATA!$J$5:$Q$29,IF(E4127="HI",2,IF(E4127="LO",6,10))+IF(T4127=1,2,IF(D4127=7,1,(IF(WEEKDAY(B4127)=1,2,IF(WEEKDAY(B4127)=7,1,0))))))</f>
        <v>2</v>
      </c>
      <c r="V4127" s="328">
        <f>VLOOKUP(C4127,METADATA!$A$5:$H$29,IF(E4127="HI",2,IF(E4127="LO",6,10))+IF(T4127=1,2,IF(D4127=7,1,(IF(WEEKDAY(B4127)=1,2,IF(WEEKDAY(B4127)=7,1,0))))))</f>
        <v>2</v>
      </c>
    </row>
    <row r="4128" spans="2:22">
      <c r="B4128" s="318">
        <f t="shared" si="259"/>
        <v>46284</v>
      </c>
      <c r="C4128" s="312">
        <v>20</v>
      </c>
      <c r="D4128" s="368">
        <f>IFERROR((INDEX(METADATA!$T$2:$T$20,MATCH(B4128,METADATA!$S$2:$S$20,0))),0)</f>
        <v>0</v>
      </c>
      <c r="E4128" s="312" t="str">
        <f t="shared" si="256"/>
        <v>LO</v>
      </c>
      <c r="F4128" s="369">
        <f>VLOOKUP(C4128,METADATA!$A$5:$H$29,IF(E4128="HI",2,IF(E4128="LO",6,10))+IF(D4128=1,2,IF(D4128=7,1,(IF(WEEKDAY(B4128)=1,2,IF(WEEKDAY(B4128)=7,1,0))))))</f>
        <v>3</v>
      </c>
      <c r="G4128" s="369">
        <f>VLOOKUP(C4128,METADATA!$J$5:$Q$29,IF(E4128="HI",2,IF(E4128="LO",6,10))+IF(D4128=1,2,IF(D4128=7,1,(IF(WEEKDAY(B4128)=1,2,IF(WEEKDAY(B4128)=7,1,0))))))</f>
        <v>3</v>
      </c>
      <c r="H4128" s="370">
        <v>13308.200073242188</v>
      </c>
      <c r="I4128" s="370">
        <v>4328.64990234375</v>
      </c>
      <c r="M4128" s="371">
        <f t="shared" si="257"/>
        <v>13994.47745242758</v>
      </c>
      <c r="N4128" s="329">
        <f t="shared" si="258"/>
        <v>336.18988037109375</v>
      </c>
      <c r="T4128" s="331">
        <v>0</v>
      </c>
      <c r="U4128" s="328">
        <f>VLOOKUP(C4128,METADATA!$J$5:$Q$29,IF(E4128="HI",2,IF(E4128="LO",6,10))+IF(T4128=1,2,IF(D4128=7,1,(IF(WEEKDAY(B4128)=1,2,IF(WEEKDAY(B4128)=7,1,0))))))</f>
        <v>3</v>
      </c>
      <c r="V4128" s="328">
        <f>VLOOKUP(C4128,METADATA!$A$5:$H$29,IF(E4128="HI",2,IF(E4128="LO",6,10))+IF(T4128=1,2,IF(D4128=7,1,(IF(WEEKDAY(B4128)=1,2,IF(WEEKDAY(B4128)=7,1,0))))))</f>
        <v>3</v>
      </c>
    </row>
    <row r="4129" spans="2:22">
      <c r="B4129" s="318">
        <f t="shared" si="259"/>
        <v>46284</v>
      </c>
      <c r="C4129" s="312">
        <v>21</v>
      </c>
      <c r="D4129" s="368">
        <f>IFERROR((INDEX(METADATA!$T$2:$T$20,MATCH(B4129,METADATA!$S$2:$S$20,0))),0)</f>
        <v>0</v>
      </c>
      <c r="E4129" s="312" t="str">
        <f t="shared" si="256"/>
        <v>LO</v>
      </c>
      <c r="F4129" s="369">
        <f>VLOOKUP(C4129,METADATA!$A$5:$H$29,IF(E4129="HI",2,IF(E4129="LO",6,10))+IF(D4129=1,2,IF(D4129=7,1,(IF(WEEKDAY(B4129)=1,2,IF(WEEKDAY(B4129)=7,1,0))))))</f>
        <v>3</v>
      </c>
      <c r="G4129" s="369">
        <f>VLOOKUP(C4129,METADATA!$J$5:$Q$29,IF(E4129="HI",2,IF(E4129="LO",6,10))+IF(D4129=1,2,IF(D4129=7,1,(IF(WEEKDAY(B4129)=1,2,IF(WEEKDAY(B4129)=7,1,0))))))</f>
        <v>3</v>
      </c>
      <c r="H4129" s="370">
        <v>12942.625305175781</v>
      </c>
      <c r="I4129" s="370">
        <v>4262.9850158691406</v>
      </c>
      <c r="M4129" s="371">
        <f t="shared" si="257"/>
        <v>13626.61333698514</v>
      </c>
      <c r="N4129" s="329">
        <f t="shared" si="258"/>
        <v>380.19742431640634</v>
      </c>
      <c r="T4129" s="331">
        <v>0</v>
      </c>
      <c r="U4129" s="328">
        <f>VLOOKUP(C4129,METADATA!$J$5:$Q$29,IF(E4129="HI",2,IF(E4129="LO",6,10))+IF(T4129=1,2,IF(D4129=7,1,(IF(WEEKDAY(B4129)=1,2,IF(WEEKDAY(B4129)=7,1,0))))))</f>
        <v>3</v>
      </c>
      <c r="V4129" s="328">
        <f>VLOOKUP(C4129,METADATA!$A$5:$H$29,IF(E4129="HI",2,IF(E4129="LO",6,10))+IF(T4129=1,2,IF(D4129=7,1,(IF(WEEKDAY(B4129)=1,2,IF(WEEKDAY(B4129)=7,1,0))))))</f>
        <v>3</v>
      </c>
    </row>
    <row r="4130" spans="2:22">
      <c r="B4130" s="318">
        <f t="shared" si="259"/>
        <v>46284</v>
      </c>
      <c r="C4130" s="312">
        <v>22</v>
      </c>
      <c r="D4130" s="368">
        <f>IFERROR((INDEX(METADATA!$T$2:$T$20,MATCH(B4130,METADATA!$S$2:$S$20,0))),0)</f>
        <v>0</v>
      </c>
      <c r="E4130" s="312" t="str">
        <f t="shared" si="256"/>
        <v>LO</v>
      </c>
      <c r="F4130" s="369">
        <f>VLOOKUP(C4130,METADATA!$A$5:$H$29,IF(E4130="HI",2,IF(E4130="LO",6,10))+IF(D4130=1,2,IF(D4130=7,1,(IF(WEEKDAY(B4130)=1,2,IF(WEEKDAY(B4130)=7,1,0))))))</f>
        <v>3</v>
      </c>
      <c r="G4130" s="369">
        <f>VLOOKUP(C4130,METADATA!$J$5:$Q$29,IF(E4130="HI",2,IF(E4130="LO",6,10))+IF(D4130=1,2,IF(D4130=7,1,(IF(WEEKDAY(B4130)=1,2,IF(WEEKDAY(B4130)=7,1,0))))))</f>
        <v>3</v>
      </c>
      <c r="H4130" s="370">
        <v>11283.299560546875</v>
      </c>
      <c r="I4130" s="370">
        <v>3242.6900024414063</v>
      </c>
      <c r="M4130" s="371">
        <f t="shared" si="257"/>
        <v>11740.012241261536</v>
      </c>
      <c r="N4130" s="329">
        <f t="shared" si="258"/>
        <v>0</v>
      </c>
      <c r="T4130" s="331">
        <v>0</v>
      </c>
      <c r="U4130" s="328">
        <f>VLOOKUP(C4130,METADATA!$J$5:$Q$29,IF(E4130="HI",2,IF(E4130="LO",6,10))+IF(T4130=1,2,IF(D4130=7,1,(IF(WEEKDAY(B4130)=1,2,IF(WEEKDAY(B4130)=7,1,0))))))</f>
        <v>3</v>
      </c>
      <c r="V4130" s="328">
        <f>VLOOKUP(C4130,METADATA!$A$5:$H$29,IF(E4130="HI",2,IF(E4130="LO",6,10))+IF(T4130=1,2,IF(D4130=7,1,(IF(WEEKDAY(B4130)=1,2,IF(WEEKDAY(B4130)=7,1,0))))))</f>
        <v>3</v>
      </c>
    </row>
    <row r="4131" spans="2:22">
      <c r="B4131" s="318">
        <f t="shared" si="259"/>
        <v>46284</v>
      </c>
      <c r="C4131" s="312">
        <v>23</v>
      </c>
      <c r="D4131" s="368">
        <f>IFERROR((INDEX(METADATA!$T$2:$T$20,MATCH(B4131,METADATA!$S$2:$S$20,0))),0)</f>
        <v>0</v>
      </c>
      <c r="E4131" s="312" t="str">
        <f t="shared" si="256"/>
        <v>LO</v>
      </c>
      <c r="F4131" s="369">
        <f>VLOOKUP(C4131,METADATA!$A$5:$H$29,IF(E4131="HI",2,IF(E4131="LO",6,10))+IF(D4131=1,2,IF(D4131=7,1,(IF(WEEKDAY(B4131)=1,2,IF(WEEKDAY(B4131)=7,1,0))))))</f>
        <v>3</v>
      </c>
      <c r="G4131" s="369">
        <f>VLOOKUP(C4131,METADATA!$J$5:$Q$29,IF(E4131="HI",2,IF(E4131="LO",6,10))+IF(D4131=1,2,IF(D4131=7,1,(IF(WEEKDAY(B4131)=1,2,IF(WEEKDAY(B4131)=7,1,0))))))</f>
        <v>3</v>
      </c>
      <c r="H4131" s="370">
        <v>11328.349975585938</v>
      </c>
      <c r="I4131" s="370">
        <v>3327.5299682617188</v>
      </c>
      <c r="M4131" s="371">
        <f t="shared" si="257"/>
        <v>11806.945788773563</v>
      </c>
      <c r="N4131" s="329">
        <f t="shared" si="258"/>
        <v>0</v>
      </c>
      <c r="T4131" s="331">
        <v>0</v>
      </c>
      <c r="U4131" s="328">
        <f>VLOOKUP(C4131,METADATA!$J$5:$Q$29,IF(E4131="HI",2,IF(E4131="LO",6,10))+IF(T4131=1,2,IF(D4131=7,1,(IF(WEEKDAY(B4131)=1,2,IF(WEEKDAY(B4131)=7,1,0))))))</f>
        <v>3</v>
      </c>
      <c r="V4131" s="328">
        <f>VLOOKUP(C4131,METADATA!$A$5:$H$29,IF(E4131="HI",2,IF(E4131="LO",6,10))+IF(T4131=1,2,IF(D4131=7,1,(IF(WEEKDAY(B4131)=1,2,IF(WEEKDAY(B4131)=7,1,0))))))</f>
        <v>3</v>
      </c>
    </row>
    <row r="4132" spans="2:22">
      <c r="B4132" s="318">
        <f t="shared" si="259"/>
        <v>46285</v>
      </c>
      <c r="C4132" s="312">
        <v>0</v>
      </c>
      <c r="D4132" s="368">
        <f>IFERROR((INDEX(METADATA!$T$2:$T$20,MATCH(B4132,METADATA!$S$2:$S$20,0))),0)</f>
        <v>0</v>
      </c>
      <c r="E4132" s="312" t="str">
        <f t="shared" si="256"/>
        <v>LO</v>
      </c>
      <c r="F4132" s="369">
        <f>VLOOKUP(C4132,METADATA!$A$5:$H$29,IF(E4132="HI",2,IF(E4132="LO",6,10))+IF(D4132=1,2,IF(D4132=7,1,(IF(WEEKDAY(B4132)=1,2,IF(WEEKDAY(B4132)=7,1,0))))))</f>
        <v>3</v>
      </c>
      <c r="G4132" s="369">
        <f>VLOOKUP(C4132,METADATA!$J$5:$Q$29,IF(E4132="HI",2,IF(E4132="LO",6,10))+IF(D4132=1,2,IF(D4132=7,1,(IF(WEEKDAY(B4132)=1,2,IF(WEEKDAY(B4132)=7,1,0))))))</f>
        <v>3</v>
      </c>
      <c r="H4132" s="370">
        <v>11446.574890136719</v>
      </c>
      <c r="I4132" s="370">
        <v>3418.7900390625</v>
      </c>
      <c r="M4132" s="371">
        <f t="shared" si="257"/>
        <v>11946.221245511126</v>
      </c>
      <c r="N4132" s="329">
        <f t="shared" si="258"/>
        <v>0</v>
      </c>
      <c r="T4132" s="331">
        <v>0</v>
      </c>
      <c r="U4132" s="328">
        <f>VLOOKUP(C4132,METADATA!$J$5:$Q$29,IF(E4132="HI",2,IF(E4132="LO",6,10))+IF(T4132=1,2,IF(D4132=7,1,(IF(WEEKDAY(B4132)=1,2,IF(WEEKDAY(B4132)=7,1,0))))))</f>
        <v>3</v>
      </c>
      <c r="V4132" s="328">
        <f>VLOOKUP(C4132,METADATA!$A$5:$H$29,IF(E4132="HI",2,IF(E4132="LO",6,10))+IF(T4132=1,2,IF(D4132=7,1,(IF(WEEKDAY(B4132)=1,2,IF(WEEKDAY(B4132)=7,1,0))))))</f>
        <v>3</v>
      </c>
    </row>
    <row r="4133" spans="2:22">
      <c r="B4133" s="318">
        <f t="shared" si="259"/>
        <v>46285</v>
      </c>
      <c r="C4133" s="312">
        <v>1</v>
      </c>
      <c r="D4133" s="368">
        <f>IFERROR((INDEX(METADATA!$T$2:$T$20,MATCH(B4133,METADATA!$S$2:$S$20,0))),0)</f>
        <v>0</v>
      </c>
      <c r="E4133" s="312" t="str">
        <f t="shared" si="256"/>
        <v>LO</v>
      </c>
      <c r="F4133" s="369">
        <f>VLOOKUP(C4133,METADATA!$A$5:$H$29,IF(E4133="HI",2,IF(E4133="LO",6,10))+IF(D4133=1,2,IF(D4133=7,1,(IF(WEEKDAY(B4133)=1,2,IF(WEEKDAY(B4133)=7,1,0))))))</f>
        <v>3</v>
      </c>
      <c r="G4133" s="369">
        <f>VLOOKUP(C4133,METADATA!$J$5:$Q$29,IF(E4133="HI",2,IF(E4133="LO",6,10))+IF(D4133=1,2,IF(D4133=7,1,(IF(WEEKDAY(B4133)=1,2,IF(WEEKDAY(B4133)=7,1,0))))))</f>
        <v>3</v>
      </c>
      <c r="H4133" s="370">
        <v>12838.450012207031</v>
      </c>
      <c r="I4133" s="370">
        <v>4097.1700134277344</v>
      </c>
      <c r="M4133" s="371">
        <f t="shared" si="257"/>
        <v>13476.371946294379</v>
      </c>
      <c r="N4133" s="329">
        <f t="shared" si="258"/>
        <v>245.635009765625</v>
      </c>
      <c r="T4133" s="331">
        <v>0</v>
      </c>
      <c r="U4133" s="328">
        <f>VLOOKUP(C4133,METADATA!$J$5:$Q$29,IF(E4133="HI",2,IF(E4133="LO",6,10))+IF(T4133=1,2,IF(D4133=7,1,(IF(WEEKDAY(B4133)=1,2,IF(WEEKDAY(B4133)=7,1,0))))))</f>
        <v>3</v>
      </c>
      <c r="V4133" s="328">
        <f>VLOOKUP(C4133,METADATA!$A$5:$H$29,IF(E4133="HI",2,IF(E4133="LO",6,10))+IF(T4133=1,2,IF(D4133=7,1,(IF(WEEKDAY(B4133)=1,2,IF(WEEKDAY(B4133)=7,1,0))))))</f>
        <v>3</v>
      </c>
    </row>
    <row r="4134" spans="2:22">
      <c r="B4134" s="318">
        <f t="shared" si="259"/>
        <v>46285</v>
      </c>
      <c r="C4134" s="312">
        <v>2</v>
      </c>
      <c r="D4134" s="368">
        <f>IFERROR((INDEX(METADATA!$T$2:$T$20,MATCH(B4134,METADATA!$S$2:$S$20,0))),0)</f>
        <v>0</v>
      </c>
      <c r="E4134" s="312" t="str">
        <f t="shared" si="256"/>
        <v>LO</v>
      </c>
      <c r="F4134" s="369">
        <f>VLOOKUP(C4134,METADATA!$A$5:$H$29,IF(E4134="HI",2,IF(E4134="LO",6,10))+IF(D4134=1,2,IF(D4134=7,1,(IF(WEEKDAY(B4134)=1,2,IF(WEEKDAY(B4134)=7,1,0))))))</f>
        <v>3</v>
      </c>
      <c r="G4134" s="369">
        <f>VLOOKUP(C4134,METADATA!$J$5:$Q$29,IF(E4134="HI",2,IF(E4134="LO",6,10))+IF(D4134=1,2,IF(D4134=7,1,(IF(WEEKDAY(B4134)=1,2,IF(WEEKDAY(B4134)=7,1,0))))))</f>
        <v>3</v>
      </c>
      <c r="H4134" s="370">
        <v>12765.602478027344</v>
      </c>
      <c r="I4134" s="370">
        <v>4026.9794311523438</v>
      </c>
      <c r="M4134" s="371">
        <f t="shared" si="257"/>
        <v>13385.70767520126</v>
      </c>
      <c r="N4134" s="329">
        <f t="shared" si="258"/>
        <v>197.29868774414081</v>
      </c>
      <c r="T4134" s="331">
        <v>0</v>
      </c>
      <c r="U4134" s="328">
        <f>VLOOKUP(C4134,METADATA!$J$5:$Q$29,IF(E4134="HI",2,IF(E4134="LO",6,10))+IF(T4134=1,2,IF(D4134=7,1,(IF(WEEKDAY(B4134)=1,2,IF(WEEKDAY(B4134)=7,1,0))))))</f>
        <v>3</v>
      </c>
      <c r="V4134" s="328">
        <f>VLOOKUP(C4134,METADATA!$A$5:$H$29,IF(E4134="HI",2,IF(E4134="LO",6,10))+IF(T4134=1,2,IF(D4134=7,1,(IF(WEEKDAY(B4134)=1,2,IF(WEEKDAY(B4134)=7,1,0))))))</f>
        <v>3</v>
      </c>
    </row>
    <row r="4135" spans="2:22">
      <c r="B4135" s="318">
        <f t="shared" si="259"/>
        <v>46285</v>
      </c>
      <c r="C4135" s="312">
        <v>3</v>
      </c>
      <c r="D4135" s="368">
        <f>IFERROR((INDEX(METADATA!$T$2:$T$20,MATCH(B4135,METADATA!$S$2:$S$20,0))),0)</f>
        <v>0</v>
      </c>
      <c r="E4135" s="312" t="str">
        <f t="shared" si="256"/>
        <v>LO</v>
      </c>
      <c r="F4135" s="369">
        <f>VLOOKUP(C4135,METADATA!$A$5:$H$29,IF(E4135="HI",2,IF(E4135="LO",6,10))+IF(D4135=1,2,IF(D4135=7,1,(IF(WEEKDAY(B4135)=1,2,IF(WEEKDAY(B4135)=7,1,0))))))</f>
        <v>3</v>
      </c>
      <c r="G4135" s="369">
        <f>VLOOKUP(C4135,METADATA!$J$5:$Q$29,IF(E4135="HI",2,IF(E4135="LO",6,10))+IF(D4135=1,2,IF(D4135=7,1,(IF(WEEKDAY(B4135)=1,2,IF(WEEKDAY(B4135)=7,1,0))))))</f>
        <v>3</v>
      </c>
      <c r="H4135" s="370">
        <v>12676.875122070313</v>
      </c>
      <c r="I4135" s="370">
        <v>3989.4950256347656</v>
      </c>
      <c r="M4135" s="371">
        <f t="shared" si="257"/>
        <v>13289.816906945322</v>
      </c>
      <c r="N4135" s="329">
        <f t="shared" si="258"/>
        <v>186.43248901367224</v>
      </c>
      <c r="T4135" s="331">
        <v>0</v>
      </c>
      <c r="U4135" s="328">
        <f>VLOOKUP(C4135,METADATA!$J$5:$Q$29,IF(E4135="HI",2,IF(E4135="LO",6,10))+IF(T4135=1,2,IF(D4135=7,1,(IF(WEEKDAY(B4135)=1,2,IF(WEEKDAY(B4135)=7,1,0))))))</f>
        <v>3</v>
      </c>
      <c r="V4135" s="328">
        <f>VLOOKUP(C4135,METADATA!$A$5:$H$29,IF(E4135="HI",2,IF(E4135="LO",6,10))+IF(T4135=1,2,IF(D4135=7,1,(IF(WEEKDAY(B4135)=1,2,IF(WEEKDAY(B4135)=7,1,0))))))</f>
        <v>3</v>
      </c>
    </row>
    <row r="4136" spans="2:22">
      <c r="B4136" s="318">
        <f t="shared" si="259"/>
        <v>46285</v>
      </c>
      <c r="C4136" s="312">
        <v>4</v>
      </c>
      <c r="D4136" s="368">
        <f>IFERROR((INDEX(METADATA!$T$2:$T$20,MATCH(B4136,METADATA!$S$2:$S$20,0))),0)</f>
        <v>0</v>
      </c>
      <c r="E4136" s="312" t="str">
        <f t="shared" si="256"/>
        <v>LO</v>
      </c>
      <c r="F4136" s="369">
        <f>VLOOKUP(C4136,METADATA!$A$5:$H$29,IF(E4136="HI",2,IF(E4136="LO",6,10))+IF(D4136=1,2,IF(D4136=7,1,(IF(WEEKDAY(B4136)=1,2,IF(WEEKDAY(B4136)=7,1,0))))))</f>
        <v>3</v>
      </c>
      <c r="G4136" s="369">
        <f>VLOOKUP(C4136,METADATA!$J$5:$Q$29,IF(E4136="HI",2,IF(E4136="LO",6,10))+IF(D4136=1,2,IF(D4136=7,1,(IF(WEEKDAY(B4136)=1,2,IF(WEEKDAY(B4136)=7,1,0))))))</f>
        <v>3</v>
      </c>
      <c r="H4136" s="370">
        <v>12747.000061035156</v>
      </c>
      <c r="I4136" s="370">
        <v>4054.1249694824219</v>
      </c>
      <c r="M4136" s="371">
        <f t="shared" si="257"/>
        <v>13376.170596408043</v>
      </c>
      <c r="N4136" s="329">
        <f t="shared" si="258"/>
        <v>230.02495117187527</v>
      </c>
      <c r="T4136" s="331">
        <v>0</v>
      </c>
      <c r="U4136" s="328">
        <f>VLOOKUP(C4136,METADATA!$J$5:$Q$29,IF(E4136="HI",2,IF(E4136="LO",6,10))+IF(T4136=1,2,IF(D4136=7,1,(IF(WEEKDAY(B4136)=1,2,IF(WEEKDAY(B4136)=7,1,0))))))</f>
        <v>3</v>
      </c>
      <c r="V4136" s="328">
        <f>VLOOKUP(C4136,METADATA!$A$5:$H$29,IF(E4136="HI",2,IF(E4136="LO",6,10))+IF(T4136=1,2,IF(D4136=7,1,(IF(WEEKDAY(B4136)=1,2,IF(WEEKDAY(B4136)=7,1,0))))))</f>
        <v>3</v>
      </c>
    </row>
    <row r="4137" spans="2:22">
      <c r="B4137" s="318">
        <f t="shared" si="259"/>
        <v>46285</v>
      </c>
      <c r="C4137" s="312">
        <v>5</v>
      </c>
      <c r="D4137" s="368">
        <f>IFERROR((INDEX(METADATA!$T$2:$T$20,MATCH(B4137,METADATA!$S$2:$S$20,0))),0)</f>
        <v>0</v>
      </c>
      <c r="E4137" s="312" t="str">
        <f t="shared" si="256"/>
        <v>LO</v>
      </c>
      <c r="F4137" s="369">
        <f>VLOOKUP(C4137,METADATA!$A$5:$H$29,IF(E4137="HI",2,IF(E4137="LO",6,10))+IF(D4137=1,2,IF(D4137=7,1,(IF(WEEKDAY(B4137)=1,2,IF(WEEKDAY(B4137)=7,1,0))))))</f>
        <v>3</v>
      </c>
      <c r="G4137" s="369">
        <f>VLOOKUP(C4137,METADATA!$J$5:$Q$29,IF(E4137="HI",2,IF(E4137="LO",6,10))+IF(D4137=1,2,IF(D4137=7,1,(IF(WEEKDAY(B4137)=1,2,IF(WEEKDAY(B4137)=7,1,0))))))</f>
        <v>3</v>
      </c>
      <c r="H4137" s="370">
        <v>12809.975158691406</v>
      </c>
      <c r="I4137" s="370">
        <v>3953.8999328613281</v>
      </c>
      <c r="M4137" s="371">
        <f t="shared" si="257"/>
        <v>13406.296589490019</v>
      </c>
      <c r="N4137" s="329">
        <f t="shared" si="258"/>
        <v>110.90738525390634</v>
      </c>
      <c r="T4137" s="331">
        <v>0</v>
      </c>
      <c r="U4137" s="328">
        <f>VLOOKUP(C4137,METADATA!$J$5:$Q$29,IF(E4137="HI",2,IF(E4137="LO",6,10))+IF(T4137=1,2,IF(D4137=7,1,(IF(WEEKDAY(B4137)=1,2,IF(WEEKDAY(B4137)=7,1,0))))))</f>
        <v>3</v>
      </c>
      <c r="V4137" s="328">
        <f>VLOOKUP(C4137,METADATA!$A$5:$H$29,IF(E4137="HI",2,IF(E4137="LO",6,10))+IF(T4137=1,2,IF(D4137=7,1,(IF(WEEKDAY(B4137)=1,2,IF(WEEKDAY(B4137)=7,1,0))))))</f>
        <v>3</v>
      </c>
    </row>
    <row r="4138" spans="2:22">
      <c r="B4138" s="318">
        <f t="shared" si="259"/>
        <v>46285</v>
      </c>
      <c r="C4138" s="312">
        <v>6</v>
      </c>
      <c r="D4138" s="368">
        <f>IFERROR((INDEX(METADATA!$T$2:$T$20,MATCH(B4138,METADATA!$S$2:$S$20,0))),0)</f>
        <v>0</v>
      </c>
      <c r="E4138" s="312" t="str">
        <f t="shared" si="256"/>
        <v>LO</v>
      </c>
      <c r="F4138" s="369">
        <f>VLOOKUP(C4138,METADATA!$A$5:$H$29,IF(E4138="HI",2,IF(E4138="LO",6,10))+IF(D4138=1,2,IF(D4138=7,1,(IF(WEEKDAY(B4138)=1,2,IF(WEEKDAY(B4138)=7,1,0))))))</f>
        <v>3</v>
      </c>
      <c r="G4138" s="369">
        <f>VLOOKUP(C4138,METADATA!$J$5:$Q$29,IF(E4138="HI",2,IF(E4138="LO",6,10))+IF(D4138=1,2,IF(D4138=7,1,(IF(WEEKDAY(B4138)=1,2,IF(WEEKDAY(B4138)=7,1,0))))))</f>
        <v>3</v>
      </c>
      <c r="H4138" s="370">
        <v>13000.374633789063</v>
      </c>
      <c r="I4138" s="370">
        <v>3987.2100219726563</v>
      </c>
      <c r="M4138" s="371">
        <f t="shared" si="257"/>
        <v>13598.07281853518</v>
      </c>
      <c r="N4138" s="329">
        <f t="shared" si="258"/>
        <v>87.097631835937591</v>
      </c>
      <c r="T4138" s="331">
        <v>0</v>
      </c>
      <c r="U4138" s="328">
        <f>VLOOKUP(C4138,METADATA!$J$5:$Q$29,IF(E4138="HI",2,IF(E4138="LO",6,10))+IF(T4138=1,2,IF(D4138=7,1,(IF(WEEKDAY(B4138)=1,2,IF(WEEKDAY(B4138)=7,1,0))))))</f>
        <v>3</v>
      </c>
      <c r="V4138" s="328">
        <f>VLOOKUP(C4138,METADATA!$A$5:$H$29,IF(E4138="HI",2,IF(E4138="LO",6,10))+IF(T4138=1,2,IF(D4138=7,1,(IF(WEEKDAY(B4138)=1,2,IF(WEEKDAY(B4138)=7,1,0))))))</f>
        <v>3</v>
      </c>
    </row>
    <row r="4139" spans="2:22">
      <c r="B4139" s="318">
        <f t="shared" si="259"/>
        <v>46285</v>
      </c>
      <c r="C4139" s="312">
        <v>7</v>
      </c>
      <c r="D4139" s="368">
        <f>IFERROR((INDEX(METADATA!$T$2:$T$20,MATCH(B4139,METADATA!$S$2:$S$20,0))),0)</f>
        <v>0</v>
      </c>
      <c r="E4139" s="312" t="str">
        <f t="shared" si="256"/>
        <v>LO</v>
      </c>
      <c r="F4139" s="369">
        <f>VLOOKUP(C4139,METADATA!$A$5:$H$29,IF(E4139="HI",2,IF(E4139="LO",6,10))+IF(D4139=1,2,IF(D4139=7,1,(IF(WEEKDAY(B4139)=1,2,IF(WEEKDAY(B4139)=7,1,0))))))</f>
        <v>3</v>
      </c>
      <c r="G4139" s="369">
        <f>VLOOKUP(C4139,METADATA!$J$5:$Q$29,IF(E4139="HI",2,IF(E4139="LO",6,10))+IF(D4139=1,2,IF(D4139=7,1,(IF(WEEKDAY(B4139)=1,2,IF(WEEKDAY(B4139)=7,1,0))))))</f>
        <v>3</v>
      </c>
      <c r="H4139" s="370">
        <v>13089.275146484375</v>
      </c>
      <c r="I4139" s="370">
        <v>4019.6350402832031</v>
      </c>
      <c r="M4139" s="371">
        <f t="shared" si="257"/>
        <v>13692.574254589459</v>
      </c>
      <c r="N4139" s="329">
        <f t="shared" si="258"/>
        <v>92.852496337890898</v>
      </c>
      <c r="T4139" s="331">
        <v>0</v>
      </c>
      <c r="U4139" s="328">
        <f>VLOOKUP(C4139,METADATA!$J$5:$Q$29,IF(E4139="HI",2,IF(E4139="LO",6,10))+IF(T4139=1,2,IF(D4139=7,1,(IF(WEEKDAY(B4139)=1,2,IF(WEEKDAY(B4139)=7,1,0))))))</f>
        <v>3</v>
      </c>
      <c r="V4139" s="328">
        <f>VLOOKUP(C4139,METADATA!$A$5:$H$29,IF(E4139="HI",2,IF(E4139="LO",6,10))+IF(T4139=1,2,IF(D4139=7,1,(IF(WEEKDAY(B4139)=1,2,IF(WEEKDAY(B4139)=7,1,0))))))</f>
        <v>3</v>
      </c>
    </row>
    <row r="4140" spans="2:22">
      <c r="B4140" s="318">
        <f t="shared" si="259"/>
        <v>46285</v>
      </c>
      <c r="C4140" s="312">
        <v>8</v>
      </c>
      <c r="D4140" s="368">
        <f>IFERROR((INDEX(METADATA!$T$2:$T$20,MATCH(B4140,METADATA!$S$2:$S$20,0))),0)</f>
        <v>0</v>
      </c>
      <c r="E4140" s="312" t="str">
        <f t="shared" si="256"/>
        <v>LO</v>
      </c>
      <c r="F4140" s="369">
        <f>VLOOKUP(C4140,METADATA!$A$5:$H$29,IF(E4140="HI",2,IF(E4140="LO",6,10))+IF(D4140=1,2,IF(D4140=7,1,(IF(WEEKDAY(B4140)=1,2,IF(WEEKDAY(B4140)=7,1,0))))))</f>
        <v>3</v>
      </c>
      <c r="G4140" s="369">
        <f>VLOOKUP(C4140,METADATA!$J$5:$Q$29,IF(E4140="HI",2,IF(E4140="LO",6,10))+IF(D4140=1,2,IF(D4140=7,1,(IF(WEEKDAY(B4140)=1,2,IF(WEEKDAY(B4140)=7,1,0))))))</f>
        <v>3</v>
      </c>
      <c r="H4140" s="370">
        <v>12855.424865722656</v>
      </c>
      <c r="I4140" s="370">
        <v>4066.659912109375</v>
      </c>
      <c r="M4140" s="371">
        <f t="shared" si="257"/>
        <v>13483.310844113837</v>
      </c>
      <c r="N4140" s="329">
        <f t="shared" si="258"/>
        <v>210.03245239257831</v>
      </c>
      <c r="T4140" s="331">
        <v>0</v>
      </c>
      <c r="U4140" s="328">
        <f>VLOOKUP(C4140,METADATA!$J$5:$Q$29,IF(E4140="HI",2,IF(E4140="LO",6,10))+IF(T4140=1,2,IF(D4140=7,1,(IF(WEEKDAY(B4140)=1,2,IF(WEEKDAY(B4140)=7,1,0))))))</f>
        <v>3</v>
      </c>
      <c r="V4140" s="328">
        <f>VLOOKUP(C4140,METADATA!$A$5:$H$29,IF(E4140="HI",2,IF(E4140="LO",6,10))+IF(T4140=1,2,IF(D4140=7,1,(IF(WEEKDAY(B4140)=1,2,IF(WEEKDAY(B4140)=7,1,0))))))</f>
        <v>3</v>
      </c>
    </row>
    <row r="4141" spans="2:22">
      <c r="B4141" s="318">
        <f t="shared" si="259"/>
        <v>46285</v>
      </c>
      <c r="C4141" s="312">
        <v>9</v>
      </c>
      <c r="D4141" s="368">
        <f>IFERROR((INDEX(METADATA!$T$2:$T$20,MATCH(B4141,METADATA!$S$2:$S$20,0))),0)</f>
        <v>0</v>
      </c>
      <c r="E4141" s="312" t="str">
        <f t="shared" si="256"/>
        <v>LO</v>
      </c>
      <c r="F4141" s="369">
        <f>VLOOKUP(C4141,METADATA!$A$5:$H$29,IF(E4141="HI",2,IF(E4141="LO",6,10))+IF(D4141=1,2,IF(D4141=7,1,(IF(WEEKDAY(B4141)=1,2,IF(WEEKDAY(B4141)=7,1,0))))))</f>
        <v>3</v>
      </c>
      <c r="G4141" s="369">
        <f>VLOOKUP(C4141,METADATA!$J$5:$Q$29,IF(E4141="HI",2,IF(E4141="LO",6,10))+IF(D4141=1,2,IF(D4141=7,1,(IF(WEEKDAY(B4141)=1,2,IF(WEEKDAY(B4141)=7,1,0))))))</f>
        <v>3</v>
      </c>
      <c r="H4141" s="370">
        <v>9978.6499633789063</v>
      </c>
      <c r="I4141" s="370">
        <v>2702.5424652099609</v>
      </c>
      <c r="M4141" s="371">
        <f t="shared" si="257"/>
        <v>10338.142525033449</v>
      </c>
      <c r="N4141" s="329">
        <f t="shared" si="258"/>
        <v>0</v>
      </c>
      <c r="T4141" s="331">
        <v>0</v>
      </c>
      <c r="U4141" s="328">
        <f>VLOOKUP(C4141,METADATA!$J$5:$Q$29,IF(E4141="HI",2,IF(E4141="LO",6,10))+IF(T4141=1,2,IF(D4141=7,1,(IF(WEEKDAY(B4141)=1,2,IF(WEEKDAY(B4141)=7,1,0))))))</f>
        <v>3</v>
      </c>
      <c r="V4141" s="328">
        <f>VLOOKUP(C4141,METADATA!$A$5:$H$29,IF(E4141="HI",2,IF(E4141="LO",6,10))+IF(T4141=1,2,IF(D4141=7,1,(IF(WEEKDAY(B4141)=1,2,IF(WEEKDAY(B4141)=7,1,0))))))</f>
        <v>3</v>
      </c>
    </row>
    <row r="4142" spans="2:22">
      <c r="B4142" s="318">
        <f t="shared" si="259"/>
        <v>46285</v>
      </c>
      <c r="C4142" s="312">
        <v>10</v>
      </c>
      <c r="D4142" s="368">
        <f>IFERROR((INDEX(METADATA!$T$2:$T$20,MATCH(B4142,METADATA!$S$2:$S$20,0))),0)</f>
        <v>0</v>
      </c>
      <c r="E4142" s="312" t="str">
        <f t="shared" si="256"/>
        <v>LO</v>
      </c>
      <c r="F4142" s="369">
        <f>VLOOKUP(C4142,METADATA!$A$5:$H$29,IF(E4142="HI",2,IF(E4142="LO",6,10))+IF(D4142=1,2,IF(D4142=7,1,(IF(WEEKDAY(B4142)=1,2,IF(WEEKDAY(B4142)=7,1,0))))))</f>
        <v>3</v>
      </c>
      <c r="G4142" s="369">
        <f>VLOOKUP(C4142,METADATA!$J$5:$Q$29,IF(E4142="HI",2,IF(E4142="LO",6,10))+IF(D4142=1,2,IF(D4142=7,1,(IF(WEEKDAY(B4142)=1,2,IF(WEEKDAY(B4142)=7,1,0))))))</f>
        <v>3</v>
      </c>
      <c r="H4142" s="370">
        <v>5487.3174133300781</v>
      </c>
      <c r="I4142" s="370">
        <v>1628.2050170898438</v>
      </c>
      <c r="M4142" s="371">
        <f t="shared" si="257"/>
        <v>5723.7840605941828</v>
      </c>
      <c r="N4142" s="329">
        <f t="shared" si="258"/>
        <v>0</v>
      </c>
      <c r="T4142" s="331">
        <v>0</v>
      </c>
      <c r="U4142" s="328">
        <f>VLOOKUP(C4142,METADATA!$J$5:$Q$29,IF(E4142="HI",2,IF(E4142="LO",6,10))+IF(T4142=1,2,IF(D4142=7,1,(IF(WEEKDAY(B4142)=1,2,IF(WEEKDAY(B4142)=7,1,0))))))</f>
        <v>3</v>
      </c>
      <c r="V4142" s="328">
        <f>VLOOKUP(C4142,METADATA!$A$5:$H$29,IF(E4142="HI",2,IF(E4142="LO",6,10))+IF(T4142=1,2,IF(D4142=7,1,(IF(WEEKDAY(B4142)=1,2,IF(WEEKDAY(B4142)=7,1,0))))))</f>
        <v>3</v>
      </c>
    </row>
    <row r="4143" spans="2:22">
      <c r="B4143" s="318">
        <f t="shared" si="259"/>
        <v>46285</v>
      </c>
      <c r="C4143" s="312">
        <v>11</v>
      </c>
      <c r="D4143" s="368">
        <f>IFERROR((INDEX(METADATA!$T$2:$T$20,MATCH(B4143,METADATA!$S$2:$S$20,0))),0)</f>
        <v>0</v>
      </c>
      <c r="E4143" s="312" t="str">
        <f t="shared" si="256"/>
        <v>LO</v>
      </c>
      <c r="F4143" s="369">
        <f>VLOOKUP(C4143,METADATA!$A$5:$H$29,IF(E4143="HI",2,IF(E4143="LO",6,10))+IF(D4143=1,2,IF(D4143=7,1,(IF(WEEKDAY(B4143)=1,2,IF(WEEKDAY(B4143)=7,1,0))))))</f>
        <v>3</v>
      </c>
      <c r="G4143" s="369">
        <f>VLOOKUP(C4143,METADATA!$J$5:$Q$29,IF(E4143="HI",2,IF(E4143="LO",6,10))+IF(D4143=1,2,IF(D4143=7,1,(IF(WEEKDAY(B4143)=1,2,IF(WEEKDAY(B4143)=7,1,0))))))</f>
        <v>3</v>
      </c>
      <c r="H4143" s="370">
        <v>4951.4425354003906</v>
      </c>
      <c r="I4143" s="370">
        <v>1730.5199584960938</v>
      </c>
      <c r="M4143" s="371">
        <f t="shared" si="257"/>
        <v>5245.1389407837014</v>
      </c>
      <c r="N4143" s="329">
        <f t="shared" si="258"/>
        <v>245.0871978759767</v>
      </c>
      <c r="T4143" s="331">
        <v>0</v>
      </c>
      <c r="U4143" s="328">
        <f>VLOOKUP(C4143,METADATA!$J$5:$Q$29,IF(E4143="HI",2,IF(E4143="LO",6,10))+IF(T4143=1,2,IF(D4143=7,1,(IF(WEEKDAY(B4143)=1,2,IF(WEEKDAY(B4143)=7,1,0))))))</f>
        <v>3</v>
      </c>
      <c r="V4143" s="328">
        <f>VLOOKUP(C4143,METADATA!$A$5:$H$29,IF(E4143="HI",2,IF(E4143="LO",6,10))+IF(T4143=1,2,IF(D4143=7,1,(IF(WEEKDAY(B4143)=1,2,IF(WEEKDAY(B4143)=7,1,0))))))</f>
        <v>3</v>
      </c>
    </row>
    <row r="4144" spans="2:22">
      <c r="B4144" s="318">
        <f t="shared" si="259"/>
        <v>46285</v>
      </c>
      <c r="C4144" s="312">
        <v>12</v>
      </c>
      <c r="D4144" s="368">
        <f>IFERROR((INDEX(METADATA!$T$2:$T$20,MATCH(B4144,METADATA!$S$2:$S$20,0))),0)</f>
        <v>0</v>
      </c>
      <c r="E4144" s="312" t="str">
        <f t="shared" si="256"/>
        <v>LO</v>
      </c>
      <c r="F4144" s="369">
        <f>VLOOKUP(C4144,METADATA!$A$5:$H$29,IF(E4144="HI",2,IF(E4144="LO",6,10))+IF(D4144=1,2,IF(D4144=7,1,(IF(WEEKDAY(B4144)=1,2,IF(WEEKDAY(B4144)=7,1,0))))))</f>
        <v>3</v>
      </c>
      <c r="G4144" s="369">
        <f>VLOOKUP(C4144,METADATA!$J$5:$Q$29,IF(E4144="HI",2,IF(E4144="LO",6,10))+IF(D4144=1,2,IF(D4144=7,1,(IF(WEEKDAY(B4144)=1,2,IF(WEEKDAY(B4144)=7,1,0))))))</f>
        <v>3</v>
      </c>
      <c r="H4144" s="370">
        <v>4855.054931640625</v>
      </c>
      <c r="I4144" s="370">
        <v>1751.8325500488281</v>
      </c>
      <c r="M4144" s="371">
        <f t="shared" si="257"/>
        <v>5161.4412398726899</v>
      </c>
      <c r="N4144" s="329">
        <f t="shared" si="258"/>
        <v>295.31607055664063</v>
      </c>
      <c r="T4144" s="331">
        <v>0</v>
      </c>
      <c r="U4144" s="328">
        <f>VLOOKUP(C4144,METADATA!$J$5:$Q$29,IF(E4144="HI",2,IF(E4144="LO",6,10))+IF(T4144=1,2,IF(D4144=7,1,(IF(WEEKDAY(B4144)=1,2,IF(WEEKDAY(B4144)=7,1,0))))))</f>
        <v>3</v>
      </c>
      <c r="V4144" s="328">
        <f>VLOOKUP(C4144,METADATA!$A$5:$H$29,IF(E4144="HI",2,IF(E4144="LO",6,10))+IF(T4144=1,2,IF(D4144=7,1,(IF(WEEKDAY(B4144)=1,2,IF(WEEKDAY(B4144)=7,1,0))))))</f>
        <v>3</v>
      </c>
    </row>
    <row r="4145" spans="2:22">
      <c r="B4145" s="318">
        <f t="shared" si="259"/>
        <v>46285</v>
      </c>
      <c r="C4145" s="312">
        <v>13</v>
      </c>
      <c r="D4145" s="368">
        <f>IFERROR((INDEX(METADATA!$T$2:$T$20,MATCH(B4145,METADATA!$S$2:$S$20,0))),0)</f>
        <v>0</v>
      </c>
      <c r="E4145" s="312" t="str">
        <f t="shared" si="256"/>
        <v>LO</v>
      </c>
      <c r="F4145" s="369">
        <f>VLOOKUP(C4145,METADATA!$A$5:$H$29,IF(E4145="HI",2,IF(E4145="LO",6,10))+IF(D4145=1,2,IF(D4145=7,1,(IF(WEEKDAY(B4145)=1,2,IF(WEEKDAY(B4145)=7,1,0))))))</f>
        <v>3</v>
      </c>
      <c r="G4145" s="369">
        <f>VLOOKUP(C4145,METADATA!$J$5:$Q$29,IF(E4145="HI",2,IF(E4145="LO",6,10))+IF(D4145=1,2,IF(D4145=7,1,(IF(WEEKDAY(B4145)=1,2,IF(WEEKDAY(B4145)=7,1,0))))))</f>
        <v>3</v>
      </c>
      <c r="H4145" s="370">
        <v>4704.9249267578125</v>
      </c>
      <c r="I4145" s="370">
        <v>1649.7349853515625</v>
      </c>
      <c r="M4145" s="371">
        <f t="shared" si="257"/>
        <v>4985.7741714120912</v>
      </c>
      <c r="N4145" s="329">
        <f t="shared" si="258"/>
        <v>238.25750732421875</v>
      </c>
      <c r="T4145" s="331">
        <v>0</v>
      </c>
      <c r="U4145" s="328">
        <f>VLOOKUP(C4145,METADATA!$J$5:$Q$29,IF(E4145="HI",2,IF(E4145="LO",6,10))+IF(T4145=1,2,IF(D4145=7,1,(IF(WEEKDAY(B4145)=1,2,IF(WEEKDAY(B4145)=7,1,0))))))</f>
        <v>3</v>
      </c>
      <c r="V4145" s="328">
        <f>VLOOKUP(C4145,METADATA!$A$5:$H$29,IF(E4145="HI",2,IF(E4145="LO",6,10))+IF(T4145=1,2,IF(D4145=7,1,(IF(WEEKDAY(B4145)=1,2,IF(WEEKDAY(B4145)=7,1,0))))))</f>
        <v>3</v>
      </c>
    </row>
    <row r="4146" spans="2:22">
      <c r="B4146" s="318">
        <f t="shared" si="259"/>
        <v>46285</v>
      </c>
      <c r="C4146" s="312">
        <v>14</v>
      </c>
      <c r="D4146" s="368">
        <f>IFERROR((INDEX(METADATA!$T$2:$T$20,MATCH(B4146,METADATA!$S$2:$S$20,0))),0)</f>
        <v>0</v>
      </c>
      <c r="E4146" s="312" t="str">
        <f t="shared" si="256"/>
        <v>LO</v>
      </c>
      <c r="F4146" s="369">
        <f>VLOOKUP(C4146,METADATA!$A$5:$H$29,IF(E4146="HI",2,IF(E4146="LO",6,10))+IF(D4146=1,2,IF(D4146=7,1,(IF(WEEKDAY(B4146)=1,2,IF(WEEKDAY(B4146)=7,1,0))))))</f>
        <v>3</v>
      </c>
      <c r="G4146" s="369">
        <f>VLOOKUP(C4146,METADATA!$J$5:$Q$29,IF(E4146="HI",2,IF(E4146="LO",6,10))+IF(D4146=1,2,IF(D4146=7,1,(IF(WEEKDAY(B4146)=1,2,IF(WEEKDAY(B4146)=7,1,0))))))</f>
        <v>3</v>
      </c>
      <c r="H4146" s="370">
        <v>4693.8099975585938</v>
      </c>
      <c r="I4146" s="370">
        <v>1538.1374816894531</v>
      </c>
      <c r="M4146" s="371">
        <f t="shared" si="257"/>
        <v>4939.4047420472616</v>
      </c>
      <c r="N4146" s="329">
        <f t="shared" si="258"/>
        <v>129.99448242187509</v>
      </c>
      <c r="T4146" s="331">
        <v>0</v>
      </c>
      <c r="U4146" s="328">
        <f>VLOOKUP(C4146,METADATA!$J$5:$Q$29,IF(E4146="HI",2,IF(E4146="LO",6,10))+IF(T4146=1,2,IF(D4146=7,1,(IF(WEEKDAY(B4146)=1,2,IF(WEEKDAY(B4146)=7,1,0))))))</f>
        <v>3</v>
      </c>
      <c r="V4146" s="328">
        <f>VLOOKUP(C4146,METADATA!$A$5:$H$29,IF(E4146="HI",2,IF(E4146="LO",6,10))+IF(T4146=1,2,IF(D4146=7,1,(IF(WEEKDAY(B4146)=1,2,IF(WEEKDAY(B4146)=7,1,0))))))</f>
        <v>3</v>
      </c>
    </row>
    <row r="4147" spans="2:22">
      <c r="B4147" s="318">
        <f t="shared" si="259"/>
        <v>46285</v>
      </c>
      <c r="C4147" s="312">
        <v>15</v>
      </c>
      <c r="D4147" s="368">
        <f>IFERROR((INDEX(METADATA!$T$2:$T$20,MATCH(B4147,METADATA!$S$2:$S$20,0))),0)</f>
        <v>0</v>
      </c>
      <c r="E4147" s="312" t="str">
        <f t="shared" si="256"/>
        <v>LO</v>
      </c>
      <c r="F4147" s="369">
        <f>VLOOKUP(C4147,METADATA!$A$5:$H$29,IF(E4147="HI",2,IF(E4147="LO",6,10))+IF(D4147=1,2,IF(D4147=7,1,(IF(WEEKDAY(B4147)=1,2,IF(WEEKDAY(B4147)=7,1,0))))))</f>
        <v>3</v>
      </c>
      <c r="G4147" s="369">
        <f>VLOOKUP(C4147,METADATA!$J$5:$Q$29,IF(E4147="HI",2,IF(E4147="LO",6,10))+IF(D4147=1,2,IF(D4147=7,1,(IF(WEEKDAY(B4147)=1,2,IF(WEEKDAY(B4147)=7,1,0))))))</f>
        <v>3</v>
      </c>
      <c r="H4147" s="370">
        <v>6766.7525329589844</v>
      </c>
      <c r="I4147" s="370">
        <v>1832.9524383544922</v>
      </c>
      <c r="M4147" s="371">
        <f t="shared" si="257"/>
        <v>7010.6101363274011</v>
      </c>
      <c r="N4147" s="329">
        <f t="shared" si="258"/>
        <v>0</v>
      </c>
      <c r="T4147" s="331">
        <v>0</v>
      </c>
      <c r="U4147" s="328">
        <f>VLOOKUP(C4147,METADATA!$J$5:$Q$29,IF(E4147="HI",2,IF(E4147="LO",6,10))+IF(T4147=1,2,IF(D4147=7,1,(IF(WEEKDAY(B4147)=1,2,IF(WEEKDAY(B4147)=7,1,0))))))</f>
        <v>3</v>
      </c>
      <c r="V4147" s="328">
        <f>VLOOKUP(C4147,METADATA!$A$5:$H$29,IF(E4147="HI",2,IF(E4147="LO",6,10))+IF(T4147=1,2,IF(D4147=7,1,(IF(WEEKDAY(B4147)=1,2,IF(WEEKDAY(B4147)=7,1,0))))))</f>
        <v>3</v>
      </c>
    </row>
    <row r="4148" spans="2:22">
      <c r="B4148" s="318">
        <f t="shared" si="259"/>
        <v>46285</v>
      </c>
      <c r="C4148" s="312">
        <v>16</v>
      </c>
      <c r="D4148" s="368">
        <f>IFERROR((INDEX(METADATA!$T$2:$T$20,MATCH(B4148,METADATA!$S$2:$S$20,0))),0)</f>
        <v>0</v>
      </c>
      <c r="E4148" s="312" t="str">
        <f t="shared" si="256"/>
        <v>LO</v>
      </c>
      <c r="F4148" s="369">
        <f>VLOOKUP(C4148,METADATA!$A$5:$H$29,IF(E4148="HI",2,IF(E4148="LO",6,10))+IF(D4148=1,2,IF(D4148=7,1,(IF(WEEKDAY(B4148)=1,2,IF(WEEKDAY(B4148)=7,1,0))))))</f>
        <v>3</v>
      </c>
      <c r="G4148" s="369">
        <f>VLOOKUP(C4148,METADATA!$J$5:$Q$29,IF(E4148="HI",2,IF(E4148="LO",6,10))+IF(D4148=1,2,IF(D4148=7,1,(IF(WEEKDAY(B4148)=1,2,IF(WEEKDAY(B4148)=7,1,0))))))</f>
        <v>3</v>
      </c>
      <c r="H4148" s="370">
        <v>10762.825347900391</v>
      </c>
      <c r="I4148" s="370">
        <v>3038.3524475097656</v>
      </c>
      <c r="M4148" s="371">
        <f t="shared" si="257"/>
        <v>11183.469723869053</v>
      </c>
      <c r="N4148" s="329">
        <f t="shared" si="258"/>
        <v>0</v>
      </c>
      <c r="T4148" s="331">
        <v>0</v>
      </c>
      <c r="U4148" s="328">
        <f>VLOOKUP(C4148,METADATA!$J$5:$Q$29,IF(E4148="HI",2,IF(E4148="LO",6,10))+IF(T4148=1,2,IF(D4148=7,1,(IF(WEEKDAY(B4148)=1,2,IF(WEEKDAY(B4148)=7,1,0))))))</f>
        <v>3</v>
      </c>
      <c r="V4148" s="328">
        <f>VLOOKUP(C4148,METADATA!$A$5:$H$29,IF(E4148="HI",2,IF(E4148="LO",6,10))+IF(T4148=1,2,IF(D4148=7,1,(IF(WEEKDAY(B4148)=1,2,IF(WEEKDAY(B4148)=7,1,0))))))</f>
        <v>3</v>
      </c>
    </row>
    <row r="4149" spans="2:22">
      <c r="B4149" s="318">
        <f t="shared" si="259"/>
        <v>46285</v>
      </c>
      <c r="C4149" s="312">
        <v>17</v>
      </c>
      <c r="D4149" s="368">
        <f>IFERROR((INDEX(METADATA!$T$2:$T$20,MATCH(B4149,METADATA!$S$2:$S$20,0))),0)</f>
        <v>0</v>
      </c>
      <c r="E4149" s="312" t="str">
        <f t="shared" si="256"/>
        <v>LO</v>
      </c>
      <c r="F4149" s="369">
        <f>VLOOKUP(C4149,METADATA!$A$5:$H$29,IF(E4149="HI",2,IF(E4149="LO",6,10))+IF(D4149=1,2,IF(D4149=7,1,(IF(WEEKDAY(B4149)=1,2,IF(WEEKDAY(B4149)=7,1,0))))))</f>
        <v>3</v>
      </c>
      <c r="G4149" s="369">
        <f>VLOOKUP(C4149,METADATA!$J$5:$Q$29,IF(E4149="HI",2,IF(E4149="LO",6,10))+IF(D4149=1,2,IF(D4149=7,1,(IF(WEEKDAY(B4149)=1,2,IF(WEEKDAY(B4149)=7,1,0))))))</f>
        <v>3</v>
      </c>
      <c r="H4149" s="370">
        <v>8516.72509765625</v>
      </c>
      <c r="I4149" s="370">
        <v>2619.41748046875</v>
      </c>
      <c r="M4149" s="371">
        <f t="shared" si="257"/>
        <v>8910.4407481354774</v>
      </c>
      <c r="N4149" s="329">
        <f t="shared" si="258"/>
        <v>64.399951171875273</v>
      </c>
      <c r="T4149" s="331">
        <v>0</v>
      </c>
      <c r="U4149" s="328">
        <f>VLOOKUP(C4149,METADATA!$J$5:$Q$29,IF(E4149="HI",2,IF(E4149="LO",6,10))+IF(T4149=1,2,IF(D4149=7,1,(IF(WEEKDAY(B4149)=1,2,IF(WEEKDAY(B4149)=7,1,0))))))</f>
        <v>3</v>
      </c>
      <c r="V4149" s="328">
        <f>VLOOKUP(C4149,METADATA!$A$5:$H$29,IF(E4149="HI",2,IF(E4149="LO",6,10))+IF(T4149=1,2,IF(D4149=7,1,(IF(WEEKDAY(B4149)=1,2,IF(WEEKDAY(B4149)=7,1,0))))))</f>
        <v>3</v>
      </c>
    </row>
    <row r="4150" spans="2:22">
      <c r="B4150" s="318">
        <f t="shared" si="259"/>
        <v>46285</v>
      </c>
      <c r="C4150" s="312">
        <v>18</v>
      </c>
      <c r="D4150" s="368">
        <f>IFERROR((INDEX(METADATA!$T$2:$T$20,MATCH(B4150,METADATA!$S$2:$S$20,0))),0)</f>
        <v>0</v>
      </c>
      <c r="E4150" s="312" t="str">
        <f t="shared" si="256"/>
        <v>LO</v>
      </c>
      <c r="F4150" s="369">
        <f>VLOOKUP(C4150,METADATA!$A$5:$H$29,IF(E4150="HI",2,IF(E4150="LO",6,10))+IF(D4150=1,2,IF(D4150=7,1,(IF(WEEKDAY(B4150)=1,2,IF(WEEKDAY(B4150)=7,1,0))))))</f>
        <v>2</v>
      </c>
      <c r="G4150" s="369">
        <f>VLOOKUP(C4150,METADATA!$J$5:$Q$29,IF(E4150="HI",2,IF(E4150="LO",6,10))+IF(D4150=1,2,IF(D4150=7,1,(IF(WEEKDAY(B4150)=1,2,IF(WEEKDAY(B4150)=7,1,0))))))</f>
        <v>2</v>
      </c>
      <c r="H4150" s="370">
        <v>9216.4251708984375</v>
      </c>
      <c r="I4150" s="370">
        <v>2691.9599747657776</v>
      </c>
      <c r="M4150" s="371">
        <f t="shared" si="257"/>
        <v>9601.5176631880058</v>
      </c>
      <c r="N4150" s="329">
        <f t="shared" si="258"/>
        <v>0</v>
      </c>
      <c r="T4150" s="331">
        <v>0</v>
      </c>
      <c r="U4150" s="328">
        <f>VLOOKUP(C4150,METADATA!$J$5:$Q$29,IF(E4150="HI",2,IF(E4150="LO",6,10))+IF(T4150=1,2,IF(D4150=7,1,(IF(WEEKDAY(B4150)=1,2,IF(WEEKDAY(B4150)=7,1,0))))))</f>
        <v>2</v>
      </c>
      <c r="V4150" s="328">
        <f>VLOOKUP(C4150,METADATA!$A$5:$H$29,IF(E4150="HI",2,IF(E4150="LO",6,10))+IF(T4150=1,2,IF(D4150=7,1,(IF(WEEKDAY(B4150)=1,2,IF(WEEKDAY(B4150)=7,1,0))))))</f>
        <v>2</v>
      </c>
    </row>
    <row r="4151" spans="2:22">
      <c r="B4151" s="318">
        <f t="shared" si="259"/>
        <v>46285</v>
      </c>
      <c r="C4151" s="312">
        <v>19</v>
      </c>
      <c r="D4151" s="368">
        <f>IFERROR((INDEX(METADATA!$T$2:$T$20,MATCH(B4151,METADATA!$S$2:$S$20,0))),0)</f>
        <v>0</v>
      </c>
      <c r="E4151" s="312" t="str">
        <f t="shared" si="256"/>
        <v>LO</v>
      </c>
      <c r="F4151" s="369">
        <f>VLOOKUP(C4151,METADATA!$A$5:$H$29,IF(E4151="HI",2,IF(E4151="LO",6,10))+IF(D4151=1,2,IF(D4151=7,1,(IF(WEEKDAY(B4151)=1,2,IF(WEEKDAY(B4151)=7,1,0))))))</f>
        <v>2</v>
      </c>
      <c r="G4151" s="369">
        <f>VLOOKUP(C4151,METADATA!$J$5:$Q$29,IF(E4151="HI",2,IF(E4151="LO",6,10))+IF(D4151=1,2,IF(D4151=7,1,(IF(WEEKDAY(B4151)=1,2,IF(WEEKDAY(B4151)=7,1,0))))))</f>
        <v>2</v>
      </c>
      <c r="H4151" s="370">
        <v>8048.9498901367188</v>
      </c>
      <c r="I4151" s="370">
        <v>2592.0999755859375</v>
      </c>
      <c r="M4151" s="371">
        <f t="shared" si="257"/>
        <v>8456.0378793714317</v>
      </c>
      <c r="N4151" s="329">
        <f t="shared" si="258"/>
        <v>177.41500854492188</v>
      </c>
      <c r="T4151" s="331">
        <v>0</v>
      </c>
      <c r="U4151" s="328">
        <f>VLOOKUP(C4151,METADATA!$J$5:$Q$29,IF(E4151="HI",2,IF(E4151="LO",6,10))+IF(T4151=1,2,IF(D4151=7,1,(IF(WEEKDAY(B4151)=1,2,IF(WEEKDAY(B4151)=7,1,0))))))</f>
        <v>2</v>
      </c>
      <c r="V4151" s="328">
        <f>VLOOKUP(C4151,METADATA!$A$5:$H$29,IF(E4151="HI",2,IF(E4151="LO",6,10))+IF(T4151=1,2,IF(D4151=7,1,(IF(WEEKDAY(B4151)=1,2,IF(WEEKDAY(B4151)=7,1,0))))))</f>
        <v>2</v>
      </c>
    </row>
    <row r="4152" spans="2:22">
      <c r="B4152" s="318">
        <f t="shared" si="259"/>
        <v>46285</v>
      </c>
      <c r="C4152" s="312">
        <v>20</v>
      </c>
      <c r="D4152" s="368">
        <f>IFERROR((INDEX(METADATA!$T$2:$T$20,MATCH(B4152,METADATA!$S$2:$S$20,0))),0)</f>
        <v>0</v>
      </c>
      <c r="E4152" s="312" t="str">
        <f t="shared" si="256"/>
        <v>LO</v>
      </c>
      <c r="F4152" s="369">
        <f>VLOOKUP(C4152,METADATA!$A$5:$H$29,IF(E4152="HI",2,IF(E4152="LO",6,10))+IF(D4152=1,2,IF(D4152=7,1,(IF(WEEKDAY(B4152)=1,2,IF(WEEKDAY(B4152)=7,1,0))))))</f>
        <v>3</v>
      </c>
      <c r="G4152" s="369">
        <f>VLOOKUP(C4152,METADATA!$J$5:$Q$29,IF(E4152="HI",2,IF(E4152="LO",6,10))+IF(D4152=1,2,IF(D4152=7,1,(IF(WEEKDAY(B4152)=1,2,IF(WEEKDAY(B4152)=7,1,0))))))</f>
        <v>3</v>
      </c>
      <c r="H4152" s="370">
        <v>10362.649841308594</v>
      </c>
      <c r="I4152" s="370">
        <v>3095.5400257110596</v>
      </c>
      <c r="M4152" s="371">
        <f t="shared" si="257"/>
        <v>10815.122735519568</v>
      </c>
      <c r="N4152" s="329">
        <f t="shared" si="258"/>
        <v>0</v>
      </c>
      <c r="T4152" s="331">
        <v>0</v>
      </c>
      <c r="U4152" s="328">
        <f>VLOOKUP(C4152,METADATA!$J$5:$Q$29,IF(E4152="HI",2,IF(E4152="LO",6,10))+IF(T4152=1,2,IF(D4152=7,1,(IF(WEEKDAY(B4152)=1,2,IF(WEEKDAY(B4152)=7,1,0))))))</f>
        <v>3</v>
      </c>
      <c r="V4152" s="328">
        <f>VLOOKUP(C4152,METADATA!$A$5:$H$29,IF(E4152="HI",2,IF(E4152="LO",6,10))+IF(T4152=1,2,IF(D4152=7,1,(IF(WEEKDAY(B4152)=1,2,IF(WEEKDAY(B4152)=7,1,0))))))</f>
        <v>3</v>
      </c>
    </row>
    <row r="4153" spans="2:22">
      <c r="B4153" s="318">
        <f t="shared" si="259"/>
        <v>46285</v>
      </c>
      <c r="C4153" s="312">
        <v>21</v>
      </c>
      <c r="D4153" s="368">
        <f>IFERROR((INDEX(METADATA!$T$2:$T$20,MATCH(B4153,METADATA!$S$2:$S$20,0))),0)</f>
        <v>0</v>
      </c>
      <c r="E4153" s="312" t="str">
        <f t="shared" si="256"/>
        <v>LO</v>
      </c>
      <c r="F4153" s="369">
        <f>VLOOKUP(C4153,METADATA!$A$5:$H$29,IF(E4153="HI",2,IF(E4153="LO",6,10))+IF(D4153=1,2,IF(D4153=7,1,(IF(WEEKDAY(B4153)=1,2,IF(WEEKDAY(B4153)=7,1,0))))))</f>
        <v>3</v>
      </c>
      <c r="G4153" s="369">
        <f>VLOOKUP(C4153,METADATA!$J$5:$Q$29,IF(E4153="HI",2,IF(E4153="LO",6,10))+IF(D4153=1,2,IF(D4153=7,1,(IF(WEEKDAY(B4153)=1,2,IF(WEEKDAY(B4153)=7,1,0))))))</f>
        <v>3</v>
      </c>
      <c r="H4153" s="370">
        <v>11545.024841308594</v>
      </c>
      <c r="I4153" s="370">
        <v>3393.2474670410156</v>
      </c>
      <c r="M4153" s="371">
        <f t="shared" si="257"/>
        <v>12033.358922554116</v>
      </c>
      <c r="N4153" s="329">
        <f t="shared" si="258"/>
        <v>0</v>
      </c>
      <c r="T4153" s="331">
        <v>0</v>
      </c>
      <c r="U4153" s="328">
        <f>VLOOKUP(C4153,METADATA!$J$5:$Q$29,IF(E4153="HI",2,IF(E4153="LO",6,10))+IF(T4153=1,2,IF(D4153=7,1,(IF(WEEKDAY(B4153)=1,2,IF(WEEKDAY(B4153)=7,1,0))))))</f>
        <v>3</v>
      </c>
      <c r="V4153" s="328">
        <f>VLOOKUP(C4153,METADATA!$A$5:$H$29,IF(E4153="HI",2,IF(E4153="LO",6,10))+IF(T4153=1,2,IF(D4153=7,1,(IF(WEEKDAY(B4153)=1,2,IF(WEEKDAY(B4153)=7,1,0))))))</f>
        <v>3</v>
      </c>
    </row>
    <row r="4154" spans="2:22">
      <c r="B4154" s="318">
        <f t="shared" si="259"/>
        <v>46285</v>
      </c>
      <c r="C4154" s="312">
        <v>22</v>
      </c>
      <c r="D4154" s="368">
        <f>IFERROR((INDEX(METADATA!$T$2:$T$20,MATCH(B4154,METADATA!$S$2:$S$20,0))),0)</f>
        <v>0</v>
      </c>
      <c r="E4154" s="312" t="str">
        <f t="shared" si="256"/>
        <v>LO</v>
      </c>
      <c r="F4154" s="369">
        <f>VLOOKUP(C4154,METADATA!$A$5:$H$29,IF(E4154="HI",2,IF(E4154="LO",6,10))+IF(D4154=1,2,IF(D4154=7,1,(IF(WEEKDAY(B4154)=1,2,IF(WEEKDAY(B4154)=7,1,0))))))</f>
        <v>3</v>
      </c>
      <c r="G4154" s="369">
        <f>VLOOKUP(C4154,METADATA!$J$5:$Q$29,IF(E4154="HI",2,IF(E4154="LO",6,10))+IF(D4154=1,2,IF(D4154=7,1,(IF(WEEKDAY(B4154)=1,2,IF(WEEKDAY(B4154)=7,1,0))))))</f>
        <v>3</v>
      </c>
      <c r="H4154" s="370">
        <v>12817.350280761719</v>
      </c>
      <c r="I4154" s="370">
        <v>4175.010009765625</v>
      </c>
      <c r="M4154" s="371">
        <f t="shared" si="257"/>
        <v>13480.177179895882</v>
      </c>
      <c r="N4154" s="329">
        <f t="shared" si="258"/>
        <v>329.80492553710974</v>
      </c>
      <c r="T4154" s="331">
        <v>0</v>
      </c>
      <c r="U4154" s="328">
        <f>VLOOKUP(C4154,METADATA!$J$5:$Q$29,IF(E4154="HI",2,IF(E4154="LO",6,10))+IF(T4154=1,2,IF(D4154=7,1,(IF(WEEKDAY(B4154)=1,2,IF(WEEKDAY(B4154)=7,1,0))))))</f>
        <v>3</v>
      </c>
      <c r="V4154" s="328">
        <f>VLOOKUP(C4154,METADATA!$A$5:$H$29,IF(E4154="HI",2,IF(E4154="LO",6,10))+IF(T4154=1,2,IF(D4154=7,1,(IF(WEEKDAY(B4154)=1,2,IF(WEEKDAY(B4154)=7,1,0))))))</f>
        <v>3</v>
      </c>
    </row>
    <row r="4155" spans="2:22">
      <c r="B4155" s="318">
        <f t="shared" si="259"/>
        <v>46285</v>
      </c>
      <c r="C4155" s="312">
        <v>23</v>
      </c>
      <c r="D4155" s="368">
        <f>IFERROR((INDEX(METADATA!$T$2:$T$20,MATCH(B4155,METADATA!$S$2:$S$20,0))),0)</f>
        <v>0</v>
      </c>
      <c r="E4155" s="312" t="str">
        <f t="shared" si="256"/>
        <v>LO</v>
      </c>
      <c r="F4155" s="369">
        <f>VLOOKUP(C4155,METADATA!$A$5:$H$29,IF(E4155="HI",2,IF(E4155="LO",6,10))+IF(D4155=1,2,IF(D4155=7,1,(IF(WEEKDAY(B4155)=1,2,IF(WEEKDAY(B4155)=7,1,0))))))</f>
        <v>3</v>
      </c>
      <c r="G4155" s="369">
        <f>VLOOKUP(C4155,METADATA!$J$5:$Q$29,IF(E4155="HI",2,IF(E4155="LO",6,10))+IF(D4155=1,2,IF(D4155=7,1,(IF(WEEKDAY(B4155)=1,2,IF(WEEKDAY(B4155)=7,1,0))))))</f>
        <v>3</v>
      </c>
      <c r="H4155" s="370">
        <v>13075.375122070313</v>
      </c>
      <c r="I4155" s="370">
        <v>4353.4900817871094</v>
      </c>
      <c r="M4155" s="371">
        <f t="shared" si="257"/>
        <v>13781.085243008765</v>
      </c>
      <c r="N4155" s="329">
        <f t="shared" si="258"/>
        <v>430.87754516601581</v>
      </c>
      <c r="T4155" s="331">
        <v>0</v>
      </c>
      <c r="U4155" s="328">
        <f>VLOOKUP(C4155,METADATA!$J$5:$Q$29,IF(E4155="HI",2,IF(E4155="LO",6,10))+IF(T4155=1,2,IF(D4155=7,1,(IF(WEEKDAY(B4155)=1,2,IF(WEEKDAY(B4155)=7,1,0))))))</f>
        <v>3</v>
      </c>
      <c r="V4155" s="328">
        <f>VLOOKUP(C4155,METADATA!$A$5:$H$29,IF(E4155="HI",2,IF(E4155="LO",6,10))+IF(T4155=1,2,IF(D4155=7,1,(IF(WEEKDAY(B4155)=1,2,IF(WEEKDAY(B4155)=7,1,0))))))</f>
        <v>3</v>
      </c>
    </row>
    <row r="4156" spans="2:22">
      <c r="B4156" s="318">
        <f t="shared" si="259"/>
        <v>46286</v>
      </c>
      <c r="C4156" s="312">
        <v>0</v>
      </c>
      <c r="D4156" s="368">
        <f>IFERROR((INDEX(METADATA!$T$2:$T$20,MATCH(B4156,METADATA!$S$2:$S$20,0))),0)</f>
        <v>0</v>
      </c>
      <c r="E4156" s="312" t="str">
        <f t="shared" si="256"/>
        <v>LO</v>
      </c>
      <c r="F4156" s="369">
        <f>VLOOKUP(C4156,METADATA!$A$5:$H$29,IF(E4156="HI",2,IF(E4156="LO",6,10))+IF(D4156=1,2,IF(D4156=7,1,(IF(WEEKDAY(B4156)=1,2,IF(WEEKDAY(B4156)=7,1,0))))))</f>
        <v>3</v>
      </c>
      <c r="G4156" s="369">
        <f>VLOOKUP(C4156,METADATA!$J$5:$Q$29,IF(E4156="HI",2,IF(E4156="LO",6,10))+IF(D4156=1,2,IF(D4156=7,1,(IF(WEEKDAY(B4156)=1,2,IF(WEEKDAY(B4156)=7,1,0))))))</f>
        <v>3</v>
      </c>
      <c r="H4156" s="370">
        <v>13014.64990234375</v>
      </c>
      <c r="I4156" s="370">
        <v>4389.2950744628906</v>
      </c>
      <c r="M4156" s="371">
        <f t="shared" si="257"/>
        <v>13734.883448041355</v>
      </c>
      <c r="N4156" s="329">
        <f t="shared" si="258"/>
        <v>484.9001037597659</v>
      </c>
      <c r="T4156" s="331">
        <v>0</v>
      </c>
      <c r="U4156" s="328">
        <f>VLOOKUP(C4156,METADATA!$J$5:$Q$29,IF(E4156="HI",2,IF(E4156="LO",6,10))+IF(T4156=1,2,IF(D4156=7,1,(IF(WEEKDAY(B4156)=1,2,IF(WEEKDAY(B4156)=7,1,0))))))</f>
        <v>3</v>
      </c>
      <c r="V4156" s="328">
        <f>VLOOKUP(C4156,METADATA!$A$5:$H$29,IF(E4156="HI",2,IF(E4156="LO",6,10))+IF(T4156=1,2,IF(D4156=7,1,(IF(WEEKDAY(B4156)=1,2,IF(WEEKDAY(B4156)=7,1,0))))))</f>
        <v>3</v>
      </c>
    </row>
    <row r="4157" spans="2:22">
      <c r="B4157" s="318">
        <f t="shared" si="259"/>
        <v>46286</v>
      </c>
      <c r="C4157" s="312">
        <v>1</v>
      </c>
      <c r="D4157" s="368">
        <f>IFERROR((INDEX(METADATA!$T$2:$T$20,MATCH(B4157,METADATA!$S$2:$S$20,0))),0)</f>
        <v>0</v>
      </c>
      <c r="E4157" s="312" t="str">
        <f t="shared" si="256"/>
        <v>LO</v>
      </c>
      <c r="F4157" s="369">
        <f>VLOOKUP(C4157,METADATA!$A$5:$H$29,IF(E4157="HI",2,IF(E4157="LO",6,10))+IF(D4157=1,2,IF(D4157=7,1,(IF(WEEKDAY(B4157)=1,2,IF(WEEKDAY(B4157)=7,1,0))))))</f>
        <v>3</v>
      </c>
      <c r="G4157" s="369">
        <f>VLOOKUP(C4157,METADATA!$J$5:$Q$29,IF(E4157="HI",2,IF(E4157="LO",6,10))+IF(D4157=1,2,IF(D4157=7,1,(IF(WEEKDAY(B4157)=1,2,IF(WEEKDAY(B4157)=7,1,0))))))</f>
        <v>3</v>
      </c>
      <c r="H4157" s="370">
        <v>12349.860046386719</v>
      </c>
      <c r="I4157" s="370">
        <v>4034.3875122070313</v>
      </c>
      <c r="M4157" s="371">
        <f t="shared" si="257"/>
        <v>12992.125529103812</v>
      </c>
      <c r="N4157" s="329">
        <f t="shared" si="258"/>
        <v>329.42949829101599</v>
      </c>
      <c r="T4157" s="331">
        <v>0</v>
      </c>
      <c r="U4157" s="328">
        <f>VLOOKUP(C4157,METADATA!$J$5:$Q$29,IF(E4157="HI",2,IF(E4157="LO",6,10))+IF(T4157=1,2,IF(D4157=7,1,(IF(WEEKDAY(B4157)=1,2,IF(WEEKDAY(B4157)=7,1,0))))))</f>
        <v>3</v>
      </c>
      <c r="V4157" s="328">
        <f>VLOOKUP(C4157,METADATA!$A$5:$H$29,IF(E4157="HI",2,IF(E4157="LO",6,10))+IF(T4157=1,2,IF(D4157=7,1,(IF(WEEKDAY(B4157)=1,2,IF(WEEKDAY(B4157)=7,1,0))))))</f>
        <v>3</v>
      </c>
    </row>
    <row r="4158" spans="2:22">
      <c r="B4158" s="318">
        <f t="shared" si="259"/>
        <v>46286</v>
      </c>
      <c r="C4158" s="312">
        <v>2</v>
      </c>
      <c r="D4158" s="368">
        <f>IFERROR((INDEX(METADATA!$T$2:$T$20,MATCH(B4158,METADATA!$S$2:$S$20,0))),0)</f>
        <v>0</v>
      </c>
      <c r="E4158" s="312" t="str">
        <f t="shared" si="256"/>
        <v>LO</v>
      </c>
      <c r="F4158" s="369">
        <f>VLOOKUP(C4158,METADATA!$A$5:$H$29,IF(E4158="HI",2,IF(E4158="LO",6,10))+IF(D4158=1,2,IF(D4158=7,1,(IF(WEEKDAY(B4158)=1,2,IF(WEEKDAY(B4158)=7,1,0))))))</f>
        <v>3</v>
      </c>
      <c r="G4158" s="369">
        <f>VLOOKUP(C4158,METADATA!$J$5:$Q$29,IF(E4158="HI",2,IF(E4158="LO",6,10))+IF(D4158=1,2,IF(D4158=7,1,(IF(WEEKDAY(B4158)=1,2,IF(WEEKDAY(B4158)=7,1,0))))))</f>
        <v>3</v>
      </c>
      <c r="H4158" s="370">
        <v>9761.8251953125</v>
      </c>
      <c r="I4158" s="370">
        <v>2871.5324859619141</v>
      </c>
      <c r="M4158" s="371">
        <f t="shared" si="257"/>
        <v>10175.408098045627</v>
      </c>
      <c r="N4158" s="329">
        <f t="shared" si="258"/>
        <v>0</v>
      </c>
      <c r="T4158" s="331">
        <v>0</v>
      </c>
      <c r="U4158" s="328">
        <f>VLOOKUP(C4158,METADATA!$J$5:$Q$29,IF(E4158="HI",2,IF(E4158="LO",6,10))+IF(T4158=1,2,IF(D4158=7,1,(IF(WEEKDAY(B4158)=1,2,IF(WEEKDAY(B4158)=7,1,0))))))</f>
        <v>3</v>
      </c>
      <c r="V4158" s="328">
        <f>VLOOKUP(C4158,METADATA!$A$5:$H$29,IF(E4158="HI",2,IF(E4158="LO",6,10))+IF(T4158=1,2,IF(D4158=7,1,(IF(WEEKDAY(B4158)=1,2,IF(WEEKDAY(B4158)=7,1,0))))))</f>
        <v>3</v>
      </c>
    </row>
    <row r="4159" spans="2:22">
      <c r="B4159" s="318">
        <f t="shared" si="259"/>
        <v>46286</v>
      </c>
      <c r="C4159" s="312">
        <v>3</v>
      </c>
      <c r="D4159" s="368">
        <f>IFERROR((INDEX(METADATA!$T$2:$T$20,MATCH(B4159,METADATA!$S$2:$S$20,0))),0)</f>
        <v>0</v>
      </c>
      <c r="E4159" s="312" t="str">
        <f t="shared" si="256"/>
        <v>LO</v>
      </c>
      <c r="F4159" s="369">
        <f>VLOOKUP(C4159,METADATA!$A$5:$H$29,IF(E4159="HI",2,IF(E4159="LO",6,10))+IF(D4159=1,2,IF(D4159=7,1,(IF(WEEKDAY(B4159)=1,2,IF(WEEKDAY(B4159)=7,1,0))))))</f>
        <v>3</v>
      </c>
      <c r="G4159" s="369">
        <f>VLOOKUP(C4159,METADATA!$J$5:$Q$29,IF(E4159="HI",2,IF(E4159="LO",6,10))+IF(D4159=1,2,IF(D4159=7,1,(IF(WEEKDAY(B4159)=1,2,IF(WEEKDAY(B4159)=7,1,0))))))</f>
        <v>3</v>
      </c>
      <c r="H4159" s="370">
        <v>5737.6174621582031</v>
      </c>
      <c r="I4159" s="370">
        <v>1593.0025024414063</v>
      </c>
      <c r="M4159" s="371">
        <f t="shared" si="257"/>
        <v>5954.6545756111927</v>
      </c>
      <c r="N4159" s="329">
        <f t="shared" si="258"/>
        <v>0</v>
      </c>
      <c r="T4159" s="331">
        <v>0</v>
      </c>
      <c r="U4159" s="328">
        <f>VLOOKUP(C4159,METADATA!$J$5:$Q$29,IF(E4159="HI",2,IF(E4159="LO",6,10))+IF(T4159=1,2,IF(D4159=7,1,(IF(WEEKDAY(B4159)=1,2,IF(WEEKDAY(B4159)=7,1,0))))))</f>
        <v>3</v>
      </c>
      <c r="V4159" s="328">
        <f>VLOOKUP(C4159,METADATA!$A$5:$H$29,IF(E4159="HI",2,IF(E4159="LO",6,10))+IF(T4159=1,2,IF(D4159=7,1,(IF(WEEKDAY(B4159)=1,2,IF(WEEKDAY(B4159)=7,1,0))))))</f>
        <v>3</v>
      </c>
    </row>
    <row r="4160" spans="2:22">
      <c r="B4160" s="318">
        <f t="shared" si="259"/>
        <v>46286</v>
      </c>
      <c r="C4160" s="312">
        <v>4</v>
      </c>
      <c r="D4160" s="368">
        <f>IFERROR((INDEX(METADATA!$T$2:$T$20,MATCH(B4160,METADATA!$S$2:$S$20,0))),0)</f>
        <v>0</v>
      </c>
      <c r="E4160" s="312" t="str">
        <f t="shared" si="256"/>
        <v>LO</v>
      </c>
      <c r="F4160" s="369">
        <f>VLOOKUP(C4160,METADATA!$A$5:$H$29,IF(E4160="HI",2,IF(E4160="LO",6,10))+IF(D4160=1,2,IF(D4160=7,1,(IF(WEEKDAY(B4160)=1,2,IF(WEEKDAY(B4160)=7,1,0))))))</f>
        <v>3</v>
      </c>
      <c r="G4160" s="369">
        <f>VLOOKUP(C4160,METADATA!$J$5:$Q$29,IF(E4160="HI",2,IF(E4160="LO",6,10))+IF(D4160=1,2,IF(D4160=7,1,(IF(WEEKDAY(B4160)=1,2,IF(WEEKDAY(B4160)=7,1,0))))))</f>
        <v>3</v>
      </c>
      <c r="H4160" s="370">
        <v>5623.219970703125</v>
      </c>
      <c r="I4160" s="370">
        <v>1530.719970703125</v>
      </c>
      <c r="M4160" s="371">
        <f t="shared" si="257"/>
        <v>5827.8389191555243</v>
      </c>
      <c r="N4160" s="329">
        <f t="shared" si="258"/>
        <v>0</v>
      </c>
      <c r="T4160" s="331">
        <v>0</v>
      </c>
      <c r="U4160" s="328">
        <f>VLOOKUP(C4160,METADATA!$J$5:$Q$29,IF(E4160="HI",2,IF(E4160="LO",6,10))+IF(T4160=1,2,IF(D4160=7,1,(IF(WEEKDAY(B4160)=1,2,IF(WEEKDAY(B4160)=7,1,0))))))</f>
        <v>3</v>
      </c>
      <c r="V4160" s="328">
        <f>VLOOKUP(C4160,METADATA!$A$5:$H$29,IF(E4160="HI",2,IF(E4160="LO",6,10))+IF(T4160=1,2,IF(D4160=7,1,(IF(WEEKDAY(B4160)=1,2,IF(WEEKDAY(B4160)=7,1,0))))))</f>
        <v>3</v>
      </c>
    </row>
    <row r="4161" spans="2:22">
      <c r="B4161" s="318">
        <f t="shared" si="259"/>
        <v>46286</v>
      </c>
      <c r="C4161" s="312">
        <v>5</v>
      </c>
      <c r="D4161" s="368">
        <f>IFERROR((INDEX(METADATA!$T$2:$T$20,MATCH(B4161,METADATA!$S$2:$S$20,0))),0)</f>
        <v>0</v>
      </c>
      <c r="E4161" s="312" t="str">
        <f t="shared" si="256"/>
        <v>LO</v>
      </c>
      <c r="F4161" s="369">
        <f>VLOOKUP(C4161,METADATA!$A$5:$H$29,IF(E4161="HI",2,IF(E4161="LO",6,10))+IF(D4161=1,2,IF(D4161=7,1,(IF(WEEKDAY(B4161)=1,2,IF(WEEKDAY(B4161)=7,1,0))))))</f>
        <v>3</v>
      </c>
      <c r="G4161" s="369">
        <f>VLOOKUP(C4161,METADATA!$J$5:$Q$29,IF(E4161="HI",2,IF(E4161="LO",6,10))+IF(D4161=1,2,IF(D4161=7,1,(IF(WEEKDAY(B4161)=1,2,IF(WEEKDAY(B4161)=7,1,0))))))</f>
        <v>3</v>
      </c>
      <c r="H4161" s="370">
        <v>5744.0150146484375</v>
      </c>
      <c r="I4161" s="370">
        <v>1516.1749877929688</v>
      </c>
      <c r="M4161" s="371">
        <f t="shared" si="257"/>
        <v>5940.7486971017124</v>
      </c>
      <c r="N4161" s="329">
        <f t="shared" si="258"/>
        <v>0</v>
      </c>
      <c r="T4161" s="331">
        <v>0</v>
      </c>
      <c r="U4161" s="328">
        <f>VLOOKUP(C4161,METADATA!$J$5:$Q$29,IF(E4161="HI",2,IF(E4161="LO",6,10))+IF(T4161=1,2,IF(D4161=7,1,(IF(WEEKDAY(B4161)=1,2,IF(WEEKDAY(B4161)=7,1,0))))))</f>
        <v>3</v>
      </c>
      <c r="V4161" s="328">
        <f>VLOOKUP(C4161,METADATA!$A$5:$H$29,IF(E4161="HI",2,IF(E4161="LO",6,10))+IF(T4161=1,2,IF(D4161=7,1,(IF(WEEKDAY(B4161)=1,2,IF(WEEKDAY(B4161)=7,1,0))))))</f>
        <v>3</v>
      </c>
    </row>
    <row r="4162" spans="2:22">
      <c r="B4162" s="318">
        <f t="shared" si="259"/>
        <v>46286</v>
      </c>
      <c r="C4162" s="312">
        <v>6</v>
      </c>
      <c r="D4162" s="368">
        <f>IFERROR((INDEX(METADATA!$T$2:$T$20,MATCH(B4162,METADATA!$S$2:$S$20,0))),0)</f>
        <v>0</v>
      </c>
      <c r="E4162" s="312" t="str">
        <f t="shared" si="256"/>
        <v>LO</v>
      </c>
      <c r="F4162" s="369">
        <f>VLOOKUP(C4162,METADATA!$A$5:$H$29,IF(E4162="HI",2,IF(E4162="LO",6,10))+IF(D4162=1,2,IF(D4162=7,1,(IF(WEEKDAY(B4162)=1,2,IF(WEEKDAY(B4162)=7,1,0))))))</f>
        <v>2</v>
      </c>
      <c r="G4162" s="369">
        <f>VLOOKUP(C4162,METADATA!$J$5:$Q$29,IF(E4162="HI",2,IF(E4162="LO",6,10))+IF(D4162=1,2,IF(D4162=7,1,(IF(WEEKDAY(B4162)=1,2,IF(WEEKDAY(B4162)=7,1,0))))))</f>
        <v>2</v>
      </c>
      <c r="H4162" s="370">
        <v>5674.3049926757813</v>
      </c>
      <c r="I4162" s="370">
        <v>1526.0375061035156</v>
      </c>
      <c r="M4162" s="371">
        <f t="shared" si="257"/>
        <v>5875.9278092859458</v>
      </c>
      <c r="N4162" s="329">
        <f t="shared" si="258"/>
        <v>0</v>
      </c>
      <c r="T4162" s="331">
        <v>0</v>
      </c>
      <c r="U4162" s="328">
        <f>VLOOKUP(C4162,METADATA!$J$5:$Q$29,IF(E4162="HI",2,IF(E4162="LO",6,10))+IF(T4162=1,2,IF(D4162=7,1,(IF(WEEKDAY(B4162)=1,2,IF(WEEKDAY(B4162)=7,1,0))))))</f>
        <v>2</v>
      </c>
      <c r="V4162" s="328">
        <f>VLOOKUP(C4162,METADATA!$A$5:$H$29,IF(E4162="HI",2,IF(E4162="LO",6,10))+IF(T4162=1,2,IF(D4162=7,1,(IF(WEEKDAY(B4162)=1,2,IF(WEEKDAY(B4162)=7,1,0))))))</f>
        <v>2</v>
      </c>
    </row>
    <row r="4163" spans="2:22">
      <c r="B4163" s="318">
        <f t="shared" si="259"/>
        <v>46286</v>
      </c>
      <c r="C4163" s="312">
        <v>7</v>
      </c>
      <c r="D4163" s="368">
        <f>IFERROR((INDEX(METADATA!$T$2:$T$20,MATCH(B4163,METADATA!$S$2:$S$20,0))),0)</f>
        <v>0</v>
      </c>
      <c r="E4163" s="312" t="str">
        <f t="shared" si="256"/>
        <v>LO</v>
      </c>
      <c r="F4163" s="369">
        <f>VLOOKUP(C4163,METADATA!$A$5:$H$29,IF(E4163="HI",2,IF(E4163="LO",6,10))+IF(D4163=1,2,IF(D4163=7,1,(IF(WEEKDAY(B4163)=1,2,IF(WEEKDAY(B4163)=7,1,0))))))</f>
        <v>1</v>
      </c>
      <c r="G4163" s="369">
        <f>VLOOKUP(C4163,METADATA!$J$5:$Q$29,IF(E4163="HI",2,IF(E4163="LO",6,10))+IF(D4163=1,2,IF(D4163=7,1,(IF(WEEKDAY(B4163)=1,2,IF(WEEKDAY(B4163)=7,1,0))))))</f>
        <v>1</v>
      </c>
      <c r="H4163" s="370">
        <v>5717.8499450683594</v>
      </c>
      <c r="I4163" s="370">
        <v>1592.9324951171875</v>
      </c>
      <c r="M4163" s="371">
        <f t="shared" si="257"/>
        <v>5935.5911186939511</v>
      </c>
      <c r="N4163" s="329">
        <f t="shared" si="258"/>
        <v>0</v>
      </c>
      <c r="T4163" s="331">
        <v>0</v>
      </c>
      <c r="U4163" s="328">
        <f>VLOOKUP(C4163,METADATA!$J$5:$Q$29,IF(E4163="HI",2,IF(E4163="LO",6,10))+IF(T4163=1,2,IF(D4163=7,1,(IF(WEEKDAY(B4163)=1,2,IF(WEEKDAY(B4163)=7,1,0))))))</f>
        <v>1</v>
      </c>
      <c r="V4163" s="328">
        <f>VLOOKUP(C4163,METADATA!$A$5:$H$29,IF(E4163="HI",2,IF(E4163="LO",6,10))+IF(T4163=1,2,IF(D4163=7,1,(IF(WEEKDAY(B4163)=1,2,IF(WEEKDAY(B4163)=7,1,0))))))</f>
        <v>1</v>
      </c>
    </row>
    <row r="4164" spans="2:22">
      <c r="B4164" s="318">
        <f t="shared" si="259"/>
        <v>46286</v>
      </c>
      <c r="C4164" s="312">
        <v>8</v>
      </c>
      <c r="D4164" s="368">
        <f>IFERROR((INDEX(METADATA!$T$2:$T$20,MATCH(B4164,METADATA!$S$2:$S$20,0))),0)</f>
        <v>0</v>
      </c>
      <c r="E4164" s="312" t="str">
        <f t="shared" ref="E4164:E4227" si="260">IF(B4164="","",IF(AND(MONTH(B4164)&gt;=MONTH($Z$9),MONTH(B4164)&lt;=MONTH($Z$11)),"HI","LO"))</f>
        <v>LO</v>
      </c>
      <c r="F4164" s="369">
        <f>VLOOKUP(C4164,METADATA!$A$5:$H$29,IF(E4164="HI",2,IF(E4164="LO",6,10))+IF(D4164=1,2,IF(D4164=7,1,(IF(WEEKDAY(B4164)=1,2,IF(WEEKDAY(B4164)=7,1,0))))))</f>
        <v>1</v>
      </c>
      <c r="G4164" s="369">
        <f>VLOOKUP(C4164,METADATA!$J$5:$Q$29,IF(E4164="HI",2,IF(E4164="LO",6,10))+IF(D4164=1,2,IF(D4164=7,1,(IF(WEEKDAY(B4164)=1,2,IF(WEEKDAY(B4164)=7,1,0))))))</f>
        <v>1</v>
      </c>
      <c r="H4164" s="370">
        <v>7693.452392578125</v>
      </c>
      <c r="I4164" s="370">
        <v>1511.1324855387211</v>
      </c>
      <c r="M4164" s="371">
        <f t="shared" ref="M4164:M4227" si="261">SQRT(H4164^2+I4164^2)</f>
        <v>7840.4547767152199</v>
      </c>
      <c r="N4164" s="329">
        <f t="shared" ref="N4164:N4227" si="262">IF(H4164=0,0,(IF(I4164-(0.3*H4164)&lt;0,0,(I4164-(0.3*H4164)))))</f>
        <v>0</v>
      </c>
      <c r="T4164" s="331">
        <v>0</v>
      </c>
      <c r="U4164" s="328">
        <f>VLOOKUP(C4164,METADATA!$J$5:$Q$29,IF(E4164="HI",2,IF(E4164="LO",6,10))+IF(T4164=1,2,IF(D4164=7,1,(IF(WEEKDAY(B4164)=1,2,IF(WEEKDAY(B4164)=7,1,0))))))</f>
        <v>1</v>
      </c>
      <c r="V4164" s="328">
        <f>VLOOKUP(C4164,METADATA!$A$5:$H$29,IF(E4164="HI",2,IF(E4164="LO",6,10))+IF(T4164=1,2,IF(D4164=7,1,(IF(WEEKDAY(B4164)=1,2,IF(WEEKDAY(B4164)=7,1,0))))))</f>
        <v>1</v>
      </c>
    </row>
    <row r="4165" spans="2:22">
      <c r="B4165" s="318">
        <f t="shared" si="259"/>
        <v>46286</v>
      </c>
      <c r="C4165" s="312">
        <v>9</v>
      </c>
      <c r="D4165" s="368">
        <f>IFERROR((INDEX(METADATA!$T$2:$T$20,MATCH(B4165,METADATA!$S$2:$S$20,0))),0)</f>
        <v>0</v>
      </c>
      <c r="E4165" s="312" t="str">
        <f t="shared" si="260"/>
        <v>LO</v>
      </c>
      <c r="F4165" s="369">
        <f>VLOOKUP(C4165,METADATA!$A$5:$H$29,IF(E4165="HI",2,IF(E4165="LO",6,10))+IF(D4165=1,2,IF(D4165=7,1,(IF(WEEKDAY(B4165)=1,2,IF(WEEKDAY(B4165)=7,1,0))))))</f>
        <v>2</v>
      </c>
      <c r="G4165" s="369">
        <f>VLOOKUP(C4165,METADATA!$J$5:$Q$29,IF(E4165="HI",2,IF(E4165="LO",6,10))+IF(D4165=1,2,IF(D4165=7,1,(IF(WEEKDAY(B4165)=1,2,IF(WEEKDAY(B4165)=7,1,0))))))</f>
        <v>2</v>
      </c>
      <c r="H4165" s="370">
        <v>11639.149780273438</v>
      </c>
      <c r="I4165" s="370">
        <v>3369.1474456787109</v>
      </c>
      <c r="M4165" s="371">
        <f t="shared" si="261"/>
        <v>12116.970005672316</v>
      </c>
      <c r="N4165" s="329">
        <f t="shared" si="262"/>
        <v>0</v>
      </c>
      <c r="T4165" s="331">
        <v>0</v>
      </c>
      <c r="U4165" s="328">
        <f>VLOOKUP(C4165,METADATA!$J$5:$Q$29,IF(E4165="HI",2,IF(E4165="LO",6,10))+IF(T4165=1,2,IF(D4165=7,1,(IF(WEEKDAY(B4165)=1,2,IF(WEEKDAY(B4165)=7,1,0))))))</f>
        <v>2</v>
      </c>
      <c r="V4165" s="328">
        <f>VLOOKUP(C4165,METADATA!$A$5:$H$29,IF(E4165="HI",2,IF(E4165="LO",6,10))+IF(T4165=1,2,IF(D4165=7,1,(IF(WEEKDAY(B4165)=1,2,IF(WEEKDAY(B4165)=7,1,0))))))</f>
        <v>2</v>
      </c>
    </row>
    <row r="4166" spans="2:22">
      <c r="B4166" s="318">
        <f t="shared" si="259"/>
        <v>46286</v>
      </c>
      <c r="C4166" s="312">
        <v>10</v>
      </c>
      <c r="D4166" s="368">
        <f>IFERROR((INDEX(METADATA!$T$2:$T$20,MATCH(B4166,METADATA!$S$2:$S$20,0))),0)</f>
        <v>0</v>
      </c>
      <c r="E4166" s="312" t="str">
        <f t="shared" si="260"/>
        <v>LO</v>
      </c>
      <c r="F4166" s="369">
        <f>VLOOKUP(C4166,METADATA!$A$5:$H$29,IF(E4166="HI",2,IF(E4166="LO",6,10))+IF(D4166=1,2,IF(D4166=7,1,(IF(WEEKDAY(B4166)=1,2,IF(WEEKDAY(B4166)=7,1,0))))))</f>
        <v>2</v>
      </c>
      <c r="G4166" s="369">
        <f>VLOOKUP(C4166,METADATA!$J$5:$Q$29,IF(E4166="HI",2,IF(E4166="LO",6,10))+IF(D4166=1,2,IF(D4166=7,1,(IF(WEEKDAY(B4166)=1,2,IF(WEEKDAY(B4166)=7,1,0))))))</f>
        <v>2</v>
      </c>
      <c r="H4166" s="370">
        <v>13135.5</v>
      </c>
      <c r="I4166" s="370">
        <v>4375.47998046875</v>
      </c>
      <c r="M4166" s="371">
        <f t="shared" si="261"/>
        <v>13845.078017457425</v>
      </c>
      <c r="N4166" s="329">
        <f t="shared" si="262"/>
        <v>434.82998046875036</v>
      </c>
      <c r="T4166" s="331">
        <v>0</v>
      </c>
      <c r="U4166" s="328">
        <f>VLOOKUP(C4166,METADATA!$J$5:$Q$29,IF(E4166="HI",2,IF(E4166="LO",6,10))+IF(T4166=1,2,IF(D4166=7,1,(IF(WEEKDAY(B4166)=1,2,IF(WEEKDAY(B4166)=7,1,0))))))</f>
        <v>2</v>
      </c>
      <c r="V4166" s="328">
        <f>VLOOKUP(C4166,METADATA!$A$5:$H$29,IF(E4166="HI",2,IF(E4166="LO",6,10))+IF(T4166=1,2,IF(D4166=7,1,(IF(WEEKDAY(B4166)=1,2,IF(WEEKDAY(B4166)=7,1,0))))))</f>
        <v>2</v>
      </c>
    </row>
    <row r="4167" spans="2:22">
      <c r="B4167" s="318">
        <f t="shared" si="259"/>
        <v>46286</v>
      </c>
      <c r="C4167" s="312">
        <v>11</v>
      </c>
      <c r="D4167" s="368">
        <f>IFERROR((INDEX(METADATA!$T$2:$T$20,MATCH(B4167,METADATA!$S$2:$S$20,0))),0)</f>
        <v>0</v>
      </c>
      <c r="E4167" s="312" t="str">
        <f t="shared" si="260"/>
        <v>LO</v>
      </c>
      <c r="F4167" s="369">
        <f>VLOOKUP(C4167,METADATA!$A$5:$H$29,IF(E4167="HI",2,IF(E4167="LO",6,10))+IF(D4167=1,2,IF(D4167=7,1,(IF(WEEKDAY(B4167)=1,2,IF(WEEKDAY(B4167)=7,1,0))))))</f>
        <v>2</v>
      </c>
      <c r="G4167" s="369">
        <f>VLOOKUP(C4167,METADATA!$J$5:$Q$29,IF(E4167="HI",2,IF(E4167="LO",6,10))+IF(D4167=1,2,IF(D4167=7,1,(IF(WEEKDAY(B4167)=1,2,IF(WEEKDAY(B4167)=7,1,0))))))</f>
        <v>2</v>
      </c>
      <c r="H4167" s="370">
        <v>13210.1748046875</v>
      </c>
      <c r="I4167" s="370">
        <v>4389.9900512695313</v>
      </c>
      <c r="M4167" s="371">
        <f t="shared" si="261"/>
        <v>13920.514754154958</v>
      </c>
      <c r="N4167" s="329">
        <f t="shared" si="262"/>
        <v>426.93760986328152</v>
      </c>
      <c r="T4167" s="331">
        <v>0</v>
      </c>
      <c r="U4167" s="328">
        <f>VLOOKUP(C4167,METADATA!$J$5:$Q$29,IF(E4167="HI",2,IF(E4167="LO",6,10))+IF(T4167=1,2,IF(D4167=7,1,(IF(WEEKDAY(B4167)=1,2,IF(WEEKDAY(B4167)=7,1,0))))))</f>
        <v>2</v>
      </c>
      <c r="V4167" s="328">
        <f>VLOOKUP(C4167,METADATA!$A$5:$H$29,IF(E4167="HI",2,IF(E4167="LO",6,10))+IF(T4167=1,2,IF(D4167=7,1,(IF(WEEKDAY(B4167)=1,2,IF(WEEKDAY(B4167)=7,1,0))))))</f>
        <v>2</v>
      </c>
    </row>
    <row r="4168" spans="2:22">
      <c r="B4168" s="318">
        <f t="shared" si="259"/>
        <v>46286</v>
      </c>
      <c r="C4168" s="312">
        <v>12</v>
      </c>
      <c r="D4168" s="368">
        <f>IFERROR((INDEX(METADATA!$T$2:$T$20,MATCH(B4168,METADATA!$S$2:$S$20,0))),0)</f>
        <v>0</v>
      </c>
      <c r="E4168" s="312" t="str">
        <f t="shared" si="260"/>
        <v>LO</v>
      </c>
      <c r="F4168" s="369">
        <f>VLOOKUP(C4168,METADATA!$A$5:$H$29,IF(E4168="HI",2,IF(E4168="LO",6,10))+IF(D4168=1,2,IF(D4168=7,1,(IF(WEEKDAY(B4168)=1,2,IF(WEEKDAY(B4168)=7,1,0))))))</f>
        <v>2</v>
      </c>
      <c r="G4168" s="369">
        <f>VLOOKUP(C4168,METADATA!$J$5:$Q$29,IF(E4168="HI",2,IF(E4168="LO",6,10))+IF(D4168=1,2,IF(D4168=7,1,(IF(WEEKDAY(B4168)=1,2,IF(WEEKDAY(B4168)=7,1,0))))))</f>
        <v>2</v>
      </c>
      <c r="H4168" s="370">
        <v>13274.700317382813</v>
      </c>
      <c r="I4168" s="370">
        <v>4437.35009765625</v>
      </c>
      <c r="M4168" s="371">
        <f t="shared" si="261"/>
        <v>13996.704769533908</v>
      </c>
      <c r="N4168" s="329">
        <f t="shared" si="262"/>
        <v>454.94000244140625</v>
      </c>
      <c r="T4168" s="331">
        <v>0</v>
      </c>
      <c r="U4168" s="328">
        <f>VLOOKUP(C4168,METADATA!$J$5:$Q$29,IF(E4168="HI",2,IF(E4168="LO",6,10))+IF(T4168=1,2,IF(D4168=7,1,(IF(WEEKDAY(B4168)=1,2,IF(WEEKDAY(B4168)=7,1,0))))))</f>
        <v>2</v>
      </c>
      <c r="V4168" s="328">
        <f>VLOOKUP(C4168,METADATA!$A$5:$H$29,IF(E4168="HI",2,IF(E4168="LO",6,10))+IF(T4168=1,2,IF(D4168=7,1,(IF(WEEKDAY(B4168)=1,2,IF(WEEKDAY(B4168)=7,1,0))))))</f>
        <v>2</v>
      </c>
    </row>
    <row r="4169" spans="2:22">
      <c r="B4169" s="318">
        <f t="shared" si="259"/>
        <v>46286</v>
      </c>
      <c r="C4169" s="312">
        <v>13</v>
      </c>
      <c r="D4169" s="368">
        <f>IFERROR((INDEX(METADATA!$T$2:$T$20,MATCH(B4169,METADATA!$S$2:$S$20,0))),0)</f>
        <v>0</v>
      </c>
      <c r="E4169" s="312" t="str">
        <f t="shared" si="260"/>
        <v>LO</v>
      </c>
      <c r="F4169" s="369">
        <f>VLOOKUP(C4169,METADATA!$A$5:$H$29,IF(E4169="HI",2,IF(E4169="LO",6,10))+IF(D4169=1,2,IF(D4169=7,1,(IF(WEEKDAY(B4169)=1,2,IF(WEEKDAY(B4169)=7,1,0))))))</f>
        <v>2</v>
      </c>
      <c r="G4169" s="369">
        <f>VLOOKUP(C4169,METADATA!$J$5:$Q$29,IF(E4169="HI",2,IF(E4169="LO",6,10))+IF(D4169=1,2,IF(D4169=7,1,(IF(WEEKDAY(B4169)=1,2,IF(WEEKDAY(B4169)=7,1,0))))))</f>
        <v>2</v>
      </c>
      <c r="H4169" s="370">
        <v>13160.050048828125</v>
      </c>
      <c r="I4169" s="370">
        <v>4543.2649230957031</v>
      </c>
      <c r="M4169" s="371">
        <f t="shared" si="261"/>
        <v>13922.218697071703</v>
      </c>
      <c r="N4169" s="329">
        <f t="shared" si="262"/>
        <v>595.24990844726563</v>
      </c>
      <c r="T4169" s="331">
        <v>0</v>
      </c>
      <c r="U4169" s="328">
        <f>VLOOKUP(C4169,METADATA!$J$5:$Q$29,IF(E4169="HI",2,IF(E4169="LO",6,10))+IF(T4169=1,2,IF(D4169=7,1,(IF(WEEKDAY(B4169)=1,2,IF(WEEKDAY(B4169)=7,1,0))))))</f>
        <v>2</v>
      </c>
      <c r="V4169" s="328">
        <f>VLOOKUP(C4169,METADATA!$A$5:$H$29,IF(E4169="HI",2,IF(E4169="LO",6,10))+IF(T4169=1,2,IF(D4169=7,1,(IF(WEEKDAY(B4169)=1,2,IF(WEEKDAY(B4169)=7,1,0))))))</f>
        <v>2</v>
      </c>
    </row>
    <row r="4170" spans="2:22">
      <c r="B4170" s="318">
        <f t="shared" si="259"/>
        <v>46286</v>
      </c>
      <c r="C4170" s="312">
        <v>14</v>
      </c>
      <c r="D4170" s="368">
        <f>IFERROR((INDEX(METADATA!$T$2:$T$20,MATCH(B4170,METADATA!$S$2:$S$20,0))),0)</f>
        <v>0</v>
      </c>
      <c r="E4170" s="312" t="str">
        <f t="shared" si="260"/>
        <v>LO</v>
      </c>
      <c r="F4170" s="369">
        <f>VLOOKUP(C4170,METADATA!$A$5:$H$29,IF(E4170="HI",2,IF(E4170="LO",6,10))+IF(D4170=1,2,IF(D4170=7,1,(IF(WEEKDAY(B4170)=1,2,IF(WEEKDAY(B4170)=7,1,0))))))</f>
        <v>2</v>
      </c>
      <c r="G4170" s="369">
        <f>VLOOKUP(C4170,METADATA!$J$5:$Q$29,IF(E4170="HI",2,IF(E4170="LO",6,10))+IF(D4170=1,2,IF(D4170=7,1,(IF(WEEKDAY(B4170)=1,2,IF(WEEKDAY(B4170)=7,1,0))))))</f>
        <v>2</v>
      </c>
      <c r="H4170" s="370">
        <v>13113.77490234375</v>
      </c>
      <c r="I4170" s="370">
        <v>4489.3201293945313</v>
      </c>
      <c r="M4170" s="371">
        <f t="shared" si="261"/>
        <v>13860.919428866462</v>
      </c>
      <c r="N4170" s="329">
        <f t="shared" si="262"/>
        <v>555.18765869140634</v>
      </c>
      <c r="T4170" s="331">
        <v>0</v>
      </c>
      <c r="U4170" s="328">
        <f>VLOOKUP(C4170,METADATA!$J$5:$Q$29,IF(E4170="HI",2,IF(E4170="LO",6,10))+IF(T4170=1,2,IF(D4170=7,1,(IF(WEEKDAY(B4170)=1,2,IF(WEEKDAY(B4170)=7,1,0))))))</f>
        <v>2</v>
      </c>
      <c r="V4170" s="328">
        <f>VLOOKUP(C4170,METADATA!$A$5:$H$29,IF(E4170="HI",2,IF(E4170="LO",6,10))+IF(T4170=1,2,IF(D4170=7,1,(IF(WEEKDAY(B4170)=1,2,IF(WEEKDAY(B4170)=7,1,0))))))</f>
        <v>2</v>
      </c>
    </row>
    <row r="4171" spans="2:22">
      <c r="B4171" s="318">
        <f t="shared" si="259"/>
        <v>46286</v>
      </c>
      <c r="C4171" s="312">
        <v>15</v>
      </c>
      <c r="D4171" s="368">
        <f>IFERROR((INDEX(METADATA!$T$2:$T$20,MATCH(B4171,METADATA!$S$2:$S$20,0))),0)</f>
        <v>0</v>
      </c>
      <c r="E4171" s="312" t="str">
        <f t="shared" si="260"/>
        <v>LO</v>
      </c>
      <c r="F4171" s="369">
        <f>VLOOKUP(C4171,METADATA!$A$5:$H$29,IF(E4171="HI",2,IF(E4171="LO",6,10))+IF(D4171=1,2,IF(D4171=7,1,(IF(WEEKDAY(B4171)=1,2,IF(WEEKDAY(B4171)=7,1,0))))))</f>
        <v>2</v>
      </c>
      <c r="G4171" s="369">
        <f>VLOOKUP(C4171,METADATA!$J$5:$Q$29,IF(E4171="HI",2,IF(E4171="LO",6,10))+IF(D4171=1,2,IF(D4171=7,1,(IF(WEEKDAY(B4171)=1,2,IF(WEEKDAY(B4171)=7,1,0))))))</f>
        <v>2</v>
      </c>
      <c r="H4171" s="370">
        <v>13188.949890136719</v>
      </c>
      <c r="I4171" s="370">
        <v>4456.7350158691406</v>
      </c>
      <c r="M4171" s="371">
        <f t="shared" si="261"/>
        <v>13921.597832368649</v>
      </c>
      <c r="N4171" s="329">
        <f t="shared" si="262"/>
        <v>500.050048828125</v>
      </c>
      <c r="T4171" s="331">
        <v>0</v>
      </c>
      <c r="U4171" s="328">
        <f>VLOOKUP(C4171,METADATA!$J$5:$Q$29,IF(E4171="HI",2,IF(E4171="LO",6,10))+IF(T4171=1,2,IF(D4171=7,1,(IF(WEEKDAY(B4171)=1,2,IF(WEEKDAY(B4171)=7,1,0))))))</f>
        <v>2</v>
      </c>
      <c r="V4171" s="328">
        <f>VLOOKUP(C4171,METADATA!$A$5:$H$29,IF(E4171="HI",2,IF(E4171="LO",6,10))+IF(T4171=1,2,IF(D4171=7,1,(IF(WEEKDAY(B4171)=1,2,IF(WEEKDAY(B4171)=7,1,0))))))</f>
        <v>2</v>
      </c>
    </row>
    <row r="4172" spans="2:22">
      <c r="B4172" s="318">
        <f t="shared" si="259"/>
        <v>46286</v>
      </c>
      <c r="C4172" s="312">
        <v>16</v>
      </c>
      <c r="D4172" s="368">
        <f>IFERROR((INDEX(METADATA!$T$2:$T$20,MATCH(B4172,METADATA!$S$2:$S$20,0))),0)</f>
        <v>0</v>
      </c>
      <c r="E4172" s="312" t="str">
        <f t="shared" si="260"/>
        <v>LO</v>
      </c>
      <c r="F4172" s="369">
        <f>VLOOKUP(C4172,METADATA!$A$5:$H$29,IF(E4172="HI",2,IF(E4172="LO",6,10))+IF(D4172=1,2,IF(D4172=7,1,(IF(WEEKDAY(B4172)=1,2,IF(WEEKDAY(B4172)=7,1,0))))))</f>
        <v>2</v>
      </c>
      <c r="G4172" s="369">
        <f>VLOOKUP(C4172,METADATA!$J$5:$Q$29,IF(E4172="HI",2,IF(E4172="LO",6,10))+IF(D4172=1,2,IF(D4172=7,1,(IF(WEEKDAY(B4172)=1,2,IF(WEEKDAY(B4172)=7,1,0))))))</f>
        <v>2</v>
      </c>
      <c r="H4172" s="370">
        <v>12519.500305175781</v>
      </c>
      <c r="I4172" s="370">
        <v>4064.9949340820313</v>
      </c>
      <c r="M4172" s="371">
        <f t="shared" si="261"/>
        <v>13162.905139269562</v>
      </c>
      <c r="N4172" s="329">
        <f t="shared" si="262"/>
        <v>309.14484252929697</v>
      </c>
      <c r="T4172" s="331">
        <v>0</v>
      </c>
      <c r="U4172" s="328">
        <f>VLOOKUP(C4172,METADATA!$J$5:$Q$29,IF(E4172="HI",2,IF(E4172="LO",6,10))+IF(T4172=1,2,IF(D4172=7,1,(IF(WEEKDAY(B4172)=1,2,IF(WEEKDAY(B4172)=7,1,0))))))</f>
        <v>2</v>
      </c>
      <c r="V4172" s="328">
        <f>VLOOKUP(C4172,METADATA!$A$5:$H$29,IF(E4172="HI",2,IF(E4172="LO",6,10))+IF(T4172=1,2,IF(D4172=7,1,(IF(WEEKDAY(B4172)=1,2,IF(WEEKDAY(B4172)=7,1,0))))))</f>
        <v>2</v>
      </c>
    </row>
    <row r="4173" spans="2:22">
      <c r="B4173" s="318">
        <f t="shared" si="259"/>
        <v>46286</v>
      </c>
      <c r="C4173" s="312">
        <v>17</v>
      </c>
      <c r="D4173" s="368">
        <f>IFERROR((INDEX(METADATA!$T$2:$T$20,MATCH(B4173,METADATA!$S$2:$S$20,0))),0)</f>
        <v>0</v>
      </c>
      <c r="E4173" s="312" t="str">
        <f t="shared" si="260"/>
        <v>LO</v>
      </c>
      <c r="F4173" s="369">
        <f>VLOOKUP(C4173,METADATA!$A$5:$H$29,IF(E4173="HI",2,IF(E4173="LO",6,10))+IF(D4173=1,2,IF(D4173=7,1,(IF(WEEKDAY(B4173)=1,2,IF(WEEKDAY(B4173)=7,1,0))))))</f>
        <v>2</v>
      </c>
      <c r="G4173" s="369">
        <f>VLOOKUP(C4173,METADATA!$J$5:$Q$29,IF(E4173="HI",2,IF(E4173="LO",6,10))+IF(D4173=1,2,IF(D4173=7,1,(IF(WEEKDAY(B4173)=1,2,IF(WEEKDAY(B4173)=7,1,0))))))</f>
        <v>2</v>
      </c>
      <c r="H4173" s="370">
        <v>11065.265045166016</v>
      </c>
      <c r="I4173" s="370">
        <v>3069.9024963378906</v>
      </c>
      <c r="M4173" s="371">
        <f t="shared" si="261"/>
        <v>11483.222189646705</v>
      </c>
      <c r="N4173" s="329">
        <f t="shared" si="262"/>
        <v>0</v>
      </c>
      <c r="T4173" s="331">
        <v>0</v>
      </c>
      <c r="U4173" s="328">
        <f>VLOOKUP(C4173,METADATA!$J$5:$Q$29,IF(E4173="HI",2,IF(E4173="LO",6,10))+IF(T4173=1,2,IF(D4173=7,1,(IF(WEEKDAY(B4173)=1,2,IF(WEEKDAY(B4173)=7,1,0))))))</f>
        <v>2</v>
      </c>
      <c r="V4173" s="328">
        <f>VLOOKUP(C4173,METADATA!$A$5:$H$29,IF(E4173="HI",2,IF(E4173="LO",6,10))+IF(T4173=1,2,IF(D4173=7,1,(IF(WEEKDAY(B4173)=1,2,IF(WEEKDAY(B4173)=7,1,0))))))</f>
        <v>2</v>
      </c>
    </row>
    <row r="4174" spans="2:22">
      <c r="B4174" s="318">
        <f t="shared" si="259"/>
        <v>46286</v>
      </c>
      <c r="C4174" s="312">
        <v>18</v>
      </c>
      <c r="D4174" s="368">
        <f>IFERROR((INDEX(METADATA!$T$2:$T$20,MATCH(B4174,METADATA!$S$2:$S$20,0))),0)</f>
        <v>0</v>
      </c>
      <c r="E4174" s="312" t="str">
        <f t="shared" si="260"/>
        <v>LO</v>
      </c>
      <c r="F4174" s="369">
        <f>VLOOKUP(C4174,METADATA!$A$5:$H$29,IF(E4174="HI",2,IF(E4174="LO",6,10))+IF(D4174=1,2,IF(D4174=7,1,(IF(WEEKDAY(B4174)=1,2,IF(WEEKDAY(B4174)=7,1,0))))))</f>
        <v>1</v>
      </c>
      <c r="G4174" s="369">
        <f>VLOOKUP(C4174,METADATA!$J$5:$Q$29,IF(E4174="HI",2,IF(E4174="LO",6,10))+IF(D4174=1,2,IF(D4174=7,1,(IF(WEEKDAY(B4174)=1,2,IF(WEEKDAY(B4174)=7,1,0))))))</f>
        <v>1</v>
      </c>
      <c r="H4174" s="370">
        <v>11309.244903564453</v>
      </c>
      <c r="I4174" s="370">
        <v>3077.1024780273438</v>
      </c>
      <c r="M4174" s="371">
        <f t="shared" si="261"/>
        <v>11720.391629509681</v>
      </c>
      <c r="N4174" s="329">
        <f t="shared" si="262"/>
        <v>0</v>
      </c>
      <c r="T4174" s="331">
        <v>0</v>
      </c>
      <c r="U4174" s="328">
        <f>VLOOKUP(C4174,METADATA!$J$5:$Q$29,IF(E4174="HI",2,IF(E4174="LO",6,10))+IF(T4174=1,2,IF(D4174=7,1,(IF(WEEKDAY(B4174)=1,2,IF(WEEKDAY(B4174)=7,1,0))))))</f>
        <v>1</v>
      </c>
      <c r="V4174" s="328">
        <f>VLOOKUP(C4174,METADATA!$A$5:$H$29,IF(E4174="HI",2,IF(E4174="LO",6,10))+IF(T4174=1,2,IF(D4174=7,1,(IF(WEEKDAY(B4174)=1,2,IF(WEEKDAY(B4174)=7,1,0))))))</f>
        <v>1</v>
      </c>
    </row>
    <row r="4175" spans="2:22">
      <c r="B4175" s="318">
        <f t="shared" si="259"/>
        <v>46286</v>
      </c>
      <c r="C4175" s="312">
        <v>19</v>
      </c>
      <c r="D4175" s="368">
        <f>IFERROR((INDEX(METADATA!$T$2:$T$20,MATCH(B4175,METADATA!$S$2:$S$20,0))),0)</f>
        <v>0</v>
      </c>
      <c r="E4175" s="312" t="str">
        <f t="shared" si="260"/>
        <v>LO</v>
      </c>
      <c r="F4175" s="369">
        <f>VLOOKUP(C4175,METADATA!$A$5:$H$29,IF(E4175="HI",2,IF(E4175="LO",6,10))+IF(D4175=1,2,IF(D4175=7,1,(IF(WEEKDAY(B4175)=1,2,IF(WEEKDAY(B4175)=7,1,0))))))</f>
        <v>1</v>
      </c>
      <c r="G4175" s="369">
        <f>VLOOKUP(C4175,METADATA!$J$5:$Q$29,IF(E4175="HI",2,IF(E4175="LO",6,10))+IF(D4175=1,2,IF(D4175=7,1,(IF(WEEKDAY(B4175)=1,2,IF(WEEKDAY(B4175)=7,1,0))))))</f>
        <v>1</v>
      </c>
      <c r="H4175" s="370">
        <v>12730.875</v>
      </c>
      <c r="I4175" s="370">
        <v>3937.4250183105469</v>
      </c>
      <c r="M4175" s="371">
        <f t="shared" si="261"/>
        <v>13325.85809771524</v>
      </c>
      <c r="N4175" s="329">
        <f t="shared" si="262"/>
        <v>118.16251831054706</v>
      </c>
      <c r="T4175" s="331">
        <v>0</v>
      </c>
      <c r="U4175" s="328">
        <f>VLOOKUP(C4175,METADATA!$J$5:$Q$29,IF(E4175="HI",2,IF(E4175="LO",6,10))+IF(T4175=1,2,IF(D4175=7,1,(IF(WEEKDAY(B4175)=1,2,IF(WEEKDAY(B4175)=7,1,0))))))</f>
        <v>1</v>
      </c>
      <c r="V4175" s="328">
        <f>VLOOKUP(C4175,METADATA!$A$5:$H$29,IF(E4175="HI",2,IF(E4175="LO",6,10))+IF(T4175=1,2,IF(D4175=7,1,(IF(WEEKDAY(B4175)=1,2,IF(WEEKDAY(B4175)=7,1,0))))))</f>
        <v>1</v>
      </c>
    </row>
    <row r="4176" spans="2:22">
      <c r="B4176" s="318">
        <f t="shared" si="259"/>
        <v>46286</v>
      </c>
      <c r="C4176" s="312">
        <v>20</v>
      </c>
      <c r="D4176" s="368">
        <f>IFERROR((INDEX(METADATA!$T$2:$T$20,MATCH(B4176,METADATA!$S$2:$S$20,0))),0)</f>
        <v>0</v>
      </c>
      <c r="E4176" s="312" t="str">
        <f t="shared" si="260"/>
        <v>LO</v>
      </c>
      <c r="F4176" s="369">
        <f>VLOOKUP(C4176,METADATA!$A$5:$H$29,IF(E4176="HI",2,IF(E4176="LO",6,10))+IF(D4176=1,2,IF(D4176=7,1,(IF(WEEKDAY(B4176)=1,2,IF(WEEKDAY(B4176)=7,1,0))))))</f>
        <v>1</v>
      </c>
      <c r="G4176" s="369">
        <f>VLOOKUP(C4176,METADATA!$J$5:$Q$29,IF(E4176="HI",2,IF(E4176="LO",6,10))+IF(D4176=1,2,IF(D4176=7,1,(IF(WEEKDAY(B4176)=1,2,IF(WEEKDAY(B4176)=7,1,0))))))</f>
        <v>1</v>
      </c>
      <c r="H4176" s="370">
        <v>12962.600158691406</v>
      </c>
      <c r="I4176" s="370">
        <v>4175.8750610351563</v>
      </c>
      <c r="M4176" s="371">
        <f t="shared" si="261"/>
        <v>13618.624578109268</v>
      </c>
      <c r="N4176" s="329">
        <f t="shared" si="262"/>
        <v>287.09501342773456</v>
      </c>
      <c r="T4176" s="331">
        <v>0</v>
      </c>
      <c r="U4176" s="328">
        <f>VLOOKUP(C4176,METADATA!$J$5:$Q$29,IF(E4176="HI",2,IF(E4176="LO",6,10))+IF(T4176=1,2,IF(D4176=7,1,(IF(WEEKDAY(B4176)=1,2,IF(WEEKDAY(B4176)=7,1,0))))))</f>
        <v>1</v>
      </c>
      <c r="V4176" s="328">
        <f>VLOOKUP(C4176,METADATA!$A$5:$H$29,IF(E4176="HI",2,IF(E4176="LO",6,10))+IF(T4176=1,2,IF(D4176=7,1,(IF(WEEKDAY(B4176)=1,2,IF(WEEKDAY(B4176)=7,1,0))))))</f>
        <v>1</v>
      </c>
    </row>
    <row r="4177" spans="2:22">
      <c r="B4177" s="318">
        <f t="shared" si="259"/>
        <v>46286</v>
      </c>
      <c r="C4177" s="312">
        <v>21</v>
      </c>
      <c r="D4177" s="368">
        <f>IFERROR((INDEX(METADATA!$T$2:$T$20,MATCH(B4177,METADATA!$S$2:$S$20,0))),0)</f>
        <v>0</v>
      </c>
      <c r="E4177" s="312" t="str">
        <f t="shared" si="260"/>
        <v>LO</v>
      </c>
      <c r="F4177" s="369">
        <f>VLOOKUP(C4177,METADATA!$A$5:$H$29,IF(E4177="HI",2,IF(E4177="LO",6,10))+IF(D4177=1,2,IF(D4177=7,1,(IF(WEEKDAY(B4177)=1,2,IF(WEEKDAY(B4177)=7,1,0))))))</f>
        <v>2</v>
      </c>
      <c r="G4177" s="369">
        <f>VLOOKUP(C4177,METADATA!$J$5:$Q$29,IF(E4177="HI",2,IF(E4177="LO",6,10))+IF(D4177=1,2,IF(D4177=7,1,(IF(WEEKDAY(B4177)=1,2,IF(WEEKDAY(B4177)=7,1,0))))))</f>
        <v>2</v>
      </c>
      <c r="H4177" s="370">
        <v>13066.000122070313</v>
      </c>
      <c r="I4177" s="370">
        <v>4332.5398559570313</v>
      </c>
      <c r="M4177" s="371">
        <f t="shared" si="261"/>
        <v>13765.58247199869</v>
      </c>
      <c r="N4177" s="329">
        <f t="shared" si="262"/>
        <v>412.73981933593768</v>
      </c>
      <c r="T4177" s="331">
        <v>0</v>
      </c>
      <c r="U4177" s="328">
        <f>VLOOKUP(C4177,METADATA!$J$5:$Q$29,IF(E4177="HI",2,IF(E4177="LO",6,10))+IF(T4177=1,2,IF(D4177=7,1,(IF(WEEKDAY(B4177)=1,2,IF(WEEKDAY(B4177)=7,1,0))))))</f>
        <v>2</v>
      </c>
      <c r="V4177" s="328">
        <f>VLOOKUP(C4177,METADATA!$A$5:$H$29,IF(E4177="HI",2,IF(E4177="LO",6,10))+IF(T4177=1,2,IF(D4177=7,1,(IF(WEEKDAY(B4177)=1,2,IF(WEEKDAY(B4177)=7,1,0))))))</f>
        <v>2</v>
      </c>
    </row>
    <row r="4178" spans="2:22">
      <c r="B4178" s="318">
        <f t="shared" si="259"/>
        <v>46286</v>
      </c>
      <c r="C4178" s="312">
        <v>22</v>
      </c>
      <c r="D4178" s="368">
        <f>IFERROR((INDEX(METADATA!$T$2:$T$20,MATCH(B4178,METADATA!$S$2:$S$20,0))),0)</f>
        <v>0</v>
      </c>
      <c r="E4178" s="312" t="str">
        <f t="shared" si="260"/>
        <v>LO</v>
      </c>
      <c r="F4178" s="369">
        <f>VLOOKUP(C4178,METADATA!$A$5:$H$29,IF(E4178="HI",2,IF(E4178="LO",6,10))+IF(D4178=1,2,IF(D4178=7,1,(IF(WEEKDAY(B4178)=1,2,IF(WEEKDAY(B4178)=7,1,0))))))</f>
        <v>3</v>
      </c>
      <c r="G4178" s="369">
        <f>VLOOKUP(C4178,METADATA!$J$5:$Q$29,IF(E4178="HI",2,IF(E4178="LO",6,10))+IF(D4178=1,2,IF(D4178=7,1,(IF(WEEKDAY(B4178)=1,2,IF(WEEKDAY(B4178)=7,1,0))))))</f>
        <v>3</v>
      </c>
      <c r="H4178" s="370">
        <v>13083.549743652344</v>
      </c>
      <c r="I4178" s="370">
        <v>4212.4799499511719</v>
      </c>
      <c r="M4178" s="371">
        <f t="shared" si="261"/>
        <v>13744.972216172935</v>
      </c>
      <c r="N4178" s="329">
        <f t="shared" si="262"/>
        <v>287.41502685546902</v>
      </c>
      <c r="T4178" s="331">
        <v>0</v>
      </c>
      <c r="U4178" s="328">
        <f>VLOOKUP(C4178,METADATA!$J$5:$Q$29,IF(E4178="HI",2,IF(E4178="LO",6,10))+IF(T4178=1,2,IF(D4178=7,1,(IF(WEEKDAY(B4178)=1,2,IF(WEEKDAY(B4178)=7,1,0))))))</f>
        <v>3</v>
      </c>
      <c r="V4178" s="328">
        <f>VLOOKUP(C4178,METADATA!$A$5:$H$29,IF(E4178="HI",2,IF(E4178="LO",6,10))+IF(T4178=1,2,IF(D4178=7,1,(IF(WEEKDAY(B4178)=1,2,IF(WEEKDAY(B4178)=7,1,0))))))</f>
        <v>3</v>
      </c>
    </row>
    <row r="4179" spans="2:22">
      <c r="B4179" s="318">
        <f t="shared" si="259"/>
        <v>46286</v>
      </c>
      <c r="C4179" s="312">
        <v>23</v>
      </c>
      <c r="D4179" s="368">
        <f>IFERROR((INDEX(METADATA!$T$2:$T$20,MATCH(B4179,METADATA!$S$2:$S$20,0))),0)</f>
        <v>0</v>
      </c>
      <c r="E4179" s="312" t="str">
        <f t="shared" si="260"/>
        <v>LO</v>
      </c>
      <c r="F4179" s="369">
        <f>VLOOKUP(C4179,METADATA!$A$5:$H$29,IF(E4179="HI",2,IF(E4179="LO",6,10))+IF(D4179=1,2,IF(D4179=7,1,(IF(WEEKDAY(B4179)=1,2,IF(WEEKDAY(B4179)=7,1,0))))))</f>
        <v>3</v>
      </c>
      <c r="G4179" s="369">
        <f>VLOOKUP(C4179,METADATA!$J$5:$Q$29,IF(E4179="HI",2,IF(E4179="LO",6,10))+IF(D4179=1,2,IF(D4179=7,1,(IF(WEEKDAY(B4179)=1,2,IF(WEEKDAY(B4179)=7,1,0))))))</f>
        <v>3</v>
      </c>
      <c r="H4179" s="370">
        <v>12750.649841308594</v>
      </c>
      <c r="I4179" s="370">
        <v>4016.7700805664063</v>
      </c>
      <c r="M4179" s="371">
        <f t="shared" si="261"/>
        <v>13368.377360614724</v>
      </c>
      <c r="N4179" s="329">
        <f t="shared" si="262"/>
        <v>191.57512817382849</v>
      </c>
      <c r="T4179" s="331">
        <v>0</v>
      </c>
      <c r="U4179" s="328">
        <f>VLOOKUP(C4179,METADATA!$J$5:$Q$29,IF(E4179="HI",2,IF(E4179="LO",6,10))+IF(T4179=1,2,IF(D4179=7,1,(IF(WEEKDAY(B4179)=1,2,IF(WEEKDAY(B4179)=7,1,0))))))</f>
        <v>3</v>
      </c>
      <c r="V4179" s="328">
        <f>VLOOKUP(C4179,METADATA!$A$5:$H$29,IF(E4179="HI",2,IF(E4179="LO",6,10))+IF(T4179=1,2,IF(D4179=7,1,(IF(WEEKDAY(B4179)=1,2,IF(WEEKDAY(B4179)=7,1,0))))))</f>
        <v>3</v>
      </c>
    </row>
    <row r="4180" spans="2:22">
      <c r="B4180" s="318">
        <f t="shared" si="259"/>
        <v>46287</v>
      </c>
      <c r="C4180" s="312">
        <v>0</v>
      </c>
      <c r="D4180" s="368">
        <f>IFERROR((INDEX(METADATA!$T$2:$T$20,MATCH(B4180,METADATA!$S$2:$S$20,0))),0)</f>
        <v>0</v>
      </c>
      <c r="E4180" s="312" t="str">
        <f t="shared" si="260"/>
        <v>LO</v>
      </c>
      <c r="F4180" s="369">
        <f>VLOOKUP(C4180,METADATA!$A$5:$H$29,IF(E4180="HI",2,IF(E4180="LO",6,10))+IF(D4180=1,2,IF(D4180=7,1,(IF(WEEKDAY(B4180)=1,2,IF(WEEKDAY(B4180)=7,1,0))))))</f>
        <v>3</v>
      </c>
      <c r="G4180" s="369">
        <f>VLOOKUP(C4180,METADATA!$J$5:$Q$29,IF(E4180="HI",2,IF(E4180="LO",6,10))+IF(D4180=1,2,IF(D4180=7,1,(IF(WEEKDAY(B4180)=1,2,IF(WEEKDAY(B4180)=7,1,0))))))</f>
        <v>3</v>
      </c>
      <c r="H4180" s="370">
        <v>12808.249938964844</v>
      </c>
      <c r="I4180" s="370">
        <v>4055.2950744628906</v>
      </c>
      <c r="M4180" s="371">
        <f t="shared" si="261"/>
        <v>13434.905457053128</v>
      </c>
      <c r="N4180" s="329">
        <f t="shared" si="262"/>
        <v>212.82009277343786</v>
      </c>
      <c r="T4180" s="331">
        <v>0</v>
      </c>
      <c r="U4180" s="328">
        <f>VLOOKUP(C4180,METADATA!$J$5:$Q$29,IF(E4180="HI",2,IF(E4180="LO",6,10))+IF(T4180=1,2,IF(D4180=7,1,(IF(WEEKDAY(B4180)=1,2,IF(WEEKDAY(B4180)=7,1,0))))))</f>
        <v>3</v>
      </c>
      <c r="V4180" s="328">
        <f>VLOOKUP(C4180,METADATA!$A$5:$H$29,IF(E4180="HI",2,IF(E4180="LO",6,10))+IF(T4180=1,2,IF(D4180=7,1,(IF(WEEKDAY(B4180)=1,2,IF(WEEKDAY(B4180)=7,1,0))))))</f>
        <v>3</v>
      </c>
    </row>
    <row r="4181" spans="2:22">
      <c r="B4181" s="318">
        <f t="shared" si="259"/>
        <v>46287</v>
      </c>
      <c r="C4181" s="312">
        <v>1</v>
      </c>
      <c r="D4181" s="368">
        <f>IFERROR((INDEX(METADATA!$T$2:$T$20,MATCH(B4181,METADATA!$S$2:$S$20,0))),0)</f>
        <v>0</v>
      </c>
      <c r="E4181" s="312" t="str">
        <f t="shared" si="260"/>
        <v>LO</v>
      </c>
      <c r="F4181" s="369">
        <f>VLOOKUP(C4181,METADATA!$A$5:$H$29,IF(E4181="HI",2,IF(E4181="LO",6,10))+IF(D4181=1,2,IF(D4181=7,1,(IF(WEEKDAY(B4181)=1,2,IF(WEEKDAY(B4181)=7,1,0))))))</f>
        <v>3</v>
      </c>
      <c r="G4181" s="369">
        <f>VLOOKUP(C4181,METADATA!$J$5:$Q$29,IF(E4181="HI",2,IF(E4181="LO",6,10))+IF(D4181=1,2,IF(D4181=7,1,(IF(WEEKDAY(B4181)=1,2,IF(WEEKDAY(B4181)=7,1,0))))))</f>
        <v>3</v>
      </c>
      <c r="H4181" s="370">
        <v>12984.837463378906</v>
      </c>
      <c r="I4181" s="370">
        <v>4076.6150817871094</v>
      </c>
      <c r="M4181" s="371">
        <f t="shared" si="261"/>
        <v>13609.731609235447</v>
      </c>
      <c r="N4181" s="329">
        <f t="shared" si="262"/>
        <v>181.16384277343786</v>
      </c>
      <c r="T4181" s="331">
        <v>0</v>
      </c>
      <c r="U4181" s="328">
        <f>VLOOKUP(C4181,METADATA!$J$5:$Q$29,IF(E4181="HI",2,IF(E4181="LO",6,10))+IF(T4181=1,2,IF(D4181=7,1,(IF(WEEKDAY(B4181)=1,2,IF(WEEKDAY(B4181)=7,1,0))))))</f>
        <v>3</v>
      </c>
      <c r="V4181" s="328">
        <f>VLOOKUP(C4181,METADATA!$A$5:$H$29,IF(E4181="HI",2,IF(E4181="LO",6,10))+IF(T4181=1,2,IF(D4181=7,1,(IF(WEEKDAY(B4181)=1,2,IF(WEEKDAY(B4181)=7,1,0))))))</f>
        <v>3</v>
      </c>
    </row>
    <row r="4182" spans="2:22">
      <c r="B4182" s="318">
        <f t="shared" si="259"/>
        <v>46287</v>
      </c>
      <c r="C4182" s="312">
        <v>2</v>
      </c>
      <c r="D4182" s="368">
        <f>IFERROR((INDEX(METADATA!$T$2:$T$20,MATCH(B4182,METADATA!$S$2:$S$20,0))),0)</f>
        <v>0</v>
      </c>
      <c r="E4182" s="312" t="str">
        <f t="shared" si="260"/>
        <v>LO</v>
      </c>
      <c r="F4182" s="369">
        <f>VLOOKUP(C4182,METADATA!$A$5:$H$29,IF(E4182="HI",2,IF(E4182="LO",6,10))+IF(D4182=1,2,IF(D4182=7,1,(IF(WEEKDAY(B4182)=1,2,IF(WEEKDAY(B4182)=7,1,0))))))</f>
        <v>3</v>
      </c>
      <c r="G4182" s="369">
        <f>VLOOKUP(C4182,METADATA!$J$5:$Q$29,IF(E4182="HI",2,IF(E4182="LO",6,10))+IF(D4182=1,2,IF(D4182=7,1,(IF(WEEKDAY(B4182)=1,2,IF(WEEKDAY(B4182)=7,1,0))))))</f>
        <v>3</v>
      </c>
      <c r="H4182" s="370">
        <v>12752.000061035156</v>
      </c>
      <c r="I4182" s="370">
        <v>3976.6399841308594</v>
      </c>
      <c r="M4182" s="371">
        <f t="shared" si="261"/>
        <v>13357.66338548883</v>
      </c>
      <c r="N4182" s="329">
        <f t="shared" si="262"/>
        <v>151.03996582031277</v>
      </c>
      <c r="T4182" s="331">
        <v>0</v>
      </c>
      <c r="U4182" s="328">
        <f>VLOOKUP(C4182,METADATA!$J$5:$Q$29,IF(E4182="HI",2,IF(E4182="LO",6,10))+IF(T4182=1,2,IF(D4182=7,1,(IF(WEEKDAY(B4182)=1,2,IF(WEEKDAY(B4182)=7,1,0))))))</f>
        <v>3</v>
      </c>
      <c r="V4182" s="328">
        <f>VLOOKUP(C4182,METADATA!$A$5:$H$29,IF(E4182="HI",2,IF(E4182="LO",6,10))+IF(T4182=1,2,IF(D4182=7,1,(IF(WEEKDAY(B4182)=1,2,IF(WEEKDAY(B4182)=7,1,0))))))</f>
        <v>3</v>
      </c>
    </row>
    <row r="4183" spans="2:22">
      <c r="B4183" s="318">
        <f t="shared" si="259"/>
        <v>46287</v>
      </c>
      <c r="C4183" s="312">
        <v>3</v>
      </c>
      <c r="D4183" s="368">
        <f>IFERROR((INDEX(METADATA!$T$2:$T$20,MATCH(B4183,METADATA!$S$2:$S$20,0))),0)</f>
        <v>0</v>
      </c>
      <c r="E4183" s="312" t="str">
        <f t="shared" si="260"/>
        <v>LO</v>
      </c>
      <c r="F4183" s="369">
        <f>VLOOKUP(C4183,METADATA!$A$5:$H$29,IF(E4183="HI",2,IF(E4183="LO",6,10))+IF(D4183=1,2,IF(D4183=7,1,(IF(WEEKDAY(B4183)=1,2,IF(WEEKDAY(B4183)=7,1,0))))))</f>
        <v>3</v>
      </c>
      <c r="G4183" s="369">
        <f>VLOOKUP(C4183,METADATA!$J$5:$Q$29,IF(E4183="HI",2,IF(E4183="LO",6,10))+IF(D4183=1,2,IF(D4183=7,1,(IF(WEEKDAY(B4183)=1,2,IF(WEEKDAY(B4183)=7,1,0))))))</f>
        <v>3</v>
      </c>
      <c r="H4183" s="370">
        <v>13122.650146484375</v>
      </c>
      <c r="I4183" s="370">
        <v>3985.0149841308594</v>
      </c>
      <c r="M4183" s="371">
        <f t="shared" si="261"/>
        <v>13714.382643443119</v>
      </c>
      <c r="N4183" s="329">
        <f t="shared" si="262"/>
        <v>48.219940185546875</v>
      </c>
      <c r="T4183" s="331">
        <v>0</v>
      </c>
      <c r="U4183" s="328">
        <f>VLOOKUP(C4183,METADATA!$J$5:$Q$29,IF(E4183="HI",2,IF(E4183="LO",6,10))+IF(T4183=1,2,IF(D4183=7,1,(IF(WEEKDAY(B4183)=1,2,IF(WEEKDAY(B4183)=7,1,0))))))</f>
        <v>3</v>
      </c>
      <c r="V4183" s="328">
        <f>VLOOKUP(C4183,METADATA!$A$5:$H$29,IF(E4183="HI",2,IF(E4183="LO",6,10))+IF(T4183=1,2,IF(D4183=7,1,(IF(WEEKDAY(B4183)=1,2,IF(WEEKDAY(B4183)=7,1,0))))))</f>
        <v>3</v>
      </c>
    </row>
    <row r="4184" spans="2:22">
      <c r="B4184" s="318">
        <f t="shared" si="259"/>
        <v>46287</v>
      </c>
      <c r="C4184" s="312">
        <v>4</v>
      </c>
      <c r="D4184" s="368">
        <f>IFERROR((INDEX(METADATA!$T$2:$T$20,MATCH(B4184,METADATA!$S$2:$S$20,0))),0)</f>
        <v>0</v>
      </c>
      <c r="E4184" s="312" t="str">
        <f t="shared" si="260"/>
        <v>LO</v>
      </c>
      <c r="F4184" s="369">
        <f>VLOOKUP(C4184,METADATA!$A$5:$H$29,IF(E4184="HI",2,IF(E4184="LO",6,10))+IF(D4184=1,2,IF(D4184=7,1,(IF(WEEKDAY(B4184)=1,2,IF(WEEKDAY(B4184)=7,1,0))))))</f>
        <v>3</v>
      </c>
      <c r="G4184" s="369">
        <f>VLOOKUP(C4184,METADATA!$J$5:$Q$29,IF(E4184="HI",2,IF(E4184="LO",6,10))+IF(D4184=1,2,IF(D4184=7,1,(IF(WEEKDAY(B4184)=1,2,IF(WEEKDAY(B4184)=7,1,0))))))</f>
        <v>3</v>
      </c>
      <c r="H4184" s="370">
        <v>13014.475219726563</v>
      </c>
      <c r="I4184" s="370">
        <v>4067.7099914550781</v>
      </c>
      <c r="M4184" s="371">
        <f t="shared" si="261"/>
        <v>13635.352207385778</v>
      </c>
      <c r="N4184" s="329">
        <f t="shared" si="262"/>
        <v>163.36742553710974</v>
      </c>
      <c r="T4184" s="331">
        <v>0</v>
      </c>
      <c r="U4184" s="328">
        <f>VLOOKUP(C4184,METADATA!$J$5:$Q$29,IF(E4184="HI",2,IF(E4184="LO",6,10))+IF(T4184=1,2,IF(D4184=7,1,(IF(WEEKDAY(B4184)=1,2,IF(WEEKDAY(B4184)=7,1,0))))))</f>
        <v>3</v>
      </c>
      <c r="V4184" s="328">
        <f>VLOOKUP(C4184,METADATA!$A$5:$H$29,IF(E4184="HI",2,IF(E4184="LO",6,10))+IF(T4184=1,2,IF(D4184=7,1,(IF(WEEKDAY(B4184)=1,2,IF(WEEKDAY(B4184)=7,1,0))))))</f>
        <v>3</v>
      </c>
    </row>
    <row r="4185" spans="2:22">
      <c r="B4185" s="318">
        <f t="shared" si="259"/>
        <v>46287</v>
      </c>
      <c r="C4185" s="312">
        <v>5</v>
      </c>
      <c r="D4185" s="368">
        <f>IFERROR((INDEX(METADATA!$T$2:$T$20,MATCH(B4185,METADATA!$S$2:$S$20,0))),0)</f>
        <v>0</v>
      </c>
      <c r="E4185" s="312" t="str">
        <f t="shared" si="260"/>
        <v>LO</v>
      </c>
      <c r="F4185" s="369">
        <f>VLOOKUP(C4185,METADATA!$A$5:$H$29,IF(E4185="HI",2,IF(E4185="LO",6,10))+IF(D4185=1,2,IF(D4185=7,1,(IF(WEEKDAY(B4185)=1,2,IF(WEEKDAY(B4185)=7,1,0))))))</f>
        <v>3</v>
      </c>
      <c r="G4185" s="369">
        <f>VLOOKUP(C4185,METADATA!$J$5:$Q$29,IF(E4185="HI",2,IF(E4185="LO",6,10))+IF(D4185=1,2,IF(D4185=7,1,(IF(WEEKDAY(B4185)=1,2,IF(WEEKDAY(B4185)=7,1,0))))))</f>
        <v>3</v>
      </c>
      <c r="H4185" s="370">
        <v>13045.974853515625</v>
      </c>
      <c r="I4185" s="370">
        <v>4074.594970703125</v>
      </c>
      <c r="M4185" s="371">
        <f t="shared" si="261"/>
        <v>13667.471750614348</v>
      </c>
      <c r="N4185" s="329">
        <f t="shared" si="262"/>
        <v>160.80251464843786</v>
      </c>
      <c r="T4185" s="331">
        <v>0</v>
      </c>
      <c r="U4185" s="328">
        <f>VLOOKUP(C4185,METADATA!$J$5:$Q$29,IF(E4185="HI",2,IF(E4185="LO",6,10))+IF(T4185=1,2,IF(D4185=7,1,(IF(WEEKDAY(B4185)=1,2,IF(WEEKDAY(B4185)=7,1,0))))))</f>
        <v>3</v>
      </c>
      <c r="V4185" s="328">
        <f>VLOOKUP(C4185,METADATA!$A$5:$H$29,IF(E4185="HI",2,IF(E4185="LO",6,10))+IF(T4185=1,2,IF(D4185=7,1,(IF(WEEKDAY(B4185)=1,2,IF(WEEKDAY(B4185)=7,1,0))))))</f>
        <v>3</v>
      </c>
    </row>
    <row r="4186" spans="2:22">
      <c r="B4186" s="318">
        <f t="shared" si="259"/>
        <v>46287</v>
      </c>
      <c r="C4186" s="312">
        <v>6</v>
      </c>
      <c r="D4186" s="368">
        <f>IFERROR((INDEX(METADATA!$T$2:$T$20,MATCH(B4186,METADATA!$S$2:$S$20,0))),0)</f>
        <v>0</v>
      </c>
      <c r="E4186" s="312" t="str">
        <f t="shared" si="260"/>
        <v>LO</v>
      </c>
      <c r="F4186" s="369">
        <f>VLOOKUP(C4186,METADATA!$A$5:$H$29,IF(E4186="HI",2,IF(E4186="LO",6,10))+IF(D4186=1,2,IF(D4186=7,1,(IF(WEEKDAY(B4186)=1,2,IF(WEEKDAY(B4186)=7,1,0))))))</f>
        <v>2</v>
      </c>
      <c r="G4186" s="369">
        <f>VLOOKUP(C4186,METADATA!$J$5:$Q$29,IF(E4186="HI",2,IF(E4186="LO",6,10))+IF(D4186=1,2,IF(D4186=7,1,(IF(WEEKDAY(B4186)=1,2,IF(WEEKDAY(B4186)=7,1,0))))))</f>
        <v>2</v>
      </c>
      <c r="H4186" s="370">
        <v>12924.250061035156</v>
      </c>
      <c r="I4186" s="370">
        <v>4012.6050720214844</v>
      </c>
      <c r="M4186" s="371">
        <f t="shared" si="261"/>
        <v>13532.820811057087</v>
      </c>
      <c r="N4186" s="329">
        <f t="shared" si="262"/>
        <v>135.33005371093759</v>
      </c>
      <c r="T4186" s="331">
        <v>0</v>
      </c>
      <c r="U4186" s="328">
        <f>VLOOKUP(C4186,METADATA!$J$5:$Q$29,IF(E4186="HI",2,IF(E4186="LO",6,10))+IF(T4186=1,2,IF(D4186=7,1,(IF(WEEKDAY(B4186)=1,2,IF(WEEKDAY(B4186)=7,1,0))))))</f>
        <v>2</v>
      </c>
      <c r="V4186" s="328">
        <f>VLOOKUP(C4186,METADATA!$A$5:$H$29,IF(E4186="HI",2,IF(E4186="LO",6,10))+IF(T4186=1,2,IF(D4186=7,1,(IF(WEEKDAY(B4186)=1,2,IF(WEEKDAY(B4186)=7,1,0))))))</f>
        <v>2</v>
      </c>
    </row>
    <row r="4187" spans="2:22">
      <c r="B4187" s="318">
        <f t="shared" si="259"/>
        <v>46287</v>
      </c>
      <c r="C4187" s="312">
        <v>7</v>
      </c>
      <c r="D4187" s="368">
        <f>IFERROR((INDEX(METADATA!$T$2:$T$20,MATCH(B4187,METADATA!$S$2:$S$20,0))),0)</f>
        <v>0</v>
      </c>
      <c r="E4187" s="312" t="str">
        <f t="shared" si="260"/>
        <v>LO</v>
      </c>
      <c r="F4187" s="369">
        <f>VLOOKUP(C4187,METADATA!$A$5:$H$29,IF(E4187="HI",2,IF(E4187="LO",6,10))+IF(D4187=1,2,IF(D4187=7,1,(IF(WEEKDAY(B4187)=1,2,IF(WEEKDAY(B4187)=7,1,0))))))</f>
        <v>1</v>
      </c>
      <c r="G4187" s="369">
        <f>VLOOKUP(C4187,METADATA!$J$5:$Q$29,IF(E4187="HI",2,IF(E4187="LO",6,10))+IF(D4187=1,2,IF(D4187=7,1,(IF(WEEKDAY(B4187)=1,2,IF(WEEKDAY(B4187)=7,1,0))))))</f>
        <v>1</v>
      </c>
      <c r="H4187" s="370">
        <v>13189.275146484375</v>
      </c>
      <c r="I4187" s="370">
        <v>4143.7999877929688</v>
      </c>
      <c r="M4187" s="371">
        <f t="shared" si="261"/>
        <v>13824.907132726188</v>
      </c>
      <c r="N4187" s="329">
        <f t="shared" si="262"/>
        <v>187.01744384765652</v>
      </c>
      <c r="T4187" s="331">
        <v>0</v>
      </c>
      <c r="U4187" s="328">
        <f>VLOOKUP(C4187,METADATA!$J$5:$Q$29,IF(E4187="HI",2,IF(E4187="LO",6,10))+IF(T4187=1,2,IF(D4187=7,1,(IF(WEEKDAY(B4187)=1,2,IF(WEEKDAY(B4187)=7,1,0))))))</f>
        <v>1</v>
      </c>
      <c r="V4187" s="328">
        <f>VLOOKUP(C4187,METADATA!$A$5:$H$29,IF(E4187="HI",2,IF(E4187="LO",6,10))+IF(T4187=1,2,IF(D4187=7,1,(IF(WEEKDAY(B4187)=1,2,IF(WEEKDAY(B4187)=7,1,0))))))</f>
        <v>1</v>
      </c>
    </row>
    <row r="4188" spans="2:22">
      <c r="B4188" s="318">
        <f t="shared" ref="B4188:B4251" si="263">B4164+1</f>
        <v>46287</v>
      </c>
      <c r="C4188" s="312">
        <v>8</v>
      </c>
      <c r="D4188" s="368">
        <f>IFERROR((INDEX(METADATA!$T$2:$T$20,MATCH(B4188,METADATA!$S$2:$S$20,0))),0)</f>
        <v>0</v>
      </c>
      <c r="E4188" s="312" t="str">
        <f t="shared" si="260"/>
        <v>LO</v>
      </c>
      <c r="F4188" s="369">
        <f>VLOOKUP(C4188,METADATA!$A$5:$H$29,IF(E4188="HI",2,IF(E4188="LO",6,10))+IF(D4188=1,2,IF(D4188=7,1,(IF(WEEKDAY(B4188)=1,2,IF(WEEKDAY(B4188)=7,1,0))))))</f>
        <v>1</v>
      </c>
      <c r="G4188" s="369">
        <f>VLOOKUP(C4188,METADATA!$J$5:$Q$29,IF(E4188="HI",2,IF(E4188="LO",6,10))+IF(D4188=1,2,IF(D4188=7,1,(IF(WEEKDAY(B4188)=1,2,IF(WEEKDAY(B4188)=7,1,0))))))</f>
        <v>1</v>
      </c>
      <c r="H4188" s="370">
        <v>13251.199829101563</v>
      </c>
      <c r="I4188" s="370">
        <v>4330.2850646972656</v>
      </c>
      <c r="M4188" s="371">
        <f t="shared" si="261"/>
        <v>13940.791428477849</v>
      </c>
      <c r="N4188" s="329">
        <f t="shared" si="262"/>
        <v>354.92511596679697</v>
      </c>
      <c r="T4188" s="331">
        <v>0</v>
      </c>
      <c r="U4188" s="328">
        <f>VLOOKUP(C4188,METADATA!$J$5:$Q$29,IF(E4188="HI",2,IF(E4188="LO",6,10))+IF(T4188=1,2,IF(D4188=7,1,(IF(WEEKDAY(B4188)=1,2,IF(WEEKDAY(B4188)=7,1,0))))))</f>
        <v>1</v>
      </c>
      <c r="V4188" s="328">
        <f>VLOOKUP(C4188,METADATA!$A$5:$H$29,IF(E4188="HI",2,IF(E4188="LO",6,10))+IF(T4188=1,2,IF(D4188=7,1,(IF(WEEKDAY(B4188)=1,2,IF(WEEKDAY(B4188)=7,1,0))))))</f>
        <v>1</v>
      </c>
    </row>
    <row r="4189" spans="2:22">
      <c r="B4189" s="318">
        <f t="shared" si="263"/>
        <v>46287</v>
      </c>
      <c r="C4189" s="312">
        <v>9</v>
      </c>
      <c r="D4189" s="368">
        <f>IFERROR((INDEX(METADATA!$T$2:$T$20,MATCH(B4189,METADATA!$S$2:$S$20,0))),0)</f>
        <v>0</v>
      </c>
      <c r="E4189" s="312" t="str">
        <f t="shared" si="260"/>
        <v>LO</v>
      </c>
      <c r="F4189" s="369">
        <f>VLOOKUP(C4189,METADATA!$A$5:$H$29,IF(E4189="HI",2,IF(E4189="LO",6,10))+IF(D4189=1,2,IF(D4189=7,1,(IF(WEEKDAY(B4189)=1,2,IF(WEEKDAY(B4189)=7,1,0))))))</f>
        <v>2</v>
      </c>
      <c r="G4189" s="369">
        <f>VLOOKUP(C4189,METADATA!$J$5:$Q$29,IF(E4189="HI",2,IF(E4189="LO",6,10))+IF(D4189=1,2,IF(D4189=7,1,(IF(WEEKDAY(B4189)=1,2,IF(WEEKDAY(B4189)=7,1,0))))))</f>
        <v>2</v>
      </c>
      <c r="H4189" s="370">
        <v>12982.524963378906</v>
      </c>
      <c r="I4189" s="370">
        <v>4377.6399536132813</v>
      </c>
      <c r="M4189" s="371">
        <f t="shared" si="261"/>
        <v>13700.718447885416</v>
      </c>
      <c r="N4189" s="329">
        <f t="shared" si="262"/>
        <v>482.88246459960965</v>
      </c>
      <c r="T4189" s="331">
        <v>0</v>
      </c>
      <c r="U4189" s="328">
        <f>VLOOKUP(C4189,METADATA!$J$5:$Q$29,IF(E4189="HI",2,IF(E4189="LO",6,10))+IF(T4189=1,2,IF(D4189=7,1,(IF(WEEKDAY(B4189)=1,2,IF(WEEKDAY(B4189)=7,1,0))))))</f>
        <v>2</v>
      </c>
      <c r="V4189" s="328">
        <f>VLOOKUP(C4189,METADATA!$A$5:$H$29,IF(E4189="HI",2,IF(E4189="LO",6,10))+IF(T4189=1,2,IF(D4189=7,1,(IF(WEEKDAY(B4189)=1,2,IF(WEEKDAY(B4189)=7,1,0))))))</f>
        <v>2</v>
      </c>
    </row>
    <row r="4190" spans="2:22">
      <c r="B4190" s="318">
        <f t="shared" si="263"/>
        <v>46287</v>
      </c>
      <c r="C4190" s="312">
        <v>10</v>
      </c>
      <c r="D4190" s="368">
        <f>IFERROR((INDEX(METADATA!$T$2:$T$20,MATCH(B4190,METADATA!$S$2:$S$20,0))),0)</f>
        <v>0</v>
      </c>
      <c r="E4190" s="312" t="str">
        <f t="shared" si="260"/>
        <v>LO</v>
      </c>
      <c r="F4190" s="369">
        <f>VLOOKUP(C4190,METADATA!$A$5:$H$29,IF(E4190="HI",2,IF(E4190="LO",6,10))+IF(D4190=1,2,IF(D4190=7,1,(IF(WEEKDAY(B4190)=1,2,IF(WEEKDAY(B4190)=7,1,0))))))</f>
        <v>2</v>
      </c>
      <c r="G4190" s="369">
        <f>VLOOKUP(C4190,METADATA!$J$5:$Q$29,IF(E4190="HI",2,IF(E4190="LO",6,10))+IF(D4190=1,2,IF(D4190=7,1,(IF(WEEKDAY(B4190)=1,2,IF(WEEKDAY(B4190)=7,1,0))))))</f>
        <v>2</v>
      </c>
      <c r="H4190" s="370">
        <v>12921.900085449219</v>
      </c>
      <c r="I4190" s="370">
        <v>4202.3200225830078</v>
      </c>
      <c r="M4190" s="371">
        <f t="shared" si="261"/>
        <v>13588.046047557191</v>
      </c>
      <c r="N4190" s="329">
        <f t="shared" si="262"/>
        <v>325.74999694824237</v>
      </c>
      <c r="T4190" s="331">
        <v>0</v>
      </c>
      <c r="U4190" s="328">
        <f>VLOOKUP(C4190,METADATA!$J$5:$Q$29,IF(E4190="HI",2,IF(E4190="LO",6,10))+IF(T4190=1,2,IF(D4190=7,1,(IF(WEEKDAY(B4190)=1,2,IF(WEEKDAY(B4190)=7,1,0))))))</f>
        <v>2</v>
      </c>
      <c r="V4190" s="328">
        <f>VLOOKUP(C4190,METADATA!$A$5:$H$29,IF(E4190="HI",2,IF(E4190="LO",6,10))+IF(T4190=1,2,IF(D4190=7,1,(IF(WEEKDAY(B4190)=1,2,IF(WEEKDAY(B4190)=7,1,0))))))</f>
        <v>2</v>
      </c>
    </row>
    <row r="4191" spans="2:22">
      <c r="B4191" s="318">
        <f t="shared" si="263"/>
        <v>46287</v>
      </c>
      <c r="C4191" s="312">
        <v>11</v>
      </c>
      <c r="D4191" s="368">
        <f>IFERROR((INDEX(METADATA!$T$2:$T$20,MATCH(B4191,METADATA!$S$2:$S$20,0))),0)</f>
        <v>0</v>
      </c>
      <c r="E4191" s="312" t="str">
        <f t="shared" si="260"/>
        <v>LO</v>
      </c>
      <c r="F4191" s="369">
        <f>VLOOKUP(C4191,METADATA!$A$5:$H$29,IF(E4191="HI",2,IF(E4191="LO",6,10))+IF(D4191=1,2,IF(D4191=7,1,(IF(WEEKDAY(B4191)=1,2,IF(WEEKDAY(B4191)=7,1,0))))))</f>
        <v>2</v>
      </c>
      <c r="G4191" s="369">
        <f>VLOOKUP(C4191,METADATA!$J$5:$Q$29,IF(E4191="HI",2,IF(E4191="LO",6,10))+IF(D4191=1,2,IF(D4191=7,1,(IF(WEEKDAY(B4191)=1,2,IF(WEEKDAY(B4191)=7,1,0))))))</f>
        <v>2</v>
      </c>
      <c r="H4191" s="370">
        <v>11017.199890136719</v>
      </c>
      <c r="I4191" s="370">
        <v>2851.2398834228516</v>
      </c>
      <c r="M4191" s="371">
        <f t="shared" si="261"/>
        <v>11380.169695222021</v>
      </c>
      <c r="N4191" s="329">
        <f t="shared" si="262"/>
        <v>0</v>
      </c>
      <c r="T4191" s="331">
        <v>0</v>
      </c>
      <c r="U4191" s="328">
        <f>VLOOKUP(C4191,METADATA!$J$5:$Q$29,IF(E4191="HI",2,IF(E4191="LO",6,10))+IF(T4191=1,2,IF(D4191=7,1,(IF(WEEKDAY(B4191)=1,2,IF(WEEKDAY(B4191)=7,1,0))))))</f>
        <v>2</v>
      </c>
      <c r="V4191" s="328">
        <f>VLOOKUP(C4191,METADATA!$A$5:$H$29,IF(E4191="HI",2,IF(E4191="LO",6,10))+IF(T4191=1,2,IF(D4191=7,1,(IF(WEEKDAY(B4191)=1,2,IF(WEEKDAY(B4191)=7,1,0))))))</f>
        <v>2</v>
      </c>
    </row>
    <row r="4192" spans="2:22">
      <c r="B4192" s="318">
        <f t="shared" si="263"/>
        <v>46287</v>
      </c>
      <c r="C4192" s="312">
        <v>12</v>
      </c>
      <c r="D4192" s="368">
        <f>IFERROR((INDEX(METADATA!$T$2:$T$20,MATCH(B4192,METADATA!$S$2:$S$20,0))),0)</f>
        <v>0</v>
      </c>
      <c r="E4192" s="312" t="str">
        <f t="shared" si="260"/>
        <v>LO</v>
      </c>
      <c r="F4192" s="369">
        <f>VLOOKUP(C4192,METADATA!$A$5:$H$29,IF(E4192="HI",2,IF(E4192="LO",6,10))+IF(D4192=1,2,IF(D4192=7,1,(IF(WEEKDAY(B4192)=1,2,IF(WEEKDAY(B4192)=7,1,0))))))</f>
        <v>2</v>
      </c>
      <c r="G4192" s="369">
        <f>VLOOKUP(C4192,METADATA!$J$5:$Q$29,IF(E4192="HI",2,IF(E4192="LO",6,10))+IF(D4192=1,2,IF(D4192=7,1,(IF(WEEKDAY(B4192)=1,2,IF(WEEKDAY(B4192)=7,1,0))))))</f>
        <v>2</v>
      </c>
      <c r="H4192" s="370">
        <v>11114.014984130859</v>
      </c>
      <c r="I4192" s="370">
        <v>2984.5700073242188</v>
      </c>
      <c r="M4192" s="371">
        <f t="shared" si="261"/>
        <v>11507.779420726856</v>
      </c>
      <c r="N4192" s="329">
        <f t="shared" si="262"/>
        <v>0</v>
      </c>
      <c r="T4192" s="331">
        <v>0</v>
      </c>
      <c r="U4192" s="328">
        <f>VLOOKUP(C4192,METADATA!$J$5:$Q$29,IF(E4192="HI",2,IF(E4192="LO",6,10))+IF(T4192=1,2,IF(D4192=7,1,(IF(WEEKDAY(B4192)=1,2,IF(WEEKDAY(B4192)=7,1,0))))))</f>
        <v>2</v>
      </c>
      <c r="V4192" s="328">
        <f>VLOOKUP(C4192,METADATA!$A$5:$H$29,IF(E4192="HI",2,IF(E4192="LO",6,10))+IF(T4192=1,2,IF(D4192=7,1,(IF(WEEKDAY(B4192)=1,2,IF(WEEKDAY(B4192)=7,1,0))))))</f>
        <v>2</v>
      </c>
    </row>
    <row r="4193" spans="2:22">
      <c r="B4193" s="318">
        <f t="shared" si="263"/>
        <v>46287</v>
      </c>
      <c r="C4193" s="312">
        <v>13</v>
      </c>
      <c r="D4193" s="368">
        <f>IFERROR((INDEX(METADATA!$T$2:$T$20,MATCH(B4193,METADATA!$S$2:$S$20,0))),0)</f>
        <v>0</v>
      </c>
      <c r="E4193" s="312" t="str">
        <f t="shared" si="260"/>
        <v>LO</v>
      </c>
      <c r="F4193" s="369">
        <f>VLOOKUP(C4193,METADATA!$A$5:$H$29,IF(E4193="HI",2,IF(E4193="LO",6,10))+IF(D4193=1,2,IF(D4193=7,1,(IF(WEEKDAY(B4193)=1,2,IF(WEEKDAY(B4193)=7,1,0))))))</f>
        <v>2</v>
      </c>
      <c r="G4193" s="369">
        <f>VLOOKUP(C4193,METADATA!$J$5:$Q$29,IF(E4193="HI",2,IF(E4193="LO",6,10))+IF(D4193=1,2,IF(D4193=7,1,(IF(WEEKDAY(B4193)=1,2,IF(WEEKDAY(B4193)=7,1,0))))))</f>
        <v>2</v>
      </c>
      <c r="H4193" s="370">
        <v>11682.249877929688</v>
      </c>
      <c r="I4193" s="370">
        <v>3359.7250061035156</v>
      </c>
      <c r="M4193" s="371">
        <f t="shared" si="261"/>
        <v>12155.768767421723</v>
      </c>
      <c r="N4193" s="329">
        <f t="shared" si="262"/>
        <v>0</v>
      </c>
      <c r="T4193" s="331">
        <v>0</v>
      </c>
      <c r="U4193" s="328">
        <f>VLOOKUP(C4193,METADATA!$J$5:$Q$29,IF(E4193="HI",2,IF(E4193="LO",6,10))+IF(T4193=1,2,IF(D4193=7,1,(IF(WEEKDAY(B4193)=1,2,IF(WEEKDAY(B4193)=7,1,0))))))</f>
        <v>2</v>
      </c>
      <c r="V4193" s="328">
        <f>VLOOKUP(C4193,METADATA!$A$5:$H$29,IF(E4193="HI",2,IF(E4193="LO",6,10))+IF(T4193=1,2,IF(D4193=7,1,(IF(WEEKDAY(B4193)=1,2,IF(WEEKDAY(B4193)=7,1,0))))))</f>
        <v>2</v>
      </c>
    </row>
    <row r="4194" spans="2:22">
      <c r="B4194" s="318">
        <f t="shared" si="263"/>
        <v>46287</v>
      </c>
      <c r="C4194" s="312">
        <v>14</v>
      </c>
      <c r="D4194" s="368">
        <f>IFERROR((INDEX(METADATA!$T$2:$T$20,MATCH(B4194,METADATA!$S$2:$S$20,0))),0)</f>
        <v>0</v>
      </c>
      <c r="E4194" s="312" t="str">
        <f t="shared" si="260"/>
        <v>LO</v>
      </c>
      <c r="F4194" s="369">
        <f>VLOOKUP(C4194,METADATA!$A$5:$H$29,IF(E4194="HI",2,IF(E4194="LO",6,10))+IF(D4194=1,2,IF(D4194=7,1,(IF(WEEKDAY(B4194)=1,2,IF(WEEKDAY(B4194)=7,1,0))))))</f>
        <v>2</v>
      </c>
      <c r="G4194" s="369">
        <f>VLOOKUP(C4194,METADATA!$J$5:$Q$29,IF(E4194="HI",2,IF(E4194="LO",6,10))+IF(D4194=1,2,IF(D4194=7,1,(IF(WEEKDAY(B4194)=1,2,IF(WEEKDAY(B4194)=7,1,0))))))</f>
        <v>2</v>
      </c>
      <c r="H4194" s="370">
        <v>11916.324890136719</v>
      </c>
      <c r="I4194" s="370">
        <v>3576.3175354003906</v>
      </c>
      <c r="M4194" s="371">
        <f t="shared" si="261"/>
        <v>12441.416559271063</v>
      </c>
      <c r="N4194" s="329">
        <f t="shared" si="262"/>
        <v>1.4200683593749091</v>
      </c>
      <c r="T4194" s="331">
        <v>0</v>
      </c>
      <c r="U4194" s="328">
        <f>VLOOKUP(C4194,METADATA!$J$5:$Q$29,IF(E4194="HI",2,IF(E4194="LO",6,10))+IF(T4194=1,2,IF(D4194=7,1,(IF(WEEKDAY(B4194)=1,2,IF(WEEKDAY(B4194)=7,1,0))))))</f>
        <v>2</v>
      </c>
      <c r="V4194" s="328">
        <f>VLOOKUP(C4194,METADATA!$A$5:$H$29,IF(E4194="HI",2,IF(E4194="LO",6,10))+IF(T4194=1,2,IF(D4194=7,1,(IF(WEEKDAY(B4194)=1,2,IF(WEEKDAY(B4194)=7,1,0))))))</f>
        <v>2</v>
      </c>
    </row>
    <row r="4195" spans="2:22">
      <c r="B4195" s="318">
        <f t="shared" si="263"/>
        <v>46287</v>
      </c>
      <c r="C4195" s="312">
        <v>15</v>
      </c>
      <c r="D4195" s="368">
        <f>IFERROR((INDEX(METADATA!$T$2:$T$20,MATCH(B4195,METADATA!$S$2:$S$20,0))),0)</f>
        <v>0</v>
      </c>
      <c r="E4195" s="312" t="str">
        <f t="shared" si="260"/>
        <v>LO</v>
      </c>
      <c r="F4195" s="369">
        <f>VLOOKUP(C4195,METADATA!$A$5:$H$29,IF(E4195="HI",2,IF(E4195="LO",6,10))+IF(D4195=1,2,IF(D4195=7,1,(IF(WEEKDAY(B4195)=1,2,IF(WEEKDAY(B4195)=7,1,0))))))</f>
        <v>2</v>
      </c>
      <c r="G4195" s="369">
        <f>VLOOKUP(C4195,METADATA!$J$5:$Q$29,IF(E4195="HI",2,IF(E4195="LO",6,10))+IF(D4195=1,2,IF(D4195=7,1,(IF(WEEKDAY(B4195)=1,2,IF(WEEKDAY(B4195)=7,1,0))))))</f>
        <v>2</v>
      </c>
      <c r="H4195" s="370">
        <v>13295.300109863281</v>
      </c>
      <c r="I4195" s="370">
        <v>4318.06005859375</v>
      </c>
      <c r="M4195" s="371">
        <f t="shared" si="261"/>
        <v>13978.935856529039</v>
      </c>
      <c r="N4195" s="329">
        <f t="shared" si="262"/>
        <v>329.47002563476599</v>
      </c>
      <c r="T4195" s="331">
        <v>0</v>
      </c>
      <c r="U4195" s="328">
        <f>VLOOKUP(C4195,METADATA!$J$5:$Q$29,IF(E4195="HI",2,IF(E4195="LO",6,10))+IF(T4195=1,2,IF(D4195=7,1,(IF(WEEKDAY(B4195)=1,2,IF(WEEKDAY(B4195)=7,1,0))))))</f>
        <v>2</v>
      </c>
      <c r="V4195" s="328">
        <f>VLOOKUP(C4195,METADATA!$A$5:$H$29,IF(E4195="HI",2,IF(E4195="LO",6,10))+IF(T4195=1,2,IF(D4195=7,1,(IF(WEEKDAY(B4195)=1,2,IF(WEEKDAY(B4195)=7,1,0))))))</f>
        <v>2</v>
      </c>
    </row>
    <row r="4196" spans="2:22">
      <c r="B4196" s="318">
        <f t="shared" si="263"/>
        <v>46287</v>
      </c>
      <c r="C4196" s="312">
        <v>16</v>
      </c>
      <c r="D4196" s="368">
        <f>IFERROR((INDEX(METADATA!$T$2:$T$20,MATCH(B4196,METADATA!$S$2:$S$20,0))),0)</f>
        <v>0</v>
      </c>
      <c r="E4196" s="312" t="str">
        <f t="shared" si="260"/>
        <v>LO</v>
      </c>
      <c r="F4196" s="369">
        <f>VLOOKUP(C4196,METADATA!$A$5:$H$29,IF(E4196="HI",2,IF(E4196="LO",6,10))+IF(D4196=1,2,IF(D4196=7,1,(IF(WEEKDAY(B4196)=1,2,IF(WEEKDAY(B4196)=7,1,0))))))</f>
        <v>2</v>
      </c>
      <c r="G4196" s="369">
        <f>VLOOKUP(C4196,METADATA!$J$5:$Q$29,IF(E4196="HI",2,IF(E4196="LO",6,10))+IF(D4196=1,2,IF(D4196=7,1,(IF(WEEKDAY(B4196)=1,2,IF(WEEKDAY(B4196)=7,1,0))))))</f>
        <v>2</v>
      </c>
      <c r="H4196" s="370">
        <v>13398.949890136719</v>
      </c>
      <c r="I4196" s="370">
        <v>4362.3699340820313</v>
      </c>
      <c r="M4196" s="371">
        <f t="shared" si="261"/>
        <v>14091.207528106937</v>
      </c>
      <c r="N4196" s="329">
        <f t="shared" si="262"/>
        <v>342.68496704101563</v>
      </c>
      <c r="T4196" s="331">
        <v>0</v>
      </c>
      <c r="U4196" s="328">
        <f>VLOOKUP(C4196,METADATA!$J$5:$Q$29,IF(E4196="HI",2,IF(E4196="LO",6,10))+IF(T4196=1,2,IF(D4196=7,1,(IF(WEEKDAY(B4196)=1,2,IF(WEEKDAY(B4196)=7,1,0))))))</f>
        <v>2</v>
      </c>
      <c r="V4196" s="328">
        <f>VLOOKUP(C4196,METADATA!$A$5:$H$29,IF(E4196="HI",2,IF(E4196="LO",6,10))+IF(T4196=1,2,IF(D4196=7,1,(IF(WEEKDAY(B4196)=1,2,IF(WEEKDAY(B4196)=7,1,0))))))</f>
        <v>2</v>
      </c>
    </row>
    <row r="4197" spans="2:22">
      <c r="B4197" s="318">
        <f t="shared" si="263"/>
        <v>46287</v>
      </c>
      <c r="C4197" s="312">
        <v>17</v>
      </c>
      <c r="D4197" s="368">
        <f>IFERROR((INDEX(METADATA!$T$2:$T$20,MATCH(B4197,METADATA!$S$2:$S$20,0))),0)</f>
        <v>0</v>
      </c>
      <c r="E4197" s="312" t="str">
        <f t="shared" si="260"/>
        <v>LO</v>
      </c>
      <c r="F4197" s="369">
        <f>VLOOKUP(C4197,METADATA!$A$5:$H$29,IF(E4197="HI",2,IF(E4197="LO",6,10))+IF(D4197=1,2,IF(D4197=7,1,(IF(WEEKDAY(B4197)=1,2,IF(WEEKDAY(B4197)=7,1,0))))))</f>
        <v>2</v>
      </c>
      <c r="G4197" s="369">
        <f>VLOOKUP(C4197,METADATA!$J$5:$Q$29,IF(E4197="HI",2,IF(E4197="LO",6,10))+IF(D4197=1,2,IF(D4197=7,1,(IF(WEEKDAY(B4197)=1,2,IF(WEEKDAY(B4197)=7,1,0))))))</f>
        <v>2</v>
      </c>
      <c r="H4197" s="370">
        <v>13417.299682617188</v>
      </c>
      <c r="I4197" s="370">
        <v>4417.6950073242188</v>
      </c>
      <c r="M4197" s="371">
        <f t="shared" si="261"/>
        <v>14125.861387925926</v>
      </c>
      <c r="N4197" s="329">
        <f t="shared" si="262"/>
        <v>392.50510253906259</v>
      </c>
      <c r="T4197" s="331">
        <v>0</v>
      </c>
      <c r="U4197" s="328">
        <f>VLOOKUP(C4197,METADATA!$J$5:$Q$29,IF(E4197="HI",2,IF(E4197="LO",6,10))+IF(T4197=1,2,IF(D4197=7,1,(IF(WEEKDAY(B4197)=1,2,IF(WEEKDAY(B4197)=7,1,0))))))</f>
        <v>2</v>
      </c>
      <c r="V4197" s="328">
        <f>VLOOKUP(C4197,METADATA!$A$5:$H$29,IF(E4197="HI",2,IF(E4197="LO",6,10))+IF(T4197=1,2,IF(D4197=7,1,(IF(WEEKDAY(B4197)=1,2,IF(WEEKDAY(B4197)=7,1,0))))))</f>
        <v>2</v>
      </c>
    </row>
    <row r="4198" spans="2:22">
      <c r="B4198" s="318">
        <f t="shared" si="263"/>
        <v>46287</v>
      </c>
      <c r="C4198" s="312">
        <v>18</v>
      </c>
      <c r="D4198" s="368">
        <f>IFERROR((INDEX(METADATA!$T$2:$T$20,MATCH(B4198,METADATA!$S$2:$S$20,0))),0)</f>
        <v>0</v>
      </c>
      <c r="E4198" s="312" t="str">
        <f t="shared" si="260"/>
        <v>LO</v>
      </c>
      <c r="F4198" s="369">
        <f>VLOOKUP(C4198,METADATA!$A$5:$H$29,IF(E4198="HI",2,IF(E4198="LO",6,10))+IF(D4198=1,2,IF(D4198=7,1,(IF(WEEKDAY(B4198)=1,2,IF(WEEKDAY(B4198)=7,1,0))))))</f>
        <v>1</v>
      </c>
      <c r="G4198" s="369">
        <f>VLOOKUP(C4198,METADATA!$J$5:$Q$29,IF(E4198="HI",2,IF(E4198="LO",6,10))+IF(D4198=1,2,IF(D4198=7,1,(IF(WEEKDAY(B4198)=1,2,IF(WEEKDAY(B4198)=7,1,0))))))</f>
        <v>1</v>
      </c>
      <c r="H4198" s="370">
        <v>13382.900024414063</v>
      </c>
      <c r="I4198" s="370">
        <v>4278.5199279785156</v>
      </c>
      <c r="M4198" s="371">
        <f t="shared" si="261"/>
        <v>14050.186683370835</v>
      </c>
      <c r="N4198" s="329">
        <f t="shared" si="262"/>
        <v>263.64992065429715</v>
      </c>
      <c r="T4198" s="331">
        <v>0</v>
      </c>
      <c r="U4198" s="328">
        <f>VLOOKUP(C4198,METADATA!$J$5:$Q$29,IF(E4198="HI",2,IF(E4198="LO",6,10))+IF(T4198=1,2,IF(D4198=7,1,(IF(WEEKDAY(B4198)=1,2,IF(WEEKDAY(B4198)=7,1,0))))))</f>
        <v>1</v>
      </c>
      <c r="V4198" s="328">
        <f>VLOOKUP(C4198,METADATA!$A$5:$H$29,IF(E4198="HI",2,IF(E4198="LO",6,10))+IF(T4198=1,2,IF(D4198=7,1,(IF(WEEKDAY(B4198)=1,2,IF(WEEKDAY(B4198)=7,1,0))))))</f>
        <v>1</v>
      </c>
    </row>
    <row r="4199" spans="2:22">
      <c r="B4199" s="318">
        <f t="shared" si="263"/>
        <v>46287</v>
      </c>
      <c r="C4199" s="312">
        <v>19</v>
      </c>
      <c r="D4199" s="368">
        <f>IFERROR((INDEX(METADATA!$T$2:$T$20,MATCH(B4199,METADATA!$S$2:$S$20,0))),0)</f>
        <v>0</v>
      </c>
      <c r="E4199" s="312" t="str">
        <f t="shared" si="260"/>
        <v>LO</v>
      </c>
      <c r="F4199" s="369">
        <f>VLOOKUP(C4199,METADATA!$A$5:$H$29,IF(E4199="HI",2,IF(E4199="LO",6,10))+IF(D4199=1,2,IF(D4199=7,1,(IF(WEEKDAY(B4199)=1,2,IF(WEEKDAY(B4199)=7,1,0))))))</f>
        <v>1</v>
      </c>
      <c r="G4199" s="369">
        <f>VLOOKUP(C4199,METADATA!$J$5:$Q$29,IF(E4199="HI",2,IF(E4199="LO",6,10))+IF(D4199=1,2,IF(D4199=7,1,(IF(WEEKDAY(B4199)=1,2,IF(WEEKDAY(B4199)=7,1,0))))))</f>
        <v>1</v>
      </c>
      <c r="H4199" s="370">
        <v>13353.100219726563</v>
      </c>
      <c r="I4199" s="370">
        <v>4312.0550842285156</v>
      </c>
      <c r="M4199" s="371">
        <f t="shared" si="261"/>
        <v>14032.07413490545</v>
      </c>
      <c r="N4199" s="329">
        <f t="shared" si="262"/>
        <v>306.12501831054715</v>
      </c>
      <c r="T4199" s="331">
        <v>0</v>
      </c>
      <c r="U4199" s="328">
        <f>VLOOKUP(C4199,METADATA!$J$5:$Q$29,IF(E4199="HI",2,IF(E4199="LO",6,10))+IF(T4199=1,2,IF(D4199=7,1,(IF(WEEKDAY(B4199)=1,2,IF(WEEKDAY(B4199)=7,1,0))))))</f>
        <v>1</v>
      </c>
      <c r="V4199" s="328">
        <f>VLOOKUP(C4199,METADATA!$A$5:$H$29,IF(E4199="HI",2,IF(E4199="LO",6,10))+IF(T4199=1,2,IF(D4199=7,1,(IF(WEEKDAY(B4199)=1,2,IF(WEEKDAY(B4199)=7,1,0))))))</f>
        <v>1</v>
      </c>
    </row>
    <row r="4200" spans="2:22">
      <c r="B4200" s="318">
        <f t="shared" si="263"/>
        <v>46287</v>
      </c>
      <c r="C4200" s="312">
        <v>20</v>
      </c>
      <c r="D4200" s="368">
        <f>IFERROR((INDEX(METADATA!$T$2:$T$20,MATCH(B4200,METADATA!$S$2:$S$20,0))),0)</f>
        <v>0</v>
      </c>
      <c r="E4200" s="312" t="str">
        <f t="shared" si="260"/>
        <v>LO</v>
      </c>
      <c r="F4200" s="369">
        <f>VLOOKUP(C4200,METADATA!$A$5:$H$29,IF(E4200="HI",2,IF(E4200="LO",6,10))+IF(D4200=1,2,IF(D4200=7,1,(IF(WEEKDAY(B4200)=1,2,IF(WEEKDAY(B4200)=7,1,0))))))</f>
        <v>1</v>
      </c>
      <c r="G4200" s="369">
        <f>VLOOKUP(C4200,METADATA!$J$5:$Q$29,IF(E4200="HI",2,IF(E4200="LO",6,10))+IF(D4200=1,2,IF(D4200=7,1,(IF(WEEKDAY(B4200)=1,2,IF(WEEKDAY(B4200)=7,1,0))))))</f>
        <v>1</v>
      </c>
      <c r="H4200" s="370">
        <v>13466.749572753906</v>
      </c>
      <c r="I4200" s="370">
        <v>4341.8499755859375</v>
      </c>
      <c r="M4200" s="371">
        <f t="shared" si="261"/>
        <v>14149.381798006692</v>
      </c>
      <c r="N4200" s="329">
        <f t="shared" si="262"/>
        <v>301.82510375976563</v>
      </c>
      <c r="T4200" s="331">
        <v>0</v>
      </c>
      <c r="U4200" s="328">
        <f>VLOOKUP(C4200,METADATA!$J$5:$Q$29,IF(E4200="HI",2,IF(E4200="LO",6,10))+IF(T4200=1,2,IF(D4200=7,1,(IF(WEEKDAY(B4200)=1,2,IF(WEEKDAY(B4200)=7,1,0))))))</f>
        <v>1</v>
      </c>
      <c r="V4200" s="328">
        <f>VLOOKUP(C4200,METADATA!$A$5:$H$29,IF(E4200="HI",2,IF(E4200="LO",6,10))+IF(T4200=1,2,IF(D4200=7,1,(IF(WEEKDAY(B4200)=1,2,IF(WEEKDAY(B4200)=7,1,0))))))</f>
        <v>1</v>
      </c>
    </row>
    <row r="4201" spans="2:22">
      <c r="B4201" s="318">
        <f t="shared" si="263"/>
        <v>46287</v>
      </c>
      <c r="C4201" s="312">
        <v>21</v>
      </c>
      <c r="D4201" s="368">
        <f>IFERROR((INDEX(METADATA!$T$2:$T$20,MATCH(B4201,METADATA!$S$2:$S$20,0))),0)</f>
        <v>0</v>
      </c>
      <c r="E4201" s="312" t="str">
        <f t="shared" si="260"/>
        <v>LO</v>
      </c>
      <c r="F4201" s="369">
        <f>VLOOKUP(C4201,METADATA!$A$5:$H$29,IF(E4201="HI",2,IF(E4201="LO",6,10))+IF(D4201=1,2,IF(D4201=7,1,(IF(WEEKDAY(B4201)=1,2,IF(WEEKDAY(B4201)=7,1,0))))))</f>
        <v>2</v>
      </c>
      <c r="G4201" s="369">
        <f>VLOOKUP(C4201,METADATA!$J$5:$Q$29,IF(E4201="HI",2,IF(E4201="LO",6,10))+IF(D4201=1,2,IF(D4201=7,1,(IF(WEEKDAY(B4201)=1,2,IF(WEEKDAY(B4201)=7,1,0))))))</f>
        <v>2</v>
      </c>
      <c r="H4201" s="370">
        <v>13499.47509765625</v>
      </c>
      <c r="I4201" s="370">
        <v>4371.2349853515625</v>
      </c>
      <c r="M4201" s="371">
        <f t="shared" si="261"/>
        <v>14189.556836258231</v>
      </c>
      <c r="N4201" s="329">
        <f t="shared" si="262"/>
        <v>321.3924560546875</v>
      </c>
      <c r="T4201" s="331">
        <v>0</v>
      </c>
      <c r="U4201" s="328">
        <f>VLOOKUP(C4201,METADATA!$J$5:$Q$29,IF(E4201="HI",2,IF(E4201="LO",6,10))+IF(T4201=1,2,IF(D4201=7,1,(IF(WEEKDAY(B4201)=1,2,IF(WEEKDAY(B4201)=7,1,0))))))</f>
        <v>2</v>
      </c>
      <c r="V4201" s="328">
        <f>VLOOKUP(C4201,METADATA!$A$5:$H$29,IF(E4201="HI",2,IF(E4201="LO",6,10))+IF(T4201=1,2,IF(D4201=7,1,(IF(WEEKDAY(B4201)=1,2,IF(WEEKDAY(B4201)=7,1,0))))))</f>
        <v>2</v>
      </c>
    </row>
    <row r="4202" spans="2:22">
      <c r="B4202" s="318">
        <f t="shared" si="263"/>
        <v>46287</v>
      </c>
      <c r="C4202" s="312">
        <v>22</v>
      </c>
      <c r="D4202" s="368">
        <f>IFERROR((INDEX(METADATA!$T$2:$T$20,MATCH(B4202,METADATA!$S$2:$S$20,0))),0)</f>
        <v>0</v>
      </c>
      <c r="E4202" s="312" t="str">
        <f t="shared" si="260"/>
        <v>LO</v>
      </c>
      <c r="F4202" s="369">
        <f>VLOOKUP(C4202,METADATA!$A$5:$H$29,IF(E4202="HI",2,IF(E4202="LO",6,10))+IF(D4202=1,2,IF(D4202=7,1,(IF(WEEKDAY(B4202)=1,2,IF(WEEKDAY(B4202)=7,1,0))))))</f>
        <v>3</v>
      </c>
      <c r="G4202" s="369">
        <f>VLOOKUP(C4202,METADATA!$J$5:$Q$29,IF(E4202="HI",2,IF(E4202="LO",6,10))+IF(D4202=1,2,IF(D4202=7,1,(IF(WEEKDAY(B4202)=1,2,IF(WEEKDAY(B4202)=7,1,0))))))</f>
        <v>3</v>
      </c>
      <c r="H4202" s="370">
        <v>13521.824768066406</v>
      </c>
      <c r="I4202" s="370">
        <v>4408.4600524902344</v>
      </c>
      <c r="M4202" s="371">
        <f t="shared" si="261"/>
        <v>14222.315742968734</v>
      </c>
      <c r="N4202" s="329">
        <f t="shared" si="262"/>
        <v>351.91262207031286</v>
      </c>
      <c r="T4202" s="331">
        <v>0</v>
      </c>
      <c r="U4202" s="328">
        <f>VLOOKUP(C4202,METADATA!$J$5:$Q$29,IF(E4202="HI",2,IF(E4202="LO",6,10))+IF(T4202=1,2,IF(D4202=7,1,(IF(WEEKDAY(B4202)=1,2,IF(WEEKDAY(B4202)=7,1,0))))))</f>
        <v>3</v>
      </c>
      <c r="V4202" s="328">
        <f>VLOOKUP(C4202,METADATA!$A$5:$H$29,IF(E4202="HI",2,IF(E4202="LO",6,10))+IF(T4202=1,2,IF(D4202=7,1,(IF(WEEKDAY(B4202)=1,2,IF(WEEKDAY(B4202)=7,1,0))))))</f>
        <v>3</v>
      </c>
    </row>
    <row r="4203" spans="2:22">
      <c r="B4203" s="318">
        <f t="shared" si="263"/>
        <v>46287</v>
      </c>
      <c r="C4203" s="312">
        <v>23</v>
      </c>
      <c r="D4203" s="368">
        <f>IFERROR((INDEX(METADATA!$T$2:$T$20,MATCH(B4203,METADATA!$S$2:$S$20,0))),0)</f>
        <v>0</v>
      </c>
      <c r="E4203" s="312" t="str">
        <f t="shared" si="260"/>
        <v>LO</v>
      </c>
      <c r="F4203" s="369">
        <f>VLOOKUP(C4203,METADATA!$A$5:$H$29,IF(E4203="HI",2,IF(E4203="LO",6,10))+IF(D4203=1,2,IF(D4203=7,1,(IF(WEEKDAY(B4203)=1,2,IF(WEEKDAY(B4203)=7,1,0))))))</f>
        <v>3</v>
      </c>
      <c r="G4203" s="369">
        <f>VLOOKUP(C4203,METADATA!$J$5:$Q$29,IF(E4203="HI",2,IF(E4203="LO",6,10))+IF(D4203=1,2,IF(D4203=7,1,(IF(WEEKDAY(B4203)=1,2,IF(WEEKDAY(B4203)=7,1,0))))))</f>
        <v>3</v>
      </c>
      <c r="H4203" s="370">
        <v>13385.274963378906</v>
      </c>
      <c r="I4203" s="370">
        <v>4386.0149230957031</v>
      </c>
      <c r="M4203" s="371">
        <f t="shared" si="261"/>
        <v>14085.549785183266</v>
      </c>
      <c r="N4203" s="329">
        <f t="shared" si="262"/>
        <v>370.43243408203125</v>
      </c>
      <c r="T4203" s="331">
        <v>0</v>
      </c>
      <c r="U4203" s="328">
        <f>VLOOKUP(C4203,METADATA!$J$5:$Q$29,IF(E4203="HI",2,IF(E4203="LO",6,10))+IF(T4203=1,2,IF(D4203=7,1,(IF(WEEKDAY(B4203)=1,2,IF(WEEKDAY(B4203)=7,1,0))))))</f>
        <v>3</v>
      </c>
      <c r="V4203" s="328">
        <f>VLOOKUP(C4203,METADATA!$A$5:$H$29,IF(E4203="HI",2,IF(E4203="LO",6,10))+IF(T4203=1,2,IF(D4203=7,1,(IF(WEEKDAY(B4203)=1,2,IF(WEEKDAY(B4203)=7,1,0))))))</f>
        <v>3</v>
      </c>
    </row>
    <row r="4204" spans="2:22">
      <c r="B4204" s="318">
        <f t="shared" si="263"/>
        <v>46288</v>
      </c>
      <c r="C4204" s="312">
        <v>0</v>
      </c>
      <c r="D4204" s="368">
        <f>IFERROR((INDEX(METADATA!$T$2:$T$20,MATCH(B4204,METADATA!$S$2:$S$20,0))),0)</f>
        <v>0</v>
      </c>
      <c r="E4204" s="312" t="str">
        <f t="shared" si="260"/>
        <v>LO</v>
      </c>
      <c r="F4204" s="369">
        <f>VLOOKUP(C4204,METADATA!$A$5:$H$29,IF(E4204="HI",2,IF(E4204="LO",6,10))+IF(D4204=1,2,IF(D4204=7,1,(IF(WEEKDAY(B4204)=1,2,IF(WEEKDAY(B4204)=7,1,0))))))</f>
        <v>3</v>
      </c>
      <c r="G4204" s="369">
        <f>VLOOKUP(C4204,METADATA!$J$5:$Q$29,IF(E4204="HI",2,IF(E4204="LO",6,10))+IF(D4204=1,2,IF(D4204=7,1,(IF(WEEKDAY(B4204)=1,2,IF(WEEKDAY(B4204)=7,1,0))))))</f>
        <v>3</v>
      </c>
      <c r="H4204" s="370">
        <v>12563.125366210938</v>
      </c>
      <c r="I4204" s="370">
        <v>4022.632568359375</v>
      </c>
      <c r="M4204" s="371">
        <f t="shared" si="261"/>
        <v>13191.424932400527</v>
      </c>
      <c r="N4204" s="329">
        <f t="shared" si="262"/>
        <v>253.69495849609393</v>
      </c>
      <c r="T4204" s="331">
        <v>0</v>
      </c>
      <c r="U4204" s="328">
        <f>VLOOKUP(C4204,METADATA!$J$5:$Q$29,IF(E4204="HI",2,IF(E4204="LO",6,10))+IF(T4204=1,2,IF(D4204=7,1,(IF(WEEKDAY(B4204)=1,2,IF(WEEKDAY(B4204)=7,1,0))))))</f>
        <v>3</v>
      </c>
      <c r="V4204" s="328">
        <f>VLOOKUP(C4204,METADATA!$A$5:$H$29,IF(E4204="HI",2,IF(E4204="LO",6,10))+IF(T4204=1,2,IF(D4204=7,1,(IF(WEEKDAY(B4204)=1,2,IF(WEEKDAY(B4204)=7,1,0))))))</f>
        <v>3</v>
      </c>
    </row>
    <row r="4205" spans="2:22">
      <c r="B4205" s="318">
        <f t="shared" si="263"/>
        <v>46288</v>
      </c>
      <c r="C4205" s="312">
        <v>1</v>
      </c>
      <c r="D4205" s="368">
        <f>IFERROR((INDEX(METADATA!$T$2:$T$20,MATCH(B4205,METADATA!$S$2:$S$20,0))),0)</f>
        <v>0</v>
      </c>
      <c r="E4205" s="312" t="str">
        <f t="shared" si="260"/>
        <v>LO</v>
      </c>
      <c r="F4205" s="369">
        <f>VLOOKUP(C4205,METADATA!$A$5:$H$29,IF(E4205="HI",2,IF(E4205="LO",6,10))+IF(D4205=1,2,IF(D4205=7,1,(IF(WEEKDAY(B4205)=1,2,IF(WEEKDAY(B4205)=7,1,0))))))</f>
        <v>3</v>
      </c>
      <c r="G4205" s="369">
        <f>VLOOKUP(C4205,METADATA!$J$5:$Q$29,IF(E4205="HI",2,IF(E4205="LO",6,10))+IF(D4205=1,2,IF(D4205=7,1,(IF(WEEKDAY(B4205)=1,2,IF(WEEKDAY(B4205)=7,1,0))))))</f>
        <v>3</v>
      </c>
      <c r="H4205" s="370">
        <v>11474.370086669922</v>
      </c>
      <c r="I4205" s="370">
        <v>3366.4324951171875</v>
      </c>
      <c r="M4205" s="371">
        <f t="shared" si="261"/>
        <v>11958.011399478026</v>
      </c>
      <c r="N4205" s="329">
        <f t="shared" si="262"/>
        <v>0</v>
      </c>
      <c r="T4205" s="331">
        <v>0</v>
      </c>
      <c r="U4205" s="328">
        <f>VLOOKUP(C4205,METADATA!$J$5:$Q$29,IF(E4205="HI",2,IF(E4205="LO",6,10))+IF(T4205=1,2,IF(D4205=7,1,(IF(WEEKDAY(B4205)=1,2,IF(WEEKDAY(B4205)=7,1,0))))))</f>
        <v>3</v>
      </c>
      <c r="V4205" s="328">
        <f>VLOOKUP(C4205,METADATA!$A$5:$H$29,IF(E4205="HI",2,IF(E4205="LO",6,10))+IF(T4205=1,2,IF(D4205=7,1,(IF(WEEKDAY(B4205)=1,2,IF(WEEKDAY(B4205)=7,1,0))))))</f>
        <v>3</v>
      </c>
    </row>
    <row r="4206" spans="2:22">
      <c r="B4206" s="318">
        <f t="shared" si="263"/>
        <v>46288</v>
      </c>
      <c r="C4206" s="312">
        <v>2</v>
      </c>
      <c r="D4206" s="368">
        <f>IFERROR((INDEX(METADATA!$T$2:$T$20,MATCH(B4206,METADATA!$S$2:$S$20,0))),0)</f>
        <v>0</v>
      </c>
      <c r="E4206" s="312" t="str">
        <f t="shared" si="260"/>
        <v>LO</v>
      </c>
      <c r="F4206" s="369">
        <f>VLOOKUP(C4206,METADATA!$A$5:$H$29,IF(E4206="HI",2,IF(E4206="LO",6,10))+IF(D4206=1,2,IF(D4206=7,1,(IF(WEEKDAY(B4206)=1,2,IF(WEEKDAY(B4206)=7,1,0))))))</f>
        <v>3</v>
      </c>
      <c r="G4206" s="369">
        <f>VLOOKUP(C4206,METADATA!$J$5:$Q$29,IF(E4206="HI",2,IF(E4206="LO",6,10))+IF(D4206=1,2,IF(D4206=7,1,(IF(WEEKDAY(B4206)=1,2,IF(WEEKDAY(B4206)=7,1,0))))))</f>
        <v>3</v>
      </c>
      <c r="H4206" s="370">
        <v>12255.850036621094</v>
      </c>
      <c r="I4206" s="370">
        <v>3836.0124816894531</v>
      </c>
      <c r="M4206" s="371">
        <f t="shared" si="261"/>
        <v>12842.151372718768</v>
      </c>
      <c r="N4206" s="329">
        <f t="shared" si="262"/>
        <v>159.25747070312491</v>
      </c>
      <c r="T4206" s="331">
        <v>0</v>
      </c>
      <c r="U4206" s="328">
        <f>VLOOKUP(C4206,METADATA!$J$5:$Q$29,IF(E4206="HI",2,IF(E4206="LO",6,10))+IF(T4206=1,2,IF(D4206=7,1,(IF(WEEKDAY(B4206)=1,2,IF(WEEKDAY(B4206)=7,1,0))))))</f>
        <v>3</v>
      </c>
      <c r="V4206" s="328">
        <f>VLOOKUP(C4206,METADATA!$A$5:$H$29,IF(E4206="HI",2,IF(E4206="LO",6,10))+IF(T4206=1,2,IF(D4206=7,1,(IF(WEEKDAY(B4206)=1,2,IF(WEEKDAY(B4206)=7,1,0))))))</f>
        <v>3</v>
      </c>
    </row>
    <row r="4207" spans="2:22">
      <c r="B4207" s="318">
        <f t="shared" si="263"/>
        <v>46288</v>
      </c>
      <c r="C4207" s="312">
        <v>3</v>
      </c>
      <c r="D4207" s="368">
        <f>IFERROR((INDEX(METADATA!$T$2:$T$20,MATCH(B4207,METADATA!$S$2:$S$20,0))),0)</f>
        <v>0</v>
      </c>
      <c r="E4207" s="312" t="str">
        <f t="shared" si="260"/>
        <v>LO</v>
      </c>
      <c r="F4207" s="369">
        <f>VLOOKUP(C4207,METADATA!$A$5:$H$29,IF(E4207="HI",2,IF(E4207="LO",6,10))+IF(D4207=1,2,IF(D4207=7,1,(IF(WEEKDAY(B4207)=1,2,IF(WEEKDAY(B4207)=7,1,0))))))</f>
        <v>3</v>
      </c>
      <c r="G4207" s="369">
        <f>VLOOKUP(C4207,METADATA!$J$5:$Q$29,IF(E4207="HI",2,IF(E4207="LO",6,10))+IF(D4207=1,2,IF(D4207=7,1,(IF(WEEKDAY(B4207)=1,2,IF(WEEKDAY(B4207)=7,1,0))))))</f>
        <v>3</v>
      </c>
      <c r="H4207" s="370">
        <v>13497.300048828125</v>
      </c>
      <c r="I4207" s="370">
        <v>4501.6649169921875</v>
      </c>
      <c r="M4207" s="371">
        <f t="shared" si="261"/>
        <v>14228.214773223448</v>
      </c>
      <c r="N4207" s="329">
        <f t="shared" si="262"/>
        <v>452.47490234375027</v>
      </c>
      <c r="T4207" s="331">
        <v>0</v>
      </c>
      <c r="U4207" s="328">
        <f>VLOOKUP(C4207,METADATA!$J$5:$Q$29,IF(E4207="HI",2,IF(E4207="LO",6,10))+IF(T4207=1,2,IF(D4207=7,1,(IF(WEEKDAY(B4207)=1,2,IF(WEEKDAY(B4207)=7,1,0))))))</f>
        <v>3</v>
      </c>
      <c r="V4207" s="328">
        <f>VLOOKUP(C4207,METADATA!$A$5:$H$29,IF(E4207="HI",2,IF(E4207="LO",6,10))+IF(T4207=1,2,IF(D4207=7,1,(IF(WEEKDAY(B4207)=1,2,IF(WEEKDAY(B4207)=7,1,0))))))</f>
        <v>3</v>
      </c>
    </row>
    <row r="4208" spans="2:22">
      <c r="B4208" s="318">
        <f t="shared" si="263"/>
        <v>46288</v>
      </c>
      <c r="C4208" s="312">
        <v>4</v>
      </c>
      <c r="D4208" s="368">
        <f>IFERROR((INDEX(METADATA!$T$2:$T$20,MATCH(B4208,METADATA!$S$2:$S$20,0))),0)</f>
        <v>0</v>
      </c>
      <c r="E4208" s="312" t="str">
        <f t="shared" si="260"/>
        <v>LO</v>
      </c>
      <c r="F4208" s="369">
        <f>VLOOKUP(C4208,METADATA!$A$5:$H$29,IF(E4208="HI",2,IF(E4208="LO",6,10))+IF(D4208=1,2,IF(D4208=7,1,(IF(WEEKDAY(B4208)=1,2,IF(WEEKDAY(B4208)=7,1,0))))))</f>
        <v>3</v>
      </c>
      <c r="G4208" s="369">
        <f>VLOOKUP(C4208,METADATA!$J$5:$Q$29,IF(E4208="HI",2,IF(E4208="LO",6,10))+IF(D4208=1,2,IF(D4208=7,1,(IF(WEEKDAY(B4208)=1,2,IF(WEEKDAY(B4208)=7,1,0))))))</f>
        <v>3</v>
      </c>
      <c r="H4208" s="370">
        <v>13524.674926757813</v>
      </c>
      <c r="I4208" s="370">
        <v>4517.5650939941406</v>
      </c>
      <c r="M4208" s="371">
        <f t="shared" si="261"/>
        <v>14259.215485185212</v>
      </c>
      <c r="N4208" s="329">
        <f t="shared" si="262"/>
        <v>460.16261596679715</v>
      </c>
      <c r="T4208" s="331">
        <v>0</v>
      </c>
      <c r="U4208" s="328">
        <f>VLOOKUP(C4208,METADATA!$J$5:$Q$29,IF(E4208="HI",2,IF(E4208="LO",6,10))+IF(T4208=1,2,IF(D4208=7,1,(IF(WEEKDAY(B4208)=1,2,IF(WEEKDAY(B4208)=7,1,0))))))</f>
        <v>3</v>
      </c>
      <c r="V4208" s="328">
        <f>VLOOKUP(C4208,METADATA!$A$5:$H$29,IF(E4208="HI",2,IF(E4208="LO",6,10))+IF(T4208=1,2,IF(D4208=7,1,(IF(WEEKDAY(B4208)=1,2,IF(WEEKDAY(B4208)=7,1,0))))))</f>
        <v>3</v>
      </c>
    </row>
    <row r="4209" spans="2:22">
      <c r="B4209" s="318">
        <f t="shared" si="263"/>
        <v>46288</v>
      </c>
      <c r="C4209" s="312">
        <v>5</v>
      </c>
      <c r="D4209" s="368">
        <f>IFERROR((INDEX(METADATA!$T$2:$T$20,MATCH(B4209,METADATA!$S$2:$S$20,0))),0)</f>
        <v>0</v>
      </c>
      <c r="E4209" s="312" t="str">
        <f t="shared" si="260"/>
        <v>LO</v>
      </c>
      <c r="F4209" s="369">
        <f>VLOOKUP(C4209,METADATA!$A$5:$H$29,IF(E4209="HI",2,IF(E4209="LO",6,10))+IF(D4209=1,2,IF(D4209=7,1,(IF(WEEKDAY(B4209)=1,2,IF(WEEKDAY(B4209)=7,1,0))))))</f>
        <v>3</v>
      </c>
      <c r="G4209" s="369">
        <f>VLOOKUP(C4209,METADATA!$J$5:$Q$29,IF(E4209="HI",2,IF(E4209="LO",6,10))+IF(D4209=1,2,IF(D4209=7,1,(IF(WEEKDAY(B4209)=1,2,IF(WEEKDAY(B4209)=7,1,0))))))</f>
        <v>3</v>
      </c>
      <c r="H4209" s="370">
        <v>13395.025085449219</v>
      </c>
      <c r="I4209" s="370">
        <v>4411.3949584960938</v>
      </c>
      <c r="M4209" s="371">
        <f t="shared" si="261"/>
        <v>14102.733866866332</v>
      </c>
      <c r="N4209" s="329">
        <f t="shared" si="262"/>
        <v>392.88743286132831</v>
      </c>
      <c r="T4209" s="331">
        <v>0</v>
      </c>
      <c r="U4209" s="328">
        <f>VLOOKUP(C4209,METADATA!$J$5:$Q$29,IF(E4209="HI",2,IF(E4209="LO",6,10))+IF(T4209=1,2,IF(D4209=7,1,(IF(WEEKDAY(B4209)=1,2,IF(WEEKDAY(B4209)=7,1,0))))))</f>
        <v>3</v>
      </c>
      <c r="V4209" s="328">
        <f>VLOOKUP(C4209,METADATA!$A$5:$H$29,IF(E4209="HI",2,IF(E4209="LO",6,10))+IF(T4209=1,2,IF(D4209=7,1,(IF(WEEKDAY(B4209)=1,2,IF(WEEKDAY(B4209)=7,1,0))))))</f>
        <v>3</v>
      </c>
    </row>
    <row r="4210" spans="2:22">
      <c r="B4210" s="318">
        <f t="shared" si="263"/>
        <v>46288</v>
      </c>
      <c r="C4210" s="312">
        <v>6</v>
      </c>
      <c r="D4210" s="368">
        <f>IFERROR((INDEX(METADATA!$T$2:$T$20,MATCH(B4210,METADATA!$S$2:$S$20,0))),0)</f>
        <v>0</v>
      </c>
      <c r="E4210" s="312" t="str">
        <f t="shared" si="260"/>
        <v>LO</v>
      </c>
      <c r="F4210" s="369">
        <f>VLOOKUP(C4210,METADATA!$A$5:$H$29,IF(E4210="HI",2,IF(E4210="LO",6,10))+IF(D4210=1,2,IF(D4210=7,1,(IF(WEEKDAY(B4210)=1,2,IF(WEEKDAY(B4210)=7,1,0))))))</f>
        <v>2</v>
      </c>
      <c r="G4210" s="369">
        <f>VLOOKUP(C4210,METADATA!$J$5:$Q$29,IF(E4210="HI",2,IF(E4210="LO",6,10))+IF(D4210=1,2,IF(D4210=7,1,(IF(WEEKDAY(B4210)=1,2,IF(WEEKDAY(B4210)=7,1,0))))))</f>
        <v>2</v>
      </c>
      <c r="H4210" s="370">
        <v>13462.824951171875</v>
      </c>
      <c r="I4210" s="370">
        <v>4346.0549926757813</v>
      </c>
      <c r="M4210" s="371">
        <f t="shared" si="261"/>
        <v>14146.937819374838</v>
      </c>
      <c r="N4210" s="329">
        <f t="shared" si="262"/>
        <v>307.20750732421902</v>
      </c>
      <c r="T4210" s="331">
        <v>0</v>
      </c>
      <c r="U4210" s="328">
        <f>VLOOKUP(C4210,METADATA!$J$5:$Q$29,IF(E4210="HI",2,IF(E4210="LO",6,10))+IF(T4210=1,2,IF(D4210=7,1,(IF(WEEKDAY(B4210)=1,2,IF(WEEKDAY(B4210)=7,1,0))))))</f>
        <v>2</v>
      </c>
      <c r="V4210" s="328">
        <f>VLOOKUP(C4210,METADATA!$A$5:$H$29,IF(E4210="HI",2,IF(E4210="LO",6,10))+IF(T4210=1,2,IF(D4210=7,1,(IF(WEEKDAY(B4210)=1,2,IF(WEEKDAY(B4210)=7,1,0))))))</f>
        <v>2</v>
      </c>
    </row>
    <row r="4211" spans="2:22">
      <c r="B4211" s="318">
        <f t="shared" si="263"/>
        <v>46288</v>
      </c>
      <c r="C4211" s="312">
        <v>7</v>
      </c>
      <c r="D4211" s="368">
        <f>IFERROR((INDEX(METADATA!$T$2:$T$20,MATCH(B4211,METADATA!$S$2:$S$20,0))),0)</f>
        <v>0</v>
      </c>
      <c r="E4211" s="312" t="str">
        <f t="shared" si="260"/>
        <v>LO</v>
      </c>
      <c r="F4211" s="369">
        <f>VLOOKUP(C4211,METADATA!$A$5:$H$29,IF(E4211="HI",2,IF(E4211="LO",6,10))+IF(D4211=1,2,IF(D4211=7,1,(IF(WEEKDAY(B4211)=1,2,IF(WEEKDAY(B4211)=7,1,0))))))</f>
        <v>1</v>
      </c>
      <c r="G4211" s="369">
        <f>VLOOKUP(C4211,METADATA!$J$5:$Q$29,IF(E4211="HI",2,IF(E4211="LO",6,10))+IF(D4211=1,2,IF(D4211=7,1,(IF(WEEKDAY(B4211)=1,2,IF(WEEKDAY(B4211)=7,1,0))))))</f>
        <v>1</v>
      </c>
      <c r="H4211" s="370">
        <v>13456.924743652344</v>
      </c>
      <c r="I4211" s="370">
        <v>4277.5750732421875</v>
      </c>
      <c r="M4211" s="371">
        <f t="shared" si="261"/>
        <v>14120.427474532971</v>
      </c>
      <c r="N4211" s="329">
        <f t="shared" si="262"/>
        <v>240.49765014648438</v>
      </c>
      <c r="T4211" s="331">
        <v>0</v>
      </c>
      <c r="U4211" s="328">
        <f>VLOOKUP(C4211,METADATA!$J$5:$Q$29,IF(E4211="HI",2,IF(E4211="LO",6,10))+IF(T4211=1,2,IF(D4211=7,1,(IF(WEEKDAY(B4211)=1,2,IF(WEEKDAY(B4211)=7,1,0))))))</f>
        <v>1</v>
      </c>
      <c r="V4211" s="328">
        <f>VLOOKUP(C4211,METADATA!$A$5:$H$29,IF(E4211="HI",2,IF(E4211="LO",6,10))+IF(T4211=1,2,IF(D4211=7,1,(IF(WEEKDAY(B4211)=1,2,IF(WEEKDAY(B4211)=7,1,0))))))</f>
        <v>1</v>
      </c>
    </row>
    <row r="4212" spans="2:22">
      <c r="B4212" s="318">
        <f t="shared" si="263"/>
        <v>46288</v>
      </c>
      <c r="C4212" s="312">
        <v>8</v>
      </c>
      <c r="D4212" s="368">
        <f>IFERROR((INDEX(METADATA!$T$2:$T$20,MATCH(B4212,METADATA!$S$2:$S$20,0))),0)</f>
        <v>0</v>
      </c>
      <c r="E4212" s="312" t="str">
        <f t="shared" si="260"/>
        <v>LO</v>
      </c>
      <c r="F4212" s="369">
        <f>VLOOKUP(C4212,METADATA!$A$5:$H$29,IF(E4212="HI",2,IF(E4212="LO",6,10))+IF(D4212=1,2,IF(D4212=7,1,(IF(WEEKDAY(B4212)=1,2,IF(WEEKDAY(B4212)=7,1,0))))))</f>
        <v>1</v>
      </c>
      <c r="G4212" s="369">
        <f>VLOOKUP(C4212,METADATA!$J$5:$Q$29,IF(E4212="HI",2,IF(E4212="LO",6,10))+IF(D4212=1,2,IF(D4212=7,1,(IF(WEEKDAY(B4212)=1,2,IF(WEEKDAY(B4212)=7,1,0))))))</f>
        <v>1</v>
      </c>
      <c r="H4212" s="370">
        <v>8138.3648986816406</v>
      </c>
      <c r="I4212" s="370">
        <v>2292.7124252319336</v>
      </c>
      <c r="M4212" s="371">
        <f t="shared" si="261"/>
        <v>8455.1471595062339</v>
      </c>
      <c r="N4212" s="329">
        <f t="shared" si="262"/>
        <v>0</v>
      </c>
      <c r="T4212" s="331">
        <v>0</v>
      </c>
      <c r="U4212" s="328">
        <f>VLOOKUP(C4212,METADATA!$J$5:$Q$29,IF(E4212="HI",2,IF(E4212="LO",6,10))+IF(T4212=1,2,IF(D4212=7,1,(IF(WEEKDAY(B4212)=1,2,IF(WEEKDAY(B4212)=7,1,0))))))</f>
        <v>1</v>
      </c>
      <c r="V4212" s="328">
        <f>VLOOKUP(C4212,METADATA!$A$5:$H$29,IF(E4212="HI",2,IF(E4212="LO",6,10))+IF(T4212=1,2,IF(D4212=7,1,(IF(WEEKDAY(B4212)=1,2,IF(WEEKDAY(B4212)=7,1,0))))))</f>
        <v>1</v>
      </c>
    </row>
    <row r="4213" spans="2:22">
      <c r="B4213" s="318">
        <f t="shared" si="263"/>
        <v>46288</v>
      </c>
      <c r="C4213" s="312">
        <v>9</v>
      </c>
      <c r="D4213" s="368">
        <f>IFERROR((INDEX(METADATA!$T$2:$T$20,MATCH(B4213,METADATA!$S$2:$S$20,0))),0)</f>
        <v>0</v>
      </c>
      <c r="E4213" s="312" t="str">
        <f t="shared" si="260"/>
        <v>LO</v>
      </c>
      <c r="F4213" s="369">
        <f>VLOOKUP(C4213,METADATA!$A$5:$H$29,IF(E4213="HI",2,IF(E4213="LO",6,10))+IF(D4213=1,2,IF(D4213=7,1,(IF(WEEKDAY(B4213)=1,2,IF(WEEKDAY(B4213)=7,1,0))))))</f>
        <v>2</v>
      </c>
      <c r="G4213" s="369">
        <f>VLOOKUP(C4213,METADATA!$J$5:$Q$29,IF(E4213="HI",2,IF(E4213="LO",6,10))+IF(D4213=1,2,IF(D4213=7,1,(IF(WEEKDAY(B4213)=1,2,IF(WEEKDAY(B4213)=7,1,0))))))</f>
        <v>2</v>
      </c>
      <c r="H4213" s="370">
        <v>5977.5300598144531</v>
      </c>
      <c r="I4213" s="370">
        <v>1645.7050170898438</v>
      </c>
      <c r="M4213" s="371">
        <f t="shared" si="261"/>
        <v>6199.9363399360855</v>
      </c>
      <c r="N4213" s="329">
        <f t="shared" si="262"/>
        <v>0</v>
      </c>
      <c r="T4213" s="331">
        <v>0</v>
      </c>
      <c r="U4213" s="328">
        <f>VLOOKUP(C4213,METADATA!$J$5:$Q$29,IF(E4213="HI",2,IF(E4213="LO",6,10))+IF(T4213=1,2,IF(D4213=7,1,(IF(WEEKDAY(B4213)=1,2,IF(WEEKDAY(B4213)=7,1,0))))))</f>
        <v>2</v>
      </c>
      <c r="V4213" s="328">
        <f>VLOOKUP(C4213,METADATA!$A$5:$H$29,IF(E4213="HI",2,IF(E4213="LO",6,10))+IF(T4213=1,2,IF(D4213=7,1,(IF(WEEKDAY(B4213)=1,2,IF(WEEKDAY(B4213)=7,1,0))))))</f>
        <v>2</v>
      </c>
    </row>
    <row r="4214" spans="2:22">
      <c r="B4214" s="318">
        <f t="shared" si="263"/>
        <v>46288</v>
      </c>
      <c r="C4214" s="312">
        <v>10</v>
      </c>
      <c r="D4214" s="368">
        <f>IFERROR((INDEX(METADATA!$T$2:$T$20,MATCH(B4214,METADATA!$S$2:$S$20,0))),0)</f>
        <v>0</v>
      </c>
      <c r="E4214" s="312" t="str">
        <f t="shared" si="260"/>
        <v>LO</v>
      </c>
      <c r="F4214" s="369">
        <f>VLOOKUP(C4214,METADATA!$A$5:$H$29,IF(E4214="HI",2,IF(E4214="LO",6,10))+IF(D4214=1,2,IF(D4214=7,1,(IF(WEEKDAY(B4214)=1,2,IF(WEEKDAY(B4214)=7,1,0))))))</f>
        <v>2</v>
      </c>
      <c r="G4214" s="369">
        <f>VLOOKUP(C4214,METADATA!$J$5:$Q$29,IF(E4214="HI",2,IF(E4214="LO",6,10))+IF(D4214=1,2,IF(D4214=7,1,(IF(WEEKDAY(B4214)=1,2,IF(WEEKDAY(B4214)=7,1,0))))))</f>
        <v>2</v>
      </c>
      <c r="H4214" s="370">
        <v>6041.257568359375</v>
      </c>
      <c r="I4214" s="370">
        <v>1584</v>
      </c>
      <c r="M4214" s="371">
        <f t="shared" si="261"/>
        <v>6245.4662762086409</v>
      </c>
      <c r="N4214" s="329">
        <f t="shared" si="262"/>
        <v>0</v>
      </c>
      <c r="T4214" s="331">
        <v>0</v>
      </c>
      <c r="U4214" s="328">
        <f>VLOOKUP(C4214,METADATA!$J$5:$Q$29,IF(E4214="HI",2,IF(E4214="LO",6,10))+IF(T4214=1,2,IF(D4214=7,1,(IF(WEEKDAY(B4214)=1,2,IF(WEEKDAY(B4214)=7,1,0))))))</f>
        <v>2</v>
      </c>
      <c r="V4214" s="328">
        <f>VLOOKUP(C4214,METADATA!$A$5:$H$29,IF(E4214="HI",2,IF(E4214="LO",6,10))+IF(T4214=1,2,IF(D4214=7,1,(IF(WEEKDAY(B4214)=1,2,IF(WEEKDAY(B4214)=7,1,0))))))</f>
        <v>2</v>
      </c>
    </row>
    <row r="4215" spans="2:22">
      <c r="B4215" s="318">
        <f t="shared" si="263"/>
        <v>46288</v>
      </c>
      <c r="C4215" s="312">
        <v>11</v>
      </c>
      <c r="D4215" s="368">
        <f>IFERROR((INDEX(METADATA!$T$2:$T$20,MATCH(B4215,METADATA!$S$2:$S$20,0))),0)</f>
        <v>0</v>
      </c>
      <c r="E4215" s="312" t="str">
        <f t="shared" si="260"/>
        <v>LO</v>
      </c>
      <c r="F4215" s="369">
        <f>VLOOKUP(C4215,METADATA!$A$5:$H$29,IF(E4215="HI",2,IF(E4215="LO",6,10))+IF(D4215=1,2,IF(D4215=7,1,(IF(WEEKDAY(B4215)=1,2,IF(WEEKDAY(B4215)=7,1,0))))))</f>
        <v>2</v>
      </c>
      <c r="G4215" s="369">
        <f>VLOOKUP(C4215,METADATA!$J$5:$Q$29,IF(E4215="HI",2,IF(E4215="LO",6,10))+IF(D4215=1,2,IF(D4215=7,1,(IF(WEEKDAY(B4215)=1,2,IF(WEEKDAY(B4215)=7,1,0))))))</f>
        <v>2</v>
      </c>
      <c r="H4215" s="370">
        <v>8710.4125061035156</v>
      </c>
      <c r="I4215" s="370">
        <v>2289.4074597284198</v>
      </c>
      <c r="M4215" s="371">
        <f t="shared" si="261"/>
        <v>9006.2574104421801</v>
      </c>
      <c r="N4215" s="329">
        <f t="shared" si="262"/>
        <v>0</v>
      </c>
      <c r="T4215" s="331">
        <v>0</v>
      </c>
      <c r="U4215" s="328">
        <f>VLOOKUP(C4215,METADATA!$J$5:$Q$29,IF(E4215="HI",2,IF(E4215="LO",6,10))+IF(T4215=1,2,IF(D4215=7,1,(IF(WEEKDAY(B4215)=1,2,IF(WEEKDAY(B4215)=7,1,0))))))</f>
        <v>2</v>
      </c>
      <c r="V4215" s="328">
        <f>VLOOKUP(C4215,METADATA!$A$5:$H$29,IF(E4215="HI",2,IF(E4215="LO",6,10))+IF(T4215=1,2,IF(D4215=7,1,(IF(WEEKDAY(B4215)=1,2,IF(WEEKDAY(B4215)=7,1,0))))))</f>
        <v>2</v>
      </c>
    </row>
    <row r="4216" spans="2:22">
      <c r="B4216" s="318">
        <f t="shared" si="263"/>
        <v>46288</v>
      </c>
      <c r="C4216" s="312">
        <v>12</v>
      </c>
      <c r="D4216" s="368">
        <f>IFERROR((INDEX(METADATA!$T$2:$T$20,MATCH(B4216,METADATA!$S$2:$S$20,0))),0)</f>
        <v>0</v>
      </c>
      <c r="E4216" s="312" t="str">
        <f t="shared" si="260"/>
        <v>LO</v>
      </c>
      <c r="F4216" s="369">
        <f>VLOOKUP(C4216,METADATA!$A$5:$H$29,IF(E4216="HI",2,IF(E4216="LO",6,10))+IF(D4216=1,2,IF(D4216=7,1,(IF(WEEKDAY(B4216)=1,2,IF(WEEKDAY(B4216)=7,1,0))))))</f>
        <v>2</v>
      </c>
      <c r="G4216" s="369">
        <f>VLOOKUP(C4216,METADATA!$J$5:$Q$29,IF(E4216="HI",2,IF(E4216="LO",6,10))+IF(D4216=1,2,IF(D4216=7,1,(IF(WEEKDAY(B4216)=1,2,IF(WEEKDAY(B4216)=7,1,0))))))</f>
        <v>2</v>
      </c>
      <c r="H4216" s="370">
        <v>11615.47509765625</v>
      </c>
      <c r="I4216" s="370">
        <v>3377.2074890136719</v>
      </c>
      <c r="M4216" s="371">
        <f t="shared" si="261"/>
        <v>12096.478502776024</v>
      </c>
      <c r="N4216" s="329">
        <f t="shared" si="262"/>
        <v>0</v>
      </c>
      <c r="T4216" s="331">
        <v>0</v>
      </c>
      <c r="U4216" s="328">
        <f>VLOOKUP(C4216,METADATA!$J$5:$Q$29,IF(E4216="HI",2,IF(E4216="LO",6,10))+IF(T4216=1,2,IF(D4216=7,1,(IF(WEEKDAY(B4216)=1,2,IF(WEEKDAY(B4216)=7,1,0))))))</f>
        <v>2</v>
      </c>
      <c r="V4216" s="328">
        <f>VLOOKUP(C4216,METADATA!$A$5:$H$29,IF(E4216="HI",2,IF(E4216="LO",6,10))+IF(T4216=1,2,IF(D4216=7,1,(IF(WEEKDAY(B4216)=1,2,IF(WEEKDAY(B4216)=7,1,0))))))</f>
        <v>2</v>
      </c>
    </row>
    <row r="4217" spans="2:22">
      <c r="B4217" s="318">
        <f t="shared" si="263"/>
        <v>46288</v>
      </c>
      <c r="C4217" s="312">
        <v>13</v>
      </c>
      <c r="D4217" s="368">
        <f>IFERROR((INDEX(METADATA!$T$2:$T$20,MATCH(B4217,METADATA!$S$2:$S$20,0))),0)</f>
        <v>0</v>
      </c>
      <c r="E4217" s="312" t="str">
        <f t="shared" si="260"/>
        <v>LO</v>
      </c>
      <c r="F4217" s="369">
        <f>VLOOKUP(C4217,METADATA!$A$5:$H$29,IF(E4217="HI",2,IF(E4217="LO",6,10))+IF(D4217=1,2,IF(D4217=7,1,(IF(WEEKDAY(B4217)=1,2,IF(WEEKDAY(B4217)=7,1,0))))))</f>
        <v>2</v>
      </c>
      <c r="G4217" s="369">
        <f>VLOOKUP(C4217,METADATA!$J$5:$Q$29,IF(E4217="HI",2,IF(E4217="LO",6,10))+IF(D4217=1,2,IF(D4217=7,1,(IF(WEEKDAY(B4217)=1,2,IF(WEEKDAY(B4217)=7,1,0))))))</f>
        <v>2</v>
      </c>
      <c r="H4217" s="370">
        <v>11556.999694824219</v>
      </c>
      <c r="I4217" s="370">
        <v>3278.4474792480469</v>
      </c>
      <c r="M4217" s="371">
        <f t="shared" si="261"/>
        <v>12013.01210439559</v>
      </c>
      <c r="N4217" s="329">
        <f t="shared" si="262"/>
        <v>0</v>
      </c>
      <c r="T4217" s="331">
        <v>0</v>
      </c>
      <c r="U4217" s="328">
        <f>VLOOKUP(C4217,METADATA!$J$5:$Q$29,IF(E4217="HI",2,IF(E4217="LO",6,10))+IF(T4217=1,2,IF(D4217=7,1,(IF(WEEKDAY(B4217)=1,2,IF(WEEKDAY(B4217)=7,1,0))))))</f>
        <v>2</v>
      </c>
      <c r="V4217" s="328">
        <f>VLOOKUP(C4217,METADATA!$A$5:$H$29,IF(E4217="HI",2,IF(E4217="LO",6,10))+IF(T4217=1,2,IF(D4217=7,1,(IF(WEEKDAY(B4217)=1,2,IF(WEEKDAY(B4217)=7,1,0))))))</f>
        <v>2</v>
      </c>
    </row>
    <row r="4218" spans="2:22">
      <c r="B4218" s="318">
        <f t="shared" si="263"/>
        <v>46288</v>
      </c>
      <c r="C4218" s="312">
        <v>14</v>
      </c>
      <c r="D4218" s="368">
        <f>IFERROR((INDEX(METADATA!$T$2:$T$20,MATCH(B4218,METADATA!$S$2:$S$20,0))),0)</f>
        <v>0</v>
      </c>
      <c r="E4218" s="312" t="str">
        <f t="shared" si="260"/>
        <v>LO</v>
      </c>
      <c r="F4218" s="369">
        <f>VLOOKUP(C4218,METADATA!$A$5:$H$29,IF(E4218="HI",2,IF(E4218="LO",6,10))+IF(D4218=1,2,IF(D4218=7,1,(IF(WEEKDAY(B4218)=1,2,IF(WEEKDAY(B4218)=7,1,0))))))</f>
        <v>2</v>
      </c>
      <c r="G4218" s="369">
        <f>VLOOKUP(C4218,METADATA!$J$5:$Q$29,IF(E4218="HI",2,IF(E4218="LO",6,10))+IF(D4218=1,2,IF(D4218=7,1,(IF(WEEKDAY(B4218)=1,2,IF(WEEKDAY(B4218)=7,1,0))))))</f>
        <v>2</v>
      </c>
      <c r="H4218" s="370">
        <v>12159.399658203125</v>
      </c>
      <c r="I4218" s="370">
        <v>3598.2599487304688</v>
      </c>
      <c r="M4218" s="371">
        <f t="shared" si="261"/>
        <v>12680.633844826058</v>
      </c>
      <c r="N4218" s="329">
        <f t="shared" si="262"/>
        <v>0</v>
      </c>
      <c r="T4218" s="331">
        <v>0</v>
      </c>
      <c r="U4218" s="328">
        <f>VLOOKUP(C4218,METADATA!$J$5:$Q$29,IF(E4218="HI",2,IF(E4218="LO",6,10))+IF(T4218=1,2,IF(D4218=7,1,(IF(WEEKDAY(B4218)=1,2,IF(WEEKDAY(B4218)=7,1,0))))))</f>
        <v>2</v>
      </c>
      <c r="V4218" s="328">
        <f>VLOOKUP(C4218,METADATA!$A$5:$H$29,IF(E4218="HI",2,IF(E4218="LO",6,10))+IF(T4218=1,2,IF(D4218=7,1,(IF(WEEKDAY(B4218)=1,2,IF(WEEKDAY(B4218)=7,1,0))))))</f>
        <v>2</v>
      </c>
    </row>
    <row r="4219" spans="2:22">
      <c r="B4219" s="318">
        <f t="shared" si="263"/>
        <v>46288</v>
      </c>
      <c r="C4219" s="312">
        <v>15</v>
      </c>
      <c r="D4219" s="368">
        <f>IFERROR((INDEX(METADATA!$T$2:$T$20,MATCH(B4219,METADATA!$S$2:$S$20,0))),0)</f>
        <v>0</v>
      </c>
      <c r="E4219" s="312" t="str">
        <f t="shared" si="260"/>
        <v>LO</v>
      </c>
      <c r="F4219" s="369">
        <f>VLOOKUP(C4219,METADATA!$A$5:$H$29,IF(E4219="HI",2,IF(E4219="LO",6,10))+IF(D4219=1,2,IF(D4219=7,1,(IF(WEEKDAY(B4219)=1,2,IF(WEEKDAY(B4219)=7,1,0))))))</f>
        <v>2</v>
      </c>
      <c r="G4219" s="369">
        <f>VLOOKUP(C4219,METADATA!$J$5:$Q$29,IF(E4219="HI",2,IF(E4219="LO",6,10))+IF(D4219=1,2,IF(D4219=7,1,(IF(WEEKDAY(B4219)=1,2,IF(WEEKDAY(B4219)=7,1,0))))))</f>
        <v>2</v>
      </c>
      <c r="H4219" s="370">
        <v>13615.749877929688</v>
      </c>
      <c r="I4219" s="370">
        <v>4450.7449645996094</v>
      </c>
      <c r="M4219" s="371">
        <f t="shared" si="261"/>
        <v>14324.726017563165</v>
      </c>
      <c r="N4219" s="329">
        <f t="shared" si="262"/>
        <v>366.02000122070331</v>
      </c>
      <c r="T4219" s="331">
        <v>0</v>
      </c>
      <c r="U4219" s="328">
        <f>VLOOKUP(C4219,METADATA!$J$5:$Q$29,IF(E4219="HI",2,IF(E4219="LO",6,10))+IF(T4219=1,2,IF(D4219=7,1,(IF(WEEKDAY(B4219)=1,2,IF(WEEKDAY(B4219)=7,1,0))))))</f>
        <v>2</v>
      </c>
      <c r="V4219" s="328">
        <f>VLOOKUP(C4219,METADATA!$A$5:$H$29,IF(E4219="HI",2,IF(E4219="LO",6,10))+IF(T4219=1,2,IF(D4219=7,1,(IF(WEEKDAY(B4219)=1,2,IF(WEEKDAY(B4219)=7,1,0))))))</f>
        <v>2</v>
      </c>
    </row>
    <row r="4220" spans="2:22">
      <c r="B4220" s="318">
        <f t="shared" si="263"/>
        <v>46288</v>
      </c>
      <c r="C4220" s="312">
        <v>16</v>
      </c>
      <c r="D4220" s="368">
        <f>IFERROR((INDEX(METADATA!$T$2:$T$20,MATCH(B4220,METADATA!$S$2:$S$20,0))),0)</f>
        <v>0</v>
      </c>
      <c r="E4220" s="312" t="str">
        <f t="shared" si="260"/>
        <v>LO</v>
      </c>
      <c r="F4220" s="369">
        <f>VLOOKUP(C4220,METADATA!$A$5:$H$29,IF(E4220="HI",2,IF(E4220="LO",6,10))+IF(D4220=1,2,IF(D4220=7,1,(IF(WEEKDAY(B4220)=1,2,IF(WEEKDAY(B4220)=7,1,0))))))</f>
        <v>2</v>
      </c>
      <c r="G4220" s="369">
        <f>VLOOKUP(C4220,METADATA!$J$5:$Q$29,IF(E4220="HI",2,IF(E4220="LO",6,10))+IF(D4220=1,2,IF(D4220=7,1,(IF(WEEKDAY(B4220)=1,2,IF(WEEKDAY(B4220)=7,1,0))))))</f>
        <v>2</v>
      </c>
      <c r="H4220" s="370">
        <v>13648.074829101563</v>
      </c>
      <c r="I4220" s="370">
        <v>4446.6900634765625</v>
      </c>
      <c r="M4220" s="371">
        <f t="shared" si="261"/>
        <v>14354.197959530056</v>
      </c>
      <c r="N4220" s="329">
        <f t="shared" si="262"/>
        <v>352.26761474609384</v>
      </c>
      <c r="T4220" s="331">
        <v>0</v>
      </c>
      <c r="U4220" s="328">
        <f>VLOOKUP(C4220,METADATA!$J$5:$Q$29,IF(E4220="HI",2,IF(E4220="LO",6,10))+IF(T4220=1,2,IF(D4220=7,1,(IF(WEEKDAY(B4220)=1,2,IF(WEEKDAY(B4220)=7,1,0))))))</f>
        <v>2</v>
      </c>
      <c r="V4220" s="328">
        <f>VLOOKUP(C4220,METADATA!$A$5:$H$29,IF(E4220="HI",2,IF(E4220="LO",6,10))+IF(T4220=1,2,IF(D4220=7,1,(IF(WEEKDAY(B4220)=1,2,IF(WEEKDAY(B4220)=7,1,0))))))</f>
        <v>2</v>
      </c>
    </row>
    <row r="4221" spans="2:22">
      <c r="B4221" s="318">
        <f t="shared" si="263"/>
        <v>46288</v>
      </c>
      <c r="C4221" s="312">
        <v>17</v>
      </c>
      <c r="D4221" s="368">
        <f>IFERROR((INDEX(METADATA!$T$2:$T$20,MATCH(B4221,METADATA!$S$2:$S$20,0))),0)</f>
        <v>0</v>
      </c>
      <c r="E4221" s="312" t="str">
        <f t="shared" si="260"/>
        <v>LO</v>
      </c>
      <c r="F4221" s="369">
        <f>VLOOKUP(C4221,METADATA!$A$5:$H$29,IF(E4221="HI",2,IF(E4221="LO",6,10))+IF(D4221=1,2,IF(D4221=7,1,(IF(WEEKDAY(B4221)=1,2,IF(WEEKDAY(B4221)=7,1,0))))))</f>
        <v>2</v>
      </c>
      <c r="G4221" s="369">
        <f>VLOOKUP(C4221,METADATA!$J$5:$Q$29,IF(E4221="HI",2,IF(E4221="LO",6,10))+IF(D4221=1,2,IF(D4221=7,1,(IF(WEEKDAY(B4221)=1,2,IF(WEEKDAY(B4221)=7,1,0))))))</f>
        <v>2</v>
      </c>
      <c r="H4221" s="370">
        <v>13638.200317382813</v>
      </c>
      <c r="I4221" s="370">
        <v>4488.7149963378906</v>
      </c>
      <c r="M4221" s="371">
        <f t="shared" si="261"/>
        <v>14357.892262285899</v>
      </c>
      <c r="N4221" s="329">
        <f t="shared" si="262"/>
        <v>397.25490112304715</v>
      </c>
      <c r="T4221" s="331">
        <v>0</v>
      </c>
      <c r="U4221" s="328">
        <f>VLOOKUP(C4221,METADATA!$J$5:$Q$29,IF(E4221="HI",2,IF(E4221="LO",6,10))+IF(T4221=1,2,IF(D4221=7,1,(IF(WEEKDAY(B4221)=1,2,IF(WEEKDAY(B4221)=7,1,0))))))</f>
        <v>2</v>
      </c>
      <c r="V4221" s="328">
        <f>VLOOKUP(C4221,METADATA!$A$5:$H$29,IF(E4221="HI",2,IF(E4221="LO",6,10))+IF(T4221=1,2,IF(D4221=7,1,(IF(WEEKDAY(B4221)=1,2,IF(WEEKDAY(B4221)=7,1,0))))))</f>
        <v>2</v>
      </c>
    </row>
    <row r="4222" spans="2:22">
      <c r="B4222" s="318">
        <f t="shared" si="263"/>
        <v>46288</v>
      </c>
      <c r="C4222" s="312">
        <v>18</v>
      </c>
      <c r="D4222" s="368">
        <f>IFERROR((INDEX(METADATA!$T$2:$T$20,MATCH(B4222,METADATA!$S$2:$S$20,0))),0)</f>
        <v>0</v>
      </c>
      <c r="E4222" s="312" t="str">
        <f t="shared" si="260"/>
        <v>LO</v>
      </c>
      <c r="F4222" s="369">
        <f>VLOOKUP(C4222,METADATA!$A$5:$H$29,IF(E4222="HI",2,IF(E4222="LO",6,10))+IF(D4222=1,2,IF(D4222=7,1,(IF(WEEKDAY(B4222)=1,2,IF(WEEKDAY(B4222)=7,1,0))))))</f>
        <v>1</v>
      </c>
      <c r="G4222" s="369">
        <f>VLOOKUP(C4222,METADATA!$J$5:$Q$29,IF(E4222="HI",2,IF(E4222="LO",6,10))+IF(D4222=1,2,IF(D4222=7,1,(IF(WEEKDAY(B4222)=1,2,IF(WEEKDAY(B4222)=7,1,0))))))</f>
        <v>1</v>
      </c>
      <c r="H4222" s="370">
        <v>13511.749877929688</v>
      </c>
      <c r="I4222" s="370">
        <v>4301.3800048828125</v>
      </c>
      <c r="M4222" s="371">
        <f t="shared" si="261"/>
        <v>14179.889093717855</v>
      </c>
      <c r="N4222" s="329">
        <f t="shared" si="262"/>
        <v>247.85504150390625</v>
      </c>
      <c r="T4222" s="331">
        <v>0</v>
      </c>
      <c r="U4222" s="328">
        <f>VLOOKUP(C4222,METADATA!$J$5:$Q$29,IF(E4222="HI",2,IF(E4222="LO",6,10))+IF(T4222=1,2,IF(D4222=7,1,(IF(WEEKDAY(B4222)=1,2,IF(WEEKDAY(B4222)=7,1,0))))))</f>
        <v>1</v>
      </c>
      <c r="V4222" s="328">
        <f>VLOOKUP(C4222,METADATA!$A$5:$H$29,IF(E4222="HI",2,IF(E4222="LO",6,10))+IF(T4222=1,2,IF(D4222=7,1,(IF(WEEKDAY(B4222)=1,2,IF(WEEKDAY(B4222)=7,1,0))))))</f>
        <v>1</v>
      </c>
    </row>
    <row r="4223" spans="2:22">
      <c r="B4223" s="318">
        <f t="shared" si="263"/>
        <v>46288</v>
      </c>
      <c r="C4223" s="312">
        <v>19</v>
      </c>
      <c r="D4223" s="368">
        <f>IFERROR((INDEX(METADATA!$T$2:$T$20,MATCH(B4223,METADATA!$S$2:$S$20,0))),0)</f>
        <v>0</v>
      </c>
      <c r="E4223" s="312" t="str">
        <f t="shared" si="260"/>
        <v>LO</v>
      </c>
      <c r="F4223" s="369">
        <f>VLOOKUP(C4223,METADATA!$A$5:$H$29,IF(E4223="HI",2,IF(E4223="LO",6,10))+IF(D4223=1,2,IF(D4223=7,1,(IF(WEEKDAY(B4223)=1,2,IF(WEEKDAY(B4223)=7,1,0))))))</f>
        <v>1</v>
      </c>
      <c r="G4223" s="369">
        <f>VLOOKUP(C4223,METADATA!$J$5:$Q$29,IF(E4223="HI",2,IF(E4223="LO",6,10))+IF(D4223=1,2,IF(D4223=7,1,(IF(WEEKDAY(B4223)=1,2,IF(WEEKDAY(B4223)=7,1,0))))))</f>
        <v>1</v>
      </c>
      <c r="H4223" s="370">
        <v>13477.349731445313</v>
      </c>
      <c r="I4223" s="370">
        <v>4279.0849914550781</v>
      </c>
      <c r="M4223" s="371">
        <f t="shared" si="261"/>
        <v>14140.350920248942</v>
      </c>
      <c r="N4223" s="329">
        <f t="shared" si="262"/>
        <v>235.88007202148447</v>
      </c>
      <c r="T4223" s="331">
        <v>0</v>
      </c>
      <c r="U4223" s="328">
        <f>VLOOKUP(C4223,METADATA!$J$5:$Q$29,IF(E4223="HI",2,IF(E4223="LO",6,10))+IF(T4223=1,2,IF(D4223=7,1,(IF(WEEKDAY(B4223)=1,2,IF(WEEKDAY(B4223)=7,1,0))))))</f>
        <v>1</v>
      </c>
      <c r="V4223" s="328">
        <f>VLOOKUP(C4223,METADATA!$A$5:$H$29,IF(E4223="HI",2,IF(E4223="LO",6,10))+IF(T4223=1,2,IF(D4223=7,1,(IF(WEEKDAY(B4223)=1,2,IF(WEEKDAY(B4223)=7,1,0))))))</f>
        <v>1</v>
      </c>
    </row>
    <row r="4224" spans="2:22">
      <c r="B4224" s="318">
        <f t="shared" si="263"/>
        <v>46288</v>
      </c>
      <c r="C4224" s="312">
        <v>20</v>
      </c>
      <c r="D4224" s="368">
        <f>IFERROR((INDEX(METADATA!$T$2:$T$20,MATCH(B4224,METADATA!$S$2:$S$20,0))),0)</f>
        <v>0</v>
      </c>
      <c r="E4224" s="312" t="str">
        <f t="shared" si="260"/>
        <v>LO</v>
      </c>
      <c r="F4224" s="369">
        <f>VLOOKUP(C4224,METADATA!$A$5:$H$29,IF(E4224="HI",2,IF(E4224="LO",6,10))+IF(D4224=1,2,IF(D4224=7,1,(IF(WEEKDAY(B4224)=1,2,IF(WEEKDAY(B4224)=7,1,0))))))</f>
        <v>1</v>
      </c>
      <c r="G4224" s="369">
        <f>VLOOKUP(C4224,METADATA!$J$5:$Q$29,IF(E4224="HI",2,IF(E4224="LO",6,10))+IF(D4224=1,2,IF(D4224=7,1,(IF(WEEKDAY(B4224)=1,2,IF(WEEKDAY(B4224)=7,1,0))))))</f>
        <v>1</v>
      </c>
      <c r="H4224" s="370">
        <v>12205.649963378906</v>
      </c>
      <c r="I4224" s="370">
        <v>3647.2074584960938</v>
      </c>
      <c r="M4224" s="371">
        <f t="shared" si="261"/>
        <v>12738.917272431006</v>
      </c>
      <c r="N4224" s="329">
        <f t="shared" si="262"/>
        <v>0</v>
      </c>
      <c r="T4224" s="331">
        <v>0</v>
      </c>
      <c r="U4224" s="328">
        <f>VLOOKUP(C4224,METADATA!$J$5:$Q$29,IF(E4224="HI",2,IF(E4224="LO",6,10))+IF(T4224=1,2,IF(D4224=7,1,(IF(WEEKDAY(B4224)=1,2,IF(WEEKDAY(B4224)=7,1,0))))))</f>
        <v>1</v>
      </c>
      <c r="V4224" s="328">
        <f>VLOOKUP(C4224,METADATA!$A$5:$H$29,IF(E4224="HI",2,IF(E4224="LO",6,10))+IF(T4224=1,2,IF(D4224=7,1,(IF(WEEKDAY(B4224)=1,2,IF(WEEKDAY(B4224)=7,1,0))))))</f>
        <v>1</v>
      </c>
    </row>
    <row r="4225" spans="2:22">
      <c r="B4225" s="318">
        <f t="shared" si="263"/>
        <v>46288</v>
      </c>
      <c r="C4225" s="312">
        <v>21</v>
      </c>
      <c r="D4225" s="368">
        <f>IFERROR((INDEX(METADATA!$T$2:$T$20,MATCH(B4225,METADATA!$S$2:$S$20,0))),0)</f>
        <v>0</v>
      </c>
      <c r="E4225" s="312" t="str">
        <f t="shared" si="260"/>
        <v>LO</v>
      </c>
      <c r="F4225" s="369">
        <f>VLOOKUP(C4225,METADATA!$A$5:$H$29,IF(E4225="HI",2,IF(E4225="LO",6,10))+IF(D4225=1,2,IF(D4225=7,1,(IF(WEEKDAY(B4225)=1,2,IF(WEEKDAY(B4225)=7,1,0))))))</f>
        <v>2</v>
      </c>
      <c r="G4225" s="369">
        <f>VLOOKUP(C4225,METADATA!$J$5:$Q$29,IF(E4225="HI",2,IF(E4225="LO",6,10))+IF(D4225=1,2,IF(D4225=7,1,(IF(WEEKDAY(B4225)=1,2,IF(WEEKDAY(B4225)=7,1,0))))))</f>
        <v>2</v>
      </c>
      <c r="H4225" s="370">
        <v>11333.575073242188</v>
      </c>
      <c r="I4225" s="370">
        <v>3123.2400207519531</v>
      </c>
      <c r="M4225" s="371">
        <f t="shared" si="261"/>
        <v>11756.043219044548</v>
      </c>
      <c r="N4225" s="329">
        <f t="shared" si="262"/>
        <v>0</v>
      </c>
      <c r="T4225" s="331">
        <v>0</v>
      </c>
      <c r="U4225" s="328">
        <f>VLOOKUP(C4225,METADATA!$J$5:$Q$29,IF(E4225="HI",2,IF(E4225="LO",6,10))+IF(T4225=1,2,IF(D4225=7,1,(IF(WEEKDAY(B4225)=1,2,IF(WEEKDAY(B4225)=7,1,0))))))</f>
        <v>2</v>
      </c>
      <c r="V4225" s="328">
        <f>VLOOKUP(C4225,METADATA!$A$5:$H$29,IF(E4225="HI",2,IF(E4225="LO",6,10))+IF(T4225=1,2,IF(D4225=7,1,(IF(WEEKDAY(B4225)=1,2,IF(WEEKDAY(B4225)=7,1,0))))))</f>
        <v>2</v>
      </c>
    </row>
    <row r="4226" spans="2:22">
      <c r="B4226" s="318">
        <f t="shared" si="263"/>
        <v>46288</v>
      </c>
      <c r="C4226" s="312">
        <v>22</v>
      </c>
      <c r="D4226" s="368">
        <f>IFERROR((INDEX(METADATA!$T$2:$T$20,MATCH(B4226,METADATA!$S$2:$S$20,0))),0)</f>
        <v>0</v>
      </c>
      <c r="E4226" s="312" t="str">
        <f t="shared" si="260"/>
        <v>LO</v>
      </c>
      <c r="F4226" s="369">
        <f>VLOOKUP(C4226,METADATA!$A$5:$H$29,IF(E4226="HI",2,IF(E4226="LO",6,10))+IF(D4226=1,2,IF(D4226=7,1,(IF(WEEKDAY(B4226)=1,2,IF(WEEKDAY(B4226)=7,1,0))))))</f>
        <v>3</v>
      </c>
      <c r="G4226" s="369">
        <f>VLOOKUP(C4226,METADATA!$J$5:$Q$29,IF(E4226="HI",2,IF(E4226="LO",6,10))+IF(D4226=1,2,IF(D4226=7,1,(IF(WEEKDAY(B4226)=1,2,IF(WEEKDAY(B4226)=7,1,0))))))</f>
        <v>3</v>
      </c>
      <c r="H4226" s="370">
        <v>11324.149963378906</v>
      </c>
      <c r="I4226" s="370">
        <v>3165.14501953125</v>
      </c>
      <c r="M4226" s="371">
        <f t="shared" si="261"/>
        <v>11758.168028556061</v>
      </c>
      <c r="N4226" s="329">
        <f t="shared" si="262"/>
        <v>0</v>
      </c>
      <c r="T4226" s="331">
        <v>0</v>
      </c>
      <c r="U4226" s="328">
        <f>VLOOKUP(C4226,METADATA!$J$5:$Q$29,IF(E4226="HI",2,IF(E4226="LO",6,10))+IF(T4226=1,2,IF(D4226=7,1,(IF(WEEKDAY(B4226)=1,2,IF(WEEKDAY(B4226)=7,1,0))))))</f>
        <v>3</v>
      </c>
      <c r="V4226" s="328">
        <f>VLOOKUP(C4226,METADATA!$A$5:$H$29,IF(E4226="HI",2,IF(E4226="LO",6,10))+IF(T4226=1,2,IF(D4226=7,1,(IF(WEEKDAY(B4226)=1,2,IF(WEEKDAY(B4226)=7,1,0))))))</f>
        <v>3</v>
      </c>
    </row>
    <row r="4227" spans="2:22">
      <c r="B4227" s="318">
        <f t="shared" si="263"/>
        <v>46288</v>
      </c>
      <c r="C4227" s="312">
        <v>23</v>
      </c>
      <c r="D4227" s="368">
        <f>IFERROR((INDEX(METADATA!$T$2:$T$20,MATCH(B4227,METADATA!$S$2:$S$20,0))),0)</f>
        <v>0</v>
      </c>
      <c r="E4227" s="312" t="str">
        <f t="shared" si="260"/>
        <v>LO</v>
      </c>
      <c r="F4227" s="369">
        <f>VLOOKUP(C4227,METADATA!$A$5:$H$29,IF(E4227="HI",2,IF(E4227="LO",6,10))+IF(D4227=1,2,IF(D4227=7,1,(IF(WEEKDAY(B4227)=1,2,IF(WEEKDAY(B4227)=7,1,0))))))</f>
        <v>3</v>
      </c>
      <c r="G4227" s="369">
        <f>VLOOKUP(C4227,METADATA!$J$5:$Q$29,IF(E4227="HI",2,IF(E4227="LO",6,10))+IF(D4227=1,2,IF(D4227=7,1,(IF(WEEKDAY(B4227)=1,2,IF(WEEKDAY(B4227)=7,1,0))))))</f>
        <v>3</v>
      </c>
      <c r="H4227" s="370">
        <v>12559.500061035156</v>
      </c>
      <c r="I4227" s="370">
        <v>3835.6075439453125</v>
      </c>
      <c r="M4227" s="371">
        <f t="shared" si="261"/>
        <v>13132.133376352536</v>
      </c>
      <c r="N4227" s="329">
        <f t="shared" si="262"/>
        <v>67.757525634765898</v>
      </c>
      <c r="T4227" s="331">
        <v>0</v>
      </c>
      <c r="U4227" s="328">
        <f>VLOOKUP(C4227,METADATA!$J$5:$Q$29,IF(E4227="HI",2,IF(E4227="LO",6,10))+IF(T4227=1,2,IF(D4227=7,1,(IF(WEEKDAY(B4227)=1,2,IF(WEEKDAY(B4227)=7,1,0))))))</f>
        <v>3</v>
      </c>
      <c r="V4227" s="328">
        <f>VLOOKUP(C4227,METADATA!$A$5:$H$29,IF(E4227="HI",2,IF(E4227="LO",6,10))+IF(T4227=1,2,IF(D4227=7,1,(IF(WEEKDAY(B4227)=1,2,IF(WEEKDAY(B4227)=7,1,0))))))</f>
        <v>3</v>
      </c>
    </row>
    <row r="4228" spans="2:22">
      <c r="B4228" s="318">
        <f t="shared" si="263"/>
        <v>46289</v>
      </c>
      <c r="C4228" s="312">
        <v>0</v>
      </c>
      <c r="D4228" s="368">
        <f>IFERROR((INDEX(METADATA!$T$2:$T$20,MATCH(B4228,METADATA!$S$2:$S$20,0))),0)</f>
        <v>7</v>
      </c>
      <c r="E4228" s="312" t="str">
        <f t="shared" ref="E4228:E4291" si="264">IF(B4228="","",IF(AND(MONTH(B4228)&gt;=MONTH($Z$9),MONTH(B4228)&lt;=MONTH($Z$11)),"HI","LO"))</f>
        <v>LO</v>
      </c>
      <c r="F4228" s="369">
        <f>VLOOKUP(C4228,METADATA!$A$5:$H$29,IF(E4228="HI",2,IF(E4228="LO",6,10))+IF(D4228=1,2,IF(D4228=7,1,(IF(WEEKDAY(B4228)=1,2,IF(WEEKDAY(B4228)=7,1,0))))))</f>
        <v>3</v>
      </c>
      <c r="G4228" s="369">
        <f>VLOOKUP(C4228,METADATA!$J$5:$Q$29,IF(E4228="HI",2,IF(E4228="LO",6,10))+IF(D4228=1,2,IF(D4228=7,1,(IF(WEEKDAY(B4228)=1,2,IF(WEEKDAY(B4228)=7,1,0))))))</f>
        <v>3</v>
      </c>
      <c r="H4228" s="370">
        <v>13287.325012207031</v>
      </c>
      <c r="I4228" s="370">
        <v>4336.0150451660156</v>
      </c>
      <c r="M4228" s="371">
        <f t="shared" ref="M4228:M4291" si="265">SQRT(H4228^2+I4228^2)</f>
        <v>13976.910690561366</v>
      </c>
      <c r="N4228" s="329">
        <f t="shared" ref="N4228:N4291" si="266">IF(H4228=0,0,(IF(I4228-(0.3*H4228)&lt;0,0,(I4228-(0.3*H4228)))))</f>
        <v>349.81754150390634</v>
      </c>
      <c r="T4228" s="331">
        <v>0</v>
      </c>
      <c r="U4228" s="328">
        <f>VLOOKUP(C4228,METADATA!$J$5:$Q$29,IF(E4228="HI",2,IF(E4228="LO",6,10))+IF(T4228=1,2,IF(D4228=7,1,(IF(WEEKDAY(B4228)=1,2,IF(WEEKDAY(B4228)=7,1,0))))))</f>
        <v>3</v>
      </c>
      <c r="V4228" s="328">
        <f>VLOOKUP(C4228,METADATA!$A$5:$H$29,IF(E4228="HI",2,IF(E4228="LO",6,10))+IF(T4228=1,2,IF(D4228=7,1,(IF(WEEKDAY(B4228)=1,2,IF(WEEKDAY(B4228)=7,1,0))))))</f>
        <v>3</v>
      </c>
    </row>
    <row r="4229" spans="2:22">
      <c r="B4229" s="318">
        <f t="shared" si="263"/>
        <v>46289</v>
      </c>
      <c r="C4229" s="312">
        <v>1</v>
      </c>
      <c r="D4229" s="368">
        <f>IFERROR((INDEX(METADATA!$T$2:$T$20,MATCH(B4229,METADATA!$S$2:$S$20,0))),0)</f>
        <v>7</v>
      </c>
      <c r="E4229" s="312" t="str">
        <f t="shared" si="264"/>
        <v>LO</v>
      </c>
      <c r="F4229" s="369">
        <f>VLOOKUP(C4229,METADATA!$A$5:$H$29,IF(E4229="HI",2,IF(E4229="LO",6,10))+IF(D4229=1,2,IF(D4229=7,1,(IF(WEEKDAY(B4229)=1,2,IF(WEEKDAY(B4229)=7,1,0))))))</f>
        <v>3</v>
      </c>
      <c r="G4229" s="369">
        <f>VLOOKUP(C4229,METADATA!$J$5:$Q$29,IF(E4229="HI",2,IF(E4229="LO",6,10))+IF(D4229=1,2,IF(D4229=7,1,(IF(WEEKDAY(B4229)=1,2,IF(WEEKDAY(B4229)=7,1,0))))))</f>
        <v>3</v>
      </c>
      <c r="H4229" s="370">
        <v>13270.009948730469</v>
      </c>
      <c r="I4229" s="370">
        <v>4238.6826171875</v>
      </c>
      <c r="M4229" s="371">
        <f t="shared" si="265"/>
        <v>13930.527426075909</v>
      </c>
      <c r="N4229" s="329">
        <f t="shared" si="266"/>
        <v>257.67963256835947</v>
      </c>
      <c r="T4229" s="331">
        <v>0</v>
      </c>
      <c r="U4229" s="328">
        <f>VLOOKUP(C4229,METADATA!$J$5:$Q$29,IF(E4229="HI",2,IF(E4229="LO",6,10))+IF(T4229=1,2,IF(D4229=7,1,(IF(WEEKDAY(B4229)=1,2,IF(WEEKDAY(B4229)=7,1,0))))))</f>
        <v>3</v>
      </c>
      <c r="V4229" s="328">
        <f>VLOOKUP(C4229,METADATA!$A$5:$H$29,IF(E4229="HI",2,IF(E4229="LO",6,10))+IF(T4229=1,2,IF(D4229=7,1,(IF(WEEKDAY(B4229)=1,2,IF(WEEKDAY(B4229)=7,1,0))))))</f>
        <v>3</v>
      </c>
    </row>
    <row r="4230" spans="2:22">
      <c r="B4230" s="318">
        <f t="shared" si="263"/>
        <v>46289</v>
      </c>
      <c r="C4230" s="312">
        <v>2</v>
      </c>
      <c r="D4230" s="368">
        <f>IFERROR((INDEX(METADATA!$T$2:$T$20,MATCH(B4230,METADATA!$S$2:$S$20,0))),0)</f>
        <v>7</v>
      </c>
      <c r="E4230" s="312" t="str">
        <f t="shared" si="264"/>
        <v>LO</v>
      </c>
      <c r="F4230" s="369">
        <f>VLOOKUP(C4230,METADATA!$A$5:$H$29,IF(E4230="HI",2,IF(E4230="LO",6,10))+IF(D4230=1,2,IF(D4230=7,1,(IF(WEEKDAY(B4230)=1,2,IF(WEEKDAY(B4230)=7,1,0))))))</f>
        <v>3</v>
      </c>
      <c r="G4230" s="369">
        <f>VLOOKUP(C4230,METADATA!$J$5:$Q$29,IF(E4230="HI",2,IF(E4230="LO",6,10))+IF(D4230=1,2,IF(D4230=7,1,(IF(WEEKDAY(B4230)=1,2,IF(WEEKDAY(B4230)=7,1,0))))))</f>
        <v>3</v>
      </c>
      <c r="H4230" s="370">
        <v>13325.850280761719</v>
      </c>
      <c r="I4230" s="370">
        <v>4198.5550842285156</v>
      </c>
      <c r="M4230" s="371">
        <f t="shared" si="265"/>
        <v>13971.619465923708</v>
      </c>
      <c r="N4230" s="329">
        <f t="shared" si="266"/>
        <v>200.80000000000018</v>
      </c>
      <c r="T4230" s="331">
        <v>0</v>
      </c>
      <c r="U4230" s="328">
        <f>VLOOKUP(C4230,METADATA!$J$5:$Q$29,IF(E4230="HI",2,IF(E4230="LO",6,10))+IF(T4230=1,2,IF(D4230=7,1,(IF(WEEKDAY(B4230)=1,2,IF(WEEKDAY(B4230)=7,1,0))))))</f>
        <v>3</v>
      </c>
      <c r="V4230" s="328">
        <f>VLOOKUP(C4230,METADATA!$A$5:$H$29,IF(E4230="HI",2,IF(E4230="LO",6,10))+IF(T4230=1,2,IF(D4230=7,1,(IF(WEEKDAY(B4230)=1,2,IF(WEEKDAY(B4230)=7,1,0))))))</f>
        <v>3</v>
      </c>
    </row>
    <row r="4231" spans="2:22">
      <c r="B4231" s="318">
        <f t="shared" si="263"/>
        <v>46289</v>
      </c>
      <c r="C4231" s="312">
        <v>3</v>
      </c>
      <c r="D4231" s="368">
        <f>IFERROR((INDEX(METADATA!$T$2:$T$20,MATCH(B4231,METADATA!$S$2:$S$20,0))),0)</f>
        <v>7</v>
      </c>
      <c r="E4231" s="312" t="str">
        <f t="shared" si="264"/>
        <v>LO</v>
      </c>
      <c r="F4231" s="369">
        <f>VLOOKUP(C4231,METADATA!$A$5:$H$29,IF(E4231="HI",2,IF(E4231="LO",6,10))+IF(D4231=1,2,IF(D4231=7,1,(IF(WEEKDAY(B4231)=1,2,IF(WEEKDAY(B4231)=7,1,0))))))</f>
        <v>3</v>
      </c>
      <c r="G4231" s="369">
        <f>VLOOKUP(C4231,METADATA!$J$5:$Q$29,IF(E4231="HI",2,IF(E4231="LO",6,10))+IF(D4231=1,2,IF(D4231=7,1,(IF(WEEKDAY(B4231)=1,2,IF(WEEKDAY(B4231)=7,1,0))))))</f>
        <v>3</v>
      </c>
      <c r="H4231" s="370">
        <v>13290.27490234375</v>
      </c>
      <c r="I4231" s="370">
        <v>4137.7100219726563</v>
      </c>
      <c r="M4231" s="371">
        <f t="shared" si="265"/>
        <v>13919.484588367528</v>
      </c>
      <c r="N4231" s="329">
        <f t="shared" si="266"/>
        <v>150.62755126953152</v>
      </c>
      <c r="T4231" s="331">
        <v>0</v>
      </c>
      <c r="U4231" s="328">
        <f>VLOOKUP(C4231,METADATA!$J$5:$Q$29,IF(E4231="HI",2,IF(E4231="LO",6,10))+IF(T4231=1,2,IF(D4231=7,1,(IF(WEEKDAY(B4231)=1,2,IF(WEEKDAY(B4231)=7,1,0))))))</f>
        <v>3</v>
      </c>
      <c r="V4231" s="328">
        <f>VLOOKUP(C4231,METADATA!$A$5:$H$29,IF(E4231="HI",2,IF(E4231="LO",6,10))+IF(T4231=1,2,IF(D4231=7,1,(IF(WEEKDAY(B4231)=1,2,IF(WEEKDAY(B4231)=7,1,0))))))</f>
        <v>3</v>
      </c>
    </row>
    <row r="4232" spans="2:22">
      <c r="B4232" s="318">
        <f t="shared" si="263"/>
        <v>46289</v>
      </c>
      <c r="C4232" s="312">
        <v>4</v>
      </c>
      <c r="D4232" s="368">
        <f>IFERROR((INDEX(METADATA!$T$2:$T$20,MATCH(B4232,METADATA!$S$2:$S$20,0))),0)</f>
        <v>7</v>
      </c>
      <c r="E4232" s="312" t="str">
        <f t="shared" si="264"/>
        <v>LO</v>
      </c>
      <c r="F4232" s="369">
        <f>VLOOKUP(C4232,METADATA!$A$5:$H$29,IF(E4232="HI",2,IF(E4232="LO",6,10))+IF(D4232=1,2,IF(D4232=7,1,(IF(WEEKDAY(B4232)=1,2,IF(WEEKDAY(B4232)=7,1,0))))))</f>
        <v>3</v>
      </c>
      <c r="G4232" s="369">
        <f>VLOOKUP(C4232,METADATA!$J$5:$Q$29,IF(E4232="HI",2,IF(E4232="LO",6,10))+IF(D4232=1,2,IF(D4232=7,1,(IF(WEEKDAY(B4232)=1,2,IF(WEEKDAY(B4232)=7,1,0))))))</f>
        <v>3</v>
      </c>
      <c r="H4232" s="370">
        <v>13550.175170898438</v>
      </c>
      <c r="I4232" s="370">
        <v>4350.1549682617188</v>
      </c>
      <c r="M4232" s="371">
        <f t="shared" si="265"/>
        <v>14231.342010152261</v>
      </c>
      <c r="N4232" s="329">
        <f t="shared" si="266"/>
        <v>285.1024169921875</v>
      </c>
      <c r="T4232" s="331">
        <v>0</v>
      </c>
      <c r="U4232" s="328">
        <f>VLOOKUP(C4232,METADATA!$J$5:$Q$29,IF(E4232="HI",2,IF(E4232="LO",6,10))+IF(T4232=1,2,IF(D4232=7,1,(IF(WEEKDAY(B4232)=1,2,IF(WEEKDAY(B4232)=7,1,0))))))</f>
        <v>3</v>
      </c>
      <c r="V4232" s="328">
        <f>VLOOKUP(C4232,METADATA!$A$5:$H$29,IF(E4232="HI",2,IF(E4232="LO",6,10))+IF(T4232=1,2,IF(D4232=7,1,(IF(WEEKDAY(B4232)=1,2,IF(WEEKDAY(B4232)=7,1,0))))))</f>
        <v>3</v>
      </c>
    </row>
    <row r="4233" spans="2:22">
      <c r="B4233" s="318">
        <f t="shared" si="263"/>
        <v>46289</v>
      </c>
      <c r="C4233" s="312">
        <v>5</v>
      </c>
      <c r="D4233" s="368">
        <f>IFERROR((INDEX(METADATA!$T$2:$T$20,MATCH(B4233,METADATA!$S$2:$S$20,0))),0)</f>
        <v>7</v>
      </c>
      <c r="E4233" s="312" t="str">
        <f t="shared" si="264"/>
        <v>LO</v>
      </c>
      <c r="F4233" s="369">
        <f>VLOOKUP(C4233,METADATA!$A$5:$H$29,IF(E4233="HI",2,IF(E4233="LO",6,10))+IF(D4233=1,2,IF(D4233=7,1,(IF(WEEKDAY(B4233)=1,2,IF(WEEKDAY(B4233)=7,1,0))))))</f>
        <v>3</v>
      </c>
      <c r="G4233" s="369">
        <f>VLOOKUP(C4233,METADATA!$J$5:$Q$29,IF(E4233="HI",2,IF(E4233="LO",6,10))+IF(D4233=1,2,IF(D4233=7,1,(IF(WEEKDAY(B4233)=1,2,IF(WEEKDAY(B4233)=7,1,0))))))</f>
        <v>3</v>
      </c>
      <c r="H4233" s="370">
        <v>13593.675231933594</v>
      </c>
      <c r="I4233" s="370">
        <v>4367.1450500488281</v>
      </c>
      <c r="M4233" s="371">
        <f t="shared" si="265"/>
        <v>14277.953711910221</v>
      </c>
      <c r="N4233" s="329">
        <f t="shared" si="266"/>
        <v>289.04248046875</v>
      </c>
      <c r="T4233" s="331">
        <v>0</v>
      </c>
      <c r="U4233" s="328">
        <f>VLOOKUP(C4233,METADATA!$J$5:$Q$29,IF(E4233="HI",2,IF(E4233="LO",6,10))+IF(T4233=1,2,IF(D4233=7,1,(IF(WEEKDAY(B4233)=1,2,IF(WEEKDAY(B4233)=7,1,0))))))</f>
        <v>3</v>
      </c>
      <c r="V4233" s="328">
        <f>VLOOKUP(C4233,METADATA!$A$5:$H$29,IF(E4233="HI",2,IF(E4233="LO",6,10))+IF(T4233=1,2,IF(D4233=7,1,(IF(WEEKDAY(B4233)=1,2,IF(WEEKDAY(B4233)=7,1,0))))))</f>
        <v>3</v>
      </c>
    </row>
    <row r="4234" spans="2:22">
      <c r="B4234" s="318">
        <f t="shared" si="263"/>
        <v>46289</v>
      </c>
      <c r="C4234" s="312">
        <v>6</v>
      </c>
      <c r="D4234" s="368">
        <f>IFERROR((INDEX(METADATA!$T$2:$T$20,MATCH(B4234,METADATA!$S$2:$S$20,0))),0)</f>
        <v>7</v>
      </c>
      <c r="E4234" s="312" t="str">
        <f t="shared" si="264"/>
        <v>LO</v>
      </c>
      <c r="F4234" s="369">
        <f>VLOOKUP(C4234,METADATA!$A$5:$H$29,IF(E4234="HI",2,IF(E4234="LO",6,10))+IF(D4234=1,2,IF(D4234=7,1,(IF(WEEKDAY(B4234)=1,2,IF(WEEKDAY(B4234)=7,1,0))))))</f>
        <v>3</v>
      </c>
      <c r="G4234" s="369">
        <f>VLOOKUP(C4234,METADATA!$J$5:$Q$29,IF(E4234="HI",2,IF(E4234="LO",6,10))+IF(D4234=1,2,IF(D4234=7,1,(IF(WEEKDAY(B4234)=1,2,IF(WEEKDAY(B4234)=7,1,0))))))</f>
        <v>3</v>
      </c>
      <c r="H4234" s="370">
        <v>13114.400024414063</v>
      </c>
      <c r="I4234" s="370">
        <v>4331.9400939941406</v>
      </c>
      <c r="M4234" s="371">
        <f t="shared" si="265"/>
        <v>13811.342910025278</v>
      </c>
      <c r="N4234" s="329">
        <f t="shared" si="266"/>
        <v>397.62008666992188</v>
      </c>
      <c r="T4234" s="331">
        <v>0</v>
      </c>
      <c r="U4234" s="328">
        <f>VLOOKUP(C4234,METADATA!$J$5:$Q$29,IF(E4234="HI",2,IF(E4234="LO",6,10))+IF(T4234=1,2,IF(D4234=7,1,(IF(WEEKDAY(B4234)=1,2,IF(WEEKDAY(B4234)=7,1,0))))))</f>
        <v>3</v>
      </c>
      <c r="V4234" s="328">
        <f>VLOOKUP(C4234,METADATA!$A$5:$H$29,IF(E4234="HI",2,IF(E4234="LO",6,10))+IF(T4234=1,2,IF(D4234=7,1,(IF(WEEKDAY(B4234)=1,2,IF(WEEKDAY(B4234)=7,1,0))))))</f>
        <v>3</v>
      </c>
    </row>
    <row r="4235" spans="2:22">
      <c r="B4235" s="318">
        <f t="shared" si="263"/>
        <v>46289</v>
      </c>
      <c r="C4235" s="312">
        <v>7</v>
      </c>
      <c r="D4235" s="368">
        <f>IFERROR((INDEX(METADATA!$T$2:$T$20,MATCH(B4235,METADATA!$S$2:$S$20,0))),0)</f>
        <v>7</v>
      </c>
      <c r="E4235" s="312" t="str">
        <f t="shared" si="264"/>
        <v>LO</v>
      </c>
      <c r="F4235" s="369">
        <f>VLOOKUP(C4235,METADATA!$A$5:$H$29,IF(E4235="HI",2,IF(E4235="LO",6,10))+IF(D4235=1,2,IF(D4235=7,1,(IF(WEEKDAY(B4235)=1,2,IF(WEEKDAY(B4235)=7,1,0))))))</f>
        <v>2</v>
      </c>
      <c r="G4235" s="369">
        <f>VLOOKUP(C4235,METADATA!$J$5:$Q$29,IF(E4235="HI",2,IF(E4235="LO",6,10))+IF(D4235=1,2,IF(D4235=7,1,(IF(WEEKDAY(B4235)=1,2,IF(WEEKDAY(B4235)=7,1,0))))))</f>
        <v>2</v>
      </c>
      <c r="H4235" s="370">
        <v>12112.724914550781</v>
      </c>
      <c r="I4235" s="370">
        <v>3704.2949981689453</v>
      </c>
      <c r="M4235" s="371">
        <f t="shared" si="265"/>
        <v>12666.48752768654</v>
      </c>
      <c r="N4235" s="329">
        <f t="shared" si="266"/>
        <v>70.477523803710938</v>
      </c>
      <c r="T4235" s="331">
        <v>0</v>
      </c>
      <c r="U4235" s="328">
        <f>VLOOKUP(C4235,METADATA!$J$5:$Q$29,IF(E4235="HI",2,IF(E4235="LO",6,10))+IF(T4235=1,2,IF(D4235=7,1,(IF(WEEKDAY(B4235)=1,2,IF(WEEKDAY(B4235)=7,1,0))))))</f>
        <v>2</v>
      </c>
      <c r="V4235" s="328">
        <f>VLOOKUP(C4235,METADATA!$A$5:$H$29,IF(E4235="HI",2,IF(E4235="LO",6,10))+IF(T4235=1,2,IF(D4235=7,1,(IF(WEEKDAY(B4235)=1,2,IF(WEEKDAY(B4235)=7,1,0))))))</f>
        <v>2</v>
      </c>
    </row>
    <row r="4236" spans="2:22">
      <c r="B4236" s="318">
        <f t="shared" si="263"/>
        <v>46289</v>
      </c>
      <c r="C4236" s="312">
        <v>8</v>
      </c>
      <c r="D4236" s="368">
        <f>IFERROR((INDEX(METADATA!$T$2:$T$20,MATCH(B4236,METADATA!$S$2:$S$20,0))),0)</f>
        <v>7</v>
      </c>
      <c r="E4236" s="312" t="str">
        <f t="shared" si="264"/>
        <v>LO</v>
      </c>
      <c r="F4236" s="369">
        <f>VLOOKUP(C4236,METADATA!$A$5:$H$29,IF(E4236="HI",2,IF(E4236="LO",6,10))+IF(D4236=1,2,IF(D4236=7,1,(IF(WEEKDAY(B4236)=1,2,IF(WEEKDAY(B4236)=7,1,0))))))</f>
        <v>2</v>
      </c>
      <c r="G4236" s="369">
        <f>VLOOKUP(C4236,METADATA!$J$5:$Q$29,IF(E4236="HI",2,IF(E4236="LO",6,10))+IF(D4236=1,2,IF(D4236=7,1,(IF(WEEKDAY(B4236)=1,2,IF(WEEKDAY(B4236)=7,1,0))))))</f>
        <v>2</v>
      </c>
      <c r="H4236" s="370">
        <v>13164.950439453125</v>
      </c>
      <c r="I4236" s="370">
        <v>4166.7600708007813</v>
      </c>
      <c r="M4236" s="371">
        <f t="shared" si="265"/>
        <v>13808.613600245202</v>
      </c>
      <c r="N4236" s="329">
        <f t="shared" si="266"/>
        <v>217.27493896484384</v>
      </c>
      <c r="T4236" s="331">
        <v>0</v>
      </c>
      <c r="U4236" s="328">
        <f>VLOOKUP(C4236,METADATA!$J$5:$Q$29,IF(E4236="HI",2,IF(E4236="LO",6,10))+IF(T4236=1,2,IF(D4236=7,1,(IF(WEEKDAY(B4236)=1,2,IF(WEEKDAY(B4236)=7,1,0))))))</f>
        <v>2</v>
      </c>
      <c r="V4236" s="328">
        <f>VLOOKUP(C4236,METADATA!$A$5:$H$29,IF(E4236="HI",2,IF(E4236="LO",6,10))+IF(T4236=1,2,IF(D4236=7,1,(IF(WEEKDAY(B4236)=1,2,IF(WEEKDAY(B4236)=7,1,0))))))</f>
        <v>2</v>
      </c>
    </row>
    <row r="4237" spans="2:22">
      <c r="B4237" s="318">
        <f t="shared" si="263"/>
        <v>46289</v>
      </c>
      <c r="C4237" s="312">
        <v>9</v>
      </c>
      <c r="D4237" s="368">
        <f>IFERROR((INDEX(METADATA!$T$2:$T$20,MATCH(B4237,METADATA!$S$2:$S$20,0))),0)</f>
        <v>7</v>
      </c>
      <c r="E4237" s="312" t="str">
        <f t="shared" si="264"/>
        <v>LO</v>
      </c>
      <c r="F4237" s="369">
        <f>VLOOKUP(C4237,METADATA!$A$5:$H$29,IF(E4237="HI",2,IF(E4237="LO",6,10))+IF(D4237=1,2,IF(D4237=7,1,(IF(WEEKDAY(B4237)=1,2,IF(WEEKDAY(B4237)=7,1,0))))))</f>
        <v>2</v>
      </c>
      <c r="G4237" s="369">
        <f>VLOOKUP(C4237,METADATA!$J$5:$Q$29,IF(E4237="HI",2,IF(E4237="LO",6,10))+IF(D4237=1,2,IF(D4237=7,1,(IF(WEEKDAY(B4237)=1,2,IF(WEEKDAY(B4237)=7,1,0))))))</f>
        <v>2</v>
      </c>
      <c r="H4237" s="370">
        <v>12907.274963378906</v>
      </c>
      <c r="I4237" s="370">
        <v>4196.764892578125</v>
      </c>
      <c r="M4237" s="371">
        <f t="shared" si="265"/>
        <v>13572.419922174682</v>
      </c>
      <c r="N4237" s="329">
        <f t="shared" si="266"/>
        <v>324.58240356445322</v>
      </c>
      <c r="T4237" s="331">
        <v>0</v>
      </c>
      <c r="U4237" s="328">
        <f>VLOOKUP(C4237,METADATA!$J$5:$Q$29,IF(E4237="HI",2,IF(E4237="LO",6,10))+IF(T4237=1,2,IF(D4237=7,1,(IF(WEEKDAY(B4237)=1,2,IF(WEEKDAY(B4237)=7,1,0))))))</f>
        <v>2</v>
      </c>
      <c r="V4237" s="328">
        <f>VLOOKUP(C4237,METADATA!$A$5:$H$29,IF(E4237="HI",2,IF(E4237="LO",6,10))+IF(T4237=1,2,IF(D4237=7,1,(IF(WEEKDAY(B4237)=1,2,IF(WEEKDAY(B4237)=7,1,0))))))</f>
        <v>2</v>
      </c>
    </row>
    <row r="4238" spans="2:22">
      <c r="B4238" s="318">
        <f t="shared" si="263"/>
        <v>46289</v>
      </c>
      <c r="C4238" s="312">
        <v>10</v>
      </c>
      <c r="D4238" s="368">
        <f>IFERROR((INDEX(METADATA!$T$2:$T$20,MATCH(B4238,METADATA!$S$2:$S$20,0))),0)</f>
        <v>7</v>
      </c>
      <c r="E4238" s="312" t="str">
        <f t="shared" si="264"/>
        <v>LO</v>
      </c>
      <c r="F4238" s="369">
        <f>VLOOKUP(C4238,METADATA!$A$5:$H$29,IF(E4238="HI",2,IF(E4238="LO",6,10))+IF(D4238=1,2,IF(D4238=7,1,(IF(WEEKDAY(B4238)=1,2,IF(WEEKDAY(B4238)=7,1,0))))))</f>
        <v>2</v>
      </c>
      <c r="G4238" s="369">
        <f>VLOOKUP(C4238,METADATA!$J$5:$Q$29,IF(E4238="HI",2,IF(E4238="LO",6,10))+IF(D4238=1,2,IF(D4238=7,1,(IF(WEEKDAY(B4238)=1,2,IF(WEEKDAY(B4238)=7,1,0))))))</f>
        <v>2</v>
      </c>
      <c r="H4238" s="370">
        <v>13099.374694824219</v>
      </c>
      <c r="I4238" s="370">
        <v>4302.2850036621094</v>
      </c>
      <c r="M4238" s="371">
        <f t="shared" si="265"/>
        <v>13787.794372129902</v>
      </c>
      <c r="N4238" s="329">
        <f t="shared" si="266"/>
        <v>372.47259521484375</v>
      </c>
      <c r="T4238" s="331">
        <v>0</v>
      </c>
      <c r="U4238" s="328">
        <f>VLOOKUP(C4238,METADATA!$J$5:$Q$29,IF(E4238="HI",2,IF(E4238="LO",6,10))+IF(T4238=1,2,IF(D4238=7,1,(IF(WEEKDAY(B4238)=1,2,IF(WEEKDAY(B4238)=7,1,0))))))</f>
        <v>2</v>
      </c>
      <c r="V4238" s="328">
        <f>VLOOKUP(C4238,METADATA!$A$5:$H$29,IF(E4238="HI",2,IF(E4238="LO",6,10))+IF(T4238=1,2,IF(D4238=7,1,(IF(WEEKDAY(B4238)=1,2,IF(WEEKDAY(B4238)=7,1,0))))))</f>
        <v>2</v>
      </c>
    </row>
    <row r="4239" spans="2:22">
      <c r="B4239" s="318">
        <f t="shared" si="263"/>
        <v>46289</v>
      </c>
      <c r="C4239" s="312">
        <v>11</v>
      </c>
      <c r="D4239" s="368">
        <f>IFERROR((INDEX(METADATA!$T$2:$T$20,MATCH(B4239,METADATA!$S$2:$S$20,0))),0)</f>
        <v>7</v>
      </c>
      <c r="E4239" s="312" t="str">
        <f t="shared" si="264"/>
        <v>LO</v>
      </c>
      <c r="F4239" s="369">
        <f>VLOOKUP(C4239,METADATA!$A$5:$H$29,IF(E4239="HI",2,IF(E4239="LO",6,10))+IF(D4239=1,2,IF(D4239=7,1,(IF(WEEKDAY(B4239)=1,2,IF(WEEKDAY(B4239)=7,1,0))))))</f>
        <v>2</v>
      </c>
      <c r="G4239" s="369">
        <f>VLOOKUP(C4239,METADATA!$J$5:$Q$29,IF(E4239="HI",2,IF(E4239="LO",6,10))+IF(D4239=1,2,IF(D4239=7,1,(IF(WEEKDAY(B4239)=1,2,IF(WEEKDAY(B4239)=7,1,0))))))</f>
        <v>2</v>
      </c>
      <c r="H4239" s="370">
        <v>12963.099975585938</v>
      </c>
      <c r="I4239" s="370">
        <v>4220.7449645996094</v>
      </c>
      <c r="M4239" s="371">
        <f t="shared" si="265"/>
        <v>13632.925182558183</v>
      </c>
      <c r="N4239" s="329">
        <f t="shared" si="266"/>
        <v>331.81497192382813</v>
      </c>
      <c r="T4239" s="331">
        <v>0</v>
      </c>
      <c r="U4239" s="328">
        <f>VLOOKUP(C4239,METADATA!$J$5:$Q$29,IF(E4239="HI",2,IF(E4239="LO",6,10))+IF(T4239=1,2,IF(D4239=7,1,(IF(WEEKDAY(B4239)=1,2,IF(WEEKDAY(B4239)=7,1,0))))))</f>
        <v>2</v>
      </c>
      <c r="V4239" s="328">
        <f>VLOOKUP(C4239,METADATA!$A$5:$H$29,IF(E4239="HI",2,IF(E4239="LO",6,10))+IF(T4239=1,2,IF(D4239=7,1,(IF(WEEKDAY(B4239)=1,2,IF(WEEKDAY(B4239)=7,1,0))))))</f>
        <v>2</v>
      </c>
    </row>
    <row r="4240" spans="2:22">
      <c r="B4240" s="318">
        <f t="shared" si="263"/>
        <v>46289</v>
      </c>
      <c r="C4240" s="312">
        <v>12</v>
      </c>
      <c r="D4240" s="368">
        <f>IFERROR((INDEX(METADATA!$T$2:$T$20,MATCH(B4240,METADATA!$S$2:$S$20,0))),0)</f>
        <v>7</v>
      </c>
      <c r="E4240" s="312" t="str">
        <f t="shared" si="264"/>
        <v>LO</v>
      </c>
      <c r="F4240" s="369">
        <f>VLOOKUP(C4240,METADATA!$A$5:$H$29,IF(E4240="HI",2,IF(E4240="LO",6,10))+IF(D4240=1,2,IF(D4240=7,1,(IF(WEEKDAY(B4240)=1,2,IF(WEEKDAY(B4240)=7,1,0))))))</f>
        <v>3</v>
      </c>
      <c r="G4240" s="369">
        <f>VLOOKUP(C4240,METADATA!$J$5:$Q$29,IF(E4240="HI",2,IF(E4240="LO",6,10))+IF(D4240=1,2,IF(D4240=7,1,(IF(WEEKDAY(B4240)=1,2,IF(WEEKDAY(B4240)=7,1,0))))))</f>
        <v>3</v>
      </c>
      <c r="H4240" s="370">
        <v>13020.274780273438</v>
      </c>
      <c r="I4240" s="370">
        <v>4220.3949584960938</v>
      </c>
      <c r="M4240" s="371">
        <f t="shared" si="265"/>
        <v>13687.19434214053</v>
      </c>
      <c r="N4240" s="329">
        <f t="shared" si="266"/>
        <v>314.31252441406286</v>
      </c>
      <c r="T4240" s="331">
        <v>0</v>
      </c>
      <c r="U4240" s="328">
        <f>VLOOKUP(C4240,METADATA!$J$5:$Q$29,IF(E4240="HI",2,IF(E4240="LO",6,10))+IF(T4240=1,2,IF(D4240=7,1,(IF(WEEKDAY(B4240)=1,2,IF(WEEKDAY(B4240)=7,1,0))))))</f>
        <v>3</v>
      </c>
      <c r="V4240" s="328">
        <f>VLOOKUP(C4240,METADATA!$A$5:$H$29,IF(E4240="HI",2,IF(E4240="LO",6,10))+IF(T4240=1,2,IF(D4240=7,1,(IF(WEEKDAY(B4240)=1,2,IF(WEEKDAY(B4240)=7,1,0))))))</f>
        <v>3</v>
      </c>
    </row>
    <row r="4241" spans="2:22">
      <c r="B4241" s="318">
        <f t="shared" si="263"/>
        <v>46289</v>
      </c>
      <c r="C4241" s="312">
        <v>13</v>
      </c>
      <c r="D4241" s="368">
        <f>IFERROR((INDEX(METADATA!$T$2:$T$20,MATCH(B4241,METADATA!$S$2:$S$20,0))),0)</f>
        <v>7</v>
      </c>
      <c r="E4241" s="312" t="str">
        <f t="shared" si="264"/>
        <v>LO</v>
      </c>
      <c r="F4241" s="369">
        <f>VLOOKUP(C4241,METADATA!$A$5:$H$29,IF(E4241="HI",2,IF(E4241="LO",6,10))+IF(D4241=1,2,IF(D4241=7,1,(IF(WEEKDAY(B4241)=1,2,IF(WEEKDAY(B4241)=7,1,0))))))</f>
        <v>3</v>
      </c>
      <c r="G4241" s="369">
        <f>VLOOKUP(C4241,METADATA!$J$5:$Q$29,IF(E4241="HI",2,IF(E4241="LO",6,10))+IF(D4241=1,2,IF(D4241=7,1,(IF(WEEKDAY(B4241)=1,2,IF(WEEKDAY(B4241)=7,1,0))))))</f>
        <v>3</v>
      </c>
      <c r="H4241" s="370">
        <v>11855.800109863281</v>
      </c>
      <c r="I4241" s="370">
        <v>3618.5975036621094</v>
      </c>
      <c r="M4241" s="371">
        <f t="shared" si="265"/>
        <v>12395.734917242457</v>
      </c>
      <c r="N4241" s="329">
        <f t="shared" si="266"/>
        <v>61.857470703125273</v>
      </c>
      <c r="T4241" s="331">
        <v>0</v>
      </c>
      <c r="U4241" s="328">
        <f>VLOOKUP(C4241,METADATA!$J$5:$Q$29,IF(E4241="HI",2,IF(E4241="LO",6,10))+IF(T4241=1,2,IF(D4241=7,1,(IF(WEEKDAY(B4241)=1,2,IF(WEEKDAY(B4241)=7,1,0))))))</f>
        <v>3</v>
      </c>
      <c r="V4241" s="328">
        <f>VLOOKUP(C4241,METADATA!$A$5:$H$29,IF(E4241="HI",2,IF(E4241="LO",6,10))+IF(T4241=1,2,IF(D4241=7,1,(IF(WEEKDAY(B4241)=1,2,IF(WEEKDAY(B4241)=7,1,0))))))</f>
        <v>3</v>
      </c>
    </row>
    <row r="4242" spans="2:22">
      <c r="B4242" s="318">
        <f t="shared" si="263"/>
        <v>46289</v>
      </c>
      <c r="C4242" s="312">
        <v>14</v>
      </c>
      <c r="D4242" s="368">
        <f>IFERROR((INDEX(METADATA!$T$2:$T$20,MATCH(B4242,METADATA!$S$2:$S$20,0))),0)</f>
        <v>7</v>
      </c>
      <c r="E4242" s="312" t="str">
        <f t="shared" si="264"/>
        <v>LO</v>
      </c>
      <c r="F4242" s="369">
        <f>VLOOKUP(C4242,METADATA!$A$5:$H$29,IF(E4242="HI",2,IF(E4242="LO",6,10))+IF(D4242=1,2,IF(D4242=7,1,(IF(WEEKDAY(B4242)=1,2,IF(WEEKDAY(B4242)=7,1,0))))))</f>
        <v>3</v>
      </c>
      <c r="G4242" s="369">
        <f>VLOOKUP(C4242,METADATA!$J$5:$Q$29,IF(E4242="HI",2,IF(E4242="LO",6,10))+IF(D4242=1,2,IF(D4242=7,1,(IF(WEEKDAY(B4242)=1,2,IF(WEEKDAY(B4242)=7,1,0))))))</f>
        <v>3</v>
      </c>
      <c r="H4242" s="370">
        <v>11341.800048828125</v>
      </c>
      <c r="I4242" s="370">
        <v>3401.7100219726563</v>
      </c>
      <c r="M4242" s="371">
        <f t="shared" si="265"/>
        <v>11840.948417301161</v>
      </c>
      <c r="N4242" s="329">
        <f t="shared" si="266"/>
        <v>0</v>
      </c>
      <c r="T4242" s="331">
        <v>0</v>
      </c>
      <c r="U4242" s="328">
        <f>VLOOKUP(C4242,METADATA!$J$5:$Q$29,IF(E4242="HI",2,IF(E4242="LO",6,10))+IF(T4242=1,2,IF(D4242=7,1,(IF(WEEKDAY(B4242)=1,2,IF(WEEKDAY(B4242)=7,1,0))))))</f>
        <v>3</v>
      </c>
      <c r="V4242" s="328">
        <f>VLOOKUP(C4242,METADATA!$A$5:$H$29,IF(E4242="HI",2,IF(E4242="LO",6,10))+IF(T4242=1,2,IF(D4242=7,1,(IF(WEEKDAY(B4242)=1,2,IF(WEEKDAY(B4242)=7,1,0))))))</f>
        <v>3</v>
      </c>
    </row>
    <row r="4243" spans="2:22">
      <c r="B4243" s="318">
        <f t="shared" si="263"/>
        <v>46289</v>
      </c>
      <c r="C4243" s="312">
        <v>15</v>
      </c>
      <c r="D4243" s="368">
        <f>IFERROR((INDEX(METADATA!$T$2:$T$20,MATCH(B4243,METADATA!$S$2:$S$20,0))),0)</f>
        <v>7</v>
      </c>
      <c r="E4243" s="312" t="str">
        <f t="shared" si="264"/>
        <v>LO</v>
      </c>
      <c r="F4243" s="369">
        <f>VLOOKUP(C4243,METADATA!$A$5:$H$29,IF(E4243="HI",2,IF(E4243="LO",6,10))+IF(D4243=1,2,IF(D4243=7,1,(IF(WEEKDAY(B4243)=1,2,IF(WEEKDAY(B4243)=7,1,0))))))</f>
        <v>3</v>
      </c>
      <c r="G4243" s="369">
        <f>VLOOKUP(C4243,METADATA!$J$5:$Q$29,IF(E4243="HI",2,IF(E4243="LO",6,10))+IF(D4243=1,2,IF(D4243=7,1,(IF(WEEKDAY(B4243)=1,2,IF(WEEKDAY(B4243)=7,1,0))))))</f>
        <v>3</v>
      </c>
      <c r="H4243" s="370">
        <v>11724.625030517578</v>
      </c>
      <c r="I4243" s="370">
        <v>3637.0400390625</v>
      </c>
      <c r="M4243" s="371">
        <f t="shared" si="265"/>
        <v>12275.784795766953</v>
      </c>
      <c r="N4243" s="329">
        <f t="shared" si="266"/>
        <v>119.65252990722684</v>
      </c>
      <c r="T4243" s="331">
        <v>0</v>
      </c>
      <c r="U4243" s="328">
        <f>VLOOKUP(C4243,METADATA!$J$5:$Q$29,IF(E4243="HI",2,IF(E4243="LO",6,10))+IF(T4243=1,2,IF(D4243=7,1,(IF(WEEKDAY(B4243)=1,2,IF(WEEKDAY(B4243)=7,1,0))))))</f>
        <v>3</v>
      </c>
      <c r="V4243" s="328">
        <f>VLOOKUP(C4243,METADATA!$A$5:$H$29,IF(E4243="HI",2,IF(E4243="LO",6,10))+IF(T4243=1,2,IF(D4243=7,1,(IF(WEEKDAY(B4243)=1,2,IF(WEEKDAY(B4243)=7,1,0))))))</f>
        <v>3</v>
      </c>
    </row>
    <row r="4244" spans="2:22">
      <c r="B4244" s="318">
        <f t="shared" si="263"/>
        <v>46289</v>
      </c>
      <c r="C4244" s="312">
        <v>16</v>
      </c>
      <c r="D4244" s="368">
        <f>IFERROR((INDEX(METADATA!$T$2:$T$20,MATCH(B4244,METADATA!$S$2:$S$20,0))),0)</f>
        <v>7</v>
      </c>
      <c r="E4244" s="312" t="str">
        <f t="shared" si="264"/>
        <v>LO</v>
      </c>
      <c r="F4244" s="369">
        <f>VLOOKUP(C4244,METADATA!$A$5:$H$29,IF(E4244="HI",2,IF(E4244="LO",6,10))+IF(D4244=1,2,IF(D4244=7,1,(IF(WEEKDAY(B4244)=1,2,IF(WEEKDAY(B4244)=7,1,0))))))</f>
        <v>3</v>
      </c>
      <c r="G4244" s="369">
        <f>VLOOKUP(C4244,METADATA!$J$5:$Q$29,IF(E4244="HI",2,IF(E4244="LO",6,10))+IF(D4244=1,2,IF(D4244=7,1,(IF(WEEKDAY(B4244)=1,2,IF(WEEKDAY(B4244)=7,1,0))))))</f>
        <v>3</v>
      </c>
      <c r="H4244" s="370">
        <v>13209.949584960938</v>
      </c>
      <c r="I4244" s="370">
        <v>4489.9551086425781</v>
      </c>
      <c r="M4244" s="371">
        <f t="shared" si="265"/>
        <v>13952.149114557054</v>
      </c>
      <c r="N4244" s="329">
        <f t="shared" si="266"/>
        <v>526.97023315429715</v>
      </c>
      <c r="T4244" s="331">
        <v>0</v>
      </c>
      <c r="U4244" s="328">
        <f>VLOOKUP(C4244,METADATA!$J$5:$Q$29,IF(E4244="HI",2,IF(E4244="LO",6,10))+IF(T4244=1,2,IF(D4244=7,1,(IF(WEEKDAY(B4244)=1,2,IF(WEEKDAY(B4244)=7,1,0))))))</f>
        <v>3</v>
      </c>
      <c r="V4244" s="328">
        <f>VLOOKUP(C4244,METADATA!$A$5:$H$29,IF(E4244="HI",2,IF(E4244="LO",6,10))+IF(T4244=1,2,IF(D4244=7,1,(IF(WEEKDAY(B4244)=1,2,IF(WEEKDAY(B4244)=7,1,0))))))</f>
        <v>3</v>
      </c>
    </row>
    <row r="4245" spans="2:22">
      <c r="B4245" s="318">
        <f t="shared" si="263"/>
        <v>46289</v>
      </c>
      <c r="C4245" s="312">
        <v>17</v>
      </c>
      <c r="D4245" s="368">
        <f>IFERROR((INDEX(METADATA!$T$2:$T$20,MATCH(B4245,METADATA!$S$2:$S$20,0))),0)</f>
        <v>7</v>
      </c>
      <c r="E4245" s="312" t="str">
        <f t="shared" si="264"/>
        <v>LO</v>
      </c>
      <c r="F4245" s="369">
        <f>VLOOKUP(C4245,METADATA!$A$5:$H$29,IF(E4245="HI",2,IF(E4245="LO",6,10))+IF(D4245=1,2,IF(D4245=7,1,(IF(WEEKDAY(B4245)=1,2,IF(WEEKDAY(B4245)=7,1,0))))))</f>
        <v>3</v>
      </c>
      <c r="G4245" s="369">
        <f>VLOOKUP(C4245,METADATA!$J$5:$Q$29,IF(E4245="HI",2,IF(E4245="LO",6,10))+IF(D4245=1,2,IF(D4245=7,1,(IF(WEEKDAY(B4245)=1,2,IF(WEEKDAY(B4245)=7,1,0))))))</f>
        <v>3</v>
      </c>
      <c r="H4245" s="370">
        <v>13201.8251953125</v>
      </c>
      <c r="I4245" s="370">
        <v>4408.9849548339844</v>
      </c>
      <c r="M4245" s="371">
        <f t="shared" si="265"/>
        <v>13918.596797793245</v>
      </c>
      <c r="N4245" s="329">
        <f t="shared" si="266"/>
        <v>448.43739624023465</v>
      </c>
      <c r="T4245" s="331">
        <v>0</v>
      </c>
      <c r="U4245" s="328">
        <f>VLOOKUP(C4245,METADATA!$J$5:$Q$29,IF(E4245="HI",2,IF(E4245="LO",6,10))+IF(T4245=1,2,IF(D4245=7,1,(IF(WEEKDAY(B4245)=1,2,IF(WEEKDAY(B4245)=7,1,0))))))</f>
        <v>3</v>
      </c>
      <c r="V4245" s="328">
        <f>VLOOKUP(C4245,METADATA!$A$5:$H$29,IF(E4245="HI",2,IF(E4245="LO",6,10))+IF(T4245=1,2,IF(D4245=7,1,(IF(WEEKDAY(B4245)=1,2,IF(WEEKDAY(B4245)=7,1,0))))))</f>
        <v>3</v>
      </c>
    </row>
    <row r="4246" spans="2:22">
      <c r="B4246" s="318">
        <f t="shared" si="263"/>
        <v>46289</v>
      </c>
      <c r="C4246" s="312">
        <v>18</v>
      </c>
      <c r="D4246" s="368">
        <f>IFERROR((INDEX(METADATA!$T$2:$T$20,MATCH(B4246,METADATA!$S$2:$S$20,0))),0)</f>
        <v>7</v>
      </c>
      <c r="E4246" s="312" t="str">
        <f t="shared" si="264"/>
        <v>LO</v>
      </c>
      <c r="F4246" s="369">
        <f>VLOOKUP(C4246,METADATA!$A$5:$H$29,IF(E4246="HI",2,IF(E4246="LO",6,10))+IF(D4246=1,2,IF(D4246=7,1,(IF(WEEKDAY(B4246)=1,2,IF(WEEKDAY(B4246)=7,1,0))))))</f>
        <v>2</v>
      </c>
      <c r="G4246" s="369">
        <f>VLOOKUP(C4246,METADATA!$J$5:$Q$29,IF(E4246="HI",2,IF(E4246="LO",6,10))+IF(D4246=1,2,IF(D4246=7,1,(IF(WEEKDAY(B4246)=1,2,IF(WEEKDAY(B4246)=7,1,0))))))</f>
        <v>2</v>
      </c>
      <c r="H4246" s="370">
        <v>12950.225219726563</v>
      </c>
      <c r="I4246" s="370">
        <v>4221.0750122070313</v>
      </c>
      <c r="M4246" s="371">
        <f t="shared" si="265"/>
        <v>13620.785862068329</v>
      </c>
      <c r="N4246" s="329">
        <f t="shared" si="266"/>
        <v>336.0074462890625</v>
      </c>
      <c r="T4246" s="331">
        <v>0</v>
      </c>
      <c r="U4246" s="328">
        <f>VLOOKUP(C4246,METADATA!$J$5:$Q$29,IF(E4246="HI",2,IF(E4246="LO",6,10))+IF(T4246=1,2,IF(D4246=7,1,(IF(WEEKDAY(B4246)=1,2,IF(WEEKDAY(B4246)=7,1,0))))))</f>
        <v>2</v>
      </c>
      <c r="V4246" s="328">
        <f>VLOOKUP(C4246,METADATA!$A$5:$H$29,IF(E4246="HI",2,IF(E4246="LO",6,10))+IF(T4246=1,2,IF(D4246=7,1,(IF(WEEKDAY(B4246)=1,2,IF(WEEKDAY(B4246)=7,1,0))))))</f>
        <v>2</v>
      </c>
    </row>
    <row r="4247" spans="2:22">
      <c r="B4247" s="318">
        <f t="shared" si="263"/>
        <v>46289</v>
      </c>
      <c r="C4247" s="312">
        <v>19</v>
      </c>
      <c r="D4247" s="368">
        <f>IFERROR((INDEX(METADATA!$T$2:$T$20,MATCH(B4247,METADATA!$S$2:$S$20,0))),0)</f>
        <v>7</v>
      </c>
      <c r="E4247" s="312" t="str">
        <f t="shared" si="264"/>
        <v>LO</v>
      </c>
      <c r="F4247" s="369">
        <f>VLOOKUP(C4247,METADATA!$A$5:$H$29,IF(E4247="HI",2,IF(E4247="LO",6,10))+IF(D4247=1,2,IF(D4247=7,1,(IF(WEEKDAY(B4247)=1,2,IF(WEEKDAY(B4247)=7,1,0))))))</f>
        <v>2</v>
      </c>
      <c r="G4247" s="369">
        <f>VLOOKUP(C4247,METADATA!$J$5:$Q$29,IF(E4247="HI",2,IF(E4247="LO",6,10))+IF(D4247=1,2,IF(D4247=7,1,(IF(WEEKDAY(B4247)=1,2,IF(WEEKDAY(B4247)=7,1,0))))))</f>
        <v>2</v>
      </c>
      <c r="H4247" s="370">
        <v>11518.224914550781</v>
      </c>
      <c r="I4247" s="370">
        <v>3298.905029296875</v>
      </c>
      <c r="M4247" s="371">
        <f t="shared" si="265"/>
        <v>11981.330459281164</v>
      </c>
      <c r="N4247" s="329">
        <f t="shared" si="266"/>
        <v>0</v>
      </c>
      <c r="T4247" s="331">
        <v>0</v>
      </c>
      <c r="U4247" s="328">
        <f>VLOOKUP(C4247,METADATA!$J$5:$Q$29,IF(E4247="HI",2,IF(E4247="LO",6,10))+IF(T4247=1,2,IF(D4247=7,1,(IF(WEEKDAY(B4247)=1,2,IF(WEEKDAY(B4247)=7,1,0))))))</f>
        <v>2</v>
      </c>
      <c r="V4247" s="328">
        <f>VLOOKUP(C4247,METADATA!$A$5:$H$29,IF(E4247="HI",2,IF(E4247="LO",6,10))+IF(T4247=1,2,IF(D4247=7,1,(IF(WEEKDAY(B4247)=1,2,IF(WEEKDAY(B4247)=7,1,0))))))</f>
        <v>2</v>
      </c>
    </row>
    <row r="4248" spans="2:22">
      <c r="B4248" s="318">
        <f t="shared" si="263"/>
        <v>46289</v>
      </c>
      <c r="C4248" s="312">
        <v>20</v>
      </c>
      <c r="D4248" s="368">
        <f>IFERROR((INDEX(METADATA!$T$2:$T$20,MATCH(B4248,METADATA!$S$2:$S$20,0))),0)</f>
        <v>7</v>
      </c>
      <c r="E4248" s="312" t="str">
        <f t="shared" si="264"/>
        <v>LO</v>
      </c>
      <c r="F4248" s="369">
        <f>VLOOKUP(C4248,METADATA!$A$5:$H$29,IF(E4248="HI",2,IF(E4248="LO",6,10))+IF(D4248=1,2,IF(D4248=7,1,(IF(WEEKDAY(B4248)=1,2,IF(WEEKDAY(B4248)=7,1,0))))))</f>
        <v>3</v>
      </c>
      <c r="G4248" s="369">
        <f>VLOOKUP(C4248,METADATA!$J$5:$Q$29,IF(E4248="HI",2,IF(E4248="LO",6,10))+IF(D4248=1,2,IF(D4248=7,1,(IF(WEEKDAY(B4248)=1,2,IF(WEEKDAY(B4248)=7,1,0))))))</f>
        <v>3</v>
      </c>
      <c r="H4248" s="370">
        <v>11291.500061035156</v>
      </c>
      <c r="I4248" s="370">
        <v>3264.45751953125</v>
      </c>
      <c r="M4248" s="371">
        <f t="shared" si="265"/>
        <v>11753.920900073348</v>
      </c>
      <c r="N4248" s="329">
        <f t="shared" si="266"/>
        <v>0</v>
      </c>
      <c r="T4248" s="331">
        <v>0</v>
      </c>
      <c r="U4248" s="328">
        <f>VLOOKUP(C4248,METADATA!$J$5:$Q$29,IF(E4248="HI",2,IF(E4248="LO",6,10))+IF(T4248=1,2,IF(D4248=7,1,(IF(WEEKDAY(B4248)=1,2,IF(WEEKDAY(B4248)=7,1,0))))))</f>
        <v>3</v>
      </c>
      <c r="V4248" s="328">
        <f>VLOOKUP(C4248,METADATA!$A$5:$H$29,IF(E4248="HI",2,IF(E4248="LO",6,10))+IF(T4248=1,2,IF(D4248=7,1,(IF(WEEKDAY(B4248)=1,2,IF(WEEKDAY(B4248)=7,1,0))))))</f>
        <v>3</v>
      </c>
    </row>
    <row r="4249" spans="2:22">
      <c r="B4249" s="318">
        <f t="shared" si="263"/>
        <v>46289</v>
      </c>
      <c r="C4249" s="312">
        <v>21</v>
      </c>
      <c r="D4249" s="368">
        <f>IFERROR((INDEX(METADATA!$T$2:$T$20,MATCH(B4249,METADATA!$S$2:$S$20,0))),0)</f>
        <v>7</v>
      </c>
      <c r="E4249" s="312" t="str">
        <f t="shared" si="264"/>
        <v>LO</v>
      </c>
      <c r="F4249" s="369">
        <f>VLOOKUP(C4249,METADATA!$A$5:$H$29,IF(E4249="HI",2,IF(E4249="LO",6,10))+IF(D4249=1,2,IF(D4249=7,1,(IF(WEEKDAY(B4249)=1,2,IF(WEEKDAY(B4249)=7,1,0))))))</f>
        <v>3</v>
      </c>
      <c r="G4249" s="369">
        <f>VLOOKUP(C4249,METADATA!$J$5:$Q$29,IF(E4249="HI",2,IF(E4249="LO",6,10))+IF(D4249=1,2,IF(D4249=7,1,(IF(WEEKDAY(B4249)=1,2,IF(WEEKDAY(B4249)=7,1,0))))))</f>
        <v>3</v>
      </c>
      <c r="H4249" s="370">
        <v>11391.274841308594</v>
      </c>
      <c r="I4249" s="370">
        <v>3287.8325500488281</v>
      </c>
      <c r="M4249" s="371">
        <f t="shared" si="265"/>
        <v>11856.263550857442</v>
      </c>
      <c r="N4249" s="329">
        <f t="shared" si="266"/>
        <v>0</v>
      </c>
      <c r="T4249" s="331">
        <v>0</v>
      </c>
      <c r="U4249" s="328">
        <f>VLOOKUP(C4249,METADATA!$J$5:$Q$29,IF(E4249="HI",2,IF(E4249="LO",6,10))+IF(T4249=1,2,IF(D4249=7,1,(IF(WEEKDAY(B4249)=1,2,IF(WEEKDAY(B4249)=7,1,0))))))</f>
        <v>3</v>
      </c>
      <c r="V4249" s="328">
        <f>VLOOKUP(C4249,METADATA!$A$5:$H$29,IF(E4249="HI",2,IF(E4249="LO",6,10))+IF(T4249=1,2,IF(D4249=7,1,(IF(WEEKDAY(B4249)=1,2,IF(WEEKDAY(B4249)=7,1,0))))))</f>
        <v>3</v>
      </c>
    </row>
    <row r="4250" spans="2:22">
      <c r="B4250" s="318">
        <f t="shared" si="263"/>
        <v>46289</v>
      </c>
      <c r="C4250" s="312">
        <v>22</v>
      </c>
      <c r="D4250" s="368">
        <f>IFERROR((INDEX(METADATA!$T$2:$T$20,MATCH(B4250,METADATA!$S$2:$S$20,0))),0)</f>
        <v>7</v>
      </c>
      <c r="E4250" s="312" t="str">
        <f t="shared" si="264"/>
        <v>LO</v>
      </c>
      <c r="F4250" s="369">
        <f>VLOOKUP(C4250,METADATA!$A$5:$H$29,IF(E4250="HI",2,IF(E4250="LO",6,10))+IF(D4250=1,2,IF(D4250=7,1,(IF(WEEKDAY(B4250)=1,2,IF(WEEKDAY(B4250)=7,1,0))))))</f>
        <v>3</v>
      </c>
      <c r="G4250" s="369">
        <f>VLOOKUP(C4250,METADATA!$J$5:$Q$29,IF(E4250="HI",2,IF(E4250="LO",6,10))+IF(D4250=1,2,IF(D4250=7,1,(IF(WEEKDAY(B4250)=1,2,IF(WEEKDAY(B4250)=7,1,0))))))</f>
        <v>3</v>
      </c>
      <c r="H4250" s="370">
        <v>11927.349853515625</v>
      </c>
      <c r="I4250" s="370">
        <v>3688.9225158691406</v>
      </c>
      <c r="M4250" s="371">
        <f t="shared" si="265"/>
        <v>12484.78369280964</v>
      </c>
      <c r="N4250" s="329">
        <f t="shared" si="266"/>
        <v>110.71755981445313</v>
      </c>
      <c r="T4250" s="331">
        <v>0</v>
      </c>
      <c r="U4250" s="328">
        <f>VLOOKUP(C4250,METADATA!$J$5:$Q$29,IF(E4250="HI",2,IF(E4250="LO",6,10))+IF(T4250=1,2,IF(D4250=7,1,(IF(WEEKDAY(B4250)=1,2,IF(WEEKDAY(B4250)=7,1,0))))))</f>
        <v>3</v>
      </c>
      <c r="V4250" s="328">
        <f>VLOOKUP(C4250,METADATA!$A$5:$H$29,IF(E4250="HI",2,IF(E4250="LO",6,10))+IF(T4250=1,2,IF(D4250=7,1,(IF(WEEKDAY(B4250)=1,2,IF(WEEKDAY(B4250)=7,1,0))))))</f>
        <v>3</v>
      </c>
    </row>
    <row r="4251" spans="2:22">
      <c r="B4251" s="318">
        <f t="shared" si="263"/>
        <v>46289</v>
      </c>
      <c r="C4251" s="312">
        <v>23</v>
      </c>
      <c r="D4251" s="368">
        <f>IFERROR((INDEX(METADATA!$T$2:$T$20,MATCH(B4251,METADATA!$S$2:$S$20,0))),0)</f>
        <v>7</v>
      </c>
      <c r="E4251" s="312" t="str">
        <f t="shared" si="264"/>
        <v>LO</v>
      </c>
      <c r="F4251" s="369">
        <f>VLOOKUP(C4251,METADATA!$A$5:$H$29,IF(E4251="HI",2,IF(E4251="LO",6,10))+IF(D4251=1,2,IF(D4251=7,1,(IF(WEEKDAY(B4251)=1,2,IF(WEEKDAY(B4251)=7,1,0))))))</f>
        <v>3</v>
      </c>
      <c r="G4251" s="369">
        <f>VLOOKUP(C4251,METADATA!$J$5:$Q$29,IF(E4251="HI",2,IF(E4251="LO",6,10))+IF(D4251=1,2,IF(D4251=7,1,(IF(WEEKDAY(B4251)=1,2,IF(WEEKDAY(B4251)=7,1,0))))))</f>
        <v>3</v>
      </c>
      <c r="H4251" s="370">
        <v>13402.375122070313</v>
      </c>
      <c r="I4251" s="370">
        <v>4467.5400085449219</v>
      </c>
      <c r="M4251" s="371">
        <f t="shared" si="265"/>
        <v>14127.369629221103</v>
      </c>
      <c r="N4251" s="329">
        <f t="shared" si="266"/>
        <v>446.8274719238284</v>
      </c>
      <c r="T4251" s="331">
        <v>0</v>
      </c>
      <c r="U4251" s="328">
        <f>VLOOKUP(C4251,METADATA!$J$5:$Q$29,IF(E4251="HI",2,IF(E4251="LO",6,10))+IF(T4251=1,2,IF(D4251=7,1,(IF(WEEKDAY(B4251)=1,2,IF(WEEKDAY(B4251)=7,1,0))))))</f>
        <v>3</v>
      </c>
      <c r="V4251" s="328">
        <f>VLOOKUP(C4251,METADATA!$A$5:$H$29,IF(E4251="HI",2,IF(E4251="LO",6,10))+IF(T4251=1,2,IF(D4251=7,1,(IF(WEEKDAY(B4251)=1,2,IF(WEEKDAY(B4251)=7,1,0))))))</f>
        <v>3</v>
      </c>
    </row>
    <row r="4252" spans="2:22">
      <c r="B4252" s="318">
        <f t="shared" ref="B4252:B4315" si="267">B4228+1</f>
        <v>46290</v>
      </c>
      <c r="C4252" s="312">
        <v>0</v>
      </c>
      <c r="D4252" s="368">
        <f>IFERROR((INDEX(METADATA!$T$2:$T$20,MATCH(B4252,METADATA!$S$2:$S$20,0))),0)</f>
        <v>0</v>
      </c>
      <c r="E4252" s="312" t="str">
        <f t="shared" si="264"/>
        <v>LO</v>
      </c>
      <c r="F4252" s="369">
        <f>VLOOKUP(C4252,METADATA!$A$5:$H$29,IF(E4252="HI",2,IF(E4252="LO",6,10))+IF(D4252=1,2,IF(D4252=7,1,(IF(WEEKDAY(B4252)=1,2,IF(WEEKDAY(B4252)=7,1,0))))))</f>
        <v>3</v>
      </c>
      <c r="G4252" s="369">
        <f>VLOOKUP(C4252,METADATA!$J$5:$Q$29,IF(E4252="HI",2,IF(E4252="LO",6,10))+IF(D4252=1,2,IF(D4252=7,1,(IF(WEEKDAY(B4252)=1,2,IF(WEEKDAY(B4252)=7,1,0))))))</f>
        <v>3</v>
      </c>
      <c r="H4252" s="370">
        <v>13263.849792480469</v>
      </c>
      <c r="I4252" s="370">
        <v>4408.1399841308594</v>
      </c>
      <c r="M4252" s="371">
        <f t="shared" si="265"/>
        <v>13977.17458706077</v>
      </c>
      <c r="N4252" s="329">
        <f t="shared" si="266"/>
        <v>428.98504638671875</v>
      </c>
      <c r="T4252" s="331">
        <v>0</v>
      </c>
      <c r="U4252" s="328">
        <f>VLOOKUP(C4252,METADATA!$J$5:$Q$29,IF(E4252="HI",2,IF(E4252="LO",6,10))+IF(T4252=1,2,IF(D4252=7,1,(IF(WEEKDAY(B4252)=1,2,IF(WEEKDAY(B4252)=7,1,0))))))</f>
        <v>3</v>
      </c>
      <c r="V4252" s="328">
        <f>VLOOKUP(C4252,METADATA!$A$5:$H$29,IF(E4252="HI",2,IF(E4252="LO",6,10))+IF(T4252=1,2,IF(D4252=7,1,(IF(WEEKDAY(B4252)=1,2,IF(WEEKDAY(B4252)=7,1,0))))))</f>
        <v>3</v>
      </c>
    </row>
    <row r="4253" spans="2:22">
      <c r="B4253" s="318">
        <f t="shared" si="267"/>
        <v>46290</v>
      </c>
      <c r="C4253" s="312">
        <v>1</v>
      </c>
      <c r="D4253" s="368">
        <f>IFERROR((INDEX(METADATA!$T$2:$T$20,MATCH(B4253,METADATA!$S$2:$S$20,0))),0)</f>
        <v>0</v>
      </c>
      <c r="E4253" s="312" t="str">
        <f t="shared" si="264"/>
        <v>LO</v>
      </c>
      <c r="F4253" s="369">
        <f>VLOOKUP(C4253,METADATA!$A$5:$H$29,IF(E4253="HI",2,IF(E4253="LO",6,10))+IF(D4253=1,2,IF(D4253=7,1,(IF(WEEKDAY(B4253)=1,2,IF(WEEKDAY(B4253)=7,1,0))))))</f>
        <v>3</v>
      </c>
      <c r="G4253" s="369">
        <f>VLOOKUP(C4253,METADATA!$J$5:$Q$29,IF(E4253="HI",2,IF(E4253="LO",6,10))+IF(D4253=1,2,IF(D4253=7,1,(IF(WEEKDAY(B4253)=1,2,IF(WEEKDAY(B4253)=7,1,0))))))</f>
        <v>3</v>
      </c>
      <c r="H4253" s="370">
        <v>12530.652404785156</v>
      </c>
      <c r="I4253" s="370">
        <v>3812.9524841308594</v>
      </c>
      <c r="M4253" s="371">
        <f t="shared" si="265"/>
        <v>13097.93328490368</v>
      </c>
      <c r="N4253" s="329">
        <f t="shared" si="266"/>
        <v>53.756762695312773</v>
      </c>
      <c r="T4253" s="331">
        <v>0</v>
      </c>
      <c r="U4253" s="328">
        <f>VLOOKUP(C4253,METADATA!$J$5:$Q$29,IF(E4253="HI",2,IF(E4253="LO",6,10))+IF(T4253=1,2,IF(D4253=7,1,(IF(WEEKDAY(B4253)=1,2,IF(WEEKDAY(B4253)=7,1,0))))))</f>
        <v>3</v>
      </c>
      <c r="V4253" s="328">
        <f>VLOOKUP(C4253,METADATA!$A$5:$H$29,IF(E4253="HI",2,IF(E4253="LO",6,10))+IF(T4253=1,2,IF(D4253=7,1,(IF(WEEKDAY(B4253)=1,2,IF(WEEKDAY(B4253)=7,1,0))))))</f>
        <v>3</v>
      </c>
    </row>
    <row r="4254" spans="2:22">
      <c r="B4254" s="318">
        <f t="shared" si="267"/>
        <v>46290</v>
      </c>
      <c r="C4254" s="312">
        <v>2</v>
      </c>
      <c r="D4254" s="368">
        <f>IFERROR((INDEX(METADATA!$T$2:$T$20,MATCH(B4254,METADATA!$S$2:$S$20,0))),0)</f>
        <v>0</v>
      </c>
      <c r="E4254" s="312" t="str">
        <f t="shared" si="264"/>
        <v>LO</v>
      </c>
      <c r="F4254" s="369">
        <f>VLOOKUP(C4254,METADATA!$A$5:$H$29,IF(E4254="HI",2,IF(E4254="LO",6,10))+IF(D4254=1,2,IF(D4254=7,1,(IF(WEEKDAY(B4254)=1,2,IF(WEEKDAY(B4254)=7,1,0))))))</f>
        <v>3</v>
      </c>
      <c r="G4254" s="369">
        <f>VLOOKUP(C4254,METADATA!$J$5:$Q$29,IF(E4254="HI",2,IF(E4254="LO",6,10))+IF(D4254=1,2,IF(D4254=7,1,(IF(WEEKDAY(B4254)=1,2,IF(WEEKDAY(B4254)=7,1,0))))))</f>
        <v>3</v>
      </c>
      <c r="H4254" s="370">
        <v>11284.199768066406</v>
      </c>
      <c r="I4254" s="370">
        <v>3083.2949523925781</v>
      </c>
      <c r="M4254" s="371">
        <f t="shared" si="265"/>
        <v>11697.857588852734</v>
      </c>
      <c r="N4254" s="329">
        <f t="shared" si="266"/>
        <v>0</v>
      </c>
      <c r="T4254" s="331">
        <v>0</v>
      </c>
      <c r="U4254" s="328">
        <f>VLOOKUP(C4254,METADATA!$J$5:$Q$29,IF(E4254="HI",2,IF(E4254="LO",6,10))+IF(T4254=1,2,IF(D4254=7,1,(IF(WEEKDAY(B4254)=1,2,IF(WEEKDAY(B4254)=7,1,0))))))</f>
        <v>3</v>
      </c>
      <c r="V4254" s="328">
        <f>VLOOKUP(C4254,METADATA!$A$5:$H$29,IF(E4254="HI",2,IF(E4254="LO",6,10))+IF(T4254=1,2,IF(D4254=7,1,(IF(WEEKDAY(B4254)=1,2,IF(WEEKDAY(B4254)=7,1,0))))))</f>
        <v>3</v>
      </c>
    </row>
    <row r="4255" spans="2:22">
      <c r="B4255" s="318">
        <f t="shared" si="267"/>
        <v>46290</v>
      </c>
      <c r="C4255" s="312">
        <v>3</v>
      </c>
      <c r="D4255" s="368">
        <f>IFERROR((INDEX(METADATA!$T$2:$T$20,MATCH(B4255,METADATA!$S$2:$S$20,0))),0)</f>
        <v>0</v>
      </c>
      <c r="E4255" s="312" t="str">
        <f t="shared" si="264"/>
        <v>LO</v>
      </c>
      <c r="F4255" s="369">
        <f>VLOOKUP(C4255,METADATA!$A$5:$H$29,IF(E4255="HI",2,IF(E4255="LO",6,10))+IF(D4255=1,2,IF(D4255=7,1,(IF(WEEKDAY(B4255)=1,2,IF(WEEKDAY(B4255)=7,1,0))))))</f>
        <v>3</v>
      </c>
      <c r="G4255" s="369">
        <f>VLOOKUP(C4255,METADATA!$J$5:$Q$29,IF(E4255="HI",2,IF(E4255="LO",6,10))+IF(D4255=1,2,IF(D4255=7,1,(IF(WEEKDAY(B4255)=1,2,IF(WEEKDAY(B4255)=7,1,0))))))</f>
        <v>3</v>
      </c>
      <c r="H4255" s="370">
        <v>11370.025024414063</v>
      </c>
      <c r="I4255" s="370">
        <v>3151.8975219726563</v>
      </c>
      <c r="M4255" s="371">
        <f t="shared" si="265"/>
        <v>11798.810408037727</v>
      </c>
      <c r="N4255" s="329">
        <f t="shared" si="266"/>
        <v>0</v>
      </c>
      <c r="T4255" s="331">
        <v>0</v>
      </c>
      <c r="U4255" s="328">
        <f>VLOOKUP(C4255,METADATA!$J$5:$Q$29,IF(E4255="HI",2,IF(E4255="LO",6,10))+IF(T4255=1,2,IF(D4255=7,1,(IF(WEEKDAY(B4255)=1,2,IF(WEEKDAY(B4255)=7,1,0))))))</f>
        <v>3</v>
      </c>
      <c r="V4255" s="328">
        <f>VLOOKUP(C4255,METADATA!$A$5:$H$29,IF(E4255="HI",2,IF(E4255="LO",6,10))+IF(T4255=1,2,IF(D4255=7,1,(IF(WEEKDAY(B4255)=1,2,IF(WEEKDAY(B4255)=7,1,0))))))</f>
        <v>3</v>
      </c>
    </row>
    <row r="4256" spans="2:22">
      <c r="B4256" s="318">
        <f t="shared" si="267"/>
        <v>46290</v>
      </c>
      <c r="C4256" s="312">
        <v>4</v>
      </c>
      <c r="D4256" s="368">
        <f>IFERROR((INDEX(METADATA!$T$2:$T$20,MATCH(B4256,METADATA!$S$2:$S$20,0))),0)</f>
        <v>0</v>
      </c>
      <c r="E4256" s="312" t="str">
        <f t="shared" si="264"/>
        <v>LO</v>
      </c>
      <c r="F4256" s="369">
        <f>VLOOKUP(C4256,METADATA!$A$5:$H$29,IF(E4256="HI",2,IF(E4256="LO",6,10))+IF(D4256=1,2,IF(D4256=7,1,(IF(WEEKDAY(B4256)=1,2,IF(WEEKDAY(B4256)=7,1,0))))))</f>
        <v>3</v>
      </c>
      <c r="G4256" s="369">
        <f>VLOOKUP(C4256,METADATA!$J$5:$Q$29,IF(E4256="HI",2,IF(E4256="LO",6,10))+IF(D4256=1,2,IF(D4256=7,1,(IF(WEEKDAY(B4256)=1,2,IF(WEEKDAY(B4256)=7,1,0))))))</f>
        <v>3</v>
      </c>
      <c r="H4256" s="370">
        <v>11330.125122070313</v>
      </c>
      <c r="I4256" s="370">
        <v>3126.1200256347656</v>
      </c>
      <c r="M4256" s="371">
        <f t="shared" si="265"/>
        <v>11753.482960231129</v>
      </c>
      <c r="N4256" s="329">
        <f t="shared" si="266"/>
        <v>0</v>
      </c>
      <c r="T4256" s="331">
        <v>0</v>
      </c>
      <c r="U4256" s="328">
        <f>VLOOKUP(C4256,METADATA!$J$5:$Q$29,IF(E4256="HI",2,IF(E4256="LO",6,10))+IF(T4256=1,2,IF(D4256=7,1,(IF(WEEKDAY(B4256)=1,2,IF(WEEKDAY(B4256)=7,1,0))))))</f>
        <v>3</v>
      </c>
      <c r="V4256" s="328">
        <f>VLOOKUP(C4256,METADATA!$A$5:$H$29,IF(E4256="HI",2,IF(E4256="LO",6,10))+IF(T4256=1,2,IF(D4256=7,1,(IF(WEEKDAY(B4256)=1,2,IF(WEEKDAY(B4256)=7,1,0))))))</f>
        <v>3</v>
      </c>
    </row>
    <row r="4257" spans="2:22">
      <c r="B4257" s="318">
        <f t="shared" si="267"/>
        <v>46290</v>
      </c>
      <c r="C4257" s="312">
        <v>5</v>
      </c>
      <c r="D4257" s="368">
        <f>IFERROR((INDEX(METADATA!$T$2:$T$20,MATCH(B4257,METADATA!$S$2:$S$20,0))),0)</f>
        <v>0</v>
      </c>
      <c r="E4257" s="312" t="str">
        <f t="shared" si="264"/>
        <v>LO</v>
      </c>
      <c r="F4257" s="369">
        <f>VLOOKUP(C4257,METADATA!$A$5:$H$29,IF(E4257="HI",2,IF(E4257="LO",6,10))+IF(D4257=1,2,IF(D4257=7,1,(IF(WEEKDAY(B4257)=1,2,IF(WEEKDAY(B4257)=7,1,0))))))</f>
        <v>3</v>
      </c>
      <c r="G4257" s="369">
        <f>VLOOKUP(C4257,METADATA!$J$5:$Q$29,IF(E4257="HI",2,IF(E4257="LO",6,10))+IF(D4257=1,2,IF(D4257=7,1,(IF(WEEKDAY(B4257)=1,2,IF(WEEKDAY(B4257)=7,1,0))))))</f>
        <v>3</v>
      </c>
      <c r="H4257" s="370">
        <v>11451.150207519531</v>
      </c>
      <c r="I4257" s="370">
        <v>3302.0650329589844</v>
      </c>
      <c r="M4257" s="371">
        <f t="shared" si="265"/>
        <v>11917.737812062531</v>
      </c>
      <c r="N4257" s="329">
        <f t="shared" si="266"/>
        <v>0</v>
      </c>
      <c r="T4257" s="331">
        <v>0</v>
      </c>
      <c r="U4257" s="328">
        <f>VLOOKUP(C4257,METADATA!$J$5:$Q$29,IF(E4257="HI",2,IF(E4257="LO",6,10))+IF(T4257=1,2,IF(D4257=7,1,(IF(WEEKDAY(B4257)=1,2,IF(WEEKDAY(B4257)=7,1,0))))))</f>
        <v>3</v>
      </c>
      <c r="V4257" s="328">
        <f>VLOOKUP(C4257,METADATA!$A$5:$H$29,IF(E4257="HI",2,IF(E4257="LO",6,10))+IF(T4257=1,2,IF(D4257=7,1,(IF(WEEKDAY(B4257)=1,2,IF(WEEKDAY(B4257)=7,1,0))))))</f>
        <v>3</v>
      </c>
    </row>
    <row r="4258" spans="2:22">
      <c r="B4258" s="318">
        <f t="shared" si="267"/>
        <v>46290</v>
      </c>
      <c r="C4258" s="312">
        <v>6</v>
      </c>
      <c r="D4258" s="368">
        <f>IFERROR((INDEX(METADATA!$T$2:$T$20,MATCH(B4258,METADATA!$S$2:$S$20,0))),0)</f>
        <v>0</v>
      </c>
      <c r="E4258" s="312" t="str">
        <f t="shared" si="264"/>
        <v>LO</v>
      </c>
      <c r="F4258" s="369">
        <f>VLOOKUP(C4258,METADATA!$A$5:$H$29,IF(E4258="HI",2,IF(E4258="LO",6,10))+IF(D4258=1,2,IF(D4258=7,1,(IF(WEEKDAY(B4258)=1,2,IF(WEEKDAY(B4258)=7,1,0))))))</f>
        <v>2</v>
      </c>
      <c r="G4258" s="369">
        <f>VLOOKUP(C4258,METADATA!$J$5:$Q$29,IF(E4258="HI",2,IF(E4258="LO",6,10))+IF(D4258=1,2,IF(D4258=7,1,(IF(WEEKDAY(B4258)=1,2,IF(WEEKDAY(B4258)=7,1,0))))))</f>
        <v>2</v>
      </c>
      <c r="H4258" s="370">
        <v>8886.1998291015625</v>
      </c>
      <c r="I4258" s="370">
        <v>2431.4125175476074</v>
      </c>
      <c r="M4258" s="371">
        <f t="shared" si="265"/>
        <v>9212.8342128365603</v>
      </c>
      <c r="N4258" s="329">
        <f t="shared" si="266"/>
        <v>0</v>
      </c>
      <c r="T4258" s="331">
        <v>0</v>
      </c>
      <c r="U4258" s="328">
        <f>VLOOKUP(C4258,METADATA!$J$5:$Q$29,IF(E4258="HI",2,IF(E4258="LO",6,10))+IF(T4258=1,2,IF(D4258=7,1,(IF(WEEKDAY(B4258)=1,2,IF(WEEKDAY(B4258)=7,1,0))))))</f>
        <v>2</v>
      </c>
      <c r="V4258" s="328">
        <f>VLOOKUP(C4258,METADATA!$A$5:$H$29,IF(E4258="HI",2,IF(E4258="LO",6,10))+IF(T4258=1,2,IF(D4258=7,1,(IF(WEEKDAY(B4258)=1,2,IF(WEEKDAY(B4258)=7,1,0))))))</f>
        <v>2</v>
      </c>
    </row>
    <row r="4259" spans="2:22">
      <c r="B4259" s="318">
        <f t="shared" si="267"/>
        <v>46290</v>
      </c>
      <c r="C4259" s="312">
        <v>7</v>
      </c>
      <c r="D4259" s="368">
        <f>IFERROR((INDEX(METADATA!$T$2:$T$20,MATCH(B4259,METADATA!$S$2:$S$20,0))),0)</f>
        <v>0</v>
      </c>
      <c r="E4259" s="312" t="str">
        <f t="shared" si="264"/>
        <v>LO</v>
      </c>
      <c r="F4259" s="369">
        <f>VLOOKUP(C4259,METADATA!$A$5:$H$29,IF(E4259="HI",2,IF(E4259="LO",6,10))+IF(D4259=1,2,IF(D4259=7,1,(IF(WEEKDAY(B4259)=1,2,IF(WEEKDAY(B4259)=7,1,0))))))</f>
        <v>1</v>
      </c>
      <c r="G4259" s="369">
        <f>VLOOKUP(C4259,METADATA!$J$5:$Q$29,IF(E4259="HI",2,IF(E4259="LO",6,10))+IF(D4259=1,2,IF(D4259=7,1,(IF(WEEKDAY(B4259)=1,2,IF(WEEKDAY(B4259)=7,1,0))))))</f>
        <v>1</v>
      </c>
      <c r="H4259" s="370">
        <v>5992.8500366210938</v>
      </c>
      <c r="I4259" s="370">
        <v>1614.0975036621094</v>
      </c>
      <c r="M4259" s="371">
        <f t="shared" si="265"/>
        <v>6206.4129988873356</v>
      </c>
      <c r="N4259" s="329">
        <f t="shared" si="266"/>
        <v>0</v>
      </c>
      <c r="T4259" s="331">
        <v>0</v>
      </c>
      <c r="U4259" s="328">
        <f>VLOOKUP(C4259,METADATA!$J$5:$Q$29,IF(E4259="HI",2,IF(E4259="LO",6,10))+IF(T4259=1,2,IF(D4259=7,1,(IF(WEEKDAY(B4259)=1,2,IF(WEEKDAY(B4259)=7,1,0))))))</f>
        <v>1</v>
      </c>
      <c r="V4259" s="328">
        <f>VLOOKUP(C4259,METADATA!$A$5:$H$29,IF(E4259="HI",2,IF(E4259="LO",6,10))+IF(T4259=1,2,IF(D4259=7,1,(IF(WEEKDAY(B4259)=1,2,IF(WEEKDAY(B4259)=7,1,0))))))</f>
        <v>1</v>
      </c>
    </row>
    <row r="4260" spans="2:22">
      <c r="B4260" s="318">
        <f t="shared" si="267"/>
        <v>46290</v>
      </c>
      <c r="C4260" s="312">
        <v>8</v>
      </c>
      <c r="D4260" s="368">
        <f>IFERROR((INDEX(METADATA!$T$2:$T$20,MATCH(B4260,METADATA!$S$2:$S$20,0))),0)</f>
        <v>0</v>
      </c>
      <c r="E4260" s="312" t="str">
        <f t="shared" si="264"/>
        <v>LO</v>
      </c>
      <c r="F4260" s="369">
        <f>VLOOKUP(C4260,METADATA!$A$5:$H$29,IF(E4260="HI",2,IF(E4260="LO",6,10))+IF(D4260=1,2,IF(D4260=7,1,(IF(WEEKDAY(B4260)=1,2,IF(WEEKDAY(B4260)=7,1,0))))))</f>
        <v>1</v>
      </c>
      <c r="G4260" s="369">
        <f>VLOOKUP(C4260,METADATA!$J$5:$Q$29,IF(E4260="HI",2,IF(E4260="LO",6,10))+IF(D4260=1,2,IF(D4260=7,1,(IF(WEEKDAY(B4260)=1,2,IF(WEEKDAY(B4260)=7,1,0))))))</f>
        <v>1</v>
      </c>
      <c r="H4260" s="370">
        <v>6055.5499572753906</v>
      </c>
      <c r="I4260" s="370">
        <v>1569.6749877929688</v>
      </c>
      <c r="M4260" s="371">
        <f t="shared" si="265"/>
        <v>6255.6826048290559</v>
      </c>
      <c r="N4260" s="329">
        <f t="shared" si="266"/>
        <v>0</v>
      </c>
      <c r="T4260" s="331">
        <v>0</v>
      </c>
      <c r="U4260" s="328">
        <f>VLOOKUP(C4260,METADATA!$J$5:$Q$29,IF(E4260="HI",2,IF(E4260="LO",6,10))+IF(T4260=1,2,IF(D4260=7,1,(IF(WEEKDAY(B4260)=1,2,IF(WEEKDAY(B4260)=7,1,0))))))</f>
        <v>1</v>
      </c>
      <c r="V4260" s="328">
        <f>VLOOKUP(C4260,METADATA!$A$5:$H$29,IF(E4260="HI",2,IF(E4260="LO",6,10))+IF(T4260=1,2,IF(D4260=7,1,(IF(WEEKDAY(B4260)=1,2,IF(WEEKDAY(B4260)=7,1,0))))))</f>
        <v>1</v>
      </c>
    </row>
    <row r="4261" spans="2:22">
      <c r="B4261" s="318">
        <f t="shared" si="267"/>
        <v>46290</v>
      </c>
      <c r="C4261" s="312">
        <v>9</v>
      </c>
      <c r="D4261" s="368">
        <f>IFERROR((INDEX(METADATA!$T$2:$T$20,MATCH(B4261,METADATA!$S$2:$S$20,0))),0)</f>
        <v>0</v>
      </c>
      <c r="E4261" s="312" t="str">
        <f t="shared" si="264"/>
        <v>LO</v>
      </c>
      <c r="F4261" s="369">
        <f>VLOOKUP(C4261,METADATA!$A$5:$H$29,IF(E4261="HI",2,IF(E4261="LO",6,10))+IF(D4261=1,2,IF(D4261=7,1,(IF(WEEKDAY(B4261)=1,2,IF(WEEKDAY(B4261)=7,1,0))))))</f>
        <v>2</v>
      </c>
      <c r="G4261" s="369">
        <f>VLOOKUP(C4261,METADATA!$J$5:$Q$29,IF(E4261="HI",2,IF(E4261="LO",6,10))+IF(D4261=1,2,IF(D4261=7,1,(IF(WEEKDAY(B4261)=1,2,IF(WEEKDAY(B4261)=7,1,0))))))</f>
        <v>2</v>
      </c>
      <c r="H4261" s="370">
        <v>6097.5750122070313</v>
      </c>
      <c r="I4261" s="370">
        <v>1548.072509765625</v>
      </c>
      <c r="M4261" s="371">
        <f t="shared" si="265"/>
        <v>6291.021341959</v>
      </c>
      <c r="N4261" s="329">
        <f t="shared" si="266"/>
        <v>0</v>
      </c>
      <c r="T4261" s="331">
        <v>0</v>
      </c>
      <c r="U4261" s="328">
        <f>VLOOKUP(C4261,METADATA!$J$5:$Q$29,IF(E4261="HI",2,IF(E4261="LO",6,10))+IF(T4261=1,2,IF(D4261=7,1,(IF(WEEKDAY(B4261)=1,2,IF(WEEKDAY(B4261)=7,1,0))))))</f>
        <v>2</v>
      </c>
      <c r="V4261" s="328">
        <f>VLOOKUP(C4261,METADATA!$A$5:$H$29,IF(E4261="HI",2,IF(E4261="LO",6,10))+IF(T4261=1,2,IF(D4261=7,1,(IF(WEEKDAY(B4261)=1,2,IF(WEEKDAY(B4261)=7,1,0))))))</f>
        <v>2</v>
      </c>
    </row>
    <row r="4262" spans="2:22">
      <c r="B4262" s="318">
        <f t="shared" si="267"/>
        <v>46290</v>
      </c>
      <c r="C4262" s="312">
        <v>10</v>
      </c>
      <c r="D4262" s="368">
        <f>IFERROR((INDEX(METADATA!$T$2:$T$20,MATCH(B4262,METADATA!$S$2:$S$20,0))),0)</f>
        <v>0</v>
      </c>
      <c r="E4262" s="312" t="str">
        <f t="shared" si="264"/>
        <v>LO</v>
      </c>
      <c r="F4262" s="369">
        <f>VLOOKUP(C4262,METADATA!$A$5:$H$29,IF(E4262="HI",2,IF(E4262="LO",6,10))+IF(D4262=1,2,IF(D4262=7,1,(IF(WEEKDAY(B4262)=1,2,IF(WEEKDAY(B4262)=7,1,0))))))</f>
        <v>2</v>
      </c>
      <c r="G4262" s="369">
        <f>VLOOKUP(C4262,METADATA!$J$5:$Q$29,IF(E4262="HI",2,IF(E4262="LO",6,10))+IF(D4262=1,2,IF(D4262=7,1,(IF(WEEKDAY(B4262)=1,2,IF(WEEKDAY(B4262)=7,1,0))))))</f>
        <v>2</v>
      </c>
      <c r="H4262" s="370">
        <v>6055.7499694824219</v>
      </c>
      <c r="I4262" s="370">
        <v>1538.5649719238281</v>
      </c>
      <c r="M4262" s="371">
        <f t="shared" si="265"/>
        <v>6248.1429133557212</v>
      </c>
      <c r="N4262" s="329">
        <f t="shared" si="266"/>
        <v>0</v>
      </c>
      <c r="T4262" s="331">
        <v>0</v>
      </c>
      <c r="U4262" s="328">
        <f>VLOOKUP(C4262,METADATA!$J$5:$Q$29,IF(E4262="HI",2,IF(E4262="LO",6,10))+IF(T4262=1,2,IF(D4262=7,1,(IF(WEEKDAY(B4262)=1,2,IF(WEEKDAY(B4262)=7,1,0))))))</f>
        <v>2</v>
      </c>
      <c r="V4262" s="328">
        <f>VLOOKUP(C4262,METADATA!$A$5:$H$29,IF(E4262="HI",2,IF(E4262="LO",6,10))+IF(T4262=1,2,IF(D4262=7,1,(IF(WEEKDAY(B4262)=1,2,IF(WEEKDAY(B4262)=7,1,0))))))</f>
        <v>2</v>
      </c>
    </row>
    <row r="4263" spans="2:22">
      <c r="B4263" s="318">
        <f t="shared" si="267"/>
        <v>46290</v>
      </c>
      <c r="C4263" s="312">
        <v>11</v>
      </c>
      <c r="D4263" s="368">
        <f>IFERROR((INDEX(METADATA!$T$2:$T$20,MATCH(B4263,METADATA!$S$2:$S$20,0))),0)</f>
        <v>0</v>
      </c>
      <c r="E4263" s="312" t="str">
        <f t="shared" si="264"/>
        <v>LO</v>
      </c>
      <c r="F4263" s="369">
        <f>VLOOKUP(C4263,METADATA!$A$5:$H$29,IF(E4263="HI",2,IF(E4263="LO",6,10))+IF(D4263=1,2,IF(D4263=7,1,(IF(WEEKDAY(B4263)=1,2,IF(WEEKDAY(B4263)=7,1,0))))))</f>
        <v>2</v>
      </c>
      <c r="G4263" s="369">
        <f>VLOOKUP(C4263,METADATA!$J$5:$Q$29,IF(E4263="HI",2,IF(E4263="LO",6,10))+IF(D4263=1,2,IF(D4263=7,1,(IF(WEEKDAY(B4263)=1,2,IF(WEEKDAY(B4263)=7,1,0))))))</f>
        <v>2</v>
      </c>
      <c r="H4263" s="370">
        <v>6056.3250732421875</v>
      </c>
      <c r="I4263" s="370">
        <v>1552.1799926757813</v>
      </c>
      <c r="M4263" s="371">
        <f t="shared" si="265"/>
        <v>6252.0665481458982</v>
      </c>
      <c r="N4263" s="329">
        <f t="shared" si="266"/>
        <v>0</v>
      </c>
      <c r="T4263" s="331">
        <v>0</v>
      </c>
      <c r="U4263" s="328">
        <f>VLOOKUP(C4263,METADATA!$J$5:$Q$29,IF(E4263="HI",2,IF(E4263="LO",6,10))+IF(T4263=1,2,IF(D4263=7,1,(IF(WEEKDAY(B4263)=1,2,IF(WEEKDAY(B4263)=7,1,0))))))</f>
        <v>2</v>
      </c>
      <c r="V4263" s="328">
        <f>VLOOKUP(C4263,METADATA!$A$5:$H$29,IF(E4263="HI",2,IF(E4263="LO",6,10))+IF(T4263=1,2,IF(D4263=7,1,(IF(WEEKDAY(B4263)=1,2,IF(WEEKDAY(B4263)=7,1,0))))))</f>
        <v>2</v>
      </c>
    </row>
    <row r="4264" spans="2:22">
      <c r="B4264" s="318">
        <f t="shared" si="267"/>
        <v>46290</v>
      </c>
      <c r="C4264" s="312">
        <v>12</v>
      </c>
      <c r="D4264" s="368">
        <f>IFERROR((INDEX(METADATA!$T$2:$T$20,MATCH(B4264,METADATA!$S$2:$S$20,0))),0)</f>
        <v>0</v>
      </c>
      <c r="E4264" s="312" t="str">
        <f t="shared" si="264"/>
        <v>LO</v>
      </c>
      <c r="F4264" s="369">
        <f>VLOOKUP(C4264,METADATA!$A$5:$H$29,IF(E4264="HI",2,IF(E4264="LO",6,10))+IF(D4264=1,2,IF(D4264=7,1,(IF(WEEKDAY(B4264)=1,2,IF(WEEKDAY(B4264)=7,1,0))))))</f>
        <v>2</v>
      </c>
      <c r="G4264" s="369">
        <f>VLOOKUP(C4264,METADATA!$J$5:$Q$29,IF(E4264="HI",2,IF(E4264="LO",6,10))+IF(D4264=1,2,IF(D4264=7,1,(IF(WEEKDAY(B4264)=1,2,IF(WEEKDAY(B4264)=7,1,0))))))</f>
        <v>2</v>
      </c>
      <c r="H4264" s="370">
        <v>6083.9000549316406</v>
      </c>
      <c r="I4264" s="370">
        <v>1547.4924926757813</v>
      </c>
      <c r="M4264" s="371">
        <f t="shared" si="265"/>
        <v>6277.6247811799904</v>
      </c>
      <c r="N4264" s="329">
        <f t="shared" si="266"/>
        <v>0</v>
      </c>
      <c r="T4264" s="331">
        <v>0</v>
      </c>
      <c r="U4264" s="328">
        <f>VLOOKUP(C4264,METADATA!$J$5:$Q$29,IF(E4264="HI",2,IF(E4264="LO",6,10))+IF(T4264=1,2,IF(D4264=7,1,(IF(WEEKDAY(B4264)=1,2,IF(WEEKDAY(B4264)=7,1,0))))))</f>
        <v>2</v>
      </c>
      <c r="V4264" s="328">
        <f>VLOOKUP(C4264,METADATA!$A$5:$H$29,IF(E4264="HI",2,IF(E4264="LO",6,10))+IF(T4264=1,2,IF(D4264=7,1,(IF(WEEKDAY(B4264)=1,2,IF(WEEKDAY(B4264)=7,1,0))))))</f>
        <v>2</v>
      </c>
    </row>
    <row r="4265" spans="2:22">
      <c r="B4265" s="318">
        <f t="shared" si="267"/>
        <v>46290</v>
      </c>
      <c r="C4265" s="312">
        <v>13</v>
      </c>
      <c r="D4265" s="368">
        <f>IFERROR((INDEX(METADATA!$T$2:$T$20,MATCH(B4265,METADATA!$S$2:$S$20,0))),0)</f>
        <v>0</v>
      </c>
      <c r="E4265" s="312" t="str">
        <f t="shared" si="264"/>
        <v>LO</v>
      </c>
      <c r="F4265" s="369">
        <f>VLOOKUP(C4265,METADATA!$A$5:$H$29,IF(E4265="HI",2,IF(E4265="LO",6,10))+IF(D4265=1,2,IF(D4265=7,1,(IF(WEEKDAY(B4265)=1,2,IF(WEEKDAY(B4265)=7,1,0))))))</f>
        <v>2</v>
      </c>
      <c r="G4265" s="369">
        <f>VLOOKUP(C4265,METADATA!$J$5:$Q$29,IF(E4265="HI",2,IF(E4265="LO",6,10))+IF(D4265=1,2,IF(D4265=7,1,(IF(WEEKDAY(B4265)=1,2,IF(WEEKDAY(B4265)=7,1,0))))))</f>
        <v>2</v>
      </c>
      <c r="H4265" s="370">
        <v>6135.0750122070313</v>
      </c>
      <c r="I4265" s="370">
        <v>1542.95751953125</v>
      </c>
      <c r="M4265" s="371">
        <f t="shared" si="265"/>
        <v>6326.1254581683033</v>
      </c>
      <c r="N4265" s="329">
        <f t="shared" si="266"/>
        <v>0</v>
      </c>
      <c r="T4265" s="331">
        <v>0</v>
      </c>
      <c r="U4265" s="328">
        <f>VLOOKUP(C4265,METADATA!$J$5:$Q$29,IF(E4265="HI",2,IF(E4265="LO",6,10))+IF(T4265=1,2,IF(D4265=7,1,(IF(WEEKDAY(B4265)=1,2,IF(WEEKDAY(B4265)=7,1,0))))))</f>
        <v>2</v>
      </c>
      <c r="V4265" s="328">
        <f>VLOOKUP(C4265,METADATA!$A$5:$H$29,IF(E4265="HI",2,IF(E4265="LO",6,10))+IF(T4265=1,2,IF(D4265=7,1,(IF(WEEKDAY(B4265)=1,2,IF(WEEKDAY(B4265)=7,1,0))))))</f>
        <v>2</v>
      </c>
    </row>
    <row r="4266" spans="2:22">
      <c r="B4266" s="318">
        <f t="shared" si="267"/>
        <v>46290</v>
      </c>
      <c r="C4266" s="312">
        <v>14</v>
      </c>
      <c r="D4266" s="368">
        <f>IFERROR((INDEX(METADATA!$T$2:$T$20,MATCH(B4266,METADATA!$S$2:$S$20,0))),0)</f>
        <v>0</v>
      </c>
      <c r="E4266" s="312" t="str">
        <f t="shared" si="264"/>
        <v>LO</v>
      </c>
      <c r="F4266" s="369">
        <f>VLOOKUP(C4266,METADATA!$A$5:$H$29,IF(E4266="HI",2,IF(E4266="LO",6,10))+IF(D4266=1,2,IF(D4266=7,1,(IF(WEEKDAY(B4266)=1,2,IF(WEEKDAY(B4266)=7,1,0))))))</f>
        <v>2</v>
      </c>
      <c r="G4266" s="369">
        <f>VLOOKUP(C4266,METADATA!$J$5:$Q$29,IF(E4266="HI",2,IF(E4266="LO",6,10))+IF(D4266=1,2,IF(D4266=7,1,(IF(WEEKDAY(B4266)=1,2,IF(WEEKDAY(B4266)=7,1,0))))))</f>
        <v>2</v>
      </c>
      <c r="H4266" s="370">
        <v>9279.6751098632813</v>
      </c>
      <c r="I4266" s="370">
        <v>2479.1450576782227</v>
      </c>
      <c r="M4266" s="371">
        <f t="shared" si="265"/>
        <v>9605.1304187723799</v>
      </c>
      <c r="N4266" s="329">
        <f t="shared" si="266"/>
        <v>0</v>
      </c>
      <c r="T4266" s="331">
        <v>0</v>
      </c>
      <c r="U4266" s="328">
        <f>VLOOKUP(C4266,METADATA!$J$5:$Q$29,IF(E4266="HI",2,IF(E4266="LO",6,10))+IF(T4266=1,2,IF(D4266=7,1,(IF(WEEKDAY(B4266)=1,2,IF(WEEKDAY(B4266)=7,1,0))))))</f>
        <v>2</v>
      </c>
      <c r="V4266" s="328">
        <f>VLOOKUP(C4266,METADATA!$A$5:$H$29,IF(E4266="HI",2,IF(E4266="LO",6,10))+IF(T4266=1,2,IF(D4266=7,1,(IF(WEEKDAY(B4266)=1,2,IF(WEEKDAY(B4266)=7,1,0))))))</f>
        <v>2</v>
      </c>
    </row>
    <row r="4267" spans="2:22">
      <c r="B4267" s="318">
        <f t="shared" si="267"/>
        <v>46290</v>
      </c>
      <c r="C4267" s="312">
        <v>15</v>
      </c>
      <c r="D4267" s="368">
        <f>IFERROR((INDEX(METADATA!$T$2:$T$20,MATCH(B4267,METADATA!$S$2:$S$20,0))),0)</f>
        <v>0</v>
      </c>
      <c r="E4267" s="312" t="str">
        <f t="shared" si="264"/>
        <v>LO</v>
      </c>
      <c r="F4267" s="369">
        <f>VLOOKUP(C4267,METADATA!$A$5:$H$29,IF(E4267="HI",2,IF(E4267="LO",6,10))+IF(D4267=1,2,IF(D4267=7,1,(IF(WEEKDAY(B4267)=1,2,IF(WEEKDAY(B4267)=7,1,0))))))</f>
        <v>2</v>
      </c>
      <c r="G4267" s="369">
        <f>VLOOKUP(C4267,METADATA!$J$5:$Q$29,IF(E4267="HI",2,IF(E4267="LO",6,10))+IF(D4267=1,2,IF(D4267=7,1,(IF(WEEKDAY(B4267)=1,2,IF(WEEKDAY(B4267)=7,1,0))))))</f>
        <v>2</v>
      </c>
      <c r="H4267" s="370">
        <v>13211.250122070313</v>
      </c>
      <c r="I4267" s="370">
        <v>4112.9649658203125</v>
      </c>
      <c r="M4267" s="371">
        <f t="shared" si="265"/>
        <v>13836.676284352689</v>
      </c>
      <c r="N4267" s="329">
        <f t="shared" si="266"/>
        <v>149.58992919921911</v>
      </c>
      <c r="T4267" s="331">
        <v>0</v>
      </c>
      <c r="U4267" s="328">
        <f>VLOOKUP(C4267,METADATA!$J$5:$Q$29,IF(E4267="HI",2,IF(E4267="LO",6,10))+IF(T4267=1,2,IF(D4267=7,1,(IF(WEEKDAY(B4267)=1,2,IF(WEEKDAY(B4267)=7,1,0))))))</f>
        <v>2</v>
      </c>
      <c r="V4267" s="328">
        <f>VLOOKUP(C4267,METADATA!$A$5:$H$29,IF(E4267="HI",2,IF(E4267="LO",6,10))+IF(T4267=1,2,IF(D4267=7,1,(IF(WEEKDAY(B4267)=1,2,IF(WEEKDAY(B4267)=7,1,0))))))</f>
        <v>2</v>
      </c>
    </row>
    <row r="4268" spans="2:22">
      <c r="B4268" s="318">
        <f t="shared" si="267"/>
        <v>46290</v>
      </c>
      <c r="C4268" s="312">
        <v>16</v>
      </c>
      <c r="D4268" s="368">
        <f>IFERROR((INDEX(METADATA!$T$2:$T$20,MATCH(B4268,METADATA!$S$2:$S$20,0))),0)</f>
        <v>0</v>
      </c>
      <c r="E4268" s="312" t="str">
        <f t="shared" si="264"/>
        <v>LO</v>
      </c>
      <c r="F4268" s="369">
        <f>VLOOKUP(C4268,METADATA!$A$5:$H$29,IF(E4268="HI",2,IF(E4268="LO",6,10))+IF(D4268=1,2,IF(D4268=7,1,(IF(WEEKDAY(B4268)=1,2,IF(WEEKDAY(B4268)=7,1,0))))))</f>
        <v>2</v>
      </c>
      <c r="G4268" s="369">
        <f>VLOOKUP(C4268,METADATA!$J$5:$Q$29,IF(E4268="HI",2,IF(E4268="LO",6,10))+IF(D4268=1,2,IF(D4268=7,1,(IF(WEEKDAY(B4268)=1,2,IF(WEEKDAY(B4268)=7,1,0))))))</f>
        <v>2</v>
      </c>
      <c r="H4268" s="370">
        <v>12900.599792480469</v>
      </c>
      <c r="I4268" s="370">
        <v>4100.6749572753906</v>
      </c>
      <c r="M4268" s="371">
        <f t="shared" si="265"/>
        <v>13536.654317480839</v>
      </c>
      <c r="N4268" s="329">
        <f t="shared" si="266"/>
        <v>230.49501953125036</v>
      </c>
      <c r="T4268" s="331">
        <v>0</v>
      </c>
      <c r="U4268" s="328">
        <f>VLOOKUP(C4268,METADATA!$J$5:$Q$29,IF(E4268="HI",2,IF(E4268="LO",6,10))+IF(T4268=1,2,IF(D4268=7,1,(IF(WEEKDAY(B4268)=1,2,IF(WEEKDAY(B4268)=7,1,0))))))</f>
        <v>2</v>
      </c>
      <c r="V4268" s="328">
        <f>VLOOKUP(C4268,METADATA!$A$5:$H$29,IF(E4268="HI",2,IF(E4268="LO",6,10))+IF(T4268=1,2,IF(D4268=7,1,(IF(WEEKDAY(B4268)=1,2,IF(WEEKDAY(B4268)=7,1,0))))))</f>
        <v>2</v>
      </c>
    </row>
    <row r="4269" spans="2:22">
      <c r="B4269" s="318">
        <f t="shared" si="267"/>
        <v>46290</v>
      </c>
      <c r="C4269" s="312">
        <v>17</v>
      </c>
      <c r="D4269" s="368">
        <f>IFERROR((INDEX(METADATA!$T$2:$T$20,MATCH(B4269,METADATA!$S$2:$S$20,0))),0)</f>
        <v>0</v>
      </c>
      <c r="E4269" s="312" t="str">
        <f t="shared" si="264"/>
        <v>LO</v>
      </c>
      <c r="F4269" s="369">
        <f>VLOOKUP(C4269,METADATA!$A$5:$H$29,IF(E4269="HI",2,IF(E4269="LO",6,10))+IF(D4269=1,2,IF(D4269=7,1,(IF(WEEKDAY(B4269)=1,2,IF(WEEKDAY(B4269)=7,1,0))))))</f>
        <v>2</v>
      </c>
      <c r="G4269" s="369">
        <f>VLOOKUP(C4269,METADATA!$J$5:$Q$29,IF(E4269="HI",2,IF(E4269="LO",6,10))+IF(D4269=1,2,IF(D4269=7,1,(IF(WEEKDAY(B4269)=1,2,IF(WEEKDAY(B4269)=7,1,0))))))</f>
        <v>2</v>
      </c>
      <c r="H4269" s="370">
        <v>12646.749938964844</v>
      </c>
      <c r="I4269" s="370">
        <v>4031.2500610351563</v>
      </c>
      <c r="M4269" s="371">
        <f t="shared" si="265"/>
        <v>13273.705627039619</v>
      </c>
      <c r="N4269" s="329">
        <f t="shared" si="266"/>
        <v>237.22507934570331</v>
      </c>
      <c r="T4269" s="331">
        <v>0</v>
      </c>
      <c r="U4269" s="328">
        <f>VLOOKUP(C4269,METADATA!$J$5:$Q$29,IF(E4269="HI",2,IF(E4269="LO",6,10))+IF(T4269=1,2,IF(D4269=7,1,(IF(WEEKDAY(B4269)=1,2,IF(WEEKDAY(B4269)=7,1,0))))))</f>
        <v>2</v>
      </c>
      <c r="V4269" s="328">
        <f>VLOOKUP(C4269,METADATA!$A$5:$H$29,IF(E4269="HI",2,IF(E4269="LO",6,10))+IF(T4269=1,2,IF(D4269=7,1,(IF(WEEKDAY(B4269)=1,2,IF(WEEKDAY(B4269)=7,1,0))))))</f>
        <v>2</v>
      </c>
    </row>
    <row r="4270" spans="2:22">
      <c r="B4270" s="318">
        <f t="shared" si="267"/>
        <v>46290</v>
      </c>
      <c r="C4270" s="312">
        <v>18</v>
      </c>
      <c r="D4270" s="368">
        <f>IFERROR((INDEX(METADATA!$T$2:$T$20,MATCH(B4270,METADATA!$S$2:$S$20,0))),0)</f>
        <v>0</v>
      </c>
      <c r="E4270" s="312" t="str">
        <f t="shared" si="264"/>
        <v>LO</v>
      </c>
      <c r="F4270" s="369">
        <f>VLOOKUP(C4270,METADATA!$A$5:$H$29,IF(E4270="HI",2,IF(E4270="LO",6,10))+IF(D4270=1,2,IF(D4270=7,1,(IF(WEEKDAY(B4270)=1,2,IF(WEEKDAY(B4270)=7,1,0))))))</f>
        <v>1</v>
      </c>
      <c r="G4270" s="369">
        <f>VLOOKUP(C4270,METADATA!$J$5:$Q$29,IF(E4270="HI",2,IF(E4270="LO",6,10))+IF(D4270=1,2,IF(D4270=7,1,(IF(WEEKDAY(B4270)=1,2,IF(WEEKDAY(B4270)=7,1,0))))))</f>
        <v>1</v>
      </c>
      <c r="H4270" s="370">
        <v>12733.80029296875</v>
      </c>
      <c r="I4270" s="370">
        <v>3958.4150390625</v>
      </c>
      <c r="M4270" s="371">
        <f t="shared" si="265"/>
        <v>13334.868560382858</v>
      </c>
      <c r="N4270" s="329">
        <f t="shared" si="266"/>
        <v>138.27495117187527</v>
      </c>
      <c r="T4270" s="331">
        <v>0</v>
      </c>
      <c r="U4270" s="328">
        <f>VLOOKUP(C4270,METADATA!$J$5:$Q$29,IF(E4270="HI",2,IF(E4270="LO",6,10))+IF(T4270=1,2,IF(D4270=7,1,(IF(WEEKDAY(B4270)=1,2,IF(WEEKDAY(B4270)=7,1,0))))))</f>
        <v>1</v>
      </c>
      <c r="V4270" s="328">
        <f>VLOOKUP(C4270,METADATA!$A$5:$H$29,IF(E4270="HI",2,IF(E4270="LO",6,10))+IF(T4270=1,2,IF(D4270=7,1,(IF(WEEKDAY(B4270)=1,2,IF(WEEKDAY(B4270)=7,1,0))))))</f>
        <v>1</v>
      </c>
    </row>
    <row r="4271" spans="2:22">
      <c r="B4271" s="318">
        <f t="shared" si="267"/>
        <v>46290</v>
      </c>
      <c r="C4271" s="312">
        <v>19</v>
      </c>
      <c r="D4271" s="368">
        <f>IFERROR((INDEX(METADATA!$T$2:$T$20,MATCH(B4271,METADATA!$S$2:$S$20,0))),0)</f>
        <v>0</v>
      </c>
      <c r="E4271" s="312" t="str">
        <f t="shared" si="264"/>
        <v>LO</v>
      </c>
      <c r="F4271" s="369">
        <f>VLOOKUP(C4271,METADATA!$A$5:$H$29,IF(E4271="HI",2,IF(E4271="LO",6,10))+IF(D4271=1,2,IF(D4271=7,1,(IF(WEEKDAY(B4271)=1,2,IF(WEEKDAY(B4271)=7,1,0))))))</f>
        <v>1</v>
      </c>
      <c r="G4271" s="369">
        <f>VLOOKUP(C4271,METADATA!$J$5:$Q$29,IF(E4271="HI",2,IF(E4271="LO",6,10))+IF(D4271=1,2,IF(D4271=7,1,(IF(WEEKDAY(B4271)=1,2,IF(WEEKDAY(B4271)=7,1,0))))))</f>
        <v>1</v>
      </c>
      <c r="H4271" s="370">
        <v>12831.625122070313</v>
      </c>
      <c r="I4271" s="370">
        <v>4013.4099731445313</v>
      </c>
      <c r="M4271" s="371">
        <f t="shared" si="265"/>
        <v>13444.629518357206</v>
      </c>
      <c r="N4271" s="329">
        <f t="shared" si="266"/>
        <v>163.92243652343768</v>
      </c>
      <c r="T4271" s="331">
        <v>0</v>
      </c>
      <c r="U4271" s="328">
        <f>VLOOKUP(C4271,METADATA!$J$5:$Q$29,IF(E4271="HI",2,IF(E4271="LO",6,10))+IF(T4271=1,2,IF(D4271=7,1,(IF(WEEKDAY(B4271)=1,2,IF(WEEKDAY(B4271)=7,1,0))))))</f>
        <v>1</v>
      </c>
      <c r="V4271" s="328">
        <f>VLOOKUP(C4271,METADATA!$A$5:$H$29,IF(E4271="HI",2,IF(E4271="LO",6,10))+IF(T4271=1,2,IF(D4271=7,1,(IF(WEEKDAY(B4271)=1,2,IF(WEEKDAY(B4271)=7,1,0))))))</f>
        <v>1</v>
      </c>
    </row>
    <row r="4272" spans="2:22">
      <c r="B4272" s="318">
        <f t="shared" si="267"/>
        <v>46290</v>
      </c>
      <c r="C4272" s="312">
        <v>20</v>
      </c>
      <c r="D4272" s="368">
        <f>IFERROR((INDEX(METADATA!$T$2:$T$20,MATCH(B4272,METADATA!$S$2:$S$20,0))),0)</f>
        <v>0</v>
      </c>
      <c r="E4272" s="312" t="str">
        <f t="shared" si="264"/>
        <v>LO</v>
      </c>
      <c r="F4272" s="369">
        <f>VLOOKUP(C4272,METADATA!$A$5:$H$29,IF(E4272="HI",2,IF(E4272="LO",6,10))+IF(D4272=1,2,IF(D4272=7,1,(IF(WEEKDAY(B4272)=1,2,IF(WEEKDAY(B4272)=7,1,0))))))</f>
        <v>1</v>
      </c>
      <c r="G4272" s="369">
        <f>VLOOKUP(C4272,METADATA!$J$5:$Q$29,IF(E4272="HI",2,IF(E4272="LO",6,10))+IF(D4272=1,2,IF(D4272=7,1,(IF(WEEKDAY(B4272)=1,2,IF(WEEKDAY(B4272)=7,1,0))))))</f>
        <v>1</v>
      </c>
      <c r="H4272" s="370">
        <v>12687.625183105469</v>
      </c>
      <c r="I4272" s="370">
        <v>4085.794921875</v>
      </c>
      <c r="M4272" s="371">
        <f t="shared" si="265"/>
        <v>13329.27428371821</v>
      </c>
      <c r="N4272" s="329">
        <f t="shared" si="266"/>
        <v>279.50736694335956</v>
      </c>
      <c r="T4272" s="331">
        <v>0</v>
      </c>
      <c r="U4272" s="328">
        <f>VLOOKUP(C4272,METADATA!$J$5:$Q$29,IF(E4272="HI",2,IF(E4272="LO",6,10))+IF(T4272=1,2,IF(D4272=7,1,(IF(WEEKDAY(B4272)=1,2,IF(WEEKDAY(B4272)=7,1,0))))))</f>
        <v>1</v>
      </c>
      <c r="V4272" s="328">
        <f>VLOOKUP(C4272,METADATA!$A$5:$H$29,IF(E4272="HI",2,IF(E4272="LO",6,10))+IF(T4272=1,2,IF(D4272=7,1,(IF(WEEKDAY(B4272)=1,2,IF(WEEKDAY(B4272)=7,1,0))))))</f>
        <v>1</v>
      </c>
    </row>
    <row r="4273" spans="2:22">
      <c r="B4273" s="318">
        <f t="shared" si="267"/>
        <v>46290</v>
      </c>
      <c r="C4273" s="312">
        <v>21</v>
      </c>
      <c r="D4273" s="368">
        <f>IFERROR((INDEX(METADATA!$T$2:$T$20,MATCH(B4273,METADATA!$S$2:$S$20,0))),0)</f>
        <v>0</v>
      </c>
      <c r="E4273" s="312" t="str">
        <f t="shared" si="264"/>
        <v>LO</v>
      </c>
      <c r="F4273" s="369">
        <f>VLOOKUP(C4273,METADATA!$A$5:$H$29,IF(E4273="HI",2,IF(E4273="LO",6,10))+IF(D4273=1,2,IF(D4273=7,1,(IF(WEEKDAY(B4273)=1,2,IF(WEEKDAY(B4273)=7,1,0))))))</f>
        <v>2</v>
      </c>
      <c r="G4273" s="369">
        <f>VLOOKUP(C4273,METADATA!$J$5:$Q$29,IF(E4273="HI",2,IF(E4273="LO",6,10))+IF(D4273=1,2,IF(D4273=7,1,(IF(WEEKDAY(B4273)=1,2,IF(WEEKDAY(B4273)=7,1,0))))))</f>
        <v>2</v>
      </c>
      <c r="H4273" s="370">
        <v>12831.924865722656</v>
      </c>
      <c r="I4273" s="370">
        <v>4110.2049255371094</v>
      </c>
      <c r="M4273" s="371">
        <f t="shared" si="265"/>
        <v>13474.126327501199</v>
      </c>
      <c r="N4273" s="329">
        <f t="shared" si="266"/>
        <v>260.62746582031286</v>
      </c>
      <c r="T4273" s="331">
        <v>0</v>
      </c>
      <c r="U4273" s="328">
        <f>VLOOKUP(C4273,METADATA!$J$5:$Q$29,IF(E4273="HI",2,IF(E4273="LO",6,10))+IF(T4273=1,2,IF(D4273=7,1,(IF(WEEKDAY(B4273)=1,2,IF(WEEKDAY(B4273)=7,1,0))))))</f>
        <v>2</v>
      </c>
      <c r="V4273" s="328">
        <f>VLOOKUP(C4273,METADATA!$A$5:$H$29,IF(E4273="HI",2,IF(E4273="LO",6,10))+IF(T4273=1,2,IF(D4273=7,1,(IF(WEEKDAY(B4273)=1,2,IF(WEEKDAY(B4273)=7,1,0))))))</f>
        <v>2</v>
      </c>
    </row>
    <row r="4274" spans="2:22">
      <c r="B4274" s="318">
        <f t="shared" si="267"/>
        <v>46290</v>
      </c>
      <c r="C4274" s="312">
        <v>22</v>
      </c>
      <c r="D4274" s="368">
        <f>IFERROR((INDEX(METADATA!$T$2:$T$20,MATCH(B4274,METADATA!$S$2:$S$20,0))),0)</f>
        <v>0</v>
      </c>
      <c r="E4274" s="312" t="str">
        <f t="shared" si="264"/>
        <v>LO</v>
      </c>
      <c r="F4274" s="369">
        <f>VLOOKUP(C4274,METADATA!$A$5:$H$29,IF(E4274="HI",2,IF(E4274="LO",6,10))+IF(D4274=1,2,IF(D4274=7,1,(IF(WEEKDAY(B4274)=1,2,IF(WEEKDAY(B4274)=7,1,0))))))</f>
        <v>3</v>
      </c>
      <c r="G4274" s="369">
        <f>VLOOKUP(C4274,METADATA!$J$5:$Q$29,IF(E4274="HI",2,IF(E4274="LO",6,10))+IF(D4274=1,2,IF(D4274=7,1,(IF(WEEKDAY(B4274)=1,2,IF(WEEKDAY(B4274)=7,1,0))))))</f>
        <v>3</v>
      </c>
      <c r="H4274" s="370">
        <v>12802.675048828125</v>
      </c>
      <c r="I4274" s="370">
        <v>4161.0500183105469</v>
      </c>
      <c r="M4274" s="371">
        <f t="shared" si="265"/>
        <v>13461.902750382966</v>
      </c>
      <c r="N4274" s="329">
        <f t="shared" si="266"/>
        <v>320.24750366210947</v>
      </c>
      <c r="T4274" s="331">
        <v>0</v>
      </c>
      <c r="U4274" s="328">
        <f>VLOOKUP(C4274,METADATA!$J$5:$Q$29,IF(E4274="HI",2,IF(E4274="LO",6,10))+IF(T4274=1,2,IF(D4274=7,1,(IF(WEEKDAY(B4274)=1,2,IF(WEEKDAY(B4274)=7,1,0))))))</f>
        <v>3</v>
      </c>
      <c r="V4274" s="328">
        <f>VLOOKUP(C4274,METADATA!$A$5:$H$29,IF(E4274="HI",2,IF(E4274="LO",6,10))+IF(T4274=1,2,IF(D4274=7,1,(IF(WEEKDAY(B4274)=1,2,IF(WEEKDAY(B4274)=7,1,0))))))</f>
        <v>3</v>
      </c>
    </row>
    <row r="4275" spans="2:22">
      <c r="B4275" s="318">
        <f t="shared" si="267"/>
        <v>46290</v>
      </c>
      <c r="C4275" s="312">
        <v>23</v>
      </c>
      <c r="D4275" s="368">
        <f>IFERROR((INDEX(METADATA!$T$2:$T$20,MATCH(B4275,METADATA!$S$2:$S$20,0))),0)</f>
        <v>0</v>
      </c>
      <c r="E4275" s="312" t="str">
        <f t="shared" si="264"/>
        <v>LO</v>
      </c>
      <c r="F4275" s="369">
        <f>VLOOKUP(C4275,METADATA!$A$5:$H$29,IF(E4275="HI",2,IF(E4275="LO",6,10))+IF(D4275=1,2,IF(D4275=7,1,(IF(WEEKDAY(B4275)=1,2,IF(WEEKDAY(B4275)=7,1,0))))))</f>
        <v>3</v>
      </c>
      <c r="G4275" s="369">
        <f>VLOOKUP(C4275,METADATA!$J$5:$Q$29,IF(E4275="HI",2,IF(E4275="LO",6,10))+IF(D4275=1,2,IF(D4275=7,1,(IF(WEEKDAY(B4275)=1,2,IF(WEEKDAY(B4275)=7,1,0))))))</f>
        <v>3</v>
      </c>
      <c r="H4275" s="370">
        <v>12627.0751953125</v>
      </c>
      <c r="I4275" s="370">
        <v>4058.5799865722656</v>
      </c>
      <c r="M4275" s="371">
        <f t="shared" si="265"/>
        <v>13263.298967281147</v>
      </c>
      <c r="N4275" s="329">
        <f t="shared" si="266"/>
        <v>270.45742797851563</v>
      </c>
      <c r="T4275" s="331">
        <v>0</v>
      </c>
      <c r="U4275" s="328">
        <f>VLOOKUP(C4275,METADATA!$J$5:$Q$29,IF(E4275="HI",2,IF(E4275="LO",6,10))+IF(T4275=1,2,IF(D4275=7,1,(IF(WEEKDAY(B4275)=1,2,IF(WEEKDAY(B4275)=7,1,0))))))</f>
        <v>3</v>
      </c>
      <c r="V4275" s="328">
        <f>VLOOKUP(C4275,METADATA!$A$5:$H$29,IF(E4275="HI",2,IF(E4275="LO",6,10))+IF(T4275=1,2,IF(D4275=7,1,(IF(WEEKDAY(B4275)=1,2,IF(WEEKDAY(B4275)=7,1,0))))))</f>
        <v>3</v>
      </c>
    </row>
    <row r="4276" spans="2:22">
      <c r="B4276" s="318">
        <f t="shared" si="267"/>
        <v>46291</v>
      </c>
      <c r="C4276" s="312">
        <v>0</v>
      </c>
      <c r="D4276" s="368">
        <f>IFERROR((INDEX(METADATA!$T$2:$T$20,MATCH(B4276,METADATA!$S$2:$S$20,0))),0)</f>
        <v>0</v>
      </c>
      <c r="E4276" s="312" t="str">
        <f t="shared" si="264"/>
        <v>LO</v>
      </c>
      <c r="F4276" s="369">
        <f>VLOOKUP(C4276,METADATA!$A$5:$H$29,IF(E4276="HI",2,IF(E4276="LO",6,10))+IF(D4276=1,2,IF(D4276=7,1,(IF(WEEKDAY(B4276)=1,2,IF(WEEKDAY(B4276)=7,1,0))))))</f>
        <v>3</v>
      </c>
      <c r="G4276" s="369">
        <f>VLOOKUP(C4276,METADATA!$J$5:$Q$29,IF(E4276="HI",2,IF(E4276="LO",6,10))+IF(D4276=1,2,IF(D4276=7,1,(IF(WEEKDAY(B4276)=1,2,IF(WEEKDAY(B4276)=7,1,0))))))</f>
        <v>3</v>
      </c>
      <c r="H4276" s="370">
        <v>12859.799987792969</v>
      </c>
      <c r="I4276" s="370">
        <v>4212.8150329589844</v>
      </c>
      <c r="M4276" s="371">
        <f t="shared" si="265"/>
        <v>13532.267593717072</v>
      </c>
      <c r="N4276" s="329">
        <f t="shared" si="266"/>
        <v>354.87503662109384</v>
      </c>
      <c r="T4276" s="331">
        <v>0</v>
      </c>
      <c r="U4276" s="328">
        <f>VLOOKUP(C4276,METADATA!$J$5:$Q$29,IF(E4276="HI",2,IF(E4276="LO",6,10))+IF(T4276=1,2,IF(D4276=7,1,(IF(WEEKDAY(B4276)=1,2,IF(WEEKDAY(B4276)=7,1,0))))))</f>
        <v>3</v>
      </c>
      <c r="V4276" s="328">
        <f>VLOOKUP(C4276,METADATA!$A$5:$H$29,IF(E4276="HI",2,IF(E4276="LO",6,10))+IF(T4276=1,2,IF(D4276=7,1,(IF(WEEKDAY(B4276)=1,2,IF(WEEKDAY(B4276)=7,1,0))))))</f>
        <v>3</v>
      </c>
    </row>
    <row r="4277" spans="2:22">
      <c r="B4277" s="318">
        <f t="shared" si="267"/>
        <v>46291</v>
      </c>
      <c r="C4277" s="312">
        <v>1</v>
      </c>
      <c r="D4277" s="368">
        <f>IFERROR((INDEX(METADATA!$T$2:$T$20,MATCH(B4277,METADATA!$S$2:$S$20,0))),0)</f>
        <v>0</v>
      </c>
      <c r="E4277" s="312" t="str">
        <f t="shared" si="264"/>
        <v>LO</v>
      </c>
      <c r="F4277" s="369">
        <f>VLOOKUP(C4277,METADATA!$A$5:$H$29,IF(E4277="HI",2,IF(E4277="LO",6,10))+IF(D4277=1,2,IF(D4277=7,1,(IF(WEEKDAY(B4277)=1,2,IF(WEEKDAY(B4277)=7,1,0))))))</f>
        <v>3</v>
      </c>
      <c r="G4277" s="369">
        <f>VLOOKUP(C4277,METADATA!$J$5:$Q$29,IF(E4277="HI",2,IF(E4277="LO",6,10))+IF(D4277=1,2,IF(D4277=7,1,(IF(WEEKDAY(B4277)=1,2,IF(WEEKDAY(B4277)=7,1,0))))))</f>
        <v>3</v>
      </c>
      <c r="H4277" s="370">
        <v>12850.087646484375</v>
      </c>
      <c r="I4277" s="370">
        <v>4179.2799987792969</v>
      </c>
      <c r="M4277" s="371">
        <f t="shared" si="265"/>
        <v>13512.628679517802</v>
      </c>
      <c r="N4277" s="329">
        <f t="shared" si="266"/>
        <v>324.25370483398456</v>
      </c>
      <c r="T4277" s="331">
        <v>0</v>
      </c>
      <c r="U4277" s="328">
        <f>VLOOKUP(C4277,METADATA!$J$5:$Q$29,IF(E4277="HI",2,IF(E4277="LO",6,10))+IF(T4277=1,2,IF(D4277=7,1,(IF(WEEKDAY(B4277)=1,2,IF(WEEKDAY(B4277)=7,1,0))))))</f>
        <v>3</v>
      </c>
      <c r="V4277" s="328">
        <f>VLOOKUP(C4277,METADATA!$A$5:$H$29,IF(E4277="HI",2,IF(E4277="LO",6,10))+IF(T4277=1,2,IF(D4277=7,1,(IF(WEEKDAY(B4277)=1,2,IF(WEEKDAY(B4277)=7,1,0))))))</f>
        <v>3</v>
      </c>
    </row>
    <row r="4278" spans="2:22">
      <c r="B4278" s="318">
        <f t="shared" si="267"/>
        <v>46291</v>
      </c>
      <c r="C4278" s="312">
        <v>2</v>
      </c>
      <c r="D4278" s="368">
        <f>IFERROR((INDEX(METADATA!$T$2:$T$20,MATCH(B4278,METADATA!$S$2:$S$20,0))),0)</f>
        <v>0</v>
      </c>
      <c r="E4278" s="312" t="str">
        <f t="shared" si="264"/>
        <v>LO</v>
      </c>
      <c r="F4278" s="369">
        <f>VLOOKUP(C4278,METADATA!$A$5:$H$29,IF(E4278="HI",2,IF(E4278="LO",6,10))+IF(D4278=1,2,IF(D4278=7,1,(IF(WEEKDAY(B4278)=1,2,IF(WEEKDAY(B4278)=7,1,0))))))</f>
        <v>3</v>
      </c>
      <c r="G4278" s="369">
        <f>VLOOKUP(C4278,METADATA!$J$5:$Q$29,IF(E4278="HI",2,IF(E4278="LO",6,10))+IF(D4278=1,2,IF(D4278=7,1,(IF(WEEKDAY(B4278)=1,2,IF(WEEKDAY(B4278)=7,1,0))))))</f>
        <v>3</v>
      </c>
      <c r="H4278" s="370">
        <v>11905.024780273438</v>
      </c>
      <c r="I4278" s="370">
        <v>3619.1399841308594</v>
      </c>
      <c r="M4278" s="371">
        <f t="shared" si="265"/>
        <v>12442.981525488951</v>
      </c>
      <c r="N4278" s="329">
        <f t="shared" si="266"/>
        <v>47.632550048828307</v>
      </c>
      <c r="T4278" s="331">
        <v>0</v>
      </c>
      <c r="U4278" s="328">
        <f>VLOOKUP(C4278,METADATA!$J$5:$Q$29,IF(E4278="HI",2,IF(E4278="LO",6,10))+IF(T4278=1,2,IF(D4278=7,1,(IF(WEEKDAY(B4278)=1,2,IF(WEEKDAY(B4278)=7,1,0))))))</f>
        <v>3</v>
      </c>
      <c r="V4278" s="328">
        <f>VLOOKUP(C4278,METADATA!$A$5:$H$29,IF(E4278="HI",2,IF(E4278="LO",6,10))+IF(T4278=1,2,IF(D4278=7,1,(IF(WEEKDAY(B4278)=1,2,IF(WEEKDAY(B4278)=7,1,0))))))</f>
        <v>3</v>
      </c>
    </row>
    <row r="4279" spans="2:22">
      <c r="B4279" s="318">
        <f t="shared" si="267"/>
        <v>46291</v>
      </c>
      <c r="C4279" s="312">
        <v>3</v>
      </c>
      <c r="D4279" s="368">
        <f>IFERROR((INDEX(METADATA!$T$2:$T$20,MATCH(B4279,METADATA!$S$2:$S$20,0))),0)</f>
        <v>0</v>
      </c>
      <c r="E4279" s="312" t="str">
        <f t="shared" si="264"/>
        <v>LO</v>
      </c>
      <c r="F4279" s="369">
        <f>VLOOKUP(C4279,METADATA!$A$5:$H$29,IF(E4279="HI",2,IF(E4279="LO",6,10))+IF(D4279=1,2,IF(D4279=7,1,(IF(WEEKDAY(B4279)=1,2,IF(WEEKDAY(B4279)=7,1,0))))))</f>
        <v>3</v>
      </c>
      <c r="G4279" s="369">
        <f>VLOOKUP(C4279,METADATA!$J$5:$Q$29,IF(E4279="HI",2,IF(E4279="LO",6,10))+IF(D4279=1,2,IF(D4279=7,1,(IF(WEEKDAY(B4279)=1,2,IF(WEEKDAY(B4279)=7,1,0))))))</f>
        <v>3</v>
      </c>
      <c r="H4279" s="370">
        <v>10935.724853515625</v>
      </c>
      <c r="I4279" s="370">
        <v>2967.927490234375</v>
      </c>
      <c r="M4279" s="371">
        <f t="shared" si="265"/>
        <v>11331.313765803516</v>
      </c>
      <c r="N4279" s="329">
        <f t="shared" si="266"/>
        <v>0</v>
      </c>
      <c r="T4279" s="331">
        <v>0</v>
      </c>
      <c r="U4279" s="328">
        <f>VLOOKUP(C4279,METADATA!$J$5:$Q$29,IF(E4279="HI",2,IF(E4279="LO",6,10))+IF(T4279=1,2,IF(D4279=7,1,(IF(WEEKDAY(B4279)=1,2,IF(WEEKDAY(B4279)=7,1,0))))))</f>
        <v>3</v>
      </c>
      <c r="V4279" s="328">
        <f>VLOOKUP(C4279,METADATA!$A$5:$H$29,IF(E4279="HI",2,IF(E4279="LO",6,10))+IF(T4279=1,2,IF(D4279=7,1,(IF(WEEKDAY(B4279)=1,2,IF(WEEKDAY(B4279)=7,1,0))))))</f>
        <v>3</v>
      </c>
    </row>
    <row r="4280" spans="2:22">
      <c r="B4280" s="318">
        <f t="shared" si="267"/>
        <v>46291</v>
      </c>
      <c r="C4280" s="312">
        <v>4</v>
      </c>
      <c r="D4280" s="368">
        <f>IFERROR((INDEX(METADATA!$T$2:$T$20,MATCH(B4280,METADATA!$S$2:$S$20,0))),0)</f>
        <v>0</v>
      </c>
      <c r="E4280" s="312" t="str">
        <f t="shared" si="264"/>
        <v>LO</v>
      </c>
      <c r="F4280" s="369">
        <f>VLOOKUP(C4280,METADATA!$A$5:$H$29,IF(E4280="HI",2,IF(E4280="LO",6,10))+IF(D4280=1,2,IF(D4280=7,1,(IF(WEEKDAY(B4280)=1,2,IF(WEEKDAY(B4280)=7,1,0))))))</f>
        <v>3</v>
      </c>
      <c r="G4280" s="369">
        <f>VLOOKUP(C4280,METADATA!$J$5:$Q$29,IF(E4280="HI",2,IF(E4280="LO",6,10))+IF(D4280=1,2,IF(D4280=7,1,(IF(WEEKDAY(B4280)=1,2,IF(WEEKDAY(B4280)=7,1,0))))))</f>
        <v>3</v>
      </c>
      <c r="H4280" s="370">
        <v>11546.700134277344</v>
      </c>
      <c r="I4280" s="370">
        <v>3374.3125610351563</v>
      </c>
      <c r="M4280" s="371">
        <f t="shared" si="265"/>
        <v>12029.641276882701</v>
      </c>
      <c r="N4280" s="329">
        <f t="shared" si="266"/>
        <v>0</v>
      </c>
      <c r="T4280" s="331">
        <v>0</v>
      </c>
      <c r="U4280" s="328">
        <f>VLOOKUP(C4280,METADATA!$J$5:$Q$29,IF(E4280="HI",2,IF(E4280="LO",6,10))+IF(T4280=1,2,IF(D4280=7,1,(IF(WEEKDAY(B4280)=1,2,IF(WEEKDAY(B4280)=7,1,0))))))</f>
        <v>3</v>
      </c>
      <c r="V4280" s="328">
        <f>VLOOKUP(C4280,METADATA!$A$5:$H$29,IF(E4280="HI",2,IF(E4280="LO",6,10))+IF(T4280=1,2,IF(D4280=7,1,(IF(WEEKDAY(B4280)=1,2,IF(WEEKDAY(B4280)=7,1,0))))))</f>
        <v>3</v>
      </c>
    </row>
    <row r="4281" spans="2:22">
      <c r="B4281" s="318">
        <f t="shared" si="267"/>
        <v>46291</v>
      </c>
      <c r="C4281" s="312">
        <v>5</v>
      </c>
      <c r="D4281" s="368">
        <f>IFERROR((INDEX(METADATA!$T$2:$T$20,MATCH(B4281,METADATA!$S$2:$S$20,0))),0)</f>
        <v>0</v>
      </c>
      <c r="E4281" s="312" t="str">
        <f t="shared" si="264"/>
        <v>LO</v>
      </c>
      <c r="F4281" s="369">
        <f>VLOOKUP(C4281,METADATA!$A$5:$H$29,IF(E4281="HI",2,IF(E4281="LO",6,10))+IF(D4281=1,2,IF(D4281=7,1,(IF(WEEKDAY(B4281)=1,2,IF(WEEKDAY(B4281)=7,1,0))))))</f>
        <v>3</v>
      </c>
      <c r="G4281" s="369">
        <f>VLOOKUP(C4281,METADATA!$J$5:$Q$29,IF(E4281="HI",2,IF(E4281="LO",6,10))+IF(D4281=1,2,IF(D4281=7,1,(IF(WEEKDAY(B4281)=1,2,IF(WEEKDAY(B4281)=7,1,0))))))</f>
        <v>3</v>
      </c>
      <c r="H4281" s="370">
        <v>12814.974853515625</v>
      </c>
      <c r="I4281" s="370">
        <v>4098.8749694824219</v>
      </c>
      <c r="M4281" s="371">
        <f t="shared" si="265"/>
        <v>13454.529219251313</v>
      </c>
      <c r="N4281" s="329">
        <f t="shared" si="266"/>
        <v>254.38251342773447</v>
      </c>
      <c r="T4281" s="331">
        <v>0</v>
      </c>
      <c r="U4281" s="328">
        <f>VLOOKUP(C4281,METADATA!$J$5:$Q$29,IF(E4281="HI",2,IF(E4281="LO",6,10))+IF(T4281=1,2,IF(D4281=7,1,(IF(WEEKDAY(B4281)=1,2,IF(WEEKDAY(B4281)=7,1,0))))))</f>
        <v>3</v>
      </c>
      <c r="V4281" s="328">
        <f>VLOOKUP(C4281,METADATA!$A$5:$H$29,IF(E4281="HI",2,IF(E4281="LO",6,10))+IF(T4281=1,2,IF(D4281=7,1,(IF(WEEKDAY(B4281)=1,2,IF(WEEKDAY(B4281)=7,1,0))))))</f>
        <v>3</v>
      </c>
    </row>
    <row r="4282" spans="2:22">
      <c r="B4282" s="318">
        <f t="shared" si="267"/>
        <v>46291</v>
      </c>
      <c r="C4282" s="312">
        <v>6</v>
      </c>
      <c r="D4282" s="368">
        <f>IFERROR((INDEX(METADATA!$T$2:$T$20,MATCH(B4282,METADATA!$S$2:$S$20,0))),0)</f>
        <v>0</v>
      </c>
      <c r="E4282" s="312" t="str">
        <f t="shared" si="264"/>
        <v>LO</v>
      </c>
      <c r="F4282" s="369">
        <f>VLOOKUP(C4282,METADATA!$A$5:$H$29,IF(E4282="HI",2,IF(E4282="LO",6,10))+IF(D4282=1,2,IF(D4282=7,1,(IF(WEEKDAY(B4282)=1,2,IF(WEEKDAY(B4282)=7,1,0))))))</f>
        <v>3</v>
      </c>
      <c r="G4282" s="369">
        <f>VLOOKUP(C4282,METADATA!$J$5:$Q$29,IF(E4282="HI",2,IF(E4282="LO",6,10))+IF(D4282=1,2,IF(D4282=7,1,(IF(WEEKDAY(B4282)=1,2,IF(WEEKDAY(B4282)=7,1,0))))))</f>
        <v>3</v>
      </c>
      <c r="H4282" s="370">
        <v>12670.325134277344</v>
      </c>
      <c r="I4282" s="370">
        <v>3940.6599731445313</v>
      </c>
      <c r="M4282" s="371">
        <f t="shared" si="265"/>
        <v>13268.984137161504</v>
      </c>
      <c r="N4282" s="329">
        <f t="shared" si="266"/>
        <v>139.56243286132849</v>
      </c>
      <c r="T4282" s="331">
        <v>0</v>
      </c>
      <c r="U4282" s="328">
        <f>VLOOKUP(C4282,METADATA!$J$5:$Q$29,IF(E4282="HI",2,IF(E4282="LO",6,10))+IF(T4282=1,2,IF(D4282=7,1,(IF(WEEKDAY(B4282)=1,2,IF(WEEKDAY(B4282)=7,1,0))))))</f>
        <v>3</v>
      </c>
      <c r="V4282" s="328">
        <f>VLOOKUP(C4282,METADATA!$A$5:$H$29,IF(E4282="HI",2,IF(E4282="LO",6,10))+IF(T4282=1,2,IF(D4282=7,1,(IF(WEEKDAY(B4282)=1,2,IF(WEEKDAY(B4282)=7,1,0))))))</f>
        <v>3</v>
      </c>
    </row>
    <row r="4283" spans="2:22">
      <c r="B4283" s="318">
        <f t="shared" si="267"/>
        <v>46291</v>
      </c>
      <c r="C4283" s="312">
        <v>7</v>
      </c>
      <c r="D4283" s="368">
        <f>IFERROR((INDEX(METADATA!$T$2:$T$20,MATCH(B4283,METADATA!$S$2:$S$20,0))),0)</f>
        <v>0</v>
      </c>
      <c r="E4283" s="312" t="str">
        <f t="shared" si="264"/>
        <v>LO</v>
      </c>
      <c r="F4283" s="369">
        <f>VLOOKUP(C4283,METADATA!$A$5:$H$29,IF(E4283="HI",2,IF(E4283="LO",6,10))+IF(D4283=1,2,IF(D4283=7,1,(IF(WEEKDAY(B4283)=1,2,IF(WEEKDAY(B4283)=7,1,0))))))</f>
        <v>2</v>
      </c>
      <c r="G4283" s="369">
        <f>VLOOKUP(C4283,METADATA!$J$5:$Q$29,IF(E4283="HI",2,IF(E4283="LO",6,10))+IF(D4283=1,2,IF(D4283=7,1,(IF(WEEKDAY(B4283)=1,2,IF(WEEKDAY(B4283)=7,1,0))))))</f>
        <v>2</v>
      </c>
      <c r="H4283" s="370">
        <v>12575.600036621094</v>
      </c>
      <c r="I4283" s="370">
        <v>3811.9550170898438</v>
      </c>
      <c r="M4283" s="371">
        <f t="shared" si="265"/>
        <v>13140.651328354348</v>
      </c>
      <c r="N4283" s="329">
        <f t="shared" si="266"/>
        <v>39.275006103515807</v>
      </c>
      <c r="T4283" s="331">
        <v>0</v>
      </c>
      <c r="U4283" s="328">
        <f>VLOOKUP(C4283,METADATA!$J$5:$Q$29,IF(E4283="HI",2,IF(E4283="LO",6,10))+IF(T4283=1,2,IF(D4283=7,1,(IF(WEEKDAY(B4283)=1,2,IF(WEEKDAY(B4283)=7,1,0))))))</f>
        <v>2</v>
      </c>
      <c r="V4283" s="328">
        <f>VLOOKUP(C4283,METADATA!$A$5:$H$29,IF(E4283="HI",2,IF(E4283="LO",6,10))+IF(T4283=1,2,IF(D4283=7,1,(IF(WEEKDAY(B4283)=1,2,IF(WEEKDAY(B4283)=7,1,0))))))</f>
        <v>2</v>
      </c>
    </row>
    <row r="4284" spans="2:22">
      <c r="B4284" s="318">
        <f t="shared" si="267"/>
        <v>46291</v>
      </c>
      <c r="C4284" s="312">
        <v>8</v>
      </c>
      <c r="D4284" s="368">
        <f>IFERROR((INDEX(METADATA!$T$2:$T$20,MATCH(B4284,METADATA!$S$2:$S$20,0))),0)</f>
        <v>0</v>
      </c>
      <c r="E4284" s="312" t="str">
        <f t="shared" si="264"/>
        <v>LO</v>
      </c>
      <c r="F4284" s="369">
        <f>VLOOKUP(C4284,METADATA!$A$5:$H$29,IF(E4284="HI",2,IF(E4284="LO",6,10))+IF(D4284=1,2,IF(D4284=7,1,(IF(WEEKDAY(B4284)=1,2,IF(WEEKDAY(B4284)=7,1,0))))))</f>
        <v>2</v>
      </c>
      <c r="G4284" s="369">
        <f>VLOOKUP(C4284,METADATA!$J$5:$Q$29,IF(E4284="HI",2,IF(E4284="LO",6,10))+IF(D4284=1,2,IF(D4284=7,1,(IF(WEEKDAY(B4284)=1,2,IF(WEEKDAY(B4284)=7,1,0))))))</f>
        <v>2</v>
      </c>
      <c r="H4284" s="370">
        <v>12588.524841308594</v>
      </c>
      <c r="I4284" s="370">
        <v>3756.8298950195313</v>
      </c>
      <c r="M4284" s="371">
        <f t="shared" si="265"/>
        <v>13137.150700983681</v>
      </c>
      <c r="N4284" s="329">
        <f t="shared" si="266"/>
        <v>0</v>
      </c>
      <c r="T4284" s="331">
        <v>0</v>
      </c>
      <c r="U4284" s="328">
        <f>VLOOKUP(C4284,METADATA!$J$5:$Q$29,IF(E4284="HI",2,IF(E4284="LO",6,10))+IF(T4284=1,2,IF(D4284=7,1,(IF(WEEKDAY(B4284)=1,2,IF(WEEKDAY(B4284)=7,1,0))))))</f>
        <v>2</v>
      </c>
      <c r="V4284" s="328">
        <f>VLOOKUP(C4284,METADATA!$A$5:$H$29,IF(E4284="HI",2,IF(E4284="LO",6,10))+IF(T4284=1,2,IF(D4284=7,1,(IF(WEEKDAY(B4284)=1,2,IF(WEEKDAY(B4284)=7,1,0))))))</f>
        <v>2</v>
      </c>
    </row>
    <row r="4285" spans="2:22">
      <c r="B4285" s="318">
        <f t="shared" si="267"/>
        <v>46291</v>
      </c>
      <c r="C4285" s="312">
        <v>9</v>
      </c>
      <c r="D4285" s="368">
        <f>IFERROR((INDEX(METADATA!$T$2:$T$20,MATCH(B4285,METADATA!$S$2:$S$20,0))),0)</f>
        <v>0</v>
      </c>
      <c r="E4285" s="312" t="str">
        <f t="shared" si="264"/>
        <v>LO</v>
      </c>
      <c r="F4285" s="369">
        <f>VLOOKUP(C4285,METADATA!$A$5:$H$29,IF(E4285="HI",2,IF(E4285="LO",6,10))+IF(D4285=1,2,IF(D4285=7,1,(IF(WEEKDAY(B4285)=1,2,IF(WEEKDAY(B4285)=7,1,0))))))</f>
        <v>2</v>
      </c>
      <c r="G4285" s="369">
        <f>VLOOKUP(C4285,METADATA!$J$5:$Q$29,IF(E4285="HI",2,IF(E4285="LO",6,10))+IF(D4285=1,2,IF(D4285=7,1,(IF(WEEKDAY(B4285)=1,2,IF(WEEKDAY(B4285)=7,1,0))))))</f>
        <v>2</v>
      </c>
      <c r="H4285" s="370">
        <v>12597.500305175781</v>
      </c>
      <c r="I4285" s="370">
        <v>3689.9849243164063</v>
      </c>
      <c r="M4285" s="371">
        <f t="shared" si="265"/>
        <v>13126.804739942856</v>
      </c>
      <c r="N4285" s="329">
        <f t="shared" si="266"/>
        <v>0</v>
      </c>
      <c r="T4285" s="331">
        <v>0</v>
      </c>
      <c r="U4285" s="328">
        <f>VLOOKUP(C4285,METADATA!$J$5:$Q$29,IF(E4285="HI",2,IF(E4285="LO",6,10))+IF(T4285=1,2,IF(D4285=7,1,(IF(WEEKDAY(B4285)=1,2,IF(WEEKDAY(B4285)=7,1,0))))))</f>
        <v>2</v>
      </c>
      <c r="V4285" s="328">
        <f>VLOOKUP(C4285,METADATA!$A$5:$H$29,IF(E4285="HI",2,IF(E4285="LO",6,10))+IF(T4285=1,2,IF(D4285=7,1,(IF(WEEKDAY(B4285)=1,2,IF(WEEKDAY(B4285)=7,1,0))))))</f>
        <v>2</v>
      </c>
    </row>
    <row r="4286" spans="2:22">
      <c r="B4286" s="318">
        <f t="shared" si="267"/>
        <v>46291</v>
      </c>
      <c r="C4286" s="312">
        <v>10</v>
      </c>
      <c r="D4286" s="368">
        <f>IFERROR((INDEX(METADATA!$T$2:$T$20,MATCH(B4286,METADATA!$S$2:$S$20,0))),0)</f>
        <v>0</v>
      </c>
      <c r="E4286" s="312" t="str">
        <f t="shared" si="264"/>
        <v>LO</v>
      </c>
      <c r="F4286" s="369">
        <f>VLOOKUP(C4286,METADATA!$A$5:$H$29,IF(E4286="HI",2,IF(E4286="LO",6,10))+IF(D4286=1,2,IF(D4286=7,1,(IF(WEEKDAY(B4286)=1,2,IF(WEEKDAY(B4286)=7,1,0))))))</f>
        <v>2</v>
      </c>
      <c r="G4286" s="369">
        <f>VLOOKUP(C4286,METADATA!$J$5:$Q$29,IF(E4286="HI",2,IF(E4286="LO",6,10))+IF(D4286=1,2,IF(D4286=7,1,(IF(WEEKDAY(B4286)=1,2,IF(WEEKDAY(B4286)=7,1,0))))))</f>
        <v>2</v>
      </c>
      <c r="H4286" s="370">
        <v>12642.100036621094</v>
      </c>
      <c r="I4286" s="370">
        <v>3672.614990234375</v>
      </c>
      <c r="M4286" s="371">
        <f t="shared" si="265"/>
        <v>13164.755759315449</v>
      </c>
      <c r="N4286" s="329">
        <f t="shared" si="266"/>
        <v>0</v>
      </c>
      <c r="T4286" s="331">
        <v>0</v>
      </c>
      <c r="U4286" s="328">
        <f>VLOOKUP(C4286,METADATA!$J$5:$Q$29,IF(E4286="HI",2,IF(E4286="LO",6,10))+IF(T4286=1,2,IF(D4286=7,1,(IF(WEEKDAY(B4286)=1,2,IF(WEEKDAY(B4286)=7,1,0))))))</f>
        <v>2</v>
      </c>
      <c r="V4286" s="328">
        <f>VLOOKUP(C4286,METADATA!$A$5:$H$29,IF(E4286="HI",2,IF(E4286="LO",6,10))+IF(T4286=1,2,IF(D4286=7,1,(IF(WEEKDAY(B4286)=1,2,IF(WEEKDAY(B4286)=7,1,0))))))</f>
        <v>2</v>
      </c>
    </row>
    <row r="4287" spans="2:22">
      <c r="B4287" s="318">
        <f t="shared" si="267"/>
        <v>46291</v>
      </c>
      <c r="C4287" s="312">
        <v>11</v>
      </c>
      <c r="D4287" s="368">
        <f>IFERROR((INDEX(METADATA!$T$2:$T$20,MATCH(B4287,METADATA!$S$2:$S$20,0))),0)</f>
        <v>0</v>
      </c>
      <c r="E4287" s="312" t="str">
        <f t="shared" si="264"/>
        <v>LO</v>
      </c>
      <c r="F4287" s="369">
        <f>VLOOKUP(C4287,METADATA!$A$5:$H$29,IF(E4287="HI",2,IF(E4287="LO",6,10))+IF(D4287=1,2,IF(D4287=7,1,(IF(WEEKDAY(B4287)=1,2,IF(WEEKDAY(B4287)=7,1,0))))))</f>
        <v>2</v>
      </c>
      <c r="G4287" s="369">
        <f>VLOOKUP(C4287,METADATA!$J$5:$Q$29,IF(E4287="HI",2,IF(E4287="LO",6,10))+IF(D4287=1,2,IF(D4287=7,1,(IF(WEEKDAY(B4287)=1,2,IF(WEEKDAY(B4287)=7,1,0))))))</f>
        <v>2</v>
      </c>
      <c r="H4287" s="370">
        <v>12723.699829101563</v>
      </c>
      <c r="I4287" s="370">
        <v>3659.6598815917969</v>
      </c>
      <c r="M4287" s="371">
        <f t="shared" si="265"/>
        <v>13239.548624859217</v>
      </c>
      <c r="N4287" s="329">
        <f t="shared" si="266"/>
        <v>0</v>
      </c>
      <c r="T4287" s="331">
        <v>0</v>
      </c>
      <c r="U4287" s="328">
        <f>VLOOKUP(C4287,METADATA!$J$5:$Q$29,IF(E4287="HI",2,IF(E4287="LO",6,10))+IF(T4287=1,2,IF(D4287=7,1,(IF(WEEKDAY(B4287)=1,2,IF(WEEKDAY(B4287)=7,1,0))))))</f>
        <v>2</v>
      </c>
      <c r="V4287" s="328">
        <f>VLOOKUP(C4287,METADATA!$A$5:$H$29,IF(E4287="HI",2,IF(E4287="LO",6,10))+IF(T4287=1,2,IF(D4287=7,1,(IF(WEEKDAY(B4287)=1,2,IF(WEEKDAY(B4287)=7,1,0))))))</f>
        <v>2</v>
      </c>
    </row>
    <row r="4288" spans="2:22">
      <c r="B4288" s="318">
        <f t="shared" si="267"/>
        <v>46291</v>
      </c>
      <c r="C4288" s="312">
        <v>12</v>
      </c>
      <c r="D4288" s="368">
        <f>IFERROR((INDEX(METADATA!$T$2:$T$20,MATCH(B4288,METADATA!$S$2:$S$20,0))),0)</f>
        <v>0</v>
      </c>
      <c r="E4288" s="312" t="str">
        <f t="shared" si="264"/>
        <v>LO</v>
      </c>
      <c r="F4288" s="369">
        <f>VLOOKUP(C4288,METADATA!$A$5:$H$29,IF(E4288="HI",2,IF(E4288="LO",6,10))+IF(D4288=1,2,IF(D4288=7,1,(IF(WEEKDAY(B4288)=1,2,IF(WEEKDAY(B4288)=7,1,0))))))</f>
        <v>3</v>
      </c>
      <c r="G4288" s="369">
        <f>VLOOKUP(C4288,METADATA!$J$5:$Q$29,IF(E4288="HI",2,IF(E4288="LO",6,10))+IF(D4288=1,2,IF(D4288=7,1,(IF(WEEKDAY(B4288)=1,2,IF(WEEKDAY(B4288)=7,1,0))))))</f>
        <v>3</v>
      </c>
      <c r="H4288" s="370">
        <v>12758.499816894531</v>
      </c>
      <c r="I4288" s="370">
        <v>3795.4649963378906</v>
      </c>
      <c r="M4288" s="371">
        <f t="shared" si="265"/>
        <v>13311.080801953085</v>
      </c>
      <c r="N4288" s="329">
        <f t="shared" si="266"/>
        <v>0</v>
      </c>
      <c r="T4288" s="331">
        <v>0</v>
      </c>
      <c r="U4288" s="328">
        <f>VLOOKUP(C4288,METADATA!$J$5:$Q$29,IF(E4288="HI",2,IF(E4288="LO",6,10))+IF(T4288=1,2,IF(D4288=7,1,(IF(WEEKDAY(B4288)=1,2,IF(WEEKDAY(B4288)=7,1,0))))))</f>
        <v>3</v>
      </c>
      <c r="V4288" s="328">
        <f>VLOOKUP(C4288,METADATA!$A$5:$H$29,IF(E4288="HI",2,IF(E4288="LO",6,10))+IF(T4288=1,2,IF(D4288=7,1,(IF(WEEKDAY(B4288)=1,2,IF(WEEKDAY(B4288)=7,1,0))))))</f>
        <v>3</v>
      </c>
    </row>
    <row r="4289" spans="2:22">
      <c r="B4289" s="318">
        <f t="shared" si="267"/>
        <v>46291</v>
      </c>
      <c r="C4289" s="312">
        <v>13</v>
      </c>
      <c r="D4289" s="368">
        <f>IFERROR((INDEX(METADATA!$T$2:$T$20,MATCH(B4289,METADATA!$S$2:$S$20,0))),0)</f>
        <v>0</v>
      </c>
      <c r="E4289" s="312" t="str">
        <f t="shared" si="264"/>
        <v>LO</v>
      </c>
      <c r="F4289" s="369">
        <f>VLOOKUP(C4289,METADATA!$A$5:$H$29,IF(E4289="HI",2,IF(E4289="LO",6,10))+IF(D4289=1,2,IF(D4289=7,1,(IF(WEEKDAY(B4289)=1,2,IF(WEEKDAY(B4289)=7,1,0))))))</f>
        <v>3</v>
      </c>
      <c r="G4289" s="369">
        <f>VLOOKUP(C4289,METADATA!$J$5:$Q$29,IF(E4289="HI",2,IF(E4289="LO",6,10))+IF(D4289=1,2,IF(D4289=7,1,(IF(WEEKDAY(B4289)=1,2,IF(WEEKDAY(B4289)=7,1,0))))))</f>
        <v>3</v>
      </c>
      <c r="H4289" s="370">
        <v>12706.450073242188</v>
      </c>
      <c r="I4289" s="370">
        <v>3828.9649353027344</v>
      </c>
      <c r="M4289" s="371">
        <f t="shared" si="265"/>
        <v>13270.826874749524</v>
      </c>
      <c r="N4289" s="329">
        <f t="shared" si="266"/>
        <v>17.029913330078216</v>
      </c>
      <c r="T4289" s="331">
        <v>0</v>
      </c>
      <c r="U4289" s="328">
        <f>VLOOKUP(C4289,METADATA!$J$5:$Q$29,IF(E4289="HI",2,IF(E4289="LO",6,10))+IF(T4289=1,2,IF(D4289=7,1,(IF(WEEKDAY(B4289)=1,2,IF(WEEKDAY(B4289)=7,1,0))))))</f>
        <v>3</v>
      </c>
      <c r="V4289" s="328">
        <f>VLOOKUP(C4289,METADATA!$A$5:$H$29,IF(E4289="HI",2,IF(E4289="LO",6,10))+IF(T4289=1,2,IF(D4289=7,1,(IF(WEEKDAY(B4289)=1,2,IF(WEEKDAY(B4289)=7,1,0))))))</f>
        <v>3</v>
      </c>
    </row>
    <row r="4290" spans="2:22">
      <c r="B4290" s="318">
        <f t="shared" si="267"/>
        <v>46291</v>
      </c>
      <c r="C4290" s="312">
        <v>14</v>
      </c>
      <c r="D4290" s="368">
        <f>IFERROR((INDEX(METADATA!$T$2:$T$20,MATCH(B4290,METADATA!$S$2:$S$20,0))),0)</f>
        <v>0</v>
      </c>
      <c r="E4290" s="312" t="str">
        <f t="shared" si="264"/>
        <v>LO</v>
      </c>
      <c r="F4290" s="369">
        <f>VLOOKUP(C4290,METADATA!$A$5:$H$29,IF(E4290="HI",2,IF(E4290="LO",6,10))+IF(D4290=1,2,IF(D4290=7,1,(IF(WEEKDAY(B4290)=1,2,IF(WEEKDAY(B4290)=7,1,0))))))</f>
        <v>3</v>
      </c>
      <c r="G4290" s="369">
        <f>VLOOKUP(C4290,METADATA!$J$5:$Q$29,IF(E4290="HI",2,IF(E4290="LO",6,10))+IF(D4290=1,2,IF(D4290=7,1,(IF(WEEKDAY(B4290)=1,2,IF(WEEKDAY(B4290)=7,1,0))))))</f>
        <v>3</v>
      </c>
      <c r="H4290" s="370">
        <v>12710.850402832031</v>
      </c>
      <c r="I4290" s="370">
        <v>3933.3250427246094</v>
      </c>
      <c r="M4290" s="371">
        <f t="shared" si="265"/>
        <v>13305.516294187903</v>
      </c>
      <c r="N4290" s="329">
        <f t="shared" si="266"/>
        <v>120.06992187500009</v>
      </c>
      <c r="T4290" s="331">
        <v>0</v>
      </c>
      <c r="U4290" s="328">
        <f>VLOOKUP(C4290,METADATA!$J$5:$Q$29,IF(E4290="HI",2,IF(E4290="LO",6,10))+IF(T4290=1,2,IF(D4290=7,1,(IF(WEEKDAY(B4290)=1,2,IF(WEEKDAY(B4290)=7,1,0))))))</f>
        <v>3</v>
      </c>
      <c r="V4290" s="328">
        <f>VLOOKUP(C4290,METADATA!$A$5:$H$29,IF(E4290="HI",2,IF(E4290="LO",6,10))+IF(T4290=1,2,IF(D4290=7,1,(IF(WEEKDAY(B4290)=1,2,IF(WEEKDAY(B4290)=7,1,0))))))</f>
        <v>3</v>
      </c>
    </row>
    <row r="4291" spans="2:22">
      <c r="B4291" s="318">
        <f t="shared" si="267"/>
        <v>46291</v>
      </c>
      <c r="C4291" s="312">
        <v>15</v>
      </c>
      <c r="D4291" s="368">
        <f>IFERROR((INDEX(METADATA!$T$2:$T$20,MATCH(B4291,METADATA!$S$2:$S$20,0))),0)</f>
        <v>0</v>
      </c>
      <c r="E4291" s="312" t="str">
        <f t="shared" si="264"/>
        <v>LO</v>
      </c>
      <c r="F4291" s="369">
        <f>VLOOKUP(C4291,METADATA!$A$5:$H$29,IF(E4291="HI",2,IF(E4291="LO",6,10))+IF(D4291=1,2,IF(D4291=7,1,(IF(WEEKDAY(B4291)=1,2,IF(WEEKDAY(B4291)=7,1,0))))))</f>
        <v>3</v>
      </c>
      <c r="G4291" s="369">
        <f>VLOOKUP(C4291,METADATA!$J$5:$Q$29,IF(E4291="HI",2,IF(E4291="LO",6,10))+IF(D4291=1,2,IF(D4291=7,1,(IF(WEEKDAY(B4291)=1,2,IF(WEEKDAY(B4291)=7,1,0))))))</f>
        <v>3</v>
      </c>
      <c r="H4291" s="370">
        <v>12972.625183105469</v>
      </c>
      <c r="I4291" s="370">
        <v>4068.5498962402344</v>
      </c>
      <c r="M4291" s="371">
        <f t="shared" si="265"/>
        <v>13595.664838452683</v>
      </c>
      <c r="N4291" s="329">
        <f t="shared" si="266"/>
        <v>176.76234130859393</v>
      </c>
      <c r="T4291" s="331">
        <v>0</v>
      </c>
      <c r="U4291" s="328">
        <f>VLOOKUP(C4291,METADATA!$J$5:$Q$29,IF(E4291="HI",2,IF(E4291="LO",6,10))+IF(T4291=1,2,IF(D4291=7,1,(IF(WEEKDAY(B4291)=1,2,IF(WEEKDAY(B4291)=7,1,0))))))</f>
        <v>3</v>
      </c>
      <c r="V4291" s="328">
        <f>VLOOKUP(C4291,METADATA!$A$5:$H$29,IF(E4291="HI",2,IF(E4291="LO",6,10))+IF(T4291=1,2,IF(D4291=7,1,(IF(WEEKDAY(B4291)=1,2,IF(WEEKDAY(B4291)=7,1,0))))))</f>
        <v>3</v>
      </c>
    </row>
    <row r="4292" spans="2:22">
      <c r="B4292" s="318">
        <f t="shared" si="267"/>
        <v>46291</v>
      </c>
      <c r="C4292" s="312">
        <v>16</v>
      </c>
      <c r="D4292" s="368">
        <f>IFERROR((INDEX(METADATA!$T$2:$T$20,MATCH(B4292,METADATA!$S$2:$S$20,0))),0)</f>
        <v>0</v>
      </c>
      <c r="E4292" s="312" t="str">
        <f t="shared" ref="E4292:E4355" si="268">IF(B4292="","",IF(AND(MONTH(B4292)&gt;=MONTH($Z$9),MONTH(B4292)&lt;=MONTH($Z$11)),"HI","LO"))</f>
        <v>LO</v>
      </c>
      <c r="F4292" s="369">
        <f>VLOOKUP(C4292,METADATA!$A$5:$H$29,IF(E4292="HI",2,IF(E4292="LO",6,10))+IF(D4292=1,2,IF(D4292=7,1,(IF(WEEKDAY(B4292)=1,2,IF(WEEKDAY(B4292)=7,1,0))))))</f>
        <v>3</v>
      </c>
      <c r="G4292" s="369">
        <f>VLOOKUP(C4292,METADATA!$J$5:$Q$29,IF(E4292="HI",2,IF(E4292="LO",6,10))+IF(D4292=1,2,IF(D4292=7,1,(IF(WEEKDAY(B4292)=1,2,IF(WEEKDAY(B4292)=7,1,0))))))</f>
        <v>3</v>
      </c>
      <c r="H4292" s="370">
        <v>12699.94970703125</v>
      </c>
      <c r="I4292" s="370">
        <v>3934.9000244140625</v>
      </c>
      <c r="M4292" s="371">
        <f t="shared" ref="M4292:M4355" si="269">SQRT(H4292^2+I4292^2)</f>
        <v>13295.569215466365</v>
      </c>
      <c r="N4292" s="329">
        <f t="shared" ref="N4292:N4355" si="270">IF(H4292=0,0,(IF(I4292-(0.3*H4292)&lt;0,0,(I4292-(0.3*H4292)))))</f>
        <v>124.91511230468768</v>
      </c>
      <c r="T4292" s="331">
        <v>0</v>
      </c>
      <c r="U4292" s="328">
        <f>VLOOKUP(C4292,METADATA!$J$5:$Q$29,IF(E4292="HI",2,IF(E4292="LO",6,10))+IF(T4292=1,2,IF(D4292=7,1,(IF(WEEKDAY(B4292)=1,2,IF(WEEKDAY(B4292)=7,1,0))))))</f>
        <v>3</v>
      </c>
      <c r="V4292" s="328">
        <f>VLOOKUP(C4292,METADATA!$A$5:$H$29,IF(E4292="HI",2,IF(E4292="LO",6,10))+IF(T4292=1,2,IF(D4292=7,1,(IF(WEEKDAY(B4292)=1,2,IF(WEEKDAY(B4292)=7,1,0))))))</f>
        <v>3</v>
      </c>
    </row>
    <row r="4293" spans="2:22">
      <c r="B4293" s="318">
        <f t="shared" si="267"/>
        <v>46291</v>
      </c>
      <c r="C4293" s="312">
        <v>17</v>
      </c>
      <c r="D4293" s="368">
        <f>IFERROR((INDEX(METADATA!$T$2:$T$20,MATCH(B4293,METADATA!$S$2:$S$20,0))),0)</f>
        <v>0</v>
      </c>
      <c r="E4293" s="312" t="str">
        <f t="shared" si="268"/>
        <v>LO</v>
      </c>
      <c r="F4293" s="369">
        <f>VLOOKUP(C4293,METADATA!$A$5:$H$29,IF(E4293="HI",2,IF(E4293="LO",6,10))+IF(D4293=1,2,IF(D4293=7,1,(IF(WEEKDAY(B4293)=1,2,IF(WEEKDAY(B4293)=7,1,0))))))</f>
        <v>3</v>
      </c>
      <c r="G4293" s="369">
        <f>VLOOKUP(C4293,METADATA!$J$5:$Q$29,IF(E4293="HI",2,IF(E4293="LO",6,10))+IF(D4293=1,2,IF(D4293=7,1,(IF(WEEKDAY(B4293)=1,2,IF(WEEKDAY(B4293)=7,1,0))))))</f>
        <v>3</v>
      </c>
      <c r="H4293" s="370">
        <v>10850.760040283203</v>
      </c>
      <c r="I4293" s="370">
        <v>2741.4974670410156</v>
      </c>
      <c r="M4293" s="371">
        <f t="shared" si="269"/>
        <v>11191.729169953991</v>
      </c>
      <c r="N4293" s="329">
        <f t="shared" si="270"/>
        <v>0</v>
      </c>
      <c r="T4293" s="331">
        <v>0</v>
      </c>
      <c r="U4293" s="328">
        <f>VLOOKUP(C4293,METADATA!$J$5:$Q$29,IF(E4293="HI",2,IF(E4293="LO",6,10))+IF(T4293=1,2,IF(D4293=7,1,(IF(WEEKDAY(B4293)=1,2,IF(WEEKDAY(B4293)=7,1,0))))))</f>
        <v>3</v>
      </c>
      <c r="V4293" s="328">
        <f>VLOOKUP(C4293,METADATA!$A$5:$H$29,IF(E4293="HI",2,IF(E4293="LO",6,10))+IF(T4293=1,2,IF(D4293=7,1,(IF(WEEKDAY(B4293)=1,2,IF(WEEKDAY(B4293)=7,1,0))))))</f>
        <v>3</v>
      </c>
    </row>
    <row r="4294" spans="2:22">
      <c r="B4294" s="318">
        <f t="shared" si="267"/>
        <v>46291</v>
      </c>
      <c r="C4294" s="312">
        <v>18</v>
      </c>
      <c r="D4294" s="368">
        <f>IFERROR((INDEX(METADATA!$T$2:$T$20,MATCH(B4294,METADATA!$S$2:$S$20,0))),0)</f>
        <v>0</v>
      </c>
      <c r="E4294" s="312" t="str">
        <f t="shared" si="268"/>
        <v>LO</v>
      </c>
      <c r="F4294" s="369">
        <f>VLOOKUP(C4294,METADATA!$A$5:$H$29,IF(E4294="HI",2,IF(E4294="LO",6,10))+IF(D4294=1,2,IF(D4294=7,1,(IF(WEEKDAY(B4294)=1,2,IF(WEEKDAY(B4294)=7,1,0))))))</f>
        <v>2</v>
      </c>
      <c r="G4294" s="369">
        <f>VLOOKUP(C4294,METADATA!$J$5:$Q$29,IF(E4294="HI",2,IF(E4294="LO",6,10))+IF(D4294=1,2,IF(D4294=7,1,(IF(WEEKDAY(B4294)=1,2,IF(WEEKDAY(B4294)=7,1,0))))))</f>
        <v>2</v>
      </c>
      <c r="H4294" s="370">
        <v>11601.937713623047</v>
      </c>
      <c r="I4294" s="370">
        <v>3135.8474731445313</v>
      </c>
      <c r="M4294" s="371">
        <f t="shared" si="269"/>
        <v>12018.256865519879</v>
      </c>
      <c r="N4294" s="329">
        <f t="shared" si="270"/>
        <v>0</v>
      </c>
      <c r="T4294" s="331">
        <v>0</v>
      </c>
      <c r="U4294" s="328">
        <f>VLOOKUP(C4294,METADATA!$J$5:$Q$29,IF(E4294="HI",2,IF(E4294="LO",6,10))+IF(T4294=1,2,IF(D4294=7,1,(IF(WEEKDAY(B4294)=1,2,IF(WEEKDAY(B4294)=7,1,0))))))</f>
        <v>2</v>
      </c>
      <c r="V4294" s="328">
        <f>VLOOKUP(C4294,METADATA!$A$5:$H$29,IF(E4294="HI",2,IF(E4294="LO",6,10))+IF(T4294=1,2,IF(D4294=7,1,(IF(WEEKDAY(B4294)=1,2,IF(WEEKDAY(B4294)=7,1,0))))))</f>
        <v>2</v>
      </c>
    </row>
    <row r="4295" spans="2:22">
      <c r="B4295" s="318">
        <f t="shared" si="267"/>
        <v>46291</v>
      </c>
      <c r="C4295" s="312">
        <v>19</v>
      </c>
      <c r="D4295" s="368">
        <f>IFERROR((INDEX(METADATA!$T$2:$T$20,MATCH(B4295,METADATA!$S$2:$S$20,0))),0)</f>
        <v>0</v>
      </c>
      <c r="E4295" s="312" t="str">
        <f t="shared" si="268"/>
        <v>LO</v>
      </c>
      <c r="F4295" s="369">
        <f>VLOOKUP(C4295,METADATA!$A$5:$H$29,IF(E4295="HI",2,IF(E4295="LO",6,10))+IF(D4295=1,2,IF(D4295=7,1,(IF(WEEKDAY(B4295)=1,2,IF(WEEKDAY(B4295)=7,1,0))))))</f>
        <v>2</v>
      </c>
      <c r="G4295" s="369">
        <f>VLOOKUP(C4295,METADATA!$J$5:$Q$29,IF(E4295="HI",2,IF(E4295="LO",6,10))+IF(D4295=1,2,IF(D4295=7,1,(IF(WEEKDAY(B4295)=1,2,IF(WEEKDAY(B4295)=7,1,0))))))</f>
        <v>2</v>
      </c>
      <c r="H4295" s="370">
        <v>12580.399719238281</v>
      </c>
      <c r="I4295" s="370">
        <v>3696.0549621582031</v>
      </c>
      <c r="M4295" s="371">
        <f t="shared" si="269"/>
        <v>13112.104307818212</v>
      </c>
      <c r="N4295" s="329">
        <f t="shared" si="270"/>
        <v>0</v>
      </c>
      <c r="T4295" s="331">
        <v>0</v>
      </c>
      <c r="U4295" s="328">
        <f>VLOOKUP(C4295,METADATA!$J$5:$Q$29,IF(E4295="HI",2,IF(E4295="LO",6,10))+IF(T4295=1,2,IF(D4295=7,1,(IF(WEEKDAY(B4295)=1,2,IF(WEEKDAY(B4295)=7,1,0))))))</f>
        <v>2</v>
      </c>
      <c r="V4295" s="328">
        <f>VLOOKUP(C4295,METADATA!$A$5:$H$29,IF(E4295="HI",2,IF(E4295="LO",6,10))+IF(T4295=1,2,IF(D4295=7,1,(IF(WEEKDAY(B4295)=1,2,IF(WEEKDAY(B4295)=7,1,0))))))</f>
        <v>2</v>
      </c>
    </row>
    <row r="4296" spans="2:22">
      <c r="B4296" s="318">
        <f t="shared" si="267"/>
        <v>46291</v>
      </c>
      <c r="C4296" s="312">
        <v>20</v>
      </c>
      <c r="D4296" s="368">
        <f>IFERROR((INDEX(METADATA!$T$2:$T$20,MATCH(B4296,METADATA!$S$2:$S$20,0))),0)</f>
        <v>0</v>
      </c>
      <c r="E4296" s="312" t="str">
        <f t="shared" si="268"/>
        <v>LO</v>
      </c>
      <c r="F4296" s="369">
        <f>VLOOKUP(C4296,METADATA!$A$5:$H$29,IF(E4296="HI",2,IF(E4296="LO",6,10))+IF(D4296=1,2,IF(D4296=7,1,(IF(WEEKDAY(B4296)=1,2,IF(WEEKDAY(B4296)=7,1,0))))))</f>
        <v>3</v>
      </c>
      <c r="G4296" s="369">
        <f>VLOOKUP(C4296,METADATA!$J$5:$Q$29,IF(E4296="HI",2,IF(E4296="LO",6,10))+IF(D4296=1,2,IF(D4296=7,1,(IF(WEEKDAY(B4296)=1,2,IF(WEEKDAY(B4296)=7,1,0))))))</f>
        <v>3</v>
      </c>
      <c r="H4296" s="370">
        <v>12365.449951171875</v>
      </c>
      <c r="I4296" s="370">
        <v>3678.4551086425781</v>
      </c>
      <c r="M4296" s="371">
        <f t="shared" si="269"/>
        <v>12900.983857103116</v>
      </c>
      <c r="N4296" s="329">
        <f t="shared" si="270"/>
        <v>0</v>
      </c>
      <c r="T4296" s="331">
        <v>0</v>
      </c>
      <c r="U4296" s="328">
        <f>VLOOKUP(C4296,METADATA!$J$5:$Q$29,IF(E4296="HI",2,IF(E4296="LO",6,10))+IF(T4296=1,2,IF(D4296=7,1,(IF(WEEKDAY(B4296)=1,2,IF(WEEKDAY(B4296)=7,1,0))))))</f>
        <v>3</v>
      </c>
      <c r="V4296" s="328">
        <f>VLOOKUP(C4296,METADATA!$A$5:$H$29,IF(E4296="HI",2,IF(E4296="LO",6,10))+IF(T4296=1,2,IF(D4296=7,1,(IF(WEEKDAY(B4296)=1,2,IF(WEEKDAY(B4296)=7,1,0))))))</f>
        <v>3</v>
      </c>
    </row>
    <row r="4297" spans="2:22">
      <c r="B4297" s="318">
        <f t="shared" si="267"/>
        <v>46291</v>
      </c>
      <c r="C4297" s="312">
        <v>21</v>
      </c>
      <c r="D4297" s="368">
        <f>IFERROR((INDEX(METADATA!$T$2:$T$20,MATCH(B4297,METADATA!$S$2:$S$20,0))),0)</f>
        <v>0</v>
      </c>
      <c r="E4297" s="312" t="str">
        <f t="shared" si="268"/>
        <v>LO</v>
      </c>
      <c r="F4297" s="369">
        <f>VLOOKUP(C4297,METADATA!$A$5:$H$29,IF(E4297="HI",2,IF(E4297="LO",6,10))+IF(D4297=1,2,IF(D4297=7,1,(IF(WEEKDAY(B4297)=1,2,IF(WEEKDAY(B4297)=7,1,0))))))</f>
        <v>3</v>
      </c>
      <c r="G4297" s="369">
        <f>VLOOKUP(C4297,METADATA!$J$5:$Q$29,IF(E4297="HI",2,IF(E4297="LO",6,10))+IF(D4297=1,2,IF(D4297=7,1,(IF(WEEKDAY(B4297)=1,2,IF(WEEKDAY(B4297)=7,1,0))))))</f>
        <v>3</v>
      </c>
      <c r="H4297" s="370">
        <v>12282.775268554688</v>
      </c>
      <c r="I4297" s="370">
        <v>3698.1000061035156</v>
      </c>
      <c r="M4297" s="371">
        <f t="shared" si="269"/>
        <v>12827.412519793752</v>
      </c>
      <c r="N4297" s="329">
        <f t="shared" si="270"/>
        <v>13.267425537109375</v>
      </c>
      <c r="T4297" s="331">
        <v>0</v>
      </c>
      <c r="U4297" s="328">
        <f>VLOOKUP(C4297,METADATA!$J$5:$Q$29,IF(E4297="HI",2,IF(E4297="LO",6,10))+IF(T4297=1,2,IF(D4297=7,1,(IF(WEEKDAY(B4297)=1,2,IF(WEEKDAY(B4297)=7,1,0))))))</f>
        <v>3</v>
      </c>
      <c r="V4297" s="328">
        <f>VLOOKUP(C4297,METADATA!$A$5:$H$29,IF(E4297="HI",2,IF(E4297="LO",6,10))+IF(T4297=1,2,IF(D4297=7,1,(IF(WEEKDAY(B4297)=1,2,IF(WEEKDAY(B4297)=7,1,0))))))</f>
        <v>3</v>
      </c>
    </row>
    <row r="4298" spans="2:22">
      <c r="B4298" s="318">
        <f t="shared" si="267"/>
        <v>46291</v>
      </c>
      <c r="C4298" s="312">
        <v>22</v>
      </c>
      <c r="D4298" s="368">
        <f>IFERROR((INDEX(METADATA!$T$2:$T$20,MATCH(B4298,METADATA!$S$2:$S$20,0))),0)</f>
        <v>0</v>
      </c>
      <c r="E4298" s="312" t="str">
        <f t="shared" si="268"/>
        <v>LO</v>
      </c>
      <c r="F4298" s="369">
        <f>VLOOKUP(C4298,METADATA!$A$5:$H$29,IF(E4298="HI",2,IF(E4298="LO",6,10))+IF(D4298=1,2,IF(D4298=7,1,(IF(WEEKDAY(B4298)=1,2,IF(WEEKDAY(B4298)=7,1,0))))))</f>
        <v>3</v>
      </c>
      <c r="G4298" s="369">
        <f>VLOOKUP(C4298,METADATA!$J$5:$Q$29,IF(E4298="HI",2,IF(E4298="LO",6,10))+IF(D4298=1,2,IF(D4298=7,1,(IF(WEEKDAY(B4298)=1,2,IF(WEEKDAY(B4298)=7,1,0))))))</f>
        <v>3</v>
      </c>
      <c r="H4298" s="370">
        <v>9764.6997680664063</v>
      </c>
      <c r="I4298" s="370">
        <v>2686.4624900817871</v>
      </c>
      <c r="M4298" s="371">
        <f t="shared" si="269"/>
        <v>10127.509183954984</v>
      </c>
      <c r="N4298" s="329">
        <f t="shared" si="270"/>
        <v>0</v>
      </c>
      <c r="T4298" s="331">
        <v>0</v>
      </c>
      <c r="U4298" s="328">
        <f>VLOOKUP(C4298,METADATA!$J$5:$Q$29,IF(E4298="HI",2,IF(E4298="LO",6,10))+IF(T4298=1,2,IF(D4298=7,1,(IF(WEEKDAY(B4298)=1,2,IF(WEEKDAY(B4298)=7,1,0))))))</f>
        <v>3</v>
      </c>
      <c r="V4298" s="328">
        <f>VLOOKUP(C4298,METADATA!$A$5:$H$29,IF(E4298="HI",2,IF(E4298="LO",6,10))+IF(T4298=1,2,IF(D4298=7,1,(IF(WEEKDAY(B4298)=1,2,IF(WEEKDAY(B4298)=7,1,0))))))</f>
        <v>3</v>
      </c>
    </row>
    <row r="4299" spans="2:22">
      <c r="B4299" s="318">
        <f t="shared" si="267"/>
        <v>46291</v>
      </c>
      <c r="C4299" s="312">
        <v>23</v>
      </c>
      <c r="D4299" s="368">
        <f>IFERROR((INDEX(METADATA!$T$2:$T$20,MATCH(B4299,METADATA!$S$2:$S$20,0))),0)</f>
        <v>0</v>
      </c>
      <c r="E4299" s="312" t="str">
        <f t="shared" si="268"/>
        <v>LO</v>
      </c>
      <c r="F4299" s="369">
        <f>VLOOKUP(C4299,METADATA!$A$5:$H$29,IF(E4299="HI",2,IF(E4299="LO",6,10))+IF(D4299=1,2,IF(D4299=7,1,(IF(WEEKDAY(B4299)=1,2,IF(WEEKDAY(B4299)=7,1,0))))))</f>
        <v>3</v>
      </c>
      <c r="G4299" s="369">
        <f>VLOOKUP(C4299,METADATA!$J$5:$Q$29,IF(E4299="HI",2,IF(E4299="LO",6,10))+IF(D4299=1,2,IF(D4299=7,1,(IF(WEEKDAY(B4299)=1,2,IF(WEEKDAY(B4299)=7,1,0))))))</f>
        <v>3</v>
      </c>
      <c r="H4299" s="370">
        <v>5403.41748046875</v>
      </c>
      <c r="I4299" s="370">
        <v>1236.4550170898438</v>
      </c>
      <c r="M4299" s="371">
        <f t="shared" si="269"/>
        <v>5543.0805043334794</v>
      </c>
      <c r="N4299" s="329">
        <f t="shared" si="270"/>
        <v>0</v>
      </c>
      <c r="T4299" s="331">
        <v>0</v>
      </c>
      <c r="U4299" s="328">
        <f>VLOOKUP(C4299,METADATA!$J$5:$Q$29,IF(E4299="HI",2,IF(E4299="LO",6,10))+IF(T4299=1,2,IF(D4299=7,1,(IF(WEEKDAY(B4299)=1,2,IF(WEEKDAY(B4299)=7,1,0))))))</f>
        <v>3</v>
      </c>
      <c r="V4299" s="328">
        <f>VLOOKUP(C4299,METADATA!$A$5:$H$29,IF(E4299="HI",2,IF(E4299="LO",6,10))+IF(T4299=1,2,IF(D4299=7,1,(IF(WEEKDAY(B4299)=1,2,IF(WEEKDAY(B4299)=7,1,0))))))</f>
        <v>3</v>
      </c>
    </row>
    <row r="4300" spans="2:22">
      <c r="B4300" s="318">
        <f t="shared" si="267"/>
        <v>46292</v>
      </c>
      <c r="C4300" s="312">
        <v>0</v>
      </c>
      <c r="D4300" s="368">
        <f>IFERROR((INDEX(METADATA!$T$2:$T$20,MATCH(B4300,METADATA!$S$2:$S$20,0))),0)</f>
        <v>0</v>
      </c>
      <c r="E4300" s="312" t="str">
        <f t="shared" si="268"/>
        <v>LO</v>
      </c>
      <c r="F4300" s="369">
        <f>VLOOKUP(C4300,METADATA!$A$5:$H$29,IF(E4300="HI",2,IF(E4300="LO",6,10))+IF(D4300=1,2,IF(D4300=7,1,(IF(WEEKDAY(B4300)=1,2,IF(WEEKDAY(B4300)=7,1,0))))))</f>
        <v>3</v>
      </c>
      <c r="G4300" s="369">
        <f>VLOOKUP(C4300,METADATA!$J$5:$Q$29,IF(E4300="HI",2,IF(E4300="LO",6,10))+IF(D4300=1,2,IF(D4300=7,1,(IF(WEEKDAY(B4300)=1,2,IF(WEEKDAY(B4300)=7,1,0))))))</f>
        <v>3</v>
      </c>
      <c r="H4300" s="370">
        <v>5363.9649353027344</v>
      </c>
      <c r="I4300" s="370">
        <v>1262.0149841308594</v>
      </c>
      <c r="M4300" s="371">
        <f t="shared" si="269"/>
        <v>5510.4266302463438</v>
      </c>
      <c r="N4300" s="329">
        <f t="shared" si="270"/>
        <v>0</v>
      </c>
      <c r="T4300" s="331">
        <v>0</v>
      </c>
      <c r="U4300" s="328">
        <f>VLOOKUP(C4300,METADATA!$J$5:$Q$29,IF(E4300="HI",2,IF(E4300="LO",6,10))+IF(T4300=1,2,IF(D4300=7,1,(IF(WEEKDAY(B4300)=1,2,IF(WEEKDAY(B4300)=7,1,0))))))</f>
        <v>3</v>
      </c>
      <c r="V4300" s="328">
        <f>VLOOKUP(C4300,METADATA!$A$5:$H$29,IF(E4300="HI",2,IF(E4300="LO",6,10))+IF(T4300=1,2,IF(D4300=7,1,(IF(WEEKDAY(B4300)=1,2,IF(WEEKDAY(B4300)=7,1,0))))))</f>
        <v>3</v>
      </c>
    </row>
    <row r="4301" spans="2:22">
      <c r="B4301" s="318">
        <f t="shared" si="267"/>
        <v>46292</v>
      </c>
      <c r="C4301" s="312">
        <v>1</v>
      </c>
      <c r="D4301" s="368">
        <f>IFERROR((INDEX(METADATA!$T$2:$T$20,MATCH(B4301,METADATA!$S$2:$S$20,0))),0)</f>
        <v>0</v>
      </c>
      <c r="E4301" s="312" t="str">
        <f t="shared" si="268"/>
        <v>LO</v>
      </c>
      <c r="F4301" s="369">
        <f>VLOOKUP(C4301,METADATA!$A$5:$H$29,IF(E4301="HI",2,IF(E4301="LO",6,10))+IF(D4301=1,2,IF(D4301=7,1,(IF(WEEKDAY(B4301)=1,2,IF(WEEKDAY(B4301)=7,1,0))))))</f>
        <v>3</v>
      </c>
      <c r="G4301" s="369">
        <f>VLOOKUP(C4301,METADATA!$J$5:$Q$29,IF(E4301="HI",2,IF(E4301="LO",6,10))+IF(D4301=1,2,IF(D4301=7,1,(IF(WEEKDAY(B4301)=1,2,IF(WEEKDAY(B4301)=7,1,0))))))</f>
        <v>3</v>
      </c>
      <c r="H4301" s="370">
        <v>5443.4649353027344</v>
      </c>
      <c r="I4301" s="370">
        <v>1265.6849975585938</v>
      </c>
      <c r="M4301" s="371">
        <f t="shared" si="269"/>
        <v>5588.6732785979984</v>
      </c>
      <c r="N4301" s="329">
        <f t="shared" si="270"/>
        <v>0</v>
      </c>
      <c r="T4301" s="331">
        <v>0</v>
      </c>
      <c r="U4301" s="328">
        <f>VLOOKUP(C4301,METADATA!$J$5:$Q$29,IF(E4301="HI",2,IF(E4301="LO",6,10))+IF(T4301=1,2,IF(D4301=7,1,(IF(WEEKDAY(B4301)=1,2,IF(WEEKDAY(B4301)=7,1,0))))))</f>
        <v>3</v>
      </c>
      <c r="V4301" s="328">
        <f>VLOOKUP(C4301,METADATA!$A$5:$H$29,IF(E4301="HI",2,IF(E4301="LO",6,10))+IF(T4301=1,2,IF(D4301=7,1,(IF(WEEKDAY(B4301)=1,2,IF(WEEKDAY(B4301)=7,1,0))))))</f>
        <v>3</v>
      </c>
    </row>
    <row r="4302" spans="2:22">
      <c r="B4302" s="318">
        <f t="shared" si="267"/>
        <v>46292</v>
      </c>
      <c r="C4302" s="312">
        <v>2</v>
      </c>
      <c r="D4302" s="368">
        <f>IFERROR((INDEX(METADATA!$T$2:$T$20,MATCH(B4302,METADATA!$S$2:$S$20,0))),0)</f>
        <v>0</v>
      </c>
      <c r="E4302" s="312" t="str">
        <f t="shared" si="268"/>
        <v>LO</v>
      </c>
      <c r="F4302" s="369">
        <f>VLOOKUP(C4302,METADATA!$A$5:$H$29,IF(E4302="HI",2,IF(E4302="LO",6,10))+IF(D4302=1,2,IF(D4302=7,1,(IF(WEEKDAY(B4302)=1,2,IF(WEEKDAY(B4302)=7,1,0))))))</f>
        <v>3</v>
      </c>
      <c r="G4302" s="369">
        <f>VLOOKUP(C4302,METADATA!$J$5:$Q$29,IF(E4302="HI",2,IF(E4302="LO",6,10))+IF(D4302=1,2,IF(D4302=7,1,(IF(WEEKDAY(B4302)=1,2,IF(WEEKDAY(B4302)=7,1,0))))))</f>
        <v>3</v>
      </c>
      <c r="H4302" s="370">
        <v>5416.8699951171875</v>
      </c>
      <c r="I4302" s="370">
        <v>1274.7624816894531</v>
      </c>
      <c r="M4302" s="371">
        <f t="shared" si="269"/>
        <v>5564.8450049146859</v>
      </c>
      <c r="N4302" s="329">
        <f t="shared" si="270"/>
        <v>0</v>
      </c>
      <c r="T4302" s="331">
        <v>0</v>
      </c>
      <c r="U4302" s="328">
        <f>VLOOKUP(C4302,METADATA!$J$5:$Q$29,IF(E4302="HI",2,IF(E4302="LO",6,10))+IF(T4302=1,2,IF(D4302=7,1,(IF(WEEKDAY(B4302)=1,2,IF(WEEKDAY(B4302)=7,1,0))))))</f>
        <v>3</v>
      </c>
      <c r="V4302" s="328">
        <f>VLOOKUP(C4302,METADATA!$A$5:$H$29,IF(E4302="HI",2,IF(E4302="LO",6,10))+IF(T4302=1,2,IF(D4302=7,1,(IF(WEEKDAY(B4302)=1,2,IF(WEEKDAY(B4302)=7,1,0))))))</f>
        <v>3</v>
      </c>
    </row>
    <row r="4303" spans="2:22">
      <c r="B4303" s="318">
        <f t="shared" si="267"/>
        <v>46292</v>
      </c>
      <c r="C4303" s="312">
        <v>3</v>
      </c>
      <c r="D4303" s="368">
        <f>IFERROR((INDEX(METADATA!$T$2:$T$20,MATCH(B4303,METADATA!$S$2:$S$20,0))),0)</f>
        <v>0</v>
      </c>
      <c r="E4303" s="312" t="str">
        <f t="shared" si="268"/>
        <v>LO</v>
      </c>
      <c r="F4303" s="369">
        <f>VLOOKUP(C4303,METADATA!$A$5:$H$29,IF(E4303="HI",2,IF(E4303="LO",6,10))+IF(D4303=1,2,IF(D4303=7,1,(IF(WEEKDAY(B4303)=1,2,IF(WEEKDAY(B4303)=7,1,0))))))</f>
        <v>3</v>
      </c>
      <c r="G4303" s="369">
        <f>VLOOKUP(C4303,METADATA!$J$5:$Q$29,IF(E4303="HI",2,IF(E4303="LO",6,10))+IF(D4303=1,2,IF(D4303=7,1,(IF(WEEKDAY(B4303)=1,2,IF(WEEKDAY(B4303)=7,1,0))))))</f>
        <v>3</v>
      </c>
      <c r="H4303" s="370">
        <v>7449.2449951171875</v>
      </c>
      <c r="I4303" s="370">
        <v>1689.6199798583984</v>
      </c>
      <c r="M4303" s="371">
        <f t="shared" si="269"/>
        <v>7638.4597055699105</v>
      </c>
      <c r="N4303" s="329">
        <f t="shared" si="270"/>
        <v>0</v>
      </c>
      <c r="T4303" s="331">
        <v>0</v>
      </c>
      <c r="U4303" s="328">
        <f>VLOOKUP(C4303,METADATA!$J$5:$Q$29,IF(E4303="HI",2,IF(E4303="LO",6,10))+IF(T4303=1,2,IF(D4303=7,1,(IF(WEEKDAY(B4303)=1,2,IF(WEEKDAY(B4303)=7,1,0))))))</f>
        <v>3</v>
      </c>
      <c r="V4303" s="328">
        <f>VLOOKUP(C4303,METADATA!$A$5:$H$29,IF(E4303="HI",2,IF(E4303="LO",6,10))+IF(T4303=1,2,IF(D4303=7,1,(IF(WEEKDAY(B4303)=1,2,IF(WEEKDAY(B4303)=7,1,0))))))</f>
        <v>3</v>
      </c>
    </row>
    <row r="4304" spans="2:22">
      <c r="B4304" s="318">
        <f t="shared" si="267"/>
        <v>46292</v>
      </c>
      <c r="C4304" s="312">
        <v>4</v>
      </c>
      <c r="D4304" s="368">
        <f>IFERROR((INDEX(METADATA!$T$2:$T$20,MATCH(B4304,METADATA!$S$2:$S$20,0))),0)</f>
        <v>0</v>
      </c>
      <c r="E4304" s="312" t="str">
        <f t="shared" si="268"/>
        <v>LO</v>
      </c>
      <c r="F4304" s="369">
        <f>VLOOKUP(C4304,METADATA!$A$5:$H$29,IF(E4304="HI",2,IF(E4304="LO",6,10))+IF(D4304=1,2,IF(D4304=7,1,(IF(WEEKDAY(B4304)=1,2,IF(WEEKDAY(B4304)=7,1,0))))))</f>
        <v>3</v>
      </c>
      <c r="G4304" s="369">
        <f>VLOOKUP(C4304,METADATA!$J$5:$Q$29,IF(E4304="HI",2,IF(E4304="LO",6,10))+IF(D4304=1,2,IF(D4304=7,1,(IF(WEEKDAY(B4304)=1,2,IF(WEEKDAY(B4304)=7,1,0))))))</f>
        <v>3</v>
      </c>
      <c r="H4304" s="370">
        <v>11955.374877929688</v>
      </c>
      <c r="I4304" s="370">
        <v>3424.0525207519531</v>
      </c>
      <c r="M4304" s="371">
        <f t="shared" si="269"/>
        <v>12436.041337045326</v>
      </c>
      <c r="N4304" s="329">
        <f t="shared" si="270"/>
        <v>0</v>
      </c>
      <c r="T4304" s="331">
        <v>0</v>
      </c>
      <c r="U4304" s="328">
        <f>VLOOKUP(C4304,METADATA!$J$5:$Q$29,IF(E4304="HI",2,IF(E4304="LO",6,10))+IF(T4304=1,2,IF(D4304=7,1,(IF(WEEKDAY(B4304)=1,2,IF(WEEKDAY(B4304)=7,1,0))))))</f>
        <v>3</v>
      </c>
      <c r="V4304" s="328">
        <f>VLOOKUP(C4304,METADATA!$A$5:$H$29,IF(E4304="HI",2,IF(E4304="LO",6,10))+IF(T4304=1,2,IF(D4304=7,1,(IF(WEEKDAY(B4304)=1,2,IF(WEEKDAY(B4304)=7,1,0))))))</f>
        <v>3</v>
      </c>
    </row>
    <row r="4305" spans="2:22">
      <c r="B4305" s="318">
        <f t="shared" si="267"/>
        <v>46292</v>
      </c>
      <c r="C4305" s="312">
        <v>5</v>
      </c>
      <c r="D4305" s="368">
        <f>IFERROR((INDEX(METADATA!$T$2:$T$20,MATCH(B4305,METADATA!$S$2:$S$20,0))),0)</f>
        <v>0</v>
      </c>
      <c r="E4305" s="312" t="str">
        <f t="shared" si="268"/>
        <v>LO</v>
      </c>
      <c r="F4305" s="369">
        <f>VLOOKUP(C4305,METADATA!$A$5:$H$29,IF(E4305="HI",2,IF(E4305="LO",6,10))+IF(D4305=1,2,IF(D4305=7,1,(IF(WEEKDAY(B4305)=1,2,IF(WEEKDAY(B4305)=7,1,0))))))</f>
        <v>3</v>
      </c>
      <c r="G4305" s="369">
        <f>VLOOKUP(C4305,METADATA!$J$5:$Q$29,IF(E4305="HI",2,IF(E4305="LO",6,10))+IF(D4305=1,2,IF(D4305=7,1,(IF(WEEKDAY(B4305)=1,2,IF(WEEKDAY(B4305)=7,1,0))))))</f>
        <v>3</v>
      </c>
      <c r="H4305" s="370">
        <v>12769.475219726563</v>
      </c>
      <c r="I4305" s="370">
        <v>3714.5650024414063</v>
      </c>
      <c r="M4305" s="371">
        <f t="shared" si="269"/>
        <v>13298.777783863194</v>
      </c>
      <c r="N4305" s="329">
        <f t="shared" si="270"/>
        <v>0</v>
      </c>
      <c r="T4305" s="331">
        <v>0</v>
      </c>
      <c r="U4305" s="328">
        <f>VLOOKUP(C4305,METADATA!$J$5:$Q$29,IF(E4305="HI",2,IF(E4305="LO",6,10))+IF(T4305=1,2,IF(D4305=7,1,(IF(WEEKDAY(B4305)=1,2,IF(WEEKDAY(B4305)=7,1,0))))))</f>
        <v>3</v>
      </c>
      <c r="V4305" s="328">
        <f>VLOOKUP(C4305,METADATA!$A$5:$H$29,IF(E4305="HI",2,IF(E4305="LO",6,10))+IF(T4305=1,2,IF(D4305=7,1,(IF(WEEKDAY(B4305)=1,2,IF(WEEKDAY(B4305)=7,1,0))))))</f>
        <v>3</v>
      </c>
    </row>
    <row r="4306" spans="2:22">
      <c r="B4306" s="318">
        <f t="shared" si="267"/>
        <v>46292</v>
      </c>
      <c r="C4306" s="312">
        <v>6</v>
      </c>
      <c r="D4306" s="368">
        <f>IFERROR((INDEX(METADATA!$T$2:$T$20,MATCH(B4306,METADATA!$S$2:$S$20,0))),0)</f>
        <v>0</v>
      </c>
      <c r="E4306" s="312" t="str">
        <f t="shared" si="268"/>
        <v>LO</v>
      </c>
      <c r="F4306" s="369">
        <f>VLOOKUP(C4306,METADATA!$A$5:$H$29,IF(E4306="HI",2,IF(E4306="LO",6,10))+IF(D4306=1,2,IF(D4306=7,1,(IF(WEEKDAY(B4306)=1,2,IF(WEEKDAY(B4306)=7,1,0))))))</f>
        <v>3</v>
      </c>
      <c r="G4306" s="369">
        <f>VLOOKUP(C4306,METADATA!$J$5:$Q$29,IF(E4306="HI",2,IF(E4306="LO",6,10))+IF(D4306=1,2,IF(D4306=7,1,(IF(WEEKDAY(B4306)=1,2,IF(WEEKDAY(B4306)=7,1,0))))))</f>
        <v>3</v>
      </c>
      <c r="H4306" s="370">
        <v>12741.700073242188</v>
      </c>
      <c r="I4306" s="370">
        <v>3667.0799865722656</v>
      </c>
      <c r="M4306" s="371">
        <f t="shared" si="269"/>
        <v>13258.898762128731</v>
      </c>
      <c r="N4306" s="329">
        <f t="shared" si="270"/>
        <v>0</v>
      </c>
      <c r="T4306" s="331">
        <v>0</v>
      </c>
      <c r="U4306" s="328">
        <f>VLOOKUP(C4306,METADATA!$J$5:$Q$29,IF(E4306="HI",2,IF(E4306="LO",6,10))+IF(T4306=1,2,IF(D4306=7,1,(IF(WEEKDAY(B4306)=1,2,IF(WEEKDAY(B4306)=7,1,0))))))</f>
        <v>3</v>
      </c>
      <c r="V4306" s="328">
        <f>VLOOKUP(C4306,METADATA!$A$5:$H$29,IF(E4306="HI",2,IF(E4306="LO",6,10))+IF(T4306=1,2,IF(D4306=7,1,(IF(WEEKDAY(B4306)=1,2,IF(WEEKDAY(B4306)=7,1,0))))))</f>
        <v>3</v>
      </c>
    </row>
    <row r="4307" spans="2:22">
      <c r="B4307" s="318">
        <f t="shared" si="267"/>
        <v>46292</v>
      </c>
      <c r="C4307" s="312">
        <v>7</v>
      </c>
      <c r="D4307" s="368">
        <f>IFERROR((INDEX(METADATA!$T$2:$T$20,MATCH(B4307,METADATA!$S$2:$S$20,0))),0)</f>
        <v>0</v>
      </c>
      <c r="E4307" s="312" t="str">
        <f t="shared" si="268"/>
        <v>LO</v>
      </c>
      <c r="F4307" s="369">
        <f>VLOOKUP(C4307,METADATA!$A$5:$H$29,IF(E4307="HI",2,IF(E4307="LO",6,10))+IF(D4307=1,2,IF(D4307=7,1,(IF(WEEKDAY(B4307)=1,2,IF(WEEKDAY(B4307)=7,1,0))))))</f>
        <v>3</v>
      </c>
      <c r="G4307" s="369">
        <f>VLOOKUP(C4307,METADATA!$J$5:$Q$29,IF(E4307="HI",2,IF(E4307="LO",6,10))+IF(D4307=1,2,IF(D4307=7,1,(IF(WEEKDAY(B4307)=1,2,IF(WEEKDAY(B4307)=7,1,0))))))</f>
        <v>3</v>
      </c>
      <c r="H4307" s="370">
        <v>12818.474975585938</v>
      </c>
      <c r="I4307" s="370">
        <v>3780.5799560546875</v>
      </c>
      <c r="M4307" s="371">
        <f t="shared" si="269"/>
        <v>13364.358776381505</v>
      </c>
      <c r="N4307" s="329">
        <f t="shared" si="270"/>
        <v>0</v>
      </c>
      <c r="T4307" s="331">
        <v>0</v>
      </c>
      <c r="U4307" s="328">
        <f>VLOOKUP(C4307,METADATA!$J$5:$Q$29,IF(E4307="HI",2,IF(E4307="LO",6,10))+IF(T4307=1,2,IF(D4307=7,1,(IF(WEEKDAY(B4307)=1,2,IF(WEEKDAY(B4307)=7,1,0))))))</f>
        <v>3</v>
      </c>
      <c r="V4307" s="328">
        <f>VLOOKUP(C4307,METADATA!$A$5:$H$29,IF(E4307="HI",2,IF(E4307="LO",6,10))+IF(T4307=1,2,IF(D4307=7,1,(IF(WEEKDAY(B4307)=1,2,IF(WEEKDAY(B4307)=7,1,0))))))</f>
        <v>3</v>
      </c>
    </row>
    <row r="4308" spans="2:22">
      <c r="B4308" s="318">
        <f t="shared" si="267"/>
        <v>46292</v>
      </c>
      <c r="C4308" s="312">
        <v>8</v>
      </c>
      <c r="D4308" s="368">
        <f>IFERROR((INDEX(METADATA!$T$2:$T$20,MATCH(B4308,METADATA!$S$2:$S$20,0))),0)</f>
        <v>0</v>
      </c>
      <c r="E4308" s="312" t="str">
        <f t="shared" si="268"/>
        <v>LO</v>
      </c>
      <c r="F4308" s="369">
        <f>VLOOKUP(C4308,METADATA!$A$5:$H$29,IF(E4308="HI",2,IF(E4308="LO",6,10))+IF(D4308=1,2,IF(D4308=7,1,(IF(WEEKDAY(B4308)=1,2,IF(WEEKDAY(B4308)=7,1,0))))))</f>
        <v>3</v>
      </c>
      <c r="G4308" s="369">
        <f>VLOOKUP(C4308,METADATA!$J$5:$Q$29,IF(E4308="HI",2,IF(E4308="LO",6,10))+IF(D4308=1,2,IF(D4308=7,1,(IF(WEEKDAY(B4308)=1,2,IF(WEEKDAY(B4308)=7,1,0))))))</f>
        <v>3</v>
      </c>
      <c r="H4308" s="370">
        <v>13054.399841308594</v>
      </c>
      <c r="I4308" s="370">
        <v>4088.4399719238281</v>
      </c>
      <c r="M4308" s="371">
        <f t="shared" si="269"/>
        <v>13679.645339729475</v>
      </c>
      <c r="N4308" s="329">
        <f t="shared" si="270"/>
        <v>172.12001953125036</v>
      </c>
      <c r="T4308" s="331">
        <v>0</v>
      </c>
      <c r="U4308" s="328">
        <f>VLOOKUP(C4308,METADATA!$J$5:$Q$29,IF(E4308="HI",2,IF(E4308="LO",6,10))+IF(T4308=1,2,IF(D4308=7,1,(IF(WEEKDAY(B4308)=1,2,IF(WEEKDAY(B4308)=7,1,0))))))</f>
        <v>3</v>
      </c>
      <c r="V4308" s="328">
        <f>VLOOKUP(C4308,METADATA!$A$5:$H$29,IF(E4308="HI",2,IF(E4308="LO",6,10))+IF(T4308=1,2,IF(D4308=7,1,(IF(WEEKDAY(B4308)=1,2,IF(WEEKDAY(B4308)=7,1,0))))))</f>
        <v>3</v>
      </c>
    </row>
    <row r="4309" spans="2:22">
      <c r="B4309" s="318">
        <f t="shared" si="267"/>
        <v>46292</v>
      </c>
      <c r="C4309" s="312">
        <v>9</v>
      </c>
      <c r="D4309" s="368">
        <f>IFERROR((INDEX(METADATA!$T$2:$T$20,MATCH(B4309,METADATA!$S$2:$S$20,0))),0)</f>
        <v>0</v>
      </c>
      <c r="E4309" s="312" t="str">
        <f t="shared" si="268"/>
        <v>LO</v>
      </c>
      <c r="F4309" s="369">
        <f>VLOOKUP(C4309,METADATA!$A$5:$H$29,IF(E4309="HI",2,IF(E4309="LO",6,10))+IF(D4309=1,2,IF(D4309=7,1,(IF(WEEKDAY(B4309)=1,2,IF(WEEKDAY(B4309)=7,1,0))))))</f>
        <v>3</v>
      </c>
      <c r="G4309" s="369">
        <f>VLOOKUP(C4309,METADATA!$J$5:$Q$29,IF(E4309="HI",2,IF(E4309="LO",6,10))+IF(D4309=1,2,IF(D4309=7,1,(IF(WEEKDAY(B4309)=1,2,IF(WEEKDAY(B4309)=7,1,0))))))</f>
        <v>3</v>
      </c>
      <c r="H4309" s="370">
        <v>12828.925231933594</v>
      </c>
      <c r="I4309" s="370">
        <v>3917.4750366210938</v>
      </c>
      <c r="M4309" s="371">
        <f t="shared" si="269"/>
        <v>13413.721827632025</v>
      </c>
      <c r="N4309" s="329">
        <f t="shared" si="270"/>
        <v>68.797467041015807</v>
      </c>
      <c r="T4309" s="331">
        <v>0</v>
      </c>
      <c r="U4309" s="328">
        <f>VLOOKUP(C4309,METADATA!$J$5:$Q$29,IF(E4309="HI",2,IF(E4309="LO",6,10))+IF(T4309=1,2,IF(D4309=7,1,(IF(WEEKDAY(B4309)=1,2,IF(WEEKDAY(B4309)=7,1,0))))))</f>
        <v>3</v>
      </c>
      <c r="V4309" s="328">
        <f>VLOOKUP(C4309,METADATA!$A$5:$H$29,IF(E4309="HI",2,IF(E4309="LO",6,10))+IF(T4309=1,2,IF(D4309=7,1,(IF(WEEKDAY(B4309)=1,2,IF(WEEKDAY(B4309)=7,1,0))))))</f>
        <v>3</v>
      </c>
    </row>
    <row r="4310" spans="2:22">
      <c r="B4310" s="318">
        <f t="shared" si="267"/>
        <v>46292</v>
      </c>
      <c r="C4310" s="312">
        <v>10</v>
      </c>
      <c r="D4310" s="368">
        <f>IFERROR((INDEX(METADATA!$T$2:$T$20,MATCH(B4310,METADATA!$S$2:$S$20,0))),0)</f>
        <v>0</v>
      </c>
      <c r="E4310" s="312" t="str">
        <f t="shared" si="268"/>
        <v>LO</v>
      </c>
      <c r="F4310" s="369">
        <f>VLOOKUP(C4310,METADATA!$A$5:$H$29,IF(E4310="HI",2,IF(E4310="LO",6,10))+IF(D4310=1,2,IF(D4310=7,1,(IF(WEEKDAY(B4310)=1,2,IF(WEEKDAY(B4310)=7,1,0))))))</f>
        <v>3</v>
      </c>
      <c r="G4310" s="369">
        <f>VLOOKUP(C4310,METADATA!$J$5:$Q$29,IF(E4310="HI",2,IF(E4310="LO",6,10))+IF(D4310=1,2,IF(D4310=7,1,(IF(WEEKDAY(B4310)=1,2,IF(WEEKDAY(B4310)=7,1,0))))))</f>
        <v>3</v>
      </c>
      <c r="H4310" s="370">
        <v>11873.200012207031</v>
      </c>
      <c r="I4310" s="370">
        <v>3346.0999374389648</v>
      </c>
      <c r="M4310" s="371">
        <f t="shared" si="269"/>
        <v>12335.690630086428</v>
      </c>
      <c r="N4310" s="329">
        <f t="shared" si="270"/>
        <v>0</v>
      </c>
      <c r="T4310" s="331">
        <v>0</v>
      </c>
      <c r="U4310" s="328">
        <f>VLOOKUP(C4310,METADATA!$J$5:$Q$29,IF(E4310="HI",2,IF(E4310="LO",6,10))+IF(T4310=1,2,IF(D4310=7,1,(IF(WEEKDAY(B4310)=1,2,IF(WEEKDAY(B4310)=7,1,0))))))</f>
        <v>3</v>
      </c>
      <c r="V4310" s="328">
        <f>VLOOKUP(C4310,METADATA!$A$5:$H$29,IF(E4310="HI",2,IF(E4310="LO",6,10))+IF(T4310=1,2,IF(D4310=7,1,(IF(WEEKDAY(B4310)=1,2,IF(WEEKDAY(B4310)=7,1,0))))))</f>
        <v>3</v>
      </c>
    </row>
    <row r="4311" spans="2:22">
      <c r="B4311" s="318">
        <f t="shared" si="267"/>
        <v>46292</v>
      </c>
      <c r="C4311" s="312">
        <v>11</v>
      </c>
      <c r="D4311" s="368">
        <f>IFERROR((INDEX(METADATA!$T$2:$T$20,MATCH(B4311,METADATA!$S$2:$S$20,0))),0)</f>
        <v>0</v>
      </c>
      <c r="E4311" s="312" t="str">
        <f t="shared" si="268"/>
        <v>LO</v>
      </c>
      <c r="F4311" s="369">
        <f>VLOOKUP(C4311,METADATA!$A$5:$H$29,IF(E4311="HI",2,IF(E4311="LO",6,10))+IF(D4311=1,2,IF(D4311=7,1,(IF(WEEKDAY(B4311)=1,2,IF(WEEKDAY(B4311)=7,1,0))))))</f>
        <v>3</v>
      </c>
      <c r="G4311" s="369">
        <f>VLOOKUP(C4311,METADATA!$J$5:$Q$29,IF(E4311="HI",2,IF(E4311="LO",6,10))+IF(D4311=1,2,IF(D4311=7,1,(IF(WEEKDAY(B4311)=1,2,IF(WEEKDAY(B4311)=7,1,0))))))</f>
        <v>3</v>
      </c>
      <c r="H4311" s="370">
        <v>11985.225036621094</v>
      </c>
      <c r="I4311" s="370">
        <v>3351.8450012207031</v>
      </c>
      <c r="M4311" s="371">
        <f t="shared" si="269"/>
        <v>12445.098797946815</v>
      </c>
      <c r="N4311" s="329">
        <f t="shared" si="270"/>
        <v>0</v>
      </c>
      <c r="T4311" s="331">
        <v>0</v>
      </c>
      <c r="U4311" s="328">
        <f>VLOOKUP(C4311,METADATA!$J$5:$Q$29,IF(E4311="HI",2,IF(E4311="LO",6,10))+IF(T4311=1,2,IF(D4311=7,1,(IF(WEEKDAY(B4311)=1,2,IF(WEEKDAY(B4311)=7,1,0))))))</f>
        <v>3</v>
      </c>
      <c r="V4311" s="328">
        <f>VLOOKUP(C4311,METADATA!$A$5:$H$29,IF(E4311="HI",2,IF(E4311="LO",6,10))+IF(T4311=1,2,IF(D4311=7,1,(IF(WEEKDAY(B4311)=1,2,IF(WEEKDAY(B4311)=7,1,0))))))</f>
        <v>3</v>
      </c>
    </row>
    <row r="4312" spans="2:22">
      <c r="B4312" s="318">
        <f t="shared" si="267"/>
        <v>46292</v>
      </c>
      <c r="C4312" s="312">
        <v>12</v>
      </c>
      <c r="D4312" s="368">
        <f>IFERROR((INDEX(METADATA!$T$2:$T$20,MATCH(B4312,METADATA!$S$2:$S$20,0))),0)</f>
        <v>0</v>
      </c>
      <c r="E4312" s="312" t="str">
        <f t="shared" si="268"/>
        <v>LO</v>
      </c>
      <c r="F4312" s="369">
        <f>VLOOKUP(C4312,METADATA!$A$5:$H$29,IF(E4312="HI",2,IF(E4312="LO",6,10))+IF(D4312=1,2,IF(D4312=7,1,(IF(WEEKDAY(B4312)=1,2,IF(WEEKDAY(B4312)=7,1,0))))))</f>
        <v>3</v>
      </c>
      <c r="G4312" s="369">
        <f>VLOOKUP(C4312,METADATA!$J$5:$Q$29,IF(E4312="HI",2,IF(E4312="LO",6,10))+IF(D4312=1,2,IF(D4312=7,1,(IF(WEEKDAY(B4312)=1,2,IF(WEEKDAY(B4312)=7,1,0))))))</f>
        <v>3</v>
      </c>
      <c r="H4312" s="370">
        <v>12834.750183105469</v>
      </c>
      <c r="I4312" s="370">
        <v>3928.2550048828125</v>
      </c>
      <c r="M4312" s="371">
        <f t="shared" si="269"/>
        <v>13422.443877554964</v>
      </c>
      <c r="N4312" s="329">
        <f t="shared" si="270"/>
        <v>77.829949951172239</v>
      </c>
      <c r="T4312" s="331">
        <v>0</v>
      </c>
      <c r="U4312" s="328">
        <f>VLOOKUP(C4312,METADATA!$J$5:$Q$29,IF(E4312="HI",2,IF(E4312="LO",6,10))+IF(T4312=1,2,IF(D4312=7,1,(IF(WEEKDAY(B4312)=1,2,IF(WEEKDAY(B4312)=7,1,0))))))</f>
        <v>3</v>
      </c>
      <c r="V4312" s="328">
        <f>VLOOKUP(C4312,METADATA!$A$5:$H$29,IF(E4312="HI",2,IF(E4312="LO",6,10))+IF(T4312=1,2,IF(D4312=7,1,(IF(WEEKDAY(B4312)=1,2,IF(WEEKDAY(B4312)=7,1,0))))))</f>
        <v>3</v>
      </c>
    </row>
    <row r="4313" spans="2:22">
      <c r="B4313" s="318">
        <f t="shared" si="267"/>
        <v>46292</v>
      </c>
      <c r="C4313" s="312">
        <v>13</v>
      </c>
      <c r="D4313" s="368">
        <f>IFERROR((INDEX(METADATA!$T$2:$T$20,MATCH(B4313,METADATA!$S$2:$S$20,0))),0)</f>
        <v>0</v>
      </c>
      <c r="E4313" s="312" t="str">
        <f t="shared" si="268"/>
        <v>LO</v>
      </c>
      <c r="F4313" s="369">
        <f>VLOOKUP(C4313,METADATA!$A$5:$H$29,IF(E4313="HI",2,IF(E4313="LO",6,10))+IF(D4313=1,2,IF(D4313=7,1,(IF(WEEKDAY(B4313)=1,2,IF(WEEKDAY(B4313)=7,1,0))))))</f>
        <v>3</v>
      </c>
      <c r="G4313" s="369">
        <f>VLOOKUP(C4313,METADATA!$J$5:$Q$29,IF(E4313="HI",2,IF(E4313="LO",6,10))+IF(D4313=1,2,IF(D4313=7,1,(IF(WEEKDAY(B4313)=1,2,IF(WEEKDAY(B4313)=7,1,0))))))</f>
        <v>3</v>
      </c>
      <c r="H4313" s="370">
        <v>12397.375244140625</v>
      </c>
      <c r="I4313" s="370">
        <v>3566.0600280761719</v>
      </c>
      <c r="M4313" s="371">
        <f t="shared" si="269"/>
        <v>12900.065777656851</v>
      </c>
      <c r="N4313" s="329">
        <f t="shared" si="270"/>
        <v>0</v>
      </c>
      <c r="T4313" s="331">
        <v>0</v>
      </c>
      <c r="U4313" s="328">
        <f>VLOOKUP(C4313,METADATA!$J$5:$Q$29,IF(E4313="HI",2,IF(E4313="LO",6,10))+IF(T4313=1,2,IF(D4313=7,1,(IF(WEEKDAY(B4313)=1,2,IF(WEEKDAY(B4313)=7,1,0))))))</f>
        <v>3</v>
      </c>
      <c r="V4313" s="328">
        <f>VLOOKUP(C4313,METADATA!$A$5:$H$29,IF(E4313="HI",2,IF(E4313="LO",6,10))+IF(T4313=1,2,IF(D4313=7,1,(IF(WEEKDAY(B4313)=1,2,IF(WEEKDAY(B4313)=7,1,0))))))</f>
        <v>3</v>
      </c>
    </row>
    <row r="4314" spans="2:22">
      <c r="B4314" s="318">
        <f t="shared" si="267"/>
        <v>46292</v>
      </c>
      <c r="C4314" s="312">
        <v>14</v>
      </c>
      <c r="D4314" s="368">
        <f>IFERROR((INDEX(METADATA!$T$2:$T$20,MATCH(B4314,METADATA!$S$2:$S$20,0))),0)</f>
        <v>0</v>
      </c>
      <c r="E4314" s="312" t="str">
        <f t="shared" si="268"/>
        <v>LO</v>
      </c>
      <c r="F4314" s="369">
        <f>VLOOKUP(C4314,METADATA!$A$5:$H$29,IF(E4314="HI",2,IF(E4314="LO",6,10))+IF(D4314=1,2,IF(D4314=7,1,(IF(WEEKDAY(B4314)=1,2,IF(WEEKDAY(B4314)=7,1,0))))))</f>
        <v>3</v>
      </c>
      <c r="G4314" s="369">
        <f>VLOOKUP(C4314,METADATA!$J$5:$Q$29,IF(E4314="HI",2,IF(E4314="LO",6,10))+IF(D4314=1,2,IF(D4314=7,1,(IF(WEEKDAY(B4314)=1,2,IF(WEEKDAY(B4314)=7,1,0))))))</f>
        <v>3</v>
      </c>
      <c r="H4314" s="370">
        <v>12316.499938964844</v>
      </c>
      <c r="I4314" s="370">
        <v>3477.2349700927734</v>
      </c>
      <c r="M4314" s="371">
        <f t="shared" si="269"/>
        <v>12797.942560574224</v>
      </c>
      <c r="N4314" s="329">
        <f t="shared" si="270"/>
        <v>0</v>
      </c>
      <c r="T4314" s="331">
        <v>0</v>
      </c>
      <c r="U4314" s="328">
        <f>VLOOKUP(C4314,METADATA!$J$5:$Q$29,IF(E4314="HI",2,IF(E4314="LO",6,10))+IF(T4314=1,2,IF(D4314=7,1,(IF(WEEKDAY(B4314)=1,2,IF(WEEKDAY(B4314)=7,1,0))))))</f>
        <v>3</v>
      </c>
      <c r="V4314" s="328">
        <f>VLOOKUP(C4314,METADATA!$A$5:$H$29,IF(E4314="HI",2,IF(E4314="LO",6,10))+IF(T4314=1,2,IF(D4314=7,1,(IF(WEEKDAY(B4314)=1,2,IF(WEEKDAY(B4314)=7,1,0))))))</f>
        <v>3</v>
      </c>
    </row>
    <row r="4315" spans="2:22">
      <c r="B4315" s="318">
        <f t="shared" si="267"/>
        <v>46292</v>
      </c>
      <c r="C4315" s="312">
        <v>15</v>
      </c>
      <c r="D4315" s="368">
        <f>IFERROR((INDEX(METADATA!$T$2:$T$20,MATCH(B4315,METADATA!$S$2:$S$20,0))),0)</f>
        <v>0</v>
      </c>
      <c r="E4315" s="312" t="str">
        <f t="shared" si="268"/>
        <v>LO</v>
      </c>
      <c r="F4315" s="369">
        <f>VLOOKUP(C4315,METADATA!$A$5:$H$29,IF(E4315="HI",2,IF(E4315="LO",6,10))+IF(D4315=1,2,IF(D4315=7,1,(IF(WEEKDAY(B4315)=1,2,IF(WEEKDAY(B4315)=7,1,0))))))</f>
        <v>3</v>
      </c>
      <c r="G4315" s="369">
        <f>VLOOKUP(C4315,METADATA!$J$5:$Q$29,IF(E4315="HI",2,IF(E4315="LO",6,10))+IF(D4315=1,2,IF(D4315=7,1,(IF(WEEKDAY(B4315)=1,2,IF(WEEKDAY(B4315)=7,1,0))))))</f>
        <v>3</v>
      </c>
      <c r="H4315" s="370">
        <v>13105.475158691406</v>
      </c>
      <c r="I4315" s="370">
        <v>4186.6600036621094</v>
      </c>
      <c r="M4315" s="371">
        <f t="shared" si="269"/>
        <v>13757.965006545901</v>
      </c>
      <c r="N4315" s="329">
        <f t="shared" si="270"/>
        <v>255.0174560546875</v>
      </c>
      <c r="T4315" s="331">
        <v>0</v>
      </c>
      <c r="U4315" s="328">
        <f>VLOOKUP(C4315,METADATA!$J$5:$Q$29,IF(E4315="HI",2,IF(E4315="LO",6,10))+IF(T4315=1,2,IF(D4315=7,1,(IF(WEEKDAY(B4315)=1,2,IF(WEEKDAY(B4315)=7,1,0))))))</f>
        <v>3</v>
      </c>
      <c r="V4315" s="328">
        <f>VLOOKUP(C4315,METADATA!$A$5:$H$29,IF(E4315="HI",2,IF(E4315="LO",6,10))+IF(T4315=1,2,IF(D4315=7,1,(IF(WEEKDAY(B4315)=1,2,IF(WEEKDAY(B4315)=7,1,0))))))</f>
        <v>3</v>
      </c>
    </row>
    <row r="4316" spans="2:22">
      <c r="B4316" s="318">
        <f t="shared" ref="B4316:B4379" si="271">B4292+1</f>
        <v>46292</v>
      </c>
      <c r="C4316" s="312">
        <v>16</v>
      </c>
      <c r="D4316" s="368">
        <f>IFERROR((INDEX(METADATA!$T$2:$T$20,MATCH(B4316,METADATA!$S$2:$S$20,0))),0)</f>
        <v>0</v>
      </c>
      <c r="E4316" s="312" t="str">
        <f t="shared" si="268"/>
        <v>LO</v>
      </c>
      <c r="F4316" s="369">
        <f>VLOOKUP(C4316,METADATA!$A$5:$H$29,IF(E4316="HI",2,IF(E4316="LO",6,10))+IF(D4316=1,2,IF(D4316=7,1,(IF(WEEKDAY(B4316)=1,2,IF(WEEKDAY(B4316)=7,1,0))))))</f>
        <v>3</v>
      </c>
      <c r="G4316" s="369">
        <f>VLOOKUP(C4316,METADATA!$J$5:$Q$29,IF(E4316="HI",2,IF(E4316="LO",6,10))+IF(D4316=1,2,IF(D4316=7,1,(IF(WEEKDAY(B4316)=1,2,IF(WEEKDAY(B4316)=7,1,0))))))</f>
        <v>3</v>
      </c>
      <c r="H4316" s="370">
        <v>12791.574890136719</v>
      </c>
      <c r="I4316" s="370">
        <v>3872.0750732421875</v>
      </c>
      <c r="M4316" s="371">
        <f t="shared" si="269"/>
        <v>13364.780340237534</v>
      </c>
      <c r="N4316" s="329">
        <f t="shared" si="270"/>
        <v>34.602606201171966</v>
      </c>
      <c r="T4316" s="331">
        <v>0</v>
      </c>
      <c r="U4316" s="328">
        <f>VLOOKUP(C4316,METADATA!$J$5:$Q$29,IF(E4316="HI",2,IF(E4316="LO",6,10))+IF(T4316=1,2,IF(D4316=7,1,(IF(WEEKDAY(B4316)=1,2,IF(WEEKDAY(B4316)=7,1,0))))))</f>
        <v>3</v>
      </c>
      <c r="V4316" s="328">
        <f>VLOOKUP(C4316,METADATA!$A$5:$H$29,IF(E4316="HI",2,IF(E4316="LO",6,10))+IF(T4316=1,2,IF(D4316=7,1,(IF(WEEKDAY(B4316)=1,2,IF(WEEKDAY(B4316)=7,1,0))))))</f>
        <v>3</v>
      </c>
    </row>
    <row r="4317" spans="2:22">
      <c r="B4317" s="318">
        <f t="shared" si="271"/>
        <v>46292</v>
      </c>
      <c r="C4317" s="312">
        <v>17</v>
      </c>
      <c r="D4317" s="368">
        <f>IFERROR((INDEX(METADATA!$T$2:$T$20,MATCH(B4317,METADATA!$S$2:$S$20,0))),0)</f>
        <v>0</v>
      </c>
      <c r="E4317" s="312" t="str">
        <f t="shared" si="268"/>
        <v>LO</v>
      </c>
      <c r="F4317" s="369">
        <f>VLOOKUP(C4317,METADATA!$A$5:$H$29,IF(E4317="HI",2,IF(E4317="LO",6,10))+IF(D4317=1,2,IF(D4317=7,1,(IF(WEEKDAY(B4317)=1,2,IF(WEEKDAY(B4317)=7,1,0))))))</f>
        <v>3</v>
      </c>
      <c r="G4317" s="369">
        <f>VLOOKUP(C4317,METADATA!$J$5:$Q$29,IF(E4317="HI",2,IF(E4317="LO",6,10))+IF(D4317=1,2,IF(D4317=7,1,(IF(WEEKDAY(B4317)=1,2,IF(WEEKDAY(B4317)=7,1,0))))))</f>
        <v>3</v>
      </c>
      <c r="H4317" s="370">
        <v>12264.174926757813</v>
      </c>
      <c r="I4317" s="370">
        <v>3477.7551422119141</v>
      </c>
      <c r="M4317" s="371">
        <f t="shared" si="269"/>
        <v>12747.735777905675</v>
      </c>
      <c r="N4317" s="329">
        <f t="shared" si="270"/>
        <v>0</v>
      </c>
      <c r="T4317" s="331">
        <v>0</v>
      </c>
      <c r="U4317" s="328">
        <f>VLOOKUP(C4317,METADATA!$J$5:$Q$29,IF(E4317="HI",2,IF(E4317="LO",6,10))+IF(T4317=1,2,IF(D4317=7,1,(IF(WEEKDAY(B4317)=1,2,IF(WEEKDAY(B4317)=7,1,0))))))</f>
        <v>3</v>
      </c>
      <c r="V4317" s="328">
        <f>VLOOKUP(C4317,METADATA!$A$5:$H$29,IF(E4317="HI",2,IF(E4317="LO",6,10))+IF(T4317=1,2,IF(D4317=7,1,(IF(WEEKDAY(B4317)=1,2,IF(WEEKDAY(B4317)=7,1,0))))))</f>
        <v>3</v>
      </c>
    </row>
    <row r="4318" spans="2:22">
      <c r="B4318" s="318">
        <f t="shared" si="271"/>
        <v>46292</v>
      </c>
      <c r="C4318" s="312">
        <v>18</v>
      </c>
      <c r="D4318" s="368">
        <f>IFERROR((INDEX(METADATA!$T$2:$T$20,MATCH(B4318,METADATA!$S$2:$S$20,0))),0)</f>
        <v>0</v>
      </c>
      <c r="E4318" s="312" t="str">
        <f t="shared" si="268"/>
        <v>LO</v>
      </c>
      <c r="F4318" s="369">
        <f>VLOOKUP(C4318,METADATA!$A$5:$H$29,IF(E4318="HI",2,IF(E4318="LO",6,10))+IF(D4318=1,2,IF(D4318=7,1,(IF(WEEKDAY(B4318)=1,2,IF(WEEKDAY(B4318)=7,1,0))))))</f>
        <v>2</v>
      </c>
      <c r="G4318" s="369">
        <f>VLOOKUP(C4318,METADATA!$J$5:$Q$29,IF(E4318="HI",2,IF(E4318="LO",6,10))+IF(D4318=1,2,IF(D4318=7,1,(IF(WEEKDAY(B4318)=1,2,IF(WEEKDAY(B4318)=7,1,0))))))</f>
        <v>2</v>
      </c>
      <c r="H4318" s="370">
        <v>11917.699829101563</v>
      </c>
      <c r="I4318" s="370">
        <v>3033.3300399780273</v>
      </c>
      <c r="M4318" s="371">
        <f t="shared" si="269"/>
        <v>12297.668898941803</v>
      </c>
      <c r="N4318" s="329">
        <f t="shared" si="270"/>
        <v>0</v>
      </c>
      <c r="T4318" s="331">
        <v>0</v>
      </c>
      <c r="U4318" s="328">
        <f>VLOOKUP(C4318,METADATA!$J$5:$Q$29,IF(E4318="HI",2,IF(E4318="LO",6,10))+IF(T4318=1,2,IF(D4318=7,1,(IF(WEEKDAY(B4318)=1,2,IF(WEEKDAY(B4318)=7,1,0))))))</f>
        <v>2</v>
      </c>
      <c r="V4318" s="328">
        <f>VLOOKUP(C4318,METADATA!$A$5:$H$29,IF(E4318="HI",2,IF(E4318="LO",6,10))+IF(T4318=1,2,IF(D4318=7,1,(IF(WEEKDAY(B4318)=1,2,IF(WEEKDAY(B4318)=7,1,0))))))</f>
        <v>2</v>
      </c>
    </row>
    <row r="4319" spans="2:22">
      <c r="B4319" s="318">
        <f t="shared" si="271"/>
        <v>46292</v>
      </c>
      <c r="C4319" s="312">
        <v>19</v>
      </c>
      <c r="D4319" s="368">
        <f>IFERROR((INDEX(METADATA!$T$2:$T$20,MATCH(B4319,METADATA!$S$2:$S$20,0))),0)</f>
        <v>0</v>
      </c>
      <c r="E4319" s="312" t="str">
        <f t="shared" si="268"/>
        <v>LO</v>
      </c>
      <c r="F4319" s="369">
        <f>VLOOKUP(C4319,METADATA!$A$5:$H$29,IF(E4319="HI",2,IF(E4319="LO",6,10))+IF(D4319=1,2,IF(D4319=7,1,(IF(WEEKDAY(B4319)=1,2,IF(WEEKDAY(B4319)=7,1,0))))))</f>
        <v>2</v>
      </c>
      <c r="G4319" s="369">
        <f>VLOOKUP(C4319,METADATA!$J$5:$Q$29,IF(E4319="HI",2,IF(E4319="LO",6,10))+IF(D4319=1,2,IF(D4319=7,1,(IF(WEEKDAY(B4319)=1,2,IF(WEEKDAY(B4319)=7,1,0))))))</f>
        <v>2</v>
      </c>
      <c r="H4319" s="370">
        <v>12071.825073242188</v>
      </c>
      <c r="I4319" s="370">
        <v>3102.9749984741211</v>
      </c>
      <c r="M4319" s="371">
        <f t="shared" si="269"/>
        <v>12464.245442068051</v>
      </c>
      <c r="N4319" s="329">
        <f t="shared" si="270"/>
        <v>0</v>
      </c>
      <c r="T4319" s="331">
        <v>0</v>
      </c>
      <c r="U4319" s="328">
        <f>VLOOKUP(C4319,METADATA!$J$5:$Q$29,IF(E4319="HI",2,IF(E4319="LO",6,10))+IF(T4319=1,2,IF(D4319=7,1,(IF(WEEKDAY(B4319)=1,2,IF(WEEKDAY(B4319)=7,1,0))))))</f>
        <v>2</v>
      </c>
      <c r="V4319" s="328">
        <f>VLOOKUP(C4319,METADATA!$A$5:$H$29,IF(E4319="HI",2,IF(E4319="LO",6,10))+IF(T4319=1,2,IF(D4319=7,1,(IF(WEEKDAY(B4319)=1,2,IF(WEEKDAY(B4319)=7,1,0))))))</f>
        <v>2</v>
      </c>
    </row>
    <row r="4320" spans="2:22">
      <c r="B4320" s="318">
        <f t="shared" si="271"/>
        <v>46292</v>
      </c>
      <c r="C4320" s="312">
        <v>20</v>
      </c>
      <c r="D4320" s="368">
        <f>IFERROR((INDEX(METADATA!$T$2:$T$20,MATCH(B4320,METADATA!$S$2:$S$20,0))),0)</f>
        <v>0</v>
      </c>
      <c r="E4320" s="312" t="str">
        <f t="shared" si="268"/>
        <v>LO</v>
      </c>
      <c r="F4320" s="369">
        <f>VLOOKUP(C4320,METADATA!$A$5:$H$29,IF(E4320="HI",2,IF(E4320="LO",6,10))+IF(D4320=1,2,IF(D4320=7,1,(IF(WEEKDAY(B4320)=1,2,IF(WEEKDAY(B4320)=7,1,0))))))</f>
        <v>3</v>
      </c>
      <c r="G4320" s="369">
        <f>VLOOKUP(C4320,METADATA!$J$5:$Q$29,IF(E4320="HI",2,IF(E4320="LO",6,10))+IF(D4320=1,2,IF(D4320=7,1,(IF(WEEKDAY(B4320)=1,2,IF(WEEKDAY(B4320)=7,1,0))))))</f>
        <v>3</v>
      </c>
      <c r="H4320" s="370">
        <v>12538.5</v>
      </c>
      <c r="I4320" s="370">
        <v>3511.0899810791016</v>
      </c>
      <c r="M4320" s="371">
        <f t="shared" si="269"/>
        <v>13020.819294700086</v>
      </c>
      <c r="N4320" s="329">
        <f t="shared" si="270"/>
        <v>0</v>
      </c>
      <c r="T4320" s="331">
        <v>0</v>
      </c>
      <c r="U4320" s="328">
        <f>VLOOKUP(C4320,METADATA!$J$5:$Q$29,IF(E4320="HI",2,IF(E4320="LO",6,10))+IF(T4320=1,2,IF(D4320=7,1,(IF(WEEKDAY(B4320)=1,2,IF(WEEKDAY(B4320)=7,1,0))))))</f>
        <v>3</v>
      </c>
      <c r="V4320" s="328">
        <f>VLOOKUP(C4320,METADATA!$A$5:$H$29,IF(E4320="HI",2,IF(E4320="LO",6,10))+IF(T4320=1,2,IF(D4320=7,1,(IF(WEEKDAY(B4320)=1,2,IF(WEEKDAY(B4320)=7,1,0))))))</f>
        <v>3</v>
      </c>
    </row>
    <row r="4321" spans="2:22">
      <c r="B4321" s="318">
        <f t="shared" si="271"/>
        <v>46292</v>
      </c>
      <c r="C4321" s="312">
        <v>21</v>
      </c>
      <c r="D4321" s="368">
        <f>IFERROR((INDEX(METADATA!$T$2:$T$20,MATCH(B4321,METADATA!$S$2:$S$20,0))),0)</f>
        <v>0</v>
      </c>
      <c r="E4321" s="312" t="str">
        <f t="shared" si="268"/>
        <v>LO</v>
      </c>
      <c r="F4321" s="369">
        <f>VLOOKUP(C4321,METADATA!$A$5:$H$29,IF(E4321="HI",2,IF(E4321="LO",6,10))+IF(D4321=1,2,IF(D4321=7,1,(IF(WEEKDAY(B4321)=1,2,IF(WEEKDAY(B4321)=7,1,0))))))</f>
        <v>3</v>
      </c>
      <c r="G4321" s="369">
        <f>VLOOKUP(C4321,METADATA!$J$5:$Q$29,IF(E4321="HI",2,IF(E4321="LO",6,10))+IF(D4321=1,2,IF(D4321=7,1,(IF(WEEKDAY(B4321)=1,2,IF(WEEKDAY(B4321)=7,1,0))))))</f>
        <v>3</v>
      </c>
      <c r="H4321" s="370">
        <v>13064.400329589844</v>
      </c>
      <c r="I4321" s="370">
        <v>3937.3399658203125</v>
      </c>
      <c r="M4321" s="371">
        <f t="shared" si="269"/>
        <v>13644.823266654394</v>
      </c>
      <c r="N4321" s="329">
        <f t="shared" si="270"/>
        <v>18.019866943359375</v>
      </c>
      <c r="T4321" s="331">
        <v>0</v>
      </c>
      <c r="U4321" s="328">
        <f>VLOOKUP(C4321,METADATA!$J$5:$Q$29,IF(E4321="HI",2,IF(E4321="LO",6,10))+IF(T4321=1,2,IF(D4321=7,1,(IF(WEEKDAY(B4321)=1,2,IF(WEEKDAY(B4321)=7,1,0))))))</f>
        <v>3</v>
      </c>
      <c r="V4321" s="328">
        <f>VLOOKUP(C4321,METADATA!$A$5:$H$29,IF(E4321="HI",2,IF(E4321="LO",6,10))+IF(T4321=1,2,IF(D4321=7,1,(IF(WEEKDAY(B4321)=1,2,IF(WEEKDAY(B4321)=7,1,0))))))</f>
        <v>3</v>
      </c>
    </row>
    <row r="4322" spans="2:22">
      <c r="B4322" s="318">
        <f t="shared" si="271"/>
        <v>46292</v>
      </c>
      <c r="C4322" s="312">
        <v>22</v>
      </c>
      <c r="D4322" s="368">
        <f>IFERROR((INDEX(METADATA!$T$2:$T$20,MATCH(B4322,METADATA!$S$2:$S$20,0))),0)</f>
        <v>0</v>
      </c>
      <c r="E4322" s="312" t="str">
        <f t="shared" si="268"/>
        <v>LO</v>
      </c>
      <c r="F4322" s="369">
        <f>VLOOKUP(C4322,METADATA!$A$5:$H$29,IF(E4322="HI",2,IF(E4322="LO",6,10))+IF(D4322=1,2,IF(D4322=7,1,(IF(WEEKDAY(B4322)=1,2,IF(WEEKDAY(B4322)=7,1,0))))))</f>
        <v>3</v>
      </c>
      <c r="G4322" s="369">
        <f>VLOOKUP(C4322,METADATA!$J$5:$Q$29,IF(E4322="HI",2,IF(E4322="LO",6,10))+IF(D4322=1,2,IF(D4322=7,1,(IF(WEEKDAY(B4322)=1,2,IF(WEEKDAY(B4322)=7,1,0))))))</f>
        <v>3</v>
      </c>
      <c r="H4322" s="370">
        <v>13138.399841308594</v>
      </c>
      <c r="I4322" s="370">
        <v>4084.9100341796875</v>
      </c>
      <c r="M4322" s="371">
        <f t="shared" si="269"/>
        <v>13758.780482929422</v>
      </c>
      <c r="N4322" s="329">
        <f t="shared" si="270"/>
        <v>143.39008178710947</v>
      </c>
      <c r="T4322" s="331">
        <v>0</v>
      </c>
      <c r="U4322" s="328">
        <f>VLOOKUP(C4322,METADATA!$J$5:$Q$29,IF(E4322="HI",2,IF(E4322="LO",6,10))+IF(T4322=1,2,IF(D4322=7,1,(IF(WEEKDAY(B4322)=1,2,IF(WEEKDAY(B4322)=7,1,0))))))</f>
        <v>3</v>
      </c>
      <c r="V4322" s="328">
        <f>VLOOKUP(C4322,METADATA!$A$5:$H$29,IF(E4322="HI",2,IF(E4322="LO",6,10))+IF(T4322=1,2,IF(D4322=7,1,(IF(WEEKDAY(B4322)=1,2,IF(WEEKDAY(B4322)=7,1,0))))))</f>
        <v>3</v>
      </c>
    </row>
    <row r="4323" spans="2:22">
      <c r="B4323" s="318">
        <f t="shared" si="271"/>
        <v>46292</v>
      </c>
      <c r="C4323" s="312">
        <v>23</v>
      </c>
      <c r="D4323" s="368">
        <f>IFERROR((INDEX(METADATA!$T$2:$T$20,MATCH(B4323,METADATA!$S$2:$S$20,0))),0)</f>
        <v>0</v>
      </c>
      <c r="E4323" s="312" t="str">
        <f t="shared" si="268"/>
        <v>LO</v>
      </c>
      <c r="F4323" s="369">
        <f>VLOOKUP(C4323,METADATA!$A$5:$H$29,IF(E4323="HI",2,IF(E4323="LO",6,10))+IF(D4323=1,2,IF(D4323=7,1,(IF(WEEKDAY(B4323)=1,2,IF(WEEKDAY(B4323)=7,1,0))))))</f>
        <v>3</v>
      </c>
      <c r="G4323" s="369">
        <f>VLOOKUP(C4323,METADATA!$J$5:$Q$29,IF(E4323="HI",2,IF(E4323="LO",6,10))+IF(D4323=1,2,IF(D4323=7,1,(IF(WEEKDAY(B4323)=1,2,IF(WEEKDAY(B4323)=7,1,0))))))</f>
        <v>3</v>
      </c>
      <c r="H4323" s="370">
        <v>12979.5</v>
      </c>
      <c r="I4323" s="370">
        <v>4096.0700378417969</v>
      </c>
      <c r="M4323" s="371">
        <f t="shared" si="269"/>
        <v>13610.481622812078</v>
      </c>
      <c r="N4323" s="329">
        <f t="shared" si="270"/>
        <v>202.22003784179697</v>
      </c>
      <c r="T4323" s="331">
        <v>0</v>
      </c>
      <c r="U4323" s="328">
        <f>VLOOKUP(C4323,METADATA!$J$5:$Q$29,IF(E4323="HI",2,IF(E4323="LO",6,10))+IF(T4323=1,2,IF(D4323=7,1,(IF(WEEKDAY(B4323)=1,2,IF(WEEKDAY(B4323)=7,1,0))))))</f>
        <v>3</v>
      </c>
      <c r="V4323" s="328">
        <f>VLOOKUP(C4323,METADATA!$A$5:$H$29,IF(E4323="HI",2,IF(E4323="LO",6,10))+IF(T4323=1,2,IF(D4323=7,1,(IF(WEEKDAY(B4323)=1,2,IF(WEEKDAY(B4323)=7,1,0))))))</f>
        <v>3</v>
      </c>
    </row>
    <row r="4324" spans="2:22">
      <c r="B4324" s="318">
        <f t="shared" si="271"/>
        <v>46293</v>
      </c>
      <c r="C4324" s="312">
        <v>0</v>
      </c>
      <c r="D4324" s="368">
        <f>IFERROR((INDEX(METADATA!$T$2:$T$20,MATCH(B4324,METADATA!$S$2:$S$20,0))),0)</f>
        <v>0</v>
      </c>
      <c r="E4324" s="312" t="str">
        <f t="shared" si="268"/>
        <v>LO</v>
      </c>
      <c r="F4324" s="369">
        <f>VLOOKUP(C4324,METADATA!$A$5:$H$29,IF(E4324="HI",2,IF(E4324="LO",6,10))+IF(D4324=1,2,IF(D4324=7,1,(IF(WEEKDAY(B4324)=1,2,IF(WEEKDAY(B4324)=7,1,0))))))</f>
        <v>3</v>
      </c>
      <c r="G4324" s="369">
        <f>VLOOKUP(C4324,METADATA!$J$5:$Q$29,IF(E4324="HI",2,IF(E4324="LO",6,10))+IF(D4324=1,2,IF(D4324=7,1,(IF(WEEKDAY(B4324)=1,2,IF(WEEKDAY(B4324)=7,1,0))))))</f>
        <v>3</v>
      </c>
      <c r="H4324" s="370">
        <v>12608.575073242188</v>
      </c>
      <c r="I4324" s="370">
        <v>3939.7350158691406</v>
      </c>
      <c r="M4324" s="371">
        <f t="shared" si="269"/>
        <v>13209.756900596227</v>
      </c>
      <c r="N4324" s="329">
        <f t="shared" si="270"/>
        <v>157.16249389648465</v>
      </c>
      <c r="T4324" s="331">
        <v>0</v>
      </c>
      <c r="U4324" s="328">
        <f>VLOOKUP(C4324,METADATA!$J$5:$Q$29,IF(E4324="HI",2,IF(E4324="LO",6,10))+IF(T4324=1,2,IF(D4324=7,1,(IF(WEEKDAY(B4324)=1,2,IF(WEEKDAY(B4324)=7,1,0))))))</f>
        <v>3</v>
      </c>
      <c r="V4324" s="328">
        <f>VLOOKUP(C4324,METADATA!$A$5:$H$29,IF(E4324="HI",2,IF(E4324="LO",6,10))+IF(T4324=1,2,IF(D4324=7,1,(IF(WEEKDAY(B4324)=1,2,IF(WEEKDAY(B4324)=7,1,0))))))</f>
        <v>3</v>
      </c>
    </row>
    <row r="4325" spans="2:22">
      <c r="B4325" s="318">
        <f t="shared" si="271"/>
        <v>46293</v>
      </c>
      <c r="C4325" s="312">
        <v>1</v>
      </c>
      <c r="D4325" s="368">
        <f>IFERROR((INDEX(METADATA!$T$2:$T$20,MATCH(B4325,METADATA!$S$2:$S$20,0))),0)</f>
        <v>0</v>
      </c>
      <c r="E4325" s="312" t="str">
        <f t="shared" si="268"/>
        <v>LO</v>
      </c>
      <c r="F4325" s="369">
        <f>VLOOKUP(C4325,METADATA!$A$5:$H$29,IF(E4325="HI",2,IF(E4325="LO",6,10))+IF(D4325=1,2,IF(D4325=7,1,(IF(WEEKDAY(B4325)=1,2,IF(WEEKDAY(B4325)=7,1,0))))))</f>
        <v>3</v>
      </c>
      <c r="G4325" s="369">
        <f>VLOOKUP(C4325,METADATA!$J$5:$Q$29,IF(E4325="HI",2,IF(E4325="LO",6,10))+IF(D4325=1,2,IF(D4325=7,1,(IF(WEEKDAY(B4325)=1,2,IF(WEEKDAY(B4325)=7,1,0))))))</f>
        <v>3</v>
      </c>
      <c r="H4325" s="370">
        <v>11693.022521972656</v>
      </c>
      <c r="I4325" s="370">
        <v>3366.0750427246094</v>
      </c>
      <c r="M4325" s="371">
        <f t="shared" si="269"/>
        <v>12167.877254994532</v>
      </c>
      <c r="N4325" s="329">
        <f t="shared" si="270"/>
        <v>0</v>
      </c>
      <c r="T4325" s="331">
        <v>0</v>
      </c>
      <c r="U4325" s="328">
        <f>VLOOKUP(C4325,METADATA!$J$5:$Q$29,IF(E4325="HI",2,IF(E4325="LO",6,10))+IF(T4325=1,2,IF(D4325=7,1,(IF(WEEKDAY(B4325)=1,2,IF(WEEKDAY(B4325)=7,1,0))))))</f>
        <v>3</v>
      </c>
      <c r="V4325" s="328">
        <f>VLOOKUP(C4325,METADATA!$A$5:$H$29,IF(E4325="HI",2,IF(E4325="LO",6,10))+IF(T4325=1,2,IF(D4325=7,1,(IF(WEEKDAY(B4325)=1,2,IF(WEEKDAY(B4325)=7,1,0))))))</f>
        <v>3</v>
      </c>
    </row>
    <row r="4326" spans="2:22">
      <c r="B4326" s="318">
        <f t="shared" si="271"/>
        <v>46293</v>
      </c>
      <c r="C4326" s="312">
        <v>2</v>
      </c>
      <c r="D4326" s="368">
        <f>IFERROR((INDEX(METADATA!$T$2:$T$20,MATCH(B4326,METADATA!$S$2:$S$20,0))),0)</f>
        <v>0</v>
      </c>
      <c r="E4326" s="312" t="str">
        <f t="shared" si="268"/>
        <v>LO</v>
      </c>
      <c r="F4326" s="369">
        <f>VLOOKUP(C4326,METADATA!$A$5:$H$29,IF(E4326="HI",2,IF(E4326="LO",6,10))+IF(D4326=1,2,IF(D4326=7,1,(IF(WEEKDAY(B4326)=1,2,IF(WEEKDAY(B4326)=7,1,0))))))</f>
        <v>3</v>
      </c>
      <c r="G4326" s="369">
        <f>VLOOKUP(C4326,METADATA!$J$5:$Q$29,IF(E4326="HI",2,IF(E4326="LO",6,10))+IF(D4326=1,2,IF(D4326=7,1,(IF(WEEKDAY(B4326)=1,2,IF(WEEKDAY(B4326)=7,1,0))))))</f>
        <v>3</v>
      </c>
      <c r="H4326" s="370">
        <v>11236.925231933594</v>
      </c>
      <c r="I4326" s="370">
        <v>2977.4899291992188</v>
      </c>
      <c r="M4326" s="371">
        <f t="shared" si="269"/>
        <v>11624.712252204294</v>
      </c>
      <c r="N4326" s="329">
        <f t="shared" si="270"/>
        <v>0</v>
      </c>
      <c r="T4326" s="331">
        <v>0</v>
      </c>
      <c r="U4326" s="328">
        <f>VLOOKUP(C4326,METADATA!$J$5:$Q$29,IF(E4326="HI",2,IF(E4326="LO",6,10))+IF(T4326=1,2,IF(D4326=7,1,(IF(WEEKDAY(B4326)=1,2,IF(WEEKDAY(B4326)=7,1,0))))))</f>
        <v>3</v>
      </c>
      <c r="V4326" s="328">
        <f>VLOOKUP(C4326,METADATA!$A$5:$H$29,IF(E4326="HI",2,IF(E4326="LO",6,10))+IF(T4326=1,2,IF(D4326=7,1,(IF(WEEKDAY(B4326)=1,2,IF(WEEKDAY(B4326)=7,1,0))))))</f>
        <v>3</v>
      </c>
    </row>
    <row r="4327" spans="2:22">
      <c r="B4327" s="318">
        <f t="shared" si="271"/>
        <v>46293</v>
      </c>
      <c r="C4327" s="312">
        <v>3</v>
      </c>
      <c r="D4327" s="368">
        <f>IFERROR((INDEX(METADATA!$T$2:$T$20,MATCH(B4327,METADATA!$S$2:$S$20,0))),0)</f>
        <v>0</v>
      </c>
      <c r="E4327" s="312" t="str">
        <f t="shared" si="268"/>
        <v>LO</v>
      </c>
      <c r="F4327" s="369">
        <f>VLOOKUP(C4327,METADATA!$A$5:$H$29,IF(E4327="HI",2,IF(E4327="LO",6,10))+IF(D4327=1,2,IF(D4327=7,1,(IF(WEEKDAY(B4327)=1,2,IF(WEEKDAY(B4327)=7,1,0))))))</f>
        <v>3</v>
      </c>
      <c r="G4327" s="369">
        <f>VLOOKUP(C4327,METADATA!$J$5:$Q$29,IF(E4327="HI",2,IF(E4327="LO",6,10))+IF(D4327=1,2,IF(D4327=7,1,(IF(WEEKDAY(B4327)=1,2,IF(WEEKDAY(B4327)=7,1,0))))))</f>
        <v>3</v>
      </c>
      <c r="H4327" s="370">
        <v>11659.350158691406</v>
      </c>
      <c r="I4327" s="370">
        <v>3319.3549499511719</v>
      </c>
      <c r="M4327" s="371">
        <f t="shared" si="269"/>
        <v>12122.646716239102</v>
      </c>
      <c r="N4327" s="329">
        <f t="shared" si="270"/>
        <v>0</v>
      </c>
      <c r="T4327" s="331">
        <v>0</v>
      </c>
      <c r="U4327" s="328">
        <f>VLOOKUP(C4327,METADATA!$J$5:$Q$29,IF(E4327="HI",2,IF(E4327="LO",6,10))+IF(T4327=1,2,IF(D4327=7,1,(IF(WEEKDAY(B4327)=1,2,IF(WEEKDAY(B4327)=7,1,0))))))</f>
        <v>3</v>
      </c>
      <c r="V4327" s="328">
        <f>VLOOKUP(C4327,METADATA!$A$5:$H$29,IF(E4327="HI",2,IF(E4327="LO",6,10))+IF(T4327=1,2,IF(D4327=7,1,(IF(WEEKDAY(B4327)=1,2,IF(WEEKDAY(B4327)=7,1,0))))))</f>
        <v>3</v>
      </c>
    </row>
    <row r="4328" spans="2:22">
      <c r="B4328" s="318">
        <f t="shared" si="271"/>
        <v>46293</v>
      </c>
      <c r="C4328" s="312">
        <v>4</v>
      </c>
      <c r="D4328" s="368">
        <f>IFERROR((INDEX(METADATA!$T$2:$T$20,MATCH(B4328,METADATA!$S$2:$S$20,0))),0)</f>
        <v>0</v>
      </c>
      <c r="E4328" s="312" t="str">
        <f t="shared" si="268"/>
        <v>LO</v>
      </c>
      <c r="F4328" s="369">
        <f>VLOOKUP(C4328,METADATA!$A$5:$H$29,IF(E4328="HI",2,IF(E4328="LO",6,10))+IF(D4328=1,2,IF(D4328=7,1,(IF(WEEKDAY(B4328)=1,2,IF(WEEKDAY(B4328)=7,1,0))))))</f>
        <v>3</v>
      </c>
      <c r="G4328" s="369">
        <f>VLOOKUP(C4328,METADATA!$J$5:$Q$29,IF(E4328="HI",2,IF(E4328="LO",6,10))+IF(D4328=1,2,IF(D4328=7,1,(IF(WEEKDAY(B4328)=1,2,IF(WEEKDAY(B4328)=7,1,0))))))</f>
        <v>3</v>
      </c>
      <c r="H4328" s="370">
        <v>12971.150451660156</v>
      </c>
      <c r="I4328" s="370">
        <v>3881.1150207519531</v>
      </c>
      <c r="M4328" s="371">
        <f t="shared" si="269"/>
        <v>13539.342592752055</v>
      </c>
      <c r="N4328" s="329">
        <f t="shared" si="270"/>
        <v>0</v>
      </c>
      <c r="T4328" s="331">
        <v>0</v>
      </c>
      <c r="U4328" s="328">
        <f>VLOOKUP(C4328,METADATA!$J$5:$Q$29,IF(E4328="HI",2,IF(E4328="LO",6,10))+IF(T4328=1,2,IF(D4328=7,1,(IF(WEEKDAY(B4328)=1,2,IF(WEEKDAY(B4328)=7,1,0))))))</f>
        <v>3</v>
      </c>
      <c r="V4328" s="328">
        <f>VLOOKUP(C4328,METADATA!$A$5:$H$29,IF(E4328="HI",2,IF(E4328="LO",6,10))+IF(T4328=1,2,IF(D4328=7,1,(IF(WEEKDAY(B4328)=1,2,IF(WEEKDAY(B4328)=7,1,0))))))</f>
        <v>3</v>
      </c>
    </row>
    <row r="4329" spans="2:22">
      <c r="B4329" s="318">
        <f t="shared" si="271"/>
        <v>46293</v>
      </c>
      <c r="C4329" s="312">
        <v>5</v>
      </c>
      <c r="D4329" s="368">
        <f>IFERROR((INDEX(METADATA!$T$2:$T$20,MATCH(B4329,METADATA!$S$2:$S$20,0))),0)</f>
        <v>0</v>
      </c>
      <c r="E4329" s="312" t="str">
        <f t="shared" si="268"/>
        <v>LO</v>
      </c>
      <c r="F4329" s="369">
        <f>VLOOKUP(C4329,METADATA!$A$5:$H$29,IF(E4329="HI",2,IF(E4329="LO",6,10))+IF(D4329=1,2,IF(D4329=7,1,(IF(WEEKDAY(B4329)=1,2,IF(WEEKDAY(B4329)=7,1,0))))))</f>
        <v>3</v>
      </c>
      <c r="G4329" s="369">
        <f>VLOOKUP(C4329,METADATA!$J$5:$Q$29,IF(E4329="HI",2,IF(E4329="LO",6,10))+IF(D4329=1,2,IF(D4329=7,1,(IF(WEEKDAY(B4329)=1,2,IF(WEEKDAY(B4329)=7,1,0))))))</f>
        <v>3</v>
      </c>
      <c r="H4329" s="370">
        <v>12817.0751953125</v>
      </c>
      <c r="I4329" s="370">
        <v>3812.1999816894531</v>
      </c>
      <c r="M4329" s="371">
        <f t="shared" si="269"/>
        <v>13371.996308056925</v>
      </c>
      <c r="N4329" s="329">
        <f t="shared" si="270"/>
        <v>0</v>
      </c>
      <c r="T4329" s="331">
        <v>0</v>
      </c>
      <c r="U4329" s="328">
        <f>VLOOKUP(C4329,METADATA!$J$5:$Q$29,IF(E4329="HI",2,IF(E4329="LO",6,10))+IF(T4329=1,2,IF(D4329=7,1,(IF(WEEKDAY(B4329)=1,2,IF(WEEKDAY(B4329)=7,1,0))))))</f>
        <v>3</v>
      </c>
      <c r="V4329" s="328">
        <f>VLOOKUP(C4329,METADATA!$A$5:$H$29,IF(E4329="HI",2,IF(E4329="LO",6,10))+IF(T4329=1,2,IF(D4329=7,1,(IF(WEEKDAY(B4329)=1,2,IF(WEEKDAY(B4329)=7,1,0))))))</f>
        <v>3</v>
      </c>
    </row>
    <row r="4330" spans="2:22">
      <c r="B4330" s="318">
        <f t="shared" si="271"/>
        <v>46293</v>
      </c>
      <c r="C4330" s="312">
        <v>6</v>
      </c>
      <c r="D4330" s="368">
        <f>IFERROR((INDEX(METADATA!$T$2:$T$20,MATCH(B4330,METADATA!$S$2:$S$20,0))),0)</f>
        <v>0</v>
      </c>
      <c r="E4330" s="312" t="str">
        <f t="shared" si="268"/>
        <v>LO</v>
      </c>
      <c r="F4330" s="369">
        <f>VLOOKUP(C4330,METADATA!$A$5:$H$29,IF(E4330="HI",2,IF(E4330="LO",6,10))+IF(D4330=1,2,IF(D4330=7,1,(IF(WEEKDAY(B4330)=1,2,IF(WEEKDAY(B4330)=7,1,0))))))</f>
        <v>2</v>
      </c>
      <c r="G4330" s="369">
        <f>VLOOKUP(C4330,METADATA!$J$5:$Q$29,IF(E4330="HI",2,IF(E4330="LO",6,10))+IF(D4330=1,2,IF(D4330=7,1,(IF(WEEKDAY(B4330)=1,2,IF(WEEKDAY(B4330)=7,1,0))))))</f>
        <v>2</v>
      </c>
      <c r="H4330" s="370">
        <v>12788.899780273438</v>
      </c>
      <c r="I4330" s="370">
        <v>3803.1650085449219</v>
      </c>
      <c r="M4330" s="371">
        <f t="shared" si="269"/>
        <v>13342.414386912829</v>
      </c>
      <c r="N4330" s="329">
        <f t="shared" si="270"/>
        <v>0</v>
      </c>
      <c r="T4330" s="331">
        <v>0</v>
      </c>
      <c r="U4330" s="328">
        <f>VLOOKUP(C4330,METADATA!$J$5:$Q$29,IF(E4330="HI",2,IF(E4330="LO",6,10))+IF(T4330=1,2,IF(D4330=7,1,(IF(WEEKDAY(B4330)=1,2,IF(WEEKDAY(B4330)=7,1,0))))))</f>
        <v>2</v>
      </c>
      <c r="V4330" s="328">
        <f>VLOOKUP(C4330,METADATA!$A$5:$H$29,IF(E4330="HI",2,IF(E4330="LO",6,10))+IF(T4330=1,2,IF(D4330=7,1,(IF(WEEKDAY(B4330)=1,2,IF(WEEKDAY(B4330)=7,1,0))))))</f>
        <v>2</v>
      </c>
    </row>
    <row r="4331" spans="2:22">
      <c r="B4331" s="318">
        <f t="shared" si="271"/>
        <v>46293</v>
      </c>
      <c r="C4331" s="312">
        <v>7</v>
      </c>
      <c r="D4331" s="368">
        <f>IFERROR((INDEX(METADATA!$T$2:$T$20,MATCH(B4331,METADATA!$S$2:$S$20,0))),0)</f>
        <v>0</v>
      </c>
      <c r="E4331" s="312" t="str">
        <f t="shared" si="268"/>
        <v>LO</v>
      </c>
      <c r="F4331" s="369">
        <f>VLOOKUP(C4331,METADATA!$A$5:$H$29,IF(E4331="HI",2,IF(E4331="LO",6,10))+IF(D4331=1,2,IF(D4331=7,1,(IF(WEEKDAY(B4331)=1,2,IF(WEEKDAY(B4331)=7,1,0))))))</f>
        <v>1</v>
      </c>
      <c r="G4331" s="369">
        <f>VLOOKUP(C4331,METADATA!$J$5:$Q$29,IF(E4331="HI",2,IF(E4331="LO",6,10))+IF(D4331=1,2,IF(D4331=7,1,(IF(WEEKDAY(B4331)=1,2,IF(WEEKDAY(B4331)=7,1,0))))))</f>
        <v>1</v>
      </c>
      <c r="H4331" s="370">
        <v>12689.074829101563</v>
      </c>
      <c r="I4331" s="370">
        <v>3714.0050659179688</v>
      </c>
      <c r="M4331" s="371">
        <f t="shared" si="269"/>
        <v>13221.439167057539</v>
      </c>
      <c r="N4331" s="329">
        <f t="shared" si="270"/>
        <v>0</v>
      </c>
      <c r="T4331" s="331">
        <v>0</v>
      </c>
      <c r="U4331" s="328">
        <f>VLOOKUP(C4331,METADATA!$J$5:$Q$29,IF(E4331="HI",2,IF(E4331="LO",6,10))+IF(T4331=1,2,IF(D4331=7,1,(IF(WEEKDAY(B4331)=1,2,IF(WEEKDAY(B4331)=7,1,0))))))</f>
        <v>1</v>
      </c>
      <c r="V4331" s="328">
        <f>VLOOKUP(C4331,METADATA!$A$5:$H$29,IF(E4331="HI",2,IF(E4331="LO",6,10))+IF(T4331=1,2,IF(D4331=7,1,(IF(WEEKDAY(B4331)=1,2,IF(WEEKDAY(B4331)=7,1,0))))))</f>
        <v>1</v>
      </c>
    </row>
    <row r="4332" spans="2:22">
      <c r="B4332" s="318">
        <f t="shared" si="271"/>
        <v>46293</v>
      </c>
      <c r="C4332" s="312">
        <v>8</v>
      </c>
      <c r="D4332" s="368">
        <f>IFERROR((INDEX(METADATA!$T$2:$T$20,MATCH(B4332,METADATA!$S$2:$S$20,0))),0)</f>
        <v>0</v>
      </c>
      <c r="E4332" s="312" t="str">
        <f t="shared" si="268"/>
        <v>LO</v>
      </c>
      <c r="F4332" s="369">
        <f>VLOOKUP(C4332,METADATA!$A$5:$H$29,IF(E4332="HI",2,IF(E4332="LO",6,10))+IF(D4332=1,2,IF(D4332=7,1,(IF(WEEKDAY(B4332)=1,2,IF(WEEKDAY(B4332)=7,1,0))))))</f>
        <v>1</v>
      </c>
      <c r="G4332" s="369">
        <f>VLOOKUP(C4332,METADATA!$J$5:$Q$29,IF(E4332="HI",2,IF(E4332="LO",6,10))+IF(D4332=1,2,IF(D4332=7,1,(IF(WEEKDAY(B4332)=1,2,IF(WEEKDAY(B4332)=7,1,0))))))</f>
        <v>1</v>
      </c>
      <c r="H4332" s="370">
        <v>11837.899963378906</v>
      </c>
      <c r="I4332" s="370">
        <v>2911.4950246810913</v>
      </c>
      <c r="M4332" s="371">
        <f t="shared" si="269"/>
        <v>12190.679998331063</v>
      </c>
      <c r="N4332" s="329">
        <f t="shared" si="270"/>
        <v>0</v>
      </c>
      <c r="T4332" s="331">
        <v>0</v>
      </c>
      <c r="U4332" s="328">
        <f>VLOOKUP(C4332,METADATA!$J$5:$Q$29,IF(E4332="HI",2,IF(E4332="LO",6,10))+IF(T4332=1,2,IF(D4332=7,1,(IF(WEEKDAY(B4332)=1,2,IF(WEEKDAY(B4332)=7,1,0))))))</f>
        <v>1</v>
      </c>
      <c r="V4332" s="328">
        <f>VLOOKUP(C4332,METADATA!$A$5:$H$29,IF(E4332="HI",2,IF(E4332="LO",6,10))+IF(T4332=1,2,IF(D4332=7,1,(IF(WEEKDAY(B4332)=1,2,IF(WEEKDAY(B4332)=7,1,0))))))</f>
        <v>1</v>
      </c>
    </row>
    <row r="4333" spans="2:22">
      <c r="B4333" s="318">
        <f t="shared" si="271"/>
        <v>46293</v>
      </c>
      <c r="C4333" s="312">
        <v>9</v>
      </c>
      <c r="D4333" s="368">
        <f>IFERROR((INDEX(METADATA!$T$2:$T$20,MATCH(B4333,METADATA!$S$2:$S$20,0))),0)</f>
        <v>0</v>
      </c>
      <c r="E4333" s="312" t="str">
        <f t="shared" si="268"/>
        <v>LO</v>
      </c>
      <c r="F4333" s="369">
        <f>VLOOKUP(C4333,METADATA!$A$5:$H$29,IF(E4333="HI",2,IF(E4333="LO",6,10))+IF(D4333=1,2,IF(D4333=7,1,(IF(WEEKDAY(B4333)=1,2,IF(WEEKDAY(B4333)=7,1,0))))))</f>
        <v>2</v>
      </c>
      <c r="G4333" s="369">
        <f>VLOOKUP(C4333,METADATA!$J$5:$Q$29,IF(E4333="HI",2,IF(E4333="LO",6,10))+IF(D4333=1,2,IF(D4333=7,1,(IF(WEEKDAY(B4333)=1,2,IF(WEEKDAY(B4333)=7,1,0))))))</f>
        <v>2</v>
      </c>
      <c r="H4333" s="370">
        <v>11781.099975585938</v>
      </c>
      <c r="I4333" s="370">
        <v>2877.5349922180176</v>
      </c>
      <c r="M4333" s="371">
        <f t="shared" si="269"/>
        <v>12127.428592500148</v>
      </c>
      <c r="N4333" s="329">
        <f t="shared" si="270"/>
        <v>0</v>
      </c>
      <c r="T4333" s="331">
        <v>0</v>
      </c>
      <c r="U4333" s="328">
        <f>VLOOKUP(C4333,METADATA!$J$5:$Q$29,IF(E4333="HI",2,IF(E4333="LO",6,10))+IF(T4333=1,2,IF(D4333=7,1,(IF(WEEKDAY(B4333)=1,2,IF(WEEKDAY(B4333)=7,1,0))))))</f>
        <v>2</v>
      </c>
      <c r="V4333" s="328">
        <f>VLOOKUP(C4333,METADATA!$A$5:$H$29,IF(E4333="HI",2,IF(E4333="LO",6,10))+IF(T4333=1,2,IF(D4333=7,1,(IF(WEEKDAY(B4333)=1,2,IF(WEEKDAY(B4333)=7,1,0))))))</f>
        <v>2</v>
      </c>
    </row>
    <row r="4334" spans="2:22">
      <c r="B4334" s="318">
        <f t="shared" si="271"/>
        <v>46293</v>
      </c>
      <c r="C4334" s="312">
        <v>10</v>
      </c>
      <c r="D4334" s="368">
        <f>IFERROR((INDEX(METADATA!$T$2:$T$20,MATCH(B4334,METADATA!$S$2:$S$20,0))),0)</f>
        <v>0</v>
      </c>
      <c r="E4334" s="312" t="str">
        <f t="shared" si="268"/>
        <v>LO</v>
      </c>
      <c r="F4334" s="369">
        <f>VLOOKUP(C4334,METADATA!$A$5:$H$29,IF(E4334="HI",2,IF(E4334="LO",6,10))+IF(D4334=1,2,IF(D4334=7,1,(IF(WEEKDAY(B4334)=1,2,IF(WEEKDAY(B4334)=7,1,0))))))</f>
        <v>2</v>
      </c>
      <c r="G4334" s="369">
        <f>VLOOKUP(C4334,METADATA!$J$5:$Q$29,IF(E4334="HI",2,IF(E4334="LO",6,10))+IF(D4334=1,2,IF(D4334=7,1,(IF(WEEKDAY(B4334)=1,2,IF(WEEKDAY(B4334)=7,1,0))))))</f>
        <v>2</v>
      </c>
      <c r="H4334" s="370">
        <v>11704.225158691406</v>
      </c>
      <c r="I4334" s="370">
        <v>3058.0050048828125</v>
      </c>
      <c r="M4334" s="371">
        <f t="shared" si="269"/>
        <v>12097.118713777805</v>
      </c>
      <c r="N4334" s="329">
        <f t="shared" si="270"/>
        <v>0</v>
      </c>
      <c r="T4334" s="331">
        <v>0</v>
      </c>
      <c r="U4334" s="328">
        <f>VLOOKUP(C4334,METADATA!$J$5:$Q$29,IF(E4334="HI",2,IF(E4334="LO",6,10))+IF(T4334=1,2,IF(D4334=7,1,(IF(WEEKDAY(B4334)=1,2,IF(WEEKDAY(B4334)=7,1,0))))))</f>
        <v>2</v>
      </c>
      <c r="V4334" s="328">
        <f>VLOOKUP(C4334,METADATA!$A$5:$H$29,IF(E4334="HI",2,IF(E4334="LO",6,10))+IF(T4334=1,2,IF(D4334=7,1,(IF(WEEKDAY(B4334)=1,2,IF(WEEKDAY(B4334)=7,1,0))))))</f>
        <v>2</v>
      </c>
    </row>
    <row r="4335" spans="2:22">
      <c r="B4335" s="318">
        <f t="shared" si="271"/>
        <v>46293</v>
      </c>
      <c r="C4335" s="312">
        <v>11</v>
      </c>
      <c r="D4335" s="368">
        <f>IFERROR((INDEX(METADATA!$T$2:$T$20,MATCH(B4335,METADATA!$S$2:$S$20,0))),0)</f>
        <v>0</v>
      </c>
      <c r="E4335" s="312" t="str">
        <f t="shared" si="268"/>
        <v>LO</v>
      </c>
      <c r="F4335" s="369">
        <f>VLOOKUP(C4335,METADATA!$A$5:$H$29,IF(E4335="HI",2,IF(E4335="LO",6,10))+IF(D4335=1,2,IF(D4335=7,1,(IF(WEEKDAY(B4335)=1,2,IF(WEEKDAY(B4335)=7,1,0))))))</f>
        <v>2</v>
      </c>
      <c r="G4335" s="369">
        <f>VLOOKUP(C4335,METADATA!$J$5:$Q$29,IF(E4335="HI",2,IF(E4335="LO",6,10))+IF(D4335=1,2,IF(D4335=7,1,(IF(WEEKDAY(B4335)=1,2,IF(WEEKDAY(B4335)=7,1,0))))))</f>
        <v>2</v>
      </c>
      <c r="H4335" s="370">
        <v>11478.150085449219</v>
      </c>
      <c r="I4335" s="370">
        <v>3115.75</v>
      </c>
      <c r="M4335" s="371">
        <f t="shared" si="269"/>
        <v>11893.520397535705</v>
      </c>
      <c r="N4335" s="329">
        <f t="shared" si="270"/>
        <v>0</v>
      </c>
      <c r="T4335" s="331">
        <v>0</v>
      </c>
      <c r="U4335" s="328">
        <f>VLOOKUP(C4335,METADATA!$J$5:$Q$29,IF(E4335="HI",2,IF(E4335="LO",6,10))+IF(T4335=1,2,IF(D4335=7,1,(IF(WEEKDAY(B4335)=1,2,IF(WEEKDAY(B4335)=7,1,0))))))</f>
        <v>2</v>
      </c>
      <c r="V4335" s="328">
        <f>VLOOKUP(C4335,METADATA!$A$5:$H$29,IF(E4335="HI",2,IF(E4335="LO",6,10))+IF(T4335=1,2,IF(D4335=7,1,(IF(WEEKDAY(B4335)=1,2,IF(WEEKDAY(B4335)=7,1,0))))))</f>
        <v>2</v>
      </c>
    </row>
    <row r="4336" spans="2:22">
      <c r="B4336" s="318">
        <f t="shared" si="271"/>
        <v>46293</v>
      </c>
      <c r="C4336" s="312">
        <v>12</v>
      </c>
      <c r="D4336" s="368">
        <f>IFERROR((INDEX(METADATA!$T$2:$T$20,MATCH(B4336,METADATA!$S$2:$S$20,0))),0)</f>
        <v>0</v>
      </c>
      <c r="E4336" s="312" t="str">
        <f t="shared" si="268"/>
        <v>LO</v>
      </c>
      <c r="F4336" s="369">
        <f>VLOOKUP(C4336,METADATA!$A$5:$H$29,IF(E4336="HI",2,IF(E4336="LO",6,10))+IF(D4336=1,2,IF(D4336=7,1,(IF(WEEKDAY(B4336)=1,2,IF(WEEKDAY(B4336)=7,1,0))))))</f>
        <v>2</v>
      </c>
      <c r="G4336" s="369">
        <f>VLOOKUP(C4336,METADATA!$J$5:$Q$29,IF(E4336="HI",2,IF(E4336="LO",6,10))+IF(D4336=1,2,IF(D4336=7,1,(IF(WEEKDAY(B4336)=1,2,IF(WEEKDAY(B4336)=7,1,0))))))</f>
        <v>2</v>
      </c>
      <c r="H4336" s="370">
        <v>11878.375</v>
      </c>
      <c r="I4336" s="370">
        <v>3218.0200347900391</v>
      </c>
      <c r="M4336" s="371">
        <f t="shared" si="269"/>
        <v>12306.561078747185</v>
      </c>
      <c r="N4336" s="329">
        <f t="shared" si="270"/>
        <v>0</v>
      </c>
      <c r="T4336" s="331">
        <v>0</v>
      </c>
      <c r="U4336" s="328">
        <f>VLOOKUP(C4336,METADATA!$J$5:$Q$29,IF(E4336="HI",2,IF(E4336="LO",6,10))+IF(T4336=1,2,IF(D4336=7,1,(IF(WEEKDAY(B4336)=1,2,IF(WEEKDAY(B4336)=7,1,0))))))</f>
        <v>2</v>
      </c>
      <c r="V4336" s="328">
        <f>VLOOKUP(C4336,METADATA!$A$5:$H$29,IF(E4336="HI",2,IF(E4336="LO",6,10))+IF(T4336=1,2,IF(D4336=7,1,(IF(WEEKDAY(B4336)=1,2,IF(WEEKDAY(B4336)=7,1,0))))))</f>
        <v>2</v>
      </c>
    </row>
    <row r="4337" spans="2:22">
      <c r="B4337" s="318">
        <f t="shared" si="271"/>
        <v>46293</v>
      </c>
      <c r="C4337" s="312">
        <v>13</v>
      </c>
      <c r="D4337" s="368">
        <f>IFERROR((INDEX(METADATA!$T$2:$T$20,MATCH(B4337,METADATA!$S$2:$S$20,0))),0)</f>
        <v>0</v>
      </c>
      <c r="E4337" s="312" t="str">
        <f t="shared" si="268"/>
        <v>LO</v>
      </c>
      <c r="F4337" s="369">
        <f>VLOOKUP(C4337,METADATA!$A$5:$H$29,IF(E4337="HI",2,IF(E4337="LO",6,10))+IF(D4337=1,2,IF(D4337=7,1,(IF(WEEKDAY(B4337)=1,2,IF(WEEKDAY(B4337)=7,1,0))))))</f>
        <v>2</v>
      </c>
      <c r="G4337" s="369">
        <f>VLOOKUP(C4337,METADATA!$J$5:$Q$29,IF(E4337="HI",2,IF(E4337="LO",6,10))+IF(D4337=1,2,IF(D4337=7,1,(IF(WEEKDAY(B4337)=1,2,IF(WEEKDAY(B4337)=7,1,0))))))</f>
        <v>2</v>
      </c>
      <c r="H4337" s="370">
        <v>11928.824951171875</v>
      </c>
      <c r="I4337" s="370">
        <v>3236.3850021362305</v>
      </c>
      <c r="M4337" s="371">
        <f t="shared" si="269"/>
        <v>12360.058761905342</v>
      </c>
      <c r="N4337" s="329">
        <f t="shared" si="270"/>
        <v>0</v>
      </c>
      <c r="T4337" s="331">
        <v>0</v>
      </c>
      <c r="U4337" s="328">
        <f>VLOOKUP(C4337,METADATA!$J$5:$Q$29,IF(E4337="HI",2,IF(E4337="LO",6,10))+IF(T4337=1,2,IF(D4337=7,1,(IF(WEEKDAY(B4337)=1,2,IF(WEEKDAY(B4337)=7,1,0))))))</f>
        <v>2</v>
      </c>
      <c r="V4337" s="328">
        <f>VLOOKUP(C4337,METADATA!$A$5:$H$29,IF(E4337="HI",2,IF(E4337="LO",6,10))+IF(T4337=1,2,IF(D4337=7,1,(IF(WEEKDAY(B4337)=1,2,IF(WEEKDAY(B4337)=7,1,0))))))</f>
        <v>2</v>
      </c>
    </row>
    <row r="4338" spans="2:22">
      <c r="B4338" s="318">
        <f t="shared" si="271"/>
        <v>46293</v>
      </c>
      <c r="C4338" s="312">
        <v>14</v>
      </c>
      <c r="D4338" s="368">
        <f>IFERROR((INDEX(METADATA!$T$2:$T$20,MATCH(B4338,METADATA!$S$2:$S$20,0))),0)</f>
        <v>0</v>
      </c>
      <c r="E4338" s="312" t="str">
        <f t="shared" si="268"/>
        <v>LO</v>
      </c>
      <c r="F4338" s="369">
        <f>VLOOKUP(C4338,METADATA!$A$5:$H$29,IF(E4338="HI",2,IF(E4338="LO",6,10))+IF(D4338=1,2,IF(D4338=7,1,(IF(WEEKDAY(B4338)=1,2,IF(WEEKDAY(B4338)=7,1,0))))))</f>
        <v>2</v>
      </c>
      <c r="G4338" s="369">
        <f>VLOOKUP(C4338,METADATA!$J$5:$Q$29,IF(E4338="HI",2,IF(E4338="LO",6,10))+IF(D4338=1,2,IF(D4338=7,1,(IF(WEEKDAY(B4338)=1,2,IF(WEEKDAY(B4338)=7,1,0))))))</f>
        <v>2</v>
      </c>
      <c r="H4338" s="370">
        <v>11816.200073242188</v>
      </c>
      <c r="I4338" s="370">
        <v>3198.7200317382813</v>
      </c>
      <c r="M4338" s="371">
        <f t="shared" si="269"/>
        <v>12241.502931108273</v>
      </c>
      <c r="N4338" s="329">
        <f t="shared" si="270"/>
        <v>0</v>
      </c>
      <c r="T4338" s="331">
        <v>0</v>
      </c>
      <c r="U4338" s="328">
        <f>VLOOKUP(C4338,METADATA!$J$5:$Q$29,IF(E4338="HI",2,IF(E4338="LO",6,10))+IF(T4338=1,2,IF(D4338=7,1,(IF(WEEKDAY(B4338)=1,2,IF(WEEKDAY(B4338)=7,1,0))))))</f>
        <v>2</v>
      </c>
      <c r="V4338" s="328">
        <f>VLOOKUP(C4338,METADATA!$A$5:$H$29,IF(E4338="HI",2,IF(E4338="LO",6,10))+IF(T4338=1,2,IF(D4338=7,1,(IF(WEEKDAY(B4338)=1,2,IF(WEEKDAY(B4338)=7,1,0))))))</f>
        <v>2</v>
      </c>
    </row>
    <row r="4339" spans="2:22">
      <c r="B4339" s="318">
        <f t="shared" si="271"/>
        <v>46293</v>
      </c>
      <c r="C4339" s="312">
        <v>15</v>
      </c>
      <c r="D4339" s="368">
        <f>IFERROR((INDEX(METADATA!$T$2:$T$20,MATCH(B4339,METADATA!$S$2:$S$20,0))),0)</f>
        <v>0</v>
      </c>
      <c r="E4339" s="312" t="str">
        <f t="shared" si="268"/>
        <v>LO</v>
      </c>
      <c r="F4339" s="369">
        <f>VLOOKUP(C4339,METADATA!$A$5:$H$29,IF(E4339="HI",2,IF(E4339="LO",6,10))+IF(D4339=1,2,IF(D4339=7,1,(IF(WEEKDAY(B4339)=1,2,IF(WEEKDAY(B4339)=7,1,0))))))</f>
        <v>2</v>
      </c>
      <c r="G4339" s="369">
        <f>VLOOKUP(C4339,METADATA!$J$5:$Q$29,IF(E4339="HI",2,IF(E4339="LO",6,10))+IF(D4339=1,2,IF(D4339=7,1,(IF(WEEKDAY(B4339)=1,2,IF(WEEKDAY(B4339)=7,1,0))))))</f>
        <v>2</v>
      </c>
      <c r="H4339" s="370">
        <v>11463.700012207031</v>
      </c>
      <c r="I4339" s="370">
        <v>3386.7975616455078</v>
      </c>
      <c r="M4339" s="371">
        <f t="shared" si="269"/>
        <v>11953.527332693202</v>
      </c>
      <c r="N4339" s="329">
        <f t="shared" si="270"/>
        <v>0</v>
      </c>
      <c r="T4339" s="331">
        <v>0</v>
      </c>
      <c r="U4339" s="328">
        <f>VLOOKUP(C4339,METADATA!$J$5:$Q$29,IF(E4339="HI",2,IF(E4339="LO",6,10))+IF(T4339=1,2,IF(D4339=7,1,(IF(WEEKDAY(B4339)=1,2,IF(WEEKDAY(B4339)=7,1,0))))))</f>
        <v>2</v>
      </c>
      <c r="V4339" s="328">
        <f>VLOOKUP(C4339,METADATA!$A$5:$H$29,IF(E4339="HI",2,IF(E4339="LO",6,10))+IF(T4339=1,2,IF(D4339=7,1,(IF(WEEKDAY(B4339)=1,2,IF(WEEKDAY(B4339)=7,1,0))))))</f>
        <v>2</v>
      </c>
    </row>
    <row r="4340" spans="2:22">
      <c r="B4340" s="318">
        <f t="shared" si="271"/>
        <v>46293</v>
      </c>
      <c r="C4340" s="312">
        <v>16</v>
      </c>
      <c r="D4340" s="368">
        <f>IFERROR((INDEX(METADATA!$T$2:$T$20,MATCH(B4340,METADATA!$S$2:$S$20,0))),0)</f>
        <v>0</v>
      </c>
      <c r="E4340" s="312" t="str">
        <f t="shared" si="268"/>
        <v>LO</v>
      </c>
      <c r="F4340" s="369">
        <f>VLOOKUP(C4340,METADATA!$A$5:$H$29,IF(E4340="HI",2,IF(E4340="LO",6,10))+IF(D4340=1,2,IF(D4340=7,1,(IF(WEEKDAY(B4340)=1,2,IF(WEEKDAY(B4340)=7,1,0))))))</f>
        <v>2</v>
      </c>
      <c r="G4340" s="369">
        <f>VLOOKUP(C4340,METADATA!$J$5:$Q$29,IF(E4340="HI",2,IF(E4340="LO",6,10))+IF(D4340=1,2,IF(D4340=7,1,(IF(WEEKDAY(B4340)=1,2,IF(WEEKDAY(B4340)=7,1,0))))))</f>
        <v>2</v>
      </c>
      <c r="H4340" s="370">
        <v>12716.550170898438</v>
      </c>
      <c r="I4340" s="370">
        <v>4179.9700317382813</v>
      </c>
      <c r="M4340" s="371">
        <f t="shared" si="269"/>
        <v>13385.917888408221</v>
      </c>
      <c r="N4340" s="329">
        <f t="shared" si="270"/>
        <v>365.00498046875009</v>
      </c>
      <c r="T4340" s="331">
        <v>0</v>
      </c>
      <c r="U4340" s="328">
        <f>VLOOKUP(C4340,METADATA!$J$5:$Q$29,IF(E4340="HI",2,IF(E4340="LO",6,10))+IF(T4340=1,2,IF(D4340=7,1,(IF(WEEKDAY(B4340)=1,2,IF(WEEKDAY(B4340)=7,1,0))))))</f>
        <v>2</v>
      </c>
      <c r="V4340" s="328">
        <f>VLOOKUP(C4340,METADATA!$A$5:$H$29,IF(E4340="HI",2,IF(E4340="LO",6,10))+IF(T4340=1,2,IF(D4340=7,1,(IF(WEEKDAY(B4340)=1,2,IF(WEEKDAY(B4340)=7,1,0))))))</f>
        <v>2</v>
      </c>
    </row>
    <row r="4341" spans="2:22">
      <c r="B4341" s="318">
        <f t="shared" si="271"/>
        <v>46293</v>
      </c>
      <c r="C4341" s="312">
        <v>17</v>
      </c>
      <c r="D4341" s="368">
        <f>IFERROR((INDEX(METADATA!$T$2:$T$20,MATCH(B4341,METADATA!$S$2:$S$20,0))),0)</f>
        <v>0</v>
      </c>
      <c r="E4341" s="312" t="str">
        <f t="shared" si="268"/>
        <v>LO</v>
      </c>
      <c r="F4341" s="369">
        <f>VLOOKUP(C4341,METADATA!$A$5:$H$29,IF(E4341="HI",2,IF(E4341="LO",6,10))+IF(D4341=1,2,IF(D4341=7,1,(IF(WEEKDAY(B4341)=1,2,IF(WEEKDAY(B4341)=7,1,0))))))</f>
        <v>2</v>
      </c>
      <c r="G4341" s="369">
        <f>VLOOKUP(C4341,METADATA!$J$5:$Q$29,IF(E4341="HI",2,IF(E4341="LO",6,10))+IF(D4341=1,2,IF(D4341=7,1,(IF(WEEKDAY(B4341)=1,2,IF(WEEKDAY(B4341)=7,1,0))))))</f>
        <v>2</v>
      </c>
      <c r="H4341" s="370">
        <v>12874.899963378906</v>
      </c>
      <c r="I4341" s="370">
        <v>4191.3400268554688</v>
      </c>
      <c r="M4341" s="371">
        <f t="shared" si="269"/>
        <v>13539.954958851782</v>
      </c>
      <c r="N4341" s="329">
        <f t="shared" si="270"/>
        <v>328.87003784179706</v>
      </c>
      <c r="T4341" s="331">
        <v>0</v>
      </c>
      <c r="U4341" s="328">
        <f>VLOOKUP(C4341,METADATA!$J$5:$Q$29,IF(E4341="HI",2,IF(E4341="LO",6,10))+IF(T4341=1,2,IF(D4341=7,1,(IF(WEEKDAY(B4341)=1,2,IF(WEEKDAY(B4341)=7,1,0))))))</f>
        <v>2</v>
      </c>
      <c r="V4341" s="328">
        <f>VLOOKUP(C4341,METADATA!$A$5:$H$29,IF(E4341="HI",2,IF(E4341="LO",6,10))+IF(T4341=1,2,IF(D4341=7,1,(IF(WEEKDAY(B4341)=1,2,IF(WEEKDAY(B4341)=7,1,0))))))</f>
        <v>2</v>
      </c>
    </row>
    <row r="4342" spans="2:22">
      <c r="B4342" s="318">
        <f t="shared" si="271"/>
        <v>46293</v>
      </c>
      <c r="C4342" s="312">
        <v>18</v>
      </c>
      <c r="D4342" s="368">
        <f>IFERROR((INDEX(METADATA!$T$2:$T$20,MATCH(B4342,METADATA!$S$2:$S$20,0))),0)</f>
        <v>0</v>
      </c>
      <c r="E4342" s="312" t="str">
        <f t="shared" si="268"/>
        <v>LO</v>
      </c>
      <c r="F4342" s="369">
        <f>VLOOKUP(C4342,METADATA!$A$5:$H$29,IF(E4342="HI",2,IF(E4342="LO",6,10))+IF(D4342=1,2,IF(D4342=7,1,(IF(WEEKDAY(B4342)=1,2,IF(WEEKDAY(B4342)=7,1,0))))))</f>
        <v>1</v>
      </c>
      <c r="G4342" s="369">
        <f>VLOOKUP(C4342,METADATA!$J$5:$Q$29,IF(E4342="HI",2,IF(E4342="LO",6,10))+IF(D4342=1,2,IF(D4342=7,1,(IF(WEEKDAY(B4342)=1,2,IF(WEEKDAY(B4342)=7,1,0))))))</f>
        <v>1</v>
      </c>
      <c r="H4342" s="370">
        <v>13091.500061035156</v>
      </c>
      <c r="I4342" s="370">
        <v>4184.6549072265625</v>
      </c>
      <c r="M4342" s="371">
        <f t="shared" si="269"/>
        <v>13744.042729148467</v>
      </c>
      <c r="N4342" s="329">
        <f t="shared" si="270"/>
        <v>257.20488891601599</v>
      </c>
      <c r="T4342" s="331">
        <v>0</v>
      </c>
      <c r="U4342" s="328">
        <f>VLOOKUP(C4342,METADATA!$J$5:$Q$29,IF(E4342="HI",2,IF(E4342="LO",6,10))+IF(T4342=1,2,IF(D4342=7,1,(IF(WEEKDAY(B4342)=1,2,IF(WEEKDAY(B4342)=7,1,0))))))</f>
        <v>1</v>
      </c>
      <c r="V4342" s="328">
        <f>VLOOKUP(C4342,METADATA!$A$5:$H$29,IF(E4342="HI",2,IF(E4342="LO",6,10))+IF(T4342=1,2,IF(D4342=7,1,(IF(WEEKDAY(B4342)=1,2,IF(WEEKDAY(B4342)=7,1,0))))))</f>
        <v>1</v>
      </c>
    </row>
    <row r="4343" spans="2:22">
      <c r="B4343" s="318">
        <f t="shared" si="271"/>
        <v>46293</v>
      </c>
      <c r="C4343" s="312">
        <v>19</v>
      </c>
      <c r="D4343" s="368">
        <f>IFERROR((INDEX(METADATA!$T$2:$T$20,MATCH(B4343,METADATA!$S$2:$S$20,0))),0)</f>
        <v>0</v>
      </c>
      <c r="E4343" s="312" t="str">
        <f t="shared" si="268"/>
        <v>LO</v>
      </c>
      <c r="F4343" s="369">
        <f>VLOOKUP(C4343,METADATA!$A$5:$H$29,IF(E4343="HI",2,IF(E4343="LO",6,10))+IF(D4343=1,2,IF(D4343=7,1,(IF(WEEKDAY(B4343)=1,2,IF(WEEKDAY(B4343)=7,1,0))))))</f>
        <v>1</v>
      </c>
      <c r="G4343" s="369">
        <f>VLOOKUP(C4343,METADATA!$J$5:$Q$29,IF(E4343="HI",2,IF(E4343="LO",6,10))+IF(D4343=1,2,IF(D4343=7,1,(IF(WEEKDAY(B4343)=1,2,IF(WEEKDAY(B4343)=7,1,0))))))</f>
        <v>1</v>
      </c>
      <c r="H4343" s="370">
        <v>13234.10009765625</v>
      </c>
      <c r="I4343" s="370">
        <v>4311.7450256347656</v>
      </c>
      <c r="M4343" s="371">
        <f t="shared" si="269"/>
        <v>13918.784090604729</v>
      </c>
      <c r="N4343" s="329">
        <f t="shared" si="270"/>
        <v>341.51499633789081</v>
      </c>
      <c r="T4343" s="331">
        <v>0</v>
      </c>
      <c r="U4343" s="328">
        <f>VLOOKUP(C4343,METADATA!$J$5:$Q$29,IF(E4343="HI",2,IF(E4343="LO",6,10))+IF(T4343=1,2,IF(D4343=7,1,(IF(WEEKDAY(B4343)=1,2,IF(WEEKDAY(B4343)=7,1,0))))))</f>
        <v>1</v>
      </c>
      <c r="V4343" s="328">
        <f>VLOOKUP(C4343,METADATA!$A$5:$H$29,IF(E4343="HI",2,IF(E4343="LO",6,10))+IF(T4343=1,2,IF(D4343=7,1,(IF(WEEKDAY(B4343)=1,2,IF(WEEKDAY(B4343)=7,1,0))))))</f>
        <v>1</v>
      </c>
    </row>
    <row r="4344" spans="2:22">
      <c r="B4344" s="318">
        <f t="shared" si="271"/>
        <v>46293</v>
      </c>
      <c r="C4344" s="312">
        <v>20</v>
      </c>
      <c r="D4344" s="368">
        <f>IFERROR((INDEX(METADATA!$T$2:$T$20,MATCH(B4344,METADATA!$S$2:$S$20,0))),0)</f>
        <v>0</v>
      </c>
      <c r="E4344" s="312" t="str">
        <f t="shared" si="268"/>
        <v>LO</v>
      </c>
      <c r="F4344" s="369">
        <f>VLOOKUP(C4344,METADATA!$A$5:$H$29,IF(E4344="HI",2,IF(E4344="LO",6,10))+IF(D4344=1,2,IF(D4344=7,1,(IF(WEEKDAY(B4344)=1,2,IF(WEEKDAY(B4344)=7,1,0))))))</f>
        <v>1</v>
      </c>
      <c r="G4344" s="369">
        <f>VLOOKUP(C4344,METADATA!$J$5:$Q$29,IF(E4344="HI",2,IF(E4344="LO",6,10))+IF(D4344=1,2,IF(D4344=7,1,(IF(WEEKDAY(B4344)=1,2,IF(WEEKDAY(B4344)=7,1,0))))))</f>
        <v>1</v>
      </c>
      <c r="H4344" s="370">
        <v>12378.10009765625</v>
      </c>
      <c r="I4344" s="370">
        <v>3893.7474975585938</v>
      </c>
      <c r="M4344" s="371">
        <f t="shared" si="269"/>
        <v>12976.079207616662</v>
      </c>
      <c r="N4344" s="329">
        <f t="shared" si="270"/>
        <v>180.31746826171911</v>
      </c>
      <c r="T4344" s="331">
        <v>0</v>
      </c>
      <c r="U4344" s="328">
        <f>VLOOKUP(C4344,METADATA!$J$5:$Q$29,IF(E4344="HI",2,IF(E4344="LO",6,10))+IF(T4344=1,2,IF(D4344=7,1,(IF(WEEKDAY(B4344)=1,2,IF(WEEKDAY(B4344)=7,1,0))))))</f>
        <v>1</v>
      </c>
      <c r="V4344" s="328">
        <f>VLOOKUP(C4344,METADATA!$A$5:$H$29,IF(E4344="HI",2,IF(E4344="LO",6,10))+IF(T4344=1,2,IF(D4344=7,1,(IF(WEEKDAY(B4344)=1,2,IF(WEEKDAY(B4344)=7,1,0))))))</f>
        <v>1</v>
      </c>
    </row>
    <row r="4345" spans="2:22">
      <c r="B4345" s="318">
        <f t="shared" si="271"/>
        <v>46293</v>
      </c>
      <c r="C4345" s="312">
        <v>21</v>
      </c>
      <c r="D4345" s="368">
        <f>IFERROR((INDEX(METADATA!$T$2:$T$20,MATCH(B4345,METADATA!$S$2:$S$20,0))),0)</f>
        <v>0</v>
      </c>
      <c r="E4345" s="312" t="str">
        <f t="shared" si="268"/>
        <v>LO</v>
      </c>
      <c r="F4345" s="369">
        <f>VLOOKUP(C4345,METADATA!$A$5:$H$29,IF(E4345="HI",2,IF(E4345="LO",6,10))+IF(D4345=1,2,IF(D4345=7,1,(IF(WEEKDAY(B4345)=1,2,IF(WEEKDAY(B4345)=7,1,0))))))</f>
        <v>2</v>
      </c>
      <c r="G4345" s="369">
        <f>VLOOKUP(C4345,METADATA!$J$5:$Q$29,IF(E4345="HI",2,IF(E4345="LO",6,10))+IF(D4345=1,2,IF(D4345=7,1,(IF(WEEKDAY(B4345)=1,2,IF(WEEKDAY(B4345)=7,1,0))))))</f>
        <v>2</v>
      </c>
      <c r="H4345" s="370">
        <v>11156.574645996094</v>
      </c>
      <c r="I4345" s="370">
        <v>3291.4573974609375</v>
      </c>
      <c r="M4345" s="371">
        <f t="shared" si="269"/>
        <v>11631.975310796664</v>
      </c>
      <c r="N4345" s="329">
        <f t="shared" si="270"/>
        <v>0</v>
      </c>
      <c r="T4345" s="331">
        <v>0</v>
      </c>
      <c r="U4345" s="328">
        <f>VLOOKUP(C4345,METADATA!$J$5:$Q$29,IF(E4345="HI",2,IF(E4345="LO",6,10))+IF(T4345=1,2,IF(D4345=7,1,(IF(WEEKDAY(B4345)=1,2,IF(WEEKDAY(B4345)=7,1,0))))))</f>
        <v>2</v>
      </c>
      <c r="V4345" s="328">
        <f>VLOOKUP(C4345,METADATA!$A$5:$H$29,IF(E4345="HI",2,IF(E4345="LO",6,10))+IF(T4345=1,2,IF(D4345=7,1,(IF(WEEKDAY(B4345)=1,2,IF(WEEKDAY(B4345)=7,1,0))))))</f>
        <v>2</v>
      </c>
    </row>
    <row r="4346" spans="2:22">
      <c r="B4346" s="318">
        <f t="shared" si="271"/>
        <v>46293</v>
      </c>
      <c r="C4346" s="312">
        <v>22</v>
      </c>
      <c r="D4346" s="368">
        <f>IFERROR((INDEX(METADATA!$T$2:$T$20,MATCH(B4346,METADATA!$S$2:$S$20,0))),0)</f>
        <v>0</v>
      </c>
      <c r="E4346" s="312" t="str">
        <f t="shared" si="268"/>
        <v>LO</v>
      </c>
      <c r="F4346" s="369">
        <f>VLOOKUP(C4346,METADATA!$A$5:$H$29,IF(E4346="HI",2,IF(E4346="LO",6,10))+IF(D4346=1,2,IF(D4346=7,1,(IF(WEEKDAY(B4346)=1,2,IF(WEEKDAY(B4346)=7,1,0))))))</f>
        <v>3</v>
      </c>
      <c r="G4346" s="369">
        <f>VLOOKUP(C4346,METADATA!$J$5:$Q$29,IF(E4346="HI",2,IF(E4346="LO",6,10))+IF(D4346=1,2,IF(D4346=7,1,(IF(WEEKDAY(B4346)=1,2,IF(WEEKDAY(B4346)=7,1,0))))))</f>
        <v>3</v>
      </c>
      <c r="H4346" s="370">
        <v>11162.575439453125</v>
      </c>
      <c r="I4346" s="370">
        <v>3105.4574890136719</v>
      </c>
      <c r="M4346" s="371">
        <f t="shared" si="269"/>
        <v>11586.49889559194</v>
      </c>
      <c r="N4346" s="329">
        <f t="shared" si="270"/>
        <v>0</v>
      </c>
      <c r="T4346" s="331">
        <v>0</v>
      </c>
      <c r="U4346" s="328">
        <f>VLOOKUP(C4346,METADATA!$J$5:$Q$29,IF(E4346="HI",2,IF(E4346="LO",6,10))+IF(T4346=1,2,IF(D4346=7,1,(IF(WEEKDAY(B4346)=1,2,IF(WEEKDAY(B4346)=7,1,0))))))</f>
        <v>3</v>
      </c>
      <c r="V4346" s="328">
        <f>VLOOKUP(C4346,METADATA!$A$5:$H$29,IF(E4346="HI",2,IF(E4346="LO",6,10))+IF(T4346=1,2,IF(D4346=7,1,(IF(WEEKDAY(B4346)=1,2,IF(WEEKDAY(B4346)=7,1,0))))))</f>
        <v>3</v>
      </c>
    </row>
    <row r="4347" spans="2:22">
      <c r="B4347" s="318">
        <f t="shared" si="271"/>
        <v>46293</v>
      </c>
      <c r="C4347" s="312">
        <v>23</v>
      </c>
      <c r="D4347" s="368">
        <f>IFERROR((INDEX(METADATA!$T$2:$T$20,MATCH(B4347,METADATA!$S$2:$S$20,0))),0)</f>
        <v>0</v>
      </c>
      <c r="E4347" s="312" t="str">
        <f t="shared" si="268"/>
        <v>LO</v>
      </c>
      <c r="F4347" s="369">
        <f>VLOOKUP(C4347,METADATA!$A$5:$H$29,IF(E4347="HI",2,IF(E4347="LO",6,10))+IF(D4347=1,2,IF(D4347=7,1,(IF(WEEKDAY(B4347)=1,2,IF(WEEKDAY(B4347)=7,1,0))))))</f>
        <v>3</v>
      </c>
      <c r="G4347" s="369">
        <f>VLOOKUP(C4347,METADATA!$J$5:$Q$29,IF(E4347="HI",2,IF(E4347="LO",6,10))+IF(D4347=1,2,IF(D4347=7,1,(IF(WEEKDAY(B4347)=1,2,IF(WEEKDAY(B4347)=7,1,0))))))</f>
        <v>3</v>
      </c>
      <c r="H4347" s="370">
        <v>11777.874755859375</v>
      </c>
      <c r="I4347" s="370">
        <v>3416.7449340820313</v>
      </c>
      <c r="M4347" s="371">
        <f t="shared" si="269"/>
        <v>12263.461163524951</v>
      </c>
      <c r="N4347" s="329">
        <f t="shared" si="270"/>
        <v>0</v>
      </c>
      <c r="T4347" s="331">
        <v>0</v>
      </c>
      <c r="U4347" s="328">
        <f>VLOOKUP(C4347,METADATA!$J$5:$Q$29,IF(E4347="HI",2,IF(E4347="LO",6,10))+IF(T4347=1,2,IF(D4347=7,1,(IF(WEEKDAY(B4347)=1,2,IF(WEEKDAY(B4347)=7,1,0))))))</f>
        <v>3</v>
      </c>
      <c r="V4347" s="328">
        <f>VLOOKUP(C4347,METADATA!$A$5:$H$29,IF(E4347="HI",2,IF(E4347="LO",6,10))+IF(T4347=1,2,IF(D4347=7,1,(IF(WEEKDAY(B4347)=1,2,IF(WEEKDAY(B4347)=7,1,0))))))</f>
        <v>3</v>
      </c>
    </row>
    <row r="4348" spans="2:22">
      <c r="B4348" s="318">
        <f t="shared" si="271"/>
        <v>46294</v>
      </c>
      <c r="C4348" s="312">
        <v>0</v>
      </c>
      <c r="D4348" s="368">
        <f>IFERROR((INDEX(METADATA!$T$2:$T$20,MATCH(B4348,METADATA!$S$2:$S$20,0))),0)</f>
        <v>0</v>
      </c>
      <c r="E4348" s="312" t="str">
        <f t="shared" si="268"/>
        <v>LO</v>
      </c>
      <c r="F4348" s="369">
        <f>VLOOKUP(C4348,METADATA!$A$5:$H$29,IF(E4348="HI",2,IF(E4348="LO",6,10))+IF(D4348=1,2,IF(D4348=7,1,(IF(WEEKDAY(B4348)=1,2,IF(WEEKDAY(B4348)=7,1,0))))))</f>
        <v>3</v>
      </c>
      <c r="G4348" s="369">
        <f>VLOOKUP(C4348,METADATA!$J$5:$Q$29,IF(E4348="HI",2,IF(E4348="LO",6,10))+IF(D4348=1,2,IF(D4348=7,1,(IF(WEEKDAY(B4348)=1,2,IF(WEEKDAY(B4348)=7,1,0))))))</f>
        <v>3</v>
      </c>
      <c r="H4348" s="370">
        <v>12199.150024414063</v>
      </c>
      <c r="I4348" s="370">
        <v>3813.5048522949219</v>
      </c>
      <c r="M4348" s="371">
        <f t="shared" si="269"/>
        <v>12781.317638515933</v>
      </c>
      <c r="N4348" s="329">
        <f t="shared" si="270"/>
        <v>153.7598449707034</v>
      </c>
      <c r="T4348" s="331">
        <v>0</v>
      </c>
      <c r="U4348" s="328">
        <f>VLOOKUP(C4348,METADATA!$J$5:$Q$29,IF(E4348="HI",2,IF(E4348="LO",6,10))+IF(T4348=1,2,IF(D4348=7,1,(IF(WEEKDAY(B4348)=1,2,IF(WEEKDAY(B4348)=7,1,0))))))</f>
        <v>3</v>
      </c>
      <c r="V4348" s="328">
        <f>VLOOKUP(C4348,METADATA!$A$5:$H$29,IF(E4348="HI",2,IF(E4348="LO",6,10))+IF(T4348=1,2,IF(D4348=7,1,(IF(WEEKDAY(B4348)=1,2,IF(WEEKDAY(B4348)=7,1,0))))))</f>
        <v>3</v>
      </c>
    </row>
    <row r="4349" spans="2:22">
      <c r="B4349" s="318">
        <f t="shared" si="271"/>
        <v>46294</v>
      </c>
      <c r="C4349" s="312">
        <v>1</v>
      </c>
      <c r="D4349" s="368">
        <f>IFERROR((INDEX(METADATA!$T$2:$T$20,MATCH(B4349,METADATA!$S$2:$S$20,0))),0)</f>
        <v>0</v>
      </c>
      <c r="E4349" s="312" t="str">
        <f t="shared" si="268"/>
        <v>LO</v>
      </c>
      <c r="F4349" s="369">
        <f>VLOOKUP(C4349,METADATA!$A$5:$H$29,IF(E4349="HI",2,IF(E4349="LO",6,10))+IF(D4349=1,2,IF(D4349=7,1,(IF(WEEKDAY(B4349)=1,2,IF(WEEKDAY(B4349)=7,1,0))))))</f>
        <v>3</v>
      </c>
      <c r="G4349" s="369">
        <f>VLOOKUP(C4349,METADATA!$J$5:$Q$29,IF(E4349="HI",2,IF(E4349="LO",6,10))+IF(D4349=1,2,IF(D4349=7,1,(IF(WEEKDAY(B4349)=1,2,IF(WEEKDAY(B4349)=7,1,0))))))</f>
        <v>3</v>
      </c>
      <c r="H4349" s="370">
        <v>12317.450073242188</v>
      </c>
      <c r="I4349" s="370">
        <v>3879.0449829101563</v>
      </c>
      <c r="M4349" s="371">
        <f t="shared" si="269"/>
        <v>12913.813003379537</v>
      </c>
      <c r="N4349" s="329">
        <f t="shared" si="270"/>
        <v>183.80996093750036</v>
      </c>
      <c r="T4349" s="331">
        <v>0</v>
      </c>
      <c r="U4349" s="328">
        <f>VLOOKUP(C4349,METADATA!$J$5:$Q$29,IF(E4349="HI",2,IF(E4349="LO",6,10))+IF(T4349=1,2,IF(D4349=7,1,(IF(WEEKDAY(B4349)=1,2,IF(WEEKDAY(B4349)=7,1,0))))))</f>
        <v>3</v>
      </c>
      <c r="V4349" s="328">
        <f>VLOOKUP(C4349,METADATA!$A$5:$H$29,IF(E4349="HI",2,IF(E4349="LO",6,10))+IF(T4349=1,2,IF(D4349=7,1,(IF(WEEKDAY(B4349)=1,2,IF(WEEKDAY(B4349)=7,1,0))))))</f>
        <v>3</v>
      </c>
    </row>
    <row r="4350" spans="2:22">
      <c r="B4350" s="318">
        <f t="shared" si="271"/>
        <v>46294</v>
      </c>
      <c r="C4350" s="312">
        <v>2</v>
      </c>
      <c r="D4350" s="368">
        <f>IFERROR((INDEX(METADATA!$T$2:$T$20,MATCH(B4350,METADATA!$S$2:$S$20,0))),0)</f>
        <v>0</v>
      </c>
      <c r="E4350" s="312" t="str">
        <f t="shared" si="268"/>
        <v>LO</v>
      </c>
      <c r="F4350" s="369">
        <f>VLOOKUP(C4350,METADATA!$A$5:$H$29,IF(E4350="HI",2,IF(E4350="LO",6,10))+IF(D4350=1,2,IF(D4350=7,1,(IF(WEEKDAY(B4350)=1,2,IF(WEEKDAY(B4350)=7,1,0))))))</f>
        <v>3</v>
      </c>
      <c r="G4350" s="369">
        <f>VLOOKUP(C4350,METADATA!$J$5:$Q$29,IF(E4350="HI",2,IF(E4350="LO",6,10))+IF(D4350=1,2,IF(D4350=7,1,(IF(WEEKDAY(B4350)=1,2,IF(WEEKDAY(B4350)=7,1,0))))))</f>
        <v>3</v>
      </c>
      <c r="H4350" s="370">
        <v>12262.624755859375</v>
      </c>
      <c r="I4350" s="370">
        <v>3749.0149230957031</v>
      </c>
      <c r="M4350" s="371">
        <f t="shared" si="269"/>
        <v>12822.912258789322</v>
      </c>
      <c r="N4350" s="329">
        <f t="shared" si="270"/>
        <v>70.227496337890898</v>
      </c>
      <c r="T4350" s="331">
        <v>0</v>
      </c>
      <c r="U4350" s="328">
        <f>VLOOKUP(C4350,METADATA!$J$5:$Q$29,IF(E4350="HI",2,IF(E4350="LO",6,10))+IF(T4350=1,2,IF(D4350=7,1,(IF(WEEKDAY(B4350)=1,2,IF(WEEKDAY(B4350)=7,1,0))))))</f>
        <v>3</v>
      </c>
      <c r="V4350" s="328">
        <f>VLOOKUP(C4350,METADATA!$A$5:$H$29,IF(E4350="HI",2,IF(E4350="LO",6,10))+IF(T4350=1,2,IF(D4350=7,1,(IF(WEEKDAY(B4350)=1,2,IF(WEEKDAY(B4350)=7,1,0))))))</f>
        <v>3</v>
      </c>
    </row>
    <row r="4351" spans="2:22">
      <c r="B4351" s="318">
        <f t="shared" si="271"/>
        <v>46294</v>
      </c>
      <c r="C4351" s="312">
        <v>3</v>
      </c>
      <c r="D4351" s="368">
        <f>IFERROR((INDEX(METADATA!$T$2:$T$20,MATCH(B4351,METADATA!$S$2:$S$20,0))),0)</f>
        <v>0</v>
      </c>
      <c r="E4351" s="312" t="str">
        <f t="shared" si="268"/>
        <v>LO</v>
      </c>
      <c r="F4351" s="369">
        <f>VLOOKUP(C4351,METADATA!$A$5:$H$29,IF(E4351="HI",2,IF(E4351="LO",6,10))+IF(D4351=1,2,IF(D4351=7,1,(IF(WEEKDAY(B4351)=1,2,IF(WEEKDAY(B4351)=7,1,0))))))</f>
        <v>3</v>
      </c>
      <c r="G4351" s="369">
        <f>VLOOKUP(C4351,METADATA!$J$5:$Q$29,IF(E4351="HI",2,IF(E4351="LO",6,10))+IF(D4351=1,2,IF(D4351=7,1,(IF(WEEKDAY(B4351)=1,2,IF(WEEKDAY(B4351)=7,1,0))))))</f>
        <v>3</v>
      </c>
      <c r="H4351" s="370">
        <v>12047.299865722656</v>
      </c>
      <c r="I4351" s="370">
        <v>3496.3475646972656</v>
      </c>
      <c r="M4351" s="371">
        <f t="shared" si="269"/>
        <v>12544.396372396945</v>
      </c>
      <c r="N4351" s="329">
        <f t="shared" si="270"/>
        <v>0</v>
      </c>
      <c r="T4351" s="331">
        <v>0</v>
      </c>
      <c r="U4351" s="328">
        <f>VLOOKUP(C4351,METADATA!$J$5:$Q$29,IF(E4351="HI",2,IF(E4351="LO",6,10))+IF(T4351=1,2,IF(D4351=7,1,(IF(WEEKDAY(B4351)=1,2,IF(WEEKDAY(B4351)=7,1,0))))))</f>
        <v>3</v>
      </c>
      <c r="V4351" s="328">
        <f>VLOOKUP(C4351,METADATA!$A$5:$H$29,IF(E4351="HI",2,IF(E4351="LO",6,10))+IF(T4351=1,2,IF(D4351=7,1,(IF(WEEKDAY(B4351)=1,2,IF(WEEKDAY(B4351)=7,1,0))))))</f>
        <v>3</v>
      </c>
    </row>
    <row r="4352" spans="2:22">
      <c r="B4352" s="318">
        <f t="shared" si="271"/>
        <v>46294</v>
      </c>
      <c r="C4352" s="312">
        <v>4</v>
      </c>
      <c r="D4352" s="368">
        <f>IFERROR((INDEX(METADATA!$T$2:$T$20,MATCH(B4352,METADATA!$S$2:$S$20,0))),0)</f>
        <v>0</v>
      </c>
      <c r="E4352" s="312" t="str">
        <f t="shared" si="268"/>
        <v>LO</v>
      </c>
      <c r="F4352" s="369">
        <f>VLOOKUP(C4352,METADATA!$A$5:$H$29,IF(E4352="HI",2,IF(E4352="LO",6,10))+IF(D4352=1,2,IF(D4352=7,1,(IF(WEEKDAY(B4352)=1,2,IF(WEEKDAY(B4352)=7,1,0))))))</f>
        <v>3</v>
      </c>
      <c r="G4352" s="369">
        <f>VLOOKUP(C4352,METADATA!$J$5:$Q$29,IF(E4352="HI",2,IF(E4352="LO",6,10))+IF(D4352=1,2,IF(D4352=7,1,(IF(WEEKDAY(B4352)=1,2,IF(WEEKDAY(B4352)=7,1,0))))))</f>
        <v>3</v>
      </c>
      <c r="H4352" s="370">
        <v>12373.350219726563</v>
      </c>
      <c r="I4352" s="370">
        <v>3789.2875061035156</v>
      </c>
      <c r="M4352" s="371">
        <f t="shared" si="269"/>
        <v>12940.575546084476</v>
      </c>
      <c r="N4352" s="329">
        <f t="shared" si="270"/>
        <v>77.282440185546875</v>
      </c>
      <c r="T4352" s="331">
        <v>0</v>
      </c>
      <c r="U4352" s="328">
        <f>VLOOKUP(C4352,METADATA!$J$5:$Q$29,IF(E4352="HI",2,IF(E4352="LO",6,10))+IF(T4352=1,2,IF(D4352=7,1,(IF(WEEKDAY(B4352)=1,2,IF(WEEKDAY(B4352)=7,1,0))))))</f>
        <v>3</v>
      </c>
      <c r="V4352" s="328">
        <f>VLOOKUP(C4352,METADATA!$A$5:$H$29,IF(E4352="HI",2,IF(E4352="LO",6,10))+IF(T4352=1,2,IF(D4352=7,1,(IF(WEEKDAY(B4352)=1,2,IF(WEEKDAY(B4352)=7,1,0))))))</f>
        <v>3</v>
      </c>
    </row>
    <row r="4353" spans="2:22">
      <c r="B4353" s="318">
        <f t="shared" si="271"/>
        <v>46294</v>
      </c>
      <c r="C4353" s="312">
        <v>5</v>
      </c>
      <c r="D4353" s="368">
        <f>IFERROR((INDEX(METADATA!$T$2:$T$20,MATCH(B4353,METADATA!$S$2:$S$20,0))),0)</f>
        <v>0</v>
      </c>
      <c r="E4353" s="312" t="str">
        <f t="shared" si="268"/>
        <v>LO</v>
      </c>
      <c r="F4353" s="369">
        <f>VLOOKUP(C4353,METADATA!$A$5:$H$29,IF(E4353="HI",2,IF(E4353="LO",6,10))+IF(D4353=1,2,IF(D4353=7,1,(IF(WEEKDAY(B4353)=1,2,IF(WEEKDAY(B4353)=7,1,0))))))</f>
        <v>3</v>
      </c>
      <c r="G4353" s="369">
        <f>VLOOKUP(C4353,METADATA!$J$5:$Q$29,IF(E4353="HI",2,IF(E4353="LO",6,10))+IF(D4353=1,2,IF(D4353=7,1,(IF(WEEKDAY(B4353)=1,2,IF(WEEKDAY(B4353)=7,1,0))))))</f>
        <v>3</v>
      </c>
      <c r="H4353" s="370">
        <v>12627.80029296875</v>
      </c>
      <c r="I4353" s="370">
        <v>3833.2949523925781</v>
      </c>
      <c r="M4353" s="371">
        <f t="shared" si="269"/>
        <v>13196.79849172291</v>
      </c>
      <c r="N4353" s="329">
        <f t="shared" si="270"/>
        <v>44.954864501953125</v>
      </c>
      <c r="T4353" s="331">
        <v>0</v>
      </c>
      <c r="U4353" s="328">
        <f>VLOOKUP(C4353,METADATA!$J$5:$Q$29,IF(E4353="HI",2,IF(E4353="LO",6,10))+IF(T4353=1,2,IF(D4353=7,1,(IF(WEEKDAY(B4353)=1,2,IF(WEEKDAY(B4353)=7,1,0))))))</f>
        <v>3</v>
      </c>
      <c r="V4353" s="328">
        <f>VLOOKUP(C4353,METADATA!$A$5:$H$29,IF(E4353="HI",2,IF(E4353="LO",6,10))+IF(T4353=1,2,IF(D4353=7,1,(IF(WEEKDAY(B4353)=1,2,IF(WEEKDAY(B4353)=7,1,0))))))</f>
        <v>3</v>
      </c>
    </row>
    <row r="4354" spans="2:22">
      <c r="B4354" s="318">
        <f t="shared" si="271"/>
        <v>46294</v>
      </c>
      <c r="C4354" s="312">
        <v>6</v>
      </c>
      <c r="D4354" s="368">
        <f>IFERROR((INDEX(METADATA!$T$2:$T$20,MATCH(B4354,METADATA!$S$2:$S$20,0))),0)</f>
        <v>0</v>
      </c>
      <c r="E4354" s="312" t="str">
        <f t="shared" si="268"/>
        <v>LO</v>
      </c>
      <c r="F4354" s="369">
        <f>VLOOKUP(C4354,METADATA!$A$5:$H$29,IF(E4354="HI",2,IF(E4354="LO",6,10))+IF(D4354=1,2,IF(D4354=7,1,(IF(WEEKDAY(B4354)=1,2,IF(WEEKDAY(B4354)=7,1,0))))))</f>
        <v>2</v>
      </c>
      <c r="G4354" s="369">
        <f>VLOOKUP(C4354,METADATA!$J$5:$Q$29,IF(E4354="HI",2,IF(E4354="LO",6,10))+IF(D4354=1,2,IF(D4354=7,1,(IF(WEEKDAY(B4354)=1,2,IF(WEEKDAY(B4354)=7,1,0))))))</f>
        <v>2</v>
      </c>
      <c r="H4354" s="370">
        <v>12560.950073242188</v>
      </c>
      <c r="I4354" s="370">
        <v>3758.6799011230469</v>
      </c>
      <c r="M4354" s="371">
        <f t="shared" si="269"/>
        <v>13111.260097396789</v>
      </c>
      <c r="N4354" s="329">
        <f t="shared" si="270"/>
        <v>0</v>
      </c>
      <c r="T4354" s="331">
        <v>0</v>
      </c>
      <c r="U4354" s="328">
        <f>VLOOKUP(C4354,METADATA!$J$5:$Q$29,IF(E4354="HI",2,IF(E4354="LO",6,10))+IF(T4354=1,2,IF(D4354=7,1,(IF(WEEKDAY(B4354)=1,2,IF(WEEKDAY(B4354)=7,1,0))))))</f>
        <v>2</v>
      </c>
      <c r="V4354" s="328">
        <f>VLOOKUP(C4354,METADATA!$A$5:$H$29,IF(E4354="HI",2,IF(E4354="LO",6,10))+IF(T4354=1,2,IF(D4354=7,1,(IF(WEEKDAY(B4354)=1,2,IF(WEEKDAY(B4354)=7,1,0))))))</f>
        <v>2</v>
      </c>
    </row>
    <row r="4355" spans="2:22">
      <c r="B4355" s="318">
        <f t="shared" si="271"/>
        <v>46294</v>
      </c>
      <c r="C4355" s="312">
        <v>7</v>
      </c>
      <c r="D4355" s="368">
        <f>IFERROR((INDEX(METADATA!$T$2:$T$20,MATCH(B4355,METADATA!$S$2:$S$20,0))),0)</f>
        <v>0</v>
      </c>
      <c r="E4355" s="312" t="str">
        <f t="shared" si="268"/>
        <v>LO</v>
      </c>
      <c r="F4355" s="369">
        <f>VLOOKUP(C4355,METADATA!$A$5:$H$29,IF(E4355="HI",2,IF(E4355="LO",6,10))+IF(D4355=1,2,IF(D4355=7,1,(IF(WEEKDAY(B4355)=1,2,IF(WEEKDAY(B4355)=7,1,0))))))</f>
        <v>1</v>
      </c>
      <c r="G4355" s="369">
        <f>VLOOKUP(C4355,METADATA!$J$5:$Q$29,IF(E4355="HI",2,IF(E4355="LO",6,10))+IF(D4355=1,2,IF(D4355=7,1,(IF(WEEKDAY(B4355)=1,2,IF(WEEKDAY(B4355)=7,1,0))))))</f>
        <v>1</v>
      </c>
      <c r="H4355" s="370">
        <v>12585.249633789063</v>
      </c>
      <c r="I4355" s="370">
        <v>3889.8050231933594</v>
      </c>
      <c r="M4355" s="371">
        <f t="shared" si="269"/>
        <v>13172.664554419049</v>
      </c>
      <c r="N4355" s="329">
        <f t="shared" si="270"/>
        <v>114.23013305664063</v>
      </c>
      <c r="T4355" s="331">
        <v>0</v>
      </c>
      <c r="U4355" s="328">
        <f>VLOOKUP(C4355,METADATA!$J$5:$Q$29,IF(E4355="HI",2,IF(E4355="LO",6,10))+IF(T4355=1,2,IF(D4355=7,1,(IF(WEEKDAY(B4355)=1,2,IF(WEEKDAY(B4355)=7,1,0))))))</f>
        <v>1</v>
      </c>
      <c r="V4355" s="328">
        <f>VLOOKUP(C4355,METADATA!$A$5:$H$29,IF(E4355="HI",2,IF(E4355="LO",6,10))+IF(T4355=1,2,IF(D4355=7,1,(IF(WEEKDAY(B4355)=1,2,IF(WEEKDAY(B4355)=7,1,0))))))</f>
        <v>1</v>
      </c>
    </row>
    <row r="4356" spans="2:22">
      <c r="B4356" s="318">
        <f t="shared" si="271"/>
        <v>46294</v>
      </c>
      <c r="C4356" s="312">
        <v>8</v>
      </c>
      <c r="D4356" s="368">
        <f>IFERROR((INDEX(METADATA!$T$2:$T$20,MATCH(B4356,METADATA!$S$2:$S$20,0))),0)</f>
        <v>0</v>
      </c>
      <c r="E4356" s="312" t="str">
        <f t="shared" ref="E4356:E4419" si="272">IF(B4356="","",IF(AND(MONTH(B4356)&gt;=MONTH($Z$9),MONTH(B4356)&lt;=MONTH($Z$11)),"HI","LO"))</f>
        <v>LO</v>
      </c>
      <c r="F4356" s="369">
        <f>VLOOKUP(C4356,METADATA!$A$5:$H$29,IF(E4356="HI",2,IF(E4356="LO",6,10))+IF(D4356=1,2,IF(D4356=7,1,(IF(WEEKDAY(B4356)=1,2,IF(WEEKDAY(B4356)=7,1,0))))))</f>
        <v>1</v>
      </c>
      <c r="G4356" s="369">
        <f>VLOOKUP(C4356,METADATA!$J$5:$Q$29,IF(E4356="HI",2,IF(E4356="LO",6,10))+IF(D4356=1,2,IF(D4356=7,1,(IF(WEEKDAY(B4356)=1,2,IF(WEEKDAY(B4356)=7,1,0))))))</f>
        <v>1</v>
      </c>
      <c r="H4356" s="370">
        <v>12624.949951171875</v>
      </c>
      <c r="I4356" s="370">
        <v>3876.1150207519531</v>
      </c>
      <c r="M4356" s="371">
        <f t="shared" ref="M4356:M4419" si="273">SQRT(H4356^2+I4356^2)</f>
        <v>13206.575215539176</v>
      </c>
      <c r="N4356" s="329">
        <f t="shared" ref="N4356:N4419" si="274">IF(H4356=0,0,(IF(I4356-(0.3*H4356)&lt;0,0,(I4356-(0.3*H4356)))))</f>
        <v>88.630035400390625</v>
      </c>
      <c r="T4356" s="331">
        <v>0</v>
      </c>
      <c r="U4356" s="328">
        <f>VLOOKUP(C4356,METADATA!$J$5:$Q$29,IF(E4356="HI",2,IF(E4356="LO",6,10))+IF(T4356=1,2,IF(D4356=7,1,(IF(WEEKDAY(B4356)=1,2,IF(WEEKDAY(B4356)=7,1,0))))))</f>
        <v>1</v>
      </c>
      <c r="V4356" s="328">
        <f>VLOOKUP(C4356,METADATA!$A$5:$H$29,IF(E4356="HI",2,IF(E4356="LO",6,10))+IF(T4356=1,2,IF(D4356=7,1,(IF(WEEKDAY(B4356)=1,2,IF(WEEKDAY(B4356)=7,1,0))))))</f>
        <v>1</v>
      </c>
    </row>
    <row r="4357" spans="2:22">
      <c r="B4357" s="318">
        <f t="shared" si="271"/>
        <v>46294</v>
      </c>
      <c r="C4357" s="312">
        <v>9</v>
      </c>
      <c r="D4357" s="368">
        <f>IFERROR((INDEX(METADATA!$T$2:$T$20,MATCH(B4357,METADATA!$S$2:$S$20,0))),0)</f>
        <v>0</v>
      </c>
      <c r="E4357" s="312" t="str">
        <f t="shared" si="272"/>
        <v>LO</v>
      </c>
      <c r="F4357" s="369">
        <f>VLOOKUP(C4357,METADATA!$A$5:$H$29,IF(E4357="HI",2,IF(E4357="LO",6,10))+IF(D4357=1,2,IF(D4357=7,1,(IF(WEEKDAY(B4357)=1,2,IF(WEEKDAY(B4357)=7,1,0))))))</f>
        <v>2</v>
      </c>
      <c r="G4357" s="369">
        <f>VLOOKUP(C4357,METADATA!$J$5:$Q$29,IF(E4357="HI",2,IF(E4357="LO",6,10))+IF(D4357=1,2,IF(D4357=7,1,(IF(WEEKDAY(B4357)=1,2,IF(WEEKDAY(B4357)=7,1,0))))))</f>
        <v>2</v>
      </c>
      <c r="H4357" s="370">
        <v>12300.550170898438</v>
      </c>
      <c r="I4357" s="370">
        <v>3505.6549987792969</v>
      </c>
      <c r="M4357" s="371">
        <f t="shared" si="273"/>
        <v>12790.353844880752</v>
      </c>
      <c r="N4357" s="329">
        <f t="shared" si="274"/>
        <v>0</v>
      </c>
      <c r="T4357" s="331">
        <v>0</v>
      </c>
      <c r="U4357" s="328">
        <f>VLOOKUP(C4357,METADATA!$J$5:$Q$29,IF(E4357="HI",2,IF(E4357="LO",6,10))+IF(T4357=1,2,IF(D4357=7,1,(IF(WEEKDAY(B4357)=1,2,IF(WEEKDAY(B4357)=7,1,0))))))</f>
        <v>2</v>
      </c>
      <c r="V4357" s="328">
        <f>VLOOKUP(C4357,METADATA!$A$5:$H$29,IF(E4357="HI",2,IF(E4357="LO",6,10))+IF(T4357=1,2,IF(D4357=7,1,(IF(WEEKDAY(B4357)=1,2,IF(WEEKDAY(B4357)=7,1,0))))))</f>
        <v>2</v>
      </c>
    </row>
    <row r="4358" spans="2:22">
      <c r="B4358" s="318">
        <f t="shared" si="271"/>
        <v>46294</v>
      </c>
      <c r="C4358" s="312">
        <v>10</v>
      </c>
      <c r="D4358" s="368">
        <f>IFERROR((INDEX(METADATA!$T$2:$T$20,MATCH(B4358,METADATA!$S$2:$S$20,0))),0)</f>
        <v>0</v>
      </c>
      <c r="E4358" s="312" t="str">
        <f t="shared" si="272"/>
        <v>LO</v>
      </c>
      <c r="F4358" s="369">
        <f>VLOOKUP(C4358,METADATA!$A$5:$H$29,IF(E4358="HI",2,IF(E4358="LO",6,10))+IF(D4358=1,2,IF(D4358=7,1,(IF(WEEKDAY(B4358)=1,2,IF(WEEKDAY(B4358)=7,1,0))))))</f>
        <v>2</v>
      </c>
      <c r="G4358" s="369">
        <f>VLOOKUP(C4358,METADATA!$J$5:$Q$29,IF(E4358="HI",2,IF(E4358="LO",6,10))+IF(D4358=1,2,IF(D4358=7,1,(IF(WEEKDAY(B4358)=1,2,IF(WEEKDAY(B4358)=7,1,0))))))</f>
        <v>2</v>
      </c>
      <c r="H4358" s="370">
        <v>10854.650146484375</v>
      </c>
      <c r="I4358" s="370">
        <v>2706.6175231933594</v>
      </c>
      <c r="M4358" s="371">
        <f t="shared" si="273"/>
        <v>11187.01069184394</v>
      </c>
      <c r="N4358" s="329">
        <f t="shared" si="274"/>
        <v>0</v>
      </c>
      <c r="T4358" s="331">
        <v>0</v>
      </c>
      <c r="U4358" s="328">
        <f>VLOOKUP(C4358,METADATA!$J$5:$Q$29,IF(E4358="HI",2,IF(E4358="LO",6,10))+IF(T4358=1,2,IF(D4358=7,1,(IF(WEEKDAY(B4358)=1,2,IF(WEEKDAY(B4358)=7,1,0))))))</f>
        <v>2</v>
      </c>
      <c r="V4358" s="328">
        <f>VLOOKUP(C4358,METADATA!$A$5:$H$29,IF(E4358="HI",2,IF(E4358="LO",6,10))+IF(T4358=1,2,IF(D4358=7,1,(IF(WEEKDAY(B4358)=1,2,IF(WEEKDAY(B4358)=7,1,0))))))</f>
        <v>2</v>
      </c>
    </row>
    <row r="4359" spans="2:22">
      <c r="B4359" s="318">
        <f t="shared" si="271"/>
        <v>46294</v>
      </c>
      <c r="C4359" s="312">
        <v>11</v>
      </c>
      <c r="D4359" s="368">
        <f>IFERROR((INDEX(METADATA!$T$2:$T$20,MATCH(B4359,METADATA!$S$2:$S$20,0))),0)</f>
        <v>0</v>
      </c>
      <c r="E4359" s="312" t="str">
        <f t="shared" si="272"/>
        <v>LO</v>
      </c>
      <c r="F4359" s="369">
        <f>VLOOKUP(C4359,METADATA!$A$5:$H$29,IF(E4359="HI",2,IF(E4359="LO",6,10))+IF(D4359=1,2,IF(D4359=7,1,(IF(WEEKDAY(B4359)=1,2,IF(WEEKDAY(B4359)=7,1,0))))))</f>
        <v>2</v>
      </c>
      <c r="G4359" s="369">
        <f>VLOOKUP(C4359,METADATA!$J$5:$Q$29,IF(E4359="HI",2,IF(E4359="LO",6,10))+IF(D4359=1,2,IF(D4359=7,1,(IF(WEEKDAY(B4359)=1,2,IF(WEEKDAY(B4359)=7,1,0))))))</f>
        <v>2</v>
      </c>
      <c r="H4359" s="370">
        <v>11528.026000976563</v>
      </c>
      <c r="I4359" s="370">
        <v>3246.2755126953125</v>
      </c>
      <c r="M4359" s="371">
        <f t="shared" si="273"/>
        <v>11976.380429141222</v>
      </c>
      <c r="N4359" s="329">
        <f t="shared" si="274"/>
        <v>0</v>
      </c>
      <c r="T4359" s="331">
        <v>0</v>
      </c>
      <c r="U4359" s="328">
        <f>VLOOKUP(C4359,METADATA!$J$5:$Q$29,IF(E4359="HI",2,IF(E4359="LO",6,10))+IF(T4359=1,2,IF(D4359=7,1,(IF(WEEKDAY(B4359)=1,2,IF(WEEKDAY(B4359)=7,1,0))))))</f>
        <v>2</v>
      </c>
      <c r="V4359" s="328">
        <f>VLOOKUP(C4359,METADATA!$A$5:$H$29,IF(E4359="HI",2,IF(E4359="LO",6,10))+IF(T4359=1,2,IF(D4359=7,1,(IF(WEEKDAY(B4359)=1,2,IF(WEEKDAY(B4359)=7,1,0))))))</f>
        <v>2</v>
      </c>
    </row>
    <row r="4360" spans="2:22">
      <c r="B4360" s="318">
        <f t="shared" si="271"/>
        <v>46294</v>
      </c>
      <c r="C4360" s="312">
        <v>12</v>
      </c>
      <c r="D4360" s="368">
        <f>IFERROR((INDEX(METADATA!$T$2:$T$20,MATCH(B4360,METADATA!$S$2:$S$20,0))),0)</f>
        <v>0</v>
      </c>
      <c r="E4360" s="312" t="str">
        <f t="shared" si="272"/>
        <v>LO</v>
      </c>
      <c r="F4360" s="369">
        <f>VLOOKUP(C4360,METADATA!$A$5:$H$29,IF(E4360="HI",2,IF(E4360="LO",6,10))+IF(D4360=1,2,IF(D4360=7,1,(IF(WEEKDAY(B4360)=1,2,IF(WEEKDAY(B4360)=7,1,0))))))</f>
        <v>2</v>
      </c>
      <c r="G4360" s="369">
        <f>VLOOKUP(C4360,METADATA!$J$5:$Q$29,IF(E4360="HI",2,IF(E4360="LO",6,10))+IF(D4360=1,2,IF(D4360=7,1,(IF(WEEKDAY(B4360)=1,2,IF(WEEKDAY(B4360)=7,1,0))))))</f>
        <v>2</v>
      </c>
      <c r="H4360" s="370">
        <v>11615.099914550781</v>
      </c>
      <c r="I4360" s="370">
        <v>3381.1625366210938</v>
      </c>
      <c r="M4360" s="371">
        <f t="shared" si="273"/>
        <v>12097.223074906387</v>
      </c>
      <c r="N4360" s="329">
        <f t="shared" si="274"/>
        <v>0</v>
      </c>
      <c r="T4360" s="331">
        <v>0</v>
      </c>
      <c r="U4360" s="328">
        <f>VLOOKUP(C4360,METADATA!$J$5:$Q$29,IF(E4360="HI",2,IF(E4360="LO",6,10))+IF(T4360=1,2,IF(D4360=7,1,(IF(WEEKDAY(B4360)=1,2,IF(WEEKDAY(B4360)=7,1,0))))))</f>
        <v>2</v>
      </c>
      <c r="V4360" s="328">
        <f>VLOOKUP(C4360,METADATA!$A$5:$H$29,IF(E4360="HI",2,IF(E4360="LO",6,10))+IF(T4360=1,2,IF(D4360=7,1,(IF(WEEKDAY(B4360)=1,2,IF(WEEKDAY(B4360)=7,1,0))))))</f>
        <v>2</v>
      </c>
    </row>
    <row r="4361" spans="2:22">
      <c r="B4361" s="318">
        <f t="shared" si="271"/>
        <v>46294</v>
      </c>
      <c r="C4361" s="312">
        <v>13</v>
      </c>
      <c r="D4361" s="368">
        <f>IFERROR((INDEX(METADATA!$T$2:$T$20,MATCH(B4361,METADATA!$S$2:$S$20,0))),0)</f>
        <v>0</v>
      </c>
      <c r="E4361" s="312" t="str">
        <f t="shared" si="272"/>
        <v>LO</v>
      </c>
      <c r="F4361" s="369">
        <f>VLOOKUP(C4361,METADATA!$A$5:$H$29,IF(E4361="HI",2,IF(E4361="LO",6,10))+IF(D4361=1,2,IF(D4361=7,1,(IF(WEEKDAY(B4361)=1,2,IF(WEEKDAY(B4361)=7,1,0))))))</f>
        <v>2</v>
      </c>
      <c r="G4361" s="369">
        <f>VLOOKUP(C4361,METADATA!$J$5:$Q$29,IF(E4361="HI",2,IF(E4361="LO",6,10))+IF(D4361=1,2,IF(D4361=7,1,(IF(WEEKDAY(B4361)=1,2,IF(WEEKDAY(B4361)=7,1,0))))))</f>
        <v>2</v>
      </c>
      <c r="H4361" s="370">
        <v>11948.000244140625</v>
      </c>
      <c r="I4361" s="370">
        <v>3710.3599853515625</v>
      </c>
      <c r="M4361" s="371">
        <f t="shared" si="273"/>
        <v>12510.85452936299</v>
      </c>
      <c r="N4361" s="329">
        <f t="shared" si="274"/>
        <v>125.95991210937518</v>
      </c>
      <c r="T4361" s="331">
        <v>0</v>
      </c>
      <c r="U4361" s="328">
        <f>VLOOKUP(C4361,METADATA!$J$5:$Q$29,IF(E4361="HI",2,IF(E4361="LO",6,10))+IF(T4361=1,2,IF(D4361=7,1,(IF(WEEKDAY(B4361)=1,2,IF(WEEKDAY(B4361)=7,1,0))))))</f>
        <v>2</v>
      </c>
      <c r="V4361" s="328">
        <f>VLOOKUP(C4361,METADATA!$A$5:$H$29,IF(E4361="HI",2,IF(E4361="LO",6,10))+IF(T4361=1,2,IF(D4361=7,1,(IF(WEEKDAY(B4361)=1,2,IF(WEEKDAY(B4361)=7,1,0))))))</f>
        <v>2</v>
      </c>
    </row>
    <row r="4362" spans="2:22">
      <c r="B4362" s="318">
        <f t="shared" si="271"/>
        <v>46294</v>
      </c>
      <c r="C4362" s="312">
        <v>14</v>
      </c>
      <c r="D4362" s="368">
        <f>IFERROR((INDEX(METADATA!$T$2:$T$20,MATCH(B4362,METADATA!$S$2:$S$20,0))),0)</f>
        <v>0</v>
      </c>
      <c r="E4362" s="312" t="str">
        <f t="shared" si="272"/>
        <v>LO</v>
      </c>
      <c r="F4362" s="369">
        <f>VLOOKUP(C4362,METADATA!$A$5:$H$29,IF(E4362="HI",2,IF(E4362="LO",6,10))+IF(D4362=1,2,IF(D4362=7,1,(IF(WEEKDAY(B4362)=1,2,IF(WEEKDAY(B4362)=7,1,0))))))</f>
        <v>2</v>
      </c>
      <c r="G4362" s="369">
        <f>VLOOKUP(C4362,METADATA!$J$5:$Q$29,IF(E4362="HI",2,IF(E4362="LO",6,10))+IF(D4362=1,2,IF(D4362=7,1,(IF(WEEKDAY(B4362)=1,2,IF(WEEKDAY(B4362)=7,1,0))))))</f>
        <v>2</v>
      </c>
      <c r="H4362" s="370">
        <v>11827.075012207031</v>
      </c>
      <c r="I4362" s="370">
        <v>3671.3700256347656</v>
      </c>
      <c r="M4362" s="371">
        <f t="shared" si="273"/>
        <v>12383.806410369203</v>
      </c>
      <c r="N4362" s="329">
        <f t="shared" si="274"/>
        <v>123.24752197265616</v>
      </c>
      <c r="T4362" s="331">
        <v>0</v>
      </c>
      <c r="U4362" s="328">
        <f>VLOOKUP(C4362,METADATA!$J$5:$Q$29,IF(E4362="HI",2,IF(E4362="LO",6,10))+IF(T4362=1,2,IF(D4362=7,1,(IF(WEEKDAY(B4362)=1,2,IF(WEEKDAY(B4362)=7,1,0))))))</f>
        <v>2</v>
      </c>
      <c r="V4362" s="328">
        <f>VLOOKUP(C4362,METADATA!$A$5:$H$29,IF(E4362="HI",2,IF(E4362="LO",6,10))+IF(T4362=1,2,IF(D4362=7,1,(IF(WEEKDAY(B4362)=1,2,IF(WEEKDAY(B4362)=7,1,0))))))</f>
        <v>2</v>
      </c>
    </row>
    <row r="4363" spans="2:22">
      <c r="B4363" s="318">
        <f t="shared" si="271"/>
        <v>46294</v>
      </c>
      <c r="C4363" s="312">
        <v>15</v>
      </c>
      <c r="D4363" s="368">
        <f>IFERROR((INDEX(METADATA!$T$2:$T$20,MATCH(B4363,METADATA!$S$2:$S$20,0))),0)</f>
        <v>0</v>
      </c>
      <c r="E4363" s="312" t="str">
        <f t="shared" si="272"/>
        <v>LO</v>
      </c>
      <c r="F4363" s="369">
        <f>VLOOKUP(C4363,METADATA!$A$5:$H$29,IF(E4363="HI",2,IF(E4363="LO",6,10))+IF(D4363=1,2,IF(D4363=7,1,(IF(WEEKDAY(B4363)=1,2,IF(WEEKDAY(B4363)=7,1,0))))))</f>
        <v>2</v>
      </c>
      <c r="G4363" s="369">
        <f>VLOOKUP(C4363,METADATA!$J$5:$Q$29,IF(E4363="HI",2,IF(E4363="LO",6,10))+IF(D4363=1,2,IF(D4363=7,1,(IF(WEEKDAY(B4363)=1,2,IF(WEEKDAY(B4363)=7,1,0))))))</f>
        <v>2</v>
      </c>
      <c r="H4363" s="370">
        <v>12563.800048828125</v>
      </c>
      <c r="I4363" s="370">
        <v>4008.030029296875</v>
      </c>
      <c r="M4363" s="371">
        <f t="shared" si="273"/>
        <v>13187.622089773391</v>
      </c>
      <c r="N4363" s="329">
        <f t="shared" si="274"/>
        <v>238.8900146484375</v>
      </c>
      <c r="T4363" s="331">
        <v>0</v>
      </c>
      <c r="U4363" s="328">
        <f>VLOOKUP(C4363,METADATA!$J$5:$Q$29,IF(E4363="HI",2,IF(E4363="LO",6,10))+IF(T4363=1,2,IF(D4363=7,1,(IF(WEEKDAY(B4363)=1,2,IF(WEEKDAY(B4363)=7,1,0))))))</f>
        <v>2</v>
      </c>
      <c r="V4363" s="328">
        <f>VLOOKUP(C4363,METADATA!$A$5:$H$29,IF(E4363="HI",2,IF(E4363="LO",6,10))+IF(T4363=1,2,IF(D4363=7,1,(IF(WEEKDAY(B4363)=1,2,IF(WEEKDAY(B4363)=7,1,0))))))</f>
        <v>2</v>
      </c>
    </row>
    <row r="4364" spans="2:22">
      <c r="B4364" s="318">
        <f t="shared" si="271"/>
        <v>46294</v>
      </c>
      <c r="C4364" s="312">
        <v>16</v>
      </c>
      <c r="D4364" s="368">
        <f>IFERROR((INDEX(METADATA!$T$2:$T$20,MATCH(B4364,METADATA!$S$2:$S$20,0))),0)</f>
        <v>0</v>
      </c>
      <c r="E4364" s="312" t="str">
        <f t="shared" si="272"/>
        <v>LO</v>
      </c>
      <c r="F4364" s="369">
        <f>VLOOKUP(C4364,METADATA!$A$5:$H$29,IF(E4364="HI",2,IF(E4364="LO",6,10))+IF(D4364=1,2,IF(D4364=7,1,(IF(WEEKDAY(B4364)=1,2,IF(WEEKDAY(B4364)=7,1,0))))))</f>
        <v>2</v>
      </c>
      <c r="G4364" s="369">
        <f>VLOOKUP(C4364,METADATA!$J$5:$Q$29,IF(E4364="HI",2,IF(E4364="LO",6,10))+IF(D4364=1,2,IF(D4364=7,1,(IF(WEEKDAY(B4364)=1,2,IF(WEEKDAY(B4364)=7,1,0))))))</f>
        <v>2</v>
      </c>
      <c r="H4364" s="370">
        <v>12619.224975585938</v>
      </c>
      <c r="I4364" s="370">
        <v>3976.5950012207031</v>
      </c>
      <c r="M4364" s="371">
        <f t="shared" si="273"/>
        <v>13230.954114809158</v>
      </c>
      <c r="N4364" s="329">
        <f t="shared" si="274"/>
        <v>190.82750854492224</v>
      </c>
      <c r="T4364" s="331">
        <v>0</v>
      </c>
      <c r="U4364" s="328">
        <f>VLOOKUP(C4364,METADATA!$J$5:$Q$29,IF(E4364="HI",2,IF(E4364="LO",6,10))+IF(T4364=1,2,IF(D4364=7,1,(IF(WEEKDAY(B4364)=1,2,IF(WEEKDAY(B4364)=7,1,0))))))</f>
        <v>2</v>
      </c>
      <c r="V4364" s="328">
        <f>VLOOKUP(C4364,METADATA!$A$5:$H$29,IF(E4364="HI",2,IF(E4364="LO",6,10))+IF(T4364=1,2,IF(D4364=7,1,(IF(WEEKDAY(B4364)=1,2,IF(WEEKDAY(B4364)=7,1,0))))))</f>
        <v>2</v>
      </c>
    </row>
    <row r="4365" spans="2:22">
      <c r="B4365" s="318">
        <f t="shared" si="271"/>
        <v>46294</v>
      </c>
      <c r="C4365" s="312">
        <v>17</v>
      </c>
      <c r="D4365" s="368">
        <f>IFERROR((INDEX(METADATA!$T$2:$T$20,MATCH(B4365,METADATA!$S$2:$S$20,0))),0)</f>
        <v>0</v>
      </c>
      <c r="E4365" s="312" t="str">
        <f t="shared" si="272"/>
        <v>LO</v>
      </c>
      <c r="F4365" s="369">
        <f>VLOOKUP(C4365,METADATA!$A$5:$H$29,IF(E4365="HI",2,IF(E4365="LO",6,10))+IF(D4365=1,2,IF(D4365=7,1,(IF(WEEKDAY(B4365)=1,2,IF(WEEKDAY(B4365)=7,1,0))))))</f>
        <v>2</v>
      </c>
      <c r="G4365" s="369">
        <f>VLOOKUP(C4365,METADATA!$J$5:$Q$29,IF(E4365="HI",2,IF(E4365="LO",6,10))+IF(D4365=1,2,IF(D4365=7,1,(IF(WEEKDAY(B4365)=1,2,IF(WEEKDAY(B4365)=7,1,0))))))</f>
        <v>2</v>
      </c>
      <c r="H4365" s="370">
        <v>12523.350341796875</v>
      </c>
      <c r="I4365" s="370">
        <v>4038.9599914550781</v>
      </c>
      <c r="M4365" s="371">
        <f t="shared" si="273"/>
        <v>13158.552412631061</v>
      </c>
      <c r="N4365" s="329">
        <f t="shared" si="274"/>
        <v>281.95488891601599</v>
      </c>
      <c r="T4365" s="331">
        <v>0</v>
      </c>
      <c r="U4365" s="328">
        <f>VLOOKUP(C4365,METADATA!$J$5:$Q$29,IF(E4365="HI",2,IF(E4365="LO",6,10))+IF(T4365=1,2,IF(D4365=7,1,(IF(WEEKDAY(B4365)=1,2,IF(WEEKDAY(B4365)=7,1,0))))))</f>
        <v>2</v>
      </c>
      <c r="V4365" s="328">
        <f>VLOOKUP(C4365,METADATA!$A$5:$H$29,IF(E4365="HI",2,IF(E4365="LO",6,10))+IF(T4365=1,2,IF(D4365=7,1,(IF(WEEKDAY(B4365)=1,2,IF(WEEKDAY(B4365)=7,1,0))))))</f>
        <v>2</v>
      </c>
    </row>
    <row r="4366" spans="2:22">
      <c r="B4366" s="318">
        <f t="shared" si="271"/>
        <v>46294</v>
      </c>
      <c r="C4366" s="312">
        <v>18</v>
      </c>
      <c r="D4366" s="368">
        <f>IFERROR((INDEX(METADATA!$T$2:$T$20,MATCH(B4366,METADATA!$S$2:$S$20,0))),0)</f>
        <v>0</v>
      </c>
      <c r="E4366" s="312" t="str">
        <f t="shared" si="272"/>
        <v>LO</v>
      </c>
      <c r="F4366" s="369">
        <f>VLOOKUP(C4366,METADATA!$A$5:$H$29,IF(E4366="HI",2,IF(E4366="LO",6,10))+IF(D4366=1,2,IF(D4366=7,1,(IF(WEEKDAY(B4366)=1,2,IF(WEEKDAY(B4366)=7,1,0))))))</f>
        <v>1</v>
      </c>
      <c r="G4366" s="369">
        <f>VLOOKUP(C4366,METADATA!$J$5:$Q$29,IF(E4366="HI",2,IF(E4366="LO",6,10))+IF(D4366=1,2,IF(D4366=7,1,(IF(WEEKDAY(B4366)=1,2,IF(WEEKDAY(B4366)=7,1,0))))))</f>
        <v>1</v>
      </c>
      <c r="H4366" s="370">
        <v>12594.274780273438</v>
      </c>
      <c r="I4366" s="370">
        <v>4041.7950439453125</v>
      </c>
      <c r="M4366" s="371">
        <f t="shared" si="273"/>
        <v>13226.937076220345</v>
      </c>
      <c r="N4366" s="329">
        <f t="shared" si="274"/>
        <v>263.51260986328134</v>
      </c>
      <c r="T4366" s="331">
        <v>0</v>
      </c>
      <c r="U4366" s="328">
        <f>VLOOKUP(C4366,METADATA!$J$5:$Q$29,IF(E4366="HI",2,IF(E4366="LO",6,10))+IF(T4366=1,2,IF(D4366=7,1,(IF(WEEKDAY(B4366)=1,2,IF(WEEKDAY(B4366)=7,1,0))))))</f>
        <v>1</v>
      </c>
      <c r="V4366" s="328">
        <f>VLOOKUP(C4366,METADATA!$A$5:$H$29,IF(E4366="HI",2,IF(E4366="LO",6,10))+IF(T4366=1,2,IF(D4366=7,1,(IF(WEEKDAY(B4366)=1,2,IF(WEEKDAY(B4366)=7,1,0))))))</f>
        <v>1</v>
      </c>
    </row>
    <row r="4367" spans="2:22">
      <c r="B4367" s="318">
        <f t="shared" si="271"/>
        <v>46294</v>
      </c>
      <c r="C4367" s="312">
        <v>19</v>
      </c>
      <c r="D4367" s="368">
        <f>IFERROR((INDEX(METADATA!$T$2:$T$20,MATCH(B4367,METADATA!$S$2:$S$20,0))),0)</f>
        <v>0</v>
      </c>
      <c r="E4367" s="312" t="str">
        <f t="shared" si="272"/>
        <v>LO</v>
      </c>
      <c r="F4367" s="369">
        <f>VLOOKUP(C4367,METADATA!$A$5:$H$29,IF(E4367="HI",2,IF(E4367="LO",6,10))+IF(D4367=1,2,IF(D4367=7,1,(IF(WEEKDAY(B4367)=1,2,IF(WEEKDAY(B4367)=7,1,0))))))</f>
        <v>1</v>
      </c>
      <c r="G4367" s="369">
        <f>VLOOKUP(C4367,METADATA!$J$5:$Q$29,IF(E4367="HI",2,IF(E4367="LO",6,10))+IF(D4367=1,2,IF(D4367=7,1,(IF(WEEKDAY(B4367)=1,2,IF(WEEKDAY(B4367)=7,1,0))))))</f>
        <v>1</v>
      </c>
      <c r="H4367" s="370">
        <v>12479.949768066406</v>
      </c>
      <c r="I4367" s="370">
        <v>4013.6051330566406</v>
      </c>
      <c r="M4367" s="371">
        <f t="shared" si="273"/>
        <v>13109.468806079038</v>
      </c>
      <c r="N4367" s="329">
        <f t="shared" si="274"/>
        <v>269.62020263671911</v>
      </c>
      <c r="T4367" s="331">
        <v>0</v>
      </c>
      <c r="U4367" s="328">
        <f>VLOOKUP(C4367,METADATA!$J$5:$Q$29,IF(E4367="HI",2,IF(E4367="LO",6,10))+IF(T4367=1,2,IF(D4367=7,1,(IF(WEEKDAY(B4367)=1,2,IF(WEEKDAY(B4367)=7,1,0))))))</f>
        <v>1</v>
      </c>
      <c r="V4367" s="328">
        <f>VLOOKUP(C4367,METADATA!$A$5:$H$29,IF(E4367="HI",2,IF(E4367="LO",6,10))+IF(T4367=1,2,IF(D4367=7,1,(IF(WEEKDAY(B4367)=1,2,IF(WEEKDAY(B4367)=7,1,0))))))</f>
        <v>1</v>
      </c>
    </row>
    <row r="4368" spans="2:22">
      <c r="B4368" s="318">
        <f t="shared" si="271"/>
        <v>46294</v>
      </c>
      <c r="C4368" s="312">
        <v>20</v>
      </c>
      <c r="D4368" s="368">
        <f>IFERROR((INDEX(METADATA!$T$2:$T$20,MATCH(B4368,METADATA!$S$2:$S$20,0))),0)</f>
        <v>0</v>
      </c>
      <c r="E4368" s="312" t="str">
        <f t="shared" si="272"/>
        <v>LO</v>
      </c>
      <c r="F4368" s="369">
        <f>VLOOKUP(C4368,METADATA!$A$5:$H$29,IF(E4368="HI",2,IF(E4368="LO",6,10))+IF(D4368=1,2,IF(D4368=7,1,(IF(WEEKDAY(B4368)=1,2,IF(WEEKDAY(B4368)=7,1,0))))))</f>
        <v>1</v>
      </c>
      <c r="G4368" s="369">
        <f>VLOOKUP(C4368,METADATA!$J$5:$Q$29,IF(E4368="HI",2,IF(E4368="LO",6,10))+IF(D4368=1,2,IF(D4368=7,1,(IF(WEEKDAY(B4368)=1,2,IF(WEEKDAY(B4368)=7,1,0))))))</f>
        <v>1</v>
      </c>
      <c r="H4368" s="370">
        <v>12447.224609375</v>
      </c>
      <c r="I4368" s="370">
        <v>3908.9099731445313</v>
      </c>
      <c r="M4368" s="371">
        <f t="shared" si="273"/>
        <v>13046.569574197632</v>
      </c>
      <c r="N4368" s="329">
        <f t="shared" si="274"/>
        <v>174.74259033203134</v>
      </c>
      <c r="T4368" s="331">
        <v>0</v>
      </c>
      <c r="U4368" s="328">
        <f>VLOOKUP(C4368,METADATA!$J$5:$Q$29,IF(E4368="HI",2,IF(E4368="LO",6,10))+IF(T4368=1,2,IF(D4368=7,1,(IF(WEEKDAY(B4368)=1,2,IF(WEEKDAY(B4368)=7,1,0))))))</f>
        <v>1</v>
      </c>
      <c r="V4368" s="328">
        <f>VLOOKUP(C4368,METADATA!$A$5:$H$29,IF(E4368="HI",2,IF(E4368="LO",6,10))+IF(T4368=1,2,IF(D4368=7,1,(IF(WEEKDAY(B4368)=1,2,IF(WEEKDAY(B4368)=7,1,0))))))</f>
        <v>1</v>
      </c>
    </row>
    <row r="4369" spans="2:22">
      <c r="B4369" s="318">
        <f t="shared" si="271"/>
        <v>46294</v>
      </c>
      <c r="C4369" s="312">
        <v>21</v>
      </c>
      <c r="D4369" s="368">
        <f>IFERROR((INDEX(METADATA!$T$2:$T$20,MATCH(B4369,METADATA!$S$2:$S$20,0))),0)</f>
        <v>0</v>
      </c>
      <c r="E4369" s="312" t="str">
        <f t="shared" si="272"/>
        <v>LO</v>
      </c>
      <c r="F4369" s="369">
        <f>VLOOKUP(C4369,METADATA!$A$5:$H$29,IF(E4369="HI",2,IF(E4369="LO",6,10))+IF(D4369=1,2,IF(D4369=7,1,(IF(WEEKDAY(B4369)=1,2,IF(WEEKDAY(B4369)=7,1,0))))))</f>
        <v>2</v>
      </c>
      <c r="G4369" s="369">
        <f>VLOOKUP(C4369,METADATA!$J$5:$Q$29,IF(E4369="HI",2,IF(E4369="LO",6,10))+IF(D4369=1,2,IF(D4369=7,1,(IF(WEEKDAY(B4369)=1,2,IF(WEEKDAY(B4369)=7,1,0))))))</f>
        <v>2</v>
      </c>
      <c r="H4369" s="370">
        <v>12333.400085449219</v>
      </c>
      <c r="I4369" s="370">
        <v>3897.4850158691406</v>
      </c>
      <c r="M4369" s="371">
        <f t="shared" si="273"/>
        <v>12934.571779408983</v>
      </c>
      <c r="N4369" s="329">
        <f t="shared" si="274"/>
        <v>197.46499023437536</v>
      </c>
      <c r="T4369" s="331">
        <v>0</v>
      </c>
      <c r="U4369" s="328">
        <f>VLOOKUP(C4369,METADATA!$J$5:$Q$29,IF(E4369="HI",2,IF(E4369="LO",6,10))+IF(T4369=1,2,IF(D4369=7,1,(IF(WEEKDAY(B4369)=1,2,IF(WEEKDAY(B4369)=7,1,0))))))</f>
        <v>2</v>
      </c>
      <c r="V4369" s="328">
        <f>VLOOKUP(C4369,METADATA!$A$5:$H$29,IF(E4369="HI",2,IF(E4369="LO",6,10))+IF(T4369=1,2,IF(D4369=7,1,(IF(WEEKDAY(B4369)=1,2,IF(WEEKDAY(B4369)=7,1,0))))))</f>
        <v>2</v>
      </c>
    </row>
    <row r="4370" spans="2:22">
      <c r="B4370" s="318">
        <f t="shared" si="271"/>
        <v>46294</v>
      </c>
      <c r="C4370" s="312">
        <v>22</v>
      </c>
      <c r="D4370" s="368">
        <f>IFERROR((INDEX(METADATA!$T$2:$T$20,MATCH(B4370,METADATA!$S$2:$S$20,0))),0)</f>
        <v>0</v>
      </c>
      <c r="E4370" s="312" t="str">
        <f t="shared" si="272"/>
        <v>LO</v>
      </c>
      <c r="F4370" s="369">
        <f>VLOOKUP(C4370,METADATA!$A$5:$H$29,IF(E4370="HI",2,IF(E4370="LO",6,10))+IF(D4370=1,2,IF(D4370=7,1,(IF(WEEKDAY(B4370)=1,2,IF(WEEKDAY(B4370)=7,1,0))))))</f>
        <v>3</v>
      </c>
      <c r="G4370" s="369">
        <f>VLOOKUP(C4370,METADATA!$J$5:$Q$29,IF(E4370="HI",2,IF(E4370="LO",6,10))+IF(D4370=1,2,IF(D4370=7,1,(IF(WEEKDAY(B4370)=1,2,IF(WEEKDAY(B4370)=7,1,0))))))</f>
        <v>3</v>
      </c>
      <c r="H4370" s="370">
        <v>12535.02490234375</v>
      </c>
      <c r="I4370" s="370">
        <v>3962.43505859375</v>
      </c>
      <c r="M4370" s="371">
        <f t="shared" si="273"/>
        <v>13146.39649850676</v>
      </c>
      <c r="N4370" s="329">
        <f t="shared" si="274"/>
        <v>201.92758789062509</v>
      </c>
      <c r="T4370" s="331">
        <v>0</v>
      </c>
      <c r="U4370" s="328">
        <f>VLOOKUP(C4370,METADATA!$J$5:$Q$29,IF(E4370="HI",2,IF(E4370="LO",6,10))+IF(T4370=1,2,IF(D4370=7,1,(IF(WEEKDAY(B4370)=1,2,IF(WEEKDAY(B4370)=7,1,0))))))</f>
        <v>3</v>
      </c>
      <c r="V4370" s="328">
        <f>VLOOKUP(C4370,METADATA!$A$5:$H$29,IF(E4370="HI",2,IF(E4370="LO",6,10))+IF(T4370=1,2,IF(D4370=7,1,(IF(WEEKDAY(B4370)=1,2,IF(WEEKDAY(B4370)=7,1,0))))))</f>
        <v>3</v>
      </c>
    </row>
    <row r="4371" spans="2:22">
      <c r="B4371" s="318">
        <f t="shared" si="271"/>
        <v>46294</v>
      </c>
      <c r="C4371" s="312">
        <v>23</v>
      </c>
      <c r="D4371" s="368">
        <f>IFERROR((INDEX(METADATA!$T$2:$T$20,MATCH(B4371,METADATA!$S$2:$S$20,0))),0)</f>
        <v>0</v>
      </c>
      <c r="E4371" s="312" t="str">
        <f t="shared" si="272"/>
        <v>LO</v>
      </c>
      <c r="F4371" s="369">
        <f>VLOOKUP(C4371,METADATA!$A$5:$H$29,IF(E4371="HI",2,IF(E4371="LO",6,10))+IF(D4371=1,2,IF(D4371=7,1,(IF(WEEKDAY(B4371)=1,2,IF(WEEKDAY(B4371)=7,1,0))))))</f>
        <v>3</v>
      </c>
      <c r="G4371" s="369">
        <f>VLOOKUP(C4371,METADATA!$J$5:$Q$29,IF(E4371="HI",2,IF(E4371="LO",6,10))+IF(D4371=1,2,IF(D4371=7,1,(IF(WEEKDAY(B4371)=1,2,IF(WEEKDAY(B4371)=7,1,0))))))</f>
        <v>3</v>
      </c>
      <c r="H4371" s="370">
        <v>12632.475341796875</v>
      </c>
      <c r="I4371" s="370">
        <v>3933.2101135253906</v>
      </c>
      <c r="M4371" s="371">
        <f t="shared" si="273"/>
        <v>13230.630183715532</v>
      </c>
      <c r="N4371" s="329">
        <f t="shared" si="274"/>
        <v>143.46751098632831</v>
      </c>
      <c r="T4371" s="331">
        <v>0</v>
      </c>
      <c r="U4371" s="328">
        <f>VLOOKUP(C4371,METADATA!$J$5:$Q$29,IF(E4371="HI",2,IF(E4371="LO",6,10))+IF(T4371=1,2,IF(D4371=7,1,(IF(WEEKDAY(B4371)=1,2,IF(WEEKDAY(B4371)=7,1,0))))))</f>
        <v>3</v>
      </c>
      <c r="V4371" s="328">
        <f>VLOOKUP(C4371,METADATA!$A$5:$H$29,IF(E4371="HI",2,IF(E4371="LO",6,10))+IF(T4371=1,2,IF(D4371=7,1,(IF(WEEKDAY(B4371)=1,2,IF(WEEKDAY(B4371)=7,1,0))))))</f>
        <v>3</v>
      </c>
    </row>
    <row r="4372" spans="2:22">
      <c r="B4372" s="318">
        <f t="shared" si="271"/>
        <v>46295</v>
      </c>
      <c r="C4372" s="312">
        <v>0</v>
      </c>
      <c r="D4372" s="368">
        <f>IFERROR((INDEX(METADATA!$T$2:$T$20,MATCH(B4372,METADATA!$S$2:$S$20,0))),0)</f>
        <v>0</v>
      </c>
      <c r="E4372" s="312" t="str">
        <f t="shared" si="272"/>
        <v>LO</v>
      </c>
      <c r="F4372" s="369">
        <f>VLOOKUP(C4372,METADATA!$A$5:$H$29,IF(E4372="HI",2,IF(E4372="LO",6,10))+IF(D4372=1,2,IF(D4372=7,1,(IF(WEEKDAY(B4372)=1,2,IF(WEEKDAY(B4372)=7,1,0))))))</f>
        <v>3</v>
      </c>
      <c r="G4372" s="369">
        <f>VLOOKUP(C4372,METADATA!$J$5:$Q$29,IF(E4372="HI",2,IF(E4372="LO",6,10))+IF(D4372=1,2,IF(D4372=7,1,(IF(WEEKDAY(B4372)=1,2,IF(WEEKDAY(B4372)=7,1,0))))))</f>
        <v>3</v>
      </c>
      <c r="H4372" s="370">
        <v>12605.700378417969</v>
      </c>
      <c r="I4372" s="370">
        <v>3741.60986328125</v>
      </c>
      <c r="M4372" s="371">
        <f t="shared" si="273"/>
        <v>13149.270945548671</v>
      </c>
      <c r="N4372" s="329">
        <f t="shared" si="274"/>
        <v>0</v>
      </c>
      <c r="T4372" s="331">
        <v>0</v>
      </c>
      <c r="U4372" s="328">
        <f>VLOOKUP(C4372,METADATA!$J$5:$Q$29,IF(E4372="HI",2,IF(E4372="LO",6,10))+IF(T4372=1,2,IF(D4372=7,1,(IF(WEEKDAY(B4372)=1,2,IF(WEEKDAY(B4372)=7,1,0))))))</f>
        <v>3</v>
      </c>
      <c r="V4372" s="328">
        <f>VLOOKUP(C4372,METADATA!$A$5:$H$29,IF(E4372="HI",2,IF(E4372="LO",6,10))+IF(T4372=1,2,IF(D4372=7,1,(IF(WEEKDAY(B4372)=1,2,IF(WEEKDAY(B4372)=7,1,0))))))</f>
        <v>3</v>
      </c>
    </row>
    <row r="4373" spans="2:22">
      <c r="B4373" s="318">
        <f t="shared" si="271"/>
        <v>46295</v>
      </c>
      <c r="C4373" s="312">
        <v>1</v>
      </c>
      <c r="D4373" s="368">
        <f>IFERROR((INDEX(METADATA!$T$2:$T$20,MATCH(B4373,METADATA!$S$2:$S$20,0))),0)</f>
        <v>0</v>
      </c>
      <c r="E4373" s="312" t="str">
        <f t="shared" si="272"/>
        <v>LO</v>
      </c>
      <c r="F4373" s="369">
        <f>VLOOKUP(C4373,METADATA!$A$5:$H$29,IF(E4373="HI",2,IF(E4373="LO",6,10))+IF(D4373=1,2,IF(D4373=7,1,(IF(WEEKDAY(B4373)=1,2,IF(WEEKDAY(B4373)=7,1,0))))))</f>
        <v>3</v>
      </c>
      <c r="G4373" s="369">
        <f>VLOOKUP(C4373,METADATA!$J$5:$Q$29,IF(E4373="HI",2,IF(E4373="LO",6,10))+IF(D4373=1,2,IF(D4373=7,1,(IF(WEEKDAY(B4373)=1,2,IF(WEEKDAY(B4373)=7,1,0))))))</f>
        <v>3</v>
      </c>
      <c r="H4373" s="370">
        <v>12572.86767578125</v>
      </c>
      <c r="I4373" s="370">
        <v>3986.2149963378906</v>
      </c>
      <c r="M4373" s="371">
        <f t="shared" si="273"/>
        <v>13189.651685686553</v>
      </c>
      <c r="N4373" s="329">
        <f t="shared" si="274"/>
        <v>214.3546936035159</v>
      </c>
      <c r="T4373" s="331">
        <v>0</v>
      </c>
      <c r="U4373" s="328">
        <f>VLOOKUP(C4373,METADATA!$J$5:$Q$29,IF(E4373="HI",2,IF(E4373="LO",6,10))+IF(T4373=1,2,IF(D4373=7,1,(IF(WEEKDAY(B4373)=1,2,IF(WEEKDAY(B4373)=7,1,0))))))</f>
        <v>3</v>
      </c>
      <c r="V4373" s="328">
        <f>VLOOKUP(C4373,METADATA!$A$5:$H$29,IF(E4373="HI",2,IF(E4373="LO",6,10))+IF(T4373=1,2,IF(D4373=7,1,(IF(WEEKDAY(B4373)=1,2,IF(WEEKDAY(B4373)=7,1,0))))))</f>
        <v>3</v>
      </c>
    </row>
    <row r="4374" spans="2:22">
      <c r="B4374" s="318">
        <f t="shared" si="271"/>
        <v>46295</v>
      </c>
      <c r="C4374" s="312">
        <v>2</v>
      </c>
      <c r="D4374" s="368">
        <f>IFERROR((INDEX(METADATA!$T$2:$T$20,MATCH(B4374,METADATA!$S$2:$S$20,0))),0)</f>
        <v>0</v>
      </c>
      <c r="E4374" s="312" t="str">
        <f t="shared" si="272"/>
        <v>LO</v>
      </c>
      <c r="F4374" s="369">
        <f>VLOOKUP(C4374,METADATA!$A$5:$H$29,IF(E4374="HI",2,IF(E4374="LO",6,10))+IF(D4374=1,2,IF(D4374=7,1,(IF(WEEKDAY(B4374)=1,2,IF(WEEKDAY(B4374)=7,1,0))))))</f>
        <v>3</v>
      </c>
      <c r="G4374" s="369">
        <f>VLOOKUP(C4374,METADATA!$J$5:$Q$29,IF(E4374="HI",2,IF(E4374="LO",6,10))+IF(D4374=1,2,IF(D4374=7,1,(IF(WEEKDAY(B4374)=1,2,IF(WEEKDAY(B4374)=7,1,0))))))</f>
        <v>3</v>
      </c>
      <c r="H4374" s="370">
        <v>12614.724975585938</v>
      </c>
      <c r="I4374" s="370">
        <v>3906.93994140625</v>
      </c>
      <c r="M4374" s="371">
        <f t="shared" si="273"/>
        <v>13205.887547432285</v>
      </c>
      <c r="N4374" s="329">
        <f t="shared" si="274"/>
        <v>122.52244873046902</v>
      </c>
      <c r="T4374" s="331">
        <v>0</v>
      </c>
      <c r="U4374" s="328">
        <f>VLOOKUP(C4374,METADATA!$J$5:$Q$29,IF(E4374="HI",2,IF(E4374="LO",6,10))+IF(T4374=1,2,IF(D4374=7,1,(IF(WEEKDAY(B4374)=1,2,IF(WEEKDAY(B4374)=7,1,0))))))</f>
        <v>3</v>
      </c>
      <c r="V4374" s="328">
        <f>VLOOKUP(C4374,METADATA!$A$5:$H$29,IF(E4374="HI",2,IF(E4374="LO",6,10))+IF(T4374=1,2,IF(D4374=7,1,(IF(WEEKDAY(B4374)=1,2,IF(WEEKDAY(B4374)=7,1,0))))))</f>
        <v>3</v>
      </c>
    </row>
    <row r="4375" spans="2:22">
      <c r="B4375" s="318">
        <f t="shared" si="271"/>
        <v>46295</v>
      </c>
      <c r="C4375" s="312">
        <v>3</v>
      </c>
      <c r="D4375" s="368">
        <f>IFERROR((INDEX(METADATA!$T$2:$T$20,MATCH(B4375,METADATA!$S$2:$S$20,0))),0)</f>
        <v>0</v>
      </c>
      <c r="E4375" s="312" t="str">
        <f t="shared" si="272"/>
        <v>LO</v>
      </c>
      <c r="F4375" s="369">
        <f>VLOOKUP(C4375,METADATA!$A$5:$H$29,IF(E4375="HI",2,IF(E4375="LO",6,10))+IF(D4375=1,2,IF(D4375=7,1,(IF(WEEKDAY(B4375)=1,2,IF(WEEKDAY(B4375)=7,1,0))))))</f>
        <v>3</v>
      </c>
      <c r="G4375" s="369">
        <f>VLOOKUP(C4375,METADATA!$J$5:$Q$29,IF(E4375="HI",2,IF(E4375="LO",6,10))+IF(D4375=1,2,IF(D4375=7,1,(IF(WEEKDAY(B4375)=1,2,IF(WEEKDAY(B4375)=7,1,0))))))</f>
        <v>3</v>
      </c>
      <c r="H4375" s="370">
        <v>12579.44970703125</v>
      </c>
      <c r="I4375" s="370">
        <v>3945.5900268554688</v>
      </c>
      <c r="M4375" s="371">
        <f t="shared" si="273"/>
        <v>13183.7109946991</v>
      </c>
      <c r="N4375" s="329">
        <f t="shared" si="274"/>
        <v>171.75511474609402</v>
      </c>
      <c r="T4375" s="331">
        <v>0</v>
      </c>
      <c r="U4375" s="328">
        <f>VLOOKUP(C4375,METADATA!$J$5:$Q$29,IF(E4375="HI",2,IF(E4375="LO",6,10))+IF(T4375=1,2,IF(D4375=7,1,(IF(WEEKDAY(B4375)=1,2,IF(WEEKDAY(B4375)=7,1,0))))))</f>
        <v>3</v>
      </c>
      <c r="V4375" s="328">
        <f>VLOOKUP(C4375,METADATA!$A$5:$H$29,IF(E4375="HI",2,IF(E4375="LO",6,10))+IF(T4375=1,2,IF(D4375=7,1,(IF(WEEKDAY(B4375)=1,2,IF(WEEKDAY(B4375)=7,1,0))))))</f>
        <v>3</v>
      </c>
    </row>
    <row r="4376" spans="2:22">
      <c r="B4376" s="318">
        <f t="shared" si="271"/>
        <v>46295</v>
      </c>
      <c r="C4376" s="312">
        <v>4</v>
      </c>
      <c r="D4376" s="368">
        <f>IFERROR((INDEX(METADATA!$T$2:$T$20,MATCH(B4376,METADATA!$S$2:$S$20,0))),0)</f>
        <v>0</v>
      </c>
      <c r="E4376" s="312" t="str">
        <f t="shared" si="272"/>
        <v>LO</v>
      </c>
      <c r="F4376" s="369">
        <f>VLOOKUP(C4376,METADATA!$A$5:$H$29,IF(E4376="HI",2,IF(E4376="LO",6,10))+IF(D4376=1,2,IF(D4376=7,1,(IF(WEEKDAY(B4376)=1,2,IF(WEEKDAY(B4376)=7,1,0))))))</f>
        <v>3</v>
      </c>
      <c r="G4376" s="369">
        <f>VLOOKUP(C4376,METADATA!$J$5:$Q$29,IF(E4376="HI",2,IF(E4376="LO",6,10))+IF(D4376=1,2,IF(D4376=7,1,(IF(WEEKDAY(B4376)=1,2,IF(WEEKDAY(B4376)=7,1,0))))))</f>
        <v>3</v>
      </c>
      <c r="H4376" s="370">
        <v>12622.000183105469</v>
      </c>
      <c r="I4376" s="370">
        <v>3842.4051208496094</v>
      </c>
      <c r="M4376" s="371">
        <f t="shared" si="273"/>
        <v>13193.898807215621</v>
      </c>
      <c r="N4376" s="329">
        <f t="shared" si="274"/>
        <v>55.805065917968932</v>
      </c>
      <c r="T4376" s="331">
        <v>0</v>
      </c>
      <c r="U4376" s="328">
        <f>VLOOKUP(C4376,METADATA!$J$5:$Q$29,IF(E4376="HI",2,IF(E4376="LO",6,10))+IF(T4376=1,2,IF(D4376=7,1,(IF(WEEKDAY(B4376)=1,2,IF(WEEKDAY(B4376)=7,1,0))))))</f>
        <v>3</v>
      </c>
      <c r="V4376" s="328">
        <f>VLOOKUP(C4376,METADATA!$A$5:$H$29,IF(E4376="HI",2,IF(E4376="LO",6,10))+IF(T4376=1,2,IF(D4376=7,1,(IF(WEEKDAY(B4376)=1,2,IF(WEEKDAY(B4376)=7,1,0))))))</f>
        <v>3</v>
      </c>
    </row>
    <row r="4377" spans="2:22">
      <c r="B4377" s="318">
        <f t="shared" si="271"/>
        <v>46295</v>
      </c>
      <c r="C4377" s="312">
        <v>5</v>
      </c>
      <c r="D4377" s="368">
        <f>IFERROR((INDEX(METADATA!$T$2:$T$20,MATCH(B4377,METADATA!$S$2:$S$20,0))),0)</f>
        <v>0</v>
      </c>
      <c r="E4377" s="312" t="str">
        <f t="shared" si="272"/>
        <v>LO</v>
      </c>
      <c r="F4377" s="369">
        <f>VLOOKUP(C4377,METADATA!$A$5:$H$29,IF(E4377="HI",2,IF(E4377="LO",6,10))+IF(D4377=1,2,IF(D4377=7,1,(IF(WEEKDAY(B4377)=1,2,IF(WEEKDAY(B4377)=7,1,0))))))</f>
        <v>3</v>
      </c>
      <c r="G4377" s="369">
        <f>VLOOKUP(C4377,METADATA!$J$5:$Q$29,IF(E4377="HI",2,IF(E4377="LO",6,10))+IF(D4377=1,2,IF(D4377=7,1,(IF(WEEKDAY(B4377)=1,2,IF(WEEKDAY(B4377)=7,1,0))))))</f>
        <v>3</v>
      </c>
      <c r="H4377" s="370">
        <v>12614.850036621094</v>
      </c>
      <c r="I4377" s="370">
        <v>3766.9999694824219</v>
      </c>
      <c r="M4377" s="371">
        <f t="shared" si="273"/>
        <v>13165.285041218051</v>
      </c>
      <c r="N4377" s="329">
        <f t="shared" si="274"/>
        <v>0</v>
      </c>
      <c r="T4377" s="331">
        <v>0</v>
      </c>
      <c r="U4377" s="328">
        <f>VLOOKUP(C4377,METADATA!$J$5:$Q$29,IF(E4377="HI",2,IF(E4377="LO",6,10))+IF(T4377=1,2,IF(D4377=7,1,(IF(WEEKDAY(B4377)=1,2,IF(WEEKDAY(B4377)=7,1,0))))))</f>
        <v>3</v>
      </c>
      <c r="V4377" s="328">
        <f>VLOOKUP(C4377,METADATA!$A$5:$H$29,IF(E4377="HI",2,IF(E4377="LO",6,10))+IF(T4377=1,2,IF(D4377=7,1,(IF(WEEKDAY(B4377)=1,2,IF(WEEKDAY(B4377)=7,1,0))))))</f>
        <v>3</v>
      </c>
    </row>
    <row r="4378" spans="2:22">
      <c r="B4378" s="318">
        <f t="shared" si="271"/>
        <v>46295</v>
      </c>
      <c r="C4378" s="312">
        <v>6</v>
      </c>
      <c r="D4378" s="368">
        <f>IFERROR((INDEX(METADATA!$T$2:$T$20,MATCH(B4378,METADATA!$S$2:$S$20,0))),0)</f>
        <v>0</v>
      </c>
      <c r="E4378" s="312" t="str">
        <f t="shared" si="272"/>
        <v>LO</v>
      </c>
      <c r="F4378" s="369">
        <f>VLOOKUP(C4378,METADATA!$A$5:$H$29,IF(E4378="HI",2,IF(E4378="LO",6,10))+IF(D4378=1,2,IF(D4378=7,1,(IF(WEEKDAY(B4378)=1,2,IF(WEEKDAY(B4378)=7,1,0))))))</f>
        <v>2</v>
      </c>
      <c r="G4378" s="369">
        <f>VLOOKUP(C4378,METADATA!$J$5:$Q$29,IF(E4378="HI",2,IF(E4378="LO",6,10))+IF(D4378=1,2,IF(D4378=7,1,(IF(WEEKDAY(B4378)=1,2,IF(WEEKDAY(B4378)=7,1,0))))))</f>
        <v>2</v>
      </c>
      <c r="H4378" s="370">
        <v>12558.625183105469</v>
      </c>
      <c r="I4378" s="370">
        <v>3750.3099670410156</v>
      </c>
      <c r="M4378" s="371">
        <f t="shared" si="273"/>
        <v>13106.635393517974</v>
      </c>
      <c r="N4378" s="329">
        <f t="shared" si="274"/>
        <v>0</v>
      </c>
      <c r="T4378" s="331">
        <v>0</v>
      </c>
      <c r="U4378" s="328">
        <f>VLOOKUP(C4378,METADATA!$J$5:$Q$29,IF(E4378="HI",2,IF(E4378="LO",6,10))+IF(T4378=1,2,IF(D4378=7,1,(IF(WEEKDAY(B4378)=1,2,IF(WEEKDAY(B4378)=7,1,0))))))</f>
        <v>2</v>
      </c>
      <c r="V4378" s="328">
        <f>VLOOKUP(C4378,METADATA!$A$5:$H$29,IF(E4378="HI",2,IF(E4378="LO",6,10))+IF(T4378=1,2,IF(D4378=7,1,(IF(WEEKDAY(B4378)=1,2,IF(WEEKDAY(B4378)=7,1,0))))))</f>
        <v>2</v>
      </c>
    </row>
    <row r="4379" spans="2:22">
      <c r="B4379" s="318">
        <f t="shared" si="271"/>
        <v>46295</v>
      </c>
      <c r="C4379" s="312">
        <v>7</v>
      </c>
      <c r="D4379" s="368">
        <f>IFERROR((INDEX(METADATA!$T$2:$T$20,MATCH(B4379,METADATA!$S$2:$S$20,0))),0)</f>
        <v>0</v>
      </c>
      <c r="E4379" s="312" t="str">
        <f t="shared" si="272"/>
        <v>LO</v>
      </c>
      <c r="F4379" s="369">
        <f>VLOOKUP(C4379,METADATA!$A$5:$H$29,IF(E4379="HI",2,IF(E4379="LO",6,10))+IF(D4379=1,2,IF(D4379=7,1,(IF(WEEKDAY(B4379)=1,2,IF(WEEKDAY(B4379)=7,1,0))))))</f>
        <v>1</v>
      </c>
      <c r="G4379" s="369">
        <f>VLOOKUP(C4379,METADATA!$J$5:$Q$29,IF(E4379="HI",2,IF(E4379="LO",6,10))+IF(D4379=1,2,IF(D4379=7,1,(IF(WEEKDAY(B4379)=1,2,IF(WEEKDAY(B4379)=7,1,0))))))</f>
        <v>1</v>
      </c>
      <c r="H4379" s="370">
        <v>12768.800048828125</v>
      </c>
      <c r="I4379" s="370">
        <v>4010.0149841308594</v>
      </c>
      <c r="M4379" s="371">
        <f t="shared" si="273"/>
        <v>13383.664478008523</v>
      </c>
      <c r="N4379" s="329">
        <f t="shared" si="274"/>
        <v>179.37496948242188</v>
      </c>
      <c r="T4379" s="331">
        <v>0</v>
      </c>
      <c r="U4379" s="328">
        <f>VLOOKUP(C4379,METADATA!$J$5:$Q$29,IF(E4379="HI",2,IF(E4379="LO",6,10))+IF(T4379=1,2,IF(D4379=7,1,(IF(WEEKDAY(B4379)=1,2,IF(WEEKDAY(B4379)=7,1,0))))))</f>
        <v>1</v>
      </c>
      <c r="V4379" s="328">
        <f>VLOOKUP(C4379,METADATA!$A$5:$H$29,IF(E4379="HI",2,IF(E4379="LO",6,10))+IF(T4379=1,2,IF(D4379=7,1,(IF(WEEKDAY(B4379)=1,2,IF(WEEKDAY(B4379)=7,1,0))))))</f>
        <v>1</v>
      </c>
    </row>
    <row r="4380" spans="2:22">
      <c r="B4380" s="318">
        <f t="shared" ref="B4380:B4443" si="275">B4356+1</f>
        <v>46295</v>
      </c>
      <c r="C4380" s="312">
        <v>8</v>
      </c>
      <c r="D4380" s="368">
        <f>IFERROR((INDEX(METADATA!$T$2:$T$20,MATCH(B4380,METADATA!$S$2:$S$20,0))),0)</f>
        <v>0</v>
      </c>
      <c r="E4380" s="312" t="str">
        <f t="shared" si="272"/>
        <v>LO</v>
      </c>
      <c r="F4380" s="369">
        <f>VLOOKUP(C4380,METADATA!$A$5:$H$29,IF(E4380="HI",2,IF(E4380="LO",6,10))+IF(D4380=1,2,IF(D4380=7,1,(IF(WEEKDAY(B4380)=1,2,IF(WEEKDAY(B4380)=7,1,0))))))</f>
        <v>1</v>
      </c>
      <c r="G4380" s="369">
        <f>VLOOKUP(C4380,METADATA!$J$5:$Q$29,IF(E4380="HI",2,IF(E4380="LO",6,10))+IF(D4380=1,2,IF(D4380=7,1,(IF(WEEKDAY(B4380)=1,2,IF(WEEKDAY(B4380)=7,1,0))))))</f>
        <v>1</v>
      </c>
      <c r="H4380" s="370">
        <v>12598.42529296875</v>
      </c>
      <c r="I4380" s="370">
        <v>3964.6100158691406</v>
      </c>
      <c r="M4380" s="371">
        <f t="shared" si="273"/>
        <v>13207.514998683311</v>
      </c>
      <c r="N4380" s="329">
        <f t="shared" si="274"/>
        <v>185.08242797851563</v>
      </c>
      <c r="T4380" s="331">
        <v>0</v>
      </c>
      <c r="U4380" s="328">
        <f>VLOOKUP(C4380,METADATA!$J$5:$Q$29,IF(E4380="HI",2,IF(E4380="LO",6,10))+IF(T4380=1,2,IF(D4380=7,1,(IF(WEEKDAY(B4380)=1,2,IF(WEEKDAY(B4380)=7,1,0))))))</f>
        <v>1</v>
      </c>
      <c r="V4380" s="328">
        <f>VLOOKUP(C4380,METADATA!$A$5:$H$29,IF(E4380="HI",2,IF(E4380="LO",6,10))+IF(T4380=1,2,IF(D4380=7,1,(IF(WEEKDAY(B4380)=1,2,IF(WEEKDAY(B4380)=7,1,0))))))</f>
        <v>1</v>
      </c>
    </row>
    <row r="4381" spans="2:22">
      <c r="B4381" s="318">
        <f t="shared" si="275"/>
        <v>46295</v>
      </c>
      <c r="C4381" s="312">
        <v>9</v>
      </c>
      <c r="D4381" s="368">
        <f>IFERROR((INDEX(METADATA!$T$2:$T$20,MATCH(B4381,METADATA!$S$2:$S$20,0))),0)</f>
        <v>0</v>
      </c>
      <c r="E4381" s="312" t="str">
        <f t="shared" si="272"/>
        <v>LO</v>
      </c>
      <c r="F4381" s="369">
        <f>VLOOKUP(C4381,METADATA!$A$5:$H$29,IF(E4381="HI",2,IF(E4381="LO",6,10))+IF(D4381=1,2,IF(D4381=7,1,(IF(WEEKDAY(B4381)=1,2,IF(WEEKDAY(B4381)=7,1,0))))))</f>
        <v>2</v>
      </c>
      <c r="G4381" s="369">
        <f>VLOOKUP(C4381,METADATA!$J$5:$Q$29,IF(E4381="HI",2,IF(E4381="LO",6,10))+IF(D4381=1,2,IF(D4381=7,1,(IF(WEEKDAY(B4381)=1,2,IF(WEEKDAY(B4381)=7,1,0))))))</f>
        <v>2</v>
      </c>
      <c r="H4381" s="370">
        <v>12833.725219726563</v>
      </c>
      <c r="I4381" s="370">
        <v>3981.7999267578125</v>
      </c>
      <c r="M4381" s="371">
        <f t="shared" si="273"/>
        <v>13437.233110732808</v>
      </c>
      <c r="N4381" s="329">
        <f t="shared" si="274"/>
        <v>131.68236083984402</v>
      </c>
      <c r="T4381" s="331">
        <v>0</v>
      </c>
      <c r="U4381" s="328">
        <f>VLOOKUP(C4381,METADATA!$J$5:$Q$29,IF(E4381="HI",2,IF(E4381="LO",6,10))+IF(T4381=1,2,IF(D4381=7,1,(IF(WEEKDAY(B4381)=1,2,IF(WEEKDAY(B4381)=7,1,0))))))</f>
        <v>2</v>
      </c>
      <c r="V4381" s="328">
        <f>VLOOKUP(C4381,METADATA!$A$5:$H$29,IF(E4381="HI",2,IF(E4381="LO",6,10))+IF(T4381=1,2,IF(D4381=7,1,(IF(WEEKDAY(B4381)=1,2,IF(WEEKDAY(B4381)=7,1,0))))))</f>
        <v>2</v>
      </c>
    </row>
    <row r="4382" spans="2:22">
      <c r="B4382" s="318">
        <f t="shared" si="275"/>
        <v>46295</v>
      </c>
      <c r="C4382" s="312">
        <v>10</v>
      </c>
      <c r="D4382" s="368">
        <f>IFERROR((INDEX(METADATA!$T$2:$T$20,MATCH(B4382,METADATA!$S$2:$S$20,0))),0)</f>
        <v>0</v>
      </c>
      <c r="E4382" s="312" t="str">
        <f t="shared" si="272"/>
        <v>LO</v>
      </c>
      <c r="F4382" s="369">
        <f>VLOOKUP(C4382,METADATA!$A$5:$H$29,IF(E4382="HI",2,IF(E4382="LO",6,10))+IF(D4382=1,2,IF(D4382=7,1,(IF(WEEKDAY(B4382)=1,2,IF(WEEKDAY(B4382)=7,1,0))))))</f>
        <v>2</v>
      </c>
      <c r="G4382" s="369">
        <f>VLOOKUP(C4382,METADATA!$J$5:$Q$29,IF(E4382="HI",2,IF(E4382="LO",6,10))+IF(D4382=1,2,IF(D4382=7,1,(IF(WEEKDAY(B4382)=1,2,IF(WEEKDAY(B4382)=7,1,0))))))</f>
        <v>2</v>
      </c>
      <c r="H4382" s="370">
        <v>12773.374755859375</v>
      </c>
      <c r="I4382" s="370">
        <v>3929.4100189208984</v>
      </c>
      <c r="M4382" s="371">
        <f t="shared" si="273"/>
        <v>13364.107368261506</v>
      </c>
      <c r="N4382" s="329">
        <f t="shared" si="274"/>
        <v>97.397592163086301</v>
      </c>
      <c r="T4382" s="331">
        <v>0</v>
      </c>
      <c r="U4382" s="328">
        <f>VLOOKUP(C4382,METADATA!$J$5:$Q$29,IF(E4382="HI",2,IF(E4382="LO",6,10))+IF(T4382=1,2,IF(D4382=7,1,(IF(WEEKDAY(B4382)=1,2,IF(WEEKDAY(B4382)=7,1,0))))))</f>
        <v>2</v>
      </c>
      <c r="V4382" s="328">
        <f>VLOOKUP(C4382,METADATA!$A$5:$H$29,IF(E4382="HI",2,IF(E4382="LO",6,10))+IF(T4382=1,2,IF(D4382=7,1,(IF(WEEKDAY(B4382)=1,2,IF(WEEKDAY(B4382)=7,1,0))))))</f>
        <v>2</v>
      </c>
    </row>
    <row r="4383" spans="2:22">
      <c r="B4383" s="318">
        <f t="shared" si="275"/>
        <v>46295</v>
      </c>
      <c r="C4383" s="312">
        <v>11</v>
      </c>
      <c r="D4383" s="368">
        <f>IFERROR((INDEX(METADATA!$T$2:$T$20,MATCH(B4383,METADATA!$S$2:$S$20,0))),0)</f>
        <v>0</v>
      </c>
      <c r="E4383" s="312" t="str">
        <f t="shared" si="272"/>
        <v>LO</v>
      </c>
      <c r="F4383" s="369">
        <f>VLOOKUP(C4383,METADATA!$A$5:$H$29,IF(E4383="HI",2,IF(E4383="LO",6,10))+IF(D4383=1,2,IF(D4383=7,1,(IF(WEEKDAY(B4383)=1,2,IF(WEEKDAY(B4383)=7,1,0))))))</f>
        <v>2</v>
      </c>
      <c r="G4383" s="369">
        <f>VLOOKUP(C4383,METADATA!$J$5:$Q$29,IF(E4383="HI",2,IF(E4383="LO",6,10))+IF(D4383=1,2,IF(D4383=7,1,(IF(WEEKDAY(B4383)=1,2,IF(WEEKDAY(B4383)=7,1,0))))))</f>
        <v>2</v>
      </c>
      <c r="H4383" s="370">
        <v>12740.699890136719</v>
      </c>
      <c r="I4383" s="370">
        <v>3863.2350769042969</v>
      </c>
      <c r="M4383" s="371">
        <f t="shared" si="273"/>
        <v>13313.527667374772</v>
      </c>
      <c r="N4383" s="329">
        <f t="shared" si="274"/>
        <v>41.025109863281614</v>
      </c>
      <c r="T4383" s="331">
        <v>0</v>
      </c>
      <c r="U4383" s="328">
        <f>VLOOKUP(C4383,METADATA!$J$5:$Q$29,IF(E4383="HI",2,IF(E4383="LO",6,10))+IF(T4383=1,2,IF(D4383=7,1,(IF(WEEKDAY(B4383)=1,2,IF(WEEKDAY(B4383)=7,1,0))))))</f>
        <v>2</v>
      </c>
      <c r="V4383" s="328">
        <f>VLOOKUP(C4383,METADATA!$A$5:$H$29,IF(E4383="HI",2,IF(E4383="LO",6,10))+IF(T4383=1,2,IF(D4383=7,1,(IF(WEEKDAY(B4383)=1,2,IF(WEEKDAY(B4383)=7,1,0))))))</f>
        <v>2</v>
      </c>
    </row>
    <row r="4384" spans="2:22">
      <c r="B4384" s="318">
        <f t="shared" si="275"/>
        <v>46295</v>
      </c>
      <c r="C4384" s="312">
        <v>12</v>
      </c>
      <c r="D4384" s="368">
        <f>IFERROR((INDEX(METADATA!$T$2:$T$20,MATCH(B4384,METADATA!$S$2:$S$20,0))),0)</f>
        <v>0</v>
      </c>
      <c r="E4384" s="312" t="str">
        <f t="shared" si="272"/>
        <v>LO</v>
      </c>
      <c r="F4384" s="369">
        <f>VLOOKUP(C4384,METADATA!$A$5:$H$29,IF(E4384="HI",2,IF(E4384="LO",6,10))+IF(D4384=1,2,IF(D4384=7,1,(IF(WEEKDAY(B4384)=1,2,IF(WEEKDAY(B4384)=7,1,0))))))</f>
        <v>2</v>
      </c>
      <c r="G4384" s="369">
        <f>VLOOKUP(C4384,METADATA!$J$5:$Q$29,IF(E4384="HI",2,IF(E4384="LO",6,10))+IF(D4384=1,2,IF(D4384=7,1,(IF(WEEKDAY(B4384)=1,2,IF(WEEKDAY(B4384)=7,1,0))))))</f>
        <v>2</v>
      </c>
      <c r="H4384" s="370">
        <v>12687.124816894531</v>
      </c>
      <c r="I4384" s="370">
        <v>3993.4900817871094</v>
      </c>
      <c r="M4384" s="371">
        <f t="shared" si="273"/>
        <v>13300.793177581294</v>
      </c>
      <c r="N4384" s="329">
        <f t="shared" si="274"/>
        <v>187.35263671875009</v>
      </c>
      <c r="T4384" s="331">
        <v>0</v>
      </c>
      <c r="U4384" s="328">
        <f>VLOOKUP(C4384,METADATA!$J$5:$Q$29,IF(E4384="HI",2,IF(E4384="LO",6,10))+IF(T4384=1,2,IF(D4384=7,1,(IF(WEEKDAY(B4384)=1,2,IF(WEEKDAY(B4384)=7,1,0))))))</f>
        <v>2</v>
      </c>
      <c r="V4384" s="328">
        <f>VLOOKUP(C4384,METADATA!$A$5:$H$29,IF(E4384="HI",2,IF(E4384="LO",6,10))+IF(T4384=1,2,IF(D4384=7,1,(IF(WEEKDAY(B4384)=1,2,IF(WEEKDAY(B4384)=7,1,0))))))</f>
        <v>2</v>
      </c>
    </row>
    <row r="4385" spans="2:22">
      <c r="B4385" s="318">
        <f t="shared" si="275"/>
        <v>46295</v>
      </c>
      <c r="C4385" s="312">
        <v>13</v>
      </c>
      <c r="D4385" s="368">
        <f>IFERROR((INDEX(METADATA!$T$2:$T$20,MATCH(B4385,METADATA!$S$2:$S$20,0))),0)</f>
        <v>0</v>
      </c>
      <c r="E4385" s="312" t="str">
        <f t="shared" si="272"/>
        <v>LO</v>
      </c>
      <c r="F4385" s="369">
        <f>VLOOKUP(C4385,METADATA!$A$5:$H$29,IF(E4385="HI",2,IF(E4385="LO",6,10))+IF(D4385=1,2,IF(D4385=7,1,(IF(WEEKDAY(B4385)=1,2,IF(WEEKDAY(B4385)=7,1,0))))))</f>
        <v>2</v>
      </c>
      <c r="G4385" s="369">
        <f>VLOOKUP(C4385,METADATA!$J$5:$Q$29,IF(E4385="HI",2,IF(E4385="LO",6,10))+IF(D4385=1,2,IF(D4385=7,1,(IF(WEEKDAY(B4385)=1,2,IF(WEEKDAY(B4385)=7,1,0))))))</f>
        <v>2</v>
      </c>
      <c r="H4385" s="370">
        <v>12788.474975585938</v>
      </c>
      <c r="I4385" s="370">
        <v>4144.4150390625</v>
      </c>
      <c r="M4385" s="371">
        <f t="shared" si="273"/>
        <v>13443.261070781715</v>
      </c>
      <c r="N4385" s="329">
        <f t="shared" si="274"/>
        <v>307.87254638671902</v>
      </c>
      <c r="T4385" s="331">
        <v>0</v>
      </c>
      <c r="U4385" s="328">
        <f>VLOOKUP(C4385,METADATA!$J$5:$Q$29,IF(E4385="HI",2,IF(E4385="LO",6,10))+IF(T4385=1,2,IF(D4385=7,1,(IF(WEEKDAY(B4385)=1,2,IF(WEEKDAY(B4385)=7,1,0))))))</f>
        <v>2</v>
      </c>
      <c r="V4385" s="328">
        <f>VLOOKUP(C4385,METADATA!$A$5:$H$29,IF(E4385="HI",2,IF(E4385="LO",6,10))+IF(T4385=1,2,IF(D4385=7,1,(IF(WEEKDAY(B4385)=1,2,IF(WEEKDAY(B4385)=7,1,0))))))</f>
        <v>2</v>
      </c>
    </row>
    <row r="4386" spans="2:22">
      <c r="B4386" s="318">
        <f t="shared" si="275"/>
        <v>46295</v>
      </c>
      <c r="C4386" s="312">
        <v>14</v>
      </c>
      <c r="D4386" s="368">
        <f>IFERROR((INDEX(METADATA!$T$2:$T$20,MATCH(B4386,METADATA!$S$2:$S$20,0))),0)</f>
        <v>0</v>
      </c>
      <c r="E4386" s="312" t="str">
        <f t="shared" si="272"/>
        <v>LO</v>
      </c>
      <c r="F4386" s="369">
        <f>VLOOKUP(C4386,METADATA!$A$5:$H$29,IF(E4386="HI",2,IF(E4386="LO",6,10))+IF(D4386=1,2,IF(D4386=7,1,(IF(WEEKDAY(B4386)=1,2,IF(WEEKDAY(B4386)=7,1,0))))))</f>
        <v>2</v>
      </c>
      <c r="G4386" s="369">
        <f>VLOOKUP(C4386,METADATA!$J$5:$Q$29,IF(E4386="HI",2,IF(E4386="LO",6,10))+IF(D4386=1,2,IF(D4386=7,1,(IF(WEEKDAY(B4386)=1,2,IF(WEEKDAY(B4386)=7,1,0))))))</f>
        <v>2</v>
      </c>
      <c r="H4386" s="370">
        <v>12736.374877929688</v>
      </c>
      <c r="I4386" s="370">
        <v>4136.9200134277344</v>
      </c>
      <c r="M4386" s="371">
        <f t="shared" si="273"/>
        <v>13391.390974378179</v>
      </c>
      <c r="N4386" s="329">
        <f t="shared" si="274"/>
        <v>316.00755004882831</v>
      </c>
      <c r="T4386" s="331">
        <v>0</v>
      </c>
      <c r="U4386" s="328">
        <f>VLOOKUP(C4386,METADATA!$J$5:$Q$29,IF(E4386="HI",2,IF(E4386="LO",6,10))+IF(T4386=1,2,IF(D4386=7,1,(IF(WEEKDAY(B4386)=1,2,IF(WEEKDAY(B4386)=7,1,0))))))</f>
        <v>2</v>
      </c>
      <c r="V4386" s="328">
        <f>VLOOKUP(C4386,METADATA!$A$5:$H$29,IF(E4386="HI",2,IF(E4386="LO",6,10))+IF(T4386=1,2,IF(D4386=7,1,(IF(WEEKDAY(B4386)=1,2,IF(WEEKDAY(B4386)=7,1,0))))))</f>
        <v>2</v>
      </c>
    </row>
    <row r="4387" spans="2:22">
      <c r="B4387" s="318">
        <f t="shared" si="275"/>
        <v>46295</v>
      </c>
      <c r="C4387" s="312">
        <v>15</v>
      </c>
      <c r="D4387" s="368">
        <f>IFERROR((INDEX(METADATA!$T$2:$T$20,MATCH(B4387,METADATA!$S$2:$S$20,0))),0)</f>
        <v>0</v>
      </c>
      <c r="E4387" s="312" t="str">
        <f t="shared" si="272"/>
        <v>LO</v>
      </c>
      <c r="F4387" s="369">
        <f>VLOOKUP(C4387,METADATA!$A$5:$H$29,IF(E4387="HI",2,IF(E4387="LO",6,10))+IF(D4387=1,2,IF(D4387=7,1,(IF(WEEKDAY(B4387)=1,2,IF(WEEKDAY(B4387)=7,1,0))))))</f>
        <v>2</v>
      </c>
      <c r="G4387" s="369">
        <f>VLOOKUP(C4387,METADATA!$J$5:$Q$29,IF(E4387="HI",2,IF(E4387="LO",6,10))+IF(D4387=1,2,IF(D4387=7,1,(IF(WEEKDAY(B4387)=1,2,IF(WEEKDAY(B4387)=7,1,0))))))</f>
        <v>2</v>
      </c>
      <c r="H4387" s="370">
        <v>12637.774963378906</v>
      </c>
      <c r="I4387" s="370">
        <v>3930.6400146484375</v>
      </c>
      <c r="M4387" s="371">
        <f t="shared" si="273"/>
        <v>13234.92678293923</v>
      </c>
      <c r="N4387" s="329">
        <f t="shared" si="274"/>
        <v>139.30752563476563</v>
      </c>
      <c r="T4387" s="331">
        <v>0</v>
      </c>
      <c r="U4387" s="328">
        <f>VLOOKUP(C4387,METADATA!$J$5:$Q$29,IF(E4387="HI",2,IF(E4387="LO",6,10))+IF(T4387=1,2,IF(D4387=7,1,(IF(WEEKDAY(B4387)=1,2,IF(WEEKDAY(B4387)=7,1,0))))))</f>
        <v>2</v>
      </c>
      <c r="V4387" s="328">
        <f>VLOOKUP(C4387,METADATA!$A$5:$H$29,IF(E4387="HI",2,IF(E4387="LO",6,10))+IF(T4387=1,2,IF(D4387=7,1,(IF(WEEKDAY(B4387)=1,2,IF(WEEKDAY(B4387)=7,1,0))))))</f>
        <v>2</v>
      </c>
    </row>
    <row r="4388" spans="2:22">
      <c r="B4388" s="318">
        <f t="shared" si="275"/>
        <v>46295</v>
      </c>
      <c r="C4388" s="312">
        <v>16</v>
      </c>
      <c r="D4388" s="368">
        <f>IFERROR((INDEX(METADATA!$T$2:$T$20,MATCH(B4388,METADATA!$S$2:$S$20,0))),0)</f>
        <v>0</v>
      </c>
      <c r="E4388" s="312" t="str">
        <f t="shared" si="272"/>
        <v>LO</v>
      </c>
      <c r="F4388" s="369">
        <f>VLOOKUP(C4388,METADATA!$A$5:$H$29,IF(E4388="HI",2,IF(E4388="LO",6,10))+IF(D4388=1,2,IF(D4388=7,1,(IF(WEEKDAY(B4388)=1,2,IF(WEEKDAY(B4388)=7,1,0))))))</f>
        <v>2</v>
      </c>
      <c r="G4388" s="369">
        <f>VLOOKUP(C4388,METADATA!$J$5:$Q$29,IF(E4388="HI",2,IF(E4388="LO",6,10))+IF(D4388=1,2,IF(D4388=7,1,(IF(WEEKDAY(B4388)=1,2,IF(WEEKDAY(B4388)=7,1,0))))))</f>
        <v>2</v>
      </c>
      <c r="H4388" s="370">
        <v>12525.725219726563</v>
      </c>
      <c r="I4388" s="370">
        <v>3744.6599884033203</v>
      </c>
      <c r="M4388" s="371">
        <f t="shared" si="273"/>
        <v>13073.494969167303</v>
      </c>
      <c r="N4388" s="329">
        <f t="shared" si="274"/>
        <v>0</v>
      </c>
      <c r="T4388" s="331">
        <v>0</v>
      </c>
      <c r="U4388" s="328">
        <f>VLOOKUP(C4388,METADATA!$J$5:$Q$29,IF(E4388="HI",2,IF(E4388="LO",6,10))+IF(T4388=1,2,IF(D4388=7,1,(IF(WEEKDAY(B4388)=1,2,IF(WEEKDAY(B4388)=7,1,0))))))</f>
        <v>2</v>
      </c>
      <c r="V4388" s="328">
        <f>VLOOKUP(C4388,METADATA!$A$5:$H$29,IF(E4388="HI",2,IF(E4388="LO",6,10))+IF(T4388=1,2,IF(D4388=7,1,(IF(WEEKDAY(B4388)=1,2,IF(WEEKDAY(B4388)=7,1,0))))))</f>
        <v>2</v>
      </c>
    </row>
    <row r="4389" spans="2:22">
      <c r="B4389" s="318">
        <f t="shared" si="275"/>
        <v>46295</v>
      </c>
      <c r="C4389" s="312">
        <v>17</v>
      </c>
      <c r="D4389" s="368">
        <f>IFERROR((INDEX(METADATA!$T$2:$T$20,MATCH(B4389,METADATA!$S$2:$S$20,0))),0)</f>
        <v>0</v>
      </c>
      <c r="E4389" s="312" t="str">
        <f t="shared" si="272"/>
        <v>LO</v>
      </c>
      <c r="F4389" s="369">
        <f>VLOOKUP(C4389,METADATA!$A$5:$H$29,IF(E4389="HI",2,IF(E4389="LO",6,10))+IF(D4389=1,2,IF(D4389=7,1,(IF(WEEKDAY(B4389)=1,2,IF(WEEKDAY(B4389)=7,1,0))))))</f>
        <v>2</v>
      </c>
      <c r="G4389" s="369">
        <f>VLOOKUP(C4389,METADATA!$J$5:$Q$29,IF(E4389="HI",2,IF(E4389="LO",6,10))+IF(D4389=1,2,IF(D4389=7,1,(IF(WEEKDAY(B4389)=1,2,IF(WEEKDAY(B4389)=7,1,0))))))</f>
        <v>2</v>
      </c>
      <c r="H4389" s="370">
        <v>12877.6748046875</v>
      </c>
      <c r="I4389" s="370">
        <v>4082.9049987792969</v>
      </c>
      <c r="M4389" s="371">
        <f t="shared" si="273"/>
        <v>13509.427138274228</v>
      </c>
      <c r="N4389" s="329">
        <f t="shared" si="274"/>
        <v>219.60255737304715</v>
      </c>
      <c r="T4389" s="331">
        <v>0</v>
      </c>
      <c r="U4389" s="328">
        <f>VLOOKUP(C4389,METADATA!$J$5:$Q$29,IF(E4389="HI",2,IF(E4389="LO",6,10))+IF(T4389=1,2,IF(D4389=7,1,(IF(WEEKDAY(B4389)=1,2,IF(WEEKDAY(B4389)=7,1,0))))))</f>
        <v>2</v>
      </c>
      <c r="V4389" s="328">
        <f>VLOOKUP(C4389,METADATA!$A$5:$H$29,IF(E4389="HI",2,IF(E4389="LO",6,10))+IF(T4389=1,2,IF(D4389=7,1,(IF(WEEKDAY(B4389)=1,2,IF(WEEKDAY(B4389)=7,1,0))))))</f>
        <v>2</v>
      </c>
    </row>
    <row r="4390" spans="2:22">
      <c r="B4390" s="318">
        <f t="shared" si="275"/>
        <v>46295</v>
      </c>
      <c r="C4390" s="312">
        <v>18</v>
      </c>
      <c r="D4390" s="368">
        <f>IFERROR((INDEX(METADATA!$T$2:$T$20,MATCH(B4390,METADATA!$S$2:$S$20,0))),0)</f>
        <v>0</v>
      </c>
      <c r="E4390" s="312" t="str">
        <f t="shared" si="272"/>
        <v>LO</v>
      </c>
      <c r="F4390" s="369">
        <f>VLOOKUP(C4390,METADATA!$A$5:$H$29,IF(E4390="HI",2,IF(E4390="LO",6,10))+IF(D4390=1,2,IF(D4390=7,1,(IF(WEEKDAY(B4390)=1,2,IF(WEEKDAY(B4390)=7,1,0))))))</f>
        <v>1</v>
      </c>
      <c r="G4390" s="369">
        <f>VLOOKUP(C4390,METADATA!$J$5:$Q$29,IF(E4390="HI",2,IF(E4390="LO",6,10))+IF(D4390=1,2,IF(D4390=7,1,(IF(WEEKDAY(B4390)=1,2,IF(WEEKDAY(B4390)=7,1,0))))))</f>
        <v>1</v>
      </c>
      <c r="H4390" s="370">
        <v>11930.224853515625</v>
      </c>
      <c r="I4390" s="370">
        <v>3647.3525085449219</v>
      </c>
      <c r="M4390" s="371">
        <f t="shared" si="273"/>
        <v>12475.313438027553</v>
      </c>
      <c r="N4390" s="329">
        <f t="shared" si="274"/>
        <v>68.285052490234648</v>
      </c>
      <c r="T4390" s="331">
        <v>0</v>
      </c>
      <c r="U4390" s="328">
        <f>VLOOKUP(C4390,METADATA!$J$5:$Q$29,IF(E4390="HI",2,IF(E4390="LO",6,10))+IF(T4390=1,2,IF(D4390=7,1,(IF(WEEKDAY(B4390)=1,2,IF(WEEKDAY(B4390)=7,1,0))))))</f>
        <v>1</v>
      </c>
      <c r="V4390" s="328">
        <f>VLOOKUP(C4390,METADATA!$A$5:$H$29,IF(E4390="HI",2,IF(E4390="LO",6,10))+IF(T4390=1,2,IF(D4390=7,1,(IF(WEEKDAY(B4390)=1,2,IF(WEEKDAY(B4390)=7,1,0))))))</f>
        <v>1</v>
      </c>
    </row>
    <row r="4391" spans="2:22">
      <c r="B4391" s="318">
        <f t="shared" si="275"/>
        <v>46295</v>
      </c>
      <c r="C4391" s="312">
        <v>19</v>
      </c>
      <c r="D4391" s="368">
        <f>IFERROR((INDEX(METADATA!$T$2:$T$20,MATCH(B4391,METADATA!$S$2:$S$20,0))),0)</f>
        <v>0</v>
      </c>
      <c r="E4391" s="312" t="str">
        <f t="shared" si="272"/>
        <v>LO</v>
      </c>
      <c r="F4391" s="369">
        <f>VLOOKUP(C4391,METADATA!$A$5:$H$29,IF(E4391="HI",2,IF(E4391="LO",6,10))+IF(D4391=1,2,IF(D4391=7,1,(IF(WEEKDAY(B4391)=1,2,IF(WEEKDAY(B4391)=7,1,0))))))</f>
        <v>1</v>
      </c>
      <c r="G4391" s="369">
        <f>VLOOKUP(C4391,METADATA!$J$5:$Q$29,IF(E4391="HI",2,IF(E4391="LO",6,10))+IF(D4391=1,2,IF(D4391=7,1,(IF(WEEKDAY(B4391)=1,2,IF(WEEKDAY(B4391)=7,1,0))))))</f>
        <v>1</v>
      </c>
      <c r="H4391" s="370">
        <v>10754.939788818359</v>
      </c>
      <c r="I4391" s="370">
        <v>2863.6549377441406</v>
      </c>
      <c r="M4391" s="371">
        <f t="shared" si="273"/>
        <v>11129.656304826969</v>
      </c>
      <c r="N4391" s="329">
        <f t="shared" si="274"/>
        <v>0</v>
      </c>
      <c r="T4391" s="331">
        <v>0</v>
      </c>
      <c r="U4391" s="328">
        <f>VLOOKUP(C4391,METADATA!$J$5:$Q$29,IF(E4391="HI",2,IF(E4391="LO",6,10))+IF(T4391=1,2,IF(D4391=7,1,(IF(WEEKDAY(B4391)=1,2,IF(WEEKDAY(B4391)=7,1,0))))))</f>
        <v>1</v>
      </c>
      <c r="V4391" s="328">
        <f>VLOOKUP(C4391,METADATA!$A$5:$H$29,IF(E4391="HI",2,IF(E4391="LO",6,10))+IF(T4391=1,2,IF(D4391=7,1,(IF(WEEKDAY(B4391)=1,2,IF(WEEKDAY(B4391)=7,1,0))))))</f>
        <v>1</v>
      </c>
    </row>
    <row r="4392" spans="2:22">
      <c r="B4392" s="318">
        <f t="shared" si="275"/>
        <v>46295</v>
      </c>
      <c r="C4392" s="312">
        <v>20</v>
      </c>
      <c r="D4392" s="368">
        <f>IFERROR((INDEX(METADATA!$T$2:$T$20,MATCH(B4392,METADATA!$S$2:$S$20,0))),0)</f>
        <v>0</v>
      </c>
      <c r="E4392" s="312" t="str">
        <f t="shared" si="272"/>
        <v>LO</v>
      </c>
      <c r="F4392" s="369">
        <f>VLOOKUP(C4392,METADATA!$A$5:$H$29,IF(E4392="HI",2,IF(E4392="LO",6,10))+IF(D4392=1,2,IF(D4392=7,1,(IF(WEEKDAY(B4392)=1,2,IF(WEEKDAY(B4392)=7,1,0))))))</f>
        <v>1</v>
      </c>
      <c r="G4392" s="369">
        <f>VLOOKUP(C4392,METADATA!$J$5:$Q$29,IF(E4392="HI",2,IF(E4392="LO",6,10))+IF(D4392=1,2,IF(D4392=7,1,(IF(WEEKDAY(B4392)=1,2,IF(WEEKDAY(B4392)=7,1,0))))))</f>
        <v>1</v>
      </c>
      <c r="H4392" s="370">
        <v>11703.519592285156</v>
      </c>
      <c r="I4392" s="370">
        <v>3438.3974609375</v>
      </c>
      <c r="M4392" s="371">
        <f t="shared" si="273"/>
        <v>12198.153464618485</v>
      </c>
      <c r="N4392" s="329">
        <f t="shared" si="274"/>
        <v>0</v>
      </c>
      <c r="T4392" s="331">
        <v>0</v>
      </c>
      <c r="U4392" s="328">
        <f>VLOOKUP(C4392,METADATA!$J$5:$Q$29,IF(E4392="HI",2,IF(E4392="LO",6,10))+IF(T4392=1,2,IF(D4392=7,1,(IF(WEEKDAY(B4392)=1,2,IF(WEEKDAY(B4392)=7,1,0))))))</f>
        <v>1</v>
      </c>
      <c r="V4392" s="328">
        <f>VLOOKUP(C4392,METADATA!$A$5:$H$29,IF(E4392="HI",2,IF(E4392="LO",6,10))+IF(T4392=1,2,IF(D4392=7,1,(IF(WEEKDAY(B4392)=1,2,IF(WEEKDAY(B4392)=7,1,0))))))</f>
        <v>1</v>
      </c>
    </row>
    <row r="4393" spans="2:22">
      <c r="B4393" s="318">
        <f t="shared" si="275"/>
        <v>46295</v>
      </c>
      <c r="C4393" s="312">
        <v>21</v>
      </c>
      <c r="D4393" s="368">
        <f>IFERROR((INDEX(METADATA!$T$2:$T$20,MATCH(B4393,METADATA!$S$2:$S$20,0))),0)</f>
        <v>0</v>
      </c>
      <c r="E4393" s="312" t="str">
        <f t="shared" si="272"/>
        <v>LO</v>
      </c>
      <c r="F4393" s="369">
        <f>VLOOKUP(C4393,METADATA!$A$5:$H$29,IF(E4393="HI",2,IF(E4393="LO",6,10))+IF(D4393=1,2,IF(D4393=7,1,(IF(WEEKDAY(B4393)=1,2,IF(WEEKDAY(B4393)=7,1,0))))))</f>
        <v>2</v>
      </c>
      <c r="G4393" s="369">
        <f>VLOOKUP(C4393,METADATA!$J$5:$Q$29,IF(E4393="HI",2,IF(E4393="LO",6,10))+IF(D4393=1,2,IF(D4393=7,1,(IF(WEEKDAY(B4393)=1,2,IF(WEEKDAY(B4393)=7,1,0))))))</f>
        <v>2</v>
      </c>
      <c r="H4393" s="370">
        <v>12814.800109863281</v>
      </c>
      <c r="I4393" s="370">
        <v>4134.14501953125</v>
      </c>
      <c r="M4393" s="371">
        <f t="shared" si="273"/>
        <v>13465.149716890155</v>
      </c>
      <c r="N4393" s="329">
        <f t="shared" si="274"/>
        <v>289.70498657226563</v>
      </c>
      <c r="T4393" s="331">
        <v>0</v>
      </c>
      <c r="U4393" s="328">
        <f>VLOOKUP(C4393,METADATA!$J$5:$Q$29,IF(E4393="HI",2,IF(E4393="LO",6,10))+IF(T4393=1,2,IF(D4393=7,1,(IF(WEEKDAY(B4393)=1,2,IF(WEEKDAY(B4393)=7,1,0))))))</f>
        <v>2</v>
      </c>
      <c r="V4393" s="328">
        <f>VLOOKUP(C4393,METADATA!$A$5:$H$29,IF(E4393="HI",2,IF(E4393="LO",6,10))+IF(T4393=1,2,IF(D4393=7,1,(IF(WEEKDAY(B4393)=1,2,IF(WEEKDAY(B4393)=7,1,0))))))</f>
        <v>2</v>
      </c>
    </row>
    <row r="4394" spans="2:22">
      <c r="B4394" s="318">
        <f t="shared" si="275"/>
        <v>46295</v>
      </c>
      <c r="C4394" s="312">
        <v>22</v>
      </c>
      <c r="D4394" s="368">
        <f>IFERROR((INDEX(METADATA!$T$2:$T$20,MATCH(B4394,METADATA!$S$2:$S$20,0))),0)</f>
        <v>0</v>
      </c>
      <c r="E4394" s="312" t="str">
        <f t="shared" si="272"/>
        <v>LO</v>
      </c>
      <c r="F4394" s="369">
        <f>VLOOKUP(C4394,METADATA!$A$5:$H$29,IF(E4394="HI",2,IF(E4394="LO",6,10))+IF(D4394=1,2,IF(D4394=7,1,(IF(WEEKDAY(B4394)=1,2,IF(WEEKDAY(B4394)=7,1,0))))))</f>
        <v>3</v>
      </c>
      <c r="G4394" s="369">
        <f>VLOOKUP(C4394,METADATA!$J$5:$Q$29,IF(E4394="HI",2,IF(E4394="LO",6,10))+IF(D4394=1,2,IF(D4394=7,1,(IF(WEEKDAY(B4394)=1,2,IF(WEEKDAY(B4394)=7,1,0))))))</f>
        <v>3</v>
      </c>
      <c r="H4394" s="370">
        <v>12829.499816894531</v>
      </c>
      <c r="I4394" s="370">
        <v>4047.0200500488281</v>
      </c>
      <c r="M4394" s="371">
        <f t="shared" si="273"/>
        <v>13452.673966063179</v>
      </c>
      <c r="N4394" s="329">
        <f t="shared" si="274"/>
        <v>198.17010498046875</v>
      </c>
      <c r="T4394" s="331">
        <v>0</v>
      </c>
      <c r="U4394" s="328">
        <f>VLOOKUP(C4394,METADATA!$J$5:$Q$29,IF(E4394="HI",2,IF(E4394="LO",6,10))+IF(T4394=1,2,IF(D4394=7,1,(IF(WEEKDAY(B4394)=1,2,IF(WEEKDAY(B4394)=7,1,0))))))</f>
        <v>3</v>
      </c>
      <c r="V4394" s="328">
        <f>VLOOKUP(C4394,METADATA!$A$5:$H$29,IF(E4394="HI",2,IF(E4394="LO",6,10))+IF(T4394=1,2,IF(D4394=7,1,(IF(WEEKDAY(B4394)=1,2,IF(WEEKDAY(B4394)=7,1,0))))))</f>
        <v>3</v>
      </c>
    </row>
    <row r="4395" spans="2:22">
      <c r="B4395" s="318">
        <f t="shared" si="275"/>
        <v>46295</v>
      </c>
      <c r="C4395" s="312">
        <v>23</v>
      </c>
      <c r="D4395" s="368">
        <f>IFERROR((INDEX(METADATA!$T$2:$T$20,MATCH(B4395,METADATA!$S$2:$S$20,0))),0)</f>
        <v>0</v>
      </c>
      <c r="E4395" s="312" t="str">
        <f t="shared" si="272"/>
        <v>LO</v>
      </c>
      <c r="F4395" s="369">
        <f>VLOOKUP(C4395,METADATA!$A$5:$H$29,IF(E4395="HI",2,IF(E4395="LO",6,10))+IF(D4395=1,2,IF(D4395=7,1,(IF(WEEKDAY(B4395)=1,2,IF(WEEKDAY(B4395)=7,1,0))))))</f>
        <v>3</v>
      </c>
      <c r="G4395" s="369">
        <f>VLOOKUP(C4395,METADATA!$J$5:$Q$29,IF(E4395="HI",2,IF(E4395="LO",6,10))+IF(D4395=1,2,IF(D4395=7,1,(IF(WEEKDAY(B4395)=1,2,IF(WEEKDAY(B4395)=7,1,0))))))</f>
        <v>3</v>
      </c>
      <c r="H4395" s="370">
        <v>10793.930053710938</v>
      </c>
      <c r="I4395" s="370">
        <v>2785.3799743652344</v>
      </c>
      <c r="M4395" s="371">
        <f t="shared" si="273"/>
        <v>11147.522935881276</v>
      </c>
      <c r="N4395" s="329">
        <f t="shared" si="274"/>
        <v>0</v>
      </c>
      <c r="T4395" s="331">
        <v>0</v>
      </c>
      <c r="U4395" s="328">
        <f>VLOOKUP(C4395,METADATA!$J$5:$Q$29,IF(E4395="HI",2,IF(E4395="LO",6,10))+IF(T4395=1,2,IF(D4395=7,1,(IF(WEEKDAY(B4395)=1,2,IF(WEEKDAY(B4395)=7,1,0))))))</f>
        <v>3</v>
      </c>
      <c r="V4395" s="328">
        <f>VLOOKUP(C4395,METADATA!$A$5:$H$29,IF(E4395="HI",2,IF(E4395="LO",6,10))+IF(T4395=1,2,IF(D4395=7,1,(IF(WEEKDAY(B4395)=1,2,IF(WEEKDAY(B4395)=7,1,0))))))</f>
        <v>3</v>
      </c>
    </row>
    <row r="4396" spans="2:22">
      <c r="B4396" s="318">
        <f t="shared" si="275"/>
        <v>46296</v>
      </c>
      <c r="C4396" s="312">
        <v>0</v>
      </c>
      <c r="D4396" s="368">
        <f>IFERROR((INDEX(METADATA!$T$2:$T$20,MATCH(B4396,METADATA!$S$2:$S$20,0))),0)</f>
        <v>0</v>
      </c>
      <c r="E4396" s="312" t="str">
        <f t="shared" si="272"/>
        <v>LO</v>
      </c>
      <c r="F4396" s="369">
        <f>VLOOKUP(C4396,METADATA!$A$5:$H$29,IF(E4396="HI",2,IF(E4396="LO",6,10))+IF(D4396=1,2,IF(D4396=7,1,(IF(WEEKDAY(B4396)=1,2,IF(WEEKDAY(B4396)=7,1,0))))))</f>
        <v>3</v>
      </c>
      <c r="G4396" s="369">
        <f>VLOOKUP(C4396,METADATA!$J$5:$Q$29,IF(E4396="HI",2,IF(E4396="LO",6,10))+IF(D4396=1,2,IF(D4396=7,1,(IF(WEEKDAY(B4396)=1,2,IF(WEEKDAY(B4396)=7,1,0))))))</f>
        <v>3</v>
      </c>
      <c r="H4396" s="370">
        <v>10768.865234375</v>
      </c>
      <c r="I4396" s="370">
        <v>2661.5299987792969</v>
      </c>
      <c r="M4396" s="371">
        <f t="shared" si="273"/>
        <v>11092.889631224709</v>
      </c>
      <c r="N4396" s="329">
        <f t="shared" si="274"/>
        <v>0</v>
      </c>
      <c r="T4396" s="331">
        <v>0</v>
      </c>
      <c r="U4396" s="328">
        <f>VLOOKUP(C4396,METADATA!$J$5:$Q$29,IF(E4396="HI",2,IF(E4396="LO",6,10))+IF(T4396=1,2,IF(D4396=7,1,(IF(WEEKDAY(B4396)=1,2,IF(WEEKDAY(B4396)=7,1,0))))))</f>
        <v>3</v>
      </c>
      <c r="V4396" s="328">
        <f>VLOOKUP(C4396,METADATA!$A$5:$H$29,IF(E4396="HI",2,IF(E4396="LO",6,10))+IF(T4396=1,2,IF(D4396=7,1,(IF(WEEKDAY(B4396)=1,2,IF(WEEKDAY(B4396)=7,1,0))))))</f>
        <v>3</v>
      </c>
    </row>
    <row r="4397" spans="2:22">
      <c r="B4397" s="318">
        <f t="shared" si="275"/>
        <v>46296</v>
      </c>
      <c r="C4397" s="312">
        <v>1</v>
      </c>
      <c r="D4397" s="368">
        <f>IFERROR((INDEX(METADATA!$T$2:$T$20,MATCH(B4397,METADATA!$S$2:$S$20,0))),0)</f>
        <v>0</v>
      </c>
      <c r="E4397" s="312" t="str">
        <f t="shared" si="272"/>
        <v>LO</v>
      </c>
      <c r="F4397" s="369">
        <f>VLOOKUP(C4397,METADATA!$A$5:$H$29,IF(E4397="HI",2,IF(E4397="LO",6,10))+IF(D4397=1,2,IF(D4397=7,1,(IF(WEEKDAY(B4397)=1,2,IF(WEEKDAY(B4397)=7,1,0))))))</f>
        <v>3</v>
      </c>
      <c r="G4397" s="369">
        <f>VLOOKUP(C4397,METADATA!$J$5:$Q$29,IF(E4397="HI",2,IF(E4397="LO",6,10))+IF(D4397=1,2,IF(D4397=7,1,(IF(WEEKDAY(B4397)=1,2,IF(WEEKDAY(B4397)=7,1,0))))))</f>
        <v>3</v>
      </c>
      <c r="H4397" s="370">
        <v>10698.235046386719</v>
      </c>
      <c r="I4397" s="370">
        <v>2551.4375610351563</v>
      </c>
      <c r="M4397" s="371">
        <f t="shared" si="273"/>
        <v>10998.275625551401</v>
      </c>
      <c r="N4397" s="329">
        <f t="shared" si="274"/>
        <v>0</v>
      </c>
      <c r="T4397" s="331">
        <v>0</v>
      </c>
      <c r="U4397" s="328">
        <f>VLOOKUP(C4397,METADATA!$J$5:$Q$29,IF(E4397="HI",2,IF(E4397="LO",6,10))+IF(T4397=1,2,IF(D4397=7,1,(IF(WEEKDAY(B4397)=1,2,IF(WEEKDAY(B4397)=7,1,0))))))</f>
        <v>3</v>
      </c>
      <c r="V4397" s="328">
        <f>VLOOKUP(C4397,METADATA!$A$5:$H$29,IF(E4397="HI",2,IF(E4397="LO",6,10))+IF(T4397=1,2,IF(D4397=7,1,(IF(WEEKDAY(B4397)=1,2,IF(WEEKDAY(B4397)=7,1,0))))))</f>
        <v>3</v>
      </c>
    </row>
    <row r="4398" spans="2:22">
      <c r="B4398" s="318">
        <f t="shared" si="275"/>
        <v>46296</v>
      </c>
      <c r="C4398" s="312">
        <v>2</v>
      </c>
      <c r="D4398" s="368">
        <f>IFERROR((INDEX(METADATA!$T$2:$T$20,MATCH(B4398,METADATA!$S$2:$S$20,0))),0)</f>
        <v>0</v>
      </c>
      <c r="E4398" s="312" t="str">
        <f t="shared" si="272"/>
        <v>LO</v>
      </c>
      <c r="F4398" s="369">
        <f>VLOOKUP(C4398,METADATA!$A$5:$H$29,IF(E4398="HI",2,IF(E4398="LO",6,10))+IF(D4398=1,2,IF(D4398=7,1,(IF(WEEKDAY(B4398)=1,2,IF(WEEKDAY(B4398)=7,1,0))))))</f>
        <v>3</v>
      </c>
      <c r="G4398" s="369">
        <f>VLOOKUP(C4398,METADATA!$J$5:$Q$29,IF(E4398="HI",2,IF(E4398="LO",6,10))+IF(D4398=1,2,IF(D4398=7,1,(IF(WEEKDAY(B4398)=1,2,IF(WEEKDAY(B4398)=7,1,0))))))</f>
        <v>3</v>
      </c>
      <c r="H4398" s="370">
        <v>12712.400268554688</v>
      </c>
      <c r="I4398" s="370">
        <v>3836.1949462890625</v>
      </c>
      <c r="M4398" s="371">
        <f t="shared" si="273"/>
        <v>13278.611081505587</v>
      </c>
      <c r="N4398" s="329">
        <f t="shared" si="274"/>
        <v>22.474865722656432</v>
      </c>
      <c r="T4398" s="331">
        <v>0</v>
      </c>
      <c r="U4398" s="328">
        <f>VLOOKUP(C4398,METADATA!$J$5:$Q$29,IF(E4398="HI",2,IF(E4398="LO",6,10))+IF(T4398=1,2,IF(D4398=7,1,(IF(WEEKDAY(B4398)=1,2,IF(WEEKDAY(B4398)=7,1,0))))))</f>
        <v>3</v>
      </c>
      <c r="V4398" s="328">
        <f>VLOOKUP(C4398,METADATA!$A$5:$H$29,IF(E4398="HI",2,IF(E4398="LO",6,10))+IF(T4398=1,2,IF(D4398=7,1,(IF(WEEKDAY(B4398)=1,2,IF(WEEKDAY(B4398)=7,1,0))))))</f>
        <v>3</v>
      </c>
    </row>
    <row r="4399" spans="2:22">
      <c r="B4399" s="318">
        <f t="shared" si="275"/>
        <v>46296</v>
      </c>
      <c r="C4399" s="312">
        <v>3</v>
      </c>
      <c r="D4399" s="368">
        <f>IFERROR((INDEX(METADATA!$T$2:$T$20,MATCH(B4399,METADATA!$S$2:$S$20,0))),0)</f>
        <v>0</v>
      </c>
      <c r="E4399" s="312" t="str">
        <f t="shared" si="272"/>
        <v>LO</v>
      </c>
      <c r="F4399" s="369">
        <f>VLOOKUP(C4399,METADATA!$A$5:$H$29,IF(E4399="HI",2,IF(E4399="LO",6,10))+IF(D4399=1,2,IF(D4399=7,1,(IF(WEEKDAY(B4399)=1,2,IF(WEEKDAY(B4399)=7,1,0))))))</f>
        <v>3</v>
      </c>
      <c r="G4399" s="369">
        <f>VLOOKUP(C4399,METADATA!$J$5:$Q$29,IF(E4399="HI",2,IF(E4399="LO",6,10))+IF(D4399=1,2,IF(D4399=7,1,(IF(WEEKDAY(B4399)=1,2,IF(WEEKDAY(B4399)=7,1,0))))))</f>
        <v>3</v>
      </c>
      <c r="H4399" s="370">
        <v>12786.025024414063</v>
      </c>
      <c r="I4399" s="370">
        <v>3987.6150207519531</v>
      </c>
      <c r="M4399" s="371">
        <f t="shared" si="273"/>
        <v>13393.412913767321</v>
      </c>
      <c r="N4399" s="329">
        <f t="shared" si="274"/>
        <v>151.80751342773465</v>
      </c>
      <c r="T4399" s="331">
        <v>0</v>
      </c>
      <c r="U4399" s="328">
        <f>VLOOKUP(C4399,METADATA!$J$5:$Q$29,IF(E4399="HI",2,IF(E4399="LO",6,10))+IF(T4399=1,2,IF(D4399=7,1,(IF(WEEKDAY(B4399)=1,2,IF(WEEKDAY(B4399)=7,1,0))))))</f>
        <v>3</v>
      </c>
      <c r="V4399" s="328">
        <f>VLOOKUP(C4399,METADATA!$A$5:$H$29,IF(E4399="HI",2,IF(E4399="LO",6,10))+IF(T4399=1,2,IF(D4399=7,1,(IF(WEEKDAY(B4399)=1,2,IF(WEEKDAY(B4399)=7,1,0))))))</f>
        <v>3</v>
      </c>
    </row>
    <row r="4400" spans="2:22">
      <c r="B4400" s="318">
        <f t="shared" si="275"/>
        <v>46296</v>
      </c>
      <c r="C4400" s="312">
        <v>4</v>
      </c>
      <c r="D4400" s="368">
        <f>IFERROR((INDEX(METADATA!$T$2:$T$20,MATCH(B4400,METADATA!$S$2:$S$20,0))),0)</f>
        <v>0</v>
      </c>
      <c r="E4400" s="312" t="str">
        <f t="shared" si="272"/>
        <v>LO</v>
      </c>
      <c r="F4400" s="369">
        <f>VLOOKUP(C4400,METADATA!$A$5:$H$29,IF(E4400="HI",2,IF(E4400="LO",6,10))+IF(D4400=1,2,IF(D4400=7,1,(IF(WEEKDAY(B4400)=1,2,IF(WEEKDAY(B4400)=7,1,0))))))</f>
        <v>3</v>
      </c>
      <c r="G4400" s="369">
        <f>VLOOKUP(C4400,METADATA!$J$5:$Q$29,IF(E4400="HI",2,IF(E4400="LO",6,10))+IF(D4400=1,2,IF(D4400=7,1,(IF(WEEKDAY(B4400)=1,2,IF(WEEKDAY(B4400)=7,1,0))))))</f>
        <v>3</v>
      </c>
      <c r="H4400" s="370">
        <v>12716.449951171875</v>
      </c>
      <c r="I4400" s="370">
        <v>3944.8550109863281</v>
      </c>
      <c r="M4400" s="371">
        <f t="shared" si="273"/>
        <v>13314.277314911355</v>
      </c>
      <c r="N4400" s="329">
        <f t="shared" si="274"/>
        <v>129.92002563476581</v>
      </c>
      <c r="T4400" s="331">
        <v>0</v>
      </c>
      <c r="U4400" s="328">
        <f>VLOOKUP(C4400,METADATA!$J$5:$Q$29,IF(E4400="HI",2,IF(E4400="LO",6,10))+IF(T4400=1,2,IF(D4400=7,1,(IF(WEEKDAY(B4400)=1,2,IF(WEEKDAY(B4400)=7,1,0))))))</f>
        <v>3</v>
      </c>
      <c r="V4400" s="328">
        <f>VLOOKUP(C4400,METADATA!$A$5:$H$29,IF(E4400="HI",2,IF(E4400="LO",6,10))+IF(T4400=1,2,IF(D4400=7,1,(IF(WEEKDAY(B4400)=1,2,IF(WEEKDAY(B4400)=7,1,0))))))</f>
        <v>3</v>
      </c>
    </row>
    <row r="4401" spans="2:22">
      <c r="B4401" s="318">
        <f t="shared" si="275"/>
        <v>46296</v>
      </c>
      <c r="C4401" s="312">
        <v>5</v>
      </c>
      <c r="D4401" s="368">
        <f>IFERROR((INDEX(METADATA!$T$2:$T$20,MATCH(B4401,METADATA!$S$2:$S$20,0))),0)</f>
        <v>0</v>
      </c>
      <c r="E4401" s="312" t="str">
        <f t="shared" si="272"/>
        <v>LO</v>
      </c>
      <c r="F4401" s="369">
        <f>VLOOKUP(C4401,METADATA!$A$5:$H$29,IF(E4401="HI",2,IF(E4401="LO",6,10))+IF(D4401=1,2,IF(D4401=7,1,(IF(WEEKDAY(B4401)=1,2,IF(WEEKDAY(B4401)=7,1,0))))))</f>
        <v>3</v>
      </c>
      <c r="G4401" s="369">
        <f>VLOOKUP(C4401,METADATA!$J$5:$Q$29,IF(E4401="HI",2,IF(E4401="LO",6,10))+IF(D4401=1,2,IF(D4401=7,1,(IF(WEEKDAY(B4401)=1,2,IF(WEEKDAY(B4401)=7,1,0))))))</f>
        <v>3</v>
      </c>
      <c r="H4401" s="370">
        <v>12795.925109863281</v>
      </c>
      <c r="I4401" s="370">
        <v>3989.4850158691406</v>
      </c>
      <c r="M4401" s="371">
        <f t="shared" si="273"/>
        <v>13403.420836080393</v>
      </c>
      <c r="N4401" s="329">
        <f t="shared" si="274"/>
        <v>150.70748291015661</v>
      </c>
      <c r="T4401" s="331">
        <v>0</v>
      </c>
      <c r="U4401" s="328">
        <f>VLOOKUP(C4401,METADATA!$J$5:$Q$29,IF(E4401="HI",2,IF(E4401="LO",6,10))+IF(T4401=1,2,IF(D4401=7,1,(IF(WEEKDAY(B4401)=1,2,IF(WEEKDAY(B4401)=7,1,0))))))</f>
        <v>3</v>
      </c>
      <c r="V4401" s="328">
        <f>VLOOKUP(C4401,METADATA!$A$5:$H$29,IF(E4401="HI",2,IF(E4401="LO",6,10))+IF(T4401=1,2,IF(D4401=7,1,(IF(WEEKDAY(B4401)=1,2,IF(WEEKDAY(B4401)=7,1,0))))))</f>
        <v>3</v>
      </c>
    </row>
    <row r="4402" spans="2:22">
      <c r="B4402" s="318">
        <f t="shared" si="275"/>
        <v>46296</v>
      </c>
      <c r="C4402" s="312">
        <v>6</v>
      </c>
      <c r="D4402" s="368">
        <f>IFERROR((INDEX(METADATA!$T$2:$T$20,MATCH(B4402,METADATA!$S$2:$S$20,0))),0)</f>
        <v>0</v>
      </c>
      <c r="E4402" s="312" t="str">
        <f t="shared" si="272"/>
        <v>LO</v>
      </c>
      <c r="F4402" s="369">
        <f>VLOOKUP(C4402,METADATA!$A$5:$H$29,IF(E4402="HI",2,IF(E4402="LO",6,10))+IF(D4402=1,2,IF(D4402=7,1,(IF(WEEKDAY(B4402)=1,2,IF(WEEKDAY(B4402)=7,1,0))))))</f>
        <v>2</v>
      </c>
      <c r="G4402" s="369">
        <f>VLOOKUP(C4402,METADATA!$J$5:$Q$29,IF(E4402="HI",2,IF(E4402="LO",6,10))+IF(D4402=1,2,IF(D4402=7,1,(IF(WEEKDAY(B4402)=1,2,IF(WEEKDAY(B4402)=7,1,0))))))</f>
        <v>2</v>
      </c>
      <c r="H4402" s="370">
        <v>12491.124694824219</v>
      </c>
      <c r="I4402" s="370">
        <v>3975.784912109375</v>
      </c>
      <c r="M4402" s="371">
        <f t="shared" si="273"/>
        <v>13108.587330792132</v>
      </c>
      <c r="N4402" s="329">
        <f t="shared" si="274"/>
        <v>228.44750366210974</v>
      </c>
      <c r="T4402" s="331">
        <v>0</v>
      </c>
      <c r="U4402" s="328">
        <f>VLOOKUP(C4402,METADATA!$J$5:$Q$29,IF(E4402="HI",2,IF(E4402="LO",6,10))+IF(T4402=1,2,IF(D4402=7,1,(IF(WEEKDAY(B4402)=1,2,IF(WEEKDAY(B4402)=7,1,0))))))</f>
        <v>2</v>
      </c>
      <c r="V4402" s="328">
        <f>VLOOKUP(C4402,METADATA!$A$5:$H$29,IF(E4402="HI",2,IF(E4402="LO",6,10))+IF(T4402=1,2,IF(D4402=7,1,(IF(WEEKDAY(B4402)=1,2,IF(WEEKDAY(B4402)=7,1,0))))))</f>
        <v>2</v>
      </c>
    </row>
    <row r="4403" spans="2:22">
      <c r="B4403" s="318">
        <f t="shared" si="275"/>
        <v>46296</v>
      </c>
      <c r="C4403" s="312">
        <v>7</v>
      </c>
      <c r="D4403" s="368">
        <f>IFERROR((INDEX(METADATA!$T$2:$T$20,MATCH(B4403,METADATA!$S$2:$S$20,0))),0)</f>
        <v>0</v>
      </c>
      <c r="E4403" s="312" t="str">
        <f t="shared" si="272"/>
        <v>LO</v>
      </c>
      <c r="F4403" s="369">
        <f>VLOOKUP(C4403,METADATA!$A$5:$H$29,IF(E4403="HI",2,IF(E4403="LO",6,10))+IF(D4403=1,2,IF(D4403=7,1,(IF(WEEKDAY(B4403)=1,2,IF(WEEKDAY(B4403)=7,1,0))))))</f>
        <v>1</v>
      </c>
      <c r="G4403" s="369">
        <f>VLOOKUP(C4403,METADATA!$J$5:$Q$29,IF(E4403="HI",2,IF(E4403="LO",6,10))+IF(D4403=1,2,IF(D4403=7,1,(IF(WEEKDAY(B4403)=1,2,IF(WEEKDAY(B4403)=7,1,0))))))</f>
        <v>1</v>
      </c>
      <c r="H4403" s="370">
        <v>12731.874755859375</v>
      </c>
      <c r="I4403" s="370">
        <v>4024.6499938964844</v>
      </c>
      <c r="M4403" s="371">
        <f t="shared" si="273"/>
        <v>13352.843980675434</v>
      </c>
      <c r="N4403" s="329">
        <f t="shared" si="274"/>
        <v>205.08756713867206</v>
      </c>
      <c r="T4403" s="331">
        <v>0</v>
      </c>
      <c r="U4403" s="328">
        <f>VLOOKUP(C4403,METADATA!$J$5:$Q$29,IF(E4403="HI",2,IF(E4403="LO",6,10))+IF(T4403=1,2,IF(D4403=7,1,(IF(WEEKDAY(B4403)=1,2,IF(WEEKDAY(B4403)=7,1,0))))))</f>
        <v>1</v>
      </c>
      <c r="V4403" s="328">
        <f>VLOOKUP(C4403,METADATA!$A$5:$H$29,IF(E4403="HI",2,IF(E4403="LO",6,10))+IF(T4403=1,2,IF(D4403=7,1,(IF(WEEKDAY(B4403)=1,2,IF(WEEKDAY(B4403)=7,1,0))))))</f>
        <v>1</v>
      </c>
    </row>
    <row r="4404" spans="2:22">
      <c r="B4404" s="318">
        <f t="shared" si="275"/>
        <v>46296</v>
      </c>
      <c r="C4404" s="312">
        <v>8</v>
      </c>
      <c r="D4404" s="368">
        <f>IFERROR((INDEX(METADATA!$T$2:$T$20,MATCH(B4404,METADATA!$S$2:$S$20,0))),0)</f>
        <v>0</v>
      </c>
      <c r="E4404" s="312" t="str">
        <f t="shared" si="272"/>
        <v>LO</v>
      </c>
      <c r="F4404" s="369">
        <f>VLOOKUP(C4404,METADATA!$A$5:$H$29,IF(E4404="HI",2,IF(E4404="LO",6,10))+IF(D4404=1,2,IF(D4404=7,1,(IF(WEEKDAY(B4404)=1,2,IF(WEEKDAY(B4404)=7,1,0))))))</f>
        <v>1</v>
      </c>
      <c r="G4404" s="369">
        <f>VLOOKUP(C4404,METADATA!$J$5:$Q$29,IF(E4404="HI",2,IF(E4404="LO",6,10))+IF(D4404=1,2,IF(D4404=7,1,(IF(WEEKDAY(B4404)=1,2,IF(WEEKDAY(B4404)=7,1,0))))))</f>
        <v>1</v>
      </c>
      <c r="H4404" s="370">
        <v>12876.650451660156</v>
      </c>
      <c r="I4404" s="370">
        <v>3954.1400146484375</v>
      </c>
      <c r="M4404" s="371">
        <f t="shared" si="273"/>
        <v>13470.09094660031</v>
      </c>
      <c r="N4404" s="329">
        <f t="shared" si="274"/>
        <v>91.144879150390807</v>
      </c>
      <c r="T4404" s="331">
        <v>0</v>
      </c>
      <c r="U4404" s="328">
        <f>VLOOKUP(C4404,METADATA!$J$5:$Q$29,IF(E4404="HI",2,IF(E4404="LO",6,10))+IF(T4404=1,2,IF(D4404=7,1,(IF(WEEKDAY(B4404)=1,2,IF(WEEKDAY(B4404)=7,1,0))))))</f>
        <v>1</v>
      </c>
      <c r="V4404" s="328">
        <f>VLOOKUP(C4404,METADATA!$A$5:$H$29,IF(E4404="HI",2,IF(E4404="LO",6,10))+IF(T4404=1,2,IF(D4404=7,1,(IF(WEEKDAY(B4404)=1,2,IF(WEEKDAY(B4404)=7,1,0))))))</f>
        <v>1</v>
      </c>
    </row>
    <row r="4405" spans="2:22">
      <c r="B4405" s="318">
        <f t="shared" si="275"/>
        <v>46296</v>
      </c>
      <c r="C4405" s="312">
        <v>9</v>
      </c>
      <c r="D4405" s="368">
        <f>IFERROR((INDEX(METADATA!$T$2:$T$20,MATCH(B4405,METADATA!$S$2:$S$20,0))),0)</f>
        <v>0</v>
      </c>
      <c r="E4405" s="312" t="str">
        <f t="shared" si="272"/>
        <v>LO</v>
      </c>
      <c r="F4405" s="369">
        <f>VLOOKUP(C4405,METADATA!$A$5:$H$29,IF(E4405="HI",2,IF(E4405="LO",6,10))+IF(D4405=1,2,IF(D4405=7,1,(IF(WEEKDAY(B4405)=1,2,IF(WEEKDAY(B4405)=7,1,0))))))</f>
        <v>2</v>
      </c>
      <c r="G4405" s="369">
        <f>VLOOKUP(C4405,METADATA!$J$5:$Q$29,IF(E4405="HI",2,IF(E4405="LO",6,10))+IF(D4405=1,2,IF(D4405=7,1,(IF(WEEKDAY(B4405)=1,2,IF(WEEKDAY(B4405)=7,1,0))))))</f>
        <v>2</v>
      </c>
      <c r="H4405" s="370">
        <v>12809.5</v>
      </c>
      <c r="I4405" s="370">
        <v>4047.4149780273438</v>
      </c>
      <c r="M4405" s="371">
        <f t="shared" si="273"/>
        <v>13433.72093853226</v>
      </c>
      <c r="N4405" s="329">
        <f t="shared" si="274"/>
        <v>204.56497802734384</v>
      </c>
      <c r="T4405" s="331">
        <v>0</v>
      </c>
      <c r="U4405" s="328">
        <f>VLOOKUP(C4405,METADATA!$J$5:$Q$29,IF(E4405="HI",2,IF(E4405="LO",6,10))+IF(T4405=1,2,IF(D4405=7,1,(IF(WEEKDAY(B4405)=1,2,IF(WEEKDAY(B4405)=7,1,0))))))</f>
        <v>2</v>
      </c>
      <c r="V4405" s="328">
        <f>VLOOKUP(C4405,METADATA!$A$5:$H$29,IF(E4405="HI",2,IF(E4405="LO",6,10))+IF(T4405=1,2,IF(D4405=7,1,(IF(WEEKDAY(B4405)=1,2,IF(WEEKDAY(B4405)=7,1,0))))))</f>
        <v>2</v>
      </c>
    </row>
    <row r="4406" spans="2:22">
      <c r="B4406" s="318">
        <f t="shared" si="275"/>
        <v>46296</v>
      </c>
      <c r="C4406" s="312">
        <v>10</v>
      </c>
      <c r="D4406" s="368">
        <f>IFERROR((INDEX(METADATA!$T$2:$T$20,MATCH(B4406,METADATA!$S$2:$S$20,0))),0)</f>
        <v>0</v>
      </c>
      <c r="E4406" s="312" t="str">
        <f t="shared" si="272"/>
        <v>LO</v>
      </c>
      <c r="F4406" s="369">
        <f>VLOOKUP(C4406,METADATA!$A$5:$H$29,IF(E4406="HI",2,IF(E4406="LO",6,10))+IF(D4406=1,2,IF(D4406=7,1,(IF(WEEKDAY(B4406)=1,2,IF(WEEKDAY(B4406)=7,1,0))))))</f>
        <v>2</v>
      </c>
      <c r="G4406" s="369">
        <f>VLOOKUP(C4406,METADATA!$J$5:$Q$29,IF(E4406="HI",2,IF(E4406="LO",6,10))+IF(D4406=1,2,IF(D4406=7,1,(IF(WEEKDAY(B4406)=1,2,IF(WEEKDAY(B4406)=7,1,0))))))</f>
        <v>2</v>
      </c>
      <c r="H4406" s="370">
        <v>12488.975036621094</v>
      </c>
      <c r="I4406" s="370">
        <v>3966.5100708007813</v>
      </c>
      <c r="M4406" s="371">
        <f t="shared" si="273"/>
        <v>13103.728462048841</v>
      </c>
      <c r="N4406" s="329">
        <f t="shared" si="274"/>
        <v>219.81755981445349</v>
      </c>
      <c r="T4406" s="331">
        <v>0</v>
      </c>
      <c r="U4406" s="328">
        <f>VLOOKUP(C4406,METADATA!$J$5:$Q$29,IF(E4406="HI",2,IF(E4406="LO",6,10))+IF(T4406=1,2,IF(D4406=7,1,(IF(WEEKDAY(B4406)=1,2,IF(WEEKDAY(B4406)=7,1,0))))))</f>
        <v>2</v>
      </c>
      <c r="V4406" s="328">
        <f>VLOOKUP(C4406,METADATA!$A$5:$H$29,IF(E4406="HI",2,IF(E4406="LO",6,10))+IF(T4406=1,2,IF(D4406=7,1,(IF(WEEKDAY(B4406)=1,2,IF(WEEKDAY(B4406)=7,1,0))))))</f>
        <v>2</v>
      </c>
    </row>
    <row r="4407" spans="2:22">
      <c r="B4407" s="318">
        <f t="shared" si="275"/>
        <v>46296</v>
      </c>
      <c r="C4407" s="312">
        <v>11</v>
      </c>
      <c r="D4407" s="368">
        <f>IFERROR((INDEX(METADATA!$T$2:$T$20,MATCH(B4407,METADATA!$S$2:$S$20,0))),0)</f>
        <v>0</v>
      </c>
      <c r="E4407" s="312" t="str">
        <f t="shared" si="272"/>
        <v>LO</v>
      </c>
      <c r="F4407" s="369">
        <f>VLOOKUP(C4407,METADATA!$A$5:$H$29,IF(E4407="HI",2,IF(E4407="LO",6,10))+IF(D4407=1,2,IF(D4407=7,1,(IF(WEEKDAY(B4407)=1,2,IF(WEEKDAY(B4407)=7,1,0))))))</f>
        <v>2</v>
      </c>
      <c r="G4407" s="369">
        <f>VLOOKUP(C4407,METADATA!$J$5:$Q$29,IF(E4407="HI",2,IF(E4407="LO",6,10))+IF(D4407=1,2,IF(D4407=7,1,(IF(WEEKDAY(B4407)=1,2,IF(WEEKDAY(B4407)=7,1,0))))))</f>
        <v>2</v>
      </c>
      <c r="H4407" s="370">
        <v>12905.124877929688</v>
      </c>
      <c r="I4407" s="370">
        <v>3994.1100158691406</v>
      </c>
      <c r="M4407" s="371">
        <f t="shared" si="273"/>
        <v>13509.077057068922</v>
      </c>
      <c r="N4407" s="329">
        <f t="shared" si="274"/>
        <v>122.57255249023456</v>
      </c>
      <c r="T4407" s="331">
        <v>0</v>
      </c>
      <c r="U4407" s="328">
        <f>VLOOKUP(C4407,METADATA!$J$5:$Q$29,IF(E4407="HI",2,IF(E4407="LO",6,10))+IF(T4407=1,2,IF(D4407=7,1,(IF(WEEKDAY(B4407)=1,2,IF(WEEKDAY(B4407)=7,1,0))))))</f>
        <v>2</v>
      </c>
      <c r="V4407" s="328">
        <f>VLOOKUP(C4407,METADATA!$A$5:$H$29,IF(E4407="HI",2,IF(E4407="LO",6,10))+IF(T4407=1,2,IF(D4407=7,1,(IF(WEEKDAY(B4407)=1,2,IF(WEEKDAY(B4407)=7,1,0))))))</f>
        <v>2</v>
      </c>
    </row>
    <row r="4408" spans="2:22">
      <c r="B4408" s="318">
        <f t="shared" si="275"/>
        <v>46296</v>
      </c>
      <c r="C4408" s="312">
        <v>12</v>
      </c>
      <c r="D4408" s="368">
        <f>IFERROR((INDEX(METADATA!$T$2:$T$20,MATCH(B4408,METADATA!$S$2:$S$20,0))),0)</f>
        <v>0</v>
      </c>
      <c r="E4408" s="312" t="str">
        <f t="shared" si="272"/>
        <v>LO</v>
      </c>
      <c r="F4408" s="369">
        <f>VLOOKUP(C4408,METADATA!$A$5:$H$29,IF(E4408="HI",2,IF(E4408="LO",6,10))+IF(D4408=1,2,IF(D4408=7,1,(IF(WEEKDAY(B4408)=1,2,IF(WEEKDAY(B4408)=7,1,0))))))</f>
        <v>2</v>
      </c>
      <c r="G4408" s="369">
        <f>VLOOKUP(C4408,METADATA!$J$5:$Q$29,IF(E4408="HI",2,IF(E4408="LO",6,10))+IF(D4408=1,2,IF(D4408=7,1,(IF(WEEKDAY(B4408)=1,2,IF(WEEKDAY(B4408)=7,1,0))))))</f>
        <v>2</v>
      </c>
      <c r="H4408" s="370">
        <v>12887.450134277344</v>
      </c>
      <c r="I4408" s="370">
        <v>4134.4750061035156</v>
      </c>
      <c r="M4408" s="371">
        <f t="shared" si="273"/>
        <v>13534.410018156676</v>
      </c>
      <c r="N4408" s="329">
        <f t="shared" si="274"/>
        <v>268.23996582031259</v>
      </c>
      <c r="T4408" s="331">
        <v>0</v>
      </c>
      <c r="U4408" s="328">
        <f>VLOOKUP(C4408,METADATA!$J$5:$Q$29,IF(E4408="HI",2,IF(E4408="LO",6,10))+IF(T4408=1,2,IF(D4408=7,1,(IF(WEEKDAY(B4408)=1,2,IF(WEEKDAY(B4408)=7,1,0))))))</f>
        <v>2</v>
      </c>
      <c r="V4408" s="328">
        <f>VLOOKUP(C4408,METADATA!$A$5:$H$29,IF(E4408="HI",2,IF(E4408="LO",6,10))+IF(T4408=1,2,IF(D4408=7,1,(IF(WEEKDAY(B4408)=1,2,IF(WEEKDAY(B4408)=7,1,0))))))</f>
        <v>2</v>
      </c>
    </row>
    <row r="4409" spans="2:22">
      <c r="B4409" s="318">
        <f t="shared" si="275"/>
        <v>46296</v>
      </c>
      <c r="C4409" s="312">
        <v>13</v>
      </c>
      <c r="D4409" s="368">
        <f>IFERROR((INDEX(METADATA!$T$2:$T$20,MATCH(B4409,METADATA!$S$2:$S$20,0))),0)</f>
        <v>0</v>
      </c>
      <c r="E4409" s="312" t="str">
        <f t="shared" si="272"/>
        <v>LO</v>
      </c>
      <c r="F4409" s="369">
        <f>VLOOKUP(C4409,METADATA!$A$5:$H$29,IF(E4409="HI",2,IF(E4409="LO",6,10))+IF(D4409=1,2,IF(D4409=7,1,(IF(WEEKDAY(B4409)=1,2,IF(WEEKDAY(B4409)=7,1,0))))))</f>
        <v>2</v>
      </c>
      <c r="G4409" s="369">
        <f>VLOOKUP(C4409,METADATA!$J$5:$Q$29,IF(E4409="HI",2,IF(E4409="LO",6,10))+IF(D4409=1,2,IF(D4409=7,1,(IF(WEEKDAY(B4409)=1,2,IF(WEEKDAY(B4409)=7,1,0))))))</f>
        <v>2</v>
      </c>
      <c r="H4409" s="370">
        <v>12758.849914550781</v>
      </c>
      <c r="I4409" s="370">
        <v>4110.4299011230469</v>
      </c>
      <c r="M4409" s="371">
        <f t="shared" si="273"/>
        <v>13404.621781836251</v>
      </c>
      <c r="N4409" s="329">
        <f t="shared" si="274"/>
        <v>282.77492675781286</v>
      </c>
      <c r="T4409" s="331">
        <v>0</v>
      </c>
      <c r="U4409" s="328">
        <f>VLOOKUP(C4409,METADATA!$J$5:$Q$29,IF(E4409="HI",2,IF(E4409="LO",6,10))+IF(T4409=1,2,IF(D4409=7,1,(IF(WEEKDAY(B4409)=1,2,IF(WEEKDAY(B4409)=7,1,0))))))</f>
        <v>2</v>
      </c>
      <c r="V4409" s="328">
        <f>VLOOKUP(C4409,METADATA!$A$5:$H$29,IF(E4409="HI",2,IF(E4409="LO",6,10))+IF(T4409=1,2,IF(D4409=7,1,(IF(WEEKDAY(B4409)=1,2,IF(WEEKDAY(B4409)=7,1,0))))))</f>
        <v>2</v>
      </c>
    </row>
    <row r="4410" spans="2:22">
      <c r="B4410" s="318">
        <f t="shared" si="275"/>
        <v>46296</v>
      </c>
      <c r="C4410" s="312">
        <v>14</v>
      </c>
      <c r="D4410" s="368">
        <f>IFERROR((INDEX(METADATA!$T$2:$T$20,MATCH(B4410,METADATA!$S$2:$S$20,0))),0)</f>
        <v>0</v>
      </c>
      <c r="E4410" s="312" t="str">
        <f t="shared" si="272"/>
        <v>LO</v>
      </c>
      <c r="F4410" s="369">
        <f>VLOOKUP(C4410,METADATA!$A$5:$H$29,IF(E4410="HI",2,IF(E4410="LO",6,10))+IF(D4410=1,2,IF(D4410=7,1,(IF(WEEKDAY(B4410)=1,2,IF(WEEKDAY(B4410)=7,1,0))))))</f>
        <v>2</v>
      </c>
      <c r="G4410" s="369">
        <f>VLOOKUP(C4410,METADATA!$J$5:$Q$29,IF(E4410="HI",2,IF(E4410="LO",6,10))+IF(D4410=1,2,IF(D4410=7,1,(IF(WEEKDAY(B4410)=1,2,IF(WEEKDAY(B4410)=7,1,0))))))</f>
        <v>2</v>
      </c>
      <c r="H4410" s="370">
        <v>12769.725219726563</v>
      </c>
      <c r="I4410" s="370">
        <v>4145.1050415039063</v>
      </c>
      <c r="M4410" s="371">
        <f t="shared" si="273"/>
        <v>13425.638829955977</v>
      </c>
      <c r="N4410" s="329">
        <f t="shared" si="274"/>
        <v>314.18747558593759</v>
      </c>
      <c r="T4410" s="331">
        <v>0</v>
      </c>
      <c r="U4410" s="328">
        <f>VLOOKUP(C4410,METADATA!$J$5:$Q$29,IF(E4410="HI",2,IF(E4410="LO",6,10))+IF(T4410=1,2,IF(D4410=7,1,(IF(WEEKDAY(B4410)=1,2,IF(WEEKDAY(B4410)=7,1,0))))))</f>
        <v>2</v>
      </c>
      <c r="V4410" s="328">
        <f>VLOOKUP(C4410,METADATA!$A$5:$H$29,IF(E4410="HI",2,IF(E4410="LO",6,10))+IF(T4410=1,2,IF(D4410=7,1,(IF(WEEKDAY(B4410)=1,2,IF(WEEKDAY(B4410)=7,1,0))))))</f>
        <v>2</v>
      </c>
    </row>
    <row r="4411" spans="2:22">
      <c r="B4411" s="318">
        <f t="shared" si="275"/>
        <v>46296</v>
      </c>
      <c r="C4411" s="312">
        <v>15</v>
      </c>
      <c r="D4411" s="368">
        <f>IFERROR((INDEX(METADATA!$T$2:$T$20,MATCH(B4411,METADATA!$S$2:$S$20,0))),0)</f>
        <v>0</v>
      </c>
      <c r="E4411" s="312" t="str">
        <f t="shared" si="272"/>
        <v>LO</v>
      </c>
      <c r="F4411" s="369">
        <f>VLOOKUP(C4411,METADATA!$A$5:$H$29,IF(E4411="HI",2,IF(E4411="LO",6,10))+IF(D4411=1,2,IF(D4411=7,1,(IF(WEEKDAY(B4411)=1,2,IF(WEEKDAY(B4411)=7,1,0))))))</f>
        <v>2</v>
      </c>
      <c r="G4411" s="369">
        <f>VLOOKUP(C4411,METADATA!$J$5:$Q$29,IF(E4411="HI",2,IF(E4411="LO",6,10))+IF(D4411=1,2,IF(D4411=7,1,(IF(WEEKDAY(B4411)=1,2,IF(WEEKDAY(B4411)=7,1,0))))))</f>
        <v>2</v>
      </c>
      <c r="H4411" s="370">
        <v>12689.2998046875</v>
      </c>
      <c r="I4411" s="370">
        <v>4050.5549926757813</v>
      </c>
      <c r="M4411" s="371">
        <f t="shared" si="273"/>
        <v>13320.109807427749</v>
      </c>
      <c r="N4411" s="329">
        <f t="shared" si="274"/>
        <v>243.76505126953134</v>
      </c>
      <c r="T4411" s="331">
        <v>0</v>
      </c>
      <c r="U4411" s="328">
        <f>VLOOKUP(C4411,METADATA!$J$5:$Q$29,IF(E4411="HI",2,IF(E4411="LO",6,10))+IF(T4411=1,2,IF(D4411=7,1,(IF(WEEKDAY(B4411)=1,2,IF(WEEKDAY(B4411)=7,1,0))))))</f>
        <v>2</v>
      </c>
      <c r="V4411" s="328">
        <f>VLOOKUP(C4411,METADATA!$A$5:$H$29,IF(E4411="HI",2,IF(E4411="LO",6,10))+IF(T4411=1,2,IF(D4411=7,1,(IF(WEEKDAY(B4411)=1,2,IF(WEEKDAY(B4411)=7,1,0))))))</f>
        <v>2</v>
      </c>
    </row>
    <row r="4412" spans="2:22">
      <c r="B4412" s="318">
        <f t="shared" si="275"/>
        <v>46296</v>
      </c>
      <c r="C4412" s="312">
        <v>16</v>
      </c>
      <c r="D4412" s="368">
        <f>IFERROR((INDEX(METADATA!$T$2:$T$20,MATCH(B4412,METADATA!$S$2:$S$20,0))),0)</f>
        <v>0</v>
      </c>
      <c r="E4412" s="312" t="str">
        <f t="shared" si="272"/>
        <v>LO</v>
      </c>
      <c r="F4412" s="369">
        <f>VLOOKUP(C4412,METADATA!$A$5:$H$29,IF(E4412="HI",2,IF(E4412="LO",6,10))+IF(D4412=1,2,IF(D4412=7,1,(IF(WEEKDAY(B4412)=1,2,IF(WEEKDAY(B4412)=7,1,0))))))</f>
        <v>2</v>
      </c>
      <c r="G4412" s="369">
        <f>VLOOKUP(C4412,METADATA!$J$5:$Q$29,IF(E4412="HI",2,IF(E4412="LO",6,10))+IF(D4412=1,2,IF(D4412=7,1,(IF(WEEKDAY(B4412)=1,2,IF(WEEKDAY(B4412)=7,1,0))))))</f>
        <v>2</v>
      </c>
      <c r="H4412" s="370">
        <v>12629.649658203125</v>
      </c>
      <c r="I4412" s="370">
        <v>3949.4750061035156</v>
      </c>
      <c r="M4412" s="371">
        <f t="shared" si="273"/>
        <v>13232.777611400665</v>
      </c>
      <c r="N4412" s="329">
        <f t="shared" si="274"/>
        <v>160.58010864257813</v>
      </c>
      <c r="T4412" s="331">
        <v>0</v>
      </c>
      <c r="U4412" s="328">
        <f>VLOOKUP(C4412,METADATA!$J$5:$Q$29,IF(E4412="HI",2,IF(E4412="LO",6,10))+IF(T4412=1,2,IF(D4412=7,1,(IF(WEEKDAY(B4412)=1,2,IF(WEEKDAY(B4412)=7,1,0))))))</f>
        <v>2</v>
      </c>
      <c r="V4412" s="328">
        <f>VLOOKUP(C4412,METADATA!$A$5:$H$29,IF(E4412="HI",2,IF(E4412="LO",6,10))+IF(T4412=1,2,IF(D4412=7,1,(IF(WEEKDAY(B4412)=1,2,IF(WEEKDAY(B4412)=7,1,0))))))</f>
        <v>2</v>
      </c>
    </row>
    <row r="4413" spans="2:22">
      <c r="B4413" s="318">
        <f t="shared" si="275"/>
        <v>46296</v>
      </c>
      <c r="C4413" s="312">
        <v>17</v>
      </c>
      <c r="D4413" s="368">
        <f>IFERROR((INDEX(METADATA!$T$2:$T$20,MATCH(B4413,METADATA!$S$2:$S$20,0))),0)</f>
        <v>0</v>
      </c>
      <c r="E4413" s="312" t="str">
        <f t="shared" si="272"/>
        <v>LO</v>
      </c>
      <c r="F4413" s="369">
        <f>VLOOKUP(C4413,METADATA!$A$5:$H$29,IF(E4413="HI",2,IF(E4413="LO",6,10))+IF(D4413=1,2,IF(D4413=7,1,(IF(WEEKDAY(B4413)=1,2,IF(WEEKDAY(B4413)=7,1,0))))))</f>
        <v>2</v>
      </c>
      <c r="G4413" s="369">
        <f>VLOOKUP(C4413,METADATA!$J$5:$Q$29,IF(E4413="HI",2,IF(E4413="LO",6,10))+IF(D4413=1,2,IF(D4413=7,1,(IF(WEEKDAY(B4413)=1,2,IF(WEEKDAY(B4413)=7,1,0))))))</f>
        <v>2</v>
      </c>
      <c r="H4413" s="370">
        <v>12645.174987792969</v>
      </c>
      <c r="I4413" s="370">
        <v>4069.1500244140625</v>
      </c>
      <c r="M4413" s="371">
        <f t="shared" si="273"/>
        <v>13283.765745943199</v>
      </c>
      <c r="N4413" s="329">
        <f t="shared" si="274"/>
        <v>275.59752807617224</v>
      </c>
      <c r="T4413" s="331">
        <v>0</v>
      </c>
      <c r="U4413" s="328">
        <f>VLOOKUP(C4413,METADATA!$J$5:$Q$29,IF(E4413="HI",2,IF(E4413="LO",6,10))+IF(T4413=1,2,IF(D4413=7,1,(IF(WEEKDAY(B4413)=1,2,IF(WEEKDAY(B4413)=7,1,0))))))</f>
        <v>2</v>
      </c>
      <c r="V4413" s="328">
        <f>VLOOKUP(C4413,METADATA!$A$5:$H$29,IF(E4413="HI",2,IF(E4413="LO",6,10))+IF(T4413=1,2,IF(D4413=7,1,(IF(WEEKDAY(B4413)=1,2,IF(WEEKDAY(B4413)=7,1,0))))))</f>
        <v>2</v>
      </c>
    </row>
    <row r="4414" spans="2:22">
      <c r="B4414" s="318">
        <f t="shared" si="275"/>
        <v>46296</v>
      </c>
      <c r="C4414" s="312">
        <v>18</v>
      </c>
      <c r="D4414" s="368">
        <f>IFERROR((INDEX(METADATA!$T$2:$T$20,MATCH(B4414,METADATA!$S$2:$S$20,0))),0)</f>
        <v>0</v>
      </c>
      <c r="E4414" s="312" t="str">
        <f t="shared" si="272"/>
        <v>LO</v>
      </c>
      <c r="F4414" s="369">
        <f>VLOOKUP(C4414,METADATA!$A$5:$H$29,IF(E4414="HI",2,IF(E4414="LO",6,10))+IF(D4414=1,2,IF(D4414=7,1,(IF(WEEKDAY(B4414)=1,2,IF(WEEKDAY(B4414)=7,1,0))))))</f>
        <v>1</v>
      </c>
      <c r="G4414" s="369">
        <f>VLOOKUP(C4414,METADATA!$J$5:$Q$29,IF(E4414="HI",2,IF(E4414="LO",6,10))+IF(D4414=1,2,IF(D4414=7,1,(IF(WEEKDAY(B4414)=1,2,IF(WEEKDAY(B4414)=7,1,0))))))</f>
        <v>1</v>
      </c>
      <c r="H4414" s="370">
        <v>12664.35009765625</v>
      </c>
      <c r="I4414" s="370">
        <v>4021.1799926757813</v>
      </c>
      <c r="M4414" s="371">
        <f t="shared" si="273"/>
        <v>13287.424578506621</v>
      </c>
      <c r="N4414" s="329">
        <f t="shared" si="274"/>
        <v>221.87496337890661</v>
      </c>
      <c r="T4414" s="331">
        <v>0</v>
      </c>
      <c r="U4414" s="328">
        <f>VLOOKUP(C4414,METADATA!$J$5:$Q$29,IF(E4414="HI",2,IF(E4414="LO",6,10))+IF(T4414=1,2,IF(D4414=7,1,(IF(WEEKDAY(B4414)=1,2,IF(WEEKDAY(B4414)=7,1,0))))))</f>
        <v>1</v>
      </c>
      <c r="V4414" s="328">
        <f>VLOOKUP(C4414,METADATA!$A$5:$H$29,IF(E4414="HI",2,IF(E4414="LO",6,10))+IF(T4414=1,2,IF(D4414=7,1,(IF(WEEKDAY(B4414)=1,2,IF(WEEKDAY(B4414)=7,1,0))))))</f>
        <v>1</v>
      </c>
    </row>
    <row r="4415" spans="2:22">
      <c r="B4415" s="318">
        <f t="shared" si="275"/>
        <v>46296</v>
      </c>
      <c r="C4415" s="312">
        <v>19</v>
      </c>
      <c r="D4415" s="368">
        <f>IFERROR((INDEX(METADATA!$T$2:$T$20,MATCH(B4415,METADATA!$S$2:$S$20,0))),0)</f>
        <v>0</v>
      </c>
      <c r="E4415" s="312" t="str">
        <f t="shared" si="272"/>
        <v>LO</v>
      </c>
      <c r="F4415" s="369">
        <f>VLOOKUP(C4415,METADATA!$A$5:$H$29,IF(E4415="HI",2,IF(E4415="LO",6,10))+IF(D4415=1,2,IF(D4415=7,1,(IF(WEEKDAY(B4415)=1,2,IF(WEEKDAY(B4415)=7,1,0))))))</f>
        <v>1</v>
      </c>
      <c r="G4415" s="369">
        <f>VLOOKUP(C4415,METADATA!$J$5:$Q$29,IF(E4415="HI",2,IF(E4415="LO",6,10))+IF(D4415=1,2,IF(D4415=7,1,(IF(WEEKDAY(B4415)=1,2,IF(WEEKDAY(B4415)=7,1,0))))))</f>
        <v>1</v>
      </c>
      <c r="H4415" s="370">
        <v>12782.899658203125</v>
      </c>
      <c r="I4415" s="370">
        <v>4006.9249877929688</v>
      </c>
      <c r="M4415" s="371">
        <f t="shared" si="273"/>
        <v>13396.192426562455</v>
      </c>
      <c r="N4415" s="329">
        <f t="shared" si="274"/>
        <v>172.05509033203134</v>
      </c>
      <c r="T4415" s="331">
        <v>0</v>
      </c>
      <c r="U4415" s="328">
        <f>VLOOKUP(C4415,METADATA!$J$5:$Q$29,IF(E4415="HI",2,IF(E4415="LO",6,10))+IF(T4415=1,2,IF(D4415=7,1,(IF(WEEKDAY(B4415)=1,2,IF(WEEKDAY(B4415)=7,1,0))))))</f>
        <v>1</v>
      </c>
      <c r="V4415" s="328">
        <f>VLOOKUP(C4415,METADATA!$A$5:$H$29,IF(E4415="HI",2,IF(E4415="LO",6,10))+IF(T4415=1,2,IF(D4415=7,1,(IF(WEEKDAY(B4415)=1,2,IF(WEEKDAY(B4415)=7,1,0))))))</f>
        <v>1</v>
      </c>
    </row>
    <row r="4416" spans="2:22">
      <c r="B4416" s="318">
        <f t="shared" si="275"/>
        <v>46296</v>
      </c>
      <c r="C4416" s="312">
        <v>20</v>
      </c>
      <c r="D4416" s="368">
        <f>IFERROR((INDEX(METADATA!$T$2:$T$20,MATCH(B4416,METADATA!$S$2:$S$20,0))),0)</f>
        <v>0</v>
      </c>
      <c r="E4416" s="312" t="str">
        <f t="shared" si="272"/>
        <v>LO</v>
      </c>
      <c r="F4416" s="369">
        <f>VLOOKUP(C4416,METADATA!$A$5:$H$29,IF(E4416="HI",2,IF(E4416="LO",6,10))+IF(D4416=1,2,IF(D4416=7,1,(IF(WEEKDAY(B4416)=1,2,IF(WEEKDAY(B4416)=7,1,0))))))</f>
        <v>1</v>
      </c>
      <c r="G4416" s="369">
        <f>VLOOKUP(C4416,METADATA!$J$5:$Q$29,IF(E4416="HI",2,IF(E4416="LO",6,10))+IF(D4416=1,2,IF(D4416=7,1,(IF(WEEKDAY(B4416)=1,2,IF(WEEKDAY(B4416)=7,1,0))))))</f>
        <v>1</v>
      </c>
      <c r="H4416" s="370">
        <v>12748.499938964844</v>
      </c>
      <c r="I4416" s="370">
        <v>4034.4801025390625</v>
      </c>
      <c r="M4416" s="371">
        <f t="shared" si="273"/>
        <v>13371.659597505846</v>
      </c>
      <c r="N4416" s="329">
        <f t="shared" si="274"/>
        <v>209.93012084960947</v>
      </c>
      <c r="T4416" s="331">
        <v>0</v>
      </c>
      <c r="U4416" s="328">
        <f>VLOOKUP(C4416,METADATA!$J$5:$Q$29,IF(E4416="HI",2,IF(E4416="LO",6,10))+IF(T4416=1,2,IF(D4416=7,1,(IF(WEEKDAY(B4416)=1,2,IF(WEEKDAY(B4416)=7,1,0))))))</f>
        <v>1</v>
      </c>
      <c r="V4416" s="328">
        <f>VLOOKUP(C4416,METADATA!$A$5:$H$29,IF(E4416="HI",2,IF(E4416="LO",6,10))+IF(T4416=1,2,IF(D4416=7,1,(IF(WEEKDAY(B4416)=1,2,IF(WEEKDAY(B4416)=7,1,0))))))</f>
        <v>1</v>
      </c>
    </row>
    <row r="4417" spans="2:22">
      <c r="B4417" s="318">
        <f t="shared" si="275"/>
        <v>46296</v>
      </c>
      <c r="C4417" s="312">
        <v>21</v>
      </c>
      <c r="D4417" s="368">
        <f>IFERROR((INDEX(METADATA!$T$2:$T$20,MATCH(B4417,METADATA!$S$2:$S$20,0))),0)</f>
        <v>0</v>
      </c>
      <c r="E4417" s="312" t="str">
        <f t="shared" si="272"/>
        <v>LO</v>
      </c>
      <c r="F4417" s="369">
        <f>VLOOKUP(C4417,METADATA!$A$5:$H$29,IF(E4417="HI",2,IF(E4417="LO",6,10))+IF(D4417=1,2,IF(D4417=7,1,(IF(WEEKDAY(B4417)=1,2,IF(WEEKDAY(B4417)=7,1,0))))))</f>
        <v>2</v>
      </c>
      <c r="G4417" s="369">
        <f>VLOOKUP(C4417,METADATA!$J$5:$Q$29,IF(E4417="HI",2,IF(E4417="LO",6,10))+IF(D4417=1,2,IF(D4417=7,1,(IF(WEEKDAY(B4417)=1,2,IF(WEEKDAY(B4417)=7,1,0))))))</f>
        <v>2</v>
      </c>
      <c r="H4417" s="370">
        <v>12722.025146484375</v>
      </c>
      <c r="I4417" s="370">
        <v>4095.6099853515625</v>
      </c>
      <c r="M4417" s="371">
        <f t="shared" si="273"/>
        <v>13365.026935247537</v>
      </c>
      <c r="N4417" s="329">
        <f t="shared" si="274"/>
        <v>279.00244140625</v>
      </c>
      <c r="T4417" s="331">
        <v>0</v>
      </c>
      <c r="U4417" s="328">
        <f>VLOOKUP(C4417,METADATA!$J$5:$Q$29,IF(E4417="HI",2,IF(E4417="LO",6,10))+IF(T4417=1,2,IF(D4417=7,1,(IF(WEEKDAY(B4417)=1,2,IF(WEEKDAY(B4417)=7,1,0))))))</f>
        <v>2</v>
      </c>
      <c r="V4417" s="328">
        <f>VLOOKUP(C4417,METADATA!$A$5:$H$29,IF(E4417="HI",2,IF(E4417="LO",6,10))+IF(T4417=1,2,IF(D4417=7,1,(IF(WEEKDAY(B4417)=1,2,IF(WEEKDAY(B4417)=7,1,0))))))</f>
        <v>2</v>
      </c>
    </row>
    <row r="4418" spans="2:22">
      <c r="B4418" s="318">
        <f t="shared" si="275"/>
        <v>46296</v>
      </c>
      <c r="C4418" s="312">
        <v>22</v>
      </c>
      <c r="D4418" s="368">
        <f>IFERROR((INDEX(METADATA!$T$2:$T$20,MATCH(B4418,METADATA!$S$2:$S$20,0))),0)</f>
        <v>0</v>
      </c>
      <c r="E4418" s="312" t="str">
        <f t="shared" si="272"/>
        <v>LO</v>
      </c>
      <c r="F4418" s="369">
        <f>VLOOKUP(C4418,METADATA!$A$5:$H$29,IF(E4418="HI",2,IF(E4418="LO",6,10))+IF(D4418=1,2,IF(D4418=7,1,(IF(WEEKDAY(B4418)=1,2,IF(WEEKDAY(B4418)=7,1,0))))))</f>
        <v>3</v>
      </c>
      <c r="G4418" s="369">
        <f>VLOOKUP(C4418,METADATA!$J$5:$Q$29,IF(E4418="HI",2,IF(E4418="LO",6,10))+IF(D4418=1,2,IF(D4418=7,1,(IF(WEEKDAY(B4418)=1,2,IF(WEEKDAY(B4418)=7,1,0))))))</f>
        <v>3</v>
      </c>
      <c r="H4418" s="370">
        <v>12765.1748046875</v>
      </c>
      <c r="I4418" s="370">
        <v>4166.6501159667969</v>
      </c>
      <c r="M4418" s="371">
        <f t="shared" si="273"/>
        <v>13427.980525124196</v>
      </c>
      <c r="N4418" s="329">
        <f t="shared" si="274"/>
        <v>337.09767456054715</v>
      </c>
      <c r="T4418" s="331">
        <v>0</v>
      </c>
      <c r="U4418" s="328">
        <f>VLOOKUP(C4418,METADATA!$J$5:$Q$29,IF(E4418="HI",2,IF(E4418="LO",6,10))+IF(T4418=1,2,IF(D4418=7,1,(IF(WEEKDAY(B4418)=1,2,IF(WEEKDAY(B4418)=7,1,0))))))</f>
        <v>3</v>
      </c>
      <c r="V4418" s="328">
        <f>VLOOKUP(C4418,METADATA!$A$5:$H$29,IF(E4418="HI",2,IF(E4418="LO",6,10))+IF(T4418=1,2,IF(D4418=7,1,(IF(WEEKDAY(B4418)=1,2,IF(WEEKDAY(B4418)=7,1,0))))))</f>
        <v>3</v>
      </c>
    </row>
    <row r="4419" spans="2:22">
      <c r="B4419" s="318">
        <f t="shared" si="275"/>
        <v>46296</v>
      </c>
      <c r="C4419" s="312">
        <v>23</v>
      </c>
      <c r="D4419" s="368">
        <f>IFERROR((INDEX(METADATA!$T$2:$T$20,MATCH(B4419,METADATA!$S$2:$S$20,0))),0)</f>
        <v>0</v>
      </c>
      <c r="E4419" s="312" t="str">
        <f t="shared" si="272"/>
        <v>LO</v>
      </c>
      <c r="F4419" s="369">
        <f>VLOOKUP(C4419,METADATA!$A$5:$H$29,IF(E4419="HI",2,IF(E4419="LO",6,10))+IF(D4419=1,2,IF(D4419=7,1,(IF(WEEKDAY(B4419)=1,2,IF(WEEKDAY(B4419)=7,1,0))))))</f>
        <v>3</v>
      </c>
      <c r="G4419" s="369">
        <f>VLOOKUP(C4419,METADATA!$J$5:$Q$29,IF(E4419="HI",2,IF(E4419="LO",6,10))+IF(D4419=1,2,IF(D4419=7,1,(IF(WEEKDAY(B4419)=1,2,IF(WEEKDAY(B4419)=7,1,0))))))</f>
        <v>3</v>
      </c>
      <c r="H4419" s="370">
        <v>12716.75</v>
      </c>
      <c r="I4419" s="370">
        <v>3985.7750244140625</v>
      </c>
      <c r="M4419" s="371">
        <f t="shared" si="273"/>
        <v>13326.745030491988</v>
      </c>
      <c r="N4419" s="329">
        <f t="shared" si="274"/>
        <v>170.75002441406286</v>
      </c>
      <c r="T4419" s="331">
        <v>0</v>
      </c>
      <c r="U4419" s="328">
        <f>VLOOKUP(C4419,METADATA!$J$5:$Q$29,IF(E4419="HI",2,IF(E4419="LO",6,10))+IF(T4419=1,2,IF(D4419=7,1,(IF(WEEKDAY(B4419)=1,2,IF(WEEKDAY(B4419)=7,1,0))))))</f>
        <v>3</v>
      </c>
      <c r="V4419" s="328">
        <f>VLOOKUP(C4419,METADATA!$A$5:$H$29,IF(E4419="HI",2,IF(E4419="LO",6,10))+IF(T4419=1,2,IF(D4419=7,1,(IF(WEEKDAY(B4419)=1,2,IF(WEEKDAY(B4419)=7,1,0))))))</f>
        <v>3</v>
      </c>
    </row>
    <row r="4420" spans="2:22">
      <c r="B4420" s="318">
        <f t="shared" si="275"/>
        <v>46297</v>
      </c>
      <c r="C4420" s="312">
        <v>0</v>
      </c>
      <c r="D4420" s="368">
        <f>IFERROR((INDEX(METADATA!$T$2:$T$20,MATCH(B4420,METADATA!$S$2:$S$20,0))),0)</f>
        <v>0</v>
      </c>
      <c r="E4420" s="312" t="str">
        <f t="shared" ref="E4420:E4483" si="276">IF(B4420="","",IF(AND(MONTH(B4420)&gt;=MONTH($Z$9),MONTH(B4420)&lt;=MONTH($Z$11)),"HI","LO"))</f>
        <v>LO</v>
      </c>
      <c r="F4420" s="369">
        <f>VLOOKUP(C4420,METADATA!$A$5:$H$29,IF(E4420="HI",2,IF(E4420="LO",6,10))+IF(D4420=1,2,IF(D4420=7,1,(IF(WEEKDAY(B4420)=1,2,IF(WEEKDAY(B4420)=7,1,0))))))</f>
        <v>3</v>
      </c>
      <c r="G4420" s="369">
        <f>VLOOKUP(C4420,METADATA!$J$5:$Q$29,IF(E4420="HI",2,IF(E4420="LO",6,10))+IF(D4420=1,2,IF(D4420=7,1,(IF(WEEKDAY(B4420)=1,2,IF(WEEKDAY(B4420)=7,1,0))))))</f>
        <v>3</v>
      </c>
      <c r="H4420" s="370">
        <v>12709.449645996094</v>
      </c>
      <c r="I4420" s="370">
        <v>3943.3800964355469</v>
      </c>
      <c r="M4420" s="371">
        <f t="shared" ref="M4420:M4483" si="277">SQRT(H4420^2+I4420^2)</f>
        <v>13307.154349787721</v>
      </c>
      <c r="N4420" s="329">
        <f t="shared" ref="N4420:N4483" si="278">IF(H4420=0,0,(IF(I4420-(0.3*H4420)&lt;0,0,(I4420-(0.3*H4420)))))</f>
        <v>130.54520263671884</v>
      </c>
      <c r="T4420" s="331">
        <v>0</v>
      </c>
      <c r="U4420" s="328">
        <f>VLOOKUP(C4420,METADATA!$J$5:$Q$29,IF(E4420="HI",2,IF(E4420="LO",6,10))+IF(T4420=1,2,IF(D4420=7,1,(IF(WEEKDAY(B4420)=1,2,IF(WEEKDAY(B4420)=7,1,0))))))</f>
        <v>3</v>
      </c>
      <c r="V4420" s="328">
        <f>VLOOKUP(C4420,METADATA!$A$5:$H$29,IF(E4420="HI",2,IF(E4420="LO",6,10))+IF(T4420=1,2,IF(D4420=7,1,(IF(WEEKDAY(B4420)=1,2,IF(WEEKDAY(B4420)=7,1,0))))))</f>
        <v>3</v>
      </c>
    </row>
    <row r="4421" spans="2:22">
      <c r="B4421" s="318">
        <f t="shared" si="275"/>
        <v>46297</v>
      </c>
      <c r="C4421" s="312">
        <v>1</v>
      </c>
      <c r="D4421" s="368">
        <f>IFERROR((INDEX(METADATA!$T$2:$T$20,MATCH(B4421,METADATA!$S$2:$S$20,0))),0)</f>
        <v>0</v>
      </c>
      <c r="E4421" s="312" t="str">
        <f t="shared" si="276"/>
        <v>LO</v>
      </c>
      <c r="F4421" s="369">
        <f>VLOOKUP(C4421,METADATA!$A$5:$H$29,IF(E4421="HI",2,IF(E4421="LO",6,10))+IF(D4421=1,2,IF(D4421=7,1,(IF(WEEKDAY(B4421)=1,2,IF(WEEKDAY(B4421)=7,1,0))))))</f>
        <v>3</v>
      </c>
      <c r="G4421" s="369">
        <f>VLOOKUP(C4421,METADATA!$J$5:$Q$29,IF(E4421="HI",2,IF(E4421="LO",6,10))+IF(D4421=1,2,IF(D4421=7,1,(IF(WEEKDAY(B4421)=1,2,IF(WEEKDAY(B4421)=7,1,0))))))</f>
        <v>3</v>
      </c>
      <c r="H4421" s="370">
        <v>12787.559875488281</v>
      </c>
      <c r="I4421" s="370">
        <v>4111.655029296875</v>
      </c>
      <c r="M4421" s="371">
        <f t="shared" si="277"/>
        <v>13432.326479398129</v>
      </c>
      <c r="N4421" s="329">
        <f t="shared" si="278"/>
        <v>275.38706665039081</v>
      </c>
      <c r="T4421" s="331">
        <v>0</v>
      </c>
      <c r="U4421" s="328">
        <f>VLOOKUP(C4421,METADATA!$J$5:$Q$29,IF(E4421="HI",2,IF(E4421="LO",6,10))+IF(T4421=1,2,IF(D4421=7,1,(IF(WEEKDAY(B4421)=1,2,IF(WEEKDAY(B4421)=7,1,0))))))</f>
        <v>3</v>
      </c>
      <c r="V4421" s="328">
        <f>VLOOKUP(C4421,METADATA!$A$5:$H$29,IF(E4421="HI",2,IF(E4421="LO",6,10))+IF(T4421=1,2,IF(D4421=7,1,(IF(WEEKDAY(B4421)=1,2,IF(WEEKDAY(B4421)=7,1,0))))))</f>
        <v>3</v>
      </c>
    </row>
    <row r="4422" spans="2:22">
      <c r="B4422" s="318">
        <f t="shared" si="275"/>
        <v>46297</v>
      </c>
      <c r="C4422" s="312">
        <v>2</v>
      </c>
      <c r="D4422" s="368">
        <f>IFERROR((INDEX(METADATA!$T$2:$T$20,MATCH(B4422,METADATA!$S$2:$S$20,0))),0)</f>
        <v>0</v>
      </c>
      <c r="E4422" s="312" t="str">
        <f t="shared" si="276"/>
        <v>LO</v>
      </c>
      <c r="F4422" s="369">
        <f>VLOOKUP(C4422,METADATA!$A$5:$H$29,IF(E4422="HI",2,IF(E4422="LO",6,10))+IF(D4422=1,2,IF(D4422=7,1,(IF(WEEKDAY(B4422)=1,2,IF(WEEKDAY(B4422)=7,1,0))))))</f>
        <v>3</v>
      </c>
      <c r="G4422" s="369">
        <f>VLOOKUP(C4422,METADATA!$J$5:$Q$29,IF(E4422="HI",2,IF(E4422="LO",6,10))+IF(D4422=1,2,IF(D4422=7,1,(IF(WEEKDAY(B4422)=1,2,IF(WEEKDAY(B4422)=7,1,0))))))</f>
        <v>3</v>
      </c>
      <c r="H4422" s="370">
        <v>12769.174560546875</v>
      </c>
      <c r="I4422" s="370">
        <v>4056.0750427246094</v>
      </c>
      <c r="M4422" s="371">
        <f t="shared" si="277"/>
        <v>13397.894002787561</v>
      </c>
      <c r="N4422" s="329">
        <f t="shared" si="278"/>
        <v>225.32267456054706</v>
      </c>
      <c r="T4422" s="331">
        <v>0</v>
      </c>
      <c r="U4422" s="328">
        <f>VLOOKUP(C4422,METADATA!$J$5:$Q$29,IF(E4422="HI",2,IF(E4422="LO",6,10))+IF(T4422=1,2,IF(D4422=7,1,(IF(WEEKDAY(B4422)=1,2,IF(WEEKDAY(B4422)=7,1,0))))))</f>
        <v>3</v>
      </c>
      <c r="V4422" s="328">
        <f>VLOOKUP(C4422,METADATA!$A$5:$H$29,IF(E4422="HI",2,IF(E4422="LO",6,10))+IF(T4422=1,2,IF(D4422=7,1,(IF(WEEKDAY(B4422)=1,2,IF(WEEKDAY(B4422)=7,1,0))))))</f>
        <v>3</v>
      </c>
    </row>
    <row r="4423" spans="2:22">
      <c r="B4423" s="318">
        <f t="shared" si="275"/>
        <v>46297</v>
      </c>
      <c r="C4423" s="312">
        <v>3</v>
      </c>
      <c r="D4423" s="368">
        <f>IFERROR((INDEX(METADATA!$T$2:$T$20,MATCH(B4423,METADATA!$S$2:$S$20,0))),0)</f>
        <v>0</v>
      </c>
      <c r="E4423" s="312" t="str">
        <f t="shared" si="276"/>
        <v>LO</v>
      </c>
      <c r="F4423" s="369">
        <f>VLOOKUP(C4423,METADATA!$A$5:$H$29,IF(E4423="HI",2,IF(E4423="LO",6,10))+IF(D4423=1,2,IF(D4423=7,1,(IF(WEEKDAY(B4423)=1,2,IF(WEEKDAY(B4423)=7,1,0))))))</f>
        <v>3</v>
      </c>
      <c r="G4423" s="369">
        <f>VLOOKUP(C4423,METADATA!$J$5:$Q$29,IF(E4423="HI",2,IF(E4423="LO",6,10))+IF(D4423=1,2,IF(D4423=7,1,(IF(WEEKDAY(B4423)=1,2,IF(WEEKDAY(B4423)=7,1,0))))))</f>
        <v>3</v>
      </c>
      <c r="H4423" s="370">
        <v>12758.500183105469</v>
      </c>
      <c r="I4423" s="370">
        <v>4106.1200256347656</v>
      </c>
      <c r="M4423" s="371">
        <f t="shared" si="277"/>
        <v>13402.967902193197</v>
      </c>
      <c r="N4423" s="329">
        <f t="shared" si="278"/>
        <v>278.56997070312536</v>
      </c>
      <c r="T4423" s="331">
        <v>0</v>
      </c>
      <c r="U4423" s="328">
        <f>VLOOKUP(C4423,METADATA!$J$5:$Q$29,IF(E4423="HI",2,IF(E4423="LO",6,10))+IF(T4423=1,2,IF(D4423=7,1,(IF(WEEKDAY(B4423)=1,2,IF(WEEKDAY(B4423)=7,1,0))))))</f>
        <v>3</v>
      </c>
      <c r="V4423" s="328">
        <f>VLOOKUP(C4423,METADATA!$A$5:$H$29,IF(E4423="HI",2,IF(E4423="LO",6,10))+IF(T4423=1,2,IF(D4423=7,1,(IF(WEEKDAY(B4423)=1,2,IF(WEEKDAY(B4423)=7,1,0))))))</f>
        <v>3</v>
      </c>
    </row>
    <row r="4424" spans="2:22">
      <c r="B4424" s="318">
        <f t="shared" si="275"/>
        <v>46297</v>
      </c>
      <c r="C4424" s="312">
        <v>4</v>
      </c>
      <c r="D4424" s="368">
        <f>IFERROR((INDEX(METADATA!$T$2:$T$20,MATCH(B4424,METADATA!$S$2:$S$20,0))),0)</f>
        <v>0</v>
      </c>
      <c r="E4424" s="312" t="str">
        <f t="shared" si="276"/>
        <v>LO</v>
      </c>
      <c r="F4424" s="369">
        <f>VLOOKUP(C4424,METADATA!$A$5:$H$29,IF(E4424="HI",2,IF(E4424="LO",6,10))+IF(D4424=1,2,IF(D4424=7,1,(IF(WEEKDAY(B4424)=1,2,IF(WEEKDAY(B4424)=7,1,0))))))</f>
        <v>3</v>
      </c>
      <c r="G4424" s="369">
        <f>VLOOKUP(C4424,METADATA!$J$5:$Q$29,IF(E4424="HI",2,IF(E4424="LO",6,10))+IF(D4424=1,2,IF(D4424=7,1,(IF(WEEKDAY(B4424)=1,2,IF(WEEKDAY(B4424)=7,1,0))))))</f>
        <v>3</v>
      </c>
      <c r="H4424" s="370">
        <v>12765.299987792969</v>
      </c>
      <c r="I4424" s="370">
        <v>4104.3450317382813</v>
      </c>
      <c r="M4424" s="371">
        <f t="shared" si="277"/>
        <v>13408.897490767162</v>
      </c>
      <c r="N4424" s="329">
        <f t="shared" si="278"/>
        <v>274.75503540039063</v>
      </c>
      <c r="T4424" s="331">
        <v>0</v>
      </c>
      <c r="U4424" s="328">
        <f>VLOOKUP(C4424,METADATA!$J$5:$Q$29,IF(E4424="HI",2,IF(E4424="LO",6,10))+IF(T4424=1,2,IF(D4424=7,1,(IF(WEEKDAY(B4424)=1,2,IF(WEEKDAY(B4424)=7,1,0))))))</f>
        <v>3</v>
      </c>
      <c r="V4424" s="328">
        <f>VLOOKUP(C4424,METADATA!$A$5:$H$29,IF(E4424="HI",2,IF(E4424="LO",6,10))+IF(T4424=1,2,IF(D4424=7,1,(IF(WEEKDAY(B4424)=1,2,IF(WEEKDAY(B4424)=7,1,0))))))</f>
        <v>3</v>
      </c>
    </row>
    <row r="4425" spans="2:22">
      <c r="B4425" s="318">
        <f t="shared" si="275"/>
        <v>46297</v>
      </c>
      <c r="C4425" s="312">
        <v>5</v>
      </c>
      <c r="D4425" s="368">
        <f>IFERROR((INDEX(METADATA!$T$2:$T$20,MATCH(B4425,METADATA!$S$2:$S$20,0))),0)</f>
        <v>0</v>
      </c>
      <c r="E4425" s="312" t="str">
        <f t="shared" si="276"/>
        <v>LO</v>
      </c>
      <c r="F4425" s="369">
        <f>VLOOKUP(C4425,METADATA!$A$5:$H$29,IF(E4425="HI",2,IF(E4425="LO",6,10))+IF(D4425=1,2,IF(D4425=7,1,(IF(WEEKDAY(B4425)=1,2,IF(WEEKDAY(B4425)=7,1,0))))))</f>
        <v>3</v>
      </c>
      <c r="G4425" s="369">
        <f>VLOOKUP(C4425,METADATA!$J$5:$Q$29,IF(E4425="HI",2,IF(E4425="LO",6,10))+IF(D4425=1,2,IF(D4425=7,1,(IF(WEEKDAY(B4425)=1,2,IF(WEEKDAY(B4425)=7,1,0))))))</f>
        <v>3</v>
      </c>
      <c r="H4425" s="370">
        <v>12805.399780273438</v>
      </c>
      <c r="I4425" s="370">
        <v>4106.8999938964844</v>
      </c>
      <c r="M4425" s="371">
        <f t="shared" si="277"/>
        <v>13447.858234399035</v>
      </c>
      <c r="N4425" s="329">
        <f t="shared" si="278"/>
        <v>265.28005981445313</v>
      </c>
      <c r="T4425" s="331">
        <v>0</v>
      </c>
      <c r="U4425" s="328">
        <f>VLOOKUP(C4425,METADATA!$J$5:$Q$29,IF(E4425="HI",2,IF(E4425="LO",6,10))+IF(T4425=1,2,IF(D4425=7,1,(IF(WEEKDAY(B4425)=1,2,IF(WEEKDAY(B4425)=7,1,0))))))</f>
        <v>3</v>
      </c>
      <c r="V4425" s="328">
        <f>VLOOKUP(C4425,METADATA!$A$5:$H$29,IF(E4425="HI",2,IF(E4425="LO",6,10))+IF(T4425=1,2,IF(D4425=7,1,(IF(WEEKDAY(B4425)=1,2,IF(WEEKDAY(B4425)=7,1,0))))))</f>
        <v>3</v>
      </c>
    </row>
    <row r="4426" spans="2:22">
      <c r="B4426" s="318">
        <f t="shared" si="275"/>
        <v>46297</v>
      </c>
      <c r="C4426" s="312">
        <v>6</v>
      </c>
      <c r="D4426" s="368">
        <f>IFERROR((INDEX(METADATA!$T$2:$T$20,MATCH(B4426,METADATA!$S$2:$S$20,0))),0)</f>
        <v>0</v>
      </c>
      <c r="E4426" s="312" t="str">
        <f t="shared" si="276"/>
        <v>LO</v>
      </c>
      <c r="F4426" s="369">
        <f>VLOOKUP(C4426,METADATA!$A$5:$H$29,IF(E4426="HI",2,IF(E4426="LO",6,10))+IF(D4426=1,2,IF(D4426=7,1,(IF(WEEKDAY(B4426)=1,2,IF(WEEKDAY(B4426)=7,1,0))))))</f>
        <v>2</v>
      </c>
      <c r="G4426" s="369">
        <f>VLOOKUP(C4426,METADATA!$J$5:$Q$29,IF(E4426="HI",2,IF(E4426="LO",6,10))+IF(D4426=1,2,IF(D4426=7,1,(IF(WEEKDAY(B4426)=1,2,IF(WEEKDAY(B4426)=7,1,0))))))</f>
        <v>2</v>
      </c>
      <c r="H4426" s="370">
        <v>12820.549865722656</v>
      </c>
      <c r="I4426" s="370">
        <v>4043.6899719238281</v>
      </c>
      <c r="M4426" s="371">
        <f t="shared" si="277"/>
        <v>13443.136815807482</v>
      </c>
      <c r="N4426" s="329">
        <f t="shared" si="278"/>
        <v>197.52501220703152</v>
      </c>
      <c r="T4426" s="331">
        <v>0</v>
      </c>
      <c r="U4426" s="328">
        <f>VLOOKUP(C4426,METADATA!$J$5:$Q$29,IF(E4426="HI",2,IF(E4426="LO",6,10))+IF(T4426=1,2,IF(D4426=7,1,(IF(WEEKDAY(B4426)=1,2,IF(WEEKDAY(B4426)=7,1,0))))))</f>
        <v>2</v>
      </c>
      <c r="V4426" s="328">
        <f>VLOOKUP(C4426,METADATA!$A$5:$H$29,IF(E4426="HI",2,IF(E4426="LO",6,10))+IF(T4426=1,2,IF(D4426=7,1,(IF(WEEKDAY(B4426)=1,2,IF(WEEKDAY(B4426)=7,1,0))))))</f>
        <v>2</v>
      </c>
    </row>
    <row r="4427" spans="2:22">
      <c r="B4427" s="318">
        <f t="shared" si="275"/>
        <v>46297</v>
      </c>
      <c r="C4427" s="312">
        <v>7</v>
      </c>
      <c r="D4427" s="368">
        <f>IFERROR((INDEX(METADATA!$T$2:$T$20,MATCH(B4427,METADATA!$S$2:$S$20,0))),0)</f>
        <v>0</v>
      </c>
      <c r="E4427" s="312" t="str">
        <f t="shared" si="276"/>
        <v>LO</v>
      </c>
      <c r="F4427" s="369">
        <f>VLOOKUP(C4427,METADATA!$A$5:$H$29,IF(E4427="HI",2,IF(E4427="LO",6,10))+IF(D4427=1,2,IF(D4427=7,1,(IF(WEEKDAY(B4427)=1,2,IF(WEEKDAY(B4427)=7,1,0))))))</f>
        <v>1</v>
      </c>
      <c r="G4427" s="369">
        <f>VLOOKUP(C4427,METADATA!$J$5:$Q$29,IF(E4427="HI",2,IF(E4427="LO",6,10))+IF(D4427=1,2,IF(D4427=7,1,(IF(WEEKDAY(B4427)=1,2,IF(WEEKDAY(B4427)=7,1,0))))))</f>
        <v>1</v>
      </c>
      <c r="H4427" s="370">
        <v>12605.675170898438</v>
      </c>
      <c r="I4427" s="370">
        <v>3927.6050109863281</v>
      </c>
      <c r="M4427" s="371">
        <f t="shared" si="277"/>
        <v>13203.375615217885</v>
      </c>
      <c r="N4427" s="329">
        <f t="shared" si="278"/>
        <v>145.90245971679724</v>
      </c>
      <c r="T4427" s="331">
        <v>0</v>
      </c>
      <c r="U4427" s="328">
        <f>VLOOKUP(C4427,METADATA!$J$5:$Q$29,IF(E4427="HI",2,IF(E4427="LO",6,10))+IF(T4427=1,2,IF(D4427=7,1,(IF(WEEKDAY(B4427)=1,2,IF(WEEKDAY(B4427)=7,1,0))))))</f>
        <v>1</v>
      </c>
      <c r="V4427" s="328">
        <f>VLOOKUP(C4427,METADATA!$A$5:$H$29,IF(E4427="HI",2,IF(E4427="LO",6,10))+IF(T4427=1,2,IF(D4427=7,1,(IF(WEEKDAY(B4427)=1,2,IF(WEEKDAY(B4427)=7,1,0))))))</f>
        <v>1</v>
      </c>
    </row>
    <row r="4428" spans="2:22">
      <c r="B4428" s="318">
        <f t="shared" si="275"/>
        <v>46297</v>
      </c>
      <c r="C4428" s="312">
        <v>8</v>
      </c>
      <c r="D4428" s="368">
        <f>IFERROR((INDEX(METADATA!$T$2:$T$20,MATCH(B4428,METADATA!$S$2:$S$20,0))),0)</f>
        <v>0</v>
      </c>
      <c r="E4428" s="312" t="str">
        <f t="shared" si="276"/>
        <v>LO</v>
      </c>
      <c r="F4428" s="369">
        <f>VLOOKUP(C4428,METADATA!$A$5:$H$29,IF(E4428="HI",2,IF(E4428="LO",6,10))+IF(D4428=1,2,IF(D4428=7,1,(IF(WEEKDAY(B4428)=1,2,IF(WEEKDAY(B4428)=7,1,0))))))</f>
        <v>1</v>
      </c>
      <c r="G4428" s="369">
        <f>VLOOKUP(C4428,METADATA!$J$5:$Q$29,IF(E4428="HI",2,IF(E4428="LO",6,10))+IF(D4428=1,2,IF(D4428=7,1,(IF(WEEKDAY(B4428)=1,2,IF(WEEKDAY(B4428)=7,1,0))))))</f>
        <v>1</v>
      </c>
      <c r="H4428" s="370">
        <v>12750.175048828125</v>
      </c>
      <c r="I4428" s="370">
        <v>3812.4849853515625</v>
      </c>
      <c r="M4428" s="371">
        <f t="shared" si="277"/>
        <v>13307.967746402543</v>
      </c>
      <c r="N4428" s="329">
        <f t="shared" si="278"/>
        <v>0</v>
      </c>
      <c r="T4428" s="331">
        <v>0</v>
      </c>
      <c r="U4428" s="328">
        <f>VLOOKUP(C4428,METADATA!$J$5:$Q$29,IF(E4428="HI",2,IF(E4428="LO",6,10))+IF(T4428=1,2,IF(D4428=7,1,(IF(WEEKDAY(B4428)=1,2,IF(WEEKDAY(B4428)=7,1,0))))))</f>
        <v>1</v>
      </c>
      <c r="V4428" s="328">
        <f>VLOOKUP(C4428,METADATA!$A$5:$H$29,IF(E4428="HI",2,IF(E4428="LO",6,10))+IF(T4428=1,2,IF(D4428=7,1,(IF(WEEKDAY(B4428)=1,2,IF(WEEKDAY(B4428)=7,1,0))))))</f>
        <v>1</v>
      </c>
    </row>
    <row r="4429" spans="2:22">
      <c r="B4429" s="318">
        <f t="shared" si="275"/>
        <v>46297</v>
      </c>
      <c r="C4429" s="312">
        <v>9</v>
      </c>
      <c r="D4429" s="368">
        <f>IFERROR((INDEX(METADATA!$T$2:$T$20,MATCH(B4429,METADATA!$S$2:$S$20,0))),0)</f>
        <v>0</v>
      </c>
      <c r="E4429" s="312" t="str">
        <f t="shared" si="276"/>
        <v>LO</v>
      </c>
      <c r="F4429" s="369">
        <f>VLOOKUP(C4429,METADATA!$A$5:$H$29,IF(E4429="HI",2,IF(E4429="LO",6,10))+IF(D4429=1,2,IF(D4429=7,1,(IF(WEEKDAY(B4429)=1,2,IF(WEEKDAY(B4429)=7,1,0))))))</f>
        <v>2</v>
      </c>
      <c r="G4429" s="369">
        <f>VLOOKUP(C4429,METADATA!$J$5:$Q$29,IF(E4429="HI",2,IF(E4429="LO",6,10))+IF(D4429=1,2,IF(D4429=7,1,(IF(WEEKDAY(B4429)=1,2,IF(WEEKDAY(B4429)=7,1,0))))))</f>
        <v>2</v>
      </c>
      <c r="H4429" s="370">
        <v>12612.724975585938</v>
      </c>
      <c r="I4429" s="370">
        <v>3913.7599182128906</v>
      </c>
      <c r="M4429" s="371">
        <f t="shared" si="277"/>
        <v>13205.996668452521</v>
      </c>
      <c r="N4429" s="329">
        <f t="shared" si="278"/>
        <v>129.94242553710956</v>
      </c>
      <c r="T4429" s="331">
        <v>0</v>
      </c>
      <c r="U4429" s="328">
        <f>VLOOKUP(C4429,METADATA!$J$5:$Q$29,IF(E4429="HI",2,IF(E4429="LO",6,10))+IF(T4429=1,2,IF(D4429=7,1,(IF(WEEKDAY(B4429)=1,2,IF(WEEKDAY(B4429)=7,1,0))))))</f>
        <v>2</v>
      </c>
      <c r="V4429" s="328">
        <f>VLOOKUP(C4429,METADATA!$A$5:$H$29,IF(E4429="HI",2,IF(E4429="LO",6,10))+IF(T4429=1,2,IF(D4429=7,1,(IF(WEEKDAY(B4429)=1,2,IF(WEEKDAY(B4429)=7,1,0))))))</f>
        <v>2</v>
      </c>
    </row>
    <row r="4430" spans="2:22">
      <c r="B4430" s="318">
        <f t="shared" si="275"/>
        <v>46297</v>
      </c>
      <c r="C4430" s="312">
        <v>10</v>
      </c>
      <c r="D4430" s="368">
        <f>IFERROR((INDEX(METADATA!$T$2:$T$20,MATCH(B4430,METADATA!$S$2:$S$20,0))),0)</f>
        <v>0</v>
      </c>
      <c r="E4430" s="312" t="str">
        <f t="shared" si="276"/>
        <v>LO</v>
      </c>
      <c r="F4430" s="369">
        <f>VLOOKUP(C4430,METADATA!$A$5:$H$29,IF(E4430="HI",2,IF(E4430="LO",6,10))+IF(D4430=1,2,IF(D4430=7,1,(IF(WEEKDAY(B4430)=1,2,IF(WEEKDAY(B4430)=7,1,0))))))</f>
        <v>2</v>
      </c>
      <c r="G4430" s="369">
        <f>VLOOKUP(C4430,METADATA!$J$5:$Q$29,IF(E4430="HI",2,IF(E4430="LO",6,10))+IF(D4430=1,2,IF(D4430=7,1,(IF(WEEKDAY(B4430)=1,2,IF(WEEKDAY(B4430)=7,1,0))))))</f>
        <v>2</v>
      </c>
      <c r="H4430" s="370">
        <v>12873.000244140625</v>
      </c>
      <c r="I4430" s="370">
        <v>4059.0499572753906</v>
      </c>
      <c r="M4430" s="371">
        <f t="shared" si="277"/>
        <v>13497.778403918992</v>
      </c>
      <c r="N4430" s="329">
        <f t="shared" si="278"/>
        <v>197.14988403320331</v>
      </c>
      <c r="T4430" s="331">
        <v>0</v>
      </c>
      <c r="U4430" s="328">
        <f>VLOOKUP(C4430,METADATA!$J$5:$Q$29,IF(E4430="HI",2,IF(E4430="LO",6,10))+IF(T4430=1,2,IF(D4430=7,1,(IF(WEEKDAY(B4430)=1,2,IF(WEEKDAY(B4430)=7,1,0))))))</f>
        <v>2</v>
      </c>
      <c r="V4430" s="328">
        <f>VLOOKUP(C4430,METADATA!$A$5:$H$29,IF(E4430="HI",2,IF(E4430="LO",6,10))+IF(T4430=1,2,IF(D4430=7,1,(IF(WEEKDAY(B4430)=1,2,IF(WEEKDAY(B4430)=7,1,0))))))</f>
        <v>2</v>
      </c>
    </row>
    <row r="4431" spans="2:22">
      <c r="B4431" s="318">
        <f t="shared" si="275"/>
        <v>46297</v>
      </c>
      <c r="C4431" s="312">
        <v>11</v>
      </c>
      <c r="D4431" s="368">
        <f>IFERROR((INDEX(METADATA!$T$2:$T$20,MATCH(B4431,METADATA!$S$2:$S$20,0))),0)</f>
        <v>0</v>
      </c>
      <c r="E4431" s="312" t="str">
        <f t="shared" si="276"/>
        <v>LO</v>
      </c>
      <c r="F4431" s="369">
        <f>VLOOKUP(C4431,METADATA!$A$5:$H$29,IF(E4431="HI",2,IF(E4431="LO",6,10))+IF(D4431=1,2,IF(D4431=7,1,(IF(WEEKDAY(B4431)=1,2,IF(WEEKDAY(B4431)=7,1,0))))))</f>
        <v>2</v>
      </c>
      <c r="G4431" s="369">
        <f>VLOOKUP(C4431,METADATA!$J$5:$Q$29,IF(E4431="HI",2,IF(E4431="LO",6,10))+IF(D4431=1,2,IF(D4431=7,1,(IF(WEEKDAY(B4431)=1,2,IF(WEEKDAY(B4431)=7,1,0))))))</f>
        <v>2</v>
      </c>
      <c r="H4431" s="370">
        <v>12627.174987792969</v>
      </c>
      <c r="I4431" s="370">
        <v>3877.050048828125</v>
      </c>
      <c r="M4431" s="371">
        <f t="shared" si="277"/>
        <v>13208.976692138665</v>
      </c>
      <c r="N4431" s="329">
        <f t="shared" si="278"/>
        <v>88.897552490234375</v>
      </c>
      <c r="T4431" s="331">
        <v>0</v>
      </c>
      <c r="U4431" s="328">
        <f>VLOOKUP(C4431,METADATA!$J$5:$Q$29,IF(E4431="HI",2,IF(E4431="LO",6,10))+IF(T4431=1,2,IF(D4431=7,1,(IF(WEEKDAY(B4431)=1,2,IF(WEEKDAY(B4431)=7,1,0))))))</f>
        <v>2</v>
      </c>
      <c r="V4431" s="328">
        <f>VLOOKUP(C4431,METADATA!$A$5:$H$29,IF(E4431="HI",2,IF(E4431="LO",6,10))+IF(T4431=1,2,IF(D4431=7,1,(IF(WEEKDAY(B4431)=1,2,IF(WEEKDAY(B4431)=7,1,0))))))</f>
        <v>2</v>
      </c>
    </row>
    <row r="4432" spans="2:22">
      <c r="B4432" s="318">
        <f t="shared" si="275"/>
        <v>46297</v>
      </c>
      <c r="C4432" s="312">
        <v>12</v>
      </c>
      <c r="D4432" s="368">
        <f>IFERROR((INDEX(METADATA!$T$2:$T$20,MATCH(B4432,METADATA!$S$2:$S$20,0))),0)</f>
        <v>0</v>
      </c>
      <c r="E4432" s="312" t="str">
        <f t="shared" si="276"/>
        <v>LO</v>
      </c>
      <c r="F4432" s="369">
        <f>VLOOKUP(C4432,METADATA!$A$5:$H$29,IF(E4432="HI",2,IF(E4432="LO",6,10))+IF(D4432=1,2,IF(D4432=7,1,(IF(WEEKDAY(B4432)=1,2,IF(WEEKDAY(B4432)=7,1,0))))))</f>
        <v>2</v>
      </c>
      <c r="G4432" s="369">
        <f>VLOOKUP(C4432,METADATA!$J$5:$Q$29,IF(E4432="HI",2,IF(E4432="LO",6,10))+IF(D4432=1,2,IF(D4432=7,1,(IF(WEEKDAY(B4432)=1,2,IF(WEEKDAY(B4432)=7,1,0))))))</f>
        <v>2</v>
      </c>
      <c r="H4432" s="370">
        <v>12735.85009765625</v>
      </c>
      <c r="I4432" s="370">
        <v>3977.320068359375</v>
      </c>
      <c r="M4432" s="371">
        <f t="shared" si="277"/>
        <v>13342.449274257891</v>
      </c>
      <c r="N4432" s="329">
        <f t="shared" si="278"/>
        <v>156.56503906250009</v>
      </c>
      <c r="T4432" s="331">
        <v>0</v>
      </c>
      <c r="U4432" s="328">
        <f>VLOOKUP(C4432,METADATA!$J$5:$Q$29,IF(E4432="HI",2,IF(E4432="LO",6,10))+IF(T4432=1,2,IF(D4432=7,1,(IF(WEEKDAY(B4432)=1,2,IF(WEEKDAY(B4432)=7,1,0))))))</f>
        <v>2</v>
      </c>
      <c r="V4432" s="328">
        <f>VLOOKUP(C4432,METADATA!$A$5:$H$29,IF(E4432="HI",2,IF(E4432="LO",6,10))+IF(T4432=1,2,IF(D4432=7,1,(IF(WEEKDAY(B4432)=1,2,IF(WEEKDAY(B4432)=7,1,0))))))</f>
        <v>2</v>
      </c>
    </row>
    <row r="4433" spans="2:22">
      <c r="B4433" s="318">
        <f t="shared" si="275"/>
        <v>46297</v>
      </c>
      <c r="C4433" s="312">
        <v>13</v>
      </c>
      <c r="D4433" s="368">
        <f>IFERROR((INDEX(METADATA!$T$2:$T$20,MATCH(B4433,METADATA!$S$2:$S$20,0))),0)</f>
        <v>0</v>
      </c>
      <c r="E4433" s="312" t="str">
        <f t="shared" si="276"/>
        <v>LO</v>
      </c>
      <c r="F4433" s="369">
        <f>VLOOKUP(C4433,METADATA!$A$5:$H$29,IF(E4433="HI",2,IF(E4433="LO",6,10))+IF(D4433=1,2,IF(D4433=7,1,(IF(WEEKDAY(B4433)=1,2,IF(WEEKDAY(B4433)=7,1,0))))))</f>
        <v>2</v>
      </c>
      <c r="G4433" s="369">
        <f>VLOOKUP(C4433,METADATA!$J$5:$Q$29,IF(E4433="HI",2,IF(E4433="LO",6,10))+IF(D4433=1,2,IF(D4433=7,1,(IF(WEEKDAY(B4433)=1,2,IF(WEEKDAY(B4433)=7,1,0))))))</f>
        <v>2</v>
      </c>
      <c r="H4433" s="370">
        <v>12775.225036621094</v>
      </c>
      <c r="I4433" s="370">
        <v>4022.419921875</v>
      </c>
      <c r="M4433" s="371">
        <f t="shared" si="277"/>
        <v>13393.514727815373</v>
      </c>
      <c r="N4433" s="329">
        <f t="shared" si="278"/>
        <v>189.85241088867224</v>
      </c>
      <c r="T4433" s="331">
        <v>0</v>
      </c>
      <c r="U4433" s="328">
        <f>VLOOKUP(C4433,METADATA!$J$5:$Q$29,IF(E4433="HI",2,IF(E4433="LO",6,10))+IF(T4433=1,2,IF(D4433=7,1,(IF(WEEKDAY(B4433)=1,2,IF(WEEKDAY(B4433)=7,1,0))))))</f>
        <v>2</v>
      </c>
      <c r="V4433" s="328">
        <f>VLOOKUP(C4433,METADATA!$A$5:$H$29,IF(E4433="HI",2,IF(E4433="LO",6,10))+IF(T4433=1,2,IF(D4433=7,1,(IF(WEEKDAY(B4433)=1,2,IF(WEEKDAY(B4433)=7,1,0))))))</f>
        <v>2</v>
      </c>
    </row>
    <row r="4434" spans="2:22">
      <c r="B4434" s="318">
        <f t="shared" si="275"/>
        <v>46297</v>
      </c>
      <c r="C4434" s="312">
        <v>14</v>
      </c>
      <c r="D4434" s="368">
        <f>IFERROR((INDEX(METADATA!$T$2:$T$20,MATCH(B4434,METADATA!$S$2:$S$20,0))),0)</f>
        <v>0</v>
      </c>
      <c r="E4434" s="312" t="str">
        <f t="shared" si="276"/>
        <v>LO</v>
      </c>
      <c r="F4434" s="369">
        <f>VLOOKUP(C4434,METADATA!$A$5:$H$29,IF(E4434="HI",2,IF(E4434="LO",6,10))+IF(D4434=1,2,IF(D4434=7,1,(IF(WEEKDAY(B4434)=1,2,IF(WEEKDAY(B4434)=7,1,0))))))</f>
        <v>2</v>
      </c>
      <c r="G4434" s="369">
        <f>VLOOKUP(C4434,METADATA!$J$5:$Q$29,IF(E4434="HI",2,IF(E4434="LO",6,10))+IF(D4434=1,2,IF(D4434=7,1,(IF(WEEKDAY(B4434)=1,2,IF(WEEKDAY(B4434)=7,1,0))))))</f>
        <v>2</v>
      </c>
      <c r="H4434" s="370">
        <v>12903.825073242188</v>
      </c>
      <c r="I4434" s="370">
        <v>4207.1449584960938</v>
      </c>
      <c r="M4434" s="371">
        <f t="shared" si="277"/>
        <v>13572.353157158594</v>
      </c>
      <c r="N4434" s="329">
        <f t="shared" si="278"/>
        <v>335.9974365234375</v>
      </c>
      <c r="T4434" s="331">
        <v>0</v>
      </c>
      <c r="U4434" s="328">
        <f>VLOOKUP(C4434,METADATA!$J$5:$Q$29,IF(E4434="HI",2,IF(E4434="LO",6,10))+IF(T4434=1,2,IF(D4434=7,1,(IF(WEEKDAY(B4434)=1,2,IF(WEEKDAY(B4434)=7,1,0))))))</f>
        <v>2</v>
      </c>
      <c r="V4434" s="328">
        <f>VLOOKUP(C4434,METADATA!$A$5:$H$29,IF(E4434="HI",2,IF(E4434="LO",6,10))+IF(T4434=1,2,IF(D4434=7,1,(IF(WEEKDAY(B4434)=1,2,IF(WEEKDAY(B4434)=7,1,0))))))</f>
        <v>2</v>
      </c>
    </row>
    <row r="4435" spans="2:22">
      <c r="B4435" s="318">
        <f t="shared" si="275"/>
        <v>46297</v>
      </c>
      <c r="C4435" s="312">
        <v>15</v>
      </c>
      <c r="D4435" s="368">
        <f>IFERROR((INDEX(METADATA!$T$2:$T$20,MATCH(B4435,METADATA!$S$2:$S$20,0))),0)</f>
        <v>0</v>
      </c>
      <c r="E4435" s="312" t="str">
        <f t="shared" si="276"/>
        <v>LO</v>
      </c>
      <c r="F4435" s="369">
        <f>VLOOKUP(C4435,METADATA!$A$5:$H$29,IF(E4435="HI",2,IF(E4435="LO",6,10))+IF(D4435=1,2,IF(D4435=7,1,(IF(WEEKDAY(B4435)=1,2,IF(WEEKDAY(B4435)=7,1,0))))))</f>
        <v>2</v>
      </c>
      <c r="G4435" s="369">
        <f>VLOOKUP(C4435,METADATA!$J$5:$Q$29,IF(E4435="HI",2,IF(E4435="LO",6,10))+IF(D4435=1,2,IF(D4435=7,1,(IF(WEEKDAY(B4435)=1,2,IF(WEEKDAY(B4435)=7,1,0))))))</f>
        <v>2</v>
      </c>
      <c r="H4435" s="370">
        <v>13014.5</v>
      </c>
      <c r="I4435" s="370">
        <v>4306.52001953125</v>
      </c>
      <c r="M4435" s="371">
        <f t="shared" si="277"/>
        <v>13708.512863495567</v>
      </c>
      <c r="N4435" s="329">
        <f t="shared" si="278"/>
        <v>402.17001953125009</v>
      </c>
      <c r="T4435" s="331">
        <v>0</v>
      </c>
      <c r="U4435" s="328">
        <f>VLOOKUP(C4435,METADATA!$J$5:$Q$29,IF(E4435="HI",2,IF(E4435="LO",6,10))+IF(T4435=1,2,IF(D4435=7,1,(IF(WEEKDAY(B4435)=1,2,IF(WEEKDAY(B4435)=7,1,0))))))</f>
        <v>2</v>
      </c>
      <c r="V4435" s="328">
        <f>VLOOKUP(C4435,METADATA!$A$5:$H$29,IF(E4435="HI",2,IF(E4435="LO",6,10))+IF(T4435=1,2,IF(D4435=7,1,(IF(WEEKDAY(B4435)=1,2,IF(WEEKDAY(B4435)=7,1,0))))))</f>
        <v>2</v>
      </c>
    </row>
    <row r="4436" spans="2:22">
      <c r="B4436" s="318">
        <f t="shared" si="275"/>
        <v>46297</v>
      </c>
      <c r="C4436" s="312">
        <v>16</v>
      </c>
      <c r="D4436" s="368">
        <f>IFERROR((INDEX(METADATA!$T$2:$T$20,MATCH(B4436,METADATA!$S$2:$S$20,0))),0)</f>
        <v>0</v>
      </c>
      <c r="E4436" s="312" t="str">
        <f t="shared" si="276"/>
        <v>LO</v>
      </c>
      <c r="F4436" s="369">
        <f>VLOOKUP(C4436,METADATA!$A$5:$H$29,IF(E4436="HI",2,IF(E4436="LO",6,10))+IF(D4436=1,2,IF(D4436=7,1,(IF(WEEKDAY(B4436)=1,2,IF(WEEKDAY(B4436)=7,1,0))))))</f>
        <v>2</v>
      </c>
      <c r="G4436" s="369">
        <f>VLOOKUP(C4436,METADATA!$J$5:$Q$29,IF(E4436="HI",2,IF(E4436="LO",6,10))+IF(D4436=1,2,IF(D4436=7,1,(IF(WEEKDAY(B4436)=1,2,IF(WEEKDAY(B4436)=7,1,0))))))</f>
        <v>2</v>
      </c>
      <c r="H4436" s="370">
        <v>13120.450073242188</v>
      </c>
      <c r="I4436" s="370">
        <v>4327.5199584960938</v>
      </c>
      <c r="M4436" s="371">
        <f t="shared" si="277"/>
        <v>13815.70262837265</v>
      </c>
      <c r="N4436" s="329">
        <f t="shared" si="278"/>
        <v>391.38493652343777</v>
      </c>
      <c r="T4436" s="331">
        <v>0</v>
      </c>
      <c r="U4436" s="328">
        <f>VLOOKUP(C4436,METADATA!$J$5:$Q$29,IF(E4436="HI",2,IF(E4436="LO",6,10))+IF(T4436=1,2,IF(D4436=7,1,(IF(WEEKDAY(B4436)=1,2,IF(WEEKDAY(B4436)=7,1,0))))))</f>
        <v>2</v>
      </c>
      <c r="V4436" s="328">
        <f>VLOOKUP(C4436,METADATA!$A$5:$H$29,IF(E4436="HI",2,IF(E4436="LO",6,10))+IF(T4436=1,2,IF(D4436=7,1,(IF(WEEKDAY(B4436)=1,2,IF(WEEKDAY(B4436)=7,1,0))))))</f>
        <v>2</v>
      </c>
    </row>
    <row r="4437" spans="2:22">
      <c r="B4437" s="318">
        <f t="shared" si="275"/>
        <v>46297</v>
      </c>
      <c r="C4437" s="312">
        <v>17</v>
      </c>
      <c r="D4437" s="368">
        <f>IFERROR((INDEX(METADATA!$T$2:$T$20,MATCH(B4437,METADATA!$S$2:$S$20,0))),0)</f>
        <v>0</v>
      </c>
      <c r="E4437" s="312" t="str">
        <f t="shared" si="276"/>
        <v>LO</v>
      </c>
      <c r="F4437" s="369">
        <f>VLOOKUP(C4437,METADATA!$A$5:$H$29,IF(E4437="HI",2,IF(E4437="LO",6,10))+IF(D4437=1,2,IF(D4437=7,1,(IF(WEEKDAY(B4437)=1,2,IF(WEEKDAY(B4437)=7,1,0))))))</f>
        <v>2</v>
      </c>
      <c r="G4437" s="369">
        <f>VLOOKUP(C4437,METADATA!$J$5:$Q$29,IF(E4437="HI",2,IF(E4437="LO",6,10))+IF(D4437=1,2,IF(D4437=7,1,(IF(WEEKDAY(B4437)=1,2,IF(WEEKDAY(B4437)=7,1,0))))))</f>
        <v>2</v>
      </c>
      <c r="H4437" s="370">
        <v>13088.425048828125</v>
      </c>
      <c r="I4437" s="370">
        <v>4226.3099365234375</v>
      </c>
      <c r="M4437" s="371">
        <f t="shared" si="277"/>
        <v>13753.856402418496</v>
      </c>
      <c r="N4437" s="329">
        <f t="shared" si="278"/>
        <v>299.78242187500018</v>
      </c>
      <c r="T4437" s="331">
        <v>0</v>
      </c>
      <c r="U4437" s="328">
        <f>VLOOKUP(C4437,METADATA!$J$5:$Q$29,IF(E4437="HI",2,IF(E4437="LO",6,10))+IF(T4437=1,2,IF(D4437=7,1,(IF(WEEKDAY(B4437)=1,2,IF(WEEKDAY(B4437)=7,1,0))))))</f>
        <v>2</v>
      </c>
      <c r="V4437" s="328">
        <f>VLOOKUP(C4437,METADATA!$A$5:$H$29,IF(E4437="HI",2,IF(E4437="LO",6,10))+IF(T4437=1,2,IF(D4437=7,1,(IF(WEEKDAY(B4437)=1,2,IF(WEEKDAY(B4437)=7,1,0))))))</f>
        <v>2</v>
      </c>
    </row>
    <row r="4438" spans="2:22">
      <c r="B4438" s="318">
        <f t="shared" si="275"/>
        <v>46297</v>
      </c>
      <c r="C4438" s="312">
        <v>18</v>
      </c>
      <c r="D4438" s="368">
        <f>IFERROR((INDEX(METADATA!$T$2:$T$20,MATCH(B4438,METADATA!$S$2:$S$20,0))),0)</f>
        <v>0</v>
      </c>
      <c r="E4438" s="312" t="str">
        <f t="shared" si="276"/>
        <v>LO</v>
      </c>
      <c r="F4438" s="369">
        <f>VLOOKUP(C4438,METADATA!$A$5:$H$29,IF(E4438="HI",2,IF(E4438="LO",6,10))+IF(D4438=1,2,IF(D4438=7,1,(IF(WEEKDAY(B4438)=1,2,IF(WEEKDAY(B4438)=7,1,0))))))</f>
        <v>1</v>
      </c>
      <c r="G4438" s="369">
        <f>VLOOKUP(C4438,METADATA!$J$5:$Q$29,IF(E4438="HI",2,IF(E4438="LO",6,10))+IF(D4438=1,2,IF(D4438=7,1,(IF(WEEKDAY(B4438)=1,2,IF(WEEKDAY(B4438)=7,1,0))))))</f>
        <v>1</v>
      </c>
      <c r="H4438" s="370">
        <v>12845.700134277344</v>
      </c>
      <c r="I4438" s="370">
        <v>4053.320068359375</v>
      </c>
      <c r="M4438" s="371">
        <f t="shared" si="277"/>
        <v>13470.019135707929</v>
      </c>
      <c r="N4438" s="329">
        <f t="shared" si="278"/>
        <v>199.61002807617206</v>
      </c>
      <c r="T4438" s="331">
        <v>0</v>
      </c>
      <c r="U4438" s="328">
        <f>VLOOKUP(C4438,METADATA!$J$5:$Q$29,IF(E4438="HI",2,IF(E4438="LO",6,10))+IF(T4438=1,2,IF(D4438=7,1,(IF(WEEKDAY(B4438)=1,2,IF(WEEKDAY(B4438)=7,1,0))))))</f>
        <v>1</v>
      </c>
      <c r="V4438" s="328">
        <f>VLOOKUP(C4438,METADATA!$A$5:$H$29,IF(E4438="HI",2,IF(E4438="LO",6,10))+IF(T4438=1,2,IF(D4438=7,1,(IF(WEEKDAY(B4438)=1,2,IF(WEEKDAY(B4438)=7,1,0))))))</f>
        <v>1</v>
      </c>
    </row>
    <row r="4439" spans="2:22">
      <c r="B4439" s="318">
        <f t="shared" si="275"/>
        <v>46297</v>
      </c>
      <c r="C4439" s="312">
        <v>19</v>
      </c>
      <c r="D4439" s="368">
        <f>IFERROR((INDEX(METADATA!$T$2:$T$20,MATCH(B4439,METADATA!$S$2:$S$20,0))),0)</f>
        <v>0</v>
      </c>
      <c r="E4439" s="312" t="str">
        <f t="shared" si="276"/>
        <v>LO</v>
      </c>
      <c r="F4439" s="369">
        <f>VLOOKUP(C4439,METADATA!$A$5:$H$29,IF(E4439="HI",2,IF(E4439="LO",6,10))+IF(D4439=1,2,IF(D4439=7,1,(IF(WEEKDAY(B4439)=1,2,IF(WEEKDAY(B4439)=7,1,0))))))</f>
        <v>1</v>
      </c>
      <c r="G4439" s="369">
        <f>VLOOKUP(C4439,METADATA!$J$5:$Q$29,IF(E4439="HI",2,IF(E4439="LO",6,10))+IF(D4439=1,2,IF(D4439=7,1,(IF(WEEKDAY(B4439)=1,2,IF(WEEKDAY(B4439)=7,1,0))))))</f>
        <v>1</v>
      </c>
      <c r="H4439" s="370">
        <v>9990.0250244140625</v>
      </c>
      <c r="I4439" s="370">
        <v>3284.8399963378906</v>
      </c>
      <c r="M4439" s="371">
        <f t="shared" si="277"/>
        <v>10516.214803338713</v>
      </c>
      <c r="N4439" s="329">
        <f t="shared" si="278"/>
        <v>287.83248901367188</v>
      </c>
      <c r="T4439" s="331">
        <v>0</v>
      </c>
      <c r="U4439" s="328">
        <f>VLOOKUP(C4439,METADATA!$J$5:$Q$29,IF(E4439="HI",2,IF(E4439="LO",6,10))+IF(T4439=1,2,IF(D4439=7,1,(IF(WEEKDAY(B4439)=1,2,IF(WEEKDAY(B4439)=7,1,0))))))</f>
        <v>1</v>
      </c>
      <c r="V4439" s="328">
        <f>VLOOKUP(C4439,METADATA!$A$5:$H$29,IF(E4439="HI",2,IF(E4439="LO",6,10))+IF(T4439=1,2,IF(D4439=7,1,(IF(WEEKDAY(B4439)=1,2,IF(WEEKDAY(B4439)=7,1,0))))))</f>
        <v>1</v>
      </c>
    </row>
    <row r="4440" spans="2:22">
      <c r="B4440" s="318">
        <f t="shared" si="275"/>
        <v>46297</v>
      </c>
      <c r="C4440" s="312">
        <v>20</v>
      </c>
      <c r="D4440" s="368">
        <f>IFERROR((INDEX(METADATA!$T$2:$T$20,MATCH(B4440,METADATA!$S$2:$S$20,0))),0)</f>
        <v>0</v>
      </c>
      <c r="E4440" s="312" t="str">
        <f t="shared" si="276"/>
        <v>LO</v>
      </c>
      <c r="F4440" s="369">
        <f>VLOOKUP(C4440,METADATA!$A$5:$H$29,IF(E4440="HI",2,IF(E4440="LO",6,10))+IF(D4440=1,2,IF(D4440=7,1,(IF(WEEKDAY(B4440)=1,2,IF(WEEKDAY(B4440)=7,1,0))))))</f>
        <v>1</v>
      </c>
      <c r="G4440" s="369">
        <f>VLOOKUP(C4440,METADATA!$J$5:$Q$29,IF(E4440="HI",2,IF(E4440="LO",6,10))+IF(D4440=1,2,IF(D4440=7,1,(IF(WEEKDAY(B4440)=1,2,IF(WEEKDAY(B4440)=7,1,0))))))</f>
        <v>1</v>
      </c>
      <c r="H4440" s="370">
        <v>7412.8500366210938</v>
      </c>
      <c r="I4440" s="370">
        <v>2710.574951171875</v>
      </c>
      <c r="M4440" s="371">
        <f t="shared" si="277"/>
        <v>7892.880477452687</v>
      </c>
      <c r="N4440" s="329">
        <f t="shared" si="278"/>
        <v>486.71994018554688</v>
      </c>
      <c r="T4440" s="331">
        <v>0</v>
      </c>
      <c r="U4440" s="328">
        <f>VLOOKUP(C4440,METADATA!$J$5:$Q$29,IF(E4440="HI",2,IF(E4440="LO",6,10))+IF(T4440=1,2,IF(D4440=7,1,(IF(WEEKDAY(B4440)=1,2,IF(WEEKDAY(B4440)=7,1,0))))))</f>
        <v>1</v>
      </c>
      <c r="V4440" s="328">
        <f>VLOOKUP(C4440,METADATA!$A$5:$H$29,IF(E4440="HI",2,IF(E4440="LO",6,10))+IF(T4440=1,2,IF(D4440=7,1,(IF(WEEKDAY(B4440)=1,2,IF(WEEKDAY(B4440)=7,1,0))))))</f>
        <v>1</v>
      </c>
    </row>
    <row r="4441" spans="2:22">
      <c r="B4441" s="318">
        <f t="shared" si="275"/>
        <v>46297</v>
      </c>
      <c r="C4441" s="312">
        <v>21</v>
      </c>
      <c r="D4441" s="368">
        <f>IFERROR((INDEX(METADATA!$T$2:$T$20,MATCH(B4441,METADATA!$S$2:$S$20,0))),0)</f>
        <v>0</v>
      </c>
      <c r="E4441" s="312" t="str">
        <f t="shared" si="276"/>
        <v>LO</v>
      </c>
      <c r="F4441" s="369">
        <f>VLOOKUP(C4441,METADATA!$A$5:$H$29,IF(E4441="HI",2,IF(E4441="LO",6,10))+IF(D4441=1,2,IF(D4441=7,1,(IF(WEEKDAY(B4441)=1,2,IF(WEEKDAY(B4441)=7,1,0))))))</f>
        <v>2</v>
      </c>
      <c r="G4441" s="369">
        <f>VLOOKUP(C4441,METADATA!$J$5:$Q$29,IF(E4441="HI",2,IF(E4441="LO",6,10))+IF(D4441=1,2,IF(D4441=7,1,(IF(WEEKDAY(B4441)=1,2,IF(WEEKDAY(B4441)=7,1,0))))))</f>
        <v>2</v>
      </c>
      <c r="H4441" s="370">
        <v>7218.39990234375</v>
      </c>
      <c r="I4441" s="370">
        <v>2698.2000122070313</v>
      </c>
      <c r="M4441" s="371">
        <f t="shared" si="277"/>
        <v>7706.2040237739802</v>
      </c>
      <c r="N4441" s="329">
        <f t="shared" si="278"/>
        <v>532.68004150390652</v>
      </c>
      <c r="T4441" s="331">
        <v>0</v>
      </c>
      <c r="U4441" s="328">
        <f>VLOOKUP(C4441,METADATA!$J$5:$Q$29,IF(E4441="HI",2,IF(E4441="LO",6,10))+IF(T4441=1,2,IF(D4441=7,1,(IF(WEEKDAY(B4441)=1,2,IF(WEEKDAY(B4441)=7,1,0))))))</f>
        <v>2</v>
      </c>
      <c r="V4441" s="328">
        <f>VLOOKUP(C4441,METADATA!$A$5:$H$29,IF(E4441="HI",2,IF(E4441="LO",6,10))+IF(T4441=1,2,IF(D4441=7,1,(IF(WEEKDAY(B4441)=1,2,IF(WEEKDAY(B4441)=7,1,0))))))</f>
        <v>2</v>
      </c>
    </row>
    <row r="4442" spans="2:22">
      <c r="B4442" s="318">
        <f t="shared" si="275"/>
        <v>46297</v>
      </c>
      <c r="C4442" s="312">
        <v>22</v>
      </c>
      <c r="D4442" s="368">
        <f>IFERROR((INDEX(METADATA!$T$2:$T$20,MATCH(B4442,METADATA!$S$2:$S$20,0))),0)</f>
        <v>0</v>
      </c>
      <c r="E4442" s="312" t="str">
        <f t="shared" si="276"/>
        <v>LO</v>
      </c>
      <c r="F4442" s="369">
        <f>VLOOKUP(C4442,METADATA!$A$5:$H$29,IF(E4442="HI",2,IF(E4442="LO",6,10))+IF(D4442=1,2,IF(D4442=7,1,(IF(WEEKDAY(B4442)=1,2,IF(WEEKDAY(B4442)=7,1,0))))))</f>
        <v>3</v>
      </c>
      <c r="G4442" s="369">
        <f>VLOOKUP(C4442,METADATA!$J$5:$Q$29,IF(E4442="HI",2,IF(E4442="LO",6,10))+IF(D4442=1,2,IF(D4442=7,1,(IF(WEEKDAY(B4442)=1,2,IF(WEEKDAY(B4442)=7,1,0))))))</f>
        <v>3</v>
      </c>
      <c r="H4442" s="370">
        <v>7089.1500244140625</v>
      </c>
      <c r="I4442" s="370">
        <v>2644.625</v>
      </c>
      <c r="M4442" s="371">
        <f t="shared" si="277"/>
        <v>7566.3788868437523</v>
      </c>
      <c r="N4442" s="329">
        <f t="shared" si="278"/>
        <v>517.87999267578152</v>
      </c>
      <c r="T4442" s="331">
        <v>0</v>
      </c>
      <c r="U4442" s="328">
        <f>VLOOKUP(C4442,METADATA!$J$5:$Q$29,IF(E4442="HI",2,IF(E4442="LO",6,10))+IF(T4442=1,2,IF(D4442=7,1,(IF(WEEKDAY(B4442)=1,2,IF(WEEKDAY(B4442)=7,1,0))))))</f>
        <v>3</v>
      </c>
      <c r="V4442" s="328">
        <f>VLOOKUP(C4442,METADATA!$A$5:$H$29,IF(E4442="HI",2,IF(E4442="LO",6,10))+IF(T4442=1,2,IF(D4442=7,1,(IF(WEEKDAY(B4442)=1,2,IF(WEEKDAY(B4442)=7,1,0))))))</f>
        <v>3</v>
      </c>
    </row>
    <row r="4443" spans="2:22">
      <c r="B4443" s="318">
        <f t="shared" si="275"/>
        <v>46297</v>
      </c>
      <c r="C4443" s="312">
        <v>23</v>
      </c>
      <c r="D4443" s="368">
        <f>IFERROR((INDEX(METADATA!$T$2:$T$20,MATCH(B4443,METADATA!$S$2:$S$20,0))),0)</f>
        <v>0</v>
      </c>
      <c r="E4443" s="312" t="str">
        <f t="shared" si="276"/>
        <v>LO</v>
      </c>
      <c r="F4443" s="369">
        <f>VLOOKUP(C4443,METADATA!$A$5:$H$29,IF(E4443="HI",2,IF(E4443="LO",6,10))+IF(D4443=1,2,IF(D4443=7,1,(IF(WEEKDAY(B4443)=1,2,IF(WEEKDAY(B4443)=7,1,0))))))</f>
        <v>3</v>
      </c>
      <c r="G4443" s="369">
        <f>VLOOKUP(C4443,METADATA!$J$5:$Q$29,IF(E4443="HI",2,IF(E4443="LO",6,10))+IF(D4443=1,2,IF(D4443=7,1,(IF(WEEKDAY(B4443)=1,2,IF(WEEKDAY(B4443)=7,1,0))))))</f>
        <v>3</v>
      </c>
      <c r="H4443" s="370">
        <v>9163.7749633789063</v>
      </c>
      <c r="I4443" s="370">
        <v>2729.1400032043457</v>
      </c>
      <c r="M4443" s="371">
        <f t="shared" si="277"/>
        <v>9561.536316750582</v>
      </c>
      <c r="N4443" s="329">
        <f t="shared" si="278"/>
        <v>0</v>
      </c>
      <c r="T4443" s="331">
        <v>0</v>
      </c>
      <c r="U4443" s="328">
        <f>VLOOKUP(C4443,METADATA!$J$5:$Q$29,IF(E4443="HI",2,IF(E4443="LO",6,10))+IF(T4443=1,2,IF(D4443=7,1,(IF(WEEKDAY(B4443)=1,2,IF(WEEKDAY(B4443)=7,1,0))))))</f>
        <v>3</v>
      </c>
      <c r="V4443" s="328">
        <f>VLOOKUP(C4443,METADATA!$A$5:$H$29,IF(E4443="HI",2,IF(E4443="LO",6,10))+IF(T4443=1,2,IF(D4443=7,1,(IF(WEEKDAY(B4443)=1,2,IF(WEEKDAY(B4443)=7,1,0))))))</f>
        <v>3</v>
      </c>
    </row>
    <row r="4444" spans="2:22">
      <c r="B4444" s="318">
        <f t="shared" ref="B4444:B4507" si="279">B4420+1</f>
        <v>46298</v>
      </c>
      <c r="C4444" s="312">
        <v>0</v>
      </c>
      <c r="D4444" s="368">
        <f>IFERROR((INDEX(METADATA!$T$2:$T$20,MATCH(B4444,METADATA!$S$2:$S$20,0))),0)</f>
        <v>0</v>
      </c>
      <c r="E4444" s="312" t="str">
        <f t="shared" si="276"/>
        <v>LO</v>
      </c>
      <c r="F4444" s="369">
        <f>VLOOKUP(C4444,METADATA!$A$5:$H$29,IF(E4444="HI",2,IF(E4444="LO",6,10))+IF(D4444=1,2,IF(D4444=7,1,(IF(WEEKDAY(B4444)=1,2,IF(WEEKDAY(B4444)=7,1,0))))))</f>
        <v>3</v>
      </c>
      <c r="G4444" s="369">
        <f>VLOOKUP(C4444,METADATA!$J$5:$Q$29,IF(E4444="HI",2,IF(E4444="LO",6,10))+IF(D4444=1,2,IF(D4444=7,1,(IF(WEEKDAY(B4444)=1,2,IF(WEEKDAY(B4444)=7,1,0))))))</f>
        <v>3</v>
      </c>
      <c r="H4444" s="370">
        <v>6058.4825439453125</v>
      </c>
      <c r="I4444" s="370">
        <v>2006.8199768066406</v>
      </c>
      <c r="M4444" s="371">
        <f t="shared" si="277"/>
        <v>6382.2047252184157</v>
      </c>
      <c r="N4444" s="329">
        <f t="shared" si="278"/>
        <v>189.27521362304697</v>
      </c>
      <c r="T4444" s="331">
        <v>0</v>
      </c>
      <c r="U4444" s="328">
        <f>VLOOKUP(C4444,METADATA!$J$5:$Q$29,IF(E4444="HI",2,IF(E4444="LO",6,10))+IF(T4444=1,2,IF(D4444=7,1,(IF(WEEKDAY(B4444)=1,2,IF(WEEKDAY(B4444)=7,1,0))))))</f>
        <v>3</v>
      </c>
      <c r="V4444" s="328">
        <f>VLOOKUP(C4444,METADATA!$A$5:$H$29,IF(E4444="HI",2,IF(E4444="LO",6,10))+IF(T4444=1,2,IF(D4444=7,1,(IF(WEEKDAY(B4444)=1,2,IF(WEEKDAY(B4444)=7,1,0))))))</f>
        <v>3</v>
      </c>
    </row>
    <row r="4445" spans="2:22">
      <c r="B4445" s="318">
        <f t="shared" si="279"/>
        <v>46298</v>
      </c>
      <c r="C4445" s="312">
        <v>1</v>
      </c>
      <c r="D4445" s="368">
        <f>IFERROR((INDEX(METADATA!$T$2:$T$20,MATCH(B4445,METADATA!$S$2:$S$20,0))),0)</f>
        <v>0</v>
      </c>
      <c r="E4445" s="312" t="str">
        <f t="shared" si="276"/>
        <v>LO</v>
      </c>
      <c r="F4445" s="369">
        <f>VLOOKUP(C4445,METADATA!$A$5:$H$29,IF(E4445="HI",2,IF(E4445="LO",6,10))+IF(D4445=1,2,IF(D4445=7,1,(IF(WEEKDAY(B4445)=1,2,IF(WEEKDAY(B4445)=7,1,0))))))</f>
        <v>3</v>
      </c>
      <c r="G4445" s="369">
        <f>VLOOKUP(C4445,METADATA!$J$5:$Q$29,IF(E4445="HI",2,IF(E4445="LO",6,10))+IF(D4445=1,2,IF(D4445=7,1,(IF(WEEKDAY(B4445)=1,2,IF(WEEKDAY(B4445)=7,1,0))))))</f>
        <v>3</v>
      </c>
      <c r="H4445" s="370">
        <v>5386.2200622558594</v>
      </c>
      <c r="I4445" s="370">
        <v>1581.9775085449219</v>
      </c>
      <c r="M4445" s="371">
        <f t="shared" si="277"/>
        <v>5613.73488834212</v>
      </c>
      <c r="N4445" s="329">
        <f t="shared" si="278"/>
        <v>0</v>
      </c>
      <c r="T4445" s="331">
        <v>0</v>
      </c>
      <c r="U4445" s="328">
        <f>VLOOKUP(C4445,METADATA!$J$5:$Q$29,IF(E4445="HI",2,IF(E4445="LO",6,10))+IF(T4445=1,2,IF(D4445=7,1,(IF(WEEKDAY(B4445)=1,2,IF(WEEKDAY(B4445)=7,1,0))))))</f>
        <v>3</v>
      </c>
      <c r="V4445" s="328">
        <f>VLOOKUP(C4445,METADATA!$A$5:$H$29,IF(E4445="HI",2,IF(E4445="LO",6,10))+IF(T4445=1,2,IF(D4445=7,1,(IF(WEEKDAY(B4445)=1,2,IF(WEEKDAY(B4445)=7,1,0))))))</f>
        <v>3</v>
      </c>
    </row>
    <row r="4446" spans="2:22">
      <c r="B4446" s="318">
        <f t="shared" si="279"/>
        <v>46298</v>
      </c>
      <c r="C4446" s="312">
        <v>2</v>
      </c>
      <c r="D4446" s="368">
        <f>IFERROR((INDEX(METADATA!$T$2:$T$20,MATCH(B4446,METADATA!$S$2:$S$20,0))),0)</f>
        <v>0</v>
      </c>
      <c r="E4446" s="312" t="str">
        <f t="shared" si="276"/>
        <v>LO</v>
      </c>
      <c r="F4446" s="369">
        <f>VLOOKUP(C4446,METADATA!$A$5:$H$29,IF(E4446="HI",2,IF(E4446="LO",6,10))+IF(D4446=1,2,IF(D4446=7,1,(IF(WEEKDAY(B4446)=1,2,IF(WEEKDAY(B4446)=7,1,0))))))</f>
        <v>3</v>
      </c>
      <c r="G4446" s="369">
        <f>VLOOKUP(C4446,METADATA!$J$5:$Q$29,IF(E4446="HI",2,IF(E4446="LO",6,10))+IF(D4446=1,2,IF(D4446=7,1,(IF(WEEKDAY(B4446)=1,2,IF(WEEKDAY(B4446)=7,1,0))))))</f>
        <v>3</v>
      </c>
      <c r="H4446" s="370">
        <v>5332.5475158691406</v>
      </c>
      <c r="I4446" s="370">
        <v>1495.947509765625</v>
      </c>
      <c r="M4446" s="371">
        <f t="shared" si="277"/>
        <v>5538.4042793006829</v>
      </c>
      <c r="N4446" s="329">
        <f t="shared" si="278"/>
        <v>0</v>
      </c>
      <c r="T4446" s="331">
        <v>0</v>
      </c>
      <c r="U4446" s="328">
        <f>VLOOKUP(C4446,METADATA!$J$5:$Q$29,IF(E4446="HI",2,IF(E4446="LO",6,10))+IF(T4446=1,2,IF(D4446=7,1,(IF(WEEKDAY(B4446)=1,2,IF(WEEKDAY(B4446)=7,1,0))))))</f>
        <v>3</v>
      </c>
      <c r="V4446" s="328">
        <f>VLOOKUP(C4446,METADATA!$A$5:$H$29,IF(E4446="HI",2,IF(E4446="LO",6,10))+IF(T4446=1,2,IF(D4446=7,1,(IF(WEEKDAY(B4446)=1,2,IF(WEEKDAY(B4446)=7,1,0))))))</f>
        <v>3</v>
      </c>
    </row>
    <row r="4447" spans="2:22">
      <c r="B4447" s="318">
        <f t="shared" si="279"/>
        <v>46298</v>
      </c>
      <c r="C4447" s="312">
        <v>3</v>
      </c>
      <c r="D4447" s="368">
        <f>IFERROR((INDEX(METADATA!$T$2:$T$20,MATCH(B4447,METADATA!$S$2:$S$20,0))),0)</f>
        <v>0</v>
      </c>
      <c r="E4447" s="312" t="str">
        <f t="shared" si="276"/>
        <v>LO</v>
      </c>
      <c r="F4447" s="369">
        <f>VLOOKUP(C4447,METADATA!$A$5:$H$29,IF(E4447="HI",2,IF(E4447="LO",6,10))+IF(D4447=1,2,IF(D4447=7,1,(IF(WEEKDAY(B4447)=1,2,IF(WEEKDAY(B4447)=7,1,0))))))</f>
        <v>3</v>
      </c>
      <c r="G4447" s="369">
        <f>VLOOKUP(C4447,METADATA!$J$5:$Q$29,IF(E4447="HI",2,IF(E4447="LO",6,10))+IF(D4447=1,2,IF(D4447=7,1,(IF(WEEKDAY(B4447)=1,2,IF(WEEKDAY(B4447)=7,1,0))))))</f>
        <v>3</v>
      </c>
      <c r="H4447" s="370">
        <v>4915.4599609375</v>
      </c>
      <c r="I4447" s="370">
        <v>1450.1525268554688</v>
      </c>
      <c r="M4447" s="371">
        <f t="shared" si="277"/>
        <v>5124.9086800376244</v>
      </c>
      <c r="N4447" s="329">
        <f t="shared" si="278"/>
        <v>0</v>
      </c>
      <c r="T4447" s="331">
        <v>0</v>
      </c>
      <c r="U4447" s="328">
        <f>VLOOKUP(C4447,METADATA!$J$5:$Q$29,IF(E4447="HI",2,IF(E4447="LO",6,10))+IF(T4447=1,2,IF(D4447=7,1,(IF(WEEKDAY(B4447)=1,2,IF(WEEKDAY(B4447)=7,1,0))))))</f>
        <v>3</v>
      </c>
      <c r="V4447" s="328">
        <f>VLOOKUP(C4447,METADATA!$A$5:$H$29,IF(E4447="HI",2,IF(E4447="LO",6,10))+IF(T4447=1,2,IF(D4447=7,1,(IF(WEEKDAY(B4447)=1,2,IF(WEEKDAY(B4447)=7,1,0))))))</f>
        <v>3</v>
      </c>
    </row>
    <row r="4448" spans="2:22">
      <c r="B4448" s="318">
        <f t="shared" si="279"/>
        <v>46298</v>
      </c>
      <c r="C4448" s="312">
        <v>4</v>
      </c>
      <c r="D4448" s="368">
        <f>IFERROR((INDEX(METADATA!$T$2:$T$20,MATCH(B4448,METADATA!$S$2:$S$20,0))),0)</f>
        <v>0</v>
      </c>
      <c r="E4448" s="312" t="str">
        <f t="shared" si="276"/>
        <v>LO</v>
      </c>
      <c r="F4448" s="369">
        <f>VLOOKUP(C4448,METADATA!$A$5:$H$29,IF(E4448="HI",2,IF(E4448="LO",6,10))+IF(D4448=1,2,IF(D4448=7,1,(IF(WEEKDAY(B4448)=1,2,IF(WEEKDAY(B4448)=7,1,0))))))</f>
        <v>3</v>
      </c>
      <c r="G4448" s="369">
        <f>VLOOKUP(C4448,METADATA!$J$5:$Q$29,IF(E4448="HI",2,IF(E4448="LO",6,10))+IF(D4448=1,2,IF(D4448=7,1,(IF(WEEKDAY(B4448)=1,2,IF(WEEKDAY(B4448)=7,1,0))))))</f>
        <v>3</v>
      </c>
      <c r="H4448" s="370">
        <v>4840.1599426269531</v>
      </c>
      <c r="I4448" s="370">
        <v>1406.0875244140625</v>
      </c>
      <c r="M4448" s="371">
        <f t="shared" si="277"/>
        <v>5040.260945280851</v>
      </c>
      <c r="N4448" s="329">
        <f t="shared" si="278"/>
        <v>0</v>
      </c>
      <c r="T4448" s="331">
        <v>0</v>
      </c>
      <c r="U4448" s="328">
        <f>VLOOKUP(C4448,METADATA!$J$5:$Q$29,IF(E4448="HI",2,IF(E4448="LO",6,10))+IF(T4448=1,2,IF(D4448=7,1,(IF(WEEKDAY(B4448)=1,2,IF(WEEKDAY(B4448)=7,1,0))))))</f>
        <v>3</v>
      </c>
      <c r="V4448" s="328">
        <f>VLOOKUP(C4448,METADATA!$A$5:$H$29,IF(E4448="HI",2,IF(E4448="LO",6,10))+IF(T4448=1,2,IF(D4448=7,1,(IF(WEEKDAY(B4448)=1,2,IF(WEEKDAY(B4448)=7,1,0))))))</f>
        <v>3</v>
      </c>
    </row>
    <row r="4449" spans="2:22">
      <c r="B4449" s="318">
        <f t="shared" si="279"/>
        <v>46298</v>
      </c>
      <c r="C4449" s="312">
        <v>5</v>
      </c>
      <c r="D4449" s="368">
        <f>IFERROR((INDEX(METADATA!$T$2:$T$20,MATCH(B4449,METADATA!$S$2:$S$20,0))),0)</f>
        <v>0</v>
      </c>
      <c r="E4449" s="312" t="str">
        <f t="shared" si="276"/>
        <v>LO</v>
      </c>
      <c r="F4449" s="369">
        <f>VLOOKUP(C4449,METADATA!$A$5:$H$29,IF(E4449="HI",2,IF(E4449="LO",6,10))+IF(D4449=1,2,IF(D4449=7,1,(IF(WEEKDAY(B4449)=1,2,IF(WEEKDAY(B4449)=7,1,0))))))</f>
        <v>3</v>
      </c>
      <c r="G4449" s="369">
        <f>VLOOKUP(C4449,METADATA!$J$5:$Q$29,IF(E4449="HI",2,IF(E4449="LO",6,10))+IF(D4449=1,2,IF(D4449=7,1,(IF(WEEKDAY(B4449)=1,2,IF(WEEKDAY(B4449)=7,1,0))))))</f>
        <v>3</v>
      </c>
      <c r="H4449" s="370">
        <v>4880.3775329589844</v>
      </c>
      <c r="I4449" s="370">
        <v>1402.5600280761719</v>
      </c>
      <c r="M4449" s="371">
        <f t="shared" si="277"/>
        <v>5077.9188154762633</v>
      </c>
      <c r="N4449" s="329">
        <f t="shared" si="278"/>
        <v>0</v>
      </c>
      <c r="T4449" s="331">
        <v>0</v>
      </c>
      <c r="U4449" s="328">
        <f>VLOOKUP(C4449,METADATA!$J$5:$Q$29,IF(E4449="HI",2,IF(E4449="LO",6,10))+IF(T4449=1,2,IF(D4449=7,1,(IF(WEEKDAY(B4449)=1,2,IF(WEEKDAY(B4449)=7,1,0))))))</f>
        <v>3</v>
      </c>
      <c r="V4449" s="328">
        <f>VLOOKUP(C4449,METADATA!$A$5:$H$29,IF(E4449="HI",2,IF(E4449="LO",6,10))+IF(T4449=1,2,IF(D4449=7,1,(IF(WEEKDAY(B4449)=1,2,IF(WEEKDAY(B4449)=7,1,0))))))</f>
        <v>3</v>
      </c>
    </row>
    <row r="4450" spans="2:22">
      <c r="B4450" s="318">
        <f t="shared" si="279"/>
        <v>46298</v>
      </c>
      <c r="C4450" s="312">
        <v>6</v>
      </c>
      <c r="D4450" s="368">
        <f>IFERROR((INDEX(METADATA!$T$2:$T$20,MATCH(B4450,METADATA!$S$2:$S$20,0))),0)</f>
        <v>0</v>
      </c>
      <c r="E4450" s="312" t="str">
        <f t="shared" si="276"/>
        <v>LO</v>
      </c>
      <c r="F4450" s="369">
        <f>VLOOKUP(C4450,METADATA!$A$5:$H$29,IF(E4450="HI",2,IF(E4450="LO",6,10))+IF(D4450=1,2,IF(D4450=7,1,(IF(WEEKDAY(B4450)=1,2,IF(WEEKDAY(B4450)=7,1,0))))))</f>
        <v>3</v>
      </c>
      <c r="G4450" s="369">
        <f>VLOOKUP(C4450,METADATA!$J$5:$Q$29,IF(E4450="HI",2,IF(E4450="LO",6,10))+IF(D4450=1,2,IF(D4450=7,1,(IF(WEEKDAY(B4450)=1,2,IF(WEEKDAY(B4450)=7,1,0))))))</f>
        <v>3</v>
      </c>
      <c r="H4450" s="370">
        <v>5015.9825134277344</v>
      </c>
      <c r="I4450" s="370">
        <v>1495.5124816894531</v>
      </c>
      <c r="M4450" s="371">
        <f t="shared" si="277"/>
        <v>5234.1797980105493</v>
      </c>
      <c r="N4450" s="329">
        <f t="shared" si="278"/>
        <v>0</v>
      </c>
      <c r="T4450" s="331">
        <v>0</v>
      </c>
      <c r="U4450" s="328">
        <f>VLOOKUP(C4450,METADATA!$J$5:$Q$29,IF(E4450="HI",2,IF(E4450="LO",6,10))+IF(T4450=1,2,IF(D4450=7,1,(IF(WEEKDAY(B4450)=1,2,IF(WEEKDAY(B4450)=7,1,0))))))</f>
        <v>3</v>
      </c>
      <c r="V4450" s="328">
        <f>VLOOKUP(C4450,METADATA!$A$5:$H$29,IF(E4450="HI",2,IF(E4450="LO",6,10))+IF(T4450=1,2,IF(D4450=7,1,(IF(WEEKDAY(B4450)=1,2,IF(WEEKDAY(B4450)=7,1,0))))))</f>
        <v>3</v>
      </c>
    </row>
    <row r="4451" spans="2:22">
      <c r="B4451" s="318">
        <f t="shared" si="279"/>
        <v>46298</v>
      </c>
      <c r="C4451" s="312">
        <v>7</v>
      </c>
      <c r="D4451" s="368">
        <f>IFERROR((INDEX(METADATA!$T$2:$T$20,MATCH(B4451,METADATA!$S$2:$S$20,0))),0)</f>
        <v>0</v>
      </c>
      <c r="E4451" s="312" t="str">
        <f t="shared" si="276"/>
        <v>LO</v>
      </c>
      <c r="F4451" s="369">
        <f>VLOOKUP(C4451,METADATA!$A$5:$H$29,IF(E4451="HI",2,IF(E4451="LO",6,10))+IF(D4451=1,2,IF(D4451=7,1,(IF(WEEKDAY(B4451)=1,2,IF(WEEKDAY(B4451)=7,1,0))))))</f>
        <v>2</v>
      </c>
      <c r="G4451" s="369">
        <f>VLOOKUP(C4451,METADATA!$J$5:$Q$29,IF(E4451="HI",2,IF(E4451="LO",6,10))+IF(D4451=1,2,IF(D4451=7,1,(IF(WEEKDAY(B4451)=1,2,IF(WEEKDAY(B4451)=7,1,0))))))</f>
        <v>2</v>
      </c>
      <c r="H4451" s="370">
        <v>5008.7749633789063</v>
      </c>
      <c r="I4451" s="370">
        <v>1458.0724792480469</v>
      </c>
      <c r="M4451" s="371">
        <f t="shared" si="277"/>
        <v>5216.6849615931296</v>
      </c>
      <c r="N4451" s="329">
        <f t="shared" si="278"/>
        <v>0</v>
      </c>
      <c r="T4451" s="331">
        <v>0</v>
      </c>
      <c r="U4451" s="328">
        <f>VLOOKUP(C4451,METADATA!$J$5:$Q$29,IF(E4451="HI",2,IF(E4451="LO",6,10))+IF(T4451=1,2,IF(D4451=7,1,(IF(WEEKDAY(B4451)=1,2,IF(WEEKDAY(B4451)=7,1,0))))))</f>
        <v>2</v>
      </c>
      <c r="V4451" s="328">
        <f>VLOOKUP(C4451,METADATA!$A$5:$H$29,IF(E4451="HI",2,IF(E4451="LO",6,10))+IF(T4451=1,2,IF(D4451=7,1,(IF(WEEKDAY(B4451)=1,2,IF(WEEKDAY(B4451)=7,1,0))))))</f>
        <v>2</v>
      </c>
    </row>
    <row r="4452" spans="2:22">
      <c r="B4452" s="318">
        <f t="shared" si="279"/>
        <v>46298</v>
      </c>
      <c r="C4452" s="312">
        <v>8</v>
      </c>
      <c r="D4452" s="368">
        <f>IFERROR((INDEX(METADATA!$T$2:$T$20,MATCH(B4452,METADATA!$S$2:$S$20,0))),0)</f>
        <v>0</v>
      </c>
      <c r="E4452" s="312" t="str">
        <f t="shared" si="276"/>
        <v>LO</v>
      </c>
      <c r="F4452" s="369">
        <f>VLOOKUP(C4452,METADATA!$A$5:$H$29,IF(E4452="HI",2,IF(E4452="LO",6,10))+IF(D4452=1,2,IF(D4452=7,1,(IF(WEEKDAY(B4452)=1,2,IF(WEEKDAY(B4452)=7,1,0))))))</f>
        <v>2</v>
      </c>
      <c r="G4452" s="369">
        <f>VLOOKUP(C4452,METADATA!$J$5:$Q$29,IF(E4452="HI",2,IF(E4452="LO",6,10))+IF(D4452=1,2,IF(D4452=7,1,(IF(WEEKDAY(B4452)=1,2,IF(WEEKDAY(B4452)=7,1,0))))))</f>
        <v>2</v>
      </c>
      <c r="H4452" s="370">
        <v>4896.659912109375</v>
      </c>
      <c r="I4452" s="370">
        <v>1421.0650024414063</v>
      </c>
      <c r="M4452" s="371">
        <f t="shared" si="277"/>
        <v>5098.6963074910418</v>
      </c>
      <c r="N4452" s="329">
        <f t="shared" si="278"/>
        <v>0</v>
      </c>
      <c r="T4452" s="331">
        <v>0</v>
      </c>
      <c r="U4452" s="328">
        <f>VLOOKUP(C4452,METADATA!$J$5:$Q$29,IF(E4452="HI",2,IF(E4452="LO",6,10))+IF(T4452=1,2,IF(D4452=7,1,(IF(WEEKDAY(B4452)=1,2,IF(WEEKDAY(B4452)=7,1,0))))))</f>
        <v>2</v>
      </c>
      <c r="V4452" s="328">
        <f>VLOOKUP(C4452,METADATA!$A$5:$H$29,IF(E4452="HI",2,IF(E4452="LO",6,10))+IF(T4452=1,2,IF(D4452=7,1,(IF(WEEKDAY(B4452)=1,2,IF(WEEKDAY(B4452)=7,1,0))))))</f>
        <v>2</v>
      </c>
    </row>
    <row r="4453" spans="2:22">
      <c r="B4453" s="318">
        <f t="shared" si="279"/>
        <v>46298</v>
      </c>
      <c r="C4453" s="312">
        <v>9</v>
      </c>
      <c r="D4453" s="368">
        <f>IFERROR((INDEX(METADATA!$T$2:$T$20,MATCH(B4453,METADATA!$S$2:$S$20,0))),0)</f>
        <v>0</v>
      </c>
      <c r="E4453" s="312" t="str">
        <f t="shared" si="276"/>
        <v>LO</v>
      </c>
      <c r="F4453" s="369">
        <f>VLOOKUP(C4453,METADATA!$A$5:$H$29,IF(E4453="HI",2,IF(E4453="LO",6,10))+IF(D4453=1,2,IF(D4453=7,1,(IF(WEEKDAY(B4453)=1,2,IF(WEEKDAY(B4453)=7,1,0))))))</f>
        <v>2</v>
      </c>
      <c r="G4453" s="369">
        <f>VLOOKUP(C4453,METADATA!$J$5:$Q$29,IF(E4453="HI",2,IF(E4453="LO",6,10))+IF(D4453=1,2,IF(D4453=7,1,(IF(WEEKDAY(B4453)=1,2,IF(WEEKDAY(B4453)=7,1,0))))))</f>
        <v>2</v>
      </c>
      <c r="H4453" s="370">
        <v>4900.152587890625</v>
      </c>
      <c r="I4453" s="370">
        <v>1402.197509765625</v>
      </c>
      <c r="M4453" s="371">
        <f t="shared" si="277"/>
        <v>5096.8277625405499</v>
      </c>
      <c r="N4453" s="329">
        <f t="shared" si="278"/>
        <v>0</v>
      </c>
      <c r="T4453" s="331">
        <v>0</v>
      </c>
      <c r="U4453" s="328">
        <f>VLOOKUP(C4453,METADATA!$J$5:$Q$29,IF(E4453="HI",2,IF(E4453="LO",6,10))+IF(T4453=1,2,IF(D4453=7,1,(IF(WEEKDAY(B4453)=1,2,IF(WEEKDAY(B4453)=7,1,0))))))</f>
        <v>2</v>
      </c>
      <c r="V4453" s="328">
        <f>VLOOKUP(C4453,METADATA!$A$5:$H$29,IF(E4453="HI",2,IF(E4453="LO",6,10))+IF(T4453=1,2,IF(D4453=7,1,(IF(WEEKDAY(B4453)=1,2,IF(WEEKDAY(B4453)=7,1,0))))))</f>
        <v>2</v>
      </c>
    </row>
    <row r="4454" spans="2:22">
      <c r="B4454" s="318">
        <f t="shared" si="279"/>
        <v>46298</v>
      </c>
      <c r="C4454" s="312">
        <v>10</v>
      </c>
      <c r="D4454" s="368">
        <f>IFERROR((INDEX(METADATA!$T$2:$T$20,MATCH(B4454,METADATA!$S$2:$S$20,0))),0)</f>
        <v>0</v>
      </c>
      <c r="E4454" s="312" t="str">
        <f t="shared" si="276"/>
        <v>LO</v>
      </c>
      <c r="F4454" s="369">
        <f>VLOOKUP(C4454,METADATA!$A$5:$H$29,IF(E4454="HI",2,IF(E4454="LO",6,10))+IF(D4454=1,2,IF(D4454=7,1,(IF(WEEKDAY(B4454)=1,2,IF(WEEKDAY(B4454)=7,1,0))))))</f>
        <v>2</v>
      </c>
      <c r="G4454" s="369">
        <f>VLOOKUP(C4454,METADATA!$J$5:$Q$29,IF(E4454="HI",2,IF(E4454="LO",6,10))+IF(D4454=1,2,IF(D4454=7,1,(IF(WEEKDAY(B4454)=1,2,IF(WEEKDAY(B4454)=7,1,0))))))</f>
        <v>2</v>
      </c>
      <c r="H4454" s="370">
        <v>4886.9125061035156</v>
      </c>
      <c r="I4454" s="370">
        <v>1401.1225280761719</v>
      </c>
      <c r="M4454" s="371">
        <f t="shared" si="277"/>
        <v>5083.8035151836375</v>
      </c>
      <c r="N4454" s="329">
        <f t="shared" si="278"/>
        <v>0</v>
      </c>
      <c r="T4454" s="331">
        <v>0</v>
      </c>
      <c r="U4454" s="328">
        <f>VLOOKUP(C4454,METADATA!$J$5:$Q$29,IF(E4454="HI",2,IF(E4454="LO",6,10))+IF(T4454=1,2,IF(D4454=7,1,(IF(WEEKDAY(B4454)=1,2,IF(WEEKDAY(B4454)=7,1,0))))))</f>
        <v>2</v>
      </c>
      <c r="V4454" s="328">
        <f>VLOOKUP(C4454,METADATA!$A$5:$H$29,IF(E4454="HI",2,IF(E4454="LO",6,10))+IF(T4454=1,2,IF(D4454=7,1,(IF(WEEKDAY(B4454)=1,2,IF(WEEKDAY(B4454)=7,1,0))))))</f>
        <v>2</v>
      </c>
    </row>
    <row r="4455" spans="2:22">
      <c r="B4455" s="318">
        <f t="shared" si="279"/>
        <v>46298</v>
      </c>
      <c r="C4455" s="312">
        <v>11</v>
      </c>
      <c r="D4455" s="368">
        <f>IFERROR((INDEX(METADATA!$T$2:$T$20,MATCH(B4455,METADATA!$S$2:$S$20,0))),0)</f>
        <v>0</v>
      </c>
      <c r="E4455" s="312" t="str">
        <f t="shared" si="276"/>
        <v>LO</v>
      </c>
      <c r="F4455" s="369">
        <f>VLOOKUP(C4455,METADATA!$A$5:$H$29,IF(E4455="HI",2,IF(E4455="LO",6,10))+IF(D4455=1,2,IF(D4455=7,1,(IF(WEEKDAY(B4455)=1,2,IF(WEEKDAY(B4455)=7,1,0))))))</f>
        <v>2</v>
      </c>
      <c r="G4455" s="369">
        <f>VLOOKUP(C4455,METADATA!$J$5:$Q$29,IF(E4455="HI",2,IF(E4455="LO",6,10))+IF(D4455=1,2,IF(D4455=7,1,(IF(WEEKDAY(B4455)=1,2,IF(WEEKDAY(B4455)=7,1,0))))))</f>
        <v>2</v>
      </c>
      <c r="H4455" s="370">
        <v>4917.0875549316406</v>
      </c>
      <c r="I4455" s="370">
        <v>1409.1099548339844</v>
      </c>
      <c r="M4455" s="371">
        <f t="shared" si="277"/>
        <v>5115.0113282060138</v>
      </c>
      <c r="N4455" s="329">
        <f t="shared" si="278"/>
        <v>0</v>
      </c>
      <c r="T4455" s="331">
        <v>0</v>
      </c>
      <c r="U4455" s="328">
        <f>VLOOKUP(C4455,METADATA!$J$5:$Q$29,IF(E4455="HI",2,IF(E4455="LO",6,10))+IF(T4455=1,2,IF(D4455=7,1,(IF(WEEKDAY(B4455)=1,2,IF(WEEKDAY(B4455)=7,1,0))))))</f>
        <v>2</v>
      </c>
      <c r="V4455" s="328">
        <f>VLOOKUP(C4455,METADATA!$A$5:$H$29,IF(E4455="HI",2,IF(E4455="LO",6,10))+IF(T4455=1,2,IF(D4455=7,1,(IF(WEEKDAY(B4455)=1,2,IF(WEEKDAY(B4455)=7,1,0))))))</f>
        <v>2</v>
      </c>
    </row>
    <row r="4456" spans="2:22">
      <c r="B4456" s="318">
        <f t="shared" si="279"/>
        <v>46298</v>
      </c>
      <c r="C4456" s="312">
        <v>12</v>
      </c>
      <c r="D4456" s="368">
        <f>IFERROR((INDEX(METADATA!$T$2:$T$20,MATCH(B4456,METADATA!$S$2:$S$20,0))),0)</f>
        <v>0</v>
      </c>
      <c r="E4456" s="312" t="str">
        <f t="shared" si="276"/>
        <v>LO</v>
      </c>
      <c r="F4456" s="369">
        <f>VLOOKUP(C4456,METADATA!$A$5:$H$29,IF(E4456="HI",2,IF(E4456="LO",6,10))+IF(D4456=1,2,IF(D4456=7,1,(IF(WEEKDAY(B4456)=1,2,IF(WEEKDAY(B4456)=7,1,0))))))</f>
        <v>3</v>
      </c>
      <c r="G4456" s="369">
        <f>VLOOKUP(C4456,METADATA!$J$5:$Q$29,IF(E4456="HI",2,IF(E4456="LO",6,10))+IF(D4456=1,2,IF(D4456=7,1,(IF(WEEKDAY(B4456)=1,2,IF(WEEKDAY(B4456)=7,1,0))))))</f>
        <v>3</v>
      </c>
      <c r="H4456" s="370">
        <v>4837.532470703125</v>
      </c>
      <c r="I4456" s="370">
        <v>1418.4024963378906</v>
      </c>
      <c r="M4456" s="371">
        <f t="shared" si="277"/>
        <v>5041.1889516982637</v>
      </c>
      <c r="N4456" s="329">
        <f t="shared" si="278"/>
        <v>0</v>
      </c>
      <c r="T4456" s="331">
        <v>0</v>
      </c>
      <c r="U4456" s="328">
        <f>VLOOKUP(C4456,METADATA!$J$5:$Q$29,IF(E4456="HI",2,IF(E4456="LO",6,10))+IF(T4456=1,2,IF(D4456=7,1,(IF(WEEKDAY(B4456)=1,2,IF(WEEKDAY(B4456)=7,1,0))))))</f>
        <v>3</v>
      </c>
      <c r="V4456" s="328">
        <f>VLOOKUP(C4456,METADATA!$A$5:$H$29,IF(E4456="HI",2,IF(E4456="LO",6,10))+IF(T4456=1,2,IF(D4456=7,1,(IF(WEEKDAY(B4456)=1,2,IF(WEEKDAY(B4456)=7,1,0))))))</f>
        <v>3</v>
      </c>
    </row>
    <row r="4457" spans="2:22">
      <c r="B4457" s="318">
        <f t="shared" si="279"/>
        <v>46298</v>
      </c>
      <c r="C4457" s="312">
        <v>13</v>
      </c>
      <c r="D4457" s="368">
        <f>IFERROR((INDEX(METADATA!$T$2:$T$20,MATCH(B4457,METADATA!$S$2:$S$20,0))),0)</f>
        <v>0</v>
      </c>
      <c r="E4457" s="312" t="str">
        <f t="shared" si="276"/>
        <v>LO</v>
      </c>
      <c r="F4457" s="369">
        <f>VLOOKUP(C4457,METADATA!$A$5:$H$29,IF(E4457="HI",2,IF(E4457="LO",6,10))+IF(D4457=1,2,IF(D4457=7,1,(IF(WEEKDAY(B4457)=1,2,IF(WEEKDAY(B4457)=7,1,0))))))</f>
        <v>3</v>
      </c>
      <c r="G4457" s="369">
        <f>VLOOKUP(C4457,METADATA!$J$5:$Q$29,IF(E4457="HI",2,IF(E4457="LO",6,10))+IF(D4457=1,2,IF(D4457=7,1,(IF(WEEKDAY(B4457)=1,2,IF(WEEKDAY(B4457)=7,1,0))))))</f>
        <v>3</v>
      </c>
      <c r="H4457" s="370">
        <v>4856.7074890136719</v>
      </c>
      <c r="I4457" s="370">
        <v>1412.8524780273438</v>
      </c>
      <c r="M4457" s="371">
        <f t="shared" si="277"/>
        <v>5058.0391218840423</v>
      </c>
      <c r="N4457" s="329">
        <f t="shared" si="278"/>
        <v>0</v>
      </c>
      <c r="T4457" s="331">
        <v>0</v>
      </c>
      <c r="U4457" s="328">
        <f>VLOOKUP(C4457,METADATA!$J$5:$Q$29,IF(E4457="HI",2,IF(E4457="LO",6,10))+IF(T4457=1,2,IF(D4457=7,1,(IF(WEEKDAY(B4457)=1,2,IF(WEEKDAY(B4457)=7,1,0))))))</f>
        <v>3</v>
      </c>
      <c r="V4457" s="328">
        <f>VLOOKUP(C4457,METADATA!$A$5:$H$29,IF(E4457="HI",2,IF(E4457="LO",6,10))+IF(T4457=1,2,IF(D4457=7,1,(IF(WEEKDAY(B4457)=1,2,IF(WEEKDAY(B4457)=7,1,0))))))</f>
        <v>3</v>
      </c>
    </row>
    <row r="4458" spans="2:22">
      <c r="B4458" s="318">
        <f t="shared" si="279"/>
        <v>46298</v>
      </c>
      <c r="C4458" s="312">
        <v>14</v>
      </c>
      <c r="D4458" s="368">
        <f>IFERROR((INDEX(METADATA!$T$2:$T$20,MATCH(B4458,METADATA!$S$2:$S$20,0))),0)</f>
        <v>0</v>
      </c>
      <c r="E4458" s="312" t="str">
        <f t="shared" si="276"/>
        <v>LO</v>
      </c>
      <c r="F4458" s="369">
        <f>VLOOKUP(C4458,METADATA!$A$5:$H$29,IF(E4458="HI",2,IF(E4458="LO",6,10))+IF(D4458=1,2,IF(D4458=7,1,(IF(WEEKDAY(B4458)=1,2,IF(WEEKDAY(B4458)=7,1,0))))))</f>
        <v>3</v>
      </c>
      <c r="G4458" s="369">
        <f>VLOOKUP(C4458,METADATA!$J$5:$Q$29,IF(E4458="HI",2,IF(E4458="LO",6,10))+IF(D4458=1,2,IF(D4458=7,1,(IF(WEEKDAY(B4458)=1,2,IF(WEEKDAY(B4458)=7,1,0))))))</f>
        <v>3</v>
      </c>
      <c r="H4458" s="370">
        <v>6161.0498657226563</v>
      </c>
      <c r="I4458" s="370">
        <v>2219.0549926757813</v>
      </c>
      <c r="M4458" s="371">
        <f t="shared" si="277"/>
        <v>6548.4914681505434</v>
      </c>
      <c r="N4458" s="329">
        <f t="shared" si="278"/>
        <v>370.74003295898456</v>
      </c>
      <c r="T4458" s="331">
        <v>0</v>
      </c>
      <c r="U4458" s="328">
        <f>VLOOKUP(C4458,METADATA!$J$5:$Q$29,IF(E4458="HI",2,IF(E4458="LO",6,10))+IF(T4458=1,2,IF(D4458=7,1,(IF(WEEKDAY(B4458)=1,2,IF(WEEKDAY(B4458)=7,1,0))))))</f>
        <v>3</v>
      </c>
      <c r="V4458" s="328">
        <f>VLOOKUP(C4458,METADATA!$A$5:$H$29,IF(E4458="HI",2,IF(E4458="LO",6,10))+IF(T4458=1,2,IF(D4458=7,1,(IF(WEEKDAY(B4458)=1,2,IF(WEEKDAY(B4458)=7,1,0))))))</f>
        <v>3</v>
      </c>
    </row>
    <row r="4459" spans="2:22">
      <c r="B4459" s="318">
        <f t="shared" si="279"/>
        <v>46298</v>
      </c>
      <c r="C4459" s="312">
        <v>15</v>
      </c>
      <c r="D4459" s="368">
        <f>IFERROR((INDEX(METADATA!$T$2:$T$20,MATCH(B4459,METADATA!$S$2:$S$20,0))),0)</f>
        <v>0</v>
      </c>
      <c r="E4459" s="312" t="str">
        <f t="shared" si="276"/>
        <v>LO</v>
      </c>
      <c r="F4459" s="369">
        <f>VLOOKUP(C4459,METADATA!$A$5:$H$29,IF(E4459="HI",2,IF(E4459="LO",6,10))+IF(D4459=1,2,IF(D4459=7,1,(IF(WEEKDAY(B4459)=1,2,IF(WEEKDAY(B4459)=7,1,0))))))</f>
        <v>3</v>
      </c>
      <c r="G4459" s="369">
        <f>VLOOKUP(C4459,METADATA!$J$5:$Q$29,IF(E4459="HI",2,IF(E4459="LO",6,10))+IF(D4459=1,2,IF(D4459=7,1,(IF(WEEKDAY(B4459)=1,2,IF(WEEKDAY(B4459)=7,1,0))))))</f>
        <v>3</v>
      </c>
      <c r="H4459" s="370">
        <v>6928.7499389648438</v>
      </c>
      <c r="I4459" s="370">
        <v>2657.4749755859375</v>
      </c>
      <c r="M4459" s="371">
        <f t="shared" si="277"/>
        <v>7420.8994712616068</v>
      </c>
      <c r="N4459" s="329">
        <f t="shared" si="278"/>
        <v>578.84999389648465</v>
      </c>
      <c r="T4459" s="331">
        <v>0</v>
      </c>
      <c r="U4459" s="328">
        <f>VLOOKUP(C4459,METADATA!$J$5:$Q$29,IF(E4459="HI",2,IF(E4459="LO",6,10))+IF(T4459=1,2,IF(D4459=7,1,(IF(WEEKDAY(B4459)=1,2,IF(WEEKDAY(B4459)=7,1,0))))))</f>
        <v>3</v>
      </c>
      <c r="V4459" s="328">
        <f>VLOOKUP(C4459,METADATA!$A$5:$H$29,IF(E4459="HI",2,IF(E4459="LO",6,10))+IF(T4459=1,2,IF(D4459=7,1,(IF(WEEKDAY(B4459)=1,2,IF(WEEKDAY(B4459)=7,1,0))))))</f>
        <v>3</v>
      </c>
    </row>
    <row r="4460" spans="2:22">
      <c r="B4460" s="318">
        <f t="shared" si="279"/>
        <v>46298</v>
      </c>
      <c r="C4460" s="312">
        <v>16</v>
      </c>
      <c r="D4460" s="368">
        <f>IFERROR((INDEX(METADATA!$T$2:$T$20,MATCH(B4460,METADATA!$S$2:$S$20,0))),0)</f>
        <v>0</v>
      </c>
      <c r="E4460" s="312" t="str">
        <f t="shared" si="276"/>
        <v>LO</v>
      </c>
      <c r="F4460" s="369">
        <f>VLOOKUP(C4460,METADATA!$A$5:$H$29,IF(E4460="HI",2,IF(E4460="LO",6,10))+IF(D4460=1,2,IF(D4460=7,1,(IF(WEEKDAY(B4460)=1,2,IF(WEEKDAY(B4460)=7,1,0))))))</f>
        <v>3</v>
      </c>
      <c r="G4460" s="369">
        <f>VLOOKUP(C4460,METADATA!$J$5:$Q$29,IF(E4460="HI",2,IF(E4460="LO",6,10))+IF(D4460=1,2,IF(D4460=7,1,(IF(WEEKDAY(B4460)=1,2,IF(WEEKDAY(B4460)=7,1,0))))))</f>
        <v>3</v>
      </c>
      <c r="H4460" s="370">
        <v>6579.800048828125</v>
      </c>
      <c r="I4460" s="370">
        <v>2493.4249877929688</v>
      </c>
      <c r="M4460" s="371">
        <f t="shared" si="277"/>
        <v>7036.400845056296</v>
      </c>
      <c r="N4460" s="329">
        <f t="shared" si="278"/>
        <v>519.4849731445313</v>
      </c>
      <c r="T4460" s="331">
        <v>0</v>
      </c>
      <c r="U4460" s="328">
        <f>VLOOKUP(C4460,METADATA!$J$5:$Q$29,IF(E4460="HI",2,IF(E4460="LO",6,10))+IF(T4460=1,2,IF(D4460=7,1,(IF(WEEKDAY(B4460)=1,2,IF(WEEKDAY(B4460)=7,1,0))))))</f>
        <v>3</v>
      </c>
      <c r="V4460" s="328">
        <f>VLOOKUP(C4460,METADATA!$A$5:$H$29,IF(E4460="HI",2,IF(E4460="LO",6,10))+IF(T4460=1,2,IF(D4460=7,1,(IF(WEEKDAY(B4460)=1,2,IF(WEEKDAY(B4460)=7,1,0))))))</f>
        <v>3</v>
      </c>
    </row>
    <row r="4461" spans="2:22">
      <c r="B4461" s="318">
        <f t="shared" si="279"/>
        <v>46298</v>
      </c>
      <c r="C4461" s="312">
        <v>17</v>
      </c>
      <c r="D4461" s="368">
        <f>IFERROR((INDEX(METADATA!$T$2:$T$20,MATCH(B4461,METADATA!$S$2:$S$20,0))),0)</f>
        <v>0</v>
      </c>
      <c r="E4461" s="312" t="str">
        <f t="shared" si="276"/>
        <v>LO</v>
      </c>
      <c r="F4461" s="369">
        <f>VLOOKUP(C4461,METADATA!$A$5:$H$29,IF(E4461="HI",2,IF(E4461="LO",6,10))+IF(D4461=1,2,IF(D4461=7,1,(IF(WEEKDAY(B4461)=1,2,IF(WEEKDAY(B4461)=7,1,0))))))</f>
        <v>3</v>
      </c>
      <c r="G4461" s="369">
        <f>VLOOKUP(C4461,METADATA!$J$5:$Q$29,IF(E4461="HI",2,IF(E4461="LO",6,10))+IF(D4461=1,2,IF(D4461=7,1,(IF(WEEKDAY(B4461)=1,2,IF(WEEKDAY(B4461)=7,1,0))))))</f>
        <v>3</v>
      </c>
      <c r="H4461" s="370">
        <v>5262.6073913574219</v>
      </c>
      <c r="I4461" s="370">
        <v>1617.0899963378906</v>
      </c>
      <c r="M4461" s="371">
        <f t="shared" si="277"/>
        <v>5505.45335207064</v>
      </c>
      <c r="N4461" s="329">
        <f t="shared" si="278"/>
        <v>38.307778930664199</v>
      </c>
      <c r="T4461" s="331">
        <v>0</v>
      </c>
      <c r="U4461" s="328">
        <f>VLOOKUP(C4461,METADATA!$J$5:$Q$29,IF(E4461="HI",2,IF(E4461="LO",6,10))+IF(T4461=1,2,IF(D4461=7,1,(IF(WEEKDAY(B4461)=1,2,IF(WEEKDAY(B4461)=7,1,0))))))</f>
        <v>3</v>
      </c>
      <c r="V4461" s="328">
        <f>VLOOKUP(C4461,METADATA!$A$5:$H$29,IF(E4461="HI",2,IF(E4461="LO",6,10))+IF(T4461=1,2,IF(D4461=7,1,(IF(WEEKDAY(B4461)=1,2,IF(WEEKDAY(B4461)=7,1,0))))))</f>
        <v>3</v>
      </c>
    </row>
    <row r="4462" spans="2:22">
      <c r="B4462" s="318">
        <f t="shared" si="279"/>
        <v>46298</v>
      </c>
      <c r="C4462" s="312">
        <v>18</v>
      </c>
      <c r="D4462" s="368">
        <f>IFERROR((INDEX(METADATA!$T$2:$T$20,MATCH(B4462,METADATA!$S$2:$S$20,0))),0)</f>
        <v>0</v>
      </c>
      <c r="E4462" s="312" t="str">
        <f t="shared" si="276"/>
        <v>LO</v>
      </c>
      <c r="F4462" s="369">
        <f>VLOOKUP(C4462,METADATA!$A$5:$H$29,IF(E4462="HI",2,IF(E4462="LO",6,10))+IF(D4462=1,2,IF(D4462=7,1,(IF(WEEKDAY(B4462)=1,2,IF(WEEKDAY(B4462)=7,1,0))))))</f>
        <v>2</v>
      </c>
      <c r="G4462" s="369">
        <f>VLOOKUP(C4462,METADATA!$J$5:$Q$29,IF(E4462="HI",2,IF(E4462="LO",6,10))+IF(D4462=1,2,IF(D4462=7,1,(IF(WEEKDAY(B4462)=1,2,IF(WEEKDAY(B4462)=7,1,0))))))</f>
        <v>2</v>
      </c>
      <c r="H4462" s="370">
        <v>6761.3024291992188</v>
      </c>
      <c r="I4462" s="370">
        <v>1705.3175201416016</v>
      </c>
      <c r="M4462" s="371">
        <f t="shared" si="277"/>
        <v>6973.0422617102467</v>
      </c>
      <c r="N4462" s="329">
        <f t="shared" si="278"/>
        <v>0</v>
      </c>
      <c r="T4462" s="331">
        <v>0</v>
      </c>
      <c r="U4462" s="328">
        <f>VLOOKUP(C4462,METADATA!$J$5:$Q$29,IF(E4462="HI",2,IF(E4462="LO",6,10))+IF(T4462=1,2,IF(D4462=7,1,(IF(WEEKDAY(B4462)=1,2,IF(WEEKDAY(B4462)=7,1,0))))))</f>
        <v>2</v>
      </c>
      <c r="V4462" s="328">
        <f>VLOOKUP(C4462,METADATA!$A$5:$H$29,IF(E4462="HI",2,IF(E4462="LO",6,10))+IF(T4462=1,2,IF(D4462=7,1,(IF(WEEKDAY(B4462)=1,2,IF(WEEKDAY(B4462)=7,1,0))))))</f>
        <v>2</v>
      </c>
    </row>
    <row r="4463" spans="2:22">
      <c r="B4463" s="318">
        <f t="shared" si="279"/>
        <v>46298</v>
      </c>
      <c r="C4463" s="312">
        <v>19</v>
      </c>
      <c r="D4463" s="368">
        <f>IFERROR((INDEX(METADATA!$T$2:$T$20,MATCH(B4463,METADATA!$S$2:$S$20,0))),0)</f>
        <v>0</v>
      </c>
      <c r="E4463" s="312" t="str">
        <f t="shared" si="276"/>
        <v>LO</v>
      </c>
      <c r="F4463" s="369">
        <f>VLOOKUP(C4463,METADATA!$A$5:$H$29,IF(E4463="HI",2,IF(E4463="LO",6,10))+IF(D4463=1,2,IF(D4463=7,1,(IF(WEEKDAY(B4463)=1,2,IF(WEEKDAY(B4463)=7,1,0))))))</f>
        <v>2</v>
      </c>
      <c r="G4463" s="369">
        <f>VLOOKUP(C4463,METADATA!$J$5:$Q$29,IF(E4463="HI",2,IF(E4463="LO",6,10))+IF(D4463=1,2,IF(D4463=7,1,(IF(WEEKDAY(B4463)=1,2,IF(WEEKDAY(B4463)=7,1,0))))))</f>
        <v>2</v>
      </c>
      <c r="H4463" s="370">
        <v>11476.595092773438</v>
      </c>
      <c r="I4463" s="370">
        <v>3202.5500793457031</v>
      </c>
      <c r="M4463" s="371">
        <f t="shared" si="277"/>
        <v>11915.056102855266</v>
      </c>
      <c r="N4463" s="329">
        <f t="shared" si="278"/>
        <v>0</v>
      </c>
      <c r="T4463" s="331">
        <v>0</v>
      </c>
      <c r="U4463" s="328">
        <f>VLOOKUP(C4463,METADATA!$J$5:$Q$29,IF(E4463="HI",2,IF(E4463="LO",6,10))+IF(T4463=1,2,IF(D4463=7,1,(IF(WEEKDAY(B4463)=1,2,IF(WEEKDAY(B4463)=7,1,0))))))</f>
        <v>2</v>
      </c>
      <c r="V4463" s="328">
        <f>VLOOKUP(C4463,METADATA!$A$5:$H$29,IF(E4463="HI",2,IF(E4463="LO",6,10))+IF(T4463=1,2,IF(D4463=7,1,(IF(WEEKDAY(B4463)=1,2,IF(WEEKDAY(B4463)=7,1,0))))))</f>
        <v>2</v>
      </c>
    </row>
    <row r="4464" spans="2:22">
      <c r="B4464" s="318">
        <f t="shared" si="279"/>
        <v>46298</v>
      </c>
      <c r="C4464" s="312">
        <v>20</v>
      </c>
      <c r="D4464" s="368">
        <f>IFERROR((INDEX(METADATA!$T$2:$T$20,MATCH(B4464,METADATA!$S$2:$S$20,0))),0)</f>
        <v>0</v>
      </c>
      <c r="E4464" s="312" t="str">
        <f t="shared" si="276"/>
        <v>LO</v>
      </c>
      <c r="F4464" s="369">
        <f>VLOOKUP(C4464,METADATA!$A$5:$H$29,IF(E4464="HI",2,IF(E4464="LO",6,10))+IF(D4464=1,2,IF(D4464=7,1,(IF(WEEKDAY(B4464)=1,2,IF(WEEKDAY(B4464)=7,1,0))))))</f>
        <v>3</v>
      </c>
      <c r="G4464" s="369">
        <f>VLOOKUP(C4464,METADATA!$J$5:$Q$29,IF(E4464="HI",2,IF(E4464="LO",6,10))+IF(D4464=1,2,IF(D4464=7,1,(IF(WEEKDAY(B4464)=1,2,IF(WEEKDAY(B4464)=7,1,0))))))</f>
        <v>3</v>
      </c>
      <c r="H4464" s="370">
        <v>12693.249633789063</v>
      </c>
      <c r="I4464" s="370">
        <v>3891.2049560546875</v>
      </c>
      <c r="M4464" s="371">
        <f t="shared" si="277"/>
        <v>13276.297009170543</v>
      </c>
      <c r="N4464" s="329">
        <f t="shared" si="278"/>
        <v>83.230065917969114</v>
      </c>
      <c r="T4464" s="331">
        <v>0</v>
      </c>
      <c r="U4464" s="328">
        <f>VLOOKUP(C4464,METADATA!$J$5:$Q$29,IF(E4464="HI",2,IF(E4464="LO",6,10))+IF(T4464=1,2,IF(D4464=7,1,(IF(WEEKDAY(B4464)=1,2,IF(WEEKDAY(B4464)=7,1,0))))))</f>
        <v>3</v>
      </c>
      <c r="V4464" s="328">
        <f>VLOOKUP(C4464,METADATA!$A$5:$H$29,IF(E4464="HI",2,IF(E4464="LO",6,10))+IF(T4464=1,2,IF(D4464=7,1,(IF(WEEKDAY(B4464)=1,2,IF(WEEKDAY(B4464)=7,1,0))))))</f>
        <v>3</v>
      </c>
    </row>
    <row r="4465" spans="2:22">
      <c r="B4465" s="318">
        <f t="shared" si="279"/>
        <v>46298</v>
      </c>
      <c r="C4465" s="312">
        <v>21</v>
      </c>
      <c r="D4465" s="368">
        <f>IFERROR((INDEX(METADATA!$T$2:$T$20,MATCH(B4465,METADATA!$S$2:$S$20,0))),0)</f>
        <v>0</v>
      </c>
      <c r="E4465" s="312" t="str">
        <f t="shared" si="276"/>
        <v>LO</v>
      </c>
      <c r="F4465" s="369">
        <f>VLOOKUP(C4465,METADATA!$A$5:$H$29,IF(E4465="HI",2,IF(E4465="LO",6,10))+IF(D4465=1,2,IF(D4465=7,1,(IF(WEEKDAY(B4465)=1,2,IF(WEEKDAY(B4465)=7,1,0))))))</f>
        <v>3</v>
      </c>
      <c r="G4465" s="369">
        <f>VLOOKUP(C4465,METADATA!$J$5:$Q$29,IF(E4465="HI",2,IF(E4465="LO",6,10))+IF(D4465=1,2,IF(D4465=7,1,(IF(WEEKDAY(B4465)=1,2,IF(WEEKDAY(B4465)=7,1,0))))))</f>
        <v>3</v>
      </c>
      <c r="H4465" s="370">
        <v>12774.249877929688</v>
      </c>
      <c r="I4465" s="370">
        <v>4019.0851745605469</v>
      </c>
      <c r="M4465" s="371">
        <f t="shared" si="277"/>
        <v>13391.583385998798</v>
      </c>
      <c r="N4465" s="329">
        <f t="shared" si="278"/>
        <v>186.81021118164063</v>
      </c>
      <c r="T4465" s="331">
        <v>0</v>
      </c>
      <c r="U4465" s="328">
        <f>VLOOKUP(C4465,METADATA!$J$5:$Q$29,IF(E4465="HI",2,IF(E4465="LO",6,10))+IF(T4465=1,2,IF(D4465=7,1,(IF(WEEKDAY(B4465)=1,2,IF(WEEKDAY(B4465)=7,1,0))))))</f>
        <v>3</v>
      </c>
      <c r="V4465" s="328">
        <f>VLOOKUP(C4465,METADATA!$A$5:$H$29,IF(E4465="HI",2,IF(E4465="LO",6,10))+IF(T4465=1,2,IF(D4465=7,1,(IF(WEEKDAY(B4465)=1,2,IF(WEEKDAY(B4465)=7,1,0))))))</f>
        <v>3</v>
      </c>
    </row>
    <row r="4466" spans="2:22">
      <c r="B4466" s="318">
        <f t="shared" si="279"/>
        <v>46298</v>
      </c>
      <c r="C4466" s="312">
        <v>22</v>
      </c>
      <c r="D4466" s="368">
        <f>IFERROR((INDEX(METADATA!$T$2:$T$20,MATCH(B4466,METADATA!$S$2:$S$20,0))),0)</f>
        <v>0</v>
      </c>
      <c r="E4466" s="312" t="str">
        <f t="shared" si="276"/>
        <v>LO</v>
      </c>
      <c r="F4466" s="369">
        <f>VLOOKUP(C4466,METADATA!$A$5:$H$29,IF(E4466="HI",2,IF(E4466="LO",6,10))+IF(D4466=1,2,IF(D4466=7,1,(IF(WEEKDAY(B4466)=1,2,IF(WEEKDAY(B4466)=7,1,0))))))</f>
        <v>3</v>
      </c>
      <c r="G4466" s="369">
        <f>VLOOKUP(C4466,METADATA!$J$5:$Q$29,IF(E4466="HI",2,IF(E4466="LO",6,10))+IF(D4466=1,2,IF(D4466=7,1,(IF(WEEKDAY(B4466)=1,2,IF(WEEKDAY(B4466)=7,1,0))))))</f>
        <v>3</v>
      </c>
      <c r="H4466" s="370">
        <v>12807.325378417969</v>
      </c>
      <c r="I4466" s="370">
        <v>4134.2150268554688</v>
      </c>
      <c r="M4466" s="371">
        <f t="shared" si="277"/>
        <v>13458.057706702944</v>
      </c>
      <c r="N4466" s="329">
        <f t="shared" si="278"/>
        <v>292.0174133300784</v>
      </c>
      <c r="T4466" s="331">
        <v>0</v>
      </c>
      <c r="U4466" s="328">
        <f>VLOOKUP(C4466,METADATA!$J$5:$Q$29,IF(E4466="HI",2,IF(E4466="LO",6,10))+IF(T4466=1,2,IF(D4466=7,1,(IF(WEEKDAY(B4466)=1,2,IF(WEEKDAY(B4466)=7,1,0))))))</f>
        <v>3</v>
      </c>
      <c r="V4466" s="328">
        <f>VLOOKUP(C4466,METADATA!$A$5:$H$29,IF(E4466="HI",2,IF(E4466="LO",6,10))+IF(T4466=1,2,IF(D4466=7,1,(IF(WEEKDAY(B4466)=1,2,IF(WEEKDAY(B4466)=7,1,0))))))</f>
        <v>3</v>
      </c>
    </row>
    <row r="4467" spans="2:22">
      <c r="B4467" s="318">
        <f t="shared" si="279"/>
        <v>46298</v>
      </c>
      <c r="C4467" s="312">
        <v>23</v>
      </c>
      <c r="D4467" s="368">
        <f>IFERROR((INDEX(METADATA!$T$2:$T$20,MATCH(B4467,METADATA!$S$2:$S$20,0))),0)</f>
        <v>0</v>
      </c>
      <c r="E4467" s="312" t="str">
        <f t="shared" si="276"/>
        <v>LO</v>
      </c>
      <c r="F4467" s="369">
        <f>VLOOKUP(C4467,METADATA!$A$5:$H$29,IF(E4467="HI",2,IF(E4467="LO",6,10))+IF(D4467=1,2,IF(D4467=7,1,(IF(WEEKDAY(B4467)=1,2,IF(WEEKDAY(B4467)=7,1,0))))))</f>
        <v>3</v>
      </c>
      <c r="G4467" s="369">
        <f>VLOOKUP(C4467,METADATA!$J$5:$Q$29,IF(E4467="HI",2,IF(E4467="LO",6,10))+IF(D4467=1,2,IF(D4467=7,1,(IF(WEEKDAY(B4467)=1,2,IF(WEEKDAY(B4467)=7,1,0))))))</f>
        <v>3</v>
      </c>
      <c r="H4467" s="370">
        <v>12740.5</v>
      </c>
      <c r="I4467" s="370">
        <v>4130.1650390625</v>
      </c>
      <c r="M4467" s="371">
        <f t="shared" si="277"/>
        <v>13393.229763574362</v>
      </c>
      <c r="N4467" s="329">
        <f t="shared" si="278"/>
        <v>308.01503906250036</v>
      </c>
      <c r="T4467" s="331">
        <v>0</v>
      </c>
      <c r="U4467" s="328">
        <f>VLOOKUP(C4467,METADATA!$J$5:$Q$29,IF(E4467="HI",2,IF(E4467="LO",6,10))+IF(T4467=1,2,IF(D4467=7,1,(IF(WEEKDAY(B4467)=1,2,IF(WEEKDAY(B4467)=7,1,0))))))</f>
        <v>3</v>
      </c>
      <c r="V4467" s="328">
        <f>VLOOKUP(C4467,METADATA!$A$5:$H$29,IF(E4467="HI",2,IF(E4467="LO",6,10))+IF(T4467=1,2,IF(D4467=7,1,(IF(WEEKDAY(B4467)=1,2,IF(WEEKDAY(B4467)=7,1,0))))))</f>
        <v>3</v>
      </c>
    </row>
    <row r="4468" spans="2:22">
      <c r="B4468" s="318">
        <f t="shared" si="279"/>
        <v>46299</v>
      </c>
      <c r="C4468" s="312">
        <v>0</v>
      </c>
      <c r="D4468" s="368">
        <f>IFERROR((INDEX(METADATA!$T$2:$T$20,MATCH(B4468,METADATA!$S$2:$S$20,0))),0)</f>
        <v>0</v>
      </c>
      <c r="E4468" s="312" t="str">
        <f t="shared" si="276"/>
        <v>LO</v>
      </c>
      <c r="F4468" s="369">
        <f>VLOOKUP(C4468,METADATA!$A$5:$H$29,IF(E4468="HI",2,IF(E4468="LO",6,10))+IF(D4468=1,2,IF(D4468=7,1,(IF(WEEKDAY(B4468)=1,2,IF(WEEKDAY(B4468)=7,1,0))))))</f>
        <v>3</v>
      </c>
      <c r="G4468" s="369">
        <f>VLOOKUP(C4468,METADATA!$J$5:$Q$29,IF(E4468="HI",2,IF(E4468="LO",6,10))+IF(D4468=1,2,IF(D4468=7,1,(IF(WEEKDAY(B4468)=1,2,IF(WEEKDAY(B4468)=7,1,0))))))</f>
        <v>3</v>
      </c>
      <c r="H4468" s="370">
        <v>12908.174987792969</v>
      </c>
      <c r="I4468" s="370">
        <v>4089.1950073242188</v>
      </c>
      <c r="M4468" s="371">
        <f t="shared" si="277"/>
        <v>13540.402406258439</v>
      </c>
      <c r="N4468" s="329">
        <f t="shared" si="278"/>
        <v>216.7425109863284</v>
      </c>
      <c r="T4468" s="331">
        <v>0</v>
      </c>
      <c r="U4468" s="328">
        <f>VLOOKUP(C4468,METADATA!$J$5:$Q$29,IF(E4468="HI",2,IF(E4468="LO",6,10))+IF(T4468=1,2,IF(D4468=7,1,(IF(WEEKDAY(B4468)=1,2,IF(WEEKDAY(B4468)=7,1,0))))))</f>
        <v>3</v>
      </c>
      <c r="V4468" s="328">
        <f>VLOOKUP(C4468,METADATA!$A$5:$H$29,IF(E4468="HI",2,IF(E4468="LO",6,10))+IF(T4468=1,2,IF(D4468=7,1,(IF(WEEKDAY(B4468)=1,2,IF(WEEKDAY(B4468)=7,1,0))))))</f>
        <v>3</v>
      </c>
    </row>
    <row r="4469" spans="2:22">
      <c r="B4469" s="318">
        <f t="shared" si="279"/>
        <v>46299</v>
      </c>
      <c r="C4469" s="312">
        <v>1</v>
      </c>
      <c r="D4469" s="368">
        <f>IFERROR((INDEX(METADATA!$T$2:$T$20,MATCH(B4469,METADATA!$S$2:$S$20,0))),0)</f>
        <v>0</v>
      </c>
      <c r="E4469" s="312" t="str">
        <f t="shared" si="276"/>
        <v>LO</v>
      </c>
      <c r="F4469" s="369">
        <f>VLOOKUP(C4469,METADATA!$A$5:$H$29,IF(E4469="HI",2,IF(E4469="LO",6,10))+IF(D4469=1,2,IF(D4469=7,1,(IF(WEEKDAY(B4469)=1,2,IF(WEEKDAY(B4469)=7,1,0))))))</f>
        <v>3</v>
      </c>
      <c r="G4469" s="369">
        <f>VLOOKUP(C4469,METADATA!$J$5:$Q$29,IF(E4469="HI",2,IF(E4469="LO",6,10))+IF(D4469=1,2,IF(D4469=7,1,(IF(WEEKDAY(B4469)=1,2,IF(WEEKDAY(B4469)=7,1,0))))))</f>
        <v>3</v>
      </c>
      <c r="H4469" s="370">
        <v>12654.132690429688</v>
      </c>
      <c r="I4469" s="370">
        <v>4133.9600830078125</v>
      </c>
      <c r="M4469" s="371">
        <f t="shared" si="277"/>
        <v>13312.276293515817</v>
      </c>
      <c r="N4469" s="329">
        <f t="shared" si="278"/>
        <v>337.72027587890625</v>
      </c>
      <c r="T4469" s="331">
        <v>0</v>
      </c>
      <c r="U4469" s="328">
        <f>VLOOKUP(C4469,METADATA!$J$5:$Q$29,IF(E4469="HI",2,IF(E4469="LO",6,10))+IF(T4469=1,2,IF(D4469=7,1,(IF(WEEKDAY(B4469)=1,2,IF(WEEKDAY(B4469)=7,1,0))))))</f>
        <v>3</v>
      </c>
      <c r="V4469" s="328">
        <f>VLOOKUP(C4469,METADATA!$A$5:$H$29,IF(E4469="HI",2,IF(E4469="LO",6,10))+IF(T4469=1,2,IF(D4469=7,1,(IF(WEEKDAY(B4469)=1,2,IF(WEEKDAY(B4469)=7,1,0))))))</f>
        <v>3</v>
      </c>
    </row>
    <row r="4470" spans="2:22">
      <c r="B4470" s="318">
        <f t="shared" si="279"/>
        <v>46299</v>
      </c>
      <c r="C4470" s="312">
        <v>2</v>
      </c>
      <c r="D4470" s="368">
        <f>IFERROR((INDEX(METADATA!$T$2:$T$20,MATCH(B4470,METADATA!$S$2:$S$20,0))),0)</f>
        <v>0</v>
      </c>
      <c r="E4470" s="312" t="str">
        <f t="shared" si="276"/>
        <v>LO</v>
      </c>
      <c r="F4470" s="369">
        <f>VLOOKUP(C4470,METADATA!$A$5:$H$29,IF(E4470="HI",2,IF(E4470="LO",6,10))+IF(D4470=1,2,IF(D4470=7,1,(IF(WEEKDAY(B4470)=1,2,IF(WEEKDAY(B4470)=7,1,0))))))</f>
        <v>3</v>
      </c>
      <c r="G4470" s="369">
        <f>VLOOKUP(C4470,METADATA!$J$5:$Q$29,IF(E4470="HI",2,IF(E4470="LO",6,10))+IF(D4470=1,2,IF(D4470=7,1,(IF(WEEKDAY(B4470)=1,2,IF(WEEKDAY(B4470)=7,1,0))))))</f>
        <v>3</v>
      </c>
      <c r="H4470" s="370">
        <v>10021.524719238281</v>
      </c>
      <c r="I4470" s="370">
        <v>3006.6700429916382</v>
      </c>
      <c r="M4470" s="371">
        <f t="shared" si="277"/>
        <v>10462.840075511393</v>
      </c>
      <c r="N4470" s="329">
        <f t="shared" si="278"/>
        <v>0.21262722015399049</v>
      </c>
      <c r="T4470" s="331">
        <v>0</v>
      </c>
      <c r="U4470" s="328">
        <f>VLOOKUP(C4470,METADATA!$J$5:$Q$29,IF(E4470="HI",2,IF(E4470="LO",6,10))+IF(T4470=1,2,IF(D4470=7,1,(IF(WEEKDAY(B4470)=1,2,IF(WEEKDAY(B4470)=7,1,0))))))</f>
        <v>3</v>
      </c>
      <c r="V4470" s="328">
        <f>VLOOKUP(C4470,METADATA!$A$5:$H$29,IF(E4470="HI",2,IF(E4470="LO",6,10))+IF(T4470=1,2,IF(D4470=7,1,(IF(WEEKDAY(B4470)=1,2,IF(WEEKDAY(B4470)=7,1,0))))))</f>
        <v>3</v>
      </c>
    </row>
    <row r="4471" spans="2:22">
      <c r="B4471" s="318">
        <f t="shared" si="279"/>
        <v>46299</v>
      </c>
      <c r="C4471" s="312">
        <v>3</v>
      </c>
      <c r="D4471" s="368">
        <f>IFERROR((INDEX(METADATA!$T$2:$T$20,MATCH(B4471,METADATA!$S$2:$S$20,0))),0)</f>
        <v>0</v>
      </c>
      <c r="E4471" s="312" t="str">
        <f t="shared" si="276"/>
        <v>LO</v>
      </c>
      <c r="F4471" s="369">
        <f>VLOOKUP(C4471,METADATA!$A$5:$H$29,IF(E4471="HI",2,IF(E4471="LO",6,10))+IF(D4471=1,2,IF(D4471=7,1,(IF(WEEKDAY(B4471)=1,2,IF(WEEKDAY(B4471)=7,1,0))))))</f>
        <v>3</v>
      </c>
      <c r="G4471" s="369">
        <f>VLOOKUP(C4471,METADATA!$J$5:$Q$29,IF(E4471="HI",2,IF(E4471="LO",6,10))+IF(D4471=1,2,IF(D4471=7,1,(IF(WEEKDAY(B4471)=1,2,IF(WEEKDAY(B4471)=7,1,0))))))</f>
        <v>3</v>
      </c>
      <c r="H4471" s="370">
        <v>7341.02490234375</v>
      </c>
      <c r="I4471" s="370">
        <v>2370.9949951171875</v>
      </c>
      <c r="M4471" s="371">
        <f t="shared" si="277"/>
        <v>7714.4192188201578</v>
      </c>
      <c r="N4471" s="329">
        <f t="shared" si="278"/>
        <v>168.68752441406241</v>
      </c>
      <c r="T4471" s="331">
        <v>0</v>
      </c>
      <c r="U4471" s="328">
        <f>VLOOKUP(C4471,METADATA!$J$5:$Q$29,IF(E4471="HI",2,IF(E4471="LO",6,10))+IF(T4471=1,2,IF(D4471=7,1,(IF(WEEKDAY(B4471)=1,2,IF(WEEKDAY(B4471)=7,1,0))))))</f>
        <v>3</v>
      </c>
      <c r="V4471" s="328">
        <f>VLOOKUP(C4471,METADATA!$A$5:$H$29,IF(E4471="HI",2,IF(E4471="LO",6,10))+IF(T4471=1,2,IF(D4471=7,1,(IF(WEEKDAY(B4471)=1,2,IF(WEEKDAY(B4471)=7,1,0))))))</f>
        <v>3</v>
      </c>
    </row>
    <row r="4472" spans="2:22">
      <c r="B4472" s="318">
        <f t="shared" si="279"/>
        <v>46299</v>
      </c>
      <c r="C4472" s="312">
        <v>4</v>
      </c>
      <c r="D4472" s="368">
        <f>IFERROR((INDEX(METADATA!$T$2:$T$20,MATCH(B4472,METADATA!$S$2:$S$20,0))),0)</f>
        <v>0</v>
      </c>
      <c r="E4472" s="312" t="str">
        <f t="shared" si="276"/>
        <v>LO</v>
      </c>
      <c r="F4472" s="369">
        <f>VLOOKUP(C4472,METADATA!$A$5:$H$29,IF(E4472="HI",2,IF(E4472="LO",6,10))+IF(D4472=1,2,IF(D4472=7,1,(IF(WEEKDAY(B4472)=1,2,IF(WEEKDAY(B4472)=7,1,0))))))</f>
        <v>3</v>
      </c>
      <c r="G4472" s="369">
        <f>VLOOKUP(C4472,METADATA!$J$5:$Q$29,IF(E4472="HI",2,IF(E4472="LO",6,10))+IF(D4472=1,2,IF(D4472=7,1,(IF(WEEKDAY(B4472)=1,2,IF(WEEKDAY(B4472)=7,1,0))))))</f>
        <v>3</v>
      </c>
      <c r="H4472" s="370">
        <v>5732.8075561523438</v>
      </c>
      <c r="I4472" s="370">
        <v>1588.5474853515625</v>
      </c>
      <c r="M4472" s="371">
        <f t="shared" si="277"/>
        <v>5948.8289258554223</v>
      </c>
      <c r="N4472" s="329">
        <f t="shared" si="278"/>
        <v>0</v>
      </c>
      <c r="T4472" s="331">
        <v>0</v>
      </c>
      <c r="U4472" s="328">
        <f>VLOOKUP(C4472,METADATA!$J$5:$Q$29,IF(E4472="HI",2,IF(E4472="LO",6,10))+IF(T4472=1,2,IF(D4472=7,1,(IF(WEEKDAY(B4472)=1,2,IF(WEEKDAY(B4472)=7,1,0))))))</f>
        <v>3</v>
      </c>
      <c r="V4472" s="328">
        <f>VLOOKUP(C4472,METADATA!$A$5:$H$29,IF(E4472="HI",2,IF(E4472="LO",6,10))+IF(T4472=1,2,IF(D4472=7,1,(IF(WEEKDAY(B4472)=1,2,IF(WEEKDAY(B4472)=7,1,0))))))</f>
        <v>3</v>
      </c>
    </row>
    <row r="4473" spans="2:22">
      <c r="B4473" s="318">
        <f t="shared" si="279"/>
        <v>46299</v>
      </c>
      <c r="C4473" s="312">
        <v>5</v>
      </c>
      <c r="D4473" s="368">
        <f>IFERROR((INDEX(METADATA!$T$2:$T$20,MATCH(B4473,METADATA!$S$2:$S$20,0))),0)</f>
        <v>0</v>
      </c>
      <c r="E4473" s="312" t="str">
        <f t="shared" si="276"/>
        <v>LO</v>
      </c>
      <c r="F4473" s="369">
        <f>VLOOKUP(C4473,METADATA!$A$5:$H$29,IF(E4473="HI",2,IF(E4473="LO",6,10))+IF(D4473=1,2,IF(D4473=7,1,(IF(WEEKDAY(B4473)=1,2,IF(WEEKDAY(B4473)=7,1,0))))))</f>
        <v>3</v>
      </c>
      <c r="G4473" s="369">
        <f>VLOOKUP(C4473,METADATA!$J$5:$Q$29,IF(E4473="HI",2,IF(E4473="LO",6,10))+IF(D4473=1,2,IF(D4473=7,1,(IF(WEEKDAY(B4473)=1,2,IF(WEEKDAY(B4473)=7,1,0))))))</f>
        <v>3</v>
      </c>
      <c r="H4473" s="370">
        <v>5394.7574157714844</v>
      </c>
      <c r="I4473" s="370">
        <v>1473.6250305175781</v>
      </c>
      <c r="M4473" s="371">
        <f t="shared" si="277"/>
        <v>5592.4036250604586</v>
      </c>
      <c r="N4473" s="329">
        <f t="shared" si="278"/>
        <v>0</v>
      </c>
      <c r="T4473" s="331">
        <v>0</v>
      </c>
      <c r="U4473" s="328">
        <f>VLOOKUP(C4473,METADATA!$J$5:$Q$29,IF(E4473="HI",2,IF(E4473="LO",6,10))+IF(T4473=1,2,IF(D4473=7,1,(IF(WEEKDAY(B4473)=1,2,IF(WEEKDAY(B4473)=7,1,0))))))</f>
        <v>3</v>
      </c>
      <c r="V4473" s="328">
        <f>VLOOKUP(C4473,METADATA!$A$5:$H$29,IF(E4473="HI",2,IF(E4473="LO",6,10))+IF(T4473=1,2,IF(D4473=7,1,(IF(WEEKDAY(B4473)=1,2,IF(WEEKDAY(B4473)=7,1,0))))))</f>
        <v>3</v>
      </c>
    </row>
    <row r="4474" spans="2:22">
      <c r="B4474" s="318">
        <f t="shared" si="279"/>
        <v>46299</v>
      </c>
      <c r="C4474" s="312">
        <v>6</v>
      </c>
      <c r="D4474" s="368">
        <f>IFERROR((INDEX(METADATA!$T$2:$T$20,MATCH(B4474,METADATA!$S$2:$S$20,0))),0)</f>
        <v>0</v>
      </c>
      <c r="E4474" s="312" t="str">
        <f t="shared" si="276"/>
        <v>LO</v>
      </c>
      <c r="F4474" s="369">
        <f>VLOOKUP(C4474,METADATA!$A$5:$H$29,IF(E4474="HI",2,IF(E4474="LO",6,10))+IF(D4474=1,2,IF(D4474=7,1,(IF(WEEKDAY(B4474)=1,2,IF(WEEKDAY(B4474)=7,1,0))))))</f>
        <v>3</v>
      </c>
      <c r="G4474" s="369">
        <f>VLOOKUP(C4474,METADATA!$J$5:$Q$29,IF(E4474="HI",2,IF(E4474="LO",6,10))+IF(D4474=1,2,IF(D4474=7,1,(IF(WEEKDAY(B4474)=1,2,IF(WEEKDAY(B4474)=7,1,0))))))</f>
        <v>3</v>
      </c>
      <c r="H4474" s="370">
        <v>5243.7300109863281</v>
      </c>
      <c r="I4474" s="370">
        <v>1458.3574829101563</v>
      </c>
      <c r="M4474" s="371">
        <f t="shared" si="277"/>
        <v>5442.748476282798</v>
      </c>
      <c r="N4474" s="329">
        <f t="shared" si="278"/>
        <v>0</v>
      </c>
      <c r="T4474" s="331">
        <v>0</v>
      </c>
      <c r="U4474" s="328">
        <f>VLOOKUP(C4474,METADATA!$J$5:$Q$29,IF(E4474="HI",2,IF(E4474="LO",6,10))+IF(T4474=1,2,IF(D4474=7,1,(IF(WEEKDAY(B4474)=1,2,IF(WEEKDAY(B4474)=7,1,0))))))</f>
        <v>3</v>
      </c>
      <c r="V4474" s="328">
        <f>VLOOKUP(C4474,METADATA!$A$5:$H$29,IF(E4474="HI",2,IF(E4474="LO",6,10))+IF(T4474=1,2,IF(D4474=7,1,(IF(WEEKDAY(B4474)=1,2,IF(WEEKDAY(B4474)=7,1,0))))))</f>
        <v>3</v>
      </c>
    </row>
    <row r="4475" spans="2:22">
      <c r="B4475" s="318">
        <f t="shared" si="279"/>
        <v>46299</v>
      </c>
      <c r="C4475" s="312">
        <v>7</v>
      </c>
      <c r="D4475" s="368">
        <f>IFERROR((INDEX(METADATA!$T$2:$T$20,MATCH(B4475,METADATA!$S$2:$S$20,0))),0)</f>
        <v>0</v>
      </c>
      <c r="E4475" s="312" t="str">
        <f t="shared" si="276"/>
        <v>LO</v>
      </c>
      <c r="F4475" s="369">
        <f>VLOOKUP(C4475,METADATA!$A$5:$H$29,IF(E4475="HI",2,IF(E4475="LO",6,10))+IF(D4475=1,2,IF(D4475=7,1,(IF(WEEKDAY(B4475)=1,2,IF(WEEKDAY(B4475)=7,1,0))))))</f>
        <v>3</v>
      </c>
      <c r="G4475" s="369">
        <f>VLOOKUP(C4475,METADATA!$J$5:$Q$29,IF(E4475="HI",2,IF(E4475="LO",6,10))+IF(D4475=1,2,IF(D4475=7,1,(IF(WEEKDAY(B4475)=1,2,IF(WEEKDAY(B4475)=7,1,0))))))</f>
        <v>3</v>
      </c>
      <c r="H4475" s="370">
        <v>5216.125</v>
      </c>
      <c r="I4475" s="370">
        <v>1430.5674743652344</v>
      </c>
      <c r="M4475" s="371">
        <f t="shared" si="277"/>
        <v>5408.741379871728</v>
      </c>
      <c r="N4475" s="329">
        <f t="shared" si="278"/>
        <v>0</v>
      </c>
      <c r="T4475" s="331">
        <v>0</v>
      </c>
      <c r="U4475" s="328">
        <f>VLOOKUP(C4475,METADATA!$J$5:$Q$29,IF(E4475="HI",2,IF(E4475="LO",6,10))+IF(T4475=1,2,IF(D4475=7,1,(IF(WEEKDAY(B4475)=1,2,IF(WEEKDAY(B4475)=7,1,0))))))</f>
        <v>3</v>
      </c>
      <c r="V4475" s="328">
        <f>VLOOKUP(C4475,METADATA!$A$5:$H$29,IF(E4475="HI",2,IF(E4475="LO",6,10))+IF(T4475=1,2,IF(D4475=7,1,(IF(WEEKDAY(B4475)=1,2,IF(WEEKDAY(B4475)=7,1,0))))))</f>
        <v>3</v>
      </c>
    </row>
    <row r="4476" spans="2:22">
      <c r="B4476" s="318">
        <f t="shared" si="279"/>
        <v>46299</v>
      </c>
      <c r="C4476" s="312">
        <v>8</v>
      </c>
      <c r="D4476" s="368">
        <f>IFERROR((INDEX(METADATA!$T$2:$T$20,MATCH(B4476,METADATA!$S$2:$S$20,0))),0)</f>
        <v>0</v>
      </c>
      <c r="E4476" s="312" t="str">
        <f t="shared" si="276"/>
        <v>LO</v>
      </c>
      <c r="F4476" s="369">
        <f>VLOOKUP(C4476,METADATA!$A$5:$H$29,IF(E4476="HI",2,IF(E4476="LO",6,10))+IF(D4476=1,2,IF(D4476=7,1,(IF(WEEKDAY(B4476)=1,2,IF(WEEKDAY(B4476)=7,1,0))))))</f>
        <v>3</v>
      </c>
      <c r="G4476" s="369">
        <f>VLOOKUP(C4476,METADATA!$J$5:$Q$29,IF(E4476="HI",2,IF(E4476="LO",6,10))+IF(D4476=1,2,IF(D4476=7,1,(IF(WEEKDAY(B4476)=1,2,IF(WEEKDAY(B4476)=7,1,0))))))</f>
        <v>3</v>
      </c>
      <c r="H4476" s="370">
        <v>5050.3649597167969</v>
      </c>
      <c r="I4476" s="370">
        <v>1468.3000183105469</v>
      </c>
      <c r="M4476" s="371">
        <f t="shared" si="277"/>
        <v>5259.4763208998284</v>
      </c>
      <c r="N4476" s="329">
        <f t="shared" si="278"/>
        <v>0</v>
      </c>
      <c r="T4476" s="331">
        <v>0</v>
      </c>
      <c r="U4476" s="328">
        <f>VLOOKUP(C4476,METADATA!$J$5:$Q$29,IF(E4476="HI",2,IF(E4476="LO",6,10))+IF(T4476=1,2,IF(D4476=7,1,(IF(WEEKDAY(B4476)=1,2,IF(WEEKDAY(B4476)=7,1,0))))))</f>
        <v>3</v>
      </c>
      <c r="V4476" s="328">
        <f>VLOOKUP(C4476,METADATA!$A$5:$H$29,IF(E4476="HI",2,IF(E4476="LO",6,10))+IF(T4476=1,2,IF(D4476=7,1,(IF(WEEKDAY(B4476)=1,2,IF(WEEKDAY(B4476)=7,1,0))))))</f>
        <v>3</v>
      </c>
    </row>
    <row r="4477" spans="2:22">
      <c r="B4477" s="318">
        <f t="shared" si="279"/>
        <v>46299</v>
      </c>
      <c r="C4477" s="312">
        <v>9</v>
      </c>
      <c r="D4477" s="368">
        <f>IFERROR((INDEX(METADATA!$T$2:$T$20,MATCH(B4477,METADATA!$S$2:$S$20,0))),0)</f>
        <v>0</v>
      </c>
      <c r="E4477" s="312" t="str">
        <f t="shared" si="276"/>
        <v>LO</v>
      </c>
      <c r="F4477" s="369">
        <f>VLOOKUP(C4477,METADATA!$A$5:$H$29,IF(E4477="HI",2,IF(E4477="LO",6,10))+IF(D4477=1,2,IF(D4477=7,1,(IF(WEEKDAY(B4477)=1,2,IF(WEEKDAY(B4477)=7,1,0))))))</f>
        <v>3</v>
      </c>
      <c r="G4477" s="369">
        <f>VLOOKUP(C4477,METADATA!$J$5:$Q$29,IF(E4477="HI",2,IF(E4477="LO",6,10))+IF(D4477=1,2,IF(D4477=7,1,(IF(WEEKDAY(B4477)=1,2,IF(WEEKDAY(B4477)=7,1,0))))))</f>
        <v>3</v>
      </c>
      <c r="H4477" s="370">
        <v>4498.3424377441406</v>
      </c>
      <c r="I4477" s="370">
        <v>1568.3749694824219</v>
      </c>
      <c r="M4477" s="371">
        <f t="shared" si="277"/>
        <v>4763.914853574619</v>
      </c>
      <c r="N4477" s="329">
        <f t="shared" si="278"/>
        <v>218.87223815917969</v>
      </c>
      <c r="T4477" s="331">
        <v>0</v>
      </c>
      <c r="U4477" s="328">
        <f>VLOOKUP(C4477,METADATA!$J$5:$Q$29,IF(E4477="HI",2,IF(E4477="LO",6,10))+IF(T4477=1,2,IF(D4477=7,1,(IF(WEEKDAY(B4477)=1,2,IF(WEEKDAY(B4477)=7,1,0))))))</f>
        <v>3</v>
      </c>
      <c r="V4477" s="328">
        <f>VLOOKUP(C4477,METADATA!$A$5:$H$29,IF(E4477="HI",2,IF(E4477="LO",6,10))+IF(T4477=1,2,IF(D4477=7,1,(IF(WEEKDAY(B4477)=1,2,IF(WEEKDAY(B4477)=7,1,0))))))</f>
        <v>3</v>
      </c>
    </row>
    <row r="4478" spans="2:22">
      <c r="B4478" s="318">
        <f t="shared" si="279"/>
        <v>46299</v>
      </c>
      <c r="C4478" s="312">
        <v>10</v>
      </c>
      <c r="D4478" s="368">
        <f>IFERROR((INDEX(METADATA!$T$2:$T$20,MATCH(B4478,METADATA!$S$2:$S$20,0))),0)</f>
        <v>0</v>
      </c>
      <c r="E4478" s="312" t="str">
        <f t="shared" si="276"/>
        <v>LO</v>
      </c>
      <c r="F4478" s="369">
        <f>VLOOKUP(C4478,METADATA!$A$5:$H$29,IF(E4478="HI",2,IF(E4478="LO",6,10))+IF(D4478=1,2,IF(D4478=7,1,(IF(WEEKDAY(B4478)=1,2,IF(WEEKDAY(B4478)=7,1,0))))))</f>
        <v>3</v>
      </c>
      <c r="G4478" s="369">
        <f>VLOOKUP(C4478,METADATA!$J$5:$Q$29,IF(E4478="HI",2,IF(E4478="LO",6,10))+IF(D4478=1,2,IF(D4478=7,1,(IF(WEEKDAY(B4478)=1,2,IF(WEEKDAY(B4478)=7,1,0))))))</f>
        <v>3</v>
      </c>
      <c r="H4478" s="370">
        <v>4465.8724975585938</v>
      </c>
      <c r="I4478" s="370">
        <v>1709.2825317382813</v>
      </c>
      <c r="M4478" s="371">
        <f t="shared" si="277"/>
        <v>4781.8055102393973</v>
      </c>
      <c r="N4478" s="329">
        <f t="shared" si="278"/>
        <v>369.52078247070313</v>
      </c>
      <c r="T4478" s="331">
        <v>0</v>
      </c>
      <c r="U4478" s="328">
        <f>VLOOKUP(C4478,METADATA!$J$5:$Q$29,IF(E4478="HI",2,IF(E4478="LO",6,10))+IF(T4478=1,2,IF(D4478=7,1,(IF(WEEKDAY(B4478)=1,2,IF(WEEKDAY(B4478)=7,1,0))))))</f>
        <v>3</v>
      </c>
      <c r="V4478" s="328">
        <f>VLOOKUP(C4478,METADATA!$A$5:$H$29,IF(E4478="HI",2,IF(E4478="LO",6,10))+IF(T4478=1,2,IF(D4478=7,1,(IF(WEEKDAY(B4478)=1,2,IF(WEEKDAY(B4478)=7,1,0))))))</f>
        <v>3</v>
      </c>
    </row>
    <row r="4479" spans="2:22">
      <c r="B4479" s="318">
        <f t="shared" si="279"/>
        <v>46299</v>
      </c>
      <c r="C4479" s="312">
        <v>11</v>
      </c>
      <c r="D4479" s="368">
        <f>IFERROR((INDEX(METADATA!$T$2:$T$20,MATCH(B4479,METADATA!$S$2:$S$20,0))),0)</f>
        <v>0</v>
      </c>
      <c r="E4479" s="312" t="str">
        <f t="shared" si="276"/>
        <v>LO</v>
      </c>
      <c r="F4479" s="369">
        <f>VLOOKUP(C4479,METADATA!$A$5:$H$29,IF(E4479="HI",2,IF(E4479="LO",6,10))+IF(D4479=1,2,IF(D4479=7,1,(IF(WEEKDAY(B4479)=1,2,IF(WEEKDAY(B4479)=7,1,0))))))</f>
        <v>3</v>
      </c>
      <c r="G4479" s="369">
        <f>VLOOKUP(C4479,METADATA!$J$5:$Q$29,IF(E4479="HI",2,IF(E4479="LO",6,10))+IF(D4479=1,2,IF(D4479=7,1,(IF(WEEKDAY(B4479)=1,2,IF(WEEKDAY(B4479)=7,1,0))))))</f>
        <v>3</v>
      </c>
      <c r="H4479" s="370">
        <v>3714.47998046875</v>
      </c>
      <c r="I4479" s="370">
        <v>1638.0699768066406</v>
      </c>
      <c r="M4479" s="371">
        <f t="shared" si="277"/>
        <v>4059.6348079868503</v>
      </c>
      <c r="N4479" s="329">
        <f t="shared" si="278"/>
        <v>523.72598266601563</v>
      </c>
      <c r="T4479" s="331">
        <v>0</v>
      </c>
      <c r="U4479" s="328">
        <f>VLOOKUP(C4479,METADATA!$J$5:$Q$29,IF(E4479="HI",2,IF(E4479="LO",6,10))+IF(T4479=1,2,IF(D4479=7,1,(IF(WEEKDAY(B4479)=1,2,IF(WEEKDAY(B4479)=7,1,0))))))</f>
        <v>3</v>
      </c>
      <c r="V4479" s="328">
        <f>VLOOKUP(C4479,METADATA!$A$5:$H$29,IF(E4479="HI",2,IF(E4479="LO",6,10))+IF(T4479=1,2,IF(D4479=7,1,(IF(WEEKDAY(B4479)=1,2,IF(WEEKDAY(B4479)=7,1,0))))))</f>
        <v>3</v>
      </c>
    </row>
    <row r="4480" spans="2:22">
      <c r="B4480" s="318">
        <f t="shared" si="279"/>
        <v>46299</v>
      </c>
      <c r="C4480" s="312">
        <v>12</v>
      </c>
      <c r="D4480" s="368">
        <f>IFERROR((INDEX(METADATA!$T$2:$T$20,MATCH(B4480,METADATA!$S$2:$S$20,0))),0)</f>
        <v>0</v>
      </c>
      <c r="E4480" s="312" t="str">
        <f t="shared" si="276"/>
        <v>LO</v>
      </c>
      <c r="F4480" s="369">
        <f>VLOOKUP(C4480,METADATA!$A$5:$H$29,IF(E4480="HI",2,IF(E4480="LO",6,10))+IF(D4480=1,2,IF(D4480=7,1,(IF(WEEKDAY(B4480)=1,2,IF(WEEKDAY(B4480)=7,1,0))))))</f>
        <v>3</v>
      </c>
      <c r="G4480" s="369">
        <f>VLOOKUP(C4480,METADATA!$J$5:$Q$29,IF(E4480="HI",2,IF(E4480="LO",6,10))+IF(D4480=1,2,IF(D4480=7,1,(IF(WEEKDAY(B4480)=1,2,IF(WEEKDAY(B4480)=7,1,0))))))</f>
        <v>3</v>
      </c>
      <c r="H4480" s="370">
        <v>4262.2149658203125</v>
      </c>
      <c r="I4480" s="370">
        <v>1578.4574890136719</v>
      </c>
      <c r="M4480" s="371">
        <f t="shared" si="277"/>
        <v>4545.1077500413558</v>
      </c>
      <c r="N4480" s="329">
        <f t="shared" si="278"/>
        <v>299.79299926757813</v>
      </c>
      <c r="T4480" s="331">
        <v>0</v>
      </c>
      <c r="U4480" s="328">
        <f>VLOOKUP(C4480,METADATA!$J$5:$Q$29,IF(E4480="HI",2,IF(E4480="LO",6,10))+IF(T4480=1,2,IF(D4480=7,1,(IF(WEEKDAY(B4480)=1,2,IF(WEEKDAY(B4480)=7,1,0))))))</f>
        <v>3</v>
      </c>
      <c r="V4480" s="328">
        <f>VLOOKUP(C4480,METADATA!$A$5:$H$29,IF(E4480="HI",2,IF(E4480="LO",6,10))+IF(T4480=1,2,IF(D4480=7,1,(IF(WEEKDAY(B4480)=1,2,IF(WEEKDAY(B4480)=7,1,0))))))</f>
        <v>3</v>
      </c>
    </row>
    <row r="4481" spans="2:22">
      <c r="B4481" s="318">
        <f t="shared" si="279"/>
        <v>46299</v>
      </c>
      <c r="C4481" s="312">
        <v>13</v>
      </c>
      <c r="D4481" s="368">
        <f>IFERROR((INDEX(METADATA!$T$2:$T$20,MATCH(B4481,METADATA!$S$2:$S$20,0))),0)</f>
        <v>0</v>
      </c>
      <c r="E4481" s="312" t="str">
        <f t="shared" si="276"/>
        <v>LO</v>
      </c>
      <c r="F4481" s="369">
        <f>VLOOKUP(C4481,METADATA!$A$5:$H$29,IF(E4481="HI",2,IF(E4481="LO",6,10))+IF(D4481=1,2,IF(D4481=7,1,(IF(WEEKDAY(B4481)=1,2,IF(WEEKDAY(B4481)=7,1,0))))))</f>
        <v>3</v>
      </c>
      <c r="G4481" s="369">
        <f>VLOOKUP(C4481,METADATA!$J$5:$Q$29,IF(E4481="HI",2,IF(E4481="LO",6,10))+IF(D4481=1,2,IF(D4481=7,1,(IF(WEEKDAY(B4481)=1,2,IF(WEEKDAY(B4481)=7,1,0))))))</f>
        <v>3</v>
      </c>
      <c r="H4481" s="370">
        <v>4530.8849792480469</v>
      </c>
      <c r="I4481" s="370">
        <v>1591.7749938964844</v>
      </c>
      <c r="M4481" s="371">
        <f t="shared" si="277"/>
        <v>4802.3604952533215</v>
      </c>
      <c r="N4481" s="329">
        <f t="shared" si="278"/>
        <v>232.50950012207045</v>
      </c>
      <c r="T4481" s="331">
        <v>0</v>
      </c>
      <c r="U4481" s="328">
        <f>VLOOKUP(C4481,METADATA!$J$5:$Q$29,IF(E4481="HI",2,IF(E4481="LO",6,10))+IF(T4481=1,2,IF(D4481=7,1,(IF(WEEKDAY(B4481)=1,2,IF(WEEKDAY(B4481)=7,1,0))))))</f>
        <v>3</v>
      </c>
      <c r="V4481" s="328">
        <f>VLOOKUP(C4481,METADATA!$A$5:$H$29,IF(E4481="HI",2,IF(E4481="LO",6,10))+IF(T4481=1,2,IF(D4481=7,1,(IF(WEEKDAY(B4481)=1,2,IF(WEEKDAY(B4481)=7,1,0))))))</f>
        <v>3</v>
      </c>
    </row>
    <row r="4482" spans="2:22">
      <c r="B4482" s="318">
        <f t="shared" si="279"/>
        <v>46299</v>
      </c>
      <c r="C4482" s="312">
        <v>14</v>
      </c>
      <c r="D4482" s="368">
        <f>IFERROR((INDEX(METADATA!$T$2:$T$20,MATCH(B4482,METADATA!$S$2:$S$20,0))),0)</f>
        <v>0</v>
      </c>
      <c r="E4482" s="312" t="str">
        <f t="shared" si="276"/>
        <v>LO</v>
      </c>
      <c r="F4482" s="369">
        <f>VLOOKUP(C4482,METADATA!$A$5:$H$29,IF(E4482="HI",2,IF(E4482="LO",6,10))+IF(D4482=1,2,IF(D4482=7,1,(IF(WEEKDAY(B4482)=1,2,IF(WEEKDAY(B4482)=7,1,0))))))</f>
        <v>3</v>
      </c>
      <c r="G4482" s="369">
        <f>VLOOKUP(C4482,METADATA!$J$5:$Q$29,IF(E4482="HI",2,IF(E4482="LO",6,10))+IF(D4482=1,2,IF(D4482=7,1,(IF(WEEKDAY(B4482)=1,2,IF(WEEKDAY(B4482)=7,1,0))))))</f>
        <v>3</v>
      </c>
      <c r="H4482" s="370">
        <v>4505.6449584960938</v>
      </c>
      <c r="I4482" s="370">
        <v>1559.8075256347656</v>
      </c>
      <c r="M4482" s="371">
        <f t="shared" si="277"/>
        <v>4768.0012593379333</v>
      </c>
      <c r="N4482" s="329">
        <f t="shared" si="278"/>
        <v>208.11403808593764</v>
      </c>
      <c r="T4482" s="331">
        <v>0</v>
      </c>
      <c r="U4482" s="328">
        <f>VLOOKUP(C4482,METADATA!$J$5:$Q$29,IF(E4482="HI",2,IF(E4482="LO",6,10))+IF(T4482=1,2,IF(D4482=7,1,(IF(WEEKDAY(B4482)=1,2,IF(WEEKDAY(B4482)=7,1,0))))))</f>
        <v>3</v>
      </c>
      <c r="V4482" s="328">
        <f>VLOOKUP(C4482,METADATA!$A$5:$H$29,IF(E4482="HI",2,IF(E4482="LO",6,10))+IF(T4482=1,2,IF(D4482=7,1,(IF(WEEKDAY(B4482)=1,2,IF(WEEKDAY(B4482)=7,1,0))))))</f>
        <v>3</v>
      </c>
    </row>
    <row r="4483" spans="2:22">
      <c r="B4483" s="318">
        <f t="shared" si="279"/>
        <v>46299</v>
      </c>
      <c r="C4483" s="312">
        <v>15</v>
      </c>
      <c r="D4483" s="368">
        <f>IFERROR((INDEX(METADATA!$T$2:$T$20,MATCH(B4483,METADATA!$S$2:$S$20,0))),0)</f>
        <v>0</v>
      </c>
      <c r="E4483" s="312" t="str">
        <f t="shared" si="276"/>
        <v>LO</v>
      </c>
      <c r="F4483" s="369">
        <f>VLOOKUP(C4483,METADATA!$A$5:$H$29,IF(E4483="HI",2,IF(E4483="LO",6,10))+IF(D4483=1,2,IF(D4483=7,1,(IF(WEEKDAY(B4483)=1,2,IF(WEEKDAY(B4483)=7,1,0))))))</f>
        <v>3</v>
      </c>
      <c r="G4483" s="369">
        <f>VLOOKUP(C4483,METADATA!$J$5:$Q$29,IF(E4483="HI",2,IF(E4483="LO",6,10))+IF(D4483=1,2,IF(D4483=7,1,(IF(WEEKDAY(B4483)=1,2,IF(WEEKDAY(B4483)=7,1,0))))))</f>
        <v>3</v>
      </c>
      <c r="H4483" s="370">
        <v>4607.7599792480469</v>
      </c>
      <c r="I4483" s="370">
        <v>1684.0799865722656</v>
      </c>
      <c r="M4483" s="371">
        <f t="shared" si="277"/>
        <v>4905.8717296249406</v>
      </c>
      <c r="N4483" s="329">
        <f t="shared" si="278"/>
        <v>301.7519927978517</v>
      </c>
      <c r="T4483" s="331">
        <v>0</v>
      </c>
      <c r="U4483" s="328">
        <f>VLOOKUP(C4483,METADATA!$J$5:$Q$29,IF(E4483="HI",2,IF(E4483="LO",6,10))+IF(T4483=1,2,IF(D4483=7,1,(IF(WEEKDAY(B4483)=1,2,IF(WEEKDAY(B4483)=7,1,0))))))</f>
        <v>3</v>
      </c>
      <c r="V4483" s="328">
        <f>VLOOKUP(C4483,METADATA!$A$5:$H$29,IF(E4483="HI",2,IF(E4483="LO",6,10))+IF(T4483=1,2,IF(D4483=7,1,(IF(WEEKDAY(B4483)=1,2,IF(WEEKDAY(B4483)=7,1,0))))))</f>
        <v>3</v>
      </c>
    </row>
    <row r="4484" spans="2:22">
      <c r="B4484" s="318">
        <f t="shared" si="279"/>
        <v>46299</v>
      </c>
      <c r="C4484" s="312">
        <v>16</v>
      </c>
      <c r="D4484" s="368">
        <f>IFERROR((INDEX(METADATA!$T$2:$T$20,MATCH(B4484,METADATA!$S$2:$S$20,0))),0)</f>
        <v>0</v>
      </c>
      <c r="E4484" s="312" t="str">
        <f t="shared" ref="E4484:E4547" si="280">IF(B4484="","",IF(AND(MONTH(B4484)&gt;=MONTH($Z$9),MONTH(B4484)&lt;=MONTH($Z$11)),"HI","LO"))</f>
        <v>LO</v>
      </c>
      <c r="F4484" s="369">
        <f>VLOOKUP(C4484,METADATA!$A$5:$H$29,IF(E4484="HI",2,IF(E4484="LO",6,10))+IF(D4484=1,2,IF(D4484=7,1,(IF(WEEKDAY(B4484)=1,2,IF(WEEKDAY(B4484)=7,1,0))))))</f>
        <v>3</v>
      </c>
      <c r="G4484" s="369">
        <f>VLOOKUP(C4484,METADATA!$J$5:$Q$29,IF(E4484="HI",2,IF(E4484="LO",6,10))+IF(D4484=1,2,IF(D4484=7,1,(IF(WEEKDAY(B4484)=1,2,IF(WEEKDAY(B4484)=7,1,0))))))</f>
        <v>3</v>
      </c>
      <c r="H4484" s="370">
        <v>4654.2849731445313</v>
      </c>
      <c r="I4484" s="370">
        <v>1645.7049865722656</v>
      </c>
      <c r="M4484" s="371">
        <f t="shared" ref="M4484:M4547" si="281">SQRT(H4484^2+I4484^2)</f>
        <v>4936.6702861410349</v>
      </c>
      <c r="N4484" s="329">
        <f t="shared" ref="N4484:N4547" si="282">IF(H4484=0,0,(IF(I4484-(0.3*H4484)&lt;0,0,(I4484-(0.3*H4484)))))</f>
        <v>249.41949462890625</v>
      </c>
      <c r="T4484" s="331">
        <v>0</v>
      </c>
      <c r="U4484" s="328">
        <f>VLOOKUP(C4484,METADATA!$J$5:$Q$29,IF(E4484="HI",2,IF(E4484="LO",6,10))+IF(T4484=1,2,IF(D4484=7,1,(IF(WEEKDAY(B4484)=1,2,IF(WEEKDAY(B4484)=7,1,0))))))</f>
        <v>3</v>
      </c>
      <c r="V4484" s="328">
        <f>VLOOKUP(C4484,METADATA!$A$5:$H$29,IF(E4484="HI",2,IF(E4484="LO",6,10))+IF(T4484=1,2,IF(D4484=7,1,(IF(WEEKDAY(B4484)=1,2,IF(WEEKDAY(B4484)=7,1,0))))))</f>
        <v>3</v>
      </c>
    </row>
    <row r="4485" spans="2:22">
      <c r="B4485" s="318">
        <f t="shared" si="279"/>
        <v>46299</v>
      </c>
      <c r="C4485" s="312">
        <v>17</v>
      </c>
      <c r="D4485" s="368">
        <f>IFERROR((INDEX(METADATA!$T$2:$T$20,MATCH(B4485,METADATA!$S$2:$S$20,0))),0)</f>
        <v>0</v>
      </c>
      <c r="E4485" s="312" t="str">
        <f t="shared" si="280"/>
        <v>LO</v>
      </c>
      <c r="F4485" s="369">
        <f>VLOOKUP(C4485,METADATA!$A$5:$H$29,IF(E4485="HI",2,IF(E4485="LO",6,10))+IF(D4485=1,2,IF(D4485=7,1,(IF(WEEKDAY(B4485)=1,2,IF(WEEKDAY(B4485)=7,1,0))))))</f>
        <v>3</v>
      </c>
      <c r="G4485" s="369">
        <f>VLOOKUP(C4485,METADATA!$J$5:$Q$29,IF(E4485="HI",2,IF(E4485="LO",6,10))+IF(D4485=1,2,IF(D4485=7,1,(IF(WEEKDAY(B4485)=1,2,IF(WEEKDAY(B4485)=7,1,0))))))</f>
        <v>3</v>
      </c>
      <c r="H4485" s="370">
        <v>4665.9549865722656</v>
      </c>
      <c r="I4485" s="370">
        <v>1603.3675231933594</v>
      </c>
      <c r="M4485" s="371">
        <f t="shared" si="281"/>
        <v>4933.7534749062806</v>
      </c>
      <c r="N4485" s="329">
        <f t="shared" si="282"/>
        <v>203.58102722167973</v>
      </c>
      <c r="T4485" s="331">
        <v>0</v>
      </c>
      <c r="U4485" s="328">
        <f>VLOOKUP(C4485,METADATA!$J$5:$Q$29,IF(E4485="HI",2,IF(E4485="LO",6,10))+IF(T4485=1,2,IF(D4485=7,1,(IF(WEEKDAY(B4485)=1,2,IF(WEEKDAY(B4485)=7,1,0))))))</f>
        <v>3</v>
      </c>
      <c r="V4485" s="328">
        <f>VLOOKUP(C4485,METADATA!$A$5:$H$29,IF(E4485="HI",2,IF(E4485="LO",6,10))+IF(T4485=1,2,IF(D4485=7,1,(IF(WEEKDAY(B4485)=1,2,IF(WEEKDAY(B4485)=7,1,0))))))</f>
        <v>3</v>
      </c>
    </row>
    <row r="4486" spans="2:22">
      <c r="B4486" s="318">
        <f t="shared" si="279"/>
        <v>46299</v>
      </c>
      <c r="C4486" s="312">
        <v>18</v>
      </c>
      <c r="D4486" s="368">
        <f>IFERROR((INDEX(METADATA!$T$2:$T$20,MATCH(B4486,METADATA!$S$2:$S$20,0))),0)</f>
        <v>0</v>
      </c>
      <c r="E4486" s="312" t="str">
        <f t="shared" si="280"/>
        <v>LO</v>
      </c>
      <c r="F4486" s="369">
        <f>VLOOKUP(C4486,METADATA!$A$5:$H$29,IF(E4486="HI",2,IF(E4486="LO",6,10))+IF(D4486=1,2,IF(D4486=7,1,(IF(WEEKDAY(B4486)=1,2,IF(WEEKDAY(B4486)=7,1,0))))))</f>
        <v>2</v>
      </c>
      <c r="G4486" s="369">
        <f>VLOOKUP(C4486,METADATA!$J$5:$Q$29,IF(E4486="HI",2,IF(E4486="LO",6,10))+IF(D4486=1,2,IF(D4486=7,1,(IF(WEEKDAY(B4486)=1,2,IF(WEEKDAY(B4486)=7,1,0))))))</f>
        <v>2</v>
      </c>
      <c r="H4486" s="370">
        <v>4637.407470703125</v>
      </c>
      <c r="I4486" s="370">
        <v>1575.5024719238281</v>
      </c>
      <c r="M4486" s="371">
        <f t="shared" si="281"/>
        <v>4897.7296871480412</v>
      </c>
      <c r="N4486" s="329">
        <f t="shared" si="282"/>
        <v>184.28023071289067</v>
      </c>
      <c r="T4486" s="331">
        <v>0</v>
      </c>
      <c r="U4486" s="328">
        <f>VLOOKUP(C4486,METADATA!$J$5:$Q$29,IF(E4486="HI",2,IF(E4486="LO",6,10))+IF(T4486=1,2,IF(D4486=7,1,(IF(WEEKDAY(B4486)=1,2,IF(WEEKDAY(B4486)=7,1,0))))))</f>
        <v>2</v>
      </c>
      <c r="V4486" s="328">
        <f>VLOOKUP(C4486,METADATA!$A$5:$H$29,IF(E4486="HI",2,IF(E4486="LO",6,10))+IF(T4486=1,2,IF(D4486=7,1,(IF(WEEKDAY(B4486)=1,2,IF(WEEKDAY(B4486)=7,1,0))))))</f>
        <v>2</v>
      </c>
    </row>
    <row r="4487" spans="2:22">
      <c r="B4487" s="318">
        <f t="shared" si="279"/>
        <v>46299</v>
      </c>
      <c r="C4487" s="312">
        <v>19</v>
      </c>
      <c r="D4487" s="368">
        <f>IFERROR((INDEX(METADATA!$T$2:$T$20,MATCH(B4487,METADATA!$S$2:$S$20,0))),0)</f>
        <v>0</v>
      </c>
      <c r="E4487" s="312" t="str">
        <f t="shared" si="280"/>
        <v>LO</v>
      </c>
      <c r="F4487" s="369">
        <f>VLOOKUP(C4487,METADATA!$A$5:$H$29,IF(E4487="HI",2,IF(E4487="LO",6,10))+IF(D4487=1,2,IF(D4487=7,1,(IF(WEEKDAY(B4487)=1,2,IF(WEEKDAY(B4487)=7,1,0))))))</f>
        <v>2</v>
      </c>
      <c r="G4487" s="369">
        <f>VLOOKUP(C4487,METADATA!$J$5:$Q$29,IF(E4487="HI",2,IF(E4487="LO",6,10))+IF(D4487=1,2,IF(D4487=7,1,(IF(WEEKDAY(B4487)=1,2,IF(WEEKDAY(B4487)=7,1,0))))))</f>
        <v>2</v>
      </c>
      <c r="H4487" s="370">
        <v>4660.2699279785156</v>
      </c>
      <c r="I4487" s="370">
        <v>1541.5199890136719</v>
      </c>
      <c r="M4487" s="371">
        <f t="shared" si="281"/>
        <v>4908.604656941684</v>
      </c>
      <c r="N4487" s="329">
        <f t="shared" si="282"/>
        <v>143.43901062011719</v>
      </c>
      <c r="T4487" s="331">
        <v>0</v>
      </c>
      <c r="U4487" s="328">
        <f>VLOOKUP(C4487,METADATA!$J$5:$Q$29,IF(E4487="HI",2,IF(E4487="LO",6,10))+IF(T4487=1,2,IF(D4487=7,1,(IF(WEEKDAY(B4487)=1,2,IF(WEEKDAY(B4487)=7,1,0))))))</f>
        <v>2</v>
      </c>
      <c r="V4487" s="328">
        <f>VLOOKUP(C4487,METADATA!$A$5:$H$29,IF(E4487="HI",2,IF(E4487="LO",6,10))+IF(T4487=1,2,IF(D4487=7,1,(IF(WEEKDAY(B4487)=1,2,IF(WEEKDAY(B4487)=7,1,0))))))</f>
        <v>2</v>
      </c>
    </row>
    <row r="4488" spans="2:22">
      <c r="B4488" s="318">
        <f t="shared" si="279"/>
        <v>46299</v>
      </c>
      <c r="C4488" s="312">
        <v>20</v>
      </c>
      <c r="D4488" s="368">
        <f>IFERROR((INDEX(METADATA!$T$2:$T$20,MATCH(B4488,METADATA!$S$2:$S$20,0))),0)</f>
        <v>0</v>
      </c>
      <c r="E4488" s="312" t="str">
        <f t="shared" si="280"/>
        <v>LO</v>
      </c>
      <c r="F4488" s="369">
        <f>VLOOKUP(C4488,METADATA!$A$5:$H$29,IF(E4488="HI",2,IF(E4488="LO",6,10))+IF(D4488=1,2,IF(D4488=7,1,(IF(WEEKDAY(B4488)=1,2,IF(WEEKDAY(B4488)=7,1,0))))))</f>
        <v>3</v>
      </c>
      <c r="G4488" s="369">
        <f>VLOOKUP(C4488,METADATA!$J$5:$Q$29,IF(E4488="HI",2,IF(E4488="LO",6,10))+IF(D4488=1,2,IF(D4488=7,1,(IF(WEEKDAY(B4488)=1,2,IF(WEEKDAY(B4488)=7,1,0))))))</f>
        <v>3</v>
      </c>
      <c r="H4488" s="370">
        <v>4565.8948974609375</v>
      </c>
      <c r="I4488" s="370">
        <v>1552.7525024414063</v>
      </c>
      <c r="M4488" s="371">
        <f t="shared" si="281"/>
        <v>4822.7001304764817</v>
      </c>
      <c r="N4488" s="329">
        <f t="shared" si="282"/>
        <v>182.98403320312514</v>
      </c>
      <c r="T4488" s="331">
        <v>0</v>
      </c>
      <c r="U4488" s="328">
        <f>VLOOKUP(C4488,METADATA!$J$5:$Q$29,IF(E4488="HI",2,IF(E4488="LO",6,10))+IF(T4488=1,2,IF(D4488=7,1,(IF(WEEKDAY(B4488)=1,2,IF(WEEKDAY(B4488)=7,1,0))))))</f>
        <v>3</v>
      </c>
      <c r="V4488" s="328">
        <f>VLOOKUP(C4488,METADATA!$A$5:$H$29,IF(E4488="HI",2,IF(E4488="LO",6,10))+IF(T4488=1,2,IF(D4488=7,1,(IF(WEEKDAY(B4488)=1,2,IF(WEEKDAY(B4488)=7,1,0))))))</f>
        <v>3</v>
      </c>
    </row>
    <row r="4489" spans="2:22">
      <c r="B4489" s="318">
        <f t="shared" si="279"/>
        <v>46299</v>
      </c>
      <c r="C4489" s="312">
        <v>21</v>
      </c>
      <c r="D4489" s="368">
        <f>IFERROR((INDEX(METADATA!$T$2:$T$20,MATCH(B4489,METADATA!$S$2:$S$20,0))),0)</f>
        <v>0</v>
      </c>
      <c r="E4489" s="312" t="str">
        <f t="shared" si="280"/>
        <v>LO</v>
      </c>
      <c r="F4489" s="369">
        <f>VLOOKUP(C4489,METADATA!$A$5:$H$29,IF(E4489="HI",2,IF(E4489="LO",6,10))+IF(D4489=1,2,IF(D4489=7,1,(IF(WEEKDAY(B4489)=1,2,IF(WEEKDAY(B4489)=7,1,0))))))</f>
        <v>3</v>
      </c>
      <c r="G4489" s="369">
        <f>VLOOKUP(C4489,METADATA!$J$5:$Q$29,IF(E4489="HI",2,IF(E4489="LO",6,10))+IF(D4489=1,2,IF(D4489=7,1,(IF(WEEKDAY(B4489)=1,2,IF(WEEKDAY(B4489)=7,1,0))))))</f>
        <v>3</v>
      </c>
      <c r="H4489" s="370">
        <v>3549.2749328613281</v>
      </c>
      <c r="I4489" s="370">
        <v>1502.3500061035156</v>
      </c>
      <c r="M4489" s="371">
        <f t="shared" si="281"/>
        <v>3854.1416800471952</v>
      </c>
      <c r="N4489" s="329">
        <f t="shared" si="282"/>
        <v>437.56752624511728</v>
      </c>
      <c r="T4489" s="331">
        <v>0</v>
      </c>
      <c r="U4489" s="328">
        <f>VLOOKUP(C4489,METADATA!$J$5:$Q$29,IF(E4489="HI",2,IF(E4489="LO",6,10))+IF(T4489=1,2,IF(D4489=7,1,(IF(WEEKDAY(B4489)=1,2,IF(WEEKDAY(B4489)=7,1,0))))))</f>
        <v>3</v>
      </c>
      <c r="V4489" s="328">
        <f>VLOOKUP(C4489,METADATA!$A$5:$H$29,IF(E4489="HI",2,IF(E4489="LO",6,10))+IF(T4489=1,2,IF(D4489=7,1,(IF(WEEKDAY(B4489)=1,2,IF(WEEKDAY(B4489)=7,1,0))))))</f>
        <v>3</v>
      </c>
    </row>
    <row r="4490" spans="2:22">
      <c r="B4490" s="318">
        <f t="shared" si="279"/>
        <v>46299</v>
      </c>
      <c r="C4490" s="312">
        <v>22</v>
      </c>
      <c r="D4490" s="368">
        <f>IFERROR((INDEX(METADATA!$T$2:$T$20,MATCH(B4490,METADATA!$S$2:$S$20,0))),0)</f>
        <v>0</v>
      </c>
      <c r="E4490" s="312" t="str">
        <f t="shared" si="280"/>
        <v>LO</v>
      </c>
      <c r="F4490" s="369">
        <f>VLOOKUP(C4490,METADATA!$A$5:$H$29,IF(E4490="HI",2,IF(E4490="LO",6,10))+IF(D4490=1,2,IF(D4490=7,1,(IF(WEEKDAY(B4490)=1,2,IF(WEEKDAY(B4490)=7,1,0))))))</f>
        <v>3</v>
      </c>
      <c r="G4490" s="369">
        <f>VLOOKUP(C4490,METADATA!$J$5:$Q$29,IF(E4490="HI",2,IF(E4490="LO",6,10))+IF(D4490=1,2,IF(D4490=7,1,(IF(WEEKDAY(B4490)=1,2,IF(WEEKDAY(B4490)=7,1,0))))))</f>
        <v>3</v>
      </c>
      <c r="H4490" s="370">
        <v>3504.5299377441406</v>
      </c>
      <c r="I4490" s="370">
        <v>1459.1524963378906</v>
      </c>
      <c r="M4490" s="371">
        <f t="shared" si="281"/>
        <v>3796.1633384397524</v>
      </c>
      <c r="N4490" s="329">
        <f t="shared" si="282"/>
        <v>407.79351501464839</v>
      </c>
      <c r="T4490" s="331">
        <v>0</v>
      </c>
      <c r="U4490" s="328">
        <f>VLOOKUP(C4490,METADATA!$J$5:$Q$29,IF(E4490="HI",2,IF(E4490="LO",6,10))+IF(T4490=1,2,IF(D4490=7,1,(IF(WEEKDAY(B4490)=1,2,IF(WEEKDAY(B4490)=7,1,0))))))</f>
        <v>3</v>
      </c>
      <c r="V4490" s="328">
        <f>VLOOKUP(C4490,METADATA!$A$5:$H$29,IF(E4490="HI",2,IF(E4490="LO",6,10))+IF(T4490=1,2,IF(D4490=7,1,(IF(WEEKDAY(B4490)=1,2,IF(WEEKDAY(B4490)=7,1,0))))))</f>
        <v>3</v>
      </c>
    </row>
    <row r="4491" spans="2:22">
      <c r="B4491" s="318">
        <f t="shared" si="279"/>
        <v>46299</v>
      </c>
      <c r="C4491" s="312">
        <v>23</v>
      </c>
      <c r="D4491" s="368">
        <f>IFERROR((INDEX(METADATA!$T$2:$T$20,MATCH(B4491,METADATA!$S$2:$S$20,0))),0)</f>
        <v>0</v>
      </c>
      <c r="E4491" s="312" t="str">
        <f t="shared" si="280"/>
        <v>LO</v>
      </c>
      <c r="F4491" s="369">
        <f>VLOOKUP(C4491,METADATA!$A$5:$H$29,IF(E4491="HI",2,IF(E4491="LO",6,10))+IF(D4491=1,2,IF(D4491=7,1,(IF(WEEKDAY(B4491)=1,2,IF(WEEKDAY(B4491)=7,1,0))))))</f>
        <v>3</v>
      </c>
      <c r="G4491" s="369">
        <f>VLOOKUP(C4491,METADATA!$J$5:$Q$29,IF(E4491="HI",2,IF(E4491="LO",6,10))+IF(D4491=1,2,IF(D4491=7,1,(IF(WEEKDAY(B4491)=1,2,IF(WEEKDAY(B4491)=7,1,0))))))</f>
        <v>3</v>
      </c>
      <c r="H4491" s="370">
        <v>4920.0149841308594</v>
      </c>
      <c r="I4491" s="370">
        <v>1569.7449951171875</v>
      </c>
      <c r="M4491" s="371">
        <f t="shared" si="281"/>
        <v>5164.3631547140094</v>
      </c>
      <c r="N4491" s="329">
        <f t="shared" si="282"/>
        <v>93.740499877929778</v>
      </c>
      <c r="T4491" s="331">
        <v>0</v>
      </c>
      <c r="U4491" s="328">
        <f>VLOOKUP(C4491,METADATA!$J$5:$Q$29,IF(E4491="HI",2,IF(E4491="LO",6,10))+IF(T4491=1,2,IF(D4491=7,1,(IF(WEEKDAY(B4491)=1,2,IF(WEEKDAY(B4491)=7,1,0))))))</f>
        <v>3</v>
      </c>
      <c r="V4491" s="328">
        <f>VLOOKUP(C4491,METADATA!$A$5:$H$29,IF(E4491="HI",2,IF(E4491="LO",6,10))+IF(T4491=1,2,IF(D4491=7,1,(IF(WEEKDAY(B4491)=1,2,IF(WEEKDAY(B4491)=7,1,0))))))</f>
        <v>3</v>
      </c>
    </row>
    <row r="4492" spans="2:22">
      <c r="B4492" s="318">
        <f t="shared" si="279"/>
        <v>46300</v>
      </c>
      <c r="C4492" s="312">
        <v>0</v>
      </c>
      <c r="D4492" s="368">
        <f>IFERROR((INDEX(METADATA!$T$2:$T$20,MATCH(B4492,METADATA!$S$2:$S$20,0))),0)</f>
        <v>0</v>
      </c>
      <c r="E4492" s="312" t="str">
        <f t="shared" si="280"/>
        <v>LO</v>
      </c>
      <c r="F4492" s="369">
        <f>VLOOKUP(C4492,METADATA!$A$5:$H$29,IF(E4492="HI",2,IF(E4492="LO",6,10))+IF(D4492=1,2,IF(D4492=7,1,(IF(WEEKDAY(B4492)=1,2,IF(WEEKDAY(B4492)=7,1,0))))))</f>
        <v>3</v>
      </c>
      <c r="G4492" s="369">
        <f>VLOOKUP(C4492,METADATA!$J$5:$Q$29,IF(E4492="HI",2,IF(E4492="LO",6,10))+IF(D4492=1,2,IF(D4492=7,1,(IF(WEEKDAY(B4492)=1,2,IF(WEEKDAY(B4492)=7,1,0))))))</f>
        <v>3</v>
      </c>
      <c r="H4492" s="370">
        <v>8259.6001586914063</v>
      </c>
      <c r="I4492" s="370">
        <v>2143.10498046875</v>
      </c>
      <c r="M4492" s="371">
        <f t="shared" si="281"/>
        <v>8533.1057498876144</v>
      </c>
      <c r="N4492" s="329">
        <f t="shared" si="282"/>
        <v>0</v>
      </c>
      <c r="T4492" s="331">
        <v>0</v>
      </c>
      <c r="U4492" s="328">
        <f>VLOOKUP(C4492,METADATA!$J$5:$Q$29,IF(E4492="HI",2,IF(E4492="LO",6,10))+IF(T4492=1,2,IF(D4492=7,1,(IF(WEEKDAY(B4492)=1,2,IF(WEEKDAY(B4492)=7,1,0))))))</f>
        <v>3</v>
      </c>
      <c r="V4492" s="328">
        <f>VLOOKUP(C4492,METADATA!$A$5:$H$29,IF(E4492="HI",2,IF(E4492="LO",6,10))+IF(T4492=1,2,IF(D4492=7,1,(IF(WEEKDAY(B4492)=1,2,IF(WEEKDAY(B4492)=7,1,0))))))</f>
        <v>3</v>
      </c>
    </row>
    <row r="4493" spans="2:22">
      <c r="B4493" s="318">
        <f t="shared" si="279"/>
        <v>46300</v>
      </c>
      <c r="C4493" s="312">
        <v>1</v>
      </c>
      <c r="D4493" s="368">
        <f>IFERROR((INDEX(METADATA!$T$2:$T$20,MATCH(B4493,METADATA!$S$2:$S$20,0))),0)</f>
        <v>0</v>
      </c>
      <c r="E4493" s="312" t="str">
        <f t="shared" si="280"/>
        <v>LO</v>
      </c>
      <c r="F4493" s="369">
        <f>VLOOKUP(C4493,METADATA!$A$5:$H$29,IF(E4493="HI",2,IF(E4493="LO",6,10))+IF(D4493=1,2,IF(D4493=7,1,(IF(WEEKDAY(B4493)=1,2,IF(WEEKDAY(B4493)=7,1,0))))))</f>
        <v>3</v>
      </c>
      <c r="G4493" s="369">
        <f>VLOOKUP(C4493,METADATA!$J$5:$Q$29,IF(E4493="HI",2,IF(E4493="LO",6,10))+IF(D4493=1,2,IF(D4493=7,1,(IF(WEEKDAY(B4493)=1,2,IF(WEEKDAY(B4493)=7,1,0))))))</f>
        <v>3</v>
      </c>
      <c r="H4493" s="370">
        <v>11593.709716796875</v>
      </c>
      <c r="I4493" s="370">
        <v>3484.0525207519531</v>
      </c>
      <c r="M4493" s="371">
        <f t="shared" si="281"/>
        <v>12105.896371797849</v>
      </c>
      <c r="N4493" s="329">
        <f t="shared" si="282"/>
        <v>5.939605712890625</v>
      </c>
      <c r="T4493" s="331">
        <v>0</v>
      </c>
      <c r="U4493" s="328">
        <f>VLOOKUP(C4493,METADATA!$J$5:$Q$29,IF(E4493="HI",2,IF(E4493="LO",6,10))+IF(T4493=1,2,IF(D4493=7,1,(IF(WEEKDAY(B4493)=1,2,IF(WEEKDAY(B4493)=7,1,0))))))</f>
        <v>3</v>
      </c>
      <c r="V4493" s="328">
        <f>VLOOKUP(C4493,METADATA!$A$5:$H$29,IF(E4493="HI",2,IF(E4493="LO",6,10))+IF(T4493=1,2,IF(D4493=7,1,(IF(WEEKDAY(B4493)=1,2,IF(WEEKDAY(B4493)=7,1,0))))))</f>
        <v>3</v>
      </c>
    </row>
    <row r="4494" spans="2:22">
      <c r="B4494" s="318">
        <f t="shared" si="279"/>
        <v>46300</v>
      </c>
      <c r="C4494" s="312">
        <v>2</v>
      </c>
      <c r="D4494" s="368">
        <f>IFERROR((INDEX(METADATA!$T$2:$T$20,MATCH(B4494,METADATA!$S$2:$S$20,0))),0)</f>
        <v>0</v>
      </c>
      <c r="E4494" s="312" t="str">
        <f t="shared" si="280"/>
        <v>LO</v>
      </c>
      <c r="F4494" s="369">
        <f>VLOOKUP(C4494,METADATA!$A$5:$H$29,IF(E4494="HI",2,IF(E4494="LO",6,10))+IF(D4494=1,2,IF(D4494=7,1,(IF(WEEKDAY(B4494)=1,2,IF(WEEKDAY(B4494)=7,1,0))))))</f>
        <v>3</v>
      </c>
      <c r="G4494" s="369">
        <f>VLOOKUP(C4494,METADATA!$J$5:$Q$29,IF(E4494="HI",2,IF(E4494="LO",6,10))+IF(D4494=1,2,IF(D4494=7,1,(IF(WEEKDAY(B4494)=1,2,IF(WEEKDAY(B4494)=7,1,0))))))</f>
        <v>3</v>
      </c>
      <c r="H4494" s="370">
        <v>12649.175048828125</v>
      </c>
      <c r="I4494" s="370">
        <v>3944.614990234375</v>
      </c>
      <c r="M4494" s="371">
        <f t="shared" si="281"/>
        <v>13249.96667305536</v>
      </c>
      <c r="N4494" s="329">
        <f t="shared" si="282"/>
        <v>149.86247558593777</v>
      </c>
      <c r="T4494" s="331">
        <v>0</v>
      </c>
      <c r="U4494" s="328">
        <f>VLOOKUP(C4494,METADATA!$J$5:$Q$29,IF(E4494="HI",2,IF(E4494="LO",6,10))+IF(T4494=1,2,IF(D4494=7,1,(IF(WEEKDAY(B4494)=1,2,IF(WEEKDAY(B4494)=7,1,0))))))</f>
        <v>3</v>
      </c>
      <c r="V4494" s="328">
        <f>VLOOKUP(C4494,METADATA!$A$5:$H$29,IF(E4494="HI",2,IF(E4494="LO",6,10))+IF(T4494=1,2,IF(D4494=7,1,(IF(WEEKDAY(B4494)=1,2,IF(WEEKDAY(B4494)=7,1,0))))))</f>
        <v>3</v>
      </c>
    </row>
    <row r="4495" spans="2:22">
      <c r="B4495" s="318">
        <f t="shared" si="279"/>
        <v>46300</v>
      </c>
      <c r="C4495" s="312">
        <v>3</v>
      </c>
      <c r="D4495" s="368">
        <f>IFERROR((INDEX(METADATA!$T$2:$T$20,MATCH(B4495,METADATA!$S$2:$S$20,0))),0)</f>
        <v>0</v>
      </c>
      <c r="E4495" s="312" t="str">
        <f t="shared" si="280"/>
        <v>LO</v>
      </c>
      <c r="F4495" s="369">
        <f>VLOOKUP(C4495,METADATA!$A$5:$H$29,IF(E4495="HI",2,IF(E4495="LO",6,10))+IF(D4495=1,2,IF(D4495=7,1,(IF(WEEKDAY(B4495)=1,2,IF(WEEKDAY(B4495)=7,1,0))))))</f>
        <v>3</v>
      </c>
      <c r="G4495" s="369">
        <f>VLOOKUP(C4495,METADATA!$J$5:$Q$29,IF(E4495="HI",2,IF(E4495="LO",6,10))+IF(D4495=1,2,IF(D4495=7,1,(IF(WEEKDAY(B4495)=1,2,IF(WEEKDAY(B4495)=7,1,0))))))</f>
        <v>3</v>
      </c>
      <c r="H4495" s="370">
        <v>12516.275207519531</v>
      </c>
      <c r="I4495" s="370">
        <v>3812.5649719238281</v>
      </c>
      <c r="M4495" s="371">
        <f t="shared" si="281"/>
        <v>13084.066521365161</v>
      </c>
      <c r="N4495" s="329">
        <f t="shared" si="282"/>
        <v>57.682409667968841</v>
      </c>
      <c r="T4495" s="331">
        <v>0</v>
      </c>
      <c r="U4495" s="328">
        <f>VLOOKUP(C4495,METADATA!$J$5:$Q$29,IF(E4495="HI",2,IF(E4495="LO",6,10))+IF(T4495=1,2,IF(D4495=7,1,(IF(WEEKDAY(B4495)=1,2,IF(WEEKDAY(B4495)=7,1,0))))))</f>
        <v>3</v>
      </c>
      <c r="V4495" s="328">
        <f>VLOOKUP(C4495,METADATA!$A$5:$H$29,IF(E4495="HI",2,IF(E4495="LO",6,10))+IF(T4495=1,2,IF(D4495=7,1,(IF(WEEKDAY(B4495)=1,2,IF(WEEKDAY(B4495)=7,1,0))))))</f>
        <v>3</v>
      </c>
    </row>
    <row r="4496" spans="2:22">
      <c r="B4496" s="318">
        <f t="shared" si="279"/>
        <v>46300</v>
      </c>
      <c r="C4496" s="312">
        <v>4</v>
      </c>
      <c r="D4496" s="368">
        <f>IFERROR((INDEX(METADATA!$T$2:$T$20,MATCH(B4496,METADATA!$S$2:$S$20,0))),0)</f>
        <v>0</v>
      </c>
      <c r="E4496" s="312" t="str">
        <f t="shared" si="280"/>
        <v>LO</v>
      </c>
      <c r="F4496" s="369">
        <f>VLOOKUP(C4496,METADATA!$A$5:$H$29,IF(E4496="HI",2,IF(E4496="LO",6,10))+IF(D4496=1,2,IF(D4496=7,1,(IF(WEEKDAY(B4496)=1,2,IF(WEEKDAY(B4496)=7,1,0))))))</f>
        <v>3</v>
      </c>
      <c r="G4496" s="369">
        <f>VLOOKUP(C4496,METADATA!$J$5:$Q$29,IF(E4496="HI",2,IF(E4496="LO",6,10))+IF(D4496=1,2,IF(D4496=7,1,(IF(WEEKDAY(B4496)=1,2,IF(WEEKDAY(B4496)=7,1,0))))))</f>
        <v>3</v>
      </c>
      <c r="H4496" s="370">
        <v>10984.124877929688</v>
      </c>
      <c r="I4496" s="370">
        <v>3012.0025024414063</v>
      </c>
      <c r="M4496" s="371">
        <f t="shared" si="281"/>
        <v>11389.607473862616</v>
      </c>
      <c r="N4496" s="329">
        <f t="shared" si="282"/>
        <v>0</v>
      </c>
      <c r="T4496" s="331">
        <v>0</v>
      </c>
      <c r="U4496" s="328">
        <f>VLOOKUP(C4496,METADATA!$J$5:$Q$29,IF(E4496="HI",2,IF(E4496="LO",6,10))+IF(T4496=1,2,IF(D4496=7,1,(IF(WEEKDAY(B4496)=1,2,IF(WEEKDAY(B4496)=7,1,0))))))</f>
        <v>3</v>
      </c>
      <c r="V4496" s="328">
        <f>VLOOKUP(C4496,METADATA!$A$5:$H$29,IF(E4496="HI",2,IF(E4496="LO",6,10))+IF(T4496=1,2,IF(D4496=7,1,(IF(WEEKDAY(B4496)=1,2,IF(WEEKDAY(B4496)=7,1,0))))))</f>
        <v>3</v>
      </c>
    </row>
    <row r="4497" spans="2:22">
      <c r="B4497" s="318">
        <f t="shared" si="279"/>
        <v>46300</v>
      </c>
      <c r="C4497" s="312">
        <v>5</v>
      </c>
      <c r="D4497" s="368">
        <f>IFERROR((INDEX(METADATA!$T$2:$T$20,MATCH(B4497,METADATA!$S$2:$S$20,0))),0)</f>
        <v>0</v>
      </c>
      <c r="E4497" s="312" t="str">
        <f t="shared" si="280"/>
        <v>LO</v>
      </c>
      <c r="F4497" s="369">
        <f>VLOOKUP(C4497,METADATA!$A$5:$H$29,IF(E4497="HI",2,IF(E4497="LO",6,10))+IF(D4497=1,2,IF(D4497=7,1,(IF(WEEKDAY(B4497)=1,2,IF(WEEKDAY(B4497)=7,1,0))))))</f>
        <v>3</v>
      </c>
      <c r="G4497" s="369">
        <f>VLOOKUP(C4497,METADATA!$J$5:$Q$29,IF(E4497="HI",2,IF(E4497="LO",6,10))+IF(D4497=1,2,IF(D4497=7,1,(IF(WEEKDAY(B4497)=1,2,IF(WEEKDAY(B4497)=7,1,0))))))</f>
        <v>3</v>
      </c>
      <c r="H4497" s="370">
        <v>8535.6498413085938</v>
      </c>
      <c r="I4497" s="370">
        <v>2077.3925476074219</v>
      </c>
      <c r="M4497" s="371">
        <f t="shared" si="281"/>
        <v>8784.8095033578429</v>
      </c>
      <c r="N4497" s="329">
        <f t="shared" si="282"/>
        <v>0</v>
      </c>
      <c r="T4497" s="331">
        <v>0</v>
      </c>
      <c r="U4497" s="328">
        <f>VLOOKUP(C4497,METADATA!$J$5:$Q$29,IF(E4497="HI",2,IF(E4497="LO",6,10))+IF(T4497=1,2,IF(D4497=7,1,(IF(WEEKDAY(B4497)=1,2,IF(WEEKDAY(B4497)=7,1,0))))))</f>
        <v>3</v>
      </c>
      <c r="V4497" s="328">
        <f>VLOOKUP(C4497,METADATA!$A$5:$H$29,IF(E4497="HI",2,IF(E4497="LO",6,10))+IF(T4497=1,2,IF(D4497=7,1,(IF(WEEKDAY(B4497)=1,2,IF(WEEKDAY(B4497)=7,1,0))))))</f>
        <v>3</v>
      </c>
    </row>
    <row r="4498" spans="2:22">
      <c r="B4498" s="318">
        <f t="shared" si="279"/>
        <v>46300</v>
      </c>
      <c r="C4498" s="312">
        <v>6</v>
      </c>
      <c r="D4498" s="368">
        <f>IFERROR((INDEX(METADATA!$T$2:$T$20,MATCH(B4498,METADATA!$S$2:$S$20,0))),0)</f>
        <v>0</v>
      </c>
      <c r="E4498" s="312" t="str">
        <f t="shared" si="280"/>
        <v>LO</v>
      </c>
      <c r="F4498" s="369">
        <f>VLOOKUP(C4498,METADATA!$A$5:$H$29,IF(E4498="HI",2,IF(E4498="LO",6,10))+IF(D4498=1,2,IF(D4498=7,1,(IF(WEEKDAY(B4498)=1,2,IF(WEEKDAY(B4498)=7,1,0))))))</f>
        <v>2</v>
      </c>
      <c r="G4498" s="369">
        <f>VLOOKUP(C4498,METADATA!$J$5:$Q$29,IF(E4498="HI",2,IF(E4498="LO",6,10))+IF(D4498=1,2,IF(D4498=7,1,(IF(WEEKDAY(B4498)=1,2,IF(WEEKDAY(B4498)=7,1,0))))))</f>
        <v>2</v>
      </c>
      <c r="H4498" s="370">
        <v>6100.7501220703125</v>
      </c>
      <c r="I4498" s="370">
        <v>1621.2225036621094</v>
      </c>
      <c r="M4498" s="371">
        <f t="shared" si="281"/>
        <v>6312.488768965959</v>
      </c>
      <c r="N4498" s="329">
        <f t="shared" si="282"/>
        <v>0</v>
      </c>
      <c r="T4498" s="331">
        <v>0</v>
      </c>
      <c r="U4498" s="328">
        <f>VLOOKUP(C4498,METADATA!$J$5:$Q$29,IF(E4498="HI",2,IF(E4498="LO",6,10))+IF(T4498=1,2,IF(D4498=7,1,(IF(WEEKDAY(B4498)=1,2,IF(WEEKDAY(B4498)=7,1,0))))))</f>
        <v>2</v>
      </c>
      <c r="V4498" s="328">
        <f>VLOOKUP(C4498,METADATA!$A$5:$H$29,IF(E4498="HI",2,IF(E4498="LO",6,10))+IF(T4498=1,2,IF(D4498=7,1,(IF(WEEKDAY(B4498)=1,2,IF(WEEKDAY(B4498)=7,1,0))))))</f>
        <v>2</v>
      </c>
    </row>
    <row r="4499" spans="2:22">
      <c r="B4499" s="318">
        <f t="shared" si="279"/>
        <v>46300</v>
      </c>
      <c r="C4499" s="312">
        <v>7</v>
      </c>
      <c r="D4499" s="368">
        <f>IFERROR((INDEX(METADATA!$T$2:$T$20,MATCH(B4499,METADATA!$S$2:$S$20,0))),0)</f>
        <v>0</v>
      </c>
      <c r="E4499" s="312" t="str">
        <f t="shared" si="280"/>
        <v>LO</v>
      </c>
      <c r="F4499" s="369">
        <f>VLOOKUP(C4499,METADATA!$A$5:$H$29,IF(E4499="HI",2,IF(E4499="LO",6,10))+IF(D4499=1,2,IF(D4499=7,1,(IF(WEEKDAY(B4499)=1,2,IF(WEEKDAY(B4499)=7,1,0))))))</f>
        <v>1</v>
      </c>
      <c r="G4499" s="369">
        <f>VLOOKUP(C4499,METADATA!$J$5:$Q$29,IF(E4499="HI",2,IF(E4499="LO",6,10))+IF(D4499=1,2,IF(D4499=7,1,(IF(WEEKDAY(B4499)=1,2,IF(WEEKDAY(B4499)=7,1,0))))))</f>
        <v>1</v>
      </c>
      <c r="H4499" s="370">
        <v>5346.0750122070313</v>
      </c>
      <c r="I4499" s="370">
        <v>1528.3450012207031</v>
      </c>
      <c r="M4499" s="371">
        <f t="shared" si="281"/>
        <v>5560.2478792676784</v>
      </c>
      <c r="N4499" s="329">
        <f t="shared" si="282"/>
        <v>0</v>
      </c>
      <c r="T4499" s="331">
        <v>0</v>
      </c>
      <c r="U4499" s="328">
        <f>VLOOKUP(C4499,METADATA!$J$5:$Q$29,IF(E4499="HI",2,IF(E4499="LO",6,10))+IF(T4499=1,2,IF(D4499=7,1,(IF(WEEKDAY(B4499)=1,2,IF(WEEKDAY(B4499)=7,1,0))))))</f>
        <v>1</v>
      </c>
      <c r="V4499" s="328">
        <f>VLOOKUP(C4499,METADATA!$A$5:$H$29,IF(E4499="HI",2,IF(E4499="LO",6,10))+IF(T4499=1,2,IF(D4499=7,1,(IF(WEEKDAY(B4499)=1,2,IF(WEEKDAY(B4499)=7,1,0))))))</f>
        <v>1</v>
      </c>
    </row>
    <row r="4500" spans="2:22">
      <c r="B4500" s="318">
        <f t="shared" si="279"/>
        <v>46300</v>
      </c>
      <c r="C4500" s="312">
        <v>8</v>
      </c>
      <c r="D4500" s="368">
        <f>IFERROR((INDEX(METADATA!$T$2:$T$20,MATCH(B4500,METADATA!$S$2:$S$20,0))),0)</f>
        <v>0</v>
      </c>
      <c r="E4500" s="312" t="str">
        <f t="shared" si="280"/>
        <v>LO</v>
      </c>
      <c r="F4500" s="369">
        <f>VLOOKUP(C4500,METADATA!$A$5:$H$29,IF(E4500="HI",2,IF(E4500="LO",6,10))+IF(D4500=1,2,IF(D4500=7,1,(IF(WEEKDAY(B4500)=1,2,IF(WEEKDAY(B4500)=7,1,0))))))</f>
        <v>1</v>
      </c>
      <c r="G4500" s="369">
        <f>VLOOKUP(C4500,METADATA!$J$5:$Q$29,IF(E4500="HI",2,IF(E4500="LO",6,10))+IF(D4500=1,2,IF(D4500=7,1,(IF(WEEKDAY(B4500)=1,2,IF(WEEKDAY(B4500)=7,1,0))))))</f>
        <v>1</v>
      </c>
      <c r="H4500" s="370">
        <v>4378.8349914550781</v>
      </c>
      <c r="I4500" s="370">
        <v>1316.0150146484375</v>
      </c>
      <c r="M4500" s="371">
        <f t="shared" si="281"/>
        <v>4572.317946203164</v>
      </c>
      <c r="N4500" s="329">
        <f t="shared" si="282"/>
        <v>2.3645172119140625</v>
      </c>
      <c r="T4500" s="331">
        <v>0</v>
      </c>
      <c r="U4500" s="328">
        <f>VLOOKUP(C4500,METADATA!$J$5:$Q$29,IF(E4500="HI",2,IF(E4500="LO",6,10))+IF(T4500=1,2,IF(D4500=7,1,(IF(WEEKDAY(B4500)=1,2,IF(WEEKDAY(B4500)=7,1,0))))))</f>
        <v>1</v>
      </c>
      <c r="V4500" s="328">
        <f>VLOOKUP(C4500,METADATA!$A$5:$H$29,IF(E4500="HI",2,IF(E4500="LO",6,10))+IF(T4500=1,2,IF(D4500=7,1,(IF(WEEKDAY(B4500)=1,2,IF(WEEKDAY(B4500)=7,1,0))))))</f>
        <v>1</v>
      </c>
    </row>
    <row r="4501" spans="2:22">
      <c r="B4501" s="318">
        <f t="shared" si="279"/>
        <v>46300</v>
      </c>
      <c r="C4501" s="312">
        <v>9</v>
      </c>
      <c r="D4501" s="368">
        <f>IFERROR((INDEX(METADATA!$T$2:$T$20,MATCH(B4501,METADATA!$S$2:$S$20,0))),0)</f>
        <v>0</v>
      </c>
      <c r="E4501" s="312" t="str">
        <f t="shared" si="280"/>
        <v>LO</v>
      </c>
      <c r="F4501" s="369">
        <f>VLOOKUP(C4501,METADATA!$A$5:$H$29,IF(E4501="HI",2,IF(E4501="LO",6,10))+IF(D4501=1,2,IF(D4501=7,1,(IF(WEEKDAY(B4501)=1,2,IF(WEEKDAY(B4501)=7,1,0))))))</f>
        <v>2</v>
      </c>
      <c r="G4501" s="369">
        <f>VLOOKUP(C4501,METADATA!$J$5:$Q$29,IF(E4501="HI",2,IF(E4501="LO",6,10))+IF(D4501=1,2,IF(D4501=7,1,(IF(WEEKDAY(B4501)=1,2,IF(WEEKDAY(B4501)=7,1,0))))))</f>
        <v>2</v>
      </c>
      <c r="H4501" s="370">
        <v>4429.4100341796875</v>
      </c>
      <c r="I4501" s="370">
        <v>1382.6900024414063</v>
      </c>
      <c r="M4501" s="371">
        <f t="shared" si="281"/>
        <v>4640.2052641820828</v>
      </c>
      <c r="N4501" s="329">
        <f t="shared" si="282"/>
        <v>53.866992187500045</v>
      </c>
      <c r="T4501" s="331">
        <v>0</v>
      </c>
      <c r="U4501" s="328">
        <f>VLOOKUP(C4501,METADATA!$J$5:$Q$29,IF(E4501="HI",2,IF(E4501="LO",6,10))+IF(T4501=1,2,IF(D4501=7,1,(IF(WEEKDAY(B4501)=1,2,IF(WEEKDAY(B4501)=7,1,0))))))</f>
        <v>2</v>
      </c>
      <c r="V4501" s="328">
        <f>VLOOKUP(C4501,METADATA!$A$5:$H$29,IF(E4501="HI",2,IF(E4501="LO",6,10))+IF(T4501=1,2,IF(D4501=7,1,(IF(WEEKDAY(B4501)=1,2,IF(WEEKDAY(B4501)=7,1,0))))))</f>
        <v>2</v>
      </c>
    </row>
    <row r="4502" spans="2:22">
      <c r="B4502" s="318">
        <f t="shared" si="279"/>
        <v>46300</v>
      </c>
      <c r="C4502" s="312">
        <v>10</v>
      </c>
      <c r="D4502" s="368">
        <f>IFERROR((INDEX(METADATA!$T$2:$T$20,MATCH(B4502,METADATA!$S$2:$S$20,0))),0)</f>
        <v>0</v>
      </c>
      <c r="E4502" s="312" t="str">
        <f t="shared" si="280"/>
        <v>LO</v>
      </c>
      <c r="F4502" s="369">
        <f>VLOOKUP(C4502,METADATA!$A$5:$H$29,IF(E4502="HI",2,IF(E4502="LO",6,10))+IF(D4502=1,2,IF(D4502=7,1,(IF(WEEKDAY(B4502)=1,2,IF(WEEKDAY(B4502)=7,1,0))))))</f>
        <v>2</v>
      </c>
      <c r="G4502" s="369">
        <f>VLOOKUP(C4502,METADATA!$J$5:$Q$29,IF(E4502="HI",2,IF(E4502="LO",6,10))+IF(D4502=1,2,IF(D4502=7,1,(IF(WEEKDAY(B4502)=1,2,IF(WEEKDAY(B4502)=7,1,0))))))</f>
        <v>2</v>
      </c>
      <c r="H4502" s="370">
        <v>4396.6600036621094</v>
      </c>
      <c r="I4502" s="370">
        <v>1526.9024963378906</v>
      </c>
      <c r="M4502" s="371">
        <f t="shared" si="281"/>
        <v>4654.250790527406</v>
      </c>
      <c r="N4502" s="329">
        <f t="shared" si="282"/>
        <v>207.90449523925781</v>
      </c>
      <c r="T4502" s="331">
        <v>0</v>
      </c>
      <c r="U4502" s="328">
        <f>VLOOKUP(C4502,METADATA!$J$5:$Q$29,IF(E4502="HI",2,IF(E4502="LO",6,10))+IF(T4502=1,2,IF(D4502=7,1,(IF(WEEKDAY(B4502)=1,2,IF(WEEKDAY(B4502)=7,1,0))))))</f>
        <v>2</v>
      </c>
      <c r="V4502" s="328">
        <f>VLOOKUP(C4502,METADATA!$A$5:$H$29,IF(E4502="HI",2,IF(E4502="LO",6,10))+IF(T4502=1,2,IF(D4502=7,1,(IF(WEEKDAY(B4502)=1,2,IF(WEEKDAY(B4502)=7,1,0))))))</f>
        <v>2</v>
      </c>
    </row>
    <row r="4503" spans="2:22">
      <c r="B4503" s="318">
        <f t="shared" si="279"/>
        <v>46300</v>
      </c>
      <c r="C4503" s="312">
        <v>11</v>
      </c>
      <c r="D4503" s="368">
        <f>IFERROR((INDEX(METADATA!$T$2:$T$20,MATCH(B4503,METADATA!$S$2:$S$20,0))),0)</f>
        <v>0</v>
      </c>
      <c r="E4503" s="312" t="str">
        <f t="shared" si="280"/>
        <v>LO</v>
      </c>
      <c r="F4503" s="369">
        <f>VLOOKUP(C4503,METADATA!$A$5:$H$29,IF(E4503="HI",2,IF(E4503="LO",6,10))+IF(D4503=1,2,IF(D4503=7,1,(IF(WEEKDAY(B4503)=1,2,IF(WEEKDAY(B4503)=7,1,0))))))</f>
        <v>2</v>
      </c>
      <c r="G4503" s="369">
        <f>VLOOKUP(C4503,METADATA!$J$5:$Q$29,IF(E4503="HI",2,IF(E4503="LO",6,10))+IF(D4503=1,2,IF(D4503=7,1,(IF(WEEKDAY(B4503)=1,2,IF(WEEKDAY(B4503)=7,1,0))))))</f>
        <v>2</v>
      </c>
      <c r="H4503" s="370">
        <v>4507.1699523925781</v>
      </c>
      <c r="I4503" s="370">
        <v>1472.6875</v>
      </c>
      <c r="M4503" s="371">
        <f t="shared" si="281"/>
        <v>4741.6652615306748</v>
      </c>
      <c r="N4503" s="329">
        <f t="shared" si="282"/>
        <v>120.53651428222656</v>
      </c>
      <c r="T4503" s="331">
        <v>0</v>
      </c>
      <c r="U4503" s="328">
        <f>VLOOKUP(C4503,METADATA!$J$5:$Q$29,IF(E4503="HI",2,IF(E4503="LO",6,10))+IF(T4503=1,2,IF(D4503=7,1,(IF(WEEKDAY(B4503)=1,2,IF(WEEKDAY(B4503)=7,1,0))))))</f>
        <v>2</v>
      </c>
      <c r="V4503" s="328">
        <f>VLOOKUP(C4503,METADATA!$A$5:$H$29,IF(E4503="HI",2,IF(E4503="LO",6,10))+IF(T4503=1,2,IF(D4503=7,1,(IF(WEEKDAY(B4503)=1,2,IF(WEEKDAY(B4503)=7,1,0))))))</f>
        <v>2</v>
      </c>
    </row>
    <row r="4504" spans="2:22">
      <c r="B4504" s="318">
        <f t="shared" si="279"/>
        <v>46300</v>
      </c>
      <c r="C4504" s="312">
        <v>12</v>
      </c>
      <c r="D4504" s="368">
        <f>IFERROR((INDEX(METADATA!$T$2:$T$20,MATCH(B4504,METADATA!$S$2:$S$20,0))),0)</f>
        <v>0</v>
      </c>
      <c r="E4504" s="312" t="str">
        <f t="shared" si="280"/>
        <v>LO</v>
      </c>
      <c r="F4504" s="369">
        <f>VLOOKUP(C4504,METADATA!$A$5:$H$29,IF(E4504="HI",2,IF(E4504="LO",6,10))+IF(D4504=1,2,IF(D4504=7,1,(IF(WEEKDAY(B4504)=1,2,IF(WEEKDAY(B4504)=7,1,0))))))</f>
        <v>2</v>
      </c>
      <c r="G4504" s="369">
        <f>VLOOKUP(C4504,METADATA!$J$5:$Q$29,IF(E4504="HI",2,IF(E4504="LO",6,10))+IF(D4504=1,2,IF(D4504=7,1,(IF(WEEKDAY(B4504)=1,2,IF(WEEKDAY(B4504)=7,1,0))))))</f>
        <v>2</v>
      </c>
      <c r="H4504" s="370">
        <v>3956.1299438476563</v>
      </c>
      <c r="I4504" s="370">
        <v>1400.762451171875</v>
      </c>
      <c r="M4504" s="371">
        <f t="shared" si="281"/>
        <v>4196.7963468842636</v>
      </c>
      <c r="N4504" s="329">
        <f t="shared" si="282"/>
        <v>213.92346801757822</v>
      </c>
      <c r="T4504" s="331">
        <v>0</v>
      </c>
      <c r="U4504" s="328">
        <f>VLOOKUP(C4504,METADATA!$J$5:$Q$29,IF(E4504="HI",2,IF(E4504="LO",6,10))+IF(T4504=1,2,IF(D4504=7,1,(IF(WEEKDAY(B4504)=1,2,IF(WEEKDAY(B4504)=7,1,0))))))</f>
        <v>2</v>
      </c>
      <c r="V4504" s="328">
        <f>VLOOKUP(C4504,METADATA!$A$5:$H$29,IF(E4504="HI",2,IF(E4504="LO",6,10))+IF(T4504=1,2,IF(D4504=7,1,(IF(WEEKDAY(B4504)=1,2,IF(WEEKDAY(B4504)=7,1,0))))))</f>
        <v>2</v>
      </c>
    </row>
    <row r="4505" spans="2:22">
      <c r="B4505" s="318">
        <f t="shared" si="279"/>
        <v>46300</v>
      </c>
      <c r="C4505" s="312">
        <v>13</v>
      </c>
      <c r="D4505" s="368">
        <f>IFERROR((INDEX(METADATA!$T$2:$T$20,MATCH(B4505,METADATA!$S$2:$S$20,0))),0)</f>
        <v>0</v>
      </c>
      <c r="E4505" s="312" t="str">
        <f t="shared" si="280"/>
        <v>LO</v>
      </c>
      <c r="F4505" s="369">
        <f>VLOOKUP(C4505,METADATA!$A$5:$H$29,IF(E4505="HI",2,IF(E4505="LO",6,10))+IF(D4505=1,2,IF(D4505=7,1,(IF(WEEKDAY(B4505)=1,2,IF(WEEKDAY(B4505)=7,1,0))))))</f>
        <v>2</v>
      </c>
      <c r="G4505" s="369">
        <f>VLOOKUP(C4505,METADATA!$J$5:$Q$29,IF(E4505="HI",2,IF(E4505="LO",6,10))+IF(D4505=1,2,IF(D4505=7,1,(IF(WEEKDAY(B4505)=1,2,IF(WEEKDAY(B4505)=7,1,0))))))</f>
        <v>2</v>
      </c>
      <c r="H4505" s="370">
        <v>3313.0550231933594</v>
      </c>
      <c r="I4505" s="370">
        <v>1387.2200012207031</v>
      </c>
      <c r="M4505" s="371">
        <f t="shared" si="281"/>
        <v>3591.7562443035463</v>
      </c>
      <c r="N4505" s="329">
        <f t="shared" si="282"/>
        <v>393.30349426269538</v>
      </c>
      <c r="T4505" s="331">
        <v>0</v>
      </c>
      <c r="U4505" s="328">
        <f>VLOOKUP(C4505,METADATA!$J$5:$Q$29,IF(E4505="HI",2,IF(E4505="LO",6,10))+IF(T4505=1,2,IF(D4505=7,1,(IF(WEEKDAY(B4505)=1,2,IF(WEEKDAY(B4505)=7,1,0))))))</f>
        <v>2</v>
      </c>
      <c r="V4505" s="328">
        <f>VLOOKUP(C4505,METADATA!$A$5:$H$29,IF(E4505="HI",2,IF(E4505="LO",6,10))+IF(T4505=1,2,IF(D4505=7,1,(IF(WEEKDAY(B4505)=1,2,IF(WEEKDAY(B4505)=7,1,0))))))</f>
        <v>2</v>
      </c>
    </row>
    <row r="4506" spans="2:22">
      <c r="B4506" s="318">
        <f t="shared" si="279"/>
        <v>46300</v>
      </c>
      <c r="C4506" s="312">
        <v>14</v>
      </c>
      <c r="D4506" s="368">
        <f>IFERROR((INDEX(METADATA!$T$2:$T$20,MATCH(B4506,METADATA!$S$2:$S$20,0))),0)</f>
        <v>0</v>
      </c>
      <c r="E4506" s="312" t="str">
        <f t="shared" si="280"/>
        <v>LO</v>
      </c>
      <c r="F4506" s="369">
        <f>VLOOKUP(C4506,METADATA!$A$5:$H$29,IF(E4506="HI",2,IF(E4506="LO",6,10))+IF(D4506=1,2,IF(D4506=7,1,(IF(WEEKDAY(B4506)=1,2,IF(WEEKDAY(B4506)=7,1,0))))))</f>
        <v>2</v>
      </c>
      <c r="G4506" s="369">
        <f>VLOOKUP(C4506,METADATA!$J$5:$Q$29,IF(E4506="HI",2,IF(E4506="LO",6,10))+IF(D4506=1,2,IF(D4506=7,1,(IF(WEEKDAY(B4506)=1,2,IF(WEEKDAY(B4506)=7,1,0))))))</f>
        <v>2</v>
      </c>
      <c r="H4506" s="370">
        <v>3928.4450073242188</v>
      </c>
      <c r="I4506" s="370">
        <v>1388.3049621582031</v>
      </c>
      <c r="M4506" s="371">
        <f t="shared" si="281"/>
        <v>4166.5418326861509</v>
      </c>
      <c r="N4506" s="329">
        <f t="shared" si="282"/>
        <v>209.77145996093759</v>
      </c>
      <c r="T4506" s="331">
        <v>0</v>
      </c>
      <c r="U4506" s="328">
        <f>VLOOKUP(C4506,METADATA!$J$5:$Q$29,IF(E4506="HI",2,IF(E4506="LO",6,10))+IF(T4506=1,2,IF(D4506=7,1,(IF(WEEKDAY(B4506)=1,2,IF(WEEKDAY(B4506)=7,1,0))))))</f>
        <v>2</v>
      </c>
      <c r="V4506" s="328">
        <f>VLOOKUP(C4506,METADATA!$A$5:$H$29,IF(E4506="HI",2,IF(E4506="LO",6,10))+IF(T4506=1,2,IF(D4506=7,1,(IF(WEEKDAY(B4506)=1,2,IF(WEEKDAY(B4506)=7,1,0))))))</f>
        <v>2</v>
      </c>
    </row>
    <row r="4507" spans="2:22">
      <c r="B4507" s="318">
        <f t="shared" si="279"/>
        <v>46300</v>
      </c>
      <c r="C4507" s="312">
        <v>15</v>
      </c>
      <c r="D4507" s="368">
        <f>IFERROR((INDEX(METADATA!$T$2:$T$20,MATCH(B4507,METADATA!$S$2:$S$20,0))),0)</f>
        <v>0</v>
      </c>
      <c r="E4507" s="312" t="str">
        <f t="shared" si="280"/>
        <v>LO</v>
      </c>
      <c r="F4507" s="369">
        <f>VLOOKUP(C4507,METADATA!$A$5:$H$29,IF(E4507="HI",2,IF(E4507="LO",6,10))+IF(D4507=1,2,IF(D4507=7,1,(IF(WEEKDAY(B4507)=1,2,IF(WEEKDAY(B4507)=7,1,0))))))</f>
        <v>2</v>
      </c>
      <c r="G4507" s="369">
        <f>VLOOKUP(C4507,METADATA!$J$5:$Q$29,IF(E4507="HI",2,IF(E4507="LO",6,10))+IF(D4507=1,2,IF(D4507=7,1,(IF(WEEKDAY(B4507)=1,2,IF(WEEKDAY(B4507)=7,1,0))))))</f>
        <v>2</v>
      </c>
      <c r="H4507" s="370">
        <v>4391.7624816894531</v>
      </c>
      <c r="I4507" s="370">
        <v>1478.1600036621094</v>
      </c>
      <c r="M4507" s="371">
        <f t="shared" si="281"/>
        <v>4633.8466409670345</v>
      </c>
      <c r="N4507" s="329">
        <f t="shared" si="282"/>
        <v>160.63125915527348</v>
      </c>
      <c r="T4507" s="331">
        <v>0</v>
      </c>
      <c r="U4507" s="328">
        <f>VLOOKUP(C4507,METADATA!$J$5:$Q$29,IF(E4507="HI",2,IF(E4507="LO",6,10))+IF(T4507=1,2,IF(D4507=7,1,(IF(WEEKDAY(B4507)=1,2,IF(WEEKDAY(B4507)=7,1,0))))))</f>
        <v>2</v>
      </c>
      <c r="V4507" s="328">
        <f>VLOOKUP(C4507,METADATA!$A$5:$H$29,IF(E4507="HI",2,IF(E4507="LO",6,10))+IF(T4507=1,2,IF(D4507=7,1,(IF(WEEKDAY(B4507)=1,2,IF(WEEKDAY(B4507)=7,1,0))))))</f>
        <v>2</v>
      </c>
    </row>
    <row r="4508" spans="2:22">
      <c r="B4508" s="318">
        <f t="shared" ref="B4508:B4571" si="283">B4484+1</f>
        <v>46300</v>
      </c>
      <c r="C4508" s="312">
        <v>16</v>
      </c>
      <c r="D4508" s="368">
        <f>IFERROR((INDEX(METADATA!$T$2:$T$20,MATCH(B4508,METADATA!$S$2:$S$20,0))),0)</f>
        <v>0</v>
      </c>
      <c r="E4508" s="312" t="str">
        <f t="shared" si="280"/>
        <v>LO</v>
      </c>
      <c r="F4508" s="369">
        <f>VLOOKUP(C4508,METADATA!$A$5:$H$29,IF(E4508="HI",2,IF(E4508="LO",6,10))+IF(D4508=1,2,IF(D4508=7,1,(IF(WEEKDAY(B4508)=1,2,IF(WEEKDAY(B4508)=7,1,0))))))</f>
        <v>2</v>
      </c>
      <c r="G4508" s="369">
        <f>VLOOKUP(C4508,METADATA!$J$5:$Q$29,IF(E4508="HI",2,IF(E4508="LO",6,10))+IF(D4508=1,2,IF(D4508=7,1,(IF(WEEKDAY(B4508)=1,2,IF(WEEKDAY(B4508)=7,1,0))))))</f>
        <v>2</v>
      </c>
      <c r="H4508" s="370">
        <v>4492.882568359375</v>
      </c>
      <c r="I4508" s="370">
        <v>1514.5249938964844</v>
      </c>
      <c r="M4508" s="371">
        <f t="shared" si="281"/>
        <v>4741.2846075936723</v>
      </c>
      <c r="N4508" s="329">
        <f t="shared" si="282"/>
        <v>166.66022338867197</v>
      </c>
      <c r="T4508" s="331">
        <v>0</v>
      </c>
      <c r="U4508" s="328">
        <f>VLOOKUP(C4508,METADATA!$J$5:$Q$29,IF(E4508="HI",2,IF(E4508="LO",6,10))+IF(T4508=1,2,IF(D4508=7,1,(IF(WEEKDAY(B4508)=1,2,IF(WEEKDAY(B4508)=7,1,0))))))</f>
        <v>2</v>
      </c>
      <c r="V4508" s="328">
        <f>VLOOKUP(C4508,METADATA!$A$5:$H$29,IF(E4508="HI",2,IF(E4508="LO",6,10))+IF(T4508=1,2,IF(D4508=7,1,(IF(WEEKDAY(B4508)=1,2,IF(WEEKDAY(B4508)=7,1,0))))))</f>
        <v>2</v>
      </c>
    </row>
    <row r="4509" spans="2:22">
      <c r="B4509" s="318">
        <f t="shared" si="283"/>
        <v>46300</v>
      </c>
      <c r="C4509" s="312">
        <v>17</v>
      </c>
      <c r="D4509" s="368">
        <f>IFERROR((INDEX(METADATA!$T$2:$T$20,MATCH(B4509,METADATA!$S$2:$S$20,0))),0)</f>
        <v>0</v>
      </c>
      <c r="E4509" s="312" t="str">
        <f t="shared" si="280"/>
        <v>LO</v>
      </c>
      <c r="F4509" s="369">
        <f>VLOOKUP(C4509,METADATA!$A$5:$H$29,IF(E4509="HI",2,IF(E4509="LO",6,10))+IF(D4509=1,2,IF(D4509=7,1,(IF(WEEKDAY(B4509)=1,2,IF(WEEKDAY(B4509)=7,1,0))))))</f>
        <v>2</v>
      </c>
      <c r="G4509" s="369">
        <f>VLOOKUP(C4509,METADATA!$J$5:$Q$29,IF(E4509="HI",2,IF(E4509="LO",6,10))+IF(D4509=1,2,IF(D4509=7,1,(IF(WEEKDAY(B4509)=1,2,IF(WEEKDAY(B4509)=7,1,0))))))</f>
        <v>2</v>
      </c>
      <c r="H4509" s="370">
        <v>4493.1400146484375</v>
      </c>
      <c r="I4509" s="370">
        <v>1475.9250183105469</v>
      </c>
      <c r="M4509" s="371">
        <f t="shared" si="281"/>
        <v>4729.3405302335705</v>
      </c>
      <c r="N4509" s="329">
        <f t="shared" si="282"/>
        <v>127.98301391601558</v>
      </c>
      <c r="T4509" s="331">
        <v>0</v>
      </c>
      <c r="U4509" s="328">
        <f>VLOOKUP(C4509,METADATA!$J$5:$Q$29,IF(E4509="HI",2,IF(E4509="LO",6,10))+IF(T4509=1,2,IF(D4509=7,1,(IF(WEEKDAY(B4509)=1,2,IF(WEEKDAY(B4509)=7,1,0))))))</f>
        <v>2</v>
      </c>
      <c r="V4509" s="328">
        <f>VLOOKUP(C4509,METADATA!$A$5:$H$29,IF(E4509="HI",2,IF(E4509="LO",6,10))+IF(T4509=1,2,IF(D4509=7,1,(IF(WEEKDAY(B4509)=1,2,IF(WEEKDAY(B4509)=7,1,0))))))</f>
        <v>2</v>
      </c>
    </row>
    <row r="4510" spans="2:22">
      <c r="B4510" s="318">
        <f t="shared" si="283"/>
        <v>46300</v>
      </c>
      <c r="C4510" s="312">
        <v>18</v>
      </c>
      <c r="D4510" s="368">
        <f>IFERROR((INDEX(METADATA!$T$2:$T$20,MATCH(B4510,METADATA!$S$2:$S$20,0))),0)</f>
        <v>0</v>
      </c>
      <c r="E4510" s="312" t="str">
        <f t="shared" si="280"/>
        <v>LO</v>
      </c>
      <c r="F4510" s="369">
        <f>VLOOKUP(C4510,METADATA!$A$5:$H$29,IF(E4510="HI",2,IF(E4510="LO",6,10))+IF(D4510=1,2,IF(D4510=7,1,(IF(WEEKDAY(B4510)=1,2,IF(WEEKDAY(B4510)=7,1,0))))))</f>
        <v>1</v>
      </c>
      <c r="G4510" s="369">
        <f>VLOOKUP(C4510,METADATA!$J$5:$Q$29,IF(E4510="HI",2,IF(E4510="LO",6,10))+IF(D4510=1,2,IF(D4510=7,1,(IF(WEEKDAY(B4510)=1,2,IF(WEEKDAY(B4510)=7,1,0))))))</f>
        <v>1</v>
      </c>
      <c r="H4510" s="370">
        <v>5149.1675415039063</v>
      </c>
      <c r="I4510" s="370">
        <v>1860.4574890136719</v>
      </c>
      <c r="M4510" s="371">
        <f t="shared" si="281"/>
        <v>5474.9637842550555</v>
      </c>
      <c r="N4510" s="329">
        <f t="shared" si="282"/>
        <v>315.70722656249995</v>
      </c>
      <c r="T4510" s="331">
        <v>0</v>
      </c>
      <c r="U4510" s="328">
        <f>VLOOKUP(C4510,METADATA!$J$5:$Q$29,IF(E4510="HI",2,IF(E4510="LO",6,10))+IF(T4510=1,2,IF(D4510=7,1,(IF(WEEKDAY(B4510)=1,2,IF(WEEKDAY(B4510)=7,1,0))))))</f>
        <v>1</v>
      </c>
      <c r="V4510" s="328">
        <f>VLOOKUP(C4510,METADATA!$A$5:$H$29,IF(E4510="HI",2,IF(E4510="LO",6,10))+IF(T4510=1,2,IF(D4510=7,1,(IF(WEEKDAY(B4510)=1,2,IF(WEEKDAY(B4510)=7,1,0))))))</f>
        <v>1</v>
      </c>
    </row>
    <row r="4511" spans="2:22">
      <c r="B4511" s="318">
        <f t="shared" si="283"/>
        <v>46300</v>
      </c>
      <c r="C4511" s="312">
        <v>19</v>
      </c>
      <c r="D4511" s="368">
        <f>IFERROR((INDEX(METADATA!$T$2:$T$20,MATCH(B4511,METADATA!$S$2:$S$20,0))),0)</f>
        <v>0</v>
      </c>
      <c r="E4511" s="312" t="str">
        <f t="shared" si="280"/>
        <v>LO</v>
      </c>
      <c r="F4511" s="369">
        <f>VLOOKUP(C4511,METADATA!$A$5:$H$29,IF(E4511="HI",2,IF(E4511="LO",6,10))+IF(D4511=1,2,IF(D4511=7,1,(IF(WEEKDAY(B4511)=1,2,IF(WEEKDAY(B4511)=7,1,0))))))</f>
        <v>1</v>
      </c>
      <c r="G4511" s="369">
        <f>VLOOKUP(C4511,METADATA!$J$5:$Q$29,IF(E4511="HI",2,IF(E4511="LO",6,10))+IF(D4511=1,2,IF(D4511=7,1,(IF(WEEKDAY(B4511)=1,2,IF(WEEKDAY(B4511)=7,1,0))))))</f>
        <v>1</v>
      </c>
      <c r="H4511" s="370">
        <v>6404.5000610351563</v>
      </c>
      <c r="I4511" s="370">
        <v>2535.3999633789063</v>
      </c>
      <c r="M4511" s="371">
        <f t="shared" si="281"/>
        <v>6888.0965444817248</v>
      </c>
      <c r="N4511" s="329">
        <f t="shared" si="282"/>
        <v>614.04994506835942</v>
      </c>
      <c r="T4511" s="331">
        <v>0</v>
      </c>
      <c r="U4511" s="328">
        <f>VLOOKUP(C4511,METADATA!$J$5:$Q$29,IF(E4511="HI",2,IF(E4511="LO",6,10))+IF(T4511=1,2,IF(D4511=7,1,(IF(WEEKDAY(B4511)=1,2,IF(WEEKDAY(B4511)=7,1,0))))))</f>
        <v>1</v>
      </c>
      <c r="V4511" s="328">
        <f>VLOOKUP(C4511,METADATA!$A$5:$H$29,IF(E4511="HI",2,IF(E4511="LO",6,10))+IF(T4511=1,2,IF(D4511=7,1,(IF(WEEKDAY(B4511)=1,2,IF(WEEKDAY(B4511)=7,1,0))))))</f>
        <v>1</v>
      </c>
    </row>
    <row r="4512" spans="2:22">
      <c r="B4512" s="318">
        <f t="shared" si="283"/>
        <v>46300</v>
      </c>
      <c r="C4512" s="312">
        <v>20</v>
      </c>
      <c r="D4512" s="368">
        <f>IFERROR((INDEX(METADATA!$T$2:$T$20,MATCH(B4512,METADATA!$S$2:$S$20,0))),0)</f>
        <v>0</v>
      </c>
      <c r="E4512" s="312" t="str">
        <f t="shared" si="280"/>
        <v>LO</v>
      </c>
      <c r="F4512" s="369">
        <f>VLOOKUP(C4512,METADATA!$A$5:$H$29,IF(E4512="HI",2,IF(E4512="LO",6,10))+IF(D4512=1,2,IF(D4512=7,1,(IF(WEEKDAY(B4512)=1,2,IF(WEEKDAY(B4512)=7,1,0))))))</f>
        <v>1</v>
      </c>
      <c r="G4512" s="369">
        <f>VLOOKUP(C4512,METADATA!$J$5:$Q$29,IF(E4512="HI",2,IF(E4512="LO",6,10))+IF(D4512=1,2,IF(D4512=7,1,(IF(WEEKDAY(B4512)=1,2,IF(WEEKDAY(B4512)=7,1,0))))))</f>
        <v>1</v>
      </c>
      <c r="H4512" s="370">
        <v>5845.9500732421875</v>
      </c>
      <c r="I4512" s="370">
        <v>2272.0250854492188</v>
      </c>
      <c r="M4512" s="371">
        <f t="shared" si="281"/>
        <v>6271.9399110443383</v>
      </c>
      <c r="N4512" s="329">
        <f t="shared" si="282"/>
        <v>518.24006347656245</v>
      </c>
      <c r="T4512" s="331">
        <v>0</v>
      </c>
      <c r="U4512" s="328">
        <f>VLOOKUP(C4512,METADATA!$J$5:$Q$29,IF(E4512="HI",2,IF(E4512="LO",6,10))+IF(T4512=1,2,IF(D4512=7,1,(IF(WEEKDAY(B4512)=1,2,IF(WEEKDAY(B4512)=7,1,0))))))</f>
        <v>1</v>
      </c>
      <c r="V4512" s="328">
        <f>VLOOKUP(C4512,METADATA!$A$5:$H$29,IF(E4512="HI",2,IF(E4512="LO",6,10))+IF(T4512=1,2,IF(D4512=7,1,(IF(WEEKDAY(B4512)=1,2,IF(WEEKDAY(B4512)=7,1,0))))))</f>
        <v>1</v>
      </c>
    </row>
    <row r="4513" spans="2:22">
      <c r="B4513" s="318">
        <f t="shared" si="283"/>
        <v>46300</v>
      </c>
      <c r="C4513" s="312">
        <v>21</v>
      </c>
      <c r="D4513" s="368">
        <f>IFERROR((INDEX(METADATA!$T$2:$T$20,MATCH(B4513,METADATA!$S$2:$S$20,0))),0)</f>
        <v>0</v>
      </c>
      <c r="E4513" s="312" t="str">
        <f t="shared" si="280"/>
        <v>LO</v>
      </c>
      <c r="F4513" s="369">
        <f>VLOOKUP(C4513,METADATA!$A$5:$H$29,IF(E4513="HI",2,IF(E4513="LO",6,10))+IF(D4513=1,2,IF(D4513=7,1,(IF(WEEKDAY(B4513)=1,2,IF(WEEKDAY(B4513)=7,1,0))))))</f>
        <v>2</v>
      </c>
      <c r="G4513" s="369">
        <f>VLOOKUP(C4513,METADATA!$J$5:$Q$29,IF(E4513="HI",2,IF(E4513="LO",6,10))+IF(D4513=1,2,IF(D4513=7,1,(IF(WEEKDAY(B4513)=1,2,IF(WEEKDAY(B4513)=7,1,0))))))</f>
        <v>2</v>
      </c>
      <c r="H4513" s="370">
        <v>6516.5248413085938</v>
      </c>
      <c r="I4513" s="370">
        <v>2637.2000732421875</v>
      </c>
      <c r="M4513" s="371">
        <f t="shared" si="281"/>
        <v>7029.9303149960588</v>
      </c>
      <c r="N4513" s="329">
        <f t="shared" si="282"/>
        <v>682.24262084960947</v>
      </c>
      <c r="T4513" s="331">
        <v>0</v>
      </c>
      <c r="U4513" s="328">
        <f>VLOOKUP(C4513,METADATA!$J$5:$Q$29,IF(E4513="HI",2,IF(E4513="LO",6,10))+IF(T4513=1,2,IF(D4513=7,1,(IF(WEEKDAY(B4513)=1,2,IF(WEEKDAY(B4513)=7,1,0))))))</f>
        <v>2</v>
      </c>
      <c r="V4513" s="328">
        <f>VLOOKUP(C4513,METADATA!$A$5:$H$29,IF(E4513="HI",2,IF(E4513="LO",6,10))+IF(T4513=1,2,IF(D4513=7,1,(IF(WEEKDAY(B4513)=1,2,IF(WEEKDAY(B4513)=7,1,0))))))</f>
        <v>2</v>
      </c>
    </row>
    <row r="4514" spans="2:22">
      <c r="B4514" s="318">
        <f t="shared" si="283"/>
        <v>46300</v>
      </c>
      <c r="C4514" s="312">
        <v>22</v>
      </c>
      <c r="D4514" s="368">
        <f>IFERROR((INDEX(METADATA!$T$2:$T$20,MATCH(B4514,METADATA!$S$2:$S$20,0))),0)</f>
        <v>0</v>
      </c>
      <c r="E4514" s="312" t="str">
        <f t="shared" si="280"/>
        <v>LO</v>
      </c>
      <c r="F4514" s="369">
        <f>VLOOKUP(C4514,METADATA!$A$5:$H$29,IF(E4514="HI",2,IF(E4514="LO",6,10))+IF(D4514=1,2,IF(D4514=7,1,(IF(WEEKDAY(B4514)=1,2,IF(WEEKDAY(B4514)=7,1,0))))))</f>
        <v>3</v>
      </c>
      <c r="G4514" s="369">
        <f>VLOOKUP(C4514,METADATA!$J$5:$Q$29,IF(E4514="HI",2,IF(E4514="LO",6,10))+IF(D4514=1,2,IF(D4514=7,1,(IF(WEEKDAY(B4514)=1,2,IF(WEEKDAY(B4514)=7,1,0))))))</f>
        <v>3</v>
      </c>
      <c r="H4514" s="370">
        <v>6468.25</v>
      </c>
      <c r="I4514" s="370">
        <v>2696.8499755859375</v>
      </c>
      <c r="M4514" s="371">
        <f t="shared" si="281"/>
        <v>7007.9424835908776</v>
      </c>
      <c r="N4514" s="329">
        <f t="shared" si="282"/>
        <v>756.37497558593759</v>
      </c>
      <c r="T4514" s="331">
        <v>0</v>
      </c>
      <c r="U4514" s="328">
        <f>VLOOKUP(C4514,METADATA!$J$5:$Q$29,IF(E4514="HI",2,IF(E4514="LO",6,10))+IF(T4514=1,2,IF(D4514=7,1,(IF(WEEKDAY(B4514)=1,2,IF(WEEKDAY(B4514)=7,1,0))))))</f>
        <v>3</v>
      </c>
      <c r="V4514" s="328">
        <f>VLOOKUP(C4514,METADATA!$A$5:$H$29,IF(E4514="HI",2,IF(E4514="LO",6,10))+IF(T4514=1,2,IF(D4514=7,1,(IF(WEEKDAY(B4514)=1,2,IF(WEEKDAY(B4514)=7,1,0))))))</f>
        <v>3</v>
      </c>
    </row>
    <row r="4515" spans="2:22">
      <c r="B4515" s="318">
        <f t="shared" si="283"/>
        <v>46300</v>
      </c>
      <c r="C4515" s="312">
        <v>23</v>
      </c>
      <c r="D4515" s="368">
        <f>IFERROR((INDEX(METADATA!$T$2:$T$20,MATCH(B4515,METADATA!$S$2:$S$20,0))),0)</f>
        <v>0</v>
      </c>
      <c r="E4515" s="312" t="str">
        <f t="shared" si="280"/>
        <v>LO</v>
      </c>
      <c r="F4515" s="369">
        <f>VLOOKUP(C4515,METADATA!$A$5:$H$29,IF(E4515="HI",2,IF(E4515="LO",6,10))+IF(D4515=1,2,IF(D4515=7,1,(IF(WEEKDAY(B4515)=1,2,IF(WEEKDAY(B4515)=7,1,0))))))</f>
        <v>3</v>
      </c>
      <c r="G4515" s="369">
        <f>VLOOKUP(C4515,METADATA!$J$5:$Q$29,IF(E4515="HI",2,IF(E4515="LO",6,10))+IF(D4515=1,2,IF(D4515=7,1,(IF(WEEKDAY(B4515)=1,2,IF(WEEKDAY(B4515)=7,1,0))))))</f>
        <v>3</v>
      </c>
      <c r="H4515" s="370">
        <v>6601.7998657226563</v>
      </c>
      <c r="I4515" s="370">
        <v>2673.925048828125</v>
      </c>
      <c r="M4515" s="371">
        <f t="shared" si="281"/>
        <v>7122.7548486387041</v>
      </c>
      <c r="N4515" s="329">
        <f t="shared" si="282"/>
        <v>693.38508911132817</v>
      </c>
      <c r="T4515" s="331">
        <v>0</v>
      </c>
      <c r="U4515" s="328">
        <f>VLOOKUP(C4515,METADATA!$J$5:$Q$29,IF(E4515="HI",2,IF(E4515="LO",6,10))+IF(T4515=1,2,IF(D4515=7,1,(IF(WEEKDAY(B4515)=1,2,IF(WEEKDAY(B4515)=7,1,0))))))</f>
        <v>3</v>
      </c>
      <c r="V4515" s="328">
        <f>VLOOKUP(C4515,METADATA!$A$5:$H$29,IF(E4515="HI",2,IF(E4515="LO",6,10))+IF(T4515=1,2,IF(D4515=7,1,(IF(WEEKDAY(B4515)=1,2,IF(WEEKDAY(B4515)=7,1,0))))))</f>
        <v>3</v>
      </c>
    </row>
    <row r="4516" spans="2:22">
      <c r="B4516" s="318">
        <f t="shared" si="283"/>
        <v>46301</v>
      </c>
      <c r="C4516" s="312">
        <v>0</v>
      </c>
      <c r="D4516" s="368">
        <f>IFERROR((INDEX(METADATA!$T$2:$T$20,MATCH(B4516,METADATA!$S$2:$S$20,0))),0)</f>
        <v>0</v>
      </c>
      <c r="E4516" s="312" t="str">
        <f t="shared" si="280"/>
        <v>LO</v>
      </c>
      <c r="F4516" s="369">
        <f>VLOOKUP(C4516,METADATA!$A$5:$H$29,IF(E4516="HI",2,IF(E4516="LO",6,10))+IF(D4516=1,2,IF(D4516=7,1,(IF(WEEKDAY(B4516)=1,2,IF(WEEKDAY(B4516)=7,1,0))))))</f>
        <v>3</v>
      </c>
      <c r="G4516" s="369">
        <f>VLOOKUP(C4516,METADATA!$J$5:$Q$29,IF(E4516="HI",2,IF(E4516="LO",6,10))+IF(D4516=1,2,IF(D4516=7,1,(IF(WEEKDAY(B4516)=1,2,IF(WEEKDAY(B4516)=7,1,0))))))</f>
        <v>3</v>
      </c>
      <c r="H4516" s="370">
        <v>7511.3501586914063</v>
      </c>
      <c r="I4516" s="370">
        <v>2581.050048828125</v>
      </c>
      <c r="M4516" s="371">
        <f t="shared" si="281"/>
        <v>7942.4303938422445</v>
      </c>
      <c r="N4516" s="329">
        <f t="shared" si="282"/>
        <v>327.64500122070331</v>
      </c>
      <c r="T4516" s="331">
        <v>0</v>
      </c>
      <c r="U4516" s="328">
        <f>VLOOKUP(C4516,METADATA!$J$5:$Q$29,IF(E4516="HI",2,IF(E4516="LO",6,10))+IF(T4516=1,2,IF(D4516=7,1,(IF(WEEKDAY(B4516)=1,2,IF(WEEKDAY(B4516)=7,1,0))))))</f>
        <v>3</v>
      </c>
      <c r="V4516" s="328">
        <f>VLOOKUP(C4516,METADATA!$A$5:$H$29,IF(E4516="HI",2,IF(E4516="LO",6,10))+IF(T4516=1,2,IF(D4516=7,1,(IF(WEEKDAY(B4516)=1,2,IF(WEEKDAY(B4516)=7,1,0))))))</f>
        <v>3</v>
      </c>
    </row>
    <row r="4517" spans="2:22">
      <c r="B4517" s="318">
        <f t="shared" si="283"/>
        <v>46301</v>
      </c>
      <c r="C4517" s="312">
        <v>1</v>
      </c>
      <c r="D4517" s="368">
        <f>IFERROR((INDEX(METADATA!$T$2:$T$20,MATCH(B4517,METADATA!$S$2:$S$20,0))),0)</f>
        <v>0</v>
      </c>
      <c r="E4517" s="312" t="str">
        <f t="shared" si="280"/>
        <v>LO</v>
      </c>
      <c r="F4517" s="369">
        <f>VLOOKUP(C4517,METADATA!$A$5:$H$29,IF(E4517="HI",2,IF(E4517="LO",6,10))+IF(D4517=1,2,IF(D4517=7,1,(IF(WEEKDAY(B4517)=1,2,IF(WEEKDAY(B4517)=7,1,0))))))</f>
        <v>3</v>
      </c>
      <c r="G4517" s="369">
        <f>VLOOKUP(C4517,METADATA!$J$5:$Q$29,IF(E4517="HI",2,IF(E4517="LO",6,10))+IF(D4517=1,2,IF(D4517=7,1,(IF(WEEKDAY(B4517)=1,2,IF(WEEKDAY(B4517)=7,1,0))))))</f>
        <v>3</v>
      </c>
      <c r="H4517" s="370">
        <v>11282.350219726563</v>
      </c>
      <c r="I4517" s="370">
        <v>3369.9850273132324</v>
      </c>
      <c r="M4517" s="371">
        <f t="shared" si="281"/>
        <v>11774.898112717552</v>
      </c>
      <c r="N4517" s="329">
        <f t="shared" si="282"/>
        <v>0</v>
      </c>
      <c r="T4517" s="331">
        <v>0</v>
      </c>
      <c r="U4517" s="328">
        <f>VLOOKUP(C4517,METADATA!$J$5:$Q$29,IF(E4517="HI",2,IF(E4517="LO",6,10))+IF(T4517=1,2,IF(D4517=7,1,(IF(WEEKDAY(B4517)=1,2,IF(WEEKDAY(B4517)=7,1,0))))))</f>
        <v>3</v>
      </c>
      <c r="V4517" s="328">
        <f>VLOOKUP(C4517,METADATA!$A$5:$H$29,IF(E4517="HI",2,IF(E4517="LO",6,10))+IF(T4517=1,2,IF(D4517=7,1,(IF(WEEKDAY(B4517)=1,2,IF(WEEKDAY(B4517)=7,1,0))))))</f>
        <v>3</v>
      </c>
    </row>
    <row r="4518" spans="2:22">
      <c r="B4518" s="318">
        <f t="shared" si="283"/>
        <v>46301</v>
      </c>
      <c r="C4518" s="312">
        <v>2</v>
      </c>
      <c r="D4518" s="368">
        <f>IFERROR((INDEX(METADATA!$T$2:$T$20,MATCH(B4518,METADATA!$S$2:$S$20,0))),0)</f>
        <v>0</v>
      </c>
      <c r="E4518" s="312" t="str">
        <f t="shared" si="280"/>
        <v>LO</v>
      </c>
      <c r="F4518" s="369">
        <f>VLOOKUP(C4518,METADATA!$A$5:$H$29,IF(E4518="HI",2,IF(E4518="LO",6,10))+IF(D4518=1,2,IF(D4518=7,1,(IF(WEEKDAY(B4518)=1,2,IF(WEEKDAY(B4518)=7,1,0))))))</f>
        <v>3</v>
      </c>
      <c r="G4518" s="369">
        <f>VLOOKUP(C4518,METADATA!$J$5:$Q$29,IF(E4518="HI",2,IF(E4518="LO",6,10))+IF(D4518=1,2,IF(D4518=7,1,(IF(WEEKDAY(B4518)=1,2,IF(WEEKDAY(B4518)=7,1,0))))))</f>
        <v>3</v>
      </c>
      <c r="H4518" s="370">
        <v>13076.999877929688</v>
      </c>
      <c r="I4518" s="370">
        <v>4220.614990234375</v>
      </c>
      <c r="M4518" s="371">
        <f t="shared" si="281"/>
        <v>13741.234176854863</v>
      </c>
      <c r="N4518" s="329">
        <f t="shared" si="282"/>
        <v>297.51502685546893</v>
      </c>
      <c r="T4518" s="331">
        <v>0</v>
      </c>
      <c r="U4518" s="328">
        <f>VLOOKUP(C4518,METADATA!$J$5:$Q$29,IF(E4518="HI",2,IF(E4518="LO",6,10))+IF(T4518=1,2,IF(D4518=7,1,(IF(WEEKDAY(B4518)=1,2,IF(WEEKDAY(B4518)=7,1,0))))))</f>
        <v>3</v>
      </c>
      <c r="V4518" s="328">
        <f>VLOOKUP(C4518,METADATA!$A$5:$H$29,IF(E4518="HI",2,IF(E4518="LO",6,10))+IF(T4518=1,2,IF(D4518=7,1,(IF(WEEKDAY(B4518)=1,2,IF(WEEKDAY(B4518)=7,1,0))))))</f>
        <v>3</v>
      </c>
    </row>
    <row r="4519" spans="2:22">
      <c r="B4519" s="318">
        <f t="shared" si="283"/>
        <v>46301</v>
      </c>
      <c r="C4519" s="312">
        <v>3</v>
      </c>
      <c r="D4519" s="368">
        <f>IFERROR((INDEX(METADATA!$T$2:$T$20,MATCH(B4519,METADATA!$S$2:$S$20,0))),0)</f>
        <v>0</v>
      </c>
      <c r="E4519" s="312" t="str">
        <f t="shared" si="280"/>
        <v>LO</v>
      </c>
      <c r="F4519" s="369">
        <f>VLOOKUP(C4519,METADATA!$A$5:$H$29,IF(E4519="HI",2,IF(E4519="LO",6,10))+IF(D4519=1,2,IF(D4519=7,1,(IF(WEEKDAY(B4519)=1,2,IF(WEEKDAY(B4519)=7,1,0))))))</f>
        <v>3</v>
      </c>
      <c r="G4519" s="369">
        <f>VLOOKUP(C4519,METADATA!$J$5:$Q$29,IF(E4519="HI",2,IF(E4519="LO",6,10))+IF(D4519=1,2,IF(D4519=7,1,(IF(WEEKDAY(B4519)=1,2,IF(WEEKDAY(B4519)=7,1,0))))))</f>
        <v>3</v>
      </c>
      <c r="H4519" s="370">
        <v>13006.474975585938</v>
      </c>
      <c r="I4519" s="370">
        <v>4198.8450012207031</v>
      </c>
      <c r="M4519" s="371">
        <f t="shared" si="281"/>
        <v>13667.431749777252</v>
      </c>
      <c r="N4519" s="329">
        <f t="shared" si="282"/>
        <v>296.90250854492206</v>
      </c>
      <c r="T4519" s="331">
        <v>0</v>
      </c>
      <c r="U4519" s="328">
        <f>VLOOKUP(C4519,METADATA!$J$5:$Q$29,IF(E4519="HI",2,IF(E4519="LO",6,10))+IF(T4519=1,2,IF(D4519=7,1,(IF(WEEKDAY(B4519)=1,2,IF(WEEKDAY(B4519)=7,1,0))))))</f>
        <v>3</v>
      </c>
      <c r="V4519" s="328">
        <f>VLOOKUP(C4519,METADATA!$A$5:$H$29,IF(E4519="HI",2,IF(E4519="LO",6,10))+IF(T4519=1,2,IF(D4519=7,1,(IF(WEEKDAY(B4519)=1,2,IF(WEEKDAY(B4519)=7,1,0))))))</f>
        <v>3</v>
      </c>
    </row>
    <row r="4520" spans="2:22">
      <c r="B4520" s="318">
        <f t="shared" si="283"/>
        <v>46301</v>
      </c>
      <c r="C4520" s="312">
        <v>4</v>
      </c>
      <c r="D4520" s="368">
        <f>IFERROR((INDEX(METADATA!$T$2:$T$20,MATCH(B4520,METADATA!$S$2:$S$20,0))),0)</f>
        <v>0</v>
      </c>
      <c r="E4520" s="312" t="str">
        <f t="shared" si="280"/>
        <v>LO</v>
      </c>
      <c r="F4520" s="369">
        <f>VLOOKUP(C4520,METADATA!$A$5:$H$29,IF(E4520="HI",2,IF(E4520="LO",6,10))+IF(D4520=1,2,IF(D4520=7,1,(IF(WEEKDAY(B4520)=1,2,IF(WEEKDAY(B4520)=7,1,0))))))</f>
        <v>3</v>
      </c>
      <c r="G4520" s="369">
        <f>VLOOKUP(C4520,METADATA!$J$5:$Q$29,IF(E4520="HI",2,IF(E4520="LO",6,10))+IF(D4520=1,2,IF(D4520=7,1,(IF(WEEKDAY(B4520)=1,2,IF(WEEKDAY(B4520)=7,1,0))))))</f>
        <v>3</v>
      </c>
      <c r="H4520" s="370">
        <v>13116.674926757813</v>
      </c>
      <c r="I4520" s="370">
        <v>4200.0650634765625</v>
      </c>
      <c r="M4520" s="371">
        <f t="shared" si="281"/>
        <v>13772.71606008319</v>
      </c>
      <c r="N4520" s="329">
        <f t="shared" si="282"/>
        <v>265.06258544921911</v>
      </c>
      <c r="T4520" s="331">
        <v>0</v>
      </c>
      <c r="U4520" s="328">
        <f>VLOOKUP(C4520,METADATA!$J$5:$Q$29,IF(E4520="HI",2,IF(E4520="LO",6,10))+IF(T4520=1,2,IF(D4520=7,1,(IF(WEEKDAY(B4520)=1,2,IF(WEEKDAY(B4520)=7,1,0))))))</f>
        <v>3</v>
      </c>
      <c r="V4520" s="328">
        <f>VLOOKUP(C4520,METADATA!$A$5:$H$29,IF(E4520="HI",2,IF(E4520="LO",6,10))+IF(T4520=1,2,IF(D4520=7,1,(IF(WEEKDAY(B4520)=1,2,IF(WEEKDAY(B4520)=7,1,0))))))</f>
        <v>3</v>
      </c>
    </row>
    <row r="4521" spans="2:22">
      <c r="B4521" s="318">
        <f t="shared" si="283"/>
        <v>46301</v>
      </c>
      <c r="C4521" s="312">
        <v>5</v>
      </c>
      <c r="D4521" s="368">
        <f>IFERROR((INDEX(METADATA!$T$2:$T$20,MATCH(B4521,METADATA!$S$2:$S$20,0))),0)</f>
        <v>0</v>
      </c>
      <c r="E4521" s="312" t="str">
        <f t="shared" si="280"/>
        <v>LO</v>
      </c>
      <c r="F4521" s="369">
        <f>VLOOKUP(C4521,METADATA!$A$5:$H$29,IF(E4521="HI",2,IF(E4521="LO",6,10))+IF(D4521=1,2,IF(D4521=7,1,(IF(WEEKDAY(B4521)=1,2,IF(WEEKDAY(B4521)=7,1,0))))))</f>
        <v>3</v>
      </c>
      <c r="G4521" s="369">
        <f>VLOOKUP(C4521,METADATA!$J$5:$Q$29,IF(E4521="HI",2,IF(E4521="LO",6,10))+IF(D4521=1,2,IF(D4521=7,1,(IF(WEEKDAY(B4521)=1,2,IF(WEEKDAY(B4521)=7,1,0))))))</f>
        <v>3</v>
      </c>
      <c r="H4521" s="370">
        <v>13217.674743652344</v>
      </c>
      <c r="I4521" s="370">
        <v>4217.655029296875</v>
      </c>
      <c r="M4521" s="371">
        <f t="shared" si="281"/>
        <v>13874.276182026155</v>
      </c>
      <c r="N4521" s="329">
        <f t="shared" si="282"/>
        <v>252.35260620117197</v>
      </c>
      <c r="T4521" s="331">
        <v>0</v>
      </c>
      <c r="U4521" s="328">
        <f>VLOOKUP(C4521,METADATA!$J$5:$Q$29,IF(E4521="HI",2,IF(E4521="LO",6,10))+IF(T4521=1,2,IF(D4521=7,1,(IF(WEEKDAY(B4521)=1,2,IF(WEEKDAY(B4521)=7,1,0))))))</f>
        <v>3</v>
      </c>
      <c r="V4521" s="328">
        <f>VLOOKUP(C4521,METADATA!$A$5:$H$29,IF(E4521="HI",2,IF(E4521="LO",6,10))+IF(T4521=1,2,IF(D4521=7,1,(IF(WEEKDAY(B4521)=1,2,IF(WEEKDAY(B4521)=7,1,0))))))</f>
        <v>3</v>
      </c>
    </row>
    <row r="4522" spans="2:22">
      <c r="B4522" s="318">
        <f t="shared" si="283"/>
        <v>46301</v>
      </c>
      <c r="C4522" s="312">
        <v>6</v>
      </c>
      <c r="D4522" s="368">
        <f>IFERROR((INDEX(METADATA!$T$2:$T$20,MATCH(B4522,METADATA!$S$2:$S$20,0))),0)</f>
        <v>0</v>
      </c>
      <c r="E4522" s="312" t="str">
        <f t="shared" si="280"/>
        <v>LO</v>
      </c>
      <c r="F4522" s="369">
        <f>VLOOKUP(C4522,METADATA!$A$5:$H$29,IF(E4522="HI",2,IF(E4522="LO",6,10))+IF(D4522=1,2,IF(D4522=7,1,(IF(WEEKDAY(B4522)=1,2,IF(WEEKDAY(B4522)=7,1,0))))))</f>
        <v>2</v>
      </c>
      <c r="G4522" s="369">
        <f>VLOOKUP(C4522,METADATA!$J$5:$Q$29,IF(E4522="HI",2,IF(E4522="LO",6,10))+IF(D4522=1,2,IF(D4522=7,1,(IF(WEEKDAY(B4522)=1,2,IF(WEEKDAY(B4522)=7,1,0))))))</f>
        <v>2</v>
      </c>
      <c r="H4522" s="370">
        <v>13009.100158691406</v>
      </c>
      <c r="I4522" s="370">
        <v>4156.6200866699219</v>
      </c>
      <c r="M4522" s="371">
        <f t="shared" si="281"/>
        <v>13657.019348443959</v>
      </c>
      <c r="N4522" s="329">
        <f t="shared" si="282"/>
        <v>253.89003906250036</v>
      </c>
      <c r="T4522" s="331">
        <v>0</v>
      </c>
      <c r="U4522" s="328">
        <f>VLOOKUP(C4522,METADATA!$J$5:$Q$29,IF(E4522="HI",2,IF(E4522="LO",6,10))+IF(T4522=1,2,IF(D4522=7,1,(IF(WEEKDAY(B4522)=1,2,IF(WEEKDAY(B4522)=7,1,0))))))</f>
        <v>2</v>
      </c>
      <c r="V4522" s="328">
        <f>VLOOKUP(C4522,METADATA!$A$5:$H$29,IF(E4522="HI",2,IF(E4522="LO",6,10))+IF(T4522=1,2,IF(D4522=7,1,(IF(WEEKDAY(B4522)=1,2,IF(WEEKDAY(B4522)=7,1,0))))))</f>
        <v>2</v>
      </c>
    </row>
    <row r="4523" spans="2:22">
      <c r="B4523" s="318">
        <f t="shared" si="283"/>
        <v>46301</v>
      </c>
      <c r="C4523" s="312">
        <v>7</v>
      </c>
      <c r="D4523" s="368">
        <f>IFERROR((INDEX(METADATA!$T$2:$T$20,MATCH(B4523,METADATA!$S$2:$S$20,0))),0)</f>
        <v>0</v>
      </c>
      <c r="E4523" s="312" t="str">
        <f t="shared" si="280"/>
        <v>LO</v>
      </c>
      <c r="F4523" s="369">
        <f>VLOOKUP(C4523,METADATA!$A$5:$H$29,IF(E4523="HI",2,IF(E4523="LO",6,10))+IF(D4523=1,2,IF(D4523=7,1,(IF(WEEKDAY(B4523)=1,2,IF(WEEKDAY(B4523)=7,1,0))))))</f>
        <v>1</v>
      </c>
      <c r="G4523" s="369">
        <f>VLOOKUP(C4523,METADATA!$J$5:$Q$29,IF(E4523="HI",2,IF(E4523="LO",6,10))+IF(D4523=1,2,IF(D4523=7,1,(IF(WEEKDAY(B4523)=1,2,IF(WEEKDAY(B4523)=7,1,0))))))</f>
        <v>1</v>
      </c>
      <c r="H4523" s="370">
        <v>13283.624938964844</v>
      </c>
      <c r="I4523" s="370">
        <v>4259.9599914550781</v>
      </c>
      <c r="M4523" s="371">
        <f t="shared" si="281"/>
        <v>13949.980309946201</v>
      </c>
      <c r="N4523" s="329">
        <f t="shared" si="282"/>
        <v>274.87250976562518</v>
      </c>
      <c r="T4523" s="331">
        <v>0</v>
      </c>
      <c r="U4523" s="328">
        <f>VLOOKUP(C4523,METADATA!$J$5:$Q$29,IF(E4523="HI",2,IF(E4523="LO",6,10))+IF(T4523=1,2,IF(D4523=7,1,(IF(WEEKDAY(B4523)=1,2,IF(WEEKDAY(B4523)=7,1,0))))))</f>
        <v>1</v>
      </c>
      <c r="V4523" s="328">
        <f>VLOOKUP(C4523,METADATA!$A$5:$H$29,IF(E4523="HI",2,IF(E4523="LO",6,10))+IF(T4523=1,2,IF(D4523=7,1,(IF(WEEKDAY(B4523)=1,2,IF(WEEKDAY(B4523)=7,1,0))))))</f>
        <v>1</v>
      </c>
    </row>
    <row r="4524" spans="2:22">
      <c r="B4524" s="318">
        <f t="shared" si="283"/>
        <v>46301</v>
      </c>
      <c r="C4524" s="312">
        <v>8</v>
      </c>
      <c r="D4524" s="368">
        <f>IFERROR((INDEX(METADATA!$T$2:$T$20,MATCH(B4524,METADATA!$S$2:$S$20,0))),0)</f>
        <v>0</v>
      </c>
      <c r="E4524" s="312" t="str">
        <f t="shared" si="280"/>
        <v>LO</v>
      </c>
      <c r="F4524" s="369">
        <f>VLOOKUP(C4524,METADATA!$A$5:$H$29,IF(E4524="HI",2,IF(E4524="LO",6,10))+IF(D4524=1,2,IF(D4524=7,1,(IF(WEEKDAY(B4524)=1,2,IF(WEEKDAY(B4524)=7,1,0))))))</f>
        <v>1</v>
      </c>
      <c r="G4524" s="369">
        <f>VLOOKUP(C4524,METADATA!$J$5:$Q$29,IF(E4524="HI",2,IF(E4524="LO",6,10))+IF(D4524=1,2,IF(D4524=7,1,(IF(WEEKDAY(B4524)=1,2,IF(WEEKDAY(B4524)=7,1,0))))))</f>
        <v>1</v>
      </c>
      <c r="H4524" s="370">
        <v>13225.249816894531</v>
      </c>
      <c r="I4524" s="370">
        <v>4341.35498046875</v>
      </c>
      <c r="M4524" s="371">
        <f t="shared" si="281"/>
        <v>13919.575991592188</v>
      </c>
      <c r="N4524" s="329">
        <f t="shared" si="282"/>
        <v>373.78003540039072</v>
      </c>
      <c r="T4524" s="331">
        <v>0</v>
      </c>
      <c r="U4524" s="328">
        <f>VLOOKUP(C4524,METADATA!$J$5:$Q$29,IF(E4524="HI",2,IF(E4524="LO",6,10))+IF(T4524=1,2,IF(D4524=7,1,(IF(WEEKDAY(B4524)=1,2,IF(WEEKDAY(B4524)=7,1,0))))))</f>
        <v>1</v>
      </c>
      <c r="V4524" s="328">
        <f>VLOOKUP(C4524,METADATA!$A$5:$H$29,IF(E4524="HI",2,IF(E4524="LO",6,10))+IF(T4524=1,2,IF(D4524=7,1,(IF(WEEKDAY(B4524)=1,2,IF(WEEKDAY(B4524)=7,1,0))))))</f>
        <v>1</v>
      </c>
    </row>
    <row r="4525" spans="2:22">
      <c r="B4525" s="318">
        <f t="shared" si="283"/>
        <v>46301</v>
      </c>
      <c r="C4525" s="312">
        <v>9</v>
      </c>
      <c r="D4525" s="368">
        <f>IFERROR((INDEX(METADATA!$T$2:$T$20,MATCH(B4525,METADATA!$S$2:$S$20,0))),0)</f>
        <v>0</v>
      </c>
      <c r="E4525" s="312" t="str">
        <f t="shared" si="280"/>
        <v>LO</v>
      </c>
      <c r="F4525" s="369">
        <f>VLOOKUP(C4525,METADATA!$A$5:$H$29,IF(E4525="HI",2,IF(E4525="LO",6,10))+IF(D4525=1,2,IF(D4525=7,1,(IF(WEEKDAY(B4525)=1,2,IF(WEEKDAY(B4525)=7,1,0))))))</f>
        <v>2</v>
      </c>
      <c r="G4525" s="369">
        <f>VLOOKUP(C4525,METADATA!$J$5:$Q$29,IF(E4525="HI",2,IF(E4525="LO",6,10))+IF(D4525=1,2,IF(D4525=7,1,(IF(WEEKDAY(B4525)=1,2,IF(WEEKDAY(B4525)=7,1,0))))))</f>
        <v>2</v>
      </c>
      <c r="H4525" s="370">
        <v>13249.92529296875</v>
      </c>
      <c r="I4525" s="370">
        <v>4271.125</v>
      </c>
      <c r="M4525" s="371">
        <f t="shared" si="281"/>
        <v>13921.315635918827</v>
      </c>
      <c r="N4525" s="329">
        <f t="shared" si="282"/>
        <v>296.14741210937518</v>
      </c>
      <c r="T4525" s="331">
        <v>0</v>
      </c>
      <c r="U4525" s="328">
        <f>VLOOKUP(C4525,METADATA!$J$5:$Q$29,IF(E4525="HI",2,IF(E4525="LO",6,10))+IF(T4525=1,2,IF(D4525=7,1,(IF(WEEKDAY(B4525)=1,2,IF(WEEKDAY(B4525)=7,1,0))))))</f>
        <v>2</v>
      </c>
      <c r="V4525" s="328">
        <f>VLOOKUP(C4525,METADATA!$A$5:$H$29,IF(E4525="HI",2,IF(E4525="LO",6,10))+IF(T4525=1,2,IF(D4525=7,1,(IF(WEEKDAY(B4525)=1,2,IF(WEEKDAY(B4525)=7,1,0))))))</f>
        <v>2</v>
      </c>
    </row>
    <row r="4526" spans="2:22">
      <c r="B4526" s="318">
        <f t="shared" si="283"/>
        <v>46301</v>
      </c>
      <c r="C4526" s="312">
        <v>10</v>
      </c>
      <c r="D4526" s="368">
        <f>IFERROR((INDEX(METADATA!$T$2:$T$20,MATCH(B4526,METADATA!$S$2:$S$20,0))),0)</f>
        <v>0</v>
      </c>
      <c r="E4526" s="312" t="str">
        <f t="shared" si="280"/>
        <v>LO</v>
      </c>
      <c r="F4526" s="369">
        <f>VLOOKUP(C4526,METADATA!$A$5:$H$29,IF(E4526="HI",2,IF(E4526="LO",6,10))+IF(D4526=1,2,IF(D4526=7,1,(IF(WEEKDAY(B4526)=1,2,IF(WEEKDAY(B4526)=7,1,0))))))</f>
        <v>2</v>
      </c>
      <c r="G4526" s="369">
        <f>VLOOKUP(C4526,METADATA!$J$5:$Q$29,IF(E4526="HI",2,IF(E4526="LO",6,10))+IF(D4526=1,2,IF(D4526=7,1,(IF(WEEKDAY(B4526)=1,2,IF(WEEKDAY(B4526)=7,1,0))))))</f>
        <v>2</v>
      </c>
      <c r="H4526" s="370">
        <v>13267.624877929688</v>
      </c>
      <c r="I4526" s="370">
        <v>4250.47998046875</v>
      </c>
      <c r="M4526" s="371">
        <f t="shared" si="281"/>
        <v>13931.850198944301</v>
      </c>
      <c r="N4526" s="329">
        <f t="shared" si="282"/>
        <v>270.19251708984393</v>
      </c>
      <c r="T4526" s="331">
        <v>0</v>
      </c>
      <c r="U4526" s="328">
        <f>VLOOKUP(C4526,METADATA!$J$5:$Q$29,IF(E4526="HI",2,IF(E4526="LO",6,10))+IF(T4526=1,2,IF(D4526=7,1,(IF(WEEKDAY(B4526)=1,2,IF(WEEKDAY(B4526)=7,1,0))))))</f>
        <v>2</v>
      </c>
      <c r="V4526" s="328">
        <f>VLOOKUP(C4526,METADATA!$A$5:$H$29,IF(E4526="HI",2,IF(E4526="LO",6,10))+IF(T4526=1,2,IF(D4526=7,1,(IF(WEEKDAY(B4526)=1,2,IF(WEEKDAY(B4526)=7,1,0))))))</f>
        <v>2</v>
      </c>
    </row>
    <row r="4527" spans="2:22">
      <c r="B4527" s="318">
        <f t="shared" si="283"/>
        <v>46301</v>
      </c>
      <c r="C4527" s="312">
        <v>11</v>
      </c>
      <c r="D4527" s="368">
        <f>IFERROR((INDEX(METADATA!$T$2:$T$20,MATCH(B4527,METADATA!$S$2:$S$20,0))),0)</f>
        <v>0</v>
      </c>
      <c r="E4527" s="312" t="str">
        <f t="shared" si="280"/>
        <v>LO</v>
      </c>
      <c r="F4527" s="369">
        <f>VLOOKUP(C4527,METADATA!$A$5:$H$29,IF(E4527="HI",2,IF(E4527="LO",6,10))+IF(D4527=1,2,IF(D4527=7,1,(IF(WEEKDAY(B4527)=1,2,IF(WEEKDAY(B4527)=7,1,0))))))</f>
        <v>2</v>
      </c>
      <c r="G4527" s="369">
        <f>VLOOKUP(C4527,METADATA!$J$5:$Q$29,IF(E4527="HI",2,IF(E4527="LO",6,10))+IF(D4527=1,2,IF(D4527=7,1,(IF(WEEKDAY(B4527)=1,2,IF(WEEKDAY(B4527)=7,1,0))))))</f>
        <v>2</v>
      </c>
      <c r="H4527" s="370">
        <v>13244.575012207031</v>
      </c>
      <c r="I4527" s="370">
        <v>4247.6849365234375</v>
      </c>
      <c r="M4527" s="371">
        <f t="shared" si="281"/>
        <v>13909.047220206961</v>
      </c>
      <c r="N4527" s="329">
        <f t="shared" si="282"/>
        <v>274.31243286132849</v>
      </c>
      <c r="T4527" s="331">
        <v>0</v>
      </c>
      <c r="U4527" s="328">
        <f>VLOOKUP(C4527,METADATA!$J$5:$Q$29,IF(E4527="HI",2,IF(E4527="LO",6,10))+IF(T4527=1,2,IF(D4527=7,1,(IF(WEEKDAY(B4527)=1,2,IF(WEEKDAY(B4527)=7,1,0))))))</f>
        <v>2</v>
      </c>
      <c r="V4527" s="328">
        <f>VLOOKUP(C4527,METADATA!$A$5:$H$29,IF(E4527="HI",2,IF(E4527="LO",6,10))+IF(T4527=1,2,IF(D4527=7,1,(IF(WEEKDAY(B4527)=1,2,IF(WEEKDAY(B4527)=7,1,0))))))</f>
        <v>2</v>
      </c>
    </row>
    <row r="4528" spans="2:22">
      <c r="B4528" s="318">
        <f t="shared" si="283"/>
        <v>46301</v>
      </c>
      <c r="C4528" s="312">
        <v>12</v>
      </c>
      <c r="D4528" s="368">
        <f>IFERROR((INDEX(METADATA!$T$2:$T$20,MATCH(B4528,METADATA!$S$2:$S$20,0))),0)</f>
        <v>0</v>
      </c>
      <c r="E4528" s="312" t="str">
        <f t="shared" si="280"/>
        <v>LO</v>
      </c>
      <c r="F4528" s="369">
        <f>VLOOKUP(C4528,METADATA!$A$5:$H$29,IF(E4528="HI",2,IF(E4528="LO",6,10))+IF(D4528=1,2,IF(D4528=7,1,(IF(WEEKDAY(B4528)=1,2,IF(WEEKDAY(B4528)=7,1,0))))))</f>
        <v>2</v>
      </c>
      <c r="G4528" s="369">
        <f>VLOOKUP(C4528,METADATA!$J$5:$Q$29,IF(E4528="HI",2,IF(E4528="LO",6,10))+IF(D4528=1,2,IF(D4528=7,1,(IF(WEEKDAY(B4528)=1,2,IF(WEEKDAY(B4528)=7,1,0))))))</f>
        <v>2</v>
      </c>
      <c r="H4528" s="370">
        <v>11855.119995117188</v>
      </c>
      <c r="I4528" s="370">
        <v>3411.0849914550781</v>
      </c>
      <c r="M4528" s="371">
        <f t="shared" si="281"/>
        <v>12336.100312398461</v>
      </c>
      <c r="N4528" s="329">
        <f t="shared" si="282"/>
        <v>0</v>
      </c>
      <c r="T4528" s="331">
        <v>0</v>
      </c>
      <c r="U4528" s="328">
        <f>VLOOKUP(C4528,METADATA!$J$5:$Q$29,IF(E4528="HI",2,IF(E4528="LO",6,10))+IF(T4528=1,2,IF(D4528=7,1,(IF(WEEKDAY(B4528)=1,2,IF(WEEKDAY(B4528)=7,1,0))))))</f>
        <v>2</v>
      </c>
      <c r="V4528" s="328">
        <f>VLOOKUP(C4528,METADATA!$A$5:$H$29,IF(E4528="HI",2,IF(E4528="LO",6,10))+IF(T4528=1,2,IF(D4528=7,1,(IF(WEEKDAY(B4528)=1,2,IF(WEEKDAY(B4528)=7,1,0))))))</f>
        <v>2</v>
      </c>
    </row>
    <row r="4529" spans="2:22">
      <c r="B4529" s="318">
        <f t="shared" si="283"/>
        <v>46301</v>
      </c>
      <c r="C4529" s="312">
        <v>13</v>
      </c>
      <c r="D4529" s="368">
        <f>IFERROR((INDEX(METADATA!$T$2:$T$20,MATCH(B4529,METADATA!$S$2:$S$20,0))),0)</f>
        <v>0</v>
      </c>
      <c r="E4529" s="312" t="str">
        <f t="shared" si="280"/>
        <v>LO</v>
      </c>
      <c r="F4529" s="369">
        <f>VLOOKUP(C4529,METADATA!$A$5:$H$29,IF(E4529="HI",2,IF(E4529="LO",6,10))+IF(D4529=1,2,IF(D4529=7,1,(IF(WEEKDAY(B4529)=1,2,IF(WEEKDAY(B4529)=7,1,0))))))</f>
        <v>2</v>
      </c>
      <c r="G4529" s="369">
        <f>VLOOKUP(C4529,METADATA!$J$5:$Q$29,IF(E4529="HI",2,IF(E4529="LO",6,10))+IF(D4529=1,2,IF(D4529=7,1,(IF(WEEKDAY(B4529)=1,2,IF(WEEKDAY(B4529)=7,1,0))))))</f>
        <v>2</v>
      </c>
      <c r="H4529" s="370">
        <v>11146.697601318359</v>
      </c>
      <c r="I4529" s="370">
        <v>2882.7599182128906</v>
      </c>
      <c r="M4529" s="371">
        <f t="shared" si="281"/>
        <v>11513.43442076652</v>
      </c>
      <c r="N4529" s="329">
        <f t="shared" si="282"/>
        <v>0</v>
      </c>
      <c r="T4529" s="331">
        <v>0</v>
      </c>
      <c r="U4529" s="328">
        <f>VLOOKUP(C4529,METADATA!$J$5:$Q$29,IF(E4529="HI",2,IF(E4529="LO",6,10))+IF(T4529=1,2,IF(D4529=7,1,(IF(WEEKDAY(B4529)=1,2,IF(WEEKDAY(B4529)=7,1,0))))))</f>
        <v>2</v>
      </c>
      <c r="V4529" s="328">
        <f>VLOOKUP(C4529,METADATA!$A$5:$H$29,IF(E4529="HI",2,IF(E4529="LO",6,10))+IF(T4529=1,2,IF(D4529=7,1,(IF(WEEKDAY(B4529)=1,2,IF(WEEKDAY(B4529)=7,1,0))))))</f>
        <v>2</v>
      </c>
    </row>
    <row r="4530" spans="2:22">
      <c r="B4530" s="318">
        <f t="shared" si="283"/>
        <v>46301</v>
      </c>
      <c r="C4530" s="312">
        <v>14</v>
      </c>
      <c r="D4530" s="368">
        <f>IFERROR((INDEX(METADATA!$T$2:$T$20,MATCH(B4530,METADATA!$S$2:$S$20,0))),0)</f>
        <v>0</v>
      </c>
      <c r="E4530" s="312" t="str">
        <f t="shared" si="280"/>
        <v>LO</v>
      </c>
      <c r="F4530" s="369">
        <f>VLOOKUP(C4530,METADATA!$A$5:$H$29,IF(E4530="HI",2,IF(E4530="LO",6,10))+IF(D4530=1,2,IF(D4530=7,1,(IF(WEEKDAY(B4530)=1,2,IF(WEEKDAY(B4530)=7,1,0))))))</f>
        <v>2</v>
      </c>
      <c r="G4530" s="369">
        <f>VLOOKUP(C4530,METADATA!$J$5:$Q$29,IF(E4530="HI",2,IF(E4530="LO",6,10))+IF(D4530=1,2,IF(D4530=7,1,(IF(WEEKDAY(B4530)=1,2,IF(WEEKDAY(B4530)=7,1,0))))))</f>
        <v>2</v>
      </c>
      <c r="H4530" s="370">
        <v>11793.824951171875</v>
      </c>
      <c r="I4530" s="370">
        <v>3340.8349914550781</v>
      </c>
      <c r="M4530" s="371">
        <f t="shared" si="281"/>
        <v>12257.874424997792</v>
      </c>
      <c r="N4530" s="329">
        <f t="shared" si="282"/>
        <v>0</v>
      </c>
      <c r="T4530" s="331">
        <v>0</v>
      </c>
      <c r="U4530" s="328">
        <f>VLOOKUP(C4530,METADATA!$J$5:$Q$29,IF(E4530="HI",2,IF(E4530="LO",6,10))+IF(T4530=1,2,IF(D4530=7,1,(IF(WEEKDAY(B4530)=1,2,IF(WEEKDAY(B4530)=7,1,0))))))</f>
        <v>2</v>
      </c>
      <c r="V4530" s="328">
        <f>VLOOKUP(C4530,METADATA!$A$5:$H$29,IF(E4530="HI",2,IF(E4530="LO",6,10))+IF(T4530=1,2,IF(D4530=7,1,(IF(WEEKDAY(B4530)=1,2,IF(WEEKDAY(B4530)=7,1,0))))))</f>
        <v>2</v>
      </c>
    </row>
    <row r="4531" spans="2:22">
      <c r="B4531" s="318">
        <f t="shared" si="283"/>
        <v>46301</v>
      </c>
      <c r="C4531" s="312">
        <v>15</v>
      </c>
      <c r="D4531" s="368">
        <f>IFERROR((INDEX(METADATA!$T$2:$T$20,MATCH(B4531,METADATA!$S$2:$S$20,0))),0)</f>
        <v>0</v>
      </c>
      <c r="E4531" s="312" t="str">
        <f t="shared" si="280"/>
        <v>LO</v>
      </c>
      <c r="F4531" s="369">
        <f>VLOOKUP(C4531,METADATA!$A$5:$H$29,IF(E4531="HI",2,IF(E4531="LO",6,10))+IF(D4531=1,2,IF(D4531=7,1,(IF(WEEKDAY(B4531)=1,2,IF(WEEKDAY(B4531)=7,1,0))))))</f>
        <v>2</v>
      </c>
      <c r="G4531" s="369">
        <f>VLOOKUP(C4531,METADATA!$J$5:$Q$29,IF(E4531="HI",2,IF(E4531="LO",6,10))+IF(D4531=1,2,IF(D4531=7,1,(IF(WEEKDAY(B4531)=1,2,IF(WEEKDAY(B4531)=7,1,0))))))</f>
        <v>2</v>
      </c>
      <c r="H4531" s="370">
        <v>13050.775207519531</v>
      </c>
      <c r="I4531" s="370">
        <v>4108.6650390625</v>
      </c>
      <c r="M4531" s="371">
        <f t="shared" si="281"/>
        <v>13682.246230806582</v>
      </c>
      <c r="N4531" s="329">
        <f t="shared" si="282"/>
        <v>193.43247680664081</v>
      </c>
      <c r="T4531" s="331">
        <v>0</v>
      </c>
      <c r="U4531" s="328">
        <f>VLOOKUP(C4531,METADATA!$J$5:$Q$29,IF(E4531="HI",2,IF(E4531="LO",6,10))+IF(T4531=1,2,IF(D4531=7,1,(IF(WEEKDAY(B4531)=1,2,IF(WEEKDAY(B4531)=7,1,0))))))</f>
        <v>2</v>
      </c>
      <c r="V4531" s="328">
        <f>VLOOKUP(C4531,METADATA!$A$5:$H$29,IF(E4531="HI",2,IF(E4531="LO",6,10))+IF(T4531=1,2,IF(D4531=7,1,(IF(WEEKDAY(B4531)=1,2,IF(WEEKDAY(B4531)=7,1,0))))))</f>
        <v>2</v>
      </c>
    </row>
    <row r="4532" spans="2:22">
      <c r="B4532" s="318">
        <f t="shared" si="283"/>
        <v>46301</v>
      </c>
      <c r="C4532" s="312">
        <v>16</v>
      </c>
      <c r="D4532" s="368">
        <f>IFERROR((INDEX(METADATA!$T$2:$T$20,MATCH(B4532,METADATA!$S$2:$S$20,0))),0)</f>
        <v>0</v>
      </c>
      <c r="E4532" s="312" t="str">
        <f t="shared" si="280"/>
        <v>LO</v>
      </c>
      <c r="F4532" s="369">
        <f>VLOOKUP(C4532,METADATA!$A$5:$H$29,IF(E4532="HI",2,IF(E4532="LO",6,10))+IF(D4532=1,2,IF(D4532=7,1,(IF(WEEKDAY(B4532)=1,2,IF(WEEKDAY(B4532)=7,1,0))))))</f>
        <v>2</v>
      </c>
      <c r="G4532" s="369">
        <f>VLOOKUP(C4532,METADATA!$J$5:$Q$29,IF(E4532="HI",2,IF(E4532="LO",6,10))+IF(D4532=1,2,IF(D4532=7,1,(IF(WEEKDAY(B4532)=1,2,IF(WEEKDAY(B4532)=7,1,0))))))</f>
        <v>2</v>
      </c>
      <c r="H4532" s="370">
        <v>13064.675231933594</v>
      </c>
      <c r="I4532" s="370">
        <v>4170.8049926757813</v>
      </c>
      <c r="M4532" s="371">
        <f t="shared" si="281"/>
        <v>13714.275525992189</v>
      </c>
      <c r="N4532" s="329">
        <f t="shared" si="282"/>
        <v>251.4024230957034</v>
      </c>
      <c r="T4532" s="331">
        <v>0</v>
      </c>
      <c r="U4532" s="328">
        <f>VLOOKUP(C4532,METADATA!$J$5:$Q$29,IF(E4532="HI",2,IF(E4532="LO",6,10))+IF(T4532=1,2,IF(D4532=7,1,(IF(WEEKDAY(B4532)=1,2,IF(WEEKDAY(B4532)=7,1,0))))))</f>
        <v>2</v>
      </c>
      <c r="V4532" s="328">
        <f>VLOOKUP(C4532,METADATA!$A$5:$H$29,IF(E4532="HI",2,IF(E4532="LO",6,10))+IF(T4532=1,2,IF(D4532=7,1,(IF(WEEKDAY(B4532)=1,2,IF(WEEKDAY(B4532)=7,1,0))))))</f>
        <v>2</v>
      </c>
    </row>
    <row r="4533" spans="2:22">
      <c r="B4533" s="318">
        <f t="shared" si="283"/>
        <v>46301</v>
      </c>
      <c r="C4533" s="312">
        <v>17</v>
      </c>
      <c r="D4533" s="368">
        <f>IFERROR((INDEX(METADATA!$T$2:$T$20,MATCH(B4533,METADATA!$S$2:$S$20,0))),0)</f>
        <v>0</v>
      </c>
      <c r="E4533" s="312" t="str">
        <f t="shared" si="280"/>
        <v>LO</v>
      </c>
      <c r="F4533" s="369">
        <f>VLOOKUP(C4533,METADATA!$A$5:$H$29,IF(E4533="HI",2,IF(E4533="LO",6,10))+IF(D4533=1,2,IF(D4533=7,1,(IF(WEEKDAY(B4533)=1,2,IF(WEEKDAY(B4533)=7,1,0))))))</f>
        <v>2</v>
      </c>
      <c r="G4533" s="369">
        <f>VLOOKUP(C4533,METADATA!$J$5:$Q$29,IF(E4533="HI",2,IF(E4533="LO",6,10))+IF(D4533=1,2,IF(D4533=7,1,(IF(WEEKDAY(B4533)=1,2,IF(WEEKDAY(B4533)=7,1,0))))))</f>
        <v>2</v>
      </c>
      <c r="H4533" s="370">
        <v>13130.799926757813</v>
      </c>
      <c r="I4533" s="370">
        <v>4310.7799072265625</v>
      </c>
      <c r="M4533" s="371">
        <f t="shared" si="281"/>
        <v>13820.301376058744</v>
      </c>
      <c r="N4533" s="329">
        <f t="shared" si="282"/>
        <v>371.53992919921893</v>
      </c>
      <c r="T4533" s="331">
        <v>0</v>
      </c>
      <c r="U4533" s="328">
        <f>VLOOKUP(C4533,METADATA!$J$5:$Q$29,IF(E4533="HI",2,IF(E4533="LO",6,10))+IF(T4533=1,2,IF(D4533=7,1,(IF(WEEKDAY(B4533)=1,2,IF(WEEKDAY(B4533)=7,1,0))))))</f>
        <v>2</v>
      </c>
      <c r="V4533" s="328">
        <f>VLOOKUP(C4533,METADATA!$A$5:$H$29,IF(E4533="HI",2,IF(E4533="LO",6,10))+IF(T4533=1,2,IF(D4533=7,1,(IF(WEEKDAY(B4533)=1,2,IF(WEEKDAY(B4533)=7,1,0))))))</f>
        <v>2</v>
      </c>
    </row>
    <row r="4534" spans="2:22">
      <c r="B4534" s="318">
        <f t="shared" si="283"/>
        <v>46301</v>
      </c>
      <c r="C4534" s="312">
        <v>18</v>
      </c>
      <c r="D4534" s="368">
        <f>IFERROR((INDEX(METADATA!$T$2:$T$20,MATCH(B4534,METADATA!$S$2:$S$20,0))),0)</f>
        <v>0</v>
      </c>
      <c r="E4534" s="312" t="str">
        <f t="shared" si="280"/>
        <v>LO</v>
      </c>
      <c r="F4534" s="369">
        <f>VLOOKUP(C4534,METADATA!$A$5:$H$29,IF(E4534="HI",2,IF(E4534="LO",6,10))+IF(D4534=1,2,IF(D4534=7,1,(IF(WEEKDAY(B4534)=1,2,IF(WEEKDAY(B4534)=7,1,0))))))</f>
        <v>1</v>
      </c>
      <c r="G4534" s="369">
        <f>VLOOKUP(C4534,METADATA!$J$5:$Q$29,IF(E4534="HI",2,IF(E4534="LO",6,10))+IF(D4534=1,2,IF(D4534=7,1,(IF(WEEKDAY(B4534)=1,2,IF(WEEKDAY(B4534)=7,1,0))))))</f>
        <v>1</v>
      </c>
      <c r="H4534" s="370">
        <v>7782.3974609375</v>
      </c>
      <c r="I4534" s="370">
        <v>2850.3549652099609</v>
      </c>
      <c r="M4534" s="371">
        <f t="shared" si="281"/>
        <v>8287.9571468307877</v>
      </c>
      <c r="N4534" s="329">
        <f t="shared" si="282"/>
        <v>515.63572692871094</v>
      </c>
      <c r="T4534" s="331">
        <v>0</v>
      </c>
      <c r="U4534" s="328">
        <f>VLOOKUP(C4534,METADATA!$J$5:$Q$29,IF(E4534="HI",2,IF(E4534="LO",6,10))+IF(T4534=1,2,IF(D4534=7,1,(IF(WEEKDAY(B4534)=1,2,IF(WEEKDAY(B4534)=7,1,0))))))</f>
        <v>1</v>
      </c>
      <c r="V4534" s="328">
        <f>VLOOKUP(C4534,METADATA!$A$5:$H$29,IF(E4534="HI",2,IF(E4534="LO",6,10))+IF(T4534=1,2,IF(D4534=7,1,(IF(WEEKDAY(B4534)=1,2,IF(WEEKDAY(B4534)=7,1,0))))))</f>
        <v>1</v>
      </c>
    </row>
    <row r="4535" spans="2:22">
      <c r="B4535" s="318">
        <f t="shared" si="283"/>
        <v>46301</v>
      </c>
      <c r="C4535" s="312">
        <v>19</v>
      </c>
      <c r="D4535" s="368">
        <f>IFERROR((INDEX(METADATA!$T$2:$T$20,MATCH(B4535,METADATA!$S$2:$S$20,0))),0)</f>
        <v>0</v>
      </c>
      <c r="E4535" s="312" t="str">
        <f t="shared" si="280"/>
        <v>LO</v>
      </c>
      <c r="F4535" s="369">
        <f>VLOOKUP(C4535,METADATA!$A$5:$H$29,IF(E4535="HI",2,IF(E4535="LO",6,10))+IF(D4535=1,2,IF(D4535=7,1,(IF(WEEKDAY(B4535)=1,2,IF(WEEKDAY(B4535)=7,1,0))))))</f>
        <v>1</v>
      </c>
      <c r="G4535" s="369">
        <f>VLOOKUP(C4535,METADATA!$J$5:$Q$29,IF(E4535="HI",2,IF(E4535="LO",6,10))+IF(D4535=1,2,IF(D4535=7,1,(IF(WEEKDAY(B4535)=1,2,IF(WEEKDAY(B4535)=7,1,0))))))</f>
        <v>1</v>
      </c>
      <c r="H4535" s="370">
        <v>2978.3049926757813</v>
      </c>
      <c r="I4535" s="370">
        <v>3182.5350189208984</v>
      </c>
      <c r="M4535" s="371">
        <f t="shared" si="281"/>
        <v>4358.7647075811892</v>
      </c>
      <c r="N4535" s="329">
        <f t="shared" si="282"/>
        <v>2289.0435211181639</v>
      </c>
      <c r="T4535" s="331">
        <v>0</v>
      </c>
      <c r="U4535" s="328">
        <f>VLOOKUP(C4535,METADATA!$J$5:$Q$29,IF(E4535="HI",2,IF(E4535="LO",6,10))+IF(T4535=1,2,IF(D4535=7,1,(IF(WEEKDAY(B4535)=1,2,IF(WEEKDAY(B4535)=7,1,0))))))</f>
        <v>1</v>
      </c>
      <c r="V4535" s="328">
        <f>VLOOKUP(C4535,METADATA!$A$5:$H$29,IF(E4535="HI",2,IF(E4535="LO",6,10))+IF(T4535=1,2,IF(D4535=7,1,(IF(WEEKDAY(B4535)=1,2,IF(WEEKDAY(B4535)=7,1,0))))))</f>
        <v>1</v>
      </c>
    </row>
    <row r="4536" spans="2:22">
      <c r="B4536" s="318">
        <f t="shared" si="283"/>
        <v>46301</v>
      </c>
      <c r="C4536" s="312">
        <v>20</v>
      </c>
      <c r="D4536" s="368">
        <f>IFERROR((INDEX(METADATA!$T$2:$T$20,MATCH(B4536,METADATA!$S$2:$S$20,0))),0)</f>
        <v>0</v>
      </c>
      <c r="E4536" s="312" t="str">
        <f t="shared" si="280"/>
        <v>LO</v>
      </c>
      <c r="F4536" s="369">
        <f>VLOOKUP(C4536,METADATA!$A$5:$H$29,IF(E4536="HI",2,IF(E4536="LO",6,10))+IF(D4536=1,2,IF(D4536=7,1,(IF(WEEKDAY(B4536)=1,2,IF(WEEKDAY(B4536)=7,1,0))))))</f>
        <v>1</v>
      </c>
      <c r="G4536" s="369">
        <f>VLOOKUP(C4536,METADATA!$J$5:$Q$29,IF(E4536="HI",2,IF(E4536="LO",6,10))+IF(D4536=1,2,IF(D4536=7,1,(IF(WEEKDAY(B4536)=1,2,IF(WEEKDAY(B4536)=7,1,0))))))</f>
        <v>1</v>
      </c>
      <c r="H4536" s="370">
        <v>3770.5400695800781</v>
      </c>
      <c r="I4536" s="370">
        <v>3878.8400573730469</v>
      </c>
      <c r="M4536" s="371">
        <f t="shared" si="281"/>
        <v>5409.4706401819649</v>
      </c>
      <c r="N4536" s="329">
        <f t="shared" si="282"/>
        <v>2747.6780364990236</v>
      </c>
      <c r="T4536" s="331">
        <v>0</v>
      </c>
      <c r="U4536" s="328">
        <f>VLOOKUP(C4536,METADATA!$J$5:$Q$29,IF(E4536="HI",2,IF(E4536="LO",6,10))+IF(T4536=1,2,IF(D4536=7,1,(IF(WEEKDAY(B4536)=1,2,IF(WEEKDAY(B4536)=7,1,0))))))</f>
        <v>1</v>
      </c>
      <c r="V4536" s="328">
        <f>VLOOKUP(C4536,METADATA!$A$5:$H$29,IF(E4536="HI",2,IF(E4536="LO",6,10))+IF(T4536=1,2,IF(D4536=7,1,(IF(WEEKDAY(B4536)=1,2,IF(WEEKDAY(B4536)=7,1,0))))))</f>
        <v>1</v>
      </c>
    </row>
    <row r="4537" spans="2:22">
      <c r="B4537" s="318">
        <f t="shared" si="283"/>
        <v>46301</v>
      </c>
      <c r="C4537" s="312">
        <v>21</v>
      </c>
      <c r="D4537" s="368">
        <f>IFERROR((INDEX(METADATA!$T$2:$T$20,MATCH(B4537,METADATA!$S$2:$S$20,0))),0)</f>
        <v>0</v>
      </c>
      <c r="E4537" s="312" t="str">
        <f t="shared" si="280"/>
        <v>LO</v>
      </c>
      <c r="F4537" s="369">
        <f>VLOOKUP(C4537,METADATA!$A$5:$H$29,IF(E4537="HI",2,IF(E4537="LO",6,10))+IF(D4537=1,2,IF(D4537=7,1,(IF(WEEKDAY(B4537)=1,2,IF(WEEKDAY(B4537)=7,1,0))))))</f>
        <v>2</v>
      </c>
      <c r="G4537" s="369">
        <f>VLOOKUP(C4537,METADATA!$J$5:$Q$29,IF(E4537="HI",2,IF(E4537="LO",6,10))+IF(D4537=1,2,IF(D4537=7,1,(IF(WEEKDAY(B4537)=1,2,IF(WEEKDAY(B4537)=7,1,0))))))</f>
        <v>2</v>
      </c>
      <c r="H4537" s="370">
        <v>5224.157470703125</v>
      </c>
      <c r="I4537" s="370">
        <v>5162.5199737548828</v>
      </c>
      <c r="M4537" s="371">
        <f t="shared" si="281"/>
        <v>7344.6193746253039</v>
      </c>
      <c r="N4537" s="329">
        <f t="shared" si="282"/>
        <v>3595.2727325439455</v>
      </c>
      <c r="T4537" s="331">
        <v>0</v>
      </c>
      <c r="U4537" s="328">
        <f>VLOOKUP(C4537,METADATA!$J$5:$Q$29,IF(E4537="HI",2,IF(E4537="LO",6,10))+IF(T4537=1,2,IF(D4537=7,1,(IF(WEEKDAY(B4537)=1,2,IF(WEEKDAY(B4537)=7,1,0))))))</f>
        <v>2</v>
      </c>
      <c r="V4537" s="328">
        <f>VLOOKUP(C4537,METADATA!$A$5:$H$29,IF(E4537="HI",2,IF(E4537="LO",6,10))+IF(T4537=1,2,IF(D4537=7,1,(IF(WEEKDAY(B4537)=1,2,IF(WEEKDAY(B4537)=7,1,0))))))</f>
        <v>2</v>
      </c>
    </row>
    <row r="4538" spans="2:22">
      <c r="B4538" s="318">
        <f t="shared" si="283"/>
        <v>46301</v>
      </c>
      <c r="C4538" s="312">
        <v>22</v>
      </c>
      <c r="D4538" s="368">
        <f>IFERROR((INDEX(METADATA!$T$2:$T$20,MATCH(B4538,METADATA!$S$2:$S$20,0))),0)</f>
        <v>0</v>
      </c>
      <c r="E4538" s="312" t="str">
        <f t="shared" si="280"/>
        <v>LO</v>
      </c>
      <c r="F4538" s="369">
        <f>VLOOKUP(C4538,METADATA!$A$5:$H$29,IF(E4538="HI",2,IF(E4538="LO",6,10))+IF(D4538=1,2,IF(D4538=7,1,(IF(WEEKDAY(B4538)=1,2,IF(WEEKDAY(B4538)=7,1,0))))))</f>
        <v>3</v>
      </c>
      <c r="G4538" s="369">
        <f>VLOOKUP(C4538,METADATA!$J$5:$Q$29,IF(E4538="HI",2,IF(E4538="LO",6,10))+IF(D4538=1,2,IF(D4538=7,1,(IF(WEEKDAY(B4538)=1,2,IF(WEEKDAY(B4538)=7,1,0))))))</f>
        <v>3</v>
      </c>
      <c r="H4538" s="370">
        <v>6249.6500244140625</v>
      </c>
      <c r="I4538" s="370">
        <v>5820.6625671386719</v>
      </c>
      <c r="M4538" s="371">
        <f t="shared" si="281"/>
        <v>8540.3886415167344</v>
      </c>
      <c r="N4538" s="329">
        <f t="shared" si="282"/>
        <v>3945.7675598144533</v>
      </c>
      <c r="T4538" s="331">
        <v>0</v>
      </c>
      <c r="U4538" s="328">
        <f>VLOOKUP(C4538,METADATA!$J$5:$Q$29,IF(E4538="HI",2,IF(E4538="LO",6,10))+IF(T4538=1,2,IF(D4538=7,1,(IF(WEEKDAY(B4538)=1,2,IF(WEEKDAY(B4538)=7,1,0))))))</f>
        <v>3</v>
      </c>
      <c r="V4538" s="328">
        <f>VLOOKUP(C4538,METADATA!$A$5:$H$29,IF(E4538="HI",2,IF(E4538="LO",6,10))+IF(T4538=1,2,IF(D4538=7,1,(IF(WEEKDAY(B4538)=1,2,IF(WEEKDAY(B4538)=7,1,0))))))</f>
        <v>3</v>
      </c>
    </row>
    <row r="4539" spans="2:22">
      <c r="B4539" s="318">
        <f t="shared" si="283"/>
        <v>46301</v>
      </c>
      <c r="C4539" s="312">
        <v>23</v>
      </c>
      <c r="D4539" s="368">
        <f>IFERROR((INDEX(METADATA!$T$2:$T$20,MATCH(B4539,METADATA!$S$2:$S$20,0))),0)</f>
        <v>0</v>
      </c>
      <c r="E4539" s="312" t="str">
        <f t="shared" si="280"/>
        <v>LO</v>
      </c>
      <c r="F4539" s="369">
        <f>VLOOKUP(C4539,METADATA!$A$5:$H$29,IF(E4539="HI",2,IF(E4539="LO",6,10))+IF(D4539=1,2,IF(D4539=7,1,(IF(WEEKDAY(B4539)=1,2,IF(WEEKDAY(B4539)=7,1,0))))))</f>
        <v>3</v>
      </c>
      <c r="G4539" s="369">
        <f>VLOOKUP(C4539,METADATA!$J$5:$Q$29,IF(E4539="HI",2,IF(E4539="LO",6,10))+IF(D4539=1,2,IF(D4539=7,1,(IF(WEEKDAY(B4539)=1,2,IF(WEEKDAY(B4539)=7,1,0))))))</f>
        <v>3</v>
      </c>
      <c r="H4539" s="370">
        <v>5542.6748657226563</v>
      </c>
      <c r="I4539" s="370">
        <v>5351.6150207519531</v>
      </c>
      <c r="M4539" s="371">
        <f t="shared" si="281"/>
        <v>7704.6108271249877</v>
      </c>
      <c r="N4539" s="329">
        <f t="shared" si="282"/>
        <v>3688.8125610351563</v>
      </c>
      <c r="T4539" s="331">
        <v>0</v>
      </c>
      <c r="U4539" s="328">
        <f>VLOOKUP(C4539,METADATA!$J$5:$Q$29,IF(E4539="HI",2,IF(E4539="LO",6,10))+IF(T4539=1,2,IF(D4539=7,1,(IF(WEEKDAY(B4539)=1,2,IF(WEEKDAY(B4539)=7,1,0))))))</f>
        <v>3</v>
      </c>
      <c r="V4539" s="328">
        <f>VLOOKUP(C4539,METADATA!$A$5:$H$29,IF(E4539="HI",2,IF(E4539="LO",6,10))+IF(T4539=1,2,IF(D4539=7,1,(IF(WEEKDAY(B4539)=1,2,IF(WEEKDAY(B4539)=7,1,0))))))</f>
        <v>3</v>
      </c>
    </row>
    <row r="4540" spans="2:22">
      <c r="B4540" s="318">
        <f t="shared" si="283"/>
        <v>46302</v>
      </c>
      <c r="C4540" s="312">
        <v>0</v>
      </c>
      <c r="D4540" s="368">
        <f>IFERROR((INDEX(METADATA!$T$2:$T$20,MATCH(B4540,METADATA!$S$2:$S$20,0))),0)</f>
        <v>0</v>
      </c>
      <c r="E4540" s="312" t="str">
        <f t="shared" si="280"/>
        <v>LO</v>
      </c>
      <c r="F4540" s="369">
        <f>VLOOKUP(C4540,METADATA!$A$5:$H$29,IF(E4540="HI",2,IF(E4540="LO",6,10))+IF(D4540=1,2,IF(D4540=7,1,(IF(WEEKDAY(B4540)=1,2,IF(WEEKDAY(B4540)=7,1,0))))))</f>
        <v>3</v>
      </c>
      <c r="G4540" s="369">
        <f>VLOOKUP(C4540,METADATA!$J$5:$Q$29,IF(E4540="HI",2,IF(E4540="LO",6,10))+IF(D4540=1,2,IF(D4540=7,1,(IF(WEEKDAY(B4540)=1,2,IF(WEEKDAY(B4540)=7,1,0))))))</f>
        <v>3</v>
      </c>
      <c r="H4540" s="370">
        <v>4885.344970703125</v>
      </c>
      <c r="I4540" s="370">
        <v>4944.7774658203125</v>
      </c>
      <c r="M4540" s="371">
        <f t="shared" si="281"/>
        <v>6951.073274628794</v>
      </c>
      <c r="N4540" s="329">
        <f t="shared" si="282"/>
        <v>3479.1739746093754</v>
      </c>
      <c r="T4540" s="331">
        <v>0</v>
      </c>
      <c r="U4540" s="328">
        <f>VLOOKUP(C4540,METADATA!$J$5:$Q$29,IF(E4540="HI",2,IF(E4540="LO",6,10))+IF(T4540=1,2,IF(D4540=7,1,(IF(WEEKDAY(B4540)=1,2,IF(WEEKDAY(B4540)=7,1,0))))))</f>
        <v>3</v>
      </c>
      <c r="V4540" s="328">
        <f>VLOOKUP(C4540,METADATA!$A$5:$H$29,IF(E4540="HI",2,IF(E4540="LO",6,10))+IF(T4540=1,2,IF(D4540=7,1,(IF(WEEKDAY(B4540)=1,2,IF(WEEKDAY(B4540)=7,1,0))))))</f>
        <v>3</v>
      </c>
    </row>
    <row r="4541" spans="2:22">
      <c r="B4541" s="318">
        <f t="shared" si="283"/>
        <v>46302</v>
      </c>
      <c r="C4541" s="312">
        <v>1</v>
      </c>
      <c r="D4541" s="368">
        <f>IFERROR((INDEX(METADATA!$T$2:$T$20,MATCH(B4541,METADATA!$S$2:$S$20,0))),0)</f>
        <v>0</v>
      </c>
      <c r="E4541" s="312" t="str">
        <f t="shared" si="280"/>
        <v>LO</v>
      </c>
      <c r="F4541" s="369">
        <f>VLOOKUP(C4541,METADATA!$A$5:$H$29,IF(E4541="HI",2,IF(E4541="LO",6,10))+IF(D4541=1,2,IF(D4541=7,1,(IF(WEEKDAY(B4541)=1,2,IF(WEEKDAY(B4541)=7,1,0))))))</f>
        <v>3</v>
      </c>
      <c r="G4541" s="369">
        <f>VLOOKUP(C4541,METADATA!$J$5:$Q$29,IF(E4541="HI",2,IF(E4541="LO",6,10))+IF(D4541=1,2,IF(D4541=7,1,(IF(WEEKDAY(B4541)=1,2,IF(WEEKDAY(B4541)=7,1,0))))))</f>
        <v>3</v>
      </c>
      <c r="H4541" s="370">
        <v>4842.2199401855469</v>
      </c>
      <c r="I4541" s="370">
        <v>4957.95751953125</v>
      </c>
      <c r="M4541" s="371">
        <f t="shared" si="281"/>
        <v>6930.2551695162701</v>
      </c>
      <c r="N4541" s="329">
        <f t="shared" si="282"/>
        <v>3505.2915374755858</v>
      </c>
      <c r="T4541" s="331">
        <v>0</v>
      </c>
      <c r="U4541" s="328">
        <f>VLOOKUP(C4541,METADATA!$J$5:$Q$29,IF(E4541="HI",2,IF(E4541="LO",6,10))+IF(T4541=1,2,IF(D4541=7,1,(IF(WEEKDAY(B4541)=1,2,IF(WEEKDAY(B4541)=7,1,0))))))</f>
        <v>3</v>
      </c>
      <c r="V4541" s="328">
        <f>VLOOKUP(C4541,METADATA!$A$5:$H$29,IF(E4541="HI",2,IF(E4541="LO",6,10))+IF(T4541=1,2,IF(D4541=7,1,(IF(WEEKDAY(B4541)=1,2,IF(WEEKDAY(B4541)=7,1,0))))))</f>
        <v>3</v>
      </c>
    </row>
    <row r="4542" spans="2:22">
      <c r="B4542" s="318">
        <f t="shared" si="283"/>
        <v>46302</v>
      </c>
      <c r="C4542" s="312">
        <v>2</v>
      </c>
      <c r="D4542" s="368">
        <f>IFERROR((INDEX(METADATA!$T$2:$T$20,MATCH(B4542,METADATA!$S$2:$S$20,0))),0)</f>
        <v>0</v>
      </c>
      <c r="E4542" s="312" t="str">
        <f t="shared" si="280"/>
        <v>LO</v>
      </c>
      <c r="F4542" s="369">
        <f>VLOOKUP(C4542,METADATA!$A$5:$H$29,IF(E4542="HI",2,IF(E4542="LO",6,10))+IF(D4542=1,2,IF(D4542=7,1,(IF(WEEKDAY(B4542)=1,2,IF(WEEKDAY(B4542)=7,1,0))))))</f>
        <v>3</v>
      </c>
      <c r="G4542" s="369">
        <f>VLOOKUP(C4542,METADATA!$J$5:$Q$29,IF(E4542="HI",2,IF(E4542="LO",6,10))+IF(D4542=1,2,IF(D4542=7,1,(IF(WEEKDAY(B4542)=1,2,IF(WEEKDAY(B4542)=7,1,0))))))</f>
        <v>3</v>
      </c>
      <c r="H4542" s="370">
        <v>4985.614990234375</v>
      </c>
      <c r="I4542" s="370">
        <v>5069.4175415039063</v>
      </c>
      <c r="M4542" s="371">
        <f t="shared" si="281"/>
        <v>7110.2286208642554</v>
      </c>
      <c r="N4542" s="329">
        <f t="shared" si="282"/>
        <v>3573.7330444335939</v>
      </c>
      <c r="T4542" s="331">
        <v>0</v>
      </c>
      <c r="U4542" s="328">
        <f>VLOOKUP(C4542,METADATA!$J$5:$Q$29,IF(E4542="HI",2,IF(E4542="LO",6,10))+IF(T4542=1,2,IF(D4542=7,1,(IF(WEEKDAY(B4542)=1,2,IF(WEEKDAY(B4542)=7,1,0))))))</f>
        <v>3</v>
      </c>
      <c r="V4542" s="328">
        <f>VLOOKUP(C4542,METADATA!$A$5:$H$29,IF(E4542="HI",2,IF(E4542="LO",6,10))+IF(T4542=1,2,IF(D4542=7,1,(IF(WEEKDAY(B4542)=1,2,IF(WEEKDAY(B4542)=7,1,0))))))</f>
        <v>3</v>
      </c>
    </row>
    <row r="4543" spans="2:22">
      <c r="B4543" s="318">
        <f t="shared" si="283"/>
        <v>46302</v>
      </c>
      <c r="C4543" s="312">
        <v>3</v>
      </c>
      <c r="D4543" s="368">
        <f>IFERROR((INDEX(METADATA!$T$2:$T$20,MATCH(B4543,METADATA!$S$2:$S$20,0))),0)</f>
        <v>0</v>
      </c>
      <c r="E4543" s="312" t="str">
        <f t="shared" si="280"/>
        <v>LO</v>
      </c>
      <c r="F4543" s="369">
        <f>VLOOKUP(C4543,METADATA!$A$5:$H$29,IF(E4543="HI",2,IF(E4543="LO",6,10))+IF(D4543=1,2,IF(D4543=7,1,(IF(WEEKDAY(B4543)=1,2,IF(WEEKDAY(B4543)=7,1,0))))))</f>
        <v>3</v>
      </c>
      <c r="G4543" s="369">
        <f>VLOOKUP(C4543,METADATA!$J$5:$Q$29,IF(E4543="HI",2,IF(E4543="LO",6,10))+IF(D4543=1,2,IF(D4543=7,1,(IF(WEEKDAY(B4543)=1,2,IF(WEEKDAY(B4543)=7,1,0))))))</f>
        <v>3</v>
      </c>
      <c r="H4543" s="370">
        <v>5050.9474487304688</v>
      </c>
      <c r="I4543" s="370">
        <v>5143.5025329589844</v>
      </c>
      <c r="M4543" s="371">
        <f t="shared" si="281"/>
        <v>7208.8617989521981</v>
      </c>
      <c r="N4543" s="329">
        <f t="shared" si="282"/>
        <v>3628.2182983398438</v>
      </c>
      <c r="T4543" s="331">
        <v>0</v>
      </c>
      <c r="U4543" s="328">
        <f>VLOOKUP(C4543,METADATA!$J$5:$Q$29,IF(E4543="HI",2,IF(E4543="LO",6,10))+IF(T4543=1,2,IF(D4543=7,1,(IF(WEEKDAY(B4543)=1,2,IF(WEEKDAY(B4543)=7,1,0))))))</f>
        <v>3</v>
      </c>
      <c r="V4543" s="328">
        <f>VLOOKUP(C4543,METADATA!$A$5:$H$29,IF(E4543="HI",2,IF(E4543="LO",6,10))+IF(T4543=1,2,IF(D4543=7,1,(IF(WEEKDAY(B4543)=1,2,IF(WEEKDAY(B4543)=7,1,0))))))</f>
        <v>3</v>
      </c>
    </row>
    <row r="4544" spans="2:22">
      <c r="B4544" s="318">
        <f t="shared" si="283"/>
        <v>46302</v>
      </c>
      <c r="C4544" s="312">
        <v>4</v>
      </c>
      <c r="D4544" s="368">
        <f>IFERROR((INDEX(METADATA!$T$2:$T$20,MATCH(B4544,METADATA!$S$2:$S$20,0))),0)</f>
        <v>0</v>
      </c>
      <c r="E4544" s="312" t="str">
        <f t="shared" si="280"/>
        <v>LO</v>
      </c>
      <c r="F4544" s="369">
        <f>VLOOKUP(C4544,METADATA!$A$5:$H$29,IF(E4544="HI",2,IF(E4544="LO",6,10))+IF(D4544=1,2,IF(D4544=7,1,(IF(WEEKDAY(B4544)=1,2,IF(WEEKDAY(B4544)=7,1,0))))))</f>
        <v>3</v>
      </c>
      <c r="G4544" s="369">
        <f>VLOOKUP(C4544,METADATA!$J$5:$Q$29,IF(E4544="HI",2,IF(E4544="LO",6,10))+IF(D4544=1,2,IF(D4544=7,1,(IF(WEEKDAY(B4544)=1,2,IF(WEEKDAY(B4544)=7,1,0))))))</f>
        <v>3</v>
      </c>
      <c r="H4544" s="370">
        <v>5121.889892578125</v>
      </c>
      <c r="I4544" s="370">
        <v>5191.4324645996094</v>
      </c>
      <c r="M4544" s="371">
        <f t="shared" si="281"/>
        <v>7292.7859632785558</v>
      </c>
      <c r="N4544" s="329">
        <f t="shared" si="282"/>
        <v>3654.8654968261717</v>
      </c>
      <c r="T4544" s="331">
        <v>0</v>
      </c>
      <c r="U4544" s="328">
        <f>VLOOKUP(C4544,METADATA!$J$5:$Q$29,IF(E4544="HI",2,IF(E4544="LO",6,10))+IF(T4544=1,2,IF(D4544=7,1,(IF(WEEKDAY(B4544)=1,2,IF(WEEKDAY(B4544)=7,1,0))))))</f>
        <v>3</v>
      </c>
      <c r="V4544" s="328">
        <f>VLOOKUP(C4544,METADATA!$A$5:$H$29,IF(E4544="HI",2,IF(E4544="LO",6,10))+IF(T4544=1,2,IF(D4544=7,1,(IF(WEEKDAY(B4544)=1,2,IF(WEEKDAY(B4544)=7,1,0))))))</f>
        <v>3</v>
      </c>
    </row>
    <row r="4545" spans="2:22">
      <c r="B4545" s="318">
        <f t="shared" si="283"/>
        <v>46302</v>
      </c>
      <c r="C4545" s="312">
        <v>5</v>
      </c>
      <c r="D4545" s="368">
        <f>IFERROR((INDEX(METADATA!$T$2:$T$20,MATCH(B4545,METADATA!$S$2:$S$20,0))),0)</f>
        <v>0</v>
      </c>
      <c r="E4545" s="312" t="str">
        <f t="shared" si="280"/>
        <v>LO</v>
      </c>
      <c r="F4545" s="369">
        <f>VLOOKUP(C4545,METADATA!$A$5:$H$29,IF(E4545="HI",2,IF(E4545="LO",6,10))+IF(D4545=1,2,IF(D4545=7,1,(IF(WEEKDAY(B4545)=1,2,IF(WEEKDAY(B4545)=7,1,0))))))</f>
        <v>3</v>
      </c>
      <c r="G4545" s="369">
        <f>VLOOKUP(C4545,METADATA!$J$5:$Q$29,IF(E4545="HI",2,IF(E4545="LO",6,10))+IF(D4545=1,2,IF(D4545=7,1,(IF(WEEKDAY(B4545)=1,2,IF(WEEKDAY(B4545)=7,1,0))))))</f>
        <v>3</v>
      </c>
      <c r="H4545" s="370">
        <v>6149.0074768066406</v>
      </c>
      <c r="I4545" s="370">
        <v>5915.0849304199219</v>
      </c>
      <c r="M4545" s="371">
        <f t="shared" si="281"/>
        <v>8532.2050305829398</v>
      </c>
      <c r="N4545" s="329">
        <f t="shared" si="282"/>
        <v>4070.3826873779299</v>
      </c>
      <c r="T4545" s="331">
        <v>0</v>
      </c>
      <c r="U4545" s="328">
        <f>VLOOKUP(C4545,METADATA!$J$5:$Q$29,IF(E4545="HI",2,IF(E4545="LO",6,10))+IF(T4545=1,2,IF(D4545=7,1,(IF(WEEKDAY(B4545)=1,2,IF(WEEKDAY(B4545)=7,1,0))))))</f>
        <v>3</v>
      </c>
      <c r="V4545" s="328">
        <f>VLOOKUP(C4545,METADATA!$A$5:$H$29,IF(E4545="HI",2,IF(E4545="LO",6,10))+IF(T4545=1,2,IF(D4545=7,1,(IF(WEEKDAY(B4545)=1,2,IF(WEEKDAY(B4545)=7,1,0))))))</f>
        <v>3</v>
      </c>
    </row>
    <row r="4546" spans="2:22">
      <c r="B4546" s="318">
        <f t="shared" si="283"/>
        <v>46302</v>
      </c>
      <c r="C4546" s="312">
        <v>6</v>
      </c>
      <c r="D4546" s="368">
        <f>IFERROR((INDEX(METADATA!$T$2:$T$20,MATCH(B4546,METADATA!$S$2:$S$20,0))),0)</f>
        <v>0</v>
      </c>
      <c r="E4546" s="312" t="str">
        <f t="shared" si="280"/>
        <v>LO</v>
      </c>
      <c r="F4546" s="369">
        <f>VLOOKUP(C4546,METADATA!$A$5:$H$29,IF(E4546="HI",2,IF(E4546="LO",6,10))+IF(D4546=1,2,IF(D4546=7,1,(IF(WEEKDAY(B4546)=1,2,IF(WEEKDAY(B4546)=7,1,0))))))</f>
        <v>2</v>
      </c>
      <c r="G4546" s="369">
        <f>VLOOKUP(C4546,METADATA!$J$5:$Q$29,IF(E4546="HI",2,IF(E4546="LO",6,10))+IF(D4546=1,2,IF(D4546=7,1,(IF(WEEKDAY(B4546)=1,2,IF(WEEKDAY(B4546)=7,1,0))))))</f>
        <v>2</v>
      </c>
      <c r="H4546" s="370">
        <v>6884.3126220703125</v>
      </c>
      <c r="I4546" s="370">
        <v>6401.4825134277344</v>
      </c>
      <c r="M4546" s="371">
        <f t="shared" si="281"/>
        <v>9400.6775632460503</v>
      </c>
      <c r="N4546" s="329">
        <f t="shared" si="282"/>
        <v>4336.1887268066403</v>
      </c>
      <c r="T4546" s="331">
        <v>0</v>
      </c>
      <c r="U4546" s="328">
        <f>VLOOKUP(C4546,METADATA!$J$5:$Q$29,IF(E4546="HI",2,IF(E4546="LO",6,10))+IF(T4546=1,2,IF(D4546=7,1,(IF(WEEKDAY(B4546)=1,2,IF(WEEKDAY(B4546)=7,1,0))))))</f>
        <v>2</v>
      </c>
      <c r="V4546" s="328">
        <f>VLOOKUP(C4546,METADATA!$A$5:$H$29,IF(E4546="HI",2,IF(E4546="LO",6,10))+IF(T4546=1,2,IF(D4546=7,1,(IF(WEEKDAY(B4546)=1,2,IF(WEEKDAY(B4546)=7,1,0))))))</f>
        <v>2</v>
      </c>
    </row>
    <row r="4547" spans="2:22">
      <c r="B4547" s="318">
        <f t="shared" si="283"/>
        <v>46302</v>
      </c>
      <c r="C4547" s="312">
        <v>7</v>
      </c>
      <c r="D4547" s="368">
        <f>IFERROR((INDEX(METADATA!$T$2:$T$20,MATCH(B4547,METADATA!$S$2:$S$20,0))),0)</f>
        <v>0</v>
      </c>
      <c r="E4547" s="312" t="str">
        <f t="shared" si="280"/>
        <v>LO</v>
      </c>
      <c r="F4547" s="369">
        <f>VLOOKUP(C4547,METADATA!$A$5:$H$29,IF(E4547="HI",2,IF(E4547="LO",6,10))+IF(D4547=1,2,IF(D4547=7,1,(IF(WEEKDAY(B4547)=1,2,IF(WEEKDAY(B4547)=7,1,0))))))</f>
        <v>1</v>
      </c>
      <c r="G4547" s="369">
        <f>VLOOKUP(C4547,METADATA!$J$5:$Q$29,IF(E4547="HI",2,IF(E4547="LO",6,10))+IF(D4547=1,2,IF(D4547=7,1,(IF(WEEKDAY(B4547)=1,2,IF(WEEKDAY(B4547)=7,1,0))))))</f>
        <v>1</v>
      </c>
      <c r="H4547" s="370">
        <v>10106.199951171875</v>
      </c>
      <c r="I4547" s="370">
        <v>7951.7649841308594</v>
      </c>
      <c r="M4547" s="371">
        <f t="shared" si="281"/>
        <v>12859.465145017348</v>
      </c>
      <c r="N4547" s="329">
        <f t="shared" si="282"/>
        <v>4919.9049987792969</v>
      </c>
      <c r="T4547" s="331">
        <v>0</v>
      </c>
      <c r="U4547" s="328">
        <f>VLOOKUP(C4547,METADATA!$J$5:$Q$29,IF(E4547="HI",2,IF(E4547="LO",6,10))+IF(T4547=1,2,IF(D4547=7,1,(IF(WEEKDAY(B4547)=1,2,IF(WEEKDAY(B4547)=7,1,0))))))</f>
        <v>1</v>
      </c>
      <c r="V4547" s="328">
        <f>VLOOKUP(C4547,METADATA!$A$5:$H$29,IF(E4547="HI",2,IF(E4547="LO",6,10))+IF(T4547=1,2,IF(D4547=7,1,(IF(WEEKDAY(B4547)=1,2,IF(WEEKDAY(B4547)=7,1,0))))))</f>
        <v>1</v>
      </c>
    </row>
    <row r="4548" spans="2:22">
      <c r="B4548" s="318">
        <f t="shared" si="283"/>
        <v>46302</v>
      </c>
      <c r="C4548" s="312">
        <v>8</v>
      </c>
      <c r="D4548" s="368">
        <f>IFERROR((INDEX(METADATA!$T$2:$T$20,MATCH(B4548,METADATA!$S$2:$S$20,0))),0)</f>
        <v>0</v>
      </c>
      <c r="E4548" s="312" t="str">
        <f t="shared" ref="E4548:E4611" si="284">IF(B4548="","",IF(AND(MONTH(B4548)&gt;=MONTH($Z$9),MONTH(B4548)&lt;=MONTH($Z$11)),"HI","LO"))</f>
        <v>LO</v>
      </c>
      <c r="F4548" s="369">
        <f>VLOOKUP(C4548,METADATA!$A$5:$H$29,IF(E4548="HI",2,IF(E4548="LO",6,10))+IF(D4548=1,2,IF(D4548=7,1,(IF(WEEKDAY(B4548)=1,2,IF(WEEKDAY(B4548)=7,1,0))))))</f>
        <v>1</v>
      </c>
      <c r="G4548" s="369">
        <f>VLOOKUP(C4548,METADATA!$J$5:$Q$29,IF(E4548="HI",2,IF(E4548="LO",6,10))+IF(D4548=1,2,IF(D4548=7,1,(IF(WEEKDAY(B4548)=1,2,IF(WEEKDAY(B4548)=7,1,0))))))</f>
        <v>1</v>
      </c>
      <c r="H4548" s="370">
        <v>10820.792297363281</v>
      </c>
      <c r="I4548" s="370">
        <v>8291.0675048828125</v>
      </c>
      <c r="M4548" s="371">
        <f t="shared" ref="M4548:M4611" si="285">SQRT(H4548^2+I4548^2)</f>
        <v>13631.997150571893</v>
      </c>
      <c r="N4548" s="329">
        <f t="shared" ref="N4548:N4611" si="286">IF(H4548=0,0,(IF(I4548-(0.3*H4548)&lt;0,0,(I4548-(0.3*H4548)))))</f>
        <v>5044.8298156738283</v>
      </c>
      <c r="T4548" s="331">
        <v>0</v>
      </c>
      <c r="U4548" s="328">
        <f>VLOOKUP(C4548,METADATA!$J$5:$Q$29,IF(E4548="HI",2,IF(E4548="LO",6,10))+IF(T4548=1,2,IF(D4548=7,1,(IF(WEEKDAY(B4548)=1,2,IF(WEEKDAY(B4548)=7,1,0))))))</f>
        <v>1</v>
      </c>
      <c r="V4548" s="328">
        <f>VLOOKUP(C4548,METADATA!$A$5:$H$29,IF(E4548="HI",2,IF(E4548="LO",6,10))+IF(T4548=1,2,IF(D4548=7,1,(IF(WEEKDAY(B4548)=1,2,IF(WEEKDAY(B4548)=7,1,0))))))</f>
        <v>1</v>
      </c>
    </row>
    <row r="4549" spans="2:22">
      <c r="B4549" s="318">
        <f t="shared" si="283"/>
        <v>46302</v>
      </c>
      <c r="C4549" s="312">
        <v>9</v>
      </c>
      <c r="D4549" s="368">
        <f>IFERROR((INDEX(METADATA!$T$2:$T$20,MATCH(B4549,METADATA!$S$2:$S$20,0))),0)</f>
        <v>0</v>
      </c>
      <c r="E4549" s="312" t="str">
        <f t="shared" si="284"/>
        <v>LO</v>
      </c>
      <c r="F4549" s="369">
        <f>VLOOKUP(C4549,METADATA!$A$5:$H$29,IF(E4549="HI",2,IF(E4549="LO",6,10))+IF(D4549=1,2,IF(D4549=7,1,(IF(WEEKDAY(B4549)=1,2,IF(WEEKDAY(B4549)=7,1,0))))))</f>
        <v>2</v>
      </c>
      <c r="G4549" s="369">
        <f>VLOOKUP(C4549,METADATA!$J$5:$Q$29,IF(E4549="HI",2,IF(E4549="LO",6,10))+IF(D4549=1,2,IF(D4549=7,1,(IF(WEEKDAY(B4549)=1,2,IF(WEEKDAY(B4549)=7,1,0))))))</f>
        <v>2</v>
      </c>
      <c r="H4549" s="370">
        <v>10969.06005859375</v>
      </c>
      <c r="I4549" s="370">
        <v>8430.3175048828125</v>
      </c>
      <c r="M4549" s="371">
        <f t="shared" si="285"/>
        <v>13834.396690935615</v>
      </c>
      <c r="N4549" s="329">
        <f t="shared" si="286"/>
        <v>5139.5994873046875</v>
      </c>
      <c r="T4549" s="331">
        <v>0</v>
      </c>
      <c r="U4549" s="328">
        <f>VLOOKUP(C4549,METADATA!$J$5:$Q$29,IF(E4549="HI",2,IF(E4549="LO",6,10))+IF(T4549=1,2,IF(D4549=7,1,(IF(WEEKDAY(B4549)=1,2,IF(WEEKDAY(B4549)=7,1,0))))))</f>
        <v>2</v>
      </c>
      <c r="V4549" s="328">
        <f>VLOOKUP(C4549,METADATA!$A$5:$H$29,IF(E4549="HI",2,IF(E4549="LO",6,10))+IF(T4549=1,2,IF(D4549=7,1,(IF(WEEKDAY(B4549)=1,2,IF(WEEKDAY(B4549)=7,1,0))))))</f>
        <v>2</v>
      </c>
    </row>
    <row r="4550" spans="2:22">
      <c r="B4550" s="318">
        <f t="shared" si="283"/>
        <v>46302</v>
      </c>
      <c r="C4550" s="312">
        <v>10</v>
      </c>
      <c r="D4550" s="368">
        <f>IFERROR((INDEX(METADATA!$T$2:$T$20,MATCH(B4550,METADATA!$S$2:$S$20,0))),0)</f>
        <v>0</v>
      </c>
      <c r="E4550" s="312" t="str">
        <f t="shared" si="284"/>
        <v>LO</v>
      </c>
      <c r="F4550" s="369">
        <f>VLOOKUP(C4550,METADATA!$A$5:$H$29,IF(E4550="HI",2,IF(E4550="LO",6,10))+IF(D4550=1,2,IF(D4550=7,1,(IF(WEEKDAY(B4550)=1,2,IF(WEEKDAY(B4550)=7,1,0))))))</f>
        <v>2</v>
      </c>
      <c r="G4550" s="369">
        <f>VLOOKUP(C4550,METADATA!$J$5:$Q$29,IF(E4550="HI",2,IF(E4550="LO",6,10))+IF(D4550=1,2,IF(D4550=7,1,(IF(WEEKDAY(B4550)=1,2,IF(WEEKDAY(B4550)=7,1,0))))))</f>
        <v>2</v>
      </c>
      <c r="H4550" s="370">
        <v>10791.865173339844</v>
      </c>
      <c r="I4550" s="370">
        <v>8343.3375854492188</v>
      </c>
      <c r="M4550" s="371">
        <f t="shared" si="285"/>
        <v>13640.954364864469</v>
      </c>
      <c r="N4550" s="329">
        <f t="shared" si="286"/>
        <v>5105.7780334472664</v>
      </c>
      <c r="T4550" s="331">
        <v>0</v>
      </c>
      <c r="U4550" s="328">
        <f>VLOOKUP(C4550,METADATA!$J$5:$Q$29,IF(E4550="HI",2,IF(E4550="LO",6,10))+IF(T4550=1,2,IF(D4550=7,1,(IF(WEEKDAY(B4550)=1,2,IF(WEEKDAY(B4550)=7,1,0))))))</f>
        <v>2</v>
      </c>
      <c r="V4550" s="328">
        <f>VLOOKUP(C4550,METADATA!$A$5:$H$29,IF(E4550="HI",2,IF(E4550="LO",6,10))+IF(T4550=1,2,IF(D4550=7,1,(IF(WEEKDAY(B4550)=1,2,IF(WEEKDAY(B4550)=7,1,0))))))</f>
        <v>2</v>
      </c>
    </row>
    <row r="4551" spans="2:22">
      <c r="B4551" s="318">
        <f t="shared" si="283"/>
        <v>46302</v>
      </c>
      <c r="C4551" s="312">
        <v>11</v>
      </c>
      <c r="D4551" s="368">
        <f>IFERROR((INDEX(METADATA!$T$2:$T$20,MATCH(B4551,METADATA!$S$2:$S$20,0))),0)</f>
        <v>0</v>
      </c>
      <c r="E4551" s="312" t="str">
        <f t="shared" si="284"/>
        <v>LO</v>
      </c>
      <c r="F4551" s="369">
        <f>VLOOKUP(C4551,METADATA!$A$5:$H$29,IF(E4551="HI",2,IF(E4551="LO",6,10))+IF(D4551=1,2,IF(D4551=7,1,(IF(WEEKDAY(B4551)=1,2,IF(WEEKDAY(B4551)=7,1,0))))))</f>
        <v>2</v>
      </c>
      <c r="G4551" s="369">
        <f>VLOOKUP(C4551,METADATA!$J$5:$Q$29,IF(E4551="HI",2,IF(E4551="LO",6,10))+IF(D4551=1,2,IF(D4551=7,1,(IF(WEEKDAY(B4551)=1,2,IF(WEEKDAY(B4551)=7,1,0))))))</f>
        <v>2</v>
      </c>
      <c r="H4551" s="370">
        <v>6170.10498046875</v>
      </c>
      <c r="I4551" s="370">
        <v>5912.3175659179688</v>
      </c>
      <c r="M4551" s="371">
        <f t="shared" si="285"/>
        <v>8545.5072681653855</v>
      </c>
      <c r="N4551" s="329">
        <f t="shared" si="286"/>
        <v>4061.2860717773438</v>
      </c>
      <c r="T4551" s="331">
        <v>0</v>
      </c>
      <c r="U4551" s="328">
        <f>VLOOKUP(C4551,METADATA!$J$5:$Q$29,IF(E4551="HI",2,IF(E4551="LO",6,10))+IF(T4551=1,2,IF(D4551=7,1,(IF(WEEKDAY(B4551)=1,2,IF(WEEKDAY(B4551)=7,1,0))))))</f>
        <v>2</v>
      </c>
      <c r="V4551" s="328">
        <f>VLOOKUP(C4551,METADATA!$A$5:$H$29,IF(E4551="HI",2,IF(E4551="LO",6,10))+IF(T4551=1,2,IF(D4551=7,1,(IF(WEEKDAY(B4551)=1,2,IF(WEEKDAY(B4551)=7,1,0))))))</f>
        <v>2</v>
      </c>
    </row>
    <row r="4552" spans="2:22">
      <c r="B4552" s="318">
        <f t="shared" si="283"/>
        <v>46302</v>
      </c>
      <c r="C4552" s="312">
        <v>12</v>
      </c>
      <c r="D4552" s="368">
        <f>IFERROR((INDEX(METADATA!$T$2:$T$20,MATCH(B4552,METADATA!$S$2:$S$20,0))),0)</f>
        <v>0</v>
      </c>
      <c r="E4552" s="312" t="str">
        <f t="shared" si="284"/>
        <v>LO</v>
      </c>
      <c r="F4552" s="369">
        <f>VLOOKUP(C4552,METADATA!$A$5:$H$29,IF(E4552="HI",2,IF(E4552="LO",6,10))+IF(D4552=1,2,IF(D4552=7,1,(IF(WEEKDAY(B4552)=1,2,IF(WEEKDAY(B4552)=7,1,0))))))</f>
        <v>2</v>
      </c>
      <c r="G4552" s="369">
        <f>VLOOKUP(C4552,METADATA!$J$5:$Q$29,IF(E4552="HI",2,IF(E4552="LO",6,10))+IF(D4552=1,2,IF(D4552=7,1,(IF(WEEKDAY(B4552)=1,2,IF(WEEKDAY(B4552)=7,1,0))))))</f>
        <v>2</v>
      </c>
      <c r="H4552" s="370">
        <v>7282.4500732421875</v>
      </c>
      <c r="I4552" s="370">
        <v>6750.8501586914063</v>
      </c>
      <c r="M4552" s="371">
        <f t="shared" si="285"/>
        <v>9930.1589581621975</v>
      </c>
      <c r="N4552" s="329">
        <f t="shared" si="286"/>
        <v>4566.1151367187504</v>
      </c>
      <c r="T4552" s="331">
        <v>0</v>
      </c>
      <c r="U4552" s="328">
        <f>VLOOKUP(C4552,METADATA!$J$5:$Q$29,IF(E4552="HI",2,IF(E4552="LO",6,10))+IF(T4552=1,2,IF(D4552=7,1,(IF(WEEKDAY(B4552)=1,2,IF(WEEKDAY(B4552)=7,1,0))))))</f>
        <v>2</v>
      </c>
      <c r="V4552" s="328">
        <f>VLOOKUP(C4552,METADATA!$A$5:$H$29,IF(E4552="HI",2,IF(E4552="LO",6,10))+IF(T4552=1,2,IF(D4552=7,1,(IF(WEEKDAY(B4552)=1,2,IF(WEEKDAY(B4552)=7,1,0))))))</f>
        <v>2</v>
      </c>
    </row>
    <row r="4553" spans="2:22">
      <c r="B4553" s="318">
        <f t="shared" si="283"/>
        <v>46302</v>
      </c>
      <c r="C4553" s="312">
        <v>13</v>
      </c>
      <c r="D4553" s="368">
        <f>IFERROR((INDEX(METADATA!$T$2:$T$20,MATCH(B4553,METADATA!$S$2:$S$20,0))),0)</f>
        <v>0</v>
      </c>
      <c r="E4553" s="312" t="str">
        <f t="shared" si="284"/>
        <v>LO</v>
      </c>
      <c r="F4553" s="369">
        <f>VLOOKUP(C4553,METADATA!$A$5:$H$29,IF(E4553="HI",2,IF(E4553="LO",6,10))+IF(D4553=1,2,IF(D4553=7,1,(IF(WEEKDAY(B4553)=1,2,IF(WEEKDAY(B4553)=7,1,0))))))</f>
        <v>2</v>
      </c>
      <c r="G4553" s="369">
        <f>VLOOKUP(C4553,METADATA!$J$5:$Q$29,IF(E4553="HI",2,IF(E4553="LO",6,10))+IF(D4553=1,2,IF(D4553=7,1,(IF(WEEKDAY(B4553)=1,2,IF(WEEKDAY(B4553)=7,1,0))))))</f>
        <v>2</v>
      </c>
      <c r="H4553" s="370">
        <v>7268.4500122070313</v>
      </c>
      <c r="I4553" s="370">
        <v>6856.9000244140625</v>
      </c>
      <c r="M4553" s="371">
        <f t="shared" si="285"/>
        <v>9992.3692648321376</v>
      </c>
      <c r="N4553" s="329">
        <f t="shared" si="286"/>
        <v>4676.3650207519531</v>
      </c>
      <c r="T4553" s="331">
        <v>0</v>
      </c>
      <c r="U4553" s="328">
        <f>VLOOKUP(C4553,METADATA!$J$5:$Q$29,IF(E4553="HI",2,IF(E4553="LO",6,10))+IF(T4553=1,2,IF(D4553=7,1,(IF(WEEKDAY(B4553)=1,2,IF(WEEKDAY(B4553)=7,1,0))))))</f>
        <v>2</v>
      </c>
      <c r="V4553" s="328">
        <f>VLOOKUP(C4553,METADATA!$A$5:$H$29,IF(E4553="HI",2,IF(E4553="LO",6,10))+IF(T4553=1,2,IF(D4553=7,1,(IF(WEEKDAY(B4553)=1,2,IF(WEEKDAY(B4553)=7,1,0))))))</f>
        <v>2</v>
      </c>
    </row>
    <row r="4554" spans="2:22">
      <c r="B4554" s="318">
        <f t="shared" si="283"/>
        <v>46302</v>
      </c>
      <c r="C4554" s="312">
        <v>14</v>
      </c>
      <c r="D4554" s="368">
        <f>IFERROR((INDEX(METADATA!$T$2:$T$20,MATCH(B4554,METADATA!$S$2:$S$20,0))),0)</f>
        <v>0</v>
      </c>
      <c r="E4554" s="312" t="str">
        <f t="shared" si="284"/>
        <v>LO</v>
      </c>
      <c r="F4554" s="369">
        <f>VLOOKUP(C4554,METADATA!$A$5:$H$29,IF(E4554="HI",2,IF(E4554="LO",6,10))+IF(D4554=1,2,IF(D4554=7,1,(IF(WEEKDAY(B4554)=1,2,IF(WEEKDAY(B4554)=7,1,0))))))</f>
        <v>2</v>
      </c>
      <c r="G4554" s="369">
        <f>VLOOKUP(C4554,METADATA!$J$5:$Q$29,IF(E4554="HI",2,IF(E4554="LO",6,10))+IF(D4554=1,2,IF(D4554=7,1,(IF(WEEKDAY(B4554)=1,2,IF(WEEKDAY(B4554)=7,1,0))))))</f>
        <v>2</v>
      </c>
      <c r="H4554" s="370">
        <v>6085.9674987792969</v>
      </c>
      <c r="I4554" s="370">
        <v>5990.5473937988281</v>
      </c>
      <c r="M4554" s="371">
        <f t="shared" si="285"/>
        <v>8539.6521283684542</v>
      </c>
      <c r="N4554" s="329">
        <f t="shared" si="286"/>
        <v>4164.7571441650389</v>
      </c>
      <c r="T4554" s="331">
        <v>0</v>
      </c>
      <c r="U4554" s="328">
        <f>VLOOKUP(C4554,METADATA!$J$5:$Q$29,IF(E4554="HI",2,IF(E4554="LO",6,10))+IF(T4554=1,2,IF(D4554=7,1,(IF(WEEKDAY(B4554)=1,2,IF(WEEKDAY(B4554)=7,1,0))))))</f>
        <v>2</v>
      </c>
      <c r="V4554" s="328">
        <f>VLOOKUP(C4554,METADATA!$A$5:$H$29,IF(E4554="HI",2,IF(E4554="LO",6,10))+IF(T4554=1,2,IF(D4554=7,1,(IF(WEEKDAY(B4554)=1,2,IF(WEEKDAY(B4554)=7,1,0))))))</f>
        <v>2</v>
      </c>
    </row>
    <row r="4555" spans="2:22">
      <c r="B4555" s="318">
        <f t="shared" si="283"/>
        <v>46302</v>
      </c>
      <c r="C4555" s="312">
        <v>15</v>
      </c>
      <c r="D4555" s="368">
        <f>IFERROR((INDEX(METADATA!$T$2:$T$20,MATCH(B4555,METADATA!$S$2:$S$20,0))),0)</f>
        <v>0</v>
      </c>
      <c r="E4555" s="312" t="str">
        <f t="shared" si="284"/>
        <v>LO</v>
      </c>
      <c r="F4555" s="369">
        <f>VLOOKUP(C4555,METADATA!$A$5:$H$29,IF(E4555="HI",2,IF(E4555="LO",6,10))+IF(D4555=1,2,IF(D4555=7,1,(IF(WEEKDAY(B4555)=1,2,IF(WEEKDAY(B4555)=7,1,0))))))</f>
        <v>2</v>
      </c>
      <c r="G4555" s="369">
        <f>VLOOKUP(C4555,METADATA!$J$5:$Q$29,IF(E4555="HI",2,IF(E4555="LO",6,10))+IF(D4555=1,2,IF(D4555=7,1,(IF(WEEKDAY(B4555)=1,2,IF(WEEKDAY(B4555)=7,1,0))))))</f>
        <v>2</v>
      </c>
      <c r="H4555" s="370">
        <v>9042.5450439453125</v>
      </c>
      <c r="I4555" s="370">
        <v>7738.9150085449219</v>
      </c>
      <c r="M4555" s="371">
        <f t="shared" si="285"/>
        <v>11902.034547977995</v>
      </c>
      <c r="N4555" s="329">
        <f t="shared" si="286"/>
        <v>5026.1514953613278</v>
      </c>
      <c r="T4555" s="331">
        <v>0</v>
      </c>
      <c r="U4555" s="328">
        <f>VLOOKUP(C4555,METADATA!$J$5:$Q$29,IF(E4555="HI",2,IF(E4555="LO",6,10))+IF(T4555=1,2,IF(D4555=7,1,(IF(WEEKDAY(B4555)=1,2,IF(WEEKDAY(B4555)=7,1,0))))))</f>
        <v>2</v>
      </c>
      <c r="V4555" s="328">
        <f>VLOOKUP(C4555,METADATA!$A$5:$H$29,IF(E4555="HI",2,IF(E4555="LO",6,10))+IF(T4555=1,2,IF(D4555=7,1,(IF(WEEKDAY(B4555)=1,2,IF(WEEKDAY(B4555)=7,1,0))))))</f>
        <v>2</v>
      </c>
    </row>
    <row r="4556" spans="2:22">
      <c r="B4556" s="318">
        <f t="shared" si="283"/>
        <v>46302</v>
      </c>
      <c r="C4556" s="312">
        <v>16</v>
      </c>
      <c r="D4556" s="368">
        <f>IFERROR((INDEX(METADATA!$T$2:$T$20,MATCH(B4556,METADATA!$S$2:$S$20,0))),0)</f>
        <v>0</v>
      </c>
      <c r="E4556" s="312" t="str">
        <f t="shared" si="284"/>
        <v>LO</v>
      </c>
      <c r="F4556" s="369">
        <f>VLOOKUP(C4556,METADATA!$A$5:$H$29,IF(E4556="HI",2,IF(E4556="LO",6,10))+IF(D4556=1,2,IF(D4556=7,1,(IF(WEEKDAY(B4556)=1,2,IF(WEEKDAY(B4556)=7,1,0))))))</f>
        <v>2</v>
      </c>
      <c r="G4556" s="369">
        <f>VLOOKUP(C4556,METADATA!$J$5:$Q$29,IF(E4556="HI",2,IF(E4556="LO",6,10))+IF(D4556=1,2,IF(D4556=7,1,(IF(WEEKDAY(B4556)=1,2,IF(WEEKDAY(B4556)=7,1,0))))))</f>
        <v>2</v>
      </c>
      <c r="H4556" s="370">
        <v>11176.125244140625</v>
      </c>
      <c r="I4556" s="370">
        <v>8642.5400085449219</v>
      </c>
      <c r="M4556" s="371">
        <f t="shared" si="285"/>
        <v>14127.960690489515</v>
      </c>
      <c r="N4556" s="329">
        <f t="shared" si="286"/>
        <v>5289.7024353027346</v>
      </c>
      <c r="T4556" s="331">
        <v>0</v>
      </c>
      <c r="U4556" s="328">
        <f>VLOOKUP(C4556,METADATA!$J$5:$Q$29,IF(E4556="HI",2,IF(E4556="LO",6,10))+IF(T4556=1,2,IF(D4556=7,1,(IF(WEEKDAY(B4556)=1,2,IF(WEEKDAY(B4556)=7,1,0))))))</f>
        <v>2</v>
      </c>
      <c r="V4556" s="328">
        <f>VLOOKUP(C4556,METADATA!$A$5:$H$29,IF(E4556="HI",2,IF(E4556="LO",6,10))+IF(T4556=1,2,IF(D4556=7,1,(IF(WEEKDAY(B4556)=1,2,IF(WEEKDAY(B4556)=7,1,0))))))</f>
        <v>2</v>
      </c>
    </row>
    <row r="4557" spans="2:22">
      <c r="B4557" s="318">
        <f t="shared" si="283"/>
        <v>46302</v>
      </c>
      <c r="C4557" s="312">
        <v>17</v>
      </c>
      <c r="D4557" s="368">
        <f>IFERROR((INDEX(METADATA!$T$2:$T$20,MATCH(B4557,METADATA!$S$2:$S$20,0))),0)</f>
        <v>0</v>
      </c>
      <c r="E4557" s="312" t="str">
        <f t="shared" si="284"/>
        <v>LO</v>
      </c>
      <c r="F4557" s="369">
        <f>VLOOKUP(C4557,METADATA!$A$5:$H$29,IF(E4557="HI",2,IF(E4557="LO",6,10))+IF(D4557=1,2,IF(D4557=7,1,(IF(WEEKDAY(B4557)=1,2,IF(WEEKDAY(B4557)=7,1,0))))))</f>
        <v>2</v>
      </c>
      <c r="G4557" s="369">
        <f>VLOOKUP(C4557,METADATA!$J$5:$Q$29,IF(E4557="HI",2,IF(E4557="LO",6,10))+IF(D4557=1,2,IF(D4557=7,1,(IF(WEEKDAY(B4557)=1,2,IF(WEEKDAY(B4557)=7,1,0))))))</f>
        <v>2</v>
      </c>
      <c r="H4557" s="370">
        <v>11027.475158691406</v>
      </c>
      <c r="I4557" s="370">
        <v>8640.9601135253906</v>
      </c>
      <c r="M4557" s="371">
        <f t="shared" si="285"/>
        <v>14009.689506162968</v>
      </c>
      <c r="N4557" s="329">
        <f t="shared" si="286"/>
        <v>5332.7175659179684</v>
      </c>
      <c r="T4557" s="331">
        <v>0</v>
      </c>
      <c r="U4557" s="328">
        <f>VLOOKUP(C4557,METADATA!$J$5:$Q$29,IF(E4557="HI",2,IF(E4557="LO",6,10))+IF(T4557=1,2,IF(D4557=7,1,(IF(WEEKDAY(B4557)=1,2,IF(WEEKDAY(B4557)=7,1,0))))))</f>
        <v>2</v>
      </c>
      <c r="V4557" s="328">
        <f>VLOOKUP(C4557,METADATA!$A$5:$H$29,IF(E4557="HI",2,IF(E4557="LO",6,10))+IF(T4557=1,2,IF(D4557=7,1,(IF(WEEKDAY(B4557)=1,2,IF(WEEKDAY(B4557)=7,1,0))))))</f>
        <v>2</v>
      </c>
    </row>
    <row r="4558" spans="2:22">
      <c r="B4558" s="318">
        <f t="shared" si="283"/>
        <v>46302</v>
      </c>
      <c r="C4558" s="312">
        <v>18</v>
      </c>
      <c r="D4558" s="368">
        <f>IFERROR((INDEX(METADATA!$T$2:$T$20,MATCH(B4558,METADATA!$S$2:$S$20,0))),0)</f>
        <v>0</v>
      </c>
      <c r="E4558" s="312" t="str">
        <f t="shared" si="284"/>
        <v>LO</v>
      </c>
      <c r="F4558" s="369">
        <f>VLOOKUP(C4558,METADATA!$A$5:$H$29,IF(E4558="HI",2,IF(E4558="LO",6,10))+IF(D4558=1,2,IF(D4558=7,1,(IF(WEEKDAY(B4558)=1,2,IF(WEEKDAY(B4558)=7,1,0))))))</f>
        <v>1</v>
      </c>
      <c r="G4558" s="369">
        <f>VLOOKUP(C4558,METADATA!$J$5:$Q$29,IF(E4558="HI",2,IF(E4558="LO",6,10))+IF(D4558=1,2,IF(D4558=7,1,(IF(WEEKDAY(B4558)=1,2,IF(WEEKDAY(B4558)=7,1,0))))))</f>
        <v>1</v>
      </c>
      <c r="H4558" s="370">
        <v>12334.85009765625</v>
      </c>
      <c r="I4558" s="370">
        <v>9384.7999877929688</v>
      </c>
      <c r="M4558" s="371">
        <f t="shared" si="285"/>
        <v>15499.128934960483</v>
      </c>
      <c r="N4558" s="329">
        <f t="shared" si="286"/>
        <v>5684.3449584960945</v>
      </c>
      <c r="T4558" s="331">
        <v>0</v>
      </c>
      <c r="U4558" s="328">
        <f>VLOOKUP(C4558,METADATA!$J$5:$Q$29,IF(E4558="HI",2,IF(E4558="LO",6,10))+IF(T4558=1,2,IF(D4558=7,1,(IF(WEEKDAY(B4558)=1,2,IF(WEEKDAY(B4558)=7,1,0))))))</f>
        <v>1</v>
      </c>
      <c r="V4558" s="328">
        <f>VLOOKUP(C4558,METADATA!$A$5:$H$29,IF(E4558="HI",2,IF(E4558="LO",6,10))+IF(T4558=1,2,IF(D4558=7,1,(IF(WEEKDAY(B4558)=1,2,IF(WEEKDAY(B4558)=7,1,0))))))</f>
        <v>1</v>
      </c>
    </row>
    <row r="4559" spans="2:22">
      <c r="B4559" s="318">
        <f t="shared" si="283"/>
        <v>46302</v>
      </c>
      <c r="C4559" s="312">
        <v>19</v>
      </c>
      <c r="D4559" s="368">
        <f>IFERROR((INDEX(METADATA!$T$2:$T$20,MATCH(B4559,METADATA!$S$2:$S$20,0))),0)</f>
        <v>0</v>
      </c>
      <c r="E4559" s="312" t="str">
        <f t="shared" si="284"/>
        <v>LO</v>
      </c>
      <c r="F4559" s="369">
        <f>VLOOKUP(C4559,METADATA!$A$5:$H$29,IF(E4559="HI",2,IF(E4559="LO",6,10))+IF(D4559=1,2,IF(D4559=7,1,(IF(WEEKDAY(B4559)=1,2,IF(WEEKDAY(B4559)=7,1,0))))))</f>
        <v>1</v>
      </c>
      <c r="G4559" s="369">
        <f>VLOOKUP(C4559,METADATA!$J$5:$Q$29,IF(E4559="HI",2,IF(E4559="LO",6,10))+IF(D4559=1,2,IF(D4559=7,1,(IF(WEEKDAY(B4559)=1,2,IF(WEEKDAY(B4559)=7,1,0))))))</f>
        <v>1</v>
      </c>
      <c r="H4559" s="370">
        <v>13066.550415039063</v>
      </c>
      <c r="I4559" s="370">
        <v>9876.2748413085938</v>
      </c>
      <c r="M4559" s="371">
        <f t="shared" si="285"/>
        <v>16379.119160987339</v>
      </c>
      <c r="N4559" s="329">
        <f t="shared" si="286"/>
        <v>5956.3097167968754</v>
      </c>
      <c r="T4559" s="331">
        <v>0</v>
      </c>
      <c r="U4559" s="328">
        <f>VLOOKUP(C4559,METADATA!$J$5:$Q$29,IF(E4559="HI",2,IF(E4559="LO",6,10))+IF(T4559=1,2,IF(D4559=7,1,(IF(WEEKDAY(B4559)=1,2,IF(WEEKDAY(B4559)=7,1,0))))))</f>
        <v>1</v>
      </c>
      <c r="V4559" s="328">
        <f>VLOOKUP(C4559,METADATA!$A$5:$H$29,IF(E4559="HI",2,IF(E4559="LO",6,10))+IF(T4559=1,2,IF(D4559=7,1,(IF(WEEKDAY(B4559)=1,2,IF(WEEKDAY(B4559)=7,1,0))))))</f>
        <v>1</v>
      </c>
    </row>
    <row r="4560" spans="2:22">
      <c r="B4560" s="318">
        <f t="shared" si="283"/>
        <v>46302</v>
      </c>
      <c r="C4560" s="312">
        <v>20</v>
      </c>
      <c r="D4560" s="368">
        <f>IFERROR((INDEX(METADATA!$T$2:$T$20,MATCH(B4560,METADATA!$S$2:$S$20,0))),0)</f>
        <v>0</v>
      </c>
      <c r="E4560" s="312" t="str">
        <f t="shared" si="284"/>
        <v>LO</v>
      </c>
      <c r="F4560" s="369">
        <f>VLOOKUP(C4560,METADATA!$A$5:$H$29,IF(E4560="HI",2,IF(E4560="LO",6,10))+IF(D4560=1,2,IF(D4560=7,1,(IF(WEEKDAY(B4560)=1,2,IF(WEEKDAY(B4560)=7,1,0))))))</f>
        <v>1</v>
      </c>
      <c r="G4560" s="369">
        <f>VLOOKUP(C4560,METADATA!$J$5:$Q$29,IF(E4560="HI",2,IF(E4560="LO",6,10))+IF(D4560=1,2,IF(D4560=7,1,(IF(WEEKDAY(B4560)=1,2,IF(WEEKDAY(B4560)=7,1,0))))))</f>
        <v>1</v>
      </c>
      <c r="H4560" s="370">
        <v>13080.300048828125</v>
      </c>
      <c r="I4560" s="370">
        <v>10003.799865722656</v>
      </c>
      <c r="M4560" s="371">
        <f t="shared" si="285"/>
        <v>16467.248134427489</v>
      </c>
      <c r="N4560" s="329">
        <f t="shared" si="286"/>
        <v>6079.7098510742189</v>
      </c>
      <c r="T4560" s="331">
        <v>0</v>
      </c>
      <c r="U4560" s="328">
        <f>VLOOKUP(C4560,METADATA!$J$5:$Q$29,IF(E4560="HI",2,IF(E4560="LO",6,10))+IF(T4560=1,2,IF(D4560=7,1,(IF(WEEKDAY(B4560)=1,2,IF(WEEKDAY(B4560)=7,1,0))))))</f>
        <v>1</v>
      </c>
      <c r="V4560" s="328">
        <f>VLOOKUP(C4560,METADATA!$A$5:$H$29,IF(E4560="HI",2,IF(E4560="LO",6,10))+IF(T4560=1,2,IF(D4560=7,1,(IF(WEEKDAY(B4560)=1,2,IF(WEEKDAY(B4560)=7,1,0))))))</f>
        <v>1</v>
      </c>
    </row>
    <row r="4561" spans="2:22">
      <c r="B4561" s="318">
        <f t="shared" si="283"/>
        <v>46302</v>
      </c>
      <c r="C4561" s="312">
        <v>21</v>
      </c>
      <c r="D4561" s="368">
        <f>IFERROR((INDEX(METADATA!$T$2:$T$20,MATCH(B4561,METADATA!$S$2:$S$20,0))),0)</f>
        <v>0</v>
      </c>
      <c r="E4561" s="312" t="str">
        <f t="shared" si="284"/>
        <v>LO</v>
      </c>
      <c r="F4561" s="369">
        <f>VLOOKUP(C4561,METADATA!$A$5:$H$29,IF(E4561="HI",2,IF(E4561="LO",6,10))+IF(D4561=1,2,IF(D4561=7,1,(IF(WEEKDAY(B4561)=1,2,IF(WEEKDAY(B4561)=7,1,0))))))</f>
        <v>2</v>
      </c>
      <c r="G4561" s="369">
        <f>VLOOKUP(C4561,METADATA!$J$5:$Q$29,IF(E4561="HI",2,IF(E4561="LO",6,10))+IF(D4561=1,2,IF(D4561=7,1,(IF(WEEKDAY(B4561)=1,2,IF(WEEKDAY(B4561)=7,1,0))))))</f>
        <v>2</v>
      </c>
      <c r="H4561" s="370">
        <v>13161.474853515625</v>
      </c>
      <c r="I4561" s="370">
        <v>10075.450012207031</v>
      </c>
      <c r="M4561" s="371">
        <f t="shared" si="285"/>
        <v>16575.256054378369</v>
      </c>
      <c r="N4561" s="329">
        <f t="shared" si="286"/>
        <v>6127.0075561523445</v>
      </c>
      <c r="T4561" s="331">
        <v>0</v>
      </c>
      <c r="U4561" s="328">
        <f>VLOOKUP(C4561,METADATA!$J$5:$Q$29,IF(E4561="HI",2,IF(E4561="LO",6,10))+IF(T4561=1,2,IF(D4561=7,1,(IF(WEEKDAY(B4561)=1,2,IF(WEEKDAY(B4561)=7,1,0))))))</f>
        <v>2</v>
      </c>
      <c r="V4561" s="328">
        <f>VLOOKUP(C4561,METADATA!$A$5:$H$29,IF(E4561="HI",2,IF(E4561="LO",6,10))+IF(T4561=1,2,IF(D4561=7,1,(IF(WEEKDAY(B4561)=1,2,IF(WEEKDAY(B4561)=7,1,0))))))</f>
        <v>2</v>
      </c>
    </row>
    <row r="4562" spans="2:22">
      <c r="B4562" s="318">
        <f t="shared" si="283"/>
        <v>46302</v>
      </c>
      <c r="C4562" s="312">
        <v>22</v>
      </c>
      <c r="D4562" s="368">
        <f>IFERROR((INDEX(METADATA!$T$2:$T$20,MATCH(B4562,METADATA!$S$2:$S$20,0))),0)</f>
        <v>0</v>
      </c>
      <c r="E4562" s="312" t="str">
        <f t="shared" si="284"/>
        <v>LO</v>
      </c>
      <c r="F4562" s="369">
        <f>VLOOKUP(C4562,METADATA!$A$5:$H$29,IF(E4562="HI",2,IF(E4562="LO",6,10))+IF(D4562=1,2,IF(D4562=7,1,(IF(WEEKDAY(B4562)=1,2,IF(WEEKDAY(B4562)=7,1,0))))))</f>
        <v>3</v>
      </c>
      <c r="G4562" s="369">
        <f>VLOOKUP(C4562,METADATA!$J$5:$Q$29,IF(E4562="HI",2,IF(E4562="LO",6,10))+IF(D4562=1,2,IF(D4562=7,1,(IF(WEEKDAY(B4562)=1,2,IF(WEEKDAY(B4562)=7,1,0))))))</f>
        <v>3</v>
      </c>
      <c r="H4562" s="370">
        <v>13013.800109863281</v>
      </c>
      <c r="I4562" s="370">
        <v>10058.374938964844</v>
      </c>
      <c r="M4562" s="371">
        <f t="shared" si="285"/>
        <v>16447.793156295273</v>
      </c>
      <c r="N4562" s="329">
        <f t="shared" si="286"/>
        <v>6154.2349060058596</v>
      </c>
      <c r="T4562" s="331">
        <v>0</v>
      </c>
      <c r="U4562" s="328">
        <f>VLOOKUP(C4562,METADATA!$J$5:$Q$29,IF(E4562="HI",2,IF(E4562="LO",6,10))+IF(T4562=1,2,IF(D4562=7,1,(IF(WEEKDAY(B4562)=1,2,IF(WEEKDAY(B4562)=7,1,0))))))</f>
        <v>3</v>
      </c>
      <c r="V4562" s="328">
        <f>VLOOKUP(C4562,METADATA!$A$5:$H$29,IF(E4562="HI",2,IF(E4562="LO",6,10))+IF(T4562=1,2,IF(D4562=7,1,(IF(WEEKDAY(B4562)=1,2,IF(WEEKDAY(B4562)=7,1,0))))))</f>
        <v>3</v>
      </c>
    </row>
    <row r="4563" spans="2:22">
      <c r="B4563" s="318">
        <f t="shared" si="283"/>
        <v>46302</v>
      </c>
      <c r="C4563" s="312">
        <v>23</v>
      </c>
      <c r="D4563" s="368">
        <f>IFERROR((INDEX(METADATA!$T$2:$T$20,MATCH(B4563,METADATA!$S$2:$S$20,0))),0)</f>
        <v>0</v>
      </c>
      <c r="E4563" s="312" t="str">
        <f t="shared" si="284"/>
        <v>LO</v>
      </c>
      <c r="F4563" s="369">
        <f>VLOOKUP(C4563,METADATA!$A$5:$H$29,IF(E4563="HI",2,IF(E4563="LO",6,10))+IF(D4563=1,2,IF(D4563=7,1,(IF(WEEKDAY(B4563)=1,2,IF(WEEKDAY(B4563)=7,1,0))))))</f>
        <v>3</v>
      </c>
      <c r="G4563" s="369">
        <f>VLOOKUP(C4563,METADATA!$J$5:$Q$29,IF(E4563="HI",2,IF(E4563="LO",6,10))+IF(D4563=1,2,IF(D4563=7,1,(IF(WEEKDAY(B4563)=1,2,IF(WEEKDAY(B4563)=7,1,0))))))</f>
        <v>3</v>
      </c>
      <c r="H4563" s="370">
        <v>13230.549560546875</v>
      </c>
      <c r="I4563" s="370">
        <v>10111.049926757813</v>
      </c>
      <c r="M4563" s="371">
        <f t="shared" si="285"/>
        <v>16651.749826834304</v>
      </c>
      <c r="N4563" s="329">
        <f t="shared" si="286"/>
        <v>6141.8850585937507</v>
      </c>
      <c r="T4563" s="331">
        <v>0</v>
      </c>
      <c r="U4563" s="328">
        <f>VLOOKUP(C4563,METADATA!$J$5:$Q$29,IF(E4563="HI",2,IF(E4563="LO",6,10))+IF(T4563=1,2,IF(D4563=7,1,(IF(WEEKDAY(B4563)=1,2,IF(WEEKDAY(B4563)=7,1,0))))))</f>
        <v>3</v>
      </c>
      <c r="V4563" s="328">
        <f>VLOOKUP(C4563,METADATA!$A$5:$H$29,IF(E4563="HI",2,IF(E4563="LO",6,10))+IF(T4563=1,2,IF(D4563=7,1,(IF(WEEKDAY(B4563)=1,2,IF(WEEKDAY(B4563)=7,1,0))))))</f>
        <v>3</v>
      </c>
    </row>
    <row r="4564" spans="2:22">
      <c r="B4564" s="318">
        <f t="shared" si="283"/>
        <v>46303</v>
      </c>
      <c r="C4564" s="312">
        <v>0</v>
      </c>
      <c r="D4564" s="368">
        <f>IFERROR((INDEX(METADATA!$T$2:$T$20,MATCH(B4564,METADATA!$S$2:$S$20,0))),0)</f>
        <v>0</v>
      </c>
      <c r="E4564" s="312" t="str">
        <f t="shared" si="284"/>
        <v>LO</v>
      </c>
      <c r="F4564" s="369">
        <f>VLOOKUP(C4564,METADATA!$A$5:$H$29,IF(E4564="HI",2,IF(E4564="LO",6,10))+IF(D4564=1,2,IF(D4564=7,1,(IF(WEEKDAY(B4564)=1,2,IF(WEEKDAY(B4564)=7,1,0))))))</f>
        <v>3</v>
      </c>
      <c r="G4564" s="369">
        <f>VLOOKUP(C4564,METADATA!$J$5:$Q$29,IF(E4564="HI",2,IF(E4564="LO",6,10))+IF(D4564=1,2,IF(D4564=7,1,(IF(WEEKDAY(B4564)=1,2,IF(WEEKDAY(B4564)=7,1,0))))))</f>
        <v>3</v>
      </c>
      <c r="H4564" s="370">
        <v>13159.125244140625</v>
      </c>
      <c r="I4564" s="370">
        <v>10058.724914550781</v>
      </c>
      <c r="M4564" s="371">
        <f t="shared" si="285"/>
        <v>16563.228069962199</v>
      </c>
      <c r="N4564" s="329">
        <f t="shared" si="286"/>
        <v>6110.9873413085934</v>
      </c>
      <c r="T4564" s="331">
        <v>0</v>
      </c>
      <c r="U4564" s="328">
        <f>VLOOKUP(C4564,METADATA!$J$5:$Q$29,IF(E4564="HI",2,IF(E4564="LO",6,10))+IF(T4564=1,2,IF(D4564=7,1,(IF(WEEKDAY(B4564)=1,2,IF(WEEKDAY(B4564)=7,1,0))))))</f>
        <v>3</v>
      </c>
      <c r="V4564" s="328">
        <f>VLOOKUP(C4564,METADATA!$A$5:$H$29,IF(E4564="HI",2,IF(E4564="LO",6,10))+IF(T4564=1,2,IF(D4564=7,1,(IF(WEEKDAY(B4564)=1,2,IF(WEEKDAY(B4564)=7,1,0))))))</f>
        <v>3</v>
      </c>
    </row>
    <row r="4565" spans="2:22">
      <c r="B4565" s="318">
        <f t="shared" si="283"/>
        <v>46303</v>
      </c>
      <c r="C4565" s="312">
        <v>1</v>
      </c>
      <c r="D4565" s="368">
        <f>IFERROR((INDEX(METADATA!$T$2:$T$20,MATCH(B4565,METADATA!$S$2:$S$20,0))),0)</f>
        <v>0</v>
      </c>
      <c r="E4565" s="312" t="str">
        <f t="shared" si="284"/>
        <v>LO</v>
      </c>
      <c r="F4565" s="369">
        <f>VLOOKUP(C4565,METADATA!$A$5:$H$29,IF(E4565="HI",2,IF(E4565="LO",6,10))+IF(D4565=1,2,IF(D4565=7,1,(IF(WEEKDAY(B4565)=1,2,IF(WEEKDAY(B4565)=7,1,0))))))</f>
        <v>3</v>
      </c>
      <c r="G4565" s="369">
        <f>VLOOKUP(C4565,METADATA!$J$5:$Q$29,IF(E4565="HI",2,IF(E4565="LO",6,10))+IF(D4565=1,2,IF(D4565=7,1,(IF(WEEKDAY(B4565)=1,2,IF(WEEKDAY(B4565)=7,1,0))))))</f>
        <v>3</v>
      </c>
      <c r="H4565" s="370">
        <v>13065.299865722656</v>
      </c>
      <c r="I4565" s="370">
        <v>10087.025085449219</v>
      </c>
      <c r="M4565" s="371">
        <f t="shared" si="285"/>
        <v>16506.063602680511</v>
      </c>
      <c r="N4565" s="329">
        <f t="shared" si="286"/>
        <v>6167.4351257324215</v>
      </c>
      <c r="T4565" s="331">
        <v>0</v>
      </c>
      <c r="U4565" s="328">
        <f>VLOOKUP(C4565,METADATA!$J$5:$Q$29,IF(E4565="HI",2,IF(E4565="LO",6,10))+IF(T4565=1,2,IF(D4565=7,1,(IF(WEEKDAY(B4565)=1,2,IF(WEEKDAY(B4565)=7,1,0))))))</f>
        <v>3</v>
      </c>
      <c r="V4565" s="328">
        <f>VLOOKUP(C4565,METADATA!$A$5:$H$29,IF(E4565="HI",2,IF(E4565="LO",6,10))+IF(T4565=1,2,IF(D4565=7,1,(IF(WEEKDAY(B4565)=1,2,IF(WEEKDAY(B4565)=7,1,0))))))</f>
        <v>3</v>
      </c>
    </row>
    <row r="4566" spans="2:22">
      <c r="B4566" s="318">
        <f t="shared" si="283"/>
        <v>46303</v>
      </c>
      <c r="C4566" s="312">
        <v>2</v>
      </c>
      <c r="D4566" s="368">
        <f>IFERROR((INDEX(METADATA!$T$2:$T$20,MATCH(B4566,METADATA!$S$2:$S$20,0))),0)</f>
        <v>0</v>
      </c>
      <c r="E4566" s="312" t="str">
        <f t="shared" si="284"/>
        <v>LO</v>
      </c>
      <c r="F4566" s="369">
        <f>VLOOKUP(C4566,METADATA!$A$5:$H$29,IF(E4566="HI",2,IF(E4566="LO",6,10))+IF(D4566=1,2,IF(D4566=7,1,(IF(WEEKDAY(B4566)=1,2,IF(WEEKDAY(B4566)=7,1,0))))))</f>
        <v>3</v>
      </c>
      <c r="G4566" s="369">
        <f>VLOOKUP(C4566,METADATA!$J$5:$Q$29,IF(E4566="HI",2,IF(E4566="LO",6,10))+IF(D4566=1,2,IF(D4566=7,1,(IF(WEEKDAY(B4566)=1,2,IF(WEEKDAY(B4566)=7,1,0))))))</f>
        <v>3</v>
      </c>
      <c r="H4566" s="370">
        <v>13057.249755859375</v>
      </c>
      <c r="I4566" s="370">
        <v>10136.649963378906</v>
      </c>
      <c r="M4566" s="371">
        <f t="shared" si="285"/>
        <v>16530.076940745294</v>
      </c>
      <c r="N4566" s="329">
        <f t="shared" si="286"/>
        <v>6219.4750366210938</v>
      </c>
      <c r="T4566" s="331">
        <v>0</v>
      </c>
      <c r="U4566" s="328">
        <f>VLOOKUP(C4566,METADATA!$J$5:$Q$29,IF(E4566="HI",2,IF(E4566="LO",6,10))+IF(T4566=1,2,IF(D4566=7,1,(IF(WEEKDAY(B4566)=1,2,IF(WEEKDAY(B4566)=7,1,0))))))</f>
        <v>3</v>
      </c>
      <c r="V4566" s="328">
        <f>VLOOKUP(C4566,METADATA!$A$5:$H$29,IF(E4566="HI",2,IF(E4566="LO",6,10))+IF(T4566=1,2,IF(D4566=7,1,(IF(WEEKDAY(B4566)=1,2,IF(WEEKDAY(B4566)=7,1,0))))))</f>
        <v>3</v>
      </c>
    </row>
    <row r="4567" spans="2:22">
      <c r="B4567" s="318">
        <f t="shared" si="283"/>
        <v>46303</v>
      </c>
      <c r="C4567" s="312">
        <v>3</v>
      </c>
      <c r="D4567" s="368">
        <f>IFERROR((INDEX(METADATA!$T$2:$T$20,MATCH(B4567,METADATA!$S$2:$S$20,0))),0)</f>
        <v>0</v>
      </c>
      <c r="E4567" s="312" t="str">
        <f t="shared" si="284"/>
        <v>LO</v>
      </c>
      <c r="F4567" s="369">
        <f>VLOOKUP(C4567,METADATA!$A$5:$H$29,IF(E4567="HI",2,IF(E4567="LO",6,10))+IF(D4567=1,2,IF(D4567=7,1,(IF(WEEKDAY(B4567)=1,2,IF(WEEKDAY(B4567)=7,1,0))))))</f>
        <v>3</v>
      </c>
      <c r="G4567" s="369">
        <f>VLOOKUP(C4567,METADATA!$J$5:$Q$29,IF(E4567="HI",2,IF(E4567="LO",6,10))+IF(D4567=1,2,IF(D4567=7,1,(IF(WEEKDAY(B4567)=1,2,IF(WEEKDAY(B4567)=7,1,0))))))</f>
        <v>3</v>
      </c>
      <c r="H4567" s="370">
        <v>12839.92529296875</v>
      </c>
      <c r="I4567" s="370">
        <v>10145.274841308594</v>
      </c>
      <c r="M4567" s="371">
        <f t="shared" si="285"/>
        <v>16364.299041960452</v>
      </c>
      <c r="N4567" s="329">
        <f t="shared" si="286"/>
        <v>6293.2972534179689</v>
      </c>
      <c r="T4567" s="331">
        <v>0</v>
      </c>
      <c r="U4567" s="328">
        <f>VLOOKUP(C4567,METADATA!$J$5:$Q$29,IF(E4567="HI",2,IF(E4567="LO",6,10))+IF(T4567=1,2,IF(D4567=7,1,(IF(WEEKDAY(B4567)=1,2,IF(WEEKDAY(B4567)=7,1,0))))))</f>
        <v>3</v>
      </c>
      <c r="V4567" s="328">
        <f>VLOOKUP(C4567,METADATA!$A$5:$H$29,IF(E4567="HI",2,IF(E4567="LO",6,10))+IF(T4567=1,2,IF(D4567=7,1,(IF(WEEKDAY(B4567)=1,2,IF(WEEKDAY(B4567)=7,1,0))))))</f>
        <v>3</v>
      </c>
    </row>
    <row r="4568" spans="2:22">
      <c r="B4568" s="318">
        <f t="shared" si="283"/>
        <v>46303</v>
      </c>
      <c r="C4568" s="312">
        <v>4</v>
      </c>
      <c r="D4568" s="368">
        <f>IFERROR((INDEX(METADATA!$T$2:$T$20,MATCH(B4568,METADATA!$S$2:$S$20,0))),0)</f>
        <v>0</v>
      </c>
      <c r="E4568" s="312" t="str">
        <f t="shared" si="284"/>
        <v>LO</v>
      </c>
      <c r="F4568" s="369">
        <f>VLOOKUP(C4568,METADATA!$A$5:$H$29,IF(E4568="HI",2,IF(E4568="LO",6,10))+IF(D4568=1,2,IF(D4568=7,1,(IF(WEEKDAY(B4568)=1,2,IF(WEEKDAY(B4568)=7,1,0))))))</f>
        <v>3</v>
      </c>
      <c r="G4568" s="369">
        <f>VLOOKUP(C4568,METADATA!$J$5:$Q$29,IF(E4568="HI",2,IF(E4568="LO",6,10))+IF(D4568=1,2,IF(D4568=7,1,(IF(WEEKDAY(B4568)=1,2,IF(WEEKDAY(B4568)=7,1,0))))))</f>
        <v>3</v>
      </c>
      <c r="H4568" s="370">
        <v>13027.550170898438</v>
      </c>
      <c r="I4568" s="370">
        <v>10020.325012207031</v>
      </c>
      <c r="M4568" s="371">
        <f t="shared" si="285"/>
        <v>16435.448786252771</v>
      </c>
      <c r="N4568" s="329">
        <f t="shared" si="286"/>
        <v>6112.0599609375004</v>
      </c>
      <c r="T4568" s="331">
        <v>0</v>
      </c>
      <c r="U4568" s="328">
        <f>VLOOKUP(C4568,METADATA!$J$5:$Q$29,IF(E4568="HI",2,IF(E4568="LO",6,10))+IF(T4568=1,2,IF(D4568=7,1,(IF(WEEKDAY(B4568)=1,2,IF(WEEKDAY(B4568)=7,1,0))))))</f>
        <v>3</v>
      </c>
      <c r="V4568" s="328">
        <f>VLOOKUP(C4568,METADATA!$A$5:$H$29,IF(E4568="HI",2,IF(E4568="LO",6,10))+IF(T4568=1,2,IF(D4568=7,1,(IF(WEEKDAY(B4568)=1,2,IF(WEEKDAY(B4568)=7,1,0))))))</f>
        <v>3</v>
      </c>
    </row>
    <row r="4569" spans="2:22">
      <c r="B4569" s="318">
        <f t="shared" si="283"/>
        <v>46303</v>
      </c>
      <c r="C4569" s="312">
        <v>5</v>
      </c>
      <c r="D4569" s="368">
        <f>IFERROR((INDEX(METADATA!$T$2:$T$20,MATCH(B4569,METADATA!$S$2:$S$20,0))),0)</f>
        <v>0</v>
      </c>
      <c r="E4569" s="312" t="str">
        <f t="shared" si="284"/>
        <v>LO</v>
      </c>
      <c r="F4569" s="369">
        <f>VLOOKUP(C4569,METADATA!$A$5:$H$29,IF(E4569="HI",2,IF(E4569="LO",6,10))+IF(D4569=1,2,IF(D4569=7,1,(IF(WEEKDAY(B4569)=1,2,IF(WEEKDAY(B4569)=7,1,0))))))</f>
        <v>3</v>
      </c>
      <c r="G4569" s="369">
        <f>VLOOKUP(C4569,METADATA!$J$5:$Q$29,IF(E4569="HI",2,IF(E4569="LO",6,10))+IF(D4569=1,2,IF(D4569=7,1,(IF(WEEKDAY(B4569)=1,2,IF(WEEKDAY(B4569)=7,1,0))))))</f>
        <v>3</v>
      </c>
      <c r="H4569" s="370">
        <v>12917.575073242188</v>
      </c>
      <c r="I4569" s="370">
        <v>9767</v>
      </c>
      <c r="M4569" s="371">
        <f t="shared" si="285"/>
        <v>16194.382815434736</v>
      </c>
      <c r="N4569" s="329">
        <f t="shared" si="286"/>
        <v>5891.7274780273438</v>
      </c>
      <c r="T4569" s="331">
        <v>0</v>
      </c>
      <c r="U4569" s="328">
        <f>VLOOKUP(C4569,METADATA!$J$5:$Q$29,IF(E4569="HI",2,IF(E4569="LO",6,10))+IF(T4569=1,2,IF(D4569=7,1,(IF(WEEKDAY(B4569)=1,2,IF(WEEKDAY(B4569)=7,1,0))))))</f>
        <v>3</v>
      </c>
      <c r="V4569" s="328">
        <f>VLOOKUP(C4569,METADATA!$A$5:$H$29,IF(E4569="HI",2,IF(E4569="LO",6,10))+IF(T4569=1,2,IF(D4569=7,1,(IF(WEEKDAY(B4569)=1,2,IF(WEEKDAY(B4569)=7,1,0))))))</f>
        <v>3</v>
      </c>
    </row>
    <row r="4570" spans="2:22">
      <c r="B4570" s="318">
        <f t="shared" si="283"/>
        <v>46303</v>
      </c>
      <c r="C4570" s="312">
        <v>6</v>
      </c>
      <c r="D4570" s="368">
        <f>IFERROR((INDEX(METADATA!$T$2:$T$20,MATCH(B4570,METADATA!$S$2:$S$20,0))),0)</f>
        <v>0</v>
      </c>
      <c r="E4570" s="312" t="str">
        <f t="shared" si="284"/>
        <v>LO</v>
      </c>
      <c r="F4570" s="369">
        <f>VLOOKUP(C4570,METADATA!$A$5:$H$29,IF(E4570="HI",2,IF(E4570="LO",6,10))+IF(D4570=1,2,IF(D4570=7,1,(IF(WEEKDAY(B4570)=1,2,IF(WEEKDAY(B4570)=7,1,0))))))</f>
        <v>2</v>
      </c>
      <c r="G4570" s="369">
        <f>VLOOKUP(C4570,METADATA!$J$5:$Q$29,IF(E4570="HI",2,IF(E4570="LO",6,10))+IF(D4570=1,2,IF(D4570=7,1,(IF(WEEKDAY(B4570)=1,2,IF(WEEKDAY(B4570)=7,1,0))))))</f>
        <v>2</v>
      </c>
      <c r="H4570" s="370">
        <v>12996.075256347656</v>
      </c>
      <c r="I4570" s="370">
        <v>9656.6748046875</v>
      </c>
      <c r="M4570" s="371">
        <f t="shared" si="285"/>
        <v>16191.026537935702</v>
      </c>
      <c r="N4570" s="329">
        <f t="shared" si="286"/>
        <v>5757.8522277832035</v>
      </c>
      <c r="T4570" s="331">
        <v>0</v>
      </c>
      <c r="U4570" s="328">
        <f>VLOOKUP(C4570,METADATA!$J$5:$Q$29,IF(E4570="HI",2,IF(E4570="LO",6,10))+IF(T4570=1,2,IF(D4570=7,1,(IF(WEEKDAY(B4570)=1,2,IF(WEEKDAY(B4570)=7,1,0))))))</f>
        <v>2</v>
      </c>
      <c r="V4570" s="328">
        <f>VLOOKUP(C4570,METADATA!$A$5:$H$29,IF(E4570="HI",2,IF(E4570="LO",6,10))+IF(T4570=1,2,IF(D4570=7,1,(IF(WEEKDAY(B4570)=1,2,IF(WEEKDAY(B4570)=7,1,0))))))</f>
        <v>2</v>
      </c>
    </row>
    <row r="4571" spans="2:22">
      <c r="B4571" s="318">
        <f t="shared" si="283"/>
        <v>46303</v>
      </c>
      <c r="C4571" s="312">
        <v>7</v>
      </c>
      <c r="D4571" s="368">
        <f>IFERROR((INDEX(METADATA!$T$2:$T$20,MATCH(B4571,METADATA!$S$2:$S$20,0))),0)</f>
        <v>0</v>
      </c>
      <c r="E4571" s="312" t="str">
        <f t="shared" si="284"/>
        <v>LO</v>
      </c>
      <c r="F4571" s="369">
        <f>VLOOKUP(C4571,METADATA!$A$5:$H$29,IF(E4571="HI",2,IF(E4571="LO",6,10))+IF(D4571=1,2,IF(D4571=7,1,(IF(WEEKDAY(B4571)=1,2,IF(WEEKDAY(B4571)=7,1,0))))))</f>
        <v>1</v>
      </c>
      <c r="G4571" s="369">
        <f>VLOOKUP(C4571,METADATA!$J$5:$Q$29,IF(E4571="HI",2,IF(E4571="LO",6,10))+IF(D4571=1,2,IF(D4571=7,1,(IF(WEEKDAY(B4571)=1,2,IF(WEEKDAY(B4571)=7,1,0))))))</f>
        <v>1</v>
      </c>
      <c r="H4571" s="370">
        <v>13051.6748046875</v>
      </c>
      <c r="I4571" s="370">
        <v>9874.8751220703125</v>
      </c>
      <c r="M4571" s="371">
        <f t="shared" si="285"/>
        <v>16366.409926547656</v>
      </c>
      <c r="N4571" s="329">
        <f t="shared" si="286"/>
        <v>5959.3726806640625</v>
      </c>
      <c r="T4571" s="331">
        <v>0</v>
      </c>
      <c r="U4571" s="328">
        <f>VLOOKUP(C4571,METADATA!$J$5:$Q$29,IF(E4571="HI",2,IF(E4571="LO",6,10))+IF(T4571=1,2,IF(D4571=7,1,(IF(WEEKDAY(B4571)=1,2,IF(WEEKDAY(B4571)=7,1,0))))))</f>
        <v>1</v>
      </c>
      <c r="V4571" s="328">
        <f>VLOOKUP(C4571,METADATA!$A$5:$H$29,IF(E4571="HI",2,IF(E4571="LO",6,10))+IF(T4571=1,2,IF(D4571=7,1,(IF(WEEKDAY(B4571)=1,2,IF(WEEKDAY(B4571)=7,1,0))))))</f>
        <v>1</v>
      </c>
    </row>
    <row r="4572" spans="2:22">
      <c r="B4572" s="318">
        <f t="shared" ref="B4572:B4635" si="287">B4548+1</f>
        <v>46303</v>
      </c>
      <c r="C4572" s="312">
        <v>8</v>
      </c>
      <c r="D4572" s="368">
        <f>IFERROR((INDEX(METADATA!$T$2:$T$20,MATCH(B4572,METADATA!$S$2:$S$20,0))),0)</f>
        <v>0</v>
      </c>
      <c r="E4572" s="312" t="str">
        <f t="shared" si="284"/>
        <v>LO</v>
      </c>
      <c r="F4572" s="369">
        <f>VLOOKUP(C4572,METADATA!$A$5:$H$29,IF(E4572="HI",2,IF(E4572="LO",6,10))+IF(D4572=1,2,IF(D4572=7,1,(IF(WEEKDAY(B4572)=1,2,IF(WEEKDAY(B4572)=7,1,0))))))</f>
        <v>1</v>
      </c>
      <c r="G4572" s="369">
        <f>VLOOKUP(C4572,METADATA!$J$5:$Q$29,IF(E4572="HI",2,IF(E4572="LO",6,10))+IF(D4572=1,2,IF(D4572=7,1,(IF(WEEKDAY(B4572)=1,2,IF(WEEKDAY(B4572)=7,1,0))))))</f>
        <v>1</v>
      </c>
      <c r="H4572" s="370">
        <v>13113.075073242188</v>
      </c>
      <c r="I4572" s="370">
        <v>9869.6500854492188</v>
      </c>
      <c r="M4572" s="371">
        <f t="shared" si="285"/>
        <v>16412.273781706586</v>
      </c>
      <c r="N4572" s="329">
        <f t="shared" si="286"/>
        <v>5935.7275634765629</v>
      </c>
      <c r="T4572" s="331">
        <v>0</v>
      </c>
      <c r="U4572" s="328">
        <f>VLOOKUP(C4572,METADATA!$J$5:$Q$29,IF(E4572="HI",2,IF(E4572="LO",6,10))+IF(T4572=1,2,IF(D4572=7,1,(IF(WEEKDAY(B4572)=1,2,IF(WEEKDAY(B4572)=7,1,0))))))</f>
        <v>1</v>
      </c>
      <c r="V4572" s="328">
        <f>VLOOKUP(C4572,METADATA!$A$5:$H$29,IF(E4572="HI",2,IF(E4572="LO",6,10))+IF(T4572=1,2,IF(D4572=7,1,(IF(WEEKDAY(B4572)=1,2,IF(WEEKDAY(B4572)=7,1,0))))))</f>
        <v>1</v>
      </c>
    </row>
    <row r="4573" spans="2:22">
      <c r="B4573" s="318">
        <f t="shared" si="287"/>
        <v>46303</v>
      </c>
      <c r="C4573" s="312">
        <v>9</v>
      </c>
      <c r="D4573" s="368">
        <f>IFERROR((INDEX(METADATA!$T$2:$T$20,MATCH(B4573,METADATA!$S$2:$S$20,0))),0)</f>
        <v>0</v>
      </c>
      <c r="E4573" s="312" t="str">
        <f t="shared" si="284"/>
        <v>LO</v>
      </c>
      <c r="F4573" s="369">
        <f>VLOOKUP(C4573,METADATA!$A$5:$H$29,IF(E4573="HI",2,IF(E4573="LO",6,10))+IF(D4573=1,2,IF(D4573=7,1,(IF(WEEKDAY(B4573)=1,2,IF(WEEKDAY(B4573)=7,1,0))))))</f>
        <v>2</v>
      </c>
      <c r="G4573" s="369">
        <f>VLOOKUP(C4573,METADATA!$J$5:$Q$29,IF(E4573="HI",2,IF(E4573="LO",6,10))+IF(D4573=1,2,IF(D4573=7,1,(IF(WEEKDAY(B4573)=1,2,IF(WEEKDAY(B4573)=7,1,0))))))</f>
        <v>2</v>
      </c>
      <c r="H4573" s="370">
        <v>13219.100036621094</v>
      </c>
      <c r="I4573" s="370">
        <v>9645.8250732421875</v>
      </c>
      <c r="M4573" s="371">
        <f t="shared" si="285"/>
        <v>16364.184890234632</v>
      </c>
      <c r="N4573" s="329">
        <f t="shared" si="286"/>
        <v>5680.0950622558594</v>
      </c>
      <c r="T4573" s="331">
        <v>0</v>
      </c>
      <c r="U4573" s="328">
        <f>VLOOKUP(C4573,METADATA!$J$5:$Q$29,IF(E4573="HI",2,IF(E4573="LO",6,10))+IF(T4573=1,2,IF(D4573=7,1,(IF(WEEKDAY(B4573)=1,2,IF(WEEKDAY(B4573)=7,1,0))))))</f>
        <v>2</v>
      </c>
      <c r="V4573" s="328">
        <f>VLOOKUP(C4573,METADATA!$A$5:$H$29,IF(E4573="HI",2,IF(E4573="LO",6,10))+IF(T4573=1,2,IF(D4573=7,1,(IF(WEEKDAY(B4573)=1,2,IF(WEEKDAY(B4573)=7,1,0))))))</f>
        <v>2</v>
      </c>
    </row>
    <row r="4574" spans="2:22">
      <c r="B4574" s="318">
        <f t="shared" si="287"/>
        <v>46303</v>
      </c>
      <c r="C4574" s="312">
        <v>10</v>
      </c>
      <c r="D4574" s="368">
        <f>IFERROR((INDEX(METADATA!$T$2:$T$20,MATCH(B4574,METADATA!$S$2:$S$20,0))),0)</f>
        <v>0</v>
      </c>
      <c r="E4574" s="312" t="str">
        <f t="shared" si="284"/>
        <v>LO</v>
      </c>
      <c r="F4574" s="369">
        <f>VLOOKUP(C4574,METADATA!$A$5:$H$29,IF(E4574="HI",2,IF(E4574="LO",6,10))+IF(D4574=1,2,IF(D4574=7,1,(IF(WEEKDAY(B4574)=1,2,IF(WEEKDAY(B4574)=7,1,0))))))</f>
        <v>2</v>
      </c>
      <c r="G4574" s="369">
        <f>VLOOKUP(C4574,METADATA!$J$5:$Q$29,IF(E4574="HI",2,IF(E4574="LO",6,10))+IF(D4574=1,2,IF(D4574=7,1,(IF(WEEKDAY(B4574)=1,2,IF(WEEKDAY(B4574)=7,1,0))))))</f>
        <v>2</v>
      </c>
      <c r="H4574" s="370">
        <v>13062.749755859375</v>
      </c>
      <c r="I4574" s="370">
        <v>9704.7999267578125</v>
      </c>
      <c r="M4574" s="371">
        <f t="shared" si="285"/>
        <v>16273.247149926858</v>
      </c>
      <c r="N4574" s="329">
        <f t="shared" si="286"/>
        <v>5785.9750000000004</v>
      </c>
      <c r="T4574" s="331">
        <v>0</v>
      </c>
      <c r="U4574" s="328">
        <f>VLOOKUP(C4574,METADATA!$J$5:$Q$29,IF(E4574="HI",2,IF(E4574="LO",6,10))+IF(T4574=1,2,IF(D4574=7,1,(IF(WEEKDAY(B4574)=1,2,IF(WEEKDAY(B4574)=7,1,0))))))</f>
        <v>2</v>
      </c>
      <c r="V4574" s="328">
        <f>VLOOKUP(C4574,METADATA!$A$5:$H$29,IF(E4574="HI",2,IF(E4574="LO",6,10))+IF(T4574=1,2,IF(D4574=7,1,(IF(WEEKDAY(B4574)=1,2,IF(WEEKDAY(B4574)=7,1,0))))))</f>
        <v>2</v>
      </c>
    </row>
    <row r="4575" spans="2:22">
      <c r="B4575" s="318">
        <f t="shared" si="287"/>
        <v>46303</v>
      </c>
      <c r="C4575" s="312">
        <v>11</v>
      </c>
      <c r="D4575" s="368">
        <f>IFERROR((INDEX(METADATA!$T$2:$T$20,MATCH(B4575,METADATA!$S$2:$S$20,0))),0)</f>
        <v>0</v>
      </c>
      <c r="E4575" s="312" t="str">
        <f t="shared" si="284"/>
        <v>LO</v>
      </c>
      <c r="F4575" s="369">
        <f>VLOOKUP(C4575,METADATA!$A$5:$H$29,IF(E4575="HI",2,IF(E4575="LO",6,10))+IF(D4575=1,2,IF(D4575=7,1,(IF(WEEKDAY(B4575)=1,2,IF(WEEKDAY(B4575)=7,1,0))))))</f>
        <v>2</v>
      </c>
      <c r="G4575" s="369">
        <f>VLOOKUP(C4575,METADATA!$J$5:$Q$29,IF(E4575="HI",2,IF(E4575="LO",6,10))+IF(D4575=1,2,IF(D4575=7,1,(IF(WEEKDAY(B4575)=1,2,IF(WEEKDAY(B4575)=7,1,0))))))</f>
        <v>2</v>
      </c>
      <c r="H4575" s="370">
        <v>12792.650024414063</v>
      </c>
      <c r="I4575" s="370">
        <v>9725.7000122070313</v>
      </c>
      <c r="M4575" s="371">
        <f t="shared" si="285"/>
        <v>16069.882867481796</v>
      </c>
      <c r="N4575" s="329">
        <f t="shared" si="286"/>
        <v>5887.9050048828121</v>
      </c>
      <c r="T4575" s="331">
        <v>0</v>
      </c>
      <c r="U4575" s="328">
        <f>VLOOKUP(C4575,METADATA!$J$5:$Q$29,IF(E4575="HI",2,IF(E4575="LO",6,10))+IF(T4575=1,2,IF(D4575=7,1,(IF(WEEKDAY(B4575)=1,2,IF(WEEKDAY(B4575)=7,1,0))))))</f>
        <v>2</v>
      </c>
      <c r="V4575" s="328">
        <f>VLOOKUP(C4575,METADATA!$A$5:$H$29,IF(E4575="HI",2,IF(E4575="LO",6,10))+IF(T4575=1,2,IF(D4575=7,1,(IF(WEEKDAY(B4575)=1,2,IF(WEEKDAY(B4575)=7,1,0))))))</f>
        <v>2</v>
      </c>
    </row>
    <row r="4576" spans="2:22">
      <c r="B4576" s="318">
        <f t="shared" si="287"/>
        <v>46303</v>
      </c>
      <c r="C4576" s="312">
        <v>12</v>
      </c>
      <c r="D4576" s="368">
        <f>IFERROR((INDEX(METADATA!$T$2:$T$20,MATCH(B4576,METADATA!$S$2:$S$20,0))),0)</f>
        <v>0</v>
      </c>
      <c r="E4576" s="312" t="str">
        <f t="shared" si="284"/>
        <v>LO</v>
      </c>
      <c r="F4576" s="369">
        <f>VLOOKUP(C4576,METADATA!$A$5:$H$29,IF(E4576="HI",2,IF(E4576="LO",6,10))+IF(D4576=1,2,IF(D4576=7,1,(IF(WEEKDAY(B4576)=1,2,IF(WEEKDAY(B4576)=7,1,0))))))</f>
        <v>2</v>
      </c>
      <c r="G4576" s="369">
        <f>VLOOKUP(C4576,METADATA!$J$5:$Q$29,IF(E4576="HI",2,IF(E4576="LO",6,10))+IF(D4576=1,2,IF(D4576=7,1,(IF(WEEKDAY(B4576)=1,2,IF(WEEKDAY(B4576)=7,1,0))))))</f>
        <v>2</v>
      </c>
      <c r="H4576" s="370">
        <v>10388.549865722656</v>
      </c>
      <c r="I4576" s="370">
        <v>8840.5999145507813</v>
      </c>
      <c r="M4576" s="371">
        <f t="shared" si="285"/>
        <v>13641.047436387042</v>
      </c>
      <c r="N4576" s="329">
        <f t="shared" si="286"/>
        <v>5724.0349548339846</v>
      </c>
      <c r="T4576" s="331">
        <v>0</v>
      </c>
      <c r="U4576" s="328">
        <f>VLOOKUP(C4576,METADATA!$J$5:$Q$29,IF(E4576="HI",2,IF(E4576="LO",6,10))+IF(T4576=1,2,IF(D4576=7,1,(IF(WEEKDAY(B4576)=1,2,IF(WEEKDAY(B4576)=7,1,0))))))</f>
        <v>2</v>
      </c>
      <c r="V4576" s="328">
        <f>VLOOKUP(C4576,METADATA!$A$5:$H$29,IF(E4576="HI",2,IF(E4576="LO",6,10))+IF(T4576=1,2,IF(D4576=7,1,(IF(WEEKDAY(B4576)=1,2,IF(WEEKDAY(B4576)=7,1,0))))))</f>
        <v>2</v>
      </c>
    </row>
    <row r="4577" spans="2:22">
      <c r="B4577" s="318">
        <f t="shared" si="287"/>
        <v>46303</v>
      </c>
      <c r="C4577" s="312">
        <v>13</v>
      </c>
      <c r="D4577" s="368">
        <f>IFERROR((INDEX(METADATA!$T$2:$T$20,MATCH(B4577,METADATA!$S$2:$S$20,0))),0)</f>
        <v>0</v>
      </c>
      <c r="E4577" s="312" t="str">
        <f t="shared" si="284"/>
        <v>LO</v>
      </c>
      <c r="F4577" s="369">
        <f>VLOOKUP(C4577,METADATA!$A$5:$H$29,IF(E4577="HI",2,IF(E4577="LO",6,10))+IF(D4577=1,2,IF(D4577=7,1,(IF(WEEKDAY(B4577)=1,2,IF(WEEKDAY(B4577)=7,1,0))))))</f>
        <v>2</v>
      </c>
      <c r="G4577" s="369">
        <f>VLOOKUP(C4577,METADATA!$J$5:$Q$29,IF(E4577="HI",2,IF(E4577="LO",6,10))+IF(D4577=1,2,IF(D4577=7,1,(IF(WEEKDAY(B4577)=1,2,IF(WEEKDAY(B4577)=7,1,0))))))</f>
        <v>2</v>
      </c>
      <c r="H4577" s="370">
        <v>11254.050231933594</v>
      </c>
      <c r="I4577" s="370">
        <v>8798.4124145507813</v>
      </c>
      <c r="M4577" s="371">
        <f t="shared" si="285"/>
        <v>14285.156899362564</v>
      </c>
      <c r="N4577" s="329">
        <f t="shared" si="286"/>
        <v>5422.1973449707039</v>
      </c>
      <c r="T4577" s="331">
        <v>0</v>
      </c>
      <c r="U4577" s="328">
        <f>VLOOKUP(C4577,METADATA!$J$5:$Q$29,IF(E4577="HI",2,IF(E4577="LO",6,10))+IF(T4577=1,2,IF(D4577=7,1,(IF(WEEKDAY(B4577)=1,2,IF(WEEKDAY(B4577)=7,1,0))))))</f>
        <v>2</v>
      </c>
      <c r="V4577" s="328">
        <f>VLOOKUP(C4577,METADATA!$A$5:$H$29,IF(E4577="HI",2,IF(E4577="LO",6,10))+IF(T4577=1,2,IF(D4577=7,1,(IF(WEEKDAY(B4577)=1,2,IF(WEEKDAY(B4577)=7,1,0))))))</f>
        <v>2</v>
      </c>
    </row>
    <row r="4578" spans="2:22">
      <c r="B4578" s="318">
        <f t="shared" si="287"/>
        <v>46303</v>
      </c>
      <c r="C4578" s="312">
        <v>14</v>
      </c>
      <c r="D4578" s="368">
        <f>IFERROR((INDEX(METADATA!$T$2:$T$20,MATCH(B4578,METADATA!$S$2:$S$20,0))),0)</f>
        <v>0</v>
      </c>
      <c r="E4578" s="312" t="str">
        <f t="shared" si="284"/>
        <v>LO</v>
      </c>
      <c r="F4578" s="369">
        <f>VLOOKUP(C4578,METADATA!$A$5:$H$29,IF(E4578="HI",2,IF(E4578="LO",6,10))+IF(D4578=1,2,IF(D4578=7,1,(IF(WEEKDAY(B4578)=1,2,IF(WEEKDAY(B4578)=7,1,0))))))</f>
        <v>2</v>
      </c>
      <c r="G4578" s="369">
        <f>VLOOKUP(C4578,METADATA!$J$5:$Q$29,IF(E4578="HI",2,IF(E4578="LO",6,10))+IF(D4578=1,2,IF(D4578=7,1,(IF(WEEKDAY(B4578)=1,2,IF(WEEKDAY(B4578)=7,1,0))))))</f>
        <v>2</v>
      </c>
      <c r="H4578" s="370">
        <v>11832.974914550781</v>
      </c>
      <c r="I4578" s="370">
        <v>9210.0224304199219</v>
      </c>
      <c r="M4578" s="371">
        <f t="shared" si="285"/>
        <v>14994.792712712842</v>
      </c>
      <c r="N4578" s="329">
        <f t="shared" si="286"/>
        <v>5660.1299560546877</v>
      </c>
      <c r="T4578" s="331">
        <v>0</v>
      </c>
      <c r="U4578" s="328">
        <f>VLOOKUP(C4578,METADATA!$J$5:$Q$29,IF(E4578="HI",2,IF(E4578="LO",6,10))+IF(T4578=1,2,IF(D4578=7,1,(IF(WEEKDAY(B4578)=1,2,IF(WEEKDAY(B4578)=7,1,0))))))</f>
        <v>2</v>
      </c>
      <c r="V4578" s="328">
        <f>VLOOKUP(C4578,METADATA!$A$5:$H$29,IF(E4578="HI",2,IF(E4578="LO",6,10))+IF(T4578=1,2,IF(D4578=7,1,(IF(WEEKDAY(B4578)=1,2,IF(WEEKDAY(B4578)=7,1,0))))))</f>
        <v>2</v>
      </c>
    </row>
    <row r="4579" spans="2:22">
      <c r="B4579" s="318">
        <f t="shared" si="287"/>
        <v>46303</v>
      </c>
      <c r="C4579" s="312">
        <v>15</v>
      </c>
      <c r="D4579" s="368">
        <f>IFERROR((INDEX(METADATA!$T$2:$T$20,MATCH(B4579,METADATA!$S$2:$S$20,0))),0)</f>
        <v>0</v>
      </c>
      <c r="E4579" s="312" t="str">
        <f t="shared" si="284"/>
        <v>LO</v>
      </c>
      <c r="F4579" s="369">
        <f>VLOOKUP(C4579,METADATA!$A$5:$H$29,IF(E4579="HI",2,IF(E4579="LO",6,10))+IF(D4579=1,2,IF(D4579=7,1,(IF(WEEKDAY(B4579)=1,2,IF(WEEKDAY(B4579)=7,1,0))))))</f>
        <v>2</v>
      </c>
      <c r="G4579" s="369">
        <f>VLOOKUP(C4579,METADATA!$J$5:$Q$29,IF(E4579="HI",2,IF(E4579="LO",6,10))+IF(D4579=1,2,IF(D4579=7,1,(IF(WEEKDAY(B4579)=1,2,IF(WEEKDAY(B4579)=7,1,0))))))</f>
        <v>2</v>
      </c>
      <c r="H4579" s="370">
        <v>13051.300048828125</v>
      </c>
      <c r="I4579" s="370">
        <v>9882</v>
      </c>
      <c r="M4579" s="371">
        <f t="shared" si="285"/>
        <v>16370.411020024543</v>
      </c>
      <c r="N4579" s="329">
        <f t="shared" si="286"/>
        <v>5966.6099853515625</v>
      </c>
      <c r="T4579" s="331">
        <v>0</v>
      </c>
      <c r="U4579" s="328">
        <f>VLOOKUP(C4579,METADATA!$J$5:$Q$29,IF(E4579="HI",2,IF(E4579="LO",6,10))+IF(T4579=1,2,IF(D4579=7,1,(IF(WEEKDAY(B4579)=1,2,IF(WEEKDAY(B4579)=7,1,0))))))</f>
        <v>2</v>
      </c>
      <c r="V4579" s="328">
        <f>VLOOKUP(C4579,METADATA!$A$5:$H$29,IF(E4579="HI",2,IF(E4579="LO",6,10))+IF(T4579=1,2,IF(D4579=7,1,(IF(WEEKDAY(B4579)=1,2,IF(WEEKDAY(B4579)=7,1,0))))))</f>
        <v>2</v>
      </c>
    </row>
    <row r="4580" spans="2:22">
      <c r="B4580" s="318">
        <f t="shared" si="287"/>
        <v>46303</v>
      </c>
      <c r="C4580" s="312">
        <v>16</v>
      </c>
      <c r="D4580" s="368">
        <f>IFERROR((INDEX(METADATA!$T$2:$T$20,MATCH(B4580,METADATA!$S$2:$S$20,0))),0)</f>
        <v>0</v>
      </c>
      <c r="E4580" s="312" t="str">
        <f t="shared" si="284"/>
        <v>LO</v>
      </c>
      <c r="F4580" s="369">
        <f>VLOOKUP(C4580,METADATA!$A$5:$H$29,IF(E4580="HI",2,IF(E4580="LO",6,10))+IF(D4580=1,2,IF(D4580=7,1,(IF(WEEKDAY(B4580)=1,2,IF(WEEKDAY(B4580)=7,1,0))))))</f>
        <v>2</v>
      </c>
      <c r="G4580" s="369">
        <f>VLOOKUP(C4580,METADATA!$J$5:$Q$29,IF(E4580="HI",2,IF(E4580="LO",6,10))+IF(D4580=1,2,IF(D4580=7,1,(IF(WEEKDAY(B4580)=1,2,IF(WEEKDAY(B4580)=7,1,0))))))</f>
        <v>2</v>
      </c>
      <c r="H4580" s="370">
        <v>13022.675354003906</v>
      </c>
      <c r="I4580" s="370">
        <v>9874.72509765625</v>
      </c>
      <c r="M4580" s="371">
        <f t="shared" si="285"/>
        <v>16343.20253591881</v>
      </c>
      <c r="N4580" s="329">
        <f t="shared" si="286"/>
        <v>5967.9224914550778</v>
      </c>
      <c r="T4580" s="331">
        <v>0</v>
      </c>
      <c r="U4580" s="328">
        <f>VLOOKUP(C4580,METADATA!$J$5:$Q$29,IF(E4580="HI",2,IF(E4580="LO",6,10))+IF(T4580=1,2,IF(D4580=7,1,(IF(WEEKDAY(B4580)=1,2,IF(WEEKDAY(B4580)=7,1,0))))))</f>
        <v>2</v>
      </c>
      <c r="V4580" s="328">
        <f>VLOOKUP(C4580,METADATA!$A$5:$H$29,IF(E4580="HI",2,IF(E4580="LO",6,10))+IF(T4580=1,2,IF(D4580=7,1,(IF(WEEKDAY(B4580)=1,2,IF(WEEKDAY(B4580)=7,1,0))))))</f>
        <v>2</v>
      </c>
    </row>
    <row r="4581" spans="2:22">
      <c r="B4581" s="318">
        <f t="shared" si="287"/>
        <v>46303</v>
      </c>
      <c r="C4581" s="312">
        <v>17</v>
      </c>
      <c r="D4581" s="368">
        <f>IFERROR((INDEX(METADATA!$T$2:$T$20,MATCH(B4581,METADATA!$S$2:$S$20,0))),0)</f>
        <v>0</v>
      </c>
      <c r="E4581" s="312" t="str">
        <f t="shared" si="284"/>
        <v>LO</v>
      </c>
      <c r="F4581" s="369">
        <f>VLOOKUP(C4581,METADATA!$A$5:$H$29,IF(E4581="HI",2,IF(E4581="LO",6,10))+IF(D4581=1,2,IF(D4581=7,1,(IF(WEEKDAY(B4581)=1,2,IF(WEEKDAY(B4581)=7,1,0))))))</f>
        <v>2</v>
      </c>
      <c r="G4581" s="369">
        <f>VLOOKUP(C4581,METADATA!$J$5:$Q$29,IF(E4581="HI",2,IF(E4581="LO",6,10))+IF(D4581=1,2,IF(D4581=7,1,(IF(WEEKDAY(B4581)=1,2,IF(WEEKDAY(B4581)=7,1,0))))))</f>
        <v>2</v>
      </c>
      <c r="H4581" s="370">
        <v>13160.525268554688</v>
      </c>
      <c r="I4581" s="370">
        <v>9997.824951171875</v>
      </c>
      <c r="M4581" s="371">
        <f t="shared" si="285"/>
        <v>16527.429597446218</v>
      </c>
      <c r="N4581" s="329">
        <f t="shared" si="286"/>
        <v>6049.6673706054689</v>
      </c>
      <c r="T4581" s="331">
        <v>0</v>
      </c>
      <c r="U4581" s="328">
        <f>VLOOKUP(C4581,METADATA!$J$5:$Q$29,IF(E4581="HI",2,IF(E4581="LO",6,10))+IF(T4581=1,2,IF(D4581=7,1,(IF(WEEKDAY(B4581)=1,2,IF(WEEKDAY(B4581)=7,1,0))))))</f>
        <v>2</v>
      </c>
      <c r="V4581" s="328">
        <f>VLOOKUP(C4581,METADATA!$A$5:$H$29,IF(E4581="HI",2,IF(E4581="LO",6,10))+IF(T4581=1,2,IF(D4581=7,1,(IF(WEEKDAY(B4581)=1,2,IF(WEEKDAY(B4581)=7,1,0))))))</f>
        <v>2</v>
      </c>
    </row>
    <row r="4582" spans="2:22">
      <c r="B4582" s="318">
        <f t="shared" si="287"/>
        <v>46303</v>
      </c>
      <c r="C4582" s="312">
        <v>18</v>
      </c>
      <c r="D4582" s="368">
        <f>IFERROR((INDEX(METADATA!$T$2:$T$20,MATCH(B4582,METADATA!$S$2:$S$20,0))),0)</f>
        <v>0</v>
      </c>
      <c r="E4582" s="312" t="str">
        <f t="shared" si="284"/>
        <v>LO</v>
      </c>
      <c r="F4582" s="369">
        <f>VLOOKUP(C4582,METADATA!$A$5:$H$29,IF(E4582="HI",2,IF(E4582="LO",6,10))+IF(D4582=1,2,IF(D4582=7,1,(IF(WEEKDAY(B4582)=1,2,IF(WEEKDAY(B4582)=7,1,0))))))</f>
        <v>1</v>
      </c>
      <c r="G4582" s="369">
        <f>VLOOKUP(C4582,METADATA!$J$5:$Q$29,IF(E4582="HI",2,IF(E4582="LO",6,10))+IF(D4582=1,2,IF(D4582=7,1,(IF(WEEKDAY(B4582)=1,2,IF(WEEKDAY(B4582)=7,1,0))))))</f>
        <v>1</v>
      </c>
      <c r="H4582" s="370">
        <v>13093.050537109375</v>
      </c>
      <c r="I4582" s="370">
        <v>9959.5000610351563</v>
      </c>
      <c r="M4582" s="371">
        <f t="shared" si="285"/>
        <v>16450.520169072446</v>
      </c>
      <c r="N4582" s="329">
        <f t="shared" si="286"/>
        <v>6031.5848999023438</v>
      </c>
      <c r="T4582" s="331">
        <v>0</v>
      </c>
      <c r="U4582" s="328">
        <f>VLOOKUP(C4582,METADATA!$J$5:$Q$29,IF(E4582="HI",2,IF(E4582="LO",6,10))+IF(T4582=1,2,IF(D4582=7,1,(IF(WEEKDAY(B4582)=1,2,IF(WEEKDAY(B4582)=7,1,0))))))</f>
        <v>1</v>
      </c>
      <c r="V4582" s="328">
        <f>VLOOKUP(C4582,METADATA!$A$5:$H$29,IF(E4582="HI",2,IF(E4582="LO",6,10))+IF(T4582=1,2,IF(D4582=7,1,(IF(WEEKDAY(B4582)=1,2,IF(WEEKDAY(B4582)=7,1,0))))))</f>
        <v>1</v>
      </c>
    </row>
    <row r="4583" spans="2:22">
      <c r="B4583" s="318">
        <f t="shared" si="287"/>
        <v>46303</v>
      </c>
      <c r="C4583" s="312">
        <v>19</v>
      </c>
      <c r="D4583" s="368">
        <f>IFERROR((INDEX(METADATA!$T$2:$T$20,MATCH(B4583,METADATA!$S$2:$S$20,0))),0)</f>
        <v>0</v>
      </c>
      <c r="E4583" s="312" t="str">
        <f t="shared" si="284"/>
        <v>LO</v>
      </c>
      <c r="F4583" s="369">
        <f>VLOOKUP(C4583,METADATA!$A$5:$H$29,IF(E4583="HI",2,IF(E4583="LO",6,10))+IF(D4583=1,2,IF(D4583=7,1,(IF(WEEKDAY(B4583)=1,2,IF(WEEKDAY(B4583)=7,1,0))))))</f>
        <v>1</v>
      </c>
      <c r="G4583" s="369">
        <f>VLOOKUP(C4583,METADATA!$J$5:$Q$29,IF(E4583="HI",2,IF(E4583="LO",6,10))+IF(D4583=1,2,IF(D4583=7,1,(IF(WEEKDAY(B4583)=1,2,IF(WEEKDAY(B4583)=7,1,0))))))</f>
        <v>1</v>
      </c>
      <c r="H4583" s="370">
        <v>13079.599609375</v>
      </c>
      <c r="I4583" s="370">
        <v>9914.5748901367188</v>
      </c>
      <c r="M4583" s="371">
        <f t="shared" si="285"/>
        <v>16412.639068525579</v>
      </c>
      <c r="N4583" s="329">
        <f t="shared" si="286"/>
        <v>5990.6950073242188</v>
      </c>
      <c r="T4583" s="331">
        <v>0</v>
      </c>
      <c r="U4583" s="328">
        <f>VLOOKUP(C4583,METADATA!$J$5:$Q$29,IF(E4583="HI",2,IF(E4583="LO",6,10))+IF(T4583=1,2,IF(D4583=7,1,(IF(WEEKDAY(B4583)=1,2,IF(WEEKDAY(B4583)=7,1,0))))))</f>
        <v>1</v>
      </c>
      <c r="V4583" s="328">
        <f>VLOOKUP(C4583,METADATA!$A$5:$H$29,IF(E4583="HI",2,IF(E4583="LO",6,10))+IF(T4583=1,2,IF(D4583=7,1,(IF(WEEKDAY(B4583)=1,2,IF(WEEKDAY(B4583)=7,1,0))))))</f>
        <v>1</v>
      </c>
    </row>
    <row r="4584" spans="2:22">
      <c r="B4584" s="318">
        <f t="shared" si="287"/>
        <v>46303</v>
      </c>
      <c r="C4584" s="312">
        <v>20</v>
      </c>
      <c r="D4584" s="368">
        <f>IFERROR((INDEX(METADATA!$T$2:$T$20,MATCH(B4584,METADATA!$S$2:$S$20,0))),0)</f>
        <v>0</v>
      </c>
      <c r="E4584" s="312" t="str">
        <f t="shared" si="284"/>
        <v>LO</v>
      </c>
      <c r="F4584" s="369">
        <f>VLOOKUP(C4584,METADATA!$A$5:$H$29,IF(E4584="HI",2,IF(E4584="LO",6,10))+IF(D4584=1,2,IF(D4584=7,1,(IF(WEEKDAY(B4584)=1,2,IF(WEEKDAY(B4584)=7,1,0))))))</f>
        <v>1</v>
      </c>
      <c r="G4584" s="369">
        <f>VLOOKUP(C4584,METADATA!$J$5:$Q$29,IF(E4584="HI",2,IF(E4584="LO",6,10))+IF(D4584=1,2,IF(D4584=7,1,(IF(WEEKDAY(B4584)=1,2,IF(WEEKDAY(B4584)=7,1,0))))))</f>
        <v>1</v>
      </c>
      <c r="H4584" s="370">
        <v>13173.39990234375</v>
      </c>
      <c r="I4584" s="370">
        <v>10149.875061035156</v>
      </c>
      <c r="M4584" s="371">
        <f t="shared" si="285"/>
        <v>16630.045963306708</v>
      </c>
      <c r="N4584" s="329">
        <f t="shared" si="286"/>
        <v>6197.855090332032</v>
      </c>
      <c r="T4584" s="331">
        <v>0</v>
      </c>
      <c r="U4584" s="328">
        <f>VLOOKUP(C4584,METADATA!$J$5:$Q$29,IF(E4584="HI",2,IF(E4584="LO",6,10))+IF(T4584=1,2,IF(D4584=7,1,(IF(WEEKDAY(B4584)=1,2,IF(WEEKDAY(B4584)=7,1,0))))))</f>
        <v>1</v>
      </c>
      <c r="V4584" s="328">
        <f>VLOOKUP(C4584,METADATA!$A$5:$H$29,IF(E4584="HI",2,IF(E4584="LO",6,10))+IF(T4584=1,2,IF(D4584=7,1,(IF(WEEKDAY(B4584)=1,2,IF(WEEKDAY(B4584)=7,1,0))))))</f>
        <v>1</v>
      </c>
    </row>
    <row r="4585" spans="2:22">
      <c r="B4585" s="318">
        <f t="shared" si="287"/>
        <v>46303</v>
      </c>
      <c r="C4585" s="312">
        <v>21</v>
      </c>
      <c r="D4585" s="368">
        <f>IFERROR((INDEX(METADATA!$T$2:$T$20,MATCH(B4585,METADATA!$S$2:$S$20,0))),0)</f>
        <v>0</v>
      </c>
      <c r="E4585" s="312" t="str">
        <f t="shared" si="284"/>
        <v>LO</v>
      </c>
      <c r="F4585" s="369">
        <f>VLOOKUP(C4585,METADATA!$A$5:$H$29,IF(E4585="HI",2,IF(E4585="LO",6,10))+IF(D4585=1,2,IF(D4585=7,1,(IF(WEEKDAY(B4585)=1,2,IF(WEEKDAY(B4585)=7,1,0))))))</f>
        <v>2</v>
      </c>
      <c r="G4585" s="369">
        <f>VLOOKUP(C4585,METADATA!$J$5:$Q$29,IF(E4585="HI",2,IF(E4585="LO",6,10))+IF(D4585=1,2,IF(D4585=7,1,(IF(WEEKDAY(B4585)=1,2,IF(WEEKDAY(B4585)=7,1,0))))))</f>
        <v>2</v>
      </c>
      <c r="H4585" s="370">
        <v>13046.075134277344</v>
      </c>
      <c r="I4585" s="370">
        <v>9892.5750732421875</v>
      </c>
      <c r="M4585" s="371">
        <f t="shared" si="285"/>
        <v>16372.633202662981</v>
      </c>
      <c r="N4585" s="329">
        <f t="shared" si="286"/>
        <v>5978.7525329589844</v>
      </c>
      <c r="T4585" s="331">
        <v>0</v>
      </c>
      <c r="U4585" s="328">
        <f>VLOOKUP(C4585,METADATA!$J$5:$Q$29,IF(E4585="HI",2,IF(E4585="LO",6,10))+IF(T4585=1,2,IF(D4585=7,1,(IF(WEEKDAY(B4585)=1,2,IF(WEEKDAY(B4585)=7,1,0))))))</f>
        <v>2</v>
      </c>
      <c r="V4585" s="328">
        <f>VLOOKUP(C4585,METADATA!$A$5:$H$29,IF(E4585="HI",2,IF(E4585="LO",6,10))+IF(T4585=1,2,IF(D4585=7,1,(IF(WEEKDAY(B4585)=1,2,IF(WEEKDAY(B4585)=7,1,0))))))</f>
        <v>2</v>
      </c>
    </row>
    <row r="4586" spans="2:22">
      <c r="B4586" s="318">
        <f t="shared" si="287"/>
        <v>46303</v>
      </c>
      <c r="C4586" s="312">
        <v>22</v>
      </c>
      <c r="D4586" s="368">
        <f>IFERROR((INDEX(METADATA!$T$2:$T$20,MATCH(B4586,METADATA!$S$2:$S$20,0))),0)</f>
        <v>0</v>
      </c>
      <c r="E4586" s="312" t="str">
        <f t="shared" si="284"/>
        <v>LO</v>
      </c>
      <c r="F4586" s="369">
        <f>VLOOKUP(C4586,METADATA!$A$5:$H$29,IF(E4586="HI",2,IF(E4586="LO",6,10))+IF(D4586=1,2,IF(D4586=7,1,(IF(WEEKDAY(B4586)=1,2,IF(WEEKDAY(B4586)=7,1,0))))))</f>
        <v>3</v>
      </c>
      <c r="G4586" s="369">
        <f>VLOOKUP(C4586,METADATA!$J$5:$Q$29,IF(E4586="HI",2,IF(E4586="LO",6,10))+IF(D4586=1,2,IF(D4586=7,1,(IF(WEEKDAY(B4586)=1,2,IF(WEEKDAY(B4586)=7,1,0))))))</f>
        <v>3</v>
      </c>
      <c r="H4586" s="370">
        <v>12969.399719238281</v>
      </c>
      <c r="I4586" s="370">
        <v>9808.6749877929688</v>
      </c>
      <c r="M4586" s="371">
        <f t="shared" si="285"/>
        <v>16260.85588440945</v>
      </c>
      <c r="N4586" s="329">
        <f t="shared" si="286"/>
        <v>5917.8550720214844</v>
      </c>
      <c r="T4586" s="331">
        <v>0</v>
      </c>
      <c r="U4586" s="328">
        <f>VLOOKUP(C4586,METADATA!$J$5:$Q$29,IF(E4586="HI",2,IF(E4586="LO",6,10))+IF(T4586=1,2,IF(D4586=7,1,(IF(WEEKDAY(B4586)=1,2,IF(WEEKDAY(B4586)=7,1,0))))))</f>
        <v>3</v>
      </c>
      <c r="V4586" s="328">
        <f>VLOOKUP(C4586,METADATA!$A$5:$H$29,IF(E4586="HI",2,IF(E4586="LO",6,10))+IF(T4586=1,2,IF(D4586=7,1,(IF(WEEKDAY(B4586)=1,2,IF(WEEKDAY(B4586)=7,1,0))))))</f>
        <v>3</v>
      </c>
    </row>
    <row r="4587" spans="2:22">
      <c r="B4587" s="318">
        <f t="shared" si="287"/>
        <v>46303</v>
      </c>
      <c r="C4587" s="312">
        <v>23</v>
      </c>
      <c r="D4587" s="368">
        <f>IFERROR((INDEX(METADATA!$T$2:$T$20,MATCH(B4587,METADATA!$S$2:$S$20,0))),0)</f>
        <v>0</v>
      </c>
      <c r="E4587" s="312" t="str">
        <f t="shared" si="284"/>
        <v>LO</v>
      </c>
      <c r="F4587" s="369">
        <f>VLOOKUP(C4587,METADATA!$A$5:$H$29,IF(E4587="HI",2,IF(E4587="LO",6,10))+IF(D4587=1,2,IF(D4587=7,1,(IF(WEEKDAY(B4587)=1,2,IF(WEEKDAY(B4587)=7,1,0))))))</f>
        <v>3</v>
      </c>
      <c r="G4587" s="369">
        <f>VLOOKUP(C4587,METADATA!$J$5:$Q$29,IF(E4587="HI",2,IF(E4587="LO",6,10))+IF(D4587=1,2,IF(D4587=7,1,(IF(WEEKDAY(B4587)=1,2,IF(WEEKDAY(B4587)=7,1,0))))))</f>
        <v>3</v>
      </c>
      <c r="H4587" s="370">
        <v>13067.024780273438</v>
      </c>
      <c r="I4587" s="370">
        <v>9823.2998657226563</v>
      </c>
      <c r="M4587" s="371">
        <f t="shared" si="285"/>
        <v>16347.610126871354</v>
      </c>
      <c r="N4587" s="329">
        <f t="shared" si="286"/>
        <v>5903.1924316406257</v>
      </c>
      <c r="T4587" s="331">
        <v>0</v>
      </c>
      <c r="U4587" s="328">
        <f>VLOOKUP(C4587,METADATA!$J$5:$Q$29,IF(E4587="HI",2,IF(E4587="LO",6,10))+IF(T4587=1,2,IF(D4587=7,1,(IF(WEEKDAY(B4587)=1,2,IF(WEEKDAY(B4587)=7,1,0))))))</f>
        <v>3</v>
      </c>
      <c r="V4587" s="328">
        <f>VLOOKUP(C4587,METADATA!$A$5:$H$29,IF(E4587="HI",2,IF(E4587="LO",6,10))+IF(T4587=1,2,IF(D4587=7,1,(IF(WEEKDAY(B4587)=1,2,IF(WEEKDAY(B4587)=7,1,0))))))</f>
        <v>3</v>
      </c>
    </row>
    <row r="4588" spans="2:22">
      <c r="B4588" s="318">
        <f t="shared" si="287"/>
        <v>46304</v>
      </c>
      <c r="C4588" s="312">
        <v>0</v>
      </c>
      <c r="D4588" s="368">
        <f>IFERROR((INDEX(METADATA!$T$2:$T$20,MATCH(B4588,METADATA!$S$2:$S$20,0))),0)</f>
        <v>0</v>
      </c>
      <c r="E4588" s="312" t="str">
        <f t="shared" si="284"/>
        <v>LO</v>
      </c>
      <c r="F4588" s="369">
        <f>VLOOKUP(C4588,METADATA!$A$5:$H$29,IF(E4588="HI",2,IF(E4588="LO",6,10))+IF(D4588=1,2,IF(D4588=7,1,(IF(WEEKDAY(B4588)=1,2,IF(WEEKDAY(B4588)=7,1,0))))))</f>
        <v>3</v>
      </c>
      <c r="G4588" s="369">
        <f>VLOOKUP(C4588,METADATA!$J$5:$Q$29,IF(E4588="HI",2,IF(E4588="LO",6,10))+IF(D4588=1,2,IF(D4588=7,1,(IF(WEEKDAY(B4588)=1,2,IF(WEEKDAY(B4588)=7,1,0))))))</f>
        <v>3</v>
      </c>
      <c r="H4588" s="370">
        <v>11876.024841308594</v>
      </c>
      <c r="I4588" s="370">
        <v>9323.8248901367188</v>
      </c>
      <c r="M4588" s="371">
        <f t="shared" si="285"/>
        <v>15098.797190945768</v>
      </c>
      <c r="N4588" s="329">
        <f t="shared" si="286"/>
        <v>5761.0174377441408</v>
      </c>
      <c r="T4588" s="331">
        <v>0</v>
      </c>
      <c r="U4588" s="328">
        <f>VLOOKUP(C4588,METADATA!$J$5:$Q$29,IF(E4588="HI",2,IF(E4588="LO",6,10))+IF(T4588=1,2,IF(D4588=7,1,(IF(WEEKDAY(B4588)=1,2,IF(WEEKDAY(B4588)=7,1,0))))))</f>
        <v>3</v>
      </c>
      <c r="V4588" s="328">
        <f>VLOOKUP(C4588,METADATA!$A$5:$H$29,IF(E4588="HI",2,IF(E4588="LO",6,10))+IF(T4588=1,2,IF(D4588=7,1,(IF(WEEKDAY(B4588)=1,2,IF(WEEKDAY(B4588)=7,1,0))))))</f>
        <v>3</v>
      </c>
    </row>
    <row r="4589" spans="2:22">
      <c r="B4589" s="318">
        <f t="shared" si="287"/>
        <v>46304</v>
      </c>
      <c r="C4589" s="312">
        <v>1</v>
      </c>
      <c r="D4589" s="368">
        <f>IFERROR((INDEX(METADATA!$T$2:$T$20,MATCH(B4589,METADATA!$S$2:$S$20,0))),0)</f>
        <v>0</v>
      </c>
      <c r="E4589" s="312" t="str">
        <f t="shared" si="284"/>
        <v>LO</v>
      </c>
      <c r="F4589" s="369">
        <f>VLOOKUP(C4589,METADATA!$A$5:$H$29,IF(E4589="HI",2,IF(E4589="LO",6,10))+IF(D4589=1,2,IF(D4589=7,1,(IF(WEEKDAY(B4589)=1,2,IF(WEEKDAY(B4589)=7,1,0))))))</f>
        <v>3</v>
      </c>
      <c r="G4589" s="369">
        <f>VLOOKUP(C4589,METADATA!$J$5:$Q$29,IF(E4589="HI",2,IF(E4589="LO",6,10))+IF(D4589=1,2,IF(D4589=7,1,(IF(WEEKDAY(B4589)=1,2,IF(WEEKDAY(B4589)=7,1,0))))))</f>
        <v>3</v>
      </c>
      <c r="H4589" s="370">
        <v>6770.6199951171875</v>
      </c>
      <c r="I4589" s="370">
        <v>6663.1875</v>
      </c>
      <c r="M4589" s="371">
        <f t="shared" si="285"/>
        <v>9499.4401297359054</v>
      </c>
      <c r="N4589" s="329">
        <f t="shared" si="286"/>
        <v>4632.0015014648434</v>
      </c>
      <c r="T4589" s="331">
        <v>0</v>
      </c>
      <c r="U4589" s="328">
        <f>VLOOKUP(C4589,METADATA!$J$5:$Q$29,IF(E4589="HI",2,IF(E4589="LO",6,10))+IF(T4589=1,2,IF(D4589=7,1,(IF(WEEKDAY(B4589)=1,2,IF(WEEKDAY(B4589)=7,1,0))))))</f>
        <v>3</v>
      </c>
      <c r="V4589" s="328">
        <f>VLOOKUP(C4589,METADATA!$A$5:$H$29,IF(E4589="HI",2,IF(E4589="LO",6,10))+IF(T4589=1,2,IF(D4589=7,1,(IF(WEEKDAY(B4589)=1,2,IF(WEEKDAY(B4589)=7,1,0))))))</f>
        <v>3</v>
      </c>
    </row>
    <row r="4590" spans="2:22">
      <c r="B4590" s="318">
        <f t="shared" si="287"/>
        <v>46304</v>
      </c>
      <c r="C4590" s="312">
        <v>2</v>
      </c>
      <c r="D4590" s="368">
        <f>IFERROR((INDEX(METADATA!$T$2:$T$20,MATCH(B4590,METADATA!$S$2:$S$20,0))),0)</f>
        <v>0</v>
      </c>
      <c r="E4590" s="312" t="str">
        <f t="shared" si="284"/>
        <v>LO</v>
      </c>
      <c r="F4590" s="369">
        <f>VLOOKUP(C4590,METADATA!$A$5:$H$29,IF(E4590="HI",2,IF(E4590="LO",6,10))+IF(D4590=1,2,IF(D4590=7,1,(IF(WEEKDAY(B4590)=1,2,IF(WEEKDAY(B4590)=7,1,0))))))</f>
        <v>3</v>
      </c>
      <c r="G4590" s="369">
        <f>VLOOKUP(C4590,METADATA!$J$5:$Q$29,IF(E4590="HI",2,IF(E4590="LO",6,10))+IF(D4590=1,2,IF(D4590=7,1,(IF(WEEKDAY(B4590)=1,2,IF(WEEKDAY(B4590)=7,1,0))))))</f>
        <v>3</v>
      </c>
      <c r="H4590" s="370">
        <v>8180.885009765625</v>
      </c>
      <c r="I4590" s="370">
        <v>7500.3148803710938</v>
      </c>
      <c r="M4590" s="371">
        <f t="shared" si="285"/>
        <v>11098.720775284148</v>
      </c>
      <c r="N4590" s="329">
        <f t="shared" si="286"/>
        <v>5046.0493774414063</v>
      </c>
      <c r="T4590" s="331">
        <v>0</v>
      </c>
      <c r="U4590" s="328">
        <f>VLOOKUP(C4590,METADATA!$J$5:$Q$29,IF(E4590="HI",2,IF(E4590="LO",6,10))+IF(T4590=1,2,IF(D4590=7,1,(IF(WEEKDAY(B4590)=1,2,IF(WEEKDAY(B4590)=7,1,0))))))</f>
        <v>3</v>
      </c>
      <c r="V4590" s="328">
        <f>VLOOKUP(C4590,METADATA!$A$5:$H$29,IF(E4590="HI",2,IF(E4590="LO",6,10))+IF(T4590=1,2,IF(D4590=7,1,(IF(WEEKDAY(B4590)=1,2,IF(WEEKDAY(B4590)=7,1,0))))))</f>
        <v>3</v>
      </c>
    </row>
    <row r="4591" spans="2:22">
      <c r="B4591" s="318">
        <f t="shared" si="287"/>
        <v>46304</v>
      </c>
      <c r="C4591" s="312">
        <v>3</v>
      </c>
      <c r="D4591" s="368">
        <f>IFERROR((INDEX(METADATA!$T$2:$T$20,MATCH(B4591,METADATA!$S$2:$S$20,0))),0)</f>
        <v>0</v>
      </c>
      <c r="E4591" s="312" t="str">
        <f t="shared" si="284"/>
        <v>LO</v>
      </c>
      <c r="F4591" s="369">
        <f>VLOOKUP(C4591,METADATA!$A$5:$H$29,IF(E4591="HI",2,IF(E4591="LO",6,10))+IF(D4591=1,2,IF(D4591=7,1,(IF(WEEKDAY(B4591)=1,2,IF(WEEKDAY(B4591)=7,1,0))))))</f>
        <v>3</v>
      </c>
      <c r="G4591" s="369">
        <f>VLOOKUP(C4591,METADATA!$J$5:$Q$29,IF(E4591="HI",2,IF(E4591="LO",6,10))+IF(D4591=1,2,IF(D4591=7,1,(IF(WEEKDAY(B4591)=1,2,IF(WEEKDAY(B4591)=7,1,0))))))</f>
        <v>3</v>
      </c>
      <c r="H4591" s="370">
        <v>11053.675354003906</v>
      </c>
      <c r="I4591" s="370">
        <v>8826.0600280761719</v>
      </c>
      <c r="M4591" s="371">
        <f t="shared" si="285"/>
        <v>14145.072444173531</v>
      </c>
      <c r="N4591" s="329">
        <f t="shared" si="286"/>
        <v>5509.9574218750004</v>
      </c>
      <c r="T4591" s="331">
        <v>0</v>
      </c>
      <c r="U4591" s="328">
        <f>VLOOKUP(C4591,METADATA!$J$5:$Q$29,IF(E4591="HI",2,IF(E4591="LO",6,10))+IF(T4591=1,2,IF(D4591=7,1,(IF(WEEKDAY(B4591)=1,2,IF(WEEKDAY(B4591)=7,1,0))))))</f>
        <v>3</v>
      </c>
      <c r="V4591" s="328">
        <f>VLOOKUP(C4591,METADATA!$A$5:$H$29,IF(E4591="HI",2,IF(E4591="LO",6,10))+IF(T4591=1,2,IF(D4591=7,1,(IF(WEEKDAY(B4591)=1,2,IF(WEEKDAY(B4591)=7,1,0))))))</f>
        <v>3</v>
      </c>
    </row>
    <row r="4592" spans="2:22">
      <c r="B4592" s="318">
        <f t="shared" si="287"/>
        <v>46304</v>
      </c>
      <c r="C4592" s="312">
        <v>4</v>
      </c>
      <c r="D4592" s="368">
        <f>IFERROR((INDEX(METADATA!$T$2:$T$20,MATCH(B4592,METADATA!$S$2:$S$20,0))),0)</f>
        <v>0</v>
      </c>
      <c r="E4592" s="312" t="str">
        <f t="shared" si="284"/>
        <v>LO</v>
      </c>
      <c r="F4592" s="369">
        <f>VLOOKUP(C4592,METADATA!$A$5:$H$29,IF(E4592="HI",2,IF(E4592="LO",6,10))+IF(D4592=1,2,IF(D4592=7,1,(IF(WEEKDAY(B4592)=1,2,IF(WEEKDAY(B4592)=7,1,0))))))</f>
        <v>3</v>
      </c>
      <c r="G4592" s="369">
        <f>VLOOKUP(C4592,METADATA!$J$5:$Q$29,IF(E4592="HI",2,IF(E4592="LO",6,10))+IF(D4592=1,2,IF(D4592=7,1,(IF(WEEKDAY(B4592)=1,2,IF(WEEKDAY(B4592)=7,1,0))))))</f>
        <v>3</v>
      </c>
      <c r="H4592" s="370">
        <v>11182.375</v>
      </c>
      <c r="I4592" s="370">
        <v>8837.7951354980469</v>
      </c>
      <c r="M4592" s="371">
        <f t="shared" si="285"/>
        <v>14253.144688020884</v>
      </c>
      <c r="N4592" s="329">
        <f t="shared" si="286"/>
        <v>5483.0826354980472</v>
      </c>
      <c r="T4592" s="331">
        <v>0</v>
      </c>
      <c r="U4592" s="328">
        <f>VLOOKUP(C4592,METADATA!$J$5:$Q$29,IF(E4592="HI",2,IF(E4592="LO",6,10))+IF(T4592=1,2,IF(D4592=7,1,(IF(WEEKDAY(B4592)=1,2,IF(WEEKDAY(B4592)=7,1,0))))))</f>
        <v>3</v>
      </c>
      <c r="V4592" s="328">
        <f>VLOOKUP(C4592,METADATA!$A$5:$H$29,IF(E4592="HI",2,IF(E4592="LO",6,10))+IF(T4592=1,2,IF(D4592=7,1,(IF(WEEKDAY(B4592)=1,2,IF(WEEKDAY(B4592)=7,1,0))))))</f>
        <v>3</v>
      </c>
    </row>
    <row r="4593" spans="2:22">
      <c r="B4593" s="318">
        <f t="shared" si="287"/>
        <v>46304</v>
      </c>
      <c r="C4593" s="312">
        <v>5</v>
      </c>
      <c r="D4593" s="368">
        <f>IFERROR((INDEX(METADATA!$T$2:$T$20,MATCH(B4593,METADATA!$S$2:$S$20,0))),0)</f>
        <v>0</v>
      </c>
      <c r="E4593" s="312" t="str">
        <f t="shared" si="284"/>
        <v>LO</v>
      </c>
      <c r="F4593" s="369">
        <f>VLOOKUP(C4593,METADATA!$A$5:$H$29,IF(E4593="HI",2,IF(E4593="LO",6,10))+IF(D4593=1,2,IF(D4593=7,1,(IF(WEEKDAY(B4593)=1,2,IF(WEEKDAY(B4593)=7,1,0))))))</f>
        <v>3</v>
      </c>
      <c r="G4593" s="369">
        <f>VLOOKUP(C4593,METADATA!$J$5:$Q$29,IF(E4593="HI",2,IF(E4593="LO",6,10))+IF(D4593=1,2,IF(D4593=7,1,(IF(WEEKDAY(B4593)=1,2,IF(WEEKDAY(B4593)=7,1,0))))))</f>
        <v>3</v>
      </c>
      <c r="H4593" s="370">
        <v>12974.824951171875</v>
      </c>
      <c r="I4593" s="370">
        <v>9783.449951171875</v>
      </c>
      <c r="M4593" s="371">
        <f t="shared" si="285"/>
        <v>16249.983860319284</v>
      </c>
      <c r="N4593" s="329">
        <f t="shared" si="286"/>
        <v>5891.0024658203129</v>
      </c>
      <c r="T4593" s="331">
        <v>0</v>
      </c>
      <c r="U4593" s="328">
        <f>VLOOKUP(C4593,METADATA!$J$5:$Q$29,IF(E4593="HI",2,IF(E4593="LO",6,10))+IF(T4593=1,2,IF(D4593=7,1,(IF(WEEKDAY(B4593)=1,2,IF(WEEKDAY(B4593)=7,1,0))))))</f>
        <v>3</v>
      </c>
      <c r="V4593" s="328">
        <f>VLOOKUP(C4593,METADATA!$A$5:$H$29,IF(E4593="HI",2,IF(E4593="LO",6,10))+IF(T4593=1,2,IF(D4593=7,1,(IF(WEEKDAY(B4593)=1,2,IF(WEEKDAY(B4593)=7,1,0))))))</f>
        <v>3</v>
      </c>
    </row>
    <row r="4594" spans="2:22">
      <c r="B4594" s="318">
        <f t="shared" si="287"/>
        <v>46304</v>
      </c>
      <c r="C4594" s="312">
        <v>6</v>
      </c>
      <c r="D4594" s="368">
        <f>IFERROR((INDEX(METADATA!$T$2:$T$20,MATCH(B4594,METADATA!$S$2:$S$20,0))),0)</f>
        <v>0</v>
      </c>
      <c r="E4594" s="312" t="str">
        <f t="shared" si="284"/>
        <v>LO</v>
      </c>
      <c r="F4594" s="369">
        <f>VLOOKUP(C4594,METADATA!$A$5:$H$29,IF(E4594="HI",2,IF(E4594="LO",6,10))+IF(D4594=1,2,IF(D4594=7,1,(IF(WEEKDAY(B4594)=1,2,IF(WEEKDAY(B4594)=7,1,0))))))</f>
        <v>2</v>
      </c>
      <c r="G4594" s="369">
        <f>VLOOKUP(C4594,METADATA!$J$5:$Q$29,IF(E4594="HI",2,IF(E4594="LO",6,10))+IF(D4594=1,2,IF(D4594=7,1,(IF(WEEKDAY(B4594)=1,2,IF(WEEKDAY(B4594)=7,1,0))))))</f>
        <v>2</v>
      </c>
      <c r="H4594" s="370">
        <v>12976.874694824219</v>
      </c>
      <c r="I4594" s="370">
        <v>9753.1749267578125</v>
      </c>
      <c r="M4594" s="371">
        <f t="shared" si="285"/>
        <v>16233.4130113512</v>
      </c>
      <c r="N4594" s="329">
        <f t="shared" si="286"/>
        <v>5860.1125183105469</v>
      </c>
      <c r="T4594" s="331">
        <v>0</v>
      </c>
      <c r="U4594" s="328">
        <f>VLOOKUP(C4594,METADATA!$J$5:$Q$29,IF(E4594="HI",2,IF(E4594="LO",6,10))+IF(T4594=1,2,IF(D4594=7,1,(IF(WEEKDAY(B4594)=1,2,IF(WEEKDAY(B4594)=7,1,0))))))</f>
        <v>2</v>
      </c>
      <c r="V4594" s="328">
        <f>VLOOKUP(C4594,METADATA!$A$5:$H$29,IF(E4594="HI",2,IF(E4594="LO",6,10))+IF(T4594=1,2,IF(D4594=7,1,(IF(WEEKDAY(B4594)=1,2,IF(WEEKDAY(B4594)=7,1,0))))))</f>
        <v>2</v>
      </c>
    </row>
    <row r="4595" spans="2:22">
      <c r="B4595" s="318">
        <f t="shared" si="287"/>
        <v>46304</v>
      </c>
      <c r="C4595" s="312">
        <v>7</v>
      </c>
      <c r="D4595" s="368">
        <f>IFERROR((INDEX(METADATA!$T$2:$T$20,MATCH(B4595,METADATA!$S$2:$S$20,0))),0)</f>
        <v>0</v>
      </c>
      <c r="E4595" s="312" t="str">
        <f t="shared" si="284"/>
        <v>LO</v>
      </c>
      <c r="F4595" s="369">
        <f>VLOOKUP(C4595,METADATA!$A$5:$H$29,IF(E4595="HI",2,IF(E4595="LO",6,10))+IF(D4595=1,2,IF(D4595=7,1,(IF(WEEKDAY(B4595)=1,2,IF(WEEKDAY(B4595)=7,1,0))))))</f>
        <v>1</v>
      </c>
      <c r="G4595" s="369">
        <f>VLOOKUP(C4595,METADATA!$J$5:$Q$29,IF(E4595="HI",2,IF(E4595="LO",6,10))+IF(D4595=1,2,IF(D4595=7,1,(IF(WEEKDAY(B4595)=1,2,IF(WEEKDAY(B4595)=7,1,0))))))</f>
        <v>1</v>
      </c>
      <c r="H4595" s="370">
        <v>13016.150146484375</v>
      </c>
      <c r="I4595" s="370">
        <v>9616.800048828125</v>
      </c>
      <c r="M4595" s="371">
        <f t="shared" si="285"/>
        <v>16183.417680297503</v>
      </c>
      <c r="N4595" s="329">
        <f t="shared" si="286"/>
        <v>5711.9550048828132</v>
      </c>
      <c r="T4595" s="331">
        <v>0</v>
      </c>
      <c r="U4595" s="328">
        <f>VLOOKUP(C4595,METADATA!$J$5:$Q$29,IF(E4595="HI",2,IF(E4595="LO",6,10))+IF(T4595=1,2,IF(D4595=7,1,(IF(WEEKDAY(B4595)=1,2,IF(WEEKDAY(B4595)=7,1,0))))))</f>
        <v>1</v>
      </c>
      <c r="V4595" s="328">
        <f>VLOOKUP(C4595,METADATA!$A$5:$H$29,IF(E4595="HI",2,IF(E4595="LO",6,10))+IF(T4595=1,2,IF(D4595=7,1,(IF(WEEKDAY(B4595)=1,2,IF(WEEKDAY(B4595)=7,1,0))))))</f>
        <v>1</v>
      </c>
    </row>
    <row r="4596" spans="2:22">
      <c r="B4596" s="318">
        <f t="shared" si="287"/>
        <v>46304</v>
      </c>
      <c r="C4596" s="312">
        <v>8</v>
      </c>
      <c r="D4596" s="368">
        <f>IFERROR((INDEX(METADATA!$T$2:$T$20,MATCH(B4596,METADATA!$S$2:$S$20,0))),0)</f>
        <v>0</v>
      </c>
      <c r="E4596" s="312" t="str">
        <f t="shared" si="284"/>
        <v>LO</v>
      </c>
      <c r="F4596" s="369">
        <f>VLOOKUP(C4596,METADATA!$A$5:$H$29,IF(E4596="HI",2,IF(E4596="LO",6,10))+IF(D4596=1,2,IF(D4596=7,1,(IF(WEEKDAY(B4596)=1,2,IF(WEEKDAY(B4596)=7,1,0))))))</f>
        <v>1</v>
      </c>
      <c r="G4596" s="369">
        <f>VLOOKUP(C4596,METADATA!$J$5:$Q$29,IF(E4596="HI",2,IF(E4596="LO",6,10))+IF(D4596=1,2,IF(D4596=7,1,(IF(WEEKDAY(B4596)=1,2,IF(WEEKDAY(B4596)=7,1,0))))))</f>
        <v>1</v>
      </c>
      <c r="H4596" s="370">
        <v>13023.225158691406</v>
      </c>
      <c r="I4596" s="370">
        <v>9641.9500122070313</v>
      </c>
      <c r="M4596" s="371">
        <f t="shared" si="285"/>
        <v>16204.061020987052</v>
      </c>
      <c r="N4596" s="329">
        <f t="shared" si="286"/>
        <v>5734.9824645996096</v>
      </c>
      <c r="T4596" s="331">
        <v>0</v>
      </c>
      <c r="U4596" s="328">
        <f>VLOOKUP(C4596,METADATA!$J$5:$Q$29,IF(E4596="HI",2,IF(E4596="LO",6,10))+IF(T4596=1,2,IF(D4596=7,1,(IF(WEEKDAY(B4596)=1,2,IF(WEEKDAY(B4596)=7,1,0))))))</f>
        <v>1</v>
      </c>
      <c r="V4596" s="328">
        <f>VLOOKUP(C4596,METADATA!$A$5:$H$29,IF(E4596="HI",2,IF(E4596="LO",6,10))+IF(T4596=1,2,IF(D4596=7,1,(IF(WEEKDAY(B4596)=1,2,IF(WEEKDAY(B4596)=7,1,0))))))</f>
        <v>1</v>
      </c>
    </row>
    <row r="4597" spans="2:22">
      <c r="B4597" s="318">
        <f t="shared" si="287"/>
        <v>46304</v>
      </c>
      <c r="C4597" s="312">
        <v>9</v>
      </c>
      <c r="D4597" s="368">
        <f>IFERROR((INDEX(METADATA!$T$2:$T$20,MATCH(B4597,METADATA!$S$2:$S$20,0))),0)</f>
        <v>0</v>
      </c>
      <c r="E4597" s="312" t="str">
        <f t="shared" si="284"/>
        <v>LO</v>
      </c>
      <c r="F4597" s="369">
        <f>VLOOKUP(C4597,METADATA!$A$5:$H$29,IF(E4597="HI",2,IF(E4597="LO",6,10))+IF(D4597=1,2,IF(D4597=7,1,(IF(WEEKDAY(B4597)=1,2,IF(WEEKDAY(B4597)=7,1,0))))))</f>
        <v>2</v>
      </c>
      <c r="G4597" s="369">
        <f>VLOOKUP(C4597,METADATA!$J$5:$Q$29,IF(E4597="HI",2,IF(E4597="LO",6,10))+IF(D4597=1,2,IF(D4597=7,1,(IF(WEEKDAY(B4597)=1,2,IF(WEEKDAY(B4597)=7,1,0))))))</f>
        <v>2</v>
      </c>
      <c r="H4597" s="370">
        <v>9723.1751708984375</v>
      </c>
      <c r="I4597" s="370">
        <v>8152.4000244140625</v>
      </c>
      <c r="M4597" s="371">
        <f t="shared" si="285"/>
        <v>12688.646955528484</v>
      </c>
      <c r="N4597" s="329">
        <f t="shared" si="286"/>
        <v>5235.4474731445316</v>
      </c>
      <c r="T4597" s="331">
        <v>0</v>
      </c>
      <c r="U4597" s="328">
        <f>VLOOKUP(C4597,METADATA!$J$5:$Q$29,IF(E4597="HI",2,IF(E4597="LO",6,10))+IF(T4597=1,2,IF(D4597=7,1,(IF(WEEKDAY(B4597)=1,2,IF(WEEKDAY(B4597)=7,1,0))))))</f>
        <v>2</v>
      </c>
      <c r="V4597" s="328">
        <f>VLOOKUP(C4597,METADATA!$A$5:$H$29,IF(E4597="HI",2,IF(E4597="LO",6,10))+IF(T4597=1,2,IF(D4597=7,1,(IF(WEEKDAY(B4597)=1,2,IF(WEEKDAY(B4597)=7,1,0))))))</f>
        <v>2</v>
      </c>
    </row>
    <row r="4598" spans="2:22">
      <c r="B4598" s="318">
        <f t="shared" si="287"/>
        <v>46304</v>
      </c>
      <c r="C4598" s="312">
        <v>10</v>
      </c>
      <c r="D4598" s="368">
        <f>IFERROR((INDEX(METADATA!$T$2:$T$20,MATCH(B4598,METADATA!$S$2:$S$20,0))),0)</f>
        <v>0</v>
      </c>
      <c r="E4598" s="312" t="str">
        <f t="shared" si="284"/>
        <v>LO</v>
      </c>
      <c r="F4598" s="369">
        <f>VLOOKUP(C4598,METADATA!$A$5:$H$29,IF(E4598="HI",2,IF(E4598="LO",6,10))+IF(D4598=1,2,IF(D4598=7,1,(IF(WEEKDAY(B4598)=1,2,IF(WEEKDAY(B4598)=7,1,0))))))</f>
        <v>2</v>
      </c>
      <c r="G4598" s="369">
        <f>VLOOKUP(C4598,METADATA!$J$5:$Q$29,IF(E4598="HI",2,IF(E4598="LO",6,10))+IF(D4598=1,2,IF(D4598=7,1,(IF(WEEKDAY(B4598)=1,2,IF(WEEKDAY(B4598)=7,1,0))))))</f>
        <v>2</v>
      </c>
      <c r="H4598" s="370">
        <v>7867.1998901367188</v>
      </c>
      <c r="I4598" s="370">
        <v>7223.9501342773438</v>
      </c>
      <c r="M4598" s="371">
        <f t="shared" si="285"/>
        <v>10680.743871748486</v>
      </c>
      <c r="N4598" s="329">
        <f t="shared" si="286"/>
        <v>4863.7901672363278</v>
      </c>
      <c r="T4598" s="331">
        <v>0</v>
      </c>
      <c r="U4598" s="328">
        <f>VLOOKUP(C4598,METADATA!$J$5:$Q$29,IF(E4598="HI",2,IF(E4598="LO",6,10))+IF(T4598=1,2,IF(D4598=7,1,(IF(WEEKDAY(B4598)=1,2,IF(WEEKDAY(B4598)=7,1,0))))))</f>
        <v>2</v>
      </c>
      <c r="V4598" s="328">
        <f>VLOOKUP(C4598,METADATA!$A$5:$H$29,IF(E4598="HI",2,IF(E4598="LO",6,10))+IF(T4598=1,2,IF(D4598=7,1,(IF(WEEKDAY(B4598)=1,2,IF(WEEKDAY(B4598)=7,1,0))))))</f>
        <v>2</v>
      </c>
    </row>
    <row r="4599" spans="2:22">
      <c r="B4599" s="318">
        <f t="shared" si="287"/>
        <v>46304</v>
      </c>
      <c r="C4599" s="312">
        <v>11</v>
      </c>
      <c r="D4599" s="368">
        <f>IFERROR((INDEX(METADATA!$T$2:$T$20,MATCH(B4599,METADATA!$S$2:$S$20,0))),0)</f>
        <v>0</v>
      </c>
      <c r="E4599" s="312" t="str">
        <f t="shared" si="284"/>
        <v>LO</v>
      </c>
      <c r="F4599" s="369">
        <f>VLOOKUP(C4599,METADATA!$A$5:$H$29,IF(E4599="HI",2,IF(E4599="LO",6,10))+IF(D4599=1,2,IF(D4599=7,1,(IF(WEEKDAY(B4599)=1,2,IF(WEEKDAY(B4599)=7,1,0))))))</f>
        <v>2</v>
      </c>
      <c r="G4599" s="369">
        <f>VLOOKUP(C4599,METADATA!$J$5:$Q$29,IF(E4599="HI",2,IF(E4599="LO",6,10))+IF(D4599=1,2,IF(D4599=7,1,(IF(WEEKDAY(B4599)=1,2,IF(WEEKDAY(B4599)=7,1,0))))))</f>
        <v>2</v>
      </c>
      <c r="H4599" s="370">
        <v>8043.8723754882813</v>
      </c>
      <c r="I4599" s="370">
        <v>7300.0075988769531</v>
      </c>
      <c r="M4599" s="371">
        <f t="shared" si="285"/>
        <v>10862.504027009829</v>
      </c>
      <c r="N4599" s="329">
        <f t="shared" si="286"/>
        <v>4886.8458862304688</v>
      </c>
      <c r="T4599" s="331">
        <v>0</v>
      </c>
      <c r="U4599" s="328">
        <f>VLOOKUP(C4599,METADATA!$J$5:$Q$29,IF(E4599="HI",2,IF(E4599="LO",6,10))+IF(T4599=1,2,IF(D4599=7,1,(IF(WEEKDAY(B4599)=1,2,IF(WEEKDAY(B4599)=7,1,0))))))</f>
        <v>2</v>
      </c>
      <c r="V4599" s="328">
        <f>VLOOKUP(C4599,METADATA!$A$5:$H$29,IF(E4599="HI",2,IF(E4599="LO",6,10))+IF(T4599=1,2,IF(D4599=7,1,(IF(WEEKDAY(B4599)=1,2,IF(WEEKDAY(B4599)=7,1,0))))))</f>
        <v>2</v>
      </c>
    </row>
    <row r="4600" spans="2:22">
      <c r="B4600" s="318">
        <f t="shared" si="287"/>
        <v>46304</v>
      </c>
      <c r="C4600" s="312">
        <v>12</v>
      </c>
      <c r="D4600" s="368">
        <f>IFERROR((INDEX(METADATA!$T$2:$T$20,MATCH(B4600,METADATA!$S$2:$S$20,0))),0)</f>
        <v>0</v>
      </c>
      <c r="E4600" s="312" t="str">
        <f t="shared" si="284"/>
        <v>LO</v>
      </c>
      <c r="F4600" s="369">
        <f>VLOOKUP(C4600,METADATA!$A$5:$H$29,IF(E4600="HI",2,IF(E4600="LO",6,10))+IF(D4600=1,2,IF(D4600=7,1,(IF(WEEKDAY(B4600)=1,2,IF(WEEKDAY(B4600)=7,1,0))))))</f>
        <v>2</v>
      </c>
      <c r="G4600" s="369">
        <f>VLOOKUP(C4600,METADATA!$J$5:$Q$29,IF(E4600="HI",2,IF(E4600="LO",6,10))+IF(D4600=1,2,IF(D4600=7,1,(IF(WEEKDAY(B4600)=1,2,IF(WEEKDAY(B4600)=7,1,0))))))</f>
        <v>2</v>
      </c>
      <c r="H4600" s="370">
        <v>11083.224914550781</v>
      </c>
      <c r="I4600" s="370">
        <v>8625.6149291992188</v>
      </c>
      <c r="M4600" s="371">
        <f t="shared" si="285"/>
        <v>14044.184113480698</v>
      </c>
      <c r="N4600" s="329">
        <f t="shared" si="286"/>
        <v>5300.6474548339847</v>
      </c>
      <c r="T4600" s="331">
        <v>0</v>
      </c>
      <c r="U4600" s="328">
        <f>VLOOKUP(C4600,METADATA!$J$5:$Q$29,IF(E4600="HI",2,IF(E4600="LO",6,10))+IF(T4600=1,2,IF(D4600=7,1,(IF(WEEKDAY(B4600)=1,2,IF(WEEKDAY(B4600)=7,1,0))))))</f>
        <v>2</v>
      </c>
      <c r="V4600" s="328">
        <f>VLOOKUP(C4600,METADATA!$A$5:$H$29,IF(E4600="HI",2,IF(E4600="LO",6,10))+IF(T4600=1,2,IF(D4600=7,1,(IF(WEEKDAY(B4600)=1,2,IF(WEEKDAY(B4600)=7,1,0))))))</f>
        <v>2</v>
      </c>
    </row>
    <row r="4601" spans="2:22">
      <c r="B4601" s="318">
        <f t="shared" si="287"/>
        <v>46304</v>
      </c>
      <c r="C4601" s="312">
        <v>13</v>
      </c>
      <c r="D4601" s="368">
        <f>IFERROR((INDEX(METADATA!$T$2:$T$20,MATCH(B4601,METADATA!$S$2:$S$20,0))),0)</f>
        <v>0</v>
      </c>
      <c r="E4601" s="312" t="str">
        <f t="shared" si="284"/>
        <v>LO</v>
      </c>
      <c r="F4601" s="369">
        <f>VLOOKUP(C4601,METADATA!$A$5:$H$29,IF(E4601="HI",2,IF(E4601="LO",6,10))+IF(D4601=1,2,IF(D4601=7,1,(IF(WEEKDAY(B4601)=1,2,IF(WEEKDAY(B4601)=7,1,0))))))</f>
        <v>2</v>
      </c>
      <c r="G4601" s="369">
        <f>VLOOKUP(C4601,METADATA!$J$5:$Q$29,IF(E4601="HI",2,IF(E4601="LO",6,10))+IF(D4601=1,2,IF(D4601=7,1,(IF(WEEKDAY(B4601)=1,2,IF(WEEKDAY(B4601)=7,1,0))))))</f>
        <v>2</v>
      </c>
      <c r="H4601" s="370">
        <v>11944.600402832031</v>
      </c>
      <c r="I4601" s="370">
        <v>9035.9775390625</v>
      </c>
      <c r="M4601" s="371">
        <f t="shared" si="285"/>
        <v>14977.39526318836</v>
      </c>
      <c r="N4601" s="329">
        <f t="shared" si="286"/>
        <v>5452.5974182128903</v>
      </c>
      <c r="T4601" s="331">
        <v>0</v>
      </c>
      <c r="U4601" s="328">
        <f>VLOOKUP(C4601,METADATA!$J$5:$Q$29,IF(E4601="HI",2,IF(E4601="LO",6,10))+IF(T4601=1,2,IF(D4601=7,1,(IF(WEEKDAY(B4601)=1,2,IF(WEEKDAY(B4601)=7,1,0))))))</f>
        <v>2</v>
      </c>
      <c r="V4601" s="328">
        <f>VLOOKUP(C4601,METADATA!$A$5:$H$29,IF(E4601="HI",2,IF(E4601="LO",6,10))+IF(T4601=1,2,IF(D4601=7,1,(IF(WEEKDAY(B4601)=1,2,IF(WEEKDAY(B4601)=7,1,0))))))</f>
        <v>2</v>
      </c>
    </row>
    <row r="4602" spans="2:22">
      <c r="B4602" s="318">
        <f t="shared" si="287"/>
        <v>46304</v>
      </c>
      <c r="C4602" s="312">
        <v>14</v>
      </c>
      <c r="D4602" s="368">
        <f>IFERROR((INDEX(METADATA!$T$2:$T$20,MATCH(B4602,METADATA!$S$2:$S$20,0))),0)</f>
        <v>0</v>
      </c>
      <c r="E4602" s="312" t="str">
        <f t="shared" si="284"/>
        <v>LO</v>
      </c>
      <c r="F4602" s="369">
        <f>VLOOKUP(C4602,METADATA!$A$5:$H$29,IF(E4602="HI",2,IF(E4602="LO",6,10))+IF(D4602=1,2,IF(D4602=7,1,(IF(WEEKDAY(B4602)=1,2,IF(WEEKDAY(B4602)=7,1,0))))))</f>
        <v>2</v>
      </c>
      <c r="G4602" s="369">
        <f>VLOOKUP(C4602,METADATA!$J$5:$Q$29,IF(E4602="HI",2,IF(E4602="LO",6,10))+IF(D4602=1,2,IF(D4602=7,1,(IF(WEEKDAY(B4602)=1,2,IF(WEEKDAY(B4602)=7,1,0))))))</f>
        <v>2</v>
      </c>
      <c r="H4602" s="370">
        <v>13011.575134277344</v>
      </c>
      <c r="I4602" s="370">
        <v>9732.0999145507813</v>
      </c>
      <c r="M4602" s="371">
        <f t="shared" si="285"/>
        <v>16248.533971461666</v>
      </c>
      <c r="N4602" s="329">
        <f t="shared" si="286"/>
        <v>5828.6273742675785</v>
      </c>
      <c r="T4602" s="331">
        <v>0</v>
      </c>
      <c r="U4602" s="328">
        <f>VLOOKUP(C4602,METADATA!$J$5:$Q$29,IF(E4602="HI",2,IF(E4602="LO",6,10))+IF(T4602=1,2,IF(D4602=7,1,(IF(WEEKDAY(B4602)=1,2,IF(WEEKDAY(B4602)=7,1,0))))))</f>
        <v>2</v>
      </c>
      <c r="V4602" s="328">
        <f>VLOOKUP(C4602,METADATA!$A$5:$H$29,IF(E4602="HI",2,IF(E4602="LO",6,10))+IF(T4602=1,2,IF(D4602=7,1,(IF(WEEKDAY(B4602)=1,2,IF(WEEKDAY(B4602)=7,1,0))))))</f>
        <v>2</v>
      </c>
    </row>
    <row r="4603" spans="2:22">
      <c r="B4603" s="318">
        <f t="shared" si="287"/>
        <v>46304</v>
      </c>
      <c r="C4603" s="312">
        <v>15</v>
      </c>
      <c r="D4603" s="368">
        <f>IFERROR((INDEX(METADATA!$T$2:$T$20,MATCH(B4603,METADATA!$S$2:$S$20,0))),0)</f>
        <v>0</v>
      </c>
      <c r="E4603" s="312" t="str">
        <f t="shared" si="284"/>
        <v>LO</v>
      </c>
      <c r="F4603" s="369">
        <f>VLOOKUP(C4603,METADATA!$A$5:$H$29,IF(E4603="HI",2,IF(E4603="LO",6,10))+IF(D4603=1,2,IF(D4603=7,1,(IF(WEEKDAY(B4603)=1,2,IF(WEEKDAY(B4603)=7,1,0))))))</f>
        <v>2</v>
      </c>
      <c r="G4603" s="369">
        <f>VLOOKUP(C4603,METADATA!$J$5:$Q$29,IF(E4603="HI",2,IF(E4603="LO",6,10))+IF(D4603=1,2,IF(D4603=7,1,(IF(WEEKDAY(B4603)=1,2,IF(WEEKDAY(B4603)=7,1,0))))))</f>
        <v>2</v>
      </c>
      <c r="H4603" s="370">
        <v>12985.075073242188</v>
      </c>
      <c r="I4603" s="370">
        <v>9714.9500122070313</v>
      </c>
      <c r="M4603" s="371">
        <f t="shared" si="285"/>
        <v>16217.041296038466</v>
      </c>
      <c r="N4603" s="329">
        <f t="shared" si="286"/>
        <v>5819.427490234375</v>
      </c>
      <c r="T4603" s="331">
        <v>0</v>
      </c>
      <c r="U4603" s="328">
        <f>VLOOKUP(C4603,METADATA!$J$5:$Q$29,IF(E4603="HI",2,IF(E4603="LO",6,10))+IF(T4603=1,2,IF(D4603=7,1,(IF(WEEKDAY(B4603)=1,2,IF(WEEKDAY(B4603)=7,1,0))))))</f>
        <v>2</v>
      </c>
      <c r="V4603" s="328">
        <f>VLOOKUP(C4603,METADATA!$A$5:$H$29,IF(E4603="HI",2,IF(E4603="LO",6,10))+IF(T4603=1,2,IF(D4603=7,1,(IF(WEEKDAY(B4603)=1,2,IF(WEEKDAY(B4603)=7,1,0))))))</f>
        <v>2</v>
      </c>
    </row>
    <row r="4604" spans="2:22">
      <c r="B4604" s="318">
        <f t="shared" si="287"/>
        <v>46304</v>
      </c>
      <c r="C4604" s="312">
        <v>16</v>
      </c>
      <c r="D4604" s="368">
        <f>IFERROR((INDEX(METADATA!$T$2:$T$20,MATCH(B4604,METADATA!$S$2:$S$20,0))),0)</f>
        <v>0</v>
      </c>
      <c r="E4604" s="312" t="str">
        <f t="shared" si="284"/>
        <v>LO</v>
      </c>
      <c r="F4604" s="369">
        <f>VLOOKUP(C4604,METADATA!$A$5:$H$29,IF(E4604="HI",2,IF(E4604="LO",6,10))+IF(D4604=1,2,IF(D4604=7,1,(IF(WEEKDAY(B4604)=1,2,IF(WEEKDAY(B4604)=7,1,0))))))</f>
        <v>2</v>
      </c>
      <c r="G4604" s="369">
        <f>VLOOKUP(C4604,METADATA!$J$5:$Q$29,IF(E4604="HI",2,IF(E4604="LO",6,10))+IF(D4604=1,2,IF(D4604=7,1,(IF(WEEKDAY(B4604)=1,2,IF(WEEKDAY(B4604)=7,1,0))))))</f>
        <v>2</v>
      </c>
      <c r="H4604" s="370">
        <v>12997.049865722656</v>
      </c>
      <c r="I4604" s="370">
        <v>9715.0748901367188</v>
      </c>
      <c r="M4604" s="371">
        <f t="shared" si="285"/>
        <v>16226.705929825877</v>
      </c>
      <c r="N4604" s="329">
        <f t="shared" si="286"/>
        <v>5815.9599304199219</v>
      </c>
      <c r="T4604" s="331">
        <v>0</v>
      </c>
      <c r="U4604" s="328">
        <f>VLOOKUP(C4604,METADATA!$J$5:$Q$29,IF(E4604="HI",2,IF(E4604="LO",6,10))+IF(T4604=1,2,IF(D4604=7,1,(IF(WEEKDAY(B4604)=1,2,IF(WEEKDAY(B4604)=7,1,0))))))</f>
        <v>2</v>
      </c>
      <c r="V4604" s="328">
        <f>VLOOKUP(C4604,METADATA!$A$5:$H$29,IF(E4604="HI",2,IF(E4604="LO",6,10))+IF(T4604=1,2,IF(D4604=7,1,(IF(WEEKDAY(B4604)=1,2,IF(WEEKDAY(B4604)=7,1,0))))))</f>
        <v>2</v>
      </c>
    </row>
    <row r="4605" spans="2:22">
      <c r="B4605" s="318">
        <f t="shared" si="287"/>
        <v>46304</v>
      </c>
      <c r="C4605" s="312">
        <v>17</v>
      </c>
      <c r="D4605" s="368">
        <f>IFERROR((INDEX(METADATA!$T$2:$T$20,MATCH(B4605,METADATA!$S$2:$S$20,0))),0)</f>
        <v>0</v>
      </c>
      <c r="E4605" s="312" t="str">
        <f t="shared" si="284"/>
        <v>LO</v>
      </c>
      <c r="F4605" s="369">
        <f>VLOOKUP(C4605,METADATA!$A$5:$H$29,IF(E4605="HI",2,IF(E4605="LO",6,10))+IF(D4605=1,2,IF(D4605=7,1,(IF(WEEKDAY(B4605)=1,2,IF(WEEKDAY(B4605)=7,1,0))))))</f>
        <v>2</v>
      </c>
      <c r="G4605" s="369">
        <f>VLOOKUP(C4605,METADATA!$J$5:$Q$29,IF(E4605="HI",2,IF(E4605="LO",6,10))+IF(D4605=1,2,IF(D4605=7,1,(IF(WEEKDAY(B4605)=1,2,IF(WEEKDAY(B4605)=7,1,0))))))</f>
        <v>2</v>
      </c>
      <c r="H4605" s="370">
        <v>12967.400085449219</v>
      </c>
      <c r="I4605" s="370">
        <v>9792.97509765625</v>
      </c>
      <c r="M4605" s="371">
        <f t="shared" si="285"/>
        <v>16249.794652223265</v>
      </c>
      <c r="N4605" s="329">
        <f t="shared" si="286"/>
        <v>5902.755072021484</v>
      </c>
      <c r="T4605" s="331">
        <v>0</v>
      </c>
      <c r="U4605" s="328">
        <f>VLOOKUP(C4605,METADATA!$J$5:$Q$29,IF(E4605="HI",2,IF(E4605="LO",6,10))+IF(T4605=1,2,IF(D4605=7,1,(IF(WEEKDAY(B4605)=1,2,IF(WEEKDAY(B4605)=7,1,0))))))</f>
        <v>2</v>
      </c>
      <c r="V4605" s="328">
        <f>VLOOKUP(C4605,METADATA!$A$5:$H$29,IF(E4605="HI",2,IF(E4605="LO",6,10))+IF(T4605=1,2,IF(D4605=7,1,(IF(WEEKDAY(B4605)=1,2,IF(WEEKDAY(B4605)=7,1,0))))))</f>
        <v>2</v>
      </c>
    </row>
    <row r="4606" spans="2:22">
      <c r="B4606" s="318">
        <f t="shared" si="287"/>
        <v>46304</v>
      </c>
      <c r="C4606" s="312">
        <v>18</v>
      </c>
      <c r="D4606" s="368">
        <f>IFERROR((INDEX(METADATA!$T$2:$T$20,MATCH(B4606,METADATA!$S$2:$S$20,0))),0)</f>
        <v>0</v>
      </c>
      <c r="E4606" s="312" t="str">
        <f t="shared" si="284"/>
        <v>LO</v>
      </c>
      <c r="F4606" s="369">
        <f>VLOOKUP(C4606,METADATA!$A$5:$H$29,IF(E4606="HI",2,IF(E4606="LO",6,10))+IF(D4606=1,2,IF(D4606=7,1,(IF(WEEKDAY(B4606)=1,2,IF(WEEKDAY(B4606)=7,1,0))))))</f>
        <v>1</v>
      </c>
      <c r="G4606" s="369">
        <f>VLOOKUP(C4606,METADATA!$J$5:$Q$29,IF(E4606="HI",2,IF(E4606="LO",6,10))+IF(D4606=1,2,IF(D4606=7,1,(IF(WEEKDAY(B4606)=1,2,IF(WEEKDAY(B4606)=7,1,0))))))</f>
        <v>1</v>
      </c>
      <c r="H4606" s="370">
        <v>12943.924926757813</v>
      </c>
      <c r="I4606" s="370">
        <v>9605.3748779296875</v>
      </c>
      <c r="M4606" s="371">
        <f t="shared" si="285"/>
        <v>16118.573728934734</v>
      </c>
      <c r="N4606" s="329">
        <f t="shared" si="286"/>
        <v>5722.1973999023439</v>
      </c>
      <c r="T4606" s="331">
        <v>0</v>
      </c>
      <c r="U4606" s="328">
        <f>VLOOKUP(C4606,METADATA!$J$5:$Q$29,IF(E4606="HI",2,IF(E4606="LO",6,10))+IF(T4606=1,2,IF(D4606=7,1,(IF(WEEKDAY(B4606)=1,2,IF(WEEKDAY(B4606)=7,1,0))))))</f>
        <v>1</v>
      </c>
      <c r="V4606" s="328">
        <f>VLOOKUP(C4606,METADATA!$A$5:$H$29,IF(E4606="HI",2,IF(E4606="LO",6,10))+IF(T4606=1,2,IF(D4606=7,1,(IF(WEEKDAY(B4606)=1,2,IF(WEEKDAY(B4606)=7,1,0))))))</f>
        <v>1</v>
      </c>
    </row>
    <row r="4607" spans="2:22">
      <c r="B4607" s="318">
        <f t="shared" si="287"/>
        <v>46304</v>
      </c>
      <c r="C4607" s="312">
        <v>19</v>
      </c>
      <c r="D4607" s="368">
        <f>IFERROR((INDEX(METADATA!$T$2:$T$20,MATCH(B4607,METADATA!$S$2:$S$20,0))),0)</f>
        <v>0</v>
      </c>
      <c r="E4607" s="312" t="str">
        <f t="shared" si="284"/>
        <v>LO</v>
      </c>
      <c r="F4607" s="369">
        <f>VLOOKUP(C4607,METADATA!$A$5:$H$29,IF(E4607="HI",2,IF(E4607="LO",6,10))+IF(D4607=1,2,IF(D4607=7,1,(IF(WEEKDAY(B4607)=1,2,IF(WEEKDAY(B4607)=7,1,0))))))</f>
        <v>1</v>
      </c>
      <c r="G4607" s="369">
        <f>VLOOKUP(C4607,METADATA!$J$5:$Q$29,IF(E4607="HI",2,IF(E4607="LO",6,10))+IF(D4607=1,2,IF(D4607=7,1,(IF(WEEKDAY(B4607)=1,2,IF(WEEKDAY(B4607)=7,1,0))))))</f>
        <v>1</v>
      </c>
      <c r="H4607" s="370">
        <v>12943.950012207031</v>
      </c>
      <c r="I4607" s="370">
        <v>9640.724853515625</v>
      </c>
      <c r="M4607" s="371">
        <f t="shared" si="285"/>
        <v>16139.68455762715</v>
      </c>
      <c r="N4607" s="329">
        <f t="shared" si="286"/>
        <v>5757.539849853516</v>
      </c>
      <c r="T4607" s="331">
        <v>0</v>
      </c>
      <c r="U4607" s="328">
        <f>VLOOKUP(C4607,METADATA!$J$5:$Q$29,IF(E4607="HI",2,IF(E4607="LO",6,10))+IF(T4607=1,2,IF(D4607=7,1,(IF(WEEKDAY(B4607)=1,2,IF(WEEKDAY(B4607)=7,1,0))))))</f>
        <v>1</v>
      </c>
      <c r="V4607" s="328">
        <f>VLOOKUP(C4607,METADATA!$A$5:$H$29,IF(E4607="HI",2,IF(E4607="LO",6,10))+IF(T4607=1,2,IF(D4607=7,1,(IF(WEEKDAY(B4607)=1,2,IF(WEEKDAY(B4607)=7,1,0))))))</f>
        <v>1</v>
      </c>
    </row>
    <row r="4608" spans="2:22">
      <c r="B4608" s="318">
        <f t="shared" si="287"/>
        <v>46304</v>
      </c>
      <c r="C4608" s="312">
        <v>20</v>
      </c>
      <c r="D4608" s="368">
        <f>IFERROR((INDEX(METADATA!$T$2:$T$20,MATCH(B4608,METADATA!$S$2:$S$20,0))),0)</f>
        <v>0</v>
      </c>
      <c r="E4608" s="312" t="str">
        <f t="shared" si="284"/>
        <v>LO</v>
      </c>
      <c r="F4608" s="369">
        <f>VLOOKUP(C4608,METADATA!$A$5:$H$29,IF(E4608="HI",2,IF(E4608="LO",6,10))+IF(D4608=1,2,IF(D4608=7,1,(IF(WEEKDAY(B4608)=1,2,IF(WEEKDAY(B4608)=7,1,0))))))</f>
        <v>1</v>
      </c>
      <c r="G4608" s="369">
        <f>VLOOKUP(C4608,METADATA!$J$5:$Q$29,IF(E4608="HI",2,IF(E4608="LO",6,10))+IF(D4608=1,2,IF(D4608=7,1,(IF(WEEKDAY(B4608)=1,2,IF(WEEKDAY(B4608)=7,1,0))))))</f>
        <v>1</v>
      </c>
      <c r="H4608" s="370">
        <v>13003.349853515625</v>
      </c>
      <c r="I4608" s="370">
        <v>9796.1249389648438</v>
      </c>
      <c r="M4608" s="371">
        <f t="shared" si="285"/>
        <v>16280.392232152572</v>
      </c>
      <c r="N4608" s="329">
        <f t="shared" si="286"/>
        <v>5895.119982910157</v>
      </c>
      <c r="T4608" s="331">
        <v>0</v>
      </c>
      <c r="U4608" s="328">
        <f>VLOOKUP(C4608,METADATA!$J$5:$Q$29,IF(E4608="HI",2,IF(E4608="LO",6,10))+IF(T4608=1,2,IF(D4608=7,1,(IF(WEEKDAY(B4608)=1,2,IF(WEEKDAY(B4608)=7,1,0))))))</f>
        <v>1</v>
      </c>
      <c r="V4608" s="328">
        <f>VLOOKUP(C4608,METADATA!$A$5:$H$29,IF(E4608="HI",2,IF(E4608="LO",6,10))+IF(T4608=1,2,IF(D4608=7,1,(IF(WEEKDAY(B4608)=1,2,IF(WEEKDAY(B4608)=7,1,0))))))</f>
        <v>1</v>
      </c>
    </row>
    <row r="4609" spans="2:22">
      <c r="B4609" s="318">
        <f t="shared" si="287"/>
        <v>46304</v>
      </c>
      <c r="C4609" s="312">
        <v>21</v>
      </c>
      <c r="D4609" s="368">
        <f>IFERROR((INDEX(METADATA!$T$2:$T$20,MATCH(B4609,METADATA!$S$2:$S$20,0))),0)</f>
        <v>0</v>
      </c>
      <c r="E4609" s="312" t="str">
        <f t="shared" si="284"/>
        <v>LO</v>
      </c>
      <c r="F4609" s="369">
        <f>VLOOKUP(C4609,METADATA!$A$5:$H$29,IF(E4609="HI",2,IF(E4609="LO",6,10))+IF(D4609=1,2,IF(D4609=7,1,(IF(WEEKDAY(B4609)=1,2,IF(WEEKDAY(B4609)=7,1,0))))))</f>
        <v>2</v>
      </c>
      <c r="G4609" s="369">
        <f>VLOOKUP(C4609,METADATA!$J$5:$Q$29,IF(E4609="HI",2,IF(E4609="LO",6,10))+IF(D4609=1,2,IF(D4609=7,1,(IF(WEEKDAY(B4609)=1,2,IF(WEEKDAY(B4609)=7,1,0))))))</f>
        <v>2</v>
      </c>
      <c r="H4609" s="370">
        <v>13021.925170898438</v>
      </c>
      <c r="I4609" s="370">
        <v>9753.0249633789063</v>
      </c>
      <c r="M4609" s="371">
        <f t="shared" si="285"/>
        <v>16269.35865646739</v>
      </c>
      <c r="N4609" s="329">
        <f t="shared" si="286"/>
        <v>5846.4474121093754</v>
      </c>
      <c r="T4609" s="331">
        <v>0</v>
      </c>
      <c r="U4609" s="328">
        <f>VLOOKUP(C4609,METADATA!$J$5:$Q$29,IF(E4609="HI",2,IF(E4609="LO",6,10))+IF(T4609=1,2,IF(D4609=7,1,(IF(WEEKDAY(B4609)=1,2,IF(WEEKDAY(B4609)=7,1,0))))))</f>
        <v>2</v>
      </c>
      <c r="V4609" s="328">
        <f>VLOOKUP(C4609,METADATA!$A$5:$H$29,IF(E4609="HI",2,IF(E4609="LO",6,10))+IF(T4609=1,2,IF(D4609=7,1,(IF(WEEKDAY(B4609)=1,2,IF(WEEKDAY(B4609)=7,1,0))))))</f>
        <v>2</v>
      </c>
    </row>
    <row r="4610" spans="2:22">
      <c r="B4610" s="318">
        <f t="shared" si="287"/>
        <v>46304</v>
      </c>
      <c r="C4610" s="312">
        <v>22</v>
      </c>
      <c r="D4610" s="368">
        <f>IFERROR((INDEX(METADATA!$T$2:$T$20,MATCH(B4610,METADATA!$S$2:$S$20,0))),0)</f>
        <v>0</v>
      </c>
      <c r="E4610" s="312" t="str">
        <f t="shared" si="284"/>
        <v>LO</v>
      </c>
      <c r="F4610" s="369">
        <f>VLOOKUP(C4610,METADATA!$A$5:$H$29,IF(E4610="HI",2,IF(E4610="LO",6,10))+IF(D4610=1,2,IF(D4610=7,1,(IF(WEEKDAY(B4610)=1,2,IF(WEEKDAY(B4610)=7,1,0))))))</f>
        <v>3</v>
      </c>
      <c r="G4610" s="369">
        <f>VLOOKUP(C4610,METADATA!$J$5:$Q$29,IF(E4610="HI",2,IF(E4610="LO",6,10))+IF(D4610=1,2,IF(D4610=7,1,(IF(WEEKDAY(B4610)=1,2,IF(WEEKDAY(B4610)=7,1,0))))))</f>
        <v>3</v>
      </c>
      <c r="H4610" s="370">
        <v>13019.250366210938</v>
      </c>
      <c r="I4610" s="370">
        <v>9832.8500366210938</v>
      </c>
      <c r="M4610" s="371">
        <f t="shared" si="285"/>
        <v>16315.202111551149</v>
      </c>
      <c r="N4610" s="329">
        <f t="shared" si="286"/>
        <v>5927.0749267578121</v>
      </c>
      <c r="T4610" s="331">
        <v>0</v>
      </c>
      <c r="U4610" s="328">
        <f>VLOOKUP(C4610,METADATA!$J$5:$Q$29,IF(E4610="HI",2,IF(E4610="LO",6,10))+IF(T4610=1,2,IF(D4610=7,1,(IF(WEEKDAY(B4610)=1,2,IF(WEEKDAY(B4610)=7,1,0))))))</f>
        <v>3</v>
      </c>
      <c r="V4610" s="328">
        <f>VLOOKUP(C4610,METADATA!$A$5:$H$29,IF(E4610="HI",2,IF(E4610="LO",6,10))+IF(T4610=1,2,IF(D4610=7,1,(IF(WEEKDAY(B4610)=1,2,IF(WEEKDAY(B4610)=7,1,0))))))</f>
        <v>3</v>
      </c>
    </row>
    <row r="4611" spans="2:22">
      <c r="B4611" s="318">
        <f t="shared" si="287"/>
        <v>46304</v>
      </c>
      <c r="C4611" s="312">
        <v>23</v>
      </c>
      <c r="D4611" s="368">
        <f>IFERROR((INDEX(METADATA!$T$2:$T$20,MATCH(B4611,METADATA!$S$2:$S$20,0))),0)</f>
        <v>0</v>
      </c>
      <c r="E4611" s="312" t="str">
        <f t="shared" si="284"/>
        <v>LO</v>
      </c>
      <c r="F4611" s="369">
        <f>VLOOKUP(C4611,METADATA!$A$5:$H$29,IF(E4611="HI",2,IF(E4611="LO",6,10))+IF(D4611=1,2,IF(D4611=7,1,(IF(WEEKDAY(B4611)=1,2,IF(WEEKDAY(B4611)=7,1,0))))))</f>
        <v>3</v>
      </c>
      <c r="G4611" s="369">
        <f>VLOOKUP(C4611,METADATA!$J$5:$Q$29,IF(E4611="HI",2,IF(E4611="LO",6,10))+IF(D4611=1,2,IF(D4611=7,1,(IF(WEEKDAY(B4611)=1,2,IF(WEEKDAY(B4611)=7,1,0))))))</f>
        <v>3</v>
      </c>
      <c r="H4611" s="370">
        <v>13065.1748046875</v>
      </c>
      <c r="I4611" s="370">
        <v>9878.9749755859375</v>
      </c>
      <c r="M4611" s="371">
        <f t="shared" si="285"/>
        <v>16379.650156376791</v>
      </c>
      <c r="N4611" s="329">
        <f t="shared" si="286"/>
        <v>5959.4225341796882</v>
      </c>
      <c r="T4611" s="331">
        <v>0</v>
      </c>
      <c r="U4611" s="328">
        <f>VLOOKUP(C4611,METADATA!$J$5:$Q$29,IF(E4611="HI",2,IF(E4611="LO",6,10))+IF(T4611=1,2,IF(D4611=7,1,(IF(WEEKDAY(B4611)=1,2,IF(WEEKDAY(B4611)=7,1,0))))))</f>
        <v>3</v>
      </c>
      <c r="V4611" s="328">
        <f>VLOOKUP(C4611,METADATA!$A$5:$H$29,IF(E4611="HI",2,IF(E4611="LO",6,10))+IF(T4611=1,2,IF(D4611=7,1,(IF(WEEKDAY(B4611)=1,2,IF(WEEKDAY(B4611)=7,1,0))))))</f>
        <v>3</v>
      </c>
    </row>
    <row r="4612" spans="2:22">
      <c r="B4612" s="318">
        <f t="shared" si="287"/>
        <v>46305</v>
      </c>
      <c r="C4612" s="312">
        <v>0</v>
      </c>
      <c r="D4612" s="368">
        <f>IFERROR((INDEX(METADATA!$T$2:$T$20,MATCH(B4612,METADATA!$S$2:$S$20,0))),0)</f>
        <v>0</v>
      </c>
      <c r="E4612" s="312" t="str">
        <f t="shared" ref="E4612:E4675" si="288">IF(B4612="","",IF(AND(MONTH(B4612)&gt;=MONTH($Z$9),MONTH(B4612)&lt;=MONTH($Z$11)),"HI","LO"))</f>
        <v>LO</v>
      </c>
      <c r="F4612" s="369">
        <f>VLOOKUP(C4612,METADATA!$A$5:$H$29,IF(E4612="HI",2,IF(E4612="LO",6,10))+IF(D4612=1,2,IF(D4612=7,1,(IF(WEEKDAY(B4612)=1,2,IF(WEEKDAY(B4612)=7,1,0))))))</f>
        <v>3</v>
      </c>
      <c r="G4612" s="369">
        <f>VLOOKUP(C4612,METADATA!$J$5:$Q$29,IF(E4612="HI",2,IF(E4612="LO",6,10))+IF(D4612=1,2,IF(D4612=7,1,(IF(WEEKDAY(B4612)=1,2,IF(WEEKDAY(B4612)=7,1,0))))))</f>
        <v>3</v>
      </c>
      <c r="H4612" s="370">
        <v>13050.775024414063</v>
      </c>
      <c r="I4612" s="370">
        <v>9925.7750244140625</v>
      </c>
      <c r="M4612" s="371">
        <f t="shared" ref="M4612:M4675" si="289">SQRT(H4612^2+I4612^2)</f>
        <v>16396.455061175628</v>
      </c>
      <c r="N4612" s="329">
        <f t="shared" ref="N4612:N4675" si="290">IF(H4612=0,0,(IF(I4612-(0.3*H4612)&lt;0,0,(I4612-(0.3*H4612)))))</f>
        <v>6010.5425170898434</v>
      </c>
      <c r="T4612" s="331">
        <v>0</v>
      </c>
      <c r="U4612" s="328">
        <f>VLOOKUP(C4612,METADATA!$J$5:$Q$29,IF(E4612="HI",2,IF(E4612="LO",6,10))+IF(T4612=1,2,IF(D4612=7,1,(IF(WEEKDAY(B4612)=1,2,IF(WEEKDAY(B4612)=7,1,0))))))</f>
        <v>3</v>
      </c>
      <c r="V4612" s="328">
        <f>VLOOKUP(C4612,METADATA!$A$5:$H$29,IF(E4612="HI",2,IF(E4612="LO",6,10))+IF(T4612=1,2,IF(D4612=7,1,(IF(WEEKDAY(B4612)=1,2,IF(WEEKDAY(B4612)=7,1,0))))))</f>
        <v>3</v>
      </c>
    </row>
    <row r="4613" spans="2:22">
      <c r="B4613" s="318">
        <f t="shared" si="287"/>
        <v>46305</v>
      </c>
      <c r="C4613" s="312">
        <v>1</v>
      </c>
      <c r="D4613" s="368">
        <f>IFERROR((INDEX(METADATA!$T$2:$T$20,MATCH(B4613,METADATA!$S$2:$S$20,0))),0)</f>
        <v>0</v>
      </c>
      <c r="E4613" s="312" t="str">
        <f t="shared" si="288"/>
        <v>LO</v>
      </c>
      <c r="F4613" s="369">
        <f>VLOOKUP(C4613,METADATA!$A$5:$H$29,IF(E4613="HI",2,IF(E4613="LO",6,10))+IF(D4613=1,2,IF(D4613=7,1,(IF(WEEKDAY(B4613)=1,2,IF(WEEKDAY(B4613)=7,1,0))))))</f>
        <v>3</v>
      </c>
      <c r="G4613" s="369">
        <f>VLOOKUP(C4613,METADATA!$J$5:$Q$29,IF(E4613="HI",2,IF(E4613="LO",6,10))+IF(D4613=1,2,IF(D4613=7,1,(IF(WEEKDAY(B4613)=1,2,IF(WEEKDAY(B4613)=7,1,0))))))</f>
        <v>3</v>
      </c>
      <c r="H4613" s="370">
        <v>13038.262512207031</v>
      </c>
      <c r="I4613" s="370">
        <v>9958.427490234375</v>
      </c>
      <c r="M4613" s="371">
        <f t="shared" si="289"/>
        <v>16406.296578310383</v>
      </c>
      <c r="N4613" s="329">
        <f t="shared" si="290"/>
        <v>6046.9487365722653</v>
      </c>
      <c r="T4613" s="331">
        <v>0</v>
      </c>
      <c r="U4613" s="328">
        <f>VLOOKUP(C4613,METADATA!$J$5:$Q$29,IF(E4613="HI",2,IF(E4613="LO",6,10))+IF(T4613=1,2,IF(D4613=7,1,(IF(WEEKDAY(B4613)=1,2,IF(WEEKDAY(B4613)=7,1,0))))))</f>
        <v>3</v>
      </c>
      <c r="V4613" s="328">
        <f>VLOOKUP(C4613,METADATA!$A$5:$H$29,IF(E4613="HI",2,IF(E4613="LO",6,10))+IF(T4613=1,2,IF(D4613=7,1,(IF(WEEKDAY(B4613)=1,2,IF(WEEKDAY(B4613)=7,1,0))))))</f>
        <v>3</v>
      </c>
    </row>
    <row r="4614" spans="2:22">
      <c r="B4614" s="318">
        <f t="shared" si="287"/>
        <v>46305</v>
      </c>
      <c r="C4614" s="312">
        <v>2</v>
      </c>
      <c r="D4614" s="368">
        <f>IFERROR((INDEX(METADATA!$T$2:$T$20,MATCH(B4614,METADATA!$S$2:$S$20,0))),0)</f>
        <v>0</v>
      </c>
      <c r="E4614" s="312" t="str">
        <f t="shared" si="288"/>
        <v>LO</v>
      </c>
      <c r="F4614" s="369">
        <f>VLOOKUP(C4614,METADATA!$A$5:$H$29,IF(E4614="HI",2,IF(E4614="LO",6,10))+IF(D4614=1,2,IF(D4614=7,1,(IF(WEEKDAY(B4614)=1,2,IF(WEEKDAY(B4614)=7,1,0))))))</f>
        <v>3</v>
      </c>
      <c r="G4614" s="369">
        <f>VLOOKUP(C4614,METADATA!$J$5:$Q$29,IF(E4614="HI",2,IF(E4614="LO",6,10))+IF(D4614=1,2,IF(D4614=7,1,(IF(WEEKDAY(B4614)=1,2,IF(WEEKDAY(B4614)=7,1,0))))))</f>
        <v>3</v>
      </c>
      <c r="H4614" s="370">
        <v>13019.275329589844</v>
      </c>
      <c r="I4614" s="370">
        <v>9966.3250732421875</v>
      </c>
      <c r="M4614" s="371">
        <f t="shared" si="289"/>
        <v>16396.010660316206</v>
      </c>
      <c r="N4614" s="329">
        <f t="shared" si="290"/>
        <v>6060.5424743652347</v>
      </c>
      <c r="T4614" s="331">
        <v>0</v>
      </c>
      <c r="U4614" s="328">
        <f>VLOOKUP(C4614,METADATA!$J$5:$Q$29,IF(E4614="HI",2,IF(E4614="LO",6,10))+IF(T4614=1,2,IF(D4614=7,1,(IF(WEEKDAY(B4614)=1,2,IF(WEEKDAY(B4614)=7,1,0))))))</f>
        <v>3</v>
      </c>
      <c r="V4614" s="328">
        <f>VLOOKUP(C4614,METADATA!$A$5:$H$29,IF(E4614="HI",2,IF(E4614="LO",6,10))+IF(T4614=1,2,IF(D4614=7,1,(IF(WEEKDAY(B4614)=1,2,IF(WEEKDAY(B4614)=7,1,0))))))</f>
        <v>3</v>
      </c>
    </row>
    <row r="4615" spans="2:22">
      <c r="B4615" s="318">
        <f t="shared" si="287"/>
        <v>46305</v>
      </c>
      <c r="C4615" s="312">
        <v>3</v>
      </c>
      <c r="D4615" s="368">
        <f>IFERROR((INDEX(METADATA!$T$2:$T$20,MATCH(B4615,METADATA!$S$2:$S$20,0))),0)</f>
        <v>0</v>
      </c>
      <c r="E4615" s="312" t="str">
        <f t="shared" si="288"/>
        <v>LO</v>
      </c>
      <c r="F4615" s="369">
        <f>VLOOKUP(C4615,METADATA!$A$5:$H$29,IF(E4615="HI",2,IF(E4615="LO",6,10))+IF(D4615=1,2,IF(D4615=7,1,(IF(WEEKDAY(B4615)=1,2,IF(WEEKDAY(B4615)=7,1,0))))))</f>
        <v>3</v>
      </c>
      <c r="G4615" s="369">
        <f>VLOOKUP(C4615,METADATA!$J$5:$Q$29,IF(E4615="HI",2,IF(E4615="LO",6,10))+IF(D4615=1,2,IF(D4615=7,1,(IF(WEEKDAY(B4615)=1,2,IF(WEEKDAY(B4615)=7,1,0))))))</f>
        <v>3</v>
      </c>
      <c r="H4615" s="370">
        <v>12996.225036621094</v>
      </c>
      <c r="I4615" s="370">
        <v>9941.6998901367188</v>
      </c>
      <c r="M4615" s="371">
        <f t="shared" si="289"/>
        <v>16362.740048905054</v>
      </c>
      <c r="N4615" s="329">
        <f t="shared" si="290"/>
        <v>6042.8323791503908</v>
      </c>
      <c r="T4615" s="331">
        <v>0</v>
      </c>
      <c r="U4615" s="328">
        <f>VLOOKUP(C4615,METADATA!$J$5:$Q$29,IF(E4615="HI",2,IF(E4615="LO",6,10))+IF(T4615=1,2,IF(D4615=7,1,(IF(WEEKDAY(B4615)=1,2,IF(WEEKDAY(B4615)=7,1,0))))))</f>
        <v>3</v>
      </c>
      <c r="V4615" s="328">
        <f>VLOOKUP(C4615,METADATA!$A$5:$H$29,IF(E4615="HI",2,IF(E4615="LO",6,10))+IF(T4615=1,2,IF(D4615=7,1,(IF(WEEKDAY(B4615)=1,2,IF(WEEKDAY(B4615)=7,1,0))))))</f>
        <v>3</v>
      </c>
    </row>
    <row r="4616" spans="2:22">
      <c r="B4616" s="318">
        <f t="shared" si="287"/>
        <v>46305</v>
      </c>
      <c r="C4616" s="312">
        <v>4</v>
      </c>
      <c r="D4616" s="368">
        <f>IFERROR((INDEX(METADATA!$T$2:$T$20,MATCH(B4616,METADATA!$S$2:$S$20,0))),0)</f>
        <v>0</v>
      </c>
      <c r="E4616" s="312" t="str">
        <f t="shared" si="288"/>
        <v>LO</v>
      </c>
      <c r="F4616" s="369">
        <f>VLOOKUP(C4616,METADATA!$A$5:$H$29,IF(E4616="HI",2,IF(E4616="LO",6,10))+IF(D4616=1,2,IF(D4616=7,1,(IF(WEEKDAY(B4616)=1,2,IF(WEEKDAY(B4616)=7,1,0))))))</f>
        <v>3</v>
      </c>
      <c r="G4616" s="369">
        <f>VLOOKUP(C4616,METADATA!$J$5:$Q$29,IF(E4616="HI",2,IF(E4616="LO",6,10))+IF(D4616=1,2,IF(D4616=7,1,(IF(WEEKDAY(B4616)=1,2,IF(WEEKDAY(B4616)=7,1,0))))))</f>
        <v>3</v>
      </c>
      <c r="H4616" s="370">
        <v>12986.325073242188</v>
      </c>
      <c r="I4616" s="370">
        <v>9973.7000732421875</v>
      </c>
      <c r="M4616" s="371">
        <f t="shared" si="289"/>
        <v>16374.349820951973</v>
      </c>
      <c r="N4616" s="329">
        <f t="shared" si="290"/>
        <v>6077.8025512695313</v>
      </c>
      <c r="T4616" s="331">
        <v>0</v>
      </c>
      <c r="U4616" s="328">
        <f>VLOOKUP(C4616,METADATA!$J$5:$Q$29,IF(E4616="HI",2,IF(E4616="LO",6,10))+IF(T4616=1,2,IF(D4616=7,1,(IF(WEEKDAY(B4616)=1,2,IF(WEEKDAY(B4616)=7,1,0))))))</f>
        <v>3</v>
      </c>
      <c r="V4616" s="328">
        <f>VLOOKUP(C4616,METADATA!$A$5:$H$29,IF(E4616="HI",2,IF(E4616="LO",6,10))+IF(T4616=1,2,IF(D4616=7,1,(IF(WEEKDAY(B4616)=1,2,IF(WEEKDAY(B4616)=7,1,0))))))</f>
        <v>3</v>
      </c>
    </row>
    <row r="4617" spans="2:22">
      <c r="B4617" s="318">
        <f t="shared" si="287"/>
        <v>46305</v>
      </c>
      <c r="C4617" s="312">
        <v>5</v>
      </c>
      <c r="D4617" s="368">
        <f>IFERROR((INDEX(METADATA!$T$2:$T$20,MATCH(B4617,METADATA!$S$2:$S$20,0))),0)</f>
        <v>0</v>
      </c>
      <c r="E4617" s="312" t="str">
        <f t="shared" si="288"/>
        <v>LO</v>
      </c>
      <c r="F4617" s="369">
        <f>VLOOKUP(C4617,METADATA!$A$5:$H$29,IF(E4617="HI",2,IF(E4617="LO",6,10))+IF(D4617=1,2,IF(D4617=7,1,(IF(WEEKDAY(B4617)=1,2,IF(WEEKDAY(B4617)=7,1,0))))))</f>
        <v>3</v>
      </c>
      <c r="G4617" s="369">
        <f>VLOOKUP(C4617,METADATA!$J$5:$Q$29,IF(E4617="HI",2,IF(E4617="LO",6,10))+IF(D4617=1,2,IF(D4617=7,1,(IF(WEEKDAY(B4617)=1,2,IF(WEEKDAY(B4617)=7,1,0))))))</f>
        <v>3</v>
      </c>
      <c r="H4617" s="370">
        <v>13112.925231933594</v>
      </c>
      <c r="I4617" s="370">
        <v>10031.625061035156</v>
      </c>
      <c r="M4617" s="371">
        <f t="shared" si="289"/>
        <v>16510.066913960989</v>
      </c>
      <c r="N4617" s="329">
        <f t="shared" si="290"/>
        <v>6097.7474914550785</v>
      </c>
      <c r="T4617" s="331">
        <v>0</v>
      </c>
      <c r="U4617" s="328">
        <f>VLOOKUP(C4617,METADATA!$J$5:$Q$29,IF(E4617="HI",2,IF(E4617="LO",6,10))+IF(T4617=1,2,IF(D4617=7,1,(IF(WEEKDAY(B4617)=1,2,IF(WEEKDAY(B4617)=7,1,0))))))</f>
        <v>3</v>
      </c>
      <c r="V4617" s="328">
        <f>VLOOKUP(C4617,METADATA!$A$5:$H$29,IF(E4617="HI",2,IF(E4617="LO",6,10))+IF(T4617=1,2,IF(D4617=7,1,(IF(WEEKDAY(B4617)=1,2,IF(WEEKDAY(B4617)=7,1,0))))))</f>
        <v>3</v>
      </c>
    </row>
    <row r="4618" spans="2:22">
      <c r="B4618" s="318">
        <f t="shared" si="287"/>
        <v>46305</v>
      </c>
      <c r="C4618" s="312">
        <v>6</v>
      </c>
      <c r="D4618" s="368">
        <f>IFERROR((INDEX(METADATA!$T$2:$T$20,MATCH(B4618,METADATA!$S$2:$S$20,0))),0)</f>
        <v>0</v>
      </c>
      <c r="E4618" s="312" t="str">
        <f t="shared" si="288"/>
        <v>LO</v>
      </c>
      <c r="F4618" s="369">
        <f>VLOOKUP(C4618,METADATA!$A$5:$H$29,IF(E4618="HI",2,IF(E4618="LO",6,10))+IF(D4618=1,2,IF(D4618=7,1,(IF(WEEKDAY(B4618)=1,2,IF(WEEKDAY(B4618)=7,1,0))))))</f>
        <v>3</v>
      </c>
      <c r="G4618" s="369">
        <f>VLOOKUP(C4618,METADATA!$J$5:$Q$29,IF(E4618="HI",2,IF(E4618="LO",6,10))+IF(D4618=1,2,IF(D4618=7,1,(IF(WEEKDAY(B4618)=1,2,IF(WEEKDAY(B4618)=7,1,0))))))</f>
        <v>3</v>
      </c>
      <c r="H4618" s="370">
        <v>13153.60009765625</v>
      </c>
      <c r="I4618" s="370">
        <v>10042.050109863281</v>
      </c>
      <c r="M4618" s="371">
        <f t="shared" si="289"/>
        <v>16548.714933132051</v>
      </c>
      <c r="N4618" s="329">
        <f t="shared" si="290"/>
        <v>6095.970080566407</v>
      </c>
      <c r="T4618" s="331">
        <v>0</v>
      </c>
      <c r="U4618" s="328">
        <f>VLOOKUP(C4618,METADATA!$J$5:$Q$29,IF(E4618="HI",2,IF(E4618="LO",6,10))+IF(T4618=1,2,IF(D4618=7,1,(IF(WEEKDAY(B4618)=1,2,IF(WEEKDAY(B4618)=7,1,0))))))</f>
        <v>3</v>
      </c>
      <c r="V4618" s="328">
        <f>VLOOKUP(C4618,METADATA!$A$5:$H$29,IF(E4618="HI",2,IF(E4618="LO",6,10))+IF(T4618=1,2,IF(D4618=7,1,(IF(WEEKDAY(B4618)=1,2,IF(WEEKDAY(B4618)=7,1,0))))))</f>
        <v>3</v>
      </c>
    </row>
    <row r="4619" spans="2:22">
      <c r="B4619" s="318">
        <f t="shared" si="287"/>
        <v>46305</v>
      </c>
      <c r="C4619" s="312">
        <v>7</v>
      </c>
      <c r="D4619" s="368">
        <f>IFERROR((INDEX(METADATA!$T$2:$T$20,MATCH(B4619,METADATA!$S$2:$S$20,0))),0)</f>
        <v>0</v>
      </c>
      <c r="E4619" s="312" t="str">
        <f t="shared" si="288"/>
        <v>LO</v>
      </c>
      <c r="F4619" s="369">
        <f>VLOOKUP(C4619,METADATA!$A$5:$H$29,IF(E4619="HI",2,IF(E4619="LO",6,10))+IF(D4619=1,2,IF(D4619=7,1,(IF(WEEKDAY(B4619)=1,2,IF(WEEKDAY(B4619)=7,1,0))))))</f>
        <v>2</v>
      </c>
      <c r="G4619" s="369">
        <f>VLOOKUP(C4619,METADATA!$J$5:$Q$29,IF(E4619="HI",2,IF(E4619="LO",6,10))+IF(D4619=1,2,IF(D4619=7,1,(IF(WEEKDAY(B4619)=1,2,IF(WEEKDAY(B4619)=7,1,0))))))</f>
        <v>2</v>
      </c>
      <c r="H4619" s="370">
        <v>13031.475036621094</v>
      </c>
      <c r="I4619" s="370">
        <v>9903.5250244140625</v>
      </c>
      <c r="M4619" s="371">
        <f t="shared" si="289"/>
        <v>16367.625042726091</v>
      </c>
      <c r="N4619" s="329">
        <f t="shared" si="290"/>
        <v>5994.0825134277347</v>
      </c>
      <c r="T4619" s="331">
        <v>0</v>
      </c>
      <c r="U4619" s="328">
        <f>VLOOKUP(C4619,METADATA!$J$5:$Q$29,IF(E4619="HI",2,IF(E4619="LO",6,10))+IF(T4619=1,2,IF(D4619=7,1,(IF(WEEKDAY(B4619)=1,2,IF(WEEKDAY(B4619)=7,1,0))))))</f>
        <v>2</v>
      </c>
      <c r="V4619" s="328">
        <f>VLOOKUP(C4619,METADATA!$A$5:$H$29,IF(E4619="HI",2,IF(E4619="LO",6,10))+IF(T4619=1,2,IF(D4619=7,1,(IF(WEEKDAY(B4619)=1,2,IF(WEEKDAY(B4619)=7,1,0))))))</f>
        <v>2</v>
      </c>
    </row>
    <row r="4620" spans="2:22">
      <c r="B4620" s="318">
        <f t="shared" si="287"/>
        <v>46305</v>
      </c>
      <c r="C4620" s="312">
        <v>8</v>
      </c>
      <c r="D4620" s="368">
        <f>IFERROR((INDEX(METADATA!$T$2:$T$20,MATCH(B4620,METADATA!$S$2:$S$20,0))),0)</f>
        <v>0</v>
      </c>
      <c r="E4620" s="312" t="str">
        <f t="shared" si="288"/>
        <v>LO</v>
      </c>
      <c r="F4620" s="369">
        <f>VLOOKUP(C4620,METADATA!$A$5:$H$29,IF(E4620="HI",2,IF(E4620="LO",6,10))+IF(D4620=1,2,IF(D4620=7,1,(IF(WEEKDAY(B4620)=1,2,IF(WEEKDAY(B4620)=7,1,0))))))</f>
        <v>2</v>
      </c>
      <c r="G4620" s="369">
        <f>VLOOKUP(C4620,METADATA!$J$5:$Q$29,IF(E4620="HI",2,IF(E4620="LO",6,10))+IF(D4620=1,2,IF(D4620=7,1,(IF(WEEKDAY(B4620)=1,2,IF(WEEKDAY(B4620)=7,1,0))))))</f>
        <v>2</v>
      </c>
      <c r="H4620" s="370">
        <v>13056.050170898438</v>
      </c>
      <c r="I4620" s="370">
        <v>9794.77490234375</v>
      </c>
      <c r="M4620" s="371">
        <f t="shared" si="289"/>
        <v>16321.705225024747</v>
      </c>
      <c r="N4620" s="329">
        <f t="shared" si="290"/>
        <v>5877.9598510742189</v>
      </c>
      <c r="T4620" s="331">
        <v>0</v>
      </c>
      <c r="U4620" s="328">
        <f>VLOOKUP(C4620,METADATA!$J$5:$Q$29,IF(E4620="HI",2,IF(E4620="LO",6,10))+IF(T4620=1,2,IF(D4620=7,1,(IF(WEEKDAY(B4620)=1,2,IF(WEEKDAY(B4620)=7,1,0))))))</f>
        <v>2</v>
      </c>
      <c r="V4620" s="328">
        <f>VLOOKUP(C4620,METADATA!$A$5:$H$29,IF(E4620="HI",2,IF(E4620="LO",6,10))+IF(T4620=1,2,IF(D4620=7,1,(IF(WEEKDAY(B4620)=1,2,IF(WEEKDAY(B4620)=7,1,0))))))</f>
        <v>2</v>
      </c>
    </row>
    <row r="4621" spans="2:22">
      <c r="B4621" s="318">
        <f t="shared" si="287"/>
        <v>46305</v>
      </c>
      <c r="C4621" s="312">
        <v>9</v>
      </c>
      <c r="D4621" s="368">
        <f>IFERROR((INDEX(METADATA!$T$2:$T$20,MATCH(B4621,METADATA!$S$2:$S$20,0))),0)</f>
        <v>0</v>
      </c>
      <c r="E4621" s="312" t="str">
        <f t="shared" si="288"/>
        <v>LO</v>
      </c>
      <c r="F4621" s="369">
        <f>VLOOKUP(C4621,METADATA!$A$5:$H$29,IF(E4621="HI",2,IF(E4621="LO",6,10))+IF(D4621=1,2,IF(D4621=7,1,(IF(WEEKDAY(B4621)=1,2,IF(WEEKDAY(B4621)=7,1,0))))))</f>
        <v>2</v>
      </c>
      <c r="G4621" s="369">
        <f>VLOOKUP(C4621,METADATA!$J$5:$Q$29,IF(E4621="HI",2,IF(E4621="LO",6,10))+IF(D4621=1,2,IF(D4621=7,1,(IF(WEEKDAY(B4621)=1,2,IF(WEEKDAY(B4621)=7,1,0))))))</f>
        <v>2</v>
      </c>
      <c r="H4621" s="370">
        <v>12777.900268554688</v>
      </c>
      <c r="I4621" s="370">
        <v>9720.3750610351563</v>
      </c>
      <c r="M4621" s="371">
        <f t="shared" si="289"/>
        <v>16054.919077974953</v>
      </c>
      <c r="N4621" s="329">
        <f t="shared" si="290"/>
        <v>5887.0049804687496</v>
      </c>
      <c r="T4621" s="331">
        <v>0</v>
      </c>
      <c r="U4621" s="328">
        <f>VLOOKUP(C4621,METADATA!$J$5:$Q$29,IF(E4621="HI",2,IF(E4621="LO",6,10))+IF(T4621=1,2,IF(D4621=7,1,(IF(WEEKDAY(B4621)=1,2,IF(WEEKDAY(B4621)=7,1,0))))))</f>
        <v>2</v>
      </c>
      <c r="V4621" s="328">
        <f>VLOOKUP(C4621,METADATA!$A$5:$H$29,IF(E4621="HI",2,IF(E4621="LO",6,10))+IF(T4621=1,2,IF(D4621=7,1,(IF(WEEKDAY(B4621)=1,2,IF(WEEKDAY(B4621)=7,1,0))))))</f>
        <v>2</v>
      </c>
    </row>
    <row r="4622" spans="2:22">
      <c r="B4622" s="318">
        <f t="shared" si="287"/>
        <v>46305</v>
      </c>
      <c r="C4622" s="312">
        <v>10</v>
      </c>
      <c r="D4622" s="368">
        <f>IFERROR((INDEX(METADATA!$T$2:$T$20,MATCH(B4622,METADATA!$S$2:$S$20,0))),0)</f>
        <v>0</v>
      </c>
      <c r="E4622" s="312" t="str">
        <f t="shared" si="288"/>
        <v>LO</v>
      </c>
      <c r="F4622" s="369">
        <f>VLOOKUP(C4622,METADATA!$A$5:$H$29,IF(E4622="HI",2,IF(E4622="LO",6,10))+IF(D4622=1,2,IF(D4622=7,1,(IF(WEEKDAY(B4622)=1,2,IF(WEEKDAY(B4622)=7,1,0))))))</f>
        <v>2</v>
      </c>
      <c r="G4622" s="369">
        <f>VLOOKUP(C4622,METADATA!$J$5:$Q$29,IF(E4622="HI",2,IF(E4622="LO",6,10))+IF(D4622=1,2,IF(D4622=7,1,(IF(WEEKDAY(B4622)=1,2,IF(WEEKDAY(B4622)=7,1,0))))))</f>
        <v>2</v>
      </c>
      <c r="H4622" s="370">
        <v>13017.625061035156</v>
      </c>
      <c r="I4622" s="370">
        <v>10049.550048828125</v>
      </c>
      <c r="M4622" s="371">
        <f t="shared" si="289"/>
        <v>16445.425455536013</v>
      </c>
      <c r="N4622" s="329">
        <f t="shared" si="290"/>
        <v>6144.2625305175789</v>
      </c>
      <c r="T4622" s="331">
        <v>0</v>
      </c>
      <c r="U4622" s="328">
        <f>VLOOKUP(C4622,METADATA!$J$5:$Q$29,IF(E4622="HI",2,IF(E4622="LO",6,10))+IF(T4622=1,2,IF(D4622=7,1,(IF(WEEKDAY(B4622)=1,2,IF(WEEKDAY(B4622)=7,1,0))))))</f>
        <v>2</v>
      </c>
      <c r="V4622" s="328">
        <f>VLOOKUP(C4622,METADATA!$A$5:$H$29,IF(E4622="HI",2,IF(E4622="LO",6,10))+IF(T4622=1,2,IF(D4622=7,1,(IF(WEEKDAY(B4622)=1,2,IF(WEEKDAY(B4622)=7,1,0))))))</f>
        <v>2</v>
      </c>
    </row>
    <row r="4623" spans="2:22">
      <c r="B4623" s="318">
        <f t="shared" si="287"/>
        <v>46305</v>
      </c>
      <c r="C4623" s="312">
        <v>11</v>
      </c>
      <c r="D4623" s="368">
        <f>IFERROR((INDEX(METADATA!$T$2:$T$20,MATCH(B4623,METADATA!$S$2:$S$20,0))),0)</f>
        <v>0</v>
      </c>
      <c r="E4623" s="312" t="str">
        <f t="shared" si="288"/>
        <v>LO</v>
      </c>
      <c r="F4623" s="369">
        <f>VLOOKUP(C4623,METADATA!$A$5:$H$29,IF(E4623="HI",2,IF(E4623="LO",6,10))+IF(D4623=1,2,IF(D4623=7,1,(IF(WEEKDAY(B4623)=1,2,IF(WEEKDAY(B4623)=7,1,0))))))</f>
        <v>2</v>
      </c>
      <c r="G4623" s="369">
        <f>VLOOKUP(C4623,METADATA!$J$5:$Q$29,IF(E4623="HI",2,IF(E4623="LO",6,10))+IF(D4623=1,2,IF(D4623=7,1,(IF(WEEKDAY(B4623)=1,2,IF(WEEKDAY(B4623)=7,1,0))))))</f>
        <v>2</v>
      </c>
      <c r="H4623" s="370">
        <v>12919.27490234375</v>
      </c>
      <c r="I4623" s="370">
        <v>10015.249938964844</v>
      </c>
      <c r="M4623" s="371">
        <f t="shared" si="289"/>
        <v>16346.647831964339</v>
      </c>
      <c r="N4623" s="329">
        <f t="shared" si="290"/>
        <v>6139.4674682617188</v>
      </c>
      <c r="T4623" s="331">
        <v>0</v>
      </c>
      <c r="U4623" s="328">
        <f>VLOOKUP(C4623,METADATA!$J$5:$Q$29,IF(E4623="HI",2,IF(E4623="LO",6,10))+IF(T4623=1,2,IF(D4623=7,1,(IF(WEEKDAY(B4623)=1,2,IF(WEEKDAY(B4623)=7,1,0))))))</f>
        <v>2</v>
      </c>
      <c r="V4623" s="328">
        <f>VLOOKUP(C4623,METADATA!$A$5:$H$29,IF(E4623="HI",2,IF(E4623="LO",6,10))+IF(T4623=1,2,IF(D4623=7,1,(IF(WEEKDAY(B4623)=1,2,IF(WEEKDAY(B4623)=7,1,0))))))</f>
        <v>2</v>
      </c>
    </row>
    <row r="4624" spans="2:22">
      <c r="B4624" s="318">
        <f t="shared" si="287"/>
        <v>46305</v>
      </c>
      <c r="C4624" s="312">
        <v>12</v>
      </c>
      <c r="D4624" s="368">
        <f>IFERROR((INDEX(METADATA!$T$2:$T$20,MATCH(B4624,METADATA!$S$2:$S$20,0))),0)</f>
        <v>0</v>
      </c>
      <c r="E4624" s="312" t="str">
        <f t="shared" si="288"/>
        <v>LO</v>
      </c>
      <c r="F4624" s="369">
        <f>VLOOKUP(C4624,METADATA!$A$5:$H$29,IF(E4624="HI",2,IF(E4624="LO",6,10))+IF(D4624=1,2,IF(D4624=7,1,(IF(WEEKDAY(B4624)=1,2,IF(WEEKDAY(B4624)=7,1,0))))))</f>
        <v>3</v>
      </c>
      <c r="G4624" s="369">
        <f>VLOOKUP(C4624,METADATA!$J$5:$Q$29,IF(E4624="HI",2,IF(E4624="LO",6,10))+IF(D4624=1,2,IF(D4624=7,1,(IF(WEEKDAY(B4624)=1,2,IF(WEEKDAY(B4624)=7,1,0))))))</f>
        <v>3</v>
      </c>
      <c r="H4624" s="370">
        <v>12937.925109863281</v>
      </c>
      <c r="I4624" s="370">
        <v>9882.7500610351563</v>
      </c>
      <c r="M4624" s="371">
        <f t="shared" si="289"/>
        <v>16280.622067885526</v>
      </c>
      <c r="N4624" s="329">
        <f t="shared" si="290"/>
        <v>6001.3725280761719</v>
      </c>
      <c r="T4624" s="331">
        <v>0</v>
      </c>
      <c r="U4624" s="328">
        <f>VLOOKUP(C4624,METADATA!$J$5:$Q$29,IF(E4624="HI",2,IF(E4624="LO",6,10))+IF(T4624=1,2,IF(D4624=7,1,(IF(WEEKDAY(B4624)=1,2,IF(WEEKDAY(B4624)=7,1,0))))))</f>
        <v>3</v>
      </c>
      <c r="V4624" s="328">
        <f>VLOOKUP(C4624,METADATA!$A$5:$H$29,IF(E4624="HI",2,IF(E4624="LO",6,10))+IF(T4624=1,2,IF(D4624=7,1,(IF(WEEKDAY(B4624)=1,2,IF(WEEKDAY(B4624)=7,1,0))))))</f>
        <v>3</v>
      </c>
    </row>
    <row r="4625" spans="2:22">
      <c r="B4625" s="318">
        <f t="shared" si="287"/>
        <v>46305</v>
      </c>
      <c r="C4625" s="312">
        <v>13</v>
      </c>
      <c r="D4625" s="368">
        <f>IFERROR((INDEX(METADATA!$T$2:$T$20,MATCH(B4625,METADATA!$S$2:$S$20,0))),0)</f>
        <v>0</v>
      </c>
      <c r="E4625" s="312" t="str">
        <f t="shared" si="288"/>
        <v>LO</v>
      </c>
      <c r="F4625" s="369">
        <f>VLOOKUP(C4625,METADATA!$A$5:$H$29,IF(E4625="HI",2,IF(E4625="LO",6,10))+IF(D4625=1,2,IF(D4625=7,1,(IF(WEEKDAY(B4625)=1,2,IF(WEEKDAY(B4625)=7,1,0))))))</f>
        <v>3</v>
      </c>
      <c r="G4625" s="369">
        <f>VLOOKUP(C4625,METADATA!$J$5:$Q$29,IF(E4625="HI",2,IF(E4625="LO",6,10))+IF(D4625=1,2,IF(D4625=7,1,(IF(WEEKDAY(B4625)=1,2,IF(WEEKDAY(B4625)=7,1,0))))))</f>
        <v>3</v>
      </c>
      <c r="H4625" s="370">
        <v>12821.324890136719</v>
      </c>
      <c r="I4625" s="370">
        <v>9764.0000610351563</v>
      </c>
      <c r="M4625" s="371">
        <f t="shared" si="289"/>
        <v>16115.894921794876</v>
      </c>
      <c r="N4625" s="329">
        <f t="shared" si="290"/>
        <v>5917.602593994141</v>
      </c>
      <c r="T4625" s="331">
        <v>0</v>
      </c>
      <c r="U4625" s="328">
        <f>VLOOKUP(C4625,METADATA!$J$5:$Q$29,IF(E4625="HI",2,IF(E4625="LO",6,10))+IF(T4625=1,2,IF(D4625=7,1,(IF(WEEKDAY(B4625)=1,2,IF(WEEKDAY(B4625)=7,1,0))))))</f>
        <v>3</v>
      </c>
      <c r="V4625" s="328">
        <f>VLOOKUP(C4625,METADATA!$A$5:$H$29,IF(E4625="HI",2,IF(E4625="LO",6,10))+IF(T4625=1,2,IF(D4625=7,1,(IF(WEEKDAY(B4625)=1,2,IF(WEEKDAY(B4625)=7,1,0))))))</f>
        <v>3</v>
      </c>
    </row>
    <row r="4626" spans="2:22">
      <c r="B4626" s="318">
        <f t="shared" si="287"/>
        <v>46305</v>
      </c>
      <c r="C4626" s="312">
        <v>14</v>
      </c>
      <c r="D4626" s="368">
        <f>IFERROR((INDEX(METADATA!$T$2:$T$20,MATCH(B4626,METADATA!$S$2:$S$20,0))),0)</f>
        <v>0</v>
      </c>
      <c r="E4626" s="312" t="str">
        <f t="shared" si="288"/>
        <v>LO</v>
      </c>
      <c r="F4626" s="369">
        <f>VLOOKUP(C4626,METADATA!$A$5:$H$29,IF(E4626="HI",2,IF(E4626="LO",6,10))+IF(D4626=1,2,IF(D4626=7,1,(IF(WEEKDAY(B4626)=1,2,IF(WEEKDAY(B4626)=7,1,0))))))</f>
        <v>3</v>
      </c>
      <c r="G4626" s="369">
        <f>VLOOKUP(C4626,METADATA!$J$5:$Q$29,IF(E4626="HI",2,IF(E4626="LO",6,10))+IF(D4626=1,2,IF(D4626=7,1,(IF(WEEKDAY(B4626)=1,2,IF(WEEKDAY(B4626)=7,1,0))))))</f>
        <v>3</v>
      </c>
      <c r="H4626" s="370">
        <v>13033.250244140625</v>
      </c>
      <c r="I4626" s="370">
        <v>9838.5250854492188</v>
      </c>
      <c r="M4626" s="371">
        <f t="shared" si="289"/>
        <v>16329.794480746083</v>
      </c>
      <c r="N4626" s="329">
        <f t="shared" si="290"/>
        <v>5928.5500122070316</v>
      </c>
      <c r="T4626" s="331">
        <v>0</v>
      </c>
      <c r="U4626" s="328">
        <f>VLOOKUP(C4626,METADATA!$J$5:$Q$29,IF(E4626="HI",2,IF(E4626="LO",6,10))+IF(T4626=1,2,IF(D4626=7,1,(IF(WEEKDAY(B4626)=1,2,IF(WEEKDAY(B4626)=7,1,0))))))</f>
        <v>3</v>
      </c>
      <c r="V4626" s="328">
        <f>VLOOKUP(C4626,METADATA!$A$5:$H$29,IF(E4626="HI",2,IF(E4626="LO",6,10))+IF(T4626=1,2,IF(D4626=7,1,(IF(WEEKDAY(B4626)=1,2,IF(WEEKDAY(B4626)=7,1,0))))))</f>
        <v>3</v>
      </c>
    </row>
    <row r="4627" spans="2:22">
      <c r="B4627" s="318">
        <f t="shared" si="287"/>
        <v>46305</v>
      </c>
      <c r="C4627" s="312">
        <v>15</v>
      </c>
      <c r="D4627" s="368">
        <f>IFERROR((INDEX(METADATA!$T$2:$T$20,MATCH(B4627,METADATA!$S$2:$S$20,0))),0)</f>
        <v>0</v>
      </c>
      <c r="E4627" s="312" t="str">
        <f t="shared" si="288"/>
        <v>LO</v>
      </c>
      <c r="F4627" s="369">
        <f>VLOOKUP(C4627,METADATA!$A$5:$H$29,IF(E4627="HI",2,IF(E4627="LO",6,10))+IF(D4627=1,2,IF(D4627=7,1,(IF(WEEKDAY(B4627)=1,2,IF(WEEKDAY(B4627)=7,1,0))))))</f>
        <v>3</v>
      </c>
      <c r="G4627" s="369">
        <f>VLOOKUP(C4627,METADATA!$J$5:$Q$29,IF(E4627="HI",2,IF(E4627="LO",6,10))+IF(D4627=1,2,IF(D4627=7,1,(IF(WEEKDAY(B4627)=1,2,IF(WEEKDAY(B4627)=7,1,0))))))</f>
        <v>3</v>
      </c>
      <c r="H4627" s="370">
        <v>12692.924926757813</v>
      </c>
      <c r="I4627" s="370">
        <v>9757.3749389648438</v>
      </c>
      <c r="M4627" s="371">
        <f t="shared" si="289"/>
        <v>16009.89409383613</v>
      </c>
      <c r="N4627" s="329">
        <f t="shared" si="290"/>
        <v>5949.4974609375004</v>
      </c>
      <c r="T4627" s="331">
        <v>0</v>
      </c>
      <c r="U4627" s="328">
        <f>VLOOKUP(C4627,METADATA!$J$5:$Q$29,IF(E4627="HI",2,IF(E4627="LO",6,10))+IF(T4627=1,2,IF(D4627=7,1,(IF(WEEKDAY(B4627)=1,2,IF(WEEKDAY(B4627)=7,1,0))))))</f>
        <v>3</v>
      </c>
      <c r="V4627" s="328">
        <f>VLOOKUP(C4627,METADATA!$A$5:$H$29,IF(E4627="HI",2,IF(E4627="LO",6,10))+IF(T4627=1,2,IF(D4627=7,1,(IF(WEEKDAY(B4627)=1,2,IF(WEEKDAY(B4627)=7,1,0))))))</f>
        <v>3</v>
      </c>
    </row>
    <row r="4628" spans="2:22">
      <c r="B4628" s="318">
        <f t="shared" si="287"/>
        <v>46305</v>
      </c>
      <c r="C4628" s="312">
        <v>16</v>
      </c>
      <c r="D4628" s="368">
        <f>IFERROR((INDEX(METADATA!$T$2:$T$20,MATCH(B4628,METADATA!$S$2:$S$20,0))),0)</f>
        <v>0</v>
      </c>
      <c r="E4628" s="312" t="str">
        <f t="shared" si="288"/>
        <v>LO</v>
      </c>
      <c r="F4628" s="369">
        <f>VLOOKUP(C4628,METADATA!$A$5:$H$29,IF(E4628="HI",2,IF(E4628="LO",6,10))+IF(D4628=1,2,IF(D4628=7,1,(IF(WEEKDAY(B4628)=1,2,IF(WEEKDAY(B4628)=7,1,0))))))</f>
        <v>3</v>
      </c>
      <c r="G4628" s="369">
        <f>VLOOKUP(C4628,METADATA!$J$5:$Q$29,IF(E4628="HI",2,IF(E4628="LO",6,10))+IF(D4628=1,2,IF(D4628=7,1,(IF(WEEKDAY(B4628)=1,2,IF(WEEKDAY(B4628)=7,1,0))))))</f>
        <v>3</v>
      </c>
      <c r="H4628" s="370">
        <v>13025.299865722656</v>
      </c>
      <c r="I4628" s="370">
        <v>9888.4500122070313</v>
      </c>
      <c r="M4628" s="371">
        <f t="shared" si="289"/>
        <v>16353.589215701606</v>
      </c>
      <c r="N4628" s="329">
        <f t="shared" si="290"/>
        <v>5980.860052490234</v>
      </c>
      <c r="T4628" s="331">
        <v>0</v>
      </c>
      <c r="U4628" s="328">
        <f>VLOOKUP(C4628,METADATA!$J$5:$Q$29,IF(E4628="HI",2,IF(E4628="LO",6,10))+IF(T4628=1,2,IF(D4628=7,1,(IF(WEEKDAY(B4628)=1,2,IF(WEEKDAY(B4628)=7,1,0))))))</f>
        <v>3</v>
      </c>
      <c r="V4628" s="328">
        <f>VLOOKUP(C4628,METADATA!$A$5:$H$29,IF(E4628="HI",2,IF(E4628="LO",6,10))+IF(T4628=1,2,IF(D4628=7,1,(IF(WEEKDAY(B4628)=1,2,IF(WEEKDAY(B4628)=7,1,0))))))</f>
        <v>3</v>
      </c>
    </row>
    <row r="4629" spans="2:22">
      <c r="B4629" s="318">
        <f t="shared" si="287"/>
        <v>46305</v>
      </c>
      <c r="C4629" s="312">
        <v>17</v>
      </c>
      <c r="D4629" s="368">
        <f>IFERROR((INDEX(METADATA!$T$2:$T$20,MATCH(B4629,METADATA!$S$2:$S$20,0))),0)</f>
        <v>0</v>
      </c>
      <c r="E4629" s="312" t="str">
        <f t="shared" si="288"/>
        <v>LO</v>
      </c>
      <c r="F4629" s="369">
        <f>VLOOKUP(C4629,METADATA!$A$5:$H$29,IF(E4629="HI",2,IF(E4629="LO",6,10))+IF(D4629=1,2,IF(D4629=7,1,(IF(WEEKDAY(B4629)=1,2,IF(WEEKDAY(B4629)=7,1,0))))))</f>
        <v>3</v>
      </c>
      <c r="G4629" s="369">
        <f>VLOOKUP(C4629,METADATA!$J$5:$Q$29,IF(E4629="HI",2,IF(E4629="LO",6,10))+IF(D4629=1,2,IF(D4629=7,1,(IF(WEEKDAY(B4629)=1,2,IF(WEEKDAY(B4629)=7,1,0))))))</f>
        <v>3</v>
      </c>
      <c r="H4629" s="370">
        <v>12610.074890136719</v>
      </c>
      <c r="I4629" s="370">
        <v>9682.0499877929688</v>
      </c>
      <c r="M4629" s="371">
        <f t="shared" si="289"/>
        <v>15898.304334141374</v>
      </c>
      <c r="N4629" s="329">
        <f t="shared" si="290"/>
        <v>5899.0275207519535</v>
      </c>
      <c r="T4629" s="331">
        <v>0</v>
      </c>
      <c r="U4629" s="328">
        <f>VLOOKUP(C4629,METADATA!$J$5:$Q$29,IF(E4629="HI",2,IF(E4629="LO",6,10))+IF(T4629=1,2,IF(D4629=7,1,(IF(WEEKDAY(B4629)=1,2,IF(WEEKDAY(B4629)=7,1,0))))))</f>
        <v>3</v>
      </c>
      <c r="V4629" s="328">
        <f>VLOOKUP(C4629,METADATA!$A$5:$H$29,IF(E4629="HI",2,IF(E4629="LO",6,10))+IF(T4629=1,2,IF(D4629=7,1,(IF(WEEKDAY(B4629)=1,2,IF(WEEKDAY(B4629)=7,1,0))))))</f>
        <v>3</v>
      </c>
    </row>
    <row r="4630" spans="2:22">
      <c r="B4630" s="318">
        <f t="shared" si="287"/>
        <v>46305</v>
      </c>
      <c r="C4630" s="312">
        <v>18</v>
      </c>
      <c r="D4630" s="368">
        <f>IFERROR((INDEX(METADATA!$T$2:$T$20,MATCH(B4630,METADATA!$S$2:$S$20,0))),0)</f>
        <v>0</v>
      </c>
      <c r="E4630" s="312" t="str">
        <f t="shared" si="288"/>
        <v>LO</v>
      </c>
      <c r="F4630" s="369">
        <f>VLOOKUP(C4630,METADATA!$A$5:$H$29,IF(E4630="HI",2,IF(E4630="LO",6,10))+IF(D4630=1,2,IF(D4630=7,1,(IF(WEEKDAY(B4630)=1,2,IF(WEEKDAY(B4630)=7,1,0))))))</f>
        <v>2</v>
      </c>
      <c r="G4630" s="369">
        <f>VLOOKUP(C4630,METADATA!$J$5:$Q$29,IF(E4630="HI",2,IF(E4630="LO",6,10))+IF(D4630=1,2,IF(D4630=7,1,(IF(WEEKDAY(B4630)=1,2,IF(WEEKDAY(B4630)=7,1,0))))))</f>
        <v>2</v>
      </c>
      <c r="H4630" s="370">
        <v>13025.649963378906</v>
      </c>
      <c r="I4630" s="370">
        <v>9957.25</v>
      </c>
      <c r="M4630" s="371">
        <f t="shared" si="289"/>
        <v>16395.559902942408</v>
      </c>
      <c r="N4630" s="329">
        <f t="shared" si="290"/>
        <v>6049.5550109863289</v>
      </c>
      <c r="T4630" s="331">
        <v>0</v>
      </c>
      <c r="U4630" s="328">
        <f>VLOOKUP(C4630,METADATA!$J$5:$Q$29,IF(E4630="HI",2,IF(E4630="LO",6,10))+IF(T4630=1,2,IF(D4630=7,1,(IF(WEEKDAY(B4630)=1,2,IF(WEEKDAY(B4630)=7,1,0))))))</f>
        <v>2</v>
      </c>
      <c r="V4630" s="328">
        <f>VLOOKUP(C4630,METADATA!$A$5:$H$29,IF(E4630="HI",2,IF(E4630="LO",6,10))+IF(T4630=1,2,IF(D4630=7,1,(IF(WEEKDAY(B4630)=1,2,IF(WEEKDAY(B4630)=7,1,0))))))</f>
        <v>2</v>
      </c>
    </row>
    <row r="4631" spans="2:22">
      <c r="B4631" s="318">
        <f t="shared" si="287"/>
        <v>46305</v>
      </c>
      <c r="C4631" s="312">
        <v>19</v>
      </c>
      <c r="D4631" s="368">
        <f>IFERROR((INDEX(METADATA!$T$2:$T$20,MATCH(B4631,METADATA!$S$2:$S$20,0))),0)</f>
        <v>0</v>
      </c>
      <c r="E4631" s="312" t="str">
        <f t="shared" si="288"/>
        <v>LO</v>
      </c>
      <c r="F4631" s="369">
        <f>VLOOKUP(C4631,METADATA!$A$5:$H$29,IF(E4631="HI",2,IF(E4631="LO",6,10))+IF(D4631=1,2,IF(D4631=7,1,(IF(WEEKDAY(B4631)=1,2,IF(WEEKDAY(B4631)=7,1,0))))))</f>
        <v>2</v>
      </c>
      <c r="G4631" s="369">
        <f>VLOOKUP(C4631,METADATA!$J$5:$Q$29,IF(E4631="HI",2,IF(E4631="LO",6,10))+IF(D4631=1,2,IF(D4631=7,1,(IF(WEEKDAY(B4631)=1,2,IF(WEEKDAY(B4631)=7,1,0))))))</f>
        <v>2</v>
      </c>
      <c r="H4631" s="370">
        <v>13148.575073242188</v>
      </c>
      <c r="I4631" s="370">
        <v>9987.074951171875</v>
      </c>
      <c r="M4631" s="371">
        <f t="shared" si="289"/>
        <v>16511.410979592583</v>
      </c>
      <c r="N4631" s="329">
        <f t="shared" si="290"/>
        <v>6042.5024291992195</v>
      </c>
      <c r="T4631" s="331">
        <v>0</v>
      </c>
      <c r="U4631" s="328">
        <f>VLOOKUP(C4631,METADATA!$J$5:$Q$29,IF(E4631="HI",2,IF(E4631="LO",6,10))+IF(T4631=1,2,IF(D4631=7,1,(IF(WEEKDAY(B4631)=1,2,IF(WEEKDAY(B4631)=7,1,0))))))</f>
        <v>2</v>
      </c>
      <c r="V4631" s="328">
        <f>VLOOKUP(C4631,METADATA!$A$5:$H$29,IF(E4631="HI",2,IF(E4631="LO",6,10))+IF(T4631=1,2,IF(D4631=7,1,(IF(WEEKDAY(B4631)=1,2,IF(WEEKDAY(B4631)=7,1,0))))))</f>
        <v>2</v>
      </c>
    </row>
    <row r="4632" spans="2:22">
      <c r="B4632" s="318">
        <f t="shared" si="287"/>
        <v>46305</v>
      </c>
      <c r="C4632" s="312">
        <v>20</v>
      </c>
      <c r="D4632" s="368">
        <f>IFERROR((INDEX(METADATA!$T$2:$T$20,MATCH(B4632,METADATA!$S$2:$S$20,0))),0)</f>
        <v>0</v>
      </c>
      <c r="E4632" s="312" t="str">
        <f t="shared" si="288"/>
        <v>LO</v>
      </c>
      <c r="F4632" s="369">
        <f>VLOOKUP(C4632,METADATA!$A$5:$H$29,IF(E4632="HI",2,IF(E4632="LO",6,10))+IF(D4632=1,2,IF(D4632=7,1,(IF(WEEKDAY(B4632)=1,2,IF(WEEKDAY(B4632)=7,1,0))))))</f>
        <v>3</v>
      </c>
      <c r="G4632" s="369">
        <f>VLOOKUP(C4632,METADATA!$J$5:$Q$29,IF(E4632="HI",2,IF(E4632="LO",6,10))+IF(D4632=1,2,IF(D4632=7,1,(IF(WEEKDAY(B4632)=1,2,IF(WEEKDAY(B4632)=7,1,0))))))</f>
        <v>3</v>
      </c>
      <c r="H4632" s="370">
        <v>13028.875183105469</v>
      </c>
      <c r="I4632" s="370">
        <v>9948.3998413085938</v>
      </c>
      <c r="M4632" s="371">
        <f t="shared" si="289"/>
        <v>16392.749858992251</v>
      </c>
      <c r="N4632" s="329">
        <f t="shared" si="290"/>
        <v>6039.7372863769533</v>
      </c>
      <c r="T4632" s="331">
        <v>0</v>
      </c>
      <c r="U4632" s="328">
        <f>VLOOKUP(C4632,METADATA!$J$5:$Q$29,IF(E4632="HI",2,IF(E4632="LO",6,10))+IF(T4632=1,2,IF(D4632=7,1,(IF(WEEKDAY(B4632)=1,2,IF(WEEKDAY(B4632)=7,1,0))))))</f>
        <v>3</v>
      </c>
      <c r="V4632" s="328">
        <f>VLOOKUP(C4632,METADATA!$A$5:$H$29,IF(E4632="HI",2,IF(E4632="LO",6,10))+IF(T4632=1,2,IF(D4632=7,1,(IF(WEEKDAY(B4632)=1,2,IF(WEEKDAY(B4632)=7,1,0))))))</f>
        <v>3</v>
      </c>
    </row>
    <row r="4633" spans="2:22">
      <c r="B4633" s="318">
        <f t="shared" si="287"/>
        <v>46305</v>
      </c>
      <c r="C4633" s="312">
        <v>21</v>
      </c>
      <c r="D4633" s="368">
        <f>IFERROR((INDEX(METADATA!$T$2:$T$20,MATCH(B4633,METADATA!$S$2:$S$20,0))),0)</f>
        <v>0</v>
      </c>
      <c r="E4633" s="312" t="str">
        <f t="shared" si="288"/>
        <v>LO</v>
      </c>
      <c r="F4633" s="369">
        <f>VLOOKUP(C4633,METADATA!$A$5:$H$29,IF(E4633="HI",2,IF(E4633="LO",6,10))+IF(D4633=1,2,IF(D4633=7,1,(IF(WEEKDAY(B4633)=1,2,IF(WEEKDAY(B4633)=7,1,0))))))</f>
        <v>3</v>
      </c>
      <c r="G4633" s="369">
        <f>VLOOKUP(C4633,METADATA!$J$5:$Q$29,IF(E4633="HI",2,IF(E4633="LO",6,10))+IF(D4633=1,2,IF(D4633=7,1,(IF(WEEKDAY(B4633)=1,2,IF(WEEKDAY(B4633)=7,1,0))))))</f>
        <v>3</v>
      </c>
      <c r="H4633" s="370">
        <v>12644.450134277344</v>
      </c>
      <c r="I4633" s="370">
        <v>9775.5</v>
      </c>
      <c r="M4633" s="371">
        <f t="shared" si="289"/>
        <v>15982.569238023852</v>
      </c>
      <c r="N4633" s="329">
        <f t="shared" si="290"/>
        <v>5982.1649597167971</v>
      </c>
      <c r="T4633" s="331">
        <v>0</v>
      </c>
      <c r="U4633" s="328">
        <f>VLOOKUP(C4633,METADATA!$J$5:$Q$29,IF(E4633="HI",2,IF(E4633="LO",6,10))+IF(T4633=1,2,IF(D4633=7,1,(IF(WEEKDAY(B4633)=1,2,IF(WEEKDAY(B4633)=7,1,0))))))</f>
        <v>3</v>
      </c>
      <c r="V4633" s="328">
        <f>VLOOKUP(C4633,METADATA!$A$5:$H$29,IF(E4633="HI",2,IF(E4633="LO",6,10))+IF(T4633=1,2,IF(D4633=7,1,(IF(WEEKDAY(B4633)=1,2,IF(WEEKDAY(B4633)=7,1,0))))))</f>
        <v>3</v>
      </c>
    </row>
    <row r="4634" spans="2:22">
      <c r="B4634" s="318">
        <f t="shared" si="287"/>
        <v>46305</v>
      </c>
      <c r="C4634" s="312">
        <v>22</v>
      </c>
      <c r="D4634" s="368">
        <f>IFERROR((INDEX(METADATA!$T$2:$T$20,MATCH(B4634,METADATA!$S$2:$S$20,0))),0)</f>
        <v>0</v>
      </c>
      <c r="E4634" s="312" t="str">
        <f t="shared" si="288"/>
        <v>LO</v>
      </c>
      <c r="F4634" s="369">
        <f>VLOOKUP(C4634,METADATA!$A$5:$H$29,IF(E4634="HI",2,IF(E4634="LO",6,10))+IF(D4634=1,2,IF(D4634=7,1,(IF(WEEKDAY(B4634)=1,2,IF(WEEKDAY(B4634)=7,1,0))))))</f>
        <v>3</v>
      </c>
      <c r="G4634" s="369">
        <f>VLOOKUP(C4634,METADATA!$J$5:$Q$29,IF(E4634="HI",2,IF(E4634="LO",6,10))+IF(D4634=1,2,IF(D4634=7,1,(IF(WEEKDAY(B4634)=1,2,IF(WEEKDAY(B4634)=7,1,0))))))</f>
        <v>3</v>
      </c>
      <c r="H4634" s="370">
        <v>13080.675231933594</v>
      </c>
      <c r="I4634" s="370">
        <v>10027.099731445313</v>
      </c>
      <c r="M4634" s="371">
        <f t="shared" si="289"/>
        <v>16481.710880478142</v>
      </c>
      <c r="N4634" s="329">
        <f t="shared" si="290"/>
        <v>6102.897161865234</v>
      </c>
      <c r="T4634" s="331">
        <v>0</v>
      </c>
      <c r="U4634" s="328">
        <f>VLOOKUP(C4634,METADATA!$J$5:$Q$29,IF(E4634="HI",2,IF(E4634="LO",6,10))+IF(T4634=1,2,IF(D4634=7,1,(IF(WEEKDAY(B4634)=1,2,IF(WEEKDAY(B4634)=7,1,0))))))</f>
        <v>3</v>
      </c>
      <c r="V4634" s="328">
        <f>VLOOKUP(C4634,METADATA!$A$5:$H$29,IF(E4634="HI",2,IF(E4634="LO",6,10))+IF(T4634=1,2,IF(D4634=7,1,(IF(WEEKDAY(B4634)=1,2,IF(WEEKDAY(B4634)=7,1,0))))))</f>
        <v>3</v>
      </c>
    </row>
    <row r="4635" spans="2:22">
      <c r="B4635" s="318">
        <f t="shared" si="287"/>
        <v>46305</v>
      </c>
      <c r="C4635" s="312">
        <v>23</v>
      </c>
      <c r="D4635" s="368">
        <f>IFERROR((INDEX(METADATA!$T$2:$T$20,MATCH(B4635,METADATA!$S$2:$S$20,0))),0)</f>
        <v>0</v>
      </c>
      <c r="E4635" s="312" t="str">
        <f t="shared" si="288"/>
        <v>LO</v>
      </c>
      <c r="F4635" s="369">
        <f>VLOOKUP(C4635,METADATA!$A$5:$H$29,IF(E4635="HI",2,IF(E4635="LO",6,10))+IF(D4635=1,2,IF(D4635=7,1,(IF(WEEKDAY(B4635)=1,2,IF(WEEKDAY(B4635)=7,1,0))))))</f>
        <v>3</v>
      </c>
      <c r="G4635" s="369">
        <f>VLOOKUP(C4635,METADATA!$J$5:$Q$29,IF(E4635="HI",2,IF(E4635="LO",6,10))+IF(D4635=1,2,IF(D4635=7,1,(IF(WEEKDAY(B4635)=1,2,IF(WEEKDAY(B4635)=7,1,0))))))</f>
        <v>3</v>
      </c>
      <c r="H4635" s="370">
        <v>13130.57470703125</v>
      </c>
      <c r="I4635" s="370">
        <v>10024.224914550781</v>
      </c>
      <c r="M4635" s="371">
        <f t="shared" si="289"/>
        <v>16519.596764885922</v>
      </c>
      <c r="N4635" s="329">
        <f t="shared" si="290"/>
        <v>6085.0525024414064</v>
      </c>
      <c r="T4635" s="331">
        <v>0</v>
      </c>
      <c r="U4635" s="328">
        <f>VLOOKUP(C4635,METADATA!$J$5:$Q$29,IF(E4635="HI",2,IF(E4635="LO",6,10))+IF(T4635=1,2,IF(D4635=7,1,(IF(WEEKDAY(B4635)=1,2,IF(WEEKDAY(B4635)=7,1,0))))))</f>
        <v>3</v>
      </c>
      <c r="V4635" s="328">
        <f>VLOOKUP(C4635,METADATA!$A$5:$H$29,IF(E4635="HI",2,IF(E4635="LO",6,10))+IF(T4635=1,2,IF(D4635=7,1,(IF(WEEKDAY(B4635)=1,2,IF(WEEKDAY(B4635)=7,1,0))))))</f>
        <v>3</v>
      </c>
    </row>
    <row r="4636" spans="2:22">
      <c r="B4636" s="318">
        <f t="shared" ref="B4636:B4699" si="291">B4612+1</f>
        <v>46306</v>
      </c>
      <c r="C4636" s="312">
        <v>0</v>
      </c>
      <c r="D4636" s="368">
        <f>IFERROR((INDEX(METADATA!$T$2:$T$20,MATCH(B4636,METADATA!$S$2:$S$20,0))),0)</f>
        <v>0</v>
      </c>
      <c r="E4636" s="312" t="str">
        <f t="shared" si="288"/>
        <v>LO</v>
      </c>
      <c r="F4636" s="369">
        <f>VLOOKUP(C4636,METADATA!$A$5:$H$29,IF(E4636="HI",2,IF(E4636="LO",6,10))+IF(D4636=1,2,IF(D4636=7,1,(IF(WEEKDAY(B4636)=1,2,IF(WEEKDAY(B4636)=7,1,0))))))</f>
        <v>3</v>
      </c>
      <c r="G4636" s="369">
        <f>VLOOKUP(C4636,METADATA!$J$5:$Q$29,IF(E4636="HI",2,IF(E4636="LO",6,10))+IF(D4636=1,2,IF(D4636=7,1,(IF(WEEKDAY(B4636)=1,2,IF(WEEKDAY(B4636)=7,1,0))))))</f>
        <v>3</v>
      </c>
      <c r="H4636" s="370">
        <v>12912.25</v>
      </c>
      <c r="I4636" s="370">
        <v>9938.6748046875</v>
      </c>
      <c r="M4636" s="371">
        <f t="shared" si="289"/>
        <v>16294.276815367723</v>
      </c>
      <c r="N4636" s="329">
        <f t="shared" si="290"/>
        <v>6064.9998046875007</v>
      </c>
      <c r="T4636" s="331">
        <v>0</v>
      </c>
      <c r="U4636" s="328">
        <f>VLOOKUP(C4636,METADATA!$J$5:$Q$29,IF(E4636="HI",2,IF(E4636="LO",6,10))+IF(T4636=1,2,IF(D4636=7,1,(IF(WEEKDAY(B4636)=1,2,IF(WEEKDAY(B4636)=7,1,0))))))</f>
        <v>3</v>
      </c>
      <c r="V4636" s="328">
        <f>VLOOKUP(C4636,METADATA!$A$5:$H$29,IF(E4636="HI",2,IF(E4636="LO",6,10))+IF(T4636=1,2,IF(D4636=7,1,(IF(WEEKDAY(B4636)=1,2,IF(WEEKDAY(B4636)=7,1,0))))))</f>
        <v>3</v>
      </c>
    </row>
    <row r="4637" spans="2:22">
      <c r="B4637" s="318">
        <f t="shared" si="291"/>
        <v>46306</v>
      </c>
      <c r="C4637" s="312">
        <v>1</v>
      </c>
      <c r="D4637" s="368">
        <f>IFERROR((INDEX(METADATA!$T$2:$T$20,MATCH(B4637,METADATA!$S$2:$S$20,0))),0)</f>
        <v>0</v>
      </c>
      <c r="E4637" s="312" t="str">
        <f t="shared" si="288"/>
        <v>LO</v>
      </c>
      <c r="F4637" s="369">
        <f>VLOOKUP(C4637,METADATA!$A$5:$H$29,IF(E4637="HI",2,IF(E4637="LO",6,10))+IF(D4637=1,2,IF(D4637=7,1,(IF(WEEKDAY(B4637)=1,2,IF(WEEKDAY(B4637)=7,1,0))))))</f>
        <v>3</v>
      </c>
      <c r="G4637" s="369">
        <f>VLOOKUP(C4637,METADATA!$J$5:$Q$29,IF(E4637="HI",2,IF(E4637="LO",6,10))+IF(D4637=1,2,IF(D4637=7,1,(IF(WEEKDAY(B4637)=1,2,IF(WEEKDAY(B4637)=7,1,0))))))</f>
        <v>3</v>
      </c>
      <c r="H4637" s="370">
        <v>11674.507110595703</v>
      </c>
      <c r="I4637" s="370">
        <v>9403.4796752929688</v>
      </c>
      <c r="M4637" s="371">
        <f t="shared" si="289"/>
        <v>14990.648627694454</v>
      </c>
      <c r="N4637" s="329">
        <f t="shared" si="290"/>
        <v>5901.1275421142582</v>
      </c>
      <c r="T4637" s="331">
        <v>0</v>
      </c>
      <c r="U4637" s="328">
        <f>VLOOKUP(C4637,METADATA!$J$5:$Q$29,IF(E4637="HI",2,IF(E4637="LO",6,10))+IF(T4637=1,2,IF(D4637=7,1,(IF(WEEKDAY(B4637)=1,2,IF(WEEKDAY(B4637)=7,1,0))))))</f>
        <v>3</v>
      </c>
      <c r="V4637" s="328">
        <f>VLOOKUP(C4637,METADATA!$A$5:$H$29,IF(E4637="HI",2,IF(E4637="LO",6,10))+IF(T4637=1,2,IF(D4637=7,1,(IF(WEEKDAY(B4637)=1,2,IF(WEEKDAY(B4637)=7,1,0))))))</f>
        <v>3</v>
      </c>
    </row>
    <row r="4638" spans="2:22">
      <c r="B4638" s="318">
        <f t="shared" si="291"/>
        <v>46306</v>
      </c>
      <c r="C4638" s="312">
        <v>2</v>
      </c>
      <c r="D4638" s="368">
        <f>IFERROR((INDEX(METADATA!$T$2:$T$20,MATCH(B4638,METADATA!$S$2:$S$20,0))),0)</f>
        <v>0</v>
      </c>
      <c r="E4638" s="312" t="str">
        <f t="shared" si="288"/>
        <v>LO</v>
      </c>
      <c r="F4638" s="369">
        <f>VLOOKUP(C4638,METADATA!$A$5:$H$29,IF(E4638="HI",2,IF(E4638="LO",6,10))+IF(D4638=1,2,IF(D4638=7,1,(IF(WEEKDAY(B4638)=1,2,IF(WEEKDAY(B4638)=7,1,0))))))</f>
        <v>3</v>
      </c>
      <c r="G4638" s="369">
        <f>VLOOKUP(C4638,METADATA!$J$5:$Q$29,IF(E4638="HI",2,IF(E4638="LO",6,10))+IF(D4638=1,2,IF(D4638=7,1,(IF(WEEKDAY(B4638)=1,2,IF(WEEKDAY(B4638)=7,1,0))))))</f>
        <v>3</v>
      </c>
      <c r="H4638" s="370">
        <v>11125.310089111328</v>
      </c>
      <c r="I4638" s="370">
        <v>9008.7925415039063</v>
      </c>
      <c r="M4638" s="371">
        <f t="shared" si="289"/>
        <v>14315.406652789809</v>
      </c>
      <c r="N4638" s="329">
        <f t="shared" si="290"/>
        <v>5671.1995147705074</v>
      </c>
      <c r="T4638" s="331">
        <v>0</v>
      </c>
      <c r="U4638" s="328">
        <f>VLOOKUP(C4638,METADATA!$J$5:$Q$29,IF(E4638="HI",2,IF(E4638="LO",6,10))+IF(T4638=1,2,IF(D4638=7,1,(IF(WEEKDAY(B4638)=1,2,IF(WEEKDAY(B4638)=7,1,0))))))</f>
        <v>3</v>
      </c>
      <c r="V4638" s="328">
        <f>VLOOKUP(C4638,METADATA!$A$5:$H$29,IF(E4638="HI",2,IF(E4638="LO",6,10))+IF(T4638=1,2,IF(D4638=7,1,(IF(WEEKDAY(B4638)=1,2,IF(WEEKDAY(B4638)=7,1,0))))))</f>
        <v>3</v>
      </c>
    </row>
    <row r="4639" spans="2:22">
      <c r="B4639" s="318">
        <f t="shared" si="291"/>
        <v>46306</v>
      </c>
      <c r="C4639" s="312">
        <v>3</v>
      </c>
      <c r="D4639" s="368">
        <f>IFERROR((INDEX(METADATA!$T$2:$T$20,MATCH(B4639,METADATA!$S$2:$S$20,0))),0)</f>
        <v>0</v>
      </c>
      <c r="E4639" s="312" t="str">
        <f t="shared" si="288"/>
        <v>LO</v>
      </c>
      <c r="F4639" s="369">
        <f>VLOOKUP(C4639,METADATA!$A$5:$H$29,IF(E4639="HI",2,IF(E4639="LO",6,10))+IF(D4639=1,2,IF(D4639=7,1,(IF(WEEKDAY(B4639)=1,2,IF(WEEKDAY(B4639)=7,1,0))))))</f>
        <v>3</v>
      </c>
      <c r="G4639" s="369">
        <f>VLOOKUP(C4639,METADATA!$J$5:$Q$29,IF(E4639="HI",2,IF(E4639="LO",6,10))+IF(D4639=1,2,IF(D4639=7,1,(IF(WEEKDAY(B4639)=1,2,IF(WEEKDAY(B4639)=7,1,0))))))</f>
        <v>3</v>
      </c>
      <c r="H4639" s="370">
        <v>11088.497222900391</v>
      </c>
      <c r="I4639" s="370">
        <v>8969.0973205566406</v>
      </c>
      <c r="M4639" s="371">
        <f t="shared" si="289"/>
        <v>14261.818867447659</v>
      </c>
      <c r="N4639" s="329">
        <f t="shared" si="290"/>
        <v>5642.5481536865236</v>
      </c>
      <c r="T4639" s="331">
        <v>0</v>
      </c>
      <c r="U4639" s="328">
        <f>VLOOKUP(C4639,METADATA!$J$5:$Q$29,IF(E4639="HI",2,IF(E4639="LO",6,10))+IF(T4639=1,2,IF(D4639=7,1,(IF(WEEKDAY(B4639)=1,2,IF(WEEKDAY(B4639)=7,1,0))))))</f>
        <v>3</v>
      </c>
      <c r="V4639" s="328">
        <f>VLOOKUP(C4639,METADATA!$A$5:$H$29,IF(E4639="HI",2,IF(E4639="LO",6,10))+IF(T4639=1,2,IF(D4639=7,1,(IF(WEEKDAY(B4639)=1,2,IF(WEEKDAY(B4639)=7,1,0))))))</f>
        <v>3</v>
      </c>
    </row>
    <row r="4640" spans="2:22">
      <c r="B4640" s="318">
        <f t="shared" si="291"/>
        <v>46306</v>
      </c>
      <c r="C4640" s="312">
        <v>4</v>
      </c>
      <c r="D4640" s="368">
        <f>IFERROR((INDEX(METADATA!$T$2:$T$20,MATCH(B4640,METADATA!$S$2:$S$20,0))),0)</f>
        <v>0</v>
      </c>
      <c r="E4640" s="312" t="str">
        <f t="shared" si="288"/>
        <v>LO</v>
      </c>
      <c r="F4640" s="369">
        <f>VLOOKUP(C4640,METADATA!$A$5:$H$29,IF(E4640="HI",2,IF(E4640="LO",6,10))+IF(D4640=1,2,IF(D4640=7,1,(IF(WEEKDAY(B4640)=1,2,IF(WEEKDAY(B4640)=7,1,0))))))</f>
        <v>3</v>
      </c>
      <c r="G4640" s="369">
        <f>VLOOKUP(C4640,METADATA!$J$5:$Q$29,IF(E4640="HI",2,IF(E4640="LO",6,10))+IF(D4640=1,2,IF(D4640=7,1,(IF(WEEKDAY(B4640)=1,2,IF(WEEKDAY(B4640)=7,1,0))))))</f>
        <v>3</v>
      </c>
      <c r="H4640" s="370">
        <v>12392.649841308594</v>
      </c>
      <c r="I4640" s="370">
        <v>9615.5498657226563</v>
      </c>
      <c r="M4640" s="371">
        <f t="shared" si="289"/>
        <v>15685.552885043131</v>
      </c>
      <c r="N4640" s="329">
        <f t="shared" si="290"/>
        <v>5897.7549133300781</v>
      </c>
      <c r="T4640" s="331">
        <v>0</v>
      </c>
      <c r="U4640" s="328">
        <f>VLOOKUP(C4640,METADATA!$J$5:$Q$29,IF(E4640="HI",2,IF(E4640="LO",6,10))+IF(T4640=1,2,IF(D4640=7,1,(IF(WEEKDAY(B4640)=1,2,IF(WEEKDAY(B4640)=7,1,0))))))</f>
        <v>3</v>
      </c>
      <c r="V4640" s="328">
        <f>VLOOKUP(C4640,METADATA!$A$5:$H$29,IF(E4640="HI",2,IF(E4640="LO",6,10))+IF(T4640=1,2,IF(D4640=7,1,(IF(WEEKDAY(B4640)=1,2,IF(WEEKDAY(B4640)=7,1,0))))))</f>
        <v>3</v>
      </c>
    </row>
    <row r="4641" spans="2:22">
      <c r="B4641" s="318">
        <f t="shared" si="291"/>
        <v>46306</v>
      </c>
      <c r="C4641" s="312">
        <v>5</v>
      </c>
      <c r="D4641" s="368">
        <f>IFERROR((INDEX(METADATA!$T$2:$T$20,MATCH(B4641,METADATA!$S$2:$S$20,0))),0)</f>
        <v>0</v>
      </c>
      <c r="E4641" s="312" t="str">
        <f t="shared" si="288"/>
        <v>LO</v>
      </c>
      <c r="F4641" s="369">
        <f>VLOOKUP(C4641,METADATA!$A$5:$H$29,IF(E4641="HI",2,IF(E4641="LO",6,10))+IF(D4641=1,2,IF(D4641=7,1,(IF(WEEKDAY(B4641)=1,2,IF(WEEKDAY(B4641)=7,1,0))))))</f>
        <v>3</v>
      </c>
      <c r="G4641" s="369">
        <f>VLOOKUP(C4641,METADATA!$J$5:$Q$29,IF(E4641="HI",2,IF(E4641="LO",6,10))+IF(D4641=1,2,IF(D4641=7,1,(IF(WEEKDAY(B4641)=1,2,IF(WEEKDAY(B4641)=7,1,0))))))</f>
        <v>3</v>
      </c>
      <c r="H4641" s="370">
        <v>12859.575073242188</v>
      </c>
      <c r="I4641" s="370">
        <v>9755.6751098632813</v>
      </c>
      <c r="M4641" s="371">
        <f t="shared" si="289"/>
        <v>16141.309361806983</v>
      </c>
      <c r="N4641" s="329">
        <f t="shared" si="290"/>
        <v>5897.8025878906246</v>
      </c>
      <c r="T4641" s="331">
        <v>0</v>
      </c>
      <c r="U4641" s="328">
        <f>VLOOKUP(C4641,METADATA!$J$5:$Q$29,IF(E4641="HI",2,IF(E4641="LO",6,10))+IF(T4641=1,2,IF(D4641=7,1,(IF(WEEKDAY(B4641)=1,2,IF(WEEKDAY(B4641)=7,1,0))))))</f>
        <v>3</v>
      </c>
      <c r="V4641" s="328">
        <f>VLOOKUP(C4641,METADATA!$A$5:$H$29,IF(E4641="HI",2,IF(E4641="LO",6,10))+IF(T4641=1,2,IF(D4641=7,1,(IF(WEEKDAY(B4641)=1,2,IF(WEEKDAY(B4641)=7,1,0))))))</f>
        <v>3</v>
      </c>
    </row>
    <row r="4642" spans="2:22">
      <c r="B4642" s="318">
        <f t="shared" si="291"/>
        <v>46306</v>
      </c>
      <c r="C4642" s="312">
        <v>6</v>
      </c>
      <c r="D4642" s="368">
        <f>IFERROR((INDEX(METADATA!$T$2:$T$20,MATCH(B4642,METADATA!$S$2:$S$20,0))),0)</f>
        <v>0</v>
      </c>
      <c r="E4642" s="312" t="str">
        <f t="shared" si="288"/>
        <v>LO</v>
      </c>
      <c r="F4642" s="369">
        <f>VLOOKUP(C4642,METADATA!$A$5:$H$29,IF(E4642="HI",2,IF(E4642="LO",6,10))+IF(D4642=1,2,IF(D4642=7,1,(IF(WEEKDAY(B4642)=1,2,IF(WEEKDAY(B4642)=7,1,0))))))</f>
        <v>3</v>
      </c>
      <c r="G4642" s="369">
        <f>VLOOKUP(C4642,METADATA!$J$5:$Q$29,IF(E4642="HI",2,IF(E4642="LO",6,10))+IF(D4642=1,2,IF(D4642=7,1,(IF(WEEKDAY(B4642)=1,2,IF(WEEKDAY(B4642)=7,1,0))))))</f>
        <v>3</v>
      </c>
      <c r="H4642" s="370">
        <v>12702.975341796875</v>
      </c>
      <c r="I4642" s="370">
        <v>9631.9749755859375</v>
      </c>
      <c r="M4642" s="371">
        <f t="shared" si="289"/>
        <v>15941.78548546596</v>
      </c>
      <c r="N4642" s="329">
        <f t="shared" si="290"/>
        <v>5821.0823730468746</v>
      </c>
      <c r="T4642" s="331">
        <v>0</v>
      </c>
      <c r="U4642" s="328">
        <f>VLOOKUP(C4642,METADATA!$J$5:$Q$29,IF(E4642="HI",2,IF(E4642="LO",6,10))+IF(T4642=1,2,IF(D4642=7,1,(IF(WEEKDAY(B4642)=1,2,IF(WEEKDAY(B4642)=7,1,0))))))</f>
        <v>3</v>
      </c>
      <c r="V4642" s="328">
        <f>VLOOKUP(C4642,METADATA!$A$5:$H$29,IF(E4642="HI",2,IF(E4642="LO",6,10))+IF(T4642=1,2,IF(D4642=7,1,(IF(WEEKDAY(B4642)=1,2,IF(WEEKDAY(B4642)=7,1,0))))))</f>
        <v>3</v>
      </c>
    </row>
    <row r="4643" spans="2:22">
      <c r="B4643" s="318">
        <f t="shared" si="291"/>
        <v>46306</v>
      </c>
      <c r="C4643" s="312">
        <v>7</v>
      </c>
      <c r="D4643" s="368">
        <f>IFERROR((INDEX(METADATA!$T$2:$T$20,MATCH(B4643,METADATA!$S$2:$S$20,0))),0)</f>
        <v>0</v>
      </c>
      <c r="E4643" s="312" t="str">
        <f t="shared" si="288"/>
        <v>LO</v>
      </c>
      <c r="F4643" s="369">
        <f>VLOOKUP(C4643,METADATA!$A$5:$H$29,IF(E4643="HI",2,IF(E4643="LO",6,10))+IF(D4643=1,2,IF(D4643=7,1,(IF(WEEKDAY(B4643)=1,2,IF(WEEKDAY(B4643)=7,1,0))))))</f>
        <v>3</v>
      </c>
      <c r="G4643" s="369">
        <f>VLOOKUP(C4643,METADATA!$J$5:$Q$29,IF(E4643="HI",2,IF(E4643="LO",6,10))+IF(D4643=1,2,IF(D4643=7,1,(IF(WEEKDAY(B4643)=1,2,IF(WEEKDAY(B4643)=7,1,0))))))</f>
        <v>3</v>
      </c>
      <c r="H4643" s="370">
        <v>12950.849914550781</v>
      </c>
      <c r="I4643" s="370">
        <v>9670.625244140625</v>
      </c>
      <c r="M4643" s="371">
        <f t="shared" si="289"/>
        <v>16163.090859171394</v>
      </c>
      <c r="N4643" s="329">
        <f t="shared" si="290"/>
        <v>5785.3702697753906</v>
      </c>
      <c r="T4643" s="331">
        <v>0</v>
      </c>
      <c r="U4643" s="328">
        <f>VLOOKUP(C4643,METADATA!$J$5:$Q$29,IF(E4643="HI",2,IF(E4643="LO",6,10))+IF(T4643=1,2,IF(D4643=7,1,(IF(WEEKDAY(B4643)=1,2,IF(WEEKDAY(B4643)=7,1,0))))))</f>
        <v>3</v>
      </c>
      <c r="V4643" s="328">
        <f>VLOOKUP(C4643,METADATA!$A$5:$H$29,IF(E4643="HI",2,IF(E4643="LO",6,10))+IF(T4643=1,2,IF(D4643=7,1,(IF(WEEKDAY(B4643)=1,2,IF(WEEKDAY(B4643)=7,1,0))))))</f>
        <v>3</v>
      </c>
    </row>
    <row r="4644" spans="2:22">
      <c r="B4644" s="318">
        <f t="shared" si="291"/>
        <v>46306</v>
      </c>
      <c r="C4644" s="312">
        <v>8</v>
      </c>
      <c r="D4644" s="368">
        <f>IFERROR((INDEX(METADATA!$T$2:$T$20,MATCH(B4644,METADATA!$S$2:$S$20,0))),0)</f>
        <v>0</v>
      </c>
      <c r="E4644" s="312" t="str">
        <f t="shared" si="288"/>
        <v>LO</v>
      </c>
      <c r="F4644" s="369">
        <f>VLOOKUP(C4644,METADATA!$A$5:$H$29,IF(E4644="HI",2,IF(E4644="LO",6,10))+IF(D4644=1,2,IF(D4644=7,1,(IF(WEEKDAY(B4644)=1,2,IF(WEEKDAY(B4644)=7,1,0))))))</f>
        <v>3</v>
      </c>
      <c r="G4644" s="369">
        <f>VLOOKUP(C4644,METADATA!$J$5:$Q$29,IF(E4644="HI",2,IF(E4644="LO",6,10))+IF(D4644=1,2,IF(D4644=7,1,(IF(WEEKDAY(B4644)=1,2,IF(WEEKDAY(B4644)=7,1,0))))))</f>
        <v>3</v>
      </c>
      <c r="H4644" s="370">
        <v>13012.349853515625</v>
      </c>
      <c r="I4644" s="370">
        <v>9600.5750732421875</v>
      </c>
      <c r="M4644" s="371">
        <f t="shared" si="289"/>
        <v>16170.723250592329</v>
      </c>
      <c r="N4644" s="329">
        <f t="shared" si="290"/>
        <v>5696.8701171875</v>
      </c>
      <c r="T4644" s="331">
        <v>0</v>
      </c>
      <c r="U4644" s="328">
        <f>VLOOKUP(C4644,METADATA!$J$5:$Q$29,IF(E4644="HI",2,IF(E4644="LO",6,10))+IF(T4644=1,2,IF(D4644=7,1,(IF(WEEKDAY(B4644)=1,2,IF(WEEKDAY(B4644)=7,1,0))))))</f>
        <v>3</v>
      </c>
      <c r="V4644" s="328">
        <f>VLOOKUP(C4644,METADATA!$A$5:$H$29,IF(E4644="HI",2,IF(E4644="LO",6,10))+IF(T4644=1,2,IF(D4644=7,1,(IF(WEEKDAY(B4644)=1,2,IF(WEEKDAY(B4644)=7,1,0))))))</f>
        <v>3</v>
      </c>
    </row>
    <row r="4645" spans="2:22">
      <c r="B4645" s="318">
        <f t="shared" si="291"/>
        <v>46306</v>
      </c>
      <c r="C4645" s="312">
        <v>9</v>
      </c>
      <c r="D4645" s="368">
        <f>IFERROR((INDEX(METADATA!$T$2:$T$20,MATCH(B4645,METADATA!$S$2:$S$20,0))),0)</f>
        <v>0</v>
      </c>
      <c r="E4645" s="312" t="str">
        <f t="shared" si="288"/>
        <v>LO</v>
      </c>
      <c r="F4645" s="369">
        <f>VLOOKUP(C4645,METADATA!$A$5:$H$29,IF(E4645="HI",2,IF(E4645="LO",6,10))+IF(D4645=1,2,IF(D4645=7,1,(IF(WEEKDAY(B4645)=1,2,IF(WEEKDAY(B4645)=7,1,0))))))</f>
        <v>3</v>
      </c>
      <c r="G4645" s="369">
        <f>VLOOKUP(C4645,METADATA!$J$5:$Q$29,IF(E4645="HI",2,IF(E4645="LO",6,10))+IF(D4645=1,2,IF(D4645=7,1,(IF(WEEKDAY(B4645)=1,2,IF(WEEKDAY(B4645)=7,1,0))))))</f>
        <v>3</v>
      </c>
      <c r="H4645" s="370">
        <v>12901.575134277344</v>
      </c>
      <c r="I4645" s="370">
        <v>9685.0750732421875</v>
      </c>
      <c r="M4645" s="371">
        <f t="shared" si="289"/>
        <v>16132.306720359014</v>
      </c>
      <c r="N4645" s="329">
        <f t="shared" si="290"/>
        <v>5814.6025329589847</v>
      </c>
      <c r="T4645" s="331">
        <v>0</v>
      </c>
      <c r="U4645" s="328">
        <f>VLOOKUP(C4645,METADATA!$J$5:$Q$29,IF(E4645="HI",2,IF(E4645="LO",6,10))+IF(T4645=1,2,IF(D4645=7,1,(IF(WEEKDAY(B4645)=1,2,IF(WEEKDAY(B4645)=7,1,0))))))</f>
        <v>3</v>
      </c>
      <c r="V4645" s="328">
        <f>VLOOKUP(C4645,METADATA!$A$5:$H$29,IF(E4645="HI",2,IF(E4645="LO",6,10))+IF(T4645=1,2,IF(D4645=7,1,(IF(WEEKDAY(B4645)=1,2,IF(WEEKDAY(B4645)=7,1,0))))))</f>
        <v>3</v>
      </c>
    </row>
    <row r="4646" spans="2:22">
      <c r="B4646" s="318">
        <f t="shared" si="291"/>
        <v>46306</v>
      </c>
      <c r="C4646" s="312">
        <v>10</v>
      </c>
      <c r="D4646" s="368">
        <f>IFERROR((INDEX(METADATA!$T$2:$T$20,MATCH(B4646,METADATA!$S$2:$S$20,0))),0)</f>
        <v>0</v>
      </c>
      <c r="E4646" s="312" t="str">
        <f t="shared" si="288"/>
        <v>LO</v>
      </c>
      <c r="F4646" s="369">
        <f>VLOOKUP(C4646,METADATA!$A$5:$H$29,IF(E4646="HI",2,IF(E4646="LO",6,10))+IF(D4646=1,2,IF(D4646=7,1,(IF(WEEKDAY(B4646)=1,2,IF(WEEKDAY(B4646)=7,1,0))))))</f>
        <v>3</v>
      </c>
      <c r="G4646" s="369">
        <f>VLOOKUP(C4646,METADATA!$J$5:$Q$29,IF(E4646="HI",2,IF(E4646="LO",6,10))+IF(D4646=1,2,IF(D4646=7,1,(IF(WEEKDAY(B4646)=1,2,IF(WEEKDAY(B4646)=7,1,0))))))</f>
        <v>3</v>
      </c>
      <c r="H4646" s="370">
        <v>12627.299926757813</v>
      </c>
      <c r="I4646" s="370">
        <v>9644.699951171875</v>
      </c>
      <c r="M4646" s="371">
        <f t="shared" si="289"/>
        <v>15889.271241577841</v>
      </c>
      <c r="N4646" s="329">
        <f t="shared" si="290"/>
        <v>5856.5099731445316</v>
      </c>
      <c r="T4646" s="331">
        <v>0</v>
      </c>
      <c r="U4646" s="328">
        <f>VLOOKUP(C4646,METADATA!$J$5:$Q$29,IF(E4646="HI",2,IF(E4646="LO",6,10))+IF(T4646=1,2,IF(D4646=7,1,(IF(WEEKDAY(B4646)=1,2,IF(WEEKDAY(B4646)=7,1,0))))))</f>
        <v>3</v>
      </c>
      <c r="V4646" s="328">
        <f>VLOOKUP(C4646,METADATA!$A$5:$H$29,IF(E4646="HI",2,IF(E4646="LO",6,10))+IF(T4646=1,2,IF(D4646=7,1,(IF(WEEKDAY(B4646)=1,2,IF(WEEKDAY(B4646)=7,1,0))))))</f>
        <v>3</v>
      </c>
    </row>
    <row r="4647" spans="2:22">
      <c r="B4647" s="318">
        <f t="shared" si="291"/>
        <v>46306</v>
      </c>
      <c r="C4647" s="312">
        <v>11</v>
      </c>
      <c r="D4647" s="368">
        <f>IFERROR((INDEX(METADATA!$T$2:$T$20,MATCH(B4647,METADATA!$S$2:$S$20,0))),0)</f>
        <v>0</v>
      </c>
      <c r="E4647" s="312" t="str">
        <f t="shared" si="288"/>
        <v>LO</v>
      </c>
      <c r="F4647" s="369">
        <f>VLOOKUP(C4647,METADATA!$A$5:$H$29,IF(E4647="HI",2,IF(E4647="LO",6,10))+IF(D4647=1,2,IF(D4647=7,1,(IF(WEEKDAY(B4647)=1,2,IF(WEEKDAY(B4647)=7,1,0))))))</f>
        <v>3</v>
      </c>
      <c r="G4647" s="369">
        <f>VLOOKUP(C4647,METADATA!$J$5:$Q$29,IF(E4647="HI",2,IF(E4647="LO",6,10))+IF(D4647=1,2,IF(D4647=7,1,(IF(WEEKDAY(B4647)=1,2,IF(WEEKDAY(B4647)=7,1,0))))))</f>
        <v>3</v>
      </c>
      <c r="H4647" s="370">
        <v>12879.999877929688</v>
      </c>
      <c r="I4647" s="370">
        <v>9809.1751708984375</v>
      </c>
      <c r="M4647" s="371">
        <f t="shared" si="289"/>
        <v>16189.944854410071</v>
      </c>
      <c r="N4647" s="329">
        <f t="shared" si="290"/>
        <v>5945.1752075195309</v>
      </c>
      <c r="T4647" s="331">
        <v>0</v>
      </c>
      <c r="U4647" s="328">
        <f>VLOOKUP(C4647,METADATA!$J$5:$Q$29,IF(E4647="HI",2,IF(E4647="LO",6,10))+IF(T4647=1,2,IF(D4647=7,1,(IF(WEEKDAY(B4647)=1,2,IF(WEEKDAY(B4647)=7,1,0))))))</f>
        <v>3</v>
      </c>
      <c r="V4647" s="328">
        <f>VLOOKUP(C4647,METADATA!$A$5:$H$29,IF(E4647="HI",2,IF(E4647="LO",6,10))+IF(T4647=1,2,IF(D4647=7,1,(IF(WEEKDAY(B4647)=1,2,IF(WEEKDAY(B4647)=7,1,0))))))</f>
        <v>3</v>
      </c>
    </row>
    <row r="4648" spans="2:22">
      <c r="B4648" s="318">
        <f t="shared" si="291"/>
        <v>46306</v>
      </c>
      <c r="C4648" s="312">
        <v>12</v>
      </c>
      <c r="D4648" s="368">
        <f>IFERROR((INDEX(METADATA!$T$2:$T$20,MATCH(B4648,METADATA!$S$2:$S$20,0))),0)</f>
        <v>0</v>
      </c>
      <c r="E4648" s="312" t="str">
        <f t="shared" si="288"/>
        <v>LO</v>
      </c>
      <c r="F4648" s="369">
        <f>VLOOKUP(C4648,METADATA!$A$5:$H$29,IF(E4648="HI",2,IF(E4648="LO",6,10))+IF(D4648=1,2,IF(D4648=7,1,(IF(WEEKDAY(B4648)=1,2,IF(WEEKDAY(B4648)=7,1,0))))))</f>
        <v>3</v>
      </c>
      <c r="G4648" s="369">
        <f>VLOOKUP(C4648,METADATA!$J$5:$Q$29,IF(E4648="HI",2,IF(E4648="LO",6,10))+IF(D4648=1,2,IF(D4648=7,1,(IF(WEEKDAY(B4648)=1,2,IF(WEEKDAY(B4648)=7,1,0))))))</f>
        <v>3</v>
      </c>
      <c r="H4648" s="370">
        <v>13074.699829101563</v>
      </c>
      <c r="I4648" s="370">
        <v>9795.0499877929688</v>
      </c>
      <c r="M4648" s="371">
        <f t="shared" si="289"/>
        <v>16336.792215256686</v>
      </c>
      <c r="N4648" s="329">
        <f t="shared" si="290"/>
        <v>5872.6400390625004</v>
      </c>
      <c r="T4648" s="331">
        <v>0</v>
      </c>
      <c r="U4648" s="328">
        <f>VLOOKUP(C4648,METADATA!$J$5:$Q$29,IF(E4648="HI",2,IF(E4648="LO",6,10))+IF(T4648=1,2,IF(D4648=7,1,(IF(WEEKDAY(B4648)=1,2,IF(WEEKDAY(B4648)=7,1,0))))))</f>
        <v>3</v>
      </c>
      <c r="V4648" s="328">
        <f>VLOOKUP(C4648,METADATA!$A$5:$H$29,IF(E4648="HI",2,IF(E4648="LO",6,10))+IF(T4648=1,2,IF(D4648=7,1,(IF(WEEKDAY(B4648)=1,2,IF(WEEKDAY(B4648)=7,1,0))))))</f>
        <v>3</v>
      </c>
    </row>
    <row r="4649" spans="2:22">
      <c r="B4649" s="318">
        <f t="shared" si="291"/>
        <v>46306</v>
      </c>
      <c r="C4649" s="312">
        <v>13</v>
      </c>
      <c r="D4649" s="368">
        <f>IFERROR((INDEX(METADATA!$T$2:$T$20,MATCH(B4649,METADATA!$S$2:$S$20,0))),0)</f>
        <v>0</v>
      </c>
      <c r="E4649" s="312" t="str">
        <f t="shared" si="288"/>
        <v>LO</v>
      </c>
      <c r="F4649" s="369">
        <f>VLOOKUP(C4649,METADATA!$A$5:$H$29,IF(E4649="HI",2,IF(E4649="LO",6,10))+IF(D4649=1,2,IF(D4649=7,1,(IF(WEEKDAY(B4649)=1,2,IF(WEEKDAY(B4649)=7,1,0))))))</f>
        <v>3</v>
      </c>
      <c r="G4649" s="369">
        <f>VLOOKUP(C4649,METADATA!$J$5:$Q$29,IF(E4649="HI",2,IF(E4649="LO",6,10))+IF(D4649=1,2,IF(D4649=7,1,(IF(WEEKDAY(B4649)=1,2,IF(WEEKDAY(B4649)=7,1,0))))))</f>
        <v>3</v>
      </c>
      <c r="H4649" s="370">
        <v>13115.10009765625</v>
      </c>
      <c r="I4649" s="370">
        <v>9827.1998901367188</v>
      </c>
      <c r="M4649" s="371">
        <f t="shared" si="289"/>
        <v>16388.40163811731</v>
      </c>
      <c r="N4649" s="329">
        <f t="shared" si="290"/>
        <v>5892.6698608398438</v>
      </c>
      <c r="T4649" s="331">
        <v>0</v>
      </c>
      <c r="U4649" s="328">
        <f>VLOOKUP(C4649,METADATA!$J$5:$Q$29,IF(E4649="HI",2,IF(E4649="LO",6,10))+IF(T4649=1,2,IF(D4649=7,1,(IF(WEEKDAY(B4649)=1,2,IF(WEEKDAY(B4649)=7,1,0))))))</f>
        <v>3</v>
      </c>
      <c r="V4649" s="328">
        <f>VLOOKUP(C4649,METADATA!$A$5:$H$29,IF(E4649="HI",2,IF(E4649="LO",6,10))+IF(T4649=1,2,IF(D4649=7,1,(IF(WEEKDAY(B4649)=1,2,IF(WEEKDAY(B4649)=7,1,0))))))</f>
        <v>3</v>
      </c>
    </row>
    <row r="4650" spans="2:22">
      <c r="B4650" s="318">
        <f t="shared" si="291"/>
        <v>46306</v>
      </c>
      <c r="C4650" s="312">
        <v>14</v>
      </c>
      <c r="D4650" s="368">
        <f>IFERROR((INDEX(METADATA!$T$2:$T$20,MATCH(B4650,METADATA!$S$2:$S$20,0))),0)</f>
        <v>0</v>
      </c>
      <c r="E4650" s="312" t="str">
        <f t="shared" si="288"/>
        <v>LO</v>
      </c>
      <c r="F4650" s="369">
        <f>VLOOKUP(C4650,METADATA!$A$5:$H$29,IF(E4650="HI",2,IF(E4650="LO",6,10))+IF(D4650=1,2,IF(D4650=7,1,(IF(WEEKDAY(B4650)=1,2,IF(WEEKDAY(B4650)=7,1,0))))))</f>
        <v>3</v>
      </c>
      <c r="G4650" s="369">
        <f>VLOOKUP(C4650,METADATA!$J$5:$Q$29,IF(E4650="HI",2,IF(E4650="LO",6,10))+IF(D4650=1,2,IF(D4650=7,1,(IF(WEEKDAY(B4650)=1,2,IF(WEEKDAY(B4650)=7,1,0))))))</f>
        <v>3</v>
      </c>
      <c r="H4650" s="370">
        <v>13040.199951171875</v>
      </c>
      <c r="I4650" s="370">
        <v>9864.2499389648438</v>
      </c>
      <c r="M4650" s="371">
        <f t="shared" si="289"/>
        <v>16350.848345725395</v>
      </c>
      <c r="N4650" s="329">
        <f t="shared" si="290"/>
        <v>5952.1899536132814</v>
      </c>
      <c r="T4650" s="331">
        <v>0</v>
      </c>
      <c r="U4650" s="328">
        <f>VLOOKUP(C4650,METADATA!$J$5:$Q$29,IF(E4650="HI",2,IF(E4650="LO",6,10))+IF(T4650=1,2,IF(D4650=7,1,(IF(WEEKDAY(B4650)=1,2,IF(WEEKDAY(B4650)=7,1,0))))))</f>
        <v>3</v>
      </c>
      <c r="V4650" s="328">
        <f>VLOOKUP(C4650,METADATA!$A$5:$H$29,IF(E4650="HI",2,IF(E4650="LO",6,10))+IF(T4650=1,2,IF(D4650=7,1,(IF(WEEKDAY(B4650)=1,2,IF(WEEKDAY(B4650)=7,1,0))))))</f>
        <v>3</v>
      </c>
    </row>
    <row r="4651" spans="2:22">
      <c r="B4651" s="318">
        <f t="shared" si="291"/>
        <v>46306</v>
      </c>
      <c r="C4651" s="312">
        <v>15</v>
      </c>
      <c r="D4651" s="368">
        <f>IFERROR((INDEX(METADATA!$T$2:$T$20,MATCH(B4651,METADATA!$S$2:$S$20,0))),0)</f>
        <v>0</v>
      </c>
      <c r="E4651" s="312" t="str">
        <f t="shared" si="288"/>
        <v>LO</v>
      </c>
      <c r="F4651" s="369">
        <f>VLOOKUP(C4651,METADATA!$A$5:$H$29,IF(E4651="HI",2,IF(E4651="LO",6,10))+IF(D4651=1,2,IF(D4651=7,1,(IF(WEEKDAY(B4651)=1,2,IF(WEEKDAY(B4651)=7,1,0))))))</f>
        <v>3</v>
      </c>
      <c r="G4651" s="369">
        <f>VLOOKUP(C4651,METADATA!$J$5:$Q$29,IF(E4651="HI",2,IF(E4651="LO",6,10))+IF(D4651=1,2,IF(D4651=7,1,(IF(WEEKDAY(B4651)=1,2,IF(WEEKDAY(B4651)=7,1,0))))))</f>
        <v>3</v>
      </c>
      <c r="H4651" s="370">
        <v>12980.924987792969</v>
      </c>
      <c r="I4651" s="370">
        <v>9915.0248413085938</v>
      </c>
      <c r="M4651" s="371">
        <f t="shared" si="289"/>
        <v>16334.384933093575</v>
      </c>
      <c r="N4651" s="329">
        <f t="shared" si="290"/>
        <v>6020.7473449707031</v>
      </c>
      <c r="T4651" s="331">
        <v>0</v>
      </c>
      <c r="U4651" s="328">
        <f>VLOOKUP(C4651,METADATA!$J$5:$Q$29,IF(E4651="HI",2,IF(E4651="LO",6,10))+IF(T4651=1,2,IF(D4651=7,1,(IF(WEEKDAY(B4651)=1,2,IF(WEEKDAY(B4651)=7,1,0))))))</f>
        <v>3</v>
      </c>
      <c r="V4651" s="328">
        <f>VLOOKUP(C4651,METADATA!$A$5:$H$29,IF(E4651="HI",2,IF(E4651="LO",6,10))+IF(T4651=1,2,IF(D4651=7,1,(IF(WEEKDAY(B4651)=1,2,IF(WEEKDAY(B4651)=7,1,0))))))</f>
        <v>3</v>
      </c>
    </row>
    <row r="4652" spans="2:22">
      <c r="B4652" s="318">
        <f t="shared" si="291"/>
        <v>46306</v>
      </c>
      <c r="C4652" s="312">
        <v>16</v>
      </c>
      <c r="D4652" s="368">
        <f>IFERROR((INDEX(METADATA!$T$2:$T$20,MATCH(B4652,METADATA!$S$2:$S$20,0))),0)</f>
        <v>0</v>
      </c>
      <c r="E4652" s="312" t="str">
        <f t="shared" si="288"/>
        <v>LO</v>
      </c>
      <c r="F4652" s="369">
        <f>VLOOKUP(C4652,METADATA!$A$5:$H$29,IF(E4652="HI",2,IF(E4652="LO",6,10))+IF(D4652=1,2,IF(D4652=7,1,(IF(WEEKDAY(B4652)=1,2,IF(WEEKDAY(B4652)=7,1,0))))))</f>
        <v>3</v>
      </c>
      <c r="G4652" s="369">
        <f>VLOOKUP(C4652,METADATA!$J$5:$Q$29,IF(E4652="HI",2,IF(E4652="LO",6,10))+IF(D4652=1,2,IF(D4652=7,1,(IF(WEEKDAY(B4652)=1,2,IF(WEEKDAY(B4652)=7,1,0))))))</f>
        <v>3</v>
      </c>
      <c r="H4652" s="370">
        <v>13043.625244140625</v>
      </c>
      <c r="I4652" s="370">
        <v>9878.7249145507813</v>
      </c>
      <c r="M4652" s="371">
        <f t="shared" si="289"/>
        <v>16362.315406046569</v>
      </c>
      <c r="N4652" s="329">
        <f t="shared" si="290"/>
        <v>5965.6373413085939</v>
      </c>
      <c r="T4652" s="331">
        <v>0</v>
      </c>
      <c r="U4652" s="328">
        <f>VLOOKUP(C4652,METADATA!$J$5:$Q$29,IF(E4652="HI",2,IF(E4652="LO",6,10))+IF(T4652=1,2,IF(D4652=7,1,(IF(WEEKDAY(B4652)=1,2,IF(WEEKDAY(B4652)=7,1,0))))))</f>
        <v>3</v>
      </c>
      <c r="V4652" s="328">
        <f>VLOOKUP(C4652,METADATA!$A$5:$H$29,IF(E4652="HI",2,IF(E4652="LO",6,10))+IF(T4652=1,2,IF(D4652=7,1,(IF(WEEKDAY(B4652)=1,2,IF(WEEKDAY(B4652)=7,1,0))))))</f>
        <v>3</v>
      </c>
    </row>
    <row r="4653" spans="2:22">
      <c r="B4653" s="318">
        <f t="shared" si="291"/>
        <v>46306</v>
      </c>
      <c r="C4653" s="312">
        <v>17</v>
      </c>
      <c r="D4653" s="368">
        <f>IFERROR((INDEX(METADATA!$T$2:$T$20,MATCH(B4653,METADATA!$S$2:$S$20,0))),0)</f>
        <v>0</v>
      </c>
      <c r="E4653" s="312" t="str">
        <f t="shared" si="288"/>
        <v>LO</v>
      </c>
      <c r="F4653" s="369">
        <f>VLOOKUP(C4653,METADATA!$A$5:$H$29,IF(E4653="HI",2,IF(E4653="LO",6,10))+IF(D4653=1,2,IF(D4653=7,1,(IF(WEEKDAY(B4653)=1,2,IF(WEEKDAY(B4653)=7,1,0))))))</f>
        <v>3</v>
      </c>
      <c r="G4653" s="369">
        <f>VLOOKUP(C4653,METADATA!$J$5:$Q$29,IF(E4653="HI",2,IF(E4653="LO",6,10))+IF(D4653=1,2,IF(D4653=7,1,(IF(WEEKDAY(B4653)=1,2,IF(WEEKDAY(B4653)=7,1,0))))))</f>
        <v>3</v>
      </c>
      <c r="H4653" s="370">
        <v>12964.674560546875</v>
      </c>
      <c r="I4653" s="370">
        <v>9939.9501953125</v>
      </c>
      <c r="M4653" s="371">
        <f t="shared" si="289"/>
        <v>16336.627447125809</v>
      </c>
      <c r="N4653" s="329">
        <f t="shared" si="290"/>
        <v>6050.5478271484371</v>
      </c>
      <c r="T4653" s="331">
        <v>0</v>
      </c>
      <c r="U4653" s="328">
        <f>VLOOKUP(C4653,METADATA!$J$5:$Q$29,IF(E4653="HI",2,IF(E4653="LO",6,10))+IF(T4653=1,2,IF(D4653=7,1,(IF(WEEKDAY(B4653)=1,2,IF(WEEKDAY(B4653)=7,1,0))))))</f>
        <v>3</v>
      </c>
      <c r="V4653" s="328">
        <f>VLOOKUP(C4653,METADATA!$A$5:$H$29,IF(E4653="HI",2,IF(E4653="LO",6,10))+IF(T4653=1,2,IF(D4653=7,1,(IF(WEEKDAY(B4653)=1,2,IF(WEEKDAY(B4653)=7,1,0))))))</f>
        <v>3</v>
      </c>
    </row>
    <row r="4654" spans="2:22">
      <c r="B4654" s="318">
        <f t="shared" si="291"/>
        <v>46306</v>
      </c>
      <c r="C4654" s="312">
        <v>18</v>
      </c>
      <c r="D4654" s="368">
        <f>IFERROR((INDEX(METADATA!$T$2:$T$20,MATCH(B4654,METADATA!$S$2:$S$20,0))),0)</f>
        <v>0</v>
      </c>
      <c r="E4654" s="312" t="str">
        <f t="shared" si="288"/>
        <v>LO</v>
      </c>
      <c r="F4654" s="369">
        <f>VLOOKUP(C4654,METADATA!$A$5:$H$29,IF(E4654="HI",2,IF(E4654="LO",6,10))+IF(D4654=1,2,IF(D4654=7,1,(IF(WEEKDAY(B4654)=1,2,IF(WEEKDAY(B4654)=7,1,0))))))</f>
        <v>2</v>
      </c>
      <c r="G4654" s="369">
        <f>VLOOKUP(C4654,METADATA!$J$5:$Q$29,IF(E4654="HI",2,IF(E4654="LO",6,10))+IF(D4654=1,2,IF(D4654=7,1,(IF(WEEKDAY(B4654)=1,2,IF(WEEKDAY(B4654)=7,1,0))))))</f>
        <v>2</v>
      </c>
      <c r="H4654" s="370">
        <v>12960.649780273438</v>
      </c>
      <c r="I4654" s="370">
        <v>9987.3499755859375</v>
      </c>
      <c r="M4654" s="371">
        <f t="shared" si="289"/>
        <v>16362.322642636598</v>
      </c>
      <c r="N4654" s="329">
        <f t="shared" si="290"/>
        <v>6099.1550415039064</v>
      </c>
      <c r="T4654" s="331">
        <v>0</v>
      </c>
      <c r="U4654" s="328">
        <f>VLOOKUP(C4654,METADATA!$J$5:$Q$29,IF(E4654="HI",2,IF(E4654="LO",6,10))+IF(T4654=1,2,IF(D4654=7,1,(IF(WEEKDAY(B4654)=1,2,IF(WEEKDAY(B4654)=7,1,0))))))</f>
        <v>2</v>
      </c>
      <c r="V4654" s="328">
        <f>VLOOKUP(C4654,METADATA!$A$5:$H$29,IF(E4654="HI",2,IF(E4654="LO",6,10))+IF(T4654=1,2,IF(D4654=7,1,(IF(WEEKDAY(B4654)=1,2,IF(WEEKDAY(B4654)=7,1,0))))))</f>
        <v>2</v>
      </c>
    </row>
    <row r="4655" spans="2:22">
      <c r="B4655" s="318">
        <f t="shared" si="291"/>
        <v>46306</v>
      </c>
      <c r="C4655" s="312">
        <v>19</v>
      </c>
      <c r="D4655" s="368">
        <f>IFERROR((INDEX(METADATA!$T$2:$T$20,MATCH(B4655,METADATA!$S$2:$S$20,0))),0)</f>
        <v>0</v>
      </c>
      <c r="E4655" s="312" t="str">
        <f t="shared" si="288"/>
        <v>LO</v>
      </c>
      <c r="F4655" s="369">
        <f>VLOOKUP(C4655,METADATA!$A$5:$H$29,IF(E4655="HI",2,IF(E4655="LO",6,10))+IF(D4655=1,2,IF(D4655=7,1,(IF(WEEKDAY(B4655)=1,2,IF(WEEKDAY(B4655)=7,1,0))))))</f>
        <v>2</v>
      </c>
      <c r="G4655" s="369">
        <f>VLOOKUP(C4655,METADATA!$J$5:$Q$29,IF(E4655="HI",2,IF(E4655="LO",6,10))+IF(D4655=1,2,IF(D4655=7,1,(IF(WEEKDAY(B4655)=1,2,IF(WEEKDAY(B4655)=7,1,0))))))</f>
        <v>2</v>
      </c>
      <c r="H4655" s="370">
        <v>12926.150024414063</v>
      </c>
      <c r="I4655" s="370">
        <v>10022.525085449219</v>
      </c>
      <c r="M4655" s="371">
        <f t="shared" si="289"/>
        <v>16356.538861938932</v>
      </c>
      <c r="N4655" s="329">
        <f t="shared" si="290"/>
        <v>6144.6800781250004</v>
      </c>
      <c r="T4655" s="331">
        <v>0</v>
      </c>
      <c r="U4655" s="328">
        <f>VLOOKUP(C4655,METADATA!$J$5:$Q$29,IF(E4655="HI",2,IF(E4655="LO",6,10))+IF(T4655=1,2,IF(D4655=7,1,(IF(WEEKDAY(B4655)=1,2,IF(WEEKDAY(B4655)=7,1,0))))))</f>
        <v>2</v>
      </c>
      <c r="V4655" s="328">
        <f>VLOOKUP(C4655,METADATA!$A$5:$H$29,IF(E4655="HI",2,IF(E4655="LO",6,10))+IF(T4655=1,2,IF(D4655=7,1,(IF(WEEKDAY(B4655)=1,2,IF(WEEKDAY(B4655)=7,1,0))))))</f>
        <v>2</v>
      </c>
    </row>
    <row r="4656" spans="2:22">
      <c r="B4656" s="318">
        <f t="shared" si="291"/>
        <v>46306</v>
      </c>
      <c r="C4656" s="312">
        <v>20</v>
      </c>
      <c r="D4656" s="368">
        <f>IFERROR((INDEX(METADATA!$T$2:$T$20,MATCH(B4656,METADATA!$S$2:$S$20,0))),0)</f>
        <v>0</v>
      </c>
      <c r="E4656" s="312" t="str">
        <f t="shared" si="288"/>
        <v>LO</v>
      </c>
      <c r="F4656" s="369">
        <f>VLOOKUP(C4656,METADATA!$A$5:$H$29,IF(E4656="HI",2,IF(E4656="LO",6,10))+IF(D4656=1,2,IF(D4656=7,1,(IF(WEEKDAY(B4656)=1,2,IF(WEEKDAY(B4656)=7,1,0))))))</f>
        <v>3</v>
      </c>
      <c r="G4656" s="369">
        <f>VLOOKUP(C4656,METADATA!$J$5:$Q$29,IF(E4656="HI",2,IF(E4656="LO",6,10))+IF(D4656=1,2,IF(D4656=7,1,(IF(WEEKDAY(B4656)=1,2,IF(WEEKDAY(B4656)=7,1,0))))))</f>
        <v>3</v>
      </c>
      <c r="H4656" s="370">
        <v>12875.950012207031</v>
      </c>
      <c r="I4656" s="370">
        <v>9678.9251098632813</v>
      </c>
      <c r="M4656" s="371">
        <f t="shared" si="289"/>
        <v>16108.124658047447</v>
      </c>
      <c r="N4656" s="329">
        <f t="shared" si="290"/>
        <v>5816.1401062011719</v>
      </c>
      <c r="T4656" s="331">
        <v>0</v>
      </c>
      <c r="U4656" s="328">
        <f>VLOOKUP(C4656,METADATA!$J$5:$Q$29,IF(E4656="HI",2,IF(E4656="LO",6,10))+IF(T4656=1,2,IF(D4656=7,1,(IF(WEEKDAY(B4656)=1,2,IF(WEEKDAY(B4656)=7,1,0))))))</f>
        <v>3</v>
      </c>
      <c r="V4656" s="328">
        <f>VLOOKUP(C4656,METADATA!$A$5:$H$29,IF(E4656="HI",2,IF(E4656="LO",6,10))+IF(T4656=1,2,IF(D4656=7,1,(IF(WEEKDAY(B4656)=1,2,IF(WEEKDAY(B4656)=7,1,0))))))</f>
        <v>3</v>
      </c>
    </row>
    <row r="4657" spans="2:22">
      <c r="B4657" s="318">
        <f t="shared" si="291"/>
        <v>46306</v>
      </c>
      <c r="C4657" s="312">
        <v>21</v>
      </c>
      <c r="D4657" s="368">
        <f>IFERROR((INDEX(METADATA!$T$2:$T$20,MATCH(B4657,METADATA!$S$2:$S$20,0))),0)</f>
        <v>0</v>
      </c>
      <c r="E4657" s="312" t="str">
        <f t="shared" si="288"/>
        <v>LO</v>
      </c>
      <c r="F4657" s="369">
        <f>VLOOKUP(C4657,METADATA!$A$5:$H$29,IF(E4657="HI",2,IF(E4657="LO",6,10))+IF(D4657=1,2,IF(D4657=7,1,(IF(WEEKDAY(B4657)=1,2,IF(WEEKDAY(B4657)=7,1,0))))))</f>
        <v>3</v>
      </c>
      <c r="G4657" s="369">
        <f>VLOOKUP(C4657,METADATA!$J$5:$Q$29,IF(E4657="HI",2,IF(E4657="LO",6,10))+IF(D4657=1,2,IF(D4657=7,1,(IF(WEEKDAY(B4657)=1,2,IF(WEEKDAY(B4657)=7,1,0))))))</f>
        <v>3</v>
      </c>
      <c r="H4657" s="370">
        <v>12927.799621582031</v>
      </c>
      <c r="I4657" s="370">
        <v>9747.2749633789063</v>
      </c>
      <c r="M4657" s="371">
        <f t="shared" si="289"/>
        <v>16190.656943666299</v>
      </c>
      <c r="N4657" s="329">
        <f t="shared" si="290"/>
        <v>5868.9350769042976</v>
      </c>
      <c r="T4657" s="331">
        <v>0</v>
      </c>
      <c r="U4657" s="328">
        <f>VLOOKUP(C4657,METADATA!$J$5:$Q$29,IF(E4657="HI",2,IF(E4657="LO",6,10))+IF(T4657=1,2,IF(D4657=7,1,(IF(WEEKDAY(B4657)=1,2,IF(WEEKDAY(B4657)=7,1,0))))))</f>
        <v>3</v>
      </c>
      <c r="V4657" s="328">
        <f>VLOOKUP(C4657,METADATA!$A$5:$H$29,IF(E4657="HI",2,IF(E4657="LO",6,10))+IF(T4657=1,2,IF(D4657=7,1,(IF(WEEKDAY(B4657)=1,2,IF(WEEKDAY(B4657)=7,1,0))))))</f>
        <v>3</v>
      </c>
    </row>
    <row r="4658" spans="2:22">
      <c r="B4658" s="318">
        <f t="shared" si="291"/>
        <v>46306</v>
      </c>
      <c r="C4658" s="312">
        <v>22</v>
      </c>
      <c r="D4658" s="368">
        <f>IFERROR((INDEX(METADATA!$T$2:$T$20,MATCH(B4658,METADATA!$S$2:$S$20,0))),0)</f>
        <v>0</v>
      </c>
      <c r="E4658" s="312" t="str">
        <f t="shared" si="288"/>
        <v>LO</v>
      </c>
      <c r="F4658" s="369">
        <f>VLOOKUP(C4658,METADATA!$A$5:$H$29,IF(E4658="HI",2,IF(E4658="LO",6,10))+IF(D4658=1,2,IF(D4658=7,1,(IF(WEEKDAY(B4658)=1,2,IF(WEEKDAY(B4658)=7,1,0))))))</f>
        <v>3</v>
      </c>
      <c r="G4658" s="369">
        <f>VLOOKUP(C4658,METADATA!$J$5:$Q$29,IF(E4658="HI",2,IF(E4658="LO",6,10))+IF(D4658=1,2,IF(D4658=7,1,(IF(WEEKDAY(B4658)=1,2,IF(WEEKDAY(B4658)=7,1,0))))))</f>
        <v>3</v>
      </c>
      <c r="H4658" s="370">
        <v>12873.074645996094</v>
      </c>
      <c r="I4658" s="370">
        <v>9881.6748657226563</v>
      </c>
      <c r="M4658" s="371">
        <f t="shared" si="289"/>
        <v>16228.479565049904</v>
      </c>
      <c r="N4658" s="329">
        <f t="shared" si="290"/>
        <v>6019.7524719238281</v>
      </c>
      <c r="T4658" s="331">
        <v>0</v>
      </c>
      <c r="U4658" s="328">
        <f>VLOOKUP(C4658,METADATA!$J$5:$Q$29,IF(E4658="HI",2,IF(E4658="LO",6,10))+IF(T4658=1,2,IF(D4658=7,1,(IF(WEEKDAY(B4658)=1,2,IF(WEEKDAY(B4658)=7,1,0))))))</f>
        <v>3</v>
      </c>
      <c r="V4658" s="328">
        <f>VLOOKUP(C4658,METADATA!$A$5:$H$29,IF(E4658="HI",2,IF(E4658="LO",6,10))+IF(T4658=1,2,IF(D4658=7,1,(IF(WEEKDAY(B4658)=1,2,IF(WEEKDAY(B4658)=7,1,0))))))</f>
        <v>3</v>
      </c>
    </row>
    <row r="4659" spans="2:22">
      <c r="B4659" s="318">
        <f t="shared" si="291"/>
        <v>46306</v>
      </c>
      <c r="C4659" s="312">
        <v>23</v>
      </c>
      <c r="D4659" s="368">
        <f>IFERROR((INDEX(METADATA!$T$2:$T$20,MATCH(B4659,METADATA!$S$2:$S$20,0))),0)</f>
        <v>0</v>
      </c>
      <c r="E4659" s="312" t="str">
        <f t="shared" si="288"/>
        <v>LO</v>
      </c>
      <c r="F4659" s="369">
        <f>VLOOKUP(C4659,METADATA!$A$5:$H$29,IF(E4659="HI",2,IF(E4659="LO",6,10))+IF(D4659=1,2,IF(D4659=7,1,(IF(WEEKDAY(B4659)=1,2,IF(WEEKDAY(B4659)=7,1,0))))))</f>
        <v>3</v>
      </c>
      <c r="G4659" s="369">
        <f>VLOOKUP(C4659,METADATA!$J$5:$Q$29,IF(E4659="HI",2,IF(E4659="LO",6,10))+IF(D4659=1,2,IF(D4659=7,1,(IF(WEEKDAY(B4659)=1,2,IF(WEEKDAY(B4659)=7,1,0))))))</f>
        <v>3</v>
      </c>
      <c r="H4659" s="370">
        <v>12805.2998046875</v>
      </c>
      <c r="I4659" s="370">
        <v>9878.02490234375</v>
      </c>
      <c r="M4659" s="371">
        <f t="shared" si="289"/>
        <v>16172.540896818069</v>
      </c>
      <c r="N4659" s="329">
        <f t="shared" si="290"/>
        <v>6036.4349609375004</v>
      </c>
      <c r="T4659" s="331">
        <v>0</v>
      </c>
      <c r="U4659" s="328">
        <f>VLOOKUP(C4659,METADATA!$J$5:$Q$29,IF(E4659="HI",2,IF(E4659="LO",6,10))+IF(T4659=1,2,IF(D4659=7,1,(IF(WEEKDAY(B4659)=1,2,IF(WEEKDAY(B4659)=7,1,0))))))</f>
        <v>3</v>
      </c>
      <c r="V4659" s="328">
        <f>VLOOKUP(C4659,METADATA!$A$5:$H$29,IF(E4659="HI",2,IF(E4659="LO",6,10))+IF(T4659=1,2,IF(D4659=7,1,(IF(WEEKDAY(B4659)=1,2,IF(WEEKDAY(B4659)=7,1,0))))))</f>
        <v>3</v>
      </c>
    </row>
    <row r="4660" spans="2:22">
      <c r="B4660" s="318">
        <f t="shared" si="291"/>
        <v>46307</v>
      </c>
      <c r="C4660" s="312">
        <v>0</v>
      </c>
      <c r="D4660" s="368">
        <f>IFERROR((INDEX(METADATA!$T$2:$T$20,MATCH(B4660,METADATA!$S$2:$S$20,0))),0)</f>
        <v>0</v>
      </c>
      <c r="E4660" s="312" t="str">
        <f t="shared" si="288"/>
        <v>LO</v>
      </c>
      <c r="F4660" s="369">
        <f>VLOOKUP(C4660,METADATA!$A$5:$H$29,IF(E4660="HI",2,IF(E4660="LO",6,10))+IF(D4660=1,2,IF(D4660=7,1,(IF(WEEKDAY(B4660)=1,2,IF(WEEKDAY(B4660)=7,1,0))))))</f>
        <v>3</v>
      </c>
      <c r="G4660" s="369">
        <f>VLOOKUP(C4660,METADATA!$J$5:$Q$29,IF(E4660="HI",2,IF(E4660="LO",6,10))+IF(D4660=1,2,IF(D4660=7,1,(IF(WEEKDAY(B4660)=1,2,IF(WEEKDAY(B4660)=7,1,0))))))</f>
        <v>3</v>
      </c>
      <c r="H4660" s="370">
        <v>12747.225158691406</v>
      </c>
      <c r="I4660" s="370">
        <v>9771.5499267578125</v>
      </c>
      <c r="M4660" s="371">
        <f t="shared" si="289"/>
        <v>16061.598214919204</v>
      </c>
      <c r="N4660" s="329">
        <f t="shared" si="290"/>
        <v>5947.382379150391</v>
      </c>
      <c r="T4660" s="331">
        <v>0</v>
      </c>
      <c r="U4660" s="328">
        <f>VLOOKUP(C4660,METADATA!$J$5:$Q$29,IF(E4660="HI",2,IF(E4660="LO",6,10))+IF(T4660=1,2,IF(D4660=7,1,(IF(WEEKDAY(B4660)=1,2,IF(WEEKDAY(B4660)=7,1,0))))))</f>
        <v>3</v>
      </c>
      <c r="V4660" s="328">
        <f>VLOOKUP(C4660,METADATA!$A$5:$H$29,IF(E4660="HI",2,IF(E4660="LO",6,10))+IF(T4660=1,2,IF(D4660=7,1,(IF(WEEKDAY(B4660)=1,2,IF(WEEKDAY(B4660)=7,1,0))))))</f>
        <v>3</v>
      </c>
    </row>
    <row r="4661" spans="2:22">
      <c r="B4661" s="318">
        <f t="shared" si="291"/>
        <v>46307</v>
      </c>
      <c r="C4661" s="312">
        <v>1</v>
      </c>
      <c r="D4661" s="368">
        <f>IFERROR((INDEX(METADATA!$T$2:$T$20,MATCH(B4661,METADATA!$S$2:$S$20,0))),0)</f>
        <v>0</v>
      </c>
      <c r="E4661" s="312" t="str">
        <f t="shared" si="288"/>
        <v>LO</v>
      </c>
      <c r="F4661" s="369">
        <f>VLOOKUP(C4661,METADATA!$A$5:$H$29,IF(E4661="HI",2,IF(E4661="LO",6,10))+IF(D4661=1,2,IF(D4661=7,1,(IF(WEEKDAY(B4661)=1,2,IF(WEEKDAY(B4661)=7,1,0))))))</f>
        <v>3</v>
      </c>
      <c r="G4661" s="369">
        <f>VLOOKUP(C4661,METADATA!$J$5:$Q$29,IF(E4661="HI",2,IF(E4661="LO",6,10))+IF(D4661=1,2,IF(D4661=7,1,(IF(WEEKDAY(B4661)=1,2,IF(WEEKDAY(B4661)=7,1,0))))))</f>
        <v>3</v>
      </c>
      <c r="H4661" s="370">
        <v>12794.074523925781</v>
      </c>
      <c r="I4661" s="370">
        <v>9734.199951171875</v>
      </c>
      <c r="M4661" s="371">
        <f t="shared" si="289"/>
        <v>16076.162216560308</v>
      </c>
      <c r="N4661" s="329">
        <f t="shared" si="290"/>
        <v>5895.977593994141</v>
      </c>
      <c r="T4661" s="331">
        <v>0</v>
      </c>
      <c r="U4661" s="328">
        <f>VLOOKUP(C4661,METADATA!$J$5:$Q$29,IF(E4661="HI",2,IF(E4661="LO",6,10))+IF(T4661=1,2,IF(D4661=7,1,(IF(WEEKDAY(B4661)=1,2,IF(WEEKDAY(B4661)=7,1,0))))))</f>
        <v>3</v>
      </c>
      <c r="V4661" s="328">
        <f>VLOOKUP(C4661,METADATA!$A$5:$H$29,IF(E4661="HI",2,IF(E4661="LO",6,10))+IF(T4661=1,2,IF(D4661=7,1,(IF(WEEKDAY(B4661)=1,2,IF(WEEKDAY(B4661)=7,1,0))))))</f>
        <v>3</v>
      </c>
    </row>
    <row r="4662" spans="2:22">
      <c r="B4662" s="318">
        <f t="shared" si="291"/>
        <v>46307</v>
      </c>
      <c r="C4662" s="312">
        <v>2</v>
      </c>
      <c r="D4662" s="368">
        <f>IFERROR((INDEX(METADATA!$T$2:$T$20,MATCH(B4662,METADATA!$S$2:$S$20,0))),0)</f>
        <v>0</v>
      </c>
      <c r="E4662" s="312" t="str">
        <f t="shared" si="288"/>
        <v>LO</v>
      </c>
      <c r="F4662" s="369">
        <f>VLOOKUP(C4662,METADATA!$A$5:$H$29,IF(E4662="HI",2,IF(E4662="LO",6,10))+IF(D4662=1,2,IF(D4662=7,1,(IF(WEEKDAY(B4662)=1,2,IF(WEEKDAY(B4662)=7,1,0))))))</f>
        <v>3</v>
      </c>
      <c r="G4662" s="369">
        <f>VLOOKUP(C4662,METADATA!$J$5:$Q$29,IF(E4662="HI",2,IF(E4662="LO",6,10))+IF(D4662=1,2,IF(D4662=7,1,(IF(WEEKDAY(B4662)=1,2,IF(WEEKDAY(B4662)=7,1,0))))))</f>
        <v>3</v>
      </c>
      <c r="H4662" s="370">
        <v>12911.857421875</v>
      </c>
      <c r="I4662" s="370">
        <v>9788.8900146484375</v>
      </c>
      <c r="M4662" s="371">
        <f t="shared" si="289"/>
        <v>16203.037672045091</v>
      </c>
      <c r="N4662" s="329">
        <f t="shared" si="290"/>
        <v>5915.3327880859379</v>
      </c>
      <c r="T4662" s="331">
        <v>0</v>
      </c>
      <c r="U4662" s="328">
        <f>VLOOKUP(C4662,METADATA!$J$5:$Q$29,IF(E4662="HI",2,IF(E4662="LO",6,10))+IF(T4662=1,2,IF(D4662=7,1,(IF(WEEKDAY(B4662)=1,2,IF(WEEKDAY(B4662)=7,1,0))))))</f>
        <v>3</v>
      </c>
      <c r="V4662" s="328">
        <f>VLOOKUP(C4662,METADATA!$A$5:$H$29,IF(E4662="HI",2,IF(E4662="LO",6,10))+IF(T4662=1,2,IF(D4662=7,1,(IF(WEEKDAY(B4662)=1,2,IF(WEEKDAY(B4662)=7,1,0))))))</f>
        <v>3</v>
      </c>
    </row>
    <row r="4663" spans="2:22">
      <c r="B4663" s="318">
        <f t="shared" si="291"/>
        <v>46307</v>
      </c>
      <c r="C4663" s="312">
        <v>3</v>
      </c>
      <c r="D4663" s="368">
        <f>IFERROR((INDEX(METADATA!$T$2:$T$20,MATCH(B4663,METADATA!$S$2:$S$20,0))),0)</f>
        <v>0</v>
      </c>
      <c r="E4663" s="312" t="str">
        <f t="shared" si="288"/>
        <v>LO</v>
      </c>
      <c r="F4663" s="369">
        <f>VLOOKUP(C4663,METADATA!$A$5:$H$29,IF(E4663="HI",2,IF(E4663="LO",6,10))+IF(D4663=1,2,IF(D4663=7,1,(IF(WEEKDAY(B4663)=1,2,IF(WEEKDAY(B4663)=7,1,0))))))</f>
        <v>3</v>
      </c>
      <c r="G4663" s="369">
        <f>VLOOKUP(C4663,METADATA!$J$5:$Q$29,IF(E4663="HI",2,IF(E4663="LO",6,10))+IF(D4663=1,2,IF(D4663=7,1,(IF(WEEKDAY(B4663)=1,2,IF(WEEKDAY(B4663)=7,1,0))))))</f>
        <v>3</v>
      </c>
      <c r="H4663" s="370">
        <v>12835.149780273438</v>
      </c>
      <c r="I4663" s="370">
        <v>9766.9000244140625</v>
      </c>
      <c r="M4663" s="371">
        <f t="shared" si="289"/>
        <v>16128.651709580459</v>
      </c>
      <c r="N4663" s="329">
        <f t="shared" si="290"/>
        <v>5916.355090332032</v>
      </c>
      <c r="T4663" s="331">
        <v>0</v>
      </c>
      <c r="U4663" s="328">
        <f>VLOOKUP(C4663,METADATA!$J$5:$Q$29,IF(E4663="HI",2,IF(E4663="LO",6,10))+IF(T4663=1,2,IF(D4663=7,1,(IF(WEEKDAY(B4663)=1,2,IF(WEEKDAY(B4663)=7,1,0))))))</f>
        <v>3</v>
      </c>
      <c r="V4663" s="328">
        <f>VLOOKUP(C4663,METADATA!$A$5:$H$29,IF(E4663="HI",2,IF(E4663="LO",6,10))+IF(T4663=1,2,IF(D4663=7,1,(IF(WEEKDAY(B4663)=1,2,IF(WEEKDAY(B4663)=7,1,0))))))</f>
        <v>3</v>
      </c>
    </row>
    <row r="4664" spans="2:22">
      <c r="B4664" s="318">
        <f t="shared" si="291"/>
        <v>46307</v>
      </c>
      <c r="C4664" s="312">
        <v>4</v>
      </c>
      <c r="D4664" s="368">
        <f>IFERROR((INDEX(METADATA!$T$2:$T$20,MATCH(B4664,METADATA!$S$2:$S$20,0))),0)</f>
        <v>0</v>
      </c>
      <c r="E4664" s="312" t="str">
        <f t="shared" si="288"/>
        <v>LO</v>
      </c>
      <c r="F4664" s="369">
        <f>VLOOKUP(C4664,METADATA!$A$5:$H$29,IF(E4664="HI",2,IF(E4664="LO",6,10))+IF(D4664=1,2,IF(D4664=7,1,(IF(WEEKDAY(B4664)=1,2,IF(WEEKDAY(B4664)=7,1,0))))))</f>
        <v>3</v>
      </c>
      <c r="G4664" s="369">
        <f>VLOOKUP(C4664,METADATA!$J$5:$Q$29,IF(E4664="HI",2,IF(E4664="LO",6,10))+IF(D4664=1,2,IF(D4664=7,1,(IF(WEEKDAY(B4664)=1,2,IF(WEEKDAY(B4664)=7,1,0))))))</f>
        <v>3</v>
      </c>
      <c r="H4664" s="370">
        <v>12751.049682617188</v>
      </c>
      <c r="I4664" s="370">
        <v>9757.6998901367188</v>
      </c>
      <c r="M4664" s="371">
        <f t="shared" si="289"/>
        <v>16056.212976743489</v>
      </c>
      <c r="N4664" s="329">
        <f t="shared" si="290"/>
        <v>5932.3849853515621</v>
      </c>
      <c r="T4664" s="331">
        <v>0</v>
      </c>
      <c r="U4664" s="328">
        <f>VLOOKUP(C4664,METADATA!$J$5:$Q$29,IF(E4664="HI",2,IF(E4664="LO",6,10))+IF(T4664=1,2,IF(D4664=7,1,(IF(WEEKDAY(B4664)=1,2,IF(WEEKDAY(B4664)=7,1,0))))))</f>
        <v>3</v>
      </c>
      <c r="V4664" s="328">
        <f>VLOOKUP(C4664,METADATA!$A$5:$H$29,IF(E4664="HI",2,IF(E4664="LO",6,10))+IF(T4664=1,2,IF(D4664=7,1,(IF(WEEKDAY(B4664)=1,2,IF(WEEKDAY(B4664)=7,1,0))))))</f>
        <v>3</v>
      </c>
    </row>
    <row r="4665" spans="2:22">
      <c r="B4665" s="318">
        <f t="shared" si="291"/>
        <v>46307</v>
      </c>
      <c r="C4665" s="312">
        <v>5</v>
      </c>
      <c r="D4665" s="368">
        <f>IFERROR((INDEX(METADATA!$T$2:$T$20,MATCH(B4665,METADATA!$S$2:$S$20,0))),0)</f>
        <v>0</v>
      </c>
      <c r="E4665" s="312" t="str">
        <f t="shared" si="288"/>
        <v>LO</v>
      </c>
      <c r="F4665" s="369">
        <f>VLOOKUP(C4665,METADATA!$A$5:$H$29,IF(E4665="HI",2,IF(E4665="LO",6,10))+IF(D4665=1,2,IF(D4665=7,1,(IF(WEEKDAY(B4665)=1,2,IF(WEEKDAY(B4665)=7,1,0))))))</f>
        <v>3</v>
      </c>
      <c r="G4665" s="369">
        <f>VLOOKUP(C4665,METADATA!$J$5:$Q$29,IF(E4665="HI",2,IF(E4665="LO",6,10))+IF(D4665=1,2,IF(D4665=7,1,(IF(WEEKDAY(B4665)=1,2,IF(WEEKDAY(B4665)=7,1,0))))))</f>
        <v>3</v>
      </c>
      <c r="H4665" s="370">
        <v>12750.025451660156</v>
      </c>
      <c r="I4665" s="370">
        <v>9550.6749877929688</v>
      </c>
      <c r="M4665" s="371">
        <f t="shared" si="289"/>
        <v>15930.428171911639</v>
      </c>
      <c r="N4665" s="329">
        <f t="shared" si="290"/>
        <v>5725.6673522949222</v>
      </c>
      <c r="T4665" s="331">
        <v>0</v>
      </c>
      <c r="U4665" s="328">
        <f>VLOOKUP(C4665,METADATA!$J$5:$Q$29,IF(E4665="HI",2,IF(E4665="LO",6,10))+IF(T4665=1,2,IF(D4665=7,1,(IF(WEEKDAY(B4665)=1,2,IF(WEEKDAY(B4665)=7,1,0))))))</f>
        <v>3</v>
      </c>
      <c r="V4665" s="328">
        <f>VLOOKUP(C4665,METADATA!$A$5:$H$29,IF(E4665="HI",2,IF(E4665="LO",6,10))+IF(T4665=1,2,IF(D4665=7,1,(IF(WEEKDAY(B4665)=1,2,IF(WEEKDAY(B4665)=7,1,0))))))</f>
        <v>3</v>
      </c>
    </row>
    <row r="4666" spans="2:22">
      <c r="B4666" s="318">
        <f t="shared" si="291"/>
        <v>46307</v>
      </c>
      <c r="C4666" s="312">
        <v>6</v>
      </c>
      <c r="D4666" s="368">
        <f>IFERROR((INDEX(METADATA!$T$2:$T$20,MATCH(B4666,METADATA!$S$2:$S$20,0))),0)</f>
        <v>0</v>
      </c>
      <c r="E4666" s="312" t="str">
        <f t="shared" si="288"/>
        <v>LO</v>
      </c>
      <c r="F4666" s="369">
        <f>VLOOKUP(C4666,METADATA!$A$5:$H$29,IF(E4666="HI",2,IF(E4666="LO",6,10))+IF(D4666=1,2,IF(D4666=7,1,(IF(WEEKDAY(B4666)=1,2,IF(WEEKDAY(B4666)=7,1,0))))))</f>
        <v>2</v>
      </c>
      <c r="G4666" s="369">
        <f>VLOOKUP(C4666,METADATA!$J$5:$Q$29,IF(E4666="HI",2,IF(E4666="LO",6,10))+IF(D4666=1,2,IF(D4666=7,1,(IF(WEEKDAY(B4666)=1,2,IF(WEEKDAY(B4666)=7,1,0))))))</f>
        <v>2</v>
      </c>
      <c r="H4666" s="370">
        <v>12795.099975585938</v>
      </c>
      <c r="I4666" s="370">
        <v>9480.3248291015625</v>
      </c>
      <c r="M4666" s="371">
        <f t="shared" si="289"/>
        <v>15924.545276098743</v>
      </c>
      <c r="N4666" s="329">
        <f t="shared" si="290"/>
        <v>5641.7948364257809</v>
      </c>
      <c r="T4666" s="331">
        <v>0</v>
      </c>
      <c r="U4666" s="328">
        <f>VLOOKUP(C4666,METADATA!$J$5:$Q$29,IF(E4666="HI",2,IF(E4666="LO",6,10))+IF(T4666=1,2,IF(D4666=7,1,(IF(WEEKDAY(B4666)=1,2,IF(WEEKDAY(B4666)=7,1,0))))))</f>
        <v>2</v>
      </c>
      <c r="V4666" s="328">
        <f>VLOOKUP(C4666,METADATA!$A$5:$H$29,IF(E4666="HI",2,IF(E4666="LO",6,10))+IF(T4666=1,2,IF(D4666=7,1,(IF(WEEKDAY(B4666)=1,2,IF(WEEKDAY(B4666)=7,1,0))))))</f>
        <v>2</v>
      </c>
    </row>
    <row r="4667" spans="2:22">
      <c r="B4667" s="318">
        <f t="shared" si="291"/>
        <v>46307</v>
      </c>
      <c r="C4667" s="312">
        <v>7</v>
      </c>
      <c r="D4667" s="368">
        <f>IFERROR((INDEX(METADATA!$T$2:$T$20,MATCH(B4667,METADATA!$S$2:$S$20,0))),0)</f>
        <v>0</v>
      </c>
      <c r="E4667" s="312" t="str">
        <f t="shared" si="288"/>
        <v>LO</v>
      </c>
      <c r="F4667" s="369">
        <f>VLOOKUP(C4667,METADATA!$A$5:$H$29,IF(E4667="HI",2,IF(E4667="LO",6,10))+IF(D4667=1,2,IF(D4667=7,1,(IF(WEEKDAY(B4667)=1,2,IF(WEEKDAY(B4667)=7,1,0))))))</f>
        <v>1</v>
      </c>
      <c r="G4667" s="369">
        <f>VLOOKUP(C4667,METADATA!$J$5:$Q$29,IF(E4667="HI",2,IF(E4667="LO",6,10))+IF(D4667=1,2,IF(D4667=7,1,(IF(WEEKDAY(B4667)=1,2,IF(WEEKDAY(B4667)=7,1,0))))))</f>
        <v>1</v>
      </c>
      <c r="H4667" s="370">
        <v>12988.499755859375</v>
      </c>
      <c r="I4667" s="370">
        <v>9664.8748779296875</v>
      </c>
      <c r="M4667" s="371">
        <f t="shared" si="289"/>
        <v>16189.840404216326</v>
      </c>
      <c r="N4667" s="329">
        <f t="shared" si="290"/>
        <v>5768.324951171875</v>
      </c>
      <c r="T4667" s="331">
        <v>0</v>
      </c>
      <c r="U4667" s="328">
        <f>VLOOKUP(C4667,METADATA!$J$5:$Q$29,IF(E4667="HI",2,IF(E4667="LO",6,10))+IF(T4667=1,2,IF(D4667=7,1,(IF(WEEKDAY(B4667)=1,2,IF(WEEKDAY(B4667)=7,1,0))))))</f>
        <v>1</v>
      </c>
      <c r="V4667" s="328">
        <f>VLOOKUP(C4667,METADATA!$A$5:$H$29,IF(E4667="HI",2,IF(E4667="LO",6,10))+IF(T4667=1,2,IF(D4667=7,1,(IF(WEEKDAY(B4667)=1,2,IF(WEEKDAY(B4667)=7,1,0))))))</f>
        <v>1</v>
      </c>
    </row>
    <row r="4668" spans="2:22">
      <c r="B4668" s="318">
        <f t="shared" si="291"/>
        <v>46307</v>
      </c>
      <c r="C4668" s="312">
        <v>8</v>
      </c>
      <c r="D4668" s="368">
        <f>IFERROR((INDEX(METADATA!$T$2:$T$20,MATCH(B4668,METADATA!$S$2:$S$20,0))),0)</f>
        <v>0</v>
      </c>
      <c r="E4668" s="312" t="str">
        <f t="shared" si="288"/>
        <v>LO</v>
      </c>
      <c r="F4668" s="369">
        <f>VLOOKUP(C4668,METADATA!$A$5:$H$29,IF(E4668="HI",2,IF(E4668="LO",6,10))+IF(D4668=1,2,IF(D4668=7,1,(IF(WEEKDAY(B4668)=1,2,IF(WEEKDAY(B4668)=7,1,0))))))</f>
        <v>1</v>
      </c>
      <c r="G4668" s="369">
        <f>VLOOKUP(C4668,METADATA!$J$5:$Q$29,IF(E4668="HI",2,IF(E4668="LO",6,10))+IF(D4668=1,2,IF(D4668=7,1,(IF(WEEKDAY(B4668)=1,2,IF(WEEKDAY(B4668)=7,1,0))))))</f>
        <v>1</v>
      </c>
      <c r="H4668" s="370">
        <v>12994.125183105469</v>
      </c>
      <c r="I4668" s="370">
        <v>9689.57470703125</v>
      </c>
      <c r="M4668" s="371">
        <f t="shared" si="289"/>
        <v>16209.106924113847</v>
      </c>
      <c r="N4668" s="329">
        <f t="shared" si="290"/>
        <v>5791.3371520996097</v>
      </c>
      <c r="T4668" s="331">
        <v>0</v>
      </c>
      <c r="U4668" s="328">
        <f>VLOOKUP(C4668,METADATA!$J$5:$Q$29,IF(E4668="HI",2,IF(E4668="LO",6,10))+IF(T4668=1,2,IF(D4668=7,1,(IF(WEEKDAY(B4668)=1,2,IF(WEEKDAY(B4668)=7,1,0))))))</f>
        <v>1</v>
      </c>
      <c r="V4668" s="328">
        <f>VLOOKUP(C4668,METADATA!$A$5:$H$29,IF(E4668="HI",2,IF(E4668="LO",6,10))+IF(T4668=1,2,IF(D4668=7,1,(IF(WEEKDAY(B4668)=1,2,IF(WEEKDAY(B4668)=7,1,0))))))</f>
        <v>1</v>
      </c>
    </row>
    <row r="4669" spans="2:22">
      <c r="B4669" s="318">
        <f t="shared" si="291"/>
        <v>46307</v>
      </c>
      <c r="C4669" s="312">
        <v>9</v>
      </c>
      <c r="D4669" s="368">
        <f>IFERROR((INDEX(METADATA!$T$2:$T$20,MATCH(B4669,METADATA!$S$2:$S$20,0))),0)</f>
        <v>0</v>
      </c>
      <c r="E4669" s="312" t="str">
        <f t="shared" si="288"/>
        <v>LO</v>
      </c>
      <c r="F4669" s="369">
        <f>VLOOKUP(C4669,METADATA!$A$5:$H$29,IF(E4669="HI",2,IF(E4669="LO",6,10))+IF(D4669=1,2,IF(D4669=7,1,(IF(WEEKDAY(B4669)=1,2,IF(WEEKDAY(B4669)=7,1,0))))))</f>
        <v>2</v>
      </c>
      <c r="G4669" s="369">
        <f>VLOOKUP(C4669,METADATA!$J$5:$Q$29,IF(E4669="HI",2,IF(E4669="LO",6,10))+IF(D4669=1,2,IF(D4669=7,1,(IF(WEEKDAY(B4669)=1,2,IF(WEEKDAY(B4669)=7,1,0))))))</f>
        <v>2</v>
      </c>
      <c r="H4669" s="370">
        <v>13016.875122070313</v>
      </c>
      <c r="I4669" s="370">
        <v>9785.2000122070313</v>
      </c>
      <c r="M4669" s="371">
        <f t="shared" si="289"/>
        <v>16284.630091668323</v>
      </c>
      <c r="N4669" s="329">
        <f t="shared" si="290"/>
        <v>5880.1374755859379</v>
      </c>
      <c r="T4669" s="331">
        <v>0</v>
      </c>
      <c r="U4669" s="328">
        <f>VLOOKUP(C4669,METADATA!$J$5:$Q$29,IF(E4669="HI",2,IF(E4669="LO",6,10))+IF(T4669=1,2,IF(D4669=7,1,(IF(WEEKDAY(B4669)=1,2,IF(WEEKDAY(B4669)=7,1,0))))))</f>
        <v>2</v>
      </c>
      <c r="V4669" s="328">
        <f>VLOOKUP(C4669,METADATA!$A$5:$H$29,IF(E4669="HI",2,IF(E4669="LO",6,10))+IF(T4669=1,2,IF(D4669=7,1,(IF(WEEKDAY(B4669)=1,2,IF(WEEKDAY(B4669)=7,1,0))))))</f>
        <v>2</v>
      </c>
    </row>
    <row r="4670" spans="2:22">
      <c r="B4670" s="318">
        <f t="shared" si="291"/>
        <v>46307</v>
      </c>
      <c r="C4670" s="312">
        <v>10</v>
      </c>
      <c r="D4670" s="368">
        <f>IFERROR((INDEX(METADATA!$T$2:$T$20,MATCH(B4670,METADATA!$S$2:$S$20,0))),0)</f>
        <v>0</v>
      </c>
      <c r="E4670" s="312" t="str">
        <f t="shared" si="288"/>
        <v>LO</v>
      </c>
      <c r="F4670" s="369">
        <f>VLOOKUP(C4670,METADATA!$A$5:$H$29,IF(E4670="HI",2,IF(E4670="LO",6,10))+IF(D4670=1,2,IF(D4670=7,1,(IF(WEEKDAY(B4670)=1,2,IF(WEEKDAY(B4670)=7,1,0))))))</f>
        <v>2</v>
      </c>
      <c r="G4670" s="369">
        <f>VLOOKUP(C4670,METADATA!$J$5:$Q$29,IF(E4670="HI",2,IF(E4670="LO",6,10))+IF(D4670=1,2,IF(D4670=7,1,(IF(WEEKDAY(B4670)=1,2,IF(WEEKDAY(B4670)=7,1,0))))))</f>
        <v>2</v>
      </c>
      <c r="H4670" s="370">
        <v>12854.550109863281</v>
      </c>
      <c r="I4670" s="370">
        <v>9604.8499755859375</v>
      </c>
      <c r="M4670" s="371">
        <f t="shared" si="289"/>
        <v>16046.576007999316</v>
      </c>
      <c r="N4670" s="329">
        <f t="shared" si="290"/>
        <v>5748.4849426269539</v>
      </c>
      <c r="T4670" s="331">
        <v>0</v>
      </c>
      <c r="U4670" s="328">
        <f>VLOOKUP(C4670,METADATA!$J$5:$Q$29,IF(E4670="HI",2,IF(E4670="LO",6,10))+IF(T4670=1,2,IF(D4670=7,1,(IF(WEEKDAY(B4670)=1,2,IF(WEEKDAY(B4670)=7,1,0))))))</f>
        <v>2</v>
      </c>
      <c r="V4670" s="328">
        <f>VLOOKUP(C4670,METADATA!$A$5:$H$29,IF(E4670="HI",2,IF(E4670="LO",6,10))+IF(T4670=1,2,IF(D4670=7,1,(IF(WEEKDAY(B4670)=1,2,IF(WEEKDAY(B4670)=7,1,0))))))</f>
        <v>2</v>
      </c>
    </row>
    <row r="4671" spans="2:22">
      <c r="B4671" s="318">
        <f t="shared" si="291"/>
        <v>46307</v>
      </c>
      <c r="C4671" s="312">
        <v>11</v>
      </c>
      <c r="D4671" s="368">
        <f>IFERROR((INDEX(METADATA!$T$2:$T$20,MATCH(B4671,METADATA!$S$2:$S$20,0))),0)</f>
        <v>0</v>
      </c>
      <c r="E4671" s="312" t="str">
        <f t="shared" si="288"/>
        <v>LO</v>
      </c>
      <c r="F4671" s="369">
        <f>VLOOKUP(C4671,METADATA!$A$5:$H$29,IF(E4671="HI",2,IF(E4671="LO",6,10))+IF(D4671=1,2,IF(D4671=7,1,(IF(WEEKDAY(B4671)=1,2,IF(WEEKDAY(B4671)=7,1,0))))))</f>
        <v>2</v>
      </c>
      <c r="G4671" s="369">
        <f>VLOOKUP(C4671,METADATA!$J$5:$Q$29,IF(E4671="HI",2,IF(E4671="LO",6,10))+IF(D4671=1,2,IF(D4671=7,1,(IF(WEEKDAY(B4671)=1,2,IF(WEEKDAY(B4671)=7,1,0))))))</f>
        <v>2</v>
      </c>
      <c r="H4671" s="370">
        <v>11841.175048828125</v>
      </c>
      <c r="I4671" s="370">
        <v>9125.0748901367188</v>
      </c>
      <c r="M4671" s="371">
        <f t="shared" si="289"/>
        <v>14949.261462948376</v>
      </c>
      <c r="N4671" s="329">
        <f t="shared" si="290"/>
        <v>5572.7223754882816</v>
      </c>
      <c r="T4671" s="331">
        <v>0</v>
      </c>
      <c r="U4671" s="328">
        <f>VLOOKUP(C4671,METADATA!$J$5:$Q$29,IF(E4671="HI",2,IF(E4671="LO",6,10))+IF(T4671=1,2,IF(D4671=7,1,(IF(WEEKDAY(B4671)=1,2,IF(WEEKDAY(B4671)=7,1,0))))))</f>
        <v>2</v>
      </c>
      <c r="V4671" s="328">
        <f>VLOOKUP(C4671,METADATA!$A$5:$H$29,IF(E4671="HI",2,IF(E4671="LO",6,10))+IF(T4671=1,2,IF(D4671=7,1,(IF(WEEKDAY(B4671)=1,2,IF(WEEKDAY(B4671)=7,1,0))))))</f>
        <v>2</v>
      </c>
    </row>
    <row r="4672" spans="2:22">
      <c r="B4672" s="318">
        <f t="shared" si="291"/>
        <v>46307</v>
      </c>
      <c r="C4672" s="312">
        <v>12</v>
      </c>
      <c r="D4672" s="368">
        <f>IFERROR((INDEX(METADATA!$T$2:$T$20,MATCH(B4672,METADATA!$S$2:$S$20,0))),0)</f>
        <v>0</v>
      </c>
      <c r="E4672" s="312" t="str">
        <f t="shared" si="288"/>
        <v>LO</v>
      </c>
      <c r="F4672" s="369">
        <f>VLOOKUP(C4672,METADATA!$A$5:$H$29,IF(E4672="HI",2,IF(E4672="LO",6,10))+IF(D4672=1,2,IF(D4672=7,1,(IF(WEEKDAY(B4672)=1,2,IF(WEEKDAY(B4672)=7,1,0))))))</f>
        <v>2</v>
      </c>
      <c r="G4672" s="369">
        <f>VLOOKUP(C4672,METADATA!$J$5:$Q$29,IF(E4672="HI",2,IF(E4672="LO",6,10))+IF(D4672=1,2,IF(D4672=7,1,(IF(WEEKDAY(B4672)=1,2,IF(WEEKDAY(B4672)=7,1,0))))))</f>
        <v>2</v>
      </c>
      <c r="H4672" s="370">
        <v>11767.624755859375</v>
      </c>
      <c r="I4672" s="370">
        <v>9018.1748046875</v>
      </c>
      <c r="M4672" s="371">
        <f t="shared" si="289"/>
        <v>14825.804167147724</v>
      </c>
      <c r="N4672" s="329">
        <f t="shared" si="290"/>
        <v>5487.8873779296882</v>
      </c>
      <c r="T4672" s="331">
        <v>0</v>
      </c>
      <c r="U4672" s="328">
        <f>VLOOKUP(C4672,METADATA!$J$5:$Q$29,IF(E4672="HI",2,IF(E4672="LO",6,10))+IF(T4672=1,2,IF(D4672=7,1,(IF(WEEKDAY(B4672)=1,2,IF(WEEKDAY(B4672)=7,1,0))))))</f>
        <v>2</v>
      </c>
      <c r="V4672" s="328">
        <f>VLOOKUP(C4672,METADATA!$A$5:$H$29,IF(E4672="HI",2,IF(E4672="LO",6,10))+IF(T4672=1,2,IF(D4672=7,1,(IF(WEEKDAY(B4672)=1,2,IF(WEEKDAY(B4672)=7,1,0))))))</f>
        <v>2</v>
      </c>
    </row>
    <row r="4673" spans="2:22">
      <c r="B4673" s="318">
        <f t="shared" si="291"/>
        <v>46307</v>
      </c>
      <c r="C4673" s="312">
        <v>13</v>
      </c>
      <c r="D4673" s="368">
        <f>IFERROR((INDEX(METADATA!$T$2:$T$20,MATCH(B4673,METADATA!$S$2:$S$20,0))),0)</f>
        <v>0</v>
      </c>
      <c r="E4673" s="312" t="str">
        <f t="shared" si="288"/>
        <v>LO</v>
      </c>
      <c r="F4673" s="369">
        <f>VLOOKUP(C4673,METADATA!$A$5:$H$29,IF(E4673="HI",2,IF(E4673="LO",6,10))+IF(D4673=1,2,IF(D4673=7,1,(IF(WEEKDAY(B4673)=1,2,IF(WEEKDAY(B4673)=7,1,0))))))</f>
        <v>2</v>
      </c>
      <c r="G4673" s="369">
        <f>VLOOKUP(C4673,METADATA!$J$5:$Q$29,IF(E4673="HI",2,IF(E4673="LO",6,10))+IF(D4673=1,2,IF(D4673=7,1,(IF(WEEKDAY(B4673)=1,2,IF(WEEKDAY(B4673)=7,1,0))))))</f>
        <v>2</v>
      </c>
      <c r="H4673" s="370">
        <v>12338.274780273438</v>
      </c>
      <c r="I4673" s="370">
        <v>9422.425048828125</v>
      </c>
      <c r="M4673" s="371">
        <f t="shared" si="289"/>
        <v>15524.6616180294</v>
      </c>
      <c r="N4673" s="329">
        <f t="shared" si="290"/>
        <v>5720.9426147460945</v>
      </c>
      <c r="T4673" s="331">
        <v>0</v>
      </c>
      <c r="U4673" s="328">
        <f>VLOOKUP(C4673,METADATA!$J$5:$Q$29,IF(E4673="HI",2,IF(E4673="LO",6,10))+IF(T4673=1,2,IF(D4673=7,1,(IF(WEEKDAY(B4673)=1,2,IF(WEEKDAY(B4673)=7,1,0))))))</f>
        <v>2</v>
      </c>
      <c r="V4673" s="328">
        <f>VLOOKUP(C4673,METADATA!$A$5:$H$29,IF(E4673="HI",2,IF(E4673="LO",6,10))+IF(T4673=1,2,IF(D4673=7,1,(IF(WEEKDAY(B4673)=1,2,IF(WEEKDAY(B4673)=7,1,0))))))</f>
        <v>2</v>
      </c>
    </row>
    <row r="4674" spans="2:22">
      <c r="B4674" s="318">
        <f t="shared" si="291"/>
        <v>46307</v>
      </c>
      <c r="C4674" s="312">
        <v>14</v>
      </c>
      <c r="D4674" s="368">
        <f>IFERROR((INDEX(METADATA!$T$2:$T$20,MATCH(B4674,METADATA!$S$2:$S$20,0))),0)</f>
        <v>0</v>
      </c>
      <c r="E4674" s="312" t="str">
        <f t="shared" si="288"/>
        <v>LO</v>
      </c>
      <c r="F4674" s="369">
        <f>VLOOKUP(C4674,METADATA!$A$5:$H$29,IF(E4674="HI",2,IF(E4674="LO",6,10))+IF(D4674=1,2,IF(D4674=7,1,(IF(WEEKDAY(B4674)=1,2,IF(WEEKDAY(B4674)=7,1,0))))))</f>
        <v>2</v>
      </c>
      <c r="G4674" s="369">
        <f>VLOOKUP(C4674,METADATA!$J$5:$Q$29,IF(E4674="HI",2,IF(E4674="LO",6,10))+IF(D4674=1,2,IF(D4674=7,1,(IF(WEEKDAY(B4674)=1,2,IF(WEEKDAY(B4674)=7,1,0))))))</f>
        <v>2</v>
      </c>
      <c r="H4674" s="370">
        <v>12582.624816894531</v>
      </c>
      <c r="I4674" s="370">
        <v>9473.724853515625</v>
      </c>
      <c r="M4674" s="371">
        <f t="shared" si="289"/>
        <v>15750.362214338113</v>
      </c>
      <c r="N4674" s="329">
        <f t="shared" si="290"/>
        <v>5698.9374084472656</v>
      </c>
      <c r="T4674" s="331">
        <v>0</v>
      </c>
      <c r="U4674" s="328">
        <f>VLOOKUP(C4674,METADATA!$J$5:$Q$29,IF(E4674="HI",2,IF(E4674="LO",6,10))+IF(T4674=1,2,IF(D4674=7,1,(IF(WEEKDAY(B4674)=1,2,IF(WEEKDAY(B4674)=7,1,0))))))</f>
        <v>2</v>
      </c>
      <c r="V4674" s="328">
        <f>VLOOKUP(C4674,METADATA!$A$5:$H$29,IF(E4674="HI",2,IF(E4674="LO",6,10))+IF(T4674=1,2,IF(D4674=7,1,(IF(WEEKDAY(B4674)=1,2,IF(WEEKDAY(B4674)=7,1,0))))))</f>
        <v>2</v>
      </c>
    </row>
    <row r="4675" spans="2:22">
      <c r="B4675" s="318">
        <f t="shared" si="291"/>
        <v>46307</v>
      </c>
      <c r="C4675" s="312">
        <v>15</v>
      </c>
      <c r="D4675" s="368">
        <f>IFERROR((INDEX(METADATA!$T$2:$T$20,MATCH(B4675,METADATA!$S$2:$S$20,0))),0)</f>
        <v>0</v>
      </c>
      <c r="E4675" s="312" t="str">
        <f t="shared" si="288"/>
        <v>LO</v>
      </c>
      <c r="F4675" s="369">
        <f>VLOOKUP(C4675,METADATA!$A$5:$H$29,IF(E4675="HI",2,IF(E4675="LO",6,10))+IF(D4675=1,2,IF(D4675=7,1,(IF(WEEKDAY(B4675)=1,2,IF(WEEKDAY(B4675)=7,1,0))))))</f>
        <v>2</v>
      </c>
      <c r="G4675" s="369">
        <f>VLOOKUP(C4675,METADATA!$J$5:$Q$29,IF(E4675="HI",2,IF(E4675="LO",6,10))+IF(D4675=1,2,IF(D4675=7,1,(IF(WEEKDAY(B4675)=1,2,IF(WEEKDAY(B4675)=7,1,0))))))</f>
        <v>2</v>
      </c>
      <c r="H4675" s="370">
        <v>12583.624816894531</v>
      </c>
      <c r="I4675" s="370">
        <v>9708.4249267578125</v>
      </c>
      <c r="M4675" s="371">
        <f t="shared" si="289"/>
        <v>15893.43034372556</v>
      </c>
      <c r="N4675" s="329">
        <f t="shared" si="290"/>
        <v>5933.3374816894539</v>
      </c>
      <c r="T4675" s="331">
        <v>0</v>
      </c>
      <c r="U4675" s="328">
        <f>VLOOKUP(C4675,METADATA!$J$5:$Q$29,IF(E4675="HI",2,IF(E4675="LO",6,10))+IF(T4675=1,2,IF(D4675=7,1,(IF(WEEKDAY(B4675)=1,2,IF(WEEKDAY(B4675)=7,1,0))))))</f>
        <v>2</v>
      </c>
      <c r="V4675" s="328">
        <f>VLOOKUP(C4675,METADATA!$A$5:$H$29,IF(E4675="HI",2,IF(E4675="LO",6,10))+IF(T4675=1,2,IF(D4675=7,1,(IF(WEEKDAY(B4675)=1,2,IF(WEEKDAY(B4675)=7,1,0))))))</f>
        <v>2</v>
      </c>
    </row>
    <row r="4676" spans="2:22">
      <c r="B4676" s="318">
        <f t="shared" si="291"/>
        <v>46307</v>
      </c>
      <c r="C4676" s="312">
        <v>16</v>
      </c>
      <c r="D4676" s="368">
        <f>IFERROR((INDEX(METADATA!$T$2:$T$20,MATCH(B4676,METADATA!$S$2:$S$20,0))),0)</f>
        <v>0</v>
      </c>
      <c r="E4676" s="312" t="str">
        <f t="shared" ref="E4676:E4739" si="292">IF(B4676="","",IF(AND(MONTH(B4676)&gt;=MONTH($Z$9),MONTH(B4676)&lt;=MONTH($Z$11)),"HI","LO"))</f>
        <v>LO</v>
      </c>
      <c r="F4676" s="369">
        <f>VLOOKUP(C4676,METADATA!$A$5:$H$29,IF(E4676="HI",2,IF(E4676="LO",6,10))+IF(D4676=1,2,IF(D4676=7,1,(IF(WEEKDAY(B4676)=1,2,IF(WEEKDAY(B4676)=7,1,0))))))</f>
        <v>2</v>
      </c>
      <c r="G4676" s="369">
        <f>VLOOKUP(C4676,METADATA!$J$5:$Q$29,IF(E4676="HI",2,IF(E4676="LO",6,10))+IF(D4676=1,2,IF(D4676=7,1,(IF(WEEKDAY(B4676)=1,2,IF(WEEKDAY(B4676)=7,1,0))))))</f>
        <v>2</v>
      </c>
      <c r="H4676" s="370">
        <v>12563.199523925781</v>
      </c>
      <c r="I4676" s="370">
        <v>9810.64990234375</v>
      </c>
      <c r="M4676" s="371">
        <f t="shared" ref="M4676:M4739" si="293">SQRT(H4676^2+I4676^2)</f>
        <v>15939.975965613197</v>
      </c>
      <c r="N4676" s="329">
        <f t="shared" ref="N4676:N4739" si="294">IF(H4676=0,0,(IF(I4676-(0.3*H4676)&lt;0,0,(I4676-(0.3*H4676)))))</f>
        <v>6041.6900451660158</v>
      </c>
      <c r="T4676" s="331">
        <v>0</v>
      </c>
      <c r="U4676" s="328">
        <f>VLOOKUP(C4676,METADATA!$J$5:$Q$29,IF(E4676="HI",2,IF(E4676="LO",6,10))+IF(T4676=1,2,IF(D4676=7,1,(IF(WEEKDAY(B4676)=1,2,IF(WEEKDAY(B4676)=7,1,0))))))</f>
        <v>2</v>
      </c>
      <c r="V4676" s="328">
        <f>VLOOKUP(C4676,METADATA!$A$5:$H$29,IF(E4676="HI",2,IF(E4676="LO",6,10))+IF(T4676=1,2,IF(D4676=7,1,(IF(WEEKDAY(B4676)=1,2,IF(WEEKDAY(B4676)=7,1,0))))))</f>
        <v>2</v>
      </c>
    </row>
    <row r="4677" spans="2:22">
      <c r="B4677" s="318">
        <f t="shared" si="291"/>
        <v>46307</v>
      </c>
      <c r="C4677" s="312">
        <v>17</v>
      </c>
      <c r="D4677" s="368">
        <f>IFERROR((INDEX(METADATA!$T$2:$T$20,MATCH(B4677,METADATA!$S$2:$S$20,0))),0)</f>
        <v>0</v>
      </c>
      <c r="E4677" s="312" t="str">
        <f t="shared" si="292"/>
        <v>LO</v>
      </c>
      <c r="F4677" s="369">
        <f>VLOOKUP(C4677,METADATA!$A$5:$H$29,IF(E4677="HI",2,IF(E4677="LO",6,10))+IF(D4677=1,2,IF(D4677=7,1,(IF(WEEKDAY(B4677)=1,2,IF(WEEKDAY(B4677)=7,1,0))))))</f>
        <v>2</v>
      </c>
      <c r="G4677" s="369">
        <f>VLOOKUP(C4677,METADATA!$J$5:$Q$29,IF(E4677="HI",2,IF(E4677="LO",6,10))+IF(D4677=1,2,IF(D4677=7,1,(IF(WEEKDAY(B4677)=1,2,IF(WEEKDAY(B4677)=7,1,0))))))</f>
        <v>2</v>
      </c>
      <c r="H4677" s="370">
        <v>12449.849792480469</v>
      </c>
      <c r="I4677" s="370">
        <v>9764.85009765625</v>
      </c>
      <c r="M4677" s="371">
        <f t="shared" si="293"/>
        <v>15822.485812444998</v>
      </c>
      <c r="N4677" s="329">
        <f t="shared" si="294"/>
        <v>6029.8951599121101</v>
      </c>
      <c r="T4677" s="331">
        <v>0</v>
      </c>
      <c r="U4677" s="328">
        <f>VLOOKUP(C4677,METADATA!$J$5:$Q$29,IF(E4677="HI",2,IF(E4677="LO",6,10))+IF(T4677=1,2,IF(D4677=7,1,(IF(WEEKDAY(B4677)=1,2,IF(WEEKDAY(B4677)=7,1,0))))))</f>
        <v>2</v>
      </c>
      <c r="V4677" s="328">
        <f>VLOOKUP(C4677,METADATA!$A$5:$H$29,IF(E4677="HI",2,IF(E4677="LO",6,10))+IF(T4677=1,2,IF(D4677=7,1,(IF(WEEKDAY(B4677)=1,2,IF(WEEKDAY(B4677)=7,1,0))))))</f>
        <v>2</v>
      </c>
    </row>
    <row r="4678" spans="2:22">
      <c r="B4678" s="318">
        <f t="shared" si="291"/>
        <v>46307</v>
      </c>
      <c r="C4678" s="312">
        <v>18</v>
      </c>
      <c r="D4678" s="368">
        <f>IFERROR((INDEX(METADATA!$T$2:$T$20,MATCH(B4678,METADATA!$S$2:$S$20,0))),0)</f>
        <v>0</v>
      </c>
      <c r="E4678" s="312" t="str">
        <f t="shared" si="292"/>
        <v>LO</v>
      </c>
      <c r="F4678" s="369">
        <f>VLOOKUP(C4678,METADATA!$A$5:$H$29,IF(E4678="HI",2,IF(E4678="LO",6,10))+IF(D4678=1,2,IF(D4678=7,1,(IF(WEEKDAY(B4678)=1,2,IF(WEEKDAY(B4678)=7,1,0))))))</f>
        <v>1</v>
      </c>
      <c r="G4678" s="369">
        <f>VLOOKUP(C4678,METADATA!$J$5:$Q$29,IF(E4678="HI",2,IF(E4678="LO",6,10))+IF(D4678=1,2,IF(D4678=7,1,(IF(WEEKDAY(B4678)=1,2,IF(WEEKDAY(B4678)=7,1,0))))))</f>
        <v>1</v>
      </c>
      <c r="H4678" s="370">
        <v>12379.024780273438</v>
      </c>
      <c r="I4678" s="370">
        <v>9665.900146484375</v>
      </c>
      <c r="M4678" s="371">
        <f t="shared" si="293"/>
        <v>15705.727622508626</v>
      </c>
      <c r="N4678" s="329">
        <f t="shared" si="294"/>
        <v>5952.1927124023441</v>
      </c>
      <c r="T4678" s="331">
        <v>0</v>
      </c>
      <c r="U4678" s="328">
        <f>VLOOKUP(C4678,METADATA!$J$5:$Q$29,IF(E4678="HI",2,IF(E4678="LO",6,10))+IF(T4678=1,2,IF(D4678=7,1,(IF(WEEKDAY(B4678)=1,2,IF(WEEKDAY(B4678)=7,1,0))))))</f>
        <v>1</v>
      </c>
      <c r="V4678" s="328">
        <f>VLOOKUP(C4678,METADATA!$A$5:$H$29,IF(E4678="HI",2,IF(E4678="LO",6,10))+IF(T4678=1,2,IF(D4678=7,1,(IF(WEEKDAY(B4678)=1,2,IF(WEEKDAY(B4678)=7,1,0))))))</f>
        <v>1</v>
      </c>
    </row>
    <row r="4679" spans="2:22">
      <c r="B4679" s="318">
        <f t="shared" si="291"/>
        <v>46307</v>
      </c>
      <c r="C4679" s="312">
        <v>19</v>
      </c>
      <c r="D4679" s="368">
        <f>IFERROR((INDEX(METADATA!$T$2:$T$20,MATCH(B4679,METADATA!$S$2:$S$20,0))),0)</f>
        <v>0</v>
      </c>
      <c r="E4679" s="312" t="str">
        <f t="shared" si="292"/>
        <v>LO</v>
      </c>
      <c r="F4679" s="369">
        <f>VLOOKUP(C4679,METADATA!$A$5:$H$29,IF(E4679="HI",2,IF(E4679="LO",6,10))+IF(D4679=1,2,IF(D4679=7,1,(IF(WEEKDAY(B4679)=1,2,IF(WEEKDAY(B4679)=7,1,0))))))</f>
        <v>1</v>
      </c>
      <c r="G4679" s="369">
        <f>VLOOKUP(C4679,METADATA!$J$5:$Q$29,IF(E4679="HI",2,IF(E4679="LO",6,10))+IF(D4679=1,2,IF(D4679=7,1,(IF(WEEKDAY(B4679)=1,2,IF(WEEKDAY(B4679)=7,1,0))))))</f>
        <v>1</v>
      </c>
      <c r="H4679" s="370">
        <v>12650.675048828125</v>
      </c>
      <c r="I4679" s="370">
        <v>9734.64990234375</v>
      </c>
      <c r="M4679" s="371">
        <f t="shared" si="293"/>
        <v>15962.549542984782</v>
      </c>
      <c r="N4679" s="329">
        <f t="shared" si="294"/>
        <v>5939.4473876953125</v>
      </c>
      <c r="T4679" s="331">
        <v>0</v>
      </c>
      <c r="U4679" s="328">
        <f>VLOOKUP(C4679,METADATA!$J$5:$Q$29,IF(E4679="HI",2,IF(E4679="LO",6,10))+IF(T4679=1,2,IF(D4679=7,1,(IF(WEEKDAY(B4679)=1,2,IF(WEEKDAY(B4679)=7,1,0))))))</f>
        <v>1</v>
      </c>
      <c r="V4679" s="328">
        <f>VLOOKUP(C4679,METADATA!$A$5:$H$29,IF(E4679="HI",2,IF(E4679="LO",6,10))+IF(T4679=1,2,IF(D4679=7,1,(IF(WEEKDAY(B4679)=1,2,IF(WEEKDAY(B4679)=7,1,0))))))</f>
        <v>1</v>
      </c>
    </row>
    <row r="4680" spans="2:22">
      <c r="B4680" s="318">
        <f t="shared" si="291"/>
        <v>46307</v>
      </c>
      <c r="C4680" s="312">
        <v>20</v>
      </c>
      <c r="D4680" s="368">
        <f>IFERROR((INDEX(METADATA!$T$2:$T$20,MATCH(B4680,METADATA!$S$2:$S$20,0))),0)</f>
        <v>0</v>
      </c>
      <c r="E4680" s="312" t="str">
        <f t="shared" si="292"/>
        <v>LO</v>
      </c>
      <c r="F4680" s="369">
        <f>VLOOKUP(C4680,METADATA!$A$5:$H$29,IF(E4680="HI",2,IF(E4680="LO",6,10))+IF(D4680=1,2,IF(D4680=7,1,(IF(WEEKDAY(B4680)=1,2,IF(WEEKDAY(B4680)=7,1,0))))))</f>
        <v>1</v>
      </c>
      <c r="G4680" s="369">
        <f>VLOOKUP(C4680,METADATA!$J$5:$Q$29,IF(E4680="HI",2,IF(E4680="LO",6,10))+IF(D4680=1,2,IF(D4680=7,1,(IF(WEEKDAY(B4680)=1,2,IF(WEEKDAY(B4680)=7,1,0))))))</f>
        <v>1</v>
      </c>
      <c r="H4680" s="370">
        <v>12521.574829101563</v>
      </c>
      <c r="I4680" s="370">
        <v>9768.824951171875</v>
      </c>
      <c r="M4680" s="371">
        <f t="shared" si="293"/>
        <v>15881.4286865958</v>
      </c>
      <c r="N4680" s="329">
        <f t="shared" si="294"/>
        <v>6012.3525024414066</v>
      </c>
      <c r="T4680" s="331">
        <v>0</v>
      </c>
      <c r="U4680" s="328">
        <f>VLOOKUP(C4680,METADATA!$J$5:$Q$29,IF(E4680="HI",2,IF(E4680="LO",6,10))+IF(T4680=1,2,IF(D4680=7,1,(IF(WEEKDAY(B4680)=1,2,IF(WEEKDAY(B4680)=7,1,0))))))</f>
        <v>1</v>
      </c>
      <c r="V4680" s="328">
        <f>VLOOKUP(C4680,METADATA!$A$5:$H$29,IF(E4680="HI",2,IF(E4680="LO",6,10))+IF(T4680=1,2,IF(D4680=7,1,(IF(WEEKDAY(B4680)=1,2,IF(WEEKDAY(B4680)=7,1,0))))))</f>
        <v>1</v>
      </c>
    </row>
    <row r="4681" spans="2:22">
      <c r="B4681" s="318">
        <f t="shared" si="291"/>
        <v>46307</v>
      </c>
      <c r="C4681" s="312">
        <v>21</v>
      </c>
      <c r="D4681" s="368">
        <f>IFERROR((INDEX(METADATA!$T$2:$T$20,MATCH(B4681,METADATA!$S$2:$S$20,0))),0)</f>
        <v>0</v>
      </c>
      <c r="E4681" s="312" t="str">
        <f t="shared" si="292"/>
        <v>LO</v>
      </c>
      <c r="F4681" s="369">
        <f>VLOOKUP(C4681,METADATA!$A$5:$H$29,IF(E4681="HI",2,IF(E4681="LO",6,10))+IF(D4681=1,2,IF(D4681=7,1,(IF(WEEKDAY(B4681)=1,2,IF(WEEKDAY(B4681)=7,1,0))))))</f>
        <v>2</v>
      </c>
      <c r="G4681" s="369">
        <f>VLOOKUP(C4681,METADATA!$J$5:$Q$29,IF(E4681="HI",2,IF(E4681="LO",6,10))+IF(D4681=1,2,IF(D4681=7,1,(IF(WEEKDAY(B4681)=1,2,IF(WEEKDAY(B4681)=7,1,0))))))</f>
        <v>2</v>
      </c>
      <c r="H4681" s="370">
        <v>12475.874877929688</v>
      </c>
      <c r="I4681" s="370">
        <v>9767.1001586914063</v>
      </c>
      <c r="M4681" s="371">
        <f t="shared" si="293"/>
        <v>15844.358601081547</v>
      </c>
      <c r="N4681" s="329">
        <f t="shared" si="294"/>
        <v>6024.3376953125007</v>
      </c>
      <c r="T4681" s="331">
        <v>0</v>
      </c>
      <c r="U4681" s="328">
        <f>VLOOKUP(C4681,METADATA!$J$5:$Q$29,IF(E4681="HI",2,IF(E4681="LO",6,10))+IF(T4681=1,2,IF(D4681=7,1,(IF(WEEKDAY(B4681)=1,2,IF(WEEKDAY(B4681)=7,1,0))))))</f>
        <v>2</v>
      </c>
      <c r="V4681" s="328">
        <f>VLOOKUP(C4681,METADATA!$A$5:$H$29,IF(E4681="HI",2,IF(E4681="LO",6,10))+IF(T4681=1,2,IF(D4681=7,1,(IF(WEEKDAY(B4681)=1,2,IF(WEEKDAY(B4681)=7,1,0))))))</f>
        <v>2</v>
      </c>
    </row>
    <row r="4682" spans="2:22">
      <c r="B4682" s="318">
        <f t="shared" si="291"/>
        <v>46307</v>
      </c>
      <c r="C4682" s="312">
        <v>22</v>
      </c>
      <c r="D4682" s="368">
        <f>IFERROR((INDEX(METADATA!$T$2:$T$20,MATCH(B4682,METADATA!$S$2:$S$20,0))),0)</f>
        <v>0</v>
      </c>
      <c r="E4682" s="312" t="str">
        <f t="shared" si="292"/>
        <v>LO</v>
      </c>
      <c r="F4682" s="369">
        <f>VLOOKUP(C4682,METADATA!$A$5:$H$29,IF(E4682="HI",2,IF(E4682="LO",6,10))+IF(D4682=1,2,IF(D4682=7,1,(IF(WEEKDAY(B4682)=1,2,IF(WEEKDAY(B4682)=7,1,0))))))</f>
        <v>3</v>
      </c>
      <c r="G4682" s="369">
        <f>VLOOKUP(C4682,METADATA!$J$5:$Q$29,IF(E4682="HI",2,IF(E4682="LO",6,10))+IF(D4682=1,2,IF(D4682=7,1,(IF(WEEKDAY(B4682)=1,2,IF(WEEKDAY(B4682)=7,1,0))))))</f>
        <v>3</v>
      </c>
      <c r="H4682" s="370">
        <v>12454.225036621094</v>
      </c>
      <c r="I4682" s="370">
        <v>9733.7750854492188</v>
      </c>
      <c r="M4682" s="371">
        <f t="shared" si="293"/>
        <v>15806.773822539235</v>
      </c>
      <c r="N4682" s="329">
        <f t="shared" si="294"/>
        <v>5997.5075744628903</v>
      </c>
      <c r="T4682" s="331">
        <v>0</v>
      </c>
      <c r="U4682" s="328">
        <f>VLOOKUP(C4682,METADATA!$J$5:$Q$29,IF(E4682="HI",2,IF(E4682="LO",6,10))+IF(T4682=1,2,IF(D4682=7,1,(IF(WEEKDAY(B4682)=1,2,IF(WEEKDAY(B4682)=7,1,0))))))</f>
        <v>3</v>
      </c>
      <c r="V4682" s="328">
        <f>VLOOKUP(C4682,METADATA!$A$5:$H$29,IF(E4682="HI",2,IF(E4682="LO",6,10))+IF(T4682=1,2,IF(D4682=7,1,(IF(WEEKDAY(B4682)=1,2,IF(WEEKDAY(B4682)=7,1,0))))))</f>
        <v>3</v>
      </c>
    </row>
    <row r="4683" spans="2:22">
      <c r="B4683" s="318">
        <f t="shared" si="291"/>
        <v>46307</v>
      </c>
      <c r="C4683" s="312">
        <v>23</v>
      </c>
      <c r="D4683" s="368">
        <f>IFERROR((INDEX(METADATA!$T$2:$T$20,MATCH(B4683,METADATA!$S$2:$S$20,0))),0)</f>
        <v>0</v>
      </c>
      <c r="E4683" s="312" t="str">
        <f t="shared" si="292"/>
        <v>LO</v>
      </c>
      <c r="F4683" s="369">
        <f>VLOOKUP(C4683,METADATA!$A$5:$H$29,IF(E4683="HI",2,IF(E4683="LO",6,10))+IF(D4683=1,2,IF(D4683=7,1,(IF(WEEKDAY(B4683)=1,2,IF(WEEKDAY(B4683)=7,1,0))))))</f>
        <v>3</v>
      </c>
      <c r="G4683" s="369">
        <f>VLOOKUP(C4683,METADATA!$J$5:$Q$29,IF(E4683="HI",2,IF(E4683="LO",6,10))+IF(D4683=1,2,IF(D4683=7,1,(IF(WEEKDAY(B4683)=1,2,IF(WEEKDAY(B4683)=7,1,0))))))</f>
        <v>3</v>
      </c>
      <c r="H4683" s="370">
        <v>12629.949584960938</v>
      </c>
      <c r="I4683" s="370">
        <v>9918.074951171875</v>
      </c>
      <c r="M4683" s="371">
        <f t="shared" si="293"/>
        <v>16058.762008813692</v>
      </c>
      <c r="N4683" s="329">
        <f t="shared" si="294"/>
        <v>6129.0900756835945</v>
      </c>
      <c r="T4683" s="331">
        <v>0</v>
      </c>
      <c r="U4683" s="328">
        <f>VLOOKUP(C4683,METADATA!$J$5:$Q$29,IF(E4683="HI",2,IF(E4683="LO",6,10))+IF(T4683=1,2,IF(D4683=7,1,(IF(WEEKDAY(B4683)=1,2,IF(WEEKDAY(B4683)=7,1,0))))))</f>
        <v>3</v>
      </c>
      <c r="V4683" s="328">
        <f>VLOOKUP(C4683,METADATA!$A$5:$H$29,IF(E4683="HI",2,IF(E4683="LO",6,10))+IF(T4683=1,2,IF(D4683=7,1,(IF(WEEKDAY(B4683)=1,2,IF(WEEKDAY(B4683)=7,1,0))))))</f>
        <v>3</v>
      </c>
    </row>
    <row r="4684" spans="2:22">
      <c r="B4684" s="318">
        <f t="shared" si="291"/>
        <v>46308</v>
      </c>
      <c r="C4684" s="312">
        <v>0</v>
      </c>
      <c r="D4684" s="368">
        <f>IFERROR((INDEX(METADATA!$T$2:$T$20,MATCH(B4684,METADATA!$S$2:$S$20,0))),0)</f>
        <v>0</v>
      </c>
      <c r="E4684" s="312" t="str">
        <f t="shared" si="292"/>
        <v>LO</v>
      </c>
      <c r="F4684" s="369">
        <f>VLOOKUP(C4684,METADATA!$A$5:$H$29,IF(E4684="HI",2,IF(E4684="LO",6,10))+IF(D4684=1,2,IF(D4684=7,1,(IF(WEEKDAY(B4684)=1,2,IF(WEEKDAY(B4684)=7,1,0))))))</f>
        <v>3</v>
      </c>
      <c r="G4684" s="369">
        <f>VLOOKUP(C4684,METADATA!$J$5:$Q$29,IF(E4684="HI",2,IF(E4684="LO",6,10))+IF(D4684=1,2,IF(D4684=7,1,(IF(WEEKDAY(B4684)=1,2,IF(WEEKDAY(B4684)=7,1,0))))))</f>
        <v>3</v>
      </c>
      <c r="H4684" s="370">
        <v>12745.400268554688</v>
      </c>
      <c r="I4684" s="370">
        <v>10005.375</v>
      </c>
      <c r="M4684" s="371">
        <f t="shared" si="293"/>
        <v>16203.479777390376</v>
      </c>
      <c r="N4684" s="329">
        <f t="shared" si="294"/>
        <v>6181.7549194335934</v>
      </c>
      <c r="T4684" s="331">
        <v>0</v>
      </c>
      <c r="U4684" s="328">
        <f>VLOOKUP(C4684,METADATA!$J$5:$Q$29,IF(E4684="HI",2,IF(E4684="LO",6,10))+IF(T4684=1,2,IF(D4684=7,1,(IF(WEEKDAY(B4684)=1,2,IF(WEEKDAY(B4684)=7,1,0))))))</f>
        <v>3</v>
      </c>
      <c r="V4684" s="328">
        <f>VLOOKUP(C4684,METADATA!$A$5:$H$29,IF(E4684="HI",2,IF(E4684="LO",6,10))+IF(T4684=1,2,IF(D4684=7,1,(IF(WEEKDAY(B4684)=1,2,IF(WEEKDAY(B4684)=7,1,0))))))</f>
        <v>3</v>
      </c>
    </row>
    <row r="4685" spans="2:22">
      <c r="B4685" s="318">
        <f t="shared" si="291"/>
        <v>46308</v>
      </c>
      <c r="C4685" s="312">
        <v>1</v>
      </c>
      <c r="D4685" s="368">
        <f>IFERROR((INDEX(METADATA!$T$2:$T$20,MATCH(B4685,METADATA!$S$2:$S$20,0))),0)</f>
        <v>0</v>
      </c>
      <c r="E4685" s="312" t="str">
        <f t="shared" si="292"/>
        <v>LO</v>
      </c>
      <c r="F4685" s="369">
        <f>VLOOKUP(C4685,METADATA!$A$5:$H$29,IF(E4685="HI",2,IF(E4685="LO",6,10))+IF(D4685=1,2,IF(D4685=7,1,(IF(WEEKDAY(B4685)=1,2,IF(WEEKDAY(B4685)=7,1,0))))))</f>
        <v>3</v>
      </c>
      <c r="G4685" s="369">
        <f>VLOOKUP(C4685,METADATA!$J$5:$Q$29,IF(E4685="HI",2,IF(E4685="LO",6,10))+IF(D4685=1,2,IF(D4685=7,1,(IF(WEEKDAY(B4685)=1,2,IF(WEEKDAY(B4685)=7,1,0))))))</f>
        <v>3</v>
      </c>
      <c r="H4685" s="370">
        <v>12785.4423828125</v>
      </c>
      <c r="I4685" s="370">
        <v>10094.837524414063</v>
      </c>
      <c r="M4685" s="371">
        <f t="shared" si="293"/>
        <v>16290.281813662292</v>
      </c>
      <c r="N4685" s="329">
        <f t="shared" si="294"/>
        <v>6259.2048095703121</v>
      </c>
      <c r="T4685" s="331">
        <v>0</v>
      </c>
      <c r="U4685" s="328">
        <f>VLOOKUP(C4685,METADATA!$J$5:$Q$29,IF(E4685="HI",2,IF(E4685="LO",6,10))+IF(T4685=1,2,IF(D4685=7,1,(IF(WEEKDAY(B4685)=1,2,IF(WEEKDAY(B4685)=7,1,0))))))</f>
        <v>3</v>
      </c>
      <c r="V4685" s="328">
        <f>VLOOKUP(C4685,METADATA!$A$5:$H$29,IF(E4685="HI",2,IF(E4685="LO",6,10))+IF(T4685=1,2,IF(D4685=7,1,(IF(WEEKDAY(B4685)=1,2,IF(WEEKDAY(B4685)=7,1,0))))))</f>
        <v>3</v>
      </c>
    </row>
    <row r="4686" spans="2:22">
      <c r="B4686" s="318">
        <f t="shared" si="291"/>
        <v>46308</v>
      </c>
      <c r="C4686" s="312">
        <v>2</v>
      </c>
      <c r="D4686" s="368">
        <f>IFERROR((INDEX(METADATA!$T$2:$T$20,MATCH(B4686,METADATA!$S$2:$S$20,0))),0)</f>
        <v>0</v>
      </c>
      <c r="E4686" s="312" t="str">
        <f t="shared" si="292"/>
        <v>LO</v>
      </c>
      <c r="F4686" s="369">
        <f>VLOOKUP(C4686,METADATA!$A$5:$H$29,IF(E4686="HI",2,IF(E4686="LO",6,10))+IF(D4686=1,2,IF(D4686=7,1,(IF(WEEKDAY(B4686)=1,2,IF(WEEKDAY(B4686)=7,1,0))))))</f>
        <v>3</v>
      </c>
      <c r="G4686" s="369">
        <f>VLOOKUP(C4686,METADATA!$J$5:$Q$29,IF(E4686="HI",2,IF(E4686="LO",6,10))+IF(D4686=1,2,IF(D4686=7,1,(IF(WEEKDAY(B4686)=1,2,IF(WEEKDAY(B4686)=7,1,0))))))</f>
        <v>3</v>
      </c>
      <c r="H4686" s="370">
        <v>12617.849609375</v>
      </c>
      <c r="I4686" s="370">
        <v>9873.2999267578125</v>
      </c>
      <c r="M4686" s="371">
        <f t="shared" si="293"/>
        <v>16021.616029867919</v>
      </c>
      <c r="N4686" s="329">
        <f t="shared" si="294"/>
        <v>6087.9450439453121</v>
      </c>
      <c r="T4686" s="331">
        <v>0</v>
      </c>
      <c r="U4686" s="328">
        <f>VLOOKUP(C4686,METADATA!$J$5:$Q$29,IF(E4686="HI",2,IF(E4686="LO",6,10))+IF(T4686=1,2,IF(D4686=7,1,(IF(WEEKDAY(B4686)=1,2,IF(WEEKDAY(B4686)=7,1,0))))))</f>
        <v>3</v>
      </c>
      <c r="V4686" s="328">
        <f>VLOOKUP(C4686,METADATA!$A$5:$H$29,IF(E4686="HI",2,IF(E4686="LO",6,10))+IF(T4686=1,2,IF(D4686=7,1,(IF(WEEKDAY(B4686)=1,2,IF(WEEKDAY(B4686)=7,1,0))))))</f>
        <v>3</v>
      </c>
    </row>
    <row r="4687" spans="2:22">
      <c r="B4687" s="318">
        <f t="shared" si="291"/>
        <v>46308</v>
      </c>
      <c r="C4687" s="312">
        <v>3</v>
      </c>
      <c r="D4687" s="368">
        <f>IFERROR((INDEX(METADATA!$T$2:$T$20,MATCH(B4687,METADATA!$S$2:$S$20,0))),0)</f>
        <v>0</v>
      </c>
      <c r="E4687" s="312" t="str">
        <f t="shared" si="292"/>
        <v>LO</v>
      </c>
      <c r="F4687" s="369">
        <f>VLOOKUP(C4687,METADATA!$A$5:$H$29,IF(E4687="HI",2,IF(E4687="LO",6,10))+IF(D4687=1,2,IF(D4687=7,1,(IF(WEEKDAY(B4687)=1,2,IF(WEEKDAY(B4687)=7,1,0))))))</f>
        <v>3</v>
      </c>
      <c r="G4687" s="369">
        <f>VLOOKUP(C4687,METADATA!$J$5:$Q$29,IF(E4687="HI",2,IF(E4687="LO",6,10))+IF(D4687=1,2,IF(D4687=7,1,(IF(WEEKDAY(B4687)=1,2,IF(WEEKDAY(B4687)=7,1,0))))))</f>
        <v>3</v>
      </c>
      <c r="H4687" s="370">
        <v>12756.674926757813</v>
      </c>
      <c r="I4687" s="370">
        <v>9939.7748413085938</v>
      </c>
      <c r="M4687" s="371">
        <f t="shared" si="293"/>
        <v>16171.94728790824</v>
      </c>
      <c r="N4687" s="329">
        <f t="shared" si="294"/>
        <v>6112.7723632812504</v>
      </c>
      <c r="T4687" s="331">
        <v>0</v>
      </c>
      <c r="U4687" s="328">
        <f>VLOOKUP(C4687,METADATA!$J$5:$Q$29,IF(E4687="HI",2,IF(E4687="LO",6,10))+IF(T4687=1,2,IF(D4687=7,1,(IF(WEEKDAY(B4687)=1,2,IF(WEEKDAY(B4687)=7,1,0))))))</f>
        <v>3</v>
      </c>
      <c r="V4687" s="328">
        <f>VLOOKUP(C4687,METADATA!$A$5:$H$29,IF(E4687="HI",2,IF(E4687="LO",6,10))+IF(T4687=1,2,IF(D4687=7,1,(IF(WEEKDAY(B4687)=1,2,IF(WEEKDAY(B4687)=7,1,0))))))</f>
        <v>3</v>
      </c>
    </row>
    <row r="4688" spans="2:22">
      <c r="B4688" s="318">
        <f t="shared" si="291"/>
        <v>46308</v>
      </c>
      <c r="C4688" s="312">
        <v>4</v>
      </c>
      <c r="D4688" s="368">
        <f>IFERROR((INDEX(METADATA!$T$2:$T$20,MATCH(B4688,METADATA!$S$2:$S$20,0))),0)</f>
        <v>0</v>
      </c>
      <c r="E4688" s="312" t="str">
        <f t="shared" si="292"/>
        <v>LO</v>
      </c>
      <c r="F4688" s="369">
        <f>VLOOKUP(C4688,METADATA!$A$5:$H$29,IF(E4688="HI",2,IF(E4688="LO",6,10))+IF(D4688=1,2,IF(D4688=7,1,(IF(WEEKDAY(B4688)=1,2,IF(WEEKDAY(B4688)=7,1,0))))))</f>
        <v>3</v>
      </c>
      <c r="G4688" s="369">
        <f>VLOOKUP(C4688,METADATA!$J$5:$Q$29,IF(E4688="HI",2,IF(E4688="LO",6,10))+IF(D4688=1,2,IF(D4688=7,1,(IF(WEEKDAY(B4688)=1,2,IF(WEEKDAY(B4688)=7,1,0))))))</f>
        <v>3</v>
      </c>
      <c r="H4688" s="370">
        <v>12852.500122070313</v>
      </c>
      <c r="I4688" s="370">
        <v>9938.7000732421875</v>
      </c>
      <c r="M4688" s="371">
        <f t="shared" si="293"/>
        <v>16246.984905935058</v>
      </c>
      <c r="N4688" s="329">
        <f t="shared" si="294"/>
        <v>6082.9500366210941</v>
      </c>
      <c r="T4688" s="331">
        <v>0</v>
      </c>
      <c r="U4688" s="328">
        <f>VLOOKUP(C4688,METADATA!$J$5:$Q$29,IF(E4688="HI",2,IF(E4688="LO",6,10))+IF(T4688=1,2,IF(D4688=7,1,(IF(WEEKDAY(B4688)=1,2,IF(WEEKDAY(B4688)=7,1,0))))))</f>
        <v>3</v>
      </c>
      <c r="V4688" s="328">
        <f>VLOOKUP(C4688,METADATA!$A$5:$H$29,IF(E4688="HI",2,IF(E4688="LO",6,10))+IF(T4688=1,2,IF(D4688=7,1,(IF(WEEKDAY(B4688)=1,2,IF(WEEKDAY(B4688)=7,1,0))))))</f>
        <v>3</v>
      </c>
    </row>
    <row r="4689" spans="2:22">
      <c r="B4689" s="318">
        <f t="shared" si="291"/>
        <v>46308</v>
      </c>
      <c r="C4689" s="312">
        <v>5</v>
      </c>
      <c r="D4689" s="368">
        <f>IFERROR((INDEX(METADATA!$T$2:$T$20,MATCH(B4689,METADATA!$S$2:$S$20,0))),0)</f>
        <v>0</v>
      </c>
      <c r="E4689" s="312" t="str">
        <f t="shared" si="292"/>
        <v>LO</v>
      </c>
      <c r="F4689" s="369">
        <f>VLOOKUP(C4689,METADATA!$A$5:$H$29,IF(E4689="HI",2,IF(E4689="LO",6,10))+IF(D4689=1,2,IF(D4689=7,1,(IF(WEEKDAY(B4689)=1,2,IF(WEEKDAY(B4689)=7,1,0))))))</f>
        <v>3</v>
      </c>
      <c r="G4689" s="369">
        <f>VLOOKUP(C4689,METADATA!$J$5:$Q$29,IF(E4689="HI",2,IF(E4689="LO",6,10))+IF(D4689=1,2,IF(D4689=7,1,(IF(WEEKDAY(B4689)=1,2,IF(WEEKDAY(B4689)=7,1,0))))))</f>
        <v>3</v>
      </c>
      <c r="H4689" s="370">
        <v>12865.600158691406</v>
      </c>
      <c r="I4689" s="370">
        <v>9780.7249145507813</v>
      </c>
      <c r="M4689" s="371">
        <f t="shared" si="293"/>
        <v>16161.257602595</v>
      </c>
      <c r="N4689" s="329">
        <f t="shared" si="294"/>
        <v>5921.044866943359</v>
      </c>
      <c r="T4689" s="331">
        <v>0</v>
      </c>
      <c r="U4689" s="328">
        <f>VLOOKUP(C4689,METADATA!$J$5:$Q$29,IF(E4689="HI",2,IF(E4689="LO",6,10))+IF(T4689=1,2,IF(D4689=7,1,(IF(WEEKDAY(B4689)=1,2,IF(WEEKDAY(B4689)=7,1,0))))))</f>
        <v>3</v>
      </c>
      <c r="V4689" s="328">
        <f>VLOOKUP(C4689,METADATA!$A$5:$H$29,IF(E4689="HI",2,IF(E4689="LO",6,10))+IF(T4689=1,2,IF(D4689=7,1,(IF(WEEKDAY(B4689)=1,2,IF(WEEKDAY(B4689)=7,1,0))))))</f>
        <v>3</v>
      </c>
    </row>
    <row r="4690" spans="2:22">
      <c r="B4690" s="318">
        <f t="shared" si="291"/>
        <v>46308</v>
      </c>
      <c r="C4690" s="312">
        <v>6</v>
      </c>
      <c r="D4690" s="368">
        <f>IFERROR((INDEX(METADATA!$T$2:$T$20,MATCH(B4690,METADATA!$S$2:$S$20,0))),0)</f>
        <v>0</v>
      </c>
      <c r="E4690" s="312" t="str">
        <f t="shared" si="292"/>
        <v>LO</v>
      </c>
      <c r="F4690" s="369">
        <f>VLOOKUP(C4690,METADATA!$A$5:$H$29,IF(E4690="HI",2,IF(E4690="LO",6,10))+IF(D4690=1,2,IF(D4690=7,1,(IF(WEEKDAY(B4690)=1,2,IF(WEEKDAY(B4690)=7,1,0))))))</f>
        <v>2</v>
      </c>
      <c r="G4690" s="369">
        <f>VLOOKUP(C4690,METADATA!$J$5:$Q$29,IF(E4690="HI",2,IF(E4690="LO",6,10))+IF(D4690=1,2,IF(D4690=7,1,(IF(WEEKDAY(B4690)=1,2,IF(WEEKDAY(B4690)=7,1,0))))))</f>
        <v>2</v>
      </c>
      <c r="H4690" s="370">
        <v>12878.175048828125</v>
      </c>
      <c r="I4690" s="370">
        <v>9811.2999267578125</v>
      </c>
      <c r="M4690" s="371">
        <f t="shared" si="293"/>
        <v>16189.780691567663</v>
      </c>
      <c r="N4690" s="329">
        <f t="shared" si="294"/>
        <v>5947.847412109375</v>
      </c>
      <c r="T4690" s="331">
        <v>0</v>
      </c>
      <c r="U4690" s="328">
        <f>VLOOKUP(C4690,METADATA!$J$5:$Q$29,IF(E4690="HI",2,IF(E4690="LO",6,10))+IF(T4690=1,2,IF(D4690=7,1,(IF(WEEKDAY(B4690)=1,2,IF(WEEKDAY(B4690)=7,1,0))))))</f>
        <v>2</v>
      </c>
      <c r="V4690" s="328">
        <f>VLOOKUP(C4690,METADATA!$A$5:$H$29,IF(E4690="HI",2,IF(E4690="LO",6,10))+IF(T4690=1,2,IF(D4690=7,1,(IF(WEEKDAY(B4690)=1,2,IF(WEEKDAY(B4690)=7,1,0))))))</f>
        <v>2</v>
      </c>
    </row>
    <row r="4691" spans="2:22">
      <c r="B4691" s="318">
        <f t="shared" si="291"/>
        <v>46308</v>
      </c>
      <c r="C4691" s="312">
        <v>7</v>
      </c>
      <c r="D4691" s="368">
        <f>IFERROR((INDEX(METADATA!$T$2:$T$20,MATCH(B4691,METADATA!$S$2:$S$20,0))),0)</f>
        <v>0</v>
      </c>
      <c r="E4691" s="312" t="str">
        <f t="shared" si="292"/>
        <v>LO</v>
      </c>
      <c r="F4691" s="369">
        <f>VLOOKUP(C4691,METADATA!$A$5:$H$29,IF(E4691="HI",2,IF(E4691="LO",6,10))+IF(D4691=1,2,IF(D4691=7,1,(IF(WEEKDAY(B4691)=1,2,IF(WEEKDAY(B4691)=7,1,0))))))</f>
        <v>1</v>
      </c>
      <c r="G4691" s="369">
        <f>VLOOKUP(C4691,METADATA!$J$5:$Q$29,IF(E4691="HI",2,IF(E4691="LO",6,10))+IF(D4691=1,2,IF(D4691=7,1,(IF(WEEKDAY(B4691)=1,2,IF(WEEKDAY(B4691)=7,1,0))))))</f>
        <v>1</v>
      </c>
      <c r="H4691" s="370">
        <v>12243.950134277344</v>
      </c>
      <c r="I4691" s="370">
        <v>9604.7750854492188</v>
      </c>
      <c r="M4691" s="371">
        <f t="shared" si="293"/>
        <v>15561.684334696429</v>
      </c>
      <c r="N4691" s="329">
        <f t="shared" si="294"/>
        <v>5931.5900451660164</v>
      </c>
      <c r="T4691" s="331">
        <v>0</v>
      </c>
      <c r="U4691" s="328">
        <f>VLOOKUP(C4691,METADATA!$J$5:$Q$29,IF(E4691="HI",2,IF(E4691="LO",6,10))+IF(T4691=1,2,IF(D4691=7,1,(IF(WEEKDAY(B4691)=1,2,IF(WEEKDAY(B4691)=7,1,0))))))</f>
        <v>1</v>
      </c>
      <c r="V4691" s="328">
        <f>VLOOKUP(C4691,METADATA!$A$5:$H$29,IF(E4691="HI",2,IF(E4691="LO",6,10))+IF(T4691=1,2,IF(D4691=7,1,(IF(WEEKDAY(B4691)=1,2,IF(WEEKDAY(B4691)=7,1,0))))))</f>
        <v>1</v>
      </c>
    </row>
    <row r="4692" spans="2:22">
      <c r="B4692" s="318">
        <f t="shared" si="291"/>
        <v>46308</v>
      </c>
      <c r="C4692" s="312">
        <v>8</v>
      </c>
      <c r="D4692" s="368">
        <f>IFERROR((INDEX(METADATA!$T$2:$T$20,MATCH(B4692,METADATA!$S$2:$S$20,0))),0)</f>
        <v>0</v>
      </c>
      <c r="E4692" s="312" t="str">
        <f t="shared" si="292"/>
        <v>LO</v>
      </c>
      <c r="F4692" s="369">
        <f>VLOOKUP(C4692,METADATA!$A$5:$H$29,IF(E4692="HI",2,IF(E4692="LO",6,10))+IF(D4692=1,2,IF(D4692=7,1,(IF(WEEKDAY(B4692)=1,2,IF(WEEKDAY(B4692)=7,1,0))))))</f>
        <v>1</v>
      </c>
      <c r="G4692" s="369">
        <f>VLOOKUP(C4692,METADATA!$J$5:$Q$29,IF(E4692="HI",2,IF(E4692="LO",6,10))+IF(D4692=1,2,IF(D4692=7,1,(IF(WEEKDAY(B4692)=1,2,IF(WEEKDAY(B4692)=7,1,0))))))</f>
        <v>1</v>
      </c>
      <c r="H4692" s="370">
        <v>7774.2999267578125</v>
      </c>
      <c r="I4692" s="370">
        <v>7556.1998291015625</v>
      </c>
      <c r="M4692" s="371">
        <f t="shared" si="293"/>
        <v>10841.397290409619</v>
      </c>
      <c r="N4692" s="329">
        <f t="shared" si="294"/>
        <v>5223.9098510742188</v>
      </c>
      <c r="T4692" s="331">
        <v>0</v>
      </c>
      <c r="U4692" s="328">
        <f>VLOOKUP(C4692,METADATA!$J$5:$Q$29,IF(E4692="HI",2,IF(E4692="LO",6,10))+IF(T4692=1,2,IF(D4692=7,1,(IF(WEEKDAY(B4692)=1,2,IF(WEEKDAY(B4692)=7,1,0))))))</f>
        <v>1</v>
      </c>
      <c r="V4692" s="328">
        <f>VLOOKUP(C4692,METADATA!$A$5:$H$29,IF(E4692="HI",2,IF(E4692="LO",6,10))+IF(T4692=1,2,IF(D4692=7,1,(IF(WEEKDAY(B4692)=1,2,IF(WEEKDAY(B4692)=7,1,0))))))</f>
        <v>1</v>
      </c>
    </row>
    <row r="4693" spans="2:22">
      <c r="B4693" s="318">
        <f t="shared" si="291"/>
        <v>46308</v>
      </c>
      <c r="C4693" s="312">
        <v>9</v>
      </c>
      <c r="D4693" s="368">
        <f>IFERROR((INDEX(METADATA!$T$2:$T$20,MATCH(B4693,METADATA!$S$2:$S$20,0))),0)</f>
        <v>0</v>
      </c>
      <c r="E4693" s="312" t="str">
        <f t="shared" si="292"/>
        <v>LO</v>
      </c>
      <c r="F4693" s="369">
        <f>VLOOKUP(C4693,METADATA!$A$5:$H$29,IF(E4693="HI",2,IF(E4693="LO",6,10))+IF(D4693=1,2,IF(D4693=7,1,(IF(WEEKDAY(B4693)=1,2,IF(WEEKDAY(B4693)=7,1,0))))))</f>
        <v>2</v>
      </c>
      <c r="G4693" s="369">
        <f>VLOOKUP(C4693,METADATA!$J$5:$Q$29,IF(E4693="HI",2,IF(E4693="LO",6,10))+IF(D4693=1,2,IF(D4693=7,1,(IF(WEEKDAY(B4693)=1,2,IF(WEEKDAY(B4693)=7,1,0))))))</f>
        <v>2</v>
      </c>
      <c r="H4693" s="370">
        <v>7128.3749389648438</v>
      </c>
      <c r="I4693" s="370">
        <v>7120.949951171875</v>
      </c>
      <c r="M4693" s="371">
        <f t="shared" si="293"/>
        <v>10075.795625039085</v>
      </c>
      <c r="N4693" s="329">
        <f t="shared" si="294"/>
        <v>4982.4374694824219</v>
      </c>
      <c r="T4693" s="331">
        <v>0</v>
      </c>
      <c r="U4693" s="328">
        <f>VLOOKUP(C4693,METADATA!$J$5:$Q$29,IF(E4693="HI",2,IF(E4693="LO",6,10))+IF(T4693=1,2,IF(D4693=7,1,(IF(WEEKDAY(B4693)=1,2,IF(WEEKDAY(B4693)=7,1,0))))))</f>
        <v>2</v>
      </c>
      <c r="V4693" s="328">
        <f>VLOOKUP(C4693,METADATA!$A$5:$H$29,IF(E4693="HI",2,IF(E4693="LO",6,10))+IF(T4693=1,2,IF(D4693=7,1,(IF(WEEKDAY(B4693)=1,2,IF(WEEKDAY(B4693)=7,1,0))))))</f>
        <v>2</v>
      </c>
    </row>
    <row r="4694" spans="2:22">
      <c r="B4694" s="318">
        <f t="shared" si="291"/>
        <v>46308</v>
      </c>
      <c r="C4694" s="312">
        <v>10</v>
      </c>
      <c r="D4694" s="368">
        <f>IFERROR((INDEX(METADATA!$T$2:$T$20,MATCH(B4694,METADATA!$S$2:$S$20,0))),0)</f>
        <v>0</v>
      </c>
      <c r="E4694" s="312" t="str">
        <f t="shared" si="292"/>
        <v>LO</v>
      </c>
      <c r="F4694" s="369">
        <f>VLOOKUP(C4694,METADATA!$A$5:$H$29,IF(E4694="HI",2,IF(E4694="LO",6,10))+IF(D4694=1,2,IF(D4694=7,1,(IF(WEEKDAY(B4694)=1,2,IF(WEEKDAY(B4694)=7,1,0))))))</f>
        <v>2</v>
      </c>
      <c r="G4694" s="369">
        <f>VLOOKUP(C4694,METADATA!$J$5:$Q$29,IF(E4694="HI",2,IF(E4694="LO",6,10))+IF(D4694=1,2,IF(D4694=7,1,(IF(WEEKDAY(B4694)=1,2,IF(WEEKDAY(B4694)=7,1,0))))))</f>
        <v>2</v>
      </c>
      <c r="H4694" s="370">
        <v>8128.0750732421875</v>
      </c>
      <c r="I4694" s="370">
        <v>7354.5999145507813</v>
      </c>
      <c r="M4694" s="371">
        <f t="shared" si="293"/>
        <v>10961.557567215134</v>
      </c>
      <c r="N4694" s="329">
        <f t="shared" si="294"/>
        <v>4916.1773925781254</v>
      </c>
      <c r="T4694" s="331">
        <v>0</v>
      </c>
      <c r="U4694" s="328">
        <f>VLOOKUP(C4694,METADATA!$J$5:$Q$29,IF(E4694="HI",2,IF(E4694="LO",6,10))+IF(T4694=1,2,IF(D4694=7,1,(IF(WEEKDAY(B4694)=1,2,IF(WEEKDAY(B4694)=7,1,0))))))</f>
        <v>2</v>
      </c>
      <c r="V4694" s="328">
        <f>VLOOKUP(C4694,METADATA!$A$5:$H$29,IF(E4694="HI",2,IF(E4694="LO",6,10))+IF(T4694=1,2,IF(D4694=7,1,(IF(WEEKDAY(B4694)=1,2,IF(WEEKDAY(B4694)=7,1,0))))))</f>
        <v>2</v>
      </c>
    </row>
    <row r="4695" spans="2:22">
      <c r="B4695" s="318">
        <f t="shared" si="291"/>
        <v>46308</v>
      </c>
      <c r="C4695" s="312">
        <v>11</v>
      </c>
      <c r="D4695" s="368">
        <f>IFERROR((INDEX(METADATA!$T$2:$T$20,MATCH(B4695,METADATA!$S$2:$S$20,0))),0)</f>
        <v>0</v>
      </c>
      <c r="E4695" s="312" t="str">
        <f t="shared" si="292"/>
        <v>LO</v>
      </c>
      <c r="F4695" s="369">
        <f>VLOOKUP(C4695,METADATA!$A$5:$H$29,IF(E4695="HI",2,IF(E4695="LO",6,10))+IF(D4695=1,2,IF(D4695=7,1,(IF(WEEKDAY(B4695)=1,2,IF(WEEKDAY(B4695)=7,1,0))))))</f>
        <v>2</v>
      </c>
      <c r="G4695" s="369">
        <f>VLOOKUP(C4695,METADATA!$J$5:$Q$29,IF(E4695="HI",2,IF(E4695="LO",6,10))+IF(D4695=1,2,IF(D4695=7,1,(IF(WEEKDAY(B4695)=1,2,IF(WEEKDAY(B4695)=7,1,0))))))</f>
        <v>2</v>
      </c>
      <c r="H4695" s="370">
        <v>10600.902648925781</v>
      </c>
      <c r="I4695" s="370">
        <v>8338.6599731445313</v>
      </c>
      <c r="M4695" s="371">
        <f t="shared" si="293"/>
        <v>13487.490022970338</v>
      </c>
      <c r="N4695" s="329">
        <f t="shared" si="294"/>
        <v>5158.3891784667976</v>
      </c>
      <c r="T4695" s="331">
        <v>0</v>
      </c>
      <c r="U4695" s="328">
        <f>VLOOKUP(C4695,METADATA!$J$5:$Q$29,IF(E4695="HI",2,IF(E4695="LO",6,10))+IF(T4695=1,2,IF(D4695=7,1,(IF(WEEKDAY(B4695)=1,2,IF(WEEKDAY(B4695)=7,1,0))))))</f>
        <v>2</v>
      </c>
      <c r="V4695" s="328">
        <f>VLOOKUP(C4695,METADATA!$A$5:$H$29,IF(E4695="HI",2,IF(E4695="LO",6,10))+IF(T4695=1,2,IF(D4695=7,1,(IF(WEEKDAY(B4695)=1,2,IF(WEEKDAY(B4695)=7,1,0))))))</f>
        <v>2</v>
      </c>
    </row>
    <row r="4696" spans="2:22">
      <c r="B4696" s="318">
        <f t="shared" si="291"/>
        <v>46308</v>
      </c>
      <c r="C4696" s="312">
        <v>12</v>
      </c>
      <c r="D4696" s="368">
        <f>IFERROR((INDEX(METADATA!$T$2:$T$20,MATCH(B4696,METADATA!$S$2:$S$20,0))),0)</f>
        <v>0</v>
      </c>
      <c r="E4696" s="312" t="str">
        <f t="shared" si="292"/>
        <v>LO</v>
      </c>
      <c r="F4696" s="369">
        <f>VLOOKUP(C4696,METADATA!$A$5:$H$29,IF(E4696="HI",2,IF(E4696="LO",6,10))+IF(D4696=1,2,IF(D4696=7,1,(IF(WEEKDAY(B4696)=1,2,IF(WEEKDAY(B4696)=7,1,0))))))</f>
        <v>2</v>
      </c>
      <c r="G4696" s="369">
        <f>VLOOKUP(C4696,METADATA!$J$5:$Q$29,IF(E4696="HI",2,IF(E4696="LO",6,10))+IF(D4696=1,2,IF(D4696=7,1,(IF(WEEKDAY(B4696)=1,2,IF(WEEKDAY(B4696)=7,1,0))))))</f>
        <v>2</v>
      </c>
      <c r="H4696" s="370">
        <v>11139.950012207031</v>
      </c>
      <c r="I4696" s="370">
        <v>8673.9749755859375</v>
      </c>
      <c r="M4696" s="371">
        <f t="shared" si="293"/>
        <v>14118.651782360896</v>
      </c>
      <c r="N4696" s="329">
        <f t="shared" si="294"/>
        <v>5331.9899719238283</v>
      </c>
      <c r="T4696" s="331">
        <v>0</v>
      </c>
      <c r="U4696" s="328">
        <f>VLOOKUP(C4696,METADATA!$J$5:$Q$29,IF(E4696="HI",2,IF(E4696="LO",6,10))+IF(T4696=1,2,IF(D4696=7,1,(IF(WEEKDAY(B4696)=1,2,IF(WEEKDAY(B4696)=7,1,0))))))</f>
        <v>2</v>
      </c>
      <c r="V4696" s="328">
        <f>VLOOKUP(C4696,METADATA!$A$5:$H$29,IF(E4696="HI",2,IF(E4696="LO",6,10))+IF(T4696=1,2,IF(D4696=7,1,(IF(WEEKDAY(B4696)=1,2,IF(WEEKDAY(B4696)=7,1,0))))))</f>
        <v>2</v>
      </c>
    </row>
    <row r="4697" spans="2:22">
      <c r="B4697" s="318">
        <f t="shared" si="291"/>
        <v>46308</v>
      </c>
      <c r="C4697" s="312">
        <v>13</v>
      </c>
      <c r="D4697" s="368">
        <f>IFERROR((INDEX(METADATA!$T$2:$T$20,MATCH(B4697,METADATA!$S$2:$S$20,0))),0)</f>
        <v>0</v>
      </c>
      <c r="E4697" s="312" t="str">
        <f t="shared" si="292"/>
        <v>LO</v>
      </c>
      <c r="F4697" s="369">
        <f>VLOOKUP(C4697,METADATA!$A$5:$H$29,IF(E4697="HI",2,IF(E4697="LO",6,10))+IF(D4697=1,2,IF(D4697=7,1,(IF(WEEKDAY(B4697)=1,2,IF(WEEKDAY(B4697)=7,1,0))))))</f>
        <v>2</v>
      </c>
      <c r="G4697" s="369">
        <f>VLOOKUP(C4697,METADATA!$J$5:$Q$29,IF(E4697="HI",2,IF(E4697="LO",6,10))+IF(D4697=1,2,IF(D4697=7,1,(IF(WEEKDAY(B4697)=1,2,IF(WEEKDAY(B4697)=7,1,0))))))</f>
        <v>2</v>
      </c>
      <c r="H4697" s="370">
        <v>11925.350158691406</v>
      </c>
      <c r="I4697" s="370">
        <v>8960.8424987792969</v>
      </c>
      <c r="M4697" s="371">
        <f t="shared" si="293"/>
        <v>14916.791702485167</v>
      </c>
      <c r="N4697" s="329">
        <f t="shared" si="294"/>
        <v>5383.2374511718754</v>
      </c>
      <c r="T4697" s="331">
        <v>0</v>
      </c>
      <c r="U4697" s="328">
        <f>VLOOKUP(C4697,METADATA!$J$5:$Q$29,IF(E4697="HI",2,IF(E4697="LO",6,10))+IF(T4697=1,2,IF(D4697=7,1,(IF(WEEKDAY(B4697)=1,2,IF(WEEKDAY(B4697)=7,1,0))))))</f>
        <v>2</v>
      </c>
      <c r="V4697" s="328">
        <f>VLOOKUP(C4697,METADATA!$A$5:$H$29,IF(E4697="HI",2,IF(E4697="LO",6,10))+IF(T4697=1,2,IF(D4697=7,1,(IF(WEEKDAY(B4697)=1,2,IF(WEEKDAY(B4697)=7,1,0))))))</f>
        <v>2</v>
      </c>
    </row>
    <row r="4698" spans="2:22">
      <c r="B4698" s="318">
        <f t="shared" si="291"/>
        <v>46308</v>
      </c>
      <c r="C4698" s="312">
        <v>14</v>
      </c>
      <c r="D4698" s="368">
        <f>IFERROR((INDEX(METADATA!$T$2:$T$20,MATCH(B4698,METADATA!$S$2:$S$20,0))),0)</f>
        <v>0</v>
      </c>
      <c r="E4698" s="312" t="str">
        <f t="shared" si="292"/>
        <v>LO</v>
      </c>
      <c r="F4698" s="369">
        <f>VLOOKUP(C4698,METADATA!$A$5:$H$29,IF(E4698="HI",2,IF(E4698="LO",6,10))+IF(D4698=1,2,IF(D4698=7,1,(IF(WEEKDAY(B4698)=1,2,IF(WEEKDAY(B4698)=7,1,0))))))</f>
        <v>2</v>
      </c>
      <c r="G4698" s="369">
        <f>VLOOKUP(C4698,METADATA!$J$5:$Q$29,IF(E4698="HI",2,IF(E4698="LO",6,10))+IF(D4698=1,2,IF(D4698=7,1,(IF(WEEKDAY(B4698)=1,2,IF(WEEKDAY(B4698)=7,1,0))))))</f>
        <v>2</v>
      </c>
      <c r="H4698" s="370">
        <v>13075.250061035156</v>
      </c>
      <c r="I4698" s="370">
        <v>9745.35009765625</v>
      </c>
      <c r="M4698" s="371">
        <f t="shared" si="293"/>
        <v>16307.483333871249</v>
      </c>
      <c r="N4698" s="329">
        <f t="shared" si="294"/>
        <v>5822.7750793457035</v>
      </c>
      <c r="T4698" s="331">
        <v>0</v>
      </c>
      <c r="U4698" s="328">
        <f>VLOOKUP(C4698,METADATA!$J$5:$Q$29,IF(E4698="HI",2,IF(E4698="LO",6,10))+IF(T4698=1,2,IF(D4698=7,1,(IF(WEEKDAY(B4698)=1,2,IF(WEEKDAY(B4698)=7,1,0))))))</f>
        <v>2</v>
      </c>
      <c r="V4698" s="328">
        <f>VLOOKUP(C4698,METADATA!$A$5:$H$29,IF(E4698="HI",2,IF(E4698="LO",6,10))+IF(T4698=1,2,IF(D4698=7,1,(IF(WEEKDAY(B4698)=1,2,IF(WEEKDAY(B4698)=7,1,0))))))</f>
        <v>2</v>
      </c>
    </row>
    <row r="4699" spans="2:22">
      <c r="B4699" s="318">
        <f t="shared" si="291"/>
        <v>46308</v>
      </c>
      <c r="C4699" s="312">
        <v>15</v>
      </c>
      <c r="D4699" s="368">
        <f>IFERROR((INDEX(METADATA!$T$2:$T$20,MATCH(B4699,METADATA!$S$2:$S$20,0))),0)</f>
        <v>0</v>
      </c>
      <c r="E4699" s="312" t="str">
        <f t="shared" si="292"/>
        <v>LO</v>
      </c>
      <c r="F4699" s="369">
        <f>VLOOKUP(C4699,METADATA!$A$5:$H$29,IF(E4699="HI",2,IF(E4699="LO",6,10))+IF(D4699=1,2,IF(D4699=7,1,(IF(WEEKDAY(B4699)=1,2,IF(WEEKDAY(B4699)=7,1,0))))))</f>
        <v>2</v>
      </c>
      <c r="G4699" s="369">
        <f>VLOOKUP(C4699,METADATA!$J$5:$Q$29,IF(E4699="HI",2,IF(E4699="LO",6,10))+IF(D4699=1,2,IF(D4699=7,1,(IF(WEEKDAY(B4699)=1,2,IF(WEEKDAY(B4699)=7,1,0))))))</f>
        <v>2</v>
      </c>
      <c r="H4699" s="370">
        <v>12530.374938964844</v>
      </c>
      <c r="I4699" s="370">
        <v>9204.1500854492188</v>
      </c>
      <c r="M4699" s="371">
        <f t="shared" si="293"/>
        <v>15547.561702933135</v>
      </c>
      <c r="N4699" s="329">
        <f t="shared" si="294"/>
        <v>5445.0376037597653</v>
      </c>
      <c r="T4699" s="331">
        <v>0</v>
      </c>
      <c r="U4699" s="328">
        <f>VLOOKUP(C4699,METADATA!$J$5:$Q$29,IF(E4699="HI",2,IF(E4699="LO",6,10))+IF(T4699=1,2,IF(D4699=7,1,(IF(WEEKDAY(B4699)=1,2,IF(WEEKDAY(B4699)=7,1,0))))))</f>
        <v>2</v>
      </c>
      <c r="V4699" s="328">
        <f>VLOOKUP(C4699,METADATA!$A$5:$H$29,IF(E4699="HI",2,IF(E4699="LO",6,10))+IF(T4699=1,2,IF(D4699=7,1,(IF(WEEKDAY(B4699)=1,2,IF(WEEKDAY(B4699)=7,1,0))))))</f>
        <v>2</v>
      </c>
    </row>
    <row r="4700" spans="2:22">
      <c r="B4700" s="318">
        <f t="shared" ref="B4700:B4763" si="295">B4676+1</f>
        <v>46308</v>
      </c>
      <c r="C4700" s="312">
        <v>16</v>
      </c>
      <c r="D4700" s="368">
        <f>IFERROR((INDEX(METADATA!$T$2:$T$20,MATCH(B4700,METADATA!$S$2:$S$20,0))),0)</f>
        <v>0</v>
      </c>
      <c r="E4700" s="312" t="str">
        <f t="shared" si="292"/>
        <v>LO</v>
      </c>
      <c r="F4700" s="369">
        <f>VLOOKUP(C4700,METADATA!$A$5:$H$29,IF(E4700="HI",2,IF(E4700="LO",6,10))+IF(D4700=1,2,IF(D4700=7,1,(IF(WEEKDAY(B4700)=1,2,IF(WEEKDAY(B4700)=7,1,0))))))</f>
        <v>2</v>
      </c>
      <c r="G4700" s="369">
        <f>VLOOKUP(C4700,METADATA!$J$5:$Q$29,IF(E4700="HI",2,IF(E4700="LO",6,10))+IF(D4700=1,2,IF(D4700=7,1,(IF(WEEKDAY(B4700)=1,2,IF(WEEKDAY(B4700)=7,1,0))))))</f>
        <v>2</v>
      </c>
      <c r="H4700" s="370">
        <v>12561.150146484375</v>
      </c>
      <c r="I4700" s="370">
        <v>9514</v>
      </c>
      <c r="M4700" s="371">
        <f t="shared" si="293"/>
        <v>15757.496279629084</v>
      </c>
      <c r="N4700" s="329">
        <f t="shared" si="294"/>
        <v>5745.6549560546882</v>
      </c>
      <c r="T4700" s="331">
        <v>0</v>
      </c>
      <c r="U4700" s="328">
        <f>VLOOKUP(C4700,METADATA!$J$5:$Q$29,IF(E4700="HI",2,IF(E4700="LO",6,10))+IF(T4700=1,2,IF(D4700=7,1,(IF(WEEKDAY(B4700)=1,2,IF(WEEKDAY(B4700)=7,1,0))))))</f>
        <v>2</v>
      </c>
      <c r="V4700" s="328">
        <f>VLOOKUP(C4700,METADATA!$A$5:$H$29,IF(E4700="HI",2,IF(E4700="LO",6,10))+IF(T4700=1,2,IF(D4700=7,1,(IF(WEEKDAY(B4700)=1,2,IF(WEEKDAY(B4700)=7,1,0))))))</f>
        <v>2</v>
      </c>
    </row>
    <row r="4701" spans="2:22">
      <c r="B4701" s="318">
        <f t="shared" si="295"/>
        <v>46308</v>
      </c>
      <c r="C4701" s="312">
        <v>17</v>
      </c>
      <c r="D4701" s="368">
        <f>IFERROR((INDEX(METADATA!$T$2:$T$20,MATCH(B4701,METADATA!$S$2:$S$20,0))),0)</f>
        <v>0</v>
      </c>
      <c r="E4701" s="312" t="str">
        <f t="shared" si="292"/>
        <v>LO</v>
      </c>
      <c r="F4701" s="369">
        <f>VLOOKUP(C4701,METADATA!$A$5:$H$29,IF(E4701="HI",2,IF(E4701="LO",6,10))+IF(D4701=1,2,IF(D4701=7,1,(IF(WEEKDAY(B4701)=1,2,IF(WEEKDAY(B4701)=7,1,0))))))</f>
        <v>2</v>
      </c>
      <c r="G4701" s="369">
        <f>VLOOKUP(C4701,METADATA!$J$5:$Q$29,IF(E4701="HI",2,IF(E4701="LO",6,10))+IF(D4701=1,2,IF(D4701=7,1,(IF(WEEKDAY(B4701)=1,2,IF(WEEKDAY(B4701)=7,1,0))))))</f>
        <v>2</v>
      </c>
      <c r="H4701" s="370">
        <v>13207.125</v>
      </c>
      <c r="I4701" s="370">
        <v>9999.8499755859375</v>
      </c>
      <c r="M4701" s="371">
        <f t="shared" si="293"/>
        <v>16565.78251396085</v>
      </c>
      <c r="N4701" s="329">
        <f t="shared" si="294"/>
        <v>6037.7124755859377</v>
      </c>
      <c r="T4701" s="331">
        <v>0</v>
      </c>
      <c r="U4701" s="328">
        <f>VLOOKUP(C4701,METADATA!$J$5:$Q$29,IF(E4701="HI",2,IF(E4701="LO",6,10))+IF(T4701=1,2,IF(D4701=7,1,(IF(WEEKDAY(B4701)=1,2,IF(WEEKDAY(B4701)=7,1,0))))))</f>
        <v>2</v>
      </c>
      <c r="V4701" s="328">
        <f>VLOOKUP(C4701,METADATA!$A$5:$H$29,IF(E4701="HI",2,IF(E4701="LO",6,10))+IF(T4701=1,2,IF(D4701=7,1,(IF(WEEKDAY(B4701)=1,2,IF(WEEKDAY(B4701)=7,1,0))))))</f>
        <v>2</v>
      </c>
    </row>
    <row r="4702" spans="2:22">
      <c r="B4702" s="318">
        <f t="shared" si="295"/>
        <v>46308</v>
      </c>
      <c r="C4702" s="312">
        <v>18</v>
      </c>
      <c r="D4702" s="368">
        <f>IFERROR((INDEX(METADATA!$T$2:$T$20,MATCH(B4702,METADATA!$S$2:$S$20,0))),0)</f>
        <v>0</v>
      </c>
      <c r="E4702" s="312" t="str">
        <f t="shared" si="292"/>
        <v>LO</v>
      </c>
      <c r="F4702" s="369">
        <f>VLOOKUP(C4702,METADATA!$A$5:$H$29,IF(E4702="HI",2,IF(E4702="LO",6,10))+IF(D4702=1,2,IF(D4702=7,1,(IF(WEEKDAY(B4702)=1,2,IF(WEEKDAY(B4702)=7,1,0))))))</f>
        <v>1</v>
      </c>
      <c r="G4702" s="369">
        <f>VLOOKUP(C4702,METADATA!$J$5:$Q$29,IF(E4702="HI",2,IF(E4702="LO",6,10))+IF(D4702=1,2,IF(D4702=7,1,(IF(WEEKDAY(B4702)=1,2,IF(WEEKDAY(B4702)=7,1,0))))))</f>
        <v>1</v>
      </c>
      <c r="H4702" s="370">
        <v>13141.900085449219</v>
      </c>
      <c r="I4702" s="370">
        <v>9750.6499633789063</v>
      </c>
      <c r="M4702" s="371">
        <f t="shared" si="293"/>
        <v>16364.128836093636</v>
      </c>
      <c r="N4702" s="329">
        <f t="shared" si="294"/>
        <v>5808.0799377441408</v>
      </c>
      <c r="T4702" s="331">
        <v>0</v>
      </c>
      <c r="U4702" s="328">
        <f>VLOOKUP(C4702,METADATA!$J$5:$Q$29,IF(E4702="HI",2,IF(E4702="LO",6,10))+IF(T4702=1,2,IF(D4702=7,1,(IF(WEEKDAY(B4702)=1,2,IF(WEEKDAY(B4702)=7,1,0))))))</f>
        <v>1</v>
      </c>
      <c r="V4702" s="328">
        <f>VLOOKUP(C4702,METADATA!$A$5:$H$29,IF(E4702="HI",2,IF(E4702="LO",6,10))+IF(T4702=1,2,IF(D4702=7,1,(IF(WEEKDAY(B4702)=1,2,IF(WEEKDAY(B4702)=7,1,0))))))</f>
        <v>1</v>
      </c>
    </row>
    <row r="4703" spans="2:22">
      <c r="B4703" s="318">
        <f t="shared" si="295"/>
        <v>46308</v>
      </c>
      <c r="C4703" s="312">
        <v>19</v>
      </c>
      <c r="D4703" s="368">
        <f>IFERROR((INDEX(METADATA!$T$2:$T$20,MATCH(B4703,METADATA!$S$2:$S$20,0))),0)</f>
        <v>0</v>
      </c>
      <c r="E4703" s="312" t="str">
        <f t="shared" si="292"/>
        <v>LO</v>
      </c>
      <c r="F4703" s="369">
        <f>VLOOKUP(C4703,METADATA!$A$5:$H$29,IF(E4703="HI",2,IF(E4703="LO",6,10))+IF(D4703=1,2,IF(D4703=7,1,(IF(WEEKDAY(B4703)=1,2,IF(WEEKDAY(B4703)=7,1,0))))))</f>
        <v>1</v>
      </c>
      <c r="G4703" s="369">
        <f>VLOOKUP(C4703,METADATA!$J$5:$Q$29,IF(E4703="HI",2,IF(E4703="LO",6,10))+IF(D4703=1,2,IF(D4703=7,1,(IF(WEEKDAY(B4703)=1,2,IF(WEEKDAY(B4703)=7,1,0))))))</f>
        <v>1</v>
      </c>
      <c r="H4703" s="370">
        <v>13135.000183105469</v>
      </c>
      <c r="I4703" s="370">
        <v>9898.650146484375</v>
      </c>
      <c r="M4703" s="371">
        <f t="shared" si="293"/>
        <v>16447.233947769935</v>
      </c>
      <c r="N4703" s="329">
        <f t="shared" si="294"/>
        <v>5958.150091552734</v>
      </c>
      <c r="T4703" s="331">
        <v>0</v>
      </c>
      <c r="U4703" s="328">
        <f>VLOOKUP(C4703,METADATA!$J$5:$Q$29,IF(E4703="HI",2,IF(E4703="LO",6,10))+IF(T4703=1,2,IF(D4703=7,1,(IF(WEEKDAY(B4703)=1,2,IF(WEEKDAY(B4703)=7,1,0))))))</f>
        <v>1</v>
      </c>
      <c r="V4703" s="328">
        <f>VLOOKUP(C4703,METADATA!$A$5:$H$29,IF(E4703="HI",2,IF(E4703="LO",6,10))+IF(T4703=1,2,IF(D4703=7,1,(IF(WEEKDAY(B4703)=1,2,IF(WEEKDAY(B4703)=7,1,0))))))</f>
        <v>1</v>
      </c>
    </row>
    <row r="4704" spans="2:22">
      <c r="B4704" s="318">
        <f t="shared" si="295"/>
        <v>46308</v>
      </c>
      <c r="C4704" s="312">
        <v>20</v>
      </c>
      <c r="D4704" s="368">
        <f>IFERROR((INDEX(METADATA!$T$2:$T$20,MATCH(B4704,METADATA!$S$2:$S$20,0))),0)</f>
        <v>0</v>
      </c>
      <c r="E4704" s="312" t="str">
        <f t="shared" si="292"/>
        <v>LO</v>
      </c>
      <c r="F4704" s="369">
        <f>VLOOKUP(C4704,METADATA!$A$5:$H$29,IF(E4704="HI",2,IF(E4704="LO",6,10))+IF(D4704=1,2,IF(D4704=7,1,(IF(WEEKDAY(B4704)=1,2,IF(WEEKDAY(B4704)=7,1,0))))))</f>
        <v>1</v>
      </c>
      <c r="G4704" s="369">
        <f>VLOOKUP(C4704,METADATA!$J$5:$Q$29,IF(E4704="HI",2,IF(E4704="LO",6,10))+IF(D4704=1,2,IF(D4704=7,1,(IF(WEEKDAY(B4704)=1,2,IF(WEEKDAY(B4704)=7,1,0))))))</f>
        <v>1</v>
      </c>
      <c r="H4704" s="370">
        <v>13087.525207519531</v>
      </c>
      <c r="I4704" s="370">
        <v>9997.75</v>
      </c>
      <c r="M4704" s="371">
        <f t="shared" si="293"/>
        <v>16469.314530968164</v>
      </c>
      <c r="N4704" s="329">
        <f t="shared" si="294"/>
        <v>6071.4924377441403</v>
      </c>
      <c r="T4704" s="331">
        <v>0</v>
      </c>
      <c r="U4704" s="328">
        <f>VLOOKUP(C4704,METADATA!$J$5:$Q$29,IF(E4704="HI",2,IF(E4704="LO",6,10))+IF(T4704=1,2,IF(D4704=7,1,(IF(WEEKDAY(B4704)=1,2,IF(WEEKDAY(B4704)=7,1,0))))))</f>
        <v>1</v>
      </c>
      <c r="V4704" s="328">
        <f>VLOOKUP(C4704,METADATA!$A$5:$H$29,IF(E4704="HI",2,IF(E4704="LO",6,10))+IF(T4704=1,2,IF(D4704=7,1,(IF(WEEKDAY(B4704)=1,2,IF(WEEKDAY(B4704)=7,1,0))))))</f>
        <v>1</v>
      </c>
    </row>
    <row r="4705" spans="2:22">
      <c r="B4705" s="318">
        <f t="shared" si="295"/>
        <v>46308</v>
      </c>
      <c r="C4705" s="312">
        <v>21</v>
      </c>
      <c r="D4705" s="368">
        <f>IFERROR((INDEX(METADATA!$T$2:$T$20,MATCH(B4705,METADATA!$S$2:$S$20,0))),0)</f>
        <v>0</v>
      </c>
      <c r="E4705" s="312" t="str">
        <f t="shared" si="292"/>
        <v>LO</v>
      </c>
      <c r="F4705" s="369">
        <f>VLOOKUP(C4705,METADATA!$A$5:$H$29,IF(E4705="HI",2,IF(E4705="LO",6,10))+IF(D4705=1,2,IF(D4705=7,1,(IF(WEEKDAY(B4705)=1,2,IF(WEEKDAY(B4705)=7,1,0))))))</f>
        <v>2</v>
      </c>
      <c r="G4705" s="369">
        <f>VLOOKUP(C4705,METADATA!$J$5:$Q$29,IF(E4705="HI",2,IF(E4705="LO",6,10))+IF(D4705=1,2,IF(D4705=7,1,(IF(WEEKDAY(B4705)=1,2,IF(WEEKDAY(B4705)=7,1,0))))))</f>
        <v>2</v>
      </c>
      <c r="H4705" s="370">
        <v>13087.024963378906</v>
      </c>
      <c r="I4705" s="370">
        <v>9990.3751831054688</v>
      </c>
      <c r="M4705" s="371">
        <f t="shared" si="293"/>
        <v>16464.441037925106</v>
      </c>
      <c r="N4705" s="329">
        <f t="shared" si="294"/>
        <v>6064.2676940917972</v>
      </c>
      <c r="T4705" s="331">
        <v>0</v>
      </c>
      <c r="U4705" s="328">
        <f>VLOOKUP(C4705,METADATA!$J$5:$Q$29,IF(E4705="HI",2,IF(E4705="LO",6,10))+IF(T4705=1,2,IF(D4705=7,1,(IF(WEEKDAY(B4705)=1,2,IF(WEEKDAY(B4705)=7,1,0))))))</f>
        <v>2</v>
      </c>
      <c r="V4705" s="328">
        <f>VLOOKUP(C4705,METADATA!$A$5:$H$29,IF(E4705="HI",2,IF(E4705="LO",6,10))+IF(T4705=1,2,IF(D4705=7,1,(IF(WEEKDAY(B4705)=1,2,IF(WEEKDAY(B4705)=7,1,0))))))</f>
        <v>2</v>
      </c>
    </row>
    <row r="4706" spans="2:22">
      <c r="B4706" s="318">
        <f t="shared" si="295"/>
        <v>46308</v>
      </c>
      <c r="C4706" s="312">
        <v>22</v>
      </c>
      <c r="D4706" s="368">
        <f>IFERROR((INDEX(METADATA!$T$2:$T$20,MATCH(B4706,METADATA!$S$2:$S$20,0))),0)</f>
        <v>0</v>
      </c>
      <c r="E4706" s="312" t="str">
        <f t="shared" si="292"/>
        <v>LO</v>
      </c>
      <c r="F4706" s="369">
        <f>VLOOKUP(C4706,METADATA!$A$5:$H$29,IF(E4706="HI",2,IF(E4706="LO",6,10))+IF(D4706=1,2,IF(D4706=7,1,(IF(WEEKDAY(B4706)=1,2,IF(WEEKDAY(B4706)=7,1,0))))))</f>
        <v>3</v>
      </c>
      <c r="G4706" s="369">
        <f>VLOOKUP(C4706,METADATA!$J$5:$Q$29,IF(E4706="HI",2,IF(E4706="LO",6,10))+IF(D4706=1,2,IF(D4706=7,1,(IF(WEEKDAY(B4706)=1,2,IF(WEEKDAY(B4706)=7,1,0))))))</f>
        <v>3</v>
      </c>
      <c r="H4706" s="370">
        <v>13114.6748046875</v>
      </c>
      <c r="I4706" s="370">
        <v>9832.025146484375</v>
      </c>
      <c r="M4706" s="371">
        <f t="shared" si="293"/>
        <v>16390.955241040901</v>
      </c>
      <c r="N4706" s="329">
        <f t="shared" si="294"/>
        <v>5897.6227050781254</v>
      </c>
      <c r="T4706" s="331">
        <v>0</v>
      </c>
      <c r="U4706" s="328">
        <f>VLOOKUP(C4706,METADATA!$J$5:$Q$29,IF(E4706="HI",2,IF(E4706="LO",6,10))+IF(T4706=1,2,IF(D4706=7,1,(IF(WEEKDAY(B4706)=1,2,IF(WEEKDAY(B4706)=7,1,0))))))</f>
        <v>3</v>
      </c>
      <c r="V4706" s="328">
        <f>VLOOKUP(C4706,METADATA!$A$5:$H$29,IF(E4706="HI",2,IF(E4706="LO",6,10))+IF(T4706=1,2,IF(D4706=7,1,(IF(WEEKDAY(B4706)=1,2,IF(WEEKDAY(B4706)=7,1,0))))))</f>
        <v>3</v>
      </c>
    </row>
    <row r="4707" spans="2:22">
      <c r="B4707" s="318">
        <f t="shared" si="295"/>
        <v>46308</v>
      </c>
      <c r="C4707" s="312">
        <v>23</v>
      </c>
      <c r="D4707" s="368">
        <f>IFERROR((INDEX(METADATA!$T$2:$T$20,MATCH(B4707,METADATA!$S$2:$S$20,0))),0)</f>
        <v>0</v>
      </c>
      <c r="E4707" s="312" t="str">
        <f t="shared" si="292"/>
        <v>LO</v>
      </c>
      <c r="F4707" s="369">
        <f>VLOOKUP(C4707,METADATA!$A$5:$H$29,IF(E4707="HI",2,IF(E4707="LO",6,10))+IF(D4707=1,2,IF(D4707=7,1,(IF(WEEKDAY(B4707)=1,2,IF(WEEKDAY(B4707)=7,1,0))))))</f>
        <v>3</v>
      </c>
      <c r="G4707" s="369">
        <f>VLOOKUP(C4707,METADATA!$J$5:$Q$29,IF(E4707="HI",2,IF(E4707="LO",6,10))+IF(D4707=1,2,IF(D4707=7,1,(IF(WEEKDAY(B4707)=1,2,IF(WEEKDAY(B4707)=7,1,0))))))</f>
        <v>3</v>
      </c>
      <c r="H4707" s="370">
        <v>12513.049743652344</v>
      </c>
      <c r="I4707" s="370">
        <v>9574.3251342773438</v>
      </c>
      <c r="M4707" s="371">
        <f t="shared" si="293"/>
        <v>15755.764521722609</v>
      </c>
      <c r="N4707" s="329">
        <f t="shared" si="294"/>
        <v>5820.410211181641</v>
      </c>
      <c r="T4707" s="331">
        <v>0</v>
      </c>
      <c r="U4707" s="328">
        <f>VLOOKUP(C4707,METADATA!$J$5:$Q$29,IF(E4707="HI",2,IF(E4707="LO",6,10))+IF(T4707=1,2,IF(D4707=7,1,(IF(WEEKDAY(B4707)=1,2,IF(WEEKDAY(B4707)=7,1,0))))))</f>
        <v>3</v>
      </c>
      <c r="V4707" s="328">
        <f>VLOOKUP(C4707,METADATA!$A$5:$H$29,IF(E4707="HI",2,IF(E4707="LO",6,10))+IF(T4707=1,2,IF(D4707=7,1,(IF(WEEKDAY(B4707)=1,2,IF(WEEKDAY(B4707)=7,1,0))))))</f>
        <v>3</v>
      </c>
    </row>
    <row r="4708" spans="2:22">
      <c r="B4708" s="318">
        <f t="shared" si="295"/>
        <v>46309</v>
      </c>
      <c r="C4708" s="312">
        <v>0</v>
      </c>
      <c r="D4708" s="368">
        <f>IFERROR((INDEX(METADATA!$T$2:$T$20,MATCH(B4708,METADATA!$S$2:$S$20,0))),0)</f>
        <v>0</v>
      </c>
      <c r="E4708" s="312" t="str">
        <f t="shared" si="292"/>
        <v>LO</v>
      </c>
      <c r="F4708" s="369">
        <f>VLOOKUP(C4708,METADATA!$A$5:$H$29,IF(E4708="HI",2,IF(E4708="LO",6,10))+IF(D4708=1,2,IF(D4708=7,1,(IF(WEEKDAY(B4708)=1,2,IF(WEEKDAY(B4708)=7,1,0))))))</f>
        <v>3</v>
      </c>
      <c r="G4708" s="369">
        <f>VLOOKUP(C4708,METADATA!$J$5:$Q$29,IF(E4708="HI",2,IF(E4708="LO",6,10))+IF(D4708=1,2,IF(D4708=7,1,(IF(WEEKDAY(B4708)=1,2,IF(WEEKDAY(B4708)=7,1,0))))))</f>
        <v>3</v>
      </c>
      <c r="H4708" s="370">
        <v>12724.949829101563</v>
      </c>
      <c r="I4708" s="370">
        <v>9919.0250854492188</v>
      </c>
      <c r="M4708" s="371">
        <f t="shared" si="293"/>
        <v>16134.168921854101</v>
      </c>
      <c r="N4708" s="329">
        <f t="shared" si="294"/>
        <v>6101.5401367187496</v>
      </c>
      <c r="T4708" s="331">
        <v>0</v>
      </c>
      <c r="U4708" s="328">
        <f>VLOOKUP(C4708,METADATA!$J$5:$Q$29,IF(E4708="HI",2,IF(E4708="LO",6,10))+IF(T4708=1,2,IF(D4708=7,1,(IF(WEEKDAY(B4708)=1,2,IF(WEEKDAY(B4708)=7,1,0))))))</f>
        <v>3</v>
      </c>
      <c r="V4708" s="328">
        <f>VLOOKUP(C4708,METADATA!$A$5:$H$29,IF(E4708="HI",2,IF(E4708="LO",6,10))+IF(T4708=1,2,IF(D4708=7,1,(IF(WEEKDAY(B4708)=1,2,IF(WEEKDAY(B4708)=7,1,0))))))</f>
        <v>3</v>
      </c>
    </row>
    <row r="4709" spans="2:22">
      <c r="B4709" s="318">
        <f t="shared" si="295"/>
        <v>46309</v>
      </c>
      <c r="C4709" s="312">
        <v>1</v>
      </c>
      <c r="D4709" s="368">
        <f>IFERROR((INDEX(METADATA!$T$2:$T$20,MATCH(B4709,METADATA!$S$2:$S$20,0))),0)</f>
        <v>0</v>
      </c>
      <c r="E4709" s="312" t="str">
        <f t="shared" si="292"/>
        <v>LO</v>
      </c>
      <c r="F4709" s="369">
        <f>VLOOKUP(C4709,METADATA!$A$5:$H$29,IF(E4709="HI",2,IF(E4709="LO",6,10))+IF(D4709=1,2,IF(D4709=7,1,(IF(WEEKDAY(B4709)=1,2,IF(WEEKDAY(B4709)=7,1,0))))))</f>
        <v>3</v>
      </c>
      <c r="G4709" s="369">
        <f>VLOOKUP(C4709,METADATA!$J$5:$Q$29,IF(E4709="HI",2,IF(E4709="LO",6,10))+IF(D4709=1,2,IF(D4709=7,1,(IF(WEEKDAY(B4709)=1,2,IF(WEEKDAY(B4709)=7,1,0))))))</f>
        <v>3</v>
      </c>
      <c r="H4709" s="370">
        <v>12703.575378417969</v>
      </c>
      <c r="I4709" s="370">
        <v>9899.1234130859375</v>
      </c>
      <c r="M4709" s="371">
        <f t="shared" si="293"/>
        <v>16105.0759620268</v>
      </c>
      <c r="N4709" s="329">
        <f t="shared" si="294"/>
        <v>6088.0507995605476</v>
      </c>
      <c r="T4709" s="331">
        <v>0</v>
      </c>
      <c r="U4709" s="328">
        <f>VLOOKUP(C4709,METADATA!$J$5:$Q$29,IF(E4709="HI",2,IF(E4709="LO",6,10))+IF(T4709=1,2,IF(D4709=7,1,(IF(WEEKDAY(B4709)=1,2,IF(WEEKDAY(B4709)=7,1,0))))))</f>
        <v>3</v>
      </c>
      <c r="V4709" s="328">
        <f>VLOOKUP(C4709,METADATA!$A$5:$H$29,IF(E4709="HI",2,IF(E4709="LO",6,10))+IF(T4709=1,2,IF(D4709=7,1,(IF(WEEKDAY(B4709)=1,2,IF(WEEKDAY(B4709)=7,1,0))))))</f>
        <v>3</v>
      </c>
    </row>
    <row r="4710" spans="2:22">
      <c r="B4710" s="318">
        <f t="shared" si="295"/>
        <v>46309</v>
      </c>
      <c r="C4710" s="312">
        <v>2</v>
      </c>
      <c r="D4710" s="368">
        <f>IFERROR((INDEX(METADATA!$T$2:$T$20,MATCH(B4710,METADATA!$S$2:$S$20,0))),0)</f>
        <v>0</v>
      </c>
      <c r="E4710" s="312" t="str">
        <f t="shared" si="292"/>
        <v>LO</v>
      </c>
      <c r="F4710" s="369">
        <f>VLOOKUP(C4710,METADATA!$A$5:$H$29,IF(E4710="HI",2,IF(E4710="LO",6,10))+IF(D4710=1,2,IF(D4710=7,1,(IF(WEEKDAY(B4710)=1,2,IF(WEEKDAY(B4710)=7,1,0))))))</f>
        <v>3</v>
      </c>
      <c r="G4710" s="369">
        <f>VLOOKUP(C4710,METADATA!$J$5:$Q$29,IF(E4710="HI",2,IF(E4710="LO",6,10))+IF(D4710=1,2,IF(D4710=7,1,(IF(WEEKDAY(B4710)=1,2,IF(WEEKDAY(B4710)=7,1,0))))))</f>
        <v>3</v>
      </c>
      <c r="H4710" s="370">
        <v>12848.900268554688</v>
      </c>
      <c r="I4710" s="370">
        <v>10056.625</v>
      </c>
      <c r="M4710" s="371">
        <f t="shared" si="293"/>
        <v>16316.554308489574</v>
      </c>
      <c r="N4710" s="329">
        <f t="shared" si="294"/>
        <v>6201.9549194335941</v>
      </c>
      <c r="T4710" s="331">
        <v>0</v>
      </c>
      <c r="U4710" s="328">
        <f>VLOOKUP(C4710,METADATA!$J$5:$Q$29,IF(E4710="HI",2,IF(E4710="LO",6,10))+IF(T4710=1,2,IF(D4710=7,1,(IF(WEEKDAY(B4710)=1,2,IF(WEEKDAY(B4710)=7,1,0))))))</f>
        <v>3</v>
      </c>
      <c r="V4710" s="328">
        <f>VLOOKUP(C4710,METADATA!$A$5:$H$29,IF(E4710="HI",2,IF(E4710="LO",6,10))+IF(T4710=1,2,IF(D4710=7,1,(IF(WEEKDAY(B4710)=1,2,IF(WEEKDAY(B4710)=7,1,0))))))</f>
        <v>3</v>
      </c>
    </row>
    <row r="4711" spans="2:22">
      <c r="B4711" s="318">
        <f t="shared" si="295"/>
        <v>46309</v>
      </c>
      <c r="C4711" s="312">
        <v>3</v>
      </c>
      <c r="D4711" s="368">
        <f>IFERROR((INDEX(METADATA!$T$2:$T$20,MATCH(B4711,METADATA!$S$2:$S$20,0))),0)</f>
        <v>0</v>
      </c>
      <c r="E4711" s="312" t="str">
        <f t="shared" si="292"/>
        <v>LO</v>
      </c>
      <c r="F4711" s="369">
        <f>VLOOKUP(C4711,METADATA!$A$5:$H$29,IF(E4711="HI",2,IF(E4711="LO",6,10))+IF(D4711=1,2,IF(D4711=7,1,(IF(WEEKDAY(B4711)=1,2,IF(WEEKDAY(B4711)=7,1,0))))))</f>
        <v>3</v>
      </c>
      <c r="G4711" s="369">
        <f>VLOOKUP(C4711,METADATA!$J$5:$Q$29,IF(E4711="HI",2,IF(E4711="LO",6,10))+IF(D4711=1,2,IF(D4711=7,1,(IF(WEEKDAY(B4711)=1,2,IF(WEEKDAY(B4711)=7,1,0))))))</f>
        <v>3</v>
      </c>
      <c r="H4711" s="370">
        <v>12797.150085449219</v>
      </c>
      <c r="I4711" s="370">
        <v>10075.049987792969</v>
      </c>
      <c r="M4711" s="371">
        <f t="shared" si="293"/>
        <v>16287.224520035328</v>
      </c>
      <c r="N4711" s="329">
        <f t="shared" si="294"/>
        <v>6235.9049621582035</v>
      </c>
      <c r="T4711" s="331">
        <v>0</v>
      </c>
      <c r="U4711" s="328">
        <f>VLOOKUP(C4711,METADATA!$J$5:$Q$29,IF(E4711="HI",2,IF(E4711="LO",6,10))+IF(T4711=1,2,IF(D4711=7,1,(IF(WEEKDAY(B4711)=1,2,IF(WEEKDAY(B4711)=7,1,0))))))</f>
        <v>3</v>
      </c>
      <c r="V4711" s="328">
        <f>VLOOKUP(C4711,METADATA!$A$5:$H$29,IF(E4711="HI",2,IF(E4711="LO",6,10))+IF(T4711=1,2,IF(D4711=7,1,(IF(WEEKDAY(B4711)=1,2,IF(WEEKDAY(B4711)=7,1,0))))))</f>
        <v>3</v>
      </c>
    </row>
    <row r="4712" spans="2:22">
      <c r="B4712" s="318">
        <f t="shared" si="295"/>
        <v>46309</v>
      </c>
      <c r="C4712" s="312">
        <v>4</v>
      </c>
      <c r="D4712" s="368">
        <f>IFERROR((INDEX(METADATA!$T$2:$T$20,MATCH(B4712,METADATA!$S$2:$S$20,0))),0)</f>
        <v>0</v>
      </c>
      <c r="E4712" s="312" t="str">
        <f t="shared" si="292"/>
        <v>LO</v>
      </c>
      <c r="F4712" s="369">
        <f>VLOOKUP(C4712,METADATA!$A$5:$H$29,IF(E4712="HI",2,IF(E4712="LO",6,10))+IF(D4712=1,2,IF(D4712=7,1,(IF(WEEKDAY(B4712)=1,2,IF(WEEKDAY(B4712)=7,1,0))))))</f>
        <v>3</v>
      </c>
      <c r="G4712" s="369">
        <f>VLOOKUP(C4712,METADATA!$J$5:$Q$29,IF(E4712="HI",2,IF(E4712="LO",6,10))+IF(D4712=1,2,IF(D4712=7,1,(IF(WEEKDAY(B4712)=1,2,IF(WEEKDAY(B4712)=7,1,0))))))</f>
        <v>3</v>
      </c>
      <c r="H4712" s="370">
        <v>12593.975036621094</v>
      </c>
      <c r="I4712" s="370">
        <v>9910.4000854492188</v>
      </c>
      <c r="M4712" s="371">
        <f t="shared" si="293"/>
        <v>16025.736709328128</v>
      </c>
      <c r="N4712" s="329">
        <f t="shared" si="294"/>
        <v>6132.207574462891</v>
      </c>
      <c r="T4712" s="331">
        <v>0</v>
      </c>
      <c r="U4712" s="328">
        <f>VLOOKUP(C4712,METADATA!$J$5:$Q$29,IF(E4712="HI",2,IF(E4712="LO",6,10))+IF(T4712=1,2,IF(D4712=7,1,(IF(WEEKDAY(B4712)=1,2,IF(WEEKDAY(B4712)=7,1,0))))))</f>
        <v>3</v>
      </c>
      <c r="V4712" s="328">
        <f>VLOOKUP(C4712,METADATA!$A$5:$H$29,IF(E4712="HI",2,IF(E4712="LO",6,10))+IF(T4712=1,2,IF(D4712=7,1,(IF(WEEKDAY(B4712)=1,2,IF(WEEKDAY(B4712)=7,1,0))))))</f>
        <v>3</v>
      </c>
    </row>
    <row r="4713" spans="2:22">
      <c r="B4713" s="318">
        <f t="shared" si="295"/>
        <v>46309</v>
      </c>
      <c r="C4713" s="312">
        <v>5</v>
      </c>
      <c r="D4713" s="368">
        <f>IFERROR((INDEX(METADATA!$T$2:$T$20,MATCH(B4713,METADATA!$S$2:$S$20,0))),0)</f>
        <v>0</v>
      </c>
      <c r="E4713" s="312" t="str">
        <f t="shared" si="292"/>
        <v>LO</v>
      </c>
      <c r="F4713" s="369">
        <f>VLOOKUP(C4713,METADATA!$A$5:$H$29,IF(E4713="HI",2,IF(E4713="LO",6,10))+IF(D4713=1,2,IF(D4713=7,1,(IF(WEEKDAY(B4713)=1,2,IF(WEEKDAY(B4713)=7,1,0))))))</f>
        <v>3</v>
      </c>
      <c r="G4713" s="369">
        <f>VLOOKUP(C4713,METADATA!$J$5:$Q$29,IF(E4713="HI",2,IF(E4713="LO",6,10))+IF(D4713=1,2,IF(D4713=7,1,(IF(WEEKDAY(B4713)=1,2,IF(WEEKDAY(B4713)=7,1,0))))))</f>
        <v>3</v>
      </c>
      <c r="H4713" s="370">
        <v>12797.5751953125</v>
      </c>
      <c r="I4713" s="370">
        <v>9874.4498291015625</v>
      </c>
      <c r="M4713" s="371">
        <f t="shared" si="293"/>
        <v>16164.241099016113</v>
      </c>
      <c r="N4713" s="329">
        <f t="shared" si="294"/>
        <v>6035.1772705078129</v>
      </c>
      <c r="T4713" s="331">
        <v>0</v>
      </c>
      <c r="U4713" s="328">
        <f>VLOOKUP(C4713,METADATA!$J$5:$Q$29,IF(E4713="HI",2,IF(E4713="LO",6,10))+IF(T4713=1,2,IF(D4713=7,1,(IF(WEEKDAY(B4713)=1,2,IF(WEEKDAY(B4713)=7,1,0))))))</f>
        <v>3</v>
      </c>
      <c r="V4713" s="328">
        <f>VLOOKUP(C4713,METADATA!$A$5:$H$29,IF(E4713="HI",2,IF(E4713="LO",6,10))+IF(T4713=1,2,IF(D4713=7,1,(IF(WEEKDAY(B4713)=1,2,IF(WEEKDAY(B4713)=7,1,0))))))</f>
        <v>3</v>
      </c>
    </row>
    <row r="4714" spans="2:22">
      <c r="B4714" s="318">
        <f t="shared" si="295"/>
        <v>46309</v>
      </c>
      <c r="C4714" s="312">
        <v>6</v>
      </c>
      <c r="D4714" s="368">
        <f>IFERROR((INDEX(METADATA!$T$2:$T$20,MATCH(B4714,METADATA!$S$2:$S$20,0))),0)</f>
        <v>0</v>
      </c>
      <c r="E4714" s="312" t="str">
        <f t="shared" si="292"/>
        <v>LO</v>
      </c>
      <c r="F4714" s="369">
        <f>VLOOKUP(C4714,METADATA!$A$5:$H$29,IF(E4714="HI",2,IF(E4714="LO",6,10))+IF(D4714=1,2,IF(D4714=7,1,(IF(WEEKDAY(B4714)=1,2,IF(WEEKDAY(B4714)=7,1,0))))))</f>
        <v>2</v>
      </c>
      <c r="G4714" s="369">
        <f>VLOOKUP(C4714,METADATA!$J$5:$Q$29,IF(E4714="HI",2,IF(E4714="LO",6,10))+IF(D4714=1,2,IF(D4714=7,1,(IF(WEEKDAY(B4714)=1,2,IF(WEEKDAY(B4714)=7,1,0))))))</f>
        <v>2</v>
      </c>
      <c r="H4714" s="370">
        <v>12549.400085449219</v>
      </c>
      <c r="I4714" s="370">
        <v>9692.2498779296875</v>
      </c>
      <c r="M4714" s="371">
        <f t="shared" si="293"/>
        <v>15856.454528074708</v>
      </c>
      <c r="N4714" s="329">
        <f t="shared" si="294"/>
        <v>5927.4298522949221</v>
      </c>
      <c r="T4714" s="331">
        <v>0</v>
      </c>
      <c r="U4714" s="328">
        <f>VLOOKUP(C4714,METADATA!$J$5:$Q$29,IF(E4714="HI",2,IF(E4714="LO",6,10))+IF(T4714=1,2,IF(D4714=7,1,(IF(WEEKDAY(B4714)=1,2,IF(WEEKDAY(B4714)=7,1,0))))))</f>
        <v>2</v>
      </c>
      <c r="V4714" s="328">
        <f>VLOOKUP(C4714,METADATA!$A$5:$H$29,IF(E4714="HI",2,IF(E4714="LO",6,10))+IF(T4714=1,2,IF(D4714=7,1,(IF(WEEKDAY(B4714)=1,2,IF(WEEKDAY(B4714)=7,1,0))))))</f>
        <v>2</v>
      </c>
    </row>
    <row r="4715" spans="2:22">
      <c r="B4715" s="318">
        <f t="shared" si="295"/>
        <v>46309</v>
      </c>
      <c r="C4715" s="312">
        <v>7</v>
      </c>
      <c r="D4715" s="368">
        <f>IFERROR((INDEX(METADATA!$T$2:$T$20,MATCH(B4715,METADATA!$S$2:$S$20,0))),0)</f>
        <v>0</v>
      </c>
      <c r="E4715" s="312" t="str">
        <f t="shared" si="292"/>
        <v>LO</v>
      </c>
      <c r="F4715" s="369">
        <f>VLOOKUP(C4715,METADATA!$A$5:$H$29,IF(E4715="HI",2,IF(E4715="LO",6,10))+IF(D4715=1,2,IF(D4715=7,1,(IF(WEEKDAY(B4715)=1,2,IF(WEEKDAY(B4715)=7,1,0))))))</f>
        <v>1</v>
      </c>
      <c r="G4715" s="369">
        <f>VLOOKUP(C4715,METADATA!$J$5:$Q$29,IF(E4715="HI",2,IF(E4715="LO",6,10))+IF(D4715=1,2,IF(D4715=7,1,(IF(WEEKDAY(B4715)=1,2,IF(WEEKDAY(B4715)=7,1,0))))))</f>
        <v>1</v>
      </c>
      <c r="H4715" s="370">
        <v>11043.44970703125</v>
      </c>
      <c r="I4715" s="370">
        <v>8876</v>
      </c>
      <c r="M4715" s="371">
        <f t="shared" si="293"/>
        <v>14168.315264410536</v>
      </c>
      <c r="N4715" s="329">
        <f t="shared" si="294"/>
        <v>5562.965087890625</v>
      </c>
      <c r="T4715" s="331">
        <v>0</v>
      </c>
      <c r="U4715" s="328">
        <f>VLOOKUP(C4715,METADATA!$J$5:$Q$29,IF(E4715="HI",2,IF(E4715="LO",6,10))+IF(T4715=1,2,IF(D4715=7,1,(IF(WEEKDAY(B4715)=1,2,IF(WEEKDAY(B4715)=7,1,0))))))</f>
        <v>1</v>
      </c>
      <c r="V4715" s="328">
        <f>VLOOKUP(C4715,METADATA!$A$5:$H$29,IF(E4715="HI",2,IF(E4715="LO",6,10))+IF(T4715=1,2,IF(D4715=7,1,(IF(WEEKDAY(B4715)=1,2,IF(WEEKDAY(B4715)=7,1,0))))))</f>
        <v>1</v>
      </c>
    </row>
    <row r="4716" spans="2:22">
      <c r="B4716" s="318">
        <f t="shared" si="295"/>
        <v>46309</v>
      </c>
      <c r="C4716" s="312">
        <v>8</v>
      </c>
      <c r="D4716" s="368">
        <f>IFERROR((INDEX(METADATA!$T$2:$T$20,MATCH(B4716,METADATA!$S$2:$S$20,0))),0)</f>
        <v>0</v>
      </c>
      <c r="E4716" s="312" t="str">
        <f t="shared" si="292"/>
        <v>LO</v>
      </c>
      <c r="F4716" s="369">
        <f>VLOOKUP(C4716,METADATA!$A$5:$H$29,IF(E4716="HI",2,IF(E4716="LO",6,10))+IF(D4716=1,2,IF(D4716=7,1,(IF(WEEKDAY(B4716)=1,2,IF(WEEKDAY(B4716)=7,1,0))))))</f>
        <v>1</v>
      </c>
      <c r="G4716" s="369">
        <f>VLOOKUP(C4716,METADATA!$J$5:$Q$29,IF(E4716="HI",2,IF(E4716="LO",6,10))+IF(D4716=1,2,IF(D4716=7,1,(IF(WEEKDAY(B4716)=1,2,IF(WEEKDAY(B4716)=7,1,0))))))</f>
        <v>1</v>
      </c>
      <c r="H4716" s="370">
        <v>5779.992431640625</v>
      </c>
      <c r="I4716" s="370">
        <v>6033.9725646972656</v>
      </c>
      <c r="M4716" s="371">
        <f t="shared" si="293"/>
        <v>8355.6649897744337</v>
      </c>
      <c r="N4716" s="329">
        <f t="shared" si="294"/>
        <v>4299.9748352050783</v>
      </c>
      <c r="T4716" s="331">
        <v>0</v>
      </c>
      <c r="U4716" s="328">
        <f>VLOOKUP(C4716,METADATA!$J$5:$Q$29,IF(E4716="HI",2,IF(E4716="LO",6,10))+IF(T4716=1,2,IF(D4716=7,1,(IF(WEEKDAY(B4716)=1,2,IF(WEEKDAY(B4716)=7,1,0))))))</f>
        <v>1</v>
      </c>
      <c r="V4716" s="328">
        <f>VLOOKUP(C4716,METADATA!$A$5:$H$29,IF(E4716="HI",2,IF(E4716="LO",6,10))+IF(T4716=1,2,IF(D4716=7,1,(IF(WEEKDAY(B4716)=1,2,IF(WEEKDAY(B4716)=7,1,0))))))</f>
        <v>1</v>
      </c>
    </row>
    <row r="4717" spans="2:22">
      <c r="B4717" s="318">
        <f t="shared" si="295"/>
        <v>46309</v>
      </c>
      <c r="C4717" s="312">
        <v>9</v>
      </c>
      <c r="D4717" s="368">
        <f>IFERROR((INDEX(METADATA!$T$2:$T$20,MATCH(B4717,METADATA!$S$2:$S$20,0))),0)</f>
        <v>0</v>
      </c>
      <c r="E4717" s="312" t="str">
        <f t="shared" si="292"/>
        <v>LO</v>
      </c>
      <c r="F4717" s="369">
        <f>VLOOKUP(C4717,METADATA!$A$5:$H$29,IF(E4717="HI",2,IF(E4717="LO",6,10))+IF(D4717=1,2,IF(D4717=7,1,(IF(WEEKDAY(B4717)=1,2,IF(WEEKDAY(B4717)=7,1,0))))))</f>
        <v>2</v>
      </c>
      <c r="G4717" s="369">
        <f>VLOOKUP(C4717,METADATA!$J$5:$Q$29,IF(E4717="HI",2,IF(E4717="LO",6,10))+IF(D4717=1,2,IF(D4717=7,1,(IF(WEEKDAY(B4717)=1,2,IF(WEEKDAY(B4717)=7,1,0))))))</f>
        <v>2</v>
      </c>
      <c r="H4717" s="370">
        <v>5328.4150085449219</v>
      </c>
      <c r="I4717" s="370">
        <v>5752.5149536132813</v>
      </c>
      <c r="M4717" s="371">
        <f t="shared" si="293"/>
        <v>7841.1373406433322</v>
      </c>
      <c r="N4717" s="329">
        <f t="shared" si="294"/>
        <v>4153.9904510498045</v>
      </c>
      <c r="T4717" s="331">
        <v>0</v>
      </c>
      <c r="U4717" s="328">
        <f>VLOOKUP(C4717,METADATA!$J$5:$Q$29,IF(E4717="HI",2,IF(E4717="LO",6,10))+IF(T4717=1,2,IF(D4717=7,1,(IF(WEEKDAY(B4717)=1,2,IF(WEEKDAY(B4717)=7,1,0))))))</f>
        <v>2</v>
      </c>
      <c r="V4717" s="328">
        <f>VLOOKUP(C4717,METADATA!$A$5:$H$29,IF(E4717="HI",2,IF(E4717="LO",6,10))+IF(T4717=1,2,IF(D4717=7,1,(IF(WEEKDAY(B4717)=1,2,IF(WEEKDAY(B4717)=7,1,0))))))</f>
        <v>2</v>
      </c>
    </row>
    <row r="4718" spans="2:22">
      <c r="B4718" s="318">
        <f t="shared" si="295"/>
        <v>46309</v>
      </c>
      <c r="C4718" s="312">
        <v>10</v>
      </c>
      <c r="D4718" s="368">
        <f>IFERROR((INDEX(METADATA!$T$2:$T$20,MATCH(B4718,METADATA!$S$2:$S$20,0))),0)</f>
        <v>0</v>
      </c>
      <c r="E4718" s="312" t="str">
        <f t="shared" si="292"/>
        <v>LO</v>
      </c>
      <c r="F4718" s="369">
        <f>VLOOKUP(C4718,METADATA!$A$5:$H$29,IF(E4718="HI",2,IF(E4718="LO",6,10))+IF(D4718=1,2,IF(D4718=7,1,(IF(WEEKDAY(B4718)=1,2,IF(WEEKDAY(B4718)=7,1,0))))))</f>
        <v>2</v>
      </c>
      <c r="G4718" s="369">
        <f>VLOOKUP(C4718,METADATA!$J$5:$Q$29,IF(E4718="HI",2,IF(E4718="LO",6,10))+IF(D4718=1,2,IF(D4718=7,1,(IF(WEEKDAY(B4718)=1,2,IF(WEEKDAY(B4718)=7,1,0))))))</f>
        <v>2</v>
      </c>
      <c r="H4718" s="370">
        <v>5565.7649841308594</v>
      </c>
      <c r="I4718" s="370">
        <v>5842.2200317382813</v>
      </c>
      <c r="M4718" s="371">
        <f t="shared" si="293"/>
        <v>8069.0318352216964</v>
      </c>
      <c r="N4718" s="329">
        <f t="shared" si="294"/>
        <v>4172.4905364990236</v>
      </c>
      <c r="T4718" s="331">
        <v>0</v>
      </c>
      <c r="U4718" s="328">
        <f>VLOOKUP(C4718,METADATA!$J$5:$Q$29,IF(E4718="HI",2,IF(E4718="LO",6,10))+IF(T4718=1,2,IF(D4718=7,1,(IF(WEEKDAY(B4718)=1,2,IF(WEEKDAY(B4718)=7,1,0))))))</f>
        <v>2</v>
      </c>
      <c r="V4718" s="328">
        <f>VLOOKUP(C4718,METADATA!$A$5:$H$29,IF(E4718="HI",2,IF(E4718="LO",6,10))+IF(T4718=1,2,IF(D4718=7,1,(IF(WEEKDAY(B4718)=1,2,IF(WEEKDAY(B4718)=7,1,0))))))</f>
        <v>2</v>
      </c>
    </row>
    <row r="4719" spans="2:22">
      <c r="B4719" s="318">
        <f t="shared" si="295"/>
        <v>46309</v>
      </c>
      <c r="C4719" s="312">
        <v>11</v>
      </c>
      <c r="D4719" s="368">
        <f>IFERROR((INDEX(METADATA!$T$2:$T$20,MATCH(B4719,METADATA!$S$2:$S$20,0))),0)</f>
        <v>0</v>
      </c>
      <c r="E4719" s="312" t="str">
        <f t="shared" si="292"/>
        <v>LO</v>
      </c>
      <c r="F4719" s="369">
        <f>VLOOKUP(C4719,METADATA!$A$5:$H$29,IF(E4719="HI",2,IF(E4719="LO",6,10))+IF(D4719=1,2,IF(D4719=7,1,(IF(WEEKDAY(B4719)=1,2,IF(WEEKDAY(B4719)=7,1,0))))))</f>
        <v>2</v>
      </c>
      <c r="G4719" s="369">
        <f>VLOOKUP(C4719,METADATA!$J$5:$Q$29,IF(E4719="HI",2,IF(E4719="LO",6,10))+IF(D4719=1,2,IF(D4719=7,1,(IF(WEEKDAY(B4719)=1,2,IF(WEEKDAY(B4719)=7,1,0))))))</f>
        <v>2</v>
      </c>
      <c r="H4719" s="370">
        <v>5457.6550903320313</v>
      </c>
      <c r="I4719" s="370">
        <v>5771.3549194335938</v>
      </c>
      <c r="M4719" s="371">
        <f t="shared" si="293"/>
        <v>7943.2069525537026</v>
      </c>
      <c r="N4719" s="329">
        <f t="shared" si="294"/>
        <v>4134.0583923339846</v>
      </c>
      <c r="T4719" s="331">
        <v>0</v>
      </c>
      <c r="U4719" s="328">
        <f>VLOOKUP(C4719,METADATA!$J$5:$Q$29,IF(E4719="HI",2,IF(E4719="LO",6,10))+IF(T4719=1,2,IF(D4719=7,1,(IF(WEEKDAY(B4719)=1,2,IF(WEEKDAY(B4719)=7,1,0))))))</f>
        <v>2</v>
      </c>
      <c r="V4719" s="328">
        <f>VLOOKUP(C4719,METADATA!$A$5:$H$29,IF(E4719="HI",2,IF(E4719="LO",6,10))+IF(T4719=1,2,IF(D4719=7,1,(IF(WEEKDAY(B4719)=1,2,IF(WEEKDAY(B4719)=7,1,0))))))</f>
        <v>2</v>
      </c>
    </row>
    <row r="4720" spans="2:22">
      <c r="B4720" s="318">
        <f t="shared" si="295"/>
        <v>46309</v>
      </c>
      <c r="C4720" s="312">
        <v>12</v>
      </c>
      <c r="D4720" s="368">
        <f>IFERROR((INDEX(METADATA!$T$2:$T$20,MATCH(B4720,METADATA!$S$2:$S$20,0))),0)</f>
        <v>0</v>
      </c>
      <c r="E4720" s="312" t="str">
        <f t="shared" si="292"/>
        <v>LO</v>
      </c>
      <c r="F4720" s="369">
        <f>VLOOKUP(C4720,METADATA!$A$5:$H$29,IF(E4720="HI",2,IF(E4720="LO",6,10))+IF(D4720=1,2,IF(D4720=7,1,(IF(WEEKDAY(B4720)=1,2,IF(WEEKDAY(B4720)=7,1,0))))))</f>
        <v>2</v>
      </c>
      <c r="G4720" s="369">
        <f>VLOOKUP(C4720,METADATA!$J$5:$Q$29,IF(E4720="HI",2,IF(E4720="LO",6,10))+IF(D4720=1,2,IF(D4720=7,1,(IF(WEEKDAY(B4720)=1,2,IF(WEEKDAY(B4720)=7,1,0))))))</f>
        <v>2</v>
      </c>
      <c r="H4720" s="370">
        <v>5470.050048828125</v>
      </c>
      <c r="I4720" s="370">
        <v>5762.485107421875</v>
      </c>
      <c r="M4720" s="371">
        <f t="shared" si="293"/>
        <v>7945.293081437806</v>
      </c>
      <c r="N4720" s="329">
        <f t="shared" si="294"/>
        <v>4121.4700927734375</v>
      </c>
      <c r="T4720" s="331">
        <v>0</v>
      </c>
      <c r="U4720" s="328">
        <f>VLOOKUP(C4720,METADATA!$J$5:$Q$29,IF(E4720="HI",2,IF(E4720="LO",6,10))+IF(T4720=1,2,IF(D4720=7,1,(IF(WEEKDAY(B4720)=1,2,IF(WEEKDAY(B4720)=7,1,0))))))</f>
        <v>2</v>
      </c>
      <c r="V4720" s="328">
        <f>VLOOKUP(C4720,METADATA!$A$5:$H$29,IF(E4720="HI",2,IF(E4720="LO",6,10))+IF(T4720=1,2,IF(D4720=7,1,(IF(WEEKDAY(B4720)=1,2,IF(WEEKDAY(B4720)=7,1,0))))))</f>
        <v>2</v>
      </c>
    </row>
    <row r="4721" spans="2:22">
      <c r="B4721" s="318">
        <f t="shared" si="295"/>
        <v>46309</v>
      </c>
      <c r="C4721" s="312">
        <v>13</v>
      </c>
      <c r="D4721" s="368">
        <f>IFERROR((INDEX(METADATA!$T$2:$T$20,MATCH(B4721,METADATA!$S$2:$S$20,0))),0)</f>
        <v>0</v>
      </c>
      <c r="E4721" s="312" t="str">
        <f t="shared" si="292"/>
        <v>LO</v>
      </c>
      <c r="F4721" s="369">
        <f>VLOOKUP(C4721,METADATA!$A$5:$H$29,IF(E4721="HI",2,IF(E4721="LO",6,10))+IF(D4721=1,2,IF(D4721=7,1,(IF(WEEKDAY(B4721)=1,2,IF(WEEKDAY(B4721)=7,1,0))))))</f>
        <v>2</v>
      </c>
      <c r="G4721" s="369">
        <f>VLOOKUP(C4721,METADATA!$J$5:$Q$29,IF(E4721="HI",2,IF(E4721="LO",6,10))+IF(D4721=1,2,IF(D4721=7,1,(IF(WEEKDAY(B4721)=1,2,IF(WEEKDAY(B4721)=7,1,0))))))</f>
        <v>2</v>
      </c>
      <c r="H4721" s="370">
        <v>5526.8799133300781</v>
      </c>
      <c r="I4721" s="370">
        <v>5762.4200134277344</v>
      </c>
      <c r="M4721" s="371">
        <f t="shared" si="293"/>
        <v>7984.4778155821796</v>
      </c>
      <c r="N4721" s="329">
        <f t="shared" si="294"/>
        <v>4104.3560394287106</v>
      </c>
      <c r="T4721" s="331">
        <v>0</v>
      </c>
      <c r="U4721" s="328">
        <f>VLOOKUP(C4721,METADATA!$J$5:$Q$29,IF(E4721="HI",2,IF(E4721="LO",6,10))+IF(T4721=1,2,IF(D4721=7,1,(IF(WEEKDAY(B4721)=1,2,IF(WEEKDAY(B4721)=7,1,0))))))</f>
        <v>2</v>
      </c>
      <c r="V4721" s="328">
        <f>VLOOKUP(C4721,METADATA!$A$5:$H$29,IF(E4721="HI",2,IF(E4721="LO",6,10))+IF(T4721=1,2,IF(D4721=7,1,(IF(WEEKDAY(B4721)=1,2,IF(WEEKDAY(B4721)=7,1,0))))))</f>
        <v>2</v>
      </c>
    </row>
    <row r="4722" spans="2:22">
      <c r="B4722" s="318">
        <f t="shared" si="295"/>
        <v>46309</v>
      </c>
      <c r="C4722" s="312">
        <v>14</v>
      </c>
      <c r="D4722" s="368">
        <f>IFERROR((INDEX(METADATA!$T$2:$T$20,MATCH(B4722,METADATA!$S$2:$S$20,0))),0)</f>
        <v>0</v>
      </c>
      <c r="E4722" s="312" t="str">
        <f t="shared" si="292"/>
        <v>LO</v>
      </c>
      <c r="F4722" s="369">
        <f>VLOOKUP(C4722,METADATA!$A$5:$H$29,IF(E4722="HI",2,IF(E4722="LO",6,10))+IF(D4722=1,2,IF(D4722=7,1,(IF(WEEKDAY(B4722)=1,2,IF(WEEKDAY(B4722)=7,1,0))))))</f>
        <v>2</v>
      </c>
      <c r="G4722" s="369">
        <f>VLOOKUP(C4722,METADATA!$J$5:$Q$29,IF(E4722="HI",2,IF(E4722="LO",6,10))+IF(D4722=1,2,IF(D4722=7,1,(IF(WEEKDAY(B4722)=1,2,IF(WEEKDAY(B4722)=7,1,0))))))</f>
        <v>2</v>
      </c>
      <c r="H4722" s="370">
        <v>7312.7274169921875</v>
      </c>
      <c r="I4722" s="370">
        <v>6998.1575012207031</v>
      </c>
      <c r="M4722" s="371">
        <f t="shared" si="293"/>
        <v>10121.768160115149</v>
      </c>
      <c r="N4722" s="329">
        <f t="shared" si="294"/>
        <v>4804.3392761230471</v>
      </c>
      <c r="T4722" s="331">
        <v>0</v>
      </c>
      <c r="U4722" s="328">
        <f>VLOOKUP(C4722,METADATA!$J$5:$Q$29,IF(E4722="HI",2,IF(E4722="LO",6,10))+IF(T4722=1,2,IF(D4722=7,1,(IF(WEEKDAY(B4722)=1,2,IF(WEEKDAY(B4722)=7,1,0))))))</f>
        <v>2</v>
      </c>
      <c r="V4722" s="328">
        <f>VLOOKUP(C4722,METADATA!$A$5:$H$29,IF(E4722="HI",2,IF(E4722="LO",6,10))+IF(T4722=1,2,IF(D4722=7,1,(IF(WEEKDAY(B4722)=1,2,IF(WEEKDAY(B4722)=7,1,0))))))</f>
        <v>2</v>
      </c>
    </row>
    <row r="4723" spans="2:22">
      <c r="B4723" s="318">
        <f t="shared" si="295"/>
        <v>46309</v>
      </c>
      <c r="C4723" s="312">
        <v>15</v>
      </c>
      <c r="D4723" s="368">
        <f>IFERROR((INDEX(METADATA!$T$2:$T$20,MATCH(B4723,METADATA!$S$2:$S$20,0))),0)</f>
        <v>0</v>
      </c>
      <c r="E4723" s="312" t="str">
        <f t="shared" si="292"/>
        <v>LO</v>
      </c>
      <c r="F4723" s="369">
        <f>VLOOKUP(C4723,METADATA!$A$5:$H$29,IF(E4723="HI",2,IF(E4723="LO",6,10))+IF(D4723=1,2,IF(D4723=7,1,(IF(WEEKDAY(B4723)=1,2,IF(WEEKDAY(B4723)=7,1,0))))))</f>
        <v>2</v>
      </c>
      <c r="G4723" s="369">
        <f>VLOOKUP(C4723,METADATA!$J$5:$Q$29,IF(E4723="HI",2,IF(E4723="LO",6,10))+IF(D4723=1,2,IF(D4723=7,1,(IF(WEEKDAY(B4723)=1,2,IF(WEEKDAY(B4723)=7,1,0))))))</f>
        <v>2</v>
      </c>
      <c r="H4723" s="370">
        <v>11197.809844970703</v>
      </c>
      <c r="I4723" s="370">
        <v>9534.9323120117188</v>
      </c>
      <c r="M4723" s="371">
        <f t="shared" si="293"/>
        <v>14707.341007767785</v>
      </c>
      <c r="N4723" s="329">
        <f t="shared" si="294"/>
        <v>6175.5893585205085</v>
      </c>
      <c r="T4723" s="331">
        <v>0</v>
      </c>
      <c r="U4723" s="328">
        <f>VLOOKUP(C4723,METADATA!$J$5:$Q$29,IF(E4723="HI",2,IF(E4723="LO",6,10))+IF(T4723=1,2,IF(D4723=7,1,(IF(WEEKDAY(B4723)=1,2,IF(WEEKDAY(B4723)=7,1,0))))))</f>
        <v>2</v>
      </c>
      <c r="V4723" s="328">
        <f>VLOOKUP(C4723,METADATA!$A$5:$H$29,IF(E4723="HI",2,IF(E4723="LO",6,10))+IF(T4723=1,2,IF(D4723=7,1,(IF(WEEKDAY(B4723)=1,2,IF(WEEKDAY(B4723)=7,1,0))))))</f>
        <v>2</v>
      </c>
    </row>
    <row r="4724" spans="2:22">
      <c r="B4724" s="318">
        <f t="shared" si="295"/>
        <v>46309</v>
      </c>
      <c r="C4724" s="312">
        <v>16</v>
      </c>
      <c r="D4724" s="368">
        <f>IFERROR((INDEX(METADATA!$T$2:$T$20,MATCH(B4724,METADATA!$S$2:$S$20,0))),0)</f>
        <v>0</v>
      </c>
      <c r="E4724" s="312" t="str">
        <f t="shared" si="292"/>
        <v>LO</v>
      </c>
      <c r="F4724" s="369">
        <f>VLOOKUP(C4724,METADATA!$A$5:$H$29,IF(E4724="HI",2,IF(E4724="LO",6,10))+IF(D4724=1,2,IF(D4724=7,1,(IF(WEEKDAY(B4724)=1,2,IF(WEEKDAY(B4724)=7,1,0))))))</f>
        <v>2</v>
      </c>
      <c r="G4724" s="369">
        <f>VLOOKUP(C4724,METADATA!$J$5:$Q$29,IF(E4724="HI",2,IF(E4724="LO",6,10))+IF(D4724=1,2,IF(D4724=7,1,(IF(WEEKDAY(B4724)=1,2,IF(WEEKDAY(B4724)=7,1,0))))))</f>
        <v>2</v>
      </c>
      <c r="H4724" s="370">
        <v>12687.725341796875</v>
      </c>
      <c r="I4724" s="370">
        <v>10380.474975585938</v>
      </c>
      <c r="M4724" s="371">
        <f t="shared" si="293"/>
        <v>16393.066676727711</v>
      </c>
      <c r="N4724" s="329">
        <f t="shared" si="294"/>
        <v>6574.1573730468754</v>
      </c>
      <c r="T4724" s="331">
        <v>0</v>
      </c>
      <c r="U4724" s="328">
        <f>VLOOKUP(C4724,METADATA!$J$5:$Q$29,IF(E4724="HI",2,IF(E4724="LO",6,10))+IF(T4724=1,2,IF(D4724=7,1,(IF(WEEKDAY(B4724)=1,2,IF(WEEKDAY(B4724)=7,1,0))))))</f>
        <v>2</v>
      </c>
      <c r="V4724" s="328">
        <f>VLOOKUP(C4724,METADATA!$A$5:$H$29,IF(E4724="HI",2,IF(E4724="LO",6,10))+IF(T4724=1,2,IF(D4724=7,1,(IF(WEEKDAY(B4724)=1,2,IF(WEEKDAY(B4724)=7,1,0))))))</f>
        <v>2</v>
      </c>
    </row>
    <row r="4725" spans="2:22">
      <c r="B4725" s="318">
        <f t="shared" si="295"/>
        <v>46309</v>
      </c>
      <c r="C4725" s="312">
        <v>17</v>
      </c>
      <c r="D4725" s="368">
        <f>IFERROR((INDEX(METADATA!$T$2:$T$20,MATCH(B4725,METADATA!$S$2:$S$20,0))),0)</f>
        <v>0</v>
      </c>
      <c r="E4725" s="312" t="str">
        <f t="shared" si="292"/>
        <v>LO</v>
      </c>
      <c r="F4725" s="369">
        <f>VLOOKUP(C4725,METADATA!$A$5:$H$29,IF(E4725="HI",2,IF(E4725="LO",6,10))+IF(D4725=1,2,IF(D4725=7,1,(IF(WEEKDAY(B4725)=1,2,IF(WEEKDAY(B4725)=7,1,0))))))</f>
        <v>2</v>
      </c>
      <c r="G4725" s="369">
        <f>VLOOKUP(C4725,METADATA!$J$5:$Q$29,IF(E4725="HI",2,IF(E4725="LO",6,10))+IF(D4725=1,2,IF(D4725=7,1,(IF(WEEKDAY(B4725)=1,2,IF(WEEKDAY(B4725)=7,1,0))))))</f>
        <v>2</v>
      </c>
      <c r="H4725" s="370">
        <v>12932.900207519531</v>
      </c>
      <c r="I4725" s="370">
        <v>10589.125</v>
      </c>
      <c r="M4725" s="371">
        <f t="shared" si="293"/>
        <v>16714.947682935886</v>
      </c>
      <c r="N4725" s="329">
        <f t="shared" si="294"/>
        <v>6709.254937744141</v>
      </c>
      <c r="T4725" s="331">
        <v>0</v>
      </c>
      <c r="U4725" s="328">
        <f>VLOOKUP(C4725,METADATA!$J$5:$Q$29,IF(E4725="HI",2,IF(E4725="LO",6,10))+IF(T4725=1,2,IF(D4725=7,1,(IF(WEEKDAY(B4725)=1,2,IF(WEEKDAY(B4725)=7,1,0))))))</f>
        <v>2</v>
      </c>
      <c r="V4725" s="328">
        <f>VLOOKUP(C4725,METADATA!$A$5:$H$29,IF(E4725="HI",2,IF(E4725="LO",6,10))+IF(T4725=1,2,IF(D4725=7,1,(IF(WEEKDAY(B4725)=1,2,IF(WEEKDAY(B4725)=7,1,0))))))</f>
        <v>2</v>
      </c>
    </row>
    <row r="4726" spans="2:22">
      <c r="B4726" s="318">
        <f t="shared" si="295"/>
        <v>46309</v>
      </c>
      <c r="C4726" s="312">
        <v>18</v>
      </c>
      <c r="D4726" s="368">
        <f>IFERROR((INDEX(METADATA!$T$2:$T$20,MATCH(B4726,METADATA!$S$2:$S$20,0))),0)</f>
        <v>0</v>
      </c>
      <c r="E4726" s="312" t="str">
        <f t="shared" si="292"/>
        <v>LO</v>
      </c>
      <c r="F4726" s="369">
        <f>VLOOKUP(C4726,METADATA!$A$5:$H$29,IF(E4726="HI",2,IF(E4726="LO",6,10))+IF(D4726=1,2,IF(D4726=7,1,(IF(WEEKDAY(B4726)=1,2,IF(WEEKDAY(B4726)=7,1,0))))))</f>
        <v>1</v>
      </c>
      <c r="G4726" s="369">
        <f>VLOOKUP(C4726,METADATA!$J$5:$Q$29,IF(E4726="HI",2,IF(E4726="LO",6,10))+IF(D4726=1,2,IF(D4726=7,1,(IF(WEEKDAY(B4726)=1,2,IF(WEEKDAY(B4726)=7,1,0))))))</f>
        <v>1</v>
      </c>
      <c r="H4726" s="370">
        <v>12796.874938964844</v>
      </c>
      <c r="I4726" s="370">
        <v>10415.64990234375</v>
      </c>
      <c r="M4726" s="371">
        <f t="shared" si="293"/>
        <v>16499.871850765987</v>
      </c>
      <c r="N4726" s="329">
        <f t="shared" si="294"/>
        <v>6576.5874206542976</v>
      </c>
      <c r="T4726" s="331">
        <v>0</v>
      </c>
      <c r="U4726" s="328">
        <f>VLOOKUP(C4726,METADATA!$J$5:$Q$29,IF(E4726="HI",2,IF(E4726="LO",6,10))+IF(T4726=1,2,IF(D4726=7,1,(IF(WEEKDAY(B4726)=1,2,IF(WEEKDAY(B4726)=7,1,0))))))</f>
        <v>1</v>
      </c>
      <c r="V4726" s="328">
        <f>VLOOKUP(C4726,METADATA!$A$5:$H$29,IF(E4726="HI",2,IF(E4726="LO",6,10))+IF(T4726=1,2,IF(D4726=7,1,(IF(WEEKDAY(B4726)=1,2,IF(WEEKDAY(B4726)=7,1,0))))))</f>
        <v>1</v>
      </c>
    </row>
    <row r="4727" spans="2:22">
      <c r="B4727" s="318">
        <f t="shared" si="295"/>
        <v>46309</v>
      </c>
      <c r="C4727" s="312">
        <v>19</v>
      </c>
      <c r="D4727" s="368">
        <f>IFERROR((INDEX(METADATA!$T$2:$T$20,MATCH(B4727,METADATA!$S$2:$S$20,0))),0)</f>
        <v>0</v>
      </c>
      <c r="E4727" s="312" t="str">
        <f t="shared" si="292"/>
        <v>LO</v>
      </c>
      <c r="F4727" s="369">
        <f>VLOOKUP(C4727,METADATA!$A$5:$H$29,IF(E4727="HI",2,IF(E4727="LO",6,10))+IF(D4727=1,2,IF(D4727=7,1,(IF(WEEKDAY(B4727)=1,2,IF(WEEKDAY(B4727)=7,1,0))))))</f>
        <v>1</v>
      </c>
      <c r="G4727" s="369">
        <f>VLOOKUP(C4727,METADATA!$J$5:$Q$29,IF(E4727="HI",2,IF(E4727="LO",6,10))+IF(D4727=1,2,IF(D4727=7,1,(IF(WEEKDAY(B4727)=1,2,IF(WEEKDAY(B4727)=7,1,0))))))</f>
        <v>1</v>
      </c>
      <c r="H4727" s="370">
        <v>12826.549926757813</v>
      </c>
      <c r="I4727" s="370">
        <v>10480.649963378906</v>
      </c>
      <c r="M4727" s="371">
        <f t="shared" si="293"/>
        <v>16563.949006154453</v>
      </c>
      <c r="N4727" s="329">
        <f t="shared" si="294"/>
        <v>6632.6849853515632</v>
      </c>
      <c r="T4727" s="331">
        <v>0</v>
      </c>
      <c r="U4727" s="328">
        <f>VLOOKUP(C4727,METADATA!$J$5:$Q$29,IF(E4727="HI",2,IF(E4727="LO",6,10))+IF(T4727=1,2,IF(D4727=7,1,(IF(WEEKDAY(B4727)=1,2,IF(WEEKDAY(B4727)=7,1,0))))))</f>
        <v>1</v>
      </c>
      <c r="V4727" s="328">
        <f>VLOOKUP(C4727,METADATA!$A$5:$H$29,IF(E4727="HI",2,IF(E4727="LO",6,10))+IF(T4727=1,2,IF(D4727=7,1,(IF(WEEKDAY(B4727)=1,2,IF(WEEKDAY(B4727)=7,1,0))))))</f>
        <v>1</v>
      </c>
    </row>
    <row r="4728" spans="2:22">
      <c r="B4728" s="318">
        <f t="shared" si="295"/>
        <v>46309</v>
      </c>
      <c r="C4728" s="312">
        <v>20</v>
      </c>
      <c r="D4728" s="368">
        <f>IFERROR((INDEX(METADATA!$T$2:$T$20,MATCH(B4728,METADATA!$S$2:$S$20,0))),0)</f>
        <v>0</v>
      </c>
      <c r="E4728" s="312" t="str">
        <f t="shared" si="292"/>
        <v>LO</v>
      </c>
      <c r="F4728" s="369">
        <f>VLOOKUP(C4728,METADATA!$A$5:$H$29,IF(E4728="HI",2,IF(E4728="LO",6,10))+IF(D4728=1,2,IF(D4728=7,1,(IF(WEEKDAY(B4728)=1,2,IF(WEEKDAY(B4728)=7,1,0))))))</f>
        <v>1</v>
      </c>
      <c r="G4728" s="369">
        <f>VLOOKUP(C4728,METADATA!$J$5:$Q$29,IF(E4728="HI",2,IF(E4728="LO",6,10))+IF(D4728=1,2,IF(D4728=7,1,(IF(WEEKDAY(B4728)=1,2,IF(WEEKDAY(B4728)=7,1,0))))))</f>
        <v>1</v>
      </c>
      <c r="H4728" s="370">
        <v>12791.025024414063</v>
      </c>
      <c r="I4728" s="370">
        <v>10627.724853515625</v>
      </c>
      <c r="M4728" s="371">
        <f t="shared" si="293"/>
        <v>16630.058831441951</v>
      </c>
      <c r="N4728" s="329">
        <f t="shared" si="294"/>
        <v>6790.417346191407</v>
      </c>
      <c r="T4728" s="331">
        <v>0</v>
      </c>
      <c r="U4728" s="328">
        <f>VLOOKUP(C4728,METADATA!$J$5:$Q$29,IF(E4728="HI",2,IF(E4728="LO",6,10))+IF(T4728=1,2,IF(D4728=7,1,(IF(WEEKDAY(B4728)=1,2,IF(WEEKDAY(B4728)=7,1,0))))))</f>
        <v>1</v>
      </c>
      <c r="V4728" s="328">
        <f>VLOOKUP(C4728,METADATA!$A$5:$H$29,IF(E4728="HI",2,IF(E4728="LO",6,10))+IF(T4728=1,2,IF(D4728=7,1,(IF(WEEKDAY(B4728)=1,2,IF(WEEKDAY(B4728)=7,1,0))))))</f>
        <v>1</v>
      </c>
    </row>
    <row r="4729" spans="2:22">
      <c r="B4729" s="318">
        <f t="shared" si="295"/>
        <v>46309</v>
      </c>
      <c r="C4729" s="312">
        <v>21</v>
      </c>
      <c r="D4729" s="368">
        <f>IFERROR((INDEX(METADATA!$T$2:$T$20,MATCH(B4729,METADATA!$S$2:$S$20,0))),0)</f>
        <v>0</v>
      </c>
      <c r="E4729" s="312" t="str">
        <f t="shared" si="292"/>
        <v>LO</v>
      </c>
      <c r="F4729" s="369">
        <f>VLOOKUP(C4729,METADATA!$A$5:$H$29,IF(E4729="HI",2,IF(E4729="LO",6,10))+IF(D4729=1,2,IF(D4729=7,1,(IF(WEEKDAY(B4729)=1,2,IF(WEEKDAY(B4729)=7,1,0))))))</f>
        <v>2</v>
      </c>
      <c r="G4729" s="369">
        <f>VLOOKUP(C4729,METADATA!$J$5:$Q$29,IF(E4729="HI",2,IF(E4729="LO",6,10))+IF(D4729=1,2,IF(D4729=7,1,(IF(WEEKDAY(B4729)=1,2,IF(WEEKDAY(B4729)=7,1,0))))))</f>
        <v>2</v>
      </c>
      <c r="H4729" s="370">
        <v>12983.524841308594</v>
      </c>
      <c r="I4729" s="370">
        <v>10584.474975585938</v>
      </c>
      <c r="M4729" s="371">
        <f t="shared" si="293"/>
        <v>16751.209741797225</v>
      </c>
      <c r="N4729" s="329">
        <f t="shared" si="294"/>
        <v>6689.4175231933596</v>
      </c>
      <c r="T4729" s="331">
        <v>0</v>
      </c>
      <c r="U4729" s="328">
        <f>VLOOKUP(C4729,METADATA!$J$5:$Q$29,IF(E4729="HI",2,IF(E4729="LO",6,10))+IF(T4729=1,2,IF(D4729=7,1,(IF(WEEKDAY(B4729)=1,2,IF(WEEKDAY(B4729)=7,1,0))))))</f>
        <v>2</v>
      </c>
      <c r="V4729" s="328">
        <f>VLOOKUP(C4729,METADATA!$A$5:$H$29,IF(E4729="HI",2,IF(E4729="LO",6,10))+IF(T4729=1,2,IF(D4729=7,1,(IF(WEEKDAY(B4729)=1,2,IF(WEEKDAY(B4729)=7,1,0))))))</f>
        <v>2</v>
      </c>
    </row>
    <row r="4730" spans="2:22">
      <c r="B4730" s="318">
        <f t="shared" si="295"/>
        <v>46309</v>
      </c>
      <c r="C4730" s="312">
        <v>22</v>
      </c>
      <c r="D4730" s="368">
        <f>IFERROR((INDEX(METADATA!$T$2:$T$20,MATCH(B4730,METADATA!$S$2:$S$20,0))),0)</f>
        <v>0</v>
      </c>
      <c r="E4730" s="312" t="str">
        <f t="shared" si="292"/>
        <v>LO</v>
      </c>
      <c r="F4730" s="369">
        <f>VLOOKUP(C4730,METADATA!$A$5:$H$29,IF(E4730="HI",2,IF(E4730="LO",6,10))+IF(D4730=1,2,IF(D4730=7,1,(IF(WEEKDAY(B4730)=1,2,IF(WEEKDAY(B4730)=7,1,0))))))</f>
        <v>3</v>
      </c>
      <c r="G4730" s="369">
        <f>VLOOKUP(C4730,METADATA!$J$5:$Q$29,IF(E4730="HI",2,IF(E4730="LO",6,10))+IF(D4730=1,2,IF(D4730=7,1,(IF(WEEKDAY(B4730)=1,2,IF(WEEKDAY(B4730)=7,1,0))))))</f>
        <v>3</v>
      </c>
      <c r="H4730" s="370">
        <v>13045.9248046875</v>
      </c>
      <c r="I4730" s="370">
        <v>10518.374877929688</v>
      </c>
      <c r="M4730" s="371">
        <f t="shared" si="293"/>
        <v>16758.053708059982</v>
      </c>
      <c r="N4730" s="329">
        <f t="shared" si="294"/>
        <v>6604.5974365234379</v>
      </c>
      <c r="T4730" s="331">
        <v>0</v>
      </c>
      <c r="U4730" s="328">
        <f>VLOOKUP(C4730,METADATA!$J$5:$Q$29,IF(E4730="HI",2,IF(E4730="LO",6,10))+IF(T4730=1,2,IF(D4730=7,1,(IF(WEEKDAY(B4730)=1,2,IF(WEEKDAY(B4730)=7,1,0))))))</f>
        <v>3</v>
      </c>
      <c r="V4730" s="328">
        <f>VLOOKUP(C4730,METADATA!$A$5:$H$29,IF(E4730="HI",2,IF(E4730="LO",6,10))+IF(T4730=1,2,IF(D4730=7,1,(IF(WEEKDAY(B4730)=1,2,IF(WEEKDAY(B4730)=7,1,0))))))</f>
        <v>3</v>
      </c>
    </row>
    <row r="4731" spans="2:22">
      <c r="B4731" s="318">
        <f t="shared" si="295"/>
        <v>46309</v>
      </c>
      <c r="C4731" s="312">
        <v>23</v>
      </c>
      <c r="D4731" s="368">
        <f>IFERROR((INDEX(METADATA!$T$2:$T$20,MATCH(B4731,METADATA!$S$2:$S$20,0))),0)</f>
        <v>0</v>
      </c>
      <c r="E4731" s="312" t="str">
        <f t="shared" si="292"/>
        <v>LO</v>
      </c>
      <c r="F4731" s="369">
        <f>VLOOKUP(C4731,METADATA!$A$5:$H$29,IF(E4731="HI",2,IF(E4731="LO",6,10))+IF(D4731=1,2,IF(D4731=7,1,(IF(WEEKDAY(B4731)=1,2,IF(WEEKDAY(B4731)=7,1,0))))))</f>
        <v>3</v>
      </c>
      <c r="G4731" s="369">
        <f>VLOOKUP(C4731,METADATA!$J$5:$Q$29,IF(E4731="HI",2,IF(E4731="LO",6,10))+IF(D4731=1,2,IF(D4731=7,1,(IF(WEEKDAY(B4731)=1,2,IF(WEEKDAY(B4731)=7,1,0))))))</f>
        <v>3</v>
      </c>
      <c r="H4731" s="370">
        <v>12979.949645996094</v>
      </c>
      <c r="I4731" s="370">
        <v>10496.524963378906</v>
      </c>
      <c r="M4731" s="371">
        <f t="shared" si="293"/>
        <v>16692.996409255909</v>
      </c>
      <c r="N4731" s="329">
        <f t="shared" si="294"/>
        <v>6602.5400695800781</v>
      </c>
      <c r="T4731" s="331">
        <v>0</v>
      </c>
      <c r="U4731" s="328">
        <f>VLOOKUP(C4731,METADATA!$J$5:$Q$29,IF(E4731="HI",2,IF(E4731="LO",6,10))+IF(T4731=1,2,IF(D4731=7,1,(IF(WEEKDAY(B4731)=1,2,IF(WEEKDAY(B4731)=7,1,0))))))</f>
        <v>3</v>
      </c>
      <c r="V4731" s="328">
        <f>VLOOKUP(C4731,METADATA!$A$5:$H$29,IF(E4731="HI",2,IF(E4731="LO",6,10))+IF(T4731=1,2,IF(D4731=7,1,(IF(WEEKDAY(B4731)=1,2,IF(WEEKDAY(B4731)=7,1,0))))))</f>
        <v>3</v>
      </c>
    </row>
    <row r="4732" spans="2:22">
      <c r="B4732" s="318">
        <f t="shared" si="295"/>
        <v>46310</v>
      </c>
      <c r="C4732" s="312">
        <v>0</v>
      </c>
      <c r="D4732" s="368">
        <f>IFERROR((INDEX(METADATA!$T$2:$T$20,MATCH(B4732,METADATA!$S$2:$S$20,0))),0)</f>
        <v>0</v>
      </c>
      <c r="E4732" s="312" t="str">
        <f t="shared" si="292"/>
        <v>LO</v>
      </c>
      <c r="F4732" s="369">
        <f>VLOOKUP(C4732,METADATA!$A$5:$H$29,IF(E4732="HI",2,IF(E4732="LO",6,10))+IF(D4732=1,2,IF(D4732=7,1,(IF(WEEKDAY(B4732)=1,2,IF(WEEKDAY(B4732)=7,1,0))))))</f>
        <v>3</v>
      </c>
      <c r="G4732" s="369">
        <f>VLOOKUP(C4732,METADATA!$J$5:$Q$29,IF(E4732="HI",2,IF(E4732="LO",6,10))+IF(D4732=1,2,IF(D4732=7,1,(IF(WEEKDAY(B4732)=1,2,IF(WEEKDAY(B4732)=7,1,0))))))</f>
        <v>3</v>
      </c>
      <c r="H4732" s="370">
        <v>13088.149963378906</v>
      </c>
      <c r="I4732" s="370">
        <v>10612.349975585938</v>
      </c>
      <c r="M4732" s="371">
        <f t="shared" si="293"/>
        <v>16849.974524260091</v>
      </c>
      <c r="N4732" s="329">
        <f t="shared" si="294"/>
        <v>6685.9049865722664</v>
      </c>
      <c r="T4732" s="331">
        <v>0</v>
      </c>
      <c r="U4732" s="328">
        <f>VLOOKUP(C4732,METADATA!$J$5:$Q$29,IF(E4732="HI",2,IF(E4732="LO",6,10))+IF(T4732=1,2,IF(D4732=7,1,(IF(WEEKDAY(B4732)=1,2,IF(WEEKDAY(B4732)=7,1,0))))))</f>
        <v>3</v>
      </c>
      <c r="V4732" s="328">
        <f>VLOOKUP(C4732,METADATA!$A$5:$H$29,IF(E4732="HI",2,IF(E4732="LO",6,10))+IF(T4732=1,2,IF(D4732=7,1,(IF(WEEKDAY(B4732)=1,2,IF(WEEKDAY(B4732)=7,1,0))))))</f>
        <v>3</v>
      </c>
    </row>
    <row r="4733" spans="2:22">
      <c r="B4733" s="318">
        <f t="shared" si="295"/>
        <v>46310</v>
      </c>
      <c r="C4733" s="312">
        <v>1</v>
      </c>
      <c r="D4733" s="368">
        <f>IFERROR((INDEX(METADATA!$T$2:$T$20,MATCH(B4733,METADATA!$S$2:$S$20,0))),0)</f>
        <v>0</v>
      </c>
      <c r="E4733" s="312" t="str">
        <f t="shared" si="292"/>
        <v>LO</v>
      </c>
      <c r="F4733" s="369">
        <f>VLOOKUP(C4733,METADATA!$A$5:$H$29,IF(E4733="HI",2,IF(E4733="LO",6,10))+IF(D4733=1,2,IF(D4733=7,1,(IF(WEEKDAY(B4733)=1,2,IF(WEEKDAY(B4733)=7,1,0))))))</f>
        <v>3</v>
      </c>
      <c r="G4733" s="369">
        <f>VLOOKUP(C4733,METADATA!$J$5:$Q$29,IF(E4733="HI",2,IF(E4733="LO",6,10))+IF(D4733=1,2,IF(D4733=7,1,(IF(WEEKDAY(B4733)=1,2,IF(WEEKDAY(B4733)=7,1,0))))))</f>
        <v>3</v>
      </c>
      <c r="H4733" s="370">
        <v>13034.1748046875</v>
      </c>
      <c r="I4733" s="370">
        <v>10573.04248046875</v>
      </c>
      <c r="M4733" s="371">
        <f t="shared" si="293"/>
        <v>16783.293482893852</v>
      </c>
      <c r="N4733" s="329">
        <f t="shared" si="294"/>
        <v>6662.7900390625</v>
      </c>
      <c r="T4733" s="331">
        <v>0</v>
      </c>
      <c r="U4733" s="328">
        <f>VLOOKUP(C4733,METADATA!$J$5:$Q$29,IF(E4733="HI",2,IF(E4733="LO",6,10))+IF(T4733=1,2,IF(D4733=7,1,(IF(WEEKDAY(B4733)=1,2,IF(WEEKDAY(B4733)=7,1,0))))))</f>
        <v>3</v>
      </c>
      <c r="V4733" s="328">
        <f>VLOOKUP(C4733,METADATA!$A$5:$H$29,IF(E4733="HI",2,IF(E4733="LO",6,10))+IF(T4733=1,2,IF(D4733=7,1,(IF(WEEKDAY(B4733)=1,2,IF(WEEKDAY(B4733)=7,1,0))))))</f>
        <v>3</v>
      </c>
    </row>
    <row r="4734" spans="2:22">
      <c r="B4734" s="318">
        <f t="shared" si="295"/>
        <v>46310</v>
      </c>
      <c r="C4734" s="312">
        <v>2</v>
      </c>
      <c r="D4734" s="368">
        <f>IFERROR((INDEX(METADATA!$T$2:$T$20,MATCH(B4734,METADATA!$S$2:$S$20,0))),0)</f>
        <v>0</v>
      </c>
      <c r="E4734" s="312" t="str">
        <f t="shared" si="292"/>
        <v>LO</v>
      </c>
      <c r="F4734" s="369">
        <f>VLOOKUP(C4734,METADATA!$A$5:$H$29,IF(E4734="HI",2,IF(E4734="LO",6,10))+IF(D4734=1,2,IF(D4734=7,1,(IF(WEEKDAY(B4734)=1,2,IF(WEEKDAY(B4734)=7,1,0))))))</f>
        <v>3</v>
      </c>
      <c r="G4734" s="369">
        <f>VLOOKUP(C4734,METADATA!$J$5:$Q$29,IF(E4734="HI",2,IF(E4734="LO",6,10))+IF(D4734=1,2,IF(D4734=7,1,(IF(WEEKDAY(B4734)=1,2,IF(WEEKDAY(B4734)=7,1,0))))))</f>
        <v>3</v>
      </c>
      <c r="H4734" s="370">
        <v>12880.000183105469</v>
      </c>
      <c r="I4734" s="370">
        <v>10580.400024414063</v>
      </c>
      <c r="M4734" s="371">
        <f t="shared" si="293"/>
        <v>16668.511313054263</v>
      </c>
      <c r="N4734" s="329">
        <f t="shared" si="294"/>
        <v>6716.3999694824215</v>
      </c>
      <c r="T4734" s="331">
        <v>0</v>
      </c>
      <c r="U4734" s="328">
        <f>VLOOKUP(C4734,METADATA!$J$5:$Q$29,IF(E4734="HI",2,IF(E4734="LO",6,10))+IF(T4734=1,2,IF(D4734=7,1,(IF(WEEKDAY(B4734)=1,2,IF(WEEKDAY(B4734)=7,1,0))))))</f>
        <v>3</v>
      </c>
      <c r="V4734" s="328">
        <f>VLOOKUP(C4734,METADATA!$A$5:$H$29,IF(E4734="HI",2,IF(E4734="LO",6,10))+IF(T4734=1,2,IF(D4734=7,1,(IF(WEEKDAY(B4734)=1,2,IF(WEEKDAY(B4734)=7,1,0))))))</f>
        <v>3</v>
      </c>
    </row>
    <row r="4735" spans="2:22">
      <c r="B4735" s="318">
        <f t="shared" si="295"/>
        <v>46310</v>
      </c>
      <c r="C4735" s="312">
        <v>3</v>
      </c>
      <c r="D4735" s="368">
        <f>IFERROR((INDEX(METADATA!$T$2:$T$20,MATCH(B4735,METADATA!$S$2:$S$20,0))),0)</f>
        <v>0</v>
      </c>
      <c r="E4735" s="312" t="str">
        <f t="shared" si="292"/>
        <v>LO</v>
      </c>
      <c r="F4735" s="369">
        <f>VLOOKUP(C4735,METADATA!$A$5:$H$29,IF(E4735="HI",2,IF(E4735="LO",6,10))+IF(D4735=1,2,IF(D4735=7,1,(IF(WEEKDAY(B4735)=1,2,IF(WEEKDAY(B4735)=7,1,0))))))</f>
        <v>3</v>
      </c>
      <c r="G4735" s="369">
        <f>VLOOKUP(C4735,METADATA!$J$5:$Q$29,IF(E4735="HI",2,IF(E4735="LO",6,10))+IF(D4735=1,2,IF(D4735=7,1,(IF(WEEKDAY(B4735)=1,2,IF(WEEKDAY(B4735)=7,1,0))))))</f>
        <v>3</v>
      </c>
      <c r="H4735" s="370">
        <v>12881.225341796875</v>
      </c>
      <c r="I4735" s="370">
        <v>10578.25</v>
      </c>
      <c r="M4735" s="371">
        <f t="shared" si="293"/>
        <v>16668.093453321228</v>
      </c>
      <c r="N4735" s="329">
        <f t="shared" si="294"/>
        <v>6713.8823974609377</v>
      </c>
      <c r="T4735" s="331">
        <v>0</v>
      </c>
      <c r="U4735" s="328">
        <f>VLOOKUP(C4735,METADATA!$J$5:$Q$29,IF(E4735="HI",2,IF(E4735="LO",6,10))+IF(T4735=1,2,IF(D4735=7,1,(IF(WEEKDAY(B4735)=1,2,IF(WEEKDAY(B4735)=7,1,0))))))</f>
        <v>3</v>
      </c>
      <c r="V4735" s="328">
        <f>VLOOKUP(C4735,METADATA!$A$5:$H$29,IF(E4735="HI",2,IF(E4735="LO",6,10))+IF(T4735=1,2,IF(D4735=7,1,(IF(WEEKDAY(B4735)=1,2,IF(WEEKDAY(B4735)=7,1,0))))))</f>
        <v>3</v>
      </c>
    </row>
    <row r="4736" spans="2:22">
      <c r="B4736" s="318">
        <f t="shared" si="295"/>
        <v>46310</v>
      </c>
      <c r="C4736" s="312">
        <v>4</v>
      </c>
      <c r="D4736" s="368">
        <f>IFERROR((INDEX(METADATA!$T$2:$T$20,MATCH(B4736,METADATA!$S$2:$S$20,0))),0)</f>
        <v>0</v>
      </c>
      <c r="E4736" s="312" t="str">
        <f t="shared" si="292"/>
        <v>LO</v>
      </c>
      <c r="F4736" s="369">
        <f>VLOOKUP(C4736,METADATA!$A$5:$H$29,IF(E4736="HI",2,IF(E4736="LO",6,10))+IF(D4736=1,2,IF(D4736=7,1,(IF(WEEKDAY(B4736)=1,2,IF(WEEKDAY(B4736)=7,1,0))))))</f>
        <v>3</v>
      </c>
      <c r="G4736" s="369">
        <f>VLOOKUP(C4736,METADATA!$J$5:$Q$29,IF(E4736="HI",2,IF(E4736="LO",6,10))+IF(D4736=1,2,IF(D4736=7,1,(IF(WEEKDAY(B4736)=1,2,IF(WEEKDAY(B4736)=7,1,0))))))</f>
        <v>3</v>
      </c>
      <c r="H4736" s="370">
        <v>13013.125</v>
      </c>
      <c r="I4736" s="370">
        <v>10633.374877929688</v>
      </c>
      <c r="M4736" s="371">
        <f t="shared" si="293"/>
        <v>16805.061248332633</v>
      </c>
      <c r="N4736" s="329">
        <f t="shared" si="294"/>
        <v>6729.4373779296875</v>
      </c>
      <c r="T4736" s="331">
        <v>0</v>
      </c>
      <c r="U4736" s="328">
        <f>VLOOKUP(C4736,METADATA!$J$5:$Q$29,IF(E4736="HI",2,IF(E4736="LO",6,10))+IF(T4736=1,2,IF(D4736=7,1,(IF(WEEKDAY(B4736)=1,2,IF(WEEKDAY(B4736)=7,1,0))))))</f>
        <v>3</v>
      </c>
      <c r="V4736" s="328">
        <f>VLOOKUP(C4736,METADATA!$A$5:$H$29,IF(E4736="HI",2,IF(E4736="LO",6,10))+IF(T4736=1,2,IF(D4736=7,1,(IF(WEEKDAY(B4736)=1,2,IF(WEEKDAY(B4736)=7,1,0))))))</f>
        <v>3</v>
      </c>
    </row>
    <row r="4737" spans="2:22">
      <c r="B4737" s="318">
        <f t="shared" si="295"/>
        <v>46310</v>
      </c>
      <c r="C4737" s="312">
        <v>5</v>
      </c>
      <c r="D4737" s="368">
        <f>IFERROR((INDEX(METADATA!$T$2:$T$20,MATCH(B4737,METADATA!$S$2:$S$20,0))),0)</f>
        <v>0</v>
      </c>
      <c r="E4737" s="312" t="str">
        <f t="shared" si="292"/>
        <v>LO</v>
      </c>
      <c r="F4737" s="369">
        <f>VLOOKUP(C4737,METADATA!$A$5:$H$29,IF(E4737="HI",2,IF(E4737="LO",6,10))+IF(D4737=1,2,IF(D4737=7,1,(IF(WEEKDAY(B4737)=1,2,IF(WEEKDAY(B4737)=7,1,0))))))</f>
        <v>3</v>
      </c>
      <c r="G4737" s="369">
        <f>VLOOKUP(C4737,METADATA!$J$5:$Q$29,IF(E4737="HI",2,IF(E4737="LO",6,10))+IF(D4737=1,2,IF(D4737=7,1,(IF(WEEKDAY(B4737)=1,2,IF(WEEKDAY(B4737)=7,1,0))))))</f>
        <v>3</v>
      </c>
      <c r="H4737" s="370">
        <v>13027.774963378906</v>
      </c>
      <c r="I4737" s="370">
        <v>10548.800170898438</v>
      </c>
      <c r="M4737" s="371">
        <f t="shared" si="293"/>
        <v>16763.057762293523</v>
      </c>
      <c r="N4737" s="329">
        <f t="shared" si="294"/>
        <v>6640.4676818847656</v>
      </c>
      <c r="T4737" s="331">
        <v>0</v>
      </c>
      <c r="U4737" s="328">
        <f>VLOOKUP(C4737,METADATA!$J$5:$Q$29,IF(E4737="HI",2,IF(E4737="LO",6,10))+IF(T4737=1,2,IF(D4737=7,1,(IF(WEEKDAY(B4737)=1,2,IF(WEEKDAY(B4737)=7,1,0))))))</f>
        <v>3</v>
      </c>
      <c r="V4737" s="328">
        <f>VLOOKUP(C4737,METADATA!$A$5:$H$29,IF(E4737="HI",2,IF(E4737="LO",6,10))+IF(T4737=1,2,IF(D4737=7,1,(IF(WEEKDAY(B4737)=1,2,IF(WEEKDAY(B4737)=7,1,0))))))</f>
        <v>3</v>
      </c>
    </row>
    <row r="4738" spans="2:22">
      <c r="B4738" s="318">
        <f t="shared" si="295"/>
        <v>46310</v>
      </c>
      <c r="C4738" s="312">
        <v>6</v>
      </c>
      <c r="D4738" s="368">
        <f>IFERROR((INDEX(METADATA!$T$2:$T$20,MATCH(B4738,METADATA!$S$2:$S$20,0))),0)</f>
        <v>0</v>
      </c>
      <c r="E4738" s="312" t="str">
        <f t="shared" si="292"/>
        <v>LO</v>
      </c>
      <c r="F4738" s="369">
        <f>VLOOKUP(C4738,METADATA!$A$5:$H$29,IF(E4738="HI",2,IF(E4738="LO",6,10))+IF(D4738=1,2,IF(D4738=7,1,(IF(WEEKDAY(B4738)=1,2,IF(WEEKDAY(B4738)=7,1,0))))))</f>
        <v>2</v>
      </c>
      <c r="G4738" s="369">
        <f>VLOOKUP(C4738,METADATA!$J$5:$Q$29,IF(E4738="HI",2,IF(E4738="LO",6,10))+IF(D4738=1,2,IF(D4738=7,1,(IF(WEEKDAY(B4738)=1,2,IF(WEEKDAY(B4738)=7,1,0))))))</f>
        <v>2</v>
      </c>
      <c r="H4738" s="370">
        <v>12963.575134277344</v>
      </c>
      <c r="I4738" s="370">
        <v>10569.049987792969</v>
      </c>
      <c r="M4738" s="371">
        <f t="shared" si="293"/>
        <v>16726.000654864281</v>
      </c>
      <c r="N4738" s="329">
        <f t="shared" si="294"/>
        <v>6679.9774475097656</v>
      </c>
      <c r="T4738" s="331">
        <v>0</v>
      </c>
      <c r="U4738" s="328">
        <f>VLOOKUP(C4738,METADATA!$J$5:$Q$29,IF(E4738="HI",2,IF(E4738="LO",6,10))+IF(T4738=1,2,IF(D4738=7,1,(IF(WEEKDAY(B4738)=1,2,IF(WEEKDAY(B4738)=7,1,0))))))</f>
        <v>2</v>
      </c>
      <c r="V4738" s="328">
        <f>VLOOKUP(C4738,METADATA!$A$5:$H$29,IF(E4738="HI",2,IF(E4738="LO",6,10))+IF(T4738=1,2,IF(D4738=7,1,(IF(WEEKDAY(B4738)=1,2,IF(WEEKDAY(B4738)=7,1,0))))))</f>
        <v>2</v>
      </c>
    </row>
    <row r="4739" spans="2:22">
      <c r="B4739" s="318">
        <f t="shared" si="295"/>
        <v>46310</v>
      </c>
      <c r="C4739" s="312">
        <v>7</v>
      </c>
      <c r="D4739" s="368">
        <f>IFERROR((INDEX(METADATA!$T$2:$T$20,MATCH(B4739,METADATA!$S$2:$S$20,0))),0)</f>
        <v>0</v>
      </c>
      <c r="E4739" s="312" t="str">
        <f t="shared" si="292"/>
        <v>LO</v>
      </c>
      <c r="F4739" s="369">
        <f>VLOOKUP(C4739,METADATA!$A$5:$H$29,IF(E4739="HI",2,IF(E4739="LO",6,10))+IF(D4739=1,2,IF(D4739=7,1,(IF(WEEKDAY(B4739)=1,2,IF(WEEKDAY(B4739)=7,1,0))))))</f>
        <v>1</v>
      </c>
      <c r="G4739" s="369">
        <f>VLOOKUP(C4739,METADATA!$J$5:$Q$29,IF(E4739="HI",2,IF(E4739="LO",6,10))+IF(D4739=1,2,IF(D4739=7,1,(IF(WEEKDAY(B4739)=1,2,IF(WEEKDAY(B4739)=7,1,0))))))</f>
        <v>1</v>
      </c>
      <c r="H4739" s="370">
        <v>12944.800048828125</v>
      </c>
      <c r="I4739" s="370">
        <v>10487.599792480469</v>
      </c>
      <c r="M4739" s="371">
        <f t="shared" si="293"/>
        <v>16660.059955215558</v>
      </c>
      <c r="N4739" s="329">
        <f t="shared" si="294"/>
        <v>6604.159777832032</v>
      </c>
      <c r="T4739" s="331">
        <v>0</v>
      </c>
      <c r="U4739" s="328">
        <f>VLOOKUP(C4739,METADATA!$J$5:$Q$29,IF(E4739="HI",2,IF(E4739="LO",6,10))+IF(T4739=1,2,IF(D4739=7,1,(IF(WEEKDAY(B4739)=1,2,IF(WEEKDAY(B4739)=7,1,0))))))</f>
        <v>1</v>
      </c>
      <c r="V4739" s="328">
        <f>VLOOKUP(C4739,METADATA!$A$5:$H$29,IF(E4739="HI",2,IF(E4739="LO",6,10))+IF(T4739=1,2,IF(D4739=7,1,(IF(WEEKDAY(B4739)=1,2,IF(WEEKDAY(B4739)=7,1,0))))))</f>
        <v>1</v>
      </c>
    </row>
    <row r="4740" spans="2:22">
      <c r="B4740" s="318">
        <f t="shared" si="295"/>
        <v>46310</v>
      </c>
      <c r="C4740" s="312">
        <v>8</v>
      </c>
      <c r="D4740" s="368">
        <f>IFERROR((INDEX(METADATA!$T$2:$T$20,MATCH(B4740,METADATA!$S$2:$S$20,0))),0)</f>
        <v>0</v>
      </c>
      <c r="E4740" s="312" t="str">
        <f t="shared" ref="E4740:E4803" si="296">IF(B4740="","",IF(AND(MONTH(B4740)&gt;=MONTH($Z$9),MONTH(B4740)&lt;=MONTH($Z$11)),"HI","LO"))</f>
        <v>LO</v>
      </c>
      <c r="F4740" s="369">
        <f>VLOOKUP(C4740,METADATA!$A$5:$H$29,IF(E4740="HI",2,IF(E4740="LO",6,10))+IF(D4740=1,2,IF(D4740=7,1,(IF(WEEKDAY(B4740)=1,2,IF(WEEKDAY(B4740)=7,1,0))))))</f>
        <v>1</v>
      </c>
      <c r="G4740" s="369">
        <f>VLOOKUP(C4740,METADATA!$J$5:$Q$29,IF(E4740="HI",2,IF(E4740="LO",6,10))+IF(D4740=1,2,IF(D4740=7,1,(IF(WEEKDAY(B4740)=1,2,IF(WEEKDAY(B4740)=7,1,0))))))</f>
        <v>1</v>
      </c>
      <c r="H4740" s="370">
        <v>13141.274963378906</v>
      </c>
      <c r="I4740" s="370">
        <v>10770.574829101563</v>
      </c>
      <c r="M4740" s="371">
        <f t="shared" ref="M4740:M4803" si="297">SQRT(H4740^2+I4740^2)</f>
        <v>16991.12679643129</v>
      </c>
      <c r="N4740" s="329">
        <f t="shared" ref="N4740:N4803" si="298">IF(H4740=0,0,(IF(I4740-(0.3*H4740)&lt;0,0,(I4740-(0.3*H4740)))))</f>
        <v>6828.1923400878914</v>
      </c>
      <c r="T4740" s="331">
        <v>0</v>
      </c>
      <c r="U4740" s="328">
        <f>VLOOKUP(C4740,METADATA!$J$5:$Q$29,IF(E4740="HI",2,IF(E4740="LO",6,10))+IF(T4740=1,2,IF(D4740=7,1,(IF(WEEKDAY(B4740)=1,2,IF(WEEKDAY(B4740)=7,1,0))))))</f>
        <v>1</v>
      </c>
      <c r="V4740" s="328">
        <f>VLOOKUP(C4740,METADATA!$A$5:$H$29,IF(E4740="HI",2,IF(E4740="LO",6,10))+IF(T4740=1,2,IF(D4740=7,1,(IF(WEEKDAY(B4740)=1,2,IF(WEEKDAY(B4740)=7,1,0))))))</f>
        <v>1</v>
      </c>
    </row>
    <row r="4741" spans="2:22">
      <c r="B4741" s="318">
        <f t="shared" si="295"/>
        <v>46310</v>
      </c>
      <c r="C4741" s="312">
        <v>9</v>
      </c>
      <c r="D4741" s="368">
        <f>IFERROR((INDEX(METADATA!$T$2:$T$20,MATCH(B4741,METADATA!$S$2:$S$20,0))),0)</f>
        <v>0</v>
      </c>
      <c r="E4741" s="312" t="str">
        <f t="shared" si="296"/>
        <v>LO</v>
      </c>
      <c r="F4741" s="369">
        <f>VLOOKUP(C4741,METADATA!$A$5:$H$29,IF(E4741="HI",2,IF(E4741="LO",6,10))+IF(D4741=1,2,IF(D4741=7,1,(IF(WEEKDAY(B4741)=1,2,IF(WEEKDAY(B4741)=7,1,0))))))</f>
        <v>2</v>
      </c>
      <c r="G4741" s="369">
        <f>VLOOKUP(C4741,METADATA!$J$5:$Q$29,IF(E4741="HI",2,IF(E4741="LO",6,10))+IF(D4741=1,2,IF(D4741=7,1,(IF(WEEKDAY(B4741)=1,2,IF(WEEKDAY(B4741)=7,1,0))))))</f>
        <v>2</v>
      </c>
      <c r="H4741" s="370">
        <v>12188.675170898438</v>
      </c>
      <c r="I4741" s="370">
        <v>10133.724853515625</v>
      </c>
      <c r="M4741" s="371">
        <f t="shared" si="297"/>
        <v>15851.062482636182</v>
      </c>
      <c r="N4741" s="329">
        <f t="shared" si="298"/>
        <v>6477.1223022460945</v>
      </c>
      <c r="T4741" s="331">
        <v>0</v>
      </c>
      <c r="U4741" s="328">
        <f>VLOOKUP(C4741,METADATA!$J$5:$Q$29,IF(E4741="HI",2,IF(E4741="LO",6,10))+IF(T4741=1,2,IF(D4741=7,1,(IF(WEEKDAY(B4741)=1,2,IF(WEEKDAY(B4741)=7,1,0))))))</f>
        <v>2</v>
      </c>
      <c r="V4741" s="328">
        <f>VLOOKUP(C4741,METADATA!$A$5:$H$29,IF(E4741="HI",2,IF(E4741="LO",6,10))+IF(T4741=1,2,IF(D4741=7,1,(IF(WEEKDAY(B4741)=1,2,IF(WEEKDAY(B4741)=7,1,0))))))</f>
        <v>2</v>
      </c>
    </row>
    <row r="4742" spans="2:22">
      <c r="B4742" s="318">
        <f t="shared" si="295"/>
        <v>46310</v>
      </c>
      <c r="C4742" s="312">
        <v>10</v>
      </c>
      <c r="D4742" s="368">
        <f>IFERROR((INDEX(METADATA!$T$2:$T$20,MATCH(B4742,METADATA!$S$2:$S$20,0))),0)</f>
        <v>0</v>
      </c>
      <c r="E4742" s="312" t="str">
        <f t="shared" si="296"/>
        <v>LO</v>
      </c>
      <c r="F4742" s="369">
        <f>VLOOKUP(C4742,METADATA!$A$5:$H$29,IF(E4742="HI",2,IF(E4742="LO",6,10))+IF(D4742=1,2,IF(D4742=7,1,(IF(WEEKDAY(B4742)=1,2,IF(WEEKDAY(B4742)=7,1,0))))))</f>
        <v>2</v>
      </c>
      <c r="G4742" s="369">
        <f>VLOOKUP(C4742,METADATA!$J$5:$Q$29,IF(E4742="HI",2,IF(E4742="LO",6,10))+IF(D4742=1,2,IF(D4742=7,1,(IF(WEEKDAY(B4742)=1,2,IF(WEEKDAY(B4742)=7,1,0))))))</f>
        <v>2</v>
      </c>
      <c r="H4742" s="370">
        <v>12271.499816894531</v>
      </c>
      <c r="I4742" s="370">
        <v>10130.25</v>
      </c>
      <c r="M4742" s="371">
        <f t="shared" si="297"/>
        <v>15912.626207466274</v>
      </c>
      <c r="N4742" s="329">
        <f t="shared" si="298"/>
        <v>6448.8000549316403</v>
      </c>
      <c r="T4742" s="331">
        <v>0</v>
      </c>
      <c r="U4742" s="328">
        <f>VLOOKUP(C4742,METADATA!$J$5:$Q$29,IF(E4742="HI",2,IF(E4742="LO",6,10))+IF(T4742=1,2,IF(D4742=7,1,(IF(WEEKDAY(B4742)=1,2,IF(WEEKDAY(B4742)=7,1,0))))))</f>
        <v>2</v>
      </c>
      <c r="V4742" s="328">
        <f>VLOOKUP(C4742,METADATA!$A$5:$H$29,IF(E4742="HI",2,IF(E4742="LO",6,10))+IF(T4742=1,2,IF(D4742=7,1,(IF(WEEKDAY(B4742)=1,2,IF(WEEKDAY(B4742)=7,1,0))))))</f>
        <v>2</v>
      </c>
    </row>
    <row r="4743" spans="2:22">
      <c r="B4743" s="318">
        <f t="shared" si="295"/>
        <v>46310</v>
      </c>
      <c r="C4743" s="312">
        <v>11</v>
      </c>
      <c r="D4743" s="368">
        <f>IFERROR((INDEX(METADATA!$T$2:$T$20,MATCH(B4743,METADATA!$S$2:$S$20,0))),0)</f>
        <v>0</v>
      </c>
      <c r="E4743" s="312" t="str">
        <f t="shared" si="296"/>
        <v>LO</v>
      </c>
      <c r="F4743" s="369">
        <f>VLOOKUP(C4743,METADATA!$A$5:$H$29,IF(E4743="HI",2,IF(E4743="LO",6,10))+IF(D4743=1,2,IF(D4743=7,1,(IF(WEEKDAY(B4743)=1,2,IF(WEEKDAY(B4743)=7,1,0))))))</f>
        <v>2</v>
      </c>
      <c r="G4743" s="369">
        <f>VLOOKUP(C4743,METADATA!$J$5:$Q$29,IF(E4743="HI",2,IF(E4743="LO",6,10))+IF(D4743=1,2,IF(D4743=7,1,(IF(WEEKDAY(B4743)=1,2,IF(WEEKDAY(B4743)=7,1,0))))))</f>
        <v>2</v>
      </c>
      <c r="H4743" s="370">
        <v>12879.874816894531</v>
      </c>
      <c r="I4743" s="370">
        <v>10568.275085449219</v>
      </c>
      <c r="M4743" s="371">
        <f t="shared" si="297"/>
        <v>16660.720680108669</v>
      </c>
      <c r="N4743" s="329">
        <f t="shared" si="298"/>
        <v>6704.3126403808601</v>
      </c>
      <c r="T4743" s="331">
        <v>0</v>
      </c>
      <c r="U4743" s="328">
        <f>VLOOKUP(C4743,METADATA!$J$5:$Q$29,IF(E4743="HI",2,IF(E4743="LO",6,10))+IF(T4743=1,2,IF(D4743=7,1,(IF(WEEKDAY(B4743)=1,2,IF(WEEKDAY(B4743)=7,1,0))))))</f>
        <v>2</v>
      </c>
      <c r="V4743" s="328">
        <f>VLOOKUP(C4743,METADATA!$A$5:$H$29,IF(E4743="HI",2,IF(E4743="LO",6,10))+IF(T4743=1,2,IF(D4743=7,1,(IF(WEEKDAY(B4743)=1,2,IF(WEEKDAY(B4743)=7,1,0))))))</f>
        <v>2</v>
      </c>
    </row>
    <row r="4744" spans="2:22">
      <c r="B4744" s="318">
        <f t="shared" si="295"/>
        <v>46310</v>
      </c>
      <c r="C4744" s="312">
        <v>12</v>
      </c>
      <c r="D4744" s="368">
        <f>IFERROR((INDEX(METADATA!$T$2:$T$20,MATCH(B4744,METADATA!$S$2:$S$20,0))),0)</f>
        <v>0</v>
      </c>
      <c r="E4744" s="312" t="str">
        <f t="shared" si="296"/>
        <v>LO</v>
      </c>
      <c r="F4744" s="369">
        <f>VLOOKUP(C4744,METADATA!$A$5:$H$29,IF(E4744="HI",2,IF(E4744="LO",6,10))+IF(D4744=1,2,IF(D4744=7,1,(IF(WEEKDAY(B4744)=1,2,IF(WEEKDAY(B4744)=7,1,0))))))</f>
        <v>2</v>
      </c>
      <c r="G4744" s="369">
        <f>VLOOKUP(C4744,METADATA!$J$5:$Q$29,IF(E4744="HI",2,IF(E4744="LO",6,10))+IF(D4744=1,2,IF(D4744=7,1,(IF(WEEKDAY(B4744)=1,2,IF(WEEKDAY(B4744)=7,1,0))))))</f>
        <v>2</v>
      </c>
      <c r="H4744" s="370">
        <v>12916.099914550781</v>
      </c>
      <c r="I4744" s="370">
        <v>10619.175170898438</v>
      </c>
      <c r="M4744" s="371">
        <f t="shared" si="297"/>
        <v>16721.020253348317</v>
      </c>
      <c r="N4744" s="329">
        <f t="shared" si="298"/>
        <v>6744.3451965332033</v>
      </c>
      <c r="T4744" s="331">
        <v>0</v>
      </c>
      <c r="U4744" s="328">
        <f>VLOOKUP(C4744,METADATA!$J$5:$Q$29,IF(E4744="HI",2,IF(E4744="LO",6,10))+IF(T4744=1,2,IF(D4744=7,1,(IF(WEEKDAY(B4744)=1,2,IF(WEEKDAY(B4744)=7,1,0))))))</f>
        <v>2</v>
      </c>
      <c r="V4744" s="328">
        <f>VLOOKUP(C4744,METADATA!$A$5:$H$29,IF(E4744="HI",2,IF(E4744="LO",6,10))+IF(T4744=1,2,IF(D4744=7,1,(IF(WEEKDAY(B4744)=1,2,IF(WEEKDAY(B4744)=7,1,0))))))</f>
        <v>2</v>
      </c>
    </row>
    <row r="4745" spans="2:22">
      <c r="B4745" s="318">
        <f t="shared" si="295"/>
        <v>46310</v>
      </c>
      <c r="C4745" s="312">
        <v>13</v>
      </c>
      <c r="D4745" s="368">
        <f>IFERROR((INDEX(METADATA!$T$2:$T$20,MATCH(B4745,METADATA!$S$2:$S$20,0))),0)</f>
        <v>0</v>
      </c>
      <c r="E4745" s="312" t="str">
        <f t="shared" si="296"/>
        <v>LO</v>
      </c>
      <c r="F4745" s="369">
        <f>VLOOKUP(C4745,METADATA!$A$5:$H$29,IF(E4745="HI",2,IF(E4745="LO",6,10))+IF(D4745=1,2,IF(D4745=7,1,(IF(WEEKDAY(B4745)=1,2,IF(WEEKDAY(B4745)=7,1,0))))))</f>
        <v>2</v>
      </c>
      <c r="G4745" s="369">
        <f>VLOOKUP(C4745,METADATA!$J$5:$Q$29,IF(E4745="HI",2,IF(E4745="LO",6,10))+IF(D4745=1,2,IF(D4745=7,1,(IF(WEEKDAY(B4745)=1,2,IF(WEEKDAY(B4745)=7,1,0))))))</f>
        <v>2</v>
      </c>
      <c r="H4745" s="370">
        <v>12974.575134277344</v>
      </c>
      <c r="I4745" s="370">
        <v>10782.775207519531</v>
      </c>
      <c r="M4745" s="371">
        <f t="shared" si="297"/>
        <v>16870.32427343665</v>
      </c>
      <c r="N4745" s="329">
        <f t="shared" si="298"/>
        <v>6890.4026672363289</v>
      </c>
      <c r="T4745" s="331">
        <v>0</v>
      </c>
      <c r="U4745" s="328">
        <f>VLOOKUP(C4745,METADATA!$J$5:$Q$29,IF(E4745="HI",2,IF(E4745="LO",6,10))+IF(T4745=1,2,IF(D4745=7,1,(IF(WEEKDAY(B4745)=1,2,IF(WEEKDAY(B4745)=7,1,0))))))</f>
        <v>2</v>
      </c>
      <c r="V4745" s="328">
        <f>VLOOKUP(C4745,METADATA!$A$5:$H$29,IF(E4745="HI",2,IF(E4745="LO",6,10))+IF(T4745=1,2,IF(D4745=7,1,(IF(WEEKDAY(B4745)=1,2,IF(WEEKDAY(B4745)=7,1,0))))))</f>
        <v>2</v>
      </c>
    </row>
    <row r="4746" spans="2:22">
      <c r="B4746" s="318">
        <f t="shared" si="295"/>
        <v>46310</v>
      </c>
      <c r="C4746" s="312">
        <v>14</v>
      </c>
      <c r="D4746" s="368">
        <f>IFERROR((INDEX(METADATA!$T$2:$T$20,MATCH(B4746,METADATA!$S$2:$S$20,0))),0)</f>
        <v>0</v>
      </c>
      <c r="E4746" s="312" t="str">
        <f t="shared" si="296"/>
        <v>LO</v>
      </c>
      <c r="F4746" s="369">
        <f>VLOOKUP(C4746,METADATA!$A$5:$H$29,IF(E4746="HI",2,IF(E4746="LO",6,10))+IF(D4746=1,2,IF(D4746=7,1,(IF(WEEKDAY(B4746)=1,2,IF(WEEKDAY(B4746)=7,1,0))))))</f>
        <v>2</v>
      </c>
      <c r="G4746" s="369">
        <f>VLOOKUP(C4746,METADATA!$J$5:$Q$29,IF(E4746="HI",2,IF(E4746="LO",6,10))+IF(D4746=1,2,IF(D4746=7,1,(IF(WEEKDAY(B4746)=1,2,IF(WEEKDAY(B4746)=7,1,0))))))</f>
        <v>2</v>
      </c>
      <c r="H4746" s="370">
        <v>12809.299987792969</v>
      </c>
      <c r="I4746" s="370">
        <v>10809.599975585938</v>
      </c>
      <c r="M4746" s="371">
        <f t="shared" si="297"/>
        <v>16760.835832662418</v>
      </c>
      <c r="N4746" s="329">
        <f t="shared" si="298"/>
        <v>6966.8099792480471</v>
      </c>
      <c r="T4746" s="331">
        <v>0</v>
      </c>
      <c r="U4746" s="328">
        <f>VLOOKUP(C4746,METADATA!$J$5:$Q$29,IF(E4746="HI",2,IF(E4746="LO",6,10))+IF(T4746=1,2,IF(D4746=7,1,(IF(WEEKDAY(B4746)=1,2,IF(WEEKDAY(B4746)=7,1,0))))))</f>
        <v>2</v>
      </c>
      <c r="V4746" s="328">
        <f>VLOOKUP(C4746,METADATA!$A$5:$H$29,IF(E4746="HI",2,IF(E4746="LO",6,10))+IF(T4746=1,2,IF(D4746=7,1,(IF(WEEKDAY(B4746)=1,2,IF(WEEKDAY(B4746)=7,1,0))))))</f>
        <v>2</v>
      </c>
    </row>
    <row r="4747" spans="2:22">
      <c r="B4747" s="318">
        <f t="shared" si="295"/>
        <v>46310</v>
      </c>
      <c r="C4747" s="312">
        <v>15</v>
      </c>
      <c r="D4747" s="368">
        <f>IFERROR((INDEX(METADATA!$T$2:$T$20,MATCH(B4747,METADATA!$S$2:$S$20,0))),0)</f>
        <v>0</v>
      </c>
      <c r="E4747" s="312" t="str">
        <f t="shared" si="296"/>
        <v>LO</v>
      </c>
      <c r="F4747" s="369">
        <f>VLOOKUP(C4747,METADATA!$A$5:$H$29,IF(E4747="HI",2,IF(E4747="LO",6,10))+IF(D4747=1,2,IF(D4747=7,1,(IF(WEEKDAY(B4747)=1,2,IF(WEEKDAY(B4747)=7,1,0))))))</f>
        <v>2</v>
      </c>
      <c r="G4747" s="369">
        <f>VLOOKUP(C4747,METADATA!$J$5:$Q$29,IF(E4747="HI",2,IF(E4747="LO",6,10))+IF(D4747=1,2,IF(D4747=7,1,(IF(WEEKDAY(B4747)=1,2,IF(WEEKDAY(B4747)=7,1,0))))))</f>
        <v>2</v>
      </c>
      <c r="H4747" s="370">
        <v>12637.349975585938</v>
      </c>
      <c r="I4747" s="370">
        <v>10862.275024414063</v>
      </c>
      <c r="M4747" s="371">
        <f t="shared" si="297"/>
        <v>16664.082126281406</v>
      </c>
      <c r="N4747" s="329">
        <f t="shared" si="298"/>
        <v>7071.0700317382816</v>
      </c>
      <c r="T4747" s="331">
        <v>0</v>
      </c>
      <c r="U4747" s="328">
        <f>VLOOKUP(C4747,METADATA!$J$5:$Q$29,IF(E4747="HI",2,IF(E4747="LO",6,10))+IF(T4747=1,2,IF(D4747=7,1,(IF(WEEKDAY(B4747)=1,2,IF(WEEKDAY(B4747)=7,1,0))))))</f>
        <v>2</v>
      </c>
      <c r="V4747" s="328">
        <f>VLOOKUP(C4747,METADATA!$A$5:$H$29,IF(E4747="HI",2,IF(E4747="LO",6,10))+IF(T4747=1,2,IF(D4747=7,1,(IF(WEEKDAY(B4747)=1,2,IF(WEEKDAY(B4747)=7,1,0))))))</f>
        <v>2</v>
      </c>
    </row>
    <row r="4748" spans="2:22">
      <c r="B4748" s="318">
        <f t="shared" si="295"/>
        <v>46310</v>
      </c>
      <c r="C4748" s="312">
        <v>16</v>
      </c>
      <c r="D4748" s="368">
        <f>IFERROR((INDEX(METADATA!$T$2:$T$20,MATCH(B4748,METADATA!$S$2:$S$20,0))),0)</f>
        <v>0</v>
      </c>
      <c r="E4748" s="312" t="str">
        <f t="shared" si="296"/>
        <v>LO</v>
      </c>
      <c r="F4748" s="369">
        <f>VLOOKUP(C4748,METADATA!$A$5:$H$29,IF(E4748="HI",2,IF(E4748="LO",6,10))+IF(D4748=1,2,IF(D4748=7,1,(IF(WEEKDAY(B4748)=1,2,IF(WEEKDAY(B4748)=7,1,0))))))</f>
        <v>2</v>
      </c>
      <c r="G4748" s="369">
        <f>VLOOKUP(C4748,METADATA!$J$5:$Q$29,IF(E4748="HI",2,IF(E4748="LO",6,10))+IF(D4748=1,2,IF(D4748=7,1,(IF(WEEKDAY(B4748)=1,2,IF(WEEKDAY(B4748)=7,1,0))))))</f>
        <v>2</v>
      </c>
      <c r="H4748" s="370">
        <v>12588.899780273438</v>
      </c>
      <c r="I4748" s="370">
        <v>10799.249938964844</v>
      </c>
      <c r="M4748" s="371">
        <f t="shared" si="297"/>
        <v>16586.265309647039</v>
      </c>
      <c r="N4748" s="329">
        <f t="shared" si="298"/>
        <v>7022.5800048828132</v>
      </c>
      <c r="T4748" s="331">
        <v>0</v>
      </c>
      <c r="U4748" s="328">
        <f>VLOOKUP(C4748,METADATA!$J$5:$Q$29,IF(E4748="HI",2,IF(E4748="LO",6,10))+IF(T4748=1,2,IF(D4748=7,1,(IF(WEEKDAY(B4748)=1,2,IF(WEEKDAY(B4748)=7,1,0))))))</f>
        <v>2</v>
      </c>
      <c r="V4748" s="328">
        <f>VLOOKUP(C4748,METADATA!$A$5:$H$29,IF(E4748="HI",2,IF(E4748="LO",6,10))+IF(T4748=1,2,IF(D4748=7,1,(IF(WEEKDAY(B4748)=1,2,IF(WEEKDAY(B4748)=7,1,0))))))</f>
        <v>2</v>
      </c>
    </row>
    <row r="4749" spans="2:22">
      <c r="B4749" s="318">
        <f t="shared" si="295"/>
        <v>46310</v>
      </c>
      <c r="C4749" s="312">
        <v>17</v>
      </c>
      <c r="D4749" s="368">
        <f>IFERROR((INDEX(METADATA!$T$2:$T$20,MATCH(B4749,METADATA!$S$2:$S$20,0))),0)</f>
        <v>0</v>
      </c>
      <c r="E4749" s="312" t="str">
        <f t="shared" si="296"/>
        <v>LO</v>
      </c>
      <c r="F4749" s="369">
        <f>VLOOKUP(C4749,METADATA!$A$5:$H$29,IF(E4749="HI",2,IF(E4749="LO",6,10))+IF(D4749=1,2,IF(D4749=7,1,(IF(WEEKDAY(B4749)=1,2,IF(WEEKDAY(B4749)=7,1,0))))))</f>
        <v>2</v>
      </c>
      <c r="G4749" s="369">
        <f>VLOOKUP(C4749,METADATA!$J$5:$Q$29,IF(E4749="HI",2,IF(E4749="LO",6,10))+IF(D4749=1,2,IF(D4749=7,1,(IF(WEEKDAY(B4749)=1,2,IF(WEEKDAY(B4749)=7,1,0))))))</f>
        <v>2</v>
      </c>
      <c r="H4749" s="370">
        <v>11999.0498046875</v>
      </c>
      <c r="I4749" s="370">
        <v>10304.437438964844</v>
      </c>
      <c r="M4749" s="371">
        <f t="shared" si="297"/>
        <v>15816.403736276823</v>
      </c>
      <c r="N4749" s="329">
        <f t="shared" si="298"/>
        <v>6704.7224975585941</v>
      </c>
      <c r="T4749" s="331">
        <v>0</v>
      </c>
      <c r="U4749" s="328">
        <f>VLOOKUP(C4749,METADATA!$J$5:$Q$29,IF(E4749="HI",2,IF(E4749="LO",6,10))+IF(T4749=1,2,IF(D4749=7,1,(IF(WEEKDAY(B4749)=1,2,IF(WEEKDAY(B4749)=7,1,0))))))</f>
        <v>2</v>
      </c>
      <c r="V4749" s="328">
        <f>VLOOKUP(C4749,METADATA!$A$5:$H$29,IF(E4749="HI",2,IF(E4749="LO",6,10))+IF(T4749=1,2,IF(D4749=7,1,(IF(WEEKDAY(B4749)=1,2,IF(WEEKDAY(B4749)=7,1,0))))))</f>
        <v>2</v>
      </c>
    </row>
    <row r="4750" spans="2:22">
      <c r="B4750" s="318">
        <f t="shared" si="295"/>
        <v>46310</v>
      </c>
      <c r="C4750" s="312">
        <v>18</v>
      </c>
      <c r="D4750" s="368">
        <f>IFERROR((INDEX(METADATA!$T$2:$T$20,MATCH(B4750,METADATA!$S$2:$S$20,0))),0)</f>
        <v>0</v>
      </c>
      <c r="E4750" s="312" t="str">
        <f t="shared" si="296"/>
        <v>LO</v>
      </c>
      <c r="F4750" s="369">
        <f>VLOOKUP(C4750,METADATA!$A$5:$H$29,IF(E4750="HI",2,IF(E4750="LO",6,10))+IF(D4750=1,2,IF(D4750=7,1,(IF(WEEKDAY(B4750)=1,2,IF(WEEKDAY(B4750)=7,1,0))))))</f>
        <v>1</v>
      </c>
      <c r="G4750" s="369">
        <f>VLOOKUP(C4750,METADATA!$J$5:$Q$29,IF(E4750="HI",2,IF(E4750="LO",6,10))+IF(D4750=1,2,IF(D4750=7,1,(IF(WEEKDAY(B4750)=1,2,IF(WEEKDAY(B4750)=7,1,0))))))</f>
        <v>1</v>
      </c>
      <c r="H4750" s="370">
        <v>10687.490081787109</v>
      </c>
      <c r="I4750" s="370">
        <v>9331.1525268554688</v>
      </c>
      <c r="M4750" s="371">
        <f t="shared" si="297"/>
        <v>14187.771203671809</v>
      </c>
      <c r="N4750" s="329">
        <f t="shared" si="298"/>
        <v>6124.9055023193359</v>
      </c>
      <c r="T4750" s="331">
        <v>0</v>
      </c>
      <c r="U4750" s="328">
        <f>VLOOKUP(C4750,METADATA!$J$5:$Q$29,IF(E4750="HI",2,IF(E4750="LO",6,10))+IF(T4750=1,2,IF(D4750=7,1,(IF(WEEKDAY(B4750)=1,2,IF(WEEKDAY(B4750)=7,1,0))))))</f>
        <v>1</v>
      </c>
      <c r="V4750" s="328">
        <f>VLOOKUP(C4750,METADATA!$A$5:$H$29,IF(E4750="HI",2,IF(E4750="LO",6,10))+IF(T4750=1,2,IF(D4750=7,1,(IF(WEEKDAY(B4750)=1,2,IF(WEEKDAY(B4750)=7,1,0))))))</f>
        <v>1</v>
      </c>
    </row>
    <row r="4751" spans="2:22">
      <c r="B4751" s="318">
        <f t="shared" si="295"/>
        <v>46310</v>
      </c>
      <c r="C4751" s="312">
        <v>19</v>
      </c>
      <c r="D4751" s="368">
        <f>IFERROR((INDEX(METADATA!$T$2:$T$20,MATCH(B4751,METADATA!$S$2:$S$20,0))),0)</f>
        <v>0</v>
      </c>
      <c r="E4751" s="312" t="str">
        <f t="shared" si="296"/>
        <v>LO</v>
      </c>
      <c r="F4751" s="369">
        <f>VLOOKUP(C4751,METADATA!$A$5:$H$29,IF(E4751="HI",2,IF(E4751="LO",6,10))+IF(D4751=1,2,IF(D4751=7,1,(IF(WEEKDAY(B4751)=1,2,IF(WEEKDAY(B4751)=7,1,0))))))</f>
        <v>1</v>
      </c>
      <c r="G4751" s="369">
        <f>VLOOKUP(C4751,METADATA!$J$5:$Q$29,IF(E4751="HI",2,IF(E4751="LO",6,10))+IF(D4751=1,2,IF(D4751=7,1,(IF(WEEKDAY(B4751)=1,2,IF(WEEKDAY(B4751)=7,1,0))))))</f>
        <v>1</v>
      </c>
      <c r="H4751" s="370">
        <v>10845.362335205078</v>
      </c>
      <c r="I4751" s="370">
        <v>9333.5901794433594</v>
      </c>
      <c r="M4751" s="371">
        <f t="shared" si="297"/>
        <v>14308.661356663888</v>
      </c>
      <c r="N4751" s="329">
        <f t="shared" si="298"/>
        <v>6079.9814788818367</v>
      </c>
      <c r="T4751" s="331">
        <v>0</v>
      </c>
      <c r="U4751" s="328">
        <f>VLOOKUP(C4751,METADATA!$J$5:$Q$29,IF(E4751="HI",2,IF(E4751="LO",6,10))+IF(T4751=1,2,IF(D4751=7,1,(IF(WEEKDAY(B4751)=1,2,IF(WEEKDAY(B4751)=7,1,0))))))</f>
        <v>1</v>
      </c>
      <c r="V4751" s="328">
        <f>VLOOKUP(C4751,METADATA!$A$5:$H$29,IF(E4751="HI",2,IF(E4751="LO",6,10))+IF(T4751=1,2,IF(D4751=7,1,(IF(WEEKDAY(B4751)=1,2,IF(WEEKDAY(B4751)=7,1,0))))))</f>
        <v>1</v>
      </c>
    </row>
    <row r="4752" spans="2:22">
      <c r="B4752" s="318">
        <f t="shared" si="295"/>
        <v>46310</v>
      </c>
      <c r="C4752" s="312">
        <v>20</v>
      </c>
      <c r="D4752" s="368">
        <f>IFERROR((INDEX(METADATA!$T$2:$T$20,MATCH(B4752,METADATA!$S$2:$S$20,0))),0)</f>
        <v>0</v>
      </c>
      <c r="E4752" s="312" t="str">
        <f t="shared" si="296"/>
        <v>LO</v>
      </c>
      <c r="F4752" s="369">
        <f>VLOOKUP(C4752,METADATA!$A$5:$H$29,IF(E4752="HI",2,IF(E4752="LO",6,10))+IF(D4752=1,2,IF(D4752=7,1,(IF(WEEKDAY(B4752)=1,2,IF(WEEKDAY(B4752)=7,1,0))))))</f>
        <v>1</v>
      </c>
      <c r="G4752" s="369">
        <f>VLOOKUP(C4752,METADATA!$J$5:$Q$29,IF(E4752="HI",2,IF(E4752="LO",6,10))+IF(D4752=1,2,IF(D4752=7,1,(IF(WEEKDAY(B4752)=1,2,IF(WEEKDAY(B4752)=7,1,0))))))</f>
        <v>1</v>
      </c>
      <c r="H4752" s="370">
        <v>10868.439910888672</v>
      </c>
      <c r="I4752" s="370">
        <v>9401.87744140625</v>
      </c>
      <c r="M4752" s="371">
        <f t="shared" si="297"/>
        <v>14370.744083721675</v>
      </c>
      <c r="N4752" s="329">
        <f t="shared" si="298"/>
        <v>6141.3454681396488</v>
      </c>
      <c r="T4752" s="331">
        <v>0</v>
      </c>
      <c r="U4752" s="328">
        <f>VLOOKUP(C4752,METADATA!$J$5:$Q$29,IF(E4752="HI",2,IF(E4752="LO",6,10))+IF(T4752=1,2,IF(D4752=7,1,(IF(WEEKDAY(B4752)=1,2,IF(WEEKDAY(B4752)=7,1,0))))))</f>
        <v>1</v>
      </c>
      <c r="V4752" s="328">
        <f>VLOOKUP(C4752,METADATA!$A$5:$H$29,IF(E4752="HI",2,IF(E4752="LO",6,10))+IF(T4752=1,2,IF(D4752=7,1,(IF(WEEKDAY(B4752)=1,2,IF(WEEKDAY(B4752)=7,1,0))))))</f>
        <v>1</v>
      </c>
    </row>
    <row r="4753" spans="2:22">
      <c r="B4753" s="318">
        <f t="shared" si="295"/>
        <v>46310</v>
      </c>
      <c r="C4753" s="312">
        <v>21</v>
      </c>
      <c r="D4753" s="368">
        <f>IFERROR((INDEX(METADATA!$T$2:$T$20,MATCH(B4753,METADATA!$S$2:$S$20,0))),0)</f>
        <v>0</v>
      </c>
      <c r="E4753" s="312" t="str">
        <f t="shared" si="296"/>
        <v>LO</v>
      </c>
      <c r="F4753" s="369">
        <f>VLOOKUP(C4753,METADATA!$A$5:$H$29,IF(E4753="HI",2,IF(E4753="LO",6,10))+IF(D4753=1,2,IF(D4753=7,1,(IF(WEEKDAY(B4753)=1,2,IF(WEEKDAY(B4753)=7,1,0))))))</f>
        <v>2</v>
      </c>
      <c r="G4753" s="369">
        <f>VLOOKUP(C4753,METADATA!$J$5:$Q$29,IF(E4753="HI",2,IF(E4753="LO",6,10))+IF(D4753=1,2,IF(D4753=7,1,(IF(WEEKDAY(B4753)=1,2,IF(WEEKDAY(B4753)=7,1,0))))))</f>
        <v>2</v>
      </c>
      <c r="H4753" s="370">
        <v>11676.850036621094</v>
      </c>
      <c r="I4753" s="370">
        <v>9892.8749389648438</v>
      </c>
      <c r="M4753" s="371">
        <f t="shared" si="297"/>
        <v>15304.175944353772</v>
      </c>
      <c r="N4753" s="329">
        <f t="shared" si="298"/>
        <v>6389.8199279785158</v>
      </c>
      <c r="T4753" s="331">
        <v>0</v>
      </c>
      <c r="U4753" s="328">
        <f>VLOOKUP(C4753,METADATA!$J$5:$Q$29,IF(E4753="HI",2,IF(E4753="LO",6,10))+IF(T4753=1,2,IF(D4753=7,1,(IF(WEEKDAY(B4753)=1,2,IF(WEEKDAY(B4753)=7,1,0))))))</f>
        <v>2</v>
      </c>
      <c r="V4753" s="328">
        <f>VLOOKUP(C4753,METADATA!$A$5:$H$29,IF(E4753="HI",2,IF(E4753="LO",6,10))+IF(T4753=1,2,IF(D4753=7,1,(IF(WEEKDAY(B4753)=1,2,IF(WEEKDAY(B4753)=7,1,0))))))</f>
        <v>2</v>
      </c>
    </row>
    <row r="4754" spans="2:22">
      <c r="B4754" s="318">
        <f t="shared" si="295"/>
        <v>46310</v>
      </c>
      <c r="C4754" s="312">
        <v>22</v>
      </c>
      <c r="D4754" s="368">
        <f>IFERROR((INDEX(METADATA!$T$2:$T$20,MATCH(B4754,METADATA!$S$2:$S$20,0))),0)</f>
        <v>0</v>
      </c>
      <c r="E4754" s="312" t="str">
        <f t="shared" si="296"/>
        <v>LO</v>
      </c>
      <c r="F4754" s="369">
        <f>VLOOKUP(C4754,METADATA!$A$5:$H$29,IF(E4754="HI",2,IF(E4754="LO",6,10))+IF(D4754=1,2,IF(D4754=7,1,(IF(WEEKDAY(B4754)=1,2,IF(WEEKDAY(B4754)=7,1,0))))))</f>
        <v>3</v>
      </c>
      <c r="G4754" s="369">
        <f>VLOOKUP(C4754,METADATA!$J$5:$Q$29,IF(E4754="HI",2,IF(E4754="LO",6,10))+IF(D4754=1,2,IF(D4754=7,1,(IF(WEEKDAY(B4754)=1,2,IF(WEEKDAY(B4754)=7,1,0))))))</f>
        <v>3</v>
      </c>
      <c r="H4754" s="370">
        <v>12819.250122070313</v>
      </c>
      <c r="I4754" s="370">
        <v>10655.200012207031</v>
      </c>
      <c r="M4754" s="371">
        <f t="shared" si="297"/>
        <v>16669.326950790077</v>
      </c>
      <c r="N4754" s="329">
        <f t="shared" si="298"/>
        <v>6809.4249755859382</v>
      </c>
      <c r="T4754" s="331">
        <v>0</v>
      </c>
      <c r="U4754" s="328">
        <f>VLOOKUP(C4754,METADATA!$J$5:$Q$29,IF(E4754="HI",2,IF(E4754="LO",6,10))+IF(T4754=1,2,IF(D4754=7,1,(IF(WEEKDAY(B4754)=1,2,IF(WEEKDAY(B4754)=7,1,0))))))</f>
        <v>3</v>
      </c>
      <c r="V4754" s="328">
        <f>VLOOKUP(C4754,METADATA!$A$5:$H$29,IF(E4754="HI",2,IF(E4754="LO",6,10))+IF(T4754=1,2,IF(D4754=7,1,(IF(WEEKDAY(B4754)=1,2,IF(WEEKDAY(B4754)=7,1,0))))))</f>
        <v>3</v>
      </c>
    </row>
    <row r="4755" spans="2:22">
      <c r="B4755" s="318">
        <f t="shared" si="295"/>
        <v>46310</v>
      </c>
      <c r="C4755" s="312">
        <v>23</v>
      </c>
      <c r="D4755" s="368">
        <f>IFERROR((INDEX(METADATA!$T$2:$T$20,MATCH(B4755,METADATA!$S$2:$S$20,0))),0)</f>
        <v>0</v>
      </c>
      <c r="E4755" s="312" t="str">
        <f t="shared" si="296"/>
        <v>LO</v>
      </c>
      <c r="F4755" s="369">
        <f>VLOOKUP(C4755,METADATA!$A$5:$H$29,IF(E4755="HI",2,IF(E4755="LO",6,10))+IF(D4755=1,2,IF(D4755=7,1,(IF(WEEKDAY(B4755)=1,2,IF(WEEKDAY(B4755)=7,1,0))))))</f>
        <v>3</v>
      </c>
      <c r="G4755" s="369">
        <f>VLOOKUP(C4755,METADATA!$J$5:$Q$29,IF(E4755="HI",2,IF(E4755="LO",6,10))+IF(D4755=1,2,IF(D4755=7,1,(IF(WEEKDAY(B4755)=1,2,IF(WEEKDAY(B4755)=7,1,0))))))</f>
        <v>3</v>
      </c>
      <c r="H4755" s="370">
        <v>12712.725036621094</v>
      </c>
      <c r="I4755" s="370">
        <v>10655.050048828125</v>
      </c>
      <c r="M4755" s="371">
        <f t="shared" si="297"/>
        <v>16587.449152891622</v>
      </c>
      <c r="N4755" s="329">
        <f t="shared" si="298"/>
        <v>6841.2325378417972</v>
      </c>
      <c r="T4755" s="331">
        <v>0</v>
      </c>
      <c r="U4755" s="328">
        <f>VLOOKUP(C4755,METADATA!$J$5:$Q$29,IF(E4755="HI",2,IF(E4755="LO",6,10))+IF(T4755=1,2,IF(D4755=7,1,(IF(WEEKDAY(B4755)=1,2,IF(WEEKDAY(B4755)=7,1,0))))))</f>
        <v>3</v>
      </c>
      <c r="V4755" s="328">
        <f>VLOOKUP(C4755,METADATA!$A$5:$H$29,IF(E4755="HI",2,IF(E4755="LO",6,10))+IF(T4755=1,2,IF(D4755=7,1,(IF(WEEKDAY(B4755)=1,2,IF(WEEKDAY(B4755)=7,1,0))))))</f>
        <v>3</v>
      </c>
    </row>
    <row r="4756" spans="2:22">
      <c r="B4756" s="318">
        <f t="shared" si="295"/>
        <v>46311</v>
      </c>
      <c r="C4756" s="312">
        <v>0</v>
      </c>
      <c r="D4756" s="368">
        <f>IFERROR((INDEX(METADATA!$T$2:$T$20,MATCH(B4756,METADATA!$S$2:$S$20,0))),0)</f>
        <v>0</v>
      </c>
      <c r="E4756" s="312" t="str">
        <f t="shared" si="296"/>
        <v>LO</v>
      </c>
      <c r="F4756" s="369">
        <f>VLOOKUP(C4756,METADATA!$A$5:$H$29,IF(E4756="HI",2,IF(E4756="LO",6,10))+IF(D4756=1,2,IF(D4756=7,1,(IF(WEEKDAY(B4756)=1,2,IF(WEEKDAY(B4756)=7,1,0))))))</f>
        <v>3</v>
      </c>
      <c r="G4756" s="369">
        <f>VLOOKUP(C4756,METADATA!$J$5:$Q$29,IF(E4756="HI",2,IF(E4756="LO",6,10))+IF(D4756=1,2,IF(D4756=7,1,(IF(WEEKDAY(B4756)=1,2,IF(WEEKDAY(B4756)=7,1,0))))))</f>
        <v>3</v>
      </c>
      <c r="H4756" s="370">
        <v>12682.6748046875</v>
      </c>
      <c r="I4756" s="370">
        <v>10642.024963378906</v>
      </c>
      <c r="M4756" s="371">
        <f t="shared" si="297"/>
        <v>16556.054346450874</v>
      </c>
      <c r="N4756" s="329">
        <f t="shared" si="298"/>
        <v>6837.222521972657</v>
      </c>
      <c r="T4756" s="331">
        <v>0</v>
      </c>
      <c r="U4756" s="328">
        <f>VLOOKUP(C4756,METADATA!$J$5:$Q$29,IF(E4756="HI",2,IF(E4756="LO",6,10))+IF(T4756=1,2,IF(D4756=7,1,(IF(WEEKDAY(B4756)=1,2,IF(WEEKDAY(B4756)=7,1,0))))))</f>
        <v>3</v>
      </c>
      <c r="V4756" s="328">
        <f>VLOOKUP(C4756,METADATA!$A$5:$H$29,IF(E4756="HI",2,IF(E4756="LO",6,10))+IF(T4756=1,2,IF(D4756=7,1,(IF(WEEKDAY(B4756)=1,2,IF(WEEKDAY(B4756)=7,1,0))))))</f>
        <v>3</v>
      </c>
    </row>
    <row r="4757" spans="2:22">
      <c r="B4757" s="318">
        <f t="shared" si="295"/>
        <v>46311</v>
      </c>
      <c r="C4757" s="312">
        <v>1</v>
      </c>
      <c r="D4757" s="368">
        <f>IFERROR((INDEX(METADATA!$T$2:$T$20,MATCH(B4757,METADATA!$S$2:$S$20,0))),0)</f>
        <v>0</v>
      </c>
      <c r="E4757" s="312" t="str">
        <f t="shared" si="296"/>
        <v>LO</v>
      </c>
      <c r="F4757" s="369">
        <f>VLOOKUP(C4757,METADATA!$A$5:$H$29,IF(E4757="HI",2,IF(E4757="LO",6,10))+IF(D4757=1,2,IF(D4757=7,1,(IF(WEEKDAY(B4757)=1,2,IF(WEEKDAY(B4757)=7,1,0))))))</f>
        <v>3</v>
      </c>
      <c r="G4757" s="369">
        <f>VLOOKUP(C4757,METADATA!$J$5:$Q$29,IF(E4757="HI",2,IF(E4757="LO",6,10))+IF(D4757=1,2,IF(D4757=7,1,(IF(WEEKDAY(B4757)=1,2,IF(WEEKDAY(B4757)=7,1,0))))))</f>
        <v>3</v>
      </c>
      <c r="H4757" s="370">
        <v>12739.675170898438</v>
      </c>
      <c r="I4757" s="370">
        <v>10754.124938964844</v>
      </c>
      <c r="M4757" s="371">
        <f t="shared" si="297"/>
        <v>16671.848327731142</v>
      </c>
      <c r="N4757" s="329">
        <f t="shared" si="298"/>
        <v>6932.2223876953121</v>
      </c>
      <c r="T4757" s="331">
        <v>0</v>
      </c>
      <c r="U4757" s="328">
        <f>VLOOKUP(C4757,METADATA!$J$5:$Q$29,IF(E4757="HI",2,IF(E4757="LO",6,10))+IF(T4757=1,2,IF(D4757=7,1,(IF(WEEKDAY(B4757)=1,2,IF(WEEKDAY(B4757)=7,1,0))))))</f>
        <v>3</v>
      </c>
      <c r="V4757" s="328">
        <f>VLOOKUP(C4757,METADATA!$A$5:$H$29,IF(E4757="HI",2,IF(E4757="LO",6,10))+IF(T4757=1,2,IF(D4757=7,1,(IF(WEEKDAY(B4757)=1,2,IF(WEEKDAY(B4757)=7,1,0))))))</f>
        <v>3</v>
      </c>
    </row>
    <row r="4758" spans="2:22">
      <c r="B4758" s="318">
        <f t="shared" si="295"/>
        <v>46311</v>
      </c>
      <c r="C4758" s="312">
        <v>2</v>
      </c>
      <c r="D4758" s="368">
        <f>IFERROR((INDEX(METADATA!$T$2:$T$20,MATCH(B4758,METADATA!$S$2:$S$20,0))),0)</f>
        <v>0</v>
      </c>
      <c r="E4758" s="312" t="str">
        <f t="shared" si="296"/>
        <v>LO</v>
      </c>
      <c r="F4758" s="369">
        <f>VLOOKUP(C4758,METADATA!$A$5:$H$29,IF(E4758="HI",2,IF(E4758="LO",6,10))+IF(D4758=1,2,IF(D4758=7,1,(IF(WEEKDAY(B4758)=1,2,IF(WEEKDAY(B4758)=7,1,0))))))</f>
        <v>3</v>
      </c>
      <c r="G4758" s="369">
        <f>VLOOKUP(C4758,METADATA!$J$5:$Q$29,IF(E4758="HI",2,IF(E4758="LO",6,10))+IF(D4758=1,2,IF(D4758=7,1,(IF(WEEKDAY(B4758)=1,2,IF(WEEKDAY(B4758)=7,1,0))))))</f>
        <v>3</v>
      </c>
      <c r="H4758" s="370">
        <v>12640.424987792969</v>
      </c>
      <c r="I4758" s="370">
        <v>10774.924682617188</v>
      </c>
      <c r="M4758" s="371">
        <f t="shared" si="297"/>
        <v>16609.616063837657</v>
      </c>
      <c r="N4758" s="329">
        <f t="shared" si="298"/>
        <v>6982.7971862792965</v>
      </c>
      <c r="T4758" s="331">
        <v>0</v>
      </c>
      <c r="U4758" s="328">
        <f>VLOOKUP(C4758,METADATA!$J$5:$Q$29,IF(E4758="HI",2,IF(E4758="LO",6,10))+IF(T4758=1,2,IF(D4758=7,1,(IF(WEEKDAY(B4758)=1,2,IF(WEEKDAY(B4758)=7,1,0))))))</f>
        <v>3</v>
      </c>
      <c r="V4758" s="328">
        <f>VLOOKUP(C4758,METADATA!$A$5:$H$29,IF(E4758="HI",2,IF(E4758="LO",6,10))+IF(T4758=1,2,IF(D4758=7,1,(IF(WEEKDAY(B4758)=1,2,IF(WEEKDAY(B4758)=7,1,0))))))</f>
        <v>3</v>
      </c>
    </row>
    <row r="4759" spans="2:22">
      <c r="B4759" s="318">
        <f t="shared" si="295"/>
        <v>46311</v>
      </c>
      <c r="C4759" s="312">
        <v>3</v>
      </c>
      <c r="D4759" s="368">
        <f>IFERROR((INDEX(METADATA!$T$2:$T$20,MATCH(B4759,METADATA!$S$2:$S$20,0))),0)</f>
        <v>0</v>
      </c>
      <c r="E4759" s="312" t="str">
        <f t="shared" si="296"/>
        <v>LO</v>
      </c>
      <c r="F4759" s="369">
        <f>VLOOKUP(C4759,METADATA!$A$5:$H$29,IF(E4759="HI",2,IF(E4759="LO",6,10))+IF(D4759=1,2,IF(D4759=7,1,(IF(WEEKDAY(B4759)=1,2,IF(WEEKDAY(B4759)=7,1,0))))))</f>
        <v>3</v>
      </c>
      <c r="G4759" s="369">
        <f>VLOOKUP(C4759,METADATA!$J$5:$Q$29,IF(E4759="HI",2,IF(E4759="LO",6,10))+IF(D4759=1,2,IF(D4759=7,1,(IF(WEEKDAY(B4759)=1,2,IF(WEEKDAY(B4759)=7,1,0))))))</f>
        <v>3</v>
      </c>
      <c r="H4759" s="370">
        <v>12604.199829101563</v>
      </c>
      <c r="I4759" s="370">
        <v>10767.700073242188</v>
      </c>
      <c r="M4759" s="371">
        <f t="shared" si="297"/>
        <v>16577.370666038194</v>
      </c>
      <c r="N4759" s="329">
        <f t="shared" si="298"/>
        <v>6986.4401245117188</v>
      </c>
      <c r="T4759" s="331">
        <v>0</v>
      </c>
      <c r="U4759" s="328">
        <f>VLOOKUP(C4759,METADATA!$J$5:$Q$29,IF(E4759="HI",2,IF(E4759="LO",6,10))+IF(T4759=1,2,IF(D4759=7,1,(IF(WEEKDAY(B4759)=1,2,IF(WEEKDAY(B4759)=7,1,0))))))</f>
        <v>3</v>
      </c>
      <c r="V4759" s="328">
        <f>VLOOKUP(C4759,METADATA!$A$5:$H$29,IF(E4759="HI",2,IF(E4759="LO",6,10))+IF(T4759=1,2,IF(D4759=7,1,(IF(WEEKDAY(B4759)=1,2,IF(WEEKDAY(B4759)=7,1,0))))))</f>
        <v>3</v>
      </c>
    </row>
    <row r="4760" spans="2:22">
      <c r="B4760" s="318">
        <f t="shared" si="295"/>
        <v>46311</v>
      </c>
      <c r="C4760" s="312">
        <v>4</v>
      </c>
      <c r="D4760" s="368">
        <f>IFERROR((INDEX(METADATA!$T$2:$T$20,MATCH(B4760,METADATA!$S$2:$S$20,0))),0)</f>
        <v>0</v>
      </c>
      <c r="E4760" s="312" t="str">
        <f t="shared" si="296"/>
        <v>LO</v>
      </c>
      <c r="F4760" s="369">
        <f>VLOOKUP(C4760,METADATA!$A$5:$H$29,IF(E4760="HI",2,IF(E4760="LO",6,10))+IF(D4760=1,2,IF(D4760=7,1,(IF(WEEKDAY(B4760)=1,2,IF(WEEKDAY(B4760)=7,1,0))))))</f>
        <v>3</v>
      </c>
      <c r="G4760" s="369">
        <f>VLOOKUP(C4760,METADATA!$J$5:$Q$29,IF(E4760="HI",2,IF(E4760="LO",6,10))+IF(D4760=1,2,IF(D4760=7,1,(IF(WEEKDAY(B4760)=1,2,IF(WEEKDAY(B4760)=7,1,0))))))</f>
        <v>3</v>
      </c>
      <c r="H4760" s="370">
        <v>12567.7998046875</v>
      </c>
      <c r="I4760" s="370">
        <v>10775.324829101563</v>
      </c>
      <c r="M4760" s="371">
        <f t="shared" si="297"/>
        <v>16554.673572842075</v>
      </c>
      <c r="N4760" s="329">
        <f t="shared" si="298"/>
        <v>7004.9848876953129</v>
      </c>
      <c r="T4760" s="331">
        <v>0</v>
      </c>
      <c r="U4760" s="328">
        <f>VLOOKUP(C4760,METADATA!$J$5:$Q$29,IF(E4760="HI",2,IF(E4760="LO",6,10))+IF(T4760=1,2,IF(D4760=7,1,(IF(WEEKDAY(B4760)=1,2,IF(WEEKDAY(B4760)=7,1,0))))))</f>
        <v>3</v>
      </c>
      <c r="V4760" s="328">
        <f>VLOOKUP(C4760,METADATA!$A$5:$H$29,IF(E4760="HI",2,IF(E4760="LO",6,10))+IF(T4760=1,2,IF(D4760=7,1,(IF(WEEKDAY(B4760)=1,2,IF(WEEKDAY(B4760)=7,1,0))))))</f>
        <v>3</v>
      </c>
    </row>
    <row r="4761" spans="2:22">
      <c r="B4761" s="318">
        <f t="shared" si="295"/>
        <v>46311</v>
      </c>
      <c r="C4761" s="312">
        <v>5</v>
      </c>
      <c r="D4761" s="368">
        <f>IFERROR((INDEX(METADATA!$T$2:$T$20,MATCH(B4761,METADATA!$S$2:$S$20,0))),0)</f>
        <v>0</v>
      </c>
      <c r="E4761" s="312" t="str">
        <f t="shared" si="296"/>
        <v>LO</v>
      </c>
      <c r="F4761" s="369">
        <f>VLOOKUP(C4761,METADATA!$A$5:$H$29,IF(E4761="HI",2,IF(E4761="LO",6,10))+IF(D4761=1,2,IF(D4761=7,1,(IF(WEEKDAY(B4761)=1,2,IF(WEEKDAY(B4761)=7,1,0))))))</f>
        <v>3</v>
      </c>
      <c r="G4761" s="369">
        <f>VLOOKUP(C4761,METADATA!$J$5:$Q$29,IF(E4761="HI",2,IF(E4761="LO",6,10))+IF(D4761=1,2,IF(D4761=7,1,(IF(WEEKDAY(B4761)=1,2,IF(WEEKDAY(B4761)=7,1,0))))))</f>
        <v>3</v>
      </c>
      <c r="H4761" s="370">
        <v>11085.692626953125</v>
      </c>
      <c r="I4761" s="370">
        <v>9834.9125366210938</v>
      </c>
      <c r="M4761" s="371">
        <f t="shared" si="297"/>
        <v>14819.517050911936</v>
      </c>
      <c r="N4761" s="329">
        <f t="shared" si="298"/>
        <v>6509.2047485351559</v>
      </c>
      <c r="T4761" s="331">
        <v>0</v>
      </c>
      <c r="U4761" s="328">
        <f>VLOOKUP(C4761,METADATA!$J$5:$Q$29,IF(E4761="HI",2,IF(E4761="LO",6,10))+IF(T4761=1,2,IF(D4761=7,1,(IF(WEEKDAY(B4761)=1,2,IF(WEEKDAY(B4761)=7,1,0))))))</f>
        <v>3</v>
      </c>
      <c r="V4761" s="328">
        <f>VLOOKUP(C4761,METADATA!$A$5:$H$29,IF(E4761="HI",2,IF(E4761="LO",6,10))+IF(T4761=1,2,IF(D4761=7,1,(IF(WEEKDAY(B4761)=1,2,IF(WEEKDAY(B4761)=7,1,0))))))</f>
        <v>3</v>
      </c>
    </row>
    <row r="4762" spans="2:22">
      <c r="B4762" s="318">
        <f t="shared" si="295"/>
        <v>46311</v>
      </c>
      <c r="C4762" s="312">
        <v>6</v>
      </c>
      <c r="D4762" s="368">
        <f>IFERROR((INDEX(METADATA!$T$2:$T$20,MATCH(B4762,METADATA!$S$2:$S$20,0))),0)</f>
        <v>0</v>
      </c>
      <c r="E4762" s="312" t="str">
        <f t="shared" si="296"/>
        <v>LO</v>
      </c>
      <c r="F4762" s="369">
        <f>VLOOKUP(C4762,METADATA!$A$5:$H$29,IF(E4762="HI",2,IF(E4762="LO",6,10))+IF(D4762=1,2,IF(D4762=7,1,(IF(WEEKDAY(B4762)=1,2,IF(WEEKDAY(B4762)=7,1,0))))))</f>
        <v>2</v>
      </c>
      <c r="G4762" s="369">
        <f>VLOOKUP(C4762,METADATA!$J$5:$Q$29,IF(E4762="HI",2,IF(E4762="LO",6,10))+IF(D4762=1,2,IF(D4762=7,1,(IF(WEEKDAY(B4762)=1,2,IF(WEEKDAY(B4762)=7,1,0))))))</f>
        <v>2</v>
      </c>
      <c r="H4762" s="370">
        <v>10934.957489013672</v>
      </c>
      <c r="I4762" s="370">
        <v>9597.2124633789063</v>
      </c>
      <c r="M4762" s="371">
        <f t="shared" si="297"/>
        <v>14549.219303927328</v>
      </c>
      <c r="N4762" s="329">
        <f t="shared" si="298"/>
        <v>6316.7252166748049</v>
      </c>
      <c r="T4762" s="331">
        <v>0</v>
      </c>
      <c r="U4762" s="328">
        <f>VLOOKUP(C4762,METADATA!$J$5:$Q$29,IF(E4762="HI",2,IF(E4762="LO",6,10))+IF(T4762=1,2,IF(D4762=7,1,(IF(WEEKDAY(B4762)=1,2,IF(WEEKDAY(B4762)=7,1,0))))))</f>
        <v>2</v>
      </c>
      <c r="V4762" s="328">
        <f>VLOOKUP(C4762,METADATA!$A$5:$H$29,IF(E4762="HI",2,IF(E4762="LO",6,10))+IF(T4762=1,2,IF(D4762=7,1,(IF(WEEKDAY(B4762)=1,2,IF(WEEKDAY(B4762)=7,1,0))))))</f>
        <v>2</v>
      </c>
    </row>
    <row r="4763" spans="2:22">
      <c r="B4763" s="318">
        <f t="shared" si="295"/>
        <v>46311</v>
      </c>
      <c r="C4763" s="312">
        <v>7</v>
      </c>
      <c r="D4763" s="368">
        <f>IFERROR((INDEX(METADATA!$T$2:$T$20,MATCH(B4763,METADATA!$S$2:$S$20,0))),0)</f>
        <v>0</v>
      </c>
      <c r="E4763" s="312" t="str">
        <f t="shared" si="296"/>
        <v>LO</v>
      </c>
      <c r="F4763" s="369">
        <f>VLOOKUP(C4763,METADATA!$A$5:$H$29,IF(E4763="HI",2,IF(E4763="LO",6,10))+IF(D4763=1,2,IF(D4763=7,1,(IF(WEEKDAY(B4763)=1,2,IF(WEEKDAY(B4763)=7,1,0))))))</f>
        <v>1</v>
      </c>
      <c r="G4763" s="369">
        <f>VLOOKUP(C4763,METADATA!$J$5:$Q$29,IF(E4763="HI",2,IF(E4763="LO",6,10))+IF(D4763=1,2,IF(D4763=7,1,(IF(WEEKDAY(B4763)=1,2,IF(WEEKDAY(B4763)=7,1,0))))))</f>
        <v>1</v>
      </c>
      <c r="H4763" s="370">
        <v>8144.9674377441406</v>
      </c>
      <c r="I4763" s="370">
        <v>8173.5048828125</v>
      </c>
      <c r="M4763" s="371">
        <f t="shared" si="297"/>
        <v>11538.920080807915</v>
      </c>
      <c r="N4763" s="329">
        <f t="shared" si="298"/>
        <v>5730.0146514892585</v>
      </c>
      <c r="T4763" s="331">
        <v>0</v>
      </c>
      <c r="U4763" s="328">
        <f>VLOOKUP(C4763,METADATA!$J$5:$Q$29,IF(E4763="HI",2,IF(E4763="LO",6,10))+IF(T4763=1,2,IF(D4763=7,1,(IF(WEEKDAY(B4763)=1,2,IF(WEEKDAY(B4763)=7,1,0))))))</f>
        <v>1</v>
      </c>
      <c r="V4763" s="328">
        <f>VLOOKUP(C4763,METADATA!$A$5:$H$29,IF(E4763="HI",2,IF(E4763="LO",6,10))+IF(T4763=1,2,IF(D4763=7,1,(IF(WEEKDAY(B4763)=1,2,IF(WEEKDAY(B4763)=7,1,0))))))</f>
        <v>1</v>
      </c>
    </row>
    <row r="4764" spans="2:22">
      <c r="B4764" s="318">
        <f t="shared" ref="B4764:B4827" si="299">B4740+1</f>
        <v>46311</v>
      </c>
      <c r="C4764" s="312">
        <v>8</v>
      </c>
      <c r="D4764" s="368">
        <f>IFERROR((INDEX(METADATA!$T$2:$T$20,MATCH(B4764,METADATA!$S$2:$S$20,0))),0)</f>
        <v>0</v>
      </c>
      <c r="E4764" s="312" t="str">
        <f t="shared" si="296"/>
        <v>LO</v>
      </c>
      <c r="F4764" s="369">
        <f>VLOOKUP(C4764,METADATA!$A$5:$H$29,IF(E4764="HI",2,IF(E4764="LO",6,10))+IF(D4764=1,2,IF(D4764=7,1,(IF(WEEKDAY(B4764)=1,2,IF(WEEKDAY(B4764)=7,1,0))))))</f>
        <v>1</v>
      </c>
      <c r="G4764" s="369">
        <f>VLOOKUP(C4764,METADATA!$J$5:$Q$29,IF(E4764="HI",2,IF(E4764="LO",6,10))+IF(D4764=1,2,IF(D4764=7,1,(IF(WEEKDAY(B4764)=1,2,IF(WEEKDAY(B4764)=7,1,0))))))</f>
        <v>1</v>
      </c>
      <c r="H4764" s="370">
        <v>5615.8049621582031</v>
      </c>
      <c r="I4764" s="370">
        <v>6696.0950012207031</v>
      </c>
      <c r="M4764" s="371">
        <f t="shared" si="297"/>
        <v>8739.2764939881363</v>
      </c>
      <c r="N4764" s="329">
        <f t="shared" si="298"/>
        <v>5011.3535125732424</v>
      </c>
      <c r="T4764" s="331">
        <v>0</v>
      </c>
      <c r="U4764" s="328">
        <f>VLOOKUP(C4764,METADATA!$J$5:$Q$29,IF(E4764="HI",2,IF(E4764="LO",6,10))+IF(T4764=1,2,IF(D4764=7,1,(IF(WEEKDAY(B4764)=1,2,IF(WEEKDAY(B4764)=7,1,0))))))</f>
        <v>1</v>
      </c>
      <c r="V4764" s="328">
        <f>VLOOKUP(C4764,METADATA!$A$5:$H$29,IF(E4764="HI",2,IF(E4764="LO",6,10))+IF(T4764=1,2,IF(D4764=7,1,(IF(WEEKDAY(B4764)=1,2,IF(WEEKDAY(B4764)=7,1,0))))))</f>
        <v>1</v>
      </c>
    </row>
    <row r="4765" spans="2:22">
      <c r="B4765" s="318">
        <f t="shared" si="299"/>
        <v>46311</v>
      </c>
      <c r="C4765" s="312">
        <v>9</v>
      </c>
      <c r="D4765" s="368">
        <f>IFERROR((INDEX(METADATA!$T$2:$T$20,MATCH(B4765,METADATA!$S$2:$S$20,0))),0)</f>
        <v>0</v>
      </c>
      <c r="E4765" s="312" t="str">
        <f t="shared" si="296"/>
        <v>LO</v>
      </c>
      <c r="F4765" s="369">
        <f>VLOOKUP(C4765,METADATA!$A$5:$H$29,IF(E4765="HI",2,IF(E4765="LO",6,10))+IF(D4765=1,2,IF(D4765=7,1,(IF(WEEKDAY(B4765)=1,2,IF(WEEKDAY(B4765)=7,1,0))))))</f>
        <v>2</v>
      </c>
      <c r="G4765" s="369">
        <f>VLOOKUP(C4765,METADATA!$J$5:$Q$29,IF(E4765="HI",2,IF(E4765="LO",6,10))+IF(D4765=1,2,IF(D4765=7,1,(IF(WEEKDAY(B4765)=1,2,IF(WEEKDAY(B4765)=7,1,0))))))</f>
        <v>2</v>
      </c>
      <c r="H4765" s="370">
        <v>5652.7574768066406</v>
      </c>
      <c r="I4765" s="370">
        <v>6643.8974914550781</v>
      </c>
      <c r="M4765" s="371">
        <f t="shared" si="297"/>
        <v>8723.2471573695802</v>
      </c>
      <c r="N4765" s="329">
        <f t="shared" si="298"/>
        <v>4948.0702484130861</v>
      </c>
      <c r="T4765" s="331">
        <v>0</v>
      </c>
      <c r="U4765" s="328">
        <f>VLOOKUP(C4765,METADATA!$J$5:$Q$29,IF(E4765="HI",2,IF(E4765="LO",6,10))+IF(T4765=1,2,IF(D4765=7,1,(IF(WEEKDAY(B4765)=1,2,IF(WEEKDAY(B4765)=7,1,0))))))</f>
        <v>2</v>
      </c>
      <c r="V4765" s="328">
        <f>VLOOKUP(C4765,METADATA!$A$5:$H$29,IF(E4765="HI",2,IF(E4765="LO",6,10))+IF(T4765=1,2,IF(D4765=7,1,(IF(WEEKDAY(B4765)=1,2,IF(WEEKDAY(B4765)=7,1,0))))))</f>
        <v>2</v>
      </c>
    </row>
    <row r="4766" spans="2:22">
      <c r="B4766" s="318">
        <f t="shared" si="299"/>
        <v>46311</v>
      </c>
      <c r="C4766" s="312">
        <v>10</v>
      </c>
      <c r="D4766" s="368">
        <f>IFERROR((INDEX(METADATA!$T$2:$T$20,MATCH(B4766,METADATA!$S$2:$S$20,0))),0)</f>
        <v>0</v>
      </c>
      <c r="E4766" s="312" t="str">
        <f t="shared" si="296"/>
        <v>LO</v>
      </c>
      <c r="F4766" s="369">
        <f>VLOOKUP(C4766,METADATA!$A$5:$H$29,IF(E4766="HI",2,IF(E4766="LO",6,10))+IF(D4766=1,2,IF(D4766=7,1,(IF(WEEKDAY(B4766)=1,2,IF(WEEKDAY(B4766)=7,1,0))))))</f>
        <v>2</v>
      </c>
      <c r="G4766" s="369">
        <f>VLOOKUP(C4766,METADATA!$J$5:$Q$29,IF(E4766="HI",2,IF(E4766="LO",6,10))+IF(D4766=1,2,IF(D4766=7,1,(IF(WEEKDAY(B4766)=1,2,IF(WEEKDAY(B4766)=7,1,0))))))</f>
        <v>2</v>
      </c>
      <c r="H4766" s="370">
        <v>5615.9550170898438</v>
      </c>
      <c r="I4766" s="370">
        <v>6675.2474975585938</v>
      </c>
      <c r="M4766" s="371">
        <f t="shared" si="297"/>
        <v>8723.4098784614525</v>
      </c>
      <c r="N4766" s="329">
        <f t="shared" si="298"/>
        <v>4990.460992431641</v>
      </c>
      <c r="T4766" s="331">
        <v>0</v>
      </c>
      <c r="U4766" s="328">
        <f>VLOOKUP(C4766,METADATA!$J$5:$Q$29,IF(E4766="HI",2,IF(E4766="LO",6,10))+IF(T4766=1,2,IF(D4766=7,1,(IF(WEEKDAY(B4766)=1,2,IF(WEEKDAY(B4766)=7,1,0))))))</f>
        <v>2</v>
      </c>
      <c r="V4766" s="328">
        <f>VLOOKUP(C4766,METADATA!$A$5:$H$29,IF(E4766="HI",2,IF(E4766="LO",6,10))+IF(T4766=1,2,IF(D4766=7,1,(IF(WEEKDAY(B4766)=1,2,IF(WEEKDAY(B4766)=7,1,0))))))</f>
        <v>2</v>
      </c>
    </row>
    <row r="4767" spans="2:22">
      <c r="B4767" s="318">
        <f t="shared" si="299"/>
        <v>46311</v>
      </c>
      <c r="C4767" s="312">
        <v>11</v>
      </c>
      <c r="D4767" s="368">
        <f>IFERROR((INDEX(METADATA!$T$2:$T$20,MATCH(B4767,METADATA!$S$2:$S$20,0))),0)</f>
        <v>0</v>
      </c>
      <c r="E4767" s="312" t="str">
        <f t="shared" si="296"/>
        <v>LO</v>
      </c>
      <c r="F4767" s="369">
        <f>VLOOKUP(C4767,METADATA!$A$5:$H$29,IF(E4767="HI",2,IF(E4767="LO",6,10))+IF(D4767=1,2,IF(D4767=7,1,(IF(WEEKDAY(B4767)=1,2,IF(WEEKDAY(B4767)=7,1,0))))))</f>
        <v>2</v>
      </c>
      <c r="G4767" s="369">
        <f>VLOOKUP(C4767,METADATA!$J$5:$Q$29,IF(E4767="HI",2,IF(E4767="LO",6,10))+IF(D4767=1,2,IF(D4767=7,1,(IF(WEEKDAY(B4767)=1,2,IF(WEEKDAY(B4767)=7,1,0))))))</f>
        <v>2</v>
      </c>
      <c r="H4767" s="370">
        <v>6966.822509765625</v>
      </c>
      <c r="I4767" s="370">
        <v>7458.2725524902344</v>
      </c>
      <c r="M4767" s="371">
        <f t="shared" si="297"/>
        <v>10206.000458054379</v>
      </c>
      <c r="N4767" s="329">
        <f t="shared" si="298"/>
        <v>5368.2257995605469</v>
      </c>
      <c r="T4767" s="331">
        <v>0</v>
      </c>
      <c r="U4767" s="328">
        <f>VLOOKUP(C4767,METADATA!$J$5:$Q$29,IF(E4767="HI",2,IF(E4767="LO",6,10))+IF(T4767=1,2,IF(D4767=7,1,(IF(WEEKDAY(B4767)=1,2,IF(WEEKDAY(B4767)=7,1,0))))))</f>
        <v>2</v>
      </c>
      <c r="V4767" s="328">
        <f>VLOOKUP(C4767,METADATA!$A$5:$H$29,IF(E4767="HI",2,IF(E4767="LO",6,10))+IF(T4767=1,2,IF(D4767=7,1,(IF(WEEKDAY(B4767)=1,2,IF(WEEKDAY(B4767)=7,1,0))))))</f>
        <v>2</v>
      </c>
    </row>
    <row r="4768" spans="2:22">
      <c r="B4768" s="318">
        <f t="shared" si="299"/>
        <v>46311</v>
      </c>
      <c r="C4768" s="312">
        <v>12</v>
      </c>
      <c r="D4768" s="368">
        <f>IFERROR((INDEX(METADATA!$T$2:$T$20,MATCH(B4768,METADATA!$S$2:$S$20,0))),0)</f>
        <v>0</v>
      </c>
      <c r="E4768" s="312" t="str">
        <f t="shared" si="296"/>
        <v>LO</v>
      </c>
      <c r="F4768" s="369">
        <f>VLOOKUP(C4768,METADATA!$A$5:$H$29,IF(E4768="HI",2,IF(E4768="LO",6,10))+IF(D4768=1,2,IF(D4768=7,1,(IF(WEEKDAY(B4768)=1,2,IF(WEEKDAY(B4768)=7,1,0))))))</f>
        <v>2</v>
      </c>
      <c r="G4768" s="369">
        <f>VLOOKUP(C4768,METADATA!$J$5:$Q$29,IF(E4768="HI",2,IF(E4768="LO",6,10))+IF(D4768=1,2,IF(D4768=7,1,(IF(WEEKDAY(B4768)=1,2,IF(WEEKDAY(B4768)=7,1,0))))))</f>
        <v>2</v>
      </c>
      <c r="H4768" s="370">
        <v>12171.400146484375</v>
      </c>
      <c r="I4768" s="370">
        <v>10221.150146484375</v>
      </c>
      <c r="M4768" s="371">
        <f t="shared" si="297"/>
        <v>15893.863339126125</v>
      </c>
      <c r="N4768" s="329">
        <f t="shared" si="298"/>
        <v>6569.7301025390625</v>
      </c>
      <c r="T4768" s="331">
        <v>0</v>
      </c>
      <c r="U4768" s="328">
        <f>VLOOKUP(C4768,METADATA!$J$5:$Q$29,IF(E4768="HI",2,IF(E4768="LO",6,10))+IF(T4768=1,2,IF(D4768=7,1,(IF(WEEKDAY(B4768)=1,2,IF(WEEKDAY(B4768)=7,1,0))))))</f>
        <v>2</v>
      </c>
      <c r="V4768" s="328">
        <f>VLOOKUP(C4768,METADATA!$A$5:$H$29,IF(E4768="HI",2,IF(E4768="LO",6,10))+IF(T4768=1,2,IF(D4768=7,1,(IF(WEEKDAY(B4768)=1,2,IF(WEEKDAY(B4768)=7,1,0))))))</f>
        <v>2</v>
      </c>
    </row>
    <row r="4769" spans="2:22">
      <c r="B4769" s="318">
        <f t="shared" si="299"/>
        <v>46311</v>
      </c>
      <c r="C4769" s="312">
        <v>13</v>
      </c>
      <c r="D4769" s="368">
        <f>IFERROR((INDEX(METADATA!$T$2:$T$20,MATCH(B4769,METADATA!$S$2:$S$20,0))),0)</f>
        <v>0</v>
      </c>
      <c r="E4769" s="312" t="str">
        <f t="shared" si="296"/>
        <v>LO</v>
      </c>
      <c r="F4769" s="369">
        <f>VLOOKUP(C4769,METADATA!$A$5:$H$29,IF(E4769="HI",2,IF(E4769="LO",6,10))+IF(D4769=1,2,IF(D4769=7,1,(IF(WEEKDAY(B4769)=1,2,IF(WEEKDAY(B4769)=7,1,0))))))</f>
        <v>2</v>
      </c>
      <c r="G4769" s="369">
        <f>VLOOKUP(C4769,METADATA!$J$5:$Q$29,IF(E4769="HI",2,IF(E4769="LO",6,10))+IF(D4769=1,2,IF(D4769=7,1,(IF(WEEKDAY(B4769)=1,2,IF(WEEKDAY(B4769)=7,1,0))))))</f>
        <v>2</v>
      </c>
      <c r="H4769" s="370">
        <v>12943.224792480469</v>
      </c>
      <c r="I4769" s="370">
        <v>10653.10009765625</v>
      </c>
      <c r="M4769" s="371">
        <f t="shared" si="297"/>
        <v>16763.520206667949</v>
      </c>
      <c r="N4769" s="329">
        <f t="shared" si="298"/>
        <v>6770.1326599121094</v>
      </c>
      <c r="T4769" s="331">
        <v>0</v>
      </c>
      <c r="U4769" s="328">
        <f>VLOOKUP(C4769,METADATA!$J$5:$Q$29,IF(E4769="HI",2,IF(E4769="LO",6,10))+IF(T4769=1,2,IF(D4769=7,1,(IF(WEEKDAY(B4769)=1,2,IF(WEEKDAY(B4769)=7,1,0))))))</f>
        <v>2</v>
      </c>
      <c r="V4769" s="328">
        <f>VLOOKUP(C4769,METADATA!$A$5:$H$29,IF(E4769="HI",2,IF(E4769="LO",6,10))+IF(T4769=1,2,IF(D4769=7,1,(IF(WEEKDAY(B4769)=1,2,IF(WEEKDAY(B4769)=7,1,0))))))</f>
        <v>2</v>
      </c>
    </row>
    <row r="4770" spans="2:22">
      <c r="B4770" s="318">
        <f t="shared" si="299"/>
        <v>46311</v>
      </c>
      <c r="C4770" s="312">
        <v>14</v>
      </c>
      <c r="D4770" s="368">
        <f>IFERROR((INDEX(METADATA!$T$2:$T$20,MATCH(B4770,METADATA!$S$2:$S$20,0))),0)</f>
        <v>0</v>
      </c>
      <c r="E4770" s="312" t="str">
        <f t="shared" si="296"/>
        <v>LO</v>
      </c>
      <c r="F4770" s="369">
        <f>VLOOKUP(C4770,METADATA!$A$5:$H$29,IF(E4770="HI",2,IF(E4770="LO",6,10))+IF(D4770=1,2,IF(D4770=7,1,(IF(WEEKDAY(B4770)=1,2,IF(WEEKDAY(B4770)=7,1,0))))))</f>
        <v>2</v>
      </c>
      <c r="G4770" s="369">
        <f>VLOOKUP(C4770,METADATA!$J$5:$Q$29,IF(E4770="HI",2,IF(E4770="LO",6,10))+IF(D4770=1,2,IF(D4770=7,1,(IF(WEEKDAY(B4770)=1,2,IF(WEEKDAY(B4770)=7,1,0))))))</f>
        <v>2</v>
      </c>
      <c r="H4770" s="370">
        <v>12726.900024414063</v>
      </c>
      <c r="I4770" s="370">
        <v>10536.025146484375</v>
      </c>
      <c r="M4770" s="371">
        <f t="shared" si="297"/>
        <v>16522.161181842457</v>
      </c>
      <c r="N4770" s="329">
        <f t="shared" si="298"/>
        <v>6717.9551391601563</v>
      </c>
      <c r="T4770" s="331">
        <v>0</v>
      </c>
      <c r="U4770" s="328">
        <f>VLOOKUP(C4770,METADATA!$J$5:$Q$29,IF(E4770="HI",2,IF(E4770="LO",6,10))+IF(T4770=1,2,IF(D4770=7,1,(IF(WEEKDAY(B4770)=1,2,IF(WEEKDAY(B4770)=7,1,0))))))</f>
        <v>2</v>
      </c>
      <c r="V4770" s="328">
        <f>VLOOKUP(C4770,METADATA!$A$5:$H$29,IF(E4770="HI",2,IF(E4770="LO",6,10))+IF(T4770=1,2,IF(D4770=7,1,(IF(WEEKDAY(B4770)=1,2,IF(WEEKDAY(B4770)=7,1,0))))))</f>
        <v>2</v>
      </c>
    </row>
    <row r="4771" spans="2:22">
      <c r="B4771" s="318">
        <f t="shared" si="299"/>
        <v>46311</v>
      </c>
      <c r="C4771" s="312">
        <v>15</v>
      </c>
      <c r="D4771" s="368">
        <f>IFERROR((INDEX(METADATA!$T$2:$T$20,MATCH(B4771,METADATA!$S$2:$S$20,0))),0)</f>
        <v>0</v>
      </c>
      <c r="E4771" s="312" t="str">
        <f t="shared" si="296"/>
        <v>LO</v>
      </c>
      <c r="F4771" s="369">
        <f>VLOOKUP(C4771,METADATA!$A$5:$H$29,IF(E4771="HI",2,IF(E4771="LO",6,10))+IF(D4771=1,2,IF(D4771=7,1,(IF(WEEKDAY(B4771)=1,2,IF(WEEKDAY(B4771)=7,1,0))))))</f>
        <v>2</v>
      </c>
      <c r="G4771" s="369">
        <f>VLOOKUP(C4771,METADATA!$J$5:$Q$29,IF(E4771="HI",2,IF(E4771="LO",6,10))+IF(D4771=1,2,IF(D4771=7,1,(IF(WEEKDAY(B4771)=1,2,IF(WEEKDAY(B4771)=7,1,0))))))</f>
        <v>2</v>
      </c>
      <c r="H4771" s="370">
        <v>12943.600036621094</v>
      </c>
      <c r="I4771" s="370">
        <v>10673.950012207031</v>
      </c>
      <c r="M4771" s="371">
        <f t="shared" si="297"/>
        <v>16777.067406764272</v>
      </c>
      <c r="N4771" s="329">
        <f t="shared" si="298"/>
        <v>6790.8700012207028</v>
      </c>
      <c r="T4771" s="331">
        <v>0</v>
      </c>
      <c r="U4771" s="328">
        <f>VLOOKUP(C4771,METADATA!$J$5:$Q$29,IF(E4771="HI",2,IF(E4771="LO",6,10))+IF(T4771=1,2,IF(D4771=7,1,(IF(WEEKDAY(B4771)=1,2,IF(WEEKDAY(B4771)=7,1,0))))))</f>
        <v>2</v>
      </c>
      <c r="V4771" s="328">
        <f>VLOOKUP(C4771,METADATA!$A$5:$H$29,IF(E4771="HI",2,IF(E4771="LO",6,10))+IF(T4771=1,2,IF(D4771=7,1,(IF(WEEKDAY(B4771)=1,2,IF(WEEKDAY(B4771)=7,1,0))))))</f>
        <v>2</v>
      </c>
    </row>
    <row r="4772" spans="2:22">
      <c r="B4772" s="318">
        <f t="shared" si="299"/>
        <v>46311</v>
      </c>
      <c r="C4772" s="312">
        <v>16</v>
      </c>
      <c r="D4772" s="368">
        <f>IFERROR((INDEX(METADATA!$T$2:$T$20,MATCH(B4772,METADATA!$S$2:$S$20,0))),0)</f>
        <v>0</v>
      </c>
      <c r="E4772" s="312" t="str">
        <f t="shared" si="296"/>
        <v>LO</v>
      </c>
      <c r="F4772" s="369">
        <f>VLOOKUP(C4772,METADATA!$A$5:$H$29,IF(E4772="HI",2,IF(E4772="LO",6,10))+IF(D4772=1,2,IF(D4772=7,1,(IF(WEEKDAY(B4772)=1,2,IF(WEEKDAY(B4772)=7,1,0))))))</f>
        <v>2</v>
      </c>
      <c r="G4772" s="369">
        <f>VLOOKUP(C4772,METADATA!$J$5:$Q$29,IF(E4772="HI",2,IF(E4772="LO",6,10))+IF(D4772=1,2,IF(D4772=7,1,(IF(WEEKDAY(B4772)=1,2,IF(WEEKDAY(B4772)=7,1,0))))))</f>
        <v>2</v>
      </c>
      <c r="H4772" s="370">
        <v>9395.3001098632813</v>
      </c>
      <c r="I4772" s="370">
        <v>9009.1248779296875</v>
      </c>
      <c r="M4772" s="371">
        <f t="shared" si="297"/>
        <v>13016.758245451461</v>
      </c>
      <c r="N4772" s="329">
        <f t="shared" si="298"/>
        <v>6190.5348449707035</v>
      </c>
      <c r="T4772" s="331">
        <v>0</v>
      </c>
      <c r="U4772" s="328">
        <f>VLOOKUP(C4772,METADATA!$J$5:$Q$29,IF(E4772="HI",2,IF(E4772="LO",6,10))+IF(T4772=1,2,IF(D4772=7,1,(IF(WEEKDAY(B4772)=1,2,IF(WEEKDAY(B4772)=7,1,0))))))</f>
        <v>2</v>
      </c>
      <c r="V4772" s="328">
        <f>VLOOKUP(C4772,METADATA!$A$5:$H$29,IF(E4772="HI",2,IF(E4772="LO",6,10))+IF(T4772=1,2,IF(D4772=7,1,(IF(WEEKDAY(B4772)=1,2,IF(WEEKDAY(B4772)=7,1,0))))))</f>
        <v>2</v>
      </c>
    </row>
    <row r="4773" spans="2:22">
      <c r="B4773" s="318">
        <f t="shared" si="299"/>
        <v>46311</v>
      </c>
      <c r="C4773" s="312">
        <v>17</v>
      </c>
      <c r="D4773" s="368">
        <f>IFERROR((INDEX(METADATA!$T$2:$T$20,MATCH(B4773,METADATA!$S$2:$S$20,0))),0)</f>
        <v>0</v>
      </c>
      <c r="E4773" s="312" t="str">
        <f t="shared" si="296"/>
        <v>LO</v>
      </c>
      <c r="F4773" s="369">
        <f>VLOOKUP(C4773,METADATA!$A$5:$H$29,IF(E4773="HI",2,IF(E4773="LO",6,10))+IF(D4773=1,2,IF(D4773=7,1,(IF(WEEKDAY(B4773)=1,2,IF(WEEKDAY(B4773)=7,1,0))))))</f>
        <v>2</v>
      </c>
      <c r="G4773" s="369">
        <f>VLOOKUP(C4773,METADATA!$J$5:$Q$29,IF(E4773="HI",2,IF(E4773="LO",6,10))+IF(D4773=1,2,IF(D4773=7,1,(IF(WEEKDAY(B4773)=1,2,IF(WEEKDAY(B4773)=7,1,0))))))</f>
        <v>2</v>
      </c>
      <c r="H4773" s="370">
        <v>6682.1226196289063</v>
      </c>
      <c r="I4773" s="370">
        <v>7347.6273803710938</v>
      </c>
      <c r="M4773" s="371">
        <f t="shared" si="297"/>
        <v>9931.6862024801831</v>
      </c>
      <c r="N4773" s="329">
        <f t="shared" si="298"/>
        <v>5342.9905944824222</v>
      </c>
      <c r="T4773" s="331">
        <v>0</v>
      </c>
      <c r="U4773" s="328">
        <f>VLOOKUP(C4773,METADATA!$J$5:$Q$29,IF(E4773="HI",2,IF(E4773="LO",6,10))+IF(T4773=1,2,IF(D4773=7,1,(IF(WEEKDAY(B4773)=1,2,IF(WEEKDAY(B4773)=7,1,0))))))</f>
        <v>2</v>
      </c>
      <c r="V4773" s="328">
        <f>VLOOKUP(C4773,METADATA!$A$5:$H$29,IF(E4773="HI",2,IF(E4773="LO",6,10))+IF(T4773=1,2,IF(D4773=7,1,(IF(WEEKDAY(B4773)=1,2,IF(WEEKDAY(B4773)=7,1,0))))))</f>
        <v>2</v>
      </c>
    </row>
    <row r="4774" spans="2:22">
      <c r="B4774" s="318">
        <f t="shared" si="299"/>
        <v>46311</v>
      </c>
      <c r="C4774" s="312">
        <v>18</v>
      </c>
      <c r="D4774" s="368">
        <f>IFERROR((INDEX(METADATA!$T$2:$T$20,MATCH(B4774,METADATA!$S$2:$S$20,0))),0)</f>
        <v>0</v>
      </c>
      <c r="E4774" s="312" t="str">
        <f t="shared" si="296"/>
        <v>LO</v>
      </c>
      <c r="F4774" s="369">
        <f>VLOOKUP(C4774,METADATA!$A$5:$H$29,IF(E4774="HI",2,IF(E4774="LO",6,10))+IF(D4774=1,2,IF(D4774=7,1,(IF(WEEKDAY(B4774)=1,2,IF(WEEKDAY(B4774)=7,1,0))))))</f>
        <v>1</v>
      </c>
      <c r="G4774" s="369">
        <f>VLOOKUP(C4774,METADATA!$J$5:$Q$29,IF(E4774="HI",2,IF(E4774="LO",6,10))+IF(D4774=1,2,IF(D4774=7,1,(IF(WEEKDAY(B4774)=1,2,IF(WEEKDAY(B4774)=7,1,0))))))</f>
        <v>1</v>
      </c>
      <c r="H4774" s="370">
        <v>5705.3099670410156</v>
      </c>
      <c r="I4774" s="370">
        <v>5996.8650512695313</v>
      </c>
      <c r="M4774" s="371">
        <f t="shared" si="297"/>
        <v>8277.2551164716115</v>
      </c>
      <c r="N4774" s="329">
        <f t="shared" si="298"/>
        <v>4285.2720611572267</v>
      </c>
      <c r="T4774" s="331">
        <v>0</v>
      </c>
      <c r="U4774" s="328">
        <f>VLOOKUP(C4774,METADATA!$J$5:$Q$29,IF(E4774="HI",2,IF(E4774="LO",6,10))+IF(T4774=1,2,IF(D4774=7,1,(IF(WEEKDAY(B4774)=1,2,IF(WEEKDAY(B4774)=7,1,0))))))</f>
        <v>1</v>
      </c>
      <c r="V4774" s="328">
        <f>VLOOKUP(C4774,METADATA!$A$5:$H$29,IF(E4774="HI",2,IF(E4774="LO",6,10))+IF(T4774=1,2,IF(D4774=7,1,(IF(WEEKDAY(B4774)=1,2,IF(WEEKDAY(B4774)=7,1,0))))))</f>
        <v>1</v>
      </c>
    </row>
    <row r="4775" spans="2:22">
      <c r="B4775" s="318">
        <f t="shared" si="299"/>
        <v>46311</v>
      </c>
      <c r="C4775" s="312">
        <v>19</v>
      </c>
      <c r="D4775" s="368">
        <f>IFERROR((INDEX(METADATA!$T$2:$T$20,MATCH(B4775,METADATA!$S$2:$S$20,0))),0)</f>
        <v>0</v>
      </c>
      <c r="E4775" s="312" t="str">
        <f t="shared" si="296"/>
        <v>LO</v>
      </c>
      <c r="F4775" s="369">
        <f>VLOOKUP(C4775,METADATA!$A$5:$H$29,IF(E4775="HI",2,IF(E4775="LO",6,10))+IF(D4775=1,2,IF(D4775=7,1,(IF(WEEKDAY(B4775)=1,2,IF(WEEKDAY(B4775)=7,1,0))))))</f>
        <v>1</v>
      </c>
      <c r="G4775" s="369">
        <f>VLOOKUP(C4775,METADATA!$J$5:$Q$29,IF(E4775="HI",2,IF(E4775="LO",6,10))+IF(D4775=1,2,IF(D4775=7,1,(IF(WEEKDAY(B4775)=1,2,IF(WEEKDAY(B4775)=7,1,0))))))</f>
        <v>1</v>
      </c>
      <c r="H4775" s="370">
        <v>5717.3199462890625</v>
      </c>
      <c r="I4775" s="370">
        <v>5964.4676208496094</v>
      </c>
      <c r="M4775" s="371">
        <f t="shared" si="297"/>
        <v>8262.1196655820804</v>
      </c>
      <c r="N4775" s="329">
        <f t="shared" si="298"/>
        <v>4249.2716369628906</v>
      </c>
      <c r="T4775" s="331">
        <v>0</v>
      </c>
      <c r="U4775" s="328">
        <f>VLOOKUP(C4775,METADATA!$J$5:$Q$29,IF(E4775="HI",2,IF(E4775="LO",6,10))+IF(T4775=1,2,IF(D4775=7,1,(IF(WEEKDAY(B4775)=1,2,IF(WEEKDAY(B4775)=7,1,0))))))</f>
        <v>1</v>
      </c>
      <c r="V4775" s="328">
        <f>VLOOKUP(C4775,METADATA!$A$5:$H$29,IF(E4775="HI",2,IF(E4775="LO",6,10))+IF(T4775=1,2,IF(D4775=7,1,(IF(WEEKDAY(B4775)=1,2,IF(WEEKDAY(B4775)=7,1,0))))))</f>
        <v>1</v>
      </c>
    </row>
    <row r="4776" spans="2:22">
      <c r="B4776" s="318">
        <f t="shared" si="299"/>
        <v>46311</v>
      </c>
      <c r="C4776" s="312">
        <v>20</v>
      </c>
      <c r="D4776" s="368">
        <f>IFERROR((INDEX(METADATA!$T$2:$T$20,MATCH(B4776,METADATA!$S$2:$S$20,0))),0)</f>
        <v>0</v>
      </c>
      <c r="E4776" s="312" t="str">
        <f t="shared" si="296"/>
        <v>LO</v>
      </c>
      <c r="F4776" s="369">
        <f>VLOOKUP(C4776,METADATA!$A$5:$H$29,IF(E4776="HI",2,IF(E4776="LO",6,10))+IF(D4776=1,2,IF(D4776=7,1,(IF(WEEKDAY(B4776)=1,2,IF(WEEKDAY(B4776)=7,1,0))))))</f>
        <v>1</v>
      </c>
      <c r="G4776" s="369">
        <f>VLOOKUP(C4776,METADATA!$J$5:$Q$29,IF(E4776="HI",2,IF(E4776="LO",6,10))+IF(D4776=1,2,IF(D4776=7,1,(IF(WEEKDAY(B4776)=1,2,IF(WEEKDAY(B4776)=7,1,0))))))</f>
        <v>1</v>
      </c>
      <c r="H4776" s="370">
        <v>7542.2824096679688</v>
      </c>
      <c r="I4776" s="370">
        <v>7294.114990234375</v>
      </c>
      <c r="M4776" s="371">
        <f t="shared" si="297"/>
        <v>10492.384735509306</v>
      </c>
      <c r="N4776" s="329">
        <f t="shared" si="298"/>
        <v>5031.4302673339844</v>
      </c>
      <c r="T4776" s="331">
        <v>0</v>
      </c>
      <c r="U4776" s="328">
        <f>VLOOKUP(C4776,METADATA!$J$5:$Q$29,IF(E4776="HI",2,IF(E4776="LO",6,10))+IF(T4776=1,2,IF(D4776=7,1,(IF(WEEKDAY(B4776)=1,2,IF(WEEKDAY(B4776)=7,1,0))))))</f>
        <v>1</v>
      </c>
      <c r="V4776" s="328">
        <f>VLOOKUP(C4776,METADATA!$A$5:$H$29,IF(E4776="HI",2,IF(E4776="LO",6,10))+IF(T4776=1,2,IF(D4776=7,1,(IF(WEEKDAY(B4776)=1,2,IF(WEEKDAY(B4776)=7,1,0))))))</f>
        <v>1</v>
      </c>
    </row>
    <row r="4777" spans="2:22">
      <c r="B4777" s="318">
        <f t="shared" si="299"/>
        <v>46311</v>
      </c>
      <c r="C4777" s="312">
        <v>21</v>
      </c>
      <c r="D4777" s="368">
        <f>IFERROR((INDEX(METADATA!$T$2:$T$20,MATCH(B4777,METADATA!$S$2:$S$20,0))),0)</f>
        <v>0</v>
      </c>
      <c r="E4777" s="312" t="str">
        <f t="shared" si="296"/>
        <v>LO</v>
      </c>
      <c r="F4777" s="369">
        <f>VLOOKUP(C4777,METADATA!$A$5:$H$29,IF(E4777="HI",2,IF(E4777="LO",6,10))+IF(D4777=1,2,IF(D4777=7,1,(IF(WEEKDAY(B4777)=1,2,IF(WEEKDAY(B4777)=7,1,0))))))</f>
        <v>2</v>
      </c>
      <c r="G4777" s="369">
        <f>VLOOKUP(C4777,METADATA!$J$5:$Q$29,IF(E4777="HI",2,IF(E4777="LO",6,10))+IF(D4777=1,2,IF(D4777=7,1,(IF(WEEKDAY(B4777)=1,2,IF(WEEKDAY(B4777)=7,1,0))))))</f>
        <v>2</v>
      </c>
      <c r="H4777" s="370">
        <v>12746.874755859375</v>
      </c>
      <c r="I4777" s="370">
        <v>10573.399963378906</v>
      </c>
      <c r="M4777" s="371">
        <f t="shared" si="297"/>
        <v>16561.38891600418</v>
      </c>
      <c r="N4777" s="329">
        <f t="shared" si="298"/>
        <v>6749.3375366210939</v>
      </c>
      <c r="T4777" s="331">
        <v>0</v>
      </c>
      <c r="U4777" s="328">
        <f>VLOOKUP(C4777,METADATA!$J$5:$Q$29,IF(E4777="HI",2,IF(E4777="LO",6,10))+IF(T4777=1,2,IF(D4777=7,1,(IF(WEEKDAY(B4777)=1,2,IF(WEEKDAY(B4777)=7,1,0))))))</f>
        <v>2</v>
      </c>
      <c r="V4777" s="328">
        <f>VLOOKUP(C4777,METADATA!$A$5:$H$29,IF(E4777="HI",2,IF(E4777="LO",6,10))+IF(T4777=1,2,IF(D4777=7,1,(IF(WEEKDAY(B4777)=1,2,IF(WEEKDAY(B4777)=7,1,0))))))</f>
        <v>2</v>
      </c>
    </row>
    <row r="4778" spans="2:22">
      <c r="B4778" s="318">
        <f t="shared" si="299"/>
        <v>46311</v>
      </c>
      <c r="C4778" s="312">
        <v>22</v>
      </c>
      <c r="D4778" s="368">
        <f>IFERROR((INDEX(METADATA!$T$2:$T$20,MATCH(B4778,METADATA!$S$2:$S$20,0))),0)</f>
        <v>0</v>
      </c>
      <c r="E4778" s="312" t="str">
        <f t="shared" si="296"/>
        <v>LO</v>
      </c>
      <c r="F4778" s="369">
        <f>VLOOKUP(C4778,METADATA!$A$5:$H$29,IF(E4778="HI",2,IF(E4778="LO",6,10))+IF(D4778=1,2,IF(D4778=7,1,(IF(WEEKDAY(B4778)=1,2,IF(WEEKDAY(B4778)=7,1,0))))))</f>
        <v>3</v>
      </c>
      <c r="G4778" s="369">
        <f>VLOOKUP(C4778,METADATA!$J$5:$Q$29,IF(E4778="HI",2,IF(E4778="LO",6,10))+IF(D4778=1,2,IF(D4778=7,1,(IF(WEEKDAY(B4778)=1,2,IF(WEEKDAY(B4778)=7,1,0))))))</f>
        <v>3</v>
      </c>
      <c r="H4778" s="370">
        <v>12865.624694824219</v>
      </c>
      <c r="I4778" s="370">
        <v>10725.749938964844</v>
      </c>
      <c r="M4778" s="371">
        <f t="shared" si="297"/>
        <v>16750.10479194907</v>
      </c>
      <c r="N4778" s="329">
        <f t="shared" si="298"/>
        <v>6866.0625305175781</v>
      </c>
      <c r="T4778" s="331">
        <v>0</v>
      </c>
      <c r="U4778" s="328">
        <f>VLOOKUP(C4778,METADATA!$J$5:$Q$29,IF(E4778="HI",2,IF(E4778="LO",6,10))+IF(T4778=1,2,IF(D4778=7,1,(IF(WEEKDAY(B4778)=1,2,IF(WEEKDAY(B4778)=7,1,0))))))</f>
        <v>3</v>
      </c>
      <c r="V4778" s="328">
        <f>VLOOKUP(C4778,METADATA!$A$5:$H$29,IF(E4778="HI",2,IF(E4778="LO",6,10))+IF(T4778=1,2,IF(D4778=7,1,(IF(WEEKDAY(B4778)=1,2,IF(WEEKDAY(B4778)=7,1,0))))))</f>
        <v>3</v>
      </c>
    </row>
    <row r="4779" spans="2:22">
      <c r="B4779" s="318">
        <f t="shared" si="299"/>
        <v>46311</v>
      </c>
      <c r="C4779" s="312">
        <v>23</v>
      </c>
      <c r="D4779" s="368">
        <f>IFERROR((INDEX(METADATA!$T$2:$T$20,MATCH(B4779,METADATA!$S$2:$S$20,0))),0)</f>
        <v>0</v>
      </c>
      <c r="E4779" s="312" t="str">
        <f t="shared" si="296"/>
        <v>LO</v>
      </c>
      <c r="F4779" s="369">
        <f>VLOOKUP(C4779,METADATA!$A$5:$H$29,IF(E4779="HI",2,IF(E4779="LO",6,10))+IF(D4779=1,2,IF(D4779=7,1,(IF(WEEKDAY(B4779)=1,2,IF(WEEKDAY(B4779)=7,1,0))))))</f>
        <v>3</v>
      </c>
      <c r="G4779" s="369">
        <f>VLOOKUP(C4779,METADATA!$J$5:$Q$29,IF(E4779="HI",2,IF(E4779="LO",6,10))+IF(D4779=1,2,IF(D4779=7,1,(IF(WEEKDAY(B4779)=1,2,IF(WEEKDAY(B4779)=7,1,0))))))</f>
        <v>3</v>
      </c>
      <c r="H4779" s="370">
        <v>12995.725341796875</v>
      </c>
      <c r="I4779" s="370">
        <v>10826.425109863281</v>
      </c>
      <c r="M4779" s="371">
        <f t="shared" si="297"/>
        <v>16914.501406157371</v>
      </c>
      <c r="N4779" s="329">
        <f t="shared" si="298"/>
        <v>6927.7075073242195</v>
      </c>
      <c r="T4779" s="331">
        <v>0</v>
      </c>
      <c r="U4779" s="328">
        <f>VLOOKUP(C4779,METADATA!$J$5:$Q$29,IF(E4779="HI",2,IF(E4779="LO",6,10))+IF(T4779=1,2,IF(D4779=7,1,(IF(WEEKDAY(B4779)=1,2,IF(WEEKDAY(B4779)=7,1,0))))))</f>
        <v>3</v>
      </c>
      <c r="V4779" s="328">
        <f>VLOOKUP(C4779,METADATA!$A$5:$H$29,IF(E4779="HI",2,IF(E4779="LO",6,10))+IF(T4779=1,2,IF(D4779=7,1,(IF(WEEKDAY(B4779)=1,2,IF(WEEKDAY(B4779)=7,1,0))))))</f>
        <v>3</v>
      </c>
    </row>
    <row r="4780" spans="2:22">
      <c r="B4780" s="318">
        <f t="shared" si="299"/>
        <v>46312</v>
      </c>
      <c r="C4780" s="312">
        <v>0</v>
      </c>
      <c r="D4780" s="368">
        <f>IFERROR((INDEX(METADATA!$T$2:$T$20,MATCH(B4780,METADATA!$S$2:$S$20,0))),0)</f>
        <v>0</v>
      </c>
      <c r="E4780" s="312" t="str">
        <f t="shared" si="296"/>
        <v>LO</v>
      </c>
      <c r="F4780" s="369">
        <f>VLOOKUP(C4780,METADATA!$A$5:$H$29,IF(E4780="HI",2,IF(E4780="LO",6,10))+IF(D4780=1,2,IF(D4780=7,1,(IF(WEEKDAY(B4780)=1,2,IF(WEEKDAY(B4780)=7,1,0))))))</f>
        <v>3</v>
      </c>
      <c r="G4780" s="369">
        <f>VLOOKUP(C4780,METADATA!$J$5:$Q$29,IF(E4780="HI",2,IF(E4780="LO",6,10))+IF(D4780=1,2,IF(D4780=7,1,(IF(WEEKDAY(B4780)=1,2,IF(WEEKDAY(B4780)=7,1,0))))))</f>
        <v>3</v>
      </c>
      <c r="H4780" s="370">
        <v>12889.625122070313</v>
      </c>
      <c r="I4780" s="370">
        <v>10816.025390625</v>
      </c>
      <c r="M4780" s="371">
        <f t="shared" si="297"/>
        <v>16826.432807881498</v>
      </c>
      <c r="N4780" s="329">
        <f t="shared" si="298"/>
        <v>6949.1378540039059</v>
      </c>
      <c r="T4780" s="331">
        <v>0</v>
      </c>
      <c r="U4780" s="328">
        <f>VLOOKUP(C4780,METADATA!$J$5:$Q$29,IF(E4780="HI",2,IF(E4780="LO",6,10))+IF(T4780=1,2,IF(D4780=7,1,(IF(WEEKDAY(B4780)=1,2,IF(WEEKDAY(B4780)=7,1,0))))))</f>
        <v>3</v>
      </c>
      <c r="V4780" s="328">
        <f>VLOOKUP(C4780,METADATA!$A$5:$H$29,IF(E4780="HI",2,IF(E4780="LO",6,10))+IF(T4780=1,2,IF(D4780=7,1,(IF(WEEKDAY(B4780)=1,2,IF(WEEKDAY(B4780)=7,1,0))))))</f>
        <v>3</v>
      </c>
    </row>
    <row r="4781" spans="2:22">
      <c r="B4781" s="318">
        <f t="shared" si="299"/>
        <v>46312</v>
      </c>
      <c r="C4781" s="312">
        <v>1</v>
      </c>
      <c r="D4781" s="368">
        <f>IFERROR((INDEX(METADATA!$T$2:$T$20,MATCH(B4781,METADATA!$S$2:$S$20,0))),0)</f>
        <v>0</v>
      </c>
      <c r="E4781" s="312" t="str">
        <f t="shared" si="296"/>
        <v>LO</v>
      </c>
      <c r="F4781" s="369">
        <f>VLOOKUP(C4781,METADATA!$A$5:$H$29,IF(E4781="HI",2,IF(E4781="LO",6,10))+IF(D4781=1,2,IF(D4781=7,1,(IF(WEEKDAY(B4781)=1,2,IF(WEEKDAY(B4781)=7,1,0))))))</f>
        <v>3</v>
      </c>
      <c r="G4781" s="369">
        <f>VLOOKUP(C4781,METADATA!$J$5:$Q$29,IF(E4781="HI",2,IF(E4781="LO",6,10))+IF(D4781=1,2,IF(D4781=7,1,(IF(WEEKDAY(B4781)=1,2,IF(WEEKDAY(B4781)=7,1,0))))))</f>
        <v>3</v>
      </c>
      <c r="H4781" s="370">
        <v>12819.174743652344</v>
      </c>
      <c r="I4781" s="370">
        <v>10842.970153808594</v>
      </c>
      <c r="M4781" s="371">
        <f t="shared" si="297"/>
        <v>16789.914915349575</v>
      </c>
      <c r="N4781" s="329">
        <f t="shared" si="298"/>
        <v>6997.2177307128914</v>
      </c>
      <c r="T4781" s="331">
        <v>0</v>
      </c>
      <c r="U4781" s="328">
        <f>VLOOKUP(C4781,METADATA!$J$5:$Q$29,IF(E4781="HI",2,IF(E4781="LO",6,10))+IF(T4781=1,2,IF(D4781=7,1,(IF(WEEKDAY(B4781)=1,2,IF(WEEKDAY(B4781)=7,1,0))))))</f>
        <v>3</v>
      </c>
      <c r="V4781" s="328">
        <f>VLOOKUP(C4781,METADATA!$A$5:$H$29,IF(E4781="HI",2,IF(E4781="LO",6,10))+IF(T4781=1,2,IF(D4781=7,1,(IF(WEEKDAY(B4781)=1,2,IF(WEEKDAY(B4781)=7,1,0))))))</f>
        <v>3</v>
      </c>
    </row>
    <row r="4782" spans="2:22">
      <c r="B4782" s="318">
        <f t="shared" si="299"/>
        <v>46312</v>
      </c>
      <c r="C4782" s="312">
        <v>2</v>
      </c>
      <c r="D4782" s="368">
        <f>IFERROR((INDEX(METADATA!$T$2:$T$20,MATCH(B4782,METADATA!$S$2:$S$20,0))),0)</f>
        <v>0</v>
      </c>
      <c r="E4782" s="312" t="str">
        <f t="shared" si="296"/>
        <v>LO</v>
      </c>
      <c r="F4782" s="369">
        <f>VLOOKUP(C4782,METADATA!$A$5:$H$29,IF(E4782="HI",2,IF(E4782="LO",6,10))+IF(D4782=1,2,IF(D4782=7,1,(IF(WEEKDAY(B4782)=1,2,IF(WEEKDAY(B4782)=7,1,0))))))</f>
        <v>3</v>
      </c>
      <c r="G4782" s="369">
        <f>VLOOKUP(C4782,METADATA!$J$5:$Q$29,IF(E4782="HI",2,IF(E4782="LO",6,10))+IF(D4782=1,2,IF(D4782=7,1,(IF(WEEKDAY(B4782)=1,2,IF(WEEKDAY(B4782)=7,1,0))))))</f>
        <v>3</v>
      </c>
      <c r="H4782" s="370">
        <v>12924.324768066406</v>
      </c>
      <c r="I4782" s="370">
        <v>10904.775024414063</v>
      </c>
      <c r="M4782" s="371">
        <f t="shared" si="297"/>
        <v>16910.123862454097</v>
      </c>
      <c r="N4782" s="329">
        <f t="shared" si="298"/>
        <v>7027.477593994141</v>
      </c>
      <c r="T4782" s="331">
        <v>0</v>
      </c>
      <c r="U4782" s="328">
        <f>VLOOKUP(C4782,METADATA!$J$5:$Q$29,IF(E4782="HI",2,IF(E4782="LO",6,10))+IF(T4782=1,2,IF(D4782=7,1,(IF(WEEKDAY(B4782)=1,2,IF(WEEKDAY(B4782)=7,1,0))))))</f>
        <v>3</v>
      </c>
      <c r="V4782" s="328">
        <f>VLOOKUP(C4782,METADATA!$A$5:$H$29,IF(E4782="HI",2,IF(E4782="LO",6,10))+IF(T4782=1,2,IF(D4782=7,1,(IF(WEEKDAY(B4782)=1,2,IF(WEEKDAY(B4782)=7,1,0))))))</f>
        <v>3</v>
      </c>
    </row>
    <row r="4783" spans="2:22">
      <c r="B4783" s="318">
        <f t="shared" si="299"/>
        <v>46312</v>
      </c>
      <c r="C4783" s="312">
        <v>3</v>
      </c>
      <c r="D4783" s="368">
        <f>IFERROR((INDEX(METADATA!$T$2:$T$20,MATCH(B4783,METADATA!$S$2:$S$20,0))),0)</f>
        <v>0</v>
      </c>
      <c r="E4783" s="312" t="str">
        <f t="shared" si="296"/>
        <v>LO</v>
      </c>
      <c r="F4783" s="369">
        <f>VLOOKUP(C4783,METADATA!$A$5:$H$29,IF(E4783="HI",2,IF(E4783="LO",6,10))+IF(D4783=1,2,IF(D4783=7,1,(IF(WEEKDAY(B4783)=1,2,IF(WEEKDAY(B4783)=7,1,0))))))</f>
        <v>3</v>
      </c>
      <c r="G4783" s="369">
        <f>VLOOKUP(C4783,METADATA!$J$5:$Q$29,IF(E4783="HI",2,IF(E4783="LO",6,10))+IF(D4783=1,2,IF(D4783=7,1,(IF(WEEKDAY(B4783)=1,2,IF(WEEKDAY(B4783)=7,1,0))))))</f>
        <v>3</v>
      </c>
      <c r="H4783" s="370">
        <v>12944.999877929688</v>
      </c>
      <c r="I4783" s="370">
        <v>10918.874694824219</v>
      </c>
      <c r="M4783" s="371">
        <f t="shared" si="297"/>
        <v>16935.018347816229</v>
      </c>
      <c r="N4783" s="329">
        <f t="shared" si="298"/>
        <v>7035.3747314453121</v>
      </c>
      <c r="T4783" s="331">
        <v>0</v>
      </c>
      <c r="U4783" s="328">
        <f>VLOOKUP(C4783,METADATA!$J$5:$Q$29,IF(E4783="HI",2,IF(E4783="LO",6,10))+IF(T4783=1,2,IF(D4783=7,1,(IF(WEEKDAY(B4783)=1,2,IF(WEEKDAY(B4783)=7,1,0))))))</f>
        <v>3</v>
      </c>
      <c r="V4783" s="328">
        <f>VLOOKUP(C4783,METADATA!$A$5:$H$29,IF(E4783="HI",2,IF(E4783="LO",6,10))+IF(T4783=1,2,IF(D4783=7,1,(IF(WEEKDAY(B4783)=1,2,IF(WEEKDAY(B4783)=7,1,0))))))</f>
        <v>3</v>
      </c>
    </row>
    <row r="4784" spans="2:22">
      <c r="B4784" s="318">
        <f t="shared" si="299"/>
        <v>46312</v>
      </c>
      <c r="C4784" s="312">
        <v>4</v>
      </c>
      <c r="D4784" s="368">
        <f>IFERROR((INDEX(METADATA!$T$2:$T$20,MATCH(B4784,METADATA!$S$2:$S$20,0))),0)</f>
        <v>0</v>
      </c>
      <c r="E4784" s="312" t="str">
        <f t="shared" si="296"/>
        <v>LO</v>
      </c>
      <c r="F4784" s="369">
        <f>VLOOKUP(C4784,METADATA!$A$5:$H$29,IF(E4784="HI",2,IF(E4784="LO",6,10))+IF(D4784=1,2,IF(D4784=7,1,(IF(WEEKDAY(B4784)=1,2,IF(WEEKDAY(B4784)=7,1,0))))))</f>
        <v>3</v>
      </c>
      <c r="G4784" s="369">
        <f>VLOOKUP(C4784,METADATA!$J$5:$Q$29,IF(E4784="HI",2,IF(E4784="LO",6,10))+IF(D4784=1,2,IF(D4784=7,1,(IF(WEEKDAY(B4784)=1,2,IF(WEEKDAY(B4784)=7,1,0))))))</f>
        <v>3</v>
      </c>
      <c r="H4784" s="370">
        <v>12792.975463867188</v>
      </c>
      <c r="I4784" s="370">
        <v>10726.900146484375</v>
      </c>
      <c r="M4784" s="371">
        <f t="shared" si="297"/>
        <v>16695.107306386333</v>
      </c>
      <c r="N4784" s="329">
        <f t="shared" si="298"/>
        <v>6889.0075073242188</v>
      </c>
      <c r="T4784" s="331">
        <v>0</v>
      </c>
      <c r="U4784" s="328">
        <f>VLOOKUP(C4784,METADATA!$J$5:$Q$29,IF(E4784="HI",2,IF(E4784="LO",6,10))+IF(T4784=1,2,IF(D4784=7,1,(IF(WEEKDAY(B4784)=1,2,IF(WEEKDAY(B4784)=7,1,0))))))</f>
        <v>3</v>
      </c>
      <c r="V4784" s="328">
        <f>VLOOKUP(C4784,METADATA!$A$5:$H$29,IF(E4784="HI",2,IF(E4784="LO",6,10))+IF(T4784=1,2,IF(D4784=7,1,(IF(WEEKDAY(B4784)=1,2,IF(WEEKDAY(B4784)=7,1,0))))))</f>
        <v>3</v>
      </c>
    </row>
    <row r="4785" spans="2:22">
      <c r="B4785" s="318">
        <f t="shared" si="299"/>
        <v>46312</v>
      </c>
      <c r="C4785" s="312">
        <v>5</v>
      </c>
      <c r="D4785" s="368">
        <f>IFERROR((INDEX(METADATA!$T$2:$T$20,MATCH(B4785,METADATA!$S$2:$S$20,0))),0)</f>
        <v>0</v>
      </c>
      <c r="E4785" s="312" t="str">
        <f t="shared" si="296"/>
        <v>LO</v>
      </c>
      <c r="F4785" s="369">
        <f>VLOOKUP(C4785,METADATA!$A$5:$H$29,IF(E4785="HI",2,IF(E4785="LO",6,10))+IF(D4785=1,2,IF(D4785=7,1,(IF(WEEKDAY(B4785)=1,2,IF(WEEKDAY(B4785)=7,1,0))))))</f>
        <v>3</v>
      </c>
      <c r="G4785" s="369">
        <f>VLOOKUP(C4785,METADATA!$J$5:$Q$29,IF(E4785="HI",2,IF(E4785="LO",6,10))+IF(D4785=1,2,IF(D4785=7,1,(IF(WEEKDAY(B4785)=1,2,IF(WEEKDAY(B4785)=7,1,0))))))</f>
        <v>3</v>
      </c>
      <c r="H4785" s="370">
        <v>12774.899719238281</v>
      </c>
      <c r="I4785" s="370">
        <v>10498.350036621094</v>
      </c>
      <c r="M4785" s="371">
        <f t="shared" si="297"/>
        <v>16535.217456326856</v>
      </c>
      <c r="N4785" s="329">
        <f t="shared" si="298"/>
        <v>6665.8801208496097</v>
      </c>
      <c r="T4785" s="331">
        <v>0</v>
      </c>
      <c r="U4785" s="328">
        <f>VLOOKUP(C4785,METADATA!$J$5:$Q$29,IF(E4785="HI",2,IF(E4785="LO",6,10))+IF(T4785=1,2,IF(D4785=7,1,(IF(WEEKDAY(B4785)=1,2,IF(WEEKDAY(B4785)=7,1,0))))))</f>
        <v>3</v>
      </c>
      <c r="V4785" s="328">
        <f>VLOOKUP(C4785,METADATA!$A$5:$H$29,IF(E4785="HI",2,IF(E4785="LO",6,10))+IF(T4785=1,2,IF(D4785=7,1,(IF(WEEKDAY(B4785)=1,2,IF(WEEKDAY(B4785)=7,1,0))))))</f>
        <v>3</v>
      </c>
    </row>
    <row r="4786" spans="2:22">
      <c r="B4786" s="318">
        <f t="shared" si="299"/>
        <v>46312</v>
      </c>
      <c r="C4786" s="312">
        <v>6</v>
      </c>
      <c r="D4786" s="368">
        <f>IFERROR((INDEX(METADATA!$T$2:$T$20,MATCH(B4786,METADATA!$S$2:$S$20,0))),0)</f>
        <v>0</v>
      </c>
      <c r="E4786" s="312" t="str">
        <f t="shared" si="296"/>
        <v>LO</v>
      </c>
      <c r="F4786" s="369">
        <f>VLOOKUP(C4786,METADATA!$A$5:$H$29,IF(E4786="HI",2,IF(E4786="LO",6,10))+IF(D4786=1,2,IF(D4786=7,1,(IF(WEEKDAY(B4786)=1,2,IF(WEEKDAY(B4786)=7,1,0))))))</f>
        <v>3</v>
      </c>
      <c r="G4786" s="369">
        <f>VLOOKUP(C4786,METADATA!$J$5:$Q$29,IF(E4786="HI",2,IF(E4786="LO",6,10))+IF(D4786=1,2,IF(D4786=7,1,(IF(WEEKDAY(B4786)=1,2,IF(WEEKDAY(B4786)=7,1,0))))))</f>
        <v>3</v>
      </c>
      <c r="H4786" s="370">
        <v>12755.624633789063</v>
      </c>
      <c r="I4786" s="370">
        <v>10502.549865722656</v>
      </c>
      <c r="M4786" s="371">
        <f t="shared" si="297"/>
        <v>16522.999530355173</v>
      </c>
      <c r="N4786" s="329">
        <f t="shared" si="298"/>
        <v>6675.8624755859382</v>
      </c>
      <c r="T4786" s="331">
        <v>0</v>
      </c>
      <c r="U4786" s="328">
        <f>VLOOKUP(C4786,METADATA!$J$5:$Q$29,IF(E4786="HI",2,IF(E4786="LO",6,10))+IF(T4786=1,2,IF(D4786=7,1,(IF(WEEKDAY(B4786)=1,2,IF(WEEKDAY(B4786)=7,1,0))))))</f>
        <v>3</v>
      </c>
      <c r="V4786" s="328">
        <f>VLOOKUP(C4786,METADATA!$A$5:$H$29,IF(E4786="HI",2,IF(E4786="LO",6,10))+IF(T4786=1,2,IF(D4786=7,1,(IF(WEEKDAY(B4786)=1,2,IF(WEEKDAY(B4786)=7,1,0))))))</f>
        <v>3</v>
      </c>
    </row>
    <row r="4787" spans="2:22">
      <c r="B4787" s="318">
        <f t="shared" si="299"/>
        <v>46312</v>
      </c>
      <c r="C4787" s="312">
        <v>7</v>
      </c>
      <c r="D4787" s="368">
        <f>IFERROR((INDEX(METADATA!$T$2:$T$20,MATCH(B4787,METADATA!$S$2:$S$20,0))),0)</f>
        <v>0</v>
      </c>
      <c r="E4787" s="312" t="str">
        <f t="shared" si="296"/>
        <v>LO</v>
      </c>
      <c r="F4787" s="369">
        <f>VLOOKUP(C4787,METADATA!$A$5:$H$29,IF(E4787="HI",2,IF(E4787="LO",6,10))+IF(D4787=1,2,IF(D4787=7,1,(IF(WEEKDAY(B4787)=1,2,IF(WEEKDAY(B4787)=7,1,0))))))</f>
        <v>2</v>
      </c>
      <c r="G4787" s="369">
        <f>VLOOKUP(C4787,METADATA!$J$5:$Q$29,IF(E4787="HI",2,IF(E4787="LO",6,10))+IF(D4787=1,2,IF(D4787=7,1,(IF(WEEKDAY(B4787)=1,2,IF(WEEKDAY(B4787)=7,1,0))))))</f>
        <v>2</v>
      </c>
      <c r="H4787" s="370">
        <v>12785.27490234375</v>
      </c>
      <c r="I4787" s="370">
        <v>10429.77490234375</v>
      </c>
      <c r="M4787" s="371">
        <f t="shared" si="297"/>
        <v>16499.801781902126</v>
      </c>
      <c r="N4787" s="329">
        <f t="shared" si="298"/>
        <v>6594.1924316406257</v>
      </c>
      <c r="T4787" s="331">
        <v>0</v>
      </c>
      <c r="U4787" s="328">
        <f>VLOOKUP(C4787,METADATA!$J$5:$Q$29,IF(E4787="HI",2,IF(E4787="LO",6,10))+IF(T4787=1,2,IF(D4787=7,1,(IF(WEEKDAY(B4787)=1,2,IF(WEEKDAY(B4787)=7,1,0))))))</f>
        <v>2</v>
      </c>
      <c r="V4787" s="328">
        <f>VLOOKUP(C4787,METADATA!$A$5:$H$29,IF(E4787="HI",2,IF(E4787="LO",6,10))+IF(T4787=1,2,IF(D4787=7,1,(IF(WEEKDAY(B4787)=1,2,IF(WEEKDAY(B4787)=7,1,0))))))</f>
        <v>2</v>
      </c>
    </row>
    <row r="4788" spans="2:22">
      <c r="B4788" s="318">
        <f t="shared" si="299"/>
        <v>46312</v>
      </c>
      <c r="C4788" s="312">
        <v>8</v>
      </c>
      <c r="D4788" s="368">
        <f>IFERROR((INDEX(METADATA!$T$2:$T$20,MATCH(B4788,METADATA!$S$2:$S$20,0))),0)</f>
        <v>0</v>
      </c>
      <c r="E4788" s="312" t="str">
        <f t="shared" si="296"/>
        <v>LO</v>
      </c>
      <c r="F4788" s="369">
        <f>VLOOKUP(C4788,METADATA!$A$5:$H$29,IF(E4788="HI",2,IF(E4788="LO",6,10))+IF(D4788=1,2,IF(D4788=7,1,(IF(WEEKDAY(B4788)=1,2,IF(WEEKDAY(B4788)=7,1,0))))))</f>
        <v>2</v>
      </c>
      <c r="G4788" s="369">
        <f>VLOOKUP(C4788,METADATA!$J$5:$Q$29,IF(E4788="HI",2,IF(E4788="LO",6,10))+IF(D4788=1,2,IF(D4788=7,1,(IF(WEEKDAY(B4788)=1,2,IF(WEEKDAY(B4788)=7,1,0))))))</f>
        <v>2</v>
      </c>
      <c r="H4788" s="370">
        <v>12763.100158691406</v>
      </c>
      <c r="I4788" s="370">
        <v>10581.499877929688</v>
      </c>
      <c r="M4788" s="371">
        <f t="shared" si="297"/>
        <v>16579.048987424296</v>
      </c>
      <c r="N4788" s="329">
        <f t="shared" si="298"/>
        <v>6752.5698303222653</v>
      </c>
      <c r="T4788" s="331">
        <v>0</v>
      </c>
      <c r="U4788" s="328">
        <f>VLOOKUP(C4788,METADATA!$J$5:$Q$29,IF(E4788="HI",2,IF(E4788="LO",6,10))+IF(T4788=1,2,IF(D4788=7,1,(IF(WEEKDAY(B4788)=1,2,IF(WEEKDAY(B4788)=7,1,0))))))</f>
        <v>2</v>
      </c>
      <c r="V4788" s="328">
        <f>VLOOKUP(C4788,METADATA!$A$5:$H$29,IF(E4788="HI",2,IF(E4788="LO",6,10))+IF(T4788=1,2,IF(D4788=7,1,(IF(WEEKDAY(B4788)=1,2,IF(WEEKDAY(B4788)=7,1,0))))))</f>
        <v>2</v>
      </c>
    </row>
    <row r="4789" spans="2:22">
      <c r="B4789" s="318">
        <f t="shared" si="299"/>
        <v>46312</v>
      </c>
      <c r="C4789" s="312">
        <v>9</v>
      </c>
      <c r="D4789" s="368">
        <f>IFERROR((INDEX(METADATA!$T$2:$T$20,MATCH(B4789,METADATA!$S$2:$S$20,0))),0)</f>
        <v>0</v>
      </c>
      <c r="E4789" s="312" t="str">
        <f t="shared" si="296"/>
        <v>LO</v>
      </c>
      <c r="F4789" s="369">
        <f>VLOOKUP(C4789,METADATA!$A$5:$H$29,IF(E4789="HI",2,IF(E4789="LO",6,10))+IF(D4789=1,2,IF(D4789=7,1,(IF(WEEKDAY(B4789)=1,2,IF(WEEKDAY(B4789)=7,1,0))))))</f>
        <v>2</v>
      </c>
      <c r="G4789" s="369">
        <f>VLOOKUP(C4789,METADATA!$J$5:$Q$29,IF(E4789="HI",2,IF(E4789="LO",6,10))+IF(D4789=1,2,IF(D4789=7,1,(IF(WEEKDAY(B4789)=1,2,IF(WEEKDAY(B4789)=7,1,0))))))</f>
        <v>2</v>
      </c>
      <c r="H4789" s="370">
        <v>12100.974853515625</v>
      </c>
      <c r="I4789" s="370">
        <v>10253.472625732422</v>
      </c>
      <c r="M4789" s="371">
        <f t="shared" si="297"/>
        <v>15860.873030576269</v>
      </c>
      <c r="N4789" s="329">
        <f t="shared" si="298"/>
        <v>6623.1801696777347</v>
      </c>
      <c r="T4789" s="331">
        <v>0</v>
      </c>
      <c r="U4789" s="328">
        <f>VLOOKUP(C4789,METADATA!$J$5:$Q$29,IF(E4789="HI",2,IF(E4789="LO",6,10))+IF(T4789=1,2,IF(D4789=7,1,(IF(WEEKDAY(B4789)=1,2,IF(WEEKDAY(B4789)=7,1,0))))))</f>
        <v>2</v>
      </c>
      <c r="V4789" s="328">
        <f>VLOOKUP(C4789,METADATA!$A$5:$H$29,IF(E4789="HI",2,IF(E4789="LO",6,10))+IF(T4789=1,2,IF(D4789=7,1,(IF(WEEKDAY(B4789)=1,2,IF(WEEKDAY(B4789)=7,1,0))))))</f>
        <v>2</v>
      </c>
    </row>
    <row r="4790" spans="2:22">
      <c r="B4790" s="318">
        <f t="shared" si="299"/>
        <v>46312</v>
      </c>
      <c r="C4790" s="312">
        <v>10</v>
      </c>
      <c r="D4790" s="368">
        <f>IFERROR((INDEX(METADATA!$T$2:$T$20,MATCH(B4790,METADATA!$S$2:$S$20,0))),0)</f>
        <v>0</v>
      </c>
      <c r="E4790" s="312" t="str">
        <f t="shared" si="296"/>
        <v>LO</v>
      </c>
      <c r="F4790" s="369">
        <f>VLOOKUP(C4790,METADATA!$A$5:$H$29,IF(E4790="HI",2,IF(E4790="LO",6,10))+IF(D4790=1,2,IF(D4790=7,1,(IF(WEEKDAY(B4790)=1,2,IF(WEEKDAY(B4790)=7,1,0))))))</f>
        <v>2</v>
      </c>
      <c r="G4790" s="369">
        <f>VLOOKUP(C4790,METADATA!$J$5:$Q$29,IF(E4790="HI",2,IF(E4790="LO",6,10))+IF(D4790=1,2,IF(D4790=7,1,(IF(WEEKDAY(B4790)=1,2,IF(WEEKDAY(B4790)=7,1,0))))))</f>
        <v>2</v>
      </c>
      <c r="H4790" s="370">
        <v>11157.024871826172</v>
      </c>
      <c r="I4790" s="370">
        <v>9646.6500244140625</v>
      </c>
      <c r="M4790" s="371">
        <f t="shared" si="297"/>
        <v>14749.137625097803</v>
      </c>
      <c r="N4790" s="329">
        <f t="shared" si="298"/>
        <v>6299.5425628662106</v>
      </c>
      <c r="T4790" s="331">
        <v>0</v>
      </c>
      <c r="U4790" s="328">
        <f>VLOOKUP(C4790,METADATA!$J$5:$Q$29,IF(E4790="HI",2,IF(E4790="LO",6,10))+IF(T4790=1,2,IF(D4790=7,1,(IF(WEEKDAY(B4790)=1,2,IF(WEEKDAY(B4790)=7,1,0))))))</f>
        <v>2</v>
      </c>
      <c r="V4790" s="328">
        <f>VLOOKUP(C4790,METADATA!$A$5:$H$29,IF(E4790="HI",2,IF(E4790="LO",6,10))+IF(T4790=1,2,IF(D4790=7,1,(IF(WEEKDAY(B4790)=1,2,IF(WEEKDAY(B4790)=7,1,0))))))</f>
        <v>2</v>
      </c>
    </row>
    <row r="4791" spans="2:22">
      <c r="B4791" s="318">
        <f t="shared" si="299"/>
        <v>46312</v>
      </c>
      <c r="C4791" s="312">
        <v>11</v>
      </c>
      <c r="D4791" s="368">
        <f>IFERROR((INDEX(METADATA!$T$2:$T$20,MATCH(B4791,METADATA!$S$2:$S$20,0))),0)</f>
        <v>0</v>
      </c>
      <c r="E4791" s="312" t="str">
        <f t="shared" si="296"/>
        <v>LO</v>
      </c>
      <c r="F4791" s="369">
        <f>VLOOKUP(C4791,METADATA!$A$5:$H$29,IF(E4791="HI",2,IF(E4791="LO",6,10))+IF(D4791=1,2,IF(D4791=7,1,(IF(WEEKDAY(B4791)=1,2,IF(WEEKDAY(B4791)=7,1,0))))))</f>
        <v>2</v>
      </c>
      <c r="G4791" s="369">
        <f>VLOOKUP(C4791,METADATA!$J$5:$Q$29,IF(E4791="HI",2,IF(E4791="LO",6,10))+IF(D4791=1,2,IF(D4791=7,1,(IF(WEEKDAY(B4791)=1,2,IF(WEEKDAY(B4791)=7,1,0))))))</f>
        <v>2</v>
      </c>
      <c r="H4791" s="370">
        <v>11186.339813232422</v>
      </c>
      <c r="I4791" s="370">
        <v>9697.1624755859375</v>
      </c>
      <c r="M4791" s="371">
        <f t="shared" si="297"/>
        <v>14804.362819622489</v>
      </c>
      <c r="N4791" s="329">
        <f t="shared" si="298"/>
        <v>6341.2605316162117</v>
      </c>
      <c r="T4791" s="331">
        <v>0</v>
      </c>
      <c r="U4791" s="328">
        <f>VLOOKUP(C4791,METADATA!$J$5:$Q$29,IF(E4791="HI",2,IF(E4791="LO",6,10))+IF(T4791=1,2,IF(D4791=7,1,(IF(WEEKDAY(B4791)=1,2,IF(WEEKDAY(B4791)=7,1,0))))))</f>
        <v>2</v>
      </c>
      <c r="V4791" s="328">
        <f>VLOOKUP(C4791,METADATA!$A$5:$H$29,IF(E4791="HI",2,IF(E4791="LO",6,10))+IF(T4791=1,2,IF(D4791=7,1,(IF(WEEKDAY(B4791)=1,2,IF(WEEKDAY(B4791)=7,1,0))))))</f>
        <v>2</v>
      </c>
    </row>
    <row r="4792" spans="2:22">
      <c r="B4792" s="318">
        <f t="shared" si="299"/>
        <v>46312</v>
      </c>
      <c r="C4792" s="312">
        <v>12</v>
      </c>
      <c r="D4792" s="368">
        <f>IFERROR((INDEX(METADATA!$T$2:$T$20,MATCH(B4792,METADATA!$S$2:$S$20,0))),0)</f>
        <v>0</v>
      </c>
      <c r="E4792" s="312" t="str">
        <f t="shared" si="296"/>
        <v>LO</v>
      </c>
      <c r="F4792" s="369">
        <f>VLOOKUP(C4792,METADATA!$A$5:$H$29,IF(E4792="HI",2,IF(E4792="LO",6,10))+IF(D4792=1,2,IF(D4792=7,1,(IF(WEEKDAY(B4792)=1,2,IF(WEEKDAY(B4792)=7,1,0))))))</f>
        <v>3</v>
      </c>
      <c r="G4792" s="369">
        <f>VLOOKUP(C4792,METADATA!$J$5:$Q$29,IF(E4792="HI",2,IF(E4792="LO",6,10))+IF(D4792=1,2,IF(D4792=7,1,(IF(WEEKDAY(B4792)=1,2,IF(WEEKDAY(B4792)=7,1,0))))))</f>
        <v>3</v>
      </c>
      <c r="H4792" s="370">
        <v>10897.264556884766</v>
      </c>
      <c r="I4792" s="370">
        <v>9586.6349792480469</v>
      </c>
      <c r="M4792" s="371">
        <f t="shared" si="297"/>
        <v>14513.922455631322</v>
      </c>
      <c r="N4792" s="329">
        <f t="shared" si="298"/>
        <v>6317.4556121826172</v>
      </c>
      <c r="T4792" s="331">
        <v>0</v>
      </c>
      <c r="U4792" s="328">
        <f>VLOOKUP(C4792,METADATA!$J$5:$Q$29,IF(E4792="HI",2,IF(E4792="LO",6,10))+IF(T4792=1,2,IF(D4792=7,1,(IF(WEEKDAY(B4792)=1,2,IF(WEEKDAY(B4792)=7,1,0))))))</f>
        <v>3</v>
      </c>
      <c r="V4792" s="328">
        <f>VLOOKUP(C4792,METADATA!$A$5:$H$29,IF(E4792="HI",2,IF(E4792="LO",6,10))+IF(T4792=1,2,IF(D4792=7,1,(IF(WEEKDAY(B4792)=1,2,IF(WEEKDAY(B4792)=7,1,0))))))</f>
        <v>3</v>
      </c>
    </row>
    <row r="4793" spans="2:22">
      <c r="B4793" s="318">
        <f t="shared" si="299"/>
        <v>46312</v>
      </c>
      <c r="C4793" s="312">
        <v>13</v>
      </c>
      <c r="D4793" s="368">
        <f>IFERROR((INDEX(METADATA!$T$2:$T$20,MATCH(B4793,METADATA!$S$2:$S$20,0))),0)</f>
        <v>0</v>
      </c>
      <c r="E4793" s="312" t="str">
        <f t="shared" si="296"/>
        <v>LO</v>
      </c>
      <c r="F4793" s="369">
        <f>VLOOKUP(C4793,METADATA!$A$5:$H$29,IF(E4793="HI",2,IF(E4793="LO",6,10))+IF(D4793=1,2,IF(D4793=7,1,(IF(WEEKDAY(B4793)=1,2,IF(WEEKDAY(B4793)=7,1,0))))))</f>
        <v>3</v>
      </c>
      <c r="G4793" s="369">
        <f>VLOOKUP(C4793,METADATA!$J$5:$Q$29,IF(E4793="HI",2,IF(E4793="LO",6,10))+IF(D4793=1,2,IF(D4793=7,1,(IF(WEEKDAY(B4793)=1,2,IF(WEEKDAY(B4793)=7,1,0))))))</f>
        <v>3</v>
      </c>
      <c r="H4793" s="370">
        <v>11330.590148925781</v>
      </c>
      <c r="I4793" s="370">
        <v>9848.8224487304688</v>
      </c>
      <c r="M4793" s="371">
        <f t="shared" si="297"/>
        <v>15012.713836930056</v>
      </c>
      <c r="N4793" s="329">
        <f t="shared" si="298"/>
        <v>6449.6454040527351</v>
      </c>
      <c r="T4793" s="331">
        <v>0</v>
      </c>
      <c r="U4793" s="328">
        <f>VLOOKUP(C4793,METADATA!$J$5:$Q$29,IF(E4793="HI",2,IF(E4793="LO",6,10))+IF(T4793=1,2,IF(D4793=7,1,(IF(WEEKDAY(B4793)=1,2,IF(WEEKDAY(B4793)=7,1,0))))))</f>
        <v>3</v>
      </c>
      <c r="V4793" s="328">
        <f>VLOOKUP(C4793,METADATA!$A$5:$H$29,IF(E4793="HI",2,IF(E4793="LO",6,10))+IF(T4793=1,2,IF(D4793=7,1,(IF(WEEKDAY(B4793)=1,2,IF(WEEKDAY(B4793)=7,1,0))))))</f>
        <v>3</v>
      </c>
    </row>
    <row r="4794" spans="2:22">
      <c r="B4794" s="318">
        <f t="shared" si="299"/>
        <v>46312</v>
      </c>
      <c r="C4794" s="312">
        <v>14</v>
      </c>
      <c r="D4794" s="368">
        <f>IFERROR((INDEX(METADATA!$T$2:$T$20,MATCH(B4794,METADATA!$S$2:$S$20,0))),0)</f>
        <v>0</v>
      </c>
      <c r="E4794" s="312" t="str">
        <f t="shared" si="296"/>
        <v>LO</v>
      </c>
      <c r="F4794" s="369">
        <f>VLOOKUP(C4794,METADATA!$A$5:$H$29,IF(E4794="HI",2,IF(E4794="LO",6,10))+IF(D4794=1,2,IF(D4794=7,1,(IF(WEEKDAY(B4794)=1,2,IF(WEEKDAY(B4794)=7,1,0))))))</f>
        <v>3</v>
      </c>
      <c r="G4794" s="369">
        <f>VLOOKUP(C4794,METADATA!$J$5:$Q$29,IF(E4794="HI",2,IF(E4794="LO",6,10))+IF(D4794=1,2,IF(D4794=7,1,(IF(WEEKDAY(B4794)=1,2,IF(WEEKDAY(B4794)=7,1,0))))))</f>
        <v>3</v>
      </c>
      <c r="H4794" s="370">
        <v>12814.399536132813</v>
      </c>
      <c r="I4794" s="370">
        <v>10735.124938964844</v>
      </c>
      <c r="M4794" s="371">
        <f t="shared" si="297"/>
        <v>16716.810189950287</v>
      </c>
      <c r="N4794" s="329">
        <f t="shared" si="298"/>
        <v>6890.8050781250004</v>
      </c>
      <c r="T4794" s="331">
        <v>0</v>
      </c>
      <c r="U4794" s="328">
        <f>VLOOKUP(C4794,METADATA!$J$5:$Q$29,IF(E4794="HI",2,IF(E4794="LO",6,10))+IF(T4794=1,2,IF(D4794=7,1,(IF(WEEKDAY(B4794)=1,2,IF(WEEKDAY(B4794)=7,1,0))))))</f>
        <v>3</v>
      </c>
      <c r="V4794" s="328">
        <f>VLOOKUP(C4794,METADATA!$A$5:$H$29,IF(E4794="HI",2,IF(E4794="LO",6,10))+IF(T4794=1,2,IF(D4794=7,1,(IF(WEEKDAY(B4794)=1,2,IF(WEEKDAY(B4794)=7,1,0))))))</f>
        <v>3</v>
      </c>
    </row>
    <row r="4795" spans="2:22">
      <c r="B4795" s="318">
        <f t="shared" si="299"/>
        <v>46312</v>
      </c>
      <c r="C4795" s="312">
        <v>15</v>
      </c>
      <c r="D4795" s="368">
        <f>IFERROR((INDEX(METADATA!$T$2:$T$20,MATCH(B4795,METADATA!$S$2:$S$20,0))),0)</f>
        <v>0</v>
      </c>
      <c r="E4795" s="312" t="str">
        <f t="shared" si="296"/>
        <v>LO</v>
      </c>
      <c r="F4795" s="369">
        <f>VLOOKUP(C4795,METADATA!$A$5:$H$29,IF(E4795="HI",2,IF(E4795="LO",6,10))+IF(D4795=1,2,IF(D4795=7,1,(IF(WEEKDAY(B4795)=1,2,IF(WEEKDAY(B4795)=7,1,0))))))</f>
        <v>3</v>
      </c>
      <c r="G4795" s="369">
        <f>VLOOKUP(C4795,METADATA!$J$5:$Q$29,IF(E4795="HI",2,IF(E4795="LO",6,10))+IF(D4795=1,2,IF(D4795=7,1,(IF(WEEKDAY(B4795)=1,2,IF(WEEKDAY(B4795)=7,1,0))))))</f>
        <v>3</v>
      </c>
      <c r="H4795" s="370">
        <v>12962.199523925781</v>
      </c>
      <c r="I4795" s="370">
        <v>10827.975036621094</v>
      </c>
      <c r="M4795" s="371">
        <f t="shared" si="297"/>
        <v>16889.750142963967</v>
      </c>
      <c r="N4795" s="329">
        <f t="shared" si="298"/>
        <v>6939.3151794433597</v>
      </c>
      <c r="T4795" s="331">
        <v>0</v>
      </c>
      <c r="U4795" s="328">
        <f>VLOOKUP(C4795,METADATA!$J$5:$Q$29,IF(E4795="HI",2,IF(E4795="LO",6,10))+IF(T4795=1,2,IF(D4795=7,1,(IF(WEEKDAY(B4795)=1,2,IF(WEEKDAY(B4795)=7,1,0))))))</f>
        <v>3</v>
      </c>
      <c r="V4795" s="328">
        <f>VLOOKUP(C4795,METADATA!$A$5:$H$29,IF(E4795="HI",2,IF(E4795="LO",6,10))+IF(T4795=1,2,IF(D4795=7,1,(IF(WEEKDAY(B4795)=1,2,IF(WEEKDAY(B4795)=7,1,0))))))</f>
        <v>3</v>
      </c>
    </row>
    <row r="4796" spans="2:22">
      <c r="B4796" s="318">
        <f t="shared" si="299"/>
        <v>46312</v>
      </c>
      <c r="C4796" s="312">
        <v>16</v>
      </c>
      <c r="D4796" s="368">
        <f>IFERROR((INDEX(METADATA!$T$2:$T$20,MATCH(B4796,METADATA!$S$2:$S$20,0))),0)</f>
        <v>0</v>
      </c>
      <c r="E4796" s="312" t="str">
        <f t="shared" si="296"/>
        <v>LO</v>
      </c>
      <c r="F4796" s="369">
        <f>VLOOKUP(C4796,METADATA!$A$5:$H$29,IF(E4796="HI",2,IF(E4796="LO",6,10))+IF(D4796=1,2,IF(D4796=7,1,(IF(WEEKDAY(B4796)=1,2,IF(WEEKDAY(B4796)=7,1,0))))))</f>
        <v>3</v>
      </c>
      <c r="G4796" s="369">
        <f>VLOOKUP(C4796,METADATA!$J$5:$Q$29,IF(E4796="HI",2,IF(E4796="LO",6,10))+IF(D4796=1,2,IF(D4796=7,1,(IF(WEEKDAY(B4796)=1,2,IF(WEEKDAY(B4796)=7,1,0))))))</f>
        <v>3</v>
      </c>
      <c r="H4796" s="370">
        <v>12935.299926757813</v>
      </c>
      <c r="I4796" s="370">
        <v>10770.7998046875</v>
      </c>
      <c r="M4796" s="371">
        <f t="shared" si="297"/>
        <v>16832.471970207967</v>
      </c>
      <c r="N4796" s="329">
        <f t="shared" si="298"/>
        <v>6890.209826660157</v>
      </c>
      <c r="T4796" s="331">
        <v>0</v>
      </c>
      <c r="U4796" s="328">
        <f>VLOOKUP(C4796,METADATA!$J$5:$Q$29,IF(E4796="HI",2,IF(E4796="LO",6,10))+IF(T4796=1,2,IF(D4796=7,1,(IF(WEEKDAY(B4796)=1,2,IF(WEEKDAY(B4796)=7,1,0))))))</f>
        <v>3</v>
      </c>
      <c r="V4796" s="328">
        <f>VLOOKUP(C4796,METADATA!$A$5:$H$29,IF(E4796="HI",2,IF(E4796="LO",6,10))+IF(T4796=1,2,IF(D4796=7,1,(IF(WEEKDAY(B4796)=1,2,IF(WEEKDAY(B4796)=7,1,0))))))</f>
        <v>3</v>
      </c>
    </row>
    <row r="4797" spans="2:22">
      <c r="B4797" s="318">
        <f t="shared" si="299"/>
        <v>46312</v>
      </c>
      <c r="C4797" s="312">
        <v>17</v>
      </c>
      <c r="D4797" s="368">
        <f>IFERROR((INDEX(METADATA!$T$2:$T$20,MATCH(B4797,METADATA!$S$2:$S$20,0))),0)</f>
        <v>0</v>
      </c>
      <c r="E4797" s="312" t="str">
        <f t="shared" si="296"/>
        <v>LO</v>
      </c>
      <c r="F4797" s="369">
        <f>VLOOKUP(C4797,METADATA!$A$5:$H$29,IF(E4797="HI",2,IF(E4797="LO",6,10))+IF(D4797=1,2,IF(D4797=7,1,(IF(WEEKDAY(B4797)=1,2,IF(WEEKDAY(B4797)=7,1,0))))))</f>
        <v>3</v>
      </c>
      <c r="G4797" s="369">
        <f>VLOOKUP(C4797,METADATA!$J$5:$Q$29,IF(E4797="HI",2,IF(E4797="LO",6,10))+IF(D4797=1,2,IF(D4797=7,1,(IF(WEEKDAY(B4797)=1,2,IF(WEEKDAY(B4797)=7,1,0))))))</f>
        <v>3</v>
      </c>
      <c r="H4797" s="370">
        <v>12690.975158691406</v>
      </c>
      <c r="I4797" s="370">
        <v>10685.200134277344</v>
      </c>
      <c r="M4797" s="371">
        <f t="shared" si="297"/>
        <v>16590.188437389217</v>
      </c>
      <c r="N4797" s="329">
        <f t="shared" si="298"/>
        <v>6877.9075866699222</v>
      </c>
      <c r="T4797" s="331">
        <v>0</v>
      </c>
      <c r="U4797" s="328">
        <f>VLOOKUP(C4797,METADATA!$J$5:$Q$29,IF(E4797="HI",2,IF(E4797="LO",6,10))+IF(T4797=1,2,IF(D4797=7,1,(IF(WEEKDAY(B4797)=1,2,IF(WEEKDAY(B4797)=7,1,0))))))</f>
        <v>3</v>
      </c>
      <c r="V4797" s="328">
        <f>VLOOKUP(C4797,METADATA!$A$5:$H$29,IF(E4797="HI",2,IF(E4797="LO",6,10))+IF(T4797=1,2,IF(D4797=7,1,(IF(WEEKDAY(B4797)=1,2,IF(WEEKDAY(B4797)=7,1,0))))))</f>
        <v>3</v>
      </c>
    </row>
    <row r="4798" spans="2:22">
      <c r="B4798" s="318">
        <f t="shared" si="299"/>
        <v>46312</v>
      </c>
      <c r="C4798" s="312">
        <v>18</v>
      </c>
      <c r="D4798" s="368">
        <f>IFERROR((INDEX(METADATA!$T$2:$T$20,MATCH(B4798,METADATA!$S$2:$S$20,0))),0)</f>
        <v>0</v>
      </c>
      <c r="E4798" s="312" t="str">
        <f t="shared" si="296"/>
        <v>LO</v>
      </c>
      <c r="F4798" s="369">
        <f>VLOOKUP(C4798,METADATA!$A$5:$H$29,IF(E4798="HI",2,IF(E4798="LO",6,10))+IF(D4798=1,2,IF(D4798=7,1,(IF(WEEKDAY(B4798)=1,2,IF(WEEKDAY(B4798)=7,1,0))))))</f>
        <v>2</v>
      </c>
      <c r="G4798" s="369">
        <f>VLOOKUP(C4798,METADATA!$J$5:$Q$29,IF(E4798="HI",2,IF(E4798="LO",6,10))+IF(D4798=1,2,IF(D4798=7,1,(IF(WEEKDAY(B4798)=1,2,IF(WEEKDAY(B4798)=7,1,0))))))</f>
        <v>2</v>
      </c>
      <c r="H4798" s="370">
        <v>12768.700134277344</v>
      </c>
      <c r="I4798" s="370">
        <v>10646.249938964844</v>
      </c>
      <c r="M4798" s="371">
        <f t="shared" si="297"/>
        <v>16624.750851727167</v>
      </c>
      <c r="N4798" s="329">
        <f t="shared" si="298"/>
        <v>6815.6398986816403</v>
      </c>
      <c r="T4798" s="331">
        <v>0</v>
      </c>
      <c r="U4798" s="328">
        <f>VLOOKUP(C4798,METADATA!$J$5:$Q$29,IF(E4798="HI",2,IF(E4798="LO",6,10))+IF(T4798=1,2,IF(D4798=7,1,(IF(WEEKDAY(B4798)=1,2,IF(WEEKDAY(B4798)=7,1,0))))))</f>
        <v>2</v>
      </c>
      <c r="V4798" s="328">
        <f>VLOOKUP(C4798,METADATA!$A$5:$H$29,IF(E4798="HI",2,IF(E4798="LO",6,10))+IF(T4798=1,2,IF(D4798=7,1,(IF(WEEKDAY(B4798)=1,2,IF(WEEKDAY(B4798)=7,1,0))))))</f>
        <v>2</v>
      </c>
    </row>
    <row r="4799" spans="2:22">
      <c r="B4799" s="318">
        <f t="shared" si="299"/>
        <v>46312</v>
      </c>
      <c r="C4799" s="312">
        <v>19</v>
      </c>
      <c r="D4799" s="368">
        <f>IFERROR((INDEX(METADATA!$T$2:$T$20,MATCH(B4799,METADATA!$S$2:$S$20,0))),0)</f>
        <v>0</v>
      </c>
      <c r="E4799" s="312" t="str">
        <f t="shared" si="296"/>
        <v>LO</v>
      </c>
      <c r="F4799" s="369">
        <f>VLOOKUP(C4799,METADATA!$A$5:$H$29,IF(E4799="HI",2,IF(E4799="LO",6,10))+IF(D4799=1,2,IF(D4799=7,1,(IF(WEEKDAY(B4799)=1,2,IF(WEEKDAY(B4799)=7,1,0))))))</f>
        <v>2</v>
      </c>
      <c r="G4799" s="369">
        <f>VLOOKUP(C4799,METADATA!$J$5:$Q$29,IF(E4799="HI",2,IF(E4799="LO",6,10))+IF(D4799=1,2,IF(D4799=7,1,(IF(WEEKDAY(B4799)=1,2,IF(WEEKDAY(B4799)=7,1,0))))))</f>
        <v>2</v>
      </c>
      <c r="H4799" s="370">
        <v>12892.999938964844</v>
      </c>
      <c r="I4799" s="370">
        <v>10634.950073242188</v>
      </c>
      <c r="M4799" s="371">
        <f t="shared" si="297"/>
        <v>16713.216640925271</v>
      </c>
      <c r="N4799" s="329">
        <f t="shared" si="298"/>
        <v>6767.0500915527346</v>
      </c>
      <c r="T4799" s="331">
        <v>0</v>
      </c>
      <c r="U4799" s="328">
        <f>VLOOKUP(C4799,METADATA!$J$5:$Q$29,IF(E4799="HI",2,IF(E4799="LO",6,10))+IF(T4799=1,2,IF(D4799=7,1,(IF(WEEKDAY(B4799)=1,2,IF(WEEKDAY(B4799)=7,1,0))))))</f>
        <v>2</v>
      </c>
      <c r="V4799" s="328">
        <f>VLOOKUP(C4799,METADATA!$A$5:$H$29,IF(E4799="HI",2,IF(E4799="LO",6,10))+IF(T4799=1,2,IF(D4799=7,1,(IF(WEEKDAY(B4799)=1,2,IF(WEEKDAY(B4799)=7,1,0))))))</f>
        <v>2</v>
      </c>
    </row>
    <row r="4800" spans="2:22">
      <c r="B4800" s="318">
        <f t="shared" si="299"/>
        <v>46312</v>
      </c>
      <c r="C4800" s="312">
        <v>20</v>
      </c>
      <c r="D4800" s="368">
        <f>IFERROR((INDEX(METADATA!$T$2:$T$20,MATCH(B4800,METADATA!$S$2:$S$20,0))),0)</f>
        <v>0</v>
      </c>
      <c r="E4800" s="312" t="str">
        <f t="shared" si="296"/>
        <v>LO</v>
      </c>
      <c r="F4800" s="369">
        <f>VLOOKUP(C4800,METADATA!$A$5:$H$29,IF(E4800="HI",2,IF(E4800="LO",6,10))+IF(D4800=1,2,IF(D4800=7,1,(IF(WEEKDAY(B4800)=1,2,IF(WEEKDAY(B4800)=7,1,0))))))</f>
        <v>3</v>
      </c>
      <c r="G4800" s="369">
        <f>VLOOKUP(C4800,METADATA!$J$5:$Q$29,IF(E4800="HI",2,IF(E4800="LO",6,10))+IF(D4800=1,2,IF(D4800=7,1,(IF(WEEKDAY(B4800)=1,2,IF(WEEKDAY(B4800)=7,1,0))))))</f>
        <v>3</v>
      </c>
      <c r="H4800" s="370">
        <v>12933.724731445313</v>
      </c>
      <c r="I4800" s="370">
        <v>10760.89990234375</v>
      </c>
      <c r="M4800" s="371">
        <f t="shared" si="297"/>
        <v>16824.927997975559</v>
      </c>
      <c r="N4800" s="329">
        <f t="shared" si="298"/>
        <v>6880.7824829101564</v>
      </c>
      <c r="T4800" s="331">
        <v>0</v>
      </c>
      <c r="U4800" s="328">
        <f>VLOOKUP(C4800,METADATA!$J$5:$Q$29,IF(E4800="HI",2,IF(E4800="LO",6,10))+IF(T4800=1,2,IF(D4800=7,1,(IF(WEEKDAY(B4800)=1,2,IF(WEEKDAY(B4800)=7,1,0))))))</f>
        <v>3</v>
      </c>
      <c r="V4800" s="328">
        <f>VLOOKUP(C4800,METADATA!$A$5:$H$29,IF(E4800="HI",2,IF(E4800="LO",6,10))+IF(T4800=1,2,IF(D4800=7,1,(IF(WEEKDAY(B4800)=1,2,IF(WEEKDAY(B4800)=7,1,0))))))</f>
        <v>3</v>
      </c>
    </row>
    <row r="4801" spans="2:22">
      <c r="B4801" s="318">
        <f t="shared" si="299"/>
        <v>46312</v>
      </c>
      <c r="C4801" s="312">
        <v>21</v>
      </c>
      <c r="D4801" s="368">
        <f>IFERROR((INDEX(METADATA!$T$2:$T$20,MATCH(B4801,METADATA!$S$2:$S$20,0))),0)</f>
        <v>0</v>
      </c>
      <c r="E4801" s="312" t="str">
        <f t="shared" si="296"/>
        <v>LO</v>
      </c>
      <c r="F4801" s="369">
        <f>VLOOKUP(C4801,METADATA!$A$5:$H$29,IF(E4801="HI",2,IF(E4801="LO",6,10))+IF(D4801=1,2,IF(D4801=7,1,(IF(WEEKDAY(B4801)=1,2,IF(WEEKDAY(B4801)=7,1,0))))))</f>
        <v>3</v>
      </c>
      <c r="G4801" s="369">
        <f>VLOOKUP(C4801,METADATA!$J$5:$Q$29,IF(E4801="HI",2,IF(E4801="LO",6,10))+IF(D4801=1,2,IF(D4801=7,1,(IF(WEEKDAY(B4801)=1,2,IF(WEEKDAY(B4801)=7,1,0))))))</f>
        <v>3</v>
      </c>
      <c r="H4801" s="370">
        <v>12996.400085449219</v>
      </c>
      <c r="I4801" s="370">
        <v>10820.124877929688</v>
      </c>
      <c r="M4801" s="371">
        <f t="shared" si="297"/>
        <v>16910.988071518987</v>
      </c>
      <c r="N4801" s="329">
        <f t="shared" si="298"/>
        <v>6921.2048522949226</v>
      </c>
      <c r="T4801" s="331">
        <v>0</v>
      </c>
      <c r="U4801" s="328">
        <f>VLOOKUP(C4801,METADATA!$J$5:$Q$29,IF(E4801="HI",2,IF(E4801="LO",6,10))+IF(T4801=1,2,IF(D4801=7,1,(IF(WEEKDAY(B4801)=1,2,IF(WEEKDAY(B4801)=7,1,0))))))</f>
        <v>3</v>
      </c>
      <c r="V4801" s="328">
        <f>VLOOKUP(C4801,METADATA!$A$5:$H$29,IF(E4801="HI",2,IF(E4801="LO",6,10))+IF(T4801=1,2,IF(D4801=7,1,(IF(WEEKDAY(B4801)=1,2,IF(WEEKDAY(B4801)=7,1,0))))))</f>
        <v>3</v>
      </c>
    </row>
    <row r="4802" spans="2:22">
      <c r="B4802" s="318">
        <f t="shared" si="299"/>
        <v>46312</v>
      </c>
      <c r="C4802" s="312">
        <v>22</v>
      </c>
      <c r="D4802" s="368">
        <f>IFERROR((INDEX(METADATA!$T$2:$T$20,MATCH(B4802,METADATA!$S$2:$S$20,0))),0)</f>
        <v>0</v>
      </c>
      <c r="E4802" s="312" t="str">
        <f t="shared" si="296"/>
        <v>LO</v>
      </c>
      <c r="F4802" s="369">
        <f>VLOOKUP(C4802,METADATA!$A$5:$H$29,IF(E4802="HI",2,IF(E4802="LO",6,10))+IF(D4802=1,2,IF(D4802=7,1,(IF(WEEKDAY(B4802)=1,2,IF(WEEKDAY(B4802)=7,1,0))))))</f>
        <v>3</v>
      </c>
      <c r="G4802" s="369">
        <f>VLOOKUP(C4802,METADATA!$J$5:$Q$29,IF(E4802="HI",2,IF(E4802="LO",6,10))+IF(D4802=1,2,IF(D4802=7,1,(IF(WEEKDAY(B4802)=1,2,IF(WEEKDAY(B4802)=7,1,0))))))</f>
        <v>3</v>
      </c>
      <c r="H4802" s="370">
        <v>12883.5751953125</v>
      </c>
      <c r="I4802" s="370">
        <v>10798.89990234375</v>
      </c>
      <c r="M4802" s="371">
        <f t="shared" si="297"/>
        <v>16810.792631940691</v>
      </c>
      <c r="N4802" s="329">
        <f t="shared" si="298"/>
        <v>6933.8273437500002</v>
      </c>
      <c r="T4802" s="331">
        <v>0</v>
      </c>
      <c r="U4802" s="328">
        <f>VLOOKUP(C4802,METADATA!$J$5:$Q$29,IF(E4802="HI",2,IF(E4802="LO",6,10))+IF(T4802=1,2,IF(D4802=7,1,(IF(WEEKDAY(B4802)=1,2,IF(WEEKDAY(B4802)=7,1,0))))))</f>
        <v>3</v>
      </c>
      <c r="V4802" s="328">
        <f>VLOOKUP(C4802,METADATA!$A$5:$H$29,IF(E4802="HI",2,IF(E4802="LO",6,10))+IF(T4802=1,2,IF(D4802=7,1,(IF(WEEKDAY(B4802)=1,2,IF(WEEKDAY(B4802)=7,1,0))))))</f>
        <v>3</v>
      </c>
    </row>
    <row r="4803" spans="2:22">
      <c r="B4803" s="318">
        <f t="shared" si="299"/>
        <v>46312</v>
      </c>
      <c r="C4803" s="312">
        <v>23</v>
      </c>
      <c r="D4803" s="368">
        <f>IFERROR((INDEX(METADATA!$T$2:$T$20,MATCH(B4803,METADATA!$S$2:$S$20,0))),0)</f>
        <v>0</v>
      </c>
      <c r="E4803" s="312" t="str">
        <f t="shared" si="296"/>
        <v>LO</v>
      </c>
      <c r="F4803" s="369">
        <f>VLOOKUP(C4803,METADATA!$A$5:$H$29,IF(E4803="HI",2,IF(E4803="LO",6,10))+IF(D4803=1,2,IF(D4803=7,1,(IF(WEEKDAY(B4803)=1,2,IF(WEEKDAY(B4803)=7,1,0))))))</f>
        <v>3</v>
      </c>
      <c r="G4803" s="369">
        <f>VLOOKUP(C4803,METADATA!$J$5:$Q$29,IF(E4803="HI",2,IF(E4803="LO",6,10))+IF(D4803=1,2,IF(D4803=7,1,(IF(WEEKDAY(B4803)=1,2,IF(WEEKDAY(B4803)=7,1,0))))))</f>
        <v>3</v>
      </c>
      <c r="H4803" s="370">
        <v>12940.89990234375</v>
      </c>
      <c r="I4803" s="370">
        <v>10887.85009765625</v>
      </c>
      <c r="M4803" s="371">
        <f t="shared" si="297"/>
        <v>16911.894335984769</v>
      </c>
      <c r="N4803" s="329">
        <f t="shared" si="298"/>
        <v>7005.5801269531257</v>
      </c>
      <c r="T4803" s="331">
        <v>0</v>
      </c>
      <c r="U4803" s="328">
        <f>VLOOKUP(C4803,METADATA!$J$5:$Q$29,IF(E4803="HI",2,IF(E4803="LO",6,10))+IF(T4803=1,2,IF(D4803=7,1,(IF(WEEKDAY(B4803)=1,2,IF(WEEKDAY(B4803)=7,1,0))))))</f>
        <v>3</v>
      </c>
      <c r="V4803" s="328">
        <f>VLOOKUP(C4803,METADATA!$A$5:$H$29,IF(E4803="HI",2,IF(E4803="LO",6,10))+IF(T4803=1,2,IF(D4803=7,1,(IF(WEEKDAY(B4803)=1,2,IF(WEEKDAY(B4803)=7,1,0))))))</f>
        <v>3</v>
      </c>
    </row>
    <row r="4804" spans="2:22">
      <c r="B4804" s="318">
        <f t="shared" si="299"/>
        <v>46313</v>
      </c>
      <c r="C4804" s="312">
        <v>0</v>
      </c>
      <c r="D4804" s="368">
        <f>IFERROR((INDEX(METADATA!$T$2:$T$20,MATCH(B4804,METADATA!$S$2:$S$20,0))),0)</f>
        <v>0</v>
      </c>
      <c r="E4804" s="312" t="str">
        <f t="shared" ref="E4804:E4867" si="300">IF(B4804="","",IF(AND(MONTH(B4804)&gt;=MONTH($Z$9),MONTH(B4804)&lt;=MONTH($Z$11)),"HI","LO"))</f>
        <v>LO</v>
      </c>
      <c r="F4804" s="369">
        <f>VLOOKUP(C4804,METADATA!$A$5:$H$29,IF(E4804="HI",2,IF(E4804="LO",6,10))+IF(D4804=1,2,IF(D4804=7,1,(IF(WEEKDAY(B4804)=1,2,IF(WEEKDAY(B4804)=7,1,0))))))</f>
        <v>3</v>
      </c>
      <c r="G4804" s="369">
        <f>VLOOKUP(C4804,METADATA!$J$5:$Q$29,IF(E4804="HI",2,IF(E4804="LO",6,10))+IF(D4804=1,2,IF(D4804=7,1,(IF(WEEKDAY(B4804)=1,2,IF(WEEKDAY(B4804)=7,1,0))))))</f>
        <v>3</v>
      </c>
      <c r="H4804" s="370">
        <v>12952.10009765625</v>
      </c>
      <c r="I4804" s="370">
        <v>10944.049987792969</v>
      </c>
      <c r="M4804" s="371">
        <f t="shared" ref="M4804:M4867" si="301">SQRT(H4804^2+I4804^2)</f>
        <v>16956.683846643431</v>
      </c>
      <c r="N4804" s="329">
        <f t="shared" ref="N4804:N4867" si="302">IF(H4804=0,0,(IF(I4804-(0.3*H4804)&lt;0,0,(I4804-(0.3*H4804)))))</f>
        <v>7058.4199584960934</v>
      </c>
      <c r="T4804" s="331">
        <v>0</v>
      </c>
      <c r="U4804" s="328">
        <f>VLOOKUP(C4804,METADATA!$J$5:$Q$29,IF(E4804="HI",2,IF(E4804="LO",6,10))+IF(T4804=1,2,IF(D4804=7,1,(IF(WEEKDAY(B4804)=1,2,IF(WEEKDAY(B4804)=7,1,0))))))</f>
        <v>3</v>
      </c>
      <c r="V4804" s="328">
        <f>VLOOKUP(C4804,METADATA!$A$5:$H$29,IF(E4804="HI",2,IF(E4804="LO",6,10))+IF(T4804=1,2,IF(D4804=7,1,(IF(WEEKDAY(B4804)=1,2,IF(WEEKDAY(B4804)=7,1,0))))))</f>
        <v>3</v>
      </c>
    </row>
    <row r="4805" spans="2:22">
      <c r="B4805" s="318">
        <f t="shared" si="299"/>
        <v>46313</v>
      </c>
      <c r="C4805" s="312">
        <v>1</v>
      </c>
      <c r="D4805" s="368">
        <f>IFERROR((INDEX(METADATA!$T$2:$T$20,MATCH(B4805,METADATA!$S$2:$S$20,0))),0)</f>
        <v>0</v>
      </c>
      <c r="E4805" s="312" t="str">
        <f t="shared" si="300"/>
        <v>LO</v>
      </c>
      <c r="F4805" s="369">
        <f>VLOOKUP(C4805,METADATA!$A$5:$H$29,IF(E4805="HI",2,IF(E4805="LO",6,10))+IF(D4805=1,2,IF(D4805=7,1,(IF(WEEKDAY(B4805)=1,2,IF(WEEKDAY(B4805)=7,1,0))))))</f>
        <v>3</v>
      </c>
      <c r="G4805" s="369">
        <f>VLOOKUP(C4805,METADATA!$J$5:$Q$29,IF(E4805="HI",2,IF(E4805="LO",6,10))+IF(D4805=1,2,IF(D4805=7,1,(IF(WEEKDAY(B4805)=1,2,IF(WEEKDAY(B4805)=7,1,0))))))</f>
        <v>3</v>
      </c>
      <c r="H4805" s="370">
        <v>13229.5771484375</v>
      </c>
      <c r="I4805" s="370">
        <v>10711.979919433594</v>
      </c>
      <c r="M4805" s="371">
        <f t="shared" si="301"/>
        <v>17022.579866777192</v>
      </c>
      <c r="N4805" s="329">
        <f t="shared" si="302"/>
        <v>6743.1067749023441</v>
      </c>
      <c r="T4805" s="331">
        <v>0</v>
      </c>
      <c r="U4805" s="328">
        <f>VLOOKUP(C4805,METADATA!$J$5:$Q$29,IF(E4805="HI",2,IF(E4805="LO",6,10))+IF(T4805=1,2,IF(D4805=7,1,(IF(WEEKDAY(B4805)=1,2,IF(WEEKDAY(B4805)=7,1,0))))))</f>
        <v>3</v>
      </c>
      <c r="V4805" s="328">
        <f>VLOOKUP(C4805,METADATA!$A$5:$H$29,IF(E4805="HI",2,IF(E4805="LO",6,10))+IF(T4805=1,2,IF(D4805=7,1,(IF(WEEKDAY(B4805)=1,2,IF(WEEKDAY(B4805)=7,1,0))))))</f>
        <v>3</v>
      </c>
    </row>
    <row r="4806" spans="2:22">
      <c r="B4806" s="318">
        <f t="shared" si="299"/>
        <v>46313</v>
      </c>
      <c r="C4806" s="312">
        <v>2</v>
      </c>
      <c r="D4806" s="368">
        <f>IFERROR((INDEX(METADATA!$T$2:$T$20,MATCH(B4806,METADATA!$S$2:$S$20,0))),0)</f>
        <v>0</v>
      </c>
      <c r="E4806" s="312" t="str">
        <f t="shared" si="300"/>
        <v>LO</v>
      </c>
      <c r="F4806" s="369">
        <f>VLOOKUP(C4806,METADATA!$A$5:$H$29,IF(E4806="HI",2,IF(E4806="LO",6,10))+IF(D4806=1,2,IF(D4806=7,1,(IF(WEEKDAY(B4806)=1,2,IF(WEEKDAY(B4806)=7,1,0))))))</f>
        <v>3</v>
      </c>
      <c r="G4806" s="369">
        <f>VLOOKUP(C4806,METADATA!$J$5:$Q$29,IF(E4806="HI",2,IF(E4806="LO",6,10))+IF(D4806=1,2,IF(D4806=7,1,(IF(WEEKDAY(B4806)=1,2,IF(WEEKDAY(B4806)=7,1,0))))))</f>
        <v>3</v>
      </c>
      <c r="H4806" s="370">
        <v>13161.275024414063</v>
      </c>
      <c r="I4806" s="370">
        <v>10728.900024414063</v>
      </c>
      <c r="M4806" s="371">
        <f t="shared" si="301"/>
        <v>16980.237218665039</v>
      </c>
      <c r="N4806" s="329">
        <f t="shared" si="302"/>
        <v>6780.5175170898438</v>
      </c>
      <c r="T4806" s="331">
        <v>0</v>
      </c>
      <c r="U4806" s="328">
        <f>VLOOKUP(C4806,METADATA!$J$5:$Q$29,IF(E4806="HI",2,IF(E4806="LO",6,10))+IF(T4806=1,2,IF(D4806=7,1,(IF(WEEKDAY(B4806)=1,2,IF(WEEKDAY(B4806)=7,1,0))))))</f>
        <v>3</v>
      </c>
      <c r="V4806" s="328">
        <f>VLOOKUP(C4806,METADATA!$A$5:$H$29,IF(E4806="HI",2,IF(E4806="LO",6,10))+IF(T4806=1,2,IF(D4806=7,1,(IF(WEEKDAY(B4806)=1,2,IF(WEEKDAY(B4806)=7,1,0))))))</f>
        <v>3</v>
      </c>
    </row>
    <row r="4807" spans="2:22">
      <c r="B4807" s="318">
        <f t="shared" si="299"/>
        <v>46313</v>
      </c>
      <c r="C4807" s="312">
        <v>3</v>
      </c>
      <c r="D4807" s="368">
        <f>IFERROR((INDEX(METADATA!$T$2:$T$20,MATCH(B4807,METADATA!$S$2:$S$20,0))),0)</f>
        <v>0</v>
      </c>
      <c r="E4807" s="312" t="str">
        <f t="shared" si="300"/>
        <v>LO</v>
      </c>
      <c r="F4807" s="369">
        <f>VLOOKUP(C4807,METADATA!$A$5:$H$29,IF(E4807="HI",2,IF(E4807="LO",6,10))+IF(D4807=1,2,IF(D4807=7,1,(IF(WEEKDAY(B4807)=1,2,IF(WEEKDAY(B4807)=7,1,0))))))</f>
        <v>3</v>
      </c>
      <c r="G4807" s="369">
        <f>VLOOKUP(C4807,METADATA!$J$5:$Q$29,IF(E4807="HI",2,IF(E4807="LO",6,10))+IF(D4807=1,2,IF(D4807=7,1,(IF(WEEKDAY(B4807)=1,2,IF(WEEKDAY(B4807)=7,1,0))))))</f>
        <v>3</v>
      </c>
      <c r="H4807" s="370">
        <v>13041.350219726563</v>
      </c>
      <c r="I4807" s="370">
        <v>10634.724975585938</v>
      </c>
      <c r="M4807" s="371">
        <f t="shared" si="301"/>
        <v>16827.780330748123</v>
      </c>
      <c r="N4807" s="329">
        <f t="shared" si="302"/>
        <v>6722.3199096679691</v>
      </c>
      <c r="T4807" s="331">
        <v>0</v>
      </c>
      <c r="U4807" s="328">
        <f>VLOOKUP(C4807,METADATA!$J$5:$Q$29,IF(E4807="HI",2,IF(E4807="LO",6,10))+IF(T4807=1,2,IF(D4807=7,1,(IF(WEEKDAY(B4807)=1,2,IF(WEEKDAY(B4807)=7,1,0))))))</f>
        <v>3</v>
      </c>
      <c r="V4807" s="328">
        <f>VLOOKUP(C4807,METADATA!$A$5:$H$29,IF(E4807="HI",2,IF(E4807="LO",6,10))+IF(T4807=1,2,IF(D4807=7,1,(IF(WEEKDAY(B4807)=1,2,IF(WEEKDAY(B4807)=7,1,0))))))</f>
        <v>3</v>
      </c>
    </row>
    <row r="4808" spans="2:22">
      <c r="B4808" s="318">
        <f t="shared" si="299"/>
        <v>46313</v>
      </c>
      <c r="C4808" s="312">
        <v>4</v>
      </c>
      <c r="D4808" s="368">
        <f>IFERROR((INDEX(METADATA!$T$2:$T$20,MATCH(B4808,METADATA!$S$2:$S$20,0))),0)</f>
        <v>0</v>
      </c>
      <c r="E4808" s="312" t="str">
        <f t="shared" si="300"/>
        <v>LO</v>
      </c>
      <c r="F4808" s="369">
        <f>VLOOKUP(C4808,METADATA!$A$5:$H$29,IF(E4808="HI",2,IF(E4808="LO",6,10))+IF(D4808=1,2,IF(D4808=7,1,(IF(WEEKDAY(B4808)=1,2,IF(WEEKDAY(B4808)=7,1,0))))))</f>
        <v>3</v>
      </c>
      <c r="G4808" s="369">
        <f>VLOOKUP(C4808,METADATA!$J$5:$Q$29,IF(E4808="HI",2,IF(E4808="LO",6,10))+IF(D4808=1,2,IF(D4808=7,1,(IF(WEEKDAY(B4808)=1,2,IF(WEEKDAY(B4808)=7,1,0))))))</f>
        <v>3</v>
      </c>
      <c r="H4808" s="370">
        <v>13025.325073242188</v>
      </c>
      <c r="I4808" s="370">
        <v>10551.7998046875</v>
      </c>
      <c r="M4808" s="371">
        <f t="shared" si="301"/>
        <v>16763.041859454828</v>
      </c>
      <c r="N4808" s="329">
        <f t="shared" si="302"/>
        <v>6644.2022827148439</v>
      </c>
      <c r="T4808" s="331">
        <v>0</v>
      </c>
      <c r="U4808" s="328">
        <f>VLOOKUP(C4808,METADATA!$J$5:$Q$29,IF(E4808="HI",2,IF(E4808="LO",6,10))+IF(T4808=1,2,IF(D4808=7,1,(IF(WEEKDAY(B4808)=1,2,IF(WEEKDAY(B4808)=7,1,0))))))</f>
        <v>3</v>
      </c>
      <c r="V4808" s="328">
        <f>VLOOKUP(C4808,METADATA!$A$5:$H$29,IF(E4808="HI",2,IF(E4808="LO",6,10))+IF(T4808=1,2,IF(D4808=7,1,(IF(WEEKDAY(B4808)=1,2,IF(WEEKDAY(B4808)=7,1,0))))))</f>
        <v>3</v>
      </c>
    </row>
    <row r="4809" spans="2:22">
      <c r="B4809" s="318">
        <f t="shared" si="299"/>
        <v>46313</v>
      </c>
      <c r="C4809" s="312">
        <v>5</v>
      </c>
      <c r="D4809" s="368">
        <f>IFERROR((INDEX(METADATA!$T$2:$T$20,MATCH(B4809,METADATA!$S$2:$S$20,0))),0)</f>
        <v>0</v>
      </c>
      <c r="E4809" s="312" t="str">
        <f t="shared" si="300"/>
        <v>LO</v>
      </c>
      <c r="F4809" s="369">
        <f>VLOOKUP(C4809,METADATA!$A$5:$H$29,IF(E4809="HI",2,IF(E4809="LO",6,10))+IF(D4809=1,2,IF(D4809=7,1,(IF(WEEKDAY(B4809)=1,2,IF(WEEKDAY(B4809)=7,1,0))))))</f>
        <v>3</v>
      </c>
      <c r="G4809" s="369">
        <f>VLOOKUP(C4809,METADATA!$J$5:$Q$29,IF(E4809="HI",2,IF(E4809="LO",6,10))+IF(D4809=1,2,IF(D4809=7,1,(IF(WEEKDAY(B4809)=1,2,IF(WEEKDAY(B4809)=7,1,0))))))</f>
        <v>3</v>
      </c>
      <c r="H4809" s="370">
        <v>12982.549987792969</v>
      </c>
      <c r="I4809" s="370">
        <v>10458.274719238281</v>
      </c>
      <c r="M4809" s="371">
        <f t="shared" si="301"/>
        <v>16670.996199645713</v>
      </c>
      <c r="N4809" s="329">
        <f t="shared" si="302"/>
        <v>6563.5097229003914</v>
      </c>
      <c r="T4809" s="331">
        <v>0</v>
      </c>
      <c r="U4809" s="328">
        <f>VLOOKUP(C4809,METADATA!$J$5:$Q$29,IF(E4809="HI",2,IF(E4809="LO",6,10))+IF(T4809=1,2,IF(D4809=7,1,(IF(WEEKDAY(B4809)=1,2,IF(WEEKDAY(B4809)=7,1,0))))))</f>
        <v>3</v>
      </c>
      <c r="V4809" s="328">
        <f>VLOOKUP(C4809,METADATA!$A$5:$H$29,IF(E4809="HI",2,IF(E4809="LO",6,10))+IF(T4809=1,2,IF(D4809=7,1,(IF(WEEKDAY(B4809)=1,2,IF(WEEKDAY(B4809)=7,1,0))))))</f>
        <v>3</v>
      </c>
    </row>
    <row r="4810" spans="2:22">
      <c r="B4810" s="318">
        <f t="shared" si="299"/>
        <v>46313</v>
      </c>
      <c r="C4810" s="312">
        <v>6</v>
      </c>
      <c r="D4810" s="368">
        <f>IFERROR((INDEX(METADATA!$T$2:$T$20,MATCH(B4810,METADATA!$S$2:$S$20,0))),0)</f>
        <v>0</v>
      </c>
      <c r="E4810" s="312" t="str">
        <f t="shared" si="300"/>
        <v>LO</v>
      </c>
      <c r="F4810" s="369">
        <f>VLOOKUP(C4810,METADATA!$A$5:$H$29,IF(E4810="HI",2,IF(E4810="LO",6,10))+IF(D4810=1,2,IF(D4810=7,1,(IF(WEEKDAY(B4810)=1,2,IF(WEEKDAY(B4810)=7,1,0))))))</f>
        <v>3</v>
      </c>
      <c r="G4810" s="369">
        <f>VLOOKUP(C4810,METADATA!$J$5:$Q$29,IF(E4810="HI",2,IF(E4810="LO",6,10))+IF(D4810=1,2,IF(D4810=7,1,(IF(WEEKDAY(B4810)=1,2,IF(WEEKDAY(B4810)=7,1,0))))))</f>
        <v>3</v>
      </c>
      <c r="H4810" s="370">
        <v>12928.399658203125</v>
      </c>
      <c r="I4810" s="370">
        <v>10407.025024414063</v>
      </c>
      <c r="M4810" s="371">
        <f t="shared" si="301"/>
        <v>16596.677004177891</v>
      </c>
      <c r="N4810" s="329">
        <f t="shared" si="302"/>
        <v>6528.505126953125</v>
      </c>
      <c r="T4810" s="331">
        <v>0</v>
      </c>
      <c r="U4810" s="328">
        <f>VLOOKUP(C4810,METADATA!$J$5:$Q$29,IF(E4810="HI",2,IF(E4810="LO",6,10))+IF(T4810=1,2,IF(D4810=7,1,(IF(WEEKDAY(B4810)=1,2,IF(WEEKDAY(B4810)=7,1,0))))))</f>
        <v>3</v>
      </c>
      <c r="V4810" s="328">
        <f>VLOOKUP(C4810,METADATA!$A$5:$H$29,IF(E4810="HI",2,IF(E4810="LO",6,10))+IF(T4810=1,2,IF(D4810=7,1,(IF(WEEKDAY(B4810)=1,2,IF(WEEKDAY(B4810)=7,1,0))))))</f>
        <v>3</v>
      </c>
    </row>
    <row r="4811" spans="2:22">
      <c r="B4811" s="318">
        <f t="shared" si="299"/>
        <v>46313</v>
      </c>
      <c r="C4811" s="312">
        <v>7</v>
      </c>
      <c r="D4811" s="368">
        <f>IFERROR((INDEX(METADATA!$T$2:$T$20,MATCH(B4811,METADATA!$S$2:$S$20,0))),0)</f>
        <v>0</v>
      </c>
      <c r="E4811" s="312" t="str">
        <f t="shared" si="300"/>
        <v>LO</v>
      </c>
      <c r="F4811" s="369">
        <f>VLOOKUP(C4811,METADATA!$A$5:$H$29,IF(E4811="HI",2,IF(E4811="LO",6,10))+IF(D4811=1,2,IF(D4811=7,1,(IF(WEEKDAY(B4811)=1,2,IF(WEEKDAY(B4811)=7,1,0))))))</f>
        <v>3</v>
      </c>
      <c r="G4811" s="369">
        <f>VLOOKUP(C4811,METADATA!$J$5:$Q$29,IF(E4811="HI",2,IF(E4811="LO",6,10))+IF(D4811=1,2,IF(D4811=7,1,(IF(WEEKDAY(B4811)=1,2,IF(WEEKDAY(B4811)=7,1,0))))))</f>
        <v>3</v>
      </c>
      <c r="H4811" s="370">
        <v>12751.324645996094</v>
      </c>
      <c r="I4811" s="370">
        <v>10449.299987792969</v>
      </c>
      <c r="M4811" s="371">
        <f t="shared" si="301"/>
        <v>16485.877303391455</v>
      </c>
      <c r="N4811" s="329">
        <f t="shared" si="302"/>
        <v>6623.9025939941403</v>
      </c>
      <c r="T4811" s="331">
        <v>0</v>
      </c>
      <c r="U4811" s="328">
        <f>VLOOKUP(C4811,METADATA!$J$5:$Q$29,IF(E4811="HI",2,IF(E4811="LO",6,10))+IF(T4811=1,2,IF(D4811=7,1,(IF(WEEKDAY(B4811)=1,2,IF(WEEKDAY(B4811)=7,1,0))))))</f>
        <v>3</v>
      </c>
      <c r="V4811" s="328">
        <f>VLOOKUP(C4811,METADATA!$A$5:$H$29,IF(E4811="HI",2,IF(E4811="LO",6,10))+IF(T4811=1,2,IF(D4811=7,1,(IF(WEEKDAY(B4811)=1,2,IF(WEEKDAY(B4811)=7,1,0))))))</f>
        <v>3</v>
      </c>
    </row>
    <row r="4812" spans="2:22">
      <c r="B4812" s="318">
        <f t="shared" si="299"/>
        <v>46313</v>
      </c>
      <c r="C4812" s="312">
        <v>8</v>
      </c>
      <c r="D4812" s="368">
        <f>IFERROR((INDEX(METADATA!$T$2:$T$20,MATCH(B4812,METADATA!$S$2:$S$20,0))),0)</f>
        <v>0</v>
      </c>
      <c r="E4812" s="312" t="str">
        <f t="shared" si="300"/>
        <v>LO</v>
      </c>
      <c r="F4812" s="369">
        <f>VLOOKUP(C4812,METADATA!$A$5:$H$29,IF(E4812="HI",2,IF(E4812="LO",6,10))+IF(D4812=1,2,IF(D4812=7,1,(IF(WEEKDAY(B4812)=1,2,IF(WEEKDAY(B4812)=7,1,0))))))</f>
        <v>3</v>
      </c>
      <c r="G4812" s="369">
        <f>VLOOKUP(C4812,METADATA!$J$5:$Q$29,IF(E4812="HI",2,IF(E4812="LO",6,10))+IF(D4812=1,2,IF(D4812=7,1,(IF(WEEKDAY(B4812)=1,2,IF(WEEKDAY(B4812)=7,1,0))))))</f>
        <v>3</v>
      </c>
      <c r="H4812" s="370">
        <v>12477.375</v>
      </c>
      <c r="I4812" s="370">
        <v>10306.075012207031</v>
      </c>
      <c r="M4812" s="371">
        <f t="shared" si="301"/>
        <v>16183.326884416045</v>
      </c>
      <c r="N4812" s="329">
        <f t="shared" si="302"/>
        <v>6562.8625122070316</v>
      </c>
      <c r="T4812" s="331">
        <v>0</v>
      </c>
      <c r="U4812" s="328">
        <f>VLOOKUP(C4812,METADATA!$J$5:$Q$29,IF(E4812="HI",2,IF(E4812="LO",6,10))+IF(T4812=1,2,IF(D4812=7,1,(IF(WEEKDAY(B4812)=1,2,IF(WEEKDAY(B4812)=7,1,0))))))</f>
        <v>3</v>
      </c>
      <c r="V4812" s="328">
        <f>VLOOKUP(C4812,METADATA!$A$5:$H$29,IF(E4812="HI",2,IF(E4812="LO",6,10))+IF(T4812=1,2,IF(D4812=7,1,(IF(WEEKDAY(B4812)=1,2,IF(WEEKDAY(B4812)=7,1,0))))))</f>
        <v>3</v>
      </c>
    </row>
    <row r="4813" spans="2:22">
      <c r="B4813" s="318">
        <f t="shared" si="299"/>
        <v>46313</v>
      </c>
      <c r="C4813" s="312">
        <v>9</v>
      </c>
      <c r="D4813" s="368">
        <f>IFERROR((INDEX(METADATA!$T$2:$T$20,MATCH(B4813,METADATA!$S$2:$S$20,0))),0)</f>
        <v>0</v>
      </c>
      <c r="E4813" s="312" t="str">
        <f t="shared" si="300"/>
        <v>LO</v>
      </c>
      <c r="F4813" s="369">
        <f>VLOOKUP(C4813,METADATA!$A$5:$H$29,IF(E4813="HI",2,IF(E4813="LO",6,10))+IF(D4813=1,2,IF(D4813=7,1,(IF(WEEKDAY(B4813)=1,2,IF(WEEKDAY(B4813)=7,1,0))))))</f>
        <v>3</v>
      </c>
      <c r="G4813" s="369">
        <f>VLOOKUP(C4813,METADATA!$J$5:$Q$29,IF(E4813="HI",2,IF(E4813="LO",6,10))+IF(D4813=1,2,IF(D4813=7,1,(IF(WEEKDAY(B4813)=1,2,IF(WEEKDAY(B4813)=7,1,0))))))</f>
        <v>3</v>
      </c>
      <c r="H4813" s="370">
        <v>7754.0497436523438</v>
      </c>
      <c r="I4813" s="370">
        <v>7790.2999877929688</v>
      </c>
      <c r="M4813" s="371">
        <f t="shared" si="301"/>
        <v>10991.544992713358</v>
      </c>
      <c r="N4813" s="329">
        <f t="shared" si="302"/>
        <v>5464.0850646972658</v>
      </c>
      <c r="T4813" s="331">
        <v>0</v>
      </c>
      <c r="U4813" s="328">
        <f>VLOOKUP(C4813,METADATA!$J$5:$Q$29,IF(E4813="HI",2,IF(E4813="LO",6,10))+IF(T4813=1,2,IF(D4813=7,1,(IF(WEEKDAY(B4813)=1,2,IF(WEEKDAY(B4813)=7,1,0))))))</f>
        <v>3</v>
      </c>
      <c r="V4813" s="328">
        <f>VLOOKUP(C4813,METADATA!$A$5:$H$29,IF(E4813="HI",2,IF(E4813="LO",6,10))+IF(T4813=1,2,IF(D4813=7,1,(IF(WEEKDAY(B4813)=1,2,IF(WEEKDAY(B4813)=7,1,0))))))</f>
        <v>3</v>
      </c>
    </row>
    <row r="4814" spans="2:22">
      <c r="B4814" s="318">
        <f t="shared" si="299"/>
        <v>46313</v>
      </c>
      <c r="C4814" s="312">
        <v>10</v>
      </c>
      <c r="D4814" s="368">
        <f>IFERROR((INDEX(METADATA!$T$2:$T$20,MATCH(B4814,METADATA!$S$2:$S$20,0))),0)</f>
        <v>0</v>
      </c>
      <c r="E4814" s="312" t="str">
        <f t="shared" si="300"/>
        <v>LO</v>
      </c>
      <c r="F4814" s="369">
        <f>VLOOKUP(C4814,METADATA!$A$5:$H$29,IF(E4814="HI",2,IF(E4814="LO",6,10))+IF(D4814=1,2,IF(D4814=7,1,(IF(WEEKDAY(B4814)=1,2,IF(WEEKDAY(B4814)=7,1,0))))))</f>
        <v>3</v>
      </c>
      <c r="G4814" s="369">
        <f>VLOOKUP(C4814,METADATA!$J$5:$Q$29,IF(E4814="HI",2,IF(E4814="LO",6,10))+IF(D4814=1,2,IF(D4814=7,1,(IF(WEEKDAY(B4814)=1,2,IF(WEEKDAY(B4814)=7,1,0))))))</f>
        <v>3</v>
      </c>
      <c r="H4814" s="370">
        <v>6138.7500610351563</v>
      </c>
      <c r="I4814" s="370">
        <v>6687.7748413085938</v>
      </c>
      <c r="M4814" s="371">
        <f t="shared" si="301"/>
        <v>9078.0275743081602</v>
      </c>
      <c r="N4814" s="329">
        <f t="shared" si="302"/>
        <v>4846.1498229980471</v>
      </c>
      <c r="T4814" s="331">
        <v>0</v>
      </c>
      <c r="U4814" s="328">
        <f>VLOOKUP(C4814,METADATA!$J$5:$Q$29,IF(E4814="HI",2,IF(E4814="LO",6,10))+IF(T4814=1,2,IF(D4814=7,1,(IF(WEEKDAY(B4814)=1,2,IF(WEEKDAY(B4814)=7,1,0))))))</f>
        <v>3</v>
      </c>
      <c r="V4814" s="328">
        <f>VLOOKUP(C4814,METADATA!$A$5:$H$29,IF(E4814="HI",2,IF(E4814="LO",6,10))+IF(T4814=1,2,IF(D4814=7,1,(IF(WEEKDAY(B4814)=1,2,IF(WEEKDAY(B4814)=7,1,0))))))</f>
        <v>3</v>
      </c>
    </row>
    <row r="4815" spans="2:22">
      <c r="B4815" s="318">
        <f t="shared" si="299"/>
        <v>46313</v>
      </c>
      <c r="C4815" s="312">
        <v>11</v>
      </c>
      <c r="D4815" s="368">
        <f>IFERROR((INDEX(METADATA!$T$2:$T$20,MATCH(B4815,METADATA!$S$2:$S$20,0))),0)</f>
        <v>0</v>
      </c>
      <c r="E4815" s="312" t="str">
        <f t="shared" si="300"/>
        <v>LO</v>
      </c>
      <c r="F4815" s="369">
        <f>VLOOKUP(C4815,METADATA!$A$5:$H$29,IF(E4815="HI",2,IF(E4815="LO",6,10))+IF(D4815=1,2,IF(D4815=7,1,(IF(WEEKDAY(B4815)=1,2,IF(WEEKDAY(B4815)=7,1,0))))))</f>
        <v>3</v>
      </c>
      <c r="G4815" s="369">
        <f>VLOOKUP(C4815,METADATA!$J$5:$Q$29,IF(E4815="HI",2,IF(E4815="LO",6,10))+IF(D4815=1,2,IF(D4815=7,1,(IF(WEEKDAY(B4815)=1,2,IF(WEEKDAY(B4815)=7,1,0))))))</f>
        <v>3</v>
      </c>
      <c r="H4815" s="370">
        <v>5110.0374755859375</v>
      </c>
      <c r="I4815" s="370">
        <v>5667.3222961425781</v>
      </c>
      <c r="M4815" s="371">
        <f t="shared" si="301"/>
        <v>7630.925567075562</v>
      </c>
      <c r="N4815" s="329">
        <f t="shared" si="302"/>
        <v>4134.3110534667967</v>
      </c>
      <c r="T4815" s="331">
        <v>0</v>
      </c>
      <c r="U4815" s="328">
        <f>VLOOKUP(C4815,METADATA!$J$5:$Q$29,IF(E4815="HI",2,IF(E4815="LO",6,10))+IF(T4815=1,2,IF(D4815=7,1,(IF(WEEKDAY(B4815)=1,2,IF(WEEKDAY(B4815)=7,1,0))))))</f>
        <v>3</v>
      </c>
      <c r="V4815" s="328">
        <f>VLOOKUP(C4815,METADATA!$A$5:$H$29,IF(E4815="HI",2,IF(E4815="LO",6,10))+IF(T4815=1,2,IF(D4815=7,1,(IF(WEEKDAY(B4815)=1,2,IF(WEEKDAY(B4815)=7,1,0))))))</f>
        <v>3</v>
      </c>
    </row>
    <row r="4816" spans="2:22">
      <c r="B4816" s="318">
        <f t="shared" si="299"/>
        <v>46313</v>
      </c>
      <c r="C4816" s="312">
        <v>12</v>
      </c>
      <c r="D4816" s="368">
        <f>IFERROR((INDEX(METADATA!$T$2:$T$20,MATCH(B4816,METADATA!$S$2:$S$20,0))),0)</f>
        <v>0</v>
      </c>
      <c r="E4816" s="312" t="str">
        <f t="shared" si="300"/>
        <v>LO</v>
      </c>
      <c r="F4816" s="369">
        <f>VLOOKUP(C4816,METADATA!$A$5:$H$29,IF(E4816="HI",2,IF(E4816="LO",6,10))+IF(D4816=1,2,IF(D4816=7,1,(IF(WEEKDAY(B4816)=1,2,IF(WEEKDAY(B4816)=7,1,0))))))</f>
        <v>3</v>
      </c>
      <c r="G4816" s="369">
        <f>VLOOKUP(C4816,METADATA!$J$5:$Q$29,IF(E4816="HI",2,IF(E4816="LO",6,10))+IF(D4816=1,2,IF(D4816=7,1,(IF(WEEKDAY(B4816)=1,2,IF(WEEKDAY(B4816)=7,1,0))))))</f>
        <v>3</v>
      </c>
      <c r="H4816" s="370">
        <v>4808.1651000976563</v>
      </c>
      <c r="I4816" s="370">
        <v>5059.8424987792969</v>
      </c>
      <c r="M4816" s="371">
        <f t="shared" si="301"/>
        <v>6980.0041362631164</v>
      </c>
      <c r="N4816" s="329">
        <f t="shared" si="302"/>
        <v>3617.3929687500004</v>
      </c>
      <c r="T4816" s="331">
        <v>0</v>
      </c>
      <c r="U4816" s="328">
        <f>VLOOKUP(C4816,METADATA!$J$5:$Q$29,IF(E4816="HI",2,IF(E4816="LO",6,10))+IF(T4816=1,2,IF(D4816=7,1,(IF(WEEKDAY(B4816)=1,2,IF(WEEKDAY(B4816)=7,1,0))))))</f>
        <v>3</v>
      </c>
      <c r="V4816" s="328">
        <f>VLOOKUP(C4816,METADATA!$A$5:$H$29,IF(E4816="HI",2,IF(E4816="LO",6,10))+IF(T4816=1,2,IF(D4816=7,1,(IF(WEEKDAY(B4816)=1,2,IF(WEEKDAY(B4816)=7,1,0))))))</f>
        <v>3</v>
      </c>
    </row>
    <row r="4817" spans="2:22">
      <c r="B4817" s="318">
        <f t="shared" si="299"/>
        <v>46313</v>
      </c>
      <c r="C4817" s="312">
        <v>13</v>
      </c>
      <c r="D4817" s="368">
        <f>IFERROR((INDEX(METADATA!$T$2:$T$20,MATCH(B4817,METADATA!$S$2:$S$20,0))),0)</f>
        <v>0</v>
      </c>
      <c r="E4817" s="312" t="str">
        <f t="shared" si="300"/>
        <v>LO</v>
      </c>
      <c r="F4817" s="369">
        <f>VLOOKUP(C4817,METADATA!$A$5:$H$29,IF(E4817="HI",2,IF(E4817="LO",6,10))+IF(D4817=1,2,IF(D4817=7,1,(IF(WEEKDAY(B4817)=1,2,IF(WEEKDAY(B4817)=7,1,0))))))</f>
        <v>3</v>
      </c>
      <c r="G4817" s="369">
        <f>VLOOKUP(C4817,METADATA!$J$5:$Q$29,IF(E4817="HI",2,IF(E4817="LO",6,10))+IF(D4817=1,2,IF(D4817=7,1,(IF(WEEKDAY(B4817)=1,2,IF(WEEKDAY(B4817)=7,1,0))))))</f>
        <v>3</v>
      </c>
      <c r="H4817" s="370">
        <v>4726.5975646972656</v>
      </c>
      <c r="I4817" s="370">
        <v>4955.7549438476563</v>
      </c>
      <c r="M4817" s="371">
        <f t="shared" si="301"/>
        <v>6848.3743766000853</v>
      </c>
      <c r="N4817" s="329">
        <f t="shared" si="302"/>
        <v>3537.7756744384769</v>
      </c>
      <c r="T4817" s="331">
        <v>0</v>
      </c>
      <c r="U4817" s="328">
        <f>VLOOKUP(C4817,METADATA!$J$5:$Q$29,IF(E4817="HI",2,IF(E4817="LO",6,10))+IF(T4817=1,2,IF(D4817=7,1,(IF(WEEKDAY(B4817)=1,2,IF(WEEKDAY(B4817)=7,1,0))))))</f>
        <v>3</v>
      </c>
      <c r="V4817" s="328">
        <f>VLOOKUP(C4817,METADATA!$A$5:$H$29,IF(E4817="HI",2,IF(E4817="LO",6,10))+IF(T4817=1,2,IF(D4817=7,1,(IF(WEEKDAY(B4817)=1,2,IF(WEEKDAY(B4817)=7,1,0))))))</f>
        <v>3</v>
      </c>
    </row>
    <row r="4818" spans="2:22">
      <c r="B4818" s="318">
        <f t="shared" si="299"/>
        <v>46313</v>
      </c>
      <c r="C4818" s="312">
        <v>14</v>
      </c>
      <c r="D4818" s="368">
        <f>IFERROR((INDEX(METADATA!$T$2:$T$20,MATCH(B4818,METADATA!$S$2:$S$20,0))),0)</f>
        <v>0</v>
      </c>
      <c r="E4818" s="312" t="str">
        <f t="shared" si="300"/>
        <v>LO</v>
      </c>
      <c r="F4818" s="369">
        <f>VLOOKUP(C4818,METADATA!$A$5:$H$29,IF(E4818="HI",2,IF(E4818="LO",6,10))+IF(D4818=1,2,IF(D4818=7,1,(IF(WEEKDAY(B4818)=1,2,IF(WEEKDAY(B4818)=7,1,0))))))</f>
        <v>3</v>
      </c>
      <c r="G4818" s="369">
        <f>VLOOKUP(C4818,METADATA!$J$5:$Q$29,IF(E4818="HI",2,IF(E4818="LO",6,10))+IF(D4818=1,2,IF(D4818=7,1,(IF(WEEKDAY(B4818)=1,2,IF(WEEKDAY(B4818)=7,1,0))))))</f>
        <v>3</v>
      </c>
      <c r="H4818" s="370">
        <v>4754.0775756835938</v>
      </c>
      <c r="I4818" s="370">
        <v>5125.7349548339844</v>
      </c>
      <c r="M4818" s="371">
        <f t="shared" si="301"/>
        <v>6991.0237034946858</v>
      </c>
      <c r="N4818" s="329">
        <f t="shared" si="302"/>
        <v>3699.5116821289066</v>
      </c>
      <c r="T4818" s="331">
        <v>0</v>
      </c>
      <c r="U4818" s="328">
        <f>VLOOKUP(C4818,METADATA!$J$5:$Q$29,IF(E4818="HI",2,IF(E4818="LO",6,10))+IF(T4818=1,2,IF(D4818=7,1,(IF(WEEKDAY(B4818)=1,2,IF(WEEKDAY(B4818)=7,1,0))))))</f>
        <v>3</v>
      </c>
      <c r="V4818" s="328">
        <f>VLOOKUP(C4818,METADATA!$A$5:$H$29,IF(E4818="HI",2,IF(E4818="LO",6,10))+IF(T4818=1,2,IF(D4818=7,1,(IF(WEEKDAY(B4818)=1,2,IF(WEEKDAY(B4818)=7,1,0))))))</f>
        <v>3</v>
      </c>
    </row>
    <row r="4819" spans="2:22">
      <c r="B4819" s="318">
        <f t="shared" si="299"/>
        <v>46313</v>
      </c>
      <c r="C4819" s="312">
        <v>15</v>
      </c>
      <c r="D4819" s="368">
        <f>IFERROR((INDEX(METADATA!$T$2:$T$20,MATCH(B4819,METADATA!$S$2:$S$20,0))),0)</f>
        <v>0</v>
      </c>
      <c r="E4819" s="312" t="str">
        <f t="shared" si="300"/>
        <v>LO</v>
      </c>
      <c r="F4819" s="369">
        <f>VLOOKUP(C4819,METADATA!$A$5:$H$29,IF(E4819="HI",2,IF(E4819="LO",6,10))+IF(D4819=1,2,IF(D4819=7,1,(IF(WEEKDAY(B4819)=1,2,IF(WEEKDAY(B4819)=7,1,0))))))</f>
        <v>3</v>
      </c>
      <c r="G4819" s="369">
        <f>VLOOKUP(C4819,METADATA!$J$5:$Q$29,IF(E4819="HI",2,IF(E4819="LO",6,10))+IF(D4819=1,2,IF(D4819=7,1,(IF(WEEKDAY(B4819)=1,2,IF(WEEKDAY(B4819)=7,1,0))))))</f>
        <v>3</v>
      </c>
      <c r="H4819" s="370">
        <v>4857.9775695800781</v>
      </c>
      <c r="I4819" s="370">
        <v>5278.7873840332031</v>
      </c>
      <c r="M4819" s="371">
        <f t="shared" si="301"/>
        <v>7173.9488646331502</v>
      </c>
      <c r="N4819" s="329">
        <f t="shared" si="302"/>
        <v>3821.3941131591801</v>
      </c>
      <c r="T4819" s="331">
        <v>0</v>
      </c>
      <c r="U4819" s="328">
        <f>VLOOKUP(C4819,METADATA!$J$5:$Q$29,IF(E4819="HI",2,IF(E4819="LO",6,10))+IF(T4819=1,2,IF(D4819=7,1,(IF(WEEKDAY(B4819)=1,2,IF(WEEKDAY(B4819)=7,1,0))))))</f>
        <v>3</v>
      </c>
      <c r="V4819" s="328">
        <f>VLOOKUP(C4819,METADATA!$A$5:$H$29,IF(E4819="HI",2,IF(E4819="LO",6,10))+IF(T4819=1,2,IF(D4819=7,1,(IF(WEEKDAY(B4819)=1,2,IF(WEEKDAY(B4819)=7,1,0))))))</f>
        <v>3</v>
      </c>
    </row>
    <row r="4820" spans="2:22">
      <c r="B4820" s="318">
        <f t="shared" si="299"/>
        <v>46313</v>
      </c>
      <c r="C4820" s="312">
        <v>16</v>
      </c>
      <c r="D4820" s="368">
        <f>IFERROR((INDEX(METADATA!$T$2:$T$20,MATCH(B4820,METADATA!$S$2:$S$20,0))),0)</f>
        <v>0</v>
      </c>
      <c r="E4820" s="312" t="str">
        <f t="shared" si="300"/>
        <v>LO</v>
      </c>
      <c r="F4820" s="369">
        <f>VLOOKUP(C4820,METADATA!$A$5:$H$29,IF(E4820="HI",2,IF(E4820="LO",6,10))+IF(D4820=1,2,IF(D4820=7,1,(IF(WEEKDAY(B4820)=1,2,IF(WEEKDAY(B4820)=7,1,0))))))</f>
        <v>3</v>
      </c>
      <c r="G4820" s="369">
        <f>VLOOKUP(C4820,METADATA!$J$5:$Q$29,IF(E4820="HI",2,IF(E4820="LO",6,10))+IF(D4820=1,2,IF(D4820=7,1,(IF(WEEKDAY(B4820)=1,2,IF(WEEKDAY(B4820)=7,1,0))))))</f>
        <v>3</v>
      </c>
      <c r="H4820" s="370">
        <v>4884.3276062011719</v>
      </c>
      <c r="I4820" s="370">
        <v>5351.8299865722656</v>
      </c>
      <c r="M4820" s="371">
        <f t="shared" si="301"/>
        <v>7245.6014498365121</v>
      </c>
      <c r="N4820" s="329">
        <f t="shared" si="302"/>
        <v>3886.5317047119142</v>
      </c>
      <c r="T4820" s="331">
        <v>0</v>
      </c>
      <c r="U4820" s="328">
        <f>VLOOKUP(C4820,METADATA!$J$5:$Q$29,IF(E4820="HI",2,IF(E4820="LO",6,10))+IF(T4820=1,2,IF(D4820=7,1,(IF(WEEKDAY(B4820)=1,2,IF(WEEKDAY(B4820)=7,1,0))))))</f>
        <v>3</v>
      </c>
      <c r="V4820" s="328">
        <f>VLOOKUP(C4820,METADATA!$A$5:$H$29,IF(E4820="HI",2,IF(E4820="LO",6,10))+IF(T4820=1,2,IF(D4820=7,1,(IF(WEEKDAY(B4820)=1,2,IF(WEEKDAY(B4820)=7,1,0))))))</f>
        <v>3</v>
      </c>
    </row>
    <row r="4821" spans="2:22">
      <c r="B4821" s="318">
        <f t="shared" si="299"/>
        <v>46313</v>
      </c>
      <c r="C4821" s="312">
        <v>17</v>
      </c>
      <c r="D4821" s="368">
        <f>IFERROR((INDEX(METADATA!$T$2:$T$20,MATCH(B4821,METADATA!$S$2:$S$20,0))),0)</f>
        <v>0</v>
      </c>
      <c r="E4821" s="312" t="str">
        <f t="shared" si="300"/>
        <v>LO</v>
      </c>
      <c r="F4821" s="369">
        <f>VLOOKUP(C4821,METADATA!$A$5:$H$29,IF(E4821="HI",2,IF(E4821="LO",6,10))+IF(D4821=1,2,IF(D4821=7,1,(IF(WEEKDAY(B4821)=1,2,IF(WEEKDAY(B4821)=7,1,0))))))</f>
        <v>3</v>
      </c>
      <c r="G4821" s="369">
        <f>VLOOKUP(C4821,METADATA!$J$5:$Q$29,IF(E4821="HI",2,IF(E4821="LO",6,10))+IF(D4821=1,2,IF(D4821=7,1,(IF(WEEKDAY(B4821)=1,2,IF(WEEKDAY(B4821)=7,1,0))))))</f>
        <v>3</v>
      </c>
      <c r="H4821" s="370">
        <v>5478.6800537109375</v>
      </c>
      <c r="I4821" s="370">
        <v>5803.580078125</v>
      </c>
      <c r="M4821" s="371">
        <f t="shared" si="301"/>
        <v>7981.0699066064735</v>
      </c>
      <c r="N4821" s="329">
        <f t="shared" si="302"/>
        <v>4159.9760620117186</v>
      </c>
      <c r="T4821" s="331">
        <v>0</v>
      </c>
      <c r="U4821" s="328">
        <f>VLOOKUP(C4821,METADATA!$J$5:$Q$29,IF(E4821="HI",2,IF(E4821="LO",6,10))+IF(T4821=1,2,IF(D4821=7,1,(IF(WEEKDAY(B4821)=1,2,IF(WEEKDAY(B4821)=7,1,0))))))</f>
        <v>3</v>
      </c>
      <c r="V4821" s="328">
        <f>VLOOKUP(C4821,METADATA!$A$5:$H$29,IF(E4821="HI",2,IF(E4821="LO",6,10))+IF(T4821=1,2,IF(D4821=7,1,(IF(WEEKDAY(B4821)=1,2,IF(WEEKDAY(B4821)=7,1,0))))))</f>
        <v>3</v>
      </c>
    </row>
    <row r="4822" spans="2:22">
      <c r="B4822" s="318">
        <f t="shared" si="299"/>
        <v>46313</v>
      </c>
      <c r="C4822" s="312">
        <v>18</v>
      </c>
      <c r="D4822" s="368">
        <f>IFERROR((INDEX(METADATA!$T$2:$T$20,MATCH(B4822,METADATA!$S$2:$S$20,0))),0)</f>
        <v>0</v>
      </c>
      <c r="E4822" s="312" t="str">
        <f t="shared" si="300"/>
        <v>LO</v>
      </c>
      <c r="F4822" s="369">
        <f>VLOOKUP(C4822,METADATA!$A$5:$H$29,IF(E4822="HI",2,IF(E4822="LO",6,10))+IF(D4822=1,2,IF(D4822=7,1,(IF(WEEKDAY(B4822)=1,2,IF(WEEKDAY(B4822)=7,1,0))))))</f>
        <v>2</v>
      </c>
      <c r="G4822" s="369">
        <f>VLOOKUP(C4822,METADATA!$J$5:$Q$29,IF(E4822="HI",2,IF(E4822="LO",6,10))+IF(D4822=1,2,IF(D4822=7,1,(IF(WEEKDAY(B4822)=1,2,IF(WEEKDAY(B4822)=7,1,0))))))</f>
        <v>2</v>
      </c>
      <c r="H4822" s="370">
        <v>9112.0750732421875</v>
      </c>
      <c r="I4822" s="370">
        <v>8090.5999450683594</v>
      </c>
      <c r="M4822" s="371">
        <f t="shared" si="301"/>
        <v>12185.553726094755</v>
      </c>
      <c r="N4822" s="329">
        <f t="shared" si="302"/>
        <v>5356.9774230957028</v>
      </c>
      <c r="T4822" s="331">
        <v>0</v>
      </c>
      <c r="U4822" s="328">
        <f>VLOOKUP(C4822,METADATA!$J$5:$Q$29,IF(E4822="HI",2,IF(E4822="LO",6,10))+IF(T4822=1,2,IF(D4822=7,1,(IF(WEEKDAY(B4822)=1,2,IF(WEEKDAY(B4822)=7,1,0))))))</f>
        <v>2</v>
      </c>
      <c r="V4822" s="328">
        <f>VLOOKUP(C4822,METADATA!$A$5:$H$29,IF(E4822="HI",2,IF(E4822="LO",6,10))+IF(T4822=1,2,IF(D4822=7,1,(IF(WEEKDAY(B4822)=1,2,IF(WEEKDAY(B4822)=7,1,0))))))</f>
        <v>2</v>
      </c>
    </row>
    <row r="4823" spans="2:22">
      <c r="B4823" s="318">
        <f t="shared" si="299"/>
        <v>46313</v>
      </c>
      <c r="C4823" s="312">
        <v>19</v>
      </c>
      <c r="D4823" s="368">
        <f>IFERROR((INDEX(METADATA!$T$2:$T$20,MATCH(B4823,METADATA!$S$2:$S$20,0))),0)</f>
        <v>0</v>
      </c>
      <c r="E4823" s="312" t="str">
        <f t="shared" si="300"/>
        <v>LO</v>
      </c>
      <c r="F4823" s="369">
        <f>VLOOKUP(C4823,METADATA!$A$5:$H$29,IF(E4823="HI",2,IF(E4823="LO",6,10))+IF(D4823=1,2,IF(D4823=7,1,(IF(WEEKDAY(B4823)=1,2,IF(WEEKDAY(B4823)=7,1,0))))))</f>
        <v>2</v>
      </c>
      <c r="G4823" s="369">
        <f>VLOOKUP(C4823,METADATA!$J$5:$Q$29,IF(E4823="HI",2,IF(E4823="LO",6,10))+IF(D4823=1,2,IF(D4823=7,1,(IF(WEEKDAY(B4823)=1,2,IF(WEEKDAY(B4823)=7,1,0))))))</f>
        <v>2</v>
      </c>
      <c r="H4823" s="370">
        <v>13367.300415039063</v>
      </c>
      <c r="I4823" s="370">
        <v>10163.999877929688</v>
      </c>
      <c r="M4823" s="371">
        <f t="shared" si="301"/>
        <v>16792.605929529167</v>
      </c>
      <c r="N4823" s="329">
        <f t="shared" si="302"/>
        <v>6153.8097534179688</v>
      </c>
      <c r="T4823" s="331">
        <v>0</v>
      </c>
      <c r="U4823" s="328">
        <f>VLOOKUP(C4823,METADATA!$J$5:$Q$29,IF(E4823="HI",2,IF(E4823="LO",6,10))+IF(T4823=1,2,IF(D4823=7,1,(IF(WEEKDAY(B4823)=1,2,IF(WEEKDAY(B4823)=7,1,0))))))</f>
        <v>2</v>
      </c>
      <c r="V4823" s="328">
        <f>VLOOKUP(C4823,METADATA!$A$5:$H$29,IF(E4823="HI",2,IF(E4823="LO",6,10))+IF(T4823=1,2,IF(D4823=7,1,(IF(WEEKDAY(B4823)=1,2,IF(WEEKDAY(B4823)=7,1,0))))))</f>
        <v>2</v>
      </c>
    </row>
    <row r="4824" spans="2:22">
      <c r="B4824" s="318">
        <f t="shared" si="299"/>
        <v>46313</v>
      </c>
      <c r="C4824" s="312">
        <v>20</v>
      </c>
      <c r="D4824" s="368">
        <f>IFERROR((INDEX(METADATA!$T$2:$T$20,MATCH(B4824,METADATA!$S$2:$S$20,0))),0)</f>
        <v>0</v>
      </c>
      <c r="E4824" s="312" t="str">
        <f t="shared" si="300"/>
        <v>LO</v>
      </c>
      <c r="F4824" s="369">
        <f>VLOOKUP(C4824,METADATA!$A$5:$H$29,IF(E4824="HI",2,IF(E4824="LO",6,10))+IF(D4824=1,2,IF(D4824=7,1,(IF(WEEKDAY(B4824)=1,2,IF(WEEKDAY(B4824)=7,1,0))))))</f>
        <v>3</v>
      </c>
      <c r="G4824" s="369">
        <f>VLOOKUP(C4824,METADATA!$J$5:$Q$29,IF(E4824="HI",2,IF(E4824="LO",6,10))+IF(D4824=1,2,IF(D4824=7,1,(IF(WEEKDAY(B4824)=1,2,IF(WEEKDAY(B4824)=7,1,0))))))</f>
        <v>3</v>
      </c>
      <c r="H4824" s="370">
        <v>13198.874633789063</v>
      </c>
      <c r="I4824" s="370">
        <v>10195.075134277344</v>
      </c>
      <c r="M4824" s="371">
        <f t="shared" si="301"/>
        <v>16677.825055805104</v>
      </c>
      <c r="N4824" s="329">
        <f t="shared" si="302"/>
        <v>6235.4127441406254</v>
      </c>
      <c r="T4824" s="331">
        <v>0</v>
      </c>
      <c r="U4824" s="328">
        <f>VLOOKUP(C4824,METADATA!$J$5:$Q$29,IF(E4824="HI",2,IF(E4824="LO",6,10))+IF(T4824=1,2,IF(D4824=7,1,(IF(WEEKDAY(B4824)=1,2,IF(WEEKDAY(B4824)=7,1,0))))))</f>
        <v>3</v>
      </c>
      <c r="V4824" s="328">
        <f>VLOOKUP(C4824,METADATA!$A$5:$H$29,IF(E4824="HI",2,IF(E4824="LO",6,10))+IF(T4824=1,2,IF(D4824=7,1,(IF(WEEKDAY(B4824)=1,2,IF(WEEKDAY(B4824)=7,1,0))))))</f>
        <v>3</v>
      </c>
    </row>
    <row r="4825" spans="2:22">
      <c r="B4825" s="318">
        <f t="shared" si="299"/>
        <v>46313</v>
      </c>
      <c r="C4825" s="312">
        <v>21</v>
      </c>
      <c r="D4825" s="368">
        <f>IFERROR((INDEX(METADATA!$T$2:$T$20,MATCH(B4825,METADATA!$S$2:$S$20,0))),0)</f>
        <v>0</v>
      </c>
      <c r="E4825" s="312" t="str">
        <f t="shared" si="300"/>
        <v>LO</v>
      </c>
      <c r="F4825" s="369">
        <f>VLOOKUP(C4825,METADATA!$A$5:$H$29,IF(E4825="HI",2,IF(E4825="LO",6,10))+IF(D4825=1,2,IF(D4825=7,1,(IF(WEEKDAY(B4825)=1,2,IF(WEEKDAY(B4825)=7,1,0))))))</f>
        <v>3</v>
      </c>
      <c r="G4825" s="369">
        <f>VLOOKUP(C4825,METADATA!$J$5:$Q$29,IF(E4825="HI",2,IF(E4825="LO",6,10))+IF(D4825=1,2,IF(D4825=7,1,(IF(WEEKDAY(B4825)=1,2,IF(WEEKDAY(B4825)=7,1,0))))))</f>
        <v>3</v>
      </c>
      <c r="H4825" s="370">
        <v>12857.825256347656</v>
      </c>
      <c r="I4825" s="370">
        <v>9970.9501953125</v>
      </c>
      <c r="M4825" s="371">
        <f t="shared" si="301"/>
        <v>16270.940910720992</v>
      </c>
      <c r="N4825" s="329">
        <f t="shared" si="302"/>
        <v>6113.6026184082039</v>
      </c>
      <c r="T4825" s="331">
        <v>0</v>
      </c>
      <c r="U4825" s="328">
        <f>VLOOKUP(C4825,METADATA!$J$5:$Q$29,IF(E4825="HI",2,IF(E4825="LO",6,10))+IF(T4825=1,2,IF(D4825=7,1,(IF(WEEKDAY(B4825)=1,2,IF(WEEKDAY(B4825)=7,1,0))))))</f>
        <v>3</v>
      </c>
      <c r="V4825" s="328">
        <f>VLOOKUP(C4825,METADATA!$A$5:$H$29,IF(E4825="HI",2,IF(E4825="LO",6,10))+IF(T4825=1,2,IF(D4825=7,1,(IF(WEEKDAY(B4825)=1,2,IF(WEEKDAY(B4825)=7,1,0))))))</f>
        <v>3</v>
      </c>
    </row>
    <row r="4826" spans="2:22">
      <c r="B4826" s="318">
        <f t="shared" si="299"/>
        <v>46313</v>
      </c>
      <c r="C4826" s="312">
        <v>22</v>
      </c>
      <c r="D4826" s="368">
        <f>IFERROR((INDEX(METADATA!$T$2:$T$20,MATCH(B4826,METADATA!$S$2:$S$20,0))),0)</f>
        <v>0</v>
      </c>
      <c r="E4826" s="312" t="str">
        <f t="shared" si="300"/>
        <v>LO</v>
      </c>
      <c r="F4826" s="369">
        <f>VLOOKUP(C4826,METADATA!$A$5:$H$29,IF(E4826="HI",2,IF(E4826="LO",6,10))+IF(D4826=1,2,IF(D4826=7,1,(IF(WEEKDAY(B4826)=1,2,IF(WEEKDAY(B4826)=7,1,0))))))</f>
        <v>3</v>
      </c>
      <c r="G4826" s="369">
        <f>VLOOKUP(C4826,METADATA!$J$5:$Q$29,IF(E4826="HI",2,IF(E4826="LO",6,10))+IF(D4826=1,2,IF(D4826=7,1,(IF(WEEKDAY(B4826)=1,2,IF(WEEKDAY(B4826)=7,1,0))))))</f>
        <v>3</v>
      </c>
      <c r="H4826" s="370">
        <v>12955.7998046875</v>
      </c>
      <c r="I4826" s="370">
        <v>9878.925048828125</v>
      </c>
      <c r="M4826" s="371">
        <f t="shared" si="301"/>
        <v>16292.510816307731</v>
      </c>
      <c r="N4826" s="329">
        <f t="shared" si="302"/>
        <v>5992.1851074218757</v>
      </c>
      <c r="T4826" s="331">
        <v>0</v>
      </c>
      <c r="U4826" s="328">
        <f>VLOOKUP(C4826,METADATA!$J$5:$Q$29,IF(E4826="HI",2,IF(E4826="LO",6,10))+IF(T4826=1,2,IF(D4826=7,1,(IF(WEEKDAY(B4826)=1,2,IF(WEEKDAY(B4826)=7,1,0))))))</f>
        <v>3</v>
      </c>
      <c r="V4826" s="328">
        <f>VLOOKUP(C4826,METADATA!$A$5:$H$29,IF(E4826="HI",2,IF(E4826="LO",6,10))+IF(T4826=1,2,IF(D4826=7,1,(IF(WEEKDAY(B4826)=1,2,IF(WEEKDAY(B4826)=7,1,0))))))</f>
        <v>3</v>
      </c>
    </row>
    <row r="4827" spans="2:22">
      <c r="B4827" s="318">
        <f t="shared" si="299"/>
        <v>46313</v>
      </c>
      <c r="C4827" s="312">
        <v>23</v>
      </c>
      <c r="D4827" s="368">
        <f>IFERROR((INDEX(METADATA!$T$2:$T$20,MATCH(B4827,METADATA!$S$2:$S$20,0))),0)</f>
        <v>0</v>
      </c>
      <c r="E4827" s="312" t="str">
        <f t="shared" si="300"/>
        <v>LO</v>
      </c>
      <c r="F4827" s="369">
        <f>VLOOKUP(C4827,METADATA!$A$5:$H$29,IF(E4827="HI",2,IF(E4827="LO",6,10))+IF(D4827=1,2,IF(D4827=7,1,(IF(WEEKDAY(B4827)=1,2,IF(WEEKDAY(B4827)=7,1,0))))))</f>
        <v>3</v>
      </c>
      <c r="G4827" s="369">
        <f>VLOOKUP(C4827,METADATA!$J$5:$Q$29,IF(E4827="HI",2,IF(E4827="LO",6,10))+IF(D4827=1,2,IF(D4827=7,1,(IF(WEEKDAY(B4827)=1,2,IF(WEEKDAY(B4827)=7,1,0))))))</f>
        <v>3</v>
      </c>
      <c r="H4827" s="370">
        <v>12845.9501953125</v>
      </c>
      <c r="I4827" s="370">
        <v>9894.3750610351563</v>
      </c>
      <c r="M4827" s="371">
        <f t="shared" si="301"/>
        <v>16214.718445563083</v>
      </c>
      <c r="N4827" s="329">
        <f t="shared" si="302"/>
        <v>6040.5900024414059</v>
      </c>
      <c r="T4827" s="331">
        <v>0</v>
      </c>
      <c r="U4827" s="328">
        <f>VLOOKUP(C4827,METADATA!$J$5:$Q$29,IF(E4827="HI",2,IF(E4827="LO",6,10))+IF(T4827=1,2,IF(D4827=7,1,(IF(WEEKDAY(B4827)=1,2,IF(WEEKDAY(B4827)=7,1,0))))))</f>
        <v>3</v>
      </c>
      <c r="V4827" s="328">
        <f>VLOOKUP(C4827,METADATA!$A$5:$H$29,IF(E4827="HI",2,IF(E4827="LO",6,10))+IF(T4827=1,2,IF(D4827=7,1,(IF(WEEKDAY(B4827)=1,2,IF(WEEKDAY(B4827)=7,1,0))))))</f>
        <v>3</v>
      </c>
    </row>
    <row r="4828" spans="2:22">
      <c r="B4828" s="318">
        <f t="shared" ref="B4828:B4891" si="303">B4804+1</f>
        <v>46314</v>
      </c>
      <c r="C4828" s="312">
        <v>0</v>
      </c>
      <c r="D4828" s="368">
        <f>IFERROR((INDEX(METADATA!$T$2:$T$20,MATCH(B4828,METADATA!$S$2:$S$20,0))),0)</f>
        <v>0</v>
      </c>
      <c r="E4828" s="312" t="str">
        <f t="shared" si="300"/>
        <v>LO</v>
      </c>
      <c r="F4828" s="369">
        <f>VLOOKUP(C4828,METADATA!$A$5:$H$29,IF(E4828="HI",2,IF(E4828="LO",6,10))+IF(D4828=1,2,IF(D4828=7,1,(IF(WEEKDAY(B4828)=1,2,IF(WEEKDAY(B4828)=7,1,0))))))</f>
        <v>3</v>
      </c>
      <c r="G4828" s="369">
        <f>VLOOKUP(C4828,METADATA!$J$5:$Q$29,IF(E4828="HI",2,IF(E4828="LO",6,10))+IF(D4828=1,2,IF(D4828=7,1,(IF(WEEKDAY(B4828)=1,2,IF(WEEKDAY(B4828)=7,1,0))))))</f>
        <v>3</v>
      </c>
      <c r="H4828" s="370">
        <v>12700.324462890625</v>
      </c>
      <c r="I4828" s="370">
        <v>10020.700012207031</v>
      </c>
      <c r="M4828" s="371">
        <f t="shared" si="301"/>
        <v>16177.535974225</v>
      </c>
      <c r="N4828" s="329">
        <f t="shared" si="302"/>
        <v>6210.6026733398439</v>
      </c>
      <c r="T4828" s="331">
        <v>0</v>
      </c>
      <c r="U4828" s="328">
        <f>VLOOKUP(C4828,METADATA!$J$5:$Q$29,IF(E4828="HI",2,IF(E4828="LO",6,10))+IF(T4828=1,2,IF(D4828=7,1,(IF(WEEKDAY(B4828)=1,2,IF(WEEKDAY(B4828)=7,1,0))))))</f>
        <v>3</v>
      </c>
      <c r="V4828" s="328">
        <f>VLOOKUP(C4828,METADATA!$A$5:$H$29,IF(E4828="HI",2,IF(E4828="LO",6,10))+IF(T4828=1,2,IF(D4828=7,1,(IF(WEEKDAY(B4828)=1,2,IF(WEEKDAY(B4828)=7,1,0))))))</f>
        <v>3</v>
      </c>
    </row>
    <row r="4829" spans="2:22">
      <c r="B4829" s="318">
        <f t="shared" si="303"/>
        <v>46314</v>
      </c>
      <c r="C4829" s="312">
        <v>1</v>
      </c>
      <c r="D4829" s="368">
        <f>IFERROR((INDEX(METADATA!$T$2:$T$20,MATCH(B4829,METADATA!$S$2:$S$20,0))),0)</f>
        <v>0</v>
      </c>
      <c r="E4829" s="312" t="str">
        <f t="shared" si="300"/>
        <v>LO</v>
      </c>
      <c r="F4829" s="369">
        <f>VLOOKUP(C4829,METADATA!$A$5:$H$29,IF(E4829="HI",2,IF(E4829="LO",6,10))+IF(D4829=1,2,IF(D4829=7,1,(IF(WEEKDAY(B4829)=1,2,IF(WEEKDAY(B4829)=7,1,0))))))</f>
        <v>3</v>
      </c>
      <c r="G4829" s="369">
        <f>VLOOKUP(C4829,METADATA!$J$5:$Q$29,IF(E4829="HI",2,IF(E4829="LO",6,10))+IF(D4829=1,2,IF(D4829=7,1,(IF(WEEKDAY(B4829)=1,2,IF(WEEKDAY(B4829)=7,1,0))))))</f>
        <v>3</v>
      </c>
      <c r="H4829" s="370">
        <v>12833.447631835938</v>
      </c>
      <c r="I4829" s="370">
        <v>9871.264892578125</v>
      </c>
      <c r="M4829" s="371">
        <f t="shared" si="301"/>
        <v>16190.714891521029</v>
      </c>
      <c r="N4829" s="329">
        <f t="shared" si="302"/>
        <v>6021.2306030273439</v>
      </c>
      <c r="T4829" s="331">
        <v>0</v>
      </c>
      <c r="U4829" s="328">
        <f>VLOOKUP(C4829,METADATA!$J$5:$Q$29,IF(E4829="HI",2,IF(E4829="LO",6,10))+IF(T4829=1,2,IF(D4829=7,1,(IF(WEEKDAY(B4829)=1,2,IF(WEEKDAY(B4829)=7,1,0))))))</f>
        <v>3</v>
      </c>
      <c r="V4829" s="328">
        <f>VLOOKUP(C4829,METADATA!$A$5:$H$29,IF(E4829="HI",2,IF(E4829="LO",6,10))+IF(T4829=1,2,IF(D4829=7,1,(IF(WEEKDAY(B4829)=1,2,IF(WEEKDAY(B4829)=7,1,0))))))</f>
        <v>3</v>
      </c>
    </row>
    <row r="4830" spans="2:22">
      <c r="B4830" s="318">
        <f t="shared" si="303"/>
        <v>46314</v>
      </c>
      <c r="C4830" s="312">
        <v>2</v>
      </c>
      <c r="D4830" s="368">
        <f>IFERROR((INDEX(METADATA!$T$2:$T$20,MATCH(B4830,METADATA!$S$2:$S$20,0))),0)</f>
        <v>0</v>
      </c>
      <c r="E4830" s="312" t="str">
        <f t="shared" si="300"/>
        <v>LO</v>
      </c>
      <c r="F4830" s="369">
        <f>VLOOKUP(C4830,METADATA!$A$5:$H$29,IF(E4830="HI",2,IF(E4830="LO",6,10))+IF(D4830=1,2,IF(D4830=7,1,(IF(WEEKDAY(B4830)=1,2,IF(WEEKDAY(B4830)=7,1,0))))))</f>
        <v>3</v>
      </c>
      <c r="G4830" s="369">
        <f>VLOOKUP(C4830,METADATA!$J$5:$Q$29,IF(E4830="HI",2,IF(E4830="LO",6,10))+IF(D4830=1,2,IF(D4830=7,1,(IF(WEEKDAY(B4830)=1,2,IF(WEEKDAY(B4830)=7,1,0))))))</f>
        <v>3</v>
      </c>
      <c r="H4830" s="370">
        <v>12713.525024414063</v>
      </c>
      <c r="I4830" s="370">
        <v>9827.4249877929688</v>
      </c>
      <c r="M4830" s="371">
        <f t="shared" si="301"/>
        <v>16068.976334449566</v>
      </c>
      <c r="N4830" s="329">
        <f t="shared" si="302"/>
        <v>6013.3674804687507</v>
      </c>
      <c r="T4830" s="331">
        <v>0</v>
      </c>
      <c r="U4830" s="328">
        <f>VLOOKUP(C4830,METADATA!$J$5:$Q$29,IF(E4830="HI",2,IF(E4830="LO",6,10))+IF(T4830=1,2,IF(D4830=7,1,(IF(WEEKDAY(B4830)=1,2,IF(WEEKDAY(B4830)=7,1,0))))))</f>
        <v>3</v>
      </c>
      <c r="V4830" s="328">
        <f>VLOOKUP(C4830,METADATA!$A$5:$H$29,IF(E4830="HI",2,IF(E4830="LO",6,10))+IF(T4830=1,2,IF(D4830=7,1,(IF(WEEKDAY(B4830)=1,2,IF(WEEKDAY(B4830)=7,1,0))))))</f>
        <v>3</v>
      </c>
    </row>
    <row r="4831" spans="2:22">
      <c r="B4831" s="318">
        <f t="shared" si="303"/>
        <v>46314</v>
      </c>
      <c r="C4831" s="312">
        <v>3</v>
      </c>
      <c r="D4831" s="368">
        <f>IFERROR((INDEX(METADATA!$T$2:$T$20,MATCH(B4831,METADATA!$S$2:$S$20,0))),0)</f>
        <v>0</v>
      </c>
      <c r="E4831" s="312" t="str">
        <f t="shared" si="300"/>
        <v>LO</v>
      </c>
      <c r="F4831" s="369">
        <f>VLOOKUP(C4831,METADATA!$A$5:$H$29,IF(E4831="HI",2,IF(E4831="LO",6,10))+IF(D4831=1,2,IF(D4831=7,1,(IF(WEEKDAY(B4831)=1,2,IF(WEEKDAY(B4831)=7,1,0))))))</f>
        <v>3</v>
      </c>
      <c r="G4831" s="369">
        <f>VLOOKUP(C4831,METADATA!$J$5:$Q$29,IF(E4831="HI",2,IF(E4831="LO",6,10))+IF(D4831=1,2,IF(D4831=7,1,(IF(WEEKDAY(B4831)=1,2,IF(WEEKDAY(B4831)=7,1,0))))))</f>
        <v>3</v>
      </c>
      <c r="H4831" s="370">
        <v>12110.350219726563</v>
      </c>
      <c r="I4831" s="370">
        <v>9605.1499633789063</v>
      </c>
      <c r="M4831" s="371">
        <f t="shared" si="301"/>
        <v>15457.020678754006</v>
      </c>
      <c r="N4831" s="329">
        <f t="shared" si="302"/>
        <v>5972.0448974609371</v>
      </c>
      <c r="T4831" s="331">
        <v>0</v>
      </c>
      <c r="U4831" s="328">
        <f>VLOOKUP(C4831,METADATA!$J$5:$Q$29,IF(E4831="HI",2,IF(E4831="LO",6,10))+IF(T4831=1,2,IF(D4831=7,1,(IF(WEEKDAY(B4831)=1,2,IF(WEEKDAY(B4831)=7,1,0))))))</f>
        <v>3</v>
      </c>
      <c r="V4831" s="328">
        <f>VLOOKUP(C4831,METADATA!$A$5:$H$29,IF(E4831="HI",2,IF(E4831="LO",6,10))+IF(T4831=1,2,IF(D4831=7,1,(IF(WEEKDAY(B4831)=1,2,IF(WEEKDAY(B4831)=7,1,0))))))</f>
        <v>3</v>
      </c>
    </row>
    <row r="4832" spans="2:22">
      <c r="B4832" s="318">
        <f t="shared" si="303"/>
        <v>46314</v>
      </c>
      <c r="C4832" s="312">
        <v>4</v>
      </c>
      <c r="D4832" s="368">
        <f>IFERROR((INDEX(METADATA!$T$2:$T$20,MATCH(B4832,METADATA!$S$2:$S$20,0))),0)</f>
        <v>0</v>
      </c>
      <c r="E4832" s="312" t="str">
        <f t="shared" si="300"/>
        <v>LO</v>
      </c>
      <c r="F4832" s="369">
        <f>VLOOKUP(C4832,METADATA!$A$5:$H$29,IF(E4832="HI",2,IF(E4832="LO",6,10))+IF(D4832=1,2,IF(D4832=7,1,(IF(WEEKDAY(B4832)=1,2,IF(WEEKDAY(B4832)=7,1,0))))))</f>
        <v>3</v>
      </c>
      <c r="G4832" s="369">
        <f>VLOOKUP(C4832,METADATA!$J$5:$Q$29,IF(E4832="HI",2,IF(E4832="LO",6,10))+IF(D4832=1,2,IF(D4832=7,1,(IF(WEEKDAY(B4832)=1,2,IF(WEEKDAY(B4832)=7,1,0))))))</f>
        <v>3</v>
      </c>
      <c r="H4832" s="370">
        <v>5640.4950256347656</v>
      </c>
      <c r="I4832" s="370">
        <v>6119.9848937988281</v>
      </c>
      <c r="M4832" s="371">
        <f t="shared" si="301"/>
        <v>8322.8239939660125</v>
      </c>
      <c r="N4832" s="329">
        <f t="shared" si="302"/>
        <v>4427.8363861083981</v>
      </c>
      <c r="T4832" s="331">
        <v>0</v>
      </c>
      <c r="U4832" s="328">
        <f>VLOOKUP(C4832,METADATA!$J$5:$Q$29,IF(E4832="HI",2,IF(E4832="LO",6,10))+IF(T4832=1,2,IF(D4832=7,1,(IF(WEEKDAY(B4832)=1,2,IF(WEEKDAY(B4832)=7,1,0))))))</f>
        <v>3</v>
      </c>
      <c r="V4832" s="328">
        <f>VLOOKUP(C4832,METADATA!$A$5:$H$29,IF(E4832="HI",2,IF(E4832="LO",6,10))+IF(T4832=1,2,IF(D4832=7,1,(IF(WEEKDAY(B4832)=1,2,IF(WEEKDAY(B4832)=7,1,0))))))</f>
        <v>3</v>
      </c>
    </row>
    <row r="4833" spans="2:22">
      <c r="B4833" s="318">
        <f t="shared" si="303"/>
        <v>46314</v>
      </c>
      <c r="C4833" s="312">
        <v>5</v>
      </c>
      <c r="D4833" s="368">
        <f>IFERROR((INDEX(METADATA!$T$2:$T$20,MATCH(B4833,METADATA!$S$2:$S$20,0))),0)</f>
        <v>0</v>
      </c>
      <c r="E4833" s="312" t="str">
        <f t="shared" si="300"/>
        <v>LO</v>
      </c>
      <c r="F4833" s="369">
        <f>VLOOKUP(C4833,METADATA!$A$5:$H$29,IF(E4833="HI",2,IF(E4833="LO",6,10))+IF(D4833=1,2,IF(D4833=7,1,(IF(WEEKDAY(B4833)=1,2,IF(WEEKDAY(B4833)=7,1,0))))))</f>
        <v>3</v>
      </c>
      <c r="G4833" s="369">
        <f>VLOOKUP(C4833,METADATA!$J$5:$Q$29,IF(E4833="HI",2,IF(E4833="LO",6,10))+IF(D4833=1,2,IF(D4833=7,1,(IF(WEEKDAY(B4833)=1,2,IF(WEEKDAY(B4833)=7,1,0))))))</f>
        <v>3</v>
      </c>
      <c r="H4833" s="370">
        <v>4719.4775390625</v>
      </c>
      <c r="I4833" s="370">
        <v>5188.9150085449219</v>
      </c>
      <c r="M4833" s="371">
        <f t="shared" si="301"/>
        <v>7014.1504979304636</v>
      </c>
      <c r="N4833" s="329">
        <f t="shared" si="302"/>
        <v>3773.0717468261719</v>
      </c>
      <c r="T4833" s="331">
        <v>0</v>
      </c>
      <c r="U4833" s="328">
        <f>VLOOKUP(C4833,METADATA!$J$5:$Q$29,IF(E4833="HI",2,IF(E4833="LO",6,10))+IF(T4833=1,2,IF(D4833=7,1,(IF(WEEKDAY(B4833)=1,2,IF(WEEKDAY(B4833)=7,1,0))))))</f>
        <v>3</v>
      </c>
      <c r="V4833" s="328">
        <f>VLOOKUP(C4833,METADATA!$A$5:$H$29,IF(E4833="HI",2,IF(E4833="LO",6,10))+IF(T4833=1,2,IF(D4833=7,1,(IF(WEEKDAY(B4833)=1,2,IF(WEEKDAY(B4833)=7,1,0))))))</f>
        <v>3</v>
      </c>
    </row>
    <row r="4834" spans="2:22">
      <c r="B4834" s="318">
        <f t="shared" si="303"/>
        <v>46314</v>
      </c>
      <c r="C4834" s="312">
        <v>6</v>
      </c>
      <c r="D4834" s="368">
        <f>IFERROR((INDEX(METADATA!$T$2:$T$20,MATCH(B4834,METADATA!$S$2:$S$20,0))),0)</f>
        <v>0</v>
      </c>
      <c r="E4834" s="312" t="str">
        <f t="shared" si="300"/>
        <v>LO</v>
      </c>
      <c r="F4834" s="369">
        <f>VLOOKUP(C4834,METADATA!$A$5:$H$29,IF(E4834="HI",2,IF(E4834="LO",6,10))+IF(D4834=1,2,IF(D4834=7,1,(IF(WEEKDAY(B4834)=1,2,IF(WEEKDAY(B4834)=7,1,0))))))</f>
        <v>2</v>
      </c>
      <c r="G4834" s="369">
        <f>VLOOKUP(C4834,METADATA!$J$5:$Q$29,IF(E4834="HI",2,IF(E4834="LO",6,10))+IF(D4834=1,2,IF(D4834=7,1,(IF(WEEKDAY(B4834)=1,2,IF(WEEKDAY(B4834)=7,1,0))))))</f>
        <v>2</v>
      </c>
      <c r="H4834" s="370">
        <v>4538.7150573730469</v>
      </c>
      <c r="I4834" s="370">
        <v>5022.0574645996094</v>
      </c>
      <c r="M4834" s="371">
        <f t="shared" si="301"/>
        <v>6769.1207368287851</v>
      </c>
      <c r="N4834" s="329">
        <f t="shared" si="302"/>
        <v>3660.4429473876953</v>
      </c>
      <c r="T4834" s="331">
        <v>0</v>
      </c>
      <c r="U4834" s="328">
        <f>VLOOKUP(C4834,METADATA!$J$5:$Q$29,IF(E4834="HI",2,IF(E4834="LO",6,10))+IF(T4834=1,2,IF(D4834=7,1,(IF(WEEKDAY(B4834)=1,2,IF(WEEKDAY(B4834)=7,1,0))))))</f>
        <v>2</v>
      </c>
      <c r="V4834" s="328">
        <f>VLOOKUP(C4834,METADATA!$A$5:$H$29,IF(E4834="HI",2,IF(E4834="LO",6,10))+IF(T4834=1,2,IF(D4834=7,1,(IF(WEEKDAY(B4834)=1,2,IF(WEEKDAY(B4834)=7,1,0))))))</f>
        <v>2</v>
      </c>
    </row>
    <row r="4835" spans="2:22">
      <c r="B4835" s="318">
        <f t="shared" si="303"/>
        <v>46314</v>
      </c>
      <c r="C4835" s="312">
        <v>7</v>
      </c>
      <c r="D4835" s="368">
        <f>IFERROR((INDEX(METADATA!$T$2:$T$20,MATCH(B4835,METADATA!$S$2:$S$20,0))),0)</f>
        <v>0</v>
      </c>
      <c r="E4835" s="312" t="str">
        <f t="shared" si="300"/>
        <v>LO</v>
      </c>
      <c r="F4835" s="369">
        <f>VLOOKUP(C4835,METADATA!$A$5:$H$29,IF(E4835="HI",2,IF(E4835="LO",6,10))+IF(D4835=1,2,IF(D4835=7,1,(IF(WEEKDAY(B4835)=1,2,IF(WEEKDAY(B4835)=7,1,0))))))</f>
        <v>1</v>
      </c>
      <c r="G4835" s="369">
        <f>VLOOKUP(C4835,METADATA!$J$5:$Q$29,IF(E4835="HI",2,IF(E4835="LO",6,10))+IF(D4835=1,2,IF(D4835=7,1,(IF(WEEKDAY(B4835)=1,2,IF(WEEKDAY(B4835)=7,1,0))))))</f>
        <v>1</v>
      </c>
      <c r="H4835" s="370">
        <v>4464.9675903320313</v>
      </c>
      <c r="I4835" s="370">
        <v>4799.7574768066406</v>
      </c>
      <c r="M4835" s="371">
        <f t="shared" si="301"/>
        <v>6555.4257999672818</v>
      </c>
      <c r="N4835" s="329">
        <f t="shared" si="302"/>
        <v>3460.2671997070311</v>
      </c>
      <c r="T4835" s="331">
        <v>0</v>
      </c>
      <c r="U4835" s="328">
        <f>VLOOKUP(C4835,METADATA!$J$5:$Q$29,IF(E4835="HI",2,IF(E4835="LO",6,10))+IF(T4835=1,2,IF(D4835=7,1,(IF(WEEKDAY(B4835)=1,2,IF(WEEKDAY(B4835)=7,1,0))))))</f>
        <v>1</v>
      </c>
      <c r="V4835" s="328">
        <f>VLOOKUP(C4835,METADATA!$A$5:$H$29,IF(E4835="HI",2,IF(E4835="LO",6,10))+IF(T4835=1,2,IF(D4835=7,1,(IF(WEEKDAY(B4835)=1,2,IF(WEEKDAY(B4835)=7,1,0))))))</f>
        <v>1</v>
      </c>
    </row>
    <row r="4836" spans="2:22">
      <c r="B4836" s="318">
        <f t="shared" si="303"/>
        <v>46314</v>
      </c>
      <c r="C4836" s="312">
        <v>8</v>
      </c>
      <c r="D4836" s="368">
        <f>IFERROR((INDEX(METADATA!$T$2:$T$20,MATCH(B4836,METADATA!$S$2:$S$20,0))),0)</f>
        <v>0</v>
      </c>
      <c r="E4836" s="312" t="str">
        <f t="shared" si="300"/>
        <v>LO</v>
      </c>
      <c r="F4836" s="369">
        <f>VLOOKUP(C4836,METADATA!$A$5:$H$29,IF(E4836="HI",2,IF(E4836="LO",6,10))+IF(D4836=1,2,IF(D4836=7,1,(IF(WEEKDAY(B4836)=1,2,IF(WEEKDAY(B4836)=7,1,0))))))</f>
        <v>1</v>
      </c>
      <c r="G4836" s="369">
        <f>VLOOKUP(C4836,METADATA!$J$5:$Q$29,IF(E4836="HI",2,IF(E4836="LO",6,10))+IF(D4836=1,2,IF(D4836=7,1,(IF(WEEKDAY(B4836)=1,2,IF(WEEKDAY(B4836)=7,1,0))))))</f>
        <v>1</v>
      </c>
      <c r="H4836" s="370">
        <v>4324.9200134277344</v>
      </c>
      <c r="I4836" s="370">
        <v>4478.219970703125</v>
      </c>
      <c r="M4836" s="371">
        <f t="shared" si="301"/>
        <v>6225.7037536773341</v>
      </c>
      <c r="N4836" s="329">
        <f t="shared" si="302"/>
        <v>3180.7439666748051</v>
      </c>
      <c r="T4836" s="331">
        <v>0</v>
      </c>
      <c r="U4836" s="328">
        <f>VLOOKUP(C4836,METADATA!$J$5:$Q$29,IF(E4836="HI",2,IF(E4836="LO",6,10))+IF(T4836=1,2,IF(D4836=7,1,(IF(WEEKDAY(B4836)=1,2,IF(WEEKDAY(B4836)=7,1,0))))))</f>
        <v>1</v>
      </c>
      <c r="V4836" s="328">
        <f>VLOOKUP(C4836,METADATA!$A$5:$H$29,IF(E4836="HI",2,IF(E4836="LO",6,10))+IF(T4836=1,2,IF(D4836=7,1,(IF(WEEKDAY(B4836)=1,2,IF(WEEKDAY(B4836)=7,1,0))))))</f>
        <v>1</v>
      </c>
    </row>
    <row r="4837" spans="2:22">
      <c r="B4837" s="318">
        <f t="shared" si="303"/>
        <v>46314</v>
      </c>
      <c r="C4837" s="312">
        <v>9</v>
      </c>
      <c r="D4837" s="368">
        <f>IFERROR((INDEX(METADATA!$T$2:$T$20,MATCH(B4837,METADATA!$S$2:$S$20,0))),0)</f>
        <v>0</v>
      </c>
      <c r="E4837" s="312" t="str">
        <f t="shared" si="300"/>
        <v>LO</v>
      </c>
      <c r="F4837" s="369">
        <f>VLOOKUP(C4837,METADATA!$A$5:$H$29,IF(E4837="HI",2,IF(E4837="LO",6,10))+IF(D4837=1,2,IF(D4837=7,1,(IF(WEEKDAY(B4837)=1,2,IF(WEEKDAY(B4837)=7,1,0))))))</f>
        <v>2</v>
      </c>
      <c r="G4837" s="369">
        <f>VLOOKUP(C4837,METADATA!$J$5:$Q$29,IF(E4837="HI",2,IF(E4837="LO",6,10))+IF(D4837=1,2,IF(D4837=7,1,(IF(WEEKDAY(B4837)=1,2,IF(WEEKDAY(B4837)=7,1,0))))))</f>
        <v>2</v>
      </c>
      <c r="H4837" s="370">
        <v>7114.5324096679688</v>
      </c>
      <c r="I4837" s="370">
        <v>6186.4949645996094</v>
      </c>
      <c r="M4837" s="371">
        <f t="shared" si="301"/>
        <v>9428.1117597975172</v>
      </c>
      <c r="N4837" s="329">
        <f t="shared" si="302"/>
        <v>4052.135241699219</v>
      </c>
      <c r="T4837" s="331">
        <v>0</v>
      </c>
      <c r="U4837" s="328">
        <f>VLOOKUP(C4837,METADATA!$J$5:$Q$29,IF(E4837="HI",2,IF(E4837="LO",6,10))+IF(T4837=1,2,IF(D4837=7,1,(IF(WEEKDAY(B4837)=1,2,IF(WEEKDAY(B4837)=7,1,0))))))</f>
        <v>2</v>
      </c>
      <c r="V4837" s="328">
        <f>VLOOKUP(C4837,METADATA!$A$5:$H$29,IF(E4837="HI",2,IF(E4837="LO",6,10))+IF(T4837=1,2,IF(D4837=7,1,(IF(WEEKDAY(B4837)=1,2,IF(WEEKDAY(B4837)=7,1,0))))))</f>
        <v>2</v>
      </c>
    </row>
    <row r="4838" spans="2:22">
      <c r="B4838" s="318">
        <f t="shared" si="303"/>
        <v>46314</v>
      </c>
      <c r="C4838" s="312">
        <v>10</v>
      </c>
      <c r="D4838" s="368">
        <f>IFERROR((INDEX(METADATA!$T$2:$T$20,MATCH(B4838,METADATA!$S$2:$S$20,0))),0)</f>
        <v>0</v>
      </c>
      <c r="E4838" s="312" t="str">
        <f t="shared" si="300"/>
        <v>LO</v>
      </c>
      <c r="F4838" s="369">
        <f>VLOOKUP(C4838,METADATA!$A$5:$H$29,IF(E4838="HI",2,IF(E4838="LO",6,10))+IF(D4838=1,2,IF(D4838=7,1,(IF(WEEKDAY(B4838)=1,2,IF(WEEKDAY(B4838)=7,1,0))))))</f>
        <v>2</v>
      </c>
      <c r="G4838" s="369">
        <f>VLOOKUP(C4838,METADATA!$J$5:$Q$29,IF(E4838="HI",2,IF(E4838="LO",6,10))+IF(D4838=1,2,IF(D4838=7,1,(IF(WEEKDAY(B4838)=1,2,IF(WEEKDAY(B4838)=7,1,0))))))</f>
        <v>2</v>
      </c>
      <c r="H4838" s="370">
        <v>9083.6150817871094</v>
      </c>
      <c r="I4838" s="370">
        <v>7360.467529296875</v>
      </c>
      <c r="M4838" s="371">
        <f t="shared" si="301"/>
        <v>11691.387650912267</v>
      </c>
      <c r="N4838" s="329">
        <f t="shared" si="302"/>
        <v>4635.3830047607426</v>
      </c>
      <c r="T4838" s="331">
        <v>0</v>
      </c>
      <c r="U4838" s="328">
        <f>VLOOKUP(C4838,METADATA!$J$5:$Q$29,IF(E4838="HI",2,IF(E4838="LO",6,10))+IF(T4838=1,2,IF(D4838=7,1,(IF(WEEKDAY(B4838)=1,2,IF(WEEKDAY(B4838)=7,1,0))))))</f>
        <v>2</v>
      </c>
      <c r="V4838" s="328">
        <f>VLOOKUP(C4838,METADATA!$A$5:$H$29,IF(E4838="HI",2,IF(E4838="LO",6,10))+IF(T4838=1,2,IF(D4838=7,1,(IF(WEEKDAY(B4838)=1,2,IF(WEEKDAY(B4838)=7,1,0))))))</f>
        <v>2</v>
      </c>
    </row>
    <row r="4839" spans="2:22">
      <c r="B4839" s="318">
        <f t="shared" si="303"/>
        <v>46314</v>
      </c>
      <c r="C4839" s="312">
        <v>11</v>
      </c>
      <c r="D4839" s="368">
        <f>IFERROR((INDEX(METADATA!$T$2:$T$20,MATCH(B4839,METADATA!$S$2:$S$20,0))),0)</f>
        <v>0</v>
      </c>
      <c r="E4839" s="312" t="str">
        <f t="shared" si="300"/>
        <v>LO</v>
      </c>
      <c r="F4839" s="369">
        <f>VLOOKUP(C4839,METADATA!$A$5:$H$29,IF(E4839="HI",2,IF(E4839="LO",6,10))+IF(D4839=1,2,IF(D4839=7,1,(IF(WEEKDAY(B4839)=1,2,IF(WEEKDAY(B4839)=7,1,0))))))</f>
        <v>2</v>
      </c>
      <c r="G4839" s="369">
        <f>VLOOKUP(C4839,METADATA!$J$5:$Q$29,IF(E4839="HI",2,IF(E4839="LO",6,10))+IF(D4839=1,2,IF(D4839=7,1,(IF(WEEKDAY(B4839)=1,2,IF(WEEKDAY(B4839)=7,1,0))))))</f>
        <v>2</v>
      </c>
      <c r="H4839" s="370">
        <v>10013.13232421875</v>
      </c>
      <c r="I4839" s="370">
        <v>7647.93505859375</v>
      </c>
      <c r="M4839" s="371">
        <f t="shared" si="301"/>
        <v>12599.751172256609</v>
      </c>
      <c r="N4839" s="329">
        <f t="shared" si="302"/>
        <v>4643.995361328125</v>
      </c>
      <c r="T4839" s="331">
        <v>0</v>
      </c>
      <c r="U4839" s="328">
        <f>VLOOKUP(C4839,METADATA!$J$5:$Q$29,IF(E4839="HI",2,IF(E4839="LO",6,10))+IF(T4839=1,2,IF(D4839=7,1,(IF(WEEKDAY(B4839)=1,2,IF(WEEKDAY(B4839)=7,1,0))))))</f>
        <v>2</v>
      </c>
      <c r="V4839" s="328">
        <f>VLOOKUP(C4839,METADATA!$A$5:$H$29,IF(E4839="HI",2,IF(E4839="LO",6,10))+IF(T4839=1,2,IF(D4839=7,1,(IF(WEEKDAY(B4839)=1,2,IF(WEEKDAY(B4839)=7,1,0))))))</f>
        <v>2</v>
      </c>
    </row>
    <row r="4840" spans="2:22">
      <c r="B4840" s="318">
        <f t="shared" si="303"/>
        <v>46314</v>
      </c>
      <c r="C4840" s="312">
        <v>12</v>
      </c>
      <c r="D4840" s="368">
        <f>IFERROR((INDEX(METADATA!$T$2:$T$20,MATCH(B4840,METADATA!$S$2:$S$20,0))),0)</f>
        <v>0</v>
      </c>
      <c r="E4840" s="312" t="str">
        <f t="shared" si="300"/>
        <v>LO</v>
      </c>
      <c r="F4840" s="369">
        <f>VLOOKUP(C4840,METADATA!$A$5:$H$29,IF(E4840="HI",2,IF(E4840="LO",6,10))+IF(D4840=1,2,IF(D4840=7,1,(IF(WEEKDAY(B4840)=1,2,IF(WEEKDAY(B4840)=7,1,0))))))</f>
        <v>2</v>
      </c>
      <c r="G4840" s="369">
        <f>VLOOKUP(C4840,METADATA!$J$5:$Q$29,IF(E4840="HI",2,IF(E4840="LO",6,10))+IF(D4840=1,2,IF(D4840=7,1,(IF(WEEKDAY(B4840)=1,2,IF(WEEKDAY(B4840)=7,1,0))))))</f>
        <v>2</v>
      </c>
      <c r="H4840" s="370">
        <v>10145.104888916016</v>
      </c>
      <c r="I4840" s="370">
        <v>7774.5276489257813</v>
      </c>
      <c r="M4840" s="371">
        <f t="shared" si="301"/>
        <v>12781.487916945314</v>
      </c>
      <c r="N4840" s="329">
        <f t="shared" si="302"/>
        <v>4730.9961822509767</v>
      </c>
      <c r="T4840" s="331">
        <v>0</v>
      </c>
      <c r="U4840" s="328">
        <f>VLOOKUP(C4840,METADATA!$J$5:$Q$29,IF(E4840="HI",2,IF(E4840="LO",6,10))+IF(T4840=1,2,IF(D4840=7,1,(IF(WEEKDAY(B4840)=1,2,IF(WEEKDAY(B4840)=7,1,0))))))</f>
        <v>2</v>
      </c>
      <c r="V4840" s="328">
        <f>VLOOKUP(C4840,METADATA!$A$5:$H$29,IF(E4840="HI",2,IF(E4840="LO",6,10))+IF(T4840=1,2,IF(D4840=7,1,(IF(WEEKDAY(B4840)=1,2,IF(WEEKDAY(B4840)=7,1,0))))))</f>
        <v>2</v>
      </c>
    </row>
    <row r="4841" spans="2:22">
      <c r="B4841" s="318">
        <f t="shared" si="303"/>
        <v>46314</v>
      </c>
      <c r="C4841" s="312">
        <v>13</v>
      </c>
      <c r="D4841" s="368">
        <f>IFERROR((INDEX(METADATA!$T$2:$T$20,MATCH(B4841,METADATA!$S$2:$S$20,0))),0)</f>
        <v>0</v>
      </c>
      <c r="E4841" s="312" t="str">
        <f t="shared" si="300"/>
        <v>LO</v>
      </c>
      <c r="F4841" s="369">
        <f>VLOOKUP(C4841,METADATA!$A$5:$H$29,IF(E4841="HI",2,IF(E4841="LO",6,10))+IF(D4841=1,2,IF(D4841=7,1,(IF(WEEKDAY(B4841)=1,2,IF(WEEKDAY(B4841)=7,1,0))))))</f>
        <v>2</v>
      </c>
      <c r="G4841" s="369">
        <f>VLOOKUP(C4841,METADATA!$J$5:$Q$29,IF(E4841="HI",2,IF(E4841="LO",6,10))+IF(D4841=1,2,IF(D4841=7,1,(IF(WEEKDAY(B4841)=1,2,IF(WEEKDAY(B4841)=7,1,0))))))</f>
        <v>2</v>
      </c>
      <c r="H4841" s="370">
        <v>11701.249938964844</v>
      </c>
      <c r="I4841" s="370">
        <v>8833.099853515625</v>
      </c>
      <c r="M4841" s="371">
        <f t="shared" si="301"/>
        <v>14660.931183124165</v>
      </c>
      <c r="N4841" s="329">
        <f t="shared" si="302"/>
        <v>5322.7248718261726</v>
      </c>
      <c r="T4841" s="331">
        <v>0</v>
      </c>
      <c r="U4841" s="328">
        <f>VLOOKUP(C4841,METADATA!$J$5:$Q$29,IF(E4841="HI",2,IF(E4841="LO",6,10))+IF(T4841=1,2,IF(D4841=7,1,(IF(WEEKDAY(B4841)=1,2,IF(WEEKDAY(B4841)=7,1,0))))))</f>
        <v>2</v>
      </c>
      <c r="V4841" s="328">
        <f>VLOOKUP(C4841,METADATA!$A$5:$H$29,IF(E4841="HI",2,IF(E4841="LO",6,10))+IF(T4841=1,2,IF(D4841=7,1,(IF(WEEKDAY(B4841)=1,2,IF(WEEKDAY(B4841)=7,1,0))))))</f>
        <v>2</v>
      </c>
    </row>
    <row r="4842" spans="2:22">
      <c r="B4842" s="318">
        <f t="shared" si="303"/>
        <v>46314</v>
      </c>
      <c r="C4842" s="312">
        <v>14</v>
      </c>
      <c r="D4842" s="368">
        <f>IFERROR((INDEX(METADATA!$T$2:$T$20,MATCH(B4842,METADATA!$S$2:$S$20,0))),0)</f>
        <v>0</v>
      </c>
      <c r="E4842" s="312" t="str">
        <f t="shared" si="300"/>
        <v>LO</v>
      </c>
      <c r="F4842" s="369">
        <f>VLOOKUP(C4842,METADATA!$A$5:$H$29,IF(E4842="HI",2,IF(E4842="LO",6,10))+IF(D4842=1,2,IF(D4842=7,1,(IF(WEEKDAY(B4842)=1,2,IF(WEEKDAY(B4842)=7,1,0))))))</f>
        <v>2</v>
      </c>
      <c r="G4842" s="369">
        <f>VLOOKUP(C4842,METADATA!$J$5:$Q$29,IF(E4842="HI",2,IF(E4842="LO",6,10))+IF(D4842=1,2,IF(D4842=7,1,(IF(WEEKDAY(B4842)=1,2,IF(WEEKDAY(B4842)=7,1,0))))))</f>
        <v>2</v>
      </c>
      <c r="H4842" s="370">
        <v>11778.874938964844</v>
      </c>
      <c r="I4842" s="370">
        <v>9520.5250244140625</v>
      </c>
      <c r="M4842" s="371">
        <f t="shared" si="301"/>
        <v>15145.371952126776</v>
      </c>
      <c r="N4842" s="329">
        <f t="shared" si="302"/>
        <v>5986.8625427246097</v>
      </c>
      <c r="T4842" s="331">
        <v>0</v>
      </c>
      <c r="U4842" s="328">
        <f>VLOOKUP(C4842,METADATA!$J$5:$Q$29,IF(E4842="HI",2,IF(E4842="LO",6,10))+IF(T4842=1,2,IF(D4842=7,1,(IF(WEEKDAY(B4842)=1,2,IF(WEEKDAY(B4842)=7,1,0))))))</f>
        <v>2</v>
      </c>
      <c r="V4842" s="328">
        <f>VLOOKUP(C4842,METADATA!$A$5:$H$29,IF(E4842="HI",2,IF(E4842="LO",6,10))+IF(T4842=1,2,IF(D4842=7,1,(IF(WEEKDAY(B4842)=1,2,IF(WEEKDAY(B4842)=7,1,0))))))</f>
        <v>2</v>
      </c>
    </row>
    <row r="4843" spans="2:22">
      <c r="B4843" s="318">
        <f t="shared" si="303"/>
        <v>46314</v>
      </c>
      <c r="C4843" s="312">
        <v>15</v>
      </c>
      <c r="D4843" s="368">
        <f>IFERROR((INDEX(METADATA!$T$2:$T$20,MATCH(B4843,METADATA!$S$2:$S$20,0))),0)</f>
        <v>0</v>
      </c>
      <c r="E4843" s="312" t="str">
        <f t="shared" si="300"/>
        <v>LO</v>
      </c>
      <c r="F4843" s="369">
        <f>VLOOKUP(C4843,METADATA!$A$5:$H$29,IF(E4843="HI",2,IF(E4843="LO",6,10))+IF(D4843=1,2,IF(D4843=7,1,(IF(WEEKDAY(B4843)=1,2,IF(WEEKDAY(B4843)=7,1,0))))))</f>
        <v>2</v>
      </c>
      <c r="G4843" s="369">
        <f>VLOOKUP(C4843,METADATA!$J$5:$Q$29,IF(E4843="HI",2,IF(E4843="LO",6,10))+IF(D4843=1,2,IF(D4843=7,1,(IF(WEEKDAY(B4843)=1,2,IF(WEEKDAY(B4843)=7,1,0))))))</f>
        <v>2</v>
      </c>
      <c r="H4843" s="370">
        <v>11718.650085449219</v>
      </c>
      <c r="I4843" s="370">
        <v>9460.324951171875</v>
      </c>
      <c r="M4843" s="371">
        <f t="shared" si="301"/>
        <v>15060.694140940654</v>
      </c>
      <c r="N4843" s="329">
        <f t="shared" si="302"/>
        <v>5944.729925537109</v>
      </c>
      <c r="T4843" s="331">
        <v>0</v>
      </c>
      <c r="U4843" s="328">
        <f>VLOOKUP(C4843,METADATA!$J$5:$Q$29,IF(E4843="HI",2,IF(E4843="LO",6,10))+IF(T4843=1,2,IF(D4843=7,1,(IF(WEEKDAY(B4843)=1,2,IF(WEEKDAY(B4843)=7,1,0))))))</f>
        <v>2</v>
      </c>
      <c r="V4843" s="328">
        <f>VLOOKUP(C4843,METADATA!$A$5:$H$29,IF(E4843="HI",2,IF(E4843="LO",6,10))+IF(T4843=1,2,IF(D4843=7,1,(IF(WEEKDAY(B4843)=1,2,IF(WEEKDAY(B4843)=7,1,0))))))</f>
        <v>2</v>
      </c>
    </row>
    <row r="4844" spans="2:22">
      <c r="B4844" s="318">
        <f t="shared" si="303"/>
        <v>46314</v>
      </c>
      <c r="C4844" s="312">
        <v>16</v>
      </c>
      <c r="D4844" s="368">
        <f>IFERROR((INDEX(METADATA!$T$2:$T$20,MATCH(B4844,METADATA!$S$2:$S$20,0))),0)</f>
        <v>0</v>
      </c>
      <c r="E4844" s="312" t="str">
        <f t="shared" si="300"/>
        <v>LO</v>
      </c>
      <c r="F4844" s="369">
        <f>VLOOKUP(C4844,METADATA!$A$5:$H$29,IF(E4844="HI",2,IF(E4844="LO",6,10))+IF(D4844=1,2,IF(D4844=7,1,(IF(WEEKDAY(B4844)=1,2,IF(WEEKDAY(B4844)=7,1,0))))))</f>
        <v>2</v>
      </c>
      <c r="G4844" s="369">
        <f>VLOOKUP(C4844,METADATA!$J$5:$Q$29,IF(E4844="HI",2,IF(E4844="LO",6,10))+IF(D4844=1,2,IF(D4844=7,1,(IF(WEEKDAY(B4844)=1,2,IF(WEEKDAY(B4844)=7,1,0))))))</f>
        <v>2</v>
      </c>
      <c r="H4844" s="370">
        <v>11636.124816894531</v>
      </c>
      <c r="I4844" s="370">
        <v>9583.599853515625</v>
      </c>
      <c r="M4844" s="371">
        <f t="shared" si="301"/>
        <v>15074.640523297843</v>
      </c>
      <c r="N4844" s="329">
        <f t="shared" si="302"/>
        <v>6092.7624084472664</v>
      </c>
      <c r="T4844" s="331">
        <v>0</v>
      </c>
      <c r="U4844" s="328">
        <f>VLOOKUP(C4844,METADATA!$J$5:$Q$29,IF(E4844="HI",2,IF(E4844="LO",6,10))+IF(T4844=1,2,IF(D4844=7,1,(IF(WEEKDAY(B4844)=1,2,IF(WEEKDAY(B4844)=7,1,0))))))</f>
        <v>2</v>
      </c>
      <c r="V4844" s="328">
        <f>VLOOKUP(C4844,METADATA!$A$5:$H$29,IF(E4844="HI",2,IF(E4844="LO",6,10))+IF(T4844=1,2,IF(D4844=7,1,(IF(WEEKDAY(B4844)=1,2,IF(WEEKDAY(B4844)=7,1,0))))))</f>
        <v>2</v>
      </c>
    </row>
    <row r="4845" spans="2:22">
      <c r="B4845" s="318">
        <f t="shared" si="303"/>
        <v>46314</v>
      </c>
      <c r="C4845" s="312">
        <v>17</v>
      </c>
      <c r="D4845" s="368">
        <f>IFERROR((INDEX(METADATA!$T$2:$T$20,MATCH(B4845,METADATA!$S$2:$S$20,0))),0)</f>
        <v>0</v>
      </c>
      <c r="E4845" s="312" t="str">
        <f t="shared" si="300"/>
        <v>LO</v>
      </c>
      <c r="F4845" s="369">
        <f>VLOOKUP(C4845,METADATA!$A$5:$H$29,IF(E4845="HI",2,IF(E4845="LO",6,10))+IF(D4845=1,2,IF(D4845=7,1,(IF(WEEKDAY(B4845)=1,2,IF(WEEKDAY(B4845)=7,1,0))))))</f>
        <v>2</v>
      </c>
      <c r="G4845" s="369">
        <f>VLOOKUP(C4845,METADATA!$J$5:$Q$29,IF(E4845="HI",2,IF(E4845="LO",6,10))+IF(D4845=1,2,IF(D4845=7,1,(IF(WEEKDAY(B4845)=1,2,IF(WEEKDAY(B4845)=7,1,0))))))</f>
        <v>2</v>
      </c>
      <c r="H4845" s="370">
        <v>11583.599792480469</v>
      </c>
      <c r="I4845" s="370">
        <v>9677.324951171875</v>
      </c>
      <c r="M4845" s="371">
        <f t="shared" si="301"/>
        <v>15094.05188685024</v>
      </c>
      <c r="N4845" s="329">
        <f t="shared" si="302"/>
        <v>6202.2450134277351</v>
      </c>
      <c r="T4845" s="331">
        <v>0</v>
      </c>
      <c r="U4845" s="328">
        <f>VLOOKUP(C4845,METADATA!$J$5:$Q$29,IF(E4845="HI",2,IF(E4845="LO",6,10))+IF(T4845=1,2,IF(D4845=7,1,(IF(WEEKDAY(B4845)=1,2,IF(WEEKDAY(B4845)=7,1,0))))))</f>
        <v>2</v>
      </c>
      <c r="V4845" s="328">
        <f>VLOOKUP(C4845,METADATA!$A$5:$H$29,IF(E4845="HI",2,IF(E4845="LO",6,10))+IF(T4845=1,2,IF(D4845=7,1,(IF(WEEKDAY(B4845)=1,2,IF(WEEKDAY(B4845)=7,1,0))))))</f>
        <v>2</v>
      </c>
    </row>
    <row r="4846" spans="2:22">
      <c r="B4846" s="318">
        <f t="shared" si="303"/>
        <v>46314</v>
      </c>
      <c r="C4846" s="312">
        <v>18</v>
      </c>
      <c r="D4846" s="368">
        <f>IFERROR((INDEX(METADATA!$T$2:$T$20,MATCH(B4846,METADATA!$S$2:$S$20,0))),0)</f>
        <v>0</v>
      </c>
      <c r="E4846" s="312" t="str">
        <f t="shared" si="300"/>
        <v>LO</v>
      </c>
      <c r="F4846" s="369">
        <f>VLOOKUP(C4846,METADATA!$A$5:$H$29,IF(E4846="HI",2,IF(E4846="LO",6,10))+IF(D4846=1,2,IF(D4846=7,1,(IF(WEEKDAY(B4846)=1,2,IF(WEEKDAY(B4846)=7,1,0))))))</f>
        <v>1</v>
      </c>
      <c r="G4846" s="369">
        <f>VLOOKUP(C4846,METADATA!$J$5:$Q$29,IF(E4846="HI",2,IF(E4846="LO",6,10))+IF(D4846=1,2,IF(D4846=7,1,(IF(WEEKDAY(B4846)=1,2,IF(WEEKDAY(B4846)=7,1,0))))))</f>
        <v>1</v>
      </c>
      <c r="H4846" s="370">
        <v>11760.024780273438</v>
      </c>
      <c r="I4846" s="370">
        <v>9716.0502319335938</v>
      </c>
      <c r="M4846" s="371">
        <f t="shared" si="301"/>
        <v>15254.501464882493</v>
      </c>
      <c r="N4846" s="329">
        <f t="shared" si="302"/>
        <v>6188.0427978515627</v>
      </c>
      <c r="T4846" s="331">
        <v>0</v>
      </c>
      <c r="U4846" s="328">
        <f>VLOOKUP(C4846,METADATA!$J$5:$Q$29,IF(E4846="HI",2,IF(E4846="LO",6,10))+IF(T4846=1,2,IF(D4846=7,1,(IF(WEEKDAY(B4846)=1,2,IF(WEEKDAY(B4846)=7,1,0))))))</f>
        <v>1</v>
      </c>
      <c r="V4846" s="328">
        <f>VLOOKUP(C4846,METADATA!$A$5:$H$29,IF(E4846="HI",2,IF(E4846="LO",6,10))+IF(T4846=1,2,IF(D4846=7,1,(IF(WEEKDAY(B4846)=1,2,IF(WEEKDAY(B4846)=7,1,0))))))</f>
        <v>1</v>
      </c>
    </row>
    <row r="4847" spans="2:22">
      <c r="B4847" s="318">
        <f t="shared" si="303"/>
        <v>46314</v>
      </c>
      <c r="C4847" s="312">
        <v>19</v>
      </c>
      <c r="D4847" s="368">
        <f>IFERROR((INDEX(METADATA!$T$2:$T$20,MATCH(B4847,METADATA!$S$2:$S$20,0))),0)</f>
        <v>0</v>
      </c>
      <c r="E4847" s="312" t="str">
        <f t="shared" si="300"/>
        <v>LO</v>
      </c>
      <c r="F4847" s="369">
        <f>VLOOKUP(C4847,METADATA!$A$5:$H$29,IF(E4847="HI",2,IF(E4847="LO",6,10))+IF(D4847=1,2,IF(D4847=7,1,(IF(WEEKDAY(B4847)=1,2,IF(WEEKDAY(B4847)=7,1,0))))))</f>
        <v>1</v>
      </c>
      <c r="G4847" s="369">
        <f>VLOOKUP(C4847,METADATA!$J$5:$Q$29,IF(E4847="HI",2,IF(E4847="LO",6,10))+IF(D4847=1,2,IF(D4847=7,1,(IF(WEEKDAY(B4847)=1,2,IF(WEEKDAY(B4847)=7,1,0))))))</f>
        <v>1</v>
      </c>
      <c r="H4847" s="370">
        <v>11867.599853515625</v>
      </c>
      <c r="I4847" s="370">
        <v>9761.7250366210938</v>
      </c>
      <c r="M4847" s="371">
        <f t="shared" si="301"/>
        <v>15366.561162919932</v>
      </c>
      <c r="N4847" s="329">
        <f t="shared" si="302"/>
        <v>6201.4450805664064</v>
      </c>
      <c r="T4847" s="331">
        <v>0</v>
      </c>
      <c r="U4847" s="328">
        <f>VLOOKUP(C4847,METADATA!$J$5:$Q$29,IF(E4847="HI",2,IF(E4847="LO",6,10))+IF(T4847=1,2,IF(D4847=7,1,(IF(WEEKDAY(B4847)=1,2,IF(WEEKDAY(B4847)=7,1,0))))))</f>
        <v>1</v>
      </c>
      <c r="V4847" s="328">
        <f>VLOOKUP(C4847,METADATA!$A$5:$H$29,IF(E4847="HI",2,IF(E4847="LO",6,10))+IF(T4847=1,2,IF(D4847=7,1,(IF(WEEKDAY(B4847)=1,2,IF(WEEKDAY(B4847)=7,1,0))))))</f>
        <v>1</v>
      </c>
    </row>
    <row r="4848" spans="2:22">
      <c r="B4848" s="318">
        <f t="shared" si="303"/>
        <v>46314</v>
      </c>
      <c r="C4848" s="312">
        <v>20</v>
      </c>
      <c r="D4848" s="368">
        <f>IFERROR((INDEX(METADATA!$T$2:$T$20,MATCH(B4848,METADATA!$S$2:$S$20,0))),0)</f>
        <v>0</v>
      </c>
      <c r="E4848" s="312" t="str">
        <f t="shared" si="300"/>
        <v>LO</v>
      </c>
      <c r="F4848" s="369">
        <f>VLOOKUP(C4848,METADATA!$A$5:$H$29,IF(E4848="HI",2,IF(E4848="LO",6,10))+IF(D4848=1,2,IF(D4848=7,1,(IF(WEEKDAY(B4848)=1,2,IF(WEEKDAY(B4848)=7,1,0))))))</f>
        <v>1</v>
      </c>
      <c r="G4848" s="369">
        <f>VLOOKUP(C4848,METADATA!$J$5:$Q$29,IF(E4848="HI",2,IF(E4848="LO",6,10))+IF(D4848=1,2,IF(D4848=7,1,(IF(WEEKDAY(B4848)=1,2,IF(WEEKDAY(B4848)=7,1,0))))))</f>
        <v>1</v>
      </c>
      <c r="H4848" s="370">
        <v>11957.1748046875</v>
      </c>
      <c r="I4848" s="370">
        <v>9873.824951171875</v>
      </c>
      <c r="M4848" s="371">
        <f t="shared" si="301"/>
        <v>15506.980636998223</v>
      </c>
      <c r="N4848" s="329">
        <f t="shared" si="302"/>
        <v>6286.6725097656254</v>
      </c>
      <c r="T4848" s="331">
        <v>0</v>
      </c>
      <c r="U4848" s="328">
        <f>VLOOKUP(C4848,METADATA!$J$5:$Q$29,IF(E4848="HI",2,IF(E4848="LO",6,10))+IF(T4848=1,2,IF(D4848=7,1,(IF(WEEKDAY(B4848)=1,2,IF(WEEKDAY(B4848)=7,1,0))))))</f>
        <v>1</v>
      </c>
      <c r="V4848" s="328">
        <f>VLOOKUP(C4848,METADATA!$A$5:$H$29,IF(E4848="HI",2,IF(E4848="LO",6,10))+IF(T4848=1,2,IF(D4848=7,1,(IF(WEEKDAY(B4848)=1,2,IF(WEEKDAY(B4848)=7,1,0))))))</f>
        <v>1</v>
      </c>
    </row>
    <row r="4849" spans="2:22">
      <c r="B4849" s="318">
        <f t="shared" si="303"/>
        <v>46314</v>
      </c>
      <c r="C4849" s="312">
        <v>21</v>
      </c>
      <c r="D4849" s="368">
        <f>IFERROR((INDEX(METADATA!$T$2:$T$20,MATCH(B4849,METADATA!$S$2:$S$20,0))),0)</f>
        <v>0</v>
      </c>
      <c r="E4849" s="312" t="str">
        <f t="shared" si="300"/>
        <v>LO</v>
      </c>
      <c r="F4849" s="369">
        <f>VLOOKUP(C4849,METADATA!$A$5:$H$29,IF(E4849="HI",2,IF(E4849="LO",6,10))+IF(D4849=1,2,IF(D4849=7,1,(IF(WEEKDAY(B4849)=1,2,IF(WEEKDAY(B4849)=7,1,0))))))</f>
        <v>2</v>
      </c>
      <c r="G4849" s="369">
        <f>VLOOKUP(C4849,METADATA!$J$5:$Q$29,IF(E4849="HI",2,IF(E4849="LO",6,10))+IF(D4849=1,2,IF(D4849=7,1,(IF(WEEKDAY(B4849)=1,2,IF(WEEKDAY(B4849)=7,1,0))))))</f>
        <v>2</v>
      </c>
      <c r="H4849" s="370">
        <v>10831.509979248047</v>
      </c>
      <c r="I4849" s="370">
        <v>9284.3274841308594</v>
      </c>
      <c r="M4849" s="371">
        <f t="shared" si="301"/>
        <v>14266.055700968565</v>
      </c>
      <c r="N4849" s="329">
        <f t="shared" si="302"/>
        <v>6034.8744903564457</v>
      </c>
      <c r="T4849" s="331">
        <v>0</v>
      </c>
      <c r="U4849" s="328">
        <f>VLOOKUP(C4849,METADATA!$J$5:$Q$29,IF(E4849="HI",2,IF(E4849="LO",6,10))+IF(T4849=1,2,IF(D4849=7,1,(IF(WEEKDAY(B4849)=1,2,IF(WEEKDAY(B4849)=7,1,0))))))</f>
        <v>2</v>
      </c>
      <c r="V4849" s="328">
        <f>VLOOKUP(C4849,METADATA!$A$5:$H$29,IF(E4849="HI",2,IF(E4849="LO",6,10))+IF(T4849=1,2,IF(D4849=7,1,(IF(WEEKDAY(B4849)=1,2,IF(WEEKDAY(B4849)=7,1,0))))))</f>
        <v>2</v>
      </c>
    </row>
    <row r="4850" spans="2:22">
      <c r="B4850" s="318">
        <f t="shared" si="303"/>
        <v>46314</v>
      </c>
      <c r="C4850" s="312">
        <v>22</v>
      </c>
      <c r="D4850" s="368">
        <f>IFERROR((INDEX(METADATA!$T$2:$T$20,MATCH(B4850,METADATA!$S$2:$S$20,0))),0)</f>
        <v>0</v>
      </c>
      <c r="E4850" s="312" t="str">
        <f t="shared" si="300"/>
        <v>LO</v>
      </c>
      <c r="F4850" s="369">
        <f>VLOOKUP(C4850,METADATA!$A$5:$H$29,IF(E4850="HI",2,IF(E4850="LO",6,10))+IF(D4850=1,2,IF(D4850=7,1,(IF(WEEKDAY(B4850)=1,2,IF(WEEKDAY(B4850)=7,1,0))))))</f>
        <v>3</v>
      </c>
      <c r="G4850" s="369">
        <f>VLOOKUP(C4850,METADATA!$J$5:$Q$29,IF(E4850="HI",2,IF(E4850="LO",6,10))+IF(D4850=1,2,IF(D4850=7,1,(IF(WEEKDAY(B4850)=1,2,IF(WEEKDAY(B4850)=7,1,0))))))</f>
        <v>3</v>
      </c>
      <c r="H4850" s="370">
        <v>10227.139953613281</v>
      </c>
      <c r="I4850" s="370">
        <v>8829.5250549316406</v>
      </c>
      <c r="M4850" s="371">
        <f t="shared" si="301"/>
        <v>13511.288033583573</v>
      </c>
      <c r="N4850" s="329">
        <f t="shared" si="302"/>
        <v>5761.3830688476564</v>
      </c>
      <c r="T4850" s="331">
        <v>0</v>
      </c>
      <c r="U4850" s="328">
        <f>VLOOKUP(C4850,METADATA!$J$5:$Q$29,IF(E4850="HI",2,IF(E4850="LO",6,10))+IF(T4850=1,2,IF(D4850=7,1,(IF(WEEKDAY(B4850)=1,2,IF(WEEKDAY(B4850)=7,1,0))))))</f>
        <v>3</v>
      </c>
      <c r="V4850" s="328">
        <f>VLOOKUP(C4850,METADATA!$A$5:$H$29,IF(E4850="HI",2,IF(E4850="LO",6,10))+IF(T4850=1,2,IF(D4850=7,1,(IF(WEEKDAY(B4850)=1,2,IF(WEEKDAY(B4850)=7,1,0))))))</f>
        <v>3</v>
      </c>
    </row>
    <row r="4851" spans="2:22">
      <c r="B4851" s="318">
        <f t="shared" si="303"/>
        <v>46314</v>
      </c>
      <c r="C4851" s="312">
        <v>23</v>
      </c>
      <c r="D4851" s="368">
        <f>IFERROR((INDEX(METADATA!$T$2:$T$20,MATCH(B4851,METADATA!$S$2:$S$20,0))),0)</f>
        <v>0</v>
      </c>
      <c r="E4851" s="312" t="str">
        <f t="shared" si="300"/>
        <v>LO</v>
      </c>
      <c r="F4851" s="369">
        <f>VLOOKUP(C4851,METADATA!$A$5:$H$29,IF(E4851="HI",2,IF(E4851="LO",6,10))+IF(D4851=1,2,IF(D4851=7,1,(IF(WEEKDAY(B4851)=1,2,IF(WEEKDAY(B4851)=7,1,0))))))</f>
        <v>3</v>
      </c>
      <c r="G4851" s="369">
        <f>VLOOKUP(C4851,METADATA!$J$5:$Q$29,IF(E4851="HI",2,IF(E4851="LO",6,10))+IF(D4851=1,2,IF(D4851=7,1,(IF(WEEKDAY(B4851)=1,2,IF(WEEKDAY(B4851)=7,1,0))))))</f>
        <v>3</v>
      </c>
      <c r="H4851" s="370">
        <v>10280.525024414063</v>
      </c>
      <c r="I4851" s="370">
        <v>8810.3524780273438</v>
      </c>
      <c r="M4851" s="371">
        <f t="shared" si="301"/>
        <v>13539.257939956913</v>
      </c>
      <c r="N4851" s="329">
        <f t="shared" si="302"/>
        <v>5726.1949707031254</v>
      </c>
      <c r="T4851" s="331">
        <v>0</v>
      </c>
      <c r="U4851" s="328">
        <f>VLOOKUP(C4851,METADATA!$J$5:$Q$29,IF(E4851="HI",2,IF(E4851="LO",6,10))+IF(T4851=1,2,IF(D4851=7,1,(IF(WEEKDAY(B4851)=1,2,IF(WEEKDAY(B4851)=7,1,0))))))</f>
        <v>3</v>
      </c>
      <c r="V4851" s="328">
        <f>VLOOKUP(C4851,METADATA!$A$5:$H$29,IF(E4851="HI",2,IF(E4851="LO",6,10))+IF(T4851=1,2,IF(D4851=7,1,(IF(WEEKDAY(B4851)=1,2,IF(WEEKDAY(B4851)=7,1,0))))))</f>
        <v>3</v>
      </c>
    </row>
    <row r="4852" spans="2:22">
      <c r="B4852" s="318">
        <f t="shared" si="303"/>
        <v>46315</v>
      </c>
      <c r="C4852" s="312">
        <v>0</v>
      </c>
      <c r="D4852" s="368">
        <f>IFERROR((INDEX(METADATA!$T$2:$T$20,MATCH(B4852,METADATA!$S$2:$S$20,0))),0)</f>
        <v>0</v>
      </c>
      <c r="E4852" s="312" t="str">
        <f t="shared" si="300"/>
        <v>LO</v>
      </c>
      <c r="F4852" s="369">
        <f>VLOOKUP(C4852,METADATA!$A$5:$H$29,IF(E4852="HI",2,IF(E4852="LO",6,10))+IF(D4852=1,2,IF(D4852=7,1,(IF(WEEKDAY(B4852)=1,2,IF(WEEKDAY(B4852)=7,1,0))))))</f>
        <v>3</v>
      </c>
      <c r="G4852" s="369">
        <f>VLOOKUP(C4852,METADATA!$J$5:$Q$29,IF(E4852="HI",2,IF(E4852="LO",6,10))+IF(D4852=1,2,IF(D4852=7,1,(IF(WEEKDAY(B4852)=1,2,IF(WEEKDAY(B4852)=7,1,0))))))</f>
        <v>3</v>
      </c>
      <c r="H4852" s="370">
        <v>11960.099975585938</v>
      </c>
      <c r="I4852" s="370">
        <v>9906.7000732421875</v>
      </c>
      <c r="M4852" s="371">
        <f t="shared" si="301"/>
        <v>15530.186662342068</v>
      </c>
      <c r="N4852" s="329">
        <f t="shared" si="302"/>
        <v>6318.6700805664059</v>
      </c>
      <c r="T4852" s="331">
        <v>0</v>
      </c>
      <c r="U4852" s="328">
        <f>VLOOKUP(C4852,METADATA!$J$5:$Q$29,IF(E4852="HI",2,IF(E4852="LO",6,10))+IF(T4852=1,2,IF(D4852=7,1,(IF(WEEKDAY(B4852)=1,2,IF(WEEKDAY(B4852)=7,1,0))))))</f>
        <v>3</v>
      </c>
      <c r="V4852" s="328">
        <f>VLOOKUP(C4852,METADATA!$A$5:$H$29,IF(E4852="HI",2,IF(E4852="LO",6,10))+IF(T4852=1,2,IF(D4852=7,1,(IF(WEEKDAY(B4852)=1,2,IF(WEEKDAY(B4852)=7,1,0))))))</f>
        <v>3</v>
      </c>
    </row>
    <row r="4853" spans="2:22">
      <c r="B4853" s="318">
        <f t="shared" si="303"/>
        <v>46315</v>
      </c>
      <c r="C4853" s="312">
        <v>1</v>
      </c>
      <c r="D4853" s="368">
        <f>IFERROR((INDEX(METADATA!$T$2:$T$20,MATCH(B4853,METADATA!$S$2:$S$20,0))),0)</f>
        <v>0</v>
      </c>
      <c r="E4853" s="312" t="str">
        <f t="shared" si="300"/>
        <v>LO</v>
      </c>
      <c r="F4853" s="369">
        <f>VLOOKUP(C4853,METADATA!$A$5:$H$29,IF(E4853="HI",2,IF(E4853="LO",6,10))+IF(D4853=1,2,IF(D4853=7,1,(IF(WEEKDAY(B4853)=1,2,IF(WEEKDAY(B4853)=7,1,0))))))</f>
        <v>3</v>
      </c>
      <c r="G4853" s="369">
        <f>VLOOKUP(C4853,METADATA!$J$5:$Q$29,IF(E4853="HI",2,IF(E4853="LO",6,10))+IF(D4853=1,2,IF(D4853=7,1,(IF(WEEKDAY(B4853)=1,2,IF(WEEKDAY(B4853)=7,1,0))))))</f>
        <v>3</v>
      </c>
      <c r="H4853" s="370">
        <v>11456.874938964844</v>
      </c>
      <c r="I4853" s="370">
        <v>9622.8375854492188</v>
      </c>
      <c r="M4853" s="371">
        <f t="shared" si="301"/>
        <v>14961.917877164506</v>
      </c>
      <c r="N4853" s="329">
        <f t="shared" si="302"/>
        <v>6185.7751037597664</v>
      </c>
      <c r="T4853" s="331">
        <v>0</v>
      </c>
      <c r="U4853" s="328">
        <f>VLOOKUP(C4853,METADATA!$J$5:$Q$29,IF(E4853="HI",2,IF(E4853="LO",6,10))+IF(T4853=1,2,IF(D4853=7,1,(IF(WEEKDAY(B4853)=1,2,IF(WEEKDAY(B4853)=7,1,0))))))</f>
        <v>3</v>
      </c>
      <c r="V4853" s="328">
        <f>VLOOKUP(C4853,METADATA!$A$5:$H$29,IF(E4853="HI",2,IF(E4853="LO",6,10))+IF(T4853=1,2,IF(D4853=7,1,(IF(WEEKDAY(B4853)=1,2,IF(WEEKDAY(B4853)=7,1,0))))))</f>
        <v>3</v>
      </c>
    </row>
    <row r="4854" spans="2:22">
      <c r="B4854" s="318">
        <f t="shared" si="303"/>
        <v>46315</v>
      </c>
      <c r="C4854" s="312">
        <v>2</v>
      </c>
      <c r="D4854" s="368">
        <f>IFERROR((INDEX(METADATA!$T$2:$T$20,MATCH(B4854,METADATA!$S$2:$S$20,0))),0)</f>
        <v>0</v>
      </c>
      <c r="E4854" s="312" t="str">
        <f t="shared" si="300"/>
        <v>LO</v>
      </c>
      <c r="F4854" s="369">
        <f>VLOOKUP(C4854,METADATA!$A$5:$H$29,IF(E4854="HI",2,IF(E4854="LO",6,10))+IF(D4854=1,2,IF(D4854=7,1,(IF(WEEKDAY(B4854)=1,2,IF(WEEKDAY(B4854)=7,1,0))))))</f>
        <v>3</v>
      </c>
      <c r="G4854" s="369">
        <f>VLOOKUP(C4854,METADATA!$J$5:$Q$29,IF(E4854="HI",2,IF(E4854="LO",6,10))+IF(D4854=1,2,IF(D4854=7,1,(IF(WEEKDAY(B4854)=1,2,IF(WEEKDAY(B4854)=7,1,0))))))</f>
        <v>3</v>
      </c>
      <c r="H4854" s="370">
        <v>10122.347229003906</v>
      </c>
      <c r="I4854" s="370">
        <v>8868.4649047851563</v>
      </c>
      <c r="M4854" s="371">
        <f t="shared" si="301"/>
        <v>13457.770364808914</v>
      </c>
      <c r="N4854" s="329">
        <f t="shared" si="302"/>
        <v>5831.7607360839847</v>
      </c>
      <c r="T4854" s="331">
        <v>0</v>
      </c>
      <c r="U4854" s="328">
        <f>VLOOKUP(C4854,METADATA!$J$5:$Q$29,IF(E4854="HI",2,IF(E4854="LO",6,10))+IF(T4854=1,2,IF(D4854=7,1,(IF(WEEKDAY(B4854)=1,2,IF(WEEKDAY(B4854)=7,1,0))))))</f>
        <v>3</v>
      </c>
      <c r="V4854" s="328">
        <f>VLOOKUP(C4854,METADATA!$A$5:$H$29,IF(E4854="HI",2,IF(E4854="LO",6,10))+IF(T4854=1,2,IF(D4854=7,1,(IF(WEEKDAY(B4854)=1,2,IF(WEEKDAY(B4854)=7,1,0))))))</f>
        <v>3</v>
      </c>
    </row>
    <row r="4855" spans="2:22">
      <c r="B4855" s="318">
        <f t="shared" si="303"/>
        <v>46315</v>
      </c>
      <c r="C4855" s="312">
        <v>3</v>
      </c>
      <c r="D4855" s="368">
        <f>IFERROR((INDEX(METADATA!$T$2:$T$20,MATCH(B4855,METADATA!$S$2:$S$20,0))),0)</f>
        <v>0</v>
      </c>
      <c r="E4855" s="312" t="str">
        <f t="shared" si="300"/>
        <v>LO</v>
      </c>
      <c r="F4855" s="369">
        <f>VLOOKUP(C4855,METADATA!$A$5:$H$29,IF(E4855="HI",2,IF(E4855="LO",6,10))+IF(D4855=1,2,IF(D4855=7,1,(IF(WEEKDAY(B4855)=1,2,IF(WEEKDAY(B4855)=7,1,0))))))</f>
        <v>3</v>
      </c>
      <c r="G4855" s="369">
        <f>VLOOKUP(C4855,METADATA!$J$5:$Q$29,IF(E4855="HI",2,IF(E4855="LO",6,10))+IF(D4855=1,2,IF(D4855=7,1,(IF(WEEKDAY(B4855)=1,2,IF(WEEKDAY(B4855)=7,1,0))))))</f>
        <v>3</v>
      </c>
      <c r="H4855" s="370">
        <v>10542.452697753906</v>
      </c>
      <c r="I4855" s="370">
        <v>9295.8573608398438</v>
      </c>
      <c r="M4855" s="371">
        <f t="shared" si="301"/>
        <v>14055.47128194067</v>
      </c>
      <c r="N4855" s="329">
        <f t="shared" si="302"/>
        <v>6133.1215515136719</v>
      </c>
      <c r="T4855" s="331">
        <v>0</v>
      </c>
      <c r="U4855" s="328">
        <f>VLOOKUP(C4855,METADATA!$J$5:$Q$29,IF(E4855="HI",2,IF(E4855="LO",6,10))+IF(T4855=1,2,IF(D4855=7,1,(IF(WEEKDAY(B4855)=1,2,IF(WEEKDAY(B4855)=7,1,0))))))</f>
        <v>3</v>
      </c>
      <c r="V4855" s="328">
        <f>VLOOKUP(C4855,METADATA!$A$5:$H$29,IF(E4855="HI",2,IF(E4855="LO",6,10))+IF(T4855=1,2,IF(D4855=7,1,(IF(WEEKDAY(B4855)=1,2,IF(WEEKDAY(B4855)=7,1,0))))))</f>
        <v>3</v>
      </c>
    </row>
    <row r="4856" spans="2:22">
      <c r="B4856" s="318">
        <f t="shared" si="303"/>
        <v>46315</v>
      </c>
      <c r="C4856" s="312">
        <v>4</v>
      </c>
      <c r="D4856" s="368">
        <f>IFERROR((INDEX(METADATA!$T$2:$T$20,MATCH(B4856,METADATA!$S$2:$S$20,0))),0)</f>
        <v>0</v>
      </c>
      <c r="E4856" s="312" t="str">
        <f t="shared" si="300"/>
        <v>LO</v>
      </c>
      <c r="F4856" s="369">
        <f>VLOOKUP(C4856,METADATA!$A$5:$H$29,IF(E4856="HI",2,IF(E4856="LO",6,10))+IF(D4856=1,2,IF(D4856=7,1,(IF(WEEKDAY(B4856)=1,2,IF(WEEKDAY(B4856)=7,1,0))))))</f>
        <v>3</v>
      </c>
      <c r="G4856" s="369">
        <f>VLOOKUP(C4856,METADATA!$J$5:$Q$29,IF(E4856="HI",2,IF(E4856="LO",6,10))+IF(D4856=1,2,IF(D4856=7,1,(IF(WEEKDAY(B4856)=1,2,IF(WEEKDAY(B4856)=7,1,0))))))</f>
        <v>3</v>
      </c>
      <c r="H4856" s="370">
        <v>10347.669860839844</v>
      </c>
      <c r="I4856" s="370">
        <v>9130.2950439453125</v>
      </c>
      <c r="M4856" s="371">
        <f t="shared" si="301"/>
        <v>13799.875330539244</v>
      </c>
      <c r="N4856" s="329">
        <f t="shared" si="302"/>
        <v>6025.994085693359</v>
      </c>
      <c r="T4856" s="331">
        <v>0</v>
      </c>
      <c r="U4856" s="328">
        <f>VLOOKUP(C4856,METADATA!$J$5:$Q$29,IF(E4856="HI",2,IF(E4856="LO",6,10))+IF(T4856=1,2,IF(D4856=7,1,(IF(WEEKDAY(B4856)=1,2,IF(WEEKDAY(B4856)=7,1,0))))))</f>
        <v>3</v>
      </c>
      <c r="V4856" s="328">
        <f>VLOOKUP(C4856,METADATA!$A$5:$H$29,IF(E4856="HI",2,IF(E4856="LO",6,10))+IF(T4856=1,2,IF(D4856=7,1,(IF(WEEKDAY(B4856)=1,2,IF(WEEKDAY(B4856)=7,1,0))))))</f>
        <v>3</v>
      </c>
    </row>
    <row r="4857" spans="2:22">
      <c r="B4857" s="318">
        <f t="shared" si="303"/>
        <v>46315</v>
      </c>
      <c r="C4857" s="312">
        <v>5</v>
      </c>
      <c r="D4857" s="368">
        <f>IFERROR((INDEX(METADATA!$T$2:$T$20,MATCH(B4857,METADATA!$S$2:$S$20,0))),0)</f>
        <v>0</v>
      </c>
      <c r="E4857" s="312" t="str">
        <f t="shared" si="300"/>
        <v>LO</v>
      </c>
      <c r="F4857" s="369">
        <f>VLOOKUP(C4857,METADATA!$A$5:$H$29,IF(E4857="HI",2,IF(E4857="LO",6,10))+IF(D4857=1,2,IF(D4857=7,1,(IF(WEEKDAY(B4857)=1,2,IF(WEEKDAY(B4857)=7,1,0))))))</f>
        <v>3</v>
      </c>
      <c r="G4857" s="369">
        <f>VLOOKUP(C4857,METADATA!$J$5:$Q$29,IF(E4857="HI",2,IF(E4857="LO",6,10))+IF(D4857=1,2,IF(D4857=7,1,(IF(WEEKDAY(B4857)=1,2,IF(WEEKDAY(B4857)=7,1,0))))))</f>
        <v>3</v>
      </c>
      <c r="H4857" s="370">
        <v>12009.350219726563</v>
      </c>
      <c r="I4857" s="370">
        <v>9907.375</v>
      </c>
      <c r="M4857" s="371">
        <f t="shared" si="301"/>
        <v>15568.57643108937</v>
      </c>
      <c r="N4857" s="329">
        <f t="shared" si="302"/>
        <v>6304.569934082032</v>
      </c>
      <c r="T4857" s="331">
        <v>0</v>
      </c>
      <c r="U4857" s="328">
        <f>VLOOKUP(C4857,METADATA!$J$5:$Q$29,IF(E4857="HI",2,IF(E4857="LO",6,10))+IF(T4857=1,2,IF(D4857=7,1,(IF(WEEKDAY(B4857)=1,2,IF(WEEKDAY(B4857)=7,1,0))))))</f>
        <v>3</v>
      </c>
      <c r="V4857" s="328">
        <f>VLOOKUP(C4857,METADATA!$A$5:$H$29,IF(E4857="HI",2,IF(E4857="LO",6,10))+IF(T4857=1,2,IF(D4857=7,1,(IF(WEEKDAY(B4857)=1,2,IF(WEEKDAY(B4857)=7,1,0))))))</f>
        <v>3</v>
      </c>
    </row>
    <row r="4858" spans="2:22">
      <c r="B4858" s="318">
        <f t="shared" si="303"/>
        <v>46315</v>
      </c>
      <c r="C4858" s="312">
        <v>6</v>
      </c>
      <c r="D4858" s="368">
        <f>IFERROR((INDEX(METADATA!$T$2:$T$20,MATCH(B4858,METADATA!$S$2:$S$20,0))),0)</f>
        <v>0</v>
      </c>
      <c r="E4858" s="312" t="str">
        <f t="shared" si="300"/>
        <v>LO</v>
      </c>
      <c r="F4858" s="369">
        <f>VLOOKUP(C4858,METADATA!$A$5:$H$29,IF(E4858="HI",2,IF(E4858="LO",6,10))+IF(D4858=1,2,IF(D4858=7,1,(IF(WEEKDAY(B4858)=1,2,IF(WEEKDAY(B4858)=7,1,0))))))</f>
        <v>2</v>
      </c>
      <c r="G4858" s="369">
        <f>VLOOKUP(C4858,METADATA!$J$5:$Q$29,IF(E4858="HI",2,IF(E4858="LO",6,10))+IF(D4858=1,2,IF(D4858=7,1,(IF(WEEKDAY(B4858)=1,2,IF(WEEKDAY(B4858)=7,1,0))))))</f>
        <v>2</v>
      </c>
      <c r="H4858" s="370">
        <v>12823.724853515625</v>
      </c>
      <c r="I4858" s="370">
        <v>10502.799987792969</v>
      </c>
      <c r="M4858" s="371">
        <f t="shared" si="301"/>
        <v>16575.78736296585</v>
      </c>
      <c r="N4858" s="329">
        <f t="shared" si="302"/>
        <v>6655.6825317382809</v>
      </c>
      <c r="T4858" s="331">
        <v>0</v>
      </c>
      <c r="U4858" s="328">
        <f>VLOOKUP(C4858,METADATA!$J$5:$Q$29,IF(E4858="HI",2,IF(E4858="LO",6,10))+IF(T4858=1,2,IF(D4858=7,1,(IF(WEEKDAY(B4858)=1,2,IF(WEEKDAY(B4858)=7,1,0))))))</f>
        <v>2</v>
      </c>
      <c r="V4858" s="328">
        <f>VLOOKUP(C4858,METADATA!$A$5:$H$29,IF(E4858="HI",2,IF(E4858="LO",6,10))+IF(T4858=1,2,IF(D4858=7,1,(IF(WEEKDAY(B4858)=1,2,IF(WEEKDAY(B4858)=7,1,0))))))</f>
        <v>2</v>
      </c>
    </row>
    <row r="4859" spans="2:22">
      <c r="B4859" s="318">
        <f t="shared" si="303"/>
        <v>46315</v>
      </c>
      <c r="C4859" s="312">
        <v>7</v>
      </c>
      <c r="D4859" s="368">
        <f>IFERROR((INDEX(METADATA!$T$2:$T$20,MATCH(B4859,METADATA!$S$2:$S$20,0))),0)</f>
        <v>0</v>
      </c>
      <c r="E4859" s="312" t="str">
        <f t="shared" si="300"/>
        <v>LO</v>
      </c>
      <c r="F4859" s="369">
        <f>VLOOKUP(C4859,METADATA!$A$5:$H$29,IF(E4859="HI",2,IF(E4859="LO",6,10))+IF(D4859=1,2,IF(D4859=7,1,(IF(WEEKDAY(B4859)=1,2,IF(WEEKDAY(B4859)=7,1,0))))))</f>
        <v>1</v>
      </c>
      <c r="G4859" s="369">
        <f>VLOOKUP(C4859,METADATA!$J$5:$Q$29,IF(E4859="HI",2,IF(E4859="LO",6,10))+IF(D4859=1,2,IF(D4859=7,1,(IF(WEEKDAY(B4859)=1,2,IF(WEEKDAY(B4859)=7,1,0))))))</f>
        <v>1</v>
      </c>
      <c r="H4859" s="370">
        <v>13251.899597167969</v>
      </c>
      <c r="I4859" s="370">
        <v>10694.224914550781</v>
      </c>
      <c r="M4859" s="371">
        <f t="shared" si="301"/>
        <v>17028.77827257197</v>
      </c>
      <c r="N4859" s="329">
        <f t="shared" si="302"/>
        <v>6718.6550354003903</v>
      </c>
      <c r="T4859" s="331">
        <v>0</v>
      </c>
      <c r="U4859" s="328">
        <f>VLOOKUP(C4859,METADATA!$J$5:$Q$29,IF(E4859="HI",2,IF(E4859="LO",6,10))+IF(T4859=1,2,IF(D4859=7,1,(IF(WEEKDAY(B4859)=1,2,IF(WEEKDAY(B4859)=7,1,0))))))</f>
        <v>1</v>
      </c>
      <c r="V4859" s="328">
        <f>VLOOKUP(C4859,METADATA!$A$5:$H$29,IF(E4859="HI",2,IF(E4859="LO",6,10))+IF(T4859=1,2,IF(D4859=7,1,(IF(WEEKDAY(B4859)=1,2,IF(WEEKDAY(B4859)=7,1,0))))))</f>
        <v>1</v>
      </c>
    </row>
    <row r="4860" spans="2:22">
      <c r="B4860" s="318">
        <f t="shared" si="303"/>
        <v>46315</v>
      </c>
      <c r="C4860" s="312">
        <v>8</v>
      </c>
      <c r="D4860" s="368">
        <f>IFERROR((INDEX(METADATA!$T$2:$T$20,MATCH(B4860,METADATA!$S$2:$S$20,0))),0)</f>
        <v>0</v>
      </c>
      <c r="E4860" s="312" t="str">
        <f t="shared" si="300"/>
        <v>LO</v>
      </c>
      <c r="F4860" s="369">
        <f>VLOOKUP(C4860,METADATA!$A$5:$H$29,IF(E4860="HI",2,IF(E4860="LO",6,10))+IF(D4860=1,2,IF(D4860=7,1,(IF(WEEKDAY(B4860)=1,2,IF(WEEKDAY(B4860)=7,1,0))))))</f>
        <v>1</v>
      </c>
      <c r="G4860" s="369">
        <f>VLOOKUP(C4860,METADATA!$J$5:$Q$29,IF(E4860="HI",2,IF(E4860="LO",6,10))+IF(D4860=1,2,IF(D4860=7,1,(IF(WEEKDAY(B4860)=1,2,IF(WEEKDAY(B4860)=7,1,0))))))</f>
        <v>1</v>
      </c>
      <c r="H4860" s="370">
        <v>13339.600341796875</v>
      </c>
      <c r="I4860" s="370">
        <v>10914.924926757813</v>
      </c>
      <c r="M4860" s="371">
        <f t="shared" si="301"/>
        <v>17236.024003105424</v>
      </c>
      <c r="N4860" s="329">
        <f t="shared" si="302"/>
        <v>6913.0448242187504</v>
      </c>
      <c r="T4860" s="331">
        <v>0</v>
      </c>
      <c r="U4860" s="328">
        <f>VLOOKUP(C4860,METADATA!$J$5:$Q$29,IF(E4860="HI",2,IF(E4860="LO",6,10))+IF(T4860=1,2,IF(D4860=7,1,(IF(WEEKDAY(B4860)=1,2,IF(WEEKDAY(B4860)=7,1,0))))))</f>
        <v>1</v>
      </c>
      <c r="V4860" s="328">
        <f>VLOOKUP(C4860,METADATA!$A$5:$H$29,IF(E4860="HI",2,IF(E4860="LO",6,10))+IF(T4860=1,2,IF(D4860=7,1,(IF(WEEKDAY(B4860)=1,2,IF(WEEKDAY(B4860)=7,1,0))))))</f>
        <v>1</v>
      </c>
    </row>
    <row r="4861" spans="2:22">
      <c r="B4861" s="318">
        <f t="shared" si="303"/>
        <v>46315</v>
      </c>
      <c r="C4861" s="312">
        <v>9</v>
      </c>
      <c r="D4861" s="368">
        <f>IFERROR((INDEX(METADATA!$T$2:$T$20,MATCH(B4861,METADATA!$S$2:$S$20,0))),0)</f>
        <v>0</v>
      </c>
      <c r="E4861" s="312" t="str">
        <f t="shared" si="300"/>
        <v>LO</v>
      </c>
      <c r="F4861" s="369">
        <f>VLOOKUP(C4861,METADATA!$A$5:$H$29,IF(E4861="HI",2,IF(E4861="LO",6,10))+IF(D4861=1,2,IF(D4861=7,1,(IF(WEEKDAY(B4861)=1,2,IF(WEEKDAY(B4861)=7,1,0))))))</f>
        <v>2</v>
      </c>
      <c r="G4861" s="369">
        <f>VLOOKUP(C4861,METADATA!$J$5:$Q$29,IF(E4861="HI",2,IF(E4861="LO",6,10))+IF(D4861=1,2,IF(D4861=7,1,(IF(WEEKDAY(B4861)=1,2,IF(WEEKDAY(B4861)=7,1,0))))))</f>
        <v>2</v>
      </c>
      <c r="H4861" s="370">
        <v>13262.125</v>
      </c>
      <c r="I4861" s="370">
        <v>10866.649963378906</v>
      </c>
      <c r="M4861" s="371">
        <f t="shared" si="301"/>
        <v>17145.496229104243</v>
      </c>
      <c r="N4861" s="329">
        <f t="shared" si="302"/>
        <v>6888.0124633789064</v>
      </c>
      <c r="T4861" s="331">
        <v>0</v>
      </c>
      <c r="U4861" s="328">
        <f>VLOOKUP(C4861,METADATA!$J$5:$Q$29,IF(E4861="HI",2,IF(E4861="LO",6,10))+IF(T4861=1,2,IF(D4861=7,1,(IF(WEEKDAY(B4861)=1,2,IF(WEEKDAY(B4861)=7,1,0))))))</f>
        <v>2</v>
      </c>
      <c r="V4861" s="328">
        <f>VLOOKUP(C4861,METADATA!$A$5:$H$29,IF(E4861="HI",2,IF(E4861="LO",6,10))+IF(T4861=1,2,IF(D4861=7,1,(IF(WEEKDAY(B4861)=1,2,IF(WEEKDAY(B4861)=7,1,0))))))</f>
        <v>2</v>
      </c>
    </row>
    <row r="4862" spans="2:22">
      <c r="B4862" s="318">
        <f t="shared" si="303"/>
        <v>46315</v>
      </c>
      <c r="C4862" s="312">
        <v>10</v>
      </c>
      <c r="D4862" s="368">
        <f>IFERROR((INDEX(METADATA!$T$2:$T$20,MATCH(B4862,METADATA!$S$2:$S$20,0))),0)</f>
        <v>0</v>
      </c>
      <c r="E4862" s="312" t="str">
        <f t="shared" si="300"/>
        <v>LO</v>
      </c>
      <c r="F4862" s="369">
        <f>VLOOKUP(C4862,METADATA!$A$5:$H$29,IF(E4862="HI",2,IF(E4862="LO",6,10))+IF(D4862=1,2,IF(D4862=7,1,(IF(WEEKDAY(B4862)=1,2,IF(WEEKDAY(B4862)=7,1,0))))))</f>
        <v>2</v>
      </c>
      <c r="G4862" s="369">
        <f>VLOOKUP(C4862,METADATA!$J$5:$Q$29,IF(E4862="HI",2,IF(E4862="LO",6,10))+IF(D4862=1,2,IF(D4862=7,1,(IF(WEEKDAY(B4862)=1,2,IF(WEEKDAY(B4862)=7,1,0))))))</f>
        <v>2</v>
      </c>
      <c r="H4862" s="370">
        <v>12908.525085449219</v>
      </c>
      <c r="I4862" s="370">
        <v>10640.799865722656</v>
      </c>
      <c r="M4862" s="371">
        <f t="shared" si="301"/>
        <v>16728.916332627021</v>
      </c>
      <c r="N4862" s="329">
        <f t="shared" si="302"/>
        <v>6768.2423400878906</v>
      </c>
      <c r="T4862" s="331">
        <v>0</v>
      </c>
      <c r="U4862" s="328">
        <f>VLOOKUP(C4862,METADATA!$J$5:$Q$29,IF(E4862="HI",2,IF(E4862="LO",6,10))+IF(T4862=1,2,IF(D4862=7,1,(IF(WEEKDAY(B4862)=1,2,IF(WEEKDAY(B4862)=7,1,0))))))</f>
        <v>2</v>
      </c>
      <c r="V4862" s="328">
        <f>VLOOKUP(C4862,METADATA!$A$5:$H$29,IF(E4862="HI",2,IF(E4862="LO",6,10))+IF(T4862=1,2,IF(D4862=7,1,(IF(WEEKDAY(B4862)=1,2,IF(WEEKDAY(B4862)=7,1,0))))))</f>
        <v>2</v>
      </c>
    </row>
    <row r="4863" spans="2:22">
      <c r="B4863" s="318">
        <f t="shared" si="303"/>
        <v>46315</v>
      </c>
      <c r="C4863" s="312">
        <v>11</v>
      </c>
      <c r="D4863" s="368">
        <f>IFERROR((INDEX(METADATA!$T$2:$T$20,MATCH(B4863,METADATA!$S$2:$S$20,0))),0)</f>
        <v>0</v>
      </c>
      <c r="E4863" s="312" t="str">
        <f t="shared" si="300"/>
        <v>LO</v>
      </c>
      <c r="F4863" s="369">
        <f>VLOOKUP(C4863,METADATA!$A$5:$H$29,IF(E4863="HI",2,IF(E4863="LO",6,10))+IF(D4863=1,2,IF(D4863=7,1,(IF(WEEKDAY(B4863)=1,2,IF(WEEKDAY(B4863)=7,1,0))))))</f>
        <v>2</v>
      </c>
      <c r="G4863" s="369">
        <f>VLOOKUP(C4863,METADATA!$J$5:$Q$29,IF(E4863="HI",2,IF(E4863="LO",6,10))+IF(D4863=1,2,IF(D4863=7,1,(IF(WEEKDAY(B4863)=1,2,IF(WEEKDAY(B4863)=7,1,0))))))</f>
        <v>2</v>
      </c>
      <c r="H4863" s="370">
        <v>13353.05029296875</v>
      </c>
      <c r="I4863" s="370">
        <v>10871.200012207031</v>
      </c>
      <c r="M4863" s="371">
        <f t="shared" si="301"/>
        <v>17218.796178361685</v>
      </c>
      <c r="N4863" s="329">
        <f t="shared" si="302"/>
        <v>6865.2849243164064</v>
      </c>
      <c r="T4863" s="331">
        <v>0</v>
      </c>
      <c r="U4863" s="328">
        <f>VLOOKUP(C4863,METADATA!$J$5:$Q$29,IF(E4863="HI",2,IF(E4863="LO",6,10))+IF(T4863=1,2,IF(D4863=7,1,(IF(WEEKDAY(B4863)=1,2,IF(WEEKDAY(B4863)=7,1,0))))))</f>
        <v>2</v>
      </c>
      <c r="V4863" s="328">
        <f>VLOOKUP(C4863,METADATA!$A$5:$H$29,IF(E4863="HI",2,IF(E4863="LO",6,10))+IF(T4863=1,2,IF(D4863=7,1,(IF(WEEKDAY(B4863)=1,2,IF(WEEKDAY(B4863)=7,1,0))))))</f>
        <v>2</v>
      </c>
    </row>
    <row r="4864" spans="2:22">
      <c r="B4864" s="318">
        <f t="shared" si="303"/>
        <v>46315</v>
      </c>
      <c r="C4864" s="312">
        <v>12</v>
      </c>
      <c r="D4864" s="368">
        <f>IFERROR((INDEX(METADATA!$T$2:$T$20,MATCH(B4864,METADATA!$S$2:$S$20,0))),0)</f>
        <v>0</v>
      </c>
      <c r="E4864" s="312" t="str">
        <f t="shared" si="300"/>
        <v>LO</v>
      </c>
      <c r="F4864" s="369">
        <f>VLOOKUP(C4864,METADATA!$A$5:$H$29,IF(E4864="HI",2,IF(E4864="LO",6,10))+IF(D4864=1,2,IF(D4864=7,1,(IF(WEEKDAY(B4864)=1,2,IF(WEEKDAY(B4864)=7,1,0))))))</f>
        <v>2</v>
      </c>
      <c r="G4864" s="369">
        <f>VLOOKUP(C4864,METADATA!$J$5:$Q$29,IF(E4864="HI",2,IF(E4864="LO",6,10))+IF(D4864=1,2,IF(D4864=7,1,(IF(WEEKDAY(B4864)=1,2,IF(WEEKDAY(B4864)=7,1,0))))))</f>
        <v>2</v>
      </c>
      <c r="H4864" s="370">
        <v>12400.0498046875</v>
      </c>
      <c r="I4864" s="370">
        <v>10108.300109863281</v>
      </c>
      <c r="M4864" s="371">
        <f t="shared" si="301"/>
        <v>15998.092582235937</v>
      </c>
      <c r="N4864" s="329">
        <f t="shared" si="302"/>
        <v>6388.2851684570314</v>
      </c>
      <c r="T4864" s="331">
        <v>0</v>
      </c>
      <c r="U4864" s="328">
        <f>VLOOKUP(C4864,METADATA!$J$5:$Q$29,IF(E4864="HI",2,IF(E4864="LO",6,10))+IF(T4864=1,2,IF(D4864=7,1,(IF(WEEKDAY(B4864)=1,2,IF(WEEKDAY(B4864)=7,1,0))))))</f>
        <v>2</v>
      </c>
      <c r="V4864" s="328">
        <f>VLOOKUP(C4864,METADATA!$A$5:$H$29,IF(E4864="HI",2,IF(E4864="LO",6,10))+IF(T4864=1,2,IF(D4864=7,1,(IF(WEEKDAY(B4864)=1,2,IF(WEEKDAY(B4864)=7,1,0))))))</f>
        <v>2</v>
      </c>
    </row>
    <row r="4865" spans="2:22">
      <c r="B4865" s="318">
        <f t="shared" si="303"/>
        <v>46315</v>
      </c>
      <c r="C4865" s="312">
        <v>13</v>
      </c>
      <c r="D4865" s="368">
        <f>IFERROR((INDEX(METADATA!$T$2:$T$20,MATCH(B4865,METADATA!$S$2:$S$20,0))),0)</f>
        <v>0</v>
      </c>
      <c r="E4865" s="312" t="str">
        <f t="shared" si="300"/>
        <v>LO</v>
      </c>
      <c r="F4865" s="369">
        <f>VLOOKUP(C4865,METADATA!$A$5:$H$29,IF(E4865="HI",2,IF(E4865="LO",6,10))+IF(D4865=1,2,IF(D4865=7,1,(IF(WEEKDAY(B4865)=1,2,IF(WEEKDAY(B4865)=7,1,0))))))</f>
        <v>2</v>
      </c>
      <c r="G4865" s="369">
        <f>VLOOKUP(C4865,METADATA!$J$5:$Q$29,IF(E4865="HI",2,IF(E4865="LO",6,10))+IF(D4865=1,2,IF(D4865=7,1,(IF(WEEKDAY(B4865)=1,2,IF(WEEKDAY(B4865)=7,1,0))))))</f>
        <v>2</v>
      </c>
      <c r="H4865" s="370">
        <v>11480.629852294922</v>
      </c>
      <c r="I4865" s="370">
        <v>8954.7549133300781</v>
      </c>
      <c r="M4865" s="371">
        <f t="shared" si="301"/>
        <v>14559.962134676536</v>
      </c>
      <c r="N4865" s="329">
        <f t="shared" si="302"/>
        <v>5510.5659576416019</v>
      </c>
      <c r="T4865" s="331">
        <v>0</v>
      </c>
      <c r="U4865" s="328">
        <f>VLOOKUP(C4865,METADATA!$J$5:$Q$29,IF(E4865="HI",2,IF(E4865="LO",6,10))+IF(T4865=1,2,IF(D4865=7,1,(IF(WEEKDAY(B4865)=1,2,IF(WEEKDAY(B4865)=7,1,0))))))</f>
        <v>2</v>
      </c>
      <c r="V4865" s="328">
        <f>VLOOKUP(C4865,METADATA!$A$5:$H$29,IF(E4865="HI",2,IF(E4865="LO",6,10))+IF(T4865=1,2,IF(D4865=7,1,(IF(WEEKDAY(B4865)=1,2,IF(WEEKDAY(B4865)=7,1,0))))))</f>
        <v>2</v>
      </c>
    </row>
    <row r="4866" spans="2:22">
      <c r="B4866" s="318">
        <f t="shared" si="303"/>
        <v>46315</v>
      </c>
      <c r="C4866" s="312">
        <v>14</v>
      </c>
      <c r="D4866" s="368">
        <f>IFERROR((INDEX(METADATA!$T$2:$T$20,MATCH(B4866,METADATA!$S$2:$S$20,0))),0)</f>
        <v>0</v>
      </c>
      <c r="E4866" s="312" t="str">
        <f t="shared" si="300"/>
        <v>LO</v>
      </c>
      <c r="F4866" s="369">
        <f>VLOOKUP(C4866,METADATA!$A$5:$H$29,IF(E4866="HI",2,IF(E4866="LO",6,10))+IF(D4866=1,2,IF(D4866=7,1,(IF(WEEKDAY(B4866)=1,2,IF(WEEKDAY(B4866)=7,1,0))))))</f>
        <v>2</v>
      </c>
      <c r="G4866" s="369">
        <f>VLOOKUP(C4866,METADATA!$J$5:$Q$29,IF(E4866="HI",2,IF(E4866="LO",6,10))+IF(D4866=1,2,IF(D4866=7,1,(IF(WEEKDAY(B4866)=1,2,IF(WEEKDAY(B4866)=7,1,0))))))</f>
        <v>2</v>
      </c>
      <c r="H4866" s="370">
        <v>12727.800048828125</v>
      </c>
      <c r="I4866" s="370">
        <v>9751.6474914550781</v>
      </c>
      <c r="M4866" s="371">
        <f t="shared" si="301"/>
        <v>16034.073808004981</v>
      </c>
      <c r="N4866" s="329">
        <f t="shared" si="302"/>
        <v>5933.3074768066408</v>
      </c>
      <c r="T4866" s="331">
        <v>0</v>
      </c>
      <c r="U4866" s="328">
        <f>VLOOKUP(C4866,METADATA!$J$5:$Q$29,IF(E4866="HI",2,IF(E4866="LO",6,10))+IF(T4866=1,2,IF(D4866=7,1,(IF(WEEKDAY(B4866)=1,2,IF(WEEKDAY(B4866)=7,1,0))))))</f>
        <v>2</v>
      </c>
      <c r="V4866" s="328">
        <f>VLOOKUP(C4866,METADATA!$A$5:$H$29,IF(E4866="HI",2,IF(E4866="LO",6,10))+IF(T4866=1,2,IF(D4866=7,1,(IF(WEEKDAY(B4866)=1,2,IF(WEEKDAY(B4866)=7,1,0))))))</f>
        <v>2</v>
      </c>
    </row>
    <row r="4867" spans="2:22">
      <c r="B4867" s="318">
        <f t="shared" si="303"/>
        <v>46315</v>
      </c>
      <c r="C4867" s="312">
        <v>15</v>
      </c>
      <c r="D4867" s="368">
        <f>IFERROR((INDEX(METADATA!$T$2:$T$20,MATCH(B4867,METADATA!$S$2:$S$20,0))),0)</f>
        <v>0</v>
      </c>
      <c r="E4867" s="312" t="str">
        <f t="shared" si="300"/>
        <v>LO</v>
      </c>
      <c r="F4867" s="369">
        <f>VLOOKUP(C4867,METADATA!$A$5:$H$29,IF(E4867="HI",2,IF(E4867="LO",6,10))+IF(D4867=1,2,IF(D4867=7,1,(IF(WEEKDAY(B4867)=1,2,IF(WEEKDAY(B4867)=7,1,0))))))</f>
        <v>2</v>
      </c>
      <c r="G4867" s="369">
        <f>VLOOKUP(C4867,METADATA!$J$5:$Q$29,IF(E4867="HI",2,IF(E4867="LO",6,10))+IF(D4867=1,2,IF(D4867=7,1,(IF(WEEKDAY(B4867)=1,2,IF(WEEKDAY(B4867)=7,1,0))))))</f>
        <v>2</v>
      </c>
      <c r="H4867" s="370">
        <v>13572.824829101563</v>
      </c>
      <c r="I4867" s="370">
        <v>10277.700134277344</v>
      </c>
      <c r="M4867" s="371">
        <f t="shared" si="301"/>
        <v>17025.060760290999</v>
      </c>
      <c r="N4867" s="329">
        <f t="shared" si="302"/>
        <v>6205.8526855468754</v>
      </c>
      <c r="T4867" s="331">
        <v>0</v>
      </c>
      <c r="U4867" s="328">
        <f>VLOOKUP(C4867,METADATA!$J$5:$Q$29,IF(E4867="HI",2,IF(E4867="LO",6,10))+IF(T4867=1,2,IF(D4867=7,1,(IF(WEEKDAY(B4867)=1,2,IF(WEEKDAY(B4867)=7,1,0))))))</f>
        <v>2</v>
      </c>
      <c r="V4867" s="328">
        <f>VLOOKUP(C4867,METADATA!$A$5:$H$29,IF(E4867="HI",2,IF(E4867="LO",6,10))+IF(T4867=1,2,IF(D4867=7,1,(IF(WEEKDAY(B4867)=1,2,IF(WEEKDAY(B4867)=7,1,0))))))</f>
        <v>2</v>
      </c>
    </row>
    <row r="4868" spans="2:22">
      <c r="B4868" s="318">
        <f t="shared" si="303"/>
        <v>46315</v>
      </c>
      <c r="C4868" s="312">
        <v>16</v>
      </c>
      <c r="D4868" s="368">
        <f>IFERROR((INDEX(METADATA!$T$2:$T$20,MATCH(B4868,METADATA!$S$2:$S$20,0))),0)</f>
        <v>0</v>
      </c>
      <c r="E4868" s="312" t="str">
        <f t="shared" ref="E4868:E4931" si="304">IF(B4868="","",IF(AND(MONTH(B4868)&gt;=MONTH($Z$9),MONTH(B4868)&lt;=MONTH($Z$11)),"HI","LO"))</f>
        <v>LO</v>
      </c>
      <c r="F4868" s="369">
        <f>VLOOKUP(C4868,METADATA!$A$5:$H$29,IF(E4868="HI",2,IF(E4868="LO",6,10))+IF(D4868=1,2,IF(D4868=7,1,(IF(WEEKDAY(B4868)=1,2,IF(WEEKDAY(B4868)=7,1,0))))))</f>
        <v>2</v>
      </c>
      <c r="G4868" s="369">
        <f>VLOOKUP(C4868,METADATA!$J$5:$Q$29,IF(E4868="HI",2,IF(E4868="LO",6,10))+IF(D4868=1,2,IF(D4868=7,1,(IF(WEEKDAY(B4868)=1,2,IF(WEEKDAY(B4868)=7,1,0))))))</f>
        <v>2</v>
      </c>
      <c r="H4868" s="370">
        <v>13748.249755859375</v>
      </c>
      <c r="I4868" s="370">
        <v>10958.05029296875</v>
      </c>
      <c r="M4868" s="371">
        <f t="shared" ref="M4868:M4931" si="305">SQRT(H4868^2+I4868^2)</f>
        <v>17581.047681316373</v>
      </c>
      <c r="N4868" s="329">
        <f t="shared" ref="N4868:N4931" si="306">IF(H4868=0,0,(IF(I4868-(0.3*H4868)&lt;0,0,(I4868-(0.3*H4868)))))</f>
        <v>6833.5753662109373</v>
      </c>
      <c r="T4868" s="331">
        <v>0</v>
      </c>
      <c r="U4868" s="328">
        <f>VLOOKUP(C4868,METADATA!$J$5:$Q$29,IF(E4868="HI",2,IF(E4868="LO",6,10))+IF(T4868=1,2,IF(D4868=7,1,(IF(WEEKDAY(B4868)=1,2,IF(WEEKDAY(B4868)=7,1,0))))))</f>
        <v>2</v>
      </c>
      <c r="V4868" s="328">
        <f>VLOOKUP(C4868,METADATA!$A$5:$H$29,IF(E4868="HI",2,IF(E4868="LO",6,10))+IF(T4868=1,2,IF(D4868=7,1,(IF(WEEKDAY(B4868)=1,2,IF(WEEKDAY(B4868)=7,1,0))))))</f>
        <v>2</v>
      </c>
    </row>
    <row r="4869" spans="2:22">
      <c r="B4869" s="318">
        <f t="shared" si="303"/>
        <v>46315</v>
      </c>
      <c r="C4869" s="312">
        <v>17</v>
      </c>
      <c r="D4869" s="368">
        <f>IFERROR((INDEX(METADATA!$T$2:$T$20,MATCH(B4869,METADATA!$S$2:$S$20,0))),0)</f>
        <v>0</v>
      </c>
      <c r="E4869" s="312" t="str">
        <f t="shared" si="304"/>
        <v>LO</v>
      </c>
      <c r="F4869" s="369">
        <f>VLOOKUP(C4869,METADATA!$A$5:$H$29,IF(E4869="HI",2,IF(E4869="LO",6,10))+IF(D4869=1,2,IF(D4869=7,1,(IF(WEEKDAY(B4869)=1,2,IF(WEEKDAY(B4869)=7,1,0))))))</f>
        <v>2</v>
      </c>
      <c r="G4869" s="369">
        <f>VLOOKUP(C4869,METADATA!$J$5:$Q$29,IF(E4869="HI",2,IF(E4869="LO",6,10))+IF(D4869=1,2,IF(D4869=7,1,(IF(WEEKDAY(B4869)=1,2,IF(WEEKDAY(B4869)=7,1,0))))))</f>
        <v>2</v>
      </c>
      <c r="H4869" s="370">
        <v>13740.175048828125</v>
      </c>
      <c r="I4869" s="370">
        <v>11026.600036621094</v>
      </c>
      <c r="M4869" s="371">
        <f t="shared" si="305"/>
        <v>17617.557116128537</v>
      </c>
      <c r="N4869" s="329">
        <f t="shared" si="306"/>
        <v>6904.5475219726568</v>
      </c>
      <c r="T4869" s="331">
        <v>0</v>
      </c>
      <c r="U4869" s="328">
        <f>VLOOKUP(C4869,METADATA!$J$5:$Q$29,IF(E4869="HI",2,IF(E4869="LO",6,10))+IF(T4869=1,2,IF(D4869=7,1,(IF(WEEKDAY(B4869)=1,2,IF(WEEKDAY(B4869)=7,1,0))))))</f>
        <v>2</v>
      </c>
      <c r="V4869" s="328">
        <f>VLOOKUP(C4869,METADATA!$A$5:$H$29,IF(E4869="HI",2,IF(E4869="LO",6,10))+IF(T4869=1,2,IF(D4869=7,1,(IF(WEEKDAY(B4869)=1,2,IF(WEEKDAY(B4869)=7,1,0))))))</f>
        <v>2</v>
      </c>
    </row>
    <row r="4870" spans="2:22">
      <c r="B4870" s="318">
        <f t="shared" si="303"/>
        <v>46315</v>
      </c>
      <c r="C4870" s="312">
        <v>18</v>
      </c>
      <c r="D4870" s="368">
        <f>IFERROR((INDEX(METADATA!$T$2:$T$20,MATCH(B4870,METADATA!$S$2:$S$20,0))),0)</f>
        <v>0</v>
      </c>
      <c r="E4870" s="312" t="str">
        <f t="shared" si="304"/>
        <v>LO</v>
      </c>
      <c r="F4870" s="369">
        <f>VLOOKUP(C4870,METADATA!$A$5:$H$29,IF(E4870="HI",2,IF(E4870="LO",6,10))+IF(D4870=1,2,IF(D4870=7,1,(IF(WEEKDAY(B4870)=1,2,IF(WEEKDAY(B4870)=7,1,0))))))</f>
        <v>1</v>
      </c>
      <c r="G4870" s="369">
        <f>VLOOKUP(C4870,METADATA!$J$5:$Q$29,IF(E4870="HI",2,IF(E4870="LO",6,10))+IF(D4870=1,2,IF(D4870=7,1,(IF(WEEKDAY(B4870)=1,2,IF(WEEKDAY(B4870)=7,1,0))))))</f>
        <v>1</v>
      </c>
      <c r="H4870" s="370">
        <v>13609.699645996094</v>
      </c>
      <c r="I4870" s="370">
        <v>10882.649841308594</v>
      </c>
      <c r="M4870" s="371">
        <f t="shared" si="305"/>
        <v>17425.72787641194</v>
      </c>
      <c r="N4870" s="329">
        <f t="shared" si="306"/>
        <v>6799.7399475097664</v>
      </c>
      <c r="T4870" s="331">
        <v>0</v>
      </c>
      <c r="U4870" s="328">
        <f>VLOOKUP(C4870,METADATA!$J$5:$Q$29,IF(E4870="HI",2,IF(E4870="LO",6,10))+IF(T4870=1,2,IF(D4870=7,1,(IF(WEEKDAY(B4870)=1,2,IF(WEEKDAY(B4870)=7,1,0))))))</f>
        <v>1</v>
      </c>
      <c r="V4870" s="328">
        <f>VLOOKUP(C4870,METADATA!$A$5:$H$29,IF(E4870="HI",2,IF(E4870="LO",6,10))+IF(T4870=1,2,IF(D4870=7,1,(IF(WEEKDAY(B4870)=1,2,IF(WEEKDAY(B4870)=7,1,0))))))</f>
        <v>1</v>
      </c>
    </row>
    <row r="4871" spans="2:22">
      <c r="B4871" s="318">
        <f t="shared" si="303"/>
        <v>46315</v>
      </c>
      <c r="C4871" s="312">
        <v>19</v>
      </c>
      <c r="D4871" s="368">
        <f>IFERROR((INDEX(METADATA!$T$2:$T$20,MATCH(B4871,METADATA!$S$2:$S$20,0))),0)</f>
        <v>0</v>
      </c>
      <c r="E4871" s="312" t="str">
        <f t="shared" si="304"/>
        <v>LO</v>
      </c>
      <c r="F4871" s="369">
        <f>VLOOKUP(C4871,METADATA!$A$5:$H$29,IF(E4871="HI",2,IF(E4871="LO",6,10))+IF(D4871=1,2,IF(D4871=7,1,(IF(WEEKDAY(B4871)=1,2,IF(WEEKDAY(B4871)=7,1,0))))))</f>
        <v>1</v>
      </c>
      <c r="G4871" s="369">
        <f>VLOOKUP(C4871,METADATA!$J$5:$Q$29,IF(E4871="HI",2,IF(E4871="LO",6,10))+IF(D4871=1,2,IF(D4871=7,1,(IF(WEEKDAY(B4871)=1,2,IF(WEEKDAY(B4871)=7,1,0))))))</f>
        <v>1</v>
      </c>
      <c r="H4871" s="370">
        <v>13674.749877929688</v>
      </c>
      <c r="I4871" s="370">
        <v>10833.549987792969</v>
      </c>
      <c r="M4871" s="371">
        <f t="shared" si="305"/>
        <v>17446.047963993078</v>
      </c>
      <c r="N4871" s="329">
        <f t="shared" si="306"/>
        <v>6731.1250244140629</v>
      </c>
      <c r="T4871" s="331">
        <v>0</v>
      </c>
      <c r="U4871" s="328">
        <f>VLOOKUP(C4871,METADATA!$J$5:$Q$29,IF(E4871="HI",2,IF(E4871="LO",6,10))+IF(T4871=1,2,IF(D4871=7,1,(IF(WEEKDAY(B4871)=1,2,IF(WEEKDAY(B4871)=7,1,0))))))</f>
        <v>1</v>
      </c>
      <c r="V4871" s="328">
        <f>VLOOKUP(C4871,METADATA!$A$5:$H$29,IF(E4871="HI",2,IF(E4871="LO",6,10))+IF(T4871=1,2,IF(D4871=7,1,(IF(WEEKDAY(B4871)=1,2,IF(WEEKDAY(B4871)=7,1,0))))))</f>
        <v>1</v>
      </c>
    </row>
    <row r="4872" spans="2:22">
      <c r="B4872" s="318">
        <f t="shared" si="303"/>
        <v>46315</v>
      </c>
      <c r="C4872" s="312">
        <v>20</v>
      </c>
      <c r="D4872" s="368">
        <f>IFERROR((INDEX(METADATA!$T$2:$T$20,MATCH(B4872,METADATA!$S$2:$S$20,0))),0)</f>
        <v>0</v>
      </c>
      <c r="E4872" s="312" t="str">
        <f t="shared" si="304"/>
        <v>LO</v>
      </c>
      <c r="F4872" s="369">
        <f>VLOOKUP(C4872,METADATA!$A$5:$H$29,IF(E4872="HI",2,IF(E4872="LO",6,10))+IF(D4872=1,2,IF(D4872=7,1,(IF(WEEKDAY(B4872)=1,2,IF(WEEKDAY(B4872)=7,1,0))))))</f>
        <v>1</v>
      </c>
      <c r="G4872" s="369">
        <f>VLOOKUP(C4872,METADATA!$J$5:$Q$29,IF(E4872="HI",2,IF(E4872="LO",6,10))+IF(D4872=1,2,IF(D4872=7,1,(IF(WEEKDAY(B4872)=1,2,IF(WEEKDAY(B4872)=7,1,0))))))</f>
        <v>1</v>
      </c>
      <c r="H4872" s="370">
        <v>13601.075012207031</v>
      </c>
      <c r="I4872" s="370">
        <v>10831.875061035156</v>
      </c>
      <c r="M4872" s="371">
        <f t="shared" si="305"/>
        <v>17387.316032831455</v>
      </c>
      <c r="N4872" s="329">
        <f t="shared" si="306"/>
        <v>6751.5525573730465</v>
      </c>
      <c r="T4872" s="331">
        <v>0</v>
      </c>
      <c r="U4872" s="328">
        <f>VLOOKUP(C4872,METADATA!$J$5:$Q$29,IF(E4872="HI",2,IF(E4872="LO",6,10))+IF(T4872=1,2,IF(D4872=7,1,(IF(WEEKDAY(B4872)=1,2,IF(WEEKDAY(B4872)=7,1,0))))))</f>
        <v>1</v>
      </c>
      <c r="V4872" s="328">
        <f>VLOOKUP(C4872,METADATA!$A$5:$H$29,IF(E4872="HI",2,IF(E4872="LO",6,10))+IF(T4872=1,2,IF(D4872=7,1,(IF(WEEKDAY(B4872)=1,2,IF(WEEKDAY(B4872)=7,1,0))))))</f>
        <v>1</v>
      </c>
    </row>
    <row r="4873" spans="2:22">
      <c r="B4873" s="318">
        <f t="shared" si="303"/>
        <v>46315</v>
      </c>
      <c r="C4873" s="312">
        <v>21</v>
      </c>
      <c r="D4873" s="368">
        <f>IFERROR((INDEX(METADATA!$T$2:$T$20,MATCH(B4873,METADATA!$S$2:$S$20,0))),0)</f>
        <v>0</v>
      </c>
      <c r="E4873" s="312" t="str">
        <f t="shared" si="304"/>
        <v>LO</v>
      </c>
      <c r="F4873" s="369">
        <f>VLOOKUP(C4873,METADATA!$A$5:$H$29,IF(E4873="HI",2,IF(E4873="LO",6,10))+IF(D4873=1,2,IF(D4873=7,1,(IF(WEEKDAY(B4873)=1,2,IF(WEEKDAY(B4873)=7,1,0))))))</f>
        <v>2</v>
      </c>
      <c r="G4873" s="369">
        <f>VLOOKUP(C4873,METADATA!$J$5:$Q$29,IF(E4873="HI",2,IF(E4873="LO",6,10))+IF(D4873=1,2,IF(D4873=7,1,(IF(WEEKDAY(B4873)=1,2,IF(WEEKDAY(B4873)=7,1,0))))))</f>
        <v>2</v>
      </c>
      <c r="H4873" s="370">
        <v>13564.474487304688</v>
      </c>
      <c r="I4873" s="370">
        <v>10909.875122070313</v>
      </c>
      <c r="M4873" s="371">
        <f t="shared" si="305"/>
        <v>17407.479521628295</v>
      </c>
      <c r="N4873" s="329">
        <f t="shared" si="306"/>
        <v>6840.5327758789063</v>
      </c>
      <c r="T4873" s="331">
        <v>0</v>
      </c>
      <c r="U4873" s="328">
        <f>VLOOKUP(C4873,METADATA!$J$5:$Q$29,IF(E4873="HI",2,IF(E4873="LO",6,10))+IF(T4873=1,2,IF(D4873=7,1,(IF(WEEKDAY(B4873)=1,2,IF(WEEKDAY(B4873)=7,1,0))))))</f>
        <v>2</v>
      </c>
      <c r="V4873" s="328">
        <f>VLOOKUP(C4873,METADATA!$A$5:$H$29,IF(E4873="HI",2,IF(E4873="LO",6,10))+IF(T4873=1,2,IF(D4873=7,1,(IF(WEEKDAY(B4873)=1,2,IF(WEEKDAY(B4873)=7,1,0))))))</f>
        <v>2</v>
      </c>
    </row>
    <row r="4874" spans="2:22">
      <c r="B4874" s="318">
        <f t="shared" si="303"/>
        <v>46315</v>
      </c>
      <c r="C4874" s="312">
        <v>22</v>
      </c>
      <c r="D4874" s="368">
        <f>IFERROR((INDEX(METADATA!$T$2:$T$20,MATCH(B4874,METADATA!$S$2:$S$20,0))),0)</f>
        <v>0</v>
      </c>
      <c r="E4874" s="312" t="str">
        <f t="shared" si="304"/>
        <v>LO</v>
      </c>
      <c r="F4874" s="369">
        <f>VLOOKUP(C4874,METADATA!$A$5:$H$29,IF(E4874="HI",2,IF(E4874="LO",6,10))+IF(D4874=1,2,IF(D4874=7,1,(IF(WEEKDAY(B4874)=1,2,IF(WEEKDAY(B4874)=7,1,0))))))</f>
        <v>3</v>
      </c>
      <c r="G4874" s="369">
        <f>VLOOKUP(C4874,METADATA!$J$5:$Q$29,IF(E4874="HI",2,IF(E4874="LO",6,10))+IF(D4874=1,2,IF(D4874=7,1,(IF(WEEKDAY(B4874)=1,2,IF(WEEKDAY(B4874)=7,1,0))))))</f>
        <v>3</v>
      </c>
      <c r="H4874" s="370">
        <v>13800.725158691406</v>
      </c>
      <c r="I4874" s="370">
        <v>11179.875061035156</v>
      </c>
      <c r="M4874" s="371">
        <f t="shared" si="305"/>
        <v>17760.90147729258</v>
      </c>
      <c r="N4874" s="329">
        <f t="shared" si="306"/>
        <v>7039.6575134277346</v>
      </c>
      <c r="T4874" s="331">
        <v>0</v>
      </c>
      <c r="U4874" s="328">
        <f>VLOOKUP(C4874,METADATA!$J$5:$Q$29,IF(E4874="HI",2,IF(E4874="LO",6,10))+IF(T4874=1,2,IF(D4874=7,1,(IF(WEEKDAY(B4874)=1,2,IF(WEEKDAY(B4874)=7,1,0))))))</f>
        <v>3</v>
      </c>
      <c r="V4874" s="328">
        <f>VLOOKUP(C4874,METADATA!$A$5:$H$29,IF(E4874="HI",2,IF(E4874="LO",6,10))+IF(T4874=1,2,IF(D4874=7,1,(IF(WEEKDAY(B4874)=1,2,IF(WEEKDAY(B4874)=7,1,0))))))</f>
        <v>3</v>
      </c>
    </row>
    <row r="4875" spans="2:22">
      <c r="B4875" s="318">
        <f t="shared" si="303"/>
        <v>46315</v>
      </c>
      <c r="C4875" s="312">
        <v>23</v>
      </c>
      <c r="D4875" s="368">
        <f>IFERROR((INDEX(METADATA!$T$2:$T$20,MATCH(B4875,METADATA!$S$2:$S$20,0))),0)</f>
        <v>0</v>
      </c>
      <c r="E4875" s="312" t="str">
        <f t="shared" si="304"/>
        <v>LO</v>
      </c>
      <c r="F4875" s="369">
        <f>VLOOKUP(C4875,METADATA!$A$5:$H$29,IF(E4875="HI",2,IF(E4875="LO",6,10))+IF(D4875=1,2,IF(D4875=7,1,(IF(WEEKDAY(B4875)=1,2,IF(WEEKDAY(B4875)=7,1,0))))))</f>
        <v>3</v>
      </c>
      <c r="G4875" s="369">
        <f>VLOOKUP(C4875,METADATA!$J$5:$Q$29,IF(E4875="HI",2,IF(E4875="LO",6,10))+IF(D4875=1,2,IF(D4875=7,1,(IF(WEEKDAY(B4875)=1,2,IF(WEEKDAY(B4875)=7,1,0))))))</f>
        <v>3</v>
      </c>
      <c r="H4875" s="370">
        <v>13752.8251953125</v>
      </c>
      <c r="I4875" s="370">
        <v>11152.300415039063</v>
      </c>
      <c r="M4875" s="371">
        <f t="shared" si="305"/>
        <v>17706.326705449177</v>
      </c>
      <c r="N4875" s="329">
        <f t="shared" si="306"/>
        <v>7026.452856445313</v>
      </c>
      <c r="T4875" s="331">
        <v>0</v>
      </c>
      <c r="U4875" s="328">
        <f>VLOOKUP(C4875,METADATA!$J$5:$Q$29,IF(E4875="HI",2,IF(E4875="LO",6,10))+IF(T4875=1,2,IF(D4875=7,1,(IF(WEEKDAY(B4875)=1,2,IF(WEEKDAY(B4875)=7,1,0))))))</f>
        <v>3</v>
      </c>
      <c r="V4875" s="328">
        <f>VLOOKUP(C4875,METADATA!$A$5:$H$29,IF(E4875="HI",2,IF(E4875="LO",6,10))+IF(T4875=1,2,IF(D4875=7,1,(IF(WEEKDAY(B4875)=1,2,IF(WEEKDAY(B4875)=7,1,0))))))</f>
        <v>3</v>
      </c>
    </row>
    <row r="4876" spans="2:22">
      <c r="B4876" s="318">
        <f t="shared" si="303"/>
        <v>46316</v>
      </c>
      <c r="C4876" s="312">
        <v>0</v>
      </c>
      <c r="D4876" s="368">
        <f>IFERROR((INDEX(METADATA!$T$2:$T$20,MATCH(B4876,METADATA!$S$2:$S$20,0))),0)</f>
        <v>0</v>
      </c>
      <c r="E4876" s="312" t="str">
        <f t="shared" si="304"/>
        <v>LO</v>
      </c>
      <c r="F4876" s="369">
        <f>VLOOKUP(C4876,METADATA!$A$5:$H$29,IF(E4876="HI",2,IF(E4876="LO",6,10))+IF(D4876=1,2,IF(D4876=7,1,(IF(WEEKDAY(B4876)=1,2,IF(WEEKDAY(B4876)=7,1,0))))))</f>
        <v>3</v>
      </c>
      <c r="G4876" s="369">
        <f>VLOOKUP(C4876,METADATA!$J$5:$Q$29,IF(E4876="HI",2,IF(E4876="LO",6,10))+IF(D4876=1,2,IF(D4876=7,1,(IF(WEEKDAY(B4876)=1,2,IF(WEEKDAY(B4876)=7,1,0))))))</f>
        <v>3</v>
      </c>
      <c r="H4876" s="370">
        <v>13757.125</v>
      </c>
      <c r="I4876" s="370">
        <v>11196.049499511719</v>
      </c>
      <c r="M4876" s="371">
        <f t="shared" si="305"/>
        <v>17737.249298049053</v>
      </c>
      <c r="N4876" s="329">
        <f t="shared" si="306"/>
        <v>7068.9119995117189</v>
      </c>
      <c r="T4876" s="331">
        <v>0</v>
      </c>
      <c r="U4876" s="328">
        <f>VLOOKUP(C4876,METADATA!$J$5:$Q$29,IF(E4876="HI",2,IF(E4876="LO",6,10))+IF(T4876=1,2,IF(D4876=7,1,(IF(WEEKDAY(B4876)=1,2,IF(WEEKDAY(B4876)=7,1,0))))))</f>
        <v>3</v>
      </c>
      <c r="V4876" s="328">
        <f>VLOOKUP(C4876,METADATA!$A$5:$H$29,IF(E4876="HI",2,IF(E4876="LO",6,10))+IF(T4876=1,2,IF(D4876=7,1,(IF(WEEKDAY(B4876)=1,2,IF(WEEKDAY(B4876)=7,1,0))))))</f>
        <v>3</v>
      </c>
    </row>
    <row r="4877" spans="2:22">
      <c r="B4877" s="318">
        <f t="shared" si="303"/>
        <v>46316</v>
      </c>
      <c r="C4877" s="312">
        <v>1</v>
      </c>
      <c r="D4877" s="368">
        <f>IFERROR((INDEX(METADATA!$T$2:$T$20,MATCH(B4877,METADATA!$S$2:$S$20,0))),0)</f>
        <v>0</v>
      </c>
      <c r="E4877" s="312" t="str">
        <f t="shared" si="304"/>
        <v>LO</v>
      </c>
      <c r="F4877" s="369">
        <f>VLOOKUP(C4877,METADATA!$A$5:$H$29,IF(E4877="HI",2,IF(E4877="LO",6,10))+IF(D4877=1,2,IF(D4877=7,1,(IF(WEEKDAY(B4877)=1,2,IF(WEEKDAY(B4877)=7,1,0))))))</f>
        <v>3</v>
      </c>
      <c r="G4877" s="369">
        <f>VLOOKUP(C4877,METADATA!$J$5:$Q$29,IF(E4877="HI",2,IF(E4877="LO",6,10))+IF(D4877=1,2,IF(D4877=7,1,(IF(WEEKDAY(B4877)=1,2,IF(WEEKDAY(B4877)=7,1,0))))))</f>
        <v>3</v>
      </c>
      <c r="H4877" s="370">
        <v>13795.302490234375</v>
      </c>
      <c r="I4877" s="370">
        <v>10977.800415039063</v>
      </c>
      <c r="M4877" s="371">
        <f t="shared" si="305"/>
        <v>17630.158046639812</v>
      </c>
      <c r="N4877" s="329">
        <f t="shared" si="306"/>
        <v>6839.2096679687502</v>
      </c>
      <c r="T4877" s="331">
        <v>0</v>
      </c>
      <c r="U4877" s="328">
        <f>VLOOKUP(C4877,METADATA!$J$5:$Q$29,IF(E4877="HI",2,IF(E4877="LO",6,10))+IF(T4877=1,2,IF(D4877=7,1,(IF(WEEKDAY(B4877)=1,2,IF(WEEKDAY(B4877)=7,1,0))))))</f>
        <v>3</v>
      </c>
      <c r="V4877" s="328">
        <f>VLOOKUP(C4877,METADATA!$A$5:$H$29,IF(E4877="HI",2,IF(E4877="LO",6,10))+IF(T4877=1,2,IF(D4877=7,1,(IF(WEEKDAY(B4877)=1,2,IF(WEEKDAY(B4877)=7,1,0))))))</f>
        <v>3</v>
      </c>
    </row>
    <row r="4878" spans="2:22">
      <c r="B4878" s="318">
        <f t="shared" si="303"/>
        <v>46316</v>
      </c>
      <c r="C4878" s="312">
        <v>2</v>
      </c>
      <c r="D4878" s="368">
        <f>IFERROR((INDEX(METADATA!$T$2:$T$20,MATCH(B4878,METADATA!$S$2:$S$20,0))),0)</f>
        <v>0</v>
      </c>
      <c r="E4878" s="312" t="str">
        <f t="shared" si="304"/>
        <v>LO</v>
      </c>
      <c r="F4878" s="369">
        <f>VLOOKUP(C4878,METADATA!$A$5:$H$29,IF(E4878="HI",2,IF(E4878="LO",6,10))+IF(D4878=1,2,IF(D4878=7,1,(IF(WEEKDAY(B4878)=1,2,IF(WEEKDAY(B4878)=7,1,0))))))</f>
        <v>3</v>
      </c>
      <c r="G4878" s="369">
        <f>VLOOKUP(C4878,METADATA!$J$5:$Q$29,IF(E4878="HI",2,IF(E4878="LO",6,10))+IF(D4878=1,2,IF(D4878=7,1,(IF(WEEKDAY(B4878)=1,2,IF(WEEKDAY(B4878)=7,1,0))))))</f>
        <v>3</v>
      </c>
      <c r="H4878" s="370">
        <v>13680.174987792969</v>
      </c>
      <c r="I4878" s="370">
        <v>10903.349914550781</v>
      </c>
      <c r="M4878" s="371">
        <f t="shared" si="305"/>
        <v>17493.719646083588</v>
      </c>
      <c r="N4878" s="329">
        <f t="shared" si="306"/>
        <v>6799.297418212891</v>
      </c>
      <c r="T4878" s="331">
        <v>0</v>
      </c>
      <c r="U4878" s="328">
        <f>VLOOKUP(C4878,METADATA!$J$5:$Q$29,IF(E4878="HI",2,IF(E4878="LO",6,10))+IF(T4878=1,2,IF(D4878=7,1,(IF(WEEKDAY(B4878)=1,2,IF(WEEKDAY(B4878)=7,1,0))))))</f>
        <v>3</v>
      </c>
      <c r="V4878" s="328">
        <f>VLOOKUP(C4878,METADATA!$A$5:$H$29,IF(E4878="HI",2,IF(E4878="LO",6,10))+IF(T4878=1,2,IF(D4878=7,1,(IF(WEEKDAY(B4878)=1,2,IF(WEEKDAY(B4878)=7,1,0))))))</f>
        <v>3</v>
      </c>
    </row>
    <row r="4879" spans="2:22">
      <c r="B4879" s="318">
        <f t="shared" si="303"/>
        <v>46316</v>
      </c>
      <c r="C4879" s="312">
        <v>3</v>
      </c>
      <c r="D4879" s="368">
        <f>IFERROR((INDEX(METADATA!$T$2:$T$20,MATCH(B4879,METADATA!$S$2:$S$20,0))),0)</f>
        <v>0</v>
      </c>
      <c r="E4879" s="312" t="str">
        <f t="shared" si="304"/>
        <v>LO</v>
      </c>
      <c r="F4879" s="369">
        <f>VLOOKUP(C4879,METADATA!$A$5:$H$29,IF(E4879="HI",2,IF(E4879="LO",6,10))+IF(D4879=1,2,IF(D4879=7,1,(IF(WEEKDAY(B4879)=1,2,IF(WEEKDAY(B4879)=7,1,0))))))</f>
        <v>3</v>
      </c>
      <c r="G4879" s="369">
        <f>VLOOKUP(C4879,METADATA!$J$5:$Q$29,IF(E4879="HI",2,IF(E4879="LO",6,10))+IF(D4879=1,2,IF(D4879=7,1,(IF(WEEKDAY(B4879)=1,2,IF(WEEKDAY(B4879)=7,1,0))))))</f>
        <v>3</v>
      </c>
      <c r="H4879" s="370">
        <v>13998.55029296875</v>
      </c>
      <c r="I4879" s="370">
        <v>11109.324890136719</v>
      </c>
      <c r="M4879" s="371">
        <f t="shared" si="305"/>
        <v>17871.108242618495</v>
      </c>
      <c r="N4879" s="329">
        <f t="shared" si="306"/>
        <v>6909.7598022460943</v>
      </c>
      <c r="T4879" s="331">
        <v>0</v>
      </c>
      <c r="U4879" s="328">
        <f>VLOOKUP(C4879,METADATA!$J$5:$Q$29,IF(E4879="HI",2,IF(E4879="LO",6,10))+IF(T4879=1,2,IF(D4879=7,1,(IF(WEEKDAY(B4879)=1,2,IF(WEEKDAY(B4879)=7,1,0))))))</f>
        <v>3</v>
      </c>
      <c r="V4879" s="328">
        <f>VLOOKUP(C4879,METADATA!$A$5:$H$29,IF(E4879="HI",2,IF(E4879="LO",6,10))+IF(T4879=1,2,IF(D4879=7,1,(IF(WEEKDAY(B4879)=1,2,IF(WEEKDAY(B4879)=7,1,0))))))</f>
        <v>3</v>
      </c>
    </row>
    <row r="4880" spans="2:22">
      <c r="B4880" s="318">
        <f t="shared" si="303"/>
        <v>46316</v>
      </c>
      <c r="C4880" s="312">
        <v>4</v>
      </c>
      <c r="D4880" s="368">
        <f>IFERROR((INDEX(METADATA!$T$2:$T$20,MATCH(B4880,METADATA!$S$2:$S$20,0))),0)</f>
        <v>0</v>
      </c>
      <c r="E4880" s="312" t="str">
        <f t="shared" si="304"/>
        <v>LO</v>
      </c>
      <c r="F4880" s="369">
        <f>VLOOKUP(C4880,METADATA!$A$5:$H$29,IF(E4880="HI",2,IF(E4880="LO",6,10))+IF(D4880=1,2,IF(D4880=7,1,(IF(WEEKDAY(B4880)=1,2,IF(WEEKDAY(B4880)=7,1,0))))))</f>
        <v>3</v>
      </c>
      <c r="G4880" s="369">
        <f>VLOOKUP(C4880,METADATA!$J$5:$Q$29,IF(E4880="HI",2,IF(E4880="LO",6,10))+IF(D4880=1,2,IF(D4880=7,1,(IF(WEEKDAY(B4880)=1,2,IF(WEEKDAY(B4880)=7,1,0))))))</f>
        <v>3</v>
      </c>
      <c r="H4880" s="370">
        <v>13945.100219726563</v>
      </c>
      <c r="I4880" s="370">
        <v>10995.500061035156</v>
      </c>
      <c r="M4880" s="371">
        <f t="shared" si="305"/>
        <v>17758.570937168395</v>
      </c>
      <c r="N4880" s="329">
        <f t="shared" si="306"/>
        <v>6811.9699951171879</v>
      </c>
      <c r="T4880" s="331">
        <v>0</v>
      </c>
      <c r="U4880" s="328">
        <f>VLOOKUP(C4880,METADATA!$J$5:$Q$29,IF(E4880="HI",2,IF(E4880="LO",6,10))+IF(T4880=1,2,IF(D4880=7,1,(IF(WEEKDAY(B4880)=1,2,IF(WEEKDAY(B4880)=7,1,0))))))</f>
        <v>3</v>
      </c>
      <c r="V4880" s="328">
        <f>VLOOKUP(C4880,METADATA!$A$5:$H$29,IF(E4880="HI",2,IF(E4880="LO",6,10))+IF(T4880=1,2,IF(D4880=7,1,(IF(WEEKDAY(B4880)=1,2,IF(WEEKDAY(B4880)=7,1,0))))))</f>
        <v>3</v>
      </c>
    </row>
    <row r="4881" spans="2:22">
      <c r="B4881" s="318">
        <f t="shared" si="303"/>
        <v>46316</v>
      </c>
      <c r="C4881" s="312">
        <v>5</v>
      </c>
      <c r="D4881" s="368">
        <f>IFERROR((INDEX(METADATA!$T$2:$T$20,MATCH(B4881,METADATA!$S$2:$S$20,0))),0)</f>
        <v>0</v>
      </c>
      <c r="E4881" s="312" t="str">
        <f t="shared" si="304"/>
        <v>LO</v>
      </c>
      <c r="F4881" s="369">
        <f>VLOOKUP(C4881,METADATA!$A$5:$H$29,IF(E4881="HI",2,IF(E4881="LO",6,10))+IF(D4881=1,2,IF(D4881=7,1,(IF(WEEKDAY(B4881)=1,2,IF(WEEKDAY(B4881)=7,1,0))))))</f>
        <v>3</v>
      </c>
      <c r="G4881" s="369">
        <f>VLOOKUP(C4881,METADATA!$J$5:$Q$29,IF(E4881="HI",2,IF(E4881="LO",6,10))+IF(D4881=1,2,IF(D4881=7,1,(IF(WEEKDAY(B4881)=1,2,IF(WEEKDAY(B4881)=7,1,0))))))</f>
        <v>3</v>
      </c>
      <c r="H4881" s="370">
        <v>13866.375122070313</v>
      </c>
      <c r="I4881" s="370">
        <v>10936.574890136719</v>
      </c>
      <c r="M4881" s="371">
        <f t="shared" si="305"/>
        <v>17660.266967221629</v>
      </c>
      <c r="N4881" s="329">
        <f t="shared" si="306"/>
        <v>6776.662353515625</v>
      </c>
      <c r="T4881" s="331">
        <v>0</v>
      </c>
      <c r="U4881" s="328">
        <f>VLOOKUP(C4881,METADATA!$J$5:$Q$29,IF(E4881="HI",2,IF(E4881="LO",6,10))+IF(T4881=1,2,IF(D4881=7,1,(IF(WEEKDAY(B4881)=1,2,IF(WEEKDAY(B4881)=7,1,0))))))</f>
        <v>3</v>
      </c>
      <c r="V4881" s="328">
        <f>VLOOKUP(C4881,METADATA!$A$5:$H$29,IF(E4881="HI",2,IF(E4881="LO",6,10))+IF(T4881=1,2,IF(D4881=7,1,(IF(WEEKDAY(B4881)=1,2,IF(WEEKDAY(B4881)=7,1,0))))))</f>
        <v>3</v>
      </c>
    </row>
    <row r="4882" spans="2:22">
      <c r="B4882" s="318">
        <f t="shared" si="303"/>
        <v>46316</v>
      </c>
      <c r="C4882" s="312">
        <v>6</v>
      </c>
      <c r="D4882" s="368">
        <f>IFERROR((INDEX(METADATA!$T$2:$T$20,MATCH(B4882,METADATA!$S$2:$S$20,0))),0)</f>
        <v>0</v>
      </c>
      <c r="E4882" s="312" t="str">
        <f t="shared" si="304"/>
        <v>LO</v>
      </c>
      <c r="F4882" s="369">
        <f>VLOOKUP(C4882,METADATA!$A$5:$H$29,IF(E4882="HI",2,IF(E4882="LO",6,10))+IF(D4882=1,2,IF(D4882=7,1,(IF(WEEKDAY(B4882)=1,2,IF(WEEKDAY(B4882)=7,1,0))))))</f>
        <v>2</v>
      </c>
      <c r="G4882" s="369">
        <f>VLOOKUP(C4882,METADATA!$J$5:$Q$29,IF(E4882="HI",2,IF(E4882="LO",6,10))+IF(D4882=1,2,IF(D4882=7,1,(IF(WEEKDAY(B4882)=1,2,IF(WEEKDAY(B4882)=7,1,0))))))</f>
        <v>2</v>
      </c>
      <c r="H4882" s="370">
        <v>13883.400329589844</v>
      </c>
      <c r="I4882" s="370">
        <v>10918.25</v>
      </c>
      <c r="M4882" s="371">
        <f t="shared" si="305"/>
        <v>17662.30414680246</v>
      </c>
      <c r="N4882" s="329">
        <f t="shared" si="306"/>
        <v>6753.2299011230471</v>
      </c>
      <c r="T4882" s="331">
        <v>0</v>
      </c>
      <c r="U4882" s="328">
        <f>VLOOKUP(C4882,METADATA!$J$5:$Q$29,IF(E4882="HI",2,IF(E4882="LO",6,10))+IF(T4882=1,2,IF(D4882=7,1,(IF(WEEKDAY(B4882)=1,2,IF(WEEKDAY(B4882)=7,1,0))))))</f>
        <v>2</v>
      </c>
      <c r="V4882" s="328">
        <f>VLOOKUP(C4882,METADATA!$A$5:$H$29,IF(E4882="HI",2,IF(E4882="LO",6,10))+IF(T4882=1,2,IF(D4882=7,1,(IF(WEEKDAY(B4882)=1,2,IF(WEEKDAY(B4882)=7,1,0))))))</f>
        <v>2</v>
      </c>
    </row>
    <row r="4883" spans="2:22">
      <c r="B4883" s="318">
        <f t="shared" si="303"/>
        <v>46316</v>
      </c>
      <c r="C4883" s="312">
        <v>7</v>
      </c>
      <c r="D4883" s="368">
        <f>IFERROR((INDEX(METADATA!$T$2:$T$20,MATCH(B4883,METADATA!$S$2:$S$20,0))),0)</f>
        <v>0</v>
      </c>
      <c r="E4883" s="312" t="str">
        <f t="shared" si="304"/>
        <v>LO</v>
      </c>
      <c r="F4883" s="369">
        <f>VLOOKUP(C4883,METADATA!$A$5:$H$29,IF(E4883="HI",2,IF(E4883="LO",6,10))+IF(D4883=1,2,IF(D4883=7,1,(IF(WEEKDAY(B4883)=1,2,IF(WEEKDAY(B4883)=7,1,0))))))</f>
        <v>1</v>
      </c>
      <c r="G4883" s="369">
        <f>VLOOKUP(C4883,METADATA!$J$5:$Q$29,IF(E4883="HI",2,IF(E4883="LO",6,10))+IF(D4883=1,2,IF(D4883=7,1,(IF(WEEKDAY(B4883)=1,2,IF(WEEKDAY(B4883)=7,1,0))))))</f>
        <v>1</v>
      </c>
      <c r="H4883" s="370">
        <v>13142.224609375</v>
      </c>
      <c r="I4883" s="370">
        <v>10611.525024414063</v>
      </c>
      <c r="M4883" s="371">
        <f t="shared" si="305"/>
        <v>16891.492859632854</v>
      </c>
      <c r="N4883" s="329">
        <f t="shared" si="306"/>
        <v>6668.8576416015621</v>
      </c>
      <c r="T4883" s="331">
        <v>0</v>
      </c>
      <c r="U4883" s="328">
        <f>VLOOKUP(C4883,METADATA!$J$5:$Q$29,IF(E4883="HI",2,IF(E4883="LO",6,10))+IF(T4883=1,2,IF(D4883=7,1,(IF(WEEKDAY(B4883)=1,2,IF(WEEKDAY(B4883)=7,1,0))))))</f>
        <v>1</v>
      </c>
      <c r="V4883" s="328">
        <f>VLOOKUP(C4883,METADATA!$A$5:$H$29,IF(E4883="HI",2,IF(E4883="LO",6,10))+IF(T4883=1,2,IF(D4883=7,1,(IF(WEEKDAY(B4883)=1,2,IF(WEEKDAY(B4883)=7,1,0))))))</f>
        <v>1</v>
      </c>
    </row>
    <row r="4884" spans="2:22">
      <c r="B4884" s="318">
        <f t="shared" si="303"/>
        <v>46316</v>
      </c>
      <c r="C4884" s="312">
        <v>8</v>
      </c>
      <c r="D4884" s="368">
        <f>IFERROR((INDEX(METADATA!$T$2:$T$20,MATCH(B4884,METADATA!$S$2:$S$20,0))),0)</f>
        <v>0</v>
      </c>
      <c r="E4884" s="312" t="str">
        <f t="shared" si="304"/>
        <v>LO</v>
      </c>
      <c r="F4884" s="369">
        <f>VLOOKUP(C4884,METADATA!$A$5:$H$29,IF(E4884="HI",2,IF(E4884="LO",6,10))+IF(D4884=1,2,IF(D4884=7,1,(IF(WEEKDAY(B4884)=1,2,IF(WEEKDAY(B4884)=7,1,0))))))</f>
        <v>1</v>
      </c>
      <c r="G4884" s="369">
        <f>VLOOKUP(C4884,METADATA!$J$5:$Q$29,IF(E4884="HI",2,IF(E4884="LO",6,10))+IF(D4884=1,2,IF(D4884=7,1,(IF(WEEKDAY(B4884)=1,2,IF(WEEKDAY(B4884)=7,1,0))))))</f>
        <v>1</v>
      </c>
      <c r="H4884" s="370">
        <v>7955.7152099609375</v>
      </c>
      <c r="I4884" s="370">
        <v>7952.09765625</v>
      </c>
      <c r="M4884" s="371">
        <f t="shared" si="305"/>
        <v>11248.522642398002</v>
      </c>
      <c r="N4884" s="329">
        <f t="shared" si="306"/>
        <v>5565.3830932617184</v>
      </c>
      <c r="T4884" s="331">
        <v>0</v>
      </c>
      <c r="U4884" s="328">
        <f>VLOOKUP(C4884,METADATA!$J$5:$Q$29,IF(E4884="HI",2,IF(E4884="LO",6,10))+IF(T4884=1,2,IF(D4884=7,1,(IF(WEEKDAY(B4884)=1,2,IF(WEEKDAY(B4884)=7,1,0))))))</f>
        <v>1</v>
      </c>
      <c r="V4884" s="328">
        <f>VLOOKUP(C4884,METADATA!$A$5:$H$29,IF(E4884="HI",2,IF(E4884="LO",6,10))+IF(T4884=1,2,IF(D4884=7,1,(IF(WEEKDAY(B4884)=1,2,IF(WEEKDAY(B4884)=7,1,0))))))</f>
        <v>1</v>
      </c>
    </row>
    <row r="4885" spans="2:22">
      <c r="B4885" s="318">
        <f t="shared" si="303"/>
        <v>46316</v>
      </c>
      <c r="C4885" s="312">
        <v>9</v>
      </c>
      <c r="D4885" s="368">
        <f>IFERROR((INDEX(METADATA!$T$2:$T$20,MATCH(B4885,METADATA!$S$2:$S$20,0))),0)</f>
        <v>0</v>
      </c>
      <c r="E4885" s="312" t="str">
        <f t="shared" si="304"/>
        <v>LO</v>
      </c>
      <c r="F4885" s="369">
        <f>VLOOKUP(C4885,METADATA!$A$5:$H$29,IF(E4885="HI",2,IF(E4885="LO",6,10))+IF(D4885=1,2,IF(D4885=7,1,(IF(WEEKDAY(B4885)=1,2,IF(WEEKDAY(B4885)=7,1,0))))))</f>
        <v>2</v>
      </c>
      <c r="G4885" s="369">
        <f>VLOOKUP(C4885,METADATA!$J$5:$Q$29,IF(E4885="HI",2,IF(E4885="LO",6,10))+IF(D4885=1,2,IF(D4885=7,1,(IF(WEEKDAY(B4885)=1,2,IF(WEEKDAY(B4885)=7,1,0))))))</f>
        <v>2</v>
      </c>
      <c r="H4885" s="370">
        <v>11224.940246582031</v>
      </c>
      <c r="I4885" s="370">
        <v>9429.1724548339844</v>
      </c>
      <c r="M4885" s="371">
        <f t="shared" si="305"/>
        <v>14659.760459241379</v>
      </c>
      <c r="N4885" s="329">
        <f t="shared" si="306"/>
        <v>6061.6903808593752</v>
      </c>
      <c r="T4885" s="331">
        <v>0</v>
      </c>
      <c r="U4885" s="328">
        <f>VLOOKUP(C4885,METADATA!$J$5:$Q$29,IF(E4885="HI",2,IF(E4885="LO",6,10))+IF(T4885=1,2,IF(D4885=7,1,(IF(WEEKDAY(B4885)=1,2,IF(WEEKDAY(B4885)=7,1,0))))))</f>
        <v>2</v>
      </c>
      <c r="V4885" s="328">
        <f>VLOOKUP(C4885,METADATA!$A$5:$H$29,IF(E4885="HI",2,IF(E4885="LO",6,10))+IF(T4885=1,2,IF(D4885=7,1,(IF(WEEKDAY(B4885)=1,2,IF(WEEKDAY(B4885)=7,1,0))))))</f>
        <v>2</v>
      </c>
    </row>
    <row r="4886" spans="2:22">
      <c r="B4886" s="318">
        <f t="shared" si="303"/>
        <v>46316</v>
      </c>
      <c r="C4886" s="312">
        <v>10</v>
      </c>
      <c r="D4886" s="368">
        <f>IFERROR((INDEX(METADATA!$T$2:$T$20,MATCH(B4886,METADATA!$S$2:$S$20,0))),0)</f>
        <v>0</v>
      </c>
      <c r="E4886" s="312" t="str">
        <f t="shared" si="304"/>
        <v>LO</v>
      </c>
      <c r="F4886" s="369">
        <f>VLOOKUP(C4886,METADATA!$A$5:$H$29,IF(E4886="HI",2,IF(E4886="LO",6,10))+IF(D4886=1,2,IF(D4886=7,1,(IF(WEEKDAY(B4886)=1,2,IF(WEEKDAY(B4886)=7,1,0))))))</f>
        <v>2</v>
      </c>
      <c r="G4886" s="369">
        <f>VLOOKUP(C4886,METADATA!$J$5:$Q$29,IF(E4886="HI",2,IF(E4886="LO",6,10))+IF(D4886=1,2,IF(D4886=7,1,(IF(WEEKDAY(B4886)=1,2,IF(WEEKDAY(B4886)=7,1,0))))))</f>
        <v>2</v>
      </c>
      <c r="H4886" s="370">
        <v>11765.902709960938</v>
      </c>
      <c r="I4886" s="370">
        <v>9550.2999572753906</v>
      </c>
      <c r="M4886" s="371">
        <f t="shared" si="305"/>
        <v>15154.032329852027</v>
      </c>
      <c r="N4886" s="329">
        <f t="shared" si="306"/>
        <v>6020.5291442871094</v>
      </c>
      <c r="T4886" s="331">
        <v>0</v>
      </c>
      <c r="U4886" s="328">
        <f>VLOOKUP(C4886,METADATA!$J$5:$Q$29,IF(E4886="HI",2,IF(E4886="LO",6,10))+IF(T4886=1,2,IF(D4886=7,1,(IF(WEEKDAY(B4886)=1,2,IF(WEEKDAY(B4886)=7,1,0))))))</f>
        <v>2</v>
      </c>
      <c r="V4886" s="328">
        <f>VLOOKUP(C4886,METADATA!$A$5:$H$29,IF(E4886="HI",2,IF(E4886="LO",6,10))+IF(T4886=1,2,IF(D4886=7,1,(IF(WEEKDAY(B4886)=1,2,IF(WEEKDAY(B4886)=7,1,0))))))</f>
        <v>2</v>
      </c>
    </row>
    <row r="4887" spans="2:22">
      <c r="B4887" s="318">
        <f t="shared" si="303"/>
        <v>46316</v>
      </c>
      <c r="C4887" s="312">
        <v>11</v>
      </c>
      <c r="D4887" s="368">
        <f>IFERROR((INDEX(METADATA!$T$2:$T$20,MATCH(B4887,METADATA!$S$2:$S$20,0))),0)</f>
        <v>0</v>
      </c>
      <c r="E4887" s="312" t="str">
        <f t="shared" si="304"/>
        <v>LO</v>
      </c>
      <c r="F4887" s="369">
        <f>VLOOKUP(C4887,METADATA!$A$5:$H$29,IF(E4887="HI",2,IF(E4887="LO",6,10))+IF(D4887=1,2,IF(D4887=7,1,(IF(WEEKDAY(B4887)=1,2,IF(WEEKDAY(B4887)=7,1,0))))))</f>
        <v>2</v>
      </c>
      <c r="G4887" s="369">
        <f>VLOOKUP(C4887,METADATA!$J$5:$Q$29,IF(E4887="HI",2,IF(E4887="LO",6,10))+IF(D4887=1,2,IF(D4887=7,1,(IF(WEEKDAY(B4887)=1,2,IF(WEEKDAY(B4887)=7,1,0))))))</f>
        <v>2</v>
      </c>
      <c r="H4887" s="370">
        <v>11804.160217285156</v>
      </c>
      <c r="I4887" s="370">
        <v>9505.2201843261719</v>
      </c>
      <c r="M4887" s="371">
        <f t="shared" si="305"/>
        <v>15155.441570203728</v>
      </c>
      <c r="N4887" s="329">
        <f t="shared" si="306"/>
        <v>5963.9721191406252</v>
      </c>
      <c r="T4887" s="331">
        <v>0</v>
      </c>
      <c r="U4887" s="328">
        <f>VLOOKUP(C4887,METADATA!$J$5:$Q$29,IF(E4887="HI",2,IF(E4887="LO",6,10))+IF(T4887=1,2,IF(D4887=7,1,(IF(WEEKDAY(B4887)=1,2,IF(WEEKDAY(B4887)=7,1,0))))))</f>
        <v>2</v>
      </c>
      <c r="V4887" s="328">
        <f>VLOOKUP(C4887,METADATA!$A$5:$H$29,IF(E4887="HI",2,IF(E4887="LO",6,10))+IF(T4887=1,2,IF(D4887=7,1,(IF(WEEKDAY(B4887)=1,2,IF(WEEKDAY(B4887)=7,1,0))))))</f>
        <v>2</v>
      </c>
    </row>
    <row r="4888" spans="2:22">
      <c r="B4888" s="318">
        <f t="shared" si="303"/>
        <v>46316</v>
      </c>
      <c r="C4888" s="312">
        <v>12</v>
      </c>
      <c r="D4888" s="368">
        <f>IFERROR((INDEX(METADATA!$T$2:$T$20,MATCH(B4888,METADATA!$S$2:$S$20,0))),0)</f>
        <v>0</v>
      </c>
      <c r="E4888" s="312" t="str">
        <f t="shared" si="304"/>
        <v>LO</v>
      </c>
      <c r="F4888" s="369">
        <f>VLOOKUP(C4888,METADATA!$A$5:$H$29,IF(E4888="HI",2,IF(E4888="LO",6,10))+IF(D4888=1,2,IF(D4888=7,1,(IF(WEEKDAY(B4888)=1,2,IF(WEEKDAY(B4888)=7,1,0))))))</f>
        <v>2</v>
      </c>
      <c r="G4888" s="369">
        <f>VLOOKUP(C4888,METADATA!$J$5:$Q$29,IF(E4888="HI",2,IF(E4888="LO",6,10))+IF(D4888=1,2,IF(D4888=7,1,(IF(WEEKDAY(B4888)=1,2,IF(WEEKDAY(B4888)=7,1,0))))))</f>
        <v>2</v>
      </c>
      <c r="H4888" s="370">
        <v>13284.72509765625</v>
      </c>
      <c r="I4888" s="370">
        <v>10450.299926757813</v>
      </c>
      <c r="M4888" s="371">
        <f t="shared" si="305"/>
        <v>16902.446257257918</v>
      </c>
      <c r="N4888" s="329">
        <f t="shared" si="306"/>
        <v>6464.8823974609377</v>
      </c>
      <c r="T4888" s="331">
        <v>0</v>
      </c>
      <c r="U4888" s="328">
        <f>VLOOKUP(C4888,METADATA!$J$5:$Q$29,IF(E4888="HI",2,IF(E4888="LO",6,10))+IF(T4888=1,2,IF(D4888=7,1,(IF(WEEKDAY(B4888)=1,2,IF(WEEKDAY(B4888)=7,1,0))))))</f>
        <v>2</v>
      </c>
      <c r="V4888" s="328">
        <f>VLOOKUP(C4888,METADATA!$A$5:$H$29,IF(E4888="HI",2,IF(E4888="LO",6,10))+IF(T4888=1,2,IF(D4888=7,1,(IF(WEEKDAY(B4888)=1,2,IF(WEEKDAY(B4888)=7,1,0))))))</f>
        <v>2</v>
      </c>
    </row>
    <row r="4889" spans="2:22">
      <c r="B4889" s="318">
        <f t="shared" si="303"/>
        <v>46316</v>
      </c>
      <c r="C4889" s="312">
        <v>13</v>
      </c>
      <c r="D4889" s="368">
        <f>IFERROR((INDEX(METADATA!$T$2:$T$20,MATCH(B4889,METADATA!$S$2:$S$20,0))),0)</f>
        <v>0</v>
      </c>
      <c r="E4889" s="312" t="str">
        <f t="shared" si="304"/>
        <v>LO</v>
      </c>
      <c r="F4889" s="369">
        <f>VLOOKUP(C4889,METADATA!$A$5:$H$29,IF(E4889="HI",2,IF(E4889="LO",6,10))+IF(D4889=1,2,IF(D4889=7,1,(IF(WEEKDAY(B4889)=1,2,IF(WEEKDAY(B4889)=7,1,0))))))</f>
        <v>2</v>
      </c>
      <c r="G4889" s="369">
        <f>VLOOKUP(C4889,METADATA!$J$5:$Q$29,IF(E4889="HI",2,IF(E4889="LO",6,10))+IF(D4889=1,2,IF(D4889=7,1,(IF(WEEKDAY(B4889)=1,2,IF(WEEKDAY(B4889)=7,1,0))))))</f>
        <v>2</v>
      </c>
      <c r="H4889" s="370">
        <v>13863.899963378906</v>
      </c>
      <c r="I4889" s="370">
        <v>10730.749877929688</v>
      </c>
      <c r="M4889" s="371">
        <f t="shared" si="305"/>
        <v>17531.59191680167</v>
      </c>
      <c r="N4889" s="329">
        <f t="shared" si="306"/>
        <v>6571.579888916016</v>
      </c>
      <c r="T4889" s="331">
        <v>0</v>
      </c>
      <c r="U4889" s="328">
        <f>VLOOKUP(C4889,METADATA!$J$5:$Q$29,IF(E4889="HI",2,IF(E4889="LO",6,10))+IF(T4889=1,2,IF(D4889=7,1,(IF(WEEKDAY(B4889)=1,2,IF(WEEKDAY(B4889)=7,1,0))))))</f>
        <v>2</v>
      </c>
      <c r="V4889" s="328">
        <f>VLOOKUP(C4889,METADATA!$A$5:$H$29,IF(E4889="HI",2,IF(E4889="LO",6,10))+IF(T4889=1,2,IF(D4889=7,1,(IF(WEEKDAY(B4889)=1,2,IF(WEEKDAY(B4889)=7,1,0))))))</f>
        <v>2</v>
      </c>
    </row>
    <row r="4890" spans="2:22">
      <c r="B4890" s="318">
        <f t="shared" si="303"/>
        <v>46316</v>
      </c>
      <c r="C4890" s="312">
        <v>14</v>
      </c>
      <c r="D4890" s="368">
        <f>IFERROR((INDEX(METADATA!$T$2:$T$20,MATCH(B4890,METADATA!$S$2:$S$20,0))),0)</f>
        <v>0</v>
      </c>
      <c r="E4890" s="312" t="str">
        <f t="shared" si="304"/>
        <v>LO</v>
      </c>
      <c r="F4890" s="369">
        <f>VLOOKUP(C4890,METADATA!$A$5:$H$29,IF(E4890="HI",2,IF(E4890="LO",6,10))+IF(D4890=1,2,IF(D4890=7,1,(IF(WEEKDAY(B4890)=1,2,IF(WEEKDAY(B4890)=7,1,0))))))</f>
        <v>2</v>
      </c>
      <c r="G4890" s="369">
        <f>VLOOKUP(C4890,METADATA!$J$5:$Q$29,IF(E4890="HI",2,IF(E4890="LO",6,10))+IF(D4890=1,2,IF(D4890=7,1,(IF(WEEKDAY(B4890)=1,2,IF(WEEKDAY(B4890)=7,1,0))))))</f>
        <v>2</v>
      </c>
      <c r="H4890" s="370">
        <v>13796.625183105469</v>
      </c>
      <c r="I4890" s="370">
        <v>10968.849914550781</v>
      </c>
      <c r="M4890" s="371">
        <f t="shared" si="305"/>
        <v>17625.621546233218</v>
      </c>
      <c r="N4890" s="329">
        <f t="shared" si="306"/>
        <v>6829.862359619141</v>
      </c>
      <c r="T4890" s="331">
        <v>0</v>
      </c>
      <c r="U4890" s="328">
        <f>VLOOKUP(C4890,METADATA!$J$5:$Q$29,IF(E4890="HI",2,IF(E4890="LO",6,10))+IF(T4890=1,2,IF(D4890=7,1,(IF(WEEKDAY(B4890)=1,2,IF(WEEKDAY(B4890)=7,1,0))))))</f>
        <v>2</v>
      </c>
      <c r="V4890" s="328">
        <f>VLOOKUP(C4890,METADATA!$A$5:$H$29,IF(E4890="HI",2,IF(E4890="LO",6,10))+IF(T4890=1,2,IF(D4890=7,1,(IF(WEEKDAY(B4890)=1,2,IF(WEEKDAY(B4890)=7,1,0))))))</f>
        <v>2</v>
      </c>
    </row>
    <row r="4891" spans="2:22">
      <c r="B4891" s="318">
        <f t="shared" si="303"/>
        <v>46316</v>
      </c>
      <c r="C4891" s="312">
        <v>15</v>
      </c>
      <c r="D4891" s="368">
        <f>IFERROR((INDEX(METADATA!$T$2:$T$20,MATCH(B4891,METADATA!$S$2:$S$20,0))),0)</f>
        <v>0</v>
      </c>
      <c r="E4891" s="312" t="str">
        <f t="shared" si="304"/>
        <v>LO</v>
      </c>
      <c r="F4891" s="369">
        <f>VLOOKUP(C4891,METADATA!$A$5:$H$29,IF(E4891="HI",2,IF(E4891="LO",6,10))+IF(D4891=1,2,IF(D4891=7,1,(IF(WEEKDAY(B4891)=1,2,IF(WEEKDAY(B4891)=7,1,0))))))</f>
        <v>2</v>
      </c>
      <c r="G4891" s="369">
        <f>VLOOKUP(C4891,METADATA!$J$5:$Q$29,IF(E4891="HI",2,IF(E4891="LO",6,10))+IF(D4891=1,2,IF(D4891=7,1,(IF(WEEKDAY(B4891)=1,2,IF(WEEKDAY(B4891)=7,1,0))))))</f>
        <v>2</v>
      </c>
      <c r="H4891" s="370">
        <v>13671.900451660156</v>
      </c>
      <c r="I4891" s="370">
        <v>10943.574890136719</v>
      </c>
      <c r="M4891" s="371">
        <f t="shared" si="305"/>
        <v>17512.358303099445</v>
      </c>
      <c r="N4891" s="329">
        <f t="shared" si="306"/>
        <v>6842.0047546386722</v>
      </c>
      <c r="T4891" s="331">
        <v>0</v>
      </c>
      <c r="U4891" s="328">
        <f>VLOOKUP(C4891,METADATA!$J$5:$Q$29,IF(E4891="HI",2,IF(E4891="LO",6,10))+IF(T4891=1,2,IF(D4891=7,1,(IF(WEEKDAY(B4891)=1,2,IF(WEEKDAY(B4891)=7,1,0))))))</f>
        <v>2</v>
      </c>
      <c r="V4891" s="328">
        <f>VLOOKUP(C4891,METADATA!$A$5:$H$29,IF(E4891="HI",2,IF(E4891="LO",6,10))+IF(T4891=1,2,IF(D4891=7,1,(IF(WEEKDAY(B4891)=1,2,IF(WEEKDAY(B4891)=7,1,0))))))</f>
        <v>2</v>
      </c>
    </row>
    <row r="4892" spans="2:22">
      <c r="B4892" s="318">
        <f t="shared" ref="B4892:B4955" si="307">B4868+1</f>
        <v>46316</v>
      </c>
      <c r="C4892" s="312">
        <v>16</v>
      </c>
      <c r="D4892" s="368">
        <f>IFERROR((INDEX(METADATA!$T$2:$T$20,MATCH(B4892,METADATA!$S$2:$S$20,0))),0)</f>
        <v>0</v>
      </c>
      <c r="E4892" s="312" t="str">
        <f t="shared" si="304"/>
        <v>LO</v>
      </c>
      <c r="F4892" s="369">
        <f>VLOOKUP(C4892,METADATA!$A$5:$H$29,IF(E4892="HI",2,IF(E4892="LO",6,10))+IF(D4892=1,2,IF(D4892=7,1,(IF(WEEKDAY(B4892)=1,2,IF(WEEKDAY(B4892)=7,1,0))))))</f>
        <v>2</v>
      </c>
      <c r="G4892" s="369">
        <f>VLOOKUP(C4892,METADATA!$J$5:$Q$29,IF(E4892="HI",2,IF(E4892="LO",6,10))+IF(D4892=1,2,IF(D4892=7,1,(IF(WEEKDAY(B4892)=1,2,IF(WEEKDAY(B4892)=7,1,0))))))</f>
        <v>2</v>
      </c>
      <c r="H4892" s="370">
        <v>13573.650268554688</v>
      </c>
      <c r="I4892" s="370">
        <v>10889.375061035156</v>
      </c>
      <c r="M4892" s="371">
        <f t="shared" si="305"/>
        <v>17401.795046285573</v>
      </c>
      <c r="N4892" s="329">
        <f t="shared" si="306"/>
        <v>6817.2799804687502</v>
      </c>
      <c r="T4892" s="331">
        <v>0</v>
      </c>
      <c r="U4892" s="328">
        <f>VLOOKUP(C4892,METADATA!$J$5:$Q$29,IF(E4892="HI",2,IF(E4892="LO",6,10))+IF(T4892=1,2,IF(D4892=7,1,(IF(WEEKDAY(B4892)=1,2,IF(WEEKDAY(B4892)=7,1,0))))))</f>
        <v>2</v>
      </c>
      <c r="V4892" s="328">
        <f>VLOOKUP(C4892,METADATA!$A$5:$H$29,IF(E4892="HI",2,IF(E4892="LO",6,10))+IF(T4892=1,2,IF(D4892=7,1,(IF(WEEKDAY(B4892)=1,2,IF(WEEKDAY(B4892)=7,1,0))))))</f>
        <v>2</v>
      </c>
    </row>
    <row r="4893" spans="2:22">
      <c r="B4893" s="318">
        <f t="shared" si="307"/>
        <v>46316</v>
      </c>
      <c r="C4893" s="312">
        <v>17</v>
      </c>
      <c r="D4893" s="368">
        <f>IFERROR((INDEX(METADATA!$T$2:$T$20,MATCH(B4893,METADATA!$S$2:$S$20,0))),0)</f>
        <v>0</v>
      </c>
      <c r="E4893" s="312" t="str">
        <f t="shared" si="304"/>
        <v>LO</v>
      </c>
      <c r="F4893" s="369">
        <f>VLOOKUP(C4893,METADATA!$A$5:$H$29,IF(E4893="HI",2,IF(E4893="LO",6,10))+IF(D4893=1,2,IF(D4893=7,1,(IF(WEEKDAY(B4893)=1,2,IF(WEEKDAY(B4893)=7,1,0))))))</f>
        <v>2</v>
      </c>
      <c r="G4893" s="369">
        <f>VLOOKUP(C4893,METADATA!$J$5:$Q$29,IF(E4893="HI",2,IF(E4893="LO",6,10))+IF(D4893=1,2,IF(D4893=7,1,(IF(WEEKDAY(B4893)=1,2,IF(WEEKDAY(B4893)=7,1,0))))))</f>
        <v>2</v>
      </c>
      <c r="H4893" s="370">
        <v>13570.674682617188</v>
      </c>
      <c r="I4893" s="370">
        <v>10936.175048828125</v>
      </c>
      <c r="M4893" s="371">
        <f t="shared" si="305"/>
        <v>17428.801910631664</v>
      </c>
      <c r="N4893" s="329">
        <f t="shared" si="306"/>
        <v>6864.9726440429695</v>
      </c>
      <c r="T4893" s="331">
        <v>0</v>
      </c>
      <c r="U4893" s="328">
        <f>VLOOKUP(C4893,METADATA!$J$5:$Q$29,IF(E4893="HI",2,IF(E4893="LO",6,10))+IF(T4893=1,2,IF(D4893=7,1,(IF(WEEKDAY(B4893)=1,2,IF(WEEKDAY(B4893)=7,1,0))))))</f>
        <v>2</v>
      </c>
      <c r="V4893" s="328">
        <f>VLOOKUP(C4893,METADATA!$A$5:$H$29,IF(E4893="HI",2,IF(E4893="LO",6,10))+IF(T4893=1,2,IF(D4893=7,1,(IF(WEEKDAY(B4893)=1,2,IF(WEEKDAY(B4893)=7,1,0))))))</f>
        <v>2</v>
      </c>
    </row>
    <row r="4894" spans="2:22">
      <c r="B4894" s="318">
        <f t="shared" si="307"/>
        <v>46316</v>
      </c>
      <c r="C4894" s="312">
        <v>18</v>
      </c>
      <c r="D4894" s="368">
        <f>IFERROR((INDEX(METADATA!$T$2:$T$20,MATCH(B4894,METADATA!$S$2:$S$20,0))),0)</f>
        <v>0</v>
      </c>
      <c r="E4894" s="312" t="str">
        <f t="shared" si="304"/>
        <v>LO</v>
      </c>
      <c r="F4894" s="369">
        <f>VLOOKUP(C4894,METADATA!$A$5:$H$29,IF(E4894="HI",2,IF(E4894="LO",6,10))+IF(D4894=1,2,IF(D4894=7,1,(IF(WEEKDAY(B4894)=1,2,IF(WEEKDAY(B4894)=7,1,0))))))</f>
        <v>1</v>
      </c>
      <c r="G4894" s="369">
        <f>VLOOKUP(C4894,METADATA!$J$5:$Q$29,IF(E4894="HI",2,IF(E4894="LO",6,10))+IF(D4894=1,2,IF(D4894=7,1,(IF(WEEKDAY(B4894)=1,2,IF(WEEKDAY(B4894)=7,1,0))))))</f>
        <v>1</v>
      </c>
      <c r="H4894" s="370">
        <v>13452.075012207031</v>
      </c>
      <c r="I4894" s="370">
        <v>10771.85009765625</v>
      </c>
      <c r="M4894" s="371">
        <f t="shared" si="305"/>
        <v>17233.429045329944</v>
      </c>
      <c r="N4894" s="329">
        <f t="shared" si="306"/>
        <v>6736.227593994141</v>
      </c>
      <c r="T4894" s="331">
        <v>0</v>
      </c>
      <c r="U4894" s="328">
        <f>VLOOKUP(C4894,METADATA!$J$5:$Q$29,IF(E4894="HI",2,IF(E4894="LO",6,10))+IF(T4894=1,2,IF(D4894=7,1,(IF(WEEKDAY(B4894)=1,2,IF(WEEKDAY(B4894)=7,1,0))))))</f>
        <v>1</v>
      </c>
      <c r="V4894" s="328">
        <f>VLOOKUP(C4894,METADATA!$A$5:$H$29,IF(E4894="HI",2,IF(E4894="LO",6,10))+IF(T4894=1,2,IF(D4894=7,1,(IF(WEEKDAY(B4894)=1,2,IF(WEEKDAY(B4894)=7,1,0))))))</f>
        <v>1</v>
      </c>
    </row>
    <row r="4895" spans="2:22">
      <c r="B4895" s="318">
        <f t="shared" si="307"/>
        <v>46316</v>
      </c>
      <c r="C4895" s="312">
        <v>19</v>
      </c>
      <c r="D4895" s="368">
        <f>IFERROR((INDEX(METADATA!$T$2:$T$20,MATCH(B4895,METADATA!$S$2:$S$20,0))),0)</f>
        <v>0</v>
      </c>
      <c r="E4895" s="312" t="str">
        <f t="shared" si="304"/>
        <v>LO</v>
      </c>
      <c r="F4895" s="369">
        <f>VLOOKUP(C4895,METADATA!$A$5:$H$29,IF(E4895="HI",2,IF(E4895="LO",6,10))+IF(D4895=1,2,IF(D4895=7,1,(IF(WEEKDAY(B4895)=1,2,IF(WEEKDAY(B4895)=7,1,0))))))</f>
        <v>1</v>
      </c>
      <c r="G4895" s="369">
        <f>VLOOKUP(C4895,METADATA!$J$5:$Q$29,IF(E4895="HI",2,IF(E4895="LO",6,10))+IF(D4895=1,2,IF(D4895=7,1,(IF(WEEKDAY(B4895)=1,2,IF(WEEKDAY(B4895)=7,1,0))))))</f>
        <v>1</v>
      </c>
      <c r="H4895" s="370">
        <v>13763.924987792969</v>
      </c>
      <c r="I4895" s="370">
        <v>10888.700134277344</v>
      </c>
      <c r="M4895" s="371">
        <f t="shared" si="305"/>
        <v>17550.197197860856</v>
      </c>
      <c r="N4895" s="329">
        <f t="shared" si="306"/>
        <v>6759.5226379394535</v>
      </c>
      <c r="T4895" s="331">
        <v>0</v>
      </c>
      <c r="U4895" s="328">
        <f>VLOOKUP(C4895,METADATA!$J$5:$Q$29,IF(E4895="HI",2,IF(E4895="LO",6,10))+IF(T4895=1,2,IF(D4895=7,1,(IF(WEEKDAY(B4895)=1,2,IF(WEEKDAY(B4895)=7,1,0))))))</f>
        <v>1</v>
      </c>
      <c r="V4895" s="328">
        <f>VLOOKUP(C4895,METADATA!$A$5:$H$29,IF(E4895="HI",2,IF(E4895="LO",6,10))+IF(T4895=1,2,IF(D4895=7,1,(IF(WEEKDAY(B4895)=1,2,IF(WEEKDAY(B4895)=7,1,0))))))</f>
        <v>1</v>
      </c>
    </row>
    <row r="4896" spans="2:22">
      <c r="B4896" s="318">
        <f t="shared" si="307"/>
        <v>46316</v>
      </c>
      <c r="C4896" s="312">
        <v>20</v>
      </c>
      <c r="D4896" s="368">
        <f>IFERROR((INDEX(METADATA!$T$2:$T$20,MATCH(B4896,METADATA!$S$2:$S$20,0))),0)</f>
        <v>0</v>
      </c>
      <c r="E4896" s="312" t="str">
        <f t="shared" si="304"/>
        <v>LO</v>
      </c>
      <c r="F4896" s="369">
        <f>VLOOKUP(C4896,METADATA!$A$5:$H$29,IF(E4896="HI",2,IF(E4896="LO",6,10))+IF(D4896=1,2,IF(D4896=7,1,(IF(WEEKDAY(B4896)=1,2,IF(WEEKDAY(B4896)=7,1,0))))))</f>
        <v>1</v>
      </c>
      <c r="G4896" s="369">
        <f>VLOOKUP(C4896,METADATA!$J$5:$Q$29,IF(E4896="HI",2,IF(E4896="LO",6,10))+IF(D4896=1,2,IF(D4896=7,1,(IF(WEEKDAY(B4896)=1,2,IF(WEEKDAY(B4896)=7,1,0))))))</f>
        <v>1</v>
      </c>
      <c r="H4896" s="370">
        <v>13607.8251953125</v>
      </c>
      <c r="I4896" s="370">
        <v>10889.275146484375</v>
      </c>
      <c r="M4896" s="371">
        <f t="shared" si="305"/>
        <v>17428.402673854653</v>
      </c>
      <c r="N4896" s="329">
        <f t="shared" si="306"/>
        <v>6806.9275878906246</v>
      </c>
      <c r="T4896" s="331">
        <v>0</v>
      </c>
      <c r="U4896" s="328">
        <f>VLOOKUP(C4896,METADATA!$J$5:$Q$29,IF(E4896="HI",2,IF(E4896="LO",6,10))+IF(T4896=1,2,IF(D4896=7,1,(IF(WEEKDAY(B4896)=1,2,IF(WEEKDAY(B4896)=7,1,0))))))</f>
        <v>1</v>
      </c>
      <c r="V4896" s="328">
        <f>VLOOKUP(C4896,METADATA!$A$5:$H$29,IF(E4896="HI",2,IF(E4896="LO",6,10))+IF(T4896=1,2,IF(D4896=7,1,(IF(WEEKDAY(B4896)=1,2,IF(WEEKDAY(B4896)=7,1,0))))))</f>
        <v>1</v>
      </c>
    </row>
    <row r="4897" spans="2:22">
      <c r="B4897" s="318">
        <f t="shared" si="307"/>
        <v>46316</v>
      </c>
      <c r="C4897" s="312">
        <v>21</v>
      </c>
      <c r="D4897" s="368">
        <f>IFERROR((INDEX(METADATA!$T$2:$T$20,MATCH(B4897,METADATA!$S$2:$S$20,0))),0)</f>
        <v>0</v>
      </c>
      <c r="E4897" s="312" t="str">
        <f t="shared" si="304"/>
        <v>LO</v>
      </c>
      <c r="F4897" s="369">
        <f>VLOOKUP(C4897,METADATA!$A$5:$H$29,IF(E4897="HI",2,IF(E4897="LO",6,10))+IF(D4897=1,2,IF(D4897=7,1,(IF(WEEKDAY(B4897)=1,2,IF(WEEKDAY(B4897)=7,1,0))))))</f>
        <v>2</v>
      </c>
      <c r="G4897" s="369">
        <f>VLOOKUP(C4897,METADATA!$J$5:$Q$29,IF(E4897="HI",2,IF(E4897="LO",6,10))+IF(D4897=1,2,IF(D4897=7,1,(IF(WEEKDAY(B4897)=1,2,IF(WEEKDAY(B4897)=7,1,0))))))</f>
        <v>2</v>
      </c>
      <c r="H4897" s="370">
        <v>13801.299865722656</v>
      </c>
      <c r="I4897" s="370">
        <v>11059.699523925781</v>
      </c>
      <c r="M4897" s="371">
        <f t="shared" si="305"/>
        <v>17685.950117059598</v>
      </c>
      <c r="N4897" s="329">
        <f t="shared" si="306"/>
        <v>6919.3095642089847</v>
      </c>
      <c r="T4897" s="331">
        <v>0</v>
      </c>
      <c r="U4897" s="328">
        <f>VLOOKUP(C4897,METADATA!$J$5:$Q$29,IF(E4897="HI",2,IF(E4897="LO",6,10))+IF(T4897=1,2,IF(D4897=7,1,(IF(WEEKDAY(B4897)=1,2,IF(WEEKDAY(B4897)=7,1,0))))))</f>
        <v>2</v>
      </c>
      <c r="V4897" s="328">
        <f>VLOOKUP(C4897,METADATA!$A$5:$H$29,IF(E4897="HI",2,IF(E4897="LO",6,10))+IF(T4897=1,2,IF(D4897=7,1,(IF(WEEKDAY(B4897)=1,2,IF(WEEKDAY(B4897)=7,1,0))))))</f>
        <v>2</v>
      </c>
    </row>
    <row r="4898" spans="2:22">
      <c r="B4898" s="318">
        <f t="shared" si="307"/>
        <v>46316</v>
      </c>
      <c r="C4898" s="312">
        <v>22</v>
      </c>
      <c r="D4898" s="368">
        <f>IFERROR((INDEX(METADATA!$T$2:$T$20,MATCH(B4898,METADATA!$S$2:$S$20,0))),0)</f>
        <v>0</v>
      </c>
      <c r="E4898" s="312" t="str">
        <f t="shared" si="304"/>
        <v>LO</v>
      </c>
      <c r="F4898" s="369">
        <f>VLOOKUP(C4898,METADATA!$A$5:$H$29,IF(E4898="HI",2,IF(E4898="LO",6,10))+IF(D4898=1,2,IF(D4898=7,1,(IF(WEEKDAY(B4898)=1,2,IF(WEEKDAY(B4898)=7,1,0))))))</f>
        <v>3</v>
      </c>
      <c r="G4898" s="369">
        <f>VLOOKUP(C4898,METADATA!$J$5:$Q$29,IF(E4898="HI",2,IF(E4898="LO",6,10))+IF(D4898=1,2,IF(D4898=7,1,(IF(WEEKDAY(B4898)=1,2,IF(WEEKDAY(B4898)=7,1,0))))))</f>
        <v>3</v>
      </c>
      <c r="H4898" s="370">
        <v>13798.425231933594</v>
      </c>
      <c r="I4898" s="370">
        <v>11132.249755859375</v>
      </c>
      <c r="M4898" s="371">
        <f t="shared" si="305"/>
        <v>17729.171540376406</v>
      </c>
      <c r="N4898" s="329">
        <f t="shared" si="306"/>
        <v>6992.7221862792967</v>
      </c>
      <c r="T4898" s="331">
        <v>0</v>
      </c>
      <c r="U4898" s="328">
        <f>VLOOKUP(C4898,METADATA!$J$5:$Q$29,IF(E4898="HI",2,IF(E4898="LO",6,10))+IF(T4898=1,2,IF(D4898=7,1,(IF(WEEKDAY(B4898)=1,2,IF(WEEKDAY(B4898)=7,1,0))))))</f>
        <v>3</v>
      </c>
      <c r="V4898" s="328">
        <f>VLOOKUP(C4898,METADATA!$A$5:$H$29,IF(E4898="HI",2,IF(E4898="LO",6,10))+IF(T4898=1,2,IF(D4898=7,1,(IF(WEEKDAY(B4898)=1,2,IF(WEEKDAY(B4898)=7,1,0))))))</f>
        <v>3</v>
      </c>
    </row>
    <row r="4899" spans="2:22">
      <c r="B4899" s="318">
        <f t="shared" si="307"/>
        <v>46316</v>
      </c>
      <c r="C4899" s="312">
        <v>23</v>
      </c>
      <c r="D4899" s="368">
        <f>IFERROR((INDEX(METADATA!$T$2:$T$20,MATCH(B4899,METADATA!$S$2:$S$20,0))),0)</f>
        <v>0</v>
      </c>
      <c r="E4899" s="312" t="str">
        <f t="shared" si="304"/>
        <v>LO</v>
      </c>
      <c r="F4899" s="369">
        <f>VLOOKUP(C4899,METADATA!$A$5:$H$29,IF(E4899="HI",2,IF(E4899="LO",6,10))+IF(D4899=1,2,IF(D4899=7,1,(IF(WEEKDAY(B4899)=1,2,IF(WEEKDAY(B4899)=7,1,0))))))</f>
        <v>3</v>
      </c>
      <c r="G4899" s="369">
        <f>VLOOKUP(C4899,METADATA!$J$5:$Q$29,IF(E4899="HI",2,IF(E4899="LO",6,10))+IF(D4899=1,2,IF(D4899=7,1,(IF(WEEKDAY(B4899)=1,2,IF(WEEKDAY(B4899)=7,1,0))))))</f>
        <v>3</v>
      </c>
      <c r="H4899" s="370">
        <v>13416.974792480469</v>
      </c>
      <c r="I4899" s="370">
        <v>10889.5498046875</v>
      </c>
      <c r="M4899" s="371">
        <f t="shared" si="305"/>
        <v>17279.974176219879</v>
      </c>
      <c r="N4899" s="329">
        <f t="shared" si="306"/>
        <v>6864.4573669433594</v>
      </c>
      <c r="T4899" s="331">
        <v>0</v>
      </c>
      <c r="U4899" s="328">
        <f>VLOOKUP(C4899,METADATA!$J$5:$Q$29,IF(E4899="HI",2,IF(E4899="LO",6,10))+IF(T4899=1,2,IF(D4899=7,1,(IF(WEEKDAY(B4899)=1,2,IF(WEEKDAY(B4899)=7,1,0))))))</f>
        <v>3</v>
      </c>
      <c r="V4899" s="328">
        <f>VLOOKUP(C4899,METADATA!$A$5:$H$29,IF(E4899="HI",2,IF(E4899="LO",6,10))+IF(T4899=1,2,IF(D4899=7,1,(IF(WEEKDAY(B4899)=1,2,IF(WEEKDAY(B4899)=7,1,0))))))</f>
        <v>3</v>
      </c>
    </row>
    <row r="4900" spans="2:22">
      <c r="B4900" s="318">
        <f t="shared" si="307"/>
        <v>46317</v>
      </c>
      <c r="C4900" s="312">
        <v>0</v>
      </c>
      <c r="D4900" s="368">
        <f>IFERROR((INDEX(METADATA!$T$2:$T$20,MATCH(B4900,METADATA!$S$2:$S$20,0))),0)</f>
        <v>0</v>
      </c>
      <c r="E4900" s="312" t="str">
        <f t="shared" si="304"/>
        <v>LO</v>
      </c>
      <c r="F4900" s="369">
        <f>VLOOKUP(C4900,METADATA!$A$5:$H$29,IF(E4900="HI",2,IF(E4900="LO",6,10))+IF(D4900=1,2,IF(D4900=7,1,(IF(WEEKDAY(B4900)=1,2,IF(WEEKDAY(B4900)=7,1,0))))))</f>
        <v>3</v>
      </c>
      <c r="G4900" s="369">
        <f>VLOOKUP(C4900,METADATA!$J$5:$Q$29,IF(E4900="HI",2,IF(E4900="LO",6,10))+IF(D4900=1,2,IF(D4900=7,1,(IF(WEEKDAY(B4900)=1,2,IF(WEEKDAY(B4900)=7,1,0))))))</f>
        <v>3</v>
      </c>
      <c r="H4900" s="370">
        <v>13564.124755859375</v>
      </c>
      <c r="I4900" s="370">
        <v>10974.724853515625</v>
      </c>
      <c r="M4900" s="371">
        <f t="shared" si="305"/>
        <v>17447.924403862216</v>
      </c>
      <c r="N4900" s="329">
        <f t="shared" si="306"/>
        <v>6905.4874267578125</v>
      </c>
      <c r="T4900" s="331">
        <v>0</v>
      </c>
      <c r="U4900" s="328">
        <f>VLOOKUP(C4900,METADATA!$J$5:$Q$29,IF(E4900="HI",2,IF(E4900="LO",6,10))+IF(T4900=1,2,IF(D4900=7,1,(IF(WEEKDAY(B4900)=1,2,IF(WEEKDAY(B4900)=7,1,0))))))</f>
        <v>3</v>
      </c>
      <c r="V4900" s="328">
        <f>VLOOKUP(C4900,METADATA!$A$5:$H$29,IF(E4900="HI",2,IF(E4900="LO",6,10))+IF(T4900=1,2,IF(D4900=7,1,(IF(WEEKDAY(B4900)=1,2,IF(WEEKDAY(B4900)=7,1,0))))))</f>
        <v>3</v>
      </c>
    </row>
    <row r="4901" spans="2:22">
      <c r="B4901" s="318">
        <f t="shared" si="307"/>
        <v>46317</v>
      </c>
      <c r="C4901" s="312">
        <v>1</v>
      </c>
      <c r="D4901" s="368">
        <f>IFERROR((INDEX(METADATA!$T$2:$T$20,MATCH(B4901,METADATA!$S$2:$S$20,0))),0)</f>
        <v>0</v>
      </c>
      <c r="E4901" s="312" t="str">
        <f t="shared" si="304"/>
        <v>LO</v>
      </c>
      <c r="F4901" s="369">
        <f>VLOOKUP(C4901,METADATA!$A$5:$H$29,IF(E4901="HI",2,IF(E4901="LO",6,10))+IF(D4901=1,2,IF(D4901=7,1,(IF(WEEKDAY(B4901)=1,2,IF(WEEKDAY(B4901)=7,1,0))))))</f>
        <v>3</v>
      </c>
      <c r="G4901" s="369">
        <f>VLOOKUP(C4901,METADATA!$J$5:$Q$29,IF(E4901="HI",2,IF(E4901="LO",6,10))+IF(D4901=1,2,IF(D4901=7,1,(IF(WEEKDAY(B4901)=1,2,IF(WEEKDAY(B4901)=7,1,0))))))</f>
        <v>3</v>
      </c>
      <c r="H4901" s="370">
        <v>13803.965087890625</v>
      </c>
      <c r="I4901" s="370">
        <v>11122.210205078125</v>
      </c>
      <c r="M4901" s="371">
        <f t="shared" si="305"/>
        <v>17727.182855537063</v>
      </c>
      <c r="N4901" s="329">
        <f t="shared" si="306"/>
        <v>6981.0206787109373</v>
      </c>
      <c r="T4901" s="331">
        <v>0</v>
      </c>
      <c r="U4901" s="328">
        <f>VLOOKUP(C4901,METADATA!$J$5:$Q$29,IF(E4901="HI",2,IF(E4901="LO",6,10))+IF(T4901=1,2,IF(D4901=7,1,(IF(WEEKDAY(B4901)=1,2,IF(WEEKDAY(B4901)=7,1,0))))))</f>
        <v>3</v>
      </c>
      <c r="V4901" s="328">
        <f>VLOOKUP(C4901,METADATA!$A$5:$H$29,IF(E4901="HI",2,IF(E4901="LO",6,10))+IF(T4901=1,2,IF(D4901=7,1,(IF(WEEKDAY(B4901)=1,2,IF(WEEKDAY(B4901)=7,1,0))))))</f>
        <v>3</v>
      </c>
    </row>
    <row r="4902" spans="2:22">
      <c r="B4902" s="318">
        <f t="shared" si="307"/>
        <v>46317</v>
      </c>
      <c r="C4902" s="312">
        <v>2</v>
      </c>
      <c r="D4902" s="368">
        <f>IFERROR((INDEX(METADATA!$T$2:$T$20,MATCH(B4902,METADATA!$S$2:$S$20,0))),0)</f>
        <v>0</v>
      </c>
      <c r="E4902" s="312" t="str">
        <f t="shared" si="304"/>
        <v>LO</v>
      </c>
      <c r="F4902" s="369">
        <f>VLOOKUP(C4902,METADATA!$A$5:$H$29,IF(E4902="HI",2,IF(E4902="LO",6,10))+IF(D4902=1,2,IF(D4902=7,1,(IF(WEEKDAY(B4902)=1,2,IF(WEEKDAY(B4902)=7,1,0))))))</f>
        <v>3</v>
      </c>
      <c r="G4902" s="369">
        <f>VLOOKUP(C4902,METADATA!$J$5:$Q$29,IF(E4902="HI",2,IF(E4902="LO",6,10))+IF(D4902=1,2,IF(D4902=7,1,(IF(WEEKDAY(B4902)=1,2,IF(WEEKDAY(B4902)=7,1,0))))))</f>
        <v>3</v>
      </c>
      <c r="H4902" s="370">
        <v>13943.044738769531</v>
      </c>
      <c r="I4902" s="370">
        <v>11179.202331542969</v>
      </c>
      <c r="M4902" s="371">
        <f t="shared" si="305"/>
        <v>17871.291541377319</v>
      </c>
      <c r="N4902" s="329">
        <f t="shared" si="306"/>
        <v>6996.2889099121094</v>
      </c>
      <c r="T4902" s="331">
        <v>0</v>
      </c>
      <c r="U4902" s="328">
        <f>VLOOKUP(C4902,METADATA!$J$5:$Q$29,IF(E4902="HI",2,IF(E4902="LO",6,10))+IF(T4902=1,2,IF(D4902=7,1,(IF(WEEKDAY(B4902)=1,2,IF(WEEKDAY(B4902)=7,1,0))))))</f>
        <v>3</v>
      </c>
      <c r="V4902" s="328">
        <f>VLOOKUP(C4902,METADATA!$A$5:$H$29,IF(E4902="HI",2,IF(E4902="LO",6,10))+IF(T4902=1,2,IF(D4902=7,1,(IF(WEEKDAY(B4902)=1,2,IF(WEEKDAY(B4902)=7,1,0))))))</f>
        <v>3</v>
      </c>
    </row>
    <row r="4903" spans="2:22">
      <c r="B4903" s="318">
        <f t="shared" si="307"/>
        <v>46317</v>
      </c>
      <c r="C4903" s="312">
        <v>3</v>
      </c>
      <c r="D4903" s="368">
        <f>IFERROR((INDEX(METADATA!$T$2:$T$20,MATCH(B4903,METADATA!$S$2:$S$20,0))),0)</f>
        <v>0</v>
      </c>
      <c r="E4903" s="312" t="str">
        <f t="shared" si="304"/>
        <v>LO</v>
      </c>
      <c r="F4903" s="369">
        <f>VLOOKUP(C4903,METADATA!$A$5:$H$29,IF(E4903="HI",2,IF(E4903="LO",6,10))+IF(D4903=1,2,IF(D4903=7,1,(IF(WEEKDAY(B4903)=1,2,IF(WEEKDAY(B4903)=7,1,0))))))</f>
        <v>3</v>
      </c>
      <c r="G4903" s="369">
        <f>VLOOKUP(C4903,METADATA!$J$5:$Q$29,IF(E4903="HI",2,IF(E4903="LO",6,10))+IF(D4903=1,2,IF(D4903=7,1,(IF(WEEKDAY(B4903)=1,2,IF(WEEKDAY(B4903)=7,1,0))))))</f>
        <v>3</v>
      </c>
      <c r="H4903" s="370">
        <v>13690.89990234375</v>
      </c>
      <c r="I4903" s="370">
        <v>11148.950500488281</v>
      </c>
      <c r="M4903" s="371">
        <f t="shared" si="305"/>
        <v>17656.155793329817</v>
      </c>
      <c r="N4903" s="329">
        <f t="shared" si="306"/>
        <v>7041.6805297851561</v>
      </c>
      <c r="T4903" s="331">
        <v>0</v>
      </c>
      <c r="U4903" s="328">
        <f>VLOOKUP(C4903,METADATA!$J$5:$Q$29,IF(E4903="HI",2,IF(E4903="LO",6,10))+IF(T4903=1,2,IF(D4903=7,1,(IF(WEEKDAY(B4903)=1,2,IF(WEEKDAY(B4903)=7,1,0))))))</f>
        <v>3</v>
      </c>
      <c r="V4903" s="328">
        <f>VLOOKUP(C4903,METADATA!$A$5:$H$29,IF(E4903="HI",2,IF(E4903="LO",6,10))+IF(T4903=1,2,IF(D4903=7,1,(IF(WEEKDAY(B4903)=1,2,IF(WEEKDAY(B4903)=7,1,0))))))</f>
        <v>3</v>
      </c>
    </row>
    <row r="4904" spans="2:22">
      <c r="B4904" s="318">
        <f t="shared" si="307"/>
        <v>46317</v>
      </c>
      <c r="C4904" s="312">
        <v>4</v>
      </c>
      <c r="D4904" s="368">
        <f>IFERROR((INDEX(METADATA!$T$2:$T$20,MATCH(B4904,METADATA!$S$2:$S$20,0))),0)</f>
        <v>0</v>
      </c>
      <c r="E4904" s="312" t="str">
        <f t="shared" si="304"/>
        <v>LO</v>
      </c>
      <c r="F4904" s="369">
        <f>VLOOKUP(C4904,METADATA!$A$5:$H$29,IF(E4904="HI",2,IF(E4904="LO",6,10))+IF(D4904=1,2,IF(D4904=7,1,(IF(WEEKDAY(B4904)=1,2,IF(WEEKDAY(B4904)=7,1,0))))))</f>
        <v>3</v>
      </c>
      <c r="G4904" s="369">
        <f>VLOOKUP(C4904,METADATA!$J$5:$Q$29,IF(E4904="HI",2,IF(E4904="LO",6,10))+IF(D4904=1,2,IF(D4904=7,1,(IF(WEEKDAY(B4904)=1,2,IF(WEEKDAY(B4904)=7,1,0))))))</f>
        <v>3</v>
      </c>
      <c r="H4904" s="370">
        <v>13589.775146484375</v>
      </c>
      <c r="I4904" s="370">
        <v>11112.8251953125</v>
      </c>
      <c r="M4904" s="371">
        <f t="shared" si="305"/>
        <v>17554.967170393022</v>
      </c>
      <c r="N4904" s="329">
        <f t="shared" si="306"/>
        <v>7035.8926513671877</v>
      </c>
      <c r="T4904" s="331">
        <v>0</v>
      </c>
      <c r="U4904" s="328">
        <f>VLOOKUP(C4904,METADATA!$J$5:$Q$29,IF(E4904="HI",2,IF(E4904="LO",6,10))+IF(T4904=1,2,IF(D4904=7,1,(IF(WEEKDAY(B4904)=1,2,IF(WEEKDAY(B4904)=7,1,0))))))</f>
        <v>3</v>
      </c>
      <c r="V4904" s="328">
        <f>VLOOKUP(C4904,METADATA!$A$5:$H$29,IF(E4904="HI",2,IF(E4904="LO",6,10))+IF(T4904=1,2,IF(D4904=7,1,(IF(WEEKDAY(B4904)=1,2,IF(WEEKDAY(B4904)=7,1,0))))))</f>
        <v>3</v>
      </c>
    </row>
    <row r="4905" spans="2:22">
      <c r="B4905" s="318">
        <f t="shared" si="307"/>
        <v>46317</v>
      </c>
      <c r="C4905" s="312">
        <v>5</v>
      </c>
      <c r="D4905" s="368">
        <f>IFERROR((INDEX(METADATA!$T$2:$T$20,MATCH(B4905,METADATA!$S$2:$S$20,0))),0)</f>
        <v>0</v>
      </c>
      <c r="E4905" s="312" t="str">
        <f t="shared" si="304"/>
        <v>LO</v>
      </c>
      <c r="F4905" s="369">
        <f>VLOOKUP(C4905,METADATA!$A$5:$H$29,IF(E4905="HI",2,IF(E4905="LO",6,10))+IF(D4905=1,2,IF(D4905=7,1,(IF(WEEKDAY(B4905)=1,2,IF(WEEKDAY(B4905)=7,1,0))))))</f>
        <v>3</v>
      </c>
      <c r="G4905" s="369">
        <f>VLOOKUP(C4905,METADATA!$J$5:$Q$29,IF(E4905="HI",2,IF(E4905="LO",6,10))+IF(D4905=1,2,IF(D4905=7,1,(IF(WEEKDAY(B4905)=1,2,IF(WEEKDAY(B4905)=7,1,0))))))</f>
        <v>3</v>
      </c>
      <c r="H4905" s="370">
        <v>13613.125061035156</v>
      </c>
      <c r="I4905" s="370">
        <v>11007.400268554688</v>
      </c>
      <c r="M4905" s="371">
        <f t="shared" si="305"/>
        <v>17506.571183403139</v>
      </c>
      <c r="N4905" s="329">
        <f t="shared" si="306"/>
        <v>6923.4627502441408</v>
      </c>
      <c r="T4905" s="331">
        <v>0</v>
      </c>
      <c r="U4905" s="328">
        <f>VLOOKUP(C4905,METADATA!$J$5:$Q$29,IF(E4905="HI",2,IF(E4905="LO",6,10))+IF(T4905=1,2,IF(D4905=7,1,(IF(WEEKDAY(B4905)=1,2,IF(WEEKDAY(B4905)=7,1,0))))))</f>
        <v>3</v>
      </c>
      <c r="V4905" s="328">
        <f>VLOOKUP(C4905,METADATA!$A$5:$H$29,IF(E4905="HI",2,IF(E4905="LO",6,10))+IF(T4905=1,2,IF(D4905=7,1,(IF(WEEKDAY(B4905)=1,2,IF(WEEKDAY(B4905)=7,1,0))))))</f>
        <v>3</v>
      </c>
    </row>
    <row r="4906" spans="2:22">
      <c r="B4906" s="318">
        <f t="shared" si="307"/>
        <v>46317</v>
      </c>
      <c r="C4906" s="312">
        <v>6</v>
      </c>
      <c r="D4906" s="368">
        <f>IFERROR((INDEX(METADATA!$T$2:$T$20,MATCH(B4906,METADATA!$S$2:$S$20,0))),0)</f>
        <v>0</v>
      </c>
      <c r="E4906" s="312" t="str">
        <f t="shared" si="304"/>
        <v>LO</v>
      </c>
      <c r="F4906" s="369">
        <f>VLOOKUP(C4906,METADATA!$A$5:$H$29,IF(E4906="HI",2,IF(E4906="LO",6,10))+IF(D4906=1,2,IF(D4906=7,1,(IF(WEEKDAY(B4906)=1,2,IF(WEEKDAY(B4906)=7,1,0))))))</f>
        <v>2</v>
      </c>
      <c r="G4906" s="369">
        <f>VLOOKUP(C4906,METADATA!$J$5:$Q$29,IF(E4906="HI",2,IF(E4906="LO",6,10))+IF(D4906=1,2,IF(D4906=7,1,(IF(WEEKDAY(B4906)=1,2,IF(WEEKDAY(B4906)=7,1,0))))))</f>
        <v>2</v>
      </c>
      <c r="H4906" s="370">
        <v>13725.825134277344</v>
      </c>
      <c r="I4906" s="370">
        <v>10981.974975585938</v>
      </c>
      <c r="M4906" s="371">
        <f t="shared" si="305"/>
        <v>17578.454140826929</v>
      </c>
      <c r="N4906" s="329">
        <f t="shared" si="306"/>
        <v>6864.2274353027342</v>
      </c>
      <c r="T4906" s="331">
        <v>0</v>
      </c>
      <c r="U4906" s="328">
        <f>VLOOKUP(C4906,METADATA!$J$5:$Q$29,IF(E4906="HI",2,IF(E4906="LO",6,10))+IF(T4906=1,2,IF(D4906=7,1,(IF(WEEKDAY(B4906)=1,2,IF(WEEKDAY(B4906)=7,1,0))))))</f>
        <v>2</v>
      </c>
      <c r="V4906" s="328">
        <f>VLOOKUP(C4906,METADATA!$A$5:$H$29,IF(E4906="HI",2,IF(E4906="LO",6,10))+IF(T4906=1,2,IF(D4906=7,1,(IF(WEEKDAY(B4906)=1,2,IF(WEEKDAY(B4906)=7,1,0))))))</f>
        <v>2</v>
      </c>
    </row>
    <row r="4907" spans="2:22">
      <c r="B4907" s="318">
        <f t="shared" si="307"/>
        <v>46317</v>
      </c>
      <c r="C4907" s="312">
        <v>7</v>
      </c>
      <c r="D4907" s="368">
        <f>IFERROR((INDEX(METADATA!$T$2:$T$20,MATCH(B4907,METADATA!$S$2:$S$20,0))),0)</f>
        <v>0</v>
      </c>
      <c r="E4907" s="312" t="str">
        <f t="shared" si="304"/>
        <v>LO</v>
      </c>
      <c r="F4907" s="369">
        <f>VLOOKUP(C4907,METADATA!$A$5:$H$29,IF(E4907="HI",2,IF(E4907="LO",6,10))+IF(D4907=1,2,IF(D4907=7,1,(IF(WEEKDAY(B4907)=1,2,IF(WEEKDAY(B4907)=7,1,0))))))</f>
        <v>1</v>
      </c>
      <c r="G4907" s="369">
        <f>VLOOKUP(C4907,METADATA!$J$5:$Q$29,IF(E4907="HI",2,IF(E4907="LO",6,10))+IF(D4907=1,2,IF(D4907=7,1,(IF(WEEKDAY(B4907)=1,2,IF(WEEKDAY(B4907)=7,1,0))))))</f>
        <v>1</v>
      </c>
      <c r="H4907" s="370">
        <v>13680.200134277344</v>
      </c>
      <c r="I4907" s="370">
        <v>10777.500122070313</v>
      </c>
      <c r="M4907" s="371">
        <f t="shared" si="305"/>
        <v>17415.578790126598</v>
      </c>
      <c r="N4907" s="329">
        <f t="shared" si="306"/>
        <v>6673.4400817871092</v>
      </c>
      <c r="T4907" s="331">
        <v>0</v>
      </c>
      <c r="U4907" s="328">
        <f>VLOOKUP(C4907,METADATA!$J$5:$Q$29,IF(E4907="HI",2,IF(E4907="LO",6,10))+IF(T4907=1,2,IF(D4907=7,1,(IF(WEEKDAY(B4907)=1,2,IF(WEEKDAY(B4907)=7,1,0))))))</f>
        <v>1</v>
      </c>
      <c r="V4907" s="328">
        <f>VLOOKUP(C4907,METADATA!$A$5:$H$29,IF(E4907="HI",2,IF(E4907="LO",6,10))+IF(T4907=1,2,IF(D4907=7,1,(IF(WEEKDAY(B4907)=1,2,IF(WEEKDAY(B4907)=7,1,0))))))</f>
        <v>1</v>
      </c>
    </row>
    <row r="4908" spans="2:22">
      <c r="B4908" s="318">
        <f t="shared" si="307"/>
        <v>46317</v>
      </c>
      <c r="C4908" s="312">
        <v>8</v>
      </c>
      <c r="D4908" s="368">
        <f>IFERROR((INDEX(METADATA!$T$2:$T$20,MATCH(B4908,METADATA!$S$2:$S$20,0))),0)</f>
        <v>0</v>
      </c>
      <c r="E4908" s="312" t="str">
        <f t="shared" si="304"/>
        <v>LO</v>
      </c>
      <c r="F4908" s="369">
        <f>VLOOKUP(C4908,METADATA!$A$5:$H$29,IF(E4908="HI",2,IF(E4908="LO",6,10))+IF(D4908=1,2,IF(D4908=7,1,(IF(WEEKDAY(B4908)=1,2,IF(WEEKDAY(B4908)=7,1,0))))))</f>
        <v>1</v>
      </c>
      <c r="G4908" s="369">
        <f>VLOOKUP(C4908,METADATA!$J$5:$Q$29,IF(E4908="HI",2,IF(E4908="LO",6,10))+IF(D4908=1,2,IF(D4908=7,1,(IF(WEEKDAY(B4908)=1,2,IF(WEEKDAY(B4908)=7,1,0))))))</f>
        <v>1</v>
      </c>
      <c r="H4908" s="370">
        <v>13538.125122070313</v>
      </c>
      <c r="I4908" s="370">
        <v>10586.749938964844</v>
      </c>
      <c r="M4908" s="371">
        <f t="shared" si="305"/>
        <v>17186.043933698162</v>
      </c>
      <c r="N4908" s="329">
        <f t="shared" si="306"/>
        <v>6525.3124023437504</v>
      </c>
      <c r="T4908" s="331">
        <v>0</v>
      </c>
      <c r="U4908" s="328">
        <f>VLOOKUP(C4908,METADATA!$J$5:$Q$29,IF(E4908="HI",2,IF(E4908="LO",6,10))+IF(T4908=1,2,IF(D4908=7,1,(IF(WEEKDAY(B4908)=1,2,IF(WEEKDAY(B4908)=7,1,0))))))</f>
        <v>1</v>
      </c>
      <c r="V4908" s="328">
        <f>VLOOKUP(C4908,METADATA!$A$5:$H$29,IF(E4908="HI",2,IF(E4908="LO",6,10))+IF(T4908=1,2,IF(D4908=7,1,(IF(WEEKDAY(B4908)=1,2,IF(WEEKDAY(B4908)=7,1,0))))))</f>
        <v>1</v>
      </c>
    </row>
    <row r="4909" spans="2:22">
      <c r="B4909" s="318">
        <f t="shared" si="307"/>
        <v>46317</v>
      </c>
      <c r="C4909" s="312">
        <v>9</v>
      </c>
      <c r="D4909" s="368">
        <f>IFERROR((INDEX(METADATA!$T$2:$T$20,MATCH(B4909,METADATA!$S$2:$S$20,0))),0)</f>
        <v>0</v>
      </c>
      <c r="E4909" s="312" t="str">
        <f t="shared" si="304"/>
        <v>LO</v>
      </c>
      <c r="F4909" s="369">
        <f>VLOOKUP(C4909,METADATA!$A$5:$H$29,IF(E4909="HI",2,IF(E4909="LO",6,10))+IF(D4909=1,2,IF(D4909=7,1,(IF(WEEKDAY(B4909)=1,2,IF(WEEKDAY(B4909)=7,1,0))))))</f>
        <v>2</v>
      </c>
      <c r="G4909" s="369">
        <f>VLOOKUP(C4909,METADATA!$J$5:$Q$29,IF(E4909="HI",2,IF(E4909="LO",6,10))+IF(D4909=1,2,IF(D4909=7,1,(IF(WEEKDAY(B4909)=1,2,IF(WEEKDAY(B4909)=7,1,0))))))</f>
        <v>2</v>
      </c>
      <c r="H4909" s="370">
        <v>13578.324584960938</v>
      </c>
      <c r="I4909" s="370">
        <v>10584.000061035156</v>
      </c>
      <c r="M4909" s="371">
        <f t="shared" si="305"/>
        <v>17216.03775049726</v>
      </c>
      <c r="N4909" s="329">
        <f t="shared" si="306"/>
        <v>6510.502685546875</v>
      </c>
      <c r="T4909" s="331">
        <v>0</v>
      </c>
      <c r="U4909" s="328">
        <f>VLOOKUP(C4909,METADATA!$J$5:$Q$29,IF(E4909="HI",2,IF(E4909="LO",6,10))+IF(T4909=1,2,IF(D4909=7,1,(IF(WEEKDAY(B4909)=1,2,IF(WEEKDAY(B4909)=7,1,0))))))</f>
        <v>2</v>
      </c>
      <c r="V4909" s="328">
        <f>VLOOKUP(C4909,METADATA!$A$5:$H$29,IF(E4909="HI",2,IF(E4909="LO",6,10))+IF(T4909=1,2,IF(D4909=7,1,(IF(WEEKDAY(B4909)=1,2,IF(WEEKDAY(B4909)=7,1,0))))))</f>
        <v>2</v>
      </c>
    </row>
    <row r="4910" spans="2:22">
      <c r="B4910" s="318">
        <f t="shared" si="307"/>
        <v>46317</v>
      </c>
      <c r="C4910" s="312">
        <v>10</v>
      </c>
      <c r="D4910" s="368">
        <f>IFERROR((INDEX(METADATA!$T$2:$T$20,MATCH(B4910,METADATA!$S$2:$S$20,0))),0)</f>
        <v>0</v>
      </c>
      <c r="E4910" s="312" t="str">
        <f t="shared" si="304"/>
        <v>LO</v>
      </c>
      <c r="F4910" s="369">
        <f>VLOOKUP(C4910,METADATA!$A$5:$H$29,IF(E4910="HI",2,IF(E4910="LO",6,10))+IF(D4910=1,2,IF(D4910=7,1,(IF(WEEKDAY(B4910)=1,2,IF(WEEKDAY(B4910)=7,1,0))))))</f>
        <v>2</v>
      </c>
      <c r="G4910" s="369">
        <f>VLOOKUP(C4910,METADATA!$J$5:$Q$29,IF(E4910="HI",2,IF(E4910="LO",6,10))+IF(D4910=1,2,IF(D4910=7,1,(IF(WEEKDAY(B4910)=1,2,IF(WEEKDAY(B4910)=7,1,0))))))</f>
        <v>2</v>
      </c>
      <c r="H4910" s="370">
        <v>13658.175231933594</v>
      </c>
      <c r="I4910" s="370">
        <v>10611.525024414063</v>
      </c>
      <c r="M4910" s="371">
        <f t="shared" si="305"/>
        <v>17295.959470638514</v>
      </c>
      <c r="N4910" s="329">
        <f t="shared" si="306"/>
        <v>6514.0724548339849</v>
      </c>
      <c r="T4910" s="331">
        <v>0</v>
      </c>
      <c r="U4910" s="328">
        <f>VLOOKUP(C4910,METADATA!$J$5:$Q$29,IF(E4910="HI",2,IF(E4910="LO",6,10))+IF(T4910=1,2,IF(D4910=7,1,(IF(WEEKDAY(B4910)=1,2,IF(WEEKDAY(B4910)=7,1,0))))))</f>
        <v>2</v>
      </c>
      <c r="V4910" s="328">
        <f>VLOOKUP(C4910,METADATA!$A$5:$H$29,IF(E4910="HI",2,IF(E4910="LO",6,10))+IF(T4910=1,2,IF(D4910=7,1,(IF(WEEKDAY(B4910)=1,2,IF(WEEKDAY(B4910)=7,1,0))))))</f>
        <v>2</v>
      </c>
    </row>
    <row r="4911" spans="2:22">
      <c r="B4911" s="318">
        <f t="shared" si="307"/>
        <v>46317</v>
      </c>
      <c r="C4911" s="312">
        <v>11</v>
      </c>
      <c r="D4911" s="368">
        <f>IFERROR((INDEX(METADATA!$T$2:$T$20,MATCH(B4911,METADATA!$S$2:$S$20,0))),0)</f>
        <v>0</v>
      </c>
      <c r="E4911" s="312" t="str">
        <f t="shared" si="304"/>
        <v>LO</v>
      </c>
      <c r="F4911" s="369">
        <f>VLOOKUP(C4911,METADATA!$A$5:$H$29,IF(E4911="HI",2,IF(E4911="LO",6,10))+IF(D4911=1,2,IF(D4911=7,1,(IF(WEEKDAY(B4911)=1,2,IF(WEEKDAY(B4911)=7,1,0))))))</f>
        <v>2</v>
      </c>
      <c r="G4911" s="369">
        <f>VLOOKUP(C4911,METADATA!$J$5:$Q$29,IF(E4911="HI",2,IF(E4911="LO",6,10))+IF(D4911=1,2,IF(D4911=7,1,(IF(WEEKDAY(B4911)=1,2,IF(WEEKDAY(B4911)=7,1,0))))))</f>
        <v>2</v>
      </c>
      <c r="H4911" s="370">
        <v>13915.300048828125</v>
      </c>
      <c r="I4911" s="370">
        <v>10762.049743652344</v>
      </c>
      <c r="M4911" s="371">
        <f t="shared" si="305"/>
        <v>17591.3981858681</v>
      </c>
      <c r="N4911" s="329">
        <f t="shared" si="306"/>
        <v>6587.4597290039064</v>
      </c>
      <c r="T4911" s="331">
        <v>0</v>
      </c>
      <c r="U4911" s="328">
        <f>VLOOKUP(C4911,METADATA!$J$5:$Q$29,IF(E4911="HI",2,IF(E4911="LO",6,10))+IF(T4911=1,2,IF(D4911=7,1,(IF(WEEKDAY(B4911)=1,2,IF(WEEKDAY(B4911)=7,1,0))))))</f>
        <v>2</v>
      </c>
      <c r="V4911" s="328">
        <f>VLOOKUP(C4911,METADATA!$A$5:$H$29,IF(E4911="HI",2,IF(E4911="LO",6,10))+IF(T4911=1,2,IF(D4911=7,1,(IF(WEEKDAY(B4911)=1,2,IF(WEEKDAY(B4911)=7,1,0))))))</f>
        <v>2</v>
      </c>
    </row>
    <row r="4912" spans="2:22">
      <c r="B4912" s="318">
        <f t="shared" si="307"/>
        <v>46317</v>
      </c>
      <c r="C4912" s="312">
        <v>12</v>
      </c>
      <c r="D4912" s="368">
        <f>IFERROR((INDEX(METADATA!$T$2:$T$20,MATCH(B4912,METADATA!$S$2:$S$20,0))),0)</f>
        <v>0</v>
      </c>
      <c r="E4912" s="312" t="str">
        <f t="shared" si="304"/>
        <v>LO</v>
      </c>
      <c r="F4912" s="369">
        <f>VLOOKUP(C4912,METADATA!$A$5:$H$29,IF(E4912="HI",2,IF(E4912="LO",6,10))+IF(D4912=1,2,IF(D4912=7,1,(IF(WEEKDAY(B4912)=1,2,IF(WEEKDAY(B4912)=7,1,0))))))</f>
        <v>2</v>
      </c>
      <c r="G4912" s="369">
        <f>VLOOKUP(C4912,METADATA!$J$5:$Q$29,IF(E4912="HI",2,IF(E4912="LO",6,10))+IF(D4912=1,2,IF(D4912=7,1,(IF(WEEKDAY(B4912)=1,2,IF(WEEKDAY(B4912)=7,1,0))))))</f>
        <v>2</v>
      </c>
      <c r="H4912" s="370">
        <v>13661.075134277344</v>
      </c>
      <c r="I4912" s="370">
        <v>10710.175048828125</v>
      </c>
      <c r="M4912" s="371">
        <f t="shared" si="305"/>
        <v>17358.940733838321</v>
      </c>
      <c r="N4912" s="329">
        <f t="shared" si="306"/>
        <v>6611.8525085449219</v>
      </c>
      <c r="T4912" s="331">
        <v>0</v>
      </c>
      <c r="U4912" s="328">
        <f>VLOOKUP(C4912,METADATA!$J$5:$Q$29,IF(E4912="HI",2,IF(E4912="LO",6,10))+IF(T4912=1,2,IF(D4912=7,1,(IF(WEEKDAY(B4912)=1,2,IF(WEEKDAY(B4912)=7,1,0))))))</f>
        <v>2</v>
      </c>
      <c r="V4912" s="328">
        <f>VLOOKUP(C4912,METADATA!$A$5:$H$29,IF(E4912="HI",2,IF(E4912="LO",6,10))+IF(T4912=1,2,IF(D4912=7,1,(IF(WEEKDAY(B4912)=1,2,IF(WEEKDAY(B4912)=7,1,0))))))</f>
        <v>2</v>
      </c>
    </row>
    <row r="4913" spans="2:22">
      <c r="B4913" s="318">
        <f t="shared" si="307"/>
        <v>46317</v>
      </c>
      <c r="C4913" s="312">
        <v>13</v>
      </c>
      <c r="D4913" s="368">
        <f>IFERROR((INDEX(METADATA!$T$2:$T$20,MATCH(B4913,METADATA!$S$2:$S$20,0))),0)</f>
        <v>0</v>
      </c>
      <c r="E4913" s="312" t="str">
        <f t="shared" si="304"/>
        <v>LO</v>
      </c>
      <c r="F4913" s="369">
        <f>VLOOKUP(C4913,METADATA!$A$5:$H$29,IF(E4913="HI",2,IF(E4913="LO",6,10))+IF(D4913=1,2,IF(D4913=7,1,(IF(WEEKDAY(B4913)=1,2,IF(WEEKDAY(B4913)=7,1,0))))))</f>
        <v>2</v>
      </c>
      <c r="G4913" s="369">
        <f>VLOOKUP(C4913,METADATA!$J$5:$Q$29,IF(E4913="HI",2,IF(E4913="LO",6,10))+IF(D4913=1,2,IF(D4913=7,1,(IF(WEEKDAY(B4913)=1,2,IF(WEEKDAY(B4913)=7,1,0))))))</f>
        <v>2</v>
      </c>
      <c r="H4913" s="370">
        <v>13692.000122070313</v>
      </c>
      <c r="I4913" s="370">
        <v>10799.975036621094</v>
      </c>
      <c r="M4913" s="371">
        <f t="shared" si="305"/>
        <v>17438.759363395442</v>
      </c>
      <c r="N4913" s="329">
        <f t="shared" si="306"/>
        <v>6692.375</v>
      </c>
      <c r="T4913" s="331">
        <v>0</v>
      </c>
      <c r="U4913" s="328">
        <f>VLOOKUP(C4913,METADATA!$J$5:$Q$29,IF(E4913="HI",2,IF(E4913="LO",6,10))+IF(T4913=1,2,IF(D4913=7,1,(IF(WEEKDAY(B4913)=1,2,IF(WEEKDAY(B4913)=7,1,0))))))</f>
        <v>2</v>
      </c>
      <c r="V4913" s="328">
        <f>VLOOKUP(C4913,METADATA!$A$5:$H$29,IF(E4913="HI",2,IF(E4913="LO",6,10))+IF(T4913=1,2,IF(D4913=7,1,(IF(WEEKDAY(B4913)=1,2,IF(WEEKDAY(B4913)=7,1,0))))))</f>
        <v>2</v>
      </c>
    </row>
    <row r="4914" spans="2:22">
      <c r="B4914" s="318">
        <f t="shared" si="307"/>
        <v>46317</v>
      </c>
      <c r="C4914" s="312">
        <v>14</v>
      </c>
      <c r="D4914" s="368">
        <f>IFERROR((INDEX(METADATA!$T$2:$T$20,MATCH(B4914,METADATA!$S$2:$S$20,0))),0)</f>
        <v>0</v>
      </c>
      <c r="E4914" s="312" t="str">
        <f t="shared" si="304"/>
        <v>LO</v>
      </c>
      <c r="F4914" s="369">
        <f>VLOOKUP(C4914,METADATA!$A$5:$H$29,IF(E4914="HI",2,IF(E4914="LO",6,10))+IF(D4914=1,2,IF(D4914=7,1,(IF(WEEKDAY(B4914)=1,2,IF(WEEKDAY(B4914)=7,1,0))))))</f>
        <v>2</v>
      </c>
      <c r="G4914" s="369">
        <f>VLOOKUP(C4914,METADATA!$J$5:$Q$29,IF(E4914="HI",2,IF(E4914="LO",6,10))+IF(D4914=1,2,IF(D4914=7,1,(IF(WEEKDAY(B4914)=1,2,IF(WEEKDAY(B4914)=7,1,0))))))</f>
        <v>2</v>
      </c>
      <c r="H4914" s="370">
        <v>13654.050231933594</v>
      </c>
      <c r="I4914" s="370">
        <v>10929.350158691406</v>
      </c>
      <c r="M4914" s="371">
        <f t="shared" si="305"/>
        <v>17489.533516576528</v>
      </c>
      <c r="N4914" s="329">
        <f t="shared" si="306"/>
        <v>6833.1350891113279</v>
      </c>
      <c r="T4914" s="331">
        <v>0</v>
      </c>
      <c r="U4914" s="328">
        <f>VLOOKUP(C4914,METADATA!$J$5:$Q$29,IF(E4914="HI",2,IF(E4914="LO",6,10))+IF(T4914=1,2,IF(D4914=7,1,(IF(WEEKDAY(B4914)=1,2,IF(WEEKDAY(B4914)=7,1,0))))))</f>
        <v>2</v>
      </c>
      <c r="V4914" s="328">
        <f>VLOOKUP(C4914,METADATA!$A$5:$H$29,IF(E4914="HI",2,IF(E4914="LO",6,10))+IF(T4914=1,2,IF(D4914=7,1,(IF(WEEKDAY(B4914)=1,2,IF(WEEKDAY(B4914)=7,1,0))))))</f>
        <v>2</v>
      </c>
    </row>
    <row r="4915" spans="2:22">
      <c r="B4915" s="318">
        <f t="shared" si="307"/>
        <v>46317</v>
      </c>
      <c r="C4915" s="312">
        <v>15</v>
      </c>
      <c r="D4915" s="368">
        <f>IFERROR((INDEX(METADATA!$T$2:$T$20,MATCH(B4915,METADATA!$S$2:$S$20,0))),0)</f>
        <v>0</v>
      </c>
      <c r="E4915" s="312" t="str">
        <f t="shared" si="304"/>
        <v>LO</v>
      </c>
      <c r="F4915" s="369">
        <f>VLOOKUP(C4915,METADATA!$A$5:$H$29,IF(E4915="HI",2,IF(E4915="LO",6,10))+IF(D4915=1,2,IF(D4915=7,1,(IF(WEEKDAY(B4915)=1,2,IF(WEEKDAY(B4915)=7,1,0))))))</f>
        <v>2</v>
      </c>
      <c r="G4915" s="369">
        <f>VLOOKUP(C4915,METADATA!$J$5:$Q$29,IF(E4915="HI",2,IF(E4915="LO",6,10))+IF(D4915=1,2,IF(D4915=7,1,(IF(WEEKDAY(B4915)=1,2,IF(WEEKDAY(B4915)=7,1,0))))))</f>
        <v>2</v>
      </c>
      <c r="H4915" s="370">
        <v>13815.225524902344</v>
      </c>
      <c r="I4915" s="370">
        <v>10955.02490234375</v>
      </c>
      <c r="M4915" s="371">
        <f t="shared" si="305"/>
        <v>17631.591729474821</v>
      </c>
      <c r="N4915" s="329">
        <f t="shared" si="306"/>
        <v>6810.4572448730469</v>
      </c>
      <c r="T4915" s="331">
        <v>0</v>
      </c>
      <c r="U4915" s="328">
        <f>VLOOKUP(C4915,METADATA!$J$5:$Q$29,IF(E4915="HI",2,IF(E4915="LO",6,10))+IF(T4915=1,2,IF(D4915=7,1,(IF(WEEKDAY(B4915)=1,2,IF(WEEKDAY(B4915)=7,1,0))))))</f>
        <v>2</v>
      </c>
      <c r="V4915" s="328">
        <f>VLOOKUP(C4915,METADATA!$A$5:$H$29,IF(E4915="HI",2,IF(E4915="LO",6,10))+IF(T4915=1,2,IF(D4915=7,1,(IF(WEEKDAY(B4915)=1,2,IF(WEEKDAY(B4915)=7,1,0))))))</f>
        <v>2</v>
      </c>
    </row>
    <row r="4916" spans="2:22">
      <c r="B4916" s="318">
        <f t="shared" si="307"/>
        <v>46317</v>
      </c>
      <c r="C4916" s="312">
        <v>16</v>
      </c>
      <c r="D4916" s="368">
        <f>IFERROR((INDEX(METADATA!$T$2:$T$20,MATCH(B4916,METADATA!$S$2:$S$20,0))),0)</f>
        <v>0</v>
      </c>
      <c r="E4916" s="312" t="str">
        <f t="shared" si="304"/>
        <v>LO</v>
      </c>
      <c r="F4916" s="369">
        <f>VLOOKUP(C4916,METADATA!$A$5:$H$29,IF(E4916="HI",2,IF(E4916="LO",6,10))+IF(D4916=1,2,IF(D4916=7,1,(IF(WEEKDAY(B4916)=1,2,IF(WEEKDAY(B4916)=7,1,0))))))</f>
        <v>2</v>
      </c>
      <c r="G4916" s="369">
        <f>VLOOKUP(C4916,METADATA!$J$5:$Q$29,IF(E4916="HI",2,IF(E4916="LO",6,10))+IF(D4916=1,2,IF(D4916=7,1,(IF(WEEKDAY(B4916)=1,2,IF(WEEKDAY(B4916)=7,1,0))))))</f>
        <v>2</v>
      </c>
      <c r="H4916" s="370">
        <v>13724.125061035156</v>
      </c>
      <c r="I4916" s="370">
        <v>10928.500061035156</v>
      </c>
      <c r="M4916" s="371">
        <f t="shared" si="305"/>
        <v>17543.76590914786</v>
      </c>
      <c r="N4916" s="329">
        <f t="shared" si="306"/>
        <v>6811.2625427246094</v>
      </c>
      <c r="T4916" s="331">
        <v>0</v>
      </c>
      <c r="U4916" s="328">
        <f>VLOOKUP(C4916,METADATA!$J$5:$Q$29,IF(E4916="HI",2,IF(E4916="LO",6,10))+IF(T4916=1,2,IF(D4916=7,1,(IF(WEEKDAY(B4916)=1,2,IF(WEEKDAY(B4916)=7,1,0))))))</f>
        <v>2</v>
      </c>
      <c r="V4916" s="328">
        <f>VLOOKUP(C4916,METADATA!$A$5:$H$29,IF(E4916="HI",2,IF(E4916="LO",6,10))+IF(T4916=1,2,IF(D4916=7,1,(IF(WEEKDAY(B4916)=1,2,IF(WEEKDAY(B4916)=7,1,0))))))</f>
        <v>2</v>
      </c>
    </row>
    <row r="4917" spans="2:22">
      <c r="B4917" s="318">
        <f t="shared" si="307"/>
        <v>46317</v>
      </c>
      <c r="C4917" s="312">
        <v>17</v>
      </c>
      <c r="D4917" s="368">
        <f>IFERROR((INDEX(METADATA!$T$2:$T$20,MATCH(B4917,METADATA!$S$2:$S$20,0))),0)</f>
        <v>0</v>
      </c>
      <c r="E4917" s="312" t="str">
        <f t="shared" si="304"/>
        <v>LO</v>
      </c>
      <c r="F4917" s="369">
        <f>VLOOKUP(C4917,METADATA!$A$5:$H$29,IF(E4917="HI",2,IF(E4917="LO",6,10))+IF(D4917=1,2,IF(D4917=7,1,(IF(WEEKDAY(B4917)=1,2,IF(WEEKDAY(B4917)=7,1,0))))))</f>
        <v>2</v>
      </c>
      <c r="G4917" s="369">
        <f>VLOOKUP(C4917,METADATA!$J$5:$Q$29,IF(E4917="HI",2,IF(E4917="LO",6,10))+IF(D4917=1,2,IF(D4917=7,1,(IF(WEEKDAY(B4917)=1,2,IF(WEEKDAY(B4917)=7,1,0))))))</f>
        <v>2</v>
      </c>
      <c r="H4917" s="370">
        <v>13679.575073242188</v>
      </c>
      <c r="I4917" s="370">
        <v>10988.774780273438</v>
      </c>
      <c r="M4917" s="371">
        <f t="shared" si="305"/>
        <v>17546.622049729187</v>
      </c>
      <c r="N4917" s="329">
        <f t="shared" si="306"/>
        <v>6884.9022583007818</v>
      </c>
      <c r="T4917" s="331">
        <v>0</v>
      </c>
      <c r="U4917" s="328">
        <f>VLOOKUP(C4917,METADATA!$J$5:$Q$29,IF(E4917="HI",2,IF(E4917="LO",6,10))+IF(T4917=1,2,IF(D4917=7,1,(IF(WEEKDAY(B4917)=1,2,IF(WEEKDAY(B4917)=7,1,0))))))</f>
        <v>2</v>
      </c>
      <c r="V4917" s="328">
        <f>VLOOKUP(C4917,METADATA!$A$5:$H$29,IF(E4917="HI",2,IF(E4917="LO",6,10))+IF(T4917=1,2,IF(D4917=7,1,(IF(WEEKDAY(B4917)=1,2,IF(WEEKDAY(B4917)=7,1,0))))))</f>
        <v>2</v>
      </c>
    </row>
    <row r="4918" spans="2:22">
      <c r="B4918" s="318">
        <f t="shared" si="307"/>
        <v>46317</v>
      </c>
      <c r="C4918" s="312">
        <v>18</v>
      </c>
      <c r="D4918" s="368">
        <f>IFERROR((INDEX(METADATA!$T$2:$T$20,MATCH(B4918,METADATA!$S$2:$S$20,0))),0)</f>
        <v>0</v>
      </c>
      <c r="E4918" s="312" t="str">
        <f t="shared" si="304"/>
        <v>LO</v>
      </c>
      <c r="F4918" s="369">
        <f>VLOOKUP(C4918,METADATA!$A$5:$H$29,IF(E4918="HI",2,IF(E4918="LO",6,10))+IF(D4918=1,2,IF(D4918=7,1,(IF(WEEKDAY(B4918)=1,2,IF(WEEKDAY(B4918)=7,1,0))))))</f>
        <v>1</v>
      </c>
      <c r="G4918" s="369">
        <f>VLOOKUP(C4918,METADATA!$J$5:$Q$29,IF(E4918="HI",2,IF(E4918="LO",6,10))+IF(D4918=1,2,IF(D4918=7,1,(IF(WEEKDAY(B4918)=1,2,IF(WEEKDAY(B4918)=7,1,0))))))</f>
        <v>1</v>
      </c>
      <c r="H4918" s="370">
        <v>13586.974914550781</v>
      </c>
      <c r="I4918" s="370">
        <v>10825.499877929688</v>
      </c>
      <c r="M4918" s="371">
        <f t="shared" si="305"/>
        <v>17372.315186401836</v>
      </c>
      <c r="N4918" s="329">
        <f t="shared" si="306"/>
        <v>6749.4074035644535</v>
      </c>
      <c r="T4918" s="331">
        <v>0</v>
      </c>
      <c r="U4918" s="328">
        <f>VLOOKUP(C4918,METADATA!$J$5:$Q$29,IF(E4918="HI",2,IF(E4918="LO",6,10))+IF(T4918=1,2,IF(D4918=7,1,(IF(WEEKDAY(B4918)=1,2,IF(WEEKDAY(B4918)=7,1,0))))))</f>
        <v>1</v>
      </c>
      <c r="V4918" s="328">
        <f>VLOOKUP(C4918,METADATA!$A$5:$H$29,IF(E4918="HI",2,IF(E4918="LO",6,10))+IF(T4918=1,2,IF(D4918=7,1,(IF(WEEKDAY(B4918)=1,2,IF(WEEKDAY(B4918)=7,1,0))))))</f>
        <v>1</v>
      </c>
    </row>
    <row r="4919" spans="2:22">
      <c r="B4919" s="318">
        <f t="shared" si="307"/>
        <v>46317</v>
      </c>
      <c r="C4919" s="312">
        <v>19</v>
      </c>
      <c r="D4919" s="368">
        <f>IFERROR((INDEX(METADATA!$T$2:$T$20,MATCH(B4919,METADATA!$S$2:$S$20,0))),0)</f>
        <v>0</v>
      </c>
      <c r="E4919" s="312" t="str">
        <f t="shared" si="304"/>
        <v>LO</v>
      </c>
      <c r="F4919" s="369">
        <f>VLOOKUP(C4919,METADATA!$A$5:$H$29,IF(E4919="HI",2,IF(E4919="LO",6,10))+IF(D4919=1,2,IF(D4919=7,1,(IF(WEEKDAY(B4919)=1,2,IF(WEEKDAY(B4919)=7,1,0))))))</f>
        <v>1</v>
      </c>
      <c r="G4919" s="369">
        <f>VLOOKUP(C4919,METADATA!$J$5:$Q$29,IF(E4919="HI",2,IF(E4919="LO",6,10))+IF(D4919=1,2,IF(D4919=7,1,(IF(WEEKDAY(B4919)=1,2,IF(WEEKDAY(B4919)=7,1,0))))))</f>
        <v>1</v>
      </c>
      <c r="H4919" s="370">
        <v>13637.525024414063</v>
      </c>
      <c r="I4919" s="370">
        <v>10809.300048828125</v>
      </c>
      <c r="M4919" s="371">
        <f t="shared" si="305"/>
        <v>17401.811869374851</v>
      </c>
      <c r="N4919" s="329">
        <f t="shared" si="306"/>
        <v>6718.0425415039063</v>
      </c>
      <c r="T4919" s="331">
        <v>0</v>
      </c>
      <c r="U4919" s="328">
        <f>VLOOKUP(C4919,METADATA!$J$5:$Q$29,IF(E4919="HI",2,IF(E4919="LO",6,10))+IF(T4919=1,2,IF(D4919=7,1,(IF(WEEKDAY(B4919)=1,2,IF(WEEKDAY(B4919)=7,1,0))))))</f>
        <v>1</v>
      </c>
      <c r="V4919" s="328">
        <f>VLOOKUP(C4919,METADATA!$A$5:$H$29,IF(E4919="HI",2,IF(E4919="LO",6,10))+IF(T4919=1,2,IF(D4919=7,1,(IF(WEEKDAY(B4919)=1,2,IF(WEEKDAY(B4919)=7,1,0))))))</f>
        <v>1</v>
      </c>
    </row>
    <row r="4920" spans="2:22">
      <c r="B4920" s="318">
        <f t="shared" si="307"/>
        <v>46317</v>
      </c>
      <c r="C4920" s="312">
        <v>20</v>
      </c>
      <c r="D4920" s="368">
        <f>IFERROR((INDEX(METADATA!$T$2:$T$20,MATCH(B4920,METADATA!$S$2:$S$20,0))),0)</f>
        <v>0</v>
      </c>
      <c r="E4920" s="312" t="str">
        <f t="shared" si="304"/>
        <v>LO</v>
      </c>
      <c r="F4920" s="369">
        <f>VLOOKUP(C4920,METADATA!$A$5:$H$29,IF(E4920="HI",2,IF(E4920="LO",6,10))+IF(D4920=1,2,IF(D4920=7,1,(IF(WEEKDAY(B4920)=1,2,IF(WEEKDAY(B4920)=7,1,0))))))</f>
        <v>1</v>
      </c>
      <c r="G4920" s="369">
        <f>VLOOKUP(C4920,METADATA!$J$5:$Q$29,IF(E4920="HI",2,IF(E4920="LO",6,10))+IF(D4920=1,2,IF(D4920=7,1,(IF(WEEKDAY(B4920)=1,2,IF(WEEKDAY(B4920)=7,1,0))))))</f>
        <v>1</v>
      </c>
      <c r="H4920" s="370">
        <v>13554.350158691406</v>
      </c>
      <c r="I4920" s="370">
        <v>10851.22509765625</v>
      </c>
      <c r="M4920" s="371">
        <f t="shared" si="305"/>
        <v>17362.876902875934</v>
      </c>
      <c r="N4920" s="329">
        <f t="shared" si="306"/>
        <v>6784.9200500488278</v>
      </c>
      <c r="T4920" s="331">
        <v>0</v>
      </c>
      <c r="U4920" s="328">
        <f>VLOOKUP(C4920,METADATA!$J$5:$Q$29,IF(E4920="HI",2,IF(E4920="LO",6,10))+IF(T4920=1,2,IF(D4920=7,1,(IF(WEEKDAY(B4920)=1,2,IF(WEEKDAY(B4920)=7,1,0))))))</f>
        <v>1</v>
      </c>
      <c r="V4920" s="328">
        <f>VLOOKUP(C4920,METADATA!$A$5:$H$29,IF(E4920="HI",2,IF(E4920="LO",6,10))+IF(T4920=1,2,IF(D4920=7,1,(IF(WEEKDAY(B4920)=1,2,IF(WEEKDAY(B4920)=7,1,0))))))</f>
        <v>1</v>
      </c>
    </row>
    <row r="4921" spans="2:22">
      <c r="B4921" s="318">
        <f t="shared" si="307"/>
        <v>46317</v>
      </c>
      <c r="C4921" s="312">
        <v>21</v>
      </c>
      <c r="D4921" s="368">
        <f>IFERROR((INDEX(METADATA!$T$2:$T$20,MATCH(B4921,METADATA!$S$2:$S$20,0))),0)</f>
        <v>0</v>
      </c>
      <c r="E4921" s="312" t="str">
        <f t="shared" si="304"/>
        <v>LO</v>
      </c>
      <c r="F4921" s="369">
        <f>VLOOKUP(C4921,METADATA!$A$5:$H$29,IF(E4921="HI",2,IF(E4921="LO",6,10))+IF(D4921=1,2,IF(D4921=7,1,(IF(WEEKDAY(B4921)=1,2,IF(WEEKDAY(B4921)=7,1,0))))))</f>
        <v>2</v>
      </c>
      <c r="G4921" s="369">
        <f>VLOOKUP(C4921,METADATA!$J$5:$Q$29,IF(E4921="HI",2,IF(E4921="LO",6,10))+IF(D4921=1,2,IF(D4921=7,1,(IF(WEEKDAY(B4921)=1,2,IF(WEEKDAY(B4921)=7,1,0))))))</f>
        <v>2</v>
      </c>
      <c r="H4921" s="370">
        <v>13666.349914550781</v>
      </c>
      <c r="I4921" s="370">
        <v>10953.975219726563</v>
      </c>
      <c r="M4921" s="371">
        <f t="shared" si="305"/>
        <v>17514.528058195738</v>
      </c>
      <c r="N4921" s="329">
        <f t="shared" si="306"/>
        <v>6854.0702453613285</v>
      </c>
      <c r="T4921" s="331">
        <v>0</v>
      </c>
      <c r="U4921" s="328">
        <f>VLOOKUP(C4921,METADATA!$J$5:$Q$29,IF(E4921="HI",2,IF(E4921="LO",6,10))+IF(T4921=1,2,IF(D4921=7,1,(IF(WEEKDAY(B4921)=1,2,IF(WEEKDAY(B4921)=7,1,0))))))</f>
        <v>2</v>
      </c>
      <c r="V4921" s="328">
        <f>VLOOKUP(C4921,METADATA!$A$5:$H$29,IF(E4921="HI",2,IF(E4921="LO",6,10))+IF(T4921=1,2,IF(D4921=7,1,(IF(WEEKDAY(B4921)=1,2,IF(WEEKDAY(B4921)=7,1,0))))))</f>
        <v>2</v>
      </c>
    </row>
    <row r="4922" spans="2:22">
      <c r="B4922" s="318">
        <f t="shared" si="307"/>
        <v>46317</v>
      </c>
      <c r="C4922" s="312">
        <v>22</v>
      </c>
      <c r="D4922" s="368">
        <f>IFERROR((INDEX(METADATA!$T$2:$T$20,MATCH(B4922,METADATA!$S$2:$S$20,0))),0)</f>
        <v>0</v>
      </c>
      <c r="E4922" s="312" t="str">
        <f t="shared" si="304"/>
        <v>LO</v>
      </c>
      <c r="F4922" s="369">
        <f>VLOOKUP(C4922,METADATA!$A$5:$H$29,IF(E4922="HI",2,IF(E4922="LO",6,10))+IF(D4922=1,2,IF(D4922=7,1,(IF(WEEKDAY(B4922)=1,2,IF(WEEKDAY(B4922)=7,1,0))))))</f>
        <v>3</v>
      </c>
      <c r="G4922" s="369">
        <f>VLOOKUP(C4922,METADATA!$J$5:$Q$29,IF(E4922="HI",2,IF(E4922="LO",6,10))+IF(D4922=1,2,IF(D4922=7,1,(IF(WEEKDAY(B4922)=1,2,IF(WEEKDAY(B4922)=7,1,0))))))</f>
        <v>3</v>
      </c>
      <c r="H4922" s="370">
        <v>13783.399719238281</v>
      </c>
      <c r="I4922" s="370">
        <v>11024.849548339844</v>
      </c>
      <c r="M4922" s="371">
        <f t="shared" si="305"/>
        <v>17650.19590213738</v>
      </c>
      <c r="N4922" s="329">
        <f t="shared" si="306"/>
        <v>6889.8296325683596</v>
      </c>
      <c r="T4922" s="331">
        <v>0</v>
      </c>
      <c r="U4922" s="328">
        <f>VLOOKUP(C4922,METADATA!$J$5:$Q$29,IF(E4922="HI",2,IF(E4922="LO",6,10))+IF(T4922=1,2,IF(D4922=7,1,(IF(WEEKDAY(B4922)=1,2,IF(WEEKDAY(B4922)=7,1,0))))))</f>
        <v>3</v>
      </c>
      <c r="V4922" s="328">
        <f>VLOOKUP(C4922,METADATA!$A$5:$H$29,IF(E4922="HI",2,IF(E4922="LO",6,10))+IF(T4922=1,2,IF(D4922=7,1,(IF(WEEKDAY(B4922)=1,2,IF(WEEKDAY(B4922)=7,1,0))))))</f>
        <v>3</v>
      </c>
    </row>
    <row r="4923" spans="2:22">
      <c r="B4923" s="318">
        <f t="shared" si="307"/>
        <v>46317</v>
      </c>
      <c r="C4923" s="312">
        <v>23</v>
      </c>
      <c r="D4923" s="368">
        <f>IFERROR((INDEX(METADATA!$T$2:$T$20,MATCH(B4923,METADATA!$S$2:$S$20,0))),0)</f>
        <v>0</v>
      </c>
      <c r="E4923" s="312" t="str">
        <f t="shared" si="304"/>
        <v>LO</v>
      </c>
      <c r="F4923" s="369">
        <f>VLOOKUP(C4923,METADATA!$A$5:$H$29,IF(E4923="HI",2,IF(E4923="LO",6,10))+IF(D4923=1,2,IF(D4923=7,1,(IF(WEEKDAY(B4923)=1,2,IF(WEEKDAY(B4923)=7,1,0))))))</f>
        <v>3</v>
      </c>
      <c r="G4923" s="369">
        <f>VLOOKUP(C4923,METADATA!$J$5:$Q$29,IF(E4923="HI",2,IF(E4923="LO",6,10))+IF(D4923=1,2,IF(D4923=7,1,(IF(WEEKDAY(B4923)=1,2,IF(WEEKDAY(B4923)=7,1,0))))))</f>
        <v>3</v>
      </c>
      <c r="H4923" s="370">
        <v>13608.799743652344</v>
      </c>
      <c r="I4923" s="370">
        <v>10917.575073242188</v>
      </c>
      <c r="M4923" s="371">
        <f t="shared" si="305"/>
        <v>17446.858626776087</v>
      </c>
      <c r="N4923" s="329">
        <f t="shared" si="306"/>
        <v>6834.9351501464844</v>
      </c>
      <c r="T4923" s="331">
        <v>0</v>
      </c>
      <c r="U4923" s="328">
        <f>VLOOKUP(C4923,METADATA!$J$5:$Q$29,IF(E4923="HI",2,IF(E4923="LO",6,10))+IF(T4923=1,2,IF(D4923=7,1,(IF(WEEKDAY(B4923)=1,2,IF(WEEKDAY(B4923)=7,1,0))))))</f>
        <v>3</v>
      </c>
      <c r="V4923" s="328">
        <f>VLOOKUP(C4923,METADATA!$A$5:$H$29,IF(E4923="HI",2,IF(E4923="LO",6,10))+IF(T4923=1,2,IF(D4923=7,1,(IF(WEEKDAY(B4923)=1,2,IF(WEEKDAY(B4923)=7,1,0))))))</f>
        <v>3</v>
      </c>
    </row>
    <row r="4924" spans="2:22">
      <c r="B4924" s="318">
        <f t="shared" si="307"/>
        <v>46318</v>
      </c>
      <c r="C4924" s="312">
        <v>0</v>
      </c>
      <c r="D4924" s="368">
        <f>IFERROR((INDEX(METADATA!$T$2:$T$20,MATCH(B4924,METADATA!$S$2:$S$20,0))),0)</f>
        <v>0</v>
      </c>
      <c r="E4924" s="312" t="str">
        <f t="shared" si="304"/>
        <v>LO</v>
      </c>
      <c r="F4924" s="369">
        <f>VLOOKUP(C4924,METADATA!$A$5:$H$29,IF(E4924="HI",2,IF(E4924="LO",6,10))+IF(D4924=1,2,IF(D4924=7,1,(IF(WEEKDAY(B4924)=1,2,IF(WEEKDAY(B4924)=7,1,0))))))</f>
        <v>3</v>
      </c>
      <c r="G4924" s="369">
        <f>VLOOKUP(C4924,METADATA!$J$5:$Q$29,IF(E4924="HI",2,IF(E4924="LO",6,10))+IF(D4924=1,2,IF(D4924=7,1,(IF(WEEKDAY(B4924)=1,2,IF(WEEKDAY(B4924)=7,1,0))))))</f>
        <v>3</v>
      </c>
      <c r="H4924" s="370">
        <v>13679.64990234375</v>
      </c>
      <c r="I4924" s="370">
        <v>10972.724731445313</v>
      </c>
      <c r="M4924" s="371">
        <f t="shared" si="305"/>
        <v>17536.633356570041</v>
      </c>
      <c r="N4924" s="329">
        <f t="shared" si="306"/>
        <v>6868.8297607421873</v>
      </c>
      <c r="T4924" s="331">
        <v>0</v>
      </c>
      <c r="U4924" s="328">
        <f>VLOOKUP(C4924,METADATA!$J$5:$Q$29,IF(E4924="HI",2,IF(E4924="LO",6,10))+IF(T4924=1,2,IF(D4924=7,1,(IF(WEEKDAY(B4924)=1,2,IF(WEEKDAY(B4924)=7,1,0))))))</f>
        <v>3</v>
      </c>
      <c r="V4924" s="328">
        <f>VLOOKUP(C4924,METADATA!$A$5:$H$29,IF(E4924="HI",2,IF(E4924="LO",6,10))+IF(T4924=1,2,IF(D4924=7,1,(IF(WEEKDAY(B4924)=1,2,IF(WEEKDAY(B4924)=7,1,0))))))</f>
        <v>3</v>
      </c>
    </row>
    <row r="4925" spans="2:22">
      <c r="B4925" s="318">
        <f t="shared" si="307"/>
        <v>46318</v>
      </c>
      <c r="C4925" s="312">
        <v>1</v>
      </c>
      <c r="D4925" s="368">
        <f>IFERROR((INDEX(METADATA!$T$2:$T$20,MATCH(B4925,METADATA!$S$2:$S$20,0))),0)</f>
        <v>0</v>
      </c>
      <c r="E4925" s="312" t="str">
        <f t="shared" si="304"/>
        <v>LO</v>
      </c>
      <c r="F4925" s="369">
        <f>VLOOKUP(C4925,METADATA!$A$5:$H$29,IF(E4925="HI",2,IF(E4925="LO",6,10))+IF(D4925=1,2,IF(D4925=7,1,(IF(WEEKDAY(B4925)=1,2,IF(WEEKDAY(B4925)=7,1,0))))))</f>
        <v>3</v>
      </c>
      <c r="G4925" s="369">
        <f>VLOOKUP(C4925,METADATA!$J$5:$Q$29,IF(E4925="HI",2,IF(E4925="LO",6,10))+IF(D4925=1,2,IF(D4925=7,1,(IF(WEEKDAY(B4925)=1,2,IF(WEEKDAY(B4925)=7,1,0))))))</f>
        <v>3</v>
      </c>
      <c r="H4925" s="370">
        <v>13664.745178222656</v>
      </c>
      <c r="I4925" s="370">
        <v>11032.115356445313</v>
      </c>
      <c r="M4925" s="371">
        <f t="shared" si="305"/>
        <v>17562.255835275711</v>
      </c>
      <c r="N4925" s="329">
        <f t="shared" si="306"/>
        <v>6932.6918029785156</v>
      </c>
      <c r="T4925" s="331">
        <v>0</v>
      </c>
      <c r="U4925" s="328">
        <f>VLOOKUP(C4925,METADATA!$J$5:$Q$29,IF(E4925="HI",2,IF(E4925="LO",6,10))+IF(T4925=1,2,IF(D4925=7,1,(IF(WEEKDAY(B4925)=1,2,IF(WEEKDAY(B4925)=7,1,0))))))</f>
        <v>3</v>
      </c>
      <c r="V4925" s="328">
        <f>VLOOKUP(C4925,METADATA!$A$5:$H$29,IF(E4925="HI",2,IF(E4925="LO",6,10))+IF(T4925=1,2,IF(D4925=7,1,(IF(WEEKDAY(B4925)=1,2,IF(WEEKDAY(B4925)=7,1,0))))))</f>
        <v>3</v>
      </c>
    </row>
    <row r="4926" spans="2:22">
      <c r="B4926" s="318">
        <f t="shared" si="307"/>
        <v>46318</v>
      </c>
      <c r="C4926" s="312">
        <v>2</v>
      </c>
      <c r="D4926" s="368">
        <f>IFERROR((INDEX(METADATA!$T$2:$T$20,MATCH(B4926,METADATA!$S$2:$S$20,0))),0)</f>
        <v>0</v>
      </c>
      <c r="E4926" s="312" t="str">
        <f t="shared" si="304"/>
        <v>LO</v>
      </c>
      <c r="F4926" s="369">
        <f>VLOOKUP(C4926,METADATA!$A$5:$H$29,IF(E4926="HI",2,IF(E4926="LO",6,10))+IF(D4926=1,2,IF(D4926=7,1,(IF(WEEKDAY(B4926)=1,2,IF(WEEKDAY(B4926)=7,1,0))))))</f>
        <v>3</v>
      </c>
      <c r="G4926" s="369">
        <f>VLOOKUP(C4926,METADATA!$J$5:$Q$29,IF(E4926="HI",2,IF(E4926="LO",6,10))+IF(D4926=1,2,IF(D4926=7,1,(IF(WEEKDAY(B4926)=1,2,IF(WEEKDAY(B4926)=7,1,0))))))</f>
        <v>3</v>
      </c>
      <c r="H4926" s="370">
        <v>13647.325317382813</v>
      </c>
      <c r="I4926" s="370">
        <v>11067.275085449219</v>
      </c>
      <c r="M4926" s="371">
        <f t="shared" si="305"/>
        <v>17570.82997856057</v>
      </c>
      <c r="N4926" s="329">
        <f t="shared" si="306"/>
        <v>6973.0774902343746</v>
      </c>
      <c r="T4926" s="331">
        <v>0</v>
      </c>
      <c r="U4926" s="328">
        <f>VLOOKUP(C4926,METADATA!$J$5:$Q$29,IF(E4926="HI",2,IF(E4926="LO",6,10))+IF(T4926=1,2,IF(D4926=7,1,(IF(WEEKDAY(B4926)=1,2,IF(WEEKDAY(B4926)=7,1,0))))))</f>
        <v>3</v>
      </c>
      <c r="V4926" s="328">
        <f>VLOOKUP(C4926,METADATA!$A$5:$H$29,IF(E4926="HI",2,IF(E4926="LO",6,10))+IF(T4926=1,2,IF(D4926=7,1,(IF(WEEKDAY(B4926)=1,2,IF(WEEKDAY(B4926)=7,1,0))))))</f>
        <v>3</v>
      </c>
    </row>
    <row r="4927" spans="2:22">
      <c r="B4927" s="318">
        <f t="shared" si="307"/>
        <v>46318</v>
      </c>
      <c r="C4927" s="312">
        <v>3</v>
      </c>
      <c r="D4927" s="368">
        <f>IFERROR((INDEX(METADATA!$T$2:$T$20,MATCH(B4927,METADATA!$S$2:$S$20,0))),0)</f>
        <v>0</v>
      </c>
      <c r="E4927" s="312" t="str">
        <f t="shared" si="304"/>
        <v>LO</v>
      </c>
      <c r="F4927" s="369">
        <f>VLOOKUP(C4927,METADATA!$A$5:$H$29,IF(E4927="HI",2,IF(E4927="LO",6,10))+IF(D4927=1,2,IF(D4927=7,1,(IF(WEEKDAY(B4927)=1,2,IF(WEEKDAY(B4927)=7,1,0))))))</f>
        <v>3</v>
      </c>
      <c r="G4927" s="369">
        <f>VLOOKUP(C4927,METADATA!$J$5:$Q$29,IF(E4927="HI",2,IF(E4927="LO",6,10))+IF(D4927=1,2,IF(D4927=7,1,(IF(WEEKDAY(B4927)=1,2,IF(WEEKDAY(B4927)=7,1,0))))))</f>
        <v>3</v>
      </c>
      <c r="H4927" s="370">
        <v>13695.75</v>
      </c>
      <c r="I4927" s="370">
        <v>11134.374450683594</v>
      </c>
      <c r="M4927" s="371">
        <f t="shared" si="305"/>
        <v>17650.718468961415</v>
      </c>
      <c r="N4927" s="329">
        <f t="shared" si="306"/>
        <v>7025.6494506835943</v>
      </c>
      <c r="T4927" s="331">
        <v>0</v>
      </c>
      <c r="U4927" s="328">
        <f>VLOOKUP(C4927,METADATA!$J$5:$Q$29,IF(E4927="HI",2,IF(E4927="LO",6,10))+IF(T4927=1,2,IF(D4927=7,1,(IF(WEEKDAY(B4927)=1,2,IF(WEEKDAY(B4927)=7,1,0))))))</f>
        <v>3</v>
      </c>
      <c r="V4927" s="328">
        <f>VLOOKUP(C4927,METADATA!$A$5:$H$29,IF(E4927="HI",2,IF(E4927="LO",6,10))+IF(T4927=1,2,IF(D4927=7,1,(IF(WEEKDAY(B4927)=1,2,IF(WEEKDAY(B4927)=7,1,0))))))</f>
        <v>3</v>
      </c>
    </row>
    <row r="4928" spans="2:22">
      <c r="B4928" s="318">
        <f t="shared" si="307"/>
        <v>46318</v>
      </c>
      <c r="C4928" s="312">
        <v>4</v>
      </c>
      <c r="D4928" s="368">
        <f>IFERROR((INDEX(METADATA!$T$2:$T$20,MATCH(B4928,METADATA!$S$2:$S$20,0))),0)</f>
        <v>0</v>
      </c>
      <c r="E4928" s="312" t="str">
        <f t="shared" si="304"/>
        <v>LO</v>
      </c>
      <c r="F4928" s="369">
        <f>VLOOKUP(C4928,METADATA!$A$5:$H$29,IF(E4928="HI",2,IF(E4928="LO",6,10))+IF(D4928=1,2,IF(D4928=7,1,(IF(WEEKDAY(B4928)=1,2,IF(WEEKDAY(B4928)=7,1,0))))))</f>
        <v>3</v>
      </c>
      <c r="G4928" s="369">
        <f>VLOOKUP(C4928,METADATA!$J$5:$Q$29,IF(E4928="HI",2,IF(E4928="LO",6,10))+IF(D4928=1,2,IF(D4928=7,1,(IF(WEEKDAY(B4928)=1,2,IF(WEEKDAY(B4928)=7,1,0))))))</f>
        <v>3</v>
      </c>
      <c r="H4928" s="370">
        <v>13561.374633789063</v>
      </c>
      <c r="I4928" s="370">
        <v>11086.174255371094</v>
      </c>
      <c r="M4928" s="371">
        <f t="shared" si="305"/>
        <v>17516.110914767301</v>
      </c>
      <c r="N4928" s="329">
        <f t="shared" si="306"/>
        <v>7017.7618652343754</v>
      </c>
      <c r="T4928" s="331">
        <v>0</v>
      </c>
      <c r="U4928" s="328">
        <f>VLOOKUP(C4928,METADATA!$J$5:$Q$29,IF(E4928="HI",2,IF(E4928="LO",6,10))+IF(T4928=1,2,IF(D4928=7,1,(IF(WEEKDAY(B4928)=1,2,IF(WEEKDAY(B4928)=7,1,0))))))</f>
        <v>3</v>
      </c>
      <c r="V4928" s="328">
        <f>VLOOKUP(C4928,METADATA!$A$5:$H$29,IF(E4928="HI",2,IF(E4928="LO",6,10))+IF(T4928=1,2,IF(D4928=7,1,(IF(WEEKDAY(B4928)=1,2,IF(WEEKDAY(B4928)=7,1,0))))))</f>
        <v>3</v>
      </c>
    </row>
    <row r="4929" spans="2:22">
      <c r="B4929" s="318">
        <f t="shared" si="307"/>
        <v>46318</v>
      </c>
      <c r="C4929" s="312">
        <v>5</v>
      </c>
      <c r="D4929" s="368">
        <f>IFERROR((INDEX(METADATA!$T$2:$T$20,MATCH(B4929,METADATA!$S$2:$S$20,0))),0)</f>
        <v>0</v>
      </c>
      <c r="E4929" s="312" t="str">
        <f t="shared" si="304"/>
        <v>LO</v>
      </c>
      <c r="F4929" s="369">
        <f>VLOOKUP(C4929,METADATA!$A$5:$H$29,IF(E4929="HI",2,IF(E4929="LO",6,10))+IF(D4929=1,2,IF(D4929=7,1,(IF(WEEKDAY(B4929)=1,2,IF(WEEKDAY(B4929)=7,1,0))))))</f>
        <v>3</v>
      </c>
      <c r="G4929" s="369">
        <f>VLOOKUP(C4929,METADATA!$J$5:$Q$29,IF(E4929="HI",2,IF(E4929="LO",6,10))+IF(D4929=1,2,IF(D4929=7,1,(IF(WEEKDAY(B4929)=1,2,IF(WEEKDAY(B4929)=7,1,0))))))</f>
        <v>3</v>
      </c>
      <c r="H4929" s="370">
        <v>11897.752563476563</v>
      </c>
      <c r="I4929" s="370">
        <v>9968.9601135253906</v>
      </c>
      <c r="M4929" s="371">
        <f t="shared" si="305"/>
        <v>15522.135220605871</v>
      </c>
      <c r="N4929" s="329">
        <f t="shared" si="306"/>
        <v>6399.6343444824215</v>
      </c>
      <c r="T4929" s="331">
        <v>0</v>
      </c>
      <c r="U4929" s="328">
        <f>VLOOKUP(C4929,METADATA!$J$5:$Q$29,IF(E4929="HI",2,IF(E4929="LO",6,10))+IF(T4929=1,2,IF(D4929=7,1,(IF(WEEKDAY(B4929)=1,2,IF(WEEKDAY(B4929)=7,1,0))))))</f>
        <v>3</v>
      </c>
      <c r="V4929" s="328">
        <f>VLOOKUP(C4929,METADATA!$A$5:$H$29,IF(E4929="HI",2,IF(E4929="LO",6,10))+IF(T4929=1,2,IF(D4929=7,1,(IF(WEEKDAY(B4929)=1,2,IF(WEEKDAY(B4929)=7,1,0))))))</f>
        <v>3</v>
      </c>
    </row>
    <row r="4930" spans="2:22">
      <c r="B4930" s="318">
        <f t="shared" si="307"/>
        <v>46318</v>
      </c>
      <c r="C4930" s="312">
        <v>6</v>
      </c>
      <c r="D4930" s="368">
        <f>IFERROR((INDEX(METADATA!$T$2:$T$20,MATCH(B4930,METADATA!$S$2:$S$20,0))),0)</f>
        <v>0</v>
      </c>
      <c r="E4930" s="312" t="str">
        <f t="shared" si="304"/>
        <v>LO</v>
      </c>
      <c r="F4930" s="369">
        <f>VLOOKUP(C4930,METADATA!$A$5:$H$29,IF(E4930="HI",2,IF(E4930="LO",6,10))+IF(D4930=1,2,IF(D4930=7,1,(IF(WEEKDAY(B4930)=1,2,IF(WEEKDAY(B4930)=7,1,0))))))</f>
        <v>2</v>
      </c>
      <c r="G4930" s="369">
        <f>VLOOKUP(C4930,METADATA!$J$5:$Q$29,IF(E4930="HI",2,IF(E4930="LO",6,10))+IF(D4930=1,2,IF(D4930=7,1,(IF(WEEKDAY(B4930)=1,2,IF(WEEKDAY(B4930)=7,1,0))))))</f>
        <v>2</v>
      </c>
      <c r="H4930" s="370">
        <v>11926.500244140625</v>
      </c>
      <c r="I4930" s="370">
        <v>9867.7875366210938</v>
      </c>
      <c r="M4930" s="371">
        <f t="shared" si="305"/>
        <v>15479.490913508136</v>
      </c>
      <c r="N4930" s="329">
        <f t="shared" si="306"/>
        <v>6289.8374633789063</v>
      </c>
      <c r="T4930" s="331">
        <v>0</v>
      </c>
      <c r="U4930" s="328">
        <f>VLOOKUP(C4930,METADATA!$J$5:$Q$29,IF(E4930="HI",2,IF(E4930="LO",6,10))+IF(T4930=1,2,IF(D4930=7,1,(IF(WEEKDAY(B4930)=1,2,IF(WEEKDAY(B4930)=7,1,0))))))</f>
        <v>2</v>
      </c>
      <c r="V4930" s="328">
        <f>VLOOKUP(C4930,METADATA!$A$5:$H$29,IF(E4930="HI",2,IF(E4930="LO",6,10))+IF(T4930=1,2,IF(D4930=7,1,(IF(WEEKDAY(B4930)=1,2,IF(WEEKDAY(B4930)=7,1,0))))))</f>
        <v>2</v>
      </c>
    </row>
    <row r="4931" spans="2:22">
      <c r="B4931" s="318">
        <f t="shared" si="307"/>
        <v>46318</v>
      </c>
      <c r="C4931" s="312">
        <v>7</v>
      </c>
      <c r="D4931" s="368">
        <f>IFERROR((INDEX(METADATA!$T$2:$T$20,MATCH(B4931,METADATA!$S$2:$S$20,0))),0)</f>
        <v>0</v>
      </c>
      <c r="E4931" s="312" t="str">
        <f t="shared" si="304"/>
        <v>LO</v>
      </c>
      <c r="F4931" s="369">
        <f>VLOOKUP(C4931,METADATA!$A$5:$H$29,IF(E4931="HI",2,IF(E4931="LO",6,10))+IF(D4931=1,2,IF(D4931=7,1,(IF(WEEKDAY(B4931)=1,2,IF(WEEKDAY(B4931)=7,1,0))))))</f>
        <v>1</v>
      </c>
      <c r="G4931" s="369">
        <f>VLOOKUP(C4931,METADATA!$J$5:$Q$29,IF(E4931="HI",2,IF(E4931="LO",6,10))+IF(D4931=1,2,IF(D4931=7,1,(IF(WEEKDAY(B4931)=1,2,IF(WEEKDAY(B4931)=7,1,0))))))</f>
        <v>1</v>
      </c>
      <c r="H4931" s="370">
        <v>11921.899871826172</v>
      </c>
      <c r="I4931" s="370">
        <v>9806.2276916503906</v>
      </c>
      <c r="M4931" s="371">
        <f t="shared" si="305"/>
        <v>15436.767734676188</v>
      </c>
      <c r="N4931" s="329">
        <f t="shared" si="306"/>
        <v>6229.6577301025391</v>
      </c>
      <c r="T4931" s="331">
        <v>0</v>
      </c>
      <c r="U4931" s="328">
        <f>VLOOKUP(C4931,METADATA!$J$5:$Q$29,IF(E4931="HI",2,IF(E4931="LO",6,10))+IF(T4931=1,2,IF(D4931=7,1,(IF(WEEKDAY(B4931)=1,2,IF(WEEKDAY(B4931)=7,1,0))))))</f>
        <v>1</v>
      </c>
      <c r="V4931" s="328">
        <f>VLOOKUP(C4931,METADATA!$A$5:$H$29,IF(E4931="HI",2,IF(E4931="LO",6,10))+IF(T4931=1,2,IF(D4931=7,1,(IF(WEEKDAY(B4931)=1,2,IF(WEEKDAY(B4931)=7,1,0))))))</f>
        <v>1</v>
      </c>
    </row>
    <row r="4932" spans="2:22">
      <c r="B4932" s="318">
        <f t="shared" si="307"/>
        <v>46318</v>
      </c>
      <c r="C4932" s="312">
        <v>8</v>
      </c>
      <c r="D4932" s="368">
        <f>IFERROR((INDEX(METADATA!$T$2:$T$20,MATCH(B4932,METADATA!$S$2:$S$20,0))),0)</f>
        <v>0</v>
      </c>
      <c r="E4932" s="312" t="str">
        <f t="shared" ref="E4932:E4995" si="308">IF(B4932="","",IF(AND(MONTH(B4932)&gt;=MONTH($Z$9),MONTH(B4932)&lt;=MONTH($Z$11)),"HI","LO"))</f>
        <v>LO</v>
      </c>
      <c r="F4932" s="369">
        <f>VLOOKUP(C4932,METADATA!$A$5:$H$29,IF(E4932="HI",2,IF(E4932="LO",6,10))+IF(D4932=1,2,IF(D4932=7,1,(IF(WEEKDAY(B4932)=1,2,IF(WEEKDAY(B4932)=7,1,0))))))</f>
        <v>1</v>
      </c>
      <c r="G4932" s="369">
        <f>VLOOKUP(C4932,METADATA!$J$5:$Q$29,IF(E4932="HI",2,IF(E4932="LO",6,10))+IF(D4932=1,2,IF(D4932=7,1,(IF(WEEKDAY(B4932)=1,2,IF(WEEKDAY(B4932)=7,1,0))))))</f>
        <v>1</v>
      </c>
      <c r="H4932" s="370">
        <v>13077.674926757813</v>
      </c>
      <c r="I4932" s="370">
        <v>10392.380035400391</v>
      </c>
      <c r="M4932" s="371">
        <f t="shared" ref="M4932:M4995" si="309">SQRT(H4932^2+I4932^2)</f>
        <v>16704.105611799114</v>
      </c>
      <c r="N4932" s="329">
        <f t="shared" ref="N4932:N4995" si="310">IF(H4932=0,0,(IF(I4932-(0.3*H4932)&lt;0,0,(I4932-(0.3*H4932)))))</f>
        <v>6469.0775573730471</v>
      </c>
      <c r="T4932" s="331">
        <v>0</v>
      </c>
      <c r="U4932" s="328">
        <f>VLOOKUP(C4932,METADATA!$J$5:$Q$29,IF(E4932="HI",2,IF(E4932="LO",6,10))+IF(T4932=1,2,IF(D4932=7,1,(IF(WEEKDAY(B4932)=1,2,IF(WEEKDAY(B4932)=7,1,0))))))</f>
        <v>1</v>
      </c>
      <c r="V4932" s="328">
        <f>VLOOKUP(C4932,METADATA!$A$5:$H$29,IF(E4932="HI",2,IF(E4932="LO",6,10))+IF(T4932=1,2,IF(D4932=7,1,(IF(WEEKDAY(B4932)=1,2,IF(WEEKDAY(B4932)=7,1,0))))))</f>
        <v>1</v>
      </c>
    </row>
    <row r="4933" spans="2:22">
      <c r="B4933" s="318">
        <f t="shared" si="307"/>
        <v>46318</v>
      </c>
      <c r="C4933" s="312">
        <v>9</v>
      </c>
      <c r="D4933" s="368">
        <f>IFERROR((INDEX(METADATA!$T$2:$T$20,MATCH(B4933,METADATA!$S$2:$S$20,0))),0)</f>
        <v>0</v>
      </c>
      <c r="E4933" s="312" t="str">
        <f t="shared" si="308"/>
        <v>LO</v>
      </c>
      <c r="F4933" s="369">
        <f>VLOOKUP(C4933,METADATA!$A$5:$H$29,IF(E4933="HI",2,IF(E4933="LO",6,10))+IF(D4933=1,2,IF(D4933=7,1,(IF(WEEKDAY(B4933)=1,2,IF(WEEKDAY(B4933)=7,1,0))))))</f>
        <v>2</v>
      </c>
      <c r="G4933" s="369">
        <f>VLOOKUP(C4933,METADATA!$J$5:$Q$29,IF(E4933="HI",2,IF(E4933="LO",6,10))+IF(D4933=1,2,IF(D4933=7,1,(IF(WEEKDAY(B4933)=1,2,IF(WEEKDAY(B4933)=7,1,0))))))</f>
        <v>2</v>
      </c>
      <c r="H4933" s="370">
        <v>12470.600219726563</v>
      </c>
      <c r="I4933" s="370">
        <v>9927.3125305175781</v>
      </c>
      <c r="M4933" s="371">
        <f t="shared" si="309"/>
        <v>15939.491959244357</v>
      </c>
      <c r="N4933" s="329">
        <f t="shared" si="310"/>
        <v>6186.1324645996101</v>
      </c>
      <c r="T4933" s="331">
        <v>0</v>
      </c>
      <c r="U4933" s="328">
        <f>VLOOKUP(C4933,METADATA!$J$5:$Q$29,IF(E4933="HI",2,IF(E4933="LO",6,10))+IF(T4933=1,2,IF(D4933=7,1,(IF(WEEKDAY(B4933)=1,2,IF(WEEKDAY(B4933)=7,1,0))))))</f>
        <v>2</v>
      </c>
      <c r="V4933" s="328">
        <f>VLOOKUP(C4933,METADATA!$A$5:$H$29,IF(E4933="HI",2,IF(E4933="LO",6,10))+IF(T4933=1,2,IF(D4933=7,1,(IF(WEEKDAY(B4933)=1,2,IF(WEEKDAY(B4933)=7,1,0))))))</f>
        <v>2</v>
      </c>
    </row>
    <row r="4934" spans="2:22">
      <c r="B4934" s="318">
        <f t="shared" si="307"/>
        <v>46318</v>
      </c>
      <c r="C4934" s="312">
        <v>10</v>
      </c>
      <c r="D4934" s="368">
        <f>IFERROR((INDEX(METADATA!$T$2:$T$20,MATCH(B4934,METADATA!$S$2:$S$20,0))),0)</f>
        <v>0</v>
      </c>
      <c r="E4934" s="312" t="str">
        <f t="shared" si="308"/>
        <v>LO</v>
      </c>
      <c r="F4934" s="369">
        <f>VLOOKUP(C4934,METADATA!$A$5:$H$29,IF(E4934="HI",2,IF(E4934="LO",6,10))+IF(D4934=1,2,IF(D4934=7,1,(IF(WEEKDAY(B4934)=1,2,IF(WEEKDAY(B4934)=7,1,0))))))</f>
        <v>2</v>
      </c>
      <c r="G4934" s="369">
        <f>VLOOKUP(C4934,METADATA!$J$5:$Q$29,IF(E4934="HI",2,IF(E4934="LO",6,10))+IF(D4934=1,2,IF(D4934=7,1,(IF(WEEKDAY(B4934)=1,2,IF(WEEKDAY(B4934)=7,1,0))))))</f>
        <v>2</v>
      </c>
      <c r="H4934" s="370">
        <v>12264.000305175781</v>
      </c>
      <c r="I4934" s="370">
        <v>9814.4023742675781</v>
      </c>
      <c r="M4934" s="371">
        <f t="shared" si="309"/>
        <v>15707.584074241995</v>
      </c>
      <c r="N4934" s="329">
        <f t="shared" si="310"/>
        <v>6135.2022827148439</v>
      </c>
      <c r="T4934" s="331">
        <v>0</v>
      </c>
      <c r="U4934" s="328">
        <f>VLOOKUP(C4934,METADATA!$J$5:$Q$29,IF(E4934="HI",2,IF(E4934="LO",6,10))+IF(T4934=1,2,IF(D4934=7,1,(IF(WEEKDAY(B4934)=1,2,IF(WEEKDAY(B4934)=7,1,0))))))</f>
        <v>2</v>
      </c>
      <c r="V4934" s="328">
        <f>VLOOKUP(C4934,METADATA!$A$5:$H$29,IF(E4934="HI",2,IF(E4934="LO",6,10))+IF(T4934=1,2,IF(D4934=7,1,(IF(WEEKDAY(B4934)=1,2,IF(WEEKDAY(B4934)=7,1,0))))))</f>
        <v>2</v>
      </c>
    </row>
    <row r="4935" spans="2:22">
      <c r="B4935" s="318">
        <f t="shared" si="307"/>
        <v>46318</v>
      </c>
      <c r="C4935" s="312">
        <v>11</v>
      </c>
      <c r="D4935" s="368">
        <f>IFERROR((INDEX(METADATA!$T$2:$T$20,MATCH(B4935,METADATA!$S$2:$S$20,0))),0)</f>
        <v>0</v>
      </c>
      <c r="E4935" s="312" t="str">
        <f t="shared" si="308"/>
        <v>LO</v>
      </c>
      <c r="F4935" s="369">
        <f>VLOOKUP(C4935,METADATA!$A$5:$H$29,IF(E4935="HI",2,IF(E4935="LO",6,10))+IF(D4935=1,2,IF(D4935=7,1,(IF(WEEKDAY(B4935)=1,2,IF(WEEKDAY(B4935)=7,1,0))))))</f>
        <v>2</v>
      </c>
      <c r="G4935" s="369">
        <f>VLOOKUP(C4935,METADATA!$J$5:$Q$29,IF(E4935="HI",2,IF(E4935="LO",6,10))+IF(D4935=1,2,IF(D4935=7,1,(IF(WEEKDAY(B4935)=1,2,IF(WEEKDAY(B4935)=7,1,0))))))</f>
        <v>2</v>
      </c>
      <c r="H4935" s="370">
        <v>12544.174926757813</v>
      </c>
      <c r="I4935" s="370">
        <v>10310.499938964844</v>
      </c>
      <c r="M4935" s="371">
        <f t="shared" si="309"/>
        <v>16237.694835920935</v>
      </c>
      <c r="N4935" s="329">
        <f t="shared" si="310"/>
        <v>6547.2474609375004</v>
      </c>
      <c r="T4935" s="331">
        <v>0</v>
      </c>
      <c r="U4935" s="328">
        <f>VLOOKUP(C4935,METADATA!$J$5:$Q$29,IF(E4935="HI",2,IF(E4935="LO",6,10))+IF(T4935=1,2,IF(D4935=7,1,(IF(WEEKDAY(B4935)=1,2,IF(WEEKDAY(B4935)=7,1,0))))))</f>
        <v>2</v>
      </c>
      <c r="V4935" s="328">
        <f>VLOOKUP(C4935,METADATA!$A$5:$H$29,IF(E4935="HI",2,IF(E4935="LO",6,10))+IF(T4935=1,2,IF(D4935=7,1,(IF(WEEKDAY(B4935)=1,2,IF(WEEKDAY(B4935)=7,1,0))))))</f>
        <v>2</v>
      </c>
    </row>
    <row r="4936" spans="2:22">
      <c r="B4936" s="318">
        <f t="shared" si="307"/>
        <v>46318</v>
      </c>
      <c r="C4936" s="312">
        <v>12</v>
      </c>
      <c r="D4936" s="368">
        <f>IFERROR((INDEX(METADATA!$T$2:$T$20,MATCH(B4936,METADATA!$S$2:$S$20,0))),0)</f>
        <v>0</v>
      </c>
      <c r="E4936" s="312" t="str">
        <f t="shared" si="308"/>
        <v>LO</v>
      </c>
      <c r="F4936" s="369">
        <f>VLOOKUP(C4936,METADATA!$A$5:$H$29,IF(E4936="HI",2,IF(E4936="LO",6,10))+IF(D4936=1,2,IF(D4936=7,1,(IF(WEEKDAY(B4936)=1,2,IF(WEEKDAY(B4936)=7,1,0))))))</f>
        <v>2</v>
      </c>
      <c r="G4936" s="369">
        <f>VLOOKUP(C4936,METADATA!$J$5:$Q$29,IF(E4936="HI",2,IF(E4936="LO",6,10))+IF(D4936=1,2,IF(D4936=7,1,(IF(WEEKDAY(B4936)=1,2,IF(WEEKDAY(B4936)=7,1,0))))))</f>
        <v>2</v>
      </c>
      <c r="H4936" s="370">
        <v>11681.374816894531</v>
      </c>
      <c r="I4936" s="370">
        <v>9963.2748413085938</v>
      </c>
      <c r="M4936" s="371">
        <f t="shared" si="309"/>
        <v>15353.219961175262</v>
      </c>
      <c r="N4936" s="329">
        <f t="shared" si="310"/>
        <v>6458.8623962402344</v>
      </c>
      <c r="T4936" s="331">
        <v>0</v>
      </c>
      <c r="U4936" s="328">
        <f>VLOOKUP(C4936,METADATA!$J$5:$Q$29,IF(E4936="HI",2,IF(E4936="LO",6,10))+IF(T4936=1,2,IF(D4936=7,1,(IF(WEEKDAY(B4936)=1,2,IF(WEEKDAY(B4936)=7,1,0))))))</f>
        <v>2</v>
      </c>
      <c r="V4936" s="328">
        <f>VLOOKUP(C4936,METADATA!$A$5:$H$29,IF(E4936="HI",2,IF(E4936="LO",6,10))+IF(T4936=1,2,IF(D4936=7,1,(IF(WEEKDAY(B4936)=1,2,IF(WEEKDAY(B4936)=7,1,0))))))</f>
        <v>2</v>
      </c>
    </row>
    <row r="4937" spans="2:22">
      <c r="B4937" s="318">
        <f t="shared" si="307"/>
        <v>46318</v>
      </c>
      <c r="C4937" s="312">
        <v>13</v>
      </c>
      <c r="D4937" s="368">
        <f>IFERROR((INDEX(METADATA!$T$2:$T$20,MATCH(B4937,METADATA!$S$2:$S$20,0))),0)</f>
        <v>0</v>
      </c>
      <c r="E4937" s="312" t="str">
        <f t="shared" si="308"/>
        <v>LO</v>
      </c>
      <c r="F4937" s="369">
        <f>VLOOKUP(C4937,METADATA!$A$5:$H$29,IF(E4937="HI",2,IF(E4937="LO",6,10))+IF(D4937=1,2,IF(D4937=7,1,(IF(WEEKDAY(B4937)=1,2,IF(WEEKDAY(B4937)=7,1,0))))))</f>
        <v>2</v>
      </c>
      <c r="G4937" s="369">
        <f>VLOOKUP(C4937,METADATA!$J$5:$Q$29,IF(E4937="HI",2,IF(E4937="LO",6,10))+IF(D4937=1,2,IF(D4937=7,1,(IF(WEEKDAY(B4937)=1,2,IF(WEEKDAY(B4937)=7,1,0))))))</f>
        <v>2</v>
      </c>
      <c r="H4937" s="370">
        <v>10625.350158691406</v>
      </c>
      <c r="I4937" s="370">
        <v>9278.77490234375</v>
      </c>
      <c r="M4937" s="371">
        <f t="shared" si="309"/>
        <v>14106.513732427575</v>
      </c>
      <c r="N4937" s="329">
        <f t="shared" si="310"/>
        <v>6091.1698547363285</v>
      </c>
      <c r="T4937" s="331">
        <v>0</v>
      </c>
      <c r="U4937" s="328">
        <f>VLOOKUP(C4937,METADATA!$J$5:$Q$29,IF(E4937="HI",2,IF(E4937="LO",6,10))+IF(T4937=1,2,IF(D4937=7,1,(IF(WEEKDAY(B4937)=1,2,IF(WEEKDAY(B4937)=7,1,0))))))</f>
        <v>2</v>
      </c>
      <c r="V4937" s="328">
        <f>VLOOKUP(C4937,METADATA!$A$5:$H$29,IF(E4937="HI",2,IF(E4937="LO",6,10))+IF(T4937=1,2,IF(D4937=7,1,(IF(WEEKDAY(B4937)=1,2,IF(WEEKDAY(B4937)=7,1,0))))))</f>
        <v>2</v>
      </c>
    </row>
    <row r="4938" spans="2:22">
      <c r="B4938" s="318">
        <f t="shared" si="307"/>
        <v>46318</v>
      </c>
      <c r="C4938" s="312">
        <v>14</v>
      </c>
      <c r="D4938" s="368">
        <f>IFERROR((INDEX(METADATA!$T$2:$T$20,MATCH(B4938,METADATA!$S$2:$S$20,0))),0)</f>
        <v>0</v>
      </c>
      <c r="E4938" s="312" t="str">
        <f t="shared" si="308"/>
        <v>LO</v>
      </c>
      <c r="F4938" s="369">
        <f>VLOOKUP(C4938,METADATA!$A$5:$H$29,IF(E4938="HI",2,IF(E4938="LO",6,10))+IF(D4938=1,2,IF(D4938=7,1,(IF(WEEKDAY(B4938)=1,2,IF(WEEKDAY(B4938)=7,1,0))))))</f>
        <v>2</v>
      </c>
      <c r="G4938" s="369">
        <f>VLOOKUP(C4938,METADATA!$J$5:$Q$29,IF(E4938="HI",2,IF(E4938="LO",6,10))+IF(D4938=1,2,IF(D4938=7,1,(IF(WEEKDAY(B4938)=1,2,IF(WEEKDAY(B4938)=7,1,0))))))</f>
        <v>2</v>
      </c>
      <c r="H4938" s="370">
        <v>7366.159912109375</v>
      </c>
      <c r="I4938" s="370">
        <v>7138.9699401855469</v>
      </c>
      <c r="M4938" s="371">
        <f t="shared" si="309"/>
        <v>10257.933693373147</v>
      </c>
      <c r="N4938" s="329">
        <f t="shared" si="310"/>
        <v>4929.1219665527351</v>
      </c>
      <c r="T4938" s="331">
        <v>0</v>
      </c>
      <c r="U4938" s="328">
        <f>VLOOKUP(C4938,METADATA!$J$5:$Q$29,IF(E4938="HI",2,IF(E4938="LO",6,10))+IF(T4938=1,2,IF(D4938=7,1,(IF(WEEKDAY(B4938)=1,2,IF(WEEKDAY(B4938)=7,1,0))))))</f>
        <v>2</v>
      </c>
      <c r="V4938" s="328">
        <f>VLOOKUP(C4938,METADATA!$A$5:$H$29,IF(E4938="HI",2,IF(E4938="LO",6,10))+IF(T4938=1,2,IF(D4938=7,1,(IF(WEEKDAY(B4938)=1,2,IF(WEEKDAY(B4938)=7,1,0))))))</f>
        <v>2</v>
      </c>
    </row>
    <row r="4939" spans="2:22">
      <c r="B4939" s="318">
        <f t="shared" si="307"/>
        <v>46318</v>
      </c>
      <c r="C4939" s="312">
        <v>15</v>
      </c>
      <c r="D4939" s="368">
        <f>IFERROR((INDEX(METADATA!$T$2:$T$20,MATCH(B4939,METADATA!$S$2:$S$20,0))),0)</f>
        <v>0</v>
      </c>
      <c r="E4939" s="312" t="str">
        <f t="shared" si="308"/>
        <v>LO</v>
      </c>
      <c r="F4939" s="369">
        <f>VLOOKUP(C4939,METADATA!$A$5:$H$29,IF(E4939="HI",2,IF(E4939="LO",6,10))+IF(D4939=1,2,IF(D4939=7,1,(IF(WEEKDAY(B4939)=1,2,IF(WEEKDAY(B4939)=7,1,0))))))</f>
        <v>2</v>
      </c>
      <c r="G4939" s="369">
        <f>VLOOKUP(C4939,METADATA!$J$5:$Q$29,IF(E4939="HI",2,IF(E4939="LO",6,10))+IF(D4939=1,2,IF(D4939=7,1,(IF(WEEKDAY(B4939)=1,2,IF(WEEKDAY(B4939)=7,1,0))))))</f>
        <v>2</v>
      </c>
      <c r="H4939" s="370">
        <v>5754.9898986816406</v>
      </c>
      <c r="I4939" s="370">
        <v>5936.4799499511719</v>
      </c>
      <c r="M4939" s="371">
        <f t="shared" si="309"/>
        <v>8268.1136258580773</v>
      </c>
      <c r="N4939" s="329">
        <f t="shared" si="310"/>
        <v>4209.9829803466801</v>
      </c>
      <c r="T4939" s="331">
        <v>0</v>
      </c>
      <c r="U4939" s="328">
        <f>VLOOKUP(C4939,METADATA!$J$5:$Q$29,IF(E4939="HI",2,IF(E4939="LO",6,10))+IF(T4939=1,2,IF(D4939=7,1,(IF(WEEKDAY(B4939)=1,2,IF(WEEKDAY(B4939)=7,1,0))))))</f>
        <v>2</v>
      </c>
      <c r="V4939" s="328">
        <f>VLOOKUP(C4939,METADATA!$A$5:$H$29,IF(E4939="HI",2,IF(E4939="LO",6,10))+IF(T4939=1,2,IF(D4939=7,1,(IF(WEEKDAY(B4939)=1,2,IF(WEEKDAY(B4939)=7,1,0))))))</f>
        <v>2</v>
      </c>
    </row>
    <row r="4940" spans="2:22">
      <c r="B4940" s="318">
        <f t="shared" si="307"/>
        <v>46318</v>
      </c>
      <c r="C4940" s="312">
        <v>16</v>
      </c>
      <c r="D4940" s="368">
        <f>IFERROR((INDEX(METADATA!$T$2:$T$20,MATCH(B4940,METADATA!$S$2:$S$20,0))),0)</f>
        <v>0</v>
      </c>
      <c r="E4940" s="312" t="str">
        <f t="shared" si="308"/>
        <v>LO</v>
      </c>
      <c r="F4940" s="369">
        <f>VLOOKUP(C4940,METADATA!$A$5:$H$29,IF(E4940="HI",2,IF(E4940="LO",6,10))+IF(D4940=1,2,IF(D4940=7,1,(IF(WEEKDAY(B4940)=1,2,IF(WEEKDAY(B4940)=7,1,0))))))</f>
        <v>2</v>
      </c>
      <c r="G4940" s="369">
        <f>VLOOKUP(C4940,METADATA!$J$5:$Q$29,IF(E4940="HI",2,IF(E4940="LO",6,10))+IF(D4940=1,2,IF(D4940=7,1,(IF(WEEKDAY(B4940)=1,2,IF(WEEKDAY(B4940)=7,1,0))))))</f>
        <v>2</v>
      </c>
      <c r="H4940" s="370">
        <v>5785.9800415039063</v>
      </c>
      <c r="I4940" s="370">
        <v>6018.7724609375</v>
      </c>
      <c r="M4940" s="371">
        <f t="shared" si="309"/>
        <v>8348.8434514740529</v>
      </c>
      <c r="N4940" s="329">
        <f t="shared" si="310"/>
        <v>4282.9784484863285</v>
      </c>
      <c r="T4940" s="331">
        <v>0</v>
      </c>
      <c r="U4940" s="328">
        <f>VLOOKUP(C4940,METADATA!$J$5:$Q$29,IF(E4940="HI",2,IF(E4940="LO",6,10))+IF(T4940=1,2,IF(D4940=7,1,(IF(WEEKDAY(B4940)=1,2,IF(WEEKDAY(B4940)=7,1,0))))))</f>
        <v>2</v>
      </c>
      <c r="V4940" s="328">
        <f>VLOOKUP(C4940,METADATA!$A$5:$H$29,IF(E4940="HI",2,IF(E4940="LO",6,10))+IF(T4940=1,2,IF(D4940=7,1,(IF(WEEKDAY(B4940)=1,2,IF(WEEKDAY(B4940)=7,1,0))))))</f>
        <v>2</v>
      </c>
    </row>
    <row r="4941" spans="2:22">
      <c r="B4941" s="318">
        <f t="shared" si="307"/>
        <v>46318</v>
      </c>
      <c r="C4941" s="312">
        <v>17</v>
      </c>
      <c r="D4941" s="368">
        <f>IFERROR((INDEX(METADATA!$T$2:$T$20,MATCH(B4941,METADATA!$S$2:$S$20,0))),0)</f>
        <v>0</v>
      </c>
      <c r="E4941" s="312" t="str">
        <f t="shared" si="308"/>
        <v>LO</v>
      </c>
      <c r="F4941" s="369">
        <f>VLOOKUP(C4941,METADATA!$A$5:$H$29,IF(E4941="HI",2,IF(E4941="LO",6,10))+IF(D4941=1,2,IF(D4941=7,1,(IF(WEEKDAY(B4941)=1,2,IF(WEEKDAY(B4941)=7,1,0))))))</f>
        <v>2</v>
      </c>
      <c r="G4941" s="369">
        <f>VLOOKUP(C4941,METADATA!$J$5:$Q$29,IF(E4941="HI",2,IF(E4941="LO",6,10))+IF(D4941=1,2,IF(D4941=7,1,(IF(WEEKDAY(B4941)=1,2,IF(WEEKDAY(B4941)=7,1,0))))))</f>
        <v>2</v>
      </c>
      <c r="H4941" s="370">
        <v>5709.6951599121094</v>
      </c>
      <c r="I4941" s="370">
        <v>5821.0402221679688</v>
      </c>
      <c r="M4941" s="371">
        <f t="shared" si="309"/>
        <v>8153.8413086851942</v>
      </c>
      <c r="N4941" s="329">
        <f t="shared" si="310"/>
        <v>4108.1316741943356</v>
      </c>
      <c r="T4941" s="331">
        <v>0</v>
      </c>
      <c r="U4941" s="328">
        <f>VLOOKUP(C4941,METADATA!$J$5:$Q$29,IF(E4941="HI",2,IF(E4941="LO",6,10))+IF(T4941=1,2,IF(D4941=7,1,(IF(WEEKDAY(B4941)=1,2,IF(WEEKDAY(B4941)=7,1,0))))))</f>
        <v>2</v>
      </c>
      <c r="V4941" s="328">
        <f>VLOOKUP(C4941,METADATA!$A$5:$H$29,IF(E4941="HI",2,IF(E4941="LO",6,10))+IF(T4941=1,2,IF(D4941=7,1,(IF(WEEKDAY(B4941)=1,2,IF(WEEKDAY(B4941)=7,1,0))))))</f>
        <v>2</v>
      </c>
    </row>
    <row r="4942" spans="2:22">
      <c r="B4942" s="318">
        <f t="shared" si="307"/>
        <v>46318</v>
      </c>
      <c r="C4942" s="312">
        <v>18</v>
      </c>
      <c r="D4942" s="368">
        <f>IFERROR((INDEX(METADATA!$T$2:$T$20,MATCH(B4942,METADATA!$S$2:$S$20,0))),0)</f>
        <v>0</v>
      </c>
      <c r="E4942" s="312" t="str">
        <f t="shared" si="308"/>
        <v>LO</v>
      </c>
      <c r="F4942" s="369">
        <f>VLOOKUP(C4942,METADATA!$A$5:$H$29,IF(E4942="HI",2,IF(E4942="LO",6,10))+IF(D4942=1,2,IF(D4942=7,1,(IF(WEEKDAY(B4942)=1,2,IF(WEEKDAY(B4942)=7,1,0))))))</f>
        <v>1</v>
      </c>
      <c r="G4942" s="369">
        <f>VLOOKUP(C4942,METADATA!$J$5:$Q$29,IF(E4942="HI",2,IF(E4942="LO",6,10))+IF(D4942=1,2,IF(D4942=7,1,(IF(WEEKDAY(B4942)=1,2,IF(WEEKDAY(B4942)=7,1,0))))))</f>
        <v>1</v>
      </c>
      <c r="H4942" s="370">
        <v>5615.969970703125</v>
      </c>
      <c r="I4942" s="370">
        <v>5655.017578125</v>
      </c>
      <c r="M4942" s="371">
        <f t="shared" si="309"/>
        <v>7969.8395542659455</v>
      </c>
      <c r="N4942" s="329">
        <f t="shared" si="310"/>
        <v>3970.2265869140629</v>
      </c>
      <c r="T4942" s="331">
        <v>0</v>
      </c>
      <c r="U4942" s="328">
        <f>VLOOKUP(C4942,METADATA!$J$5:$Q$29,IF(E4942="HI",2,IF(E4942="LO",6,10))+IF(T4942=1,2,IF(D4942=7,1,(IF(WEEKDAY(B4942)=1,2,IF(WEEKDAY(B4942)=7,1,0))))))</f>
        <v>1</v>
      </c>
      <c r="V4942" s="328">
        <f>VLOOKUP(C4942,METADATA!$A$5:$H$29,IF(E4942="HI",2,IF(E4942="LO",6,10))+IF(T4942=1,2,IF(D4942=7,1,(IF(WEEKDAY(B4942)=1,2,IF(WEEKDAY(B4942)=7,1,0))))))</f>
        <v>1</v>
      </c>
    </row>
    <row r="4943" spans="2:22">
      <c r="B4943" s="318">
        <f t="shared" si="307"/>
        <v>46318</v>
      </c>
      <c r="C4943" s="312">
        <v>19</v>
      </c>
      <c r="D4943" s="368">
        <f>IFERROR((INDEX(METADATA!$T$2:$T$20,MATCH(B4943,METADATA!$S$2:$S$20,0))),0)</f>
        <v>0</v>
      </c>
      <c r="E4943" s="312" t="str">
        <f t="shared" si="308"/>
        <v>LO</v>
      </c>
      <c r="F4943" s="369">
        <f>VLOOKUP(C4943,METADATA!$A$5:$H$29,IF(E4943="HI",2,IF(E4943="LO",6,10))+IF(D4943=1,2,IF(D4943=7,1,(IF(WEEKDAY(B4943)=1,2,IF(WEEKDAY(B4943)=7,1,0))))))</f>
        <v>1</v>
      </c>
      <c r="G4943" s="369">
        <f>VLOOKUP(C4943,METADATA!$J$5:$Q$29,IF(E4943="HI",2,IF(E4943="LO",6,10))+IF(D4943=1,2,IF(D4943=7,1,(IF(WEEKDAY(B4943)=1,2,IF(WEEKDAY(B4943)=7,1,0))))))</f>
        <v>1</v>
      </c>
      <c r="H4943" s="370">
        <v>6015.530029296875</v>
      </c>
      <c r="I4943" s="370">
        <v>5803.2424926757813</v>
      </c>
      <c r="M4943" s="371">
        <f t="shared" si="309"/>
        <v>8358.4822164176603</v>
      </c>
      <c r="N4943" s="329">
        <f t="shared" si="310"/>
        <v>3998.5834838867186</v>
      </c>
      <c r="T4943" s="331">
        <v>0</v>
      </c>
      <c r="U4943" s="328">
        <f>VLOOKUP(C4943,METADATA!$J$5:$Q$29,IF(E4943="HI",2,IF(E4943="LO",6,10))+IF(T4943=1,2,IF(D4943=7,1,(IF(WEEKDAY(B4943)=1,2,IF(WEEKDAY(B4943)=7,1,0))))))</f>
        <v>1</v>
      </c>
      <c r="V4943" s="328">
        <f>VLOOKUP(C4943,METADATA!$A$5:$H$29,IF(E4943="HI",2,IF(E4943="LO",6,10))+IF(T4943=1,2,IF(D4943=7,1,(IF(WEEKDAY(B4943)=1,2,IF(WEEKDAY(B4943)=7,1,0))))))</f>
        <v>1</v>
      </c>
    </row>
    <row r="4944" spans="2:22">
      <c r="B4944" s="318">
        <f t="shared" si="307"/>
        <v>46318</v>
      </c>
      <c r="C4944" s="312">
        <v>20</v>
      </c>
      <c r="D4944" s="368">
        <f>IFERROR((INDEX(METADATA!$T$2:$T$20,MATCH(B4944,METADATA!$S$2:$S$20,0))),0)</f>
        <v>0</v>
      </c>
      <c r="E4944" s="312" t="str">
        <f t="shared" si="308"/>
        <v>LO</v>
      </c>
      <c r="F4944" s="369">
        <f>VLOOKUP(C4944,METADATA!$A$5:$H$29,IF(E4944="HI",2,IF(E4944="LO",6,10))+IF(D4944=1,2,IF(D4944=7,1,(IF(WEEKDAY(B4944)=1,2,IF(WEEKDAY(B4944)=7,1,0))))))</f>
        <v>1</v>
      </c>
      <c r="G4944" s="369">
        <f>VLOOKUP(C4944,METADATA!$J$5:$Q$29,IF(E4944="HI",2,IF(E4944="LO",6,10))+IF(D4944=1,2,IF(D4944=7,1,(IF(WEEKDAY(B4944)=1,2,IF(WEEKDAY(B4944)=7,1,0))))))</f>
        <v>1</v>
      </c>
      <c r="H4944" s="370">
        <v>5681.7799987792969</v>
      </c>
      <c r="I4944" s="370">
        <v>5717.97998046875</v>
      </c>
      <c r="M4944" s="371">
        <f t="shared" si="309"/>
        <v>8060.8882272098199</v>
      </c>
      <c r="N4944" s="329">
        <f t="shared" si="310"/>
        <v>4013.4459808349611</v>
      </c>
      <c r="T4944" s="331">
        <v>0</v>
      </c>
      <c r="U4944" s="328">
        <f>VLOOKUP(C4944,METADATA!$J$5:$Q$29,IF(E4944="HI",2,IF(E4944="LO",6,10))+IF(T4944=1,2,IF(D4944=7,1,(IF(WEEKDAY(B4944)=1,2,IF(WEEKDAY(B4944)=7,1,0))))))</f>
        <v>1</v>
      </c>
      <c r="V4944" s="328">
        <f>VLOOKUP(C4944,METADATA!$A$5:$H$29,IF(E4944="HI",2,IF(E4944="LO",6,10))+IF(T4944=1,2,IF(D4944=7,1,(IF(WEEKDAY(B4944)=1,2,IF(WEEKDAY(B4944)=7,1,0))))))</f>
        <v>1</v>
      </c>
    </row>
    <row r="4945" spans="2:22">
      <c r="B4945" s="318">
        <f t="shared" si="307"/>
        <v>46318</v>
      </c>
      <c r="C4945" s="312">
        <v>21</v>
      </c>
      <c r="D4945" s="368">
        <f>IFERROR((INDEX(METADATA!$T$2:$T$20,MATCH(B4945,METADATA!$S$2:$S$20,0))),0)</f>
        <v>0</v>
      </c>
      <c r="E4945" s="312" t="str">
        <f t="shared" si="308"/>
        <v>LO</v>
      </c>
      <c r="F4945" s="369">
        <f>VLOOKUP(C4945,METADATA!$A$5:$H$29,IF(E4945="HI",2,IF(E4945="LO",6,10))+IF(D4945=1,2,IF(D4945=7,1,(IF(WEEKDAY(B4945)=1,2,IF(WEEKDAY(B4945)=7,1,0))))))</f>
        <v>2</v>
      </c>
      <c r="G4945" s="369">
        <f>VLOOKUP(C4945,METADATA!$J$5:$Q$29,IF(E4945="HI",2,IF(E4945="LO",6,10))+IF(D4945=1,2,IF(D4945=7,1,(IF(WEEKDAY(B4945)=1,2,IF(WEEKDAY(B4945)=7,1,0))))))</f>
        <v>2</v>
      </c>
      <c r="H4945" s="370">
        <v>5624.614990234375</v>
      </c>
      <c r="I4945" s="370">
        <v>5619.6825256347656</v>
      </c>
      <c r="M4945" s="371">
        <f t="shared" si="309"/>
        <v>7950.9197881310547</v>
      </c>
      <c r="N4945" s="329">
        <f t="shared" si="310"/>
        <v>3932.2980285644535</v>
      </c>
      <c r="T4945" s="331">
        <v>0</v>
      </c>
      <c r="U4945" s="328">
        <f>VLOOKUP(C4945,METADATA!$J$5:$Q$29,IF(E4945="HI",2,IF(E4945="LO",6,10))+IF(T4945=1,2,IF(D4945=7,1,(IF(WEEKDAY(B4945)=1,2,IF(WEEKDAY(B4945)=7,1,0))))))</f>
        <v>2</v>
      </c>
      <c r="V4945" s="328">
        <f>VLOOKUP(C4945,METADATA!$A$5:$H$29,IF(E4945="HI",2,IF(E4945="LO",6,10))+IF(T4945=1,2,IF(D4945=7,1,(IF(WEEKDAY(B4945)=1,2,IF(WEEKDAY(B4945)=7,1,0))))))</f>
        <v>2</v>
      </c>
    </row>
    <row r="4946" spans="2:22">
      <c r="B4946" s="318">
        <f t="shared" si="307"/>
        <v>46318</v>
      </c>
      <c r="C4946" s="312">
        <v>22</v>
      </c>
      <c r="D4946" s="368">
        <f>IFERROR((INDEX(METADATA!$T$2:$T$20,MATCH(B4946,METADATA!$S$2:$S$20,0))),0)</f>
        <v>0</v>
      </c>
      <c r="E4946" s="312" t="str">
        <f t="shared" si="308"/>
        <v>LO</v>
      </c>
      <c r="F4946" s="369">
        <f>VLOOKUP(C4946,METADATA!$A$5:$H$29,IF(E4946="HI",2,IF(E4946="LO",6,10))+IF(D4946=1,2,IF(D4946=7,1,(IF(WEEKDAY(B4946)=1,2,IF(WEEKDAY(B4946)=7,1,0))))))</f>
        <v>3</v>
      </c>
      <c r="G4946" s="369">
        <f>VLOOKUP(C4946,METADATA!$J$5:$Q$29,IF(E4946="HI",2,IF(E4946="LO",6,10))+IF(D4946=1,2,IF(D4946=7,1,(IF(WEEKDAY(B4946)=1,2,IF(WEEKDAY(B4946)=7,1,0))))))</f>
        <v>3</v>
      </c>
      <c r="H4946" s="370">
        <v>5791.429931640625</v>
      </c>
      <c r="I4946" s="370">
        <v>5757.9375305175781</v>
      </c>
      <c r="M4946" s="371">
        <f t="shared" si="309"/>
        <v>8166.6703899720233</v>
      </c>
      <c r="N4946" s="329">
        <f t="shared" si="310"/>
        <v>4020.5085510253907</v>
      </c>
      <c r="T4946" s="331">
        <v>0</v>
      </c>
      <c r="U4946" s="328">
        <f>VLOOKUP(C4946,METADATA!$J$5:$Q$29,IF(E4946="HI",2,IF(E4946="LO",6,10))+IF(T4946=1,2,IF(D4946=7,1,(IF(WEEKDAY(B4946)=1,2,IF(WEEKDAY(B4946)=7,1,0))))))</f>
        <v>3</v>
      </c>
      <c r="V4946" s="328">
        <f>VLOOKUP(C4946,METADATA!$A$5:$H$29,IF(E4946="HI",2,IF(E4946="LO",6,10))+IF(T4946=1,2,IF(D4946=7,1,(IF(WEEKDAY(B4946)=1,2,IF(WEEKDAY(B4946)=7,1,0))))))</f>
        <v>3</v>
      </c>
    </row>
    <row r="4947" spans="2:22">
      <c r="B4947" s="318">
        <f t="shared" si="307"/>
        <v>46318</v>
      </c>
      <c r="C4947" s="312">
        <v>23</v>
      </c>
      <c r="D4947" s="368">
        <f>IFERROR((INDEX(METADATA!$T$2:$T$20,MATCH(B4947,METADATA!$S$2:$S$20,0))),0)</f>
        <v>0</v>
      </c>
      <c r="E4947" s="312" t="str">
        <f t="shared" si="308"/>
        <v>LO</v>
      </c>
      <c r="F4947" s="369">
        <f>VLOOKUP(C4947,METADATA!$A$5:$H$29,IF(E4947="HI",2,IF(E4947="LO",6,10))+IF(D4947=1,2,IF(D4947=7,1,(IF(WEEKDAY(B4947)=1,2,IF(WEEKDAY(B4947)=7,1,0))))))</f>
        <v>3</v>
      </c>
      <c r="G4947" s="369">
        <f>VLOOKUP(C4947,METADATA!$J$5:$Q$29,IF(E4947="HI",2,IF(E4947="LO",6,10))+IF(D4947=1,2,IF(D4947=7,1,(IF(WEEKDAY(B4947)=1,2,IF(WEEKDAY(B4947)=7,1,0))))))</f>
        <v>3</v>
      </c>
      <c r="H4947" s="370">
        <v>6721.5501708984375</v>
      </c>
      <c r="I4947" s="370">
        <v>6350.6900329589844</v>
      </c>
      <c r="M4947" s="371">
        <f t="shared" si="309"/>
        <v>9247.1887941487057</v>
      </c>
      <c r="N4947" s="329">
        <f t="shared" si="310"/>
        <v>4334.2249816894528</v>
      </c>
      <c r="T4947" s="331">
        <v>0</v>
      </c>
      <c r="U4947" s="328">
        <f>VLOOKUP(C4947,METADATA!$J$5:$Q$29,IF(E4947="HI",2,IF(E4947="LO",6,10))+IF(T4947=1,2,IF(D4947=7,1,(IF(WEEKDAY(B4947)=1,2,IF(WEEKDAY(B4947)=7,1,0))))))</f>
        <v>3</v>
      </c>
      <c r="V4947" s="328">
        <f>VLOOKUP(C4947,METADATA!$A$5:$H$29,IF(E4947="HI",2,IF(E4947="LO",6,10))+IF(T4947=1,2,IF(D4947=7,1,(IF(WEEKDAY(B4947)=1,2,IF(WEEKDAY(B4947)=7,1,0))))))</f>
        <v>3</v>
      </c>
    </row>
    <row r="4948" spans="2:22">
      <c r="B4948" s="318">
        <f t="shared" si="307"/>
        <v>46319</v>
      </c>
      <c r="C4948" s="312">
        <v>0</v>
      </c>
      <c r="D4948" s="368">
        <f>IFERROR((INDEX(METADATA!$T$2:$T$20,MATCH(B4948,METADATA!$S$2:$S$20,0))),0)</f>
        <v>0</v>
      </c>
      <c r="E4948" s="312" t="str">
        <f t="shared" si="308"/>
        <v>LO</v>
      </c>
      <c r="F4948" s="369">
        <f>VLOOKUP(C4948,METADATA!$A$5:$H$29,IF(E4948="HI",2,IF(E4948="LO",6,10))+IF(D4948=1,2,IF(D4948=7,1,(IF(WEEKDAY(B4948)=1,2,IF(WEEKDAY(B4948)=7,1,0))))))</f>
        <v>3</v>
      </c>
      <c r="G4948" s="369">
        <f>VLOOKUP(C4948,METADATA!$J$5:$Q$29,IF(E4948="HI",2,IF(E4948="LO",6,10))+IF(D4948=1,2,IF(D4948=7,1,(IF(WEEKDAY(B4948)=1,2,IF(WEEKDAY(B4948)=7,1,0))))))</f>
        <v>3</v>
      </c>
      <c r="H4948" s="370">
        <v>8355.099853515625</v>
      </c>
      <c r="I4948" s="370">
        <v>7272.4498901367188</v>
      </c>
      <c r="M4948" s="371">
        <f t="shared" si="309"/>
        <v>11076.832623397646</v>
      </c>
      <c r="N4948" s="329">
        <f t="shared" si="310"/>
        <v>4765.9199340820314</v>
      </c>
      <c r="T4948" s="331">
        <v>0</v>
      </c>
      <c r="U4948" s="328">
        <f>VLOOKUP(C4948,METADATA!$J$5:$Q$29,IF(E4948="HI",2,IF(E4948="LO",6,10))+IF(T4948=1,2,IF(D4948=7,1,(IF(WEEKDAY(B4948)=1,2,IF(WEEKDAY(B4948)=7,1,0))))))</f>
        <v>3</v>
      </c>
      <c r="V4948" s="328">
        <f>VLOOKUP(C4948,METADATA!$A$5:$H$29,IF(E4948="HI",2,IF(E4948="LO",6,10))+IF(T4948=1,2,IF(D4948=7,1,(IF(WEEKDAY(B4948)=1,2,IF(WEEKDAY(B4948)=7,1,0))))))</f>
        <v>3</v>
      </c>
    </row>
    <row r="4949" spans="2:22">
      <c r="B4949" s="318">
        <f t="shared" si="307"/>
        <v>46319</v>
      </c>
      <c r="C4949" s="312">
        <v>1</v>
      </c>
      <c r="D4949" s="368">
        <f>IFERROR((INDEX(METADATA!$T$2:$T$20,MATCH(B4949,METADATA!$S$2:$S$20,0))),0)</f>
        <v>0</v>
      </c>
      <c r="E4949" s="312" t="str">
        <f t="shared" si="308"/>
        <v>LO</v>
      </c>
      <c r="F4949" s="369">
        <f>VLOOKUP(C4949,METADATA!$A$5:$H$29,IF(E4949="HI",2,IF(E4949="LO",6,10))+IF(D4949=1,2,IF(D4949=7,1,(IF(WEEKDAY(B4949)=1,2,IF(WEEKDAY(B4949)=7,1,0))))))</f>
        <v>3</v>
      </c>
      <c r="G4949" s="369">
        <f>VLOOKUP(C4949,METADATA!$J$5:$Q$29,IF(E4949="HI",2,IF(E4949="LO",6,10))+IF(D4949=1,2,IF(D4949=7,1,(IF(WEEKDAY(B4949)=1,2,IF(WEEKDAY(B4949)=7,1,0))))))</f>
        <v>3</v>
      </c>
      <c r="H4949" s="370">
        <v>8049.8748779296875</v>
      </c>
      <c r="I4949" s="370">
        <v>7072.7000122070313</v>
      </c>
      <c r="M4949" s="371">
        <f t="shared" si="309"/>
        <v>10715.576093379061</v>
      </c>
      <c r="N4949" s="329">
        <f t="shared" si="310"/>
        <v>4657.737548828125</v>
      </c>
      <c r="T4949" s="331">
        <v>0</v>
      </c>
      <c r="U4949" s="328">
        <f>VLOOKUP(C4949,METADATA!$J$5:$Q$29,IF(E4949="HI",2,IF(E4949="LO",6,10))+IF(T4949=1,2,IF(D4949=7,1,(IF(WEEKDAY(B4949)=1,2,IF(WEEKDAY(B4949)=7,1,0))))))</f>
        <v>3</v>
      </c>
      <c r="V4949" s="328">
        <f>VLOOKUP(C4949,METADATA!$A$5:$H$29,IF(E4949="HI",2,IF(E4949="LO",6,10))+IF(T4949=1,2,IF(D4949=7,1,(IF(WEEKDAY(B4949)=1,2,IF(WEEKDAY(B4949)=7,1,0))))))</f>
        <v>3</v>
      </c>
    </row>
    <row r="4950" spans="2:22">
      <c r="B4950" s="318">
        <f t="shared" si="307"/>
        <v>46319</v>
      </c>
      <c r="C4950" s="312">
        <v>2</v>
      </c>
      <c r="D4950" s="368">
        <f>IFERROR((INDEX(METADATA!$T$2:$T$20,MATCH(B4950,METADATA!$S$2:$S$20,0))),0)</f>
        <v>0</v>
      </c>
      <c r="E4950" s="312" t="str">
        <f t="shared" si="308"/>
        <v>LO</v>
      </c>
      <c r="F4950" s="369">
        <f>VLOOKUP(C4950,METADATA!$A$5:$H$29,IF(E4950="HI",2,IF(E4950="LO",6,10))+IF(D4950=1,2,IF(D4950=7,1,(IF(WEEKDAY(B4950)=1,2,IF(WEEKDAY(B4950)=7,1,0))))))</f>
        <v>3</v>
      </c>
      <c r="G4950" s="369">
        <f>VLOOKUP(C4950,METADATA!$J$5:$Q$29,IF(E4950="HI",2,IF(E4950="LO",6,10))+IF(D4950=1,2,IF(D4950=7,1,(IF(WEEKDAY(B4950)=1,2,IF(WEEKDAY(B4950)=7,1,0))))))</f>
        <v>3</v>
      </c>
      <c r="H4950" s="370">
        <v>7985.9125366210938</v>
      </c>
      <c r="I4950" s="370">
        <v>7158.447509765625</v>
      </c>
      <c r="M4950" s="371">
        <f t="shared" si="309"/>
        <v>10724.652432253068</v>
      </c>
      <c r="N4950" s="329">
        <f t="shared" si="310"/>
        <v>4762.6737487792971</v>
      </c>
      <c r="T4950" s="331">
        <v>0</v>
      </c>
      <c r="U4950" s="328">
        <f>VLOOKUP(C4950,METADATA!$J$5:$Q$29,IF(E4950="HI",2,IF(E4950="LO",6,10))+IF(T4950=1,2,IF(D4950=7,1,(IF(WEEKDAY(B4950)=1,2,IF(WEEKDAY(B4950)=7,1,0))))))</f>
        <v>3</v>
      </c>
      <c r="V4950" s="328">
        <f>VLOOKUP(C4950,METADATA!$A$5:$H$29,IF(E4950="HI",2,IF(E4950="LO",6,10))+IF(T4950=1,2,IF(D4950=7,1,(IF(WEEKDAY(B4950)=1,2,IF(WEEKDAY(B4950)=7,1,0))))))</f>
        <v>3</v>
      </c>
    </row>
    <row r="4951" spans="2:22">
      <c r="B4951" s="318">
        <f t="shared" si="307"/>
        <v>46319</v>
      </c>
      <c r="C4951" s="312">
        <v>3</v>
      </c>
      <c r="D4951" s="368">
        <f>IFERROR((INDEX(METADATA!$T$2:$T$20,MATCH(B4951,METADATA!$S$2:$S$20,0))),0)</f>
        <v>0</v>
      </c>
      <c r="E4951" s="312" t="str">
        <f t="shared" si="308"/>
        <v>LO</v>
      </c>
      <c r="F4951" s="369">
        <f>VLOOKUP(C4951,METADATA!$A$5:$H$29,IF(E4951="HI",2,IF(E4951="LO",6,10))+IF(D4951=1,2,IF(D4951=7,1,(IF(WEEKDAY(B4951)=1,2,IF(WEEKDAY(B4951)=7,1,0))))))</f>
        <v>3</v>
      </c>
      <c r="G4951" s="369">
        <f>VLOOKUP(C4951,METADATA!$J$5:$Q$29,IF(E4951="HI",2,IF(E4951="LO",6,10))+IF(D4951=1,2,IF(D4951=7,1,(IF(WEEKDAY(B4951)=1,2,IF(WEEKDAY(B4951)=7,1,0))))))</f>
        <v>3</v>
      </c>
      <c r="H4951" s="370">
        <v>7713.8001708984375</v>
      </c>
      <c r="I4951" s="370">
        <v>7122.7500610351563</v>
      </c>
      <c r="M4951" s="371">
        <f t="shared" si="309"/>
        <v>10499.346718178664</v>
      </c>
      <c r="N4951" s="329">
        <f t="shared" si="310"/>
        <v>4808.6100097656254</v>
      </c>
      <c r="T4951" s="331">
        <v>0</v>
      </c>
      <c r="U4951" s="328">
        <f>VLOOKUP(C4951,METADATA!$J$5:$Q$29,IF(E4951="HI",2,IF(E4951="LO",6,10))+IF(T4951=1,2,IF(D4951=7,1,(IF(WEEKDAY(B4951)=1,2,IF(WEEKDAY(B4951)=7,1,0))))))</f>
        <v>3</v>
      </c>
      <c r="V4951" s="328">
        <f>VLOOKUP(C4951,METADATA!$A$5:$H$29,IF(E4951="HI",2,IF(E4951="LO",6,10))+IF(T4951=1,2,IF(D4951=7,1,(IF(WEEKDAY(B4951)=1,2,IF(WEEKDAY(B4951)=7,1,0))))))</f>
        <v>3</v>
      </c>
    </row>
    <row r="4952" spans="2:22">
      <c r="B4952" s="318">
        <f t="shared" si="307"/>
        <v>46319</v>
      </c>
      <c r="C4952" s="312">
        <v>4</v>
      </c>
      <c r="D4952" s="368">
        <f>IFERROR((INDEX(METADATA!$T$2:$T$20,MATCH(B4952,METADATA!$S$2:$S$20,0))),0)</f>
        <v>0</v>
      </c>
      <c r="E4952" s="312" t="str">
        <f t="shared" si="308"/>
        <v>LO</v>
      </c>
      <c r="F4952" s="369">
        <f>VLOOKUP(C4952,METADATA!$A$5:$H$29,IF(E4952="HI",2,IF(E4952="LO",6,10))+IF(D4952=1,2,IF(D4952=7,1,(IF(WEEKDAY(B4952)=1,2,IF(WEEKDAY(B4952)=7,1,0))))))</f>
        <v>3</v>
      </c>
      <c r="G4952" s="369">
        <f>VLOOKUP(C4952,METADATA!$J$5:$Q$29,IF(E4952="HI",2,IF(E4952="LO",6,10))+IF(D4952=1,2,IF(D4952=7,1,(IF(WEEKDAY(B4952)=1,2,IF(WEEKDAY(B4952)=7,1,0))))))</f>
        <v>3</v>
      </c>
      <c r="H4952" s="370">
        <v>6321.7999267578125</v>
      </c>
      <c r="I4952" s="370">
        <v>6198.7000732421875</v>
      </c>
      <c r="M4952" s="371">
        <f t="shared" si="309"/>
        <v>8853.7583495353992</v>
      </c>
      <c r="N4952" s="329">
        <f t="shared" si="310"/>
        <v>4302.1600952148438</v>
      </c>
      <c r="T4952" s="331">
        <v>0</v>
      </c>
      <c r="U4952" s="328">
        <f>VLOOKUP(C4952,METADATA!$J$5:$Q$29,IF(E4952="HI",2,IF(E4952="LO",6,10))+IF(T4952=1,2,IF(D4952=7,1,(IF(WEEKDAY(B4952)=1,2,IF(WEEKDAY(B4952)=7,1,0))))))</f>
        <v>3</v>
      </c>
      <c r="V4952" s="328">
        <f>VLOOKUP(C4952,METADATA!$A$5:$H$29,IF(E4952="HI",2,IF(E4952="LO",6,10))+IF(T4952=1,2,IF(D4952=7,1,(IF(WEEKDAY(B4952)=1,2,IF(WEEKDAY(B4952)=7,1,0))))))</f>
        <v>3</v>
      </c>
    </row>
    <row r="4953" spans="2:22">
      <c r="B4953" s="318">
        <f t="shared" si="307"/>
        <v>46319</v>
      </c>
      <c r="C4953" s="312">
        <v>5</v>
      </c>
      <c r="D4953" s="368">
        <f>IFERROR((INDEX(METADATA!$T$2:$T$20,MATCH(B4953,METADATA!$S$2:$S$20,0))),0)</f>
        <v>0</v>
      </c>
      <c r="E4953" s="312" t="str">
        <f t="shared" si="308"/>
        <v>LO</v>
      </c>
      <c r="F4953" s="369">
        <f>VLOOKUP(C4953,METADATA!$A$5:$H$29,IF(E4953="HI",2,IF(E4953="LO",6,10))+IF(D4953=1,2,IF(D4953=7,1,(IF(WEEKDAY(B4953)=1,2,IF(WEEKDAY(B4953)=7,1,0))))))</f>
        <v>3</v>
      </c>
      <c r="G4953" s="369">
        <f>VLOOKUP(C4953,METADATA!$J$5:$Q$29,IF(E4953="HI",2,IF(E4953="LO",6,10))+IF(D4953=1,2,IF(D4953=7,1,(IF(WEEKDAY(B4953)=1,2,IF(WEEKDAY(B4953)=7,1,0))))))</f>
        <v>3</v>
      </c>
      <c r="H4953" s="370">
        <v>7785.4701232910156</v>
      </c>
      <c r="I4953" s="370">
        <v>7017.20751953125</v>
      </c>
      <c r="M4953" s="371">
        <f t="shared" si="309"/>
        <v>10481.161501132541</v>
      </c>
      <c r="N4953" s="329">
        <f t="shared" si="310"/>
        <v>4681.5664825439453</v>
      </c>
      <c r="T4953" s="331">
        <v>0</v>
      </c>
      <c r="U4953" s="328">
        <f>VLOOKUP(C4953,METADATA!$J$5:$Q$29,IF(E4953="HI",2,IF(E4953="LO",6,10))+IF(T4953=1,2,IF(D4953=7,1,(IF(WEEKDAY(B4953)=1,2,IF(WEEKDAY(B4953)=7,1,0))))))</f>
        <v>3</v>
      </c>
      <c r="V4953" s="328">
        <f>VLOOKUP(C4953,METADATA!$A$5:$H$29,IF(E4953="HI",2,IF(E4953="LO",6,10))+IF(T4953=1,2,IF(D4953=7,1,(IF(WEEKDAY(B4953)=1,2,IF(WEEKDAY(B4953)=7,1,0))))))</f>
        <v>3</v>
      </c>
    </row>
    <row r="4954" spans="2:22">
      <c r="B4954" s="318">
        <f t="shared" si="307"/>
        <v>46319</v>
      </c>
      <c r="C4954" s="312">
        <v>6</v>
      </c>
      <c r="D4954" s="368">
        <f>IFERROR((INDEX(METADATA!$T$2:$T$20,MATCH(B4954,METADATA!$S$2:$S$20,0))),0)</f>
        <v>0</v>
      </c>
      <c r="E4954" s="312" t="str">
        <f t="shared" si="308"/>
        <v>LO</v>
      </c>
      <c r="F4954" s="369">
        <f>VLOOKUP(C4954,METADATA!$A$5:$H$29,IF(E4954="HI",2,IF(E4954="LO",6,10))+IF(D4954=1,2,IF(D4954=7,1,(IF(WEEKDAY(B4954)=1,2,IF(WEEKDAY(B4954)=7,1,0))))))</f>
        <v>3</v>
      </c>
      <c r="G4954" s="369">
        <f>VLOOKUP(C4954,METADATA!$J$5:$Q$29,IF(E4954="HI",2,IF(E4954="LO",6,10))+IF(D4954=1,2,IF(D4954=7,1,(IF(WEEKDAY(B4954)=1,2,IF(WEEKDAY(B4954)=7,1,0))))))</f>
        <v>3</v>
      </c>
      <c r="H4954" s="370">
        <v>6906.7398681640625</v>
      </c>
      <c r="I4954" s="370">
        <v>6489.6199951171875</v>
      </c>
      <c r="M4954" s="371">
        <f t="shared" si="309"/>
        <v>9477.2476641434114</v>
      </c>
      <c r="N4954" s="329">
        <f t="shared" si="310"/>
        <v>4417.5980346679689</v>
      </c>
      <c r="T4954" s="331">
        <v>0</v>
      </c>
      <c r="U4954" s="328">
        <f>VLOOKUP(C4954,METADATA!$J$5:$Q$29,IF(E4954="HI",2,IF(E4954="LO",6,10))+IF(T4954=1,2,IF(D4954=7,1,(IF(WEEKDAY(B4954)=1,2,IF(WEEKDAY(B4954)=7,1,0))))))</f>
        <v>3</v>
      </c>
      <c r="V4954" s="328">
        <f>VLOOKUP(C4954,METADATA!$A$5:$H$29,IF(E4954="HI",2,IF(E4954="LO",6,10))+IF(T4954=1,2,IF(D4954=7,1,(IF(WEEKDAY(B4954)=1,2,IF(WEEKDAY(B4954)=7,1,0))))))</f>
        <v>3</v>
      </c>
    </row>
    <row r="4955" spans="2:22">
      <c r="B4955" s="318">
        <f t="shared" si="307"/>
        <v>46319</v>
      </c>
      <c r="C4955" s="312">
        <v>7</v>
      </c>
      <c r="D4955" s="368">
        <f>IFERROR((INDEX(METADATA!$T$2:$T$20,MATCH(B4955,METADATA!$S$2:$S$20,0))),0)</f>
        <v>0</v>
      </c>
      <c r="E4955" s="312" t="str">
        <f t="shared" si="308"/>
        <v>LO</v>
      </c>
      <c r="F4955" s="369">
        <f>VLOOKUP(C4955,METADATA!$A$5:$H$29,IF(E4955="HI",2,IF(E4955="LO",6,10))+IF(D4955=1,2,IF(D4955=7,1,(IF(WEEKDAY(B4955)=1,2,IF(WEEKDAY(B4955)=7,1,0))))))</f>
        <v>2</v>
      </c>
      <c r="G4955" s="369">
        <f>VLOOKUP(C4955,METADATA!$J$5:$Q$29,IF(E4955="HI",2,IF(E4955="LO",6,10))+IF(D4955=1,2,IF(D4955=7,1,(IF(WEEKDAY(B4955)=1,2,IF(WEEKDAY(B4955)=7,1,0))))))</f>
        <v>2</v>
      </c>
      <c r="H4955" s="370">
        <v>7405.6649169921875</v>
      </c>
      <c r="I4955" s="370">
        <v>6715.8724365234375</v>
      </c>
      <c r="M4955" s="371">
        <f t="shared" si="309"/>
        <v>9997.3404186525604</v>
      </c>
      <c r="N4955" s="329">
        <f t="shared" si="310"/>
        <v>4494.172961425782</v>
      </c>
      <c r="T4955" s="331">
        <v>0</v>
      </c>
      <c r="U4955" s="328">
        <f>VLOOKUP(C4955,METADATA!$J$5:$Q$29,IF(E4955="HI",2,IF(E4955="LO",6,10))+IF(T4955=1,2,IF(D4955=7,1,(IF(WEEKDAY(B4955)=1,2,IF(WEEKDAY(B4955)=7,1,0))))))</f>
        <v>2</v>
      </c>
      <c r="V4955" s="328">
        <f>VLOOKUP(C4955,METADATA!$A$5:$H$29,IF(E4955="HI",2,IF(E4955="LO",6,10))+IF(T4955=1,2,IF(D4955=7,1,(IF(WEEKDAY(B4955)=1,2,IF(WEEKDAY(B4955)=7,1,0))))))</f>
        <v>2</v>
      </c>
    </row>
    <row r="4956" spans="2:22">
      <c r="B4956" s="318">
        <f t="shared" ref="B4956:B5019" si="311">B4932+1</f>
        <v>46319</v>
      </c>
      <c r="C4956" s="312">
        <v>8</v>
      </c>
      <c r="D4956" s="368">
        <f>IFERROR((INDEX(METADATA!$T$2:$T$20,MATCH(B4956,METADATA!$S$2:$S$20,0))),0)</f>
        <v>0</v>
      </c>
      <c r="E4956" s="312" t="str">
        <f t="shared" si="308"/>
        <v>LO</v>
      </c>
      <c r="F4956" s="369">
        <f>VLOOKUP(C4956,METADATA!$A$5:$H$29,IF(E4956="HI",2,IF(E4956="LO",6,10))+IF(D4956=1,2,IF(D4956=7,1,(IF(WEEKDAY(B4956)=1,2,IF(WEEKDAY(B4956)=7,1,0))))))</f>
        <v>2</v>
      </c>
      <c r="G4956" s="369">
        <f>VLOOKUP(C4956,METADATA!$J$5:$Q$29,IF(E4956="HI",2,IF(E4956="LO",6,10))+IF(D4956=1,2,IF(D4956=7,1,(IF(WEEKDAY(B4956)=1,2,IF(WEEKDAY(B4956)=7,1,0))))))</f>
        <v>2</v>
      </c>
      <c r="H4956" s="370">
        <v>10586.502227783203</v>
      </c>
      <c r="I4956" s="370">
        <v>8681.7899780273438</v>
      </c>
      <c r="M4956" s="371">
        <f t="shared" si="309"/>
        <v>13691.147017011932</v>
      </c>
      <c r="N4956" s="329">
        <f t="shared" si="310"/>
        <v>5505.8393096923828</v>
      </c>
      <c r="T4956" s="331">
        <v>0</v>
      </c>
      <c r="U4956" s="328">
        <f>VLOOKUP(C4956,METADATA!$J$5:$Q$29,IF(E4956="HI",2,IF(E4956="LO",6,10))+IF(T4956=1,2,IF(D4956=7,1,(IF(WEEKDAY(B4956)=1,2,IF(WEEKDAY(B4956)=7,1,0))))))</f>
        <v>2</v>
      </c>
      <c r="V4956" s="328">
        <f>VLOOKUP(C4956,METADATA!$A$5:$H$29,IF(E4956="HI",2,IF(E4956="LO",6,10))+IF(T4956=1,2,IF(D4956=7,1,(IF(WEEKDAY(B4956)=1,2,IF(WEEKDAY(B4956)=7,1,0))))))</f>
        <v>2</v>
      </c>
    </row>
    <row r="4957" spans="2:22">
      <c r="B4957" s="318">
        <f t="shared" si="311"/>
        <v>46319</v>
      </c>
      <c r="C4957" s="312">
        <v>9</v>
      </c>
      <c r="D4957" s="368">
        <f>IFERROR((INDEX(METADATA!$T$2:$T$20,MATCH(B4957,METADATA!$S$2:$S$20,0))),0)</f>
        <v>0</v>
      </c>
      <c r="E4957" s="312" t="str">
        <f t="shared" si="308"/>
        <v>LO</v>
      </c>
      <c r="F4957" s="369">
        <f>VLOOKUP(C4957,METADATA!$A$5:$H$29,IF(E4957="HI",2,IF(E4957="LO",6,10))+IF(D4957=1,2,IF(D4957=7,1,(IF(WEEKDAY(B4957)=1,2,IF(WEEKDAY(B4957)=7,1,0))))))</f>
        <v>2</v>
      </c>
      <c r="G4957" s="369">
        <f>VLOOKUP(C4957,METADATA!$J$5:$Q$29,IF(E4957="HI",2,IF(E4957="LO",6,10))+IF(D4957=1,2,IF(D4957=7,1,(IF(WEEKDAY(B4957)=1,2,IF(WEEKDAY(B4957)=7,1,0))))))</f>
        <v>2</v>
      </c>
      <c r="H4957" s="370">
        <v>7506.5599975585938</v>
      </c>
      <c r="I4957" s="370">
        <v>7871.5025329589844</v>
      </c>
      <c r="M4957" s="371">
        <f t="shared" si="309"/>
        <v>10876.993845880697</v>
      </c>
      <c r="N4957" s="329">
        <f t="shared" si="310"/>
        <v>5619.534533691407</v>
      </c>
      <c r="T4957" s="331">
        <v>0</v>
      </c>
      <c r="U4957" s="328">
        <f>VLOOKUP(C4957,METADATA!$J$5:$Q$29,IF(E4957="HI",2,IF(E4957="LO",6,10))+IF(T4957=1,2,IF(D4957=7,1,(IF(WEEKDAY(B4957)=1,2,IF(WEEKDAY(B4957)=7,1,0))))))</f>
        <v>2</v>
      </c>
      <c r="V4957" s="328">
        <f>VLOOKUP(C4957,METADATA!$A$5:$H$29,IF(E4957="HI",2,IF(E4957="LO",6,10))+IF(T4957=1,2,IF(D4957=7,1,(IF(WEEKDAY(B4957)=1,2,IF(WEEKDAY(B4957)=7,1,0))))))</f>
        <v>2</v>
      </c>
    </row>
    <row r="4958" spans="2:22">
      <c r="B4958" s="318">
        <f t="shared" si="311"/>
        <v>46319</v>
      </c>
      <c r="C4958" s="312">
        <v>10</v>
      </c>
      <c r="D4958" s="368">
        <f>IFERROR((INDEX(METADATA!$T$2:$T$20,MATCH(B4958,METADATA!$S$2:$S$20,0))),0)</f>
        <v>0</v>
      </c>
      <c r="E4958" s="312" t="str">
        <f t="shared" si="308"/>
        <v>LO</v>
      </c>
      <c r="F4958" s="369">
        <f>VLOOKUP(C4958,METADATA!$A$5:$H$29,IF(E4958="HI",2,IF(E4958="LO",6,10))+IF(D4958=1,2,IF(D4958=7,1,(IF(WEEKDAY(B4958)=1,2,IF(WEEKDAY(B4958)=7,1,0))))))</f>
        <v>2</v>
      </c>
      <c r="G4958" s="369">
        <f>VLOOKUP(C4958,METADATA!$J$5:$Q$29,IF(E4958="HI",2,IF(E4958="LO",6,10))+IF(D4958=1,2,IF(D4958=7,1,(IF(WEEKDAY(B4958)=1,2,IF(WEEKDAY(B4958)=7,1,0))))))</f>
        <v>2</v>
      </c>
      <c r="H4958" s="370">
        <v>10444.417266845703</v>
      </c>
      <c r="I4958" s="370">
        <v>9370.7129211425781</v>
      </c>
      <c r="M4958" s="371">
        <f t="shared" si="309"/>
        <v>14031.96752755839</v>
      </c>
      <c r="N4958" s="329">
        <f t="shared" si="310"/>
        <v>6237.3877410888672</v>
      </c>
      <c r="T4958" s="331">
        <v>0</v>
      </c>
      <c r="U4958" s="328">
        <f>VLOOKUP(C4958,METADATA!$J$5:$Q$29,IF(E4958="HI",2,IF(E4958="LO",6,10))+IF(T4958=1,2,IF(D4958=7,1,(IF(WEEKDAY(B4958)=1,2,IF(WEEKDAY(B4958)=7,1,0))))))</f>
        <v>2</v>
      </c>
      <c r="V4958" s="328">
        <f>VLOOKUP(C4958,METADATA!$A$5:$H$29,IF(E4958="HI",2,IF(E4958="LO",6,10))+IF(T4958=1,2,IF(D4958=7,1,(IF(WEEKDAY(B4958)=1,2,IF(WEEKDAY(B4958)=7,1,0))))))</f>
        <v>2</v>
      </c>
    </row>
    <row r="4959" spans="2:22">
      <c r="B4959" s="318">
        <f t="shared" si="311"/>
        <v>46319</v>
      </c>
      <c r="C4959" s="312">
        <v>11</v>
      </c>
      <c r="D4959" s="368">
        <f>IFERROR((INDEX(METADATA!$T$2:$T$20,MATCH(B4959,METADATA!$S$2:$S$20,0))),0)</f>
        <v>0</v>
      </c>
      <c r="E4959" s="312" t="str">
        <f t="shared" si="308"/>
        <v>LO</v>
      </c>
      <c r="F4959" s="369">
        <f>VLOOKUP(C4959,METADATA!$A$5:$H$29,IF(E4959="HI",2,IF(E4959="LO",6,10))+IF(D4959=1,2,IF(D4959=7,1,(IF(WEEKDAY(B4959)=1,2,IF(WEEKDAY(B4959)=7,1,0))))))</f>
        <v>2</v>
      </c>
      <c r="G4959" s="369">
        <f>VLOOKUP(C4959,METADATA!$J$5:$Q$29,IF(E4959="HI",2,IF(E4959="LO",6,10))+IF(D4959=1,2,IF(D4959=7,1,(IF(WEEKDAY(B4959)=1,2,IF(WEEKDAY(B4959)=7,1,0))))))</f>
        <v>2</v>
      </c>
      <c r="H4959" s="370">
        <v>12776.250061035156</v>
      </c>
      <c r="I4959" s="370">
        <v>10344.799987792969</v>
      </c>
      <c r="M4959" s="371">
        <f t="shared" si="309"/>
        <v>16439.204737746353</v>
      </c>
      <c r="N4959" s="329">
        <f t="shared" si="310"/>
        <v>6511.9249694824221</v>
      </c>
      <c r="T4959" s="331">
        <v>0</v>
      </c>
      <c r="U4959" s="328">
        <f>VLOOKUP(C4959,METADATA!$J$5:$Q$29,IF(E4959="HI",2,IF(E4959="LO",6,10))+IF(T4959=1,2,IF(D4959=7,1,(IF(WEEKDAY(B4959)=1,2,IF(WEEKDAY(B4959)=7,1,0))))))</f>
        <v>2</v>
      </c>
      <c r="V4959" s="328">
        <f>VLOOKUP(C4959,METADATA!$A$5:$H$29,IF(E4959="HI",2,IF(E4959="LO",6,10))+IF(T4959=1,2,IF(D4959=7,1,(IF(WEEKDAY(B4959)=1,2,IF(WEEKDAY(B4959)=7,1,0))))))</f>
        <v>2</v>
      </c>
    </row>
    <row r="4960" spans="2:22">
      <c r="B4960" s="318">
        <f t="shared" si="311"/>
        <v>46319</v>
      </c>
      <c r="C4960" s="312">
        <v>12</v>
      </c>
      <c r="D4960" s="368">
        <f>IFERROR((INDEX(METADATA!$T$2:$T$20,MATCH(B4960,METADATA!$S$2:$S$20,0))),0)</f>
        <v>0</v>
      </c>
      <c r="E4960" s="312" t="str">
        <f t="shared" si="308"/>
        <v>LO</v>
      </c>
      <c r="F4960" s="369">
        <f>VLOOKUP(C4960,METADATA!$A$5:$H$29,IF(E4960="HI",2,IF(E4960="LO",6,10))+IF(D4960=1,2,IF(D4960=7,1,(IF(WEEKDAY(B4960)=1,2,IF(WEEKDAY(B4960)=7,1,0))))))</f>
        <v>3</v>
      </c>
      <c r="G4960" s="369">
        <f>VLOOKUP(C4960,METADATA!$J$5:$Q$29,IF(E4960="HI",2,IF(E4960="LO",6,10))+IF(D4960=1,2,IF(D4960=7,1,(IF(WEEKDAY(B4960)=1,2,IF(WEEKDAY(B4960)=7,1,0))))))</f>
        <v>3</v>
      </c>
      <c r="H4960" s="370">
        <v>12966.800231933594</v>
      </c>
      <c r="I4960" s="370">
        <v>10383.525024414063</v>
      </c>
      <c r="M4960" s="371">
        <f t="shared" si="309"/>
        <v>16611.908384875776</v>
      </c>
      <c r="N4960" s="329">
        <f t="shared" si="310"/>
        <v>6493.4849548339844</v>
      </c>
      <c r="T4960" s="331">
        <v>0</v>
      </c>
      <c r="U4960" s="328">
        <f>VLOOKUP(C4960,METADATA!$J$5:$Q$29,IF(E4960="HI",2,IF(E4960="LO",6,10))+IF(T4960=1,2,IF(D4960=7,1,(IF(WEEKDAY(B4960)=1,2,IF(WEEKDAY(B4960)=7,1,0))))))</f>
        <v>3</v>
      </c>
      <c r="V4960" s="328">
        <f>VLOOKUP(C4960,METADATA!$A$5:$H$29,IF(E4960="HI",2,IF(E4960="LO",6,10))+IF(T4960=1,2,IF(D4960=7,1,(IF(WEEKDAY(B4960)=1,2,IF(WEEKDAY(B4960)=7,1,0))))))</f>
        <v>3</v>
      </c>
    </row>
    <row r="4961" spans="2:22">
      <c r="B4961" s="318">
        <f t="shared" si="311"/>
        <v>46319</v>
      </c>
      <c r="C4961" s="312">
        <v>13</v>
      </c>
      <c r="D4961" s="368">
        <f>IFERROR((INDEX(METADATA!$T$2:$T$20,MATCH(B4961,METADATA!$S$2:$S$20,0))),0)</f>
        <v>0</v>
      </c>
      <c r="E4961" s="312" t="str">
        <f t="shared" si="308"/>
        <v>LO</v>
      </c>
      <c r="F4961" s="369">
        <f>VLOOKUP(C4961,METADATA!$A$5:$H$29,IF(E4961="HI",2,IF(E4961="LO",6,10))+IF(D4961=1,2,IF(D4961=7,1,(IF(WEEKDAY(B4961)=1,2,IF(WEEKDAY(B4961)=7,1,0))))))</f>
        <v>3</v>
      </c>
      <c r="G4961" s="369">
        <f>VLOOKUP(C4961,METADATA!$J$5:$Q$29,IF(E4961="HI",2,IF(E4961="LO",6,10))+IF(D4961=1,2,IF(D4961=7,1,(IF(WEEKDAY(B4961)=1,2,IF(WEEKDAY(B4961)=7,1,0))))))</f>
        <v>3</v>
      </c>
      <c r="H4961" s="370">
        <v>12494.659912109375</v>
      </c>
      <c r="I4961" s="370">
        <v>10179.130187988281</v>
      </c>
      <c r="M4961" s="371">
        <f t="shared" si="309"/>
        <v>16116.178756246389</v>
      </c>
      <c r="N4961" s="329">
        <f t="shared" si="310"/>
        <v>6430.7322143554684</v>
      </c>
      <c r="T4961" s="331">
        <v>0</v>
      </c>
      <c r="U4961" s="328">
        <f>VLOOKUP(C4961,METADATA!$J$5:$Q$29,IF(E4961="HI",2,IF(E4961="LO",6,10))+IF(T4961=1,2,IF(D4961=7,1,(IF(WEEKDAY(B4961)=1,2,IF(WEEKDAY(B4961)=7,1,0))))))</f>
        <v>3</v>
      </c>
      <c r="V4961" s="328">
        <f>VLOOKUP(C4961,METADATA!$A$5:$H$29,IF(E4961="HI",2,IF(E4961="LO",6,10))+IF(T4961=1,2,IF(D4961=7,1,(IF(WEEKDAY(B4961)=1,2,IF(WEEKDAY(B4961)=7,1,0))))))</f>
        <v>3</v>
      </c>
    </row>
    <row r="4962" spans="2:22">
      <c r="B4962" s="318">
        <f t="shared" si="311"/>
        <v>46319</v>
      </c>
      <c r="C4962" s="312">
        <v>14</v>
      </c>
      <c r="D4962" s="368">
        <f>IFERROR((INDEX(METADATA!$T$2:$T$20,MATCH(B4962,METADATA!$S$2:$S$20,0))),0)</f>
        <v>0</v>
      </c>
      <c r="E4962" s="312" t="str">
        <f t="shared" si="308"/>
        <v>LO</v>
      </c>
      <c r="F4962" s="369">
        <f>VLOOKUP(C4962,METADATA!$A$5:$H$29,IF(E4962="HI",2,IF(E4962="LO",6,10))+IF(D4962=1,2,IF(D4962=7,1,(IF(WEEKDAY(B4962)=1,2,IF(WEEKDAY(B4962)=7,1,0))))))</f>
        <v>3</v>
      </c>
      <c r="G4962" s="369">
        <f>VLOOKUP(C4962,METADATA!$J$5:$Q$29,IF(E4962="HI",2,IF(E4962="LO",6,10))+IF(D4962=1,2,IF(D4962=7,1,(IF(WEEKDAY(B4962)=1,2,IF(WEEKDAY(B4962)=7,1,0))))))</f>
        <v>3</v>
      </c>
      <c r="H4962" s="370">
        <v>11760.047180175781</v>
      </c>
      <c r="I4962" s="370">
        <v>9864.0472412109375</v>
      </c>
      <c r="M4962" s="371">
        <f t="shared" si="309"/>
        <v>15349.206417818526</v>
      </c>
      <c r="N4962" s="329">
        <f t="shared" si="310"/>
        <v>6336.0330871582028</v>
      </c>
      <c r="T4962" s="331">
        <v>0</v>
      </c>
      <c r="U4962" s="328">
        <f>VLOOKUP(C4962,METADATA!$J$5:$Q$29,IF(E4962="HI",2,IF(E4962="LO",6,10))+IF(T4962=1,2,IF(D4962=7,1,(IF(WEEKDAY(B4962)=1,2,IF(WEEKDAY(B4962)=7,1,0))))))</f>
        <v>3</v>
      </c>
      <c r="V4962" s="328">
        <f>VLOOKUP(C4962,METADATA!$A$5:$H$29,IF(E4962="HI",2,IF(E4962="LO",6,10))+IF(T4962=1,2,IF(D4962=7,1,(IF(WEEKDAY(B4962)=1,2,IF(WEEKDAY(B4962)=7,1,0))))))</f>
        <v>3</v>
      </c>
    </row>
    <row r="4963" spans="2:22">
      <c r="B4963" s="318">
        <f t="shared" si="311"/>
        <v>46319</v>
      </c>
      <c r="C4963" s="312">
        <v>15</v>
      </c>
      <c r="D4963" s="368">
        <f>IFERROR((INDEX(METADATA!$T$2:$T$20,MATCH(B4963,METADATA!$S$2:$S$20,0))),0)</f>
        <v>0</v>
      </c>
      <c r="E4963" s="312" t="str">
        <f t="shared" si="308"/>
        <v>LO</v>
      </c>
      <c r="F4963" s="369">
        <f>VLOOKUP(C4963,METADATA!$A$5:$H$29,IF(E4963="HI",2,IF(E4963="LO",6,10))+IF(D4963=1,2,IF(D4963=7,1,(IF(WEEKDAY(B4963)=1,2,IF(WEEKDAY(B4963)=7,1,0))))))</f>
        <v>3</v>
      </c>
      <c r="G4963" s="369">
        <f>VLOOKUP(C4963,METADATA!$J$5:$Q$29,IF(E4963="HI",2,IF(E4963="LO",6,10))+IF(D4963=1,2,IF(D4963=7,1,(IF(WEEKDAY(B4963)=1,2,IF(WEEKDAY(B4963)=7,1,0))))))</f>
        <v>3</v>
      </c>
      <c r="H4963" s="370">
        <v>12542.049987792969</v>
      </c>
      <c r="I4963" s="370">
        <v>10372.630096435547</v>
      </c>
      <c r="M4963" s="371">
        <f t="shared" si="309"/>
        <v>16275.579037741732</v>
      </c>
      <c r="N4963" s="329">
        <f t="shared" si="310"/>
        <v>6610.0151000976566</v>
      </c>
      <c r="T4963" s="331">
        <v>0</v>
      </c>
      <c r="U4963" s="328">
        <f>VLOOKUP(C4963,METADATA!$J$5:$Q$29,IF(E4963="HI",2,IF(E4963="LO",6,10))+IF(T4963=1,2,IF(D4963=7,1,(IF(WEEKDAY(B4963)=1,2,IF(WEEKDAY(B4963)=7,1,0))))))</f>
        <v>3</v>
      </c>
      <c r="V4963" s="328">
        <f>VLOOKUP(C4963,METADATA!$A$5:$H$29,IF(E4963="HI",2,IF(E4963="LO",6,10))+IF(T4963=1,2,IF(D4963=7,1,(IF(WEEKDAY(B4963)=1,2,IF(WEEKDAY(B4963)=7,1,0))))))</f>
        <v>3</v>
      </c>
    </row>
    <row r="4964" spans="2:22">
      <c r="B4964" s="318">
        <f t="shared" si="311"/>
        <v>46319</v>
      </c>
      <c r="C4964" s="312">
        <v>16</v>
      </c>
      <c r="D4964" s="368">
        <f>IFERROR((INDEX(METADATA!$T$2:$T$20,MATCH(B4964,METADATA!$S$2:$S$20,0))),0)</f>
        <v>0</v>
      </c>
      <c r="E4964" s="312" t="str">
        <f t="shared" si="308"/>
        <v>LO</v>
      </c>
      <c r="F4964" s="369">
        <f>VLOOKUP(C4964,METADATA!$A$5:$H$29,IF(E4964="HI",2,IF(E4964="LO",6,10))+IF(D4964=1,2,IF(D4964=7,1,(IF(WEEKDAY(B4964)=1,2,IF(WEEKDAY(B4964)=7,1,0))))))</f>
        <v>3</v>
      </c>
      <c r="G4964" s="369">
        <f>VLOOKUP(C4964,METADATA!$J$5:$Q$29,IF(E4964="HI",2,IF(E4964="LO",6,10))+IF(D4964=1,2,IF(D4964=7,1,(IF(WEEKDAY(B4964)=1,2,IF(WEEKDAY(B4964)=7,1,0))))))</f>
        <v>3</v>
      </c>
      <c r="H4964" s="370">
        <v>13670.899963378906</v>
      </c>
      <c r="I4964" s="370">
        <v>10971.874877929688</v>
      </c>
      <c r="M4964" s="371">
        <f t="shared" si="309"/>
        <v>17529.27677189387</v>
      </c>
      <c r="N4964" s="329">
        <f t="shared" si="310"/>
        <v>6870.6048889160156</v>
      </c>
      <c r="T4964" s="331">
        <v>0</v>
      </c>
      <c r="U4964" s="328">
        <f>VLOOKUP(C4964,METADATA!$J$5:$Q$29,IF(E4964="HI",2,IF(E4964="LO",6,10))+IF(T4964=1,2,IF(D4964=7,1,(IF(WEEKDAY(B4964)=1,2,IF(WEEKDAY(B4964)=7,1,0))))))</f>
        <v>3</v>
      </c>
      <c r="V4964" s="328">
        <f>VLOOKUP(C4964,METADATA!$A$5:$H$29,IF(E4964="HI",2,IF(E4964="LO",6,10))+IF(T4964=1,2,IF(D4964=7,1,(IF(WEEKDAY(B4964)=1,2,IF(WEEKDAY(B4964)=7,1,0))))))</f>
        <v>3</v>
      </c>
    </row>
    <row r="4965" spans="2:22">
      <c r="B4965" s="318">
        <f t="shared" si="311"/>
        <v>46319</v>
      </c>
      <c r="C4965" s="312">
        <v>17</v>
      </c>
      <c r="D4965" s="368">
        <f>IFERROR((INDEX(METADATA!$T$2:$T$20,MATCH(B4965,METADATA!$S$2:$S$20,0))),0)</f>
        <v>0</v>
      </c>
      <c r="E4965" s="312" t="str">
        <f t="shared" si="308"/>
        <v>LO</v>
      </c>
      <c r="F4965" s="369">
        <f>VLOOKUP(C4965,METADATA!$A$5:$H$29,IF(E4965="HI",2,IF(E4965="LO",6,10))+IF(D4965=1,2,IF(D4965=7,1,(IF(WEEKDAY(B4965)=1,2,IF(WEEKDAY(B4965)=7,1,0))))))</f>
        <v>3</v>
      </c>
      <c r="G4965" s="369">
        <f>VLOOKUP(C4965,METADATA!$J$5:$Q$29,IF(E4965="HI",2,IF(E4965="LO",6,10))+IF(D4965=1,2,IF(D4965=7,1,(IF(WEEKDAY(B4965)=1,2,IF(WEEKDAY(B4965)=7,1,0))))))</f>
        <v>3</v>
      </c>
      <c r="H4965" s="370">
        <v>13495.499877929688</v>
      </c>
      <c r="I4965" s="370">
        <v>10882.600158691406</v>
      </c>
      <c r="M4965" s="371">
        <f t="shared" si="309"/>
        <v>17336.652017305718</v>
      </c>
      <c r="N4965" s="329">
        <f t="shared" si="310"/>
        <v>6833.9501953125</v>
      </c>
      <c r="T4965" s="331">
        <v>0</v>
      </c>
      <c r="U4965" s="328">
        <f>VLOOKUP(C4965,METADATA!$J$5:$Q$29,IF(E4965="HI",2,IF(E4965="LO",6,10))+IF(T4965=1,2,IF(D4965=7,1,(IF(WEEKDAY(B4965)=1,2,IF(WEEKDAY(B4965)=7,1,0))))))</f>
        <v>3</v>
      </c>
      <c r="V4965" s="328">
        <f>VLOOKUP(C4965,METADATA!$A$5:$H$29,IF(E4965="HI",2,IF(E4965="LO",6,10))+IF(T4965=1,2,IF(D4965=7,1,(IF(WEEKDAY(B4965)=1,2,IF(WEEKDAY(B4965)=7,1,0))))))</f>
        <v>3</v>
      </c>
    </row>
    <row r="4966" spans="2:22">
      <c r="B4966" s="318">
        <f t="shared" si="311"/>
        <v>46319</v>
      </c>
      <c r="C4966" s="312">
        <v>18</v>
      </c>
      <c r="D4966" s="368">
        <f>IFERROR((INDEX(METADATA!$T$2:$T$20,MATCH(B4966,METADATA!$S$2:$S$20,0))),0)</f>
        <v>0</v>
      </c>
      <c r="E4966" s="312" t="str">
        <f t="shared" si="308"/>
        <v>LO</v>
      </c>
      <c r="F4966" s="369">
        <f>VLOOKUP(C4966,METADATA!$A$5:$H$29,IF(E4966="HI",2,IF(E4966="LO",6,10))+IF(D4966=1,2,IF(D4966=7,1,(IF(WEEKDAY(B4966)=1,2,IF(WEEKDAY(B4966)=7,1,0))))))</f>
        <v>2</v>
      </c>
      <c r="G4966" s="369">
        <f>VLOOKUP(C4966,METADATA!$J$5:$Q$29,IF(E4966="HI",2,IF(E4966="LO",6,10))+IF(D4966=1,2,IF(D4966=7,1,(IF(WEEKDAY(B4966)=1,2,IF(WEEKDAY(B4966)=7,1,0))))))</f>
        <v>2</v>
      </c>
      <c r="H4966" s="370">
        <v>13457.350036621094</v>
      </c>
      <c r="I4966" s="370">
        <v>10749.225036621094</v>
      </c>
      <c r="M4966" s="371">
        <f t="shared" si="309"/>
        <v>17223.417456941217</v>
      </c>
      <c r="N4966" s="329">
        <f t="shared" si="310"/>
        <v>6712.0200256347653</v>
      </c>
      <c r="T4966" s="331">
        <v>0</v>
      </c>
      <c r="U4966" s="328">
        <f>VLOOKUP(C4966,METADATA!$J$5:$Q$29,IF(E4966="HI",2,IF(E4966="LO",6,10))+IF(T4966=1,2,IF(D4966=7,1,(IF(WEEKDAY(B4966)=1,2,IF(WEEKDAY(B4966)=7,1,0))))))</f>
        <v>2</v>
      </c>
      <c r="V4966" s="328">
        <f>VLOOKUP(C4966,METADATA!$A$5:$H$29,IF(E4966="HI",2,IF(E4966="LO",6,10))+IF(T4966=1,2,IF(D4966=7,1,(IF(WEEKDAY(B4966)=1,2,IF(WEEKDAY(B4966)=7,1,0))))))</f>
        <v>2</v>
      </c>
    </row>
    <row r="4967" spans="2:22">
      <c r="B4967" s="318">
        <f t="shared" si="311"/>
        <v>46319</v>
      </c>
      <c r="C4967" s="312">
        <v>19</v>
      </c>
      <c r="D4967" s="368">
        <f>IFERROR((INDEX(METADATA!$T$2:$T$20,MATCH(B4967,METADATA!$S$2:$S$20,0))),0)</f>
        <v>0</v>
      </c>
      <c r="E4967" s="312" t="str">
        <f t="shared" si="308"/>
        <v>LO</v>
      </c>
      <c r="F4967" s="369">
        <f>VLOOKUP(C4967,METADATA!$A$5:$H$29,IF(E4967="HI",2,IF(E4967="LO",6,10))+IF(D4967=1,2,IF(D4967=7,1,(IF(WEEKDAY(B4967)=1,2,IF(WEEKDAY(B4967)=7,1,0))))))</f>
        <v>2</v>
      </c>
      <c r="G4967" s="369">
        <f>VLOOKUP(C4967,METADATA!$J$5:$Q$29,IF(E4967="HI",2,IF(E4967="LO",6,10))+IF(D4967=1,2,IF(D4967=7,1,(IF(WEEKDAY(B4967)=1,2,IF(WEEKDAY(B4967)=7,1,0))))))</f>
        <v>2</v>
      </c>
      <c r="H4967" s="370">
        <v>13472.300048828125</v>
      </c>
      <c r="I4967" s="370">
        <v>10697.174926757813</v>
      </c>
      <c r="M4967" s="371">
        <f t="shared" si="309"/>
        <v>17202.686418676309</v>
      </c>
      <c r="N4967" s="329">
        <f t="shared" si="310"/>
        <v>6655.4849121093757</v>
      </c>
      <c r="T4967" s="331">
        <v>0</v>
      </c>
      <c r="U4967" s="328">
        <f>VLOOKUP(C4967,METADATA!$J$5:$Q$29,IF(E4967="HI",2,IF(E4967="LO",6,10))+IF(T4967=1,2,IF(D4967=7,1,(IF(WEEKDAY(B4967)=1,2,IF(WEEKDAY(B4967)=7,1,0))))))</f>
        <v>2</v>
      </c>
      <c r="V4967" s="328">
        <f>VLOOKUP(C4967,METADATA!$A$5:$H$29,IF(E4967="HI",2,IF(E4967="LO",6,10))+IF(T4967=1,2,IF(D4967=7,1,(IF(WEEKDAY(B4967)=1,2,IF(WEEKDAY(B4967)=7,1,0))))))</f>
        <v>2</v>
      </c>
    </row>
    <row r="4968" spans="2:22">
      <c r="B4968" s="318">
        <f t="shared" si="311"/>
        <v>46319</v>
      </c>
      <c r="C4968" s="312">
        <v>20</v>
      </c>
      <c r="D4968" s="368">
        <f>IFERROR((INDEX(METADATA!$T$2:$T$20,MATCH(B4968,METADATA!$S$2:$S$20,0))),0)</f>
        <v>0</v>
      </c>
      <c r="E4968" s="312" t="str">
        <f t="shared" si="308"/>
        <v>LO</v>
      </c>
      <c r="F4968" s="369">
        <f>VLOOKUP(C4968,METADATA!$A$5:$H$29,IF(E4968="HI",2,IF(E4968="LO",6,10))+IF(D4968=1,2,IF(D4968=7,1,(IF(WEEKDAY(B4968)=1,2,IF(WEEKDAY(B4968)=7,1,0))))))</f>
        <v>3</v>
      </c>
      <c r="G4968" s="369">
        <f>VLOOKUP(C4968,METADATA!$J$5:$Q$29,IF(E4968="HI",2,IF(E4968="LO",6,10))+IF(D4968=1,2,IF(D4968=7,1,(IF(WEEKDAY(B4968)=1,2,IF(WEEKDAY(B4968)=7,1,0))))))</f>
        <v>3</v>
      </c>
      <c r="H4968" s="370">
        <v>13503.025268554688</v>
      </c>
      <c r="I4968" s="370">
        <v>10938.524963378906</v>
      </c>
      <c r="M4968" s="371">
        <f t="shared" si="309"/>
        <v>17377.658639117351</v>
      </c>
      <c r="N4968" s="329">
        <f t="shared" si="310"/>
        <v>6887.6173828125002</v>
      </c>
      <c r="T4968" s="331">
        <v>0</v>
      </c>
      <c r="U4968" s="328">
        <f>VLOOKUP(C4968,METADATA!$J$5:$Q$29,IF(E4968="HI",2,IF(E4968="LO",6,10))+IF(T4968=1,2,IF(D4968=7,1,(IF(WEEKDAY(B4968)=1,2,IF(WEEKDAY(B4968)=7,1,0))))))</f>
        <v>3</v>
      </c>
      <c r="V4968" s="328">
        <f>VLOOKUP(C4968,METADATA!$A$5:$H$29,IF(E4968="HI",2,IF(E4968="LO",6,10))+IF(T4968=1,2,IF(D4968=7,1,(IF(WEEKDAY(B4968)=1,2,IF(WEEKDAY(B4968)=7,1,0))))))</f>
        <v>3</v>
      </c>
    </row>
    <row r="4969" spans="2:22">
      <c r="B4969" s="318">
        <f t="shared" si="311"/>
        <v>46319</v>
      </c>
      <c r="C4969" s="312">
        <v>21</v>
      </c>
      <c r="D4969" s="368">
        <f>IFERROR((INDEX(METADATA!$T$2:$T$20,MATCH(B4969,METADATA!$S$2:$S$20,0))),0)</f>
        <v>0</v>
      </c>
      <c r="E4969" s="312" t="str">
        <f t="shared" si="308"/>
        <v>LO</v>
      </c>
      <c r="F4969" s="369">
        <f>VLOOKUP(C4969,METADATA!$A$5:$H$29,IF(E4969="HI",2,IF(E4969="LO",6,10))+IF(D4969=1,2,IF(D4969=7,1,(IF(WEEKDAY(B4969)=1,2,IF(WEEKDAY(B4969)=7,1,0))))))</f>
        <v>3</v>
      </c>
      <c r="G4969" s="369">
        <f>VLOOKUP(C4969,METADATA!$J$5:$Q$29,IF(E4969="HI",2,IF(E4969="LO",6,10))+IF(D4969=1,2,IF(D4969=7,1,(IF(WEEKDAY(B4969)=1,2,IF(WEEKDAY(B4969)=7,1,0))))))</f>
        <v>3</v>
      </c>
      <c r="H4969" s="370">
        <v>13445.399597167969</v>
      </c>
      <c r="I4969" s="370">
        <v>10921.400024414063</v>
      </c>
      <c r="M4969" s="371">
        <f t="shared" si="309"/>
        <v>17322.117330765199</v>
      </c>
      <c r="N4969" s="329">
        <f t="shared" si="310"/>
        <v>6887.7801452636722</v>
      </c>
      <c r="T4969" s="331">
        <v>0</v>
      </c>
      <c r="U4969" s="328">
        <f>VLOOKUP(C4969,METADATA!$J$5:$Q$29,IF(E4969="HI",2,IF(E4969="LO",6,10))+IF(T4969=1,2,IF(D4969=7,1,(IF(WEEKDAY(B4969)=1,2,IF(WEEKDAY(B4969)=7,1,0))))))</f>
        <v>3</v>
      </c>
      <c r="V4969" s="328">
        <f>VLOOKUP(C4969,METADATA!$A$5:$H$29,IF(E4969="HI",2,IF(E4969="LO",6,10))+IF(T4969=1,2,IF(D4969=7,1,(IF(WEEKDAY(B4969)=1,2,IF(WEEKDAY(B4969)=7,1,0))))))</f>
        <v>3</v>
      </c>
    </row>
    <row r="4970" spans="2:22">
      <c r="B4970" s="318">
        <f t="shared" si="311"/>
        <v>46319</v>
      </c>
      <c r="C4970" s="312">
        <v>22</v>
      </c>
      <c r="D4970" s="368">
        <f>IFERROR((INDEX(METADATA!$T$2:$T$20,MATCH(B4970,METADATA!$S$2:$S$20,0))),0)</f>
        <v>0</v>
      </c>
      <c r="E4970" s="312" t="str">
        <f t="shared" si="308"/>
        <v>LO</v>
      </c>
      <c r="F4970" s="369">
        <f>VLOOKUP(C4970,METADATA!$A$5:$H$29,IF(E4970="HI",2,IF(E4970="LO",6,10))+IF(D4970=1,2,IF(D4970=7,1,(IF(WEEKDAY(B4970)=1,2,IF(WEEKDAY(B4970)=7,1,0))))))</f>
        <v>3</v>
      </c>
      <c r="G4970" s="369">
        <f>VLOOKUP(C4970,METADATA!$J$5:$Q$29,IF(E4970="HI",2,IF(E4970="LO",6,10))+IF(D4970=1,2,IF(D4970=7,1,(IF(WEEKDAY(B4970)=1,2,IF(WEEKDAY(B4970)=7,1,0))))))</f>
        <v>3</v>
      </c>
      <c r="H4970" s="370">
        <v>13357.574951171875</v>
      </c>
      <c r="I4970" s="370">
        <v>10804.325073242188</v>
      </c>
      <c r="M4970" s="371">
        <f t="shared" si="309"/>
        <v>17180.170222220269</v>
      </c>
      <c r="N4970" s="329">
        <f t="shared" si="310"/>
        <v>6797.0525878906246</v>
      </c>
      <c r="T4970" s="331">
        <v>0</v>
      </c>
      <c r="U4970" s="328">
        <f>VLOOKUP(C4970,METADATA!$J$5:$Q$29,IF(E4970="HI",2,IF(E4970="LO",6,10))+IF(T4970=1,2,IF(D4970=7,1,(IF(WEEKDAY(B4970)=1,2,IF(WEEKDAY(B4970)=7,1,0))))))</f>
        <v>3</v>
      </c>
      <c r="V4970" s="328">
        <f>VLOOKUP(C4970,METADATA!$A$5:$H$29,IF(E4970="HI",2,IF(E4970="LO",6,10))+IF(T4970=1,2,IF(D4970=7,1,(IF(WEEKDAY(B4970)=1,2,IF(WEEKDAY(B4970)=7,1,0))))))</f>
        <v>3</v>
      </c>
    </row>
    <row r="4971" spans="2:22">
      <c r="B4971" s="318">
        <f t="shared" si="311"/>
        <v>46319</v>
      </c>
      <c r="C4971" s="312">
        <v>23</v>
      </c>
      <c r="D4971" s="368">
        <f>IFERROR((INDEX(METADATA!$T$2:$T$20,MATCH(B4971,METADATA!$S$2:$S$20,0))),0)</f>
        <v>0</v>
      </c>
      <c r="E4971" s="312" t="str">
        <f t="shared" si="308"/>
        <v>LO</v>
      </c>
      <c r="F4971" s="369">
        <f>VLOOKUP(C4971,METADATA!$A$5:$H$29,IF(E4971="HI",2,IF(E4971="LO",6,10))+IF(D4971=1,2,IF(D4971=7,1,(IF(WEEKDAY(B4971)=1,2,IF(WEEKDAY(B4971)=7,1,0))))))</f>
        <v>3</v>
      </c>
      <c r="G4971" s="369">
        <f>VLOOKUP(C4971,METADATA!$J$5:$Q$29,IF(E4971="HI",2,IF(E4971="LO",6,10))+IF(D4971=1,2,IF(D4971=7,1,(IF(WEEKDAY(B4971)=1,2,IF(WEEKDAY(B4971)=7,1,0))))))</f>
        <v>3</v>
      </c>
      <c r="H4971" s="370">
        <v>13473.925048828125</v>
      </c>
      <c r="I4971" s="370">
        <v>10936.6748046875</v>
      </c>
      <c r="M4971" s="371">
        <f t="shared" si="309"/>
        <v>17353.890399703589</v>
      </c>
      <c r="N4971" s="329">
        <f t="shared" si="310"/>
        <v>6894.4972900390621</v>
      </c>
      <c r="T4971" s="331">
        <v>0</v>
      </c>
      <c r="U4971" s="328">
        <f>VLOOKUP(C4971,METADATA!$J$5:$Q$29,IF(E4971="HI",2,IF(E4971="LO",6,10))+IF(T4971=1,2,IF(D4971=7,1,(IF(WEEKDAY(B4971)=1,2,IF(WEEKDAY(B4971)=7,1,0))))))</f>
        <v>3</v>
      </c>
      <c r="V4971" s="328">
        <f>VLOOKUP(C4971,METADATA!$A$5:$H$29,IF(E4971="HI",2,IF(E4971="LO",6,10))+IF(T4971=1,2,IF(D4971=7,1,(IF(WEEKDAY(B4971)=1,2,IF(WEEKDAY(B4971)=7,1,0))))))</f>
        <v>3</v>
      </c>
    </row>
    <row r="4972" spans="2:22">
      <c r="B4972" s="318">
        <f t="shared" si="311"/>
        <v>46320</v>
      </c>
      <c r="C4972" s="312">
        <v>0</v>
      </c>
      <c r="D4972" s="368">
        <f>IFERROR((INDEX(METADATA!$T$2:$T$20,MATCH(B4972,METADATA!$S$2:$S$20,0))),0)</f>
        <v>0</v>
      </c>
      <c r="E4972" s="312" t="str">
        <f t="shared" si="308"/>
        <v>LO</v>
      </c>
      <c r="F4972" s="369">
        <f>VLOOKUP(C4972,METADATA!$A$5:$H$29,IF(E4972="HI",2,IF(E4972="LO",6,10))+IF(D4972=1,2,IF(D4972=7,1,(IF(WEEKDAY(B4972)=1,2,IF(WEEKDAY(B4972)=7,1,0))))))</f>
        <v>3</v>
      </c>
      <c r="G4972" s="369">
        <f>VLOOKUP(C4972,METADATA!$J$5:$Q$29,IF(E4972="HI",2,IF(E4972="LO",6,10))+IF(D4972=1,2,IF(D4972=7,1,(IF(WEEKDAY(B4972)=1,2,IF(WEEKDAY(B4972)=7,1,0))))))</f>
        <v>3</v>
      </c>
      <c r="H4972" s="370">
        <v>12598.600158691406</v>
      </c>
      <c r="I4972" s="370">
        <v>10392.825012207031</v>
      </c>
      <c r="M4972" s="371">
        <f t="shared" si="309"/>
        <v>16332.040218323466</v>
      </c>
      <c r="N4972" s="329">
        <f t="shared" si="310"/>
        <v>6613.2449645996094</v>
      </c>
      <c r="T4972" s="331">
        <v>0</v>
      </c>
      <c r="U4972" s="328">
        <f>VLOOKUP(C4972,METADATA!$J$5:$Q$29,IF(E4972="HI",2,IF(E4972="LO",6,10))+IF(T4972=1,2,IF(D4972=7,1,(IF(WEEKDAY(B4972)=1,2,IF(WEEKDAY(B4972)=7,1,0))))))</f>
        <v>3</v>
      </c>
      <c r="V4972" s="328">
        <f>VLOOKUP(C4972,METADATA!$A$5:$H$29,IF(E4972="HI",2,IF(E4972="LO",6,10))+IF(T4972=1,2,IF(D4972=7,1,(IF(WEEKDAY(B4972)=1,2,IF(WEEKDAY(B4972)=7,1,0))))))</f>
        <v>3</v>
      </c>
    </row>
    <row r="4973" spans="2:22">
      <c r="B4973" s="318">
        <f t="shared" si="311"/>
        <v>46320</v>
      </c>
      <c r="C4973" s="312">
        <v>1</v>
      </c>
      <c r="D4973" s="368">
        <f>IFERROR((INDEX(METADATA!$T$2:$T$20,MATCH(B4973,METADATA!$S$2:$S$20,0))),0)</f>
        <v>0</v>
      </c>
      <c r="E4973" s="312" t="str">
        <f t="shared" si="308"/>
        <v>LO</v>
      </c>
      <c r="F4973" s="369">
        <f>VLOOKUP(C4973,METADATA!$A$5:$H$29,IF(E4973="HI",2,IF(E4973="LO",6,10))+IF(D4973=1,2,IF(D4973=7,1,(IF(WEEKDAY(B4973)=1,2,IF(WEEKDAY(B4973)=7,1,0))))))</f>
        <v>3</v>
      </c>
      <c r="G4973" s="369">
        <f>VLOOKUP(C4973,METADATA!$J$5:$Q$29,IF(E4973="HI",2,IF(E4973="LO",6,10))+IF(D4973=1,2,IF(D4973=7,1,(IF(WEEKDAY(B4973)=1,2,IF(WEEKDAY(B4973)=7,1,0))))))</f>
        <v>3</v>
      </c>
      <c r="H4973" s="370">
        <v>12607.050109863281</v>
      </c>
      <c r="I4973" s="370">
        <v>10468.515014648438</v>
      </c>
      <c r="M4973" s="371">
        <f t="shared" si="309"/>
        <v>16386.809301524307</v>
      </c>
      <c r="N4973" s="329">
        <f t="shared" si="310"/>
        <v>6686.3999816894539</v>
      </c>
      <c r="T4973" s="331">
        <v>0</v>
      </c>
      <c r="U4973" s="328">
        <f>VLOOKUP(C4973,METADATA!$J$5:$Q$29,IF(E4973="HI",2,IF(E4973="LO",6,10))+IF(T4973=1,2,IF(D4973=7,1,(IF(WEEKDAY(B4973)=1,2,IF(WEEKDAY(B4973)=7,1,0))))))</f>
        <v>3</v>
      </c>
      <c r="V4973" s="328">
        <f>VLOOKUP(C4973,METADATA!$A$5:$H$29,IF(E4973="HI",2,IF(E4973="LO",6,10))+IF(T4973=1,2,IF(D4973=7,1,(IF(WEEKDAY(B4973)=1,2,IF(WEEKDAY(B4973)=7,1,0))))))</f>
        <v>3</v>
      </c>
    </row>
    <row r="4974" spans="2:22">
      <c r="B4974" s="318">
        <f t="shared" si="311"/>
        <v>46320</v>
      </c>
      <c r="C4974" s="312">
        <v>2</v>
      </c>
      <c r="D4974" s="368">
        <f>IFERROR((INDEX(METADATA!$T$2:$T$20,MATCH(B4974,METADATA!$S$2:$S$20,0))),0)</f>
        <v>0</v>
      </c>
      <c r="E4974" s="312" t="str">
        <f t="shared" si="308"/>
        <v>LO</v>
      </c>
      <c r="F4974" s="369">
        <f>VLOOKUP(C4974,METADATA!$A$5:$H$29,IF(E4974="HI",2,IF(E4974="LO",6,10))+IF(D4974=1,2,IF(D4974=7,1,(IF(WEEKDAY(B4974)=1,2,IF(WEEKDAY(B4974)=7,1,0))))))</f>
        <v>3</v>
      </c>
      <c r="G4974" s="369">
        <f>VLOOKUP(C4974,METADATA!$J$5:$Q$29,IF(E4974="HI",2,IF(E4974="LO",6,10))+IF(D4974=1,2,IF(D4974=7,1,(IF(WEEKDAY(B4974)=1,2,IF(WEEKDAY(B4974)=7,1,0))))))</f>
        <v>3</v>
      </c>
      <c r="H4974" s="370">
        <v>12631.600158691406</v>
      </c>
      <c r="I4974" s="370">
        <v>10426.775024414063</v>
      </c>
      <c r="M4974" s="371">
        <f t="shared" si="309"/>
        <v>16379.101317801218</v>
      </c>
      <c r="N4974" s="329">
        <f t="shared" si="310"/>
        <v>6637.294976806641</v>
      </c>
      <c r="T4974" s="331">
        <v>0</v>
      </c>
      <c r="U4974" s="328">
        <f>VLOOKUP(C4974,METADATA!$J$5:$Q$29,IF(E4974="HI",2,IF(E4974="LO",6,10))+IF(T4974=1,2,IF(D4974=7,1,(IF(WEEKDAY(B4974)=1,2,IF(WEEKDAY(B4974)=7,1,0))))))</f>
        <v>3</v>
      </c>
      <c r="V4974" s="328">
        <f>VLOOKUP(C4974,METADATA!$A$5:$H$29,IF(E4974="HI",2,IF(E4974="LO",6,10))+IF(T4974=1,2,IF(D4974=7,1,(IF(WEEKDAY(B4974)=1,2,IF(WEEKDAY(B4974)=7,1,0))))))</f>
        <v>3</v>
      </c>
    </row>
    <row r="4975" spans="2:22">
      <c r="B4975" s="318">
        <f t="shared" si="311"/>
        <v>46320</v>
      </c>
      <c r="C4975" s="312">
        <v>3</v>
      </c>
      <c r="D4975" s="368">
        <f>IFERROR((INDEX(METADATA!$T$2:$T$20,MATCH(B4975,METADATA!$S$2:$S$20,0))),0)</f>
        <v>0</v>
      </c>
      <c r="E4975" s="312" t="str">
        <f t="shared" si="308"/>
        <v>LO</v>
      </c>
      <c r="F4975" s="369">
        <f>VLOOKUP(C4975,METADATA!$A$5:$H$29,IF(E4975="HI",2,IF(E4975="LO",6,10))+IF(D4975=1,2,IF(D4975=7,1,(IF(WEEKDAY(B4975)=1,2,IF(WEEKDAY(B4975)=7,1,0))))))</f>
        <v>3</v>
      </c>
      <c r="G4975" s="369">
        <f>VLOOKUP(C4975,METADATA!$J$5:$Q$29,IF(E4975="HI",2,IF(E4975="LO",6,10))+IF(D4975=1,2,IF(D4975=7,1,(IF(WEEKDAY(B4975)=1,2,IF(WEEKDAY(B4975)=7,1,0))))))</f>
        <v>3</v>
      </c>
      <c r="H4975" s="370">
        <v>13286.400085449219</v>
      </c>
      <c r="I4975" s="370">
        <v>10645.425109863281</v>
      </c>
      <c r="M4975" s="371">
        <f t="shared" si="309"/>
        <v>17025.084522560606</v>
      </c>
      <c r="N4975" s="329">
        <f t="shared" si="310"/>
        <v>6659.5050842285164</v>
      </c>
      <c r="T4975" s="331">
        <v>0</v>
      </c>
      <c r="U4975" s="328">
        <f>VLOOKUP(C4975,METADATA!$J$5:$Q$29,IF(E4975="HI",2,IF(E4975="LO",6,10))+IF(T4975=1,2,IF(D4975=7,1,(IF(WEEKDAY(B4975)=1,2,IF(WEEKDAY(B4975)=7,1,0))))))</f>
        <v>3</v>
      </c>
      <c r="V4975" s="328">
        <f>VLOOKUP(C4975,METADATA!$A$5:$H$29,IF(E4975="HI",2,IF(E4975="LO",6,10))+IF(T4975=1,2,IF(D4975=7,1,(IF(WEEKDAY(B4975)=1,2,IF(WEEKDAY(B4975)=7,1,0))))))</f>
        <v>3</v>
      </c>
    </row>
    <row r="4976" spans="2:22">
      <c r="B4976" s="318">
        <f t="shared" si="311"/>
        <v>46320</v>
      </c>
      <c r="C4976" s="312">
        <v>4</v>
      </c>
      <c r="D4976" s="368">
        <f>IFERROR((INDEX(METADATA!$T$2:$T$20,MATCH(B4976,METADATA!$S$2:$S$20,0))),0)</f>
        <v>0</v>
      </c>
      <c r="E4976" s="312" t="str">
        <f t="shared" si="308"/>
        <v>LO</v>
      </c>
      <c r="F4976" s="369">
        <f>VLOOKUP(C4976,METADATA!$A$5:$H$29,IF(E4976="HI",2,IF(E4976="LO",6,10))+IF(D4976=1,2,IF(D4976=7,1,(IF(WEEKDAY(B4976)=1,2,IF(WEEKDAY(B4976)=7,1,0))))))</f>
        <v>3</v>
      </c>
      <c r="G4976" s="369">
        <f>VLOOKUP(C4976,METADATA!$J$5:$Q$29,IF(E4976="HI",2,IF(E4976="LO",6,10))+IF(D4976=1,2,IF(D4976=7,1,(IF(WEEKDAY(B4976)=1,2,IF(WEEKDAY(B4976)=7,1,0))))))</f>
        <v>3</v>
      </c>
      <c r="H4976" s="370">
        <v>13502.750305175781</v>
      </c>
      <c r="I4976" s="370">
        <v>10683.224914550781</v>
      </c>
      <c r="M4976" s="371">
        <f t="shared" si="309"/>
        <v>17217.884898523487</v>
      </c>
      <c r="N4976" s="329">
        <f t="shared" si="310"/>
        <v>6632.3998229980471</v>
      </c>
      <c r="T4976" s="331">
        <v>0</v>
      </c>
      <c r="U4976" s="328">
        <f>VLOOKUP(C4976,METADATA!$J$5:$Q$29,IF(E4976="HI",2,IF(E4976="LO",6,10))+IF(T4976=1,2,IF(D4976=7,1,(IF(WEEKDAY(B4976)=1,2,IF(WEEKDAY(B4976)=7,1,0))))))</f>
        <v>3</v>
      </c>
      <c r="V4976" s="328">
        <f>VLOOKUP(C4976,METADATA!$A$5:$H$29,IF(E4976="HI",2,IF(E4976="LO",6,10))+IF(T4976=1,2,IF(D4976=7,1,(IF(WEEKDAY(B4976)=1,2,IF(WEEKDAY(B4976)=7,1,0))))))</f>
        <v>3</v>
      </c>
    </row>
    <row r="4977" spans="2:22">
      <c r="B4977" s="318">
        <f t="shared" si="311"/>
        <v>46320</v>
      </c>
      <c r="C4977" s="312">
        <v>5</v>
      </c>
      <c r="D4977" s="368">
        <f>IFERROR((INDEX(METADATA!$T$2:$T$20,MATCH(B4977,METADATA!$S$2:$S$20,0))),0)</f>
        <v>0</v>
      </c>
      <c r="E4977" s="312" t="str">
        <f t="shared" si="308"/>
        <v>LO</v>
      </c>
      <c r="F4977" s="369">
        <f>VLOOKUP(C4977,METADATA!$A$5:$H$29,IF(E4977="HI",2,IF(E4977="LO",6,10))+IF(D4977=1,2,IF(D4977=7,1,(IF(WEEKDAY(B4977)=1,2,IF(WEEKDAY(B4977)=7,1,0))))))</f>
        <v>3</v>
      </c>
      <c r="G4977" s="369">
        <f>VLOOKUP(C4977,METADATA!$J$5:$Q$29,IF(E4977="HI",2,IF(E4977="LO",6,10))+IF(D4977=1,2,IF(D4977=7,1,(IF(WEEKDAY(B4977)=1,2,IF(WEEKDAY(B4977)=7,1,0))))))</f>
        <v>3</v>
      </c>
      <c r="H4977" s="370">
        <v>13565.775085449219</v>
      </c>
      <c r="I4977" s="370">
        <v>10733.674865722656</v>
      </c>
      <c r="M4977" s="371">
        <f t="shared" si="309"/>
        <v>17298.613522246258</v>
      </c>
      <c r="N4977" s="329">
        <f t="shared" si="310"/>
        <v>6663.9423400878914</v>
      </c>
      <c r="T4977" s="331">
        <v>0</v>
      </c>
      <c r="U4977" s="328">
        <f>VLOOKUP(C4977,METADATA!$J$5:$Q$29,IF(E4977="HI",2,IF(E4977="LO",6,10))+IF(T4977=1,2,IF(D4977=7,1,(IF(WEEKDAY(B4977)=1,2,IF(WEEKDAY(B4977)=7,1,0))))))</f>
        <v>3</v>
      </c>
      <c r="V4977" s="328">
        <f>VLOOKUP(C4977,METADATA!$A$5:$H$29,IF(E4977="HI",2,IF(E4977="LO",6,10))+IF(T4977=1,2,IF(D4977=7,1,(IF(WEEKDAY(B4977)=1,2,IF(WEEKDAY(B4977)=7,1,0))))))</f>
        <v>3</v>
      </c>
    </row>
    <row r="4978" spans="2:22">
      <c r="B4978" s="318">
        <f t="shared" si="311"/>
        <v>46320</v>
      </c>
      <c r="C4978" s="312">
        <v>6</v>
      </c>
      <c r="D4978" s="368">
        <f>IFERROR((INDEX(METADATA!$T$2:$T$20,MATCH(B4978,METADATA!$S$2:$S$20,0))),0)</f>
        <v>0</v>
      </c>
      <c r="E4978" s="312" t="str">
        <f t="shared" si="308"/>
        <v>LO</v>
      </c>
      <c r="F4978" s="369">
        <f>VLOOKUP(C4978,METADATA!$A$5:$H$29,IF(E4978="HI",2,IF(E4978="LO",6,10))+IF(D4978=1,2,IF(D4978=7,1,(IF(WEEKDAY(B4978)=1,2,IF(WEEKDAY(B4978)=7,1,0))))))</f>
        <v>3</v>
      </c>
      <c r="G4978" s="369">
        <f>VLOOKUP(C4978,METADATA!$J$5:$Q$29,IF(E4978="HI",2,IF(E4978="LO",6,10))+IF(D4978=1,2,IF(D4978=7,1,(IF(WEEKDAY(B4978)=1,2,IF(WEEKDAY(B4978)=7,1,0))))))</f>
        <v>3</v>
      </c>
      <c r="H4978" s="370">
        <v>13684.350463867188</v>
      </c>
      <c r="I4978" s="370">
        <v>10856.14990234375</v>
      </c>
      <c r="M4978" s="371">
        <f t="shared" si="309"/>
        <v>17467.611122305771</v>
      </c>
      <c r="N4978" s="329">
        <f t="shared" si="310"/>
        <v>6750.8447631835943</v>
      </c>
      <c r="T4978" s="331">
        <v>0</v>
      </c>
      <c r="U4978" s="328">
        <f>VLOOKUP(C4978,METADATA!$J$5:$Q$29,IF(E4978="HI",2,IF(E4978="LO",6,10))+IF(T4978=1,2,IF(D4978=7,1,(IF(WEEKDAY(B4978)=1,2,IF(WEEKDAY(B4978)=7,1,0))))))</f>
        <v>3</v>
      </c>
      <c r="V4978" s="328">
        <f>VLOOKUP(C4978,METADATA!$A$5:$H$29,IF(E4978="HI",2,IF(E4978="LO",6,10))+IF(T4978=1,2,IF(D4978=7,1,(IF(WEEKDAY(B4978)=1,2,IF(WEEKDAY(B4978)=7,1,0))))))</f>
        <v>3</v>
      </c>
    </row>
    <row r="4979" spans="2:22">
      <c r="B4979" s="318">
        <f t="shared" si="311"/>
        <v>46320</v>
      </c>
      <c r="C4979" s="312">
        <v>7</v>
      </c>
      <c r="D4979" s="368">
        <f>IFERROR((INDEX(METADATA!$T$2:$T$20,MATCH(B4979,METADATA!$S$2:$S$20,0))),0)</f>
        <v>0</v>
      </c>
      <c r="E4979" s="312" t="str">
        <f t="shared" si="308"/>
        <v>LO</v>
      </c>
      <c r="F4979" s="369">
        <f>VLOOKUP(C4979,METADATA!$A$5:$H$29,IF(E4979="HI",2,IF(E4979="LO",6,10))+IF(D4979=1,2,IF(D4979=7,1,(IF(WEEKDAY(B4979)=1,2,IF(WEEKDAY(B4979)=7,1,0))))))</f>
        <v>3</v>
      </c>
      <c r="G4979" s="369">
        <f>VLOOKUP(C4979,METADATA!$J$5:$Q$29,IF(E4979="HI",2,IF(E4979="LO",6,10))+IF(D4979=1,2,IF(D4979=7,1,(IF(WEEKDAY(B4979)=1,2,IF(WEEKDAY(B4979)=7,1,0))))))</f>
        <v>3</v>
      </c>
      <c r="H4979" s="370">
        <v>13722.449951171875</v>
      </c>
      <c r="I4979" s="370">
        <v>10781.600341796875</v>
      </c>
      <c r="M4979" s="371">
        <f t="shared" si="309"/>
        <v>17451.319107524552</v>
      </c>
      <c r="N4979" s="329">
        <f t="shared" si="310"/>
        <v>6664.8653564453125</v>
      </c>
      <c r="T4979" s="331">
        <v>0</v>
      </c>
      <c r="U4979" s="328">
        <f>VLOOKUP(C4979,METADATA!$J$5:$Q$29,IF(E4979="HI",2,IF(E4979="LO",6,10))+IF(T4979=1,2,IF(D4979=7,1,(IF(WEEKDAY(B4979)=1,2,IF(WEEKDAY(B4979)=7,1,0))))))</f>
        <v>3</v>
      </c>
      <c r="V4979" s="328">
        <f>VLOOKUP(C4979,METADATA!$A$5:$H$29,IF(E4979="HI",2,IF(E4979="LO",6,10))+IF(T4979=1,2,IF(D4979=7,1,(IF(WEEKDAY(B4979)=1,2,IF(WEEKDAY(B4979)=7,1,0))))))</f>
        <v>3</v>
      </c>
    </row>
    <row r="4980" spans="2:22">
      <c r="B4980" s="318">
        <f t="shared" si="311"/>
        <v>46320</v>
      </c>
      <c r="C4980" s="312">
        <v>8</v>
      </c>
      <c r="D4980" s="368">
        <f>IFERROR((INDEX(METADATA!$T$2:$T$20,MATCH(B4980,METADATA!$S$2:$S$20,0))),0)</f>
        <v>0</v>
      </c>
      <c r="E4980" s="312" t="str">
        <f t="shared" si="308"/>
        <v>LO</v>
      </c>
      <c r="F4980" s="369">
        <f>VLOOKUP(C4980,METADATA!$A$5:$H$29,IF(E4980="HI",2,IF(E4980="LO",6,10))+IF(D4980=1,2,IF(D4980=7,1,(IF(WEEKDAY(B4980)=1,2,IF(WEEKDAY(B4980)=7,1,0))))))</f>
        <v>3</v>
      </c>
      <c r="G4980" s="369">
        <f>VLOOKUP(C4980,METADATA!$J$5:$Q$29,IF(E4980="HI",2,IF(E4980="LO",6,10))+IF(D4980=1,2,IF(D4980=7,1,(IF(WEEKDAY(B4980)=1,2,IF(WEEKDAY(B4980)=7,1,0))))))</f>
        <v>3</v>
      </c>
      <c r="H4980" s="370">
        <v>13514.699951171875</v>
      </c>
      <c r="I4980" s="370">
        <v>10730.199951171875</v>
      </c>
      <c r="M4980" s="371">
        <f t="shared" si="309"/>
        <v>17256.427954890722</v>
      </c>
      <c r="N4980" s="329">
        <f t="shared" si="310"/>
        <v>6675.7899658203132</v>
      </c>
      <c r="T4980" s="331">
        <v>0</v>
      </c>
      <c r="U4980" s="328">
        <f>VLOOKUP(C4980,METADATA!$J$5:$Q$29,IF(E4980="HI",2,IF(E4980="LO",6,10))+IF(T4980=1,2,IF(D4980=7,1,(IF(WEEKDAY(B4980)=1,2,IF(WEEKDAY(B4980)=7,1,0))))))</f>
        <v>3</v>
      </c>
      <c r="V4980" s="328">
        <f>VLOOKUP(C4980,METADATA!$A$5:$H$29,IF(E4980="HI",2,IF(E4980="LO",6,10))+IF(T4980=1,2,IF(D4980=7,1,(IF(WEEKDAY(B4980)=1,2,IF(WEEKDAY(B4980)=7,1,0))))))</f>
        <v>3</v>
      </c>
    </row>
    <row r="4981" spans="2:22">
      <c r="B4981" s="318">
        <f t="shared" si="311"/>
        <v>46320</v>
      </c>
      <c r="C4981" s="312">
        <v>9</v>
      </c>
      <c r="D4981" s="368">
        <f>IFERROR((INDEX(METADATA!$T$2:$T$20,MATCH(B4981,METADATA!$S$2:$S$20,0))),0)</f>
        <v>0</v>
      </c>
      <c r="E4981" s="312" t="str">
        <f t="shared" si="308"/>
        <v>LO</v>
      </c>
      <c r="F4981" s="369">
        <f>VLOOKUP(C4981,METADATA!$A$5:$H$29,IF(E4981="HI",2,IF(E4981="LO",6,10))+IF(D4981=1,2,IF(D4981=7,1,(IF(WEEKDAY(B4981)=1,2,IF(WEEKDAY(B4981)=7,1,0))))))</f>
        <v>3</v>
      </c>
      <c r="G4981" s="369">
        <f>VLOOKUP(C4981,METADATA!$J$5:$Q$29,IF(E4981="HI",2,IF(E4981="LO",6,10))+IF(D4981=1,2,IF(D4981=7,1,(IF(WEEKDAY(B4981)=1,2,IF(WEEKDAY(B4981)=7,1,0))))))</f>
        <v>3</v>
      </c>
      <c r="H4981" s="370">
        <v>13522.049743652344</v>
      </c>
      <c r="I4981" s="370">
        <v>10754.5</v>
      </c>
      <c r="M4981" s="371">
        <f t="shared" si="309"/>
        <v>17277.300122409415</v>
      </c>
      <c r="N4981" s="329">
        <f t="shared" si="310"/>
        <v>6697.8850769042965</v>
      </c>
      <c r="T4981" s="331">
        <v>0</v>
      </c>
      <c r="U4981" s="328">
        <f>VLOOKUP(C4981,METADATA!$J$5:$Q$29,IF(E4981="HI",2,IF(E4981="LO",6,10))+IF(T4981=1,2,IF(D4981=7,1,(IF(WEEKDAY(B4981)=1,2,IF(WEEKDAY(B4981)=7,1,0))))))</f>
        <v>3</v>
      </c>
      <c r="V4981" s="328">
        <f>VLOOKUP(C4981,METADATA!$A$5:$H$29,IF(E4981="HI",2,IF(E4981="LO",6,10))+IF(T4981=1,2,IF(D4981=7,1,(IF(WEEKDAY(B4981)=1,2,IF(WEEKDAY(B4981)=7,1,0))))))</f>
        <v>3</v>
      </c>
    </row>
    <row r="4982" spans="2:22">
      <c r="B4982" s="318">
        <f t="shared" si="311"/>
        <v>46320</v>
      </c>
      <c r="C4982" s="312">
        <v>10</v>
      </c>
      <c r="D4982" s="368">
        <f>IFERROR((INDEX(METADATA!$T$2:$T$20,MATCH(B4982,METADATA!$S$2:$S$20,0))),0)</f>
        <v>0</v>
      </c>
      <c r="E4982" s="312" t="str">
        <f t="shared" si="308"/>
        <v>LO</v>
      </c>
      <c r="F4982" s="369">
        <f>VLOOKUP(C4982,METADATA!$A$5:$H$29,IF(E4982="HI",2,IF(E4982="LO",6,10))+IF(D4982=1,2,IF(D4982=7,1,(IF(WEEKDAY(B4982)=1,2,IF(WEEKDAY(B4982)=7,1,0))))))</f>
        <v>3</v>
      </c>
      <c r="G4982" s="369">
        <f>VLOOKUP(C4982,METADATA!$J$5:$Q$29,IF(E4982="HI",2,IF(E4982="LO",6,10))+IF(D4982=1,2,IF(D4982=7,1,(IF(WEEKDAY(B4982)=1,2,IF(WEEKDAY(B4982)=7,1,0))))))</f>
        <v>3</v>
      </c>
      <c r="H4982" s="370">
        <v>13638.074951171875</v>
      </c>
      <c r="I4982" s="370">
        <v>10769.824890136719</v>
      </c>
      <c r="M4982" s="371">
        <f t="shared" si="309"/>
        <v>17377.750617901907</v>
      </c>
      <c r="N4982" s="329">
        <f t="shared" si="310"/>
        <v>6678.4024047851563</v>
      </c>
      <c r="T4982" s="331">
        <v>0</v>
      </c>
      <c r="U4982" s="328">
        <f>VLOOKUP(C4982,METADATA!$J$5:$Q$29,IF(E4982="HI",2,IF(E4982="LO",6,10))+IF(T4982=1,2,IF(D4982=7,1,(IF(WEEKDAY(B4982)=1,2,IF(WEEKDAY(B4982)=7,1,0))))))</f>
        <v>3</v>
      </c>
      <c r="V4982" s="328">
        <f>VLOOKUP(C4982,METADATA!$A$5:$H$29,IF(E4982="HI",2,IF(E4982="LO",6,10))+IF(T4982=1,2,IF(D4982=7,1,(IF(WEEKDAY(B4982)=1,2,IF(WEEKDAY(B4982)=7,1,0))))))</f>
        <v>3</v>
      </c>
    </row>
    <row r="4983" spans="2:22">
      <c r="B4983" s="318">
        <f t="shared" si="311"/>
        <v>46320</v>
      </c>
      <c r="C4983" s="312">
        <v>11</v>
      </c>
      <c r="D4983" s="368">
        <f>IFERROR((INDEX(METADATA!$T$2:$T$20,MATCH(B4983,METADATA!$S$2:$S$20,0))),0)</f>
        <v>0</v>
      </c>
      <c r="E4983" s="312" t="str">
        <f t="shared" si="308"/>
        <v>LO</v>
      </c>
      <c r="F4983" s="369">
        <f>VLOOKUP(C4983,METADATA!$A$5:$H$29,IF(E4983="HI",2,IF(E4983="LO",6,10))+IF(D4983=1,2,IF(D4983=7,1,(IF(WEEKDAY(B4983)=1,2,IF(WEEKDAY(B4983)=7,1,0))))))</f>
        <v>3</v>
      </c>
      <c r="G4983" s="369">
        <f>VLOOKUP(C4983,METADATA!$J$5:$Q$29,IF(E4983="HI",2,IF(E4983="LO",6,10))+IF(D4983=1,2,IF(D4983=7,1,(IF(WEEKDAY(B4983)=1,2,IF(WEEKDAY(B4983)=7,1,0))))))</f>
        <v>3</v>
      </c>
      <c r="H4983" s="370">
        <v>13858.975341796875</v>
      </c>
      <c r="I4983" s="370">
        <v>10903.774841308594</v>
      </c>
      <c r="M4983" s="371">
        <f t="shared" si="309"/>
        <v>17634.157289603834</v>
      </c>
      <c r="N4983" s="329">
        <f t="shared" si="310"/>
        <v>6746.0822387695316</v>
      </c>
      <c r="T4983" s="331">
        <v>0</v>
      </c>
      <c r="U4983" s="328">
        <f>VLOOKUP(C4983,METADATA!$J$5:$Q$29,IF(E4983="HI",2,IF(E4983="LO",6,10))+IF(T4983=1,2,IF(D4983=7,1,(IF(WEEKDAY(B4983)=1,2,IF(WEEKDAY(B4983)=7,1,0))))))</f>
        <v>3</v>
      </c>
      <c r="V4983" s="328">
        <f>VLOOKUP(C4983,METADATA!$A$5:$H$29,IF(E4983="HI",2,IF(E4983="LO",6,10))+IF(T4983=1,2,IF(D4983=7,1,(IF(WEEKDAY(B4983)=1,2,IF(WEEKDAY(B4983)=7,1,0))))))</f>
        <v>3</v>
      </c>
    </row>
    <row r="4984" spans="2:22">
      <c r="B4984" s="318">
        <f t="shared" si="311"/>
        <v>46320</v>
      </c>
      <c r="C4984" s="312">
        <v>12</v>
      </c>
      <c r="D4984" s="368">
        <f>IFERROR((INDEX(METADATA!$T$2:$T$20,MATCH(B4984,METADATA!$S$2:$S$20,0))),0)</f>
        <v>0</v>
      </c>
      <c r="E4984" s="312" t="str">
        <f t="shared" si="308"/>
        <v>LO</v>
      </c>
      <c r="F4984" s="369">
        <f>VLOOKUP(C4984,METADATA!$A$5:$H$29,IF(E4984="HI",2,IF(E4984="LO",6,10))+IF(D4984=1,2,IF(D4984=7,1,(IF(WEEKDAY(B4984)=1,2,IF(WEEKDAY(B4984)=7,1,0))))))</f>
        <v>3</v>
      </c>
      <c r="G4984" s="369">
        <f>VLOOKUP(C4984,METADATA!$J$5:$Q$29,IF(E4984="HI",2,IF(E4984="LO",6,10))+IF(D4984=1,2,IF(D4984=7,1,(IF(WEEKDAY(B4984)=1,2,IF(WEEKDAY(B4984)=7,1,0))))))</f>
        <v>3</v>
      </c>
      <c r="H4984" s="370">
        <v>13643.0498046875</v>
      </c>
      <c r="I4984" s="370">
        <v>10949.524963378906</v>
      </c>
      <c r="M4984" s="371">
        <f t="shared" si="309"/>
        <v>17493.567529147433</v>
      </c>
      <c r="N4984" s="329">
        <f t="shared" si="310"/>
        <v>6856.6100219726559</v>
      </c>
      <c r="T4984" s="331">
        <v>0</v>
      </c>
      <c r="U4984" s="328">
        <f>VLOOKUP(C4984,METADATA!$J$5:$Q$29,IF(E4984="HI",2,IF(E4984="LO",6,10))+IF(T4984=1,2,IF(D4984=7,1,(IF(WEEKDAY(B4984)=1,2,IF(WEEKDAY(B4984)=7,1,0))))))</f>
        <v>3</v>
      </c>
      <c r="V4984" s="328">
        <f>VLOOKUP(C4984,METADATA!$A$5:$H$29,IF(E4984="HI",2,IF(E4984="LO",6,10))+IF(T4984=1,2,IF(D4984=7,1,(IF(WEEKDAY(B4984)=1,2,IF(WEEKDAY(B4984)=7,1,0))))))</f>
        <v>3</v>
      </c>
    </row>
    <row r="4985" spans="2:22">
      <c r="B4985" s="318">
        <f t="shared" si="311"/>
        <v>46320</v>
      </c>
      <c r="C4985" s="312">
        <v>13</v>
      </c>
      <c r="D4985" s="368">
        <f>IFERROR((INDEX(METADATA!$T$2:$T$20,MATCH(B4985,METADATA!$S$2:$S$20,0))),0)</f>
        <v>0</v>
      </c>
      <c r="E4985" s="312" t="str">
        <f t="shared" si="308"/>
        <v>LO</v>
      </c>
      <c r="F4985" s="369">
        <f>VLOOKUP(C4985,METADATA!$A$5:$H$29,IF(E4985="HI",2,IF(E4985="LO",6,10))+IF(D4985=1,2,IF(D4985=7,1,(IF(WEEKDAY(B4985)=1,2,IF(WEEKDAY(B4985)=7,1,0))))))</f>
        <v>3</v>
      </c>
      <c r="G4985" s="369">
        <f>VLOOKUP(C4985,METADATA!$J$5:$Q$29,IF(E4985="HI",2,IF(E4985="LO",6,10))+IF(D4985=1,2,IF(D4985=7,1,(IF(WEEKDAY(B4985)=1,2,IF(WEEKDAY(B4985)=7,1,0))))))</f>
        <v>3</v>
      </c>
      <c r="H4985" s="370">
        <v>13723.825012207031</v>
      </c>
      <c r="I4985" s="370">
        <v>10959.674926757813</v>
      </c>
      <c r="M4985" s="371">
        <f t="shared" si="309"/>
        <v>17562.968071083065</v>
      </c>
      <c r="N4985" s="329">
        <f t="shared" si="310"/>
        <v>6842.5274230957029</v>
      </c>
      <c r="T4985" s="331">
        <v>0</v>
      </c>
      <c r="U4985" s="328">
        <f>VLOOKUP(C4985,METADATA!$J$5:$Q$29,IF(E4985="HI",2,IF(E4985="LO",6,10))+IF(T4985=1,2,IF(D4985=7,1,(IF(WEEKDAY(B4985)=1,2,IF(WEEKDAY(B4985)=7,1,0))))))</f>
        <v>3</v>
      </c>
      <c r="V4985" s="328">
        <f>VLOOKUP(C4985,METADATA!$A$5:$H$29,IF(E4985="HI",2,IF(E4985="LO",6,10))+IF(T4985=1,2,IF(D4985=7,1,(IF(WEEKDAY(B4985)=1,2,IF(WEEKDAY(B4985)=7,1,0))))))</f>
        <v>3</v>
      </c>
    </row>
    <row r="4986" spans="2:22">
      <c r="B4986" s="318">
        <f t="shared" si="311"/>
        <v>46320</v>
      </c>
      <c r="C4986" s="312">
        <v>14</v>
      </c>
      <c r="D4986" s="368">
        <f>IFERROR((INDEX(METADATA!$T$2:$T$20,MATCH(B4986,METADATA!$S$2:$S$20,0))),0)</f>
        <v>0</v>
      </c>
      <c r="E4986" s="312" t="str">
        <f t="shared" si="308"/>
        <v>LO</v>
      </c>
      <c r="F4986" s="369">
        <f>VLOOKUP(C4986,METADATA!$A$5:$H$29,IF(E4986="HI",2,IF(E4986="LO",6,10))+IF(D4986=1,2,IF(D4986=7,1,(IF(WEEKDAY(B4986)=1,2,IF(WEEKDAY(B4986)=7,1,0))))))</f>
        <v>3</v>
      </c>
      <c r="G4986" s="369">
        <f>VLOOKUP(C4986,METADATA!$J$5:$Q$29,IF(E4986="HI",2,IF(E4986="LO",6,10))+IF(D4986=1,2,IF(D4986=7,1,(IF(WEEKDAY(B4986)=1,2,IF(WEEKDAY(B4986)=7,1,0))))))</f>
        <v>3</v>
      </c>
      <c r="H4986" s="370">
        <v>12428.299865722656</v>
      </c>
      <c r="I4986" s="370">
        <v>10185.399963378906</v>
      </c>
      <c r="M4986" s="371">
        <f t="shared" si="309"/>
        <v>16068.758818475086</v>
      </c>
      <c r="N4986" s="329">
        <f t="shared" si="310"/>
        <v>6456.9100036621094</v>
      </c>
      <c r="T4986" s="331">
        <v>0</v>
      </c>
      <c r="U4986" s="328">
        <f>VLOOKUP(C4986,METADATA!$J$5:$Q$29,IF(E4986="HI",2,IF(E4986="LO",6,10))+IF(T4986=1,2,IF(D4986=7,1,(IF(WEEKDAY(B4986)=1,2,IF(WEEKDAY(B4986)=7,1,0))))))</f>
        <v>3</v>
      </c>
      <c r="V4986" s="328">
        <f>VLOOKUP(C4986,METADATA!$A$5:$H$29,IF(E4986="HI",2,IF(E4986="LO",6,10))+IF(T4986=1,2,IF(D4986=7,1,(IF(WEEKDAY(B4986)=1,2,IF(WEEKDAY(B4986)=7,1,0))))))</f>
        <v>3</v>
      </c>
    </row>
    <row r="4987" spans="2:22">
      <c r="B4987" s="318">
        <f t="shared" si="311"/>
        <v>46320</v>
      </c>
      <c r="C4987" s="312">
        <v>15</v>
      </c>
      <c r="D4987" s="368">
        <f>IFERROR((INDEX(METADATA!$T$2:$T$20,MATCH(B4987,METADATA!$S$2:$S$20,0))),0)</f>
        <v>0</v>
      </c>
      <c r="E4987" s="312" t="str">
        <f t="shared" si="308"/>
        <v>LO</v>
      </c>
      <c r="F4987" s="369">
        <f>VLOOKUP(C4987,METADATA!$A$5:$H$29,IF(E4987="HI",2,IF(E4987="LO",6,10))+IF(D4987=1,2,IF(D4987=7,1,(IF(WEEKDAY(B4987)=1,2,IF(WEEKDAY(B4987)=7,1,0))))))</f>
        <v>3</v>
      </c>
      <c r="G4987" s="369">
        <f>VLOOKUP(C4987,METADATA!$J$5:$Q$29,IF(E4987="HI",2,IF(E4987="LO",6,10))+IF(D4987=1,2,IF(D4987=7,1,(IF(WEEKDAY(B4987)=1,2,IF(WEEKDAY(B4987)=7,1,0))))))</f>
        <v>3</v>
      </c>
      <c r="H4987" s="370">
        <v>11543.574645996094</v>
      </c>
      <c r="I4987" s="370">
        <v>9753.1675720214844</v>
      </c>
      <c r="M4987" s="371">
        <f t="shared" si="309"/>
        <v>15112.193530246206</v>
      </c>
      <c r="N4987" s="329">
        <f t="shared" si="310"/>
        <v>6290.0951782226566</v>
      </c>
      <c r="T4987" s="331">
        <v>0</v>
      </c>
      <c r="U4987" s="328">
        <f>VLOOKUP(C4987,METADATA!$J$5:$Q$29,IF(E4987="HI",2,IF(E4987="LO",6,10))+IF(T4987=1,2,IF(D4987=7,1,(IF(WEEKDAY(B4987)=1,2,IF(WEEKDAY(B4987)=7,1,0))))))</f>
        <v>3</v>
      </c>
      <c r="V4987" s="328">
        <f>VLOOKUP(C4987,METADATA!$A$5:$H$29,IF(E4987="HI",2,IF(E4987="LO",6,10))+IF(T4987=1,2,IF(D4987=7,1,(IF(WEEKDAY(B4987)=1,2,IF(WEEKDAY(B4987)=7,1,0))))))</f>
        <v>3</v>
      </c>
    </row>
    <row r="4988" spans="2:22">
      <c r="B4988" s="318">
        <f t="shared" si="311"/>
        <v>46320</v>
      </c>
      <c r="C4988" s="312">
        <v>16</v>
      </c>
      <c r="D4988" s="368">
        <f>IFERROR((INDEX(METADATA!$T$2:$T$20,MATCH(B4988,METADATA!$S$2:$S$20,0))),0)</f>
        <v>0</v>
      </c>
      <c r="E4988" s="312" t="str">
        <f t="shared" si="308"/>
        <v>LO</v>
      </c>
      <c r="F4988" s="369">
        <f>VLOOKUP(C4988,METADATA!$A$5:$H$29,IF(E4988="HI",2,IF(E4988="LO",6,10))+IF(D4988=1,2,IF(D4988=7,1,(IF(WEEKDAY(B4988)=1,2,IF(WEEKDAY(B4988)=7,1,0))))))</f>
        <v>3</v>
      </c>
      <c r="G4988" s="369">
        <f>VLOOKUP(C4988,METADATA!$J$5:$Q$29,IF(E4988="HI",2,IF(E4988="LO",6,10))+IF(D4988=1,2,IF(D4988=7,1,(IF(WEEKDAY(B4988)=1,2,IF(WEEKDAY(B4988)=7,1,0))))))</f>
        <v>3</v>
      </c>
      <c r="H4988" s="370">
        <v>13437.100341796875</v>
      </c>
      <c r="I4988" s="370">
        <v>10778.625061035156</v>
      </c>
      <c r="M4988" s="371">
        <f t="shared" si="309"/>
        <v>17225.981069358368</v>
      </c>
      <c r="N4988" s="329">
        <f t="shared" si="310"/>
        <v>6747.4949584960941</v>
      </c>
      <c r="T4988" s="331">
        <v>0</v>
      </c>
      <c r="U4988" s="328">
        <f>VLOOKUP(C4988,METADATA!$J$5:$Q$29,IF(E4988="HI",2,IF(E4988="LO",6,10))+IF(T4988=1,2,IF(D4988=7,1,(IF(WEEKDAY(B4988)=1,2,IF(WEEKDAY(B4988)=7,1,0))))))</f>
        <v>3</v>
      </c>
      <c r="V4988" s="328">
        <f>VLOOKUP(C4988,METADATA!$A$5:$H$29,IF(E4988="HI",2,IF(E4988="LO",6,10))+IF(T4988=1,2,IF(D4988=7,1,(IF(WEEKDAY(B4988)=1,2,IF(WEEKDAY(B4988)=7,1,0))))))</f>
        <v>3</v>
      </c>
    </row>
    <row r="4989" spans="2:22">
      <c r="B4989" s="318">
        <f t="shared" si="311"/>
        <v>46320</v>
      </c>
      <c r="C4989" s="312">
        <v>17</v>
      </c>
      <c r="D4989" s="368">
        <f>IFERROR((INDEX(METADATA!$T$2:$T$20,MATCH(B4989,METADATA!$S$2:$S$20,0))),0)</f>
        <v>0</v>
      </c>
      <c r="E4989" s="312" t="str">
        <f t="shared" si="308"/>
        <v>LO</v>
      </c>
      <c r="F4989" s="369">
        <f>VLOOKUP(C4989,METADATA!$A$5:$H$29,IF(E4989="HI",2,IF(E4989="LO",6,10))+IF(D4989=1,2,IF(D4989=7,1,(IF(WEEKDAY(B4989)=1,2,IF(WEEKDAY(B4989)=7,1,0))))))</f>
        <v>3</v>
      </c>
      <c r="G4989" s="369">
        <f>VLOOKUP(C4989,METADATA!$J$5:$Q$29,IF(E4989="HI",2,IF(E4989="LO",6,10))+IF(D4989=1,2,IF(D4989=7,1,(IF(WEEKDAY(B4989)=1,2,IF(WEEKDAY(B4989)=7,1,0))))))</f>
        <v>3</v>
      </c>
      <c r="H4989" s="370">
        <v>13660.69970703125</v>
      </c>
      <c r="I4989" s="370">
        <v>10923.449829101563</v>
      </c>
      <c r="M4989" s="371">
        <f t="shared" si="309"/>
        <v>17491.039781973588</v>
      </c>
      <c r="N4989" s="329">
        <f t="shared" si="310"/>
        <v>6825.2399169921873</v>
      </c>
      <c r="T4989" s="331">
        <v>0</v>
      </c>
      <c r="U4989" s="328">
        <f>VLOOKUP(C4989,METADATA!$J$5:$Q$29,IF(E4989="HI",2,IF(E4989="LO",6,10))+IF(T4989=1,2,IF(D4989=7,1,(IF(WEEKDAY(B4989)=1,2,IF(WEEKDAY(B4989)=7,1,0))))))</f>
        <v>3</v>
      </c>
      <c r="V4989" s="328">
        <f>VLOOKUP(C4989,METADATA!$A$5:$H$29,IF(E4989="HI",2,IF(E4989="LO",6,10))+IF(T4989=1,2,IF(D4989=7,1,(IF(WEEKDAY(B4989)=1,2,IF(WEEKDAY(B4989)=7,1,0))))))</f>
        <v>3</v>
      </c>
    </row>
    <row r="4990" spans="2:22">
      <c r="B4990" s="318">
        <f t="shared" si="311"/>
        <v>46320</v>
      </c>
      <c r="C4990" s="312">
        <v>18</v>
      </c>
      <c r="D4990" s="368">
        <f>IFERROR((INDEX(METADATA!$T$2:$T$20,MATCH(B4990,METADATA!$S$2:$S$20,0))),0)</f>
        <v>0</v>
      </c>
      <c r="E4990" s="312" t="str">
        <f t="shared" si="308"/>
        <v>LO</v>
      </c>
      <c r="F4990" s="369">
        <f>VLOOKUP(C4990,METADATA!$A$5:$H$29,IF(E4990="HI",2,IF(E4990="LO",6,10))+IF(D4990=1,2,IF(D4990=7,1,(IF(WEEKDAY(B4990)=1,2,IF(WEEKDAY(B4990)=7,1,0))))))</f>
        <v>2</v>
      </c>
      <c r="G4990" s="369">
        <f>VLOOKUP(C4990,METADATA!$J$5:$Q$29,IF(E4990="HI",2,IF(E4990="LO",6,10))+IF(D4990=1,2,IF(D4990=7,1,(IF(WEEKDAY(B4990)=1,2,IF(WEEKDAY(B4990)=7,1,0))))))</f>
        <v>2</v>
      </c>
      <c r="H4990" s="370">
        <v>13680.725341796875</v>
      </c>
      <c r="I4990" s="370">
        <v>10898.700134277344</v>
      </c>
      <c r="M4990" s="371">
        <f t="shared" si="309"/>
        <v>17491.252399258901</v>
      </c>
      <c r="N4990" s="329">
        <f t="shared" si="310"/>
        <v>6794.4825317382811</v>
      </c>
      <c r="T4990" s="331">
        <v>0</v>
      </c>
      <c r="U4990" s="328">
        <f>VLOOKUP(C4990,METADATA!$J$5:$Q$29,IF(E4990="HI",2,IF(E4990="LO",6,10))+IF(T4990=1,2,IF(D4990=7,1,(IF(WEEKDAY(B4990)=1,2,IF(WEEKDAY(B4990)=7,1,0))))))</f>
        <v>2</v>
      </c>
      <c r="V4990" s="328">
        <f>VLOOKUP(C4990,METADATA!$A$5:$H$29,IF(E4990="HI",2,IF(E4990="LO",6,10))+IF(T4990=1,2,IF(D4990=7,1,(IF(WEEKDAY(B4990)=1,2,IF(WEEKDAY(B4990)=7,1,0))))))</f>
        <v>2</v>
      </c>
    </row>
    <row r="4991" spans="2:22">
      <c r="B4991" s="318">
        <f t="shared" si="311"/>
        <v>46320</v>
      </c>
      <c r="C4991" s="312">
        <v>19</v>
      </c>
      <c r="D4991" s="368">
        <f>IFERROR((INDEX(METADATA!$T$2:$T$20,MATCH(B4991,METADATA!$S$2:$S$20,0))),0)</f>
        <v>0</v>
      </c>
      <c r="E4991" s="312" t="str">
        <f t="shared" si="308"/>
        <v>LO</v>
      </c>
      <c r="F4991" s="369">
        <f>VLOOKUP(C4991,METADATA!$A$5:$H$29,IF(E4991="HI",2,IF(E4991="LO",6,10))+IF(D4991=1,2,IF(D4991=7,1,(IF(WEEKDAY(B4991)=1,2,IF(WEEKDAY(B4991)=7,1,0))))))</f>
        <v>2</v>
      </c>
      <c r="G4991" s="369">
        <f>VLOOKUP(C4991,METADATA!$J$5:$Q$29,IF(E4991="HI",2,IF(E4991="LO",6,10))+IF(D4991=1,2,IF(D4991=7,1,(IF(WEEKDAY(B4991)=1,2,IF(WEEKDAY(B4991)=7,1,0))))))</f>
        <v>2</v>
      </c>
      <c r="H4991" s="370">
        <v>13683.524841308594</v>
      </c>
      <c r="I4991" s="370">
        <v>10786.875061035156</v>
      </c>
      <c r="M4991" s="371">
        <f t="shared" si="309"/>
        <v>17423.992816375114</v>
      </c>
      <c r="N4991" s="329">
        <f t="shared" si="310"/>
        <v>6681.8176086425783</v>
      </c>
      <c r="T4991" s="331">
        <v>0</v>
      </c>
      <c r="U4991" s="328">
        <f>VLOOKUP(C4991,METADATA!$J$5:$Q$29,IF(E4991="HI",2,IF(E4991="LO",6,10))+IF(T4991=1,2,IF(D4991=7,1,(IF(WEEKDAY(B4991)=1,2,IF(WEEKDAY(B4991)=7,1,0))))))</f>
        <v>2</v>
      </c>
      <c r="V4991" s="328">
        <f>VLOOKUP(C4991,METADATA!$A$5:$H$29,IF(E4991="HI",2,IF(E4991="LO",6,10))+IF(T4991=1,2,IF(D4991=7,1,(IF(WEEKDAY(B4991)=1,2,IF(WEEKDAY(B4991)=7,1,0))))))</f>
        <v>2</v>
      </c>
    </row>
    <row r="4992" spans="2:22">
      <c r="B4992" s="318">
        <f t="shared" si="311"/>
        <v>46320</v>
      </c>
      <c r="C4992" s="312">
        <v>20</v>
      </c>
      <c r="D4992" s="368">
        <f>IFERROR((INDEX(METADATA!$T$2:$T$20,MATCH(B4992,METADATA!$S$2:$S$20,0))),0)</f>
        <v>0</v>
      </c>
      <c r="E4992" s="312" t="str">
        <f t="shared" si="308"/>
        <v>LO</v>
      </c>
      <c r="F4992" s="369">
        <f>VLOOKUP(C4992,METADATA!$A$5:$H$29,IF(E4992="HI",2,IF(E4992="LO",6,10))+IF(D4992=1,2,IF(D4992=7,1,(IF(WEEKDAY(B4992)=1,2,IF(WEEKDAY(B4992)=7,1,0))))))</f>
        <v>3</v>
      </c>
      <c r="G4992" s="369">
        <f>VLOOKUP(C4992,METADATA!$J$5:$Q$29,IF(E4992="HI",2,IF(E4992="LO",6,10))+IF(D4992=1,2,IF(D4992=7,1,(IF(WEEKDAY(B4992)=1,2,IF(WEEKDAY(B4992)=7,1,0))))))</f>
        <v>3</v>
      </c>
      <c r="H4992" s="370">
        <v>13794.224914550781</v>
      </c>
      <c r="I4992" s="370">
        <v>10934.625122070313</v>
      </c>
      <c r="M4992" s="371">
        <f t="shared" si="309"/>
        <v>17602.461974207607</v>
      </c>
      <c r="N4992" s="329">
        <f t="shared" si="310"/>
        <v>6796.3576477050783</v>
      </c>
      <c r="T4992" s="331">
        <v>0</v>
      </c>
      <c r="U4992" s="328">
        <f>VLOOKUP(C4992,METADATA!$J$5:$Q$29,IF(E4992="HI",2,IF(E4992="LO",6,10))+IF(T4992=1,2,IF(D4992=7,1,(IF(WEEKDAY(B4992)=1,2,IF(WEEKDAY(B4992)=7,1,0))))))</f>
        <v>3</v>
      </c>
      <c r="V4992" s="328">
        <f>VLOOKUP(C4992,METADATA!$A$5:$H$29,IF(E4992="HI",2,IF(E4992="LO",6,10))+IF(T4992=1,2,IF(D4992=7,1,(IF(WEEKDAY(B4992)=1,2,IF(WEEKDAY(B4992)=7,1,0))))))</f>
        <v>3</v>
      </c>
    </row>
    <row r="4993" spans="2:22">
      <c r="B4993" s="318">
        <f t="shared" si="311"/>
        <v>46320</v>
      </c>
      <c r="C4993" s="312">
        <v>21</v>
      </c>
      <c r="D4993" s="368">
        <f>IFERROR((INDEX(METADATA!$T$2:$T$20,MATCH(B4993,METADATA!$S$2:$S$20,0))),0)</f>
        <v>0</v>
      </c>
      <c r="E4993" s="312" t="str">
        <f t="shared" si="308"/>
        <v>LO</v>
      </c>
      <c r="F4993" s="369">
        <f>VLOOKUP(C4993,METADATA!$A$5:$H$29,IF(E4993="HI",2,IF(E4993="LO",6,10))+IF(D4993=1,2,IF(D4993=7,1,(IF(WEEKDAY(B4993)=1,2,IF(WEEKDAY(B4993)=7,1,0))))))</f>
        <v>3</v>
      </c>
      <c r="G4993" s="369">
        <f>VLOOKUP(C4993,METADATA!$J$5:$Q$29,IF(E4993="HI",2,IF(E4993="LO",6,10))+IF(D4993=1,2,IF(D4993=7,1,(IF(WEEKDAY(B4993)=1,2,IF(WEEKDAY(B4993)=7,1,0))))))</f>
        <v>3</v>
      </c>
      <c r="H4993" s="370">
        <v>13429.824462890625</v>
      </c>
      <c r="I4993" s="370">
        <v>10690.199768066406</v>
      </c>
      <c r="M4993" s="371">
        <f t="shared" si="309"/>
        <v>17165.097033958838</v>
      </c>
      <c r="N4993" s="329">
        <f t="shared" si="310"/>
        <v>6661.2524291992195</v>
      </c>
      <c r="T4993" s="331">
        <v>0</v>
      </c>
      <c r="U4993" s="328">
        <f>VLOOKUP(C4993,METADATA!$J$5:$Q$29,IF(E4993="HI",2,IF(E4993="LO",6,10))+IF(T4993=1,2,IF(D4993=7,1,(IF(WEEKDAY(B4993)=1,2,IF(WEEKDAY(B4993)=7,1,0))))))</f>
        <v>3</v>
      </c>
      <c r="V4993" s="328">
        <f>VLOOKUP(C4993,METADATA!$A$5:$H$29,IF(E4993="HI",2,IF(E4993="LO",6,10))+IF(T4993=1,2,IF(D4993=7,1,(IF(WEEKDAY(B4993)=1,2,IF(WEEKDAY(B4993)=7,1,0))))))</f>
        <v>3</v>
      </c>
    </row>
    <row r="4994" spans="2:22">
      <c r="B4994" s="318">
        <f t="shared" si="311"/>
        <v>46320</v>
      </c>
      <c r="C4994" s="312">
        <v>22</v>
      </c>
      <c r="D4994" s="368">
        <f>IFERROR((INDEX(METADATA!$T$2:$T$20,MATCH(B4994,METADATA!$S$2:$S$20,0))),0)</f>
        <v>0</v>
      </c>
      <c r="E4994" s="312" t="str">
        <f t="shared" si="308"/>
        <v>LO</v>
      </c>
      <c r="F4994" s="369">
        <f>VLOOKUP(C4994,METADATA!$A$5:$H$29,IF(E4994="HI",2,IF(E4994="LO",6,10))+IF(D4994=1,2,IF(D4994=7,1,(IF(WEEKDAY(B4994)=1,2,IF(WEEKDAY(B4994)=7,1,0))))))</f>
        <v>3</v>
      </c>
      <c r="G4994" s="369">
        <f>VLOOKUP(C4994,METADATA!$J$5:$Q$29,IF(E4994="HI",2,IF(E4994="LO",6,10))+IF(D4994=1,2,IF(D4994=7,1,(IF(WEEKDAY(B4994)=1,2,IF(WEEKDAY(B4994)=7,1,0))))))</f>
        <v>3</v>
      </c>
      <c r="H4994" s="370">
        <v>12229.950073242188</v>
      </c>
      <c r="I4994" s="370">
        <v>9678.85009765625</v>
      </c>
      <c r="M4994" s="371">
        <f t="shared" si="309"/>
        <v>15596.532242998665</v>
      </c>
      <c r="N4994" s="329">
        <f t="shared" si="310"/>
        <v>6009.8650756835941</v>
      </c>
      <c r="T4994" s="331">
        <v>0</v>
      </c>
      <c r="U4994" s="328">
        <f>VLOOKUP(C4994,METADATA!$J$5:$Q$29,IF(E4994="HI",2,IF(E4994="LO",6,10))+IF(T4994=1,2,IF(D4994=7,1,(IF(WEEKDAY(B4994)=1,2,IF(WEEKDAY(B4994)=7,1,0))))))</f>
        <v>3</v>
      </c>
      <c r="V4994" s="328">
        <f>VLOOKUP(C4994,METADATA!$A$5:$H$29,IF(E4994="HI",2,IF(E4994="LO",6,10))+IF(T4994=1,2,IF(D4994=7,1,(IF(WEEKDAY(B4994)=1,2,IF(WEEKDAY(B4994)=7,1,0))))))</f>
        <v>3</v>
      </c>
    </row>
    <row r="4995" spans="2:22">
      <c r="B4995" s="318">
        <f t="shared" si="311"/>
        <v>46320</v>
      </c>
      <c r="C4995" s="312">
        <v>23</v>
      </c>
      <c r="D4995" s="368">
        <f>IFERROR((INDEX(METADATA!$T$2:$T$20,MATCH(B4995,METADATA!$S$2:$S$20,0))),0)</f>
        <v>0</v>
      </c>
      <c r="E4995" s="312" t="str">
        <f t="shared" si="308"/>
        <v>LO</v>
      </c>
      <c r="F4995" s="369">
        <f>VLOOKUP(C4995,METADATA!$A$5:$H$29,IF(E4995="HI",2,IF(E4995="LO",6,10))+IF(D4995=1,2,IF(D4995=7,1,(IF(WEEKDAY(B4995)=1,2,IF(WEEKDAY(B4995)=7,1,0))))))</f>
        <v>3</v>
      </c>
      <c r="G4995" s="369">
        <f>VLOOKUP(C4995,METADATA!$J$5:$Q$29,IF(E4995="HI",2,IF(E4995="LO",6,10))+IF(D4995=1,2,IF(D4995=7,1,(IF(WEEKDAY(B4995)=1,2,IF(WEEKDAY(B4995)=7,1,0))))))</f>
        <v>3</v>
      </c>
      <c r="H4995" s="370">
        <v>12121.75</v>
      </c>
      <c r="I4995" s="370">
        <v>9735.3499145507813</v>
      </c>
      <c r="M4995" s="371">
        <f t="shared" si="309"/>
        <v>15547.149610820754</v>
      </c>
      <c r="N4995" s="329">
        <f t="shared" si="310"/>
        <v>6098.8249145507816</v>
      </c>
      <c r="T4995" s="331">
        <v>0</v>
      </c>
      <c r="U4995" s="328">
        <f>VLOOKUP(C4995,METADATA!$J$5:$Q$29,IF(E4995="HI",2,IF(E4995="LO",6,10))+IF(T4995=1,2,IF(D4995=7,1,(IF(WEEKDAY(B4995)=1,2,IF(WEEKDAY(B4995)=7,1,0))))))</f>
        <v>3</v>
      </c>
      <c r="V4995" s="328">
        <f>VLOOKUP(C4995,METADATA!$A$5:$H$29,IF(E4995="HI",2,IF(E4995="LO",6,10))+IF(T4995=1,2,IF(D4995=7,1,(IF(WEEKDAY(B4995)=1,2,IF(WEEKDAY(B4995)=7,1,0))))))</f>
        <v>3</v>
      </c>
    </row>
    <row r="4996" spans="2:22">
      <c r="B4996" s="318">
        <f t="shared" si="311"/>
        <v>46321</v>
      </c>
      <c r="C4996" s="312">
        <v>0</v>
      </c>
      <c r="D4996" s="368">
        <f>IFERROR((INDEX(METADATA!$T$2:$T$20,MATCH(B4996,METADATA!$S$2:$S$20,0))),0)</f>
        <v>0</v>
      </c>
      <c r="E4996" s="312" t="str">
        <f t="shared" ref="E4996:E5059" si="312">IF(B4996="","",IF(AND(MONTH(B4996)&gt;=MONTH($Z$9),MONTH(B4996)&lt;=MONTH($Z$11)),"HI","LO"))</f>
        <v>LO</v>
      </c>
      <c r="F4996" s="369">
        <f>VLOOKUP(C4996,METADATA!$A$5:$H$29,IF(E4996="HI",2,IF(E4996="LO",6,10))+IF(D4996=1,2,IF(D4996=7,1,(IF(WEEKDAY(B4996)=1,2,IF(WEEKDAY(B4996)=7,1,0))))))</f>
        <v>3</v>
      </c>
      <c r="G4996" s="369">
        <f>VLOOKUP(C4996,METADATA!$J$5:$Q$29,IF(E4996="HI",2,IF(E4996="LO",6,10))+IF(D4996=1,2,IF(D4996=7,1,(IF(WEEKDAY(B4996)=1,2,IF(WEEKDAY(B4996)=7,1,0))))))</f>
        <v>3</v>
      </c>
      <c r="H4996" s="370">
        <v>12119.200012207031</v>
      </c>
      <c r="I4996" s="370">
        <v>9770.27490234375</v>
      </c>
      <c r="M4996" s="371">
        <f t="shared" ref="M4996:M5059" si="313">SQRT(H4996^2+I4996^2)</f>
        <v>15567.057544804255</v>
      </c>
      <c r="N4996" s="329">
        <f t="shared" ref="N4996:N5059" si="314">IF(H4996=0,0,(IF(I4996-(0.3*H4996)&lt;0,0,(I4996-(0.3*H4996)))))</f>
        <v>6134.5148986816403</v>
      </c>
      <c r="T4996" s="331">
        <v>0</v>
      </c>
      <c r="U4996" s="328">
        <f>VLOOKUP(C4996,METADATA!$J$5:$Q$29,IF(E4996="HI",2,IF(E4996="LO",6,10))+IF(T4996=1,2,IF(D4996=7,1,(IF(WEEKDAY(B4996)=1,2,IF(WEEKDAY(B4996)=7,1,0))))))</f>
        <v>3</v>
      </c>
      <c r="V4996" s="328">
        <f>VLOOKUP(C4996,METADATA!$A$5:$H$29,IF(E4996="HI",2,IF(E4996="LO",6,10))+IF(T4996=1,2,IF(D4996=7,1,(IF(WEEKDAY(B4996)=1,2,IF(WEEKDAY(B4996)=7,1,0))))))</f>
        <v>3</v>
      </c>
    </row>
    <row r="4997" spans="2:22">
      <c r="B4997" s="318">
        <f t="shared" si="311"/>
        <v>46321</v>
      </c>
      <c r="C4997" s="312">
        <v>1</v>
      </c>
      <c r="D4997" s="368">
        <f>IFERROR((INDEX(METADATA!$T$2:$T$20,MATCH(B4997,METADATA!$S$2:$S$20,0))),0)</f>
        <v>0</v>
      </c>
      <c r="E4997" s="312" t="str">
        <f t="shared" si="312"/>
        <v>LO</v>
      </c>
      <c r="F4997" s="369">
        <f>VLOOKUP(C4997,METADATA!$A$5:$H$29,IF(E4997="HI",2,IF(E4997="LO",6,10))+IF(D4997=1,2,IF(D4997=7,1,(IF(WEEKDAY(B4997)=1,2,IF(WEEKDAY(B4997)=7,1,0))))))</f>
        <v>3</v>
      </c>
      <c r="G4997" s="369">
        <f>VLOOKUP(C4997,METADATA!$J$5:$Q$29,IF(E4997="HI",2,IF(E4997="LO",6,10))+IF(D4997=1,2,IF(D4997=7,1,(IF(WEEKDAY(B4997)=1,2,IF(WEEKDAY(B4997)=7,1,0))))))</f>
        <v>3</v>
      </c>
      <c r="H4997" s="370">
        <v>12078.650024414063</v>
      </c>
      <c r="I4997" s="370">
        <v>9640.0701293945313</v>
      </c>
      <c r="M4997" s="371">
        <f t="shared" si="313"/>
        <v>15453.955432572029</v>
      </c>
      <c r="N4997" s="329">
        <f t="shared" si="314"/>
        <v>6016.4751220703129</v>
      </c>
      <c r="T4997" s="331">
        <v>0</v>
      </c>
      <c r="U4997" s="328">
        <f>VLOOKUP(C4997,METADATA!$J$5:$Q$29,IF(E4997="HI",2,IF(E4997="LO",6,10))+IF(T4997=1,2,IF(D4997=7,1,(IF(WEEKDAY(B4997)=1,2,IF(WEEKDAY(B4997)=7,1,0))))))</f>
        <v>3</v>
      </c>
      <c r="V4997" s="328">
        <f>VLOOKUP(C4997,METADATA!$A$5:$H$29,IF(E4997="HI",2,IF(E4997="LO",6,10))+IF(T4997=1,2,IF(D4997=7,1,(IF(WEEKDAY(B4997)=1,2,IF(WEEKDAY(B4997)=7,1,0))))))</f>
        <v>3</v>
      </c>
    </row>
    <row r="4998" spans="2:22">
      <c r="B4998" s="318">
        <f t="shared" si="311"/>
        <v>46321</v>
      </c>
      <c r="C4998" s="312">
        <v>2</v>
      </c>
      <c r="D4998" s="368">
        <f>IFERROR((INDEX(METADATA!$T$2:$T$20,MATCH(B4998,METADATA!$S$2:$S$20,0))),0)</f>
        <v>0</v>
      </c>
      <c r="E4998" s="312" t="str">
        <f t="shared" si="312"/>
        <v>LO</v>
      </c>
      <c r="F4998" s="369">
        <f>VLOOKUP(C4998,METADATA!$A$5:$H$29,IF(E4998="HI",2,IF(E4998="LO",6,10))+IF(D4998=1,2,IF(D4998=7,1,(IF(WEEKDAY(B4998)=1,2,IF(WEEKDAY(B4998)=7,1,0))))))</f>
        <v>3</v>
      </c>
      <c r="G4998" s="369">
        <f>VLOOKUP(C4998,METADATA!$J$5:$Q$29,IF(E4998="HI",2,IF(E4998="LO",6,10))+IF(D4998=1,2,IF(D4998=7,1,(IF(WEEKDAY(B4998)=1,2,IF(WEEKDAY(B4998)=7,1,0))))))</f>
        <v>3</v>
      </c>
      <c r="H4998" s="370">
        <v>11860.249877929688</v>
      </c>
      <c r="I4998" s="370">
        <v>9459.3748168945313</v>
      </c>
      <c r="M4998" s="371">
        <f t="shared" si="313"/>
        <v>15170.540501031253</v>
      </c>
      <c r="N4998" s="329">
        <f t="shared" si="314"/>
        <v>5901.2998535156257</v>
      </c>
      <c r="T4998" s="331">
        <v>0</v>
      </c>
      <c r="U4998" s="328">
        <f>VLOOKUP(C4998,METADATA!$J$5:$Q$29,IF(E4998="HI",2,IF(E4998="LO",6,10))+IF(T4998=1,2,IF(D4998=7,1,(IF(WEEKDAY(B4998)=1,2,IF(WEEKDAY(B4998)=7,1,0))))))</f>
        <v>3</v>
      </c>
      <c r="V4998" s="328">
        <f>VLOOKUP(C4998,METADATA!$A$5:$H$29,IF(E4998="HI",2,IF(E4998="LO",6,10))+IF(T4998=1,2,IF(D4998=7,1,(IF(WEEKDAY(B4998)=1,2,IF(WEEKDAY(B4998)=7,1,0))))))</f>
        <v>3</v>
      </c>
    </row>
    <row r="4999" spans="2:22">
      <c r="B4999" s="318">
        <f t="shared" si="311"/>
        <v>46321</v>
      </c>
      <c r="C4999" s="312">
        <v>3</v>
      </c>
      <c r="D4999" s="368">
        <f>IFERROR((INDEX(METADATA!$T$2:$T$20,MATCH(B4999,METADATA!$S$2:$S$20,0))),0)</f>
        <v>0</v>
      </c>
      <c r="E4999" s="312" t="str">
        <f t="shared" si="312"/>
        <v>LO</v>
      </c>
      <c r="F4999" s="369">
        <f>VLOOKUP(C4999,METADATA!$A$5:$H$29,IF(E4999="HI",2,IF(E4999="LO",6,10))+IF(D4999=1,2,IF(D4999=7,1,(IF(WEEKDAY(B4999)=1,2,IF(WEEKDAY(B4999)=7,1,0))))))</f>
        <v>3</v>
      </c>
      <c r="G4999" s="369">
        <f>VLOOKUP(C4999,METADATA!$J$5:$Q$29,IF(E4999="HI",2,IF(E4999="LO",6,10))+IF(D4999=1,2,IF(D4999=7,1,(IF(WEEKDAY(B4999)=1,2,IF(WEEKDAY(B4999)=7,1,0))))))</f>
        <v>3</v>
      </c>
      <c r="H4999" s="370">
        <v>11914.975219726563</v>
      </c>
      <c r="I4999" s="370">
        <v>9581.0501708984375</v>
      </c>
      <c r="M4999" s="371">
        <f t="shared" si="313"/>
        <v>15289.315120827714</v>
      </c>
      <c r="N4999" s="329">
        <f t="shared" si="314"/>
        <v>6006.5576049804695</v>
      </c>
      <c r="T4999" s="331">
        <v>0</v>
      </c>
      <c r="U4999" s="328">
        <f>VLOOKUP(C4999,METADATA!$J$5:$Q$29,IF(E4999="HI",2,IF(E4999="LO",6,10))+IF(T4999=1,2,IF(D4999=7,1,(IF(WEEKDAY(B4999)=1,2,IF(WEEKDAY(B4999)=7,1,0))))))</f>
        <v>3</v>
      </c>
      <c r="V4999" s="328">
        <f>VLOOKUP(C4999,METADATA!$A$5:$H$29,IF(E4999="HI",2,IF(E4999="LO",6,10))+IF(T4999=1,2,IF(D4999=7,1,(IF(WEEKDAY(B4999)=1,2,IF(WEEKDAY(B4999)=7,1,0))))))</f>
        <v>3</v>
      </c>
    </row>
    <row r="5000" spans="2:22">
      <c r="B5000" s="318">
        <f t="shared" si="311"/>
        <v>46321</v>
      </c>
      <c r="C5000" s="312">
        <v>4</v>
      </c>
      <c r="D5000" s="368">
        <f>IFERROR((INDEX(METADATA!$T$2:$T$20,MATCH(B5000,METADATA!$S$2:$S$20,0))),0)</f>
        <v>0</v>
      </c>
      <c r="E5000" s="312" t="str">
        <f t="shared" si="312"/>
        <v>LO</v>
      </c>
      <c r="F5000" s="369">
        <f>VLOOKUP(C5000,METADATA!$A$5:$H$29,IF(E5000="HI",2,IF(E5000="LO",6,10))+IF(D5000=1,2,IF(D5000=7,1,(IF(WEEKDAY(B5000)=1,2,IF(WEEKDAY(B5000)=7,1,0))))))</f>
        <v>3</v>
      </c>
      <c r="G5000" s="369">
        <f>VLOOKUP(C5000,METADATA!$J$5:$Q$29,IF(E5000="HI",2,IF(E5000="LO",6,10))+IF(D5000=1,2,IF(D5000=7,1,(IF(WEEKDAY(B5000)=1,2,IF(WEEKDAY(B5000)=7,1,0))))))</f>
        <v>3</v>
      </c>
      <c r="H5000" s="370">
        <v>12028.374877929688</v>
      </c>
      <c r="I5000" s="370">
        <v>9462.0000610351563</v>
      </c>
      <c r="M5000" s="371">
        <f t="shared" si="313"/>
        <v>15303.961819053238</v>
      </c>
      <c r="N5000" s="329">
        <f t="shared" si="314"/>
        <v>5853.4875976562507</v>
      </c>
      <c r="T5000" s="331">
        <v>0</v>
      </c>
      <c r="U5000" s="328">
        <f>VLOOKUP(C5000,METADATA!$J$5:$Q$29,IF(E5000="HI",2,IF(E5000="LO",6,10))+IF(T5000=1,2,IF(D5000=7,1,(IF(WEEKDAY(B5000)=1,2,IF(WEEKDAY(B5000)=7,1,0))))))</f>
        <v>3</v>
      </c>
      <c r="V5000" s="328">
        <f>VLOOKUP(C5000,METADATA!$A$5:$H$29,IF(E5000="HI",2,IF(E5000="LO",6,10))+IF(T5000=1,2,IF(D5000=7,1,(IF(WEEKDAY(B5000)=1,2,IF(WEEKDAY(B5000)=7,1,0))))))</f>
        <v>3</v>
      </c>
    </row>
    <row r="5001" spans="2:22">
      <c r="B5001" s="318">
        <f t="shared" si="311"/>
        <v>46321</v>
      </c>
      <c r="C5001" s="312">
        <v>5</v>
      </c>
      <c r="D5001" s="368">
        <f>IFERROR((INDEX(METADATA!$T$2:$T$20,MATCH(B5001,METADATA!$S$2:$S$20,0))),0)</f>
        <v>0</v>
      </c>
      <c r="E5001" s="312" t="str">
        <f t="shared" si="312"/>
        <v>LO</v>
      </c>
      <c r="F5001" s="369">
        <f>VLOOKUP(C5001,METADATA!$A$5:$H$29,IF(E5001="HI",2,IF(E5001="LO",6,10))+IF(D5001=1,2,IF(D5001=7,1,(IF(WEEKDAY(B5001)=1,2,IF(WEEKDAY(B5001)=7,1,0))))))</f>
        <v>3</v>
      </c>
      <c r="G5001" s="369">
        <f>VLOOKUP(C5001,METADATA!$J$5:$Q$29,IF(E5001="HI",2,IF(E5001="LO",6,10))+IF(D5001=1,2,IF(D5001=7,1,(IF(WEEKDAY(B5001)=1,2,IF(WEEKDAY(B5001)=7,1,0))))))</f>
        <v>3</v>
      </c>
      <c r="H5001" s="370">
        <v>11959.975219726563</v>
      </c>
      <c r="I5001" s="370">
        <v>9410.10009765625</v>
      </c>
      <c r="M5001" s="371">
        <f t="shared" si="313"/>
        <v>15218.113914161097</v>
      </c>
      <c r="N5001" s="329">
        <f t="shared" si="314"/>
        <v>5822.107531738282</v>
      </c>
      <c r="T5001" s="331">
        <v>0</v>
      </c>
      <c r="U5001" s="328">
        <f>VLOOKUP(C5001,METADATA!$J$5:$Q$29,IF(E5001="HI",2,IF(E5001="LO",6,10))+IF(T5001=1,2,IF(D5001=7,1,(IF(WEEKDAY(B5001)=1,2,IF(WEEKDAY(B5001)=7,1,0))))))</f>
        <v>3</v>
      </c>
      <c r="V5001" s="328">
        <f>VLOOKUP(C5001,METADATA!$A$5:$H$29,IF(E5001="HI",2,IF(E5001="LO",6,10))+IF(T5001=1,2,IF(D5001=7,1,(IF(WEEKDAY(B5001)=1,2,IF(WEEKDAY(B5001)=7,1,0))))))</f>
        <v>3</v>
      </c>
    </row>
    <row r="5002" spans="2:22">
      <c r="B5002" s="318">
        <f t="shared" si="311"/>
        <v>46321</v>
      </c>
      <c r="C5002" s="312">
        <v>6</v>
      </c>
      <c r="D5002" s="368">
        <f>IFERROR((INDEX(METADATA!$T$2:$T$20,MATCH(B5002,METADATA!$S$2:$S$20,0))),0)</f>
        <v>0</v>
      </c>
      <c r="E5002" s="312" t="str">
        <f t="shared" si="312"/>
        <v>LO</v>
      </c>
      <c r="F5002" s="369">
        <f>VLOOKUP(C5002,METADATA!$A$5:$H$29,IF(E5002="HI",2,IF(E5002="LO",6,10))+IF(D5002=1,2,IF(D5002=7,1,(IF(WEEKDAY(B5002)=1,2,IF(WEEKDAY(B5002)=7,1,0))))))</f>
        <v>2</v>
      </c>
      <c r="G5002" s="369">
        <f>VLOOKUP(C5002,METADATA!$J$5:$Q$29,IF(E5002="HI",2,IF(E5002="LO",6,10))+IF(D5002=1,2,IF(D5002=7,1,(IF(WEEKDAY(B5002)=1,2,IF(WEEKDAY(B5002)=7,1,0))))))</f>
        <v>2</v>
      </c>
      <c r="H5002" s="370">
        <v>12103.200012207031</v>
      </c>
      <c r="I5002" s="370">
        <v>9420.974853515625</v>
      </c>
      <c r="M5002" s="371">
        <f t="shared" si="313"/>
        <v>15337.607953199938</v>
      </c>
      <c r="N5002" s="329">
        <f t="shared" si="314"/>
        <v>5790.0148498535164</v>
      </c>
      <c r="T5002" s="331">
        <v>0</v>
      </c>
      <c r="U5002" s="328">
        <f>VLOOKUP(C5002,METADATA!$J$5:$Q$29,IF(E5002="HI",2,IF(E5002="LO",6,10))+IF(T5002=1,2,IF(D5002=7,1,(IF(WEEKDAY(B5002)=1,2,IF(WEEKDAY(B5002)=7,1,0))))))</f>
        <v>2</v>
      </c>
      <c r="V5002" s="328">
        <f>VLOOKUP(C5002,METADATA!$A$5:$H$29,IF(E5002="HI",2,IF(E5002="LO",6,10))+IF(T5002=1,2,IF(D5002=7,1,(IF(WEEKDAY(B5002)=1,2,IF(WEEKDAY(B5002)=7,1,0))))))</f>
        <v>2</v>
      </c>
    </row>
    <row r="5003" spans="2:22">
      <c r="B5003" s="318">
        <f t="shared" si="311"/>
        <v>46321</v>
      </c>
      <c r="C5003" s="312">
        <v>7</v>
      </c>
      <c r="D5003" s="368">
        <f>IFERROR((INDEX(METADATA!$T$2:$T$20,MATCH(B5003,METADATA!$S$2:$S$20,0))),0)</f>
        <v>0</v>
      </c>
      <c r="E5003" s="312" t="str">
        <f t="shared" si="312"/>
        <v>LO</v>
      </c>
      <c r="F5003" s="369">
        <f>VLOOKUP(C5003,METADATA!$A$5:$H$29,IF(E5003="HI",2,IF(E5003="LO",6,10))+IF(D5003=1,2,IF(D5003=7,1,(IF(WEEKDAY(B5003)=1,2,IF(WEEKDAY(B5003)=7,1,0))))))</f>
        <v>1</v>
      </c>
      <c r="G5003" s="369">
        <f>VLOOKUP(C5003,METADATA!$J$5:$Q$29,IF(E5003="HI",2,IF(E5003="LO",6,10))+IF(D5003=1,2,IF(D5003=7,1,(IF(WEEKDAY(B5003)=1,2,IF(WEEKDAY(B5003)=7,1,0))))))</f>
        <v>1</v>
      </c>
      <c r="H5003" s="370">
        <v>12083.100341796875</v>
      </c>
      <c r="I5003" s="370">
        <v>9280.199951171875</v>
      </c>
      <c r="M5003" s="371">
        <f t="shared" si="313"/>
        <v>15235.59729723985</v>
      </c>
      <c r="N5003" s="329">
        <f t="shared" si="314"/>
        <v>5655.2698486328127</v>
      </c>
      <c r="T5003" s="331">
        <v>0</v>
      </c>
      <c r="U5003" s="328">
        <f>VLOOKUP(C5003,METADATA!$J$5:$Q$29,IF(E5003="HI",2,IF(E5003="LO",6,10))+IF(T5003=1,2,IF(D5003=7,1,(IF(WEEKDAY(B5003)=1,2,IF(WEEKDAY(B5003)=7,1,0))))))</f>
        <v>1</v>
      </c>
      <c r="V5003" s="328">
        <f>VLOOKUP(C5003,METADATA!$A$5:$H$29,IF(E5003="HI",2,IF(E5003="LO",6,10))+IF(T5003=1,2,IF(D5003=7,1,(IF(WEEKDAY(B5003)=1,2,IF(WEEKDAY(B5003)=7,1,0))))))</f>
        <v>1</v>
      </c>
    </row>
    <row r="5004" spans="2:22">
      <c r="B5004" s="318">
        <f t="shared" si="311"/>
        <v>46321</v>
      </c>
      <c r="C5004" s="312">
        <v>8</v>
      </c>
      <c r="D5004" s="368">
        <f>IFERROR((INDEX(METADATA!$T$2:$T$20,MATCH(B5004,METADATA!$S$2:$S$20,0))),0)</f>
        <v>0</v>
      </c>
      <c r="E5004" s="312" t="str">
        <f t="shared" si="312"/>
        <v>LO</v>
      </c>
      <c r="F5004" s="369">
        <f>VLOOKUP(C5004,METADATA!$A$5:$H$29,IF(E5004="HI",2,IF(E5004="LO",6,10))+IF(D5004=1,2,IF(D5004=7,1,(IF(WEEKDAY(B5004)=1,2,IF(WEEKDAY(B5004)=7,1,0))))))</f>
        <v>1</v>
      </c>
      <c r="G5004" s="369">
        <f>VLOOKUP(C5004,METADATA!$J$5:$Q$29,IF(E5004="HI",2,IF(E5004="LO",6,10))+IF(D5004=1,2,IF(D5004=7,1,(IF(WEEKDAY(B5004)=1,2,IF(WEEKDAY(B5004)=7,1,0))))))</f>
        <v>1</v>
      </c>
      <c r="H5004" s="370">
        <v>11957.424682617188</v>
      </c>
      <c r="I5004" s="370">
        <v>9316.4000854492188</v>
      </c>
      <c r="M5004" s="371">
        <f t="shared" si="313"/>
        <v>15158.341452567327</v>
      </c>
      <c r="N5004" s="329">
        <f t="shared" si="314"/>
        <v>5729.1726806640627</v>
      </c>
      <c r="T5004" s="331">
        <v>0</v>
      </c>
      <c r="U5004" s="328">
        <f>VLOOKUP(C5004,METADATA!$J$5:$Q$29,IF(E5004="HI",2,IF(E5004="LO",6,10))+IF(T5004=1,2,IF(D5004=7,1,(IF(WEEKDAY(B5004)=1,2,IF(WEEKDAY(B5004)=7,1,0))))))</f>
        <v>1</v>
      </c>
      <c r="V5004" s="328">
        <f>VLOOKUP(C5004,METADATA!$A$5:$H$29,IF(E5004="HI",2,IF(E5004="LO",6,10))+IF(T5004=1,2,IF(D5004=7,1,(IF(WEEKDAY(B5004)=1,2,IF(WEEKDAY(B5004)=7,1,0))))))</f>
        <v>1</v>
      </c>
    </row>
    <row r="5005" spans="2:22">
      <c r="B5005" s="318">
        <f t="shared" si="311"/>
        <v>46321</v>
      </c>
      <c r="C5005" s="312">
        <v>9</v>
      </c>
      <c r="D5005" s="368">
        <f>IFERROR((INDEX(METADATA!$T$2:$T$20,MATCH(B5005,METADATA!$S$2:$S$20,0))),0)</f>
        <v>0</v>
      </c>
      <c r="E5005" s="312" t="str">
        <f t="shared" si="312"/>
        <v>LO</v>
      </c>
      <c r="F5005" s="369">
        <f>VLOOKUP(C5005,METADATA!$A$5:$H$29,IF(E5005="HI",2,IF(E5005="LO",6,10))+IF(D5005=1,2,IF(D5005=7,1,(IF(WEEKDAY(B5005)=1,2,IF(WEEKDAY(B5005)=7,1,0))))))</f>
        <v>2</v>
      </c>
      <c r="G5005" s="369">
        <f>VLOOKUP(C5005,METADATA!$J$5:$Q$29,IF(E5005="HI",2,IF(E5005="LO",6,10))+IF(D5005=1,2,IF(D5005=7,1,(IF(WEEKDAY(B5005)=1,2,IF(WEEKDAY(B5005)=7,1,0))))))</f>
        <v>2</v>
      </c>
      <c r="H5005" s="370">
        <v>10118.60009765625</v>
      </c>
      <c r="I5005" s="370">
        <v>8404.5874633789063</v>
      </c>
      <c r="M5005" s="371">
        <f t="shared" si="313"/>
        <v>13153.82675748297</v>
      </c>
      <c r="N5005" s="329">
        <f t="shared" si="314"/>
        <v>5369.007434082032</v>
      </c>
      <c r="T5005" s="331">
        <v>0</v>
      </c>
      <c r="U5005" s="328">
        <f>VLOOKUP(C5005,METADATA!$J$5:$Q$29,IF(E5005="HI",2,IF(E5005="LO",6,10))+IF(T5005=1,2,IF(D5005=7,1,(IF(WEEKDAY(B5005)=1,2,IF(WEEKDAY(B5005)=7,1,0))))))</f>
        <v>2</v>
      </c>
      <c r="V5005" s="328">
        <f>VLOOKUP(C5005,METADATA!$A$5:$H$29,IF(E5005="HI",2,IF(E5005="LO",6,10))+IF(T5005=1,2,IF(D5005=7,1,(IF(WEEKDAY(B5005)=1,2,IF(WEEKDAY(B5005)=7,1,0))))))</f>
        <v>2</v>
      </c>
    </row>
    <row r="5006" spans="2:22">
      <c r="B5006" s="318">
        <f t="shared" si="311"/>
        <v>46321</v>
      </c>
      <c r="C5006" s="312">
        <v>10</v>
      </c>
      <c r="D5006" s="368">
        <f>IFERROR((INDEX(METADATA!$T$2:$T$20,MATCH(B5006,METADATA!$S$2:$S$20,0))),0)</f>
        <v>0</v>
      </c>
      <c r="E5006" s="312" t="str">
        <f t="shared" si="312"/>
        <v>LO</v>
      </c>
      <c r="F5006" s="369">
        <f>VLOOKUP(C5006,METADATA!$A$5:$H$29,IF(E5006="HI",2,IF(E5006="LO",6,10))+IF(D5006=1,2,IF(D5006=7,1,(IF(WEEKDAY(B5006)=1,2,IF(WEEKDAY(B5006)=7,1,0))))))</f>
        <v>2</v>
      </c>
      <c r="G5006" s="369">
        <f>VLOOKUP(C5006,METADATA!$J$5:$Q$29,IF(E5006="HI",2,IF(E5006="LO",6,10))+IF(D5006=1,2,IF(D5006=7,1,(IF(WEEKDAY(B5006)=1,2,IF(WEEKDAY(B5006)=7,1,0))))))</f>
        <v>2</v>
      </c>
      <c r="H5006" s="370">
        <v>10038.914916992188</v>
      </c>
      <c r="I5006" s="370">
        <v>8378.5399169921875</v>
      </c>
      <c r="M5006" s="371">
        <f t="shared" si="313"/>
        <v>13075.922294478494</v>
      </c>
      <c r="N5006" s="329">
        <f t="shared" si="314"/>
        <v>5366.8654418945316</v>
      </c>
      <c r="T5006" s="331">
        <v>0</v>
      </c>
      <c r="U5006" s="328">
        <f>VLOOKUP(C5006,METADATA!$J$5:$Q$29,IF(E5006="HI",2,IF(E5006="LO",6,10))+IF(T5006=1,2,IF(D5006=7,1,(IF(WEEKDAY(B5006)=1,2,IF(WEEKDAY(B5006)=7,1,0))))))</f>
        <v>2</v>
      </c>
      <c r="V5006" s="328">
        <f>VLOOKUP(C5006,METADATA!$A$5:$H$29,IF(E5006="HI",2,IF(E5006="LO",6,10))+IF(T5006=1,2,IF(D5006=7,1,(IF(WEEKDAY(B5006)=1,2,IF(WEEKDAY(B5006)=7,1,0))))))</f>
        <v>2</v>
      </c>
    </row>
    <row r="5007" spans="2:22">
      <c r="B5007" s="318">
        <f t="shared" si="311"/>
        <v>46321</v>
      </c>
      <c r="C5007" s="312">
        <v>11</v>
      </c>
      <c r="D5007" s="368">
        <f>IFERROR((INDEX(METADATA!$T$2:$T$20,MATCH(B5007,METADATA!$S$2:$S$20,0))),0)</f>
        <v>0</v>
      </c>
      <c r="E5007" s="312" t="str">
        <f t="shared" si="312"/>
        <v>LO</v>
      </c>
      <c r="F5007" s="369">
        <f>VLOOKUP(C5007,METADATA!$A$5:$H$29,IF(E5007="HI",2,IF(E5007="LO",6,10))+IF(D5007=1,2,IF(D5007=7,1,(IF(WEEKDAY(B5007)=1,2,IF(WEEKDAY(B5007)=7,1,0))))))</f>
        <v>2</v>
      </c>
      <c r="G5007" s="369">
        <f>VLOOKUP(C5007,METADATA!$J$5:$Q$29,IF(E5007="HI",2,IF(E5007="LO",6,10))+IF(D5007=1,2,IF(D5007=7,1,(IF(WEEKDAY(B5007)=1,2,IF(WEEKDAY(B5007)=7,1,0))))))</f>
        <v>2</v>
      </c>
      <c r="H5007" s="370">
        <v>10040.942565917969</v>
      </c>
      <c r="I5007" s="370">
        <v>7787.3174438476563</v>
      </c>
      <c r="M5007" s="371">
        <f t="shared" si="313"/>
        <v>12706.802925335598</v>
      </c>
      <c r="N5007" s="329">
        <f t="shared" si="314"/>
        <v>4775.0346740722653</v>
      </c>
      <c r="T5007" s="331">
        <v>0</v>
      </c>
      <c r="U5007" s="328">
        <f>VLOOKUP(C5007,METADATA!$J$5:$Q$29,IF(E5007="HI",2,IF(E5007="LO",6,10))+IF(T5007=1,2,IF(D5007=7,1,(IF(WEEKDAY(B5007)=1,2,IF(WEEKDAY(B5007)=7,1,0))))))</f>
        <v>2</v>
      </c>
      <c r="V5007" s="328">
        <f>VLOOKUP(C5007,METADATA!$A$5:$H$29,IF(E5007="HI",2,IF(E5007="LO",6,10))+IF(T5007=1,2,IF(D5007=7,1,(IF(WEEKDAY(B5007)=1,2,IF(WEEKDAY(B5007)=7,1,0))))))</f>
        <v>2</v>
      </c>
    </row>
    <row r="5008" spans="2:22">
      <c r="B5008" s="318">
        <f t="shared" si="311"/>
        <v>46321</v>
      </c>
      <c r="C5008" s="312">
        <v>12</v>
      </c>
      <c r="D5008" s="368">
        <f>IFERROR((INDEX(METADATA!$T$2:$T$20,MATCH(B5008,METADATA!$S$2:$S$20,0))),0)</f>
        <v>0</v>
      </c>
      <c r="E5008" s="312" t="str">
        <f t="shared" si="312"/>
        <v>LO</v>
      </c>
      <c r="F5008" s="369">
        <f>VLOOKUP(C5008,METADATA!$A$5:$H$29,IF(E5008="HI",2,IF(E5008="LO",6,10))+IF(D5008=1,2,IF(D5008=7,1,(IF(WEEKDAY(B5008)=1,2,IF(WEEKDAY(B5008)=7,1,0))))))</f>
        <v>2</v>
      </c>
      <c r="G5008" s="369">
        <f>VLOOKUP(C5008,METADATA!$J$5:$Q$29,IF(E5008="HI",2,IF(E5008="LO",6,10))+IF(D5008=1,2,IF(D5008=7,1,(IF(WEEKDAY(B5008)=1,2,IF(WEEKDAY(B5008)=7,1,0))))))</f>
        <v>2</v>
      </c>
      <c r="H5008" s="370">
        <v>11767.949951171875</v>
      </c>
      <c r="I5008" s="370">
        <v>8673.675048828125</v>
      </c>
      <c r="M5008" s="371">
        <f t="shared" si="313"/>
        <v>14619.072641790577</v>
      </c>
      <c r="N5008" s="329">
        <f t="shared" si="314"/>
        <v>5143.2900634765629</v>
      </c>
      <c r="T5008" s="331">
        <v>0</v>
      </c>
      <c r="U5008" s="328">
        <f>VLOOKUP(C5008,METADATA!$J$5:$Q$29,IF(E5008="HI",2,IF(E5008="LO",6,10))+IF(T5008=1,2,IF(D5008=7,1,(IF(WEEKDAY(B5008)=1,2,IF(WEEKDAY(B5008)=7,1,0))))))</f>
        <v>2</v>
      </c>
      <c r="V5008" s="328">
        <f>VLOOKUP(C5008,METADATA!$A$5:$H$29,IF(E5008="HI",2,IF(E5008="LO",6,10))+IF(T5008=1,2,IF(D5008=7,1,(IF(WEEKDAY(B5008)=1,2,IF(WEEKDAY(B5008)=7,1,0))))))</f>
        <v>2</v>
      </c>
    </row>
    <row r="5009" spans="2:22">
      <c r="B5009" s="318">
        <f t="shared" si="311"/>
        <v>46321</v>
      </c>
      <c r="C5009" s="312">
        <v>13</v>
      </c>
      <c r="D5009" s="368">
        <f>IFERROR((INDEX(METADATA!$T$2:$T$20,MATCH(B5009,METADATA!$S$2:$S$20,0))),0)</f>
        <v>0</v>
      </c>
      <c r="E5009" s="312" t="str">
        <f t="shared" si="312"/>
        <v>LO</v>
      </c>
      <c r="F5009" s="369">
        <f>VLOOKUP(C5009,METADATA!$A$5:$H$29,IF(E5009="HI",2,IF(E5009="LO",6,10))+IF(D5009=1,2,IF(D5009=7,1,(IF(WEEKDAY(B5009)=1,2,IF(WEEKDAY(B5009)=7,1,0))))))</f>
        <v>2</v>
      </c>
      <c r="G5009" s="369">
        <f>VLOOKUP(C5009,METADATA!$J$5:$Q$29,IF(E5009="HI",2,IF(E5009="LO",6,10))+IF(D5009=1,2,IF(D5009=7,1,(IF(WEEKDAY(B5009)=1,2,IF(WEEKDAY(B5009)=7,1,0))))))</f>
        <v>2</v>
      </c>
      <c r="H5009" s="370">
        <v>11848.075073242188</v>
      </c>
      <c r="I5009" s="370">
        <v>8672.2748413085938</v>
      </c>
      <c r="M5009" s="371">
        <f t="shared" si="313"/>
        <v>14682.821045847315</v>
      </c>
      <c r="N5009" s="329">
        <f t="shared" si="314"/>
        <v>5117.8523193359379</v>
      </c>
      <c r="T5009" s="331">
        <v>0</v>
      </c>
      <c r="U5009" s="328">
        <f>VLOOKUP(C5009,METADATA!$J$5:$Q$29,IF(E5009="HI",2,IF(E5009="LO",6,10))+IF(T5009=1,2,IF(D5009=7,1,(IF(WEEKDAY(B5009)=1,2,IF(WEEKDAY(B5009)=7,1,0))))))</f>
        <v>2</v>
      </c>
      <c r="V5009" s="328">
        <f>VLOOKUP(C5009,METADATA!$A$5:$H$29,IF(E5009="HI",2,IF(E5009="LO",6,10))+IF(T5009=1,2,IF(D5009=7,1,(IF(WEEKDAY(B5009)=1,2,IF(WEEKDAY(B5009)=7,1,0))))))</f>
        <v>2</v>
      </c>
    </row>
    <row r="5010" spans="2:22">
      <c r="B5010" s="318">
        <f t="shared" si="311"/>
        <v>46321</v>
      </c>
      <c r="C5010" s="312">
        <v>14</v>
      </c>
      <c r="D5010" s="368">
        <f>IFERROR((INDEX(METADATA!$T$2:$T$20,MATCH(B5010,METADATA!$S$2:$S$20,0))),0)</f>
        <v>0</v>
      </c>
      <c r="E5010" s="312" t="str">
        <f t="shared" si="312"/>
        <v>LO</v>
      </c>
      <c r="F5010" s="369">
        <f>VLOOKUP(C5010,METADATA!$A$5:$H$29,IF(E5010="HI",2,IF(E5010="LO",6,10))+IF(D5010=1,2,IF(D5010=7,1,(IF(WEEKDAY(B5010)=1,2,IF(WEEKDAY(B5010)=7,1,0))))))</f>
        <v>2</v>
      </c>
      <c r="G5010" s="369">
        <f>VLOOKUP(C5010,METADATA!$J$5:$Q$29,IF(E5010="HI",2,IF(E5010="LO",6,10))+IF(D5010=1,2,IF(D5010=7,1,(IF(WEEKDAY(B5010)=1,2,IF(WEEKDAY(B5010)=7,1,0))))))</f>
        <v>2</v>
      </c>
      <c r="H5010" s="370">
        <v>11807.100036621094</v>
      </c>
      <c r="I5010" s="370">
        <v>8659.1500854492188</v>
      </c>
      <c r="M5010" s="371">
        <f t="shared" si="313"/>
        <v>14642.011182795655</v>
      </c>
      <c r="N5010" s="329">
        <f t="shared" si="314"/>
        <v>5117.020074462891</v>
      </c>
      <c r="T5010" s="331">
        <v>0</v>
      </c>
      <c r="U5010" s="328">
        <f>VLOOKUP(C5010,METADATA!$J$5:$Q$29,IF(E5010="HI",2,IF(E5010="LO",6,10))+IF(T5010=1,2,IF(D5010=7,1,(IF(WEEKDAY(B5010)=1,2,IF(WEEKDAY(B5010)=7,1,0))))))</f>
        <v>2</v>
      </c>
      <c r="V5010" s="328">
        <f>VLOOKUP(C5010,METADATA!$A$5:$H$29,IF(E5010="HI",2,IF(E5010="LO",6,10))+IF(T5010=1,2,IF(D5010=7,1,(IF(WEEKDAY(B5010)=1,2,IF(WEEKDAY(B5010)=7,1,0))))))</f>
        <v>2</v>
      </c>
    </row>
    <row r="5011" spans="2:22">
      <c r="B5011" s="318">
        <f t="shared" si="311"/>
        <v>46321</v>
      </c>
      <c r="C5011" s="312">
        <v>15</v>
      </c>
      <c r="D5011" s="368">
        <f>IFERROR((INDEX(METADATA!$T$2:$T$20,MATCH(B5011,METADATA!$S$2:$S$20,0))),0)</f>
        <v>0</v>
      </c>
      <c r="E5011" s="312" t="str">
        <f t="shared" si="312"/>
        <v>LO</v>
      </c>
      <c r="F5011" s="369">
        <f>VLOOKUP(C5011,METADATA!$A$5:$H$29,IF(E5011="HI",2,IF(E5011="LO",6,10))+IF(D5011=1,2,IF(D5011=7,1,(IF(WEEKDAY(B5011)=1,2,IF(WEEKDAY(B5011)=7,1,0))))))</f>
        <v>2</v>
      </c>
      <c r="G5011" s="369">
        <f>VLOOKUP(C5011,METADATA!$J$5:$Q$29,IF(E5011="HI",2,IF(E5011="LO",6,10))+IF(D5011=1,2,IF(D5011=7,1,(IF(WEEKDAY(B5011)=1,2,IF(WEEKDAY(B5011)=7,1,0))))))</f>
        <v>2</v>
      </c>
      <c r="H5011" s="370">
        <v>11870.124938964844</v>
      </c>
      <c r="I5011" s="370">
        <v>9215.4498291015625</v>
      </c>
      <c r="M5011" s="371">
        <f t="shared" si="313"/>
        <v>15027.454262759316</v>
      </c>
      <c r="N5011" s="329">
        <f t="shared" si="314"/>
        <v>5654.4123474121097</v>
      </c>
      <c r="T5011" s="331">
        <v>0</v>
      </c>
      <c r="U5011" s="328">
        <f>VLOOKUP(C5011,METADATA!$J$5:$Q$29,IF(E5011="HI",2,IF(E5011="LO",6,10))+IF(T5011=1,2,IF(D5011=7,1,(IF(WEEKDAY(B5011)=1,2,IF(WEEKDAY(B5011)=7,1,0))))))</f>
        <v>2</v>
      </c>
      <c r="V5011" s="328">
        <f>VLOOKUP(C5011,METADATA!$A$5:$H$29,IF(E5011="HI",2,IF(E5011="LO",6,10))+IF(T5011=1,2,IF(D5011=7,1,(IF(WEEKDAY(B5011)=1,2,IF(WEEKDAY(B5011)=7,1,0))))))</f>
        <v>2</v>
      </c>
    </row>
    <row r="5012" spans="2:22">
      <c r="B5012" s="318">
        <f t="shared" si="311"/>
        <v>46321</v>
      </c>
      <c r="C5012" s="312">
        <v>16</v>
      </c>
      <c r="D5012" s="368">
        <f>IFERROR((INDEX(METADATA!$T$2:$T$20,MATCH(B5012,METADATA!$S$2:$S$20,0))),0)</f>
        <v>0</v>
      </c>
      <c r="E5012" s="312" t="str">
        <f t="shared" si="312"/>
        <v>LO</v>
      </c>
      <c r="F5012" s="369">
        <f>VLOOKUP(C5012,METADATA!$A$5:$H$29,IF(E5012="HI",2,IF(E5012="LO",6,10))+IF(D5012=1,2,IF(D5012=7,1,(IF(WEEKDAY(B5012)=1,2,IF(WEEKDAY(B5012)=7,1,0))))))</f>
        <v>2</v>
      </c>
      <c r="G5012" s="369">
        <f>VLOOKUP(C5012,METADATA!$J$5:$Q$29,IF(E5012="HI",2,IF(E5012="LO",6,10))+IF(D5012=1,2,IF(D5012=7,1,(IF(WEEKDAY(B5012)=1,2,IF(WEEKDAY(B5012)=7,1,0))))))</f>
        <v>2</v>
      </c>
      <c r="H5012" s="370">
        <v>12598.8251953125</v>
      </c>
      <c r="I5012" s="370">
        <v>10104.700256347656</v>
      </c>
      <c r="M5012" s="371">
        <f t="shared" si="313"/>
        <v>16150.398248113681</v>
      </c>
      <c r="N5012" s="329">
        <f t="shared" si="314"/>
        <v>6325.0526977539066</v>
      </c>
      <c r="T5012" s="331">
        <v>0</v>
      </c>
      <c r="U5012" s="328">
        <f>VLOOKUP(C5012,METADATA!$J$5:$Q$29,IF(E5012="HI",2,IF(E5012="LO",6,10))+IF(T5012=1,2,IF(D5012=7,1,(IF(WEEKDAY(B5012)=1,2,IF(WEEKDAY(B5012)=7,1,0))))))</f>
        <v>2</v>
      </c>
      <c r="V5012" s="328">
        <f>VLOOKUP(C5012,METADATA!$A$5:$H$29,IF(E5012="HI",2,IF(E5012="LO",6,10))+IF(T5012=1,2,IF(D5012=7,1,(IF(WEEKDAY(B5012)=1,2,IF(WEEKDAY(B5012)=7,1,0))))))</f>
        <v>2</v>
      </c>
    </row>
    <row r="5013" spans="2:22">
      <c r="B5013" s="318">
        <f t="shared" si="311"/>
        <v>46321</v>
      </c>
      <c r="C5013" s="312">
        <v>17</v>
      </c>
      <c r="D5013" s="368">
        <f>IFERROR((INDEX(METADATA!$T$2:$T$20,MATCH(B5013,METADATA!$S$2:$S$20,0))),0)</f>
        <v>0</v>
      </c>
      <c r="E5013" s="312" t="str">
        <f t="shared" si="312"/>
        <v>LO</v>
      </c>
      <c r="F5013" s="369">
        <f>VLOOKUP(C5013,METADATA!$A$5:$H$29,IF(E5013="HI",2,IF(E5013="LO",6,10))+IF(D5013=1,2,IF(D5013=7,1,(IF(WEEKDAY(B5013)=1,2,IF(WEEKDAY(B5013)=7,1,0))))))</f>
        <v>2</v>
      </c>
      <c r="G5013" s="369">
        <f>VLOOKUP(C5013,METADATA!$J$5:$Q$29,IF(E5013="HI",2,IF(E5013="LO",6,10))+IF(D5013=1,2,IF(D5013=7,1,(IF(WEEKDAY(B5013)=1,2,IF(WEEKDAY(B5013)=7,1,0))))))</f>
        <v>2</v>
      </c>
      <c r="H5013" s="370">
        <v>10377.049865722656</v>
      </c>
      <c r="I5013" s="370">
        <v>9079.2999877929688</v>
      </c>
      <c r="M5013" s="371">
        <f t="shared" si="313"/>
        <v>13788.286774796643</v>
      </c>
      <c r="N5013" s="329">
        <f t="shared" si="314"/>
        <v>5966.1850280761719</v>
      </c>
      <c r="T5013" s="331">
        <v>0</v>
      </c>
      <c r="U5013" s="328">
        <f>VLOOKUP(C5013,METADATA!$J$5:$Q$29,IF(E5013="HI",2,IF(E5013="LO",6,10))+IF(T5013=1,2,IF(D5013=7,1,(IF(WEEKDAY(B5013)=1,2,IF(WEEKDAY(B5013)=7,1,0))))))</f>
        <v>2</v>
      </c>
      <c r="V5013" s="328">
        <f>VLOOKUP(C5013,METADATA!$A$5:$H$29,IF(E5013="HI",2,IF(E5013="LO",6,10))+IF(T5013=1,2,IF(D5013=7,1,(IF(WEEKDAY(B5013)=1,2,IF(WEEKDAY(B5013)=7,1,0))))))</f>
        <v>2</v>
      </c>
    </row>
    <row r="5014" spans="2:22">
      <c r="B5014" s="318">
        <f t="shared" si="311"/>
        <v>46321</v>
      </c>
      <c r="C5014" s="312">
        <v>18</v>
      </c>
      <c r="D5014" s="368">
        <f>IFERROR((INDEX(METADATA!$T$2:$T$20,MATCH(B5014,METADATA!$S$2:$S$20,0))),0)</f>
        <v>0</v>
      </c>
      <c r="E5014" s="312" t="str">
        <f t="shared" si="312"/>
        <v>LO</v>
      </c>
      <c r="F5014" s="369">
        <f>VLOOKUP(C5014,METADATA!$A$5:$H$29,IF(E5014="HI",2,IF(E5014="LO",6,10))+IF(D5014=1,2,IF(D5014=7,1,(IF(WEEKDAY(B5014)=1,2,IF(WEEKDAY(B5014)=7,1,0))))))</f>
        <v>1</v>
      </c>
      <c r="G5014" s="369">
        <f>VLOOKUP(C5014,METADATA!$J$5:$Q$29,IF(E5014="HI",2,IF(E5014="LO",6,10))+IF(D5014=1,2,IF(D5014=7,1,(IF(WEEKDAY(B5014)=1,2,IF(WEEKDAY(B5014)=7,1,0))))))</f>
        <v>1</v>
      </c>
      <c r="H5014" s="370">
        <v>9552.5249633789063</v>
      </c>
      <c r="I5014" s="370">
        <v>8382.2000732421875</v>
      </c>
      <c r="M5014" s="371">
        <f t="shared" si="313"/>
        <v>12708.73759442056</v>
      </c>
      <c r="N5014" s="329">
        <f t="shared" si="314"/>
        <v>5516.4425842285164</v>
      </c>
      <c r="T5014" s="331">
        <v>0</v>
      </c>
      <c r="U5014" s="328">
        <f>VLOOKUP(C5014,METADATA!$J$5:$Q$29,IF(E5014="HI",2,IF(E5014="LO",6,10))+IF(T5014=1,2,IF(D5014=7,1,(IF(WEEKDAY(B5014)=1,2,IF(WEEKDAY(B5014)=7,1,0))))))</f>
        <v>1</v>
      </c>
      <c r="V5014" s="328">
        <f>VLOOKUP(C5014,METADATA!$A$5:$H$29,IF(E5014="HI",2,IF(E5014="LO",6,10))+IF(T5014=1,2,IF(D5014=7,1,(IF(WEEKDAY(B5014)=1,2,IF(WEEKDAY(B5014)=7,1,0))))))</f>
        <v>1</v>
      </c>
    </row>
    <row r="5015" spans="2:22">
      <c r="B5015" s="318">
        <f t="shared" si="311"/>
        <v>46321</v>
      </c>
      <c r="C5015" s="312">
        <v>19</v>
      </c>
      <c r="D5015" s="368">
        <f>IFERROR((INDEX(METADATA!$T$2:$T$20,MATCH(B5015,METADATA!$S$2:$S$20,0))),0)</f>
        <v>0</v>
      </c>
      <c r="E5015" s="312" t="str">
        <f t="shared" si="312"/>
        <v>LO</v>
      </c>
      <c r="F5015" s="369">
        <f>VLOOKUP(C5015,METADATA!$A$5:$H$29,IF(E5015="HI",2,IF(E5015="LO",6,10))+IF(D5015=1,2,IF(D5015=7,1,(IF(WEEKDAY(B5015)=1,2,IF(WEEKDAY(B5015)=7,1,0))))))</f>
        <v>1</v>
      </c>
      <c r="G5015" s="369">
        <f>VLOOKUP(C5015,METADATA!$J$5:$Q$29,IF(E5015="HI",2,IF(E5015="LO",6,10))+IF(D5015=1,2,IF(D5015=7,1,(IF(WEEKDAY(B5015)=1,2,IF(WEEKDAY(B5015)=7,1,0))))))</f>
        <v>1</v>
      </c>
      <c r="H5015" s="370">
        <v>12529.925201416016</v>
      </c>
      <c r="I5015" s="370">
        <v>10233.185211181641</v>
      </c>
      <c r="M5015" s="371">
        <f t="shared" si="313"/>
        <v>16177.67304402666</v>
      </c>
      <c r="N5015" s="329">
        <f t="shared" si="314"/>
        <v>6474.2076507568363</v>
      </c>
      <c r="T5015" s="331">
        <v>0</v>
      </c>
      <c r="U5015" s="328">
        <f>VLOOKUP(C5015,METADATA!$J$5:$Q$29,IF(E5015="HI",2,IF(E5015="LO",6,10))+IF(T5015=1,2,IF(D5015=7,1,(IF(WEEKDAY(B5015)=1,2,IF(WEEKDAY(B5015)=7,1,0))))))</f>
        <v>1</v>
      </c>
      <c r="V5015" s="328">
        <f>VLOOKUP(C5015,METADATA!$A$5:$H$29,IF(E5015="HI",2,IF(E5015="LO",6,10))+IF(T5015=1,2,IF(D5015=7,1,(IF(WEEKDAY(B5015)=1,2,IF(WEEKDAY(B5015)=7,1,0))))))</f>
        <v>1</v>
      </c>
    </row>
    <row r="5016" spans="2:22">
      <c r="B5016" s="318">
        <f t="shared" si="311"/>
        <v>46321</v>
      </c>
      <c r="C5016" s="312">
        <v>20</v>
      </c>
      <c r="D5016" s="368">
        <f>IFERROR((INDEX(METADATA!$T$2:$T$20,MATCH(B5016,METADATA!$S$2:$S$20,0))),0)</f>
        <v>0</v>
      </c>
      <c r="E5016" s="312" t="str">
        <f t="shared" si="312"/>
        <v>LO</v>
      </c>
      <c r="F5016" s="369">
        <f>VLOOKUP(C5016,METADATA!$A$5:$H$29,IF(E5016="HI",2,IF(E5016="LO",6,10))+IF(D5016=1,2,IF(D5016=7,1,(IF(WEEKDAY(B5016)=1,2,IF(WEEKDAY(B5016)=7,1,0))))))</f>
        <v>1</v>
      </c>
      <c r="G5016" s="369">
        <f>VLOOKUP(C5016,METADATA!$J$5:$Q$29,IF(E5016="HI",2,IF(E5016="LO",6,10))+IF(D5016=1,2,IF(D5016=7,1,(IF(WEEKDAY(B5016)=1,2,IF(WEEKDAY(B5016)=7,1,0))))))</f>
        <v>1</v>
      </c>
      <c r="H5016" s="370">
        <v>11011.382598876953</v>
      </c>
      <c r="I5016" s="370">
        <v>9533.3073120117188</v>
      </c>
      <c r="M5016" s="371">
        <f t="shared" si="313"/>
        <v>14564.837625051172</v>
      </c>
      <c r="N5016" s="329">
        <f t="shared" si="314"/>
        <v>6229.8925323486328</v>
      </c>
      <c r="T5016" s="331">
        <v>0</v>
      </c>
      <c r="U5016" s="328">
        <f>VLOOKUP(C5016,METADATA!$J$5:$Q$29,IF(E5016="HI",2,IF(E5016="LO",6,10))+IF(T5016=1,2,IF(D5016=7,1,(IF(WEEKDAY(B5016)=1,2,IF(WEEKDAY(B5016)=7,1,0))))))</f>
        <v>1</v>
      </c>
      <c r="V5016" s="328">
        <f>VLOOKUP(C5016,METADATA!$A$5:$H$29,IF(E5016="HI",2,IF(E5016="LO",6,10))+IF(T5016=1,2,IF(D5016=7,1,(IF(WEEKDAY(B5016)=1,2,IF(WEEKDAY(B5016)=7,1,0))))))</f>
        <v>1</v>
      </c>
    </row>
    <row r="5017" spans="2:22">
      <c r="B5017" s="318">
        <f t="shared" si="311"/>
        <v>46321</v>
      </c>
      <c r="C5017" s="312">
        <v>21</v>
      </c>
      <c r="D5017" s="368">
        <f>IFERROR((INDEX(METADATA!$T$2:$T$20,MATCH(B5017,METADATA!$S$2:$S$20,0))),0)</f>
        <v>0</v>
      </c>
      <c r="E5017" s="312" t="str">
        <f t="shared" si="312"/>
        <v>LO</v>
      </c>
      <c r="F5017" s="369">
        <f>VLOOKUP(C5017,METADATA!$A$5:$H$29,IF(E5017="HI",2,IF(E5017="LO",6,10))+IF(D5017=1,2,IF(D5017=7,1,(IF(WEEKDAY(B5017)=1,2,IF(WEEKDAY(B5017)=7,1,0))))))</f>
        <v>2</v>
      </c>
      <c r="G5017" s="369">
        <f>VLOOKUP(C5017,METADATA!$J$5:$Q$29,IF(E5017="HI",2,IF(E5017="LO",6,10))+IF(D5017=1,2,IF(D5017=7,1,(IF(WEEKDAY(B5017)=1,2,IF(WEEKDAY(B5017)=7,1,0))))))</f>
        <v>2</v>
      </c>
      <c r="H5017" s="370">
        <v>11584.599792480469</v>
      </c>
      <c r="I5017" s="370">
        <v>9727.7749328613281</v>
      </c>
      <c r="M5017" s="371">
        <f t="shared" si="313"/>
        <v>15127.212482686416</v>
      </c>
      <c r="N5017" s="329">
        <f t="shared" si="314"/>
        <v>6252.3949951171871</v>
      </c>
      <c r="T5017" s="331">
        <v>0</v>
      </c>
      <c r="U5017" s="328">
        <f>VLOOKUP(C5017,METADATA!$J$5:$Q$29,IF(E5017="HI",2,IF(E5017="LO",6,10))+IF(T5017=1,2,IF(D5017=7,1,(IF(WEEKDAY(B5017)=1,2,IF(WEEKDAY(B5017)=7,1,0))))))</f>
        <v>2</v>
      </c>
      <c r="V5017" s="328">
        <f>VLOOKUP(C5017,METADATA!$A$5:$H$29,IF(E5017="HI",2,IF(E5017="LO",6,10))+IF(T5017=1,2,IF(D5017=7,1,(IF(WEEKDAY(B5017)=1,2,IF(WEEKDAY(B5017)=7,1,0))))))</f>
        <v>2</v>
      </c>
    </row>
    <row r="5018" spans="2:22">
      <c r="B5018" s="318">
        <f t="shared" si="311"/>
        <v>46321</v>
      </c>
      <c r="C5018" s="312">
        <v>22</v>
      </c>
      <c r="D5018" s="368">
        <f>IFERROR((INDEX(METADATA!$T$2:$T$20,MATCH(B5018,METADATA!$S$2:$S$20,0))),0)</f>
        <v>0</v>
      </c>
      <c r="E5018" s="312" t="str">
        <f t="shared" si="312"/>
        <v>LO</v>
      </c>
      <c r="F5018" s="369">
        <f>VLOOKUP(C5018,METADATA!$A$5:$H$29,IF(E5018="HI",2,IF(E5018="LO",6,10))+IF(D5018=1,2,IF(D5018=7,1,(IF(WEEKDAY(B5018)=1,2,IF(WEEKDAY(B5018)=7,1,0))))))</f>
        <v>3</v>
      </c>
      <c r="G5018" s="369">
        <f>VLOOKUP(C5018,METADATA!$J$5:$Q$29,IF(E5018="HI",2,IF(E5018="LO",6,10))+IF(D5018=1,2,IF(D5018=7,1,(IF(WEEKDAY(B5018)=1,2,IF(WEEKDAY(B5018)=7,1,0))))))</f>
        <v>3</v>
      </c>
      <c r="H5018" s="370">
        <v>11883.900268554688</v>
      </c>
      <c r="I5018" s="370">
        <v>9937.3625183105469</v>
      </c>
      <c r="M5018" s="371">
        <f t="shared" si="313"/>
        <v>15491.231694519242</v>
      </c>
      <c r="N5018" s="329">
        <f t="shared" si="314"/>
        <v>6372.192437744141</v>
      </c>
      <c r="T5018" s="331">
        <v>0</v>
      </c>
      <c r="U5018" s="328">
        <f>VLOOKUP(C5018,METADATA!$J$5:$Q$29,IF(E5018="HI",2,IF(E5018="LO",6,10))+IF(T5018=1,2,IF(D5018=7,1,(IF(WEEKDAY(B5018)=1,2,IF(WEEKDAY(B5018)=7,1,0))))))</f>
        <v>3</v>
      </c>
      <c r="V5018" s="328">
        <f>VLOOKUP(C5018,METADATA!$A$5:$H$29,IF(E5018="HI",2,IF(E5018="LO",6,10))+IF(T5018=1,2,IF(D5018=7,1,(IF(WEEKDAY(B5018)=1,2,IF(WEEKDAY(B5018)=7,1,0))))))</f>
        <v>3</v>
      </c>
    </row>
    <row r="5019" spans="2:22">
      <c r="B5019" s="318">
        <f t="shared" si="311"/>
        <v>46321</v>
      </c>
      <c r="C5019" s="312">
        <v>23</v>
      </c>
      <c r="D5019" s="368">
        <f>IFERROR((INDEX(METADATA!$T$2:$T$20,MATCH(B5019,METADATA!$S$2:$S$20,0))),0)</f>
        <v>0</v>
      </c>
      <c r="E5019" s="312" t="str">
        <f t="shared" si="312"/>
        <v>LO</v>
      </c>
      <c r="F5019" s="369">
        <f>VLOOKUP(C5019,METADATA!$A$5:$H$29,IF(E5019="HI",2,IF(E5019="LO",6,10))+IF(D5019=1,2,IF(D5019=7,1,(IF(WEEKDAY(B5019)=1,2,IF(WEEKDAY(B5019)=7,1,0))))))</f>
        <v>3</v>
      </c>
      <c r="G5019" s="369">
        <f>VLOOKUP(C5019,METADATA!$J$5:$Q$29,IF(E5019="HI",2,IF(E5019="LO",6,10))+IF(D5019=1,2,IF(D5019=7,1,(IF(WEEKDAY(B5019)=1,2,IF(WEEKDAY(B5019)=7,1,0))))))</f>
        <v>3</v>
      </c>
      <c r="H5019" s="370">
        <v>13580.875366210938</v>
      </c>
      <c r="I5019" s="370">
        <v>10913.125</v>
      </c>
      <c r="M5019" s="371">
        <f t="shared" si="313"/>
        <v>17422.298154324533</v>
      </c>
      <c r="N5019" s="329">
        <f t="shared" si="314"/>
        <v>6838.8623901367191</v>
      </c>
      <c r="T5019" s="331">
        <v>0</v>
      </c>
      <c r="U5019" s="328">
        <f>VLOOKUP(C5019,METADATA!$J$5:$Q$29,IF(E5019="HI",2,IF(E5019="LO",6,10))+IF(T5019=1,2,IF(D5019=7,1,(IF(WEEKDAY(B5019)=1,2,IF(WEEKDAY(B5019)=7,1,0))))))</f>
        <v>3</v>
      </c>
      <c r="V5019" s="328">
        <f>VLOOKUP(C5019,METADATA!$A$5:$H$29,IF(E5019="HI",2,IF(E5019="LO",6,10))+IF(T5019=1,2,IF(D5019=7,1,(IF(WEEKDAY(B5019)=1,2,IF(WEEKDAY(B5019)=7,1,0))))))</f>
        <v>3</v>
      </c>
    </row>
    <row r="5020" spans="2:22">
      <c r="B5020" s="318">
        <f t="shared" ref="B5020:B5083" si="315">B4996+1</f>
        <v>46322</v>
      </c>
      <c r="C5020" s="312">
        <v>0</v>
      </c>
      <c r="D5020" s="368">
        <f>IFERROR((INDEX(METADATA!$T$2:$T$20,MATCH(B5020,METADATA!$S$2:$S$20,0))),0)</f>
        <v>0</v>
      </c>
      <c r="E5020" s="312" t="str">
        <f t="shared" si="312"/>
        <v>LO</v>
      </c>
      <c r="F5020" s="369">
        <f>VLOOKUP(C5020,METADATA!$A$5:$H$29,IF(E5020="HI",2,IF(E5020="LO",6,10))+IF(D5020=1,2,IF(D5020=7,1,(IF(WEEKDAY(B5020)=1,2,IF(WEEKDAY(B5020)=7,1,0))))))</f>
        <v>3</v>
      </c>
      <c r="G5020" s="369">
        <f>VLOOKUP(C5020,METADATA!$J$5:$Q$29,IF(E5020="HI",2,IF(E5020="LO",6,10))+IF(D5020=1,2,IF(D5020=7,1,(IF(WEEKDAY(B5020)=1,2,IF(WEEKDAY(B5020)=7,1,0))))))</f>
        <v>3</v>
      </c>
      <c r="H5020" s="370">
        <v>13589.574890136719</v>
      </c>
      <c r="I5020" s="370">
        <v>11026.2001953125</v>
      </c>
      <c r="M5020" s="371">
        <f t="shared" si="313"/>
        <v>17500.103898027115</v>
      </c>
      <c r="N5020" s="329">
        <f t="shared" si="314"/>
        <v>6949.3277282714844</v>
      </c>
      <c r="T5020" s="331">
        <v>0</v>
      </c>
      <c r="U5020" s="328">
        <f>VLOOKUP(C5020,METADATA!$J$5:$Q$29,IF(E5020="HI",2,IF(E5020="LO",6,10))+IF(T5020=1,2,IF(D5020=7,1,(IF(WEEKDAY(B5020)=1,2,IF(WEEKDAY(B5020)=7,1,0))))))</f>
        <v>3</v>
      </c>
      <c r="V5020" s="328">
        <f>VLOOKUP(C5020,METADATA!$A$5:$H$29,IF(E5020="HI",2,IF(E5020="LO",6,10))+IF(T5020=1,2,IF(D5020=7,1,(IF(WEEKDAY(B5020)=1,2,IF(WEEKDAY(B5020)=7,1,0))))))</f>
        <v>3</v>
      </c>
    </row>
    <row r="5021" spans="2:22">
      <c r="B5021" s="318">
        <f t="shared" si="315"/>
        <v>46322</v>
      </c>
      <c r="C5021" s="312">
        <v>1</v>
      </c>
      <c r="D5021" s="368">
        <f>IFERROR((INDEX(METADATA!$T$2:$T$20,MATCH(B5021,METADATA!$S$2:$S$20,0))),0)</f>
        <v>0</v>
      </c>
      <c r="E5021" s="312" t="str">
        <f t="shared" si="312"/>
        <v>LO</v>
      </c>
      <c r="F5021" s="369">
        <f>VLOOKUP(C5021,METADATA!$A$5:$H$29,IF(E5021="HI",2,IF(E5021="LO",6,10))+IF(D5021=1,2,IF(D5021=7,1,(IF(WEEKDAY(B5021)=1,2,IF(WEEKDAY(B5021)=7,1,0))))))</f>
        <v>3</v>
      </c>
      <c r="G5021" s="369">
        <f>VLOOKUP(C5021,METADATA!$J$5:$Q$29,IF(E5021="HI",2,IF(E5021="LO",6,10))+IF(D5021=1,2,IF(D5021=7,1,(IF(WEEKDAY(B5021)=1,2,IF(WEEKDAY(B5021)=7,1,0))))))</f>
        <v>3</v>
      </c>
      <c r="H5021" s="370">
        <v>13666.280212402344</v>
      </c>
      <c r="I5021" s="370">
        <v>11153.792541503906</v>
      </c>
      <c r="M5021" s="371">
        <f t="shared" si="313"/>
        <v>17640.133301730122</v>
      </c>
      <c r="N5021" s="329">
        <f t="shared" si="314"/>
        <v>7053.9084777832031</v>
      </c>
      <c r="T5021" s="331">
        <v>0</v>
      </c>
      <c r="U5021" s="328">
        <f>VLOOKUP(C5021,METADATA!$J$5:$Q$29,IF(E5021="HI",2,IF(E5021="LO",6,10))+IF(T5021=1,2,IF(D5021=7,1,(IF(WEEKDAY(B5021)=1,2,IF(WEEKDAY(B5021)=7,1,0))))))</f>
        <v>3</v>
      </c>
      <c r="V5021" s="328">
        <f>VLOOKUP(C5021,METADATA!$A$5:$H$29,IF(E5021="HI",2,IF(E5021="LO",6,10))+IF(T5021=1,2,IF(D5021=7,1,(IF(WEEKDAY(B5021)=1,2,IF(WEEKDAY(B5021)=7,1,0))))))</f>
        <v>3</v>
      </c>
    </row>
    <row r="5022" spans="2:22">
      <c r="B5022" s="318">
        <f t="shared" si="315"/>
        <v>46322</v>
      </c>
      <c r="C5022" s="312">
        <v>2</v>
      </c>
      <c r="D5022" s="368">
        <f>IFERROR((INDEX(METADATA!$T$2:$T$20,MATCH(B5022,METADATA!$S$2:$S$20,0))),0)</f>
        <v>0</v>
      </c>
      <c r="E5022" s="312" t="str">
        <f t="shared" si="312"/>
        <v>LO</v>
      </c>
      <c r="F5022" s="369">
        <f>VLOOKUP(C5022,METADATA!$A$5:$H$29,IF(E5022="HI",2,IF(E5022="LO",6,10))+IF(D5022=1,2,IF(D5022=7,1,(IF(WEEKDAY(B5022)=1,2,IF(WEEKDAY(B5022)=7,1,0))))))</f>
        <v>3</v>
      </c>
      <c r="G5022" s="369">
        <f>VLOOKUP(C5022,METADATA!$J$5:$Q$29,IF(E5022="HI",2,IF(E5022="LO",6,10))+IF(D5022=1,2,IF(D5022=7,1,(IF(WEEKDAY(B5022)=1,2,IF(WEEKDAY(B5022)=7,1,0))))))</f>
        <v>3</v>
      </c>
      <c r="H5022" s="370">
        <v>13348.350036621094</v>
      </c>
      <c r="I5022" s="370">
        <v>10757.974975585938</v>
      </c>
      <c r="M5022" s="371">
        <f t="shared" si="313"/>
        <v>17143.875707537532</v>
      </c>
      <c r="N5022" s="329">
        <f t="shared" si="314"/>
        <v>6753.4699645996097</v>
      </c>
      <c r="T5022" s="331">
        <v>0</v>
      </c>
      <c r="U5022" s="328">
        <f>VLOOKUP(C5022,METADATA!$J$5:$Q$29,IF(E5022="HI",2,IF(E5022="LO",6,10))+IF(T5022=1,2,IF(D5022=7,1,(IF(WEEKDAY(B5022)=1,2,IF(WEEKDAY(B5022)=7,1,0))))))</f>
        <v>3</v>
      </c>
      <c r="V5022" s="328">
        <f>VLOOKUP(C5022,METADATA!$A$5:$H$29,IF(E5022="HI",2,IF(E5022="LO",6,10))+IF(T5022=1,2,IF(D5022=7,1,(IF(WEEKDAY(B5022)=1,2,IF(WEEKDAY(B5022)=7,1,0))))))</f>
        <v>3</v>
      </c>
    </row>
    <row r="5023" spans="2:22">
      <c r="B5023" s="318">
        <f t="shared" si="315"/>
        <v>46322</v>
      </c>
      <c r="C5023" s="312">
        <v>3</v>
      </c>
      <c r="D5023" s="368">
        <f>IFERROR((INDEX(METADATA!$T$2:$T$20,MATCH(B5023,METADATA!$S$2:$S$20,0))),0)</f>
        <v>0</v>
      </c>
      <c r="E5023" s="312" t="str">
        <f t="shared" si="312"/>
        <v>LO</v>
      </c>
      <c r="F5023" s="369">
        <f>VLOOKUP(C5023,METADATA!$A$5:$H$29,IF(E5023="HI",2,IF(E5023="LO",6,10))+IF(D5023=1,2,IF(D5023=7,1,(IF(WEEKDAY(B5023)=1,2,IF(WEEKDAY(B5023)=7,1,0))))))</f>
        <v>3</v>
      </c>
      <c r="G5023" s="369">
        <f>VLOOKUP(C5023,METADATA!$J$5:$Q$29,IF(E5023="HI",2,IF(E5023="LO",6,10))+IF(D5023=1,2,IF(D5023=7,1,(IF(WEEKDAY(B5023)=1,2,IF(WEEKDAY(B5023)=7,1,0))))))</f>
        <v>3</v>
      </c>
      <c r="H5023" s="370">
        <v>13010.825073242188</v>
      </c>
      <c r="I5023" s="370">
        <v>10577.575134277344</v>
      </c>
      <c r="M5023" s="371">
        <f t="shared" si="313"/>
        <v>16768.025071778426</v>
      </c>
      <c r="N5023" s="329">
        <f t="shared" si="314"/>
        <v>6674.3276123046871</v>
      </c>
      <c r="T5023" s="331">
        <v>0</v>
      </c>
      <c r="U5023" s="328">
        <f>VLOOKUP(C5023,METADATA!$J$5:$Q$29,IF(E5023="HI",2,IF(E5023="LO",6,10))+IF(T5023=1,2,IF(D5023=7,1,(IF(WEEKDAY(B5023)=1,2,IF(WEEKDAY(B5023)=7,1,0))))))</f>
        <v>3</v>
      </c>
      <c r="V5023" s="328">
        <f>VLOOKUP(C5023,METADATA!$A$5:$H$29,IF(E5023="HI",2,IF(E5023="LO",6,10))+IF(T5023=1,2,IF(D5023=7,1,(IF(WEEKDAY(B5023)=1,2,IF(WEEKDAY(B5023)=7,1,0))))))</f>
        <v>3</v>
      </c>
    </row>
    <row r="5024" spans="2:22">
      <c r="B5024" s="318">
        <f t="shared" si="315"/>
        <v>46322</v>
      </c>
      <c r="C5024" s="312">
        <v>4</v>
      </c>
      <c r="D5024" s="368">
        <f>IFERROR((INDEX(METADATA!$T$2:$T$20,MATCH(B5024,METADATA!$S$2:$S$20,0))),0)</f>
        <v>0</v>
      </c>
      <c r="E5024" s="312" t="str">
        <f t="shared" si="312"/>
        <v>LO</v>
      </c>
      <c r="F5024" s="369">
        <f>VLOOKUP(C5024,METADATA!$A$5:$H$29,IF(E5024="HI",2,IF(E5024="LO",6,10))+IF(D5024=1,2,IF(D5024=7,1,(IF(WEEKDAY(B5024)=1,2,IF(WEEKDAY(B5024)=7,1,0))))))</f>
        <v>3</v>
      </c>
      <c r="G5024" s="369">
        <f>VLOOKUP(C5024,METADATA!$J$5:$Q$29,IF(E5024="HI",2,IF(E5024="LO",6,10))+IF(D5024=1,2,IF(D5024=7,1,(IF(WEEKDAY(B5024)=1,2,IF(WEEKDAY(B5024)=7,1,0))))))</f>
        <v>3</v>
      </c>
      <c r="H5024" s="370">
        <v>11935.275146484375</v>
      </c>
      <c r="I5024" s="370">
        <v>9624.0747680664063</v>
      </c>
      <c r="M5024" s="371">
        <f t="shared" si="313"/>
        <v>15332.110355838822</v>
      </c>
      <c r="N5024" s="329">
        <f t="shared" si="314"/>
        <v>6043.4922241210934</v>
      </c>
      <c r="T5024" s="331">
        <v>0</v>
      </c>
      <c r="U5024" s="328">
        <f>VLOOKUP(C5024,METADATA!$J$5:$Q$29,IF(E5024="HI",2,IF(E5024="LO",6,10))+IF(T5024=1,2,IF(D5024=7,1,(IF(WEEKDAY(B5024)=1,2,IF(WEEKDAY(B5024)=7,1,0))))))</f>
        <v>3</v>
      </c>
      <c r="V5024" s="328">
        <f>VLOOKUP(C5024,METADATA!$A$5:$H$29,IF(E5024="HI",2,IF(E5024="LO",6,10))+IF(T5024=1,2,IF(D5024=7,1,(IF(WEEKDAY(B5024)=1,2,IF(WEEKDAY(B5024)=7,1,0))))))</f>
        <v>3</v>
      </c>
    </row>
    <row r="5025" spans="2:22">
      <c r="B5025" s="318">
        <f t="shared" si="315"/>
        <v>46322</v>
      </c>
      <c r="C5025" s="312">
        <v>5</v>
      </c>
      <c r="D5025" s="368">
        <f>IFERROR((INDEX(METADATA!$T$2:$T$20,MATCH(B5025,METADATA!$S$2:$S$20,0))),0)</f>
        <v>0</v>
      </c>
      <c r="E5025" s="312" t="str">
        <f t="shared" si="312"/>
        <v>LO</v>
      </c>
      <c r="F5025" s="369">
        <f>VLOOKUP(C5025,METADATA!$A$5:$H$29,IF(E5025="HI",2,IF(E5025="LO",6,10))+IF(D5025=1,2,IF(D5025=7,1,(IF(WEEKDAY(B5025)=1,2,IF(WEEKDAY(B5025)=7,1,0))))))</f>
        <v>3</v>
      </c>
      <c r="G5025" s="369">
        <f>VLOOKUP(C5025,METADATA!$J$5:$Q$29,IF(E5025="HI",2,IF(E5025="LO",6,10))+IF(D5025=1,2,IF(D5025=7,1,(IF(WEEKDAY(B5025)=1,2,IF(WEEKDAY(B5025)=7,1,0))))))</f>
        <v>3</v>
      </c>
      <c r="H5025" s="370">
        <v>11785.275024414063</v>
      </c>
      <c r="I5025" s="370">
        <v>9390.3001098632813</v>
      </c>
      <c r="M5025" s="371">
        <f t="shared" si="313"/>
        <v>15068.85674344196</v>
      </c>
      <c r="N5025" s="329">
        <f t="shared" si="314"/>
        <v>5854.7176025390627</v>
      </c>
      <c r="T5025" s="331">
        <v>0</v>
      </c>
      <c r="U5025" s="328">
        <f>VLOOKUP(C5025,METADATA!$J$5:$Q$29,IF(E5025="HI",2,IF(E5025="LO",6,10))+IF(T5025=1,2,IF(D5025=7,1,(IF(WEEKDAY(B5025)=1,2,IF(WEEKDAY(B5025)=7,1,0))))))</f>
        <v>3</v>
      </c>
      <c r="V5025" s="328">
        <f>VLOOKUP(C5025,METADATA!$A$5:$H$29,IF(E5025="HI",2,IF(E5025="LO",6,10))+IF(T5025=1,2,IF(D5025=7,1,(IF(WEEKDAY(B5025)=1,2,IF(WEEKDAY(B5025)=7,1,0))))))</f>
        <v>3</v>
      </c>
    </row>
    <row r="5026" spans="2:22">
      <c r="B5026" s="318">
        <f t="shared" si="315"/>
        <v>46322</v>
      </c>
      <c r="C5026" s="312">
        <v>6</v>
      </c>
      <c r="D5026" s="368">
        <f>IFERROR((INDEX(METADATA!$T$2:$T$20,MATCH(B5026,METADATA!$S$2:$S$20,0))),0)</f>
        <v>0</v>
      </c>
      <c r="E5026" s="312" t="str">
        <f t="shared" si="312"/>
        <v>LO</v>
      </c>
      <c r="F5026" s="369">
        <f>VLOOKUP(C5026,METADATA!$A$5:$H$29,IF(E5026="HI",2,IF(E5026="LO",6,10))+IF(D5026=1,2,IF(D5026=7,1,(IF(WEEKDAY(B5026)=1,2,IF(WEEKDAY(B5026)=7,1,0))))))</f>
        <v>2</v>
      </c>
      <c r="G5026" s="369">
        <f>VLOOKUP(C5026,METADATA!$J$5:$Q$29,IF(E5026="HI",2,IF(E5026="LO",6,10))+IF(D5026=1,2,IF(D5026=7,1,(IF(WEEKDAY(B5026)=1,2,IF(WEEKDAY(B5026)=7,1,0))))))</f>
        <v>2</v>
      </c>
      <c r="H5026" s="370">
        <v>11534.72509765625</v>
      </c>
      <c r="I5026" s="370">
        <v>9224.4251098632813</v>
      </c>
      <c r="M5026" s="371">
        <f t="shared" si="313"/>
        <v>14769.559969273871</v>
      </c>
      <c r="N5026" s="329">
        <f t="shared" si="314"/>
        <v>5764.0075805664064</v>
      </c>
      <c r="T5026" s="331">
        <v>0</v>
      </c>
      <c r="U5026" s="328">
        <f>VLOOKUP(C5026,METADATA!$J$5:$Q$29,IF(E5026="HI",2,IF(E5026="LO",6,10))+IF(T5026=1,2,IF(D5026=7,1,(IF(WEEKDAY(B5026)=1,2,IF(WEEKDAY(B5026)=7,1,0))))))</f>
        <v>2</v>
      </c>
      <c r="V5026" s="328">
        <f>VLOOKUP(C5026,METADATA!$A$5:$H$29,IF(E5026="HI",2,IF(E5026="LO",6,10))+IF(T5026=1,2,IF(D5026=7,1,(IF(WEEKDAY(B5026)=1,2,IF(WEEKDAY(B5026)=7,1,0))))))</f>
        <v>2</v>
      </c>
    </row>
    <row r="5027" spans="2:22">
      <c r="B5027" s="318">
        <f t="shared" si="315"/>
        <v>46322</v>
      </c>
      <c r="C5027" s="312">
        <v>7</v>
      </c>
      <c r="D5027" s="368">
        <f>IFERROR((INDEX(METADATA!$T$2:$T$20,MATCH(B5027,METADATA!$S$2:$S$20,0))),0)</f>
        <v>0</v>
      </c>
      <c r="E5027" s="312" t="str">
        <f t="shared" si="312"/>
        <v>LO</v>
      </c>
      <c r="F5027" s="369">
        <f>VLOOKUP(C5027,METADATA!$A$5:$H$29,IF(E5027="HI",2,IF(E5027="LO",6,10))+IF(D5027=1,2,IF(D5027=7,1,(IF(WEEKDAY(B5027)=1,2,IF(WEEKDAY(B5027)=7,1,0))))))</f>
        <v>1</v>
      </c>
      <c r="G5027" s="369">
        <f>VLOOKUP(C5027,METADATA!$J$5:$Q$29,IF(E5027="HI",2,IF(E5027="LO",6,10))+IF(D5027=1,2,IF(D5027=7,1,(IF(WEEKDAY(B5027)=1,2,IF(WEEKDAY(B5027)=7,1,0))))))</f>
        <v>1</v>
      </c>
      <c r="H5027" s="370">
        <v>11597.525146484375</v>
      </c>
      <c r="I5027" s="370">
        <v>9158.574951171875</v>
      </c>
      <c r="M5027" s="371">
        <f t="shared" si="313"/>
        <v>14777.756414949135</v>
      </c>
      <c r="N5027" s="329">
        <f t="shared" si="314"/>
        <v>5679.3174072265629</v>
      </c>
      <c r="T5027" s="331">
        <v>0</v>
      </c>
      <c r="U5027" s="328">
        <f>VLOOKUP(C5027,METADATA!$J$5:$Q$29,IF(E5027="HI",2,IF(E5027="LO",6,10))+IF(T5027=1,2,IF(D5027=7,1,(IF(WEEKDAY(B5027)=1,2,IF(WEEKDAY(B5027)=7,1,0))))))</f>
        <v>1</v>
      </c>
      <c r="V5027" s="328">
        <f>VLOOKUP(C5027,METADATA!$A$5:$H$29,IF(E5027="HI",2,IF(E5027="LO",6,10))+IF(T5027=1,2,IF(D5027=7,1,(IF(WEEKDAY(B5027)=1,2,IF(WEEKDAY(B5027)=7,1,0))))))</f>
        <v>1</v>
      </c>
    </row>
    <row r="5028" spans="2:22">
      <c r="B5028" s="318">
        <f t="shared" si="315"/>
        <v>46322</v>
      </c>
      <c r="C5028" s="312">
        <v>8</v>
      </c>
      <c r="D5028" s="368">
        <f>IFERROR((INDEX(METADATA!$T$2:$T$20,MATCH(B5028,METADATA!$S$2:$S$20,0))),0)</f>
        <v>0</v>
      </c>
      <c r="E5028" s="312" t="str">
        <f t="shared" si="312"/>
        <v>LO</v>
      </c>
      <c r="F5028" s="369">
        <f>VLOOKUP(C5028,METADATA!$A$5:$H$29,IF(E5028="HI",2,IF(E5028="LO",6,10))+IF(D5028=1,2,IF(D5028=7,1,(IF(WEEKDAY(B5028)=1,2,IF(WEEKDAY(B5028)=7,1,0))))))</f>
        <v>1</v>
      </c>
      <c r="G5028" s="369">
        <f>VLOOKUP(C5028,METADATA!$J$5:$Q$29,IF(E5028="HI",2,IF(E5028="LO",6,10))+IF(D5028=1,2,IF(D5028=7,1,(IF(WEEKDAY(B5028)=1,2,IF(WEEKDAY(B5028)=7,1,0))))))</f>
        <v>1</v>
      </c>
      <c r="H5028" s="370">
        <v>11740.574951171875</v>
      </c>
      <c r="I5028" s="370">
        <v>9280.4249267578125</v>
      </c>
      <c r="M5028" s="371">
        <f t="shared" si="313"/>
        <v>14965.539983751745</v>
      </c>
      <c r="N5028" s="329">
        <f t="shared" si="314"/>
        <v>5758.25244140625</v>
      </c>
      <c r="T5028" s="331">
        <v>0</v>
      </c>
      <c r="U5028" s="328">
        <f>VLOOKUP(C5028,METADATA!$J$5:$Q$29,IF(E5028="HI",2,IF(E5028="LO",6,10))+IF(T5028=1,2,IF(D5028=7,1,(IF(WEEKDAY(B5028)=1,2,IF(WEEKDAY(B5028)=7,1,0))))))</f>
        <v>1</v>
      </c>
      <c r="V5028" s="328">
        <f>VLOOKUP(C5028,METADATA!$A$5:$H$29,IF(E5028="HI",2,IF(E5028="LO",6,10))+IF(T5028=1,2,IF(D5028=7,1,(IF(WEEKDAY(B5028)=1,2,IF(WEEKDAY(B5028)=7,1,0))))))</f>
        <v>1</v>
      </c>
    </row>
    <row r="5029" spans="2:22">
      <c r="B5029" s="318">
        <f t="shared" si="315"/>
        <v>46322</v>
      </c>
      <c r="C5029" s="312">
        <v>9</v>
      </c>
      <c r="D5029" s="368">
        <f>IFERROR((INDEX(METADATA!$T$2:$T$20,MATCH(B5029,METADATA!$S$2:$S$20,0))),0)</f>
        <v>0</v>
      </c>
      <c r="E5029" s="312" t="str">
        <f t="shared" si="312"/>
        <v>LO</v>
      </c>
      <c r="F5029" s="369">
        <f>VLOOKUP(C5029,METADATA!$A$5:$H$29,IF(E5029="HI",2,IF(E5029="LO",6,10))+IF(D5029=1,2,IF(D5029=7,1,(IF(WEEKDAY(B5029)=1,2,IF(WEEKDAY(B5029)=7,1,0))))))</f>
        <v>2</v>
      </c>
      <c r="G5029" s="369">
        <f>VLOOKUP(C5029,METADATA!$J$5:$Q$29,IF(E5029="HI",2,IF(E5029="LO",6,10))+IF(D5029=1,2,IF(D5029=7,1,(IF(WEEKDAY(B5029)=1,2,IF(WEEKDAY(B5029)=7,1,0))))))</f>
        <v>2</v>
      </c>
      <c r="H5029" s="370">
        <v>11826.050231933594</v>
      </c>
      <c r="I5029" s="370">
        <v>9343.5748901367188</v>
      </c>
      <c r="M5029" s="371">
        <f t="shared" si="313"/>
        <v>15071.75689214134</v>
      </c>
      <c r="N5029" s="329">
        <f t="shared" si="314"/>
        <v>5795.759820556641</v>
      </c>
      <c r="T5029" s="331">
        <v>0</v>
      </c>
      <c r="U5029" s="328">
        <f>VLOOKUP(C5029,METADATA!$J$5:$Q$29,IF(E5029="HI",2,IF(E5029="LO",6,10))+IF(T5029=1,2,IF(D5029=7,1,(IF(WEEKDAY(B5029)=1,2,IF(WEEKDAY(B5029)=7,1,0))))))</f>
        <v>2</v>
      </c>
      <c r="V5029" s="328">
        <f>VLOOKUP(C5029,METADATA!$A$5:$H$29,IF(E5029="HI",2,IF(E5029="LO",6,10))+IF(T5029=1,2,IF(D5029=7,1,(IF(WEEKDAY(B5029)=1,2,IF(WEEKDAY(B5029)=7,1,0))))))</f>
        <v>2</v>
      </c>
    </row>
    <row r="5030" spans="2:22">
      <c r="B5030" s="318">
        <f t="shared" si="315"/>
        <v>46322</v>
      </c>
      <c r="C5030" s="312">
        <v>10</v>
      </c>
      <c r="D5030" s="368">
        <f>IFERROR((INDEX(METADATA!$T$2:$T$20,MATCH(B5030,METADATA!$S$2:$S$20,0))),0)</f>
        <v>0</v>
      </c>
      <c r="E5030" s="312" t="str">
        <f t="shared" si="312"/>
        <v>LO</v>
      </c>
      <c r="F5030" s="369">
        <f>VLOOKUP(C5030,METADATA!$A$5:$H$29,IF(E5030="HI",2,IF(E5030="LO",6,10))+IF(D5030=1,2,IF(D5030=7,1,(IF(WEEKDAY(B5030)=1,2,IF(WEEKDAY(B5030)=7,1,0))))))</f>
        <v>2</v>
      </c>
      <c r="G5030" s="369">
        <f>VLOOKUP(C5030,METADATA!$J$5:$Q$29,IF(E5030="HI",2,IF(E5030="LO",6,10))+IF(D5030=1,2,IF(D5030=7,1,(IF(WEEKDAY(B5030)=1,2,IF(WEEKDAY(B5030)=7,1,0))))))</f>
        <v>2</v>
      </c>
      <c r="H5030" s="370">
        <v>11937.374938964844</v>
      </c>
      <c r="I5030" s="370">
        <v>9523.97509765625</v>
      </c>
      <c r="M5030" s="371">
        <f t="shared" si="313"/>
        <v>15271.117251013506</v>
      </c>
      <c r="N5030" s="329">
        <f t="shared" si="314"/>
        <v>5942.7626159667971</v>
      </c>
      <c r="T5030" s="331">
        <v>0</v>
      </c>
      <c r="U5030" s="328">
        <f>VLOOKUP(C5030,METADATA!$J$5:$Q$29,IF(E5030="HI",2,IF(E5030="LO",6,10))+IF(T5030=1,2,IF(D5030=7,1,(IF(WEEKDAY(B5030)=1,2,IF(WEEKDAY(B5030)=7,1,0))))))</f>
        <v>2</v>
      </c>
      <c r="V5030" s="328">
        <f>VLOOKUP(C5030,METADATA!$A$5:$H$29,IF(E5030="HI",2,IF(E5030="LO",6,10))+IF(T5030=1,2,IF(D5030=7,1,(IF(WEEKDAY(B5030)=1,2,IF(WEEKDAY(B5030)=7,1,0))))))</f>
        <v>2</v>
      </c>
    </row>
    <row r="5031" spans="2:22">
      <c r="B5031" s="318">
        <f t="shared" si="315"/>
        <v>46322</v>
      </c>
      <c r="C5031" s="312">
        <v>11</v>
      </c>
      <c r="D5031" s="368">
        <f>IFERROR((INDEX(METADATA!$T$2:$T$20,MATCH(B5031,METADATA!$S$2:$S$20,0))),0)</f>
        <v>0</v>
      </c>
      <c r="E5031" s="312" t="str">
        <f t="shared" si="312"/>
        <v>LO</v>
      </c>
      <c r="F5031" s="369">
        <f>VLOOKUP(C5031,METADATA!$A$5:$H$29,IF(E5031="HI",2,IF(E5031="LO",6,10))+IF(D5031=1,2,IF(D5031=7,1,(IF(WEEKDAY(B5031)=1,2,IF(WEEKDAY(B5031)=7,1,0))))))</f>
        <v>2</v>
      </c>
      <c r="G5031" s="369">
        <f>VLOOKUP(C5031,METADATA!$J$5:$Q$29,IF(E5031="HI",2,IF(E5031="LO",6,10))+IF(D5031=1,2,IF(D5031=7,1,(IF(WEEKDAY(B5031)=1,2,IF(WEEKDAY(B5031)=7,1,0))))))</f>
        <v>2</v>
      </c>
      <c r="H5031" s="370">
        <v>11929.925109863281</v>
      </c>
      <c r="I5031" s="370">
        <v>9642.1251220703125</v>
      </c>
      <c r="M5031" s="371">
        <f t="shared" si="313"/>
        <v>15339.285837241767</v>
      </c>
      <c r="N5031" s="329">
        <f t="shared" si="314"/>
        <v>6063.1475891113278</v>
      </c>
      <c r="T5031" s="331">
        <v>0</v>
      </c>
      <c r="U5031" s="328">
        <f>VLOOKUP(C5031,METADATA!$J$5:$Q$29,IF(E5031="HI",2,IF(E5031="LO",6,10))+IF(T5031=1,2,IF(D5031=7,1,(IF(WEEKDAY(B5031)=1,2,IF(WEEKDAY(B5031)=7,1,0))))))</f>
        <v>2</v>
      </c>
      <c r="V5031" s="328">
        <f>VLOOKUP(C5031,METADATA!$A$5:$H$29,IF(E5031="HI",2,IF(E5031="LO",6,10))+IF(T5031=1,2,IF(D5031=7,1,(IF(WEEKDAY(B5031)=1,2,IF(WEEKDAY(B5031)=7,1,0))))))</f>
        <v>2</v>
      </c>
    </row>
    <row r="5032" spans="2:22">
      <c r="B5032" s="318">
        <f t="shared" si="315"/>
        <v>46322</v>
      </c>
      <c r="C5032" s="312">
        <v>12</v>
      </c>
      <c r="D5032" s="368">
        <f>IFERROR((INDEX(METADATA!$T$2:$T$20,MATCH(B5032,METADATA!$S$2:$S$20,0))),0)</f>
        <v>0</v>
      </c>
      <c r="E5032" s="312" t="str">
        <f t="shared" si="312"/>
        <v>LO</v>
      </c>
      <c r="F5032" s="369">
        <f>VLOOKUP(C5032,METADATA!$A$5:$H$29,IF(E5032="HI",2,IF(E5032="LO",6,10))+IF(D5032=1,2,IF(D5032=7,1,(IF(WEEKDAY(B5032)=1,2,IF(WEEKDAY(B5032)=7,1,0))))))</f>
        <v>2</v>
      </c>
      <c r="G5032" s="369">
        <f>VLOOKUP(C5032,METADATA!$J$5:$Q$29,IF(E5032="HI",2,IF(E5032="LO",6,10))+IF(D5032=1,2,IF(D5032=7,1,(IF(WEEKDAY(B5032)=1,2,IF(WEEKDAY(B5032)=7,1,0))))))</f>
        <v>2</v>
      </c>
      <c r="H5032" s="370">
        <v>11835.975158691406</v>
      </c>
      <c r="I5032" s="370">
        <v>9526.8250122070313</v>
      </c>
      <c r="M5032" s="371">
        <f t="shared" si="313"/>
        <v>15193.771841461012</v>
      </c>
      <c r="N5032" s="329">
        <f t="shared" si="314"/>
        <v>5976.0324645996097</v>
      </c>
      <c r="T5032" s="331">
        <v>0</v>
      </c>
      <c r="U5032" s="328">
        <f>VLOOKUP(C5032,METADATA!$J$5:$Q$29,IF(E5032="HI",2,IF(E5032="LO",6,10))+IF(T5032=1,2,IF(D5032=7,1,(IF(WEEKDAY(B5032)=1,2,IF(WEEKDAY(B5032)=7,1,0))))))</f>
        <v>2</v>
      </c>
      <c r="V5032" s="328">
        <f>VLOOKUP(C5032,METADATA!$A$5:$H$29,IF(E5032="HI",2,IF(E5032="LO",6,10))+IF(T5032=1,2,IF(D5032=7,1,(IF(WEEKDAY(B5032)=1,2,IF(WEEKDAY(B5032)=7,1,0))))))</f>
        <v>2</v>
      </c>
    </row>
    <row r="5033" spans="2:22">
      <c r="B5033" s="318">
        <f t="shared" si="315"/>
        <v>46322</v>
      </c>
      <c r="C5033" s="312">
        <v>13</v>
      </c>
      <c r="D5033" s="368">
        <f>IFERROR((INDEX(METADATA!$T$2:$T$20,MATCH(B5033,METADATA!$S$2:$S$20,0))),0)</f>
        <v>0</v>
      </c>
      <c r="E5033" s="312" t="str">
        <f t="shared" si="312"/>
        <v>LO</v>
      </c>
      <c r="F5033" s="369">
        <f>VLOOKUP(C5033,METADATA!$A$5:$H$29,IF(E5033="HI",2,IF(E5033="LO",6,10))+IF(D5033=1,2,IF(D5033=7,1,(IF(WEEKDAY(B5033)=1,2,IF(WEEKDAY(B5033)=7,1,0))))))</f>
        <v>2</v>
      </c>
      <c r="G5033" s="369">
        <f>VLOOKUP(C5033,METADATA!$J$5:$Q$29,IF(E5033="HI",2,IF(E5033="LO",6,10))+IF(D5033=1,2,IF(D5033=7,1,(IF(WEEKDAY(B5033)=1,2,IF(WEEKDAY(B5033)=7,1,0))))))</f>
        <v>2</v>
      </c>
      <c r="H5033" s="370">
        <v>11995.825012207031</v>
      </c>
      <c r="I5033" s="370">
        <v>9492.7499389648438</v>
      </c>
      <c r="M5033" s="371">
        <f t="shared" si="313"/>
        <v>15297.454661714441</v>
      </c>
      <c r="N5033" s="329">
        <f t="shared" si="314"/>
        <v>5894.0024353027347</v>
      </c>
      <c r="T5033" s="331">
        <v>0</v>
      </c>
      <c r="U5033" s="328">
        <f>VLOOKUP(C5033,METADATA!$J$5:$Q$29,IF(E5033="HI",2,IF(E5033="LO",6,10))+IF(T5033=1,2,IF(D5033=7,1,(IF(WEEKDAY(B5033)=1,2,IF(WEEKDAY(B5033)=7,1,0))))))</f>
        <v>2</v>
      </c>
      <c r="V5033" s="328">
        <f>VLOOKUP(C5033,METADATA!$A$5:$H$29,IF(E5033="HI",2,IF(E5033="LO",6,10))+IF(T5033=1,2,IF(D5033=7,1,(IF(WEEKDAY(B5033)=1,2,IF(WEEKDAY(B5033)=7,1,0))))))</f>
        <v>2</v>
      </c>
    </row>
    <row r="5034" spans="2:22">
      <c r="B5034" s="318">
        <f t="shared" si="315"/>
        <v>46322</v>
      </c>
      <c r="C5034" s="312">
        <v>14</v>
      </c>
      <c r="D5034" s="368">
        <f>IFERROR((INDEX(METADATA!$T$2:$T$20,MATCH(B5034,METADATA!$S$2:$S$20,0))),0)</f>
        <v>0</v>
      </c>
      <c r="E5034" s="312" t="str">
        <f t="shared" si="312"/>
        <v>LO</v>
      </c>
      <c r="F5034" s="369">
        <f>VLOOKUP(C5034,METADATA!$A$5:$H$29,IF(E5034="HI",2,IF(E5034="LO",6,10))+IF(D5034=1,2,IF(D5034=7,1,(IF(WEEKDAY(B5034)=1,2,IF(WEEKDAY(B5034)=7,1,0))))))</f>
        <v>2</v>
      </c>
      <c r="G5034" s="369">
        <f>VLOOKUP(C5034,METADATA!$J$5:$Q$29,IF(E5034="HI",2,IF(E5034="LO",6,10))+IF(D5034=1,2,IF(D5034=7,1,(IF(WEEKDAY(B5034)=1,2,IF(WEEKDAY(B5034)=7,1,0))))))</f>
        <v>2</v>
      </c>
      <c r="H5034" s="370">
        <v>12029.449951171875</v>
      </c>
      <c r="I5034" s="370">
        <v>9591.2998657226563</v>
      </c>
      <c r="M5034" s="371">
        <f t="shared" si="313"/>
        <v>15385.080410643308</v>
      </c>
      <c r="N5034" s="329">
        <f t="shared" si="314"/>
        <v>5982.4648803710934</v>
      </c>
      <c r="T5034" s="331">
        <v>0</v>
      </c>
      <c r="U5034" s="328">
        <f>VLOOKUP(C5034,METADATA!$J$5:$Q$29,IF(E5034="HI",2,IF(E5034="LO",6,10))+IF(T5034=1,2,IF(D5034=7,1,(IF(WEEKDAY(B5034)=1,2,IF(WEEKDAY(B5034)=7,1,0))))))</f>
        <v>2</v>
      </c>
      <c r="V5034" s="328">
        <f>VLOOKUP(C5034,METADATA!$A$5:$H$29,IF(E5034="HI",2,IF(E5034="LO",6,10))+IF(T5034=1,2,IF(D5034=7,1,(IF(WEEKDAY(B5034)=1,2,IF(WEEKDAY(B5034)=7,1,0))))))</f>
        <v>2</v>
      </c>
    </row>
    <row r="5035" spans="2:22">
      <c r="B5035" s="318">
        <f t="shared" si="315"/>
        <v>46322</v>
      </c>
      <c r="C5035" s="312">
        <v>15</v>
      </c>
      <c r="D5035" s="368">
        <f>IFERROR((INDEX(METADATA!$T$2:$T$20,MATCH(B5035,METADATA!$S$2:$S$20,0))),0)</f>
        <v>0</v>
      </c>
      <c r="E5035" s="312" t="str">
        <f t="shared" si="312"/>
        <v>LO</v>
      </c>
      <c r="F5035" s="369">
        <f>VLOOKUP(C5035,METADATA!$A$5:$H$29,IF(E5035="HI",2,IF(E5035="LO",6,10))+IF(D5035=1,2,IF(D5035=7,1,(IF(WEEKDAY(B5035)=1,2,IF(WEEKDAY(B5035)=7,1,0))))))</f>
        <v>2</v>
      </c>
      <c r="G5035" s="369">
        <f>VLOOKUP(C5035,METADATA!$J$5:$Q$29,IF(E5035="HI",2,IF(E5035="LO",6,10))+IF(D5035=1,2,IF(D5035=7,1,(IF(WEEKDAY(B5035)=1,2,IF(WEEKDAY(B5035)=7,1,0))))))</f>
        <v>2</v>
      </c>
      <c r="H5035" s="370">
        <v>12094.199829101563</v>
      </c>
      <c r="I5035" s="370">
        <v>9606.4500732421875</v>
      </c>
      <c r="M5035" s="371">
        <f t="shared" si="313"/>
        <v>15445.178940884274</v>
      </c>
      <c r="N5035" s="329">
        <f t="shared" si="314"/>
        <v>5978.1901245117188</v>
      </c>
      <c r="T5035" s="331">
        <v>0</v>
      </c>
      <c r="U5035" s="328">
        <f>VLOOKUP(C5035,METADATA!$J$5:$Q$29,IF(E5035="HI",2,IF(E5035="LO",6,10))+IF(T5035=1,2,IF(D5035=7,1,(IF(WEEKDAY(B5035)=1,2,IF(WEEKDAY(B5035)=7,1,0))))))</f>
        <v>2</v>
      </c>
      <c r="V5035" s="328">
        <f>VLOOKUP(C5035,METADATA!$A$5:$H$29,IF(E5035="HI",2,IF(E5035="LO",6,10))+IF(T5035=1,2,IF(D5035=7,1,(IF(WEEKDAY(B5035)=1,2,IF(WEEKDAY(B5035)=7,1,0))))))</f>
        <v>2</v>
      </c>
    </row>
    <row r="5036" spans="2:22">
      <c r="B5036" s="318">
        <f t="shared" si="315"/>
        <v>46322</v>
      </c>
      <c r="C5036" s="312">
        <v>16</v>
      </c>
      <c r="D5036" s="368">
        <f>IFERROR((INDEX(METADATA!$T$2:$T$20,MATCH(B5036,METADATA!$S$2:$S$20,0))),0)</f>
        <v>0</v>
      </c>
      <c r="E5036" s="312" t="str">
        <f t="shared" si="312"/>
        <v>LO</v>
      </c>
      <c r="F5036" s="369">
        <f>VLOOKUP(C5036,METADATA!$A$5:$H$29,IF(E5036="HI",2,IF(E5036="LO",6,10))+IF(D5036=1,2,IF(D5036=7,1,(IF(WEEKDAY(B5036)=1,2,IF(WEEKDAY(B5036)=7,1,0))))))</f>
        <v>2</v>
      </c>
      <c r="G5036" s="369">
        <f>VLOOKUP(C5036,METADATA!$J$5:$Q$29,IF(E5036="HI",2,IF(E5036="LO",6,10))+IF(D5036=1,2,IF(D5036=7,1,(IF(WEEKDAY(B5036)=1,2,IF(WEEKDAY(B5036)=7,1,0))))))</f>
        <v>2</v>
      </c>
      <c r="H5036" s="370">
        <v>12153.474975585938</v>
      </c>
      <c r="I5036" s="370">
        <v>9668.9998168945313</v>
      </c>
      <c r="M5036" s="371">
        <f t="shared" si="313"/>
        <v>15530.502613930435</v>
      </c>
      <c r="N5036" s="329">
        <f t="shared" si="314"/>
        <v>6022.9573242187507</v>
      </c>
      <c r="T5036" s="331">
        <v>0</v>
      </c>
      <c r="U5036" s="328">
        <f>VLOOKUP(C5036,METADATA!$J$5:$Q$29,IF(E5036="HI",2,IF(E5036="LO",6,10))+IF(T5036=1,2,IF(D5036=7,1,(IF(WEEKDAY(B5036)=1,2,IF(WEEKDAY(B5036)=7,1,0))))))</f>
        <v>2</v>
      </c>
      <c r="V5036" s="328">
        <f>VLOOKUP(C5036,METADATA!$A$5:$H$29,IF(E5036="HI",2,IF(E5036="LO",6,10))+IF(T5036=1,2,IF(D5036=7,1,(IF(WEEKDAY(B5036)=1,2,IF(WEEKDAY(B5036)=7,1,0))))))</f>
        <v>2</v>
      </c>
    </row>
    <row r="5037" spans="2:22">
      <c r="B5037" s="318">
        <f t="shared" si="315"/>
        <v>46322</v>
      </c>
      <c r="C5037" s="312">
        <v>17</v>
      </c>
      <c r="D5037" s="368">
        <f>IFERROR((INDEX(METADATA!$T$2:$T$20,MATCH(B5037,METADATA!$S$2:$S$20,0))),0)</f>
        <v>0</v>
      </c>
      <c r="E5037" s="312" t="str">
        <f t="shared" si="312"/>
        <v>LO</v>
      </c>
      <c r="F5037" s="369">
        <f>VLOOKUP(C5037,METADATA!$A$5:$H$29,IF(E5037="HI",2,IF(E5037="LO",6,10))+IF(D5037=1,2,IF(D5037=7,1,(IF(WEEKDAY(B5037)=1,2,IF(WEEKDAY(B5037)=7,1,0))))))</f>
        <v>2</v>
      </c>
      <c r="G5037" s="369">
        <f>VLOOKUP(C5037,METADATA!$J$5:$Q$29,IF(E5037="HI",2,IF(E5037="LO",6,10))+IF(D5037=1,2,IF(D5037=7,1,(IF(WEEKDAY(B5037)=1,2,IF(WEEKDAY(B5037)=7,1,0))))))</f>
        <v>2</v>
      </c>
      <c r="H5037" s="370">
        <v>12147.025024414063</v>
      </c>
      <c r="I5037" s="370">
        <v>9675.7999877929688</v>
      </c>
      <c r="M5037" s="371">
        <f t="shared" si="313"/>
        <v>15529.691637232076</v>
      </c>
      <c r="N5037" s="329">
        <f t="shared" si="314"/>
        <v>6031.6924804687496</v>
      </c>
      <c r="T5037" s="331">
        <v>0</v>
      </c>
      <c r="U5037" s="328">
        <f>VLOOKUP(C5037,METADATA!$J$5:$Q$29,IF(E5037="HI",2,IF(E5037="LO",6,10))+IF(T5037=1,2,IF(D5037=7,1,(IF(WEEKDAY(B5037)=1,2,IF(WEEKDAY(B5037)=7,1,0))))))</f>
        <v>2</v>
      </c>
      <c r="V5037" s="328">
        <f>VLOOKUP(C5037,METADATA!$A$5:$H$29,IF(E5037="HI",2,IF(E5037="LO",6,10))+IF(T5037=1,2,IF(D5037=7,1,(IF(WEEKDAY(B5037)=1,2,IF(WEEKDAY(B5037)=7,1,0))))))</f>
        <v>2</v>
      </c>
    </row>
    <row r="5038" spans="2:22">
      <c r="B5038" s="318">
        <f t="shared" si="315"/>
        <v>46322</v>
      </c>
      <c r="C5038" s="312">
        <v>18</v>
      </c>
      <c r="D5038" s="368">
        <f>IFERROR((INDEX(METADATA!$T$2:$T$20,MATCH(B5038,METADATA!$S$2:$S$20,0))),0)</f>
        <v>0</v>
      </c>
      <c r="E5038" s="312" t="str">
        <f t="shared" si="312"/>
        <v>LO</v>
      </c>
      <c r="F5038" s="369">
        <f>VLOOKUP(C5038,METADATA!$A$5:$H$29,IF(E5038="HI",2,IF(E5038="LO",6,10))+IF(D5038=1,2,IF(D5038=7,1,(IF(WEEKDAY(B5038)=1,2,IF(WEEKDAY(B5038)=7,1,0))))))</f>
        <v>1</v>
      </c>
      <c r="G5038" s="369">
        <f>VLOOKUP(C5038,METADATA!$J$5:$Q$29,IF(E5038="HI",2,IF(E5038="LO",6,10))+IF(D5038=1,2,IF(D5038=7,1,(IF(WEEKDAY(B5038)=1,2,IF(WEEKDAY(B5038)=7,1,0))))))</f>
        <v>1</v>
      </c>
      <c r="H5038" s="370">
        <v>12135.424987792969</v>
      </c>
      <c r="I5038" s="370">
        <v>9576.699951171875</v>
      </c>
      <c r="M5038" s="371">
        <f t="shared" si="313"/>
        <v>15459.033656381158</v>
      </c>
      <c r="N5038" s="329">
        <f t="shared" si="314"/>
        <v>5936.072454833984</v>
      </c>
      <c r="T5038" s="331">
        <v>0</v>
      </c>
      <c r="U5038" s="328">
        <f>VLOOKUP(C5038,METADATA!$J$5:$Q$29,IF(E5038="HI",2,IF(E5038="LO",6,10))+IF(T5038=1,2,IF(D5038=7,1,(IF(WEEKDAY(B5038)=1,2,IF(WEEKDAY(B5038)=7,1,0))))))</f>
        <v>1</v>
      </c>
      <c r="V5038" s="328">
        <f>VLOOKUP(C5038,METADATA!$A$5:$H$29,IF(E5038="HI",2,IF(E5038="LO",6,10))+IF(T5038=1,2,IF(D5038=7,1,(IF(WEEKDAY(B5038)=1,2,IF(WEEKDAY(B5038)=7,1,0))))))</f>
        <v>1</v>
      </c>
    </row>
    <row r="5039" spans="2:22">
      <c r="B5039" s="318">
        <f t="shared" si="315"/>
        <v>46322</v>
      </c>
      <c r="C5039" s="312">
        <v>19</v>
      </c>
      <c r="D5039" s="368">
        <f>IFERROR((INDEX(METADATA!$T$2:$T$20,MATCH(B5039,METADATA!$S$2:$S$20,0))),0)</f>
        <v>0</v>
      </c>
      <c r="E5039" s="312" t="str">
        <f t="shared" si="312"/>
        <v>LO</v>
      </c>
      <c r="F5039" s="369">
        <f>VLOOKUP(C5039,METADATA!$A$5:$H$29,IF(E5039="HI",2,IF(E5039="LO",6,10))+IF(D5039=1,2,IF(D5039=7,1,(IF(WEEKDAY(B5039)=1,2,IF(WEEKDAY(B5039)=7,1,0))))))</f>
        <v>1</v>
      </c>
      <c r="G5039" s="369">
        <f>VLOOKUP(C5039,METADATA!$J$5:$Q$29,IF(E5039="HI",2,IF(E5039="LO",6,10))+IF(D5039=1,2,IF(D5039=7,1,(IF(WEEKDAY(B5039)=1,2,IF(WEEKDAY(B5039)=7,1,0))))))</f>
        <v>1</v>
      </c>
      <c r="H5039" s="370">
        <v>12188.099975585938</v>
      </c>
      <c r="I5039" s="370">
        <v>9545.4251708984375</v>
      </c>
      <c r="M5039" s="371">
        <f t="shared" si="313"/>
        <v>15481.115034392689</v>
      </c>
      <c r="N5039" s="329">
        <f t="shared" si="314"/>
        <v>5888.9951782226563</v>
      </c>
      <c r="T5039" s="331">
        <v>0</v>
      </c>
      <c r="U5039" s="328">
        <f>VLOOKUP(C5039,METADATA!$J$5:$Q$29,IF(E5039="HI",2,IF(E5039="LO",6,10))+IF(T5039=1,2,IF(D5039=7,1,(IF(WEEKDAY(B5039)=1,2,IF(WEEKDAY(B5039)=7,1,0))))))</f>
        <v>1</v>
      </c>
      <c r="V5039" s="328">
        <f>VLOOKUP(C5039,METADATA!$A$5:$H$29,IF(E5039="HI",2,IF(E5039="LO",6,10))+IF(T5039=1,2,IF(D5039=7,1,(IF(WEEKDAY(B5039)=1,2,IF(WEEKDAY(B5039)=7,1,0))))))</f>
        <v>1</v>
      </c>
    </row>
    <row r="5040" spans="2:22">
      <c r="B5040" s="318">
        <f t="shared" si="315"/>
        <v>46322</v>
      </c>
      <c r="C5040" s="312">
        <v>20</v>
      </c>
      <c r="D5040" s="368">
        <f>IFERROR((INDEX(METADATA!$T$2:$T$20,MATCH(B5040,METADATA!$S$2:$S$20,0))),0)</f>
        <v>0</v>
      </c>
      <c r="E5040" s="312" t="str">
        <f t="shared" si="312"/>
        <v>LO</v>
      </c>
      <c r="F5040" s="369">
        <f>VLOOKUP(C5040,METADATA!$A$5:$H$29,IF(E5040="HI",2,IF(E5040="LO",6,10))+IF(D5040=1,2,IF(D5040=7,1,(IF(WEEKDAY(B5040)=1,2,IF(WEEKDAY(B5040)=7,1,0))))))</f>
        <v>1</v>
      </c>
      <c r="G5040" s="369">
        <f>VLOOKUP(C5040,METADATA!$J$5:$Q$29,IF(E5040="HI",2,IF(E5040="LO",6,10))+IF(D5040=1,2,IF(D5040=7,1,(IF(WEEKDAY(B5040)=1,2,IF(WEEKDAY(B5040)=7,1,0))))))</f>
        <v>1</v>
      </c>
      <c r="H5040" s="370">
        <v>12145.275085449219</v>
      </c>
      <c r="I5040" s="370">
        <v>9602.5499877929688</v>
      </c>
      <c r="M5040" s="371">
        <f t="shared" si="313"/>
        <v>15482.786350308405</v>
      </c>
      <c r="N5040" s="329">
        <f t="shared" si="314"/>
        <v>5958.9674621582035</v>
      </c>
      <c r="T5040" s="331">
        <v>0</v>
      </c>
      <c r="U5040" s="328">
        <f>VLOOKUP(C5040,METADATA!$J$5:$Q$29,IF(E5040="HI",2,IF(E5040="LO",6,10))+IF(T5040=1,2,IF(D5040=7,1,(IF(WEEKDAY(B5040)=1,2,IF(WEEKDAY(B5040)=7,1,0))))))</f>
        <v>1</v>
      </c>
      <c r="V5040" s="328">
        <f>VLOOKUP(C5040,METADATA!$A$5:$H$29,IF(E5040="HI",2,IF(E5040="LO",6,10))+IF(T5040=1,2,IF(D5040=7,1,(IF(WEEKDAY(B5040)=1,2,IF(WEEKDAY(B5040)=7,1,0))))))</f>
        <v>1</v>
      </c>
    </row>
    <row r="5041" spans="2:22">
      <c r="B5041" s="318">
        <f t="shared" si="315"/>
        <v>46322</v>
      </c>
      <c r="C5041" s="312">
        <v>21</v>
      </c>
      <c r="D5041" s="368">
        <f>IFERROR((INDEX(METADATA!$T$2:$T$20,MATCH(B5041,METADATA!$S$2:$S$20,0))),0)</f>
        <v>0</v>
      </c>
      <c r="E5041" s="312" t="str">
        <f t="shared" si="312"/>
        <v>LO</v>
      </c>
      <c r="F5041" s="369">
        <f>VLOOKUP(C5041,METADATA!$A$5:$H$29,IF(E5041="HI",2,IF(E5041="LO",6,10))+IF(D5041=1,2,IF(D5041=7,1,(IF(WEEKDAY(B5041)=1,2,IF(WEEKDAY(B5041)=7,1,0))))))</f>
        <v>2</v>
      </c>
      <c r="G5041" s="369">
        <f>VLOOKUP(C5041,METADATA!$J$5:$Q$29,IF(E5041="HI",2,IF(E5041="LO",6,10))+IF(D5041=1,2,IF(D5041=7,1,(IF(WEEKDAY(B5041)=1,2,IF(WEEKDAY(B5041)=7,1,0))))))</f>
        <v>2</v>
      </c>
      <c r="H5041" s="370">
        <v>12204.875</v>
      </c>
      <c r="I5041" s="370">
        <v>9647.4749755859375</v>
      </c>
      <c r="M5041" s="371">
        <f t="shared" si="313"/>
        <v>15557.401684413175</v>
      </c>
      <c r="N5041" s="329">
        <f t="shared" si="314"/>
        <v>5986.0124755859379</v>
      </c>
      <c r="T5041" s="331">
        <v>0</v>
      </c>
      <c r="U5041" s="328">
        <f>VLOOKUP(C5041,METADATA!$J$5:$Q$29,IF(E5041="HI",2,IF(E5041="LO",6,10))+IF(T5041=1,2,IF(D5041=7,1,(IF(WEEKDAY(B5041)=1,2,IF(WEEKDAY(B5041)=7,1,0))))))</f>
        <v>2</v>
      </c>
      <c r="V5041" s="328">
        <f>VLOOKUP(C5041,METADATA!$A$5:$H$29,IF(E5041="HI",2,IF(E5041="LO",6,10))+IF(T5041=1,2,IF(D5041=7,1,(IF(WEEKDAY(B5041)=1,2,IF(WEEKDAY(B5041)=7,1,0))))))</f>
        <v>2</v>
      </c>
    </row>
    <row r="5042" spans="2:22">
      <c r="B5042" s="318">
        <f t="shared" si="315"/>
        <v>46322</v>
      </c>
      <c r="C5042" s="312">
        <v>22</v>
      </c>
      <c r="D5042" s="368">
        <f>IFERROR((INDEX(METADATA!$T$2:$T$20,MATCH(B5042,METADATA!$S$2:$S$20,0))),0)</f>
        <v>0</v>
      </c>
      <c r="E5042" s="312" t="str">
        <f t="shared" si="312"/>
        <v>LO</v>
      </c>
      <c r="F5042" s="369">
        <f>VLOOKUP(C5042,METADATA!$A$5:$H$29,IF(E5042="HI",2,IF(E5042="LO",6,10))+IF(D5042=1,2,IF(D5042=7,1,(IF(WEEKDAY(B5042)=1,2,IF(WEEKDAY(B5042)=7,1,0))))))</f>
        <v>3</v>
      </c>
      <c r="G5042" s="369">
        <f>VLOOKUP(C5042,METADATA!$J$5:$Q$29,IF(E5042="HI",2,IF(E5042="LO",6,10))+IF(D5042=1,2,IF(D5042=7,1,(IF(WEEKDAY(B5042)=1,2,IF(WEEKDAY(B5042)=7,1,0))))))</f>
        <v>3</v>
      </c>
      <c r="H5042" s="370">
        <v>12266.149780273438</v>
      </c>
      <c r="I5042" s="370">
        <v>9774.0999145507813</v>
      </c>
      <c r="M5042" s="371">
        <f t="shared" si="313"/>
        <v>15684.114880085635</v>
      </c>
      <c r="N5042" s="329">
        <f t="shared" si="314"/>
        <v>6094.2549804687496</v>
      </c>
      <c r="T5042" s="331">
        <v>0</v>
      </c>
      <c r="U5042" s="328">
        <f>VLOOKUP(C5042,METADATA!$J$5:$Q$29,IF(E5042="HI",2,IF(E5042="LO",6,10))+IF(T5042=1,2,IF(D5042=7,1,(IF(WEEKDAY(B5042)=1,2,IF(WEEKDAY(B5042)=7,1,0))))))</f>
        <v>3</v>
      </c>
      <c r="V5042" s="328">
        <f>VLOOKUP(C5042,METADATA!$A$5:$H$29,IF(E5042="HI",2,IF(E5042="LO",6,10))+IF(T5042=1,2,IF(D5042=7,1,(IF(WEEKDAY(B5042)=1,2,IF(WEEKDAY(B5042)=7,1,0))))))</f>
        <v>3</v>
      </c>
    </row>
    <row r="5043" spans="2:22">
      <c r="B5043" s="318">
        <f t="shared" si="315"/>
        <v>46322</v>
      </c>
      <c r="C5043" s="312">
        <v>23</v>
      </c>
      <c r="D5043" s="368">
        <f>IFERROR((INDEX(METADATA!$T$2:$T$20,MATCH(B5043,METADATA!$S$2:$S$20,0))),0)</f>
        <v>0</v>
      </c>
      <c r="E5043" s="312" t="str">
        <f t="shared" si="312"/>
        <v>LO</v>
      </c>
      <c r="F5043" s="369">
        <f>VLOOKUP(C5043,METADATA!$A$5:$H$29,IF(E5043="HI",2,IF(E5043="LO",6,10))+IF(D5043=1,2,IF(D5043=7,1,(IF(WEEKDAY(B5043)=1,2,IF(WEEKDAY(B5043)=7,1,0))))))</f>
        <v>3</v>
      </c>
      <c r="G5043" s="369">
        <f>VLOOKUP(C5043,METADATA!$J$5:$Q$29,IF(E5043="HI",2,IF(E5043="LO",6,10))+IF(D5043=1,2,IF(D5043=7,1,(IF(WEEKDAY(B5043)=1,2,IF(WEEKDAY(B5043)=7,1,0))))))</f>
        <v>3</v>
      </c>
      <c r="H5043" s="370">
        <v>12290.625</v>
      </c>
      <c r="I5043" s="370">
        <v>9778.8998413085938</v>
      </c>
      <c r="M5043" s="371">
        <f t="shared" si="313"/>
        <v>15706.251780643599</v>
      </c>
      <c r="N5043" s="329">
        <f t="shared" si="314"/>
        <v>6091.7123413085938</v>
      </c>
      <c r="T5043" s="331">
        <v>0</v>
      </c>
      <c r="U5043" s="328">
        <f>VLOOKUP(C5043,METADATA!$J$5:$Q$29,IF(E5043="HI",2,IF(E5043="LO",6,10))+IF(T5043=1,2,IF(D5043=7,1,(IF(WEEKDAY(B5043)=1,2,IF(WEEKDAY(B5043)=7,1,0))))))</f>
        <v>3</v>
      </c>
      <c r="V5043" s="328">
        <f>VLOOKUP(C5043,METADATA!$A$5:$H$29,IF(E5043="HI",2,IF(E5043="LO",6,10))+IF(T5043=1,2,IF(D5043=7,1,(IF(WEEKDAY(B5043)=1,2,IF(WEEKDAY(B5043)=7,1,0))))))</f>
        <v>3</v>
      </c>
    </row>
    <row r="5044" spans="2:22">
      <c r="B5044" s="318">
        <f t="shared" si="315"/>
        <v>46323</v>
      </c>
      <c r="C5044" s="312">
        <v>0</v>
      </c>
      <c r="D5044" s="368">
        <f>IFERROR((INDEX(METADATA!$T$2:$T$20,MATCH(B5044,METADATA!$S$2:$S$20,0))),0)</f>
        <v>0</v>
      </c>
      <c r="E5044" s="312" t="str">
        <f t="shared" si="312"/>
        <v>LO</v>
      </c>
      <c r="F5044" s="369">
        <f>VLOOKUP(C5044,METADATA!$A$5:$H$29,IF(E5044="HI",2,IF(E5044="LO",6,10))+IF(D5044=1,2,IF(D5044=7,1,(IF(WEEKDAY(B5044)=1,2,IF(WEEKDAY(B5044)=7,1,0))))))</f>
        <v>3</v>
      </c>
      <c r="G5044" s="369">
        <f>VLOOKUP(C5044,METADATA!$J$5:$Q$29,IF(E5044="HI",2,IF(E5044="LO",6,10))+IF(D5044=1,2,IF(D5044=7,1,(IF(WEEKDAY(B5044)=1,2,IF(WEEKDAY(B5044)=7,1,0))))))</f>
        <v>3</v>
      </c>
      <c r="H5044" s="370">
        <v>12327.4248046875</v>
      </c>
      <c r="I5044" s="370">
        <v>9878.22509765625</v>
      </c>
      <c r="M5044" s="371">
        <f t="shared" si="313"/>
        <v>15796.984946349428</v>
      </c>
      <c r="N5044" s="329">
        <f t="shared" si="314"/>
        <v>6179.9976562499996</v>
      </c>
      <c r="T5044" s="331">
        <v>0</v>
      </c>
      <c r="U5044" s="328">
        <f>VLOOKUP(C5044,METADATA!$J$5:$Q$29,IF(E5044="HI",2,IF(E5044="LO",6,10))+IF(T5044=1,2,IF(D5044=7,1,(IF(WEEKDAY(B5044)=1,2,IF(WEEKDAY(B5044)=7,1,0))))))</f>
        <v>3</v>
      </c>
      <c r="V5044" s="328">
        <f>VLOOKUP(C5044,METADATA!$A$5:$H$29,IF(E5044="HI",2,IF(E5044="LO",6,10))+IF(T5044=1,2,IF(D5044=7,1,(IF(WEEKDAY(B5044)=1,2,IF(WEEKDAY(B5044)=7,1,0))))))</f>
        <v>3</v>
      </c>
    </row>
    <row r="5045" spans="2:22">
      <c r="B5045" s="318">
        <f t="shared" si="315"/>
        <v>46323</v>
      </c>
      <c r="C5045" s="312">
        <v>1</v>
      </c>
      <c r="D5045" s="368">
        <f>IFERROR((INDEX(METADATA!$T$2:$T$20,MATCH(B5045,METADATA!$S$2:$S$20,0))),0)</f>
        <v>0</v>
      </c>
      <c r="E5045" s="312" t="str">
        <f t="shared" si="312"/>
        <v>LO</v>
      </c>
      <c r="F5045" s="369">
        <f>VLOOKUP(C5045,METADATA!$A$5:$H$29,IF(E5045="HI",2,IF(E5045="LO",6,10))+IF(D5045=1,2,IF(D5045=7,1,(IF(WEEKDAY(B5045)=1,2,IF(WEEKDAY(B5045)=7,1,0))))))</f>
        <v>3</v>
      </c>
      <c r="G5045" s="369">
        <f>VLOOKUP(C5045,METADATA!$J$5:$Q$29,IF(E5045="HI",2,IF(E5045="LO",6,10))+IF(D5045=1,2,IF(D5045=7,1,(IF(WEEKDAY(B5045)=1,2,IF(WEEKDAY(B5045)=7,1,0))))))</f>
        <v>3</v>
      </c>
      <c r="H5045" s="370">
        <v>12221.502624511719</v>
      </c>
      <c r="I5045" s="370">
        <v>9829.3050537109375</v>
      </c>
      <c r="M5045" s="371">
        <f t="shared" si="313"/>
        <v>15683.76116369585</v>
      </c>
      <c r="N5045" s="329">
        <f t="shared" si="314"/>
        <v>6162.8542663574226</v>
      </c>
      <c r="T5045" s="331">
        <v>0</v>
      </c>
      <c r="U5045" s="328">
        <f>VLOOKUP(C5045,METADATA!$J$5:$Q$29,IF(E5045="HI",2,IF(E5045="LO",6,10))+IF(T5045=1,2,IF(D5045=7,1,(IF(WEEKDAY(B5045)=1,2,IF(WEEKDAY(B5045)=7,1,0))))))</f>
        <v>3</v>
      </c>
      <c r="V5045" s="328">
        <f>VLOOKUP(C5045,METADATA!$A$5:$H$29,IF(E5045="HI",2,IF(E5045="LO",6,10))+IF(T5045=1,2,IF(D5045=7,1,(IF(WEEKDAY(B5045)=1,2,IF(WEEKDAY(B5045)=7,1,0))))))</f>
        <v>3</v>
      </c>
    </row>
    <row r="5046" spans="2:22">
      <c r="B5046" s="318">
        <f t="shared" si="315"/>
        <v>46323</v>
      </c>
      <c r="C5046" s="312">
        <v>2</v>
      </c>
      <c r="D5046" s="368">
        <f>IFERROR((INDEX(METADATA!$T$2:$T$20,MATCH(B5046,METADATA!$S$2:$S$20,0))),0)</f>
        <v>0</v>
      </c>
      <c r="E5046" s="312" t="str">
        <f t="shared" si="312"/>
        <v>LO</v>
      </c>
      <c r="F5046" s="369">
        <f>VLOOKUP(C5046,METADATA!$A$5:$H$29,IF(E5046="HI",2,IF(E5046="LO",6,10))+IF(D5046=1,2,IF(D5046=7,1,(IF(WEEKDAY(B5046)=1,2,IF(WEEKDAY(B5046)=7,1,0))))))</f>
        <v>3</v>
      </c>
      <c r="G5046" s="369">
        <f>VLOOKUP(C5046,METADATA!$J$5:$Q$29,IF(E5046="HI",2,IF(E5046="LO",6,10))+IF(D5046=1,2,IF(D5046=7,1,(IF(WEEKDAY(B5046)=1,2,IF(WEEKDAY(B5046)=7,1,0))))))</f>
        <v>3</v>
      </c>
      <c r="H5046" s="370">
        <v>12156.325134277344</v>
      </c>
      <c r="I5046" s="370">
        <v>9831.6000366210938</v>
      </c>
      <c r="M5046" s="371">
        <f t="shared" si="313"/>
        <v>15634.468332832779</v>
      </c>
      <c r="N5046" s="329">
        <f t="shared" si="314"/>
        <v>6184.7024963378908</v>
      </c>
      <c r="T5046" s="331">
        <v>0</v>
      </c>
      <c r="U5046" s="328">
        <f>VLOOKUP(C5046,METADATA!$J$5:$Q$29,IF(E5046="HI",2,IF(E5046="LO",6,10))+IF(T5046=1,2,IF(D5046=7,1,(IF(WEEKDAY(B5046)=1,2,IF(WEEKDAY(B5046)=7,1,0))))))</f>
        <v>3</v>
      </c>
      <c r="V5046" s="328">
        <f>VLOOKUP(C5046,METADATA!$A$5:$H$29,IF(E5046="HI",2,IF(E5046="LO",6,10))+IF(T5046=1,2,IF(D5046=7,1,(IF(WEEKDAY(B5046)=1,2,IF(WEEKDAY(B5046)=7,1,0))))))</f>
        <v>3</v>
      </c>
    </row>
    <row r="5047" spans="2:22">
      <c r="B5047" s="318">
        <f t="shared" si="315"/>
        <v>46323</v>
      </c>
      <c r="C5047" s="312">
        <v>3</v>
      </c>
      <c r="D5047" s="368">
        <f>IFERROR((INDEX(METADATA!$T$2:$T$20,MATCH(B5047,METADATA!$S$2:$S$20,0))),0)</f>
        <v>0</v>
      </c>
      <c r="E5047" s="312" t="str">
        <f t="shared" si="312"/>
        <v>LO</v>
      </c>
      <c r="F5047" s="369">
        <f>VLOOKUP(C5047,METADATA!$A$5:$H$29,IF(E5047="HI",2,IF(E5047="LO",6,10))+IF(D5047=1,2,IF(D5047=7,1,(IF(WEEKDAY(B5047)=1,2,IF(WEEKDAY(B5047)=7,1,0))))))</f>
        <v>3</v>
      </c>
      <c r="G5047" s="369">
        <f>VLOOKUP(C5047,METADATA!$J$5:$Q$29,IF(E5047="HI",2,IF(E5047="LO",6,10))+IF(D5047=1,2,IF(D5047=7,1,(IF(WEEKDAY(B5047)=1,2,IF(WEEKDAY(B5047)=7,1,0))))))</f>
        <v>3</v>
      </c>
      <c r="H5047" s="370">
        <v>12186.225463867188</v>
      </c>
      <c r="I5047" s="370">
        <v>9732.875</v>
      </c>
      <c r="M5047" s="371">
        <f t="shared" si="313"/>
        <v>15595.92725110726</v>
      </c>
      <c r="N5047" s="329">
        <f t="shared" si="314"/>
        <v>6077.0073608398434</v>
      </c>
      <c r="T5047" s="331">
        <v>0</v>
      </c>
      <c r="U5047" s="328">
        <f>VLOOKUP(C5047,METADATA!$J$5:$Q$29,IF(E5047="HI",2,IF(E5047="LO",6,10))+IF(T5047=1,2,IF(D5047=7,1,(IF(WEEKDAY(B5047)=1,2,IF(WEEKDAY(B5047)=7,1,0))))))</f>
        <v>3</v>
      </c>
      <c r="V5047" s="328">
        <f>VLOOKUP(C5047,METADATA!$A$5:$H$29,IF(E5047="HI",2,IF(E5047="LO",6,10))+IF(T5047=1,2,IF(D5047=7,1,(IF(WEEKDAY(B5047)=1,2,IF(WEEKDAY(B5047)=7,1,0))))))</f>
        <v>3</v>
      </c>
    </row>
    <row r="5048" spans="2:22">
      <c r="B5048" s="318">
        <f t="shared" si="315"/>
        <v>46323</v>
      </c>
      <c r="C5048" s="312">
        <v>4</v>
      </c>
      <c r="D5048" s="368">
        <f>IFERROR((INDEX(METADATA!$T$2:$T$20,MATCH(B5048,METADATA!$S$2:$S$20,0))),0)</f>
        <v>0</v>
      </c>
      <c r="E5048" s="312" t="str">
        <f t="shared" si="312"/>
        <v>LO</v>
      </c>
      <c r="F5048" s="369">
        <f>VLOOKUP(C5048,METADATA!$A$5:$H$29,IF(E5048="HI",2,IF(E5048="LO",6,10))+IF(D5048=1,2,IF(D5048=7,1,(IF(WEEKDAY(B5048)=1,2,IF(WEEKDAY(B5048)=7,1,0))))))</f>
        <v>3</v>
      </c>
      <c r="G5048" s="369">
        <f>VLOOKUP(C5048,METADATA!$J$5:$Q$29,IF(E5048="HI",2,IF(E5048="LO",6,10))+IF(D5048=1,2,IF(D5048=7,1,(IF(WEEKDAY(B5048)=1,2,IF(WEEKDAY(B5048)=7,1,0))))))</f>
        <v>3</v>
      </c>
      <c r="H5048" s="370">
        <v>12169.849670410156</v>
      </c>
      <c r="I5048" s="370">
        <v>9530.6498413085938</v>
      </c>
      <c r="M5048" s="371">
        <f t="shared" si="313"/>
        <v>15457.636539847148</v>
      </c>
      <c r="N5048" s="329">
        <f t="shared" si="314"/>
        <v>5879.6949401855472</v>
      </c>
      <c r="T5048" s="331">
        <v>0</v>
      </c>
      <c r="U5048" s="328">
        <f>VLOOKUP(C5048,METADATA!$J$5:$Q$29,IF(E5048="HI",2,IF(E5048="LO",6,10))+IF(T5048=1,2,IF(D5048=7,1,(IF(WEEKDAY(B5048)=1,2,IF(WEEKDAY(B5048)=7,1,0))))))</f>
        <v>3</v>
      </c>
      <c r="V5048" s="328">
        <f>VLOOKUP(C5048,METADATA!$A$5:$H$29,IF(E5048="HI",2,IF(E5048="LO",6,10))+IF(T5048=1,2,IF(D5048=7,1,(IF(WEEKDAY(B5048)=1,2,IF(WEEKDAY(B5048)=7,1,0))))))</f>
        <v>3</v>
      </c>
    </row>
    <row r="5049" spans="2:22">
      <c r="B5049" s="318">
        <f t="shared" si="315"/>
        <v>46323</v>
      </c>
      <c r="C5049" s="312">
        <v>5</v>
      </c>
      <c r="D5049" s="368">
        <f>IFERROR((INDEX(METADATA!$T$2:$T$20,MATCH(B5049,METADATA!$S$2:$S$20,0))),0)</f>
        <v>0</v>
      </c>
      <c r="E5049" s="312" t="str">
        <f t="shared" si="312"/>
        <v>LO</v>
      </c>
      <c r="F5049" s="369">
        <f>VLOOKUP(C5049,METADATA!$A$5:$H$29,IF(E5049="HI",2,IF(E5049="LO",6,10))+IF(D5049=1,2,IF(D5049=7,1,(IF(WEEKDAY(B5049)=1,2,IF(WEEKDAY(B5049)=7,1,0))))))</f>
        <v>3</v>
      </c>
      <c r="G5049" s="369">
        <f>VLOOKUP(C5049,METADATA!$J$5:$Q$29,IF(E5049="HI",2,IF(E5049="LO",6,10))+IF(D5049=1,2,IF(D5049=7,1,(IF(WEEKDAY(B5049)=1,2,IF(WEEKDAY(B5049)=7,1,0))))))</f>
        <v>3</v>
      </c>
      <c r="H5049" s="370">
        <v>12214.049987792969</v>
      </c>
      <c r="I5049" s="370">
        <v>9500.2501831054688</v>
      </c>
      <c r="M5049" s="371">
        <f t="shared" si="313"/>
        <v>15473.776870754629</v>
      </c>
      <c r="N5049" s="329">
        <f t="shared" si="314"/>
        <v>5836.0351867675781</v>
      </c>
      <c r="T5049" s="331">
        <v>0</v>
      </c>
      <c r="U5049" s="328">
        <f>VLOOKUP(C5049,METADATA!$J$5:$Q$29,IF(E5049="HI",2,IF(E5049="LO",6,10))+IF(T5049=1,2,IF(D5049=7,1,(IF(WEEKDAY(B5049)=1,2,IF(WEEKDAY(B5049)=7,1,0))))))</f>
        <v>3</v>
      </c>
      <c r="V5049" s="328">
        <f>VLOOKUP(C5049,METADATA!$A$5:$H$29,IF(E5049="HI",2,IF(E5049="LO",6,10))+IF(T5049=1,2,IF(D5049=7,1,(IF(WEEKDAY(B5049)=1,2,IF(WEEKDAY(B5049)=7,1,0))))))</f>
        <v>3</v>
      </c>
    </row>
    <row r="5050" spans="2:22">
      <c r="B5050" s="318">
        <f t="shared" si="315"/>
        <v>46323</v>
      </c>
      <c r="C5050" s="312">
        <v>6</v>
      </c>
      <c r="D5050" s="368">
        <f>IFERROR((INDEX(METADATA!$T$2:$T$20,MATCH(B5050,METADATA!$S$2:$S$20,0))),0)</f>
        <v>0</v>
      </c>
      <c r="E5050" s="312" t="str">
        <f t="shared" si="312"/>
        <v>LO</v>
      </c>
      <c r="F5050" s="369">
        <f>VLOOKUP(C5050,METADATA!$A$5:$H$29,IF(E5050="HI",2,IF(E5050="LO",6,10))+IF(D5050=1,2,IF(D5050=7,1,(IF(WEEKDAY(B5050)=1,2,IF(WEEKDAY(B5050)=7,1,0))))))</f>
        <v>2</v>
      </c>
      <c r="G5050" s="369">
        <f>VLOOKUP(C5050,METADATA!$J$5:$Q$29,IF(E5050="HI",2,IF(E5050="LO",6,10))+IF(D5050=1,2,IF(D5050=7,1,(IF(WEEKDAY(B5050)=1,2,IF(WEEKDAY(B5050)=7,1,0))))))</f>
        <v>2</v>
      </c>
      <c r="H5050" s="370">
        <v>12183.049865722656</v>
      </c>
      <c r="I5050" s="370">
        <v>9582.375</v>
      </c>
      <c r="M5050" s="371">
        <f t="shared" si="313"/>
        <v>15499.955311913316</v>
      </c>
      <c r="N5050" s="329">
        <f t="shared" si="314"/>
        <v>5927.4600402832039</v>
      </c>
      <c r="T5050" s="331">
        <v>0</v>
      </c>
      <c r="U5050" s="328">
        <f>VLOOKUP(C5050,METADATA!$J$5:$Q$29,IF(E5050="HI",2,IF(E5050="LO",6,10))+IF(T5050=1,2,IF(D5050=7,1,(IF(WEEKDAY(B5050)=1,2,IF(WEEKDAY(B5050)=7,1,0))))))</f>
        <v>2</v>
      </c>
      <c r="V5050" s="328">
        <f>VLOOKUP(C5050,METADATA!$A$5:$H$29,IF(E5050="HI",2,IF(E5050="LO",6,10))+IF(T5050=1,2,IF(D5050=7,1,(IF(WEEKDAY(B5050)=1,2,IF(WEEKDAY(B5050)=7,1,0))))))</f>
        <v>2</v>
      </c>
    </row>
    <row r="5051" spans="2:22">
      <c r="B5051" s="318">
        <f t="shared" si="315"/>
        <v>46323</v>
      </c>
      <c r="C5051" s="312">
        <v>7</v>
      </c>
      <c r="D5051" s="368">
        <f>IFERROR((INDEX(METADATA!$T$2:$T$20,MATCH(B5051,METADATA!$S$2:$S$20,0))),0)</f>
        <v>0</v>
      </c>
      <c r="E5051" s="312" t="str">
        <f t="shared" si="312"/>
        <v>LO</v>
      </c>
      <c r="F5051" s="369">
        <f>VLOOKUP(C5051,METADATA!$A$5:$H$29,IF(E5051="HI",2,IF(E5051="LO",6,10))+IF(D5051=1,2,IF(D5051=7,1,(IF(WEEKDAY(B5051)=1,2,IF(WEEKDAY(B5051)=7,1,0))))))</f>
        <v>1</v>
      </c>
      <c r="G5051" s="369">
        <f>VLOOKUP(C5051,METADATA!$J$5:$Q$29,IF(E5051="HI",2,IF(E5051="LO",6,10))+IF(D5051=1,2,IF(D5051=7,1,(IF(WEEKDAY(B5051)=1,2,IF(WEEKDAY(B5051)=7,1,0))))))</f>
        <v>1</v>
      </c>
      <c r="H5051" s="370">
        <v>12108.275207519531</v>
      </c>
      <c r="I5051" s="370">
        <v>9570.4998779296875</v>
      </c>
      <c r="M5051" s="371">
        <f t="shared" si="313"/>
        <v>15433.884683205468</v>
      </c>
      <c r="N5051" s="329">
        <f t="shared" si="314"/>
        <v>5938.0173156738283</v>
      </c>
      <c r="T5051" s="331">
        <v>0</v>
      </c>
      <c r="U5051" s="328">
        <f>VLOOKUP(C5051,METADATA!$J$5:$Q$29,IF(E5051="HI",2,IF(E5051="LO",6,10))+IF(T5051=1,2,IF(D5051=7,1,(IF(WEEKDAY(B5051)=1,2,IF(WEEKDAY(B5051)=7,1,0))))))</f>
        <v>1</v>
      </c>
      <c r="V5051" s="328">
        <f>VLOOKUP(C5051,METADATA!$A$5:$H$29,IF(E5051="HI",2,IF(E5051="LO",6,10))+IF(T5051=1,2,IF(D5051=7,1,(IF(WEEKDAY(B5051)=1,2,IF(WEEKDAY(B5051)=7,1,0))))))</f>
        <v>1</v>
      </c>
    </row>
    <row r="5052" spans="2:22">
      <c r="B5052" s="318">
        <f t="shared" si="315"/>
        <v>46323</v>
      </c>
      <c r="C5052" s="312">
        <v>8</v>
      </c>
      <c r="D5052" s="368">
        <f>IFERROR((INDEX(METADATA!$T$2:$T$20,MATCH(B5052,METADATA!$S$2:$S$20,0))),0)</f>
        <v>0</v>
      </c>
      <c r="E5052" s="312" t="str">
        <f t="shared" si="312"/>
        <v>LO</v>
      </c>
      <c r="F5052" s="369">
        <f>VLOOKUP(C5052,METADATA!$A$5:$H$29,IF(E5052="HI",2,IF(E5052="LO",6,10))+IF(D5052=1,2,IF(D5052=7,1,(IF(WEEKDAY(B5052)=1,2,IF(WEEKDAY(B5052)=7,1,0))))))</f>
        <v>1</v>
      </c>
      <c r="G5052" s="369">
        <f>VLOOKUP(C5052,METADATA!$J$5:$Q$29,IF(E5052="HI",2,IF(E5052="LO",6,10))+IF(D5052=1,2,IF(D5052=7,1,(IF(WEEKDAY(B5052)=1,2,IF(WEEKDAY(B5052)=7,1,0))))))</f>
        <v>1</v>
      </c>
      <c r="H5052" s="370">
        <v>12305.975036621094</v>
      </c>
      <c r="I5052" s="370">
        <v>9494.4998779296875</v>
      </c>
      <c r="M5052" s="371">
        <f t="shared" si="313"/>
        <v>15542.926028709921</v>
      </c>
      <c r="N5052" s="329">
        <f t="shared" si="314"/>
        <v>5802.7073669433594</v>
      </c>
      <c r="T5052" s="331">
        <v>0</v>
      </c>
      <c r="U5052" s="328">
        <f>VLOOKUP(C5052,METADATA!$J$5:$Q$29,IF(E5052="HI",2,IF(E5052="LO",6,10))+IF(T5052=1,2,IF(D5052=7,1,(IF(WEEKDAY(B5052)=1,2,IF(WEEKDAY(B5052)=7,1,0))))))</f>
        <v>1</v>
      </c>
      <c r="V5052" s="328">
        <f>VLOOKUP(C5052,METADATA!$A$5:$H$29,IF(E5052="HI",2,IF(E5052="LO",6,10))+IF(T5052=1,2,IF(D5052=7,1,(IF(WEEKDAY(B5052)=1,2,IF(WEEKDAY(B5052)=7,1,0))))))</f>
        <v>1</v>
      </c>
    </row>
    <row r="5053" spans="2:22">
      <c r="B5053" s="318">
        <f t="shared" si="315"/>
        <v>46323</v>
      </c>
      <c r="C5053" s="312">
        <v>9</v>
      </c>
      <c r="D5053" s="368">
        <f>IFERROR((INDEX(METADATA!$T$2:$T$20,MATCH(B5053,METADATA!$S$2:$S$20,0))),0)</f>
        <v>0</v>
      </c>
      <c r="E5053" s="312" t="str">
        <f t="shared" si="312"/>
        <v>LO</v>
      </c>
      <c r="F5053" s="369">
        <f>VLOOKUP(C5053,METADATA!$A$5:$H$29,IF(E5053="HI",2,IF(E5053="LO",6,10))+IF(D5053=1,2,IF(D5053=7,1,(IF(WEEKDAY(B5053)=1,2,IF(WEEKDAY(B5053)=7,1,0))))))</f>
        <v>2</v>
      </c>
      <c r="G5053" s="369">
        <f>VLOOKUP(C5053,METADATA!$J$5:$Q$29,IF(E5053="HI",2,IF(E5053="LO",6,10))+IF(D5053=1,2,IF(D5053=7,1,(IF(WEEKDAY(B5053)=1,2,IF(WEEKDAY(B5053)=7,1,0))))))</f>
        <v>2</v>
      </c>
      <c r="H5053" s="370">
        <v>12112.599975585938</v>
      </c>
      <c r="I5053" s="370">
        <v>9684.8500366210938</v>
      </c>
      <c r="M5053" s="371">
        <f t="shared" si="313"/>
        <v>15508.429914095239</v>
      </c>
      <c r="N5053" s="329">
        <f t="shared" si="314"/>
        <v>6051.0700439453121</v>
      </c>
      <c r="T5053" s="331">
        <v>0</v>
      </c>
      <c r="U5053" s="328">
        <f>VLOOKUP(C5053,METADATA!$J$5:$Q$29,IF(E5053="HI",2,IF(E5053="LO",6,10))+IF(T5053=1,2,IF(D5053=7,1,(IF(WEEKDAY(B5053)=1,2,IF(WEEKDAY(B5053)=7,1,0))))))</f>
        <v>2</v>
      </c>
      <c r="V5053" s="328">
        <f>VLOOKUP(C5053,METADATA!$A$5:$H$29,IF(E5053="HI",2,IF(E5053="LO",6,10))+IF(T5053=1,2,IF(D5053=7,1,(IF(WEEKDAY(B5053)=1,2,IF(WEEKDAY(B5053)=7,1,0))))))</f>
        <v>2</v>
      </c>
    </row>
    <row r="5054" spans="2:22">
      <c r="B5054" s="318">
        <f t="shared" si="315"/>
        <v>46323</v>
      </c>
      <c r="C5054" s="312">
        <v>10</v>
      </c>
      <c r="D5054" s="368">
        <f>IFERROR((INDEX(METADATA!$T$2:$T$20,MATCH(B5054,METADATA!$S$2:$S$20,0))),0)</f>
        <v>0</v>
      </c>
      <c r="E5054" s="312" t="str">
        <f t="shared" si="312"/>
        <v>LO</v>
      </c>
      <c r="F5054" s="369">
        <f>VLOOKUP(C5054,METADATA!$A$5:$H$29,IF(E5054="HI",2,IF(E5054="LO",6,10))+IF(D5054=1,2,IF(D5054=7,1,(IF(WEEKDAY(B5054)=1,2,IF(WEEKDAY(B5054)=7,1,0))))))</f>
        <v>2</v>
      </c>
      <c r="G5054" s="369">
        <f>VLOOKUP(C5054,METADATA!$J$5:$Q$29,IF(E5054="HI",2,IF(E5054="LO",6,10))+IF(D5054=1,2,IF(D5054=7,1,(IF(WEEKDAY(B5054)=1,2,IF(WEEKDAY(B5054)=7,1,0))))))</f>
        <v>2</v>
      </c>
      <c r="H5054" s="370">
        <v>11679.000122070313</v>
      </c>
      <c r="I5054" s="370">
        <v>9749.449951171875</v>
      </c>
      <c r="M5054" s="371">
        <f t="shared" si="313"/>
        <v>15213.507754680497</v>
      </c>
      <c r="N5054" s="329">
        <f t="shared" si="314"/>
        <v>6245.7499145507809</v>
      </c>
      <c r="T5054" s="331">
        <v>0</v>
      </c>
      <c r="U5054" s="328">
        <f>VLOOKUP(C5054,METADATA!$J$5:$Q$29,IF(E5054="HI",2,IF(E5054="LO",6,10))+IF(T5054=1,2,IF(D5054=7,1,(IF(WEEKDAY(B5054)=1,2,IF(WEEKDAY(B5054)=7,1,0))))))</f>
        <v>2</v>
      </c>
      <c r="V5054" s="328">
        <f>VLOOKUP(C5054,METADATA!$A$5:$H$29,IF(E5054="HI",2,IF(E5054="LO",6,10))+IF(T5054=1,2,IF(D5054=7,1,(IF(WEEKDAY(B5054)=1,2,IF(WEEKDAY(B5054)=7,1,0))))))</f>
        <v>2</v>
      </c>
    </row>
    <row r="5055" spans="2:22">
      <c r="B5055" s="318">
        <f t="shared" si="315"/>
        <v>46323</v>
      </c>
      <c r="C5055" s="312">
        <v>11</v>
      </c>
      <c r="D5055" s="368">
        <f>IFERROR((INDEX(METADATA!$T$2:$T$20,MATCH(B5055,METADATA!$S$2:$S$20,0))),0)</f>
        <v>0</v>
      </c>
      <c r="E5055" s="312" t="str">
        <f t="shared" si="312"/>
        <v>LO</v>
      </c>
      <c r="F5055" s="369">
        <f>VLOOKUP(C5055,METADATA!$A$5:$H$29,IF(E5055="HI",2,IF(E5055="LO",6,10))+IF(D5055=1,2,IF(D5055=7,1,(IF(WEEKDAY(B5055)=1,2,IF(WEEKDAY(B5055)=7,1,0))))))</f>
        <v>2</v>
      </c>
      <c r="G5055" s="369">
        <f>VLOOKUP(C5055,METADATA!$J$5:$Q$29,IF(E5055="HI",2,IF(E5055="LO",6,10))+IF(D5055=1,2,IF(D5055=7,1,(IF(WEEKDAY(B5055)=1,2,IF(WEEKDAY(B5055)=7,1,0))))))</f>
        <v>2</v>
      </c>
      <c r="H5055" s="370">
        <v>11695.525085449219</v>
      </c>
      <c r="I5055" s="370">
        <v>9756.5</v>
      </c>
      <c r="M5055" s="371">
        <f t="shared" si="313"/>
        <v>15230.712369235129</v>
      </c>
      <c r="N5055" s="329">
        <f t="shared" si="314"/>
        <v>6247.842474365234</v>
      </c>
      <c r="T5055" s="331">
        <v>0</v>
      </c>
      <c r="U5055" s="328">
        <f>VLOOKUP(C5055,METADATA!$J$5:$Q$29,IF(E5055="HI",2,IF(E5055="LO",6,10))+IF(T5055=1,2,IF(D5055=7,1,(IF(WEEKDAY(B5055)=1,2,IF(WEEKDAY(B5055)=7,1,0))))))</f>
        <v>2</v>
      </c>
      <c r="V5055" s="328">
        <f>VLOOKUP(C5055,METADATA!$A$5:$H$29,IF(E5055="HI",2,IF(E5055="LO",6,10))+IF(T5055=1,2,IF(D5055=7,1,(IF(WEEKDAY(B5055)=1,2,IF(WEEKDAY(B5055)=7,1,0))))))</f>
        <v>2</v>
      </c>
    </row>
    <row r="5056" spans="2:22">
      <c r="B5056" s="318">
        <f t="shared" si="315"/>
        <v>46323</v>
      </c>
      <c r="C5056" s="312">
        <v>12</v>
      </c>
      <c r="D5056" s="368">
        <f>IFERROR((INDEX(METADATA!$T$2:$T$20,MATCH(B5056,METADATA!$S$2:$S$20,0))),0)</f>
        <v>0</v>
      </c>
      <c r="E5056" s="312" t="str">
        <f t="shared" si="312"/>
        <v>LO</v>
      </c>
      <c r="F5056" s="369">
        <f>VLOOKUP(C5056,METADATA!$A$5:$H$29,IF(E5056="HI",2,IF(E5056="LO",6,10))+IF(D5056=1,2,IF(D5056=7,1,(IF(WEEKDAY(B5056)=1,2,IF(WEEKDAY(B5056)=7,1,0))))))</f>
        <v>2</v>
      </c>
      <c r="G5056" s="369">
        <f>VLOOKUP(C5056,METADATA!$J$5:$Q$29,IF(E5056="HI",2,IF(E5056="LO",6,10))+IF(D5056=1,2,IF(D5056=7,1,(IF(WEEKDAY(B5056)=1,2,IF(WEEKDAY(B5056)=7,1,0))))))</f>
        <v>2</v>
      </c>
      <c r="H5056" s="370">
        <v>11732.999938964844</v>
      </c>
      <c r="I5056" s="370">
        <v>9568.6751708984375</v>
      </c>
      <c r="M5056" s="371">
        <f t="shared" si="313"/>
        <v>15140.106739845571</v>
      </c>
      <c r="N5056" s="329">
        <f t="shared" si="314"/>
        <v>6048.7751892089846</v>
      </c>
      <c r="T5056" s="331">
        <v>0</v>
      </c>
      <c r="U5056" s="328">
        <f>VLOOKUP(C5056,METADATA!$J$5:$Q$29,IF(E5056="HI",2,IF(E5056="LO",6,10))+IF(T5056=1,2,IF(D5056=7,1,(IF(WEEKDAY(B5056)=1,2,IF(WEEKDAY(B5056)=7,1,0))))))</f>
        <v>2</v>
      </c>
      <c r="V5056" s="328">
        <f>VLOOKUP(C5056,METADATA!$A$5:$H$29,IF(E5056="HI",2,IF(E5056="LO",6,10))+IF(T5056=1,2,IF(D5056=7,1,(IF(WEEKDAY(B5056)=1,2,IF(WEEKDAY(B5056)=7,1,0))))))</f>
        <v>2</v>
      </c>
    </row>
    <row r="5057" spans="2:22">
      <c r="B5057" s="318">
        <f t="shared" si="315"/>
        <v>46323</v>
      </c>
      <c r="C5057" s="312">
        <v>13</v>
      </c>
      <c r="D5057" s="368">
        <f>IFERROR((INDEX(METADATA!$T$2:$T$20,MATCH(B5057,METADATA!$S$2:$S$20,0))),0)</f>
        <v>0</v>
      </c>
      <c r="E5057" s="312" t="str">
        <f t="shared" si="312"/>
        <v>LO</v>
      </c>
      <c r="F5057" s="369">
        <f>VLOOKUP(C5057,METADATA!$A$5:$H$29,IF(E5057="HI",2,IF(E5057="LO",6,10))+IF(D5057=1,2,IF(D5057=7,1,(IF(WEEKDAY(B5057)=1,2,IF(WEEKDAY(B5057)=7,1,0))))))</f>
        <v>2</v>
      </c>
      <c r="G5057" s="369">
        <f>VLOOKUP(C5057,METADATA!$J$5:$Q$29,IF(E5057="HI",2,IF(E5057="LO",6,10))+IF(D5057=1,2,IF(D5057=7,1,(IF(WEEKDAY(B5057)=1,2,IF(WEEKDAY(B5057)=7,1,0))))))</f>
        <v>2</v>
      </c>
      <c r="H5057" s="370">
        <v>11718.474975585938</v>
      </c>
      <c r="I5057" s="370">
        <v>9491.7749633789063</v>
      </c>
      <c r="M5057" s="371">
        <f t="shared" si="313"/>
        <v>15080.333143165653</v>
      </c>
      <c r="N5057" s="329">
        <f t="shared" si="314"/>
        <v>5976.2324707031257</v>
      </c>
      <c r="T5057" s="331">
        <v>0</v>
      </c>
      <c r="U5057" s="328">
        <f>VLOOKUP(C5057,METADATA!$J$5:$Q$29,IF(E5057="HI",2,IF(E5057="LO",6,10))+IF(T5057=1,2,IF(D5057=7,1,(IF(WEEKDAY(B5057)=1,2,IF(WEEKDAY(B5057)=7,1,0))))))</f>
        <v>2</v>
      </c>
      <c r="V5057" s="328">
        <f>VLOOKUP(C5057,METADATA!$A$5:$H$29,IF(E5057="HI",2,IF(E5057="LO",6,10))+IF(T5057=1,2,IF(D5057=7,1,(IF(WEEKDAY(B5057)=1,2,IF(WEEKDAY(B5057)=7,1,0))))))</f>
        <v>2</v>
      </c>
    </row>
    <row r="5058" spans="2:22">
      <c r="B5058" s="318">
        <f t="shared" si="315"/>
        <v>46323</v>
      </c>
      <c r="C5058" s="312">
        <v>14</v>
      </c>
      <c r="D5058" s="368">
        <f>IFERROR((INDEX(METADATA!$T$2:$T$20,MATCH(B5058,METADATA!$S$2:$S$20,0))),0)</f>
        <v>0</v>
      </c>
      <c r="E5058" s="312" t="str">
        <f t="shared" si="312"/>
        <v>LO</v>
      </c>
      <c r="F5058" s="369">
        <f>VLOOKUP(C5058,METADATA!$A$5:$H$29,IF(E5058="HI",2,IF(E5058="LO",6,10))+IF(D5058=1,2,IF(D5058=7,1,(IF(WEEKDAY(B5058)=1,2,IF(WEEKDAY(B5058)=7,1,0))))))</f>
        <v>2</v>
      </c>
      <c r="G5058" s="369">
        <f>VLOOKUP(C5058,METADATA!$J$5:$Q$29,IF(E5058="HI",2,IF(E5058="LO",6,10))+IF(D5058=1,2,IF(D5058=7,1,(IF(WEEKDAY(B5058)=1,2,IF(WEEKDAY(B5058)=7,1,0))))))</f>
        <v>2</v>
      </c>
      <c r="H5058" s="370">
        <v>10328.5</v>
      </c>
      <c r="I5058" s="370">
        <v>8737.5349426269531</v>
      </c>
      <c r="M5058" s="371">
        <f t="shared" si="313"/>
        <v>13528.578237332518</v>
      </c>
      <c r="N5058" s="329">
        <f t="shared" si="314"/>
        <v>5638.9849426269539</v>
      </c>
      <c r="T5058" s="331">
        <v>0</v>
      </c>
      <c r="U5058" s="328">
        <f>VLOOKUP(C5058,METADATA!$J$5:$Q$29,IF(E5058="HI",2,IF(E5058="LO",6,10))+IF(T5058=1,2,IF(D5058=7,1,(IF(WEEKDAY(B5058)=1,2,IF(WEEKDAY(B5058)=7,1,0))))))</f>
        <v>2</v>
      </c>
      <c r="V5058" s="328">
        <f>VLOOKUP(C5058,METADATA!$A$5:$H$29,IF(E5058="HI",2,IF(E5058="LO",6,10))+IF(T5058=1,2,IF(D5058=7,1,(IF(WEEKDAY(B5058)=1,2,IF(WEEKDAY(B5058)=7,1,0))))))</f>
        <v>2</v>
      </c>
    </row>
    <row r="5059" spans="2:22">
      <c r="B5059" s="318">
        <f t="shared" si="315"/>
        <v>46323</v>
      </c>
      <c r="C5059" s="312">
        <v>15</v>
      </c>
      <c r="D5059" s="368">
        <f>IFERROR((INDEX(METADATA!$T$2:$T$20,MATCH(B5059,METADATA!$S$2:$S$20,0))),0)</f>
        <v>0</v>
      </c>
      <c r="E5059" s="312" t="str">
        <f t="shared" si="312"/>
        <v>LO</v>
      </c>
      <c r="F5059" s="369">
        <f>VLOOKUP(C5059,METADATA!$A$5:$H$29,IF(E5059="HI",2,IF(E5059="LO",6,10))+IF(D5059=1,2,IF(D5059=7,1,(IF(WEEKDAY(B5059)=1,2,IF(WEEKDAY(B5059)=7,1,0))))))</f>
        <v>2</v>
      </c>
      <c r="G5059" s="369">
        <f>VLOOKUP(C5059,METADATA!$J$5:$Q$29,IF(E5059="HI",2,IF(E5059="LO",6,10))+IF(D5059=1,2,IF(D5059=7,1,(IF(WEEKDAY(B5059)=1,2,IF(WEEKDAY(B5059)=7,1,0))))))</f>
        <v>2</v>
      </c>
      <c r="H5059" s="370">
        <v>9944</v>
      </c>
      <c r="I5059" s="370">
        <v>8503.1549682617188</v>
      </c>
      <c r="M5059" s="371">
        <f t="shared" si="313"/>
        <v>13083.836609124784</v>
      </c>
      <c r="N5059" s="329">
        <f t="shared" si="314"/>
        <v>5519.9549682617189</v>
      </c>
      <c r="T5059" s="331">
        <v>0</v>
      </c>
      <c r="U5059" s="328">
        <f>VLOOKUP(C5059,METADATA!$J$5:$Q$29,IF(E5059="HI",2,IF(E5059="LO",6,10))+IF(T5059=1,2,IF(D5059=7,1,(IF(WEEKDAY(B5059)=1,2,IF(WEEKDAY(B5059)=7,1,0))))))</f>
        <v>2</v>
      </c>
      <c r="V5059" s="328">
        <f>VLOOKUP(C5059,METADATA!$A$5:$H$29,IF(E5059="HI",2,IF(E5059="LO",6,10))+IF(T5059=1,2,IF(D5059=7,1,(IF(WEEKDAY(B5059)=1,2,IF(WEEKDAY(B5059)=7,1,0))))))</f>
        <v>2</v>
      </c>
    </row>
    <row r="5060" spans="2:22">
      <c r="B5060" s="318">
        <f t="shared" si="315"/>
        <v>46323</v>
      </c>
      <c r="C5060" s="312">
        <v>16</v>
      </c>
      <c r="D5060" s="368">
        <f>IFERROR((INDEX(METADATA!$T$2:$T$20,MATCH(B5060,METADATA!$S$2:$S$20,0))),0)</f>
        <v>0</v>
      </c>
      <c r="E5060" s="312" t="str">
        <f t="shared" ref="E5060:E5123" si="316">IF(B5060="","",IF(AND(MONTH(B5060)&gt;=MONTH($Z$9),MONTH(B5060)&lt;=MONTH($Z$11)),"HI","LO"))</f>
        <v>LO</v>
      </c>
      <c r="F5060" s="369">
        <f>VLOOKUP(C5060,METADATA!$A$5:$H$29,IF(E5060="HI",2,IF(E5060="LO",6,10))+IF(D5060=1,2,IF(D5060=7,1,(IF(WEEKDAY(B5060)=1,2,IF(WEEKDAY(B5060)=7,1,0))))))</f>
        <v>2</v>
      </c>
      <c r="G5060" s="369">
        <f>VLOOKUP(C5060,METADATA!$J$5:$Q$29,IF(E5060="HI",2,IF(E5060="LO",6,10))+IF(D5060=1,2,IF(D5060=7,1,(IF(WEEKDAY(B5060)=1,2,IF(WEEKDAY(B5060)=7,1,0))))))</f>
        <v>2</v>
      </c>
      <c r="H5060" s="370">
        <v>11244.824951171875</v>
      </c>
      <c r="I5060" s="370">
        <v>9267.0875854492188</v>
      </c>
      <c r="M5060" s="371">
        <f t="shared" ref="M5060:M5123" si="317">SQRT(H5060^2+I5060^2)</f>
        <v>14571.376067444166</v>
      </c>
      <c r="N5060" s="329">
        <f t="shared" ref="N5060:N5123" si="318">IF(H5060=0,0,(IF(I5060-(0.3*H5060)&lt;0,0,(I5060-(0.3*H5060)))))</f>
        <v>5893.6401000976566</v>
      </c>
      <c r="T5060" s="331">
        <v>0</v>
      </c>
      <c r="U5060" s="328">
        <f>VLOOKUP(C5060,METADATA!$J$5:$Q$29,IF(E5060="HI",2,IF(E5060="LO",6,10))+IF(T5060=1,2,IF(D5060=7,1,(IF(WEEKDAY(B5060)=1,2,IF(WEEKDAY(B5060)=7,1,0))))))</f>
        <v>2</v>
      </c>
      <c r="V5060" s="328">
        <f>VLOOKUP(C5060,METADATA!$A$5:$H$29,IF(E5060="HI",2,IF(E5060="LO",6,10))+IF(T5060=1,2,IF(D5060=7,1,(IF(WEEKDAY(B5060)=1,2,IF(WEEKDAY(B5060)=7,1,0))))))</f>
        <v>2</v>
      </c>
    </row>
    <row r="5061" spans="2:22">
      <c r="B5061" s="318">
        <f t="shared" si="315"/>
        <v>46323</v>
      </c>
      <c r="C5061" s="312">
        <v>17</v>
      </c>
      <c r="D5061" s="368">
        <f>IFERROR((INDEX(METADATA!$T$2:$T$20,MATCH(B5061,METADATA!$S$2:$S$20,0))),0)</f>
        <v>0</v>
      </c>
      <c r="E5061" s="312" t="str">
        <f t="shared" si="316"/>
        <v>LO</v>
      </c>
      <c r="F5061" s="369">
        <f>VLOOKUP(C5061,METADATA!$A$5:$H$29,IF(E5061="HI",2,IF(E5061="LO",6,10))+IF(D5061=1,2,IF(D5061=7,1,(IF(WEEKDAY(B5061)=1,2,IF(WEEKDAY(B5061)=7,1,0))))))</f>
        <v>2</v>
      </c>
      <c r="G5061" s="369">
        <f>VLOOKUP(C5061,METADATA!$J$5:$Q$29,IF(E5061="HI",2,IF(E5061="LO",6,10))+IF(D5061=1,2,IF(D5061=7,1,(IF(WEEKDAY(B5061)=1,2,IF(WEEKDAY(B5061)=7,1,0))))))</f>
        <v>2</v>
      </c>
      <c r="H5061" s="370">
        <v>12409.175048828125</v>
      </c>
      <c r="I5061" s="370">
        <v>9903.449951171875</v>
      </c>
      <c r="M5061" s="371">
        <f t="shared" si="317"/>
        <v>15876.584844601331</v>
      </c>
      <c r="N5061" s="329">
        <f t="shared" si="318"/>
        <v>6180.6974365234382</v>
      </c>
      <c r="T5061" s="331">
        <v>0</v>
      </c>
      <c r="U5061" s="328">
        <f>VLOOKUP(C5061,METADATA!$J$5:$Q$29,IF(E5061="HI",2,IF(E5061="LO",6,10))+IF(T5061=1,2,IF(D5061=7,1,(IF(WEEKDAY(B5061)=1,2,IF(WEEKDAY(B5061)=7,1,0))))))</f>
        <v>2</v>
      </c>
      <c r="V5061" s="328">
        <f>VLOOKUP(C5061,METADATA!$A$5:$H$29,IF(E5061="HI",2,IF(E5061="LO",6,10))+IF(T5061=1,2,IF(D5061=7,1,(IF(WEEKDAY(B5061)=1,2,IF(WEEKDAY(B5061)=7,1,0))))))</f>
        <v>2</v>
      </c>
    </row>
    <row r="5062" spans="2:22">
      <c r="B5062" s="318">
        <f t="shared" si="315"/>
        <v>46323</v>
      </c>
      <c r="C5062" s="312">
        <v>18</v>
      </c>
      <c r="D5062" s="368">
        <f>IFERROR((INDEX(METADATA!$T$2:$T$20,MATCH(B5062,METADATA!$S$2:$S$20,0))),0)</f>
        <v>0</v>
      </c>
      <c r="E5062" s="312" t="str">
        <f t="shared" si="316"/>
        <v>LO</v>
      </c>
      <c r="F5062" s="369">
        <f>VLOOKUP(C5062,METADATA!$A$5:$H$29,IF(E5062="HI",2,IF(E5062="LO",6,10))+IF(D5062=1,2,IF(D5062=7,1,(IF(WEEKDAY(B5062)=1,2,IF(WEEKDAY(B5062)=7,1,0))))))</f>
        <v>1</v>
      </c>
      <c r="G5062" s="369">
        <f>VLOOKUP(C5062,METADATA!$J$5:$Q$29,IF(E5062="HI",2,IF(E5062="LO",6,10))+IF(D5062=1,2,IF(D5062=7,1,(IF(WEEKDAY(B5062)=1,2,IF(WEEKDAY(B5062)=7,1,0))))))</f>
        <v>1</v>
      </c>
      <c r="H5062" s="370">
        <v>12346.22509765625</v>
      </c>
      <c r="I5062" s="370">
        <v>9681.3250122070313</v>
      </c>
      <c r="M5062" s="371">
        <f t="shared" si="317"/>
        <v>15689.401778078811</v>
      </c>
      <c r="N5062" s="329">
        <f t="shared" si="318"/>
        <v>5977.4574829101566</v>
      </c>
      <c r="T5062" s="331">
        <v>0</v>
      </c>
      <c r="U5062" s="328">
        <f>VLOOKUP(C5062,METADATA!$J$5:$Q$29,IF(E5062="HI",2,IF(E5062="LO",6,10))+IF(T5062=1,2,IF(D5062=7,1,(IF(WEEKDAY(B5062)=1,2,IF(WEEKDAY(B5062)=7,1,0))))))</f>
        <v>1</v>
      </c>
      <c r="V5062" s="328">
        <f>VLOOKUP(C5062,METADATA!$A$5:$H$29,IF(E5062="HI",2,IF(E5062="LO",6,10))+IF(T5062=1,2,IF(D5062=7,1,(IF(WEEKDAY(B5062)=1,2,IF(WEEKDAY(B5062)=7,1,0))))))</f>
        <v>1</v>
      </c>
    </row>
    <row r="5063" spans="2:22">
      <c r="B5063" s="318">
        <f t="shared" si="315"/>
        <v>46323</v>
      </c>
      <c r="C5063" s="312">
        <v>19</v>
      </c>
      <c r="D5063" s="368">
        <f>IFERROR((INDEX(METADATA!$T$2:$T$20,MATCH(B5063,METADATA!$S$2:$S$20,0))),0)</f>
        <v>0</v>
      </c>
      <c r="E5063" s="312" t="str">
        <f t="shared" si="316"/>
        <v>LO</v>
      </c>
      <c r="F5063" s="369">
        <f>VLOOKUP(C5063,METADATA!$A$5:$H$29,IF(E5063="HI",2,IF(E5063="LO",6,10))+IF(D5063=1,2,IF(D5063=7,1,(IF(WEEKDAY(B5063)=1,2,IF(WEEKDAY(B5063)=7,1,0))))))</f>
        <v>1</v>
      </c>
      <c r="G5063" s="369">
        <f>VLOOKUP(C5063,METADATA!$J$5:$Q$29,IF(E5063="HI",2,IF(E5063="LO",6,10))+IF(D5063=1,2,IF(D5063=7,1,(IF(WEEKDAY(B5063)=1,2,IF(WEEKDAY(B5063)=7,1,0))))))</f>
        <v>1</v>
      </c>
      <c r="H5063" s="370">
        <v>12361.950073242188</v>
      </c>
      <c r="I5063" s="370">
        <v>9815.324951171875</v>
      </c>
      <c r="M5063" s="371">
        <f t="shared" si="317"/>
        <v>15784.752564117996</v>
      </c>
      <c r="N5063" s="329">
        <f t="shared" si="318"/>
        <v>6106.7399291992188</v>
      </c>
      <c r="T5063" s="331">
        <v>0</v>
      </c>
      <c r="U5063" s="328">
        <f>VLOOKUP(C5063,METADATA!$J$5:$Q$29,IF(E5063="HI",2,IF(E5063="LO",6,10))+IF(T5063=1,2,IF(D5063=7,1,(IF(WEEKDAY(B5063)=1,2,IF(WEEKDAY(B5063)=7,1,0))))))</f>
        <v>1</v>
      </c>
      <c r="V5063" s="328">
        <f>VLOOKUP(C5063,METADATA!$A$5:$H$29,IF(E5063="HI",2,IF(E5063="LO",6,10))+IF(T5063=1,2,IF(D5063=7,1,(IF(WEEKDAY(B5063)=1,2,IF(WEEKDAY(B5063)=7,1,0))))))</f>
        <v>1</v>
      </c>
    </row>
    <row r="5064" spans="2:22">
      <c r="B5064" s="318">
        <f t="shared" si="315"/>
        <v>46323</v>
      </c>
      <c r="C5064" s="312">
        <v>20</v>
      </c>
      <c r="D5064" s="368">
        <f>IFERROR((INDEX(METADATA!$T$2:$T$20,MATCH(B5064,METADATA!$S$2:$S$20,0))),0)</f>
        <v>0</v>
      </c>
      <c r="E5064" s="312" t="str">
        <f t="shared" si="316"/>
        <v>LO</v>
      </c>
      <c r="F5064" s="369">
        <f>VLOOKUP(C5064,METADATA!$A$5:$H$29,IF(E5064="HI",2,IF(E5064="LO",6,10))+IF(D5064=1,2,IF(D5064=7,1,(IF(WEEKDAY(B5064)=1,2,IF(WEEKDAY(B5064)=7,1,0))))))</f>
        <v>1</v>
      </c>
      <c r="G5064" s="369">
        <f>VLOOKUP(C5064,METADATA!$J$5:$Q$29,IF(E5064="HI",2,IF(E5064="LO",6,10))+IF(D5064=1,2,IF(D5064=7,1,(IF(WEEKDAY(B5064)=1,2,IF(WEEKDAY(B5064)=7,1,0))))))</f>
        <v>1</v>
      </c>
      <c r="H5064" s="370">
        <v>12258.124755859375</v>
      </c>
      <c r="I5064" s="370">
        <v>9812.5999145507813</v>
      </c>
      <c r="M5064" s="371">
        <f t="shared" si="317"/>
        <v>15701.870576885241</v>
      </c>
      <c r="N5064" s="329">
        <f t="shared" si="318"/>
        <v>6135.1624877929689</v>
      </c>
      <c r="T5064" s="331">
        <v>0</v>
      </c>
      <c r="U5064" s="328">
        <f>VLOOKUP(C5064,METADATA!$J$5:$Q$29,IF(E5064="HI",2,IF(E5064="LO",6,10))+IF(T5064=1,2,IF(D5064=7,1,(IF(WEEKDAY(B5064)=1,2,IF(WEEKDAY(B5064)=7,1,0))))))</f>
        <v>1</v>
      </c>
      <c r="V5064" s="328">
        <f>VLOOKUP(C5064,METADATA!$A$5:$H$29,IF(E5064="HI",2,IF(E5064="LO",6,10))+IF(T5064=1,2,IF(D5064=7,1,(IF(WEEKDAY(B5064)=1,2,IF(WEEKDAY(B5064)=7,1,0))))))</f>
        <v>1</v>
      </c>
    </row>
    <row r="5065" spans="2:22">
      <c r="B5065" s="318">
        <f t="shared" si="315"/>
        <v>46323</v>
      </c>
      <c r="C5065" s="312">
        <v>21</v>
      </c>
      <c r="D5065" s="368">
        <f>IFERROR((INDEX(METADATA!$T$2:$T$20,MATCH(B5065,METADATA!$S$2:$S$20,0))),0)</f>
        <v>0</v>
      </c>
      <c r="E5065" s="312" t="str">
        <f t="shared" si="316"/>
        <v>LO</v>
      </c>
      <c r="F5065" s="369">
        <f>VLOOKUP(C5065,METADATA!$A$5:$H$29,IF(E5065="HI",2,IF(E5065="LO",6,10))+IF(D5065=1,2,IF(D5065=7,1,(IF(WEEKDAY(B5065)=1,2,IF(WEEKDAY(B5065)=7,1,0))))))</f>
        <v>2</v>
      </c>
      <c r="G5065" s="369">
        <f>VLOOKUP(C5065,METADATA!$J$5:$Q$29,IF(E5065="HI",2,IF(E5065="LO",6,10))+IF(D5065=1,2,IF(D5065=7,1,(IF(WEEKDAY(B5065)=1,2,IF(WEEKDAY(B5065)=7,1,0))))))</f>
        <v>2</v>
      </c>
      <c r="H5065" s="370">
        <v>12312.900146484375</v>
      </c>
      <c r="I5065" s="370">
        <v>9791.0750122070313</v>
      </c>
      <c r="M5065" s="371">
        <f t="shared" si="317"/>
        <v>15731.263773516732</v>
      </c>
      <c r="N5065" s="329">
        <f t="shared" si="318"/>
        <v>6097.2049682617189</v>
      </c>
      <c r="T5065" s="331">
        <v>0</v>
      </c>
      <c r="U5065" s="328">
        <f>VLOOKUP(C5065,METADATA!$J$5:$Q$29,IF(E5065="HI",2,IF(E5065="LO",6,10))+IF(T5065=1,2,IF(D5065=7,1,(IF(WEEKDAY(B5065)=1,2,IF(WEEKDAY(B5065)=7,1,0))))))</f>
        <v>2</v>
      </c>
      <c r="V5065" s="328">
        <f>VLOOKUP(C5065,METADATA!$A$5:$H$29,IF(E5065="HI",2,IF(E5065="LO",6,10))+IF(T5065=1,2,IF(D5065=7,1,(IF(WEEKDAY(B5065)=1,2,IF(WEEKDAY(B5065)=7,1,0))))))</f>
        <v>2</v>
      </c>
    </row>
    <row r="5066" spans="2:22">
      <c r="B5066" s="318">
        <f t="shared" si="315"/>
        <v>46323</v>
      </c>
      <c r="C5066" s="312">
        <v>22</v>
      </c>
      <c r="D5066" s="368">
        <f>IFERROR((INDEX(METADATA!$T$2:$T$20,MATCH(B5066,METADATA!$S$2:$S$20,0))),0)</f>
        <v>0</v>
      </c>
      <c r="E5066" s="312" t="str">
        <f t="shared" si="316"/>
        <v>LO</v>
      </c>
      <c r="F5066" s="369">
        <f>VLOOKUP(C5066,METADATA!$A$5:$H$29,IF(E5066="HI",2,IF(E5066="LO",6,10))+IF(D5066=1,2,IF(D5066=7,1,(IF(WEEKDAY(B5066)=1,2,IF(WEEKDAY(B5066)=7,1,0))))))</f>
        <v>3</v>
      </c>
      <c r="G5066" s="369">
        <f>VLOOKUP(C5066,METADATA!$J$5:$Q$29,IF(E5066="HI",2,IF(E5066="LO",6,10))+IF(D5066=1,2,IF(D5066=7,1,(IF(WEEKDAY(B5066)=1,2,IF(WEEKDAY(B5066)=7,1,0))))))</f>
        <v>3</v>
      </c>
      <c r="H5066" s="370">
        <v>12262.950073242188</v>
      </c>
      <c r="I5066" s="370">
        <v>9664.900146484375</v>
      </c>
      <c r="M5066" s="371">
        <f t="shared" si="317"/>
        <v>15613.783633070629</v>
      </c>
      <c r="N5066" s="329">
        <f t="shared" si="318"/>
        <v>5986.0151245117195</v>
      </c>
      <c r="T5066" s="331">
        <v>0</v>
      </c>
      <c r="U5066" s="328">
        <f>VLOOKUP(C5066,METADATA!$J$5:$Q$29,IF(E5066="HI",2,IF(E5066="LO",6,10))+IF(T5066=1,2,IF(D5066=7,1,(IF(WEEKDAY(B5066)=1,2,IF(WEEKDAY(B5066)=7,1,0))))))</f>
        <v>3</v>
      </c>
      <c r="V5066" s="328">
        <f>VLOOKUP(C5066,METADATA!$A$5:$H$29,IF(E5066="HI",2,IF(E5066="LO",6,10))+IF(T5066=1,2,IF(D5066=7,1,(IF(WEEKDAY(B5066)=1,2,IF(WEEKDAY(B5066)=7,1,0))))))</f>
        <v>3</v>
      </c>
    </row>
    <row r="5067" spans="2:22">
      <c r="B5067" s="318">
        <f t="shared" si="315"/>
        <v>46323</v>
      </c>
      <c r="C5067" s="312">
        <v>23</v>
      </c>
      <c r="D5067" s="368">
        <f>IFERROR((INDEX(METADATA!$T$2:$T$20,MATCH(B5067,METADATA!$S$2:$S$20,0))),0)</f>
        <v>0</v>
      </c>
      <c r="E5067" s="312" t="str">
        <f t="shared" si="316"/>
        <v>LO</v>
      </c>
      <c r="F5067" s="369">
        <f>VLOOKUP(C5067,METADATA!$A$5:$H$29,IF(E5067="HI",2,IF(E5067="LO",6,10))+IF(D5067=1,2,IF(D5067=7,1,(IF(WEEKDAY(B5067)=1,2,IF(WEEKDAY(B5067)=7,1,0))))))</f>
        <v>3</v>
      </c>
      <c r="G5067" s="369">
        <f>VLOOKUP(C5067,METADATA!$J$5:$Q$29,IF(E5067="HI",2,IF(E5067="LO",6,10))+IF(D5067=1,2,IF(D5067=7,1,(IF(WEEKDAY(B5067)=1,2,IF(WEEKDAY(B5067)=7,1,0))))))</f>
        <v>3</v>
      </c>
      <c r="H5067" s="370">
        <v>8235.8499755859375</v>
      </c>
      <c r="I5067" s="370">
        <v>7919.7250366210938</v>
      </c>
      <c r="M5067" s="371">
        <f t="shared" si="317"/>
        <v>11425.903442443485</v>
      </c>
      <c r="N5067" s="329">
        <f t="shared" si="318"/>
        <v>5448.9700439453127</v>
      </c>
      <c r="T5067" s="331">
        <v>0</v>
      </c>
      <c r="U5067" s="328">
        <f>VLOOKUP(C5067,METADATA!$J$5:$Q$29,IF(E5067="HI",2,IF(E5067="LO",6,10))+IF(T5067=1,2,IF(D5067=7,1,(IF(WEEKDAY(B5067)=1,2,IF(WEEKDAY(B5067)=7,1,0))))))</f>
        <v>3</v>
      </c>
      <c r="V5067" s="328">
        <f>VLOOKUP(C5067,METADATA!$A$5:$H$29,IF(E5067="HI",2,IF(E5067="LO",6,10))+IF(T5067=1,2,IF(D5067=7,1,(IF(WEEKDAY(B5067)=1,2,IF(WEEKDAY(B5067)=7,1,0))))))</f>
        <v>3</v>
      </c>
    </row>
    <row r="5068" spans="2:22">
      <c r="B5068" s="318">
        <f t="shared" si="315"/>
        <v>46324</v>
      </c>
      <c r="C5068" s="312">
        <v>0</v>
      </c>
      <c r="D5068" s="368">
        <f>IFERROR((INDEX(METADATA!$T$2:$T$20,MATCH(B5068,METADATA!$S$2:$S$20,0))),0)</f>
        <v>0</v>
      </c>
      <c r="E5068" s="312" t="str">
        <f t="shared" si="316"/>
        <v>LO</v>
      </c>
      <c r="F5068" s="369">
        <f>VLOOKUP(C5068,METADATA!$A$5:$H$29,IF(E5068="HI",2,IF(E5068="LO",6,10))+IF(D5068=1,2,IF(D5068=7,1,(IF(WEEKDAY(B5068)=1,2,IF(WEEKDAY(B5068)=7,1,0))))))</f>
        <v>3</v>
      </c>
      <c r="G5068" s="369">
        <f>VLOOKUP(C5068,METADATA!$J$5:$Q$29,IF(E5068="HI",2,IF(E5068="LO",6,10))+IF(D5068=1,2,IF(D5068=7,1,(IF(WEEKDAY(B5068)=1,2,IF(WEEKDAY(B5068)=7,1,0))))))</f>
        <v>3</v>
      </c>
      <c r="H5068" s="370">
        <v>12288.699829101563</v>
      </c>
      <c r="I5068" s="370">
        <v>9952.449951171875</v>
      </c>
      <c r="M5068" s="371">
        <f t="shared" si="317"/>
        <v>15813.393169093779</v>
      </c>
      <c r="N5068" s="329">
        <f t="shared" si="318"/>
        <v>6265.8400024414059</v>
      </c>
      <c r="T5068" s="331">
        <v>0</v>
      </c>
      <c r="U5068" s="328">
        <f>VLOOKUP(C5068,METADATA!$J$5:$Q$29,IF(E5068="HI",2,IF(E5068="LO",6,10))+IF(T5068=1,2,IF(D5068=7,1,(IF(WEEKDAY(B5068)=1,2,IF(WEEKDAY(B5068)=7,1,0))))))</f>
        <v>3</v>
      </c>
      <c r="V5068" s="328">
        <f>VLOOKUP(C5068,METADATA!$A$5:$H$29,IF(E5068="HI",2,IF(E5068="LO",6,10))+IF(T5068=1,2,IF(D5068=7,1,(IF(WEEKDAY(B5068)=1,2,IF(WEEKDAY(B5068)=7,1,0))))))</f>
        <v>3</v>
      </c>
    </row>
    <row r="5069" spans="2:22">
      <c r="B5069" s="318">
        <f t="shared" si="315"/>
        <v>46324</v>
      </c>
      <c r="C5069" s="312">
        <v>1</v>
      </c>
      <c r="D5069" s="368">
        <f>IFERROR((INDEX(METADATA!$T$2:$T$20,MATCH(B5069,METADATA!$S$2:$S$20,0))),0)</f>
        <v>0</v>
      </c>
      <c r="E5069" s="312" t="str">
        <f t="shared" si="316"/>
        <v>LO</v>
      </c>
      <c r="F5069" s="369">
        <f>VLOOKUP(C5069,METADATA!$A$5:$H$29,IF(E5069="HI",2,IF(E5069="LO",6,10))+IF(D5069=1,2,IF(D5069=7,1,(IF(WEEKDAY(B5069)=1,2,IF(WEEKDAY(B5069)=7,1,0))))))</f>
        <v>3</v>
      </c>
      <c r="G5069" s="369">
        <f>VLOOKUP(C5069,METADATA!$J$5:$Q$29,IF(E5069="HI",2,IF(E5069="LO",6,10))+IF(D5069=1,2,IF(D5069=7,1,(IF(WEEKDAY(B5069)=1,2,IF(WEEKDAY(B5069)=7,1,0))))))</f>
        <v>3</v>
      </c>
      <c r="H5069" s="370">
        <v>12341.057556152344</v>
      </c>
      <c r="I5069" s="370">
        <v>10023.533996582031</v>
      </c>
      <c r="M5069" s="371">
        <f t="shared" si="317"/>
        <v>15898.834403342296</v>
      </c>
      <c r="N5069" s="329">
        <f t="shared" si="318"/>
        <v>6321.2167297363285</v>
      </c>
      <c r="T5069" s="331">
        <v>0</v>
      </c>
      <c r="U5069" s="328">
        <f>VLOOKUP(C5069,METADATA!$J$5:$Q$29,IF(E5069="HI",2,IF(E5069="LO",6,10))+IF(T5069=1,2,IF(D5069=7,1,(IF(WEEKDAY(B5069)=1,2,IF(WEEKDAY(B5069)=7,1,0))))))</f>
        <v>3</v>
      </c>
      <c r="V5069" s="328">
        <f>VLOOKUP(C5069,METADATA!$A$5:$H$29,IF(E5069="HI",2,IF(E5069="LO",6,10))+IF(T5069=1,2,IF(D5069=7,1,(IF(WEEKDAY(B5069)=1,2,IF(WEEKDAY(B5069)=7,1,0))))))</f>
        <v>3</v>
      </c>
    </row>
    <row r="5070" spans="2:22">
      <c r="B5070" s="318">
        <f t="shared" si="315"/>
        <v>46324</v>
      </c>
      <c r="C5070" s="312">
        <v>2</v>
      </c>
      <c r="D5070" s="368">
        <f>IFERROR((INDEX(METADATA!$T$2:$T$20,MATCH(B5070,METADATA!$S$2:$S$20,0))),0)</f>
        <v>0</v>
      </c>
      <c r="E5070" s="312" t="str">
        <f t="shared" si="316"/>
        <v>LO</v>
      </c>
      <c r="F5070" s="369">
        <f>VLOOKUP(C5070,METADATA!$A$5:$H$29,IF(E5070="HI",2,IF(E5070="LO",6,10))+IF(D5070=1,2,IF(D5070=7,1,(IF(WEEKDAY(B5070)=1,2,IF(WEEKDAY(B5070)=7,1,0))))))</f>
        <v>3</v>
      </c>
      <c r="G5070" s="369">
        <f>VLOOKUP(C5070,METADATA!$J$5:$Q$29,IF(E5070="HI",2,IF(E5070="LO",6,10))+IF(D5070=1,2,IF(D5070=7,1,(IF(WEEKDAY(B5070)=1,2,IF(WEEKDAY(B5070)=7,1,0))))))</f>
        <v>3</v>
      </c>
      <c r="H5070" s="370">
        <v>12145.625122070313</v>
      </c>
      <c r="I5070" s="370">
        <v>9699.800048828125</v>
      </c>
      <c r="M5070" s="371">
        <f t="shared" si="317"/>
        <v>15543.562352083629</v>
      </c>
      <c r="N5070" s="329">
        <f t="shared" si="318"/>
        <v>6056.1125122070316</v>
      </c>
      <c r="T5070" s="331">
        <v>0</v>
      </c>
      <c r="U5070" s="328">
        <f>VLOOKUP(C5070,METADATA!$J$5:$Q$29,IF(E5070="HI",2,IF(E5070="LO",6,10))+IF(T5070=1,2,IF(D5070=7,1,(IF(WEEKDAY(B5070)=1,2,IF(WEEKDAY(B5070)=7,1,0))))))</f>
        <v>3</v>
      </c>
      <c r="V5070" s="328">
        <f>VLOOKUP(C5070,METADATA!$A$5:$H$29,IF(E5070="HI",2,IF(E5070="LO",6,10))+IF(T5070=1,2,IF(D5070=7,1,(IF(WEEKDAY(B5070)=1,2,IF(WEEKDAY(B5070)=7,1,0))))))</f>
        <v>3</v>
      </c>
    </row>
    <row r="5071" spans="2:22">
      <c r="B5071" s="318">
        <f t="shared" si="315"/>
        <v>46324</v>
      </c>
      <c r="C5071" s="312">
        <v>3</v>
      </c>
      <c r="D5071" s="368">
        <f>IFERROR((INDEX(METADATA!$T$2:$T$20,MATCH(B5071,METADATA!$S$2:$S$20,0))),0)</f>
        <v>0</v>
      </c>
      <c r="E5071" s="312" t="str">
        <f t="shared" si="316"/>
        <v>LO</v>
      </c>
      <c r="F5071" s="369">
        <f>VLOOKUP(C5071,METADATA!$A$5:$H$29,IF(E5071="HI",2,IF(E5071="LO",6,10))+IF(D5071=1,2,IF(D5071=7,1,(IF(WEEKDAY(B5071)=1,2,IF(WEEKDAY(B5071)=7,1,0))))))</f>
        <v>3</v>
      </c>
      <c r="G5071" s="369">
        <f>VLOOKUP(C5071,METADATA!$J$5:$Q$29,IF(E5071="HI",2,IF(E5071="LO",6,10))+IF(D5071=1,2,IF(D5071=7,1,(IF(WEEKDAY(B5071)=1,2,IF(WEEKDAY(B5071)=7,1,0))))))</f>
        <v>3</v>
      </c>
      <c r="H5071" s="370">
        <v>12076.324951171875</v>
      </c>
      <c r="I5071" s="370">
        <v>9672.9501342773438</v>
      </c>
      <c r="M5071" s="371">
        <f t="shared" si="317"/>
        <v>15472.672316911274</v>
      </c>
      <c r="N5071" s="329">
        <f t="shared" si="318"/>
        <v>6050.0526489257809</v>
      </c>
      <c r="T5071" s="331">
        <v>0</v>
      </c>
      <c r="U5071" s="328">
        <f>VLOOKUP(C5071,METADATA!$J$5:$Q$29,IF(E5071="HI",2,IF(E5071="LO",6,10))+IF(T5071=1,2,IF(D5071=7,1,(IF(WEEKDAY(B5071)=1,2,IF(WEEKDAY(B5071)=7,1,0))))))</f>
        <v>3</v>
      </c>
      <c r="V5071" s="328">
        <f>VLOOKUP(C5071,METADATA!$A$5:$H$29,IF(E5071="HI",2,IF(E5071="LO",6,10))+IF(T5071=1,2,IF(D5071=7,1,(IF(WEEKDAY(B5071)=1,2,IF(WEEKDAY(B5071)=7,1,0))))))</f>
        <v>3</v>
      </c>
    </row>
    <row r="5072" spans="2:22">
      <c r="B5072" s="318">
        <f t="shared" si="315"/>
        <v>46324</v>
      </c>
      <c r="C5072" s="312">
        <v>4</v>
      </c>
      <c r="D5072" s="368">
        <f>IFERROR((INDEX(METADATA!$T$2:$T$20,MATCH(B5072,METADATA!$S$2:$S$20,0))),0)</f>
        <v>0</v>
      </c>
      <c r="E5072" s="312" t="str">
        <f t="shared" si="316"/>
        <v>LO</v>
      </c>
      <c r="F5072" s="369">
        <f>VLOOKUP(C5072,METADATA!$A$5:$H$29,IF(E5072="HI",2,IF(E5072="LO",6,10))+IF(D5072=1,2,IF(D5072=7,1,(IF(WEEKDAY(B5072)=1,2,IF(WEEKDAY(B5072)=7,1,0))))))</f>
        <v>3</v>
      </c>
      <c r="G5072" s="369">
        <f>VLOOKUP(C5072,METADATA!$J$5:$Q$29,IF(E5072="HI",2,IF(E5072="LO",6,10))+IF(D5072=1,2,IF(D5072=7,1,(IF(WEEKDAY(B5072)=1,2,IF(WEEKDAY(B5072)=7,1,0))))))</f>
        <v>3</v>
      </c>
      <c r="H5072" s="370">
        <v>12243.575073242188</v>
      </c>
      <c r="I5072" s="370">
        <v>9619.6498413085938</v>
      </c>
      <c r="M5072" s="371">
        <f t="shared" si="317"/>
        <v>15570.574608649029</v>
      </c>
      <c r="N5072" s="329">
        <f t="shared" si="318"/>
        <v>5946.5773193359382</v>
      </c>
      <c r="T5072" s="331">
        <v>0</v>
      </c>
      <c r="U5072" s="328">
        <f>VLOOKUP(C5072,METADATA!$J$5:$Q$29,IF(E5072="HI",2,IF(E5072="LO",6,10))+IF(T5072=1,2,IF(D5072=7,1,(IF(WEEKDAY(B5072)=1,2,IF(WEEKDAY(B5072)=7,1,0))))))</f>
        <v>3</v>
      </c>
      <c r="V5072" s="328">
        <f>VLOOKUP(C5072,METADATA!$A$5:$H$29,IF(E5072="HI",2,IF(E5072="LO",6,10))+IF(T5072=1,2,IF(D5072=7,1,(IF(WEEKDAY(B5072)=1,2,IF(WEEKDAY(B5072)=7,1,0))))))</f>
        <v>3</v>
      </c>
    </row>
    <row r="5073" spans="2:22">
      <c r="B5073" s="318">
        <f t="shared" si="315"/>
        <v>46324</v>
      </c>
      <c r="C5073" s="312">
        <v>5</v>
      </c>
      <c r="D5073" s="368">
        <f>IFERROR((INDEX(METADATA!$T$2:$T$20,MATCH(B5073,METADATA!$S$2:$S$20,0))),0)</f>
        <v>0</v>
      </c>
      <c r="E5073" s="312" t="str">
        <f t="shared" si="316"/>
        <v>LO</v>
      </c>
      <c r="F5073" s="369">
        <f>VLOOKUP(C5073,METADATA!$A$5:$H$29,IF(E5073="HI",2,IF(E5073="LO",6,10))+IF(D5073=1,2,IF(D5073=7,1,(IF(WEEKDAY(B5073)=1,2,IF(WEEKDAY(B5073)=7,1,0))))))</f>
        <v>3</v>
      </c>
      <c r="G5073" s="369">
        <f>VLOOKUP(C5073,METADATA!$J$5:$Q$29,IF(E5073="HI",2,IF(E5073="LO",6,10))+IF(D5073=1,2,IF(D5073=7,1,(IF(WEEKDAY(B5073)=1,2,IF(WEEKDAY(B5073)=7,1,0))))))</f>
        <v>3</v>
      </c>
      <c r="H5073" s="370">
        <v>12140.64990234375</v>
      </c>
      <c r="I5073" s="370">
        <v>9548.0748291015625</v>
      </c>
      <c r="M5073" s="371">
        <f t="shared" si="317"/>
        <v>15445.423690964328</v>
      </c>
      <c r="N5073" s="329">
        <f t="shared" si="318"/>
        <v>5905.8798583984371</v>
      </c>
      <c r="T5073" s="331">
        <v>0</v>
      </c>
      <c r="U5073" s="328">
        <f>VLOOKUP(C5073,METADATA!$J$5:$Q$29,IF(E5073="HI",2,IF(E5073="LO",6,10))+IF(T5073=1,2,IF(D5073=7,1,(IF(WEEKDAY(B5073)=1,2,IF(WEEKDAY(B5073)=7,1,0))))))</f>
        <v>3</v>
      </c>
      <c r="V5073" s="328">
        <f>VLOOKUP(C5073,METADATA!$A$5:$H$29,IF(E5073="HI",2,IF(E5073="LO",6,10))+IF(T5073=1,2,IF(D5073=7,1,(IF(WEEKDAY(B5073)=1,2,IF(WEEKDAY(B5073)=7,1,0))))))</f>
        <v>3</v>
      </c>
    </row>
    <row r="5074" spans="2:22">
      <c r="B5074" s="318">
        <f t="shared" si="315"/>
        <v>46324</v>
      </c>
      <c r="C5074" s="312">
        <v>6</v>
      </c>
      <c r="D5074" s="368">
        <f>IFERROR((INDEX(METADATA!$T$2:$T$20,MATCH(B5074,METADATA!$S$2:$S$20,0))),0)</f>
        <v>0</v>
      </c>
      <c r="E5074" s="312" t="str">
        <f t="shared" si="316"/>
        <v>LO</v>
      </c>
      <c r="F5074" s="369">
        <f>VLOOKUP(C5074,METADATA!$A$5:$H$29,IF(E5074="HI",2,IF(E5074="LO",6,10))+IF(D5074=1,2,IF(D5074=7,1,(IF(WEEKDAY(B5074)=1,2,IF(WEEKDAY(B5074)=7,1,0))))))</f>
        <v>2</v>
      </c>
      <c r="G5074" s="369">
        <f>VLOOKUP(C5074,METADATA!$J$5:$Q$29,IF(E5074="HI",2,IF(E5074="LO",6,10))+IF(D5074=1,2,IF(D5074=7,1,(IF(WEEKDAY(B5074)=1,2,IF(WEEKDAY(B5074)=7,1,0))))))</f>
        <v>2</v>
      </c>
      <c r="H5074" s="370">
        <v>12164.149780273438</v>
      </c>
      <c r="I5074" s="370">
        <v>9534.7750244140625</v>
      </c>
      <c r="M5074" s="371">
        <f t="shared" si="317"/>
        <v>15455.693923053615</v>
      </c>
      <c r="N5074" s="329">
        <f t="shared" si="318"/>
        <v>5885.5300903320313</v>
      </c>
      <c r="T5074" s="331">
        <v>0</v>
      </c>
      <c r="U5074" s="328">
        <f>VLOOKUP(C5074,METADATA!$J$5:$Q$29,IF(E5074="HI",2,IF(E5074="LO",6,10))+IF(T5074=1,2,IF(D5074=7,1,(IF(WEEKDAY(B5074)=1,2,IF(WEEKDAY(B5074)=7,1,0))))))</f>
        <v>2</v>
      </c>
      <c r="V5074" s="328">
        <f>VLOOKUP(C5074,METADATA!$A$5:$H$29,IF(E5074="HI",2,IF(E5074="LO",6,10))+IF(T5074=1,2,IF(D5074=7,1,(IF(WEEKDAY(B5074)=1,2,IF(WEEKDAY(B5074)=7,1,0))))))</f>
        <v>2</v>
      </c>
    </row>
    <row r="5075" spans="2:22">
      <c r="B5075" s="318">
        <f t="shared" si="315"/>
        <v>46324</v>
      </c>
      <c r="C5075" s="312">
        <v>7</v>
      </c>
      <c r="D5075" s="368">
        <f>IFERROR((INDEX(METADATA!$T$2:$T$20,MATCH(B5075,METADATA!$S$2:$S$20,0))),0)</f>
        <v>0</v>
      </c>
      <c r="E5075" s="312" t="str">
        <f t="shared" si="316"/>
        <v>LO</v>
      </c>
      <c r="F5075" s="369">
        <f>VLOOKUP(C5075,METADATA!$A$5:$H$29,IF(E5075="HI",2,IF(E5075="LO",6,10))+IF(D5075=1,2,IF(D5075=7,1,(IF(WEEKDAY(B5075)=1,2,IF(WEEKDAY(B5075)=7,1,0))))))</f>
        <v>1</v>
      </c>
      <c r="G5075" s="369">
        <f>VLOOKUP(C5075,METADATA!$J$5:$Q$29,IF(E5075="HI",2,IF(E5075="LO",6,10))+IF(D5075=1,2,IF(D5075=7,1,(IF(WEEKDAY(B5075)=1,2,IF(WEEKDAY(B5075)=7,1,0))))))</f>
        <v>1</v>
      </c>
      <c r="H5075" s="370">
        <v>12250.949951171875</v>
      </c>
      <c r="I5075" s="370">
        <v>9595.89990234375</v>
      </c>
      <c r="M5075" s="371">
        <f t="shared" si="317"/>
        <v>15561.718081301915</v>
      </c>
      <c r="N5075" s="329">
        <f t="shared" si="318"/>
        <v>5920.6149169921882</v>
      </c>
      <c r="T5075" s="331">
        <v>0</v>
      </c>
      <c r="U5075" s="328">
        <f>VLOOKUP(C5075,METADATA!$J$5:$Q$29,IF(E5075="HI",2,IF(E5075="LO",6,10))+IF(T5075=1,2,IF(D5075=7,1,(IF(WEEKDAY(B5075)=1,2,IF(WEEKDAY(B5075)=7,1,0))))))</f>
        <v>1</v>
      </c>
      <c r="V5075" s="328">
        <f>VLOOKUP(C5075,METADATA!$A$5:$H$29,IF(E5075="HI",2,IF(E5075="LO",6,10))+IF(T5075=1,2,IF(D5075=7,1,(IF(WEEKDAY(B5075)=1,2,IF(WEEKDAY(B5075)=7,1,0))))))</f>
        <v>1</v>
      </c>
    </row>
    <row r="5076" spans="2:22">
      <c r="B5076" s="318">
        <f t="shared" si="315"/>
        <v>46324</v>
      </c>
      <c r="C5076" s="312">
        <v>8</v>
      </c>
      <c r="D5076" s="368">
        <f>IFERROR((INDEX(METADATA!$T$2:$T$20,MATCH(B5076,METADATA!$S$2:$S$20,0))),0)</f>
        <v>0</v>
      </c>
      <c r="E5076" s="312" t="str">
        <f t="shared" si="316"/>
        <v>LO</v>
      </c>
      <c r="F5076" s="369">
        <f>VLOOKUP(C5076,METADATA!$A$5:$H$29,IF(E5076="HI",2,IF(E5076="LO",6,10))+IF(D5076=1,2,IF(D5076=7,1,(IF(WEEKDAY(B5076)=1,2,IF(WEEKDAY(B5076)=7,1,0))))))</f>
        <v>1</v>
      </c>
      <c r="G5076" s="369">
        <f>VLOOKUP(C5076,METADATA!$J$5:$Q$29,IF(E5076="HI",2,IF(E5076="LO",6,10))+IF(D5076=1,2,IF(D5076=7,1,(IF(WEEKDAY(B5076)=1,2,IF(WEEKDAY(B5076)=7,1,0))))))</f>
        <v>1</v>
      </c>
      <c r="H5076" s="370">
        <v>12432.77490234375</v>
      </c>
      <c r="I5076" s="370">
        <v>9693.6500244140625</v>
      </c>
      <c r="M5076" s="371">
        <f t="shared" si="317"/>
        <v>15765.174993261933</v>
      </c>
      <c r="N5076" s="329">
        <f t="shared" si="318"/>
        <v>5963.8175537109382</v>
      </c>
      <c r="T5076" s="331">
        <v>0</v>
      </c>
      <c r="U5076" s="328">
        <f>VLOOKUP(C5076,METADATA!$J$5:$Q$29,IF(E5076="HI",2,IF(E5076="LO",6,10))+IF(T5076=1,2,IF(D5076=7,1,(IF(WEEKDAY(B5076)=1,2,IF(WEEKDAY(B5076)=7,1,0))))))</f>
        <v>1</v>
      </c>
      <c r="V5076" s="328">
        <f>VLOOKUP(C5076,METADATA!$A$5:$H$29,IF(E5076="HI",2,IF(E5076="LO",6,10))+IF(T5076=1,2,IF(D5076=7,1,(IF(WEEKDAY(B5076)=1,2,IF(WEEKDAY(B5076)=7,1,0))))))</f>
        <v>1</v>
      </c>
    </row>
    <row r="5077" spans="2:22">
      <c r="B5077" s="318">
        <f t="shared" si="315"/>
        <v>46324</v>
      </c>
      <c r="C5077" s="312">
        <v>9</v>
      </c>
      <c r="D5077" s="368">
        <f>IFERROR((INDEX(METADATA!$T$2:$T$20,MATCH(B5077,METADATA!$S$2:$S$20,0))),0)</f>
        <v>0</v>
      </c>
      <c r="E5077" s="312" t="str">
        <f t="shared" si="316"/>
        <v>LO</v>
      </c>
      <c r="F5077" s="369">
        <f>VLOOKUP(C5077,METADATA!$A$5:$H$29,IF(E5077="HI",2,IF(E5077="LO",6,10))+IF(D5077=1,2,IF(D5077=7,1,(IF(WEEKDAY(B5077)=1,2,IF(WEEKDAY(B5077)=7,1,0))))))</f>
        <v>2</v>
      </c>
      <c r="G5077" s="369">
        <f>VLOOKUP(C5077,METADATA!$J$5:$Q$29,IF(E5077="HI",2,IF(E5077="LO",6,10))+IF(D5077=1,2,IF(D5077=7,1,(IF(WEEKDAY(B5077)=1,2,IF(WEEKDAY(B5077)=7,1,0))))))</f>
        <v>2</v>
      </c>
      <c r="H5077" s="370">
        <v>10987.699951171875</v>
      </c>
      <c r="I5077" s="370">
        <v>8990.2625732421875</v>
      </c>
      <c r="M5077" s="371">
        <f t="shared" si="317"/>
        <v>14196.984586623374</v>
      </c>
      <c r="N5077" s="329">
        <f t="shared" si="318"/>
        <v>5693.9525878906252</v>
      </c>
      <c r="T5077" s="331">
        <v>0</v>
      </c>
      <c r="U5077" s="328">
        <f>VLOOKUP(C5077,METADATA!$J$5:$Q$29,IF(E5077="HI",2,IF(E5077="LO",6,10))+IF(T5077=1,2,IF(D5077=7,1,(IF(WEEKDAY(B5077)=1,2,IF(WEEKDAY(B5077)=7,1,0))))))</f>
        <v>2</v>
      </c>
      <c r="V5077" s="328">
        <f>VLOOKUP(C5077,METADATA!$A$5:$H$29,IF(E5077="HI",2,IF(E5077="LO",6,10))+IF(T5077=1,2,IF(D5077=7,1,(IF(WEEKDAY(B5077)=1,2,IF(WEEKDAY(B5077)=7,1,0))))))</f>
        <v>2</v>
      </c>
    </row>
    <row r="5078" spans="2:22">
      <c r="B5078" s="318">
        <f t="shared" si="315"/>
        <v>46324</v>
      </c>
      <c r="C5078" s="312">
        <v>10</v>
      </c>
      <c r="D5078" s="368">
        <f>IFERROR((INDEX(METADATA!$T$2:$T$20,MATCH(B5078,METADATA!$S$2:$S$20,0))),0)</f>
        <v>0</v>
      </c>
      <c r="E5078" s="312" t="str">
        <f t="shared" si="316"/>
        <v>LO</v>
      </c>
      <c r="F5078" s="369">
        <f>VLOOKUP(C5078,METADATA!$A$5:$H$29,IF(E5078="HI",2,IF(E5078="LO",6,10))+IF(D5078=1,2,IF(D5078=7,1,(IF(WEEKDAY(B5078)=1,2,IF(WEEKDAY(B5078)=7,1,0))))))</f>
        <v>2</v>
      </c>
      <c r="G5078" s="369">
        <f>VLOOKUP(C5078,METADATA!$J$5:$Q$29,IF(E5078="HI",2,IF(E5078="LO",6,10))+IF(D5078=1,2,IF(D5078=7,1,(IF(WEEKDAY(B5078)=1,2,IF(WEEKDAY(B5078)=7,1,0))))))</f>
        <v>2</v>
      </c>
      <c r="H5078" s="370">
        <v>10418.150024414063</v>
      </c>
      <c r="I5078" s="370">
        <v>8638.289794921875</v>
      </c>
      <c r="M5078" s="371">
        <f t="shared" si="317"/>
        <v>13533.584170952281</v>
      </c>
      <c r="N5078" s="329">
        <f t="shared" si="318"/>
        <v>5512.8447875976563</v>
      </c>
      <c r="T5078" s="331">
        <v>0</v>
      </c>
      <c r="U5078" s="328">
        <f>VLOOKUP(C5078,METADATA!$J$5:$Q$29,IF(E5078="HI",2,IF(E5078="LO",6,10))+IF(T5078=1,2,IF(D5078=7,1,(IF(WEEKDAY(B5078)=1,2,IF(WEEKDAY(B5078)=7,1,0))))))</f>
        <v>2</v>
      </c>
      <c r="V5078" s="328">
        <f>VLOOKUP(C5078,METADATA!$A$5:$H$29,IF(E5078="HI",2,IF(E5078="LO",6,10))+IF(T5078=1,2,IF(D5078=7,1,(IF(WEEKDAY(B5078)=1,2,IF(WEEKDAY(B5078)=7,1,0))))))</f>
        <v>2</v>
      </c>
    </row>
    <row r="5079" spans="2:22">
      <c r="B5079" s="318">
        <f t="shared" si="315"/>
        <v>46324</v>
      </c>
      <c r="C5079" s="312">
        <v>11</v>
      </c>
      <c r="D5079" s="368">
        <f>IFERROR((INDEX(METADATA!$T$2:$T$20,MATCH(B5079,METADATA!$S$2:$S$20,0))),0)</f>
        <v>0</v>
      </c>
      <c r="E5079" s="312" t="str">
        <f t="shared" si="316"/>
        <v>LO</v>
      </c>
      <c r="F5079" s="369">
        <f>VLOOKUP(C5079,METADATA!$A$5:$H$29,IF(E5079="HI",2,IF(E5079="LO",6,10))+IF(D5079=1,2,IF(D5079=7,1,(IF(WEEKDAY(B5079)=1,2,IF(WEEKDAY(B5079)=7,1,0))))))</f>
        <v>2</v>
      </c>
      <c r="G5079" s="369">
        <f>VLOOKUP(C5079,METADATA!$J$5:$Q$29,IF(E5079="HI",2,IF(E5079="LO",6,10))+IF(D5079=1,2,IF(D5079=7,1,(IF(WEEKDAY(B5079)=1,2,IF(WEEKDAY(B5079)=7,1,0))))))</f>
        <v>2</v>
      </c>
      <c r="H5079" s="370">
        <v>11746.625061035156</v>
      </c>
      <c r="I5079" s="370">
        <v>9348.8250122070313</v>
      </c>
      <c r="M5079" s="371">
        <f t="shared" si="317"/>
        <v>15012.78553211918</v>
      </c>
      <c r="N5079" s="329">
        <f t="shared" si="318"/>
        <v>5824.8374938964844</v>
      </c>
      <c r="T5079" s="331">
        <v>0</v>
      </c>
      <c r="U5079" s="328">
        <f>VLOOKUP(C5079,METADATA!$J$5:$Q$29,IF(E5079="HI",2,IF(E5079="LO",6,10))+IF(T5079=1,2,IF(D5079=7,1,(IF(WEEKDAY(B5079)=1,2,IF(WEEKDAY(B5079)=7,1,0))))))</f>
        <v>2</v>
      </c>
      <c r="V5079" s="328">
        <f>VLOOKUP(C5079,METADATA!$A$5:$H$29,IF(E5079="HI",2,IF(E5079="LO",6,10))+IF(T5079=1,2,IF(D5079=7,1,(IF(WEEKDAY(B5079)=1,2,IF(WEEKDAY(B5079)=7,1,0))))))</f>
        <v>2</v>
      </c>
    </row>
    <row r="5080" spans="2:22">
      <c r="B5080" s="318">
        <f t="shared" si="315"/>
        <v>46324</v>
      </c>
      <c r="C5080" s="312">
        <v>12</v>
      </c>
      <c r="D5080" s="368">
        <f>IFERROR((INDEX(METADATA!$T$2:$T$20,MATCH(B5080,METADATA!$S$2:$S$20,0))),0)</f>
        <v>0</v>
      </c>
      <c r="E5080" s="312" t="str">
        <f t="shared" si="316"/>
        <v>LO</v>
      </c>
      <c r="F5080" s="369">
        <f>VLOOKUP(C5080,METADATA!$A$5:$H$29,IF(E5080="HI",2,IF(E5080="LO",6,10))+IF(D5080=1,2,IF(D5080=7,1,(IF(WEEKDAY(B5080)=1,2,IF(WEEKDAY(B5080)=7,1,0))))))</f>
        <v>2</v>
      </c>
      <c r="G5080" s="369">
        <f>VLOOKUP(C5080,METADATA!$J$5:$Q$29,IF(E5080="HI",2,IF(E5080="LO",6,10))+IF(D5080=1,2,IF(D5080=7,1,(IF(WEEKDAY(B5080)=1,2,IF(WEEKDAY(B5080)=7,1,0))))))</f>
        <v>2</v>
      </c>
      <c r="H5080" s="370">
        <v>11863.10009765625</v>
      </c>
      <c r="I5080" s="370">
        <v>9566.2498779296875</v>
      </c>
      <c r="M5080" s="371">
        <f t="shared" si="317"/>
        <v>15239.628625855732</v>
      </c>
      <c r="N5080" s="329">
        <f t="shared" si="318"/>
        <v>6007.3198486328129</v>
      </c>
      <c r="T5080" s="331">
        <v>0</v>
      </c>
      <c r="U5080" s="328">
        <f>VLOOKUP(C5080,METADATA!$J$5:$Q$29,IF(E5080="HI",2,IF(E5080="LO",6,10))+IF(T5080=1,2,IF(D5080=7,1,(IF(WEEKDAY(B5080)=1,2,IF(WEEKDAY(B5080)=7,1,0))))))</f>
        <v>2</v>
      </c>
      <c r="V5080" s="328">
        <f>VLOOKUP(C5080,METADATA!$A$5:$H$29,IF(E5080="HI",2,IF(E5080="LO",6,10))+IF(T5080=1,2,IF(D5080=7,1,(IF(WEEKDAY(B5080)=1,2,IF(WEEKDAY(B5080)=7,1,0))))))</f>
        <v>2</v>
      </c>
    </row>
    <row r="5081" spans="2:22">
      <c r="B5081" s="318">
        <f t="shared" si="315"/>
        <v>46324</v>
      </c>
      <c r="C5081" s="312">
        <v>13</v>
      </c>
      <c r="D5081" s="368">
        <f>IFERROR((INDEX(METADATA!$T$2:$T$20,MATCH(B5081,METADATA!$S$2:$S$20,0))),0)</f>
        <v>0</v>
      </c>
      <c r="E5081" s="312" t="str">
        <f t="shared" si="316"/>
        <v>LO</v>
      </c>
      <c r="F5081" s="369">
        <f>VLOOKUP(C5081,METADATA!$A$5:$H$29,IF(E5081="HI",2,IF(E5081="LO",6,10))+IF(D5081=1,2,IF(D5081=7,1,(IF(WEEKDAY(B5081)=1,2,IF(WEEKDAY(B5081)=7,1,0))))))</f>
        <v>2</v>
      </c>
      <c r="G5081" s="369">
        <f>VLOOKUP(C5081,METADATA!$J$5:$Q$29,IF(E5081="HI",2,IF(E5081="LO",6,10))+IF(D5081=1,2,IF(D5081=7,1,(IF(WEEKDAY(B5081)=1,2,IF(WEEKDAY(B5081)=7,1,0))))))</f>
        <v>2</v>
      </c>
      <c r="H5081" s="370">
        <v>11861.325012207031</v>
      </c>
      <c r="I5081" s="370">
        <v>9638.6499633789063</v>
      </c>
      <c r="M5081" s="371">
        <f t="shared" si="317"/>
        <v>15283.802019188561</v>
      </c>
      <c r="N5081" s="329">
        <f t="shared" si="318"/>
        <v>6080.2524597167976</v>
      </c>
      <c r="T5081" s="331">
        <v>0</v>
      </c>
      <c r="U5081" s="328">
        <f>VLOOKUP(C5081,METADATA!$J$5:$Q$29,IF(E5081="HI",2,IF(E5081="LO",6,10))+IF(T5081=1,2,IF(D5081=7,1,(IF(WEEKDAY(B5081)=1,2,IF(WEEKDAY(B5081)=7,1,0))))))</f>
        <v>2</v>
      </c>
      <c r="V5081" s="328">
        <f>VLOOKUP(C5081,METADATA!$A$5:$H$29,IF(E5081="HI",2,IF(E5081="LO",6,10))+IF(T5081=1,2,IF(D5081=7,1,(IF(WEEKDAY(B5081)=1,2,IF(WEEKDAY(B5081)=7,1,0))))))</f>
        <v>2</v>
      </c>
    </row>
    <row r="5082" spans="2:22">
      <c r="B5082" s="318">
        <f t="shared" si="315"/>
        <v>46324</v>
      </c>
      <c r="C5082" s="312">
        <v>14</v>
      </c>
      <c r="D5082" s="368">
        <f>IFERROR((INDEX(METADATA!$T$2:$T$20,MATCH(B5082,METADATA!$S$2:$S$20,0))),0)</f>
        <v>0</v>
      </c>
      <c r="E5082" s="312" t="str">
        <f t="shared" si="316"/>
        <v>LO</v>
      </c>
      <c r="F5082" s="369">
        <f>VLOOKUP(C5082,METADATA!$A$5:$H$29,IF(E5082="HI",2,IF(E5082="LO",6,10))+IF(D5082=1,2,IF(D5082=7,1,(IF(WEEKDAY(B5082)=1,2,IF(WEEKDAY(B5082)=7,1,0))))))</f>
        <v>2</v>
      </c>
      <c r="G5082" s="369">
        <f>VLOOKUP(C5082,METADATA!$J$5:$Q$29,IF(E5082="HI",2,IF(E5082="LO",6,10))+IF(D5082=1,2,IF(D5082=7,1,(IF(WEEKDAY(B5082)=1,2,IF(WEEKDAY(B5082)=7,1,0))))))</f>
        <v>2</v>
      </c>
      <c r="H5082" s="370">
        <v>12166.924987792969</v>
      </c>
      <c r="I5082" s="370">
        <v>10094.175109863281</v>
      </c>
      <c r="M5082" s="371">
        <f t="shared" si="317"/>
        <v>15809.061794020678</v>
      </c>
      <c r="N5082" s="329">
        <f t="shared" si="318"/>
        <v>6444.0976135253914</v>
      </c>
      <c r="T5082" s="331">
        <v>0</v>
      </c>
      <c r="U5082" s="328">
        <f>VLOOKUP(C5082,METADATA!$J$5:$Q$29,IF(E5082="HI",2,IF(E5082="LO",6,10))+IF(T5082=1,2,IF(D5082=7,1,(IF(WEEKDAY(B5082)=1,2,IF(WEEKDAY(B5082)=7,1,0))))))</f>
        <v>2</v>
      </c>
      <c r="V5082" s="328">
        <f>VLOOKUP(C5082,METADATA!$A$5:$H$29,IF(E5082="HI",2,IF(E5082="LO",6,10))+IF(T5082=1,2,IF(D5082=7,1,(IF(WEEKDAY(B5082)=1,2,IF(WEEKDAY(B5082)=7,1,0))))))</f>
        <v>2</v>
      </c>
    </row>
    <row r="5083" spans="2:22">
      <c r="B5083" s="318">
        <f t="shared" si="315"/>
        <v>46324</v>
      </c>
      <c r="C5083" s="312">
        <v>15</v>
      </c>
      <c r="D5083" s="368">
        <f>IFERROR((INDEX(METADATA!$T$2:$T$20,MATCH(B5083,METADATA!$S$2:$S$20,0))),0)</f>
        <v>0</v>
      </c>
      <c r="E5083" s="312" t="str">
        <f t="shared" si="316"/>
        <v>LO</v>
      </c>
      <c r="F5083" s="369">
        <f>VLOOKUP(C5083,METADATA!$A$5:$H$29,IF(E5083="HI",2,IF(E5083="LO",6,10))+IF(D5083=1,2,IF(D5083=7,1,(IF(WEEKDAY(B5083)=1,2,IF(WEEKDAY(B5083)=7,1,0))))))</f>
        <v>2</v>
      </c>
      <c r="G5083" s="369">
        <f>VLOOKUP(C5083,METADATA!$J$5:$Q$29,IF(E5083="HI",2,IF(E5083="LO",6,10))+IF(D5083=1,2,IF(D5083=7,1,(IF(WEEKDAY(B5083)=1,2,IF(WEEKDAY(B5083)=7,1,0))))))</f>
        <v>2</v>
      </c>
      <c r="H5083" s="370">
        <v>13090.399780273438</v>
      </c>
      <c r="I5083" s="370">
        <v>10717.375061035156</v>
      </c>
      <c r="M5083" s="371">
        <f t="shared" si="317"/>
        <v>16918.058239830043</v>
      </c>
      <c r="N5083" s="329">
        <f t="shared" si="318"/>
        <v>6790.255126953125</v>
      </c>
      <c r="T5083" s="331">
        <v>0</v>
      </c>
      <c r="U5083" s="328">
        <f>VLOOKUP(C5083,METADATA!$J$5:$Q$29,IF(E5083="HI",2,IF(E5083="LO",6,10))+IF(T5083=1,2,IF(D5083=7,1,(IF(WEEKDAY(B5083)=1,2,IF(WEEKDAY(B5083)=7,1,0))))))</f>
        <v>2</v>
      </c>
      <c r="V5083" s="328">
        <f>VLOOKUP(C5083,METADATA!$A$5:$H$29,IF(E5083="HI",2,IF(E5083="LO",6,10))+IF(T5083=1,2,IF(D5083=7,1,(IF(WEEKDAY(B5083)=1,2,IF(WEEKDAY(B5083)=7,1,0))))))</f>
        <v>2</v>
      </c>
    </row>
    <row r="5084" spans="2:22">
      <c r="B5084" s="318">
        <f t="shared" ref="B5084:B5147" si="319">B5060+1</f>
        <v>46324</v>
      </c>
      <c r="C5084" s="312">
        <v>16</v>
      </c>
      <c r="D5084" s="368">
        <f>IFERROR((INDEX(METADATA!$T$2:$T$20,MATCH(B5084,METADATA!$S$2:$S$20,0))),0)</f>
        <v>0</v>
      </c>
      <c r="E5084" s="312" t="str">
        <f t="shared" si="316"/>
        <v>LO</v>
      </c>
      <c r="F5084" s="369">
        <f>VLOOKUP(C5084,METADATA!$A$5:$H$29,IF(E5084="HI",2,IF(E5084="LO",6,10))+IF(D5084=1,2,IF(D5084=7,1,(IF(WEEKDAY(B5084)=1,2,IF(WEEKDAY(B5084)=7,1,0))))))</f>
        <v>2</v>
      </c>
      <c r="G5084" s="369">
        <f>VLOOKUP(C5084,METADATA!$J$5:$Q$29,IF(E5084="HI",2,IF(E5084="LO",6,10))+IF(D5084=1,2,IF(D5084=7,1,(IF(WEEKDAY(B5084)=1,2,IF(WEEKDAY(B5084)=7,1,0))))))</f>
        <v>2</v>
      </c>
      <c r="H5084" s="370">
        <v>13042.949951171875</v>
      </c>
      <c r="I5084" s="370">
        <v>10772.924987792969</v>
      </c>
      <c r="M5084" s="371">
        <f t="shared" si="317"/>
        <v>16916.691645277115</v>
      </c>
      <c r="N5084" s="329">
        <f t="shared" si="318"/>
        <v>6860.0400024414066</v>
      </c>
      <c r="T5084" s="331">
        <v>0</v>
      </c>
      <c r="U5084" s="328">
        <f>VLOOKUP(C5084,METADATA!$J$5:$Q$29,IF(E5084="HI",2,IF(E5084="LO",6,10))+IF(T5084=1,2,IF(D5084=7,1,(IF(WEEKDAY(B5084)=1,2,IF(WEEKDAY(B5084)=7,1,0))))))</f>
        <v>2</v>
      </c>
      <c r="V5084" s="328">
        <f>VLOOKUP(C5084,METADATA!$A$5:$H$29,IF(E5084="HI",2,IF(E5084="LO",6,10))+IF(T5084=1,2,IF(D5084=7,1,(IF(WEEKDAY(B5084)=1,2,IF(WEEKDAY(B5084)=7,1,0))))))</f>
        <v>2</v>
      </c>
    </row>
    <row r="5085" spans="2:22">
      <c r="B5085" s="318">
        <f t="shared" si="319"/>
        <v>46324</v>
      </c>
      <c r="C5085" s="312">
        <v>17</v>
      </c>
      <c r="D5085" s="368">
        <f>IFERROR((INDEX(METADATA!$T$2:$T$20,MATCH(B5085,METADATA!$S$2:$S$20,0))),0)</f>
        <v>0</v>
      </c>
      <c r="E5085" s="312" t="str">
        <f t="shared" si="316"/>
        <v>LO</v>
      </c>
      <c r="F5085" s="369">
        <f>VLOOKUP(C5085,METADATA!$A$5:$H$29,IF(E5085="HI",2,IF(E5085="LO",6,10))+IF(D5085=1,2,IF(D5085=7,1,(IF(WEEKDAY(B5085)=1,2,IF(WEEKDAY(B5085)=7,1,0))))))</f>
        <v>2</v>
      </c>
      <c r="G5085" s="369">
        <f>VLOOKUP(C5085,METADATA!$J$5:$Q$29,IF(E5085="HI",2,IF(E5085="LO",6,10))+IF(D5085=1,2,IF(D5085=7,1,(IF(WEEKDAY(B5085)=1,2,IF(WEEKDAY(B5085)=7,1,0))))))</f>
        <v>2</v>
      </c>
      <c r="H5085" s="370">
        <v>13004.150024414063</v>
      </c>
      <c r="I5085" s="370">
        <v>10542</v>
      </c>
      <c r="M5085" s="371">
        <f t="shared" si="317"/>
        <v>16740.420599777899</v>
      </c>
      <c r="N5085" s="329">
        <f t="shared" si="318"/>
        <v>6640.754992675782</v>
      </c>
      <c r="T5085" s="331">
        <v>0</v>
      </c>
      <c r="U5085" s="328">
        <f>VLOOKUP(C5085,METADATA!$J$5:$Q$29,IF(E5085="HI",2,IF(E5085="LO",6,10))+IF(T5085=1,2,IF(D5085=7,1,(IF(WEEKDAY(B5085)=1,2,IF(WEEKDAY(B5085)=7,1,0))))))</f>
        <v>2</v>
      </c>
      <c r="V5085" s="328">
        <f>VLOOKUP(C5085,METADATA!$A$5:$H$29,IF(E5085="HI",2,IF(E5085="LO",6,10))+IF(T5085=1,2,IF(D5085=7,1,(IF(WEEKDAY(B5085)=1,2,IF(WEEKDAY(B5085)=7,1,0))))))</f>
        <v>2</v>
      </c>
    </row>
    <row r="5086" spans="2:22">
      <c r="B5086" s="318">
        <f t="shared" si="319"/>
        <v>46324</v>
      </c>
      <c r="C5086" s="312">
        <v>18</v>
      </c>
      <c r="D5086" s="368">
        <f>IFERROR((INDEX(METADATA!$T$2:$T$20,MATCH(B5086,METADATA!$S$2:$S$20,0))),0)</f>
        <v>0</v>
      </c>
      <c r="E5086" s="312" t="str">
        <f t="shared" si="316"/>
        <v>LO</v>
      </c>
      <c r="F5086" s="369">
        <f>VLOOKUP(C5086,METADATA!$A$5:$H$29,IF(E5086="HI",2,IF(E5086="LO",6,10))+IF(D5086=1,2,IF(D5086=7,1,(IF(WEEKDAY(B5086)=1,2,IF(WEEKDAY(B5086)=7,1,0))))))</f>
        <v>1</v>
      </c>
      <c r="G5086" s="369">
        <f>VLOOKUP(C5086,METADATA!$J$5:$Q$29,IF(E5086="HI",2,IF(E5086="LO",6,10))+IF(D5086=1,2,IF(D5086=7,1,(IF(WEEKDAY(B5086)=1,2,IF(WEEKDAY(B5086)=7,1,0))))))</f>
        <v>1</v>
      </c>
      <c r="H5086" s="370">
        <v>13020.749755859375</v>
      </c>
      <c r="I5086" s="370">
        <v>10198.450012207031</v>
      </c>
      <c r="M5086" s="371">
        <f t="shared" si="317"/>
        <v>16539.295839188486</v>
      </c>
      <c r="N5086" s="329">
        <f t="shared" si="318"/>
        <v>6292.2250854492195</v>
      </c>
      <c r="T5086" s="331">
        <v>0</v>
      </c>
      <c r="U5086" s="328">
        <f>VLOOKUP(C5086,METADATA!$J$5:$Q$29,IF(E5086="HI",2,IF(E5086="LO",6,10))+IF(T5086=1,2,IF(D5086=7,1,(IF(WEEKDAY(B5086)=1,2,IF(WEEKDAY(B5086)=7,1,0))))))</f>
        <v>1</v>
      </c>
      <c r="V5086" s="328">
        <f>VLOOKUP(C5086,METADATA!$A$5:$H$29,IF(E5086="HI",2,IF(E5086="LO",6,10))+IF(T5086=1,2,IF(D5086=7,1,(IF(WEEKDAY(B5086)=1,2,IF(WEEKDAY(B5086)=7,1,0))))))</f>
        <v>1</v>
      </c>
    </row>
    <row r="5087" spans="2:22">
      <c r="B5087" s="318">
        <f t="shared" si="319"/>
        <v>46324</v>
      </c>
      <c r="C5087" s="312">
        <v>19</v>
      </c>
      <c r="D5087" s="368">
        <f>IFERROR((INDEX(METADATA!$T$2:$T$20,MATCH(B5087,METADATA!$S$2:$S$20,0))),0)</f>
        <v>0</v>
      </c>
      <c r="E5087" s="312" t="str">
        <f t="shared" si="316"/>
        <v>LO</v>
      </c>
      <c r="F5087" s="369">
        <f>VLOOKUP(C5087,METADATA!$A$5:$H$29,IF(E5087="HI",2,IF(E5087="LO",6,10))+IF(D5087=1,2,IF(D5087=7,1,(IF(WEEKDAY(B5087)=1,2,IF(WEEKDAY(B5087)=7,1,0))))))</f>
        <v>1</v>
      </c>
      <c r="G5087" s="369">
        <f>VLOOKUP(C5087,METADATA!$J$5:$Q$29,IF(E5087="HI",2,IF(E5087="LO",6,10))+IF(D5087=1,2,IF(D5087=7,1,(IF(WEEKDAY(B5087)=1,2,IF(WEEKDAY(B5087)=7,1,0))))))</f>
        <v>1</v>
      </c>
      <c r="H5087" s="370">
        <v>13034.524780273438</v>
      </c>
      <c r="I5087" s="370">
        <v>10226.225036621094</v>
      </c>
      <c r="M5087" s="371">
        <f t="shared" si="317"/>
        <v>16567.272399136145</v>
      </c>
      <c r="N5087" s="329">
        <f t="shared" si="318"/>
        <v>6315.8676025390632</v>
      </c>
      <c r="T5087" s="331">
        <v>0</v>
      </c>
      <c r="U5087" s="328">
        <f>VLOOKUP(C5087,METADATA!$J$5:$Q$29,IF(E5087="HI",2,IF(E5087="LO",6,10))+IF(T5087=1,2,IF(D5087=7,1,(IF(WEEKDAY(B5087)=1,2,IF(WEEKDAY(B5087)=7,1,0))))))</f>
        <v>1</v>
      </c>
      <c r="V5087" s="328">
        <f>VLOOKUP(C5087,METADATA!$A$5:$H$29,IF(E5087="HI",2,IF(E5087="LO",6,10))+IF(T5087=1,2,IF(D5087=7,1,(IF(WEEKDAY(B5087)=1,2,IF(WEEKDAY(B5087)=7,1,0))))))</f>
        <v>1</v>
      </c>
    </row>
    <row r="5088" spans="2:22">
      <c r="B5088" s="318">
        <f t="shared" si="319"/>
        <v>46324</v>
      </c>
      <c r="C5088" s="312">
        <v>20</v>
      </c>
      <c r="D5088" s="368">
        <f>IFERROR((INDEX(METADATA!$T$2:$T$20,MATCH(B5088,METADATA!$S$2:$S$20,0))),0)</f>
        <v>0</v>
      </c>
      <c r="E5088" s="312" t="str">
        <f t="shared" si="316"/>
        <v>LO</v>
      </c>
      <c r="F5088" s="369">
        <f>VLOOKUP(C5088,METADATA!$A$5:$H$29,IF(E5088="HI",2,IF(E5088="LO",6,10))+IF(D5088=1,2,IF(D5088=7,1,(IF(WEEKDAY(B5088)=1,2,IF(WEEKDAY(B5088)=7,1,0))))))</f>
        <v>1</v>
      </c>
      <c r="G5088" s="369">
        <f>VLOOKUP(C5088,METADATA!$J$5:$Q$29,IF(E5088="HI",2,IF(E5088="LO",6,10))+IF(D5088=1,2,IF(D5088=7,1,(IF(WEEKDAY(B5088)=1,2,IF(WEEKDAY(B5088)=7,1,0))))))</f>
        <v>1</v>
      </c>
      <c r="H5088" s="370">
        <v>13122.749816894531</v>
      </c>
      <c r="I5088" s="370">
        <v>10373.700012207031</v>
      </c>
      <c r="M5088" s="371">
        <f t="shared" si="317"/>
        <v>16727.827554708638</v>
      </c>
      <c r="N5088" s="329">
        <f t="shared" si="318"/>
        <v>6436.8750671386715</v>
      </c>
      <c r="T5088" s="331">
        <v>0</v>
      </c>
      <c r="U5088" s="328">
        <f>VLOOKUP(C5088,METADATA!$J$5:$Q$29,IF(E5088="HI",2,IF(E5088="LO",6,10))+IF(T5088=1,2,IF(D5088=7,1,(IF(WEEKDAY(B5088)=1,2,IF(WEEKDAY(B5088)=7,1,0))))))</f>
        <v>1</v>
      </c>
      <c r="V5088" s="328">
        <f>VLOOKUP(C5088,METADATA!$A$5:$H$29,IF(E5088="HI",2,IF(E5088="LO",6,10))+IF(T5088=1,2,IF(D5088=7,1,(IF(WEEKDAY(B5088)=1,2,IF(WEEKDAY(B5088)=7,1,0))))))</f>
        <v>1</v>
      </c>
    </row>
    <row r="5089" spans="2:22">
      <c r="B5089" s="318">
        <f t="shared" si="319"/>
        <v>46324</v>
      </c>
      <c r="C5089" s="312">
        <v>21</v>
      </c>
      <c r="D5089" s="368">
        <f>IFERROR((INDEX(METADATA!$T$2:$T$20,MATCH(B5089,METADATA!$S$2:$S$20,0))),0)</f>
        <v>0</v>
      </c>
      <c r="E5089" s="312" t="str">
        <f t="shared" si="316"/>
        <v>LO</v>
      </c>
      <c r="F5089" s="369">
        <f>VLOOKUP(C5089,METADATA!$A$5:$H$29,IF(E5089="HI",2,IF(E5089="LO",6,10))+IF(D5089=1,2,IF(D5089=7,1,(IF(WEEKDAY(B5089)=1,2,IF(WEEKDAY(B5089)=7,1,0))))))</f>
        <v>2</v>
      </c>
      <c r="G5089" s="369">
        <f>VLOOKUP(C5089,METADATA!$J$5:$Q$29,IF(E5089="HI",2,IF(E5089="LO",6,10))+IF(D5089=1,2,IF(D5089=7,1,(IF(WEEKDAY(B5089)=1,2,IF(WEEKDAY(B5089)=7,1,0))))))</f>
        <v>2</v>
      </c>
      <c r="H5089" s="370">
        <v>13072.875366210938</v>
      </c>
      <c r="I5089" s="370">
        <v>10357.950012207031</v>
      </c>
      <c r="M5089" s="371">
        <f t="shared" si="317"/>
        <v>16678.944774651194</v>
      </c>
      <c r="N5089" s="329">
        <f t="shared" si="318"/>
        <v>6436.08740234375</v>
      </c>
      <c r="T5089" s="331">
        <v>0</v>
      </c>
      <c r="U5089" s="328">
        <f>VLOOKUP(C5089,METADATA!$J$5:$Q$29,IF(E5089="HI",2,IF(E5089="LO",6,10))+IF(T5089=1,2,IF(D5089=7,1,(IF(WEEKDAY(B5089)=1,2,IF(WEEKDAY(B5089)=7,1,0))))))</f>
        <v>2</v>
      </c>
      <c r="V5089" s="328">
        <f>VLOOKUP(C5089,METADATA!$A$5:$H$29,IF(E5089="HI",2,IF(E5089="LO",6,10))+IF(T5089=1,2,IF(D5089=7,1,(IF(WEEKDAY(B5089)=1,2,IF(WEEKDAY(B5089)=7,1,0))))))</f>
        <v>2</v>
      </c>
    </row>
    <row r="5090" spans="2:22">
      <c r="B5090" s="318">
        <f t="shared" si="319"/>
        <v>46324</v>
      </c>
      <c r="C5090" s="312">
        <v>22</v>
      </c>
      <c r="D5090" s="368">
        <f>IFERROR((INDEX(METADATA!$T$2:$T$20,MATCH(B5090,METADATA!$S$2:$S$20,0))),0)</f>
        <v>0</v>
      </c>
      <c r="E5090" s="312" t="str">
        <f t="shared" si="316"/>
        <v>LO</v>
      </c>
      <c r="F5090" s="369">
        <f>VLOOKUP(C5090,METADATA!$A$5:$H$29,IF(E5090="HI",2,IF(E5090="LO",6,10))+IF(D5090=1,2,IF(D5090=7,1,(IF(WEEKDAY(B5090)=1,2,IF(WEEKDAY(B5090)=7,1,0))))))</f>
        <v>3</v>
      </c>
      <c r="G5090" s="369">
        <f>VLOOKUP(C5090,METADATA!$J$5:$Q$29,IF(E5090="HI",2,IF(E5090="LO",6,10))+IF(D5090=1,2,IF(D5090=7,1,(IF(WEEKDAY(B5090)=1,2,IF(WEEKDAY(B5090)=7,1,0))))))</f>
        <v>3</v>
      </c>
      <c r="H5090" s="370">
        <v>13061.949890136719</v>
      </c>
      <c r="I5090" s="370">
        <v>10382.099975585938</v>
      </c>
      <c r="M5090" s="371">
        <f t="shared" si="317"/>
        <v>16685.398851555936</v>
      </c>
      <c r="N5090" s="329">
        <f t="shared" si="318"/>
        <v>6463.5150085449222</v>
      </c>
      <c r="T5090" s="331">
        <v>0</v>
      </c>
      <c r="U5090" s="328">
        <f>VLOOKUP(C5090,METADATA!$J$5:$Q$29,IF(E5090="HI",2,IF(E5090="LO",6,10))+IF(T5090=1,2,IF(D5090=7,1,(IF(WEEKDAY(B5090)=1,2,IF(WEEKDAY(B5090)=7,1,0))))))</f>
        <v>3</v>
      </c>
      <c r="V5090" s="328">
        <f>VLOOKUP(C5090,METADATA!$A$5:$H$29,IF(E5090="HI",2,IF(E5090="LO",6,10))+IF(T5090=1,2,IF(D5090=7,1,(IF(WEEKDAY(B5090)=1,2,IF(WEEKDAY(B5090)=7,1,0))))))</f>
        <v>3</v>
      </c>
    </row>
    <row r="5091" spans="2:22">
      <c r="B5091" s="318">
        <f t="shared" si="319"/>
        <v>46324</v>
      </c>
      <c r="C5091" s="312">
        <v>23</v>
      </c>
      <c r="D5091" s="368">
        <f>IFERROR((INDEX(METADATA!$T$2:$T$20,MATCH(B5091,METADATA!$S$2:$S$20,0))),0)</f>
        <v>0</v>
      </c>
      <c r="E5091" s="312" t="str">
        <f t="shared" si="316"/>
        <v>LO</v>
      </c>
      <c r="F5091" s="369">
        <f>VLOOKUP(C5091,METADATA!$A$5:$H$29,IF(E5091="HI",2,IF(E5091="LO",6,10))+IF(D5091=1,2,IF(D5091=7,1,(IF(WEEKDAY(B5091)=1,2,IF(WEEKDAY(B5091)=7,1,0))))))</f>
        <v>3</v>
      </c>
      <c r="G5091" s="369">
        <f>VLOOKUP(C5091,METADATA!$J$5:$Q$29,IF(E5091="HI",2,IF(E5091="LO",6,10))+IF(D5091=1,2,IF(D5091=7,1,(IF(WEEKDAY(B5091)=1,2,IF(WEEKDAY(B5091)=7,1,0))))))</f>
        <v>3</v>
      </c>
      <c r="H5091" s="370">
        <v>13028.949645996094</v>
      </c>
      <c r="I5091" s="370">
        <v>10352.899841308594</v>
      </c>
      <c r="M5091" s="371">
        <f t="shared" si="317"/>
        <v>16641.396095342159</v>
      </c>
      <c r="N5091" s="329">
        <f t="shared" si="318"/>
        <v>6444.2149475097658</v>
      </c>
      <c r="T5091" s="331">
        <v>0</v>
      </c>
      <c r="U5091" s="328">
        <f>VLOOKUP(C5091,METADATA!$J$5:$Q$29,IF(E5091="HI",2,IF(E5091="LO",6,10))+IF(T5091=1,2,IF(D5091=7,1,(IF(WEEKDAY(B5091)=1,2,IF(WEEKDAY(B5091)=7,1,0))))))</f>
        <v>3</v>
      </c>
      <c r="V5091" s="328">
        <f>VLOOKUP(C5091,METADATA!$A$5:$H$29,IF(E5091="HI",2,IF(E5091="LO",6,10))+IF(T5091=1,2,IF(D5091=7,1,(IF(WEEKDAY(B5091)=1,2,IF(WEEKDAY(B5091)=7,1,0))))))</f>
        <v>3</v>
      </c>
    </row>
    <row r="5092" spans="2:22">
      <c r="B5092" s="318">
        <f t="shared" si="319"/>
        <v>46325</v>
      </c>
      <c r="C5092" s="312">
        <v>0</v>
      </c>
      <c r="D5092" s="368">
        <f>IFERROR((INDEX(METADATA!$T$2:$T$20,MATCH(B5092,METADATA!$S$2:$S$20,0))),0)</f>
        <v>0</v>
      </c>
      <c r="E5092" s="312" t="str">
        <f t="shared" si="316"/>
        <v>LO</v>
      </c>
      <c r="F5092" s="369">
        <f>VLOOKUP(C5092,METADATA!$A$5:$H$29,IF(E5092="HI",2,IF(E5092="LO",6,10))+IF(D5092=1,2,IF(D5092=7,1,(IF(WEEKDAY(B5092)=1,2,IF(WEEKDAY(B5092)=7,1,0))))))</f>
        <v>3</v>
      </c>
      <c r="G5092" s="369">
        <f>VLOOKUP(C5092,METADATA!$J$5:$Q$29,IF(E5092="HI",2,IF(E5092="LO",6,10))+IF(D5092=1,2,IF(D5092=7,1,(IF(WEEKDAY(B5092)=1,2,IF(WEEKDAY(B5092)=7,1,0))))))</f>
        <v>3</v>
      </c>
      <c r="H5092" s="370">
        <v>12974.024963378906</v>
      </c>
      <c r="I5092" s="370">
        <v>10452.900024414063</v>
      </c>
      <c r="M5092" s="371">
        <f t="shared" si="317"/>
        <v>16660.985645236433</v>
      </c>
      <c r="N5092" s="329">
        <f t="shared" si="318"/>
        <v>6560.6925354003906</v>
      </c>
      <c r="T5092" s="331">
        <v>0</v>
      </c>
      <c r="U5092" s="328">
        <f>VLOOKUP(C5092,METADATA!$J$5:$Q$29,IF(E5092="HI",2,IF(E5092="LO",6,10))+IF(T5092=1,2,IF(D5092=7,1,(IF(WEEKDAY(B5092)=1,2,IF(WEEKDAY(B5092)=7,1,0))))))</f>
        <v>3</v>
      </c>
      <c r="V5092" s="328">
        <f>VLOOKUP(C5092,METADATA!$A$5:$H$29,IF(E5092="HI",2,IF(E5092="LO",6,10))+IF(T5092=1,2,IF(D5092=7,1,(IF(WEEKDAY(B5092)=1,2,IF(WEEKDAY(B5092)=7,1,0))))))</f>
        <v>3</v>
      </c>
    </row>
    <row r="5093" spans="2:22">
      <c r="B5093" s="318">
        <f t="shared" si="319"/>
        <v>46325</v>
      </c>
      <c r="C5093" s="312">
        <v>1</v>
      </c>
      <c r="D5093" s="368">
        <f>IFERROR((INDEX(METADATA!$T$2:$T$20,MATCH(B5093,METADATA!$S$2:$S$20,0))),0)</f>
        <v>0</v>
      </c>
      <c r="E5093" s="312" t="str">
        <f t="shared" si="316"/>
        <v>LO</v>
      </c>
      <c r="F5093" s="369">
        <f>VLOOKUP(C5093,METADATA!$A$5:$H$29,IF(E5093="HI",2,IF(E5093="LO",6,10))+IF(D5093=1,2,IF(D5093=7,1,(IF(WEEKDAY(B5093)=1,2,IF(WEEKDAY(B5093)=7,1,0))))))</f>
        <v>3</v>
      </c>
      <c r="G5093" s="369">
        <f>VLOOKUP(C5093,METADATA!$J$5:$Q$29,IF(E5093="HI",2,IF(E5093="LO",6,10))+IF(D5093=1,2,IF(D5093=7,1,(IF(WEEKDAY(B5093)=1,2,IF(WEEKDAY(B5093)=7,1,0))))))</f>
        <v>3</v>
      </c>
      <c r="H5093" s="370">
        <v>12568.0400390625</v>
      </c>
      <c r="I5093" s="370">
        <v>10316.215026855469</v>
      </c>
      <c r="M5093" s="371">
        <f t="shared" si="317"/>
        <v>16259.763925217263</v>
      </c>
      <c r="N5093" s="329">
        <f t="shared" si="318"/>
        <v>6545.8030151367184</v>
      </c>
      <c r="T5093" s="331">
        <v>0</v>
      </c>
      <c r="U5093" s="328">
        <f>VLOOKUP(C5093,METADATA!$J$5:$Q$29,IF(E5093="HI",2,IF(E5093="LO",6,10))+IF(T5093=1,2,IF(D5093=7,1,(IF(WEEKDAY(B5093)=1,2,IF(WEEKDAY(B5093)=7,1,0))))))</f>
        <v>3</v>
      </c>
      <c r="V5093" s="328">
        <f>VLOOKUP(C5093,METADATA!$A$5:$H$29,IF(E5093="HI",2,IF(E5093="LO",6,10))+IF(T5093=1,2,IF(D5093=7,1,(IF(WEEKDAY(B5093)=1,2,IF(WEEKDAY(B5093)=7,1,0))))))</f>
        <v>3</v>
      </c>
    </row>
    <row r="5094" spans="2:22">
      <c r="B5094" s="318">
        <f t="shared" si="319"/>
        <v>46325</v>
      </c>
      <c r="C5094" s="312">
        <v>2</v>
      </c>
      <c r="D5094" s="368">
        <f>IFERROR((INDEX(METADATA!$T$2:$T$20,MATCH(B5094,METADATA!$S$2:$S$20,0))),0)</f>
        <v>0</v>
      </c>
      <c r="E5094" s="312" t="str">
        <f t="shared" si="316"/>
        <v>LO</v>
      </c>
      <c r="F5094" s="369">
        <f>VLOOKUP(C5094,METADATA!$A$5:$H$29,IF(E5094="HI",2,IF(E5094="LO",6,10))+IF(D5094=1,2,IF(D5094=7,1,(IF(WEEKDAY(B5094)=1,2,IF(WEEKDAY(B5094)=7,1,0))))))</f>
        <v>3</v>
      </c>
      <c r="G5094" s="369">
        <f>VLOOKUP(C5094,METADATA!$J$5:$Q$29,IF(E5094="HI",2,IF(E5094="LO",6,10))+IF(D5094=1,2,IF(D5094=7,1,(IF(WEEKDAY(B5094)=1,2,IF(WEEKDAY(B5094)=7,1,0))))))</f>
        <v>3</v>
      </c>
      <c r="H5094" s="370">
        <v>11886.875061035156</v>
      </c>
      <c r="I5094" s="370">
        <v>10094.949890136719</v>
      </c>
      <c r="M5094" s="371">
        <f t="shared" si="317"/>
        <v>15595.057293932296</v>
      </c>
      <c r="N5094" s="329">
        <f t="shared" si="318"/>
        <v>6528.8873718261721</v>
      </c>
      <c r="T5094" s="331">
        <v>0</v>
      </c>
      <c r="U5094" s="328">
        <f>VLOOKUP(C5094,METADATA!$J$5:$Q$29,IF(E5094="HI",2,IF(E5094="LO",6,10))+IF(T5094=1,2,IF(D5094=7,1,(IF(WEEKDAY(B5094)=1,2,IF(WEEKDAY(B5094)=7,1,0))))))</f>
        <v>3</v>
      </c>
      <c r="V5094" s="328">
        <f>VLOOKUP(C5094,METADATA!$A$5:$H$29,IF(E5094="HI",2,IF(E5094="LO",6,10))+IF(T5094=1,2,IF(D5094=7,1,(IF(WEEKDAY(B5094)=1,2,IF(WEEKDAY(B5094)=7,1,0))))))</f>
        <v>3</v>
      </c>
    </row>
    <row r="5095" spans="2:22">
      <c r="B5095" s="318">
        <f t="shared" si="319"/>
        <v>46325</v>
      </c>
      <c r="C5095" s="312">
        <v>3</v>
      </c>
      <c r="D5095" s="368">
        <f>IFERROR((INDEX(METADATA!$T$2:$T$20,MATCH(B5095,METADATA!$S$2:$S$20,0))),0)</f>
        <v>0</v>
      </c>
      <c r="E5095" s="312" t="str">
        <f t="shared" si="316"/>
        <v>LO</v>
      </c>
      <c r="F5095" s="369">
        <f>VLOOKUP(C5095,METADATA!$A$5:$H$29,IF(E5095="HI",2,IF(E5095="LO",6,10))+IF(D5095=1,2,IF(D5095=7,1,(IF(WEEKDAY(B5095)=1,2,IF(WEEKDAY(B5095)=7,1,0))))))</f>
        <v>3</v>
      </c>
      <c r="G5095" s="369">
        <f>VLOOKUP(C5095,METADATA!$J$5:$Q$29,IF(E5095="HI",2,IF(E5095="LO",6,10))+IF(D5095=1,2,IF(D5095=7,1,(IF(WEEKDAY(B5095)=1,2,IF(WEEKDAY(B5095)=7,1,0))))))</f>
        <v>3</v>
      </c>
      <c r="H5095" s="370">
        <v>12759.700073242188</v>
      </c>
      <c r="I5095" s="370">
        <v>10460.375061035156</v>
      </c>
      <c r="M5095" s="371">
        <f t="shared" si="317"/>
        <v>16499.375514746698</v>
      </c>
      <c r="N5095" s="329">
        <f t="shared" si="318"/>
        <v>6632.4650390625002</v>
      </c>
      <c r="T5095" s="331">
        <v>0</v>
      </c>
      <c r="U5095" s="328">
        <f>VLOOKUP(C5095,METADATA!$J$5:$Q$29,IF(E5095="HI",2,IF(E5095="LO",6,10))+IF(T5095=1,2,IF(D5095=7,1,(IF(WEEKDAY(B5095)=1,2,IF(WEEKDAY(B5095)=7,1,0))))))</f>
        <v>3</v>
      </c>
      <c r="V5095" s="328">
        <f>VLOOKUP(C5095,METADATA!$A$5:$H$29,IF(E5095="HI",2,IF(E5095="LO",6,10))+IF(T5095=1,2,IF(D5095=7,1,(IF(WEEKDAY(B5095)=1,2,IF(WEEKDAY(B5095)=7,1,0))))))</f>
        <v>3</v>
      </c>
    </row>
    <row r="5096" spans="2:22">
      <c r="B5096" s="318">
        <f t="shared" si="319"/>
        <v>46325</v>
      </c>
      <c r="C5096" s="312">
        <v>4</v>
      </c>
      <c r="D5096" s="368">
        <f>IFERROR((INDEX(METADATA!$T$2:$T$20,MATCH(B5096,METADATA!$S$2:$S$20,0))),0)</f>
        <v>0</v>
      </c>
      <c r="E5096" s="312" t="str">
        <f t="shared" si="316"/>
        <v>LO</v>
      </c>
      <c r="F5096" s="369">
        <f>VLOOKUP(C5096,METADATA!$A$5:$H$29,IF(E5096="HI",2,IF(E5096="LO",6,10))+IF(D5096=1,2,IF(D5096=7,1,(IF(WEEKDAY(B5096)=1,2,IF(WEEKDAY(B5096)=7,1,0))))))</f>
        <v>3</v>
      </c>
      <c r="G5096" s="369">
        <f>VLOOKUP(C5096,METADATA!$J$5:$Q$29,IF(E5096="HI",2,IF(E5096="LO",6,10))+IF(D5096=1,2,IF(D5096=7,1,(IF(WEEKDAY(B5096)=1,2,IF(WEEKDAY(B5096)=7,1,0))))))</f>
        <v>3</v>
      </c>
      <c r="H5096" s="370">
        <v>13086.900024414063</v>
      </c>
      <c r="I5096" s="370">
        <v>10504.449890136719</v>
      </c>
      <c r="M5096" s="371">
        <f t="shared" si="317"/>
        <v>16781.252031460648</v>
      </c>
      <c r="N5096" s="329">
        <f t="shared" si="318"/>
        <v>6578.3798828125</v>
      </c>
      <c r="T5096" s="331">
        <v>0</v>
      </c>
      <c r="U5096" s="328">
        <f>VLOOKUP(C5096,METADATA!$J$5:$Q$29,IF(E5096="HI",2,IF(E5096="LO",6,10))+IF(T5096=1,2,IF(D5096=7,1,(IF(WEEKDAY(B5096)=1,2,IF(WEEKDAY(B5096)=7,1,0))))))</f>
        <v>3</v>
      </c>
      <c r="V5096" s="328">
        <f>VLOOKUP(C5096,METADATA!$A$5:$H$29,IF(E5096="HI",2,IF(E5096="LO",6,10))+IF(T5096=1,2,IF(D5096=7,1,(IF(WEEKDAY(B5096)=1,2,IF(WEEKDAY(B5096)=7,1,0))))))</f>
        <v>3</v>
      </c>
    </row>
    <row r="5097" spans="2:22">
      <c r="B5097" s="318">
        <f t="shared" si="319"/>
        <v>46325</v>
      </c>
      <c r="C5097" s="312">
        <v>5</v>
      </c>
      <c r="D5097" s="368">
        <f>IFERROR((INDEX(METADATA!$T$2:$T$20,MATCH(B5097,METADATA!$S$2:$S$20,0))),0)</f>
        <v>0</v>
      </c>
      <c r="E5097" s="312" t="str">
        <f t="shared" si="316"/>
        <v>LO</v>
      </c>
      <c r="F5097" s="369">
        <f>VLOOKUP(C5097,METADATA!$A$5:$H$29,IF(E5097="HI",2,IF(E5097="LO",6,10))+IF(D5097=1,2,IF(D5097=7,1,(IF(WEEKDAY(B5097)=1,2,IF(WEEKDAY(B5097)=7,1,0))))))</f>
        <v>3</v>
      </c>
      <c r="G5097" s="369">
        <f>VLOOKUP(C5097,METADATA!$J$5:$Q$29,IF(E5097="HI",2,IF(E5097="LO",6,10))+IF(D5097=1,2,IF(D5097=7,1,(IF(WEEKDAY(B5097)=1,2,IF(WEEKDAY(B5097)=7,1,0))))))</f>
        <v>3</v>
      </c>
      <c r="H5097" s="370">
        <v>13189.57470703125</v>
      </c>
      <c r="I5097" s="370">
        <v>10580.775085449219</v>
      </c>
      <c r="M5097" s="371">
        <f t="shared" si="317"/>
        <v>16909.100578127196</v>
      </c>
      <c r="N5097" s="329">
        <f t="shared" si="318"/>
        <v>6623.9026733398441</v>
      </c>
      <c r="T5097" s="331">
        <v>0</v>
      </c>
      <c r="U5097" s="328">
        <f>VLOOKUP(C5097,METADATA!$J$5:$Q$29,IF(E5097="HI",2,IF(E5097="LO",6,10))+IF(T5097=1,2,IF(D5097=7,1,(IF(WEEKDAY(B5097)=1,2,IF(WEEKDAY(B5097)=7,1,0))))))</f>
        <v>3</v>
      </c>
      <c r="V5097" s="328">
        <f>VLOOKUP(C5097,METADATA!$A$5:$H$29,IF(E5097="HI",2,IF(E5097="LO",6,10))+IF(T5097=1,2,IF(D5097=7,1,(IF(WEEKDAY(B5097)=1,2,IF(WEEKDAY(B5097)=7,1,0))))))</f>
        <v>3</v>
      </c>
    </row>
    <row r="5098" spans="2:22">
      <c r="B5098" s="318">
        <f t="shared" si="319"/>
        <v>46325</v>
      </c>
      <c r="C5098" s="312">
        <v>6</v>
      </c>
      <c r="D5098" s="368">
        <f>IFERROR((INDEX(METADATA!$T$2:$T$20,MATCH(B5098,METADATA!$S$2:$S$20,0))),0)</f>
        <v>0</v>
      </c>
      <c r="E5098" s="312" t="str">
        <f t="shared" si="316"/>
        <v>LO</v>
      </c>
      <c r="F5098" s="369">
        <f>VLOOKUP(C5098,METADATA!$A$5:$H$29,IF(E5098="HI",2,IF(E5098="LO",6,10))+IF(D5098=1,2,IF(D5098=7,1,(IF(WEEKDAY(B5098)=1,2,IF(WEEKDAY(B5098)=7,1,0))))))</f>
        <v>2</v>
      </c>
      <c r="G5098" s="369">
        <f>VLOOKUP(C5098,METADATA!$J$5:$Q$29,IF(E5098="HI",2,IF(E5098="LO",6,10))+IF(D5098=1,2,IF(D5098=7,1,(IF(WEEKDAY(B5098)=1,2,IF(WEEKDAY(B5098)=7,1,0))))))</f>
        <v>2</v>
      </c>
      <c r="H5098" s="370">
        <v>13082.22509765625</v>
      </c>
      <c r="I5098" s="370">
        <v>10604.724975585938</v>
      </c>
      <c r="M5098" s="371">
        <f t="shared" si="317"/>
        <v>16840.570219370937</v>
      </c>
      <c r="N5098" s="329">
        <f t="shared" si="318"/>
        <v>6680.0574462890627</v>
      </c>
      <c r="T5098" s="331">
        <v>0</v>
      </c>
      <c r="U5098" s="328">
        <f>VLOOKUP(C5098,METADATA!$J$5:$Q$29,IF(E5098="HI",2,IF(E5098="LO",6,10))+IF(T5098=1,2,IF(D5098=7,1,(IF(WEEKDAY(B5098)=1,2,IF(WEEKDAY(B5098)=7,1,0))))))</f>
        <v>2</v>
      </c>
      <c r="V5098" s="328">
        <f>VLOOKUP(C5098,METADATA!$A$5:$H$29,IF(E5098="HI",2,IF(E5098="LO",6,10))+IF(T5098=1,2,IF(D5098=7,1,(IF(WEEKDAY(B5098)=1,2,IF(WEEKDAY(B5098)=7,1,0))))))</f>
        <v>2</v>
      </c>
    </row>
    <row r="5099" spans="2:22">
      <c r="B5099" s="318">
        <f t="shared" si="319"/>
        <v>46325</v>
      </c>
      <c r="C5099" s="312">
        <v>7</v>
      </c>
      <c r="D5099" s="368">
        <f>IFERROR((INDEX(METADATA!$T$2:$T$20,MATCH(B5099,METADATA!$S$2:$S$20,0))),0)</f>
        <v>0</v>
      </c>
      <c r="E5099" s="312" t="str">
        <f t="shared" si="316"/>
        <v>LO</v>
      </c>
      <c r="F5099" s="369">
        <f>VLOOKUP(C5099,METADATA!$A$5:$H$29,IF(E5099="HI",2,IF(E5099="LO",6,10))+IF(D5099=1,2,IF(D5099=7,1,(IF(WEEKDAY(B5099)=1,2,IF(WEEKDAY(B5099)=7,1,0))))))</f>
        <v>1</v>
      </c>
      <c r="G5099" s="369">
        <f>VLOOKUP(C5099,METADATA!$J$5:$Q$29,IF(E5099="HI",2,IF(E5099="LO",6,10))+IF(D5099=1,2,IF(D5099=7,1,(IF(WEEKDAY(B5099)=1,2,IF(WEEKDAY(B5099)=7,1,0))))))</f>
        <v>1</v>
      </c>
      <c r="H5099" s="370">
        <v>13042.449951171875</v>
      </c>
      <c r="I5099" s="370">
        <v>10382.174987792969</v>
      </c>
      <c r="M5099" s="371">
        <f t="shared" si="317"/>
        <v>16670.184708214161</v>
      </c>
      <c r="N5099" s="329">
        <f t="shared" si="318"/>
        <v>6469.4400024414063</v>
      </c>
      <c r="T5099" s="331">
        <v>0</v>
      </c>
      <c r="U5099" s="328">
        <f>VLOOKUP(C5099,METADATA!$J$5:$Q$29,IF(E5099="HI",2,IF(E5099="LO",6,10))+IF(T5099=1,2,IF(D5099=7,1,(IF(WEEKDAY(B5099)=1,2,IF(WEEKDAY(B5099)=7,1,0))))))</f>
        <v>1</v>
      </c>
      <c r="V5099" s="328">
        <f>VLOOKUP(C5099,METADATA!$A$5:$H$29,IF(E5099="HI",2,IF(E5099="LO",6,10))+IF(T5099=1,2,IF(D5099=7,1,(IF(WEEKDAY(B5099)=1,2,IF(WEEKDAY(B5099)=7,1,0))))))</f>
        <v>1</v>
      </c>
    </row>
    <row r="5100" spans="2:22">
      <c r="B5100" s="318">
        <f t="shared" si="319"/>
        <v>46325</v>
      </c>
      <c r="C5100" s="312">
        <v>8</v>
      </c>
      <c r="D5100" s="368">
        <f>IFERROR((INDEX(METADATA!$T$2:$T$20,MATCH(B5100,METADATA!$S$2:$S$20,0))),0)</f>
        <v>0</v>
      </c>
      <c r="E5100" s="312" t="str">
        <f t="shared" si="316"/>
        <v>LO</v>
      </c>
      <c r="F5100" s="369">
        <f>VLOOKUP(C5100,METADATA!$A$5:$H$29,IF(E5100="HI",2,IF(E5100="LO",6,10))+IF(D5100=1,2,IF(D5100=7,1,(IF(WEEKDAY(B5100)=1,2,IF(WEEKDAY(B5100)=7,1,0))))))</f>
        <v>1</v>
      </c>
      <c r="G5100" s="369">
        <f>VLOOKUP(C5100,METADATA!$J$5:$Q$29,IF(E5100="HI",2,IF(E5100="LO",6,10))+IF(D5100=1,2,IF(D5100=7,1,(IF(WEEKDAY(B5100)=1,2,IF(WEEKDAY(B5100)=7,1,0))))))</f>
        <v>1</v>
      </c>
      <c r="H5100" s="370">
        <v>12989.349731445313</v>
      </c>
      <c r="I5100" s="370">
        <v>10303.349853515625</v>
      </c>
      <c r="M5100" s="371">
        <f t="shared" si="317"/>
        <v>16579.572511067312</v>
      </c>
      <c r="N5100" s="329">
        <f t="shared" si="318"/>
        <v>6406.5449340820314</v>
      </c>
      <c r="T5100" s="331">
        <v>0</v>
      </c>
      <c r="U5100" s="328">
        <f>VLOOKUP(C5100,METADATA!$J$5:$Q$29,IF(E5100="HI",2,IF(E5100="LO",6,10))+IF(T5100=1,2,IF(D5100=7,1,(IF(WEEKDAY(B5100)=1,2,IF(WEEKDAY(B5100)=7,1,0))))))</f>
        <v>1</v>
      </c>
      <c r="V5100" s="328">
        <f>VLOOKUP(C5100,METADATA!$A$5:$H$29,IF(E5100="HI",2,IF(E5100="LO",6,10))+IF(T5100=1,2,IF(D5100=7,1,(IF(WEEKDAY(B5100)=1,2,IF(WEEKDAY(B5100)=7,1,0))))))</f>
        <v>1</v>
      </c>
    </row>
    <row r="5101" spans="2:22">
      <c r="B5101" s="318">
        <f t="shared" si="319"/>
        <v>46325</v>
      </c>
      <c r="C5101" s="312">
        <v>9</v>
      </c>
      <c r="D5101" s="368">
        <f>IFERROR((INDEX(METADATA!$T$2:$T$20,MATCH(B5101,METADATA!$S$2:$S$20,0))),0)</f>
        <v>0</v>
      </c>
      <c r="E5101" s="312" t="str">
        <f t="shared" si="316"/>
        <v>LO</v>
      </c>
      <c r="F5101" s="369">
        <f>VLOOKUP(C5101,METADATA!$A$5:$H$29,IF(E5101="HI",2,IF(E5101="LO",6,10))+IF(D5101=1,2,IF(D5101=7,1,(IF(WEEKDAY(B5101)=1,2,IF(WEEKDAY(B5101)=7,1,0))))))</f>
        <v>2</v>
      </c>
      <c r="G5101" s="369">
        <f>VLOOKUP(C5101,METADATA!$J$5:$Q$29,IF(E5101="HI",2,IF(E5101="LO",6,10))+IF(D5101=1,2,IF(D5101=7,1,(IF(WEEKDAY(B5101)=1,2,IF(WEEKDAY(B5101)=7,1,0))))))</f>
        <v>2</v>
      </c>
      <c r="H5101" s="370">
        <v>13056.050231933594</v>
      </c>
      <c r="I5101" s="370">
        <v>10289.675048828125</v>
      </c>
      <c r="M5101" s="371">
        <f t="shared" si="317"/>
        <v>16623.413015059494</v>
      </c>
      <c r="N5101" s="329">
        <f t="shared" si="318"/>
        <v>6372.8599792480472</v>
      </c>
      <c r="T5101" s="331">
        <v>0</v>
      </c>
      <c r="U5101" s="328">
        <f>VLOOKUP(C5101,METADATA!$J$5:$Q$29,IF(E5101="HI",2,IF(E5101="LO",6,10))+IF(T5101=1,2,IF(D5101=7,1,(IF(WEEKDAY(B5101)=1,2,IF(WEEKDAY(B5101)=7,1,0))))))</f>
        <v>2</v>
      </c>
      <c r="V5101" s="328">
        <f>VLOOKUP(C5101,METADATA!$A$5:$H$29,IF(E5101="HI",2,IF(E5101="LO",6,10))+IF(T5101=1,2,IF(D5101=7,1,(IF(WEEKDAY(B5101)=1,2,IF(WEEKDAY(B5101)=7,1,0))))))</f>
        <v>2</v>
      </c>
    </row>
    <row r="5102" spans="2:22">
      <c r="B5102" s="318">
        <f t="shared" si="319"/>
        <v>46325</v>
      </c>
      <c r="C5102" s="312">
        <v>10</v>
      </c>
      <c r="D5102" s="368">
        <f>IFERROR((INDEX(METADATA!$T$2:$T$20,MATCH(B5102,METADATA!$S$2:$S$20,0))),0)</f>
        <v>0</v>
      </c>
      <c r="E5102" s="312" t="str">
        <f t="shared" si="316"/>
        <v>LO</v>
      </c>
      <c r="F5102" s="369">
        <f>VLOOKUP(C5102,METADATA!$A$5:$H$29,IF(E5102="HI",2,IF(E5102="LO",6,10))+IF(D5102=1,2,IF(D5102=7,1,(IF(WEEKDAY(B5102)=1,2,IF(WEEKDAY(B5102)=7,1,0))))))</f>
        <v>2</v>
      </c>
      <c r="G5102" s="369">
        <f>VLOOKUP(C5102,METADATA!$J$5:$Q$29,IF(E5102="HI",2,IF(E5102="LO",6,10))+IF(D5102=1,2,IF(D5102=7,1,(IF(WEEKDAY(B5102)=1,2,IF(WEEKDAY(B5102)=7,1,0))))))</f>
        <v>2</v>
      </c>
      <c r="H5102" s="370">
        <v>13176.474853515625</v>
      </c>
      <c r="I5102" s="370">
        <v>10259.224853515625</v>
      </c>
      <c r="M5102" s="371">
        <f t="shared" si="317"/>
        <v>16699.436642004493</v>
      </c>
      <c r="N5102" s="329">
        <f t="shared" si="318"/>
        <v>6306.2823974609382</v>
      </c>
      <c r="T5102" s="331">
        <v>0</v>
      </c>
      <c r="U5102" s="328">
        <f>VLOOKUP(C5102,METADATA!$J$5:$Q$29,IF(E5102="HI",2,IF(E5102="LO",6,10))+IF(T5102=1,2,IF(D5102=7,1,(IF(WEEKDAY(B5102)=1,2,IF(WEEKDAY(B5102)=7,1,0))))))</f>
        <v>2</v>
      </c>
      <c r="V5102" s="328">
        <f>VLOOKUP(C5102,METADATA!$A$5:$H$29,IF(E5102="HI",2,IF(E5102="LO",6,10))+IF(T5102=1,2,IF(D5102=7,1,(IF(WEEKDAY(B5102)=1,2,IF(WEEKDAY(B5102)=7,1,0))))))</f>
        <v>2</v>
      </c>
    </row>
    <row r="5103" spans="2:22">
      <c r="B5103" s="318">
        <f t="shared" si="319"/>
        <v>46325</v>
      </c>
      <c r="C5103" s="312">
        <v>11</v>
      </c>
      <c r="D5103" s="368">
        <f>IFERROR((INDEX(METADATA!$T$2:$T$20,MATCH(B5103,METADATA!$S$2:$S$20,0))),0)</f>
        <v>0</v>
      </c>
      <c r="E5103" s="312" t="str">
        <f t="shared" si="316"/>
        <v>LO</v>
      </c>
      <c r="F5103" s="369">
        <f>VLOOKUP(C5103,METADATA!$A$5:$H$29,IF(E5103="HI",2,IF(E5103="LO",6,10))+IF(D5103=1,2,IF(D5103=7,1,(IF(WEEKDAY(B5103)=1,2,IF(WEEKDAY(B5103)=7,1,0))))))</f>
        <v>2</v>
      </c>
      <c r="G5103" s="369">
        <f>VLOOKUP(C5103,METADATA!$J$5:$Q$29,IF(E5103="HI",2,IF(E5103="LO",6,10))+IF(D5103=1,2,IF(D5103=7,1,(IF(WEEKDAY(B5103)=1,2,IF(WEEKDAY(B5103)=7,1,0))))))</f>
        <v>2</v>
      </c>
      <c r="H5103" s="370">
        <v>13083.52490234375</v>
      </c>
      <c r="I5103" s="370">
        <v>10283.075134277344</v>
      </c>
      <c r="M5103" s="371">
        <f t="shared" si="317"/>
        <v>16640.921191071186</v>
      </c>
      <c r="N5103" s="329">
        <f t="shared" si="318"/>
        <v>6358.0176635742191</v>
      </c>
      <c r="T5103" s="331">
        <v>0</v>
      </c>
      <c r="U5103" s="328">
        <f>VLOOKUP(C5103,METADATA!$J$5:$Q$29,IF(E5103="HI",2,IF(E5103="LO",6,10))+IF(T5103=1,2,IF(D5103=7,1,(IF(WEEKDAY(B5103)=1,2,IF(WEEKDAY(B5103)=7,1,0))))))</f>
        <v>2</v>
      </c>
      <c r="V5103" s="328">
        <f>VLOOKUP(C5103,METADATA!$A$5:$H$29,IF(E5103="HI",2,IF(E5103="LO",6,10))+IF(T5103=1,2,IF(D5103=7,1,(IF(WEEKDAY(B5103)=1,2,IF(WEEKDAY(B5103)=7,1,0))))))</f>
        <v>2</v>
      </c>
    </row>
    <row r="5104" spans="2:22">
      <c r="B5104" s="318">
        <f t="shared" si="319"/>
        <v>46325</v>
      </c>
      <c r="C5104" s="312">
        <v>12</v>
      </c>
      <c r="D5104" s="368">
        <f>IFERROR((INDEX(METADATA!$T$2:$T$20,MATCH(B5104,METADATA!$S$2:$S$20,0))),0)</f>
        <v>0</v>
      </c>
      <c r="E5104" s="312" t="str">
        <f t="shared" si="316"/>
        <v>LO</v>
      </c>
      <c r="F5104" s="369">
        <f>VLOOKUP(C5104,METADATA!$A$5:$H$29,IF(E5104="HI",2,IF(E5104="LO",6,10))+IF(D5104=1,2,IF(D5104=7,1,(IF(WEEKDAY(B5104)=1,2,IF(WEEKDAY(B5104)=7,1,0))))))</f>
        <v>2</v>
      </c>
      <c r="G5104" s="369">
        <f>VLOOKUP(C5104,METADATA!$J$5:$Q$29,IF(E5104="HI",2,IF(E5104="LO",6,10))+IF(D5104=1,2,IF(D5104=7,1,(IF(WEEKDAY(B5104)=1,2,IF(WEEKDAY(B5104)=7,1,0))))))</f>
        <v>2</v>
      </c>
      <c r="H5104" s="370">
        <v>13112.825073242188</v>
      </c>
      <c r="I5104" s="370">
        <v>10531.5</v>
      </c>
      <c r="M5104" s="371">
        <f t="shared" si="317"/>
        <v>16818.402827006164</v>
      </c>
      <c r="N5104" s="329">
        <f t="shared" si="318"/>
        <v>6597.6524780273439</v>
      </c>
      <c r="T5104" s="331">
        <v>0</v>
      </c>
      <c r="U5104" s="328">
        <f>VLOOKUP(C5104,METADATA!$J$5:$Q$29,IF(E5104="HI",2,IF(E5104="LO",6,10))+IF(T5104=1,2,IF(D5104=7,1,(IF(WEEKDAY(B5104)=1,2,IF(WEEKDAY(B5104)=7,1,0))))))</f>
        <v>2</v>
      </c>
      <c r="V5104" s="328">
        <f>VLOOKUP(C5104,METADATA!$A$5:$H$29,IF(E5104="HI",2,IF(E5104="LO",6,10))+IF(T5104=1,2,IF(D5104=7,1,(IF(WEEKDAY(B5104)=1,2,IF(WEEKDAY(B5104)=7,1,0))))))</f>
        <v>2</v>
      </c>
    </row>
    <row r="5105" spans="2:22">
      <c r="B5105" s="318">
        <f t="shared" si="319"/>
        <v>46325</v>
      </c>
      <c r="C5105" s="312">
        <v>13</v>
      </c>
      <c r="D5105" s="368">
        <f>IFERROR((INDEX(METADATA!$T$2:$T$20,MATCH(B5105,METADATA!$S$2:$S$20,0))),0)</f>
        <v>0</v>
      </c>
      <c r="E5105" s="312" t="str">
        <f t="shared" si="316"/>
        <v>LO</v>
      </c>
      <c r="F5105" s="369">
        <f>VLOOKUP(C5105,METADATA!$A$5:$H$29,IF(E5105="HI",2,IF(E5105="LO",6,10))+IF(D5105=1,2,IF(D5105=7,1,(IF(WEEKDAY(B5105)=1,2,IF(WEEKDAY(B5105)=7,1,0))))))</f>
        <v>2</v>
      </c>
      <c r="G5105" s="369">
        <f>VLOOKUP(C5105,METADATA!$J$5:$Q$29,IF(E5105="HI",2,IF(E5105="LO",6,10))+IF(D5105=1,2,IF(D5105=7,1,(IF(WEEKDAY(B5105)=1,2,IF(WEEKDAY(B5105)=7,1,0))))))</f>
        <v>2</v>
      </c>
      <c r="H5105" s="370">
        <v>13103.274963378906</v>
      </c>
      <c r="I5105" s="370">
        <v>10576.299926757813</v>
      </c>
      <c r="M5105" s="371">
        <f t="shared" si="317"/>
        <v>16839.059798772905</v>
      </c>
      <c r="N5105" s="329">
        <f t="shared" si="318"/>
        <v>6645.317437744141</v>
      </c>
      <c r="T5105" s="331">
        <v>0</v>
      </c>
      <c r="U5105" s="328">
        <f>VLOOKUP(C5105,METADATA!$J$5:$Q$29,IF(E5105="HI",2,IF(E5105="LO",6,10))+IF(T5105=1,2,IF(D5105=7,1,(IF(WEEKDAY(B5105)=1,2,IF(WEEKDAY(B5105)=7,1,0))))))</f>
        <v>2</v>
      </c>
      <c r="V5105" s="328">
        <f>VLOOKUP(C5105,METADATA!$A$5:$H$29,IF(E5105="HI",2,IF(E5105="LO",6,10))+IF(T5105=1,2,IF(D5105=7,1,(IF(WEEKDAY(B5105)=1,2,IF(WEEKDAY(B5105)=7,1,0))))))</f>
        <v>2</v>
      </c>
    </row>
    <row r="5106" spans="2:22">
      <c r="B5106" s="318">
        <f t="shared" si="319"/>
        <v>46325</v>
      </c>
      <c r="C5106" s="312">
        <v>14</v>
      </c>
      <c r="D5106" s="368">
        <f>IFERROR((INDEX(METADATA!$T$2:$T$20,MATCH(B5106,METADATA!$S$2:$S$20,0))),0)</f>
        <v>0</v>
      </c>
      <c r="E5106" s="312" t="str">
        <f t="shared" si="316"/>
        <v>LO</v>
      </c>
      <c r="F5106" s="369">
        <f>VLOOKUP(C5106,METADATA!$A$5:$H$29,IF(E5106="HI",2,IF(E5106="LO",6,10))+IF(D5106=1,2,IF(D5106=7,1,(IF(WEEKDAY(B5106)=1,2,IF(WEEKDAY(B5106)=7,1,0))))))</f>
        <v>2</v>
      </c>
      <c r="G5106" s="369">
        <f>VLOOKUP(C5106,METADATA!$J$5:$Q$29,IF(E5106="HI",2,IF(E5106="LO",6,10))+IF(D5106=1,2,IF(D5106=7,1,(IF(WEEKDAY(B5106)=1,2,IF(WEEKDAY(B5106)=7,1,0))))))</f>
        <v>2</v>
      </c>
      <c r="H5106" s="370">
        <v>13143.500183105469</v>
      </c>
      <c r="I5106" s="370">
        <v>10722.299926757813</v>
      </c>
      <c r="M5106" s="371">
        <f t="shared" si="317"/>
        <v>16962.290906084712</v>
      </c>
      <c r="N5106" s="329">
        <f t="shared" si="318"/>
        <v>6779.2498718261722</v>
      </c>
      <c r="T5106" s="331">
        <v>0</v>
      </c>
      <c r="U5106" s="328">
        <f>VLOOKUP(C5106,METADATA!$J$5:$Q$29,IF(E5106="HI",2,IF(E5106="LO",6,10))+IF(T5106=1,2,IF(D5106=7,1,(IF(WEEKDAY(B5106)=1,2,IF(WEEKDAY(B5106)=7,1,0))))))</f>
        <v>2</v>
      </c>
      <c r="V5106" s="328">
        <f>VLOOKUP(C5106,METADATA!$A$5:$H$29,IF(E5106="HI",2,IF(E5106="LO",6,10))+IF(T5106=1,2,IF(D5106=7,1,(IF(WEEKDAY(B5106)=1,2,IF(WEEKDAY(B5106)=7,1,0))))))</f>
        <v>2</v>
      </c>
    </row>
    <row r="5107" spans="2:22">
      <c r="B5107" s="318">
        <f t="shared" si="319"/>
        <v>46325</v>
      </c>
      <c r="C5107" s="312">
        <v>15</v>
      </c>
      <c r="D5107" s="368">
        <f>IFERROR((INDEX(METADATA!$T$2:$T$20,MATCH(B5107,METADATA!$S$2:$S$20,0))),0)</f>
        <v>0</v>
      </c>
      <c r="E5107" s="312" t="str">
        <f t="shared" si="316"/>
        <v>LO</v>
      </c>
      <c r="F5107" s="369">
        <f>VLOOKUP(C5107,METADATA!$A$5:$H$29,IF(E5107="HI",2,IF(E5107="LO",6,10))+IF(D5107=1,2,IF(D5107=7,1,(IF(WEEKDAY(B5107)=1,2,IF(WEEKDAY(B5107)=7,1,0))))))</f>
        <v>2</v>
      </c>
      <c r="G5107" s="369">
        <f>VLOOKUP(C5107,METADATA!$J$5:$Q$29,IF(E5107="HI",2,IF(E5107="LO",6,10))+IF(D5107=1,2,IF(D5107=7,1,(IF(WEEKDAY(B5107)=1,2,IF(WEEKDAY(B5107)=7,1,0))))))</f>
        <v>2</v>
      </c>
      <c r="H5107" s="370">
        <v>13037.524658203125</v>
      </c>
      <c r="I5107" s="370">
        <v>10544.724914550781</v>
      </c>
      <c r="M5107" s="371">
        <f t="shared" si="317"/>
        <v>16768.073017994717</v>
      </c>
      <c r="N5107" s="329">
        <f t="shared" si="318"/>
        <v>6633.4675170898445</v>
      </c>
      <c r="T5107" s="331">
        <v>0</v>
      </c>
      <c r="U5107" s="328">
        <f>VLOOKUP(C5107,METADATA!$J$5:$Q$29,IF(E5107="HI",2,IF(E5107="LO",6,10))+IF(T5107=1,2,IF(D5107=7,1,(IF(WEEKDAY(B5107)=1,2,IF(WEEKDAY(B5107)=7,1,0))))))</f>
        <v>2</v>
      </c>
      <c r="V5107" s="328">
        <f>VLOOKUP(C5107,METADATA!$A$5:$H$29,IF(E5107="HI",2,IF(E5107="LO",6,10))+IF(T5107=1,2,IF(D5107=7,1,(IF(WEEKDAY(B5107)=1,2,IF(WEEKDAY(B5107)=7,1,0))))))</f>
        <v>2</v>
      </c>
    </row>
    <row r="5108" spans="2:22">
      <c r="B5108" s="318">
        <f t="shared" si="319"/>
        <v>46325</v>
      </c>
      <c r="C5108" s="312">
        <v>16</v>
      </c>
      <c r="D5108" s="368">
        <f>IFERROR((INDEX(METADATA!$T$2:$T$20,MATCH(B5108,METADATA!$S$2:$S$20,0))),0)</f>
        <v>0</v>
      </c>
      <c r="E5108" s="312" t="str">
        <f t="shared" si="316"/>
        <v>LO</v>
      </c>
      <c r="F5108" s="369">
        <f>VLOOKUP(C5108,METADATA!$A$5:$H$29,IF(E5108="HI",2,IF(E5108="LO",6,10))+IF(D5108=1,2,IF(D5108=7,1,(IF(WEEKDAY(B5108)=1,2,IF(WEEKDAY(B5108)=7,1,0))))))</f>
        <v>2</v>
      </c>
      <c r="G5108" s="369">
        <f>VLOOKUP(C5108,METADATA!$J$5:$Q$29,IF(E5108="HI",2,IF(E5108="LO",6,10))+IF(D5108=1,2,IF(D5108=7,1,(IF(WEEKDAY(B5108)=1,2,IF(WEEKDAY(B5108)=7,1,0))))))</f>
        <v>2</v>
      </c>
      <c r="H5108" s="370">
        <v>13113.474914550781</v>
      </c>
      <c r="I5108" s="370">
        <v>10455.549926757813</v>
      </c>
      <c r="M5108" s="371">
        <f t="shared" si="317"/>
        <v>16771.456365070921</v>
      </c>
      <c r="N5108" s="329">
        <f t="shared" si="318"/>
        <v>6521.5074523925778</v>
      </c>
      <c r="T5108" s="331">
        <v>0</v>
      </c>
      <c r="U5108" s="328">
        <f>VLOOKUP(C5108,METADATA!$J$5:$Q$29,IF(E5108="HI",2,IF(E5108="LO",6,10))+IF(T5108=1,2,IF(D5108=7,1,(IF(WEEKDAY(B5108)=1,2,IF(WEEKDAY(B5108)=7,1,0))))))</f>
        <v>2</v>
      </c>
      <c r="V5108" s="328">
        <f>VLOOKUP(C5108,METADATA!$A$5:$H$29,IF(E5108="HI",2,IF(E5108="LO",6,10))+IF(T5108=1,2,IF(D5108=7,1,(IF(WEEKDAY(B5108)=1,2,IF(WEEKDAY(B5108)=7,1,0))))))</f>
        <v>2</v>
      </c>
    </row>
    <row r="5109" spans="2:22">
      <c r="B5109" s="318">
        <f t="shared" si="319"/>
        <v>46325</v>
      </c>
      <c r="C5109" s="312">
        <v>17</v>
      </c>
      <c r="D5109" s="368">
        <f>IFERROR((INDEX(METADATA!$T$2:$T$20,MATCH(B5109,METADATA!$S$2:$S$20,0))),0)</f>
        <v>0</v>
      </c>
      <c r="E5109" s="312" t="str">
        <f t="shared" si="316"/>
        <v>LO</v>
      </c>
      <c r="F5109" s="369">
        <f>VLOOKUP(C5109,METADATA!$A$5:$H$29,IF(E5109="HI",2,IF(E5109="LO",6,10))+IF(D5109=1,2,IF(D5109=7,1,(IF(WEEKDAY(B5109)=1,2,IF(WEEKDAY(B5109)=7,1,0))))))</f>
        <v>2</v>
      </c>
      <c r="G5109" s="369">
        <f>VLOOKUP(C5109,METADATA!$J$5:$Q$29,IF(E5109="HI",2,IF(E5109="LO",6,10))+IF(D5109=1,2,IF(D5109=7,1,(IF(WEEKDAY(B5109)=1,2,IF(WEEKDAY(B5109)=7,1,0))))))</f>
        <v>2</v>
      </c>
      <c r="H5109" s="370">
        <v>13054.774780273438</v>
      </c>
      <c r="I5109" s="370">
        <v>10397.524963378906</v>
      </c>
      <c r="M5109" s="371">
        <f t="shared" si="317"/>
        <v>16689.38794347327</v>
      </c>
      <c r="N5109" s="329">
        <f t="shared" si="318"/>
        <v>6481.092529296875</v>
      </c>
      <c r="T5109" s="331">
        <v>0</v>
      </c>
      <c r="U5109" s="328">
        <f>VLOOKUP(C5109,METADATA!$J$5:$Q$29,IF(E5109="HI",2,IF(E5109="LO",6,10))+IF(T5109=1,2,IF(D5109=7,1,(IF(WEEKDAY(B5109)=1,2,IF(WEEKDAY(B5109)=7,1,0))))))</f>
        <v>2</v>
      </c>
      <c r="V5109" s="328">
        <f>VLOOKUP(C5109,METADATA!$A$5:$H$29,IF(E5109="HI",2,IF(E5109="LO",6,10))+IF(T5109=1,2,IF(D5109=7,1,(IF(WEEKDAY(B5109)=1,2,IF(WEEKDAY(B5109)=7,1,0))))))</f>
        <v>2</v>
      </c>
    </row>
    <row r="5110" spans="2:22">
      <c r="B5110" s="318">
        <f t="shared" si="319"/>
        <v>46325</v>
      </c>
      <c r="C5110" s="312">
        <v>18</v>
      </c>
      <c r="D5110" s="368">
        <f>IFERROR((INDEX(METADATA!$T$2:$T$20,MATCH(B5110,METADATA!$S$2:$S$20,0))),0)</f>
        <v>0</v>
      </c>
      <c r="E5110" s="312" t="str">
        <f t="shared" si="316"/>
        <v>LO</v>
      </c>
      <c r="F5110" s="369">
        <f>VLOOKUP(C5110,METADATA!$A$5:$H$29,IF(E5110="HI",2,IF(E5110="LO",6,10))+IF(D5110=1,2,IF(D5110=7,1,(IF(WEEKDAY(B5110)=1,2,IF(WEEKDAY(B5110)=7,1,0))))))</f>
        <v>1</v>
      </c>
      <c r="G5110" s="369">
        <f>VLOOKUP(C5110,METADATA!$J$5:$Q$29,IF(E5110="HI",2,IF(E5110="LO",6,10))+IF(D5110=1,2,IF(D5110=7,1,(IF(WEEKDAY(B5110)=1,2,IF(WEEKDAY(B5110)=7,1,0))))))</f>
        <v>1</v>
      </c>
      <c r="H5110" s="370">
        <v>12968.049987792969</v>
      </c>
      <c r="I5110" s="370">
        <v>10344.6748046875</v>
      </c>
      <c r="M5110" s="371">
        <f t="shared" si="317"/>
        <v>16588.629156763785</v>
      </c>
      <c r="N5110" s="329">
        <f t="shared" si="318"/>
        <v>6454.2598083496096</v>
      </c>
      <c r="T5110" s="331">
        <v>0</v>
      </c>
      <c r="U5110" s="328">
        <f>VLOOKUP(C5110,METADATA!$J$5:$Q$29,IF(E5110="HI",2,IF(E5110="LO",6,10))+IF(T5110=1,2,IF(D5110=7,1,(IF(WEEKDAY(B5110)=1,2,IF(WEEKDAY(B5110)=7,1,0))))))</f>
        <v>1</v>
      </c>
      <c r="V5110" s="328">
        <f>VLOOKUP(C5110,METADATA!$A$5:$H$29,IF(E5110="HI",2,IF(E5110="LO",6,10))+IF(T5110=1,2,IF(D5110=7,1,(IF(WEEKDAY(B5110)=1,2,IF(WEEKDAY(B5110)=7,1,0))))))</f>
        <v>1</v>
      </c>
    </row>
    <row r="5111" spans="2:22">
      <c r="B5111" s="318">
        <f t="shared" si="319"/>
        <v>46325</v>
      </c>
      <c r="C5111" s="312">
        <v>19</v>
      </c>
      <c r="D5111" s="368">
        <f>IFERROR((INDEX(METADATA!$T$2:$T$20,MATCH(B5111,METADATA!$S$2:$S$20,0))),0)</f>
        <v>0</v>
      </c>
      <c r="E5111" s="312" t="str">
        <f t="shared" si="316"/>
        <v>LO</v>
      </c>
      <c r="F5111" s="369">
        <f>VLOOKUP(C5111,METADATA!$A$5:$H$29,IF(E5111="HI",2,IF(E5111="LO",6,10))+IF(D5111=1,2,IF(D5111=7,1,(IF(WEEKDAY(B5111)=1,2,IF(WEEKDAY(B5111)=7,1,0))))))</f>
        <v>1</v>
      </c>
      <c r="G5111" s="369">
        <f>VLOOKUP(C5111,METADATA!$J$5:$Q$29,IF(E5111="HI",2,IF(E5111="LO",6,10))+IF(D5111=1,2,IF(D5111=7,1,(IF(WEEKDAY(B5111)=1,2,IF(WEEKDAY(B5111)=7,1,0))))))</f>
        <v>1</v>
      </c>
      <c r="H5111" s="370">
        <v>12891.225158691406</v>
      </c>
      <c r="I5111" s="370">
        <v>10338.550170898438</v>
      </c>
      <c r="M5111" s="371">
        <f t="shared" si="317"/>
        <v>16524.808795512956</v>
      </c>
      <c r="N5111" s="329">
        <f t="shared" si="318"/>
        <v>6471.1826232910153</v>
      </c>
      <c r="T5111" s="331">
        <v>0</v>
      </c>
      <c r="U5111" s="328">
        <f>VLOOKUP(C5111,METADATA!$J$5:$Q$29,IF(E5111="HI",2,IF(E5111="LO",6,10))+IF(T5111=1,2,IF(D5111=7,1,(IF(WEEKDAY(B5111)=1,2,IF(WEEKDAY(B5111)=7,1,0))))))</f>
        <v>1</v>
      </c>
      <c r="V5111" s="328">
        <f>VLOOKUP(C5111,METADATA!$A$5:$H$29,IF(E5111="HI",2,IF(E5111="LO",6,10))+IF(T5111=1,2,IF(D5111=7,1,(IF(WEEKDAY(B5111)=1,2,IF(WEEKDAY(B5111)=7,1,0))))))</f>
        <v>1</v>
      </c>
    </row>
    <row r="5112" spans="2:22">
      <c r="B5112" s="318">
        <f t="shared" si="319"/>
        <v>46325</v>
      </c>
      <c r="C5112" s="312">
        <v>20</v>
      </c>
      <c r="D5112" s="368">
        <f>IFERROR((INDEX(METADATA!$T$2:$T$20,MATCH(B5112,METADATA!$S$2:$S$20,0))),0)</f>
        <v>0</v>
      </c>
      <c r="E5112" s="312" t="str">
        <f t="shared" si="316"/>
        <v>LO</v>
      </c>
      <c r="F5112" s="369">
        <f>VLOOKUP(C5112,METADATA!$A$5:$H$29,IF(E5112="HI",2,IF(E5112="LO",6,10))+IF(D5112=1,2,IF(D5112=7,1,(IF(WEEKDAY(B5112)=1,2,IF(WEEKDAY(B5112)=7,1,0))))))</f>
        <v>1</v>
      </c>
      <c r="G5112" s="369">
        <f>VLOOKUP(C5112,METADATA!$J$5:$Q$29,IF(E5112="HI",2,IF(E5112="LO",6,10))+IF(D5112=1,2,IF(D5112=7,1,(IF(WEEKDAY(B5112)=1,2,IF(WEEKDAY(B5112)=7,1,0))))))</f>
        <v>1</v>
      </c>
      <c r="H5112" s="370">
        <v>12936.62451171875</v>
      </c>
      <c r="I5112" s="370">
        <v>10348.325012207031</v>
      </c>
      <c r="M5112" s="371">
        <f t="shared" si="317"/>
        <v>16566.353983766978</v>
      </c>
      <c r="N5112" s="329">
        <f t="shared" si="318"/>
        <v>6467.3376586914064</v>
      </c>
      <c r="T5112" s="331">
        <v>0</v>
      </c>
      <c r="U5112" s="328">
        <f>VLOOKUP(C5112,METADATA!$J$5:$Q$29,IF(E5112="HI",2,IF(E5112="LO",6,10))+IF(T5112=1,2,IF(D5112=7,1,(IF(WEEKDAY(B5112)=1,2,IF(WEEKDAY(B5112)=7,1,0))))))</f>
        <v>1</v>
      </c>
      <c r="V5112" s="328">
        <f>VLOOKUP(C5112,METADATA!$A$5:$H$29,IF(E5112="HI",2,IF(E5112="LO",6,10))+IF(T5112=1,2,IF(D5112=7,1,(IF(WEEKDAY(B5112)=1,2,IF(WEEKDAY(B5112)=7,1,0))))))</f>
        <v>1</v>
      </c>
    </row>
    <row r="5113" spans="2:22">
      <c r="B5113" s="318">
        <f t="shared" si="319"/>
        <v>46325</v>
      </c>
      <c r="C5113" s="312">
        <v>21</v>
      </c>
      <c r="D5113" s="368">
        <f>IFERROR((INDEX(METADATA!$T$2:$T$20,MATCH(B5113,METADATA!$S$2:$S$20,0))),0)</f>
        <v>0</v>
      </c>
      <c r="E5113" s="312" t="str">
        <f t="shared" si="316"/>
        <v>LO</v>
      </c>
      <c r="F5113" s="369">
        <f>VLOOKUP(C5113,METADATA!$A$5:$H$29,IF(E5113="HI",2,IF(E5113="LO",6,10))+IF(D5113=1,2,IF(D5113=7,1,(IF(WEEKDAY(B5113)=1,2,IF(WEEKDAY(B5113)=7,1,0))))))</f>
        <v>2</v>
      </c>
      <c r="G5113" s="369">
        <f>VLOOKUP(C5113,METADATA!$J$5:$Q$29,IF(E5113="HI",2,IF(E5113="LO",6,10))+IF(D5113=1,2,IF(D5113=7,1,(IF(WEEKDAY(B5113)=1,2,IF(WEEKDAY(B5113)=7,1,0))))))</f>
        <v>2</v>
      </c>
      <c r="H5113" s="370">
        <v>13002.149841308594</v>
      </c>
      <c r="I5113" s="370">
        <v>10420.875122070313</v>
      </c>
      <c r="M5113" s="371">
        <f t="shared" si="317"/>
        <v>16662.849060278528</v>
      </c>
      <c r="N5113" s="329">
        <f t="shared" si="318"/>
        <v>6520.230169677734</v>
      </c>
      <c r="T5113" s="331">
        <v>0</v>
      </c>
      <c r="U5113" s="328">
        <f>VLOOKUP(C5113,METADATA!$J$5:$Q$29,IF(E5113="HI",2,IF(E5113="LO",6,10))+IF(T5113=1,2,IF(D5113=7,1,(IF(WEEKDAY(B5113)=1,2,IF(WEEKDAY(B5113)=7,1,0))))))</f>
        <v>2</v>
      </c>
      <c r="V5113" s="328">
        <f>VLOOKUP(C5113,METADATA!$A$5:$H$29,IF(E5113="HI",2,IF(E5113="LO",6,10))+IF(T5113=1,2,IF(D5113=7,1,(IF(WEEKDAY(B5113)=1,2,IF(WEEKDAY(B5113)=7,1,0))))))</f>
        <v>2</v>
      </c>
    </row>
    <row r="5114" spans="2:22">
      <c r="B5114" s="318">
        <f t="shared" si="319"/>
        <v>46325</v>
      </c>
      <c r="C5114" s="312">
        <v>22</v>
      </c>
      <c r="D5114" s="368">
        <f>IFERROR((INDEX(METADATA!$T$2:$T$20,MATCH(B5114,METADATA!$S$2:$S$20,0))),0)</f>
        <v>0</v>
      </c>
      <c r="E5114" s="312" t="str">
        <f t="shared" si="316"/>
        <v>LO</v>
      </c>
      <c r="F5114" s="369">
        <f>VLOOKUP(C5114,METADATA!$A$5:$H$29,IF(E5114="HI",2,IF(E5114="LO",6,10))+IF(D5114=1,2,IF(D5114=7,1,(IF(WEEKDAY(B5114)=1,2,IF(WEEKDAY(B5114)=7,1,0))))))</f>
        <v>3</v>
      </c>
      <c r="G5114" s="369">
        <f>VLOOKUP(C5114,METADATA!$J$5:$Q$29,IF(E5114="HI",2,IF(E5114="LO",6,10))+IF(D5114=1,2,IF(D5114=7,1,(IF(WEEKDAY(B5114)=1,2,IF(WEEKDAY(B5114)=7,1,0))))))</f>
        <v>3</v>
      </c>
      <c r="H5114" s="370">
        <v>12952.949951171875</v>
      </c>
      <c r="I5114" s="370">
        <v>10549.650207519531</v>
      </c>
      <c r="M5114" s="371">
        <f t="shared" si="317"/>
        <v>16705.509029615961</v>
      </c>
      <c r="N5114" s="329">
        <f t="shared" si="318"/>
        <v>6663.7652221679691</v>
      </c>
      <c r="T5114" s="331">
        <v>0</v>
      </c>
      <c r="U5114" s="328">
        <f>VLOOKUP(C5114,METADATA!$J$5:$Q$29,IF(E5114="HI",2,IF(E5114="LO",6,10))+IF(T5114=1,2,IF(D5114=7,1,(IF(WEEKDAY(B5114)=1,2,IF(WEEKDAY(B5114)=7,1,0))))))</f>
        <v>3</v>
      </c>
      <c r="V5114" s="328">
        <f>VLOOKUP(C5114,METADATA!$A$5:$H$29,IF(E5114="HI",2,IF(E5114="LO",6,10))+IF(T5114=1,2,IF(D5114=7,1,(IF(WEEKDAY(B5114)=1,2,IF(WEEKDAY(B5114)=7,1,0))))))</f>
        <v>3</v>
      </c>
    </row>
    <row r="5115" spans="2:22">
      <c r="B5115" s="318">
        <f t="shared" si="319"/>
        <v>46325</v>
      </c>
      <c r="C5115" s="312">
        <v>23</v>
      </c>
      <c r="D5115" s="368">
        <f>IFERROR((INDEX(METADATA!$T$2:$T$20,MATCH(B5115,METADATA!$S$2:$S$20,0))),0)</f>
        <v>0</v>
      </c>
      <c r="E5115" s="312" t="str">
        <f t="shared" si="316"/>
        <v>LO</v>
      </c>
      <c r="F5115" s="369">
        <f>VLOOKUP(C5115,METADATA!$A$5:$H$29,IF(E5115="HI",2,IF(E5115="LO",6,10))+IF(D5115=1,2,IF(D5115=7,1,(IF(WEEKDAY(B5115)=1,2,IF(WEEKDAY(B5115)=7,1,0))))))</f>
        <v>3</v>
      </c>
      <c r="G5115" s="369">
        <f>VLOOKUP(C5115,METADATA!$J$5:$Q$29,IF(E5115="HI",2,IF(E5115="LO",6,10))+IF(D5115=1,2,IF(D5115=7,1,(IF(WEEKDAY(B5115)=1,2,IF(WEEKDAY(B5115)=7,1,0))))))</f>
        <v>3</v>
      </c>
      <c r="H5115" s="370">
        <v>13045.125122070313</v>
      </c>
      <c r="I5115" s="370">
        <v>10598.950073242188</v>
      </c>
      <c r="M5115" s="371">
        <f t="shared" si="317"/>
        <v>16808.123991259421</v>
      </c>
      <c r="N5115" s="329">
        <f t="shared" si="318"/>
        <v>6685.4125366210938</v>
      </c>
      <c r="T5115" s="331">
        <v>0</v>
      </c>
      <c r="U5115" s="328">
        <f>VLOOKUP(C5115,METADATA!$J$5:$Q$29,IF(E5115="HI",2,IF(E5115="LO",6,10))+IF(T5115=1,2,IF(D5115=7,1,(IF(WEEKDAY(B5115)=1,2,IF(WEEKDAY(B5115)=7,1,0))))))</f>
        <v>3</v>
      </c>
      <c r="V5115" s="328">
        <f>VLOOKUP(C5115,METADATA!$A$5:$H$29,IF(E5115="HI",2,IF(E5115="LO",6,10))+IF(T5115=1,2,IF(D5115=7,1,(IF(WEEKDAY(B5115)=1,2,IF(WEEKDAY(B5115)=7,1,0))))))</f>
        <v>3</v>
      </c>
    </row>
    <row r="5116" spans="2:22">
      <c r="B5116" s="318">
        <f t="shared" si="319"/>
        <v>46326</v>
      </c>
      <c r="C5116" s="312">
        <v>0</v>
      </c>
      <c r="D5116" s="368">
        <f>IFERROR((INDEX(METADATA!$T$2:$T$20,MATCH(B5116,METADATA!$S$2:$S$20,0))),0)</f>
        <v>0</v>
      </c>
      <c r="E5116" s="312" t="str">
        <f t="shared" si="316"/>
        <v>LO</v>
      </c>
      <c r="F5116" s="369">
        <f>VLOOKUP(C5116,METADATA!$A$5:$H$29,IF(E5116="HI",2,IF(E5116="LO",6,10))+IF(D5116=1,2,IF(D5116=7,1,(IF(WEEKDAY(B5116)=1,2,IF(WEEKDAY(B5116)=7,1,0))))))</f>
        <v>3</v>
      </c>
      <c r="G5116" s="369">
        <f>VLOOKUP(C5116,METADATA!$J$5:$Q$29,IF(E5116="HI",2,IF(E5116="LO",6,10))+IF(D5116=1,2,IF(D5116=7,1,(IF(WEEKDAY(B5116)=1,2,IF(WEEKDAY(B5116)=7,1,0))))))</f>
        <v>3</v>
      </c>
      <c r="H5116" s="370">
        <v>13043.399841308594</v>
      </c>
      <c r="I5116" s="370">
        <v>10677.175048828125</v>
      </c>
      <c r="M5116" s="371">
        <f t="shared" si="317"/>
        <v>16856.225747288951</v>
      </c>
      <c r="N5116" s="329">
        <f t="shared" si="318"/>
        <v>6764.1550964355465</v>
      </c>
      <c r="T5116" s="331">
        <v>0</v>
      </c>
      <c r="U5116" s="328">
        <f>VLOOKUP(C5116,METADATA!$J$5:$Q$29,IF(E5116="HI",2,IF(E5116="LO",6,10))+IF(T5116=1,2,IF(D5116=7,1,(IF(WEEKDAY(B5116)=1,2,IF(WEEKDAY(B5116)=7,1,0))))))</f>
        <v>3</v>
      </c>
      <c r="V5116" s="328">
        <f>VLOOKUP(C5116,METADATA!$A$5:$H$29,IF(E5116="HI",2,IF(E5116="LO",6,10))+IF(T5116=1,2,IF(D5116=7,1,(IF(WEEKDAY(B5116)=1,2,IF(WEEKDAY(B5116)=7,1,0))))))</f>
        <v>3</v>
      </c>
    </row>
    <row r="5117" spans="2:22">
      <c r="B5117" s="318">
        <f t="shared" si="319"/>
        <v>46326</v>
      </c>
      <c r="C5117" s="312">
        <v>1</v>
      </c>
      <c r="D5117" s="368">
        <f>IFERROR((INDEX(METADATA!$T$2:$T$20,MATCH(B5117,METADATA!$S$2:$S$20,0))),0)</f>
        <v>0</v>
      </c>
      <c r="E5117" s="312" t="str">
        <f t="shared" si="316"/>
        <v>LO</v>
      </c>
      <c r="F5117" s="369">
        <f>VLOOKUP(C5117,METADATA!$A$5:$H$29,IF(E5117="HI",2,IF(E5117="LO",6,10))+IF(D5117=1,2,IF(D5117=7,1,(IF(WEEKDAY(B5117)=1,2,IF(WEEKDAY(B5117)=7,1,0))))))</f>
        <v>3</v>
      </c>
      <c r="G5117" s="369">
        <f>VLOOKUP(C5117,METADATA!$J$5:$Q$29,IF(E5117="HI",2,IF(E5117="LO",6,10))+IF(D5117=1,2,IF(D5117=7,1,(IF(WEEKDAY(B5117)=1,2,IF(WEEKDAY(B5117)=7,1,0))))))</f>
        <v>3</v>
      </c>
      <c r="H5117" s="370">
        <v>12978.99267578125</v>
      </c>
      <c r="I5117" s="370">
        <v>10673.259948730469</v>
      </c>
      <c r="M5117" s="371">
        <f t="shared" si="317"/>
        <v>16803.949797924215</v>
      </c>
      <c r="N5117" s="329">
        <f t="shared" si="318"/>
        <v>6779.5621459960939</v>
      </c>
      <c r="T5117" s="331">
        <v>0</v>
      </c>
      <c r="U5117" s="328">
        <f>VLOOKUP(C5117,METADATA!$J$5:$Q$29,IF(E5117="HI",2,IF(E5117="LO",6,10))+IF(T5117=1,2,IF(D5117=7,1,(IF(WEEKDAY(B5117)=1,2,IF(WEEKDAY(B5117)=7,1,0))))))</f>
        <v>3</v>
      </c>
      <c r="V5117" s="328">
        <f>VLOOKUP(C5117,METADATA!$A$5:$H$29,IF(E5117="HI",2,IF(E5117="LO",6,10))+IF(T5117=1,2,IF(D5117=7,1,(IF(WEEKDAY(B5117)=1,2,IF(WEEKDAY(B5117)=7,1,0))))))</f>
        <v>3</v>
      </c>
    </row>
    <row r="5118" spans="2:22">
      <c r="B5118" s="318">
        <f t="shared" si="319"/>
        <v>46326</v>
      </c>
      <c r="C5118" s="312">
        <v>2</v>
      </c>
      <c r="D5118" s="368">
        <f>IFERROR((INDEX(METADATA!$T$2:$T$20,MATCH(B5118,METADATA!$S$2:$S$20,0))),0)</f>
        <v>0</v>
      </c>
      <c r="E5118" s="312" t="str">
        <f t="shared" si="316"/>
        <v>LO</v>
      </c>
      <c r="F5118" s="369">
        <f>VLOOKUP(C5118,METADATA!$A$5:$H$29,IF(E5118="HI",2,IF(E5118="LO",6,10))+IF(D5118=1,2,IF(D5118=7,1,(IF(WEEKDAY(B5118)=1,2,IF(WEEKDAY(B5118)=7,1,0))))))</f>
        <v>3</v>
      </c>
      <c r="G5118" s="369">
        <f>VLOOKUP(C5118,METADATA!$J$5:$Q$29,IF(E5118="HI",2,IF(E5118="LO",6,10))+IF(D5118=1,2,IF(D5118=7,1,(IF(WEEKDAY(B5118)=1,2,IF(WEEKDAY(B5118)=7,1,0))))))</f>
        <v>3</v>
      </c>
      <c r="H5118" s="370">
        <v>13063.424865722656</v>
      </c>
      <c r="I5118" s="370">
        <v>10748.374816894531</v>
      </c>
      <c r="M5118" s="371">
        <f t="shared" si="317"/>
        <v>16916.874132854256</v>
      </c>
      <c r="N5118" s="329">
        <f t="shared" si="318"/>
        <v>6829.347357177734</v>
      </c>
      <c r="T5118" s="331">
        <v>0</v>
      </c>
      <c r="U5118" s="328">
        <f>VLOOKUP(C5118,METADATA!$J$5:$Q$29,IF(E5118="HI",2,IF(E5118="LO",6,10))+IF(T5118=1,2,IF(D5118=7,1,(IF(WEEKDAY(B5118)=1,2,IF(WEEKDAY(B5118)=7,1,0))))))</f>
        <v>3</v>
      </c>
      <c r="V5118" s="328">
        <f>VLOOKUP(C5118,METADATA!$A$5:$H$29,IF(E5118="HI",2,IF(E5118="LO",6,10))+IF(T5118=1,2,IF(D5118=7,1,(IF(WEEKDAY(B5118)=1,2,IF(WEEKDAY(B5118)=7,1,0))))))</f>
        <v>3</v>
      </c>
    </row>
    <row r="5119" spans="2:22">
      <c r="B5119" s="318">
        <f t="shared" si="319"/>
        <v>46326</v>
      </c>
      <c r="C5119" s="312">
        <v>3</v>
      </c>
      <c r="D5119" s="368">
        <f>IFERROR((INDEX(METADATA!$T$2:$T$20,MATCH(B5119,METADATA!$S$2:$S$20,0))),0)</f>
        <v>0</v>
      </c>
      <c r="E5119" s="312" t="str">
        <f t="shared" si="316"/>
        <v>LO</v>
      </c>
      <c r="F5119" s="369">
        <f>VLOOKUP(C5119,METADATA!$A$5:$H$29,IF(E5119="HI",2,IF(E5119="LO",6,10))+IF(D5119=1,2,IF(D5119=7,1,(IF(WEEKDAY(B5119)=1,2,IF(WEEKDAY(B5119)=7,1,0))))))</f>
        <v>3</v>
      </c>
      <c r="G5119" s="369">
        <f>VLOOKUP(C5119,METADATA!$J$5:$Q$29,IF(E5119="HI",2,IF(E5119="LO",6,10))+IF(D5119=1,2,IF(D5119=7,1,(IF(WEEKDAY(B5119)=1,2,IF(WEEKDAY(B5119)=7,1,0))))))</f>
        <v>3</v>
      </c>
      <c r="H5119" s="370">
        <v>13071.250244140625</v>
      </c>
      <c r="I5119" s="370">
        <v>10637.850036621094</v>
      </c>
      <c r="M5119" s="371">
        <f t="shared" si="317"/>
        <v>16852.935540925377</v>
      </c>
      <c r="N5119" s="329">
        <f t="shared" si="318"/>
        <v>6716.474963378907</v>
      </c>
      <c r="T5119" s="331">
        <v>0</v>
      </c>
      <c r="U5119" s="328">
        <f>VLOOKUP(C5119,METADATA!$J$5:$Q$29,IF(E5119="HI",2,IF(E5119="LO",6,10))+IF(T5119=1,2,IF(D5119=7,1,(IF(WEEKDAY(B5119)=1,2,IF(WEEKDAY(B5119)=7,1,0))))))</f>
        <v>3</v>
      </c>
      <c r="V5119" s="328">
        <f>VLOOKUP(C5119,METADATA!$A$5:$H$29,IF(E5119="HI",2,IF(E5119="LO",6,10))+IF(T5119=1,2,IF(D5119=7,1,(IF(WEEKDAY(B5119)=1,2,IF(WEEKDAY(B5119)=7,1,0))))))</f>
        <v>3</v>
      </c>
    </row>
    <row r="5120" spans="2:22">
      <c r="B5120" s="318">
        <f t="shared" si="319"/>
        <v>46326</v>
      </c>
      <c r="C5120" s="312">
        <v>4</v>
      </c>
      <c r="D5120" s="368">
        <f>IFERROR((INDEX(METADATA!$T$2:$T$20,MATCH(B5120,METADATA!$S$2:$S$20,0))),0)</f>
        <v>0</v>
      </c>
      <c r="E5120" s="312" t="str">
        <f t="shared" si="316"/>
        <v>LO</v>
      </c>
      <c r="F5120" s="369">
        <f>VLOOKUP(C5120,METADATA!$A$5:$H$29,IF(E5120="HI",2,IF(E5120="LO",6,10))+IF(D5120=1,2,IF(D5120=7,1,(IF(WEEKDAY(B5120)=1,2,IF(WEEKDAY(B5120)=7,1,0))))))</f>
        <v>3</v>
      </c>
      <c r="G5120" s="369">
        <f>VLOOKUP(C5120,METADATA!$J$5:$Q$29,IF(E5120="HI",2,IF(E5120="LO",6,10))+IF(D5120=1,2,IF(D5120=7,1,(IF(WEEKDAY(B5120)=1,2,IF(WEEKDAY(B5120)=7,1,0))))))</f>
        <v>3</v>
      </c>
      <c r="H5120" s="370">
        <v>12890.874633789063</v>
      </c>
      <c r="I5120" s="370">
        <v>10212.700134277344</v>
      </c>
      <c r="M5120" s="371">
        <f t="shared" si="317"/>
        <v>16446.090503725642</v>
      </c>
      <c r="N5120" s="329">
        <f t="shared" si="318"/>
        <v>6345.437744140625</v>
      </c>
      <c r="T5120" s="331">
        <v>0</v>
      </c>
      <c r="U5120" s="328">
        <f>VLOOKUP(C5120,METADATA!$J$5:$Q$29,IF(E5120="HI",2,IF(E5120="LO",6,10))+IF(T5120=1,2,IF(D5120=7,1,(IF(WEEKDAY(B5120)=1,2,IF(WEEKDAY(B5120)=7,1,0))))))</f>
        <v>3</v>
      </c>
      <c r="V5120" s="328">
        <f>VLOOKUP(C5120,METADATA!$A$5:$H$29,IF(E5120="HI",2,IF(E5120="LO",6,10))+IF(T5120=1,2,IF(D5120=7,1,(IF(WEEKDAY(B5120)=1,2,IF(WEEKDAY(B5120)=7,1,0))))))</f>
        <v>3</v>
      </c>
    </row>
    <row r="5121" spans="2:22">
      <c r="B5121" s="318">
        <f t="shared" si="319"/>
        <v>46326</v>
      </c>
      <c r="C5121" s="312">
        <v>5</v>
      </c>
      <c r="D5121" s="368">
        <f>IFERROR((INDEX(METADATA!$T$2:$T$20,MATCH(B5121,METADATA!$S$2:$S$20,0))),0)</f>
        <v>0</v>
      </c>
      <c r="E5121" s="312" t="str">
        <f t="shared" si="316"/>
        <v>LO</v>
      </c>
      <c r="F5121" s="369">
        <f>VLOOKUP(C5121,METADATA!$A$5:$H$29,IF(E5121="HI",2,IF(E5121="LO",6,10))+IF(D5121=1,2,IF(D5121=7,1,(IF(WEEKDAY(B5121)=1,2,IF(WEEKDAY(B5121)=7,1,0))))))</f>
        <v>3</v>
      </c>
      <c r="G5121" s="369">
        <f>VLOOKUP(C5121,METADATA!$J$5:$Q$29,IF(E5121="HI",2,IF(E5121="LO",6,10))+IF(D5121=1,2,IF(D5121=7,1,(IF(WEEKDAY(B5121)=1,2,IF(WEEKDAY(B5121)=7,1,0))))))</f>
        <v>3</v>
      </c>
      <c r="H5121" s="370">
        <v>13191.374694824219</v>
      </c>
      <c r="I5121" s="370">
        <v>10358.899780273438</v>
      </c>
      <c r="M5121" s="371">
        <f t="shared" si="317"/>
        <v>16772.571985148785</v>
      </c>
      <c r="N5121" s="329">
        <f t="shared" si="318"/>
        <v>6401.4873718261715</v>
      </c>
      <c r="T5121" s="331">
        <v>0</v>
      </c>
      <c r="U5121" s="328">
        <f>VLOOKUP(C5121,METADATA!$J$5:$Q$29,IF(E5121="HI",2,IF(E5121="LO",6,10))+IF(T5121=1,2,IF(D5121=7,1,(IF(WEEKDAY(B5121)=1,2,IF(WEEKDAY(B5121)=7,1,0))))))</f>
        <v>3</v>
      </c>
      <c r="V5121" s="328">
        <f>VLOOKUP(C5121,METADATA!$A$5:$H$29,IF(E5121="HI",2,IF(E5121="LO",6,10))+IF(T5121=1,2,IF(D5121=7,1,(IF(WEEKDAY(B5121)=1,2,IF(WEEKDAY(B5121)=7,1,0))))))</f>
        <v>3</v>
      </c>
    </row>
    <row r="5122" spans="2:22">
      <c r="B5122" s="318">
        <f t="shared" si="319"/>
        <v>46326</v>
      </c>
      <c r="C5122" s="312">
        <v>6</v>
      </c>
      <c r="D5122" s="368">
        <f>IFERROR((INDEX(METADATA!$T$2:$T$20,MATCH(B5122,METADATA!$S$2:$S$20,0))),0)</f>
        <v>0</v>
      </c>
      <c r="E5122" s="312" t="str">
        <f t="shared" si="316"/>
        <v>LO</v>
      </c>
      <c r="F5122" s="369">
        <f>VLOOKUP(C5122,METADATA!$A$5:$H$29,IF(E5122="HI",2,IF(E5122="LO",6,10))+IF(D5122=1,2,IF(D5122=7,1,(IF(WEEKDAY(B5122)=1,2,IF(WEEKDAY(B5122)=7,1,0))))))</f>
        <v>3</v>
      </c>
      <c r="G5122" s="369">
        <f>VLOOKUP(C5122,METADATA!$J$5:$Q$29,IF(E5122="HI",2,IF(E5122="LO",6,10))+IF(D5122=1,2,IF(D5122=7,1,(IF(WEEKDAY(B5122)=1,2,IF(WEEKDAY(B5122)=7,1,0))))))</f>
        <v>3</v>
      </c>
      <c r="H5122" s="370">
        <v>13159.549926757813</v>
      </c>
      <c r="I5122" s="370">
        <v>10342.700073242188</v>
      </c>
      <c r="M5122" s="371">
        <f t="shared" si="317"/>
        <v>16737.538620713483</v>
      </c>
      <c r="N5122" s="329">
        <f t="shared" si="318"/>
        <v>6394.8350952148439</v>
      </c>
      <c r="T5122" s="331">
        <v>0</v>
      </c>
      <c r="U5122" s="328">
        <f>VLOOKUP(C5122,METADATA!$J$5:$Q$29,IF(E5122="HI",2,IF(E5122="LO",6,10))+IF(T5122=1,2,IF(D5122=7,1,(IF(WEEKDAY(B5122)=1,2,IF(WEEKDAY(B5122)=7,1,0))))))</f>
        <v>3</v>
      </c>
      <c r="V5122" s="328">
        <f>VLOOKUP(C5122,METADATA!$A$5:$H$29,IF(E5122="HI",2,IF(E5122="LO",6,10))+IF(T5122=1,2,IF(D5122=7,1,(IF(WEEKDAY(B5122)=1,2,IF(WEEKDAY(B5122)=7,1,0))))))</f>
        <v>3</v>
      </c>
    </row>
    <row r="5123" spans="2:22">
      <c r="B5123" s="318">
        <f t="shared" si="319"/>
        <v>46326</v>
      </c>
      <c r="C5123" s="312">
        <v>7</v>
      </c>
      <c r="D5123" s="368">
        <f>IFERROR((INDEX(METADATA!$T$2:$T$20,MATCH(B5123,METADATA!$S$2:$S$20,0))),0)</f>
        <v>0</v>
      </c>
      <c r="E5123" s="312" t="str">
        <f t="shared" si="316"/>
        <v>LO</v>
      </c>
      <c r="F5123" s="369">
        <f>VLOOKUP(C5123,METADATA!$A$5:$H$29,IF(E5123="HI",2,IF(E5123="LO",6,10))+IF(D5123=1,2,IF(D5123=7,1,(IF(WEEKDAY(B5123)=1,2,IF(WEEKDAY(B5123)=7,1,0))))))</f>
        <v>2</v>
      </c>
      <c r="G5123" s="369">
        <f>VLOOKUP(C5123,METADATA!$J$5:$Q$29,IF(E5123="HI",2,IF(E5123="LO",6,10))+IF(D5123=1,2,IF(D5123=7,1,(IF(WEEKDAY(B5123)=1,2,IF(WEEKDAY(B5123)=7,1,0))))))</f>
        <v>2</v>
      </c>
      <c r="H5123" s="370">
        <v>13211.900085449219</v>
      </c>
      <c r="I5123" s="370">
        <v>10202.350158691406</v>
      </c>
      <c r="M5123" s="371">
        <f t="shared" si="317"/>
        <v>16692.580765970361</v>
      </c>
      <c r="N5123" s="329">
        <f t="shared" si="318"/>
        <v>6238.7801330566408</v>
      </c>
      <c r="T5123" s="331">
        <v>0</v>
      </c>
      <c r="U5123" s="328">
        <f>VLOOKUP(C5123,METADATA!$J$5:$Q$29,IF(E5123="HI",2,IF(E5123="LO",6,10))+IF(T5123=1,2,IF(D5123=7,1,(IF(WEEKDAY(B5123)=1,2,IF(WEEKDAY(B5123)=7,1,0))))))</f>
        <v>2</v>
      </c>
      <c r="V5123" s="328">
        <f>VLOOKUP(C5123,METADATA!$A$5:$H$29,IF(E5123="HI",2,IF(E5123="LO",6,10))+IF(T5123=1,2,IF(D5123=7,1,(IF(WEEKDAY(B5123)=1,2,IF(WEEKDAY(B5123)=7,1,0))))))</f>
        <v>2</v>
      </c>
    </row>
    <row r="5124" spans="2:22">
      <c r="B5124" s="318">
        <f t="shared" si="319"/>
        <v>46326</v>
      </c>
      <c r="C5124" s="312">
        <v>8</v>
      </c>
      <c r="D5124" s="368">
        <f>IFERROR((INDEX(METADATA!$T$2:$T$20,MATCH(B5124,METADATA!$S$2:$S$20,0))),0)</f>
        <v>0</v>
      </c>
      <c r="E5124" s="312" t="str">
        <f t="shared" ref="E5124:E5187" si="320">IF(B5124="","",IF(AND(MONTH(B5124)&gt;=MONTH($Z$9),MONTH(B5124)&lt;=MONTH($Z$11)),"HI","LO"))</f>
        <v>LO</v>
      </c>
      <c r="F5124" s="369">
        <f>VLOOKUP(C5124,METADATA!$A$5:$H$29,IF(E5124="HI",2,IF(E5124="LO",6,10))+IF(D5124=1,2,IF(D5124=7,1,(IF(WEEKDAY(B5124)=1,2,IF(WEEKDAY(B5124)=7,1,0))))))</f>
        <v>2</v>
      </c>
      <c r="G5124" s="369">
        <f>VLOOKUP(C5124,METADATA!$J$5:$Q$29,IF(E5124="HI",2,IF(E5124="LO",6,10))+IF(D5124=1,2,IF(D5124=7,1,(IF(WEEKDAY(B5124)=1,2,IF(WEEKDAY(B5124)=7,1,0))))))</f>
        <v>2</v>
      </c>
      <c r="H5124" s="370">
        <v>12277.724548339844</v>
      </c>
      <c r="I5124" s="370">
        <v>9867.2825927734375</v>
      </c>
      <c r="M5124" s="371">
        <f t="shared" ref="M5124:M5187" si="321">SQRT(H5124^2+I5124^2)</f>
        <v>15751.374094045144</v>
      </c>
      <c r="N5124" s="329">
        <f t="shared" ref="N5124:N5187" si="322">IF(H5124=0,0,(IF(I5124-(0.3*H5124)&lt;0,0,(I5124-(0.3*H5124)))))</f>
        <v>6183.9652282714851</v>
      </c>
      <c r="T5124" s="331">
        <v>0</v>
      </c>
      <c r="U5124" s="328">
        <f>VLOOKUP(C5124,METADATA!$J$5:$Q$29,IF(E5124="HI",2,IF(E5124="LO",6,10))+IF(T5124=1,2,IF(D5124=7,1,(IF(WEEKDAY(B5124)=1,2,IF(WEEKDAY(B5124)=7,1,0))))))</f>
        <v>2</v>
      </c>
      <c r="V5124" s="328">
        <f>VLOOKUP(C5124,METADATA!$A$5:$H$29,IF(E5124="HI",2,IF(E5124="LO",6,10))+IF(T5124=1,2,IF(D5124=7,1,(IF(WEEKDAY(B5124)=1,2,IF(WEEKDAY(B5124)=7,1,0))))))</f>
        <v>2</v>
      </c>
    </row>
    <row r="5125" spans="2:22">
      <c r="B5125" s="318">
        <f t="shared" si="319"/>
        <v>46326</v>
      </c>
      <c r="C5125" s="312">
        <v>9</v>
      </c>
      <c r="D5125" s="368">
        <f>IFERROR((INDEX(METADATA!$T$2:$T$20,MATCH(B5125,METADATA!$S$2:$S$20,0))),0)</f>
        <v>0</v>
      </c>
      <c r="E5125" s="312" t="str">
        <f t="shared" si="320"/>
        <v>LO</v>
      </c>
      <c r="F5125" s="369">
        <f>VLOOKUP(C5125,METADATA!$A$5:$H$29,IF(E5125="HI",2,IF(E5125="LO",6,10))+IF(D5125=1,2,IF(D5125=7,1,(IF(WEEKDAY(B5125)=1,2,IF(WEEKDAY(B5125)=7,1,0))))))</f>
        <v>2</v>
      </c>
      <c r="G5125" s="369">
        <f>VLOOKUP(C5125,METADATA!$J$5:$Q$29,IF(E5125="HI",2,IF(E5125="LO",6,10))+IF(D5125=1,2,IF(D5125=7,1,(IF(WEEKDAY(B5125)=1,2,IF(WEEKDAY(B5125)=7,1,0))))))</f>
        <v>2</v>
      </c>
      <c r="H5125" s="370">
        <v>11127.849853515625</v>
      </c>
      <c r="I5125" s="370">
        <v>9219.2924194335938</v>
      </c>
      <c r="M5125" s="371">
        <f t="shared" si="321"/>
        <v>14450.757595275531</v>
      </c>
      <c r="N5125" s="329">
        <f t="shared" si="322"/>
        <v>5880.9374633789066</v>
      </c>
      <c r="T5125" s="331">
        <v>0</v>
      </c>
      <c r="U5125" s="328">
        <f>VLOOKUP(C5125,METADATA!$J$5:$Q$29,IF(E5125="HI",2,IF(E5125="LO",6,10))+IF(T5125=1,2,IF(D5125=7,1,(IF(WEEKDAY(B5125)=1,2,IF(WEEKDAY(B5125)=7,1,0))))))</f>
        <v>2</v>
      </c>
      <c r="V5125" s="328">
        <f>VLOOKUP(C5125,METADATA!$A$5:$H$29,IF(E5125="HI",2,IF(E5125="LO",6,10))+IF(T5125=1,2,IF(D5125=7,1,(IF(WEEKDAY(B5125)=1,2,IF(WEEKDAY(B5125)=7,1,0))))))</f>
        <v>2</v>
      </c>
    </row>
    <row r="5126" spans="2:22">
      <c r="B5126" s="318">
        <f t="shared" si="319"/>
        <v>46326</v>
      </c>
      <c r="C5126" s="312">
        <v>10</v>
      </c>
      <c r="D5126" s="368">
        <f>IFERROR((INDEX(METADATA!$T$2:$T$20,MATCH(B5126,METADATA!$S$2:$S$20,0))),0)</f>
        <v>0</v>
      </c>
      <c r="E5126" s="312" t="str">
        <f t="shared" si="320"/>
        <v>LO</v>
      </c>
      <c r="F5126" s="369">
        <f>VLOOKUP(C5126,METADATA!$A$5:$H$29,IF(E5126="HI",2,IF(E5126="LO",6,10))+IF(D5126=1,2,IF(D5126=7,1,(IF(WEEKDAY(B5126)=1,2,IF(WEEKDAY(B5126)=7,1,0))))))</f>
        <v>2</v>
      </c>
      <c r="G5126" s="369">
        <f>VLOOKUP(C5126,METADATA!$J$5:$Q$29,IF(E5126="HI",2,IF(E5126="LO",6,10))+IF(D5126=1,2,IF(D5126=7,1,(IF(WEEKDAY(B5126)=1,2,IF(WEEKDAY(B5126)=7,1,0))))))</f>
        <v>2</v>
      </c>
      <c r="H5126" s="370">
        <v>12310.875244140625</v>
      </c>
      <c r="I5126" s="370">
        <v>9926.552734375</v>
      </c>
      <c r="M5126" s="371">
        <f t="shared" si="321"/>
        <v>15814.363675631159</v>
      </c>
      <c r="N5126" s="329">
        <f t="shared" si="322"/>
        <v>6233.2901611328125</v>
      </c>
      <c r="T5126" s="331">
        <v>0</v>
      </c>
      <c r="U5126" s="328">
        <f>VLOOKUP(C5126,METADATA!$J$5:$Q$29,IF(E5126="HI",2,IF(E5126="LO",6,10))+IF(T5126=1,2,IF(D5126=7,1,(IF(WEEKDAY(B5126)=1,2,IF(WEEKDAY(B5126)=7,1,0))))))</f>
        <v>2</v>
      </c>
      <c r="V5126" s="328">
        <f>VLOOKUP(C5126,METADATA!$A$5:$H$29,IF(E5126="HI",2,IF(E5126="LO",6,10))+IF(T5126=1,2,IF(D5126=7,1,(IF(WEEKDAY(B5126)=1,2,IF(WEEKDAY(B5126)=7,1,0))))))</f>
        <v>2</v>
      </c>
    </row>
    <row r="5127" spans="2:22">
      <c r="B5127" s="318">
        <f t="shared" si="319"/>
        <v>46326</v>
      </c>
      <c r="C5127" s="312">
        <v>11</v>
      </c>
      <c r="D5127" s="368">
        <f>IFERROR((INDEX(METADATA!$T$2:$T$20,MATCH(B5127,METADATA!$S$2:$S$20,0))),0)</f>
        <v>0</v>
      </c>
      <c r="E5127" s="312" t="str">
        <f t="shared" si="320"/>
        <v>LO</v>
      </c>
      <c r="F5127" s="369">
        <f>VLOOKUP(C5127,METADATA!$A$5:$H$29,IF(E5127="HI",2,IF(E5127="LO",6,10))+IF(D5127=1,2,IF(D5127=7,1,(IF(WEEKDAY(B5127)=1,2,IF(WEEKDAY(B5127)=7,1,0))))))</f>
        <v>2</v>
      </c>
      <c r="G5127" s="369">
        <f>VLOOKUP(C5127,METADATA!$J$5:$Q$29,IF(E5127="HI",2,IF(E5127="LO",6,10))+IF(D5127=1,2,IF(D5127=7,1,(IF(WEEKDAY(B5127)=1,2,IF(WEEKDAY(B5127)=7,1,0))))))</f>
        <v>2</v>
      </c>
      <c r="H5127" s="370">
        <v>12994.47509765625</v>
      </c>
      <c r="I5127" s="370">
        <v>10271.64990234375</v>
      </c>
      <c r="M5127" s="371">
        <f t="shared" si="321"/>
        <v>16563.911819975583</v>
      </c>
      <c r="N5127" s="329">
        <f t="shared" si="322"/>
        <v>6373.307373046875</v>
      </c>
      <c r="T5127" s="331">
        <v>0</v>
      </c>
      <c r="U5127" s="328">
        <f>VLOOKUP(C5127,METADATA!$J$5:$Q$29,IF(E5127="HI",2,IF(E5127="LO",6,10))+IF(T5127=1,2,IF(D5127=7,1,(IF(WEEKDAY(B5127)=1,2,IF(WEEKDAY(B5127)=7,1,0))))))</f>
        <v>2</v>
      </c>
      <c r="V5127" s="328">
        <f>VLOOKUP(C5127,METADATA!$A$5:$H$29,IF(E5127="HI",2,IF(E5127="LO",6,10))+IF(T5127=1,2,IF(D5127=7,1,(IF(WEEKDAY(B5127)=1,2,IF(WEEKDAY(B5127)=7,1,0))))))</f>
        <v>2</v>
      </c>
    </row>
    <row r="5128" spans="2:22">
      <c r="B5128" s="318">
        <f t="shared" si="319"/>
        <v>46326</v>
      </c>
      <c r="C5128" s="312">
        <v>12</v>
      </c>
      <c r="D5128" s="368">
        <f>IFERROR((INDEX(METADATA!$T$2:$T$20,MATCH(B5128,METADATA!$S$2:$S$20,0))),0)</f>
        <v>0</v>
      </c>
      <c r="E5128" s="312" t="str">
        <f t="shared" si="320"/>
        <v>LO</v>
      </c>
      <c r="F5128" s="369">
        <f>VLOOKUP(C5128,METADATA!$A$5:$H$29,IF(E5128="HI",2,IF(E5128="LO",6,10))+IF(D5128=1,2,IF(D5128=7,1,(IF(WEEKDAY(B5128)=1,2,IF(WEEKDAY(B5128)=7,1,0))))))</f>
        <v>3</v>
      </c>
      <c r="G5128" s="369">
        <f>VLOOKUP(C5128,METADATA!$J$5:$Q$29,IF(E5128="HI",2,IF(E5128="LO",6,10))+IF(D5128=1,2,IF(D5128=7,1,(IF(WEEKDAY(B5128)=1,2,IF(WEEKDAY(B5128)=7,1,0))))))</f>
        <v>3</v>
      </c>
      <c r="H5128" s="370">
        <v>13307.050170898438</v>
      </c>
      <c r="I5128" s="370">
        <v>10359.624877929688</v>
      </c>
      <c r="M5128" s="371">
        <f t="shared" si="321"/>
        <v>16864.145749554817</v>
      </c>
      <c r="N5128" s="329">
        <f t="shared" si="322"/>
        <v>6367.5098266601563</v>
      </c>
      <c r="T5128" s="331">
        <v>0</v>
      </c>
      <c r="U5128" s="328">
        <f>VLOOKUP(C5128,METADATA!$J$5:$Q$29,IF(E5128="HI",2,IF(E5128="LO",6,10))+IF(T5128=1,2,IF(D5128=7,1,(IF(WEEKDAY(B5128)=1,2,IF(WEEKDAY(B5128)=7,1,0))))))</f>
        <v>3</v>
      </c>
      <c r="V5128" s="328">
        <f>VLOOKUP(C5128,METADATA!$A$5:$H$29,IF(E5128="HI",2,IF(E5128="LO",6,10))+IF(T5128=1,2,IF(D5128=7,1,(IF(WEEKDAY(B5128)=1,2,IF(WEEKDAY(B5128)=7,1,0))))))</f>
        <v>3</v>
      </c>
    </row>
    <row r="5129" spans="2:22">
      <c r="B5129" s="318">
        <f t="shared" si="319"/>
        <v>46326</v>
      </c>
      <c r="C5129" s="312">
        <v>13</v>
      </c>
      <c r="D5129" s="368">
        <f>IFERROR((INDEX(METADATA!$T$2:$T$20,MATCH(B5129,METADATA!$S$2:$S$20,0))),0)</f>
        <v>0</v>
      </c>
      <c r="E5129" s="312" t="str">
        <f t="shared" si="320"/>
        <v>LO</v>
      </c>
      <c r="F5129" s="369">
        <f>VLOOKUP(C5129,METADATA!$A$5:$H$29,IF(E5129="HI",2,IF(E5129="LO",6,10))+IF(D5129=1,2,IF(D5129=7,1,(IF(WEEKDAY(B5129)=1,2,IF(WEEKDAY(B5129)=7,1,0))))))</f>
        <v>3</v>
      </c>
      <c r="G5129" s="369">
        <f>VLOOKUP(C5129,METADATA!$J$5:$Q$29,IF(E5129="HI",2,IF(E5129="LO",6,10))+IF(D5129=1,2,IF(D5129=7,1,(IF(WEEKDAY(B5129)=1,2,IF(WEEKDAY(B5129)=7,1,0))))))</f>
        <v>3</v>
      </c>
      <c r="H5129" s="370">
        <v>13356.249938964844</v>
      </c>
      <c r="I5129" s="370">
        <v>10400.224792480469</v>
      </c>
      <c r="M5129" s="371">
        <f t="shared" si="321"/>
        <v>16927.908558537991</v>
      </c>
      <c r="N5129" s="329">
        <f t="shared" si="322"/>
        <v>6393.3498107910164</v>
      </c>
      <c r="T5129" s="331">
        <v>0</v>
      </c>
      <c r="U5129" s="328">
        <f>VLOOKUP(C5129,METADATA!$J$5:$Q$29,IF(E5129="HI",2,IF(E5129="LO",6,10))+IF(T5129=1,2,IF(D5129=7,1,(IF(WEEKDAY(B5129)=1,2,IF(WEEKDAY(B5129)=7,1,0))))))</f>
        <v>3</v>
      </c>
      <c r="V5129" s="328">
        <f>VLOOKUP(C5129,METADATA!$A$5:$H$29,IF(E5129="HI",2,IF(E5129="LO",6,10))+IF(T5129=1,2,IF(D5129=7,1,(IF(WEEKDAY(B5129)=1,2,IF(WEEKDAY(B5129)=7,1,0))))))</f>
        <v>3</v>
      </c>
    </row>
    <row r="5130" spans="2:22">
      <c r="B5130" s="318">
        <f t="shared" si="319"/>
        <v>46326</v>
      </c>
      <c r="C5130" s="312">
        <v>14</v>
      </c>
      <c r="D5130" s="368">
        <f>IFERROR((INDEX(METADATA!$T$2:$T$20,MATCH(B5130,METADATA!$S$2:$S$20,0))),0)</f>
        <v>0</v>
      </c>
      <c r="E5130" s="312" t="str">
        <f t="shared" si="320"/>
        <v>LO</v>
      </c>
      <c r="F5130" s="369">
        <f>VLOOKUP(C5130,METADATA!$A$5:$H$29,IF(E5130="HI",2,IF(E5130="LO",6,10))+IF(D5130=1,2,IF(D5130=7,1,(IF(WEEKDAY(B5130)=1,2,IF(WEEKDAY(B5130)=7,1,0))))))</f>
        <v>3</v>
      </c>
      <c r="G5130" s="369">
        <f>VLOOKUP(C5130,METADATA!$J$5:$Q$29,IF(E5130="HI",2,IF(E5130="LO",6,10))+IF(D5130=1,2,IF(D5130=7,1,(IF(WEEKDAY(B5130)=1,2,IF(WEEKDAY(B5130)=7,1,0))))))</f>
        <v>3</v>
      </c>
      <c r="H5130" s="370">
        <v>13534.200256347656</v>
      </c>
      <c r="I5130" s="370">
        <v>10536.575012207031</v>
      </c>
      <c r="M5130" s="371">
        <f t="shared" si="321"/>
        <v>17152.084117295675</v>
      </c>
      <c r="N5130" s="329">
        <f t="shared" si="322"/>
        <v>6476.3149353027347</v>
      </c>
      <c r="T5130" s="331">
        <v>0</v>
      </c>
      <c r="U5130" s="328">
        <f>VLOOKUP(C5130,METADATA!$J$5:$Q$29,IF(E5130="HI",2,IF(E5130="LO",6,10))+IF(T5130=1,2,IF(D5130=7,1,(IF(WEEKDAY(B5130)=1,2,IF(WEEKDAY(B5130)=7,1,0))))))</f>
        <v>3</v>
      </c>
      <c r="V5130" s="328">
        <f>VLOOKUP(C5130,METADATA!$A$5:$H$29,IF(E5130="HI",2,IF(E5130="LO",6,10))+IF(T5130=1,2,IF(D5130=7,1,(IF(WEEKDAY(B5130)=1,2,IF(WEEKDAY(B5130)=7,1,0))))))</f>
        <v>3</v>
      </c>
    </row>
    <row r="5131" spans="2:22">
      <c r="B5131" s="318">
        <f t="shared" si="319"/>
        <v>46326</v>
      </c>
      <c r="C5131" s="312">
        <v>15</v>
      </c>
      <c r="D5131" s="368">
        <f>IFERROR((INDEX(METADATA!$T$2:$T$20,MATCH(B5131,METADATA!$S$2:$S$20,0))),0)</f>
        <v>0</v>
      </c>
      <c r="E5131" s="312" t="str">
        <f t="shared" si="320"/>
        <v>LO</v>
      </c>
      <c r="F5131" s="369">
        <f>VLOOKUP(C5131,METADATA!$A$5:$H$29,IF(E5131="HI",2,IF(E5131="LO",6,10))+IF(D5131=1,2,IF(D5131=7,1,(IF(WEEKDAY(B5131)=1,2,IF(WEEKDAY(B5131)=7,1,0))))))</f>
        <v>3</v>
      </c>
      <c r="G5131" s="369">
        <f>VLOOKUP(C5131,METADATA!$J$5:$Q$29,IF(E5131="HI",2,IF(E5131="LO",6,10))+IF(D5131=1,2,IF(D5131=7,1,(IF(WEEKDAY(B5131)=1,2,IF(WEEKDAY(B5131)=7,1,0))))))</f>
        <v>3</v>
      </c>
      <c r="H5131" s="370">
        <v>13597.300170898438</v>
      </c>
      <c r="I5131" s="370">
        <v>10539.374877929688</v>
      </c>
      <c r="M5131" s="371">
        <f t="shared" si="321"/>
        <v>17203.633184738916</v>
      </c>
      <c r="N5131" s="329">
        <f t="shared" si="322"/>
        <v>6460.1848266601564</v>
      </c>
      <c r="T5131" s="331">
        <v>0</v>
      </c>
      <c r="U5131" s="328">
        <f>VLOOKUP(C5131,METADATA!$J$5:$Q$29,IF(E5131="HI",2,IF(E5131="LO",6,10))+IF(T5131=1,2,IF(D5131=7,1,(IF(WEEKDAY(B5131)=1,2,IF(WEEKDAY(B5131)=7,1,0))))))</f>
        <v>3</v>
      </c>
      <c r="V5131" s="328">
        <f>VLOOKUP(C5131,METADATA!$A$5:$H$29,IF(E5131="HI",2,IF(E5131="LO",6,10))+IF(T5131=1,2,IF(D5131=7,1,(IF(WEEKDAY(B5131)=1,2,IF(WEEKDAY(B5131)=7,1,0))))))</f>
        <v>3</v>
      </c>
    </row>
    <row r="5132" spans="2:22">
      <c r="B5132" s="318">
        <f t="shared" si="319"/>
        <v>46326</v>
      </c>
      <c r="C5132" s="312">
        <v>16</v>
      </c>
      <c r="D5132" s="368">
        <f>IFERROR((INDEX(METADATA!$T$2:$T$20,MATCH(B5132,METADATA!$S$2:$S$20,0))),0)</f>
        <v>0</v>
      </c>
      <c r="E5132" s="312" t="str">
        <f t="shared" si="320"/>
        <v>LO</v>
      </c>
      <c r="F5132" s="369">
        <f>VLOOKUP(C5132,METADATA!$A$5:$H$29,IF(E5132="HI",2,IF(E5132="LO",6,10))+IF(D5132=1,2,IF(D5132=7,1,(IF(WEEKDAY(B5132)=1,2,IF(WEEKDAY(B5132)=7,1,0))))))</f>
        <v>3</v>
      </c>
      <c r="G5132" s="369">
        <f>VLOOKUP(C5132,METADATA!$J$5:$Q$29,IF(E5132="HI",2,IF(E5132="LO",6,10))+IF(D5132=1,2,IF(D5132=7,1,(IF(WEEKDAY(B5132)=1,2,IF(WEEKDAY(B5132)=7,1,0))))))</f>
        <v>3</v>
      </c>
      <c r="H5132" s="370">
        <v>13476.049926757813</v>
      </c>
      <c r="I5132" s="370">
        <v>10497.050170898438</v>
      </c>
      <c r="M5132" s="371">
        <f t="shared" si="321"/>
        <v>17081.919796054193</v>
      </c>
      <c r="N5132" s="329">
        <f t="shared" si="322"/>
        <v>6454.2351928710941</v>
      </c>
      <c r="T5132" s="331">
        <v>0</v>
      </c>
      <c r="U5132" s="328">
        <f>VLOOKUP(C5132,METADATA!$J$5:$Q$29,IF(E5132="HI",2,IF(E5132="LO",6,10))+IF(T5132=1,2,IF(D5132=7,1,(IF(WEEKDAY(B5132)=1,2,IF(WEEKDAY(B5132)=7,1,0))))))</f>
        <v>3</v>
      </c>
      <c r="V5132" s="328">
        <f>VLOOKUP(C5132,METADATA!$A$5:$H$29,IF(E5132="HI",2,IF(E5132="LO",6,10))+IF(T5132=1,2,IF(D5132=7,1,(IF(WEEKDAY(B5132)=1,2,IF(WEEKDAY(B5132)=7,1,0))))))</f>
        <v>3</v>
      </c>
    </row>
    <row r="5133" spans="2:22">
      <c r="B5133" s="318">
        <f t="shared" si="319"/>
        <v>46326</v>
      </c>
      <c r="C5133" s="312">
        <v>17</v>
      </c>
      <c r="D5133" s="368">
        <f>IFERROR((INDEX(METADATA!$T$2:$T$20,MATCH(B5133,METADATA!$S$2:$S$20,0))),0)</f>
        <v>0</v>
      </c>
      <c r="E5133" s="312" t="str">
        <f t="shared" si="320"/>
        <v>LO</v>
      </c>
      <c r="F5133" s="369">
        <f>VLOOKUP(C5133,METADATA!$A$5:$H$29,IF(E5133="HI",2,IF(E5133="LO",6,10))+IF(D5133=1,2,IF(D5133=7,1,(IF(WEEKDAY(B5133)=1,2,IF(WEEKDAY(B5133)=7,1,0))))))</f>
        <v>3</v>
      </c>
      <c r="G5133" s="369">
        <f>VLOOKUP(C5133,METADATA!$J$5:$Q$29,IF(E5133="HI",2,IF(E5133="LO",6,10))+IF(D5133=1,2,IF(D5133=7,1,(IF(WEEKDAY(B5133)=1,2,IF(WEEKDAY(B5133)=7,1,0))))))</f>
        <v>3</v>
      </c>
      <c r="H5133" s="370">
        <v>13451.149658203125</v>
      </c>
      <c r="I5133" s="370">
        <v>10507.850036621094</v>
      </c>
      <c r="M5133" s="371">
        <f t="shared" si="321"/>
        <v>17068.929067738725</v>
      </c>
      <c r="N5133" s="329">
        <f t="shared" si="322"/>
        <v>6472.5051391601564</v>
      </c>
      <c r="T5133" s="331">
        <v>0</v>
      </c>
      <c r="U5133" s="328">
        <f>VLOOKUP(C5133,METADATA!$J$5:$Q$29,IF(E5133="HI",2,IF(E5133="LO",6,10))+IF(T5133=1,2,IF(D5133=7,1,(IF(WEEKDAY(B5133)=1,2,IF(WEEKDAY(B5133)=7,1,0))))))</f>
        <v>3</v>
      </c>
      <c r="V5133" s="328">
        <f>VLOOKUP(C5133,METADATA!$A$5:$H$29,IF(E5133="HI",2,IF(E5133="LO",6,10))+IF(T5133=1,2,IF(D5133=7,1,(IF(WEEKDAY(B5133)=1,2,IF(WEEKDAY(B5133)=7,1,0))))))</f>
        <v>3</v>
      </c>
    </row>
    <row r="5134" spans="2:22">
      <c r="B5134" s="318">
        <f t="shared" si="319"/>
        <v>46326</v>
      </c>
      <c r="C5134" s="312">
        <v>18</v>
      </c>
      <c r="D5134" s="368">
        <f>IFERROR((INDEX(METADATA!$T$2:$T$20,MATCH(B5134,METADATA!$S$2:$S$20,0))),0)</f>
        <v>0</v>
      </c>
      <c r="E5134" s="312" t="str">
        <f t="shared" si="320"/>
        <v>LO</v>
      </c>
      <c r="F5134" s="369">
        <f>VLOOKUP(C5134,METADATA!$A$5:$H$29,IF(E5134="HI",2,IF(E5134="LO",6,10))+IF(D5134=1,2,IF(D5134=7,1,(IF(WEEKDAY(B5134)=1,2,IF(WEEKDAY(B5134)=7,1,0))))))</f>
        <v>2</v>
      </c>
      <c r="G5134" s="369">
        <f>VLOOKUP(C5134,METADATA!$J$5:$Q$29,IF(E5134="HI",2,IF(E5134="LO",6,10))+IF(D5134=1,2,IF(D5134=7,1,(IF(WEEKDAY(B5134)=1,2,IF(WEEKDAY(B5134)=7,1,0))))))</f>
        <v>2</v>
      </c>
      <c r="H5134" s="370">
        <v>13375.849731445313</v>
      </c>
      <c r="I5134" s="370">
        <v>10420.375</v>
      </c>
      <c r="M5134" s="371">
        <f t="shared" si="321"/>
        <v>16955.753335633031</v>
      </c>
      <c r="N5134" s="329">
        <f t="shared" si="322"/>
        <v>6407.6200805664066</v>
      </c>
      <c r="T5134" s="331">
        <v>0</v>
      </c>
      <c r="U5134" s="328">
        <f>VLOOKUP(C5134,METADATA!$J$5:$Q$29,IF(E5134="HI",2,IF(E5134="LO",6,10))+IF(T5134=1,2,IF(D5134=7,1,(IF(WEEKDAY(B5134)=1,2,IF(WEEKDAY(B5134)=7,1,0))))))</f>
        <v>2</v>
      </c>
      <c r="V5134" s="328">
        <f>VLOOKUP(C5134,METADATA!$A$5:$H$29,IF(E5134="HI",2,IF(E5134="LO",6,10))+IF(T5134=1,2,IF(D5134=7,1,(IF(WEEKDAY(B5134)=1,2,IF(WEEKDAY(B5134)=7,1,0))))))</f>
        <v>2</v>
      </c>
    </row>
    <row r="5135" spans="2:22">
      <c r="B5135" s="318">
        <f t="shared" si="319"/>
        <v>46326</v>
      </c>
      <c r="C5135" s="312">
        <v>19</v>
      </c>
      <c r="D5135" s="368">
        <f>IFERROR((INDEX(METADATA!$T$2:$T$20,MATCH(B5135,METADATA!$S$2:$S$20,0))),0)</f>
        <v>0</v>
      </c>
      <c r="E5135" s="312" t="str">
        <f t="shared" si="320"/>
        <v>LO</v>
      </c>
      <c r="F5135" s="369">
        <f>VLOOKUP(C5135,METADATA!$A$5:$H$29,IF(E5135="HI",2,IF(E5135="LO",6,10))+IF(D5135=1,2,IF(D5135=7,1,(IF(WEEKDAY(B5135)=1,2,IF(WEEKDAY(B5135)=7,1,0))))))</f>
        <v>2</v>
      </c>
      <c r="G5135" s="369">
        <f>VLOOKUP(C5135,METADATA!$J$5:$Q$29,IF(E5135="HI",2,IF(E5135="LO",6,10))+IF(D5135=1,2,IF(D5135=7,1,(IF(WEEKDAY(B5135)=1,2,IF(WEEKDAY(B5135)=7,1,0))))))</f>
        <v>2</v>
      </c>
      <c r="H5135" s="370">
        <v>13434.44970703125</v>
      </c>
      <c r="I5135" s="370">
        <v>10424.47509765625</v>
      </c>
      <c r="M5135" s="371">
        <f t="shared" si="321"/>
        <v>17004.532336774431</v>
      </c>
      <c r="N5135" s="329">
        <f t="shared" si="322"/>
        <v>6394.1401855468757</v>
      </c>
      <c r="T5135" s="331">
        <v>0</v>
      </c>
      <c r="U5135" s="328">
        <f>VLOOKUP(C5135,METADATA!$J$5:$Q$29,IF(E5135="HI",2,IF(E5135="LO",6,10))+IF(T5135=1,2,IF(D5135=7,1,(IF(WEEKDAY(B5135)=1,2,IF(WEEKDAY(B5135)=7,1,0))))))</f>
        <v>2</v>
      </c>
      <c r="V5135" s="328">
        <f>VLOOKUP(C5135,METADATA!$A$5:$H$29,IF(E5135="HI",2,IF(E5135="LO",6,10))+IF(T5135=1,2,IF(D5135=7,1,(IF(WEEKDAY(B5135)=1,2,IF(WEEKDAY(B5135)=7,1,0))))))</f>
        <v>2</v>
      </c>
    </row>
    <row r="5136" spans="2:22">
      <c r="B5136" s="318">
        <f t="shared" si="319"/>
        <v>46326</v>
      </c>
      <c r="C5136" s="312">
        <v>20</v>
      </c>
      <c r="D5136" s="368">
        <f>IFERROR((INDEX(METADATA!$T$2:$T$20,MATCH(B5136,METADATA!$S$2:$S$20,0))),0)</f>
        <v>0</v>
      </c>
      <c r="E5136" s="312" t="str">
        <f t="shared" si="320"/>
        <v>LO</v>
      </c>
      <c r="F5136" s="369">
        <f>VLOOKUP(C5136,METADATA!$A$5:$H$29,IF(E5136="HI",2,IF(E5136="LO",6,10))+IF(D5136=1,2,IF(D5136=7,1,(IF(WEEKDAY(B5136)=1,2,IF(WEEKDAY(B5136)=7,1,0))))))</f>
        <v>3</v>
      </c>
      <c r="G5136" s="369">
        <f>VLOOKUP(C5136,METADATA!$J$5:$Q$29,IF(E5136="HI",2,IF(E5136="LO",6,10))+IF(D5136=1,2,IF(D5136=7,1,(IF(WEEKDAY(B5136)=1,2,IF(WEEKDAY(B5136)=7,1,0))))))</f>
        <v>3</v>
      </c>
      <c r="H5136" s="370">
        <v>13501.224853515625</v>
      </c>
      <c r="I5136" s="370">
        <v>10481.624877929688</v>
      </c>
      <c r="M5136" s="371">
        <f t="shared" si="321"/>
        <v>17092.323792475454</v>
      </c>
      <c r="N5136" s="329">
        <f t="shared" si="322"/>
        <v>6431.2574218749996</v>
      </c>
      <c r="T5136" s="331">
        <v>0</v>
      </c>
      <c r="U5136" s="328">
        <f>VLOOKUP(C5136,METADATA!$J$5:$Q$29,IF(E5136="HI",2,IF(E5136="LO",6,10))+IF(T5136=1,2,IF(D5136=7,1,(IF(WEEKDAY(B5136)=1,2,IF(WEEKDAY(B5136)=7,1,0))))))</f>
        <v>3</v>
      </c>
      <c r="V5136" s="328">
        <f>VLOOKUP(C5136,METADATA!$A$5:$H$29,IF(E5136="HI",2,IF(E5136="LO",6,10))+IF(T5136=1,2,IF(D5136=7,1,(IF(WEEKDAY(B5136)=1,2,IF(WEEKDAY(B5136)=7,1,0))))))</f>
        <v>3</v>
      </c>
    </row>
    <row r="5137" spans="2:22">
      <c r="B5137" s="318">
        <f t="shared" si="319"/>
        <v>46326</v>
      </c>
      <c r="C5137" s="312">
        <v>21</v>
      </c>
      <c r="D5137" s="368">
        <f>IFERROR((INDEX(METADATA!$T$2:$T$20,MATCH(B5137,METADATA!$S$2:$S$20,0))),0)</f>
        <v>0</v>
      </c>
      <c r="E5137" s="312" t="str">
        <f t="shared" si="320"/>
        <v>LO</v>
      </c>
      <c r="F5137" s="369">
        <f>VLOOKUP(C5137,METADATA!$A$5:$H$29,IF(E5137="HI",2,IF(E5137="LO",6,10))+IF(D5137=1,2,IF(D5137=7,1,(IF(WEEKDAY(B5137)=1,2,IF(WEEKDAY(B5137)=7,1,0))))))</f>
        <v>3</v>
      </c>
      <c r="G5137" s="369">
        <f>VLOOKUP(C5137,METADATA!$J$5:$Q$29,IF(E5137="HI",2,IF(E5137="LO",6,10))+IF(D5137=1,2,IF(D5137=7,1,(IF(WEEKDAY(B5137)=1,2,IF(WEEKDAY(B5137)=7,1,0))))))</f>
        <v>3</v>
      </c>
      <c r="H5137" s="370">
        <v>13527.975524902344</v>
      </c>
      <c r="I5137" s="370">
        <v>10526.325134277344</v>
      </c>
      <c r="M5137" s="371">
        <f t="shared" si="321"/>
        <v>17140.87636717784</v>
      </c>
      <c r="N5137" s="329">
        <f t="shared" si="322"/>
        <v>6467.9324768066408</v>
      </c>
      <c r="T5137" s="331">
        <v>0</v>
      </c>
      <c r="U5137" s="328">
        <f>VLOOKUP(C5137,METADATA!$J$5:$Q$29,IF(E5137="HI",2,IF(E5137="LO",6,10))+IF(T5137=1,2,IF(D5137=7,1,(IF(WEEKDAY(B5137)=1,2,IF(WEEKDAY(B5137)=7,1,0))))))</f>
        <v>3</v>
      </c>
      <c r="V5137" s="328">
        <f>VLOOKUP(C5137,METADATA!$A$5:$H$29,IF(E5137="HI",2,IF(E5137="LO",6,10))+IF(T5137=1,2,IF(D5137=7,1,(IF(WEEKDAY(B5137)=1,2,IF(WEEKDAY(B5137)=7,1,0))))))</f>
        <v>3</v>
      </c>
    </row>
    <row r="5138" spans="2:22">
      <c r="B5138" s="318">
        <f t="shared" si="319"/>
        <v>46326</v>
      </c>
      <c r="C5138" s="312">
        <v>22</v>
      </c>
      <c r="D5138" s="368">
        <f>IFERROR((INDEX(METADATA!$T$2:$T$20,MATCH(B5138,METADATA!$S$2:$S$20,0))),0)</f>
        <v>0</v>
      </c>
      <c r="E5138" s="312" t="str">
        <f t="shared" si="320"/>
        <v>LO</v>
      </c>
      <c r="F5138" s="369">
        <f>VLOOKUP(C5138,METADATA!$A$5:$H$29,IF(E5138="HI",2,IF(E5138="LO",6,10))+IF(D5138=1,2,IF(D5138=7,1,(IF(WEEKDAY(B5138)=1,2,IF(WEEKDAY(B5138)=7,1,0))))))</f>
        <v>3</v>
      </c>
      <c r="G5138" s="369">
        <f>VLOOKUP(C5138,METADATA!$J$5:$Q$29,IF(E5138="HI",2,IF(E5138="LO",6,10))+IF(D5138=1,2,IF(D5138=7,1,(IF(WEEKDAY(B5138)=1,2,IF(WEEKDAY(B5138)=7,1,0))))))</f>
        <v>3</v>
      </c>
      <c r="H5138" s="370">
        <v>13482.000061035156</v>
      </c>
      <c r="I5138" s="370">
        <v>10638.749938964844</v>
      </c>
      <c r="M5138" s="371">
        <f t="shared" si="321"/>
        <v>17174.030566805697</v>
      </c>
      <c r="N5138" s="329">
        <f t="shared" si="322"/>
        <v>6594.1499206542976</v>
      </c>
      <c r="T5138" s="331">
        <v>0</v>
      </c>
      <c r="U5138" s="328">
        <f>VLOOKUP(C5138,METADATA!$J$5:$Q$29,IF(E5138="HI",2,IF(E5138="LO",6,10))+IF(T5138=1,2,IF(D5138=7,1,(IF(WEEKDAY(B5138)=1,2,IF(WEEKDAY(B5138)=7,1,0))))))</f>
        <v>3</v>
      </c>
      <c r="V5138" s="328">
        <f>VLOOKUP(C5138,METADATA!$A$5:$H$29,IF(E5138="HI",2,IF(E5138="LO",6,10))+IF(T5138=1,2,IF(D5138=7,1,(IF(WEEKDAY(B5138)=1,2,IF(WEEKDAY(B5138)=7,1,0))))))</f>
        <v>3</v>
      </c>
    </row>
    <row r="5139" spans="2:22">
      <c r="B5139" s="318">
        <f t="shared" si="319"/>
        <v>46326</v>
      </c>
      <c r="C5139" s="312">
        <v>23</v>
      </c>
      <c r="D5139" s="368">
        <f>IFERROR((INDEX(METADATA!$T$2:$T$20,MATCH(B5139,METADATA!$S$2:$S$20,0))),0)</f>
        <v>0</v>
      </c>
      <c r="E5139" s="312" t="str">
        <f t="shared" si="320"/>
        <v>LO</v>
      </c>
      <c r="F5139" s="369">
        <f>VLOOKUP(C5139,METADATA!$A$5:$H$29,IF(E5139="HI",2,IF(E5139="LO",6,10))+IF(D5139=1,2,IF(D5139=7,1,(IF(WEEKDAY(B5139)=1,2,IF(WEEKDAY(B5139)=7,1,0))))))</f>
        <v>3</v>
      </c>
      <c r="G5139" s="369">
        <f>VLOOKUP(C5139,METADATA!$J$5:$Q$29,IF(E5139="HI",2,IF(E5139="LO",6,10))+IF(D5139=1,2,IF(D5139=7,1,(IF(WEEKDAY(B5139)=1,2,IF(WEEKDAY(B5139)=7,1,0))))))</f>
        <v>3</v>
      </c>
      <c r="H5139" s="370">
        <v>13532.599731445313</v>
      </c>
      <c r="I5139" s="370">
        <v>10647.100036621094</v>
      </c>
      <c r="M5139" s="371">
        <f t="shared" si="321"/>
        <v>17218.942902551556</v>
      </c>
      <c r="N5139" s="329">
        <f t="shared" si="322"/>
        <v>6587.3201171875007</v>
      </c>
      <c r="T5139" s="331">
        <v>0</v>
      </c>
      <c r="U5139" s="328">
        <f>VLOOKUP(C5139,METADATA!$J$5:$Q$29,IF(E5139="HI",2,IF(E5139="LO",6,10))+IF(T5139=1,2,IF(D5139=7,1,(IF(WEEKDAY(B5139)=1,2,IF(WEEKDAY(B5139)=7,1,0))))))</f>
        <v>3</v>
      </c>
      <c r="V5139" s="328">
        <f>VLOOKUP(C5139,METADATA!$A$5:$H$29,IF(E5139="HI",2,IF(E5139="LO",6,10))+IF(T5139=1,2,IF(D5139=7,1,(IF(WEEKDAY(B5139)=1,2,IF(WEEKDAY(B5139)=7,1,0))))))</f>
        <v>3</v>
      </c>
    </row>
    <row r="5140" spans="2:22">
      <c r="B5140" s="318">
        <f t="shared" si="319"/>
        <v>46327</v>
      </c>
      <c r="C5140" s="312">
        <v>0</v>
      </c>
      <c r="D5140" s="368">
        <f>IFERROR((INDEX(METADATA!$T$2:$T$20,MATCH(B5140,METADATA!$S$2:$S$20,0))),0)</f>
        <v>0</v>
      </c>
      <c r="E5140" s="312" t="str">
        <f t="shared" si="320"/>
        <v>LO</v>
      </c>
      <c r="F5140" s="369">
        <f>VLOOKUP(C5140,METADATA!$A$5:$H$29,IF(E5140="HI",2,IF(E5140="LO",6,10))+IF(D5140=1,2,IF(D5140=7,1,(IF(WEEKDAY(B5140)=1,2,IF(WEEKDAY(B5140)=7,1,0))))))</f>
        <v>3</v>
      </c>
      <c r="G5140" s="369">
        <f>VLOOKUP(C5140,METADATA!$J$5:$Q$29,IF(E5140="HI",2,IF(E5140="LO",6,10))+IF(D5140=1,2,IF(D5140=7,1,(IF(WEEKDAY(B5140)=1,2,IF(WEEKDAY(B5140)=7,1,0))))))</f>
        <v>3</v>
      </c>
      <c r="H5140" s="370">
        <v>13440.25</v>
      </c>
      <c r="I5140" s="370">
        <v>10676.750061035156</v>
      </c>
      <c r="M5140" s="371">
        <f t="shared" si="321"/>
        <v>17164.886015593409</v>
      </c>
      <c r="N5140" s="329">
        <f t="shared" si="322"/>
        <v>6644.6750610351564</v>
      </c>
      <c r="T5140" s="331">
        <v>0</v>
      </c>
      <c r="U5140" s="328">
        <f>VLOOKUP(C5140,METADATA!$J$5:$Q$29,IF(E5140="HI",2,IF(E5140="LO",6,10))+IF(T5140=1,2,IF(D5140=7,1,(IF(WEEKDAY(B5140)=1,2,IF(WEEKDAY(B5140)=7,1,0))))))</f>
        <v>3</v>
      </c>
      <c r="V5140" s="328">
        <f>VLOOKUP(C5140,METADATA!$A$5:$H$29,IF(E5140="HI",2,IF(E5140="LO",6,10))+IF(T5140=1,2,IF(D5140=7,1,(IF(WEEKDAY(B5140)=1,2,IF(WEEKDAY(B5140)=7,1,0))))))</f>
        <v>3</v>
      </c>
    </row>
    <row r="5141" spans="2:22">
      <c r="B5141" s="318">
        <f t="shared" si="319"/>
        <v>46327</v>
      </c>
      <c r="C5141" s="312">
        <v>1</v>
      </c>
      <c r="D5141" s="368">
        <f>IFERROR((INDEX(METADATA!$T$2:$T$20,MATCH(B5141,METADATA!$S$2:$S$20,0))),0)</f>
        <v>0</v>
      </c>
      <c r="E5141" s="312" t="str">
        <f t="shared" si="320"/>
        <v>LO</v>
      </c>
      <c r="F5141" s="369">
        <f>VLOOKUP(C5141,METADATA!$A$5:$H$29,IF(E5141="HI",2,IF(E5141="LO",6,10))+IF(D5141=1,2,IF(D5141=7,1,(IF(WEEKDAY(B5141)=1,2,IF(WEEKDAY(B5141)=7,1,0))))))</f>
        <v>3</v>
      </c>
      <c r="G5141" s="369">
        <f>VLOOKUP(C5141,METADATA!$J$5:$Q$29,IF(E5141="HI",2,IF(E5141="LO",6,10))+IF(D5141=1,2,IF(D5141=7,1,(IF(WEEKDAY(B5141)=1,2,IF(WEEKDAY(B5141)=7,1,0))))))</f>
        <v>3</v>
      </c>
      <c r="H5141" s="370">
        <v>13418.122863769531</v>
      </c>
      <c r="I5141" s="370">
        <v>10697.977478027344</v>
      </c>
      <c r="M5141" s="371">
        <f t="shared" si="321"/>
        <v>17160.790870691097</v>
      </c>
      <c r="N5141" s="329">
        <f t="shared" si="322"/>
        <v>6672.5406188964844</v>
      </c>
      <c r="T5141" s="331">
        <v>0</v>
      </c>
      <c r="U5141" s="328">
        <f>VLOOKUP(C5141,METADATA!$J$5:$Q$29,IF(E5141="HI",2,IF(E5141="LO",6,10))+IF(T5141=1,2,IF(D5141=7,1,(IF(WEEKDAY(B5141)=1,2,IF(WEEKDAY(B5141)=7,1,0))))))</f>
        <v>3</v>
      </c>
      <c r="V5141" s="328">
        <f>VLOOKUP(C5141,METADATA!$A$5:$H$29,IF(E5141="HI",2,IF(E5141="LO",6,10))+IF(T5141=1,2,IF(D5141=7,1,(IF(WEEKDAY(B5141)=1,2,IF(WEEKDAY(B5141)=7,1,0))))))</f>
        <v>3</v>
      </c>
    </row>
    <row r="5142" spans="2:22">
      <c r="B5142" s="318">
        <f t="shared" si="319"/>
        <v>46327</v>
      </c>
      <c r="C5142" s="312">
        <v>2</v>
      </c>
      <c r="D5142" s="368">
        <f>IFERROR((INDEX(METADATA!$T$2:$T$20,MATCH(B5142,METADATA!$S$2:$S$20,0))),0)</f>
        <v>0</v>
      </c>
      <c r="E5142" s="312" t="str">
        <f t="shared" si="320"/>
        <v>LO</v>
      </c>
      <c r="F5142" s="369">
        <f>VLOOKUP(C5142,METADATA!$A$5:$H$29,IF(E5142="HI",2,IF(E5142="LO",6,10))+IF(D5142=1,2,IF(D5142=7,1,(IF(WEEKDAY(B5142)=1,2,IF(WEEKDAY(B5142)=7,1,0))))))</f>
        <v>3</v>
      </c>
      <c r="G5142" s="369">
        <f>VLOOKUP(C5142,METADATA!$J$5:$Q$29,IF(E5142="HI",2,IF(E5142="LO",6,10))+IF(D5142=1,2,IF(D5142=7,1,(IF(WEEKDAY(B5142)=1,2,IF(WEEKDAY(B5142)=7,1,0))))))</f>
        <v>3</v>
      </c>
      <c r="H5142" s="370">
        <v>13353.024536132813</v>
      </c>
      <c r="I5142" s="370">
        <v>10698.875061035156</v>
      </c>
      <c r="M5142" s="371">
        <f t="shared" si="321"/>
        <v>17110.499461856889</v>
      </c>
      <c r="N5142" s="329">
        <f t="shared" si="322"/>
        <v>6692.9677001953132</v>
      </c>
      <c r="T5142" s="331">
        <v>0</v>
      </c>
      <c r="U5142" s="328">
        <f>VLOOKUP(C5142,METADATA!$J$5:$Q$29,IF(E5142="HI",2,IF(E5142="LO",6,10))+IF(T5142=1,2,IF(D5142=7,1,(IF(WEEKDAY(B5142)=1,2,IF(WEEKDAY(B5142)=7,1,0))))))</f>
        <v>3</v>
      </c>
      <c r="V5142" s="328">
        <f>VLOOKUP(C5142,METADATA!$A$5:$H$29,IF(E5142="HI",2,IF(E5142="LO",6,10))+IF(T5142=1,2,IF(D5142=7,1,(IF(WEEKDAY(B5142)=1,2,IF(WEEKDAY(B5142)=7,1,0))))))</f>
        <v>3</v>
      </c>
    </row>
    <row r="5143" spans="2:22">
      <c r="B5143" s="318">
        <f t="shared" si="319"/>
        <v>46327</v>
      </c>
      <c r="C5143" s="312">
        <v>3</v>
      </c>
      <c r="D5143" s="368">
        <f>IFERROR((INDEX(METADATA!$T$2:$T$20,MATCH(B5143,METADATA!$S$2:$S$20,0))),0)</f>
        <v>0</v>
      </c>
      <c r="E5143" s="312" t="str">
        <f t="shared" si="320"/>
        <v>LO</v>
      </c>
      <c r="F5143" s="369">
        <f>VLOOKUP(C5143,METADATA!$A$5:$H$29,IF(E5143="HI",2,IF(E5143="LO",6,10))+IF(D5143=1,2,IF(D5143=7,1,(IF(WEEKDAY(B5143)=1,2,IF(WEEKDAY(B5143)=7,1,0))))))</f>
        <v>3</v>
      </c>
      <c r="G5143" s="369">
        <f>VLOOKUP(C5143,METADATA!$J$5:$Q$29,IF(E5143="HI",2,IF(E5143="LO",6,10))+IF(D5143=1,2,IF(D5143=7,1,(IF(WEEKDAY(B5143)=1,2,IF(WEEKDAY(B5143)=7,1,0))))))</f>
        <v>3</v>
      </c>
      <c r="H5143" s="370">
        <v>13390.750122070313</v>
      </c>
      <c r="I5143" s="370">
        <v>10750.72509765625</v>
      </c>
      <c r="M5143" s="371">
        <f t="shared" si="321"/>
        <v>17172.369637213789</v>
      </c>
      <c r="N5143" s="329">
        <f t="shared" si="322"/>
        <v>6733.5000610351563</v>
      </c>
      <c r="T5143" s="331">
        <v>0</v>
      </c>
      <c r="U5143" s="328">
        <f>VLOOKUP(C5143,METADATA!$J$5:$Q$29,IF(E5143="HI",2,IF(E5143="LO",6,10))+IF(T5143=1,2,IF(D5143=7,1,(IF(WEEKDAY(B5143)=1,2,IF(WEEKDAY(B5143)=7,1,0))))))</f>
        <v>3</v>
      </c>
      <c r="V5143" s="328">
        <f>VLOOKUP(C5143,METADATA!$A$5:$H$29,IF(E5143="HI",2,IF(E5143="LO",6,10))+IF(T5143=1,2,IF(D5143=7,1,(IF(WEEKDAY(B5143)=1,2,IF(WEEKDAY(B5143)=7,1,0))))))</f>
        <v>3</v>
      </c>
    </row>
    <row r="5144" spans="2:22">
      <c r="B5144" s="318">
        <f t="shared" si="319"/>
        <v>46327</v>
      </c>
      <c r="C5144" s="312">
        <v>4</v>
      </c>
      <c r="D5144" s="368">
        <f>IFERROR((INDEX(METADATA!$T$2:$T$20,MATCH(B5144,METADATA!$S$2:$S$20,0))),0)</f>
        <v>0</v>
      </c>
      <c r="E5144" s="312" t="str">
        <f t="shared" si="320"/>
        <v>LO</v>
      </c>
      <c r="F5144" s="369">
        <f>VLOOKUP(C5144,METADATA!$A$5:$H$29,IF(E5144="HI",2,IF(E5144="LO",6,10))+IF(D5144=1,2,IF(D5144=7,1,(IF(WEEKDAY(B5144)=1,2,IF(WEEKDAY(B5144)=7,1,0))))))</f>
        <v>3</v>
      </c>
      <c r="G5144" s="369">
        <f>VLOOKUP(C5144,METADATA!$J$5:$Q$29,IF(E5144="HI",2,IF(E5144="LO",6,10))+IF(D5144=1,2,IF(D5144=7,1,(IF(WEEKDAY(B5144)=1,2,IF(WEEKDAY(B5144)=7,1,0))))))</f>
        <v>3</v>
      </c>
      <c r="H5144" s="370">
        <v>13385.750061035156</v>
      </c>
      <c r="I5144" s="370">
        <v>10669.824951171875</v>
      </c>
      <c r="M5144" s="371">
        <f t="shared" si="321"/>
        <v>17117.928297114478</v>
      </c>
      <c r="N5144" s="329">
        <f t="shared" si="322"/>
        <v>6654.0999328613289</v>
      </c>
      <c r="T5144" s="331">
        <v>0</v>
      </c>
      <c r="U5144" s="328">
        <f>VLOOKUP(C5144,METADATA!$J$5:$Q$29,IF(E5144="HI",2,IF(E5144="LO",6,10))+IF(T5144=1,2,IF(D5144=7,1,(IF(WEEKDAY(B5144)=1,2,IF(WEEKDAY(B5144)=7,1,0))))))</f>
        <v>3</v>
      </c>
      <c r="V5144" s="328">
        <f>VLOOKUP(C5144,METADATA!$A$5:$H$29,IF(E5144="HI",2,IF(E5144="LO",6,10))+IF(T5144=1,2,IF(D5144=7,1,(IF(WEEKDAY(B5144)=1,2,IF(WEEKDAY(B5144)=7,1,0))))))</f>
        <v>3</v>
      </c>
    </row>
    <row r="5145" spans="2:22">
      <c r="B5145" s="318">
        <f t="shared" si="319"/>
        <v>46327</v>
      </c>
      <c r="C5145" s="312">
        <v>5</v>
      </c>
      <c r="D5145" s="368">
        <f>IFERROR((INDEX(METADATA!$T$2:$T$20,MATCH(B5145,METADATA!$S$2:$S$20,0))),0)</f>
        <v>0</v>
      </c>
      <c r="E5145" s="312" t="str">
        <f t="shared" si="320"/>
        <v>LO</v>
      </c>
      <c r="F5145" s="369">
        <f>VLOOKUP(C5145,METADATA!$A$5:$H$29,IF(E5145="HI",2,IF(E5145="LO",6,10))+IF(D5145=1,2,IF(D5145=7,1,(IF(WEEKDAY(B5145)=1,2,IF(WEEKDAY(B5145)=7,1,0))))))</f>
        <v>3</v>
      </c>
      <c r="G5145" s="369">
        <f>VLOOKUP(C5145,METADATA!$J$5:$Q$29,IF(E5145="HI",2,IF(E5145="LO",6,10))+IF(D5145=1,2,IF(D5145=7,1,(IF(WEEKDAY(B5145)=1,2,IF(WEEKDAY(B5145)=7,1,0))))))</f>
        <v>3</v>
      </c>
      <c r="H5145" s="370">
        <v>13368.100524902344</v>
      </c>
      <c r="I5145" s="370">
        <v>10506.725036621094</v>
      </c>
      <c r="M5145" s="371">
        <f t="shared" si="321"/>
        <v>17002.863954024182</v>
      </c>
      <c r="N5145" s="329">
        <f t="shared" si="322"/>
        <v>6496.2948791503914</v>
      </c>
      <c r="T5145" s="331">
        <v>0</v>
      </c>
      <c r="U5145" s="328">
        <f>VLOOKUP(C5145,METADATA!$J$5:$Q$29,IF(E5145="HI",2,IF(E5145="LO",6,10))+IF(T5145=1,2,IF(D5145=7,1,(IF(WEEKDAY(B5145)=1,2,IF(WEEKDAY(B5145)=7,1,0))))))</f>
        <v>3</v>
      </c>
      <c r="V5145" s="328">
        <f>VLOOKUP(C5145,METADATA!$A$5:$H$29,IF(E5145="HI",2,IF(E5145="LO",6,10))+IF(T5145=1,2,IF(D5145=7,1,(IF(WEEKDAY(B5145)=1,2,IF(WEEKDAY(B5145)=7,1,0))))))</f>
        <v>3</v>
      </c>
    </row>
    <row r="5146" spans="2:22">
      <c r="B5146" s="318">
        <f t="shared" si="319"/>
        <v>46327</v>
      </c>
      <c r="C5146" s="312">
        <v>6</v>
      </c>
      <c r="D5146" s="368">
        <f>IFERROR((INDEX(METADATA!$T$2:$T$20,MATCH(B5146,METADATA!$S$2:$S$20,0))),0)</f>
        <v>0</v>
      </c>
      <c r="E5146" s="312" t="str">
        <f t="shared" si="320"/>
        <v>LO</v>
      </c>
      <c r="F5146" s="369">
        <f>VLOOKUP(C5146,METADATA!$A$5:$H$29,IF(E5146="HI",2,IF(E5146="LO",6,10))+IF(D5146=1,2,IF(D5146=7,1,(IF(WEEKDAY(B5146)=1,2,IF(WEEKDAY(B5146)=7,1,0))))))</f>
        <v>3</v>
      </c>
      <c r="G5146" s="369">
        <f>VLOOKUP(C5146,METADATA!$J$5:$Q$29,IF(E5146="HI",2,IF(E5146="LO",6,10))+IF(D5146=1,2,IF(D5146=7,1,(IF(WEEKDAY(B5146)=1,2,IF(WEEKDAY(B5146)=7,1,0))))))</f>
        <v>3</v>
      </c>
      <c r="H5146" s="370">
        <v>13409.499877929688</v>
      </c>
      <c r="I5146" s="370">
        <v>10439.524780273438</v>
      </c>
      <c r="M5146" s="371">
        <f t="shared" si="321"/>
        <v>16994.068512694052</v>
      </c>
      <c r="N5146" s="329">
        <f t="shared" si="322"/>
        <v>6416.6748168945314</v>
      </c>
      <c r="T5146" s="331">
        <v>0</v>
      </c>
      <c r="U5146" s="328">
        <f>VLOOKUP(C5146,METADATA!$J$5:$Q$29,IF(E5146="HI",2,IF(E5146="LO",6,10))+IF(T5146=1,2,IF(D5146=7,1,(IF(WEEKDAY(B5146)=1,2,IF(WEEKDAY(B5146)=7,1,0))))))</f>
        <v>3</v>
      </c>
      <c r="V5146" s="328">
        <f>VLOOKUP(C5146,METADATA!$A$5:$H$29,IF(E5146="HI",2,IF(E5146="LO",6,10))+IF(T5146=1,2,IF(D5146=7,1,(IF(WEEKDAY(B5146)=1,2,IF(WEEKDAY(B5146)=7,1,0))))))</f>
        <v>3</v>
      </c>
    </row>
    <row r="5147" spans="2:22">
      <c r="B5147" s="318">
        <f t="shared" si="319"/>
        <v>46327</v>
      </c>
      <c r="C5147" s="312">
        <v>7</v>
      </c>
      <c r="D5147" s="368">
        <f>IFERROR((INDEX(METADATA!$T$2:$T$20,MATCH(B5147,METADATA!$S$2:$S$20,0))),0)</f>
        <v>0</v>
      </c>
      <c r="E5147" s="312" t="str">
        <f t="shared" si="320"/>
        <v>LO</v>
      </c>
      <c r="F5147" s="369">
        <f>VLOOKUP(C5147,METADATA!$A$5:$H$29,IF(E5147="HI",2,IF(E5147="LO",6,10))+IF(D5147=1,2,IF(D5147=7,1,(IF(WEEKDAY(B5147)=1,2,IF(WEEKDAY(B5147)=7,1,0))))))</f>
        <v>3</v>
      </c>
      <c r="G5147" s="369">
        <f>VLOOKUP(C5147,METADATA!$J$5:$Q$29,IF(E5147="HI",2,IF(E5147="LO",6,10))+IF(D5147=1,2,IF(D5147=7,1,(IF(WEEKDAY(B5147)=1,2,IF(WEEKDAY(B5147)=7,1,0))))))</f>
        <v>3</v>
      </c>
      <c r="H5147" s="370">
        <v>13260.649963378906</v>
      </c>
      <c r="I5147" s="370">
        <v>10285.674987792969</v>
      </c>
      <c r="M5147" s="371">
        <f t="shared" si="321"/>
        <v>16782.131789667572</v>
      </c>
      <c r="N5147" s="329">
        <f t="shared" si="322"/>
        <v>6307.4799987792976</v>
      </c>
      <c r="T5147" s="331">
        <v>0</v>
      </c>
      <c r="U5147" s="328">
        <f>VLOOKUP(C5147,METADATA!$J$5:$Q$29,IF(E5147="HI",2,IF(E5147="LO",6,10))+IF(T5147=1,2,IF(D5147=7,1,(IF(WEEKDAY(B5147)=1,2,IF(WEEKDAY(B5147)=7,1,0))))))</f>
        <v>3</v>
      </c>
      <c r="V5147" s="328">
        <f>VLOOKUP(C5147,METADATA!$A$5:$H$29,IF(E5147="HI",2,IF(E5147="LO",6,10))+IF(T5147=1,2,IF(D5147=7,1,(IF(WEEKDAY(B5147)=1,2,IF(WEEKDAY(B5147)=7,1,0))))))</f>
        <v>3</v>
      </c>
    </row>
    <row r="5148" spans="2:22">
      <c r="B5148" s="318">
        <f t="shared" ref="B5148:B5211" si="323">B5124+1</f>
        <v>46327</v>
      </c>
      <c r="C5148" s="312">
        <v>8</v>
      </c>
      <c r="D5148" s="368">
        <f>IFERROR((INDEX(METADATA!$T$2:$T$20,MATCH(B5148,METADATA!$S$2:$S$20,0))),0)</f>
        <v>0</v>
      </c>
      <c r="E5148" s="312" t="str">
        <f t="shared" si="320"/>
        <v>LO</v>
      </c>
      <c r="F5148" s="369">
        <f>VLOOKUP(C5148,METADATA!$A$5:$H$29,IF(E5148="HI",2,IF(E5148="LO",6,10))+IF(D5148=1,2,IF(D5148=7,1,(IF(WEEKDAY(B5148)=1,2,IF(WEEKDAY(B5148)=7,1,0))))))</f>
        <v>3</v>
      </c>
      <c r="G5148" s="369">
        <f>VLOOKUP(C5148,METADATA!$J$5:$Q$29,IF(E5148="HI",2,IF(E5148="LO",6,10))+IF(D5148=1,2,IF(D5148=7,1,(IF(WEEKDAY(B5148)=1,2,IF(WEEKDAY(B5148)=7,1,0))))))</f>
        <v>3</v>
      </c>
      <c r="H5148" s="370">
        <v>13512.100219726563</v>
      </c>
      <c r="I5148" s="370">
        <v>10324.850036621094</v>
      </c>
      <c r="M5148" s="371">
        <f t="shared" si="321"/>
        <v>17005.275082357508</v>
      </c>
      <c r="N5148" s="329">
        <f t="shared" si="322"/>
        <v>6271.219970703125</v>
      </c>
      <c r="T5148" s="331">
        <v>0</v>
      </c>
      <c r="U5148" s="328">
        <f>VLOOKUP(C5148,METADATA!$J$5:$Q$29,IF(E5148="HI",2,IF(E5148="LO",6,10))+IF(T5148=1,2,IF(D5148=7,1,(IF(WEEKDAY(B5148)=1,2,IF(WEEKDAY(B5148)=7,1,0))))))</f>
        <v>3</v>
      </c>
      <c r="V5148" s="328">
        <f>VLOOKUP(C5148,METADATA!$A$5:$H$29,IF(E5148="HI",2,IF(E5148="LO",6,10))+IF(T5148=1,2,IF(D5148=7,1,(IF(WEEKDAY(B5148)=1,2,IF(WEEKDAY(B5148)=7,1,0))))))</f>
        <v>3</v>
      </c>
    </row>
    <row r="5149" spans="2:22">
      <c r="B5149" s="318">
        <f t="shared" si="323"/>
        <v>46327</v>
      </c>
      <c r="C5149" s="312">
        <v>9</v>
      </c>
      <c r="D5149" s="368">
        <f>IFERROR((INDEX(METADATA!$T$2:$T$20,MATCH(B5149,METADATA!$S$2:$S$20,0))),0)</f>
        <v>0</v>
      </c>
      <c r="E5149" s="312" t="str">
        <f t="shared" si="320"/>
        <v>LO</v>
      </c>
      <c r="F5149" s="369">
        <f>VLOOKUP(C5149,METADATA!$A$5:$H$29,IF(E5149="HI",2,IF(E5149="LO",6,10))+IF(D5149=1,2,IF(D5149=7,1,(IF(WEEKDAY(B5149)=1,2,IF(WEEKDAY(B5149)=7,1,0))))))</f>
        <v>3</v>
      </c>
      <c r="G5149" s="369">
        <f>VLOOKUP(C5149,METADATA!$J$5:$Q$29,IF(E5149="HI",2,IF(E5149="LO",6,10))+IF(D5149=1,2,IF(D5149=7,1,(IF(WEEKDAY(B5149)=1,2,IF(WEEKDAY(B5149)=7,1,0))))))</f>
        <v>3</v>
      </c>
      <c r="H5149" s="370">
        <v>13265.5498046875</v>
      </c>
      <c r="I5149" s="370">
        <v>10203.499877929688</v>
      </c>
      <c r="M5149" s="371">
        <f t="shared" si="321"/>
        <v>16735.776688864957</v>
      </c>
      <c r="N5149" s="329">
        <f t="shared" si="322"/>
        <v>6223.8349365234371</v>
      </c>
      <c r="T5149" s="331">
        <v>0</v>
      </c>
      <c r="U5149" s="328">
        <f>VLOOKUP(C5149,METADATA!$J$5:$Q$29,IF(E5149="HI",2,IF(E5149="LO",6,10))+IF(T5149=1,2,IF(D5149=7,1,(IF(WEEKDAY(B5149)=1,2,IF(WEEKDAY(B5149)=7,1,0))))))</f>
        <v>3</v>
      </c>
      <c r="V5149" s="328">
        <f>VLOOKUP(C5149,METADATA!$A$5:$H$29,IF(E5149="HI",2,IF(E5149="LO",6,10))+IF(T5149=1,2,IF(D5149=7,1,(IF(WEEKDAY(B5149)=1,2,IF(WEEKDAY(B5149)=7,1,0))))))</f>
        <v>3</v>
      </c>
    </row>
    <row r="5150" spans="2:22">
      <c r="B5150" s="318">
        <f t="shared" si="323"/>
        <v>46327</v>
      </c>
      <c r="C5150" s="312">
        <v>10</v>
      </c>
      <c r="D5150" s="368">
        <f>IFERROR((INDEX(METADATA!$T$2:$T$20,MATCH(B5150,METADATA!$S$2:$S$20,0))),0)</f>
        <v>0</v>
      </c>
      <c r="E5150" s="312" t="str">
        <f t="shared" si="320"/>
        <v>LO</v>
      </c>
      <c r="F5150" s="369">
        <f>VLOOKUP(C5150,METADATA!$A$5:$H$29,IF(E5150="HI",2,IF(E5150="LO",6,10))+IF(D5150=1,2,IF(D5150=7,1,(IF(WEEKDAY(B5150)=1,2,IF(WEEKDAY(B5150)=7,1,0))))))</f>
        <v>3</v>
      </c>
      <c r="G5150" s="369">
        <f>VLOOKUP(C5150,METADATA!$J$5:$Q$29,IF(E5150="HI",2,IF(E5150="LO",6,10))+IF(D5150=1,2,IF(D5150=7,1,(IF(WEEKDAY(B5150)=1,2,IF(WEEKDAY(B5150)=7,1,0))))))</f>
        <v>3</v>
      </c>
      <c r="H5150" s="370">
        <v>13434.750122070313</v>
      </c>
      <c r="I5150" s="370">
        <v>10383.674987792969</v>
      </c>
      <c r="M5150" s="371">
        <f t="shared" si="321"/>
        <v>16979.788487922502</v>
      </c>
      <c r="N5150" s="329">
        <f t="shared" si="322"/>
        <v>6353.2499511718752</v>
      </c>
      <c r="T5150" s="331">
        <v>0</v>
      </c>
      <c r="U5150" s="328">
        <f>VLOOKUP(C5150,METADATA!$J$5:$Q$29,IF(E5150="HI",2,IF(E5150="LO",6,10))+IF(T5150=1,2,IF(D5150=7,1,(IF(WEEKDAY(B5150)=1,2,IF(WEEKDAY(B5150)=7,1,0))))))</f>
        <v>3</v>
      </c>
      <c r="V5150" s="328">
        <f>VLOOKUP(C5150,METADATA!$A$5:$H$29,IF(E5150="HI",2,IF(E5150="LO",6,10))+IF(T5150=1,2,IF(D5150=7,1,(IF(WEEKDAY(B5150)=1,2,IF(WEEKDAY(B5150)=7,1,0))))))</f>
        <v>3</v>
      </c>
    </row>
    <row r="5151" spans="2:22">
      <c r="B5151" s="318">
        <f t="shared" si="323"/>
        <v>46327</v>
      </c>
      <c r="C5151" s="312">
        <v>11</v>
      </c>
      <c r="D5151" s="368">
        <f>IFERROR((INDEX(METADATA!$T$2:$T$20,MATCH(B5151,METADATA!$S$2:$S$20,0))),0)</f>
        <v>0</v>
      </c>
      <c r="E5151" s="312" t="str">
        <f t="shared" si="320"/>
        <v>LO</v>
      </c>
      <c r="F5151" s="369">
        <f>VLOOKUP(C5151,METADATA!$A$5:$H$29,IF(E5151="HI",2,IF(E5151="LO",6,10))+IF(D5151=1,2,IF(D5151=7,1,(IF(WEEKDAY(B5151)=1,2,IF(WEEKDAY(B5151)=7,1,0))))))</f>
        <v>3</v>
      </c>
      <c r="G5151" s="369">
        <f>VLOOKUP(C5151,METADATA!$J$5:$Q$29,IF(E5151="HI",2,IF(E5151="LO",6,10))+IF(D5151=1,2,IF(D5151=7,1,(IF(WEEKDAY(B5151)=1,2,IF(WEEKDAY(B5151)=7,1,0))))))</f>
        <v>3</v>
      </c>
      <c r="H5151" s="370">
        <v>13586.5</v>
      </c>
      <c r="I5151" s="370">
        <v>10561.125</v>
      </c>
      <c r="M5151" s="371">
        <f t="shared" si="321"/>
        <v>17208.438148641642</v>
      </c>
      <c r="N5151" s="329">
        <f t="shared" si="322"/>
        <v>6485.1750000000002</v>
      </c>
      <c r="T5151" s="331">
        <v>0</v>
      </c>
      <c r="U5151" s="328">
        <f>VLOOKUP(C5151,METADATA!$J$5:$Q$29,IF(E5151="HI",2,IF(E5151="LO",6,10))+IF(T5151=1,2,IF(D5151=7,1,(IF(WEEKDAY(B5151)=1,2,IF(WEEKDAY(B5151)=7,1,0))))))</f>
        <v>3</v>
      </c>
      <c r="V5151" s="328">
        <f>VLOOKUP(C5151,METADATA!$A$5:$H$29,IF(E5151="HI",2,IF(E5151="LO",6,10))+IF(T5151=1,2,IF(D5151=7,1,(IF(WEEKDAY(B5151)=1,2,IF(WEEKDAY(B5151)=7,1,0))))))</f>
        <v>3</v>
      </c>
    </row>
    <row r="5152" spans="2:22">
      <c r="B5152" s="318">
        <f t="shared" si="323"/>
        <v>46327</v>
      </c>
      <c r="C5152" s="312">
        <v>12</v>
      </c>
      <c r="D5152" s="368">
        <f>IFERROR((INDEX(METADATA!$T$2:$T$20,MATCH(B5152,METADATA!$S$2:$S$20,0))),0)</f>
        <v>0</v>
      </c>
      <c r="E5152" s="312" t="str">
        <f t="shared" si="320"/>
        <v>LO</v>
      </c>
      <c r="F5152" s="369">
        <f>VLOOKUP(C5152,METADATA!$A$5:$H$29,IF(E5152="HI",2,IF(E5152="LO",6,10))+IF(D5152=1,2,IF(D5152=7,1,(IF(WEEKDAY(B5152)=1,2,IF(WEEKDAY(B5152)=7,1,0))))))</f>
        <v>3</v>
      </c>
      <c r="G5152" s="369">
        <f>VLOOKUP(C5152,METADATA!$J$5:$Q$29,IF(E5152="HI",2,IF(E5152="LO",6,10))+IF(D5152=1,2,IF(D5152=7,1,(IF(WEEKDAY(B5152)=1,2,IF(WEEKDAY(B5152)=7,1,0))))))</f>
        <v>3</v>
      </c>
      <c r="H5152" s="370">
        <v>13346.174865722656</v>
      </c>
      <c r="I5152" s="370">
        <v>10467.324829101563</v>
      </c>
      <c r="M5152" s="371">
        <f t="shared" si="321"/>
        <v>16961.287469539959</v>
      </c>
      <c r="N5152" s="329">
        <f t="shared" si="322"/>
        <v>6463.4723693847664</v>
      </c>
      <c r="T5152" s="331">
        <v>0</v>
      </c>
      <c r="U5152" s="328">
        <f>VLOOKUP(C5152,METADATA!$J$5:$Q$29,IF(E5152="HI",2,IF(E5152="LO",6,10))+IF(T5152=1,2,IF(D5152=7,1,(IF(WEEKDAY(B5152)=1,2,IF(WEEKDAY(B5152)=7,1,0))))))</f>
        <v>3</v>
      </c>
      <c r="V5152" s="328">
        <f>VLOOKUP(C5152,METADATA!$A$5:$H$29,IF(E5152="HI",2,IF(E5152="LO",6,10))+IF(T5152=1,2,IF(D5152=7,1,(IF(WEEKDAY(B5152)=1,2,IF(WEEKDAY(B5152)=7,1,0))))))</f>
        <v>3</v>
      </c>
    </row>
    <row r="5153" spans="2:22">
      <c r="B5153" s="318">
        <f t="shared" si="323"/>
        <v>46327</v>
      </c>
      <c r="C5153" s="312">
        <v>13</v>
      </c>
      <c r="D5153" s="368">
        <f>IFERROR((INDEX(METADATA!$T$2:$T$20,MATCH(B5153,METADATA!$S$2:$S$20,0))),0)</f>
        <v>0</v>
      </c>
      <c r="E5153" s="312" t="str">
        <f t="shared" si="320"/>
        <v>LO</v>
      </c>
      <c r="F5153" s="369">
        <f>VLOOKUP(C5153,METADATA!$A$5:$H$29,IF(E5153="HI",2,IF(E5153="LO",6,10))+IF(D5153=1,2,IF(D5153=7,1,(IF(WEEKDAY(B5153)=1,2,IF(WEEKDAY(B5153)=7,1,0))))))</f>
        <v>3</v>
      </c>
      <c r="G5153" s="369">
        <f>VLOOKUP(C5153,METADATA!$J$5:$Q$29,IF(E5153="HI",2,IF(E5153="LO",6,10))+IF(D5153=1,2,IF(D5153=7,1,(IF(WEEKDAY(B5153)=1,2,IF(WEEKDAY(B5153)=7,1,0))))))</f>
        <v>3</v>
      </c>
      <c r="H5153" s="370">
        <v>13445.47509765625</v>
      </c>
      <c r="I5153" s="370">
        <v>10554.375</v>
      </c>
      <c r="M5153" s="371">
        <f t="shared" si="321"/>
        <v>17093.145767889517</v>
      </c>
      <c r="N5153" s="329">
        <f t="shared" si="322"/>
        <v>6520.7324707031257</v>
      </c>
      <c r="T5153" s="331">
        <v>0</v>
      </c>
      <c r="U5153" s="328">
        <f>VLOOKUP(C5153,METADATA!$J$5:$Q$29,IF(E5153="HI",2,IF(E5153="LO",6,10))+IF(T5153=1,2,IF(D5153=7,1,(IF(WEEKDAY(B5153)=1,2,IF(WEEKDAY(B5153)=7,1,0))))))</f>
        <v>3</v>
      </c>
      <c r="V5153" s="328">
        <f>VLOOKUP(C5153,METADATA!$A$5:$H$29,IF(E5153="HI",2,IF(E5153="LO",6,10))+IF(T5153=1,2,IF(D5153=7,1,(IF(WEEKDAY(B5153)=1,2,IF(WEEKDAY(B5153)=7,1,0))))))</f>
        <v>3</v>
      </c>
    </row>
    <row r="5154" spans="2:22">
      <c r="B5154" s="318">
        <f t="shared" si="323"/>
        <v>46327</v>
      </c>
      <c r="C5154" s="312">
        <v>14</v>
      </c>
      <c r="D5154" s="368">
        <f>IFERROR((INDEX(METADATA!$T$2:$T$20,MATCH(B5154,METADATA!$S$2:$S$20,0))),0)</f>
        <v>0</v>
      </c>
      <c r="E5154" s="312" t="str">
        <f t="shared" si="320"/>
        <v>LO</v>
      </c>
      <c r="F5154" s="369">
        <f>VLOOKUP(C5154,METADATA!$A$5:$H$29,IF(E5154="HI",2,IF(E5154="LO",6,10))+IF(D5154=1,2,IF(D5154=7,1,(IF(WEEKDAY(B5154)=1,2,IF(WEEKDAY(B5154)=7,1,0))))))</f>
        <v>3</v>
      </c>
      <c r="G5154" s="369">
        <f>VLOOKUP(C5154,METADATA!$J$5:$Q$29,IF(E5154="HI",2,IF(E5154="LO",6,10))+IF(D5154=1,2,IF(D5154=7,1,(IF(WEEKDAY(B5154)=1,2,IF(WEEKDAY(B5154)=7,1,0))))))</f>
        <v>3</v>
      </c>
      <c r="H5154" s="370">
        <v>13577.575073242188</v>
      </c>
      <c r="I5154" s="370">
        <v>10656.674865722656</v>
      </c>
      <c r="M5154" s="371">
        <f t="shared" si="321"/>
        <v>17260.222016626918</v>
      </c>
      <c r="N5154" s="329">
        <f t="shared" si="322"/>
        <v>6583.40234375</v>
      </c>
      <c r="T5154" s="331">
        <v>0</v>
      </c>
      <c r="U5154" s="328">
        <f>VLOOKUP(C5154,METADATA!$J$5:$Q$29,IF(E5154="HI",2,IF(E5154="LO",6,10))+IF(T5154=1,2,IF(D5154=7,1,(IF(WEEKDAY(B5154)=1,2,IF(WEEKDAY(B5154)=7,1,0))))))</f>
        <v>3</v>
      </c>
      <c r="V5154" s="328">
        <f>VLOOKUP(C5154,METADATA!$A$5:$H$29,IF(E5154="HI",2,IF(E5154="LO",6,10))+IF(T5154=1,2,IF(D5154=7,1,(IF(WEEKDAY(B5154)=1,2,IF(WEEKDAY(B5154)=7,1,0))))))</f>
        <v>3</v>
      </c>
    </row>
    <row r="5155" spans="2:22">
      <c r="B5155" s="318">
        <f t="shared" si="323"/>
        <v>46327</v>
      </c>
      <c r="C5155" s="312">
        <v>15</v>
      </c>
      <c r="D5155" s="368">
        <f>IFERROR((INDEX(METADATA!$T$2:$T$20,MATCH(B5155,METADATA!$S$2:$S$20,0))),0)</f>
        <v>0</v>
      </c>
      <c r="E5155" s="312" t="str">
        <f t="shared" si="320"/>
        <v>LO</v>
      </c>
      <c r="F5155" s="369">
        <f>VLOOKUP(C5155,METADATA!$A$5:$H$29,IF(E5155="HI",2,IF(E5155="LO",6,10))+IF(D5155=1,2,IF(D5155=7,1,(IF(WEEKDAY(B5155)=1,2,IF(WEEKDAY(B5155)=7,1,0))))))</f>
        <v>3</v>
      </c>
      <c r="G5155" s="369">
        <f>VLOOKUP(C5155,METADATA!$J$5:$Q$29,IF(E5155="HI",2,IF(E5155="LO",6,10))+IF(D5155=1,2,IF(D5155=7,1,(IF(WEEKDAY(B5155)=1,2,IF(WEEKDAY(B5155)=7,1,0))))))</f>
        <v>3</v>
      </c>
      <c r="H5155" s="370">
        <v>13528.1748046875</v>
      </c>
      <c r="I5155" s="370">
        <v>10614.349853515625</v>
      </c>
      <c r="M5155" s="371">
        <f t="shared" si="321"/>
        <v>17195.230046702163</v>
      </c>
      <c r="N5155" s="329">
        <f t="shared" si="322"/>
        <v>6555.8974121093752</v>
      </c>
      <c r="T5155" s="331">
        <v>0</v>
      </c>
      <c r="U5155" s="328">
        <f>VLOOKUP(C5155,METADATA!$J$5:$Q$29,IF(E5155="HI",2,IF(E5155="LO",6,10))+IF(T5155=1,2,IF(D5155=7,1,(IF(WEEKDAY(B5155)=1,2,IF(WEEKDAY(B5155)=7,1,0))))))</f>
        <v>3</v>
      </c>
      <c r="V5155" s="328">
        <f>VLOOKUP(C5155,METADATA!$A$5:$H$29,IF(E5155="HI",2,IF(E5155="LO",6,10))+IF(T5155=1,2,IF(D5155=7,1,(IF(WEEKDAY(B5155)=1,2,IF(WEEKDAY(B5155)=7,1,0))))))</f>
        <v>3</v>
      </c>
    </row>
    <row r="5156" spans="2:22">
      <c r="B5156" s="318">
        <f t="shared" si="323"/>
        <v>46327</v>
      </c>
      <c r="C5156" s="312">
        <v>16</v>
      </c>
      <c r="D5156" s="368">
        <f>IFERROR((INDEX(METADATA!$T$2:$T$20,MATCH(B5156,METADATA!$S$2:$S$20,0))),0)</f>
        <v>0</v>
      </c>
      <c r="E5156" s="312" t="str">
        <f t="shared" si="320"/>
        <v>LO</v>
      </c>
      <c r="F5156" s="369">
        <f>VLOOKUP(C5156,METADATA!$A$5:$H$29,IF(E5156="HI",2,IF(E5156="LO",6,10))+IF(D5156=1,2,IF(D5156=7,1,(IF(WEEKDAY(B5156)=1,2,IF(WEEKDAY(B5156)=7,1,0))))))</f>
        <v>3</v>
      </c>
      <c r="G5156" s="369">
        <f>VLOOKUP(C5156,METADATA!$J$5:$Q$29,IF(E5156="HI",2,IF(E5156="LO",6,10))+IF(D5156=1,2,IF(D5156=7,1,(IF(WEEKDAY(B5156)=1,2,IF(WEEKDAY(B5156)=7,1,0))))))</f>
        <v>3</v>
      </c>
      <c r="H5156" s="370">
        <v>13312.974914550781</v>
      </c>
      <c r="I5156" s="370">
        <v>10517.300048828125</v>
      </c>
      <c r="M5156" s="371">
        <f t="shared" si="321"/>
        <v>16966.110379003741</v>
      </c>
      <c r="N5156" s="329">
        <f t="shared" si="322"/>
        <v>6523.4075744628908</v>
      </c>
      <c r="T5156" s="331">
        <v>0</v>
      </c>
      <c r="U5156" s="328">
        <f>VLOOKUP(C5156,METADATA!$J$5:$Q$29,IF(E5156="HI",2,IF(E5156="LO",6,10))+IF(T5156=1,2,IF(D5156=7,1,(IF(WEEKDAY(B5156)=1,2,IF(WEEKDAY(B5156)=7,1,0))))))</f>
        <v>3</v>
      </c>
      <c r="V5156" s="328">
        <f>VLOOKUP(C5156,METADATA!$A$5:$H$29,IF(E5156="HI",2,IF(E5156="LO",6,10))+IF(T5156=1,2,IF(D5156=7,1,(IF(WEEKDAY(B5156)=1,2,IF(WEEKDAY(B5156)=7,1,0))))))</f>
        <v>3</v>
      </c>
    </row>
    <row r="5157" spans="2:22">
      <c r="B5157" s="318">
        <f t="shared" si="323"/>
        <v>46327</v>
      </c>
      <c r="C5157" s="312">
        <v>17</v>
      </c>
      <c r="D5157" s="368">
        <f>IFERROR((INDEX(METADATA!$T$2:$T$20,MATCH(B5157,METADATA!$S$2:$S$20,0))),0)</f>
        <v>0</v>
      </c>
      <c r="E5157" s="312" t="str">
        <f t="shared" si="320"/>
        <v>LO</v>
      </c>
      <c r="F5157" s="369">
        <f>VLOOKUP(C5157,METADATA!$A$5:$H$29,IF(E5157="HI",2,IF(E5157="LO",6,10))+IF(D5157=1,2,IF(D5157=7,1,(IF(WEEKDAY(B5157)=1,2,IF(WEEKDAY(B5157)=7,1,0))))))</f>
        <v>3</v>
      </c>
      <c r="G5157" s="369">
        <f>VLOOKUP(C5157,METADATA!$J$5:$Q$29,IF(E5157="HI",2,IF(E5157="LO",6,10))+IF(D5157=1,2,IF(D5157=7,1,(IF(WEEKDAY(B5157)=1,2,IF(WEEKDAY(B5157)=7,1,0))))))</f>
        <v>3</v>
      </c>
      <c r="H5157" s="370">
        <v>13189.349853515625</v>
      </c>
      <c r="I5157" s="370">
        <v>10481.950073242188</v>
      </c>
      <c r="M5157" s="371">
        <f t="shared" si="321"/>
        <v>16847.261703207871</v>
      </c>
      <c r="N5157" s="329">
        <f t="shared" si="322"/>
        <v>6525.1451171874996</v>
      </c>
      <c r="T5157" s="331">
        <v>0</v>
      </c>
      <c r="U5157" s="328">
        <f>VLOOKUP(C5157,METADATA!$J$5:$Q$29,IF(E5157="HI",2,IF(E5157="LO",6,10))+IF(T5157=1,2,IF(D5157=7,1,(IF(WEEKDAY(B5157)=1,2,IF(WEEKDAY(B5157)=7,1,0))))))</f>
        <v>3</v>
      </c>
      <c r="V5157" s="328">
        <f>VLOOKUP(C5157,METADATA!$A$5:$H$29,IF(E5157="HI",2,IF(E5157="LO",6,10))+IF(T5157=1,2,IF(D5157=7,1,(IF(WEEKDAY(B5157)=1,2,IF(WEEKDAY(B5157)=7,1,0))))))</f>
        <v>3</v>
      </c>
    </row>
    <row r="5158" spans="2:22">
      <c r="B5158" s="318">
        <f t="shared" si="323"/>
        <v>46327</v>
      </c>
      <c r="C5158" s="312">
        <v>18</v>
      </c>
      <c r="D5158" s="368">
        <f>IFERROR((INDEX(METADATA!$T$2:$T$20,MATCH(B5158,METADATA!$S$2:$S$20,0))),0)</f>
        <v>0</v>
      </c>
      <c r="E5158" s="312" t="str">
        <f t="shared" si="320"/>
        <v>LO</v>
      </c>
      <c r="F5158" s="369">
        <f>VLOOKUP(C5158,METADATA!$A$5:$H$29,IF(E5158="HI",2,IF(E5158="LO",6,10))+IF(D5158=1,2,IF(D5158=7,1,(IF(WEEKDAY(B5158)=1,2,IF(WEEKDAY(B5158)=7,1,0))))))</f>
        <v>2</v>
      </c>
      <c r="G5158" s="369">
        <f>VLOOKUP(C5158,METADATA!$J$5:$Q$29,IF(E5158="HI",2,IF(E5158="LO",6,10))+IF(D5158=1,2,IF(D5158=7,1,(IF(WEEKDAY(B5158)=1,2,IF(WEEKDAY(B5158)=7,1,0))))))</f>
        <v>2</v>
      </c>
      <c r="H5158" s="370">
        <v>13340.175048828125</v>
      </c>
      <c r="I5158" s="370">
        <v>10531.525085449219</v>
      </c>
      <c r="M5158" s="371">
        <f t="shared" si="321"/>
        <v>16996.272854918003</v>
      </c>
      <c r="N5158" s="329">
        <f t="shared" si="322"/>
        <v>6529.4725708007809</v>
      </c>
      <c r="T5158" s="331">
        <v>0</v>
      </c>
      <c r="U5158" s="328">
        <f>VLOOKUP(C5158,METADATA!$J$5:$Q$29,IF(E5158="HI",2,IF(E5158="LO",6,10))+IF(T5158=1,2,IF(D5158=7,1,(IF(WEEKDAY(B5158)=1,2,IF(WEEKDAY(B5158)=7,1,0))))))</f>
        <v>2</v>
      </c>
      <c r="V5158" s="328">
        <f>VLOOKUP(C5158,METADATA!$A$5:$H$29,IF(E5158="HI",2,IF(E5158="LO",6,10))+IF(T5158=1,2,IF(D5158=7,1,(IF(WEEKDAY(B5158)=1,2,IF(WEEKDAY(B5158)=7,1,0))))))</f>
        <v>2</v>
      </c>
    </row>
    <row r="5159" spans="2:22">
      <c r="B5159" s="318">
        <f t="shared" si="323"/>
        <v>46327</v>
      </c>
      <c r="C5159" s="312">
        <v>19</v>
      </c>
      <c r="D5159" s="368">
        <f>IFERROR((INDEX(METADATA!$T$2:$T$20,MATCH(B5159,METADATA!$S$2:$S$20,0))),0)</f>
        <v>0</v>
      </c>
      <c r="E5159" s="312" t="str">
        <f t="shared" si="320"/>
        <v>LO</v>
      </c>
      <c r="F5159" s="369">
        <f>VLOOKUP(C5159,METADATA!$A$5:$H$29,IF(E5159="HI",2,IF(E5159="LO",6,10))+IF(D5159=1,2,IF(D5159=7,1,(IF(WEEKDAY(B5159)=1,2,IF(WEEKDAY(B5159)=7,1,0))))))</f>
        <v>2</v>
      </c>
      <c r="G5159" s="369">
        <f>VLOOKUP(C5159,METADATA!$J$5:$Q$29,IF(E5159="HI",2,IF(E5159="LO",6,10))+IF(D5159=1,2,IF(D5159=7,1,(IF(WEEKDAY(B5159)=1,2,IF(WEEKDAY(B5159)=7,1,0))))))</f>
        <v>2</v>
      </c>
      <c r="H5159" s="370">
        <v>13334.22509765625</v>
      </c>
      <c r="I5159" s="370">
        <v>10418.2001953125</v>
      </c>
      <c r="M5159" s="371">
        <f t="shared" si="321"/>
        <v>16921.597272851497</v>
      </c>
      <c r="N5159" s="329">
        <f t="shared" si="322"/>
        <v>6417.9326660156257</v>
      </c>
      <c r="T5159" s="331">
        <v>0</v>
      </c>
      <c r="U5159" s="328">
        <f>VLOOKUP(C5159,METADATA!$J$5:$Q$29,IF(E5159="HI",2,IF(E5159="LO",6,10))+IF(T5159=1,2,IF(D5159=7,1,(IF(WEEKDAY(B5159)=1,2,IF(WEEKDAY(B5159)=7,1,0))))))</f>
        <v>2</v>
      </c>
      <c r="V5159" s="328">
        <f>VLOOKUP(C5159,METADATA!$A$5:$H$29,IF(E5159="HI",2,IF(E5159="LO",6,10))+IF(T5159=1,2,IF(D5159=7,1,(IF(WEEKDAY(B5159)=1,2,IF(WEEKDAY(B5159)=7,1,0))))))</f>
        <v>2</v>
      </c>
    </row>
    <row r="5160" spans="2:22">
      <c r="B5160" s="318">
        <f t="shared" si="323"/>
        <v>46327</v>
      </c>
      <c r="C5160" s="312">
        <v>20</v>
      </c>
      <c r="D5160" s="368">
        <f>IFERROR((INDEX(METADATA!$T$2:$T$20,MATCH(B5160,METADATA!$S$2:$S$20,0))),0)</f>
        <v>0</v>
      </c>
      <c r="E5160" s="312" t="str">
        <f t="shared" si="320"/>
        <v>LO</v>
      </c>
      <c r="F5160" s="369">
        <f>VLOOKUP(C5160,METADATA!$A$5:$H$29,IF(E5160="HI",2,IF(E5160="LO",6,10))+IF(D5160=1,2,IF(D5160=7,1,(IF(WEEKDAY(B5160)=1,2,IF(WEEKDAY(B5160)=7,1,0))))))</f>
        <v>3</v>
      </c>
      <c r="G5160" s="369">
        <f>VLOOKUP(C5160,METADATA!$J$5:$Q$29,IF(E5160="HI",2,IF(E5160="LO",6,10))+IF(D5160=1,2,IF(D5160=7,1,(IF(WEEKDAY(B5160)=1,2,IF(WEEKDAY(B5160)=7,1,0))))))</f>
        <v>3</v>
      </c>
      <c r="H5160" s="370">
        <v>13109.275085449219</v>
      </c>
      <c r="I5160" s="370">
        <v>10436.324890136719</v>
      </c>
      <c r="M5160" s="371">
        <f t="shared" si="321"/>
        <v>16756.192004106029</v>
      </c>
      <c r="N5160" s="329">
        <f t="shared" si="322"/>
        <v>6503.5423645019528</v>
      </c>
      <c r="T5160" s="331">
        <v>0</v>
      </c>
      <c r="U5160" s="328">
        <f>VLOOKUP(C5160,METADATA!$J$5:$Q$29,IF(E5160="HI",2,IF(E5160="LO",6,10))+IF(T5160=1,2,IF(D5160=7,1,(IF(WEEKDAY(B5160)=1,2,IF(WEEKDAY(B5160)=7,1,0))))))</f>
        <v>3</v>
      </c>
      <c r="V5160" s="328">
        <f>VLOOKUP(C5160,METADATA!$A$5:$H$29,IF(E5160="HI",2,IF(E5160="LO",6,10))+IF(T5160=1,2,IF(D5160=7,1,(IF(WEEKDAY(B5160)=1,2,IF(WEEKDAY(B5160)=7,1,0))))))</f>
        <v>3</v>
      </c>
    </row>
    <row r="5161" spans="2:22">
      <c r="B5161" s="318">
        <f t="shared" si="323"/>
        <v>46327</v>
      </c>
      <c r="C5161" s="312">
        <v>21</v>
      </c>
      <c r="D5161" s="368">
        <f>IFERROR((INDEX(METADATA!$T$2:$T$20,MATCH(B5161,METADATA!$S$2:$S$20,0))),0)</f>
        <v>0</v>
      </c>
      <c r="E5161" s="312" t="str">
        <f t="shared" si="320"/>
        <v>LO</v>
      </c>
      <c r="F5161" s="369">
        <f>VLOOKUP(C5161,METADATA!$A$5:$H$29,IF(E5161="HI",2,IF(E5161="LO",6,10))+IF(D5161=1,2,IF(D5161=7,1,(IF(WEEKDAY(B5161)=1,2,IF(WEEKDAY(B5161)=7,1,0))))))</f>
        <v>3</v>
      </c>
      <c r="G5161" s="369">
        <f>VLOOKUP(C5161,METADATA!$J$5:$Q$29,IF(E5161="HI",2,IF(E5161="LO",6,10))+IF(D5161=1,2,IF(D5161=7,1,(IF(WEEKDAY(B5161)=1,2,IF(WEEKDAY(B5161)=7,1,0))))))</f>
        <v>3</v>
      </c>
      <c r="H5161" s="370">
        <v>12559.500122070313</v>
      </c>
      <c r="I5161" s="370">
        <v>10152.425170898438</v>
      </c>
      <c r="M5161" s="371">
        <f t="shared" si="321"/>
        <v>16149.699073573363</v>
      </c>
      <c r="N5161" s="329">
        <f t="shared" si="322"/>
        <v>6384.5751342773438</v>
      </c>
      <c r="T5161" s="331">
        <v>0</v>
      </c>
      <c r="U5161" s="328">
        <f>VLOOKUP(C5161,METADATA!$J$5:$Q$29,IF(E5161="HI",2,IF(E5161="LO",6,10))+IF(T5161=1,2,IF(D5161=7,1,(IF(WEEKDAY(B5161)=1,2,IF(WEEKDAY(B5161)=7,1,0))))))</f>
        <v>3</v>
      </c>
      <c r="V5161" s="328">
        <f>VLOOKUP(C5161,METADATA!$A$5:$H$29,IF(E5161="HI",2,IF(E5161="LO",6,10))+IF(T5161=1,2,IF(D5161=7,1,(IF(WEEKDAY(B5161)=1,2,IF(WEEKDAY(B5161)=7,1,0))))))</f>
        <v>3</v>
      </c>
    </row>
    <row r="5162" spans="2:22">
      <c r="B5162" s="318">
        <f t="shared" si="323"/>
        <v>46327</v>
      </c>
      <c r="C5162" s="312">
        <v>22</v>
      </c>
      <c r="D5162" s="368">
        <f>IFERROR((INDEX(METADATA!$T$2:$T$20,MATCH(B5162,METADATA!$S$2:$S$20,0))),0)</f>
        <v>0</v>
      </c>
      <c r="E5162" s="312" t="str">
        <f t="shared" si="320"/>
        <v>LO</v>
      </c>
      <c r="F5162" s="369">
        <f>VLOOKUP(C5162,METADATA!$A$5:$H$29,IF(E5162="HI",2,IF(E5162="LO",6,10))+IF(D5162=1,2,IF(D5162=7,1,(IF(WEEKDAY(B5162)=1,2,IF(WEEKDAY(B5162)=7,1,0))))))</f>
        <v>3</v>
      </c>
      <c r="G5162" s="369">
        <f>VLOOKUP(C5162,METADATA!$J$5:$Q$29,IF(E5162="HI",2,IF(E5162="LO",6,10))+IF(D5162=1,2,IF(D5162=7,1,(IF(WEEKDAY(B5162)=1,2,IF(WEEKDAY(B5162)=7,1,0))))))</f>
        <v>3</v>
      </c>
      <c r="H5162" s="370">
        <v>11791.724914550781</v>
      </c>
      <c r="I5162" s="370">
        <v>9790.8650817871094</v>
      </c>
      <c r="M5162" s="371">
        <f t="shared" si="321"/>
        <v>15326.637449558064</v>
      </c>
      <c r="N5162" s="329">
        <f t="shared" si="322"/>
        <v>6253.3476074218752</v>
      </c>
      <c r="T5162" s="331">
        <v>0</v>
      </c>
      <c r="U5162" s="328">
        <f>VLOOKUP(C5162,METADATA!$J$5:$Q$29,IF(E5162="HI",2,IF(E5162="LO",6,10))+IF(T5162=1,2,IF(D5162=7,1,(IF(WEEKDAY(B5162)=1,2,IF(WEEKDAY(B5162)=7,1,0))))))</f>
        <v>3</v>
      </c>
      <c r="V5162" s="328">
        <f>VLOOKUP(C5162,METADATA!$A$5:$H$29,IF(E5162="HI",2,IF(E5162="LO",6,10))+IF(T5162=1,2,IF(D5162=7,1,(IF(WEEKDAY(B5162)=1,2,IF(WEEKDAY(B5162)=7,1,0))))))</f>
        <v>3</v>
      </c>
    </row>
    <row r="5163" spans="2:22">
      <c r="B5163" s="318">
        <f t="shared" si="323"/>
        <v>46327</v>
      </c>
      <c r="C5163" s="312">
        <v>23</v>
      </c>
      <c r="D5163" s="368">
        <f>IFERROR((INDEX(METADATA!$T$2:$T$20,MATCH(B5163,METADATA!$S$2:$S$20,0))),0)</f>
        <v>0</v>
      </c>
      <c r="E5163" s="312" t="str">
        <f t="shared" si="320"/>
        <v>LO</v>
      </c>
      <c r="F5163" s="369">
        <f>VLOOKUP(C5163,METADATA!$A$5:$H$29,IF(E5163="HI",2,IF(E5163="LO",6,10))+IF(D5163=1,2,IF(D5163=7,1,(IF(WEEKDAY(B5163)=1,2,IF(WEEKDAY(B5163)=7,1,0))))))</f>
        <v>3</v>
      </c>
      <c r="G5163" s="369">
        <f>VLOOKUP(C5163,METADATA!$J$5:$Q$29,IF(E5163="HI",2,IF(E5163="LO",6,10))+IF(D5163=1,2,IF(D5163=7,1,(IF(WEEKDAY(B5163)=1,2,IF(WEEKDAY(B5163)=7,1,0))))))</f>
        <v>3</v>
      </c>
      <c r="H5163" s="370">
        <v>9681.4002075195313</v>
      </c>
      <c r="I5163" s="370">
        <v>8474.197509765625</v>
      </c>
      <c r="M5163" s="371">
        <f t="shared" si="321"/>
        <v>12866.294470929737</v>
      </c>
      <c r="N5163" s="329">
        <f t="shared" si="322"/>
        <v>5569.7774475097658</v>
      </c>
      <c r="T5163" s="331">
        <v>0</v>
      </c>
      <c r="U5163" s="328">
        <f>VLOOKUP(C5163,METADATA!$J$5:$Q$29,IF(E5163="HI",2,IF(E5163="LO",6,10))+IF(T5163=1,2,IF(D5163=7,1,(IF(WEEKDAY(B5163)=1,2,IF(WEEKDAY(B5163)=7,1,0))))))</f>
        <v>3</v>
      </c>
      <c r="V5163" s="328">
        <f>VLOOKUP(C5163,METADATA!$A$5:$H$29,IF(E5163="HI",2,IF(E5163="LO",6,10))+IF(T5163=1,2,IF(D5163=7,1,(IF(WEEKDAY(B5163)=1,2,IF(WEEKDAY(B5163)=7,1,0))))))</f>
        <v>3</v>
      </c>
    </row>
    <row r="5164" spans="2:22">
      <c r="B5164" s="318">
        <f t="shared" si="323"/>
        <v>46328</v>
      </c>
      <c r="C5164" s="312">
        <v>0</v>
      </c>
      <c r="D5164" s="368">
        <f>IFERROR((INDEX(METADATA!$T$2:$T$20,MATCH(B5164,METADATA!$S$2:$S$20,0))),0)</f>
        <v>0</v>
      </c>
      <c r="E5164" s="312" t="str">
        <f t="shared" si="320"/>
        <v>LO</v>
      </c>
      <c r="F5164" s="369">
        <f>VLOOKUP(C5164,METADATA!$A$5:$H$29,IF(E5164="HI",2,IF(E5164="LO",6,10))+IF(D5164=1,2,IF(D5164=7,1,(IF(WEEKDAY(B5164)=1,2,IF(WEEKDAY(B5164)=7,1,0))))))</f>
        <v>3</v>
      </c>
      <c r="G5164" s="369">
        <f>VLOOKUP(C5164,METADATA!$J$5:$Q$29,IF(E5164="HI",2,IF(E5164="LO",6,10))+IF(D5164=1,2,IF(D5164=7,1,(IF(WEEKDAY(B5164)=1,2,IF(WEEKDAY(B5164)=7,1,0))))))</f>
        <v>3</v>
      </c>
      <c r="H5164" s="370">
        <v>8277.7249755859375</v>
      </c>
      <c r="I5164" s="370">
        <v>7564.1249389648438</v>
      </c>
      <c r="M5164" s="371">
        <f t="shared" si="321"/>
        <v>11213.238464587699</v>
      </c>
      <c r="N5164" s="329">
        <f t="shared" si="322"/>
        <v>5080.8074462890627</v>
      </c>
      <c r="T5164" s="331">
        <v>0</v>
      </c>
      <c r="U5164" s="328">
        <f>VLOOKUP(C5164,METADATA!$J$5:$Q$29,IF(E5164="HI",2,IF(E5164="LO",6,10))+IF(T5164=1,2,IF(D5164=7,1,(IF(WEEKDAY(B5164)=1,2,IF(WEEKDAY(B5164)=7,1,0))))))</f>
        <v>3</v>
      </c>
      <c r="V5164" s="328">
        <f>VLOOKUP(C5164,METADATA!$A$5:$H$29,IF(E5164="HI",2,IF(E5164="LO",6,10))+IF(T5164=1,2,IF(D5164=7,1,(IF(WEEKDAY(B5164)=1,2,IF(WEEKDAY(B5164)=7,1,0))))))</f>
        <v>3</v>
      </c>
    </row>
    <row r="5165" spans="2:22">
      <c r="B5165" s="318">
        <f t="shared" si="323"/>
        <v>46328</v>
      </c>
      <c r="C5165" s="312">
        <v>1</v>
      </c>
      <c r="D5165" s="368">
        <f>IFERROR((INDEX(METADATA!$T$2:$T$20,MATCH(B5165,METADATA!$S$2:$S$20,0))),0)</f>
        <v>0</v>
      </c>
      <c r="E5165" s="312" t="str">
        <f t="shared" si="320"/>
        <v>LO</v>
      </c>
      <c r="F5165" s="369">
        <f>VLOOKUP(C5165,METADATA!$A$5:$H$29,IF(E5165="HI",2,IF(E5165="LO",6,10))+IF(D5165=1,2,IF(D5165=7,1,(IF(WEEKDAY(B5165)=1,2,IF(WEEKDAY(B5165)=7,1,0))))))</f>
        <v>3</v>
      </c>
      <c r="G5165" s="369">
        <f>VLOOKUP(C5165,METADATA!$J$5:$Q$29,IF(E5165="HI",2,IF(E5165="LO",6,10))+IF(D5165=1,2,IF(D5165=7,1,(IF(WEEKDAY(B5165)=1,2,IF(WEEKDAY(B5165)=7,1,0))))))</f>
        <v>3</v>
      </c>
      <c r="H5165" s="370">
        <v>12889.087707519531</v>
      </c>
      <c r="I5165" s="370">
        <v>10544.294921875</v>
      </c>
      <c r="M5165" s="371">
        <f t="shared" si="321"/>
        <v>16652.649558902329</v>
      </c>
      <c r="N5165" s="329">
        <f t="shared" si="322"/>
        <v>6677.5686096191403</v>
      </c>
      <c r="T5165" s="331">
        <v>0</v>
      </c>
      <c r="U5165" s="328">
        <f>VLOOKUP(C5165,METADATA!$J$5:$Q$29,IF(E5165="HI",2,IF(E5165="LO",6,10))+IF(T5165=1,2,IF(D5165=7,1,(IF(WEEKDAY(B5165)=1,2,IF(WEEKDAY(B5165)=7,1,0))))))</f>
        <v>3</v>
      </c>
      <c r="V5165" s="328">
        <f>VLOOKUP(C5165,METADATA!$A$5:$H$29,IF(E5165="HI",2,IF(E5165="LO",6,10))+IF(T5165=1,2,IF(D5165=7,1,(IF(WEEKDAY(B5165)=1,2,IF(WEEKDAY(B5165)=7,1,0))))))</f>
        <v>3</v>
      </c>
    </row>
    <row r="5166" spans="2:22">
      <c r="B5166" s="318">
        <f t="shared" si="323"/>
        <v>46328</v>
      </c>
      <c r="C5166" s="312">
        <v>2</v>
      </c>
      <c r="D5166" s="368">
        <f>IFERROR((INDEX(METADATA!$T$2:$T$20,MATCH(B5166,METADATA!$S$2:$S$20,0))),0)</f>
        <v>0</v>
      </c>
      <c r="E5166" s="312" t="str">
        <f t="shared" si="320"/>
        <v>LO</v>
      </c>
      <c r="F5166" s="369">
        <f>VLOOKUP(C5166,METADATA!$A$5:$H$29,IF(E5166="HI",2,IF(E5166="LO",6,10))+IF(D5166=1,2,IF(D5166=7,1,(IF(WEEKDAY(B5166)=1,2,IF(WEEKDAY(B5166)=7,1,0))))))</f>
        <v>3</v>
      </c>
      <c r="G5166" s="369">
        <f>VLOOKUP(C5166,METADATA!$J$5:$Q$29,IF(E5166="HI",2,IF(E5166="LO",6,10))+IF(D5166=1,2,IF(D5166=7,1,(IF(WEEKDAY(B5166)=1,2,IF(WEEKDAY(B5166)=7,1,0))))))</f>
        <v>3</v>
      </c>
      <c r="H5166" s="370">
        <v>13200.525024414063</v>
      </c>
      <c r="I5166" s="370">
        <v>10594.424926757813</v>
      </c>
      <c r="M5166" s="371">
        <f t="shared" si="321"/>
        <v>16926.183871413225</v>
      </c>
      <c r="N5166" s="329">
        <f t="shared" si="322"/>
        <v>6634.2674194335941</v>
      </c>
      <c r="T5166" s="331">
        <v>0</v>
      </c>
      <c r="U5166" s="328">
        <f>VLOOKUP(C5166,METADATA!$J$5:$Q$29,IF(E5166="HI",2,IF(E5166="LO",6,10))+IF(T5166=1,2,IF(D5166=7,1,(IF(WEEKDAY(B5166)=1,2,IF(WEEKDAY(B5166)=7,1,0))))))</f>
        <v>3</v>
      </c>
      <c r="V5166" s="328">
        <f>VLOOKUP(C5166,METADATA!$A$5:$H$29,IF(E5166="HI",2,IF(E5166="LO",6,10))+IF(T5166=1,2,IF(D5166=7,1,(IF(WEEKDAY(B5166)=1,2,IF(WEEKDAY(B5166)=7,1,0))))))</f>
        <v>3</v>
      </c>
    </row>
    <row r="5167" spans="2:22">
      <c r="B5167" s="318">
        <f t="shared" si="323"/>
        <v>46328</v>
      </c>
      <c r="C5167" s="312">
        <v>3</v>
      </c>
      <c r="D5167" s="368">
        <f>IFERROR((INDEX(METADATA!$T$2:$T$20,MATCH(B5167,METADATA!$S$2:$S$20,0))),0)</f>
        <v>0</v>
      </c>
      <c r="E5167" s="312" t="str">
        <f t="shared" si="320"/>
        <v>LO</v>
      </c>
      <c r="F5167" s="369">
        <f>VLOOKUP(C5167,METADATA!$A$5:$H$29,IF(E5167="HI",2,IF(E5167="LO",6,10))+IF(D5167=1,2,IF(D5167=7,1,(IF(WEEKDAY(B5167)=1,2,IF(WEEKDAY(B5167)=7,1,0))))))</f>
        <v>3</v>
      </c>
      <c r="G5167" s="369">
        <f>VLOOKUP(C5167,METADATA!$J$5:$Q$29,IF(E5167="HI",2,IF(E5167="LO",6,10))+IF(D5167=1,2,IF(D5167=7,1,(IF(WEEKDAY(B5167)=1,2,IF(WEEKDAY(B5167)=7,1,0))))))</f>
        <v>3</v>
      </c>
      <c r="H5167" s="370">
        <v>9415.4750366210938</v>
      </c>
      <c r="I5167" s="370">
        <v>8531.5</v>
      </c>
      <c r="M5167" s="371">
        <f t="shared" si="321"/>
        <v>12705.812150950249</v>
      </c>
      <c r="N5167" s="329">
        <f t="shared" si="322"/>
        <v>5706.8574890136715</v>
      </c>
      <c r="T5167" s="331">
        <v>0</v>
      </c>
      <c r="U5167" s="328">
        <f>VLOOKUP(C5167,METADATA!$J$5:$Q$29,IF(E5167="HI",2,IF(E5167="LO",6,10))+IF(T5167=1,2,IF(D5167=7,1,(IF(WEEKDAY(B5167)=1,2,IF(WEEKDAY(B5167)=7,1,0))))))</f>
        <v>3</v>
      </c>
      <c r="V5167" s="328">
        <f>VLOOKUP(C5167,METADATA!$A$5:$H$29,IF(E5167="HI",2,IF(E5167="LO",6,10))+IF(T5167=1,2,IF(D5167=7,1,(IF(WEEKDAY(B5167)=1,2,IF(WEEKDAY(B5167)=7,1,0))))))</f>
        <v>3</v>
      </c>
    </row>
    <row r="5168" spans="2:22">
      <c r="B5168" s="318">
        <f t="shared" si="323"/>
        <v>46328</v>
      </c>
      <c r="C5168" s="312">
        <v>4</v>
      </c>
      <c r="D5168" s="368">
        <f>IFERROR((INDEX(METADATA!$T$2:$T$20,MATCH(B5168,METADATA!$S$2:$S$20,0))),0)</f>
        <v>0</v>
      </c>
      <c r="E5168" s="312" t="str">
        <f t="shared" si="320"/>
        <v>LO</v>
      </c>
      <c r="F5168" s="369">
        <f>VLOOKUP(C5168,METADATA!$A$5:$H$29,IF(E5168="HI",2,IF(E5168="LO",6,10))+IF(D5168=1,2,IF(D5168=7,1,(IF(WEEKDAY(B5168)=1,2,IF(WEEKDAY(B5168)=7,1,0))))))</f>
        <v>3</v>
      </c>
      <c r="G5168" s="369">
        <f>VLOOKUP(C5168,METADATA!$J$5:$Q$29,IF(E5168="HI",2,IF(E5168="LO",6,10))+IF(D5168=1,2,IF(D5168=7,1,(IF(WEEKDAY(B5168)=1,2,IF(WEEKDAY(B5168)=7,1,0))))))</f>
        <v>3</v>
      </c>
      <c r="H5168" s="370">
        <v>11631.625</v>
      </c>
      <c r="I5168" s="370">
        <v>9695.5250244140625</v>
      </c>
      <c r="M5168" s="371">
        <f t="shared" si="321"/>
        <v>15142.585830685071</v>
      </c>
      <c r="N5168" s="329">
        <f t="shared" si="322"/>
        <v>6206.0375244140632</v>
      </c>
      <c r="T5168" s="331">
        <v>0</v>
      </c>
      <c r="U5168" s="328">
        <f>VLOOKUP(C5168,METADATA!$J$5:$Q$29,IF(E5168="HI",2,IF(E5168="LO",6,10))+IF(T5168=1,2,IF(D5168=7,1,(IF(WEEKDAY(B5168)=1,2,IF(WEEKDAY(B5168)=7,1,0))))))</f>
        <v>3</v>
      </c>
      <c r="V5168" s="328">
        <f>VLOOKUP(C5168,METADATA!$A$5:$H$29,IF(E5168="HI",2,IF(E5168="LO",6,10))+IF(T5168=1,2,IF(D5168=7,1,(IF(WEEKDAY(B5168)=1,2,IF(WEEKDAY(B5168)=7,1,0))))))</f>
        <v>3</v>
      </c>
    </row>
    <row r="5169" spans="2:22">
      <c r="B5169" s="318">
        <f t="shared" si="323"/>
        <v>46328</v>
      </c>
      <c r="C5169" s="312">
        <v>5</v>
      </c>
      <c r="D5169" s="368">
        <f>IFERROR((INDEX(METADATA!$T$2:$T$20,MATCH(B5169,METADATA!$S$2:$S$20,0))),0)</f>
        <v>0</v>
      </c>
      <c r="E5169" s="312" t="str">
        <f t="shared" si="320"/>
        <v>LO</v>
      </c>
      <c r="F5169" s="369">
        <f>VLOOKUP(C5169,METADATA!$A$5:$H$29,IF(E5169="HI",2,IF(E5169="LO",6,10))+IF(D5169=1,2,IF(D5169=7,1,(IF(WEEKDAY(B5169)=1,2,IF(WEEKDAY(B5169)=7,1,0))))))</f>
        <v>3</v>
      </c>
      <c r="G5169" s="369">
        <f>VLOOKUP(C5169,METADATA!$J$5:$Q$29,IF(E5169="HI",2,IF(E5169="LO",6,10))+IF(D5169=1,2,IF(D5169=7,1,(IF(WEEKDAY(B5169)=1,2,IF(WEEKDAY(B5169)=7,1,0))))))</f>
        <v>3</v>
      </c>
      <c r="H5169" s="370">
        <v>13282.775024414063</v>
      </c>
      <c r="I5169" s="370">
        <v>10478.574951171875</v>
      </c>
      <c r="M5169" s="371">
        <f t="shared" si="321"/>
        <v>16918.411431234454</v>
      </c>
      <c r="N5169" s="329">
        <f t="shared" si="322"/>
        <v>6493.7424438476564</v>
      </c>
      <c r="T5169" s="331">
        <v>0</v>
      </c>
      <c r="U5169" s="328">
        <f>VLOOKUP(C5169,METADATA!$J$5:$Q$29,IF(E5169="HI",2,IF(E5169="LO",6,10))+IF(T5169=1,2,IF(D5169=7,1,(IF(WEEKDAY(B5169)=1,2,IF(WEEKDAY(B5169)=7,1,0))))))</f>
        <v>3</v>
      </c>
      <c r="V5169" s="328">
        <f>VLOOKUP(C5169,METADATA!$A$5:$H$29,IF(E5169="HI",2,IF(E5169="LO",6,10))+IF(T5169=1,2,IF(D5169=7,1,(IF(WEEKDAY(B5169)=1,2,IF(WEEKDAY(B5169)=7,1,0))))))</f>
        <v>3</v>
      </c>
    </row>
    <row r="5170" spans="2:22">
      <c r="B5170" s="318">
        <f t="shared" si="323"/>
        <v>46328</v>
      </c>
      <c r="C5170" s="312">
        <v>6</v>
      </c>
      <c r="D5170" s="368">
        <f>IFERROR((INDEX(METADATA!$T$2:$T$20,MATCH(B5170,METADATA!$S$2:$S$20,0))),0)</f>
        <v>0</v>
      </c>
      <c r="E5170" s="312" t="str">
        <f t="shared" si="320"/>
        <v>LO</v>
      </c>
      <c r="F5170" s="369">
        <f>VLOOKUP(C5170,METADATA!$A$5:$H$29,IF(E5170="HI",2,IF(E5170="LO",6,10))+IF(D5170=1,2,IF(D5170=7,1,(IF(WEEKDAY(B5170)=1,2,IF(WEEKDAY(B5170)=7,1,0))))))</f>
        <v>2</v>
      </c>
      <c r="G5170" s="369">
        <f>VLOOKUP(C5170,METADATA!$J$5:$Q$29,IF(E5170="HI",2,IF(E5170="LO",6,10))+IF(D5170=1,2,IF(D5170=7,1,(IF(WEEKDAY(B5170)=1,2,IF(WEEKDAY(B5170)=7,1,0))))))</f>
        <v>2</v>
      </c>
      <c r="H5170" s="370">
        <v>13398.274780273438</v>
      </c>
      <c r="I5170" s="370">
        <v>10597.775146484375</v>
      </c>
      <c r="M5170" s="371">
        <f t="shared" si="321"/>
        <v>17082.933153974263</v>
      </c>
      <c r="N5170" s="329">
        <f t="shared" si="322"/>
        <v>6578.2927124023445</v>
      </c>
      <c r="T5170" s="331">
        <v>0</v>
      </c>
      <c r="U5170" s="328">
        <f>VLOOKUP(C5170,METADATA!$J$5:$Q$29,IF(E5170="HI",2,IF(E5170="LO",6,10))+IF(T5170=1,2,IF(D5170=7,1,(IF(WEEKDAY(B5170)=1,2,IF(WEEKDAY(B5170)=7,1,0))))))</f>
        <v>2</v>
      </c>
      <c r="V5170" s="328">
        <f>VLOOKUP(C5170,METADATA!$A$5:$H$29,IF(E5170="HI",2,IF(E5170="LO",6,10))+IF(T5170=1,2,IF(D5170=7,1,(IF(WEEKDAY(B5170)=1,2,IF(WEEKDAY(B5170)=7,1,0))))))</f>
        <v>2</v>
      </c>
    </row>
    <row r="5171" spans="2:22">
      <c r="B5171" s="318">
        <f t="shared" si="323"/>
        <v>46328</v>
      </c>
      <c r="C5171" s="312">
        <v>7</v>
      </c>
      <c r="D5171" s="368">
        <f>IFERROR((INDEX(METADATA!$T$2:$T$20,MATCH(B5171,METADATA!$S$2:$S$20,0))),0)</f>
        <v>0</v>
      </c>
      <c r="E5171" s="312" t="str">
        <f t="shared" si="320"/>
        <v>LO</v>
      </c>
      <c r="F5171" s="369">
        <f>VLOOKUP(C5171,METADATA!$A$5:$H$29,IF(E5171="HI",2,IF(E5171="LO",6,10))+IF(D5171=1,2,IF(D5171=7,1,(IF(WEEKDAY(B5171)=1,2,IF(WEEKDAY(B5171)=7,1,0))))))</f>
        <v>1</v>
      </c>
      <c r="G5171" s="369">
        <f>VLOOKUP(C5171,METADATA!$J$5:$Q$29,IF(E5171="HI",2,IF(E5171="LO",6,10))+IF(D5171=1,2,IF(D5171=7,1,(IF(WEEKDAY(B5171)=1,2,IF(WEEKDAY(B5171)=7,1,0))))))</f>
        <v>1</v>
      </c>
      <c r="H5171" s="370">
        <v>13336.200012207031</v>
      </c>
      <c r="I5171" s="370">
        <v>10426.125061035156</v>
      </c>
      <c r="M5171" s="371">
        <f t="shared" si="321"/>
        <v>16928.033392982663</v>
      </c>
      <c r="N5171" s="329">
        <f t="shared" si="322"/>
        <v>6425.2650573730471</v>
      </c>
      <c r="T5171" s="331">
        <v>0</v>
      </c>
      <c r="U5171" s="328">
        <f>VLOOKUP(C5171,METADATA!$J$5:$Q$29,IF(E5171="HI",2,IF(E5171="LO",6,10))+IF(T5171=1,2,IF(D5171=7,1,(IF(WEEKDAY(B5171)=1,2,IF(WEEKDAY(B5171)=7,1,0))))))</f>
        <v>1</v>
      </c>
      <c r="V5171" s="328">
        <f>VLOOKUP(C5171,METADATA!$A$5:$H$29,IF(E5171="HI",2,IF(E5171="LO",6,10))+IF(T5171=1,2,IF(D5171=7,1,(IF(WEEKDAY(B5171)=1,2,IF(WEEKDAY(B5171)=7,1,0))))))</f>
        <v>1</v>
      </c>
    </row>
    <row r="5172" spans="2:22">
      <c r="B5172" s="318">
        <f t="shared" si="323"/>
        <v>46328</v>
      </c>
      <c r="C5172" s="312">
        <v>8</v>
      </c>
      <c r="D5172" s="368">
        <f>IFERROR((INDEX(METADATA!$T$2:$T$20,MATCH(B5172,METADATA!$S$2:$S$20,0))),0)</f>
        <v>0</v>
      </c>
      <c r="E5172" s="312" t="str">
        <f t="shared" si="320"/>
        <v>LO</v>
      </c>
      <c r="F5172" s="369">
        <f>VLOOKUP(C5172,METADATA!$A$5:$H$29,IF(E5172="HI",2,IF(E5172="LO",6,10))+IF(D5172=1,2,IF(D5172=7,1,(IF(WEEKDAY(B5172)=1,2,IF(WEEKDAY(B5172)=7,1,0))))))</f>
        <v>1</v>
      </c>
      <c r="G5172" s="369">
        <f>VLOOKUP(C5172,METADATA!$J$5:$Q$29,IF(E5172="HI",2,IF(E5172="LO",6,10))+IF(D5172=1,2,IF(D5172=7,1,(IF(WEEKDAY(B5172)=1,2,IF(WEEKDAY(B5172)=7,1,0))))))</f>
        <v>1</v>
      </c>
      <c r="H5172" s="370">
        <v>13261.924926757813</v>
      </c>
      <c r="I5172" s="370">
        <v>10213.0751953125</v>
      </c>
      <c r="M5172" s="371">
        <f t="shared" si="321"/>
        <v>16738.744209410324</v>
      </c>
      <c r="N5172" s="329">
        <f t="shared" si="322"/>
        <v>6234.4977172851559</v>
      </c>
      <c r="T5172" s="331">
        <v>0</v>
      </c>
      <c r="U5172" s="328">
        <f>VLOOKUP(C5172,METADATA!$J$5:$Q$29,IF(E5172="HI",2,IF(E5172="LO",6,10))+IF(T5172=1,2,IF(D5172=7,1,(IF(WEEKDAY(B5172)=1,2,IF(WEEKDAY(B5172)=7,1,0))))))</f>
        <v>1</v>
      </c>
      <c r="V5172" s="328">
        <f>VLOOKUP(C5172,METADATA!$A$5:$H$29,IF(E5172="HI",2,IF(E5172="LO",6,10))+IF(T5172=1,2,IF(D5172=7,1,(IF(WEEKDAY(B5172)=1,2,IF(WEEKDAY(B5172)=7,1,0))))))</f>
        <v>1</v>
      </c>
    </row>
    <row r="5173" spans="2:22">
      <c r="B5173" s="318">
        <f t="shared" si="323"/>
        <v>46328</v>
      </c>
      <c r="C5173" s="312">
        <v>9</v>
      </c>
      <c r="D5173" s="368">
        <f>IFERROR((INDEX(METADATA!$T$2:$T$20,MATCH(B5173,METADATA!$S$2:$S$20,0))),0)</f>
        <v>0</v>
      </c>
      <c r="E5173" s="312" t="str">
        <f t="shared" si="320"/>
        <v>LO</v>
      </c>
      <c r="F5173" s="369">
        <f>VLOOKUP(C5173,METADATA!$A$5:$H$29,IF(E5173="HI",2,IF(E5173="LO",6,10))+IF(D5173=1,2,IF(D5173=7,1,(IF(WEEKDAY(B5173)=1,2,IF(WEEKDAY(B5173)=7,1,0))))))</f>
        <v>2</v>
      </c>
      <c r="G5173" s="369">
        <f>VLOOKUP(C5173,METADATA!$J$5:$Q$29,IF(E5173="HI",2,IF(E5173="LO",6,10))+IF(D5173=1,2,IF(D5173=7,1,(IF(WEEKDAY(B5173)=1,2,IF(WEEKDAY(B5173)=7,1,0))))))</f>
        <v>2</v>
      </c>
      <c r="H5173" s="370">
        <v>8730.3250732421875</v>
      </c>
      <c r="I5173" s="370">
        <v>7763.27490234375</v>
      </c>
      <c r="M5173" s="371">
        <f t="shared" si="321"/>
        <v>11682.765644051991</v>
      </c>
      <c r="N5173" s="329">
        <f t="shared" si="322"/>
        <v>5144.1773803710939</v>
      </c>
      <c r="T5173" s="331">
        <v>0</v>
      </c>
      <c r="U5173" s="328">
        <f>VLOOKUP(C5173,METADATA!$J$5:$Q$29,IF(E5173="HI",2,IF(E5173="LO",6,10))+IF(T5173=1,2,IF(D5173=7,1,(IF(WEEKDAY(B5173)=1,2,IF(WEEKDAY(B5173)=7,1,0))))))</f>
        <v>2</v>
      </c>
      <c r="V5173" s="328">
        <f>VLOOKUP(C5173,METADATA!$A$5:$H$29,IF(E5173="HI",2,IF(E5173="LO",6,10))+IF(T5173=1,2,IF(D5173=7,1,(IF(WEEKDAY(B5173)=1,2,IF(WEEKDAY(B5173)=7,1,0))))))</f>
        <v>2</v>
      </c>
    </row>
    <row r="5174" spans="2:22">
      <c r="B5174" s="318">
        <f t="shared" si="323"/>
        <v>46328</v>
      </c>
      <c r="C5174" s="312">
        <v>10</v>
      </c>
      <c r="D5174" s="368">
        <f>IFERROR((INDEX(METADATA!$T$2:$T$20,MATCH(B5174,METADATA!$S$2:$S$20,0))),0)</f>
        <v>0</v>
      </c>
      <c r="E5174" s="312" t="str">
        <f t="shared" si="320"/>
        <v>LO</v>
      </c>
      <c r="F5174" s="369">
        <f>VLOOKUP(C5174,METADATA!$A$5:$H$29,IF(E5174="HI",2,IF(E5174="LO",6,10))+IF(D5174=1,2,IF(D5174=7,1,(IF(WEEKDAY(B5174)=1,2,IF(WEEKDAY(B5174)=7,1,0))))))</f>
        <v>2</v>
      </c>
      <c r="G5174" s="369">
        <f>VLOOKUP(C5174,METADATA!$J$5:$Q$29,IF(E5174="HI",2,IF(E5174="LO",6,10))+IF(D5174=1,2,IF(D5174=7,1,(IF(WEEKDAY(B5174)=1,2,IF(WEEKDAY(B5174)=7,1,0))))))</f>
        <v>2</v>
      </c>
      <c r="H5174" s="370">
        <v>7173.2249755859375</v>
      </c>
      <c r="I5174" s="370">
        <v>6828.6500854492188</v>
      </c>
      <c r="M5174" s="371">
        <f t="shared" si="321"/>
        <v>9903.8183818098914</v>
      </c>
      <c r="N5174" s="329">
        <f t="shared" si="322"/>
        <v>4676.6825927734371</v>
      </c>
      <c r="T5174" s="331">
        <v>0</v>
      </c>
      <c r="U5174" s="328">
        <f>VLOOKUP(C5174,METADATA!$J$5:$Q$29,IF(E5174="HI",2,IF(E5174="LO",6,10))+IF(T5174=1,2,IF(D5174=7,1,(IF(WEEKDAY(B5174)=1,2,IF(WEEKDAY(B5174)=7,1,0))))))</f>
        <v>2</v>
      </c>
      <c r="V5174" s="328">
        <f>VLOOKUP(C5174,METADATA!$A$5:$H$29,IF(E5174="HI",2,IF(E5174="LO",6,10))+IF(T5174=1,2,IF(D5174=7,1,(IF(WEEKDAY(B5174)=1,2,IF(WEEKDAY(B5174)=7,1,0))))))</f>
        <v>2</v>
      </c>
    </row>
    <row r="5175" spans="2:22">
      <c r="B5175" s="318">
        <f t="shared" si="323"/>
        <v>46328</v>
      </c>
      <c r="C5175" s="312">
        <v>11</v>
      </c>
      <c r="D5175" s="368">
        <f>IFERROR((INDEX(METADATA!$T$2:$T$20,MATCH(B5175,METADATA!$S$2:$S$20,0))),0)</f>
        <v>0</v>
      </c>
      <c r="E5175" s="312" t="str">
        <f t="shared" si="320"/>
        <v>LO</v>
      </c>
      <c r="F5175" s="369">
        <f>VLOOKUP(C5175,METADATA!$A$5:$H$29,IF(E5175="HI",2,IF(E5175="LO",6,10))+IF(D5175=1,2,IF(D5175=7,1,(IF(WEEKDAY(B5175)=1,2,IF(WEEKDAY(B5175)=7,1,0))))))</f>
        <v>2</v>
      </c>
      <c r="G5175" s="369">
        <f>VLOOKUP(C5175,METADATA!$J$5:$Q$29,IF(E5175="HI",2,IF(E5175="LO",6,10))+IF(D5175=1,2,IF(D5175=7,1,(IF(WEEKDAY(B5175)=1,2,IF(WEEKDAY(B5175)=7,1,0))))))</f>
        <v>2</v>
      </c>
      <c r="H5175" s="370">
        <v>6085.2499389648438</v>
      </c>
      <c r="I5175" s="370">
        <v>6080.7275085449219</v>
      </c>
      <c r="M5175" s="371">
        <f t="shared" si="321"/>
        <v>8602.6457472597667</v>
      </c>
      <c r="N5175" s="329">
        <f t="shared" si="322"/>
        <v>4255.1525268554688</v>
      </c>
      <c r="T5175" s="331">
        <v>0</v>
      </c>
      <c r="U5175" s="328">
        <f>VLOOKUP(C5175,METADATA!$J$5:$Q$29,IF(E5175="HI",2,IF(E5175="LO",6,10))+IF(T5175=1,2,IF(D5175=7,1,(IF(WEEKDAY(B5175)=1,2,IF(WEEKDAY(B5175)=7,1,0))))))</f>
        <v>2</v>
      </c>
      <c r="V5175" s="328">
        <f>VLOOKUP(C5175,METADATA!$A$5:$H$29,IF(E5175="HI",2,IF(E5175="LO",6,10))+IF(T5175=1,2,IF(D5175=7,1,(IF(WEEKDAY(B5175)=1,2,IF(WEEKDAY(B5175)=7,1,0))))))</f>
        <v>2</v>
      </c>
    </row>
    <row r="5176" spans="2:22">
      <c r="B5176" s="318">
        <f t="shared" si="323"/>
        <v>46328</v>
      </c>
      <c r="C5176" s="312">
        <v>12</v>
      </c>
      <c r="D5176" s="368">
        <f>IFERROR((INDEX(METADATA!$T$2:$T$20,MATCH(B5176,METADATA!$S$2:$S$20,0))),0)</f>
        <v>0</v>
      </c>
      <c r="E5176" s="312" t="str">
        <f t="shared" si="320"/>
        <v>LO</v>
      </c>
      <c r="F5176" s="369">
        <f>VLOOKUP(C5176,METADATA!$A$5:$H$29,IF(E5176="HI",2,IF(E5176="LO",6,10))+IF(D5176=1,2,IF(D5176=7,1,(IF(WEEKDAY(B5176)=1,2,IF(WEEKDAY(B5176)=7,1,0))))))</f>
        <v>2</v>
      </c>
      <c r="G5176" s="369">
        <f>VLOOKUP(C5176,METADATA!$J$5:$Q$29,IF(E5176="HI",2,IF(E5176="LO",6,10))+IF(D5176=1,2,IF(D5176=7,1,(IF(WEEKDAY(B5176)=1,2,IF(WEEKDAY(B5176)=7,1,0))))))</f>
        <v>2</v>
      </c>
      <c r="H5176" s="370">
        <v>5493</v>
      </c>
      <c r="I5176" s="370">
        <v>5654.9773864746094</v>
      </c>
      <c r="M5176" s="371">
        <f t="shared" si="321"/>
        <v>7883.6424475961112</v>
      </c>
      <c r="N5176" s="329">
        <f t="shared" si="322"/>
        <v>4007.0773864746097</v>
      </c>
      <c r="T5176" s="331">
        <v>0</v>
      </c>
      <c r="U5176" s="328">
        <f>VLOOKUP(C5176,METADATA!$J$5:$Q$29,IF(E5176="HI",2,IF(E5176="LO",6,10))+IF(T5176=1,2,IF(D5176=7,1,(IF(WEEKDAY(B5176)=1,2,IF(WEEKDAY(B5176)=7,1,0))))))</f>
        <v>2</v>
      </c>
      <c r="V5176" s="328">
        <f>VLOOKUP(C5176,METADATA!$A$5:$H$29,IF(E5176="HI",2,IF(E5176="LO",6,10))+IF(T5176=1,2,IF(D5176=7,1,(IF(WEEKDAY(B5176)=1,2,IF(WEEKDAY(B5176)=7,1,0))))))</f>
        <v>2</v>
      </c>
    </row>
    <row r="5177" spans="2:22">
      <c r="B5177" s="318">
        <f t="shared" si="323"/>
        <v>46328</v>
      </c>
      <c r="C5177" s="312">
        <v>13</v>
      </c>
      <c r="D5177" s="368">
        <f>IFERROR((INDEX(METADATA!$T$2:$T$20,MATCH(B5177,METADATA!$S$2:$S$20,0))),0)</f>
        <v>0</v>
      </c>
      <c r="E5177" s="312" t="str">
        <f t="shared" si="320"/>
        <v>LO</v>
      </c>
      <c r="F5177" s="369">
        <f>VLOOKUP(C5177,METADATA!$A$5:$H$29,IF(E5177="HI",2,IF(E5177="LO",6,10))+IF(D5177=1,2,IF(D5177=7,1,(IF(WEEKDAY(B5177)=1,2,IF(WEEKDAY(B5177)=7,1,0))))))</f>
        <v>2</v>
      </c>
      <c r="G5177" s="369">
        <f>VLOOKUP(C5177,METADATA!$J$5:$Q$29,IF(E5177="HI",2,IF(E5177="LO",6,10))+IF(D5177=1,2,IF(D5177=7,1,(IF(WEEKDAY(B5177)=1,2,IF(WEEKDAY(B5177)=7,1,0))))))</f>
        <v>2</v>
      </c>
      <c r="H5177" s="370">
        <v>5483.1998901367188</v>
      </c>
      <c r="I5177" s="370">
        <v>5532.402587890625</v>
      </c>
      <c r="M5177" s="371">
        <f t="shared" si="321"/>
        <v>7789.2849113185102</v>
      </c>
      <c r="N5177" s="329">
        <f t="shared" si="322"/>
        <v>3887.4426208496097</v>
      </c>
      <c r="T5177" s="331">
        <v>0</v>
      </c>
      <c r="U5177" s="328">
        <f>VLOOKUP(C5177,METADATA!$J$5:$Q$29,IF(E5177="HI",2,IF(E5177="LO",6,10))+IF(T5177=1,2,IF(D5177=7,1,(IF(WEEKDAY(B5177)=1,2,IF(WEEKDAY(B5177)=7,1,0))))))</f>
        <v>2</v>
      </c>
      <c r="V5177" s="328">
        <f>VLOOKUP(C5177,METADATA!$A$5:$H$29,IF(E5177="HI",2,IF(E5177="LO",6,10))+IF(T5177=1,2,IF(D5177=7,1,(IF(WEEKDAY(B5177)=1,2,IF(WEEKDAY(B5177)=7,1,0))))))</f>
        <v>2</v>
      </c>
    </row>
    <row r="5178" spans="2:22">
      <c r="B5178" s="318">
        <f t="shared" si="323"/>
        <v>46328</v>
      </c>
      <c r="C5178" s="312">
        <v>14</v>
      </c>
      <c r="D5178" s="368">
        <f>IFERROR((INDEX(METADATA!$T$2:$T$20,MATCH(B5178,METADATA!$S$2:$S$20,0))),0)</f>
        <v>0</v>
      </c>
      <c r="E5178" s="312" t="str">
        <f t="shared" si="320"/>
        <v>LO</v>
      </c>
      <c r="F5178" s="369">
        <f>VLOOKUP(C5178,METADATA!$A$5:$H$29,IF(E5178="HI",2,IF(E5178="LO",6,10))+IF(D5178=1,2,IF(D5178=7,1,(IF(WEEKDAY(B5178)=1,2,IF(WEEKDAY(B5178)=7,1,0))))))</f>
        <v>2</v>
      </c>
      <c r="G5178" s="369">
        <f>VLOOKUP(C5178,METADATA!$J$5:$Q$29,IF(E5178="HI",2,IF(E5178="LO",6,10))+IF(D5178=1,2,IF(D5178=7,1,(IF(WEEKDAY(B5178)=1,2,IF(WEEKDAY(B5178)=7,1,0))))))</f>
        <v>2</v>
      </c>
      <c r="H5178" s="370">
        <v>5435.6499328613281</v>
      </c>
      <c r="I5178" s="370">
        <v>5472.4875183105469</v>
      </c>
      <c r="M5178" s="371">
        <f t="shared" si="321"/>
        <v>7713.2619449024342</v>
      </c>
      <c r="N5178" s="329">
        <f t="shared" si="322"/>
        <v>3841.7925384521486</v>
      </c>
      <c r="T5178" s="331">
        <v>0</v>
      </c>
      <c r="U5178" s="328">
        <f>VLOOKUP(C5178,METADATA!$J$5:$Q$29,IF(E5178="HI",2,IF(E5178="LO",6,10))+IF(T5178=1,2,IF(D5178=7,1,(IF(WEEKDAY(B5178)=1,2,IF(WEEKDAY(B5178)=7,1,0))))))</f>
        <v>2</v>
      </c>
      <c r="V5178" s="328">
        <f>VLOOKUP(C5178,METADATA!$A$5:$H$29,IF(E5178="HI",2,IF(E5178="LO",6,10))+IF(T5178=1,2,IF(D5178=7,1,(IF(WEEKDAY(B5178)=1,2,IF(WEEKDAY(B5178)=7,1,0))))))</f>
        <v>2</v>
      </c>
    </row>
    <row r="5179" spans="2:22">
      <c r="B5179" s="318">
        <f t="shared" si="323"/>
        <v>46328</v>
      </c>
      <c r="C5179" s="312">
        <v>15</v>
      </c>
      <c r="D5179" s="368">
        <f>IFERROR((INDEX(METADATA!$T$2:$T$20,MATCH(B5179,METADATA!$S$2:$S$20,0))),0)</f>
        <v>0</v>
      </c>
      <c r="E5179" s="312" t="str">
        <f t="shared" si="320"/>
        <v>LO</v>
      </c>
      <c r="F5179" s="369">
        <f>VLOOKUP(C5179,METADATA!$A$5:$H$29,IF(E5179="HI",2,IF(E5179="LO",6,10))+IF(D5179=1,2,IF(D5179=7,1,(IF(WEEKDAY(B5179)=1,2,IF(WEEKDAY(B5179)=7,1,0))))))</f>
        <v>2</v>
      </c>
      <c r="G5179" s="369">
        <f>VLOOKUP(C5179,METADATA!$J$5:$Q$29,IF(E5179="HI",2,IF(E5179="LO",6,10))+IF(D5179=1,2,IF(D5179=7,1,(IF(WEEKDAY(B5179)=1,2,IF(WEEKDAY(B5179)=7,1,0))))))</f>
        <v>2</v>
      </c>
      <c r="H5179" s="370">
        <v>5379.0249633789063</v>
      </c>
      <c r="I5179" s="370">
        <v>5457.4074096679688</v>
      </c>
      <c r="M5179" s="371">
        <f t="shared" si="321"/>
        <v>7662.7152623435186</v>
      </c>
      <c r="N5179" s="329">
        <f t="shared" si="322"/>
        <v>3843.6999206542969</v>
      </c>
      <c r="T5179" s="331">
        <v>0</v>
      </c>
      <c r="U5179" s="328">
        <f>VLOOKUP(C5179,METADATA!$J$5:$Q$29,IF(E5179="HI",2,IF(E5179="LO",6,10))+IF(T5179=1,2,IF(D5179=7,1,(IF(WEEKDAY(B5179)=1,2,IF(WEEKDAY(B5179)=7,1,0))))))</f>
        <v>2</v>
      </c>
      <c r="V5179" s="328">
        <f>VLOOKUP(C5179,METADATA!$A$5:$H$29,IF(E5179="HI",2,IF(E5179="LO",6,10))+IF(T5179=1,2,IF(D5179=7,1,(IF(WEEKDAY(B5179)=1,2,IF(WEEKDAY(B5179)=7,1,0))))))</f>
        <v>2</v>
      </c>
    </row>
    <row r="5180" spans="2:22">
      <c r="B5180" s="318">
        <f t="shared" si="323"/>
        <v>46328</v>
      </c>
      <c r="C5180" s="312">
        <v>16</v>
      </c>
      <c r="D5180" s="368">
        <f>IFERROR((INDEX(METADATA!$T$2:$T$20,MATCH(B5180,METADATA!$S$2:$S$20,0))),0)</f>
        <v>0</v>
      </c>
      <c r="E5180" s="312" t="str">
        <f t="shared" si="320"/>
        <v>LO</v>
      </c>
      <c r="F5180" s="369">
        <f>VLOOKUP(C5180,METADATA!$A$5:$H$29,IF(E5180="HI",2,IF(E5180="LO",6,10))+IF(D5180=1,2,IF(D5180=7,1,(IF(WEEKDAY(B5180)=1,2,IF(WEEKDAY(B5180)=7,1,0))))))</f>
        <v>2</v>
      </c>
      <c r="G5180" s="369">
        <f>VLOOKUP(C5180,METADATA!$J$5:$Q$29,IF(E5180="HI",2,IF(E5180="LO",6,10))+IF(D5180=1,2,IF(D5180=7,1,(IF(WEEKDAY(B5180)=1,2,IF(WEEKDAY(B5180)=7,1,0))))))</f>
        <v>2</v>
      </c>
      <c r="H5180" s="370">
        <v>4716.0774841308594</v>
      </c>
      <c r="I5180" s="370">
        <v>4794.0299682617188</v>
      </c>
      <c r="M5180" s="371">
        <f t="shared" si="321"/>
        <v>6724.8873725079975</v>
      </c>
      <c r="N5180" s="329">
        <f t="shared" si="322"/>
        <v>3379.2067230224611</v>
      </c>
      <c r="T5180" s="331">
        <v>0</v>
      </c>
      <c r="U5180" s="328">
        <f>VLOOKUP(C5180,METADATA!$J$5:$Q$29,IF(E5180="HI",2,IF(E5180="LO",6,10))+IF(T5180=1,2,IF(D5180=7,1,(IF(WEEKDAY(B5180)=1,2,IF(WEEKDAY(B5180)=7,1,0))))))</f>
        <v>2</v>
      </c>
      <c r="V5180" s="328">
        <f>VLOOKUP(C5180,METADATA!$A$5:$H$29,IF(E5180="HI",2,IF(E5180="LO",6,10))+IF(T5180=1,2,IF(D5180=7,1,(IF(WEEKDAY(B5180)=1,2,IF(WEEKDAY(B5180)=7,1,0))))))</f>
        <v>2</v>
      </c>
    </row>
    <row r="5181" spans="2:22">
      <c r="B5181" s="318">
        <f t="shared" si="323"/>
        <v>46328</v>
      </c>
      <c r="C5181" s="312">
        <v>17</v>
      </c>
      <c r="D5181" s="368">
        <f>IFERROR((INDEX(METADATA!$T$2:$T$20,MATCH(B5181,METADATA!$S$2:$S$20,0))),0)</f>
        <v>0</v>
      </c>
      <c r="E5181" s="312" t="str">
        <f t="shared" si="320"/>
        <v>LO</v>
      </c>
      <c r="F5181" s="369">
        <f>VLOOKUP(C5181,METADATA!$A$5:$H$29,IF(E5181="HI",2,IF(E5181="LO",6,10))+IF(D5181=1,2,IF(D5181=7,1,(IF(WEEKDAY(B5181)=1,2,IF(WEEKDAY(B5181)=7,1,0))))))</f>
        <v>2</v>
      </c>
      <c r="G5181" s="369">
        <f>VLOOKUP(C5181,METADATA!$J$5:$Q$29,IF(E5181="HI",2,IF(E5181="LO",6,10))+IF(D5181=1,2,IF(D5181=7,1,(IF(WEEKDAY(B5181)=1,2,IF(WEEKDAY(B5181)=7,1,0))))))</f>
        <v>2</v>
      </c>
      <c r="H5181" s="370">
        <v>4395.9049072265625</v>
      </c>
      <c r="I5181" s="370">
        <v>4519.6224670410156</v>
      </c>
      <c r="M5181" s="371">
        <f t="shared" si="321"/>
        <v>6304.8368097802886</v>
      </c>
      <c r="N5181" s="329">
        <f t="shared" si="322"/>
        <v>3200.8509948730471</v>
      </c>
      <c r="T5181" s="331">
        <v>0</v>
      </c>
      <c r="U5181" s="328">
        <f>VLOOKUP(C5181,METADATA!$J$5:$Q$29,IF(E5181="HI",2,IF(E5181="LO",6,10))+IF(T5181=1,2,IF(D5181=7,1,(IF(WEEKDAY(B5181)=1,2,IF(WEEKDAY(B5181)=7,1,0))))))</f>
        <v>2</v>
      </c>
      <c r="V5181" s="328">
        <f>VLOOKUP(C5181,METADATA!$A$5:$H$29,IF(E5181="HI",2,IF(E5181="LO",6,10))+IF(T5181=1,2,IF(D5181=7,1,(IF(WEEKDAY(B5181)=1,2,IF(WEEKDAY(B5181)=7,1,0))))))</f>
        <v>2</v>
      </c>
    </row>
    <row r="5182" spans="2:22">
      <c r="B5182" s="318">
        <f t="shared" si="323"/>
        <v>46328</v>
      </c>
      <c r="C5182" s="312">
        <v>18</v>
      </c>
      <c r="D5182" s="368">
        <f>IFERROR((INDEX(METADATA!$T$2:$T$20,MATCH(B5182,METADATA!$S$2:$S$20,0))),0)</f>
        <v>0</v>
      </c>
      <c r="E5182" s="312" t="str">
        <f t="shared" si="320"/>
        <v>LO</v>
      </c>
      <c r="F5182" s="369">
        <f>VLOOKUP(C5182,METADATA!$A$5:$H$29,IF(E5182="HI",2,IF(E5182="LO",6,10))+IF(D5182=1,2,IF(D5182=7,1,(IF(WEEKDAY(B5182)=1,2,IF(WEEKDAY(B5182)=7,1,0))))))</f>
        <v>1</v>
      </c>
      <c r="G5182" s="369">
        <f>VLOOKUP(C5182,METADATA!$J$5:$Q$29,IF(E5182="HI",2,IF(E5182="LO",6,10))+IF(D5182=1,2,IF(D5182=7,1,(IF(WEEKDAY(B5182)=1,2,IF(WEEKDAY(B5182)=7,1,0))))))</f>
        <v>1</v>
      </c>
      <c r="H5182" s="370">
        <v>4428.550048828125</v>
      </c>
      <c r="I5182" s="370">
        <v>4494.8399353027344</v>
      </c>
      <c r="M5182" s="371">
        <f t="shared" si="321"/>
        <v>6309.9636749325173</v>
      </c>
      <c r="N5182" s="329">
        <f t="shared" si="322"/>
        <v>3166.2749206542967</v>
      </c>
      <c r="T5182" s="331">
        <v>0</v>
      </c>
      <c r="U5182" s="328">
        <f>VLOOKUP(C5182,METADATA!$J$5:$Q$29,IF(E5182="HI",2,IF(E5182="LO",6,10))+IF(T5182=1,2,IF(D5182=7,1,(IF(WEEKDAY(B5182)=1,2,IF(WEEKDAY(B5182)=7,1,0))))))</f>
        <v>1</v>
      </c>
      <c r="V5182" s="328">
        <f>VLOOKUP(C5182,METADATA!$A$5:$H$29,IF(E5182="HI",2,IF(E5182="LO",6,10))+IF(T5182=1,2,IF(D5182=7,1,(IF(WEEKDAY(B5182)=1,2,IF(WEEKDAY(B5182)=7,1,0))))))</f>
        <v>1</v>
      </c>
    </row>
    <row r="5183" spans="2:22">
      <c r="B5183" s="318">
        <f t="shared" si="323"/>
        <v>46328</v>
      </c>
      <c r="C5183" s="312">
        <v>19</v>
      </c>
      <c r="D5183" s="368">
        <f>IFERROR((INDEX(METADATA!$T$2:$T$20,MATCH(B5183,METADATA!$S$2:$S$20,0))),0)</f>
        <v>0</v>
      </c>
      <c r="E5183" s="312" t="str">
        <f t="shared" si="320"/>
        <v>LO</v>
      </c>
      <c r="F5183" s="369">
        <f>VLOOKUP(C5183,METADATA!$A$5:$H$29,IF(E5183="HI",2,IF(E5183="LO",6,10))+IF(D5183=1,2,IF(D5183=7,1,(IF(WEEKDAY(B5183)=1,2,IF(WEEKDAY(B5183)=7,1,0))))))</f>
        <v>1</v>
      </c>
      <c r="G5183" s="369">
        <f>VLOOKUP(C5183,METADATA!$J$5:$Q$29,IF(E5183="HI",2,IF(E5183="LO",6,10))+IF(D5183=1,2,IF(D5183=7,1,(IF(WEEKDAY(B5183)=1,2,IF(WEEKDAY(B5183)=7,1,0))))))</f>
        <v>1</v>
      </c>
      <c r="H5183" s="370">
        <v>4387.3600463867188</v>
      </c>
      <c r="I5183" s="370">
        <v>4430.7024536132813</v>
      </c>
      <c r="M5183" s="371">
        <f t="shared" si="321"/>
        <v>6235.3871098020227</v>
      </c>
      <c r="N5183" s="329">
        <f t="shared" si="322"/>
        <v>3114.494439697266</v>
      </c>
      <c r="T5183" s="331">
        <v>0</v>
      </c>
      <c r="U5183" s="328">
        <f>VLOOKUP(C5183,METADATA!$J$5:$Q$29,IF(E5183="HI",2,IF(E5183="LO",6,10))+IF(T5183=1,2,IF(D5183=7,1,(IF(WEEKDAY(B5183)=1,2,IF(WEEKDAY(B5183)=7,1,0))))))</f>
        <v>1</v>
      </c>
      <c r="V5183" s="328">
        <f>VLOOKUP(C5183,METADATA!$A$5:$H$29,IF(E5183="HI",2,IF(E5183="LO",6,10))+IF(T5183=1,2,IF(D5183=7,1,(IF(WEEKDAY(B5183)=1,2,IF(WEEKDAY(B5183)=7,1,0))))))</f>
        <v>1</v>
      </c>
    </row>
    <row r="5184" spans="2:22">
      <c r="B5184" s="318">
        <f t="shared" si="323"/>
        <v>46328</v>
      </c>
      <c r="C5184" s="312">
        <v>20</v>
      </c>
      <c r="D5184" s="368">
        <f>IFERROR((INDEX(METADATA!$T$2:$T$20,MATCH(B5184,METADATA!$S$2:$S$20,0))),0)</f>
        <v>0</v>
      </c>
      <c r="E5184" s="312" t="str">
        <f t="shared" si="320"/>
        <v>LO</v>
      </c>
      <c r="F5184" s="369">
        <f>VLOOKUP(C5184,METADATA!$A$5:$H$29,IF(E5184="HI",2,IF(E5184="LO",6,10))+IF(D5184=1,2,IF(D5184=7,1,(IF(WEEKDAY(B5184)=1,2,IF(WEEKDAY(B5184)=7,1,0))))))</f>
        <v>1</v>
      </c>
      <c r="G5184" s="369">
        <f>VLOOKUP(C5184,METADATA!$J$5:$Q$29,IF(E5184="HI",2,IF(E5184="LO",6,10))+IF(D5184=1,2,IF(D5184=7,1,(IF(WEEKDAY(B5184)=1,2,IF(WEEKDAY(B5184)=7,1,0))))))</f>
        <v>1</v>
      </c>
      <c r="H5184" s="370">
        <v>4381.9900207519531</v>
      </c>
      <c r="I5184" s="370">
        <v>4461.4001159667969</v>
      </c>
      <c r="M5184" s="371">
        <f t="shared" si="321"/>
        <v>6253.4732378669578</v>
      </c>
      <c r="N5184" s="329">
        <f t="shared" si="322"/>
        <v>3146.8031097412113</v>
      </c>
      <c r="T5184" s="331">
        <v>0</v>
      </c>
      <c r="U5184" s="328">
        <f>VLOOKUP(C5184,METADATA!$J$5:$Q$29,IF(E5184="HI",2,IF(E5184="LO",6,10))+IF(T5184=1,2,IF(D5184=7,1,(IF(WEEKDAY(B5184)=1,2,IF(WEEKDAY(B5184)=7,1,0))))))</f>
        <v>1</v>
      </c>
      <c r="V5184" s="328">
        <f>VLOOKUP(C5184,METADATA!$A$5:$H$29,IF(E5184="HI",2,IF(E5184="LO",6,10))+IF(T5184=1,2,IF(D5184=7,1,(IF(WEEKDAY(B5184)=1,2,IF(WEEKDAY(B5184)=7,1,0))))))</f>
        <v>1</v>
      </c>
    </row>
    <row r="5185" spans="2:22">
      <c r="B5185" s="318">
        <f t="shared" si="323"/>
        <v>46328</v>
      </c>
      <c r="C5185" s="312">
        <v>21</v>
      </c>
      <c r="D5185" s="368">
        <f>IFERROR((INDEX(METADATA!$T$2:$T$20,MATCH(B5185,METADATA!$S$2:$S$20,0))),0)</f>
        <v>0</v>
      </c>
      <c r="E5185" s="312" t="str">
        <f t="shared" si="320"/>
        <v>LO</v>
      </c>
      <c r="F5185" s="369">
        <f>VLOOKUP(C5185,METADATA!$A$5:$H$29,IF(E5185="HI",2,IF(E5185="LO",6,10))+IF(D5185=1,2,IF(D5185=7,1,(IF(WEEKDAY(B5185)=1,2,IF(WEEKDAY(B5185)=7,1,0))))))</f>
        <v>2</v>
      </c>
      <c r="G5185" s="369">
        <f>VLOOKUP(C5185,METADATA!$J$5:$Q$29,IF(E5185="HI",2,IF(E5185="LO",6,10))+IF(D5185=1,2,IF(D5185=7,1,(IF(WEEKDAY(B5185)=1,2,IF(WEEKDAY(B5185)=7,1,0))))))</f>
        <v>2</v>
      </c>
      <c r="H5185" s="370">
        <v>4409.2000122070313</v>
      </c>
      <c r="I5185" s="370">
        <v>4359.4148864746094</v>
      </c>
      <c r="M5185" s="371">
        <f t="shared" si="321"/>
        <v>6200.4469919565408</v>
      </c>
      <c r="N5185" s="329">
        <f t="shared" si="322"/>
        <v>3036.6548828125001</v>
      </c>
      <c r="T5185" s="331">
        <v>0</v>
      </c>
      <c r="U5185" s="328">
        <f>VLOOKUP(C5185,METADATA!$J$5:$Q$29,IF(E5185="HI",2,IF(E5185="LO",6,10))+IF(T5185=1,2,IF(D5185=7,1,(IF(WEEKDAY(B5185)=1,2,IF(WEEKDAY(B5185)=7,1,0))))))</f>
        <v>2</v>
      </c>
      <c r="V5185" s="328">
        <f>VLOOKUP(C5185,METADATA!$A$5:$H$29,IF(E5185="HI",2,IF(E5185="LO",6,10))+IF(T5185=1,2,IF(D5185=7,1,(IF(WEEKDAY(B5185)=1,2,IF(WEEKDAY(B5185)=7,1,0))))))</f>
        <v>2</v>
      </c>
    </row>
    <row r="5186" spans="2:22">
      <c r="B5186" s="318">
        <f t="shared" si="323"/>
        <v>46328</v>
      </c>
      <c r="C5186" s="312">
        <v>22</v>
      </c>
      <c r="D5186" s="368">
        <f>IFERROR((INDEX(METADATA!$T$2:$T$20,MATCH(B5186,METADATA!$S$2:$S$20,0))),0)</f>
        <v>0</v>
      </c>
      <c r="E5186" s="312" t="str">
        <f t="shared" si="320"/>
        <v>LO</v>
      </c>
      <c r="F5186" s="369">
        <f>VLOOKUP(C5186,METADATA!$A$5:$H$29,IF(E5186="HI",2,IF(E5186="LO",6,10))+IF(D5186=1,2,IF(D5186=7,1,(IF(WEEKDAY(B5186)=1,2,IF(WEEKDAY(B5186)=7,1,0))))))</f>
        <v>3</v>
      </c>
      <c r="G5186" s="369">
        <f>VLOOKUP(C5186,METADATA!$J$5:$Q$29,IF(E5186="HI",2,IF(E5186="LO",6,10))+IF(D5186=1,2,IF(D5186=7,1,(IF(WEEKDAY(B5186)=1,2,IF(WEEKDAY(B5186)=7,1,0))))))</f>
        <v>3</v>
      </c>
      <c r="H5186" s="370">
        <v>4372.4199523925781</v>
      </c>
      <c r="I5186" s="370">
        <v>4525.1049194335938</v>
      </c>
      <c r="M5186" s="371">
        <f t="shared" si="321"/>
        <v>6292.42646138696</v>
      </c>
      <c r="N5186" s="329">
        <f t="shared" si="322"/>
        <v>3213.3789337158205</v>
      </c>
      <c r="T5186" s="331">
        <v>0</v>
      </c>
      <c r="U5186" s="328">
        <f>VLOOKUP(C5186,METADATA!$J$5:$Q$29,IF(E5186="HI",2,IF(E5186="LO",6,10))+IF(T5186=1,2,IF(D5186=7,1,(IF(WEEKDAY(B5186)=1,2,IF(WEEKDAY(B5186)=7,1,0))))))</f>
        <v>3</v>
      </c>
      <c r="V5186" s="328">
        <f>VLOOKUP(C5186,METADATA!$A$5:$H$29,IF(E5186="HI",2,IF(E5186="LO",6,10))+IF(T5186=1,2,IF(D5186=7,1,(IF(WEEKDAY(B5186)=1,2,IF(WEEKDAY(B5186)=7,1,0))))))</f>
        <v>3</v>
      </c>
    </row>
    <row r="5187" spans="2:22">
      <c r="B5187" s="318">
        <f t="shared" si="323"/>
        <v>46328</v>
      </c>
      <c r="C5187" s="312">
        <v>23</v>
      </c>
      <c r="D5187" s="368">
        <f>IFERROR((INDEX(METADATA!$T$2:$T$20,MATCH(B5187,METADATA!$S$2:$S$20,0))),0)</f>
        <v>0</v>
      </c>
      <c r="E5187" s="312" t="str">
        <f t="shared" si="320"/>
        <v>LO</v>
      </c>
      <c r="F5187" s="369">
        <f>VLOOKUP(C5187,METADATA!$A$5:$H$29,IF(E5187="HI",2,IF(E5187="LO",6,10))+IF(D5187=1,2,IF(D5187=7,1,(IF(WEEKDAY(B5187)=1,2,IF(WEEKDAY(B5187)=7,1,0))))))</f>
        <v>3</v>
      </c>
      <c r="G5187" s="369">
        <f>VLOOKUP(C5187,METADATA!$J$5:$Q$29,IF(E5187="HI",2,IF(E5187="LO",6,10))+IF(D5187=1,2,IF(D5187=7,1,(IF(WEEKDAY(B5187)=1,2,IF(WEEKDAY(B5187)=7,1,0))))))</f>
        <v>3</v>
      </c>
      <c r="H5187" s="370">
        <v>4366.4824523925781</v>
      </c>
      <c r="I5187" s="370">
        <v>4344.4375305175781</v>
      </c>
      <c r="M5187" s="371">
        <f t="shared" si="321"/>
        <v>6159.5703148532994</v>
      </c>
      <c r="N5187" s="329">
        <f t="shared" si="322"/>
        <v>3034.4927947998049</v>
      </c>
      <c r="T5187" s="331">
        <v>0</v>
      </c>
      <c r="U5187" s="328">
        <f>VLOOKUP(C5187,METADATA!$J$5:$Q$29,IF(E5187="HI",2,IF(E5187="LO",6,10))+IF(T5187=1,2,IF(D5187=7,1,(IF(WEEKDAY(B5187)=1,2,IF(WEEKDAY(B5187)=7,1,0))))))</f>
        <v>3</v>
      </c>
      <c r="V5187" s="328">
        <f>VLOOKUP(C5187,METADATA!$A$5:$H$29,IF(E5187="HI",2,IF(E5187="LO",6,10))+IF(T5187=1,2,IF(D5187=7,1,(IF(WEEKDAY(B5187)=1,2,IF(WEEKDAY(B5187)=7,1,0))))))</f>
        <v>3</v>
      </c>
    </row>
    <row r="5188" spans="2:22">
      <c r="B5188" s="318">
        <f t="shared" si="323"/>
        <v>46329</v>
      </c>
      <c r="C5188" s="312">
        <v>0</v>
      </c>
      <c r="D5188" s="368">
        <f>IFERROR((INDEX(METADATA!$T$2:$T$20,MATCH(B5188,METADATA!$S$2:$S$20,0))),0)</f>
        <v>0</v>
      </c>
      <c r="E5188" s="312" t="str">
        <f t="shared" ref="E5188:E5251" si="324">IF(B5188="","",IF(AND(MONTH(B5188)&gt;=MONTH($Z$9),MONTH(B5188)&lt;=MONTH($Z$11)),"HI","LO"))</f>
        <v>LO</v>
      </c>
      <c r="F5188" s="369">
        <f>VLOOKUP(C5188,METADATA!$A$5:$H$29,IF(E5188="HI",2,IF(E5188="LO",6,10))+IF(D5188=1,2,IF(D5188=7,1,(IF(WEEKDAY(B5188)=1,2,IF(WEEKDAY(B5188)=7,1,0))))))</f>
        <v>3</v>
      </c>
      <c r="G5188" s="369">
        <f>VLOOKUP(C5188,METADATA!$J$5:$Q$29,IF(E5188="HI",2,IF(E5188="LO",6,10))+IF(D5188=1,2,IF(D5188=7,1,(IF(WEEKDAY(B5188)=1,2,IF(WEEKDAY(B5188)=7,1,0))))))</f>
        <v>3</v>
      </c>
      <c r="H5188" s="370">
        <v>4325.5750427246094</v>
      </c>
      <c r="I5188" s="370">
        <v>4258.1424255371094</v>
      </c>
      <c r="M5188" s="371">
        <f t="shared" ref="M5188:M5251" si="325">SQRT(H5188^2+I5188^2)</f>
        <v>6069.792118878624</v>
      </c>
      <c r="N5188" s="329">
        <f t="shared" ref="N5188:N5251" si="326">IF(H5188=0,0,(IF(I5188-(0.3*H5188)&lt;0,0,(I5188-(0.3*H5188)))))</f>
        <v>2960.4699127197264</v>
      </c>
      <c r="T5188" s="331">
        <v>0</v>
      </c>
      <c r="U5188" s="328">
        <f>VLOOKUP(C5188,METADATA!$J$5:$Q$29,IF(E5188="HI",2,IF(E5188="LO",6,10))+IF(T5188=1,2,IF(D5188=7,1,(IF(WEEKDAY(B5188)=1,2,IF(WEEKDAY(B5188)=7,1,0))))))</f>
        <v>3</v>
      </c>
      <c r="V5188" s="328">
        <f>VLOOKUP(C5188,METADATA!$A$5:$H$29,IF(E5188="HI",2,IF(E5188="LO",6,10))+IF(T5188=1,2,IF(D5188=7,1,(IF(WEEKDAY(B5188)=1,2,IF(WEEKDAY(B5188)=7,1,0))))))</f>
        <v>3</v>
      </c>
    </row>
    <row r="5189" spans="2:22">
      <c r="B5189" s="318">
        <f t="shared" si="323"/>
        <v>46329</v>
      </c>
      <c r="C5189" s="312">
        <v>1</v>
      </c>
      <c r="D5189" s="368">
        <f>IFERROR((INDEX(METADATA!$T$2:$T$20,MATCH(B5189,METADATA!$S$2:$S$20,0))),0)</f>
        <v>0</v>
      </c>
      <c r="E5189" s="312" t="str">
        <f t="shared" si="324"/>
        <v>LO</v>
      </c>
      <c r="F5189" s="369">
        <f>VLOOKUP(C5189,METADATA!$A$5:$H$29,IF(E5189="HI",2,IF(E5189="LO",6,10))+IF(D5189=1,2,IF(D5189=7,1,(IF(WEEKDAY(B5189)=1,2,IF(WEEKDAY(B5189)=7,1,0))))))</f>
        <v>3</v>
      </c>
      <c r="G5189" s="369">
        <f>VLOOKUP(C5189,METADATA!$J$5:$Q$29,IF(E5189="HI",2,IF(E5189="LO",6,10))+IF(D5189=1,2,IF(D5189=7,1,(IF(WEEKDAY(B5189)=1,2,IF(WEEKDAY(B5189)=7,1,0))))))</f>
        <v>3</v>
      </c>
      <c r="H5189" s="370">
        <v>4291.4300231933594</v>
      </c>
      <c r="I5189" s="370">
        <v>4198.7276916503906</v>
      </c>
      <c r="M5189" s="371">
        <f t="shared" si="325"/>
        <v>6003.8059489458165</v>
      </c>
      <c r="N5189" s="329">
        <f t="shared" si="326"/>
        <v>2911.2986846923832</v>
      </c>
      <c r="T5189" s="331">
        <v>0</v>
      </c>
      <c r="U5189" s="328">
        <f>VLOOKUP(C5189,METADATA!$J$5:$Q$29,IF(E5189="HI",2,IF(E5189="LO",6,10))+IF(T5189=1,2,IF(D5189=7,1,(IF(WEEKDAY(B5189)=1,2,IF(WEEKDAY(B5189)=7,1,0))))))</f>
        <v>3</v>
      </c>
      <c r="V5189" s="328">
        <f>VLOOKUP(C5189,METADATA!$A$5:$H$29,IF(E5189="HI",2,IF(E5189="LO",6,10))+IF(T5189=1,2,IF(D5189=7,1,(IF(WEEKDAY(B5189)=1,2,IF(WEEKDAY(B5189)=7,1,0))))))</f>
        <v>3</v>
      </c>
    </row>
    <row r="5190" spans="2:22">
      <c r="B5190" s="318">
        <f t="shared" si="323"/>
        <v>46329</v>
      </c>
      <c r="C5190" s="312">
        <v>2</v>
      </c>
      <c r="D5190" s="368">
        <f>IFERROR((INDEX(METADATA!$T$2:$T$20,MATCH(B5190,METADATA!$S$2:$S$20,0))),0)</f>
        <v>0</v>
      </c>
      <c r="E5190" s="312" t="str">
        <f t="shared" si="324"/>
        <v>LO</v>
      </c>
      <c r="F5190" s="369">
        <f>VLOOKUP(C5190,METADATA!$A$5:$H$29,IF(E5190="HI",2,IF(E5190="LO",6,10))+IF(D5190=1,2,IF(D5190=7,1,(IF(WEEKDAY(B5190)=1,2,IF(WEEKDAY(B5190)=7,1,0))))))</f>
        <v>3</v>
      </c>
      <c r="G5190" s="369">
        <f>VLOOKUP(C5190,METADATA!$J$5:$Q$29,IF(E5190="HI",2,IF(E5190="LO",6,10))+IF(D5190=1,2,IF(D5190=7,1,(IF(WEEKDAY(B5190)=1,2,IF(WEEKDAY(B5190)=7,1,0))))))</f>
        <v>3</v>
      </c>
      <c r="H5190" s="370">
        <v>4241.1084289550781</v>
      </c>
      <c r="I5190" s="370">
        <v>4194.990966796875</v>
      </c>
      <c r="M5190" s="371">
        <f t="shared" si="325"/>
        <v>5965.3122229822293</v>
      </c>
      <c r="N5190" s="329">
        <f t="shared" si="326"/>
        <v>2922.6584381103517</v>
      </c>
      <c r="T5190" s="331">
        <v>0</v>
      </c>
      <c r="U5190" s="328">
        <f>VLOOKUP(C5190,METADATA!$J$5:$Q$29,IF(E5190="HI",2,IF(E5190="LO",6,10))+IF(T5190=1,2,IF(D5190=7,1,(IF(WEEKDAY(B5190)=1,2,IF(WEEKDAY(B5190)=7,1,0))))))</f>
        <v>3</v>
      </c>
      <c r="V5190" s="328">
        <f>VLOOKUP(C5190,METADATA!$A$5:$H$29,IF(E5190="HI",2,IF(E5190="LO",6,10))+IF(T5190=1,2,IF(D5190=7,1,(IF(WEEKDAY(B5190)=1,2,IF(WEEKDAY(B5190)=7,1,0))))))</f>
        <v>3</v>
      </c>
    </row>
    <row r="5191" spans="2:22">
      <c r="B5191" s="318">
        <f t="shared" si="323"/>
        <v>46329</v>
      </c>
      <c r="C5191" s="312">
        <v>3</v>
      </c>
      <c r="D5191" s="368">
        <f>IFERROR((INDEX(METADATA!$T$2:$T$20,MATCH(B5191,METADATA!$S$2:$S$20,0))),0)</f>
        <v>0</v>
      </c>
      <c r="E5191" s="312" t="str">
        <f t="shared" si="324"/>
        <v>LO</v>
      </c>
      <c r="F5191" s="369">
        <f>VLOOKUP(C5191,METADATA!$A$5:$H$29,IF(E5191="HI",2,IF(E5191="LO",6,10))+IF(D5191=1,2,IF(D5191=7,1,(IF(WEEKDAY(B5191)=1,2,IF(WEEKDAY(B5191)=7,1,0))))))</f>
        <v>3</v>
      </c>
      <c r="G5191" s="369">
        <f>VLOOKUP(C5191,METADATA!$J$5:$Q$29,IF(E5191="HI",2,IF(E5191="LO",6,10))+IF(D5191=1,2,IF(D5191=7,1,(IF(WEEKDAY(B5191)=1,2,IF(WEEKDAY(B5191)=7,1,0))))))</f>
        <v>3</v>
      </c>
      <c r="H5191" s="370">
        <v>4238.8775329589844</v>
      </c>
      <c r="I5191" s="370">
        <v>4233.6050109863281</v>
      </c>
      <c r="M5191" s="371">
        <f t="shared" si="325"/>
        <v>5990.9510203700538</v>
      </c>
      <c r="N5191" s="329">
        <f t="shared" si="326"/>
        <v>2961.9417510986332</v>
      </c>
      <c r="T5191" s="331">
        <v>0</v>
      </c>
      <c r="U5191" s="328">
        <f>VLOOKUP(C5191,METADATA!$J$5:$Q$29,IF(E5191="HI",2,IF(E5191="LO",6,10))+IF(T5191=1,2,IF(D5191=7,1,(IF(WEEKDAY(B5191)=1,2,IF(WEEKDAY(B5191)=7,1,0))))))</f>
        <v>3</v>
      </c>
      <c r="V5191" s="328">
        <f>VLOOKUP(C5191,METADATA!$A$5:$H$29,IF(E5191="HI",2,IF(E5191="LO",6,10))+IF(T5191=1,2,IF(D5191=7,1,(IF(WEEKDAY(B5191)=1,2,IF(WEEKDAY(B5191)=7,1,0))))))</f>
        <v>3</v>
      </c>
    </row>
    <row r="5192" spans="2:22">
      <c r="B5192" s="318">
        <f t="shared" si="323"/>
        <v>46329</v>
      </c>
      <c r="C5192" s="312">
        <v>4</v>
      </c>
      <c r="D5192" s="368">
        <f>IFERROR((INDEX(METADATA!$T$2:$T$20,MATCH(B5192,METADATA!$S$2:$S$20,0))),0)</f>
        <v>0</v>
      </c>
      <c r="E5192" s="312" t="str">
        <f t="shared" si="324"/>
        <v>LO</v>
      </c>
      <c r="F5192" s="369">
        <f>VLOOKUP(C5192,METADATA!$A$5:$H$29,IF(E5192="HI",2,IF(E5192="LO",6,10))+IF(D5192=1,2,IF(D5192=7,1,(IF(WEEKDAY(B5192)=1,2,IF(WEEKDAY(B5192)=7,1,0))))))</f>
        <v>3</v>
      </c>
      <c r="G5192" s="369">
        <f>VLOOKUP(C5192,METADATA!$J$5:$Q$29,IF(E5192="HI",2,IF(E5192="LO",6,10))+IF(D5192=1,2,IF(D5192=7,1,(IF(WEEKDAY(B5192)=1,2,IF(WEEKDAY(B5192)=7,1,0))))))</f>
        <v>3</v>
      </c>
      <c r="H5192" s="370">
        <v>4237.4999084472656</v>
      </c>
      <c r="I5192" s="370">
        <v>4215.0525207519531</v>
      </c>
      <c r="M5192" s="371">
        <f t="shared" si="325"/>
        <v>5976.878217496821</v>
      </c>
      <c r="N5192" s="329">
        <f t="shared" si="326"/>
        <v>2943.8025482177736</v>
      </c>
      <c r="T5192" s="331">
        <v>0</v>
      </c>
      <c r="U5192" s="328">
        <f>VLOOKUP(C5192,METADATA!$J$5:$Q$29,IF(E5192="HI",2,IF(E5192="LO",6,10))+IF(T5192=1,2,IF(D5192=7,1,(IF(WEEKDAY(B5192)=1,2,IF(WEEKDAY(B5192)=7,1,0))))))</f>
        <v>3</v>
      </c>
      <c r="V5192" s="328">
        <f>VLOOKUP(C5192,METADATA!$A$5:$H$29,IF(E5192="HI",2,IF(E5192="LO",6,10))+IF(T5192=1,2,IF(D5192=7,1,(IF(WEEKDAY(B5192)=1,2,IF(WEEKDAY(B5192)=7,1,0))))))</f>
        <v>3</v>
      </c>
    </row>
    <row r="5193" spans="2:22">
      <c r="B5193" s="318">
        <f t="shared" si="323"/>
        <v>46329</v>
      </c>
      <c r="C5193" s="312">
        <v>5</v>
      </c>
      <c r="D5193" s="368">
        <f>IFERROR((INDEX(METADATA!$T$2:$T$20,MATCH(B5193,METADATA!$S$2:$S$20,0))),0)</f>
        <v>0</v>
      </c>
      <c r="E5193" s="312" t="str">
        <f t="shared" si="324"/>
        <v>LO</v>
      </c>
      <c r="F5193" s="369">
        <f>VLOOKUP(C5193,METADATA!$A$5:$H$29,IF(E5193="HI",2,IF(E5193="LO",6,10))+IF(D5193=1,2,IF(D5193=7,1,(IF(WEEKDAY(B5193)=1,2,IF(WEEKDAY(B5193)=7,1,0))))))</f>
        <v>3</v>
      </c>
      <c r="G5193" s="369">
        <f>VLOOKUP(C5193,METADATA!$J$5:$Q$29,IF(E5193="HI",2,IF(E5193="LO",6,10))+IF(D5193=1,2,IF(D5193=7,1,(IF(WEEKDAY(B5193)=1,2,IF(WEEKDAY(B5193)=7,1,0))))))</f>
        <v>3</v>
      </c>
      <c r="H5193" s="370">
        <v>4323.5100402832031</v>
      </c>
      <c r="I5193" s="370">
        <v>4430.802490234375</v>
      </c>
      <c r="M5193" s="371">
        <f t="shared" si="325"/>
        <v>6190.6986500634002</v>
      </c>
      <c r="N5193" s="329">
        <f t="shared" si="326"/>
        <v>3133.7494781494142</v>
      </c>
      <c r="T5193" s="331">
        <v>0</v>
      </c>
      <c r="U5193" s="328">
        <f>VLOOKUP(C5193,METADATA!$J$5:$Q$29,IF(E5193="HI",2,IF(E5193="LO",6,10))+IF(T5193=1,2,IF(D5193=7,1,(IF(WEEKDAY(B5193)=1,2,IF(WEEKDAY(B5193)=7,1,0))))))</f>
        <v>3</v>
      </c>
      <c r="V5193" s="328">
        <f>VLOOKUP(C5193,METADATA!$A$5:$H$29,IF(E5193="HI",2,IF(E5193="LO",6,10))+IF(T5193=1,2,IF(D5193=7,1,(IF(WEEKDAY(B5193)=1,2,IF(WEEKDAY(B5193)=7,1,0))))))</f>
        <v>3</v>
      </c>
    </row>
    <row r="5194" spans="2:22">
      <c r="B5194" s="318">
        <f t="shared" si="323"/>
        <v>46329</v>
      </c>
      <c r="C5194" s="312">
        <v>6</v>
      </c>
      <c r="D5194" s="368">
        <f>IFERROR((INDEX(METADATA!$T$2:$T$20,MATCH(B5194,METADATA!$S$2:$S$20,0))),0)</f>
        <v>0</v>
      </c>
      <c r="E5194" s="312" t="str">
        <f t="shared" si="324"/>
        <v>LO</v>
      </c>
      <c r="F5194" s="369">
        <f>VLOOKUP(C5194,METADATA!$A$5:$H$29,IF(E5194="HI",2,IF(E5194="LO",6,10))+IF(D5194=1,2,IF(D5194=7,1,(IF(WEEKDAY(B5194)=1,2,IF(WEEKDAY(B5194)=7,1,0))))))</f>
        <v>2</v>
      </c>
      <c r="G5194" s="369">
        <f>VLOOKUP(C5194,METADATA!$J$5:$Q$29,IF(E5194="HI",2,IF(E5194="LO",6,10))+IF(D5194=1,2,IF(D5194=7,1,(IF(WEEKDAY(B5194)=1,2,IF(WEEKDAY(B5194)=7,1,0))))))</f>
        <v>2</v>
      </c>
      <c r="H5194" s="370">
        <v>4546.360107421875</v>
      </c>
      <c r="I5194" s="370">
        <v>4654.5275268554688</v>
      </c>
      <c r="M5194" s="371">
        <f t="shared" si="325"/>
        <v>6506.4596152294935</v>
      </c>
      <c r="N5194" s="329">
        <f t="shared" si="326"/>
        <v>3290.6194946289061</v>
      </c>
      <c r="T5194" s="331">
        <v>0</v>
      </c>
      <c r="U5194" s="328">
        <f>VLOOKUP(C5194,METADATA!$J$5:$Q$29,IF(E5194="HI",2,IF(E5194="LO",6,10))+IF(T5194=1,2,IF(D5194=7,1,(IF(WEEKDAY(B5194)=1,2,IF(WEEKDAY(B5194)=7,1,0))))))</f>
        <v>2</v>
      </c>
      <c r="V5194" s="328">
        <f>VLOOKUP(C5194,METADATA!$A$5:$H$29,IF(E5194="HI",2,IF(E5194="LO",6,10))+IF(T5194=1,2,IF(D5194=7,1,(IF(WEEKDAY(B5194)=1,2,IF(WEEKDAY(B5194)=7,1,0))))))</f>
        <v>2</v>
      </c>
    </row>
    <row r="5195" spans="2:22">
      <c r="B5195" s="318">
        <f t="shared" si="323"/>
        <v>46329</v>
      </c>
      <c r="C5195" s="312">
        <v>7</v>
      </c>
      <c r="D5195" s="368">
        <f>IFERROR((INDEX(METADATA!$T$2:$T$20,MATCH(B5195,METADATA!$S$2:$S$20,0))),0)</f>
        <v>0</v>
      </c>
      <c r="E5195" s="312" t="str">
        <f t="shared" si="324"/>
        <v>LO</v>
      </c>
      <c r="F5195" s="369">
        <f>VLOOKUP(C5195,METADATA!$A$5:$H$29,IF(E5195="HI",2,IF(E5195="LO",6,10))+IF(D5195=1,2,IF(D5195=7,1,(IF(WEEKDAY(B5195)=1,2,IF(WEEKDAY(B5195)=7,1,0))))))</f>
        <v>1</v>
      </c>
      <c r="G5195" s="369">
        <f>VLOOKUP(C5195,METADATA!$J$5:$Q$29,IF(E5195="HI",2,IF(E5195="LO",6,10))+IF(D5195=1,2,IF(D5195=7,1,(IF(WEEKDAY(B5195)=1,2,IF(WEEKDAY(B5195)=7,1,0))))))</f>
        <v>1</v>
      </c>
      <c r="H5195" s="370">
        <v>9497.2499694824219</v>
      </c>
      <c r="I5195" s="370">
        <v>7709.6075744628906</v>
      </c>
      <c r="M5195" s="371">
        <f t="shared" si="325"/>
        <v>12232.571517675646</v>
      </c>
      <c r="N5195" s="329">
        <f t="shared" si="326"/>
        <v>4860.4325836181642</v>
      </c>
      <c r="T5195" s="331">
        <v>0</v>
      </c>
      <c r="U5195" s="328">
        <f>VLOOKUP(C5195,METADATA!$J$5:$Q$29,IF(E5195="HI",2,IF(E5195="LO",6,10))+IF(T5195=1,2,IF(D5195=7,1,(IF(WEEKDAY(B5195)=1,2,IF(WEEKDAY(B5195)=7,1,0))))))</f>
        <v>1</v>
      </c>
      <c r="V5195" s="328">
        <f>VLOOKUP(C5195,METADATA!$A$5:$H$29,IF(E5195="HI",2,IF(E5195="LO",6,10))+IF(T5195=1,2,IF(D5195=7,1,(IF(WEEKDAY(B5195)=1,2,IF(WEEKDAY(B5195)=7,1,0))))))</f>
        <v>1</v>
      </c>
    </row>
    <row r="5196" spans="2:22">
      <c r="B5196" s="318">
        <f t="shared" si="323"/>
        <v>46329</v>
      </c>
      <c r="C5196" s="312">
        <v>8</v>
      </c>
      <c r="D5196" s="368">
        <f>IFERROR((INDEX(METADATA!$T$2:$T$20,MATCH(B5196,METADATA!$S$2:$S$20,0))),0)</f>
        <v>0</v>
      </c>
      <c r="E5196" s="312" t="str">
        <f t="shared" si="324"/>
        <v>LO</v>
      </c>
      <c r="F5196" s="369">
        <f>VLOOKUP(C5196,METADATA!$A$5:$H$29,IF(E5196="HI",2,IF(E5196="LO",6,10))+IF(D5196=1,2,IF(D5196=7,1,(IF(WEEKDAY(B5196)=1,2,IF(WEEKDAY(B5196)=7,1,0))))))</f>
        <v>1</v>
      </c>
      <c r="G5196" s="369">
        <f>VLOOKUP(C5196,METADATA!$J$5:$Q$29,IF(E5196="HI",2,IF(E5196="LO",6,10))+IF(D5196=1,2,IF(D5196=7,1,(IF(WEEKDAY(B5196)=1,2,IF(WEEKDAY(B5196)=7,1,0))))))</f>
        <v>1</v>
      </c>
      <c r="H5196" s="370">
        <v>12332.474670410156</v>
      </c>
      <c r="I5196" s="370">
        <v>9140.14990234375</v>
      </c>
      <c r="M5196" s="371">
        <f t="shared" si="325"/>
        <v>15350.318294212097</v>
      </c>
      <c r="N5196" s="329">
        <f t="shared" si="326"/>
        <v>5440.4075012207031</v>
      </c>
      <c r="T5196" s="331">
        <v>0</v>
      </c>
      <c r="U5196" s="328">
        <f>VLOOKUP(C5196,METADATA!$J$5:$Q$29,IF(E5196="HI",2,IF(E5196="LO",6,10))+IF(T5196=1,2,IF(D5196=7,1,(IF(WEEKDAY(B5196)=1,2,IF(WEEKDAY(B5196)=7,1,0))))))</f>
        <v>1</v>
      </c>
      <c r="V5196" s="328">
        <f>VLOOKUP(C5196,METADATA!$A$5:$H$29,IF(E5196="HI",2,IF(E5196="LO",6,10))+IF(T5196=1,2,IF(D5196=7,1,(IF(WEEKDAY(B5196)=1,2,IF(WEEKDAY(B5196)=7,1,0))))))</f>
        <v>1</v>
      </c>
    </row>
    <row r="5197" spans="2:22">
      <c r="B5197" s="318">
        <f t="shared" si="323"/>
        <v>46329</v>
      </c>
      <c r="C5197" s="312">
        <v>9</v>
      </c>
      <c r="D5197" s="368">
        <f>IFERROR((INDEX(METADATA!$T$2:$T$20,MATCH(B5197,METADATA!$S$2:$S$20,0))),0)</f>
        <v>0</v>
      </c>
      <c r="E5197" s="312" t="str">
        <f t="shared" si="324"/>
        <v>LO</v>
      </c>
      <c r="F5197" s="369">
        <f>VLOOKUP(C5197,METADATA!$A$5:$H$29,IF(E5197="HI",2,IF(E5197="LO",6,10))+IF(D5197=1,2,IF(D5197=7,1,(IF(WEEKDAY(B5197)=1,2,IF(WEEKDAY(B5197)=7,1,0))))))</f>
        <v>2</v>
      </c>
      <c r="G5197" s="369">
        <f>VLOOKUP(C5197,METADATA!$J$5:$Q$29,IF(E5197="HI",2,IF(E5197="LO",6,10))+IF(D5197=1,2,IF(D5197=7,1,(IF(WEEKDAY(B5197)=1,2,IF(WEEKDAY(B5197)=7,1,0))))))</f>
        <v>2</v>
      </c>
      <c r="H5197" s="370">
        <v>12735.575073242188</v>
      </c>
      <c r="I5197" s="370">
        <v>9323.2249755859375</v>
      </c>
      <c r="M5197" s="371">
        <f t="shared" si="325"/>
        <v>15783.453246725734</v>
      </c>
      <c r="N5197" s="329">
        <f t="shared" si="326"/>
        <v>5502.5524536132816</v>
      </c>
      <c r="T5197" s="331">
        <v>0</v>
      </c>
      <c r="U5197" s="328">
        <f>VLOOKUP(C5197,METADATA!$J$5:$Q$29,IF(E5197="HI",2,IF(E5197="LO",6,10))+IF(T5197=1,2,IF(D5197=7,1,(IF(WEEKDAY(B5197)=1,2,IF(WEEKDAY(B5197)=7,1,0))))))</f>
        <v>2</v>
      </c>
      <c r="V5197" s="328">
        <f>VLOOKUP(C5197,METADATA!$A$5:$H$29,IF(E5197="HI",2,IF(E5197="LO",6,10))+IF(T5197=1,2,IF(D5197=7,1,(IF(WEEKDAY(B5197)=1,2,IF(WEEKDAY(B5197)=7,1,0))))))</f>
        <v>2</v>
      </c>
    </row>
    <row r="5198" spans="2:22">
      <c r="B5198" s="318">
        <f t="shared" si="323"/>
        <v>46329</v>
      </c>
      <c r="C5198" s="312">
        <v>10</v>
      </c>
      <c r="D5198" s="368">
        <f>IFERROR((INDEX(METADATA!$T$2:$T$20,MATCH(B5198,METADATA!$S$2:$S$20,0))),0)</f>
        <v>0</v>
      </c>
      <c r="E5198" s="312" t="str">
        <f t="shared" si="324"/>
        <v>LO</v>
      </c>
      <c r="F5198" s="369">
        <f>VLOOKUP(C5198,METADATA!$A$5:$H$29,IF(E5198="HI",2,IF(E5198="LO",6,10))+IF(D5198=1,2,IF(D5198=7,1,(IF(WEEKDAY(B5198)=1,2,IF(WEEKDAY(B5198)=7,1,0))))))</f>
        <v>2</v>
      </c>
      <c r="G5198" s="369">
        <f>VLOOKUP(C5198,METADATA!$J$5:$Q$29,IF(E5198="HI",2,IF(E5198="LO",6,10))+IF(D5198=1,2,IF(D5198=7,1,(IF(WEEKDAY(B5198)=1,2,IF(WEEKDAY(B5198)=7,1,0))))))</f>
        <v>2</v>
      </c>
      <c r="H5198" s="370">
        <v>13141.249877929688</v>
      </c>
      <c r="I5198" s="370">
        <v>9576.7747802734375</v>
      </c>
      <c r="M5198" s="371">
        <f t="shared" si="325"/>
        <v>16260.598499018059</v>
      </c>
      <c r="N5198" s="329">
        <f t="shared" si="326"/>
        <v>5634.3998168945309</v>
      </c>
      <c r="T5198" s="331">
        <v>0</v>
      </c>
      <c r="U5198" s="328">
        <f>VLOOKUP(C5198,METADATA!$J$5:$Q$29,IF(E5198="HI",2,IF(E5198="LO",6,10))+IF(T5198=1,2,IF(D5198=7,1,(IF(WEEKDAY(B5198)=1,2,IF(WEEKDAY(B5198)=7,1,0))))))</f>
        <v>2</v>
      </c>
      <c r="V5198" s="328">
        <f>VLOOKUP(C5198,METADATA!$A$5:$H$29,IF(E5198="HI",2,IF(E5198="LO",6,10))+IF(T5198=1,2,IF(D5198=7,1,(IF(WEEKDAY(B5198)=1,2,IF(WEEKDAY(B5198)=7,1,0))))))</f>
        <v>2</v>
      </c>
    </row>
    <row r="5199" spans="2:22">
      <c r="B5199" s="318">
        <f t="shared" si="323"/>
        <v>46329</v>
      </c>
      <c r="C5199" s="312">
        <v>11</v>
      </c>
      <c r="D5199" s="368">
        <f>IFERROR((INDEX(METADATA!$T$2:$T$20,MATCH(B5199,METADATA!$S$2:$S$20,0))),0)</f>
        <v>0</v>
      </c>
      <c r="E5199" s="312" t="str">
        <f t="shared" si="324"/>
        <v>LO</v>
      </c>
      <c r="F5199" s="369">
        <f>VLOOKUP(C5199,METADATA!$A$5:$H$29,IF(E5199="HI",2,IF(E5199="LO",6,10))+IF(D5199=1,2,IF(D5199=7,1,(IF(WEEKDAY(B5199)=1,2,IF(WEEKDAY(B5199)=7,1,0))))))</f>
        <v>2</v>
      </c>
      <c r="G5199" s="369">
        <f>VLOOKUP(C5199,METADATA!$J$5:$Q$29,IF(E5199="HI",2,IF(E5199="LO",6,10))+IF(D5199=1,2,IF(D5199=7,1,(IF(WEEKDAY(B5199)=1,2,IF(WEEKDAY(B5199)=7,1,0))))))</f>
        <v>2</v>
      </c>
      <c r="H5199" s="370">
        <v>13198.825012207031</v>
      </c>
      <c r="I5199" s="370">
        <v>9560.6002807617188</v>
      </c>
      <c r="M5199" s="371">
        <f t="shared" si="325"/>
        <v>16297.670368226343</v>
      </c>
      <c r="N5199" s="329">
        <f t="shared" si="326"/>
        <v>5600.9527770996101</v>
      </c>
      <c r="T5199" s="331">
        <v>0</v>
      </c>
      <c r="U5199" s="328">
        <f>VLOOKUP(C5199,METADATA!$J$5:$Q$29,IF(E5199="HI",2,IF(E5199="LO",6,10))+IF(T5199=1,2,IF(D5199=7,1,(IF(WEEKDAY(B5199)=1,2,IF(WEEKDAY(B5199)=7,1,0))))))</f>
        <v>2</v>
      </c>
      <c r="V5199" s="328">
        <f>VLOOKUP(C5199,METADATA!$A$5:$H$29,IF(E5199="HI",2,IF(E5199="LO",6,10))+IF(T5199=1,2,IF(D5199=7,1,(IF(WEEKDAY(B5199)=1,2,IF(WEEKDAY(B5199)=7,1,0))))))</f>
        <v>2</v>
      </c>
    </row>
    <row r="5200" spans="2:22">
      <c r="B5200" s="318">
        <f t="shared" si="323"/>
        <v>46329</v>
      </c>
      <c r="C5200" s="312">
        <v>12</v>
      </c>
      <c r="D5200" s="368">
        <f>IFERROR((INDEX(METADATA!$T$2:$T$20,MATCH(B5200,METADATA!$S$2:$S$20,0))),0)</f>
        <v>0</v>
      </c>
      <c r="E5200" s="312" t="str">
        <f t="shared" si="324"/>
        <v>LO</v>
      </c>
      <c r="F5200" s="369">
        <f>VLOOKUP(C5200,METADATA!$A$5:$H$29,IF(E5200="HI",2,IF(E5200="LO",6,10))+IF(D5200=1,2,IF(D5200=7,1,(IF(WEEKDAY(B5200)=1,2,IF(WEEKDAY(B5200)=7,1,0))))))</f>
        <v>2</v>
      </c>
      <c r="G5200" s="369">
        <f>VLOOKUP(C5200,METADATA!$J$5:$Q$29,IF(E5200="HI",2,IF(E5200="LO",6,10))+IF(D5200=1,2,IF(D5200=7,1,(IF(WEEKDAY(B5200)=1,2,IF(WEEKDAY(B5200)=7,1,0))))))</f>
        <v>2</v>
      </c>
      <c r="H5200" s="370">
        <v>13520.600158691406</v>
      </c>
      <c r="I5200" s="370">
        <v>9922.8750610351563</v>
      </c>
      <c r="M5200" s="371">
        <f t="shared" si="325"/>
        <v>16771.108434689686</v>
      </c>
      <c r="N5200" s="329">
        <f t="shared" si="326"/>
        <v>5866.695013427734</v>
      </c>
      <c r="T5200" s="331">
        <v>0</v>
      </c>
      <c r="U5200" s="328">
        <f>VLOOKUP(C5200,METADATA!$J$5:$Q$29,IF(E5200="HI",2,IF(E5200="LO",6,10))+IF(T5200=1,2,IF(D5200=7,1,(IF(WEEKDAY(B5200)=1,2,IF(WEEKDAY(B5200)=7,1,0))))))</f>
        <v>2</v>
      </c>
      <c r="V5200" s="328">
        <f>VLOOKUP(C5200,METADATA!$A$5:$H$29,IF(E5200="HI",2,IF(E5200="LO",6,10))+IF(T5200=1,2,IF(D5200=7,1,(IF(WEEKDAY(B5200)=1,2,IF(WEEKDAY(B5200)=7,1,0))))))</f>
        <v>2</v>
      </c>
    </row>
    <row r="5201" spans="2:22">
      <c r="B5201" s="318">
        <f t="shared" si="323"/>
        <v>46329</v>
      </c>
      <c r="C5201" s="312">
        <v>13</v>
      </c>
      <c r="D5201" s="368">
        <f>IFERROR((INDEX(METADATA!$T$2:$T$20,MATCH(B5201,METADATA!$S$2:$S$20,0))),0)</f>
        <v>0</v>
      </c>
      <c r="E5201" s="312" t="str">
        <f t="shared" si="324"/>
        <v>LO</v>
      </c>
      <c r="F5201" s="369">
        <f>VLOOKUP(C5201,METADATA!$A$5:$H$29,IF(E5201="HI",2,IF(E5201="LO",6,10))+IF(D5201=1,2,IF(D5201=7,1,(IF(WEEKDAY(B5201)=1,2,IF(WEEKDAY(B5201)=7,1,0))))))</f>
        <v>2</v>
      </c>
      <c r="G5201" s="369">
        <f>VLOOKUP(C5201,METADATA!$J$5:$Q$29,IF(E5201="HI",2,IF(E5201="LO",6,10))+IF(D5201=1,2,IF(D5201=7,1,(IF(WEEKDAY(B5201)=1,2,IF(WEEKDAY(B5201)=7,1,0))))))</f>
        <v>2</v>
      </c>
      <c r="H5201" s="370">
        <v>13627.67529296875</v>
      </c>
      <c r="I5201" s="370">
        <v>10406.574768066406</v>
      </c>
      <c r="M5201" s="371">
        <f t="shared" si="325"/>
        <v>17146.729492645158</v>
      </c>
      <c r="N5201" s="329">
        <f t="shared" si="326"/>
        <v>6318.2721801757816</v>
      </c>
      <c r="T5201" s="331">
        <v>0</v>
      </c>
      <c r="U5201" s="328">
        <f>VLOOKUP(C5201,METADATA!$J$5:$Q$29,IF(E5201="HI",2,IF(E5201="LO",6,10))+IF(T5201=1,2,IF(D5201=7,1,(IF(WEEKDAY(B5201)=1,2,IF(WEEKDAY(B5201)=7,1,0))))))</f>
        <v>2</v>
      </c>
      <c r="V5201" s="328">
        <f>VLOOKUP(C5201,METADATA!$A$5:$H$29,IF(E5201="HI",2,IF(E5201="LO",6,10))+IF(T5201=1,2,IF(D5201=7,1,(IF(WEEKDAY(B5201)=1,2,IF(WEEKDAY(B5201)=7,1,0))))))</f>
        <v>2</v>
      </c>
    </row>
    <row r="5202" spans="2:22">
      <c r="B5202" s="318">
        <f t="shared" si="323"/>
        <v>46329</v>
      </c>
      <c r="C5202" s="312">
        <v>14</v>
      </c>
      <c r="D5202" s="368">
        <f>IFERROR((INDEX(METADATA!$T$2:$T$20,MATCH(B5202,METADATA!$S$2:$S$20,0))),0)</f>
        <v>0</v>
      </c>
      <c r="E5202" s="312" t="str">
        <f t="shared" si="324"/>
        <v>LO</v>
      </c>
      <c r="F5202" s="369">
        <f>VLOOKUP(C5202,METADATA!$A$5:$H$29,IF(E5202="HI",2,IF(E5202="LO",6,10))+IF(D5202=1,2,IF(D5202=7,1,(IF(WEEKDAY(B5202)=1,2,IF(WEEKDAY(B5202)=7,1,0))))))</f>
        <v>2</v>
      </c>
      <c r="G5202" s="369">
        <f>VLOOKUP(C5202,METADATA!$J$5:$Q$29,IF(E5202="HI",2,IF(E5202="LO",6,10))+IF(D5202=1,2,IF(D5202=7,1,(IF(WEEKDAY(B5202)=1,2,IF(WEEKDAY(B5202)=7,1,0))))))</f>
        <v>2</v>
      </c>
      <c r="H5202" s="370">
        <v>13716.199829101563</v>
      </c>
      <c r="I5202" s="370">
        <v>10450.300231933594</v>
      </c>
      <c r="M5202" s="371">
        <f t="shared" si="325"/>
        <v>17243.633975742963</v>
      </c>
      <c r="N5202" s="329">
        <f t="shared" si="326"/>
        <v>6335.4402832031255</v>
      </c>
      <c r="T5202" s="331">
        <v>0</v>
      </c>
      <c r="U5202" s="328">
        <f>VLOOKUP(C5202,METADATA!$J$5:$Q$29,IF(E5202="HI",2,IF(E5202="LO",6,10))+IF(T5202=1,2,IF(D5202=7,1,(IF(WEEKDAY(B5202)=1,2,IF(WEEKDAY(B5202)=7,1,0))))))</f>
        <v>2</v>
      </c>
      <c r="V5202" s="328">
        <f>VLOOKUP(C5202,METADATA!$A$5:$H$29,IF(E5202="HI",2,IF(E5202="LO",6,10))+IF(T5202=1,2,IF(D5202=7,1,(IF(WEEKDAY(B5202)=1,2,IF(WEEKDAY(B5202)=7,1,0))))))</f>
        <v>2</v>
      </c>
    </row>
    <row r="5203" spans="2:22">
      <c r="B5203" s="318">
        <f t="shared" si="323"/>
        <v>46329</v>
      </c>
      <c r="C5203" s="312">
        <v>15</v>
      </c>
      <c r="D5203" s="368">
        <f>IFERROR((INDEX(METADATA!$T$2:$T$20,MATCH(B5203,METADATA!$S$2:$S$20,0))),0)</f>
        <v>0</v>
      </c>
      <c r="E5203" s="312" t="str">
        <f t="shared" si="324"/>
        <v>LO</v>
      </c>
      <c r="F5203" s="369">
        <f>VLOOKUP(C5203,METADATA!$A$5:$H$29,IF(E5203="HI",2,IF(E5203="LO",6,10))+IF(D5203=1,2,IF(D5203=7,1,(IF(WEEKDAY(B5203)=1,2,IF(WEEKDAY(B5203)=7,1,0))))))</f>
        <v>2</v>
      </c>
      <c r="G5203" s="369">
        <f>VLOOKUP(C5203,METADATA!$J$5:$Q$29,IF(E5203="HI",2,IF(E5203="LO",6,10))+IF(D5203=1,2,IF(D5203=7,1,(IF(WEEKDAY(B5203)=1,2,IF(WEEKDAY(B5203)=7,1,0))))))</f>
        <v>2</v>
      </c>
      <c r="H5203" s="370">
        <v>13724.525207519531</v>
      </c>
      <c r="I5203" s="370">
        <v>10534.650085449219</v>
      </c>
      <c r="M5203" s="371">
        <f t="shared" si="325"/>
        <v>17301.486774109741</v>
      </c>
      <c r="N5203" s="329">
        <f t="shared" si="326"/>
        <v>6417.2925231933596</v>
      </c>
      <c r="T5203" s="331">
        <v>0</v>
      </c>
      <c r="U5203" s="328">
        <f>VLOOKUP(C5203,METADATA!$J$5:$Q$29,IF(E5203="HI",2,IF(E5203="LO",6,10))+IF(T5203=1,2,IF(D5203=7,1,(IF(WEEKDAY(B5203)=1,2,IF(WEEKDAY(B5203)=7,1,0))))))</f>
        <v>2</v>
      </c>
      <c r="V5203" s="328">
        <f>VLOOKUP(C5203,METADATA!$A$5:$H$29,IF(E5203="HI",2,IF(E5203="LO",6,10))+IF(T5203=1,2,IF(D5203=7,1,(IF(WEEKDAY(B5203)=1,2,IF(WEEKDAY(B5203)=7,1,0))))))</f>
        <v>2</v>
      </c>
    </row>
    <row r="5204" spans="2:22">
      <c r="B5204" s="318">
        <f t="shared" si="323"/>
        <v>46329</v>
      </c>
      <c r="C5204" s="312">
        <v>16</v>
      </c>
      <c r="D5204" s="368">
        <f>IFERROR((INDEX(METADATA!$T$2:$T$20,MATCH(B5204,METADATA!$S$2:$S$20,0))),0)</f>
        <v>0</v>
      </c>
      <c r="E5204" s="312" t="str">
        <f t="shared" si="324"/>
        <v>LO</v>
      </c>
      <c r="F5204" s="369">
        <f>VLOOKUP(C5204,METADATA!$A$5:$H$29,IF(E5204="HI",2,IF(E5204="LO",6,10))+IF(D5204=1,2,IF(D5204=7,1,(IF(WEEKDAY(B5204)=1,2,IF(WEEKDAY(B5204)=7,1,0))))))</f>
        <v>2</v>
      </c>
      <c r="G5204" s="369">
        <f>VLOOKUP(C5204,METADATA!$J$5:$Q$29,IF(E5204="HI",2,IF(E5204="LO",6,10))+IF(D5204=1,2,IF(D5204=7,1,(IF(WEEKDAY(B5204)=1,2,IF(WEEKDAY(B5204)=7,1,0))))))</f>
        <v>2</v>
      </c>
      <c r="H5204" s="370">
        <v>13675.82470703125</v>
      </c>
      <c r="I5204" s="370">
        <v>10614.974914550781</v>
      </c>
      <c r="M5204" s="371">
        <f t="shared" si="325"/>
        <v>17312.015303077478</v>
      </c>
      <c r="N5204" s="329">
        <f t="shared" si="326"/>
        <v>6512.2275024414066</v>
      </c>
      <c r="T5204" s="331">
        <v>0</v>
      </c>
      <c r="U5204" s="328">
        <f>VLOOKUP(C5204,METADATA!$J$5:$Q$29,IF(E5204="HI",2,IF(E5204="LO",6,10))+IF(T5204=1,2,IF(D5204=7,1,(IF(WEEKDAY(B5204)=1,2,IF(WEEKDAY(B5204)=7,1,0))))))</f>
        <v>2</v>
      </c>
      <c r="V5204" s="328">
        <f>VLOOKUP(C5204,METADATA!$A$5:$H$29,IF(E5204="HI",2,IF(E5204="LO",6,10))+IF(T5204=1,2,IF(D5204=7,1,(IF(WEEKDAY(B5204)=1,2,IF(WEEKDAY(B5204)=7,1,0))))))</f>
        <v>2</v>
      </c>
    </row>
    <row r="5205" spans="2:22">
      <c r="B5205" s="318">
        <f t="shared" si="323"/>
        <v>46329</v>
      </c>
      <c r="C5205" s="312">
        <v>17</v>
      </c>
      <c r="D5205" s="368">
        <f>IFERROR((INDEX(METADATA!$T$2:$T$20,MATCH(B5205,METADATA!$S$2:$S$20,0))),0)</f>
        <v>0</v>
      </c>
      <c r="E5205" s="312" t="str">
        <f t="shared" si="324"/>
        <v>LO</v>
      </c>
      <c r="F5205" s="369">
        <f>VLOOKUP(C5205,METADATA!$A$5:$H$29,IF(E5205="HI",2,IF(E5205="LO",6,10))+IF(D5205=1,2,IF(D5205=7,1,(IF(WEEKDAY(B5205)=1,2,IF(WEEKDAY(B5205)=7,1,0))))))</f>
        <v>2</v>
      </c>
      <c r="G5205" s="369">
        <f>VLOOKUP(C5205,METADATA!$J$5:$Q$29,IF(E5205="HI",2,IF(E5205="LO",6,10))+IF(D5205=1,2,IF(D5205=7,1,(IF(WEEKDAY(B5205)=1,2,IF(WEEKDAY(B5205)=7,1,0))))))</f>
        <v>2</v>
      </c>
      <c r="H5205" s="370">
        <v>13573.72509765625</v>
      </c>
      <c r="I5205" s="370">
        <v>10478.97509765625</v>
      </c>
      <c r="M5205" s="371">
        <f t="shared" si="325"/>
        <v>17148.029977931663</v>
      </c>
      <c r="N5205" s="329">
        <f t="shared" si="326"/>
        <v>6406.8575683593754</v>
      </c>
      <c r="T5205" s="331">
        <v>0</v>
      </c>
      <c r="U5205" s="328">
        <f>VLOOKUP(C5205,METADATA!$J$5:$Q$29,IF(E5205="HI",2,IF(E5205="LO",6,10))+IF(T5205=1,2,IF(D5205=7,1,(IF(WEEKDAY(B5205)=1,2,IF(WEEKDAY(B5205)=7,1,0))))))</f>
        <v>2</v>
      </c>
      <c r="V5205" s="328">
        <f>VLOOKUP(C5205,METADATA!$A$5:$H$29,IF(E5205="HI",2,IF(E5205="LO",6,10))+IF(T5205=1,2,IF(D5205=7,1,(IF(WEEKDAY(B5205)=1,2,IF(WEEKDAY(B5205)=7,1,0))))))</f>
        <v>2</v>
      </c>
    </row>
    <row r="5206" spans="2:22">
      <c r="B5206" s="318">
        <f t="shared" si="323"/>
        <v>46329</v>
      </c>
      <c r="C5206" s="312">
        <v>18</v>
      </c>
      <c r="D5206" s="368">
        <f>IFERROR((INDEX(METADATA!$T$2:$T$20,MATCH(B5206,METADATA!$S$2:$S$20,0))),0)</f>
        <v>0</v>
      </c>
      <c r="E5206" s="312" t="str">
        <f t="shared" si="324"/>
        <v>LO</v>
      </c>
      <c r="F5206" s="369">
        <f>VLOOKUP(C5206,METADATA!$A$5:$H$29,IF(E5206="HI",2,IF(E5206="LO",6,10))+IF(D5206=1,2,IF(D5206=7,1,(IF(WEEKDAY(B5206)=1,2,IF(WEEKDAY(B5206)=7,1,0))))))</f>
        <v>1</v>
      </c>
      <c r="G5206" s="369">
        <f>VLOOKUP(C5206,METADATA!$J$5:$Q$29,IF(E5206="HI",2,IF(E5206="LO",6,10))+IF(D5206=1,2,IF(D5206=7,1,(IF(WEEKDAY(B5206)=1,2,IF(WEEKDAY(B5206)=7,1,0))))))</f>
        <v>1</v>
      </c>
      <c r="H5206" s="370">
        <v>13188.225036621094</v>
      </c>
      <c r="I5206" s="370">
        <v>10404.675109863281</v>
      </c>
      <c r="M5206" s="371">
        <f t="shared" si="325"/>
        <v>16798.408965088565</v>
      </c>
      <c r="N5206" s="329">
        <f t="shared" si="326"/>
        <v>6448.2075988769539</v>
      </c>
      <c r="T5206" s="331">
        <v>0</v>
      </c>
      <c r="U5206" s="328">
        <f>VLOOKUP(C5206,METADATA!$J$5:$Q$29,IF(E5206="HI",2,IF(E5206="LO",6,10))+IF(T5206=1,2,IF(D5206=7,1,(IF(WEEKDAY(B5206)=1,2,IF(WEEKDAY(B5206)=7,1,0))))))</f>
        <v>1</v>
      </c>
      <c r="V5206" s="328">
        <f>VLOOKUP(C5206,METADATA!$A$5:$H$29,IF(E5206="HI",2,IF(E5206="LO",6,10))+IF(T5206=1,2,IF(D5206=7,1,(IF(WEEKDAY(B5206)=1,2,IF(WEEKDAY(B5206)=7,1,0))))))</f>
        <v>1</v>
      </c>
    </row>
    <row r="5207" spans="2:22">
      <c r="B5207" s="318">
        <f t="shared" si="323"/>
        <v>46329</v>
      </c>
      <c r="C5207" s="312">
        <v>19</v>
      </c>
      <c r="D5207" s="368">
        <f>IFERROR((INDEX(METADATA!$T$2:$T$20,MATCH(B5207,METADATA!$S$2:$S$20,0))),0)</f>
        <v>0</v>
      </c>
      <c r="E5207" s="312" t="str">
        <f t="shared" si="324"/>
        <v>LO</v>
      </c>
      <c r="F5207" s="369">
        <f>VLOOKUP(C5207,METADATA!$A$5:$H$29,IF(E5207="HI",2,IF(E5207="LO",6,10))+IF(D5207=1,2,IF(D5207=7,1,(IF(WEEKDAY(B5207)=1,2,IF(WEEKDAY(B5207)=7,1,0))))))</f>
        <v>1</v>
      </c>
      <c r="G5207" s="369">
        <f>VLOOKUP(C5207,METADATA!$J$5:$Q$29,IF(E5207="HI",2,IF(E5207="LO",6,10))+IF(D5207=1,2,IF(D5207=7,1,(IF(WEEKDAY(B5207)=1,2,IF(WEEKDAY(B5207)=7,1,0))))))</f>
        <v>1</v>
      </c>
      <c r="H5207" s="370">
        <v>13123.624694824219</v>
      </c>
      <c r="I5207" s="370">
        <v>10315.75</v>
      </c>
      <c r="M5207" s="371">
        <f t="shared" si="325"/>
        <v>16692.639791030659</v>
      </c>
      <c r="N5207" s="329">
        <f t="shared" si="326"/>
        <v>6378.6625915527347</v>
      </c>
      <c r="T5207" s="331">
        <v>0</v>
      </c>
      <c r="U5207" s="328">
        <f>VLOOKUP(C5207,METADATA!$J$5:$Q$29,IF(E5207="HI",2,IF(E5207="LO",6,10))+IF(T5207=1,2,IF(D5207=7,1,(IF(WEEKDAY(B5207)=1,2,IF(WEEKDAY(B5207)=7,1,0))))))</f>
        <v>1</v>
      </c>
      <c r="V5207" s="328">
        <f>VLOOKUP(C5207,METADATA!$A$5:$H$29,IF(E5207="HI",2,IF(E5207="LO",6,10))+IF(T5207=1,2,IF(D5207=7,1,(IF(WEEKDAY(B5207)=1,2,IF(WEEKDAY(B5207)=7,1,0))))))</f>
        <v>1</v>
      </c>
    </row>
    <row r="5208" spans="2:22">
      <c r="B5208" s="318">
        <f t="shared" si="323"/>
        <v>46329</v>
      </c>
      <c r="C5208" s="312">
        <v>20</v>
      </c>
      <c r="D5208" s="368">
        <f>IFERROR((INDEX(METADATA!$T$2:$T$20,MATCH(B5208,METADATA!$S$2:$S$20,0))),0)</f>
        <v>0</v>
      </c>
      <c r="E5208" s="312" t="str">
        <f t="shared" si="324"/>
        <v>LO</v>
      </c>
      <c r="F5208" s="369">
        <f>VLOOKUP(C5208,METADATA!$A$5:$H$29,IF(E5208="HI",2,IF(E5208="LO",6,10))+IF(D5208=1,2,IF(D5208=7,1,(IF(WEEKDAY(B5208)=1,2,IF(WEEKDAY(B5208)=7,1,0))))))</f>
        <v>1</v>
      </c>
      <c r="G5208" s="369">
        <f>VLOOKUP(C5208,METADATA!$J$5:$Q$29,IF(E5208="HI",2,IF(E5208="LO",6,10))+IF(D5208=1,2,IF(D5208=7,1,(IF(WEEKDAY(B5208)=1,2,IF(WEEKDAY(B5208)=7,1,0))))))</f>
        <v>1</v>
      </c>
      <c r="H5208" s="370">
        <v>13114.450073242188</v>
      </c>
      <c r="I5208" s="370">
        <v>10375.300109863281</v>
      </c>
      <c r="M5208" s="371">
        <f t="shared" si="325"/>
        <v>16722.310040580251</v>
      </c>
      <c r="N5208" s="329">
        <f t="shared" si="326"/>
        <v>6440.965087890625</v>
      </c>
      <c r="T5208" s="331">
        <v>0</v>
      </c>
      <c r="U5208" s="328">
        <f>VLOOKUP(C5208,METADATA!$J$5:$Q$29,IF(E5208="HI",2,IF(E5208="LO",6,10))+IF(T5208=1,2,IF(D5208=7,1,(IF(WEEKDAY(B5208)=1,2,IF(WEEKDAY(B5208)=7,1,0))))))</f>
        <v>1</v>
      </c>
      <c r="V5208" s="328">
        <f>VLOOKUP(C5208,METADATA!$A$5:$H$29,IF(E5208="HI",2,IF(E5208="LO",6,10))+IF(T5208=1,2,IF(D5208=7,1,(IF(WEEKDAY(B5208)=1,2,IF(WEEKDAY(B5208)=7,1,0))))))</f>
        <v>1</v>
      </c>
    </row>
    <row r="5209" spans="2:22">
      <c r="B5209" s="318">
        <f t="shared" si="323"/>
        <v>46329</v>
      </c>
      <c r="C5209" s="312">
        <v>21</v>
      </c>
      <c r="D5209" s="368">
        <f>IFERROR((INDEX(METADATA!$T$2:$T$20,MATCH(B5209,METADATA!$S$2:$S$20,0))),0)</f>
        <v>0</v>
      </c>
      <c r="E5209" s="312" t="str">
        <f t="shared" si="324"/>
        <v>LO</v>
      </c>
      <c r="F5209" s="369">
        <f>VLOOKUP(C5209,METADATA!$A$5:$H$29,IF(E5209="HI",2,IF(E5209="LO",6,10))+IF(D5209=1,2,IF(D5209=7,1,(IF(WEEKDAY(B5209)=1,2,IF(WEEKDAY(B5209)=7,1,0))))))</f>
        <v>2</v>
      </c>
      <c r="G5209" s="369">
        <f>VLOOKUP(C5209,METADATA!$J$5:$Q$29,IF(E5209="HI",2,IF(E5209="LO",6,10))+IF(D5209=1,2,IF(D5209=7,1,(IF(WEEKDAY(B5209)=1,2,IF(WEEKDAY(B5209)=7,1,0))))))</f>
        <v>2</v>
      </c>
      <c r="H5209" s="370">
        <v>13122.60009765625</v>
      </c>
      <c r="I5209" s="370">
        <v>10438.749938964844</v>
      </c>
      <c r="M5209" s="371">
        <f t="shared" si="325"/>
        <v>16768.128506522316</v>
      </c>
      <c r="N5209" s="329">
        <f t="shared" si="326"/>
        <v>6501.9699096679688</v>
      </c>
      <c r="T5209" s="331">
        <v>0</v>
      </c>
      <c r="U5209" s="328">
        <f>VLOOKUP(C5209,METADATA!$J$5:$Q$29,IF(E5209="HI",2,IF(E5209="LO",6,10))+IF(T5209=1,2,IF(D5209=7,1,(IF(WEEKDAY(B5209)=1,2,IF(WEEKDAY(B5209)=7,1,0))))))</f>
        <v>2</v>
      </c>
      <c r="V5209" s="328">
        <f>VLOOKUP(C5209,METADATA!$A$5:$H$29,IF(E5209="HI",2,IF(E5209="LO",6,10))+IF(T5209=1,2,IF(D5209=7,1,(IF(WEEKDAY(B5209)=1,2,IF(WEEKDAY(B5209)=7,1,0))))))</f>
        <v>2</v>
      </c>
    </row>
    <row r="5210" spans="2:22">
      <c r="B5210" s="318">
        <f t="shared" si="323"/>
        <v>46329</v>
      </c>
      <c r="C5210" s="312">
        <v>22</v>
      </c>
      <c r="D5210" s="368">
        <f>IFERROR((INDEX(METADATA!$T$2:$T$20,MATCH(B5210,METADATA!$S$2:$S$20,0))),0)</f>
        <v>0</v>
      </c>
      <c r="E5210" s="312" t="str">
        <f t="shared" si="324"/>
        <v>LO</v>
      </c>
      <c r="F5210" s="369">
        <f>VLOOKUP(C5210,METADATA!$A$5:$H$29,IF(E5210="HI",2,IF(E5210="LO",6,10))+IF(D5210=1,2,IF(D5210=7,1,(IF(WEEKDAY(B5210)=1,2,IF(WEEKDAY(B5210)=7,1,0))))))</f>
        <v>3</v>
      </c>
      <c r="G5210" s="369">
        <f>VLOOKUP(C5210,METADATA!$J$5:$Q$29,IF(E5210="HI",2,IF(E5210="LO",6,10))+IF(D5210=1,2,IF(D5210=7,1,(IF(WEEKDAY(B5210)=1,2,IF(WEEKDAY(B5210)=7,1,0))))))</f>
        <v>3</v>
      </c>
      <c r="H5210" s="370">
        <v>13065.999755859375</v>
      </c>
      <c r="I5210" s="370">
        <v>10607.000061035156</v>
      </c>
      <c r="M5210" s="371">
        <f t="shared" si="325"/>
        <v>16829.402838927977</v>
      </c>
      <c r="N5210" s="329">
        <f t="shared" si="326"/>
        <v>6687.2001342773438</v>
      </c>
      <c r="T5210" s="331">
        <v>0</v>
      </c>
      <c r="U5210" s="328">
        <f>VLOOKUP(C5210,METADATA!$J$5:$Q$29,IF(E5210="HI",2,IF(E5210="LO",6,10))+IF(T5210=1,2,IF(D5210=7,1,(IF(WEEKDAY(B5210)=1,2,IF(WEEKDAY(B5210)=7,1,0))))))</f>
        <v>3</v>
      </c>
      <c r="V5210" s="328">
        <f>VLOOKUP(C5210,METADATA!$A$5:$H$29,IF(E5210="HI",2,IF(E5210="LO",6,10))+IF(T5210=1,2,IF(D5210=7,1,(IF(WEEKDAY(B5210)=1,2,IF(WEEKDAY(B5210)=7,1,0))))))</f>
        <v>3</v>
      </c>
    </row>
    <row r="5211" spans="2:22">
      <c r="B5211" s="318">
        <f t="shared" si="323"/>
        <v>46329</v>
      </c>
      <c r="C5211" s="312">
        <v>23</v>
      </c>
      <c r="D5211" s="368">
        <f>IFERROR((INDEX(METADATA!$T$2:$T$20,MATCH(B5211,METADATA!$S$2:$S$20,0))),0)</f>
        <v>0</v>
      </c>
      <c r="E5211" s="312" t="str">
        <f t="shared" si="324"/>
        <v>LO</v>
      </c>
      <c r="F5211" s="369">
        <f>VLOOKUP(C5211,METADATA!$A$5:$H$29,IF(E5211="HI",2,IF(E5211="LO",6,10))+IF(D5211=1,2,IF(D5211=7,1,(IF(WEEKDAY(B5211)=1,2,IF(WEEKDAY(B5211)=7,1,0))))))</f>
        <v>3</v>
      </c>
      <c r="G5211" s="369">
        <f>VLOOKUP(C5211,METADATA!$J$5:$Q$29,IF(E5211="HI",2,IF(E5211="LO",6,10))+IF(D5211=1,2,IF(D5211=7,1,(IF(WEEKDAY(B5211)=1,2,IF(WEEKDAY(B5211)=7,1,0))))))</f>
        <v>3</v>
      </c>
      <c r="H5211" s="370">
        <v>11502.249694824219</v>
      </c>
      <c r="I5211" s="370">
        <v>9656.2350463867188</v>
      </c>
      <c r="M5211" s="371">
        <f t="shared" si="325"/>
        <v>15018.143137989828</v>
      </c>
      <c r="N5211" s="329">
        <f t="shared" si="326"/>
        <v>6205.5601379394539</v>
      </c>
      <c r="T5211" s="331">
        <v>0</v>
      </c>
      <c r="U5211" s="328">
        <f>VLOOKUP(C5211,METADATA!$J$5:$Q$29,IF(E5211="HI",2,IF(E5211="LO",6,10))+IF(T5211=1,2,IF(D5211=7,1,(IF(WEEKDAY(B5211)=1,2,IF(WEEKDAY(B5211)=7,1,0))))))</f>
        <v>3</v>
      </c>
      <c r="V5211" s="328">
        <f>VLOOKUP(C5211,METADATA!$A$5:$H$29,IF(E5211="HI",2,IF(E5211="LO",6,10))+IF(T5211=1,2,IF(D5211=7,1,(IF(WEEKDAY(B5211)=1,2,IF(WEEKDAY(B5211)=7,1,0))))))</f>
        <v>3</v>
      </c>
    </row>
    <row r="5212" spans="2:22">
      <c r="B5212" s="318">
        <f t="shared" ref="B5212:B5275" si="327">B5188+1</f>
        <v>46330</v>
      </c>
      <c r="C5212" s="312">
        <v>0</v>
      </c>
      <c r="D5212" s="368">
        <f>IFERROR((INDEX(METADATA!$T$2:$T$20,MATCH(B5212,METADATA!$S$2:$S$20,0))),0)</f>
        <v>0</v>
      </c>
      <c r="E5212" s="312" t="str">
        <f t="shared" si="324"/>
        <v>LO</v>
      </c>
      <c r="F5212" s="369">
        <f>VLOOKUP(C5212,METADATA!$A$5:$H$29,IF(E5212="HI",2,IF(E5212="LO",6,10))+IF(D5212=1,2,IF(D5212=7,1,(IF(WEEKDAY(B5212)=1,2,IF(WEEKDAY(B5212)=7,1,0))))))</f>
        <v>3</v>
      </c>
      <c r="G5212" s="369">
        <f>VLOOKUP(C5212,METADATA!$J$5:$Q$29,IF(E5212="HI",2,IF(E5212="LO",6,10))+IF(D5212=1,2,IF(D5212=7,1,(IF(WEEKDAY(B5212)=1,2,IF(WEEKDAY(B5212)=7,1,0))))))</f>
        <v>3</v>
      </c>
      <c r="H5212" s="370">
        <v>12162.999755859375</v>
      </c>
      <c r="I5212" s="370">
        <v>9969.5850830078125</v>
      </c>
      <c r="M5212" s="371">
        <f t="shared" si="325"/>
        <v>15726.766666685402</v>
      </c>
      <c r="N5212" s="329">
        <f t="shared" si="326"/>
        <v>6320.6851562499996</v>
      </c>
      <c r="T5212" s="331">
        <v>0</v>
      </c>
      <c r="U5212" s="328">
        <f>VLOOKUP(C5212,METADATA!$J$5:$Q$29,IF(E5212="HI",2,IF(E5212="LO",6,10))+IF(T5212=1,2,IF(D5212=7,1,(IF(WEEKDAY(B5212)=1,2,IF(WEEKDAY(B5212)=7,1,0))))))</f>
        <v>3</v>
      </c>
      <c r="V5212" s="328">
        <f>VLOOKUP(C5212,METADATA!$A$5:$H$29,IF(E5212="HI",2,IF(E5212="LO",6,10))+IF(T5212=1,2,IF(D5212=7,1,(IF(WEEKDAY(B5212)=1,2,IF(WEEKDAY(B5212)=7,1,0))))))</f>
        <v>3</v>
      </c>
    </row>
    <row r="5213" spans="2:22">
      <c r="B5213" s="318">
        <f t="shared" si="327"/>
        <v>46330</v>
      </c>
      <c r="C5213" s="312">
        <v>1</v>
      </c>
      <c r="D5213" s="368">
        <f>IFERROR((INDEX(METADATA!$T$2:$T$20,MATCH(B5213,METADATA!$S$2:$S$20,0))),0)</f>
        <v>0</v>
      </c>
      <c r="E5213" s="312" t="str">
        <f t="shared" si="324"/>
        <v>LO</v>
      </c>
      <c r="F5213" s="369">
        <f>VLOOKUP(C5213,METADATA!$A$5:$H$29,IF(E5213="HI",2,IF(E5213="LO",6,10))+IF(D5213=1,2,IF(D5213=7,1,(IF(WEEKDAY(B5213)=1,2,IF(WEEKDAY(B5213)=7,1,0))))))</f>
        <v>3</v>
      </c>
      <c r="G5213" s="369">
        <f>VLOOKUP(C5213,METADATA!$J$5:$Q$29,IF(E5213="HI",2,IF(E5213="LO",6,10))+IF(D5213=1,2,IF(D5213=7,1,(IF(WEEKDAY(B5213)=1,2,IF(WEEKDAY(B5213)=7,1,0))))))</f>
        <v>3</v>
      </c>
      <c r="H5213" s="370">
        <v>13492.872497558594</v>
      </c>
      <c r="I5213" s="370">
        <v>10624.397583007813</v>
      </c>
      <c r="M5213" s="371">
        <f t="shared" si="325"/>
        <v>17173.684294210001</v>
      </c>
      <c r="N5213" s="329">
        <f t="shared" si="326"/>
        <v>6576.535833740234</v>
      </c>
      <c r="T5213" s="331">
        <v>0</v>
      </c>
      <c r="U5213" s="328">
        <f>VLOOKUP(C5213,METADATA!$J$5:$Q$29,IF(E5213="HI",2,IF(E5213="LO",6,10))+IF(T5213=1,2,IF(D5213=7,1,(IF(WEEKDAY(B5213)=1,2,IF(WEEKDAY(B5213)=7,1,0))))))</f>
        <v>3</v>
      </c>
      <c r="V5213" s="328">
        <f>VLOOKUP(C5213,METADATA!$A$5:$H$29,IF(E5213="HI",2,IF(E5213="LO",6,10))+IF(T5213=1,2,IF(D5213=7,1,(IF(WEEKDAY(B5213)=1,2,IF(WEEKDAY(B5213)=7,1,0))))))</f>
        <v>3</v>
      </c>
    </row>
    <row r="5214" spans="2:22">
      <c r="B5214" s="318">
        <f t="shared" si="327"/>
        <v>46330</v>
      </c>
      <c r="C5214" s="312">
        <v>2</v>
      </c>
      <c r="D5214" s="368">
        <f>IFERROR((INDEX(METADATA!$T$2:$T$20,MATCH(B5214,METADATA!$S$2:$S$20,0))),0)</f>
        <v>0</v>
      </c>
      <c r="E5214" s="312" t="str">
        <f t="shared" si="324"/>
        <v>LO</v>
      </c>
      <c r="F5214" s="369">
        <f>VLOOKUP(C5214,METADATA!$A$5:$H$29,IF(E5214="HI",2,IF(E5214="LO",6,10))+IF(D5214=1,2,IF(D5214=7,1,(IF(WEEKDAY(B5214)=1,2,IF(WEEKDAY(B5214)=7,1,0))))))</f>
        <v>3</v>
      </c>
      <c r="G5214" s="369">
        <f>VLOOKUP(C5214,METADATA!$J$5:$Q$29,IF(E5214="HI",2,IF(E5214="LO",6,10))+IF(D5214=1,2,IF(D5214=7,1,(IF(WEEKDAY(B5214)=1,2,IF(WEEKDAY(B5214)=7,1,0))))))</f>
        <v>3</v>
      </c>
      <c r="H5214" s="370">
        <v>13256.074829101563</v>
      </c>
      <c r="I5214" s="370">
        <v>10486.8251953125</v>
      </c>
      <c r="M5214" s="371">
        <f t="shared" si="325"/>
        <v>16902.574435623144</v>
      </c>
      <c r="N5214" s="329">
        <f t="shared" si="326"/>
        <v>6510.0027465820313</v>
      </c>
      <c r="T5214" s="331">
        <v>0</v>
      </c>
      <c r="U5214" s="328">
        <f>VLOOKUP(C5214,METADATA!$J$5:$Q$29,IF(E5214="HI",2,IF(E5214="LO",6,10))+IF(T5214=1,2,IF(D5214=7,1,(IF(WEEKDAY(B5214)=1,2,IF(WEEKDAY(B5214)=7,1,0))))))</f>
        <v>3</v>
      </c>
      <c r="V5214" s="328">
        <f>VLOOKUP(C5214,METADATA!$A$5:$H$29,IF(E5214="HI",2,IF(E5214="LO",6,10))+IF(T5214=1,2,IF(D5214=7,1,(IF(WEEKDAY(B5214)=1,2,IF(WEEKDAY(B5214)=7,1,0))))))</f>
        <v>3</v>
      </c>
    </row>
    <row r="5215" spans="2:22">
      <c r="B5215" s="318">
        <f t="shared" si="327"/>
        <v>46330</v>
      </c>
      <c r="C5215" s="312">
        <v>3</v>
      </c>
      <c r="D5215" s="368">
        <f>IFERROR((INDEX(METADATA!$T$2:$T$20,MATCH(B5215,METADATA!$S$2:$S$20,0))),0)</f>
        <v>0</v>
      </c>
      <c r="E5215" s="312" t="str">
        <f t="shared" si="324"/>
        <v>LO</v>
      </c>
      <c r="F5215" s="369">
        <f>VLOOKUP(C5215,METADATA!$A$5:$H$29,IF(E5215="HI",2,IF(E5215="LO",6,10))+IF(D5215=1,2,IF(D5215=7,1,(IF(WEEKDAY(B5215)=1,2,IF(WEEKDAY(B5215)=7,1,0))))))</f>
        <v>3</v>
      </c>
      <c r="G5215" s="369">
        <f>VLOOKUP(C5215,METADATA!$J$5:$Q$29,IF(E5215="HI",2,IF(E5215="LO",6,10))+IF(D5215=1,2,IF(D5215=7,1,(IF(WEEKDAY(B5215)=1,2,IF(WEEKDAY(B5215)=7,1,0))))))</f>
        <v>3</v>
      </c>
      <c r="H5215" s="370">
        <v>13314.225280761719</v>
      </c>
      <c r="I5215" s="370">
        <v>10414.200012207031</v>
      </c>
      <c r="M5215" s="371">
        <f t="shared" si="325"/>
        <v>16903.377080368507</v>
      </c>
      <c r="N5215" s="329">
        <f t="shared" si="326"/>
        <v>6419.932427978516</v>
      </c>
      <c r="T5215" s="331">
        <v>0</v>
      </c>
      <c r="U5215" s="328">
        <f>VLOOKUP(C5215,METADATA!$J$5:$Q$29,IF(E5215="HI",2,IF(E5215="LO",6,10))+IF(T5215=1,2,IF(D5215=7,1,(IF(WEEKDAY(B5215)=1,2,IF(WEEKDAY(B5215)=7,1,0))))))</f>
        <v>3</v>
      </c>
      <c r="V5215" s="328">
        <f>VLOOKUP(C5215,METADATA!$A$5:$H$29,IF(E5215="HI",2,IF(E5215="LO",6,10))+IF(T5215=1,2,IF(D5215=7,1,(IF(WEEKDAY(B5215)=1,2,IF(WEEKDAY(B5215)=7,1,0))))))</f>
        <v>3</v>
      </c>
    </row>
    <row r="5216" spans="2:22">
      <c r="B5216" s="318">
        <f t="shared" si="327"/>
        <v>46330</v>
      </c>
      <c r="C5216" s="312">
        <v>4</v>
      </c>
      <c r="D5216" s="368">
        <f>IFERROR((INDEX(METADATA!$T$2:$T$20,MATCH(B5216,METADATA!$S$2:$S$20,0))),0)</f>
        <v>0</v>
      </c>
      <c r="E5216" s="312" t="str">
        <f t="shared" si="324"/>
        <v>LO</v>
      </c>
      <c r="F5216" s="369">
        <f>VLOOKUP(C5216,METADATA!$A$5:$H$29,IF(E5216="HI",2,IF(E5216="LO",6,10))+IF(D5216=1,2,IF(D5216=7,1,(IF(WEEKDAY(B5216)=1,2,IF(WEEKDAY(B5216)=7,1,0))))))</f>
        <v>3</v>
      </c>
      <c r="G5216" s="369">
        <f>VLOOKUP(C5216,METADATA!$J$5:$Q$29,IF(E5216="HI",2,IF(E5216="LO",6,10))+IF(D5216=1,2,IF(D5216=7,1,(IF(WEEKDAY(B5216)=1,2,IF(WEEKDAY(B5216)=7,1,0))))))</f>
        <v>3</v>
      </c>
      <c r="H5216" s="370">
        <v>13321.650085449219</v>
      </c>
      <c r="I5216" s="370">
        <v>10375.524963378906</v>
      </c>
      <c r="M5216" s="371">
        <f t="shared" si="325"/>
        <v>16885.433937712351</v>
      </c>
      <c r="N5216" s="329">
        <f t="shared" si="326"/>
        <v>6379.0299377441406</v>
      </c>
      <c r="T5216" s="331">
        <v>0</v>
      </c>
      <c r="U5216" s="328">
        <f>VLOOKUP(C5216,METADATA!$J$5:$Q$29,IF(E5216="HI",2,IF(E5216="LO",6,10))+IF(T5216=1,2,IF(D5216=7,1,(IF(WEEKDAY(B5216)=1,2,IF(WEEKDAY(B5216)=7,1,0))))))</f>
        <v>3</v>
      </c>
      <c r="V5216" s="328">
        <f>VLOOKUP(C5216,METADATA!$A$5:$H$29,IF(E5216="HI",2,IF(E5216="LO",6,10))+IF(T5216=1,2,IF(D5216=7,1,(IF(WEEKDAY(B5216)=1,2,IF(WEEKDAY(B5216)=7,1,0))))))</f>
        <v>3</v>
      </c>
    </row>
    <row r="5217" spans="2:22">
      <c r="B5217" s="318">
        <f t="shared" si="327"/>
        <v>46330</v>
      </c>
      <c r="C5217" s="312">
        <v>5</v>
      </c>
      <c r="D5217" s="368">
        <f>IFERROR((INDEX(METADATA!$T$2:$T$20,MATCH(B5217,METADATA!$S$2:$S$20,0))),0)</f>
        <v>0</v>
      </c>
      <c r="E5217" s="312" t="str">
        <f t="shared" si="324"/>
        <v>LO</v>
      </c>
      <c r="F5217" s="369">
        <f>VLOOKUP(C5217,METADATA!$A$5:$H$29,IF(E5217="HI",2,IF(E5217="LO",6,10))+IF(D5217=1,2,IF(D5217=7,1,(IF(WEEKDAY(B5217)=1,2,IF(WEEKDAY(B5217)=7,1,0))))))</f>
        <v>3</v>
      </c>
      <c r="G5217" s="369">
        <f>VLOOKUP(C5217,METADATA!$J$5:$Q$29,IF(E5217="HI",2,IF(E5217="LO",6,10))+IF(D5217=1,2,IF(D5217=7,1,(IF(WEEKDAY(B5217)=1,2,IF(WEEKDAY(B5217)=7,1,0))))))</f>
        <v>3</v>
      </c>
      <c r="H5217" s="370">
        <v>13292.0751953125</v>
      </c>
      <c r="I5217" s="370">
        <v>10489.199951171875</v>
      </c>
      <c r="M5217" s="371">
        <f t="shared" si="325"/>
        <v>16932.29395603283</v>
      </c>
      <c r="N5217" s="329">
        <f t="shared" si="326"/>
        <v>6501.577392578125</v>
      </c>
      <c r="T5217" s="331">
        <v>0</v>
      </c>
      <c r="U5217" s="328">
        <f>VLOOKUP(C5217,METADATA!$J$5:$Q$29,IF(E5217="HI",2,IF(E5217="LO",6,10))+IF(T5217=1,2,IF(D5217=7,1,(IF(WEEKDAY(B5217)=1,2,IF(WEEKDAY(B5217)=7,1,0))))))</f>
        <v>3</v>
      </c>
      <c r="V5217" s="328">
        <f>VLOOKUP(C5217,METADATA!$A$5:$H$29,IF(E5217="HI",2,IF(E5217="LO",6,10))+IF(T5217=1,2,IF(D5217=7,1,(IF(WEEKDAY(B5217)=1,2,IF(WEEKDAY(B5217)=7,1,0))))))</f>
        <v>3</v>
      </c>
    </row>
    <row r="5218" spans="2:22">
      <c r="B5218" s="318">
        <f t="shared" si="327"/>
        <v>46330</v>
      </c>
      <c r="C5218" s="312">
        <v>6</v>
      </c>
      <c r="D5218" s="368">
        <f>IFERROR((INDEX(METADATA!$T$2:$T$20,MATCH(B5218,METADATA!$S$2:$S$20,0))),0)</f>
        <v>0</v>
      </c>
      <c r="E5218" s="312" t="str">
        <f t="shared" si="324"/>
        <v>LO</v>
      </c>
      <c r="F5218" s="369">
        <f>VLOOKUP(C5218,METADATA!$A$5:$H$29,IF(E5218="HI",2,IF(E5218="LO",6,10))+IF(D5218=1,2,IF(D5218=7,1,(IF(WEEKDAY(B5218)=1,2,IF(WEEKDAY(B5218)=7,1,0))))))</f>
        <v>2</v>
      </c>
      <c r="G5218" s="369">
        <f>VLOOKUP(C5218,METADATA!$J$5:$Q$29,IF(E5218="HI",2,IF(E5218="LO",6,10))+IF(D5218=1,2,IF(D5218=7,1,(IF(WEEKDAY(B5218)=1,2,IF(WEEKDAY(B5218)=7,1,0))))))</f>
        <v>2</v>
      </c>
      <c r="H5218" s="370">
        <v>13201.199890136719</v>
      </c>
      <c r="I5218" s="370">
        <v>10462.250061035156</v>
      </c>
      <c r="M5218" s="371">
        <f t="shared" si="325"/>
        <v>16844.297399386414</v>
      </c>
      <c r="N5218" s="329">
        <f t="shared" si="326"/>
        <v>6501.8900939941414</v>
      </c>
      <c r="T5218" s="331">
        <v>0</v>
      </c>
      <c r="U5218" s="328">
        <f>VLOOKUP(C5218,METADATA!$J$5:$Q$29,IF(E5218="HI",2,IF(E5218="LO",6,10))+IF(T5218=1,2,IF(D5218=7,1,(IF(WEEKDAY(B5218)=1,2,IF(WEEKDAY(B5218)=7,1,0))))))</f>
        <v>2</v>
      </c>
      <c r="V5218" s="328">
        <f>VLOOKUP(C5218,METADATA!$A$5:$H$29,IF(E5218="HI",2,IF(E5218="LO",6,10))+IF(T5218=1,2,IF(D5218=7,1,(IF(WEEKDAY(B5218)=1,2,IF(WEEKDAY(B5218)=7,1,0))))))</f>
        <v>2</v>
      </c>
    </row>
    <row r="5219" spans="2:22">
      <c r="B5219" s="318">
        <f t="shared" si="327"/>
        <v>46330</v>
      </c>
      <c r="C5219" s="312">
        <v>7</v>
      </c>
      <c r="D5219" s="368">
        <f>IFERROR((INDEX(METADATA!$T$2:$T$20,MATCH(B5219,METADATA!$S$2:$S$20,0))),0)</f>
        <v>0</v>
      </c>
      <c r="E5219" s="312" t="str">
        <f t="shared" si="324"/>
        <v>LO</v>
      </c>
      <c r="F5219" s="369">
        <f>VLOOKUP(C5219,METADATA!$A$5:$H$29,IF(E5219="HI",2,IF(E5219="LO",6,10))+IF(D5219=1,2,IF(D5219=7,1,(IF(WEEKDAY(B5219)=1,2,IF(WEEKDAY(B5219)=7,1,0))))))</f>
        <v>1</v>
      </c>
      <c r="G5219" s="369">
        <f>VLOOKUP(C5219,METADATA!$J$5:$Q$29,IF(E5219="HI",2,IF(E5219="LO",6,10))+IF(D5219=1,2,IF(D5219=7,1,(IF(WEEKDAY(B5219)=1,2,IF(WEEKDAY(B5219)=7,1,0))))))</f>
        <v>1</v>
      </c>
      <c r="H5219" s="370">
        <v>13184.075073242188</v>
      </c>
      <c r="I5219" s="370">
        <v>10315.474914550781</v>
      </c>
      <c r="M5219" s="371">
        <f t="shared" si="325"/>
        <v>16740.037582084828</v>
      </c>
      <c r="N5219" s="329">
        <f t="shared" si="326"/>
        <v>6360.2523925781252</v>
      </c>
      <c r="T5219" s="331">
        <v>0</v>
      </c>
      <c r="U5219" s="328">
        <f>VLOOKUP(C5219,METADATA!$J$5:$Q$29,IF(E5219="HI",2,IF(E5219="LO",6,10))+IF(T5219=1,2,IF(D5219=7,1,(IF(WEEKDAY(B5219)=1,2,IF(WEEKDAY(B5219)=7,1,0))))))</f>
        <v>1</v>
      </c>
      <c r="V5219" s="328">
        <f>VLOOKUP(C5219,METADATA!$A$5:$H$29,IF(E5219="HI",2,IF(E5219="LO",6,10))+IF(T5219=1,2,IF(D5219=7,1,(IF(WEEKDAY(B5219)=1,2,IF(WEEKDAY(B5219)=7,1,0))))))</f>
        <v>1</v>
      </c>
    </row>
    <row r="5220" spans="2:22">
      <c r="B5220" s="318">
        <f t="shared" si="327"/>
        <v>46330</v>
      </c>
      <c r="C5220" s="312">
        <v>8</v>
      </c>
      <c r="D5220" s="368">
        <f>IFERROR((INDEX(METADATA!$T$2:$T$20,MATCH(B5220,METADATA!$S$2:$S$20,0))),0)</f>
        <v>0</v>
      </c>
      <c r="E5220" s="312" t="str">
        <f t="shared" si="324"/>
        <v>LO</v>
      </c>
      <c r="F5220" s="369">
        <f>VLOOKUP(C5220,METADATA!$A$5:$H$29,IF(E5220="HI",2,IF(E5220="LO",6,10))+IF(D5220=1,2,IF(D5220=7,1,(IF(WEEKDAY(B5220)=1,2,IF(WEEKDAY(B5220)=7,1,0))))))</f>
        <v>1</v>
      </c>
      <c r="G5220" s="369">
        <f>VLOOKUP(C5220,METADATA!$J$5:$Q$29,IF(E5220="HI",2,IF(E5220="LO",6,10))+IF(D5220=1,2,IF(D5220=7,1,(IF(WEEKDAY(B5220)=1,2,IF(WEEKDAY(B5220)=7,1,0))))))</f>
        <v>1</v>
      </c>
      <c r="H5220" s="370">
        <v>13206.999938964844</v>
      </c>
      <c r="I5220" s="370">
        <v>10372.975036621094</v>
      </c>
      <c r="M5220" s="371">
        <f t="shared" si="325"/>
        <v>16793.55407584058</v>
      </c>
      <c r="N5220" s="329">
        <f t="shared" si="326"/>
        <v>6410.875054931641</v>
      </c>
      <c r="T5220" s="331">
        <v>0</v>
      </c>
      <c r="U5220" s="328">
        <f>VLOOKUP(C5220,METADATA!$J$5:$Q$29,IF(E5220="HI",2,IF(E5220="LO",6,10))+IF(T5220=1,2,IF(D5220=7,1,(IF(WEEKDAY(B5220)=1,2,IF(WEEKDAY(B5220)=7,1,0))))))</f>
        <v>1</v>
      </c>
      <c r="V5220" s="328">
        <f>VLOOKUP(C5220,METADATA!$A$5:$H$29,IF(E5220="HI",2,IF(E5220="LO",6,10))+IF(T5220=1,2,IF(D5220=7,1,(IF(WEEKDAY(B5220)=1,2,IF(WEEKDAY(B5220)=7,1,0))))))</f>
        <v>1</v>
      </c>
    </row>
    <row r="5221" spans="2:22">
      <c r="B5221" s="318">
        <f t="shared" si="327"/>
        <v>46330</v>
      </c>
      <c r="C5221" s="312">
        <v>9</v>
      </c>
      <c r="D5221" s="368">
        <f>IFERROR((INDEX(METADATA!$T$2:$T$20,MATCH(B5221,METADATA!$S$2:$S$20,0))),0)</f>
        <v>0</v>
      </c>
      <c r="E5221" s="312" t="str">
        <f t="shared" si="324"/>
        <v>LO</v>
      </c>
      <c r="F5221" s="369">
        <f>VLOOKUP(C5221,METADATA!$A$5:$H$29,IF(E5221="HI",2,IF(E5221="LO",6,10))+IF(D5221=1,2,IF(D5221=7,1,(IF(WEEKDAY(B5221)=1,2,IF(WEEKDAY(B5221)=7,1,0))))))</f>
        <v>2</v>
      </c>
      <c r="G5221" s="369">
        <f>VLOOKUP(C5221,METADATA!$J$5:$Q$29,IF(E5221="HI",2,IF(E5221="LO",6,10))+IF(D5221=1,2,IF(D5221=7,1,(IF(WEEKDAY(B5221)=1,2,IF(WEEKDAY(B5221)=7,1,0))))))</f>
        <v>2</v>
      </c>
      <c r="H5221" s="370">
        <v>13210.350036621094</v>
      </c>
      <c r="I5221" s="370">
        <v>10484.200012207031</v>
      </c>
      <c r="M5221" s="371">
        <f t="shared" si="325"/>
        <v>16865.105928692439</v>
      </c>
      <c r="N5221" s="329">
        <f t="shared" si="326"/>
        <v>6521.0950012207031</v>
      </c>
      <c r="T5221" s="331">
        <v>0</v>
      </c>
      <c r="U5221" s="328">
        <f>VLOOKUP(C5221,METADATA!$J$5:$Q$29,IF(E5221="HI",2,IF(E5221="LO",6,10))+IF(T5221=1,2,IF(D5221=7,1,(IF(WEEKDAY(B5221)=1,2,IF(WEEKDAY(B5221)=7,1,0))))))</f>
        <v>2</v>
      </c>
      <c r="V5221" s="328">
        <f>VLOOKUP(C5221,METADATA!$A$5:$H$29,IF(E5221="HI",2,IF(E5221="LO",6,10))+IF(T5221=1,2,IF(D5221=7,1,(IF(WEEKDAY(B5221)=1,2,IF(WEEKDAY(B5221)=7,1,0))))))</f>
        <v>2</v>
      </c>
    </row>
    <row r="5222" spans="2:22">
      <c r="B5222" s="318">
        <f t="shared" si="327"/>
        <v>46330</v>
      </c>
      <c r="C5222" s="312">
        <v>10</v>
      </c>
      <c r="D5222" s="368">
        <f>IFERROR((INDEX(METADATA!$T$2:$T$20,MATCH(B5222,METADATA!$S$2:$S$20,0))),0)</f>
        <v>0</v>
      </c>
      <c r="E5222" s="312" t="str">
        <f t="shared" si="324"/>
        <v>LO</v>
      </c>
      <c r="F5222" s="369">
        <f>VLOOKUP(C5222,METADATA!$A$5:$H$29,IF(E5222="HI",2,IF(E5222="LO",6,10))+IF(D5222=1,2,IF(D5222=7,1,(IF(WEEKDAY(B5222)=1,2,IF(WEEKDAY(B5222)=7,1,0))))))</f>
        <v>2</v>
      </c>
      <c r="G5222" s="369">
        <f>VLOOKUP(C5222,METADATA!$J$5:$Q$29,IF(E5222="HI",2,IF(E5222="LO",6,10))+IF(D5222=1,2,IF(D5222=7,1,(IF(WEEKDAY(B5222)=1,2,IF(WEEKDAY(B5222)=7,1,0))))))</f>
        <v>2</v>
      </c>
      <c r="H5222" s="370">
        <v>13438.024841308594</v>
      </c>
      <c r="I5222" s="370">
        <v>10541.625061035156</v>
      </c>
      <c r="M5222" s="371">
        <f t="shared" si="325"/>
        <v>17079.413648104881</v>
      </c>
      <c r="N5222" s="329">
        <f t="shared" si="326"/>
        <v>6510.2176086425789</v>
      </c>
      <c r="T5222" s="331">
        <v>0</v>
      </c>
      <c r="U5222" s="328">
        <f>VLOOKUP(C5222,METADATA!$J$5:$Q$29,IF(E5222="HI",2,IF(E5222="LO",6,10))+IF(T5222=1,2,IF(D5222=7,1,(IF(WEEKDAY(B5222)=1,2,IF(WEEKDAY(B5222)=7,1,0))))))</f>
        <v>2</v>
      </c>
      <c r="V5222" s="328">
        <f>VLOOKUP(C5222,METADATA!$A$5:$H$29,IF(E5222="HI",2,IF(E5222="LO",6,10))+IF(T5222=1,2,IF(D5222=7,1,(IF(WEEKDAY(B5222)=1,2,IF(WEEKDAY(B5222)=7,1,0))))))</f>
        <v>2</v>
      </c>
    </row>
    <row r="5223" spans="2:22">
      <c r="B5223" s="318">
        <f t="shared" si="327"/>
        <v>46330</v>
      </c>
      <c r="C5223" s="312">
        <v>11</v>
      </c>
      <c r="D5223" s="368">
        <f>IFERROR((INDEX(METADATA!$T$2:$T$20,MATCH(B5223,METADATA!$S$2:$S$20,0))),0)</f>
        <v>0</v>
      </c>
      <c r="E5223" s="312" t="str">
        <f t="shared" si="324"/>
        <v>LO</v>
      </c>
      <c r="F5223" s="369">
        <f>VLOOKUP(C5223,METADATA!$A$5:$H$29,IF(E5223="HI",2,IF(E5223="LO",6,10))+IF(D5223=1,2,IF(D5223=7,1,(IF(WEEKDAY(B5223)=1,2,IF(WEEKDAY(B5223)=7,1,0))))))</f>
        <v>2</v>
      </c>
      <c r="G5223" s="369">
        <f>VLOOKUP(C5223,METADATA!$J$5:$Q$29,IF(E5223="HI",2,IF(E5223="LO",6,10))+IF(D5223=1,2,IF(D5223=7,1,(IF(WEEKDAY(B5223)=1,2,IF(WEEKDAY(B5223)=7,1,0))))))</f>
        <v>2</v>
      </c>
      <c r="H5223" s="370">
        <v>11763.499877929688</v>
      </c>
      <c r="I5223" s="370">
        <v>9546.04248046875</v>
      </c>
      <c r="M5223" s="371">
        <f t="shared" si="325"/>
        <v>15149.48370133338</v>
      </c>
      <c r="N5223" s="329">
        <f t="shared" si="326"/>
        <v>6016.9925170898441</v>
      </c>
      <c r="T5223" s="331">
        <v>0</v>
      </c>
      <c r="U5223" s="328">
        <f>VLOOKUP(C5223,METADATA!$J$5:$Q$29,IF(E5223="HI",2,IF(E5223="LO",6,10))+IF(T5223=1,2,IF(D5223=7,1,(IF(WEEKDAY(B5223)=1,2,IF(WEEKDAY(B5223)=7,1,0))))))</f>
        <v>2</v>
      </c>
      <c r="V5223" s="328">
        <f>VLOOKUP(C5223,METADATA!$A$5:$H$29,IF(E5223="HI",2,IF(E5223="LO",6,10))+IF(T5223=1,2,IF(D5223=7,1,(IF(WEEKDAY(B5223)=1,2,IF(WEEKDAY(B5223)=7,1,0))))))</f>
        <v>2</v>
      </c>
    </row>
    <row r="5224" spans="2:22">
      <c r="B5224" s="318">
        <f t="shared" si="327"/>
        <v>46330</v>
      </c>
      <c r="C5224" s="312">
        <v>12</v>
      </c>
      <c r="D5224" s="368">
        <f>IFERROR((INDEX(METADATA!$T$2:$T$20,MATCH(B5224,METADATA!$S$2:$S$20,0))),0)</f>
        <v>0</v>
      </c>
      <c r="E5224" s="312" t="str">
        <f t="shared" si="324"/>
        <v>LO</v>
      </c>
      <c r="F5224" s="369">
        <f>VLOOKUP(C5224,METADATA!$A$5:$H$29,IF(E5224="HI",2,IF(E5224="LO",6,10))+IF(D5224=1,2,IF(D5224=7,1,(IF(WEEKDAY(B5224)=1,2,IF(WEEKDAY(B5224)=7,1,0))))))</f>
        <v>2</v>
      </c>
      <c r="G5224" s="369">
        <f>VLOOKUP(C5224,METADATA!$J$5:$Q$29,IF(E5224="HI",2,IF(E5224="LO",6,10))+IF(D5224=1,2,IF(D5224=7,1,(IF(WEEKDAY(B5224)=1,2,IF(WEEKDAY(B5224)=7,1,0))))))</f>
        <v>2</v>
      </c>
      <c r="H5224" s="370">
        <v>11282.47509765625</v>
      </c>
      <c r="I5224" s="370">
        <v>9257.5401306152344</v>
      </c>
      <c r="M5224" s="371">
        <f t="shared" si="325"/>
        <v>14594.392539574401</v>
      </c>
      <c r="N5224" s="329">
        <f t="shared" si="326"/>
        <v>5872.7976013183597</v>
      </c>
      <c r="T5224" s="331">
        <v>0</v>
      </c>
      <c r="U5224" s="328">
        <f>VLOOKUP(C5224,METADATA!$J$5:$Q$29,IF(E5224="HI",2,IF(E5224="LO",6,10))+IF(T5224=1,2,IF(D5224=7,1,(IF(WEEKDAY(B5224)=1,2,IF(WEEKDAY(B5224)=7,1,0))))))</f>
        <v>2</v>
      </c>
      <c r="V5224" s="328">
        <f>VLOOKUP(C5224,METADATA!$A$5:$H$29,IF(E5224="HI",2,IF(E5224="LO",6,10))+IF(T5224=1,2,IF(D5224=7,1,(IF(WEEKDAY(B5224)=1,2,IF(WEEKDAY(B5224)=7,1,0))))))</f>
        <v>2</v>
      </c>
    </row>
    <row r="5225" spans="2:22">
      <c r="B5225" s="318">
        <f t="shared" si="327"/>
        <v>46330</v>
      </c>
      <c r="C5225" s="312">
        <v>13</v>
      </c>
      <c r="D5225" s="368">
        <f>IFERROR((INDEX(METADATA!$T$2:$T$20,MATCH(B5225,METADATA!$S$2:$S$20,0))),0)</f>
        <v>0</v>
      </c>
      <c r="E5225" s="312" t="str">
        <f t="shared" si="324"/>
        <v>LO</v>
      </c>
      <c r="F5225" s="369">
        <f>VLOOKUP(C5225,METADATA!$A$5:$H$29,IF(E5225="HI",2,IF(E5225="LO",6,10))+IF(D5225=1,2,IF(D5225=7,1,(IF(WEEKDAY(B5225)=1,2,IF(WEEKDAY(B5225)=7,1,0))))))</f>
        <v>2</v>
      </c>
      <c r="G5225" s="369">
        <f>VLOOKUP(C5225,METADATA!$J$5:$Q$29,IF(E5225="HI",2,IF(E5225="LO",6,10))+IF(D5225=1,2,IF(D5225=7,1,(IF(WEEKDAY(B5225)=1,2,IF(WEEKDAY(B5225)=7,1,0))))))</f>
        <v>2</v>
      </c>
      <c r="H5225" s="370">
        <v>11691.199829101563</v>
      </c>
      <c r="I5225" s="370">
        <v>9475.1749267578125</v>
      </c>
      <c r="M5225" s="371">
        <f t="shared" si="325"/>
        <v>15048.690751578501</v>
      </c>
      <c r="N5225" s="329">
        <f t="shared" si="326"/>
        <v>5967.8149780273434</v>
      </c>
      <c r="T5225" s="331">
        <v>0</v>
      </c>
      <c r="U5225" s="328">
        <f>VLOOKUP(C5225,METADATA!$J$5:$Q$29,IF(E5225="HI",2,IF(E5225="LO",6,10))+IF(T5225=1,2,IF(D5225=7,1,(IF(WEEKDAY(B5225)=1,2,IF(WEEKDAY(B5225)=7,1,0))))))</f>
        <v>2</v>
      </c>
      <c r="V5225" s="328">
        <f>VLOOKUP(C5225,METADATA!$A$5:$H$29,IF(E5225="HI",2,IF(E5225="LO",6,10))+IF(T5225=1,2,IF(D5225=7,1,(IF(WEEKDAY(B5225)=1,2,IF(WEEKDAY(B5225)=7,1,0))))))</f>
        <v>2</v>
      </c>
    </row>
    <row r="5226" spans="2:22">
      <c r="B5226" s="318">
        <f t="shared" si="327"/>
        <v>46330</v>
      </c>
      <c r="C5226" s="312">
        <v>14</v>
      </c>
      <c r="D5226" s="368">
        <f>IFERROR((INDEX(METADATA!$T$2:$T$20,MATCH(B5226,METADATA!$S$2:$S$20,0))),0)</f>
        <v>0</v>
      </c>
      <c r="E5226" s="312" t="str">
        <f t="shared" si="324"/>
        <v>LO</v>
      </c>
      <c r="F5226" s="369">
        <f>VLOOKUP(C5226,METADATA!$A$5:$H$29,IF(E5226="HI",2,IF(E5226="LO",6,10))+IF(D5226=1,2,IF(D5226=7,1,(IF(WEEKDAY(B5226)=1,2,IF(WEEKDAY(B5226)=7,1,0))))))</f>
        <v>2</v>
      </c>
      <c r="G5226" s="369">
        <f>VLOOKUP(C5226,METADATA!$J$5:$Q$29,IF(E5226="HI",2,IF(E5226="LO",6,10))+IF(D5226=1,2,IF(D5226=7,1,(IF(WEEKDAY(B5226)=1,2,IF(WEEKDAY(B5226)=7,1,0))))))</f>
        <v>2</v>
      </c>
      <c r="H5226" s="370">
        <v>12088.02490234375</v>
      </c>
      <c r="I5226" s="370">
        <v>9709.4500122070313</v>
      </c>
      <c r="M5226" s="371">
        <f t="shared" si="325"/>
        <v>15504.636905752735</v>
      </c>
      <c r="N5226" s="329">
        <f t="shared" si="326"/>
        <v>6083.0425415039063</v>
      </c>
      <c r="T5226" s="331">
        <v>0</v>
      </c>
      <c r="U5226" s="328">
        <f>VLOOKUP(C5226,METADATA!$J$5:$Q$29,IF(E5226="HI",2,IF(E5226="LO",6,10))+IF(T5226=1,2,IF(D5226=7,1,(IF(WEEKDAY(B5226)=1,2,IF(WEEKDAY(B5226)=7,1,0))))))</f>
        <v>2</v>
      </c>
      <c r="V5226" s="328">
        <f>VLOOKUP(C5226,METADATA!$A$5:$H$29,IF(E5226="HI",2,IF(E5226="LO",6,10))+IF(T5226=1,2,IF(D5226=7,1,(IF(WEEKDAY(B5226)=1,2,IF(WEEKDAY(B5226)=7,1,0))))))</f>
        <v>2</v>
      </c>
    </row>
    <row r="5227" spans="2:22">
      <c r="B5227" s="318">
        <f t="shared" si="327"/>
        <v>46330</v>
      </c>
      <c r="C5227" s="312">
        <v>15</v>
      </c>
      <c r="D5227" s="368">
        <f>IFERROR((INDEX(METADATA!$T$2:$T$20,MATCH(B5227,METADATA!$S$2:$S$20,0))),0)</f>
        <v>0</v>
      </c>
      <c r="E5227" s="312" t="str">
        <f t="shared" si="324"/>
        <v>LO</v>
      </c>
      <c r="F5227" s="369">
        <f>VLOOKUP(C5227,METADATA!$A$5:$H$29,IF(E5227="HI",2,IF(E5227="LO",6,10))+IF(D5227=1,2,IF(D5227=7,1,(IF(WEEKDAY(B5227)=1,2,IF(WEEKDAY(B5227)=7,1,0))))))</f>
        <v>2</v>
      </c>
      <c r="G5227" s="369">
        <f>VLOOKUP(C5227,METADATA!$J$5:$Q$29,IF(E5227="HI",2,IF(E5227="LO",6,10))+IF(D5227=1,2,IF(D5227=7,1,(IF(WEEKDAY(B5227)=1,2,IF(WEEKDAY(B5227)=7,1,0))))))</f>
        <v>2</v>
      </c>
      <c r="H5227" s="370">
        <v>12428.474975585938</v>
      </c>
      <c r="I5227" s="370">
        <v>9817.47509765625</v>
      </c>
      <c r="M5227" s="371">
        <f t="shared" si="325"/>
        <v>15838.238775566761</v>
      </c>
      <c r="N5227" s="329">
        <f t="shared" si="326"/>
        <v>6088.9326049804695</v>
      </c>
      <c r="T5227" s="331">
        <v>0</v>
      </c>
      <c r="U5227" s="328">
        <f>VLOOKUP(C5227,METADATA!$J$5:$Q$29,IF(E5227="HI",2,IF(E5227="LO",6,10))+IF(T5227=1,2,IF(D5227=7,1,(IF(WEEKDAY(B5227)=1,2,IF(WEEKDAY(B5227)=7,1,0))))))</f>
        <v>2</v>
      </c>
      <c r="V5227" s="328">
        <f>VLOOKUP(C5227,METADATA!$A$5:$H$29,IF(E5227="HI",2,IF(E5227="LO",6,10))+IF(T5227=1,2,IF(D5227=7,1,(IF(WEEKDAY(B5227)=1,2,IF(WEEKDAY(B5227)=7,1,0))))))</f>
        <v>2</v>
      </c>
    </row>
    <row r="5228" spans="2:22">
      <c r="B5228" s="318">
        <f t="shared" si="327"/>
        <v>46330</v>
      </c>
      <c r="C5228" s="312">
        <v>16</v>
      </c>
      <c r="D5228" s="368">
        <f>IFERROR((INDEX(METADATA!$T$2:$T$20,MATCH(B5228,METADATA!$S$2:$S$20,0))),0)</f>
        <v>0</v>
      </c>
      <c r="E5228" s="312" t="str">
        <f t="shared" si="324"/>
        <v>LO</v>
      </c>
      <c r="F5228" s="369">
        <f>VLOOKUP(C5228,METADATA!$A$5:$H$29,IF(E5228="HI",2,IF(E5228="LO",6,10))+IF(D5228=1,2,IF(D5228=7,1,(IF(WEEKDAY(B5228)=1,2,IF(WEEKDAY(B5228)=7,1,0))))))</f>
        <v>2</v>
      </c>
      <c r="G5228" s="369">
        <f>VLOOKUP(C5228,METADATA!$J$5:$Q$29,IF(E5228="HI",2,IF(E5228="LO",6,10))+IF(D5228=1,2,IF(D5228=7,1,(IF(WEEKDAY(B5228)=1,2,IF(WEEKDAY(B5228)=7,1,0))))))</f>
        <v>2</v>
      </c>
      <c r="H5228" s="370">
        <v>13235.349975585938</v>
      </c>
      <c r="I5228" s="370">
        <v>10426.050048828125</v>
      </c>
      <c r="M5228" s="371">
        <f t="shared" si="325"/>
        <v>16848.650052657384</v>
      </c>
      <c r="N5228" s="329">
        <f t="shared" si="326"/>
        <v>6455.4450561523445</v>
      </c>
      <c r="T5228" s="331">
        <v>0</v>
      </c>
      <c r="U5228" s="328">
        <f>VLOOKUP(C5228,METADATA!$J$5:$Q$29,IF(E5228="HI",2,IF(E5228="LO",6,10))+IF(T5228=1,2,IF(D5228=7,1,(IF(WEEKDAY(B5228)=1,2,IF(WEEKDAY(B5228)=7,1,0))))))</f>
        <v>2</v>
      </c>
      <c r="V5228" s="328">
        <f>VLOOKUP(C5228,METADATA!$A$5:$H$29,IF(E5228="HI",2,IF(E5228="LO",6,10))+IF(T5228=1,2,IF(D5228=7,1,(IF(WEEKDAY(B5228)=1,2,IF(WEEKDAY(B5228)=7,1,0))))))</f>
        <v>2</v>
      </c>
    </row>
    <row r="5229" spans="2:22">
      <c r="B5229" s="318">
        <f t="shared" si="327"/>
        <v>46330</v>
      </c>
      <c r="C5229" s="312">
        <v>17</v>
      </c>
      <c r="D5229" s="368">
        <f>IFERROR((INDEX(METADATA!$T$2:$T$20,MATCH(B5229,METADATA!$S$2:$S$20,0))),0)</f>
        <v>0</v>
      </c>
      <c r="E5229" s="312" t="str">
        <f t="shared" si="324"/>
        <v>LO</v>
      </c>
      <c r="F5229" s="369">
        <f>VLOOKUP(C5229,METADATA!$A$5:$H$29,IF(E5229="HI",2,IF(E5229="LO",6,10))+IF(D5229=1,2,IF(D5229=7,1,(IF(WEEKDAY(B5229)=1,2,IF(WEEKDAY(B5229)=7,1,0))))))</f>
        <v>2</v>
      </c>
      <c r="G5229" s="369">
        <f>VLOOKUP(C5229,METADATA!$J$5:$Q$29,IF(E5229="HI",2,IF(E5229="LO",6,10))+IF(D5229=1,2,IF(D5229=7,1,(IF(WEEKDAY(B5229)=1,2,IF(WEEKDAY(B5229)=7,1,0))))))</f>
        <v>2</v>
      </c>
      <c r="H5229" s="370">
        <v>13417.999694824219</v>
      </c>
      <c r="I5229" s="370">
        <v>10408.200073242188</v>
      </c>
      <c r="M5229" s="371">
        <f t="shared" si="325"/>
        <v>16981.558955965778</v>
      </c>
      <c r="N5229" s="329">
        <f t="shared" si="326"/>
        <v>6382.8001647949222</v>
      </c>
      <c r="T5229" s="331">
        <v>0</v>
      </c>
      <c r="U5229" s="328">
        <f>VLOOKUP(C5229,METADATA!$J$5:$Q$29,IF(E5229="HI",2,IF(E5229="LO",6,10))+IF(T5229=1,2,IF(D5229=7,1,(IF(WEEKDAY(B5229)=1,2,IF(WEEKDAY(B5229)=7,1,0))))))</f>
        <v>2</v>
      </c>
      <c r="V5229" s="328">
        <f>VLOOKUP(C5229,METADATA!$A$5:$H$29,IF(E5229="HI",2,IF(E5229="LO",6,10))+IF(T5229=1,2,IF(D5229=7,1,(IF(WEEKDAY(B5229)=1,2,IF(WEEKDAY(B5229)=7,1,0))))))</f>
        <v>2</v>
      </c>
    </row>
    <row r="5230" spans="2:22">
      <c r="B5230" s="318">
        <f t="shared" si="327"/>
        <v>46330</v>
      </c>
      <c r="C5230" s="312">
        <v>18</v>
      </c>
      <c r="D5230" s="368">
        <f>IFERROR((INDEX(METADATA!$T$2:$T$20,MATCH(B5230,METADATA!$S$2:$S$20,0))),0)</f>
        <v>0</v>
      </c>
      <c r="E5230" s="312" t="str">
        <f t="shared" si="324"/>
        <v>LO</v>
      </c>
      <c r="F5230" s="369">
        <f>VLOOKUP(C5230,METADATA!$A$5:$H$29,IF(E5230="HI",2,IF(E5230="LO",6,10))+IF(D5230=1,2,IF(D5230=7,1,(IF(WEEKDAY(B5230)=1,2,IF(WEEKDAY(B5230)=7,1,0))))))</f>
        <v>1</v>
      </c>
      <c r="G5230" s="369">
        <f>VLOOKUP(C5230,METADATA!$J$5:$Q$29,IF(E5230="HI",2,IF(E5230="LO",6,10))+IF(D5230=1,2,IF(D5230=7,1,(IF(WEEKDAY(B5230)=1,2,IF(WEEKDAY(B5230)=7,1,0))))))</f>
        <v>1</v>
      </c>
      <c r="H5230" s="370">
        <v>13331.199584960938</v>
      </c>
      <c r="I5230" s="370">
        <v>10340.175048828125</v>
      </c>
      <c r="M5230" s="371">
        <f t="shared" si="325"/>
        <v>16871.280402342625</v>
      </c>
      <c r="N5230" s="329">
        <f t="shared" si="326"/>
        <v>6340.8151733398445</v>
      </c>
      <c r="T5230" s="331">
        <v>0</v>
      </c>
      <c r="U5230" s="328">
        <f>VLOOKUP(C5230,METADATA!$J$5:$Q$29,IF(E5230="HI",2,IF(E5230="LO",6,10))+IF(T5230=1,2,IF(D5230=7,1,(IF(WEEKDAY(B5230)=1,2,IF(WEEKDAY(B5230)=7,1,0))))))</f>
        <v>1</v>
      </c>
      <c r="V5230" s="328">
        <f>VLOOKUP(C5230,METADATA!$A$5:$H$29,IF(E5230="HI",2,IF(E5230="LO",6,10))+IF(T5230=1,2,IF(D5230=7,1,(IF(WEEKDAY(B5230)=1,2,IF(WEEKDAY(B5230)=7,1,0))))))</f>
        <v>1</v>
      </c>
    </row>
    <row r="5231" spans="2:22">
      <c r="B5231" s="318">
        <f t="shared" si="327"/>
        <v>46330</v>
      </c>
      <c r="C5231" s="312">
        <v>19</v>
      </c>
      <c r="D5231" s="368">
        <f>IFERROR((INDEX(METADATA!$T$2:$T$20,MATCH(B5231,METADATA!$S$2:$S$20,0))),0)</f>
        <v>0</v>
      </c>
      <c r="E5231" s="312" t="str">
        <f t="shared" si="324"/>
        <v>LO</v>
      </c>
      <c r="F5231" s="369">
        <f>VLOOKUP(C5231,METADATA!$A$5:$H$29,IF(E5231="HI",2,IF(E5231="LO",6,10))+IF(D5231=1,2,IF(D5231=7,1,(IF(WEEKDAY(B5231)=1,2,IF(WEEKDAY(B5231)=7,1,0))))))</f>
        <v>1</v>
      </c>
      <c r="G5231" s="369">
        <f>VLOOKUP(C5231,METADATA!$J$5:$Q$29,IF(E5231="HI",2,IF(E5231="LO",6,10))+IF(D5231=1,2,IF(D5231=7,1,(IF(WEEKDAY(B5231)=1,2,IF(WEEKDAY(B5231)=7,1,0))))))</f>
        <v>1</v>
      </c>
      <c r="H5231" s="370">
        <v>11471.349914550781</v>
      </c>
      <c r="I5231" s="370">
        <v>9637.5850830078125</v>
      </c>
      <c r="M5231" s="371">
        <f t="shared" si="325"/>
        <v>14982.486946240899</v>
      </c>
      <c r="N5231" s="329">
        <f t="shared" si="326"/>
        <v>6196.1801086425785</v>
      </c>
      <c r="T5231" s="331">
        <v>0</v>
      </c>
      <c r="U5231" s="328">
        <f>VLOOKUP(C5231,METADATA!$J$5:$Q$29,IF(E5231="HI",2,IF(E5231="LO",6,10))+IF(T5231=1,2,IF(D5231=7,1,(IF(WEEKDAY(B5231)=1,2,IF(WEEKDAY(B5231)=7,1,0))))))</f>
        <v>1</v>
      </c>
      <c r="V5231" s="328">
        <f>VLOOKUP(C5231,METADATA!$A$5:$H$29,IF(E5231="HI",2,IF(E5231="LO",6,10))+IF(T5231=1,2,IF(D5231=7,1,(IF(WEEKDAY(B5231)=1,2,IF(WEEKDAY(B5231)=7,1,0))))))</f>
        <v>1</v>
      </c>
    </row>
    <row r="5232" spans="2:22">
      <c r="B5232" s="318">
        <f t="shared" si="327"/>
        <v>46330</v>
      </c>
      <c r="C5232" s="312">
        <v>20</v>
      </c>
      <c r="D5232" s="368">
        <f>IFERROR((INDEX(METADATA!$T$2:$T$20,MATCH(B5232,METADATA!$S$2:$S$20,0))),0)</f>
        <v>0</v>
      </c>
      <c r="E5232" s="312" t="str">
        <f t="shared" si="324"/>
        <v>LO</v>
      </c>
      <c r="F5232" s="369">
        <f>VLOOKUP(C5232,METADATA!$A$5:$H$29,IF(E5232="HI",2,IF(E5232="LO",6,10))+IF(D5232=1,2,IF(D5232=7,1,(IF(WEEKDAY(B5232)=1,2,IF(WEEKDAY(B5232)=7,1,0))))))</f>
        <v>1</v>
      </c>
      <c r="G5232" s="369">
        <f>VLOOKUP(C5232,METADATA!$J$5:$Q$29,IF(E5232="HI",2,IF(E5232="LO",6,10))+IF(D5232=1,2,IF(D5232=7,1,(IF(WEEKDAY(B5232)=1,2,IF(WEEKDAY(B5232)=7,1,0))))))</f>
        <v>1</v>
      </c>
      <c r="H5232" s="370">
        <v>11694.075256347656</v>
      </c>
      <c r="I5232" s="370">
        <v>9540.6524963378906</v>
      </c>
      <c r="M5232" s="371">
        <f t="shared" si="325"/>
        <v>15092.231318032496</v>
      </c>
      <c r="N5232" s="329">
        <f t="shared" si="326"/>
        <v>6032.4299194335945</v>
      </c>
      <c r="T5232" s="331">
        <v>0</v>
      </c>
      <c r="U5232" s="328">
        <f>VLOOKUP(C5232,METADATA!$J$5:$Q$29,IF(E5232="HI",2,IF(E5232="LO",6,10))+IF(T5232=1,2,IF(D5232=7,1,(IF(WEEKDAY(B5232)=1,2,IF(WEEKDAY(B5232)=7,1,0))))))</f>
        <v>1</v>
      </c>
      <c r="V5232" s="328">
        <f>VLOOKUP(C5232,METADATA!$A$5:$H$29,IF(E5232="HI",2,IF(E5232="LO",6,10))+IF(T5232=1,2,IF(D5232=7,1,(IF(WEEKDAY(B5232)=1,2,IF(WEEKDAY(B5232)=7,1,0))))))</f>
        <v>1</v>
      </c>
    </row>
    <row r="5233" spans="2:22">
      <c r="B5233" s="318">
        <f t="shared" si="327"/>
        <v>46330</v>
      </c>
      <c r="C5233" s="312">
        <v>21</v>
      </c>
      <c r="D5233" s="368">
        <f>IFERROR((INDEX(METADATA!$T$2:$T$20,MATCH(B5233,METADATA!$S$2:$S$20,0))),0)</f>
        <v>0</v>
      </c>
      <c r="E5233" s="312" t="str">
        <f t="shared" si="324"/>
        <v>LO</v>
      </c>
      <c r="F5233" s="369">
        <f>VLOOKUP(C5233,METADATA!$A$5:$H$29,IF(E5233="HI",2,IF(E5233="LO",6,10))+IF(D5233=1,2,IF(D5233=7,1,(IF(WEEKDAY(B5233)=1,2,IF(WEEKDAY(B5233)=7,1,0))))))</f>
        <v>2</v>
      </c>
      <c r="G5233" s="369">
        <f>VLOOKUP(C5233,METADATA!$J$5:$Q$29,IF(E5233="HI",2,IF(E5233="LO",6,10))+IF(D5233=1,2,IF(D5233=7,1,(IF(WEEKDAY(B5233)=1,2,IF(WEEKDAY(B5233)=7,1,0))))))</f>
        <v>2</v>
      </c>
      <c r="H5233" s="370">
        <v>12561.599792480469</v>
      </c>
      <c r="I5233" s="370">
        <v>10016.37255859375</v>
      </c>
      <c r="M5233" s="371">
        <f t="shared" si="325"/>
        <v>16066.160355822272</v>
      </c>
      <c r="N5233" s="329">
        <f t="shared" si="326"/>
        <v>6247.8926208496096</v>
      </c>
      <c r="T5233" s="331">
        <v>0</v>
      </c>
      <c r="U5233" s="328">
        <f>VLOOKUP(C5233,METADATA!$J$5:$Q$29,IF(E5233="HI",2,IF(E5233="LO",6,10))+IF(T5233=1,2,IF(D5233=7,1,(IF(WEEKDAY(B5233)=1,2,IF(WEEKDAY(B5233)=7,1,0))))))</f>
        <v>2</v>
      </c>
      <c r="V5233" s="328">
        <f>VLOOKUP(C5233,METADATA!$A$5:$H$29,IF(E5233="HI",2,IF(E5233="LO",6,10))+IF(T5233=1,2,IF(D5233=7,1,(IF(WEEKDAY(B5233)=1,2,IF(WEEKDAY(B5233)=7,1,0))))))</f>
        <v>2</v>
      </c>
    </row>
    <row r="5234" spans="2:22">
      <c r="B5234" s="318">
        <f t="shared" si="327"/>
        <v>46330</v>
      </c>
      <c r="C5234" s="312">
        <v>22</v>
      </c>
      <c r="D5234" s="368">
        <f>IFERROR((INDEX(METADATA!$T$2:$T$20,MATCH(B5234,METADATA!$S$2:$S$20,0))),0)</f>
        <v>0</v>
      </c>
      <c r="E5234" s="312" t="str">
        <f t="shared" si="324"/>
        <v>LO</v>
      </c>
      <c r="F5234" s="369">
        <f>VLOOKUP(C5234,METADATA!$A$5:$H$29,IF(E5234="HI",2,IF(E5234="LO",6,10))+IF(D5234=1,2,IF(D5234=7,1,(IF(WEEKDAY(B5234)=1,2,IF(WEEKDAY(B5234)=7,1,0))))))</f>
        <v>3</v>
      </c>
      <c r="G5234" s="369">
        <f>VLOOKUP(C5234,METADATA!$J$5:$Q$29,IF(E5234="HI",2,IF(E5234="LO",6,10))+IF(D5234=1,2,IF(D5234=7,1,(IF(WEEKDAY(B5234)=1,2,IF(WEEKDAY(B5234)=7,1,0))))))</f>
        <v>3</v>
      </c>
      <c r="H5234" s="370">
        <v>13215.724914550781</v>
      </c>
      <c r="I5234" s="370">
        <v>10563.774963378906</v>
      </c>
      <c r="M5234" s="371">
        <f t="shared" si="325"/>
        <v>16918.886680097756</v>
      </c>
      <c r="N5234" s="329">
        <f t="shared" si="326"/>
        <v>6599.0574890136722</v>
      </c>
      <c r="T5234" s="331">
        <v>0</v>
      </c>
      <c r="U5234" s="328">
        <f>VLOOKUP(C5234,METADATA!$J$5:$Q$29,IF(E5234="HI",2,IF(E5234="LO",6,10))+IF(T5234=1,2,IF(D5234=7,1,(IF(WEEKDAY(B5234)=1,2,IF(WEEKDAY(B5234)=7,1,0))))))</f>
        <v>3</v>
      </c>
      <c r="V5234" s="328">
        <f>VLOOKUP(C5234,METADATA!$A$5:$H$29,IF(E5234="HI",2,IF(E5234="LO",6,10))+IF(T5234=1,2,IF(D5234=7,1,(IF(WEEKDAY(B5234)=1,2,IF(WEEKDAY(B5234)=7,1,0))))))</f>
        <v>3</v>
      </c>
    </row>
    <row r="5235" spans="2:22">
      <c r="B5235" s="318">
        <f t="shared" si="327"/>
        <v>46330</v>
      </c>
      <c r="C5235" s="312">
        <v>23</v>
      </c>
      <c r="D5235" s="368">
        <f>IFERROR((INDEX(METADATA!$T$2:$T$20,MATCH(B5235,METADATA!$S$2:$S$20,0))),0)</f>
        <v>0</v>
      </c>
      <c r="E5235" s="312" t="str">
        <f t="shared" si="324"/>
        <v>LO</v>
      </c>
      <c r="F5235" s="369">
        <f>VLOOKUP(C5235,METADATA!$A$5:$H$29,IF(E5235="HI",2,IF(E5235="LO",6,10))+IF(D5235=1,2,IF(D5235=7,1,(IF(WEEKDAY(B5235)=1,2,IF(WEEKDAY(B5235)=7,1,0))))))</f>
        <v>3</v>
      </c>
      <c r="G5235" s="369">
        <f>VLOOKUP(C5235,METADATA!$J$5:$Q$29,IF(E5235="HI",2,IF(E5235="LO",6,10))+IF(D5235=1,2,IF(D5235=7,1,(IF(WEEKDAY(B5235)=1,2,IF(WEEKDAY(B5235)=7,1,0))))))</f>
        <v>3</v>
      </c>
      <c r="H5235" s="370">
        <v>13130.125244140625</v>
      </c>
      <c r="I5235" s="370">
        <v>10637.0751953125</v>
      </c>
      <c r="M5235" s="371">
        <f t="shared" si="325"/>
        <v>16898.15249184216</v>
      </c>
      <c r="N5235" s="329">
        <f t="shared" si="326"/>
        <v>6698.0376220703129</v>
      </c>
      <c r="T5235" s="331">
        <v>0</v>
      </c>
      <c r="U5235" s="328">
        <f>VLOOKUP(C5235,METADATA!$J$5:$Q$29,IF(E5235="HI",2,IF(E5235="LO",6,10))+IF(T5235=1,2,IF(D5235=7,1,(IF(WEEKDAY(B5235)=1,2,IF(WEEKDAY(B5235)=7,1,0))))))</f>
        <v>3</v>
      </c>
      <c r="V5235" s="328">
        <f>VLOOKUP(C5235,METADATA!$A$5:$H$29,IF(E5235="HI",2,IF(E5235="LO",6,10))+IF(T5235=1,2,IF(D5235=7,1,(IF(WEEKDAY(B5235)=1,2,IF(WEEKDAY(B5235)=7,1,0))))))</f>
        <v>3</v>
      </c>
    </row>
    <row r="5236" spans="2:22">
      <c r="B5236" s="318">
        <f t="shared" si="327"/>
        <v>46331</v>
      </c>
      <c r="C5236" s="312">
        <v>0</v>
      </c>
      <c r="D5236" s="368">
        <f>IFERROR((INDEX(METADATA!$T$2:$T$20,MATCH(B5236,METADATA!$S$2:$S$20,0))),0)</f>
        <v>0</v>
      </c>
      <c r="E5236" s="312" t="str">
        <f t="shared" si="324"/>
        <v>LO</v>
      </c>
      <c r="F5236" s="369">
        <f>VLOOKUP(C5236,METADATA!$A$5:$H$29,IF(E5236="HI",2,IF(E5236="LO",6,10))+IF(D5236=1,2,IF(D5236=7,1,(IF(WEEKDAY(B5236)=1,2,IF(WEEKDAY(B5236)=7,1,0))))))</f>
        <v>3</v>
      </c>
      <c r="G5236" s="369">
        <f>VLOOKUP(C5236,METADATA!$J$5:$Q$29,IF(E5236="HI",2,IF(E5236="LO",6,10))+IF(D5236=1,2,IF(D5236=7,1,(IF(WEEKDAY(B5236)=1,2,IF(WEEKDAY(B5236)=7,1,0))))))</f>
        <v>3</v>
      </c>
      <c r="H5236" s="370">
        <v>13055.675476074219</v>
      </c>
      <c r="I5236" s="370">
        <v>10561.100036621094</v>
      </c>
      <c r="M5236" s="371">
        <f t="shared" si="325"/>
        <v>16792.483322012973</v>
      </c>
      <c r="N5236" s="329">
        <f t="shared" si="326"/>
        <v>6644.3973937988285</v>
      </c>
      <c r="T5236" s="331">
        <v>0</v>
      </c>
      <c r="U5236" s="328">
        <f>VLOOKUP(C5236,METADATA!$J$5:$Q$29,IF(E5236="HI",2,IF(E5236="LO",6,10))+IF(T5236=1,2,IF(D5236=7,1,(IF(WEEKDAY(B5236)=1,2,IF(WEEKDAY(B5236)=7,1,0))))))</f>
        <v>3</v>
      </c>
      <c r="V5236" s="328">
        <f>VLOOKUP(C5236,METADATA!$A$5:$H$29,IF(E5236="HI",2,IF(E5236="LO",6,10))+IF(T5236=1,2,IF(D5236=7,1,(IF(WEEKDAY(B5236)=1,2,IF(WEEKDAY(B5236)=7,1,0))))))</f>
        <v>3</v>
      </c>
    </row>
    <row r="5237" spans="2:22">
      <c r="B5237" s="318">
        <f t="shared" si="327"/>
        <v>46331</v>
      </c>
      <c r="C5237" s="312">
        <v>1</v>
      </c>
      <c r="D5237" s="368">
        <f>IFERROR((INDEX(METADATA!$T$2:$T$20,MATCH(B5237,METADATA!$S$2:$S$20,0))),0)</f>
        <v>0</v>
      </c>
      <c r="E5237" s="312" t="str">
        <f t="shared" si="324"/>
        <v>LO</v>
      </c>
      <c r="F5237" s="369">
        <f>VLOOKUP(C5237,METADATA!$A$5:$H$29,IF(E5237="HI",2,IF(E5237="LO",6,10))+IF(D5237=1,2,IF(D5237=7,1,(IF(WEEKDAY(B5237)=1,2,IF(WEEKDAY(B5237)=7,1,0))))))</f>
        <v>3</v>
      </c>
      <c r="G5237" s="369">
        <f>VLOOKUP(C5237,METADATA!$J$5:$Q$29,IF(E5237="HI",2,IF(E5237="LO",6,10))+IF(D5237=1,2,IF(D5237=7,1,(IF(WEEKDAY(B5237)=1,2,IF(WEEKDAY(B5237)=7,1,0))))))</f>
        <v>3</v>
      </c>
      <c r="H5237" s="370">
        <v>13016.012268066406</v>
      </c>
      <c r="I5237" s="370">
        <v>10180.970092773438</v>
      </c>
      <c r="M5237" s="371">
        <f t="shared" si="325"/>
        <v>16524.791296485484</v>
      </c>
      <c r="N5237" s="329">
        <f t="shared" si="326"/>
        <v>6276.1664123535156</v>
      </c>
      <c r="T5237" s="331">
        <v>0</v>
      </c>
      <c r="U5237" s="328">
        <f>VLOOKUP(C5237,METADATA!$J$5:$Q$29,IF(E5237="HI",2,IF(E5237="LO",6,10))+IF(T5237=1,2,IF(D5237=7,1,(IF(WEEKDAY(B5237)=1,2,IF(WEEKDAY(B5237)=7,1,0))))))</f>
        <v>3</v>
      </c>
      <c r="V5237" s="328">
        <f>VLOOKUP(C5237,METADATA!$A$5:$H$29,IF(E5237="HI",2,IF(E5237="LO",6,10))+IF(T5237=1,2,IF(D5237=7,1,(IF(WEEKDAY(B5237)=1,2,IF(WEEKDAY(B5237)=7,1,0))))))</f>
        <v>3</v>
      </c>
    </row>
    <row r="5238" spans="2:22">
      <c r="B5238" s="318">
        <f t="shared" si="327"/>
        <v>46331</v>
      </c>
      <c r="C5238" s="312">
        <v>2</v>
      </c>
      <c r="D5238" s="368">
        <f>IFERROR((INDEX(METADATA!$T$2:$T$20,MATCH(B5238,METADATA!$S$2:$S$20,0))),0)</f>
        <v>0</v>
      </c>
      <c r="E5238" s="312" t="str">
        <f t="shared" si="324"/>
        <v>LO</v>
      </c>
      <c r="F5238" s="369">
        <f>VLOOKUP(C5238,METADATA!$A$5:$H$29,IF(E5238="HI",2,IF(E5238="LO",6,10))+IF(D5238=1,2,IF(D5238=7,1,(IF(WEEKDAY(B5238)=1,2,IF(WEEKDAY(B5238)=7,1,0))))))</f>
        <v>3</v>
      </c>
      <c r="G5238" s="369">
        <f>VLOOKUP(C5238,METADATA!$J$5:$Q$29,IF(E5238="HI",2,IF(E5238="LO",6,10))+IF(D5238=1,2,IF(D5238=7,1,(IF(WEEKDAY(B5238)=1,2,IF(WEEKDAY(B5238)=7,1,0))))))</f>
        <v>3</v>
      </c>
      <c r="H5238" s="370">
        <v>13123.125183105469</v>
      </c>
      <c r="I5238" s="370">
        <v>10242.850036621094</v>
      </c>
      <c r="M5238" s="371">
        <f t="shared" si="325"/>
        <v>16647.293817439688</v>
      </c>
      <c r="N5238" s="329">
        <f t="shared" si="326"/>
        <v>6305.9124816894528</v>
      </c>
      <c r="T5238" s="331">
        <v>0</v>
      </c>
      <c r="U5238" s="328">
        <f>VLOOKUP(C5238,METADATA!$J$5:$Q$29,IF(E5238="HI",2,IF(E5238="LO",6,10))+IF(T5238=1,2,IF(D5238=7,1,(IF(WEEKDAY(B5238)=1,2,IF(WEEKDAY(B5238)=7,1,0))))))</f>
        <v>3</v>
      </c>
      <c r="V5238" s="328">
        <f>VLOOKUP(C5238,METADATA!$A$5:$H$29,IF(E5238="HI",2,IF(E5238="LO",6,10))+IF(T5238=1,2,IF(D5238=7,1,(IF(WEEKDAY(B5238)=1,2,IF(WEEKDAY(B5238)=7,1,0))))))</f>
        <v>3</v>
      </c>
    </row>
    <row r="5239" spans="2:22">
      <c r="B5239" s="318">
        <f t="shared" si="327"/>
        <v>46331</v>
      </c>
      <c r="C5239" s="312">
        <v>3</v>
      </c>
      <c r="D5239" s="368">
        <f>IFERROR((INDEX(METADATA!$T$2:$T$20,MATCH(B5239,METADATA!$S$2:$S$20,0))),0)</f>
        <v>0</v>
      </c>
      <c r="E5239" s="312" t="str">
        <f t="shared" si="324"/>
        <v>LO</v>
      </c>
      <c r="F5239" s="369">
        <f>VLOOKUP(C5239,METADATA!$A$5:$H$29,IF(E5239="HI",2,IF(E5239="LO",6,10))+IF(D5239=1,2,IF(D5239=7,1,(IF(WEEKDAY(B5239)=1,2,IF(WEEKDAY(B5239)=7,1,0))))))</f>
        <v>3</v>
      </c>
      <c r="G5239" s="369">
        <f>VLOOKUP(C5239,METADATA!$J$5:$Q$29,IF(E5239="HI",2,IF(E5239="LO",6,10))+IF(D5239=1,2,IF(D5239=7,1,(IF(WEEKDAY(B5239)=1,2,IF(WEEKDAY(B5239)=7,1,0))))))</f>
        <v>3</v>
      </c>
      <c r="H5239" s="370">
        <v>13085.449768066406</v>
      </c>
      <c r="I5239" s="370">
        <v>10399.900024414063</v>
      </c>
      <c r="M5239" s="371">
        <f t="shared" si="325"/>
        <v>16714.871107800886</v>
      </c>
      <c r="N5239" s="329">
        <f t="shared" si="326"/>
        <v>6474.2650939941414</v>
      </c>
      <c r="T5239" s="331">
        <v>0</v>
      </c>
      <c r="U5239" s="328">
        <f>VLOOKUP(C5239,METADATA!$J$5:$Q$29,IF(E5239="HI",2,IF(E5239="LO",6,10))+IF(T5239=1,2,IF(D5239=7,1,(IF(WEEKDAY(B5239)=1,2,IF(WEEKDAY(B5239)=7,1,0))))))</f>
        <v>3</v>
      </c>
      <c r="V5239" s="328">
        <f>VLOOKUP(C5239,METADATA!$A$5:$H$29,IF(E5239="HI",2,IF(E5239="LO",6,10))+IF(T5239=1,2,IF(D5239=7,1,(IF(WEEKDAY(B5239)=1,2,IF(WEEKDAY(B5239)=7,1,0))))))</f>
        <v>3</v>
      </c>
    </row>
    <row r="5240" spans="2:22">
      <c r="B5240" s="318">
        <f t="shared" si="327"/>
        <v>46331</v>
      </c>
      <c r="C5240" s="312">
        <v>4</v>
      </c>
      <c r="D5240" s="368">
        <f>IFERROR((INDEX(METADATA!$T$2:$T$20,MATCH(B5240,METADATA!$S$2:$S$20,0))),0)</f>
        <v>0</v>
      </c>
      <c r="E5240" s="312" t="str">
        <f t="shared" si="324"/>
        <v>LO</v>
      </c>
      <c r="F5240" s="369">
        <f>VLOOKUP(C5240,METADATA!$A$5:$H$29,IF(E5240="HI",2,IF(E5240="LO",6,10))+IF(D5240=1,2,IF(D5240=7,1,(IF(WEEKDAY(B5240)=1,2,IF(WEEKDAY(B5240)=7,1,0))))))</f>
        <v>3</v>
      </c>
      <c r="G5240" s="369">
        <f>VLOOKUP(C5240,METADATA!$J$5:$Q$29,IF(E5240="HI",2,IF(E5240="LO",6,10))+IF(D5240=1,2,IF(D5240=7,1,(IF(WEEKDAY(B5240)=1,2,IF(WEEKDAY(B5240)=7,1,0))))))</f>
        <v>3</v>
      </c>
      <c r="H5240" s="370">
        <v>13044.25</v>
      </c>
      <c r="I5240" s="370">
        <v>10315.525024414063</v>
      </c>
      <c r="M5240" s="371">
        <f t="shared" si="325"/>
        <v>16630.168808277707</v>
      </c>
      <c r="N5240" s="329">
        <f t="shared" si="326"/>
        <v>6402.2500244140629</v>
      </c>
      <c r="T5240" s="331">
        <v>0</v>
      </c>
      <c r="U5240" s="328">
        <f>VLOOKUP(C5240,METADATA!$J$5:$Q$29,IF(E5240="HI",2,IF(E5240="LO",6,10))+IF(T5240=1,2,IF(D5240=7,1,(IF(WEEKDAY(B5240)=1,2,IF(WEEKDAY(B5240)=7,1,0))))))</f>
        <v>3</v>
      </c>
      <c r="V5240" s="328">
        <f>VLOOKUP(C5240,METADATA!$A$5:$H$29,IF(E5240="HI",2,IF(E5240="LO",6,10))+IF(T5240=1,2,IF(D5240=7,1,(IF(WEEKDAY(B5240)=1,2,IF(WEEKDAY(B5240)=7,1,0))))))</f>
        <v>3</v>
      </c>
    </row>
    <row r="5241" spans="2:22">
      <c r="B5241" s="318">
        <f t="shared" si="327"/>
        <v>46331</v>
      </c>
      <c r="C5241" s="312">
        <v>5</v>
      </c>
      <c r="D5241" s="368">
        <f>IFERROR((INDEX(METADATA!$T$2:$T$20,MATCH(B5241,METADATA!$S$2:$S$20,0))),0)</f>
        <v>0</v>
      </c>
      <c r="E5241" s="312" t="str">
        <f t="shared" si="324"/>
        <v>LO</v>
      </c>
      <c r="F5241" s="369">
        <f>VLOOKUP(C5241,METADATA!$A$5:$H$29,IF(E5241="HI",2,IF(E5241="LO",6,10))+IF(D5241=1,2,IF(D5241=7,1,(IF(WEEKDAY(B5241)=1,2,IF(WEEKDAY(B5241)=7,1,0))))))</f>
        <v>3</v>
      </c>
      <c r="G5241" s="369">
        <f>VLOOKUP(C5241,METADATA!$J$5:$Q$29,IF(E5241="HI",2,IF(E5241="LO",6,10))+IF(D5241=1,2,IF(D5241=7,1,(IF(WEEKDAY(B5241)=1,2,IF(WEEKDAY(B5241)=7,1,0))))))</f>
        <v>3</v>
      </c>
      <c r="H5241" s="370">
        <v>9959.499755859375</v>
      </c>
      <c r="I5241" s="370">
        <v>8573.2698364257813</v>
      </c>
      <c r="M5241" s="371">
        <f t="shared" si="325"/>
        <v>13141.255308193775</v>
      </c>
      <c r="N5241" s="329">
        <f t="shared" si="326"/>
        <v>5585.4199096679695</v>
      </c>
      <c r="T5241" s="331">
        <v>0</v>
      </c>
      <c r="U5241" s="328">
        <f>VLOOKUP(C5241,METADATA!$J$5:$Q$29,IF(E5241="HI",2,IF(E5241="LO",6,10))+IF(T5241=1,2,IF(D5241=7,1,(IF(WEEKDAY(B5241)=1,2,IF(WEEKDAY(B5241)=7,1,0))))))</f>
        <v>3</v>
      </c>
      <c r="V5241" s="328">
        <f>VLOOKUP(C5241,METADATA!$A$5:$H$29,IF(E5241="HI",2,IF(E5241="LO",6,10))+IF(T5241=1,2,IF(D5241=7,1,(IF(WEEKDAY(B5241)=1,2,IF(WEEKDAY(B5241)=7,1,0))))))</f>
        <v>3</v>
      </c>
    </row>
    <row r="5242" spans="2:22">
      <c r="B5242" s="318">
        <f t="shared" si="327"/>
        <v>46331</v>
      </c>
      <c r="C5242" s="312">
        <v>6</v>
      </c>
      <c r="D5242" s="368">
        <f>IFERROR((INDEX(METADATA!$T$2:$T$20,MATCH(B5242,METADATA!$S$2:$S$20,0))),0)</f>
        <v>0</v>
      </c>
      <c r="E5242" s="312" t="str">
        <f t="shared" si="324"/>
        <v>LO</v>
      </c>
      <c r="F5242" s="369">
        <f>VLOOKUP(C5242,METADATA!$A$5:$H$29,IF(E5242="HI",2,IF(E5242="LO",6,10))+IF(D5242=1,2,IF(D5242=7,1,(IF(WEEKDAY(B5242)=1,2,IF(WEEKDAY(B5242)=7,1,0))))))</f>
        <v>2</v>
      </c>
      <c r="G5242" s="369">
        <f>VLOOKUP(C5242,METADATA!$J$5:$Q$29,IF(E5242="HI",2,IF(E5242="LO",6,10))+IF(D5242=1,2,IF(D5242=7,1,(IF(WEEKDAY(B5242)=1,2,IF(WEEKDAY(B5242)=7,1,0))))))</f>
        <v>2</v>
      </c>
      <c r="H5242" s="370">
        <v>5637.5875549316406</v>
      </c>
      <c r="I5242" s="370">
        <v>5729.6374816894531</v>
      </c>
      <c r="M5242" s="371">
        <f t="shared" si="325"/>
        <v>8038.1054428951584</v>
      </c>
      <c r="N5242" s="329">
        <f t="shared" si="326"/>
        <v>4038.3612152099613</v>
      </c>
      <c r="T5242" s="331">
        <v>0</v>
      </c>
      <c r="U5242" s="328">
        <f>VLOOKUP(C5242,METADATA!$J$5:$Q$29,IF(E5242="HI",2,IF(E5242="LO",6,10))+IF(T5242=1,2,IF(D5242=7,1,(IF(WEEKDAY(B5242)=1,2,IF(WEEKDAY(B5242)=7,1,0))))))</f>
        <v>2</v>
      </c>
      <c r="V5242" s="328">
        <f>VLOOKUP(C5242,METADATA!$A$5:$H$29,IF(E5242="HI",2,IF(E5242="LO",6,10))+IF(T5242=1,2,IF(D5242=7,1,(IF(WEEKDAY(B5242)=1,2,IF(WEEKDAY(B5242)=7,1,0))))))</f>
        <v>2</v>
      </c>
    </row>
    <row r="5243" spans="2:22">
      <c r="B5243" s="318">
        <f t="shared" si="327"/>
        <v>46331</v>
      </c>
      <c r="C5243" s="312">
        <v>7</v>
      </c>
      <c r="D5243" s="368">
        <f>IFERROR((INDEX(METADATA!$T$2:$T$20,MATCH(B5243,METADATA!$S$2:$S$20,0))),0)</f>
        <v>0</v>
      </c>
      <c r="E5243" s="312" t="str">
        <f t="shared" si="324"/>
        <v>LO</v>
      </c>
      <c r="F5243" s="369">
        <f>VLOOKUP(C5243,METADATA!$A$5:$H$29,IF(E5243="HI",2,IF(E5243="LO",6,10))+IF(D5243=1,2,IF(D5243=7,1,(IF(WEEKDAY(B5243)=1,2,IF(WEEKDAY(B5243)=7,1,0))))))</f>
        <v>1</v>
      </c>
      <c r="G5243" s="369">
        <f>VLOOKUP(C5243,METADATA!$J$5:$Q$29,IF(E5243="HI",2,IF(E5243="LO",6,10))+IF(D5243=1,2,IF(D5243=7,1,(IF(WEEKDAY(B5243)=1,2,IF(WEEKDAY(B5243)=7,1,0))))))</f>
        <v>1</v>
      </c>
      <c r="H5243" s="370">
        <v>5925.3924865722656</v>
      </c>
      <c r="I5243" s="370">
        <v>5843.9202575683594</v>
      </c>
      <c r="M5243" s="371">
        <f t="shared" si="325"/>
        <v>8322.3602479551973</v>
      </c>
      <c r="N5243" s="329">
        <f t="shared" si="326"/>
        <v>4066.3025115966798</v>
      </c>
      <c r="T5243" s="331">
        <v>0</v>
      </c>
      <c r="U5243" s="328">
        <f>VLOOKUP(C5243,METADATA!$J$5:$Q$29,IF(E5243="HI",2,IF(E5243="LO",6,10))+IF(T5243=1,2,IF(D5243=7,1,(IF(WEEKDAY(B5243)=1,2,IF(WEEKDAY(B5243)=7,1,0))))))</f>
        <v>1</v>
      </c>
      <c r="V5243" s="328">
        <f>VLOOKUP(C5243,METADATA!$A$5:$H$29,IF(E5243="HI",2,IF(E5243="LO",6,10))+IF(T5243=1,2,IF(D5243=7,1,(IF(WEEKDAY(B5243)=1,2,IF(WEEKDAY(B5243)=7,1,0))))))</f>
        <v>1</v>
      </c>
    </row>
    <row r="5244" spans="2:22">
      <c r="B5244" s="318">
        <f t="shared" si="327"/>
        <v>46331</v>
      </c>
      <c r="C5244" s="312">
        <v>8</v>
      </c>
      <c r="D5244" s="368">
        <f>IFERROR((INDEX(METADATA!$T$2:$T$20,MATCH(B5244,METADATA!$S$2:$S$20,0))),0)</f>
        <v>0</v>
      </c>
      <c r="E5244" s="312" t="str">
        <f t="shared" si="324"/>
        <v>LO</v>
      </c>
      <c r="F5244" s="369">
        <f>VLOOKUP(C5244,METADATA!$A$5:$H$29,IF(E5244="HI",2,IF(E5244="LO",6,10))+IF(D5244=1,2,IF(D5244=7,1,(IF(WEEKDAY(B5244)=1,2,IF(WEEKDAY(B5244)=7,1,0))))))</f>
        <v>1</v>
      </c>
      <c r="G5244" s="369">
        <f>VLOOKUP(C5244,METADATA!$J$5:$Q$29,IF(E5244="HI",2,IF(E5244="LO",6,10))+IF(D5244=1,2,IF(D5244=7,1,(IF(WEEKDAY(B5244)=1,2,IF(WEEKDAY(B5244)=7,1,0))))))</f>
        <v>1</v>
      </c>
      <c r="H5244" s="370">
        <v>10339.974884033203</v>
      </c>
      <c r="I5244" s="370">
        <v>8521.1274719238281</v>
      </c>
      <c r="M5244" s="371">
        <f t="shared" si="325"/>
        <v>13398.682546997388</v>
      </c>
      <c r="N5244" s="329">
        <f t="shared" si="326"/>
        <v>5419.1350067138674</v>
      </c>
      <c r="T5244" s="331">
        <v>0</v>
      </c>
      <c r="U5244" s="328">
        <f>VLOOKUP(C5244,METADATA!$J$5:$Q$29,IF(E5244="HI",2,IF(E5244="LO",6,10))+IF(T5244=1,2,IF(D5244=7,1,(IF(WEEKDAY(B5244)=1,2,IF(WEEKDAY(B5244)=7,1,0))))))</f>
        <v>1</v>
      </c>
      <c r="V5244" s="328">
        <f>VLOOKUP(C5244,METADATA!$A$5:$H$29,IF(E5244="HI",2,IF(E5244="LO",6,10))+IF(T5244=1,2,IF(D5244=7,1,(IF(WEEKDAY(B5244)=1,2,IF(WEEKDAY(B5244)=7,1,0))))))</f>
        <v>1</v>
      </c>
    </row>
    <row r="5245" spans="2:22">
      <c r="B5245" s="318">
        <f t="shared" si="327"/>
        <v>46331</v>
      </c>
      <c r="C5245" s="312">
        <v>9</v>
      </c>
      <c r="D5245" s="368">
        <f>IFERROR((INDEX(METADATA!$T$2:$T$20,MATCH(B5245,METADATA!$S$2:$S$20,0))),0)</f>
        <v>0</v>
      </c>
      <c r="E5245" s="312" t="str">
        <f t="shared" si="324"/>
        <v>LO</v>
      </c>
      <c r="F5245" s="369">
        <f>VLOOKUP(C5245,METADATA!$A$5:$H$29,IF(E5245="HI",2,IF(E5245="LO",6,10))+IF(D5245=1,2,IF(D5245=7,1,(IF(WEEKDAY(B5245)=1,2,IF(WEEKDAY(B5245)=7,1,0))))))</f>
        <v>2</v>
      </c>
      <c r="G5245" s="369">
        <f>VLOOKUP(C5245,METADATA!$J$5:$Q$29,IF(E5245="HI",2,IF(E5245="LO",6,10))+IF(D5245=1,2,IF(D5245=7,1,(IF(WEEKDAY(B5245)=1,2,IF(WEEKDAY(B5245)=7,1,0))))))</f>
        <v>2</v>
      </c>
      <c r="H5245" s="370">
        <v>11901.824829101563</v>
      </c>
      <c r="I5245" s="370">
        <v>9547.7849731445313</v>
      </c>
      <c r="M5245" s="371">
        <f t="shared" si="325"/>
        <v>15258.231619556145</v>
      </c>
      <c r="N5245" s="329">
        <f t="shared" si="326"/>
        <v>5977.2375244140621</v>
      </c>
      <c r="T5245" s="331">
        <v>0</v>
      </c>
      <c r="U5245" s="328">
        <f>VLOOKUP(C5245,METADATA!$J$5:$Q$29,IF(E5245="HI",2,IF(E5245="LO",6,10))+IF(T5245=1,2,IF(D5245=7,1,(IF(WEEKDAY(B5245)=1,2,IF(WEEKDAY(B5245)=7,1,0))))))</f>
        <v>2</v>
      </c>
      <c r="V5245" s="328">
        <f>VLOOKUP(C5245,METADATA!$A$5:$H$29,IF(E5245="HI",2,IF(E5245="LO",6,10))+IF(T5245=1,2,IF(D5245=7,1,(IF(WEEKDAY(B5245)=1,2,IF(WEEKDAY(B5245)=7,1,0))))))</f>
        <v>2</v>
      </c>
    </row>
    <row r="5246" spans="2:22">
      <c r="B5246" s="318">
        <f t="shared" si="327"/>
        <v>46331</v>
      </c>
      <c r="C5246" s="312">
        <v>10</v>
      </c>
      <c r="D5246" s="368">
        <f>IFERROR((INDEX(METADATA!$T$2:$T$20,MATCH(B5246,METADATA!$S$2:$S$20,0))),0)</f>
        <v>0</v>
      </c>
      <c r="E5246" s="312" t="str">
        <f t="shared" si="324"/>
        <v>LO</v>
      </c>
      <c r="F5246" s="369">
        <f>VLOOKUP(C5246,METADATA!$A$5:$H$29,IF(E5246="HI",2,IF(E5246="LO",6,10))+IF(D5246=1,2,IF(D5246=7,1,(IF(WEEKDAY(B5246)=1,2,IF(WEEKDAY(B5246)=7,1,0))))))</f>
        <v>2</v>
      </c>
      <c r="G5246" s="369">
        <f>VLOOKUP(C5246,METADATA!$J$5:$Q$29,IF(E5246="HI",2,IF(E5246="LO",6,10))+IF(D5246=1,2,IF(D5246=7,1,(IF(WEEKDAY(B5246)=1,2,IF(WEEKDAY(B5246)=7,1,0))))))</f>
        <v>2</v>
      </c>
      <c r="H5246" s="370">
        <v>13240.750122070313</v>
      </c>
      <c r="I5246" s="370">
        <v>10172.950012207031</v>
      </c>
      <c r="M5246" s="371">
        <f t="shared" si="325"/>
        <v>16697.49609210818</v>
      </c>
      <c r="N5246" s="329">
        <f t="shared" si="326"/>
        <v>6200.7249755859375</v>
      </c>
      <c r="T5246" s="331">
        <v>0</v>
      </c>
      <c r="U5246" s="328">
        <f>VLOOKUP(C5246,METADATA!$J$5:$Q$29,IF(E5246="HI",2,IF(E5246="LO",6,10))+IF(T5246=1,2,IF(D5246=7,1,(IF(WEEKDAY(B5246)=1,2,IF(WEEKDAY(B5246)=7,1,0))))))</f>
        <v>2</v>
      </c>
      <c r="V5246" s="328">
        <f>VLOOKUP(C5246,METADATA!$A$5:$H$29,IF(E5246="HI",2,IF(E5246="LO",6,10))+IF(T5246=1,2,IF(D5246=7,1,(IF(WEEKDAY(B5246)=1,2,IF(WEEKDAY(B5246)=7,1,0))))))</f>
        <v>2</v>
      </c>
    </row>
    <row r="5247" spans="2:22">
      <c r="B5247" s="318">
        <f t="shared" si="327"/>
        <v>46331</v>
      </c>
      <c r="C5247" s="312">
        <v>11</v>
      </c>
      <c r="D5247" s="368">
        <f>IFERROR((INDEX(METADATA!$T$2:$T$20,MATCH(B5247,METADATA!$S$2:$S$20,0))),0)</f>
        <v>0</v>
      </c>
      <c r="E5247" s="312" t="str">
        <f t="shared" si="324"/>
        <v>LO</v>
      </c>
      <c r="F5247" s="369">
        <f>VLOOKUP(C5247,METADATA!$A$5:$H$29,IF(E5247="HI",2,IF(E5247="LO",6,10))+IF(D5247=1,2,IF(D5247=7,1,(IF(WEEKDAY(B5247)=1,2,IF(WEEKDAY(B5247)=7,1,0))))))</f>
        <v>2</v>
      </c>
      <c r="G5247" s="369">
        <f>VLOOKUP(C5247,METADATA!$J$5:$Q$29,IF(E5247="HI",2,IF(E5247="LO",6,10))+IF(D5247=1,2,IF(D5247=7,1,(IF(WEEKDAY(B5247)=1,2,IF(WEEKDAY(B5247)=7,1,0))))))</f>
        <v>2</v>
      </c>
      <c r="H5247" s="370">
        <v>13377.499755859375</v>
      </c>
      <c r="I5247" s="370">
        <v>10319.825012207031</v>
      </c>
      <c r="M5247" s="371">
        <f t="shared" si="325"/>
        <v>16895.451695666248</v>
      </c>
      <c r="N5247" s="329">
        <f t="shared" si="326"/>
        <v>6306.5750854492189</v>
      </c>
      <c r="T5247" s="331">
        <v>0</v>
      </c>
      <c r="U5247" s="328">
        <f>VLOOKUP(C5247,METADATA!$J$5:$Q$29,IF(E5247="HI",2,IF(E5247="LO",6,10))+IF(T5247=1,2,IF(D5247=7,1,(IF(WEEKDAY(B5247)=1,2,IF(WEEKDAY(B5247)=7,1,0))))))</f>
        <v>2</v>
      </c>
      <c r="V5247" s="328">
        <f>VLOOKUP(C5247,METADATA!$A$5:$H$29,IF(E5247="HI",2,IF(E5247="LO",6,10))+IF(T5247=1,2,IF(D5247=7,1,(IF(WEEKDAY(B5247)=1,2,IF(WEEKDAY(B5247)=7,1,0))))))</f>
        <v>2</v>
      </c>
    </row>
    <row r="5248" spans="2:22">
      <c r="B5248" s="318">
        <f t="shared" si="327"/>
        <v>46331</v>
      </c>
      <c r="C5248" s="312">
        <v>12</v>
      </c>
      <c r="D5248" s="368">
        <f>IFERROR((INDEX(METADATA!$T$2:$T$20,MATCH(B5248,METADATA!$S$2:$S$20,0))),0)</f>
        <v>0</v>
      </c>
      <c r="E5248" s="312" t="str">
        <f t="shared" si="324"/>
        <v>LO</v>
      </c>
      <c r="F5248" s="369">
        <f>VLOOKUP(C5248,METADATA!$A$5:$H$29,IF(E5248="HI",2,IF(E5248="LO",6,10))+IF(D5248=1,2,IF(D5248=7,1,(IF(WEEKDAY(B5248)=1,2,IF(WEEKDAY(B5248)=7,1,0))))))</f>
        <v>2</v>
      </c>
      <c r="G5248" s="369">
        <f>VLOOKUP(C5248,METADATA!$J$5:$Q$29,IF(E5248="HI",2,IF(E5248="LO",6,10))+IF(D5248=1,2,IF(D5248=7,1,(IF(WEEKDAY(B5248)=1,2,IF(WEEKDAY(B5248)=7,1,0))))))</f>
        <v>2</v>
      </c>
      <c r="H5248" s="370">
        <v>12435.824890136719</v>
      </c>
      <c r="I5248" s="370">
        <v>9751.199951171875</v>
      </c>
      <c r="M5248" s="371">
        <f t="shared" si="325"/>
        <v>15803.026329974848</v>
      </c>
      <c r="N5248" s="329">
        <f t="shared" si="326"/>
        <v>6020.4524841308594</v>
      </c>
      <c r="T5248" s="331">
        <v>0</v>
      </c>
      <c r="U5248" s="328">
        <f>VLOOKUP(C5248,METADATA!$J$5:$Q$29,IF(E5248="HI",2,IF(E5248="LO",6,10))+IF(T5248=1,2,IF(D5248=7,1,(IF(WEEKDAY(B5248)=1,2,IF(WEEKDAY(B5248)=7,1,0))))))</f>
        <v>2</v>
      </c>
      <c r="V5248" s="328">
        <f>VLOOKUP(C5248,METADATA!$A$5:$H$29,IF(E5248="HI",2,IF(E5248="LO",6,10))+IF(T5248=1,2,IF(D5248=7,1,(IF(WEEKDAY(B5248)=1,2,IF(WEEKDAY(B5248)=7,1,0))))))</f>
        <v>2</v>
      </c>
    </row>
    <row r="5249" spans="2:22">
      <c r="B5249" s="318">
        <f t="shared" si="327"/>
        <v>46331</v>
      </c>
      <c r="C5249" s="312">
        <v>13</v>
      </c>
      <c r="D5249" s="368">
        <f>IFERROR((INDEX(METADATA!$T$2:$T$20,MATCH(B5249,METADATA!$S$2:$S$20,0))),0)</f>
        <v>0</v>
      </c>
      <c r="E5249" s="312" t="str">
        <f t="shared" si="324"/>
        <v>LO</v>
      </c>
      <c r="F5249" s="369">
        <f>VLOOKUP(C5249,METADATA!$A$5:$H$29,IF(E5249="HI",2,IF(E5249="LO",6,10))+IF(D5249=1,2,IF(D5249=7,1,(IF(WEEKDAY(B5249)=1,2,IF(WEEKDAY(B5249)=7,1,0))))))</f>
        <v>2</v>
      </c>
      <c r="G5249" s="369">
        <f>VLOOKUP(C5249,METADATA!$J$5:$Q$29,IF(E5249="HI",2,IF(E5249="LO",6,10))+IF(D5249=1,2,IF(D5249=7,1,(IF(WEEKDAY(B5249)=1,2,IF(WEEKDAY(B5249)=7,1,0))))))</f>
        <v>2</v>
      </c>
      <c r="H5249" s="370">
        <v>11908.274963378906</v>
      </c>
      <c r="I5249" s="370">
        <v>9368.9249267578125</v>
      </c>
      <c r="M5249" s="371">
        <f t="shared" si="325"/>
        <v>15152.021874544029</v>
      </c>
      <c r="N5249" s="329">
        <f t="shared" si="326"/>
        <v>5796.442437744141</v>
      </c>
      <c r="T5249" s="331">
        <v>0</v>
      </c>
      <c r="U5249" s="328">
        <f>VLOOKUP(C5249,METADATA!$J$5:$Q$29,IF(E5249="HI",2,IF(E5249="LO",6,10))+IF(T5249=1,2,IF(D5249=7,1,(IF(WEEKDAY(B5249)=1,2,IF(WEEKDAY(B5249)=7,1,0))))))</f>
        <v>2</v>
      </c>
      <c r="V5249" s="328">
        <f>VLOOKUP(C5249,METADATA!$A$5:$H$29,IF(E5249="HI",2,IF(E5249="LO",6,10))+IF(T5249=1,2,IF(D5249=7,1,(IF(WEEKDAY(B5249)=1,2,IF(WEEKDAY(B5249)=7,1,0))))))</f>
        <v>2</v>
      </c>
    </row>
    <row r="5250" spans="2:22">
      <c r="B5250" s="318">
        <f t="shared" si="327"/>
        <v>46331</v>
      </c>
      <c r="C5250" s="312">
        <v>14</v>
      </c>
      <c r="D5250" s="368">
        <f>IFERROR((INDEX(METADATA!$T$2:$T$20,MATCH(B5250,METADATA!$S$2:$S$20,0))),0)</f>
        <v>0</v>
      </c>
      <c r="E5250" s="312" t="str">
        <f t="shared" si="324"/>
        <v>LO</v>
      </c>
      <c r="F5250" s="369">
        <f>VLOOKUP(C5250,METADATA!$A$5:$H$29,IF(E5250="HI",2,IF(E5250="LO",6,10))+IF(D5250=1,2,IF(D5250=7,1,(IF(WEEKDAY(B5250)=1,2,IF(WEEKDAY(B5250)=7,1,0))))))</f>
        <v>2</v>
      </c>
      <c r="G5250" s="369">
        <f>VLOOKUP(C5250,METADATA!$J$5:$Q$29,IF(E5250="HI",2,IF(E5250="LO",6,10))+IF(D5250=1,2,IF(D5250=7,1,(IF(WEEKDAY(B5250)=1,2,IF(WEEKDAY(B5250)=7,1,0))))))</f>
        <v>2</v>
      </c>
      <c r="H5250" s="370">
        <v>10669.375183105469</v>
      </c>
      <c r="I5250" s="370">
        <v>8416.169921875</v>
      </c>
      <c r="M5250" s="371">
        <f t="shared" si="325"/>
        <v>13589.241441366044</v>
      </c>
      <c r="N5250" s="329">
        <f t="shared" si="326"/>
        <v>5215.357366943359</v>
      </c>
      <c r="T5250" s="331">
        <v>0</v>
      </c>
      <c r="U5250" s="328">
        <f>VLOOKUP(C5250,METADATA!$J$5:$Q$29,IF(E5250="HI",2,IF(E5250="LO",6,10))+IF(T5250=1,2,IF(D5250=7,1,(IF(WEEKDAY(B5250)=1,2,IF(WEEKDAY(B5250)=7,1,0))))))</f>
        <v>2</v>
      </c>
      <c r="V5250" s="328">
        <f>VLOOKUP(C5250,METADATA!$A$5:$H$29,IF(E5250="HI",2,IF(E5250="LO",6,10))+IF(T5250=1,2,IF(D5250=7,1,(IF(WEEKDAY(B5250)=1,2,IF(WEEKDAY(B5250)=7,1,0))))))</f>
        <v>2</v>
      </c>
    </row>
    <row r="5251" spans="2:22">
      <c r="B5251" s="318">
        <f t="shared" si="327"/>
        <v>46331</v>
      </c>
      <c r="C5251" s="312">
        <v>15</v>
      </c>
      <c r="D5251" s="368">
        <f>IFERROR((INDEX(METADATA!$T$2:$T$20,MATCH(B5251,METADATA!$S$2:$S$20,0))),0)</f>
        <v>0</v>
      </c>
      <c r="E5251" s="312" t="str">
        <f t="shared" si="324"/>
        <v>LO</v>
      </c>
      <c r="F5251" s="369">
        <f>VLOOKUP(C5251,METADATA!$A$5:$H$29,IF(E5251="HI",2,IF(E5251="LO",6,10))+IF(D5251=1,2,IF(D5251=7,1,(IF(WEEKDAY(B5251)=1,2,IF(WEEKDAY(B5251)=7,1,0))))))</f>
        <v>2</v>
      </c>
      <c r="G5251" s="369">
        <f>VLOOKUP(C5251,METADATA!$J$5:$Q$29,IF(E5251="HI",2,IF(E5251="LO",6,10))+IF(D5251=1,2,IF(D5251=7,1,(IF(WEEKDAY(B5251)=1,2,IF(WEEKDAY(B5251)=7,1,0))))))</f>
        <v>2</v>
      </c>
      <c r="H5251" s="370">
        <v>10610.374938964844</v>
      </c>
      <c r="I5251" s="370">
        <v>8462.027587890625</v>
      </c>
      <c r="M5251" s="371">
        <f t="shared" si="325"/>
        <v>13571.513078637739</v>
      </c>
      <c r="N5251" s="329">
        <f t="shared" si="326"/>
        <v>5278.9151062011715</v>
      </c>
      <c r="T5251" s="331">
        <v>0</v>
      </c>
      <c r="U5251" s="328">
        <f>VLOOKUP(C5251,METADATA!$J$5:$Q$29,IF(E5251="HI",2,IF(E5251="LO",6,10))+IF(T5251=1,2,IF(D5251=7,1,(IF(WEEKDAY(B5251)=1,2,IF(WEEKDAY(B5251)=7,1,0))))))</f>
        <v>2</v>
      </c>
      <c r="V5251" s="328">
        <f>VLOOKUP(C5251,METADATA!$A$5:$H$29,IF(E5251="HI",2,IF(E5251="LO",6,10))+IF(T5251=1,2,IF(D5251=7,1,(IF(WEEKDAY(B5251)=1,2,IF(WEEKDAY(B5251)=7,1,0))))))</f>
        <v>2</v>
      </c>
    </row>
    <row r="5252" spans="2:22">
      <c r="B5252" s="318">
        <f t="shared" si="327"/>
        <v>46331</v>
      </c>
      <c r="C5252" s="312">
        <v>16</v>
      </c>
      <c r="D5252" s="368">
        <f>IFERROR((INDEX(METADATA!$T$2:$T$20,MATCH(B5252,METADATA!$S$2:$S$20,0))),0)</f>
        <v>0</v>
      </c>
      <c r="E5252" s="312" t="str">
        <f t="shared" ref="E5252:E5315" si="328">IF(B5252="","",IF(AND(MONTH(B5252)&gt;=MONTH($Z$9),MONTH(B5252)&lt;=MONTH($Z$11)),"HI","LO"))</f>
        <v>LO</v>
      </c>
      <c r="F5252" s="369">
        <f>VLOOKUP(C5252,METADATA!$A$5:$H$29,IF(E5252="HI",2,IF(E5252="LO",6,10))+IF(D5252=1,2,IF(D5252=7,1,(IF(WEEKDAY(B5252)=1,2,IF(WEEKDAY(B5252)=7,1,0))))))</f>
        <v>2</v>
      </c>
      <c r="G5252" s="369">
        <f>VLOOKUP(C5252,METADATA!$J$5:$Q$29,IF(E5252="HI",2,IF(E5252="LO",6,10))+IF(D5252=1,2,IF(D5252=7,1,(IF(WEEKDAY(B5252)=1,2,IF(WEEKDAY(B5252)=7,1,0))))))</f>
        <v>2</v>
      </c>
      <c r="H5252" s="370">
        <v>11850.700134277344</v>
      </c>
      <c r="I5252" s="370">
        <v>9118.97509765625</v>
      </c>
      <c r="M5252" s="371">
        <f t="shared" ref="M5252:M5315" si="329">SQRT(H5252^2+I5252^2)</f>
        <v>14953.086654742419</v>
      </c>
      <c r="N5252" s="329">
        <f t="shared" ref="N5252:N5315" si="330">IF(H5252=0,0,(IF(I5252-(0.3*H5252)&lt;0,0,(I5252-(0.3*H5252)))))</f>
        <v>5563.7650573730471</v>
      </c>
      <c r="T5252" s="331">
        <v>0</v>
      </c>
      <c r="U5252" s="328">
        <f>VLOOKUP(C5252,METADATA!$J$5:$Q$29,IF(E5252="HI",2,IF(E5252="LO",6,10))+IF(T5252=1,2,IF(D5252=7,1,(IF(WEEKDAY(B5252)=1,2,IF(WEEKDAY(B5252)=7,1,0))))))</f>
        <v>2</v>
      </c>
      <c r="V5252" s="328">
        <f>VLOOKUP(C5252,METADATA!$A$5:$H$29,IF(E5252="HI",2,IF(E5252="LO",6,10))+IF(T5252=1,2,IF(D5252=7,1,(IF(WEEKDAY(B5252)=1,2,IF(WEEKDAY(B5252)=7,1,0))))))</f>
        <v>2</v>
      </c>
    </row>
    <row r="5253" spans="2:22">
      <c r="B5253" s="318">
        <f t="shared" si="327"/>
        <v>46331</v>
      </c>
      <c r="C5253" s="312">
        <v>17</v>
      </c>
      <c r="D5253" s="368">
        <f>IFERROR((INDEX(METADATA!$T$2:$T$20,MATCH(B5253,METADATA!$S$2:$S$20,0))),0)</f>
        <v>0</v>
      </c>
      <c r="E5253" s="312" t="str">
        <f t="shared" si="328"/>
        <v>LO</v>
      </c>
      <c r="F5253" s="369">
        <f>VLOOKUP(C5253,METADATA!$A$5:$H$29,IF(E5253="HI",2,IF(E5253="LO",6,10))+IF(D5253=1,2,IF(D5253=7,1,(IF(WEEKDAY(B5253)=1,2,IF(WEEKDAY(B5253)=7,1,0))))))</f>
        <v>2</v>
      </c>
      <c r="G5253" s="369">
        <f>VLOOKUP(C5253,METADATA!$J$5:$Q$29,IF(E5253="HI",2,IF(E5253="LO",6,10))+IF(D5253=1,2,IF(D5253=7,1,(IF(WEEKDAY(B5253)=1,2,IF(WEEKDAY(B5253)=7,1,0))))))</f>
        <v>2</v>
      </c>
      <c r="H5253" s="370">
        <v>12039.049926757813</v>
      </c>
      <c r="I5253" s="370">
        <v>9286.9500122070313</v>
      </c>
      <c r="M5253" s="371">
        <f t="shared" si="329"/>
        <v>15204.807255213709</v>
      </c>
      <c r="N5253" s="329">
        <f t="shared" si="330"/>
        <v>5675.2350341796882</v>
      </c>
      <c r="T5253" s="331">
        <v>0</v>
      </c>
      <c r="U5253" s="328">
        <f>VLOOKUP(C5253,METADATA!$J$5:$Q$29,IF(E5253="HI",2,IF(E5253="LO",6,10))+IF(T5253=1,2,IF(D5253=7,1,(IF(WEEKDAY(B5253)=1,2,IF(WEEKDAY(B5253)=7,1,0))))))</f>
        <v>2</v>
      </c>
      <c r="V5253" s="328">
        <f>VLOOKUP(C5253,METADATA!$A$5:$H$29,IF(E5253="HI",2,IF(E5253="LO",6,10))+IF(T5253=1,2,IF(D5253=7,1,(IF(WEEKDAY(B5253)=1,2,IF(WEEKDAY(B5253)=7,1,0))))))</f>
        <v>2</v>
      </c>
    </row>
    <row r="5254" spans="2:22">
      <c r="B5254" s="318">
        <f t="shared" si="327"/>
        <v>46331</v>
      </c>
      <c r="C5254" s="312">
        <v>18</v>
      </c>
      <c r="D5254" s="368">
        <f>IFERROR((INDEX(METADATA!$T$2:$T$20,MATCH(B5254,METADATA!$S$2:$S$20,0))),0)</f>
        <v>0</v>
      </c>
      <c r="E5254" s="312" t="str">
        <f t="shared" si="328"/>
        <v>LO</v>
      </c>
      <c r="F5254" s="369">
        <f>VLOOKUP(C5254,METADATA!$A$5:$H$29,IF(E5254="HI",2,IF(E5254="LO",6,10))+IF(D5254=1,2,IF(D5254=7,1,(IF(WEEKDAY(B5254)=1,2,IF(WEEKDAY(B5254)=7,1,0))))))</f>
        <v>1</v>
      </c>
      <c r="G5254" s="369">
        <f>VLOOKUP(C5254,METADATA!$J$5:$Q$29,IF(E5254="HI",2,IF(E5254="LO",6,10))+IF(D5254=1,2,IF(D5254=7,1,(IF(WEEKDAY(B5254)=1,2,IF(WEEKDAY(B5254)=7,1,0))))))</f>
        <v>1</v>
      </c>
      <c r="H5254" s="370">
        <v>11846.250122070313</v>
      </c>
      <c r="I5254" s="370">
        <v>9346.8748779296875</v>
      </c>
      <c r="M5254" s="371">
        <f t="shared" si="329"/>
        <v>15089.655792572737</v>
      </c>
      <c r="N5254" s="329">
        <f t="shared" si="330"/>
        <v>5792.9998413085941</v>
      </c>
      <c r="T5254" s="331">
        <v>0</v>
      </c>
      <c r="U5254" s="328">
        <f>VLOOKUP(C5254,METADATA!$J$5:$Q$29,IF(E5254="HI",2,IF(E5254="LO",6,10))+IF(T5254=1,2,IF(D5254=7,1,(IF(WEEKDAY(B5254)=1,2,IF(WEEKDAY(B5254)=7,1,0))))))</f>
        <v>1</v>
      </c>
      <c r="V5254" s="328">
        <f>VLOOKUP(C5254,METADATA!$A$5:$H$29,IF(E5254="HI",2,IF(E5254="LO",6,10))+IF(T5254=1,2,IF(D5254=7,1,(IF(WEEKDAY(B5254)=1,2,IF(WEEKDAY(B5254)=7,1,0))))))</f>
        <v>1</v>
      </c>
    </row>
    <row r="5255" spans="2:22">
      <c r="B5255" s="318">
        <f t="shared" si="327"/>
        <v>46331</v>
      </c>
      <c r="C5255" s="312">
        <v>19</v>
      </c>
      <c r="D5255" s="368">
        <f>IFERROR((INDEX(METADATA!$T$2:$T$20,MATCH(B5255,METADATA!$S$2:$S$20,0))),0)</f>
        <v>0</v>
      </c>
      <c r="E5255" s="312" t="str">
        <f t="shared" si="328"/>
        <v>LO</v>
      </c>
      <c r="F5255" s="369">
        <f>VLOOKUP(C5255,METADATA!$A$5:$H$29,IF(E5255="HI",2,IF(E5255="LO",6,10))+IF(D5255=1,2,IF(D5255=7,1,(IF(WEEKDAY(B5255)=1,2,IF(WEEKDAY(B5255)=7,1,0))))))</f>
        <v>1</v>
      </c>
      <c r="G5255" s="369">
        <f>VLOOKUP(C5255,METADATA!$J$5:$Q$29,IF(E5255="HI",2,IF(E5255="LO",6,10))+IF(D5255=1,2,IF(D5255=7,1,(IF(WEEKDAY(B5255)=1,2,IF(WEEKDAY(B5255)=7,1,0))))))</f>
        <v>1</v>
      </c>
      <c r="H5255" s="370">
        <v>11901.774963378906</v>
      </c>
      <c r="I5255" s="370">
        <v>9234.349853515625</v>
      </c>
      <c r="M5255" s="371">
        <f t="shared" si="329"/>
        <v>15064.045422662433</v>
      </c>
      <c r="N5255" s="329">
        <f t="shared" si="330"/>
        <v>5663.8173645019533</v>
      </c>
      <c r="T5255" s="331">
        <v>0</v>
      </c>
      <c r="U5255" s="328">
        <f>VLOOKUP(C5255,METADATA!$J$5:$Q$29,IF(E5255="HI",2,IF(E5255="LO",6,10))+IF(T5255=1,2,IF(D5255=7,1,(IF(WEEKDAY(B5255)=1,2,IF(WEEKDAY(B5255)=7,1,0))))))</f>
        <v>1</v>
      </c>
      <c r="V5255" s="328">
        <f>VLOOKUP(C5255,METADATA!$A$5:$H$29,IF(E5255="HI",2,IF(E5255="LO",6,10))+IF(T5255=1,2,IF(D5255=7,1,(IF(WEEKDAY(B5255)=1,2,IF(WEEKDAY(B5255)=7,1,0))))))</f>
        <v>1</v>
      </c>
    </row>
    <row r="5256" spans="2:22">
      <c r="B5256" s="318">
        <f t="shared" si="327"/>
        <v>46331</v>
      </c>
      <c r="C5256" s="312">
        <v>20</v>
      </c>
      <c r="D5256" s="368">
        <f>IFERROR((INDEX(METADATA!$T$2:$T$20,MATCH(B5256,METADATA!$S$2:$S$20,0))),0)</f>
        <v>0</v>
      </c>
      <c r="E5256" s="312" t="str">
        <f t="shared" si="328"/>
        <v>LO</v>
      </c>
      <c r="F5256" s="369">
        <f>VLOOKUP(C5256,METADATA!$A$5:$H$29,IF(E5256="HI",2,IF(E5256="LO",6,10))+IF(D5256=1,2,IF(D5256=7,1,(IF(WEEKDAY(B5256)=1,2,IF(WEEKDAY(B5256)=7,1,0))))))</f>
        <v>1</v>
      </c>
      <c r="G5256" s="369">
        <f>VLOOKUP(C5256,METADATA!$J$5:$Q$29,IF(E5256="HI",2,IF(E5256="LO",6,10))+IF(D5256=1,2,IF(D5256=7,1,(IF(WEEKDAY(B5256)=1,2,IF(WEEKDAY(B5256)=7,1,0))))))</f>
        <v>1</v>
      </c>
      <c r="H5256" s="370">
        <v>11963.275024414063</v>
      </c>
      <c r="I5256" s="370">
        <v>9324.8499755859375</v>
      </c>
      <c r="M5256" s="371">
        <f t="shared" si="329"/>
        <v>15168.15006442626</v>
      </c>
      <c r="N5256" s="329">
        <f t="shared" si="330"/>
        <v>5735.8674682617184</v>
      </c>
      <c r="T5256" s="331">
        <v>0</v>
      </c>
      <c r="U5256" s="328">
        <f>VLOOKUP(C5256,METADATA!$J$5:$Q$29,IF(E5256="HI",2,IF(E5256="LO",6,10))+IF(T5256=1,2,IF(D5256=7,1,(IF(WEEKDAY(B5256)=1,2,IF(WEEKDAY(B5256)=7,1,0))))))</f>
        <v>1</v>
      </c>
      <c r="V5256" s="328">
        <f>VLOOKUP(C5256,METADATA!$A$5:$H$29,IF(E5256="HI",2,IF(E5256="LO",6,10))+IF(T5256=1,2,IF(D5256=7,1,(IF(WEEKDAY(B5256)=1,2,IF(WEEKDAY(B5256)=7,1,0))))))</f>
        <v>1</v>
      </c>
    </row>
    <row r="5257" spans="2:22">
      <c r="B5257" s="318">
        <f t="shared" si="327"/>
        <v>46331</v>
      </c>
      <c r="C5257" s="312">
        <v>21</v>
      </c>
      <c r="D5257" s="368">
        <f>IFERROR((INDEX(METADATA!$T$2:$T$20,MATCH(B5257,METADATA!$S$2:$S$20,0))),0)</f>
        <v>0</v>
      </c>
      <c r="E5257" s="312" t="str">
        <f t="shared" si="328"/>
        <v>LO</v>
      </c>
      <c r="F5257" s="369">
        <f>VLOOKUP(C5257,METADATA!$A$5:$H$29,IF(E5257="HI",2,IF(E5257="LO",6,10))+IF(D5257=1,2,IF(D5257=7,1,(IF(WEEKDAY(B5257)=1,2,IF(WEEKDAY(B5257)=7,1,0))))))</f>
        <v>2</v>
      </c>
      <c r="G5257" s="369">
        <f>VLOOKUP(C5257,METADATA!$J$5:$Q$29,IF(E5257="HI",2,IF(E5257="LO",6,10))+IF(D5257=1,2,IF(D5257=7,1,(IF(WEEKDAY(B5257)=1,2,IF(WEEKDAY(B5257)=7,1,0))))))</f>
        <v>2</v>
      </c>
      <c r="H5257" s="370">
        <v>12151.649963378906</v>
      </c>
      <c r="I5257" s="370">
        <v>9287.275146484375</v>
      </c>
      <c r="M5257" s="371">
        <f t="shared" si="329"/>
        <v>15294.315168682544</v>
      </c>
      <c r="N5257" s="329">
        <f t="shared" si="330"/>
        <v>5641.7801574707028</v>
      </c>
      <c r="T5257" s="331">
        <v>0</v>
      </c>
      <c r="U5257" s="328">
        <f>VLOOKUP(C5257,METADATA!$J$5:$Q$29,IF(E5257="HI",2,IF(E5257="LO",6,10))+IF(T5257=1,2,IF(D5257=7,1,(IF(WEEKDAY(B5257)=1,2,IF(WEEKDAY(B5257)=7,1,0))))))</f>
        <v>2</v>
      </c>
      <c r="V5257" s="328">
        <f>VLOOKUP(C5257,METADATA!$A$5:$H$29,IF(E5257="HI",2,IF(E5257="LO",6,10))+IF(T5257=1,2,IF(D5257=7,1,(IF(WEEKDAY(B5257)=1,2,IF(WEEKDAY(B5257)=7,1,0))))))</f>
        <v>2</v>
      </c>
    </row>
    <row r="5258" spans="2:22">
      <c r="B5258" s="318">
        <f t="shared" si="327"/>
        <v>46331</v>
      </c>
      <c r="C5258" s="312">
        <v>22</v>
      </c>
      <c r="D5258" s="368">
        <f>IFERROR((INDEX(METADATA!$T$2:$T$20,MATCH(B5258,METADATA!$S$2:$S$20,0))),0)</f>
        <v>0</v>
      </c>
      <c r="E5258" s="312" t="str">
        <f t="shared" si="328"/>
        <v>LO</v>
      </c>
      <c r="F5258" s="369">
        <f>VLOOKUP(C5258,METADATA!$A$5:$H$29,IF(E5258="HI",2,IF(E5258="LO",6,10))+IF(D5258=1,2,IF(D5258=7,1,(IF(WEEKDAY(B5258)=1,2,IF(WEEKDAY(B5258)=7,1,0))))))</f>
        <v>3</v>
      </c>
      <c r="G5258" s="369">
        <f>VLOOKUP(C5258,METADATA!$J$5:$Q$29,IF(E5258="HI",2,IF(E5258="LO",6,10))+IF(D5258=1,2,IF(D5258=7,1,(IF(WEEKDAY(B5258)=1,2,IF(WEEKDAY(B5258)=7,1,0))))))</f>
        <v>3</v>
      </c>
      <c r="H5258" s="370">
        <v>11839.324951171875</v>
      </c>
      <c r="I5258" s="370">
        <v>9131.6500854492188</v>
      </c>
      <c r="M5258" s="371">
        <f t="shared" si="329"/>
        <v>14951.810879707034</v>
      </c>
      <c r="N5258" s="329">
        <f t="shared" si="330"/>
        <v>5579.8526000976563</v>
      </c>
      <c r="T5258" s="331">
        <v>0</v>
      </c>
      <c r="U5258" s="328">
        <f>VLOOKUP(C5258,METADATA!$J$5:$Q$29,IF(E5258="HI",2,IF(E5258="LO",6,10))+IF(T5258=1,2,IF(D5258=7,1,(IF(WEEKDAY(B5258)=1,2,IF(WEEKDAY(B5258)=7,1,0))))))</f>
        <v>3</v>
      </c>
      <c r="V5258" s="328">
        <f>VLOOKUP(C5258,METADATA!$A$5:$H$29,IF(E5258="HI",2,IF(E5258="LO",6,10))+IF(T5258=1,2,IF(D5258=7,1,(IF(WEEKDAY(B5258)=1,2,IF(WEEKDAY(B5258)=7,1,0))))))</f>
        <v>3</v>
      </c>
    </row>
    <row r="5259" spans="2:22">
      <c r="B5259" s="318">
        <f t="shared" si="327"/>
        <v>46331</v>
      </c>
      <c r="C5259" s="312">
        <v>23</v>
      </c>
      <c r="D5259" s="368">
        <f>IFERROR((INDEX(METADATA!$T$2:$T$20,MATCH(B5259,METADATA!$S$2:$S$20,0))),0)</f>
        <v>0</v>
      </c>
      <c r="E5259" s="312" t="str">
        <f t="shared" si="328"/>
        <v>LO</v>
      </c>
      <c r="F5259" s="369">
        <f>VLOOKUP(C5259,METADATA!$A$5:$H$29,IF(E5259="HI",2,IF(E5259="LO",6,10))+IF(D5259=1,2,IF(D5259=7,1,(IF(WEEKDAY(B5259)=1,2,IF(WEEKDAY(B5259)=7,1,0))))))</f>
        <v>3</v>
      </c>
      <c r="G5259" s="369">
        <f>VLOOKUP(C5259,METADATA!$J$5:$Q$29,IF(E5259="HI",2,IF(E5259="LO",6,10))+IF(D5259=1,2,IF(D5259=7,1,(IF(WEEKDAY(B5259)=1,2,IF(WEEKDAY(B5259)=7,1,0))))))</f>
        <v>3</v>
      </c>
      <c r="H5259" s="370">
        <v>11808.724914550781</v>
      </c>
      <c r="I5259" s="370">
        <v>9153.4498901367188</v>
      </c>
      <c r="M5259" s="371">
        <f t="shared" si="329"/>
        <v>14940.938022720537</v>
      </c>
      <c r="N5259" s="329">
        <f t="shared" si="330"/>
        <v>5610.8324157714851</v>
      </c>
      <c r="T5259" s="331">
        <v>0</v>
      </c>
      <c r="U5259" s="328">
        <f>VLOOKUP(C5259,METADATA!$J$5:$Q$29,IF(E5259="HI",2,IF(E5259="LO",6,10))+IF(T5259=1,2,IF(D5259=7,1,(IF(WEEKDAY(B5259)=1,2,IF(WEEKDAY(B5259)=7,1,0))))))</f>
        <v>3</v>
      </c>
      <c r="V5259" s="328">
        <f>VLOOKUP(C5259,METADATA!$A$5:$H$29,IF(E5259="HI",2,IF(E5259="LO",6,10))+IF(T5259=1,2,IF(D5259=7,1,(IF(WEEKDAY(B5259)=1,2,IF(WEEKDAY(B5259)=7,1,0))))))</f>
        <v>3</v>
      </c>
    </row>
    <row r="5260" spans="2:22">
      <c r="B5260" s="318">
        <f t="shared" si="327"/>
        <v>46332</v>
      </c>
      <c r="C5260" s="312">
        <v>0</v>
      </c>
      <c r="D5260" s="368">
        <f>IFERROR((INDEX(METADATA!$T$2:$T$20,MATCH(B5260,METADATA!$S$2:$S$20,0))),0)</f>
        <v>0</v>
      </c>
      <c r="E5260" s="312" t="str">
        <f t="shared" si="328"/>
        <v>LO</v>
      </c>
      <c r="F5260" s="369">
        <f>VLOOKUP(C5260,METADATA!$A$5:$H$29,IF(E5260="HI",2,IF(E5260="LO",6,10))+IF(D5260=1,2,IF(D5260=7,1,(IF(WEEKDAY(B5260)=1,2,IF(WEEKDAY(B5260)=7,1,0))))))</f>
        <v>3</v>
      </c>
      <c r="G5260" s="369">
        <f>VLOOKUP(C5260,METADATA!$J$5:$Q$29,IF(E5260="HI",2,IF(E5260="LO",6,10))+IF(D5260=1,2,IF(D5260=7,1,(IF(WEEKDAY(B5260)=1,2,IF(WEEKDAY(B5260)=7,1,0))))))</f>
        <v>3</v>
      </c>
      <c r="H5260" s="370">
        <v>11804.22509765625</v>
      </c>
      <c r="I5260" s="370">
        <v>9232.2998046875</v>
      </c>
      <c r="M5260" s="371">
        <f t="shared" si="329"/>
        <v>14985.829634683912</v>
      </c>
      <c r="N5260" s="329">
        <f t="shared" si="330"/>
        <v>5691.0322753906257</v>
      </c>
      <c r="T5260" s="331">
        <v>0</v>
      </c>
      <c r="U5260" s="328">
        <f>VLOOKUP(C5260,METADATA!$J$5:$Q$29,IF(E5260="HI",2,IF(E5260="LO",6,10))+IF(T5260=1,2,IF(D5260=7,1,(IF(WEEKDAY(B5260)=1,2,IF(WEEKDAY(B5260)=7,1,0))))))</f>
        <v>3</v>
      </c>
      <c r="V5260" s="328">
        <f>VLOOKUP(C5260,METADATA!$A$5:$H$29,IF(E5260="HI",2,IF(E5260="LO",6,10))+IF(T5260=1,2,IF(D5260=7,1,(IF(WEEKDAY(B5260)=1,2,IF(WEEKDAY(B5260)=7,1,0))))))</f>
        <v>3</v>
      </c>
    </row>
    <row r="5261" spans="2:22">
      <c r="B5261" s="318">
        <f t="shared" si="327"/>
        <v>46332</v>
      </c>
      <c r="C5261" s="312">
        <v>1</v>
      </c>
      <c r="D5261" s="368">
        <f>IFERROR((INDEX(METADATA!$T$2:$T$20,MATCH(B5261,METADATA!$S$2:$S$20,0))),0)</f>
        <v>0</v>
      </c>
      <c r="E5261" s="312" t="str">
        <f t="shared" si="328"/>
        <v>LO</v>
      </c>
      <c r="F5261" s="369">
        <f>VLOOKUP(C5261,METADATA!$A$5:$H$29,IF(E5261="HI",2,IF(E5261="LO",6,10))+IF(D5261=1,2,IF(D5261=7,1,(IF(WEEKDAY(B5261)=1,2,IF(WEEKDAY(B5261)=7,1,0))))))</f>
        <v>3</v>
      </c>
      <c r="G5261" s="369">
        <f>VLOOKUP(C5261,METADATA!$J$5:$Q$29,IF(E5261="HI",2,IF(E5261="LO",6,10))+IF(D5261=1,2,IF(D5261=7,1,(IF(WEEKDAY(B5261)=1,2,IF(WEEKDAY(B5261)=7,1,0))))))</f>
        <v>3</v>
      </c>
      <c r="H5261" s="370">
        <v>11864.242370605469</v>
      </c>
      <c r="I5261" s="370">
        <v>9278.4025268554688</v>
      </c>
      <c r="M5261" s="371">
        <f t="shared" si="329"/>
        <v>15061.5072445897</v>
      </c>
      <c r="N5261" s="329">
        <f t="shared" si="330"/>
        <v>5719.1298156738285</v>
      </c>
      <c r="T5261" s="331">
        <v>0</v>
      </c>
      <c r="U5261" s="328">
        <f>VLOOKUP(C5261,METADATA!$J$5:$Q$29,IF(E5261="HI",2,IF(E5261="LO",6,10))+IF(T5261=1,2,IF(D5261=7,1,(IF(WEEKDAY(B5261)=1,2,IF(WEEKDAY(B5261)=7,1,0))))))</f>
        <v>3</v>
      </c>
      <c r="V5261" s="328">
        <f>VLOOKUP(C5261,METADATA!$A$5:$H$29,IF(E5261="HI",2,IF(E5261="LO",6,10))+IF(T5261=1,2,IF(D5261=7,1,(IF(WEEKDAY(B5261)=1,2,IF(WEEKDAY(B5261)=7,1,0))))))</f>
        <v>3</v>
      </c>
    </row>
    <row r="5262" spans="2:22">
      <c r="B5262" s="318">
        <f t="shared" si="327"/>
        <v>46332</v>
      </c>
      <c r="C5262" s="312">
        <v>2</v>
      </c>
      <c r="D5262" s="368">
        <f>IFERROR((INDEX(METADATA!$T$2:$T$20,MATCH(B5262,METADATA!$S$2:$S$20,0))),0)</f>
        <v>0</v>
      </c>
      <c r="E5262" s="312" t="str">
        <f t="shared" si="328"/>
        <v>LO</v>
      </c>
      <c r="F5262" s="369">
        <f>VLOOKUP(C5262,METADATA!$A$5:$H$29,IF(E5262="HI",2,IF(E5262="LO",6,10))+IF(D5262=1,2,IF(D5262=7,1,(IF(WEEKDAY(B5262)=1,2,IF(WEEKDAY(B5262)=7,1,0))))))</f>
        <v>3</v>
      </c>
      <c r="G5262" s="369">
        <f>VLOOKUP(C5262,METADATA!$J$5:$Q$29,IF(E5262="HI",2,IF(E5262="LO",6,10))+IF(D5262=1,2,IF(D5262=7,1,(IF(WEEKDAY(B5262)=1,2,IF(WEEKDAY(B5262)=7,1,0))))))</f>
        <v>3</v>
      </c>
      <c r="H5262" s="370">
        <v>12051.499816894531</v>
      </c>
      <c r="I5262" s="370">
        <v>9441.6499633789063</v>
      </c>
      <c r="M5262" s="371">
        <f t="shared" si="329"/>
        <v>15309.58529378186</v>
      </c>
      <c r="N5262" s="329">
        <f t="shared" si="330"/>
        <v>5826.2000183105465</v>
      </c>
      <c r="T5262" s="331">
        <v>0</v>
      </c>
      <c r="U5262" s="328">
        <f>VLOOKUP(C5262,METADATA!$J$5:$Q$29,IF(E5262="HI",2,IF(E5262="LO",6,10))+IF(T5262=1,2,IF(D5262=7,1,(IF(WEEKDAY(B5262)=1,2,IF(WEEKDAY(B5262)=7,1,0))))))</f>
        <v>3</v>
      </c>
      <c r="V5262" s="328">
        <f>VLOOKUP(C5262,METADATA!$A$5:$H$29,IF(E5262="HI",2,IF(E5262="LO",6,10))+IF(T5262=1,2,IF(D5262=7,1,(IF(WEEKDAY(B5262)=1,2,IF(WEEKDAY(B5262)=7,1,0))))))</f>
        <v>3</v>
      </c>
    </row>
    <row r="5263" spans="2:22">
      <c r="B5263" s="318">
        <f t="shared" si="327"/>
        <v>46332</v>
      </c>
      <c r="C5263" s="312">
        <v>3</v>
      </c>
      <c r="D5263" s="368">
        <f>IFERROR((INDEX(METADATA!$T$2:$T$20,MATCH(B5263,METADATA!$S$2:$S$20,0))),0)</f>
        <v>0</v>
      </c>
      <c r="E5263" s="312" t="str">
        <f t="shared" si="328"/>
        <v>LO</v>
      </c>
      <c r="F5263" s="369">
        <f>VLOOKUP(C5263,METADATA!$A$5:$H$29,IF(E5263="HI",2,IF(E5263="LO",6,10))+IF(D5263=1,2,IF(D5263=7,1,(IF(WEEKDAY(B5263)=1,2,IF(WEEKDAY(B5263)=7,1,0))))))</f>
        <v>3</v>
      </c>
      <c r="G5263" s="369">
        <f>VLOOKUP(C5263,METADATA!$J$5:$Q$29,IF(E5263="HI",2,IF(E5263="LO",6,10))+IF(D5263=1,2,IF(D5263=7,1,(IF(WEEKDAY(B5263)=1,2,IF(WEEKDAY(B5263)=7,1,0))))))</f>
        <v>3</v>
      </c>
      <c r="H5263" s="370">
        <v>12068.425048828125</v>
      </c>
      <c r="I5263" s="370">
        <v>9438.8999633789063</v>
      </c>
      <c r="M5263" s="371">
        <f t="shared" si="329"/>
        <v>15321.217826199601</v>
      </c>
      <c r="N5263" s="329">
        <f t="shared" si="330"/>
        <v>5818.3724487304689</v>
      </c>
      <c r="T5263" s="331">
        <v>0</v>
      </c>
      <c r="U5263" s="328">
        <f>VLOOKUP(C5263,METADATA!$J$5:$Q$29,IF(E5263="HI",2,IF(E5263="LO",6,10))+IF(T5263=1,2,IF(D5263=7,1,(IF(WEEKDAY(B5263)=1,2,IF(WEEKDAY(B5263)=7,1,0))))))</f>
        <v>3</v>
      </c>
      <c r="V5263" s="328">
        <f>VLOOKUP(C5263,METADATA!$A$5:$H$29,IF(E5263="HI",2,IF(E5263="LO",6,10))+IF(T5263=1,2,IF(D5263=7,1,(IF(WEEKDAY(B5263)=1,2,IF(WEEKDAY(B5263)=7,1,0))))))</f>
        <v>3</v>
      </c>
    </row>
    <row r="5264" spans="2:22">
      <c r="B5264" s="318">
        <f t="shared" si="327"/>
        <v>46332</v>
      </c>
      <c r="C5264" s="312">
        <v>4</v>
      </c>
      <c r="D5264" s="368">
        <f>IFERROR((INDEX(METADATA!$T$2:$T$20,MATCH(B5264,METADATA!$S$2:$S$20,0))),0)</f>
        <v>0</v>
      </c>
      <c r="E5264" s="312" t="str">
        <f t="shared" si="328"/>
        <v>LO</v>
      </c>
      <c r="F5264" s="369">
        <f>VLOOKUP(C5264,METADATA!$A$5:$H$29,IF(E5264="HI",2,IF(E5264="LO",6,10))+IF(D5264=1,2,IF(D5264=7,1,(IF(WEEKDAY(B5264)=1,2,IF(WEEKDAY(B5264)=7,1,0))))))</f>
        <v>3</v>
      </c>
      <c r="G5264" s="369">
        <f>VLOOKUP(C5264,METADATA!$J$5:$Q$29,IF(E5264="HI",2,IF(E5264="LO",6,10))+IF(D5264=1,2,IF(D5264=7,1,(IF(WEEKDAY(B5264)=1,2,IF(WEEKDAY(B5264)=7,1,0))))))</f>
        <v>3</v>
      </c>
      <c r="H5264" s="370">
        <v>11797.599853515625</v>
      </c>
      <c r="I5264" s="370">
        <v>9257.125</v>
      </c>
      <c r="M5264" s="371">
        <f t="shared" si="329"/>
        <v>14995.923631750626</v>
      </c>
      <c r="N5264" s="329">
        <f t="shared" si="330"/>
        <v>5717.8450439453127</v>
      </c>
      <c r="T5264" s="331">
        <v>0</v>
      </c>
      <c r="U5264" s="328">
        <f>VLOOKUP(C5264,METADATA!$J$5:$Q$29,IF(E5264="HI",2,IF(E5264="LO",6,10))+IF(T5264=1,2,IF(D5264=7,1,(IF(WEEKDAY(B5264)=1,2,IF(WEEKDAY(B5264)=7,1,0))))))</f>
        <v>3</v>
      </c>
      <c r="V5264" s="328">
        <f>VLOOKUP(C5264,METADATA!$A$5:$H$29,IF(E5264="HI",2,IF(E5264="LO",6,10))+IF(T5264=1,2,IF(D5264=7,1,(IF(WEEKDAY(B5264)=1,2,IF(WEEKDAY(B5264)=7,1,0))))))</f>
        <v>3</v>
      </c>
    </row>
    <row r="5265" spans="2:22">
      <c r="B5265" s="318">
        <f t="shared" si="327"/>
        <v>46332</v>
      </c>
      <c r="C5265" s="312">
        <v>5</v>
      </c>
      <c r="D5265" s="368">
        <f>IFERROR((INDEX(METADATA!$T$2:$T$20,MATCH(B5265,METADATA!$S$2:$S$20,0))),0)</f>
        <v>0</v>
      </c>
      <c r="E5265" s="312" t="str">
        <f t="shared" si="328"/>
        <v>LO</v>
      </c>
      <c r="F5265" s="369">
        <f>VLOOKUP(C5265,METADATA!$A$5:$H$29,IF(E5265="HI",2,IF(E5265="LO",6,10))+IF(D5265=1,2,IF(D5265=7,1,(IF(WEEKDAY(B5265)=1,2,IF(WEEKDAY(B5265)=7,1,0))))))</f>
        <v>3</v>
      </c>
      <c r="G5265" s="369">
        <f>VLOOKUP(C5265,METADATA!$J$5:$Q$29,IF(E5265="HI",2,IF(E5265="LO",6,10))+IF(D5265=1,2,IF(D5265=7,1,(IF(WEEKDAY(B5265)=1,2,IF(WEEKDAY(B5265)=7,1,0))))))</f>
        <v>3</v>
      </c>
      <c r="H5265" s="370">
        <v>11623.550048828125</v>
      </c>
      <c r="I5265" s="370">
        <v>9057.4749755859375</v>
      </c>
      <c r="M5265" s="371">
        <f t="shared" si="329"/>
        <v>14735.83281226337</v>
      </c>
      <c r="N5265" s="329">
        <f t="shared" si="330"/>
        <v>5570.4099609375007</v>
      </c>
      <c r="T5265" s="331">
        <v>0</v>
      </c>
      <c r="U5265" s="328">
        <f>VLOOKUP(C5265,METADATA!$J$5:$Q$29,IF(E5265="HI",2,IF(E5265="LO",6,10))+IF(T5265=1,2,IF(D5265=7,1,(IF(WEEKDAY(B5265)=1,2,IF(WEEKDAY(B5265)=7,1,0))))))</f>
        <v>3</v>
      </c>
      <c r="V5265" s="328">
        <f>VLOOKUP(C5265,METADATA!$A$5:$H$29,IF(E5265="HI",2,IF(E5265="LO",6,10))+IF(T5265=1,2,IF(D5265=7,1,(IF(WEEKDAY(B5265)=1,2,IF(WEEKDAY(B5265)=7,1,0))))))</f>
        <v>3</v>
      </c>
    </row>
    <row r="5266" spans="2:22">
      <c r="B5266" s="318">
        <f t="shared" si="327"/>
        <v>46332</v>
      </c>
      <c r="C5266" s="312">
        <v>6</v>
      </c>
      <c r="D5266" s="368">
        <f>IFERROR((INDEX(METADATA!$T$2:$T$20,MATCH(B5266,METADATA!$S$2:$S$20,0))),0)</f>
        <v>0</v>
      </c>
      <c r="E5266" s="312" t="str">
        <f t="shared" si="328"/>
        <v>LO</v>
      </c>
      <c r="F5266" s="369">
        <f>VLOOKUP(C5266,METADATA!$A$5:$H$29,IF(E5266="HI",2,IF(E5266="LO",6,10))+IF(D5266=1,2,IF(D5266=7,1,(IF(WEEKDAY(B5266)=1,2,IF(WEEKDAY(B5266)=7,1,0))))))</f>
        <v>2</v>
      </c>
      <c r="G5266" s="369">
        <f>VLOOKUP(C5266,METADATA!$J$5:$Q$29,IF(E5266="HI",2,IF(E5266="LO",6,10))+IF(D5266=1,2,IF(D5266=7,1,(IF(WEEKDAY(B5266)=1,2,IF(WEEKDAY(B5266)=7,1,0))))))</f>
        <v>2</v>
      </c>
      <c r="H5266" s="370">
        <v>11461.825012207031</v>
      </c>
      <c r="I5266" s="370">
        <v>8982.375</v>
      </c>
      <c r="M5266" s="371">
        <f t="shared" si="329"/>
        <v>14562.159635544438</v>
      </c>
      <c r="N5266" s="329">
        <f t="shared" si="330"/>
        <v>5543.8274963378908</v>
      </c>
      <c r="T5266" s="331">
        <v>0</v>
      </c>
      <c r="U5266" s="328">
        <f>VLOOKUP(C5266,METADATA!$J$5:$Q$29,IF(E5266="HI",2,IF(E5266="LO",6,10))+IF(T5266=1,2,IF(D5266=7,1,(IF(WEEKDAY(B5266)=1,2,IF(WEEKDAY(B5266)=7,1,0))))))</f>
        <v>2</v>
      </c>
      <c r="V5266" s="328">
        <f>VLOOKUP(C5266,METADATA!$A$5:$H$29,IF(E5266="HI",2,IF(E5266="LO",6,10))+IF(T5266=1,2,IF(D5266=7,1,(IF(WEEKDAY(B5266)=1,2,IF(WEEKDAY(B5266)=7,1,0))))))</f>
        <v>2</v>
      </c>
    </row>
    <row r="5267" spans="2:22">
      <c r="B5267" s="318">
        <f t="shared" si="327"/>
        <v>46332</v>
      </c>
      <c r="C5267" s="312">
        <v>7</v>
      </c>
      <c r="D5267" s="368">
        <f>IFERROR((INDEX(METADATA!$T$2:$T$20,MATCH(B5267,METADATA!$S$2:$S$20,0))),0)</f>
        <v>0</v>
      </c>
      <c r="E5267" s="312" t="str">
        <f t="shared" si="328"/>
        <v>LO</v>
      </c>
      <c r="F5267" s="369">
        <f>VLOOKUP(C5267,METADATA!$A$5:$H$29,IF(E5267="HI",2,IF(E5267="LO",6,10))+IF(D5267=1,2,IF(D5267=7,1,(IF(WEEKDAY(B5267)=1,2,IF(WEEKDAY(B5267)=7,1,0))))))</f>
        <v>1</v>
      </c>
      <c r="G5267" s="369">
        <f>VLOOKUP(C5267,METADATA!$J$5:$Q$29,IF(E5267="HI",2,IF(E5267="LO",6,10))+IF(D5267=1,2,IF(D5267=7,1,(IF(WEEKDAY(B5267)=1,2,IF(WEEKDAY(B5267)=7,1,0))))))</f>
        <v>1</v>
      </c>
      <c r="H5267" s="370">
        <v>11680.525024414063</v>
      </c>
      <c r="I5267" s="370">
        <v>9054.8001708984375</v>
      </c>
      <c r="M5267" s="371">
        <f t="shared" si="329"/>
        <v>14779.176938546527</v>
      </c>
      <c r="N5267" s="329">
        <f t="shared" si="330"/>
        <v>5550.6426635742191</v>
      </c>
      <c r="T5267" s="331">
        <v>0</v>
      </c>
      <c r="U5267" s="328">
        <f>VLOOKUP(C5267,METADATA!$J$5:$Q$29,IF(E5267="HI",2,IF(E5267="LO",6,10))+IF(T5267=1,2,IF(D5267=7,1,(IF(WEEKDAY(B5267)=1,2,IF(WEEKDAY(B5267)=7,1,0))))))</f>
        <v>1</v>
      </c>
      <c r="V5267" s="328">
        <f>VLOOKUP(C5267,METADATA!$A$5:$H$29,IF(E5267="HI",2,IF(E5267="LO",6,10))+IF(T5267=1,2,IF(D5267=7,1,(IF(WEEKDAY(B5267)=1,2,IF(WEEKDAY(B5267)=7,1,0))))))</f>
        <v>1</v>
      </c>
    </row>
    <row r="5268" spans="2:22">
      <c r="B5268" s="318">
        <f t="shared" si="327"/>
        <v>46332</v>
      </c>
      <c r="C5268" s="312">
        <v>8</v>
      </c>
      <c r="D5268" s="368">
        <f>IFERROR((INDEX(METADATA!$T$2:$T$20,MATCH(B5268,METADATA!$S$2:$S$20,0))),0)</f>
        <v>0</v>
      </c>
      <c r="E5268" s="312" t="str">
        <f t="shared" si="328"/>
        <v>LO</v>
      </c>
      <c r="F5268" s="369">
        <f>VLOOKUP(C5268,METADATA!$A$5:$H$29,IF(E5268="HI",2,IF(E5268="LO",6,10))+IF(D5268=1,2,IF(D5268=7,1,(IF(WEEKDAY(B5268)=1,2,IF(WEEKDAY(B5268)=7,1,0))))))</f>
        <v>1</v>
      </c>
      <c r="G5268" s="369">
        <f>VLOOKUP(C5268,METADATA!$J$5:$Q$29,IF(E5268="HI",2,IF(E5268="LO",6,10))+IF(D5268=1,2,IF(D5268=7,1,(IF(WEEKDAY(B5268)=1,2,IF(WEEKDAY(B5268)=7,1,0))))))</f>
        <v>1</v>
      </c>
      <c r="H5268" s="370">
        <v>10426.699890136719</v>
      </c>
      <c r="I5268" s="370">
        <v>8190.0948791503906</v>
      </c>
      <c r="M5268" s="371">
        <f t="shared" si="329"/>
        <v>13258.722590372819</v>
      </c>
      <c r="N5268" s="329">
        <f t="shared" si="330"/>
        <v>5062.0849121093752</v>
      </c>
      <c r="T5268" s="331">
        <v>0</v>
      </c>
      <c r="U5268" s="328">
        <f>VLOOKUP(C5268,METADATA!$J$5:$Q$29,IF(E5268="HI",2,IF(E5268="LO",6,10))+IF(T5268=1,2,IF(D5268=7,1,(IF(WEEKDAY(B5268)=1,2,IF(WEEKDAY(B5268)=7,1,0))))))</f>
        <v>1</v>
      </c>
      <c r="V5268" s="328">
        <f>VLOOKUP(C5268,METADATA!$A$5:$H$29,IF(E5268="HI",2,IF(E5268="LO",6,10))+IF(T5268=1,2,IF(D5268=7,1,(IF(WEEKDAY(B5268)=1,2,IF(WEEKDAY(B5268)=7,1,0))))))</f>
        <v>1</v>
      </c>
    </row>
    <row r="5269" spans="2:22">
      <c r="B5269" s="318">
        <f t="shared" si="327"/>
        <v>46332</v>
      </c>
      <c r="C5269" s="312">
        <v>9</v>
      </c>
      <c r="D5269" s="368">
        <f>IFERROR((INDEX(METADATA!$T$2:$T$20,MATCH(B5269,METADATA!$S$2:$S$20,0))),0)</f>
        <v>0</v>
      </c>
      <c r="E5269" s="312" t="str">
        <f t="shared" si="328"/>
        <v>LO</v>
      </c>
      <c r="F5269" s="369">
        <f>VLOOKUP(C5269,METADATA!$A$5:$H$29,IF(E5269="HI",2,IF(E5269="LO",6,10))+IF(D5269=1,2,IF(D5269=7,1,(IF(WEEKDAY(B5269)=1,2,IF(WEEKDAY(B5269)=7,1,0))))))</f>
        <v>2</v>
      </c>
      <c r="G5269" s="369">
        <f>VLOOKUP(C5269,METADATA!$J$5:$Q$29,IF(E5269="HI",2,IF(E5269="LO",6,10))+IF(D5269=1,2,IF(D5269=7,1,(IF(WEEKDAY(B5269)=1,2,IF(WEEKDAY(B5269)=7,1,0))))))</f>
        <v>2</v>
      </c>
      <c r="H5269" s="370">
        <v>11519.749816894531</v>
      </c>
      <c r="I5269" s="370">
        <v>8953.5499877929688</v>
      </c>
      <c r="M5269" s="371">
        <f t="shared" si="329"/>
        <v>14590.088869768719</v>
      </c>
      <c r="N5269" s="329">
        <f t="shared" si="330"/>
        <v>5497.6250427246096</v>
      </c>
      <c r="T5269" s="331">
        <v>0</v>
      </c>
      <c r="U5269" s="328">
        <f>VLOOKUP(C5269,METADATA!$J$5:$Q$29,IF(E5269="HI",2,IF(E5269="LO",6,10))+IF(T5269=1,2,IF(D5269=7,1,(IF(WEEKDAY(B5269)=1,2,IF(WEEKDAY(B5269)=7,1,0))))))</f>
        <v>2</v>
      </c>
      <c r="V5269" s="328">
        <f>VLOOKUP(C5269,METADATA!$A$5:$H$29,IF(E5269="HI",2,IF(E5269="LO",6,10))+IF(T5269=1,2,IF(D5269=7,1,(IF(WEEKDAY(B5269)=1,2,IF(WEEKDAY(B5269)=7,1,0))))))</f>
        <v>2</v>
      </c>
    </row>
    <row r="5270" spans="2:22">
      <c r="B5270" s="318">
        <f t="shared" si="327"/>
        <v>46332</v>
      </c>
      <c r="C5270" s="312">
        <v>10</v>
      </c>
      <c r="D5270" s="368">
        <f>IFERROR((INDEX(METADATA!$T$2:$T$20,MATCH(B5270,METADATA!$S$2:$S$20,0))),0)</f>
        <v>0</v>
      </c>
      <c r="E5270" s="312" t="str">
        <f t="shared" si="328"/>
        <v>LO</v>
      </c>
      <c r="F5270" s="369">
        <f>VLOOKUP(C5270,METADATA!$A$5:$H$29,IF(E5270="HI",2,IF(E5270="LO",6,10))+IF(D5270=1,2,IF(D5270=7,1,(IF(WEEKDAY(B5270)=1,2,IF(WEEKDAY(B5270)=7,1,0))))))</f>
        <v>2</v>
      </c>
      <c r="G5270" s="369">
        <f>VLOOKUP(C5270,METADATA!$J$5:$Q$29,IF(E5270="HI",2,IF(E5270="LO",6,10))+IF(D5270=1,2,IF(D5270=7,1,(IF(WEEKDAY(B5270)=1,2,IF(WEEKDAY(B5270)=7,1,0))))))</f>
        <v>2</v>
      </c>
      <c r="H5270" s="370">
        <v>11695.349975585938</v>
      </c>
      <c r="I5270" s="370">
        <v>9158.77490234375</v>
      </c>
      <c r="M5270" s="371">
        <f t="shared" si="329"/>
        <v>14854.775958029113</v>
      </c>
      <c r="N5270" s="329">
        <f t="shared" si="330"/>
        <v>5650.1699096679695</v>
      </c>
      <c r="T5270" s="331">
        <v>0</v>
      </c>
      <c r="U5270" s="328">
        <f>VLOOKUP(C5270,METADATA!$J$5:$Q$29,IF(E5270="HI",2,IF(E5270="LO",6,10))+IF(T5270=1,2,IF(D5270=7,1,(IF(WEEKDAY(B5270)=1,2,IF(WEEKDAY(B5270)=7,1,0))))))</f>
        <v>2</v>
      </c>
      <c r="V5270" s="328">
        <f>VLOOKUP(C5270,METADATA!$A$5:$H$29,IF(E5270="HI",2,IF(E5270="LO",6,10))+IF(T5270=1,2,IF(D5270=7,1,(IF(WEEKDAY(B5270)=1,2,IF(WEEKDAY(B5270)=7,1,0))))))</f>
        <v>2</v>
      </c>
    </row>
    <row r="5271" spans="2:22">
      <c r="B5271" s="318">
        <f t="shared" si="327"/>
        <v>46332</v>
      </c>
      <c r="C5271" s="312">
        <v>11</v>
      </c>
      <c r="D5271" s="368">
        <f>IFERROR((INDEX(METADATA!$T$2:$T$20,MATCH(B5271,METADATA!$S$2:$S$20,0))),0)</f>
        <v>0</v>
      </c>
      <c r="E5271" s="312" t="str">
        <f t="shared" si="328"/>
        <v>LO</v>
      </c>
      <c r="F5271" s="369">
        <f>VLOOKUP(C5271,METADATA!$A$5:$H$29,IF(E5271="HI",2,IF(E5271="LO",6,10))+IF(D5271=1,2,IF(D5271=7,1,(IF(WEEKDAY(B5271)=1,2,IF(WEEKDAY(B5271)=7,1,0))))))</f>
        <v>2</v>
      </c>
      <c r="G5271" s="369">
        <f>VLOOKUP(C5271,METADATA!$J$5:$Q$29,IF(E5271="HI",2,IF(E5271="LO",6,10))+IF(D5271=1,2,IF(D5271=7,1,(IF(WEEKDAY(B5271)=1,2,IF(WEEKDAY(B5271)=7,1,0))))))</f>
        <v>2</v>
      </c>
      <c r="H5271" s="370">
        <v>11730.999877929688</v>
      </c>
      <c r="I5271" s="370">
        <v>9134.2249755859375</v>
      </c>
      <c r="M5271" s="371">
        <f t="shared" si="329"/>
        <v>14867.76459460548</v>
      </c>
      <c r="N5271" s="329">
        <f t="shared" si="330"/>
        <v>5614.9250122070316</v>
      </c>
      <c r="T5271" s="331">
        <v>0</v>
      </c>
      <c r="U5271" s="328">
        <f>VLOOKUP(C5271,METADATA!$J$5:$Q$29,IF(E5271="HI",2,IF(E5271="LO",6,10))+IF(T5271=1,2,IF(D5271=7,1,(IF(WEEKDAY(B5271)=1,2,IF(WEEKDAY(B5271)=7,1,0))))))</f>
        <v>2</v>
      </c>
      <c r="V5271" s="328">
        <f>VLOOKUP(C5271,METADATA!$A$5:$H$29,IF(E5271="HI",2,IF(E5271="LO",6,10))+IF(T5271=1,2,IF(D5271=7,1,(IF(WEEKDAY(B5271)=1,2,IF(WEEKDAY(B5271)=7,1,0))))))</f>
        <v>2</v>
      </c>
    </row>
    <row r="5272" spans="2:22">
      <c r="B5272" s="318">
        <f t="shared" si="327"/>
        <v>46332</v>
      </c>
      <c r="C5272" s="312">
        <v>12</v>
      </c>
      <c r="D5272" s="368">
        <f>IFERROR((INDEX(METADATA!$T$2:$T$20,MATCH(B5272,METADATA!$S$2:$S$20,0))),0)</f>
        <v>0</v>
      </c>
      <c r="E5272" s="312" t="str">
        <f t="shared" si="328"/>
        <v>LO</v>
      </c>
      <c r="F5272" s="369">
        <f>VLOOKUP(C5272,METADATA!$A$5:$H$29,IF(E5272="HI",2,IF(E5272="LO",6,10))+IF(D5272=1,2,IF(D5272=7,1,(IF(WEEKDAY(B5272)=1,2,IF(WEEKDAY(B5272)=7,1,0))))))</f>
        <v>2</v>
      </c>
      <c r="G5272" s="369">
        <f>VLOOKUP(C5272,METADATA!$J$5:$Q$29,IF(E5272="HI",2,IF(E5272="LO",6,10))+IF(D5272=1,2,IF(D5272=7,1,(IF(WEEKDAY(B5272)=1,2,IF(WEEKDAY(B5272)=7,1,0))))))</f>
        <v>2</v>
      </c>
      <c r="H5272" s="370">
        <v>11773.450073242188</v>
      </c>
      <c r="I5272" s="370">
        <v>9185.5250244140625</v>
      </c>
      <c r="M5272" s="371">
        <f t="shared" si="329"/>
        <v>14932.7826141434</v>
      </c>
      <c r="N5272" s="329">
        <f t="shared" si="330"/>
        <v>5653.4900024414064</v>
      </c>
      <c r="T5272" s="331">
        <v>0</v>
      </c>
      <c r="U5272" s="328">
        <f>VLOOKUP(C5272,METADATA!$J$5:$Q$29,IF(E5272="HI",2,IF(E5272="LO",6,10))+IF(T5272=1,2,IF(D5272=7,1,(IF(WEEKDAY(B5272)=1,2,IF(WEEKDAY(B5272)=7,1,0))))))</f>
        <v>2</v>
      </c>
      <c r="V5272" s="328">
        <f>VLOOKUP(C5272,METADATA!$A$5:$H$29,IF(E5272="HI",2,IF(E5272="LO",6,10))+IF(T5272=1,2,IF(D5272=7,1,(IF(WEEKDAY(B5272)=1,2,IF(WEEKDAY(B5272)=7,1,0))))))</f>
        <v>2</v>
      </c>
    </row>
    <row r="5273" spans="2:22">
      <c r="B5273" s="318">
        <f t="shared" si="327"/>
        <v>46332</v>
      </c>
      <c r="C5273" s="312">
        <v>13</v>
      </c>
      <c r="D5273" s="368">
        <f>IFERROR((INDEX(METADATA!$T$2:$T$20,MATCH(B5273,METADATA!$S$2:$S$20,0))),0)</f>
        <v>0</v>
      </c>
      <c r="E5273" s="312" t="str">
        <f t="shared" si="328"/>
        <v>LO</v>
      </c>
      <c r="F5273" s="369">
        <f>VLOOKUP(C5273,METADATA!$A$5:$H$29,IF(E5273="HI",2,IF(E5273="LO",6,10))+IF(D5273=1,2,IF(D5273=7,1,(IF(WEEKDAY(B5273)=1,2,IF(WEEKDAY(B5273)=7,1,0))))))</f>
        <v>2</v>
      </c>
      <c r="G5273" s="369">
        <f>VLOOKUP(C5273,METADATA!$J$5:$Q$29,IF(E5273="HI",2,IF(E5273="LO",6,10))+IF(D5273=1,2,IF(D5273=7,1,(IF(WEEKDAY(B5273)=1,2,IF(WEEKDAY(B5273)=7,1,0))))))</f>
        <v>2</v>
      </c>
      <c r="H5273" s="370">
        <v>11749.799987792969</v>
      </c>
      <c r="I5273" s="370">
        <v>9082.8748168945313</v>
      </c>
      <c r="M5273" s="371">
        <f t="shared" si="329"/>
        <v>14851.141864938079</v>
      </c>
      <c r="N5273" s="329">
        <f t="shared" si="330"/>
        <v>5557.9348205566403</v>
      </c>
      <c r="T5273" s="331">
        <v>0</v>
      </c>
      <c r="U5273" s="328">
        <f>VLOOKUP(C5273,METADATA!$J$5:$Q$29,IF(E5273="HI",2,IF(E5273="LO",6,10))+IF(T5273=1,2,IF(D5273=7,1,(IF(WEEKDAY(B5273)=1,2,IF(WEEKDAY(B5273)=7,1,0))))))</f>
        <v>2</v>
      </c>
      <c r="V5273" s="328">
        <f>VLOOKUP(C5273,METADATA!$A$5:$H$29,IF(E5273="HI",2,IF(E5273="LO",6,10))+IF(T5273=1,2,IF(D5273=7,1,(IF(WEEKDAY(B5273)=1,2,IF(WEEKDAY(B5273)=7,1,0))))))</f>
        <v>2</v>
      </c>
    </row>
    <row r="5274" spans="2:22">
      <c r="B5274" s="318">
        <f t="shared" si="327"/>
        <v>46332</v>
      </c>
      <c r="C5274" s="312">
        <v>14</v>
      </c>
      <c r="D5274" s="368">
        <f>IFERROR((INDEX(METADATA!$T$2:$T$20,MATCH(B5274,METADATA!$S$2:$S$20,0))),0)</f>
        <v>0</v>
      </c>
      <c r="E5274" s="312" t="str">
        <f t="shared" si="328"/>
        <v>LO</v>
      </c>
      <c r="F5274" s="369">
        <f>VLOOKUP(C5274,METADATA!$A$5:$H$29,IF(E5274="HI",2,IF(E5274="LO",6,10))+IF(D5274=1,2,IF(D5274=7,1,(IF(WEEKDAY(B5274)=1,2,IF(WEEKDAY(B5274)=7,1,0))))))</f>
        <v>2</v>
      </c>
      <c r="G5274" s="369">
        <f>VLOOKUP(C5274,METADATA!$J$5:$Q$29,IF(E5274="HI",2,IF(E5274="LO",6,10))+IF(D5274=1,2,IF(D5274=7,1,(IF(WEEKDAY(B5274)=1,2,IF(WEEKDAY(B5274)=7,1,0))))))</f>
        <v>2</v>
      </c>
      <c r="H5274" s="370">
        <v>11630.974731445313</v>
      </c>
      <c r="I5274" s="370">
        <v>8948.4750366210938</v>
      </c>
      <c r="M5274" s="371">
        <f t="shared" si="329"/>
        <v>14674.971164692291</v>
      </c>
      <c r="N5274" s="329">
        <f t="shared" si="330"/>
        <v>5459.1826171875</v>
      </c>
      <c r="T5274" s="331">
        <v>0</v>
      </c>
      <c r="U5274" s="328">
        <f>VLOOKUP(C5274,METADATA!$J$5:$Q$29,IF(E5274="HI",2,IF(E5274="LO",6,10))+IF(T5274=1,2,IF(D5274=7,1,(IF(WEEKDAY(B5274)=1,2,IF(WEEKDAY(B5274)=7,1,0))))))</f>
        <v>2</v>
      </c>
      <c r="V5274" s="328">
        <f>VLOOKUP(C5274,METADATA!$A$5:$H$29,IF(E5274="HI",2,IF(E5274="LO",6,10))+IF(T5274=1,2,IF(D5274=7,1,(IF(WEEKDAY(B5274)=1,2,IF(WEEKDAY(B5274)=7,1,0))))))</f>
        <v>2</v>
      </c>
    </row>
    <row r="5275" spans="2:22">
      <c r="B5275" s="318">
        <f t="shared" si="327"/>
        <v>46332</v>
      </c>
      <c r="C5275" s="312">
        <v>15</v>
      </c>
      <c r="D5275" s="368">
        <f>IFERROR((INDEX(METADATA!$T$2:$T$20,MATCH(B5275,METADATA!$S$2:$S$20,0))),0)</f>
        <v>0</v>
      </c>
      <c r="E5275" s="312" t="str">
        <f t="shared" si="328"/>
        <v>LO</v>
      </c>
      <c r="F5275" s="369">
        <f>VLOOKUP(C5275,METADATA!$A$5:$H$29,IF(E5275="HI",2,IF(E5275="LO",6,10))+IF(D5275=1,2,IF(D5275=7,1,(IF(WEEKDAY(B5275)=1,2,IF(WEEKDAY(B5275)=7,1,0))))))</f>
        <v>2</v>
      </c>
      <c r="G5275" s="369">
        <f>VLOOKUP(C5275,METADATA!$J$5:$Q$29,IF(E5275="HI",2,IF(E5275="LO",6,10))+IF(D5275=1,2,IF(D5275=7,1,(IF(WEEKDAY(B5275)=1,2,IF(WEEKDAY(B5275)=7,1,0))))))</f>
        <v>2</v>
      </c>
      <c r="H5275" s="370">
        <v>11755.325134277344</v>
      </c>
      <c r="I5275" s="370">
        <v>9046.3750610351563</v>
      </c>
      <c r="M5275" s="371">
        <f t="shared" si="329"/>
        <v>14833.225231132017</v>
      </c>
      <c r="N5275" s="329">
        <f t="shared" si="330"/>
        <v>5519.7775207519535</v>
      </c>
      <c r="T5275" s="331">
        <v>0</v>
      </c>
      <c r="U5275" s="328">
        <f>VLOOKUP(C5275,METADATA!$J$5:$Q$29,IF(E5275="HI",2,IF(E5275="LO",6,10))+IF(T5275=1,2,IF(D5275=7,1,(IF(WEEKDAY(B5275)=1,2,IF(WEEKDAY(B5275)=7,1,0))))))</f>
        <v>2</v>
      </c>
      <c r="V5275" s="328">
        <f>VLOOKUP(C5275,METADATA!$A$5:$H$29,IF(E5275="HI",2,IF(E5275="LO",6,10))+IF(T5275=1,2,IF(D5275=7,1,(IF(WEEKDAY(B5275)=1,2,IF(WEEKDAY(B5275)=7,1,0))))))</f>
        <v>2</v>
      </c>
    </row>
    <row r="5276" spans="2:22">
      <c r="B5276" s="318">
        <f t="shared" ref="B5276:B5339" si="331">B5252+1</f>
        <v>46332</v>
      </c>
      <c r="C5276" s="312">
        <v>16</v>
      </c>
      <c r="D5276" s="368">
        <f>IFERROR((INDEX(METADATA!$T$2:$T$20,MATCH(B5276,METADATA!$S$2:$S$20,0))),0)</f>
        <v>0</v>
      </c>
      <c r="E5276" s="312" t="str">
        <f t="shared" si="328"/>
        <v>LO</v>
      </c>
      <c r="F5276" s="369">
        <f>VLOOKUP(C5276,METADATA!$A$5:$H$29,IF(E5276="HI",2,IF(E5276="LO",6,10))+IF(D5276=1,2,IF(D5276=7,1,(IF(WEEKDAY(B5276)=1,2,IF(WEEKDAY(B5276)=7,1,0))))))</f>
        <v>2</v>
      </c>
      <c r="G5276" s="369">
        <f>VLOOKUP(C5276,METADATA!$J$5:$Q$29,IF(E5276="HI",2,IF(E5276="LO",6,10))+IF(D5276=1,2,IF(D5276=7,1,(IF(WEEKDAY(B5276)=1,2,IF(WEEKDAY(B5276)=7,1,0))))))</f>
        <v>2</v>
      </c>
      <c r="H5276" s="370">
        <v>11670.374877929688</v>
      </c>
      <c r="I5276" s="370">
        <v>9001.275146484375</v>
      </c>
      <c r="M5276" s="371">
        <f t="shared" si="329"/>
        <v>14738.405750084698</v>
      </c>
      <c r="N5276" s="329">
        <f t="shared" si="330"/>
        <v>5500.1626831054691</v>
      </c>
      <c r="T5276" s="331">
        <v>0</v>
      </c>
      <c r="U5276" s="328">
        <f>VLOOKUP(C5276,METADATA!$J$5:$Q$29,IF(E5276="HI",2,IF(E5276="LO",6,10))+IF(T5276=1,2,IF(D5276=7,1,(IF(WEEKDAY(B5276)=1,2,IF(WEEKDAY(B5276)=7,1,0))))))</f>
        <v>2</v>
      </c>
      <c r="V5276" s="328">
        <f>VLOOKUP(C5276,METADATA!$A$5:$H$29,IF(E5276="HI",2,IF(E5276="LO",6,10))+IF(T5276=1,2,IF(D5276=7,1,(IF(WEEKDAY(B5276)=1,2,IF(WEEKDAY(B5276)=7,1,0))))))</f>
        <v>2</v>
      </c>
    </row>
    <row r="5277" spans="2:22">
      <c r="B5277" s="318">
        <f t="shared" si="331"/>
        <v>46332</v>
      </c>
      <c r="C5277" s="312">
        <v>17</v>
      </c>
      <c r="D5277" s="368">
        <f>IFERROR((INDEX(METADATA!$T$2:$T$20,MATCH(B5277,METADATA!$S$2:$S$20,0))),0)</f>
        <v>0</v>
      </c>
      <c r="E5277" s="312" t="str">
        <f t="shared" si="328"/>
        <v>LO</v>
      </c>
      <c r="F5277" s="369">
        <f>VLOOKUP(C5277,METADATA!$A$5:$H$29,IF(E5277="HI",2,IF(E5277="LO",6,10))+IF(D5277=1,2,IF(D5277=7,1,(IF(WEEKDAY(B5277)=1,2,IF(WEEKDAY(B5277)=7,1,0))))))</f>
        <v>2</v>
      </c>
      <c r="G5277" s="369">
        <f>VLOOKUP(C5277,METADATA!$J$5:$Q$29,IF(E5277="HI",2,IF(E5277="LO",6,10))+IF(D5277=1,2,IF(D5277=7,1,(IF(WEEKDAY(B5277)=1,2,IF(WEEKDAY(B5277)=7,1,0))))))</f>
        <v>2</v>
      </c>
      <c r="H5277" s="370">
        <v>5862.1775817871094</v>
      </c>
      <c r="I5277" s="370">
        <v>4594.2575836181641</v>
      </c>
      <c r="M5277" s="371">
        <f t="shared" si="329"/>
        <v>7447.9748082979158</v>
      </c>
      <c r="N5277" s="329">
        <f t="shared" si="330"/>
        <v>2835.6043090820313</v>
      </c>
      <c r="T5277" s="331">
        <v>0</v>
      </c>
      <c r="U5277" s="328">
        <f>VLOOKUP(C5277,METADATA!$J$5:$Q$29,IF(E5277="HI",2,IF(E5277="LO",6,10))+IF(T5277=1,2,IF(D5277=7,1,(IF(WEEKDAY(B5277)=1,2,IF(WEEKDAY(B5277)=7,1,0))))))</f>
        <v>2</v>
      </c>
      <c r="V5277" s="328">
        <f>VLOOKUP(C5277,METADATA!$A$5:$H$29,IF(E5277="HI",2,IF(E5277="LO",6,10))+IF(T5277=1,2,IF(D5277=7,1,(IF(WEEKDAY(B5277)=1,2,IF(WEEKDAY(B5277)=7,1,0))))))</f>
        <v>2</v>
      </c>
    </row>
    <row r="5278" spans="2:22">
      <c r="B5278" s="318">
        <f t="shared" si="331"/>
        <v>46332</v>
      </c>
      <c r="C5278" s="312">
        <v>18</v>
      </c>
      <c r="D5278" s="368">
        <f>IFERROR((INDEX(METADATA!$T$2:$T$20,MATCH(B5278,METADATA!$S$2:$S$20,0))),0)</f>
        <v>0</v>
      </c>
      <c r="E5278" s="312" t="str">
        <f t="shared" si="328"/>
        <v>LO</v>
      </c>
      <c r="F5278" s="369">
        <f>VLOOKUP(C5278,METADATA!$A$5:$H$29,IF(E5278="HI",2,IF(E5278="LO",6,10))+IF(D5278=1,2,IF(D5278=7,1,(IF(WEEKDAY(B5278)=1,2,IF(WEEKDAY(B5278)=7,1,0))))))</f>
        <v>1</v>
      </c>
      <c r="G5278" s="369">
        <f>VLOOKUP(C5278,METADATA!$J$5:$Q$29,IF(E5278="HI",2,IF(E5278="LO",6,10))+IF(D5278=1,2,IF(D5278=7,1,(IF(WEEKDAY(B5278)=1,2,IF(WEEKDAY(B5278)=7,1,0))))))</f>
        <v>1</v>
      </c>
      <c r="H5278" s="370">
        <v>942.84001159667969</v>
      </c>
      <c r="I5278" s="370">
        <v>808.34750366210938</v>
      </c>
      <c r="M5278" s="371">
        <f t="shared" si="329"/>
        <v>1241.9230951006552</v>
      </c>
      <c r="N5278" s="329">
        <f t="shared" si="330"/>
        <v>525.49550018310549</v>
      </c>
      <c r="T5278" s="331">
        <v>0</v>
      </c>
      <c r="U5278" s="328">
        <f>VLOOKUP(C5278,METADATA!$J$5:$Q$29,IF(E5278="HI",2,IF(E5278="LO",6,10))+IF(T5278=1,2,IF(D5278=7,1,(IF(WEEKDAY(B5278)=1,2,IF(WEEKDAY(B5278)=7,1,0))))))</f>
        <v>1</v>
      </c>
      <c r="V5278" s="328">
        <f>VLOOKUP(C5278,METADATA!$A$5:$H$29,IF(E5278="HI",2,IF(E5278="LO",6,10))+IF(T5278=1,2,IF(D5278=7,1,(IF(WEEKDAY(B5278)=1,2,IF(WEEKDAY(B5278)=7,1,0))))))</f>
        <v>1</v>
      </c>
    </row>
    <row r="5279" spans="2:22">
      <c r="B5279" s="318">
        <f t="shared" si="331"/>
        <v>46332</v>
      </c>
      <c r="C5279" s="312">
        <v>19</v>
      </c>
      <c r="D5279" s="368">
        <f>IFERROR((INDEX(METADATA!$T$2:$T$20,MATCH(B5279,METADATA!$S$2:$S$20,0))),0)</f>
        <v>0</v>
      </c>
      <c r="E5279" s="312" t="str">
        <f t="shared" si="328"/>
        <v>LO</v>
      </c>
      <c r="F5279" s="369">
        <f>VLOOKUP(C5279,METADATA!$A$5:$H$29,IF(E5279="HI",2,IF(E5279="LO",6,10))+IF(D5279=1,2,IF(D5279=7,1,(IF(WEEKDAY(B5279)=1,2,IF(WEEKDAY(B5279)=7,1,0))))))</f>
        <v>1</v>
      </c>
      <c r="G5279" s="369">
        <f>VLOOKUP(C5279,METADATA!$J$5:$Q$29,IF(E5279="HI",2,IF(E5279="LO",6,10))+IF(D5279=1,2,IF(D5279=7,1,(IF(WEEKDAY(B5279)=1,2,IF(WEEKDAY(B5279)=7,1,0))))))</f>
        <v>1</v>
      </c>
      <c r="H5279" s="370">
        <v>1467.5794094996527</v>
      </c>
      <c r="I5279" s="370">
        <v>1504.5299182124436</v>
      </c>
      <c r="M5279" s="371">
        <f t="shared" si="329"/>
        <v>2101.7610706223704</v>
      </c>
      <c r="N5279" s="329">
        <f t="shared" si="330"/>
        <v>1064.2560953625477</v>
      </c>
      <c r="T5279" s="331">
        <v>0</v>
      </c>
      <c r="U5279" s="328">
        <f>VLOOKUP(C5279,METADATA!$J$5:$Q$29,IF(E5279="HI",2,IF(E5279="LO",6,10))+IF(T5279=1,2,IF(D5279=7,1,(IF(WEEKDAY(B5279)=1,2,IF(WEEKDAY(B5279)=7,1,0))))))</f>
        <v>1</v>
      </c>
      <c r="V5279" s="328">
        <f>VLOOKUP(C5279,METADATA!$A$5:$H$29,IF(E5279="HI",2,IF(E5279="LO",6,10))+IF(T5279=1,2,IF(D5279=7,1,(IF(WEEKDAY(B5279)=1,2,IF(WEEKDAY(B5279)=7,1,0))))))</f>
        <v>1</v>
      </c>
    </row>
    <row r="5280" spans="2:22">
      <c r="B5280" s="318">
        <f t="shared" si="331"/>
        <v>46332</v>
      </c>
      <c r="C5280" s="312">
        <v>20</v>
      </c>
      <c r="D5280" s="368">
        <f>IFERROR((INDEX(METADATA!$T$2:$T$20,MATCH(B5280,METADATA!$S$2:$S$20,0))),0)</f>
        <v>0</v>
      </c>
      <c r="E5280" s="312" t="str">
        <f t="shared" si="328"/>
        <v>LO</v>
      </c>
      <c r="F5280" s="369">
        <f>VLOOKUP(C5280,METADATA!$A$5:$H$29,IF(E5280="HI",2,IF(E5280="LO",6,10))+IF(D5280=1,2,IF(D5280=7,1,(IF(WEEKDAY(B5280)=1,2,IF(WEEKDAY(B5280)=7,1,0))))))</f>
        <v>1</v>
      </c>
      <c r="G5280" s="369">
        <f>VLOOKUP(C5280,METADATA!$J$5:$Q$29,IF(E5280="HI",2,IF(E5280="LO",6,10))+IF(D5280=1,2,IF(D5280=7,1,(IF(WEEKDAY(B5280)=1,2,IF(WEEKDAY(B5280)=7,1,0))))))</f>
        <v>1</v>
      </c>
      <c r="H5280" s="370">
        <v>3857.2550659179688</v>
      </c>
      <c r="I5280" s="370">
        <v>3929.3399963378906</v>
      </c>
      <c r="M5280" s="371">
        <f t="shared" si="329"/>
        <v>5506.1901029995761</v>
      </c>
      <c r="N5280" s="329">
        <f t="shared" si="330"/>
        <v>2772.1634765625004</v>
      </c>
      <c r="T5280" s="331">
        <v>0</v>
      </c>
      <c r="U5280" s="328">
        <f>VLOOKUP(C5280,METADATA!$J$5:$Q$29,IF(E5280="HI",2,IF(E5280="LO",6,10))+IF(T5280=1,2,IF(D5280=7,1,(IF(WEEKDAY(B5280)=1,2,IF(WEEKDAY(B5280)=7,1,0))))))</f>
        <v>1</v>
      </c>
      <c r="V5280" s="328">
        <f>VLOOKUP(C5280,METADATA!$A$5:$H$29,IF(E5280="HI",2,IF(E5280="LO",6,10))+IF(T5280=1,2,IF(D5280=7,1,(IF(WEEKDAY(B5280)=1,2,IF(WEEKDAY(B5280)=7,1,0))))))</f>
        <v>1</v>
      </c>
    </row>
    <row r="5281" spans="2:22">
      <c r="B5281" s="318">
        <f t="shared" si="331"/>
        <v>46332</v>
      </c>
      <c r="C5281" s="312">
        <v>21</v>
      </c>
      <c r="D5281" s="368">
        <f>IFERROR((INDEX(METADATA!$T$2:$T$20,MATCH(B5281,METADATA!$S$2:$S$20,0))),0)</f>
        <v>0</v>
      </c>
      <c r="E5281" s="312" t="str">
        <f t="shared" si="328"/>
        <v>LO</v>
      </c>
      <c r="F5281" s="369">
        <f>VLOOKUP(C5281,METADATA!$A$5:$H$29,IF(E5281="HI",2,IF(E5281="LO",6,10))+IF(D5281=1,2,IF(D5281=7,1,(IF(WEEKDAY(B5281)=1,2,IF(WEEKDAY(B5281)=7,1,0))))))</f>
        <v>2</v>
      </c>
      <c r="G5281" s="369">
        <f>VLOOKUP(C5281,METADATA!$J$5:$Q$29,IF(E5281="HI",2,IF(E5281="LO",6,10))+IF(D5281=1,2,IF(D5281=7,1,(IF(WEEKDAY(B5281)=1,2,IF(WEEKDAY(B5281)=7,1,0))))))</f>
        <v>2</v>
      </c>
      <c r="H5281" s="370">
        <v>6101.824951171875</v>
      </c>
      <c r="I5281" s="370">
        <v>5273.5000610351563</v>
      </c>
      <c r="M5281" s="371">
        <f t="shared" si="329"/>
        <v>8064.866435873656</v>
      </c>
      <c r="N5281" s="329">
        <f t="shared" si="330"/>
        <v>3442.9525756835938</v>
      </c>
      <c r="T5281" s="331">
        <v>0</v>
      </c>
      <c r="U5281" s="328">
        <f>VLOOKUP(C5281,METADATA!$J$5:$Q$29,IF(E5281="HI",2,IF(E5281="LO",6,10))+IF(T5281=1,2,IF(D5281=7,1,(IF(WEEKDAY(B5281)=1,2,IF(WEEKDAY(B5281)=7,1,0))))))</f>
        <v>2</v>
      </c>
      <c r="V5281" s="328">
        <f>VLOOKUP(C5281,METADATA!$A$5:$H$29,IF(E5281="HI",2,IF(E5281="LO",6,10))+IF(T5281=1,2,IF(D5281=7,1,(IF(WEEKDAY(B5281)=1,2,IF(WEEKDAY(B5281)=7,1,0))))))</f>
        <v>2</v>
      </c>
    </row>
    <row r="5282" spans="2:22">
      <c r="B5282" s="318">
        <f t="shared" si="331"/>
        <v>46332</v>
      </c>
      <c r="C5282" s="312">
        <v>22</v>
      </c>
      <c r="D5282" s="368">
        <f>IFERROR((INDEX(METADATA!$T$2:$T$20,MATCH(B5282,METADATA!$S$2:$S$20,0))),0)</f>
        <v>0</v>
      </c>
      <c r="E5282" s="312" t="str">
        <f t="shared" si="328"/>
        <v>LO</v>
      </c>
      <c r="F5282" s="369">
        <f>VLOOKUP(C5282,METADATA!$A$5:$H$29,IF(E5282="HI",2,IF(E5282="LO",6,10))+IF(D5282=1,2,IF(D5282=7,1,(IF(WEEKDAY(B5282)=1,2,IF(WEEKDAY(B5282)=7,1,0))))))</f>
        <v>3</v>
      </c>
      <c r="G5282" s="369">
        <f>VLOOKUP(C5282,METADATA!$J$5:$Q$29,IF(E5282="HI",2,IF(E5282="LO",6,10))+IF(D5282=1,2,IF(D5282=7,1,(IF(WEEKDAY(B5282)=1,2,IF(WEEKDAY(B5282)=7,1,0))))))</f>
        <v>3</v>
      </c>
      <c r="H5282" s="370">
        <v>7355</v>
      </c>
      <c r="I5282" s="370">
        <v>6076.9501342773438</v>
      </c>
      <c r="M5282" s="371">
        <f t="shared" si="329"/>
        <v>9540.7205144314667</v>
      </c>
      <c r="N5282" s="329">
        <f t="shared" si="330"/>
        <v>3870.4501342773438</v>
      </c>
      <c r="T5282" s="331">
        <v>0</v>
      </c>
      <c r="U5282" s="328">
        <f>VLOOKUP(C5282,METADATA!$J$5:$Q$29,IF(E5282="HI",2,IF(E5282="LO",6,10))+IF(T5282=1,2,IF(D5282=7,1,(IF(WEEKDAY(B5282)=1,2,IF(WEEKDAY(B5282)=7,1,0))))))</f>
        <v>3</v>
      </c>
      <c r="V5282" s="328">
        <f>VLOOKUP(C5282,METADATA!$A$5:$H$29,IF(E5282="HI",2,IF(E5282="LO",6,10))+IF(T5282=1,2,IF(D5282=7,1,(IF(WEEKDAY(B5282)=1,2,IF(WEEKDAY(B5282)=7,1,0))))))</f>
        <v>3</v>
      </c>
    </row>
    <row r="5283" spans="2:22">
      <c r="B5283" s="318">
        <f t="shared" si="331"/>
        <v>46332</v>
      </c>
      <c r="C5283" s="312">
        <v>23</v>
      </c>
      <c r="D5283" s="368">
        <f>IFERROR((INDEX(METADATA!$T$2:$T$20,MATCH(B5283,METADATA!$S$2:$S$20,0))),0)</f>
        <v>0</v>
      </c>
      <c r="E5283" s="312" t="str">
        <f t="shared" si="328"/>
        <v>LO</v>
      </c>
      <c r="F5283" s="369">
        <f>VLOOKUP(C5283,METADATA!$A$5:$H$29,IF(E5283="HI",2,IF(E5283="LO",6,10))+IF(D5283=1,2,IF(D5283=7,1,(IF(WEEKDAY(B5283)=1,2,IF(WEEKDAY(B5283)=7,1,0))))))</f>
        <v>3</v>
      </c>
      <c r="G5283" s="369">
        <f>VLOOKUP(C5283,METADATA!$J$5:$Q$29,IF(E5283="HI",2,IF(E5283="LO",6,10))+IF(D5283=1,2,IF(D5283=7,1,(IF(WEEKDAY(B5283)=1,2,IF(WEEKDAY(B5283)=7,1,0))))))</f>
        <v>3</v>
      </c>
      <c r="H5283" s="370">
        <v>10016.27490234375</v>
      </c>
      <c r="I5283" s="370">
        <v>7953.2748413085938</v>
      </c>
      <c r="M5283" s="371">
        <f t="shared" si="329"/>
        <v>12789.853150865867</v>
      </c>
      <c r="N5283" s="329">
        <f t="shared" si="330"/>
        <v>4948.3923706054684</v>
      </c>
      <c r="T5283" s="331">
        <v>0</v>
      </c>
      <c r="U5283" s="328">
        <f>VLOOKUP(C5283,METADATA!$J$5:$Q$29,IF(E5283="HI",2,IF(E5283="LO",6,10))+IF(T5283=1,2,IF(D5283=7,1,(IF(WEEKDAY(B5283)=1,2,IF(WEEKDAY(B5283)=7,1,0))))))</f>
        <v>3</v>
      </c>
      <c r="V5283" s="328">
        <f>VLOOKUP(C5283,METADATA!$A$5:$H$29,IF(E5283="HI",2,IF(E5283="LO",6,10))+IF(T5283=1,2,IF(D5283=7,1,(IF(WEEKDAY(B5283)=1,2,IF(WEEKDAY(B5283)=7,1,0))))))</f>
        <v>3</v>
      </c>
    </row>
    <row r="5284" spans="2:22">
      <c r="B5284" s="318">
        <f t="shared" si="331"/>
        <v>46333</v>
      </c>
      <c r="C5284" s="312">
        <v>0</v>
      </c>
      <c r="D5284" s="368">
        <f>IFERROR((INDEX(METADATA!$T$2:$T$20,MATCH(B5284,METADATA!$S$2:$S$20,0))),0)</f>
        <v>0</v>
      </c>
      <c r="E5284" s="312" t="str">
        <f t="shared" si="328"/>
        <v>LO</v>
      </c>
      <c r="F5284" s="369">
        <f>VLOOKUP(C5284,METADATA!$A$5:$H$29,IF(E5284="HI",2,IF(E5284="LO",6,10))+IF(D5284=1,2,IF(D5284=7,1,(IF(WEEKDAY(B5284)=1,2,IF(WEEKDAY(B5284)=7,1,0))))))</f>
        <v>3</v>
      </c>
      <c r="G5284" s="369">
        <f>VLOOKUP(C5284,METADATA!$J$5:$Q$29,IF(E5284="HI",2,IF(E5284="LO",6,10))+IF(D5284=1,2,IF(D5284=7,1,(IF(WEEKDAY(B5284)=1,2,IF(WEEKDAY(B5284)=7,1,0))))))</f>
        <v>3</v>
      </c>
      <c r="H5284" s="370">
        <v>9782.550048828125</v>
      </c>
      <c r="I5284" s="370">
        <v>7918.67529296875</v>
      </c>
      <c r="M5284" s="371">
        <f t="shared" si="329"/>
        <v>12585.853322413259</v>
      </c>
      <c r="N5284" s="329">
        <f t="shared" si="330"/>
        <v>4983.9102783203125</v>
      </c>
      <c r="T5284" s="331">
        <v>0</v>
      </c>
      <c r="U5284" s="328">
        <f>VLOOKUP(C5284,METADATA!$J$5:$Q$29,IF(E5284="HI",2,IF(E5284="LO",6,10))+IF(T5284=1,2,IF(D5284=7,1,(IF(WEEKDAY(B5284)=1,2,IF(WEEKDAY(B5284)=7,1,0))))))</f>
        <v>3</v>
      </c>
      <c r="V5284" s="328">
        <f>VLOOKUP(C5284,METADATA!$A$5:$H$29,IF(E5284="HI",2,IF(E5284="LO",6,10))+IF(T5284=1,2,IF(D5284=7,1,(IF(WEEKDAY(B5284)=1,2,IF(WEEKDAY(B5284)=7,1,0))))))</f>
        <v>3</v>
      </c>
    </row>
    <row r="5285" spans="2:22">
      <c r="B5285" s="318">
        <f t="shared" si="331"/>
        <v>46333</v>
      </c>
      <c r="C5285" s="312">
        <v>1</v>
      </c>
      <c r="D5285" s="368">
        <f>IFERROR((INDEX(METADATA!$T$2:$T$20,MATCH(B5285,METADATA!$S$2:$S$20,0))),0)</f>
        <v>0</v>
      </c>
      <c r="E5285" s="312" t="str">
        <f t="shared" si="328"/>
        <v>LO</v>
      </c>
      <c r="F5285" s="369">
        <f>VLOOKUP(C5285,METADATA!$A$5:$H$29,IF(E5285="HI",2,IF(E5285="LO",6,10))+IF(D5285=1,2,IF(D5285=7,1,(IF(WEEKDAY(B5285)=1,2,IF(WEEKDAY(B5285)=7,1,0))))))</f>
        <v>3</v>
      </c>
      <c r="G5285" s="369">
        <f>VLOOKUP(C5285,METADATA!$J$5:$Q$29,IF(E5285="HI",2,IF(E5285="LO",6,10))+IF(D5285=1,2,IF(D5285=7,1,(IF(WEEKDAY(B5285)=1,2,IF(WEEKDAY(B5285)=7,1,0))))))</f>
        <v>3</v>
      </c>
      <c r="H5285" s="370">
        <v>8362.1774291992188</v>
      </c>
      <c r="I5285" s="370">
        <v>7418.4775390625</v>
      </c>
      <c r="M5285" s="371">
        <f t="shared" si="329"/>
        <v>11178.542854727697</v>
      </c>
      <c r="N5285" s="329">
        <f t="shared" si="330"/>
        <v>4909.8243103027344</v>
      </c>
      <c r="T5285" s="331">
        <v>0</v>
      </c>
      <c r="U5285" s="328">
        <f>VLOOKUP(C5285,METADATA!$J$5:$Q$29,IF(E5285="HI",2,IF(E5285="LO",6,10))+IF(T5285=1,2,IF(D5285=7,1,(IF(WEEKDAY(B5285)=1,2,IF(WEEKDAY(B5285)=7,1,0))))))</f>
        <v>3</v>
      </c>
      <c r="V5285" s="328">
        <f>VLOOKUP(C5285,METADATA!$A$5:$H$29,IF(E5285="HI",2,IF(E5285="LO",6,10))+IF(T5285=1,2,IF(D5285=7,1,(IF(WEEKDAY(B5285)=1,2,IF(WEEKDAY(B5285)=7,1,0))))))</f>
        <v>3</v>
      </c>
    </row>
    <row r="5286" spans="2:22">
      <c r="B5286" s="318">
        <f t="shared" si="331"/>
        <v>46333</v>
      </c>
      <c r="C5286" s="312">
        <v>2</v>
      </c>
      <c r="D5286" s="368">
        <f>IFERROR((INDEX(METADATA!$T$2:$T$20,MATCH(B5286,METADATA!$S$2:$S$20,0))),0)</f>
        <v>0</v>
      </c>
      <c r="E5286" s="312" t="str">
        <f t="shared" si="328"/>
        <v>LO</v>
      </c>
      <c r="F5286" s="369">
        <f>VLOOKUP(C5286,METADATA!$A$5:$H$29,IF(E5286="HI",2,IF(E5286="LO",6,10))+IF(D5286=1,2,IF(D5286=7,1,(IF(WEEKDAY(B5286)=1,2,IF(WEEKDAY(B5286)=7,1,0))))))</f>
        <v>3</v>
      </c>
      <c r="G5286" s="369">
        <f>VLOOKUP(C5286,METADATA!$J$5:$Q$29,IF(E5286="HI",2,IF(E5286="LO",6,10))+IF(D5286=1,2,IF(D5286=7,1,(IF(WEEKDAY(B5286)=1,2,IF(WEEKDAY(B5286)=7,1,0))))))</f>
        <v>3</v>
      </c>
      <c r="H5286" s="370">
        <v>10929.974914550781</v>
      </c>
      <c r="I5286" s="370">
        <v>8506.2500610351563</v>
      </c>
      <c r="M5286" s="371">
        <f t="shared" si="329"/>
        <v>13849.93291440684</v>
      </c>
      <c r="N5286" s="329">
        <f t="shared" si="330"/>
        <v>5227.2575866699226</v>
      </c>
      <c r="T5286" s="331">
        <v>0</v>
      </c>
      <c r="U5286" s="328">
        <f>VLOOKUP(C5286,METADATA!$J$5:$Q$29,IF(E5286="HI",2,IF(E5286="LO",6,10))+IF(T5286=1,2,IF(D5286=7,1,(IF(WEEKDAY(B5286)=1,2,IF(WEEKDAY(B5286)=7,1,0))))))</f>
        <v>3</v>
      </c>
      <c r="V5286" s="328">
        <f>VLOOKUP(C5286,METADATA!$A$5:$H$29,IF(E5286="HI",2,IF(E5286="LO",6,10))+IF(T5286=1,2,IF(D5286=7,1,(IF(WEEKDAY(B5286)=1,2,IF(WEEKDAY(B5286)=7,1,0))))))</f>
        <v>3</v>
      </c>
    </row>
    <row r="5287" spans="2:22">
      <c r="B5287" s="318">
        <f t="shared" si="331"/>
        <v>46333</v>
      </c>
      <c r="C5287" s="312">
        <v>3</v>
      </c>
      <c r="D5287" s="368">
        <f>IFERROR((INDEX(METADATA!$T$2:$T$20,MATCH(B5287,METADATA!$S$2:$S$20,0))),0)</f>
        <v>0</v>
      </c>
      <c r="E5287" s="312" t="str">
        <f t="shared" si="328"/>
        <v>LO</v>
      </c>
      <c r="F5287" s="369">
        <f>VLOOKUP(C5287,METADATA!$A$5:$H$29,IF(E5287="HI",2,IF(E5287="LO",6,10))+IF(D5287=1,2,IF(D5287=7,1,(IF(WEEKDAY(B5287)=1,2,IF(WEEKDAY(B5287)=7,1,0))))))</f>
        <v>3</v>
      </c>
      <c r="G5287" s="369">
        <f>VLOOKUP(C5287,METADATA!$J$5:$Q$29,IF(E5287="HI",2,IF(E5287="LO",6,10))+IF(D5287=1,2,IF(D5287=7,1,(IF(WEEKDAY(B5287)=1,2,IF(WEEKDAY(B5287)=7,1,0))))))</f>
        <v>3</v>
      </c>
      <c r="H5287" s="370">
        <v>11304.050231933594</v>
      </c>
      <c r="I5287" s="370">
        <v>8704.0001831054688</v>
      </c>
      <c r="M5287" s="371">
        <f t="shared" si="329"/>
        <v>14266.785581678094</v>
      </c>
      <c r="N5287" s="329">
        <f t="shared" si="330"/>
        <v>5312.7851135253914</v>
      </c>
      <c r="T5287" s="331">
        <v>0</v>
      </c>
      <c r="U5287" s="328">
        <f>VLOOKUP(C5287,METADATA!$J$5:$Q$29,IF(E5287="HI",2,IF(E5287="LO",6,10))+IF(T5287=1,2,IF(D5287=7,1,(IF(WEEKDAY(B5287)=1,2,IF(WEEKDAY(B5287)=7,1,0))))))</f>
        <v>3</v>
      </c>
      <c r="V5287" s="328">
        <f>VLOOKUP(C5287,METADATA!$A$5:$H$29,IF(E5287="HI",2,IF(E5287="LO",6,10))+IF(T5287=1,2,IF(D5287=7,1,(IF(WEEKDAY(B5287)=1,2,IF(WEEKDAY(B5287)=7,1,0))))))</f>
        <v>3</v>
      </c>
    </row>
    <row r="5288" spans="2:22">
      <c r="B5288" s="318">
        <f t="shared" si="331"/>
        <v>46333</v>
      </c>
      <c r="C5288" s="312">
        <v>4</v>
      </c>
      <c r="D5288" s="368">
        <f>IFERROR((INDEX(METADATA!$T$2:$T$20,MATCH(B5288,METADATA!$S$2:$S$20,0))),0)</f>
        <v>0</v>
      </c>
      <c r="E5288" s="312" t="str">
        <f t="shared" si="328"/>
        <v>LO</v>
      </c>
      <c r="F5288" s="369">
        <f>VLOOKUP(C5288,METADATA!$A$5:$H$29,IF(E5288="HI",2,IF(E5288="LO",6,10))+IF(D5288=1,2,IF(D5288=7,1,(IF(WEEKDAY(B5288)=1,2,IF(WEEKDAY(B5288)=7,1,0))))))</f>
        <v>3</v>
      </c>
      <c r="G5288" s="369">
        <f>VLOOKUP(C5288,METADATA!$J$5:$Q$29,IF(E5288="HI",2,IF(E5288="LO",6,10))+IF(D5288=1,2,IF(D5288=7,1,(IF(WEEKDAY(B5288)=1,2,IF(WEEKDAY(B5288)=7,1,0))))))</f>
        <v>3</v>
      </c>
      <c r="H5288" s="370">
        <v>11206.250244140625</v>
      </c>
      <c r="I5288" s="370">
        <v>8549.724853515625</v>
      </c>
      <c r="M5288" s="371">
        <f t="shared" si="329"/>
        <v>14095.312682062948</v>
      </c>
      <c r="N5288" s="329">
        <f t="shared" si="330"/>
        <v>5187.8497802734382</v>
      </c>
      <c r="T5288" s="331">
        <v>0</v>
      </c>
      <c r="U5288" s="328">
        <f>VLOOKUP(C5288,METADATA!$J$5:$Q$29,IF(E5288="HI",2,IF(E5288="LO",6,10))+IF(T5288=1,2,IF(D5288=7,1,(IF(WEEKDAY(B5288)=1,2,IF(WEEKDAY(B5288)=7,1,0))))))</f>
        <v>3</v>
      </c>
      <c r="V5288" s="328">
        <f>VLOOKUP(C5288,METADATA!$A$5:$H$29,IF(E5288="HI",2,IF(E5288="LO",6,10))+IF(T5288=1,2,IF(D5288=7,1,(IF(WEEKDAY(B5288)=1,2,IF(WEEKDAY(B5288)=7,1,0))))))</f>
        <v>3</v>
      </c>
    </row>
    <row r="5289" spans="2:22">
      <c r="B5289" s="318">
        <f t="shared" si="331"/>
        <v>46333</v>
      </c>
      <c r="C5289" s="312">
        <v>5</v>
      </c>
      <c r="D5289" s="368">
        <f>IFERROR((INDEX(METADATA!$T$2:$T$20,MATCH(B5289,METADATA!$S$2:$S$20,0))),0)</f>
        <v>0</v>
      </c>
      <c r="E5289" s="312" t="str">
        <f t="shared" si="328"/>
        <v>LO</v>
      </c>
      <c r="F5289" s="369">
        <f>VLOOKUP(C5289,METADATA!$A$5:$H$29,IF(E5289="HI",2,IF(E5289="LO",6,10))+IF(D5289=1,2,IF(D5289=7,1,(IF(WEEKDAY(B5289)=1,2,IF(WEEKDAY(B5289)=7,1,0))))))</f>
        <v>3</v>
      </c>
      <c r="G5289" s="369">
        <f>VLOOKUP(C5289,METADATA!$J$5:$Q$29,IF(E5289="HI",2,IF(E5289="LO",6,10))+IF(D5289=1,2,IF(D5289=7,1,(IF(WEEKDAY(B5289)=1,2,IF(WEEKDAY(B5289)=7,1,0))))))</f>
        <v>3</v>
      </c>
      <c r="H5289" s="370">
        <v>11280.524841308594</v>
      </c>
      <c r="I5289" s="370">
        <v>8635.9248046875</v>
      </c>
      <c r="M5289" s="371">
        <f t="shared" si="329"/>
        <v>14206.668783624016</v>
      </c>
      <c r="N5289" s="329">
        <f t="shared" si="330"/>
        <v>5251.7673522949226</v>
      </c>
      <c r="T5289" s="331">
        <v>0</v>
      </c>
      <c r="U5289" s="328">
        <f>VLOOKUP(C5289,METADATA!$J$5:$Q$29,IF(E5289="HI",2,IF(E5289="LO",6,10))+IF(T5289=1,2,IF(D5289=7,1,(IF(WEEKDAY(B5289)=1,2,IF(WEEKDAY(B5289)=7,1,0))))))</f>
        <v>3</v>
      </c>
      <c r="V5289" s="328">
        <f>VLOOKUP(C5289,METADATA!$A$5:$H$29,IF(E5289="HI",2,IF(E5289="LO",6,10))+IF(T5289=1,2,IF(D5289=7,1,(IF(WEEKDAY(B5289)=1,2,IF(WEEKDAY(B5289)=7,1,0))))))</f>
        <v>3</v>
      </c>
    </row>
    <row r="5290" spans="2:22">
      <c r="B5290" s="318">
        <f t="shared" si="331"/>
        <v>46333</v>
      </c>
      <c r="C5290" s="312">
        <v>6</v>
      </c>
      <c r="D5290" s="368">
        <f>IFERROR((INDEX(METADATA!$T$2:$T$20,MATCH(B5290,METADATA!$S$2:$S$20,0))),0)</f>
        <v>0</v>
      </c>
      <c r="E5290" s="312" t="str">
        <f t="shared" si="328"/>
        <v>LO</v>
      </c>
      <c r="F5290" s="369">
        <f>VLOOKUP(C5290,METADATA!$A$5:$H$29,IF(E5290="HI",2,IF(E5290="LO",6,10))+IF(D5290=1,2,IF(D5290=7,1,(IF(WEEKDAY(B5290)=1,2,IF(WEEKDAY(B5290)=7,1,0))))))</f>
        <v>3</v>
      </c>
      <c r="G5290" s="369">
        <f>VLOOKUP(C5290,METADATA!$J$5:$Q$29,IF(E5290="HI",2,IF(E5290="LO",6,10))+IF(D5290=1,2,IF(D5290=7,1,(IF(WEEKDAY(B5290)=1,2,IF(WEEKDAY(B5290)=7,1,0))))))</f>
        <v>3</v>
      </c>
      <c r="H5290" s="370">
        <v>11136.825012207031</v>
      </c>
      <c r="I5290" s="370">
        <v>8503.750244140625</v>
      </c>
      <c r="M5290" s="371">
        <f t="shared" si="329"/>
        <v>14012.231783953684</v>
      </c>
      <c r="N5290" s="329">
        <f t="shared" si="330"/>
        <v>5162.7027404785158</v>
      </c>
      <c r="T5290" s="331">
        <v>0</v>
      </c>
      <c r="U5290" s="328">
        <f>VLOOKUP(C5290,METADATA!$J$5:$Q$29,IF(E5290="HI",2,IF(E5290="LO",6,10))+IF(T5290=1,2,IF(D5290=7,1,(IF(WEEKDAY(B5290)=1,2,IF(WEEKDAY(B5290)=7,1,0))))))</f>
        <v>3</v>
      </c>
      <c r="V5290" s="328">
        <f>VLOOKUP(C5290,METADATA!$A$5:$H$29,IF(E5290="HI",2,IF(E5290="LO",6,10))+IF(T5290=1,2,IF(D5290=7,1,(IF(WEEKDAY(B5290)=1,2,IF(WEEKDAY(B5290)=7,1,0))))))</f>
        <v>3</v>
      </c>
    </row>
    <row r="5291" spans="2:22">
      <c r="B5291" s="318">
        <f t="shared" si="331"/>
        <v>46333</v>
      </c>
      <c r="C5291" s="312">
        <v>7</v>
      </c>
      <c r="D5291" s="368">
        <f>IFERROR((INDEX(METADATA!$T$2:$T$20,MATCH(B5291,METADATA!$S$2:$S$20,0))),0)</f>
        <v>0</v>
      </c>
      <c r="E5291" s="312" t="str">
        <f t="shared" si="328"/>
        <v>LO</v>
      </c>
      <c r="F5291" s="369">
        <f>VLOOKUP(C5291,METADATA!$A$5:$H$29,IF(E5291="HI",2,IF(E5291="LO",6,10))+IF(D5291=1,2,IF(D5291=7,1,(IF(WEEKDAY(B5291)=1,2,IF(WEEKDAY(B5291)=7,1,0))))))</f>
        <v>2</v>
      </c>
      <c r="G5291" s="369">
        <f>VLOOKUP(C5291,METADATA!$J$5:$Q$29,IF(E5291="HI",2,IF(E5291="LO",6,10))+IF(D5291=1,2,IF(D5291=7,1,(IF(WEEKDAY(B5291)=1,2,IF(WEEKDAY(B5291)=7,1,0))))))</f>
        <v>2</v>
      </c>
      <c r="H5291" s="370">
        <v>11442.775024414063</v>
      </c>
      <c r="I5291" s="370">
        <v>8537.2999877929688</v>
      </c>
      <c r="M5291" s="371">
        <f t="shared" si="329"/>
        <v>14276.644960946674</v>
      </c>
      <c r="N5291" s="329">
        <f t="shared" si="330"/>
        <v>5104.4674804687502</v>
      </c>
      <c r="T5291" s="331">
        <v>0</v>
      </c>
      <c r="U5291" s="328">
        <f>VLOOKUP(C5291,METADATA!$J$5:$Q$29,IF(E5291="HI",2,IF(E5291="LO",6,10))+IF(T5291=1,2,IF(D5291=7,1,(IF(WEEKDAY(B5291)=1,2,IF(WEEKDAY(B5291)=7,1,0))))))</f>
        <v>2</v>
      </c>
      <c r="V5291" s="328">
        <f>VLOOKUP(C5291,METADATA!$A$5:$H$29,IF(E5291="HI",2,IF(E5291="LO",6,10))+IF(T5291=1,2,IF(D5291=7,1,(IF(WEEKDAY(B5291)=1,2,IF(WEEKDAY(B5291)=7,1,0))))))</f>
        <v>2</v>
      </c>
    </row>
    <row r="5292" spans="2:22">
      <c r="B5292" s="318">
        <f t="shared" si="331"/>
        <v>46333</v>
      </c>
      <c r="C5292" s="312">
        <v>8</v>
      </c>
      <c r="D5292" s="368">
        <f>IFERROR((INDEX(METADATA!$T$2:$T$20,MATCH(B5292,METADATA!$S$2:$S$20,0))),0)</f>
        <v>0</v>
      </c>
      <c r="E5292" s="312" t="str">
        <f t="shared" si="328"/>
        <v>LO</v>
      </c>
      <c r="F5292" s="369">
        <f>VLOOKUP(C5292,METADATA!$A$5:$H$29,IF(E5292="HI",2,IF(E5292="LO",6,10))+IF(D5292=1,2,IF(D5292=7,1,(IF(WEEKDAY(B5292)=1,2,IF(WEEKDAY(B5292)=7,1,0))))))</f>
        <v>2</v>
      </c>
      <c r="G5292" s="369">
        <f>VLOOKUP(C5292,METADATA!$J$5:$Q$29,IF(E5292="HI",2,IF(E5292="LO",6,10))+IF(D5292=1,2,IF(D5292=7,1,(IF(WEEKDAY(B5292)=1,2,IF(WEEKDAY(B5292)=7,1,0))))))</f>
        <v>2</v>
      </c>
      <c r="H5292" s="370">
        <v>11688.550109863281</v>
      </c>
      <c r="I5292" s="370">
        <v>8599.2500610351563</v>
      </c>
      <c r="M5292" s="371">
        <f t="shared" si="329"/>
        <v>14511.006349767684</v>
      </c>
      <c r="N5292" s="329">
        <f t="shared" si="330"/>
        <v>5092.6850280761719</v>
      </c>
      <c r="T5292" s="331">
        <v>0</v>
      </c>
      <c r="U5292" s="328">
        <f>VLOOKUP(C5292,METADATA!$J$5:$Q$29,IF(E5292="HI",2,IF(E5292="LO",6,10))+IF(T5292=1,2,IF(D5292=7,1,(IF(WEEKDAY(B5292)=1,2,IF(WEEKDAY(B5292)=7,1,0))))))</f>
        <v>2</v>
      </c>
      <c r="V5292" s="328">
        <f>VLOOKUP(C5292,METADATA!$A$5:$H$29,IF(E5292="HI",2,IF(E5292="LO",6,10))+IF(T5292=1,2,IF(D5292=7,1,(IF(WEEKDAY(B5292)=1,2,IF(WEEKDAY(B5292)=7,1,0))))))</f>
        <v>2</v>
      </c>
    </row>
    <row r="5293" spans="2:22">
      <c r="B5293" s="318">
        <f t="shared" si="331"/>
        <v>46333</v>
      </c>
      <c r="C5293" s="312">
        <v>9</v>
      </c>
      <c r="D5293" s="368">
        <f>IFERROR((INDEX(METADATA!$T$2:$T$20,MATCH(B5293,METADATA!$S$2:$S$20,0))),0)</f>
        <v>0</v>
      </c>
      <c r="E5293" s="312" t="str">
        <f t="shared" si="328"/>
        <v>LO</v>
      </c>
      <c r="F5293" s="369">
        <f>VLOOKUP(C5293,METADATA!$A$5:$H$29,IF(E5293="HI",2,IF(E5293="LO",6,10))+IF(D5293=1,2,IF(D5293=7,1,(IF(WEEKDAY(B5293)=1,2,IF(WEEKDAY(B5293)=7,1,0))))))</f>
        <v>2</v>
      </c>
      <c r="G5293" s="369">
        <f>VLOOKUP(C5293,METADATA!$J$5:$Q$29,IF(E5293="HI",2,IF(E5293="LO",6,10))+IF(D5293=1,2,IF(D5293=7,1,(IF(WEEKDAY(B5293)=1,2,IF(WEEKDAY(B5293)=7,1,0))))))</f>
        <v>2</v>
      </c>
      <c r="H5293" s="370">
        <v>11592.02490234375</v>
      </c>
      <c r="I5293" s="370">
        <v>8761.2002563476563</v>
      </c>
      <c r="M5293" s="371">
        <f t="shared" si="329"/>
        <v>14530.439472651329</v>
      </c>
      <c r="N5293" s="329">
        <f t="shared" si="330"/>
        <v>5283.5927856445314</v>
      </c>
      <c r="T5293" s="331">
        <v>0</v>
      </c>
      <c r="U5293" s="328">
        <f>VLOOKUP(C5293,METADATA!$J$5:$Q$29,IF(E5293="HI",2,IF(E5293="LO",6,10))+IF(T5293=1,2,IF(D5293=7,1,(IF(WEEKDAY(B5293)=1,2,IF(WEEKDAY(B5293)=7,1,0))))))</f>
        <v>2</v>
      </c>
      <c r="V5293" s="328">
        <f>VLOOKUP(C5293,METADATA!$A$5:$H$29,IF(E5293="HI",2,IF(E5293="LO",6,10))+IF(T5293=1,2,IF(D5293=7,1,(IF(WEEKDAY(B5293)=1,2,IF(WEEKDAY(B5293)=7,1,0))))))</f>
        <v>2</v>
      </c>
    </row>
    <row r="5294" spans="2:22">
      <c r="B5294" s="318">
        <f t="shared" si="331"/>
        <v>46333</v>
      </c>
      <c r="C5294" s="312">
        <v>10</v>
      </c>
      <c r="D5294" s="368">
        <f>IFERROR((INDEX(METADATA!$T$2:$T$20,MATCH(B5294,METADATA!$S$2:$S$20,0))),0)</f>
        <v>0</v>
      </c>
      <c r="E5294" s="312" t="str">
        <f t="shared" si="328"/>
        <v>LO</v>
      </c>
      <c r="F5294" s="369">
        <f>VLOOKUP(C5294,METADATA!$A$5:$H$29,IF(E5294="HI",2,IF(E5294="LO",6,10))+IF(D5294=1,2,IF(D5294=7,1,(IF(WEEKDAY(B5294)=1,2,IF(WEEKDAY(B5294)=7,1,0))))))</f>
        <v>2</v>
      </c>
      <c r="G5294" s="369">
        <f>VLOOKUP(C5294,METADATA!$J$5:$Q$29,IF(E5294="HI",2,IF(E5294="LO",6,10))+IF(D5294=1,2,IF(D5294=7,1,(IF(WEEKDAY(B5294)=1,2,IF(WEEKDAY(B5294)=7,1,0))))))</f>
        <v>2</v>
      </c>
      <c r="H5294" s="370">
        <v>11889.650207519531</v>
      </c>
      <c r="I5294" s="370">
        <v>8863.300048828125</v>
      </c>
      <c r="M5294" s="371">
        <f t="shared" si="329"/>
        <v>14829.762972236807</v>
      </c>
      <c r="N5294" s="329">
        <f t="shared" si="330"/>
        <v>5296.4049865722664</v>
      </c>
      <c r="T5294" s="331">
        <v>0</v>
      </c>
      <c r="U5294" s="328">
        <f>VLOOKUP(C5294,METADATA!$J$5:$Q$29,IF(E5294="HI",2,IF(E5294="LO",6,10))+IF(T5294=1,2,IF(D5294=7,1,(IF(WEEKDAY(B5294)=1,2,IF(WEEKDAY(B5294)=7,1,0))))))</f>
        <v>2</v>
      </c>
      <c r="V5294" s="328">
        <f>VLOOKUP(C5294,METADATA!$A$5:$H$29,IF(E5294="HI",2,IF(E5294="LO",6,10))+IF(T5294=1,2,IF(D5294=7,1,(IF(WEEKDAY(B5294)=1,2,IF(WEEKDAY(B5294)=7,1,0))))))</f>
        <v>2</v>
      </c>
    </row>
    <row r="5295" spans="2:22">
      <c r="B5295" s="318">
        <f t="shared" si="331"/>
        <v>46333</v>
      </c>
      <c r="C5295" s="312">
        <v>11</v>
      </c>
      <c r="D5295" s="368">
        <f>IFERROR((INDEX(METADATA!$T$2:$T$20,MATCH(B5295,METADATA!$S$2:$S$20,0))),0)</f>
        <v>0</v>
      </c>
      <c r="E5295" s="312" t="str">
        <f t="shared" si="328"/>
        <v>LO</v>
      </c>
      <c r="F5295" s="369">
        <f>VLOOKUP(C5295,METADATA!$A$5:$H$29,IF(E5295="HI",2,IF(E5295="LO",6,10))+IF(D5295=1,2,IF(D5295=7,1,(IF(WEEKDAY(B5295)=1,2,IF(WEEKDAY(B5295)=7,1,0))))))</f>
        <v>2</v>
      </c>
      <c r="G5295" s="369">
        <f>VLOOKUP(C5295,METADATA!$J$5:$Q$29,IF(E5295="HI",2,IF(E5295="LO",6,10))+IF(D5295=1,2,IF(D5295=7,1,(IF(WEEKDAY(B5295)=1,2,IF(WEEKDAY(B5295)=7,1,0))))))</f>
        <v>2</v>
      </c>
      <c r="H5295" s="370">
        <v>12081.125061035156</v>
      </c>
      <c r="I5295" s="370">
        <v>9040.3500366210938</v>
      </c>
      <c r="M5295" s="371">
        <f t="shared" si="329"/>
        <v>15089.118977760323</v>
      </c>
      <c r="N5295" s="329">
        <f t="shared" si="330"/>
        <v>5416.0125183105465</v>
      </c>
      <c r="T5295" s="331">
        <v>0</v>
      </c>
      <c r="U5295" s="328">
        <f>VLOOKUP(C5295,METADATA!$J$5:$Q$29,IF(E5295="HI",2,IF(E5295="LO",6,10))+IF(T5295=1,2,IF(D5295=7,1,(IF(WEEKDAY(B5295)=1,2,IF(WEEKDAY(B5295)=7,1,0))))))</f>
        <v>2</v>
      </c>
      <c r="V5295" s="328">
        <f>VLOOKUP(C5295,METADATA!$A$5:$H$29,IF(E5295="HI",2,IF(E5295="LO",6,10))+IF(T5295=1,2,IF(D5295=7,1,(IF(WEEKDAY(B5295)=1,2,IF(WEEKDAY(B5295)=7,1,0))))))</f>
        <v>2</v>
      </c>
    </row>
    <row r="5296" spans="2:22">
      <c r="B5296" s="318">
        <f t="shared" si="331"/>
        <v>46333</v>
      </c>
      <c r="C5296" s="312">
        <v>12</v>
      </c>
      <c r="D5296" s="368">
        <f>IFERROR((INDEX(METADATA!$T$2:$T$20,MATCH(B5296,METADATA!$S$2:$S$20,0))),0)</f>
        <v>0</v>
      </c>
      <c r="E5296" s="312" t="str">
        <f t="shared" si="328"/>
        <v>LO</v>
      </c>
      <c r="F5296" s="369">
        <f>VLOOKUP(C5296,METADATA!$A$5:$H$29,IF(E5296="HI",2,IF(E5296="LO",6,10))+IF(D5296=1,2,IF(D5296=7,1,(IF(WEEKDAY(B5296)=1,2,IF(WEEKDAY(B5296)=7,1,0))))))</f>
        <v>3</v>
      </c>
      <c r="G5296" s="369">
        <f>VLOOKUP(C5296,METADATA!$J$5:$Q$29,IF(E5296="HI",2,IF(E5296="LO",6,10))+IF(D5296=1,2,IF(D5296=7,1,(IF(WEEKDAY(B5296)=1,2,IF(WEEKDAY(B5296)=7,1,0))))))</f>
        <v>3</v>
      </c>
      <c r="H5296" s="370">
        <v>12167.825378417969</v>
      </c>
      <c r="I5296" s="370">
        <v>9052.9500732421875</v>
      </c>
      <c r="M5296" s="371">
        <f t="shared" si="329"/>
        <v>15166.142537517182</v>
      </c>
      <c r="N5296" s="329">
        <f t="shared" si="330"/>
        <v>5402.6024597167971</v>
      </c>
      <c r="T5296" s="331">
        <v>0</v>
      </c>
      <c r="U5296" s="328">
        <f>VLOOKUP(C5296,METADATA!$J$5:$Q$29,IF(E5296="HI",2,IF(E5296="LO",6,10))+IF(T5296=1,2,IF(D5296=7,1,(IF(WEEKDAY(B5296)=1,2,IF(WEEKDAY(B5296)=7,1,0))))))</f>
        <v>3</v>
      </c>
      <c r="V5296" s="328">
        <f>VLOOKUP(C5296,METADATA!$A$5:$H$29,IF(E5296="HI",2,IF(E5296="LO",6,10))+IF(T5296=1,2,IF(D5296=7,1,(IF(WEEKDAY(B5296)=1,2,IF(WEEKDAY(B5296)=7,1,0))))))</f>
        <v>3</v>
      </c>
    </row>
    <row r="5297" spans="2:22">
      <c r="B5297" s="318">
        <f t="shared" si="331"/>
        <v>46333</v>
      </c>
      <c r="C5297" s="312">
        <v>13</v>
      </c>
      <c r="D5297" s="368">
        <f>IFERROR((INDEX(METADATA!$T$2:$T$20,MATCH(B5297,METADATA!$S$2:$S$20,0))),0)</f>
        <v>0</v>
      </c>
      <c r="E5297" s="312" t="str">
        <f t="shared" si="328"/>
        <v>LO</v>
      </c>
      <c r="F5297" s="369">
        <f>VLOOKUP(C5297,METADATA!$A$5:$H$29,IF(E5297="HI",2,IF(E5297="LO",6,10))+IF(D5297=1,2,IF(D5297=7,1,(IF(WEEKDAY(B5297)=1,2,IF(WEEKDAY(B5297)=7,1,0))))))</f>
        <v>3</v>
      </c>
      <c r="G5297" s="369">
        <f>VLOOKUP(C5297,METADATA!$J$5:$Q$29,IF(E5297="HI",2,IF(E5297="LO",6,10))+IF(D5297=1,2,IF(D5297=7,1,(IF(WEEKDAY(B5297)=1,2,IF(WEEKDAY(B5297)=7,1,0))))))</f>
        <v>3</v>
      </c>
      <c r="H5297" s="370">
        <v>12744.100524902344</v>
      </c>
      <c r="I5297" s="370">
        <v>9457.0501098632813</v>
      </c>
      <c r="M5297" s="371">
        <f t="shared" si="329"/>
        <v>15869.716285090963</v>
      </c>
      <c r="N5297" s="329">
        <f t="shared" si="330"/>
        <v>5633.8199523925778</v>
      </c>
      <c r="T5297" s="331">
        <v>0</v>
      </c>
      <c r="U5297" s="328">
        <f>VLOOKUP(C5297,METADATA!$J$5:$Q$29,IF(E5297="HI",2,IF(E5297="LO",6,10))+IF(T5297=1,2,IF(D5297=7,1,(IF(WEEKDAY(B5297)=1,2,IF(WEEKDAY(B5297)=7,1,0))))))</f>
        <v>3</v>
      </c>
      <c r="V5297" s="328">
        <f>VLOOKUP(C5297,METADATA!$A$5:$H$29,IF(E5297="HI",2,IF(E5297="LO",6,10))+IF(T5297=1,2,IF(D5297=7,1,(IF(WEEKDAY(B5297)=1,2,IF(WEEKDAY(B5297)=7,1,0))))))</f>
        <v>3</v>
      </c>
    </row>
    <row r="5298" spans="2:22">
      <c r="B5298" s="318">
        <f t="shared" si="331"/>
        <v>46333</v>
      </c>
      <c r="C5298" s="312">
        <v>14</v>
      </c>
      <c r="D5298" s="368">
        <f>IFERROR((INDEX(METADATA!$T$2:$T$20,MATCH(B5298,METADATA!$S$2:$S$20,0))),0)</f>
        <v>0</v>
      </c>
      <c r="E5298" s="312" t="str">
        <f t="shared" si="328"/>
        <v>LO</v>
      </c>
      <c r="F5298" s="369">
        <f>VLOOKUP(C5298,METADATA!$A$5:$H$29,IF(E5298="HI",2,IF(E5298="LO",6,10))+IF(D5298=1,2,IF(D5298=7,1,(IF(WEEKDAY(B5298)=1,2,IF(WEEKDAY(B5298)=7,1,0))))))</f>
        <v>3</v>
      </c>
      <c r="G5298" s="369">
        <f>VLOOKUP(C5298,METADATA!$J$5:$Q$29,IF(E5298="HI",2,IF(E5298="LO",6,10))+IF(D5298=1,2,IF(D5298=7,1,(IF(WEEKDAY(B5298)=1,2,IF(WEEKDAY(B5298)=7,1,0))))))</f>
        <v>3</v>
      </c>
      <c r="H5298" s="370">
        <v>12903.275634765625</v>
      </c>
      <c r="I5298" s="370">
        <v>9525.0000610351563</v>
      </c>
      <c r="M5298" s="371">
        <f t="shared" si="329"/>
        <v>16038.084307966958</v>
      </c>
      <c r="N5298" s="329">
        <f t="shared" si="330"/>
        <v>5654.0173706054684</v>
      </c>
      <c r="T5298" s="331">
        <v>0</v>
      </c>
      <c r="U5298" s="328">
        <f>VLOOKUP(C5298,METADATA!$J$5:$Q$29,IF(E5298="HI",2,IF(E5298="LO",6,10))+IF(T5298=1,2,IF(D5298=7,1,(IF(WEEKDAY(B5298)=1,2,IF(WEEKDAY(B5298)=7,1,0))))))</f>
        <v>3</v>
      </c>
      <c r="V5298" s="328">
        <f>VLOOKUP(C5298,METADATA!$A$5:$H$29,IF(E5298="HI",2,IF(E5298="LO",6,10))+IF(T5298=1,2,IF(D5298=7,1,(IF(WEEKDAY(B5298)=1,2,IF(WEEKDAY(B5298)=7,1,0))))))</f>
        <v>3</v>
      </c>
    </row>
    <row r="5299" spans="2:22">
      <c r="B5299" s="318">
        <f t="shared" si="331"/>
        <v>46333</v>
      </c>
      <c r="C5299" s="312">
        <v>15</v>
      </c>
      <c r="D5299" s="368">
        <f>IFERROR((INDEX(METADATA!$T$2:$T$20,MATCH(B5299,METADATA!$S$2:$S$20,0))),0)</f>
        <v>0</v>
      </c>
      <c r="E5299" s="312" t="str">
        <f t="shared" si="328"/>
        <v>LO</v>
      </c>
      <c r="F5299" s="369">
        <f>VLOOKUP(C5299,METADATA!$A$5:$H$29,IF(E5299="HI",2,IF(E5299="LO",6,10))+IF(D5299=1,2,IF(D5299=7,1,(IF(WEEKDAY(B5299)=1,2,IF(WEEKDAY(B5299)=7,1,0))))))</f>
        <v>3</v>
      </c>
      <c r="G5299" s="369">
        <f>VLOOKUP(C5299,METADATA!$J$5:$Q$29,IF(E5299="HI",2,IF(E5299="LO",6,10))+IF(D5299=1,2,IF(D5299=7,1,(IF(WEEKDAY(B5299)=1,2,IF(WEEKDAY(B5299)=7,1,0))))))</f>
        <v>3</v>
      </c>
      <c r="H5299" s="370">
        <v>12954.499389648438</v>
      </c>
      <c r="I5299" s="370">
        <v>9593.9998168945313</v>
      </c>
      <c r="M5299" s="371">
        <f t="shared" si="329"/>
        <v>16120.294256711755</v>
      </c>
      <c r="N5299" s="329">
        <f t="shared" si="330"/>
        <v>5707.65</v>
      </c>
      <c r="T5299" s="331">
        <v>0</v>
      </c>
      <c r="U5299" s="328">
        <f>VLOOKUP(C5299,METADATA!$J$5:$Q$29,IF(E5299="HI",2,IF(E5299="LO",6,10))+IF(T5299=1,2,IF(D5299=7,1,(IF(WEEKDAY(B5299)=1,2,IF(WEEKDAY(B5299)=7,1,0))))))</f>
        <v>3</v>
      </c>
      <c r="V5299" s="328">
        <f>VLOOKUP(C5299,METADATA!$A$5:$H$29,IF(E5299="HI",2,IF(E5299="LO",6,10))+IF(T5299=1,2,IF(D5299=7,1,(IF(WEEKDAY(B5299)=1,2,IF(WEEKDAY(B5299)=7,1,0))))))</f>
        <v>3</v>
      </c>
    </row>
    <row r="5300" spans="2:22">
      <c r="B5300" s="318">
        <f t="shared" si="331"/>
        <v>46333</v>
      </c>
      <c r="C5300" s="312">
        <v>16</v>
      </c>
      <c r="D5300" s="368">
        <f>IFERROR((INDEX(METADATA!$T$2:$T$20,MATCH(B5300,METADATA!$S$2:$S$20,0))),0)</f>
        <v>0</v>
      </c>
      <c r="E5300" s="312" t="str">
        <f t="shared" si="328"/>
        <v>LO</v>
      </c>
      <c r="F5300" s="369">
        <f>VLOOKUP(C5300,METADATA!$A$5:$H$29,IF(E5300="HI",2,IF(E5300="LO",6,10))+IF(D5300=1,2,IF(D5300=7,1,(IF(WEEKDAY(B5300)=1,2,IF(WEEKDAY(B5300)=7,1,0))))))</f>
        <v>3</v>
      </c>
      <c r="G5300" s="369">
        <f>VLOOKUP(C5300,METADATA!$J$5:$Q$29,IF(E5300="HI",2,IF(E5300="LO",6,10))+IF(D5300=1,2,IF(D5300=7,1,(IF(WEEKDAY(B5300)=1,2,IF(WEEKDAY(B5300)=7,1,0))))))</f>
        <v>3</v>
      </c>
      <c r="H5300" s="370">
        <v>12947.550476074219</v>
      </c>
      <c r="I5300" s="370">
        <v>9671.800048828125</v>
      </c>
      <c r="M5300" s="371">
        <f t="shared" si="329"/>
        <v>16161.150315339606</v>
      </c>
      <c r="N5300" s="329">
        <f t="shared" si="330"/>
        <v>5787.5349060058597</v>
      </c>
      <c r="T5300" s="331">
        <v>0</v>
      </c>
      <c r="U5300" s="328">
        <f>VLOOKUP(C5300,METADATA!$J$5:$Q$29,IF(E5300="HI",2,IF(E5300="LO",6,10))+IF(T5300=1,2,IF(D5300=7,1,(IF(WEEKDAY(B5300)=1,2,IF(WEEKDAY(B5300)=7,1,0))))))</f>
        <v>3</v>
      </c>
      <c r="V5300" s="328">
        <f>VLOOKUP(C5300,METADATA!$A$5:$H$29,IF(E5300="HI",2,IF(E5300="LO",6,10))+IF(T5300=1,2,IF(D5300=7,1,(IF(WEEKDAY(B5300)=1,2,IF(WEEKDAY(B5300)=7,1,0))))))</f>
        <v>3</v>
      </c>
    </row>
    <row r="5301" spans="2:22">
      <c r="B5301" s="318">
        <f t="shared" si="331"/>
        <v>46333</v>
      </c>
      <c r="C5301" s="312">
        <v>17</v>
      </c>
      <c r="D5301" s="368">
        <f>IFERROR((INDEX(METADATA!$T$2:$T$20,MATCH(B5301,METADATA!$S$2:$S$20,0))),0)</f>
        <v>0</v>
      </c>
      <c r="E5301" s="312" t="str">
        <f t="shared" si="328"/>
        <v>LO</v>
      </c>
      <c r="F5301" s="369">
        <f>VLOOKUP(C5301,METADATA!$A$5:$H$29,IF(E5301="HI",2,IF(E5301="LO",6,10))+IF(D5301=1,2,IF(D5301=7,1,(IF(WEEKDAY(B5301)=1,2,IF(WEEKDAY(B5301)=7,1,0))))))</f>
        <v>3</v>
      </c>
      <c r="G5301" s="369">
        <f>VLOOKUP(C5301,METADATA!$J$5:$Q$29,IF(E5301="HI",2,IF(E5301="LO",6,10))+IF(D5301=1,2,IF(D5301=7,1,(IF(WEEKDAY(B5301)=1,2,IF(WEEKDAY(B5301)=7,1,0))))))</f>
        <v>3</v>
      </c>
      <c r="H5301" s="370">
        <v>13012.049743652344</v>
      </c>
      <c r="I5301" s="370">
        <v>9689.5750732421875</v>
      </c>
      <c r="M5301" s="371">
        <f t="shared" si="329"/>
        <v>16223.48000988935</v>
      </c>
      <c r="N5301" s="329">
        <f t="shared" si="330"/>
        <v>5785.960150146484</v>
      </c>
      <c r="T5301" s="331">
        <v>0</v>
      </c>
      <c r="U5301" s="328">
        <f>VLOOKUP(C5301,METADATA!$J$5:$Q$29,IF(E5301="HI",2,IF(E5301="LO",6,10))+IF(T5301=1,2,IF(D5301=7,1,(IF(WEEKDAY(B5301)=1,2,IF(WEEKDAY(B5301)=7,1,0))))))</f>
        <v>3</v>
      </c>
      <c r="V5301" s="328">
        <f>VLOOKUP(C5301,METADATA!$A$5:$H$29,IF(E5301="HI",2,IF(E5301="LO",6,10))+IF(T5301=1,2,IF(D5301=7,1,(IF(WEEKDAY(B5301)=1,2,IF(WEEKDAY(B5301)=7,1,0))))))</f>
        <v>3</v>
      </c>
    </row>
    <row r="5302" spans="2:22">
      <c r="B5302" s="318">
        <f t="shared" si="331"/>
        <v>46333</v>
      </c>
      <c r="C5302" s="312">
        <v>18</v>
      </c>
      <c r="D5302" s="368">
        <f>IFERROR((INDEX(METADATA!$T$2:$T$20,MATCH(B5302,METADATA!$S$2:$S$20,0))),0)</f>
        <v>0</v>
      </c>
      <c r="E5302" s="312" t="str">
        <f t="shared" si="328"/>
        <v>LO</v>
      </c>
      <c r="F5302" s="369">
        <f>VLOOKUP(C5302,METADATA!$A$5:$H$29,IF(E5302="HI",2,IF(E5302="LO",6,10))+IF(D5302=1,2,IF(D5302=7,1,(IF(WEEKDAY(B5302)=1,2,IF(WEEKDAY(B5302)=7,1,0))))))</f>
        <v>2</v>
      </c>
      <c r="G5302" s="369">
        <f>VLOOKUP(C5302,METADATA!$J$5:$Q$29,IF(E5302="HI",2,IF(E5302="LO",6,10))+IF(D5302=1,2,IF(D5302=7,1,(IF(WEEKDAY(B5302)=1,2,IF(WEEKDAY(B5302)=7,1,0))))))</f>
        <v>2</v>
      </c>
      <c r="H5302" s="370">
        <v>12965.724975585938</v>
      </c>
      <c r="I5302" s="370">
        <v>9660.425048828125</v>
      </c>
      <c r="M5302" s="371">
        <f t="shared" si="329"/>
        <v>16168.915741834973</v>
      </c>
      <c r="N5302" s="329">
        <f t="shared" si="330"/>
        <v>5770.7075561523434</v>
      </c>
      <c r="T5302" s="331">
        <v>0</v>
      </c>
      <c r="U5302" s="328">
        <f>VLOOKUP(C5302,METADATA!$J$5:$Q$29,IF(E5302="HI",2,IF(E5302="LO",6,10))+IF(T5302=1,2,IF(D5302=7,1,(IF(WEEKDAY(B5302)=1,2,IF(WEEKDAY(B5302)=7,1,0))))))</f>
        <v>2</v>
      </c>
      <c r="V5302" s="328">
        <f>VLOOKUP(C5302,METADATA!$A$5:$H$29,IF(E5302="HI",2,IF(E5302="LO",6,10))+IF(T5302=1,2,IF(D5302=7,1,(IF(WEEKDAY(B5302)=1,2,IF(WEEKDAY(B5302)=7,1,0))))))</f>
        <v>2</v>
      </c>
    </row>
    <row r="5303" spans="2:22">
      <c r="B5303" s="318">
        <f t="shared" si="331"/>
        <v>46333</v>
      </c>
      <c r="C5303" s="312">
        <v>19</v>
      </c>
      <c r="D5303" s="368">
        <f>IFERROR((INDEX(METADATA!$T$2:$T$20,MATCH(B5303,METADATA!$S$2:$S$20,0))),0)</f>
        <v>0</v>
      </c>
      <c r="E5303" s="312" t="str">
        <f t="shared" si="328"/>
        <v>LO</v>
      </c>
      <c r="F5303" s="369">
        <f>VLOOKUP(C5303,METADATA!$A$5:$H$29,IF(E5303="HI",2,IF(E5303="LO",6,10))+IF(D5303=1,2,IF(D5303=7,1,(IF(WEEKDAY(B5303)=1,2,IF(WEEKDAY(B5303)=7,1,0))))))</f>
        <v>2</v>
      </c>
      <c r="G5303" s="369">
        <f>VLOOKUP(C5303,METADATA!$J$5:$Q$29,IF(E5303="HI",2,IF(E5303="LO",6,10))+IF(D5303=1,2,IF(D5303=7,1,(IF(WEEKDAY(B5303)=1,2,IF(WEEKDAY(B5303)=7,1,0))))))</f>
        <v>2</v>
      </c>
      <c r="H5303" s="370">
        <v>12974.600463867188</v>
      </c>
      <c r="I5303" s="370">
        <v>9639.6249389648438</v>
      </c>
      <c r="M5303" s="371">
        <f t="shared" si="329"/>
        <v>16163.620453379113</v>
      </c>
      <c r="N5303" s="329">
        <f t="shared" si="330"/>
        <v>5747.2447998046882</v>
      </c>
      <c r="T5303" s="331">
        <v>0</v>
      </c>
      <c r="U5303" s="328">
        <f>VLOOKUP(C5303,METADATA!$J$5:$Q$29,IF(E5303="HI",2,IF(E5303="LO",6,10))+IF(T5303=1,2,IF(D5303=7,1,(IF(WEEKDAY(B5303)=1,2,IF(WEEKDAY(B5303)=7,1,0))))))</f>
        <v>2</v>
      </c>
      <c r="V5303" s="328">
        <f>VLOOKUP(C5303,METADATA!$A$5:$H$29,IF(E5303="HI",2,IF(E5303="LO",6,10))+IF(T5303=1,2,IF(D5303=7,1,(IF(WEEKDAY(B5303)=1,2,IF(WEEKDAY(B5303)=7,1,0))))))</f>
        <v>2</v>
      </c>
    </row>
    <row r="5304" spans="2:22">
      <c r="B5304" s="318">
        <f t="shared" si="331"/>
        <v>46333</v>
      </c>
      <c r="C5304" s="312">
        <v>20</v>
      </c>
      <c r="D5304" s="368">
        <f>IFERROR((INDEX(METADATA!$T$2:$T$20,MATCH(B5304,METADATA!$S$2:$S$20,0))),0)</f>
        <v>0</v>
      </c>
      <c r="E5304" s="312" t="str">
        <f t="shared" si="328"/>
        <v>LO</v>
      </c>
      <c r="F5304" s="369">
        <f>VLOOKUP(C5304,METADATA!$A$5:$H$29,IF(E5304="HI",2,IF(E5304="LO",6,10))+IF(D5304=1,2,IF(D5304=7,1,(IF(WEEKDAY(B5304)=1,2,IF(WEEKDAY(B5304)=7,1,0))))))</f>
        <v>3</v>
      </c>
      <c r="G5304" s="369">
        <f>VLOOKUP(C5304,METADATA!$J$5:$Q$29,IF(E5304="HI",2,IF(E5304="LO",6,10))+IF(D5304=1,2,IF(D5304=7,1,(IF(WEEKDAY(B5304)=1,2,IF(WEEKDAY(B5304)=7,1,0))))))</f>
        <v>3</v>
      </c>
      <c r="H5304" s="370">
        <v>13064.200378417969</v>
      </c>
      <c r="I5304" s="370">
        <v>9589.5496826171875</v>
      </c>
      <c r="M5304" s="371">
        <f t="shared" si="329"/>
        <v>16205.949359504972</v>
      </c>
      <c r="N5304" s="329">
        <f t="shared" si="330"/>
        <v>5670.2895690917976</v>
      </c>
      <c r="T5304" s="331">
        <v>0</v>
      </c>
      <c r="U5304" s="328">
        <f>VLOOKUP(C5304,METADATA!$J$5:$Q$29,IF(E5304="HI",2,IF(E5304="LO",6,10))+IF(T5304=1,2,IF(D5304=7,1,(IF(WEEKDAY(B5304)=1,2,IF(WEEKDAY(B5304)=7,1,0))))))</f>
        <v>3</v>
      </c>
      <c r="V5304" s="328">
        <f>VLOOKUP(C5304,METADATA!$A$5:$H$29,IF(E5304="HI",2,IF(E5304="LO",6,10))+IF(T5304=1,2,IF(D5304=7,1,(IF(WEEKDAY(B5304)=1,2,IF(WEEKDAY(B5304)=7,1,0))))))</f>
        <v>3</v>
      </c>
    </row>
    <row r="5305" spans="2:22">
      <c r="B5305" s="318">
        <f t="shared" si="331"/>
        <v>46333</v>
      </c>
      <c r="C5305" s="312">
        <v>21</v>
      </c>
      <c r="D5305" s="368">
        <f>IFERROR((INDEX(METADATA!$T$2:$T$20,MATCH(B5305,METADATA!$S$2:$S$20,0))),0)</f>
        <v>0</v>
      </c>
      <c r="E5305" s="312" t="str">
        <f t="shared" si="328"/>
        <v>LO</v>
      </c>
      <c r="F5305" s="369">
        <f>VLOOKUP(C5305,METADATA!$A$5:$H$29,IF(E5305="HI",2,IF(E5305="LO",6,10))+IF(D5305=1,2,IF(D5305=7,1,(IF(WEEKDAY(B5305)=1,2,IF(WEEKDAY(B5305)=7,1,0))))))</f>
        <v>3</v>
      </c>
      <c r="G5305" s="369">
        <f>VLOOKUP(C5305,METADATA!$J$5:$Q$29,IF(E5305="HI",2,IF(E5305="LO",6,10))+IF(D5305=1,2,IF(D5305=7,1,(IF(WEEKDAY(B5305)=1,2,IF(WEEKDAY(B5305)=7,1,0))))))</f>
        <v>3</v>
      </c>
      <c r="H5305" s="370">
        <v>13108.400085449219</v>
      </c>
      <c r="I5305" s="370">
        <v>9706.900146484375</v>
      </c>
      <c r="M5305" s="371">
        <f t="shared" si="329"/>
        <v>16311.163761486287</v>
      </c>
      <c r="N5305" s="329">
        <f t="shared" si="330"/>
        <v>5774.3801208496097</v>
      </c>
      <c r="T5305" s="331">
        <v>0</v>
      </c>
      <c r="U5305" s="328">
        <f>VLOOKUP(C5305,METADATA!$J$5:$Q$29,IF(E5305="HI",2,IF(E5305="LO",6,10))+IF(T5305=1,2,IF(D5305=7,1,(IF(WEEKDAY(B5305)=1,2,IF(WEEKDAY(B5305)=7,1,0))))))</f>
        <v>3</v>
      </c>
      <c r="V5305" s="328">
        <f>VLOOKUP(C5305,METADATA!$A$5:$H$29,IF(E5305="HI",2,IF(E5305="LO",6,10))+IF(T5305=1,2,IF(D5305=7,1,(IF(WEEKDAY(B5305)=1,2,IF(WEEKDAY(B5305)=7,1,0))))))</f>
        <v>3</v>
      </c>
    </row>
    <row r="5306" spans="2:22">
      <c r="B5306" s="318">
        <f t="shared" si="331"/>
        <v>46333</v>
      </c>
      <c r="C5306" s="312">
        <v>22</v>
      </c>
      <c r="D5306" s="368">
        <f>IFERROR((INDEX(METADATA!$T$2:$T$20,MATCH(B5306,METADATA!$S$2:$S$20,0))),0)</f>
        <v>0</v>
      </c>
      <c r="E5306" s="312" t="str">
        <f t="shared" si="328"/>
        <v>LO</v>
      </c>
      <c r="F5306" s="369">
        <f>VLOOKUP(C5306,METADATA!$A$5:$H$29,IF(E5306="HI",2,IF(E5306="LO",6,10))+IF(D5306=1,2,IF(D5306=7,1,(IF(WEEKDAY(B5306)=1,2,IF(WEEKDAY(B5306)=7,1,0))))))</f>
        <v>3</v>
      </c>
      <c r="G5306" s="369">
        <f>VLOOKUP(C5306,METADATA!$J$5:$Q$29,IF(E5306="HI",2,IF(E5306="LO",6,10))+IF(D5306=1,2,IF(D5306=7,1,(IF(WEEKDAY(B5306)=1,2,IF(WEEKDAY(B5306)=7,1,0))))))</f>
        <v>3</v>
      </c>
      <c r="H5306" s="370">
        <v>12994.999877929688</v>
      </c>
      <c r="I5306" s="370">
        <v>9578.8003540039063</v>
      </c>
      <c r="M5306" s="371">
        <f t="shared" si="329"/>
        <v>16143.835914963269</v>
      </c>
      <c r="N5306" s="329">
        <f t="shared" si="330"/>
        <v>5680.3003906249996</v>
      </c>
      <c r="T5306" s="331">
        <v>0</v>
      </c>
      <c r="U5306" s="328">
        <f>VLOOKUP(C5306,METADATA!$J$5:$Q$29,IF(E5306="HI",2,IF(E5306="LO",6,10))+IF(T5306=1,2,IF(D5306=7,1,(IF(WEEKDAY(B5306)=1,2,IF(WEEKDAY(B5306)=7,1,0))))))</f>
        <v>3</v>
      </c>
      <c r="V5306" s="328">
        <f>VLOOKUP(C5306,METADATA!$A$5:$H$29,IF(E5306="HI",2,IF(E5306="LO",6,10))+IF(T5306=1,2,IF(D5306=7,1,(IF(WEEKDAY(B5306)=1,2,IF(WEEKDAY(B5306)=7,1,0))))))</f>
        <v>3</v>
      </c>
    </row>
    <row r="5307" spans="2:22">
      <c r="B5307" s="318">
        <f t="shared" si="331"/>
        <v>46333</v>
      </c>
      <c r="C5307" s="312">
        <v>23</v>
      </c>
      <c r="D5307" s="368">
        <f>IFERROR((INDEX(METADATA!$T$2:$T$20,MATCH(B5307,METADATA!$S$2:$S$20,0))),0)</f>
        <v>0</v>
      </c>
      <c r="E5307" s="312" t="str">
        <f t="shared" si="328"/>
        <v>LO</v>
      </c>
      <c r="F5307" s="369">
        <f>VLOOKUP(C5307,METADATA!$A$5:$H$29,IF(E5307="HI",2,IF(E5307="LO",6,10))+IF(D5307=1,2,IF(D5307=7,1,(IF(WEEKDAY(B5307)=1,2,IF(WEEKDAY(B5307)=7,1,0))))))</f>
        <v>3</v>
      </c>
      <c r="G5307" s="369">
        <f>VLOOKUP(C5307,METADATA!$J$5:$Q$29,IF(E5307="HI",2,IF(E5307="LO",6,10))+IF(D5307=1,2,IF(D5307=7,1,(IF(WEEKDAY(B5307)=1,2,IF(WEEKDAY(B5307)=7,1,0))))))</f>
        <v>3</v>
      </c>
      <c r="H5307" s="370">
        <v>12989.524536132813</v>
      </c>
      <c r="I5307" s="370">
        <v>9635.4248657226563</v>
      </c>
      <c r="M5307" s="371">
        <f t="shared" si="329"/>
        <v>16173.099888944693</v>
      </c>
      <c r="N5307" s="329">
        <f t="shared" si="330"/>
        <v>5738.5675048828125</v>
      </c>
      <c r="T5307" s="331">
        <v>0</v>
      </c>
      <c r="U5307" s="328">
        <f>VLOOKUP(C5307,METADATA!$J$5:$Q$29,IF(E5307="HI",2,IF(E5307="LO",6,10))+IF(T5307=1,2,IF(D5307=7,1,(IF(WEEKDAY(B5307)=1,2,IF(WEEKDAY(B5307)=7,1,0))))))</f>
        <v>3</v>
      </c>
      <c r="V5307" s="328">
        <f>VLOOKUP(C5307,METADATA!$A$5:$H$29,IF(E5307="HI",2,IF(E5307="LO",6,10))+IF(T5307=1,2,IF(D5307=7,1,(IF(WEEKDAY(B5307)=1,2,IF(WEEKDAY(B5307)=7,1,0))))))</f>
        <v>3</v>
      </c>
    </row>
    <row r="5308" spans="2:22">
      <c r="B5308" s="318">
        <f t="shared" si="331"/>
        <v>46334</v>
      </c>
      <c r="C5308" s="312">
        <v>0</v>
      </c>
      <c r="D5308" s="368">
        <f>IFERROR((INDEX(METADATA!$T$2:$T$20,MATCH(B5308,METADATA!$S$2:$S$20,0))),0)</f>
        <v>0</v>
      </c>
      <c r="E5308" s="312" t="str">
        <f t="shared" si="328"/>
        <v>LO</v>
      </c>
      <c r="F5308" s="369">
        <f>VLOOKUP(C5308,METADATA!$A$5:$H$29,IF(E5308="HI",2,IF(E5308="LO",6,10))+IF(D5308=1,2,IF(D5308=7,1,(IF(WEEKDAY(B5308)=1,2,IF(WEEKDAY(B5308)=7,1,0))))))</f>
        <v>3</v>
      </c>
      <c r="G5308" s="369">
        <f>VLOOKUP(C5308,METADATA!$J$5:$Q$29,IF(E5308="HI",2,IF(E5308="LO",6,10))+IF(D5308=1,2,IF(D5308=7,1,(IF(WEEKDAY(B5308)=1,2,IF(WEEKDAY(B5308)=7,1,0))))))</f>
        <v>3</v>
      </c>
      <c r="H5308" s="370">
        <v>12831.674682617188</v>
      </c>
      <c r="I5308" s="370">
        <v>9579.3251342773438</v>
      </c>
      <c r="M5308" s="371">
        <f t="shared" si="329"/>
        <v>16012.974276776833</v>
      </c>
      <c r="N5308" s="329">
        <f t="shared" si="330"/>
        <v>5729.8227294921871</v>
      </c>
      <c r="T5308" s="331">
        <v>0</v>
      </c>
      <c r="U5308" s="328">
        <f>VLOOKUP(C5308,METADATA!$J$5:$Q$29,IF(E5308="HI",2,IF(E5308="LO",6,10))+IF(T5308=1,2,IF(D5308=7,1,(IF(WEEKDAY(B5308)=1,2,IF(WEEKDAY(B5308)=7,1,0))))))</f>
        <v>3</v>
      </c>
      <c r="V5308" s="328">
        <f>VLOOKUP(C5308,METADATA!$A$5:$H$29,IF(E5308="HI",2,IF(E5308="LO",6,10))+IF(T5308=1,2,IF(D5308=7,1,(IF(WEEKDAY(B5308)=1,2,IF(WEEKDAY(B5308)=7,1,0))))))</f>
        <v>3</v>
      </c>
    </row>
    <row r="5309" spans="2:22">
      <c r="B5309" s="318">
        <f t="shared" si="331"/>
        <v>46334</v>
      </c>
      <c r="C5309" s="312">
        <v>1</v>
      </c>
      <c r="D5309" s="368">
        <f>IFERROR((INDEX(METADATA!$T$2:$T$20,MATCH(B5309,METADATA!$S$2:$S$20,0))),0)</f>
        <v>0</v>
      </c>
      <c r="E5309" s="312" t="str">
        <f t="shared" si="328"/>
        <v>LO</v>
      </c>
      <c r="F5309" s="369">
        <f>VLOOKUP(C5309,METADATA!$A$5:$H$29,IF(E5309="HI",2,IF(E5309="LO",6,10))+IF(D5309=1,2,IF(D5309=7,1,(IF(WEEKDAY(B5309)=1,2,IF(WEEKDAY(B5309)=7,1,0))))))</f>
        <v>3</v>
      </c>
      <c r="G5309" s="369">
        <f>VLOOKUP(C5309,METADATA!$J$5:$Q$29,IF(E5309="HI",2,IF(E5309="LO",6,10))+IF(D5309=1,2,IF(D5309=7,1,(IF(WEEKDAY(B5309)=1,2,IF(WEEKDAY(B5309)=7,1,0))))))</f>
        <v>3</v>
      </c>
      <c r="H5309" s="370">
        <v>13018.474914550781</v>
      </c>
      <c r="I5309" s="370">
        <v>9657.7500610351563</v>
      </c>
      <c r="M5309" s="371">
        <f t="shared" si="329"/>
        <v>16209.652227676341</v>
      </c>
      <c r="N5309" s="329">
        <f t="shared" si="330"/>
        <v>5752.2075866699215</v>
      </c>
      <c r="T5309" s="331">
        <v>0</v>
      </c>
      <c r="U5309" s="328">
        <f>VLOOKUP(C5309,METADATA!$J$5:$Q$29,IF(E5309="HI",2,IF(E5309="LO",6,10))+IF(T5309=1,2,IF(D5309=7,1,(IF(WEEKDAY(B5309)=1,2,IF(WEEKDAY(B5309)=7,1,0))))))</f>
        <v>3</v>
      </c>
      <c r="V5309" s="328">
        <f>VLOOKUP(C5309,METADATA!$A$5:$H$29,IF(E5309="HI",2,IF(E5309="LO",6,10))+IF(T5309=1,2,IF(D5309=7,1,(IF(WEEKDAY(B5309)=1,2,IF(WEEKDAY(B5309)=7,1,0))))))</f>
        <v>3</v>
      </c>
    </row>
    <row r="5310" spans="2:22">
      <c r="B5310" s="318">
        <f t="shared" si="331"/>
        <v>46334</v>
      </c>
      <c r="C5310" s="312">
        <v>2</v>
      </c>
      <c r="D5310" s="368">
        <f>IFERROR((INDEX(METADATA!$T$2:$T$20,MATCH(B5310,METADATA!$S$2:$S$20,0))),0)</f>
        <v>0</v>
      </c>
      <c r="E5310" s="312" t="str">
        <f t="shared" si="328"/>
        <v>LO</v>
      </c>
      <c r="F5310" s="369">
        <f>VLOOKUP(C5310,METADATA!$A$5:$H$29,IF(E5310="HI",2,IF(E5310="LO",6,10))+IF(D5310=1,2,IF(D5310=7,1,(IF(WEEKDAY(B5310)=1,2,IF(WEEKDAY(B5310)=7,1,0))))))</f>
        <v>3</v>
      </c>
      <c r="G5310" s="369">
        <f>VLOOKUP(C5310,METADATA!$J$5:$Q$29,IF(E5310="HI",2,IF(E5310="LO",6,10))+IF(D5310=1,2,IF(D5310=7,1,(IF(WEEKDAY(B5310)=1,2,IF(WEEKDAY(B5310)=7,1,0))))))</f>
        <v>3</v>
      </c>
      <c r="H5310" s="370">
        <v>13071.300354003906</v>
      </c>
      <c r="I5310" s="370">
        <v>9720.7747802734375</v>
      </c>
      <c r="M5310" s="371">
        <f t="shared" si="329"/>
        <v>16289.639507164753</v>
      </c>
      <c r="N5310" s="329">
        <f t="shared" si="330"/>
        <v>5799.3846740722656</v>
      </c>
      <c r="T5310" s="331">
        <v>0</v>
      </c>
      <c r="U5310" s="328">
        <f>VLOOKUP(C5310,METADATA!$J$5:$Q$29,IF(E5310="HI",2,IF(E5310="LO",6,10))+IF(T5310=1,2,IF(D5310=7,1,(IF(WEEKDAY(B5310)=1,2,IF(WEEKDAY(B5310)=7,1,0))))))</f>
        <v>3</v>
      </c>
      <c r="V5310" s="328">
        <f>VLOOKUP(C5310,METADATA!$A$5:$H$29,IF(E5310="HI",2,IF(E5310="LO",6,10))+IF(T5310=1,2,IF(D5310=7,1,(IF(WEEKDAY(B5310)=1,2,IF(WEEKDAY(B5310)=7,1,0))))))</f>
        <v>3</v>
      </c>
    </row>
    <row r="5311" spans="2:22">
      <c r="B5311" s="318">
        <f t="shared" si="331"/>
        <v>46334</v>
      </c>
      <c r="C5311" s="312">
        <v>3</v>
      </c>
      <c r="D5311" s="368">
        <f>IFERROR((INDEX(METADATA!$T$2:$T$20,MATCH(B5311,METADATA!$S$2:$S$20,0))),0)</f>
        <v>0</v>
      </c>
      <c r="E5311" s="312" t="str">
        <f t="shared" si="328"/>
        <v>LO</v>
      </c>
      <c r="F5311" s="369">
        <f>VLOOKUP(C5311,METADATA!$A$5:$H$29,IF(E5311="HI",2,IF(E5311="LO",6,10))+IF(D5311=1,2,IF(D5311=7,1,(IF(WEEKDAY(B5311)=1,2,IF(WEEKDAY(B5311)=7,1,0))))))</f>
        <v>3</v>
      </c>
      <c r="G5311" s="369">
        <f>VLOOKUP(C5311,METADATA!$J$5:$Q$29,IF(E5311="HI",2,IF(E5311="LO",6,10))+IF(D5311=1,2,IF(D5311=7,1,(IF(WEEKDAY(B5311)=1,2,IF(WEEKDAY(B5311)=7,1,0))))))</f>
        <v>3</v>
      </c>
      <c r="H5311" s="370">
        <v>12885.599914550781</v>
      </c>
      <c r="I5311" s="370">
        <v>9673.7001953125</v>
      </c>
      <c r="M5311" s="371">
        <f t="shared" si="329"/>
        <v>16112.701841300863</v>
      </c>
      <c r="N5311" s="329">
        <f t="shared" si="330"/>
        <v>5808.0202209472664</v>
      </c>
      <c r="T5311" s="331">
        <v>0</v>
      </c>
      <c r="U5311" s="328">
        <f>VLOOKUP(C5311,METADATA!$J$5:$Q$29,IF(E5311="HI",2,IF(E5311="LO",6,10))+IF(T5311=1,2,IF(D5311=7,1,(IF(WEEKDAY(B5311)=1,2,IF(WEEKDAY(B5311)=7,1,0))))))</f>
        <v>3</v>
      </c>
      <c r="V5311" s="328">
        <f>VLOOKUP(C5311,METADATA!$A$5:$H$29,IF(E5311="HI",2,IF(E5311="LO",6,10))+IF(T5311=1,2,IF(D5311=7,1,(IF(WEEKDAY(B5311)=1,2,IF(WEEKDAY(B5311)=7,1,0))))))</f>
        <v>3</v>
      </c>
    </row>
    <row r="5312" spans="2:22">
      <c r="B5312" s="318">
        <f t="shared" si="331"/>
        <v>46334</v>
      </c>
      <c r="C5312" s="312">
        <v>4</v>
      </c>
      <c r="D5312" s="368">
        <f>IFERROR((INDEX(METADATA!$T$2:$T$20,MATCH(B5312,METADATA!$S$2:$S$20,0))),0)</f>
        <v>0</v>
      </c>
      <c r="E5312" s="312" t="str">
        <f t="shared" si="328"/>
        <v>LO</v>
      </c>
      <c r="F5312" s="369">
        <f>VLOOKUP(C5312,METADATA!$A$5:$H$29,IF(E5312="HI",2,IF(E5312="LO",6,10))+IF(D5312=1,2,IF(D5312=7,1,(IF(WEEKDAY(B5312)=1,2,IF(WEEKDAY(B5312)=7,1,0))))))</f>
        <v>3</v>
      </c>
      <c r="G5312" s="369">
        <f>VLOOKUP(C5312,METADATA!$J$5:$Q$29,IF(E5312="HI",2,IF(E5312="LO",6,10))+IF(D5312=1,2,IF(D5312=7,1,(IF(WEEKDAY(B5312)=1,2,IF(WEEKDAY(B5312)=7,1,0))))))</f>
        <v>3</v>
      </c>
      <c r="H5312" s="370">
        <v>12985.325012207031</v>
      </c>
      <c r="I5312" s="370">
        <v>9758.699951171875</v>
      </c>
      <c r="M5312" s="371">
        <f t="shared" si="329"/>
        <v>16243.487630729169</v>
      </c>
      <c r="N5312" s="329">
        <f t="shared" si="330"/>
        <v>5863.1024475097656</v>
      </c>
      <c r="T5312" s="331">
        <v>0</v>
      </c>
      <c r="U5312" s="328">
        <f>VLOOKUP(C5312,METADATA!$J$5:$Q$29,IF(E5312="HI",2,IF(E5312="LO",6,10))+IF(T5312=1,2,IF(D5312=7,1,(IF(WEEKDAY(B5312)=1,2,IF(WEEKDAY(B5312)=7,1,0))))))</f>
        <v>3</v>
      </c>
      <c r="V5312" s="328">
        <f>VLOOKUP(C5312,METADATA!$A$5:$H$29,IF(E5312="HI",2,IF(E5312="LO",6,10))+IF(T5312=1,2,IF(D5312=7,1,(IF(WEEKDAY(B5312)=1,2,IF(WEEKDAY(B5312)=7,1,0))))))</f>
        <v>3</v>
      </c>
    </row>
    <row r="5313" spans="2:22">
      <c r="B5313" s="318">
        <f t="shared" si="331"/>
        <v>46334</v>
      </c>
      <c r="C5313" s="312">
        <v>5</v>
      </c>
      <c r="D5313" s="368">
        <f>IFERROR((INDEX(METADATA!$T$2:$T$20,MATCH(B5313,METADATA!$S$2:$S$20,0))),0)</f>
        <v>0</v>
      </c>
      <c r="E5313" s="312" t="str">
        <f t="shared" si="328"/>
        <v>LO</v>
      </c>
      <c r="F5313" s="369">
        <f>VLOOKUP(C5313,METADATA!$A$5:$H$29,IF(E5313="HI",2,IF(E5313="LO",6,10))+IF(D5313=1,2,IF(D5313=7,1,(IF(WEEKDAY(B5313)=1,2,IF(WEEKDAY(B5313)=7,1,0))))))</f>
        <v>3</v>
      </c>
      <c r="G5313" s="369">
        <f>VLOOKUP(C5313,METADATA!$J$5:$Q$29,IF(E5313="HI",2,IF(E5313="LO",6,10))+IF(D5313=1,2,IF(D5313=7,1,(IF(WEEKDAY(B5313)=1,2,IF(WEEKDAY(B5313)=7,1,0))))))</f>
        <v>3</v>
      </c>
      <c r="H5313" s="370">
        <v>12983.207397460938</v>
      </c>
      <c r="I5313" s="370">
        <v>9682.9348754882813</v>
      </c>
      <c r="M5313" s="371">
        <f t="shared" si="329"/>
        <v>16196.385464924933</v>
      </c>
      <c r="N5313" s="329">
        <f t="shared" si="330"/>
        <v>5787.97265625</v>
      </c>
      <c r="T5313" s="331">
        <v>0</v>
      </c>
      <c r="U5313" s="328">
        <f>VLOOKUP(C5313,METADATA!$J$5:$Q$29,IF(E5313="HI",2,IF(E5313="LO",6,10))+IF(T5313=1,2,IF(D5313=7,1,(IF(WEEKDAY(B5313)=1,2,IF(WEEKDAY(B5313)=7,1,0))))))</f>
        <v>3</v>
      </c>
      <c r="V5313" s="328">
        <f>VLOOKUP(C5313,METADATA!$A$5:$H$29,IF(E5313="HI",2,IF(E5313="LO",6,10))+IF(T5313=1,2,IF(D5313=7,1,(IF(WEEKDAY(B5313)=1,2,IF(WEEKDAY(B5313)=7,1,0))))))</f>
        <v>3</v>
      </c>
    </row>
    <row r="5314" spans="2:22">
      <c r="B5314" s="318">
        <f t="shared" si="331"/>
        <v>46334</v>
      </c>
      <c r="C5314" s="312">
        <v>6</v>
      </c>
      <c r="D5314" s="368">
        <f>IFERROR((INDEX(METADATA!$T$2:$T$20,MATCH(B5314,METADATA!$S$2:$S$20,0))),0)</f>
        <v>0</v>
      </c>
      <c r="E5314" s="312" t="str">
        <f t="shared" si="328"/>
        <v>LO</v>
      </c>
      <c r="F5314" s="369">
        <f>VLOOKUP(C5314,METADATA!$A$5:$H$29,IF(E5314="HI",2,IF(E5314="LO",6,10))+IF(D5314=1,2,IF(D5314=7,1,(IF(WEEKDAY(B5314)=1,2,IF(WEEKDAY(B5314)=7,1,0))))))</f>
        <v>3</v>
      </c>
      <c r="G5314" s="369">
        <f>VLOOKUP(C5314,METADATA!$J$5:$Q$29,IF(E5314="HI",2,IF(E5314="LO",6,10))+IF(D5314=1,2,IF(D5314=7,1,(IF(WEEKDAY(B5314)=1,2,IF(WEEKDAY(B5314)=7,1,0))))))</f>
        <v>3</v>
      </c>
      <c r="H5314" s="370">
        <v>12840.82470703125</v>
      </c>
      <c r="I5314" s="370">
        <v>9453.5498657226563</v>
      </c>
      <c r="M5314" s="371">
        <f t="shared" si="329"/>
        <v>15945.418910157519</v>
      </c>
      <c r="N5314" s="329">
        <f t="shared" si="330"/>
        <v>5601.3024536132816</v>
      </c>
      <c r="T5314" s="331">
        <v>0</v>
      </c>
      <c r="U5314" s="328">
        <f>VLOOKUP(C5314,METADATA!$J$5:$Q$29,IF(E5314="HI",2,IF(E5314="LO",6,10))+IF(T5314=1,2,IF(D5314=7,1,(IF(WEEKDAY(B5314)=1,2,IF(WEEKDAY(B5314)=7,1,0))))))</f>
        <v>3</v>
      </c>
      <c r="V5314" s="328">
        <f>VLOOKUP(C5314,METADATA!$A$5:$H$29,IF(E5314="HI",2,IF(E5314="LO",6,10))+IF(T5314=1,2,IF(D5314=7,1,(IF(WEEKDAY(B5314)=1,2,IF(WEEKDAY(B5314)=7,1,0))))))</f>
        <v>3</v>
      </c>
    </row>
    <row r="5315" spans="2:22">
      <c r="B5315" s="318">
        <f t="shared" si="331"/>
        <v>46334</v>
      </c>
      <c r="C5315" s="312">
        <v>7</v>
      </c>
      <c r="D5315" s="368">
        <f>IFERROR((INDEX(METADATA!$T$2:$T$20,MATCH(B5315,METADATA!$S$2:$S$20,0))),0)</f>
        <v>0</v>
      </c>
      <c r="E5315" s="312" t="str">
        <f t="shared" si="328"/>
        <v>LO</v>
      </c>
      <c r="F5315" s="369">
        <f>VLOOKUP(C5315,METADATA!$A$5:$H$29,IF(E5315="HI",2,IF(E5315="LO",6,10))+IF(D5315=1,2,IF(D5315=7,1,(IF(WEEKDAY(B5315)=1,2,IF(WEEKDAY(B5315)=7,1,0))))))</f>
        <v>3</v>
      </c>
      <c r="G5315" s="369">
        <f>VLOOKUP(C5315,METADATA!$J$5:$Q$29,IF(E5315="HI",2,IF(E5315="LO",6,10))+IF(D5315=1,2,IF(D5315=7,1,(IF(WEEKDAY(B5315)=1,2,IF(WEEKDAY(B5315)=7,1,0))))))</f>
        <v>3</v>
      </c>
      <c r="H5315" s="370">
        <v>12884.749877929688</v>
      </c>
      <c r="I5315" s="370">
        <v>9336.2000122070313</v>
      </c>
      <c r="M5315" s="371">
        <f t="shared" si="329"/>
        <v>15911.675275870346</v>
      </c>
      <c r="N5315" s="329">
        <f t="shared" si="330"/>
        <v>5470.7750488281254</v>
      </c>
      <c r="T5315" s="331">
        <v>0</v>
      </c>
      <c r="U5315" s="328">
        <f>VLOOKUP(C5315,METADATA!$J$5:$Q$29,IF(E5315="HI",2,IF(E5315="LO",6,10))+IF(T5315=1,2,IF(D5315=7,1,(IF(WEEKDAY(B5315)=1,2,IF(WEEKDAY(B5315)=7,1,0))))))</f>
        <v>3</v>
      </c>
      <c r="V5315" s="328">
        <f>VLOOKUP(C5315,METADATA!$A$5:$H$29,IF(E5315="HI",2,IF(E5315="LO",6,10))+IF(T5315=1,2,IF(D5315=7,1,(IF(WEEKDAY(B5315)=1,2,IF(WEEKDAY(B5315)=7,1,0))))))</f>
        <v>3</v>
      </c>
    </row>
    <row r="5316" spans="2:22">
      <c r="B5316" s="318">
        <f t="shared" si="331"/>
        <v>46334</v>
      </c>
      <c r="C5316" s="312">
        <v>8</v>
      </c>
      <c r="D5316" s="368">
        <f>IFERROR((INDEX(METADATA!$T$2:$T$20,MATCH(B5316,METADATA!$S$2:$S$20,0))),0)</f>
        <v>0</v>
      </c>
      <c r="E5316" s="312" t="str">
        <f t="shared" ref="E5316:E5379" si="332">IF(B5316="","",IF(AND(MONTH(B5316)&gt;=MONTH($Z$9),MONTH(B5316)&lt;=MONTH($Z$11)),"HI","LO"))</f>
        <v>LO</v>
      </c>
      <c r="F5316" s="369">
        <f>VLOOKUP(C5316,METADATA!$A$5:$H$29,IF(E5316="HI",2,IF(E5316="LO",6,10))+IF(D5316=1,2,IF(D5316=7,1,(IF(WEEKDAY(B5316)=1,2,IF(WEEKDAY(B5316)=7,1,0))))))</f>
        <v>3</v>
      </c>
      <c r="G5316" s="369">
        <f>VLOOKUP(C5316,METADATA!$J$5:$Q$29,IF(E5316="HI",2,IF(E5316="LO",6,10))+IF(D5316=1,2,IF(D5316=7,1,(IF(WEEKDAY(B5316)=1,2,IF(WEEKDAY(B5316)=7,1,0))))))</f>
        <v>3</v>
      </c>
      <c r="H5316" s="370">
        <v>13082.724548339844</v>
      </c>
      <c r="I5316" s="370">
        <v>9478.5000610351563</v>
      </c>
      <c r="M5316" s="371">
        <f t="shared" ref="M5316:M5379" si="333">SQRT(H5316^2+I5316^2)</f>
        <v>16155.48343488295</v>
      </c>
      <c r="N5316" s="329">
        <f t="shared" ref="N5316:N5379" si="334">IF(H5316=0,0,(IF(I5316-(0.3*H5316)&lt;0,0,(I5316-(0.3*H5316)))))</f>
        <v>5553.6826965332039</v>
      </c>
      <c r="T5316" s="331">
        <v>0</v>
      </c>
      <c r="U5316" s="328">
        <f>VLOOKUP(C5316,METADATA!$J$5:$Q$29,IF(E5316="HI",2,IF(E5316="LO",6,10))+IF(T5316=1,2,IF(D5316=7,1,(IF(WEEKDAY(B5316)=1,2,IF(WEEKDAY(B5316)=7,1,0))))))</f>
        <v>3</v>
      </c>
      <c r="V5316" s="328">
        <f>VLOOKUP(C5316,METADATA!$A$5:$H$29,IF(E5316="HI",2,IF(E5316="LO",6,10))+IF(T5316=1,2,IF(D5316=7,1,(IF(WEEKDAY(B5316)=1,2,IF(WEEKDAY(B5316)=7,1,0))))))</f>
        <v>3</v>
      </c>
    </row>
    <row r="5317" spans="2:22">
      <c r="B5317" s="318">
        <f t="shared" si="331"/>
        <v>46334</v>
      </c>
      <c r="C5317" s="312">
        <v>9</v>
      </c>
      <c r="D5317" s="368">
        <f>IFERROR((INDEX(METADATA!$T$2:$T$20,MATCH(B5317,METADATA!$S$2:$S$20,0))),0)</f>
        <v>0</v>
      </c>
      <c r="E5317" s="312" t="str">
        <f t="shared" si="332"/>
        <v>LO</v>
      </c>
      <c r="F5317" s="369">
        <f>VLOOKUP(C5317,METADATA!$A$5:$H$29,IF(E5317="HI",2,IF(E5317="LO",6,10))+IF(D5317=1,2,IF(D5317=7,1,(IF(WEEKDAY(B5317)=1,2,IF(WEEKDAY(B5317)=7,1,0))))))</f>
        <v>3</v>
      </c>
      <c r="G5317" s="369">
        <f>VLOOKUP(C5317,METADATA!$J$5:$Q$29,IF(E5317="HI",2,IF(E5317="LO",6,10))+IF(D5317=1,2,IF(D5317=7,1,(IF(WEEKDAY(B5317)=1,2,IF(WEEKDAY(B5317)=7,1,0))))))</f>
        <v>3</v>
      </c>
      <c r="H5317" s="370">
        <v>12815.524963378906</v>
      </c>
      <c r="I5317" s="370">
        <v>9207.5000610351563</v>
      </c>
      <c r="M5317" s="371">
        <f t="shared" si="333"/>
        <v>15780.232490712877</v>
      </c>
      <c r="N5317" s="329">
        <f t="shared" si="334"/>
        <v>5362.8425720214846</v>
      </c>
      <c r="T5317" s="331">
        <v>0</v>
      </c>
      <c r="U5317" s="328">
        <f>VLOOKUP(C5317,METADATA!$J$5:$Q$29,IF(E5317="HI",2,IF(E5317="LO",6,10))+IF(T5317=1,2,IF(D5317=7,1,(IF(WEEKDAY(B5317)=1,2,IF(WEEKDAY(B5317)=7,1,0))))))</f>
        <v>3</v>
      </c>
      <c r="V5317" s="328">
        <f>VLOOKUP(C5317,METADATA!$A$5:$H$29,IF(E5317="HI",2,IF(E5317="LO",6,10))+IF(T5317=1,2,IF(D5317=7,1,(IF(WEEKDAY(B5317)=1,2,IF(WEEKDAY(B5317)=7,1,0))))))</f>
        <v>3</v>
      </c>
    </row>
    <row r="5318" spans="2:22">
      <c r="B5318" s="318">
        <f t="shared" si="331"/>
        <v>46334</v>
      </c>
      <c r="C5318" s="312">
        <v>10</v>
      </c>
      <c r="D5318" s="368">
        <f>IFERROR((INDEX(METADATA!$T$2:$T$20,MATCH(B5318,METADATA!$S$2:$S$20,0))),0)</f>
        <v>0</v>
      </c>
      <c r="E5318" s="312" t="str">
        <f t="shared" si="332"/>
        <v>LO</v>
      </c>
      <c r="F5318" s="369">
        <f>VLOOKUP(C5318,METADATA!$A$5:$H$29,IF(E5318="HI",2,IF(E5318="LO",6,10))+IF(D5318=1,2,IF(D5318=7,1,(IF(WEEKDAY(B5318)=1,2,IF(WEEKDAY(B5318)=7,1,0))))))</f>
        <v>3</v>
      </c>
      <c r="G5318" s="369">
        <f>VLOOKUP(C5318,METADATA!$J$5:$Q$29,IF(E5318="HI",2,IF(E5318="LO",6,10))+IF(D5318=1,2,IF(D5318=7,1,(IF(WEEKDAY(B5318)=1,2,IF(WEEKDAY(B5318)=7,1,0))))))</f>
        <v>3</v>
      </c>
      <c r="H5318" s="370">
        <v>11903.275085449219</v>
      </c>
      <c r="I5318" s="370">
        <v>8642.2574768066406</v>
      </c>
      <c r="M5318" s="371">
        <f t="shared" si="333"/>
        <v>14709.744119300525</v>
      </c>
      <c r="N5318" s="329">
        <f t="shared" si="334"/>
        <v>5071.2749511718757</v>
      </c>
      <c r="T5318" s="331">
        <v>0</v>
      </c>
      <c r="U5318" s="328">
        <f>VLOOKUP(C5318,METADATA!$J$5:$Q$29,IF(E5318="HI",2,IF(E5318="LO",6,10))+IF(T5318=1,2,IF(D5318=7,1,(IF(WEEKDAY(B5318)=1,2,IF(WEEKDAY(B5318)=7,1,0))))))</f>
        <v>3</v>
      </c>
      <c r="V5318" s="328">
        <f>VLOOKUP(C5318,METADATA!$A$5:$H$29,IF(E5318="HI",2,IF(E5318="LO",6,10))+IF(T5318=1,2,IF(D5318=7,1,(IF(WEEKDAY(B5318)=1,2,IF(WEEKDAY(B5318)=7,1,0))))))</f>
        <v>3</v>
      </c>
    </row>
    <row r="5319" spans="2:22">
      <c r="B5319" s="318">
        <f t="shared" si="331"/>
        <v>46334</v>
      </c>
      <c r="C5319" s="312">
        <v>11</v>
      </c>
      <c r="D5319" s="368">
        <f>IFERROR((INDEX(METADATA!$T$2:$T$20,MATCH(B5319,METADATA!$S$2:$S$20,0))),0)</f>
        <v>0</v>
      </c>
      <c r="E5319" s="312" t="str">
        <f t="shared" si="332"/>
        <v>LO</v>
      </c>
      <c r="F5319" s="369">
        <f>VLOOKUP(C5319,METADATA!$A$5:$H$29,IF(E5319="HI",2,IF(E5319="LO",6,10))+IF(D5319=1,2,IF(D5319=7,1,(IF(WEEKDAY(B5319)=1,2,IF(WEEKDAY(B5319)=7,1,0))))))</f>
        <v>3</v>
      </c>
      <c r="G5319" s="369">
        <f>VLOOKUP(C5319,METADATA!$J$5:$Q$29,IF(E5319="HI",2,IF(E5319="LO",6,10))+IF(D5319=1,2,IF(D5319=7,1,(IF(WEEKDAY(B5319)=1,2,IF(WEEKDAY(B5319)=7,1,0))))))</f>
        <v>3</v>
      </c>
      <c r="H5319" s="370">
        <v>13185.150634765625</v>
      </c>
      <c r="I5319" s="370">
        <v>9478.4752197265625</v>
      </c>
      <c r="M5319" s="371">
        <f t="shared" si="333"/>
        <v>16238.524863805544</v>
      </c>
      <c r="N5319" s="329">
        <f t="shared" si="334"/>
        <v>5522.9300292968746</v>
      </c>
      <c r="T5319" s="331">
        <v>0</v>
      </c>
      <c r="U5319" s="328">
        <f>VLOOKUP(C5319,METADATA!$J$5:$Q$29,IF(E5319="HI",2,IF(E5319="LO",6,10))+IF(T5319=1,2,IF(D5319=7,1,(IF(WEEKDAY(B5319)=1,2,IF(WEEKDAY(B5319)=7,1,0))))))</f>
        <v>3</v>
      </c>
      <c r="V5319" s="328">
        <f>VLOOKUP(C5319,METADATA!$A$5:$H$29,IF(E5319="HI",2,IF(E5319="LO",6,10))+IF(T5319=1,2,IF(D5319=7,1,(IF(WEEKDAY(B5319)=1,2,IF(WEEKDAY(B5319)=7,1,0))))))</f>
        <v>3</v>
      </c>
    </row>
    <row r="5320" spans="2:22">
      <c r="B5320" s="318">
        <f t="shared" si="331"/>
        <v>46334</v>
      </c>
      <c r="C5320" s="312">
        <v>12</v>
      </c>
      <c r="D5320" s="368">
        <f>IFERROR((INDEX(METADATA!$T$2:$T$20,MATCH(B5320,METADATA!$S$2:$S$20,0))),0)</f>
        <v>0</v>
      </c>
      <c r="E5320" s="312" t="str">
        <f t="shared" si="332"/>
        <v>LO</v>
      </c>
      <c r="F5320" s="369">
        <f>VLOOKUP(C5320,METADATA!$A$5:$H$29,IF(E5320="HI",2,IF(E5320="LO",6,10))+IF(D5320=1,2,IF(D5320=7,1,(IF(WEEKDAY(B5320)=1,2,IF(WEEKDAY(B5320)=7,1,0))))))</f>
        <v>3</v>
      </c>
      <c r="G5320" s="369">
        <f>VLOOKUP(C5320,METADATA!$J$5:$Q$29,IF(E5320="HI",2,IF(E5320="LO",6,10))+IF(D5320=1,2,IF(D5320=7,1,(IF(WEEKDAY(B5320)=1,2,IF(WEEKDAY(B5320)=7,1,0))))))</f>
        <v>3</v>
      </c>
      <c r="H5320" s="370">
        <v>13300.224609375</v>
      </c>
      <c r="I5320" s="370">
        <v>9533.625</v>
      </c>
      <c r="M5320" s="371">
        <f t="shared" si="333"/>
        <v>16364.167571265254</v>
      </c>
      <c r="N5320" s="329">
        <f t="shared" si="334"/>
        <v>5543.5576171875</v>
      </c>
      <c r="T5320" s="331">
        <v>0</v>
      </c>
      <c r="U5320" s="328">
        <f>VLOOKUP(C5320,METADATA!$J$5:$Q$29,IF(E5320="HI",2,IF(E5320="LO",6,10))+IF(T5320=1,2,IF(D5320=7,1,(IF(WEEKDAY(B5320)=1,2,IF(WEEKDAY(B5320)=7,1,0))))))</f>
        <v>3</v>
      </c>
      <c r="V5320" s="328">
        <f>VLOOKUP(C5320,METADATA!$A$5:$H$29,IF(E5320="HI",2,IF(E5320="LO",6,10))+IF(T5320=1,2,IF(D5320=7,1,(IF(WEEKDAY(B5320)=1,2,IF(WEEKDAY(B5320)=7,1,0))))))</f>
        <v>3</v>
      </c>
    </row>
    <row r="5321" spans="2:22">
      <c r="B5321" s="318">
        <f t="shared" si="331"/>
        <v>46334</v>
      </c>
      <c r="C5321" s="312">
        <v>13</v>
      </c>
      <c r="D5321" s="368">
        <f>IFERROR((INDEX(METADATA!$T$2:$T$20,MATCH(B5321,METADATA!$S$2:$S$20,0))),0)</f>
        <v>0</v>
      </c>
      <c r="E5321" s="312" t="str">
        <f t="shared" si="332"/>
        <v>LO</v>
      </c>
      <c r="F5321" s="369">
        <f>VLOOKUP(C5321,METADATA!$A$5:$H$29,IF(E5321="HI",2,IF(E5321="LO",6,10))+IF(D5321=1,2,IF(D5321=7,1,(IF(WEEKDAY(B5321)=1,2,IF(WEEKDAY(B5321)=7,1,0))))))</f>
        <v>3</v>
      </c>
      <c r="G5321" s="369">
        <f>VLOOKUP(C5321,METADATA!$J$5:$Q$29,IF(E5321="HI",2,IF(E5321="LO",6,10))+IF(D5321=1,2,IF(D5321=7,1,(IF(WEEKDAY(B5321)=1,2,IF(WEEKDAY(B5321)=7,1,0))))))</f>
        <v>3</v>
      </c>
      <c r="H5321" s="370">
        <v>13261.675537109375</v>
      </c>
      <c r="I5321" s="370">
        <v>9493.574951171875</v>
      </c>
      <c r="M5321" s="371">
        <f t="shared" si="333"/>
        <v>16309.506534689617</v>
      </c>
      <c r="N5321" s="329">
        <f t="shared" si="334"/>
        <v>5515.0722900390629</v>
      </c>
      <c r="T5321" s="331">
        <v>0</v>
      </c>
      <c r="U5321" s="328">
        <f>VLOOKUP(C5321,METADATA!$J$5:$Q$29,IF(E5321="HI",2,IF(E5321="LO",6,10))+IF(T5321=1,2,IF(D5321=7,1,(IF(WEEKDAY(B5321)=1,2,IF(WEEKDAY(B5321)=7,1,0))))))</f>
        <v>3</v>
      </c>
      <c r="V5321" s="328">
        <f>VLOOKUP(C5321,METADATA!$A$5:$H$29,IF(E5321="HI",2,IF(E5321="LO",6,10))+IF(T5321=1,2,IF(D5321=7,1,(IF(WEEKDAY(B5321)=1,2,IF(WEEKDAY(B5321)=7,1,0))))))</f>
        <v>3</v>
      </c>
    </row>
    <row r="5322" spans="2:22">
      <c r="B5322" s="318">
        <f t="shared" si="331"/>
        <v>46334</v>
      </c>
      <c r="C5322" s="312">
        <v>14</v>
      </c>
      <c r="D5322" s="368">
        <f>IFERROR((INDEX(METADATA!$T$2:$T$20,MATCH(B5322,METADATA!$S$2:$S$20,0))),0)</f>
        <v>0</v>
      </c>
      <c r="E5322" s="312" t="str">
        <f t="shared" si="332"/>
        <v>LO</v>
      </c>
      <c r="F5322" s="369">
        <f>VLOOKUP(C5322,METADATA!$A$5:$H$29,IF(E5322="HI",2,IF(E5322="LO",6,10))+IF(D5322=1,2,IF(D5322=7,1,(IF(WEEKDAY(B5322)=1,2,IF(WEEKDAY(B5322)=7,1,0))))))</f>
        <v>3</v>
      </c>
      <c r="G5322" s="369">
        <f>VLOOKUP(C5322,METADATA!$J$5:$Q$29,IF(E5322="HI",2,IF(E5322="LO",6,10))+IF(D5322=1,2,IF(D5322=7,1,(IF(WEEKDAY(B5322)=1,2,IF(WEEKDAY(B5322)=7,1,0))))))</f>
        <v>3</v>
      </c>
      <c r="H5322" s="370">
        <v>13439.075317382813</v>
      </c>
      <c r="I5322" s="370">
        <v>9517.6249389648438</v>
      </c>
      <c r="M5322" s="371">
        <f t="shared" si="333"/>
        <v>16467.966779936542</v>
      </c>
      <c r="N5322" s="329">
        <f t="shared" si="334"/>
        <v>5485.90234375</v>
      </c>
      <c r="T5322" s="331">
        <v>0</v>
      </c>
      <c r="U5322" s="328">
        <f>VLOOKUP(C5322,METADATA!$J$5:$Q$29,IF(E5322="HI",2,IF(E5322="LO",6,10))+IF(T5322=1,2,IF(D5322=7,1,(IF(WEEKDAY(B5322)=1,2,IF(WEEKDAY(B5322)=7,1,0))))))</f>
        <v>3</v>
      </c>
      <c r="V5322" s="328">
        <f>VLOOKUP(C5322,METADATA!$A$5:$H$29,IF(E5322="HI",2,IF(E5322="LO",6,10))+IF(T5322=1,2,IF(D5322=7,1,(IF(WEEKDAY(B5322)=1,2,IF(WEEKDAY(B5322)=7,1,0))))))</f>
        <v>3</v>
      </c>
    </row>
    <row r="5323" spans="2:22">
      <c r="B5323" s="318">
        <f t="shared" si="331"/>
        <v>46334</v>
      </c>
      <c r="C5323" s="312">
        <v>15</v>
      </c>
      <c r="D5323" s="368">
        <f>IFERROR((INDEX(METADATA!$T$2:$T$20,MATCH(B5323,METADATA!$S$2:$S$20,0))),0)</f>
        <v>0</v>
      </c>
      <c r="E5323" s="312" t="str">
        <f t="shared" si="332"/>
        <v>LO</v>
      </c>
      <c r="F5323" s="369">
        <f>VLOOKUP(C5323,METADATA!$A$5:$H$29,IF(E5323="HI",2,IF(E5323="LO",6,10))+IF(D5323=1,2,IF(D5323=7,1,(IF(WEEKDAY(B5323)=1,2,IF(WEEKDAY(B5323)=7,1,0))))))</f>
        <v>3</v>
      </c>
      <c r="G5323" s="369">
        <f>VLOOKUP(C5323,METADATA!$J$5:$Q$29,IF(E5323="HI",2,IF(E5323="LO",6,10))+IF(D5323=1,2,IF(D5323=7,1,(IF(WEEKDAY(B5323)=1,2,IF(WEEKDAY(B5323)=7,1,0))))))</f>
        <v>3</v>
      </c>
      <c r="H5323" s="370">
        <v>13198.199829101563</v>
      </c>
      <c r="I5323" s="370">
        <v>9398.9501953125</v>
      </c>
      <c r="M5323" s="371">
        <f t="shared" si="333"/>
        <v>16202.862200946516</v>
      </c>
      <c r="N5323" s="329">
        <f t="shared" si="334"/>
        <v>5439.4902465820314</v>
      </c>
      <c r="T5323" s="331">
        <v>0</v>
      </c>
      <c r="U5323" s="328">
        <f>VLOOKUP(C5323,METADATA!$J$5:$Q$29,IF(E5323="HI",2,IF(E5323="LO",6,10))+IF(T5323=1,2,IF(D5323=7,1,(IF(WEEKDAY(B5323)=1,2,IF(WEEKDAY(B5323)=7,1,0))))))</f>
        <v>3</v>
      </c>
      <c r="V5323" s="328">
        <f>VLOOKUP(C5323,METADATA!$A$5:$H$29,IF(E5323="HI",2,IF(E5323="LO",6,10))+IF(T5323=1,2,IF(D5323=7,1,(IF(WEEKDAY(B5323)=1,2,IF(WEEKDAY(B5323)=7,1,0))))))</f>
        <v>3</v>
      </c>
    </row>
    <row r="5324" spans="2:22">
      <c r="B5324" s="318">
        <f t="shared" si="331"/>
        <v>46334</v>
      </c>
      <c r="C5324" s="312">
        <v>16</v>
      </c>
      <c r="D5324" s="368">
        <f>IFERROR((INDEX(METADATA!$T$2:$T$20,MATCH(B5324,METADATA!$S$2:$S$20,0))),0)</f>
        <v>0</v>
      </c>
      <c r="E5324" s="312" t="str">
        <f t="shared" si="332"/>
        <v>LO</v>
      </c>
      <c r="F5324" s="369">
        <f>VLOOKUP(C5324,METADATA!$A$5:$H$29,IF(E5324="HI",2,IF(E5324="LO",6,10))+IF(D5324=1,2,IF(D5324=7,1,(IF(WEEKDAY(B5324)=1,2,IF(WEEKDAY(B5324)=7,1,0))))))</f>
        <v>3</v>
      </c>
      <c r="G5324" s="369">
        <f>VLOOKUP(C5324,METADATA!$J$5:$Q$29,IF(E5324="HI",2,IF(E5324="LO",6,10))+IF(D5324=1,2,IF(D5324=7,1,(IF(WEEKDAY(B5324)=1,2,IF(WEEKDAY(B5324)=7,1,0))))))</f>
        <v>3</v>
      </c>
      <c r="H5324" s="370">
        <v>13292.375366210938</v>
      </c>
      <c r="I5324" s="370">
        <v>9579.4251098632813</v>
      </c>
      <c r="M5324" s="371">
        <f t="shared" si="333"/>
        <v>16384.524048983862</v>
      </c>
      <c r="N5324" s="329">
        <f t="shared" si="334"/>
        <v>5591.7124999999996</v>
      </c>
      <c r="T5324" s="331">
        <v>0</v>
      </c>
      <c r="U5324" s="328">
        <f>VLOOKUP(C5324,METADATA!$J$5:$Q$29,IF(E5324="HI",2,IF(E5324="LO",6,10))+IF(T5324=1,2,IF(D5324=7,1,(IF(WEEKDAY(B5324)=1,2,IF(WEEKDAY(B5324)=7,1,0))))))</f>
        <v>3</v>
      </c>
      <c r="V5324" s="328">
        <f>VLOOKUP(C5324,METADATA!$A$5:$H$29,IF(E5324="HI",2,IF(E5324="LO",6,10))+IF(T5324=1,2,IF(D5324=7,1,(IF(WEEKDAY(B5324)=1,2,IF(WEEKDAY(B5324)=7,1,0))))))</f>
        <v>3</v>
      </c>
    </row>
    <row r="5325" spans="2:22">
      <c r="B5325" s="318">
        <f t="shared" si="331"/>
        <v>46334</v>
      </c>
      <c r="C5325" s="312">
        <v>17</v>
      </c>
      <c r="D5325" s="368">
        <f>IFERROR((INDEX(METADATA!$T$2:$T$20,MATCH(B5325,METADATA!$S$2:$S$20,0))),0)</f>
        <v>0</v>
      </c>
      <c r="E5325" s="312" t="str">
        <f t="shared" si="332"/>
        <v>LO</v>
      </c>
      <c r="F5325" s="369">
        <f>VLOOKUP(C5325,METADATA!$A$5:$H$29,IF(E5325="HI",2,IF(E5325="LO",6,10))+IF(D5325=1,2,IF(D5325=7,1,(IF(WEEKDAY(B5325)=1,2,IF(WEEKDAY(B5325)=7,1,0))))))</f>
        <v>3</v>
      </c>
      <c r="G5325" s="369">
        <f>VLOOKUP(C5325,METADATA!$J$5:$Q$29,IF(E5325="HI",2,IF(E5325="LO",6,10))+IF(D5325=1,2,IF(D5325=7,1,(IF(WEEKDAY(B5325)=1,2,IF(WEEKDAY(B5325)=7,1,0))))))</f>
        <v>3</v>
      </c>
      <c r="H5325" s="370">
        <v>13282.550170898438</v>
      </c>
      <c r="I5325" s="370">
        <v>9586.0501098632813</v>
      </c>
      <c r="M5325" s="371">
        <f t="shared" si="333"/>
        <v>16380.430267585889</v>
      </c>
      <c r="N5325" s="329">
        <f t="shared" si="334"/>
        <v>5601.2850585937504</v>
      </c>
      <c r="T5325" s="331">
        <v>0</v>
      </c>
      <c r="U5325" s="328">
        <f>VLOOKUP(C5325,METADATA!$J$5:$Q$29,IF(E5325="HI",2,IF(E5325="LO",6,10))+IF(T5325=1,2,IF(D5325=7,1,(IF(WEEKDAY(B5325)=1,2,IF(WEEKDAY(B5325)=7,1,0))))))</f>
        <v>3</v>
      </c>
      <c r="V5325" s="328">
        <f>VLOOKUP(C5325,METADATA!$A$5:$H$29,IF(E5325="HI",2,IF(E5325="LO",6,10))+IF(T5325=1,2,IF(D5325=7,1,(IF(WEEKDAY(B5325)=1,2,IF(WEEKDAY(B5325)=7,1,0))))))</f>
        <v>3</v>
      </c>
    </row>
    <row r="5326" spans="2:22">
      <c r="B5326" s="318">
        <f t="shared" si="331"/>
        <v>46334</v>
      </c>
      <c r="C5326" s="312">
        <v>18</v>
      </c>
      <c r="D5326" s="368">
        <f>IFERROR((INDEX(METADATA!$T$2:$T$20,MATCH(B5326,METADATA!$S$2:$S$20,0))),0)</f>
        <v>0</v>
      </c>
      <c r="E5326" s="312" t="str">
        <f t="shared" si="332"/>
        <v>LO</v>
      </c>
      <c r="F5326" s="369">
        <f>VLOOKUP(C5326,METADATA!$A$5:$H$29,IF(E5326="HI",2,IF(E5326="LO",6,10))+IF(D5326=1,2,IF(D5326=7,1,(IF(WEEKDAY(B5326)=1,2,IF(WEEKDAY(B5326)=7,1,0))))))</f>
        <v>2</v>
      </c>
      <c r="G5326" s="369">
        <f>VLOOKUP(C5326,METADATA!$J$5:$Q$29,IF(E5326="HI",2,IF(E5326="LO",6,10))+IF(D5326=1,2,IF(D5326=7,1,(IF(WEEKDAY(B5326)=1,2,IF(WEEKDAY(B5326)=7,1,0))))))</f>
        <v>2</v>
      </c>
      <c r="H5326" s="370">
        <v>13268.000366210938</v>
      </c>
      <c r="I5326" s="370">
        <v>9509.0501098632813</v>
      </c>
      <c r="M5326" s="371">
        <f t="shared" si="333"/>
        <v>16323.659752324675</v>
      </c>
      <c r="N5326" s="329">
        <f t="shared" si="334"/>
        <v>5528.65</v>
      </c>
      <c r="T5326" s="331">
        <v>0</v>
      </c>
      <c r="U5326" s="328">
        <f>VLOOKUP(C5326,METADATA!$J$5:$Q$29,IF(E5326="HI",2,IF(E5326="LO",6,10))+IF(T5326=1,2,IF(D5326=7,1,(IF(WEEKDAY(B5326)=1,2,IF(WEEKDAY(B5326)=7,1,0))))))</f>
        <v>2</v>
      </c>
      <c r="V5326" s="328">
        <f>VLOOKUP(C5326,METADATA!$A$5:$H$29,IF(E5326="HI",2,IF(E5326="LO",6,10))+IF(T5326=1,2,IF(D5326=7,1,(IF(WEEKDAY(B5326)=1,2,IF(WEEKDAY(B5326)=7,1,0))))))</f>
        <v>2</v>
      </c>
    </row>
    <row r="5327" spans="2:22">
      <c r="B5327" s="318">
        <f t="shared" si="331"/>
        <v>46334</v>
      </c>
      <c r="C5327" s="312">
        <v>19</v>
      </c>
      <c r="D5327" s="368">
        <f>IFERROR((INDEX(METADATA!$T$2:$T$20,MATCH(B5327,METADATA!$S$2:$S$20,0))),0)</f>
        <v>0</v>
      </c>
      <c r="E5327" s="312" t="str">
        <f t="shared" si="332"/>
        <v>LO</v>
      </c>
      <c r="F5327" s="369">
        <f>VLOOKUP(C5327,METADATA!$A$5:$H$29,IF(E5327="HI",2,IF(E5327="LO",6,10))+IF(D5327=1,2,IF(D5327=7,1,(IF(WEEKDAY(B5327)=1,2,IF(WEEKDAY(B5327)=7,1,0))))))</f>
        <v>2</v>
      </c>
      <c r="G5327" s="369">
        <f>VLOOKUP(C5327,METADATA!$J$5:$Q$29,IF(E5327="HI",2,IF(E5327="LO",6,10))+IF(D5327=1,2,IF(D5327=7,1,(IF(WEEKDAY(B5327)=1,2,IF(WEEKDAY(B5327)=7,1,0))))))</f>
        <v>2</v>
      </c>
      <c r="H5327" s="370">
        <v>13189.274536132813</v>
      </c>
      <c r="I5327" s="370">
        <v>9447.2747192382813</v>
      </c>
      <c r="M5327" s="371">
        <f t="shared" si="333"/>
        <v>16223.685229017485</v>
      </c>
      <c r="N5327" s="329">
        <f t="shared" si="334"/>
        <v>5490.4923583984382</v>
      </c>
      <c r="T5327" s="331">
        <v>0</v>
      </c>
      <c r="U5327" s="328">
        <f>VLOOKUP(C5327,METADATA!$J$5:$Q$29,IF(E5327="HI",2,IF(E5327="LO",6,10))+IF(T5327=1,2,IF(D5327=7,1,(IF(WEEKDAY(B5327)=1,2,IF(WEEKDAY(B5327)=7,1,0))))))</f>
        <v>2</v>
      </c>
      <c r="V5327" s="328">
        <f>VLOOKUP(C5327,METADATA!$A$5:$H$29,IF(E5327="HI",2,IF(E5327="LO",6,10))+IF(T5327=1,2,IF(D5327=7,1,(IF(WEEKDAY(B5327)=1,2,IF(WEEKDAY(B5327)=7,1,0))))))</f>
        <v>2</v>
      </c>
    </row>
    <row r="5328" spans="2:22">
      <c r="B5328" s="318">
        <f t="shared" si="331"/>
        <v>46334</v>
      </c>
      <c r="C5328" s="312">
        <v>20</v>
      </c>
      <c r="D5328" s="368">
        <f>IFERROR((INDEX(METADATA!$T$2:$T$20,MATCH(B5328,METADATA!$S$2:$S$20,0))),0)</f>
        <v>0</v>
      </c>
      <c r="E5328" s="312" t="str">
        <f t="shared" si="332"/>
        <v>LO</v>
      </c>
      <c r="F5328" s="369">
        <f>VLOOKUP(C5328,METADATA!$A$5:$H$29,IF(E5328="HI",2,IF(E5328="LO",6,10))+IF(D5328=1,2,IF(D5328=7,1,(IF(WEEKDAY(B5328)=1,2,IF(WEEKDAY(B5328)=7,1,0))))))</f>
        <v>3</v>
      </c>
      <c r="G5328" s="369">
        <f>VLOOKUP(C5328,METADATA!$J$5:$Q$29,IF(E5328="HI",2,IF(E5328="LO",6,10))+IF(D5328=1,2,IF(D5328=7,1,(IF(WEEKDAY(B5328)=1,2,IF(WEEKDAY(B5328)=7,1,0))))))</f>
        <v>3</v>
      </c>
      <c r="H5328" s="370">
        <v>13139.425048828125</v>
      </c>
      <c r="I5328" s="370">
        <v>9422.9498901367188</v>
      </c>
      <c r="M5328" s="371">
        <f t="shared" si="333"/>
        <v>16168.997348190753</v>
      </c>
      <c r="N5328" s="329">
        <f t="shared" si="334"/>
        <v>5481.1223754882813</v>
      </c>
      <c r="T5328" s="331">
        <v>0</v>
      </c>
      <c r="U5328" s="328">
        <f>VLOOKUP(C5328,METADATA!$J$5:$Q$29,IF(E5328="HI",2,IF(E5328="LO",6,10))+IF(T5328=1,2,IF(D5328=7,1,(IF(WEEKDAY(B5328)=1,2,IF(WEEKDAY(B5328)=7,1,0))))))</f>
        <v>3</v>
      </c>
      <c r="V5328" s="328">
        <f>VLOOKUP(C5328,METADATA!$A$5:$H$29,IF(E5328="HI",2,IF(E5328="LO",6,10))+IF(T5328=1,2,IF(D5328=7,1,(IF(WEEKDAY(B5328)=1,2,IF(WEEKDAY(B5328)=7,1,0))))))</f>
        <v>3</v>
      </c>
    </row>
    <row r="5329" spans="2:22">
      <c r="B5329" s="318">
        <f t="shared" si="331"/>
        <v>46334</v>
      </c>
      <c r="C5329" s="312">
        <v>21</v>
      </c>
      <c r="D5329" s="368">
        <f>IFERROR((INDEX(METADATA!$T$2:$T$20,MATCH(B5329,METADATA!$S$2:$S$20,0))),0)</f>
        <v>0</v>
      </c>
      <c r="E5329" s="312" t="str">
        <f t="shared" si="332"/>
        <v>LO</v>
      </c>
      <c r="F5329" s="369">
        <f>VLOOKUP(C5329,METADATA!$A$5:$H$29,IF(E5329="HI",2,IF(E5329="LO",6,10))+IF(D5329=1,2,IF(D5329=7,1,(IF(WEEKDAY(B5329)=1,2,IF(WEEKDAY(B5329)=7,1,0))))))</f>
        <v>3</v>
      </c>
      <c r="G5329" s="369">
        <f>VLOOKUP(C5329,METADATA!$J$5:$Q$29,IF(E5329="HI",2,IF(E5329="LO",6,10))+IF(D5329=1,2,IF(D5329=7,1,(IF(WEEKDAY(B5329)=1,2,IF(WEEKDAY(B5329)=7,1,0))))))</f>
        <v>3</v>
      </c>
      <c r="H5329" s="370">
        <v>13201.350280761719</v>
      </c>
      <c r="I5329" s="370">
        <v>9445.3001098632813</v>
      </c>
      <c r="M5329" s="371">
        <f t="shared" si="333"/>
        <v>16232.354832270974</v>
      </c>
      <c r="N5329" s="329">
        <f t="shared" si="334"/>
        <v>5484.8950256347653</v>
      </c>
      <c r="T5329" s="331">
        <v>0</v>
      </c>
      <c r="U5329" s="328">
        <f>VLOOKUP(C5329,METADATA!$J$5:$Q$29,IF(E5329="HI",2,IF(E5329="LO",6,10))+IF(T5329=1,2,IF(D5329=7,1,(IF(WEEKDAY(B5329)=1,2,IF(WEEKDAY(B5329)=7,1,0))))))</f>
        <v>3</v>
      </c>
      <c r="V5329" s="328">
        <f>VLOOKUP(C5329,METADATA!$A$5:$H$29,IF(E5329="HI",2,IF(E5329="LO",6,10))+IF(T5329=1,2,IF(D5329=7,1,(IF(WEEKDAY(B5329)=1,2,IF(WEEKDAY(B5329)=7,1,0))))))</f>
        <v>3</v>
      </c>
    </row>
    <row r="5330" spans="2:22">
      <c r="B5330" s="318">
        <f t="shared" si="331"/>
        <v>46334</v>
      </c>
      <c r="C5330" s="312">
        <v>22</v>
      </c>
      <c r="D5330" s="368">
        <f>IFERROR((INDEX(METADATA!$T$2:$T$20,MATCH(B5330,METADATA!$S$2:$S$20,0))),0)</f>
        <v>0</v>
      </c>
      <c r="E5330" s="312" t="str">
        <f t="shared" si="332"/>
        <v>LO</v>
      </c>
      <c r="F5330" s="369">
        <f>VLOOKUP(C5330,METADATA!$A$5:$H$29,IF(E5330="HI",2,IF(E5330="LO",6,10))+IF(D5330=1,2,IF(D5330=7,1,(IF(WEEKDAY(B5330)=1,2,IF(WEEKDAY(B5330)=7,1,0))))))</f>
        <v>3</v>
      </c>
      <c r="G5330" s="369">
        <f>VLOOKUP(C5330,METADATA!$J$5:$Q$29,IF(E5330="HI",2,IF(E5330="LO",6,10))+IF(D5330=1,2,IF(D5330=7,1,(IF(WEEKDAY(B5330)=1,2,IF(WEEKDAY(B5330)=7,1,0))))))</f>
        <v>3</v>
      </c>
      <c r="H5330" s="370">
        <v>13307.724731445313</v>
      </c>
      <c r="I5330" s="370">
        <v>9538.5748291015625</v>
      </c>
      <c r="M5330" s="371">
        <f t="shared" si="333"/>
        <v>16373.147140922269</v>
      </c>
      <c r="N5330" s="329">
        <f t="shared" si="334"/>
        <v>5546.2574096679691</v>
      </c>
      <c r="T5330" s="331">
        <v>0</v>
      </c>
      <c r="U5330" s="328">
        <f>VLOOKUP(C5330,METADATA!$J$5:$Q$29,IF(E5330="HI",2,IF(E5330="LO",6,10))+IF(T5330=1,2,IF(D5330=7,1,(IF(WEEKDAY(B5330)=1,2,IF(WEEKDAY(B5330)=7,1,0))))))</f>
        <v>3</v>
      </c>
      <c r="V5330" s="328">
        <f>VLOOKUP(C5330,METADATA!$A$5:$H$29,IF(E5330="HI",2,IF(E5330="LO",6,10))+IF(T5330=1,2,IF(D5330=7,1,(IF(WEEKDAY(B5330)=1,2,IF(WEEKDAY(B5330)=7,1,0))))))</f>
        <v>3</v>
      </c>
    </row>
    <row r="5331" spans="2:22">
      <c r="B5331" s="318">
        <f t="shared" si="331"/>
        <v>46334</v>
      </c>
      <c r="C5331" s="312">
        <v>23</v>
      </c>
      <c r="D5331" s="368">
        <f>IFERROR((INDEX(METADATA!$T$2:$T$20,MATCH(B5331,METADATA!$S$2:$S$20,0))),0)</f>
        <v>0</v>
      </c>
      <c r="E5331" s="312" t="str">
        <f t="shared" si="332"/>
        <v>LO</v>
      </c>
      <c r="F5331" s="369">
        <f>VLOOKUP(C5331,METADATA!$A$5:$H$29,IF(E5331="HI",2,IF(E5331="LO",6,10))+IF(D5331=1,2,IF(D5331=7,1,(IF(WEEKDAY(B5331)=1,2,IF(WEEKDAY(B5331)=7,1,0))))))</f>
        <v>3</v>
      </c>
      <c r="G5331" s="369">
        <f>VLOOKUP(C5331,METADATA!$J$5:$Q$29,IF(E5331="HI",2,IF(E5331="LO",6,10))+IF(D5331=1,2,IF(D5331=7,1,(IF(WEEKDAY(B5331)=1,2,IF(WEEKDAY(B5331)=7,1,0))))))</f>
        <v>3</v>
      </c>
      <c r="H5331" s="370">
        <v>13175.049926757813</v>
      </c>
      <c r="I5331" s="370">
        <v>9451.7498168945313</v>
      </c>
      <c r="M5331" s="371">
        <f t="shared" si="333"/>
        <v>16214.731424656002</v>
      </c>
      <c r="N5331" s="329">
        <f t="shared" si="334"/>
        <v>5499.2348388671871</v>
      </c>
      <c r="T5331" s="331">
        <v>0</v>
      </c>
      <c r="U5331" s="328">
        <f>VLOOKUP(C5331,METADATA!$J$5:$Q$29,IF(E5331="HI",2,IF(E5331="LO",6,10))+IF(T5331=1,2,IF(D5331=7,1,(IF(WEEKDAY(B5331)=1,2,IF(WEEKDAY(B5331)=7,1,0))))))</f>
        <v>3</v>
      </c>
      <c r="V5331" s="328">
        <f>VLOOKUP(C5331,METADATA!$A$5:$H$29,IF(E5331="HI",2,IF(E5331="LO",6,10))+IF(T5331=1,2,IF(D5331=7,1,(IF(WEEKDAY(B5331)=1,2,IF(WEEKDAY(B5331)=7,1,0))))))</f>
        <v>3</v>
      </c>
    </row>
    <row r="5332" spans="2:22">
      <c r="B5332" s="318">
        <f t="shared" si="331"/>
        <v>46335</v>
      </c>
      <c r="C5332" s="312">
        <v>0</v>
      </c>
      <c r="D5332" s="368">
        <f>IFERROR((INDEX(METADATA!$T$2:$T$20,MATCH(B5332,METADATA!$S$2:$S$20,0))),0)</f>
        <v>0</v>
      </c>
      <c r="E5332" s="312" t="str">
        <f t="shared" si="332"/>
        <v>LO</v>
      </c>
      <c r="F5332" s="369">
        <f>VLOOKUP(C5332,METADATA!$A$5:$H$29,IF(E5332="HI",2,IF(E5332="LO",6,10))+IF(D5332=1,2,IF(D5332=7,1,(IF(WEEKDAY(B5332)=1,2,IF(WEEKDAY(B5332)=7,1,0))))))</f>
        <v>3</v>
      </c>
      <c r="G5332" s="369">
        <f>VLOOKUP(C5332,METADATA!$J$5:$Q$29,IF(E5332="HI",2,IF(E5332="LO",6,10))+IF(D5332=1,2,IF(D5332=7,1,(IF(WEEKDAY(B5332)=1,2,IF(WEEKDAY(B5332)=7,1,0))))))</f>
        <v>3</v>
      </c>
      <c r="H5332" s="370">
        <v>13221.800170898438</v>
      </c>
      <c r="I5332" s="370">
        <v>9536.975341796875</v>
      </c>
      <c r="M5332" s="371">
        <f t="shared" si="333"/>
        <v>16302.450687832537</v>
      </c>
      <c r="N5332" s="329">
        <f t="shared" si="334"/>
        <v>5570.4352905273445</v>
      </c>
      <c r="T5332" s="331">
        <v>0</v>
      </c>
      <c r="U5332" s="328">
        <f>VLOOKUP(C5332,METADATA!$J$5:$Q$29,IF(E5332="HI",2,IF(E5332="LO",6,10))+IF(T5332=1,2,IF(D5332=7,1,(IF(WEEKDAY(B5332)=1,2,IF(WEEKDAY(B5332)=7,1,0))))))</f>
        <v>3</v>
      </c>
      <c r="V5332" s="328">
        <f>VLOOKUP(C5332,METADATA!$A$5:$H$29,IF(E5332="HI",2,IF(E5332="LO",6,10))+IF(T5332=1,2,IF(D5332=7,1,(IF(WEEKDAY(B5332)=1,2,IF(WEEKDAY(B5332)=7,1,0))))))</f>
        <v>3</v>
      </c>
    </row>
    <row r="5333" spans="2:22">
      <c r="B5333" s="318">
        <f t="shared" si="331"/>
        <v>46335</v>
      </c>
      <c r="C5333" s="312">
        <v>1</v>
      </c>
      <c r="D5333" s="368">
        <f>IFERROR((INDEX(METADATA!$T$2:$T$20,MATCH(B5333,METADATA!$S$2:$S$20,0))),0)</f>
        <v>0</v>
      </c>
      <c r="E5333" s="312" t="str">
        <f t="shared" si="332"/>
        <v>LO</v>
      </c>
      <c r="F5333" s="369">
        <f>VLOOKUP(C5333,METADATA!$A$5:$H$29,IF(E5333="HI",2,IF(E5333="LO",6,10))+IF(D5333=1,2,IF(D5333=7,1,(IF(WEEKDAY(B5333)=1,2,IF(WEEKDAY(B5333)=7,1,0))))))</f>
        <v>3</v>
      </c>
      <c r="G5333" s="369">
        <f>VLOOKUP(C5333,METADATA!$J$5:$Q$29,IF(E5333="HI",2,IF(E5333="LO",6,10))+IF(D5333=1,2,IF(D5333=7,1,(IF(WEEKDAY(B5333)=1,2,IF(WEEKDAY(B5333)=7,1,0))))))</f>
        <v>3</v>
      </c>
      <c r="H5333" s="370">
        <v>13192.042358398438</v>
      </c>
      <c r="I5333" s="370">
        <v>9553.3123779296875</v>
      </c>
      <c r="M5333" s="371">
        <f t="shared" si="333"/>
        <v>16287.902227606941</v>
      </c>
      <c r="N5333" s="329">
        <f t="shared" si="334"/>
        <v>5595.6996704101566</v>
      </c>
      <c r="T5333" s="331">
        <v>0</v>
      </c>
      <c r="U5333" s="328">
        <f>VLOOKUP(C5333,METADATA!$J$5:$Q$29,IF(E5333="HI",2,IF(E5333="LO",6,10))+IF(T5333=1,2,IF(D5333=7,1,(IF(WEEKDAY(B5333)=1,2,IF(WEEKDAY(B5333)=7,1,0))))))</f>
        <v>3</v>
      </c>
      <c r="V5333" s="328">
        <f>VLOOKUP(C5333,METADATA!$A$5:$H$29,IF(E5333="HI",2,IF(E5333="LO",6,10))+IF(T5333=1,2,IF(D5333=7,1,(IF(WEEKDAY(B5333)=1,2,IF(WEEKDAY(B5333)=7,1,0))))))</f>
        <v>3</v>
      </c>
    </row>
    <row r="5334" spans="2:22">
      <c r="B5334" s="318">
        <f t="shared" si="331"/>
        <v>46335</v>
      </c>
      <c r="C5334" s="312">
        <v>2</v>
      </c>
      <c r="D5334" s="368">
        <f>IFERROR((INDEX(METADATA!$T$2:$T$20,MATCH(B5334,METADATA!$S$2:$S$20,0))),0)</f>
        <v>0</v>
      </c>
      <c r="E5334" s="312" t="str">
        <f t="shared" si="332"/>
        <v>LO</v>
      </c>
      <c r="F5334" s="369">
        <f>VLOOKUP(C5334,METADATA!$A$5:$H$29,IF(E5334="HI",2,IF(E5334="LO",6,10))+IF(D5334=1,2,IF(D5334=7,1,(IF(WEEKDAY(B5334)=1,2,IF(WEEKDAY(B5334)=7,1,0))))))</f>
        <v>3</v>
      </c>
      <c r="G5334" s="369">
        <f>VLOOKUP(C5334,METADATA!$J$5:$Q$29,IF(E5334="HI",2,IF(E5334="LO",6,10))+IF(D5334=1,2,IF(D5334=7,1,(IF(WEEKDAY(B5334)=1,2,IF(WEEKDAY(B5334)=7,1,0))))))</f>
        <v>3</v>
      </c>
      <c r="H5334" s="370">
        <v>13156.249938964844</v>
      </c>
      <c r="I5334" s="370">
        <v>9507.8251953125</v>
      </c>
      <c r="M5334" s="371">
        <f t="shared" si="333"/>
        <v>16232.241139199838</v>
      </c>
      <c r="N5334" s="329">
        <f t="shared" si="334"/>
        <v>5560.9502136230476</v>
      </c>
      <c r="T5334" s="331">
        <v>0</v>
      </c>
      <c r="U5334" s="328">
        <f>VLOOKUP(C5334,METADATA!$J$5:$Q$29,IF(E5334="HI",2,IF(E5334="LO",6,10))+IF(T5334=1,2,IF(D5334=7,1,(IF(WEEKDAY(B5334)=1,2,IF(WEEKDAY(B5334)=7,1,0))))))</f>
        <v>3</v>
      </c>
      <c r="V5334" s="328">
        <f>VLOOKUP(C5334,METADATA!$A$5:$H$29,IF(E5334="HI",2,IF(E5334="LO",6,10))+IF(T5334=1,2,IF(D5334=7,1,(IF(WEEKDAY(B5334)=1,2,IF(WEEKDAY(B5334)=7,1,0))))))</f>
        <v>3</v>
      </c>
    </row>
    <row r="5335" spans="2:22">
      <c r="B5335" s="318">
        <f t="shared" si="331"/>
        <v>46335</v>
      </c>
      <c r="C5335" s="312">
        <v>3</v>
      </c>
      <c r="D5335" s="368">
        <f>IFERROR((INDEX(METADATA!$T$2:$T$20,MATCH(B5335,METADATA!$S$2:$S$20,0))),0)</f>
        <v>0</v>
      </c>
      <c r="E5335" s="312" t="str">
        <f t="shared" si="332"/>
        <v>LO</v>
      </c>
      <c r="F5335" s="369">
        <f>VLOOKUP(C5335,METADATA!$A$5:$H$29,IF(E5335="HI",2,IF(E5335="LO",6,10))+IF(D5335=1,2,IF(D5335=7,1,(IF(WEEKDAY(B5335)=1,2,IF(WEEKDAY(B5335)=7,1,0))))))</f>
        <v>3</v>
      </c>
      <c r="G5335" s="369">
        <f>VLOOKUP(C5335,METADATA!$J$5:$Q$29,IF(E5335="HI",2,IF(E5335="LO",6,10))+IF(D5335=1,2,IF(D5335=7,1,(IF(WEEKDAY(B5335)=1,2,IF(WEEKDAY(B5335)=7,1,0))))))</f>
        <v>3</v>
      </c>
      <c r="H5335" s="370">
        <v>13211.349914550781</v>
      </c>
      <c r="I5335" s="370">
        <v>9545.9998168945313</v>
      </c>
      <c r="M5335" s="371">
        <f t="shared" si="333"/>
        <v>16299.260077342509</v>
      </c>
      <c r="N5335" s="329">
        <f t="shared" si="334"/>
        <v>5582.5948425292972</v>
      </c>
      <c r="T5335" s="331">
        <v>0</v>
      </c>
      <c r="U5335" s="328">
        <f>VLOOKUP(C5335,METADATA!$J$5:$Q$29,IF(E5335="HI",2,IF(E5335="LO",6,10))+IF(T5335=1,2,IF(D5335=7,1,(IF(WEEKDAY(B5335)=1,2,IF(WEEKDAY(B5335)=7,1,0))))))</f>
        <v>3</v>
      </c>
      <c r="V5335" s="328">
        <f>VLOOKUP(C5335,METADATA!$A$5:$H$29,IF(E5335="HI",2,IF(E5335="LO",6,10))+IF(T5335=1,2,IF(D5335=7,1,(IF(WEEKDAY(B5335)=1,2,IF(WEEKDAY(B5335)=7,1,0))))))</f>
        <v>3</v>
      </c>
    </row>
    <row r="5336" spans="2:22">
      <c r="B5336" s="318">
        <f t="shared" si="331"/>
        <v>46335</v>
      </c>
      <c r="C5336" s="312">
        <v>4</v>
      </c>
      <c r="D5336" s="368">
        <f>IFERROR((INDEX(METADATA!$T$2:$T$20,MATCH(B5336,METADATA!$S$2:$S$20,0))),0)</f>
        <v>0</v>
      </c>
      <c r="E5336" s="312" t="str">
        <f t="shared" si="332"/>
        <v>LO</v>
      </c>
      <c r="F5336" s="369">
        <f>VLOOKUP(C5336,METADATA!$A$5:$H$29,IF(E5336="HI",2,IF(E5336="LO",6,10))+IF(D5336=1,2,IF(D5336=7,1,(IF(WEEKDAY(B5336)=1,2,IF(WEEKDAY(B5336)=7,1,0))))))</f>
        <v>3</v>
      </c>
      <c r="G5336" s="369">
        <f>VLOOKUP(C5336,METADATA!$J$5:$Q$29,IF(E5336="HI",2,IF(E5336="LO",6,10))+IF(D5336=1,2,IF(D5336=7,1,(IF(WEEKDAY(B5336)=1,2,IF(WEEKDAY(B5336)=7,1,0))))))</f>
        <v>3</v>
      </c>
      <c r="H5336" s="370">
        <v>13313.600280761719</v>
      </c>
      <c r="I5336" s="370">
        <v>9603.3250732421875</v>
      </c>
      <c r="M5336" s="371">
        <f t="shared" si="333"/>
        <v>16415.71822669543</v>
      </c>
      <c r="N5336" s="329">
        <f t="shared" si="334"/>
        <v>5609.2449890136722</v>
      </c>
      <c r="T5336" s="331">
        <v>0</v>
      </c>
      <c r="U5336" s="328">
        <f>VLOOKUP(C5336,METADATA!$J$5:$Q$29,IF(E5336="HI",2,IF(E5336="LO",6,10))+IF(T5336=1,2,IF(D5336=7,1,(IF(WEEKDAY(B5336)=1,2,IF(WEEKDAY(B5336)=7,1,0))))))</f>
        <v>3</v>
      </c>
      <c r="V5336" s="328">
        <f>VLOOKUP(C5336,METADATA!$A$5:$H$29,IF(E5336="HI",2,IF(E5336="LO",6,10))+IF(T5336=1,2,IF(D5336=7,1,(IF(WEEKDAY(B5336)=1,2,IF(WEEKDAY(B5336)=7,1,0))))))</f>
        <v>3</v>
      </c>
    </row>
    <row r="5337" spans="2:22">
      <c r="B5337" s="318">
        <f t="shared" si="331"/>
        <v>46335</v>
      </c>
      <c r="C5337" s="312">
        <v>5</v>
      </c>
      <c r="D5337" s="368">
        <f>IFERROR((INDEX(METADATA!$T$2:$T$20,MATCH(B5337,METADATA!$S$2:$S$20,0))),0)</f>
        <v>0</v>
      </c>
      <c r="E5337" s="312" t="str">
        <f t="shared" si="332"/>
        <v>LO</v>
      </c>
      <c r="F5337" s="369">
        <f>VLOOKUP(C5337,METADATA!$A$5:$H$29,IF(E5337="HI",2,IF(E5337="LO",6,10))+IF(D5337=1,2,IF(D5337=7,1,(IF(WEEKDAY(B5337)=1,2,IF(WEEKDAY(B5337)=7,1,0))))))</f>
        <v>3</v>
      </c>
      <c r="G5337" s="369">
        <f>VLOOKUP(C5337,METADATA!$J$5:$Q$29,IF(E5337="HI",2,IF(E5337="LO",6,10))+IF(D5337=1,2,IF(D5337=7,1,(IF(WEEKDAY(B5337)=1,2,IF(WEEKDAY(B5337)=7,1,0))))))</f>
        <v>3</v>
      </c>
      <c r="H5337" s="370">
        <v>13172.924926757813</v>
      </c>
      <c r="I5337" s="370">
        <v>9387.1248168945313</v>
      </c>
      <c r="M5337" s="371">
        <f t="shared" si="333"/>
        <v>16175.415402825192</v>
      </c>
      <c r="N5337" s="329">
        <f t="shared" si="334"/>
        <v>5435.2473388671879</v>
      </c>
      <c r="T5337" s="331">
        <v>0</v>
      </c>
      <c r="U5337" s="328">
        <f>VLOOKUP(C5337,METADATA!$J$5:$Q$29,IF(E5337="HI",2,IF(E5337="LO",6,10))+IF(T5337=1,2,IF(D5337=7,1,(IF(WEEKDAY(B5337)=1,2,IF(WEEKDAY(B5337)=7,1,0))))))</f>
        <v>3</v>
      </c>
      <c r="V5337" s="328">
        <f>VLOOKUP(C5337,METADATA!$A$5:$H$29,IF(E5337="HI",2,IF(E5337="LO",6,10))+IF(T5337=1,2,IF(D5337=7,1,(IF(WEEKDAY(B5337)=1,2,IF(WEEKDAY(B5337)=7,1,0))))))</f>
        <v>3</v>
      </c>
    </row>
    <row r="5338" spans="2:22">
      <c r="B5338" s="318">
        <f t="shared" si="331"/>
        <v>46335</v>
      </c>
      <c r="C5338" s="312">
        <v>6</v>
      </c>
      <c r="D5338" s="368">
        <f>IFERROR((INDEX(METADATA!$T$2:$T$20,MATCH(B5338,METADATA!$S$2:$S$20,0))),0)</f>
        <v>0</v>
      </c>
      <c r="E5338" s="312" t="str">
        <f t="shared" si="332"/>
        <v>LO</v>
      </c>
      <c r="F5338" s="369">
        <f>VLOOKUP(C5338,METADATA!$A$5:$H$29,IF(E5338="HI",2,IF(E5338="LO",6,10))+IF(D5338=1,2,IF(D5338=7,1,(IF(WEEKDAY(B5338)=1,2,IF(WEEKDAY(B5338)=7,1,0))))))</f>
        <v>2</v>
      </c>
      <c r="G5338" s="369">
        <f>VLOOKUP(C5338,METADATA!$J$5:$Q$29,IF(E5338="HI",2,IF(E5338="LO",6,10))+IF(D5338=1,2,IF(D5338=7,1,(IF(WEEKDAY(B5338)=1,2,IF(WEEKDAY(B5338)=7,1,0))))))</f>
        <v>2</v>
      </c>
      <c r="H5338" s="370">
        <v>12531.525329589844</v>
      </c>
      <c r="I5338" s="370">
        <v>9106.1749877929688</v>
      </c>
      <c r="M5338" s="371">
        <f t="shared" si="333"/>
        <v>15490.692366529591</v>
      </c>
      <c r="N5338" s="329">
        <f t="shared" si="334"/>
        <v>5346.7173889160158</v>
      </c>
      <c r="T5338" s="331">
        <v>0</v>
      </c>
      <c r="U5338" s="328">
        <f>VLOOKUP(C5338,METADATA!$J$5:$Q$29,IF(E5338="HI",2,IF(E5338="LO",6,10))+IF(T5338=1,2,IF(D5338=7,1,(IF(WEEKDAY(B5338)=1,2,IF(WEEKDAY(B5338)=7,1,0))))))</f>
        <v>2</v>
      </c>
      <c r="V5338" s="328">
        <f>VLOOKUP(C5338,METADATA!$A$5:$H$29,IF(E5338="HI",2,IF(E5338="LO",6,10))+IF(T5338=1,2,IF(D5338=7,1,(IF(WEEKDAY(B5338)=1,2,IF(WEEKDAY(B5338)=7,1,0))))))</f>
        <v>2</v>
      </c>
    </row>
    <row r="5339" spans="2:22">
      <c r="B5339" s="318">
        <f t="shared" si="331"/>
        <v>46335</v>
      </c>
      <c r="C5339" s="312">
        <v>7</v>
      </c>
      <c r="D5339" s="368">
        <f>IFERROR((INDEX(METADATA!$T$2:$T$20,MATCH(B5339,METADATA!$S$2:$S$20,0))),0)</f>
        <v>0</v>
      </c>
      <c r="E5339" s="312" t="str">
        <f t="shared" si="332"/>
        <v>LO</v>
      </c>
      <c r="F5339" s="369">
        <f>VLOOKUP(C5339,METADATA!$A$5:$H$29,IF(E5339="HI",2,IF(E5339="LO",6,10))+IF(D5339=1,2,IF(D5339=7,1,(IF(WEEKDAY(B5339)=1,2,IF(WEEKDAY(B5339)=7,1,0))))))</f>
        <v>1</v>
      </c>
      <c r="G5339" s="369">
        <f>VLOOKUP(C5339,METADATA!$J$5:$Q$29,IF(E5339="HI",2,IF(E5339="LO",6,10))+IF(D5339=1,2,IF(D5339=7,1,(IF(WEEKDAY(B5339)=1,2,IF(WEEKDAY(B5339)=7,1,0))))))</f>
        <v>1</v>
      </c>
      <c r="H5339" s="370">
        <v>5285.6199340820313</v>
      </c>
      <c r="I5339" s="370">
        <v>4869.3898620605469</v>
      </c>
      <c r="M5339" s="371">
        <f t="shared" si="333"/>
        <v>7186.7054841772506</v>
      </c>
      <c r="N5339" s="329">
        <f t="shared" si="334"/>
        <v>3283.7038818359379</v>
      </c>
      <c r="T5339" s="331">
        <v>0</v>
      </c>
      <c r="U5339" s="328">
        <f>VLOOKUP(C5339,METADATA!$J$5:$Q$29,IF(E5339="HI",2,IF(E5339="LO",6,10))+IF(T5339=1,2,IF(D5339=7,1,(IF(WEEKDAY(B5339)=1,2,IF(WEEKDAY(B5339)=7,1,0))))))</f>
        <v>1</v>
      </c>
      <c r="V5339" s="328">
        <f>VLOOKUP(C5339,METADATA!$A$5:$H$29,IF(E5339="HI",2,IF(E5339="LO",6,10))+IF(T5339=1,2,IF(D5339=7,1,(IF(WEEKDAY(B5339)=1,2,IF(WEEKDAY(B5339)=7,1,0))))))</f>
        <v>1</v>
      </c>
    </row>
    <row r="5340" spans="2:22">
      <c r="B5340" s="318">
        <f t="shared" ref="B5340:B5403" si="335">B5316+1</f>
        <v>46335</v>
      </c>
      <c r="C5340" s="312">
        <v>8</v>
      </c>
      <c r="D5340" s="368">
        <f>IFERROR((INDEX(METADATA!$T$2:$T$20,MATCH(B5340,METADATA!$S$2:$S$20,0))),0)</f>
        <v>0</v>
      </c>
      <c r="E5340" s="312" t="str">
        <f t="shared" si="332"/>
        <v>LO</v>
      </c>
      <c r="F5340" s="369">
        <f>VLOOKUP(C5340,METADATA!$A$5:$H$29,IF(E5340="HI",2,IF(E5340="LO",6,10))+IF(D5340=1,2,IF(D5340=7,1,(IF(WEEKDAY(B5340)=1,2,IF(WEEKDAY(B5340)=7,1,0))))))</f>
        <v>1</v>
      </c>
      <c r="G5340" s="369">
        <f>VLOOKUP(C5340,METADATA!$J$5:$Q$29,IF(E5340="HI",2,IF(E5340="LO",6,10))+IF(D5340=1,2,IF(D5340=7,1,(IF(WEEKDAY(B5340)=1,2,IF(WEEKDAY(B5340)=7,1,0))))))</f>
        <v>1</v>
      </c>
      <c r="H5340" s="370">
        <v>3996.0799255371094</v>
      </c>
      <c r="I5340" s="370">
        <v>3897.9099426269531</v>
      </c>
      <c r="M5340" s="371">
        <f t="shared" si="333"/>
        <v>5582.3253839337176</v>
      </c>
      <c r="N5340" s="329">
        <f t="shared" si="334"/>
        <v>2699.0859649658205</v>
      </c>
      <c r="T5340" s="331">
        <v>0</v>
      </c>
      <c r="U5340" s="328">
        <f>VLOOKUP(C5340,METADATA!$J$5:$Q$29,IF(E5340="HI",2,IF(E5340="LO",6,10))+IF(T5340=1,2,IF(D5340=7,1,(IF(WEEKDAY(B5340)=1,2,IF(WEEKDAY(B5340)=7,1,0))))))</f>
        <v>1</v>
      </c>
      <c r="V5340" s="328">
        <f>VLOOKUP(C5340,METADATA!$A$5:$H$29,IF(E5340="HI",2,IF(E5340="LO",6,10))+IF(T5340=1,2,IF(D5340=7,1,(IF(WEEKDAY(B5340)=1,2,IF(WEEKDAY(B5340)=7,1,0))))))</f>
        <v>1</v>
      </c>
    </row>
    <row r="5341" spans="2:22">
      <c r="B5341" s="318">
        <f t="shared" si="335"/>
        <v>46335</v>
      </c>
      <c r="C5341" s="312">
        <v>9</v>
      </c>
      <c r="D5341" s="368">
        <f>IFERROR((INDEX(METADATA!$T$2:$T$20,MATCH(B5341,METADATA!$S$2:$S$20,0))),0)</f>
        <v>0</v>
      </c>
      <c r="E5341" s="312" t="str">
        <f t="shared" si="332"/>
        <v>LO</v>
      </c>
      <c r="F5341" s="369">
        <f>VLOOKUP(C5341,METADATA!$A$5:$H$29,IF(E5341="HI",2,IF(E5341="LO",6,10))+IF(D5341=1,2,IF(D5341=7,1,(IF(WEEKDAY(B5341)=1,2,IF(WEEKDAY(B5341)=7,1,0))))))</f>
        <v>2</v>
      </c>
      <c r="G5341" s="369">
        <f>VLOOKUP(C5341,METADATA!$J$5:$Q$29,IF(E5341="HI",2,IF(E5341="LO",6,10))+IF(D5341=1,2,IF(D5341=7,1,(IF(WEEKDAY(B5341)=1,2,IF(WEEKDAY(B5341)=7,1,0))))))</f>
        <v>2</v>
      </c>
      <c r="H5341" s="370">
        <v>4047.2524108886719</v>
      </c>
      <c r="I5341" s="370">
        <v>3943.8099975585938</v>
      </c>
      <c r="M5341" s="371">
        <f t="shared" si="333"/>
        <v>5651.0078193440222</v>
      </c>
      <c r="N5341" s="329">
        <f t="shared" si="334"/>
        <v>2729.6342742919924</v>
      </c>
      <c r="T5341" s="331">
        <v>0</v>
      </c>
      <c r="U5341" s="328">
        <f>VLOOKUP(C5341,METADATA!$J$5:$Q$29,IF(E5341="HI",2,IF(E5341="LO",6,10))+IF(T5341=1,2,IF(D5341=7,1,(IF(WEEKDAY(B5341)=1,2,IF(WEEKDAY(B5341)=7,1,0))))))</f>
        <v>2</v>
      </c>
      <c r="V5341" s="328">
        <f>VLOOKUP(C5341,METADATA!$A$5:$H$29,IF(E5341="HI",2,IF(E5341="LO",6,10))+IF(T5341=1,2,IF(D5341=7,1,(IF(WEEKDAY(B5341)=1,2,IF(WEEKDAY(B5341)=7,1,0))))))</f>
        <v>2</v>
      </c>
    </row>
    <row r="5342" spans="2:22">
      <c r="B5342" s="318">
        <f t="shared" si="335"/>
        <v>46335</v>
      </c>
      <c r="C5342" s="312">
        <v>10</v>
      </c>
      <c r="D5342" s="368">
        <f>IFERROR((INDEX(METADATA!$T$2:$T$20,MATCH(B5342,METADATA!$S$2:$S$20,0))),0)</f>
        <v>0</v>
      </c>
      <c r="E5342" s="312" t="str">
        <f t="shared" si="332"/>
        <v>LO</v>
      </c>
      <c r="F5342" s="369">
        <f>VLOOKUP(C5342,METADATA!$A$5:$H$29,IF(E5342="HI",2,IF(E5342="LO",6,10))+IF(D5342=1,2,IF(D5342=7,1,(IF(WEEKDAY(B5342)=1,2,IF(WEEKDAY(B5342)=7,1,0))))))</f>
        <v>2</v>
      </c>
      <c r="G5342" s="369">
        <f>VLOOKUP(C5342,METADATA!$J$5:$Q$29,IF(E5342="HI",2,IF(E5342="LO",6,10))+IF(D5342=1,2,IF(D5342=7,1,(IF(WEEKDAY(B5342)=1,2,IF(WEEKDAY(B5342)=7,1,0))))))</f>
        <v>2</v>
      </c>
      <c r="H5342" s="370">
        <v>3934.7299194335938</v>
      </c>
      <c r="I5342" s="370">
        <v>3874.2949829101563</v>
      </c>
      <c r="M5342" s="371">
        <f t="shared" si="333"/>
        <v>5521.9798219016247</v>
      </c>
      <c r="N5342" s="329">
        <f t="shared" si="334"/>
        <v>2693.8760070800781</v>
      </c>
      <c r="T5342" s="331">
        <v>0</v>
      </c>
      <c r="U5342" s="328">
        <f>VLOOKUP(C5342,METADATA!$J$5:$Q$29,IF(E5342="HI",2,IF(E5342="LO",6,10))+IF(T5342=1,2,IF(D5342=7,1,(IF(WEEKDAY(B5342)=1,2,IF(WEEKDAY(B5342)=7,1,0))))))</f>
        <v>2</v>
      </c>
      <c r="V5342" s="328">
        <f>VLOOKUP(C5342,METADATA!$A$5:$H$29,IF(E5342="HI",2,IF(E5342="LO",6,10))+IF(T5342=1,2,IF(D5342=7,1,(IF(WEEKDAY(B5342)=1,2,IF(WEEKDAY(B5342)=7,1,0))))))</f>
        <v>2</v>
      </c>
    </row>
    <row r="5343" spans="2:22">
      <c r="B5343" s="318">
        <f t="shared" si="335"/>
        <v>46335</v>
      </c>
      <c r="C5343" s="312">
        <v>11</v>
      </c>
      <c r="D5343" s="368">
        <f>IFERROR((INDEX(METADATA!$T$2:$T$20,MATCH(B5343,METADATA!$S$2:$S$20,0))),0)</f>
        <v>0</v>
      </c>
      <c r="E5343" s="312" t="str">
        <f t="shared" si="332"/>
        <v>LO</v>
      </c>
      <c r="F5343" s="369">
        <f>VLOOKUP(C5343,METADATA!$A$5:$H$29,IF(E5343="HI",2,IF(E5343="LO",6,10))+IF(D5343=1,2,IF(D5343=7,1,(IF(WEEKDAY(B5343)=1,2,IF(WEEKDAY(B5343)=7,1,0))))))</f>
        <v>2</v>
      </c>
      <c r="G5343" s="369">
        <f>VLOOKUP(C5343,METADATA!$J$5:$Q$29,IF(E5343="HI",2,IF(E5343="LO",6,10))+IF(D5343=1,2,IF(D5343=7,1,(IF(WEEKDAY(B5343)=1,2,IF(WEEKDAY(B5343)=7,1,0))))))</f>
        <v>2</v>
      </c>
      <c r="H5343" s="370">
        <v>3913.3724365234375</v>
      </c>
      <c r="I5343" s="370">
        <v>3881.9374389648438</v>
      </c>
      <c r="M5343" s="371">
        <f t="shared" si="333"/>
        <v>5512.1612918145202</v>
      </c>
      <c r="N5343" s="329">
        <f t="shared" si="334"/>
        <v>2707.9257080078123</v>
      </c>
      <c r="T5343" s="331">
        <v>0</v>
      </c>
      <c r="U5343" s="328">
        <f>VLOOKUP(C5343,METADATA!$J$5:$Q$29,IF(E5343="HI",2,IF(E5343="LO",6,10))+IF(T5343=1,2,IF(D5343=7,1,(IF(WEEKDAY(B5343)=1,2,IF(WEEKDAY(B5343)=7,1,0))))))</f>
        <v>2</v>
      </c>
      <c r="V5343" s="328">
        <f>VLOOKUP(C5343,METADATA!$A$5:$H$29,IF(E5343="HI",2,IF(E5343="LO",6,10))+IF(T5343=1,2,IF(D5343=7,1,(IF(WEEKDAY(B5343)=1,2,IF(WEEKDAY(B5343)=7,1,0))))))</f>
        <v>2</v>
      </c>
    </row>
    <row r="5344" spans="2:22">
      <c r="B5344" s="318">
        <f t="shared" si="335"/>
        <v>46335</v>
      </c>
      <c r="C5344" s="312">
        <v>12</v>
      </c>
      <c r="D5344" s="368">
        <f>IFERROR((INDEX(METADATA!$T$2:$T$20,MATCH(B5344,METADATA!$S$2:$S$20,0))),0)</f>
        <v>0</v>
      </c>
      <c r="E5344" s="312" t="str">
        <f t="shared" si="332"/>
        <v>LO</v>
      </c>
      <c r="F5344" s="369">
        <f>VLOOKUP(C5344,METADATA!$A$5:$H$29,IF(E5344="HI",2,IF(E5344="LO",6,10))+IF(D5344=1,2,IF(D5344=7,1,(IF(WEEKDAY(B5344)=1,2,IF(WEEKDAY(B5344)=7,1,0))))))</f>
        <v>2</v>
      </c>
      <c r="G5344" s="369">
        <f>VLOOKUP(C5344,METADATA!$J$5:$Q$29,IF(E5344="HI",2,IF(E5344="LO",6,10))+IF(D5344=1,2,IF(D5344=7,1,(IF(WEEKDAY(B5344)=1,2,IF(WEEKDAY(B5344)=7,1,0))))))</f>
        <v>2</v>
      </c>
      <c r="H5344" s="370">
        <v>3959.3375244140625</v>
      </c>
      <c r="I5344" s="370">
        <v>3828.9450073242188</v>
      </c>
      <c r="M5344" s="371">
        <f t="shared" si="333"/>
        <v>5507.9191625646017</v>
      </c>
      <c r="N5344" s="329">
        <f t="shared" si="334"/>
        <v>2641.1437500000002</v>
      </c>
      <c r="T5344" s="331">
        <v>0</v>
      </c>
      <c r="U5344" s="328">
        <f>VLOOKUP(C5344,METADATA!$J$5:$Q$29,IF(E5344="HI",2,IF(E5344="LO",6,10))+IF(T5344=1,2,IF(D5344=7,1,(IF(WEEKDAY(B5344)=1,2,IF(WEEKDAY(B5344)=7,1,0))))))</f>
        <v>2</v>
      </c>
      <c r="V5344" s="328">
        <f>VLOOKUP(C5344,METADATA!$A$5:$H$29,IF(E5344="HI",2,IF(E5344="LO",6,10))+IF(T5344=1,2,IF(D5344=7,1,(IF(WEEKDAY(B5344)=1,2,IF(WEEKDAY(B5344)=7,1,0))))))</f>
        <v>2</v>
      </c>
    </row>
    <row r="5345" spans="2:22">
      <c r="B5345" s="318">
        <f t="shared" si="335"/>
        <v>46335</v>
      </c>
      <c r="C5345" s="312">
        <v>13</v>
      </c>
      <c r="D5345" s="368">
        <f>IFERROR((INDEX(METADATA!$T$2:$T$20,MATCH(B5345,METADATA!$S$2:$S$20,0))),0)</f>
        <v>0</v>
      </c>
      <c r="E5345" s="312" t="str">
        <f t="shared" si="332"/>
        <v>LO</v>
      </c>
      <c r="F5345" s="369">
        <f>VLOOKUP(C5345,METADATA!$A$5:$H$29,IF(E5345="HI",2,IF(E5345="LO",6,10))+IF(D5345=1,2,IF(D5345=7,1,(IF(WEEKDAY(B5345)=1,2,IF(WEEKDAY(B5345)=7,1,0))))))</f>
        <v>2</v>
      </c>
      <c r="G5345" s="369">
        <f>VLOOKUP(C5345,METADATA!$J$5:$Q$29,IF(E5345="HI",2,IF(E5345="LO",6,10))+IF(D5345=1,2,IF(D5345=7,1,(IF(WEEKDAY(B5345)=1,2,IF(WEEKDAY(B5345)=7,1,0))))))</f>
        <v>2</v>
      </c>
      <c r="H5345" s="370">
        <v>4031.0923767089844</v>
      </c>
      <c r="I5345" s="370">
        <v>3927.3800354003906</v>
      </c>
      <c r="M5345" s="371">
        <f t="shared" si="333"/>
        <v>5627.9676342373241</v>
      </c>
      <c r="N5345" s="329">
        <f t="shared" si="334"/>
        <v>2718.0523223876953</v>
      </c>
      <c r="T5345" s="331">
        <v>0</v>
      </c>
      <c r="U5345" s="328">
        <f>VLOOKUP(C5345,METADATA!$J$5:$Q$29,IF(E5345="HI",2,IF(E5345="LO",6,10))+IF(T5345=1,2,IF(D5345=7,1,(IF(WEEKDAY(B5345)=1,2,IF(WEEKDAY(B5345)=7,1,0))))))</f>
        <v>2</v>
      </c>
      <c r="V5345" s="328">
        <f>VLOOKUP(C5345,METADATA!$A$5:$H$29,IF(E5345="HI",2,IF(E5345="LO",6,10))+IF(T5345=1,2,IF(D5345=7,1,(IF(WEEKDAY(B5345)=1,2,IF(WEEKDAY(B5345)=7,1,0))))))</f>
        <v>2</v>
      </c>
    </row>
    <row r="5346" spans="2:22">
      <c r="B5346" s="318">
        <f t="shared" si="335"/>
        <v>46335</v>
      </c>
      <c r="C5346" s="312">
        <v>14</v>
      </c>
      <c r="D5346" s="368">
        <f>IFERROR((INDEX(METADATA!$T$2:$T$20,MATCH(B5346,METADATA!$S$2:$S$20,0))),0)</f>
        <v>0</v>
      </c>
      <c r="E5346" s="312" t="str">
        <f t="shared" si="332"/>
        <v>LO</v>
      </c>
      <c r="F5346" s="369">
        <f>VLOOKUP(C5346,METADATA!$A$5:$H$29,IF(E5346="HI",2,IF(E5346="LO",6,10))+IF(D5346=1,2,IF(D5346=7,1,(IF(WEEKDAY(B5346)=1,2,IF(WEEKDAY(B5346)=7,1,0))))))</f>
        <v>2</v>
      </c>
      <c r="G5346" s="369">
        <f>VLOOKUP(C5346,METADATA!$J$5:$Q$29,IF(E5346="HI",2,IF(E5346="LO",6,10))+IF(D5346=1,2,IF(D5346=7,1,(IF(WEEKDAY(B5346)=1,2,IF(WEEKDAY(B5346)=7,1,0))))))</f>
        <v>2</v>
      </c>
      <c r="H5346" s="370">
        <v>4519.7225646972656</v>
      </c>
      <c r="I5346" s="370">
        <v>4333.7499389648438</v>
      </c>
      <c r="M5346" s="371">
        <f t="shared" si="333"/>
        <v>6261.7314374948573</v>
      </c>
      <c r="N5346" s="329">
        <f t="shared" si="334"/>
        <v>2977.8331695556644</v>
      </c>
      <c r="T5346" s="331">
        <v>0</v>
      </c>
      <c r="U5346" s="328">
        <f>VLOOKUP(C5346,METADATA!$J$5:$Q$29,IF(E5346="HI",2,IF(E5346="LO",6,10))+IF(T5346=1,2,IF(D5346=7,1,(IF(WEEKDAY(B5346)=1,2,IF(WEEKDAY(B5346)=7,1,0))))))</f>
        <v>2</v>
      </c>
      <c r="V5346" s="328">
        <f>VLOOKUP(C5346,METADATA!$A$5:$H$29,IF(E5346="HI",2,IF(E5346="LO",6,10))+IF(T5346=1,2,IF(D5346=7,1,(IF(WEEKDAY(B5346)=1,2,IF(WEEKDAY(B5346)=7,1,0))))))</f>
        <v>2</v>
      </c>
    </row>
    <row r="5347" spans="2:22">
      <c r="B5347" s="318">
        <f t="shared" si="335"/>
        <v>46335</v>
      </c>
      <c r="C5347" s="312">
        <v>15</v>
      </c>
      <c r="D5347" s="368">
        <f>IFERROR((INDEX(METADATA!$T$2:$T$20,MATCH(B5347,METADATA!$S$2:$S$20,0))),0)</f>
        <v>0</v>
      </c>
      <c r="E5347" s="312" t="str">
        <f t="shared" si="332"/>
        <v>LO</v>
      </c>
      <c r="F5347" s="369">
        <f>VLOOKUP(C5347,METADATA!$A$5:$H$29,IF(E5347="HI",2,IF(E5347="LO",6,10))+IF(D5347=1,2,IF(D5347=7,1,(IF(WEEKDAY(B5347)=1,2,IF(WEEKDAY(B5347)=7,1,0))))))</f>
        <v>2</v>
      </c>
      <c r="G5347" s="369">
        <f>VLOOKUP(C5347,METADATA!$J$5:$Q$29,IF(E5347="HI",2,IF(E5347="LO",6,10))+IF(D5347=1,2,IF(D5347=7,1,(IF(WEEKDAY(B5347)=1,2,IF(WEEKDAY(B5347)=7,1,0))))))</f>
        <v>2</v>
      </c>
      <c r="H5347" s="370">
        <v>6716.5875244140625</v>
      </c>
      <c r="I5347" s="370">
        <v>5601.9750061035156</v>
      </c>
      <c r="M5347" s="371">
        <f t="shared" si="333"/>
        <v>8746.1232521685361</v>
      </c>
      <c r="N5347" s="329">
        <f t="shared" si="334"/>
        <v>3586.9987487792969</v>
      </c>
      <c r="T5347" s="331">
        <v>0</v>
      </c>
      <c r="U5347" s="328">
        <f>VLOOKUP(C5347,METADATA!$J$5:$Q$29,IF(E5347="HI",2,IF(E5347="LO",6,10))+IF(T5347=1,2,IF(D5347=7,1,(IF(WEEKDAY(B5347)=1,2,IF(WEEKDAY(B5347)=7,1,0))))))</f>
        <v>2</v>
      </c>
      <c r="V5347" s="328">
        <f>VLOOKUP(C5347,METADATA!$A$5:$H$29,IF(E5347="HI",2,IF(E5347="LO",6,10))+IF(T5347=1,2,IF(D5347=7,1,(IF(WEEKDAY(B5347)=1,2,IF(WEEKDAY(B5347)=7,1,0))))))</f>
        <v>2</v>
      </c>
    </row>
    <row r="5348" spans="2:22">
      <c r="B5348" s="318">
        <f t="shared" si="335"/>
        <v>46335</v>
      </c>
      <c r="C5348" s="312">
        <v>16</v>
      </c>
      <c r="D5348" s="368">
        <f>IFERROR((INDEX(METADATA!$T$2:$T$20,MATCH(B5348,METADATA!$S$2:$S$20,0))),0)</f>
        <v>0</v>
      </c>
      <c r="E5348" s="312" t="str">
        <f t="shared" si="332"/>
        <v>LO</v>
      </c>
      <c r="F5348" s="369">
        <f>VLOOKUP(C5348,METADATA!$A$5:$H$29,IF(E5348="HI",2,IF(E5348="LO",6,10))+IF(D5348=1,2,IF(D5348=7,1,(IF(WEEKDAY(B5348)=1,2,IF(WEEKDAY(B5348)=7,1,0))))))</f>
        <v>2</v>
      </c>
      <c r="G5348" s="369">
        <f>VLOOKUP(C5348,METADATA!$J$5:$Q$29,IF(E5348="HI",2,IF(E5348="LO",6,10))+IF(D5348=1,2,IF(D5348=7,1,(IF(WEEKDAY(B5348)=1,2,IF(WEEKDAY(B5348)=7,1,0))))))</f>
        <v>2</v>
      </c>
      <c r="H5348" s="370">
        <v>11783.450073242188</v>
      </c>
      <c r="I5348" s="370">
        <v>8531.7999877929688</v>
      </c>
      <c r="M5348" s="371">
        <f t="shared" si="333"/>
        <v>14547.896984110637</v>
      </c>
      <c r="N5348" s="329">
        <f t="shared" si="334"/>
        <v>4996.7649658203127</v>
      </c>
      <c r="T5348" s="331">
        <v>0</v>
      </c>
      <c r="U5348" s="328">
        <f>VLOOKUP(C5348,METADATA!$J$5:$Q$29,IF(E5348="HI",2,IF(E5348="LO",6,10))+IF(T5348=1,2,IF(D5348=7,1,(IF(WEEKDAY(B5348)=1,2,IF(WEEKDAY(B5348)=7,1,0))))))</f>
        <v>2</v>
      </c>
      <c r="V5348" s="328">
        <f>VLOOKUP(C5348,METADATA!$A$5:$H$29,IF(E5348="HI",2,IF(E5348="LO",6,10))+IF(T5348=1,2,IF(D5348=7,1,(IF(WEEKDAY(B5348)=1,2,IF(WEEKDAY(B5348)=7,1,0))))))</f>
        <v>2</v>
      </c>
    </row>
    <row r="5349" spans="2:22">
      <c r="B5349" s="318">
        <f t="shared" si="335"/>
        <v>46335</v>
      </c>
      <c r="C5349" s="312">
        <v>17</v>
      </c>
      <c r="D5349" s="368">
        <f>IFERROR((INDEX(METADATA!$T$2:$T$20,MATCH(B5349,METADATA!$S$2:$S$20,0))),0)</f>
        <v>0</v>
      </c>
      <c r="E5349" s="312" t="str">
        <f t="shared" si="332"/>
        <v>LO</v>
      </c>
      <c r="F5349" s="369">
        <f>VLOOKUP(C5349,METADATA!$A$5:$H$29,IF(E5349="HI",2,IF(E5349="LO",6,10))+IF(D5349=1,2,IF(D5349=7,1,(IF(WEEKDAY(B5349)=1,2,IF(WEEKDAY(B5349)=7,1,0))))))</f>
        <v>2</v>
      </c>
      <c r="G5349" s="369">
        <f>VLOOKUP(C5349,METADATA!$J$5:$Q$29,IF(E5349="HI",2,IF(E5349="LO",6,10))+IF(D5349=1,2,IF(D5349=7,1,(IF(WEEKDAY(B5349)=1,2,IF(WEEKDAY(B5349)=7,1,0))))))</f>
        <v>2</v>
      </c>
      <c r="H5349" s="370">
        <v>12822.650268554688</v>
      </c>
      <c r="I5349" s="370">
        <v>8957.0503540039063</v>
      </c>
      <c r="M5349" s="371">
        <f t="shared" si="333"/>
        <v>15641.263086906603</v>
      </c>
      <c r="N5349" s="329">
        <f t="shared" si="334"/>
        <v>5110.2552734375004</v>
      </c>
      <c r="T5349" s="331">
        <v>0</v>
      </c>
      <c r="U5349" s="328">
        <f>VLOOKUP(C5349,METADATA!$J$5:$Q$29,IF(E5349="HI",2,IF(E5349="LO",6,10))+IF(T5349=1,2,IF(D5349=7,1,(IF(WEEKDAY(B5349)=1,2,IF(WEEKDAY(B5349)=7,1,0))))))</f>
        <v>2</v>
      </c>
      <c r="V5349" s="328">
        <f>VLOOKUP(C5349,METADATA!$A$5:$H$29,IF(E5349="HI",2,IF(E5349="LO",6,10))+IF(T5349=1,2,IF(D5349=7,1,(IF(WEEKDAY(B5349)=1,2,IF(WEEKDAY(B5349)=7,1,0))))))</f>
        <v>2</v>
      </c>
    </row>
    <row r="5350" spans="2:22">
      <c r="B5350" s="318">
        <f t="shared" si="335"/>
        <v>46335</v>
      </c>
      <c r="C5350" s="312">
        <v>18</v>
      </c>
      <c r="D5350" s="368">
        <f>IFERROR((INDEX(METADATA!$T$2:$T$20,MATCH(B5350,METADATA!$S$2:$S$20,0))),0)</f>
        <v>0</v>
      </c>
      <c r="E5350" s="312" t="str">
        <f t="shared" si="332"/>
        <v>LO</v>
      </c>
      <c r="F5350" s="369">
        <f>VLOOKUP(C5350,METADATA!$A$5:$H$29,IF(E5350="HI",2,IF(E5350="LO",6,10))+IF(D5350=1,2,IF(D5350=7,1,(IF(WEEKDAY(B5350)=1,2,IF(WEEKDAY(B5350)=7,1,0))))))</f>
        <v>1</v>
      </c>
      <c r="G5350" s="369">
        <f>VLOOKUP(C5350,METADATA!$J$5:$Q$29,IF(E5350="HI",2,IF(E5350="LO",6,10))+IF(D5350=1,2,IF(D5350=7,1,(IF(WEEKDAY(B5350)=1,2,IF(WEEKDAY(B5350)=7,1,0))))))</f>
        <v>1</v>
      </c>
      <c r="H5350" s="370">
        <v>12933.075256347656</v>
      </c>
      <c r="I5350" s="370">
        <v>9000.8751831054688</v>
      </c>
      <c r="M5350" s="371">
        <f t="shared" si="333"/>
        <v>15756.909266991286</v>
      </c>
      <c r="N5350" s="329">
        <f t="shared" si="334"/>
        <v>5120.9526062011719</v>
      </c>
      <c r="T5350" s="331">
        <v>0</v>
      </c>
      <c r="U5350" s="328">
        <f>VLOOKUP(C5350,METADATA!$J$5:$Q$29,IF(E5350="HI",2,IF(E5350="LO",6,10))+IF(T5350=1,2,IF(D5350=7,1,(IF(WEEKDAY(B5350)=1,2,IF(WEEKDAY(B5350)=7,1,0))))))</f>
        <v>1</v>
      </c>
      <c r="V5350" s="328">
        <f>VLOOKUP(C5350,METADATA!$A$5:$H$29,IF(E5350="HI",2,IF(E5350="LO",6,10))+IF(T5350=1,2,IF(D5350=7,1,(IF(WEEKDAY(B5350)=1,2,IF(WEEKDAY(B5350)=7,1,0))))))</f>
        <v>1</v>
      </c>
    </row>
    <row r="5351" spans="2:22">
      <c r="B5351" s="318">
        <f t="shared" si="335"/>
        <v>46335</v>
      </c>
      <c r="C5351" s="312">
        <v>19</v>
      </c>
      <c r="D5351" s="368">
        <f>IFERROR((INDEX(METADATA!$T$2:$T$20,MATCH(B5351,METADATA!$S$2:$S$20,0))),0)</f>
        <v>0</v>
      </c>
      <c r="E5351" s="312" t="str">
        <f t="shared" si="332"/>
        <v>LO</v>
      </c>
      <c r="F5351" s="369">
        <f>VLOOKUP(C5351,METADATA!$A$5:$H$29,IF(E5351="HI",2,IF(E5351="LO",6,10))+IF(D5351=1,2,IF(D5351=7,1,(IF(WEEKDAY(B5351)=1,2,IF(WEEKDAY(B5351)=7,1,0))))))</f>
        <v>1</v>
      </c>
      <c r="G5351" s="369">
        <f>VLOOKUP(C5351,METADATA!$J$5:$Q$29,IF(E5351="HI",2,IF(E5351="LO",6,10))+IF(D5351=1,2,IF(D5351=7,1,(IF(WEEKDAY(B5351)=1,2,IF(WEEKDAY(B5351)=7,1,0))))))</f>
        <v>1</v>
      </c>
      <c r="H5351" s="370">
        <v>12982.024963378906</v>
      </c>
      <c r="I5351" s="370">
        <v>8846.9752197265625</v>
      </c>
      <c r="M5351" s="371">
        <f t="shared" si="333"/>
        <v>15709.931339386845</v>
      </c>
      <c r="N5351" s="329">
        <f t="shared" si="334"/>
        <v>4952.367730712891</v>
      </c>
      <c r="T5351" s="331">
        <v>0</v>
      </c>
      <c r="U5351" s="328">
        <f>VLOOKUP(C5351,METADATA!$J$5:$Q$29,IF(E5351="HI",2,IF(E5351="LO",6,10))+IF(T5351=1,2,IF(D5351=7,1,(IF(WEEKDAY(B5351)=1,2,IF(WEEKDAY(B5351)=7,1,0))))))</f>
        <v>1</v>
      </c>
      <c r="V5351" s="328">
        <f>VLOOKUP(C5351,METADATA!$A$5:$H$29,IF(E5351="HI",2,IF(E5351="LO",6,10))+IF(T5351=1,2,IF(D5351=7,1,(IF(WEEKDAY(B5351)=1,2,IF(WEEKDAY(B5351)=7,1,0))))))</f>
        <v>1</v>
      </c>
    </row>
    <row r="5352" spans="2:22">
      <c r="B5352" s="318">
        <f t="shared" si="335"/>
        <v>46335</v>
      </c>
      <c r="C5352" s="312">
        <v>20</v>
      </c>
      <c r="D5352" s="368">
        <f>IFERROR((INDEX(METADATA!$T$2:$T$20,MATCH(B5352,METADATA!$S$2:$S$20,0))),0)</f>
        <v>0</v>
      </c>
      <c r="E5352" s="312" t="str">
        <f t="shared" si="332"/>
        <v>LO</v>
      </c>
      <c r="F5352" s="369">
        <f>VLOOKUP(C5352,METADATA!$A$5:$H$29,IF(E5352="HI",2,IF(E5352="LO",6,10))+IF(D5352=1,2,IF(D5352=7,1,(IF(WEEKDAY(B5352)=1,2,IF(WEEKDAY(B5352)=7,1,0))))))</f>
        <v>1</v>
      </c>
      <c r="G5352" s="369">
        <f>VLOOKUP(C5352,METADATA!$J$5:$Q$29,IF(E5352="HI",2,IF(E5352="LO",6,10))+IF(D5352=1,2,IF(D5352=7,1,(IF(WEEKDAY(B5352)=1,2,IF(WEEKDAY(B5352)=7,1,0))))))</f>
        <v>1</v>
      </c>
      <c r="H5352" s="370">
        <v>12881.67529296875</v>
      </c>
      <c r="I5352" s="370">
        <v>8900.2503662109375</v>
      </c>
      <c r="M5352" s="371">
        <f t="shared" si="333"/>
        <v>15657.331028458186</v>
      </c>
      <c r="N5352" s="329">
        <f t="shared" si="334"/>
        <v>5035.7477783203121</v>
      </c>
      <c r="T5352" s="331">
        <v>0</v>
      </c>
      <c r="U5352" s="328">
        <f>VLOOKUP(C5352,METADATA!$J$5:$Q$29,IF(E5352="HI",2,IF(E5352="LO",6,10))+IF(T5352=1,2,IF(D5352=7,1,(IF(WEEKDAY(B5352)=1,2,IF(WEEKDAY(B5352)=7,1,0))))))</f>
        <v>1</v>
      </c>
      <c r="V5352" s="328">
        <f>VLOOKUP(C5352,METADATA!$A$5:$H$29,IF(E5352="HI",2,IF(E5352="LO",6,10))+IF(T5352=1,2,IF(D5352=7,1,(IF(WEEKDAY(B5352)=1,2,IF(WEEKDAY(B5352)=7,1,0))))))</f>
        <v>1</v>
      </c>
    </row>
    <row r="5353" spans="2:22">
      <c r="B5353" s="318">
        <f t="shared" si="335"/>
        <v>46335</v>
      </c>
      <c r="C5353" s="312">
        <v>21</v>
      </c>
      <c r="D5353" s="368">
        <f>IFERROR((INDEX(METADATA!$T$2:$T$20,MATCH(B5353,METADATA!$S$2:$S$20,0))),0)</f>
        <v>0</v>
      </c>
      <c r="E5353" s="312" t="str">
        <f t="shared" si="332"/>
        <v>LO</v>
      </c>
      <c r="F5353" s="369">
        <f>VLOOKUP(C5353,METADATA!$A$5:$H$29,IF(E5353="HI",2,IF(E5353="LO",6,10))+IF(D5353=1,2,IF(D5353=7,1,(IF(WEEKDAY(B5353)=1,2,IF(WEEKDAY(B5353)=7,1,0))))))</f>
        <v>2</v>
      </c>
      <c r="G5353" s="369">
        <f>VLOOKUP(C5353,METADATA!$J$5:$Q$29,IF(E5353="HI",2,IF(E5353="LO",6,10))+IF(D5353=1,2,IF(D5353=7,1,(IF(WEEKDAY(B5353)=1,2,IF(WEEKDAY(B5353)=7,1,0))))))</f>
        <v>2</v>
      </c>
      <c r="H5353" s="370">
        <v>12951.150390625</v>
      </c>
      <c r="I5353" s="370">
        <v>8840.6001586914063</v>
      </c>
      <c r="M5353" s="371">
        <f t="shared" si="333"/>
        <v>15680.832490860956</v>
      </c>
      <c r="N5353" s="329">
        <f t="shared" si="334"/>
        <v>4955.2550415039059</v>
      </c>
      <c r="T5353" s="331">
        <v>0</v>
      </c>
      <c r="U5353" s="328">
        <f>VLOOKUP(C5353,METADATA!$J$5:$Q$29,IF(E5353="HI",2,IF(E5353="LO",6,10))+IF(T5353=1,2,IF(D5353=7,1,(IF(WEEKDAY(B5353)=1,2,IF(WEEKDAY(B5353)=7,1,0))))))</f>
        <v>2</v>
      </c>
      <c r="V5353" s="328">
        <f>VLOOKUP(C5353,METADATA!$A$5:$H$29,IF(E5353="HI",2,IF(E5353="LO",6,10))+IF(T5353=1,2,IF(D5353=7,1,(IF(WEEKDAY(B5353)=1,2,IF(WEEKDAY(B5353)=7,1,0))))))</f>
        <v>2</v>
      </c>
    </row>
    <row r="5354" spans="2:22">
      <c r="B5354" s="318">
        <f t="shared" si="335"/>
        <v>46335</v>
      </c>
      <c r="C5354" s="312">
        <v>22</v>
      </c>
      <c r="D5354" s="368">
        <f>IFERROR((INDEX(METADATA!$T$2:$T$20,MATCH(B5354,METADATA!$S$2:$S$20,0))),0)</f>
        <v>0</v>
      </c>
      <c r="E5354" s="312" t="str">
        <f t="shared" si="332"/>
        <v>LO</v>
      </c>
      <c r="F5354" s="369">
        <f>VLOOKUP(C5354,METADATA!$A$5:$H$29,IF(E5354="HI",2,IF(E5354="LO",6,10))+IF(D5354=1,2,IF(D5354=7,1,(IF(WEEKDAY(B5354)=1,2,IF(WEEKDAY(B5354)=7,1,0))))))</f>
        <v>3</v>
      </c>
      <c r="G5354" s="369">
        <f>VLOOKUP(C5354,METADATA!$J$5:$Q$29,IF(E5354="HI",2,IF(E5354="LO",6,10))+IF(D5354=1,2,IF(D5354=7,1,(IF(WEEKDAY(B5354)=1,2,IF(WEEKDAY(B5354)=7,1,0))))))</f>
        <v>3</v>
      </c>
      <c r="H5354" s="370">
        <v>12808.175048828125</v>
      </c>
      <c r="I5354" s="370">
        <v>8806.625</v>
      </c>
      <c r="M5354" s="371">
        <f t="shared" si="333"/>
        <v>15543.680129623368</v>
      </c>
      <c r="N5354" s="329">
        <f t="shared" si="334"/>
        <v>4964.1724853515625</v>
      </c>
      <c r="T5354" s="331">
        <v>0</v>
      </c>
      <c r="U5354" s="328">
        <f>VLOOKUP(C5354,METADATA!$J$5:$Q$29,IF(E5354="HI",2,IF(E5354="LO",6,10))+IF(T5354=1,2,IF(D5354=7,1,(IF(WEEKDAY(B5354)=1,2,IF(WEEKDAY(B5354)=7,1,0))))))</f>
        <v>3</v>
      </c>
      <c r="V5354" s="328">
        <f>VLOOKUP(C5354,METADATA!$A$5:$H$29,IF(E5354="HI",2,IF(E5354="LO",6,10))+IF(T5354=1,2,IF(D5354=7,1,(IF(WEEKDAY(B5354)=1,2,IF(WEEKDAY(B5354)=7,1,0))))))</f>
        <v>3</v>
      </c>
    </row>
    <row r="5355" spans="2:22">
      <c r="B5355" s="318">
        <f t="shared" si="335"/>
        <v>46335</v>
      </c>
      <c r="C5355" s="312">
        <v>23</v>
      </c>
      <c r="D5355" s="368">
        <f>IFERROR((INDEX(METADATA!$T$2:$T$20,MATCH(B5355,METADATA!$S$2:$S$20,0))),0)</f>
        <v>0</v>
      </c>
      <c r="E5355" s="312" t="str">
        <f t="shared" si="332"/>
        <v>LO</v>
      </c>
      <c r="F5355" s="369">
        <f>VLOOKUP(C5355,METADATA!$A$5:$H$29,IF(E5355="HI",2,IF(E5355="LO",6,10))+IF(D5355=1,2,IF(D5355=7,1,(IF(WEEKDAY(B5355)=1,2,IF(WEEKDAY(B5355)=7,1,0))))))</f>
        <v>3</v>
      </c>
      <c r="G5355" s="369">
        <f>VLOOKUP(C5355,METADATA!$J$5:$Q$29,IF(E5355="HI",2,IF(E5355="LO",6,10))+IF(D5355=1,2,IF(D5355=7,1,(IF(WEEKDAY(B5355)=1,2,IF(WEEKDAY(B5355)=7,1,0))))))</f>
        <v>3</v>
      </c>
      <c r="H5355" s="370">
        <v>12779.07470703125</v>
      </c>
      <c r="I5355" s="370">
        <v>8851.3751220703125</v>
      </c>
      <c r="M5355" s="371">
        <f t="shared" si="333"/>
        <v>15545.146892824496</v>
      </c>
      <c r="N5355" s="329">
        <f t="shared" si="334"/>
        <v>5017.6527099609375</v>
      </c>
      <c r="T5355" s="331">
        <v>0</v>
      </c>
      <c r="U5355" s="328">
        <f>VLOOKUP(C5355,METADATA!$J$5:$Q$29,IF(E5355="HI",2,IF(E5355="LO",6,10))+IF(T5355=1,2,IF(D5355=7,1,(IF(WEEKDAY(B5355)=1,2,IF(WEEKDAY(B5355)=7,1,0))))))</f>
        <v>3</v>
      </c>
      <c r="V5355" s="328">
        <f>VLOOKUP(C5355,METADATA!$A$5:$H$29,IF(E5355="HI",2,IF(E5355="LO",6,10))+IF(T5355=1,2,IF(D5355=7,1,(IF(WEEKDAY(B5355)=1,2,IF(WEEKDAY(B5355)=7,1,0))))))</f>
        <v>3</v>
      </c>
    </row>
    <row r="5356" spans="2:22">
      <c r="B5356" s="318">
        <f t="shared" si="335"/>
        <v>46336</v>
      </c>
      <c r="C5356" s="312">
        <v>0</v>
      </c>
      <c r="D5356" s="368">
        <f>IFERROR((INDEX(METADATA!$T$2:$T$20,MATCH(B5356,METADATA!$S$2:$S$20,0))),0)</f>
        <v>0</v>
      </c>
      <c r="E5356" s="312" t="str">
        <f t="shared" si="332"/>
        <v>LO</v>
      </c>
      <c r="F5356" s="369">
        <f>VLOOKUP(C5356,METADATA!$A$5:$H$29,IF(E5356="HI",2,IF(E5356="LO",6,10))+IF(D5356=1,2,IF(D5356=7,1,(IF(WEEKDAY(B5356)=1,2,IF(WEEKDAY(B5356)=7,1,0))))))</f>
        <v>3</v>
      </c>
      <c r="G5356" s="369">
        <f>VLOOKUP(C5356,METADATA!$J$5:$Q$29,IF(E5356="HI",2,IF(E5356="LO",6,10))+IF(D5356=1,2,IF(D5356=7,1,(IF(WEEKDAY(B5356)=1,2,IF(WEEKDAY(B5356)=7,1,0))))))</f>
        <v>3</v>
      </c>
      <c r="H5356" s="370">
        <v>12698.250183105469</v>
      </c>
      <c r="I5356" s="370">
        <v>8926.824951171875</v>
      </c>
      <c r="M5356" s="371">
        <f t="shared" si="333"/>
        <v>15522.041148689266</v>
      </c>
      <c r="N5356" s="329">
        <f t="shared" si="334"/>
        <v>5117.3498962402346</v>
      </c>
      <c r="T5356" s="331">
        <v>0</v>
      </c>
      <c r="U5356" s="328">
        <f>VLOOKUP(C5356,METADATA!$J$5:$Q$29,IF(E5356="HI",2,IF(E5356="LO",6,10))+IF(T5356=1,2,IF(D5356=7,1,(IF(WEEKDAY(B5356)=1,2,IF(WEEKDAY(B5356)=7,1,0))))))</f>
        <v>3</v>
      </c>
      <c r="V5356" s="328">
        <f>VLOOKUP(C5356,METADATA!$A$5:$H$29,IF(E5356="HI",2,IF(E5356="LO",6,10))+IF(T5356=1,2,IF(D5356=7,1,(IF(WEEKDAY(B5356)=1,2,IF(WEEKDAY(B5356)=7,1,0))))))</f>
        <v>3</v>
      </c>
    </row>
    <row r="5357" spans="2:22">
      <c r="B5357" s="318">
        <f t="shared" si="335"/>
        <v>46336</v>
      </c>
      <c r="C5357" s="312">
        <v>1</v>
      </c>
      <c r="D5357" s="368">
        <f>IFERROR((INDEX(METADATA!$T$2:$T$20,MATCH(B5357,METADATA!$S$2:$S$20,0))),0)</f>
        <v>0</v>
      </c>
      <c r="E5357" s="312" t="str">
        <f t="shared" si="332"/>
        <v>LO</v>
      </c>
      <c r="F5357" s="369">
        <f>VLOOKUP(C5357,METADATA!$A$5:$H$29,IF(E5357="HI",2,IF(E5357="LO",6,10))+IF(D5357=1,2,IF(D5357=7,1,(IF(WEEKDAY(B5357)=1,2,IF(WEEKDAY(B5357)=7,1,0))))))</f>
        <v>3</v>
      </c>
      <c r="G5357" s="369">
        <f>VLOOKUP(C5357,METADATA!$J$5:$Q$29,IF(E5357="HI",2,IF(E5357="LO",6,10))+IF(D5357=1,2,IF(D5357=7,1,(IF(WEEKDAY(B5357)=1,2,IF(WEEKDAY(B5357)=7,1,0))))))</f>
        <v>3</v>
      </c>
      <c r="H5357" s="370">
        <v>12688.224975585938</v>
      </c>
      <c r="I5357" s="370">
        <v>8958.425048828125</v>
      </c>
      <c r="M5357" s="371">
        <f t="shared" si="333"/>
        <v>15532.045338156657</v>
      </c>
      <c r="N5357" s="329">
        <f t="shared" si="334"/>
        <v>5151.9575561523434</v>
      </c>
      <c r="T5357" s="331">
        <v>0</v>
      </c>
      <c r="U5357" s="328">
        <f>VLOOKUP(C5357,METADATA!$J$5:$Q$29,IF(E5357="HI",2,IF(E5357="LO",6,10))+IF(T5357=1,2,IF(D5357=7,1,(IF(WEEKDAY(B5357)=1,2,IF(WEEKDAY(B5357)=7,1,0))))))</f>
        <v>3</v>
      </c>
      <c r="V5357" s="328">
        <f>VLOOKUP(C5357,METADATA!$A$5:$H$29,IF(E5357="HI",2,IF(E5357="LO",6,10))+IF(T5357=1,2,IF(D5357=7,1,(IF(WEEKDAY(B5357)=1,2,IF(WEEKDAY(B5357)=7,1,0))))))</f>
        <v>3</v>
      </c>
    </row>
    <row r="5358" spans="2:22">
      <c r="B5358" s="318">
        <f t="shared" si="335"/>
        <v>46336</v>
      </c>
      <c r="C5358" s="312">
        <v>2</v>
      </c>
      <c r="D5358" s="368">
        <f>IFERROR((INDEX(METADATA!$T$2:$T$20,MATCH(B5358,METADATA!$S$2:$S$20,0))),0)</f>
        <v>0</v>
      </c>
      <c r="E5358" s="312" t="str">
        <f t="shared" si="332"/>
        <v>LO</v>
      </c>
      <c r="F5358" s="369">
        <f>VLOOKUP(C5358,METADATA!$A$5:$H$29,IF(E5358="HI",2,IF(E5358="LO",6,10))+IF(D5358=1,2,IF(D5358=7,1,(IF(WEEKDAY(B5358)=1,2,IF(WEEKDAY(B5358)=7,1,0))))))</f>
        <v>3</v>
      </c>
      <c r="G5358" s="369">
        <f>VLOOKUP(C5358,METADATA!$J$5:$Q$29,IF(E5358="HI",2,IF(E5358="LO",6,10))+IF(D5358=1,2,IF(D5358=7,1,(IF(WEEKDAY(B5358)=1,2,IF(WEEKDAY(B5358)=7,1,0))))))</f>
        <v>3</v>
      </c>
      <c r="H5358" s="370">
        <v>11447.967651367188</v>
      </c>
      <c r="I5358" s="370">
        <v>8261.1266479492188</v>
      </c>
      <c r="M5358" s="371">
        <f t="shared" si="333"/>
        <v>14117.442291017387</v>
      </c>
      <c r="N5358" s="329">
        <f t="shared" si="334"/>
        <v>4826.7363525390629</v>
      </c>
      <c r="T5358" s="331">
        <v>0</v>
      </c>
      <c r="U5358" s="328">
        <f>VLOOKUP(C5358,METADATA!$J$5:$Q$29,IF(E5358="HI",2,IF(E5358="LO",6,10))+IF(T5358=1,2,IF(D5358=7,1,(IF(WEEKDAY(B5358)=1,2,IF(WEEKDAY(B5358)=7,1,0))))))</f>
        <v>3</v>
      </c>
      <c r="V5358" s="328">
        <f>VLOOKUP(C5358,METADATA!$A$5:$H$29,IF(E5358="HI",2,IF(E5358="LO",6,10))+IF(T5358=1,2,IF(D5358=7,1,(IF(WEEKDAY(B5358)=1,2,IF(WEEKDAY(B5358)=7,1,0))))))</f>
        <v>3</v>
      </c>
    </row>
    <row r="5359" spans="2:22">
      <c r="B5359" s="318">
        <f t="shared" si="335"/>
        <v>46336</v>
      </c>
      <c r="C5359" s="312">
        <v>3</v>
      </c>
      <c r="D5359" s="368">
        <f>IFERROR((INDEX(METADATA!$T$2:$T$20,MATCH(B5359,METADATA!$S$2:$S$20,0))),0)</f>
        <v>0</v>
      </c>
      <c r="E5359" s="312" t="str">
        <f t="shared" si="332"/>
        <v>LO</v>
      </c>
      <c r="F5359" s="369">
        <f>VLOOKUP(C5359,METADATA!$A$5:$H$29,IF(E5359="HI",2,IF(E5359="LO",6,10))+IF(D5359=1,2,IF(D5359=7,1,(IF(WEEKDAY(B5359)=1,2,IF(WEEKDAY(B5359)=7,1,0))))))</f>
        <v>3</v>
      </c>
      <c r="G5359" s="369">
        <f>VLOOKUP(C5359,METADATA!$J$5:$Q$29,IF(E5359="HI",2,IF(E5359="LO",6,10))+IF(D5359=1,2,IF(D5359=7,1,(IF(WEEKDAY(B5359)=1,2,IF(WEEKDAY(B5359)=7,1,0))))))</f>
        <v>3</v>
      </c>
      <c r="H5359" s="370">
        <v>11151.975036621094</v>
      </c>
      <c r="I5359" s="370">
        <v>8101.9375</v>
      </c>
      <c r="M5359" s="371">
        <f t="shared" si="333"/>
        <v>13784.336707702923</v>
      </c>
      <c r="N5359" s="329">
        <f t="shared" si="334"/>
        <v>4756.3449890136726</v>
      </c>
      <c r="T5359" s="331">
        <v>0</v>
      </c>
      <c r="U5359" s="328">
        <f>VLOOKUP(C5359,METADATA!$J$5:$Q$29,IF(E5359="HI",2,IF(E5359="LO",6,10))+IF(T5359=1,2,IF(D5359=7,1,(IF(WEEKDAY(B5359)=1,2,IF(WEEKDAY(B5359)=7,1,0))))))</f>
        <v>3</v>
      </c>
      <c r="V5359" s="328">
        <f>VLOOKUP(C5359,METADATA!$A$5:$H$29,IF(E5359="HI",2,IF(E5359="LO",6,10))+IF(T5359=1,2,IF(D5359=7,1,(IF(WEEKDAY(B5359)=1,2,IF(WEEKDAY(B5359)=7,1,0))))))</f>
        <v>3</v>
      </c>
    </row>
    <row r="5360" spans="2:22">
      <c r="B5360" s="318">
        <f t="shared" si="335"/>
        <v>46336</v>
      </c>
      <c r="C5360" s="312">
        <v>4</v>
      </c>
      <c r="D5360" s="368">
        <f>IFERROR((INDEX(METADATA!$T$2:$T$20,MATCH(B5360,METADATA!$S$2:$S$20,0))),0)</f>
        <v>0</v>
      </c>
      <c r="E5360" s="312" t="str">
        <f t="shared" si="332"/>
        <v>LO</v>
      </c>
      <c r="F5360" s="369">
        <f>VLOOKUP(C5360,METADATA!$A$5:$H$29,IF(E5360="HI",2,IF(E5360="LO",6,10))+IF(D5360=1,2,IF(D5360=7,1,(IF(WEEKDAY(B5360)=1,2,IF(WEEKDAY(B5360)=7,1,0))))))</f>
        <v>3</v>
      </c>
      <c r="G5360" s="369">
        <f>VLOOKUP(C5360,METADATA!$J$5:$Q$29,IF(E5360="HI",2,IF(E5360="LO",6,10))+IF(D5360=1,2,IF(D5360=7,1,(IF(WEEKDAY(B5360)=1,2,IF(WEEKDAY(B5360)=7,1,0))))))</f>
        <v>3</v>
      </c>
      <c r="H5360" s="370">
        <v>12642.299621582031</v>
      </c>
      <c r="I5360" s="370">
        <v>8813.8501586914063</v>
      </c>
      <c r="M5360" s="371">
        <f t="shared" si="333"/>
        <v>15411.414417298553</v>
      </c>
      <c r="N5360" s="329">
        <f t="shared" si="334"/>
        <v>5021.1602722167972</v>
      </c>
      <c r="T5360" s="331">
        <v>0</v>
      </c>
      <c r="U5360" s="328">
        <f>VLOOKUP(C5360,METADATA!$J$5:$Q$29,IF(E5360="HI",2,IF(E5360="LO",6,10))+IF(T5360=1,2,IF(D5360=7,1,(IF(WEEKDAY(B5360)=1,2,IF(WEEKDAY(B5360)=7,1,0))))))</f>
        <v>3</v>
      </c>
      <c r="V5360" s="328">
        <f>VLOOKUP(C5360,METADATA!$A$5:$H$29,IF(E5360="HI",2,IF(E5360="LO",6,10))+IF(T5360=1,2,IF(D5360=7,1,(IF(WEEKDAY(B5360)=1,2,IF(WEEKDAY(B5360)=7,1,0))))))</f>
        <v>3</v>
      </c>
    </row>
    <row r="5361" spans="2:22">
      <c r="B5361" s="318">
        <f t="shared" si="335"/>
        <v>46336</v>
      </c>
      <c r="C5361" s="312">
        <v>5</v>
      </c>
      <c r="D5361" s="368">
        <f>IFERROR((INDEX(METADATA!$T$2:$T$20,MATCH(B5361,METADATA!$S$2:$S$20,0))),0)</f>
        <v>0</v>
      </c>
      <c r="E5361" s="312" t="str">
        <f t="shared" si="332"/>
        <v>LO</v>
      </c>
      <c r="F5361" s="369">
        <f>VLOOKUP(C5361,METADATA!$A$5:$H$29,IF(E5361="HI",2,IF(E5361="LO",6,10))+IF(D5361=1,2,IF(D5361=7,1,(IF(WEEKDAY(B5361)=1,2,IF(WEEKDAY(B5361)=7,1,0))))))</f>
        <v>3</v>
      </c>
      <c r="G5361" s="369">
        <f>VLOOKUP(C5361,METADATA!$J$5:$Q$29,IF(E5361="HI",2,IF(E5361="LO",6,10))+IF(D5361=1,2,IF(D5361=7,1,(IF(WEEKDAY(B5361)=1,2,IF(WEEKDAY(B5361)=7,1,0))))))</f>
        <v>3</v>
      </c>
      <c r="H5361" s="370">
        <v>12654.6748046875</v>
      </c>
      <c r="I5361" s="370">
        <v>8758.6253051757813</v>
      </c>
      <c r="M5361" s="371">
        <f t="shared" si="333"/>
        <v>15390.071853271451</v>
      </c>
      <c r="N5361" s="329">
        <f t="shared" si="334"/>
        <v>4962.2228637695316</v>
      </c>
      <c r="T5361" s="331">
        <v>0</v>
      </c>
      <c r="U5361" s="328">
        <f>VLOOKUP(C5361,METADATA!$J$5:$Q$29,IF(E5361="HI",2,IF(E5361="LO",6,10))+IF(T5361=1,2,IF(D5361=7,1,(IF(WEEKDAY(B5361)=1,2,IF(WEEKDAY(B5361)=7,1,0))))))</f>
        <v>3</v>
      </c>
      <c r="V5361" s="328">
        <f>VLOOKUP(C5361,METADATA!$A$5:$H$29,IF(E5361="HI",2,IF(E5361="LO",6,10))+IF(T5361=1,2,IF(D5361=7,1,(IF(WEEKDAY(B5361)=1,2,IF(WEEKDAY(B5361)=7,1,0))))))</f>
        <v>3</v>
      </c>
    </row>
    <row r="5362" spans="2:22">
      <c r="B5362" s="318">
        <f t="shared" si="335"/>
        <v>46336</v>
      </c>
      <c r="C5362" s="312">
        <v>6</v>
      </c>
      <c r="D5362" s="368">
        <f>IFERROR((INDEX(METADATA!$T$2:$T$20,MATCH(B5362,METADATA!$S$2:$S$20,0))),0)</f>
        <v>0</v>
      </c>
      <c r="E5362" s="312" t="str">
        <f t="shared" si="332"/>
        <v>LO</v>
      </c>
      <c r="F5362" s="369">
        <f>VLOOKUP(C5362,METADATA!$A$5:$H$29,IF(E5362="HI",2,IF(E5362="LO",6,10))+IF(D5362=1,2,IF(D5362=7,1,(IF(WEEKDAY(B5362)=1,2,IF(WEEKDAY(B5362)=7,1,0))))))</f>
        <v>2</v>
      </c>
      <c r="G5362" s="369">
        <f>VLOOKUP(C5362,METADATA!$J$5:$Q$29,IF(E5362="HI",2,IF(E5362="LO",6,10))+IF(D5362=1,2,IF(D5362=7,1,(IF(WEEKDAY(B5362)=1,2,IF(WEEKDAY(B5362)=7,1,0))))))</f>
        <v>2</v>
      </c>
      <c r="H5362" s="370">
        <v>12734.600280761719</v>
      </c>
      <c r="I5362" s="370">
        <v>8737.2249145507813</v>
      </c>
      <c r="M5362" s="371">
        <f t="shared" si="333"/>
        <v>15443.741240976015</v>
      </c>
      <c r="N5362" s="329">
        <f t="shared" si="334"/>
        <v>4916.8448303222658</v>
      </c>
      <c r="T5362" s="331">
        <v>0</v>
      </c>
      <c r="U5362" s="328">
        <f>VLOOKUP(C5362,METADATA!$J$5:$Q$29,IF(E5362="HI",2,IF(E5362="LO",6,10))+IF(T5362=1,2,IF(D5362=7,1,(IF(WEEKDAY(B5362)=1,2,IF(WEEKDAY(B5362)=7,1,0))))))</f>
        <v>2</v>
      </c>
      <c r="V5362" s="328">
        <f>VLOOKUP(C5362,METADATA!$A$5:$H$29,IF(E5362="HI",2,IF(E5362="LO",6,10))+IF(T5362=1,2,IF(D5362=7,1,(IF(WEEKDAY(B5362)=1,2,IF(WEEKDAY(B5362)=7,1,0))))))</f>
        <v>2</v>
      </c>
    </row>
    <row r="5363" spans="2:22">
      <c r="B5363" s="318">
        <f t="shared" si="335"/>
        <v>46336</v>
      </c>
      <c r="C5363" s="312">
        <v>7</v>
      </c>
      <c r="D5363" s="368">
        <f>IFERROR((INDEX(METADATA!$T$2:$T$20,MATCH(B5363,METADATA!$S$2:$S$20,0))),0)</f>
        <v>0</v>
      </c>
      <c r="E5363" s="312" t="str">
        <f t="shared" si="332"/>
        <v>LO</v>
      </c>
      <c r="F5363" s="369">
        <f>VLOOKUP(C5363,METADATA!$A$5:$H$29,IF(E5363="HI",2,IF(E5363="LO",6,10))+IF(D5363=1,2,IF(D5363=7,1,(IF(WEEKDAY(B5363)=1,2,IF(WEEKDAY(B5363)=7,1,0))))))</f>
        <v>1</v>
      </c>
      <c r="G5363" s="369">
        <f>VLOOKUP(C5363,METADATA!$J$5:$Q$29,IF(E5363="HI",2,IF(E5363="LO",6,10))+IF(D5363=1,2,IF(D5363=7,1,(IF(WEEKDAY(B5363)=1,2,IF(WEEKDAY(B5363)=7,1,0))))))</f>
        <v>1</v>
      </c>
      <c r="H5363" s="370">
        <v>12847.825378417969</v>
      </c>
      <c r="I5363" s="370">
        <v>8959.32470703125</v>
      </c>
      <c r="M5363" s="371">
        <f t="shared" si="333"/>
        <v>15663.208999446486</v>
      </c>
      <c r="N5363" s="329">
        <f t="shared" si="334"/>
        <v>5104.9770935058596</v>
      </c>
      <c r="T5363" s="331">
        <v>0</v>
      </c>
      <c r="U5363" s="328">
        <f>VLOOKUP(C5363,METADATA!$J$5:$Q$29,IF(E5363="HI",2,IF(E5363="LO",6,10))+IF(T5363=1,2,IF(D5363=7,1,(IF(WEEKDAY(B5363)=1,2,IF(WEEKDAY(B5363)=7,1,0))))))</f>
        <v>1</v>
      </c>
      <c r="V5363" s="328">
        <f>VLOOKUP(C5363,METADATA!$A$5:$H$29,IF(E5363="HI",2,IF(E5363="LO",6,10))+IF(T5363=1,2,IF(D5363=7,1,(IF(WEEKDAY(B5363)=1,2,IF(WEEKDAY(B5363)=7,1,0))))))</f>
        <v>1</v>
      </c>
    </row>
    <row r="5364" spans="2:22">
      <c r="B5364" s="318">
        <f t="shared" si="335"/>
        <v>46336</v>
      </c>
      <c r="C5364" s="312">
        <v>8</v>
      </c>
      <c r="D5364" s="368">
        <f>IFERROR((INDEX(METADATA!$T$2:$T$20,MATCH(B5364,METADATA!$S$2:$S$20,0))),0)</f>
        <v>0</v>
      </c>
      <c r="E5364" s="312" t="str">
        <f t="shared" si="332"/>
        <v>LO</v>
      </c>
      <c r="F5364" s="369">
        <f>VLOOKUP(C5364,METADATA!$A$5:$H$29,IF(E5364="HI",2,IF(E5364="LO",6,10))+IF(D5364=1,2,IF(D5364=7,1,(IF(WEEKDAY(B5364)=1,2,IF(WEEKDAY(B5364)=7,1,0))))))</f>
        <v>1</v>
      </c>
      <c r="G5364" s="369">
        <f>VLOOKUP(C5364,METADATA!$J$5:$Q$29,IF(E5364="HI",2,IF(E5364="LO",6,10))+IF(D5364=1,2,IF(D5364=7,1,(IF(WEEKDAY(B5364)=1,2,IF(WEEKDAY(B5364)=7,1,0))))))</f>
        <v>1</v>
      </c>
      <c r="H5364" s="370">
        <v>12968.799682617188</v>
      </c>
      <c r="I5364" s="370">
        <v>9050.2997436523438</v>
      </c>
      <c r="M5364" s="371">
        <f t="shared" si="333"/>
        <v>15814.477248957846</v>
      </c>
      <c r="N5364" s="329">
        <f t="shared" si="334"/>
        <v>5159.6598388671882</v>
      </c>
      <c r="T5364" s="331">
        <v>0</v>
      </c>
      <c r="U5364" s="328">
        <f>VLOOKUP(C5364,METADATA!$J$5:$Q$29,IF(E5364="HI",2,IF(E5364="LO",6,10))+IF(T5364=1,2,IF(D5364=7,1,(IF(WEEKDAY(B5364)=1,2,IF(WEEKDAY(B5364)=7,1,0))))))</f>
        <v>1</v>
      </c>
      <c r="V5364" s="328">
        <f>VLOOKUP(C5364,METADATA!$A$5:$H$29,IF(E5364="HI",2,IF(E5364="LO",6,10))+IF(T5364=1,2,IF(D5364=7,1,(IF(WEEKDAY(B5364)=1,2,IF(WEEKDAY(B5364)=7,1,0))))))</f>
        <v>1</v>
      </c>
    </row>
    <row r="5365" spans="2:22">
      <c r="B5365" s="318">
        <f t="shared" si="335"/>
        <v>46336</v>
      </c>
      <c r="C5365" s="312">
        <v>9</v>
      </c>
      <c r="D5365" s="368">
        <f>IFERROR((INDEX(METADATA!$T$2:$T$20,MATCH(B5365,METADATA!$S$2:$S$20,0))),0)</f>
        <v>0</v>
      </c>
      <c r="E5365" s="312" t="str">
        <f t="shared" si="332"/>
        <v>LO</v>
      </c>
      <c r="F5365" s="369">
        <f>VLOOKUP(C5365,METADATA!$A$5:$H$29,IF(E5365="HI",2,IF(E5365="LO",6,10))+IF(D5365=1,2,IF(D5365=7,1,(IF(WEEKDAY(B5365)=1,2,IF(WEEKDAY(B5365)=7,1,0))))))</f>
        <v>2</v>
      </c>
      <c r="G5365" s="369">
        <f>VLOOKUP(C5365,METADATA!$J$5:$Q$29,IF(E5365="HI",2,IF(E5365="LO",6,10))+IF(D5365=1,2,IF(D5365=7,1,(IF(WEEKDAY(B5365)=1,2,IF(WEEKDAY(B5365)=7,1,0))))))</f>
        <v>2</v>
      </c>
      <c r="H5365" s="370">
        <v>13007.825378417969</v>
      </c>
      <c r="I5365" s="370">
        <v>8873.5247192382813</v>
      </c>
      <c r="M5365" s="371">
        <f t="shared" si="333"/>
        <v>15746.204686156832</v>
      </c>
      <c r="N5365" s="329">
        <f t="shared" si="334"/>
        <v>4971.1771057128908</v>
      </c>
      <c r="T5365" s="331">
        <v>0</v>
      </c>
      <c r="U5365" s="328">
        <f>VLOOKUP(C5365,METADATA!$J$5:$Q$29,IF(E5365="HI",2,IF(E5365="LO",6,10))+IF(T5365=1,2,IF(D5365=7,1,(IF(WEEKDAY(B5365)=1,2,IF(WEEKDAY(B5365)=7,1,0))))))</f>
        <v>2</v>
      </c>
      <c r="V5365" s="328">
        <f>VLOOKUP(C5365,METADATA!$A$5:$H$29,IF(E5365="HI",2,IF(E5365="LO",6,10))+IF(T5365=1,2,IF(D5365=7,1,(IF(WEEKDAY(B5365)=1,2,IF(WEEKDAY(B5365)=7,1,0))))))</f>
        <v>2</v>
      </c>
    </row>
    <row r="5366" spans="2:22">
      <c r="B5366" s="318">
        <f t="shared" si="335"/>
        <v>46336</v>
      </c>
      <c r="C5366" s="312">
        <v>10</v>
      </c>
      <c r="D5366" s="368">
        <f>IFERROR((INDEX(METADATA!$T$2:$T$20,MATCH(B5366,METADATA!$S$2:$S$20,0))),0)</f>
        <v>0</v>
      </c>
      <c r="E5366" s="312" t="str">
        <f t="shared" si="332"/>
        <v>LO</v>
      </c>
      <c r="F5366" s="369">
        <f>VLOOKUP(C5366,METADATA!$A$5:$H$29,IF(E5366="HI",2,IF(E5366="LO",6,10))+IF(D5366=1,2,IF(D5366=7,1,(IF(WEEKDAY(B5366)=1,2,IF(WEEKDAY(B5366)=7,1,0))))))</f>
        <v>2</v>
      </c>
      <c r="G5366" s="369">
        <f>VLOOKUP(C5366,METADATA!$J$5:$Q$29,IF(E5366="HI",2,IF(E5366="LO",6,10))+IF(D5366=1,2,IF(D5366=7,1,(IF(WEEKDAY(B5366)=1,2,IF(WEEKDAY(B5366)=7,1,0))))))</f>
        <v>2</v>
      </c>
      <c r="H5366" s="370">
        <v>12877.575256347656</v>
      </c>
      <c r="I5366" s="370">
        <v>9202.900146484375</v>
      </c>
      <c r="M5366" s="371">
        <f t="shared" si="333"/>
        <v>15827.991521006685</v>
      </c>
      <c r="N5366" s="329">
        <f t="shared" si="334"/>
        <v>5339.6275695800778</v>
      </c>
      <c r="T5366" s="331">
        <v>0</v>
      </c>
      <c r="U5366" s="328">
        <f>VLOOKUP(C5366,METADATA!$J$5:$Q$29,IF(E5366="HI",2,IF(E5366="LO",6,10))+IF(T5366=1,2,IF(D5366=7,1,(IF(WEEKDAY(B5366)=1,2,IF(WEEKDAY(B5366)=7,1,0))))))</f>
        <v>2</v>
      </c>
      <c r="V5366" s="328">
        <f>VLOOKUP(C5366,METADATA!$A$5:$H$29,IF(E5366="HI",2,IF(E5366="LO",6,10))+IF(T5366=1,2,IF(D5366=7,1,(IF(WEEKDAY(B5366)=1,2,IF(WEEKDAY(B5366)=7,1,0))))))</f>
        <v>2</v>
      </c>
    </row>
    <row r="5367" spans="2:22">
      <c r="B5367" s="318">
        <f t="shared" si="335"/>
        <v>46336</v>
      </c>
      <c r="C5367" s="312">
        <v>11</v>
      </c>
      <c r="D5367" s="368">
        <f>IFERROR((INDEX(METADATA!$T$2:$T$20,MATCH(B5367,METADATA!$S$2:$S$20,0))),0)</f>
        <v>0</v>
      </c>
      <c r="E5367" s="312" t="str">
        <f t="shared" si="332"/>
        <v>LO</v>
      </c>
      <c r="F5367" s="369">
        <f>VLOOKUP(C5367,METADATA!$A$5:$H$29,IF(E5367="HI",2,IF(E5367="LO",6,10))+IF(D5367=1,2,IF(D5367=7,1,(IF(WEEKDAY(B5367)=1,2,IF(WEEKDAY(B5367)=7,1,0))))))</f>
        <v>2</v>
      </c>
      <c r="G5367" s="369">
        <f>VLOOKUP(C5367,METADATA!$J$5:$Q$29,IF(E5367="HI",2,IF(E5367="LO",6,10))+IF(D5367=1,2,IF(D5367=7,1,(IF(WEEKDAY(B5367)=1,2,IF(WEEKDAY(B5367)=7,1,0))))))</f>
        <v>2</v>
      </c>
      <c r="H5367" s="370">
        <v>12831.074829101563</v>
      </c>
      <c r="I5367" s="370">
        <v>9652.1250610351563</v>
      </c>
      <c r="M5367" s="371">
        <f t="shared" si="333"/>
        <v>16056.151452445465</v>
      </c>
      <c r="N5367" s="329">
        <f t="shared" si="334"/>
        <v>5802.8026123046875</v>
      </c>
      <c r="T5367" s="331">
        <v>0</v>
      </c>
      <c r="U5367" s="328">
        <f>VLOOKUP(C5367,METADATA!$J$5:$Q$29,IF(E5367="HI",2,IF(E5367="LO",6,10))+IF(T5367=1,2,IF(D5367=7,1,(IF(WEEKDAY(B5367)=1,2,IF(WEEKDAY(B5367)=7,1,0))))))</f>
        <v>2</v>
      </c>
      <c r="V5367" s="328">
        <f>VLOOKUP(C5367,METADATA!$A$5:$H$29,IF(E5367="HI",2,IF(E5367="LO",6,10))+IF(T5367=1,2,IF(D5367=7,1,(IF(WEEKDAY(B5367)=1,2,IF(WEEKDAY(B5367)=7,1,0))))))</f>
        <v>2</v>
      </c>
    </row>
    <row r="5368" spans="2:22">
      <c r="B5368" s="318">
        <f t="shared" si="335"/>
        <v>46336</v>
      </c>
      <c r="C5368" s="312">
        <v>12</v>
      </c>
      <c r="D5368" s="368">
        <f>IFERROR((INDEX(METADATA!$T$2:$T$20,MATCH(B5368,METADATA!$S$2:$S$20,0))),0)</f>
        <v>0</v>
      </c>
      <c r="E5368" s="312" t="str">
        <f t="shared" si="332"/>
        <v>LO</v>
      </c>
      <c r="F5368" s="369">
        <f>VLOOKUP(C5368,METADATA!$A$5:$H$29,IF(E5368="HI",2,IF(E5368="LO",6,10))+IF(D5368=1,2,IF(D5368=7,1,(IF(WEEKDAY(B5368)=1,2,IF(WEEKDAY(B5368)=7,1,0))))))</f>
        <v>2</v>
      </c>
      <c r="G5368" s="369">
        <f>VLOOKUP(C5368,METADATA!$J$5:$Q$29,IF(E5368="HI",2,IF(E5368="LO",6,10))+IF(D5368=1,2,IF(D5368=7,1,(IF(WEEKDAY(B5368)=1,2,IF(WEEKDAY(B5368)=7,1,0))))))</f>
        <v>2</v>
      </c>
      <c r="H5368" s="370">
        <v>12826.3251953125</v>
      </c>
      <c r="I5368" s="370">
        <v>9389.5748291015625</v>
      </c>
      <c r="M5368" s="371">
        <f t="shared" si="333"/>
        <v>15895.871586270627</v>
      </c>
      <c r="N5368" s="329">
        <f t="shared" si="334"/>
        <v>5541.6772705078129</v>
      </c>
      <c r="T5368" s="331">
        <v>0</v>
      </c>
      <c r="U5368" s="328">
        <f>VLOOKUP(C5368,METADATA!$J$5:$Q$29,IF(E5368="HI",2,IF(E5368="LO",6,10))+IF(T5368=1,2,IF(D5368=7,1,(IF(WEEKDAY(B5368)=1,2,IF(WEEKDAY(B5368)=7,1,0))))))</f>
        <v>2</v>
      </c>
      <c r="V5368" s="328">
        <f>VLOOKUP(C5368,METADATA!$A$5:$H$29,IF(E5368="HI",2,IF(E5368="LO",6,10))+IF(T5368=1,2,IF(D5368=7,1,(IF(WEEKDAY(B5368)=1,2,IF(WEEKDAY(B5368)=7,1,0))))))</f>
        <v>2</v>
      </c>
    </row>
    <row r="5369" spans="2:22">
      <c r="B5369" s="318">
        <f t="shared" si="335"/>
        <v>46336</v>
      </c>
      <c r="C5369" s="312">
        <v>13</v>
      </c>
      <c r="D5369" s="368">
        <f>IFERROR((INDEX(METADATA!$T$2:$T$20,MATCH(B5369,METADATA!$S$2:$S$20,0))),0)</f>
        <v>0</v>
      </c>
      <c r="E5369" s="312" t="str">
        <f t="shared" si="332"/>
        <v>LO</v>
      </c>
      <c r="F5369" s="369">
        <f>VLOOKUP(C5369,METADATA!$A$5:$H$29,IF(E5369="HI",2,IF(E5369="LO",6,10))+IF(D5369=1,2,IF(D5369=7,1,(IF(WEEKDAY(B5369)=1,2,IF(WEEKDAY(B5369)=7,1,0))))))</f>
        <v>2</v>
      </c>
      <c r="G5369" s="369">
        <f>VLOOKUP(C5369,METADATA!$J$5:$Q$29,IF(E5369="HI",2,IF(E5369="LO",6,10))+IF(D5369=1,2,IF(D5369=7,1,(IF(WEEKDAY(B5369)=1,2,IF(WEEKDAY(B5369)=7,1,0))))))</f>
        <v>2</v>
      </c>
      <c r="H5369" s="370">
        <v>12601.700073242188</v>
      </c>
      <c r="I5369" s="370">
        <v>9280.9251098632813</v>
      </c>
      <c r="M5369" s="371">
        <f t="shared" si="333"/>
        <v>15650.508478348009</v>
      </c>
      <c r="N5369" s="329">
        <f t="shared" si="334"/>
        <v>5500.4150878906257</v>
      </c>
      <c r="T5369" s="331">
        <v>0</v>
      </c>
      <c r="U5369" s="328">
        <f>VLOOKUP(C5369,METADATA!$J$5:$Q$29,IF(E5369="HI",2,IF(E5369="LO",6,10))+IF(T5369=1,2,IF(D5369=7,1,(IF(WEEKDAY(B5369)=1,2,IF(WEEKDAY(B5369)=7,1,0))))))</f>
        <v>2</v>
      </c>
      <c r="V5369" s="328">
        <f>VLOOKUP(C5369,METADATA!$A$5:$H$29,IF(E5369="HI",2,IF(E5369="LO",6,10))+IF(T5369=1,2,IF(D5369=7,1,(IF(WEEKDAY(B5369)=1,2,IF(WEEKDAY(B5369)=7,1,0))))))</f>
        <v>2</v>
      </c>
    </row>
    <row r="5370" spans="2:22">
      <c r="B5370" s="318">
        <f t="shared" si="335"/>
        <v>46336</v>
      </c>
      <c r="C5370" s="312">
        <v>14</v>
      </c>
      <c r="D5370" s="368">
        <f>IFERROR((INDEX(METADATA!$T$2:$T$20,MATCH(B5370,METADATA!$S$2:$S$20,0))),0)</f>
        <v>0</v>
      </c>
      <c r="E5370" s="312" t="str">
        <f t="shared" si="332"/>
        <v>LO</v>
      </c>
      <c r="F5370" s="369">
        <f>VLOOKUP(C5370,METADATA!$A$5:$H$29,IF(E5370="HI",2,IF(E5370="LO",6,10))+IF(D5370=1,2,IF(D5370=7,1,(IF(WEEKDAY(B5370)=1,2,IF(WEEKDAY(B5370)=7,1,0))))))</f>
        <v>2</v>
      </c>
      <c r="G5370" s="369">
        <f>VLOOKUP(C5370,METADATA!$J$5:$Q$29,IF(E5370="HI",2,IF(E5370="LO",6,10))+IF(D5370=1,2,IF(D5370=7,1,(IF(WEEKDAY(B5370)=1,2,IF(WEEKDAY(B5370)=7,1,0))))))</f>
        <v>2</v>
      </c>
      <c r="H5370" s="370">
        <v>12792.275329589844</v>
      </c>
      <c r="I5370" s="370">
        <v>9621.8250122070313</v>
      </c>
      <c r="M5370" s="371">
        <f t="shared" si="333"/>
        <v>16006.930520045553</v>
      </c>
      <c r="N5370" s="329">
        <f t="shared" si="334"/>
        <v>5784.1424133300789</v>
      </c>
      <c r="T5370" s="331">
        <v>0</v>
      </c>
      <c r="U5370" s="328">
        <f>VLOOKUP(C5370,METADATA!$J$5:$Q$29,IF(E5370="HI",2,IF(E5370="LO",6,10))+IF(T5370=1,2,IF(D5370=7,1,(IF(WEEKDAY(B5370)=1,2,IF(WEEKDAY(B5370)=7,1,0))))))</f>
        <v>2</v>
      </c>
      <c r="V5370" s="328">
        <f>VLOOKUP(C5370,METADATA!$A$5:$H$29,IF(E5370="HI",2,IF(E5370="LO",6,10))+IF(T5370=1,2,IF(D5370=7,1,(IF(WEEKDAY(B5370)=1,2,IF(WEEKDAY(B5370)=7,1,0))))))</f>
        <v>2</v>
      </c>
    </row>
    <row r="5371" spans="2:22">
      <c r="B5371" s="318">
        <f t="shared" si="335"/>
        <v>46336</v>
      </c>
      <c r="C5371" s="312">
        <v>15</v>
      </c>
      <c r="D5371" s="368">
        <f>IFERROR((INDEX(METADATA!$T$2:$T$20,MATCH(B5371,METADATA!$S$2:$S$20,0))),0)</f>
        <v>0</v>
      </c>
      <c r="E5371" s="312" t="str">
        <f t="shared" si="332"/>
        <v>LO</v>
      </c>
      <c r="F5371" s="369">
        <f>VLOOKUP(C5371,METADATA!$A$5:$H$29,IF(E5371="HI",2,IF(E5371="LO",6,10))+IF(D5371=1,2,IF(D5371=7,1,(IF(WEEKDAY(B5371)=1,2,IF(WEEKDAY(B5371)=7,1,0))))))</f>
        <v>2</v>
      </c>
      <c r="G5371" s="369">
        <f>VLOOKUP(C5371,METADATA!$J$5:$Q$29,IF(E5371="HI",2,IF(E5371="LO",6,10))+IF(D5371=1,2,IF(D5371=7,1,(IF(WEEKDAY(B5371)=1,2,IF(WEEKDAY(B5371)=7,1,0))))))</f>
        <v>2</v>
      </c>
      <c r="H5371" s="370">
        <v>12137.224853515625</v>
      </c>
      <c r="I5371" s="370">
        <v>9078.7249755859375</v>
      </c>
      <c r="M5371" s="371">
        <f t="shared" si="333"/>
        <v>15157.027225914891</v>
      </c>
      <c r="N5371" s="329">
        <f t="shared" si="334"/>
        <v>5437.5575195312504</v>
      </c>
      <c r="T5371" s="331">
        <v>0</v>
      </c>
      <c r="U5371" s="328">
        <f>VLOOKUP(C5371,METADATA!$J$5:$Q$29,IF(E5371="HI",2,IF(E5371="LO",6,10))+IF(T5371=1,2,IF(D5371=7,1,(IF(WEEKDAY(B5371)=1,2,IF(WEEKDAY(B5371)=7,1,0))))))</f>
        <v>2</v>
      </c>
      <c r="V5371" s="328">
        <f>VLOOKUP(C5371,METADATA!$A$5:$H$29,IF(E5371="HI",2,IF(E5371="LO",6,10))+IF(T5371=1,2,IF(D5371=7,1,(IF(WEEKDAY(B5371)=1,2,IF(WEEKDAY(B5371)=7,1,0))))))</f>
        <v>2</v>
      </c>
    </row>
    <row r="5372" spans="2:22">
      <c r="B5372" s="318">
        <f t="shared" si="335"/>
        <v>46336</v>
      </c>
      <c r="C5372" s="312">
        <v>16</v>
      </c>
      <c r="D5372" s="368">
        <f>IFERROR((INDEX(METADATA!$T$2:$T$20,MATCH(B5372,METADATA!$S$2:$S$20,0))),0)</f>
        <v>0</v>
      </c>
      <c r="E5372" s="312" t="str">
        <f t="shared" si="332"/>
        <v>LO</v>
      </c>
      <c r="F5372" s="369">
        <f>VLOOKUP(C5372,METADATA!$A$5:$H$29,IF(E5372="HI",2,IF(E5372="LO",6,10))+IF(D5372=1,2,IF(D5372=7,1,(IF(WEEKDAY(B5372)=1,2,IF(WEEKDAY(B5372)=7,1,0))))))</f>
        <v>2</v>
      </c>
      <c r="G5372" s="369">
        <f>VLOOKUP(C5372,METADATA!$J$5:$Q$29,IF(E5372="HI",2,IF(E5372="LO",6,10))+IF(D5372=1,2,IF(D5372=7,1,(IF(WEEKDAY(B5372)=1,2,IF(WEEKDAY(B5372)=7,1,0))))))</f>
        <v>2</v>
      </c>
      <c r="H5372" s="370">
        <v>11859.899841308594</v>
      </c>
      <c r="I5372" s="370">
        <v>9053.0750732421875</v>
      </c>
      <c r="M5372" s="371">
        <f t="shared" si="333"/>
        <v>14920.30135512117</v>
      </c>
      <c r="N5372" s="329">
        <f t="shared" si="334"/>
        <v>5495.1051208496101</v>
      </c>
      <c r="T5372" s="331">
        <v>0</v>
      </c>
      <c r="U5372" s="328">
        <f>VLOOKUP(C5372,METADATA!$J$5:$Q$29,IF(E5372="HI",2,IF(E5372="LO",6,10))+IF(T5372=1,2,IF(D5372=7,1,(IF(WEEKDAY(B5372)=1,2,IF(WEEKDAY(B5372)=7,1,0))))))</f>
        <v>2</v>
      </c>
      <c r="V5372" s="328">
        <f>VLOOKUP(C5372,METADATA!$A$5:$H$29,IF(E5372="HI",2,IF(E5372="LO",6,10))+IF(T5372=1,2,IF(D5372=7,1,(IF(WEEKDAY(B5372)=1,2,IF(WEEKDAY(B5372)=7,1,0))))))</f>
        <v>2</v>
      </c>
    </row>
    <row r="5373" spans="2:22">
      <c r="B5373" s="318">
        <f t="shared" si="335"/>
        <v>46336</v>
      </c>
      <c r="C5373" s="312">
        <v>17</v>
      </c>
      <c r="D5373" s="368">
        <f>IFERROR((INDEX(METADATA!$T$2:$T$20,MATCH(B5373,METADATA!$S$2:$S$20,0))),0)</f>
        <v>0</v>
      </c>
      <c r="E5373" s="312" t="str">
        <f t="shared" si="332"/>
        <v>LO</v>
      </c>
      <c r="F5373" s="369">
        <f>VLOOKUP(C5373,METADATA!$A$5:$H$29,IF(E5373="HI",2,IF(E5373="LO",6,10))+IF(D5373=1,2,IF(D5373=7,1,(IF(WEEKDAY(B5373)=1,2,IF(WEEKDAY(B5373)=7,1,0))))))</f>
        <v>2</v>
      </c>
      <c r="G5373" s="369">
        <f>VLOOKUP(C5373,METADATA!$J$5:$Q$29,IF(E5373="HI",2,IF(E5373="LO",6,10))+IF(D5373=1,2,IF(D5373=7,1,(IF(WEEKDAY(B5373)=1,2,IF(WEEKDAY(B5373)=7,1,0))))))</f>
        <v>2</v>
      </c>
      <c r="H5373" s="370">
        <v>11680.499877929688</v>
      </c>
      <c r="I5373" s="370">
        <v>8889.7999877929688</v>
      </c>
      <c r="M5373" s="371">
        <f t="shared" si="333"/>
        <v>14678.645074436512</v>
      </c>
      <c r="N5373" s="329">
        <f t="shared" si="334"/>
        <v>5385.6500244140625</v>
      </c>
      <c r="T5373" s="331">
        <v>0</v>
      </c>
      <c r="U5373" s="328">
        <f>VLOOKUP(C5373,METADATA!$J$5:$Q$29,IF(E5373="HI",2,IF(E5373="LO",6,10))+IF(T5373=1,2,IF(D5373=7,1,(IF(WEEKDAY(B5373)=1,2,IF(WEEKDAY(B5373)=7,1,0))))))</f>
        <v>2</v>
      </c>
      <c r="V5373" s="328">
        <f>VLOOKUP(C5373,METADATA!$A$5:$H$29,IF(E5373="HI",2,IF(E5373="LO",6,10))+IF(T5373=1,2,IF(D5373=7,1,(IF(WEEKDAY(B5373)=1,2,IF(WEEKDAY(B5373)=7,1,0))))))</f>
        <v>2</v>
      </c>
    </row>
    <row r="5374" spans="2:22">
      <c r="B5374" s="318">
        <f t="shared" si="335"/>
        <v>46336</v>
      </c>
      <c r="C5374" s="312">
        <v>18</v>
      </c>
      <c r="D5374" s="368">
        <f>IFERROR((INDEX(METADATA!$T$2:$T$20,MATCH(B5374,METADATA!$S$2:$S$20,0))),0)</f>
        <v>0</v>
      </c>
      <c r="E5374" s="312" t="str">
        <f t="shared" si="332"/>
        <v>LO</v>
      </c>
      <c r="F5374" s="369">
        <f>VLOOKUP(C5374,METADATA!$A$5:$H$29,IF(E5374="HI",2,IF(E5374="LO",6,10))+IF(D5374=1,2,IF(D5374=7,1,(IF(WEEKDAY(B5374)=1,2,IF(WEEKDAY(B5374)=7,1,0))))))</f>
        <v>1</v>
      </c>
      <c r="G5374" s="369">
        <f>VLOOKUP(C5374,METADATA!$J$5:$Q$29,IF(E5374="HI",2,IF(E5374="LO",6,10))+IF(D5374=1,2,IF(D5374=7,1,(IF(WEEKDAY(B5374)=1,2,IF(WEEKDAY(B5374)=7,1,0))))))</f>
        <v>1</v>
      </c>
      <c r="H5374" s="370">
        <v>12331.825134277344</v>
      </c>
      <c r="I5374" s="370">
        <v>9565.02490234375</v>
      </c>
      <c r="M5374" s="371">
        <f t="shared" si="333"/>
        <v>15606.524677994474</v>
      </c>
      <c r="N5374" s="329">
        <f t="shared" si="334"/>
        <v>5865.4773620605465</v>
      </c>
      <c r="T5374" s="331">
        <v>0</v>
      </c>
      <c r="U5374" s="328">
        <f>VLOOKUP(C5374,METADATA!$J$5:$Q$29,IF(E5374="HI",2,IF(E5374="LO",6,10))+IF(T5374=1,2,IF(D5374=7,1,(IF(WEEKDAY(B5374)=1,2,IF(WEEKDAY(B5374)=7,1,0))))))</f>
        <v>1</v>
      </c>
      <c r="V5374" s="328">
        <f>VLOOKUP(C5374,METADATA!$A$5:$H$29,IF(E5374="HI",2,IF(E5374="LO",6,10))+IF(T5374=1,2,IF(D5374=7,1,(IF(WEEKDAY(B5374)=1,2,IF(WEEKDAY(B5374)=7,1,0))))))</f>
        <v>1</v>
      </c>
    </row>
    <row r="5375" spans="2:22">
      <c r="B5375" s="318">
        <f t="shared" si="335"/>
        <v>46336</v>
      </c>
      <c r="C5375" s="312">
        <v>19</v>
      </c>
      <c r="D5375" s="368">
        <f>IFERROR((INDEX(METADATA!$T$2:$T$20,MATCH(B5375,METADATA!$S$2:$S$20,0))),0)</f>
        <v>0</v>
      </c>
      <c r="E5375" s="312" t="str">
        <f t="shared" si="332"/>
        <v>LO</v>
      </c>
      <c r="F5375" s="369">
        <f>VLOOKUP(C5375,METADATA!$A$5:$H$29,IF(E5375="HI",2,IF(E5375="LO",6,10))+IF(D5375=1,2,IF(D5375=7,1,(IF(WEEKDAY(B5375)=1,2,IF(WEEKDAY(B5375)=7,1,0))))))</f>
        <v>1</v>
      </c>
      <c r="G5375" s="369">
        <f>VLOOKUP(C5375,METADATA!$J$5:$Q$29,IF(E5375="HI",2,IF(E5375="LO",6,10))+IF(D5375=1,2,IF(D5375=7,1,(IF(WEEKDAY(B5375)=1,2,IF(WEEKDAY(B5375)=7,1,0))))))</f>
        <v>1</v>
      </c>
      <c r="H5375" s="370">
        <v>12681.249877929688</v>
      </c>
      <c r="I5375" s="370">
        <v>9727.6251220703125</v>
      </c>
      <c r="M5375" s="371">
        <f t="shared" si="333"/>
        <v>15982.515101886347</v>
      </c>
      <c r="N5375" s="329">
        <f t="shared" si="334"/>
        <v>5923.2501586914059</v>
      </c>
      <c r="T5375" s="331">
        <v>0</v>
      </c>
      <c r="U5375" s="328">
        <f>VLOOKUP(C5375,METADATA!$J$5:$Q$29,IF(E5375="HI",2,IF(E5375="LO",6,10))+IF(T5375=1,2,IF(D5375=7,1,(IF(WEEKDAY(B5375)=1,2,IF(WEEKDAY(B5375)=7,1,0))))))</f>
        <v>1</v>
      </c>
      <c r="V5375" s="328">
        <f>VLOOKUP(C5375,METADATA!$A$5:$H$29,IF(E5375="HI",2,IF(E5375="LO",6,10))+IF(T5375=1,2,IF(D5375=7,1,(IF(WEEKDAY(B5375)=1,2,IF(WEEKDAY(B5375)=7,1,0))))))</f>
        <v>1</v>
      </c>
    </row>
    <row r="5376" spans="2:22">
      <c r="B5376" s="318">
        <f t="shared" si="335"/>
        <v>46336</v>
      </c>
      <c r="C5376" s="312">
        <v>20</v>
      </c>
      <c r="D5376" s="368">
        <f>IFERROR((INDEX(METADATA!$T$2:$T$20,MATCH(B5376,METADATA!$S$2:$S$20,0))),0)</f>
        <v>0</v>
      </c>
      <c r="E5376" s="312" t="str">
        <f t="shared" si="332"/>
        <v>LO</v>
      </c>
      <c r="F5376" s="369">
        <f>VLOOKUP(C5376,METADATA!$A$5:$H$29,IF(E5376="HI",2,IF(E5376="LO",6,10))+IF(D5376=1,2,IF(D5376=7,1,(IF(WEEKDAY(B5376)=1,2,IF(WEEKDAY(B5376)=7,1,0))))))</f>
        <v>1</v>
      </c>
      <c r="G5376" s="369">
        <f>VLOOKUP(C5376,METADATA!$J$5:$Q$29,IF(E5376="HI",2,IF(E5376="LO",6,10))+IF(D5376=1,2,IF(D5376=7,1,(IF(WEEKDAY(B5376)=1,2,IF(WEEKDAY(B5376)=7,1,0))))))</f>
        <v>1</v>
      </c>
      <c r="H5376" s="370">
        <v>12804.924987792969</v>
      </c>
      <c r="I5376" s="370">
        <v>9404.7001953125</v>
      </c>
      <c r="M5376" s="371">
        <f t="shared" si="333"/>
        <v>15887.557701129388</v>
      </c>
      <c r="N5376" s="329">
        <f t="shared" si="334"/>
        <v>5563.2226989746096</v>
      </c>
      <c r="T5376" s="331">
        <v>0</v>
      </c>
      <c r="U5376" s="328">
        <f>VLOOKUP(C5376,METADATA!$J$5:$Q$29,IF(E5376="HI",2,IF(E5376="LO",6,10))+IF(T5376=1,2,IF(D5376=7,1,(IF(WEEKDAY(B5376)=1,2,IF(WEEKDAY(B5376)=7,1,0))))))</f>
        <v>1</v>
      </c>
      <c r="V5376" s="328">
        <f>VLOOKUP(C5376,METADATA!$A$5:$H$29,IF(E5376="HI",2,IF(E5376="LO",6,10))+IF(T5376=1,2,IF(D5376=7,1,(IF(WEEKDAY(B5376)=1,2,IF(WEEKDAY(B5376)=7,1,0))))))</f>
        <v>1</v>
      </c>
    </row>
    <row r="5377" spans="2:22">
      <c r="B5377" s="318">
        <f t="shared" si="335"/>
        <v>46336</v>
      </c>
      <c r="C5377" s="312">
        <v>21</v>
      </c>
      <c r="D5377" s="368">
        <f>IFERROR((INDEX(METADATA!$T$2:$T$20,MATCH(B5377,METADATA!$S$2:$S$20,0))),0)</f>
        <v>0</v>
      </c>
      <c r="E5377" s="312" t="str">
        <f t="shared" si="332"/>
        <v>LO</v>
      </c>
      <c r="F5377" s="369">
        <f>VLOOKUP(C5377,METADATA!$A$5:$H$29,IF(E5377="HI",2,IF(E5377="LO",6,10))+IF(D5377=1,2,IF(D5377=7,1,(IF(WEEKDAY(B5377)=1,2,IF(WEEKDAY(B5377)=7,1,0))))))</f>
        <v>2</v>
      </c>
      <c r="G5377" s="369">
        <f>VLOOKUP(C5377,METADATA!$J$5:$Q$29,IF(E5377="HI",2,IF(E5377="LO",6,10))+IF(D5377=1,2,IF(D5377=7,1,(IF(WEEKDAY(B5377)=1,2,IF(WEEKDAY(B5377)=7,1,0))))))</f>
        <v>2</v>
      </c>
      <c r="H5377" s="370">
        <v>12881.200073242188</v>
      </c>
      <c r="I5377" s="370">
        <v>9449.4248046875</v>
      </c>
      <c r="M5377" s="371">
        <f t="shared" si="333"/>
        <v>15975.510773253478</v>
      </c>
      <c r="N5377" s="329">
        <f t="shared" si="334"/>
        <v>5585.0647827148441</v>
      </c>
      <c r="T5377" s="331">
        <v>0</v>
      </c>
      <c r="U5377" s="328">
        <f>VLOOKUP(C5377,METADATA!$J$5:$Q$29,IF(E5377="HI",2,IF(E5377="LO",6,10))+IF(T5377=1,2,IF(D5377=7,1,(IF(WEEKDAY(B5377)=1,2,IF(WEEKDAY(B5377)=7,1,0))))))</f>
        <v>2</v>
      </c>
      <c r="V5377" s="328">
        <f>VLOOKUP(C5377,METADATA!$A$5:$H$29,IF(E5377="HI",2,IF(E5377="LO",6,10))+IF(T5377=1,2,IF(D5377=7,1,(IF(WEEKDAY(B5377)=1,2,IF(WEEKDAY(B5377)=7,1,0))))))</f>
        <v>2</v>
      </c>
    </row>
    <row r="5378" spans="2:22">
      <c r="B5378" s="318">
        <f t="shared" si="335"/>
        <v>46336</v>
      </c>
      <c r="C5378" s="312">
        <v>22</v>
      </c>
      <c r="D5378" s="368">
        <f>IFERROR((INDEX(METADATA!$T$2:$T$20,MATCH(B5378,METADATA!$S$2:$S$20,0))),0)</f>
        <v>0</v>
      </c>
      <c r="E5378" s="312" t="str">
        <f t="shared" si="332"/>
        <v>LO</v>
      </c>
      <c r="F5378" s="369">
        <f>VLOOKUP(C5378,METADATA!$A$5:$H$29,IF(E5378="HI",2,IF(E5378="LO",6,10))+IF(D5378=1,2,IF(D5378=7,1,(IF(WEEKDAY(B5378)=1,2,IF(WEEKDAY(B5378)=7,1,0))))))</f>
        <v>3</v>
      </c>
      <c r="G5378" s="369">
        <f>VLOOKUP(C5378,METADATA!$J$5:$Q$29,IF(E5378="HI",2,IF(E5378="LO",6,10))+IF(D5378=1,2,IF(D5378=7,1,(IF(WEEKDAY(B5378)=1,2,IF(WEEKDAY(B5378)=7,1,0))))))</f>
        <v>3</v>
      </c>
      <c r="H5378" s="370">
        <v>12728.974975585938</v>
      </c>
      <c r="I5378" s="370">
        <v>9447.2999267578125</v>
      </c>
      <c r="M5378" s="371">
        <f t="shared" si="333"/>
        <v>15851.759518590079</v>
      </c>
      <c r="N5378" s="329">
        <f t="shared" si="334"/>
        <v>5628.6074340820314</v>
      </c>
      <c r="T5378" s="331">
        <v>0</v>
      </c>
      <c r="U5378" s="328">
        <f>VLOOKUP(C5378,METADATA!$J$5:$Q$29,IF(E5378="HI",2,IF(E5378="LO",6,10))+IF(T5378=1,2,IF(D5378=7,1,(IF(WEEKDAY(B5378)=1,2,IF(WEEKDAY(B5378)=7,1,0))))))</f>
        <v>3</v>
      </c>
      <c r="V5378" s="328">
        <f>VLOOKUP(C5378,METADATA!$A$5:$H$29,IF(E5378="HI",2,IF(E5378="LO",6,10))+IF(T5378=1,2,IF(D5378=7,1,(IF(WEEKDAY(B5378)=1,2,IF(WEEKDAY(B5378)=7,1,0))))))</f>
        <v>3</v>
      </c>
    </row>
    <row r="5379" spans="2:22">
      <c r="B5379" s="318">
        <f t="shared" si="335"/>
        <v>46336</v>
      </c>
      <c r="C5379" s="312">
        <v>23</v>
      </c>
      <c r="D5379" s="368">
        <f>IFERROR((INDEX(METADATA!$T$2:$T$20,MATCH(B5379,METADATA!$S$2:$S$20,0))),0)</f>
        <v>0</v>
      </c>
      <c r="E5379" s="312" t="str">
        <f t="shared" si="332"/>
        <v>LO</v>
      </c>
      <c r="F5379" s="369">
        <f>VLOOKUP(C5379,METADATA!$A$5:$H$29,IF(E5379="HI",2,IF(E5379="LO",6,10))+IF(D5379=1,2,IF(D5379=7,1,(IF(WEEKDAY(B5379)=1,2,IF(WEEKDAY(B5379)=7,1,0))))))</f>
        <v>3</v>
      </c>
      <c r="G5379" s="369">
        <f>VLOOKUP(C5379,METADATA!$J$5:$Q$29,IF(E5379="HI",2,IF(E5379="LO",6,10))+IF(D5379=1,2,IF(D5379=7,1,(IF(WEEKDAY(B5379)=1,2,IF(WEEKDAY(B5379)=7,1,0))))))</f>
        <v>3</v>
      </c>
      <c r="H5379" s="370">
        <v>12812.750366210938</v>
      </c>
      <c r="I5379" s="370">
        <v>9677.2000732421875</v>
      </c>
      <c r="M5379" s="371">
        <f t="shared" si="333"/>
        <v>16056.611510664294</v>
      </c>
      <c r="N5379" s="329">
        <f t="shared" si="334"/>
        <v>5833.3749633789066</v>
      </c>
      <c r="T5379" s="331">
        <v>0</v>
      </c>
      <c r="U5379" s="328">
        <f>VLOOKUP(C5379,METADATA!$J$5:$Q$29,IF(E5379="HI",2,IF(E5379="LO",6,10))+IF(T5379=1,2,IF(D5379=7,1,(IF(WEEKDAY(B5379)=1,2,IF(WEEKDAY(B5379)=7,1,0))))))</f>
        <v>3</v>
      </c>
      <c r="V5379" s="328">
        <f>VLOOKUP(C5379,METADATA!$A$5:$H$29,IF(E5379="HI",2,IF(E5379="LO",6,10))+IF(T5379=1,2,IF(D5379=7,1,(IF(WEEKDAY(B5379)=1,2,IF(WEEKDAY(B5379)=7,1,0))))))</f>
        <v>3</v>
      </c>
    </row>
    <row r="5380" spans="2:22">
      <c r="B5380" s="318">
        <f t="shared" si="335"/>
        <v>46337</v>
      </c>
      <c r="C5380" s="312">
        <v>0</v>
      </c>
      <c r="D5380" s="368">
        <f>IFERROR((INDEX(METADATA!$T$2:$T$20,MATCH(B5380,METADATA!$S$2:$S$20,0))),0)</f>
        <v>0</v>
      </c>
      <c r="E5380" s="312" t="str">
        <f t="shared" ref="E5380:E5443" si="336">IF(B5380="","",IF(AND(MONTH(B5380)&gt;=MONTH($Z$9),MONTH(B5380)&lt;=MONTH($Z$11)),"HI","LO"))</f>
        <v>LO</v>
      </c>
      <c r="F5380" s="369">
        <f>VLOOKUP(C5380,METADATA!$A$5:$H$29,IF(E5380="HI",2,IF(E5380="LO",6,10))+IF(D5380=1,2,IF(D5380=7,1,(IF(WEEKDAY(B5380)=1,2,IF(WEEKDAY(B5380)=7,1,0))))))</f>
        <v>3</v>
      </c>
      <c r="G5380" s="369">
        <f>VLOOKUP(C5380,METADATA!$J$5:$Q$29,IF(E5380="HI",2,IF(E5380="LO",6,10))+IF(D5380=1,2,IF(D5380=7,1,(IF(WEEKDAY(B5380)=1,2,IF(WEEKDAY(B5380)=7,1,0))))))</f>
        <v>3</v>
      </c>
      <c r="H5380" s="370">
        <v>12779.325256347656</v>
      </c>
      <c r="I5380" s="370">
        <v>9723.625</v>
      </c>
      <c r="M5380" s="371">
        <f t="shared" ref="M5380:M5443" si="337">SQRT(H5380^2+I5380^2)</f>
        <v>16058.020959886373</v>
      </c>
      <c r="N5380" s="329">
        <f t="shared" ref="N5380:N5443" si="338">IF(H5380=0,0,(IF(I5380-(0.3*H5380)&lt;0,0,(I5380-(0.3*H5380)))))</f>
        <v>5889.8274230957031</v>
      </c>
      <c r="T5380" s="331">
        <v>0</v>
      </c>
      <c r="U5380" s="328">
        <f>VLOOKUP(C5380,METADATA!$J$5:$Q$29,IF(E5380="HI",2,IF(E5380="LO",6,10))+IF(T5380=1,2,IF(D5380=7,1,(IF(WEEKDAY(B5380)=1,2,IF(WEEKDAY(B5380)=7,1,0))))))</f>
        <v>3</v>
      </c>
      <c r="V5380" s="328">
        <f>VLOOKUP(C5380,METADATA!$A$5:$H$29,IF(E5380="HI",2,IF(E5380="LO",6,10))+IF(T5380=1,2,IF(D5380=7,1,(IF(WEEKDAY(B5380)=1,2,IF(WEEKDAY(B5380)=7,1,0))))))</f>
        <v>3</v>
      </c>
    </row>
    <row r="5381" spans="2:22">
      <c r="B5381" s="318">
        <f t="shared" si="335"/>
        <v>46337</v>
      </c>
      <c r="C5381" s="312">
        <v>1</v>
      </c>
      <c r="D5381" s="368">
        <f>IFERROR((INDEX(METADATA!$T$2:$T$20,MATCH(B5381,METADATA!$S$2:$S$20,0))),0)</f>
        <v>0</v>
      </c>
      <c r="E5381" s="312" t="str">
        <f t="shared" si="336"/>
        <v>LO</v>
      </c>
      <c r="F5381" s="369">
        <f>VLOOKUP(C5381,METADATA!$A$5:$H$29,IF(E5381="HI",2,IF(E5381="LO",6,10))+IF(D5381=1,2,IF(D5381=7,1,(IF(WEEKDAY(B5381)=1,2,IF(WEEKDAY(B5381)=7,1,0))))))</f>
        <v>3</v>
      </c>
      <c r="G5381" s="369">
        <f>VLOOKUP(C5381,METADATA!$J$5:$Q$29,IF(E5381="HI",2,IF(E5381="LO",6,10))+IF(D5381=1,2,IF(D5381=7,1,(IF(WEEKDAY(B5381)=1,2,IF(WEEKDAY(B5381)=7,1,0))))))</f>
        <v>3</v>
      </c>
      <c r="H5381" s="370">
        <v>12881.369812011719</v>
      </c>
      <c r="I5381" s="370">
        <v>9815.3499755859375</v>
      </c>
      <c r="M5381" s="371">
        <f t="shared" si="337"/>
        <v>16194.776422570387</v>
      </c>
      <c r="N5381" s="329">
        <f t="shared" si="338"/>
        <v>5950.9390319824215</v>
      </c>
      <c r="T5381" s="331">
        <v>0</v>
      </c>
      <c r="U5381" s="328">
        <f>VLOOKUP(C5381,METADATA!$J$5:$Q$29,IF(E5381="HI",2,IF(E5381="LO",6,10))+IF(T5381=1,2,IF(D5381=7,1,(IF(WEEKDAY(B5381)=1,2,IF(WEEKDAY(B5381)=7,1,0))))))</f>
        <v>3</v>
      </c>
      <c r="V5381" s="328">
        <f>VLOOKUP(C5381,METADATA!$A$5:$H$29,IF(E5381="HI",2,IF(E5381="LO",6,10))+IF(T5381=1,2,IF(D5381=7,1,(IF(WEEKDAY(B5381)=1,2,IF(WEEKDAY(B5381)=7,1,0))))))</f>
        <v>3</v>
      </c>
    </row>
    <row r="5382" spans="2:22">
      <c r="B5382" s="318">
        <f t="shared" si="335"/>
        <v>46337</v>
      </c>
      <c r="C5382" s="312">
        <v>2</v>
      </c>
      <c r="D5382" s="368">
        <f>IFERROR((INDEX(METADATA!$T$2:$T$20,MATCH(B5382,METADATA!$S$2:$S$20,0))),0)</f>
        <v>0</v>
      </c>
      <c r="E5382" s="312" t="str">
        <f t="shared" si="336"/>
        <v>LO</v>
      </c>
      <c r="F5382" s="369">
        <f>VLOOKUP(C5382,METADATA!$A$5:$H$29,IF(E5382="HI",2,IF(E5382="LO",6,10))+IF(D5382=1,2,IF(D5382=7,1,(IF(WEEKDAY(B5382)=1,2,IF(WEEKDAY(B5382)=7,1,0))))))</f>
        <v>3</v>
      </c>
      <c r="G5382" s="369">
        <f>VLOOKUP(C5382,METADATA!$J$5:$Q$29,IF(E5382="HI",2,IF(E5382="LO",6,10))+IF(D5382=1,2,IF(D5382=7,1,(IF(WEEKDAY(B5382)=1,2,IF(WEEKDAY(B5382)=7,1,0))))))</f>
        <v>3</v>
      </c>
      <c r="H5382" s="370">
        <v>12725.149658203125</v>
      </c>
      <c r="I5382" s="370">
        <v>9796.8751831054688</v>
      </c>
      <c r="M5382" s="371">
        <f t="shared" si="337"/>
        <v>16059.520452896933</v>
      </c>
      <c r="N5382" s="329">
        <f t="shared" si="338"/>
        <v>5979.3302856445316</v>
      </c>
      <c r="T5382" s="331">
        <v>0</v>
      </c>
      <c r="U5382" s="328">
        <f>VLOOKUP(C5382,METADATA!$J$5:$Q$29,IF(E5382="HI",2,IF(E5382="LO",6,10))+IF(T5382=1,2,IF(D5382=7,1,(IF(WEEKDAY(B5382)=1,2,IF(WEEKDAY(B5382)=7,1,0))))))</f>
        <v>3</v>
      </c>
      <c r="V5382" s="328">
        <f>VLOOKUP(C5382,METADATA!$A$5:$H$29,IF(E5382="HI",2,IF(E5382="LO",6,10))+IF(T5382=1,2,IF(D5382=7,1,(IF(WEEKDAY(B5382)=1,2,IF(WEEKDAY(B5382)=7,1,0))))))</f>
        <v>3</v>
      </c>
    </row>
    <row r="5383" spans="2:22">
      <c r="B5383" s="318">
        <f t="shared" si="335"/>
        <v>46337</v>
      </c>
      <c r="C5383" s="312">
        <v>3</v>
      </c>
      <c r="D5383" s="368">
        <f>IFERROR((INDEX(METADATA!$T$2:$T$20,MATCH(B5383,METADATA!$S$2:$S$20,0))),0)</f>
        <v>0</v>
      </c>
      <c r="E5383" s="312" t="str">
        <f t="shared" si="336"/>
        <v>LO</v>
      </c>
      <c r="F5383" s="369">
        <f>VLOOKUP(C5383,METADATA!$A$5:$H$29,IF(E5383="HI",2,IF(E5383="LO",6,10))+IF(D5383=1,2,IF(D5383=7,1,(IF(WEEKDAY(B5383)=1,2,IF(WEEKDAY(B5383)=7,1,0))))))</f>
        <v>3</v>
      </c>
      <c r="G5383" s="369">
        <f>VLOOKUP(C5383,METADATA!$J$5:$Q$29,IF(E5383="HI",2,IF(E5383="LO",6,10))+IF(D5383=1,2,IF(D5383=7,1,(IF(WEEKDAY(B5383)=1,2,IF(WEEKDAY(B5383)=7,1,0))))))</f>
        <v>3</v>
      </c>
      <c r="H5383" s="370">
        <v>12692.499938964844</v>
      </c>
      <c r="I5383" s="370">
        <v>9798.6000366210938</v>
      </c>
      <c r="M5383" s="371">
        <f t="shared" si="337"/>
        <v>16034.716005539152</v>
      </c>
      <c r="N5383" s="329">
        <f t="shared" si="338"/>
        <v>5990.8500549316414</v>
      </c>
      <c r="T5383" s="331">
        <v>0</v>
      </c>
      <c r="U5383" s="328">
        <f>VLOOKUP(C5383,METADATA!$J$5:$Q$29,IF(E5383="HI",2,IF(E5383="LO",6,10))+IF(T5383=1,2,IF(D5383=7,1,(IF(WEEKDAY(B5383)=1,2,IF(WEEKDAY(B5383)=7,1,0))))))</f>
        <v>3</v>
      </c>
      <c r="V5383" s="328">
        <f>VLOOKUP(C5383,METADATA!$A$5:$H$29,IF(E5383="HI",2,IF(E5383="LO",6,10))+IF(T5383=1,2,IF(D5383=7,1,(IF(WEEKDAY(B5383)=1,2,IF(WEEKDAY(B5383)=7,1,0))))))</f>
        <v>3</v>
      </c>
    </row>
    <row r="5384" spans="2:22">
      <c r="B5384" s="318">
        <f t="shared" si="335"/>
        <v>46337</v>
      </c>
      <c r="C5384" s="312">
        <v>4</v>
      </c>
      <c r="D5384" s="368">
        <f>IFERROR((INDEX(METADATA!$T$2:$T$20,MATCH(B5384,METADATA!$S$2:$S$20,0))),0)</f>
        <v>0</v>
      </c>
      <c r="E5384" s="312" t="str">
        <f t="shared" si="336"/>
        <v>LO</v>
      </c>
      <c r="F5384" s="369">
        <f>VLOOKUP(C5384,METADATA!$A$5:$H$29,IF(E5384="HI",2,IF(E5384="LO",6,10))+IF(D5384=1,2,IF(D5384=7,1,(IF(WEEKDAY(B5384)=1,2,IF(WEEKDAY(B5384)=7,1,0))))))</f>
        <v>3</v>
      </c>
      <c r="G5384" s="369">
        <f>VLOOKUP(C5384,METADATA!$J$5:$Q$29,IF(E5384="HI",2,IF(E5384="LO",6,10))+IF(D5384=1,2,IF(D5384=7,1,(IF(WEEKDAY(B5384)=1,2,IF(WEEKDAY(B5384)=7,1,0))))))</f>
        <v>3</v>
      </c>
      <c r="H5384" s="370">
        <v>12671.2998046875</v>
      </c>
      <c r="I5384" s="370">
        <v>9600.8749389648438</v>
      </c>
      <c r="M5384" s="371">
        <f t="shared" si="337"/>
        <v>15897.755764066722</v>
      </c>
      <c r="N5384" s="329">
        <f t="shared" si="338"/>
        <v>5799.4849975585939</v>
      </c>
      <c r="T5384" s="331">
        <v>0</v>
      </c>
      <c r="U5384" s="328">
        <f>VLOOKUP(C5384,METADATA!$J$5:$Q$29,IF(E5384="HI",2,IF(E5384="LO",6,10))+IF(T5384=1,2,IF(D5384=7,1,(IF(WEEKDAY(B5384)=1,2,IF(WEEKDAY(B5384)=7,1,0))))))</f>
        <v>3</v>
      </c>
      <c r="V5384" s="328">
        <f>VLOOKUP(C5384,METADATA!$A$5:$H$29,IF(E5384="HI",2,IF(E5384="LO",6,10))+IF(T5384=1,2,IF(D5384=7,1,(IF(WEEKDAY(B5384)=1,2,IF(WEEKDAY(B5384)=7,1,0))))))</f>
        <v>3</v>
      </c>
    </row>
    <row r="5385" spans="2:22">
      <c r="B5385" s="318">
        <f t="shared" si="335"/>
        <v>46337</v>
      </c>
      <c r="C5385" s="312">
        <v>5</v>
      </c>
      <c r="D5385" s="368">
        <f>IFERROR((INDEX(METADATA!$T$2:$T$20,MATCH(B5385,METADATA!$S$2:$S$20,0))),0)</f>
        <v>0</v>
      </c>
      <c r="E5385" s="312" t="str">
        <f t="shared" si="336"/>
        <v>LO</v>
      </c>
      <c r="F5385" s="369">
        <f>VLOOKUP(C5385,METADATA!$A$5:$H$29,IF(E5385="HI",2,IF(E5385="LO",6,10))+IF(D5385=1,2,IF(D5385=7,1,(IF(WEEKDAY(B5385)=1,2,IF(WEEKDAY(B5385)=7,1,0))))))</f>
        <v>3</v>
      </c>
      <c r="G5385" s="369">
        <f>VLOOKUP(C5385,METADATA!$J$5:$Q$29,IF(E5385="HI",2,IF(E5385="LO",6,10))+IF(D5385=1,2,IF(D5385=7,1,(IF(WEEKDAY(B5385)=1,2,IF(WEEKDAY(B5385)=7,1,0))))))</f>
        <v>3</v>
      </c>
      <c r="H5385" s="370">
        <v>12519.924865722656</v>
      </c>
      <c r="I5385" s="370">
        <v>9320.374755859375</v>
      </c>
      <c r="M5385" s="371">
        <f t="shared" si="337"/>
        <v>15608.263972428233</v>
      </c>
      <c r="N5385" s="329">
        <f t="shared" si="338"/>
        <v>5564.3972961425789</v>
      </c>
      <c r="T5385" s="331">
        <v>0</v>
      </c>
      <c r="U5385" s="328">
        <f>VLOOKUP(C5385,METADATA!$J$5:$Q$29,IF(E5385="HI",2,IF(E5385="LO",6,10))+IF(T5385=1,2,IF(D5385=7,1,(IF(WEEKDAY(B5385)=1,2,IF(WEEKDAY(B5385)=7,1,0))))))</f>
        <v>3</v>
      </c>
      <c r="V5385" s="328">
        <f>VLOOKUP(C5385,METADATA!$A$5:$H$29,IF(E5385="HI",2,IF(E5385="LO",6,10))+IF(T5385=1,2,IF(D5385=7,1,(IF(WEEKDAY(B5385)=1,2,IF(WEEKDAY(B5385)=7,1,0))))))</f>
        <v>3</v>
      </c>
    </row>
    <row r="5386" spans="2:22">
      <c r="B5386" s="318">
        <f t="shared" si="335"/>
        <v>46337</v>
      </c>
      <c r="C5386" s="312">
        <v>6</v>
      </c>
      <c r="D5386" s="368">
        <f>IFERROR((INDEX(METADATA!$T$2:$T$20,MATCH(B5386,METADATA!$S$2:$S$20,0))),0)</f>
        <v>0</v>
      </c>
      <c r="E5386" s="312" t="str">
        <f t="shared" si="336"/>
        <v>LO</v>
      </c>
      <c r="F5386" s="369">
        <f>VLOOKUP(C5386,METADATA!$A$5:$H$29,IF(E5386="HI",2,IF(E5386="LO",6,10))+IF(D5386=1,2,IF(D5386=7,1,(IF(WEEKDAY(B5386)=1,2,IF(WEEKDAY(B5386)=7,1,0))))))</f>
        <v>2</v>
      </c>
      <c r="G5386" s="369">
        <f>VLOOKUP(C5386,METADATA!$J$5:$Q$29,IF(E5386="HI",2,IF(E5386="LO",6,10))+IF(D5386=1,2,IF(D5386=7,1,(IF(WEEKDAY(B5386)=1,2,IF(WEEKDAY(B5386)=7,1,0))))))</f>
        <v>2</v>
      </c>
      <c r="H5386" s="370">
        <v>11645.77490234375</v>
      </c>
      <c r="I5386" s="370">
        <v>8717.2750854492188</v>
      </c>
      <c r="M5386" s="371">
        <f t="shared" si="337"/>
        <v>14546.99137249532</v>
      </c>
      <c r="N5386" s="329">
        <f t="shared" si="338"/>
        <v>5223.5426147460939</v>
      </c>
      <c r="T5386" s="331">
        <v>0</v>
      </c>
      <c r="U5386" s="328">
        <f>VLOOKUP(C5386,METADATA!$J$5:$Q$29,IF(E5386="HI",2,IF(E5386="LO",6,10))+IF(T5386=1,2,IF(D5386=7,1,(IF(WEEKDAY(B5386)=1,2,IF(WEEKDAY(B5386)=7,1,0))))))</f>
        <v>2</v>
      </c>
      <c r="V5386" s="328">
        <f>VLOOKUP(C5386,METADATA!$A$5:$H$29,IF(E5386="HI",2,IF(E5386="LO",6,10))+IF(T5386=1,2,IF(D5386=7,1,(IF(WEEKDAY(B5386)=1,2,IF(WEEKDAY(B5386)=7,1,0))))))</f>
        <v>2</v>
      </c>
    </row>
    <row r="5387" spans="2:22">
      <c r="B5387" s="318">
        <f t="shared" si="335"/>
        <v>46337</v>
      </c>
      <c r="C5387" s="312">
        <v>7</v>
      </c>
      <c r="D5387" s="368">
        <f>IFERROR((INDEX(METADATA!$T$2:$T$20,MATCH(B5387,METADATA!$S$2:$S$20,0))),0)</f>
        <v>0</v>
      </c>
      <c r="E5387" s="312" t="str">
        <f t="shared" si="336"/>
        <v>LO</v>
      </c>
      <c r="F5387" s="369">
        <f>VLOOKUP(C5387,METADATA!$A$5:$H$29,IF(E5387="HI",2,IF(E5387="LO",6,10))+IF(D5387=1,2,IF(D5387=7,1,(IF(WEEKDAY(B5387)=1,2,IF(WEEKDAY(B5387)=7,1,0))))))</f>
        <v>1</v>
      </c>
      <c r="G5387" s="369">
        <f>VLOOKUP(C5387,METADATA!$J$5:$Q$29,IF(E5387="HI",2,IF(E5387="LO",6,10))+IF(D5387=1,2,IF(D5387=7,1,(IF(WEEKDAY(B5387)=1,2,IF(WEEKDAY(B5387)=7,1,0))))))</f>
        <v>1</v>
      </c>
      <c r="H5387" s="370">
        <v>11377.125061035156</v>
      </c>
      <c r="I5387" s="370">
        <v>8386.4251098632813</v>
      </c>
      <c r="M5387" s="371">
        <f t="shared" si="337"/>
        <v>14134.040497245633</v>
      </c>
      <c r="N5387" s="329">
        <f t="shared" si="338"/>
        <v>4973.2875915527347</v>
      </c>
      <c r="T5387" s="331">
        <v>0</v>
      </c>
      <c r="U5387" s="328">
        <f>VLOOKUP(C5387,METADATA!$J$5:$Q$29,IF(E5387="HI",2,IF(E5387="LO",6,10))+IF(T5387=1,2,IF(D5387=7,1,(IF(WEEKDAY(B5387)=1,2,IF(WEEKDAY(B5387)=7,1,0))))))</f>
        <v>1</v>
      </c>
      <c r="V5387" s="328">
        <f>VLOOKUP(C5387,METADATA!$A$5:$H$29,IF(E5387="HI",2,IF(E5387="LO",6,10))+IF(T5387=1,2,IF(D5387=7,1,(IF(WEEKDAY(B5387)=1,2,IF(WEEKDAY(B5387)=7,1,0))))))</f>
        <v>1</v>
      </c>
    </row>
    <row r="5388" spans="2:22">
      <c r="B5388" s="318">
        <f t="shared" si="335"/>
        <v>46337</v>
      </c>
      <c r="C5388" s="312">
        <v>8</v>
      </c>
      <c r="D5388" s="368">
        <f>IFERROR((INDEX(METADATA!$T$2:$T$20,MATCH(B5388,METADATA!$S$2:$S$20,0))),0)</f>
        <v>0</v>
      </c>
      <c r="E5388" s="312" t="str">
        <f t="shared" si="336"/>
        <v>LO</v>
      </c>
      <c r="F5388" s="369">
        <f>VLOOKUP(C5388,METADATA!$A$5:$H$29,IF(E5388="HI",2,IF(E5388="LO",6,10))+IF(D5388=1,2,IF(D5388=7,1,(IF(WEEKDAY(B5388)=1,2,IF(WEEKDAY(B5388)=7,1,0))))))</f>
        <v>1</v>
      </c>
      <c r="G5388" s="369">
        <f>VLOOKUP(C5388,METADATA!$J$5:$Q$29,IF(E5388="HI",2,IF(E5388="LO",6,10))+IF(D5388=1,2,IF(D5388=7,1,(IF(WEEKDAY(B5388)=1,2,IF(WEEKDAY(B5388)=7,1,0))))))</f>
        <v>1</v>
      </c>
      <c r="H5388" s="370">
        <v>11225.47509765625</v>
      </c>
      <c r="I5388" s="370">
        <v>8248.8250732421875</v>
      </c>
      <c r="M5388" s="371">
        <f t="shared" si="337"/>
        <v>13930.341211077694</v>
      </c>
      <c r="N5388" s="329">
        <f t="shared" si="338"/>
        <v>4881.1825439453132</v>
      </c>
      <c r="T5388" s="331">
        <v>0</v>
      </c>
      <c r="U5388" s="328">
        <f>VLOOKUP(C5388,METADATA!$J$5:$Q$29,IF(E5388="HI",2,IF(E5388="LO",6,10))+IF(T5388=1,2,IF(D5388=7,1,(IF(WEEKDAY(B5388)=1,2,IF(WEEKDAY(B5388)=7,1,0))))))</f>
        <v>1</v>
      </c>
      <c r="V5388" s="328">
        <f>VLOOKUP(C5388,METADATA!$A$5:$H$29,IF(E5388="HI",2,IF(E5388="LO",6,10))+IF(T5388=1,2,IF(D5388=7,1,(IF(WEEKDAY(B5388)=1,2,IF(WEEKDAY(B5388)=7,1,0))))))</f>
        <v>1</v>
      </c>
    </row>
    <row r="5389" spans="2:22">
      <c r="B5389" s="318">
        <f t="shared" si="335"/>
        <v>46337</v>
      </c>
      <c r="C5389" s="312">
        <v>9</v>
      </c>
      <c r="D5389" s="368">
        <f>IFERROR((INDEX(METADATA!$T$2:$T$20,MATCH(B5389,METADATA!$S$2:$S$20,0))),0)</f>
        <v>0</v>
      </c>
      <c r="E5389" s="312" t="str">
        <f t="shared" si="336"/>
        <v>LO</v>
      </c>
      <c r="F5389" s="369">
        <f>VLOOKUP(C5389,METADATA!$A$5:$H$29,IF(E5389="HI",2,IF(E5389="LO",6,10))+IF(D5389=1,2,IF(D5389=7,1,(IF(WEEKDAY(B5389)=1,2,IF(WEEKDAY(B5389)=7,1,0))))))</f>
        <v>2</v>
      </c>
      <c r="G5389" s="369">
        <f>VLOOKUP(C5389,METADATA!$J$5:$Q$29,IF(E5389="HI",2,IF(E5389="LO",6,10))+IF(D5389=1,2,IF(D5389=7,1,(IF(WEEKDAY(B5389)=1,2,IF(WEEKDAY(B5389)=7,1,0))))))</f>
        <v>2</v>
      </c>
      <c r="H5389" s="370">
        <v>11407.575073242188</v>
      </c>
      <c r="I5389" s="370">
        <v>8422.47509765625</v>
      </c>
      <c r="M5389" s="371">
        <f t="shared" si="337"/>
        <v>14179.945550752165</v>
      </c>
      <c r="N5389" s="329">
        <f t="shared" si="338"/>
        <v>5000.2025756835938</v>
      </c>
      <c r="T5389" s="331">
        <v>0</v>
      </c>
      <c r="U5389" s="328">
        <f>VLOOKUP(C5389,METADATA!$J$5:$Q$29,IF(E5389="HI",2,IF(E5389="LO",6,10))+IF(T5389=1,2,IF(D5389=7,1,(IF(WEEKDAY(B5389)=1,2,IF(WEEKDAY(B5389)=7,1,0))))))</f>
        <v>2</v>
      </c>
      <c r="V5389" s="328">
        <f>VLOOKUP(C5389,METADATA!$A$5:$H$29,IF(E5389="HI",2,IF(E5389="LO",6,10))+IF(T5389=1,2,IF(D5389=7,1,(IF(WEEKDAY(B5389)=1,2,IF(WEEKDAY(B5389)=7,1,0))))))</f>
        <v>2</v>
      </c>
    </row>
    <row r="5390" spans="2:22">
      <c r="B5390" s="318">
        <f t="shared" si="335"/>
        <v>46337</v>
      </c>
      <c r="C5390" s="312">
        <v>10</v>
      </c>
      <c r="D5390" s="368">
        <f>IFERROR((INDEX(METADATA!$T$2:$T$20,MATCH(B5390,METADATA!$S$2:$S$20,0))),0)</f>
        <v>0</v>
      </c>
      <c r="E5390" s="312" t="str">
        <f t="shared" si="336"/>
        <v>LO</v>
      </c>
      <c r="F5390" s="369">
        <f>VLOOKUP(C5390,METADATA!$A$5:$H$29,IF(E5390="HI",2,IF(E5390="LO",6,10))+IF(D5390=1,2,IF(D5390=7,1,(IF(WEEKDAY(B5390)=1,2,IF(WEEKDAY(B5390)=7,1,0))))))</f>
        <v>2</v>
      </c>
      <c r="G5390" s="369">
        <f>VLOOKUP(C5390,METADATA!$J$5:$Q$29,IF(E5390="HI",2,IF(E5390="LO",6,10))+IF(D5390=1,2,IF(D5390=7,1,(IF(WEEKDAY(B5390)=1,2,IF(WEEKDAY(B5390)=7,1,0))))))</f>
        <v>2</v>
      </c>
      <c r="H5390" s="370">
        <v>10823.950103759766</v>
      </c>
      <c r="I5390" s="370">
        <v>4092.6850357055664</v>
      </c>
      <c r="M5390" s="371">
        <f t="shared" si="337"/>
        <v>11571.86098474093</v>
      </c>
      <c r="N5390" s="329">
        <f t="shared" si="338"/>
        <v>845.5000045776369</v>
      </c>
      <c r="T5390" s="331">
        <v>0</v>
      </c>
      <c r="U5390" s="328">
        <f>VLOOKUP(C5390,METADATA!$J$5:$Q$29,IF(E5390="HI",2,IF(E5390="LO",6,10))+IF(T5390=1,2,IF(D5390=7,1,(IF(WEEKDAY(B5390)=1,2,IF(WEEKDAY(B5390)=7,1,0))))))</f>
        <v>2</v>
      </c>
      <c r="V5390" s="328">
        <f>VLOOKUP(C5390,METADATA!$A$5:$H$29,IF(E5390="HI",2,IF(E5390="LO",6,10))+IF(T5390=1,2,IF(D5390=7,1,(IF(WEEKDAY(B5390)=1,2,IF(WEEKDAY(B5390)=7,1,0))))))</f>
        <v>2</v>
      </c>
    </row>
    <row r="5391" spans="2:22">
      <c r="B5391" s="318">
        <f t="shared" si="335"/>
        <v>46337</v>
      </c>
      <c r="C5391" s="312">
        <v>11</v>
      </c>
      <c r="D5391" s="368">
        <f>IFERROR((INDEX(METADATA!$T$2:$T$20,MATCH(B5391,METADATA!$S$2:$S$20,0))),0)</f>
        <v>0</v>
      </c>
      <c r="E5391" s="312" t="str">
        <f t="shared" si="336"/>
        <v>LO</v>
      </c>
      <c r="F5391" s="369">
        <f>VLOOKUP(C5391,METADATA!$A$5:$H$29,IF(E5391="HI",2,IF(E5391="LO",6,10))+IF(D5391=1,2,IF(D5391=7,1,(IF(WEEKDAY(B5391)=1,2,IF(WEEKDAY(B5391)=7,1,0))))))</f>
        <v>2</v>
      </c>
      <c r="G5391" s="369">
        <f>VLOOKUP(C5391,METADATA!$J$5:$Q$29,IF(E5391="HI",2,IF(E5391="LO",6,10))+IF(D5391=1,2,IF(D5391=7,1,(IF(WEEKDAY(B5391)=1,2,IF(WEEKDAY(B5391)=7,1,0))))))</f>
        <v>2</v>
      </c>
      <c r="H5391" s="370">
        <v>10850.259826660156</v>
      </c>
      <c r="I5391" s="370">
        <v>2357.1074829101563</v>
      </c>
      <c r="M5391" s="371">
        <f t="shared" si="337"/>
        <v>11103.337065586469</v>
      </c>
      <c r="N5391" s="329">
        <f t="shared" si="338"/>
        <v>0</v>
      </c>
      <c r="T5391" s="331">
        <v>0</v>
      </c>
      <c r="U5391" s="328">
        <f>VLOOKUP(C5391,METADATA!$J$5:$Q$29,IF(E5391="HI",2,IF(E5391="LO",6,10))+IF(T5391=1,2,IF(D5391=7,1,(IF(WEEKDAY(B5391)=1,2,IF(WEEKDAY(B5391)=7,1,0))))))</f>
        <v>2</v>
      </c>
      <c r="V5391" s="328">
        <f>VLOOKUP(C5391,METADATA!$A$5:$H$29,IF(E5391="HI",2,IF(E5391="LO",6,10))+IF(T5391=1,2,IF(D5391=7,1,(IF(WEEKDAY(B5391)=1,2,IF(WEEKDAY(B5391)=7,1,0))))))</f>
        <v>2</v>
      </c>
    </row>
    <row r="5392" spans="2:22">
      <c r="B5392" s="318">
        <f t="shared" si="335"/>
        <v>46337</v>
      </c>
      <c r="C5392" s="312">
        <v>12</v>
      </c>
      <c r="D5392" s="368">
        <f>IFERROR((INDEX(METADATA!$T$2:$T$20,MATCH(B5392,METADATA!$S$2:$S$20,0))),0)</f>
        <v>0</v>
      </c>
      <c r="E5392" s="312" t="str">
        <f t="shared" si="336"/>
        <v>LO</v>
      </c>
      <c r="F5392" s="369">
        <f>VLOOKUP(C5392,METADATA!$A$5:$H$29,IF(E5392="HI",2,IF(E5392="LO",6,10))+IF(D5392=1,2,IF(D5392=7,1,(IF(WEEKDAY(B5392)=1,2,IF(WEEKDAY(B5392)=7,1,0))))))</f>
        <v>2</v>
      </c>
      <c r="G5392" s="369">
        <f>VLOOKUP(C5392,METADATA!$J$5:$Q$29,IF(E5392="HI",2,IF(E5392="LO",6,10))+IF(D5392=1,2,IF(D5392=7,1,(IF(WEEKDAY(B5392)=1,2,IF(WEEKDAY(B5392)=7,1,0))))))</f>
        <v>2</v>
      </c>
      <c r="H5392" s="370">
        <v>11934.125061035156</v>
      </c>
      <c r="I5392" s="370">
        <v>2694.870002746582</v>
      </c>
      <c r="M5392" s="371">
        <f t="shared" si="337"/>
        <v>12234.60932372304</v>
      </c>
      <c r="N5392" s="329">
        <f t="shared" si="338"/>
        <v>0</v>
      </c>
      <c r="T5392" s="331">
        <v>0</v>
      </c>
      <c r="U5392" s="328">
        <f>VLOOKUP(C5392,METADATA!$J$5:$Q$29,IF(E5392="HI",2,IF(E5392="LO",6,10))+IF(T5392=1,2,IF(D5392=7,1,(IF(WEEKDAY(B5392)=1,2,IF(WEEKDAY(B5392)=7,1,0))))))</f>
        <v>2</v>
      </c>
      <c r="V5392" s="328">
        <f>VLOOKUP(C5392,METADATA!$A$5:$H$29,IF(E5392="HI",2,IF(E5392="LO",6,10))+IF(T5392=1,2,IF(D5392=7,1,(IF(WEEKDAY(B5392)=1,2,IF(WEEKDAY(B5392)=7,1,0))))))</f>
        <v>2</v>
      </c>
    </row>
    <row r="5393" spans="2:22">
      <c r="B5393" s="318">
        <f t="shared" si="335"/>
        <v>46337</v>
      </c>
      <c r="C5393" s="312">
        <v>13</v>
      </c>
      <c r="D5393" s="368">
        <f>IFERROR((INDEX(METADATA!$T$2:$T$20,MATCH(B5393,METADATA!$S$2:$S$20,0))),0)</f>
        <v>0</v>
      </c>
      <c r="E5393" s="312" t="str">
        <f t="shared" si="336"/>
        <v>LO</v>
      </c>
      <c r="F5393" s="369">
        <f>VLOOKUP(C5393,METADATA!$A$5:$H$29,IF(E5393="HI",2,IF(E5393="LO",6,10))+IF(D5393=1,2,IF(D5393=7,1,(IF(WEEKDAY(B5393)=1,2,IF(WEEKDAY(B5393)=7,1,0))))))</f>
        <v>2</v>
      </c>
      <c r="G5393" s="369">
        <f>VLOOKUP(C5393,METADATA!$J$5:$Q$29,IF(E5393="HI",2,IF(E5393="LO",6,10))+IF(D5393=1,2,IF(D5393=7,1,(IF(WEEKDAY(B5393)=1,2,IF(WEEKDAY(B5393)=7,1,0))))))</f>
        <v>2</v>
      </c>
      <c r="H5393" s="370">
        <v>11829.425048828125</v>
      </c>
      <c r="I5393" s="370">
        <v>2699.714927315712</v>
      </c>
      <c r="M5393" s="371">
        <f t="shared" si="337"/>
        <v>12133.579755151139</v>
      </c>
      <c r="N5393" s="329">
        <f t="shared" si="338"/>
        <v>0</v>
      </c>
      <c r="T5393" s="331">
        <v>0</v>
      </c>
      <c r="U5393" s="328">
        <f>VLOOKUP(C5393,METADATA!$J$5:$Q$29,IF(E5393="HI",2,IF(E5393="LO",6,10))+IF(T5393=1,2,IF(D5393=7,1,(IF(WEEKDAY(B5393)=1,2,IF(WEEKDAY(B5393)=7,1,0))))))</f>
        <v>2</v>
      </c>
      <c r="V5393" s="328">
        <f>VLOOKUP(C5393,METADATA!$A$5:$H$29,IF(E5393="HI",2,IF(E5393="LO",6,10))+IF(T5393=1,2,IF(D5393=7,1,(IF(WEEKDAY(B5393)=1,2,IF(WEEKDAY(B5393)=7,1,0))))))</f>
        <v>2</v>
      </c>
    </row>
    <row r="5394" spans="2:22">
      <c r="B5394" s="318">
        <f t="shared" si="335"/>
        <v>46337</v>
      </c>
      <c r="C5394" s="312">
        <v>14</v>
      </c>
      <c r="D5394" s="368">
        <f>IFERROR((INDEX(METADATA!$T$2:$T$20,MATCH(B5394,METADATA!$S$2:$S$20,0))),0)</f>
        <v>0</v>
      </c>
      <c r="E5394" s="312" t="str">
        <f t="shared" si="336"/>
        <v>LO</v>
      </c>
      <c r="F5394" s="369">
        <f>VLOOKUP(C5394,METADATA!$A$5:$H$29,IF(E5394="HI",2,IF(E5394="LO",6,10))+IF(D5394=1,2,IF(D5394=7,1,(IF(WEEKDAY(B5394)=1,2,IF(WEEKDAY(B5394)=7,1,0))))))</f>
        <v>2</v>
      </c>
      <c r="G5394" s="369">
        <f>VLOOKUP(C5394,METADATA!$J$5:$Q$29,IF(E5394="HI",2,IF(E5394="LO",6,10))+IF(D5394=1,2,IF(D5394=7,1,(IF(WEEKDAY(B5394)=1,2,IF(WEEKDAY(B5394)=7,1,0))))))</f>
        <v>2</v>
      </c>
      <c r="H5394" s="370">
        <v>11763.525024414063</v>
      </c>
      <c r="I5394" s="370">
        <v>2776.5599510669708</v>
      </c>
      <c r="M5394" s="371">
        <f t="shared" si="337"/>
        <v>12086.761607721272</v>
      </c>
      <c r="N5394" s="329">
        <f t="shared" si="338"/>
        <v>0</v>
      </c>
      <c r="T5394" s="331">
        <v>0</v>
      </c>
      <c r="U5394" s="328">
        <f>VLOOKUP(C5394,METADATA!$J$5:$Q$29,IF(E5394="HI",2,IF(E5394="LO",6,10))+IF(T5394=1,2,IF(D5394=7,1,(IF(WEEKDAY(B5394)=1,2,IF(WEEKDAY(B5394)=7,1,0))))))</f>
        <v>2</v>
      </c>
      <c r="V5394" s="328">
        <f>VLOOKUP(C5394,METADATA!$A$5:$H$29,IF(E5394="HI",2,IF(E5394="LO",6,10))+IF(T5394=1,2,IF(D5394=7,1,(IF(WEEKDAY(B5394)=1,2,IF(WEEKDAY(B5394)=7,1,0))))))</f>
        <v>2</v>
      </c>
    </row>
    <row r="5395" spans="2:22">
      <c r="B5395" s="318">
        <f t="shared" si="335"/>
        <v>46337</v>
      </c>
      <c r="C5395" s="312">
        <v>15</v>
      </c>
      <c r="D5395" s="368">
        <f>IFERROR((INDEX(METADATA!$T$2:$T$20,MATCH(B5395,METADATA!$S$2:$S$20,0))),0)</f>
        <v>0</v>
      </c>
      <c r="E5395" s="312" t="str">
        <f t="shared" si="336"/>
        <v>LO</v>
      </c>
      <c r="F5395" s="369">
        <f>VLOOKUP(C5395,METADATA!$A$5:$H$29,IF(E5395="HI",2,IF(E5395="LO",6,10))+IF(D5395=1,2,IF(D5395=7,1,(IF(WEEKDAY(B5395)=1,2,IF(WEEKDAY(B5395)=7,1,0))))))</f>
        <v>2</v>
      </c>
      <c r="G5395" s="369">
        <f>VLOOKUP(C5395,METADATA!$J$5:$Q$29,IF(E5395="HI",2,IF(E5395="LO",6,10))+IF(D5395=1,2,IF(D5395=7,1,(IF(WEEKDAY(B5395)=1,2,IF(WEEKDAY(B5395)=7,1,0))))))</f>
        <v>2</v>
      </c>
      <c r="H5395" s="370">
        <v>11565.699951171875</v>
      </c>
      <c r="I5395" s="370">
        <v>2691.0599517822266</v>
      </c>
      <c r="M5395" s="371">
        <f t="shared" si="337"/>
        <v>11874.646058919958</v>
      </c>
      <c r="N5395" s="329">
        <f t="shared" si="338"/>
        <v>0</v>
      </c>
      <c r="T5395" s="331">
        <v>0</v>
      </c>
      <c r="U5395" s="328">
        <f>VLOOKUP(C5395,METADATA!$J$5:$Q$29,IF(E5395="HI",2,IF(E5395="LO",6,10))+IF(T5395=1,2,IF(D5395=7,1,(IF(WEEKDAY(B5395)=1,2,IF(WEEKDAY(B5395)=7,1,0))))))</f>
        <v>2</v>
      </c>
      <c r="V5395" s="328">
        <f>VLOOKUP(C5395,METADATA!$A$5:$H$29,IF(E5395="HI",2,IF(E5395="LO",6,10))+IF(T5395=1,2,IF(D5395=7,1,(IF(WEEKDAY(B5395)=1,2,IF(WEEKDAY(B5395)=7,1,0))))))</f>
        <v>2</v>
      </c>
    </row>
    <row r="5396" spans="2:22">
      <c r="B5396" s="318">
        <f t="shared" si="335"/>
        <v>46337</v>
      </c>
      <c r="C5396" s="312">
        <v>16</v>
      </c>
      <c r="D5396" s="368">
        <f>IFERROR((INDEX(METADATA!$T$2:$T$20,MATCH(B5396,METADATA!$S$2:$S$20,0))),0)</f>
        <v>0</v>
      </c>
      <c r="E5396" s="312" t="str">
        <f t="shared" si="336"/>
        <v>LO</v>
      </c>
      <c r="F5396" s="369">
        <f>VLOOKUP(C5396,METADATA!$A$5:$H$29,IF(E5396="HI",2,IF(E5396="LO",6,10))+IF(D5396=1,2,IF(D5396=7,1,(IF(WEEKDAY(B5396)=1,2,IF(WEEKDAY(B5396)=7,1,0))))))</f>
        <v>2</v>
      </c>
      <c r="G5396" s="369">
        <f>VLOOKUP(C5396,METADATA!$J$5:$Q$29,IF(E5396="HI",2,IF(E5396="LO",6,10))+IF(D5396=1,2,IF(D5396=7,1,(IF(WEEKDAY(B5396)=1,2,IF(WEEKDAY(B5396)=7,1,0))))))</f>
        <v>2</v>
      </c>
      <c r="H5396" s="370">
        <v>10069.952392578125</v>
      </c>
      <c r="I5396" s="370">
        <v>1879.6624717712402</v>
      </c>
      <c r="M5396" s="371">
        <f t="shared" si="337"/>
        <v>10243.879743367504</v>
      </c>
      <c r="N5396" s="329">
        <f t="shared" si="338"/>
        <v>0</v>
      </c>
      <c r="T5396" s="331">
        <v>0</v>
      </c>
      <c r="U5396" s="328">
        <f>VLOOKUP(C5396,METADATA!$J$5:$Q$29,IF(E5396="HI",2,IF(E5396="LO",6,10))+IF(T5396=1,2,IF(D5396=7,1,(IF(WEEKDAY(B5396)=1,2,IF(WEEKDAY(B5396)=7,1,0))))))</f>
        <v>2</v>
      </c>
      <c r="V5396" s="328">
        <f>VLOOKUP(C5396,METADATA!$A$5:$H$29,IF(E5396="HI",2,IF(E5396="LO",6,10))+IF(T5396=1,2,IF(D5396=7,1,(IF(WEEKDAY(B5396)=1,2,IF(WEEKDAY(B5396)=7,1,0))))))</f>
        <v>2</v>
      </c>
    </row>
    <row r="5397" spans="2:22">
      <c r="B5397" s="318">
        <f t="shared" si="335"/>
        <v>46337</v>
      </c>
      <c r="C5397" s="312">
        <v>17</v>
      </c>
      <c r="D5397" s="368">
        <f>IFERROR((INDEX(METADATA!$T$2:$T$20,MATCH(B5397,METADATA!$S$2:$S$20,0))),0)</f>
        <v>0</v>
      </c>
      <c r="E5397" s="312" t="str">
        <f t="shared" si="336"/>
        <v>LO</v>
      </c>
      <c r="F5397" s="369">
        <f>VLOOKUP(C5397,METADATA!$A$5:$H$29,IF(E5397="HI",2,IF(E5397="LO",6,10))+IF(D5397=1,2,IF(D5397=7,1,(IF(WEEKDAY(B5397)=1,2,IF(WEEKDAY(B5397)=7,1,0))))))</f>
        <v>2</v>
      </c>
      <c r="G5397" s="369">
        <f>VLOOKUP(C5397,METADATA!$J$5:$Q$29,IF(E5397="HI",2,IF(E5397="LO",6,10))+IF(D5397=1,2,IF(D5397=7,1,(IF(WEEKDAY(B5397)=1,2,IF(WEEKDAY(B5397)=7,1,0))))))</f>
        <v>2</v>
      </c>
      <c r="H5397" s="370">
        <v>10118.980041503906</v>
      </c>
      <c r="I5397" s="370">
        <v>1921.9674606323242</v>
      </c>
      <c r="M5397" s="371">
        <f t="shared" si="337"/>
        <v>10299.88912562091</v>
      </c>
      <c r="N5397" s="329">
        <f t="shared" si="338"/>
        <v>0</v>
      </c>
      <c r="T5397" s="331">
        <v>0</v>
      </c>
      <c r="U5397" s="328">
        <f>VLOOKUP(C5397,METADATA!$J$5:$Q$29,IF(E5397="HI",2,IF(E5397="LO",6,10))+IF(T5397=1,2,IF(D5397=7,1,(IF(WEEKDAY(B5397)=1,2,IF(WEEKDAY(B5397)=7,1,0))))))</f>
        <v>2</v>
      </c>
      <c r="V5397" s="328">
        <f>VLOOKUP(C5397,METADATA!$A$5:$H$29,IF(E5397="HI",2,IF(E5397="LO",6,10))+IF(T5397=1,2,IF(D5397=7,1,(IF(WEEKDAY(B5397)=1,2,IF(WEEKDAY(B5397)=7,1,0))))))</f>
        <v>2</v>
      </c>
    </row>
    <row r="5398" spans="2:22">
      <c r="B5398" s="318">
        <f t="shared" si="335"/>
        <v>46337</v>
      </c>
      <c r="C5398" s="312">
        <v>18</v>
      </c>
      <c r="D5398" s="368">
        <f>IFERROR((INDEX(METADATA!$T$2:$T$20,MATCH(B5398,METADATA!$S$2:$S$20,0))),0)</f>
        <v>0</v>
      </c>
      <c r="E5398" s="312" t="str">
        <f t="shared" si="336"/>
        <v>LO</v>
      </c>
      <c r="F5398" s="369">
        <f>VLOOKUP(C5398,METADATA!$A$5:$H$29,IF(E5398="HI",2,IF(E5398="LO",6,10))+IF(D5398=1,2,IF(D5398=7,1,(IF(WEEKDAY(B5398)=1,2,IF(WEEKDAY(B5398)=7,1,0))))))</f>
        <v>1</v>
      </c>
      <c r="G5398" s="369">
        <f>VLOOKUP(C5398,METADATA!$J$5:$Q$29,IF(E5398="HI",2,IF(E5398="LO",6,10))+IF(D5398=1,2,IF(D5398=7,1,(IF(WEEKDAY(B5398)=1,2,IF(WEEKDAY(B5398)=7,1,0))))))</f>
        <v>1</v>
      </c>
      <c r="H5398" s="370">
        <v>10543.145050048828</v>
      </c>
      <c r="I5398" s="370">
        <v>2127.9600839614868</v>
      </c>
      <c r="M5398" s="371">
        <f t="shared" si="337"/>
        <v>10755.748308011976</v>
      </c>
      <c r="N5398" s="329">
        <f t="shared" si="338"/>
        <v>0</v>
      </c>
      <c r="T5398" s="331">
        <v>0</v>
      </c>
      <c r="U5398" s="328">
        <f>VLOOKUP(C5398,METADATA!$J$5:$Q$29,IF(E5398="HI",2,IF(E5398="LO",6,10))+IF(T5398=1,2,IF(D5398=7,1,(IF(WEEKDAY(B5398)=1,2,IF(WEEKDAY(B5398)=7,1,0))))))</f>
        <v>1</v>
      </c>
      <c r="V5398" s="328">
        <f>VLOOKUP(C5398,METADATA!$A$5:$H$29,IF(E5398="HI",2,IF(E5398="LO",6,10))+IF(T5398=1,2,IF(D5398=7,1,(IF(WEEKDAY(B5398)=1,2,IF(WEEKDAY(B5398)=7,1,0))))))</f>
        <v>1</v>
      </c>
    </row>
    <row r="5399" spans="2:22">
      <c r="B5399" s="318">
        <f t="shared" si="335"/>
        <v>46337</v>
      </c>
      <c r="C5399" s="312">
        <v>19</v>
      </c>
      <c r="D5399" s="368">
        <f>IFERROR((INDEX(METADATA!$T$2:$T$20,MATCH(B5399,METADATA!$S$2:$S$20,0))),0)</f>
        <v>0</v>
      </c>
      <c r="E5399" s="312" t="str">
        <f t="shared" si="336"/>
        <v>LO</v>
      </c>
      <c r="F5399" s="369">
        <f>VLOOKUP(C5399,METADATA!$A$5:$H$29,IF(E5399="HI",2,IF(E5399="LO",6,10))+IF(D5399=1,2,IF(D5399=7,1,(IF(WEEKDAY(B5399)=1,2,IF(WEEKDAY(B5399)=7,1,0))))))</f>
        <v>1</v>
      </c>
      <c r="G5399" s="369">
        <f>VLOOKUP(C5399,METADATA!$J$5:$Q$29,IF(E5399="HI",2,IF(E5399="LO",6,10))+IF(D5399=1,2,IF(D5399=7,1,(IF(WEEKDAY(B5399)=1,2,IF(WEEKDAY(B5399)=7,1,0))))))</f>
        <v>1</v>
      </c>
      <c r="H5399" s="370">
        <v>11744.149963378906</v>
      </c>
      <c r="I5399" s="370">
        <v>2746.8499927520752</v>
      </c>
      <c r="M5399" s="371">
        <f t="shared" si="337"/>
        <v>12061.104561565448</v>
      </c>
      <c r="N5399" s="329">
        <f t="shared" si="338"/>
        <v>0</v>
      </c>
      <c r="T5399" s="331">
        <v>0</v>
      </c>
      <c r="U5399" s="328">
        <f>VLOOKUP(C5399,METADATA!$J$5:$Q$29,IF(E5399="HI",2,IF(E5399="LO",6,10))+IF(T5399=1,2,IF(D5399=7,1,(IF(WEEKDAY(B5399)=1,2,IF(WEEKDAY(B5399)=7,1,0))))))</f>
        <v>1</v>
      </c>
      <c r="V5399" s="328">
        <f>VLOOKUP(C5399,METADATA!$A$5:$H$29,IF(E5399="HI",2,IF(E5399="LO",6,10))+IF(T5399=1,2,IF(D5399=7,1,(IF(WEEKDAY(B5399)=1,2,IF(WEEKDAY(B5399)=7,1,0))))))</f>
        <v>1</v>
      </c>
    </row>
    <row r="5400" spans="2:22">
      <c r="B5400" s="318">
        <f t="shared" si="335"/>
        <v>46337</v>
      </c>
      <c r="C5400" s="312">
        <v>20</v>
      </c>
      <c r="D5400" s="368">
        <f>IFERROR((INDEX(METADATA!$T$2:$T$20,MATCH(B5400,METADATA!$S$2:$S$20,0))),0)</f>
        <v>0</v>
      </c>
      <c r="E5400" s="312" t="str">
        <f t="shared" si="336"/>
        <v>LO</v>
      </c>
      <c r="F5400" s="369">
        <f>VLOOKUP(C5400,METADATA!$A$5:$H$29,IF(E5400="HI",2,IF(E5400="LO",6,10))+IF(D5400=1,2,IF(D5400=7,1,(IF(WEEKDAY(B5400)=1,2,IF(WEEKDAY(B5400)=7,1,0))))))</f>
        <v>1</v>
      </c>
      <c r="G5400" s="369">
        <f>VLOOKUP(C5400,METADATA!$J$5:$Q$29,IF(E5400="HI",2,IF(E5400="LO",6,10))+IF(D5400=1,2,IF(D5400=7,1,(IF(WEEKDAY(B5400)=1,2,IF(WEEKDAY(B5400)=7,1,0))))))</f>
        <v>1</v>
      </c>
      <c r="H5400" s="370">
        <v>11800.325073242188</v>
      </c>
      <c r="I5400" s="370">
        <v>2843.6100959777832</v>
      </c>
      <c r="M5400" s="371">
        <f t="shared" si="337"/>
        <v>12138.113124045887</v>
      </c>
      <c r="N5400" s="329">
        <f t="shared" si="338"/>
        <v>0</v>
      </c>
      <c r="T5400" s="331">
        <v>0</v>
      </c>
      <c r="U5400" s="328">
        <f>VLOOKUP(C5400,METADATA!$J$5:$Q$29,IF(E5400="HI",2,IF(E5400="LO",6,10))+IF(T5400=1,2,IF(D5400=7,1,(IF(WEEKDAY(B5400)=1,2,IF(WEEKDAY(B5400)=7,1,0))))))</f>
        <v>1</v>
      </c>
      <c r="V5400" s="328">
        <f>VLOOKUP(C5400,METADATA!$A$5:$H$29,IF(E5400="HI",2,IF(E5400="LO",6,10))+IF(T5400=1,2,IF(D5400=7,1,(IF(WEEKDAY(B5400)=1,2,IF(WEEKDAY(B5400)=7,1,0))))))</f>
        <v>1</v>
      </c>
    </row>
    <row r="5401" spans="2:22">
      <c r="B5401" s="318">
        <f t="shared" si="335"/>
        <v>46337</v>
      </c>
      <c r="C5401" s="312">
        <v>21</v>
      </c>
      <c r="D5401" s="368">
        <f>IFERROR((INDEX(METADATA!$T$2:$T$20,MATCH(B5401,METADATA!$S$2:$S$20,0))),0)</f>
        <v>0</v>
      </c>
      <c r="E5401" s="312" t="str">
        <f t="shared" si="336"/>
        <v>LO</v>
      </c>
      <c r="F5401" s="369">
        <f>VLOOKUP(C5401,METADATA!$A$5:$H$29,IF(E5401="HI",2,IF(E5401="LO",6,10))+IF(D5401=1,2,IF(D5401=7,1,(IF(WEEKDAY(B5401)=1,2,IF(WEEKDAY(B5401)=7,1,0))))))</f>
        <v>2</v>
      </c>
      <c r="G5401" s="369">
        <f>VLOOKUP(C5401,METADATA!$J$5:$Q$29,IF(E5401="HI",2,IF(E5401="LO",6,10))+IF(D5401=1,2,IF(D5401=7,1,(IF(WEEKDAY(B5401)=1,2,IF(WEEKDAY(B5401)=7,1,0))))))</f>
        <v>2</v>
      </c>
      <c r="H5401" s="370">
        <v>11799.5498046875</v>
      </c>
      <c r="I5401" s="370">
        <v>2844.1650009155273</v>
      </c>
      <c r="M5401" s="371">
        <f t="shared" si="337"/>
        <v>12137.489449871158</v>
      </c>
      <c r="N5401" s="329">
        <f t="shared" si="338"/>
        <v>0</v>
      </c>
      <c r="T5401" s="331">
        <v>0</v>
      </c>
      <c r="U5401" s="328">
        <f>VLOOKUP(C5401,METADATA!$J$5:$Q$29,IF(E5401="HI",2,IF(E5401="LO",6,10))+IF(T5401=1,2,IF(D5401=7,1,(IF(WEEKDAY(B5401)=1,2,IF(WEEKDAY(B5401)=7,1,0))))))</f>
        <v>2</v>
      </c>
      <c r="V5401" s="328">
        <f>VLOOKUP(C5401,METADATA!$A$5:$H$29,IF(E5401="HI",2,IF(E5401="LO",6,10))+IF(T5401=1,2,IF(D5401=7,1,(IF(WEEKDAY(B5401)=1,2,IF(WEEKDAY(B5401)=7,1,0))))))</f>
        <v>2</v>
      </c>
    </row>
    <row r="5402" spans="2:22">
      <c r="B5402" s="318">
        <f t="shared" si="335"/>
        <v>46337</v>
      </c>
      <c r="C5402" s="312">
        <v>22</v>
      </c>
      <c r="D5402" s="368">
        <f>IFERROR((INDEX(METADATA!$T$2:$T$20,MATCH(B5402,METADATA!$S$2:$S$20,0))),0)</f>
        <v>0</v>
      </c>
      <c r="E5402" s="312" t="str">
        <f t="shared" si="336"/>
        <v>LO</v>
      </c>
      <c r="F5402" s="369">
        <f>VLOOKUP(C5402,METADATA!$A$5:$H$29,IF(E5402="HI",2,IF(E5402="LO",6,10))+IF(D5402=1,2,IF(D5402=7,1,(IF(WEEKDAY(B5402)=1,2,IF(WEEKDAY(B5402)=7,1,0))))))</f>
        <v>3</v>
      </c>
      <c r="G5402" s="369">
        <f>VLOOKUP(C5402,METADATA!$J$5:$Q$29,IF(E5402="HI",2,IF(E5402="LO",6,10))+IF(D5402=1,2,IF(D5402=7,1,(IF(WEEKDAY(B5402)=1,2,IF(WEEKDAY(B5402)=7,1,0))))))</f>
        <v>3</v>
      </c>
      <c r="H5402" s="370">
        <v>11648.950073242188</v>
      </c>
      <c r="I5402" s="370">
        <v>2805.964916229248</v>
      </c>
      <c r="M5402" s="371">
        <f t="shared" si="337"/>
        <v>11982.131568297795</v>
      </c>
      <c r="N5402" s="329">
        <f t="shared" si="338"/>
        <v>0</v>
      </c>
      <c r="T5402" s="331">
        <v>0</v>
      </c>
      <c r="U5402" s="328">
        <f>VLOOKUP(C5402,METADATA!$J$5:$Q$29,IF(E5402="HI",2,IF(E5402="LO",6,10))+IF(T5402=1,2,IF(D5402=7,1,(IF(WEEKDAY(B5402)=1,2,IF(WEEKDAY(B5402)=7,1,0))))))</f>
        <v>3</v>
      </c>
      <c r="V5402" s="328">
        <f>VLOOKUP(C5402,METADATA!$A$5:$H$29,IF(E5402="HI",2,IF(E5402="LO",6,10))+IF(T5402=1,2,IF(D5402=7,1,(IF(WEEKDAY(B5402)=1,2,IF(WEEKDAY(B5402)=7,1,0))))))</f>
        <v>3</v>
      </c>
    </row>
    <row r="5403" spans="2:22">
      <c r="B5403" s="318">
        <f t="shared" si="335"/>
        <v>46337</v>
      </c>
      <c r="C5403" s="312">
        <v>23</v>
      </c>
      <c r="D5403" s="368">
        <f>IFERROR((INDEX(METADATA!$T$2:$T$20,MATCH(B5403,METADATA!$S$2:$S$20,0))),0)</f>
        <v>0</v>
      </c>
      <c r="E5403" s="312" t="str">
        <f t="shared" si="336"/>
        <v>LO</v>
      </c>
      <c r="F5403" s="369">
        <f>VLOOKUP(C5403,METADATA!$A$5:$H$29,IF(E5403="HI",2,IF(E5403="LO",6,10))+IF(D5403=1,2,IF(D5403=7,1,(IF(WEEKDAY(B5403)=1,2,IF(WEEKDAY(B5403)=7,1,0))))))</f>
        <v>3</v>
      </c>
      <c r="G5403" s="369">
        <f>VLOOKUP(C5403,METADATA!$J$5:$Q$29,IF(E5403="HI",2,IF(E5403="LO",6,10))+IF(D5403=1,2,IF(D5403=7,1,(IF(WEEKDAY(B5403)=1,2,IF(WEEKDAY(B5403)=7,1,0))))))</f>
        <v>3</v>
      </c>
      <c r="H5403" s="370">
        <v>11455.550109863281</v>
      </c>
      <c r="I5403" s="370">
        <v>2743.5899467468262</v>
      </c>
      <c r="M5403" s="371">
        <f t="shared" si="337"/>
        <v>11779.512473590699</v>
      </c>
      <c r="N5403" s="329">
        <f t="shared" si="338"/>
        <v>0</v>
      </c>
      <c r="T5403" s="331">
        <v>0</v>
      </c>
      <c r="U5403" s="328">
        <f>VLOOKUP(C5403,METADATA!$J$5:$Q$29,IF(E5403="HI",2,IF(E5403="LO",6,10))+IF(T5403=1,2,IF(D5403=7,1,(IF(WEEKDAY(B5403)=1,2,IF(WEEKDAY(B5403)=7,1,0))))))</f>
        <v>3</v>
      </c>
      <c r="V5403" s="328">
        <f>VLOOKUP(C5403,METADATA!$A$5:$H$29,IF(E5403="HI",2,IF(E5403="LO",6,10))+IF(T5403=1,2,IF(D5403=7,1,(IF(WEEKDAY(B5403)=1,2,IF(WEEKDAY(B5403)=7,1,0))))))</f>
        <v>3</v>
      </c>
    </row>
    <row r="5404" spans="2:22">
      <c r="B5404" s="318">
        <f t="shared" ref="B5404:B5467" si="339">B5380+1</f>
        <v>46338</v>
      </c>
      <c r="C5404" s="312">
        <v>0</v>
      </c>
      <c r="D5404" s="368">
        <f>IFERROR((INDEX(METADATA!$T$2:$T$20,MATCH(B5404,METADATA!$S$2:$S$20,0))),0)</f>
        <v>0</v>
      </c>
      <c r="E5404" s="312" t="str">
        <f t="shared" si="336"/>
        <v>LO</v>
      </c>
      <c r="F5404" s="369">
        <f>VLOOKUP(C5404,METADATA!$A$5:$H$29,IF(E5404="HI",2,IF(E5404="LO",6,10))+IF(D5404=1,2,IF(D5404=7,1,(IF(WEEKDAY(B5404)=1,2,IF(WEEKDAY(B5404)=7,1,0))))))</f>
        <v>3</v>
      </c>
      <c r="G5404" s="369">
        <f>VLOOKUP(C5404,METADATA!$J$5:$Q$29,IF(E5404="HI",2,IF(E5404="LO",6,10))+IF(D5404=1,2,IF(D5404=7,1,(IF(WEEKDAY(B5404)=1,2,IF(WEEKDAY(B5404)=7,1,0))))))</f>
        <v>3</v>
      </c>
      <c r="H5404" s="370">
        <v>11804.425048828125</v>
      </c>
      <c r="I5404" s="370">
        <v>3024.2400588989258</v>
      </c>
      <c r="M5404" s="371">
        <f t="shared" si="337"/>
        <v>12185.666935676925</v>
      </c>
      <c r="N5404" s="329">
        <f t="shared" si="338"/>
        <v>0</v>
      </c>
      <c r="T5404" s="331">
        <v>0</v>
      </c>
      <c r="U5404" s="328">
        <f>VLOOKUP(C5404,METADATA!$J$5:$Q$29,IF(E5404="HI",2,IF(E5404="LO",6,10))+IF(T5404=1,2,IF(D5404=7,1,(IF(WEEKDAY(B5404)=1,2,IF(WEEKDAY(B5404)=7,1,0))))))</f>
        <v>3</v>
      </c>
      <c r="V5404" s="328">
        <f>VLOOKUP(C5404,METADATA!$A$5:$H$29,IF(E5404="HI",2,IF(E5404="LO",6,10))+IF(T5404=1,2,IF(D5404=7,1,(IF(WEEKDAY(B5404)=1,2,IF(WEEKDAY(B5404)=7,1,0))))))</f>
        <v>3</v>
      </c>
    </row>
    <row r="5405" spans="2:22">
      <c r="B5405" s="318">
        <f t="shared" si="339"/>
        <v>46338</v>
      </c>
      <c r="C5405" s="312">
        <v>1</v>
      </c>
      <c r="D5405" s="368">
        <f>IFERROR((INDEX(METADATA!$T$2:$T$20,MATCH(B5405,METADATA!$S$2:$S$20,0))),0)</f>
        <v>0</v>
      </c>
      <c r="E5405" s="312" t="str">
        <f t="shared" si="336"/>
        <v>LO</v>
      </c>
      <c r="F5405" s="369">
        <f>VLOOKUP(C5405,METADATA!$A$5:$H$29,IF(E5405="HI",2,IF(E5405="LO",6,10))+IF(D5405=1,2,IF(D5405=7,1,(IF(WEEKDAY(B5405)=1,2,IF(WEEKDAY(B5405)=7,1,0))))))</f>
        <v>3</v>
      </c>
      <c r="G5405" s="369">
        <f>VLOOKUP(C5405,METADATA!$J$5:$Q$29,IF(E5405="HI",2,IF(E5405="LO",6,10))+IF(D5405=1,2,IF(D5405=7,1,(IF(WEEKDAY(B5405)=1,2,IF(WEEKDAY(B5405)=7,1,0))))))</f>
        <v>3</v>
      </c>
      <c r="H5405" s="370">
        <v>11887.612487792969</v>
      </c>
      <c r="I5405" s="370">
        <v>3137.1450119018555</v>
      </c>
      <c r="M5405" s="371">
        <f t="shared" si="337"/>
        <v>12294.592692953762</v>
      </c>
      <c r="N5405" s="329">
        <f t="shared" si="338"/>
        <v>0</v>
      </c>
      <c r="T5405" s="331">
        <v>0</v>
      </c>
      <c r="U5405" s="328">
        <f>VLOOKUP(C5405,METADATA!$J$5:$Q$29,IF(E5405="HI",2,IF(E5405="LO",6,10))+IF(T5405=1,2,IF(D5405=7,1,(IF(WEEKDAY(B5405)=1,2,IF(WEEKDAY(B5405)=7,1,0))))))</f>
        <v>3</v>
      </c>
      <c r="V5405" s="328">
        <f>VLOOKUP(C5405,METADATA!$A$5:$H$29,IF(E5405="HI",2,IF(E5405="LO",6,10))+IF(T5405=1,2,IF(D5405=7,1,(IF(WEEKDAY(B5405)=1,2,IF(WEEKDAY(B5405)=7,1,0))))))</f>
        <v>3</v>
      </c>
    </row>
    <row r="5406" spans="2:22">
      <c r="B5406" s="318">
        <f t="shared" si="339"/>
        <v>46338</v>
      </c>
      <c r="C5406" s="312">
        <v>2</v>
      </c>
      <c r="D5406" s="368">
        <f>IFERROR((INDEX(METADATA!$T$2:$T$20,MATCH(B5406,METADATA!$S$2:$S$20,0))),0)</f>
        <v>0</v>
      </c>
      <c r="E5406" s="312" t="str">
        <f t="shared" si="336"/>
        <v>LO</v>
      </c>
      <c r="F5406" s="369">
        <f>VLOOKUP(C5406,METADATA!$A$5:$H$29,IF(E5406="HI",2,IF(E5406="LO",6,10))+IF(D5406=1,2,IF(D5406=7,1,(IF(WEEKDAY(B5406)=1,2,IF(WEEKDAY(B5406)=7,1,0))))))</f>
        <v>3</v>
      </c>
      <c r="G5406" s="369">
        <f>VLOOKUP(C5406,METADATA!$J$5:$Q$29,IF(E5406="HI",2,IF(E5406="LO",6,10))+IF(D5406=1,2,IF(D5406=7,1,(IF(WEEKDAY(B5406)=1,2,IF(WEEKDAY(B5406)=7,1,0))))))</f>
        <v>3</v>
      </c>
      <c r="H5406" s="370">
        <v>11128.699951171875</v>
      </c>
      <c r="I5406" s="370">
        <v>2494.2274703979492</v>
      </c>
      <c r="M5406" s="371">
        <f t="shared" si="337"/>
        <v>11404.785542801787</v>
      </c>
      <c r="N5406" s="329">
        <f t="shared" si="338"/>
        <v>0</v>
      </c>
      <c r="T5406" s="331">
        <v>0</v>
      </c>
      <c r="U5406" s="328">
        <f>VLOOKUP(C5406,METADATA!$J$5:$Q$29,IF(E5406="HI",2,IF(E5406="LO",6,10))+IF(T5406=1,2,IF(D5406=7,1,(IF(WEEKDAY(B5406)=1,2,IF(WEEKDAY(B5406)=7,1,0))))))</f>
        <v>3</v>
      </c>
      <c r="V5406" s="328">
        <f>VLOOKUP(C5406,METADATA!$A$5:$H$29,IF(E5406="HI",2,IF(E5406="LO",6,10))+IF(T5406=1,2,IF(D5406=7,1,(IF(WEEKDAY(B5406)=1,2,IF(WEEKDAY(B5406)=7,1,0))))))</f>
        <v>3</v>
      </c>
    </row>
    <row r="5407" spans="2:22">
      <c r="B5407" s="318">
        <f t="shared" si="339"/>
        <v>46338</v>
      </c>
      <c r="C5407" s="312">
        <v>3</v>
      </c>
      <c r="D5407" s="368">
        <f>IFERROR((INDEX(METADATA!$T$2:$T$20,MATCH(B5407,METADATA!$S$2:$S$20,0))),0)</f>
        <v>0</v>
      </c>
      <c r="E5407" s="312" t="str">
        <f t="shared" si="336"/>
        <v>LO</v>
      </c>
      <c r="F5407" s="369">
        <f>VLOOKUP(C5407,METADATA!$A$5:$H$29,IF(E5407="HI",2,IF(E5407="LO",6,10))+IF(D5407=1,2,IF(D5407=7,1,(IF(WEEKDAY(B5407)=1,2,IF(WEEKDAY(B5407)=7,1,0))))))</f>
        <v>3</v>
      </c>
      <c r="G5407" s="369">
        <f>VLOOKUP(C5407,METADATA!$J$5:$Q$29,IF(E5407="HI",2,IF(E5407="LO",6,10))+IF(D5407=1,2,IF(D5407=7,1,(IF(WEEKDAY(B5407)=1,2,IF(WEEKDAY(B5407)=7,1,0))))))</f>
        <v>3</v>
      </c>
      <c r="H5407" s="370">
        <v>9895.4622192382813</v>
      </c>
      <c r="I5407" s="370">
        <v>1937.0374908447266</v>
      </c>
      <c r="M5407" s="371">
        <f t="shared" si="337"/>
        <v>10083.26766347647</v>
      </c>
      <c r="N5407" s="329">
        <f t="shared" si="338"/>
        <v>0</v>
      </c>
      <c r="T5407" s="331">
        <v>0</v>
      </c>
      <c r="U5407" s="328">
        <f>VLOOKUP(C5407,METADATA!$J$5:$Q$29,IF(E5407="HI",2,IF(E5407="LO",6,10))+IF(T5407=1,2,IF(D5407=7,1,(IF(WEEKDAY(B5407)=1,2,IF(WEEKDAY(B5407)=7,1,0))))))</f>
        <v>3</v>
      </c>
      <c r="V5407" s="328">
        <f>VLOOKUP(C5407,METADATA!$A$5:$H$29,IF(E5407="HI",2,IF(E5407="LO",6,10))+IF(T5407=1,2,IF(D5407=7,1,(IF(WEEKDAY(B5407)=1,2,IF(WEEKDAY(B5407)=7,1,0))))))</f>
        <v>3</v>
      </c>
    </row>
    <row r="5408" spans="2:22">
      <c r="B5408" s="318">
        <f t="shared" si="339"/>
        <v>46338</v>
      </c>
      <c r="C5408" s="312">
        <v>4</v>
      </c>
      <c r="D5408" s="368">
        <f>IFERROR((INDEX(METADATA!$T$2:$T$20,MATCH(B5408,METADATA!$S$2:$S$20,0))),0)</f>
        <v>0</v>
      </c>
      <c r="E5408" s="312" t="str">
        <f t="shared" si="336"/>
        <v>LO</v>
      </c>
      <c r="F5408" s="369">
        <f>VLOOKUP(C5408,METADATA!$A$5:$H$29,IF(E5408="HI",2,IF(E5408="LO",6,10))+IF(D5408=1,2,IF(D5408=7,1,(IF(WEEKDAY(B5408)=1,2,IF(WEEKDAY(B5408)=7,1,0))))))</f>
        <v>3</v>
      </c>
      <c r="G5408" s="369">
        <f>VLOOKUP(C5408,METADATA!$J$5:$Q$29,IF(E5408="HI",2,IF(E5408="LO",6,10))+IF(D5408=1,2,IF(D5408=7,1,(IF(WEEKDAY(B5408)=1,2,IF(WEEKDAY(B5408)=7,1,0))))))</f>
        <v>3</v>
      </c>
      <c r="H5408" s="370">
        <v>11682.550231933594</v>
      </c>
      <c r="I5408" s="370">
        <v>2885.3549613952637</v>
      </c>
      <c r="M5408" s="371">
        <f t="shared" si="337"/>
        <v>12033.588541033798</v>
      </c>
      <c r="N5408" s="329">
        <f t="shared" si="338"/>
        <v>0</v>
      </c>
      <c r="T5408" s="331">
        <v>0</v>
      </c>
      <c r="U5408" s="328">
        <f>VLOOKUP(C5408,METADATA!$J$5:$Q$29,IF(E5408="HI",2,IF(E5408="LO",6,10))+IF(T5408=1,2,IF(D5408=7,1,(IF(WEEKDAY(B5408)=1,2,IF(WEEKDAY(B5408)=7,1,0))))))</f>
        <v>3</v>
      </c>
      <c r="V5408" s="328">
        <f>VLOOKUP(C5408,METADATA!$A$5:$H$29,IF(E5408="HI",2,IF(E5408="LO",6,10))+IF(T5408=1,2,IF(D5408=7,1,(IF(WEEKDAY(B5408)=1,2,IF(WEEKDAY(B5408)=7,1,0))))))</f>
        <v>3</v>
      </c>
    </row>
    <row r="5409" spans="2:22">
      <c r="B5409" s="318">
        <f t="shared" si="339"/>
        <v>46338</v>
      </c>
      <c r="C5409" s="312">
        <v>5</v>
      </c>
      <c r="D5409" s="368">
        <f>IFERROR((INDEX(METADATA!$T$2:$T$20,MATCH(B5409,METADATA!$S$2:$S$20,0))),0)</f>
        <v>0</v>
      </c>
      <c r="E5409" s="312" t="str">
        <f t="shared" si="336"/>
        <v>LO</v>
      </c>
      <c r="F5409" s="369">
        <f>VLOOKUP(C5409,METADATA!$A$5:$H$29,IF(E5409="HI",2,IF(E5409="LO",6,10))+IF(D5409=1,2,IF(D5409=7,1,(IF(WEEKDAY(B5409)=1,2,IF(WEEKDAY(B5409)=7,1,0))))))</f>
        <v>3</v>
      </c>
      <c r="G5409" s="369">
        <f>VLOOKUP(C5409,METADATA!$J$5:$Q$29,IF(E5409="HI",2,IF(E5409="LO",6,10))+IF(D5409=1,2,IF(D5409=7,1,(IF(WEEKDAY(B5409)=1,2,IF(WEEKDAY(B5409)=7,1,0))))))</f>
        <v>3</v>
      </c>
      <c r="H5409" s="370">
        <v>12318.150085449219</v>
      </c>
      <c r="I5409" s="370">
        <v>3295.2249603271484</v>
      </c>
      <c r="M5409" s="371">
        <f t="shared" si="337"/>
        <v>12751.287349394008</v>
      </c>
      <c r="N5409" s="329">
        <f t="shared" si="338"/>
        <v>0</v>
      </c>
      <c r="T5409" s="331">
        <v>0</v>
      </c>
      <c r="U5409" s="328">
        <f>VLOOKUP(C5409,METADATA!$J$5:$Q$29,IF(E5409="HI",2,IF(E5409="LO",6,10))+IF(T5409=1,2,IF(D5409=7,1,(IF(WEEKDAY(B5409)=1,2,IF(WEEKDAY(B5409)=7,1,0))))))</f>
        <v>3</v>
      </c>
      <c r="V5409" s="328">
        <f>VLOOKUP(C5409,METADATA!$A$5:$H$29,IF(E5409="HI",2,IF(E5409="LO",6,10))+IF(T5409=1,2,IF(D5409=7,1,(IF(WEEKDAY(B5409)=1,2,IF(WEEKDAY(B5409)=7,1,0))))))</f>
        <v>3</v>
      </c>
    </row>
    <row r="5410" spans="2:22">
      <c r="B5410" s="318">
        <f t="shared" si="339"/>
        <v>46338</v>
      </c>
      <c r="C5410" s="312">
        <v>6</v>
      </c>
      <c r="D5410" s="368">
        <f>IFERROR((INDEX(METADATA!$T$2:$T$20,MATCH(B5410,METADATA!$S$2:$S$20,0))),0)</f>
        <v>0</v>
      </c>
      <c r="E5410" s="312" t="str">
        <f t="shared" si="336"/>
        <v>LO</v>
      </c>
      <c r="F5410" s="369">
        <f>VLOOKUP(C5410,METADATA!$A$5:$H$29,IF(E5410="HI",2,IF(E5410="LO",6,10))+IF(D5410=1,2,IF(D5410=7,1,(IF(WEEKDAY(B5410)=1,2,IF(WEEKDAY(B5410)=7,1,0))))))</f>
        <v>2</v>
      </c>
      <c r="G5410" s="369">
        <f>VLOOKUP(C5410,METADATA!$J$5:$Q$29,IF(E5410="HI",2,IF(E5410="LO",6,10))+IF(D5410=1,2,IF(D5410=7,1,(IF(WEEKDAY(B5410)=1,2,IF(WEEKDAY(B5410)=7,1,0))))))</f>
        <v>2</v>
      </c>
      <c r="H5410" s="370">
        <v>12228.274658203125</v>
      </c>
      <c r="I5410" s="370">
        <v>3427.5726013183594</v>
      </c>
      <c r="M5410" s="371">
        <f t="shared" si="337"/>
        <v>12699.5651521523</v>
      </c>
      <c r="N5410" s="329">
        <f t="shared" si="338"/>
        <v>0</v>
      </c>
      <c r="T5410" s="331">
        <v>0</v>
      </c>
      <c r="U5410" s="328">
        <f>VLOOKUP(C5410,METADATA!$J$5:$Q$29,IF(E5410="HI",2,IF(E5410="LO",6,10))+IF(T5410=1,2,IF(D5410=7,1,(IF(WEEKDAY(B5410)=1,2,IF(WEEKDAY(B5410)=7,1,0))))))</f>
        <v>2</v>
      </c>
      <c r="V5410" s="328">
        <f>VLOOKUP(C5410,METADATA!$A$5:$H$29,IF(E5410="HI",2,IF(E5410="LO",6,10))+IF(T5410=1,2,IF(D5410=7,1,(IF(WEEKDAY(B5410)=1,2,IF(WEEKDAY(B5410)=7,1,0))))))</f>
        <v>2</v>
      </c>
    </row>
    <row r="5411" spans="2:22">
      <c r="B5411" s="318">
        <f t="shared" si="339"/>
        <v>46338</v>
      </c>
      <c r="C5411" s="312">
        <v>7</v>
      </c>
      <c r="D5411" s="368">
        <f>IFERROR((INDEX(METADATA!$T$2:$T$20,MATCH(B5411,METADATA!$S$2:$S$20,0))),0)</f>
        <v>0</v>
      </c>
      <c r="E5411" s="312" t="str">
        <f t="shared" si="336"/>
        <v>LO</v>
      </c>
      <c r="F5411" s="369">
        <f>VLOOKUP(C5411,METADATA!$A$5:$H$29,IF(E5411="HI",2,IF(E5411="LO",6,10))+IF(D5411=1,2,IF(D5411=7,1,(IF(WEEKDAY(B5411)=1,2,IF(WEEKDAY(B5411)=7,1,0))))))</f>
        <v>1</v>
      </c>
      <c r="G5411" s="369">
        <f>VLOOKUP(C5411,METADATA!$J$5:$Q$29,IF(E5411="HI",2,IF(E5411="LO",6,10))+IF(D5411=1,2,IF(D5411=7,1,(IF(WEEKDAY(B5411)=1,2,IF(WEEKDAY(B5411)=7,1,0))))))</f>
        <v>1</v>
      </c>
      <c r="H5411" s="370">
        <v>11317.800415039063</v>
      </c>
      <c r="I5411" s="370">
        <v>3016.18505859375</v>
      </c>
      <c r="M5411" s="371">
        <f t="shared" si="337"/>
        <v>11712.812580347325</v>
      </c>
      <c r="N5411" s="329">
        <f t="shared" si="338"/>
        <v>0</v>
      </c>
      <c r="T5411" s="331">
        <v>0</v>
      </c>
      <c r="U5411" s="328">
        <f>VLOOKUP(C5411,METADATA!$J$5:$Q$29,IF(E5411="HI",2,IF(E5411="LO",6,10))+IF(T5411=1,2,IF(D5411=7,1,(IF(WEEKDAY(B5411)=1,2,IF(WEEKDAY(B5411)=7,1,0))))))</f>
        <v>1</v>
      </c>
      <c r="V5411" s="328">
        <f>VLOOKUP(C5411,METADATA!$A$5:$H$29,IF(E5411="HI",2,IF(E5411="LO",6,10))+IF(T5411=1,2,IF(D5411=7,1,(IF(WEEKDAY(B5411)=1,2,IF(WEEKDAY(B5411)=7,1,0))))))</f>
        <v>1</v>
      </c>
    </row>
    <row r="5412" spans="2:22">
      <c r="B5412" s="318">
        <f t="shared" si="339"/>
        <v>46338</v>
      </c>
      <c r="C5412" s="312">
        <v>8</v>
      </c>
      <c r="D5412" s="368">
        <f>IFERROR((INDEX(METADATA!$T$2:$T$20,MATCH(B5412,METADATA!$S$2:$S$20,0))),0)</f>
        <v>0</v>
      </c>
      <c r="E5412" s="312" t="str">
        <f t="shared" si="336"/>
        <v>LO</v>
      </c>
      <c r="F5412" s="369">
        <f>VLOOKUP(C5412,METADATA!$A$5:$H$29,IF(E5412="HI",2,IF(E5412="LO",6,10))+IF(D5412=1,2,IF(D5412=7,1,(IF(WEEKDAY(B5412)=1,2,IF(WEEKDAY(B5412)=7,1,0))))))</f>
        <v>1</v>
      </c>
      <c r="G5412" s="369">
        <f>VLOOKUP(C5412,METADATA!$J$5:$Q$29,IF(E5412="HI",2,IF(E5412="LO",6,10))+IF(D5412=1,2,IF(D5412=7,1,(IF(WEEKDAY(B5412)=1,2,IF(WEEKDAY(B5412)=7,1,0))))))</f>
        <v>1</v>
      </c>
      <c r="H5412" s="370">
        <v>8986.849609375</v>
      </c>
      <c r="I5412" s="370">
        <v>2357.1825317144394</v>
      </c>
      <c r="M5412" s="371">
        <f t="shared" si="337"/>
        <v>9290.843631734595</v>
      </c>
      <c r="N5412" s="329">
        <f t="shared" si="338"/>
        <v>0</v>
      </c>
      <c r="T5412" s="331">
        <v>0</v>
      </c>
      <c r="U5412" s="328">
        <f>VLOOKUP(C5412,METADATA!$J$5:$Q$29,IF(E5412="HI",2,IF(E5412="LO",6,10))+IF(T5412=1,2,IF(D5412=7,1,(IF(WEEKDAY(B5412)=1,2,IF(WEEKDAY(B5412)=7,1,0))))))</f>
        <v>1</v>
      </c>
      <c r="V5412" s="328">
        <f>VLOOKUP(C5412,METADATA!$A$5:$H$29,IF(E5412="HI",2,IF(E5412="LO",6,10))+IF(T5412=1,2,IF(D5412=7,1,(IF(WEEKDAY(B5412)=1,2,IF(WEEKDAY(B5412)=7,1,0))))))</f>
        <v>1</v>
      </c>
    </row>
    <row r="5413" spans="2:22">
      <c r="B5413" s="318">
        <f t="shared" si="339"/>
        <v>46338</v>
      </c>
      <c r="C5413" s="312">
        <v>9</v>
      </c>
      <c r="D5413" s="368">
        <f>IFERROR((INDEX(METADATA!$T$2:$T$20,MATCH(B5413,METADATA!$S$2:$S$20,0))),0)</f>
        <v>0</v>
      </c>
      <c r="E5413" s="312" t="str">
        <f t="shared" si="336"/>
        <v>LO</v>
      </c>
      <c r="F5413" s="369">
        <f>VLOOKUP(C5413,METADATA!$A$5:$H$29,IF(E5413="HI",2,IF(E5413="LO",6,10))+IF(D5413=1,2,IF(D5413=7,1,(IF(WEEKDAY(B5413)=1,2,IF(WEEKDAY(B5413)=7,1,0))))))</f>
        <v>2</v>
      </c>
      <c r="G5413" s="369">
        <f>VLOOKUP(C5413,METADATA!$J$5:$Q$29,IF(E5413="HI",2,IF(E5413="LO",6,10))+IF(D5413=1,2,IF(D5413=7,1,(IF(WEEKDAY(B5413)=1,2,IF(WEEKDAY(B5413)=7,1,0))))))</f>
        <v>2</v>
      </c>
      <c r="H5413" s="370">
        <v>6750.2749633789063</v>
      </c>
      <c r="I5413" s="370">
        <v>2441.7000732421875</v>
      </c>
      <c r="M5413" s="371">
        <f t="shared" si="337"/>
        <v>7178.3083890907747</v>
      </c>
      <c r="N5413" s="329">
        <f t="shared" si="338"/>
        <v>416.61758422851563</v>
      </c>
      <c r="T5413" s="331">
        <v>0</v>
      </c>
      <c r="U5413" s="328">
        <f>VLOOKUP(C5413,METADATA!$J$5:$Q$29,IF(E5413="HI",2,IF(E5413="LO",6,10))+IF(T5413=1,2,IF(D5413=7,1,(IF(WEEKDAY(B5413)=1,2,IF(WEEKDAY(B5413)=7,1,0))))))</f>
        <v>2</v>
      </c>
      <c r="V5413" s="328">
        <f>VLOOKUP(C5413,METADATA!$A$5:$H$29,IF(E5413="HI",2,IF(E5413="LO",6,10))+IF(T5413=1,2,IF(D5413=7,1,(IF(WEEKDAY(B5413)=1,2,IF(WEEKDAY(B5413)=7,1,0))))))</f>
        <v>2</v>
      </c>
    </row>
    <row r="5414" spans="2:22">
      <c r="B5414" s="318">
        <f t="shared" si="339"/>
        <v>46338</v>
      </c>
      <c r="C5414" s="312">
        <v>10</v>
      </c>
      <c r="D5414" s="368">
        <f>IFERROR((INDEX(METADATA!$T$2:$T$20,MATCH(B5414,METADATA!$S$2:$S$20,0))),0)</f>
        <v>0</v>
      </c>
      <c r="E5414" s="312" t="str">
        <f t="shared" si="336"/>
        <v>LO</v>
      </c>
      <c r="F5414" s="369">
        <f>VLOOKUP(C5414,METADATA!$A$5:$H$29,IF(E5414="HI",2,IF(E5414="LO",6,10))+IF(D5414=1,2,IF(D5414=7,1,(IF(WEEKDAY(B5414)=1,2,IF(WEEKDAY(B5414)=7,1,0))))))</f>
        <v>2</v>
      </c>
      <c r="G5414" s="369">
        <f>VLOOKUP(C5414,METADATA!$J$5:$Q$29,IF(E5414="HI",2,IF(E5414="LO",6,10))+IF(D5414=1,2,IF(D5414=7,1,(IF(WEEKDAY(B5414)=1,2,IF(WEEKDAY(B5414)=7,1,0))))))</f>
        <v>2</v>
      </c>
      <c r="H5414" s="370">
        <v>5610.2000732421875</v>
      </c>
      <c r="I5414" s="370">
        <v>1694.7725524902344</v>
      </c>
      <c r="M5414" s="371">
        <f t="shared" si="337"/>
        <v>5860.5971424830859</v>
      </c>
      <c r="N5414" s="329">
        <f t="shared" si="338"/>
        <v>11.712530517578216</v>
      </c>
      <c r="T5414" s="331">
        <v>0</v>
      </c>
      <c r="U5414" s="328">
        <f>VLOOKUP(C5414,METADATA!$J$5:$Q$29,IF(E5414="HI",2,IF(E5414="LO",6,10))+IF(T5414=1,2,IF(D5414=7,1,(IF(WEEKDAY(B5414)=1,2,IF(WEEKDAY(B5414)=7,1,0))))))</f>
        <v>2</v>
      </c>
      <c r="V5414" s="328">
        <f>VLOOKUP(C5414,METADATA!$A$5:$H$29,IF(E5414="HI",2,IF(E5414="LO",6,10))+IF(T5414=1,2,IF(D5414=7,1,(IF(WEEKDAY(B5414)=1,2,IF(WEEKDAY(B5414)=7,1,0))))))</f>
        <v>2</v>
      </c>
    </row>
    <row r="5415" spans="2:22">
      <c r="B5415" s="318">
        <f t="shared" si="339"/>
        <v>46338</v>
      </c>
      <c r="C5415" s="312">
        <v>11</v>
      </c>
      <c r="D5415" s="368">
        <f>IFERROR((INDEX(METADATA!$T$2:$T$20,MATCH(B5415,METADATA!$S$2:$S$20,0))),0)</f>
        <v>0</v>
      </c>
      <c r="E5415" s="312" t="str">
        <f t="shared" si="336"/>
        <v>LO</v>
      </c>
      <c r="F5415" s="369">
        <f>VLOOKUP(C5415,METADATA!$A$5:$H$29,IF(E5415="HI",2,IF(E5415="LO",6,10))+IF(D5415=1,2,IF(D5415=7,1,(IF(WEEKDAY(B5415)=1,2,IF(WEEKDAY(B5415)=7,1,0))))))</f>
        <v>2</v>
      </c>
      <c r="G5415" s="369">
        <f>VLOOKUP(C5415,METADATA!$J$5:$Q$29,IF(E5415="HI",2,IF(E5415="LO",6,10))+IF(D5415=1,2,IF(D5415=7,1,(IF(WEEKDAY(B5415)=1,2,IF(WEEKDAY(B5415)=7,1,0))))))</f>
        <v>2</v>
      </c>
      <c r="H5415" s="370">
        <v>5921.3498840332031</v>
      </c>
      <c r="I5415" s="370">
        <v>1606.7525024414063</v>
      </c>
      <c r="M5415" s="371">
        <f t="shared" si="337"/>
        <v>6135.4737431792291</v>
      </c>
      <c r="N5415" s="329">
        <f t="shared" si="338"/>
        <v>0</v>
      </c>
      <c r="T5415" s="331">
        <v>0</v>
      </c>
      <c r="U5415" s="328">
        <f>VLOOKUP(C5415,METADATA!$J$5:$Q$29,IF(E5415="HI",2,IF(E5415="LO",6,10))+IF(T5415=1,2,IF(D5415=7,1,(IF(WEEKDAY(B5415)=1,2,IF(WEEKDAY(B5415)=7,1,0))))))</f>
        <v>2</v>
      </c>
      <c r="V5415" s="328">
        <f>VLOOKUP(C5415,METADATA!$A$5:$H$29,IF(E5415="HI",2,IF(E5415="LO",6,10))+IF(T5415=1,2,IF(D5415=7,1,(IF(WEEKDAY(B5415)=1,2,IF(WEEKDAY(B5415)=7,1,0))))))</f>
        <v>2</v>
      </c>
    </row>
    <row r="5416" spans="2:22">
      <c r="B5416" s="318">
        <f t="shared" si="339"/>
        <v>46338</v>
      </c>
      <c r="C5416" s="312">
        <v>12</v>
      </c>
      <c r="D5416" s="368">
        <f>IFERROR((INDEX(METADATA!$T$2:$T$20,MATCH(B5416,METADATA!$S$2:$S$20,0))),0)</f>
        <v>0</v>
      </c>
      <c r="E5416" s="312" t="str">
        <f t="shared" si="336"/>
        <v>LO</v>
      </c>
      <c r="F5416" s="369">
        <f>VLOOKUP(C5416,METADATA!$A$5:$H$29,IF(E5416="HI",2,IF(E5416="LO",6,10))+IF(D5416=1,2,IF(D5416=7,1,(IF(WEEKDAY(B5416)=1,2,IF(WEEKDAY(B5416)=7,1,0))))))</f>
        <v>2</v>
      </c>
      <c r="G5416" s="369">
        <f>VLOOKUP(C5416,METADATA!$J$5:$Q$29,IF(E5416="HI",2,IF(E5416="LO",6,10))+IF(D5416=1,2,IF(D5416=7,1,(IF(WEEKDAY(B5416)=1,2,IF(WEEKDAY(B5416)=7,1,0))))))</f>
        <v>2</v>
      </c>
      <c r="H5416" s="370">
        <v>8110.75</v>
      </c>
      <c r="I5416" s="370">
        <v>2030.8074951171875</v>
      </c>
      <c r="M5416" s="371">
        <f t="shared" si="337"/>
        <v>8361.126996088753</v>
      </c>
      <c r="N5416" s="329">
        <f t="shared" si="338"/>
        <v>0</v>
      </c>
      <c r="T5416" s="331">
        <v>0</v>
      </c>
      <c r="U5416" s="328">
        <f>VLOOKUP(C5416,METADATA!$J$5:$Q$29,IF(E5416="HI",2,IF(E5416="LO",6,10))+IF(T5416=1,2,IF(D5416=7,1,(IF(WEEKDAY(B5416)=1,2,IF(WEEKDAY(B5416)=7,1,0))))))</f>
        <v>2</v>
      </c>
      <c r="V5416" s="328">
        <f>VLOOKUP(C5416,METADATA!$A$5:$H$29,IF(E5416="HI",2,IF(E5416="LO",6,10))+IF(T5416=1,2,IF(D5416=7,1,(IF(WEEKDAY(B5416)=1,2,IF(WEEKDAY(B5416)=7,1,0))))))</f>
        <v>2</v>
      </c>
    </row>
    <row r="5417" spans="2:22">
      <c r="B5417" s="318">
        <f t="shared" si="339"/>
        <v>46338</v>
      </c>
      <c r="C5417" s="312">
        <v>13</v>
      </c>
      <c r="D5417" s="368">
        <f>IFERROR((INDEX(METADATA!$T$2:$T$20,MATCH(B5417,METADATA!$S$2:$S$20,0))),0)</f>
        <v>0</v>
      </c>
      <c r="E5417" s="312" t="str">
        <f t="shared" si="336"/>
        <v>LO</v>
      </c>
      <c r="F5417" s="369">
        <f>VLOOKUP(C5417,METADATA!$A$5:$H$29,IF(E5417="HI",2,IF(E5417="LO",6,10))+IF(D5417=1,2,IF(D5417=7,1,(IF(WEEKDAY(B5417)=1,2,IF(WEEKDAY(B5417)=7,1,0))))))</f>
        <v>2</v>
      </c>
      <c r="G5417" s="369">
        <f>VLOOKUP(C5417,METADATA!$J$5:$Q$29,IF(E5417="HI",2,IF(E5417="LO",6,10))+IF(D5417=1,2,IF(D5417=7,1,(IF(WEEKDAY(B5417)=1,2,IF(WEEKDAY(B5417)=7,1,0))))))</f>
        <v>2</v>
      </c>
      <c r="H5417" s="370">
        <v>13269.650146484375</v>
      </c>
      <c r="I5417" s="370">
        <v>4146.7249755859375</v>
      </c>
      <c r="M5417" s="371">
        <f t="shared" si="337"/>
        <v>13902.479744032751</v>
      </c>
      <c r="N5417" s="329">
        <f t="shared" si="338"/>
        <v>165.82993164062509</v>
      </c>
      <c r="T5417" s="331">
        <v>0</v>
      </c>
      <c r="U5417" s="328">
        <f>VLOOKUP(C5417,METADATA!$J$5:$Q$29,IF(E5417="HI",2,IF(E5417="LO",6,10))+IF(T5417=1,2,IF(D5417=7,1,(IF(WEEKDAY(B5417)=1,2,IF(WEEKDAY(B5417)=7,1,0))))))</f>
        <v>2</v>
      </c>
      <c r="V5417" s="328">
        <f>VLOOKUP(C5417,METADATA!$A$5:$H$29,IF(E5417="HI",2,IF(E5417="LO",6,10))+IF(T5417=1,2,IF(D5417=7,1,(IF(WEEKDAY(B5417)=1,2,IF(WEEKDAY(B5417)=7,1,0))))))</f>
        <v>2</v>
      </c>
    </row>
    <row r="5418" spans="2:22">
      <c r="B5418" s="318">
        <f t="shared" si="339"/>
        <v>46338</v>
      </c>
      <c r="C5418" s="312">
        <v>14</v>
      </c>
      <c r="D5418" s="368">
        <f>IFERROR((INDEX(METADATA!$T$2:$T$20,MATCH(B5418,METADATA!$S$2:$S$20,0))),0)</f>
        <v>0</v>
      </c>
      <c r="E5418" s="312" t="str">
        <f t="shared" si="336"/>
        <v>LO</v>
      </c>
      <c r="F5418" s="369">
        <f>VLOOKUP(C5418,METADATA!$A$5:$H$29,IF(E5418="HI",2,IF(E5418="LO",6,10))+IF(D5418=1,2,IF(D5418=7,1,(IF(WEEKDAY(B5418)=1,2,IF(WEEKDAY(B5418)=7,1,0))))))</f>
        <v>2</v>
      </c>
      <c r="G5418" s="369">
        <f>VLOOKUP(C5418,METADATA!$J$5:$Q$29,IF(E5418="HI",2,IF(E5418="LO",6,10))+IF(D5418=1,2,IF(D5418=7,1,(IF(WEEKDAY(B5418)=1,2,IF(WEEKDAY(B5418)=7,1,0))))))</f>
        <v>2</v>
      </c>
      <c r="H5418" s="370">
        <v>13438.30029296875</v>
      </c>
      <c r="I5418" s="370">
        <v>4247.3999938964844</v>
      </c>
      <c r="M5418" s="371">
        <f t="shared" si="337"/>
        <v>14093.556026502178</v>
      </c>
      <c r="N5418" s="329">
        <f t="shared" si="338"/>
        <v>215.90990600585974</v>
      </c>
      <c r="T5418" s="331">
        <v>0</v>
      </c>
      <c r="U5418" s="328">
        <f>VLOOKUP(C5418,METADATA!$J$5:$Q$29,IF(E5418="HI",2,IF(E5418="LO",6,10))+IF(T5418=1,2,IF(D5418=7,1,(IF(WEEKDAY(B5418)=1,2,IF(WEEKDAY(B5418)=7,1,0))))))</f>
        <v>2</v>
      </c>
      <c r="V5418" s="328">
        <f>VLOOKUP(C5418,METADATA!$A$5:$H$29,IF(E5418="HI",2,IF(E5418="LO",6,10))+IF(T5418=1,2,IF(D5418=7,1,(IF(WEEKDAY(B5418)=1,2,IF(WEEKDAY(B5418)=7,1,0))))))</f>
        <v>2</v>
      </c>
    </row>
    <row r="5419" spans="2:22">
      <c r="B5419" s="318">
        <f t="shared" si="339"/>
        <v>46338</v>
      </c>
      <c r="C5419" s="312">
        <v>15</v>
      </c>
      <c r="D5419" s="368">
        <f>IFERROR((INDEX(METADATA!$T$2:$T$20,MATCH(B5419,METADATA!$S$2:$S$20,0))),0)</f>
        <v>0</v>
      </c>
      <c r="E5419" s="312" t="str">
        <f t="shared" si="336"/>
        <v>LO</v>
      </c>
      <c r="F5419" s="369">
        <f>VLOOKUP(C5419,METADATA!$A$5:$H$29,IF(E5419="HI",2,IF(E5419="LO",6,10))+IF(D5419=1,2,IF(D5419=7,1,(IF(WEEKDAY(B5419)=1,2,IF(WEEKDAY(B5419)=7,1,0))))))</f>
        <v>2</v>
      </c>
      <c r="G5419" s="369">
        <f>VLOOKUP(C5419,METADATA!$J$5:$Q$29,IF(E5419="HI",2,IF(E5419="LO",6,10))+IF(D5419=1,2,IF(D5419=7,1,(IF(WEEKDAY(B5419)=1,2,IF(WEEKDAY(B5419)=7,1,0))))))</f>
        <v>2</v>
      </c>
      <c r="H5419" s="370">
        <v>13454.425476074219</v>
      </c>
      <c r="I5419" s="370">
        <v>4324.47998046875</v>
      </c>
      <c r="M5419" s="371">
        <f t="shared" si="337"/>
        <v>14132.327904231135</v>
      </c>
      <c r="N5419" s="329">
        <f t="shared" si="338"/>
        <v>288.15233764648474</v>
      </c>
      <c r="T5419" s="331">
        <v>0</v>
      </c>
      <c r="U5419" s="328">
        <f>VLOOKUP(C5419,METADATA!$J$5:$Q$29,IF(E5419="HI",2,IF(E5419="LO",6,10))+IF(T5419=1,2,IF(D5419=7,1,(IF(WEEKDAY(B5419)=1,2,IF(WEEKDAY(B5419)=7,1,0))))))</f>
        <v>2</v>
      </c>
      <c r="V5419" s="328">
        <f>VLOOKUP(C5419,METADATA!$A$5:$H$29,IF(E5419="HI",2,IF(E5419="LO",6,10))+IF(T5419=1,2,IF(D5419=7,1,(IF(WEEKDAY(B5419)=1,2,IF(WEEKDAY(B5419)=7,1,0))))))</f>
        <v>2</v>
      </c>
    </row>
    <row r="5420" spans="2:22">
      <c r="B5420" s="318">
        <f t="shared" si="339"/>
        <v>46338</v>
      </c>
      <c r="C5420" s="312">
        <v>16</v>
      </c>
      <c r="D5420" s="368">
        <f>IFERROR((INDEX(METADATA!$T$2:$T$20,MATCH(B5420,METADATA!$S$2:$S$20,0))),0)</f>
        <v>0</v>
      </c>
      <c r="E5420" s="312" t="str">
        <f t="shared" si="336"/>
        <v>LO</v>
      </c>
      <c r="F5420" s="369">
        <f>VLOOKUP(C5420,METADATA!$A$5:$H$29,IF(E5420="HI",2,IF(E5420="LO",6,10))+IF(D5420=1,2,IF(D5420=7,1,(IF(WEEKDAY(B5420)=1,2,IF(WEEKDAY(B5420)=7,1,0))))))</f>
        <v>2</v>
      </c>
      <c r="G5420" s="369">
        <f>VLOOKUP(C5420,METADATA!$J$5:$Q$29,IF(E5420="HI",2,IF(E5420="LO",6,10))+IF(D5420=1,2,IF(D5420=7,1,(IF(WEEKDAY(B5420)=1,2,IF(WEEKDAY(B5420)=7,1,0))))))</f>
        <v>2</v>
      </c>
      <c r="H5420" s="370">
        <v>13337.949768066406</v>
      </c>
      <c r="I5420" s="370">
        <v>4284.0251159667969</v>
      </c>
      <c r="M5420" s="371">
        <f t="shared" si="337"/>
        <v>14009.060468485994</v>
      </c>
      <c r="N5420" s="329">
        <f t="shared" si="338"/>
        <v>282.64018554687527</v>
      </c>
      <c r="T5420" s="331">
        <v>0</v>
      </c>
      <c r="U5420" s="328">
        <f>VLOOKUP(C5420,METADATA!$J$5:$Q$29,IF(E5420="HI",2,IF(E5420="LO",6,10))+IF(T5420=1,2,IF(D5420=7,1,(IF(WEEKDAY(B5420)=1,2,IF(WEEKDAY(B5420)=7,1,0))))))</f>
        <v>2</v>
      </c>
      <c r="V5420" s="328">
        <f>VLOOKUP(C5420,METADATA!$A$5:$H$29,IF(E5420="HI",2,IF(E5420="LO",6,10))+IF(T5420=1,2,IF(D5420=7,1,(IF(WEEKDAY(B5420)=1,2,IF(WEEKDAY(B5420)=7,1,0))))))</f>
        <v>2</v>
      </c>
    </row>
    <row r="5421" spans="2:22">
      <c r="B5421" s="318">
        <f t="shared" si="339"/>
        <v>46338</v>
      </c>
      <c r="C5421" s="312">
        <v>17</v>
      </c>
      <c r="D5421" s="368">
        <f>IFERROR((INDEX(METADATA!$T$2:$T$20,MATCH(B5421,METADATA!$S$2:$S$20,0))),0)</f>
        <v>0</v>
      </c>
      <c r="E5421" s="312" t="str">
        <f t="shared" si="336"/>
        <v>LO</v>
      </c>
      <c r="F5421" s="369">
        <f>VLOOKUP(C5421,METADATA!$A$5:$H$29,IF(E5421="HI",2,IF(E5421="LO",6,10))+IF(D5421=1,2,IF(D5421=7,1,(IF(WEEKDAY(B5421)=1,2,IF(WEEKDAY(B5421)=7,1,0))))))</f>
        <v>2</v>
      </c>
      <c r="G5421" s="369">
        <f>VLOOKUP(C5421,METADATA!$J$5:$Q$29,IF(E5421="HI",2,IF(E5421="LO",6,10))+IF(D5421=1,2,IF(D5421=7,1,(IF(WEEKDAY(B5421)=1,2,IF(WEEKDAY(B5421)=7,1,0))))))</f>
        <v>2</v>
      </c>
      <c r="H5421" s="370">
        <v>12304.275146484375</v>
      </c>
      <c r="I5421" s="370">
        <v>3636.8949279785156</v>
      </c>
      <c r="M5421" s="371">
        <f t="shared" si="337"/>
        <v>12830.517978536522</v>
      </c>
      <c r="N5421" s="329">
        <f t="shared" si="338"/>
        <v>0</v>
      </c>
      <c r="T5421" s="331">
        <v>0</v>
      </c>
      <c r="U5421" s="328">
        <f>VLOOKUP(C5421,METADATA!$J$5:$Q$29,IF(E5421="HI",2,IF(E5421="LO",6,10))+IF(T5421=1,2,IF(D5421=7,1,(IF(WEEKDAY(B5421)=1,2,IF(WEEKDAY(B5421)=7,1,0))))))</f>
        <v>2</v>
      </c>
      <c r="V5421" s="328">
        <f>VLOOKUP(C5421,METADATA!$A$5:$H$29,IF(E5421="HI",2,IF(E5421="LO",6,10))+IF(T5421=1,2,IF(D5421=7,1,(IF(WEEKDAY(B5421)=1,2,IF(WEEKDAY(B5421)=7,1,0))))))</f>
        <v>2</v>
      </c>
    </row>
    <row r="5422" spans="2:22">
      <c r="B5422" s="318">
        <f t="shared" si="339"/>
        <v>46338</v>
      </c>
      <c r="C5422" s="312">
        <v>18</v>
      </c>
      <c r="D5422" s="368">
        <f>IFERROR((INDEX(METADATA!$T$2:$T$20,MATCH(B5422,METADATA!$S$2:$S$20,0))),0)</f>
        <v>0</v>
      </c>
      <c r="E5422" s="312" t="str">
        <f t="shared" si="336"/>
        <v>LO</v>
      </c>
      <c r="F5422" s="369">
        <f>VLOOKUP(C5422,METADATA!$A$5:$H$29,IF(E5422="HI",2,IF(E5422="LO",6,10))+IF(D5422=1,2,IF(D5422=7,1,(IF(WEEKDAY(B5422)=1,2,IF(WEEKDAY(B5422)=7,1,0))))))</f>
        <v>1</v>
      </c>
      <c r="G5422" s="369">
        <f>VLOOKUP(C5422,METADATA!$J$5:$Q$29,IF(E5422="HI",2,IF(E5422="LO",6,10))+IF(D5422=1,2,IF(D5422=7,1,(IF(WEEKDAY(B5422)=1,2,IF(WEEKDAY(B5422)=7,1,0))))))</f>
        <v>1</v>
      </c>
      <c r="H5422" s="370">
        <v>12197.800354003906</v>
      </c>
      <c r="I5422" s="370">
        <v>3584.4649200439453</v>
      </c>
      <c r="M5422" s="371">
        <f t="shared" si="337"/>
        <v>12713.56449777809</v>
      </c>
      <c r="N5422" s="329">
        <f t="shared" si="338"/>
        <v>0</v>
      </c>
      <c r="T5422" s="331">
        <v>0</v>
      </c>
      <c r="U5422" s="328">
        <f>VLOOKUP(C5422,METADATA!$J$5:$Q$29,IF(E5422="HI",2,IF(E5422="LO",6,10))+IF(T5422=1,2,IF(D5422=7,1,(IF(WEEKDAY(B5422)=1,2,IF(WEEKDAY(B5422)=7,1,0))))))</f>
        <v>1</v>
      </c>
      <c r="V5422" s="328">
        <f>VLOOKUP(C5422,METADATA!$A$5:$H$29,IF(E5422="HI",2,IF(E5422="LO",6,10))+IF(T5422=1,2,IF(D5422=7,1,(IF(WEEKDAY(B5422)=1,2,IF(WEEKDAY(B5422)=7,1,0))))))</f>
        <v>1</v>
      </c>
    </row>
    <row r="5423" spans="2:22">
      <c r="B5423" s="318">
        <f t="shared" si="339"/>
        <v>46338</v>
      </c>
      <c r="C5423" s="312">
        <v>19</v>
      </c>
      <c r="D5423" s="368">
        <f>IFERROR((INDEX(METADATA!$T$2:$T$20,MATCH(B5423,METADATA!$S$2:$S$20,0))),0)</f>
        <v>0</v>
      </c>
      <c r="E5423" s="312" t="str">
        <f t="shared" si="336"/>
        <v>LO</v>
      </c>
      <c r="F5423" s="369">
        <f>VLOOKUP(C5423,METADATA!$A$5:$H$29,IF(E5423="HI",2,IF(E5423="LO",6,10))+IF(D5423=1,2,IF(D5423=7,1,(IF(WEEKDAY(B5423)=1,2,IF(WEEKDAY(B5423)=7,1,0))))))</f>
        <v>1</v>
      </c>
      <c r="G5423" s="369">
        <f>VLOOKUP(C5423,METADATA!$J$5:$Q$29,IF(E5423="HI",2,IF(E5423="LO",6,10))+IF(D5423=1,2,IF(D5423=7,1,(IF(WEEKDAY(B5423)=1,2,IF(WEEKDAY(B5423)=7,1,0))))))</f>
        <v>1</v>
      </c>
      <c r="H5423" s="370">
        <v>13359.199951171875</v>
      </c>
      <c r="I5423" s="370">
        <v>4240.8049621582031</v>
      </c>
      <c r="M5423" s="371">
        <f t="shared" si="337"/>
        <v>14016.15675078073</v>
      </c>
      <c r="N5423" s="329">
        <f t="shared" si="338"/>
        <v>233.04497680664099</v>
      </c>
      <c r="T5423" s="331">
        <v>0</v>
      </c>
      <c r="U5423" s="328">
        <f>VLOOKUP(C5423,METADATA!$J$5:$Q$29,IF(E5423="HI",2,IF(E5423="LO",6,10))+IF(T5423=1,2,IF(D5423=7,1,(IF(WEEKDAY(B5423)=1,2,IF(WEEKDAY(B5423)=7,1,0))))))</f>
        <v>1</v>
      </c>
      <c r="V5423" s="328">
        <f>VLOOKUP(C5423,METADATA!$A$5:$H$29,IF(E5423="HI",2,IF(E5423="LO",6,10))+IF(T5423=1,2,IF(D5423=7,1,(IF(WEEKDAY(B5423)=1,2,IF(WEEKDAY(B5423)=7,1,0))))))</f>
        <v>1</v>
      </c>
    </row>
    <row r="5424" spans="2:22">
      <c r="B5424" s="318">
        <f t="shared" si="339"/>
        <v>46338</v>
      </c>
      <c r="C5424" s="312">
        <v>20</v>
      </c>
      <c r="D5424" s="368">
        <f>IFERROR((INDEX(METADATA!$T$2:$T$20,MATCH(B5424,METADATA!$S$2:$S$20,0))),0)</f>
        <v>0</v>
      </c>
      <c r="E5424" s="312" t="str">
        <f t="shared" si="336"/>
        <v>LO</v>
      </c>
      <c r="F5424" s="369">
        <f>VLOOKUP(C5424,METADATA!$A$5:$H$29,IF(E5424="HI",2,IF(E5424="LO",6,10))+IF(D5424=1,2,IF(D5424=7,1,(IF(WEEKDAY(B5424)=1,2,IF(WEEKDAY(B5424)=7,1,0))))))</f>
        <v>1</v>
      </c>
      <c r="G5424" s="369">
        <f>VLOOKUP(C5424,METADATA!$J$5:$Q$29,IF(E5424="HI",2,IF(E5424="LO",6,10))+IF(D5424=1,2,IF(D5424=7,1,(IF(WEEKDAY(B5424)=1,2,IF(WEEKDAY(B5424)=7,1,0))))))</f>
        <v>1</v>
      </c>
      <c r="H5424" s="370">
        <v>13372.200378417969</v>
      </c>
      <c r="I5424" s="370">
        <v>4275.9749755859375</v>
      </c>
      <c r="M5424" s="371">
        <f t="shared" si="337"/>
        <v>14039.220240184241</v>
      </c>
      <c r="N5424" s="329">
        <f t="shared" si="338"/>
        <v>264.31486206054706</v>
      </c>
      <c r="T5424" s="331">
        <v>0</v>
      </c>
      <c r="U5424" s="328">
        <f>VLOOKUP(C5424,METADATA!$J$5:$Q$29,IF(E5424="HI",2,IF(E5424="LO",6,10))+IF(T5424=1,2,IF(D5424=7,1,(IF(WEEKDAY(B5424)=1,2,IF(WEEKDAY(B5424)=7,1,0))))))</f>
        <v>1</v>
      </c>
      <c r="V5424" s="328">
        <f>VLOOKUP(C5424,METADATA!$A$5:$H$29,IF(E5424="HI",2,IF(E5424="LO",6,10))+IF(T5424=1,2,IF(D5424=7,1,(IF(WEEKDAY(B5424)=1,2,IF(WEEKDAY(B5424)=7,1,0))))))</f>
        <v>1</v>
      </c>
    </row>
    <row r="5425" spans="2:22">
      <c r="B5425" s="318">
        <f t="shared" si="339"/>
        <v>46338</v>
      </c>
      <c r="C5425" s="312">
        <v>21</v>
      </c>
      <c r="D5425" s="368">
        <f>IFERROR((INDEX(METADATA!$T$2:$T$20,MATCH(B5425,METADATA!$S$2:$S$20,0))),0)</f>
        <v>0</v>
      </c>
      <c r="E5425" s="312" t="str">
        <f t="shared" si="336"/>
        <v>LO</v>
      </c>
      <c r="F5425" s="369">
        <f>VLOOKUP(C5425,METADATA!$A$5:$H$29,IF(E5425="HI",2,IF(E5425="LO",6,10))+IF(D5425=1,2,IF(D5425=7,1,(IF(WEEKDAY(B5425)=1,2,IF(WEEKDAY(B5425)=7,1,0))))))</f>
        <v>2</v>
      </c>
      <c r="G5425" s="369">
        <f>VLOOKUP(C5425,METADATA!$J$5:$Q$29,IF(E5425="HI",2,IF(E5425="LO",6,10))+IF(D5425=1,2,IF(D5425=7,1,(IF(WEEKDAY(B5425)=1,2,IF(WEEKDAY(B5425)=7,1,0))))))</f>
        <v>2</v>
      </c>
      <c r="H5425" s="370">
        <v>13475.899963378906</v>
      </c>
      <c r="I5425" s="370">
        <v>4336.2250671386719</v>
      </c>
      <c r="M5425" s="371">
        <f t="shared" si="337"/>
        <v>14156.367035926887</v>
      </c>
      <c r="N5425" s="329">
        <f t="shared" si="338"/>
        <v>293.455078125</v>
      </c>
      <c r="T5425" s="331">
        <v>0</v>
      </c>
      <c r="U5425" s="328">
        <f>VLOOKUP(C5425,METADATA!$J$5:$Q$29,IF(E5425="HI",2,IF(E5425="LO",6,10))+IF(T5425=1,2,IF(D5425=7,1,(IF(WEEKDAY(B5425)=1,2,IF(WEEKDAY(B5425)=7,1,0))))))</f>
        <v>2</v>
      </c>
      <c r="V5425" s="328">
        <f>VLOOKUP(C5425,METADATA!$A$5:$H$29,IF(E5425="HI",2,IF(E5425="LO",6,10))+IF(T5425=1,2,IF(D5425=7,1,(IF(WEEKDAY(B5425)=1,2,IF(WEEKDAY(B5425)=7,1,0))))))</f>
        <v>2</v>
      </c>
    </row>
    <row r="5426" spans="2:22">
      <c r="B5426" s="318">
        <f t="shared" si="339"/>
        <v>46338</v>
      </c>
      <c r="C5426" s="312">
        <v>22</v>
      </c>
      <c r="D5426" s="368">
        <f>IFERROR((INDEX(METADATA!$T$2:$T$20,MATCH(B5426,METADATA!$S$2:$S$20,0))),0)</f>
        <v>0</v>
      </c>
      <c r="E5426" s="312" t="str">
        <f t="shared" si="336"/>
        <v>LO</v>
      </c>
      <c r="F5426" s="369">
        <f>VLOOKUP(C5426,METADATA!$A$5:$H$29,IF(E5426="HI",2,IF(E5426="LO",6,10))+IF(D5426=1,2,IF(D5426=7,1,(IF(WEEKDAY(B5426)=1,2,IF(WEEKDAY(B5426)=7,1,0))))))</f>
        <v>3</v>
      </c>
      <c r="G5426" s="369">
        <f>VLOOKUP(C5426,METADATA!$J$5:$Q$29,IF(E5426="HI",2,IF(E5426="LO",6,10))+IF(D5426=1,2,IF(D5426=7,1,(IF(WEEKDAY(B5426)=1,2,IF(WEEKDAY(B5426)=7,1,0))))))</f>
        <v>3</v>
      </c>
      <c r="H5426" s="370">
        <v>13467.275207519531</v>
      </c>
      <c r="I5426" s="370">
        <v>4406.6849365234375</v>
      </c>
      <c r="M5426" s="371">
        <f t="shared" si="337"/>
        <v>14169.910855218985</v>
      </c>
      <c r="N5426" s="329">
        <f t="shared" si="338"/>
        <v>366.50237426757849</v>
      </c>
      <c r="T5426" s="331">
        <v>0</v>
      </c>
      <c r="U5426" s="328">
        <f>VLOOKUP(C5426,METADATA!$J$5:$Q$29,IF(E5426="HI",2,IF(E5426="LO",6,10))+IF(T5426=1,2,IF(D5426=7,1,(IF(WEEKDAY(B5426)=1,2,IF(WEEKDAY(B5426)=7,1,0))))))</f>
        <v>3</v>
      </c>
      <c r="V5426" s="328">
        <f>VLOOKUP(C5426,METADATA!$A$5:$H$29,IF(E5426="HI",2,IF(E5426="LO",6,10))+IF(T5426=1,2,IF(D5426=7,1,(IF(WEEKDAY(B5426)=1,2,IF(WEEKDAY(B5426)=7,1,0))))))</f>
        <v>3</v>
      </c>
    </row>
    <row r="5427" spans="2:22">
      <c r="B5427" s="318">
        <f t="shared" si="339"/>
        <v>46338</v>
      </c>
      <c r="C5427" s="312">
        <v>23</v>
      </c>
      <c r="D5427" s="368">
        <f>IFERROR((INDEX(METADATA!$T$2:$T$20,MATCH(B5427,METADATA!$S$2:$S$20,0))),0)</f>
        <v>0</v>
      </c>
      <c r="E5427" s="312" t="str">
        <f t="shared" si="336"/>
        <v>LO</v>
      </c>
      <c r="F5427" s="369">
        <f>VLOOKUP(C5427,METADATA!$A$5:$H$29,IF(E5427="HI",2,IF(E5427="LO",6,10))+IF(D5427=1,2,IF(D5427=7,1,(IF(WEEKDAY(B5427)=1,2,IF(WEEKDAY(B5427)=7,1,0))))))</f>
        <v>3</v>
      </c>
      <c r="G5427" s="369">
        <f>VLOOKUP(C5427,METADATA!$J$5:$Q$29,IF(E5427="HI",2,IF(E5427="LO",6,10))+IF(D5427=1,2,IF(D5427=7,1,(IF(WEEKDAY(B5427)=1,2,IF(WEEKDAY(B5427)=7,1,0))))))</f>
        <v>3</v>
      </c>
      <c r="H5427" s="370">
        <v>13477.299682617188</v>
      </c>
      <c r="I5427" s="370">
        <v>4314.030029296875</v>
      </c>
      <c r="M5427" s="371">
        <f t="shared" si="337"/>
        <v>14150.917349371684</v>
      </c>
      <c r="N5427" s="329">
        <f t="shared" si="338"/>
        <v>270.84012451171884</v>
      </c>
      <c r="T5427" s="331">
        <v>0</v>
      </c>
      <c r="U5427" s="328">
        <f>VLOOKUP(C5427,METADATA!$J$5:$Q$29,IF(E5427="HI",2,IF(E5427="LO",6,10))+IF(T5427=1,2,IF(D5427=7,1,(IF(WEEKDAY(B5427)=1,2,IF(WEEKDAY(B5427)=7,1,0))))))</f>
        <v>3</v>
      </c>
      <c r="V5427" s="328">
        <f>VLOOKUP(C5427,METADATA!$A$5:$H$29,IF(E5427="HI",2,IF(E5427="LO",6,10))+IF(T5427=1,2,IF(D5427=7,1,(IF(WEEKDAY(B5427)=1,2,IF(WEEKDAY(B5427)=7,1,0))))))</f>
        <v>3</v>
      </c>
    </row>
    <row r="5428" spans="2:22">
      <c r="B5428" s="318">
        <f t="shared" si="339"/>
        <v>46339</v>
      </c>
      <c r="C5428" s="312">
        <v>0</v>
      </c>
      <c r="D5428" s="368">
        <f>IFERROR((INDEX(METADATA!$T$2:$T$20,MATCH(B5428,METADATA!$S$2:$S$20,0))),0)</f>
        <v>0</v>
      </c>
      <c r="E5428" s="312" t="str">
        <f t="shared" si="336"/>
        <v>LO</v>
      </c>
      <c r="F5428" s="369">
        <f>VLOOKUP(C5428,METADATA!$A$5:$H$29,IF(E5428="HI",2,IF(E5428="LO",6,10))+IF(D5428=1,2,IF(D5428=7,1,(IF(WEEKDAY(B5428)=1,2,IF(WEEKDAY(B5428)=7,1,0))))))</f>
        <v>3</v>
      </c>
      <c r="G5428" s="369">
        <f>VLOOKUP(C5428,METADATA!$J$5:$Q$29,IF(E5428="HI",2,IF(E5428="LO",6,10))+IF(D5428=1,2,IF(D5428=7,1,(IF(WEEKDAY(B5428)=1,2,IF(WEEKDAY(B5428)=7,1,0))))))</f>
        <v>3</v>
      </c>
      <c r="H5428" s="370">
        <v>13534.174743652344</v>
      </c>
      <c r="I5428" s="370">
        <v>4313.7850036621094</v>
      </c>
      <c r="M5428" s="371">
        <f t="shared" si="337"/>
        <v>14205.021191449772</v>
      </c>
      <c r="N5428" s="329">
        <f t="shared" si="338"/>
        <v>253.53258056640652</v>
      </c>
      <c r="T5428" s="331">
        <v>0</v>
      </c>
      <c r="U5428" s="328">
        <f>VLOOKUP(C5428,METADATA!$J$5:$Q$29,IF(E5428="HI",2,IF(E5428="LO",6,10))+IF(T5428=1,2,IF(D5428=7,1,(IF(WEEKDAY(B5428)=1,2,IF(WEEKDAY(B5428)=7,1,0))))))</f>
        <v>3</v>
      </c>
      <c r="V5428" s="328">
        <f>VLOOKUP(C5428,METADATA!$A$5:$H$29,IF(E5428="HI",2,IF(E5428="LO",6,10))+IF(T5428=1,2,IF(D5428=7,1,(IF(WEEKDAY(B5428)=1,2,IF(WEEKDAY(B5428)=7,1,0))))))</f>
        <v>3</v>
      </c>
    </row>
    <row r="5429" spans="2:22">
      <c r="B5429" s="318">
        <f t="shared" si="339"/>
        <v>46339</v>
      </c>
      <c r="C5429" s="312">
        <v>1</v>
      </c>
      <c r="D5429" s="368">
        <f>IFERROR((INDEX(METADATA!$T$2:$T$20,MATCH(B5429,METADATA!$S$2:$S$20,0))),0)</f>
        <v>0</v>
      </c>
      <c r="E5429" s="312" t="str">
        <f t="shared" si="336"/>
        <v>LO</v>
      </c>
      <c r="F5429" s="369">
        <f>VLOOKUP(C5429,METADATA!$A$5:$H$29,IF(E5429="HI",2,IF(E5429="LO",6,10))+IF(D5429=1,2,IF(D5429=7,1,(IF(WEEKDAY(B5429)=1,2,IF(WEEKDAY(B5429)=7,1,0))))))</f>
        <v>3</v>
      </c>
      <c r="G5429" s="369">
        <f>VLOOKUP(C5429,METADATA!$J$5:$Q$29,IF(E5429="HI",2,IF(E5429="LO",6,10))+IF(D5429=1,2,IF(D5429=7,1,(IF(WEEKDAY(B5429)=1,2,IF(WEEKDAY(B5429)=7,1,0))))))</f>
        <v>3</v>
      </c>
      <c r="H5429" s="370">
        <v>11950.275512695313</v>
      </c>
      <c r="I5429" s="370">
        <v>3472.1775512695313</v>
      </c>
      <c r="M5429" s="371">
        <f t="shared" si="337"/>
        <v>12444.480775703954</v>
      </c>
      <c r="N5429" s="329">
        <f t="shared" si="338"/>
        <v>0</v>
      </c>
      <c r="T5429" s="331">
        <v>0</v>
      </c>
      <c r="U5429" s="328">
        <f>VLOOKUP(C5429,METADATA!$J$5:$Q$29,IF(E5429="HI",2,IF(E5429="LO",6,10))+IF(T5429=1,2,IF(D5429=7,1,(IF(WEEKDAY(B5429)=1,2,IF(WEEKDAY(B5429)=7,1,0))))))</f>
        <v>3</v>
      </c>
      <c r="V5429" s="328">
        <f>VLOOKUP(C5429,METADATA!$A$5:$H$29,IF(E5429="HI",2,IF(E5429="LO",6,10))+IF(T5429=1,2,IF(D5429=7,1,(IF(WEEKDAY(B5429)=1,2,IF(WEEKDAY(B5429)=7,1,0))))))</f>
        <v>3</v>
      </c>
    </row>
    <row r="5430" spans="2:22">
      <c r="B5430" s="318">
        <f t="shared" si="339"/>
        <v>46339</v>
      </c>
      <c r="C5430" s="312">
        <v>2</v>
      </c>
      <c r="D5430" s="368">
        <f>IFERROR((INDEX(METADATA!$T$2:$T$20,MATCH(B5430,METADATA!$S$2:$S$20,0))),0)</f>
        <v>0</v>
      </c>
      <c r="E5430" s="312" t="str">
        <f t="shared" si="336"/>
        <v>LO</v>
      </c>
      <c r="F5430" s="369">
        <f>VLOOKUP(C5430,METADATA!$A$5:$H$29,IF(E5430="HI",2,IF(E5430="LO",6,10))+IF(D5430=1,2,IF(D5430=7,1,(IF(WEEKDAY(B5430)=1,2,IF(WEEKDAY(B5430)=7,1,0))))))</f>
        <v>3</v>
      </c>
      <c r="G5430" s="369">
        <f>VLOOKUP(C5430,METADATA!$J$5:$Q$29,IF(E5430="HI",2,IF(E5430="LO",6,10))+IF(D5430=1,2,IF(D5430=7,1,(IF(WEEKDAY(B5430)=1,2,IF(WEEKDAY(B5430)=7,1,0))))))</f>
        <v>3</v>
      </c>
      <c r="H5430" s="370">
        <v>11478.499816894531</v>
      </c>
      <c r="I5430" s="370">
        <v>3313.0825500488281</v>
      </c>
      <c r="M5430" s="371">
        <f t="shared" si="337"/>
        <v>11947.069683813092</v>
      </c>
      <c r="N5430" s="329">
        <f t="shared" si="338"/>
        <v>0</v>
      </c>
      <c r="T5430" s="331">
        <v>0</v>
      </c>
      <c r="U5430" s="328">
        <f>VLOOKUP(C5430,METADATA!$J$5:$Q$29,IF(E5430="HI",2,IF(E5430="LO",6,10))+IF(T5430=1,2,IF(D5430=7,1,(IF(WEEKDAY(B5430)=1,2,IF(WEEKDAY(B5430)=7,1,0))))))</f>
        <v>3</v>
      </c>
      <c r="V5430" s="328">
        <f>VLOOKUP(C5430,METADATA!$A$5:$H$29,IF(E5430="HI",2,IF(E5430="LO",6,10))+IF(T5430=1,2,IF(D5430=7,1,(IF(WEEKDAY(B5430)=1,2,IF(WEEKDAY(B5430)=7,1,0))))))</f>
        <v>3</v>
      </c>
    </row>
    <row r="5431" spans="2:22">
      <c r="B5431" s="318">
        <f t="shared" si="339"/>
        <v>46339</v>
      </c>
      <c r="C5431" s="312">
        <v>3</v>
      </c>
      <c r="D5431" s="368">
        <f>IFERROR((INDEX(METADATA!$T$2:$T$20,MATCH(B5431,METADATA!$S$2:$S$20,0))),0)</f>
        <v>0</v>
      </c>
      <c r="E5431" s="312" t="str">
        <f t="shared" si="336"/>
        <v>LO</v>
      </c>
      <c r="F5431" s="369">
        <f>VLOOKUP(C5431,METADATA!$A$5:$H$29,IF(E5431="HI",2,IF(E5431="LO",6,10))+IF(D5431=1,2,IF(D5431=7,1,(IF(WEEKDAY(B5431)=1,2,IF(WEEKDAY(B5431)=7,1,0))))))</f>
        <v>3</v>
      </c>
      <c r="G5431" s="369">
        <f>VLOOKUP(C5431,METADATA!$J$5:$Q$29,IF(E5431="HI",2,IF(E5431="LO",6,10))+IF(D5431=1,2,IF(D5431=7,1,(IF(WEEKDAY(B5431)=1,2,IF(WEEKDAY(B5431)=7,1,0))))))</f>
        <v>3</v>
      </c>
      <c r="H5431" s="370">
        <v>12449.510375976563</v>
      </c>
      <c r="I5431" s="370">
        <v>3936.0084228515625</v>
      </c>
      <c r="M5431" s="371">
        <f t="shared" si="337"/>
        <v>13056.893616259056</v>
      </c>
      <c r="N5431" s="329">
        <f t="shared" si="338"/>
        <v>201.15531005859384</v>
      </c>
      <c r="T5431" s="331">
        <v>0</v>
      </c>
      <c r="U5431" s="328">
        <f>VLOOKUP(C5431,METADATA!$J$5:$Q$29,IF(E5431="HI",2,IF(E5431="LO",6,10))+IF(T5431=1,2,IF(D5431=7,1,(IF(WEEKDAY(B5431)=1,2,IF(WEEKDAY(B5431)=7,1,0))))))</f>
        <v>3</v>
      </c>
      <c r="V5431" s="328">
        <f>VLOOKUP(C5431,METADATA!$A$5:$H$29,IF(E5431="HI",2,IF(E5431="LO",6,10))+IF(T5431=1,2,IF(D5431=7,1,(IF(WEEKDAY(B5431)=1,2,IF(WEEKDAY(B5431)=7,1,0))))))</f>
        <v>3</v>
      </c>
    </row>
    <row r="5432" spans="2:22">
      <c r="B5432" s="318">
        <f t="shared" si="339"/>
        <v>46339</v>
      </c>
      <c r="C5432" s="312">
        <v>4</v>
      </c>
      <c r="D5432" s="368">
        <f>IFERROR((INDEX(METADATA!$T$2:$T$20,MATCH(B5432,METADATA!$S$2:$S$20,0))),0)</f>
        <v>0</v>
      </c>
      <c r="E5432" s="312" t="str">
        <f t="shared" si="336"/>
        <v>LO</v>
      </c>
      <c r="F5432" s="369">
        <f>VLOOKUP(C5432,METADATA!$A$5:$H$29,IF(E5432="HI",2,IF(E5432="LO",6,10))+IF(D5432=1,2,IF(D5432=7,1,(IF(WEEKDAY(B5432)=1,2,IF(WEEKDAY(B5432)=7,1,0))))))</f>
        <v>3</v>
      </c>
      <c r="G5432" s="369">
        <f>VLOOKUP(C5432,METADATA!$J$5:$Q$29,IF(E5432="HI",2,IF(E5432="LO",6,10))+IF(D5432=1,2,IF(D5432=7,1,(IF(WEEKDAY(B5432)=1,2,IF(WEEKDAY(B5432)=7,1,0))))))</f>
        <v>3</v>
      </c>
      <c r="H5432" s="370">
        <v>13219.800048828125</v>
      </c>
      <c r="I5432" s="370">
        <v>4357.4851379394531</v>
      </c>
      <c r="M5432" s="371">
        <f t="shared" si="337"/>
        <v>13919.439286780173</v>
      </c>
      <c r="N5432" s="329">
        <f t="shared" si="338"/>
        <v>391.5451232910159</v>
      </c>
      <c r="T5432" s="331">
        <v>0</v>
      </c>
      <c r="U5432" s="328">
        <f>VLOOKUP(C5432,METADATA!$J$5:$Q$29,IF(E5432="HI",2,IF(E5432="LO",6,10))+IF(T5432=1,2,IF(D5432=7,1,(IF(WEEKDAY(B5432)=1,2,IF(WEEKDAY(B5432)=7,1,0))))))</f>
        <v>3</v>
      </c>
      <c r="V5432" s="328">
        <f>VLOOKUP(C5432,METADATA!$A$5:$H$29,IF(E5432="HI",2,IF(E5432="LO",6,10))+IF(T5432=1,2,IF(D5432=7,1,(IF(WEEKDAY(B5432)=1,2,IF(WEEKDAY(B5432)=7,1,0))))))</f>
        <v>3</v>
      </c>
    </row>
    <row r="5433" spans="2:22">
      <c r="B5433" s="318">
        <f t="shared" si="339"/>
        <v>46339</v>
      </c>
      <c r="C5433" s="312">
        <v>5</v>
      </c>
      <c r="D5433" s="368">
        <f>IFERROR((INDEX(METADATA!$T$2:$T$20,MATCH(B5433,METADATA!$S$2:$S$20,0))),0)</f>
        <v>0</v>
      </c>
      <c r="E5433" s="312" t="str">
        <f t="shared" si="336"/>
        <v>LO</v>
      </c>
      <c r="F5433" s="369">
        <f>VLOOKUP(C5433,METADATA!$A$5:$H$29,IF(E5433="HI",2,IF(E5433="LO",6,10))+IF(D5433=1,2,IF(D5433=7,1,(IF(WEEKDAY(B5433)=1,2,IF(WEEKDAY(B5433)=7,1,0))))))</f>
        <v>3</v>
      </c>
      <c r="G5433" s="369">
        <f>VLOOKUP(C5433,METADATA!$J$5:$Q$29,IF(E5433="HI",2,IF(E5433="LO",6,10))+IF(D5433=1,2,IF(D5433=7,1,(IF(WEEKDAY(B5433)=1,2,IF(WEEKDAY(B5433)=7,1,0))))))</f>
        <v>3</v>
      </c>
      <c r="H5433" s="370">
        <v>13159.850280761719</v>
      </c>
      <c r="I5433" s="370">
        <v>4190.9349975585938</v>
      </c>
      <c r="M5433" s="371">
        <f t="shared" si="337"/>
        <v>13811.067864789664</v>
      </c>
      <c r="N5433" s="329">
        <f t="shared" si="338"/>
        <v>242.97991333007849</v>
      </c>
      <c r="T5433" s="331">
        <v>0</v>
      </c>
      <c r="U5433" s="328">
        <f>VLOOKUP(C5433,METADATA!$J$5:$Q$29,IF(E5433="HI",2,IF(E5433="LO",6,10))+IF(T5433=1,2,IF(D5433=7,1,(IF(WEEKDAY(B5433)=1,2,IF(WEEKDAY(B5433)=7,1,0))))))</f>
        <v>3</v>
      </c>
      <c r="V5433" s="328">
        <f>VLOOKUP(C5433,METADATA!$A$5:$H$29,IF(E5433="HI",2,IF(E5433="LO",6,10))+IF(T5433=1,2,IF(D5433=7,1,(IF(WEEKDAY(B5433)=1,2,IF(WEEKDAY(B5433)=7,1,0))))))</f>
        <v>3</v>
      </c>
    </row>
    <row r="5434" spans="2:22">
      <c r="B5434" s="318">
        <f t="shared" si="339"/>
        <v>46339</v>
      </c>
      <c r="C5434" s="312">
        <v>6</v>
      </c>
      <c r="D5434" s="368">
        <f>IFERROR((INDEX(METADATA!$T$2:$T$20,MATCH(B5434,METADATA!$S$2:$S$20,0))),0)</f>
        <v>0</v>
      </c>
      <c r="E5434" s="312" t="str">
        <f t="shared" si="336"/>
        <v>LO</v>
      </c>
      <c r="F5434" s="369">
        <f>VLOOKUP(C5434,METADATA!$A$5:$H$29,IF(E5434="HI",2,IF(E5434="LO",6,10))+IF(D5434=1,2,IF(D5434=7,1,(IF(WEEKDAY(B5434)=1,2,IF(WEEKDAY(B5434)=7,1,0))))))</f>
        <v>2</v>
      </c>
      <c r="G5434" s="369">
        <f>VLOOKUP(C5434,METADATA!$J$5:$Q$29,IF(E5434="HI",2,IF(E5434="LO",6,10))+IF(D5434=1,2,IF(D5434=7,1,(IF(WEEKDAY(B5434)=1,2,IF(WEEKDAY(B5434)=7,1,0))))))</f>
        <v>2</v>
      </c>
      <c r="H5434" s="370">
        <v>13245.025268554688</v>
      </c>
      <c r="I5434" s="370">
        <v>4105.8349304199219</v>
      </c>
      <c r="M5434" s="371">
        <f t="shared" si="337"/>
        <v>13866.81559841727</v>
      </c>
      <c r="N5434" s="329">
        <f t="shared" si="338"/>
        <v>132.3273498535159</v>
      </c>
      <c r="T5434" s="331">
        <v>0</v>
      </c>
      <c r="U5434" s="328">
        <f>VLOOKUP(C5434,METADATA!$J$5:$Q$29,IF(E5434="HI",2,IF(E5434="LO",6,10))+IF(T5434=1,2,IF(D5434=7,1,(IF(WEEKDAY(B5434)=1,2,IF(WEEKDAY(B5434)=7,1,0))))))</f>
        <v>2</v>
      </c>
      <c r="V5434" s="328">
        <f>VLOOKUP(C5434,METADATA!$A$5:$H$29,IF(E5434="HI",2,IF(E5434="LO",6,10))+IF(T5434=1,2,IF(D5434=7,1,(IF(WEEKDAY(B5434)=1,2,IF(WEEKDAY(B5434)=7,1,0))))))</f>
        <v>2</v>
      </c>
    </row>
    <row r="5435" spans="2:22">
      <c r="B5435" s="318">
        <f t="shared" si="339"/>
        <v>46339</v>
      </c>
      <c r="C5435" s="312">
        <v>7</v>
      </c>
      <c r="D5435" s="368">
        <f>IFERROR((INDEX(METADATA!$T$2:$T$20,MATCH(B5435,METADATA!$S$2:$S$20,0))),0)</f>
        <v>0</v>
      </c>
      <c r="E5435" s="312" t="str">
        <f t="shared" si="336"/>
        <v>LO</v>
      </c>
      <c r="F5435" s="369">
        <f>VLOOKUP(C5435,METADATA!$A$5:$H$29,IF(E5435="HI",2,IF(E5435="LO",6,10))+IF(D5435=1,2,IF(D5435=7,1,(IF(WEEKDAY(B5435)=1,2,IF(WEEKDAY(B5435)=7,1,0))))))</f>
        <v>1</v>
      </c>
      <c r="G5435" s="369">
        <f>VLOOKUP(C5435,METADATA!$J$5:$Q$29,IF(E5435="HI",2,IF(E5435="LO",6,10))+IF(D5435=1,2,IF(D5435=7,1,(IF(WEEKDAY(B5435)=1,2,IF(WEEKDAY(B5435)=7,1,0))))))</f>
        <v>1</v>
      </c>
      <c r="H5435" s="370">
        <v>13247.549926757813</v>
      </c>
      <c r="I5435" s="370">
        <v>4122.9099731445313</v>
      </c>
      <c r="M5435" s="371">
        <f t="shared" si="337"/>
        <v>13874.291538979407</v>
      </c>
      <c r="N5435" s="329">
        <f t="shared" si="338"/>
        <v>148.64499511718759</v>
      </c>
      <c r="T5435" s="331">
        <v>0</v>
      </c>
      <c r="U5435" s="328">
        <f>VLOOKUP(C5435,METADATA!$J$5:$Q$29,IF(E5435="HI",2,IF(E5435="LO",6,10))+IF(T5435=1,2,IF(D5435=7,1,(IF(WEEKDAY(B5435)=1,2,IF(WEEKDAY(B5435)=7,1,0))))))</f>
        <v>1</v>
      </c>
      <c r="V5435" s="328">
        <f>VLOOKUP(C5435,METADATA!$A$5:$H$29,IF(E5435="HI",2,IF(E5435="LO",6,10))+IF(T5435=1,2,IF(D5435=7,1,(IF(WEEKDAY(B5435)=1,2,IF(WEEKDAY(B5435)=7,1,0))))))</f>
        <v>1</v>
      </c>
    </row>
    <row r="5436" spans="2:22">
      <c r="B5436" s="318">
        <f t="shared" si="339"/>
        <v>46339</v>
      </c>
      <c r="C5436" s="312">
        <v>8</v>
      </c>
      <c r="D5436" s="368">
        <f>IFERROR((INDEX(METADATA!$T$2:$T$20,MATCH(B5436,METADATA!$S$2:$S$20,0))),0)</f>
        <v>0</v>
      </c>
      <c r="E5436" s="312" t="str">
        <f t="shared" si="336"/>
        <v>LO</v>
      </c>
      <c r="F5436" s="369">
        <f>VLOOKUP(C5436,METADATA!$A$5:$H$29,IF(E5436="HI",2,IF(E5436="LO",6,10))+IF(D5436=1,2,IF(D5436=7,1,(IF(WEEKDAY(B5436)=1,2,IF(WEEKDAY(B5436)=7,1,0))))))</f>
        <v>1</v>
      </c>
      <c r="G5436" s="369">
        <f>VLOOKUP(C5436,METADATA!$J$5:$Q$29,IF(E5436="HI",2,IF(E5436="LO",6,10))+IF(D5436=1,2,IF(D5436=7,1,(IF(WEEKDAY(B5436)=1,2,IF(WEEKDAY(B5436)=7,1,0))))))</f>
        <v>1</v>
      </c>
      <c r="H5436" s="370">
        <v>11536.452697753906</v>
      </c>
      <c r="I5436" s="370">
        <v>3115.6750793457031</v>
      </c>
      <c r="M5436" s="371">
        <f t="shared" si="337"/>
        <v>11949.777071040666</v>
      </c>
      <c r="N5436" s="329">
        <f t="shared" si="338"/>
        <v>0</v>
      </c>
      <c r="T5436" s="331">
        <v>0</v>
      </c>
      <c r="U5436" s="328">
        <f>VLOOKUP(C5436,METADATA!$J$5:$Q$29,IF(E5436="HI",2,IF(E5436="LO",6,10))+IF(T5436=1,2,IF(D5436=7,1,(IF(WEEKDAY(B5436)=1,2,IF(WEEKDAY(B5436)=7,1,0))))))</f>
        <v>1</v>
      </c>
      <c r="V5436" s="328">
        <f>VLOOKUP(C5436,METADATA!$A$5:$H$29,IF(E5436="HI",2,IF(E5436="LO",6,10))+IF(T5436=1,2,IF(D5436=7,1,(IF(WEEKDAY(B5436)=1,2,IF(WEEKDAY(B5436)=7,1,0))))))</f>
        <v>1</v>
      </c>
    </row>
    <row r="5437" spans="2:22">
      <c r="B5437" s="318">
        <f t="shared" si="339"/>
        <v>46339</v>
      </c>
      <c r="C5437" s="312">
        <v>9</v>
      </c>
      <c r="D5437" s="368">
        <f>IFERROR((INDEX(METADATA!$T$2:$T$20,MATCH(B5437,METADATA!$S$2:$S$20,0))),0)</f>
        <v>0</v>
      </c>
      <c r="E5437" s="312" t="str">
        <f t="shared" si="336"/>
        <v>LO</v>
      </c>
      <c r="F5437" s="369">
        <f>VLOOKUP(C5437,METADATA!$A$5:$H$29,IF(E5437="HI",2,IF(E5437="LO",6,10))+IF(D5437=1,2,IF(D5437=7,1,(IF(WEEKDAY(B5437)=1,2,IF(WEEKDAY(B5437)=7,1,0))))))</f>
        <v>2</v>
      </c>
      <c r="G5437" s="369">
        <f>VLOOKUP(C5437,METADATA!$J$5:$Q$29,IF(E5437="HI",2,IF(E5437="LO",6,10))+IF(D5437=1,2,IF(D5437=7,1,(IF(WEEKDAY(B5437)=1,2,IF(WEEKDAY(B5437)=7,1,0))))))</f>
        <v>2</v>
      </c>
      <c r="H5437" s="370">
        <v>11243.1474609375</v>
      </c>
      <c r="I5437" s="370">
        <v>2927.7875366210938</v>
      </c>
      <c r="M5437" s="371">
        <f t="shared" si="337"/>
        <v>11618.102456424593</v>
      </c>
      <c r="N5437" s="329">
        <f t="shared" si="338"/>
        <v>0</v>
      </c>
      <c r="T5437" s="331">
        <v>0</v>
      </c>
      <c r="U5437" s="328">
        <f>VLOOKUP(C5437,METADATA!$J$5:$Q$29,IF(E5437="HI",2,IF(E5437="LO",6,10))+IF(T5437=1,2,IF(D5437=7,1,(IF(WEEKDAY(B5437)=1,2,IF(WEEKDAY(B5437)=7,1,0))))))</f>
        <v>2</v>
      </c>
      <c r="V5437" s="328">
        <f>VLOOKUP(C5437,METADATA!$A$5:$H$29,IF(E5437="HI",2,IF(E5437="LO",6,10))+IF(T5437=1,2,IF(D5437=7,1,(IF(WEEKDAY(B5437)=1,2,IF(WEEKDAY(B5437)=7,1,0))))))</f>
        <v>2</v>
      </c>
    </row>
    <row r="5438" spans="2:22">
      <c r="B5438" s="318">
        <f t="shared" si="339"/>
        <v>46339</v>
      </c>
      <c r="C5438" s="312">
        <v>10</v>
      </c>
      <c r="D5438" s="368">
        <f>IFERROR((INDEX(METADATA!$T$2:$T$20,MATCH(B5438,METADATA!$S$2:$S$20,0))),0)</f>
        <v>0</v>
      </c>
      <c r="E5438" s="312" t="str">
        <f t="shared" si="336"/>
        <v>LO</v>
      </c>
      <c r="F5438" s="369">
        <f>VLOOKUP(C5438,METADATA!$A$5:$H$29,IF(E5438="HI",2,IF(E5438="LO",6,10))+IF(D5438=1,2,IF(D5438=7,1,(IF(WEEKDAY(B5438)=1,2,IF(WEEKDAY(B5438)=7,1,0))))))</f>
        <v>2</v>
      </c>
      <c r="G5438" s="369">
        <f>VLOOKUP(C5438,METADATA!$J$5:$Q$29,IF(E5438="HI",2,IF(E5438="LO",6,10))+IF(D5438=1,2,IF(D5438=7,1,(IF(WEEKDAY(B5438)=1,2,IF(WEEKDAY(B5438)=7,1,0))))))</f>
        <v>2</v>
      </c>
      <c r="H5438" s="370">
        <v>13072.024780273438</v>
      </c>
      <c r="I5438" s="370">
        <v>4021.9999694824219</v>
      </c>
      <c r="M5438" s="371">
        <f t="shared" si="337"/>
        <v>13676.780162399315</v>
      </c>
      <c r="N5438" s="329">
        <f t="shared" si="338"/>
        <v>100.3925354003909</v>
      </c>
      <c r="T5438" s="331">
        <v>0</v>
      </c>
      <c r="U5438" s="328">
        <f>VLOOKUP(C5438,METADATA!$J$5:$Q$29,IF(E5438="HI",2,IF(E5438="LO",6,10))+IF(T5438=1,2,IF(D5438=7,1,(IF(WEEKDAY(B5438)=1,2,IF(WEEKDAY(B5438)=7,1,0))))))</f>
        <v>2</v>
      </c>
      <c r="V5438" s="328">
        <f>VLOOKUP(C5438,METADATA!$A$5:$H$29,IF(E5438="HI",2,IF(E5438="LO",6,10))+IF(T5438=1,2,IF(D5438=7,1,(IF(WEEKDAY(B5438)=1,2,IF(WEEKDAY(B5438)=7,1,0))))))</f>
        <v>2</v>
      </c>
    </row>
    <row r="5439" spans="2:22">
      <c r="B5439" s="318">
        <f t="shared" si="339"/>
        <v>46339</v>
      </c>
      <c r="C5439" s="312">
        <v>11</v>
      </c>
      <c r="D5439" s="368">
        <f>IFERROR((INDEX(METADATA!$T$2:$T$20,MATCH(B5439,METADATA!$S$2:$S$20,0))),0)</f>
        <v>0</v>
      </c>
      <c r="E5439" s="312" t="str">
        <f t="shared" si="336"/>
        <v>LO</v>
      </c>
      <c r="F5439" s="369">
        <f>VLOOKUP(C5439,METADATA!$A$5:$H$29,IF(E5439="HI",2,IF(E5439="LO",6,10))+IF(D5439=1,2,IF(D5439=7,1,(IF(WEEKDAY(B5439)=1,2,IF(WEEKDAY(B5439)=7,1,0))))))</f>
        <v>2</v>
      </c>
      <c r="G5439" s="369">
        <f>VLOOKUP(C5439,METADATA!$J$5:$Q$29,IF(E5439="HI",2,IF(E5439="LO",6,10))+IF(D5439=1,2,IF(D5439=7,1,(IF(WEEKDAY(B5439)=1,2,IF(WEEKDAY(B5439)=7,1,0))))))</f>
        <v>2</v>
      </c>
      <c r="H5439" s="370">
        <v>13365.574829101563</v>
      </c>
      <c r="I5439" s="370">
        <v>4380.6400451660156</v>
      </c>
      <c r="M5439" s="371">
        <f t="shared" si="337"/>
        <v>14065.155445910485</v>
      </c>
      <c r="N5439" s="329">
        <f t="shared" si="338"/>
        <v>370.96759643554697</v>
      </c>
      <c r="T5439" s="331">
        <v>0</v>
      </c>
      <c r="U5439" s="328">
        <f>VLOOKUP(C5439,METADATA!$J$5:$Q$29,IF(E5439="HI",2,IF(E5439="LO",6,10))+IF(T5439=1,2,IF(D5439=7,1,(IF(WEEKDAY(B5439)=1,2,IF(WEEKDAY(B5439)=7,1,0))))))</f>
        <v>2</v>
      </c>
      <c r="V5439" s="328">
        <f>VLOOKUP(C5439,METADATA!$A$5:$H$29,IF(E5439="HI",2,IF(E5439="LO",6,10))+IF(T5439=1,2,IF(D5439=7,1,(IF(WEEKDAY(B5439)=1,2,IF(WEEKDAY(B5439)=7,1,0))))))</f>
        <v>2</v>
      </c>
    </row>
    <row r="5440" spans="2:22">
      <c r="B5440" s="318">
        <f t="shared" si="339"/>
        <v>46339</v>
      </c>
      <c r="C5440" s="312">
        <v>12</v>
      </c>
      <c r="D5440" s="368">
        <f>IFERROR((INDEX(METADATA!$T$2:$T$20,MATCH(B5440,METADATA!$S$2:$S$20,0))),0)</f>
        <v>0</v>
      </c>
      <c r="E5440" s="312" t="str">
        <f t="shared" si="336"/>
        <v>LO</v>
      </c>
      <c r="F5440" s="369">
        <f>VLOOKUP(C5440,METADATA!$A$5:$H$29,IF(E5440="HI",2,IF(E5440="LO",6,10))+IF(D5440=1,2,IF(D5440=7,1,(IF(WEEKDAY(B5440)=1,2,IF(WEEKDAY(B5440)=7,1,0))))))</f>
        <v>2</v>
      </c>
      <c r="G5440" s="369">
        <f>VLOOKUP(C5440,METADATA!$J$5:$Q$29,IF(E5440="HI",2,IF(E5440="LO",6,10))+IF(D5440=1,2,IF(D5440=7,1,(IF(WEEKDAY(B5440)=1,2,IF(WEEKDAY(B5440)=7,1,0))))))</f>
        <v>2</v>
      </c>
      <c r="H5440" s="370">
        <v>13287.375</v>
      </c>
      <c r="I5440" s="370">
        <v>4295.5600891113281</v>
      </c>
      <c r="M5440" s="371">
        <f t="shared" si="337"/>
        <v>13964.460994603091</v>
      </c>
      <c r="N5440" s="329">
        <f t="shared" si="338"/>
        <v>309.34758911132849</v>
      </c>
      <c r="T5440" s="331">
        <v>0</v>
      </c>
      <c r="U5440" s="328">
        <f>VLOOKUP(C5440,METADATA!$J$5:$Q$29,IF(E5440="HI",2,IF(E5440="LO",6,10))+IF(T5440=1,2,IF(D5440=7,1,(IF(WEEKDAY(B5440)=1,2,IF(WEEKDAY(B5440)=7,1,0))))))</f>
        <v>2</v>
      </c>
      <c r="V5440" s="328">
        <f>VLOOKUP(C5440,METADATA!$A$5:$H$29,IF(E5440="HI",2,IF(E5440="LO",6,10))+IF(T5440=1,2,IF(D5440=7,1,(IF(WEEKDAY(B5440)=1,2,IF(WEEKDAY(B5440)=7,1,0))))))</f>
        <v>2</v>
      </c>
    </row>
    <row r="5441" spans="2:22">
      <c r="B5441" s="318">
        <f t="shared" si="339"/>
        <v>46339</v>
      </c>
      <c r="C5441" s="312">
        <v>13</v>
      </c>
      <c r="D5441" s="368">
        <f>IFERROR((INDEX(METADATA!$T$2:$T$20,MATCH(B5441,METADATA!$S$2:$S$20,0))),0)</f>
        <v>0</v>
      </c>
      <c r="E5441" s="312" t="str">
        <f t="shared" si="336"/>
        <v>LO</v>
      </c>
      <c r="F5441" s="369">
        <f>VLOOKUP(C5441,METADATA!$A$5:$H$29,IF(E5441="HI",2,IF(E5441="LO",6,10))+IF(D5441=1,2,IF(D5441=7,1,(IF(WEEKDAY(B5441)=1,2,IF(WEEKDAY(B5441)=7,1,0))))))</f>
        <v>2</v>
      </c>
      <c r="G5441" s="369">
        <f>VLOOKUP(C5441,METADATA!$J$5:$Q$29,IF(E5441="HI",2,IF(E5441="LO",6,10))+IF(D5441=1,2,IF(D5441=7,1,(IF(WEEKDAY(B5441)=1,2,IF(WEEKDAY(B5441)=7,1,0))))))</f>
        <v>2</v>
      </c>
      <c r="H5441" s="370">
        <v>12864.499877929688</v>
      </c>
      <c r="I5441" s="370">
        <v>4019.5449523925781</v>
      </c>
      <c r="M5441" s="371">
        <f t="shared" si="337"/>
        <v>13477.837316630497</v>
      </c>
      <c r="N5441" s="329">
        <f t="shared" si="338"/>
        <v>160.19498901367206</v>
      </c>
      <c r="T5441" s="331">
        <v>0</v>
      </c>
      <c r="U5441" s="328">
        <f>VLOOKUP(C5441,METADATA!$J$5:$Q$29,IF(E5441="HI",2,IF(E5441="LO",6,10))+IF(T5441=1,2,IF(D5441=7,1,(IF(WEEKDAY(B5441)=1,2,IF(WEEKDAY(B5441)=7,1,0))))))</f>
        <v>2</v>
      </c>
      <c r="V5441" s="328">
        <f>VLOOKUP(C5441,METADATA!$A$5:$H$29,IF(E5441="HI",2,IF(E5441="LO",6,10))+IF(T5441=1,2,IF(D5441=7,1,(IF(WEEKDAY(B5441)=1,2,IF(WEEKDAY(B5441)=7,1,0))))))</f>
        <v>2</v>
      </c>
    </row>
    <row r="5442" spans="2:22">
      <c r="B5442" s="318">
        <f t="shared" si="339"/>
        <v>46339</v>
      </c>
      <c r="C5442" s="312">
        <v>14</v>
      </c>
      <c r="D5442" s="368">
        <f>IFERROR((INDEX(METADATA!$T$2:$T$20,MATCH(B5442,METADATA!$S$2:$S$20,0))),0)</f>
        <v>0</v>
      </c>
      <c r="E5442" s="312" t="str">
        <f t="shared" si="336"/>
        <v>LO</v>
      </c>
      <c r="F5442" s="369">
        <f>VLOOKUP(C5442,METADATA!$A$5:$H$29,IF(E5442="HI",2,IF(E5442="LO",6,10))+IF(D5442=1,2,IF(D5442=7,1,(IF(WEEKDAY(B5442)=1,2,IF(WEEKDAY(B5442)=7,1,0))))))</f>
        <v>2</v>
      </c>
      <c r="G5442" s="369">
        <f>VLOOKUP(C5442,METADATA!$J$5:$Q$29,IF(E5442="HI",2,IF(E5442="LO",6,10))+IF(D5442=1,2,IF(D5442=7,1,(IF(WEEKDAY(B5442)=1,2,IF(WEEKDAY(B5442)=7,1,0))))))</f>
        <v>2</v>
      </c>
      <c r="H5442" s="370">
        <v>11259.799987792969</v>
      </c>
      <c r="I5442" s="370">
        <v>3148.5425109863281</v>
      </c>
      <c r="M5442" s="371">
        <f t="shared" si="337"/>
        <v>11691.724240187614</v>
      </c>
      <c r="N5442" s="329">
        <f t="shared" si="338"/>
        <v>0</v>
      </c>
      <c r="T5442" s="331">
        <v>0</v>
      </c>
      <c r="U5442" s="328">
        <f>VLOOKUP(C5442,METADATA!$J$5:$Q$29,IF(E5442="HI",2,IF(E5442="LO",6,10))+IF(T5442=1,2,IF(D5442=7,1,(IF(WEEKDAY(B5442)=1,2,IF(WEEKDAY(B5442)=7,1,0))))))</f>
        <v>2</v>
      </c>
      <c r="V5442" s="328">
        <f>VLOOKUP(C5442,METADATA!$A$5:$H$29,IF(E5442="HI",2,IF(E5442="LO",6,10))+IF(T5442=1,2,IF(D5442=7,1,(IF(WEEKDAY(B5442)=1,2,IF(WEEKDAY(B5442)=7,1,0))))))</f>
        <v>2</v>
      </c>
    </row>
    <row r="5443" spans="2:22">
      <c r="B5443" s="318">
        <f t="shared" si="339"/>
        <v>46339</v>
      </c>
      <c r="C5443" s="312">
        <v>15</v>
      </c>
      <c r="D5443" s="368">
        <f>IFERROR((INDEX(METADATA!$T$2:$T$20,MATCH(B5443,METADATA!$S$2:$S$20,0))),0)</f>
        <v>0</v>
      </c>
      <c r="E5443" s="312" t="str">
        <f t="shared" si="336"/>
        <v>LO</v>
      </c>
      <c r="F5443" s="369">
        <f>VLOOKUP(C5443,METADATA!$A$5:$H$29,IF(E5443="HI",2,IF(E5443="LO",6,10))+IF(D5443=1,2,IF(D5443=7,1,(IF(WEEKDAY(B5443)=1,2,IF(WEEKDAY(B5443)=7,1,0))))))</f>
        <v>2</v>
      </c>
      <c r="G5443" s="369">
        <f>VLOOKUP(C5443,METADATA!$J$5:$Q$29,IF(E5443="HI",2,IF(E5443="LO",6,10))+IF(D5443=1,2,IF(D5443=7,1,(IF(WEEKDAY(B5443)=1,2,IF(WEEKDAY(B5443)=7,1,0))))))</f>
        <v>2</v>
      </c>
      <c r="H5443" s="370">
        <v>11467.499877929688</v>
      </c>
      <c r="I5443" s="370">
        <v>3154.10498046875</v>
      </c>
      <c r="M5443" s="371">
        <f t="shared" si="337"/>
        <v>11893.35661948027</v>
      </c>
      <c r="N5443" s="329">
        <f t="shared" si="338"/>
        <v>0</v>
      </c>
      <c r="T5443" s="331">
        <v>0</v>
      </c>
      <c r="U5443" s="328">
        <f>VLOOKUP(C5443,METADATA!$J$5:$Q$29,IF(E5443="HI",2,IF(E5443="LO",6,10))+IF(T5443=1,2,IF(D5443=7,1,(IF(WEEKDAY(B5443)=1,2,IF(WEEKDAY(B5443)=7,1,0))))))</f>
        <v>2</v>
      </c>
      <c r="V5443" s="328">
        <f>VLOOKUP(C5443,METADATA!$A$5:$H$29,IF(E5443="HI",2,IF(E5443="LO",6,10))+IF(T5443=1,2,IF(D5443=7,1,(IF(WEEKDAY(B5443)=1,2,IF(WEEKDAY(B5443)=7,1,0))))))</f>
        <v>2</v>
      </c>
    </row>
    <row r="5444" spans="2:22">
      <c r="B5444" s="318">
        <f t="shared" si="339"/>
        <v>46339</v>
      </c>
      <c r="C5444" s="312">
        <v>16</v>
      </c>
      <c r="D5444" s="368">
        <f>IFERROR((INDEX(METADATA!$T$2:$T$20,MATCH(B5444,METADATA!$S$2:$S$20,0))),0)</f>
        <v>0</v>
      </c>
      <c r="E5444" s="312" t="str">
        <f t="shared" ref="E5444:E5507" si="340">IF(B5444="","",IF(AND(MONTH(B5444)&gt;=MONTH($Z$9),MONTH(B5444)&lt;=MONTH($Z$11)),"HI","LO"))</f>
        <v>LO</v>
      </c>
      <c r="F5444" s="369">
        <f>VLOOKUP(C5444,METADATA!$A$5:$H$29,IF(E5444="HI",2,IF(E5444="LO",6,10))+IF(D5444=1,2,IF(D5444=7,1,(IF(WEEKDAY(B5444)=1,2,IF(WEEKDAY(B5444)=7,1,0))))))</f>
        <v>2</v>
      </c>
      <c r="G5444" s="369">
        <f>VLOOKUP(C5444,METADATA!$J$5:$Q$29,IF(E5444="HI",2,IF(E5444="LO",6,10))+IF(D5444=1,2,IF(D5444=7,1,(IF(WEEKDAY(B5444)=1,2,IF(WEEKDAY(B5444)=7,1,0))))))</f>
        <v>2</v>
      </c>
      <c r="H5444" s="370">
        <v>13232.225158691406</v>
      </c>
      <c r="I5444" s="370">
        <v>4261.3099975585938</v>
      </c>
      <c r="M5444" s="371">
        <f t="shared" ref="M5444:M5507" si="341">SQRT(H5444^2+I5444^2)</f>
        <v>13901.458396355349</v>
      </c>
      <c r="N5444" s="329">
        <f t="shared" ref="N5444:N5507" si="342">IF(H5444=0,0,(IF(I5444-(0.3*H5444)&lt;0,0,(I5444-(0.3*H5444)))))</f>
        <v>291.64244995117224</v>
      </c>
      <c r="T5444" s="331">
        <v>0</v>
      </c>
      <c r="U5444" s="328">
        <f>VLOOKUP(C5444,METADATA!$J$5:$Q$29,IF(E5444="HI",2,IF(E5444="LO",6,10))+IF(T5444=1,2,IF(D5444=7,1,(IF(WEEKDAY(B5444)=1,2,IF(WEEKDAY(B5444)=7,1,0))))))</f>
        <v>2</v>
      </c>
      <c r="V5444" s="328">
        <f>VLOOKUP(C5444,METADATA!$A$5:$H$29,IF(E5444="HI",2,IF(E5444="LO",6,10))+IF(T5444=1,2,IF(D5444=7,1,(IF(WEEKDAY(B5444)=1,2,IF(WEEKDAY(B5444)=7,1,0))))))</f>
        <v>2</v>
      </c>
    </row>
    <row r="5445" spans="2:22">
      <c r="B5445" s="318">
        <f t="shared" si="339"/>
        <v>46339</v>
      </c>
      <c r="C5445" s="312">
        <v>17</v>
      </c>
      <c r="D5445" s="368">
        <f>IFERROR((INDEX(METADATA!$T$2:$T$20,MATCH(B5445,METADATA!$S$2:$S$20,0))),0)</f>
        <v>0</v>
      </c>
      <c r="E5445" s="312" t="str">
        <f t="shared" si="340"/>
        <v>LO</v>
      </c>
      <c r="F5445" s="369">
        <f>VLOOKUP(C5445,METADATA!$A$5:$H$29,IF(E5445="HI",2,IF(E5445="LO",6,10))+IF(D5445=1,2,IF(D5445=7,1,(IF(WEEKDAY(B5445)=1,2,IF(WEEKDAY(B5445)=7,1,0))))))</f>
        <v>2</v>
      </c>
      <c r="G5445" s="369">
        <f>VLOOKUP(C5445,METADATA!$J$5:$Q$29,IF(E5445="HI",2,IF(E5445="LO",6,10))+IF(D5445=1,2,IF(D5445=7,1,(IF(WEEKDAY(B5445)=1,2,IF(WEEKDAY(B5445)=7,1,0))))))</f>
        <v>2</v>
      </c>
      <c r="H5445" s="370">
        <v>13377.72509765625</v>
      </c>
      <c r="I5445" s="370">
        <v>4264.9249267578125</v>
      </c>
      <c r="M5445" s="371">
        <f t="shared" si="341"/>
        <v>14041.122227918324</v>
      </c>
      <c r="N5445" s="329">
        <f t="shared" si="342"/>
        <v>251.60739746093759</v>
      </c>
      <c r="T5445" s="331">
        <v>0</v>
      </c>
      <c r="U5445" s="328">
        <f>VLOOKUP(C5445,METADATA!$J$5:$Q$29,IF(E5445="HI",2,IF(E5445="LO",6,10))+IF(T5445=1,2,IF(D5445=7,1,(IF(WEEKDAY(B5445)=1,2,IF(WEEKDAY(B5445)=7,1,0))))))</f>
        <v>2</v>
      </c>
      <c r="V5445" s="328">
        <f>VLOOKUP(C5445,METADATA!$A$5:$H$29,IF(E5445="HI",2,IF(E5445="LO",6,10))+IF(T5445=1,2,IF(D5445=7,1,(IF(WEEKDAY(B5445)=1,2,IF(WEEKDAY(B5445)=7,1,0))))))</f>
        <v>2</v>
      </c>
    </row>
    <row r="5446" spans="2:22">
      <c r="B5446" s="318">
        <f t="shared" si="339"/>
        <v>46339</v>
      </c>
      <c r="C5446" s="312">
        <v>18</v>
      </c>
      <c r="D5446" s="368">
        <f>IFERROR((INDEX(METADATA!$T$2:$T$20,MATCH(B5446,METADATA!$S$2:$S$20,0))),0)</f>
        <v>0</v>
      </c>
      <c r="E5446" s="312" t="str">
        <f t="shared" si="340"/>
        <v>LO</v>
      </c>
      <c r="F5446" s="369">
        <f>VLOOKUP(C5446,METADATA!$A$5:$H$29,IF(E5446="HI",2,IF(E5446="LO",6,10))+IF(D5446=1,2,IF(D5446=7,1,(IF(WEEKDAY(B5446)=1,2,IF(WEEKDAY(B5446)=7,1,0))))))</f>
        <v>1</v>
      </c>
      <c r="G5446" s="369">
        <f>VLOOKUP(C5446,METADATA!$J$5:$Q$29,IF(E5446="HI",2,IF(E5446="LO",6,10))+IF(D5446=1,2,IF(D5446=7,1,(IF(WEEKDAY(B5446)=1,2,IF(WEEKDAY(B5446)=7,1,0))))))</f>
        <v>1</v>
      </c>
      <c r="H5446" s="370">
        <v>13123.324829101563</v>
      </c>
      <c r="I5446" s="370">
        <v>4150.2950439453125</v>
      </c>
      <c r="M5446" s="371">
        <f t="shared" si="341"/>
        <v>13763.960313874439</v>
      </c>
      <c r="N5446" s="329">
        <f t="shared" si="342"/>
        <v>213.29759521484402</v>
      </c>
      <c r="T5446" s="331">
        <v>0</v>
      </c>
      <c r="U5446" s="328">
        <f>VLOOKUP(C5446,METADATA!$J$5:$Q$29,IF(E5446="HI",2,IF(E5446="LO",6,10))+IF(T5446=1,2,IF(D5446=7,1,(IF(WEEKDAY(B5446)=1,2,IF(WEEKDAY(B5446)=7,1,0))))))</f>
        <v>1</v>
      </c>
      <c r="V5446" s="328">
        <f>VLOOKUP(C5446,METADATA!$A$5:$H$29,IF(E5446="HI",2,IF(E5446="LO",6,10))+IF(T5446=1,2,IF(D5446=7,1,(IF(WEEKDAY(B5446)=1,2,IF(WEEKDAY(B5446)=7,1,0))))))</f>
        <v>1</v>
      </c>
    </row>
    <row r="5447" spans="2:22">
      <c r="B5447" s="318">
        <f t="shared" si="339"/>
        <v>46339</v>
      </c>
      <c r="C5447" s="312">
        <v>19</v>
      </c>
      <c r="D5447" s="368">
        <f>IFERROR((INDEX(METADATA!$T$2:$T$20,MATCH(B5447,METADATA!$S$2:$S$20,0))),0)</f>
        <v>0</v>
      </c>
      <c r="E5447" s="312" t="str">
        <f t="shared" si="340"/>
        <v>LO</v>
      </c>
      <c r="F5447" s="369">
        <f>VLOOKUP(C5447,METADATA!$A$5:$H$29,IF(E5447="HI",2,IF(E5447="LO",6,10))+IF(D5447=1,2,IF(D5447=7,1,(IF(WEEKDAY(B5447)=1,2,IF(WEEKDAY(B5447)=7,1,0))))))</f>
        <v>1</v>
      </c>
      <c r="G5447" s="369">
        <f>VLOOKUP(C5447,METADATA!$J$5:$Q$29,IF(E5447="HI",2,IF(E5447="LO",6,10))+IF(D5447=1,2,IF(D5447=7,1,(IF(WEEKDAY(B5447)=1,2,IF(WEEKDAY(B5447)=7,1,0))))))</f>
        <v>1</v>
      </c>
      <c r="H5447" s="370">
        <v>13176.2001953125</v>
      </c>
      <c r="I5447" s="370">
        <v>4102.4548950195313</v>
      </c>
      <c r="M5447" s="371">
        <f t="shared" si="341"/>
        <v>13800.086512505017</v>
      </c>
      <c r="N5447" s="329">
        <f t="shared" si="342"/>
        <v>149.59483642578152</v>
      </c>
      <c r="T5447" s="331">
        <v>0</v>
      </c>
      <c r="U5447" s="328">
        <f>VLOOKUP(C5447,METADATA!$J$5:$Q$29,IF(E5447="HI",2,IF(E5447="LO",6,10))+IF(T5447=1,2,IF(D5447=7,1,(IF(WEEKDAY(B5447)=1,2,IF(WEEKDAY(B5447)=7,1,0))))))</f>
        <v>1</v>
      </c>
      <c r="V5447" s="328">
        <f>VLOOKUP(C5447,METADATA!$A$5:$H$29,IF(E5447="HI",2,IF(E5447="LO",6,10))+IF(T5447=1,2,IF(D5447=7,1,(IF(WEEKDAY(B5447)=1,2,IF(WEEKDAY(B5447)=7,1,0))))))</f>
        <v>1</v>
      </c>
    </row>
    <row r="5448" spans="2:22">
      <c r="B5448" s="318">
        <f t="shared" si="339"/>
        <v>46339</v>
      </c>
      <c r="C5448" s="312">
        <v>20</v>
      </c>
      <c r="D5448" s="368">
        <f>IFERROR((INDEX(METADATA!$T$2:$T$20,MATCH(B5448,METADATA!$S$2:$S$20,0))),0)</f>
        <v>0</v>
      </c>
      <c r="E5448" s="312" t="str">
        <f t="shared" si="340"/>
        <v>LO</v>
      </c>
      <c r="F5448" s="369">
        <f>VLOOKUP(C5448,METADATA!$A$5:$H$29,IF(E5448="HI",2,IF(E5448="LO",6,10))+IF(D5448=1,2,IF(D5448=7,1,(IF(WEEKDAY(B5448)=1,2,IF(WEEKDAY(B5448)=7,1,0))))))</f>
        <v>1</v>
      </c>
      <c r="G5448" s="369">
        <f>VLOOKUP(C5448,METADATA!$J$5:$Q$29,IF(E5448="HI",2,IF(E5448="LO",6,10))+IF(D5448=1,2,IF(D5448=7,1,(IF(WEEKDAY(B5448)=1,2,IF(WEEKDAY(B5448)=7,1,0))))))</f>
        <v>1</v>
      </c>
      <c r="H5448" s="370">
        <v>13295.674560546875</v>
      </c>
      <c r="I5448" s="370">
        <v>4201.6349182128906</v>
      </c>
      <c r="M5448" s="371">
        <f t="shared" si="341"/>
        <v>13943.769146321922</v>
      </c>
      <c r="N5448" s="329">
        <f t="shared" si="342"/>
        <v>212.93255004882849</v>
      </c>
      <c r="T5448" s="331">
        <v>0</v>
      </c>
      <c r="U5448" s="328">
        <f>VLOOKUP(C5448,METADATA!$J$5:$Q$29,IF(E5448="HI",2,IF(E5448="LO",6,10))+IF(T5448=1,2,IF(D5448=7,1,(IF(WEEKDAY(B5448)=1,2,IF(WEEKDAY(B5448)=7,1,0))))))</f>
        <v>1</v>
      </c>
      <c r="V5448" s="328">
        <f>VLOOKUP(C5448,METADATA!$A$5:$H$29,IF(E5448="HI",2,IF(E5448="LO",6,10))+IF(T5448=1,2,IF(D5448=7,1,(IF(WEEKDAY(B5448)=1,2,IF(WEEKDAY(B5448)=7,1,0))))))</f>
        <v>1</v>
      </c>
    </row>
    <row r="5449" spans="2:22">
      <c r="B5449" s="318">
        <f t="shared" si="339"/>
        <v>46339</v>
      </c>
      <c r="C5449" s="312">
        <v>21</v>
      </c>
      <c r="D5449" s="368">
        <f>IFERROR((INDEX(METADATA!$T$2:$T$20,MATCH(B5449,METADATA!$S$2:$S$20,0))),0)</f>
        <v>0</v>
      </c>
      <c r="E5449" s="312" t="str">
        <f t="shared" si="340"/>
        <v>LO</v>
      </c>
      <c r="F5449" s="369">
        <f>VLOOKUP(C5449,METADATA!$A$5:$H$29,IF(E5449="HI",2,IF(E5449="LO",6,10))+IF(D5449=1,2,IF(D5449=7,1,(IF(WEEKDAY(B5449)=1,2,IF(WEEKDAY(B5449)=7,1,0))))))</f>
        <v>2</v>
      </c>
      <c r="G5449" s="369">
        <f>VLOOKUP(C5449,METADATA!$J$5:$Q$29,IF(E5449="HI",2,IF(E5449="LO",6,10))+IF(D5449=1,2,IF(D5449=7,1,(IF(WEEKDAY(B5449)=1,2,IF(WEEKDAY(B5449)=7,1,0))))))</f>
        <v>2</v>
      </c>
      <c r="H5449" s="370">
        <v>13186.025146484375</v>
      </c>
      <c r="I5449" s="370">
        <v>4502.4749755859375</v>
      </c>
      <c r="M5449" s="371">
        <f t="shared" si="341"/>
        <v>13933.540112602248</v>
      </c>
      <c r="N5449" s="329">
        <f t="shared" si="342"/>
        <v>546.66743164062518</v>
      </c>
      <c r="T5449" s="331">
        <v>0</v>
      </c>
      <c r="U5449" s="328">
        <f>VLOOKUP(C5449,METADATA!$J$5:$Q$29,IF(E5449="HI",2,IF(E5449="LO",6,10))+IF(T5449=1,2,IF(D5449=7,1,(IF(WEEKDAY(B5449)=1,2,IF(WEEKDAY(B5449)=7,1,0))))))</f>
        <v>2</v>
      </c>
      <c r="V5449" s="328">
        <f>VLOOKUP(C5449,METADATA!$A$5:$H$29,IF(E5449="HI",2,IF(E5449="LO",6,10))+IF(T5449=1,2,IF(D5449=7,1,(IF(WEEKDAY(B5449)=1,2,IF(WEEKDAY(B5449)=7,1,0))))))</f>
        <v>2</v>
      </c>
    </row>
    <row r="5450" spans="2:22">
      <c r="B5450" s="318">
        <f t="shared" si="339"/>
        <v>46339</v>
      </c>
      <c r="C5450" s="312">
        <v>22</v>
      </c>
      <c r="D5450" s="368">
        <f>IFERROR((INDEX(METADATA!$T$2:$T$20,MATCH(B5450,METADATA!$S$2:$S$20,0))),0)</f>
        <v>0</v>
      </c>
      <c r="E5450" s="312" t="str">
        <f t="shared" si="340"/>
        <v>LO</v>
      </c>
      <c r="F5450" s="369">
        <f>VLOOKUP(C5450,METADATA!$A$5:$H$29,IF(E5450="HI",2,IF(E5450="LO",6,10))+IF(D5450=1,2,IF(D5450=7,1,(IF(WEEKDAY(B5450)=1,2,IF(WEEKDAY(B5450)=7,1,0))))))</f>
        <v>3</v>
      </c>
      <c r="G5450" s="369">
        <f>VLOOKUP(C5450,METADATA!$J$5:$Q$29,IF(E5450="HI",2,IF(E5450="LO",6,10))+IF(D5450=1,2,IF(D5450=7,1,(IF(WEEKDAY(B5450)=1,2,IF(WEEKDAY(B5450)=7,1,0))))))</f>
        <v>3</v>
      </c>
      <c r="H5450" s="370">
        <v>13371.350036621094</v>
      </c>
      <c r="I5450" s="370">
        <v>5016.5</v>
      </c>
      <c r="M5450" s="371">
        <f t="shared" si="341"/>
        <v>14281.396082030878</v>
      </c>
      <c r="N5450" s="329">
        <f t="shared" si="342"/>
        <v>1005.0949890136721</v>
      </c>
      <c r="T5450" s="331">
        <v>0</v>
      </c>
      <c r="U5450" s="328">
        <f>VLOOKUP(C5450,METADATA!$J$5:$Q$29,IF(E5450="HI",2,IF(E5450="LO",6,10))+IF(T5450=1,2,IF(D5450=7,1,(IF(WEEKDAY(B5450)=1,2,IF(WEEKDAY(B5450)=7,1,0))))))</f>
        <v>3</v>
      </c>
      <c r="V5450" s="328">
        <f>VLOOKUP(C5450,METADATA!$A$5:$H$29,IF(E5450="HI",2,IF(E5450="LO",6,10))+IF(T5450=1,2,IF(D5450=7,1,(IF(WEEKDAY(B5450)=1,2,IF(WEEKDAY(B5450)=7,1,0))))))</f>
        <v>3</v>
      </c>
    </row>
    <row r="5451" spans="2:22">
      <c r="B5451" s="318">
        <f t="shared" si="339"/>
        <v>46339</v>
      </c>
      <c r="C5451" s="312">
        <v>23</v>
      </c>
      <c r="D5451" s="368">
        <f>IFERROR((INDEX(METADATA!$T$2:$T$20,MATCH(B5451,METADATA!$S$2:$S$20,0))),0)</f>
        <v>0</v>
      </c>
      <c r="E5451" s="312" t="str">
        <f t="shared" si="340"/>
        <v>LO</v>
      </c>
      <c r="F5451" s="369">
        <f>VLOOKUP(C5451,METADATA!$A$5:$H$29,IF(E5451="HI",2,IF(E5451="LO",6,10))+IF(D5451=1,2,IF(D5451=7,1,(IF(WEEKDAY(B5451)=1,2,IF(WEEKDAY(B5451)=7,1,0))))))</f>
        <v>3</v>
      </c>
      <c r="G5451" s="369">
        <f>VLOOKUP(C5451,METADATA!$J$5:$Q$29,IF(E5451="HI",2,IF(E5451="LO",6,10))+IF(D5451=1,2,IF(D5451=7,1,(IF(WEEKDAY(B5451)=1,2,IF(WEEKDAY(B5451)=7,1,0))))))</f>
        <v>3</v>
      </c>
      <c r="H5451" s="370">
        <v>13291.22509765625</v>
      </c>
      <c r="I5451" s="370">
        <v>4941.0999755859375</v>
      </c>
      <c r="M5451" s="371">
        <f t="shared" si="341"/>
        <v>14179.95534426335</v>
      </c>
      <c r="N5451" s="329">
        <f t="shared" si="342"/>
        <v>953.73244628906286</v>
      </c>
      <c r="T5451" s="331">
        <v>0</v>
      </c>
      <c r="U5451" s="328">
        <f>VLOOKUP(C5451,METADATA!$J$5:$Q$29,IF(E5451="HI",2,IF(E5451="LO",6,10))+IF(T5451=1,2,IF(D5451=7,1,(IF(WEEKDAY(B5451)=1,2,IF(WEEKDAY(B5451)=7,1,0))))))</f>
        <v>3</v>
      </c>
      <c r="V5451" s="328">
        <f>VLOOKUP(C5451,METADATA!$A$5:$H$29,IF(E5451="HI",2,IF(E5451="LO",6,10))+IF(T5451=1,2,IF(D5451=7,1,(IF(WEEKDAY(B5451)=1,2,IF(WEEKDAY(B5451)=7,1,0))))))</f>
        <v>3</v>
      </c>
    </row>
    <row r="5452" spans="2:22">
      <c r="B5452" s="318">
        <f t="shared" si="339"/>
        <v>46340</v>
      </c>
      <c r="C5452" s="312">
        <v>0</v>
      </c>
      <c r="D5452" s="368">
        <f>IFERROR((INDEX(METADATA!$T$2:$T$20,MATCH(B5452,METADATA!$S$2:$S$20,0))),0)</f>
        <v>0</v>
      </c>
      <c r="E5452" s="312" t="str">
        <f t="shared" si="340"/>
        <v>LO</v>
      </c>
      <c r="F5452" s="369">
        <f>VLOOKUP(C5452,METADATA!$A$5:$H$29,IF(E5452="HI",2,IF(E5452="LO",6,10))+IF(D5452=1,2,IF(D5452=7,1,(IF(WEEKDAY(B5452)=1,2,IF(WEEKDAY(B5452)=7,1,0))))))</f>
        <v>3</v>
      </c>
      <c r="G5452" s="369">
        <f>VLOOKUP(C5452,METADATA!$J$5:$Q$29,IF(E5452="HI",2,IF(E5452="LO",6,10))+IF(D5452=1,2,IF(D5452=7,1,(IF(WEEKDAY(B5452)=1,2,IF(WEEKDAY(B5452)=7,1,0))))))</f>
        <v>3</v>
      </c>
      <c r="H5452" s="370">
        <v>13668.099731445313</v>
      </c>
      <c r="I5452" s="370">
        <v>5146.6499633789063</v>
      </c>
      <c r="M5452" s="371">
        <f t="shared" si="341"/>
        <v>14604.963406810833</v>
      </c>
      <c r="N5452" s="329">
        <f t="shared" si="342"/>
        <v>1046.2200439453127</v>
      </c>
      <c r="T5452" s="331">
        <v>0</v>
      </c>
      <c r="U5452" s="328">
        <f>VLOOKUP(C5452,METADATA!$J$5:$Q$29,IF(E5452="HI",2,IF(E5452="LO",6,10))+IF(T5452=1,2,IF(D5452=7,1,(IF(WEEKDAY(B5452)=1,2,IF(WEEKDAY(B5452)=7,1,0))))))</f>
        <v>3</v>
      </c>
      <c r="V5452" s="328">
        <f>VLOOKUP(C5452,METADATA!$A$5:$H$29,IF(E5452="HI",2,IF(E5452="LO",6,10))+IF(T5452=1,2,IF(D5452=7,1,(IF(WEEKDAY(B5452)=1,2,IF(WEEKDAY(B5452)=7,1,0))))))</f>
        <v>3</v>
      </c>
    </row>
    <row r="5453" spans="2:22">
      <c r="B5453" s="318">
        <f t="shared" si="339"/>
        <v>46340</v>
      </c>
      <c r="C5453" s="312">
        <v>1</v>
      </c>
      <c r="D5453" s="368">
        <f>IFERROR((INDEX(METADATA!$T$2:$T$20,MATCH(B5453,METADATA!$S$2:$S$20,0))),0)</f>
        <v>0</v>
      </c>
      <c r="E5453" s="312" t="str">
        <f t="shared" si="340"/>
        <v>LO</v>
      </c>
      <c r="F5453" s="369">
        <f>VLOOKUP(C5453,METADATA!$A$5:$H$29,IF(E5453="HI",2,IF(E5453="LO",6,10))+IF(D5453=1,2,IF(D5453=7,1,(IF(WEEKDAY(B5453)=1,2,IF(WEEKDAY(B5453)=7,1,0))))))</f>
        <v>3</v>
      </c>
      <c r="G5453" s="369">
        <f>VLOOKUP(C5453,METADATA!$J$5:$Q$29,IF(E5453="HI",2,IF(E5453="LO",6,10))+IF(D5453=1,2,IF(D5453=7,1,(IF(WEEKDAY(B5453)=1,2,IF(WEEKDAY(B5453)=7,1,0))))))</f>
        <v>3</v>
      </c>
      <c r="H5453" s="370">
        <v>13439.700256347656</v>
      </c>
      <c r="I5453" s="370">
        <v>5139.574951171875</v>
      </c>
      <c r="M5453" s="371">
        <f t="shared" si="341"/>
        <v>14388.911482776752</v>
      </c>
      <c r="N5453" s="329">
        <f t="shared" si="342"/>
        <v>1107.6648742675784</v>
      </c>
      <c r="T5453" s="331">
        <v>0</v>
      </c>
      <c r="U5453" s="328">
        <f>VLOOKUP(C5453,METADATA!$J$5:$Q$29,IF(E5453="HI",2,IF(E5453="LO",6,10))+IF(T5453=1,2,IF(D5453=7,1,(IF(WEEKDAY(B5453)=1,2,IF(WEEKDAY(B5453)=7,1,0))))))</f>
        <v>3</v>
      </c>
      <c r="V5453" s="328">
        <f>VLOOKUP(C5453,METADATA!$A$5:$H$29,IF(E5453="HI",2,IF(E5453="LO",6,10))+IF(T5453=1,2,IF(D5453=7,1,(IF(WEEKDAY(B5453)=1,2,IF(WEEKDAY(B5453)=7,1,0))))))</f>
        <v>3</v>
      </c>
    </row>
    <row r="5454" spans="2:22">
      <c r="B5454" s="318">
        <f t="shared" si="339"/>
        <v>46340</v>
      </c>
      <c r="C5454" s="312">
        <v>2</v>
      </c>
      <c r="D5454" s="368">
        <f>IFERROR((INDEX(METADATA!$T$2:$T$20,MATCH(B5454,METADATA!$S$2:$S$20,0))),0)</f>
        <v>0</v>
      </c>
      <c r="E5454" s="312" t="str">
        <f t="shared" si="340"/>
        <v>LO</v>
      </c>
      <c r="F5454" s="369">
        <f>VLOOKUP(C5454,METADATA!$A$5:$H$29,IF(E5454="HI",2,IF(E5454="LO",6,10))+IF(D5454=1,2,IF(D5454=7,1,(IF(WEEKDAY(B5454)=1,2,IF(WEEKDAY(B5454)=7,1,0))))))</f>
        <v>3</v>
      </c>
      <c r="G5454" s="369">
        <f>VLOOKUP(C5454,METADATA!$J$5:$Q$29,IF(E5454="HI",2,IF(E5454="LO",6,10))+IF(D5454=1,2,IF(D5454=7,1,(IF(WEEKDAY(B5454)=1,2,IF(WEEKDAY(B5454)=7,1,0))))))</f>
        <v>3</v>
      </c>
      <c r="H5454" s="370">
        <v>13346.750183105469</v>
      </c>
      <c r="I5454" s="370">
        <v>5022.5248413085938</v>
      </c>
      <c r="M5454" s="371">
        <f t="shared" si="341"/>
        <v>14260.487236829875</v>
      </c>
      <c r="N5454" s="329">
        <f t="shared" si="342"/>
        <v>1018.4997863769531</v>
      </c>
      <c r="T5454" s="331">
        <v>0</v>
      </c>
      <c r="U5454" s="328">
        <f>VLOOKUP(C5454,METADATA!$J$5:$Q$29,IF(E5454="HI",2,IF(E5454="LO",6,10))+IF(T5454=1,2,IF(D5454=7,1,(IF(WEEKDAY(B5454)=1,2,IF(WEEKDAY(B5454)=7,1,0))))))</f>
        <v>3</v>
      </c>
      <c r="V5454" s="328">
        <f>VLOOKUP(C5454,METADATA!$A$5:$H$29,IF(E5454="HI",2,IF(E5454="LO",6,10))+IF(T5454=1,2,IF(D5454=7,1,(IF(WEEKDAY(B5454)=1,2,IF(WEEKDAY(B5454)=7,1,0))))))</f>
        <v>3</v>
      </c>
    </row>
    <row r="5455" spans="2:22">
      <c r="B5455" s="318">
        <f t="shared" si="339"/>
        <v>46340</v>
      </c>
      <c r="C5455" s="312">
        <v>3</v>
      </c>
      <c r="D5455" s="368">
        <f>IFERROR((INDEX(METADATA!$T$2:$T$20,MATCH(B5455,METADATA!$S$2:$S$20,0))),0)</f>
        <v>0</v>
      </c>
      <c r="E5455" s="312" t="str">
        <f t="shared" si="340"/>
        <v>LO</v>
      </c>
      <c r="F5455" s="369">
        <f>VLOOKUP(C5455,METADATA!$A$5:$H$29,IF(E5455="HI",2,IF(E5455="LO",6,10))+IF(D5455=1,2,IF(D5455=7,1,(IF(WEEKDAY(B5455)=1,2,IF(WEEKDAY(B5455)=7,1,0))))))</f>
        <v>3</v>
      </c>
      <c r="G5455" s="369">
        <f>VLOOKUP(C5455,METADATA!$J$5:$Q$29,IF(E5455="HI",2,IF(E5455="LO",6,10))+IF(D5455=1,2,IF(D5455=7,1,(IF(WEEKDAY(B5455)=1,2,IF(WEEKDAY(B5455)=7,1,0))))))</f>
        <v>3</v>
      </c>
      <c r="H5455" s="370">
        <v>13440.162292480469</v>
      </c>
      <c r="I5455" s="370">
        <v>5058.375</v>
      </c>
      <c r="M5455" s="371">
        <f t="shared" si="341"/>
        <v>14360.540382897812</v>
      </c>
      <c r="N5455" s="329">
        <f t="shared" si="342"/>
        <v>1026.3263122558596</v>
      </c>
      <c r="T5455" s="331">
        <v>0</v>
      </c>
      <c r="U5455" s="328">
        <f>VLOOKUP(C5455,METADATA!$J$5:$Q$29,IF(E5455="HI",2,IF(E5455="LO",6,10))+IF(T5455=1,2,IF(D5455=7,1,(IF(WEEKDAY(B5455)=1,2,IF(WEEKDAY(B5455)=7,1,0))))))</f>
        <v>3</v>
      </c>
      <c r="V5455" s="328">
        <f>VLOOKUP(C5455,METADATA!$A$5:$H$29,IF(E5455="HI",2,IF(E5455="LO",6,10))+IF(T5455=1,2,IF(D5455=7,1,(IF(WEEKDAY(B5455)=1,2,IF(WEEKDAY(B5455)=7,1,0))))))</f>
        <v>3</v>
      </c>
    </row>
    <row r="5456" spans="2:22">
      <c r="B5456" s="318">
        <f t="shared" si="339"/>
        <v>46340</v>
      </c>
      <c r="C5456" s="312">
        <v>4</v>
      </c>
      <c r="D5456" s="368">
        <f>IFERROR((INDEX(METADATA!$T$2:$T$20,MATCH(B5456,METADATA!$S$2:$S$20,0))),0)</f>
        <v>0</v>
      </c>
      <c r="E5456" s="312" t="str">
        <f t="shared" si="340"/>
        <v>LO</v>
      </c>
      <c r="F5456" s="369">
        <f>VLOOKUP(C5456,METADATA!$A$5:$H$29,IF(E5456="HI",2,IF(E5456="LO",6,10))+IF(D5456=1,2,IF(D5456=7,1,(IF(WEEKDAY(B5456)=1,2,IF(WEEKDAY(B5456)=7,1,0))))))</f>
        <v>3</v>
      </c>
      <c r="G5456" s="369">
        <f>VLOOKUP(C5456,METADATA!$J$5:$Q$29,IF(E5456="HI",2,IF(E5456="LO",6,10))+IF(D5456=1,2,IF(D5456=7,1,(IF(WEEKDAY(B5456)=1,2,IF(WEEKDAY(B5456)=7,1,0))))))</f>
        <v>3</v>
      </c>
      <c r="H5456" s="370">
        <v>13288.10009765625</v>
      </c>
      <c r="I5456" s="370">
        <v>4981.6249389648438</v>
      </c>
      <c r="M5456" s="371">
        <f t="shared" si="341"/>
        <v>14191.201190803002</v>
      </c>
      <c r="N5456" s="329">
        <f t="shared" si="342"/>
        <v>995.19490966796911</v>
      </c>
      <c r="T5456" s="331">
        <v>0</v>
      </c>
      <c r="U5456" s="328">
        <f>VLOOKUP(C5456,METADATA!$J$5:$Q$29,IF(E5456="HI",2,IF(E5456="LO",6,10))+IF(T5456=1,2,IF(D5456=7,1,(IF(WEEKDAY(B5456)=1,2,IF(WEEKDAY(B5456)=7,1,0))))))</f>
        <v>3</v>
      </c>
      <c r="V5456" s="328">
        <f>VLOOKUP(C5456,METADATA!$A$5:$H$29,IF(E5456="HI",2,IF(E5456="LO",6,10))+IF(T5456=1,2,IF(D5456=7,1,(IF(WEEKDAY(B5456)=1,2,IF(WEEKDAY(B5456)=7,1,0))))))</f>
        <v>3</v>
      </c>
    </row>
    <row r="5457" spans="2:22">
      <c r="B5457" s="318">
        <f t="shared" si="339"/>
        <v>46340</v>
      </c>
      <c r="C5457" s="312">
        <v>5</v>
      </c>
      <c r="D5457" s="368">
        <f>IFERROR((INDEX(METADATA!$T$2:$T$20,MATCH(B5457,METADATA!$S$2:$S$20,0))),0)</f>
        <v>0</v>
      </c>
      <c r="E5457" s="312" t="str">
        <f t="shared" si="340"/>
        <v>LO</v>
      </c>
      <c r="F5457" s="369">
        <f>VLOOKUP(C5457,METADATA!$A$5:$H$29,IF(E5457="HI",2,IF(E5457="LO",6,10))+IF(D5457=1,2,IF(D5457=7,1,(IF(WEEKDAY(B5457)=1,2,IF(WEEKDAY(B5457)=7,1,0))))))</f>
        <v>3</v>
      </c>
      <c r="G5457" s="369">
        <f>VLOOKUP(C5457,METADATA!$J$5:$Q$29,IF(E5457="HI",2,IF(E5457="LO",6,10))+IF(D5457=1,2,IF(D5457=7,1,(IF(WEEKDAY(B5457)=1,2,IF(WEEKDAY(B5457)=7,1,0))))))</f>
        <v>3</v>
      </c>
      <c r="H5457" s="370">
        <v>13243.124938964844</v>
      </c>
      <c r="I5457" s="370">
        <v>4976.4248657226563</v>
      </c>
      <c r="M5457" s="371">
        <f t="shared" si="341"/>
        <v>14147.266965503102</v>
      </c>
      <c r="N5457" s="329">
        <f t="shared" si="342"/>
        <v>1003.4873840332034</v>
      </c>
      <c r="T5457" s="331">
        <v>0</v>
      </c>
      <c r="U5457" s="328">
        <f>VLOOKUP(C5457,METADATA!$J$5:$Q$29,IF(E5457="HI",2,IF(E5457="LO",6,10))+IF(T5457=1,2,IF(D5457=7,1,(IF(WEEKDAY(B5457)=1,2,IF(WEEKDAY(B5457)=7,1,0))))))</f>
        <v>3</v>
      </c>
      <c r="V5457" s="328">
        <f>VLOOKUP(C5457,METADATA!$A$5:$H$29,IF(E5457="HI",2,IF(E5457="LO",6,10))+IF(T5457=1,2,IF(D5457=7,1,(IF(WEEKDAY(B5457)=1,2,IF(WEEKDAY(B5457)=7,1,0))))))</f>
        <v>3</v>
      </c>
    </row>
    <row r="5458" spans="2:22">
      <c r="B5458" s="318">
        <f t="shared" si="339"/>
        <v>46340</v>
      </c>
      <c r="C5458" s="312">
        <v>6</v>
      </c>
      <c r="D5458" s="368">
        <f>IFERROR((INDEX(METADATA!$T$2:$T$20,MATCH(B5458,METADATA!$S$2:$S$20,0))),0)</f>
        <v>0</v>
      </c>
      <c r="E5458" s="312" t="str">
        <f t="shared" si="340"/>
        <v>LO</v>
      </c>
      <c r="F5458" s="369">
        <f>VLOOKUP(C5458,METADATA!$A$5:$H$29,IF(E5458="HI",2,IF(E5458="LO",6,10))+IF(D5458=1,2,IF(D5458=7,1,(IF(WEEKDAY(B5458)=1,2,IF(WEEKDAY(B5458)=7,1,0))))))</f>
        <v>3</v>
      </c>
      <c r="G5458" s="369">
        <f>VLOOKUP(C5458,METADATA!$J$5:$Q$29,IF(E5458="HI",2,IF(E5458="LO",6,10))+IF(D5458=1,2,IF(D5458=7,1,(IF(WEEKDAY(B5458)=1,2,IF(WEEKDAY(B5458)=7,1,0))))))</f>
        <v>3</v>
      </c>
      <c r="H5458" s="370">
        <v>13640.425415039063</v>
      </c>
      <c r="I5458" s="370">
        <v>5175.5748901367188</v>
      </c>
      <c r="M5458" s="371">
        <f t="shared" si="341"/>
        <v>14589.303648449342</v>
      </c>
      <c r="N5458" s="329">
        <f t="shared" si="342"/>
        <v>1083.447265625</v>
      </c>
      <c r="T5458" s="331">
        <v>0</v>
      </c>
      <c r="U5458" s="328">
        <f>VLOOKUP(C5458,METADATA!$J$5:$Q$29,IF(E5458="HI",2,IF(E5458="LO",6,10))+IF(T5458=1,2,IF(D5458=7,1,(IF(WEEKDAY(B5458)=1,2,IF(WEEKDAY(B5458)=7,1,0))))))</f>
        <v>3</v>
      </c>
      <c r="V5458" s="328">
        <f>VLOOKUP(C5458,METADATA!$A$5:$H$29,IF(E5458="HI",2,IF(E5458="LO",6,10))+IF(T5458=1,2,IF(D5458=7,1,(IF(WEEKDAY(B5458)=1,2,IF(WEEKDAY(B5458)=7,1,0))))))</f>
        <v>3</v>
      </c>
    </row>
    <row r="5459" spans="2:22">
      <c r="B5459" s="318">
        <f t="shared" si="339"/>
        <v>46340</v>
      </c>
      <c r="C5459" s="312">
        <v>7</v>
      </c>
      <c r="D5459" s="368">
        <f>IFERROR((INDEX(METADATA!$T$2:$T$20,MATCH(B5459,METADATA!$S$2:$S$20,0))),0)</f>
        <v>0</v>
      </c>
      <c r="E5459" s="312" t="str">
        <f t="shared" si="340"/>
        <v>LO</v>
      </c>
      <c r="F5459" s="369">
        <f>VLOOKUP(C5459,METADATA!$A$5:$H$29,IF(E5459="HI",2,IF(E5459="LO",6,10))+IF(D5459=1,2,IF(D5459=7,1,(IF(WEEKDAY(B5459)=1,2,IF(WEEKDAY(B5459)=7,1,0))))))</f>
        <v>2</v>
      </c>
      <c r="G5459" s="369">
        <f>VLOOKUP(C5459,METADATA!$J$5:$Q$29,IF(E5459="HI",2,IF(E5459="LO",6,10))+IF(D5459=1,2,IF(D5459=7,1,(IF(WEEKDAY(B5459)=1,2,IF(WEEKDAY(B5459)=7,1,0))))))</f>
        <v>2</v>
      </c>
      <c r="H5459" s="370">
        <v>13672.5751953125</v>
      </c>
      <c r="I5459" s="370">
        <v>5120.35009765625</v>
      </c>
      <c r="M5459" s="371">
        <f t="shared" si="341"/>
        <v>14599.907451557459</v>
      </c>
      <c r="N5459" s="329">
        <f t="shared" si="342"/>
        <v>1018.5775390625004</v>
      </c>
      <c r="T5459" s="331">
        <v>0</v>
      </c>
      <c r="U5459" s="328">
        <f>VLOOKUP(C5459,METADATA!$J$5:$Q$29,IF(E5459="HI",2,IF(E5459="LO",6,10))+IF(T5459=1,2,IF(D5459=7,1,(IF(WEEKDAY(B5459)=1,2,IF(WEEKDAY(B5459)=7,1,0))))))</f>
        <v>2</v>
      </c>
      <c r="V5459" s="328">
        <f>VLOOKUP(C5459,METADATA!$A$5:$H$29,IF(E5459="HI",2,IF(E5459="LO",6,10))+IF(T5459=1,2,IF(D5459=7,1,(IF(WEEKDAY(B5459)=1,2,IF(WEEKDAY(B5459)=7,1,0))))))</f>
        <v>2</v>
      </c>
    </row>
    <row r="5460" spans="2:22">
      <c r="B5460" s="318">
        <f t="shared" si="339"/>
        <v>46340</v>
      </c>
      <c r="C5460" s="312">
        <v>8</v>
      </c>
      <c r="D5460" s="368">
        <f>IFERROR((INDEX(METADATA!$T$2:$T$20,MATCH(B5460,METADATA!$S$2:$S$20,0))),0)</f>
        <v>0</v>
      </c>
      <c r="E5460" s="312" t="str">
        <f t="shared" si="340"/>
        <v>LO</v>
      </c>
      <c r="F5460" s="369">
        <f>VLOOKUP(C5460,METADATA!$A$5:$H$29,IF(E5460="HI",2,IF(E5460="LO",6,10))+IF(D5460=1,2,IF(D5460=7,1,(IF(WEEKDAY(B5460)=1,2,IF(WEEKDAY(B5460)=7,1,0))))))</f>
        <v>2</v>
      </c>
      <c r="G5460" s="369">
        <f>VLOOKUP(C5460,METADATA!$J$5:$Q$29,IF(E5460="HI",2,IF(E5460="LO",6,10))+IF(D5460=1,2,IF(D5460=7,1,(IF(WEEKDAY(B5460)=1,2,IF(WEEKDAY(B5460)=7,1,0))))))</f>
        <v>2</v>
      </c>
      <c r="H5460" s="370">
        <v>12095.525451660156</v>
      </c>
      <c r="I5460" s="370">
        <v>4128.1925354003906</v>
      </c>
      <c r="M5460" s="371">
        <f t="shared" si="341"/>
        <v>12780.598951578682</v>
      </c>
      <c r="N5460" s="329">
        <f t="shared" si="342"/>
        <v>499.53489990234402</v>
      </c>
      <c r="T5460" s="331">
        <v>0</v>
      </c>
      <c r="U5460" s="328">
        <f>VLOOKUP(C5460,METADATA!$J$5:$Q$29,IF(E5460="HI",2,IF(E5460="LO",6,10))+IF(T5460=1,2,IF(D5460=7,1,(IF(WEEKDAY(B5460)=1,2,IF(WEEKDAY(B5460)=7,1,0))))))</f>
        <v>2</v>
      </c>
      <c r="V5460" s="328">
        <f>VLOOKUP(C5460,METADATA!$A$5:$H$29,IF(E5460="HI",2,IF(E5460="LO",6,10))+IF(T5460=1,2,IF(D5460=7,1,(IF(WEEKDAY(B5460)=1,2,IF(WEEKDAY(B5460)=7,1,0))))))</f>
        <v>2</v>
      </c>
    </row>
    <row r="5461" spans="2:22">
      <c r="B5461" s="318">
        <f t="shared" si="339"/>
        <v>46340</v>
      </c>
      <c r="C5461" s="312">
        <v>9</v>
      </c>
      <c r="D5461" s="368">
        <f>IFERROR((INDEX(METADATA!$T$2:$T$20,MATCH(B5461,METADATA!$S$2:$S$20,0))),0)</f>
        <v>0</v>
      </c>
      <c r="E5461" s="312" t="str">
        <f t="shared" si="340"/>
        <v>LO</v>
      </c>
      <c r="F5461" s="369">
        <f>VLOOKUP(C5461,METADATA!$A$5:$H$29,IF(E5461="HI",2,IF(E5461="LO",6,10))+IF(D5461=1,2,IF(D5461=7,1,(IF(WEEKDAY(B5461)=1,2,IF(WEEKDAY(B5461)=7,1,0))))))</f>
        <v>2</v>
      </c>
      <c r="G5461" s="369">
        <f>VLOOKUP(C5461,METADATA!$J$5:$Q$29,IF(E5461="HI",2,IF(E5461="LO",6,10))+IF(D5461=1,2,IF(D5461=7,1,(IF(WEEKDAY(B5461)=1,2,IF(WEEKDAY(B5461)=7,1,0))))))</f>
        <v>2</v>
      </c>
      <c r="H5461" s="370">
        <v>11879.025024414063</v>
      </c>
      <c r="I5461" s="370">
        <v>3901.2850036621094</v>
      </c>
      <c r="M5461" s="371">
        <f t="shared" si="341"/>
        <v>12503.249985921835</v>
      </c>
      <c r="N5461" s="329">
        <f t="shared" si="342"/>
        <v>337.57749633789081</v>
      </c>
      <c r="T5461" s="331">
        <v>0</v>
      </c>
      <c r="U5461" s="328">
        <f>VLOOKUP(C5461,METADATA!$J$5:$Q$29,IF(E5461="HI",2,IF(E5461="LO",6,10))+IF(T5461=1,2,IF(D5461=7,1,(IF(WEEKDAY(B5461)=1,2,IF(WEEKDAY(B5461)=7,1,0))))))</f>
        <v>2</v>
      </c>
      <c r="V5461" s="328">
        <f>VLOOKUP(C5461,METADATA!$A$5:$H$29,IF(E5461="HI",2,IF(E5461="LO",6,10))+IF(T5461=1,2,IF(D5461=7,1,(IF(WEEKDAY(B5461)=1,2,IF(WEEKDAY(B5461)=7,1,0))))))</f>
        <v>2</v>
      </c>
    </row>
    <row r="5462" spans="2:22">
      <c r="B5462" s="318">
        <f t="shared" si="339"/>
        <v>46340</v>
      </c>
      <c r="C5462" s="312">
        <v>10</v>
      </c>
      <c r="D5462" s="368">
        <f>IFERROR((INDEX(METADATA!$T$2:$T$20,MATCH(B5462,METADATA!$S$2:$S$20,0))),0)</f>
        <v>0</v>
      </c>
      <c r="E5462" s="312" t="str">
        <f t="shared" si="340"/>
        <v>LO</v>
      </c>
      <c r="F5462" s="369">
        <f>VLOOKUP(C5462,METADATA!$A$5:$H$29,IF(E5462="HI",2,IF(E5462="LO",6,10))+IF(D5462=1,2,IF(D5462=7,1,(IF(WEEKDAY(B5462)=1,2,IF(WEEKDAY(B5462)=7,1,0))))))</f>
        <v>2</v>
      </c>
      <c r="G5462" s="369">
        <f>VLOOKUP(C5462,METADATA!$J$5:$Q$29,IF(E5462="HI",2,IF(E5462="LO",6,10))+IF(D5462=1,2,IF(D5462=7,1,(IF(WEEKDAY(B5462)=1,2,IF(WEEKDAY(B5462)=7,1,0))))))</f>
        <v>2</v>
      </c>
      <c r="H5462" s="370">
        <v>11999.849975585938</v>
      </c>
      <c r="I5462" s="370">
        <v>4045.4400024414063</v>
      </c>
      <c r="M5462" s="371">
        <f t="shared" si="341"/>
        <v>12663.411240654033</v>
      </c>
      <c r="N5462" s="329">
        <f t="shared" si="342"/>
        <v>445.48500976562491</v>
      </c>
      <c r="T5462" s="331">
        <v>0</v>
      </c>
      <c r="U5462" s="328">
        <f>VLOOKUP(C5462,METADATA!$J$5:$Q$29,IF(E5462="HI",2,IF(E5462="LO",6,10))+IF(T5462=1,2,IF(D5462=7,1,(IF(WEEKDAY(B5462)=1,2,IF(WEEKDAY(B5462)=7,1,0))))))</f>
        <v>2</v>
      </c>
      <c r="V5462" s="328">
        <f>VLOOKUP(C5462,METADATA!$A$5:$H$29,IF(E5462="HI",2,IF(E5462="LO",6,10))+IF(T5462=1,2,IF(D5462=7,1,(IF(WEEKDAY(B5462)=1,2,IF(WEEKDAY(B5462)=7,1,0))))))</f>
        <v>2</v>
      </c>
    </row>
    <row r="5463" spans="2:22">
      <c r="B5463" s="318">
        <f t="shared" si="339"/>
        <v>46340</v>
      </c>
      <c r="C5463" s="312">
        <v>11</v>
      </c>
      <c r="D5463" s="368">
        <f>IFERROR((INDEX(METADATA!$T$2:$T$20,MATCH(B5463,METADATA!$S$2:$S$20,0))),0)</f>
        <v>0</v>
      </c>
      <c r="E5463" s="312" t="str">
        <f t="shared" si="340"/>
        <v>LO</v>
      </c>
      <c r="F5463" s="369">
        <f>VLOOKUP(C5463,METADATA!$A$5:$H$29,IF(E5463="HI",2,IF(E5463="LO",6,10))+IF(D5463=1,2,IF(D5463=7,1,(IF(WEEKDAY(B5463)=1,2,IF(WEEKDAY(B5463)=7,1,0))))))</f>
        <v>2</v>
      </c>
      <c r="G5463" s="369">
        <f>VLOOKUP(C5463,METADATA!$J$5:$Q$29,IF(E5463="HI",2,IF(E5463="LO",6,10))+IF(D5463=1,2,IF(D5463=7,1,(IF(WEEKDAY(B5463)=1,2,IF(WEEKDAY(B5463)=7,1,0))))))</f>
        <v>2</v>
      </c>
      <c r="H5463" s="370">
        <v>13539.075561523438</v>
      </c>
      <c r="I5463" s="370">
        <v>4965.150146484375</v>
      </c>
      <c r="M5463" s="371">
        <f t="shared" si="341"/>
        <v>14420.793426083566</v>
      </c>
      <c r="N5463" s="329">
        <f t="shared" si="342"/>
        <v>903.42747802734402</v>
      </c>
      <c r="T5463" s="331">
        <v>0</v>
      </c>
      <c r="U5463" s="328">
        <f>VLOOKUP(C5463,METADATA!$J$5:$Q$29,IF(E5463="HI",2,IF(E5463="LO",6,10))+IF(T5463=1,2,IF(D5463=7,1,(IF(WEEKDAY(B5463)=1,2,IF(WEEKDAY(B5463)=7,1,0))))))</f>
        <v>2</v>
      </c>
      <c r="V5463" s="328">
        <f>VLOOKUP(C5463,METADATA!$A$5:$H$29,IF(E5463="HI",2,IF(E5463="LO",6,10))+IF(T5463=1,2,IF(D5463=7,1,(IF(WEEKDAY(B5463)=1,2,IF(WEEKDAY(B5463)=7,1,0))))))</f>
        <v>2</v>
      </c>
    </row>
    <row r="5464" spans="2:22">
      <c r="B5464" s="318">
        <f t="shared" si="339"/>
        <v>46340</v>
      </c>
      <c r="C5464" s="312">
        <v>12</v>
      </c>
      <c r="D5464" s="368">
        <f>IFERROR((INDEX(METADATA!$T$2:$T$20,MATCH(B5464,METADATA!$S$2:$S$20,0))),0)</f>
        <v>0</v>
      </c>
      <c r="E5464" s="312" t="str">
        <f t="shared" si="340"/>
        <v>LO</v>
      </c>
      <c r="F5464" s="369">
        <f>VLOOKUP(C5464,METADATA!$A$5:$H$29,IF(E5464="HI",2,IF(E5464="LO",6,10))+IF(D5464=1,2,IF(D5464=7,1,(IF(WEEKDAY(B5464)=1,2,IF(WEEKDAY(B5464)=7,1,0))))))</f>
        <v>3</v>
      </c>
      <c r="G5464" s="369">
        <f>VLOOKUP(C5464,METADATA!$J$5:$Q$29,IF(E5464="HI",2,IF(E5464="LO",6,10))+IF(D5464=1,2,IF(D5464=7,1,(IF(WEEKDAY(B5464)=1,2,IF(WEEKDAY(B5464)=7,1,0))))))</f>
        <v>3</v>
      </c>
      <c r="H5464" s="370">
        <v>13459.850219726563</v>
      </c>
      <c r="I5464" s="370">
        <v>4996.77490234375</v>
      </c>
      <c r="M5464" s="371">
        <f t="shared" si="341"/>
        <v>14357.413672460843</v>
      </c>
      <c r="N5464" s="329">
        <f t="shared" si="342"/>
        <v>958.81983642578143</v>
      </c>
      <c r="T5464" s="331">
        <v>0</v>
      </c>
      <c r="U5464" s="328">
        <f>VLOOKUP(C5464,METADATA!$J$5:$Q$29,IF(E5464="HI",2,IF(E5464="LO",6,10))+IF(T5464=1,2,IF(D5464=7,1,(IF(WEEKDAY(B5464)=1,2,IF(WEEKDAY(B5464)=7,1,0))))))</f>
        <v>3</v>
      </c>
      <c r="V5464" s="328">
        <f>VLOOKUP(C5464,METADATA!$A$5:$H$29,IF(E5464="HI",2,IF(E5464="LO",6,10))+IF(T5464=1,2,IF(D5464=7,1,(IF(WEEKDAY(B5464)=1,2,IF(WEEKDAY(B5464)=7,1,0))))))</f>
        <v>3</v>
      </c>
    </row>
    <row r="5465" spans="2:22">
      <c r="B5465" s="318">
        <f t="shared" si="339"/>
        <v>46340</v>
      </c>
      <c r="C5465" s="312">
        <v>13</v>
      </c>
      <c r="D5465" s="368">
        <f>IFERROR((INDEX(METADATA!$T$2:$T$20,MATCH(B5465,METADATA!$S$2:$S$20,0))),0)</f>
        <v>0</v>
      </c>
      <c r="E5465" s="312" t="str">
        <f t="shared" si="340"/>
        <v>LO</v>
      </c>
      <c r="F5465" s="369">
        <f>VLOOKUP(C5465,METADATA!$A$5:$H$29,IF(E5465="HI",2,IF(E5465="LO",6,10))+IF(D5465=1,2,IF(D5465=7,1,(IF(WEEKDAY(B5465)=1,2,IF(WEEKDAY(B5465)=7,1,0))))))</f>
        <v>3</v>
      </c>
      <c r="G5465" s="369">
        <f>VLOOKUP(C5465,METADATA!$J$5:$Q$29,IF(E5465="HI",2,IF(E5465="LO",6,10))+IF(D5465=1,2,IF(D5465=7,1,(IF(WEEKDAY(B5465)=1,2,IF(WEEKDAY(B5465)=7,1,0))))))</f>
        <v>3</v>
      </c>
      <c r="H5465" s="370">
        <v>13460.024963378906</v>
      </c>
      <c r="I5465" s="370">
        <v>5014.0999145507813</v>
      </c>
      <c r="M5465" s="371">
        <f t="shared" si="341"/>
        <v>14363.616187015075</v>
      </c>
      <c r="N5465" s="329">
        <f t="shared" si="342"/>
        <v>976.09242553710965</v>
      </c>
      <c r="T5465" s="331">
        <v>0</v>
      </c>
      <c r="U5465" s="328">
        <f>VLOOKUP(C5465,METADATA!$J$5:$Q$29,IF(E5465="HI",2,IF(E5465="LO",6,10))+IF(T5465=1,2,IF(D5465=7,1,(IF(WEEKDAY(B5465)=1,2,IF(WEEKDAY(B5465)=7,1,0))))))</f>
        <v>3</v>
      </c>
      <c r="V5465" s="328">
        <f>VLOOKUP(C5465,METADATA!$A$5:$H$29,IF(E5465="HI",2,IF(E5465="LO",6,10))+IF(T5465=1,2,IF(D5465=7,1,(IF(WEEKDAY(B5465)=1,2,IF(WEEKDAY(B5465)=7,1,0))))))</f>
        <v>3</v>
      </c>
    </row>
    <row r="5466" spans="2:22">
      <c r="B5466" s="318">
        <f t="shared" si="339"/>
        <v>46340</v>
      </c>
      <c r="C5466" s="312">
        <v>14</v>
      </c>
      <c r="D5466" s="368">
        <f>IFERROR((INDEX(METADATA!$T$2:$T$20,MATCH(B5466,METADATA!$S$2:$S$20,0))),0)</f>
        <v>0</v>
      </c>
      <c r="E5466" s="312" t="str">
        <f t="shared" si="340"/>
        <v>LO</v>
      </c>
      <c r="F5466" s="369">
        <f>VLOOKUP(C5466,METADATA!$A$5:$H$29,IF(E5466="HI",2,IF(E5466="LO",6,10))+IF(D5466=1,2,IF(D5466=7,1,(IF(WEEKDAY(B5466)=1,2,IF(WEEKDAY(B5466)=7,1,0))))))</f>
        <v>3</v>
      </c>
      <c r="G5466" s="369">
        <f>VLOOKUP(C5466,METADATA!$J$5:$Q$29,IF(E5466="HI",2,IF(E5466="LO",6,10))+IF(D5466=1,2,IF(D5466=7,1,(IF(WEEKDAY(B5466)=1,2,IF(WEEKDAY(B5466)=7,1,0))))))</f>
        <v>3</v>
      </c>
      <c r="H5466" s="370">
        <v>13397.125366210938</v>
      </c>
      <c r="I5466" s="370">
        <v>5063.7000732421875</v>
      </c>
      <c r="M5466" s="371">
        <f t="shared" si="341"/>
        <v>14322.151601966983</v>
      </c>
      <c r="N5466" s="329">
        <f t="shared" si="342"/>
        <v>1044.5624633789066</v>
      </c>
      <c r="T5466" s="331">
        <v>0</v>
      </c>
      <c r="U5466" s="328">
        <f>VLOOKUP(C5466,METADATA!$J$5:$Q$29,IF(E5466="HI",2,IF(E5466="LO",6,10))+IF(T5466=1,2,IF(D5466=7,1,(IF(WEEKDAY(B5466)=1,2,IF(WEEKDAY(B5466)=7,1,0))))))</f>
        <v>3</v>
      </c>
      <c r="V5466" s="328">
        <f>VLOOKUP(C5466,METADATA!$A$5:$H$29,IF(E5466="HI",2,IF(E5466="LO",6,10))+IF(T5466=1,2,IF(D5466=7,1,(IF(WEEKDAY(B5466)=1,2,IF(WEEKDAY(B5466)=7,1,0))))))</f>
        <v>3</v>
      </c>
    </row>
    <row r="5467" spans="2:22">
      <c r="B5467" s="318">
        <f t="shared" si="339"/>
        <v>46340</v>
      </c>
      <c r="C5467" s="312">
        <v>15</v>
      </c>
      <c r="D5467" s="368">
        <f>IFERROR((INDEX(METADATA!$T$2:$T$20,MATCH(B5467,METADATA!$S$2:$S$20,0))),0)</f>
        <v>0</v>
      </c>
      <c r="E5467" s="312" t="str">
        <f t="shared" si="340"/>
        <v>LO</v>
      </c>
      <c r="F5467" s="369">
        <f>VLOOKUP(C5467,METADATA!$A$5:$H$29,IF(E5467="HI",2,IF(E5467="LO",6,10))+IF(D5467=1,2,IF(D5467=7,1,(IF(WEEKDAY(B5467)=1,2,IF(WEEKDAY(B5467)=7,1,0))))))</f>
        <v>3</v>
      </c>
      <c r="G5467" s="369">
        <f>VLOOKUP(C5467,METADATA!$J$5:$Q$29,IF(E5467="HI",2,IF(E5467="LO",6,10))+IF(D5467=1,2,IF(D5467=7,1,(IF(WEEKDAY(B5467)=1,2,IF(WEEKDAY(B5467)=7,1,0))))))</f>
        <v>3</v>
      </c>
      <c r="H5467" s="370">
        <v>13432.825012207031</v>
      </c>
      <c r="I5467" s="370">
        <v>5079.6500854492188</v>
      </c>
      <c r="M5467" s="371">
        <f t="shared" si="341"/>
        <v>14361.184937155398</v>
      </c>
      <c r="N5467" s="329">
        <f t="shared" si="342"/>
        <v>1049.8025817871094</v>
      </c>
      <c r="T5467" s="331">
        <v>0</v>
      </c>
      <c r="U5467" s="328">
        <f>VLOOKUP(C5467,METADATA!$J$5:$Q$29,IF(E5467="HI",2,IF(E5467="LO",6,10))+IF(T5467=1,2,IF(D5467=7,1,(IF(WEEKDAY(B5467)=1,2,IF(WEEKDAY(B5467)=7,1,0))))))</f>
        <v>3</v>
      </c>
      <c r="V5467" s="328">
        <f>VLOOKUP(C5467,METADATA!$A$5:$H$29,IF(E5467="HI",2,IF(E5467="LO",6,10))+IF(T5467=1,2,IF(D5467=7,1,(IF(WEEKDAY(B5467)=1,2,IF(WEEKDAY(B5467)=7,1,0))))))</f>
        <v>3</v>
      </c>
    </row>
    <row r="5468" spans="2:22">
      <c r="B5468" s="318">
        <f t="shared" ref="B5468:B5531" si="343">B5444+1</f>
        <v>46340</v>
      </c>
      <c r="C5468" s="312">
        <v>16</v>
      </c>
      <c r="D5468" s="368">
        <f>IFERROR((INDEX(METADATA!$T$2:$T$20,MATCH(B5468,METADATA!$S$2:$S$20,0))),0)</f>
        <v>0</v>
      </c>
      <c r="E5468" s="312" t="str">
        <f t="shared" si="340"/>
        <v>LO</v>
      </c>
      <c r="F5468" s="369">
        <f>VLOOKUP(C5468,METADATA!$A$5:$H$29,IF(E5468="HI",2,IF(E5468="LO",6,10))+IF(D5468=1,2,IF(D5468=7,1,(IF(WEEKDAY(B5468)=1,2,IF(WEEKDAY(B5468)=7,1,0))))))</f>
        <v>3</v>
      </c>
      <c r="G5468" s="369">
        <f>VLOOKUP(C5468,METADATA!$J$5:$Q$29,IF(E5468="HI",2,IF(E5468="LO",6,10))+IF(D5468=1,2,IF(D5468=7,1,(IF(WEEKDAY(B5468)=1,2,IF(WEEKDAY(B5468)=7,1,0))))))</f>
        <v>3</v>
      </c>
      <c r="H5468" s="370">
        <v>13321.324584960938</v>
      </c>
      <c r="I5468" s="370">
        <v>5033.6998901367188</v>
      </c>
      <c r="M5468" s="371">
        <f t="shared" si="341"/>
        <v>14240.639848049212</v>
      </c>
      <c r="N5468" s="329">
        <f t="shared" si="342"/>
        <v>1037.3025146484379</v>
      </c>
      <c r="T5468" s="331">
        <v>0</v>
      </c>
      <c r="U5468" s="328">
        <f>VLOOKUP(C5468,METADATA!$J$5:$Q$29,IF(E5468="HI",2,IF(E5468="LO",6,10))+IF(T5468=1,2,IF(D5468=7,1,(IF(WEEKDAY(B5468)=1,2,IF(WEEKDAY(B5468)=7,1,0))))))</f>
        <v>3</v>
      </c>
      <c r="V5468" s="328">
        <f>VLOOKUP(C5468,METADATA!$A$5:$H$29,IF(E5468="HI",2,IF(E5468="LO",6,10))+IF(T5468=1,2,IF(D5468=7,1,(IF(WEEKDAY(B5468)=1,2,IF(WEEKDAY(B5468)=7,1,0))))))</f>
        <v>3</v>
      </c>
    </row>
    <row r="5469" spans="2:22">
      <c r="B5469" s="318">
        <f t="shared" si="343"/>
        <v>46340</v>
      </c>
      <c r="C5469" s="312">
        <v>17</v>
      </c>
      <c r="D5469" s="368">
        <f>IFERROR((INDEX(METADATA!$T$2:$T$20,MATCH(B5469,METADATA!$S$2:$S$20,0))),0)</f>
        <v>0</v>
      </c>
      <c r="E5469" s="312" t="str">
        <f t="shared" si="340"/>
        <v>LO</v>
      </c>
      <c r="F5469" s="369">
        <f>VLOOKUP(C5469,METADATA!$A$5:$H$29,IF(E5469="HI",2,IF(E5469="LO",6,10))+IF(D5469=1,2,IF(D5469=7,1,(IF(WEEKDAY(B5469)=1,2,IF(WEEKDAY(B5469)=7,1,0))))))</f>
        <v>3</v>
      </c>
      <c r="G5469" s="369">
        <f>VLOOKUP(C5469,METADATA!$J$5:$Q$29,IF(E5469="HI",2,IF(E5469="LO",6,10))+IF(D5469=1,2,IF(D5469=7,1,(IF(WEEKDAY(B5469)=1,2,IF(WEEKDAY(B5469)=7,1,0))))))</f>
        <v>3</v>
      </c>
      <c r="H5469" s="370">
        <v>12447.624694824219</v>
      </c>
      <c r="I5469" s="370">
        <v>4532.52001953125</v>
      </c>
      <c r="M5469" s="371">
        <f t="shared" si="341"/>
        <v>13247.154346147299</v>
      </c>
      <c r="N5469" s="329">
        <f t="shared" si="342"/>
        <v>798.23261108398447</v>
      </c>
      <c r="T5469" s="331">
        <v>0</v>
      </c>
      <c r="U5469" s="328">
        <f>VLOOKUP(C5469,METADATA!$J$5:$Q$29,IF(E5469="HI",2,IF(E5469="LO",6,10))+IF(T5469=1,2,IF(D5469=7,1,(IF(WEEKDAY(B5469)=1,2,IF(WEEKDAY(B5469)=7,1,0))))))</f>
        <v>3</v>
      </c>
      <c r="V5469" s="328">
        <f>VLOOKUP(C5469,METADATA!$A$5:$H$29,IF(E5469="HI",2,IF(E5469="LO",6,10))+IF(T5469=1,2,IF(D5469=7,1,(IF(WEEKDAY(B5469)=1,2,IF(WEEKDAY(B5469)=7,1,0))))))</f>
        <v>3</v>
      </c>
    </row>
    <row r="5470" spans="2:22">
      <c r="B5470" s="318">
        <f t="shared" si="343"/>
        <v>46340</v>
      </c>
      <c r="C5470" s="312">
        <v>18</v>
      </c>
      <c r="D5470" s="368">
        <f>IFERROR((INDEX(METADATA!$T$2:$T$20,MATCH(B5470,METADATA!$S$2:$S$20,0))),0)</f>
        <v>0</v>
      </c>
      <c r="E5470" s="312" t="str">
        <f t="shared" si="340"/>
        <v>LO</v>
      </c>
      <c r="F5470" s="369">
        <f>VLOOKUP(C5470,METADATA!$A$5:$H$29,IF(E5470="HI",2,IF(E5470="LO",6,10))+IF(D5470=1,2,IF(D5470=7,1,(IF(WEEKDAY(B5470)=1,2,IF(WEEKDAY(B5470)=7,1,0))))))</f>
        <v>2</v>
      </c>
      <c r="G5470" s="369">
        <f>VLOOKUP(C5470,METADATA!$J$5:$Q$29,IF(E5470="HI",2,IF(E5470="LO",6,10))+IF(D5470=1,2,IF(D5470=7,1,(IF(WEEKDAY(B5470)=1,2,IF(WEEKDAY(B5470)=7,1,0))))))</f>
        <v>2</v>
      </c>
      <c r="H5470" s="370">
        <v>11681.149719238281</v>
      </c>
      <c r="I5470" s="370">
        <v>4008.2576904296875</v>
      </c>
      <c r="M5470" s="371">
        <f t="shared" si="341"/>
        <v>12349.712080698453</v>
      </c>
      <c r="N5470" s="329">
        <f t="shared" si="342"/>
        <v>503.91277465820303</v>
      </c>
      <c r="T5470" s="331">
        <v>0</v>
      </c>
      <c r="U5470" s="328">
        <f>VLOOKUP(C5470,METADATA!$J$5:$Q$29,IF(E5470="HI",2,IF(E5470="LO",6,10))+IF(T5470=1,2,IF(D5470=7,1,(IF(WEEKDAY(B5470)=1,2,IF(WEEKDAY(B5470)=7,1,0))))))</f>
        <v>2</v>
      </c>
      <c r="V5470" s="328">
        <f>VLOOKUP(C5470,METADATA!$A$5:$H$29,IF(E5470="HI",2,IF(E5470="LO",6,10))+IF(T5470=1,2,IF(D5470=7,1,(IF(WEEKDAY(B5470)=1,2,IF(WEEKDAY(B5470)=7,1,0))))))</f>
        <v>2</v>
      </c>
    </row>
    <row r="5471" spans="2:22">
      <c r="B5471" s="318">
        <f t="shared" si="343"/>
        <v>46340</v>
      </c>
      <c r="C5471" s="312">
        <v>19</v>
      </c>
      <c r="D5471" s="368">
        <f>IFERROR((INDEX(METADATA!$T$2:$T$20,MATCH(B5471,METADATA!$S$2:$S$20,0))),0)</f>
        <v>0</v>
      </c>
      <c r="E5471" s="312" t="str">
        <f t="shared" si="340"/>
        <v>LO</v>
      </c>
      <c r="F5471" s="369">
        <f>VLOOKUP(C5471,METADATA!$A$5:$H$29,IF(E5471="HI",2,IF(E5471="LO",6,10))+IF(D5471=1,2,IF(D5471=7,1,(IF(WEEKDAY(B5471)=1,2,IF(WEEKDAY(B5471)=7,1,0))))))</f>
        <v>2</v>
      </c>
      <c r="G5471" s="369">
        <f>VLOOKUP(C5471,METADATA!$J$5:$Q$29,IF(E5471="HI",2,IF(E5471="LO",6,10))+IF(D5471=1,2,IF(D5471=7,1,(IF(WEEKDAY(B5471)=1,2,IF(WEEKDAY(B5471)=7,1,0))))))</f>
        <v>2</v>
      </c>
      <c r="H5471" s="370">
        <v>12789.699951171875</v>
      </c>
      <c r="I5471" s="370">
        <v>4657.3749389648438</v>
      </c>
      <c r="M5471" s="371">
        <f t="shared" si="341"/>
        <v>13611.30288264513</v>
      </c>
      <c r="N5471" s="329">
        <f t="shared" si="342"/>
        <v>820.46495361328152</v>
      </c>
      <c r="T5471" s="331">
        <v>0</v>
      </c>
      <c r="U5471" s="328">
        <f>VLOOKUP(C5471,METADATA!$J$5:$Q$29,IF(E5471="HI",2,IF(E5471="LO",6,10))+IF(T5471=1,2,IF(D5471=7,1,(IF(WEEKDAY(B5471)=1,2,IF(WEEKDAY(B5471)=7,1,0))))))</f>
        <v>2</v>
      </c>
      <c r="V5471" s="328">
        <f>VLOOKUP(C5471,METADATA!$A$5:$H$29,IF(E5471="HI",2,IF(E5471="LO",6,10))+IF(T5471=1,2,IF(D5471=7,1,(IF(WEEKDAY(B5471)=1,2,IF(WEEKDAY(B5471)=7,1,0))))))</f>
        <v>2</v>
      </c>
    </row>
    <row r="5472" spans="2:22">
      <c r="B5472" s="318">
        <f t="shared" si="343"/>
        <v>46340</v>
      </c>
      <c r="C5472" s="312">
        <v>20</v>
      </c>
      <c r="D5472" s="368">
        <f>IFERROR((INDEX(METADATA!$T$2:$T$20,MATCH(B5472,METADATA!$S$2:$S$20,0))),0)</f>
        <v>0</v>
      </c>
      <c r="E5472" s="312" t="str">
        <f t="shared" si="340"/>
        <v>LO</v>
      </c>
      <c r="F5472" s="369">
        <f>VLOOKUP(C5472,METADATA!$A$5:$H$29,IF(E5472="HI",2,IF(E5472="LO",6,10))+IF(D5472=1,2,IF(D5472=7,1,(IF(WEEKDAY(B5472)=1,2,IF(WEEKDAY(B5472)=7,1,0))))))</f>
        <v>3</v>
      </c>
      <c r="G5472" s="369">
        <f>VLOOKUP(C5472,METADATA!$J$5:$Q$29,IF(E5472="HI",2,IF(E5472="LO",6,10))+IF(D5472=1,2,IF(D5472=7,1,(IF(WEEKDAY(B5472)=1,2,IF(WEEKDAY(B5472)=7,1,0))))))</f>
        <v>3</v>
      </c>
      <c r="H5472" s="370">
        <v>12198.724731445313</v>
      </c>
      <c r="I5472" s="370">
        <v>4272.0925903320313</v>
      </c>
      <c r="M5472" s="371">
        <f t="shared" si="341"/>
        <v>12925.156098629732</v>
      </c>
      <c r="N5472" s="329">
        <f t="shared" si="342"/>
        <v>612.47517089843768</v>
      </c>
      <c r="T5472" s="331">
        <v>0</v>
      </c>
      <c r="U5472" s="328">
        <f>VLOOKUP(C5472,METADATA!$J$5:$Q$29,IF(E5472="HI",2,IF(E5472="LO",6,10))+IF(T5472=1,2,IF(D5472=7,1,(IF(WEEKDAY(B5472)=1,2,IF(WEEKDAY(B5472)=7,1,0))))))</f>
        <v>3</v>
      </c>
      <c r="V5472" s="328">
        <f>VLOOKUP(C5472,METADATA!$A$5:$H$29,IF(E5472="HI",2,IF(E5472="LO",6,10))+IF(T5472=1,2,IF(D5472=7,1,(IF(WEEKDAY(B5472)=1,2,IF(WEEKDAY(B5472)=7,1,0))))))</f>
        <v>3</v>
      </c>
    </row>
    <row r="5473" spans="2:22">
      <c r="B5473" s="318">
        <f t="shared" si="343"/>
        <v>46340</v>
      </c>
      <c r="C5473" s="312">
        <v>21</v>
      </c>
      <c r="D5473" s="368">
        <f>IFERROR((INDEX(METADATA!$T$2:$T$20,MATCH(B5473,METADATA!$S$2:$S$20,0))),0)</f>
        <v>0</v>
      </c>
      <c r="E5473" s="312" t="str">
        <f t="shared" si="340"/>
        <v>LO</v>
      </c>
      <c r="F5473" s="369">
        <f>VLOOKUP(C5473,METADATA!$A$5:$H$29,IF(E5473="HI",2,IF(E5473="LO",6,10))+IF(D5473=1,2,IF(D5473=7,1,(IF(WEEKDAY(B5473)=1,2,IF(WEEKDAY(B5473)=7,1,0))))))</f>
        <v>3</v>
      </c>
      <c r="G5473" s="369">
        <f>VLOOKUP(C5473,METADATA!$J$5:$Q$29,IF(E5473="HI",2,IF(E5473="LO",6,10))+IF(D5473=1,2,IF(D5473=7,1,(IF(WEEKDAY(B5473)=1,2,IF(WEEKDAY(B5473)=7,1,0))))))</f>
        <v>3</v>
      </c>
      <c r="H5473" s="370">
        <v>12174.475158691406</v>
      </c>
      <c r="I5473" s="370">
        <v>4262.8525695800781</v>
      </c>
      <c r="M5473" s="371">
        <f t="shared" si="341"/>
        <v>12899.215379997715</v>
      </c>
      <c r="N5473" s="329">
        <f t="shared" si="342"/>
        <v>610.51002197265643</v>
      </c>
      <c r="T5473" s="331">
        <v>0</v>
      </c>
      <c r="U5473" s="328">
        <f>VLOOKUP(C5473,METADATA!$J$5:$Q$29,IF(E5473="HI",2,IF(E5473="LO",6,10))+IF(T5473=1,2,IF(D5473=7,1,(IF(WEEKDAY(B5473)=1,2,IF(WEEKDAY(B5473)=7,1,0))))))</f>
        <v>3</v>
      </c>
      <c r="V5473" s="328">
        <f>VLOOKUP(C5473,METADATA!$A$5:$H$29,IF(E5473="HI",2,IF(E5473="LO",6,10))+IF(T5473=1,2,IF(D5473=7,1,(IF(WEEKDAY(B5473)=1,2,IF(WEEKDAY(B5473)=7,1,0))))))</f>
        <v>3</v>
      </c>
    </row>
    <row r="5474" spans="2:22">
      <c r="B5474" s="318">
        <f t="shared" si="343"/>
        <v>46340</v>
      </c>
      <c r="C5474" s="312">
        <v>22</v>
      </c>
      <c r="D5474" s="368">
        <f>IFERROR((INDEX(METADATA!$T$2:$T$20,MATCH(B5474,METADATA!$S$2:$S$20,0))),0)</f>
        <v>0</v>
      </c>
      <c r="E5474" s="312" t="str">
        <f t="shared" si="340"/>
        <v>LO</v>
      </c>
      <c r="F5474" s="369">
        <f>VLOOKUP(C5474,METADATA!$A$5:$H$29,IF(E5474="HI",2,IF(E5474="LO",6,10))+IF(D5474=1,2,IF(D5474=7,1,(IF(WEEKDAY(B5474)=1,2,IF(WEEKDAY(B5474)=7,1,0))))))</f>
        <v>3</v>
      </c>
      <c r="G5474" s="369">
        <f>VLOOKUP(C5474,METADATA!$J$5:$Q$29,IF(E5474="HI",2,IF(E5474="LO",6,10))+IF(D5474=1,2,IF(D5474=7,1,(IF(WEEKDAY(B5474)=1,2,IF(WEEKDAY(B5474)=7,1,0))))))</f>
        <v>3</v>
      </c>
      <c r="H5474" s="370">
        <v>12796.625427246094</v>
      </c>
      <c r="I5474" s="370">
        <v>4789.9649658203125</v>
      </c>
      <c r="M5474" s="371">
        <f t="shared" si="341"/>
        <v>13663.725213097168</v>
      </c>
      <c r="N5474" s="329">
        <f t="shared" si="342"/>
        <v>950.97733764648456</v>
      </c>
      <c r="T5474" s="331">
        <v>0</v>
      </c>
      <c r="U5474" s="328">
        <f>VLOOKUP(C5474,METADATA!$J$5:$Q$29,IF(E5474="HI",2,IF(E5474="LO",6,10))+IF(T5474=1,2,IF(D5474=7,1,(IF(WEEKDAY(B5474)=1,2,IF(WEEKDAY(B5474)=7,1,0))))))</f>
        <v>3</v>
      </c>
      <c r="V5474" s="328">
        <f>VLOOKUP(C5474,METADATA!$A$5:$H$29,IF(E5474="HI",2,IF(E5474="LO",6,10))+IF(T5474=1,2,IF(D5474=7,1,(IF(WEEKDAY(B5474)=1,2,IF(WEEKDAY(B5474)=7,1,0))))))</f>
        <v>3</v>
      </c>
    </row>
    <row r="5475" spans="2:22">
      <c r="B5475" s="318">
        <f t="shared" si="343"/>
        <v>46340</v>
      </c>
      <c r="C5475" s="312">
        <v>23</v>
      </c>
      <c r="D5475" s="368">
        <f>IFERROR((INDEX(METADATA!$T$2:$T$20,MATCH(B5475,METADATA!$S$2:$S$20,0))),0)</f>
        <v>0</v>
      </c>
      <c r="E5475" s="312" t="str">
        <f t="shared" si="340"/>
        <v>LO</v>
      </c>
      <c r="F5475" s="369">
        <f>VLOOKUP(C5475,METADATA!$A$5:$H$29,IF(E5475="HI",2,IF(E5475="LO",6,10))+IF(D5475=1,2,IF(D5475=7,1,(IF(WEEKDAY(B5475)=1,2,IF(WEEKDAY(B5475)=7,1,0))))))</f>
        <v>3</v>
      </c>
      <c r="G5475" s="369">
        <f>VLOOKUP(C5475,METADATA!$J$5:$Q$29,IF(E5475="HI",2,IF(E5475="LO",6,10))+IF(D5475=1,2,IF(D5475=7,1,(IF(WEEKDAY(B5475)=1,2,IF(WEEKDAY(B5475)=7,1,0))))))</f>
        <v>3</v>
      </c>
      <c r="H5475" s="370">
        <v>13767.674926757813</v>
      </c>
      <c r="I5475" s="370">
        <v>5260.925048828125</v>
      </c>
      <c r="M5475" s="371">
        <f t="shared" si="341"/>
        <v>14738.595769552232</v>
      </c>
      <c r="N5475" s="329">
        <f t="shared" si="342"/>
        <v>1130.6225708007814</v>
      </c>
      <c r="T5475" s="331">
        <v>0</v>
      </c>
      <c r="U5475" s="328">
        <f>VLOOKUP(C5475,METADATA!$J$5:$Q$29,IF(E5475="HI",2,IF(E5475="LO",6,10))+IF(T5475=1,2,IF(D5475=7,1,(IF(WEEKDAY(B5475)=1,2,IF(WEEKDAY(B5475)=7,1,0))))))</f>
        <v>3</v>
      </c>
      <c r="V5475" s="328">
        <f>VLOOKUP(C5475,METADATA!$A$5:$H$29,IF(E5475="HI",2,IF(E5475="LO",6,10))+IF(T5475=1,2,IF(D5475=7,1,(IF(WEEKDAY(B5475)=1,2,IF(WEEKDAY(B5475)=7,1,0))))))</f>
        <v>3</v>
      </c>
    </row>
    <row r="5476" spans="2:22">
      <c r="B5476" s="318">
        <f t="shared" si="343"/>
        <v>46341</v>
      </c>
      <c r="C5476" s="312">
        <v>0</v>
      </c>
      <c r="D5476" s="368">
        <f>IFERROR((INDEX(METADATA!$T$2:$T$20,MATCH(B5476,METADATA!$S$2:$S$20,0))),0)</f>
        <v>0</v>
      </c>
      <c r="E5476" s="312" t="str">
        <f t="shared" si="340"/>
        <v>LO</v>
      </c>
      <c r="F5476" s="369">
        <f>VLOOKUP(C5476,METADATA!$A$5:$H$29,IF(E5476="HI",2,IF(E5476="LO",6,10))+IF(D5476=1,2,IF(D5476=7,1,(IF(WEEKDAY(B5476)=1,2,IF(WEEKDAY(B5476)=7,1,0))))))</f>
        <v>3</v>
      </c>
      <c r="G5476" s="369">
        <f>VLOOKUP(C5476,METADATA!$J$5:$Q$29,IF(E5476="HI",2,IF(E5476="LO",6,10))+IF(D5476=1,2,IF(D5476=7,1,(IF(WEEKDAY(B5476)=1,2,IF(WEEKDAY(B5476)=7,1,0))))))</f>
        <v>3</v>
      </c>
      <c r="H5476" s="370">
        <v>13831.474670410156</v>
      </c>
      <c r="I5476" s="370">
        <v>5361.875</v>
      </c>
      <c r="M5476" s="371">
        <f t="shared" si="341"/>
        <v>14834.399046601879</v>
      </c>
      <c r="N5476" s="329">
        <f t="shared" si="342"/>
        <v>1212.4325988769533</v>
      </c>
      <c r="T5476" s="331">
        <v>0</v>
      </c>
      <c r="U5476" s="328">
        <f>VLOOKUP(C5476,METADATA!$J$5:$Q$29,IF(E5476="HI",2,IF(E5476="LO",6,10))+IF(T5476=1,2,IF(D5476=7,1,(IF(WEEKDAY(B5476)=1,2,IF(WEEKDAY(B5476)=7,1,0))))))</f>
        <v>3</v>
      </c>
      <c r="V5476" s="328">
        <f>VLOOKUP(C5476,METADATA!$A$5:$H$29,IF(E5476="HI",2,IF(E5476="LO",6,10))+IF(T5476=1,2,IF(D5476=7,1,(IF(WEEKDAY(B5476)=1,2,IF(WEEKDAY(B5476)=7,1,0))))))</f>
        <v>3</v>
      </c>
    </row>
    <row r="5477" spans="2:22">
      <c r="B5477" s="318">
        <f t="shared" si="343"/>
        <v>46341</v>
      </c>
      <c r="C5477" s="312">
        <v>1</v>
      </c>
      <c r="D5477" s="368">
        <f>IFERROR((INDEX(METADATA!$T$2:$T$20,MATCH(B5477,METADATA!$S$2:$S$20,0))),0)</f>
        <v>0</v>
      </c>
      <c r="E5477" s="312" t="str">
        <f t="shared" si="340"/>
        <v>LO</v>
      </c>
      <c r="F5477" s="369">
        <f>VLOOKUP(C5477,METADATA!$A$5:$H$29,IF(E5477="HI",2,IF(E5477="LO",6,10))+IF(D5477=1,2,IF(D5477=7,1,(IF(WEEKDAY(B5477)=1,2,IF(WEEKDAY(B5477)=7,1,0))))))</f>
        <v>3</v>
      </c>
      <c r="G5477" s="369">
        <f>VLOOKUP(C5477,METADATA!$J$5:$Q$29,IF(E5477="HI",2,IF(E5477="LO",6,10))+IF(D5477=1,2,IF(D5477=7,1,(IF(WEEKDAY(B5477)=1,2,IF(WEEKDAY(B5477)=7,1,0))))))</f>
        <v>3</v>
      </c>
      <c r="H5477" s="370">
        <v>13728.645141601563</v>
      </c>
      <c r="I5477" s="370">
        <v>5350.7225341796875</v>
      </c>
      <c r="M5477" s="371">
        <f t="shared" si="341"/>
        <v>14734.514890616469</v>
      </c>
      <c r="N5477" s="329">
        <f t="shared" si="342"/>
        <v>1232.1289916992191</v>
      </c>
      <c r="T5477" s="331">
        <v>0</v>
      </c>
      <c r="U5477" s="328">
        <f>VLOOKUP(C5477,METADATA!$J$5:$Q$29,IF(E5477="HI",2,IF(E5477="LO",6,10))+IF(T5477=1,2,IF(D5477=7,1,(IF(WEEKDAY(B5477)=1,2,IF(WEEKDAY(B5477)=7,1,0))))))</f>
        <v>3</v>
      </c>
      <c r="V5477" s="328">
        <f>VLOOKUP(C5477,METADATA!$A$5:$H$29,IF(E5477="HI",2,IF(E5477="LO",6,10))+IF(T5477=1,2,IF(D5477=7,1,(IF(WEEKDAY(B5477)=1,2,IF(WEEKDAY(B5477)=7,1,0))))))</f>
        <v>3</v>
      </c>
    </row>
    <row r="5478" spans="2:22">
      <c r="B5478" s="318">
        <f t="shared" si="343"/>
        <v>46341</v>
      </c>
      <c r="C5478" s="312">
        <v>2</v>
      </c>
      <c r="D5478" s="368">
        <f>IFERROR((INDEX(METADATA!$T$2:$T$20,MATCH(B5478,METADATA!$S$2:$S$20,0))),0)</f>
        <v>0</v>
      </c>
      <c r="E5478" s="312" t="str">
        <f t="shared" si="340"/>
        <v>LO</v>
      </c>
      <c r="F5478" s="369">
        <f>VLOOKUP(C5478,METADATA!$A$5:$H$29,IF(E5478="HI",2,IF(E5478="LO",6,10))+IF(D5478=1,2,IF(D5478=7,1,(IF(WEEKDAY(B5478)=1,2,IF(WEEKDAY(B5478)=7,1,0))))))</f>
        <v>3</v>
      </c>
      <c r="G5478" s="369">
        <f>VLOOKUP(C5478,METADATA!$J$5:$Q$29,IF(E5478="HI",2,IF(E5478="LO",6,10))+IF(D5478=1,2,IF(D5478=7,1,(IF(WEEKDAY(B5478)=1,2,IF(WEEKDAY(B5478)=7,1,0))))))</f>
        <v>3</v>
      </c>
      <c r="H5478" s="370">
        <v>13648.425170898438</v>
      </c>
      <c r="I5478" s="370">
        <v>5142.7000122070313</v>
      </c>
      <c r="M5478" s="371">
        <f t="shared" si="341"/>
        <v>14585.159343016045</v>
      </c>
      <c r="N5478" s="329">
        <f t="shared" si="342"/>
        <v>1048.1724609375001</v>
      </c>
      <c r="T5478" s="331">
        <v>0</v>
      </c>
      <c r="U5478" s="328">
        <f>VLOOKUP(C5478,METADATA!$J$5:$Q$29,IF(E5478="HI",2,IF(E5478="LO",6,10))+IF(T5478=1,2,IF(D5478=7,1,(IF(WEEKDAY(B5478)=1,2,IF(WEEKDAY(B5478)=7,1,0))))))</f>
        <v>3</v>
      </c>
      <c r="V5478" s="328">
        <f>VLOOKUP(C5478,METADATA!$A$5:$H$29,IF(E5478="HI",2,IF(E5478="LO",6,10))+IF(T5478=1,2,IF(D5478=7,1,(IF(WEEKDAY(B5478)=1,2,IF(WEEKDAY(B5478)=7,1,0))))))</f>
        <v>3</v>
      </c>
    </row>
    <row r="5479" spans="2:22">
      <c r="B5479" s="318">
        <f t="shared" si="343"/>
        <v>46341</v>
      </c>
      <c r="C5479" s="312">
        <v>3</v>
      </c>
      <c r="D5479" s="368">
        <f>IFERROR((INDEX(METADATA!$T$2:$T$20,MATCH(B5479,METADATA!$S$2:$S$20,0))),0)</f>
        <v>0</v>
      </c>
      <c r="E5479" s="312" t="str">
        <f t="shared" si="340"/>
        <v>LO</v>
      </c>
      <c r="F5479" s="369">
        <f>VLOOKUP(C5479,METADATA!$A$5:$H$29,IF(E5479="HI",2,IF(E5479="LO",6,10))+IF(D5479=1,2,IF(D5479=7,1,(IF(WEEKDAY(B5479)=1,2,IF(WEEKDAY(B5479)=7,1,0))))))</f>
        <v>3</v>
      </c>
      <c r="G5479" s="369">
        <f>VLOOKUP(C5479,METADATA!$J$5:$Q$29,IF(E5479="HI",2,IF(E5479="LO",6,10))+IF(D5479=1,2,IF(D5479=7,1,(IF(WEEKDAY(B5479)=1,2,IF(WEEKDAY(B5479)=7,1,0))))))</f>
        <v>3</v>
      </c>
      <c r="H5479" s="370">
        <v>13691.850158691406</v>
      </c>
      <c r="I5479" s="370">
        <v>4998.35009765625</v>
      </c>
      <c r="M5479" s="371">
        <f t="shared" si="341"/>
        <v>14575.673722569332</v>
      </c>
      <c r="N5479" s="329">
        <f t="shared" si="342"/>
        <v>890.79505004882867</v>
      </c>
      <c r="T5479" s="331">
        <v>0</v>
      </c>
      <c r="U5479" s="328">
        <f>VLOOKUP(C5479,METADATA!$J$5:$Q$29,IF(E5479="HI",2,IF(E5479="LO",6,10))+IF(T5479=1,2,IF(D5479=7,1,(IF(WEEKDAY(B5479)=1,2,IF(WEEKDAY(B5479)=7,1,0))))))</f>
        <v>3</v>
      </c>
      <c r="V5479" s="328">
        <f>VLOOKUP(C5479,METADATA!$A$5:$H$29,IF(E5479="HI",2,IF(E5479="LO",6,10))+IF(T5479=1,2,IF(D5479=7,1,(IF(WEEKDAY(B5479)=1,2,IF(WEEKDAY(B5479)=7,1,0))))))</f>
        <v>3</v>
      </c>
    </row>
    <row r="5480" spans="2:22">
      <c r="B5480" s="318">
        <f t="shared" si="343"/>
        <v>46341</v>
      </c>
      <c r="C5480" s="312">
        <v>4</v>
      </c>
      <c r="D5480" s="368">
        <f>IFERROR((INDEX(METADATA!$T$2:$T$20,MATCH(B5480,METADATA!$S$2:$S$20,0))),0)</f>
        <v>0</v>
      </c>
      <c r="E5480" s="312" t="str">
        <f t="shared" si="340"/>
        <v>LO</v>
      </c>
      <c r="F5480" s="369">
        <f>VLOOKUP(C5480,METADATA!$A$5:$H$29,IF(E5480="HI",2,IF(E5480="LO",6,10))+IF(D5480=1,2,IF(D5480=7,1,(IF(WEEKDAY(B5480)=1,2,IF(WEEKDAY(B5480)=7,1,0))))))</f>
        <v>3</v>
      </c>
      <c r="G5480" s="369">
        <f>VLOOKUP(C5480,METADATA!$J$5:$Q$29,IF(E5480="HI",2,IF(E5480="LO",6,10))+IF(D5480=1,2,IF(D5480=7,1,(IF(WEEKDAY(B5480)=1,2,IF(WEEKDAY(B5480)=7,1,0))))))</f>
        <v>3</v>
      </c>
      <c r="H5480" s="370">
        <v>13510.950073242188</v>
      </c>
      <c r="I5480" s="370">
        <v>4986.0999145507813</v>
      </c>
      <c r="M5480" s="371">
        <f t="shared" si="341"/>
        <v>14401.630610438748</v>
      </c>
      <c r="N5480" s="329">
        <f t="shared" si="342"/>
        <v>932.81489257812518</v>
      </c>
      <c r="T5480" s="331">
        <v>0</v>
      </c>
      <c r="U5480" s="328">
        <f>VLOOKUP(C5480,METADATA!$J$5:$Q$29,IF(E5480="HI",2,IF(E5480="LO",6,10))+IF(T5480=1,2,IF(D5480=7,1,(IF(WEEKDAY(B5480)=1,2,IF(WEEKDAY(B5480)=7,1,0))))))</f>
        <v>3</v>
      </c>
      <c r="V5480" s="328">
        <f>VLOOKUP(C5480,METADATA!$A$5:$H$29,IF(E5480="HI",2,IF(E5480="LO",6,10))+IF(T5480=1,2,IF(D5480=7,1,(IF(WEEKDAY(B5480)=1,2,IF(WEEKDAY(B5480)=7,1,0))))))</f>
        <v>3</v>
      </c>
    </row>
    <row r="5481" spans="2:22">
      <c r="B5481" s="318">
        <f t="shared" si="343"/>
        <v>46341</v>
      </c>
      <c r="C5481" s="312">
        <v>5</v>
      </c>
      <c r="D5481" s="368">
        <f>IFERROR((INDEX(METADATA!$T$2:$T$20,MATCH(B5481,METADATA!$S$2:$S$20,0))),0)</f>
        <v>0</v>
      </c>
      <c r="E5481" s="312" t="str">
        <f t="shared" si="340"/>
        <v>LO</v>
      </c>
      <c r="F5481" s="369">
        <f>VLOOKUP(C5481,METADATA!$A$5:$H$29,IF(E5481="HI",2,IF(E5481="LO",6,10))+IF(D5481=1,2,IF(D5481=7,1,(IF(WEEKDAY(B5481)=1,2,IF(WEEKDAY(B5481)=7,1,0))))))</f>
        <v>3</v>
      </c>
      <c r="G5481" s="369">
        <f>VLOOKUP(C5481,METADATA!$J$5:$Q$29,IF(E5481="HI",2,IF(E5481="LO",6,10))+IF(D5481=1,2,IF(D5481=7,1,(IF(WEEKDAY(B5481)=1,2,IF(WEEKDAY(B5481)=7,1,0))))))</f>
        <v>3</v>
      </c>
      <c r="H5481" s="370">
        <v>13490.549987792969</v>
      </c>
      <c r="I5481" s="370">
        <v>4924.9749145507813</v>
      </c>
      <c r="M5481" s="371">
        <f t="shared" si="341"/>
        <v>14361.417648759309</v>
      </c>
      <c r="N5481" s="329">
        <f t="shared" si="342"/>
        <v>877.80991821289081</v>
      </c>
      <c r="T5481" s="331">
        <v>0</v>
      </c>
      <c r="U5481" s="328">
        <f>VLOOKUP(C5481,METADATA!$J$5:$Q$29,IF(E5481="HI",2,IF(E5481="LO",6,10))+IF(T5481=1,2,IF(D5481=7,1,(IF(WEEKDAY(B5481)=1,2,IF(WEEKDAY(B5481)=7,1,0))))))</f>
        <v>3</v>
      </c>
      <c r="V5481" s="328">
        <f>VLOOKUP(C5481,METADATA!$A$5:$H$29,IF(E5481="HI",2,IF(E5481="LO",6,10))+IF(T5481=1,2,IF(D5481=7,1,(IF(WEEKDAY(B5481)=1,2,IF(WEEKDAY(B5481)=7,1,0))))))</f>
        <v>3</v>
      </c>
    </row>
    <row r="5482" spans="2:22">
      <c r="B5482" s="318">
        <f t="shared" si="343"/>
        <v>46341</v>
      </c>
      <c r="C5482" s="312">
        <v>6</v>
      </c>
      <c r="D5482" s="368">
        <f>IFERROR((INDEX(METADATA!$T$2:$T$20,MATCH(B5482,METADATA!$S$2:$S$20,0))),0)</f>
        <v>0</v>
      </c>
      <c r="E5482" s="312" t="str">
        <f t="shared" si="340"/>
        <v>LO</v>
      </c>
      <c r="F5482" s="369">
        <f>VLOOKUP(C5482,METADATA!$A$5:$H$29,IF(E5482="HI",2,IF(E5482="LO",6,10))+IF(D5482=1,2,IF(D5482=7,1,(IF(WEEKDAY(B5482)=1,2,IF(WEEKDAY(B5482)=7,1,0))))))</f>
        <v>3</v>
      </c>
      <c r="G5482" s="369">
        <f>VLOOKUP(C5482,METADATA!$J$5:$Q$29,IF(E5482="HI",2,IF(E5482="LO",6,10))+IF(D5482=1,2,IF(D5482=7,1,(IF(WEEKDAY(B5482)=1,2,IF(WEEKDAY(B5482)=7,1,0))))))</f>
        <v>3</v>
      </c>
      <c r="H5482" s="370">
        <v>12994.075134277344</v>
      </c>
      <c r="I5482" s="370">
        <v>4525.6748657226563</v>
      </c>
      <c r="M5482" s="371">
        <f t="shared" si="341"/>
        <v>13759.64104130186</v>
      </c>
      <c r="N5482" s="329">
        <f t="shared" si="342"/>
        <v>627.45232543945349</v>
      </c>
      <c r="T5482" s="331">
        <v>0</v>
      </c>
      <c r="U5482" s="328">
        <f>VLOOKUP(C5482,METADATA!$J$5:$Q$29,IF(E5482="HI",2,IF(E5482="LO",6,10))+IF(T5482=1,2,IF(D5482=7,1,(IF(WEEKDAY(B5482)=1,2,IF(WEEKDAY(B5482)=7,1,0))))))</f>
        <v>3</v>
      </c>
      <c r="V5482" s="328">
        <f>VLOOKUP(C5482,METADATA!$A$5:$H$29,IF(E5482="HI",2,IF(E5482="LO",6,10))+IF(T5482=1,2,IF(D5482=7,1,(IF(WEEKDAY(B5482)=1,2,IF(WEEKDAY(B5482)=7,1,0))))))</f>
        <v>3</v>
      </c>
    </row>
    <row r="5483" spans="2:22">
      <c r="B5483" s="318">
        <f t="shared" si="343"/>
        <v>46341</v>
      </c>
      <c r="C5483" s="312">
        <v>7</v>
      </c>
      <c r="D5483" s="368">
        <f>IFERROR((INDEX(METADATA!$T$2:$T$20,MATCH(B5483,METADATA!$S$2:$S$20,0))),0)</f>
        <v>0</v>
      </c>
      <c r="E5483" s="312" t="str">
        <f t="shared" si="340"/>
        <v>LO</v>
      </c>
      <c r="F5483" s="369">
        <f>VLOOKUP(C5483,METADATA!$A$5:$H$29,IF(E5483="HI",2,IF(E5483="LO",6,10))+IF(D5483=1,2,IF(D5483=7,1,(IF(WEEKDAY(B5483)=1,2,IF(WEEKDAY(B5483)=7,1,0))))))</f>
        <v>3</v>
      </c>
      <c r="G5483" s="369">
        <f>VLOOKUP(C5483,METADATA!$J$5:$Q$29,IF(E5483="HI",2,IF(E5483="LO",6,10))+IF(D5483=1,2,IF(D5483=7,1,(IF(WEEKDAY(B5483)=1,2,IF(WEEKDAY(B5483)=7,1,0))))))</f>
        <v>3</v>
      </c>
      <c r="H5483" s="370">
        <v>13264.224670410156</v>
      </c>
      <c r="I5483" s="370">
        <v>4798.8000793457031</v>
      </c>
      <c r="M5483" s="371">
        <f t="shared" si="341"/>
        <v>14105.606626751141</v>
      </c>
      <c r="N5483" s="329">
        <f t="shared" si="342"/>
        <v>819.53267822265661</v>
      </c>
      <c r="T5483" s="331">
        <v>0</v>
      </c>
      <c r="U5483" s="328">
        <f>VLOOKUP(C5483,METADATA!$J$5:$Q$29,IF(E5483="HI",2,IF(E5483="LO",6,10))+IF(T5483=1,2,IF(D5483=7,1,(IF(WEEKDAY(B5483)=1,2,IF(WEEKDAY(B5483)=7,1,0))))))</f>
        <v>3</v>
      </c>
      <c r="V5483" s="328">
        <f>VLOOKUP(C5483,METADATA!$A$5:$H$29,IF(E5483="HI",2,IF(E5483="LO",6,10))+IF(T5483=1,2,IF(D5483=7,1,(IF(WEEKDAY(B5483)=1,2,IF(WEEKDAY(B5483)=7,1,0))))))</f>
        <v>3</v>
      </c>
    </row>
    <row r="5484" spans="2:22">
      <c r="B5484" s="318">
        <f t="shared" si="343"/>
        <v>46341</v>
      </c>
      <c r="C5484" s="312">
        <v>8</v>
      </c>
      <c r="D5484" s="368">
        <f>IFERROR((INDEX(METADATA!$T$2:$T$20,MATCH(B5484,METADATA!$S$2:$S$20,0))),0)</f>
        <v>0</v>
      </c>
      <c r="E5484" s="312" t="str">
        <f t="shared" si="340"/>
        <v>LO</v>
      </c>
      <c r="F5484" s="369">
        <f>VLOOKUP(C5484,METADATA!$A$5:$H$29,IF(E5484="HI",2,IF(E5484="LO",6,10))+IF(D5484=1,2,IF(D5484=7,1,(IF(WEEKDAY(B5484)=1,2,IF(WEEKDAY(B5484)=7,1,0))))))</f>
        <v>3</v>
      </c>
      <c r="G5484" s="369">
        <f>VLOOKUP(C5484,METADATA!$J$5:$Q$29,IF(E5484="HI",2,IF(E5484="LO",6,10))+IF(D5484=1,2,IF(D5484=7,1,(IF(WEEKDAY(B5484)=1,2,IF(WEEKDAY(B5484)=7,1,0))))))</f>
        <v>3</v>
      </c>
      <c r="H5484" s="370">
        <v>12712.700500488281</v>
      </c>
      <c r="I5484" s="370">
        <v>4208.3049926757813</v>
      </c>
      <c r="M5484" s="371">
        <f t="shared" si="341"/>
        <v>13391.138298385798</v>
      </c>
      <c r="N5484" s="329">
        <f t="shared" si="342"/>
        <v>394.49484252929688</v>
      </c>
      <c r="T5484" s="331">
        <v>0</v>
      </c>
      <c r="U5484" s="328">
        <f>VLOOKUP(C5484,METADATA!$J$5:$Q$29,IF(E5484="HI",2,IF(E5484="LO",6,10))+IF(T5484=1,2,IF(D5484=7,1,(IF(WEEKDAY(B5484)=1,2,IF(WEEKDAY(B5484)=7,1,0))))))</f>
        <v>3</v>
      </c>
      <c r="V5484" s="328">
        <f>VLOOKUP(C5484,METADATA!$A$5:$H$29,IF(E5484="HI",2,IF(E5484="LO",6,10))+IF(T5484=1,2,IF(D5484=7,1,(IF(WEEKDAY(B5484)=1,2,IF(WEEKDAY(B5484)=7,1,0))))))</f>
        <v>3</v>
      </c>
    </row>
    <row r="5485" spans="2:22">
      <c r="B5485" s="318">
        <f t="shared" si="343"/>
        <v>46341</v>
      </c>
      <c r="C5485" s="312">
        <v>9</v>
      </c>
      <c r="D5485" s="368">
        <f>IFERROR((INDEX(METADATA!$T$2:$T$20,MATCH(B5485,METADATA!$S$2:$S$20,0))),0)</f>
        <v>0</v>
      </c>
      <c r="E5485" s="312" t="str">
        <f t="shared" si="340"/>
        <v>LO</v>
      </c>
      <c r="F5485" s="369">
        <f>VLOOKUP(C5485,METADATA!$A$5:$H$29,IF(E5485="HI",2,IF(E5485="LO",6,10))+IF(D5485=1,2,IF(D5485=7,1,(IF(WEEKDAY(B5485)=1,2,IF(WEEKDAY(B5485)=7,1,0))))))</f>
        <v>3</v>
      </c>
      <c r="G5485" s="369">
        <f>VLOOKUP(C5485,METADATA!$J$5:$Q$29,IF(E5485="HI",2,IF(E5485="LO",6,10))+IF(D5485=1,2,IF(D5485=7,1,(IF(WEEKDAY(B5485)=1,2,IF(WEEKDAY(B5485)=7,1,0))))))</f>
        <v>3</v>
      </c>
      <c r="H5485" s="370">
        <v>13302.924926757813</v>
      </c>
      <c r="I5485" s="370">
        <v>4701.2550659179688</v>
      </c>
      <c r="M5485" s="371">
        <f t="shared" si="341"/>
        <v>14109.203053389432</v>
      </c>
      <c r="N5485" s="329">
        <f t="shared" si="342"/>
        <v>710.37758789062536</v>
      </c>
      <c r="T5485" s="331">
        <v>0</v>
      </c>
      <c r="U5485" s="328">
        <f>VLOOKUP(C5485,METADATA!$J$5:$Q$29,IF(E5485="HI",2,IF(E5485="LO",6,10))+IF(T5485=1,2,IF(D5485=7,1,(IF(WEEKDAY(B5485)=1,2,IF(WEEKDAY(B5485)=7,1,0))))))</f>
        <v>3</v>
      </c>
      <c r="V5485" s="328">
        <f>VLOOKUP(C5485,METADATA!$A$5:$H$29,IF(E5485="HI",2,IF(E5485="LO",6,10))+IF(T5485=1,2,IF(D5485=7,1,(IF(WEEKDAY(B5485)=1,2,IF(WEEKDAY(B5485)=7,1,0))))))</f>
        <v>3</v>
      </c>
    </row>
    <row r="5486" spans="2:22">
      <c r="B5486" s="318">
        <f t="shared" si="343"/>
        <v>46341</v>
      </c>
      <c r="C5486" s="312">
        <v>10</v>
      </c>
      <c r="D5486" s="368">
        <f>IFERROR((INDEX(METADATA!$T$2:$T$20,MATCH(B5486,METADATA!$S$2:$S$20,0))),0)</f>
        <v>0</v>
      </c>
      <c r="E5486" s="312" t="str">
        <f t="shared" si="340"/>
        <v>LO</v>
      </c>
      <c r="F5486" s="369">
        <f>VLOOKUP(C5486,METADATA!$A$5:$H$29,IF(E5486="HI",2,IF(E5486="LO",6,10))+IF(D5486=1,2,IF(D5486=7,1,(IF(WEEKDAY(B5486)=1,2,IF(WEEKDAY(B5486)=7,1,0))))))</f>
        <v>3</v>
      </c>
      <c r="G5486" s="369">
        <f>VLOOKUP(C5486,METADATA!$J$5:$Q$29,IF(E5486="HI",2,IF(E5486="LO",6,10))+IF(D5486=1,2,IF(D5486=7,1,(IF(WEEKDAY(B5486)=1,2,IF(WEEKDAY(B5486)=7,1,0))))))</f>
        <v>3</v>
      </c>
      <c r="H5486" s="370">
        <v>13341.375183105469</v>
      </c>
      <c r="I5486" s="370">
        <v>4954.1500244140625</v>
      </c>
      <c r="M5486" s="371">
        <f t="shared" si="341"/>
        <v>14231.510609938228</v>
      </c>
      <c r="N5486" s="329">
        <f t="shared" si="342"/>
        <v>951.73746948242206</v>
      </c>
      <c r="T5486" s="331">
        <v>0</v>
      </c>
      <c r="U5486" s="328">
        <f>VLOOKUP(C5486,METADATA!$J$5:$Q$29,IF(E5486="HI",2,IF(E5486="LO",6,10))+IF(T5486=1,2,IF(D5486=7,1,(IF(WEEKDAY(B5486)=1,2,IF(WEEKDAY(B5486)=7,1,0))))))</f>
        <v>3</v>
      </c>
      <c r="V5486" s="328">
        <f>VLOOKUP(C5486,METADATA!$A$5:$H$29,IF(E5486="HI",2,IF(E5486="LO",6,10))+IF(T5486=1,2,IF(D5486=7,1,(IF(WEEKDAY(B5486)=1,2,IF(WEEKDAY(B5486)=7,1,0))))))</f>
        <v>3</v>
      </c>
    </row>
    <row r="5487" spans="2:22">
      <c r="B5487" s="318">
        <f t="shared" si="343"/>
        <v>46341</v>
      </c>
      <c r="C5487" s="312">
        <v>11</v>
      </c>
      <c r="D5487" s="368">
        <f>IFERROR((INDEX(METADATA!$T$2:$T$20,MATCH(B5487,METADATA!$S$2:$S$20,0))),0)</f>
        <v>0</v>
      </c>
      <c r="E5487" s="312" t="str">
        <f t="shared" si="340"/>
        <v>LO</v>
      </c>
      <c r="F5487" s="369">
        <f>VLOOKUP(C5487,METADATA!$A$5:$H$29,IF(E5487="HI",2,IF(E5487="LO",6,10))+IF(D5487=1,2,IF(D5487=7,1,(IF(WEEKDAY(B5487)=1,2,IF(WEEKDAY(B5487)=7,1,0))))))</f>
        <v>3</v>
      </c>
      <c r="G5487" s="369">
        <f>VLOOKUP(C5487,METADATA!$J$5:$Q$29,IF(E5487="HI",2,IF(E5487="LO",6,10))+IF(D5487=1,2,IF(D5487=7,1,(IF(WEEKDAY(B5487)=1,2,IF(WEEKDAY(B5487)=7,1,0))))))</f>
        <v>3</v>
      </c>
      <c r="H5487" s="370">
        <v>11733.75</v>
      </c>
      <c r="I5487" s="370">
        <v>3923.9024963378906</v>
      </c>
      <c r="M5487" s="371">
        <f t="shared" si="341"/>
        <v>12372.465391475813</v>
      </c>
      <c r="N5487" s="329">
        <f t="shared" si="342"/>
        <v>403.77749633789063</v>
      </c>
      <c r="T5487" s="331">
        <v>0</v>
      </c>
      <c r="U5487" s="328">
        <f>VLOOKUP(C5487,METADATA!$J$5:$Q$29,IF(E5487="HI",2,IF(E5487="LO",6,10))+IF(T5487=1,2,IF(D5487=7,1,(IF(WEEKDAY(B5487)=1,2,IF(WEEKDAY(B5487)=7,1,0))))))</f>
        <v>3</v>
      </c>
      <c r="V5487" s="328">
        <f>VLOOKUP(C5487,METADATA!$A$5:$H$29,IF(E5487="HI",2,IF(E5487="LO",6,10))+IF(T5487=1,2,IF(D5487=7,1,(IF(WEEKDAY(B5487)=1,2,IF(WEEKDAY(B5487)=7,1,0))))))</f>
        <v>3</v>
      </c>
    </row>
    <row r="5488" spans="2:22">
      <c r="B5488" s="318">
        <f t="shared" si="343"/>
        <v>46341</v>
      </c>
      <c r="C5488" s="312">
        <v>12</v>
      </c>
      <c r="D5488" s="368">
        <f>IFERROR((INDEX(METADATA!$T$2:$T$20,MATCH(B5488,METADATA!$S$2:$S$20,0))),0)</f>
        <v>0</v>
      </c>
      <c r="E5488" s="312" t="str">
        <f t="shared" si="340"/>
        <v>LO</v>
      </c>
      <c r="F5488" s="369">
        <f>VLOOKUP(C5488,METADATA!$A$5:$H$29,IF(E5488="HI",2,IF(E5488="LO",6,10))+IF(D5488=1,2,IF(D5488=7,1,(IF(WEEKDAY(B5488)=1,2,IF(WEEKDAY(B5488)=7,1,0))))))</f>
        <v>3</v>
      </c>
      <c r="G5488" s="369">
        <f>VLOOKUP(C5488,METADATA!$J$5:$Q$29,IF(E5488="HI",2,IF(E5488="LO",6,10))+IF(D5488=1,2,IF(D5488=7,1,(IF(WEEKDAY(B5488)=1,2,IF(WEEKDAY(B5488)=7,1,0))))))</f>
        <v>3</v>
      </c>
      <c r="H5488" s="370">
        <v>11572.075012207031</v>
      </c>
      <c r="I5488" s="370">
        <v>3844.6450500488281</v>
      </c>
      <c r="M5488" s="371">
        <f t="shared" si="341"/>
        <v>12194.023767772938</v>
      </c>
      <c r="N5488" s="329">
        <f t="shared" si="342"/>
        <v>373.02254638671866</v>
      </c>
      <c r="T5488" s="331">
        <v>0</v>
      </c>
      <c r="U5488" s="328">
        <f>VLOOKUP(C5488,METADATA!$J$5:$Q$29,IF(E5488="HI",2,IF(E5488="LO",6,10))+IF(T5488=1,2,IF(D5488=7,1,(IF(WEEKDAY(B5488)=1,2,IF(WEEKDAY(B5488)=7,1,0))))))</f>
        <v>3</v>
      </c>
      <c r="V5488" s="328">
        <f>VLOOKUP(C5488,METADATA!$A$5:$H$29,IF(E5488="HI",2,IF(E5488="LO",6,10))+IF(T5488=1,2,IF(D5488=7,1,(IF(WEEKDAY(B5488)=1,2,IF(WEEKDAY(B5488)=7,1,0))))))</f>
        <v>3</v>
      </c>
    </row>
    <row r="5489" spans="2:22">
      <c r="B5489" s="318">
        <f t="shared" si="343"/>
        <v>46341</v>
      </c>
      <c r="C5489" s="312">
        <v>13</v>
      </c>
      <c r="D5489" s="368">
        <f>IFERROR((INDEX(METADATA!$T$2:$T$20,MATCH(B5489,METADATA!$S$2:$S$20,0))),0)</f>
        <v>0</v>
      </c>
      <c r="E5489" s="312" t="str">
        <f t="shared" si="340"/>
        <v>LO</v>
      </c>
      <c r="F5489" s="369">
        <f>VLOOKUP(C5489,METADATA!$A$5:$H$29,IF(E5489="HI",2,IF(E5489="LO",6,10))+IF(D5489=1,2,IF(D5489=7,1,(IF(WEEKDAY(B5489)=1,2,IF(WEEKDAY(B5489)=7,1,0))))))</f>
        <v>3</v>
      </c>
      <c r="G5489" s="369">
        <f>VLOOKUP(C5489,METADATA!$J$5:$Q$29,IF(E5489="HI",2,IF(E5489="LO",6,10))+IF(D5489=1,2,IF(D5489=7,1,(IF(WEEKDAY(B5489)=1,2,IF(WEEKDAY(B5489)=7,1,0))))))</f>
        <v>3</v>
      </c>
      <c r="H5489" s="370">
        <v>9481.5252685546875</v>
      </c>
      <c r="I5489" s="370">
        <v>2982.0599594116211</v>
      </c>
      <c r="M5489" s="371">
        <f t="shared" si="341"/>
        <v>9939.4166337751976</v>
      </c>
      <c r="N5489" s="329">
        <f t="shared" si="342"/>
        <v>137.60237884521484</v>
      </c>
      <c r="T5489" s="331">
        <v>0</v>
      </c>
      <c r="U5489" s="328">
        <f>VLOOKUP(C5489,METADATA!$J$5:$Q$29,IF(E5489="HI",2,IF(E5489="LO",6,10))+IF(T5489=1,2,IF(D5489=7,1,(IF(WEEKDAY(B5489)=1,2,IF(WEEKDAY(B5489)=7,1,0))))))</f>
        <v>3</v>
      </c>
      <c r="V5489" s="328">
        <f>VLOOKUP(C5489,METADATA!$A$5:$H$29,IF(E5489="HI",2,IF(E5489="LO",6,10))+IF(T5489=1,2,IF(D5489=7,1,(IF(WEEKDAY(B5489)=1,2,IF(WEEKDAY(B5489)=7,1,0))))))</f>
        <v>3</v>
      </c>
    </row>
    <row r="5490" spans="2:22">
      <c r="B5490" s="318">
        <f t="shared" si="343"/>
        <v>46341</v>
      </c>
      <c r="C5490" s="312">
        <v>14</v>
      </c>
      <c r="D5490" s="368">
        <f>IFERROR((INDEX(METADATA!$T$2:$T$20,MATCH(B5490,METADATA!$S$2:$S$20,0))),0)</f>
        <v>0</v>
      </c>
      <c r="E5490" s="312" t="str">
        <f t="shared" si="340"/>
        <v>LO</v>
      </c>
      <c r="F5490" s="369">
        <f>VLOOKUP(C5490,METADATA!$A$5:$H$29,IF(E5490="HI",2,IF(E5490="LO",6,10))+IF(D5490=1,2,IF(D5490=7,1,(IF(WEEKDAY(B5490)=1,2,IF(WEEKDAY(B5490)=7,1,0))))))</f>
        <v>3</v>
      </c>
      <c r="G5490" s="369">
        <f>VLOOKUP(C5490,METADATA!$J$5:$Q$29,IF(E5490="HI",2,IF(E5490="LO",6,10))+IF(D5490=1,2,IF(D5490=7,1,(IF(WEEKDAY(B5490)=1,2,IF(WEEKDAY(B5490)=7,1,0))))))</f>
        <v>3</v>
      </c>
      <c r="H5490" s="370">
        <v>5894.1700134277344</v>
      </c>
      <c r="I5490" s="370">
        <v>1637.7825012207031</v>
      </c>
      <c r="M5490" s="371">
        <f t="shared" si="341"/>
        <v>6117.4808269822506</v>
      </c>
      <c r="N5490" s="329">
        <f t="shared" si="342"/>
        <v>0</v>
      </c>
      <c r="T5490" s="331">
        <v>0</v>
      </c>
      <c r="U5490" s="328">
        <f>VLOOKUP(C5490,METADATA!$J$5:$Q$29,IF(E5490="HI",2,IF(E5490="LO",6,10))+IF(T5490=1,2,IF(D5490=7,1,(IF(WEEKDAY(B5490)=1,2,IF(WEEKDAY(B5490)=7,1,0))))))</f>
        <v>3</v>
      </c>
      <c r="V5490" s="328">
        <f>VLOOKUP(C5490,METADATA!$A$5:$H$29,IF(E5490="HI",2,IF(E5490="LO",6,10))+IF(T5490=1,2,IF(D5490=7,1,(IF(WEEKDAY(B5490)=1,2,IF(WEEKDAY(B5490)=7,1,0))))))</f>
        <v>3</v>
      </c>
    </row>
    <row r="5491" spans="2:22">
      <c r="B5491" s="318">
        <f t="shared" si="343"/>
        <v>46341</v>
      </c>
      <c r="C5491" s="312">
        <v>15</v>
      </c>
      <c r="D5491" s="368">
        <f>IFERROR((INDEX(METADATA!$T$2:$T$20,MATCH(B5491,METADATA!$S$2:$S$20,0))),0)</f>
        <v>0</v>
      </c>
      <c r="E5491" s="312" t="str">
        <f t="shared" si="340"/>
        <v>LO</v>
      </c>
      <c r="F5491" s="369">
        <f>VLOOKUP(C5491,METADATA!$A$5:$H$29,IF(E5491="HI",2,IF(E5491="LO",6,10))+IF(D5491=1,2,IF(D5491=7,1,(IF(WEEKDAY(B5491)=1,2,IF(WEEKDAY(B5491)=7,1,0))))))</f>
        <v>3</v>
      </c>
      <c r="G5491" s="369">
        <f>VLOOKUP(C5491,METADATA!$J$5:$Q$29,IF(E5491="HI",2,IF(E5491="LO",6,10))+IF(D5491=1,2,IF(D5491=7,1,(IF(WEEKDAY(B5491)=1,2,IF(WEEKDAY(B5491)=7,1,0))))))</f>
        <v>3</v>
      </c>
      <c r="H5491" s="370">
        <v>9126.0750122070313</v>
      </c>
      <c r="I5491" s="370">
        <v>3035.445042103529</v>
      </c>
      <c r="M5491" s="371">
        <f t="shared" si="341"/>
        <v>9617.6489711394879</v>
      </c>
      <c r="N5491" s="329">
        <f t="shared" si="342"/>
        <v>297.62253844141969</v>
      </c>
      <c r="T5491" s="331">
        <v>0</v>
      </c>
      <c r="U5491" s="328">
        <f>VLOOKUP(C5491,METADATA!$J$5:$Q$29,IF(E5491="HI",2,IF(E5491="LO",6,10))+IF(T5491=1,2,IF(D5491=7,1,(IF(WEEKDAY(B5491)=1,2,IF(WEEKDAY(B5491)=7,1,0))))))</f>
        <v>3</v>
      </c>
      <c r="V5491" s="328">
        <f>VLOOKUP(C5491,METADATA!$A$5:$H$29,IF(E5491="HI",2,IF(E5491="LO",6,10))+IF(T5491=1,2,IF(D5491=7,1,(IF(WEEKDAY(B5491)=1,2,IF(WEEKDAY(B5491)=7,1,0))))))</f>
        <v>3</v>
      </c>
    </row>
    <row r="5492" spans="2:22">
      <c r="B5492" s="318">
        <f t="shared" si="343"/>
        <v>46341</v>
      </c>
      <c r="C5492" s="312">
        <v>16</v>
      </c>
      <c r="D5492" s="368">
        <f>IFERROR((INDEX(METADATA!$T$2:$T$20,MATCH(B5492,METADATA!$S$2:$S$20,0))),0)</f>
        <v>0</v>
      </c>
      <c r="E5492" s="312" t="str">
        <f t="shared" si="340"/>
        <v>LO</v>
      </c>
      <c r="F5492" s="369">
        <f>VLOOKUP(C5492,METADATA!$A$5:$H$29,IF(E5492="HI",2,IF(E5492="LO",6,10))+IF(D5492=1,2,IF(D5492=7,1,(IF(WEEKDAY(B5492)=1,2,IF(WEEKDAY(B5492)=7,1,0))))))</f>
        <v>3</v>
      </c>
      <c r="G5492" s="369">
        <f>VLOOKUP(C5492,METADATA!$J$5:$Q$29,IF(E5492="HI",2,IF(E5492="LO",6,10))+IF(D5492=1,2,IF(D5492=7,1,(IF(WEEKDAY(B5492)=1,2,IF(WEEKDAY(B5492)=7,1,0))))))</f>
        <v>3</v>
      </c>
      <c r="H5492" s="370">
        <v>13658.750183105469</v>
      </c>
      <c r="I5492" s="370">
        <v>5103.875</v>
      </c>
      <c r="M5492" s="371">
        <f t="shared" si="341"/>
        <v>14581.186391378058</v>
      </c>
      <c r="N5492" s="329">
        <f t="shared" si="342"/>
        <v>1006.2499450683599</v>
      </c>
      <c r="T5492" s="331">
        <v>0</v>
      </c>
      <c r="U5492" s="328">
        <f>VLOOKUP(C5492,METADATA!$J$5:$Q$29,IF(E5492="HI",2,IF(E5492="LO",6,10))+IF(T5492=1,2,IF(D5492=7,1,(IF(WEEKDAY(B5492)=1,2,IF(WEEKDAY(B5492)=7,1,0))))))</f>
        <v>3</v>
      </c>
      <c r="V5492" s="328">
        <f>VLOOKUP(C5492,METADATA!$A$5:$H$29,IF(E5492="HI",2,IF(E5492="LO",6,10))+IF(T5492=1,2,IF(D5492=7,1,(IF(WEEKDAY(B5492)=1,2,IF(WEEKDAY(B5492)=7,1,0))))))</f>
        <v>3</v>
      </c>
    </row>
    <row r="5493" spans="2:22">
      <c r="B5493" s="318">
        <f t="shared" si="343"/>
        <v>46341</v>
      </c>
      <c r="C5493" s="312">
        <v>17</v>
      </c>
      <c r="D5493" s="368">
        <f>IFERROR((INDEX(METADATA!$T$2:$T$20,MATCH(B5493,METADATA!$S$2:$S$20,0))),0)</f>
        <v>0</v>
      </c>
      <c r="E5493" s="312" t="str">
        <f t="shared" si="340"/>
        <v>LO</v>
      </c>
      <c r="F5493" s="369">
        <f>VLOOKUP(C5493,METADATA!$A$5:$H$29,IF(E5493="HI",2,IF(E5493="LO",6,10))+IF(D5493=1,2,IF(D5493=7,1,(IF(WEEKDAY(B5493)=1,2,IF(WEEKDAY(B5493)=7,1,0))))))</f>
        <v>3</v>
      </c>
      <c r="G5493" s="369">
        <f>VLOOKUP(C5493,METADATA!$J$5:$Q$29,IF(E5493="HI",2,IF(E5493="LO",6,10))+IF(D5493=1,2,IF(D5493=7,1,(IF(WEEKDAY(B5493)=1,2,IF(WEEKDAY(B5493)=7,1,0))))))</f>
        <v>3</v>
      </c>
      <c r="H5493" s="370">
        <v>13584</v>
      </c>
      <c r="I5493" s="370">
        <v>5148.7000732421875</v>
      </c>
      <c r="M5493" s="371">
        <f t="shared" si="341"/>
        <v>14527.015125076592</v>
      </c>
      <c r="N5493" s="329">
        <f t="shared" si="342"/>
        <v>1073.5000732421877</v>
      </c>
      <c r="T5493" s="331">
        <v>0</v>
      </c>
      <c r="U5493" s="328">
        <f>VLOOKUP(C5493,METADATA!$J$5:$Q$29,IF(E5493="HI",2,IF(E5493="LO",6,10))+IF(T5493=1,2,IF(D5493=7,1,(IF(WEEKDAY(B5493)=1,2,IF(WEEKDAY(B5493)=7,1,0))))))</f>
        <v>3</v>
      </c>
      <c r="V5493" s="328">
        <f>VLOOKUP(C5493,METADATA!$A$5:$H$29,IF(E5493="HI",2,IF(E5493="LO",6,10))+IF(T5493=1,2,IF(D5493=7,1,(IF(WEEKDAY(B5493)=1,2,IF(WEEKDAY(B5493)=7,1,0))))))</f>
        <v>3</v>
      </c>
    </row>
    <row r="5494" spans="2:22">
      <c r="B5494" s="318">
        <f t="shared" si="343"/>
        <v>46341</v>
      </c>
      <c r="C5494" s="312">
        <v>18</v>
      </c>
      <c r="D5494" s="368">
        <f>IFERROR((INDEX(METADATA!$T$2:$T$20,MATCH(B5494,METADATA!$S$2:$S$20,0))),0)</f>
        <v>0</v>
      </c>
      <c r="E5494" s="312" t="str">
        <f t="shared" si="340"/>
        <v>LO</v>
      </c>
      <c r="F5494" s="369">
        <f>VLOOKUP(C5494,METADATA!$A$5:$H$29,IF(E5494="HI",2,IF(E5494="LO",6,10))+IF(D5494=1,2,IF(D5494=7,1,(IF(WEEKDAY(B5494)=1,2,IF(WEEKDAY(B5494)=7,1,0))))))</f>
        <v>2</v>
      </c>
      <c r="G5494" s="369">
        <f>VLOOKUP(C5494,METADATA!$J$5:$Q$29,IF(E5494="HI",2,IF(E5494="LO",6,10))+IF(D5494=1,2,IF(D5494=7,1,(IF(WEEKDAY(B5494)=1,2,IF(WEEKDAY(B5494)=7,1,0))))))</f>
        <v>2</v>
      </c>
      <c r="H5494" s="370">
        <v>13308.149719238281</v>
      </c>
      <c r="I5494" s="370">
        <v>4757.4751281738281</v>
      </c>
      <c r="M5494" s="371">
        <f t="shared" si="341"/>
        <v>14132.955053521346</v>
      </c>
      <c r="N5494" s="329">
        <f t="shared" si="342"/>
        <v>765.03021240234375</v>
      </c>
      <c r="T5494" s="331">
        <v>0</v>
      </c>
      <c r="U5494" s="328">
        <f>VLOOKUP(C5494,METADATA!$J$5:$Q$29,IF(E5494="HI",2,IF(E5494="LO",6,10))+IF(T5494=1,2,IF(D5494=7,1,(IF(WEEKDAY(B5494)=1,2,IF(WEEKDAY(B5494)=7,1,0))))))</f>
        <v>2</v>
      </c>
      <c r="V5494" s="328">
        <f>VLOOKUP(C5494,METADATA!$A$5:$H$29,IF(E5494="HI",2,IF(E5494="LO",6,10))+IF(T5494=1,2,IF(D5494=7,1,(IF(WEEKDAY(B5494)=1,2,IF(WEEKDAY(B5494)=7,1,0))))))</f>
        <v>2</v>
      </c>
    </row>
    <row r="5495" spans="2:22">
      <c r="B5495" s="318">
        <f t="shared" si="343"/>
        <v>46341</v>
      </c>
      <c r="C5495" s="312">
        <v>19</v>
      </c>
      <c r="D5495" s="368">
        <f>IFERROR((INDEX(METADATA!$T$2:$T$20,MATCH(B5495,METADATA!$S$2:$S$20,0))),0)</f>
        <v>0</v>
      </c>
      <c r="E5495" s="312" t="str">
        <f t="shared" si="340"/>
        <v>LO</v>
      </c>
      <c r="F5495" s="369">
        <f>VLOOKUP(C5495,METADATA!$A$5:$H$29,IF(E5495="HI",2,IF(E5495="LO",6,10))+IF(D5495=1,2,IF(D5495=7,1,(IF(WEEKDAY(B5495)=1,2,IF(WEEKDAY(B5495)=7,1,0))))))</f>
        <v>2</v>
      </c>
      <c r="G5495" s="369">
        <f>VLOOKUP(C5495,METADATA!$J$5:$Q$29,IF(E5495="HI",2,IF(E5495="LO",6,10))+IF(D5495=1,2,IF(D5495=7,1,(IF(WEEKDAY(B5495)=1,2,IF(WEEKDAY(B5495)=7,1,0))))))</f>
        <v>2</v>
      </c>
      <c r="H5495" s="370">
        <v>13689.82470703125</v>
      </c>
      <c r="I5495" s="370">
        <v>4756.6750793457031</v>
      </c>
      <c r="M5495" s="371">
        <f t="shared" si="341"/>
        <v>14492.662223336045</v>
      </c>
      <c r="N5495" s="329">
        <f t="shared" si="342"/>
        <v>649.72766723632867</v>
      </c>
      <c r="T5495" s="331">
        <v>0</v>
      </c>
      <c r="U5495" s="328">
        <f>VLOOKUP(C5495,METADATA!$J$5:$Q$29,IF(E5495="HI",2,IF(E5495="LO",6,10))+IF(T5495=1,2,IF(D5495=7,1,(IF(WEEKDAY(B5495)=1,2,IF(WEEKDAY(B5495)=7,1,0))))))</f>
        <v>2</v>
      </c>
      <c r="V5495" s="328">
        <f>VLOOKUP(C5495,METADATA!$A$5:$H$29,IF(E5495="HI",2,IF(E5495="LO",6,10))+IF(T5495=1,2,IF(D5495=7,1,(IF(WEEKDAY(B5495)=1,2,IF(WEEKDAY(B5495)=7,1,0))))))</f>
        <v>2</v>
      </c>
    </row>
    <row r="5496" spans="2:22">
      <c r="B5496" s="318">
        <f t="shared" si="343"/>
        <v>46341</v>
      </c>
      <c r="C5496" s="312">
        <v>20</v>
      </c>
      <c r="D5496" s="368">
        <f>IFERROR((INDEX(METADATA!$T$2:$T$20,MATCH(B5496,METADATA!$S$2:$S$20,0))),0)</f>
        <v>0</v>
      </c>
      <c r="E5496" s="312" t="str">
        <f t="shared" si="340"/>
        <v>LO</v>
      </c>
      <c r="F5496" s="369">
        <f>VLOOKUP(C5496,METADATA!$A$5:$H$29,IF(E5496="HI",2,IF(E5496="LO",6,10))+IF(D5496=1,2,IF(D5496=7,1,(IF(WEEKDAY(B5496)=1,2,IF(WEEKDAY(B5496)=7,1,0))))))</f>
        <v>3</v>
      </c>
      <c r="G5496" s="369">
        <f>VLOOKUP(C5496,METADATA!$J$5:$Q$29,IF(E5496="HI",2,IF(E5496="LO",6,10))+IF(D5496=1,2,IF(D5496=7,1,(IF(WEEKDAY(B5496)=1,2,IF(WEEKDAY(B5496)=7,1,0))))))</f>
        <v>3</v>
      </c>
      <c r="H5496" s="370">
        <v>13668.550048828125</v>
      </c>
      <c r="I5496" s="370">
        <v>4929.8248901367188</v>
      </c>
      <c r="M5496" s="371">
        <f t="shared" si="341"/>
        <v>14530.396893572139</v>
      </c>
      <c r="N5496" s="329">
        <f t="shared" si="342"/>
        <v>829.25987548828107</v>
      </c>
      <c r="T5496" s="331">
        <v>0</v>
      </c>
      <c r="U5496" s="328">
        <f>VLOOKUP(C5496,METADATA!$J$5:$Q$29,IF(E5496="HI",2,IF(E5496="LO",6,10))+IF(T5496=1,2,IF(D5496=7,1,(IF(WEEKDAY(B5496)=1,2,IF(WEEKDAY(B5496)=7,1,0))))))</f>
        <v>3</v>
      </c>
      <c r="V5496" s="328">
        <f>VLOOKUP(C5496,METADATA!$A$5:$H$29,IF(E5496="HI",2,IF(E5496="LO",6,10))+IF(T5496=1,2,IF(D5496=7,1,(IF(WEEKDAY(B5496)=1,2,IF(WEEKDAY(B5496)=7,1,0))))))</f>
        <v>3</v>
      </c>
    </row>
    <row r="5497" spans="2:22">
      <c r="B5497" s="318">
        <f t="shared" si="343"/>
        <v>46341</v>
      </c>
      <c r="C5497" s="312">
        <v>21</v>
      </c>
      <c r="D5497" s="368">
        <f>IFERROR((INDEX(METADATA!$T$2:$T$20,MATCH(B5497,METADATA!$S$2:$S$20,0))),0)</f>
        <v>0</v>
      </c>
      <c r="E5497" s="312" t="str">
        <f t="shared" si="340"/>
        <v>LO</v>
      </c>
      <c r="F5497" s="369">
        <f>VLOOKUP(C5497,METADATA!$A$5:$H$29,IF(E5497="HI",2,IF(E5497="LO",6,10))+IF(D5497=1,2,IF(D5497=7,1,(IF(WEEKDAY(B5497)=1,2,IF(WEEKDAY(B5497)=7,1,0))))))</f>
        <v>3</v>
      </c>
      <c r="G5497" s="369">
        <f>VLOOKUP(C5497,METADATA!$J$5:$Q$29,IF(E5497="HI",2,IF(E5497="LO",6,10))+IF(D5497=1,2,IF(D5497=7,1,(IF(WEEKDAY(B5497)=1,2,IF(WEEKDAY(B5497)=7,1,0))))))</f>
        <v>3</v>
      </c>
      <c r="H5497" s="370">
        <v>13594.274963378906</v>
      </c>
      <c r="I5497" s="370">
        <v>5117.60009765625</v>
      </c>
      <c r="M5497" s="371">
        <f t="shared" si="341"/>
        <v>14525.637422828708</v>
      </c>
      <c r="N5497" s="329">
        <f t="shared" si="342"/>
        <v>1039.3176086425783</v>
      </c>
      <c r="T5497" s="331">
        <v>0</v>
      </c>
      <c r="U5497" s="328">
        <f>VLOOKUP(C5497,METADATA!$J$5:$Q$29,IF(E5497="HI",2,IF(E5497="LO",6,10))+IF(T5497=1,2,IF(D5497=7,1,(IF(WEEKDAY(B5497)=1,2,IF(WEEKDAY(B5497)=7,1,0))))))</f>
        <v>3</v>
      </c>
      <c r="V5497" s="328">
        <f>VLOOKUP(C5497,METADATA!$A$5:$H$29,IF(E5497="HI",2,IF(E5497="LO",6,10))+IF(T5497=1,2,IF(D5497=7,1,(IF(WEEKDAY(B5497)=1,2,IF(WEEKDAY(B5497)=7,1,0))))))</f>
        <v>3</v>
      </c>
    </row>
    <row r="5498" spans="2:22">
      <c r="B5498" s="318">
        <f t="shared" si="343"/>
        <v>46341</v>
      </c>
      <c r="C5498" s="312">
        <v>22</v>
      </c>
      <c r="D5498" s="368">
        <f>IFERROR((INDEX(METADATA!$T$2:$T$20,MATCH(B5498,METADATA!$S$2:$S$20,0))),0)</f>
        <v>0</v>
      </c>
      <c r="E5498" s="312" t="str">
        <f t="shared" si="340"/>
        <v>LO</v>
      </c>
      <c r="F5498" s="369">
        <f>VLOOKUP(C5498,METADATA!$A$5:$H$29,IF(E5498="HI",2,IF(E5498="LO",6,10))+IF(D5498=1,2,IF(D5498=7,1,(IF(WEEKDAY(B5498)=1,2,IF(WEEKDAY(B5498)=7,1,0))))))</f>
        <v>3</v>
      </c>
      <c r="G5498" s="369">
        <f>VLOOKUP(C5498,METADATA!$J$5:$Q$29,IF(E5498="HI",2,IF(E5498="LO",6,10))+IF(D5498=1,2,IF(D5498=7,1,(IF(WEEKDAY(B5498)=1,2,IF(WEEKDAY(B5498)=7,1,0))))))</f>
        <v>3</v>
      </c>
      <c r="H5498" s="370">
        <v>13411.474975585938</v>
      </c>
      <c r="I5498" s="370">
        <v>4969.0000610351563</v>
      </c>
      <c r="M5498" s="371">
        <f t="shared" si="341"/>
        <v>14302.399191301269</v>
      </c>
      <c r="N5498" s="329">
        <f t="shared" si="342"/>
        <v>945.55756835937518</v>
      </c>
      <c r="T5498" s="331">
        <v>0</v>
      </c>
      <c r="U5498" s="328">
        <f>VLOOKUP(C5498,METADATA!$J$5:$Q$29,IF(E5498="HI",2,IF(E5498="LO",6,10))+IF(T5498=1,2,IF(D5498=7,1,(IF(WEEKDAY(B5498)=1,2,IF(WEEKDAY(B5498)=7,1,0))))))</f>
        <v>3</v>
      </c>
      <c r="V5498" s="328">
        <f>VLOOKUP(C5498,METADATA!$A$5:$H$29,IF(E5498="HI",2,IF(E5498="LO",6,10))+IF(T5498=1,2,IF(D5498=7,1,(IF(WEEKDAY(B5498)=1,2,IF(WEEKDAY(B5498)=7,1,0))))))</f>
        <v>3</v>
      </c>
    </row>
    <row r="5499" spans="2:22">
      <c r="B5499" s="318">
        <f t="shared" si="343"/>
        <v>46341</v>
      </c>
      <c r="C5499" s="312">
        <v>23</v>
      </c>
      <c r="D5499" s="368">
        <f>IFERROR((INDEX(METADATA!$T$2:$T$20,MATCH(B5499,METADATA!$S$2:$S$20,0))),0)</f>
        <v>0</v>
      </c>
      <c r="E5499" s="312" t="str">
        <f t="shared" si="340"/>
        <v>LO</v>
      </c>
      <c r="F5499" s="369">
        <f>VLOOKUP(C5499,METADATA!$A$5:$H$29,IF(E5499="HI",2,IF(E5499="LO",6,10))+IF(D5499=1,2,IF(D5499=7,1,(IF(WEEKDAY(B5499)=1,2,IF(WEEKDAY(B5499)=7,1,0))))))</f>
        <v>3</v>
      </c>
      <c r="G5499" s="369">
        <f>VLOOKUP(C5499,METADATA!$J$5:$Q$29,IF(E5499="HI",2,IF(E5499="LO",6,10))+IF(D5499=1,2,IF(D5499=7,1,(IF(WEEKDAY(B5499)=1,2,IF(WEEKDAY(B5499)=7,1,0))))))</f>
        <v>3</v>
      </c>
      <c r="H5499" s="370">
        <v>13424.0751953125</v>
      </c>
      <c r="I5499" s="370">
        <v>4943.025146484375</v>
      </c>
      <c r="M5499" s="371">
        <f t="shared" si="341"/>
        <v>14305.219063271321</v>
      </c>
      <c r="N5499" s="329">
        <f t="shared" si="342"/>
        <v>915.80258789062509</v>
      </c>
      <c r="T5499" s="331">
        <v>0</v>
      </c>
      <c r="U5499" s="328">
        <f>VLOOKUP(C5499,METADATA!$J$5:$Q$29,IF(E5499="HI",2,IF(E5499="LO",6,10))+IF(T5499=1,2,IF(D5499=7,1,(IF(WEEKDAY(B5499)=1,2,IF(WEEKDAY(B5499)=7,1,0))))))</f>
        <v>3</v>
      </c>
      <c r="V5499" s="328">
        <f>VLOOKUP(C5499,METADATA!$A$5:$H$29,IF(E5499="HI",2,IF(E5499="LO",6,10))+IF(T5499=1,2,IF(D5499=7,1,(IF(WEEKDAY(B5499)=1,2,IF(WEEKDAY(B5499)=7,1,0))))))</f>
        <v>3</v>
      </c>
    </row>
    <row r="5500" spans="2:22">
      <c r="B5500" s="318">
        <f t="shared" si="343"/>
        <v>46342</v>
      </c>
      <c r="C5500" s="312">
        <v>0</v>
      </c>
      <c r="D5500" s="368">
        <f>IFERROR((INDEX(METADATA!$T$2:$T$20,MATCH(B5500,METADATA!$S$2:$S$20,0))),0)</f>
        <v>0</v>
      </c>
      <c r="E5500" s="312" t="str">
        <f t="shared" si="340"/>
        <v>LO</v>
      </c>
      <c r="F5500" s="369">
        <f>VLOOKUP(C5500,METADATA!$A$5:$H$29,IF(E5500="HI",2,IF(E5500="LO",6,10))+IF(D5500=1,2,IF(D5500=7,1,(IF(WEEKDAY(B5500)=1,2,IF(WEEKDAY(B5500)=7,1,0))))))</f>
        <v>3</v>
      </c>
      <c r="G5500" s="369">
        <f>VLOOKUP(C5500,METADATA!$J$5:$Q$29,IF(E5500="HI",2,IF(E5500="LO",6,10))+IF(D5500=1,2,IF(D5500=7,1,(IF(WEEKDAY(B5500)=1,2,IF(WEEKDAY(B5500)=7,1,0))))))</f>
        <v>3</v>
      </c>
      <c r="H5500" s="370">
        <v>13466.799926757813</v>
      </c>
      <c r="I5500" s="370">
        <v>5122.0250244140625</v>
      </c>
      <c r="M5500" s="371">
        <f t="shared" si="341"/>
        <v>14407.978366795533</v>
      </c>
      <c r="N5500" s="329">
        <f t="shared" si="342"/>
        <v>1081.9850463867188</v>
      </c>
      <c r="T5500" s="331">
        <v>0</v>
      </c>
      <c r="U5500" s="328">
        <f>VLOOKUP(C5500,METADATA!$J$5:$Q$29,IF(E5500="HI",2,IF(E5500="LO",6,10))+IF(T5500=1,2,IF(D5500=7,1,(IF(WEEKDAY(B5500)=1,2,IF(WEEKDAY(B5500)=7,1,0))))))</f>
        <v>3</v>
      </c>
      <c r="V5500" s="328">
        <f>VLOOKUP(C5500,METADATA!$A$5:$H$29,IF(E5500="HI",2,IF(E5500="LO",6,10))+IF(T5500=1,2,IF(D5500=7,1,(IF(WEEKDAY(B5500)=1,2,IF(WEEKDAY(B5500)=7,1,0))))))</f>
        <v>3</v>
      </c>
    </row>
    <row r="5501" spans="2:22">
      <c r="B5501" s="318">
        <f t="shared" si="343"/>
        <v>46342</v>
      </c>
      <c r="C5501" s="312">
        <v>1</v>
      </c>
      <c r="D5501" s="368">
        <f>IFERROR((INDEX(METADATA!$T$2:$T$20,MATCH(B5501,METADATA!$S$2:$S$20,0))),0)</f>
        <v>0</v>
      </c>
      <c r="E5501" s="312" t="str">
        <f t="shared" si="340"/>
        <v>LO</v>
      </c>
      <c r="F5501" s="369">
        <f>VLOOKUP(C5501,METADATA!$A$5:$H$29,IF(E5501="HI",2,IF(E5501="LO",6,10))+IF(D5501=1,2,IF(D5501=7,1,(IF(WEEKDAY(B5501)=1,2,IF(WEEKDAY(B5501)=7,1,0))))))</f>
        <v>3</v>
      </c>
      <c r="G5501" s="369">
        <f>VLOOKUP(C5501,METADATA!$J$5:$Q$29,IF(E5501="HI",2,IF(E5501="LO",6,10))+IF(D5501=1,2,IF(D5501=7,1,(IF(WEEKDAY(B5501)=1,2,IF(WEEKDAY(B5501)=7,1,0))))))</f>
        <v>3</v>
      </c>
      <c r="H5501" s="370">
        <v>13503.334838867188</v>
      </c>
      <c r="I5501" s="370">
        <v>4988.6773681640625</v>
      </c>
      <c r="M5501" s="371">
        <f t="shared" si="341"/>
        <v>14395.379593959884</v>
      </c>
      <c r="N5501" s="329">
        <f t="shared" si="342"/>
        <v>937.67691650390634</v>
      </c>
      <c r="T5501" s="331">
        <v>0</v>
      </c>
      <c r="U5501" s="328">
        <f>VLOOKUP(C5501,METADATA!$J$5:$Q$29,IF(E5501="HI",2,IF(E5501="LO",6,10))+IF(T5501=1,2,IF(D5501=7,1,(IF(WEEKDAY(B5501)=1,2,IF(WEEKDAY(B5501)=7,1,0))))))</f>
        <v>3</v>
      </c>
      <c r="V5501" s="328">
        <f>VLOOKUP(C5501,METADATA!$A$5:$H$29,IF(E5501="HI",2,IF(E5501="LO",6,10))+IF(T5501=1,2,IF(D5501=7,1,(IF(WEEKDAY(B5501)=1,2,IF(WEEKDAY(B5501)=7,1,0))))))</f>
        <v>3</v>
      </c>
    </row>
    <row r="5502" spans="2:22">
      <c r="B5502" s="318">
        <f t="shared" si="343"/>
        <v>46342</v>
      </c>
      <c r="C5502" s="312">
        <v>2</v>
      </c>
      <c r="D5502" s="368">
        <f>IFERROR((INDEX(METADATA!$T$2:$T$20,MATCH(B5502,METADATA!$S$2:$S$20,0))),0)</f>
        <v>0</v>
      </c>
      <c r="E5502" s="312" t="str">
        <f t="shared" si="340"/>
        <v>LO</v>
      </c>
      <c r="F5502" s="369">
        <f>VLOOKUP(C5502,METADATA!$A$5:$H$29,IF(E5502="HI",2,IF(E5502="LO",6,10))+IF(D5502=1,2,IF(D5502=7,1,(IF(WEEKDAY(B5502)=1,2,IF(WEEKDAY(B5502)=7,1,0))))))</f>
        <v>3</v>
      </c>
      <c r="G5502" s="369">
        <f>VLOOKUP(C5502,METADATA!$J$5:$Q$29,IF(E5502="HI",2,IF(E5502="LO",6,10))+IF(D5502=1,2,IF(D5502=7,1,(IF(WEEKDAY(B5502)=1,2,IF(WEEKDAY(B5502)=7,1,0))))))</f>
        <v>3</v>
      </c>
      <c r="H5502" s="370">
        <v>13438.274841308594</v>
      </c>
      <c r="I5502" s="370">
        <v>4901.6749877929688</v>
      </c>
      <c r="M5502" s="371">
        <f t="shared" si="341"/>
        <v>14304.322717154515</v>
      </c>
      <c r="N5502" s="329">
        <f t="shared" si="342"/>
        <v>870.19253540039063</v>
      </c>
      <c r="T5502" s="331">
        <v>0</v>
      </c>
      <c r="U5502" s="328">
        <f>VLOOKUP(C5502,METADATA!$J$5:$Q$29,IF(E5502="HI",2,IF(E5502="LO",6,10))+IF(T5502=1,2,IF(D5502=7,1,(IF(WEEKDAY(B5502)=1,2,IF(WEEKDAY(B5502)=7,1,0))))))</f>
        <v>3</v>
      </c>
      <c r="V5502" s="328">
        <f>VLOOKUP(C5502,METADATA!$A$5:$H$29,IF(E5502="HI",2,IF(E5502="LO",6,10))+IF(T5502=1,2,IF(D5502=7,1,(IF(WEEKDAY(B5502)=1,2,IF(WEEKDAY(B5502)=7,1,0))))))</f>
        <v>3</v>
      </c>
    </row>
    <row r="5503" spans="2:22">
      <c r="B5503" s="318">
        <f t="shared" si="343"/>
        <v>46342</v>
      </c>
      <c r="C5503" s="312">
        <v>3</v>
      </c>
      <c r="D5503" s="368">
        <f>IFERROR((INDEX(METADATA!$T$2:$T$20,MATCH(B5503,METADATA!$S$2:$S$20,0))),0)</f>
        <v>0</v>
      </c>
      <c r="E5503" s="312" t="str">
        <f t="shared" si="340"/>
        <v>LO</v>
      </c>
      <c r="F5503" s="369">
        <f>VLOOKUP(C5503,METADATA!$A$5:$H$29,IF(E5503="HI",2,IF(E5503="LO",6,10))+IF(D5503=1,2,IF(D5503=7,1,(IF(WEEKDAY(B5503)=1,2,IF(WEEKDAY(B5503)=7,1,0))))))</f>
        <v>3</v>
      </c>
      <c r="G5503" s="369">
        <f>VLOOKUP(C5503,METADATA!$J$5:$Q$29,IF(E5503="HI",2,IF(E5503="LO",6,10))+IF(D5503=1,2,IF(D5503=7,1,(IF(WEEKDAY(B5503)=1,2,IF(WEEKDAY(B5503)=7,1,0))))))</f>
        <v>3</v>
      </c>
      <c r="H5503" s="370">
        <v>13335.874877929688</v>
      </c>
      <c r="I5503" s="370">
        <v>5055.4249877929688</v>
      </c>
      <c r="M5503" s="371">
        <f t="shared" si="341"/>
        <v>14261.938177085107</v>
      </c>
      <c r="N5503" s="329">
        <f t="shared" si="342"/>
        <v>1054.6625244140628</v>
      </c>
      <c r="T5503" s="331">
        <v>0</v>
      </c>
      <c r="U5503" s="328">
        <f>VLOOKUP(C5503,METADATA!$J$5:$Q$29,IF(E5503="HI",2,IF(E5503="LO",6,10))+IF(T5503=1,2,IF(D5503=7,1,(IF(WEEKDAY(B5503)=1,2,IF(WEEKDAY(B5503)=7,1,0))))))</f>
        <v>3</v>
      </c>
      <c r="V5503" s="328">
        <f>VLOOKUP(C5503,METADATA!$A$5:$H$29,IF(E5503="HI",2,IF(E5503="LO",6,10))+IF(T5503=1,2,IF(D5503=7,1,(IF(WEEKDAY(B5503)=1,2,IF(WEEKDAY(B5503)=7,1,0))))))</f>
        <v>3</v>
      </c>
    </row>
    <row r="5504" spans="2:22">
      <c r="B5504" s="318">
        <f t="shared" si="343"/>
        <v>46342</v>
      </c>
      <c r="C5504" s="312">
        <v>4</v>
      </c>
      <c r="D5504" s="368">
        <f>IFERROR((INDEX(METADATA!$T$2:$T$20,MATCH(B5504,METADATA!$S$2:$S$20,0))),0)</f>
        <v>0</v>
      </c>
      <c r="E5504" s="312" t="str">
        <f t="shared" si="340"/>
        <v>LO</v>
      </c>
      <c r="F5504" s="369">
        <f>VLOOKUP(C5504,METADATA!$A$5:$H$29,IF(E5504="HI",2,IF(E5504="LO",6,10))+IF(D5504=1,2,IF(D5504=7,1,(IF(WEEKDAY(B5504)=1,2,IF(WEEKDAY(B5504)=7,1,0))))))</f>
        <v>3</v>
      </c>
      <c r="G5504" s="369">
        <f>VLOOKUP(C5504,METADATA!$J$5:$Q$29,IF(E5504="HI",2,IF(E5504="LO",6,10))+IF(D5504=1,2,IF(D5504=7,1,(IF(WEEKDAY(B5504)=1,2,IF(WEEKDAY(B5504)=7,1,0))))))</f>
        <v>3</v>
      </c>
      <c r="H5504" s="370">
        <v>13404.975280761719</v>
      </c>
      <c r="I5504" s="370">
        <v>5051.2750244140625</v>
      </c>
      <c r="M5504" s="371">
        <f t="shared" si="341"/>
        <v>14325.108783185628</v>
      </c>
      <c r="N5504" s="329">
        <f t="shared" si="342"/>
        <v>1029.7824401855469</v>
      </c>
      <c r="T5504" s="331">
        <v>0</v>
      </c>
      <c r="U5504" s="328">
        <f>VLOOKUP(C5504,METADATA!$J$5:$Q$29,IF(E5504="HI",2,IF(E5504="LO",6,10))+IF(T5504=1,2,IF(D5504=7,1,(IF(WEEKDAY(B5504)=1,2,IF(WEEKDAY(B5504)=7,1,0))))))</f>
        <v>3</v>
      </c>
      <c r="V5504" s="328">
        <f>VLOOKUP(C5504,METADATA!$A$5:$H$29,IF(E5504="HI",2,IF(E5504="LO",6,10))+IF(T5504=1,2,IF(D5504=7,1,(IF(WEEKDAY(B5504)=1,2,IF(WEEKDAY(B5504)=7,1,0))))))</f>
        <v>3</v>
      </c>
    </row>
    <row r="5505" spans="2:22">
      <c r="B5505" s="318">
        <f t="shared" si="343"/>
        <v>46342</v>
      </c>
      <c r="C5505" s="312">
        <v>5</v>
      </c>
      <c r="D5505" s="368">
        <f>IFERROR((INDEX(METADATA!$T$2:$T$20,MATCH(B5505,METADATA!$S$2:$S$20,0))),0)</f>
        <v>0</v>
      </c>
      <c r="E5505" s="312" t="str">
        <f t="shared" si="340"/>
        <v>LO</v>
      </c>
      <c r="F5505" s="369">
        <f>VLOOKUP(C5505,METADATA!$A$5:$H$29,IF(E5505="HI",2,IF(E5505="LO",6,10))+IF(D5505=1,2,IF(D5505=7,1,(IF(WEEKDAY(B5505)=1,2,IF(WEEKDAY(B5505)=7,1,0))))))</f>
        <v>3</v>
      </c>
      <c r="G5505" s="369">
        <f>VLOOKUP(C5505,METADATA!$J$5:$Q$29,IF(E5505="HI",2,IF(E5505="LO",6,10))+IF(D5505=1,2,IF(D5505=7,1,(IF(WEEKDAY(B5505)=1,2,IF(WEEKDAY(B5505)=7,1,0))))))</f>
        <v>3</v>
      </c>
      <c r="H5505" s="370">
        <v>13492.624755859375</v>
      </c>
      <c r="I5505" s="370">
        <v>5073.5000610351563</v>
      </c>
      <c r="M5505" s="371">
        <f t="shared" si="341"/>
        <v>14414.968805784943</v>
      </c>
      <c r="N5505" s="329">
        <f t="shared" si="342"/>
        <v>1025.712634277344</v>
      </c>
      <c r="T5505" s="331">
        <v>0</v>
      </c>
      <c r="U5505" s="328">
        <f>VLOOKUP(C5505,METADATA!$J$5:$Q$29,IF(E5505="HI",2,IF(E5505="LO",6,10))+IF(T5505=1,2,IF(D5505=7,1,(IF(WEEKDAY(B5505)=1,2,IF(WEEKDAY(B5505)=7,1,0))))))</f>
        <v>3</v>
      </c>
      <c r="V5505" s="328">
        <f>VLOOKUP(C5505,METADATA!$A$5:$H$29,IF(E5505="HI",2,IF(E5505="LO",6,10))+IF(T5505=1,2,IF(D5505=7,1,(IF(WEEKDAY(B5505)=1,2,IF(WEEKDAY(B5505)=7,1,0))))))</f>
        <v>3</v>
      </c>
    </row>
    <row r="5506" spans="2:22">
      <c r="B5506" s="318">
        <f t="shared" si="343"/>
        <v>46342</v>
      </c>
      <c r="C5506" s="312">
        <v>6</v>
      </c>
      <c r="D5506" s="368">
        <f>IFERROR((INDEX(METADATA!$T$2:$T$20,MATCH(B5506,METADATA!$S$2:$S$20,0))),0)</f>
        <v>0</v>
      </c>
      <c r="E5506" s="312" t="str">
        <f t="shared" si="340"/>
        <v>LO</v>
      </c>
      <c r="F5506" s="369">
        <f>VLOOKUP(C5506,METADATA!$A$5:$H$29,IF(E5506="HI",2,IF(E5506="LO",6,10))+IF(D5506=1,2,IF(D5506=7,1,(IF(WEEKDAY(B5506)=1,2,IF(WEEKDAY(B5506)=7,1,0))))))</f>
        <v>2</v>
      </c>
      <c r="G5506" s="369">
        <f>VLOOKUP(C5506,METADATA!$J$5:$Q$29,IF(E5506="HI",2,IF(E5506="LO",6,10))+IF(D5506=1,2,IF(D5506=7,1,(IF(WEEKDAY(B5506)=1,2,IF(WEEKDAY(B5506)=7,1,0))))))</f>
        <v>2</v>
      </c>
      <c r="H5506" s="370">
        <v>13422.975036621094</v>
      </c>
      <c r="I5506" s="370">
        <v>4998.0250244140625</v>
      </c>
      <c r="M5506" s="371">
        <f t="shared" si="341"/>
        <v>14323.285690735287</v>
      </c>
      <c r="N5506" s="329">
        <f t="shared" si="342"/>
        <v>971.13251342773447</v>
      </c>
      <c r="T5506" s="331">
        <v>0</v>
      </c>
      <c r="U5506" s="328">
        <f>VLOOKUP(C5506,METADATA!$J$5:$Q$29,IF(E5506="HI",2,IF(E5506="LO",6,10))+IF(T5506=1,2,IF(D5506=7,1,(IF(WEEKDAY(B5506)=1,2,IF(WEEKDAY(B5506)=7,1,0))))))</f>
        <v>2</v>
      </c>
      <c r="V5506" s="328">
        <f>VLOOKUP(C5506,METADATA!$A$5:$H$29,IF(E5506="HI",2,IF(E5506="LO",6,10))+IF(T5506=1,2,IF(D5506=7,1,(IF(WEEKDAY(B5506)=1,2,IF(WEEKDAY(B5506)=7,1,0))))))</f>
        <v>2</v>
      </c>
    </row>
    <row r="5507" spans="2:22">
      <c r="B5507" s="318">
        <f t="shared" si="343"/>
        <v>46342</v>
      </c>
      <c r="C5507" s="312">
        <v>7</v>
      </c>
      <c r="D5507" s="368">
        <f>IFERROR((INDEX(METADATA!$T$2:$T$20,MATCH(B5507,METADATA!$S$2:$S$20,0))),0)</f>
        <v>0</v>
      </c>
      <c r="E5507" s="312" t="str">
        <f t="shared" si="340"/>
        <v>LO</v>
      </c>
      <c r="F5507" s="369">
        <f>VLOOKUP(C5507,METADATA!$A$5:$H$29,IF(E5507="HI",2,IF(E5507="LO",6,10))+IF(D5507=1,2,IF(D5507=7,1,(IF(WEEKDAY(B5507)=1,2,IF(WEEKDAY(B5507)=7,1,0))))))</f>
        <v>1</v>
      </c>
      <c r="G5507" s="369">
        <f>VLOOKUP(C5507,METADATA!$J$5:$Q$29,IF(E5507="HI",2,IF(E5507="LO",6,10))+IF(D5507=1,2,IF(D5507=7,1,(IF(WEEKDAY(B5507)=1,2,IF(WEEKDAY(B5507)=7,1,0))))))</f>
        <v>1</v>
      </c>
      <c r="H5507" s="370">
        <v>13237.049743652344</v>
      </c>
      <c r="I5507" s="370">
        <v>4861.3248901367188</v>
      </c>
      <c r="M5507" s="371">
        <f t="shared" si="341"/>
        <v>14101.488063441722</v>
      </c>
      <c r="N5507" s="329">
        <f t="shared" si="342"/>
        <v>890.20996704101572</v>
      </c>
      <c r="T5507" s="331">
        <v>0</v>
      </c>
      <c r="U5507" s="328">
        <f>VLOOKUP(C5507,METADATA!$J$5:$Q$29,IF(E5507="HI",2,IF(E5507="LO",6,10))+IF(T5507=1,2,IF(D5507=7,1,(IF(WEEKDAY(B5507)=1,2,IF(WEEKDAY(B5507)=7,1,0))))))</f>
        <v>1</v>
      </c>
      <c r="V5507" s="328">
        <f>VLOOKUP(C5507,METADATA!$A$5:$H$29,IF(E5507="HI",2,IF(E5507="LO",6,10))+IF(T5507=1,2,IF(D5507=7,1,(IF(WEEKDAY(B5507)=1,2,IF(WEEKDAY(B5507)=7,1,0))))))</f>
        <v>1</v>
      </c>
    </row>
    <row r="5508" spans="2:22">
      <c r="B5508" s="318">
        <f t="shared" si="343"/>
        <v>46342</v>
      </c>
      <c r="C5508" s="312">
        <v>8</v>
      </c>
      <c r="D5508" s="368">
        <f>IFERROR((INDEX(METADATA!$T$2:$T$20,MATCH(B5508,METADATA!$S$2:$S$20,0))),0)</f>
        <v>0</v>
      </c>
      <c r="E5508" s="312" t="str">
        <f t="shared" ref="E5508:E5571" si="344">IF(B5508="","",IF(AND(MONTH(B5508)&gt;=MONTH($Z$9),MONTH(B5508)&lt;=MONTH($Z$11)),"HI","LO"))</f>
        <v>LO</v>
      </c>
      <c r="F5508" s="369">
        <f>VLOOKUP(C5508,METADATA!$A$5:$H$29,IF(E5508="HI",2,IF(E5508="LO",6,10))+IF(D5508=1,2,IF(D5508=7,1,(IF(WEEKDAY(B5508)=1,2,IF(WEEKDAY(B5508)=7,1,0))))))</f>
        <v>1</v>
      </c>
      <c r="G5508" s="369">
        <f>VLOOKUP(C5508,METADATA!$J$5:$Q$29,IF(E5508="HI",2,IF(E5508="LO",6,10))+IF(D5508=1,2,IF(D5508=7,1,(IF(WEEKDAY(B5508)=1,2,IF(WEEKDAY(B5508)=7,1,0))))))</f>
        <v>1</v>
      </c>
      <c r="H5508" s="370">
        <v>11751.07470703125</v>
      </c>
      <c r="I5508" s="370">
        <v>3892.3550109863281</v>
      </c>
      <c r="M5508" s="371">
        <f t="shared" ref="M5508:M5571" si="345">SQRT(H5508^2+I5508^2)</f>
        <v>12378.941162384606</v>
      </c>
      <c r="N5508" s="329">
        <f t="shared" ref="N5508:N5571" si="346">IF(H5508=0,0,(IF(I5508-(0.3*H5508)&lt;0,0,(I5508-(0.3*H5508)))))</f>
        <v>367.03259887695322</v>
      </c>
      <c r="T5508" s="331">
        <v>0</v>
      </c>
      <c r="U5508" s="328">
        <f>VLOOKUP(C5508,METADATA!$J$5:$Q$29,IF(E5508="HI",2,IF(E5508="LO",6,10))+IF(T5508=1,2,IF(D5508=7,1,(IF(WEEKDAY(B5508)=1,2,IF(WEEKDAY(B5508)=7,1,0))))))</f>
        <v>1</v>
      </c>
      <c r="V5508" s="328">
        <f>VLOOKUP(C5508,METADATA!$A$5:$H$29,IF(E5508="HI",2,IF(E5508="LO",6,10))+IF(T5508=1,2,IF(D5508=7,1,(IF(WEEKDAY(B5508)=1,2,IF(WEEKDAY(B5508)=7,1,0))))))</f>
        <v>1</v>
      </c>
    </row>
    <row r="5509" spans="2:22">
      <c r="B5509" s="318">
        <f t="shared" si="343"/>
        <v>46342</v>
      </c>
      <c r="C5509" s="312">
        <v>9</v>
      </c>
      <c r="D5509" s="368">
        <f>IFERROR((INDEX(METADATA!$T$2:$T$20,MATCH(B5509,METADATA!$S$2:$S$20,0))),0)</f>
        <v>0</v>
      </c>
      <c r="E5509" s="312" t="str">
        <f t="shared" si="344"/>
        <v>LO</v>
      </c>
      <c r="F5509" s="369">
        <f>VLOOKUP(C5509,METADATA!$A$5:$H$29,IF(E5509="HI",2,IF(E5509="LO",6,10))+IF(D5509=1,2,IF(D5509=7,1,(IF(WEEKDAY(B5509)=1,2,IF(WEEKDAY(B5509)=7,1,0))))))</f>
        <v>2</v>
      </c>
      <c r="G5509" s="369">
        <f>VLOOKUP(C5509,METADATA!$J$5:$Q$29,IF(E5509="HI",2,IF(E5509="LO",6,10))+IF(D5509=1,2,IF(D5509=7,1,(IF(WEEKDAY(B5509)=1,2,IF(WEEKDAY(B5509)=7,1,0))))))</f>
        <v>2</v>
      </c>
      <c r="H5509" s="370">
        <v>12036.700317382813</v>
      </c>
      <c r="I5509" s="370">
        <v>3686.0450439453125</v>
      </c>
      <c r="M5509" s="371">
        <f t="shared" si="345"/>
        <v>12588.450365175106</v>
      </c>
      <c r="N5509" s="329">
        <f t="shared" si="346"/>
        <v>75.034948730468841</v>
      </c>
      <c r="T5509" s="331">
        <v>0</v>
      </c>
      <c r="U5509" s="328">
        <f>VLOOKUP(C5509,METADATA!$J$5:$Q$29,IF(E5509="HI",2,IF(E5509="LO",6,10))+IF(T5509=1,2,IF(D5509=7,1,(IF(WEEKDAY(B5509)=1,2,IF(WEEKDAY(B5509)=7,1,0))))))</f>
        <v>2</v>
      </c>
      <c r="V5509" s="328">
        <f>VLOOKUP(C5509,METADATA!$A$5:$H$29,IF(E5509="HI",2,IF(E5509="LO",6,10))+IF(T5509=1,2,IF(D5509=7,1,(IF(WEEKDAY(B5509)=1,2,IF(WEEKDAY(B5509)=7,1,0))))))</f>
        <v>2</v>
      </c>
    </row>
    <row r="5510" spans="2:22">
      <c r="B5510" s="318">
        <f t="shared" si="343"/>
        <v>46342</v>
      </c>
      <c r="C5510" s="312">
        <v>10</v>
      </c>
      <c r="D5510" s="368">
        <f>IFERROR((INDEX(METADATA!$T$2:$T$20,MATCH(B5510,METADATA!$S$2:$S$20,0))),0)</f>
        <v>0</v>
      </c>
      <c r="E5510" s="312" t="str">
        <f t="shared" si="344"/>
        <v>LO</v>
      </c>
      <c r="F5510" s="369">
        <f>VLOOKUP(C5510,METADATA!$A$5:$H$29,IF(E5510="HI",2,IF(E5510="LO",6,10))+IF(D5510=1,2,IF(D5510=7,1,(IF(WEEKDAY(B5510)=1,2,IF(WEEKDAY(B5510)=7,1,0))))))</f>
        <v>2</v>
      </c>
      <c r="G5510" s="369">
        <f>VLOOKUP(C5510,METADATA!$J$5:$Q$29,IF(E5510="HI",2,IF(E5510="LO",6,10))+IF(D5510=1,2,IF(D5510=7,1,(IF(WEEKDAY(B5510)=1,2,IF(WEEKDAY(B5510)=7,1,0))))))</f>
        <v>2</v>
      </c>
      <c r="H5510" s="370">
        <v>12767.049865722656</v>
      </c>
      <c r="I5510" s="370">
        <v>3332.0200309753418</v>
      </c>
      <c r="M5510" s="371">
        <f t="shared" si="345"/>
        <v>13194.692863445885</v>
      </c>
      <c r="N5510" s="329">
        <f t="shared" si="346"/>
        <v>0</v>
      </c>
      <c r="T5510" s="331">
        <v>0</v>
      </c>
      <c r="U5510" s="328">
        <f>VLOOKUP(C5510,METADATA!$J$5:$Q$29,IF(E5510="HI",2,IF(E5510="LO",6,10))+IF(T5510=1,2,IF(D5510=7,1,(IF(WEEKDAY(B5510)=1,2,IF(WEEKDAY(B5510)=7,1,0))))))</f>
        <v>2</v>
      </c>
      <c r="V5510" s="328">
        <f>VLOOKUP(C5510,METADATA!$A$5:$H$29,IF(E5510="HI",2,IF(E5510="LO",6,10))+IF(T5510=1,2,IF(D5510=7,1,(IF(WEEKDAY(B5510)=1,2,IF(WEEKDAY(B5510)=7,1,0))))))</f>
        <v>2</v>
      </c>
    </row>
    <row r="5511" spans="2:22">
      <c r="B5511" s="318">
        <f t="shared" si="343"/>
        <v>46342</v>
      </c>
      <c r="C5511" s="312">
        <v>11</v>
      </c>
      <c r="D5511" s="368">
        <f>IFERROR((INDEX(METADATA!$T$2:$T$20,MATCH(B5511,METADATA!$S$2:$S$20,0))),0)</f>
        <v>0</v>
      </c>
      <c r="E5511" s="312" t="str">
        <f t="shared" si="344"/>
        <v>LO</v>
      </c>
      <c r="F5511" s="369">
        <f>VLOOKUP(C5511,METADATA!$A$5:$H$29,IF(E5511="HI",2,IF(E5511="LO",6,10))+IF(D5511=1,2,IF(D5511=7,1,(IF(WEEKDAY(B5511)=1,2,IF(WEEKDAY(B5511)=7,1,0))))))</f>
        <v>2</v>
      </c>
      <c r="G5511" s="369">
        <f>VLOOKUP(C5511,METADATA!$J$5:$Q$29,IF(E5511="HI",2,IF(E5511="LO",6,10))+IF(D5511=1,2,IF(D5511=7,1,(IF(WEEKDAY(B5511)=1,2,IF(WEEKDAY(B5511)=7,1,0))))))</f>
        <v>2</v>
      </c>
      <c r="H5511" s="370">
        <v>12061.374938964844</v>
      </c>
      <c r="I5511" s="370">
        <v>2813.6750487908721</v>
      </c>
      <c r="M5511" s="371">
        <f t="shared" si="345"/>
        <v>12385.214277455094</v>
      </c>
      <c r="N5511" s="329">
        <f t="shared" si="346"/>
        <v>0</v>
      </c>
      <c r="T5511" s="331">
        <v>0</v>
      </c>
      <c r="U5511" s="328">
        <f>VLOOKUP(C5511,METADATA!$J$5:$Q$29,IF(E5511="HI",2,IF(E5511="LO",6,10))+IF(T5511=1,2,IF(D5511=7,1,(IF(WEEKDAY(B5511)=1,2,IF(WEEKDAY(B5511)=7,1,0))))))</f>
        <v>2</v>
      </c>
      <c r="V5511" s="328">
        <f>VLOOKUP(C5511,METADATA!$A$5:$H$29,IF(E5511="HI",2,IF(E5511="LO",6,10))+IF(T5511=1,2,IF(D5511=7,1,(IF(WEEKDAY(B5511)=1,2,IF(WEEKDAY(B5511)=7,1,0))))))</f>
        <v>2</v>
      </c>
    </row>
    <row r="5512" spans="2:22">
      <c r="B5512" s="318">
        <f t="shared" si="343"/>
        <v>46342</v>
      </c>
      <c r="C5512" s="312">
        <v>12</v>
      </c>
      <c r="D5512" s="368">
        <f>IFERROR((INDEX(METADATA!$T$2:$T$20,MATCH(B5512,METADATA!$S$2:$S$20,0))),0)</f>
        <v>0</v>
      </c>
      <c r="E5512" s="312" t="str">
        <f t="shared" si="344"/>
        <v>LO</v>
      </c>
      <c r="F5512" s="369">
        <f>VLOOKUP(C5512,METADATA!$A$5:$H$29,IF(E5512="HI",2,IF(E5512="LO",6,10))+IF(D5512=1,2,IF(D5512=7,1,(IF(WEEKDAY(B5512)=1,2,IF(WEEKDAY(B5512)=7,1,0))))))</f>
        <v>2</v>
      </c>
      <c r="G5512" s="369">
        <f>VLOOKUP(C5512,METADATA!$J$5:$Q$29,IF(E5512="HI",2,IF(E5512="LO",6,10))+IF(D5512=1,2,IF(D5512=7,1,(IF(WEEKDAY(B5512)=1,2,IF(WEEKDAY(B5512)=7,1,0))))))</f>
        <v>2</v>
      </c>
      <c r="H5512" s="370">
        <v>11761.599914550781</v>
      </c>
      <c r="I5512" s="370">
        <v>2888.380048841238</v>
      </c>
      <c r="M5512" s="371">
        <f t="shared" si="345"/>
        <v>12111.06815505986</v>
      </c>
      <c r="N5512" s="329">
        <f t="shared" si="346"/>
        <v>0</v>
      </c>
      <c r="T5512" s="331">
        <v>0</v>
      </c>
      <c r="U5512" s="328">
        <f>VLOOKUP(C5512,METADATA!$J$5:$Q$29,IF(E5512="HI",2,IF(E5512="LO",6,10))+IF(T5512=1,2,IF(D5512=7,1,(IF(WEEKDAY(B5512)=1,2,IF(WEEKDAY(B5512)=7,1,0))))))</f>
        <v>2</v>
      </c>
      <c r="V5512" s="328">
        <f>VLOOKUP(C5512,METADATA!$A$5:$H$29,IF(E5512="HI",2,IF(E5512="LO",6,10))+IF(T5512=1,2,IF(D5512=7,1,(IF(WEEKDAY(B5512)=1,2,IF(WEEKDAY(B5512)=7,1,0))))))</f>
        <v>2</v>
      </c>
    </row>
    <row r="5513" spans="2:22">
      <c r="B5513" s="318">
        <f t="shared" si="343"/>
        <v>46342</v>
      </c>
      <c r="C5513" s="312">
        <v>13</v>
      </c>
      <c r="D5513" s="368">
        <f>IFERROR((INDEX(METADATA!$T$2:$T$20,MATCH(B5513,METADATA!$S$2:$S$20,0))),0)</f>
        <v>0</v>
      </c>
      <c r="E5513" s="312" t="str">
        <f t="shared" si="344"/>
        <v>LO</v>
      </c>
      <c r="F5513" s="369">
        <f>VLOOKUP(C5513,METADATA!$A$5:$H$29,IF(E5513="HI",2,IF(E5513="LO",6,10))+IF(D5513=1,2,IF(D5513=7,1,(IF(WEEKDAY(B5513)=1,2,IF(WEEKDAY(B5513)=7,1,0))))))</f>
        <v>2</v>
      </c>
      <c r="G5513" s="369">
        <f>VLOOKUP(C5513,METADATA!$J$5:$Q$29,IF(E5513="HI",2,IF(E5513="LO",6,10))+IF(D5513=1,2,IF(D5513=7,1,(IF(WEEKDAY(B5513)=1,2,IF(WEEKDAY(B5513)=7,1,0))))))</f>
        <v>2</v>
      </c>
      <c r="H5513" s="370">
        <v>11876.97509765625</v>
      </c>
      <c r="I5513" s="370">
        <v>2914.7999267578125</v>
      </c>
      <c r="M5513" s="371">
        <f t="shared" si="345"/>
        <v>12229.415197930522</v>
      </c>
      <c r="N5513" s="329">
        <f t="shared" si="346"/>
        <v>0</v>
      </c>
      <c r="T5513" s="331">
        <v>0</v>
      </c>
      <c r="U5513" s="328">
        <f>VLOOKUP(C5513,METADATA!$J$5:$Q$29,IF(E5513="HI",2,IF(E5513="LO",6,10))+IF(T5513=1,2,IF(D5513=7,1,(IF(WEEKDAY(B5513)=1,2,IF(WEEKDAY(B5513)=7,1,0))))))</f>
        <v>2</v>
      </c>
      <c r="V5513" s="328">
        <f>VLOOKUP(C5513,METADATA!$A$5:$H$29,IF(E5513="HI",2,IF(E5513="LO",6,10))+IF(T5513=1,2,IF(D5513=7,1,(IF(WEEKDAY(B5513)=1,2,IF(WEEKDAY(B5513)=7,1,0))))))</f>
        <v>2</v>
      </c>
    </row>
    <row r="5514" spans="2:22">
      <c r="B5514" s="318">
        <f t="shared" si="343"/>
        <v>46342</v>
      </c>
      <c r="C5514" s="312">
        <v>14</v>
      </c>
      <c r="D5514" s="368">
        <f>IFERROR((INDEX(METADATA!$T$2:$T$20,MATCH(B5514,METADATA!$S$2:$S$20,0))),0)</f>
        <v>0</v>
      </c>
      <c r="E5514" s="312" t="str">
        <f t="shared" si="344"/>
        <v>LO</v>
      </c>
      <c r="F5514" s="369">
        <f>VLOOKUP(C5514,METADATA!$A$5:$H$29,IF(E5514="HI",2,IF(E5514="LO",6,10))+IF(D5514=1,2,IF(D5514=7,1,(IF(WEEKDAY(B5514)=1,2,IF(WEEKDAY(B5514)=7,1,0))))))</f>
        <v>2</v>
      </c>
      <c r="G5514" s="369">
        <f>VLOOKUP(C5514,METADATA!$J$5:$Q$29,IF(E5514="HI",2,IF(E5514="LO",6,10))+IF(D5514=1,2,IF(D5514=7,1,(IF(WEEKDAY(B5514)=1,2,IF(WEEKDAY(B5514)=7,1,0))))))</f>
        <v>2</v>
      </c>
      <c r="H5514" s="370">
        <v>11806.824890136719</v>
      </c>
      <c r="I5514" s="370">
        <v>2786.8250122070313</v>
      </c>
      <c r="M5514" s="371">
        <f t="shared" si="345"/>
        <v>12131.261584642161</v>
      </c>
      <c r="N5514" s="329">
        <f t="shared" si="346"/>
        <v>0</v>
      </c>
      <c r="T5514" s="331">
        <v>0</v>
      </c>
      <c r="U5514" s="328">
        <f>VLOOKUP(C5514,METADATA!$J$5:$Q$29,IF(E5514="HI",2,IF(E5514="LO",6,10))+IF(T5514=1,2,IF(D5514=7,1,(IF(WEEKDAY(B5514)=1,2,IF(WEEKDAY(B5514)=7,1,0))))))</f>
        <v>2</v>
      </c>
      <c r="V5514" s="328">
        <f>VLOOKUP(C5514,METADATA!$A$5:$H$29,IF(E5514="HI",2,IF(E5514="LO",6,10))+IF(T5514=1,2,IF(D5514=7,1,(IF(WEEKDAY(B5514)=1,2,IF(WEEKDAY(B5514)=7,1,0))))))</f>
        <v>2</v>
      </c>
    </row>
    <row r="5515" spans="2:22">
      <c r="B5515" s="318">
        <f t="shared" si="343"/>
        <v>46342</v>
      </c>
      <c r="C5515" s="312">
        <v>15</v>
      </c>
      <c r="D5515" s="368">
        <f>IFERROR((INDEX(METADATA!$T$2:$T$20,MATCH(B5515,METADATA!$S$2:$S$20,0))),0)</f>
        <v>0</v>
      </c>
      <c r="E5515" s="312" t="str">
        <f t="shared" si="344"/>
        <v>LO</v>
      </c>
      <c r="F5515" s="369">
        <f>VLOOKUP(C5515,METADATA!$A$5:$H$29,IF(E5515="HI",2,IF(E5515="LO",6,10))+IF(D5515=1,2,IF(D5515=7,1,(IF(WEEKDAY(B5515)=1,2,IF(WEEKDAY(B5515)=7,1,0))))))</f>
        <v>2</v>
      </c>
      <c r="G5515" s="369">
        <f>VLOOKUP(C5515,METADATA!$J$5:$Q$29,IF(E5515="HI",2,IF(E5515="LO",6,10))+IF(D5515=1,2,IF(D5515=7,1,(IF(WEEKDAY(B5515)=1,2,IF(WEEKDAY(B5515)=7,1,0))))))</f>
        <v>2</v>
      </c>
      <c r="H5515" s="370">
        <v>11927.574890136719</v>
      </c>
      <c r="I5515" s="370">
        <v>2898.3348290920258</v>
      </c>
      <c r="M5515" s="371">
        <f t="shared" si="345"/>
        <v>12274.66445738326</v>
      </c>
      <c r="N5515" s="329">
        <f t="shared" si="346"/>
        <v>0</v>
      </c>
      <c r="T5515" s="331">
        <v>0</v>
      </c>
      <c r="U5515" s="328">
        <f>VLOOKUP(C5515,METADATA!$J$5:$Q$29,IF(E5515="HI",2,IF(E5515="LO",6,10))+IF(T5515=1,2,IF(D5515=7,1,(IF(WEEKDAY(B5515)=1,2,IF(WEEKDAY(B5515)=7,1,0))))))</f>
        <v>2</v>
      </c>
      <c r="V5515" s="328">
        <f>VLOOKUP(C5515,METADATA!$A$5:$H$29,IF(E5515="HI",2,IF(E5515="LO",6,10))+IF(T5515=1,2,IF(D5515=7,1,(IF(WEEKDAY(B5515)=1,2,IF(WEEKDAY(B5515)=7,1,0))))))</f>
        <v>2</v>
      </c>
    </row>
    <row r="5516" spans="2:22">
      <c r="B5516" s="318">
        <f t="shared" si="343"/>
        <v>46342</v>
      </c>
      <c r="C5516" s="312">
        <v>16</v>
      </c>
      <c r="D5516" s="368">
        <f>IFERROR((INDEX(METADATA!$T$2:$T$20,MATCH(B5516,METADATA!$S$2:$S$20,0))),0)</f>
        <v>0</v>
      </c>
      <c r="E5516" s="312" t="str">
        <f t="shared" si="344"/>
        <v>LO</v>
      </c>
      <c r="F5516" s="369">
        <f>VLOOKUP(C5516,METADATA!$A$5:$H$29,IF(E5516="HI",2,IF(E5516="LO",6,10))+IF(D5516=1,2,IF(D5516=7,1,(IF(WEEKDAY(B5516)=1,2,IF(WEEKDAY(B5516)=7,1,0))))))</f>
        <v>2</v>
      </c>
      <c r="G5516" s="369">
        <f>VLOOKUP(C5516,METADATA!$J$5:$Q$29,IF(E5516="HI",2,IF(E5516="LO",6,10))+IF(D5516=1,2,IF(D5516=7,1,(IF(WEEKDAY(B5516)=1,2,IF(WEEKDAY(B5516)=7,1,0))))))</f>
        <v>2</v>
      </c>
      <c r="H5516" s="370">
        <v>12862.650024414063</v>
      </c>
      <c r="I5516" s="370">
        <v>3685.2950744628906</v>
      </c>
      <c r="M5516" s="371">
        <f t="shared" si="345"/>
        <v>13380.178079398627</v>
      </c>
      <c r="N5516" s="329">
        <f t="shared" si="346"/>
        <v>0</v>
      </c>
      <c r="T5516" s="331">
        <v>0</v>
      </c>
      <c r="U5516" s="328">
        <f>VLOOKUP(C5516,METADATA!$J$5:$Q$29,IF(E5516="HI",2,IF(E5516="LO",6,10))+IF(T5516=1,2,IF(D5516=7,1,(IF(WEEKDAY(B5516)=1,2,IF(WEEKDAY(B5516)=7,1,0))))))</f>
        <v>2</v>
      </c>
      <c r="V5516" s="328">
        <f>VLOOKUP(C5516,METADATA!$A$5:$H$29,IF(E5516="HI",2,IF(E5516="LO",6,10))+IF(T5516=1,2,IF(D5516=7,1,(IF(WEEKDAY(B5516)=1,2,IF(WEEKDAY(B5516)=7,1,0))))))</f>
        <v>2</v>
      </c>
    </row>
    <row r="5517" spans="2:22">
      <c r="B5517" s="318">
        <f t="shared" si="343"/>
        <v>46342</v>
      </c>
      <c r="C5517" s="312">
        <v>17</v>
      </c>
      <c r="D5517" s="368">
        <f>IFERROR((INDEX(METADATA!$T$2:$T$20,MATCH(B5517,METADATA!$S$2:$S$20,0))),0)</f>
        <v>0</v>
      </c>
      <c r="E5517" s="312" t="str">
        <f t="shared" si="344"/>
        <v>LO</v>
      </c>
      <c r="F5517" s="369">
        <f>VLOOKUP(C5517,METADATA!$A$5:$H$29,IF(E5517="HI",2,IF(E5517="LO",6,10))+IF(D5517=1,2,IF(D5517=7,1,(IF(WEEKDAY(B5517)=1,2,IF(WEEKDAY(B5517)=7,1,0))))))</f>
        <v>2</v>
      </c>
      <c r="G5517" s="369">
        <f>VLOOKUP(C5517,METADATA!$J$5:$Q$29,IF(E5517="HI",2,IF(E5517="LO",6,10))+IF(D5517=1,2,IF(D5517=7,1,(IF(WEEKDAY(B5517)=1,2,IF(WEEKDAY(B5517)=7,1,0))))))</f>
        <v>2</v>
      </c>
      <c r="H5517" s="370">
        <v>12912.750244140625</v>
      </c>
      <c r="I5517" s="370">
        <v>3850.1800079345703</v>
      </c>
      <c r="M5517" s="371">
        <f t="shared" si="345"/>
        <v>13474.531715835352</v>
      </c>
      <c r="N5517" s="329">
        <f t="shared" si="346"/>
        <v>0</v>
      </c>
      <c r="T5517" s="331">
        <v>0</v>
      </c>
      <c r="U5517" s="328">
        <f>VLOOKUP(C5517,METADATA!$J$5:$Q$29,IF(E5517="HI",2,IF(E5517="LO",6,10))+IF(T5517=1,2,IF(D5517=7,1,(IF(WEEKDAY(B5517)=1,2,IF(WEEKDAY(B5517)=7,1,0))))))</f>
        <v>2</v>
      </c>
      <c r="V5517" s="328">
        <f>VLOOKUP(C5517,METADATA!$A$5:$H$29,IF(E5517="HI",2,IF(E5517="LO",6,10))+IF(T5517=1,2,IF(D5517=7,1,(IF(WEEKDAY(B5517)=1,2,IF(WEEKDAY(B5517)=7,1,0))))))</f>
        <v>2</v>
      </c>
    </row>
    <row r="5518" spans="2:22">
      <c r="B5518" s="318">
        <f t="shared" si="343"/>
        <v>46342</v>
      </c>
      <c r="C5518" s="312">
        <v>18</v>
      </c>
      <c r="D5518" s="368">
        <f>IFERROR((INDEX(METADATA!$T$2:$T$20,MATCH(B5518,METADATA!$S$2:$S$20,0))),0)</f>
        <v>0</v>
      </c>
      <c r="E5518" s="312" t="str">
        <f t="shared" si="344"/>
        <v>LO</v>
      </c>
      <c r="F5518" s="369">
        <f>VLOOKUP(C5518,METADATA!$A$5:$H$29,IF(E5518="HI",2,IF(E5518="LO",6,10))+IF(D5518=1,2,IF(D5518=7,1,(IF(WEEKDAY(B5518)=1,2,IF(WEEKDAY(B5518)=7,1,0))))))</f>
        <v>1</v>
      </c>
      <c r="G5518" s="369">
        <f>VLOOKUP(C5518,METADATA!$J$5:$Q$29,IF(E5518="HI",2,IF(E5518="LO",6,10))+IF(D5518=1,2,IF(D5518=7,1,(IF(WEEKDAY(B5518)=1,2,IF(WEEKDAY(B5518)=7,1,0))))))</f>
        <v>1</v>
      </c>
      <c r="H5518" s="370">
        <v>12965.775024414063</v>
      </c>
      <c r="I5518" s="370">
        <v>4006.93994140625</v>
      </c>
      <c r="M5518" s="371">
        <f t="shared" si="345"/>
        <v>13570.810207123088</v>
      </c>
      <c r="N5518" s="329">
        <f t="shared" si="346"/>
        <v>117.20743408203134</v>
      </c>
      <c r="T5518" s="331">
        <v>0</v>
      </c>
      <c r="U5518" s="328">
        <f>VLOOKUP(C5518,METADATA!$J$5:$Q$29,IF(E5518="HI",2,IF(E5518="LO",6,10))+IF(T5518=1,2,IF(D5518=7,1,(IF(WEEKDAY(B5518)=1,2,IF(WEEKDAY(B5518)=7,1,0))))))</f>
        <v>1</v>
      </c>
      <c r="V5518" s="328">
        <f>VLOOKUP(C5518,METADATA!$A$5:$H$29,IF(E5518="HI",2,IF(E5518="LO",6,10))+IF(T5518=1,2,IF(D5518=7,1,(IF(WEEKDAY(B5518)=1,2,IF(WEEKDAY(B5518)=7,1,0))))))</f>
        <v>1</v>
      </c>
    </row>
    <row r="5519" spans="2:22">
      <c r="B5519" s="318">
        <f t="shared" si="343"/>
        <v>46342</v>
      </c>
      <c r="C5519" s="312">
        <v>19</v>
      </c>
      <c r="D5519" s="368">
        <f>IFERROR((INDEX(METADATA!$T$2:$T$20,MATCH(B5519,METADATA!$S$2:$S$20,0))),0)</f>
        <v>0</v>
      </c>
      <c r="E5519" s="312" t="str">
        <f t="shared" si="344"/>
        <v>LO</v>
      </c>
      <c r="F5519" s="369">
        <f>VLOOKUP(C5519,METADATA!$A$5:$H$29,IF(E5519="HI",2,IF(E5519="LO",6,10))+IF(D5519=1,2,IF(D5519=7,1,(IF(WEEKDAY(B5519)=1,2,IF(WEEKDAY(B5519)=7,1,0))))))</f>
        <v>1</v>
      </c>
      <c r="G5519" s="369">
        <f>VLOOKUP(C5519,METADATA!$J$5:$Q$29,IF(E5519="HI",2,IF(E5519="LO",6,10))+IF(D5519=1,2,IF(D5519=7,1,(IF(WEEKDAY(B5519)=1,2,IF(WEEKDAY(B5519)=7,1,0))))))</f>
        <v>1</v>
      </c>
      <c r="H5519" s="370">
        <v>12688.25</v>
      </c>
      <c r="I5519" s="370">
        <v>3753.3450927734375</v>
      </c>
      <c r="M5519" s="371">
        <f t="shared" si="345"/>
        <v>13231.752999808696</v>
      </c>
      <c r="N5519" s="329">
        <f t="shared" si="346"/>
        <v>0</v>
      </c>
      <c r="T5519" s="331">
        <v>0</v>
      </c>
      <c r="U5519" s="328">
        <f>VLOOKUP(C5519,METADATA!$J$5:$Q$29,IF(E5519="HI",2,IF(E5519="LO",6,10))+IF(T5519=1,2,IF(D5519=7,1,(IF(WEEKDAY(B5519)=1,2,IF(WEEKDAY(B5519)=7,1,0))))))</f>
        <v>1</v>
      </c>
      <c r="V5519" s="328">
        <f>VLOOKUP(C5519,METADATA!$A$5:$H$29,IF(E5519="HI",2,IF(E5519="LO",6,10))+IF(T5519=1,2,IF(D5519=7,1,(IF(WEEKDAY(B5519)=1,2,IF(WEEKDAY(B5519)=7,1,0))))))</f>
        <v>1</v>
      </c>
    </row>
    <row r="5520" spans="2:22">
      <c r="B5520" s="318">
        <f t="shared" si="343"/>
        <v>46342</v>
      </c>
      <c r="C5520" s="312">
        <v>20</v>
      </c>
      <c r="D5520" s="368">
        <f>IFERROR((INDEX(METADATA!$T$2:$T$20,MATCH(B5520,METADATA!$S$2:$S$20,0))),0)</f>
        <v>0</v>
      </c>
      <c r="E5520" s="312" t="str">
        <f t="shared" si="344"/>
        <v>LO</v>
      </c>
      <c r="F5520" s="369">
        <f>VLOOKUP(C5520,METADATA!$A$5:$H$29,IF(E5520="HI",2,IF(E5520="LO",6,10))+IF(D5520=1,2,IF(D5520=7,1,(IF(WEEKDAY(B5520)=1,2,IF(WEEKDAY(B5520)=7,1,0))))))</f>
        <v>1</v>
      </c>
      <c r="G5520" s="369">
        <f>VLOOKUP(C5520,METADATA!$J$5:$Q$29,IF(E5520="HI",2,IF(E5520="LO",6,10))+IF(D5520=1,2,IF(D5520=7,1,(IF(WEEKDAY(B5520)=1,2,IF(WEEKDAY(B5520)=7,1,0))))))</f>
        <v>1</v>
      </c>
      <c r="H5520" s="370">
        <v>12856.974975585938</v>
      </c>
      <c r="I5520" s="370">
        <v>3830.5249328613281</v>
      </c>
      <c r="M5520" s="371">
        <f t="shared" si="345"/>
        <v>13415.465954789468</v>
      </c>
      <c r="N5520" s="329">
        <f t="shared" si="346"/>
        <v>0</v>
      </c>
      <c r="T5520" s="331">
        <v>0</v>
      </c>
      <c r="U5520" s="328">
        <f>VLOOKUP(C5520,METADATA!$J$5:$Q$29,IF(E5520="HI",2,IF(E5520="LO",6,10))+IF(T5520=1,2,IF(D5520=7,1,(IF(WEEKDAY(B5520)=1,2,IF(WEEKDAY(B5520)=7,1,0))))))</f>
        <v>1</v>
      </c>
      <c r="V5520" s="328">
        <f>VLOOKUP(C5520,METADATA!$A$5:$H$29,IF(E5520="HI",2,IF(E5520="LO",6,10))+IF(T5520=1,2,IF(D5520=7,1,(IF(WEEKDAY(B5520)=1,2,IF(WEEKDAY(B5520)=7,1,0))))))</f>
        <v>1</v>
      </c>
    </row>
    <row r="5521" spans="2:22">
      <c r="B5521" s="318">
        <f t="shared" si="343"/>
        <v>46342</v>
      </c>
      <c r="C5521" s="312">
        <v>21</v>
      </c>
      <c r="D5521" s="368">
        <f>IFERROR((INDEX(METADATA!$T$2:$T$20,MATCH(B5521,METADATA!$S$2:$S$20,0))),0)</f>
        <v>0</v>
      </c>
      <c r="E5521" s="312" t="str">
        <f t="shared" si="344"/>
        <v>LO</v>
      </c>
      <c r="F5521" s="369">
        <f>VLOOKUP(C5521,METADATA!$A$5:$H$29,IF(E5521="HI",2,IF(E5521="LO",6,10))+IF(D5521=1,2,IF(D5521=7,1,(IF(WEEKDAY(B5521)=1,2,IF(WEEKDAY(B5521)=7,1,0))))))</f>
        <v>2</v>
      </c>
      <c r="G5521" s="369">
        <f>VLOOKUP(C5521,METADATA!$J$5:$Q$29,IF(E5521="HI",2,IF(E5521="LO",6,10))+IF(D5521=1,2,IF(D5521=7,1,(IF(WEEKDAY(B5521)=1,2,IF(WEEKDAY(B5521)=7,1,0))))))</f>
        <v>2</v>
      </c>
      <c r="H5521" s="370">
        <v>11439.474853515625</v>
      </c>
      <c r="I5521" s="370">
        <v>2866.1699829101563</v>
      </c>
      <c r="M5521" s="371">
        <f t="shared" si="345"/>
        <v>11793.070647424764</v>
      </c>
      <c r="N5521" s="329">
        <f t="shared" si="346"/>
        <v>0</v>
      </c>
      <c r="T5521" s="331">
        <v>0</v>
      </c>
      <c r="U5521" s="328">
        <f>VLOOKUP(C5521,METADATA!$J$5:$Q$29,IF(E5521="HI",2,IF(E5521="LO",6,10))+IF(T5521=1,2,IF(D5521=7,1,(IF(WEEKDAY(B5521)=1,2,IF(WEEKDAY(B5521)=7,1,0))))))</f>
        <v>2</v>
      </c>
      <c r="V5521" s="328">
        <f>VLOOKUP(C5521,METADATA!$A$5:$H$29,IF(E5521="HI",2,IF(E5521="LO",6,10))+IF(T5521=1,2,IF(D5521=7,1,(IF(WEEKDAY(B5521)=1,2,IF(WEEKDAY(B5521)=7,1,0))))))</f>
        <v>2</v>
      </c>
    </row>
    <row r="5522" spans="2:22">
      <c r="B5522" s="318">
        <f t="shared" si="343"/>
        <v>46342</v>
      </c>
      <c r="C5522" s="312">
        <v>22</v>
      </c>
      <c r="D5522" s="368">
        <f>IFERROR((INDEX(METADATA!$T$2:$T$20,MATCH(B5522,METADATA!$S$2:$S$20,0))),0)</f>
        <v>0</v>
      </c>
      <c r="E5522" s="312" t="str">
        <f t="shared" si="344"/>
        <v>LO</v>
      </c>
      <c r="F5522" s="369">
        <f>VLOOKUP(C5522,METADATA!$A$5:$H$29,IF(E5522="HI",2,IF(E5522="LO",6,10))+IF(D5522=1,2,IF(D5522=7,1,(IF(WEEKDAY(B5522)=1,2,IF(WEEKDAY(B5522)=7,1,0))))))</f>
        <v>3</v>
      </c>
      <c r="G5522" s="369">
        <f>VLOOKUP(C5522,METADATA!$J$5:$Q$29,IF(E5522="HI",2,IF(E5522="LO",6,10))+IF(D5522=1,2,IF(D5522=7,1,(IF(WEEKDAY(B5522)=1,2,IF(WEEKDAY(B5522)=7,1,0))))))</f>
        <v>3</v>
      </c>
      <c r="H5522" s="370">
        <v>11083.174865722656</v>
      </c>
      <c r="I5522" s="370">
        <v>2709.4075164794922</v>
      </c>
      <c r="M5522" s="371">
        <f t="shared" si="345"/>
        <v>11409.542242988629</v>
      </c>
      <c r="N5522" s="329">
        <f t="shared" si="346"/>
        <v>0</v>
      </c>
      <c r="T5522" s="331">
        <v>0</v>
      </c>
      <c r="U5522" s="328">
        <f>VLOOKUP(C5522,METADATA!$J$5:$Q$29,IF(E5522="HI",2,IF(E5522="LO",6,10))+IF(T5522=1,2,IF(D5522=7,1,(IF(WEEKDAY(B5522)=1,2,IF(WEEKDAY(B5522)=7,1,0))))))</f>
        <v>3</v>
      </c>
      <c r="V5522" s="328">
        <f>VLOOKUP(C5522,METADATA!$A$5:$H$29,IF(E5522="HI",2,IF(E5522="LO",6,10))+IF(T5522=1,2,IF(D5522=7,1,(IF(WEEKDAY(B5522)=1,2,IF(WEEKDAY(B5522)=7,1,0))))))</f>
        <v>3</v>
      </c>
    </row>
    <row r="5523" spans="2:22">
      <c r="B5523" s="318">
        <f t="shared" si="343"/>
        <v>46342</v>
      </c>
      <c r="C5523" s="312">
        <v>23</v>
      </c>
      <c r="D5523" s="368">
        <f>IFERROR((INDEX(METADATA!$T$2:$T$20,MATCH(B5523,METADATA!$S$2:$S$20,0))),0)</f>
        <v>0</v>
      </c>
      <c r="E5523" s="312" t="str">
        <f t="shared" si="344"/>
        <v>LO</v>
      </c>
      <c r="F5523" s="369">
        <f>VLOOKUP(C5523,METADATA!$A$5:$H$29,IF(E5523="HI",2,IF(E5523="LO",6,10))+IF(D5523=1,2,IF(D5523=7,1,(IF(WEEKDAY(B5523)=1,2,IF(WEEKDAY(B5523)=7,1,0))))))</f>
        <v>3</v>
      </c>
      <c r="G5523" s="369">
        <f>VLOOKUP(C5523,METADATA!$J$5:$Q$29,IF(E5523="HI",2,IF(E5523="LO",6,10))+IF(D5523=1,2,IF(D5523=7,1,(IF(WEEKDAY(B5523)=1,2,IF(WEEKDAY(B5523)=7,1,0))))))</f>
        <v>3</v>
      </c>
      <c r="H5523" s="370">
        <v>12827.050170898438</v>
      </c>
      <c r="I5523" s="370">
        <v>3825.8699035644531</v>
      </c>
      <c r="M5523" s="371">
        <f t="shared" si="345"/>
        <v>13385.458401031543</v>
      </c>
      <c r="N5523" s="329">
        <f t="shared" si="346"/>
        <v>0</v>
      </c>
      <c r="T5523" s="331">
        <v>0</v>
      </c>
      <c r="U5523" s="328">
        <f>VLOOKUP(C5523,METADATA!$J$5:$Q$29,IF(E5523="HI",2,IF(E5523="LO",6,10))+IF(T5523=1,2,IF(D5523=7,1,(IF(WEEKDAY(B5523)=1,2,IF(WEEKDAY(B5523)=7,1,0))))))</f>
        <v>3</v>
      </c>
      <c r="V5523" s="328">
        <f>VLOOKUP(C5523,METADATA!$A$5:$H$29,IF(E5523="HI",2,IF(E5523="LO",6,10))+IF(T5523=1,2,IF(D5523=7,1,(IF(WEEKDAY(B5523)=1,2,IF(WEEKDAY(B5523)=7,1,0))))))</f>
        <v>3</v>
      </c>
    </row>
    <row r="5524" spans="2:22">
      <c r="B5524" s="318">
        <f t="shared" si="343"/>
        <v>46343</v>
      </c>
      <c r="C5524" s="312">
        <v>0</v>
      </c>
      <c r="D5524" s="368">
        <f>IFERROR((INDEX(METADATA!$T$2:$T$20,MATCH(B5524,METADATA!$S$2:$S$20,0))),0)</f>
        <v>0</v>
      </c>
      <c r="E5524" s="312" t="str">
        <f t="shared" si="344"/>
        <v>LO</v>
      </c>
      <c r="F5524" s="369">
        <f>VLOOKUP(C5524,METADATA!$A$5:$H$29,IF(E5524="HI",2,IF(E5524="LO",6,10))+IF(D5524=1,2,IF(D5524=7,1,(IF(WEEKDAY(B5524)=1,2,IF(WEEKDAY(B5524)=7,1,0))))))</f>
        <v>3</v>
      </c>
      <c r="G5524" s="369">
        <f>VLOOKUP(C5524,METADATA!$J$5:$Q$29,IF(E5524="HI",2,IF(E5524="LO",6,10))+IF(D5524=1,2,IF(D5524=7,1,(IF(WEEKDAY(B5524)=1,2,IF(WEEKDAY(B5524)=7,1,0))))))</f>
        <v>3</v>
      </c>
      <c r="H5524" s="370">
        <v>12877.325134277344</v>
      </c>
      <c r="I5524" s="370">
        <v>3918.2199401855469</v>
      </c>
      <c r="M5524" s="371">
        <f t="shared" si="345"/>
        <v>13460.235886252463</v>
      </c>
      <c r="N5524" s="329">
        <f t="shared" si="346"/>
        <v>55.02239990234375</v>
      </c>
      <c r="T5524" s="331">
        <v>0</v>
      </c>
      <c r="U5524" s="328">
        <f>VLOOKUP(C5524,METADATA!$J$5:$Q$29,IF(E5524="HI",2,IF(E5524="LO",6,10))+IF(T5524=1,2,IF(D5524=7,1,(IF(WEEKDAY(B5524)=1,2,IF(WEEKDAY(B5524)=7,1,0))))))</f>
        <v>3</v>
      </c>
      <c r="V5524" s="328">
        <f>VLOOKUP(C5524,METADATA!$A$5:$H$29,IF(E5524="HI",2,IF(E5524="LO",6,10))+IF(T5524=1,2,IF(D5524=7,1,(IF(WEEKDAY(B5524)=1,2,IF(WEEKDAY(B5524)=7,1,0))))))</f>
        <v>3</v>
      </c>
    </row>
    <row r="5525" spans="2:22">
      <c r="B5525" s="318">
        <f t="shared" si="343"/>
        <v>46343</v>
      </c>
      <c r="C5525" s="312">
        <v>1</v>
      </c>
      <c r="D5525" s="368">
        <f>IFERROR((INDEX(METADATA!$T$2:$T$20,MATCH(B5525,METADATA!$S$2:$S$20,0))),0)</f>
        <v>0</v>
      </c>
      <c r="E5525" s="312" t="str">
        <f t="shared" si="344"/>
        <v>LO</v>
      </c>
      <c r="F5525" s="369">
        <f>VLOOKUP(C5525,METADATA!$A$5:$H$29,IF(E5525="HI",2,IF(E5525="LO",6,10))+IF(D5525=1,2,IF(D5525=7,1,(IF(WEEKDAY(B5525)=1,2,IF(WEEKDAY(B5525)=7,1,0))))))</f>
        <v>3</v>
      </c>
      <c r="G5525" s="369">
        <f>VLOOKUP(C5525,METADATA!$J$5:$Q$29,IF(E5525="HI",2,IF(E5525="LO",6,10))+IF(D5525=1,2,IF(D5525=7,1,(IF(WEEKDAY(B5525)=1,2,IF(WEEKDAY(B5525)=7,1,0))))))</f>
        <v>3</v>
      </c>
      <c r="H5525" s="370">
        <v>12628.725280761719</v>
      </c>
      <c r="I5525" s="370">
        <v>3747.0874938964844</v>
      </c>
      <c r="M5525" s="371">
        <f t="shared" si="345"/>
        <v>13172.902751628646</v>
      </c>
      <c r="N5525" s="329">
        <f t="shared" si="346"/>
        <v>0</v>
      </c>
      <c r="T5525" s="331">
        <v>0</v>
      </c>
      <c r="U5525" s="328">
        <f>VLOOKUP(C5525,METADATA!$J$5:$Q$29,IF(E5525="HI",2,IF(E5525="LO",6,10))+IF(T5525=1,2,IF(D5525=7,1,(IF(WEEKDAY(B5525)=1,2,IF(WEEKDAY(B5525)=7,1,0))))))</f>
        <v>3</v>
      </c>
      <c r="V5525" s="328">
        <f>VLOOKUP(C5525,METADATA!$A$5:$H$29,IF(E5525="HI",2,IF(E5525="LO",6,10))+IF(T5525=1,2,IF(D5525=7,1,(IF(WEEKDAY(B5525)=1,2,IF(WEEKDAY(B5525)=7,1,0))))))</f>
        <v>3</v>
      </c>
    </row>
    <row r="5526" spans="2:22">
      <c r="B5526" s="318">
        <f t="shared" si="343"/>
        <v>46343</v>
      </c>
      <c r="C5526" s="312">
        <v>2</v>
      </c>
      <c r="D5526" s="368">
        <f>IFERROR((INDEX(METADATA!$T$2:$T$20,MATCH(B5526,METADATA!$S$2:$S$20,0))),0)</f>
        <v>0</v>
      </c>
      <c r="E5526" s="312" t="str">
        <f t="shared" si="344"/>
        <v>LO</v>
      </c>
      <c r="F5526" s="369">
        <f>VLOOKUP(C5526,METADATA!$A$5:$H$29,IF(E5526="HI",2,IF(E5526="LO",6,10))+IF(D5526=1,2,IF(D5526=7,1,(IF(WEEKDAY(B5526)=1,2,IF(WEEKDAY(B5526)=7,1,0))))))</f>
        <v>3</v>
      </c>
      <c r="G5526" s="369">
        <f>VLOOKUP(C5526,METADATA!$J$5:$Q$29,IF(E5526="HI",2,IF(E5526="LO",6,10))+IF(D5526=1,2,IF(D5526=7,1,(IF(WEEKDAY(B5526)=1,2,IF(WEEKDAY(B5526)=7,1,0))))))</f>
        <v>3</v>
      </c>
      <c r="H5526" s="370">
        <v>12802.999633789063</v>
      </c>
      <c r="I5526" s="370">
        <v>3852.2398986816406</v>
      </c>
      <c r="M5526" s="371">
        <f t="shared" si="345"/>
        <v>13369.98698053957</v>
      </c>
      <c r="N5526" s="329">
        <f t="shared" si="346"/>
        <v>11.340008544922057</v>
      </c>
      <c r="T5526" s="331">
        <v>0</v>
      </c>
      <c r="U5526" s="328">
        <f>VLOOKUP(C5526,METADATA!$J$5:$Q$29,IF(E5526="HI",2,IF(E5526="LO",6,10))+IF(T5526=1,2,IF(D5526=7,1,(IF(WEEKDAY(B5526)=1,2,IF(WEEKDAY(B5526)=7,1,0))))))</f>
        <v>3</v>
      </c>
      <c r="V5526" s="328">
        <f>VLOOKUP(C5526,METADATA!$A$5:$H$29,IF(E5526="HI",2,IF(E5526="LO",6,10))+IF(T5526=1,2,IF(D5526=7,1,(IF(WEEKDAY(B5526)=1,2,IF(WEEKDAY(B5526)=7,1,0))))))</f>
        <v>3</v>
      </c>
    </row>
    <row r="5527" spans="2:22">
      <c r="B5527" s="318">
        <f t="shared" si="343"/>
        <v>46343</v>
      </c>
      <c r="C5527" s="312">
        <v>3</v>
      </c>
      <c r="D5527" s="368">
        <f>IFERROR((INDEX(METADATA!$T$2:$T$20,MATCH(B5527,METADATA!$S$2:$S$20,0))),0)</f>
        <v>0</v>
      </c>
      <c r="E5527" s="312" t="str">
        <f t="shared" si="344"/>
        <v>LO</v>
      </c>
      <c r="F5527" s="369">
        <f>VLOOKUP(C5527,METADATA!$A$5:$H$29,IF(E5527="HI",2,IF(E5527="LO",6,10))+IF(D5527=1,2,IF(D5527=7,1,(IF(WEEKDAY(B5527)=1,2,IF(WEEKDAY(B5527)=7,1,0))))))</f>
        <v>3</v>
      </c>
      <c r="G5527" s="369">
        <f>VLOOKUP(C5527,METADATA!$J$5:$Q$29,IF(E5527="HI",2,IF(E5527="LO",6,10))+IF(D5527=1,2,IF(D5527=7,1,(IF(WEEKDAY(B5527)=1,2,IF(WEEKDAY(B5527)=7,1,0))))))</f>
        <v>3</v>
      </c>
      <c r="H5527" s="370">
        <v>12775.449829101563</v>
      </c>
      <c r="I5527" s="370">
        <v>3920.3849182128906</v>
      </c>
      <c r="M5527" s="371">
        <f t="shared" si="345"/>
        <v>13363.44028470372</v>
      </c>
      <c r="N5527" s="329">
        <f t="shared" si="346"/>
        <v>87.749969482421875</v>
      </c>
      <c r="T5527" s="331">
        <v>0</v>
      </c>
      <c r="U5527" s="328">
        <f>VLOOKUP(C5527,METADATA!$J$5:$Q$29,IF(E5527="HI",2,IF(E5527="LO",6,10))+IF(T5527=1,2,IF(D5527=7,1,(IF(WEEKDAY(B5527)=1,2,IF(WEEKDAY(B5527)=7,1,0))))))</f>
        <v>3</v>
      </c>
      <c r="V5527" s="328">
        <f>VLOOKUP(C5527,METADATA!$A$5:$H$29,IF(E5527="HI",2,IF(E5527="LO",6,10))+IF(T5527=1,2,IF(D5527=7,1,(IF(WEEKDAY(B5527)=1,2,IF(WEEKDAY(B5527)=7,1,0))))))</f>
        <v>3</v>
      </c>
    </row>
    <row r="5528" spans="2:22">
      <c r="B5528" s="318">
        <f t="shared" si="343"/>
        <v>46343</v>
      </c>
      <c r="C5528" s="312">
        <v>4</v>
      </c>
      <c r="D5528" s="368">
        <f>IFERROR((INDEX(METADATA!$T$2:$T$20,MATCH(B5528,METADATA!$S$2:$S$20,0))),0)</f>
        <v>0</v>
      </c>
      <c r="E5528" s="312" t="str">
        <f t="shared" si="344"/>
        <v>LO</v>
      </c>
      <c r="F5528" s="369">
        <f>VLOOKUP(C5528,METADATA!$A$5:$H$29,IF(E5528="HI",2,IF(E5528="LO",6,10))+IF(D5528=1,2,IF(D5528=7,1,(IF(WEEKDAY(B5528)=1,2,IF(WEEKDAY(B5528)=7,1,0))))))</f>
        <v>3</v>
      </c>
      <c r="G5528" s="369">
        <f>VLOOKUP(C5528,METADATA!$J$5:$Q$29,IF(E5528="HI",2,IF(E5528="LO",6,10))+IF(D5528=1,2,IF(D5528=7,1,(IF(WEEKDAY(B5528)=1,2,IF(WEEKDAY(B5528)=7,1,0))))))</f>
        <v>3</v>
      </c>
      <c r="H5528" s="370">
        <v>12974.974792480469</v>
      </c>
      <c r="I5528" s="370">
        <v>3931.2150573730469</v>
      </c>
      <c r="M5528" s="371">
        <f t="shared" si="345"/>
        <v>13557.448974376415</v>
      </c>
      <c r="N5528" s="329">
        <f t="shared" si="346"/>
        <v>38.722619628906614</v>
      </c>
      <c r="T5528" s="331">
        <v>0</v>
      </c>
      <c r="U5528" s="328">
        <f>VLOOKUP(C5528,METADATA!$J$5:$Q$29,IF(E5528="HI",2,IF(E5528="LO",6,10))+IF(T5528=1,2,IF(D5528=7,1,(IF(WEEKDAY(B5528)=1,2,IF(WEEKDAY(B5528)=7,1,0))))))</f>
        <v>3</v>
      </c>
      <c r="V5528" s="328">
        <f>VLOOKUP(C5528,METADATA!$A$5:$H$29,IF(E5528="HI",2,IF(E5528="LO",6,10))+IF(T5528=1,2,IF(D5528=7,1,(IF(WEEKDAY(B5528)=1,2,IF(WEEKDAY(B5528)=7,1,0))))))</f>
        <v>3</v>
      </c>
    </row>
    <row r="5529" spans="2:22">
      <c r="B5529" s="318">
        <f t="shared" si="343"/>
        <v>46343</v>
      </c>
      <c r="C5529" s="312">
        <v>5</v>
      </c>
      <c r="D5529" s="368">
        <f>IFERROR((INDEX(METADATA!$T$2:$T$20,MATCH(B5529,METADATA!$S$2:$S$20,0))),0)</f>
        <v>0</v>
      </c>
      <c r="E5529" s="312" t="str">
        <f t="shared" si="344"/>
        <v>LO</v>
      </c>
      <c r="F5529" s="369">
        <f>VLOOKUP(C5529,METADATA!$A$5:$H$29,IF(E5529="HI",2,IF(E5529="LO",6,10))+IF(D5529=1,2,IF(D5529=7,1,(IF(WEEKDAY(B5529)=1,2,IF(WEEKDAY(B5529)=7,1,0))))))</f>
        <v>3</v>
      </c>
      <c r="G5529" s="369">
        <f>VLOOKUP(C5529,METADATA!$J$5:$Q$29,IF(E5529="HI",2,IF(E5529="LO",6,10))+IF(D5529=1,2,IF(D5529=7,1,(IF(WEEKDAY(B5529)=1,2,IF(WEEKDAY(B5529)=7,1,0))))))</f>
        <v>3</v>
      </c>
      <c r="H5529" s="370">
        <v>12903.025268554688</v>
      </c>
      <c r="I5529" s="370">
        <v>3858.4848937988281</v>
      </c>
      <c r="M5529" s="371">
        <f t="shared" si="345"/>
        <v>13467.589493173398</v>
      </c>
      <c r="N5529" s="329">
        <f t="shared" si="346"/>
        <v>0</v>
      </c>
      <c r="T5529" s="331">
        <v>0</v>
      </c>
      <c r="U5529" s="328">
        <f>VLOOKUP(C5529,METADATA!$J$5:$Q$29,IF(E5529="HI",2,IF(E5529="LO",6,10))+IF(T5529=1,2,IF(D5529=7,1,(IF(WEEKDAY(B5529)=1,2,IF(WEEKDAY(B5529)=7,1,0))))))</f>
        <v>3</v>
      </c>
      <c r="V5529" s="328">
        <f>VLOOKUP(C5529,METADATA!$A$5:$H$29,IF(E5529="HI",2,IF(E5529="LO",6,10))+IF(T5529=1,2,IF(D5529=7,1,(IF(WEEKDAY(B5529)=1,2,IF(WEEKDAY(B5529)=7,1,0))))))</f>
        <v>3</v>
      </c>
    </row>
    <row r="5530" spans="2:22">
      <c r="B5530" s="318">
        <f t="shared" si="343"/>
        <v>46343</v>
      </c>
      <c r="C5530" s="312">
        <v>6</v>
      </c>
      <c r="D5530" s="368">
        <f>IFERROR((INDEX(METADATA!$T$2:$T$20,MATCH(B5530,METADATA!$S$2:$S$20,0))),0)</f>
        <v>0</v>
      </c>
      <c r="E5530" s="312" t="str">
        <f t="shared" si="344"/>
        <v>LO</v>
      </c>
      <c r="F5530" s="369">
        <f>VLOOKUP(C5530,METADATA!$A$5:$H$29,IF(E5530="HI",2,IF(E5530="LO",6,10))+IF(D5530=1,2,IF(D5530=7,1,(IF(WEEKDAY(B5530)=1,2,IF(WEEKDAY(B5530)=7,1,0))))))</f>
        <v>2</v>
      </c>
      <c r="G5530" s="369">
        <f>VLOOKUP(C5530,METADATA!$J$5:$Q$29,IF(E5530="HI",2,IF(E5530="LO",6,10))+IF(D5530=1,2,IF(D5530=7,1,(IF(WEEKDAY(B5530)=1,2,IF(WEEKDAY(B5530)=7,1,0))))))</f>
        <v>2</v>
      </c>
      <c r="H5530" s="370">
        <v>12900.949645996094</v>
      </c>
      <c r="I5530" s="370">
        <v>3755.2000122070313</v>
      </c>
      <c r="M5530" s="371">
        <f t="shared" si="345"/>
        <v>13436.36963246421</v>
      </c>
      <c r="N5530" s="329">
        <f t="shared" si="346"/>
        <v>0</v>
      </c>
      <c r="T5530" s="331">
        <v>0</v>
      </c>
      <c r="U5530" s="328">
        <f>VLOOKUP(C5530,METADATA!$J$5:$Q$29,IF(E5530="HI",2,IF(E5530="LO",6,10))+IF(T5530=1,2,IF(D5530=7,1,(IF(WEEKDAY(B5530)=1,2,IF(WEEKDAY(B5530)=7,1,0))))))</f>
        <v>2</v>
      </c>
      <c r="V5530" s="328">
        <f>VLOOKUP(C5530,METADATA!$A$5:$H$29,IF(E5530="HI",2,IF(E5530="LO",6,10))+IF(T5530=1,2,IF(D5530=7,1,(IF(WEEKDAY(B5530)=1,2,IF(WEEKDAY(B5530)=7,1,0))))))</f>
        <v>2</v>
      </c>
    </row>
    <row r="5531" spans="2:22">
      <c r="B5531" s="318">
        <f t="shared" si="343"/>
        <v>46343</v>
      </c>
      <c r="C5531" s="312">
        <v>7</v>
      </c>
      <c r="D5531" s="368">
        <f>IFERROR((INDEX(METADATA!$T$2:$T$20,MATCH(B5531,METADATA!$S$2:$S$20,0))),0)</f>
        <v>0</v>
      </c>
      <c r="E5531" s="312" t="str">
        <f t="shared" si="344"/>
        <v>LO</v>
      </c>
      <c r="F5531" s="369">
        <f>VLOOKUP(C5531,METADATA!$A$5:$H$29,IF(E5531="HI",2,IF(E5531="LO",6,10))+IF(D5531=1,2,IF(D5531=7,1,(IF(WEEKDAY(B5531)=1,2,IF(WEEKDAY(B5531)=7,1,0))))))</f>
        <v>1</v>
      </c>
      <c r="G5531" s="369">
        <f>VLOOKUP(C5531,METADATA!$J$5:$Q$29,IF(E5531="HI",2,IF(E5531="LO",6,10))+IF(D5531=1,2,IF(D5531=7,1,(IF(WEEKDAY(B5531)=1,2,IF(WEEKDAY(B5531)=7,1,0))))))</f>
        <v>1</v>
      </c>
      <c r="H5531" s="370">
        <v>12901.549926757813</v>
      </c>
      <c r="I5531" s="370">
        <v>3798.1849212646484</v>
      </c>
      <c r="M5531" s="371">
        <f t="shared" si="345"/>
        <v>13449.022239878504</v>
      </c>
      <c r="N5531" s="329">
        <f t="shared" si="346"/>
        <v>0</v>
      </c>
      <c r="T5531" s="331">
        <v>0</v>
      </c>
      <c r="U5531" s="328">
        <f>VLOOKUP(C5531,METADATA!$J$5:$Q$29,IF(E5531="HI",2,IF(E5531="LO",6,10))+IF(T5531=1,2,IF(D5531=7,1,(IF(WEEKDAY(B5531)=1,2,IF(WEEKDAY(B5531)=7,1,0))))))</f>
        <v>1</v>
      </c>
      <c r="V5531" s="328">
        <f>VLOOKUP(C5531,METADATA!$A$5:$H$29,IF(E5531="HI",2,IF(E5531="LO",6,10))+IF(T5531=1,2,IF(D5531=7,1,(IF(WEEKDAY(B5531)=1,2,IF(WEEKDAY(B5531)=7,1,0))))))</f>
        <v>1</v>
      </c>
    </row>
    <row r="5532" spans="2:22">
      <c r="B5532" s="318">
        <f t="shared" ref="B5532:B5595" si="347">B5508+1</f>
        <v>46343</v>
      </c>
      <c r="C5532" s="312">
        <v>8</v>
      </c>
      <c r="D5532" s="368">
        <f>IFERROR((INDEX(METADATA!$T$2:$T$20,MATCH(B5532,METADATA!$S$2:$S$20,0))),0)</f>
        <v>0</v>
      </c>
      <c r="E5532" s="312" t="str">
        <f t="shared" si="344"/>
        <v>LO</v>
      </c>
      <c r="F5532" s="369">
        <f>VLOOKUP(C5532,METADATA!$A$5:$H$29,IF(E5532="HI",2,IF(E5532="LO",6,10))+IF(D5532=1,2,IF(D5532=7,1,(IF(WEEKDAY(B5532)=1,2,IF(WEEKDAY(B5532)=7,1,0))))))</f>
        <v>1</v>
      </c>
      <c r="G5532" s="369">
        <f>VLOOKUP(C5532,METADATA!$J$5:$Q$29,IF(E5532="HI",2,IF(E5532="LO",6,10))+IF(D5532=1,2,IF(D5532=7,1,(IF(WEEKDAY(B5532)=1,2,IF(WEEKDAY(B5532)=7,1,0))))))</f>
        <v>1</v>
      </c>
      <c r="H5532" s="370">
        <v>10328.999755859375</v>
      </c>
      <c r="I5532" s="370">
        <v>2501.7700042724609</v>
      </c>
      <c r="M5532" s="371">
        <f t="shared" si="345"/>
        <v>10627.656802457466</v>
      </c>
      <c r="N5532" s="329">
        <f t="shared" si="346"/>
        <v>0</v>
      </c>
      <c r="T5532" s="331">
        <v>0</v>
      </c>
      <c r="U5532" s="328">
        <f>VLOOKUP(C5532,METADATA!$J$5:$Q$29,IF(E5532="HI",2,IF(E5532="LO",6,10))+IF(T5532=1,2,IF(D5532=7,1,(IF(WEEKDAY(B5532)=1,2,IF(WEEKDAY(B5532)=7,1,0))))))</f>
        <v>1</v>
      </c>
      <c r="V5532" s="328">
        <f>VLOOKUP(C5532,METADATA!$A$5:$H$29,IF(E5532="HI",2,IF(E5532="LO",6,10))+IF(T5532=1,2,IF(D5532=7,1,(IF(WEEKDAY(B5532)=1,2,IF(WEEKDAY(B5532)=7,1,0))))))</f>
        <v>1</v>
      </c>
    </row>
    <row r="5533" spans="2:22">
      <c r="B5533" s="318">
        <f t="shared" si="347"/>
        <v>46343</v>
      </c>
      <c r="C5533" s="312">
        <v>9</v>
      </c>
      <c r="D5533" s="368">
        <f>IFERROR((INDEX(METADATA!$T$2:$T$20,MATCH(B5533,METADATA!$S$2:$S$20,0))),0)</f>
        <v>0</v>
      </c>
      <c r="E5533" s="312" t="str">
        <f t="shared" si="344"/>
        <v>LO</v>
      </c>
      <c r="F5533" s="369">
        <f>VLOOKUP(C5533,METADATA!$A$5:$H$29,IF(E5533="HI",2,IF(E5533="LO",6,10))+IF(D5533=1,2,IF(D5533=7,1,(IF(WEEKDAY(B5533)=1,2,IF(WEEKDAY(B5533)=7,1,0))))))</f>
        <v>2</v>
      </c>
      <c r="G5533" s="369">
        <f>VLOOKUP(C5533,METADATA!$J$5:$Q$29,IF(E5533="HI",2,IF(E5533="LO",6,10))+IF(D5533=1,2,IF(D5533=7,1,(IF(WEEKDAY(B5533)=1,2,IF(WEEKDAY(B5533)=7,1,0))))))</f>
        <v>2</v>
      </c>
      <c r="H5533" s="370">
        <v>5183.9949035644531</v>
      </c>
      <c r="I5533" s="370">
        <v>1590.552490234375</v>
      </c>
      <c r="M5533" s="371">
        <f t="shared" si="345"/>
        <v>5422.5142124639005</v>
      </c>
      <c r="N5533" s="329">
        <f t="shared" si="346"/>
        <v>35.354019165039063</v>
      </c>
      <c r="T5533" s="331">
        <v>0</v>
      </c>
      <c r="U5533" s="328">
        <f>VLOOKUP(C5533,METADATA!$J$5:$Q$29,IF(E5533="HI",2,IF(E5533="LO",6,10))+IF(T5533=1,2,IF(D5533=7,1,(IF(WEEKDAY(B5533)=1,2,IF(WEEKDAY(B5533)=7,1,0))))))</f>
        <v>2</v>
      </c>
      <c r="V5533" s="328">
        <f>VLOOKUP(C5533,METADATA!$A$5:$H$29,IF(E5533="HI",2,IF(E5533="LO",6,10))+IF(T5533=1,2,IF(D5533=7,1,(IF(WEEKDAY(B5533)=1,2,IF(WEEKDAY(B5533)=7,1,0))))))</f>
        <v>2</v>
      </c>
    </row>
    <row r="5534" spans="2:22">
      <c r="B5534" s="318">
        <f t="shared" si="347"/>
        <v>46343</v>
      </c>
      <c r="C5534" s="312">
        <v>10</v>
      </c>
      <c r="D5534" s="368">
        <f>IFERROR((INDEX(METADATA!$T$2:$T$20,MATCH(B5534,METADATA!$S$2:$S$20,0))),0)</f>
        <v>0</v>
      </c>
      <c r="E5534" s="312" t="str">
        <f t="shared" si="344"/>
        <v>LO</v>
      </c>
      <c r="F5534" s="369">
        <f>VLOOKUP(C5534,METADATA!$A$5:$H$29,IF(E5534="HI",2,IF(E5534="LO",6,10))+IF(D5534=1,2,IF(D5534=7,1,(IF(WEEKDAY(B5534)=1,2,IF(WEEKDAY(B5534)=7,1,0))))))</f>
        <v>2</v>
      </c>
      <c r="G5534" s="369">
        <f>VLOOKUP(C5534,METADATA!$J$5:$Q$29,IF(E5534="HI",2,IF(E5534="LO",6,10))+IF(D5534=1,2,IF(D5534=7,1,(IF(WEEKDAY(B5534)=1,2,IF(WEEKDAY(B5534)=7,1,0))))))</f>
        <v>2</v>
      </c>
      <c r="H5534" s="370">
        <v>4981.7374877929688</v>
      </c>
      <c r="I5534" s="370">
        <v>1577.5199584960938</v>
      </c>
      <c r="M5534" s="371">
        <f t="shared" si="345"/>
        <v>5225.5408922651559</v>
      </c>
      <c r="N5534" s="329">
        <f t="shared" si="346"/>
        <v>82.998712158203261</v>
      </c>
      <c r="T5534" s="331">
        <v>0</v>
      </c>
      <c r="U5534" s="328">
        <f>VLOOKUP(C5534,METADATA!$J$5:$Q$29,IF(E5534="HI",2,IF(E5534="LO",6,10))+IF(T5534=1,2,IF(D5534=7,1,(IF(WEEKDAY(B5534)=1,2,IF(WEEKDAY(B5534)=7,1,0))))))</f>
        <v>2</v>
      </c>
      <c r="V5534" s="328">
        <f>VLOOKUP(C5534,METADATA!$A$5:$H$29,IF(E5534="HI",2,IF(E5534="LO",6,10))+IF(T5534=1,2,IF(D5534=7,1,(IF(WEEKDAY(B5534)=1,2,IF(WEEKDAY(B5534)=7,1,0))))))</f>
        <v>2</v>
      </c>
    </row>
    <row r="5535" spans="2:22">
      <c r="B5535" s="318">
        <f t="shared" si="347"/>
        <v>46343</v>
      </c>
      <c r="C5535" s="312">
        <v>11</v>
      </c>
      <c r="D5535" s="368">
        <f>IFERROR((INDEX(METADATA!$T$2:$T$20,MATCH(B5535,METADATA!$S$2:$S$20,0))),0)</f>
        <v>0</v>
      </c>
      <c r="E5535" s="312" t="str">
        <f t="shared" si="344"/>
        <v>LO</v>
      </c>
      <c r="F5535" s="369">
        <f>VLOOKUP(C5535,METADATA!$A$5:$H$29,IF(E5535="HI",2,IF(E5535="LO",6,10))+IF(D5535=1,2,IF(D5535=7,1,(IF(WEEKDAY(B5535)=1,2,IF(WEEKDAY(B5535)=7,1,0))))))</f>
        <v>2</v>
      </c>
      <c r="G5535" s="369">
        <f>VLOOKUP(C5535,METADATA!$J$5:$Q$29,IF(E5535="HI",2,IF(E5535="LO",6,10))+IF(D5535=1,2,IF(D5535=7,1,(IF(WEEKDAY(B5535)=1,2,IF(WEEKDAY(B5535)=7,1,0))))))</f>
        <v>2</v>
      </c>
      <c r="H5535" s="370">
        <v>5054.824951171875</v>
      </c>
      <c r="I5535" s="370">
        <v>1575.2124938964844</v>
      </c>
      <c r="M5535" s="371">
        <f t="shared" si="345"/>
        <v>5294.5773852043494</v>
      </c>
      <c r="N5535" s="329">
        <f t="shared" si="346"/>
        <v>58.765008544922011</v>
      </c>
      <c r="T5535" s="331">
        <v>0</v>
      </c>
      <c r="U5535" s="328">
        <f>VLOOKUP(C5535,METADATA!$J$5:$Q$29,IF(E5535="HI",2,IF(E5535="LO",6,10))+IF(T5535=1,2,IF(D5535=7,1,(IF(WEEKDAY(B5535)=1,2,IF(WEEKDAY(B5535)=7,1,0))))))</f>
        <v>2</v>
      </c>
      <c r="V5535" s="328">
        <f>VLOOKUP(C5535,METADATA!$A$5:$H$29,IF(E5535="HI",2,IF(E5535="LO",6,10))+IF(T5535=1,2,IF(D5535=7,1,(IF(WEEKDAY(B5535)=1,2,IF(WEEKDAY(B5535)=7,1,0))))))</f>
        <v>2</v>
      </c>
    </row>
    <row r="5536" spans="2:22">
      <c r="B5536" s="318">
        <f t="shared" si="347"/>
        <v>46343</v>
      </c>
      <c r="C5536" s="312">
        <v>12</v>
      </c>
      <c r="D5536" s="368">
        <f>IFERROR((INDEX(METADATA!$T$2:$T$20,MATCH(B5536,METADATA!$S$2:$S$20,0))),0)</f>
        <v>0</v>
      </c>
      <c r="E5536" s="312" t="str">
        <f t="shared" si="344"/>
        <v>LO</v>
      </c>
      <c r="F5536" s="369">
        <f>VLOOKUP(C5536,METADATA!$A$5:$H$29,IF(E5536="HI",2,IF(E5536="LO",6,10))+IF(D5536=1,2,IF(D5536=7,1,(IF(WEEKDAY(B5536)=1,2,IF(WEEKDAY(B5536)=7,1,0))))))</f>
        <v>2</v>
      </c>
      <c r="G5536" s="369">
        <f>VLOOKUP(C5536,METADATA!$J$5:$Q$29,IF(E5536="HI",2,IF(E5536="LO",6,10))+IF(D5536=1,2,IF(D5536=7,1,(IF(WEEKDAY(B5536)=1,2,IF(WEEKDAY(B5536)=7,1,0))))))</f>
        <v>2</v>
      </c>
      <c r="H5536" s="370">
        <v>4862.7250061035156</v>
      </c>
      <c r="I5536" s="370">
        <v>1563.6275024414063</v>
      </c>
      <c r="M5536" s="371">
        <f t="shared" si="345"/>
        <v>5107.937494857938</v>
      </c>
      <c r="N5536" s="329">
        <f t="shared" si="346"/>
        <v>104.81000061035161</v>
      </c>
      <c r="T5536" s="331">
        <v>0</v>
      </c>
      <c r="U5536" s="328">
        <f>VLOOKUP(C5536,METADATA!$J$5:$Q$29,IF(E5536="HI",2,IF(E5536="LO",6,10))+IF(T5536=1,2,IF(D5536=7,1,(IF(WEEKDAY(B5536)=1,2,IF(WEEKDAY(B5536)=7,1,0))))))</f>
        <v>2</v>
      </c>
      <c r="V5536" s="328">
        <f>VLOOKUP(C5536,METADATA!$A$5:$H$29,IF(E5536="HI",2,IF(E5536="LO",6,10))+IF(T5536=1,2,IF(D5536=7,1,(IF(WEEKDAY(B5536)=1,2,IF(WEEKDAY(B5536)=7,1,0))))))</f>
        <v>2</v>
      </c>
    </row>
    <row r="5537" spans="2:22">
      <c r="B5537" s="318">
        <f t="shared" si="347"/>
        <v>46343</v>
      </c>
      <c r="C5537" s="312">
        <v>13</v>
      </c>
      <c r="D5537" s="368">
        <f>IFERROR((INDEX(METADATA!$T$2:$T$20,MATCH(B5537,METADATA!$S$2:$S$20,0))),0)</f>
        <v>0</v>
      </c>
      <c r="E5537" s="312" t="str">
        <f t="shared" si="344"/>
        <v>LO</v>
      </c>
      <c r="F5537" s="369">
        <f>VLOOKUP(C5537,METADATA!$A$5:$H$29,IF(E5537="HI",2,IF(E5537="LO",6,10))+IF(D5537=1,2,IF(D5537=7,1,(IF(WEEKDAY(B5537)=1,2,IF(WEEKDAY(B5537)=7,1,0))))))</f>
        <v>2</v>
      </c>
      <c r="G5537" s="369">
        <f>VLOOKUP(C5537,METADATA!$J$5:$Q$29,IF(E5537="HI",2,IF(E5537="LO",6,10))+IF(D5537=1,2,IF(D5537=7,1,(IF(WEEKDAY(B5537)=1,2,IF(WEEKDAY(B5537)=7,1,0))))))</f>
        <v>2</v>
      </c>
      <c r="H5537" s="370">
        <v>4812.7725219726563</v>
      </c>
      <c r="I5537" s="370">
        <v>1556.1349792480469</v>
      </c>
      <c r="M5537" s="371">
        <f t="shared" si="345"/>
        <v>5058.0960273500505</v>
      </c>
      <c r="N5537" s="329">
        <f t="shared" si="346"/>
        <v>112.30322265625</v>
      </c>
      <c r="T5537" s="331">
        <v>0</v>
      </c>
      <c r="U5537" s="328">
        <f>VLOOKUP(C5537,METADATA!$J$5:$Q$29,IF(E5537="HI",2,IF(E5537="LO",6,10))+IF(T5537=1,2,IF(D5537=7,1,(IF(WEEKDAY(B5537)=1,2,IF(WEEKDAY(B5537)=7,1,0))))))</f>
        <v>2</v>
      </c>
      <c r="V5537" s="328">
        <f>VLOOKUP(C5537,METADATA!$A$5:$H$29,IF(E5537="HI",2,IF(E5537="LO",6,10))+IF(T5537=1,2,IF(D5537=7,1,(IF(WEEKDAY(B5537)=1,2,IF(WEEKDAY(B5537)=7,1,0))))))</f>
        <v>2</v>
      </c>
    </row>
    <row r="5538" spans="2:22">
      <c r="B5538" s="318">
        <f t="shared" si="347"/>
        <v>46343</v>
      </c>
      <c r="C5538" s="312">
        <v>14</v>
      </c>
      <c r="D5538" s="368">
        <f>IFERROR((INDEX(METADATA!$T$2:$T$20,MATCH(B5538,METADATA!$S$2:$S$20,0))),0)</f>
        <v>0</v>
      </c>
      <c r="E5538" s="312" t="str">
        <f t="shared" si="344"/>
        <v>LO</v>
      </c>
      <c r="F5538" s="369">
        <f>VLOOKUP(C5538,METADATA!$A$5:$H$29,IF(E5538="HI",2,IF(E5538="LO",6,10))+IF(D5538=1,2,IF(D5538=7,1,(IF(WEEKDAY(B5538)=1,2,IF(WEEKDAY(B5538)=7,1,0))))))</f>
        <v>2</v>
      </c>
      <c r="G5538" s="369">
        <f>VLOOKUP(C5538,METADATA!$J$5:$Q$29,IF(E5538="HI",2,IF(E5538="LO",6,10))+IF(D5538=1,2,IF(D5538=7,1,(IF(WEEKDAY(B5538)=1,2,IF(WEEKDAY(B5538)=7,1,0))))))</f>
        <v>2</v>
      </c>
      <c r="H5538" s="370">
        <v>4343.3075561523438</v>
      </c>
      <c r="I5538" s="370">
        <v>1627.9175109863281</v>
      </c>
      <c r="M5538" s="371">
        <f t="shared" si="345"/>
        <v>4638.3656550455316</v>
      </c>
      <c r="N5538" s="329">
        <f t="shared" si="346"/>
        <v>324.92524414062495</v>
      </c>
      <c r="T5538" s="331">
        <v>0</v>
      </c>
      <c r="U5538" s="328">
        <f>VLOOKUP(C5538,METADATA!$J$5:$Q$29,IF(E5538="HI",2,IF(E5538="LO",6,10))+IF(T5538=1,2,IF(D5538=7,1,(IF(WEEKDAY(B5538)=1,2,IF(WEEKDAY(B5538)=7,1,0))))))</f>
        <v>2</v>
      </c>
      <c r="V5538" s="328">
        <f>VLOOKUP(C5538,METADATA!$A$5:$H$29,IF(E5538="HI",2,IF(E5538="LO",6,10))+IF(T5538=1,2,IF(D5538=7,1,(IF(WEEKDAY(B5538)=1,2,IF(WEEKDAY(B5538)=7,1,0))))))</f>
        <v>2</v>
      </c>
    </row>
    <row r="5539" spans="2:22">
      <c r="B5539" s="318">
        <f t="shared" si="347"/>
        <v>46343</v>
      </c>
      <c r="C5539" s="312">
        <v>15</v>
      </c>
      <c r="D5539" s="368">
        <f>IFERROR((INDEX(METADATA!$T$2:$T$20,MATCH(B5539,METADATA!$S$2:$S$20,0))),0)</f>
        <v>0</v>
      </c>
      <c r="E5539" s="312" t="str">
        <f t="shared" si="344"/>
        <v>LO</v>
      </c>
      <c r="F5539" s="369">
        <f>VLOOKUP(C5539,METADATA!$A$5:$H$29,IF(E5539="HI",2,IF(E5539="LO",6,10))+IF(D5539=1,2,IF(D5539=7,1,(IF(WEEKDAY(B5539)=1,2,IF(WEEKDAY(B5539)=7,1,0))))))</f>
        <v>2</v>
      </c>
      <c r="G5539" s="369">
        <f>VLOOKUP(C5539,METADATA!$J$5:$Q$29,IF(E5539="HI",2,IF(E5539="LO",6,10))+IF(D5539=1,2,IF(D5539=7,1,(IF(WEEKDAY(B5539)=1,2,IF(WEEKDAY(B5539)=7,1,0))))))</f>
        <v>2</v>
      </c>
      <c r="H5539" s="370">
        <v>4850.6199951171875</v>
      </c>
      <c r="I5539" s="370">
        <v>1564.7050476074219</v>
      </c>
      <c r="M5539" s="371">
        <f t="shared" si="345"/>
        <v>5096.7456502202276</v>
      </c>
      <c r="N5539" s="329">
        <f t="shared" si="346"/>
        <v>109.51904907226572</v>
      </c>
      <c r="T5539" s="331">
        <v>0</v>
      </c>
      <c r="U5539" s="328">
        <f>VLOOKUP(C5539,METADATA!$J$5:$Q$29,IF(E5539="HI",2,IF(E5539="LO",6,10))+IF(T5539=1,2,IF(D5539=7,1,(IF(WEEKDAY(B5539)=1,2,IF(WEEKDAY(B5539)=7,1,0))))))</f>
        <v>2</v>
      </c>
      <c r="V5539" s="328">
        <f>VLOOKUP(C5539,METADATA!$A$5:$H$29,IF(E5539="HI",2,IF(E5539="LO",6,10))+IF(T5539=1,2,IF(D5539=7,1,(IF(WEEKDAY(B5539)=1,2,IF(WEEKDAY(B5539)=7,1,0))))))</f>
        <v>2</v>
      </c>
    </row>
    <row r="5540" spans="2:22">
      <c r="B5540" s="318">
        <f t="shared" si="347"/>
        <v>46343</v>
      </c>
      <c r="C5540" s="312">
        <v>16</v>
      </c>
      <c r="D5540" s="368">
        <f>IFERROR((INDEX(METADATA!$T$2:$T$20,MATCH(B5540,METADATA!$S$2:$S$20,0))),0)</f>
        <v>0</v>
      </c>
      <c r="E5540" s="312" t="str">
        <f t="shared" si="344"/>
        <v>LO</v>
      </c>
      <c r="F5540" s="369">
        <f>VLOOKUP(C5540,METADATA!$A$5:$H$29,IF(E5540="HI",2,IF(E5540="LO",6,10))+IF(D5540=1,2,IF(D5540=7,1,(IF(WEEKDAY(B5540)=1,2,IF(WEEKDAY(B5540)=7,1,0))))))</f>
        <v>2</v>
      </c>
      <c r="G5540" s="369">
        <f>VLOOKUP(C5540,METADATA!$J$5:$Q$29,IF(E5540="HI",2,IF(E5540="LO",6,10))+IF(D5540=1,2,IF(D5540=7,1,(IF(WEEKDAY(B5540)=1,2,IF(WEEKDAY(B5540)=7,1,0))))))</f>
        <v>2</v>
      </c>
      <c r="H5540" s="370">
        <v>6426.0149536132813</v>
      </c>
      <c r="I5540" s="370">
        <v>1895.7050170898438</v>
      </c>
      <c r="M5540" s="371">
        <f t="shared" si="345"/>
        <v>6699.8034072561486</v>
      </c>
      <c r="N5540" s="329">
        <f t="shared" si="346"/>
        <v>0</v>
      </c>
      <c r="T5540" s="331">
        <v>0</v>
      </c>
      <c r="U5540" s="328">
        <f>VLOOKUP(C5540,METADATA!$J$5:$Q$29,IF(E5540="HI",2,IF(E5540="LO",6,10))+IF(T5540=1,2,IF(D5540=7,1,(IF(WEEKDAY(B5540)=1,2,IF(WEEKDAY(B5540)=7,1,0))))))</f>
        <v>2</v>
      </c>
      <c r="V5540" s="328">
        <f>VLOOKUP(C5540,METADATA!$A$5:$H$29,IF(E5540="HI",2,IF(E5540="LO",6,10))+IF(T5540=1,2,IF(D5540=7,1,(IF(WEEKDAY(B5540)=1,2,IF(WEEKDAY(B5540)=7,1,0))))))</f>
        <v>2</v>
      </c>
    </row>
    <row r="5541" spans="2:22">
      <c r="B5541" s="318">
        <f t="shared" si="347"/>
        <v>46343</v>
      </c>
      <c r="C5541" s="312">
        <v>17</v>
      </c>
      <c r="D5541" s="368">
        <f>IFERROR((INDEX(METADATA!$T$2:$T$20,MATCH(B5541,METADATA!$S$2:$S$20,0))),0)</f>
        <v>0</v>
      </c>
      <c r="E5541" s="312" t="str">
        <f t="shared" si="344"/>
        <v>LO</v>
      </c>
      <c r="F5541" s="369">
        <f>VLOOKUP(C5541,METADATA!$A$5:$H$29,IF(E5541="HI",2,IF(E5541="LO",6,10))+IF(D5541=1,2,IF(D5541=7,1,(IF(WEEKDAY(B5541)=1,2,IF(WEEKDAY(B5541)=7,1,0))))))</f>
        <v>2</v>
      </c>
      <c r="G5541" s="369">
        <f>VLOOKUP(C5541,METADATA!$J$5:$Q$29,IF(E5541="HI",2,IF(E5541="LO",6,10))+IF(D5541=1,2,IF(D5541=7,1,(IF(WEEKDAY(B5541)=1,2,IF(WEEKDAY(B5541)=7,1,0))))))</f>
        <v>2</v>
      </c>
      <c r="H5541" s="370">
        <v>10381.624877929688</v>
      </c>
      <c r="I5541" s="370">
        <v>2857.6150054931641</v>
      </c>
      <c r="M5541" s="371">
        <f t="shared" si="345"/>
        <v>10767.734145383991</v>
      </c>
      <c r="N5541" s="329">
        <f t="shared" si="346"/>
        <v>0</v>
      </c>
      <c r="T5541" s="331">
        <v>0</v>
      </c>
      <c r="U5541" s="328">
        <f>VLOOKUP(C5541,METADATA!$J$5:$Q$29,IF(E5541="HI",2,IF(E5541="LO",6,10))+IF(T5541=1,2,IF(D5541=7,1,(IF(WEEKDAY(B5541)=1,2,IF(WEEKDAY(B5541)=7,1,0))))))</f>
        <v>2</v>
      </c>
      <c r="V5541" s="328">
        <f>VLOOKUP(C5541,METADATA!$A$5:$H$29,IF(E5541="HI",2,IF(E5541="LO",6,10))+IF(T5541=1,2,IF(D5541=7,1,(IF(WEEKDAY(B5541)=1,2,IF(WEEKDAY(B5541)=7,1,0))))))</f>
        <v>2</v>
      </c>
    </row>
    <row r="5542" spans="2:22">
      <c r="B5542" s="318">
        <f t="shared" si="347"/>
        <v>46343</v>
      </c>
      <c r="C5542" s="312">
        <v>18</v>
      </c>
      <c r="D5542" s="368">
        <f>IFERROR((INDEX(METADATA!$T$2:$T$20,MATCH(B5542,METADATA!$S$2:$S$20,0))),0)</f>
        <v>0</v>
      </c>
      <c r="E5542" s="312" t="str">
        <f t="shared" si="344"/>
        <v>LO</v>
      </c>
      <c r="F5542" s="369">
        <f>VLOOKUP(C5542,METADATA!$A$5:$H$29,IF(E5542="HI",2,IF(E5542="LO",6,10))+IF(D5542=1,2,IF(D5542=7,1,(IF(WEEKDAY(B5542)=1,2,IF(WEEKDAY(B5542)=7,1,0))))))</f>
        <v>1</v>
      </c>
      <c r="G5542" s="369">
        <f>VLOOKUP(C5542,METADATA!$J$5:$Q$29,IF(E5542="HI",2,IF(E5542="LO",6,10))+IF(D5542=1,2,IF(D5542=7,1,(IF(WEEKDAY(B5542)=1,2,IF(WEEKDAY(B5542)=7,1,0))))))</f>
        <v>1</v>
      </c>
      <c r="H5542" s="370">
        <v>11773.425109863281</v>
      </c>
      <c r="I5542" s="370">
        <v>3538.7376098632813</v>
      </c>
      <c r="M5542" s="371">
        <f t="shared" si="345"/>
        <v>12293.746487097418</v>
      </c>
      <c r="N5542" s="329">
        <f t="shared" si="346"/>
        <v>6.7100769042967841</v>
      </c>
      <c r="T5542" s="331">
        <v>0</v>
      </c>
      <c r="U5542" s="328">
        <f>VLOOKUP(C5542,METADATA!$J$5:$Q$29,IF(E5542="HI",2,IF(E5542="LO",6,10))+IF(T5542=1,2,IF(D5542=7,1,(IF(WEEKDAY(B5542)=1,2,IF(WEEKDAY(B5542)=7,1,0))))))</f>
        <v>1</v>
      </c>
      <c r="V5542" s="328">
        <f>VLOOKUP(C5542,METADATA!$A$5:$H$29,IF(E5542="HI",2,IF(E5542="LO",6,10))+IF(T5542=1,2,IF(D5542=7,1,(IF(WEEKDAY(B5542)=1,2,IF(WEEKDAY(B5542)=7,1,0))))))</f>
        <v>1</v>
      </c>
    </row>
    <row r="5543" spans="2:22">
      <c r="B5543" s="318">
        <f t="shared" si="347"/>
        <v>46343</v>
      </c>
      <c r="C5543" s="312">
        <v>19</v>
      </c>
      <c r="D5543" s="368">
        <f>IFERROR((INDEX(METADATA!$T$2:$T$20,MATCH(B5543,METADATA!$S$2:$S$20,0))),0)</f>
        <v>0</v>
      </c>
      <c r="E5543" s="312" t="str">
        <f t="shared" si="344"/>
        <v>LO</v>
      </c>
      <c r="F5543" s="369">
        <f>VLOOKUP(C5543,METADATA!$A$5:$H$29,IF(E5543="HI",2,IF(E5543="LO",6,10))+IF(D5543=1,2,IF(D5543=7,1,(IF(WEEKDAY(B5543)=1,2,IF(WEEKDAY(B5543)=7,1,0))))))</f>
        <v>1</v>
      </c>
      <c r="G5543" s="369">
        <f>VLOOKUP(C5543,METADATA!$J$5:$Q$29,IF(E5543="HI",2,IF(E5543="LO",6,10))+IF(D5543=1,2,IF(D5543=7,1,(IF(WEEKDAY(B5543)=1,2,IF(WEEKDAY(B5543)=7,1,0))))))</f>
        <v>1</v>
      </c>
      <c r="H5543" s="370">
        <v>12525.7001953125</v>
      </c>
      <c r="I5543" s="370">
        <v>3908.7300415039063</v>
      </c>
      <c r="M5543" s="371">
        <f t="shared" si="345"/>
        <v>13121.40754340809</v>
      </c>
      <c r="N5543" s="329">
        <f t="shared" si="346"/>
        <v>151.01998291015661</v>
      </c>
      <c r="T5543" s="331">
        <v>0</v>
      </c>
      <c r="U5543" s="328">
        <f>VLOOKUP(C5543,METADATA!$J$5:$Q$29,IF(E5543="HI",2,IF(E5543="LO",6,10))+IF(T5543=1,2,IF(D5543=7,1,(IF(WEEKDAY(B5543)=1,2,IF(WEEKDAY(B5543)=7,1,0))))))</f>
        <v>1</v>
      </c>
      <c r="V5543" s="328">
        <f>VLOOKUP(C5543,METADATA!$A$5:$H$29,IF(E5543="HI",2,IF(E5543="LO",6,10))+IF(T5543=1,2,IF(D5543=7,1,(IF(WEEKDAY(B5543)=1,2,IF(WEEKDAY(B5543)=7,1,0))))))</f>
        <v>1</v>
      </c>
    </row>
    <row r="5544" spans="2:22">
      <c r="B5544" s="318">
        <f t="shared" si="347"/>
        <v>46343</v>
      </c>
      <c r="C5544" s="312">
        <v>20</v>
      </c>
      <c r="D5544" s="368">
        <f>IFERROR((INDEX(METADATA!$T$2:$T$20,MATCH(B5544,METADATA!$S$2:$S$20,0))),0)</f>
        <v>0</v>
      </c>
      <c r="E5544" s="312" t="str">
        <f t="shared" si="344"/>
        <v>LO</v>
      </c>
      <c r="F5544" s="369">
        <f>VLOOKUP(C5544,METADATA!$A$5:$H$29,IF(E5544="HI",2,IF(E5544="LO",6,10))+IF(D5544=1,2,IF(D5544=7,1,(IF(WEEKDAY(B5544)=1,2,IF(WEEKDAY(B5544)=7,1,0))))))</f>
        <v>1</v>
      </c>
      <c r="G5544" s="369">
        <f>VLOOKUP(C5544,METADATA!$J$5:$Q$29,IF(E5544="HI",2,IF(E5544="LO",6,10))+IF(D5544=1,2,IF(D5544=7,1,(IF(WEEKDAY(B5544)=1,2,IF(WEEKDAY(B5544)=7,1,0))))))</f>
        <v>1</v>
      </c>
      <c r="H5544" s="370">
        <v>12922.824462890625</v>
      </c>
      <c r="I5544" s="370">
        <v>4110.0199584960938</v>
      </c>
      <c r="M5544" s="371">
        <f t="shared" si="345"/>
        <v>13560.665771189872</v>
      </c>
      <c r="N5544" s="329">
        <f t="shared" si="346"/>
        <v>233.17261962890643</v>
      </c>
      <c r="T5544" s="331">
        <v>0</v>
      </c>
      <c r="U5544" s="328">
        <f>VLOOKUP(C5544,METADATA!$J$5:$Q$29,IF(E5544="HI",2,IF(E5544="LO",6,10))+IF(T5544=1,2,IF(D5544=7,1,(IF(WEEKDAY(B5544)=1,2,IF(WEEKDAY(B5544)=7,1,0))))))</f>
        <v>1</v>
      </c>
      <c r="V5544" s="328">
        <f>VLOOKUP(C5544,METADATA!$A$5:$H$29,IF(E5544="HI",2,IF(E5544="LO",6,10))+IF(T5544=1,2,IF(D5544=7,1,(IF(WEEKDAY(B5544)=1,2,IF(WEEKDAY(B5544)=7,1,0))))))</f>
        <v>1</v>
      </c>
    </row>
    <row r="5545" spans="2:22">
      <c r="B5545" s="318">
        <f t="shared" si="347"/>
        <v>46343</v>
      </c>
      <c r="C5545" s="312">
        <v>21</v>
      </c>
      <c r="D5545" s="368">
        <f>IFERROR((INDEX(METADATA!$T$2:$T$20,MATCH(B5545,METADATA!$S$2:$S$20,0))),0)</f>
        <v>0</v>
      </c>
      <c r="E5545" s="312" t="str">
        <f t="shared" si="344"/>
        <v>LO</v>
      </c>
      <c r="F5545" s="369">
        <f>VLOOKUP(C5545,METADATA!$A$5:$H$29,IF(E5545="HI",2,IF(E5545="LO",6,10))+IF(D5545=1,2,IF(D5545=7,1,(IF(WEEKDAY(B5545)=1,2,IF(WEEKDAY(B5545)=7,1,0))))))</f>
        <v>2</v>
      </c>
      <c r="G5545" s="369">
        <f>VLOOKUP(C5545,METADATA!$J$5:$Q$29,IF(E5545="HI",2,IF(E5545="LO",6,10))+IF(D5545=1,2,IF(D5545=7,1,(IF(WEEKDAY(B5545)=1,2,IF(WEEKDAY(B5545)=7,1,0))))))</f>
        <v>2</v>
      </c>
      <c r="H5545" s="370">
        <v>12970.5751953125</v>
      </c>
      <c r="I5545" s="370">
        <v>4136.8900146484375</v>
      </c>
      <c r="M5545" s="371">
        <f t="shared" si="345"/>
        <v>13614.318928633698</v>
      </c>
      <c r="N5545" s="329">
        <f t="shared" si="346"/>
        <v>245.71745605468777</v>
      </c>
      <c r="T5545" s="331">
        <v>0</v>
      </c>
      <c r="U5545" s="328">
        <f>VLOOKUP(C5545,METADATA!$J$5:$Q$29,IF(E5545="HI",2,IF(E5545="LO",6,10))+IF(T5545=1,2,IF(D5545=7,1,(IF(WEEKDAY(B5545)=1,2,IF(WEEKDAY(B5545)=7,1,0))))))</f>
        <v>2</v>
      </c>
      <c r="V5545" s="328">
        <f>VLOOKUP(C5545,METADATA!$A$5:$H$29,IF(E5545="HI",2,IF(E5545="LO",6,10))+IF(T5545=1,2,IF(D5545=7,1,(IF(WEEKDAY(B5545)=1,2,IF(WEEKDAY(B5545)=7,1,0))))))</f>
        <v>2</v>
      </c>
    </row>
    <row r="5546" spans="2:22">
      <c r="B5546" s="318">
        <f t="shared" si="347"/>
        <v>46343</v>
      </c>
      <c r="C5546" s="312">
        <v>22</v>
      </c>
      <c r="D5546" s="368">
        <f>IFERROR((INDEX(METADATA!$T$2:$T$20,MATCH(B5546,METADATA!$S$2:$S$20,0))),0)</f>
        <v>0</v>
      </c>
      <c r="E5546" s="312" t="str">
        <f t="shared" si="344"/>
        <v>LO</v>
      </c>
      <c r="F5546" s="369">
        <f>VLOOKUP(C5546,METADATA!$A$5:$H$29,IF(E5546="HI",2,IF(E5546="LO",6,10))+IF(D5546=1,2,IF(D5546=7,1,(IF(WEEKDAY(B5546)=1,2,IF(WEEKDAY(B5546)=7,1,0))))))</f>
        <v>3</v>
      </c>
      <c r="G5546" s="369">
        <f>VLOOKUP(C5546,METADATA!$J$5:$Q$29,IF(E5546="HI",2,IF(E5546="LO",6,10))+IF(D5546=1,2,IF(D5546=7,1,(IF(WEEKDAY(B5546)=1,2,IF(WEEKDAY(B5546)=7,1,0))))))</f>
        <v>3</v>
      </c>
      <c r="H5546" s="370">
        <v>13110.825073242188</v>
      </c>
      <c r="I5546" s="370">
        <v>4093.5149841308594</v>
      </c>
      <c r="M5546" s="371">
        <f t="shared" si="345"/>
        <v>13735.013615809046</v>
      </c>
      <c r="N5546" s="329">
        <f t="shared" si="346"/>
        <v>160.26746215820322</v>
      </c>
      <c r="T5546" s="331">
        <v>0</v>
      </c>
      <c r="U5546" s="328">
        <f>VLOOKUP(C5546,METADATA!$J$5:$Q$29,IF(E5546="HI",2,IF(E5546="LO",6,10))+IF(T5546=1,2,IF(D5546=7,1,(IF(WEEKDAY(B5546)=1,2,IF(WEEKDAY(B5546)=7,1,0))))))</f>
        <v>3</v>
      </c>
      <c r="V5546" s="328">
        <f>VLOOKUP(C5546,METADATA!$A$5:$H$29,IF(E5546="HI",2,IF(E5546="LO",6,10))+IF(T5546=1,2,IF(D5546=7,1,(IF(WEEKDAY(B5546)=1,2,IF(WEEKDAY(B5546)=7,1,0))))))</f>
        <v>3</v>
      </c>
    </row>
    <row r="5547" spans="2:22">
      <c r="B5547" s="318">
        <f t="shared" si="347"/>
        <v>46343</v>
      </c>
      <c r="C5547" s="312">
        <v>23</v>
      </c>
      <c r="D5547" s="368">
        <f>IFERROR((INDEX(METADATA!$T$2:$T$20,MATCH(B5547,METADATA!$S$2:$S$20,0))),0)</f>
        <v>0</v>
      </c>
      <c r="E5547" s="312" t="str">
        <f t="shared" si="344"/>
        <v>LO</v>
      </c>
      <c r="F5547" s="369">
        <f>VLOOKUP(C5547,METADATA!$A$5:$H$29,IF(E5547="HI",2,IF(E5547="LO",6,10))+IF(D5547=1,2,IF(D5547=7,1,(IF(WEEKDAY(B5547)=1,2,IF(WEEKDAY(B5547)=7,1,0))))))</f>
        <v>3</v>
      </c>
      <c r="G5547" s="369">
        <f>VLOOKUP(C5547,METADATA!$J$5:$Q$29,IF(E5547="HI",2,IF(E5547="LO",6,10))+IF(D5547=1,2,IF(D5547=7,1,(IF(WEEKDAY(B5547)=1,2,IF(WEEKDAY(B5547)=7,1,0))))))</f>
        <v>3</v>
      </c>
      <c r="H5547" s="370">
        <v>13126.149658203125</v>
      </c>
      <c r="I5547" s="370">
        <v>4007.1700134277344</v>
      </c>
      <c r="M5547" s="371">
        <f t="shared" si="345"/>
        <v>13724.183632043854</v>
      </c>
      <c r="N5547" s="329">
        <f t="shared" si="346"/>
        <v>69.325115966797057</v>
      </c>
      <c r="T5547" s="331">
        <v>0</v>
      </c>
      <c r="U5547" s="328">
        <f>VLOOKUP(C5547,METADATA!$J$5:$Q$29,IF(E5547="HI",2,IF(E5547="LO",6,10))+IF(T5547=1,2,IF(D5547=7,1,(IF(WEEKDAY(B5547)=1,2,IF(WEEKDAY(B5547)=7,1,0))))))</f>
        <v>3</v>
      </c>
      <c r="V5547" s="328">
        <f>VLOOKUP(C5547,METADATA!$A$5:$H$29,IF(E5547="HI",2,IF(E5547="LO",6,10))+IF(T5547=1,2,IF(D5547=7,1,(IF(WEEKDAY(B5547)=1,2,IF(WEEKDAY(B5547)=7,1,0))))))</f>
        <v>3</v>
      </c>
    </row>
    <row r="5548" spans="2:22">
      <c r="B5548" s="318">
        <f t="shared" si="347"/>
        <v>46344</v>
      </c>
      <c r="C5548" s="312">
        <v>0</v>
      </c>
      <c r="D5548" s="368">
        <f>IFERROR((INDEX(METADATA!$T$2:$T$20,MATCH(B5548,METADATA!$S$2:$S$20,0))),0)</f>
        <v>0</v>
      </c>
      <c r="E5548" s="312" t="str">
        <f t="shared" si="344"/>
        <v>LO</v>
      </c>
      <c r="F5548" s="369">
        <f>VLOOKUP(C5548,METADATA!$A$5:$H$29,IF(E5548="HI",2,IF(E5548="LO",6,10))+IF(D5548=1,2,IF(D5548=7,1,(IF(WEEKDAY(B5548)=1,2,IF(WEEKDAY(B5548)=7,1,0))))))</f>
        <v>3</v>
      </c>
      <c r="G5548" s="369">
        <f>VLOOKUP(C5548,METADATA!$J$5:$Q$29,IF(E5548="HI",2,IF(E5548="LO",6,10))+IF(D5548=1,2,IF(D5548=7,1,(IF(WEEKDAY(B5548)=1,2,IF(WEEKDAY(B5548)=7,1,0))))))</f>
        <v>3</v>
      </c>
      <c r="H5548" s="370">
        <v>13069.450378417969</v>
      </c>
      <c r="I5548" s="370">
        <v>4133.6099853515625</v>
      </c>
      <c r="M5548" s="371">
        <f t="shared" si="345"/>
        <v>13707.562318112135</v>
      </c>
      <c r="N5548" s="329">
        <f t="shared" si="346"/>
        <v>212.77487182617188</v>
      </c>
      <c r="T5548" s="331">
        <v>0</v>
      </c>
      <c r="U5548" s="328">
        <f>VLOOKUP(C5548,METADATA!$J$5:$Q$29,IF(E5548="HI",2,IF(E5548="LO",6,10))+IF(T5548=1,2,IF(D5548=7,1,(IF(WEEKDAY(B5548)=1,2,IF(WEEKDAY(B5548)=7,1,0))))))</f>
        <v>3</v>
      </c>
      <c r="V5548" s="328">
        <f>VLOOKUP(C5548,METADATA!$A$5:$H$29,IF(E5548="HI",2,IF(E5548="LO",6,10))+IF(T5548=1,2,IF(D5548=7,1,(IF(WEEKDAY(B5548)=1,2,IF(WEEKDAY(B5548)=7,1,0))))))</f>
        <v>3</v>
      </c>
    </row>
    <row r="5549" spans="2:22">
      <c r="B5549" s="318">
        <f t="shared" si="347"/>
        <v>46344</v>
      </c>
      <c r="C5549" s="312">
        <v>1</v>
      </c>
      <c r="D5549" s="368">
        <f>IFERROR((INDEX(METADATA!$T$2:$T$20,MATCH(B5549,METADATA!$S$2:$S$20,0))),0)</f>
        <v>0</v>
      </c>
      <c r="E5549" s="312" t="str">
        <f t="shared" si="344"/>
        <v>LO</v>
      </c>
      <c r="F5549" s="369">
        <f>VLOOKUP(C5549,METADATA!$A$5:$H$29,IF(E5549="HI",2,IF(E5549="LO",6,10))+IF(D5549=1,2,IF(D5549=7,1,(IF(WEEKDAY(B5549)=1,2,IF(WEEKDAY(B5549)=7,1,0))))))</f>
        <v>3</v>
      </c>
      <c r="G5549" s="369">
        <f>VLOOKUP(C5549,METADATA!$J$5:$Q$29,IF(E5549="HI",2,IF(E5549="LO",6,10))+IF(D5549=1,2,IF(D5549=7,1,(IF(WEEKDAY(B5549)=1,2,IF(WEEKDAY(B5549)=7,1,0))))))</f>
        <v>3</v>
      </c>
      <c r="H5549" s="370">
        <v>13044.396789550781</v>
      </c>
      <c r="I5549" s="370">
        <v>4144.4170837402344</v>
      </c>
      <c r="M5549" s="371">
        <f t="shared" si="345"/>
        <v>13686.945625932785</v>
      </c>
      <c r="N5549" s="329">
        <f t="shared" si="346"/>
        <v>231.09804687500036</v>
      </c>
      <c r="T5549" s="331">
        <v>0</v>
      </c>
      <c r="U5549" s="328">
        <f>VLOOKUP(C5549,METADATA!$J$5:$Q$29,IF(E5549="HI",2,IF(E5549="LO",6,10))+IF(T5549=1,2,IF(D5549=7,1,(IF(WEEKDAY(B5549)=1,2,IF(WEEKDAY(B5549)=7,1,0))))))</f>
        <v>3</v>
      </c>
      <c r="V5549" s="328">
        <f>VLOOKUP(C5549,METADATA!$A$5:$H$29,IF(E5549="HI",2,IF(E5549="LO",6,10))+IF(T5549=1,2,IF(D5549=7,1,(IF(WEEKDAY(B5549)=1,2,IF(WEEKDAY(B5549)=7,1,0))))))</f>
        <v>3</v>
      </c>
    </row>
    <row r="5550" spans="2:22">
      <c r="B5550" s="318">
        <f t="shared" si="347"/>
        <v>46344</v>
      </c>
      <c r="C5550" s="312">
        <v>2</v>
      </c>
      <c r="D5550" s="368">
        <f>IFERROR((INDEX(METADATA!$T$2:$T$20,MATCH(B5550,METADATA!$S$2:$S$20,0))),0)</f>
        <v>0</v>
      </c>
      <c r="E5550" s="312" t="str">
        <f t="shared" si="344"/>
        <v>LO</v>
      </c>
      <c r="F5550" s="369">
        <f>VLOOKUP(C5550,METADATA!$A$5:$H$29,IF(E5550="HI",2,IF(E5550="LO",6,10))+IF(D5550=1,2,IF(D5550=7,1,(IF(WEEKDAY(B5550)=1,2,IF(WEEKDAY(B5550)=7,1,0))))))</f>
        <v>3</v>
      </c>
      <c r="G5550" s="369">
        <f>VLOOKUP(C5550,METADATA!$J$5:$Q$29,IF(E5550="HI",2,IF(E5550="LO",6,10))+IF(D5550=1,2,IF(D5550=7,1,(IF(WEEKDAY(B5550)=1,2,IF(WEEKDAY(B5550)=7,1,0))))))</f>
        <v>3</v>
      </c>
      <c r="H5550" s="370">
        <v>13168.77490234375</v>
      </c>
      <c r="I5550" s="370">
        <v>4233.8900451660156</v>
      </c>
      <c r="M5550" s="371">
        <f t="shared" si="345"/>
        <v>13832.65908432484</v>
      </c>
      <c r="N5550" s="329">
        <f t="shared" si="346"/>
        <v>283.25757446289072</v>
      </c>
      <c r="T5550" s="331">
        <v>0</v>
      </c>
      <c r="U5550" s="328">
        <f>VLOOKUP(C5550,METADATA!$J$5:$Q$29,IF(E5550="HI",2,IF(E5550="LO",6,10))+IF(T5550=1,2,IF(D5550=7,1,(IF(WEEKDAY(B5550)=1,2,IF(WEEKDAY(B5550)=7,1,0))))))</f>
        <v>3</v>
      </c>
      <c r="V5550" s="328">
        <f>VLOOKUP(C5550,METADATA!$A$5:$H$29,IF(E5550="HI",2,IF(E5550="LO",6,10))+IF(T5550=1,2,IF(D5550=7,1,(IF(WEEKDAY(B5550)=1,2,IF(WEEKDAY(B5550)=7,1,0))))))</f>
        <v>3</v>
      </c>
    </row>
    <row r="5551" spans="2:22">
      <c r="B5551" s="318">
        <f t="shared" si="347"/>
        <v>46344</v>
      </c>
      <c r="C5551" s="312">
        <v>3</v>
      </c>
      <c r="D5551" s="368">
        <f>IFERROR((INDEX(METADATA!$T$2:$T$20,MATCH(B5551,METADATA!$S$2:$S$20,0))),0)</f>
        <v>0</v>
      </c>
      <c r="E5551" s="312" t="str">
        <f t="shared" si="344"/>
        <v>LO</v>
      </c>
      <c r="F5551" s="369">
        <f>VLOOKUP(C5551,METADATA!$A$5:$H$29,IF(E5551="HI",2,IF(E5551="LO",6,10))+IF(D5551=1,2,IF(D5551=7,1,(IF(WEEKDAY(B5551)=1,2,IF(WEEKDAY(B5551)=7,1,0))))))</f>
        <v>3</v>
      </c>
      <c r="G5551" s="369">
        <f>VLOOKUP(C5551,METADATA!$J$5:$Q$29,IF(E5551="HI",2,IF(E5551="LO",6,10))+IF(D5551=1,2,IF(D5551=7,1,(IF(WEEKDAY(B5551)=1,2,IF(WEEKDAY(B5551)=7,1,0))))))</f>
        <v>3</v>
      </c>
      <c r="H5551" s="370">
        <v>13183.175231933594</v>
      </c>
      <c r="I5551" s="370">
        <v>4153.5150146484375</v>
      </c>
      <c r="M5551" s="371">
        <f t="shared" si="345"/>
        <v>13822.004057761571</v>
      </c>
      <c r="N5551" s="329">
        <f t="shared" si="346"/>
        <v>198.56244506835947</v>
      </c>
      <c r="T5551" s="331">
        <v>0</v>
      </c>
      <c r="U5551" s="328">
        <f>VLOOKUP(C5551,METADATA!$J$5:$Q$29,IF(E5551="HI",2,IF(E5551="LO",6,10))+IF(T5551=1,2,IF(D5551=7,1,(IF(WEEKDAY(B5551)=1,2,IF(WEEKDAY(B5551)=7,1,0))))))</f>
        <v>3</v>
      </c>
      <c r="V5551" s="328">
        <f>VLOOKUP(C5551,METADATA!$A$5:$H$29,IF(E5551="HI",2,IF(E5551="LO",6,10))+IF(T5551=1,2,IF(D5551=7,1,(IF(WEEKDAY(B5551)=1,2,IF(WEEKDAY(B5551)=7,1,0))))))</f>
        <v>3</v>
      </c>
    </row>
    <row r="5552" spans="2:22">
      <c r="B5552" s="318">
        <f t="shared" si="347"/>
        <v>46344</v>
      </c>
      <c r="C5552" s="312">
        <v>4</v>
      </c>
      <c r="D5552" s="368">
        <f>IFERROR((INDEX(METADATA!$T$2:$T$20,MATCH(B5552,METADATA!$S$2:$S$20,0))),0)</f>
        <v>0</v>
      </c>
      <c r="E5552" s="312" t="str">
        <f t="shared" si="344"/>
        <v>LO</v>
      </c>
      <c r="F5552" s="369">
        <f>VLOOKUP(C5552,METADATA!$A$5:$H$29,IF(E5552="HI",2,IF(E5552="LO",6,10))+IF(D5552=1,2,IF(D5552=7,1,(IF(WEEKDAY(B5552)=1,2,IF(WEEKDAY(B5552)=7,1,0))))))</f>
        <v>3</v>
      </c>
      <c r="G5552" s="369">
        <f>VLOOKUP(C5552,METADATA!$J$5:$Q$29,IF(E5552="HI",2,IF(E5552="LO",6,10))+IF(D5552=1,2,IF(D5552=7,1,(IF(WEEKDAY(B5552)=1,2,IF(WEEKDAY(B5552)=7,1,0))))))</f>
        <v>3</v>
      </c>
      <c r="H5552" s="370">
        <v>13146.550109863281</v>
      </c>
      <c r="I5552" s="370">
        <v>4138.1199645996094</v>
      </c>
      <c r="M5552" s="371">
        <f t="shared" si="345"/>
        <v>13782.445959718621</v>
      </c>
      <c r="N5552" s="329">
        <f t="shared" si="346"/>
        <v>194.15493164062536</v>
      </c>
      <c r="T5552" s="331">
        <v>0</v>
      </c>
      <c r="U5552" s="328">
        <f>VLOOKUP(C5552,METADATA!$J$5:$Q$29,IF(E5552="HI",2,IF(E5552="LO",6,10))+IF(T5552=1,2,IF(D5552=7,1,(IF(WEEKDAY(B5552)=1,2,IF(WEEKDAY(B5552)=7,1,0))))))</f>
        <v>3</v>
      </c>
      <c r="V5552" s="328">
        <f>VLOOKUP(C5552,METADATA!$A$5:$H$29,IF(E5552="HI",2,IF(E5552="LO",6,10))+IF(T5552=1,2,IF(D5552=7,1,(IF(WEEKDAY(B5552)=1,2,IF(WEEKDAY(B5552)=7,1,0))))))</f>
        <v>3</v>
      </c>
    </row>
    <row r="5553" spans="2:22">
      <c r="B5553" s="318">
        <f t="shared" si="347"/>
        <v>46344</v>
      </c>
      <c r="C5553" s="312">
        <v>5</v>
      </c>
      <c r="D5553" s="368">
        <f>IFERROR((INDEX(METADATA!$T$2:$T$20,MATCH(B5553,METADATA!$S$2:$S$20,0))),0)</f>
        <v>0</v>
      </c>
      <c r="E5553" s="312" t="str">
        <f t="shared" si="344"/>
        <v>LO</v>
      </c>
      <c r="F5553" s="369">
        <f>VLOOKUP(C5553,METADATA!$A$5:$H$29,IF(E5553="HI",2,IF(E5553="LO",6,10))+IF(D5553=1,2,IF(D5553=7,1,(IF(WEEKDAY(B5553)=1,2,IF(WEEKDAY(B5553)=7,1,0))))))</f>
        <v>3</v>
      </c>
      <c r="G5553" s="369">
        <f>VLOOKUP(C5553,METADATA!$J$5:$Q$29,IF(E5553="HI",2,IF(E5553="LO",6,10))+IF(D5553=1,2,IF(D5553=7,1,(IF(WEEKDAY(B5553)=1,2,IF(WEEKDAY(B5553)=7,1,0))))))</f>
        <v>3</v>
      </c>
      <c r="H5553" s="370">
        <v>13061.749938964844</v>
      </c>
      <c r="I5553" s="370">
        <v>4064.7849426269531</v>
      </c>
      <c r="M5553" s="371">
        <f t="shared" si="345"/>
        <v>13679.612132580913</v>
      </c>
      <c r="N5553" s="329">
        <f t="shared" si="346"/>
        <v>146.25996093750018</v>
      </c>
      <c r="T5553" s="331">
        <v>0</v>
      </c>
      <c r="U5553" s="328">
        <f>VLOOKUP(C5553,METADATA!$J$5:$Q$29,IF(E5553="HI",2,IF(E5553="LO",6,10))+IF(T5553=1,2,IF(D5553=7,1,(IF(WEEKDAY(B5553)=1,2,IF(WEEKDAY(B5553)=7,1,0))))))</f>
        <v>3</v>
      </c>
      <c r="V5553" s="328">
        <f>VLOOKUP(C5553,METADATA!$A$5:$H$29,IF(E5553="HI",2,IF(E5553="LO",6,10))+IF(T5553=1,2,IF(D5553=7,1,(IF(WEEKDAY(B5553)=1,2,IF(WEEKDAY(B5553)=7,1,0))))))</f>
        <v>3</v>
      </c>
    </row>
    <row r="5554" spans="2:22">
      <c r="B5554" s="318">
        <f t="shared" si="347"/>
        <v>46344</v>
      </c>
      <c r="C5554" s="312">
        <v>6</v>
      </c>
      <c r="D5554" s="368">
        <f>IFERROR((INDEX(METADATA!$T$2:$T$20,MATCH(B5554,METADATA!$S$2:$S$20,0))),0)</f>
        <v>0</v>
      </c>
      <c r="E5554" s="312" t="str">
        <f t="shared" si="344"/>
        <v>LO</v>
      </c>
      <c r="F5554" s="369">
        <f>VLOOKUP(C5554,METADATA!$A$5:$H$29,IF(E5554="HI",2,IF(E5554="LO",6,10))+IF(D5554=1,2,IF(D5554=7,1,(IF(WEEKDAY(B5554)=1,2,IF(WEEKDAY(B5554)=7,1,0))))))</f>
        <v>2</v>
      </c>
      <c r="G5554" s="369">
        <f>VLOOKUP(C5554,METADATA!$J$5:$Q$29,IF(E5554="HI",2,IF(E5554="LO",6,10))+IF(D5554=1,2,IF(D5554=7,1,(IF(WEEKDAY(B5554)=1,2,IF(WEEKDAY(B5554)=7,1,0))))))</f>
        <v>2</v>
      </c>
      <c r="H5554" s="370">
        <v>13036.8251953125</v>
      </c>
      <c r="I5554" s="370">
        <v>4020.909912109375</v>
      </c>
      <c r="M5554" s="371">
        <f t="shared" si="345"/>
        <v>13642.819638712308</v>
      </c>
      <c r="N5554" s="329">
        <f t="shared" si="346"/>
        <v>109.86235351562527</v>
      </c>
      <c r="T5554" s="331">
        <v>0</v>
      </c>
      <c r="U5554" s="328">
        <f>VLOOKUP(C5554,METADATA!$J$5:$Q$29,IF(E5554="HI",2,IF(E5554="LO",6,10))+IF(T5554=1,2,IF(D5554=7,1,(IF(WEEKDAY(B5554)=1,2,IF(WEEKDAY(B5554)=7,1,0))))))</f>
        <v>2</v>
      </c>
      <c r="V5554" s="328">
        <f>VLOOKUP(C5554,METADATA!$A$5:$H$29,IF(E5554="HI",2,IF(E5554="LO",6,10))+IF(T5554=1,2,IF(D5554=7,1,(IF(WEEKDAY(B5554)=1,2,IF(WEEKDAY(B5554)=7,1,0))))))</f>
        <v>2</v>
      </c>
    </row>
    <row r="5555" spans="2:22">
      <c r="B5555" s="318">
        <f t="shared" si="347"/>
        <v>46344</v>
      </c>
      <c r="C5555" s="312">
        <v>7</v>
      </c>
      <c r="D5555" s="368">
        <f>IFERROR((INDEX(METADATA!$T$2:$T$20,MATCH(B5555,METADATA!$S$2:$S$20,0))),0)</f>
        <v>0</v>
      </c>
      <c r="E5555" s="312" t="str">
        <f t="shared" si="344"/>
        <v>LO</v>
      </c>
      <c r="F5555" s="369">
        <f>VLOOKUP(C5555,METADATA!$A$5:$H$29,IF(E5555="HI",2,IF(E5555="LO",6,10))+IF(D5555=1,2,IF(D5555=7,1,(IF(WEEKDAY(B5555)=1,2,IF(WEEKDAY(B5555)=7,1,0))))))</f>
        <v>1</v>
      </c>
      <c r="G5555" s="369">
        <f>VLOOKUP(C5555,METADATA!$J$5:$Q$29,IF(E5555="HI",2,IF(E5555="LO",6,10))+IF(D5555=1,2,IF(D5555=7,1,(IF(WEEKDAY(B5555)=1,2,IF(WEEKDAY(B5555)=7,1,0))))))</f>
        <v>1</v>
      </c>
      <c r="H5555" s="370">
        <v>13133.300170898438</v>
      </c>
      <c r="I5555" s="370">
        <v>4071.469970703125</v>
      </c>
      <c r="M5555" s="371">
        <f t="shared" si="345"/>
        <v>13749.925130751011</v>
      </c>
      <c r="N5555" s="329">
        <f t="shared" si="346"/>
        <v>131.47991943359375</v>
      </c>
      <c r="T5555" s="331">
        <v>0</v>
      </c>
      <c r="U5555" s="328">
        <f>VLOOKUP(C5555,METADATA!$J$5:$Q$29,IF(E5555="HI",2,IF(E5555="LO",6,10))+IF(T5555=1,2,IF(D5555=7,1,(IF(WEEKDAY(B5555)=1,2,IF(WEEKDAY(B5555)=7,1,0))))))</f>
        <v>1</v>
      </c>
      <c r="V5555" s="328">
        <f>VLOOKUP(C5555,METADATA!$A$5:$H$29,IF(E5555="HI",2,IF(E5555="LO",6,10))+IF(T5555=1,2,IF(D5555=7,1,(IF(WEEKDAY(B5555)=1,2,IF(WEEKDAY(B5555)=7,1,0))))))</f>
        <v>1</v>
      </c>
    </row>
    <row r="5556" spans="2:22">
      <c r="B5556" s="318">
        <f t="shared" si="347"/>
        <v>46344</v>
      </c>
      <c r="C5556" s="312">
        <v>8</v>
      </c>
      <c r="D5556" s="368">
        <f>IFERROR((INDEX(METADATA!$T$2:$T$20,MATCH(B5556,METADATA!$S$2:$S$20,0))),0)</f>
        <v>0</v>
      </c>
      <c r="E5556" s="312" t="str">
        <f t="shared" si="344"/>
        <v>LO</v>
      </c>
      <c r="F5556" s="369">
        <f>VLOOKUP(C5556,METADATA!$A$5:$H$29,IF(E5556="HI",2,IF(E5556="LO",6,10))+IF(D5556=1,2,IF(D5556=7,1,(IF(WEEKDAY(B5556)=1,2,IF(WEEKDAY(B5556)=7,1,0))))))</f>
        <v>1</v>
      </c>
      <c r="G5556" s="369">
        <f>VLOOKUP(C5556,METADATA!$J$5:$Q$29,IF(E5556="HI",2,IF(E5556="LO",6,10))+IF(D5556=1,2,IF(D5556=7,1,(IF(WEEKDAY(B5556)=1,2,IF(WEEKDAY(B5556)=7,1,0))))))</f>
        <v>1</v>
      </c>
      <c r="H5556" s="370">
        <v>13117.074951171875</v>
      </c>
      <c r="I5556" s="370">
        <v>4045.2750244140625</v>
      </c>
      <c r="M5556" s="371">
        <f t="shared" si="345"/>
        <v>13726.685881807336</v>
      </c>
      <c r="N5556" s="329">
        <f t="shared" si="346"/>
        <v>110.15253906250018</v>
      </c>
      <c r="T5556" s="331">
        <v>0</v>
      </c>
      <c r="U5556" s="328">
        <f>VLOOKUP(C5556,METADATA!$J$5:$Q$29,IF(E5556="HI",2,IF(E5556="LO",6,10))+IF(T5556=1,2,IF(D5556=7,1,(IF(WEEKDAY(B5556)=1,2,IF(WEEKDAY(B5556)=7,1,0))))))</f>
        <v>1</v>
      </c>
      <c r="V5556" s="328">
        <f>VLOOKUP(C5556,METADATA!$A$5:$H$29,IF(E5556="HI",2,IF(E5556="LO",6,10))+IF(T5556=1,2,IF(D5556=7,1,(IF(WEEKDAY(B5556)=1,2,IF(WEEKDAY(B5556)=7,1,0))))))</f>
        <v>1</v>
      </c>
    </row>
    <row r="5557" spans="2:22">
      <c r="B5557" s="318">
        <f t="shared" si="347"/>
        <v>46344</v>
      </c>
      <c r="C5557" s="312">
        <v>9</v>
      </c>
      <c r="D5557" s="368">
        <f>IFERROR((INDEX(METADATA!$T$2:$T$20,MATCH(B5557,METADATA!$S$2:$S$20,0))),0)</f>
        <v>0</v>
      </c>
      <c r="E5557" s="312" t="str">
        <f t="shared" si="344"/>
        <v>LO</v>
      </c>
      <c r="F5557" s="369">
        <f>VLOOKUP(C5557,METADATA!$A$5:$H$29,IF(E5557="HI",2,IF(E5557="LO",6,10))+IF(D5557=1,2,IF(D5557=7,1,(IF(WEEKDAY(B5557)=1,2,IF(WEEKDAY(B5557)=7,1,0))))))</f>
        <v>2</v>
      </c>
      <c r="G5557" s="369">
        <f>VLOOKUP(C5557,METADATA!$J$5:$Q$29,IF(E5557="HI",2,IF(E5557="LO",6,10))+IF(D5557=1,2,IF(D5557=7,1,(IF(WEEKDAY(B5557)=1,2,IF(WEEKDAY(B5557)=7,1,0))))))</f>
        <v>2</v>
      </c>
      <c r="H5557" s="370">
        <v>12858.974731445313</v>
      </c>
      <c r="I5557" s="370">
        <v>3863.7849426269531</v>
      </c>
      <c r="M5557" s="371">
        <f t="shared" si="345"/>
        <v>13426.915700443637</v>
      </c>
      <c r="N5557" s="329">
        <f t="shared" si="346"/>
        <v>6.0925231933597388</v>
      </c>
      <c r="T5557" s="331">
        <v>0</v>
      </c>
      <c r="U5557" s="328">
        <f>VLOOKUP(C5557,METADATA!$J$5:$Q$29,IF(E5557="HI",2,IF(E5557="LO",6,10))+IF(T5557=1,2,IF(D5557=7,1,(IF(WEEKDAY(B5557)=1,2,IF(WEEKDAY(B5557)=7,1,0))))))</f>
        <v>2</v>
      </c>
      <c r="V5557" s="328">
        <f>VLOOKUP(C5557,METADATA!$A$5:$H$29,IF(E5557="HI",2,IF(E5557="LO",6,10))+IF(T5557=1,2,IF(D5557=7,1,(IF(WEEKDAY(B5557)=1,2,IF(WEEKDAY(B5557)=7,1,0))))))</f>
        <v>2</v>
      </c>
    </row>
    <row r="5558" spans="2:22">
      <c r="B5558" s="318">
        <f t="shared" si="347"/>
        <v>46344</v>
      </c>
      <c r="C5558" s="312">
        <v>10</v>
      </c>
      <c r="D5558" s="368">
        <f>IFERROR((INDEX(METADATA!$T$2:$T$20,MATCH(B5558,METADATA!$S$2:$S$20,0))),0)</f>
        <v>0</v>
      </c>
      <c r="E5558" s="312" t="str">
        <f t="shared" si="344"/>
        <v>LO</v>
      </c>
      <c r="F5558" s="369">
        <f>VLOOKUP(C5558,METADATA!$A$5:$H$29,IF(E5558="HI",2,IF(E5558="LO",6,10))+IF(D5558=1,2,IF(D5558=7,1,(IF(WEEKDAY(B5558)=1,2,IF(WEEKDAY(B5558)=7,1,0))))))</f>
        <v>2</v>
      </c>
      <c r="G5558" s="369">
        <f>VLOOKUP(C5558,METADATA!$J$5:$Q$29,IF(E5558="HI",2,IF(E5558="LO",6,10))+IF(D5558=1,2,IF(D5558=7,1,(IF(WEEKDAY(B5558)=1,2,IF(WEEKDAY(B5558)=7,1,0))))))</f>
        <v>2</v>
      </c>
      <c r="H5558" s="370">
        <v>11612.874816894531</v>
      </c>
      <c r="I5558" s="370">
        <v>3057.3600463867188</v>
      </c>
      <c r="M5558" s="371">
        <f t="shared" si="345"/>
        <v>12008.593255086334</v>
      </c>
      <c r="N5558" s="329">
        <f t="shared" si="346"/>
        <v>0</v>
      </c>
      <c r="T5558" s="331">
        <v>0</v>
      </c>
      <c r="U5558" s="328">
        <f>VLOOKUP(C5558,METADATA!$J$5:$Q$29,IF(E5558="HI",2,IF(E5558="LO",6,10))+IF(T5558=1,2,IF(D5558=7,1,(IF(WEEKDAY(B5558)=1,2,IF(WEEKDAY(B5558)=7,1,0))))))</f>
        <v>2</v>
      </c>
      <c r="V5558" s="328">
        <f>VLOOKUP(C5558,METADATA!$A$5:$H$29,IF(E5558="HI",2,IF(E5558="LO",6,10))+IF(T5558=1,2,IF(D5558=7,1,(IF(WEEKDAY(B5558)=1,2,IF(WEEKDAY(B5558)=7,1,0))))))</f>
        <v>2</v>
      </c>
    </row>
    <row r="5559" spans="2:22">
      <c r="B5559" s="318">
        <f t="shared" si="347"/>
        <v>46344</v>
      </c>
      <c r="C5559" s="312">
        <v>11</v>
      </c>
      <c r="D5559" s="368">
        <f>IFERROR((INDEX(METADATA!$T$2:$T$20,MATCH(B5559,METADATA!$S$2:$S$20,0))),0)</f>
        <v>0</v>
      </c>
      <c r="E5559" s="312" t="str">
        <f t="shared" si="344"/>
        <v>LO</v>
      </c>
      <c r="F5559" s="369">
        <f>VLOOKUP(C5559,METADATA!$A$5:$H$29,IF(E5559="HI",2,IF(E5559="LO",6,10))+IF(D5559=1,2,IF(D5559=7,1,(IF(WEEKDAY(B5559)=1,2,IF(WEEKDAY(B5559)=7,1,0))))))</f>
        <v>2</v>
      </c>
      <c r="G5559" s="369">
        <f>VLOOKUP(C5559,METADATA!$J$5:$Q$29,IF(E5559="HI",2,IF(E5559="LO",6,10))+IF(D5559=1,2,IF(D5559=7,1,(IF(WEEKDAY(B5559)=1,2,IF(WEEKDAY(B5559)=7,1,0))))))</f>
        <v>2</v>
      </c>
      <c r="H5559" s="370">
        <v>13318.5</v>
      </c>
      <c r="I5559" s="370">
        <v>3941.4799499511719</v>
      </c>
      <c r="M5559" s="371">
        <f t="shared" si="345"/>
        <v>13889.481863837365</v>
      </c>
      <c r="N5559" s="329">
        <f t="shared" si="346"/>
        <v>0</v>
      </c>
      <c r="T5559" s="331">
        <v>0</v>
      </c>
      <c r="U5559" s="328">
        <f>VLOOKUP(C5559,METADATA!$J$5:$Q$29,IF(E5559="HI",2,IF(E5559="LO",6,10))+IF(T5559=1,2,IF(D5559=7,1,(IF(WEEKDAY(B5559)=1,2,IF(WEEKDAY(B5559)=7,1,0))))))</f>
        <v>2</v>
      </c>
      <c r="V5559" s="328">
        <f>VLOOKUP(C5559,METADATA!$A$5:$H$29,IF(E5559="HI",2,IF(E5559="LO",6,10))+IF(T5559=1,2,IF(D5559=7,1,(IF(WEEKDAY(B5559)=1,2,IF(WEEKDAY(B5559)=7,1,0))))))</f>
        <v>2</v>
      </c>
    </row>
    <row r="5560" spans="2:22">
      <c r="B5560" s="318">
        <f t="shared" si="347"/>
        <v>46344</v>
      </c>
      <c r="C5560" s="312">
        <v>12</v>
      </c>
      <c r="D5560" s="368">
        <f>IFERROR((INDEX(METADATA!$T$2:$T$20,MATCH(B5560,METADATA!$S$2:$S$20,0))),0)</f>
        <v>0</v>
      </c>
      <c r="E5560" s="312" t="str">
        <f t="shared" si="344"/>
        <v>LO</v>
      </c>
      <c r="F5560" s="369">
        <f>VLOOKUP(C5560,METADATA!$A$5:$H$29,IF(E5560="HI",2,IF(E5560="LO",6,10))+IF(D5560=1,2,IF(D5560=7,1,(IF(WEEKDAY(B5560)=1,2,IF(WEEKDAY(B5560)=7,1,0))))))</f>
        <v>2</v>
      </c>
      <c r="G5560" s="369">
        <f>VLOOKUP(C5560,METADATA!$J$5:$Q$29,IF(E5560="HI",2,IF(E5560="LO",6,10))+IF(D5560=1,2,IF(D5560=7,1,(IF(WEEKDAY(B5560)=1,2,IF(WEEKDAY(B5560)=7,1,0))))))</f>
        <v>2</v>
      </c>
      <c r="H5560" s="370">
        <v>13455.674743652344</v>
      </c>
      <c r="I5560" s="370">
        <v>4052.9699401855469</v>
      </c>
      <c r="M5560" s="371">
        <f t="shared" si="345"/>
        <v>14052.819935621861</v>
      </c>
      <c r="N5560" s="329">
        <f t="shared" si="346"/>
        <v>16.26751708984375</v>
      </c>
      <c r="T5560" s="331">
        <v>0</v>
      </c>
      <c r="U5560" s="328">
        <f>VLOOKUP(C5560,METADATA!$J$5:$Q$29,IF(E5560="HI",2,IF(E5560="LO",6,10))+IF(T5560=1,2,IF(D5560=7,1,(IF(WEEKDAY(B5560)=1,2,IF(WEEKDAY(B5560)=7,1,0))))))</f>
        <v>2</v>
      </c>
      <c r="V5560" s="328">
        <f>VLOOKUP(C5560,METADATA!$A$5:$H$29,IF(E5560="HI",2,IF(E5560="LO",6,10))+IF(T5560=1,2,IF(D5560=7,1,(IF(WEEKDAY(B5560)=1,2,IF(WEEKDAY(B5560)=7,1,0))))))</f>
        <v>2</v>
      </c>
    </row>
    <row r="5561" spans="2:22">
      <c r="B5561" s="318">
        <f t="shared" si="347"/>
        <v>46344</v>
      </c>
      <c r="C5561" s="312">
        <v>13</v>
      </c>
      <c r="D5561" s="368">
        <f>IFERROR((INDEX(METADATA!$T$2:$T$20,MATCH(B5561,METADATA!$S$2:$S$20,0))),0)</f>
        <v>0</v>
      </c>
      <c r="E5561" s="312" t="str">
        <f t="shared" si="344"/>
        <v>LO</v>
      </c>
      <c r="F5561" s="369">
        <f>VLOOKUP(C5561,METADATA!$A$5:$H$29,IF(E5561="HI",2,IF(E5561="LO",6,10))+IF(D5561=1,2,IF(D5561=7,1,(IF(WEEKDAY(B5561)=1,2,IF(WEEKDAY(B5561)=7,1,0))))))</f>
        <v>2</v>
      </c>
      <c r="G5561" s="369">
        <f>VLOOKUP(C5561,METADATA!$J$5:$Q$29,IF(E5561="HI",2,IF(E5561="LO",6,10))+IF(D5561=1,2,IF(D5561=7,1,(IF(WEEKDAY(B5561)=1,2,IF(WEEKDAY(B5561)=7,1,0))))))</f>
        <v>2</v>
      </c>
      <c r="H5561" s="370">
        <v>13443.925231933594</v>
      </c>
      <c r="I5561" s="370">
        <v>4078.97998046875</v>
      </c>
      <c r="M5561" s="371">
        <f t="shared" si="345"/>
        <v>14049.099733537576</v>
      </c>
      <c r="N5561" s="329">
        <f t="shared" si="346"/>
        <v>45.802410888672057</v>
      </c>
      <c r="T5561" s="331">
        <v>0</v>
      </c>
      <c r="U5561" s="328">
        <f>VLOOKUP(C5561,METADATA!$J$5:$Q$29,IF(E5561="HI",2,IF(E5561="LO",6,10))+IF(T5561=1,2,IF(D5561=7,1,(IF(WEEKDAY(B5561)=1,2,IF(WEEKDAY(B5561)=7,1,0))))))</f>
        <v>2</v>
      </c>
      <c r="V5561" s="328">
        <f>VLOOKUP(C5561,METADATA!$A$5:$H$29,IF(E5561="HI",2,IF(E5561="LO",6,10))+IF(T5561=1,2,IF(D5561=7,1,(IF(WEEKDAY(B5561)=1,2,IF(WEEKDAY(B5561)=7,1,0))))))</f>
        <v>2</v>
      </c>
    </row>
    <row r="5562" spans="2:22">
      <c r="B5562" s="318">
        <f t="shared" si="347"/>
        <v>46344</v>
      </c>
      <c r="C5562" s="312">
        <v>14</v>
      </c>
      <c r="D5562" s="368">
        <f>IFERROR((INDEX(METADATA!$T$2:$T$20,MATCH(B5562,METADATA!$S$2:$S$20,0))),0)</f>
        <v>0</v>
      </c>
      <c r="E5562" s="312" t="str">
        <f t="shared" si="344"/>
        <v>LO</v>
      </c>
      <c r="F5562" s="369">
        <f>VLOOKUP(C5562,METADATA!$A$5:$H$29,IF(E5562="HI",2,IF(E5562="LO",6,10))+IF(D5562=1,2,IF(D5562=7,1,(IF(WEEKDAY(B5562)=1,2,IF(WEEKDAY(B5562)=7,1,0))))))</f>
        <v>2</v>
      </c>
      <c r="G5562" s="369">
        <f>VLOOKUP(C5562,METADATA!$J$5:$Q$29,IF(E5562="HI",2,IF(E5562="LO",6,10))+IF(D5562=1,2,IF(D5562=7,1,(IF(WEEKDAY(B5562)=1,2,IF(WEEKDAY(B5562)=7,1,0))))))</f>
        <v>2</v>
      </c>
      <c r="H5562" s="370">
        <v>13505.274719238281</v>
      </c>
      <c r="I5562" s="370">
        <v>4121.7800598144531</v>
      </c>
      <c r="M5562" s="371">
        <f t="shared" si="345"/>
        <v>14120.251984422255</v>
      </c>
      <c r="N5562" s="329">
        <f t="shared" si="346"/>
        <v>70.197644042968932</v>
      </c>
      <c r="T5562" s="331">
        <v>0</v>
      </c>
      <c r="U5562" s="328">
        <f>VLOOKUP(C5562,METADATA!$J$5:$Q$29,IF(E5562="HI",2,IF(E5562="LO",6,10))+IF(T5562=1,2,IF(D5562=7,1,(IF(WEEKDAY(B5562)=1,2,IF(WEEKDAY(B5562)=7,1,0))))))</f>
        <v>2</v>
      </c>
      <c r="V5562" s="328">
        <f>VLOOKUP(C5562,METADATA!$A$5:$H$29,IF(E5562="HI",2,IF(E5562="LO",6,10))+IF(T5562=1,2,IF(D5562=7,1,(IF(WEEKDAY(B5562)=1,2,IF(WEEKDAY(B5562)=7,1,0))))))</f>
        <v>2</v>
      </c>
    </row>
    <row r="5563" spans="2:22">
      <c r="B5563" s="318">
        <f t="shared" si="347"/>
        <v>46344</v>
      </c>
      <c r="C5563" s="312">
        <v>15</v>
      </c>
      <c r="D5563" s="368">
        <f>IFERROR((INDEX(METADATA!$T$2:$T$20,MATCH(B5563,METADATA!$S$2:$S$20,0))),0)</f>
        <v>0</v>
      </c>
      <c r="E5563" s="312" t="str">
        <f t="shared" si="344"/>
        <v>LO</v>
      </c>
      <c r="F5563" s="369">
        <f>VLOOKUP(C5563,METADATA!$A$5:$H$29,IF(E5563="HI",2,IF(E5563="LO",6,10))+IF(D5563=1,2,IF(D5563=7,1,(IF(WEEKDAY(B5563)=1,2,IF(WEEKDAY(B5563)=7,1,0))))))</f>
        <v>2</v>
      </c>
      <c r="G5563" s="369">
        <f>VLOOKUP(C5563,METADATA!$J$5:$Q$29,IF(E5563="HI",2,IF(E5563="LO",6,10))+IF(D5563=1,2,IF(D5563=7,1,(IF(WEEKDAY(B5563)=1,2,IF(WEEKDAY(B5563)=7,1,0))))))</f>
        <v>2</v>
      </c>
      <c r="H5563" s="370">
        <v>13672.099975585938</v>
      </c>
      <c r="I5563" s="370">
        <v>4075.2449340820313</v>
      </c>
      <c r="M5563" s="371">
        <f t="shared" si="345"/>
        <v>14266.532129959902</v>
      </c>
      <c r="N5563" s="329">
        <f t="shared" si="346"/>
        <v>0</v>
      </c>
      <c r="T5563" s="331">
        <v>0</v>
      </c>
      <c r="U5563" s="328">
        <f>VLOOKUP(C5563,METADATA!$J$5:$Q$29,IF(E5563="HI",2,IF(E5563="LO",6,10))+IF(T5563=1,2,IF(D5563=7,1,(IF(WEEKDAY(B5563)=1,2,IF(WEEKDAY(B5563)=7,1,0))))))</f>
        <v>2</v>
      </c>
      <c r="V5563" s="328">
        <f>VLOOKUP(C5563,METADATA!$A$5:$H$29,IF(E5563="HI",2,IF(E5563="LO",6,10))+IF(T5563=1,2,IF(D5563=7,1,(IF(WEEKDAY(B5563)=1,2,IF(WEEKDAY(B5563)=7,1,0))))))</f>
        <v>2</v>
      </c>
    </row>
    <row r="5564" spans="2:22">
      <c r="B5564" s="318">
        <f t="shared" si="347"/>
        <v>46344</v>
      </c>
      <c r="C5564" s="312">
        <v>16</v>
      </c>
      <c r="D5564" s="368">
        <f>IFERROR((INDEX(METADATA!$T$2:$T$20,MATCH(B5564,METADATA!$S$2:$S$20,0))),0)</f>
        <v>0</v>
      </c>
      <c r="E5564" s="312" t="str">
        <f t="shared" si="344"/>
        <v>LO</v>
      </c>
      <c r="F5564" s="369">
        <f>VLOOKUP(C5564,METADATA!$A$5:$H$29,IF(E5564="HI",2,IF(E5564="LO",6,10))+IF(D5564=1,2,IF(D5564=7,1,(IF(WEEKDAY(B5564)=1,2,IF(WEEKDAY(B5564)=7,1,0))))))</f>
        <v>2</v>
      </c>
      <c r="G5564" s="369">
        <f>VLOOKUP(C5564,METADATA!$J$5:$Q$29,IF(E5564="HI",2,IF(E5564="LO",6,10))+IF(D5564=1,2,IF(D5564=7,1,(IF(WEEKDAY(B5564)=1,2,IF(WEEKDAY(B5564)=7,1,0))))))</f>
        <v>2</v>
      </c>
      <c r="H5564" s="370">
        <v>12530.475341796875</v>
      </c>
      <c r="I5564" s="370">
        <v>3457.4150238037109</v>
      </c>
      <c r="M5564" s="371">
        <f t="shared" si="345"/>
        <v>12998.712664652725</v>
      </c>
      <c r="N5564" s="329">
        <f t="shared" si="346"/>
        <v>0</v>
      </c>
      <c r="T5564" s="331">
        <v>0</v>
      </c>
      <c r="U5564" s="328">
        <f>VLOOKUP(C5564,METADATA!$J$5:$Q$29,IF(E5564="HI",2,IF(E5564="LO",6,10))+IF(T5564=1,2,IF(D5564=7,1,(IF(WEEKDAY(B5564)=1,2,IF(WEEKDAY(B5564)=7,1,0))))))</f>
        <v>2</v>
      </c>
      <c r="V5564" s="328">
        <f>VLOOKUP(C5564,METADATA!$A$5:$H$29,IF(E5564="HI",2,IF(E5564="LO",6,10))+IF(T5564=1,2,IF(D5564=7,1,(IF(WEEKDAY(B5564)=1,2,IF(WEEKDAY(B5564)=7,1,0))))))</f>
        <v>2</v>
      </c>
    </row>
    <row r="5565" spans="2:22">
      <c r="B5565" s="318">
        <f t="shared" si="347"/>
        <v>46344</v>
      </c>
      <c r="C5565" s="312">
        <v>17</v>
      </c>
      <c r="D5565" s="368">
        <f>IFERROR((INDEX(METADATA!$T$2:$T$20,MATCH(B5565,METADATA!$S$2:$S$20,0))),0)</f>
        <v>0</v>
      </c>
      <c r="E5565" s="312" t="str">
        <f t="shared" si="344"/>
        <v>LO</v>
      </c>
      <c r="F5565" s="369">
        <f>VLOOKUP(C5565,METADATA!$A$5:$H$29,IF(E5565="HI",2,IF(E5565="LO",6,10))+IF(D5565=1,2,IF(D5565=7,1,(IF(WEEKDAY(B5565)=1,2,IF(WEEKDAY(B5565)=7,1,0))))))</f>
        <v>2</v>
      </c>
      <c r="G5565" s="369">
        <f>VLOOKUP(C5565,METADATA!$J$5:$Q$29,IF(E5565="HI",2,IF(E5565="LO",6,10))+IF(D5565=1,2,IF(D5565=7,1,(IF(WEEKDAY(B5565)=1,2,IF(WEEKDAY(B5565)=7,1,0))))))</f>
        <v>2</v>
      </c>
      <c r="H5565" s="370">
        <v>13187.650024414063</v>
      </c>
      <c r="I5565" s="370">
        <v>3887.1599273681641</v>
      </c>
      <c r="M5565" s="371">
        <f t="shared" si="345"/>
        <v>13748.604491633509</v>
      </c>
      <c r="N5565" s="329">
        <f t="shared" si="346"/>
        <v>0</v>
      </c>
      <c r="T5565" s="331">
        <v>0</v>
      </c>
      <c r="U5565" s="328">
        <f>VLOOKUP(C5565,METADATA!$J$5:$Q$29,IF(E5565="HI",2,IF(E5565="LO",6,10))+IF(T5565=1,2,IF(D5565=7,1,(IF(WEEKDAY(B5565)=1,2,IF(WEEKDAY(B5565)=7,1,0))))))</f>
        <v>2</v>
      </c>
      <c r="V5565" s="328">
        <f>VLOOKUP(C5565,METADATA!$A$5:$H$29,IF(E5565="HI",2,IF(E5565="LO",6,10))+IF(T5565=1,2,IF(D5565=7,1,(IF(WEEKDAY(B5565)=1,2,IF(WEEKDAY(B5565)=7,1,0))))))</f>
        <v>2</v>
      </c>
    </row>
    <row r="5566" spans="2:22">
      <c r="B5566" s="318">
        <f t="shared" si="347"/>
        <v>46344</v>
      </c>
      <c r="C5566" s="312">
        <v>18</v>
      </c>
      <c r="D5566" s="368">
        <f>IFERROR((INDEX(METADATA!$T$2:$T$20,MATCH(B5566,METADATA!$S$2:$S$20,0))),0)</f>
        <v>0</v>
      </c>
      <c r="E5566" s="312" t="str">
        <f t="shared" si="344"/>
        <v>LO</v>
      </c>
      <c r="F5566" s="369">
        <f>VLOOKUP(C5566,METADATA!$A$5:$H$29,IF(E5566="HI",2,IF(E5566="LO",6,10))+IF(D5566=1,2,IF(D5566=7,1,(IF(WEEKDAY(B5566)=1,2,IF(WEEKDAY(B5566)=7,1,0))))))</f>
        <v>1</v>
      </c>
      <c r="G5566" s="369">
        <f>VLOOKUP(C5566,METADATA!$J$5:$Q$29,IF(E5566="HI",2,IF(E5566="LO",6,10))+IF(D5566=1,2,IF(D5566=7,1,(IF(WEEKDAY(B5566)=1,2,IF(WEEKDAY(B5566)=7,1,0))))))</f>
        <v>1</v>
      </c>
      <c r="H5566" s="370">
        <v>13504.524780273438</v>
      </c>
      <c r="I5566" s="370">
        <v>4056.52490234375</v>
      </c>
      <c r="M5566" s="371">
        <f t="shared" si="345"/>
        <v>14100.623526084026</v>
      </c>
      <c r="N5566" s="329">
        <f t="shared" si="346"/>
        <v>5.1674682617190228</v>
      </c>
      <c r="T5566" s="331">
        <v>0</v>
      </c>
      <c r="U5566" s="328">
        <f>VLOOKUP(C5566,METADATA!$J$5:$Q$29,IF(E5566="HI",2,IF(E5566="LO",6,10))+IF(T5566=1,2,IF(D5566=7,1,(IF(WEEKDAY(B5566)=1,2,IF(WEEKDAY(B5566)=7,1,0))))))</f>
        <v>1</v>
      </c>
      <c r="V5566" s="328">
        <f>VLOOKUP(C5566,METADATA!$A$5:$H$29,IF(E5566="HI",2,IF(E5566="LO",6,10))+IF(T5566=1,2,IF(D5566=7,1,(IF(WEEKDAY(B5566)=1,2,IF(WEEKDAY(B5566)=7,1,0))))))</f>
        <v>1</v>
      </c>
    </row>
    <row r="5567" spans="2:22">
      <c r="B5567" s="318">
        <f t="shared" si="347"/>
        <v>46344</v>
      </c>
      <c r="C5567" s="312">
        <v>19</v>
      </c>
      <c r="D5567" s="368">
        <f>IFERROR((INDEX(METADATA!$T$2:$T$20,MATCH(B5567,METADATA!$S$2:$S$20,0))),0)</f>
        <v>0</v>
      </c>
      <c r="E5567" s="312" t="str">
        <f t="shared" si="344"/>
        <v>LO</v>
      </c>
      <c r="F5567" s="369">
        <f>VLOOKUP(C5567,METADATA!$A$5:$H$29,IF(E5567="HI",2,IF(E5567="LO",6,10))+IF(D5567=1,2,IF(D5567=7,1,(IF(WEEKDAY(B5567)=1,2,IF(WEEKDAY(B5567)=7,1,0))))))</f>
        <v>1</v>
      </c>
      <c r="G5567" s="369">
        <f>VLOOKUP(C5567,METADATA!$J$5:$Q$29,IF(E5567="HI",2,IF(E5567="LO",6,10))+IF(D5567=1,2,IF(D5567=7,1,(IF(WEEKDAY(B5567)=1,2,IF(WEEKDAY(B5567)=7,1,0))))))</f>
        <v>1</v>
      </c>
      <c r="H5567" s="370">
        <v>13335.425170898438</v>
      </c>
      <c r="I5567" s="370">
        <v>3908.4399719238281</v>
      </c>
      <c r="M5567" s="371">
        <f t="shared" si="345"/>
        <v>13896.383252586391</v>
      </c>
      <c r="N5567" s="329">
        <f t="shared" si="346"/>
        <v>0</v>
      </c>
      <c r="T5567" s="331">
        <v>0</v>
      </c>
      <c r="U5567" s="328">
        <f>VLOOKUP(C5567,METADATA!$J$5:$Q$29,IF(E5567="HI",2,IF(E5567="LO",6,10))+IF(T5567=1,2,IF(D5567=7,1,(IF(WEEKDAY(B5567)=1,2,IF(WEEKDAY(B5567)=7,1,0))))))</f>
        <v>1</v>
      </c>
      <c r="V5567" s="328">
        <f>VLOOKUP(C5567,METADATA!$A$5:$H$29,IF(E5567="HI",2,IF(E5567="LO",6,10))+IF(T5567=1,2,IF(D5567=7,1,(IF(WEEKDAY(B5567)=1,2,IF(WEEKDAY(B5567)=7,1,0))))))</f>
        <v>1</v>
      </c>
    </row>
    <row r="5568" spans="2:22">
      <c r="B5568" s="318">
        <f t="shared" si="347"/>
        <v>46344</v>
      </c>
      <c r="C5568" s="312">
        <v>20</v>
      </c>
      <c r="D5568" s="368">
        <f>IFERROR((INDEX(METADATA!$T$2:$T$20,MATCH(B5568,METADATA!$S$2:$S$20,0))),0)</f>
        <v>0</v>
      </c>
      <c r="E5568" s="312" t="str">
        <f t="shared" si="344"/>
        <v>LO</v>
      </c>
      <c r="F5568" s="369">
        <f>VLOOKUP(C5568,METADATA!$A$5:$H$29,IF(E5568="HI",2,IF(E5568="LO",6,10))+IF(D5568=1,2,IF(D5568=7,1,(IF(WEEKDAY(B5568)=1,2,IF(WEEKDAY(B5568)=7,1,0))))))</f>
        <v>1</v>
      </c>
      <c r="G5568" s="369">
        <f>VLOOKUP(C5568,METADATA!$J$5:$Q$29,IF(E5568="HI",2,IF(E5568="LO",6,10))+IF(D5568=1,2,IF(D5568=7,1,(IF(WEEKDAY(B5568)=1,2,IF(WEEKDAY(B5568)=7,1,0))))))</f>
        <v>1</v>
      </c>
      <c r="H5568" s="370">
        <v>13057.000183105469</v>
      </c>
      <c r="I5568" s="370">
        <v>3901.0300750732422</v>
      </c>
      <c r="M5568" s="371">
        <f t="shared" si="345"/>
        <v>13627.299418015375</v>
      </c>
      <c r="N5568" s="329">
        <f t="shared" si="346"/>
        <v>0</v>
      </c>
      <c r="T5568" s="331">
        <v>0</v>
      </c>
      <c r="U5568" s="328">
        <f>VLOOKUP(C5568,METADATA!$J$5:$Q$29,IF(E5568="HI",2,IF(E5568="LO",6,10))+IF(T5568=1,2,IF(D5568=7,1,(IF(WEEKDAY(B5568)=1,2,IF(WEEKDAY(B5568)=7,1,0))))))</f>
        <v>1</v>
      </c>
      <c r="V5568" s="328">
        <f>VLOOKUP(C5568,METADATA!$A$5:$H$29,IF(E5568="HI",2,IF(E5568="LO",6,10))+IF(T5568=1,2,IF(D5568=7,1,(IF(WEEKDAY(B5568)=1,2,IF(WEEKDAY(B5568)=7,1,0))))))</f>
        <v>1</v>
      </c>
    </row>
    <row r="5569" spans="2:22">
      <c r="B5569" s="318">
        <f t="shared" si="347"/>
        <v>46344</v>
      </c>
      <c r="C5569" s="312">
        <v>21</v>
      </c>
      <c r="D5569" s="368">
        <f>IFERROR((INDEX(METADATA!$T$2:$T$20,MATCH(B5569,METADATA!$S$2:$S$20,0))),0)</f>
        <v>0</v>
      </c>
      <c r="E5569" s="312" t="str">
        <f t="shared" si="344"/>
        <v>LO</v>
      </c>
      <c r="F5569" s="369">
        <f>VLOOKUP(C5569,METADATA!$A$5:$H$29,IF(E5569="HI",2,IF(E5569="LO",6,10))+IF(D5569=1,2,IF(D5569=7,1,(IF(WEEKDAY(B5569)=1,2,IF(WEEKDAY(B5569)=7,1,0))))))</f>
        <v>2</v>
      </c>
      <c r="G5569" s="369">
        <f>VLOOKUP(C5569,METADATA!$J$5:$Q$29,IF(E5569="HI",2,IF(E5569="LO",6,10))+IF(D5569=1,2,IF(D5569=7,1,(IF(WEEKDAY(B5569)=1,2,IF(WEEKDAY(B5569)=7,1,0))))))</f>
        <v>2</v>
      </c>
      <c r="H5569" s="370">
        <v>13061.800109863281</v>
      </c>
      <c r="I5569" s="370">
        <v>3889.4649658203125</v>
      </c>
      <c r="M5569" s="371">
        <f t="shared" si="345"/>
        <v>13628.59346485792</v>
      </c>
      <c r="N5569" s="329">
        <f t="shared" si="346"/>
        <v>0</v>
      </c>
      <c r="T5569" s="331">
        <v>0</v>
      </c>
      <c r="U5569" s="328">
        <f>VLOOKUP(C5569,METADATA!$J$5:$Q$29,IF(E5569="HI",2,IF(E5569="LO",6,10))+IF(T5569=1,2,IF(D5569=7,1,(IF(WEEKDAY(B5569)=1,2,IF(WEEKDAY(B5569)=7,1,0))))))</f>
        <v>2</v>
      </c>
      <c r="V5569" s="328">
        <f>VLOOKUP(C5569,METADATA!$A$5:$H$29,IF(E5569="HI",2,IF(E5569="LO",6,10))+IF(T5569=1,2,IF(D5569=7,1,(IF(WEEKDAY(B5569)=1,2,IF(WEEKDAY(B5569)=7,1,0))))))</f>
        <v>2</v>
      </c>
    </row>
    <row r="5570" spans="2:22">
      <c r="B5570" s="318">
        <f t="shared" si="347"/>
        <v>46344</v>
      </c>
      <c r="C5570" s="312">
        <v>22</v>
      </c>
      <c r="D5570" s="368">
        <f>IFERROR((INDEX(METADATA!$T$2:$T$20,MATCH(B5570,METADATA!$S$2:$S$20,0))),0)</f>
        <v>0</v>
      </c>
      <c r="E5570" s="312" t="str">
        <f t="shared" si="344"/>
        <v>LO</v>
      </c>
      <c r="F5570" s="369">
        <f>VLOOKUP(C5570,METADATA!$A$5:$H$29,IF(E5570="HI",2,IF(E5570="LO",6,10))+IF(D5570=1,2,IF(D5570=7,1,(IF(WEEKDAY(B5570)=1,2,IF(WEEKDAY(B5570)=7,1,0))))))</f>
        <v>3</v>
      </c>
      <c r="G5570" s="369">
        <f>VLOOKUP(C5570,METADATA!$J$5:$Q$29,IF(E5570="HI",2,IF(E5570="LO",6,10))+IF(D5570=1,2,IF(D5570=7,1,(IF(WEEKDAY(B5570)=1,2,IF(WEEKDAY(B5570)=7,1,0))))))</f>
        <v>3</v>
      </c>
      <c r="H5570" s="370">
        <v>13194.89990234375</v>
      </c>
      <c r="I5570" s="370">
        <v>4024.614990234375</v>
      </c>
      <c r="M5570" s="371">
        <f t="shared" si="345"/>
        <v>13795.032049708705</v>
      </c>
      <c r="N5570" s="329">
        <f t="shared" si="346"/>
        <v>66.14501953125</v>
      </c>
      <c r="T5570" s="331">
        <v>0</v>
      </c>
      <c r="U5570" s="328">
        <f>VLOOKUP(C5570,METADATA!$J$5:$Q$29,IF(E5570="HI",2,IF(E5570="LO",6,10))+IF(T5570=1,2,IF(D5570=7,1,(IF(WEEKDAY(B5570)=1,2,IF(WEEKDAY(B5570)=7,1,0))))))</f>
        <v>3</v>
      </c>
      <c r="V5570" s="328">
        <f>VLOOKUP(C5570,METADATA!$A$5:$H$29,IF(E5570="HI",2,IF(E5570="LO",6,10))+IF(T5570=1,2,IF(D5570=7,1,(IF(WEEKDAY(B5570)=1,2,IF(WEEKDAY(B5570)=7,1,0))))))</f>
        <v>3</v>
      </c>
    </row>
    <row r="5571" spans="2:22">
      <c r="B5571" s="318">
        <f t="shared" si="347"/>
        <v>46344</v>
      </c>
      <c r="C5571" s="312">
        <v>23</v>
      </c>
      <c r="D5571" s="368">
        <f>IFERROR((INDEX(METADATA!$T$2:$T$20,MATCH(B5571,METADATA!$S$2:$S$20,0))),0)</f>
        <v>0</v>
      </c>
      <c r="E5571" s="312" t="str">
        <f t="shared" si="344"/>
        <v>LO</v>
      </c>
      <c r="F5571" s="369">
        <f>VLOOKUP(C5571,METADATA!$A$5:$H$29,IF(E5571="HI",2,IF(E5571="LO",6,10))+IF(D5571=1,2,IF(D5571=7,1,(IF(WEEKDAY(B5571)=1,2,IF(WEEKDAY(B5571)=7,1,0))))))</f>
        <v>3</v>
      </c>
      <c r="G5571" s="369">
        <f>VLOOKUP(C5571,METADATA!$J$5:$Q$29,IF(E5571="HI",2,IF(E5571="LO",6,10))+IF(D5571=1,2,IF(D5571=7,1,(IF(WEEKDAY(B5571)=1,2,IF(WEEKDAY(B5571)=7,1,0))))))</f>
        <v>3</v>
      </c>
      <c r="H5571" s="370">
        <v>13102.825073242188</v>
      </c>
      <c r="I5571" s="370">
        <v>4020.7549438476563</v>
      </c>
      <c r="M5571" s="371">
        <f t="shared" si="345"/>
        <v>13705.85623806333</v>
      </c>
      <c r="N5571" s="329">
        <f t="shared" si="346"/>
        <v>89.907421875000182</v>
      </c>
      <c r="T5571" s="331">
        <v>0</v>
      </c>
      <c r="U5571" s="328">
        <f>VLOOKUP(C5571,METADATA!$J$5:$Q$29,IF(E5571="HI",2,IF(E5571="LO",6,10))+IF(T5571=1,2,IF(D5571=7,1,(IF(WEEKDAY(B5571)=1,2,IF(WEEKDAY(B5571)=7,1,0))))))</f>
        <v>3</v>
      </c>
      <c r="V5571" s="328">
        <f>VLOOKUP(C5571,METADATA!$A$5:$H$29,IF(E5571="HI",2,IF(E5571="LO",6,10))+IF(T5571=1,2,IF(D5571=7,1,(IF(WEEKDAY(B5571)=1,2,IF(WEEKDAY(B5571)=7,1,0))))))</f>
        <v>3</v>
      </c>
    </row>
    <row r="5572" spans="2:22">
      <c r="B5572" s="318">
        <f t="shared" si="347"/>
        <v>46345</v>
      </c>
      <c r="C5572" s="312">
        <v>0</v>
      </c>
      <c r="D5572" s="368">
        <f>IFERROR((INDEX(METADATA!$T$2:$T$20,MATCH(B5572,METADATA!$S$2:$S$20,0))),0)</f>
        <v>0</v>
      </c>
      <c r="E5572" s="312" t="str">
        <f t="shared" ref="E5572:E5635" si="348">IF(B5572="","",IF(AND(MONTH(B5572)&gt;=MONTH($Z$9),MONTH(B5572)&lt;=MONTH($Z$11)),"HI","LO"))</f>
        <v>LO</v>
      </c>
      <c r="F5572" s="369">
        <f>VLOOKUP(C5572,METADATA!$A$5:$H$29,IF(E5572="HI",2,IF(E5572="LO",6,10))+IF(D5572=1,2,IF(D5572=7,1,(IF(WEEKDAY(B5572)=1,2,IF(WEEKDAY(B5572)=7,1,0))))))</f>
        <v>3</v>
      </c>
      <c r="G5572" s="369">
        <f>VLOOKUP(C5572,METADATA!$J$5:$Q$29,IF(E5572="HI",2,IF(E5572="LO",6,10))+IF(D5572=1,2,IF(D5572=7,1,(IF(WEEKDAY(B5572)=1,2,IF(WEEKDAY(B5572)=7,1,0))))))</f>
        <v>3</v>
      </c>
      <c r="H5572" s="370">
        <v>13025.849609375</v>
      </c>
      <c r="I5572" s="370">
        <v>4013.0151062011719</v>
      </c>
      <c r="M5572" s="371">
        <f t="shared" ref="M5572:M5635" si="349">SQRT(H5572^2+I5572^2)</f>
        <v>13630.005439788116</v>
      </c>
      <c r="N5572" s="329">
        <f t="shared" ref="N5572:N5635" si="350">IF(H5572=0,0,(IF(I5572-(0.3*H5572)&lt;0,0,(I5572-(0.3*H5572)))))</f>
        <v>105.26022338867188</v>
      </c>
      <c r="T5572" s="331">
        <v>0</v>
      </c>
      <c r="U5572" s="328">
        <f>VLOOKUP(C5572,METADATA!$J$5:$Q$29,IF(E5572="HI",2,IF(E5572="LO",6,10))+IF(T5572=1,2,IF(D5572=7,1,(IF(WEEKDAY(B5572)=1,2,IF(WEEKDAY(B5572)=7,1,0))))))</f>
        <v>3</v>
      </c>
      <c r="V5572" s="328">
        <f>VLOOKUP(C5572,METADATA!$A$5:$H$29,IF(E5572="HI",2,IF(E5572="LO",6,10))+IF(T5572=1,2,IF(D5572=7,1,(IF(WEEKDAY(B5572)=1,2,IF(WEEKDAY(B5572)=7,1,0))))))</f>
        <v>3</v>
      </c>
    </row>
    <row r="5573" spans="2:22">
      <c r="B5573" s="318">
        <f t="shared" si="347"/>
        <v>46345</v>
      </c>
      <c r="C5573" s="312">
        <v>1</v>
      </c>
      <c r="D5573" s="368">
        <f>IFERROR((INDEX(METADATA!$T$2:$T$20,MATCH(B5573,METADATA!$S$2:$S$20,0))),0)</f>
        <v>0</v>
      </c>
      <c r="E5573" s="312" t="str">
        <f t="shared" si="348"/>
        <v>LO</v>
      </c>
      <c r="F5573" s="369">
        <f>VLOOKUP(C5573,METADATA!$A$5:$H$29,IF(E5573="HI",2,IF(E5573="LO",6,10))+IF(D5573=1,2,IF(D5573=7,1,(IF(WEEKDAY(B5573)=1,2,IF(WEEKDAY(B5573)=7,1,0))))))</f>
        <v>3</v>
      </c>
      <c r="G5573" s="369">
        <f>VLOOKUP(C5573,METADATA!$J$5:$Q$29,IF(E5573="HI",2,IF(E5573="LO",6,10))+IF(D5573=1,2,IF(D5573=7,1,(IF(WEEKDAY(B5573)=1,2,IF(WEEKDAY(B5573)=7,1,0))))))</f>
        <v>3</v>
      </c>
      <c r="H5573" s="370">
        <v>13051.940124511719</v>
      </c>
      <c r="I5573" s="370">
        <v>4035.9624328613281</v>
      </c>
      <c r="M5573" s="371">
        <f t="shared" si="349"/>
        <v>13661.70317981279</v>
      </c>
      <c r="N5573" s="329">
        <f t="shared" si="350"/>
        <v>120.38039550781286</v>
      </c>
      <c r="T5573" s="331">
        <v>0</v>
      </c>
      <c r="U5573" s="328">
        <f>VLOOKUP(C5573,METADATA!$J$5:$Q$29,IF(E5573="HI",2,IF(E5573="LO",6,10))+IF(T5573=1,2,IF(D5573=7,1,(IF(WEEKDAY(B5573)=1,2,IF(WEEKDAY(B5573)=7,1,0))))))</f>
        <v>3</v>
      </c>
      <c r="V5573" s="328">
        <f>VLOOKUP(C5573,METADATA!$A$5:$H$29,IF(E5573="HI",2,IF(E5573="LO",6,10))+IF(T5573=1,2,IF(D5573=7,1,(IF(WEEKDAY(B5573)=1,2,IF(WEEKDAY(B5573)=7,1,0))))))</f>
        <v>3</v>
      </c>
    </row>
    <row r="5574" spans="2:22">
      <c r="B5574" s="318">
        <f t="shared" si="347"/>
        <v>46345</v>
      </c>
      <c r="C5574" s="312">
        <v>2</v>
      </c>
      <c r="D5574" s="368">
        <f>IFERROR((INDEX(METADATA!$T$2:$T$20,MATCH(B5574,METADATA!$S$2:$S$20,0))),0)</f>
        <v>0</v>
      </c>
      <c r="E5574" s="312" t="str">
        <f t="shared" si="348"/>
        <v>LO</v>
      </c>
      <c r="F5574" s="369">
        <f>VLOOKUP(C5574,METADATA!$A$5:$H$29,IF(E5574="HI",2,IF(E5574="LO",6,10))+IF(D5574=1,2,IF(D5574=7,1,(IF(WEEKDAY(B5574)=1,2,IF(WEEKDAY(B5574)=7,1,0))))))</f>
        <v>3</v>
      </c>
      <c r="G5574" s="369">
        <f>VLOOKUP(C5574,METADATA!$J$5:$Q$29,IF(E5574="HI",2,IF(E5574="LO",6,10))+IF(D5574=1,2,IF(D5574=7,1,(IF(WEEKDAY(B5574)=1,2,IF(WEEKDAY(B5574)=7,1,0))))))</f>
        <v>3</v>
      </c>
      <c r="H5574" s="370">
        <v>13113.375</v>
      </c>
      <c r="I5574" s="370">
        <v>4107.4399719238281</v>
      </c>
      <c r="M5574" s="371">
        <f t="shared" si="349"/>
        <v>13741.60350954657</v>
      </c>
      <c r="N5574" s="329">
        <f t="shared" si="350"/>
        <v>173.42747192382831</v>
      </c>
      <c r="T5574" s="331">
        <v>0</v>
      </c>
      <c r="U5574" s="328">
        <f>VLOOKUP(C5574,METADATA!$J$5:$Q$29,IF(E5574="HI",2,IF(E5574="LO",6,10))+IF(T5574=1,2,IF(D5574=7,1,(IF(WEEKDAY(B5574)=1,2,IF(WEEKDAY(B5574)=7,1,0))))))</f>
        <v>3</v>
      </c>
      <c r="V5574" s="328">
        <f>VLOOKUP(C5574,METADATA!$A$5:$H$29,IF(E5574="HI",2,IF(E5574="LO",6,10))+IF(T5574=1,2,IF(D5574=7,1,(IF(WEEKDAY(B5574)=1,2,IF(WEEKDAY(B5574)=7,1,0))))))</f>
        <v>3</v>
      </c>
    </row>
    <row r="5575" spans="2:22">
      <c r="B5575" s="318">
        <f t="shared" si="347"/>
        <v>46345</v>
      </c>
      <c r="C5575" s="312">
        <v>3</v>
      </c>
      <c r="D5575" s="368">
        <f>IFERROR((INDEX(METADATA!$T$2:$T$20,MATCH(B5575,METADATA!$S$2:$S$20,0))),0)</f>
        <v>0</v>
      </c>
      <c r="E5575" s="312" t="str">
        <f t="shared" si="348"/>
        <v>LO</v>
      </c>
      <c r="F5575" s="369">
        <f>VLOOKUP(C5575,METADATA!$A$5:$H$29,IF(E5575="HI",2,IF(E5575="LO",6,10))+IF(D5575=1,2,IF(D5575=7,1,(IF(WEEKDAY(B5575)=1,2,IF(WEEKDAY(B5575)=7,1,0))))))</f>
        <v>3</v>
      </c>
      <c r="G5575" s="369">
        <f>VLOOKUP(C5575,METADATA!$J$5:$Q$29,IF(E5575="HI",2,IF(E5575="LO",6,10))+IF(D5575=1,2,IF(D5575=7,1,(IF(WEEKDAY(B5575)=1,2,IF(WEEKDAY(B5575)=7,1,0))))))</f>
        <v>3</v>
      </c>
      <c r="H5575" s="370">
        <v>13080.075012207031</v>
      </c>
      <c r="I5575" s="370">
        <v>4117.8349914550781</v>
      </c>
      <c r="M5575" s="371">
        <f t="shared" si="349"/>
        <v>13712.947434516571</v>
      </c>
      <c r="N5575" s="329">
        <f t="shared" si="350"/>
        <v>193.81248779296902</v>
      </c>
      <c r="T5575" s="331">
        <v>0</v>
      </c>
      <c r="U5575" s="328">
        <f>VLOOKUP(C5575,METADATA!$J$5:$Q$29,IF(E5575="HI",2,IF(E5575="LO",6,10))+IF(T5575=1,2,IF(D5575=7,1,(IF(WEEKDAY(B5575)=1,2,IF(WEEKDAY(B5575)=7,1,0))))))</f>
        <v>3</v>
      </c>
      <c r="V5575" s="328">
        <f>VLOOKUP(C5575,METADATA!$A$5:$H$29,IF(E5575="HI",2,IF(E5575="LO",6,10))+IF(T5575=1,2,IF(D5575=7,1,(IF(WEEKDAY(B5575)=1,2,IF(WEEKDAY(B5575)=7,1,0))))))</f>
        <v>3</v>
      </c>
    </row>
    <row r="5576" spans="2:22">
      <c r="B5576" s="318">
        <f t="shared" si="347"/>
        <v>46345</v>
      </c>
      <c r="C5576" s="312">
        <v>4</v>
      </c>
      <c r="D5576" s="368">
        <f>IFERROR((INDEX(METADATA!$T$2:$T$20,MATCH(B5576,METADATA!$S$2:$S$20,0))),0)</f>
        <v>0</v>
      </c>
      <c r="E5576" s="312" t="str">
        <f t="shared" si="348"/>
        <v>LO</v>
      </c>
      <c r="F5576" s="369">
        <f>VLOOKUP(C5576,METADATA!$A$5:$H$29,IF(E5576="HI",2,IF(E5576="LO",6,10))+IF(D5576=1,2,IF(D5576=7,1,(IF(WEEKDAY(B5576)=1,2,IF(WEEKDAY(B5576)=7,1,0))))))</f>
        <v>3</v>
      </c>
      <c r="G5576" s="369">
        <f>VLOOKUP(C5576,METADATA!$J$5:$Q$29,IF(E5576="HI",2,IF(E5576="LO",6,10))+IF(D5576=1,2,IF(D5576=7,1,(IF(WEEKDAY(B5576)=1,2,IF(WEEKDAY(B5576)=7,1,0))))))</f>
        <v>3</v>
      </c>
      <c r="H5576" s="370">
        <v>13059.824768066406</v>
      </c>
      <c r="I5576" s="370">
        <v>4120.280029296875</v>
      </c>
      <c r="M5576" s="371">
        <f t="shared" si="349"/>
        <v>13694.368568591377</v>
      </c>
      <c r="N5576" s="329">
        <f t="shared" si="350"/>
        <v>202.3325988769534</v>
      </c>
      <c r="T5576" s="331">
        <v>0</v>
      </c>
      <c r="U5576" s="328">
        <f>VLOOKUP(C5576,METADATA!$J$5:$Q$29,IF(E5576="HI",2,IF(E5576="LO",6,10))+IF(T5576=1,2,IF(D5576=7,1,(IF(WEEKDAY(B5576)=1,2,IF(WEEKDAY(B5576)=7,1,0))))))</f>
        <v>3</v>
      </c>
      <c r="V5576" s="328">
        <f>VLOOKUP(C5576,METADATA!$A$5:$H$29,IF(E5576="HI",2,IF(E5576="LO",6,10))+IF(T5576=1,2,IF(D5576=7,1,(IF(WEEKDAY(B5576)=1,2,IF(WEEKDAY(B5576)=7,1,0))))))</f>
        <v>3</v>
      </c>
    </row>
    <row r="5577" spans="2:22">
      <c r="B5577" s="318">
        <f t="shared" si="347"/>
        <v>46345</v>
      </c>
      <c r="C5577" s="312">
        <v>5</v>
      </c>
      <c r="D5577" s="368">
        <f>IFERROR((INDEX(METADATA!$T$2:$T$20,MATCH(B5577,METADATA!$S$2:$S$20,0))),0)</f>
        <v>0</v>
      </c>
      <c r="E5577" s="312" t="str">
        <f t="shared" si="348"/>
        <v>LO</v>
      </c>
      <c r="F5577" s="369">
        <f>VLOOKUP(C5577,METADATA!$A$5:$H$29,IF(E5577="HI",2,IF(E5577="LO",6,10))+IF(D5577=1,2,IF(D5577=7,1,(IF(WEEKDAY(B5577)=1,2,IF(WEEKDAY(B5577)=7,1,0))))))</f>
        <v>3</v>
      </c>
      <c r="G5577" s="369">
        <f>VLOOKUP(C5577,METADATA!$J$5:$Q$29,IF(E5577="HI",2,IF(E5577="LO",6,10))+IF(D5577=1,2,IF(D5577=7,1,(IF(WEEKDAY(B5577)=1,2,IF(WEEKDAY(B5577)=7,1,0))))))</f>
        <v>3</v>
      </c>
      <c r="H5577" s="370">
        <v>13086.099792480469</v>
      </c>
      <c r="I5577" s="370">
        <v>4047.9399719238281</v>
      </c>
      <c r="M5577" s="371">
        <f t="shared" si="349"/>
        <v>13697.87668929225</v>
      </c>
      <c r="N5577" s="329">
        <f t="shared" si="350"/>
        <v>122.11003417968777</v>
      </c>
      <c r="T5577" s="331">
        <v>0</v>
      </c>
      <c r="U5577" s="328">
        <f>VLOOKUP(C5577,METADATA!$J$5:$Q$29,IF(E5577="HI",2,IF(E5577="LO",6,10))+IF(T5577=1,2,IF(D5577=7,1,(IF(WEEKDAY(B5577)=1,2,IF(WEEKDAY(B5577)=7,1,0))))))</f>
        <v>3</v>
      </c>
      <c r="V5577" s="328">
        <f>VLOOKUP(C5577,METADATA!$A$5:$H$29,IF(E5577="HI",2,IF(E5577="LO",6,10))+IF(T5577=1,2,IF(D5577=7,1,(IF(WEEKDAY(B5577)=1,2,IF(WEEKDAY(B5577)=7,1,0))))))</f>
        <v>3</v>
      </c>
    </row>
    <row r="5578" spans="2:22">
      <c r="B5578" s="318">
        <f t="shared" si="347"/>
        <v>46345</v>
      </c>
      <c r="C5578" s="312">
        <v>6</v>
      </c>
      <c r="D5578" s="368">
        <f>IFERROR((INDEX(METADATA!$T$2:$T$20,MATCH(B5578,METADATA!$S$2:$S$20,0))),0)</f>
        <v>0</v>
      </c>
      <c r="E5578" s="312" t="str">
        <f t="shared" si="348"/>
        <v>LO</v>
      </c>
      <c r="F5578" s="369">
        <f>VLOOKUP(C5578,METADATA!$A$5:$H$29,IF(E5578="HI",2,IF(E5578="LO",6,10))+IF(D5578=1,2,IF(D5578=7,1,(IF(WEEKDAY(B5578)=1,2,IF(WEEKDAY(B5578)=7,1,0))))))</f>
        <v>2</v>
      </c>
      <c r="G5578" s="369">
        <f>VLOOKUP(C5578,METADATA!$J$5:$Q$29,IF(E5578="HI",2,IF(E5578="LO",6,10))+IF(D5578=1,2,IF(D5578=7,1,(IF(WEEKDAY(B5578)=1,2,IF(WEEKDAY(B5578)=7,1,0))))))</f>
        <v>2</v>
      </c>
      <c r="H5578" s="370">
        <v>13099.025329589844</v>
      </c>
      <c r="I5578" s="370">
        <v>3848.2801055908203</v>
      </c>
      <c r="M5578" s="371">
        <f t="shared" si="349"/>
        <v>13652.608701501791</v>
      </c>
      <c r="N5578" s="329">
        <f t="shared" si="350"/>
        <v>0</v>
      </c>
      <c r="T5578" s="331">
        <v>0</v>
      </c>
      <c r="U5578" s="328">
        <f>VLOOKUP(C5578,METADATA!$J$5:$Q$29,IF(E5578="HI",2,IF(E5578="LO",6,10))+IF(T5578=1,2,IF(D5578=7,1,(IF(WEEKDAY(B5578)=1,2,IF(WEEKDAY(B5578)=7,1,0))))))</f>
        <v>2</v>
      </c>
      <c r="V5578" s="328">
        <f>VLOOKUP(C5578,METADATA!$A$5:$H$29,IF(E5578="HI",2,IF(E5578="LO",6,10))+IF(T5578=1,2,IF(D5578=7,1,(IF(WEEKDAY(B5578)=1,2,IF(WEEKDAY(B5578)=7,1,0))))))</f>
        <v>2</v>
      </c>
    </row>
    <row r="5579" spans="2:22">
      <c r="B5579" s="318">
        <f t="shared" si="347"/>
        <v>46345</v>
      </c>
      <c r="C5579" s="312">
        <v>7</v>
      </c>
      <c r="D5579" s="368">
        <f>IFERROR((INDEX(METADATA!$T$2:$T$20,MATCH(B5579,METADATA!$S$2:$S$20,0))),0)</f>
        <v>0</v>
      </c>
      <c r="E5579" s="312" t="str">
        <f t="shared" si="348"/>
        <v>LO</v>
      </c>
      <c r="F5579" s="369">
        <f>VLOOKUP(C5579,METADATA!$A$5:$H$29,IF(E5579="HI",2,IF(E5579="LO",6,10))+IF(D5579=1,2,IF(D5579=7,1,(IF(WEEKDAY(B5579)=1,2,IF(WEEKDAY(B5579)=7,1,0))))))</f>
        <v>1</v>
      </c>
      <c r="G5579" s="369">
        <f>VLOOKUP(C5579,METADATA!$J$5:$Q$29,IF(E5579="HI",2,IF(E5579="LO",6,10))+IF(D5579=1,2,IF(D5579=7,1,(IF(WEEKDAY(B5579)=1,2,IF(WEEKDAY(B5579)=7,1,0))))))</f>
        <v>1</v>
      </c>
      <c r="H5579" s="370">
        <v>13200.62451171875</v>
      </c>
      <c r="I5579" s="370">
        <v>3746.7899780273438</v>
      </c>
      <c r="M5579" s="371">
        <f t="shared" si="349"/>
        <v>13722.059708324987</v>
      </c>
      <c r="N5579" s="329">
        <f t="shared" si="350"/>
        <v>0</v>
      </c>
      <c r="T5579" s="331">
        <v>0</v>
      </c>
      <c r="U5579" s="328">
        <f>VLOOKUP(C5579,METADATA!$J$5:$Q$29,IF(E5579="HI",2,IF(E5579="LO",6,10))+IF(T5579=1,2,IF(D5579=7,1,(IF(WEEKDAY(B5579)=1,2,IF(WEEKDAY(B5579)=7,1,0))))))</f>
        <v>1</v>
      </c>
      <c r="V5579" s="328">
        <f>VLOOKUP(C5579,METADATA!$A$5:$H$29,IF(E5579="HI",2,IF(E5579="LO",6,10))+IF(T5579=1,2,IF(D5579=7,1,(IF(WEEKDAY(B5579)=1,2,IF(WEEKDAY(B5579)=7,1,0))))))</f>
        <v>1</v>
      </c>
    </row>
    <row r="5580" spans="2:22">
      <c r="B5580" s="318">
        <f t="shared" si="347"/>
        <v>46345</v>
      </c>
      <c r="C5580" s="312">
        <v>8</v>
      </c>
      <c r="D5580" s="368">
        <f>IFERROR((INDEX(METADATA!$T$2:$T$20,MATCH(B5580,METADATA!$S$2:$S$20,0))),0)</f>
        <v>0</v>
      </c>
      <c r="E5580" s="312" t="str">
        <f t="shared" si="348"/>
        <v>LO</v>
      </c>
      <c r="F5580" s="369">
        <f>VLOOKUP(C5580,METADATA!$A$5:$H$29,IF(E5580="HI",2,IF(E5580="LO",6,10))+IF(D5580=1,2,IF(D5580=7,1,(IF(WEEKDAY(B5580)=1,2,IF(WEEKDAY(B5580)=7,1,0))))))</f>
        <v>1</v>
      </c>
      <c r="G5580" s="369">
        <f>VLOOKUP(C5580,METADATA!$J$5:$Q$29,IF(E5580="HI",2,IF(E5580="LO",6,10))+IF(D5580=1,2,IF(D5580=7,1,(IF(WEEKDAY(B5580)=1,2,IF(WEEKDAY(B5580)=7,1,0))))))</f>
        <v>1</v>
      </c>
      <c r="H5580" s="370">
        <v>12446.574951171875</v>
      </c>
      <c r="I5580" s="370">
        <v>3439.3774261474609</v>
      </c>
      <c r="M5580" s="371">
        <f t="shared" si="349"/>
        <v>12913.037794981934</v>
      </c>
      <c r="N5580" s="329">
        <f t="shared" si="350"/>
        <v>0</v>
      </c>
      <c r="T5580" s="331">
        <v>0</v>
      </c>
      <c r="U5580" s="328">
        <f>VLOOKUP(C5580,METADATA!$J$5:$Q$29,IF(E5580="HI",2,IF(E5580="LO",6,10))+IF(T5580=1,2,IF(D5580=7,1,(IF(WEEKDAY(B5580)=1,2,IF(WEEKDAY(B5580)=7,1,0))))))</f>
        <v>1</v>
      </c>
      <c r="V5580" s="328">
        <f>VLOOKUP(C5580,METADATA!$A$5:$H$29,IF(E5580="HI",2,IF(E5580="LO",6,10))+IF(T5580=1,2,IF(D5580=7,1,(IF(WEEKDAY(B5580)=1,2,IF(WEEKDAY(B5580)=7,1,0))))))</f>
        <v>1</v>
      </c>
    </row>
    <row r="5581" spans="2:22">
      <c r="B5581" s="318">
        <f t="shared" si="347"/>
        <v>46345</v>
      </c>
      <c r="C5581" s="312">
        <v>9</v>
      </c>
      <c r="D5581" s="368">
        <f>IFERROR((INDEX(METADATA!$T$2:$T$20,MATCH(B5581,METADATA!$S$2:$S$20,0))),0)</f>
        <v>0</v>
      </c>
      <c r="E5581" s="312" t="str">
        <f t="shared" si="348"/>
        <v>LO</v>
      </c>
      <c r="F5581" s="369">
        <f>VLOOKUP(C5581,METADATA!$A$5:$H$29,IF(E5581="HI",2,IF(E5581="LO",6,10))+IF(D5581=1,2,IF(D5581=7,1,(IF(WEEKDAY(B5581)=1,2,IF(WEEKDAY(B5581)=7,1,0))))))</f>
        <v>2</v>
      </c>
      <c r="G5581" s="369">
        <f>VLOOKUP(C5581,METADATA!$J$5:$Q$29,IF(E5581="HI",2,IF(E5581="LO",6,10))+IF(D5581=1,2,IF(D5581=7,1,(IF(WEEKDAY(B5581)=1,2,IF(WEEKDAY(B5581)=7,1,0))))))</f>
        <v>2</v>
      </c>
      <c r="H5581" s="370">
        <v>9082.025146484375</v>
      </c>
      <c r="I5581" s="370">
        <v>2810.7100524902344</v>
      </c>
      <c r="M5581" s="371">
        <f t="shared" si="349"/>
        <v>9507.0117155993976</v>
      </c>
      <c r="N5581" s="329">
        <f t="shared" si="350"/>
        <v>86.102508544921875</v>
      </c>
      <c r="T5581" s="331">
        <v>0</v>
      </c>
      <c r="U5581" s="328">
        <f>VLOOKUP(C5581,METADATA!$J$5:$Q$29,IF(E5581="HI",2,IF(E5581="LO",6,10))+IF(T5581=1,2,IF(D5581=7,1,(IF(WEEKDAY(B5581)=1,2,IF(WEEKDAY(B5581)=7,1,0))))))</f>
        <v>2</v>
      </c>
      <c r="V5581" s="328">
        <f>VLOOKUP(C5581,METADATA!$A$5:$H$29,IF(E5581="HI",2,IF(E5581="LO",6,10))+IF(T5581=1,2,IF(D5581=7,1,(IF(WEEKDAY(B5581)=1,2,IF(WEEKDAY(B5581)=7,1,0))))))</f>
        <v>2</v>
      </c>
    </row>
    <row r="5582" spans="2:22">
      <c r="B5582" s="318">
        <f t="shared" si="347"/>
        <v>46345</v>
      </c>
      <c r="C5582" s="312">
        <v>10</v>
      </c>
      <c r="D5582" s="368">
        <f>IFERROR((INDEX(METADATA!$T$2:$T$20,MATCH(B5582,METADATA!$S$2:$S$20,0))),0)</f>
        <v>0</v>
      </c>
      <c r="E5582" s="312" t="str">
        <f t="shared" si="348"/>
        <v>LO</v>
      </c>
      <c r="F5582" s="369">
        <f>VLOOKUP(C5582,METADATA!$A$5:$H$29,IF(E5582="HI",2,IF(E5582="LO",6,10))+IF(D5582=1,2,IF(D5582=7,1,(IF(WEEKDAY(B5582)=1,2,IF(WEEKDAY(B5582)=7,1,0))))))</f>
        <v>2</v>
      </c>
      <c r="G5582" s="369">
        <f>VLOOKUP(C5582,METADATA!$J$5:$Q$29,IF(E5582="HI",2,IF(E5582="LO",6,10))+IF(D5582=1,2,IF(D5582=7,1,(IF(WEEKDAY(B5582)=1,2,IF(WEEKDAY(B5582)=7,1,0))))))</f>
        <v>2</v>
      </c>
      <c r="H5582" s="370">
        <v>8567.8248901367188</v>
      </c>
      <c r="I5582" s="370">
        <v>2978.949951171875</v>
      </c>
      <c r="M5582" s="371">
        <f t="shared" si="349"/>
        <v>9070.9297296160985</v>
      </c>
      <c r="N5582" s="329">
        <f t="shared" si="350"/>
        <v>408.60248413085947</v>
      </c>
      <c r="T5582" s="331">
        <v>0</v>
      </c>
      <c r="U5582" s="328">
        <f>VLOOKUP(C5582,METADATA!$J$5:$Q$29,IF(E5582="HI",2,IF(E5582="LO",6,10))+IF(T5582=1,2,IF(D5582=7,1,(IF(WEEKDAY(B5582)=1,2,IF(WEEKDAY(B5582)=7,1,0))))))</f>
        <v>2</v>
      </c>
      <c r="V5582" s="328">
        <f>VLOOKUP(C5582,METADATA!$A$5:$H$29,IF(E5582="HI",2,IF(E5582="LO",6,10))+IF(T5582=1,2,IF(D5582=7,1,(IF(WEEKDAY(B5582)=1,2,IF(WEEKDAY(B5582)=7,1,0))))))</f>
        <v>2</v>
      </c>
    </row>
    <row r="5583" spans="2:22">
      <c r="B5583" s="318">
        <f t="shared" si="347"/>
        <v>46345</v>
      </c>
      <c r="C5583" s="312">
        <v>11</v>
      </c>
      <c r="D5583" s="368">
        <f>IFERROR((INDEX(METADATA!$T$2:$T$20,MATCH(B5583,METADATA!$S$2:$S$20,0))),0)</f>
        <v>0</v>
      </c>
      <c r="E5583" s="312" t="str">
        <f t="shared" si="348"/>
        <v>LO</v>
      </c>
      <c r="F5583" s="369">
        <f>VLOOKUP(C5583,METADATA!$A$5:$H$29,IF(E5583="HI",2,IF(E5583="LO",6,10))+IF(D5583=1,2,IF(D5583=7,1,(IF(WEEKDAY(B5583)=1,2,IF(WEEKDAY(B5583)=7,1,0))))))</f>
        <v>2</v>
      </c>
      <c r="G5583" s="369">
        <f>VLOOKUP(C5583,METADATA!$J$5:$Q$29,IF(E5583="HI",2,IF(E5583="LO",6,10))+IF(D5583=1,2,IF(D5583=7,1,(IF(WEEKDAY(B5583)=1,2,IF(WEEKDAY(B5583)=7,1,0))))))</f>
        <v>2</v>
      </c>
      <c r="H5583" s="370">
        <v>12747.100036621094</v>
      </c>
      <c r="I5583" s="370">
        <v>3935.2848815917969</v>
      </c>
      <c r="M5583" s="371">
        <f t="shared" si="349"/>
        <v>13340.728107675024</v>
      </c>
      <c r="N5583" s="329">
        <f t="shared" si="350"/>
        <v>111.15487060546911</v>
      </c>
      <c r="T5583" s="331">
        <v>0</v>
      </c>
      <c r="U5583" s="328">
        <f>VLOOKUP(C5583,METADATA!$J$5:$Q$29,IF(E5583="HI",2,IF(E5583="LO",6,10))+IF(T5583=1,2,IF(D5583=7,1,(IF(WEEKDAY(B5583)=1,2,IF(WEEKDAY(B5583)=7,1,0))))))</f>
        <v>2</v>
      </c>
      <c r="V5583" s="328">
        <f>VLOOKUP(C5583,METADATA!$A$5:$H$29,IF(E5583="HI",2,IF(E5583="LO",6,10))+IF(T5583=1,2,IF(D5583=7,1,(IF(WEEKDAY(B5583)=1,2,IF(WEEKDAY(B5583)=7,1,0))))))</f>
        <v>2</v>
      </c>
    </row>
    <row r="5584" spans="2:22">
      <c r="B5584" s="318">
        <f t="shared" si="347"/>
        <v>46345</v>
      </c>
      <c r="C5584" s="312">
        <v>12</v>
      </c>
      <c r="D5584" s="368">
        <f>IFERROR((INDEX(METADATA!$T$2:$T$20,MATCH(B5584,METADATA!$S$2:$S$20,0))),0)</f>
        <v>0</v>
      </c>
      <c r="E5584" s="312" t="str">
        <f t="shared" si="348"/>
        <v>LO</v>
      </c>
      <c r="F5584" s="369">
        <f>VLOOKUP(C5584,METADATA!$A$5:$H$29,IF(E5584="HI",2,IF(E5584="LO",6,10))+IF(D5584=1,2,IF(D5584=7,1,(IF(WEEKDAY(B5584)=1,2,IF(WEEKDAY(B5584)=7,1,0))))))</f>
        <v>2</v>
      </c>
      <c r="G5584" s="369">
        <f>VLOOKUP(C5584,METADATA!$J$5:$Q$29,IF(E5584="HI",2,IF(E5584="LO",6,10))+IF(D5584=1,2,IF(D5584=7,1,(IF(WEEKDAY(B5584)=1,2,IF(WEEKDAY(B5584)=7,1,0))))))</f>
        <v>2</v>
      </c>
      <c r="H5584" s="370">
        <v>13321.025268554688</v>
      </c>
      <c r="I5584" s="370">
        <v>3942.8749389648438</v>
      </c>
      <c r="M5584" s="371">
        <f t="shared" si="349"/>
        <v>13892.299197389519</v>
      </c>
      <c r="N5584" s="329">
        <f t="shared" si="350"/>
        <v>0</v>
      </c>
      <c r="T5584" s="331">
        <v>0</v>
      </c>
      <c r="U5584" s="328">
        <f>VLOOKUP(C5584,METADATA!$J$5:$Q$29,IF(E5584="HI",2,IF(E5584="LO",6,10))+IF(T5584=1,2,IF(D5584=7,1,(IF(WEEKDAY(B5584)=1,2,IF(WEEKDAY(B5584)=7,1,0))))))</f>
        <v>2</v>
      </c>
      <c r="V5584" s="328">
        <f>VLOOKUP(C5584,METADATA!$A$5:$H$29,IF(E5584="HI",2,IF(E5584="LO",6,10))+IF(T5584=1,2,IF(D5584=7,1,(IF(WEEKDAY(B5584)=1,2,IF(WEEKDAY(B5584)=7,1,0))))))</f>
        <v>2</v>
      </c>
    </row>
    <row r="5585" spans="2:22">
      <c r="B5585" s="318">
        <f t="shared" si="347"/>
        <v>46345</v>
      </c>
      <c r="C5585" s="312">
        <v>13</v>
      </c>
      <c r="D5585" s="368">
        <f>IFERROR((INDEX(METADATA!$T$2:$T$20,MATCH(B5585,METADATA!$S$2:$S$20,0))),0)</f>
        <v>0</v>
      </c>
      <c r="E5585" s="312" t="str">
        <f t="shared" si="348"/>
        <v>LO</v>
      </c>
      <c r="F5585" s="369">
        <f>VLOOKUP(C5585,METADATA!$A$5:$H$29,IF(E5585="HI",2,IF(E5585="LO",6,10))+IF(D5585=1,2,IF(D5585=7,1,(IF(WEEKDAY(B5585)=1,2,IF(WEEKDAY(B5585)=7,1,0))))))</f>
        <v>2</v>
      </c>
      <c r="G5585" s="369">
        <f>VLOOKUP(C5585,METADATA!$J$5:$Q$29,IF(E5585="HI",2,IF(E5585="LO",6,10))+IF(D5585=1,2,IF(D5585=7,1,(IF(WEEKDAY(B5585)=1,2,IF(WEEKDAY(B5585)=7,1,0))))))</f>
        <v>2</v>
      </c>
      <c r="H5585" s="370">
        <v>13680.949462890625</v>
      </c>
      <c r="I5585" s="370">
        <v>4129.5149536132813</v>
      </c>
      <c r="M5585" s="371">
        <f t="shared" si="349"/>
        <v>14290.600825657506</v>
      </c>
      <c r="N5585" s="329">
        <f t="shared" si="350"/>
        <v>25.230114746093932</v>
      </c>
      <c r="T5585" s="331">
        <v>0</v>
      </c>
      <c r="U5585" s="328">
        <f>VLOOKUP(C5585,METADATA!$J$5:$Q$29,IF(E5585="HI",2,IF(E5585="LO",6,10))+IF(T5585=1,2,IF(D5585=7,1,(IF(WEEKDAY(B5585)=1,2,IF(WEEKDAY(B5585)=7,1,0))))))</f>
        <v>2</v>
      </c>
      <c r="V5585" s="328">
        <f>VLOOKUP(C5585,METADATA!$A$5:$H$29,IF(E5585="HI",2,IF(E5585="LO",6,10))+IF(T5585=1,2,IF(D5585=7,1,(IF(WEEKDAY(B5585)=1,2,IF(WEEKDAY(B5585)=7,1,0))))))</f>
        <v>2</v>
      </c>
    </row>
    <row r="5586" spans="2:22">
      <c r="B5586" s="318">
        <f t="shared" si="347"/>
        <v>46345</v>
      </c>
      <c r="C5586" s="312">
        <v>14</v>
      </c>
      <c r="D5586" s="368">
        <f>IFERROR((INDEX(METADATA!$T$2:$T$20,MATCH(B5586,METADATA!$S$2:$S$20,0))),0)</f>
        <v>0</v>
      </c>
      <c r="E5586" s="312" t="str">
        <f t="shared" si="348"/>
        <v>LO</v>
      </c>
      <c r="F5586" s="369">
        <f>VLOOKUP(C5586,METADATA!$A$5:$H$29,IF(E5586="HI",2,IF(E5586="LO",6,10))+IF(D5586=1,2,IF(D5586=7,1,(IF(WEEKDAY(B5586)=1,2,IF(WEEKDAY(B5586)=7,1,0))))))</f>
        <v>2</v>
      </c>
      <c r="G5586" s="369">
        <f>VLOOKUP(C5586,METADATA!$J$5:$Q$29,IF(E5586="HI",2,IF(E5586="LO",6,10))+IF(D5586=1,2,IF(D5586=7,1,(IF(WEEKDAY(B5586)=1,2,IF(WEEKDAY(B5586)=7,1,0))))))</f>
        <v>2</v>
      </c>
      <c r="H5586" s="370">
        <v>13576.525085449219</v>
      </c>
      <c r="I5586" s="370">
        <v>4227.06494140625</v>
      </c>
      <c r="M5586" s="371">
        <f t="shared" si="349"/>
        <v>14219.356926904175</v>
      </c>
      <c r="N5586" s="329">
        <f t="shared" si="350"/>
        <v>154.10741577148474</v>
      </c>
      <c r="T5586" s="331">
        <v>0</v>
      </c>
      <c r="U5586" s="328">
        <f>VLOOKUP(C5586,METADATA!$J$5:$Q$29,IF(E5586="HI",2,IF(E5586="LO",6,10))+IF(T5586=1,2,IF(D5586=7,1,(IF(WEEKDAY(B5586)=1,2,IF(WEEKDAY(B5586)=7,1,0))))))</f>
        <v>2</v>
      </c>
      <c r="V5586" s="328">
        <f>VLOOKUP(C5586,METADATA!$A$5:$H$29,IF(E5586="HI",2,IF(E5586="LO",6,10))+IF(T5586=1,2,IF(D5586=7,1,(IF(WEEKDAY(B5586)=1,2,IF(WEEKDAY(B5586)=7,1,0))))))</f>
        <v>2</v>
      </c>
    </row>
    <row r="5587" spans="2:22">
      <c r="B5587" s="318">
        <f t="shared" si="347"/>
        <v>46345</v>
      </c>
      <c r="C5587" s="312">
        <v>15</v>
      </c>
      <c r="D5587" s="368">
        <f>IFERROR((INDEX(METADATA!$T$2:$T$20,MATCH(B5587,METADATA!$S$2:$S$20,0))),0)</f>
        <v>0</v>
      </c>
      <c r="E5587" s="312" t="str">
        <f t="shared" si="348"/>
        <v>LO</v>
      </c>
      <c r="F5587" s="369">
        <f>VLOOKUP(C5587,METADATA!$A$5:$H$29,IF(E5587="HI",2,IF(E5587="LO",6,10))+IF(D5587=1,2,IF(D5587=7,1,(IF(WEEKDAY(B5587)=1,2,IF(WEEKDAY(B5587)=7,1,0))))))</f>
        <v>2</v>
      </c>
      <c r="G5587" s="369">
        <f>VLOOKUP(C5587,METADATA!$J$5:$Q$29,IF(E5587="HI",2,IF(E5587="LO",6,10))+IF(D5587=1,2,IF(D5587=7,1,(IF(WEEKDAY(B5587)=1,2,IF(WEEKDAY(B5587)=7,1,0))))))</f>
        <v>2</v>
      </c>
      <c r="H5587" s="370">
        <v>13566.299865722656</v>
      </c>
      <c r="I5587" s="370">
        <v>4232.9099426269531</v>
      </c>
      <c r="M5587" s="371">
        <f t="shared" si="349"/>
        <v>14211.334160770997</v>
      </c>
      <c r="N5587" s="329">
        <f t="shared" si="350"/>
        <v>163.01998291015661</v>
      </c>
      <c r="T5587" s="331">
        <v>0</v>
      </c>
      <c r="U5587" s="328">
        <f>VLOOKUP(C5587,METADATA!$J$5:$Q$29,IF(E5587="HI",2,IF(E5587="LO",6,10))+IF(T5587=1,2,IF(D5587=7,1,(IF(WEEKDAY(B5587)=1,2,IF(WEEKDAY(B5587)=7,1,0))))))</f>
        <v>2</v>
      </c>
      <c r="V5587" s="328">
        <f>VLOOKUP(C5587,METADATA!$A$5:$H$29,IF(E5587="HI",2,IF(E5587="LO",6,10))+IF(T5587=1,2,IF(D5587=7,1,(IF(WEEKDAY(B5587)=1,2,IF(WEEKDAY(B5587)=7,1,0))))))</f>
        <v>2</v>
      </c>
    </row>
    <row r="5588" spans="2:22">
      <c r="B5588" s="318">
        <f t="shared" si="347"/>
        <v>46345</v>
      </c>
      <c r="C5588" s="312">
        <v>16</v>
      </c>
      <c r="D5588" s="368">
        <f>IFERROR((INDEX(METADATA!$T$2:$T$20,MATCH(B5588,METADATA!$S$2:$S$20,0))),0)</f>
        <v>0</v>
      </c>
      <c r="E5588" s="312" t="str">
        <f t="shared" si="348"/>
        <v>LO</v>
      </c>
      <c r="F5588" s="369">
        <f>VLOOKUP(C5588,METADATA!$A$5:$H$29,IF(E5588="HI",2,IF(E5588="LO",6,10))+IF(D5588=1,2,IF(D5588=7,1,(IF(WEEKDAY(B5588)=1,2,IF(WEEKDAY(B5588)=7,1,0))))))</f>
        <v>2</v>
      </c>
      <c r="G5588" s="369">
        <f>VLOOKUP(C5588,METADATA!$J$5:$Q$29,IF(E5588="HI",2,IF(E5588="LO",6,10))+IF(D5588=1,2,IF(D5588=7,1,(IF(WEEKDAY(B5588)=1,2,IF(WEEKDAY(B5588)=7,1,0))))))</f>
        <v>2</v>
      </c>
      <c r="H5588" s="370">
        <v>13411.024597167969</v>
      </c>
      <c r="I5588" s="370">
        <v>4134.1701049804688</v>
      </c>
      <c r="M5588" s="371">
        <f t="shared" si="349"/>
        <v>14033.778650198188</v>
      </c>
      <c r="N5588" s="329">
        <f t="shared" si="350"/>
        <v>110.86272583007849</v>
      </c>
      <c r="T5588" s="331">
        <v>0</v>
      </c>
      <c r="U5588" s="328">
        <f>VLOOKUP(C5588,METADATA!$J$5:$Q$29,IF(E5588="HI",2,IF(E5588="LO",6,10))+IF(T5588=1,2,IF(D5588=7,1,(IF(WEEKDAY(B5588)=1,2,IF(WEEKDAY(B5588)=7,1,0))))))</f>
        <v>2</v>
      </c>
      <c r="V5588" s="328">
        <f>VLOOKUP(C5588,METADATA!$A$5:$H$29,IF(E5588="HI",2,IF(E5588="LO",6,10))+IF(T5588=1,2,IF(D5588=7,1,(IF(WEEKDAY(B5588)=1,2,IF(WEEKDAY(B5588)=7,1,0))))))</f>
        <v>2</v>
      </c>
    </row>
    <row r="5589" spans="2:22">
      <c r="B5589" s="318">
        <f t="shared" si="347"/>
        <v>46345</v>
      </c>
      <c r="C5589" s="312">
        <v>17</v>
      </c>
      <c r="D5589" s="368">
        <f>IFERROR((INDEX(METADATA!$T$2:$T$20,MATCH(B5589,METADATA!$S$2:$S$20,0))),0)</f>
        <v>0</v>
      </c>
      <c r="E5589" s="312" t="str">
        <f t="shared" si="348"/>
        <v>LO</v>
      </c>
      <c r="F5589" s="369">
        <f>VLOOKUP(C5589,METADATA!$A$5:$H$29,IF(E5589="HI",2,IF(E5589="LO",6,10))+IF(D5589=1,2,IF(D5589=7,1,(IF(WEEKDAY(B5589)=1,2,IF(WEEKDAY(B5589)=7,1,0))))))</f>
        <v>2</v>
      </c>
      <c r="G5589" s="369">
        <f>VLOOKUP(C5589,METADATA!$J$5:$Q$29,IF(E5589="HI",2,IF(E5589="LO",6,10))+IF(D5589=1,2,IF(D5589=7,1,(IF(WEEKDAY(B5589)=1,2,IF(WEEKDAY(B5589)=7,1,0))))))</f>
        <v>2</v>
      </c>
      <c r="H5589" s="370">
        <v>13397.424682617188</v>
      </c>
      <c r="I5589" s="370">
        <v>4197.3150329589844</v>
      </c>
      <c r="M5589" s="371">
        <f t="shared" si="349"/>
        <v>14039.53138862917</v>
      </c>
      <c r="N5589" s="329">
        <f t="shared" si="350"/>
        <v>178.08762817382831</v>
      </c>
      <c r="T5589" s="331">
        <v>0</v>
      </c>
      <c r="U5589" s="328">
        <f>VLOOKUP(C5589,METADATA!$J$5:$Q$29,IF(E5589="HI",2,IF(E5589="LO",6,10))+IF(T5589=1,2,IF(D5589=7,1,(IF(WEEKDAY(B5589)=1,2,IF(WEEKDAY(B5589)=7,1,0))))))</f>
        <v>2</v>
      </c>
      <c r="V5589" s="328">
        <f>VLOOKUP(C5589,METADATA!$A$5:$H$29,IF(E5589="HI",2,IF(E5589="LO",6,10))+IF(T5589=1,2,IF(D5589=7,1,(IF(WEEKDAY(B5589)=1,2,IF(WEEKDAY(B5589)=7,1,0))))))</f>
        <v>2</v>
      </c>
    </row>
    <row r="5590" spans="2:22">
      <c r="B5590" s="318">
        <f t="shared" si="347"/>
        <v>46345</v>
      </c>
      <c r="C5590" s="312">
        <v>18</v>
      </c>
      <c r="D5590" s="368">
        <f>IFERROR((INDEX(METADATA!$T$2:$T$20,MATCH(B5590,METADATA!$S$2:$S$20,0))),0)</f>
        <v>0</v>
      </c>
      <c r="E5590" s="312" t="str">
        <f t="shared" si="348"/>
        <v>LO</v>
      </c>
      <c r="F5590" s="369">
        <f>VLOOKUP(C5590,METADATA!$A$5:$H$29,IF(E5590="HI",2,IF(E5590="LO",6,10))+IF(D5590=1,2,IF(D5590=7,1,(IF(WEEKDAY(B5590)=1,2,IF(WEEKDAY(B5590)=7,1,0))))))</f>
        <v>1</v>
      </c>
      <c r="G5590" s="369">
        <f>VLOOKUP(C5590,METADATA!$J$5:$Q$29,IF(E5590="HI",2,IF(E5590="LO",6,10))+IF(D5590=1,2,IF(D5590=7,1,(IF(WEEKDAY(B5590)=1,2,IF(WEEKDAY(B5590)=7,1,0))))))</f>
        <v>1</v>
      </c>
      <c r="H5590" s="370">
        <v>13344.375122070313</v>
      </c>
      <c r="I5590" s="370">
        <v>4091.7750244140625</v>
      </c>
      <c r="M5590" s="371">
        <f t="shared" si="349"/>
        <v>13957.613343582338</v>
      </c>
      <c r="N5590" s="329">
        <f t="shared" si="350"/>
        <v>88.462487792969114</v>
      </c>
      <c r="T5590" s="331">
        <v>0</v>
      </c>
      <c r="U5590" s="328">
        <f>VLOOKUP(C5590,METADATA!$J$5:$Q$29,IF(E5590="HI",2,IF(E5590="LO",6,10))+IF(T5590=1,2,IF(D5590=7,1,(IF(WEEKDAY(B5590)=1,2,IF(WEEKDAY(B5590)=7,1,0))))))</f>
        <v>1</v>
      </c>
      <c r="V5590" s="328">
        <f>VLOOKUP(C5590,METADATA!$A$5:$H$29,IF(E5590="HI",2,IF(E5590="LO",6,10))+IF(T5590=1,2,IF(D5590=7,1,(IF(WEEKDAY(B5590)=1,2,IF(WEEKDAY(B5590)=7,1,0))))))</f>
        <v>1</v>
      </c>
    </row>
    <row r="5591" spans="2:22">
      <c r="B5591" s="318">
        <f t="shared" si="347"/>
        <v>46345</v>
      </c>
      <c r="C5591" s="312">
        <v>19</v>
      </c>
      <c r="D5591" s="368">
        <f>IFERROR((INDEX(METADATA!$T$2:$T$20,MATCH(B5591,METADATA!$S$2:$S$20,0))),0)</f>
        <v>0</v>
      </c>
      <c r="E5591" s="312" t="str">
        <f t="shared" si="348"/>
        <v>LO</v>
      </c>
      <c r="F5591" s="369">
        <f>VLOOKUP(C5591,METADATA!$A$5:$H$29,IF(E5591="HI",2,IF(E5591="LO",6,10))+IF(D5591=1,2,IF(D5591=7,1,(IF(WEEKDAY(B5591)=1,2,IF(WEEKDAY(B5591)=7,1,0))))))</f>
        <v>1</v>
      </c>
      <c r="G5591" s="369">
        <f>VLOOKUP(C5591,METADATA!$J$5:$Q$29,IF(E5591="HI",2,IF(E5591="LO",6,10))+IF(D5591=1,2,IF(D5591=7,1,(IF(WEEKDAY(B5591)=1,2,IF(WEEKDAY(B5591)=7,1,0))))))</f>
        <v>1</v>
      </c>
      <c r="H5591" s="370">
        <v>13541.85009765625</v>
      </c>
      <c r="I5591" s="370">
        <v>4140.7699584960938</v>
      </c>
      <c r="M5591" s="371">
        <f t="shared" si="349"/>
        <v>14160.77963660816</v>
      </c>
      <c r="N5591" s="329">
        <f t="shared" si="350"/>
        <v>78.214929199219114</v>
      </c>
      <c r="T5591" s="331">
        <v>0</v>
      </c>
      <c r="U5591" s="328">
        <f>VLOOKUP(C5591,METADATA!$J$5:$Q$29,IF(E5591="HI",2,IF(E5591="LO",6,10))+IF(T5591=1,2,IF(D5591=7,1,(IF(WEEKDAY(B5591)=1,2,IF(WEEKDAY(B5591)=7,1,0))))))</f>
        <v>1</v>
      </c>
      <c r="V5591" s="328">
        <f>VLOOKUP(C5591,METADATA!$A$5:$H$29,IF(E5591="HI",2,IF(E5591="LO",6,10))+IF(T5591=1,2,IF(D5591=7,1,(IF(WEEKDAY(B5591)=1,2,IF(WEEKDAY(B5591)=7,1,0))))))</f>
        <v>1</v>
      </c>
    </row>
    <row r="5592" spans="2:22">
      <c r="B5592" s="318">
        <f t="shared" si="347"/>
        <v>46345</v>
      </c>
      <c r="C5592" s="312">
        <v>20</v>
      </c>
      <c r="D5592" s="368">
        <f>IFERROR((INDEX(METADATA!$T$2:$T$20,MATCH(B5592,METADATA!$S$2:$S$20,0))),0)</f>
        <v>0</v>
      </c>
      <c r="E5592" s="312" t="str">
        <f t="shared" si="348"/>
        <v>LO</v>
      </c>
      <c r="F5592" s="369">
        <f>VLOOKUP(C5592,METADATA!$A$5:$H$29,IF(E5592="HI",2,IF(E5592="LO",6,10))+IF(D5592=1,2,IF(D5592=7,1,(IF(WEEKDAY(B5592)=1,2,IF(WEEKDAY(B5592)=7,1,0))))))</f>
        <v>1</v>
      </c>
      <c r="G5592" s="369">
        <f>VLOOKUP(C5592,METADATA!$J$5:$Q$29,IF(E5592="HI",2,IF(E5592="LO",6,10))+IF(D5592=1,2,IF(D5592=7,1,(IF(WEEKDAY(B5592)=1,2,IF(WEEKDAY(B5592)=7,1,0))))))</f>
        <v>1</v>
      </c>
      <c r="H5592" s="370">
        <v>13353.375244140625</v>
      </c>
      <c r="I5592" s="370">
        <v>3976.6300354003906</v>
      </c>
      <c r="M5592" s="371">
        <f t="shared" si="349"/>
        <v>13932.918461301502</v>
      </c>
      <c r="N5592" s="329">
        <f t="shared" si="350"/>
        <v>0</v>
      </c>
      <c r="T5592" s="331">
        <v>0</v>
      </c>
      <c r="U5592" s="328">
        <f>VLOOKUP(C5592,METADATA!$J$5:$Q$29,IF(E5592="HI",2,IF(E5592="LO",6,10))+IF(T5592=1,2,IF(D5592=7,1,(IF(WEEKDAY(B5592)=1,2,IF(WEEKDAY(B5592)=7,1,0))))))</f>
        <v>1</v>
      </c>
      <c r="V5592" s="328">
        <f>VLOOKUP(C5592,METADATA!$A$5:$H$29,IF(E5592="HI",2,IF(E5592="LO",6,10))+IF(T5592=1,2,IF(D5592=7,1,(IF(WEEKDAY(B5592)=1,2,IF(WEEKDAY(B5592)=7,1,0))))))</f>
        <v>1</v>
      </c>
    </row>
    <row r="5593" spans="2:22">
      <c r="B5593" s="318">
        <f t="shared" si="347"/>
        <v>46345</v>
      </c>
      <c r="C5593" s="312">
        <v>21</v>
      </c>
      <c r="D5593" s="368">
        <f>IFERROR((INDEX(METADATA!$T$2:$T$20,MATCH(B5593,METADATA!$S$2:$S$20,0))),0)</f>
        <v>0</v>
      </c>
      <c r="E5593" s="312" t="str">
        <f t="shared" si="348"/>
        <v>LO</v>
      </c>
      <c r="F5593" s="369">
        <f>VLOOKUP(C5593,METADATA!$A$5:$H$29,IF(E5593="HI",2,IF(E5593="LO",6,10))+IF(D5593=1,2,IF(D5593=7,1,(IF(WEEKDAY(B5593)=1,2,IF(WEEKDAY(B5593)=7,1,0))))))</f>
        <v>2</v>
      </c>
      <c r="G5593" s="369">
        <f>VLOOKUP(C5593,METADATA!$J$5:$Q$29,IF(E5593="HI",2,IF(E5593="LO",6,10))+IF(D5593=1,2,IF(D5593=7,1,(IF(WEEKDAY(B5593)=1,2,IF(WEEKDAY(B5593)=7,1,0))))))</f>
        <v>2</v>
      </c>
      <c r="H5593" s="370">
        <v>13188.099609375</v>
      </c>
      <c r="I5593" s="370">
        <v>3872.5699920654297</v>
      </c>
      <c r="M5593" s="371">
        <f t="shared" si="349"/>
        <v>13744.917957203043</v>
      </c>
      <c r="N5593" s="329">
        <f t="shared" si="350"/>
        <v>0</v>
      </c>
      <c r="T5593" s="331">
        <v>0</v>
      </c>
      <c r="U5593" s="328">
        <f>VLOOKUP(C5593,METADATA!$J$5:$Q$29,IF(E5593="HI",2,IF(E5593="LO",6,10))+IF(T5593=1,2,IF(D5593=7,1,(IF(WEEKDAY(B5593)=1,2,IF(WEEKDAY(B5593)=7,1,0))))))</f>
        <v>2</v>
      </c>
      <c r="V5593" s="328">
        <f>VLOOKUP(C5593,METADATA!$A$5:$H$29,IF(E5593="HI",2,IF(E5593="LO",6,10))+IF(T5593=1,2,IF(D5593=7,1,(IF(WEEKDAY(B5593)=1,2,IF(WEEKDAY(B5593)=7,1,0))))))</f>
        <v>2</v>
      </c>
    </row>
    <row r="5594" spans="2:22">
      <c r="B5594" s="318">
        <f t="shared" si="347"/>
        <v>46345</v>
      </c>
      <c r="C5594" s="312">
        <v>22</v>
      </c>
      <c r="D5594" s="368">
        <f>IFERROR((INDEX(METADATA!$T$2:$T$20,MATCH(B5594,METADATA!$S$2:$S$20,0))),0)</f>
        <v>0</v>
      </c>
      <c r="E5594" s="312" t="str">
        <f t="shared" si="348"/>
        <v>LO</v>
      </c>
      <c r="F5594" s="369">
        <f>VLOOKUP(C5594,METADATA!$A$5:$H$29,IF(E5594="HI",2,IF(E5594="LO",6,10))+IF(D5594=1,2,IF(D5594=7,1,(IF(WEEKDAY(B5594)=1,2,IF(WEEKDAY(B5594)=7,1,0))))))</f>
        <v>3</v>
      </c>
      <c r="G5594" s="369">
        <f>VLOOKUP(C5594,METADATA!$J$5:$Q$29,IF(E5594="HI",2,IF(E5594="LO",6,10))+IF(D5594=1,2,IF(D5594=7,1,(IF(WEEKDAY(B5594)=1,2,IF(WEEKDAY(B5594)=7,1,0))))))</f>
        <v>3</v>
      </c>
      <c r="H5594" s="370">
        <v>13232.3251953125</v>
      </c>
      <c r="I5594" s="370">
        <v>4020.719970703125</v>
      </c>
      <c r="M5594" s="371">
        <f t="shared" si="349"/>
        <v>13829.700617052884</v>
      </c>
      <c r="N5594" s="329">
        <f t="shared" si="350"/>
        <v>51.022412109375182</v>
      </c>
      <c r="T5594" s="331">
        <v>0</v>
      </c>
      <c r="U5594" s="328">
        <f>VLOOKUP(C5594,METADATA!$J$5:$Q$29,IF(E5594="HI",2,IF(E5594="LO",6,10))+IF(T5594=1,2,IF(D5594=7,1,(IF(WEEKDAY(B5594)=1,2,IF(WEEKDAY(B5594)=7,1,0))))))</f>
        <v>3</v>
      </c>
      <c r="V5594" s="328">
        <f>VLOOKUP(C5594,METADATA!$A$5:$H$29,IF(E5594="HI",2,IF(E5594="LO",6,10))+IF(T5594=1,2,IF(D5594=7,1,(IF(WEEKDAY(B5594)=1,2,IF(WEEKDAY(B5594)=7,1,0))))))</f>
        <v>3</v>
      </c>
    </row>
    <row r="5595" spans="2:22">
      <c r="B5595" s="318">
        <f t="shared" si="347"/>
        <v>46345</v>
      </c>
      <c r="C5595" s="312">
        <v>23</v>
      </c>
      <c r="D5595" s="368">
        <f>IFERROR((INDEX(METADATA!$T$2:$T$20,MATCH(B5595,METADATA!$S$2:$S$20,0))),0)</f>
        <v>0</v>
      </c>
      <c r="E5595" s="312" t="str">
        <f t="shared" si="348"/>
        <v>LO</v>
      </c>
      <c r="F5595" s="369">
        <f>VLOOKUP(C5595,METADATA!$A$5:$H$29,IF(E5595="HI",2,IF(E5595="LO",6,10))+IF(D5595=1,2,IF(D5595=7,1,(IF(WEEKDAY(B5595)=1,2,IF(WEEKDAY(B5595)=7,1,0))))))</f>
        <v>3</v>
      </c>
      <c r="G5595" s="369">
        <f>VLOOKUP(C5595,METADATA!$J$5:$Q$29,IF(E5595="HI",2,IF(E5595="LO",6,10))+IF(D5595=1,2,IF(D5595=7,1,(IF(WEEKDAY(B5595)=1,2,IF(WEEKDAY(B5595)=7,1,0))))))</f>
        <v>3</v>
      </c>
      <c r="H5595" s="370">
        <v>13169.349853515625</v>
      </c>
      <c r="I5595" s="370">
        <v>4038.4000244140625</v>
      </c>
      <c r="M5595" s="371">
        <f t="shared" si="349"/>
        <v>13774.630678224354</v>
      </c>
      <c r="N5595" s="329">
        <f t="shared" si="350"/>
        <v>87.595068359375091</v>
      </c>
      <c r="T5595" s="331">
        <v>0</v>
      </c>
      <c r="U5595" s="328">
        <f>VLOOKUP(C5595,METADATA!$J$5:$Q$29,IF(E5595="HI",2,IF(E5595="LO",6,10))+IF(T5595=1,2,IF(D5595=7,1,(IF(WEEKDAY(B5595)=1,2,IF(WEEKDAY(B5595)=7,1,0))))))</f>
        <v>3</v>
      </c>
      <c r="V5595" s="328">
        <f>VLOOKUP(C5595,METADATA!$A$5:$H$29,IF(E5595="HI",2,IF(E5595="LO",6,10))+IF(T5595=1,2,IF(D5595=7,1,(IF(WEEKDAY(B5595)=1,2,IF(WEEKDAY(B5595)=7,1,0))))))</f>
        <v>3</v>
      </c>
    </row>
    <row r="5596" spans="2:22">
      <c r="B5596" s="318">
        <f t="shared" ref="B5596:B5659" si="351">B5572+1</f>
        <v>46346</v>
      </c>
      <c r="C5596" s="312">
        <v>0</v>
      </c>
      <c r="D5596" s="368">
        <f>IFERROR((INDEX(METADATA!$T$2:$T$20,MATCH(B5596,METADATA!$S$2:$S$20,0))),0)</f>
        <v>0</v>
      </c>
      <c r="E5596" s="312" t="str">
        <f t="shared" si="348"/>
        <v>LO</v>
      </c>
      <c r="F5596" s="369">
        <f>VLOOKUP(C5596,METADATA!$A$5:$H$29,IF(E5596="HI",2,IF(E5596="LO",6,10))+IF(D5596=1,2,IF(D5596=7,1,(IF(WEEKDAY(B5596)=1,2,IF(WEEKDAY(B5596)=7,1,0))))))</f>
        <v>3</v>
      </c>
      <c r="G5596" s="369">
        <f>VLOOKUP(C5596,METADATA!$J$5:$Q$29,IF(E5596="HI",2,IF(E5596="LO",6,10))+IF(D5596=1,2,IF(D5596=7,1,(IF(WEEKDAY(B5596)=1,2,IF(WEEKDAY(B5596)=7,1,0))))))</f>
        <v>3</v>
      </c>
      <c r="H5596" s="370">
        <v>13089.150329589844</v>
      </c>
      <c r="I5596" s="370">
        <v>4118.9698791503906</v>
      </c>
      <c r="M5596" s="371">
        <f t="shared" si="349"/>
        <v>13721.944804434614</v>
      </c>
      <c r="N5596" s="329">
        <f t="shared" si="350"/>
        <v>192.22478027343777</v>
      </c>
      <c r="T5596" s="331">
        <v>0</v>
      </c>
      <c r="U5596" s="328">
        <f>VLOOKUP(C5596,METADATA!$J$5:$Q$29,IF(E5596="HI",2,IF(E5596="LO",6,10))+IF(T5596=1,2,IF(D5596=7,1,(IF(WEEKDAY(B5596)=1,2,IF(WEEKDAY(B5596)=7,1,0))))))</f>
        <v>3</v>
      </c>
      <c r="V5596" s="328">
        <f>VLOOKUP(C5596,METADATA!$A$5:$H$29,IF(E5596="HI",2,IF(E5596="LO",6,10))+IF(T5596=1,2,IF(D5596=7,1,(IF(WEEKDAY(B5596)=1,2,IF(WEEKDAY(B5596)=7,1,0))))))</f>
        <v>3</v>
      </c>
    </row>
    <row r="5597" spans="2:22">
      <c r="B5597" s="318">
        <f t="shared" si="351"/>
        <v>46346</v>
      </c>
      <c r="C5597" s="312">
        <v>1</v>
      </c>
      <c r="D5597" s="368">
        <f>IFERROR((INDEX(METADATA!$T$2:$T$20,MATCH(B5597,METADATA!$S$2:$S$20,0))),0)</f>
        <v>0</v>
      </c>
      <c r="E5597" s="312" t="str">
        <f t="shared" si="348"/>
        <v>LO</v>
      </c>
      <c r="F5597" s="369">
        <f>VLOOKUP(C5597,METADATA!$A$5:$H$29,IF(E5597="HI",2,IF(E5597="LO",6,10))+IF(D5597=1,2,IF(D5597=7,1,(IF(WEEKDAY(B5597)=1,2,IF(WEEKDAY(B5597)=7,1,0))))))</f>
        <v>3</v>
      </c>
      <c r="G5597" s="369">
        <f>VLOOKUP(C5597,METADATA!$J$5:$Q$29,IF(E5597="HI",2,IF(E5597="LO",6,10))+IF(D5597=1,2,IF(D5597=7,1,(IF(WEEKDAY(B5597)=1,2,IF(WEEKDAY(B5597)=7,1,0))))))</f>
        <v>3</v>
      </c>
      <c r="H5597" s="370">
        <v>13143.662292480469</v>
      </c>
      <c r="I5597" s="370">
        <v>4112.8699951171875</v>
      </c>
      <c r="M5597" s="371">
        <f t="shared" si="349"/>
        <v>13772.129757430701</v>
      </c>
      <c r="N5597" s="329">
        <f t="shared" si="350"/>
        <v>169.77130737304697</v>
      </c>
      <c r="T5597" s="331">
        <v>0</v>
      </c>
      <c r="U5597" s="328">
        <f>VLOOKUP(C5597,METADATA!$J$5:$Q$29,IF(E5597="HI",2,IF(E5597="LO",6,10))+IF(T5597=1,2,IF(D5597=7,1,(IF(WEEKDAY(B5597)=1,2,IF(WEEKDAY(B5597)=7,1,0))))))</f>
        <v>3</v>
      </c>
      <c r="V5597" s="328">
        <f>VLOOKUP(C5597,METADATA!$A$5:$H$29,IF(E5597="HI",2,IF(E5597="LO",6,10))+IF(T5597=1,2,IF(D5597=7,1,(IF(WEEKDAY(B5597)=1,2,IF(WEEKDAY(B5597)=7,1,0))))))</f>
        <v>3</v>
      </c>
    </row>
    <row r="5598" spans="2:22">
      <c r="B5598" s="318">
        <f t="shared" si="351"/>
        <v>46346</v>
      </c>
      <c r="C5598" s="312">
        <v>2</v>
      </c>
      <c r="D5598" s="368">
        <f>IFERROR((INDEX(METADATA!$T$2:$T$20,MATCH(B5598,METADATA!$S$2:$S$20,0))),0)</f>
        <v>0</v>
      </c>
      <c r="E5598" s="312" t="str">
        <f t="shared" si="348"/>
        <v>LO</v>
      </c>
      <c r="F5598" s="369">
        <f>VLOOKUP(C5598,METADATA!$A$5:$H$29,IF(E5598="HI",2,IF(E5598="LO",6,10))+IF(D5598=1,2,IF(D5598=7,1,(IF(WEEKDAY(B5598)=1,2,IF(WEEKDAY(B5598)=7,1,0))))))</f>
        <v>3</v>
      </c>
      <c r="G5598" s="369">
        <f>VLOOKUP(C5598,METADATA!$J$5:$Q$29,IF(E5598="HI",2,IF(E5598="LO",6,10))+IF(D5598=1,2,IF(D5598=7,1,(IF(WEEKDAY(B5598)=1,2,IF(WEEKDAY(B5598)=7,1,0))))))</f>
        <v>3</v>
      </c>
      <c r="H5598" s="370">
        <v>13016.874633789063</v>
      </c>
      <c r="I5598" s="370">
        <v>4148.119873046875</v>
      </c>
      <c r="M5598" s="371">
        <f t="shared" si="349"/>
        <v>13661.841885812746</v>
      </c>
      <c r="N5598" s="329">
        <f t="shared" si="350"/>
        <v>243.05748291015652</v>
      </c>
      <c r="T5598" s="331">
        <v>0</v>
      </c>
      <c r="U5598" s="328">
        <f>VLOOKUP(C5598,METADATA!$J$5:$Q$29,IF(E5598="HI",2,IF(E5598="LO",6,10))+IF(T5598=1,2,IF(D5598=7,1,(IF(WEEKDAY(B5598)=1,2,IF(WEEKDAY(B5598)=7,1,0))))))</f>
        <v>3</v>
      </c>
      <c r="V5598" s="328">
        <f>VLOOKUP(C5598,METADATA!$A$5:$H$29,IF(E5598="HI",2,IF(E5598="LO",6,10))+IF(T5598=1,2,IF(D5598=7,1,(IF(WEEKDAY(B5598)=1,2,IF(WEEKDAY(B5598)=7,1,0))))))</f>
        <v>3</v>
      </c>
    </row>
    <row r="5599" spans="2:22">
      <c r="B5599" s="318">
        <f t="shared" si="351"/>
        <v>46346</v>
      </c>
      <c r="C5599" s="312">
        <v>3</v>
      </c>
      <c r="D5599" s="368">
        <f>IFERROR((INDEX(METADATA!$T$2:$T$20,MATCH(B5599,METADATA!$S$2:$S$20,0))),0)</f>
        <v>0</v>
      </c>
      <c r="E5599" s="312" t="str">
        <f t="shared" si="348"/>
        <v>LO</v>
      </c>
      <c r="F5599" s="369">
        <f>VLOOKUP(C5599,METADATA!$A$5:$H$29,IF(E5599="HI",2,IF(E5599="LO",6,10))+IF(D5599=1,2,IF(D5599=7,1,(IF(WEEKDAY(B5599)=1,2,IF(WEEKDAY(B5599)=7,1,0))))))</f>
        <v>3</v>
      </c>
      <c r="G5599" s="369">
        <f>VLOOKUP(C5599,METADATA!$J$5:$Q$29,IF(E5599="HI",2,IF(E5599="LO",6,10))+IF(D5599=1,2,IF(D5599=7,1,(IF(WEEKDAY(B5599)=1,2,IF(WEEKDAY(B5599)=7,1,0))))))</f>
        <v>3</v>
      </c>
      <c r="H5599" s="370">
        <v>11261.125122070313</v>
      </c>
      <c r="I5599" s="370">
        <v>3548.5549507141113</v>
      </c>
      <c r="M5599" s="371">
        <f t="shared" si="349"/>
        <v>11806.997131072776</v>
      </c>
      <c r="N5599" s="329">
        <f t="shared" si="350"/>
        <v>170.21741409301785</v>
      </c>
      <c r="T5599" s="331">
        <v>0</v>
      </c>
      <c r="U5599" s="328">
        <f>VLOOKUP(C5599,METADATA!$J$5:$Q$29,IF(E5599="HI",2,IF(E5599="LO",6,10))+IF(T5599=1,2,IF(D5599=7,1,(IF(WEEKDAY(B5599)=1,2,IF(WEEKDAY(B5599)=7,1,0))))))</f>
        <v>3</v>
      </c>
      <c r="V5599" s="328">
        <f>VLOOKUP(C5599,METADATA!$A$5:$H$29,IF(E5599="HI",2,IF(E5599="LO",6,10))+IF(T5599=1,2,IF(D5599=7,1,(IF(WEEKDAY(B5599)=1,2,IF(WEEKDAY(B5599)=7,1,0))))))</f>
        <v>3</v>
      </c>
    </row>
    <row r="5600" spans="2:22">
      <c r="B5600" s="318">
        <f t="shared" si="351"/>
        <v>46346</v>
      </c>
      <c r="C5600" s="312">
        <v>4</v>
      </c>
      <c r="D5600" s="368">
        <f>IFERROR((INDEX(METADATA!$T$2:$T$20,MATCH(B5600,METADATA!$S$2:$S$20,0))),0)</f>
        <v>0</v>
      </c>
      <c r="E5600" s="312" t="str">
        <f t="shared" si="348"/>
        <v>LO</v>
      </c>
      <c r="F5600" s="369">
        <f>VLOOKUP(C5600,METADATA!$A$5:$H$29,IF(E5600="HI",2,IF(E5600="LO",6,10))+IF(D5600=1,2,IF(D5600=7,1,(IF(WEEKDAY(B5600)=1,2,IF(WEEKDAY(B5600)=7,1,0))))))</f>
        <v>3</v>
      </c>
      <c r="G5600" s="369">
        <f>VLOOKUP(C5600,METADATA!$J$5:$Q$29,IF(E5600="HI",2,IF(E5600="LO",6,10))+IF(D5600=1,2,IF(D5600=7,1,(IF(WEEKDAY(B5600)=1,2,IF(WEEKDAY(B5600)=7,1,0))))))</f>
        <v>3</v>
      </c>
      <c r="H5600" s="370">
        <v>5964.60009765625</v>
      </c>
      <c r="I5600" s="370">
        <v>1705.4349975585938</v>
      </c>
      <c r="M5600" s="371">
        <f t="shared" si="349"/>
        <v>6203.6249770483892</v>
      </c>
      <c r="N5600" s="329">
        <f t="shared" si="350"/>
        <v>0</v>
      </c>
      <c r="T5600" s="331">
        <v>0</v>
      </c>
      <c r="U5600" s="328">
        <f>VLOOKUP(C5600,METADATA!$J$5:$Q$29,IF(E5600="HI",2,IF(E5600="LO",6,10))+IF(T5600=1,2,IF(D5600=7,1,(IF(WEEKDAY(B5600)=1,2,IF(WEEKDAY(B5600)=7,1,0))))))</f>
        <v>3</v>
      </c>
      <c r="V5600" s="328">
        <f>VLOOKUP(C5600,METADATA!$A$5:$H$29,IF(E5600="HI",2,IF(E5600="LO",6,10))+IF(T5600=1,2,IF(D5600=7,1,(IF(WEEKDAY(B5600)=1,2,IF(WEEKDAY(B5600)=7,1,0))))))</f>
        <v>3</v>
      </c>
    </row>
    <row r="5601" spans="2:22">
      <c r="B5601" s="318">
        <f t="shared" si="351"/>
        <v>46346</v>
      </c>
      <c r="C5601" s="312">
        <v>5</v>
      </c>
      <c r="D5601" s="368">
        <f>IFERROR((INDEX(METADATA!$T$2:$T$20,MATCH(B5601,METADATA!$S$2:$S$20,0))),0)</f>
        <v>0</v>
      </c>
      <c r="E5601" s="312" t="str">
        <f t="shared" si="348"/>
        <v>LO</v>
      </c>
      <c r="F5601" s="369">
        <f>VLOOKUP(C5601,METADATA!$A$5:$H$29,IF(E5601="HI",2,IF(E5601="LO",6,10))+IF(D5601=1,2,IF(D5601=7,1,(IF(WEEKDAY(B5601)=1,2,IF(WEEKDAY(B5601)=7,1,0))))))</f>
        <v>3</v>
      </c>
      <c r="G5601" s="369">
        <f>VLOOKUP(C5601,METADATA!$J$5:$Q$29,IF(E5601="HI",2,IF(E5601="LO",6,10))+IF(D5601=1,2,IF(D5601=7,1,(IF(WEEKDAY(B5601)=1,2,IF(WEEKDAY(B5601)=7,1,0))))))</f>
        <v>3</v>
      </c>
      <c r="H5601" s="370">
        <v>6470.0999145507813</v>
      </c>
      <c r="I5601" s="370">
        <v>1590.697509765625</v>
      </c>
      <c r="M5601" s="371">
        <f t="shared" si="349"/>
        <v>6662.7705552453617</v>
      </c>
      <c r="N5601" s="329">
        <f t="shared" si="350"/>
        <v>0</v>
      </c>
      <c r="T5601" s="331">
        <v>0</v>
      </c>
      <c r="U5601" s="328">
        <f>VLOOKUP(C5601,METADATA!$J$5:$Q$29,IF(E5601="HI",2,IF(E5601="LO",6,10))+IF(T5601=1,2,IF(D5601=7,1,(IF(WEEKDAY(B5601)=1,2,IF(WEEKDAY(B5601)=7,1,0))))))</f>
        <v>3</v>
      </c>
      <c r="V5601" s="328">
        <f>VLOOKUP(C5601,METADATA!$A$5:$H$29,IF(E5601="HI",2,IF(E5601="LO",6,10))+IF(T5601=1,2,IF(D5601=7,1,(IF(WEEKDAY(B5601)=1,2,IF(WEEKDAY(B5601)=7,1,0))))))</f>
        <v>3</v>
      </c>
    </row>
    <row r="5602" spans="2:22">
      <c r="B5602" s="318">
        <f t="shared" si="351"/>
        <v>46346</v>
      </c>
      <c r="C5602" s="312">
        <v>6</v>
      </c>
      <c r="D5602" s="368">
        <f>IFERROR((INDEX(METADATA!$T$2:$T$20,MATCH(B5602,METADATA!$S$2:$S$20,0))),0)</f>
        <v>0</v>
      </c>
      <c r="E5602" s="312" t="str">
        <f t="shared" si="348"/>
        <v>LO</v>
      </c>
      <c r="F5602" s="369">
        <f>VLOOKUP(C5602,METADATA!$A$5:$H$29,IF(E5602="HI",2,IF(E5602="LO",6,10))+IF(D5602=1,2,IF(D5602=7,1,(IF(WEEKDAY(B5602)=1,2,IF(WEEKDAY(B5602)=7,1,0))))))</f>
        <v>2</v>
      </c>
      <c r="G5602" s="369">
        <f>VLOOKUP(C5602,METADATA!$J$5:$Q$29,IF(E5602="HI",2,IF(E5602="LO",6,10))+IF(D5602=1,2,IF(D5602=7,1,(IF(WEEKDAY(B5602)=1,2,IF(WEEKDAY(B5602)=7,1,0))))))</f>
        <v>2</v>
      </c>
      <c r="H5602" s="370">
        <v>10510.324890136719</v>
      </c>
      <c r="I5602" s="370">
        <v>2532.3124542236328</v>
      </c>
      <c r="M5602" s="371">
        <f t="shared" si="349"/>
        <v>10811.083926325035</v>
      </c>
      <c r="N5602" s="329">
        <f t="shared" si="350"/>
        <v>0</v>
      </c>
      <c r="T5602" s="331">
        <v>0</v>
      </c>
      <c r="U5602" s="328">
        <f>VLOOKUP(C5602,METADATA!$J$5:$Q$29,IF(E5602="HI",2,IF(E5602="LO",6,10))+IF(T5602=1,2,IF(D5602=7,1,(IF(WEEKDAY(B5602)=1,2,IF(WEEKDAY(B5602)=7,1,0))))))</f>
        <v>2</v>
      </c>
      <c r="V5602" s="328">
        <f>VLOOKUP(C5602,METADATA!$A$5:$H$29,IF(E5602="HI",2,IF(E5602="LO",6,10))+IF(T5602=1,2,IF(D5602=7,1,(IF(WEEKDAY(B5602)=1,2,IF(WEEKDAY(B5602)=7,1,0))))))</f>
        <v>2</v>
      </c>
    </row>
    <row r="5603" spans="2:22">
      <c r="B5603" s="318">
        <f t="shared" si="351"/>
        <v>46346</v>
      </c>
      <c r="C5603" s="312">
        <v>7</v>
      </c>
      <c r="D5603" s="368">
        <f>IFERROR((INDEX(METADATA!$T$2:$T$20,MATCH(B5603,METADATA!$S$2:$S$20,0))),0)</f>
        <v>0</v>
      </c>
      <c r="E5603" s="312" t="str">
        <f t="shared" si="348"/>
        <v>LO</v>
      </c>
      <c r="F5603" s="369">
        <f>VLOOKUP(C5603,METADATA!$A$5:$H$29,IF(E5603="HI",2,IF(E5603="LO",6,10))+IF(D5603=1,2,IF(D5603=7,1,(IF(WEEKDAY(B5603)=1,2,IF(WEEKDAY(B5603)=7,1,0))))))</f>
        <v>1</v>
      </c>
      <c r="G5603" s="369">
        <f>VLOOKUP(C5603,METADATA!$J$5:$Q$29,IF(E5603="HI",2,IF(E5603="LO",6,10))+IF(D5603=1,2,IF(D5603=7,1,(IF(WEEKDAY(B5603)=1,2,IF(WEEKDAY(B5603)=7,1,0))))))</f>
        <v>1</v>
      </c>
      <c r="H5603" s="370">
        <v>12547.200256347656</v>
      </c>
      <c r="I5603" s="370">
        <v>3779.4625244140625</v>
      </c>
      <c r="M5603" s="371">
        <f t="shared" si="349"/>
        <v>13104.066973514024</v>
      </c>
      <c r="N5603" s="329">
        <f t="shared" si="350"/>
        <v>15.302447509765898</v>
      </c>
      <c r="T5603" s="331">
        <v>0</v>
      </c>
      <c r="U5603" s="328">
        <f>VLOOKUP(C5603,METADATA!$J$5:$Q$29,IF(E5603="HI",2,IF(E5603="LO",6,10))+IF(T5603=1,2,IF(D5603=7,1,(IF(WEEKDAY(B5603)=1,2,IF(WEEKDAY(B5603)=7,1,0))))))</f>
        <v>1</v>
      </c>
      <c r="V5603" s="328">
        <f>VLOOKUP(C5603,METADATA!$A$5:$H$29,IF(E5603="HI",2,IF(E5603="LO",6,10))+IF(T5603=1,2,IF(D5603=7,1,(IF(WEEKDAY(B5603)=1,2,IF(WEEKDAY(B5603)=7,1,0))))))</f>
        <v>1</v>
      </c>
    </row>
    <row r="5604" spans="2:22">
      <c r="B5604" s="318">
        <f t="shared" si="351"/>
        <v>46346</v>
      </c>
      <c r="C5604" s="312">
        <v>8</v>
      </c>
      <c r="D5604" s="368">
        <f>IFERROR((INDEX(METADATA!$T$2:$T$20,MATCH(B5604,METADATA!$S$2:$S$20,0))),0)</f>
        <v>0</v>
      </c>
      <c r="E5604" s="312" t="str">
        <f t="shared" si="348"/>
        <v>LO</v>
      </c>
      <c r="F5604" s="369">
        <f>VLOOKUP(C5604,METADATA!$A$5:$H$29,IF(E5604="HI",2,IF(E5604="LO",6,10))+IF(D5604=1,2,IF(D5604=7,1,(IF(WEEKDAY(B5604)=1,2,IF(WEEKDAY(B5604)=7,1,0))))))</f>
        <v>1</v>
      </c>
      <c r="G5604" s="369">
        <f>VLOOKUP(C5604,METADATA!$J$5:$Q$29,IF(E5604="HI",2,IF(E5604="LO",6,10))+IF(D5604=1,2,IF(D5604=7,1,(IF(WEEKDAY(B5604)=1,2,IF(WEEKDAY(B5604)=7,1,0))))))</f>
        <v>1</v>
      </c>
      <c r="H5604" s="370">
        <v>13075.075073242188</v>
      </c>
      <c r="I5604" s="370">
        <v>4565.4349060058594</v>
      </c>
      <c r="M5604" s="371">
        <f t="shared" si="349"/>
        <v>13849.216008565103</v>
      </c>
      <c r="N5604" s="329">
        <f t="shared" si="350"/>
        <v>642.91238403320313</v>
      </c>
      <c r="T5604" s="331">
        <v>0</v>
      </c>
      <c r="U5604" s="328">
        <f>VLOOKUP(C5604,METADATA!$J$5:$Q$29,IF(E5604="HI",2,IF(E5604="LO",6,10))+IF(T5604=1,2,IF(D5604=7,1,(IF(WEEKDAY(B5604)=1,2,IF(WEEKDAY(B5604)=7,1,0))))))</f>
        <v>1</v>
      </c>
      <c r="V5604" s="328">
        <f>VLOOKUP(C5604,METADATA!$A$5:$H$29,IF(E5604="HI",2,IF(E5604="LO",6,10))+IF(T5604=1,2,IF(D5604=7,1,(IF(WEEKDAY(B5604)=1,2,IF(WEEKDAY(B5604)=7,1,0))))))</f>
        <v>1</v>
      </c>
    </row>
    <row r="5605" spans="2:22">
      <c r="B5605" s="318">
        <f t="shared" si="351"/>
        <v>46346</v>
      </c>
      <c r="C5605" s="312">
        <v>9</v>
      </c>
      <c r="D5605" s="368">
        <f>IFERROR((INDEX(METADATA!$T$2:$T$20,MATCH(B5605,METADATA!$S$2:$S$20,0))),0)</f>
        <v>0</v>
      </c>
      <c r="E5605" s="312" t="str">
        <f t="shared" si="348"/>
        <v>LO</v>
      </c>
      <c r="F5605" s="369">
        <f>VLOOKUP(C5605,METADATA!$A$5:$H$29,IF(E5605="HI",2,IF(E5605="LO",6,10))+IF(D5605=1,2,IF(D5605=7,1,(IF(WEEKDAY(B5605)=1,2,IF(WEEKDAY(B5605)=7,1,0))))))</f>
        <v>2</v>
      </c>
      <c r="G5605" s="369">
        <f>VLOOKUP(C5605,METADATA!$J$5:$Q$29,IF(E5605="HI",2,IF(E5605="LO",6,10))+IF(D5605=1,2,IF(D5605=7,1,(IF(WEEKDAY(B5605)=1,2,IF(WEEKDAY(B5605)=7,1,0))))))</f>
        <v>2</v>
      </c>
      <c r="H5605" s="370">
        <v>13150.375122070313</v>
      </c>
      <c r="I5605" s="370">
        <v>4594.3749084472656</v>
      </c>
      <c r="M5605" s="371">
        <f t="shared" si="349"/>
        <v>13929.847330481967</v>
      </c>
      <c r="N5605" s="329">
        <f t="shared" si="350"/>
        <v>649.26237182617206</v>
      </c>
      <c r="T5605" s="331">
        <v>0</v>
      </c>
      <c r="U5605" s="328">
        <f>VLOOKUP(C5605,METADATA!$J$5:$Q$29,IF(E5605="HI",2,IF(E5605="LO",6,10))+IF(T5605=1,2,IF(D5605=7,1,(IF(WEEKDAY(B5605)=1,2,IF(WEEKDAY(B5605)=7,1,0))))))</f>
        <v>2</v>
      </c>
      <c r="V5605" s="328">
        <f>VLOOKUP(C5605,METADATA!$A$5:$H$29,IF(E5605="HI",2,IF(E5605="LO",6,10))+IF(T5605=1,2,IF(D5605=7,1,(IF(WEEKDAY(B5605)=1,2,IF(WEEKDAY(B5605)=7,1,0))))))</f>
        <v>2</v>
      </c>
    </row>
    <row r="5606" spans="2:22">
      <c r="B5606" s="318">
        <f t="shared" si="351"/>
        <v>46346</v>
      </c>
      <c r="C5606" s="312">
        <v>10</v>
      </c>
      <c r="D5606" s="368">
        <f>IFERROR((INDEX(METADATA!$T$2:$T$20,MATCH(B5606,METADATA!$S$2:$S$20,0))),0)</f>
        <v>0</v>
      </c>
      <c r="E5606" s="312" t="str">
        <f t="shared" si="348"/>
        <v>LO</v>
      </c>
      <c r="F5606" s="369">
        <f>VLOOKUP(C5606,METADATA!$A$5:$H$29,IF(E5606="HI",2,IF(E5606="LO",6,10))+IF(D5606=1,2,IF(D5606=7,1,(IF(WEEKDAY(B5606)=1,2,IF(WEEKDAY(B5606)=7,1,0))))))</f>
        <v>2</v>
      </c>
      <c r="G5606" s="369">
        <f>VLOOKUP(C5606,METADATA!$J$5:$Q$29,IF(E5606="HI",2,IF(E5606="LO",6,10))+IF(D5606=1,2,IF(D5606=7,1,(IF(WEEKDAY(B5606)=1,2,IF(WEEKDAY(B5606)=7,1,0))))))</f>
        <v>2</v>
      </c>
      <c r="H5606" s="370">
        <v>13199.525024414063</v>
      </c>
      <c r="I5606" s="370">
        <v>4634.9649658203125</v>
      </c>
      <c r="M5606" s="371">
        <f t="shared" si="349"/>
        <v>13989.651929355308</v>
      </c>
      <c r="N5606" s="329">
        <f t="shared" si="350"/>
        <v>675.10745849609384</v>
      </c>
      <c r="T5606" s="331">
        <v>0</v>
      </c>
      <c r="U5606" s="328">
        <f>VLOOKUP(C5606,METADATA!$J$5:$Q$29,IF(E5606="HI",2,IF(E5606="LO",6,10))+IF(T5606=1,2,IF(D5606=7,1,(IF(WEEKDAY(B5606)=1,2,IF(WEEKDAY(B5606)=7,1,0))))))</f>
        <v>2</v>
      </c>
      <c r="V5606" s="328">
        <f>VLOOKUP(C5606,METADATA!$A$5:$H$29,IF(E5606="HI",2,IF(E5606="LO",6,10))+IF(T5606=1,2,IF(D5606=7,1,(IF(WEEKDAY(B5606)=1,2,IF(WEEKDAY(B5606)=7,1,0))))))</f>
        <v>2</v>
      </c>
    </row>
    <row r="5607" spans="2:22">
      <c r="B5607" s="318">
        <f t="shared" si="351"/>
        <v>46346</v>
      </c>
      <c r="C5607" s="312">
        <v>11</v>
      </c>
      <c r="D5607" s="368">
        <f>IFERROR((INDEX(METADATA!$T$2:$T$20,MATCH(B5607,METADATA!$S$2:$S$20,0))),0)</f>
        <v>0</v>
      </c>
      <c r="E5607" s="312" t="str">
        <f t="shared" si="348"/>
        <v>LO</v>
      </c>
      <c r="F5607" s="369">
        <f>VLOOKUP(C5607,METADATA!$A$5:$H$29,IF(E5607="HI",2,IF(E5607="LO",6,10))+IF(D5607=1,2,IF(D5607=7,1,(IF(WEEKDAY(B5607)=1,2,IF(WEEKDAY(B5607)=7,1,0))))))</f>
        <v>2</v>
      </c>
      <c r="G5607" s="369">
        <f>VLOOKUP(C5607,METADATA!$J$5:$Q$29,IF(E5607="HI",2,IF(E5607="LO",6,10))+IF(D5607=1,2,IF(D5607=7,1,(IF(WEEKDAY(B5607)=1,2,IF(WEEKDAY(B5607)=7,1,0))))))</f>
        <v>2</v>
      </c>
      <c r="H5607" s="370">
        <v>13264.049926757813</v>
      </c>
      <c r="I5607" s="370">
        <v>4820.1499938964844</v>
      </c>
      <c r="M5607" s="371">
        <f t="shared" si="349"/>
        <v>14112.720022135498</v>
      </c>
      <c r="N5607" s="329">
        <f t="shared" si="350"/>
        <v>840.9350158691409</v>
      </c>
      <c r="T5607" s="331">
        <v>0</v>
      </c>
      <c r="U5607" s="328">
        <f>VLOOKUP(C5607,METADATA!$J$5:$Q$29,IF(E5607="HI",2,IF(E5607="LO",6,10))+IF(T5607=1,2,IF(D5607=7,1,(IF(WEEKDAY(B5607)=1,2,IF(WEEKDAY(B5607)=7,1,0))))))</f>
        <v>2</v>
      </c>
      <c r="V5607" s="328">
        <f>VLOOKUP(C5607,METADATA!$A$5:$H$29,IF(E5607="HI",2,IF(E5607="LO",6,10))+IF(T5607=1,2,IF(D5607=7,1,(IF(WEEKDAY(B5607)=1,2,IF(WEEKDAY(B5607)=7,1,0))))))</f>
        <v>2</v>
      </c>
    </row>
    <row r="5608" spans="2:22">
      <c r="B5608" s="318">
        <f t="shared" si="351"/>
        <v>46346</v>
      </c>
      <c r="C5608" s="312">
        <v>12</v>
      </c>
      <c r="D5608" s="368">
        <f>IFERROR((INDEX(METADATA!$T$2:$T$20,MATCH(B5608,METADATA!$S$2:$S$20,0))),0)</f>
        <v>0</v>
      </c>
      <c r="E5608" s="312" t="str">
        <f t="shared" si="348"/>
        <v>LO</v>
      </c>
      <c r="F5608" s="369">
        <f>VLOOKUP(C5608,METADATA!$A$5:$H$29,IF(E5608="HI",2,IF(E5608="LO",6,10))+IF(D5608=1,2,IF(D5608=7,1,(IF(WEEKDAY(B5608)=1,2,IF(WEEKDAY(B5608)=7,1,0))))))</f>
        <v>2</v>
      </c>
      <c r="G5608" s="369">
        <f>VLOOKUP(C5608,METADATA!$J$5:$Q$29,IF(E5608="HI",2,IF(E5608="LO",6,10))+IF(D5608=1,2,IF(D5608=7,1,(IF(WEEKDAY(B5608)=1,2,IF(WEEKDAY(B5608)=7,1,0))))))</f>
        <v>2</v>
      </c>
      <c r="H5608" s="370">
        <v>13230.149597167969</v>
      </c>
      <c r="I5608" s="370">
        <v>4916.7698974609375</v>
      </c>
      <c r="M5608" s="371">
        <f t="shared" si="349"/>
        <v>14114.229861668748</v>
      </c>
      <c r="N5608" s="329">
        <f t="shared" si="350"/>
        <v>947.72501831054706</v>
      </c>
      <c r="T5608" s="331">
        <v>0</v>
      </c>
      <c r="U5608" s="328">
        <f>VLOOKUP(C5608,METADATA!$J$5:$Q$29,IF(E5608="HI",2,IF(E5608="LO",6,10))+IF(T5608=1,2,IF(D5608=7,1,(IF(WEEKDAY(B5608)=1,2,IF(WEEKDAY(B5608)=7,1,0))))))</f>
        <v>2</v>
      </c>
      <c r="V5608" s="328">
        <f>VLOOKUP(C5608,METADATA!$A$5:$H$29,IF(E5608="HI",2,IF(E5608="LO",6,10))+IF(T5608=1,2,IF(D5608=7,1,(IF(WEEKDAY(B5608)=1,2,IF(WEEKDAY(B5608)=7,1,0))))))</f>
        <v>2</v>
      </c>
    </row>
    <row r="5609" spans="2:22">
      <c r="B5609" s="318">
        <f t="shared" si="351"/>
        <v>46346</v>
      </c>
      <c r="C5609" s="312">
        <v>13</v>
      </c>
      <c r="D5609" s="368">
        <f>IFERROR((INDEX(METADATA!$T$2:$T$20,MATCH(B5609,METADATA!$S$2:$S$20,0))),0)</f>
        <v>0</v>
      </c>
      <c r="E5609" s="312" t="str">
        <f t="shared" si="348"/>
        <v>LO</v>
      </c>
      <c r="F5609" s="369">
        <f>VLOOKUP(C5609,METADATA!$A$5:$H$29,IF(E5609="HI",2,IF(E5609="LO",6,10))+IF(D5609=1,2,IF(D5609=7,1,(IF(WEEKDAY(B5609)=1,2,IF(WEEKDAY(B5609)=7,1,0))))))</f>
        <v>2</v>
      </c>
      <c r="G5609" s="369">
        <f>VLOOKUP(C5609,METADATA!$J$5:$Q$29,IF(E5609="HI",2,IF(E5609="LO",6,10))+IF(D5609=1,2,IF(D5609=7,1,(IF(WEEKDAY(B5609)=1,2,IF(WEEKDAY(B5609)=7,1,0))))))</f>
        <v>2</v>
      </c>
      <c r="H5609" s="370">
        <v>13448.474975585938</v>
      </c>
      <c r="I5609" s="370">
        <v>5008.02490234375</v>
      </c>
      <c r="M5609" s="371">
        <f t="shared" si="349"/>
        <v>14350.672199986184</v>
      </c>
      <c r="N5609" s="329">
        <f t="shared" si="350"/>
        <v>973.48240966796902</v>
      </c>
      <c r="T5609" s="331">
        <v>0</v>
      </c>
      <c r="U5609" s="328">
        <f>VLOOKUP(C5609,METADATA!$J$5:$Q$29,IF(E5609="HI",2,IF(E5609="LO",6,10))+IF(T5609=1,2,IF(D5609=7,1,(IF(WEEKDAY(B5609)=1,2,IF(WEEKDAY(B5609)=7,1,0))))))</f>
        <v>2</v>
      </c>
      <c r="V5609" s="328">
        <f>VLOOKUP(C5609,METADATA!$A$5:$H$29,IF(E5609="HI",2,IF(E5609="LO",6,10))+IF(T5609=1,2,IF(D5609=7,1,(IF(WEEKDAY(B5609)=1,2,IF(WEEKDAY(B5609)=7,1,0))))))</f>
        <v>2</v>
      </c>
    </row>
    <row r="5610" spans="2:22">
      <c r="B5610" s="318">
        <f t="shared" si="351"/>
        <v>46346</v>
      </c>
      <c r="C5610" s="312">
        <v>14</v>
      </c>
      <c r="D5610" s="368">
        <f>IFERROR((INDEX(METADATA!$T$2:$T$20,MATCH(B5610,METADATA!$S$2:$S$20,0))),0)</f>
        <v>0</v>
      </c>
      <c r="E5610" s="312" t="str">
        <f t="shared" si="348"/>
        <v>LO</v>
      </c>
      <c r="F5610" s="369">
        <f>VLOOKUP(C5610,METADATA!$A$5:$H$29,IF(E5610="HI",2,IF(E5610="LO",6,10))+IF(D5610=1,2,IF(D5610=7,1,(IF(WEEKDAY(B5610)=1,2,IF(WEEKDAY(B5610)=7,1,0))))))</f>
        <v>2</v>
      </c>
      <c r="G5610" s="369">
        <f>VLOOKUP(C5610,METADATA!$J$5:$Q$29,IF(E5610="HI",2,IF(E5610="LO",6,10))+IF(D5610=1,2,IF(D5610=7,1,(IF(WEEKDAY(B5610)=1,2,IF(WEEKDAY(B5610)=7,1,0))))))</f>
        <v>2</v>
      </c>
      <c r="H5610" s="370">
        <v>13525.75</v>
      </c>
      <c r="I5610" s="370">
        <v>5046.2499084472656</v>
      </c>
      <c r="M5610" s="371">
        <f t="shared" si="349"/>
        <v>14436.431387327133</v>
      </c>
      <c r="N5610" s="329">
        <f t="shared" si="350"/>
        <v>988.52490844726572</v>
      </c>
      <c r="T5610" s="331">
        <v>0</v>
      </c>
      <c r="U5610" s="328">
        <f>VLOOKUP(C5610,METADATA!$J$5:$Q$29,IF(E5610="HI",2,IF(E5610="LO",6,10))+IF(T5610=1,2,IF(D5610=7,1,(IF(WEEKDAY(B5610)=1,2,IF(WEEKDAY(B5610)=7,1,0))))))</f>
        <v>2</v>
      </c>
      <c r="V5610" s="328">
        <f>VLOOKUP(C5610,METADATA!$A$5:$H$29,IF(E5610="HI",2,IF(E5610="LO",6,10))+IF(T5610=1,2,IF(D5610=7,1,(IF(WEEKDAY(B5610)=1,2,IF(WEEKDAY(B5610)=7,1,0))))))</f>
        <v>2</v>
      </c>
    </row>
    <row r="5611" spans="2:22">
      <c r="B5611" s="318">
        <f t="shared" si="351"/>
        <v>46346</v>
      </c>
      <c r="C5611" s="312">
        <v>15</v>
      </c>
      <c r="D5611" s="368">
        <f>IFERROR((INDEX(METADATA!$T$2:$T$20,MATCH(B5611,METADATA!$S$2:$S$20,0))),0)</f>
        <v>0</v>
      </c>
      <c r="E5611" s="312" t="str">
        <f t="shared" si="348"/>
        <v>LO</v>
      </c>
      <c r="F5611" s="369">
        <f>VLOOKUP(C5611,METADATA!$A$5:$H$29,IF(E5611="HI",2,IF(E5611="LO",6,10))+IF(D5611=1,2,IF(D5611=7,1,(IF(WEEKDAY(B5611)=1,2,IF(WEEKDAY(B5611)=7,1,0))))))</f>
        <v>2</v>
      </c>
      <c r="G5611" s="369">
        <f>VLOOKUP(C5611,METADATA!$J$5:$Q$29,IF(E5611="HI",2,IF(E5611="LO",6,10))+IF(D5611=1,2,IF(D5611=7,1,(IF(WEEKDAY(B5611)=1,2,IF(WEEKDAY(B5611)=7,1,0))))))</f>
        <v>2</v>
      </c>
      <c r="H5611" s="370">
        <v>13470.725280761719</v>
      </c>
      <c r="I5611" s="370">
        <v>4961.2500305175781</v>
      </c>
      <c r="M5611" s="371">
        <f t="shared" si="349"/>
        <v>14355.293151136397</v>
      </c>
      <c r="N5611" s="329">
        <f t="shared" si="350"/>
        <v>920.03244628906259</v>
      </c>
      <c r="T5611" s="331">
        <v>0</v>
      </c>
      <c r="U5611" s="328">
        <f>VLOOKUP(C5611,METADATA!$J$5:$Q$29,IF(E5611="HI",2,IF(E5611="LO",6,10))+IF(T5611=1,2,IF(D5611=7,1,(IF(WEEKDAY(B5611)=1,2,IF(WEEKDAY(B5611)=7,1,0))))))</f>
        <v>2</v>
      </c>
      <c r="V5611" s="328">
        <f>VLOOKUP(C5611,METADATA!$A$5:$H$29,IF(E5611="HI",2,IF(E5611="LO",6,10))+IF(T5611=1,2,IF(D5611=7,1,(IF(WEEKDAY(B5611)=1,2,IF(WEEKDAY(B5611)=7,1,0))))))</f>
        <v>2</v>
      </c>
    </row>
    <row r="5612" spans="2:22">
      <c r="B5612" s="318">
        <f t="shared" si="351"/>
        <v>46346</v>
      </c>
      <c r="C5612" s="312">
        <v>16</v>
      </c>
      <c r="D5612" s="368">
        <f>IFERROR((INDEX(METADATA!$T$2:$T$20,MATCH(B5612,METADATA!$S$2:$S$20,0))),0)</f>
        <v>0</v>
      </c>
      <c r="E5612" s="312" t="str">
        <f t="shared" si="348"/>
        <v>LO</v>
      </c>
      <c r="F5612" s="369">
        <f>VLOOKUP(C5612,METADATA!$A$5:$H$29,IF(E5612="HI",2,IF(E5612="LO",6,10))+IF(D5612=1,2,IF(D5612=7,1,(IF(WEEKDAY(B5612)=1,2,IF(WEEKDAY(B5612)=7,1,0))))))</f>
        <v>2</v>
      </c>
      <c r="G5612" s="369">
        <f>VLOOKUP(C5612,METADATA!$J$5:$Q$29,IF(E5612="HI",2,IF(E5612="LO",6,10))+IF(D5612=1,2,IF(D5612=7,1,(IF(WEEKDAY(B5612)=1,2,IF(WEEKDAY(B5612)=7,1,0))))))</f>
        <v>2</v>
      </c>
      <c r="H5612" s="370">
        <v>11837.72509765625</v>
      </c>
      <c r="I5612" s="370">
        <v>4062.4524536132813</v>
      </c>
      <c r="M5612" s="371">
        <f t="shared" si="349"/>
        <v>12515.400729722929</v>
      </c>
      <c r="N5612" s="329">
        <f t="shared" si="350"/>
        <v>511.13492431640634</v>
      </c>
      <c r="T5612" s="331">
        <v>0</v>
      </c>
      <c r="U5612" s="328">
        <f>VLOOKUP(C5612,METADATA!$J$5:$Q$29,IF(E5612="HI",2,IF(E5612="LO",6,10))+IF(T5612=1,2,IF(D5612=7,1,(IF(WEEKDAY(B5612)=1,2,IF(WEEKDAY(B5612)=7,1,0))))))</f>
        <v>2</v>
      </c>
      <c r="V5612" s="328">
        <f>VLOOKUP(C5612,METADATA!$A$5:$H$29,IF(E5612="HI",2,IF(E5612="LO",6,10))+IF(T5612=1,2,IF(D5612=7,1,(IF(WEEKDAY(B5612)=1,2,IF(WEEKDAY(B5612)=7,1,0))))))</f>
        <v>2</v>
      </c>
    </row>
    <row r="5613" spans="2:22">
      <c r="B5613" s="318">
        <f t="shared" si="351"/>
        <v>46346</v>
      </c>
      <c r="C5613" s="312">
        <v>17</v>
      </c>
      <c r="D5613" s="368">
        <f>IFERROR((INDEX(METADATA!$T$2:$T$20,MATCH(B5613,METADATA!$S$2:$S$20,0))),0)</f>
        <v>0</v>
      </c>
      <c r="E5613" s="312" t="str">
        <f t="shared" si="348"/>
        <v>LO</v>
      </c>
      <c r="F5613" s="369">
        <f>VLOOKUP(C5613,METADATA!$A$5:$H$29,IF(E5613="HI",2,IF(E5613="LO",6,10))+IF(D5613=1,2,IF(D5613=7,1,(IF(WEEKDAY(B5613)=1,2,IF(WEEKDAY(B5613)=7,1,0))))))</f>
        <v>2</v>
      </c>
      <c r="G5613" s="369">
        <f>VLOOKUP(C5613,METADATA!$J$5:$Q$29,IF(E5613="HI",2,IF(E5613="LO",6,10))+IF(D5613=1,2,IF(D5613=7,1,(IF(WEEKDAY(B5613)=1,2,IF(WEEKDAY(B5613)=7,1,0))))))</f>
        <v>2</v>
      </c>
      <c r="H5613" s="370">
        <v>12093.724975585938</v>
      </c>
      <c r="I5613" s="370">
        <v>4118.8175048828125</v>
      </c>
      <c r="M5613" s="371">
        <f t="shared" si="349"/>
        <v>12775.869497753964</v>
      </c>
      <c r="N5613" s="329">
        <f t="shared" si="350"/>
        <v>490.70001220703125</v>
      </c>
      <c r="T5613" s="331">
        <v>0</v>
      </c>
      <c r="U5613" s="328">
        <f>VLOOKUP(C5613,METADATA!$J$5:$Q$29,IF(E5613="HI",2,IF(E5613="LO",6,10))+IF(T5613=1,2,IF(D5613=7,1,(IF(WEEKDAY(B5613)=1,2,IF(WEEKDAY(B5613)=7,1,0))))))</f>
        <v>2</v>
      </c>
      <c r="V5613" s="328">
        <f>VLOOKUP(C5613,METADATA!$A$5:$H$29,IF(E5613="HI",2,IF(E5613="LO",6,10))+IF(T5613=1,2,IF(D5613=7,1,(IF(WEEKDAY(B5613)=1,2,IF(WEEKDAY(B5613)=7,1,0))))))</f>
        <v>2</v>
      </c>
    </row>
    <row r="5614" spans="2:22">
      <c r="B5614" s="318">
        <f t="shared" si="351"/>
        <v>46346</v>
      </c>
      <c r="C5614" s="312">
        <v>18</v>
      </c>
      <c r="D5614" s="368">
        <f>IFERROR((INDEX(METADATA!$T$2:$T$20,MATCH(B5614,METADATA!$S$2:$S$20,0))),0)</f>
        <v>0</v>
      </c>
      <c r="E5614" s="312" t="str">
        <f t="shared" si="348"/>
        <v>LO</v>
      </c>
      <c r="F5614" s="369">
        <f>VLOOKUP(C5614,METADATA!$A$5:$H$29,IF(E5614="HI",2,IF(E5614="LO",6,10))+IF(D5614=1,2,IF(D5614=7,1,(IF(WEEKDAY(B5614)=1,2,IF(WEEKDAY(B5614)=7,1,0))))))</f>
        <v>1</v>
      </c>
      <c r="G5614" s="369">
        <f>VLOOKUP(C5614,METADATA!$J$5:$Q$29,IF(E5614="HI",2,IF(E5614="LO",6,10))+IF(D5614=1,2,IF(D5614=7,1,(IF(WEEKDAY(B5614)=1,2,IF(WEEKDAY(B5614)=7,1,0))))))</f>
        <v>1</v>
      </c>
      <c r="H5614" s="370">
        <v>12656.050048828125</v>
      </c>
      <c r="I5614" s="370">
        <v>4431.3799438476563</v>
      </c>
      <c r="M5614" s="371">
        <f t="shared" si="349"/>
        <v>13409.426946934669</v>
      </c>
      <c r="N5614" s="329">
        <f t="shared" si="350"/>
        <v>634.56492919921902</v>
      </c>
      <c r="T5614" s="331">
        <v>0</v>
      </c>
      <c r="U5614" s="328">
        <f>VLOOKUP(C5614,METADATA!$J$5:$Q$29,IF(E5614="HI",2,IF(E5614="LO",6,10))+IF(T5614=1,2,IF(D5614=7,1,(IF(WEEKDAY(B5614)=1,2,IF(WEEKDAY(B5614)=7,1,0))))))</f>
        <v>1</v>
      </c>
      <c r="V5614" s="328">
        <f>VLOOKUP(C5614,METADATA!$A$5:$H$29,IF(E5614="HI",2,IF(E5614="LO",6,10))+IF(T5614=1,2,IF(D5614=7,1,(IF(WEEKDAY(B5614)=1,2,IF(WEEKDAY(B5614)=7,1,0))))))</f>
        <v>1</v>
      </c>
    </row>
    <row r="5615" spans="2:22">
      <c r="B5615" s="318">
        <f t="shared" si="351"/>
        <v>46346</v>
      </c>
      <c r="C5615" s="312">
        <v>19</v>
      </c>
      <c r="D5615" s="368">
        <f>IFERROR((INDEX(METADATA!$T$2:$T$20,MATCH(B5615,METADATA!$S$2:$S$20,0))),0)</f>
        <v>0</v>
      </c>
      <c r="E5615" s="312" t="str">
        <f t="shared" si="348"/>
        <v>LO</v>
      </c>
      <c r="F5615" s="369">
        <f>VLOOKUP(C5615,METADATA!$A$5:$H$29,IF(E5615="HI",2,IF(E5615="LO",6,10))+IF(D5615=1,2,IF(D5615=7,1,(IF(WEEKDAY(B5615)=1,2,IF(WEEKDAY(B5615)=7,1,0))))))</f>
        <v>1</v>
      </c>
      <c r="G5615" s="369">
        <f>VLOOKUP(C5615,METADATA!$J$5:$Q$29,IF(E5615="HI",2,IF(E5615="LO",6,10))+IF(D5615=1,2,IF(D5615=7,1,(IF(WEEKDAY(B5615)=1,2,IF(WEEKDAY(B5615)=7,1,0))))))</f>
        <v>1</v>
      </c>
      <c r="H5615" s="370">
        <v>12745.824951171875</v>
      </c>
      <c r="I5615" s="370">
        <v>4422.0050354003906</v>
      </c>
      <c r="M5615" s="371">
        <f t="shared" si="349"/>
        <v>13491.114936098571</v>
      </c>
      <c r="N5615" s="329">
        <f t="shared" si="350"/>
        <v>598.25755004882831</v>
      </c>
      <c r="T5615" s="331">
        <v>0</v>
      </c>
      <c r="U5615" s="328">
        <f>VLOOKUP(C5615,METADATA!$J$5:$Q$29,IF(E5615="HI",2,IF(E5615="LO",6,10))+IF(T5615=1,2,IF(D5615=7,1,(IF(WEEKDAY(B5615)=1,2,IF(WEEKDAY(B5615)=7,1,0))))))</f>
        <v>1</v>
      </c>
      <c r="V5615" s="328">
        <f>VLOOKUP(C5615,METADATA!$A$5:$H$29,IF(E5615="HI",2,IF(E5615="LO",6,10))+IF(T5615=1,2,IF(D5615=7,1,(IF(WEEKDAY(B5615)=1,2,IF(WEEKDAY(B5615)=7,1,0))))))</f>
        <v>1</v>
      </c>
    </row>
    <row r="5616" spans="2:22">
      <c r="B5616" s="318">
        <f t="shared" si="351"/>
        <v>46346</v>
      </c>
      <c r="C5616" s="312">
        <v>20</v>
      </c>
      <c r="D5616" s="368">
        <f>IFERROR((INDEX(METADATA!$T$2:$T$20,MATCH(B5616,METADATA!$S$2:$S$20,0))),0)</f>
        <v>0</v>
      </c>
      <c r="E5616" s="312" t="str">
        <f t="shared" si="348"/>
        <v>LO</v>
      </c>
      <c r="F5616" s="369">
        <f>VLOOKUP(C5616,METADATA!$A$5:$H$29,IF(E5616="HI",2,IF(E5616="LO",6,10))+IF(D5616=1,2,IF(D5616=7,1,(IF(WEEKDAY(B5616)=1,2,IF(WEEKDAY(B5616)=7,1,0))))))</f>
        <v>1</v>
      </c>
      <c r="G5616" s="369">
        <f>VLOOKUP(C5616,METADATA!$J$5:$Q$29,IF(E5616="HI",2,IF(E5616="LO",6,10))+IF(D5616=1,2,IF(D5616=7,1,(IF(WEEKDAY(B5616)=1,2,IF(WEEKDAY(B5616)=7,1,0))))))</f>
        <v>1</v>
      </c>
      <c r="H5616" s="370">
        <v>12939.100158691406</v>
      </c>
      <c r="I5616" s="370">
        <v>4536.8700561523438</v>
      </c>
      <c r="M5616" s="371">
        <f t="shared" si="349"/>
        <v>13711.43693502106</v>
      </c>
      <c r="N5616" s="329">
        <f t="shared" si="350"/>
        <v>655.14000854492224</v>
      </c>
      <c r="T5616" s="331">
        <v>0</v>
      </c>
      <c r="U5616" s="328">
        <f>VLOOKUP(C5616,METADATA!$J$5:$Q$29,IF(E5616="HI",2,IF(E5616="LO",6,10))+IF(T5616=1,2,IF(D5616=7,1,(IF(WEEKDAY(B5616)=1,2,IF(WEEKDAY(B5616)=7,1,0))))))</f>
        <v>1</v>
      </c>
      <c r="V5616" s="328">
        <f>VLOOKUP(C5616,METADATA!$A$5:$H$29,IF(E5616="HI",2,IF(E5616="LO",6,10))+IF(T5616=1,2,IF(D5616=7,1,(IF(WEEKDAY(B5616)=1,2,IF(WEEKDAY(B5616)=7,1,0))))))</f>
        <v>1</v>
      </c>
    </row>
    <row r="5617" spans="2:22">
      <c r="B5617" s="318">
        <f t="shared" si="351"/>
        <v>46346</v>
      </c>
      <c r="C5617" s="312">
        <v>21</v>
      </c>
      <c r="D5617" s="368">
        <f>IFERROR((INDEX(METADATA!$T$2:$T$20,MATCH(B5617,METADATA!$S$2:$S$20,0))),0)</f>
        <v>0</v>
      </c>
      <c r="E5617" s="312" t="str">
        <f t="shared" si="348"/>
        <v>LO</v>
      </c>
      <c r="F5617" s="369">
        <f>VLOOKUP(C5617,METADATA!$A$5:$H$29,IF(E5617="HI",2,IF(E5617="LO",6,10))+IF(D5617=1,2,IF(D5617=7,1,(IF(WEEKDAY(B5617)=1,2,IF(WEEKDAY(B5617)=7,1,0))))))</f>
        <v>2</v>
      </c>
      <c r="G5617" s="369">
        <f>VLOOKUP(C5617,METADATA!$J$5:$Q$29,IF(E5617="HI",2,IF(E5617="LO",6,10))+IF(D5617=1,2,IF(D5617=7,1,(IF(WEEKDAY(B5617)=1,2,IF(WEEKDAY(B5617)=7,1,0))))))</f>
        <v>2</v>
      </c>
      <c r="H5617" s="370">
        <v>13060.750366210938</v>
      </c>
      <c r="I5617" s="370">
        <v>4657.7750244140625</v>
      </c>
      <c r="M5617" s="371">
        <f t="shared" si="349"/>
        <v>13866.436755941828</v>
      </c>
      <c r="N5617" s="329">
        <f t="shared" si="350"/>
        <v>739.54991455078152</v>
      </c>
      <c r="T5617" s="331">
        <v>0</v>
      </c>
      <c r="U5617" s="328">
        <f>VLOOKUP(C5617,METADATA!$J$5:$Q$29,IF(E5617="HI",2,IF(E5617="LO",6,10))+IF(T5617=1,2,IF(D5617=7,1,(IF(WEEKDAY(B5617)=1,2,IF(WEEKDAY(B5617)=7,1,0))))))</f>
        <v>2</v>
      </c>
      <c r="V5617" s="328">
        <f>VLOOKUP(C5617,METADATA!$A$5:$H$29,IF(E5617="HI",2,IF(E5617="LO",6,10))+IF(T5617=1,2,IF(D5617=7,1,(IF(WEEKDAY(B5617)=1,2,IF(WEEKDAY(B5617)=7,1,0))))))</f>
        <v>2</v>
      </c>
    </row>
    <row r="5618" spans="2:22">
      <c r="B5618" s="318">
        <f t="shared" si="351"/>
        <v>46346</v>
      </c>
      <c r="C5618" s="312">
        <v>22</v>
      </c>
      <c r="D5618" s="368">
        <f>IFERROR((INDEX(METADATA!$T$2:$T$20,MATCH(B5618,METADATA!$S$2:$S$20,0))),0)</f>
        <v>0</v>
      </c>
      <c r="E5618" s="312" t="str">
        <f t="shared" si="348"/>
        <v>LO</v>
      </c>
      <c r="F5618" s="369">
        <f>VLOOKUP(C5618,METADATA!$A$5:$H$29,IF(E5618="HI",2,IF(E5618="LO",6,10))+IF(D5618=1,2,IF(D5618=7,1,(IF(WEEKDAY(B5618)=1,2,IF(WEEKDAY(B5618)=7,1,0))))))</f>
        <v>3</v>
      </c>
      <c r="G5618" s="369">
        <f>VLOOKUP(C5618,METADATA!$J$5:$Q$29,IF(E5618="HI",2,IF(E5618="LO",6,10))+IF(D5618=1,2,IF(D5618=7,1,(IF(WEEKDAY(B5618)=1,2,IF(WEEKDAY(B5618)=7,1,0))))))</f>
        <v>3</v>
      </c>
      <c r="H5618" s="370">
        <v>13259.974792480469</v>
      </c>
      <c r="I5618" s="370">
        <v>4885.3748779296875</v>
      </c>
      <c r="M5618" s="371">
        <f t="shared" si="349"/>
        <v>14131.306351329447</v>
      </c>
      <c r="N5618" s="329">
        <f t="shared" si="350"/>
        <v>907.38244018554724</v>
      </c>
      <c r="T5618" s="331">
        <v>0</v>
      </c>
      <c r="U5618" s="328">
        <f>VLOOKUP(C5618,METADATA!$J$5:$Q$29,IF(E5618="HI",2,IF(E5618="LO",6,10))+IF(T5618=1,2,IF(D5618=7,1,(IF(WEEKDAY(B5618)=1,2,IF(WEEKDAY(B5618)=7,1,0))))))</f>
        <v>3</v>
      </c>
      <c r="V5618" s="328">
        <f>VLOOKUP(C5618,METADATA!$A$5:$H$29,IF(E5618="HI",2,IF(E5618="LO",6,10))+IF(T5618=1,2,IF(D5618=7,1,(IF(WEEKDAY(B5618)=1,2,IF(WEEKDAY(B5618)=7,1,0))))))</f>
        <v>3</v>
      </c>
    </row>
    <row r="5619" spans="2:22">
      <c r="B5619" s="318">
        <f t="shared" si="351"/>
        <v>46346</v>
      </c>
      <c r="C5619" s="312">
        <v>23</v>
      </c>
      <c r="D5619" s="368">
        <f>IFERROR((INDEX(METADATA!$T$2:$T$20,MATCH(B5619,METADATA!$S$2:$S$20,0))),0)</f>
        <v>0</v>
      </c>
      <c r="E5619" s="312" t="str">
        <f t="shared" si="348"/>
        <v>LO</v>
      </c>
      <c r="F5619" s="369">
        <f>VLOOKUP(C5619,METADATA!$A$5:$H$29,IF(E5619="HI",2,IF(E5619="LO",6,10))+IF(D5619=1,2,IF(D5619=7,1,(IF(WEEKDAY(B5619)=1,2,IF(WEEKDAY(B5619)=7,1,0))))))</f>
        <v>3</v>
      </c>
      <c r="G5619" s="369">
        <f>VLOOKUP(C5619,METADATA!$J$5:$Q$29,IF(E5619="HI",2,IF(E5619="LO",6,10))+IF(D5619=1,2,IF(D5619=7,1,(IF(WEEKDAY(B5619)=1,2,IF(WEEKDAY(B5619)=7,1,0))))))</f>
        <v>3</v>
      </c>
      <c r="H5619" s="370">
        <v>13575.474609375</v>
      </c>
      <c r="I5619" s="370">
        <v>5069.7499389648438</v>
      </c>
      <c r="M5619" s="371">
        <f t="shared" si="349"/>
        <v>14491.234430282995</v>
      </c>
      <c r="N5619" s="329">
        <f t="shared" si="350"/>
        <v>997.10755615234393</v>
      </c>
      <c r="T5619" s="331">
        <v>0</v>
      </c>
      <c r="U5619" s="328">
        <f>VLOOKUP(C5619,METADATA!$J$5:$Q$29,IF(E5619="HI",2,IF(E5619="LO",6,10))+IF(T5619=1,2,IF(D5619=7,1,(IF(WEEKDAY(B5619)=1,2,IF(WEEKDAY(B5619)=7,1,0))))))</f>
        <v>3</v>
      </c>
      <c r="V5619" s="328">
        <f>VLOOKUP(C5619,METADATA!$A$5:$H$29,IF(E5619="HI",2,IF(E5619="LO",6,10))+IF(T5619=1,2,IF(D5619=7,1,(IF(WEEKDAY(B5619)=1,2,IF(WEEKDAY(B5619)=7,1,0))))))</f>
        <v>3</v>
      </c>
    </row>
    <row r="5620" spans="2:22">
      <c r="B5620" s="318">
        <f t="shared" si="351"/>
        <v>46347</v>
      </c>
      <c r="C5620" s="312">
        <v>0</v>
      </c>
      <c r="D5620" s="368">
        <f>IFERROR((INDEX(METADATA!$T$2:$T$20,MATCH(B5620,METADATA!$S$2:$S$20,0))),0)</f>
        <v>0</v>
      </c>
      <c r="E5620" s="312" t="str">
        <f t="shared" si="348"/>
        <v>LO</v>
      </c>
      <c r="F5620" s="369">
        <f>VLOOKUP(C5620,METADATA!$A$5:$H$29,IF(E5620="HI",2,IF(E5620="LO",6,10))+IF(D5620=1,2,IF(D5620=7,1,(IF(WEEKDAY(B5620)=1,2,IF(WEEKDAY(B5620)=7,1,0))))))</f>
        <v>3</v>
      </c>
      <c r="G5620" s="369">
        <f>VLOOKUP(C5620,METADATA!$J$5:$Q$29,IF(E5620="HI",2,IF(E5620="LO",6,10))+IF(D5620=1,2,IF(D5620=7,1,(IF(WEEKDAY(B5620)=1,2,IF(WEEKDAY(B5620)=7,1,0))))))</f>
        <v>3</v>
      </c>
      <c r="H5620" s="370">
        <v>13555.600341796875</v>
      </c>
      <c r="I5620" s="370">
        <v>5094.7499389648438</v>
      </c>
      <c r="M5620" s="371">
        <f t="shared" si="349"/>
        <v>14481.39418588921</v>
      </c>
      <c r="N5620" s="329">
        <f t="shared" si="350"/>
        <v>1028.0698364257814</v>
      </c>
      <c r="T5620" s="331">
        <v>0</v>
      </c>
      <c r="U5620" s="328">
        <f>VLOOKUP(C5620,METADATA!$J$5:$Q$29,IF(E5620="HI",2,IF(E5620="LO",6,10))+IF(T5620=1,2,IF(D5620=7,1,(IF(WEEKDAY(B5620)=1,2,IF(WEEKDAY(B5620)=7,1,0))))))</f>
        <v>3</v>
      </c>
      <c r="V5620" s="328">
        <f>VLOOKUP(C5620,METADATA!$A$5:$H$29,IF(E5620="HI",2,IF(E5620="LO",6,10))+IF(T5620=1,2,IF(D5620=7,1,(IF(WEEKDAY(B5620)=1,2,IF(WEEKDAY(B5620)=7,1,0))))))</f>
        <v>3</v>
      </c>
    </row>
    <row r="5621" spans="2:22">
      <c r="B5621" s="318">
        <f t="shared" si="351"/>
        <v>46347</v>
      </c>
      <c r="C5621" s="312">
        <v>1</v>
      </c>
      <c r="D5621" s="368">
        <f>IFERROR((INDEX(METADATA!$T$2:$T$20,MATCH(B5621,METADATA!$S$2:$S$20,0))),0)</f>
        <v>0</v>
      </c>
      <c r="E5621" s="312" t="str">
        <f t="shared" si="348"/>
        <v>LO</v>
      </c>
      <c r="F5621" s="369">
        <f>VLOOKUP(C5621,METADATA!$A$5:$H$29,IF(E5621="HI",2,IF(E5621="LO",6,10))+IF(D5621=1,2,IF(D5621=7,1,(IF(WEEKDAY(B5621)=1,2,IF(WEEKDAY(B5621)=7,1,0))))))</f>
        <v>3</v>
      </c>
      <c r="G5621" s="369">
        <f>VLOOKUP(C5621,METADATA!$J$5:$Q$29,IF(E5621="HI",2,IF(E5621="LO",6,10))+IF(D5621=1,2,IF(D5621=7,1,(IF(WEEKDAY(B5621)=1,2,IF(WEEKDAY(B5621)=7,1,0))))))</f>
        <v>3</v>
      </c>
      <c r="H5621" s="370">
        <v>13488.057861328125</v>
      </c>
      <c r="I5621" s="370">
        <v>4967.7300415039063</v>
      </c>
      <c r="M5621" s="371">
        <f t="shared" si="349"/>
        <v>14373.797223969588</v>
      </c>
      <c r="N5621" s="329">
        <f t="shared" si="350"/>
        <v>921.31268310546875</v>
      </c>
      <c r="T5621" s="331">
        <v>0</v>
      </c>
      <c r="U5621" s="328">
        <f>VLOOKUP(C5621,METADATA!$J$5:$Q$29,IF(E5621="HI",2,IF(E5621="LO",6,10))+IF(T5621=1,2,IF(D5621=7,1,(IF(WEEKDAY(B5621)=1,2,IF(WEEKDAY(B5621)=7,1,0))))))</f>
        <v>3</v>
      </c>
      <c r="V5621" s="328">
        <f>VLOOKUP(C5621,METADATA!$A$5:$H$29,IF(E5621="HI",2,IF(E5621="LO",6,10))+IF(T5621=1,2,IF(D5621=7,1,(IF(WEEKDAY(B5621)=1,2,IF(WEEKDAY(B5621)=7,1,0))))))</f>
        <v>3</v>
      </c>
    </row>
    <row r="5622" spans="2:22">
      <c r="B5622" s="318">
        <f t="shared" si="351"/>
        <v>46347</v>
      </c>
      <c r="C5622" s="312">
        <v>2</v>
      </c>
      <c r="D5622" s="368">
        <f>IFERROR((INDEX(METADATA!$T$2:$T$20,MATCH(B5622,METADATA!$S$2:$S$20,0))),0)</f>
        <v>0</v>
      </c>
      <c r="E5622" s="312" t="str">
        <f t="shared" si="348"/>
        <v>LO</v>
      </c>
      <c r="F5622" s="369">
        <f>VLOOKUP(C5622,METADATA!$A$5:$H$29,IF(E5622="HI",2,IF(E5622="LO",6,10))+IF(D5622=1,2,IF(D5622=7,1,(IF(WEEKDAY(B5622)=1,2,IF(WEEKDAY(B5622)=7,1,0))))))</f>
        <v>3</v>
      </c>
      <c r="G5622" s="369">
        <f>VLOOKUP(C5622,METADATA!$J$5:$Q$29,IF(E5622="HI",2,IF(E5622="LO",6,10))+IF(D5622=1,2,IF(D5622=7,1,(IF(WEEKDAY(B5622)=1,2,IF(WEEKDAY(B5622)=7,1,0))))))</f>
        <v>3</v>
      </c>
      <c r="H5622" s="370">
        <v>13641.149963378906</v>
      </c>
      <c r="I5622" s="370">
        <v>4989.4750366210938</v>
      </c>
      <c r="M5622" s="371">
        <f t="shared" si="349"/>
        <v>14525.00717605528</v>
      </c>
      <c r="N5622" s="329">
        <f t="shared" si="350"/>
        <v>897.13004760742206</v>
      </c>
      <c r="T5622" s="331">
        <v>0</v>
      </c>
      <c r="U5622" s="328">
        <f>VLOOKUP(C5622,METADATA!$J$5:$Q$29,IF(E5622="HI",2,IF(E5622="LO",6,10))+IF(T5622=1,2,IF(D5622=7,1,(IF(WEEKDAY(B5622)=1,2,IF(WEEKDAY(B5622)=7,1,0))))))</f>
        <v>3</v>
      </c>
      <c r="V5622" s="328">
        <f>VLOOKUP(C5622,METADATA!$A$5:$H$29,IF(E5622="HI",2,IF(E5622="LO",6,10))+IF(T5622=1,2,IF(D5622=7,1,(IF(WEEKDAY(B5622)=1,2,IF(WEEKDAY(B5622)=7,1,0))))))</f>
        <v>3</v>
      </c>
    </row>
    <row r="5623" spans="2:22">
      <c r="B5623" s="318">
        <f t="shared" si="351"/>
        <v>46347</v>
      </c>
      <c r="C5623" s="312">
        <v>3</v>
      </c>
      <c r="D5623" s="368">
        <f>IFERROR((INDEX(METADATA!$T$2:$T$20,MATCH(B5623,METADATA!$S$2:$S$20,0))),0)</f>
        <v>0</v>
      </c>
      <c r="E5623" s="312" t="str">
        <f t="shared" si="348"/>
        <v>LO</v>
      </c>
      <c r="F5623" s="369">
        <f>VLOOKUP(C5623,METADATA!$A$5:$H$29,IF(E5623="HI",2,IF(E5623="LO",6,10))+IF(D5623=1,2,IF(D5623=7,1,(IF(WEEKDAY(B5623)=1,2,IF(WEEKDAY(B5623)=7,1,0))))))</f>
        <v>3</v>
      </c>
      <c r="G5623" s="369">
        <f>VLOOKUP(C5623,METADATA!$J$5:$Q$29,IF(E5623="HI",2,IF(E5623="LO",6,10))+IF(D5623=1,2,IF(D5623=7,1,(IF(WEEKDAY(B5623)=1,2,IF(WEEKDAY(B5623)=7,1,0))))))</f>
        <v>3</v>
      </c>
      <c r="H5623" s="370">
        <v>13612.89990234375</v>
      </c>
      <c r="I5623" s="370">
        <v>5001.9750366210938</v>
      </c>
      <c r="M5623" s="371">
        <f t="shared" si="349"/>
        <v>14502.785870935662</v>
      </c>
      <c r="N5623" s="329">
        <f t="shared" si="350"/>
        <v>918.10506591796911</v>
      </c>
      <c r="T5623" s="331">
        <v>0</v>
      </c>
      <c r="U5623" s="328">
        <f>VLOOKUP(C5623,METADATA!$J$5:$Q$29,IF(E5623="HI",2,IF(E5623="LO",6,10))+IF(T5623=1,2,IF(D5623=7,1,(IF(WEEKDAY(B5623)=1,2,IF(WEEKDAY(B5623)=7,1,0))))))</f>
        <v>3</v>
      </c>
      <c r="V5623" s="328">
        <f>VLOOKUP(C5623,METADATA!$A$5:$H$29,IF(E5623="HI",2,IF(E5623="LO",6,10))+IF(T5623=1,2,IF(D5623=7,1,(IF(WEEKDAY(B5623)=1,2,IF(WEEKDAY(B5623)=7,1,0))))))</f>
        <v>3</v>
      </c>
    </row>
    <row r="5624" spans="2:22">
      <c r="B5624" s="318">
        <f t="shared" si="351"/>
        <v>46347</v>
      </c>
      <c r="C5624" s="312">
        <v>4</v>
      </c>
      <c r="D5624" s="368">
        <f>IFERROR((INDEX(METADATA!$T$2:$T$20,MATCH(B5624,METADATA!$S$2:$S$20,0))),0)</f>
        <v>0</v>
      </c>
      <c r="E5624" s="312" t="str">
        <f t="shared" si="348"/>
        <v>LO</v>
      </c>
      <c r="F5624" s="369">
        <f>VLOOKUP(C5624,METADATA!$A$5:$H$29,IF(E5624="HI",2,IF(E5624="LO",6,10))+IF(D5624=1,2,IF(D5624=7,1,(IF(WEEKDAY(B5624)=1,2,IF(WEEKDAY(B5624)=7,1,0))))))</f>
        <v>3</v>
      </c>
      <c r="G5624" s="369">
        <f>VLOOKUP(C5624,METADATA!$J$5:$Q$29,IF(E5624="HI",2,IF(E5624="LO",6,10))+IF(D5624=1,2,IF(D5624=7,1,(IF(WEEKDAY(B5624)=1,2,IF(WEEKDAY(B5624)=7,1,0))))))</f>
        <v>3</v>
      </c>
      <c r="H5624" s="370">
        <v>13164.374877929688</v>
      </c>
      <c r="I5624" s="370">
        <v>4758.4100036621094</v>
      </c>
      <c r="M5624" s="371">
        <f t="shared" si="349"/>
        <v>13997.972413518248</v>
      </c>
      <c r="N5624" s="329">
        <f t="shared" si="350"/>
        <v>809.09754028320322</v>
      </c>
      <c r="T5624" s="331">
        <v>0</v>
      </c>
      <c r="U5624" s="328">
        <f>VLOOKUP(C5624,METADATA!$J$5:$Q$29,IF(E5624="HI",2,IF(E5624="LO",6,10))+IF(T5624=1,2,IF(D5624=7,1,(IF(WEEKDAY(B5624)=1,2,IF(WEEKDAY(B5624)=7,1,0))))))</f>
        <v>3</v>
      </c>
      <c r="V5624" s="328">
        <f>VLOOKUP(C5624,METADATA!$A$5:$H$29,IF(E5624="HI",2,IF(E5624="LO",6,10))+IF(T5624=1,2,IF(D5624=7,1,(IF(WEEKDAY(B5624)=1,2,IF(WEEKDAY(B5624)=7,1,0))))))</f>
        <v>3</v>
      </c>
    </row>
    <row r="5625" spans="2:22">
      <c r="B5625" s="318">
        <f t="shared" si="351"/>
        <v>46347</v>
      </c>
      <c r="C5625" s="312">
        <v>5</v>
      </c>
      <c r="D5625" s="368">
        <f>IFERROR((INDEX(METADATA!$T$2:$T$20,MATCH(B5625,METADATA!$S$2:$S$20,0))),0)</f>
        <v>0</v>
      </c>
      <c r="E5625" s="312" t="str">
        <f t="shared" si="348"/>
        <v>LO</v>
      </c>
      <c r="F5625" s="369">
        <f>VLOOKUP(C5625,METADATA!$A$5:$H$29,IF(E5625="HI",2,IF(E5625="LO",6,10))+IF(D5625=1,2,IF(D5625=7,1,(IF(WEEKDAY(B5625)=1,2,IF(WEEKDAY(B5625)=7,1,0))))))</f>
        <v>3</v>
      </c>
      <c r="G5625" s="369">
        <f>VLOOKUP(C5625,METADATA!$J$5:$Q$29,IF(E5625="HI",2,IF(E5625="LO",6,10))+IF(D5625=1,2,IF(D5625=7,1,(IF(WEEKDAY(B5625)=1,2,IF(WEEKDAY(B5625)=7,1,0))))))</f>
        <v>3</v>
      </c>
      <c r="H5625" s="370">
        <v>13115.449829101563</v>
      </c>
      <c r="I5625" s="370">
        <v>4589.869873046875</v>
      </c>
      <c r="M5625" s="371">
        <f t="shared" si="349"/>
        <v>13895.392389968105</v>
      </c>
      <c r="N5625" s="329">
        <f t="shared" si="350"/>
        <v>655.23492431640625</v>
      </c>
      <c r="T5625" s="331">
        <v>0</v>
      </c>
      <c r="U5625" s="328">
        <f>VLOOKUP(C5625,METADATA!$J$5:$Q$29,IF(E5625="HI",2,IF(E5625="LO",6,10))+IF(T5625=1,2,IF(D5625=7,1,(IF(WEEKDAY(B5625)=1,2,IF(WEEKDAY(B5625)=7,1,0))))))</f>
        <v>3</v>
      </c>
      <c r="V5625" s="328">
        <f>VLOOKUP(C5625,METADATA!$A$5:$H$29,IF(E5625="HI",2,IF(E5625="LO",6,10))+IF(T5625=1,2,IF(D5625=7,1,(IF(WEEKDAY(B5625)=1,2,IF(WEEKDAY(B5625)=7,1,0))))))</f>
        <v>3</v>
      </c>
    </row>
    <row r="5626" spans="2:22">
      <c r="B5626" s="318">
        <f t="shared" si="351"/>
        <v>46347</v>
      </c>
      <c r="C5626" s="312">
        <v>6</v>
      </c>
      <c r="D5626" s="368">
        <f>IFERROR((INDEX(METADATA!$T$2:$T$20,MATCH(B5626,METADATA!$S$2:$S$20,0))),0)</f>
        <v>0</v>
      </c>
      <c r="E5626" s="312" t="str">
        <f t="shared" si="348"/>
        <v>LO</v>
      </c>
      <c r="F5626" s="369">
        <f>VLOOKUP(C5626,METADATA!$A$5:$H$29,IF(E5626="HI",2,IF(E5626="LO",6,10))+IF(D5626=1,2,IF(D5626=7,1,(IF(WEEKDAY(B5626)=1,2,IF(WEEKDAY(B5626)=7,1,0))))))</f>
        <v>3</v>
      </c>
      <c r="G5626" s="369">
        <f>VLOOKUP(C5626,METADATA!$J$5:$Q$29,IF(E5626="HI",2,IF(E5626="LO",6,10))+IF(D5626=1,2,IF(D5626=7,1,(IF(WEEKDAY(B5626)=1,2,IF(WEEKDAY(B5626)=7,1,0))))))</f>
        <v>3</v>
      </c>
      <c r="H5626" s="370">
        <v>13159.325561523438</v>
      </c>
      <c r="I5626" s="370">
        <v>4731</v>
      </c>
      <c r="M5626" s="371">
        <f t="shared" si="349"/>
        <v>13983.926853146941</v>
      </c>
      <c r="N5626" s="329">
        <f t="shared" si="350"/>
        <v>783.20233154296875</v>
      </c>
      <c r="T5626" s="331">
        <v>0</v>
      </c>
      <c r="U5626" s="328">
        <f>VLOOKUP(C5626,METADATA!$J$5:$Q$29,IF(E5626="HI",2,IF(E5626="LO",6,10))+IF(T5626=1,2,IF(D5626=7,1,(IF(WEEKDAY(B5626)=1,2,IF(WEEKDAY(B5626)=7,1,0))))))</f>
        <v>3</v>
      </c>
      <c r="V5626" s="328">
        <f>VLOOKUP(C5626,METADATA!$A$5:$H$29,IF(E5626="HI",2,IF(E5626="LO",6,10))+IF(T5626=1,2,IF(D5626=7,1,(IF(WEEKDAY(B5626)=1,2,IF(WEEKDAY(B5626)=7,1,0))))))</f>
        <v>3</v>
      </c>
    </row>
    <row r="5627" spans="2:22">
      <c r="B5627" s="318">
        <f t="shared" si="351"/>
        <v>46347</v>
      </c>
      <c r="C5627" s="312">
        <v>7</v>
      </c>
      <c r="D5627" s="368">
        <f>IFERROR((INDEX(METADATA!$T$2:$T$20,MATCH(B5627,METADATA!$S$2:$S$20,0))),0)</f>
        <v>0</v>
      </c>
      <c r="E5627" s="312" t="str">
        <f t="shared" si="348"/>
        <v>LO</v>
      </c>
      <c r="F5627" s="369">
        <f>VLOOKUP(C5627,METADATA!$A$5:$H$29,IF(E5627="HI",2,IF(E5627="LO",6,10))+IF(D5627=1,2,IF(D5627=7,1,(IF(WEEKDAY(B5627)=1,2,IF(WEEKDAY(B5627)=7,1,0))))))</f>
        <v>2</v>
      </c>
      <c r="G5627" s="369">
        <f>VLOOKUP(C5627,METADATA!$J$5:$Q$29,IF(E5627="HI",2,IF(E5627="LO",6,10))+IF(D5627=1,2,IF(D5627=7,1,(IF(WEEKDAY(B5627)=1,2,IF(WEEKDAY(B5627)=7,1,0))))))</f>
        <v>2</v>
      </c>
      <c r="H5627" s="370">
        <v>13358.400085449219</v>
      </c>
      <c r="I5627" s="370">
        <v>4974.4801025390625</v>
      </c>
      <c r="M5627" s="371">
        <f t="shared" si="349"/>
        <v>14254.553838457616</v>
      </c>
      <c r="N5627" s="329">
        <f t="shared" si="350"/>
        <v>966.96007690429724</v>
      </c>
      <c r="T5627" s="331">
        <v>0</v>
      </c>
      <c r="U5627" s="328">
        <f>VLOOKUP(C5627,METADATA!$J$5:$Q$29,IF(E5627="HI",2,IF(E5627="LO",6,10))+IF(T5627=1,2,IF(D5627=7,1,(IF(WEEKDAY(B5627)=1,2,IF(WEEKDAY(B5627)=7,1,0))))))</f>
        <v>2</v>
      </c>
      <c r="V5627" s="328">
        <f>VLOOKUP(C5627,METADATA!$A$5:$H$29,IF(E5627="HI",2,IF(E5627="LO",6,10))+IF(T5627=1,2,IF(D5627=7,1,(IF(WEEKDAY(B5627)=1,2,IF(WEEKDAY(B5627)=7,1,0))))))</f>
        <v>2</v>
      </c>
    </row>
    <row r="5628" spans="2:22">
      <c r="B5628" s="318">
        <f t="shared" si="351"/>
        <v>46347</v>
      </c>
      <c r="C5628" s="312">
        <v>8</v>
      </c>
      <c r="D5628" s="368">
        <f>IFERROR((INDEX(METADATA!$T$2:$T$20,MATCH(B5628,METADATA!$S$2:$S$20,0))),0)</f>
        <v>0</v>
      </c>
      <c r="E5628" s="312" t="str">
        <f t="shared" si="348"/>
        <v>LO</v>
      </c>
      <c r="F5628" s="369">
        <f>VLOOKUP(C5628,METADATA!$A$5:$H$29,IF(E5628="HI",2,IF(E5628="LO",6,10))+IF(D5628=1,2,IF(D5628=7,1,(IF(WEEKDAY(B5628)=1,2,IF(WEEKDAY(B5628)=7,1,0))))))</f>
        <v>2</v>
      </c>
      <c r="G5628" s="369">
        <f>VLOOKUP(C5628,METADATA!$J$5:$Q$29,IF(E5628="HI",2,IF(E5628="LO",6,10))+IF(D5628=1,2,IF(D5628=7,1,(IF(WEEKDAY(B5628)=1,2,IF(WEEKDAY(B5628)=7,1,0))))))</f>
        <v>2</v>
      </c>
      <c r="H5628" s="370">
        <v>13244.999816894531</v>
      </c>
      <c r="I5628" s="370">
        <v>4902.9349670410156</v>
      </c>
      <c r="M5628" s="371">
        <f t="shared" si="349"/>
        <v>14123.342077588068</v>
      </c>
      <c r="N5628" s="329">
        <f t="shared" si="350"/>
        <v>929.43502197265661</v>
      </c>
      <c r="T5628" s="331">
        <v>0</v>
      </c>
      <c r="U5628" s="328">
        <f>VLOOKUP(C5628,METADATA!$J$5:$Q$29,IF(E5628="HI",2,IF(E5628="LO",6,10))+IF(T5628=1,2,IF(D5628=7,1,(IF(WEEKDAY(B5628)=1,2,IF(WEEKDAY(B5628)=7,1,0))))))</f>
        <v>2</v>
      </c>
      <c r="V5628" s="328">
        <f>VLOOKUP(C5628,METADATA!$A$5:$H$29,IF(E5628="HI",2,IF(E5628="LO",6,10))+IF(T5628=1,2,IF(D5628=7,1,(IF(WEEKDAY(B5628)=1,2,IF(WEEKDAY(B5628)=7,1,0))))))</f>
        <v>2</v>
      </c>
    </row>
    <row r="5629" spans="2:22">
      <c r="B5629" s="318">
        <f t="shared" si="351"/>
        <v>46347</v>
      </c>
      <c r="C5629" s="312">
        <v>9</v>
      </c>
      <c r="D5629" s="368">
        <f>IFERROR((INDEX(METADATA!$T$2:$T$20,MATCH(B5629,METADATA!$S$2:$S$20,0))),0)</f>
        <v>0</v>
      </c>
      <c r="E5629" s="312" t="str">
        <f t="shared" si="348"/>
        <v>LO</v>
      </c>
      <c r="F5629" s="369">
        <f>VLOOKUP(C5629,METADATA!$A$5:$H$29,IF(E5629="HI",2,IF(E5629="LO",6,10))+IF(D5629=1,2,IF(D5629=7,1,(IF(WEEKDAY(B5629)=1,2,IF(WEEKDAY(B5629)=7,1,0))))))</f>
        <v>2</v>
      </c>
      <c r="G5629" s="369">
        <f>VLOOKUP(C5629,METADATA!$J$5:$Q$29,IF(E5629="HI",2,IF(E5629="LO",6,10))+IF(D5629=1,2,IF(D5629=7,1,(IF(WEEKDAY(B5629)=1,2,IF(WEEKDAY(B5629)=7,1,0))))))</f>
        <v>2</v>
      </c>
      <c r="H5629" s="370">
        <v>13208.4501953125</v>
      </c>
      <c r="I5629" s="370">
        <v>4823.530029296875</v>
      </c>
      <c r="M5629" s="371">
        <f t="shared" si="349"/>
        <v>14061.635698082195</v>
      </c>
      <c r="N5629" s="329">
        <f t="shared" si="350"/>
        <v>860.99497070312509</v>
      </c>
      <c r="T5629" s="331">
        <v>0</v>
      </c>
      <c r="U5629" s="328">
        <f>VLOOKUP(C5629,METADATA!$J$5:$Q$29,IF(E5629="HI",2,IF(E5629="LO",6,10))+IF(T5629=1,2,IF(D5629=7,1,(IF(WEEKDAY(B5629)=1,2,IF(WEEKDAY(B5629)=7,1,0))))))</f>
        <v>2</v>
      </c>
      <c r="V5629" s="328">
        <f>VLOOKUP(C5629,METADATA!$A$5:$H$29,IF(E5629="HI",2,IF(E5629="LO",6,10))+IF(T5629=1,2,IF(D5629=7,1,(IF(WEEKDAY(B5629)=1,2,IF(WEEKDAY(B5629)=7,1,0))))))</f>
        <v>2</v>
      </c>
    </row>
    <row r="5630" spans="2:22">
      <c r="B5630" s="318">
        <f t="shared" si="351"/>
        <v>46347</v>
      </c>
      <c r="C5630" s="312">
        <v>10</v>
      </c>
      <c r="D5630" s="368">
        <f>IFERROR((INDEX(METADATA!$T$2:$T$20,MATCH(B5630,METADATA!$S$2:$S$20,0))),0)</f>
        <v>0</v>
      </c>
      <c r="E5630" s="312" t="str">
        <f t="shared" si="348"/>
        <v>LO</v>
      </c>
      <c r="F5630" s="369">
        <f>VLOOKUP(C5630,METADATA!$A$5:$H$29,IF(E5630="HI",2,IF(E5630="LO",6,10))+IF(D5630=1,2,IF(D5630=7,1,(IF(WEEKDAY(B5630)=1,2,IF(WEEKDAY(B5630)=7,1,0))))))</f>
        <v>2</v>
      </c>
      <c r="G5630" s="369">
        <f>VLOOKUP(C5630,METADATA!$J$5:$Q$29,IF(E5630="HI",2,IF(E5630="LO",6,10))+IF(D5630=1,2,IF(D5630=7,1,(IF(WEEKDAY(B5630)=1,2,IF(WEEKDAY(B5630)=7,1,0))))))</f>
        <v>2</v>
      </c>
      <c r="H5630" s="370">
        <v>13321.949890136719</v>
      </c>
      <c r="I5630" s="370">
        <v>4891.965087890625</v>
      </c>
      <c r="M5630" s="371">
        <f t="shared" si="349"/>
        <v>14191.746590763747</v>
      </c>
      <c r="N5630" s="329">
        <f t="shared" si="350"/>
        <v>895.38012084960974</v>
      </c>
      <c r="T5630" s="331">
        <v>0</v>
      </c>
      <c r="U5630" s="328">
        <f>VLOOKUP(C5630,METADATA!$J$5:$Q$29,IF(E5630="HI",2,IF(E5630="LO",6,10))+IF(T5630=1,2,IF(D5630=7,1,(IF(WEEKDAY(B5630)=1,2,IF(WEEKDAY(B5630)=7,1,0))))))</f>
        <v>2</v>
      </c>
      <c r="V5630" s="328">
        <f>VLOOKUP(C5630,METADATA!$A$5:$H$29,IF(E5630="HI",2,IF(E5630="LO",6,10))+IF(T5630=1,2,IF(D5630=7,1,(IF(WEEKDAY(B5630)=1,2,IF(WEEKDAY(B5630)=7,1,0))))))</f>
        <v>2</v>
      </c>
    </row>
    <row r="5631" spans="2:22">
      <c r="B5631" s="318">
        <f t="shared" si="351"/>
        <v>46347</v>
      </c>
      <c r="C5631" s="312">
        <v>11</v>
      </c>
      <c r="D5631" s="368">
        <f>IFERROR((INDEX(METADATA!$T$2:$T$20,MATCH(B5631,METADATA!$S$2:$S$20,0))),0)</f>
        <v>0</v>
      </c>
      <c r="E5631" s="312" t="str">
        <f t="shared" si="348"/>
        <v>LO</v>
      </c>
      <c r="F5631" s="369">
        <f>VLOOKUP(C5631,METADATA!$A$5:$H$29,IF(E5631="HI",2,IF(E5631="LO",6,10))+IF(D5631=1,2,IF(D5631=7,1,(IF(WEEKDAY(B5631)=1,2,IF(WEEKDAY(B5631)=7,1,0))))))</f>
        <v>2</v>
      </c>
      <c r="G5631" s="369">
        <f>VLOOKUP(C5631,METADATA!$J$5:$Q$29,IF(E5631="HI",2,IF(E5631="LO",6,10))+IF(D5631=1,2,IF(D5631=7,1,(IF(WEEKDAY(B5631)=1,2,IF(WEEKDAY(B5631)=7,1,0))))))</f>
        <v>2</v>
      </c>
      <c r="H5631" s="370">
        <v>13273.224975585938</v>
      </c>
      <c r="I5631" s="370">
        <v>4847.0249938964844</v>
      </c>
      <c r="M5631" s="371">
        <f t="shared" si="349"/>
        <v>14130.539711701585</v>
      </c>
      <c r="N5631" s="329">
        <f t="shared" si="350"/>
        <v>865.05750122070322</v>
      </c>
      <c r="T5631" s="331">
        <v>0</v>
      </c>
      <c r="U5631" s="328">
        <f>VLOOKUP(C5631,METADATA!$J$5:$Q$29,IF(E5631="HI",2,IF(E5631="LO",6,10))+IF(T5631=1,2,IF(D5631=7,1,(IF(WEEKDAY(B5631)=1,2,IF(WEEKDAY(B5631)=7,1,0))))))</f>
        <v>2</v>
      </c>
      <c r="V5631" s="328">
        <f>VLOOKUP(C5631,METADATA!$A$5:$H$29,IF(E5631="HI",2,IF(E5631="LO",6,10))+IF(T5631=1,2,IF(D5631=7,1,(IF(WEEKDAY(B5631)=1,2,IF(WEEKDAY(B5631)=7,1,0))))))</f>
        <v>2</v>
      </c>
    </row>
    <row r="5632" spans="2:22">
      <c r="B5632" s="318">
        <f t="shared" si="351"/>
        <v>46347</v>
      </c>
      <c r="C5632" s="312">
        <v>12</v>
      </c>
      <c r="D5632" s="368">
        <f>IFERROR((INDEX(METADATA!$T$2:$T$20,MATCH(B5632,METADATA!$S$2:$S$20,0))),0)</f>
        <v>0</v>
      </c>
      <c r="E5632" s="312" t="str">
        <f t="shared" si="348"/>
        <v>LO</v>
      </c>
      <c r="F5632" s="369">
        <f>VLOOKUP(C5632,METADATA!$A$5:$H$29,IF(E5632="HI",2,IF(E5632="LO",6,10))+IF(D5632=1,2,IF(D5632=7,1,(IF(WEEKDAY(B5632)=1,2,IF(WEEKDAY(B5632)=7,1,0))))))</f>
        <v>3</v>
      </c>
      <c r="G5632" s="369">
        <f>VLOOKUP(C5632,METADATA!$J$5:$Q$29,IF(E5632="HI",2,IF(E5632="LO",6,10))+IF(D5632=1,2,IF(D5632=7,1,(IF(WEEKDAY(B5632)=1,2,IF(WEEKDAY(B5632)=7,1,0))))))</f>
        <v>3</v>
      </c>
      <c r="H5632" s="370">
        <v>13154.42529296875</v>
      </c>
      <c r="I5632" s="370">
        <v>4762.3250122070313</v>
      </c>
      <c r="M5632" s="371">
        <f t="shared" si="349"/>
        <v>13989.947973819941</v>
      </c>
      <c r="N5632" s="329">
        <f t="shared" si="350"/>
        <v>815.99742431640652</v>
      </c>
      <c r="T5632" s="331">
        <v>0</v>
      </c>
      <c r="U5632" s="328">
        <f>VLOOKUP(C5632,METADATA!$J$5:$Q$29,IF(E5632="HI",2,IF(E5632="LO",6,10))+IF(T5632=1,2,IF(D5632=7,1,(IF(WEEKDAY(B5632)=1,2,IF(WEEKDAY(B5632)=7,1,0))))))</f>
        <v>3</v>
      </c>
      <c r="V5632" s="328">
        <f>VLOOKUP(C5632,METADATA!$A$5:$H$29,IF(E5632="HI",2,IF(E5632="LO",6,10))+IF(T5632=1,2,IF(D5632=7,1,(IF(WEEKDAY(B5632)=1,2,IF(WEEKDAY(B5632)=7,1,0))))))</f>
        <v>3</v>
      </c>
    </row>
    <row r="5633" spans="2:22">
      <c r="B5633" s="318">
        <f t="shared" si="351"/>
        <v>46347</v>
      </c>
      <c r="C5633" s="312">
        <v>13</v>
      </c>
      <c r="D5633" s="368">
        <f>IFERROR((INDEX(METADATA!$T$2:$T$20,MATCH(B5633,METADATA!$S$2:$S$20,0))),0)</f>
        <v>0</v>
      </c>
      <c r="E5633" s="312" t="str">
        <f t="shared" si="348"/>
        <v>LO</v>
      </c>
      <c r="F5633" s="369">
        <f>VLOOKUP(C5633,METADATA!$A$5:$H$29,IF(E5633="HI",2,IF(E5633="LO",6,10))+IF(D5633=1,2,IF(D5633=7,1,(IF(WEEKDAY(B5633)=1,2,IF(WEEKDAY(B5633)=7,1,0))))))</f>
        <v>3</v>
      </c>
      <c r="G5633" s="369">
        <f>VLOOKUP(C5633,METADATA!$J$5:$Q$29,IF(E5633="HI",2,IF(E5633="LO",6,10))+IF(D5633=1,2,IF(D5633=7,1,(IF(WEEKDAY(B5633)=1,2,IF(WEEKDAY(B5633)=7,1,0))))))</f>
        <v>3</v>
      </c>
      <c r="H5633" s="370">
        <v>12872.675048828125</v>
      </c>
      <c r="I5633" s="370">
        <v>4505.5549926757813</v>
      </c>
      <c r="M5633" s="371">
        <f t="shared" si="349"/>
        <v>13638.393919547412</v>
      </c>
      <c r="N5633" s="329">
        <f t="shared" si="350"/>
        <v>643.75247802734384</v>
      </c>
      <c r="T5633" s="331">
        <v>0</v>
      </c>
      <c r="U5633" s="328">
        <f>VLOOKUP(C5633,METADATA!$J$5:$Q$29,IF(E5633="HI",2,IF(E5633="LO",6,10))+IF(T5633=1,2,IF(D5633=7,1,(IF(WEEKDAY(B5633)=1,2,IF(WEEKDAY(B5633)=7,1,0))))))</f>
        <v>3</v>
      </c>
      <c r="V5633" s="328">
        <f>VLOOKUP(C5633,METADATA!$A$5:$H$29,IF(E5633="HI",2,IF(E5633="LO",6,10))+IF(T5633=1,2,IF(D5633=7,1,(IF(WEEKDAY(B5633)=1,2,IF(WEEKDAY(B5633)=7,1,0))))))</f>
        <v>3</v>
      </c>
    </row>
    <row r="5634" spans="2:22">
      <c r="B5634" s="318">
        <f t="shared" si="351"/>
        <v>46347</v>
      </c>
      <c r="C5634" s="312">
        <v>14</v>
      </c>
      <c r="D5634" s="368">
        <f>IFERROR((INDEX(METADATA!$T$2:$T$20,MATCH(B5634,METADATA!$S$2:$S$20,0))),0)</f>
        <v>0</v>
      </c>
      <c r="E5634" s="312" t="str">
        <f t="shared" si="348"/>
        <v>LO</v>
      </c>
      <c r="F5634" s="369">
        <f>VLOOKUP(C5634,METADATA!$A$5:$H$29,IF(E5634="HI",2,IF(E5634="LO",6,10))+IF(D5634=1,2,IF(D5634=7,1,(IF(WEEKDAY(B5634)=1,2,IF(WEEKDAY(B5634)=7,1,0))))))</f>
        <v>3</v>
      </c>
      <c r="G5634" s="369">
        <f>VLOOKUP(C5634,METADATA!$J$5:$Q$29,IF(E5634="HI",2,IF(E5634="LO",6,10))+IF(D5634=1,2,IF(D5634=7,1,(IF(WEEKDAY(B5634)=1,2,IF(WEEKDAY(B5634)=7,1,0))))))</f>
        <v>3</v>
      </c>
      <c r="H5634" s="370">
        <v>12775.024780273438</v>
      </c>
      <c r="I5634" s="370">
        <v>4399.155029296875</v>
      </c>
      <c r="M5634" s="371">
        <f t="shared" si="349"/>
        <v>13511.248021866388</v>
      </c>
      <c r="N5634" s="329">
        <f t="shared" si="350"/>
        <v>566.64759521484393</v>
      </c>
      <c r="T5634" s="331">
        <v>0</v>
      </c>
      <c r="U5634" s="328">
        <f>VLOOKUP(C5634,METADATA!$J$5:$Q$29,IF(E5634="HI",2,IF(E5634="LO",6,10))+IF(T5634=1,2,IF(D5634=7,1,(IF(WEEKDAY(B5634)=1,2,IF(WEEKDAY(B5634)=7,1,0))))))</f>
        <v>3</v>
      </c>
      <c r="V5634" s="328">
        <f>VLOOKUP(C5634,METADATA!$A$5:$H$29,IF(E5634="HI",2,IF(E5634="LO",6,10))+IF(T5634=1,2,IF(D5634=7,1,(IF(WEEKDAY(B5634)=1,2,IF(WEEKDAY(B5634)=7,1,0))))))</f>
        <v>3</v>
      </c>
    </row>
    <row r="5635" spans="2:22">
      <c r="B5635" s="318">
        <f t="shared" si="351"/>
        <v>46347</v>
      </c>
      <c r="C5635" s="312">
        <v>15</v>
      </c>
      <c r="D5635" s="368">
        <f>IFERROR((INDEX(METADATA!$T$2:$T$20,MATCH(B5635,METADATA!$S$2:$S$20,0))),0)</f>
        <v>0</v>
      </c>
      <c r="E5635" s="312" t="str">
        <f t="shared" si="348"/>
        <v>LO</v>
      </c>
      <c r="F5635" s="369">
        <f>VLOOKUP(C5635,METADATA!$A$5:$H$29,IF(E5635="HI",2,IF(E5635="LO",6,10))+IF(D5635=1,2,IF(D5635=7,1,(IF(WEEKDAY(B5635)=1,2,IF(WEEKDAY(B5635)=7,1,0))))))</f>
        <v>3</v>
      </c>
      <c r="G5635" s="369">
        <f>VLOOKUP(C5635,METADATA!$J$5:$Q$29,IF(E5635="HI",2,IF(E5635="LO",6,10))+IF(D5635=1,2,IF(D5635=7,1,(IF(WEEKDAY(B5635)=1,2,IF(WEEKDAY(B5635)=7,1,0))))))</f>
        <v>3</v>
      </c>
      <c r="H5635" s="370">
        <v>12282.0498046875</v>
      </c>
      <c r="I5635" s="370">
        <v>4067.7849731445313</v>
      </c>
      <c r="M5635" s="371">
        <f t="shared" si="349"/>
        <v>12938.146002908017</v>
      </c>
      <c r="N5635" s="329">
        <f t="shared" si="350"/>
        <v>383.17003173828152</v>
      </c>
      <c r="T5635" s="331">
        <v>0</v>
      </c>
      <c r="U5635" s="328">
        <f>VLOOKUP(C5635,METADATA!$J$5:$Q$29,IF(E5635="HI",2,IF(E5635="LO",6,10))+IF(T5635=1,2,IF(D5635=7,1,(IF(WEEKDAY(B5635)=1,2,IF(WEEKDAY(B5635)=7,1,0))))))</f>
        <v>3</v>
      </c>
      <c r="V5635" s="328">
        <f>VLOOKUP(C5635,METADATA!$A$5:$H$29,IF(E5635="HI",2,IF(E5635="LO",6,10))+IF(T5635=1,2,IF(D5635=7,1,(IF(WEEKDAY(B5635)=1,2,IF(WEEKDAY(B5635)=7,1,0))))))</f>
        <v>3</v>
      </c>
    </row>
    <row r="5636" spans="2:22">
      <c r="B5636" s="318">
        <f t="shared" si="351"/>
        <v>46347</v>
      </c>
      <c r="C5636" s="312">
        <v>16</v>
      </c>
      <c r="D5636" s="368">
        <f>IFERROR((INDEX(METADATA!$T$2:$T$20,MATCH(B5636,METADATA!$S$2:$S$20,0))),0)</f>
        <v>0</v>
      </c>
      <c r="E5636" s="312" t="str">
        <f t="shared" ref="E5636:E5699" si="352">IF(B5636="","",IF(AND(MONTH(B5636)&gt;=MONTH($Z$9),MONTH(B5636)&lt;=MONTH($Z$11)),"HI","LO"))</f>
        <v>LO</v>
      </c>
      <c r="F5636" s="369">
        <f>VLOOKUP(C5636,METADATA!$A$5:$H$29,IF(E5636="HI",2,IF(E5636="LO",6,10))+IF(D5636=1,2,IF(D5636=7,1,(IF(WEEKDAY(B5636)=1,2,IF(WEEKDAY(B5636)=7,1,0))))))</f>
        <v>3</v>
      </c>
      <c r="G5636" s="369">
        <f>VLOOKUP(C5636,METADATA!$J$5:$Q$29,IF(E5636="HI",2,IF(E5636="LO",6,10))+IF(D5636=1,2,IF(D5636=7,1,(IF(WEEKDAY(B5636)=1,2,IF(WEEKDAY(B5636)=7,1,0))))))</f>
        <v>3</v>
      </c>
      <c r="H5636" s="370">
        <v>12480.974670410156</v>
      </c>
      <c r="I5636" s="370">
        <v>4170.3899841308594</v>
      </c>
      <c r="M5636" s="371">
        <f t="shared" ref="M5636:M5699" si="353">SQRT(H5636^2+I5636^2)</f>
        <v>13159.288785612956</v>
      </c>
      <c r="N5636" s="329">
        <f t="shared" ref="N5636:N5699" si="354">IF(H5636=0,0,(IF(I5636-(0.3*H5636)&lt;0,0,(I5636-(0.3*H5636)))))</f>
        <v>426.09758300781277</v>
      </c>
      <c r="T5636" s="331">
        <v>0</v>
      </c>
      <c r="U5636" s="328">
        <f>VLOOKUP(C5636,METADATA!$J$5:$Q$29,IF(E5636="HI",2,IF(E5636="LO",6,10))+IF(T5636=1,2,IF(D5636=7,1,(IF(WEEKDAY(B5636)=1,2,IF(WEEKDAY(B5636)=7,1,0))))))</f>
        <v>3</v>
      </c>
      <c r="V5636" s="328">
        <f>VLOOKUP(C5636,METADATA!$A$5:$H$29,IF(E5636="HI",2,IF(E5636="LO",6,10))+IF(T5636=1,2,IF(D5636=7,1,(IF(WEEKDAY(B5636)=1,2,IF(WEEKDAY(B5636)=7,1,0))))))</f>
        <v>3</v>
      </c>
    </row>
    <row r="5637" spans="2:22">
      <c r="B5637" s="318">
        <f t="shared" si="351"/>
        <v>46347</v>
      </c>
      <c r="C5637" s="312">
        <v>17</v>
      </c>
      <c r="D5637" s="368">
        <f>IFERROR((INDEX(METADATA!$T$2:$T$20,MATCH(B5637,METADATA!$S$2:$S$20,0))),0)</f>
        <v>0</v>
      </c>
      <c r="E5637" s="312" t="str">
        <f t="shared" si="352"/>
        <v>LO</v>
      </c>
      <c r="F5637" s="369">
        <f>VLOOKUP(C5637,METADATA!$A$5:$H$29,IF(E5637="HI",2,IF(E5637="LO",6,10))+IF(D5637=1,2,IF(D5637=7,1,(IF(WEEKDAY(B5637)=1,2,IF(WEEKDAY(B5637)=7,1,0))))))</f>
        <v>3</v>
      </c>
      <c r="G5637" s="369">
        <f>VLOOKUP(C5637,METADATA!$J$5:$Q$29,IF(E5637="HI",2,IF(E5637="LO",6,10))+IF(D5637=1,2,IF(D5637=7,1,(IF(WEEKDAY(B5637)=1,2,IF(WEEKDAY(B5637)=7,1,0))))))</f>
        <v>3</v>
      </c>
      <c r="H5637" s="370">
        <v>13176.525085449219</v>
      </c>
      <c r="I5637" s="370">
        <v>4763.6000061035156</v>
      </c>
      <c r="M5637" s="371">
        <f t="shared" si="353"/>
        <v>14011.163347332082</v>
      </c>
      <c r="N5637" s="329">
        <f t="shared" si="354"/>
        <v>810.64248046875036</v>
      </c>
      <c r="T5637" s="331">
        <v>0</v>
      </c>
      <c r="U5637" s="328">
        <f>VLOOKUP(C5637,METADATA!$J$5:$Q$29,IF(E5637="HI",2,IF(E5637="LO",6,10))+IF(T5637=1,2,IF(D5637=7,1,(IF(WEEKDAY(B5637)=1,2,IF(WEEKDAY(B5637)=7,1,0))))))</f>
        <v>3</v>
      </c>
      <c r="V5637" s="328">
        <f>VLOOKUP(C5637,METADATA!$A$5:$H$29,IF(E5637="HI",2,IF(E5637="LO",6,10))+IF(T5637=1,2,IF(D5637=7,1,(IF(WEEKDAY(B5637)=1,2,IF(WEEKDAY(B5637)=7,1,0))))))</f>
        <v>3</v>
      </c>
    </row>
    <row r="5638" spans="2:22">
      <c r="B5638" s="318">
        <f t="shared" si="351"/>
        <v>46347</v>
      </c>
      <c r="C5638" s="312">
        <v>18</v>
      </c>
      <c r="D5638" s="368">
        <f>IFERROR((INDEX(METADATA!$T$2:$T$20,MATCH(B5638,METADATA!$S$2:$S$20,0))),0)</f>
        <v>0</v>
      </c>
      <c r="E5638" s="312" t="str">
        <f t="shared" si="352"/>
        <v>LO</v>
      </c>
      <c r="F5638" s="369">
        <f>VLOOKUP(C5638,METADATA!$A$5:$H$29,IF(E5638="HI",2,IF(E5638="LO",6,10))+IF(D5638=1,2,IF(D5638=7,1,(IF(WEEKDAY(B5638)=1,2,IF(WEEKDAY(B5638)=7,1,0))))))</f>
        <v>2</v>
      </c>
      <c r="G5638" s="369">
        <f>VLOOKUP(C5638,METADATA!$J$5:$Q$29,IF(E5638="HI",2,IF(E5638="LO",6,10))+IF(D5638=1,2,IF(D5638=7,1,(IF(WEEKDAY(B5638)=1,2,IF(WEEKDAY(B5638)=7,1,0))))))</f>
        <v>2</v>
      </c>
      <c r="H5638" s="370">
        <v>12881.349731445313</v>
      </c>
      <c r="I5638" s="370">
        <v>4487.6250610351563</v>
      </c>
      <c r="M5638" s="371">
        <f t="shared" si="353"/>
        <v>13640.672622427275</v>
      </c>
      <c r="N5638" s="329">
        <f t="shared" si="354"/>
        <v>623.22014160156277</v>
      </c>
      <c r="T5638" s="331">
        <v>0</v>
      </c>
      <c r="U5638" s="328">
        <f>VLOOKUP(C5638,METADATA!$J$5:$Q$29,IF(E5638="HI",2,IF(E5638="LO",6,10))+IF(T5638=1,2,IF(D5638=7,1,(IF(WEEKDAY(B5638)=1,2,IF(WEEKDAY(B5638)=7,1,0))))))</f>
        <v>2</v>
      </c>
      <c r="V5638" s="328">
        <f>VLOOKUP(C5638,METADATA!$A$5:$H$29,IF(E5638="HI",2,IF(E5638="LO",6,10))+IF(T5638=1,2,IF(D5638=7,1,(IF(WEEKDAY(B5638)=1,2,IF(WEEKDAY(B5638)=7,1,0))))))</f>
        <v>2</v>
      </c>
    </row>
    <row r="5639" spans="2:22">
      <c r="B5639" s="318">
        <f t="shared" si="351"/>
        <v>46347</v>
      </c>
      <c r="C5639" s="312">
        <v>19</v>
      </c>
      <c r="D5639" s="368">
        <f>IFERROR((INDEX(METADATA!$T$2:$T$20,MATCH(B5639,METADATA!$S$2:$S$20,0))),0)</f>
        <v>0</v>
      </c>
      <c r="E5639" s="312" t="str">
        <f t="shared" si="352"/>
        <v>LO</v>
      </c>
      <c r="F5639" s="369">
        <f>VLOOKUP(C5639,METADATA!$A$5:$H$29,IF(E5639="HI",2,IF(E5639="LO",6,10))+IF(D5639=1,2,IF(D5639=7,1,(IF(WEEKDAY(B5639)=1,2,IF(WEEKDAY(B5639)=7,1,0))))))</f>
        <v>2</v>
      </c>
      <c r="G5639" s="369">
        <f>VLOOKUP(C5639,METADATA!$J$5:$Q$29,IF(E5639="HI",2,IF(E5639="LO",6,10))+IF(D5639=1,2,IF(D5639=7,1,(IF(WEEKDAY(B5639)=1,2,IF(WEEKDAY(B5639)=7,1,0))))))</f>
        <v>2</v>
      </c>
      <c r="H5639" s="370">
        <v>12751.300170898438</v>
      </c>
      <c r="I5639" s="370">
        <v>4287.4899444580078</v>
      </c>
      <c r="M5639" s="371">
        <f t="shared" si="353"/>
        <v>13452.814801080964</v>
      </c>
      <c r="N5639" s="329">
        <f t="shared" si="354"/>
        <v>462.09989318847693</v>
      </c>
      <c r="T5639" s="331">
        <v>0</v>
      </c>
      <c r="U5639" s="328">
        <f>VLOOKUP(C5639,METADATA!$J$5:$Q$29,IF(E5639="HI",2,IF(E5639="LO",6,10))+IF(T5639=1,2,IF(D5639=7,1,(IF(WEEKDAY(B5639)=1,2,IF(WEEKDAY(B5639)=7,1,0))))))</f>
        <v>2</v>
      </c>
      <c r="V5639" s="328">
        <f>VLOOKUP(C5639,METADATA!$A$5:$H$29,IF(E5639="HI",2,IF(E5639="LO",6,10))+IF(T5639=1,2,IF(D5639=7,1,(IF(WEEKDAY(B5639)=1,2,IF(WEEKDAY(B5639)=7,1,0))))))</f>
        <v>2</v>
      </c>
    </row>
    <row r="5640" spans="2:22">
      <c r="B5640" s="318">
        <f t="shared" si="351"/>
        <v>46347</v>
      </c>
      <c r="C5640" s="312">
        <v>20</v>
      </c>
      <c r="D5640" s="368">
        <f>IFERROR((INDEX(METADATA!$T$2:$T$20,MATCH(B5640,METADATA!$S$2:$S$20,0))),0)</f>
        <v>0</v>
      </c>
      <c r="E5640" s="312" t="str">
        <f t="shared" si="352"/>
        <v>LO</v>
      </c>
      <c r="F5640" s="369">
        <f>VLOOKUP(C5640,METADATA!$A$5:$H$29,IF(E5640="HI",2,IF(E5640="LO",6,10))+IF(D5640=1,2,IF(D5640=7,1,(IF(WEEKDAY(B5640)=1,2,IF(WEEKDAY(B5640)=7,1,0))))))</f>
        <v>3</v>
      </c>
      <c r="G5640" s="369">
        <f>VLOOKUP(C5640,METADATA!$J$5:$Q$29,IF(E5640="HI",2,IF(E5640="LO",6,10))+IF(D5640=1,2,IF(D5640=7,1,(IF(WEEKDAY(B5640)=1,2,IF(WEEKDAY(B5640)=7,1,0))))))</f>
        <v>3</v>
      </c>
      <c r="H5640" s="370">
        <v>12963.375122070313</v>
      </c>
      <c r="I5640" s="370">
        <v>4735.2549438476563</v>
      </c>
      <c r="M5640" s="371">
        <f t="shared" si="353"/>
        <v>13801.14973249494</v>
      </c>
      <c r="N5640" s="329">
        <f t="shared" si="354"/>
        <v>846.24240722656259</v>
      </c>
      <c r="T5640" s="331">
        <v>0</v>
      </c>
      <c r="U5640" s="328">
        <f>VLOOKUP(C5640,METADATA!$J$5:$Q$29,IF(E5640="HI",2,IF(E5640="LO",6,10))+IF(T5640=1,2,IF(D5640=7,1,(IF(WEEKDAY(B5640)=1,2,IF(WEEKDAY(B5640)=7,1,0))))))</f>
        <v>3</v>
      </c>
      <c r="V5640" s="328">
        <f>VLOOKUP(C5640,METADATA!$A$5:$H$29,IF(E5640="HI",2,IF(E5640="LO",6,10))+IF(T5640=1,2,IF(D5640=7,1,(IF(WEEKDAY(B5640)=1,2,IF(WEEKDAY(B5640)=7,1,0))))))</f>
        <v>3</v>
      </c>
    </row>
    <row r="5641" spans="2:22">
      <c r="B5641" s="318">
        <f t="shared" si="351"/>
        <v>46347</v>
      </c>
      <c r="C5641" s="312">
        <v>21</v>
      </c>
      <c r="D5641" s="368">
        <f>IFERROR((INDEX(METADATA!$T$2:$T$20,MATCH(B5641,METADATA!$S$2:$S$20,0))),0)</f>
        <v>0</v>
      </c>
      <c r="E5641" s="312" t="str">
        <f t="shared" si="352"/>
        <v>LO</v>
      </c>
      <c r="F5641" s="369">
        <f>VLOOKUP(C5641,METADATA!$A$5:$H$29,IF(E5641="HI",2,IF(E5641="LO",6,10))+IF(D5641=1,2,IF(D5641=7,1,(IF(WEEKDAY(B5641)=1,2,IF(WEEKDAY(B5641)=7,1,0))))))</f>
        <v>3</v>
      </c>
      <c r="G5641" s="369">
        <f>VLOOKUP(C5641,METADATA!$J$5:$Q$29,IF(E5641="HI",2,IF(E5641="LO",6,10))+IF(D5641=1,2,IF(D5641=7,1,(IF(WEEKDAY(B5641)=1,2,IF(WEEKDAY(B5641)=7,1,0))))))</f>
        <v>3</v>
      </c>
      <c r="H5641" s="370">
        <v>12687.799743652344</v>
      </c>
      <c r="I5641" s="370">
        <v>4605.5250854492188</v>
      </c>
      <c r="M5641" s="371">
        <f t="shared" si="353"/>
        <v>13497.81921821916</v>
      </c>
      <c r="N5641" s="329">
        <f t="shared" si="354"/>
        <v>799.18516235351581</v>
      </c>
      <c r="T5641" s="331">
        <v>0</v>
      </c>
      <c r="U5641" s="328">
        <f>VLOOKUP(C5641,METADATA!$J$5:$Q$29,IF(E5641="HI",2,IF(E5641="LO",6,10))+IF(T5641=1,2,IF(D5641=7,1,(IF(WEEKDAY(B5641)=1,2,IF(WEEKDAY(B5641)=7,1,0))))))</f>
        <v>3</v>
      </c>
      <c r="V5641" s="328">
        <f>VLOOKUP(C5641,METADATA!$A$5:$H$29,IF(E5641="HI",2,IF(E5641="LO",6,10))+IF(T5641=1,2,IF(D5641=7,1,(IF(WEEKDAY(B5641)=1,2,IF(WEEKDAY(B5641)=7,1,0))))))</f>
        <v>3</v>
      </c>
    </row>
    <row r="5642" spans="2:22">
      <c r="B5642" s="318">
        <f t="shared" si="351"/>
        <v>46347</v>
      </c>
      <c r="C5642" s="312">
        <v>22</v>
      </c>
      <c r="D5642" s="368">
        <f>IFERROR((INDEX(METADATA!$T$2:$T$20,MATCH(B5642,METADATA!$S$2:$S$20,0))),0)</f>
        <v>0</v>
      </c>
      <c r="E5642" s="312" t="str">
        <f t="shared" si="352"/>
        <v>LO</v>
      </c>
      <c r="F5642" s="369">
        <f>VLOOKUP(C5642,METADATA!$A$5:$H$29,IF(E5642="HI",2,IF(E5642="LO",6,10))+IF(D5642=1,2,IF(D5642=7,1,(IF(WEEKDAY(B5642)=1,2,IF(WEEKDAY(B5642)=7,1,0))))))</f>
        <v>3</v>
      </c>
      <c r="G5642" s="369">
        <f>VLOOKUP(C5642,METADATA!$J$5:$Q$29,IF(E5642="HI",2,IF(E5642="LO",6,10))+IF(D5642=1,2,IF(D5642=7,1,(IF(WEEKDAY(B5642)=1,2,IF(WEEKDAY(B5642)=7,1,0))))))</f>
        <v>3</v>
      </c>
      <c r="H5642" s="370">
        <v>12726.275024414063</v>
      </c>
      <c r="I5642" s="370">
        <v>4691.0250244140625</v>
      </c>
      <c r="M5642" s="371">
        <f t="shared" si="353"/>
        <v>13563.325247766643</v>
      </c>
      <c r="N5642" s="329">
        <f t="shared" si="354"/>
        <v>873.14251708984375</v>
      </c>
      <c r="T5642" s="331">
        <v>0</v>
      </c>
      <c r="U5642" s="328">
        <f>VLOOKUP(C5642,METADATA!$J$5:$Q$29,IF(E5642="HI",2,IF(E5642="LO",6,10))+IF(T5642=1,2,IF(D5642=7,1,(IF(WEEKDAY(B5642)=1,2,IF(WEEKDAY(B5642)=7,1,0))))))</f>
        <v>3</v>
      </c>
      <c r="V5642" s="328">
        <f>VLOOKUP(C5642,METADATA!$A$5:$H$29,IF(E5642="HI",2,IF(E5642="LO",6,10))+IF(T5642=1,2,IF(D5642=7,1,(IF(WEEKDAY(B5642)=1,2,IF(WEEKDAY(B5642)=7,1,0))))))</f>
        <v>3</v>
      </c>
    </row>
    <row r="5643" spans="2:22">
      <c r="B5643" s="318">
        <f t="shared" si="351"/>
        <v>46347</v>
      </c>
      <c r="C5643" s="312">
        <v>23</v>
      </c>
      <c r="D5643" s="368">
        <f>IFERROR((INDEX(METADATA!$T$2:$T$20,MATCH(B5643,METADATA!$S$2:$S$20,0))),0)</f>
        <v>0</v>
      </c>
      <c r="E5643" s="312" t="str">
        <f t="shared" si="352"/>
        <v>LO</v>
      </c>
      <c r="F5643" s="369">
        <f>VLOOKUP(C5643,METADATA!$A$5:$H$29,IF(E5643="HI",2,IF(E5643="LO",6,10))+IF(D5643=1,2,IF(D5643=7,1,(IF(WEEKDAY(B5643)=1,2,IF(WEEKDAY(B5643)=7,1,0))))))</f>
        <v>3</v>
      </c>
      <c r="G5643" s="369">
        <f>VLOOKUP(C5643,METADATA!$J$5:$Q$29,IF(E5643="HI",2,IF(E5643="LO",6,10))+IF(D5643=1,2,IF(D5643=7,1,(IF(WEEKDAY(B5643)=1,2,IF(WEEKDAY(B5643)=7,1,0))))))</f>
        <v>3</v>
      </c>
      <c r="H5643" s="370">
        <v>12525.974975585938</v>
      </c>
      <c r="I5643" s="370">
        <v>4603.800048828125</v>
      </c>
      <c r="M5643" s="371">
        <f t="shared" si="353"/>
        <v>13345.224763135126</v>
      </c>
      <c r="N5643" s="329">
        <f t="shared" si="354"/>
        <v>846.00755615234402</v>
      </c>
      <c r="T5643" s="331">
        <v>0</v>
      </c>
      <c r="U5643" s="328">
        <f>VLOOKUP(C5643,METADATA!$J$5:$Q$29,IF(E5643="HI",2,IF(E5643="LO",6,10))+IF(T5643=1,2,IF(D5643=7,1,(IF(WEEKDAY(B5643)=1,2,IF(WEEKDAY(B5643)=7,1,0))))))</f>
        <v>3</v>
      </c>
      <c r="V5643" s="328">
        <f>VLOOKUP(C5643,METADATA!$A$5:$H$29,IF(E5643="HI",2,IF(E5643="LO",6,10))+IF(T5643=1,2,IF(D5643=7,1,(IF(WEEKDAY(B5643)=1,2,IF(WEEKDAY(B5643)=7,1,0))))))</f>
        <v>3</v>
      </c>
    </row>
    <row r="5644" spans="2:22">
      <c r="B5644" s="318">
        <f t="shared" si="351"/>
        <v>46348</v>
      </c>
      <c r="C5644" s="312">
        <v>0</v>
      </c>
      <c r="D5644" s="368">
        <f>IFERROR((INDEX(METADATA!$T$2:$T$20,MATCH(B5644,METADATA!$S$2:$S$20,0))),0)</f>
        <v>0</v>
      </c>
      <c r="E5644" s="312" t="str">
        <f t="shared" si="352"/>
        <v>LO</v>
      </c>
      <c r="F5644" s="369">
        <f>VLOOKUP(C5644,METADATA!$A$5:$H$29,IF(E5644="HI",2,IF(E5644="LO",6,10))+IF(D5644=1,2,IF(D5644=7,1,(IF(WEEKDAY(B5644)=1,2,IF(WEEKDAY(B5644)=7,1,0))))))</f>
        <v>3</v>
      </c>
      <c r="G5644" s="369">
        <f>VLOOKUP(C5644,METADATA!$J$5:$Q$29,IF(E5644="HI",2,IF(E5644="LO",6,10))+IF(D5644=1,2,IF(D5644=7,1,(IF(WEEKDAY(B5644)=1,2,IF(WEEKDAY(B5644)=7,1,0))))))</f>
        <v>3</v>
      </c>
      <c r="H5644" s="370">
        <v>12576.500244140625</v>
      </c>
      <c r="I5644" s="370">
        <v>4694.175048828125</v>
      </c>
      <c r="M5644" s="371">
        <f t="shared" si="353"/>
        <v>13423.994851753696</v>
      </c>
      <c r="N5644" s="329">
        <f t="shared" si="354"/>
        <v>921.2249755859375</v>
      </c>
      <c r="T5644" s="331">
        <v>0</v>
      </c>
      <c r="U5644" s="328">
        <f>VLOOKUP(C5644,METADATA!$J$5:$Q$29,IF(E5644="HI",2,IF(E5644="LO",6,10))+IF(T5644=1,2,IF(D5644=7,1,(IF(WEEKDAY(B5644)=1,2,IF(WEEKDAY(B5644)=7,1,0))))))</f>
        <v>3</v>
      </c>
      <c r="V5644" s="328">
        <f>VLOOKUP(C5644,METADATA!$A$5:$H$29,IF(E5644="HI",2,IF(E5644="LO",6,10))+IF(T5644=1,2,IF(D5644=7,1,(IF(WEEKDAY(B5644)=1,2,IF(WEEKDAY(B5644)=7,1,0))))))</f>
        <v>3</v>
      </c>
    </row>
    <row r="5645" spans="2:22">
      <c r="B5645" s="318">
        <f t="shared" si="351"/>
        <v>46348</v>
      </c>
      <c r="C5645" s="312">
        <v>1</v>
      </c>
      <c r="D5645" s="368">
        <f>IFERROR((INDEX(METADATA!$T$2:$T$20,MATCH(B5645,METADATA!$S$2:$S$20,0))),0)</f>
        <v>0</v>
      </c>
      <c r="E5645" s="312" t="str">
        <f t="shared" si="352"/>
        <v>LO</v>
      </c>
      <c r="F5645" s="369">
        <f>VLOOKUP(C5645,METADATA!$A$5:$H$29,IF(E5645="HI",2,IF(E5645="LO",6,10))+IF(D5645=1,2,IF(D5645=7,1,(IF(WEEKDAY(B5645)=1,2,IF(WEEKDAY(B5645)=7,1,0))))))</f>
        <v>3</v>
      </c>
      <c r="G5645" s="369">
        <f>VLOOKUP(C5645,METADATA!$J$5:$Q$29,IF(E5645="HI",2,IF(E5645="LO",6,10))+IF(D5645=1,2,IF(D5645=7,1,(IF(WEEKDAY(B5645)=1,2,IF(WEEKDAY(B5645)=7,1,0))))))</f>
        <v>3</v>
      </c>
      <c r="H5645" s="370">
        <v>13003.7822265625</v>
      </c>
      <c r="I5645" s="370">
        <v>4929.3648681640625</v>
      </c>
      <c r="M5645" s="371">
        <f t="shared" si="353"/>
        <v>13906.72463951713</v>
      </c>
      <c r="N5645" s="329">
        <f t="shared" si="354"/>
        <v>1028.2302001953126</v>
      </c>
      <c r="T5645" s="331">
        <v>0</v>
      </c>
      <c r="U5645" s="328">
        <f>VLOOKUP(C5645,METADATA!$J$5:$Q$29,IF(E5645="HI",2,IF(E5645="LO",6,10))+IF(T5645=1,2,IF(D5645=7,1,(IF(WEEKDAY(B5645)=1,2,IF(WEEKDAY(B5645)=7,1,0))))))</f>
        <v>3</v>
      </c>
      <c r="V5645" s="328">
        <f>VLOOKUP(C5645,METADATA!$A$5:$H$29,IF(E5645="HI",2,IF(E5645="LO",6,10))+IF(T5645=1,2,IF(D5645=7,1,(IF(WEEKDAY(B5645)=1,2,IF(WEEKDAY(B5645)=7,1,0))))))</f>
        <v>3</v>
      </c>
    </row>
    <row r="5646" spans="2:22">
      <c r="B5646" s="318">
        <f t="shared" si="351"/>
        <v>46348</v>
      </c>
      <c r="C5646" s="312">
        <v>2</v>
      </c>
      <c r="D5646" s="368">
        <f>IFERROR((INDEX(METADATA!$T$2:$T$20,MATCH(B5646,METADATA!$S$2:$S$20,0))),0)</f>
        <v>0</v>
      </c>
      <c r="E5646" s="312" t="str">
        <f t="shared" si="352"/>
        <v>LO</v>
      </c>
      <c r="F5646" s="369">
        <f>VLOOKUP(C5646,METADATA!$A$5:$H$29,IF(E5646="HI",2,IF(E5646="LO",6,10))+IF(D5646=1,2,IF(D5646=7,1,(IF(WEEKDAY(B5646)=1,2,IF(WEEKDAY(B5646)=7,1,0))))))</f>
        <v>3</v>
      </c>
      <c r="G5646" s="369">
        <f>VLOOKUP(C5646,METADATA!$J$5:$Q$29,IF(E5646="HI",2,IF(E5646="LO",6,10))+IF(D5646=1,2,IF(D5646=7,1,(IF(WEEKDAY(B5646)=1,2,IF(WEEKDAY(B5646)=7,1,0))))))</f>
        <v>3</v>
      </c>
      <c r="H5646" s="370">
        <v>13385.424438476563</v>
      </c>
      <c r="I5646" s="370">
        <v>5148.3248291015625</v>
      </c>
      <c r="M5646" s="371">
        <f t="shared" si="353"/>
        <v>14341.367994166707</v>
      </c>
      <c r="N5646" s="329">
        <f t="shared" si="354"/>
        <v>1132.697497558594</v>
      </c>
      <c r="T5646" s="331">
        <v>0</v>
      </c>
      <c r="U5646" s="328">
        <f>VLOOKUP(C5646,METADATA!$J$5:$Q$29,IF(E5646="HI",2,IF(E5646="LO",6,10))+IF(T5646=1,2,IF(D5646=7,1,(IF(WEEKDAY(B5646)=1,2,IF(WEEKDAY(B5646)=7,1,0))))))</f>
        <v>3</v>
      </c>
      <c r="V5646" s="328">
        <f>VLOOKUP(C5646,METADATA!$A$5:$H$29,IF(E5646="HI",2,IF(E5646="LO",6,10))+IF(T5646=1,2,IF(D5646=7,1,(IF(WEEKDAY(B5646)=1,2,IF(WEEKDAY(B5646)=7,1,0))))))</f>
        <v>3</v>
      </c>
    </row>
    <row r="5647" spans="2:22">
      <c r="B5647" s="318">
        <f t="shared" si="351"/>
        <v>46348</v>
      </c>
      <c r="C5647" s="312">
        <v>3</v>
      </c>
      <c r="D5647" s="368">
        <f>IFERROR((INDEX(METADATA!$T$2:$T$20,MATCH(B5647,METADATA!$S$2:$S$20,0))),0)</f>
        <v>0</v>
      </c>
      <c r="E5647" s="312" t="str">
        <f t="shared" si="352"/>
        <v>LO</v>
      </c>
      <c r="F5647" s="369">
        <f>VLOOKUP(C5647,METADATA!$A$5:$H$29,IF(E5647="HI",2,IF(E5647="LO",6,10))+IF(D5647=1,2,IF(D5647=7,1,(IF(WEEKDAY(B5647)=1,2,IF(WEEKDAY(B5647)=7,1,0))))))</f>
        <v>3</v>
      </c>
      <c r="G5647" s="369">
        <f>VLOOKUP(C5647,METADATA!$J$5:$Q$29,IF(E5647="HI",2,IF(E5647="LO",6,10))+IF(D5647=1,2,IF(D5647=7,1,(IF(WEEKDAY(B5647)=1,2,IF(WEEKDAY(B5647)=7,1,0))))))</f>
        <v>3</v>
      </c>
      <c r="H5647" s="370">
        <v>13208.550415039063</v>
      </c>
      <c r="I5647" s="370">
        <v>5105.375</v>
      </c>
      <c r="M5647" s="371">
        <f t="shared" si="353"/>
        <v>14160.88478723182</v>
      </c>
      <c r="N5647" s="329">
        <f t="shared" si="354"/>
        <v>1142.8098754882813</v>
      </c>
      <c r="T5647" s="331">
        <v>0</v>
      </c>
      <c r="U5647" s="328">
        <f>VLOOKUP(C5647,METADATA!$J$5:$Q$29,IF(E5647="HI",2,IF(E5647="LO",6,10))+IF(T5647=1,2,IF(D5647=7,1,(IF(WEEKDAY(B5647)=1,2,IF(WEEKDAY(B5647)=7,1,0))))))</f>
        <v>3</v>
      </c>
      <c r="V5647" s="328">
        <f>VLOOKUP(C5647,METADATA!$A$5:$H$29,IF(E5647="HI",2,IF(E5647="LO",6,10))+IF(T5647=1,2,IF(D5647=7,1,(IF(WEEKDAY(B5647)=1,2,IF(WEEKDAY(B5647)=7,1,0))))))</f>
        <v>3</v>
      </c>
    </row>
    <row r="5648" spans="2:22">
      <c r="B5648" s="318">
        <f t="shared" si="351"/>
        <v>46348</v>
      </c>
      <c r="C5648" s="312">
        <v>4</v>
      </c>
      <c r="D5648" s="368">
        <f>IFERROR((INDEX(METADATA!$T$2:$T$20,MATCH(B5648,METADATA!$S$2:$S$20,0))),0)</f>
        <v>0</v>
      </c>
      <c r="E5648" s="312" t="str">
        <f t="shared" si="352"/>
        <v>LO</v>
      </c>
      <c r="F5648" s="369">
        <f>VLOOKUP(C5648,METADATA!$A$5:$H$29,IF(E5648="HI",2,IF(E5648="LO",6,10))+IF(D5648=1,2,IF(D5648=7,1,(IF(WEEKDAY(B5648)=1,2,IF(WEEKDAY(B5648)=7,1,0))))))</f>
        <v>3</v>
      </c>
      <c r="G5648" s="369">
        <f>VLOOKUP(C5648,METADATA!$J$5:$Q$29,IF(E5648="HI",2,IF(E5648="LO",6,10))+IF(D5648=1,2,IF(D5648=7,1,(IF(WEEKDAY(B5648)=1,2,IF(WEEKDAY(B5648)=7,1,0))))))</f>
        <v>3</v>
      </c>
      <c r="H5648" s="370">
        <v>13119.074584960938</v>
      </c>
      <c r="I5648" s="370">
        <v>4981.9500122070313</v>
      </c>
      <c r="M5648" s="371">
        <f t="shared" si="353"/>
        <v>14033.172980117419</v>
      </c>
      <c r="N5648" s="329">
        <f t="shared" si="354"/>
        <v>1046.2276367187501</v>
      </c>
      <c r="T5648" s="331">
        <v>0</v>
      </c>
      <c r="U5648" s="328">
        <f>VLOOKUP(C5648,METADATA!$J$5:$Q$29,IF(E5648="HI",2,IF(E5648="LO",6,10))+IF(T5648=1,2,IF(D5648=7,1,(IF(WEEKDAY(B5648)=1,2,IF(WEEKDAY(B5648)=7,1,0))))))</f>
        <v>3</v>
      </c>
      <c r="V5648" s="328">
        <f>VLOOKUP(C5648,METADATA!$A$5:$H$29,IF(E5648="HI",2,IF(E5648="LO",6,10))+IF(T5648=1,2,IF(D5648=7,1,(IF(WEEKDAY(B5648)=1,2,IF(WEEKDAY(B5648)=7,1,0))))))</f>
        <v>3</v>
      </c>
    </row>
    <row r="5649" spans="2:22">
      <c r="B5649" s="318">
        <f t="shared" si="351"/>
        <v>46348</v>
      </c>
      <c r="C5649" s="312">
        <v>5</v>
      </c>
      <c r="D5649" s="368">
        <f>IFERROR((INDEX(METADATA!$T$2:$T$20,MATCH(B5649,METADATA!$S$2:$S$20,0))),0)</f>
        <v>0</v>
      </c>
      <c r="E5649" s="312" t="str">
        <f t="shared" si="352"/>
        <v>LO</v>
      </c>
      <c r="F5649" s="369">
        <f>VLOOKUP(C5649,METADATA!$A$5:$H$29,IF(E5649="HI",2,IF(E5649="LO",6,10))+IF(D5649=1,2,IF(D5649=7,1,(IF(WEEKDAY(B5649)=1,2,IF(WEEKDAY(B5649)=7,1,0))))))</f>
        <v>3</v>
      </c>
      <c r="G5649" s="369">
        <f>VLOOKUP(C5649,METADATA!$J$5:$Q$29,IF(E5649="HI",2,IF(E5649="LO",6,10))+IF(D5649=1,2,IF(D5649=7,1,(IF(WEEKDAY(B5649)=1,2,IF(WEEKDAY(B5649)=7,1,0))))))</f>
        <v>3</v>
      </c>
      <c r="H5649" s="370">
        <v>13076.874755859375</v>
      </c>
      <c r="I5649" s="370">
        <v>4899.474853515625</v>
      </c>
      <c r="M5649" s="371">
        <f t="shared" si="353"/>
        <v>13964.580452726252</v>
      </c>
      <c r="N5649" s="329">
        <f t="shared" si="354"/>
        <v>976.41242675781268</v>
      </c>
      <c r="T5649" s="331">
        <v>0</v>
      </c>
      <c r="U5649" s="328">
        <f>VLOOKUP(C5649,METADATA!$J$5:$Q$29,IF(E5649="HI",2,IF(E5649="LO",6,10))+IF(T5649=1,2,IF(D5649=7,1,(IF(WEEKDAY(B5649)=1,2,IF(WEEKDAY(B5649)=7,1,0))))))</f>
        <v>3</v>
      </c>
      <c r="V5649" s="328">
        <f>VLOOKUP(C5649,METADATA!$A$5:$H$29,IF(E5649="HI",2,IF(E5649="LO",6,10))+IF(T5649=1,2,IF(D5649=7,1,(IF(WEEKDAY(B5649)=1,2,IF(WEEKDAY(B5649)=7,1,0))))))</f>
        <v>3</v>
      </c>
    </row>
    <row r="5650" spans="2:22">
      <c r="B5650" s="318">
        <f t="shared" si="351"/>
        <v>46348</v>
      </c>
      <c r="C5650" s="312">
        <v>6</v>
      </c>
      <c r="D5650" s="368">
        <f>IFERROR((INDEX(METADATA!$T$2:$T$20,MATCH(B5650,METADATA!$S$2:$S$20,0))),0)</f>
        <v>0</v>
      </c>
      <c r="E5650" s="312" t="str">
        <f t="shared" si="352"/>
        <v>LO</v>
      </c>
      <c r="F5650" s="369">
        <f>VLOOKUP(C5650,METADATA!$A$5:$H$29,IF(E5650="HI",2,IF(E5650="LO",6,10))+IF(D5650=1,2,IF(D5650=7,1,(IF(WEEKDAY(B5650)=1,2,IF(WEEKDAY(B5650)=7,1,0))))))</f>
        <v>3</v>
      </c>
      <c r="G5650" s="369">
        <f>VLOOKUP(C5650,METADATA!$J$5:$Q$29,IF(E5650="HI",2,IF(E5650="LO",6,10))+IF(D5650=1,2,IF(D5650=7,1,(IF(WEEKDAY(B5650)=1,2,IF(WEEKDAY(B5650)=7,1,0))))))</f>
        <v>3</v>
      </c>
      <c r="H5650" s="370">
        <v>13090.574829101563</v>
      </c>
      <c r="I5650" s="370">
        <v>4830.2250671386719</v>
      </c>
      <c r="M5650" s="371">
        <f t="shared" si="353"/>
        <v>13953.287195335806</v>
      </c>
      <c r="N5650" s="329">
        <f t="shared" si="354"/>
        <v>903.05261840820322</v>
      </c>
      <c r="T5650" s="331">
        <v>0</v>
      </c>
      <c r="U5650" s="328">
        <f>VLOOKUP(C5650,METADATA!$J$5:$Q$29,IF(E5650="HI",2,IF(E5650="LO",6,10))+IF(T5650=1,2,IF(D5650=7,1,(IF(WEEKDAY(B5650)=1,2,IF(WEEKDAY(B5650)=7,1,0))))))</f>
        <v>3</v>
      </c>
      <c r="V5650" s="328">
        <f>VLOOKUP(C5650,METADATA!$A$5:$H$29,IF(E5650="HI",2,IF(E5650="LO",6,10))+IF(T5650=1,2,IF(D5650=7,1,(IF(WEEKDAY(B5650)=1,2,IF(WEEKDAY(B5650)=7,1,0))))))</f>
        <v>3</v>
      </c>
    </row>
    <row r="5651" spans="2:22">
      <c r="B5651" s="318">
        <f t="shared" si="351"/>
        <v>46348</v>
      </c>
      <c r="C5651" s="312">
        <v>7</v>
      </c>
      <c r="D5651" s="368">
        <f>IFERROR((INDEX(METADATA!$T$2:$T$20,MATCH(B5651,METADATA!$S$2:$S$20,0))),0)</f>
        <v>0</v>
      </c>
      <c r="E5651" s="312" t="str">
        <f t="shared" si="352"/>
        <v>LO</v>
      </c>
      <c r="F5651" s="369">
        <f>VLOOKUP(C5651,METADATA!$A$5:$H$29,IF(E5651="HI",2,IF(E5651="LO",6,10))+IF(D5651=1,2,IF(D5651=7,1,(IF(WEEKDAY(B5651)=1,2,IF(WEEKDAY(B5651)=7,1,0))))))</f>
        <v>3</v>
      </c>
      <c r="G5651" s="369">
        <f>VLOOKUP(C5651,METADATA!$J$5:$Q$29,IF(E5651="HI",2,IF(E5651="LO",6,10))+IF(D5651=1,2,IF(D5651=7,1,(IF(WEEKDAY(B5651)=1,2,IF(WEEKDAY(B5651)=7,1,0))))))</f>
        <v>3</v>
      </c>
      <c r="H5651" s="370">
        <v>12874.450134277344</v>
      </c>
      <c r="I5651" s="370">
        <v>4676.7599182128906</v>
      </c>
      <c r="M5651" s="371">
        <f t="shared" si="353"/>
        <v>13697.574587955218</v>
      </c>
      <c r="N5651" s="329">
        <f t="shared" si="354"/>
        <v>814.42487792968768</v>
      </c>
      <c r="T5651" s="331">
        <v>0</v>
      </c>
      <c r="U5651" s="328">
        <f>VLOOKUP(C5651,METADATA!$J$5:$Q$29,IF(E5651="HI",2,IF(E5651="LO",6,10))+IF(T5651=1,2,IF(D5651=7,1,(IF(WEEKDAY(B5651)=1,2,IF(WEEKDAY(B5651)=7,1,0))))))</f>
        <v>3</v>
      </c>
      <c r="V5651" s="328">
        <f>VLOOKUP(C5651,METADATA!$A$5:$H$29,IF(E5651="HI",2,IF(E5651="LO",6,10))+IF(T5651=1,2,IF(D5651=7,1,(IF(WEEKDAY(B5651)=1,2,IF(WEEKDAY(B5651)=7,1,0))))))</f>
        <v>3</v>
      </c>
    </row>
    <row r="5652" spans="2:22">
      <c r="B5652" s="318">
        <f t="shared" si="351"/>
        <v>46348</v>
      </c>
      <c r="C5652" s="312">
        <v>8</v>
      </c>
      <c r="D5652" s="368">
        <f>IFERROR((INDEX(METADATA!$T$2:$T$20,MATCH(B5652,METADATA!$S$2:$S$20,0))),0)</f>
        <v>0</v>
      </c>
      <c r="E5652" s="312" t="str">
        <f t="shared" si="352"/>
        <v>LO</v>
      </c>
      <c r="F5652" s="369">
        <f>VLOOKUP(C5652,METADATA!$A$5:$H$29,IF(E5652="HI",2,IF(E5652="LO",6,10))+IF(D5652=1,2,IF(D5652=7,1,(IF(WEEKDAY(B5652)=1,2,IF(WEEKDAY(B5652)=7,1,0))))))</f>
        <v>3</v>
      </c>
      <c r="G5652" s="369">
        <f>VLOOKUP(C5652,METADATA!$J$5:$Q$29,IF(E5652="HI",2,IF(E5652="LO",6,10))+IF(D5652=1,2,IF(D5652=7,1,(IF(WEEKDAY(B5652)=1,2,IF(WEEKDAY(B5652)=7,1,0))))))</f>
        <v>3</v>
      </c>
      <c r="H5652" s="370">
        <v>12994.050048828125</v>
      </c>
      <c r="I5652" s="370">
        <v>4649.6849365234375</v>
      </c>
      <c r="M5652" s="371">
        <f t="shared" si="353"/>
        <v>13800.902386452241</v>
      </c>
      <c r="N5652" s="329">
        <f t="shared" si="354"/>
        <v>751.46992187500018</v>
      </c>
      <c r="T5652" s="331">
        <v>0</v>
      </c>
      <c r="U5652" s="328">
        <f>VLOOKUP(C5652,METADATA!$J$5:$Q$29,IF(E5652="HI",2,IF(E5652="LO",6,10))+IF(T5652=1,2,IF(D5652=7,1,(IF(WEEKDAY(B5652)=1,2,IF(WEEKDAY(B5652)=7,1,0))))))</f>
        <v>3</v>
      </c>
      <c r="V5652" s="328">
        <f>VLOOKUP(C5652,METADATA!$A$5:$H$29,IF(E5652="HI",2,IF(E5652="LO",6,10))+IF(T5652=1,2,IF(D5652=7,1,(IF(WEEKDAY(B5652)=1,2,IF(WEEKDAY(B5652)=7,1,0))))))</f>
        <v>3</v>
      </c>
    </row>
    <row r="5653" spans="2:22">
      <c r="B5653" s="318">
        <f t="shared" si="351"/>
        <v>46348</v>
      </c>
      <c r="C5653" s="312">
        <v>9</v>
      </c>
      <c r="D5653" s="368">
        <f>IFERROR((INDEX(METADATA!$T$2:$T$20,MATCH(B5653,METADATA!$S$2:$S$20,0))),0)</f>
        <v>0</v>
      </c>
      <c r="E5653" s="312" t="str">
        <f t="shared" si="352"/>
        <v>LO</v>
      </c>
      <c r="F5653" s="369">
        <f>VLOOKUP(C5653,METADATA!$A$5:$H$29,IF(E5653="HI",2,IF(E5653="LO",6,10))+IF(D5653=1,2,IF(D5653=7,1,(IF(WEEKDAY(B5653)=1,2,IF(WEEKDAY(B5653)=7,1,0))))))</f>
        <v>3</v>
      </c>
      <c r="G5653" s="369">
        <f>VLOOKUP(C5653,METADATA!$J$5:$Q$29,IF(E5653="HI",2,IF(E5653="LO",6,10))+IF(D5653=1,2,IF(D5653=7,1,(IF(WEEKDAY(B5653)=1,2,IF(WEEKDAY(B5653)=7,1,0))))))</f>
        <v>3</v>
      </c>
      <c r="H5653" s="370">
        <v>13151.825134277344</v>
      </c>
      <c r="I5653" s="370">
        <v>4842.8750305175781</v>
      </c>
      <c r="M5653" s="371">
        <f t="shared" si="353"/>
        <v>14015.132640250677</v>
      </c>
      <c r="N5653" s="329">
        <f t="shared" si="354"/>
        <v>897.32749023437509</v>
      </c>
      <c r="T5653" s="331">
        <v>0</v>
      </c>
      <c r="U5653" s="328">
        <f>VLOOKUP(C5653,METADATA!$J$5:$Q$29,IF(E5653="HI",2,IF(E5653="LO",6,10))+IF(T5653=1,2,IF(D5653=7,1,(IF(WEEKDAY(B5653)=1,2,IF(WEEKDAY(B5653)=7,1,0))))))</f>
        <v>3</v>
      </c>
      <c r="V5653" s="328">
        <f>VLOOKUP(C5653,METADATA!$A$5:$H$29,IF(E5653="HI",2,IF(E5653="LO",6,10))+IF(T5653=1,2,IF(D5653=7,1,(IF(WEEKDAY(B5653)=1,2,IF(WEEKDAY(B5653)=7,1,0))))))</f>
        <v>3</v>
      </c>
    </row>
    <row r="5654" spans="2:22">
      <c r="B5654" s="318">
        <f t="shared" si="351"/>
        <v>46348</v>
      </c>
      <c r="C5654" s="312">
        <v>10</v>
      </c>
      <c r="D5654" s="368">
        <f>IFERROR((INDEX(METADATA!$T$2:$T$20,MATCH(B5654,METADATA!$S$2:$S$20,0))),0)</f>
        <v>0</v>
      </c>
      <c r="E5654" s="312" t="str">
        <f t="shared" si="352"/>
        <v>LO</v>
      </c>
      <c r="F5654" s="369">
        <f>VLOOKUP(C5654,METADATA!$A$5:$H$29,IF(E5654="HI",2,IF(E5654="LO",6,10))+IF(D5654=1,2,IF(D5654=7,1,(IF(WEEKDAY(B5654)=1,2,IF(WEEKDAY(B5654)=7,1,0))))))</f>
        <v>3</v>
      </c>
      <c r="G5654" s="369">
        <f>VLOOKUP(C5654,METADATA!$J$5:$Q$29,IF(E5654="HI",2,IF(E5654="LO",6,10))+IF(D5654=1,2,IF(D5654=7,1,(IF(WEEKDAY(B5654)=1,2,IF(WEEKDAY(B5654)=7,1,0))))))</f>
        <v>3</v>
      </c>
      <c r="H5654" s="370">
        <v>12982.2998046875</v>
      </c>
      <c r="I5654" s="370">
        <v>4931.5650024414063</v>
      </c>
      <c r="M5654" s="371">
        <f t="shared" si="353"/>
        <v>13887.420264112914</v>
      </c>
      <c r="N5654" s="329">
        <f t="shared" si="354"/>
        <v>1036.8750610351563</v>
      </c>
      <c r="T5654" s="331">
        <v>0</v>
      </c>
      <c r="U5654" s="328">
        <f>VLOOKUP(C5654,METADATA!$J$5:$Q$29,IF(E5654="HI",2,IF(E5654="LO",6,10))+IF(T5654=1,2,IF(D5654=7,1,(IF(WEEKDAY(B5654)=1,2,IF(WEEKDAY(B5654)=7,1,0))))))</f>
        <v>3</v>
      </c>
      <c r="V5654" s="328">
        <f>VLOOKUP(C5654,METADATA!$A$5:$H$29,IF(E5654="HI",2,IF(E5654="LO",6,10))+IF(T5654=1,2,IF(D5654=7,1,(IF(WEEKDAY(B5654)=1,2,IF(WEEKDAY(B5654)=7,1,0))))))</f>
        <v>3</v>
      </c>
    </row>
    <row r="5655" spans="2:22">
      <c r="B5655" s="318">
        <f t="shared" si="351"/>
        <v>46348</v>
      </c>
      <c r="C5655" s="312">
        <v>11</v>
      </c>
      <c r="D5655" s="368">
        <f>IFERROR((INDEX(METADATA!$T$2:$T$20,MATCH(B5655,METADATA!$S$2:$S$20,0))),0)</f>
        <v>0</v>
      </c>
      <c r="E5655" s="312" t="str">
        <f t="shared" si="352"/>
        <v>LO</v>
      </c>
      <c r="F5655" s="369">
        <f>VLOOKUP(C5655,METADATA!$A$5:$H$29,IF(E5655="HI",2,IF(E5655="LO",6,10))+IF(D5655=1,2,IF(D5655=7,1,(IF(WEEKDAY(B5655)=1,2,IF(WEEKDAY(B5655)=7,1,0))))))</f>
        <v>3</v>
      </c>
      <c r="G5655" s="369">
        <f>VLOOKUP(C5655,METADATA!$J$5:$Q$29,IF(E5655="HI",2,IF(E5655="LO",6,10))+IF(D5655=1,2,IF(D5655=7,1,(IF(WEEKDAY(B5655)=1,2,IF(WEEKDAY(B5655)=7,1,0))))))</f>
        <v>3</v>
      </c>
      <c r="H5655" s="370">
        <v>13330.925048828125</v>
      </c>
      <c r="I5655" s="370">
        <v>4884.9150390625</v>
      </c>
      <c r="M5655" s="371">
        <f t="shared" si="353"/>
        <v>14197.74480670547</v>
      </c>
      <c r="N5655" s="329">
        <f t="shared" si="354"/>
        <v>885.63752441406268</v>
      </c>
      <c r="T5655" s="331">
        <v>0</v>
      </c>
      <c r="U5655" s="328">
        <f>VLOOKUP(C5655,METADATA!$J$5:$Q$29,IF(E5655="HI",2,IF(E5655="LO",6,10))+IF(T5655=1,2,IF(D5655=7,1,(IF(WEEKDAY(B5655)=1,2,IF(WEEKDAY(B5655)=7,1,0))))))</f>
        <v>3</v>
      </c>
      <c r="V5655" s="328">
        <f>VLOOKUP(C5655,METADATA!$A$5:$H$29,IF(E5655="HI",2,IF(E5655="LO",6,10))+IF(T5655=1,2,IF(D5655=7,1,(IF(WEEKDAY(B5655)=1,2,IF(WEEKDAY(B5655)=7,1,0))))))</f>
        <v>3</v>
      </c>
    </row>
    <row r="5656" spans="2:22">
      <c r="B5656" s="318">
        <f t="shared" si="351"/>
        <v>46348</v>
      </c>
      <c r="C5656" s="312">
        <v>12</v>
      </c>
      <c r="D5656" s="368">
        <f>IFERROR((INDEX(METADATA!$T$2:$T$20,MATCH(B5656,METADATA!$S$2:$S$20,0))),0)</f>
        <v>0</v>
      </c>
      <c r="E5656" s="312" t="str">
        <f t="shared" si="352"/>
        <v>LO</v>
      </c>
      <c r="F5656" s="369">
        <f>VLOOKUP(C5656,METADATA!$A$5:$H$29,IF(E5656="HI",2,IF(E5656="LO",6,10))+IF(D5656=1,2,IF(D5656=7,1,(IF(WEEKDAY(B5656)=1,2,IF(WEEKDAY(B5656)=7,1,0))))))</f>
        <v>3</v>
      </c>
      <c r="G5656" s="369">
        <f>VLOOKUP(C5656,METADATA!$J$5:$Q$29,IF(E5656="HI",2,IF(E5656="LO",6,10))+IF(D5656=1,2,IF(D5656=7,1,(IF(WEEKDAY(B5656)=1,2,IF(WEEKDAY(B5656)=7,1,0))))))</f>
        <v>3</v>
      </c>
      <c r="H5656" s="370">
        <v>13335.200256347656</v>
      </c>
      <c r="I5656" s="370">
        <v>4976.3250122070313</v>
      </c>
      <c r="M5656" s="371">
        <f t="shared" si="353"/>
        <v>14233.459751726279</v>
      </c>
      <c r="N5656" s="329">
        <f t="shared" si="354"/>
        <v>975.76493530273456</v>
      </c>
      <c r="T5656" s="331">
        <v>0</v>
      </c>
      <c r="U5656" s="328">
        <f>VLOOKUP(C5656,METADATA!$J$5:$Q$29,IF(E5656="HI",2,IF(E5656="LO",6,10))+IF(T5656=1,2,IF(D5656=7,1,(IF(WEEKDAY(B5656)=1,2,IF(WEEKDAY(B5656)=7,1,0))))))</f>
        <v>3</v>
      </c>
      <c r="V5656" s="328">
        <f>VLOOKUP(C5656,METADATA!$A$5:$H$29,IF(E5656="HI",2,IF(E5656="LO",6,10))+IF(T5656=1,2,IF(D5656=7,1,(IF(WEEKDAY(B5656)=1,2,IF(WEEKDAY(B5656)=7,1,0))))))</f>
        <v>3</v>
      </c>
    </row>
    <row r="5657" spans="2:22">
      <c r="B5657" s="318">
        <f t="shared" si="351"/>
        <v>46348</v>
      </c>
      <c r="C5657" s="312">
        <v>13</v>
      </c>
      <c r="D5657" s="368">
        <f>IFERROR((INDEX(METADATA!$T$2:$T$20,MATCH(B5657,METADATA!$S$2:$S$20,0))),0)</f>
        <v>0</v>
      </c>
      <c r="E5657" s="312" t="str">
        <f t="shared" si="352"/>
        <v>LO</v>
      </c>
      <c r="F5657" s="369">
        <f>VLOOKUP(C5657,METADATA!$A$5:$H$29,IF(E5657="HI",2,IF(E5657="LO",6,10))+IF(D5657=1,2,IF(D5657=7,1,(IF(WEEKDAY(B5657)=1,2,IF(WEEKDAY(B5657)=7,1,0))))))</f>
        <v>3</v>
      </c>
      <c r="G5657" s="369">
        <f>VLOOKUP(C5657,METADATA!$J$5:$Q$29,IF(E5657="HI",2,IF(E5657="LO",6,10))+IF(D5657=1,2,IF(D5657=7,1,(IF(WEEKDAY(B5657)=1,2,IF(WEEKDAY(B5657)=7,1,0))))))</f>
        <v>3</v>
      </c>
      <c r="H5657" s="370">
        <v>13146.64990234375</v>
      </c>
      <c r="I5657" s="370">
        <v>4843.6000366210938</v>
      </c>
      <c r="M5657" s="371">
        <f t="shared" si="353"/>
        <v>14010.52693404323</v>
      </c>
      <c r="N5657" s="329">
        <f t="shared" si="354"/>
        <v>899.60506591796911</v>
      </c>
      <c r="T5657" s="331">
        <v>0</v>
      </c>
      <c r="U5657" s="328">
        <f>VLOOKUP(C5657,METADATA!$J$5:$Q$29,IF(E5657="HI",2,IF(E5657="LO",6,10))+IF(T5657=1,2,IF(D5657=7,1,(IF(WEEKDAY(B5657)=1,2,IF(WEEKDAY(B5657)=7,1,0))))))</f>
        <v>3</v>
      </c>
      <c r="V5657" s="328">
        <f>VLOOKUP(C5657,METADATA!$A$5:$H$29,IF(E5657="HI",2,IF(E5657="LO",6,10))+IF(T5657=1,2,IF(D5657=7,1,(IF(WEEKDAY(B5657)=1,2,IF(WEEKDAY(B5657)=7,1,0))))))</f>
        <v>3</v>
      </c>
    </row>
    <row r="5658" spans="2:22">
      <c r="B5658" s="318">
        <f t="shared" si="351"/>
        <v>46348</v>
      </c>
      <c r="C5658" s="312">
        <v>14</v>
      </c>
      <c r="D5658" s="368">
        <f>IFERROR((INDEX(METADATA!$T$2:$T$20,MATCH(B5658,METADATA!$S$2:$S$20,0))),0)</f>
        <v>0</v>
      </c>
      <c r="E5658" s="312" t="str">
        <f t="shared" si="352"/>
        <v>LO</v>
      </c>
      <c r="F5658" s="369">
        <f>VLOOKUP(C5658,METADATA!$A$5:$H$29,IF(E5658="HI",2,IF(E5658="LO",6,10))+IF(D5658=1,2,IF(D5658=7,1,(IF(WEEKDAY(B5658)=1,2,IF(WEEKDAY(B5658)=7,1,0))))))</f>
        <v>3</v>
      </c>
      <c r="G5658" s="369">
        <f>VLOOKUP(C5658,METADATA!$J$5:$Q$29,IF(E5658="HI",2,IF(E5658="LO",6,10))+IF(D5658=1,2,IF(D5658=7,1,(IF(WEEKDAY(B5658)=1,2,IF(WEEKDAY(B5658)=7,1,0))))))</f>
        <v>3</v>
      </c>
      <c r="H5658" s="370">
        <v>13807.049987792969</v>
      </c>
      <c r="I5658" s="370">
        <v>5293.1749877929688</v>
      </c>
      <c r="M5658" s="371">
        <f t="shared" si="353"/>
        <v>14786.897268081999</v>
      </c>
      <c r="N5658" s="329">
        <f t="shared" si="354"/>
        <v>1151.0599914550785</v>
      </c>
      <c r="T5658" s="331">
        <v>0</v>
      </c>
      <c r="U5658" s="328">
        <f>VLOOKUP(C5658,METADATA!$J$5:$Q$29,IF(E5658="HI",2,IF(E5658="LO",6,10))+IF(T5658=1,2,IF(D5658=7,1,(IF(WEEKDAY(B5658)=1,2,IF(WEEKDAY(B5658)=7,1,0))))))</f>
        <v>3</v>
      </c>
      <c r="V5658" s="328">
        <f>VLOOKUP(C5658,METADATA!$A$5:$H$29,IF(E5658="HI",2,IF(E5658="LO",6,10))+IF(T5658=1,2,IF(D5658=7,1,(IF(WEEKDAY(B5658)=1,2,IF(WEEKDAY(B5658)=7,1,0))))))</f>
        <v>3</v>
      </c>
    </row>
    <row r="5659" spans="2:22">
      <c r="B5659" s="318">
        <f t="shared" si="351"/>
        <v>46348</v>
      </c>
      <c r="C5659" s="312">
        <v>15</v>
      </c>
      <c r="D5659" s="368">
        <f>IFERROR((INDEX(METADATA!$T$2:$T$20,MATCH(B5659,METADATA!$S$2:$S$20,0))),0)</f>
        <v>0</v>
      </c>
      <c r="E5659" s="312" t="str">
        <f t="shared" si="352"/>
        <v>LO</v>
      </c>
      <c r="F5659" s="369">
        <f>VLOOKUP(C5659,METADATA!$A$5:$H$29,IF(E5659="HI",2,IF(E5659="LO",6,10))+IF(D5659=1,2,IF(D5659=7,1,(IF(WEEKDAY(B5659)=1,2,IF(WEEKDAY(B5659)=7,1,0))))))</f>
        <v>3</v>
      </c>
      <c r="G5659" s="369">
        <f>VLOOKUP(C5659,METADATA!$J$5:$Q$29,IF(E5659="HI",2,IF(E5659="LO",6,10))+IF(D5659=1,2,IF(D5659=7,1,(IF(WEEKDAY(B5659)=1,2,IF(WEEKDAY(B5659)=7,1,0))))))</f>
        <v>3</v>
      </c>
      <c r="H5659" s="370">
        <v>13658.674682617188</v>
      </c>
      <c r="I5659" s="370">
        <v>5243.525146484375</v>
      </c>
      <c r="M5659" s="371">
        <f t="shared" si="353"/>
        <v>14630.582696782165</v>
      </c>
      <c r="N5659" s="329">
        <f t="shared" si="354"/>
        <v>1145.9227416992189</v>
      </c>
      <c r="T5659" s="331">
        <v>0</v>
      </c>
      <c r="U5659" s="328">
        <f>VLOOKUP(C5659,METADATA!$J$5:$Q$29,IF(E5659="HI",2,IF(E5659="LO",6,10))+IF(T5659=1,2,IF(D5659=7,1,(IF(WEEKDAY(B5659)=1,2,IF(WEEKDAY(B5659)=7,1,0))))))</f>
        <v>3</v>
      </c>
      <c r="V5659" s="328">
        <f>VLOOKUP(C5659,METADATA!$A$5:$H$29,IF(E5659="HI",2,IF(E5659="LO",6,10))+IF(T5659=1,2,IF(D5659=7,1,(IF(WEEKDAY(B5659)=1,2,IF(WEEKDAY(B5659)=7,1,0))))))</f>
        <v>3</v>
      </c>
    </row>
    <row r="5660" spans="2:22">
      <c r="B5660" s="318">
        <f t="shared" ref="B5660:B5723" si="355">B5636+1</f>
        <v>46348</v>
      </c>
      <c r="C5660" s="312">
        <v>16</v>
      </c>
      <c r="D5660" s="368">
        <f>IFERROR((INDEX(METADATA!$T$2:$T$20,MATCH(B5660,METADATA!$S$2:$S$20,0))),0)</f>
        <v>0</v>
      </c>
      <c r="E5660" s="312" t="str">
        <f t="shared" si="352"/>
        <v>LO</v>
      </c>
      <c r="F5660" s="369">
        <f>VLOOKUP(C5660,METADATA!$A$5:$H$29,IF(E5660="HI",2,IF(E5660="LO",6,10))+IF(D5660=1,2,IF(D5660=7,1,(IF(WEEKDAY(B5660)=1,2,IF(WEEKDAY(B5660)=7,1,0))))))</f>
        <v>3</v>
      </c>
      <c r="G5660" s="369">
        <f>VLOOKUP(C5660,METADATA!$J$5:$Q$29,IF(E5660="HI",2,IF(E5660="LO",6,10))+IF(D5660=1,2,IF(D5660=7,1,(IF(WEEKDAY(B5660)=1,2,IF(WEEKDAY(B5660)=7,1,0))))))</f>
        <v>3</v>
      </c>
      <c r="H5660" s="370">
        <v>13852</v>
      </c>
      <c r="I5660" s="370">
        <v>5173.8250732421875</v>
      </c>
      <c r="M5660" s="371">
        <f t="shared" si="353"/>
        <v>14786.69570554928</v>
      </c>
      <c r="N5660" s="329">
        <f t="shared" si="354"/>
        <v>1018.225073242188</v>
      </c>
      <c r="T5660" s="331">
        <v>0</v>
      </c>
      <c r="U5660" s="328">
        <f>VLOOKUP(C5660,METADATA!$J$5:$Q$29,IF(E5660="HI",2,IF(E5660="LO",6,10))+IF(T5660=1,2,IF(D5660=7,1,(IF(WEEKDAY(B5660)=1,2,IF(WEEKDAY(B5660)=7,1,0))))))</f>
        <v>3</v>
      </c>
      <c r="V5660" s="328">
        <f>VLOOKUP(C5660,METADATA!$A$5:$H$29,IF(E5660="HI",2,IF(E5660="LO",6,10))+IF(T5660=1,2,IF(D5660=7,1,(IF(WEEKDAY(B5660)=1,2,IF(WEEKDAY(B5660)=7,1,0))))))</f>
        <v>3</v>
      </c>
    </row>
    <row r="5661" spans="2:22">
      <c r="B5661" s="318">
        <f t="shared" si="355"/>
        <v>46348</v>
      </c>
      <c r="C5661" s="312">
        <v>17</v>
      </c>
      <c r="D5661" s="368">
        <f>IFERROR((INDEX(METADATA!$T$2:$T$20,MATCH(B5661,METADATA!$S$2:$S$20,0))),0)</f>
        <v>0</v>
      </c>
      <c r="E5661" s="312" t="str">
        <f t="shared" si="352"/>
        <v>LO</v>
      </c>
      <c r="F5661" s="369">
        <f>VLOOKUP(C5661,METADATA!$A$5:$H$29,IF(E5661="HI",2,IF(E5661="LO",6,10))+IF(D5661=1,2,IF(D5661=7,1,(IF(WEEKDAY(B5661)=1,2,IF(WEEKDAY(B5661)=7,1,0))))))</f>
        <v>3</v>
      </c>
      <c r="G5661" s="369">
        <f>VLOOKUP(C5661,METADATA!$J$5:$Q$29,IF(E5661="HI",2,IF(E5661="LO",6,10))+IF(D5661=1,2,IF(D5661=7,1,(IF(WEEKDAY(B5661)=1,2,IF(WEEKDAY(B5661)=7,1,0))))))</f>
        <v>3</v>
      </c>
      <c r="H5661" s="370">
        <v>13527.199584960938</v>
      </c>
      <c r="I5661" s="370">
        <v>5040.3250122070313</v>
      </c>
      <c r="M5661" s="371">
        <f t="shared" si="353"/>
        <v>14435.719754832011</v>
      </c>
      <c r="N5661" s="329">
        <f t="shared" si="354"/>
        <v>982.16513671875009</v>
      </c>
      <c r="T5661" s="331">
        <v>0</v>
      </c>
      <c r="U5661" s="328">
        <f>VLOOKUP(C5661,METADATA!$J$5:$Q$29,IF(E5661="HI",2,IF(E5661="LO",6,10))+IF(T5661=1,2,IF(D5661=7,1,(IF(WEEKDAY(B5661)=1,2,IF(WEEKDAY(B5661)=7,1,0))))))</f>
        <v>3</v>
      </c>
      <c r="V5661" s="328">
        <f>VLOOKUP(C5661,METADATA!$A$5:$H$29,IF(E5661="HI",2,IF(E5661="LO",6,10))+IF(T5661=1,2,IF(D5661=7,1,(IF(WEEKDAY(B5661)=1,2,IF(WEEKDAY(B5661)=7,1,0))))))</f>
        <v>3</v>
      </c>
    </row>
    <row r="5662" spans="2:22">
      <c r="B5662" s="318">
        <f t="shared" si="355"/>
        <v>46348</v>
      </c>
      <c r="C5662" s="312">
        <v>18</v>
      </c>
      <c r="D5662" s="368">
        <f>IFERROR((INDEX(METADATA!$T$2:$T$20,MATCH(B5662,METADATA!$S$2:$S$20,0))),0)</f>
        <v>0</v>
      </c>
      <c r="E5662" s="312" t="str">
        <f t="shared" si="352"/>
        <v>LO</v>
      </c>
      <c r="F5662" s="369">
        <f>VLOOKUP(C5662,METADATA!$A$5:$H$29,IF(E5662="HI",2,IF(E5662="LO",6,10))+IF(D5662=1,2,IF(D5662=7,1,(IF(WEEKDAY(B5662)=1,2,IF(WEEKDAY(B5662)=7,1,0))))))</f>
        <v>2</v>
      </c>
      <c r="G5662" s="369">
        <f>VLOOKUP(C5662,METADATA!$J$5:$Q$29,IF(E5662="HI",2,IF(E5662="LO",6,10))+IF(D5662=1,2,IF(D5662=7,1,(IF(WEEKDAY(B5662)=1,2,IF(WEEKDAY(B5662)=7,1,0))))))</f>
        <v>2</v>
      </c>
      <c r="H5662" s="370">
        <v>13431.525268554688</v>
      </c>
      <c r="I5662" s="370">
        <v>4988.9999389648438</v>
      </c>
      <c r="M5662" s="371">
        <f t="shared" si="353"/>
        <v>14328.153803990739</v>
      </c>
      <c r="N5662" s="329">
        <f t="shared" si="354"/>
        <v>959.5423583984375</v>
      </c>
      <c r="T5662" s="331">
        <v>0</v>
      </c>
      <c r="U5662" s="328">
        <f>VLOOKUP(C5662,METADATA!$J$5:$Q$29,IF(E5662="HI",2,IF(E5662="LO",6,10))+IF(T5662=1,2,IF(D5662=7,1,(IF(WEEKDAY(B5662)=1,2,IF(WEEKDAY(B5662)=7,1,0))))))</f>
        <v>2</v>
      </c>
      <c r="V5662" s="328">
        <f>VLOOKUP(C5662,METADATA!$A$5:$H$29,IF(E5662="HI",2,IF(E5662="LO",6,10))+IF(T5662=1,2,IF(D5662=7,1,(IF(WEEKDAY(B5662)=1,2,IF(WEEKDAY(B5662)=7,1,0))))))</f>
        <v>2</v>
      </c>
    </row>
    <row r="5663" spans="2:22">
      <c r="B5663" s="318">
        <f t="shared" si="355"/>
        <v>46348</v>
      </c>
      <c r="C5663" s="312">
        <v>19</v>
      </c>
      <c r="D5663" s="368">
        <f>IFERROR((INDEX(METADATA!$T$2:$T$20,MATCH(B5663,METADATA!$S$2:$S$20,0))),0)</f>
        <v>0</v>
      </c>
      <c r="E5663" s="312" t="str">
        <f t="shared" si="352"/>
        <v>LO</v>
      </c>
      <c r="F5663" s="369">
        <f>VLOOKUP(C5663,METADATA!$A$5:$H$29,IF(E5663="HI",2,IF(E5663="LO",6,10))+IF(D5663=1,2,IF(D5663=7,1,(IF(WEEKDAY(B5663)=1,2,IF(WEEKDAY(B5663)=7,1,0))))))</f>
        <v>2</v>
      </c>
      <c r="G5663" s="369">
        <f>VLOOKUP(C5663,METADATA!$J$5:$Q$29,IF(E5663="HI",2,IF(E5663="LO",6,10))+IF(D5663=1,2,IF(D5663=7,1,(IF(WEEKDAY(B5663)=1,2,IF(WEEKDAY(B5663)=7,1,0))))))</f>
        <v>2</v>
      </c>
      <c r="H5663" s="370">
        <v>13607.350036621094</v>
      </c>
      <c r="I5663" s="370">
        <v>4934.425048828125</v>
      </c>
      <c r="M5663" s="371">
        <f t="shared" si="353"/>
        <v>14474.409334464552</v>
      </c>
      <c r="N5663" s="329">
        <f t="shared" si="354"/>
        <v>852.22003784179697</v>
      </c>
      <c r="T5663" s="331">
        <v>0</v>
      </c>
      <c r="U5663" s="328">
        <f>VLOOKUP(C5663,METADATA!$J$5:$Q$29,IF(E5663="HI",2,IF(E5663="LO",6,10))+IF(T5663=1,2,IF(D5663=7,1,(IF(WEEKDAY(B5663)=1,2,IF(WEEKDAY(B5663)=7,1,0))))))</f>
        <v>2</v>
      </c>
      <c r="V5663" s="328">
        <f>VLOOKUP(C5663,METADATA!$A$5:$H$29,IF(E5663="HI",2,IF(E5663="LO",6,10))+IF(T5663=1,2,IF(D5663=7,1,(IF(WEEKDAY(B5663)=1,2,IF(WEEKDAY(B5663)=7,1,0))))))</f>
        <v>2</v>
      </c>
    </row>
    <row r="5664" spans="2:22">
      <c r="B5664" s="318">
        <f t="shared" si="355"/>
        <v>46348</v>
      </c>
      <c r="C5664" s="312">
        <v>20</v>
      </c>
      <c r="D5664" s="368">
        <f>IFERROR((INDEX(METADATA!$T$2:$T$20,MATCH(B5664,METADATA!$S$2:$S$20,0))),0)</f>
        <v>0</v>
      </c>
      <c r="E5664" s="312" t="str">
        <f t="shared" si="352"/>
        <v>LO</v>
      </c>
      <c r="F5664" s="369">
        <f>VLOOKUP(C5664,METADATA!$A$5:$H$29,IF(E5664="HI",2,IF(E5664="LO",6,10))+IF(D5664=1,2,IF(D5664=7,1,(IF(WEEKDAY(B5664)=1,2,IF(WEEKDAY(B5664)=7,1,0))))))</f>
        <v>3</v>
      </c>
      <c r="G5664" s="369">
        <f>VLOOKUP(C5664,METADATA!$J$5:$Q$29,IF(E5664="HI",2,IF(E5664="LO",6,10))+IF(D5664=1,2,IF(D5664=7,1,(IF(WEEKDAY(B5664)=1,2,IF(WEEKDAY(B5664)=7,1,0))))))</f>
        <v>3</v>
      </c>
      <c r="H5664" s="370">
        <v>13653.02490234375</v>
      </c>
      <c r="I5664" s="370">
        <v>5083.6249389648438</v>
      </c>
      <c r="M5664" s="371">
        <f t="shared" si="353"/>
        <v>14568.74502158933</v>
      </c>
      <c r="N5664" s="329">
        <f t="shared" si="354"/>
        <v>987.71746826171875</v>
      </c>
      <c r="T5664" s="331">
        <v>0</v>
      </c>
      <c r="U5664" s="328">
        <f>VLOOKUP(C5664,METADATA!$J$5:$Q$29,IF(E5664="HI",2,IF(E5664="LO",6,10))+IF(T5664=1,2,IF(D5664=7,1,(IF(WEEKDAY(B5664)=1,2,IF(WEEKDAY(B5664)=7,1,0))))))</f>
        <v>3</v>
      </c>
      <c r="V5664" s="328">
        <f>VLOOKUP(C5664,METADATA!$A$5:$H$29,IF(E5664="HI",2,IF(E5664="LO",6,10))+IF(T5664=1,2,IF(D5664=7,1,(IF(WEEKDAY(B5664)=1,2,IF(WEEKDAY(B5664)=7,1,0))))))</f>
        <v>3</v>
      </c>
    </row>
    <row r="5665" spans="2:22">
      <c r="B5665" s="318">
        <f t="shared" si="355"/>
        <v>46348</v>
      </c>
      <c r="C5665" s="312">
        <v>21</v>
      </c>
      <c r="D5665" s="368">
        <f>IFERROR((INDEX(METADATA!$T$2:$T$20,MATCH(B5665,METADATA!$S$2:$S$20,0))),0)</f>
        <v>0</v>
      </c>
      <c r="E5665" s="312" t="str">
        <f t="shared" si="352"/>
        <v>LO</v>
      </c>
      <c r="F5665" s="369">
        <f>VLOOKUP(C5665,METADATA!$A$5:$H$29,IF(E5665="HI",2,IF(E5665="LO",6,10))+IF(D5665=1,2,IF(D5665=7,1,(IF(WEEKDAY(B5665)=1,2,IF(WEEKDAY(B5665)=7,1,0))))))</f>
        <v>3</v>
      </c>
      <c r="G5665" s="369">
        <f>VLOOKUP(C5665,METADATA!$J$5:$Q$29,IF(E5665="HI",2,IF(E5665="LO",6,10))+IF(D5665=1,2,IF(D5665=7,1,(IF(WEEKDAY(B5665)=1,2,IF(WEEKDAY(B5665)=7,1,0))))))</f>
        <v>3</v>
      </c>
      <c r="H5665" s="370">
        <v>13511.325073242188</v>
      </c>
      <c r="I5665" s="370">
        <v>4971.0999145507813</v>
      </c>
      <c r="M5665" s="371">
        <f t="shared" si="353"/>
        <v>14396.796157314646</v>
      </c>
      <c r="N5665" s="329">
        <f t="shared" si="354"/>
        <v>917.702392578125</v>
      </c>
      <c r="T5665" s="331">
        <v>0</v>
      </c>
      <c r="U5665" s="328">
        <f>VLOOKUP(C5665,METADATA!$J$5:$Q$29,IF(E5665="HI",2,IF(E5665="LO",6,10))+IF(T5665=1,2,IF(D5665=7,1,(IF(WEEKDAY(B5665)=1,2,IF(WEEKDAY(B5665)=7,1,0))))))</f>
        <v>3</v>
      </c>
      <c r="V5665" s="328">
        <f>VLOOKUP(C5665,METADATA!$A$5:$H$29,IF(E5665="HI",2,IF(E5665="LO",6,10))+IF(T5665=1,2,IF(D5665=7,1,(IF(WEEKDAY(B5665)=1,2,IF(WEEKDAY(B5665)=7,1,0))))))</f>
        <v>3</v>
      </c>
    </row>
    <row r="5666" spans="2:22">
      <c r="B5666" s="318">
        <f t="shared" si="355"/>
        <v>46348</v>
      </c>
      <c r="C5666" s="312">
        <v>22</v>
      </c>
      <c r="D5666" s="368">
        <f>IFERROR((INDEX(METADATA!$T$2:$T$20,MATCH(B5666,METADATA!$S$2:$S$20,0))),0)</f>
        <v>0</v>
      </c>
      <c r="E5666" s="312" t="str">
        <f t="shared" si="352"/>
        <v>LO</v>
      </c>
      <c r="F5666" s="369">
        <f>VLOOKUP(C5666,METADATA!$A$5:$H$29,IF(E5666="HI",2,IF(E5666="LO",6,10))+IF(D5666=1,2,IF(D5666=7,1,(IF(WEEKDAY(B5666)=1,2,IF(WEEKDAY(B5666)=7,1,0))))))</f>
        <v>3</v>
      </c>
      <c r="G5666" s="369">
        <f>VLOOKUP(C5666,METADATA!$J$5:$Q$29,IF(E5666="HI",2,IF(E5666="LO",6,10))+IF(D5666=1,2,IF(D5666=7,1,(IF(WEEKDAY(B5666)=1,2,IF(WEEKDAY(B5666)=7,1,0))))))</f>
        <v>3</v>
      </c>
      <c r="H5666" s="370">
        <v>13390.249816894531</v>
      </c>
      <c r="I5666" s="370">
        <v>4784.449951171875</v>
      </c>
      <c r="M5666" s="371">
        <f t="shared" si="353"/>
        <v>14219.344270890715</v>
      </c>
      <c r="N5666" s="329">
        <f t="shared" si="354"/>
        <v>767.37500610351572</v>
      </c>
      <c r="T5666" s="331">
        <v>0</v>
      </c>
      <c r="U5666" s="328">
        <f>VLOOKUP(C5666,METADATA!$J$5:$Q$29,IF(E5666="HI",2,IF(E5666="LO",6,10))+IF(T5666=1,2,IF(D5666=7,1,(IF(WEEKDAY(B5666)=1,2,IF(WEEKDAY(B5666)=7,1,0))))))</f>
        <v>3</v>
      </c>
      <c r="V5666" s="328">
        <f>VLOOKUP(C5666,METADATA!$A$5:$H$29,IF(E5666="HI",2,IF(E5666="LO",6,10))+IF(T5666=1,2,IF(D5666=7,1,(IF(WEEKDAY(B5666)=1,2,IF(WEEKDAY(B5666)=7,1,0))))))</f>
        <v>3</v>
      </c>
    </row>
    <row r="5667" spans="2:22">
      <c r="B5667" s="318">
        <f t="shared" si="355"/>
        <v>46348</v>
      </c>
      <c r="C5667" s="312">
        <v>23</v>
      </c>
      <c r="D5667" s="368">
        <f>IFERROR((INDEX(METADATA!$T$2:$T$20,MATCH(B5667,METADATA!$S$2:$S$20,0))),0)</f>
        <v>0</v>
      </c>
      <c r="E5667" s="312" t="str">
        <f t="shared" si="352"/>
        <v>LO</v>
      </c>
      <c r="F5667" s="369">
        <f>VLOOKUP(C5667,METADATA!$A$5:$H$29,IF(E5667="HI",2,IF(E5667="LO",6,10))+IF(D5667=1,2,IF(D5667=7,1,(IF(WEEKDAY(B5667)=1,2,IF(WEEKDAY(B5667)=7,1,0))))))</f>
        <v>3</v>
      </c>
      <c r="G5667" s="369">
        <f>VLOOKUP(C5667,METADATA!$J$5:$Q$29,IF(E5667="HI",2,IF(E5667="LO",6,10))+IF(D5667=1,2,IF(D5667=7,1,(IF(WEEKDAY(B5667)=1,2,IF(WEEKDAY(B5667)=7,1,0))))))</f>
        <v>3</v>
      </c>
      <c r="H5667" s="370">
        <v>13457</v>
      </c>
      <c r="I5667" s="370">
        <v>4992.6000366210938</v>
      </c>
      <c r="M5667" s="371">
        <f t="shared" si="353"/>
        <v>14353.288965448613</v>
      </c>
      <c r="N5667" s="329">
        <f t="shared" si="354"/>
        <v>955.50003662109384</v>
      </c>
      <c r="T5667" s="331">
        <v>0</v>
      </c>
      <c r="U5667" s="328">
        <f>VLOOKUP(C5667,METADATA!$J$5:$Q$29,IF(E5667="HI",2,IF(E5667="LO",6,10))+IF(T5667=1,2,IF(D5667=7,1,(IF(WEEKDAY(B5667)=1,2,IF(WEEKDAY(B5667)=7,1,0))))))</f>
        <v>3</v>
      </c>
      <c r="V5667" s="328">
        <f>VLOOKUP(C5667,METADATA!$A$5:$H$29,IF(E5667="HI",2,IF(E5667="LO",6,10))+IF(T5667=1,2,IF(D5667=7,1,(IF(WEEKDAY(B5667)=1,2,IF(WEEKDAY(B5667)=7,1,0))))))</f>
        <v>3</v>
      </c>
    </row>
    <row r="5668" spans="2:22">
      <c r="B5668" s="318">
        <f t="shared" si="355"/>
        <v>46349</v>
      </c>
      <c r="C5668" s="312">
        <v>0</v>
      </c>
      <c r="D5668" s="368">
        <f>IFERROR((INDEX(METADATA!$T$2:$T$20,MATCH(B5668,METADATA!$S$2:$S$20,0))),0)</f>
        <v>0</v>
      </c>
      <c r="E5668" s="312" t="str">
        <f t="shared" si="352"/>
        <v>LO</v>
      </c>
      <c r="F5668" s="369">
        <f>VLOOKUP(C5668,METADATA!$A$5:$H$29,IF(E5668="HI",2,IF(E5668="LO",6,10))+IF(D5668=1,2,IF(D5668=7,1,(IF(WEEKDAY(B5668)=1,2,IF(WEEKDAY(B5668)=7,1,0))))))</f>
        <v>3</v>
      </c>
      <c r="G5668" s="369">
        <f>VLOOKUP(C5668,METADATA!$J$5:$Q$29,IF(E5668="HI",2,IF(E5668="LO",6,10))+IF(D5668=1,2,IF(D5668=7,1,(IF(WEEKDAY(B5668)=1,2,IF(WEEKDAY(B5668)=7,1,0))))))</f>
        <v>3</v>
      </c>
      <c r="H5668" s="370">
        <v>13346.349792480469</v>
      </c>
      <c r="I5668" s="370">
        <v>4967.949951171875</v>
      </c>
      <c r="M5668" s="371">
        <f t="shared" si="353"/>
        <v>14240.982392398078</v>
      </c>
      <c r="N5668" s="329">
        <f t="shared" si="354"/>
        <v>964.04501342773438</v>
      </c>
      <c r="T5668" s="331">
        <v>0</v>
      </c>
      <c r="U5668" s="328">
        <f>VLOOKUP(C5668,METADATA!$J$5:$Q$29,IF(E5668="HI",2,IF(E5668="LO",6,10))+IF(T5668=1,2,IF(D5668=7,1,(IF(WEEKDAY(B5668)=1,2,IF(WEEKDAY(B5668)=7,1,0))))))</f>
        <v>3</v>
      </c>
      <c r="V5668" s="328">
        <f>VLOOKUP(C5668,METADATA!$A$5:$H$29,IF(E5668="HI",2,IF(E5668="LO",6,10))+IF(T5668=1,2,IF(D5668=7,1,(IF(WEEKDAY(B5668)=1,2,IF(WEEKDAY(B5668)=7,1,0))))))</f>
        <v>3</v>
      </c>
    </row>
    <row r="5669" spans="2:22">
      <c r="B5669" s="318">
        <f t="shared" si="355"/>
        <v>46349</v>
      </c>
      <c r="C5669" s="312">
        <v>1</v>
      </c>
      <c r="D5669" s="368">
        <f>IFERROR((INDEX(METADATA!$T$2:$T$20,MATCH(B5669,METADATA!$S$2:$S$20,0))),0)</f>
        <v>0</v>
      </c>
      <c r="E5669" s="312" t="str">
        <f t="shared" si="352"/>
        <v>LO</v>
      </c>
      <c r="F5669" s="369">
        <f>VLOOKUP(C5669,METADATA!$A$5:$H$29,IF(E5669="HI",2,IF(E5669="LO",6,10))+IF(D5669=1,2,IF(D5669=7,1,(IF(WEEKDAY(B5669)=1,2,IF(WEEKDAY(B5669)=7,1,0))))))</f>
        <v>3</v>
      </c>
      <c r="G5669" s="369">
        <f>VLOOKUP(C5669,METADATA!$J$5:$Q$29,IF(E5669="HI",2,IF(E5669="LO",6,10))+IF(D5669=1,2,IF(D5669=7,1,(IF(WEEKDAY(B5669)=1,2,IF(WEEKDAY(B5669)=7,1,0))))))</f>
        <v>3</v>
      </c>
      <c r="H5669" s="370">
        <v>13525.304992675781</v>
      </c>
      <c r="I5669" s="370">
        <v>5024.482666015625</v>
      </c>
      <c r="M5669" s="371">
        <f t="shared" si="353"/>
        <v>14428.419913697822</v>
      </c>
      <c r="N5669" s="329">
        <f t="shared" si="354"/>
        <v>966.89116821289099</v>
      </c>
      <c r="T5669" s="331">
        <v>0</v>
      </c>
      <c r="U5669" s="328">
        <f>VLOOKUP(C5669,METADATA!$J$5:$Q$29,IF(E5669="HI",2,IF(E5669="LO",6,10))+IF(T5669=1,2,IF(D5669=7,1,(IF(WEEKDAY(B5669)=1,2,IF(WEEKDAY(B5669)=7,1,0))))))</f>
        <v>3</v>
      </c>
      <c r="V5669" s="328">
        <f>VLOOKUP(C5669,METADATA!$A$5:$H$29,IF(E5669="HI",2,IF(E5669="LO",6,10))+IF(T5669=1,2,IF(D5669=7,1,(IF(WEEKDAY(B5669)=1,2,IF(WEEKDAY(B5669)=7,1,0))))))</f>
        <v>3</v>
      </c>
    </row>
    <row r="5670" spans="2:22">
      <c r="B5670" s="318">
        <f t="shared" si="355"/>
        <v>46349</v>
      </c>
      <c r="C5670" s="312">
        <v>2</v>
      </c>
      <c r="D5670" s="368">
        <f>IFERROR((INDEX(METADATA!$T$2:$T$20,MATCH(B5670,METADATA!$S$2:$S$20,0))),0)</f>
        <v>0</v>
      </c>
      <c r="E5670" s="312" t="str">
        <f t="shared" si="352"/>
        <v>LO</v>
      </c>
      <c r="F5670" s="369">
        <f>VLOOKUP(C5670,METADATA!$A$5:$H$29,IF(E5670="HI",2,IF(E5670="LO",6,10))+IF(D5670=1,2,IF(D5670=7,1,(IF(WEEKDAY(B5670)=1,2,IF(WEEKDAY(B5670)=7,1,0))))))</f>
        <v>3</v>
      </c>
      <c r="G5670" s="369">
        <f>VLOOKUP(C5670,METADATA!$J$5:$Q$29,IF(E5670="HI",2,IF(E5670="LO",6,10))+IF(D5670=1,2,IF(D5670=7,1,(IF(WEEKDAY(B5670)=1,2,IF(WEEKDAY(B5670)=7,1,0))))))</f>
        <v>3</v>
      </c>
      <c r="H5670" s="370">
        <v>13206.900390625</v>
      </c>
      <c r="I5670" s="370">
        <v>4811.5499572753906</v>
      </c>
      <c r="M5670" s="371">
        <f t="shared" si="353"/>
        <v>14056.074520265165</v>
      </c>
      <c r="N5670" s="329">
        <f t="shared" si="354"/>
        <v>849.47984008789081</v>
      </c>
      <c r="T5670" s="331">
        <v>0</v>
      </c>
      <c r="U5670" s="328">
        <f>VLOOKUP(C5670,METADATA!$J$5:$Q$29,IF(E5670="HI",2,IF(E5670="LO",6,10))+IF(T5670=1,2,IF(D5670=7,1,(IF(WEEKDAY(B5670)=1,2,IF(WEEKDAY(B5670)=7,1,0))))))</f>
        <v>3</v>
      </c>
      <c r="V5670" s="328">
        <f>VLOOKUP(C5670,METADATA!$A$5:$H$29,IF(E5670="HI",2,IF(E5670="LO",6,10))+IF(T5670=1,2,IF(D5670=7,1,(IF(WEEKDAY(B5670)=1,2,IF(WEEKDAY(B5670)=7,1,0))))))</f>
        <v>3</v>
      </c>
    </row>
    <row r="5671" spans="2:22">
      <c r="B5671" s="318">
        <f t="shared" si="355"/>
        <v>46349</v>
      </c>
      <c r="C5671" s="312">
        <v>3</v>
      </c>
      <c r="D5671" s="368">
        <f>IFERROR((INDEX(METADATA!$T$2:$T$20,MATCH(B5671,METADATA!$S$2:$S$20,0))),0)</f>
        <v>0</v>
      </c>
      <c r="E5671" s="312" t="str">
        <f t="shared" si="352"/>
        <v>LO</v>
      </c>
      <c r="F5671" s="369">
        <f>VLOOKUP(C5671,METADATA!$A$5:$H$29,IF(E5671="HI",2,IF(E5671="LO",6,10))+IF(D5671=1,2,IF(D5671=7,1,(IF(WEEKDAY(B5671)=1,2,IF(WEEKDAY(B5671)=7,1,0))))))</f>
        <v>3</v>
      </c>
      <c r="G5671" s="369">
        <f>VLOOKUP(C5671,METADATA!$J$5:$Q$29,IF(E5671="HI",2,IF(E5671="LO",6,10))+IF(D5671=1,2,IF(D5671=7,1,(IF(WEEKDAY(B5671)=1,2,IF(WEEKDAY(B5671)=7,1,0))))))</f>
        <v>3</v>
      </c>
      <c r="H5671" s="370">
        <v>13055.249816894531</v>
      </c>
      <c r="I5671" s="370">
        <v>4781.0149536132813</v>
      </c>
      <c r="M5671" s="371">
        <f t="shared" si="353"/>
        <v>13903.152583791867</v>
      </c>
      <c r="N5671" s="329">
        <f t="shared" si="354"/>
        <v>864.44000854492197</v>
      </c>
      <c r="T5671" s="331">
        <v>0</v>
      </c>
      <c r="U5671" s="328">
        <f>VLOOKUP(C5671,METADATA!$J$5:$Q$29,IF(E5671="HI",2,IF(E5671="LO",6,10))+IF(T5671=1,2,IF(D5671=7,1,(IF(WEEKDAY(B5671)=1,2,IF(WEEKDAY(B5671)=7,1,0))))))</f>
        <v>3</v>
      </c>
      <c r="V5671" s="328">
        <f>VLOOKUP(C5671,METADATA!$A$5:$H$29,IF(E5671="HI",2,IF(E5671="LO",6,10))+IF(T5671=1,2,IF(D5671=7,1,(IF(WEEKDAY(B5671)=1,2,IF(WEEKDAY(B5671)=7,1,0))))))</f>
        <v>3</v>
      </c>
    </row>
    <row r="5672" spans="2:22">
      <c r="B5672" s="318">
        <f t="shared" si="355"/>
        <v>46349</v>
      </c>
      <c r="C5672" s="312">
        <v>4</v>
      </c>
      <c r="D5672" s="368">
        <f>IFERROR((INDEX(METADATA!$T$2:$T$20,MATCH(B5672,METADATA!$S$2:$S$20,0))),0)</f>
        <v>0</v>
      </c>
      <c r="E5672" s="312" t="str">
        <f t="shared" si="352"/>
        <v>LO</v>
      </c>
      <c r="F5672" s="369">
        <f>VLOOKUP(C5672,METADATA!$A$5:$H$29,IF(E5672="HI",2,IF(E5672="LO",6,10))+IF(D5672=1,2,IF(D5672=7,1,(IF(WEEKDAY(B5672)=1,2,IF(WEEKDAY(B5672)=7,1,0))))))</f>
        <v>3</v>
      </c>
      <c r="G5672" s="369">
        <f>VLOOKUP(C5672,METADATA!$J$5:$Q$29,IF(E5672="HI",2,IF(E5672="LO",6,10))+IF(D5672=1,2,IF(D5672=7,1,(IF(WEEKDAY(B5672)=1,2,IF(WEEKDAY(B5672)=7,1,0))))))</f>
        <v>3</v>
      </c>
      <c r="H5672" s="370">
        <v>13231.325378417969</v>
      </c>
      <c r="I5672" s="370">
        <v>4854.8500366210938</v>
      </c>
      <c r="M5672" s="371">
        <f t="shared" si="353"/>
        <v>14093.883075563215</v>
      </c>
      <c r="N5672" s="329">
        <f t="shared" si="354"/>
        <v>885.45242309570313</v>
      </c>
      <c r="T5672" s="331">
        <v>0</v>
      </c>
      <c r="U5672" s="328">
        <f>VLOOKUP(C5672,METADATA!$J$5:$Q$29,IF(E5672="HI",2,IF(E5672="LO",6,10))+IF(T5672=1,2,IF(D5672=7,1,(IF(WEEKDAY(B5672)=1,2,IF(WEEKDAY(B5672)=7,1,0))))))</f>
        <v>3</v>
      </c>
      <c r="V5672" s="328">
        <f>VLOOKUP(C5672,METADATA!$A$5:$H$29,IF(E5672="HI",2,IF(E5672="LO",6,10))+IF(T5672=1,2,IF(D5672=7,1,(IF(WEEKDAY(B5672)=1,2,IF(WEEKDAY(B5672)=7,1,0))))))</f>
        <v>3</v>
      </c>
    </row>
    <row r="5673" spans="2:22">
      <c r="B5673" s="318">
        <f t="shared" si="355"/>
        <v>46349</v>
      </c>
      <c r="C5673" s="312">
        <v>5</v>
      </c>
      <c r="D5673" s="368">
        <f>IFERROR((INDEX(METADATA!$T$2:$T$20,MATCH(B5673,METADATA!$S$2:$S$20,0))),0)</f>
        <v>0</v>
      </c>
      <c r="E5673" s="312" t="str">
        <f t="shared" si="352"/>
        <v>LO</v>
      </c>
      <c r="F5673" s="369">
        <f>VLOOKUP(C5673,METADATA!$A$5:$H$29,IF(E5673="HI",2,IF(E5673="LO",6,10))+IF(D5673=1,2,IF(D5673=7,1,(IF(WEEKDAY(B5673)=1,2,IF(WEEKDAY(B5673)=7,1,0))))))</f>
        <v>3</v>
      </c>
      <c r="G5673" s="369">
        <f>VLOOKUP(C5673,METADATA!$J$5:$Q$29,IF(E5673="HI",2,IF(E5673="LO",6,10))+IF(D5673=1,2,IF(D5673=7,1,(IF(WEEKDAY(B5673)=1,2,IF(WEEKDAY(B5673)=7,1,0))))))</f>
        <v>3</v>
      </c>
      <c r="H5673" s="370">
        <v>8452.3251037597656</v>
      </c>
      <c r="I5673" s="370">
        <v>2522.824951171875</v>
      </c>
      <c r="M5673" s="371">
        <f t="shared" si="353"/>
        <v>8820.7961882078944</v>
      </c>
      <c r="N5673" s="329">
        <f t="shared" si="354"/>
        <v>0</v>
      </c>
      <c r="T5673" s="331">
        <v>0</v>
      </c>
      <c r="U5673" s="328">
        <f>VLOOKUP(C5673,METADATA!$J$5:$Q$29,IF(E5673="HI",2,IF(E5673="LO",6,10))+IF(T5673=1,2,IF(D5673=7,1,(IF(WEEKDAY(B5673)=1,2,IF(WEEKDAY(B5673)=7,1,0))))))</f>
        <v>3</v>
      </c>
      <c r="V5673" s="328">
        <f>VLOOKUP(C5673,METADATA!$A$5:$H$29,IF(E5673="HI",2,IF(E5673="LO",6,10))+IF(T5673=1,2,IF(D5673=7,1,(IF(WEEKDAY(B5673)=1,2,IF(WEEKDAY(B5673)=7,1,0))))))</f>
        <v>3</v>
      </c>
    </row>
    <row r="5674" spans="2:22">
      <c r="B5674" s="318">
        <f t="shared" si="355"/>
        <v>46349</v>
      </c>
      <c r="C5674" s="312">
        <v>6</v>
      </c>
      <c r="D5674" s="368">
        <f>IFERROR((INDEX(METADATA!$T$2:$T$20,MATCH(B5674,METADATA!$S$2:$S$20,0))),0)</f>
        <v>0</v>
      </c>
      <c r="E5674" s="312" t="str">
        <f t="shared" si="352"/>
        <v>LO</v>
      </c>
      <c r="F5674" s="369">
        <f>VLOOKUP(C5674,METADATA!$A$5:$H$29,IF(E5674="HI",2,IF(E5674="LO",6,10))+IF(D5674=1,2,IF(D5674=7,1,(IF(WEEKDAY(B5674)=1,2,IF(WEEKDAY(B5674)=7,1,0))))))</f>
        <v>2</v>
      </c>
      <c r="G5674" s="369">
        <f>VLOOKUP(C5674,METADATA!$J$5:$Q$29,IF(E5674="HI",2,IF(E5674="LO",6,10))+IF(D5674=1,2,IF(D5674=7,1,(IF(WEEKDAY(B5674)=1,2,IF(WEEKDAY(B5674)=7,1,0))))))</f>
        <v>2</v>
      </c>
      <c r="H5674" s="370">
        <v>6349.6700134277344</v>
      </c>
      <c r="I5674" s="370">
        <v>1547.5650024414063</v>
      </c>
      <c r="M5674" s="371">
        <f t="shared" si="353"/>
        <v>6535.5387472040002</v>
      </c>
      <c r="N5674" s="329">
        <f t="shared" si="354"/>
        <v>0</v>
      </c>
      <c r="T5674" s="331">
        <v>0</v>
      </c>
      <c r="U5674" s="328">
        <f>VLOOKUP(C5674,METADATA!$J$5:$Q$29,IF(E5674="HI",2,IF(E5674="LO",6,10))+IF(T5674=1,2,IF(D5674=7,1,(IF(WEEKDAY(B5674)=1,2,IF(WEEKDAY(B5674)=7,1,0))))))</f>
        <v>2</v>
      </c>
      <c r="V5674" s="328">
        <f>VLOOKUP(C5674,METADATA!$A$5:$H$29,IF(E5674="HI",2,IF(E5674="LO",6,10))+IF(T5674=1,2,IF(D5674=7,1,(IF(WEEKDAY(B5674)=1,2,IF(WEEKDAY(B5674)=7,1,0))))))</f>
        <v>2</v>
      </c>
    </row>
    <row r="5675" spans="2:22">
      <c r="B5675" s="318">
        <f t="shared" si="355"/>
        <v>46349</v>
      </c>
      <c r="C5675" s="312">
        <v>7</v>
      </c>
      <c r="D5675" s="368">
        <f>IFERROR((INDEX(METADATA!$T$2:$T$20,MATCH(B5675,METADATA!$S$2:$S$20,0))),0)</f>
        <v>0</v>
      </c>
      <c r="E5675" s="312" t="str">
        <f t="shared" si="352"/>
        <v>LO</v>
      </c>
      <c r="F5675" s="369">
        <f>VLOOKUP(C5675,METADATA!$A$5:$H$29,IF(E5675="HI",2,IF(E5675="LO",6,10))+IF(D5675=1,2,IF(D5675=7,1,(IF(WEEKDAY(B5675)=1,2,IF(WEEKDAY(B5675)=7,1,0))))))</f>
        <v>1</v>
      </c>
      <c r="G5675" s="369">
        <f>VLOOKUP(C5675,METADATA!$J$5:$Q$29,IF(E5675="HI",2,IF(E5675="LO",6,10))+IF(D5675=1,2,IF(D5675=7,1,(IF(WEEKDAY(B5675)=1,2,IF(WEEKDAY(B5675)=7,1,0))))))</f>
        <v>1</v>
      </c>
      <c r="H5675" s="370">
        <v>5364.3826293945313</v>
      </c>
      <c r="I5675" s="370">
        <v>1463.97998046875</v>
      </c>
      <c r="M5675" s="371">
        <f t="shared" si="353"/>
        <v>5560.5609768946033</v>
      </c>
      <c r="N5675" s="329">
        <f t="shared" si="354"/>
        <v>0</v>
      </c>
      <c r="T5675" s="331">
        <v>0</v>
      </c>
      <c r="U5675" s="328">
        <f>VLOOKUP(C5675,METADATA!$J$5:$Q$29,IF(E5675="HI",2,IF(E5675="LO",6,10))+IF(T5675=1,2,IF(D5675=7,1,(IF(WEEKDAY(B5675)=1,2,IF(WEEKDAY(B5675)=7,1,0))))))</f>
        <v>1</v>
      </c>
      <c r="V5675" s="328">
        <f>VLOOKUP(C5675,METADATA!$A$5:$H$29,IF(E5675="HI",2,IF(E5675="LO",6,10))+IF(T5675=1,2,IF(D5675=7,1,(IF(WEEKDAY(B5675)=1,2,IF(WEEKDAY(B5675)=7,1,0))))))</f>
        <v>1</v>
      </c>
    </row>
    <row r="5676" spans="2:22">
      <c r="B5676" s="318">
        <f t="shared" si="355"/>
        <v>46349</v>
      </c>
      <c r="C5676" s="312">
        <v>8</v>
      </c>
      <c r="D5676" s="368">
        <f>IFERROR((INDEX(METADATA!$T$2:$T$20,MATCH(B5676,METADATA!$S$2:$S$20,0))),0)</f>
        <v>0</v>
      </c>
      <c r="E5676" s="312" t="str">
        <f t="shared" si="352"/>
        <v>LO</v>
      </c>
      <c r="F5676" s="369">
        <f>VLOOKUP(C5676,METADATA!$A$5:$H$29,IF(E5676="HI",2,IF(E5676="LO",6,10))+IF(D5676=1,2,IF(D5676=7,1,(IF(WEEKDAY(B5676)=1,2,IF(WEEKDAY(B5676)=7,1,0))))))</f>
        <v>1</v>
      </c>
      <c r="G5676" s="369">
        <f>VLOOKUP(C5676,METADATA!$J$5:$Q$29,IF(E5676="HI",2,IF(E5676="LO",6,10))+IF(D5676=1,2,IF(D5676=7,1,(IF(WEEKDAY(B5676)=1,2,IF(WEEKDAY(B5676)=7,1,0))))))</f>
        <v>1</v>
      </c>
      <c r="H5676" s="370">
        <v>4451.7373962402344</v>
      </c>
      <c r="I5676" s="370">
        <v>1425.4524841308594</v>
      </c>
      <c r="M5676" s="371">
        <f t="shared" si="353"/>
        <v>4674.3855884595805</v>
      </c>
      <c r="N5676" s="329">
        <f t="shared" si="354"/>
        <v>89.931265258789153</v>
      </c>
      <c r="T5676" s="331">
        <v>0</v>
      </c>
      <c r="U5676" s="328">
        <f>VLOOKUP(C5676,METADATA!$J$5:$Q$29,IF(E5676="HI",2,IF(E5676="LO",6,10))+IF(T5676=1,2,IF(D5676=7,1,(IF(WEEKDAY(B5676)=1,2,IF(WEEKDAY(B5676)=7,1,0))))))</f>
        <v>1</v>
      </c>
      <c r="V5676" s="328">
        <f>VLOOKUP(C5676,METADATA!$A$5:$H$29,IF(E5676="HI",2,IF(E5676="LO",6,10))+IF(T5676=1,2,IF(D5676=7,1,(IF(WEEKDAY(B5676)=1,2,IF(WEEKDAY(B5676)=7,1,0))))))</f>
        <v>1</v>
      </c>
    </row>
    <row r="5677" spans="2:22">
      <c r="B5677" s="318">
        <f t="shared" si="355"/>
        <v>46349</v>
      </c>
      <c r="C5677" s="312">
        <v>9</v>
      </c>
      <c r="D5677" s="368">
        <f>IFERROR((INDEX(METADATA!$T$2:$T$20,MATCH(B5677,METADATA!$S$2:$S$20,0))),0)</f>
        <v>0</v>
      </c>
      <c r="E5677" s="312" t="str">
        <f t="shared" si="352"/>
        <v>LO</v>
      </c>
      <c r="F5677" s="369">
        <f>VLOOKUP(C5677,METADATA!$A$5:$H$29,IF(E5677="HI",2,IF(E5677="LO",6,10))+IF(D5677=1,2,IF(D5677=7,1,(IF(WEEKDAY(B5677)=1,2,IF(WEEKDAY(B5677)=7,1,0))))))</f>
        <v>2</v>
      </c>
      <c r="G5677" s="369">
        <f>VLOOKUP(C5677,METADATA!$J$5:$Q$29,IF(E5677="HI",2,IF(E5677="LO",6,10))+IF(D5677=1,2,IF(D5677=7,1,(IF(WEEKDAY(B5677)=1,2,IF(WEEKDAY(B5677)=7,1,0))))))</f>
        <v>2</v>
      </c>
      <c r="H5677" s="370">
        <v>4041.1575012207031</v>
      </c>
      <c r="I5677" s="370">
        <v>1462.6100158691406</v>
      </c>
      <c r="M5677" s="371">
        <f t="shared" si="353"/>
        <v>4297.6949645354171</v>
      </c>
      <c r="N5677" s="329">
        <f t="shared" si="354"/>
        <v>250.26276550292982</v>
      </c>
      <c r="T5677" s="331">
        <v>0</v>
      </c>
      <c r="U5677" s="328">
        <f>VLOOKUP(C5677,METADATA!$J$5:$Q$29,IF(E5677="HI",2,IF(E5677="LO",6,10))+IF(T5677=1,2,IF(D5677=7,1,(IF(WEEKDAY(B5677)=1,2,IF(WEEKDAY(B5677)=7,1,0))))))</f>
        <v>2</v>
      </c>
      <c r="V5677" s="328">
        <f>VLOOKUP(C5677,METADATA!$A$5:$H$29,IF(E5677="HI",2,IF(E5677="LO",6,10))+IF(T5677=1,2,IF(D5677=7,1,(IF(WEEKDAY(B5677)=1,2,IF(WEEKDAY(B5677)=7,1,0))))))</f>
        <v>2</v>
      </c>
    </row>
    <row r="5678" spans="2:22">
      <c r="B5678" s="318">
        <f t="shared" si="355"/>
        <v>46349</v>
      </c>
      <c r="C5678" s="312">
        <v>10</v>
      </c>
      <c r="D5678" s="368">
        <f>IFERROR((INDEX(METADATA!$T$2:$T$20,MATCH(B5678,METADATA!$S$2:$S$20,0))),0)</f>
        <v>0</v>
      </c>
      <c r="E5678" s="312" t="str">
        <f t="shared" si="352"/>
        <v>LO</v>
      </c>
      <c r="F5678" s="369">
        <f>VLOOKUP(C5678,METADATA!$A$5:$H$29,IF(E5678="HI",2,IF(E5678="LO",6,10))+IF(D5678=1,2,IF(D5678=7,1,(IF(WEEKDAY(B5678)=1,2,IF(WEEKDAY(B5678)=7,1,0))))))</f>
        <v>2</v>
      </c>
      <c r="G5678" s="369">
        <f>VLOOKUP(C5678,METADATA!$J$5:$Q$29,IF(E5678="HI",2,IF(E5678="LO",6,10))+IF(D5678=1,2,IF(D5678=7,1,(IF(WEEKDAY(B5678)=1,2,IF(WEEKDAY(B5678)=7,1,0))))))</f>
        <v>2</v>
      </c>
      <c r="H5678" s="370">
        <v>3319.487548828125</v>
      </c>
      <c r="I5678" s="370">
        <v>1411.8474731445313</v>
      </c>
      <c r="M5678" s="371">
        <f t="shared" si="353"/>
        <v>3607.2580825676378</v>
      </c>
      <c r="N5678" s="329">
        <f t="shared" si="354"/>
        <v>416.0012084960938</v>
      </c>
      <c r="T5678" s="331">
        <v>0</v>
      </c>
      <c r="U5678" s="328">
        <f>VLOOKUP(C5678,METADATA!$J$5:$Q$29,IF(E5678="HI",2,IF(E5678="LO",6,10))+IF(T5678=1,2,IF(D5678=7,1,(IF(WEEKDAY(B5678)=1,2,IF(WEEKDAY(B5678)=7,1,0))))))</f>
        <v>2</v>
      </c>
      <c r="V5678" s="328">
        <f>VLOOKUP(C5678,METADATA!$A$5:$H$29,IF(E5678="HI",2,IF(E5678="LO",6,10))+IF(T5678=1,2,IF(D5678=7,1,(IF(WEEKDAY(B5678)=1,2,IF(WEEKDAY(B5678)=7,1,0))))))</f>
        <v>2</v>
      </c>
    </row>
    <row r="5679" spans="2:22">
      <c r="B5679" s="318">
        <f t="shared" si="355"/>
        <v>46349</v>
      </c>
      <c r="C5679" s="312">
        <v>11</v>
      </c>
      <c r="D5679" s="368">
        <f>IFERROR((INDEX(METADATA!$T$2:$T$20,MATCH(B5679,METADATA!$S$2:$S$20,0))),0)</f>
        <v>0</v>
      </c>
      <c r="E5679" s="312" t="str">
        <f t="shared" si="352"/>
        <v>LO</v>
      </c>
      <c r="F5679" s="369">
        <f>VLOOKUP(C5679,METADATA!$A$5:$H$29,IF(E5679="HI",2,IF(E5679="LO",6,10))+IF(D5679=1,2,IF(D5679=7,1,(IF(WEEKDAY(B5679)=1,2,IF(WEEKDAY(B5679)=7,1,0))))))</f>
        <v>2</v>
      </c>
      <c r="G5679" s="369">
        <f>VLOOKUP(C5679,METADATA!$J$5:$Q$29,IF(E5679="HI",2,IF(E5679="LO",6,10))+IF(D5679=1,2,IF(D5679=7,1,(IF(WEEKDAY(B5679)=1,2,IF(WEEKDAY(B5679)=7,1,0))))))</f>
        <v>2</v>
      </c>
      <c r="H5679" s="370">
        <v>4209.302490234375</v>
      </c>
      <c r="I5679" s="370">
        <v>1427.83251953125</v>
      </c>
      <c r="M5679" s="371">
        <f t="shared" si="353"/>
        <v>4444.8771814443053</v>
      </c>
      <c r="N5679" s="329">
        <f t="shared" si="354"/>
        <v>165.04177246093764</v>
      </c>
      <c r="T5679" s="331">
        <v>0</v>
      </c>
      <c r="U5679" s="328">
        <f>VLOOKUP(C5679,METADATA!$J$5:$Q$29,IF(E5679="HI",2,IF(E5679="LO",6,10))+IF(T5679=1,2,IF(D5679=7,1,(IF(WEEKDAY(B5679)=1,2,IF(WEEKDAY(B5679)=7,1,0))))))</f>
        <v>2</v>
      </c>
      <c r="V5679" s="328">
        <f>VLOOKUP(C5679,METADATA!$A$5:$H$29,IF(E5679="HI",2,IF(E5679="LO",6,10))+IF(T5679=1,2,IF(D5679=7,1,(IF(WEEKDAY(B5679)=1,2,IF(WEEKDAY(B5679)=7,1,0))))))</f>
        <v>2</v>
      </c>
    </row>
    <row r="5680" spans="2:22">
      <c r="B5680" s="318">
        <f t="shared" si="355"/>
        <v>46349</v>
      </c>
      <c r="C5680" s="312">
        <v>12</v>
      </c>
      <c r="D5680" s="368">
        <f>IFERROR((INDEX(METADATA!$T$2:$T$20,MATCH(B5680,METADATA!$S$2:$S$20,0))),0)</f>
        <v>0</v>
      </c>
      <c r="E5680" s="312" t="str">
        <f t="shared" si="352"/>
        <v>LO</v>
      </c>
      <c r="F5680" s="369">
        <f>VLOOKUP(C5680,METADATA!$A$5:$H$29,IF(E5680="HI",2,IF(E5680="LO",6,10))+IF(D5680=1,2,IF(D5680=7,1,(IF(WEEKDAY(B5680)=1,2,IF(WEEKDAY(B5680)=7,1,0))))))</f>
        <v>2</v>
      </c>
      <c r="G5680" s="369">
        <f>VLOOKUP(C5680,METADATA!$J$5:$Q$29,IF(E5680="HI",2,IF(E5680="LO",6,10))+IF(D5680=1,2,IF(D5680=7,1,(IF(WEEKDAY(B5680)=1,2,IF(WEEKDAY(B5680)=7,1,0))))))</f>
        <v>2</v>
      </c>
      <c r="H5680" s="370">
        <v>3959.175048828125</v>
      </c>
      <c r="I5680" s="370">
        <v>1383.9850158691406</v>
      </c>
      <c r="M5680" s="371">
        <f t="shared" si="353"/>
        <v>4194.1008084467276</v>
      </c>
      <c r="N5680" s="329">
        <f t="shared" si="354"/>
        <v>196.23250122070317</v>
      </c>
      <c r="T5680" s="331">
        <v>0</v>
      </c>
      <c r="U5680" s="328">
        <f>VLOOKUP(C5680,METADATA!$J$5:$Q$29,IF(E5680="HI",2,IF(E5680="LO",6,10))+IF(T5680=1,2,IF(D5680=7,1,(IF(WEEKDAY(B5680)=1,2,IF(WEEKDAY(B5680)=7,1,0))))))</f>
        <v>2</v>
      </c>
      <c r="V5680" s="328">
        <f>VLOOKUP(C5680,METADATA!$A$5:$H$29,IF(E5680="HI",2,IF(E5680="LO",6,10))+IF(T5680=1,2,IF(D5680=7,1,(IF(WEEKDAY(B5680)=1,2,IF(WEEKDAY(B5680)=7,1,0))))))</f>
        <v>2</v>
      </c>
    </row>
    <row r="5681" spans="2:22">
      <c r="B5681" s="318">
        <f t="shared" si="355"/>
        <v>46349</v>
      </c>
      <c r="C5681" s="312">
        <v>13</v>
      </c>
      <c r="D5681" s="368">
        <f>IFERROR((INDEX(METADATA!$T$2:$T$20,MATCH(B5681,METADATA!$S$2:$S$20,0))),0)</f>
        <v>0</v>
      </c>
      <c r="E5681" s="312" t="str">
        <f t="shared" si="352"/>
        <v>LO</v>
      </c>
      <c r="F5681" s="369">
        <f>VLOOKUP(C5681,METADATA!$A$5:$H$29,IF(E5681="HI",2,IF(E5681="LO",6,10))+IF(D5681=1,2,IF(D5681=7,1,(IF(WEEKDAY(B5681)=1,2,IF(WEEKDAY(B5681)=7,1,0))))))</f>
        <v>2</v>
      </c>
      <c r="G5681" s="369">
        <f>VLOOKUP(C5681,METADATA!$J$5:$Q$29,IF(E5681="HI",2,IF(E5681="LO",6,10))+IF(D5681=1,2,IF(D5681=7,1,(IF(WEEKDAY(B5681)=1,2,IF(WEEKDAY(B5681)=7,1,0))))))</f>
        <v>2</v>
      </c>
      <c r="H5681" s="370">
        <v>3246.3099975585938</v>
      </c>
      <c r="I5681" s="370">
        <v>1361.5924987792969</v>
      </c>
      <c r="M5681" s="371">
        <f t="shared" si="353"/>
        <v>3520.2929896502828</v>
      </c>
      <c r="N5681" s="329">
        <f t="shared" si="354"/>
        <v>387.69949951171884</v>
      </c>
      <c r="T5681" s="331">
        <v>0</v>
      </c>
      <c r="U5681" s="328">
        <f>VLOOKUP(C5681,METADATA!$J$5:$Q$29,IF(E5681="HI",2,IF(E5681="LO",6,10))+IF(T5681=1,2,IF(D5681=7,1,(IF(WEEKDAY(B5681)=1,2,IF(WEEKDAY(B5681)=7,1,0))))))</f>
        <v>2</v>
      </c>
      <c r="V5681" s="328">
        <f>VLOOKUP(C5681,METADATA!$A$5:$H$29,IF(E5681="HI",2,IF(E5681="LO",6,10))+IF(T5681=1,2,IF(D5681=7,1,(IF(WEEKDAY(B5681)=1,2,IF(WEEKDAY(B5681)=7,1,0))))))</f>
        <v>2</v>
      </c>
    </row>
    <row r="5682" spans="2:22">
      <c r="B5682" s="318">
        <f t="shared" si="355"/>
        <v>46349</v>
      </c>
      <c r="C5682" s="312">
        <v>14</v>
      </c>
      <c r="D5682" s="368">
        <f>IFERROR((INDEX(METADATA!$T$2:$T$20,MATCH(B5682,METADATA!$S$2:$S$20,0))),0)</f>
        <v>0</v>
      </c>
      <c r="E5682" s="312" t="str">
        <f t="shared" si="352"/>
        <v>LO</v>
      </c>
      <c r="F5682" s="369">
        <f>VLOOKUP(C5682,METADATA!$A$5:$H$29,IF(E5682="HI",2,IF(E5682="LO",6,10))+IF(D5682=1,2,IF(D5682=7,1,(IF(WEEKDAY(B5682)=1,2,IF(WEEKDAY(B5682)=7,1,0))))))</f>
        <v>2</v>
      </c>
      <c r="G5682" s="369">
        <f>VLOOKUP(C5682,METADATA!$J$5:$Q$29,IF(E5682="HI",2,IF(E5682="LO",6,10))+IF(D5682=1,2,IF(D5682=7,1,(IF(WEEKDAY(B5682)=1,2,IF(WEEKDAY(B5682)=7,1,0))))))</f>
        <v>2</v>
      </c>
      <c r="H5682" s="370">
        <v>4029.5575561523438</v>
      </c>
      <c r="I5682" s="370">
        <v>1397.4474487304688</v>
      </c>
      <c r="M5682" s="371">
        <f t="shared" si="353"/>
        <v>4264.9963036687086</v>
      </c>
      <c r="N5682" s="329">
        <f t="shared" si="354"/>
        <v>188.58018188476558</v>
      </c>
      <c r="T5682" s="331">
        <v>0</v>
      </c>
      <c r="U5682" s="328">
        <f>VLOOKUP(C5682,METADATA!$J$5:$Q$29,IF(E5682="HI",2,IF(E5682="LO",6,10))+IF(T5682=1,2,IF(D5682=7,1,(IF(WEEKDAY(B5682)=1,2,IF(WEEKDAY(B5682)=7,1,0))))))</f>
        <v>2</v>
      </c>
      <c r="V5682" s="328">
        <f>VLOOKUP(C5682,METADATA!$A$5:$H$29,IF(E5682="HI",2,IF(E5682="LO",6,10))+IF(T5682=1,2,IF(D5682=7,1,(IF(WEEKDAY(B5682)=1,2,IF(WEEKDAY(B5682)=7,1,0))))))</f>
        <v>2</v>
      </c>
    </row>
    <row r="5683" spans="2:22">
      <c r="B5683" s="318">
        <f t="shared" si="355"/>
        <v>46349</v>
      </c>
      <c r="C5683" s="312">
        <v>15</v>
      </c>
      <c r="D5683" s="368">
        <f>IFERROR((INDEX(METADATA!$T$2:$T$20,MATCH(B5683,METADATA!$S$2:$S$20,0))),0)</f>
        <v>0</v>
      </c>
      <c r="E5683" s="312" t="str">
        <f t="shared" si="352"/>
        <v>LO</v>
      </c>
      <c r="F5683" s="369">
        <f>VLOOKUP(C5683,METADATA!$A$5:$H$29,IF(E5683="HI",2,IF(E5683="LO",6,10))+IF(D5683=1,2,IF(D5683=7,1,(IF(WEEKDAY(B5683)=1,2,IF(WEEKDAY(B5683)=7,1,0))))))</f>
        <v>2</v>
      </c>
      <c r="G5683" s="369">
        <f>VLOOKUP(C5683,METADATA!$J$5:$Q$29,IF(E5683="HI",2,IF(E5683="LO",6,10))+IF(D5683=1,2,IF(D5683=7,1,(IF(WEEKDAY(B5683)=1,2,IF(WEEKDAY(B5683)=7,1,0))))))</f>
        <v>2</v>
      </c>
      <c r="H5683" s="370">
        <v>4204.3748779296875</v>
      </c>
      <c r="I5683" s="370">
        <v>1402.6325378417969</v>
      </c>
      <c r="M5683" s="371">
        <f t="shared" si="353"/>
        <v>4432.1717194146249</v>
      </c>
      <c r="N5683" s="329">
        <f t="shared" si="354"/>
        <v>141.32007446289072</v>
      </c>
      <c r="T5683" s="331">
        <v>0</v>
      </c>
      <c r="U5683" s="328">
        <f>VLOOKUP(C5683,METADATA!$J$5:$Q$29,IF(E5683="HI",2,IF(E5683="LO",6,10))+IF(T5683=1,2,IF(D5683=7,1,(IF(WEEKDAY(B5683)=1,2,IF(WEEKDAY(B5683)=7,1,0))))))</f>
        <v>2</v>
      </c>
      <c r="V5683" s="328">
        <f>VLOOKUP(C5683,METADATA!$A$5:$H$29,IF(E5683="HI",2,IF(E5683="LO",6,10))+IF(T5683=1,2,IF(D5683=7,1,(IF(WEEKDAY(B5683)=1,2,IF(WEEKDAY(B5683)=7,1,0))))))</f>
        <v>2</v>
      </c>
    </row>
    <row r="5684" spans="2:22">
      <c r="B5684" s="318">
        <f t="shared" si="355"/>
        <v>46349</v>
      </c>
      <c r="C5684" s="312">
        <v>16</v>
      </c>
      <c r="D5684" s="368">
        <f>IFERROR((INDEX(METADATA!$T$2:$T$20,MATCH(B5684,METADATA!$S$2:$S$20,0))),0)</f>
        <v>0</v>
      </c>
      <c r="E5684" s="312" t="str">
        <f t="shared" si="352"/>
        <v>LO</v>
      </c>
      <c r="F5684" s="369">
        <f>VLOOKUP(C5684,METADATA!$A$5:$H$29,IF(E5684="HI",2,IF(E5684="LO",6,10))+IF(D5684=1,2,IF(D5684=7,1,(IF(WEEKDAY(B5684)=1,2,IF(WEEKDAY(B5684)=7,1,0))))))</f>
        <v>2</v>
      </c>
      <c r="G5684" s="369">
        <f>VLOOKUP(C5684,METADATA!$J$5:$Q$29,IF(E5684="HI",2,IF(E5684="LO",6,10))+IF(D5684=1,2,IF(D5684=7,1,(IF(WEEKDAY(B5684)=1,2,IF(WEEKDAY(B5684)=7,1,0))))))</f>
        <v>2</v>
      </c>
      <c r="H5684" s="370">
        <v>4296.9699096679688</v>
      </c>
      <c r="I5684" s="370">
        <v>1375.9924926757813</v>
      </c>
      <c r="M5684" s="371">
        <f t="shared" si="353"/>
        <v>4511.907107254322</v>
      </c>
      <c r="N5684" s="329">
        <f t="shared" si="354"/>
        <v>86.901519775390625</v>
      </c>
      <c r="T5684" s="331">
        <v>0</v>
      </c>
      <c r="U5684" s="328">
        <f>VLOOKUP(C5684,METADATA!$J$5:$Q$29,IF(E5684="HI",2,IF(E5684="LO",6,10))+IF(T5684=1,2,IF(D5684=7,1,(IF(WEEKDAY(B5684)=1,2,IF(WEEKDAY(B5684)=7,1,0))))))</f>
        <v>2</v>
      </c>
      <c r="V5684" s="328">
        <f>VLOOKUP(C5684,METADATA!$A$5:$H$29,IF(E5684="HI",2,IF(E5684="LO",6,10))+IF(T5684=1,2,IF(D5684=7,1,(IF(WEEKDAY(B5684)=1,2,IF(WEEKDAY(B5684)=7,1,0))))))</f>
        <v>2</v>
      </c>
    </row>
    <row r="5685" spans="2:22">
      <c r="B5685" s="318">
        <f t="shared" si="355"/>
        <v>46349</v>
      </c>
      <c r="C5685" s="312">
        <v>17</v>
      </c>
      <c r="D5685" s="368">
        <f>IFERROR((INDEX(METADATA!$T$2:$T$20,MATCH(B5685,METADATA!$S$2:$S$20,0))),0)</f>
        <v>0</v>
      </c>
      <c r="E5685" s="312" t="str">
        <f t="shared" si="352"/>
        <v>LO</v>
      </c>
      <c r="F5685" s="369">
        <f>VLOOKUP(C5685,METADATA!$A$5:$H$29,IF(E5685="HI",2,IF(E5685="LO",6,10))+IF(D5685=1,2,IF(D5685=7,1,(IF(WEEKDAY(B5685)=1,2,IF(WEEKDAY(B5685)=7,1,0))))))</f>
        <v>2</v>
      </c>
      <c r="G5685" s="369">
        <f>VLOOKUP(C5685,METADATA!$J$5:$Q$29,IF(E5685="HI",2,IF(E5685="LO",6,10))+IF(D5685=1,2,IF(D5685=7,1,(IF(WEEKDAY(B5685)=1,2,IF(WEEKDAY(B5685)=7,1,0))))))</f>
        <v>2</v>
      </c>
      <c r="H5685" s="370">
        <v>4151.8399047851563</v>
      </c>
      <c r="I5685" s="370">
        <v>1385.9250183105469</v>
      </c>
      <c r="M5685" s="371">
        <f t="shared" si="353"/>
        <v>4377.0495486509526</v>
      </c>
      <c r="N5685" s="329">
        <f t="shared" si="354"/>
        <v>140.373046875</v>
      </c>
      <c r="T5685" s="331">
        <v>0</v>
      </c>
      <c r="U5685" s="328">
        <f>VLOOKUP(C5685,METADATA!$J$5:$Q$29,IF(E5685="HI",2,IF(E5685="LO",6,10))+IF(T5685=1,2,IF(D5685=7,1,(IF(WEEKDAY(B5685)=1,2,IF(WEEKDAY(B5685)=7,1,0))))))</f>
        <v>2</v>
      </c>
      <c r="V5685" s="328">
        <f>VLOOKUP(C5685,METADATA!$A$5:$H$29,IF(E5685="HI",2,IF(E5685="LO",6,10))+IF(T5685=1,2,IF(D5685=7,1,(IF(WEEKDAY(B5685)=1,2,IF(WEEKDAY(B5685)=7,1,0))))))</f>
        <v>2</v>
      </c>
    </row>
    <row r="5686" spans="2:22">
      <c r="B5686" s="318">
        <f t="shared" si="355"/>
        <v>46349</v>
      </c>
      <c r="C5686" s="312">
        <v>18</v>
      </c>
      <c r="D5686" s="368">
        <f>IFERROR((INDEX(METADATA!$T$2:$T$20,MATCH(B5686,METADATA!$S$2:$S$20,0))),0)</f>
        <v>0</v>
      </c>
      <c r="E5686" s="312" t="str">
        <f t="shared" si="352"/>
        <v>LO</v>
      </c>
      <c r="F5686" s="369">
        <f>VLOOKUP(C5686,METADATA!$A$5:$H$29,IF(E5686="HI",2,IF(E5686="LO",6,10))+IF(D5686=1,2,IF(D5686=7,1,(IF(WEEKDAY(B5686)=1,2,IF(WEEKDAY(B5686)=7,1,0))))))</f>
        <v>1</v>
      </c>
      <c r="G5686" s="369">
        <f>VLOOKUP(C5686,METADATA!$J$5:$Q$29,IF(E5686="HI",2,IF(E5686="LO",6,10))+IF(D5686=1,2,IF(D5686=7,1,(IF(WEEKDAY(B5686)=1,2,IF(WEEKDAY(B5686)=7,1,0))))))</f>
        <v>1</v>
      </c>
      <c r="H5686" s="370">
        <v>3984.7725219726563</v>
      </c>
      <c r="I5686" s="370">
        <v>1394.9300231933594</v>
      </c>
      <c r="M5686" s="371">
        <f t="shared" si="353"/>
        <v>4221.8765758220061</v>
      </c>
      <c r="N5686" s="329">
        <f t="shared" si="354"/>
        <v>199.49826660156259</v>
      </c>
      <c r="T5686" s="331">
        <v>0</v>
      </c>
      <c r="U5686" s="328">
        <f>VLOOKUP(C5686,METADATA!$J$5:$Q$29,IF(E5686="HI",2,IF(E5686="LO",6,10))+IF(T5686=1,2,IF(D5686=7,1,(IF(WEEKDAY(B5686)=1,2,IF(WEEKDAY(B5686)=7,1,0))))))</f>
        <v>1</v>
      </c>
      <c r="V5686" s="328">
        <f>VLOOKUP(C5686,METADATA!$A$5:$H$29,IF(E5686="HI",2,IF(E5686="LO",6,10))+IF(T5686=1,2,IF(D5686=7,1,(IF(WEEKDAY(B5686)=1,2,IF(WEEKDAY(B5686)=7,1,0))))))</f>
        <v>1</v>
      </c>
    </row>
    <row r="5687" spans="2:22">
      <c r="B5687" s="318">
        <f t="shared" si="355"/>
        <v>46349</v>
      </c>
      <c r="C5687" s="312">
        <v>19</v>
      </c>
      <c r="D5687" s="368">
        <f>IFERROR((INDEX(METADATA!$T$2:$T$20,MATCH(B5687,METADATA!$S$2:$S$20,0))),0)</f>
        <v>0</v>
      </c>
      <c r="E5687" s="312" t="str">
        <f t="shared" si="352"/>
        <v>LO</v>
      </c>
      <c r="F5687" s="369">
        <f>VLOOKUP(C5687,METADATA!$A$5:$H$29,IF(E5687="HI",2,IF(E5687="LO",6,10))+IF(D5687=1,2,IF(D5687=7,1,(IF(WEEKDAY(B5687)=1,2,IF(WEEKDAY(B5687)=7,1,0))))))</f>
        <v>1</v>
      </c>
      <c r="G5687" s="369">
        <f>VLOOKUP(C5687,METADATA!$J$5:$Q$29,IF(E5687="HI",2,IF(E5687="LO",6,10))+IF(D5687=1,2,IF(D5687=7,1,(IF(WEEKDAY(B5687)=1,2,IF(WEEKDAY(B5687)=7,1,0))))))</f>
        <v>1</v>
      </c>
      <c r="H5687" s="370">
        <v>4355.2750549316406</v>
      </c>
      <c r="I5687" s="370">
        <v>1389.239990234375</v>
      </c>
      <c r="M5687" s="371">
        <f t="shared" si="353"/>
        <v>4571.4777211068422</v>
      </c>
      <c r="N5687" s="329">
        <f t="shared" si="354"/>
        <v>82.657473754882858</v>
      </c>
      <c r="T5687" s="331">
        <v>0</v>
      </c>
      <c r="U5687" s="328">
        <f>VLOOKUP(C5687,METADATA!$J$5:$Q$29,IF(E5687="HI",2,IF(E5687="LO",6,10))+IF(T5687=1,2,IF(D5687=7,1,(IF(WEEKDAY(B5687)=1,2,IF(WEEKDAY(B5687)=7,1,0))))))</f>
        <v>1</v>
      </c>
      <c r="V5687" s="328">
        <f>VLOOKUP(C5687,METADATA!$A$5:$H$29,IF(E5687="HI",2,IF(E5687="LO",6,10))+IF(T5687=1,2,IF(D5687=7,1,(IF(WEEKDAY(B5687)=1,2,IF(WEEKDAY(B5687)=7,1,0))))))</f>
        <v>1</v>
      </c>
    </row>
    <row r="5688" spans="2:22">
      <c r="B5688" s="318">
        <f t="shared" si="355"/>
        <v>46349</v>
      </c>
      <c r="C5688" s="312">
        <v>20</v>
      </c>
      <c r="D5688" s="368">
        <f>IFERROR((INDEX(METADATA!$T$2:$T$20,MATCH(B5688,METADATA!$S$2:$S$20,0))),0)</f>
        <v>0</v>
      </c>
      <c r="E5688" s="312" t="str">
        <f t="shared" si="352"/>
        <v>LO</v>
      </c>
      <c r="F5688" s="369">
        <f>VLOOKUP(C5688,METADATA!$A$5:$H$29,IF(E5688="HI",2,IF(E5688="LO",6,10))+IF(D5688=1,2,IF(D5688=7,1,(IF(WEEKDAY(B5688)=1,2,IF(WEEKDAY(B5688)=7,1,0))))))</f>
        <v>1</v>
      </c>
      <c r="G5688" s="369">
        <f>VLOOKUP(C5688,METADATA!$J$5:$Q$29,IF(E5688="HI",2,IF(E5688="LO",6,10))+IF(D5688=1,2,IF(D5688=7,1,(IF(WEEKDAY(B5688)=1,2,IF(WEEKDAY(B5688)=7,1,0))))))</f>
        <v>1</v>
      </c>
      <c r="H5688" s="370">
        <v>4295.6500244140625</v>
      </c>
      <c r="I5688" s="370">
        <v>1419.4100341796875</v>
      </c>
      <c r="M5688" s="371">
        <f t="shared" si="353"/>
        <v>4524.0837721442031</v>
      </c>
      <c r="N5688" s="329">
        <f t="shared" si="354"/>
        <v>130.71502685546875</v>
      </c>
      <c r="T5688" s="331">
        <v>0</v>
      </c>
      <c r="U5688" s="328">
        <f>VLOOKUP(C5688,METADATA!$J$5:$Q$29,IF(E5688="HI",2,IF(E5688="LO",6,10))+IF(T5688=1,2,IF(D5688=7,1,(IF(WEEKDAY(B5688)=1,2,IF(WEEKDAY(B5688)=7,1,0))))))</f>
        <v>1</v>
      </c>
      <c r="V5688" s="328">
        <f>VLOOKUP(C5688,METADATA!$A$5:$H$29,IF(E5688="HI",2,IF(E5688="LO",6,10))+IF(T5688=1,2,IF(D5688=7,1,(IF(WEEKDAY(B5688)=1,2,IF(WEEKDAY(B5688)=7,1,0))))))</f>
        <v>1</v>
      </c>
    </row>
    <row r="5689" spans="2:22">
      <c r="B5689" s="318">
        <f t="shared" si="355"/>
        <v>46349</v>
      </c>
      <c r="C5689" s="312">
        <v>21</v>
      </c>
      <c r="D5689" s="368">
        <f>IFERROR((INDEX(METADATA!$T$2:$T$20,MATCH(B5689,METADATA!$S$2:$S$20,0))),0)</f>
        <v>0</v>
      </c>
      <c r="E5689" s="312" t="str">
        <f t="shared" si="352"/>
        <v>LO</v>
      </c>
      <c r="F5689" s="369">
        <f>VLOOKUP(C5689,METADATA!$A$5:$H$29,IF(E5689="HI",2,IF(E5689="LO",6,10))+IF(D5689=1,2,IF(D5689=7,1,(IF(WEEKDAY(B5689)=1,2,IF(WEEKDAY(B5689)=7,1,0))))))</f>
        <v>2</v>
      </c>
      <c r="G5689" s="369">
        <f>VLOOKUP(C5689,METADATA!$J$5:$Q$29,IF(E5689="HI",2,IF(E5689="LO",6,10))+IF(D5689=1,2,IF(D5689=7,1,(IF(WEEKDAY(B5689)=1,2,IF(WEEKDAY(B5689)=7,1,0))))))</f>
        <v>2</v>
      </c>
      <c r="H5689" s="370">
        <v>4922.6049499511719</v>
      </c>
      <c r="I5689" s="370">
        <v>1519.9900207519531</v>
      </c>
      <c r="M5689" s="371">
        <f t="shared" si="353"/>
        <v>5151.9325652098069</v>
      </c>
      <c r="N5689" s="329">
        <f t="shared" si="354"/>
        <v>43.208535766601699</v>
      </c>
      <c r="T5689" s="331">
        <v>0</v>
      </c>
      <c r="U5689" s="328">
        <f>VLOOKUP(C5689,METADATA!$J$5:$Q$29,IF(E5689="HI",2,IF(E5689="LO",6,10))+IF(T5689=1,2,IF(D5689=7,1,(IF(WEEKDAY(B5689)=1,2,IF(WEEKDAY(B5689)=7,1,0))))))</f>
        <v>2</v>
      </c>
      <c r="V5689" s="328">
        <f>VLOOKUP(C5689,METADATA!$A$5:$H$29,IF(E5689="HI",2,IF(E5689="LO",6,10))+IF(T5689=1,2,IF(D5689=7,1,(IF(WEEKDAY(B5689)=1,2,IF(WEEKDAY(B5689)=7,1,0))))))</f>
        <v>2</v>
      </c>
    </row>
    <row r="5690" spans="2:22">
      <c r="B5690" s="318">
        <f t="shared" si="355"/>
        <v>46349</v>
      </c>
      <c r="C5690" s="312">
        <v>22</v>
      </c>
      <c r="D5690" s="368">
        <f>IFERROR((INDEX(METADATA!$T$2:$T$20,MATCH(B5690,METADATA!$S$2:$S$20,0))),0)</f>
        <v>0</v>
      </c>
      <c r="E5690" s="312" t="str">
        <f t="shared" si="352"/>
        <v>LO</v>
      </c>
      <c r="F5690" s="369">
        <f>VLOOKUP(C5690,METADATA!$A$5:$H$29,IF(E5690="HI",2,IF(E5690="LO",6,10))+IF(D5690=1,2,IF(D5690=7,1,(IF(WEEKDAY(B5690)=1,2,IF(WEEKDAY(B5690)=7,1,0))))))</f>
        <v>3</v>
      </c>
      <c r="G5690" s="369">
        <f>VLOOKUP(C5690,METADATA!$J$5:$Q$29,IF(E5690="HI",2,IF(E5690="LO",6,10))+IF(D5690=1,2,IF(D5690=7,1,(IF(WEEKDAY(B5690)=1,2,IF(WEEKDAY(B5690)=7,1,0))))))</f>
        <v>3</v>
      </c>
      <c r="H5690" s="370">
        <v>6044.75</v>
      </c>
      <c r="I5690" s="370">
        <v>2028.4049377441406</v>
      </c>
      <c r="M5690" s="371">
        <f t="shared" si="353"/>
        <v>6376.0041682832052</v>
      </c>
      <c r="N5690" s="329">
        <f t="shared" si="354"/>
        <v>214.97993774414067</v>
      </c>
      <c r="T5690" s="331">
        <v>0</v>
      </c>
      <c r="U5690" s="328">
        <f>VLOOKUP(C5690,METADATA!$J$5:$Q$29,IF(E5690="HI",2,IF(E5690="LO",6,10))+IF(T5690=1,2,IF(D5690=7,1,(IF(WEEKDAY(B5690)=1,2,IF(WEEKDAY(B5690)=7,1,0))))))</f>
        <v>3</v>
      </c>
      <c r="V5690" s="328">
        <f>VLOOKUP(C5690,METADATA!$A$5:$H$29,IF(E5690="HI",2,IF(E5690="LO",6,10))+IF(T5690=1,2,IF(D5690=7,1,(IF(WEEKDAY(B5690)=1,2,IF(WEEKDAY(B5690)=7,1,0))))))</f>
        <v>3</v>
      </c>
    </row>
    <row r="5691" spans="2:22">
      <c r="B5691" s="318">
        <f t="shared" si="355"/>
        <v>46349</v>
      </c>
      <c r="C5691" s="312">
        <v>23</v>
      </c>
      <c r="D5691" s="368">
        <f>IFERROR((INDEX(METADATA!$T$2:$T$20,MATCH(B5691,METADATA!$S$2:$S$20,0))),0)</f>
        <v>0</v>
      </c>
      <c r="E5691" s="312" t="str">
        <f t="shared" si="352"/>
        <v>LO</v>
      </c>
      <c r="F5691" s="369">
        <f>VLOOKUP(C5691,METADATA!$A$5:$H$29,IF(E5691="HI",2,IF(E5691="LO",6,10))+IF(D5691=1,2,IF(D5691=7,1,(IF(WEEKDAY(B5691)=1,2,IF(WEEKDAY(B5691)=7,1,0))))))</f>
        <v>3</v>
      </c>
      <c r="G5691" s="369">
        <f>VLOOKUP(C5691,METADATA!$J$5:$Q$29,IF(E5691="HI",2,IF(E5691="LO",6,10))+IF(D5691=1,2,IF(D5691=7,1,(IF(WEEKDAY(B5691)=1,2,IF(WEEKDAY(B5691)=7,1,0))))))</f>
        <v>3</v>
      </c>
      <c r="H5691" s="370">
        <v>6548.125</v>
      </c>
      <c r="I5691" s="370">
        <v>2336.0250244140625</v>
      </c>
      <c r="M5691" s="371">
        <f t="shared" si="353"/>
        <v>6952.3344230778857</v>
      </c>
      <c r="N5691" s="329">
        <f t="shared" si="354"/>
        <v>371.5875244140625</v>
      </c>
      <c r="T5691" s="331">
        <v>0</v>
      </c>
      <c r="U5691" s="328">
        <f>VLOOKUP(C5691,METADATA!$J$5:$Q$29,IF(E5691="HI",2,IF(E5691="LO",6,10))+IF(T5691=1,2,IF(D5691=7,1,(IF(WEEKDAY(B5691)=1,2,IF(WEEKDAY(B5691)=7,1,0))))))</f>
        <v>3</v>
      </c>
      <c r="V5691" s="328">
        <f>VLOOKUP(C5691,METADATA!$A$5:$H$29,IF(E5691="HI",2,IF(E5691="LO",6,10))+IF(T5691=1,2,IF(D5691=7,1,(IF(WEEKDAY(B5691)=1,2,IF(WEEKDAY(B5691)=7,1,0))))))</f>
        <v>3</v>
      </c>
    </row>
    <row r="5692" spans="2:22">
      <c r="B5692" s="318">
        <f t="shared" si="355"/>
        <v>46350</v>
      </c>
      <c r="C5692" s="312">
        <v>0</v>
      </c>
      <c r="D5692" s="368">
        <f>IFERROR((INDEX(METADATA!$T$2:$T$20,MATCH(B5692,METADATA!$S$2:$S$20,0))),0)</f>
        <v>0</v>
      </c>
      <c r="E5692" s="312" t="str">
        <f t="shared" si="352"/>
        <v>LO</v>
      </c>
      <c r="F5692" s="369">
        <f>VLOOKUP(C5692,METADATA!$A$5:$H$29,IF(E5692="HI",2,IF(E5692="LO",6,10))+IF(D5692=1,2,IF(D5692=7,1,(IF(WEEKDAY(B5692)=1,2,IF(WEEKDAY(B5692)=7,1,0))))))</f>
        <v>3</v>
      </c>
      <c r="G5692" s="369">
        <f>VLOOKUP(C5692,METADATA!$J$5:$Q$29,IF(E5692="HI",2,IF(E5692="LO",6,10))+IF(D5692=1,2,IF(D5692=7,1,(IF(WEEKDAY(B5692)=1,2,IF(WEEKDAY(B5692)=7,1,0))))))</f>
        <v>3</v>
      </c>
      <c r="H5692" s="370">
        <v>5836.3299560546875</v>
      </c>
      <c r="I5692" s="370">
        <v>1649.6100256294012</v>
      </c>
      <c r="M5692" s="371">
        <f t="shared" si="353"/>
        <v>6064.9782021536021</v>
      </c>
      <c r="N5692" s="329">
        <f t="shared" si="354"/>
        <v>0</v>
      </c>
      <c r="T5692" s="331">
        <v>0</v>
      </c>
      <c r="U5692" s="328">
        <f>VLOOKUP(C5692,METADATA!$J$5:$Q$29,IF(E5692="HI",2,IF(E5692="LO",6,10))+IF(T5692=1,2,IF(D5692=7,1,(IF(WEEKDAY(B5692)=1,2,IF(WEEKDAY(B5692)=7,1,0))))))</f>
        <v>3</v>
      </c>
      <c r="V5692" s="328">
        <f>VLOOKUP(C5692,METADATA!$A$5:$H$29,IF(E5692="HI",2,IF(E5692="LO",6,10))+IF(T5692=1,2,IF(D5692=7,1,(IF(WEEKDAY(B5692)=1,2,IF(WEEKDAY(B5692)=7,1,0))))))</f>
        <v>3</v>
      </c>
    </row>
    <row r="5693" spans="2:22">
      <c r="B5693" s="318">
        <f t="shared" si="355"/>
        <v>46350</v>
      </c>
      <c r="C5693" s="312">
        <v>1</v>
      </c>
      <c r="D5693" s="368">
        <f>IFERROR((INDEX(METADATA!$T$2:$T$20,MATCH(B5693,METADATA!$S$2:$S$20,0))),0)</f>
        <v>0</v>
      </c>
      <c r="E5693" s="312" t="str">
        <f t="shared" si="352"/>
        <v>LO</v>
      </c>
      <c r="F5693" s="369">
        <f>VLOOKUP(C5693,METADATA!$A$5:$H$29,IF(E5693="HI",2,IF(E5693="LO",6,10))+IF(D5693=1,2,IF(D5693=7,1,(IF(WEEKDAY(B5693)=1,2,IF(WEEKDAY(B5693)=7,1,0))))))</f>
        <v>3</v>
      </c>
      <c r="G5693" s="369">
        <f>VLOOKUP(C5693,METADATA!$J$5:$Q$29,IF(E5693="HI",2,IF(E5693="LO",6,10))+IF(D5693=1,2,IF(D5693=7,1,(IF(WEEKDAY(B5693)=1,2,IF(WEEKDAY(B5693)=7,1,0))))))</f>
        <v>3</v>
      </c>
      <c r="H5693" s="370">
        <v>8761.6275024414063</v>
      </c>
      <c r="I5693" s="370">
        <v>2137.0499816685915</v>
      </c>
      <c r="M5693" s="371">
        <f t="shared" si="353"/>
        <v>9018.4865202364945</v>
      </c>
      <c r="N5693" s="329">
        <f t="shared" si="354"/>
        <v>0</v>
      </c>
      <c r="T5693" s="331">
        <v>0</v>
      </c>
      <c r="U5693" s="328">
        <f>VLOOKUP(C5693,METADATA!$J$5:$Q$29,IF(E5693="HI",2,IF(E5693="LO",6,10))+IF(T5693=1,2,IF(D5693=7,1,(IF(WEEKDAY(B5693)=1,2,IF(WEEKDAY(B5693)=7,1,0))))))</f>
        <v>3</v>
      </c>
      <c r="V5693" s="328">
        <f>VLOOKUP(C5693,METADATA!$A$5:$H$29,IF(E5693="HI",2,IF(E5693="LO",6,10))+IF(T5693=1,2,IF(D5693=7,1,(IF(WEEKDAY(B5693)=1,2,IF(WEEKDAY(B5693)=7,1,0))))))</f>
        <v>3</v>
      </c>
    </row>
    <row r="5694" spans="2:22">
      <c r="B5694" s="318">
        <f t="shared" si="355"/>
        <v>46350</v>
      </c>
      <c r="C5694" s="312">
        <v>2</v>
      </c>
      <c r="D5694" s="368">
        <f>IFERROR((INDEX(METADATA!$T$2:$T$20,MATCH(B5694,METADATA!$S$2:$S$20,0))),0)</f>
        <v>0</v>
      </c>
      <c r="E5694" s="312" t="str">
        <f t="shared" si="352"/>
        <v>LO</v>
      </c>
      <c r="F5694" s="369">
        <f>VLOOKUP(C5694,METADATA!$A$5:$H$29,IF(E5694="HI",2,IF(E5694="LO",6,10))+IF(D5694=1,2,IF(D5694=7,1,(IF(WEEKDAY(B5694)=1,2,IF(WEEKDAY(B5694)=7,1,0))))))</f>
        <v>3</v>
      </c>
      <c r="G5694" s="369">
        <f>VLOOKUP(C5694,METADATA!$J$5:$Q$29,IF(E5694="HI",2,IF(E5694="LO",6,10))+IF(D5694=1,2,IF(D5694=7,1,(IF(WEEKDAY(B5694)=1,2,IF(WEEKDAY(B5694)=7,1,0))))))</f>
        <v>3</v>
      </c>
      <c r="H5694" s="370">
        <v>10425.075134277344</v>
      </c>
      <c r="I5694" s="370">
        <v>2697.2874755859375</v>
      </c>
      <c r="M5694" s="371">
        <f t="shared" si="353"/>
        <v>10768.358801659635</v>
      </c>
      <c r="N5694" s="329">
        <f t="shared" si="354"/>
        <v>0</v>
      </c>
      <c r="T5694" s="331">
        <v>0</v>
      </c>
      <c r="U5694" s="328">
        <f>VLOOKUP(C5694,METADATA!$J$5:$Q$29,IF(E5694="HI",2,IF(E5694="LO",6,10))+IF(T5694=1,2,IF(D5694=7,1,(IF(WEEKDAY(B5694)=1,2,IF(WEEKDAY(B5694)=7,1,0))))))</f>
        <v>3</v>
      </c>
      <c r="V5694" s="328">
        <f>VLOOKUP(C5694,METADATA!$A$5:$H$29,IF(E5694="HI",2,IF(E5694="LO",6,10))+IF(T5694=1,2,IF(D5694=7,1,(IF(WEEKDAY(B5694)=1,2,IF(WEEKDAY(B5694)=7,1,0))))))</f>
        <v>3</v>
      </c>
    </row>
    <row r="5695" spans="2:22">
      <c r="B5695" s="318">
        <f t="shared" si="355"/>
        <v>46350</v>
      </c>
      <c r="C5695" s="312">
        <v>3</v>
      </c>
      <c r="D5695" s="368">
        <f>IFERROR((INDEX(METADATA!$T$2:$T$20,MATCH(B5695,METADATA!$S$2:$S$20,0))),0)</f>
        <v>0</v>
      </c>
      <c r="E5695" s="312" t="str">
        <f t="shared" si="352"/>
        <v>LO</v>
      </c>
      <c r="F5695" s="369">
        <f>VLOOKUP(C5695,METADATA!$A$5:$H$29,IF(E5695="HI",2,IF(E5695="LO",6,10))+IF(D5695=1,2,IF(D5695=7,1,(IF(WEEKDAY(B5695)=1,2,IF(WEEKDAY(B5695)=7,1,0))))))</f>
        <v>3</v>
      </c>
      <c r="G5695" s="369">
        <f>VLOOKUP(C5695,METADATA!$J$5:$Q$29,IF(E5695="HI",2,IF(E5695="LO",6,10))+IF(D5695=1,2,IF(D5695=7,1,(IF(WEEKDAY(B5695)=1,2,IF(WEEKDAY(B5695)=7,1,0))))))</f>
        <v>3</v>
      </c>
      <c r="H5695" s="370">
        <v>12062.10009765625</v>
      </c>
      <c r="I5695" s="370">
        <v>3434.2949523925781</v>
      </c>
      <c r="M5695" s="371">
        <f t="shared" si="353"/>
        <v>12541.476810404271</v>
      </c>
      <c r="N5695" s="329">
        <f t="shared" si="354"/>
        <v>0</v>
      </c>
      <c r="T5695" s="331">
        <v>0</v>
      </c>
      <c r="U5695" s="328">
        <f>VLOOKUP(C5695,METADATA!$J$5:$Q$29,IF(E5695="HI",2,IF(E5695="LO",6,10))+IF(T5695=1,2,IF(D5695=7,1,(IF(WEEKDAY(B5695)=1,2,IF(WEEKDAY(B5695)=7,1,0))))))</f>
        <v>3</v>
      </c>
      <c r="V5695" s="328">
        <f>VLOOKUP(C5695,METADATA!$A$5:$H$29,IF(E5695="HI",2,IF(E5695="LO",6,10))+IF(T5695=1,2,IF(D5695=7,1,(IF(WEEKDAY(B5695)=1,2,IF(WEEKDAY(B5695)=7,1,0))))))</f>
        <v>3</v>
      </c>
    </row>
    <row r="5696" spans="2:22">
      <c r="B5696" s="318">
        <f t="shared" si="355"/>
        <v>46350</v>
      </c>
      <c r="C5696" s="312">
        <v>4</v>
      </c>
      <c r="D5696" s="368">
        <f>IFERROR((INDEX(METADATA!$T$2:$T$20,MATCH(B5696,METADATA!$S$2:$S$20,0))),0)</f>
        <v>0</v>
      </c>
      <c r="E5696" s="312" t="str">
        <f t="shared" si="352"/>
        <v>LO</v>
      </c>
      <c r="F5696" s="369">
        <f>VLOOKUP(C5696,METADATA!$A$5:$H$29,IF(E5696="HI",2,IF(E5696="LO",6,10))+IF(D5696=1,2,IF(D5696=7,1,(IF(WEEKDAY(B5696)=1,2,IF(WEEKDAY(B5696)=7,1,0))))))</f>
        <v>3</v>
      </c>
      <c r="G5696" s="369">
        <f>VLOOKUP(C5696,METADATA!$J$5:$Q$29,IF(E5696="HI",2,IF(E5696="LO",6,10))+IF(D5696=1,2,IF(D5696=7,1,(IF(WEEKDAY(B5696)=1,2,IF(WEEKDAY(B5696)=7,1,0))))))</f>
        <v>3</v>
      </c>
      <c r="H5696" s="370">
        <v>12033.900146484375</v>
      </c>
      <c r="I5696" s="370">
        <v>3508.7350311279297</v>
      </c>
      <c r="M5696" s="371">
        <f t="shared" si="353"/>
        <v>12534.989998169962</v>
      </c>
      <c r="N5696" s="329">
        <f t="shared" si="354"/>
        <v>0</v>
      </c>
      <c r="T5696" s="331">
        <v>0</v>
      </c>
      <c r="U5696" s="328">
        <f>VLOOKUP(C5696,METADATA!$J$5:$Q$29,IF(E5696="HI",2,IF(E5696="LO",6,10))+IF(T5696=1,2,IF(D5696=7,1,(IF(WEEKDAY(B5696)=1,2,IF(WEEKDAY(B5696)=7,1,0))))))</f>
        <v>3</v>
      </c>
      <c r="V5696" s="328">
        <f>VLOOKUP(C5696,METADATA!$A$5:$H$29,IF(E5696="HI",2,IF(E5696="LO",6,10))+IF(T5696=1,2,IF(D5696=7,1,(IF(WEEKDAY(B5696)=1,2,IF(WEEKDAY(B5696)=7,1,0))))))</f>
        <v>3</v>
      </c>
    </row>
    <row r="5697" spans="2:22">
      <c r="B5697" s="318">
        <f t="shared" si="355"/>
        <v>46350</v>
      </c>
      <c r="C5697" s="312">
        <v>5</v>
      </c>
      <c r="D5697" s="368">
        <f>IFERROR((INDEX(METADATA!$T$2:$T$20,MATCH(B5697,METADATA!$S$2:$S$20,0))),0)</f>
        <v>0</v>
      </c>
      <c r="E5697" s="312" t="str">
        <f t="shared" si="352"/>
        <v>LO</v>
      </c>
      <c r="F5697" s="369">
        <f>VLOOKUP(C5697,METADATA!$A$5:$H$29,IF(E5697="HI",2,IF(E5697="LO",6,10))+IF(D5697=1,2,IF(D5697=7,1,(IF(WEEKDAY(B5697)=1,2,IF(WEEKDAY(B5697)=7,1,0))))))</f>
        <v>3</v>
      </c>
      <c r="G5697" s="369">
        <f>VLOOKUP(C5697,METADATA!$J$5:$Q$29,IF(E5697="HI",2,IF(E5697="LO",6,10))+IF(D5697=1,2,IF(D5697=7,1,(IF(WEEKDAY(B5697)=1,2,IF(WEEKDAY(B5697)=7,1,0))))))</f>
        <v>3</v>
      </c>
      <c r="H5697" s="370">
        <v>12135.475219726563</v>
      </c>
      <c r="I5697" s="370">
        <v>3834.6750183105469</v>
      </c>
      <c r="M5697" s="371">
        <f t="shared" si="353"/>
        <v>12726.919945715556</v>
      </c>
      <c r="N5697" s="329">
        <f t="shared" si="354"/>
        <v>194.03245239257831</v>
      </c>
      <c r="T5697" s="331">
        <v>0</v>
      </c>
      <c r="U5697" s="328">
        <f>VLOOKUP(C5697,METADATA!$J$5:$Q$29,IF(E5697="HI",2,IF(E5697="LO",6,10))+IF(T5697=1,2,IF(D5697=7,1,(IF(WEEKDAY(B5697)=1,2,IF(WEEKDAY(B5697)=7,1,0))))))</f>
        <v>3</v>
      </c>
      <c r="V5697" s="328">
        <f>VLOOKUP(C5697,METADATA!$A$5:$H$29,IF(E5697="HI",2,IF(E5697="LO",6,10))+IF(T5697=1,2,IF(D5697=7,1,(IF(WEEKDAY(B5697)=1,2,IF(WEEKDAY(B5697)=7,1,0))))))</f>
        <v>3</v>
      </c>
    </row>
    <row r="5698" spans="2:22">
      <c r="B5698" s="318">
        <f t="shared" si="355"/>
        <v>46350</v>
      </c>
      <c r="C5698" s="312">
        <v>6</v>
      </c>
      <c r="D5698" s="368">
        <f>IFERROR((INDEX(METADATA!$T$2:$T$20,MATCH(B5698,METADATA!$S$2:$S$20,0))),0)</f>
        <v>0</v>
      </c>
      <c r="E5698" s="312" t="str">
        <f t="shared" si="352"/>
        <v>LO</v>
      </c>
      <c r="F5698" s="369">
        <f>VLOOKUP(C5698,METADATA!$A$5:$H$29,IF(E5698="HI",2,IF(E5698="LO",6,10))+IF(D5698=1,2,IF(D5698=7,1,(IF(WEEKDAY(B5698)=1,2,IF(WEEKDAY(B5698)=7,1,0))))))</f>
        <v>2</v>
      </c>
      <c r="G5698" s="369">
        <f>VLOOKUP(C5698,METADATA!$J$5:$Q$29,IF(E5698="HI",2,IF(E5698="LO",6,10))+IF(D5698=1,2,IF(D5698=7,1,(IF(WEEKDAY(B5698)=1,2,IF(WEEKDAY(B5698)=7,1,0))))))</f>
        <v>2</v>
      </c>
      <c r="H5698" s="370">
        <v>12623.199951171875</v>
      </c>
      <c r="I5698" s="370">
        <v>4419.2850952148438</v>
      </c>
      <c r="M5698" s="371">
        <f t="shared" si="353"/>
        <v>13374.425511402487</v>
      </c>
      <c r="N5698" s="329">
        <f t="shared" si="354"/>
        <v>632.32510986328134</v>
      </c>
      <c r="T5698" s="331">
        <v>0</v>
      </c>
      <c r="U5698" s="328">
        <f>VLOOKUP(C5698,METADATA!$J$5:$Q$29,IF(E5698="HI",2,IF(E5698="LO",6,10))+IF(T5698=1,2,IF(D5698=7,1,(IF(WEEKDAY(B5698)=1,2,IF(WEEKDAY(B5698)=7,1,0))))))</f>
        <v>2</v>
      </c>
      <c r="V5698" s="328">
        <f>VLOOKUP(C5698,METADATA!$A$5:$H$29,IF(E5698="HI",2,IF(E5698="LO",6,10))+IF(T5698=1,2,IF(D5698=7,1,(IF(WEEKDAY(B5698)=1,2,IF(WEEKDAY(B5698)=7,1,0))))))</f>
        <v>2</v>
      </c>
    </row>
    <row r="5699" spans="2:22">
      <c r="B5699" s="318">
        <f t="shared" si="355"/>
        <v>46350</v>
      </c>
      <c r="C5699" s="312">
        <v>7</v>
      </c>
      <c r="D5699" s="368">
        <f>IFERROR((INDEX(METADATA!$T$2:$T$20,MATCH(B5699,METADATA!$S$2:$S$20,0))),0)</f>
        <v>0</v>
      </c>
      <c r="E5699" s="312" t="str">
        <f t="shared" si="352"/>
        <v>LO</v>
      </c>
      <c r="F5699" s="369">
        <f>VLOOKUP(C5699,METADATA!$A$5:$H$29,IF(E5699="HI",2,IF(E5699="LO",6,10))+IF(D5699=1,2,IF(D5699=7,1,(IF(WEEKDAY(B5699)=1,2,IF(WEEKDAY(B5699)=7,1,0))))))</f>
        <v>1</v>
      </c>
      <c r="G5699" s="369">
        <f>VLOOKUP(C5699,METADATA!$J$5:$Q$29,IF(E5699="HI",2,IF(E5699="LO",6,10))+IF(D5699=1,2,IF(D5699=7,1,(IF(WEEKDAY(B5699)=1,2,IF(WEEKDAY(B5699)=7,1,0))))))</f>
        <v>1</v>
      </c>
      <c r="H5699" s="370">
        <v>12807.900268554688</v>
      </c>
      <c r="I5699" s="370">
        <v>4471.9000244140625</v>
      </c>
      <c r="M5699" s="371">
        <f t="shared" si="353"/>
        <v>13566.14164446169</v>
      </c>
      <c r="N5699" s="329">
        <f t="shared" si="354"/>
        <v>629.52994384765634</v>
      </c>
      <c r="T5699" s="331">
        <v>0</v>
      </c>
      <c r="U5699" s="328">
        <f>VLOOKUP(C5699,METADATA!$J$5:$Q$29,IF(E5699="HI",2,IF(E5699="LO",6,10))+IF(T5699=1,2,IF(D5699=7,1,(IF(WEEKDAY(B5699)=1,2,IF(WEEKDAY(B5699)=7,1,0))))))</f>
        <v>1</v>
      </c>
      <c r="V5699" s="328">
        <f>VLOOKUP(C5699,METADATA!$A$5:$H$29,IF(E5699="HI",2,IF(E5699="LO",6,10))+IF(T5699=1,2,IF(D5699=7,1,(IF(WEEKDAY(B5699)=1,2,IF(WEEKDAY(B5699)=7,1,0))))))</f>
        <v>1</v>
      </c>
    </row>
    <row r="5700" spans="2:22">
      <c r="B5700" s="318">
        <f t="shared" si="355"/>
        <v>46350</v>
      </c>
      <c r="C5700" s="312">
        <v>8</v>
      </c>
      <c r="D5700" s="368">
        <f>IFERROR((INDEX(METADATA!$T$2:$T$20,MATCH(B5700,METADATA!$S$2:$S$20,0))),0)</f>
        <v>0</v>
      </c>
      <c r="E5700" s="312" t="str">
        <f t="shared" ref="E5700:E5763" si="356">IF(B5700="","",IF(AND(MONTH(B5700)&gt;=MONTH($Z$9),MONTH(B5700)&lt;=MONTH($Z$11)),"HI","LO"))</f>
        <v>LO</v>
      </c>
      <c r="F5700" s="369">
        <f>VLOOKUP(C5700,METADATA!$A$5:$H$29,IF(E5700="HI",2,IF(E5700="LO",6,10))+IF(D5700=1,2,IF(D5700=7,1,(IF(WEEKDAY(B5700)=1,2,IF(WEEKDAY(B5700)=7,1,0))))))</f>
        <v>1</v>
      </c>
      <c r="G5700" s="369">
        <f>VLOOKUP(C5700,METADATA!$J$5:$Q$29,IF(E5700="HI",2,IF(E5700="LO",6,10))+IF(D5700=1,2,IF(D5700=7,1,(IF(WEEKDAY(B5700)=1,2,IF(WEEKDAY(B5700)=7,1,0))))))</f>
        <v>1</v>
      </c>
      <c r="H5700" s="370">
        <v>12984.150024414063</v>
      </c>
      <c r="I5700" s="370">
        <v>4671.3499145507813</v>
      </c>
      <c r="M5700" s="371">
        <f t="shared" ref="M5700:M5763" si="357">SQRT(H5700^2+I5700^2)</f>
        <v>13798.90074899683</v>
      </c>
      <c r="N5700" s="329">
        <f t="shared" ref="N5700:N5763" si="358">IF(H5700=0,0,(IF(I5700-(0.3*H5700)&lt;0,0,(I5700-(0.3*H5700)))))</f>
        <v>776.10490722656277</v>
      </c>
      <c r="T5700" s="331">
        <v>0</v>
      </c>
      <c r="U5700" s="328">
        <f>VLOOKUP(C5700,METADATA!$J$5:$Q$29,IF(E5700="HI",2,IF(E5700="LO",6,10))+IF(T5700=1,2,IF(D5700=7,1,(IF(WEEKDAY(B5700)=1,2,IF(WEEKDAY(B5700)=7,1,0))))))</f>
        <v>1</v>
      </c>
      <c r="V5700" s="328">
        <f>VLOOKUP(C5700,METADATA!$A$5:$H$29,IF(E5700="HI",2,IF(E5700="LO",6,10))+IF(T5700=1,2,IF(D5700=7,1,(IF(WEEKDAY(B5700)=1,2,IF(WEEKDAY(B5700)=7,1,0))))))</f>
        <v>1</v>
      </c>
    </row>
    <row r="5701" spans="2:22">
      <c r="B5701" s="318">
        <f t="shared" si="355"/>
        <v>46350</v>
      </c>
      <c r="C5701" s="312">
        <v>9</v>
      </c>
      <c r="D5701" s="368">
        <f>IFERROR((INDEX(METADATA!$T$2:$T$20,MATCH(B5701,METADATA!$S$2:$S$20,0))),0)</f>
        <v>0</v>
      </c>
      <c r="E5701" s="312" t="str">
        <f t="shared" si="356"/>
        <v>LO</v>
      </c>
      <c r="F5701" s="369">
        <f>VLOOKUP(C5701,METADATA!$A$5:$H$29,IF(E5701="HI",2,IF(E5701="LO",6,10))+IF(D5701=1,2,IF(D5701=7,1,(IF(WEEKDAY(B5701)=1,2,IF(WEEKDAY(B5701)=7,1,0))))))</f>
        <v>2</v>
      </c>
      <c r="G5701" s="369">
        <f>VLOOKUP(C5701,METADATA!$J$5:$Q$29,IF(E5701="HI",2,IF(E5701="LO",6,10))+IF(D5701=1,2,IF(D5701=7,1,(IF(WEEKDAY(B5701)=1,2,IF(WEEKDAY(B5701)=7,1,0))))))</f>
        <v>2</v>
      </c>
      <c r="H5701" s="370">
        <v>13298.550415039063</v>
      </c>
      <c r="I5701" s="370">
        <v>4715.3800964355469</v>
      </c>
      <c r="M5701" s="371">
        <f t="shared" si="357"/>
        <v>14109.792790654161</v>
      </c>
      <c r="N5701" s="329">
        <f t="shared" si="358"/>
        <v>725.81497192382813</v>
      </c>
      <c r="T5701" s="331">
        <v>0</v>
      </c>
      <c r="U5701" s="328">
        <f>VLOOKUP(C5701,METADATA!$J$5:$Q$29,IF(E5701="HI",2,IF(E5701="LO",6,10))+IF(T5701=1,2,IF(D5701=7,1,(IF(WEEKDAY(B5701)=1,2,IF(WEEKDAY(B5701)=7,1,0))))))</f>
        <v>2</v>
      </c>
      <c r="V5701" s="328">
        <f>VLOOKUP(C5701,METADATA!$A$5:$H$29,IF(E5701="HI",2,IF(E5701="LO",6,10))+IF(T5701=1,2,IF(D5701=7,1,(IF(WEEKDAY(B5701)=1,2,IF(WEEKDAY(B5701)=7,1,0))))))</f>
        <v>2</v>
      </c>
    </row>
    <row r="5702" spans="2:22">
      <c r="B5702" s="318">
        <f t="shared" si="355"/>
        <v>46350</v>
      </c>
      <c r="C5702" s="312">
        <v>10</v>
      </c>
      <c r="D5702" s="368">
        <f>IFERROR((INDEX(METADATA!$T$2:$T$20,MATCH(B5702,METADATA!$S$2:$S$20,0))),0)</f>
        <v>0</v>
      </c>
      <c r="E5702" s="312" t="str">
        <f t="shared" si="356"/>
        <v>LO</v>
      </c>
      <c r="F5702" s="369">
        <f>VLOOKUP(C5702,METADATA!$A$5:$H$29,IF(E5702="HI",2,IF(E5702="LO",6,10))+IF(D5702=1,2,IF(D5702=7,1,(IF(WEEKDAY(B5702)=1,2,IF(WEEKDAY(B5702)=7,1,0))))))</f>
        <v>2</v>
      </c>
      <c r="G5702" s="369">
        <f>VLOOKUP(C5702,METADATA!$J$5:$Q$29,IF(E5702="HI",2,IF(E5702="LO",6,10))+IF(D5702=1,2,IF(D5702=7,1,(IF(WEEKDAY(B5702)=1,2,IF(WEEKDAY(B5702)=7,1,0))))))</f>
        <v>2</v>
      </c>
      <c r="H5702" s="370">
        <v>13243.400146484375</v>
      </c>
      <c r="I5702" s="370">
        <v>4802.14990234375</v>
      </c>
      <c r="M5702" s="371">
        <f t="shared" si="357"/>
        <v>14087.167604755843</v>
      </c>
      <c r="N5702" s="329">
        <f t="shared" si="358"/>
        <v>829.12985839843759</v>
      </c>
      <c r="T5702" s="331">
        <v>0</v>
      </c>
      <c r="U5702" s="328">
        <f>VLOOKUP(C5702,METADATA!$J$5:$Q$29,IF(E5702="HI",2,IF(E5702="LO",6,10))+IF(T5702=1,2,IF(D5702=7,1,(IF(WEEKDAY(B5702)=1,2,IF(WEEKDAY(B5702)=7,1,0))))))</f>
        <v>2</v>
      </c>
      <c r="V5702" s="328">
        <f>VLOOKUP(C5702,METADATA!$A$5:$H$29,IF(E5702="HI",2,IF(E5702="LO",6,10))+IF(T5702=1,2,IF(D5702=7,1,(IF(WEEKDAY(B5702)=1,2,IF(WEEKDAY(B5702)=7,1,0))))))</f>
        <v>2</v>
      </c>
    </row>
    <row r="5703" spans="2:22">
      <c r="B5703" s="318">
        <f t="shared" si="355"/>
        <v>46350</v>
      </c>
      <c r="C5703" s="312">
        <v>11</v>
      </c>
      <c r="D5703" s="368">
        <f>IFERROR((INDEX(METADATA!$T$2:$T$20,MATCH(B5703,METADATA!$S$2:$S$20,0))),0)</f>
        <v>0</v>
      </c>
      <c r="E5703" s="312" t="str">
        <f t="shared" si="356"/>
        <v>LO</v>
      </c>
      <c r="F5703" s="369">
        <f>VLOOKUP(C5703,METADATA!$A$5:$H$29,IF(E5703="HI",2,IF(E5703="LO",6,10))+IF(D5703=1,2,IF(D5703=7,1,(IF(WEEKDAY(B5703)=1,2,IF(WEEKDAY(B5703)=7,1,0))))))</f>
        <v>2</v>
      </c>
      <c r="G5703" s="369">
        <f>VLOOKUP(C5703,METADATA!$J$5:$Q$29,IF(E5703="HI",2,IF(E5703="LO",6,10))+IF(D5703=1,2,IF(D5703=7,1,(IF(WEEKDAY(B5703)=1,2,IF(WEEKDAY(B5703)=7,1,0))))))</f>
        <v>2</v>
      </c>
      <c r="H5703" s="370">
        <v>13507.425170898438</v>
      </c>
      <c r="I5703" s="370">
        <v>4951.2249755859375</v>
      </c>
      <c r="M5703" s="371">
        <f t="shared" si="357"/>
        <v>14386.283867152302</v>
      </c>
      <c r="N5703" s="329">
        <f t="shared" si="358"/>
        <v>898.99742431640652</v>
      </c>
      <c r="T5703" s="331">
        <v>0</v>
      </c>
      <c r="U5703" s="328">
        <f>VLOOKUP(C5703,METADATA!$J$5:$Q$29,IF(E5703="HI",2,IF(E5703="LO",6,10))+IF(T5703=1,2,IF(D5703=7,1,(IF(WEEKDAY(B5703)=1,2,IF(WEEKDAY(B5703)=7,1,0))))))</f>
        <v>2</v>
      </c>
      <c r="V5703" s="328">
        <f>VLOOKUP(C5703,METADATA!$A$5:$H$29,IF(E5703="HI",2,IF(E5703="LO",6,10))+IF(T5703=1,2,IF(D5703=7,1,(IF(WEEKDAY(B5703)=1,2,IF(WEEKDAY(B5703)=7,1,0))))))</f>
        <v>2</v>
      </c>
    </row>
    <row r="5704" spans="2:22">
      <c r="B5704" s="318">
        <f t="shared" si="355"/>
        <v>46350</v>
      </c>
      <c r="C5704" s="312">
        <v>12</v>
      </c>
      <c r="D5704" s="368">
        <f>IFERROR((INDEX(METADATA!$T$2:$T$20,MATCH(B5704,METADATA!$S$2:$S$20,0))),0)</f>
        <v>0</v>
      </c>
      <c r="E5704" s="312" t="str">
        <f t="shared" si="356"/>
        <v>LO</v>
      </c>
      <c r="F5704" s="369">
        <f>VLOOKUP(C5704,METADATA!$A$5:$H$29,IF(E5704="HI",2,IF(E5704="LO",6,10))+IF(D5704=1,2,IF(D5704=7,1,(IF(WEEKDAY(B5704)=1,2,IF(WEEKDAY(B5704)=7,1,0))))))</f>
        <v>2</v>
      </c>
      <c r="G5704" s="369">
        <f>VLOOKUP(C5704,METADATA!$J$5:$Q$29,IF(E5704="HI",2,IF(E5704="LO",6,10))+IF(D5704=1,2,IF(D5704=7,1,(IF(WEEKDAY(B5704)=1,2,IF(WEEKDAY(B5704)=7,1,0))))))</f>
        <v>2</v>
      </c>
      <c r="H5704" s="370">
        <v>13259.64990234375</v>
      </c>
      <c r="I5704" s="370">
        <v>4976.8749389648438</v>
      </c>
      <c r="M5704" s="371">
        <f t="shared" si="357"/>
        <v>14162.895173333061</v>
      </c>
      <c r="N5704" s="329">
        <f t="shared" si="358"/>
        <v>998.97996826171902</v>
      </c>
      <c r="T5704" s="331">
        <v>0</v>
      </c>
      <c r="U5704" s="328">
        <f>VLOOKUP(C5704,METADATA!$J$5:$Q$29,IF(E5704="HI",2,IF(E5704="LO",6,10))+IF(T5704=1,2,IF(D5704=7,1,(IF(WEEKDAY(B5704)=1,2,IF(WEEKDAY(B5704)=7,1,0))))))</f>
        <v>2</v>
      </c>
      <c r="V5704" s="328">
        <f>VLOOKUP(C5704,METADATA!$A$5:$H$29,IF(E5704="HI",2,IF(E5704="LO",6,10))+IF(T5704=1,2,IF(D5704=7,1,(IF(WEEKDAY(B5704)=1,2,IF(WEEKDAY(B5704)=7,1,0))))))</f>
        <v>2</v>
      </c>
    </row>
    <row r="5705" spans="2:22">
      <c r="B5705" s="318">
        <f t="shared" si="355"/>
        <v>46350</v>
      </c>
      <c r="C5705" s="312">
        <v>13</v>
      </c>
      <c r="D5705" s="368">
        <f>IFERROR((INDEX(METADATA!$T$2:$T$20,MATCH(B5705,METADATA!$S$2:$S$20,0))),0)</f>
        <v>0</v>
      </c>
      <c r="E5705" s="312" t="str">
        <f t="shared" si="356"/>
        <v>LO</v>
      </c>
      <c r="F5705" s="369">
        <f>VLOOKUP(C5705,METADATA!$A$5:$H$29,IF(E5705="HI",2,IF(E5705="LO",6,10))+IF(D5705=1,2,IF(D5705=7,1,(IF(WEEKDAY(B5705)=1,2,IF(WEEKDAY(B5705)=7,1,0))))))</f>
        <v>2</v>
      </c>
      <c r="G5705" s="369">
        <f>VLOOKUP(C5705,METADATA!$J$5:$Q$29,IF(E5705="HI",2,IF(E5705="LO",6,10))+IF(D5705=1,2,IF(D5705=7,1,(IF(WEEKDAY(B5705)=1,2,IF(WEEKDAY(B5705)=7,1,0))))))</f>
        <v>2</v>
      </c>
      <c r="H5705" s="370">
        <v>13124.524963378906</v>
      </c>
      <c r="I5705" s="370">
        <v>4867.6250610351563</v>
      </c>
      <c r="M5705" s="371">
        <f t="shared" si="357"/>
        <v>13998.10448772167</v>
      </c>
      <c r="N5705" s="329">
        <f t="shared" si="358"/>
        <v>930.26757202148474</v>
      </c>
      <c r="T5705" s="331">
        <v>0</v>
      </c>
      <c r="U5705" s="328">
        <f>VLOOKUP(C5705,METADATA!$J$5:$Q$29,IF(E5705="HI",2,IF(E5705="LO",6,10))+IF(T5705=1,2,IF(D5705=7,1,(IF(WEEKDAY(B5705)=1,2,IF(WEEKDAY(B5705)=7,1,0))))))</f>
        <v>2</v>
      </c>
      <c r="V5705" s="328">
        <f>VLOOKUP(C5705,METADATA!$A$5:$H$29,IF(E5705="HI",2,IF(E5705="LO",6,10))+IF(T5705=1,2,IF(D5705=7,1,(IF(WEEKDAY(B5705)=1,2,IF(WEEKDAY(B5705)=7,1,0))))))</f>
        <v>2</v>
      </c>
    </row>
    <row r="5706" spans="2:22">
      <c r="B5706" s="318">
        <f t="shared" si="355"/>
        <v>46350</v>
      </c>
      <c r="C5706" s="312">
        <v>14</v>
      </c>
      <c r="D5706" s="368">
        <f>IFERROR((INDEX(METADATA!$T$2:$T$20,MATCH(B5706,METADATA!$S$2:$S$20,0))),0)</f>
        <v>0</v>
      </c>
      <c r="E5706" s="312" t="str">
        <f t="shared" si="356"/>
        <v>LO</v>
      </c>
      <c r="F5706" s="369">
        <f>VLOOKUP(C5706,METADATA!$A$5:$H$29,IF(E5706="HI",2,IF(E5706="LO",6,10))+IF(D5706=1,2,IF(D5706=7,1,(IF(WEEKDAY(B5706)=1,2,IF(WEEKDAY(B5706)=7,1,0))))))</f>
        <v>2</v>
      </c>
      <c r="G5706" s="369">
        <f>VLOOKUP(C5706,METADATA!$J$5:$Q$29,IF(E5706="HI",2,IF(E5706="LO",6,10))+IF(D5706=1,2,IF(D5706=7,1,(IF(WEEKDAY(B5706)=1,2,IF(WEEKDAY(B5706)=7,1,0))))))</f>
        <v>2</v>
      </c>
      <c r="H5706" s="370">
        <v>12956.750122070313</v>
      </c>
      <c r="I5706" s="370">
        <v>4735.9000244140625</v>
      </c>
      <c r="M5706" s="371">
        <f t="shared" si="357"/>
        <v>13795.148522832733</v>
      </c>
      <c r="N5706" s="329">
        <f t="shared" si="358"/>
        <v>848.87498779296902</v>
      </c>
      <c r="T5706" s="331">
        <v>0</v>
      </c>
      <c r="U5706" s="328">
        <f>VLOOKUP(C5706,METADATA!$J$5:$Q$29,IF(E5706="HI",2,IF(E5706="LO",6,10))+IF(T5706=1,2,IF(D5706=7,1,(IF(WEEKDAY(B5706)=1,2,IF(WEEKDAY(B5706)=7,1,0))))))</f>
        <v>2</v>
      </c>
      <c r="V5706" s="328">
        <f>VLOOKUP(C5706,METADATA!$A$5:$H$29,IF(E5706="HI",2,IF(E5706="LO",6,10))+IF(T5706=1,2,IF(D5706=7,1,(IF(WEEKDAY(B5706)=1,2,IF(WEEKDAY(B5706)=7,1,0))))))</f>
        <v>2</v>
      </c>
    </row>
    <row r="5707" spans="2:22">
      <c r="B5707" s="318">
        <f t="shared" si="355"/>
        <v>46350</v>
      </c>
      <c r="C5707" s="312">
        <v>15</v>
      </c>
      <c r="D5707" s="368">
        <f>IFERROR((INDEX(METADATA!$T$2:$T$20,MATCH(B5707,METADATA!$S$2:$S$20,0))),0)</f>
        <v>0</v>
      </c>
      <c r="E5707" s="312" t="str">
        <f t="shared" si="356"/>
        <v>LO</v>
      </c>
      <c r="F5707" s="369">
        <f>VLOOKUP(C5707,METADATA!$A$5:$H$29,IF(E5707="HI",2,IF(E5707="LO",6,10))+IF(D5707=1,2,IF(D5707=7,1,(IF(WEEKDAY(B5707)=1,2,IF(WEEKDAY(B5707)=7,1,0))))))</f>
        <v>2</v>
      </c>
      <c r="G5707" s="369">
        <f>VLOOKUP(C5707,METADATA!$J$5:$Q$29,IF(E5707="HI",2,IF(E5707="LO",6,10))+IF(D5707=1,2,IF(D5707=7,1,(IF(WEEKDAY(B5707)=1,2,IF(WEEKDAY(B5707)=7,1,0))))))</f>
        <v>2</v>
      </c>
      <c r="H5707" s="370">
        <v>13033.474914550781</v>
      </c>
      <c r="I5707" s="370">
        <v>4686.6998291015625</v>
      </c>
      <c r="M5707" s="371">
        <f t="shared" si="357"/>
        <v>13850.509869182619</v>
      </c>
      <c r="N5707" s="329">
        <f t="shared" si="358"/>
        <v>776.65735473632822</v>
      </c>
      <c r="T5707" s="331">
        <v>0</v>
      </c>
      <c r="U5707" s="328">
        <f>VLOOKUP(C5707,METADATA!$J$5:$Q$29,IF(E5707="HI",2,IF(E5707="LO",6,10))+IF(T5707=1,2,IF(D5707=7,1,(IF(WEEKDAY(B5707)=1,2,IF(WEEKDAY(B5707)=7,1,0))))))</f>
        <v>2</v>
      </c>
      <c r="V5707" s="328">
        <f>VLOOKUP(C5707,METADATA!$A$5:$H$29,IF(E5707="HI",2,IF(E5707="LO",6,10))+IF(T5707=1,2,IF(D5707=7,1,(IF(WEEKDAY(B5707)=1,2,IF(WEEKDAY(B5707)=7,1,0))))))</f>
        <v>2</v>
      </c>
    </row>
    <row r="5708" spans="2:22">
      <c r="B5708" s="318">
        <f t="shared" si="355"/>
        <v>46350</v>
      </c>
      <c r="C5708" s="312">
        <v>16</v>
      </c>
      <c r="D5708" s="368">
        <f>IFERROR((INDEX(METADATA!$T$2:$T$20,MATCH(B5708,METADATA!$S$2:$S$20,0))),0)</f>
        <v>0</v>
      </c>
      <c r="E5708" s="312" t="str">
        <f t="shared" si="356"/>
        <v>LO</v>
      </c>
      <c r="F5708" s="369">
        <f>VLOOKUP(C5708,METADATA!$A$5:$H$29,IF(E5708="HI",2,IF(E5708="LO",6,10))+IF(D5708=1,2,IF(D5708=7,1,(IF(WEEKDAY(B5708)=1,2,IF(WEEKDAY(B5708)=7,1,0))))))</f>
        <v>2</v>
      </c>
      <c r="G5708" s="369">
        <f>VLOOKUP(C5708,METADATA!$J$5:$Q$29,IF(E5708="HI",2,IF(E5708="LO",6,10))+IF(D5708=1,2,IF(D5708=7,1,(IF(WEEKDAY(B5708)=1,2,IF(WEEKDAY(B5708)=7,1,0))))))</f>
        <v>2</v>
      </c>
      <c r="H5708" s="370">
        <v>12668.799987792969</v>
      </c>
      <c r="I5708" s="370">
        <v>4475.2250366210938</v>
      </c>
      <c r="M5708" s="371">
        <f t="shared" si="357"/>
        <v>13436.001349326494</v>
      </c>
      <c r="N5708" s="329">
        <f t="shared" si="358"/>
        <v>674.5850402832034</v>
      </c>
      <c r="T5708" s="331">
        <v>0</v>
      </c>
      <c r="U5708" s="328">
        <f>VLOOKUP(C5708,METADATA!$J$5:$Q$29,IF(E5708="HI",2,IF(E5708="LO",6,10))+IF(T5708=1,2,IF(D5708=7,1,(IF(WEEKDAY(B5708)=1,2,IF(WEEKDAY(B5708)=7,1,0))))))</f>
        <v>2</v>
      </c>
      <c r="V5708" s="328">
        <f>VLOOKUP(C5708,METADATA!$A$5:$H$29,IF(E5708="HI",2,IF(E5708="LO",6,10))+IF(T5708=1,2,IF(D5708=7,1,(IF(WEEKDAY(B5708)=1,2,IF(WEEKDAY(B5708)=7,1,0))))))</f>
        <v>2</v>
      </c>
    </row>
    <row r="5709" spans="2:22">
      <c r="B5709" s="318">
        <f t="shared" si="355"/>
        <v>46350</v>
      </c>
      <c r="C5709" s="312">
        <v>17</v>
      </c>
      <c r="D5709" s="368">
        <f>IFERROR((INDEX(METADATA!$T$2:$T$20,MATCH(B5709,METADATA!$S$2:$S$20,0))),0)</f>
        <v>0</v>
      </c>
      <c r="E5709" s="312" t="str">
        <f t="shared" si="356"/>
        <v>LO</v>
      </c>
      <c r="F5709" s="369">
        <f>VLOOKUP(C5709,METADATA!$A$5:$H$29,IF(E5709="HI",2,IF(E5709="LO",6,10))+IF(D5709=1,2,IF(D5709=7,1,(IF(WEEKDAY(B5709)=1,2,IF(WEEKDAY(B5709)=7,1,0))))))</f>
        <v>2</v>
      </c>
      <c r="G5709" s="369">
        <f>VLOOKUP(C5709,METADATA!$J$5:$Q$29,IF(E5709="HI",2,IF(E5709="LO",6,10))+IF(D5709=1,2,IF(D5709=7,1,(IF(WEEKDAY(B5709)=1,2,IF(WEEKDAY(B5709)=7,1,0))))))</f>
        <v>2</v>
      </c>
      <c r="H5709" s="370">
        <v>13037.22509765625</v>
      </c>
      <c r="I5709" s="370">
        <v>4814.625</v>
      </c>
      <c r="M5709" s="371">
        <f t="shared" si="357"/>
        <v>13897.836239414502</v>
      </c>
      <c r="N5709" s="329">
        <f t="shared" si="358"/>
        <v>903.45747070312518</v>
      </c>
      <c r="T5709" s="331">
        <v>0</v>
      </c>
      <c r="U5709" s="328">
        <f>VLOOKUP(C5709,METADATA!$J$5:$Q$29,IF(E5709="HI",2,IF(E5709="LO",6,10))+IF(T5709=1,2,IF(D5709=7,1,(IF(WEEKDAY(B5709)=1,2,IF(WEEKDAY(B5709)=7,1,0))))))</f>
        <v>2</v>
      </c>
      <c r="V5709" s="328">
        <f>VLOOKUP(C5709,METADATA!$A$5:$H$29,IF(E5709="HI",2,IF(E5709="LO",6,10))+IF(T5709=1,2,IF(D5709=7,1,(IF(WEEKDAY(B5709)=1,2,IF(WEEKDAY(B5709)=7,1,0))))))</f>
        <v>2</v>
      </c>
    </row>
    <row r="5710" spans="2:22">
      <c r="B5710" s="318">
        <f t="shared" si="355"/>
        <v>46350</v>
      </c>
      <c r="C5710" s="312">
        <v>18</v>
      </c>
      <c r="D5710" s="368">
        <f>IFERROR((INDEX(METADATA!$T$2:$T$20,MATCH(B5710,METADATA!$S$2:$S$20,0))),0)</f>
        <v>0</v>
      </c>
      <c r="E5710" s="312" t="str">
        <f t="shared" si="356"/>
        <v>LO</v>
      </c>
      <c r="F5710" s="369">
        <f>VLOOKUP(C5710,METADATA!$A$5:$H$29,IF(E5710="HI",2,IF(E5710="LO",6,10))+IF(D5710=1,2,IF(D5710=7,1,(IF(WEEKDAY(B5710)=1,2,IF(WEEKDAY(B5710)=7,1,0))))))</f>
        <v>1</v>
      </c>
      <c r="G5710" s="369">
        <f>VLOOKUP(C5710,METADATA!$J$5:$Q$29,IF(E5710="HI",2,IF(E5710="LO",6,10))+IF(D5710=1,2,IF(D5710=7,1,(IF(WEEKDAY(B5710)=1,2,IF(WEEKDAY(B5710)=7,1,0))))))</f>
        <v>1</v>
      </c>
      <c r="H5710" s="370">
        <v>13134.600158691406</v>
      </c>
      <c r="I5710" s="370">
        <v>4929.5748901367188</v>
      </c>
      <c r="M5710" s="371">
        <f t="shared" si="357"/>
        <v>14029.199190479931</v>
      </c>
      <c r="N5710" s="329">
        <f t="shared" si="358"/>
        <v>989.19484252929715</v>
      </c>
      <c r="T5710" s="331">
        <v>0</v>
      </c>
      <c r="U5710" s="328">
        <f>VLOOKUP(C5710,METADATA!$J$5:$Q$29,IF(E5710="HI",2,IF(E5710="LO",6,10))+IF(T5710=1,2,IF(D5710=7,1,(IF(WEEKDAY(B5710)=1,2,IF(WEEKDAY(B5710)=7,1,0))))))</f>
        <v>1</v>
      </c>
      <c r="V5710" s="328">
        <f>VLOOKUP(C5710,METADATA!$A$5:$H$29,IF(E5710="HI",2,IF(E5710="LO",6,10))+IF(T5710=1,2,IF(D5710=7,1,(IF(WEEKDAY(B5710)=1,2,IF(WEEKDAY(B5710)=7,1,0))))))</f>
        <v>1</v>
      </c>
    </row>
    <row r="5711" spans="2:22">
      <c r="B5711" s="318">
        <f t="shared" si="355"/>
        <v>46350</v>
      </c>
      <c r="C5711" s="312">
        <v>19</v>
      </c>
      <c r="D5711" s="368">
        <f>IFERROR((INDEX(METADATA!$T$2:$T$20,MATCH(B5711,METADATA!$S$2:$S$20,0))),0)</f>
        <v>0</v>
      </c>
      <c r="E5711" s="312" t="str">
        <f t="shared" si="356"/>
        <v>LO</v>
      </c>
      <c r="F5711" s="369">
        <f>VLOOKUP(C5711,METADATA!$A$5:$H$29,IF(E5711="HI",2,IF(E5711="LO",6,10))+IF(D5711=1,2,IF(D5711=7,1,(IF(WEEKDAY(B5711)=1,2,IF(WEEKDAY(B5711)=7,1,0))))))</f>
        <v>1</v>
      </c>
      <c r="G5711" s="369">
        <f>VLOOKUP(C5711,METADATA!$J$5:$Q$29,IF(E5711="HI",2,IF(E5711="LO",6,10))+IF(D5711=1,2,IF(D5711=7,1,(IF(WEEKDAY(B5711)=1,2,IF(WEEKDAY(B5711)=7,1,0))))))</f>
        <v>1</v>
      </c>
      <c r="H5711" s="370">
        <v>13064.300048828125</v>
      </c>
      <c r="I5711" s="370">
        <v>4803.6100158691406</v>
      </c>
      <c r="M5711" s="371">
        <f t="shared" si="357"/>
        <v>13919.432637516835</v>
      </c>
      <c r="N5711" s="329">
        <f t="shared" si="358"/>
        <v>884.32000122070349</v>
      </c>
      <c r="T5711" s="331">
        <v>0</v>
      </c>
      <c r="U5711" s="328">
        <f>VLOOKUP(C5711,METADATA!$J$5:$Q$29,IF(E5711="HI",2,IF(E5711="LO",6,10))+IF(T5711=1,2,IF(D5711=7,1,(IF(WEEKDAY(B5711)=1,2,IF(WEEKDAY(B5711)=7,1,0))))))</f>
        <v>1</v>
      </c>
      <c r="V5711" s="328">
        <f>VLOOKUP(C5711,METADATA!$A$5:$H$29,IF(E5711="HI",2,IF(E5711="LO",6,10))+IF(T5711=1,2,IF(D5711=7,1,(IF(WEEKDAY(B5711)=1,2,IF(WEEKDAY(B5711)=7,1,0))))))</f>
        <v>1</v>
      </c>
    </row>
    <row r="5712" spans="2:22">
      <c r="B5712" s="318">
        <f t="shared" si="355"/>
        <v>46350</v>
      </c>
      <c r="C5712" s="312">
        <v>20</v>
      </c>
      <c r="D5712" s="368">
        <f>IFERROR((INDEX(METADATA!$T$2:$T$20,MATCH(B5712,METADATA!$S$2:$S$20,0))),0)</f>
        <v>0</v>
      </c>
      <c r="E5712" s="312" t="str">
        <f t="shared" si="356"/>
        <v>LO</v>
      </c>
      <c r="F5712" s="369">
        <f>VLOOKUP(C5712,METADATA!$A$5:$H$29,IF(E5712="HI",2,IF(E5712="LO",6,10))+IF(D5712=1,2,IF(D5712=7,1,(IF(WEEKDAY(B5712)=1,2,IF(WEEKDAY(B5712)=7,1,0))))))</f>
        <v>1</v>
      </c>
      <c r="G5712" s="369">
        <f>VLOOKUP(C5712,METADATA!$J$5:$Q$29,IF(E5712="HI",2,IF(E5712="LO",6,10))+IF(D5712=1,2,IF(D5712=7,1,(IF(WEEKDAY(B5712)=1,2,IF(WEEKDAY(B5712)=7,1,0))))))</f>
        <v>1</v>
      </c>
      <c r="H5712" s="370">
        <v>12335.699829101563</v>
      </c>
      <c r="I5712" s="370">
        <v>4554.77490234375</v>
      </c>
      <c r="M5712" s="371">
        <f t="shared" si="357"/>
        <v>13149.732494796874</v>
      </c>
      <c r="N5712" s="329">
        <f t="shared" si="358"/>
        <v>854.06495361328143</v>
      </c>
      <c r="T5712" s="331">
        <v>0</v>
      </c>
      <c r="U5712" s="328">
        <f>VLOOKUP(C5712,METADATA!$J$5:$Q$29,IF(E5712="HI",2,IF(E5712="LO",6,10))+IF(T5712=1,2,IF(D5712=7,1,(IF(WEEKDAY(B5712)=1,2,IF(WEEKDAY(B5712)=7,1,0))))))</f>
        <v>1</v>
      </c>
      <c r="V5712" s="328">
        <f>VLOOKUP(C5712,METADATA!$A$5:$H$29,IF(E5712="HI",2,IF(E5712="LO",6,10))+IF(T5712=1,2,IF(D5712=7,1,(IF(WEEKDAY(B5712)=1,2,IF(WEEKDAY(B5712)=7,1,0))))))</f>
        <v>1</v>
      </c>
    </row>
    <row r="5713" spans="2:22">
      <c r="B5713" s="318">
        <f t="shared" si="355"/>
        <v>46350</v>
      </c>
      <c r="C5713" s="312">
        <v>21</v>
      </c>
      <c r="D5713" s="368">
        <f>IFERROR((INDEX(METADATA!$T$2:$T$20,MATCH(B5713,METADATA!$S$2:$S$20,0))),0)</f>
        <v>0</v>
      </c>
      <c r="E5713" s="312" t="str">
        <f t="shared" si="356"/>
        <v>LO</v>
      </c>
      <c r="F5713" s="369">
        <f>VLOOKUP(C5713,METADATA!$A$5:$H$29,IF(E5713="HI",2,IF(E5713="LO",6,10))+IF(D5713=1,2,IF(D5713=7,1,(IF(WEEKDAY(B5713)=1,2,IF(WEEKDAY(B5713)=7,1,0))))))</f>
        <v>2</v>
      </c>
      <c r="G5713" s="369">
        <f>VLOOKUP(C5713,METADATA!$J$5:$Q$29,IF(E5713="HI",2,IF(E5713="LO",6,10))+IF(D5713=1,2,IF(D5713=7,1,(IF(WEEKDAY(B5713)=1,2,IF(WEEKDAY(B5713)=7,1,0))))))</f>
        <v>2</v>
      </c>
      <c r="H5713" s="370">
        <v>13365.924926757813</v>
      </c>
      <c r="I5713" s="370">
        <v>5118.8499755859375</v>
      </c>
      <c r="M5713" s="371">
        <f t="shared" si="357"/>
        <v>14312.601937463431</v>
      </c>
      <c r="N5713" s="329">
        <f t="shared" si="358"/>
        <v>1109.072497558594</v>
      </c>
      <c r="T5713" s="331">
        <v>0</v>
      </c>
      <c r="U5713" s="328">
        <f>VLOOKUP(C5713,METADATA!$J$5:$Q$29,IF(E5713="HI",2,IF(E5713="LO",6,10))+IF(T5713=1,2,IF(D5713=7,1,(IF(WEEKDAY(B5713)=1,2,IF(WEEKDAY(B5713)=7,1,0))))))</f>
        <v>2</v>
      </c>
      <c r="V5713" s="328">
        <f>VLOOKUP(C5713,METADATA!$A$5:$H$29,IF(E5713="HI",2,IF(E5713="LO",6,10))+IF(T5713=1,2,IF(D5713=7,1,(IF(WEEKDAY(B5713)=1,2,IF(WEEKDAY(B5713)=7,1,0))))))</f>
        <v>2</v>
      </c>
    </row>
    <row r="5714" spans="2:22">
      <c r="B5714" s="318">
        <f t="shared" si="355"/>
        <v>46350</v>
      </c>
      <c r="C5714" s="312">
        <v>22</v>
      </c>
      <c r="D5714" s="368">
        <f>IFERROR((INDEX(METADATA!$T$2:$T$20,MATCH(B5714,METADATA!$S$2:$S$20,0))),0)</f>
        <v>0</v>
      </c>
      <c r="E5714" s="312" t="str">
        <f t="shared" si="356"/>
        <v>LO</v>
      </c>
      <c r="F5714" s="369">
        <f>VLOOKUP(C5714,METADATA!$A$5:$H$29,IF(E5714="HI",2,IF(E5714="LO",6,10))+IF(D5714=1,2,IF(D5714=7,1,(IF(WEEKDAY(B5714)=1,2,IF(WEEKDAY(B5714)=7,1,0))))))</f>
        <v>3</v>
      </c>
      <c r="G5714" s="369">
        <f>VLOOKUP(C5714,METADATA!$J$5:$Q$29,IF(E5714="HI",2,IF(E5714="LO",6,10))+IF(D5714=1,2,IF(D5714=7,1,(IF(WEEKDAY(B5714)=1,2,IF(WEEKDAY(B5714)=7,1,0))))))</f>
        <v>3</v>
      </c>
      <c r="H5714" s="370">
        <v>13643.924987792969</v>
      </c>
      <c r="I5714" s="370">
        <v>5186.4249877929688</v>
      </c>
      <c r="M5714" s="371">
        <f t="shared" si="357"/>
        <v>14596.427413121495</v>
      </c>
      <c r="N5714" s="329">
        <f t="shared" si="358"/>
        <v>1093.2474914550785</v>
      </c>
      <c r="T5714" s="331">
        <v>0</v>
      </c>
      <c r="U5714" s="328">
        <f>VLOOKUP(C5714,METADATA!$J$5:$Q$29,IF(E5714="HI",2,IF(E5714="LO",6,10))+IF(T5714=1,2,IF(D5714=7,1,(IF(WEEKDAY(B5714)=1,2,IF(WEEKDAY(B5714)=7,1,0))))))</f>
        <v>3</v>
      </c>
      <c r="V5714" s="328">
        <f>VLOOKUP(C5714,METADATA!$A$5:$H$29,IF(E5714="HI",2,IF(E5714="LO",6,10))+IF(T5714=1,2,IF(D5714=7,1,(IF(WEEKDAY(B5714)=1,2,IF(WEEKDAY(B5714)=7,1,0))))))</f>
        <v>3</v>
      </c>
    </row>
    <row r="5715" spans="2:22">
      <c r="B5715" s="318">
        <f t="shared" si="355"/>
        <v>46350</v>
      </c>
      <c r="C5715" s="312">
        <v>23</v>
      </c>
      <c r="D5715" s="368">
        <f>IFERROR((INDEX(METADATA!$T$2:$T$20,MATCH(B5715,METADATA!$S$2:$S$20,0))),0)</f>
        <v>0</v>
      </c>
      <c r="E5715" s="312" t="str">
        <f t="shared" si="356"/>
        <v>LO</v>
      </c>
      <c r="F5715" s="369">
        <f>VLOOKUP(C5715,METADATA!$A$5:$H$29,IF(E5715="HI",2,IF(E5715="LO",6,10))+IF(D5715=1,2,IF(D5715=7,1,(IF(WEEKDAY(B5715)=1,2,IF(WEEKDAY(B5715)=7,1,0))))))</f>
        <v>3</v>
      </c>
      <c r="G5715" s="369">
        <f>VLOOKUP(C5715,METADATA!$J$5:$Q$29,IF(E5715="HI",2,IF(E5715="LO",6,10))+IF(D5715=1,2,IF(D5715=7,1,(IF(WEEKDAY(B5715)=1,2,IF(WEEKDAY(B5715)=7,1,0))))))</f>
        <v>3</v>
      </c>
      <c r="H5715" s="370">
        <v>13446.024719238281</v>
      </c>
      <c r="I5715" s="370">
        <v>5071.2498779296875</v>
      </c>
      <c r="M5715" s="371">
        <f t="shared" si="357"/>
        <v>14370.565614295381</v>
      </c>
      <c r="N5715" s="329">
        <f t="shared" si="358"/>
        <v>1037.4424621582034</v>
      </c>
      <c r="T5715" s="331">
        <v>0</v>
      </c>
      <c r="U5715" s="328">
        <f>VLOOKUP(C5715,METADATA!$J$5:$Q$29,IF(E5715="HI",2,IF(E5715="LO",6,10))+IF(T5715=1,2,IF(D5715=7,1,(IF(WEEKDAY(B5715)=1,2,IF(WEEKDAY(B5715)=7,1,0))))))</f>
        <v>3</v>
      </c>
      <c r="V5715" s="328">
        <f>VLOOKUP(C5715,METADATA!$A$5:$H$29,IF(E5715="HI",2,IF(E5715="LO",6,10))+IF(T5715=1,2,IF(D5715=7,1,(IF(WEEKDAY(B5715)=1,2,IF(WEEKDAY(B5715)=7,1,0))))))</f>
        <v>3</v>
      </c>
    </row>
    <row r="5716" spans="2:22">
      <c r="B5716" s="318">
        <f t="shared" si="355"/>
        <v>46351</v>
      </c>
      <c r="C5716" s="312">
        <v>0</v>
      </c>
      <c r="D5716" s="368">
        <f>IFERROR((INDEX(METADATA!$T$2:$T$20,MATCH(B5716,METADATA!$S$2:$S$20,0))),0)</f>
        <v>0</v>
      </c>
      <c r="E5716" s="312" t="str">
        <f t="shared" si="356"/>
        <v>LO</v>
      </c>
      <c r="F5716" s="369">
        <f>VLOOKUP(C5716,METADATA!$A$5:$H$29,IF(E5716="HI",2,IF(E5716="LO",6,10))+IF(D5716=1,2,IF(D5716=7,1,(IF(WEEKDAY(B5716)=1,2,IF(WEEKDAY(B5716)=7,1,0))))))</f>
        <v>3</v>
      </c>
      <c r="G5716" s="369">
        <f>VLOOKUP(C5716,METADATA!$J$5:$Q$29,IF(E5716="HI",2,IF(E5716="LO",6,10))+IF(D5716=1,2,IF(D5716=7,1,(IF(WEEKDAY(B5716)=1,2,IF(WEEKDAY(B5716)=7,1,0))))))</f>
        <v>3</v>
      </c>
      <c r="H5716" s="370">
        <v>13378.850036621094</v>
      </c>
      <c r="I5716" s="370">
        <v>5107.875</v>
      </c>
      <c r="M5716" s="371">
        <f t="shared" si="357"/>
        <v>14320.754704903693</v>
      </c>
      <c r="N5716" s="329">
        <f t="shared" si="358"/>
        <v>1094.2199890136721</v>
      </c>
      <c r="T5716" s="331">
        <v>0</v>
      </c>
      <c r="U5716" s="328">
        <f>VLOOKUP(C5716,METADATA!$J$5:$Q$29,IF(E5716="HI",2,IF(E5716="LO",6,10))+IF(T5716=1,2,IF(D5716=7,1,(IF(WEEKDAY(B5716)=1,2,IF(WEEKDAY(B5716)=7,1,0))))))</f>
        <v>3</v>
      </c>
      <c r="V5716" s="328">
        <f>VLOOKUP(C5716,METADATA!$A$5:$H$29,IF(E5716="HI",2,IF(E5716="LO",6,10))+IF(T5716=1,2,IF(D5716=7,1,(IF(WEEKDAY(B5716)=1,2,IF(WEEKDAY(B5716)=7,1,0))))))</f>
        <v>3</v>
      </c>
    </row>
    <row r="5717" spans="2:22">
      <c r="B5717" s="318">
        <f t="shared" si="355"/>
        <v>46351</v>
      </c>
      <c r="C5717" s="312">
        <v>1</v>
      </c>
      <c r="D5717" s="368">
        <f>IFERROR((INDEX(METADATA!$T$2:$T$20,MATCH(B5717,METADATA!$S$2:$S$20,0))),0)</f>
        <v>0</v>
      </c>
      <c r="E5717" s="312" t="str">
        <f t="shared" si="356"/>
        <v>LO</v>
      </c>
      <c r="F5717" s="369">
        <f>VLOOKUP(C5717,METADATA!$A$5:$H$29,IF(E5717="HI",2,IF(E5717="LO",6,10))+IF(D5717=1,2,IF(D5717=7,1,(IF(WEEKDAY(B5717)=1,2,IF(WEEKDAY(B5717)=7,1,0))))))</f>
        <v>3</v>
      </c>
      <c r="G5717" s="369">
        <f>VLOOKUP(C5717,METADATA!$J$5:$Q$29,IF(E5717="HI",2,IF(E5717="LO",6,10))+IF(D5717=1,2,IF(D5717=7,1,(IF(WEEKDAY(B5717)=1,2,IF(WEEKDAY(B5717)=7,1,0))))))</f>
        <v>3</v>
      </c>
      <c r="H5717" s="370">
        <v>13338.2998046875</v>
      </c>
      <c r="I5717" s="370">
        <v>5125.5748901367188</v>
      </c>
      <c r="M5717" s="371">
        <f t="shared" si="357"/>
        <v>14289.218300317432</v>
      </c>
      <c r="N5717" s="329">
        <f t="shared" si="358"/>
        <v>1124.084948730469</v>
      </c>
      <c r="T5717" s="331">
        <v>0</v>
      </c>
      <c r="U5717" s="328">
        <f>VLOOKUP(C5717,METADATA!$J$5:$Q$29,IF(E5717="HI",2,IF(E5717="LO",6,10))+IF(T5717=1,2,IF(D5717=7,1,(IF(WEEKDAY(B5717)=1,2,IF(WEEKDAY(B5717)=7,1,0))))))</f>
        <v>3</v>
      </c>
      <c r="V5717" s="328">
        <f>VLOOKUP(C5717,METADATA!$A$5:$H$29,IF(E5717="HI",2,IF(E5717="LO",6,10))+IF(T5717=1,2,IF(D5717=7,1,(IF(WEEKDAY(B5717)=1,2,IF(WEEKDAY(B5717)=7,1,0))))))</f>
        <v>3</v>
      </c>
    </row>
    <row r="5718" spans="2:22">
      <c r="B5718" s="318">
        <f t="shared" si="355"/>
        <v>46351</v>
      </c>
      <c r="C5718" s="312">
        <v>2</v>
      </c>
      <c r="D5718" s="368">
        <f>IFERROR((INDEX(METADATA!$T$2:$T$20,MATCH(B5718,METADATA!$S$2:$S$20,0))),0)</f>
        <v>0</v>
      </c>
      <c r="E5718" s="312" t="str">
        <f t="shared" si="356"/>
        <v>LO</v>
      </c>
      <c r="F5718" s="369">
        <f>VLOOKUP(C5718,METADATA!$A$5:$H$29,IF(E5718="HI",2,IF(E5718="LO",6,10))+IF(D5718=1,2,IF(D5718=7,1,(IF(WEEKDAY(B5718)=1,2,IF(WEEKDAY(B5718)=7,1,0))))))</f>
        <v>3</v>
      </c>
      <c r="G5718" s="369">
        <f>VLOOKUP(C5718,METADATA!$J$5:$Q$29,IF(E5718="HI",2,IF(E5718="LO",6,10))+IF(D5718=1,2,IF(D5718=7,1,(IF(WEEKDAY(B5718)=1,2,IF(WEEKDAY(B5718)=7,1,0))))))</f>
        <v>3</v>
      </c>
      <c r="H5718" s="370">
        <v>9084.4300537109375</v>
      </c>
      <c r="I5718" s="370">
        <v>3074.4375534057617</v>
      </c>
      <c r="M5718" s="371">
        <f t="shared" si="357"/>
        <v>9590.5701431436337</v>
      </c>
      <c r="N5718" s="329">
        <f t="shared" si="358"/>
        <v>349.10853729248038</v>
      </c>
      <c r="T5718" s="331">
        <v>0</v>
      </c>
      <c r="U5718" s="328">
        <f>VLOOKUP(C5718,METADATA!$J$5:$Q$29,IF(E5718="HI",2,IF(E5718="LO",6,10))+IF(T5718=1,2,IF(D5718=7,1,(IF(WEEKDAY(B5718)=1,2,IF(WEEKDAY(B5718)=7,1,0))))))</f>
        <v>3</v>
      </c>
      <c r="V5718" s="328">
        <f>VLOOKUP(C5718,METADATA!$A$5:$H$29,IF(E5718="HI",2,IF(E5718="LO",6,10))+IF(T5718=1,2,IF(D5718=7,1,(IF(WEEKDAY(B5718)=1,2,IF(WEEKDAY(B5718)=7,1,0))))))</f>
        <v>3</v>
      </c>
    </row>
    <row r="5719" spans="2:22">
      <c r="B5719" s="318">
        <f t="shared" si="355"/>
        <v>46351</v>
      </c>
      <c r="C5719" s="312">
        <v>3</v>
      </c>
      <c r="D5719" s="368">
        <f>IFERROR((INDEX(METADATA!$T$2:$T$20,MATCH(B5719,METADATA!$S$2:$S$20,0))),0)</f>
        <v>0</v>
      </c>
      <c r="E5719" s="312" t="str">
        <f t="shared" si="356"/>
        <v>LO</v>
      </c>
      <c r="F5719" s="369">
        <f>VLOOKUP(C5719,METADATA!$A$5:$H$29,IF(E5719="HI",2,IF(E5719="LO",6,10))+IF(D5719=1,2,IF(D5719=7,1,(IF(WEEKDAY(B5719)=1,2,IF(WEEKDAY(B5719)=7,1,0))))))</f>
        <v>3</v>
      </c>
      <c r="G5719" s="369">
        <f>VLOOKUP(C5719,METADATA!$J$5:$Q$29,IF(E5719="HI",2,IF(E5719="LO",6,10))+IF(D5719=1,2,IF(D5719=7,1,(IF(WEEKDAY(B5719)=1,2,IF(WEEKDAY(B5719)=7,1,0))))))</f>
        <v>3</v>
      </c>
      <c r="H5719" s="370">
        <v>6688.0800170898438</v>
      </c>
      <c r="I5719" s="370">
        <v>1588.3425405025482</v>
      </c>
      <c r="M5719" s="371">
        <f t="shared" si="357"/>
        <v>6874.0996749368251</v>
      </c>
      <c r="N5719" s="329">
        <f t="shared" si="358"/>
        <v>0</v>
      </c>
      <c r="T5719" s="331">
        <v>0</v>
      </c>
      <c r="U5719" s="328">
        <f>VLOOKUP(C5719,METADATA!$J$5:$Q$29,IF(E5719="HI",2,IF(E5719="LO",6,10))+IF(T5719=1,2,IF(D5719=7,1,(IF(WEEKDAY(B5719)=1,2,IF(WEEKDAY(B5719)=7,1,0))))))</f>
        <v>3</v>
      </c>
      <c r="V5719" s="328">
        <f>VLOOKUP(C5719,METADATA!$A$5:$H$29,IF(E5719="HI",2,IF(E5719="LO",6,10))+IF(T5719=1,2,IF(D5719=7,1,(IF(WEEKDAY(B5719)=1,2,IF(WEEKDAY(B5719)=7,1,0))))))</f>
        <v>3</v>
      </c>
    </row>
    <row r="5720" spans="2:22">
      <c r="B5720" s="318">
        <f t="shared" si="355"/>
        <v>46351</v>
      </c>
      <c r="C5720" s="312">
        <v>4</v>
      </c>
      <c r="D5720" s="368">
        <f>IFERROR((INDEX(METADATA!$T$2:$T$20,MATCH(B5720,METADATA!$S$2:$S$20,0))),0)</f>
        <v>0</v>
      </c>
      <c r="E5720" s="312" t="str">
        <f t="shared" si="356"/>
        <v>LO</v>
      </c>
      <c r="F5720" s="369">
        <f>VLOOKUP(C5720,METADATA!$A$5:$H$29,IF(E5720="HI",2,IF(E5720="LO",6,10))+IF(D5720=1,2,IF(D5720=7,1,(IF(WEEKDAY(B5720)=1,2,IF(WEEKDAY(B5720)=7,1,0))))))</f>
        <v>3</v>
      </c>
      <c r="G5720" s="369">
        <f>VLOOKUP(C5720,METADATA!$J$5:$Q$29,IF(E5720="HI",2,IF(E5720="LO",6,10))+IF(D5720=1,2,IF(D5720=7,1,(IF(WEEKDAY(B5720)=1,2,IF(WEEKDAY(B5720)=7,1,0))))))</f>
        <v>3</v>
      </c>
      <c r="H5720" s="370">
        <v>6626.822509765625</v>
      </c>
      <c r="I5720" s="370">
        <v>1567.3699645996094</v>
      </c>
      <c r="M5720" s="371">
        <f t="shared" si="357"/>
        <v>6809.6567594751323</v>
      </c>
      <c r="N5720" s="329">
        <f t="shared" si="358"/>
        <v>0</v>
      </c>
      <c r="T5720" s="331">
        <v>0</v>
      </c>
      <c r="U5720" s="328">
        <f>VLOOKUP(C5720,METADATA!$J$5:$Q$29,IF(E5720="HI",2,IF(E5720="LO",6,10))+IF(T5720=1,2,IF(D5720=7,1,(IF(WEEKDAY(B5720)=1,2,IF(WEEKDAY(B5720)=7,1,0))))))</f>
        <v>3</v>
      </c>
      <c r="V5720" s="328">
        <f>VLOOKUP(C5720,METADATA!$A$5:$H$29,IF(E5720="HI",2,IF(E5720="LO",6,10))+IF(T5720=1,2,IF(D5720=7,1,(IF(WEEKDAY(B5720)=1,2,IF(WEEKDAY(B5720)=7,1,0))))))</f>
        <v>3</v>
      </c>
    </row>
    <row r="5721" spans="2:22">
      <c r="B5721" s="318">
        <f t="shared" si="355"/>
        <v>46351</v>
      </c>
      <c r="C5721" s="312">
        <v>5</v>
      </c>
      <c r="D5721" s="368">
        <f>IFERROR((INDEX(METADATA!$T$2:$T$20,MATCH(B5721,METADATA!$S$2:$S$20,0))),0)</f>
        <v>0</v>
      </c>
      <c r="E5721" s="312" t="str">
        <f t="shared" si="356"/>
        <v>LO</v>
      </c>
      <c r="F5721" s="369">
        <f>VLOOKUP(C5721,METADATA!$A$5:$H$29,IF(E5721="HI",2,IF(E5721="LO",6,10))+IF(D5721=1,2,IF(D5721=7,1,(IF(WEEKDAY(B5721)=1,2,IF(WEEKDAY(B5721)=7,1,0))))))</f>
        <v>3</v>
      </c>
      <c r="G5721" s="369">
        <f>VLOOKUP(C5721,METADATA!$J$5:$Q$29,IF(E5721="HI",2,IF(E5721="LO",6,10))+IF(D5721=1,2,IF(D5721=7,1,(IF(WEEKDAY(B5721)=1,2,IF(WEEKDAY(B5721)=7,1,0))))))</f>
        <v>3</v>
      </c>
      <c r="H5721" s="370">
        <v>5814.4475708007813</v>
      </c>
      <c r="I5721" s="370">
        <v>1527.7699890136719</v>
      </c>
      <c r="M5721" s="371">
        <f t="shared" si="357"/>
        <v>6011.8118477645266</v>
      </c>
      <c r="N5721" s="329">
        <f t="shared" si="358"/>
        <v>0</v>
      </c>
      <c r="T5721" s="331">
        <v>0</v>
      </c>
      <c r="U5721" s="328">
        <f>VLOOKUP(C5721,METADATA!$J$5:$Q$29,IF(E5721="HI",2,IF(E5721="LO",6,10))+IF(T5721=1,2,IF(D5721=7,1,(IF(WEEKDAY(B5721)=1,2,IF(WEEKDAY(B5721)=7,1,0))))))</f>
        <v>3</v>
      </c>
      <c r="V5721" s="328">
        <f>VLOOKUP(C5721,METADATA!$A$5:$H$29,IF(E5721="HI",2,IF(E5721="LO",6,10))+IF(T5721=1,2,IF(D5721=7,1,(IF(WEEKDAY(B5721)=1,2,IF(WEEKDAY(B5721)=7,1,0))))))</f>
        <v>3</v>
      </c>
    </row>
    <row r="5722" spans="2:22">
      <c r="B5722" s="318">
        <f t="shared" si="355"/>
        <v>46351</v>
      </c>
      <c r="C5722" s="312">
        <v>6</v>
      </c>
      <c r="D5722" s="368">
        <f>IFERROR((INDEX(METADATA!$T$2:$T$20,MATCH(B5722,METADATA!$S$2:$S$20,0))),0)</f>
        <v>0</v>
      </c>
      <c r="E5722" s="312" t="str">
        <f t="shared" si="356"/>
        <v>LO</v>
      </c>
      <c r="F5722" s="369">
        <f>VLOOKUP(C5722,METADATA!$A$5:$H$29,IF(E5722="HI",2,IF(E5722="LO",6,10))+IF(D5722=1,2,IF(D5722=7,1,(IF(WEEKDAY(B5722)=1,2,IF(WEEKDAY(B5722)=7,1,0))))))</f>
        <v>2</v>
      </c>
      <c r="G5722" s="369">
        <f>VLOOKUP(C5722,METADATA!$J$5:$Q$29,IF(E5722="HI",2,IF(E5722="LO",6,10))+IF(D5722=1,2,IF(D5722=7,1,(IF(WEEKDAY(B5722)=1,2,IF(WEEKDAY(B5722)=7,1,0))))))</f>
        <v>2</v>
      </c>
      <c r="H5722" s="370">
        <v>5858.3075561523438</v>
      </c>
      <c r="I5722" s="370">
        <v>1547.637451171875</v>
      </c>
      <c r="M5722" s="371">
        <f t="shared" si="357"/>
        <v>6059.2861875588469</v>
      </c>
      <c r="N5722" s="329">
        <f t="shared" si="358"/>
        <v>0</v>
      </c>
      <c r="T5722" s="331">
        <v>0</v>
      </c>
      <c r="U5722" s="328">
        <f>VLOOKUP(C5722,METADATA!$J$5:$Q$29,IF(E5722="HI",2,IF(E5722="LO",6,10))+IF(T5722=1,2,IF(D5722=7,1,(IF(WEEKDAY(B5722)=1,2,IF(WEEKDAY(B5722)=7,1,0))))))</f>
        <v>2</v>
      </c>
      <c r="V5722" s="328">
        <f>VLOOKUP(C5722,METADATA!$A$5:$H$29,IF(E5722="HI",2,IF(E5722="LO",6,10))+IF(T5722=1,2,IF(D5722=7,1,(IF(WEEKDAY(B5722)=1,2,IF(WEEKDAY(B5722)=7,1,0))))))</f>
        <v>2</v>
      </c>
    </row>
    <row r="5723" spans="2:22">
      <c r="B5723" s="318">
        <f t="shared" si="355"/>
        <v>46351</v>
      </c>
      <c r="C5723" s="312">
        <v>7</v>
      </c>
      <c r="D5723" s="368">
        <f>IFERROR((INDEX(METADATA!$T$2:$T$20,MATCH(B5723,METADATA!$S$2:$S$20,0))),0)</f>
        <v>0</v>
      </c>
      <c r="E5723" s="312" t="str">
        <f t="shared" si="356"/>
        <v>LO</v>
      </c>
      <c r="F5723" s="369">
        <f>VLOOKUP(C5723,METADATA!$A$5:$H$29,IF(E5723="HI",2,IF(E5723="LO",6,10))+IF(D5723=1,2,IF(D5723=7,1,(IF(WEEKDAY(B5723)=1,2,IF(WEEKDAY(B5723)=7,1,0))))))</f>
        <v>1</v>
      </c>
      <c r="G5723" s="369">
        <f>VLOOKUP(C5723,METADATA!$J$5:$Q$29,IF(E5723="HI",2,IF(E5723="LO",6,10))+IF(D5723=1,2,IF(D5723=7,1,(IF(WEEKDAY(B5723)=1,2,IF(WEEKDAY(B5723)=7,1,0))))))</f>
        <v>1</v>
      </c>
      <c r="H5723" s="370">
        <v>7589.2749328613281</v>
      </c>
      <c r="I5723" s="370">
        <v>1794.0225296020508</v>
      </c>
      <c r="M5723" s="371">
        <f t="shared" si="357"/>
        <v>7798.4364358041066</v>
      </c>
      <c r="N5723" s="329">
        <f t="shared" si="358"/>
        <v>0</v>
      </c>
      <c r="T5723" s="331">
        <v>0</v>
      </c>
      <c r="U5723" s="328">
        <f>VLOOKUP(C5723,METADATA!$J$5:$Q$29,IF(E5723="HI",2,IF(E5723="LO",6,10))+IF(T5723=1,2,IF(D5723=7,1,(IF(WEEKDAY(B5723)=1,2,IF(WEEKDAY(B5723)=7,1,0))))))</f>
        <v>1</v>
      </c>
      <c r="V5723" s="328">
        <f>VLOOKUP(C5723,METADATA!$A$5:$H$29,IF(E5723="HI",2,IF(E5723="LO",6,10))+IF(T5723=1,2,IF(D5723=7,1,(IF(WEEKDAY(B5723)=1,2,IF(WEEKDAY(B5723)=7,1,0))))))</f>
        <v>1</v>
      </c>
    </row>
    <row r="5724" spans="2:22">
      <c r="B5724" s="318">
        <f t="shared" ref="B5724:B5787" si="359">B5700+1</f>
        <v>46351</v>
      </c>
      <c r="C5724" s="312">
        <v>8</v>
      </c>
      <c r="D5724" s="368">
        <f>IFERROR((INDEX(METADATA!$T$2:$T$20,MATCH(B5724,METADATA!$S$2:$S$20,0))),0)</f>
        <v>0</v>
      </c>
      <c r="E5724" s="312" t="str">
        <f t="shared" si="356"/>
        <v>LO</v>
      </c>
      <c r="F5724" s="369">
        <f>VLOOKUP(C5724,METADATA!$A$5:$H$29,IF(E5724="HI",2,IF(E5724="LO",6,10))+IF(D5724=1,2,IF(D5724=7,1,(IF(WEEKDAY(B5724)=1,2,IF(WEEKDAY(B5724)=7,1,0))))))</f>
        <v>1</v>
      </c>
      <c r="G5724" s="369">
        <f>VLOOKUP(C5724,METADATA!$J$5:$Q$29,IF(E5724="HI",2,IF(E5724="LO",6,10))+IF(D5724=1,2,IF(D5724=7,1,(IF(WEEKDAY(B5724)=1,2,IF(WEEKDAY(B5724)=7,1,0))))))</f>
        <v>1</v>
      </c>
      <c r="H5724" s="370">
        <v>11212.575012207031</v>
      </c>
      <c r="I5724" s="370">
        <v>2859.6750183105469</v>
      </c>
      <c r="M5724" s="371">
        <f t="shared" si="357"/>
        <v>11571.498589842153</v>
      </c>
      <c r="N5724" s="329">
        <f t="shared" si="358"/>
        <v>0</v>
      </c>
      <c r="T5724" s="331">
        <v>0</v>
      </c>
      <c r="U5724" s="328">
        <f>VLOOKUP(C5724,METADATA!$J$5:$Q$29,IF(E5724="HI",2,IF(E5724="LO",6,10))+IF(T5724=1,2,IF(D5724=7,1,(IF(WEEKDAY(B5724)=1,2,IF(WEEKDAY(B5724)=7,1,0))))))</f>
        <v>1</v>
      </c>
      <c r="V5724" s="328">
        <f>VLOOKUP(C5724,METADATA!$A$5:$H$29,IF(E5724="HI",2,IF(E5724="LO",6,10))+IF(T5724=1,2,IF(D5724=7,1,(IF(WEEKDAY(B5724)=1,2,IF(WEEKDAY(B5724)=7,1,0))))))</f>
        <v>1</v>
      </c>
    </row>
    <row r="5725" spans="2:22">
      <c r="B5725" s="318">
        <f t="shared" si="359"/>
        <v>46351</v>
      </c>
      <c r="C5725" s="312">
        <v>9</v>
      </c>
      <c r="D5725" s="368">
        <f>IFERROR((INDEX(METADATA!$T$2:$T$20,MATCH(B5725,METADATA!$S$2:$S$20,0))),0)</f>
        <v>0</v>
      </c>
      <c r="E5725" s="312" t="str">
        <f t="shared" si="356"/>
        <v>LO</v>
      </c>
      <c r="F5725" s="369">
        <f>VLOOKUP(C5725,METADATA!$A$5:$H$29,IF(E5725="HI",2,IF(E5725="LO",6,10))+IF(D5725=1,2,IF(D5725=7,1,(IF(WEEKDAY(B5725)=1,2,IF(WEEKDAY(B5725)=7,1,0))))))</f>
        <v>2</v>
      </c>
      <c r="G5725" s="369">
        <f>VLOOKUP(C5725,METADATA!$J$5:$Q$29,IF(E5725="HI",2,IF(E5725="LO",6,10))+IF(D5725=1,2,IF(D5725=7,1,(IF(WEEKDAY(B5725)=1,2,IF(WEEKDAY(B5725)=7,1,0))))))</f>
        <v>2</v>
      </c>
      <c r="H5725" s="370">
        <v>11770.524841308594</v>
      </c>
      <c r="I5725" s="370">
        <v>3101.0649719238281</v>
      </c>
      <c r="M5725" s="371">
        <f t="shared" si="357"/>
        <v>12172.175606684108</v>
      </c>
      <c r="N5725" s="329">
        <f t="shared" si="358"/>
        <v>0</v>
      </c>
      <c r="T5725" s="331">
        <v>0</v>
      </c>
      <c r="U5725" s="328">
        <f>VLOOKUP(C5725,METADATA!$J$5:$Q$29,IF(E5725="HI",2,IF(E5725="LO",6,10))+IF(T5725=1,2,IF(D5725=7,1,(IF(WEEKDAY(B5725)=1,2,IF(WEEKDAY(B5725)=7,1,0))))))</f>
        <v>2</v>
      </c>
      <c r="V5725" s="328">
        <f>VLOOKUP(C5725,METADATA!$A$5:$H$29,IF(E5725="HI",2,IF(E5725="LO",6,10))+IF(T5725=1,2,IF(D5725=7,1,(IF(WEEKDAY(B5725)=1,2,IF(WEEKDAY(B5725)=7,1,0))))))</f>
        <v>2</v>
      </c>
    </row>
    <row r="5726" spans="2:22">
      <c r="B5726" s="318">
        <f t="shared" si="359"/>
        <v>46351</v>
      </c>
      <c r="C5726" s="312">
        <v>10</v>
      </c>
      <c r="D5726" s="368">
        <f>IFERROR((INDEX(METADATA!$T$2:$T$20,MATCH(B5726,METADATA!$S$2:$S$20,0))),0)</f>
        <v>0</v>
      </c>
      <c r="E5726" s="312" t="str">
        <f t="shared" si="356"/>
        <v>LO</v>
      </c>
      <c r="F5726" s="369">
        <f>VLOOKUP(C5726,METADATA!$A$5:$H$29,IF(E5726="HI",2,IF(E5726="LO",6,10))+IF(D5726=1,2,IF(D5726=7,1,(IF(WEEKDAY(B5726)=1,2,IF(WEEKDAY(B5726)=7,1,0))))))</f>
        <v>2</v>
      </c>
      <c r="G5726" s="369">
        <f>VLOOKUP(C5726,METADATA!$J$5:$Q$29,IF(E5726="HI",2,IF(E5726="LO",6,10))+IF(D5726=1,2,IF(D5726=7,1,(IF(WEEKDAY(B5726)=1,2,IF(WEEKDAY(B5726)=7,1,0))))))</f>
        <v>2</v>
      </c>
      <c r="H5726" s="370">
        <v>13204.925048828125</v>
      </c>
      <c r="I5726" s="370">
        <v>4096.9600219726563</v>
      </c>
      <c r="M5726" s="371">
        <f t="shared" si="357"/>
        <v>13825.8861186837</v>
      </c>
      <c r="N5726" s="329">
        <f t="shared" si="358"/>
        <v>135.48250732421911</v>
      </c>
      <c r="T5726" s="331">
        <v>0</v>
      </c>
      <c r="U5726" s="328">
        <f>VLOOKUP(C5726,METADATA!$J$5:$Q$29,IF(E5726="HI",2,IF(E5726="LO",6,10))+IF(T5726=1,2,IF(D5726=7,1,(IF(WEEKDAY(B5726)=1,2,IF(WEEKDAY(B5726)=7,1,0))))))</f>
        <v>2</v>
      </c>
      <c r="V5726" s="328">
        <f>VLOOKUP(C5726,METADATA!$A$5:$H$29,IF(E5726="HI",2,IF(E5726="LO",6,10))+IF(T5726=1,2,IF(D5726=7,1,(IF(WEEKDAY(B5726)=1,2,IF(WEEKDAY(B5726)=7,1,0))))))</f>
        <v>2</v>
      </c>
    </row>
    <row r="5727" spans="2:22">
      <c r="B5727" s="318">
        <f t="shared" si="359"/>
        <v>46351</v>
      </c>
      <c r="C5727" s="312">
        <v>11</v>
      </c>
      <c r="D5727" s="368">
        <f>IFERROR((INDEX(METADATA!$T$2:$T$20,MATCH(B5727,METADATA!$S$2:$S$20,0))),0)</f>
        <v>0</v>
      </c>
      <c r="E5727" s="312" t="str">
        <f t="shared" si="356"/>
        <v>LO</v>
      </c>
      <c r="F5727" s="369">
        <f>VLOOKUP(C5727,METADATA!$A$5:$H$29,IF(E5727="HI",2,IF(E5727="LO",6,10))+IF(D5727=1,2,IF(D5727=7,1,(IF(WEEKDAY(B5727)=1,2,IF(WEEKDAY(B5727)=7,1,0))))))</f>
        <v>2</v>
      </c>
      <c r="G5727" s="369">
        <f>VLOOKUP(C5727,METADATA!$J$5:$Q$29,IF(E5727="HI",2,IF(E5727="LO",6,10))+IF(D5727=1,2,IF(D5727=7,1,(IF(WEEKDAY(B5727)=1,2,IF(WEEKDAY(B5727)=7,1,0))))))</f>
        <v>2</v>
      </c>
      <c r="H5727" s="370">
        <v>13516.125122070313</v>
      </c>
      <c r="I5727" s="370">
        <v>4284.6500854492188</v>
      </c>
      <c r="M5727" s="371">
        <f t="shared" si="357"/>
        <v>14178.993782007248</v>
      </c>
      <c r="N5727" s="329">
        <f t="shared" si="358"/>
        <v>229.81254882812527</v>
      </c>
      <c r="T5727" s="331">
        <v>0</v>
      </c>
      <c r="U5727" s="328">
        <f>VLOOKUP(C5727,METADATA!$J$5:$Q$29,IF(E5727="HI",2,IF(E5727="LO",6,10))+IF(T5727=1,2,IF(D5727=7,1,(IF(WEEKDAY(B5727)=1,2,IF(WEEKDAY(B5727)=7,1,0))))))</f>
        <v>2</v>
      </c>
      <c r="V5727" s="328">
        <f>VLOOKUP(C5727,METADATA!$A$5:$H$29,IF(E5727="HI",2,IF(E5727="LO",6,10))+IF(T5727=1,2,IF(D5727=7,1,(IF(WEEKDAY(B5727)=1,2,IF(WEEKDAY(B5727)=7,1,0))))))</f>
        <v>2</v>
      </c>
    </row>
    <row r="5728" spans="2:22">
      <c r="B5728" s="318">
        <f t="shared" si="359"/>
        <v>46351</v>
      </c>
      <c r="C5728" s="312">
        <v>12</v>
      </c>
      <c r="D5728" s="368">
        <f>IFERROR((INDEX(METADATA!$T$2:$T$20,MATCH(B5728,METADATA!$S$2:$S$20,0))),0)</f>
        <v>0</v>
      </c>
      <c r="E5728" s="312" t="str">
        <f t="shared" si="356"/>
        <v>LO</v>
      </c>
      <c r="F5728" s="369">
        <f>VLOOKUP(C5728,METADATA!$A$5:$H$29,IF(E5728="HI",2,IF(E5728="LO",6,10))+IF(D5728=1,2,IF(D5728=7,1,(IF(WEEKDAY(B5728)=1,2,IF(WEEKDAY(B5728)=7,1,0))))))</f>
        <v>2</v>
      </c>
      <c r="G5728" s="369">
        <f>VLOOKUP(C5728,METADATA!$J$5:$Q$29,IF(E5728="HI",2,IF(E5728="LO",6,10))+IF(D5728=1,2,IF(D5728=7,1,(IF(WEEKDAY(B5728)=1,2,IF(WEEKDAY(B5728)=7,1,0))))))</f>
        <v>2</v>
      </c>
      <c r="H5728" s="370">
        <v>12109.174865722656</v>
      </c>
      <c r="I5728" s="370">
        <v>3546.1924743652344</v>
      </c>
      <c r="M5728" s="371">
        <f t="shared" si="357"/>
        <v>12617.749284000452</v>
      </c>
      <c r="N5728" s="329">
        <f t="shared" si="358"/>
        <v>0</v>
      </c>
      <c r="T5728" s="331">
        <v>0</v>
      </c>
      <c r="U5728" s="328">
        <f>VLOOKUP(C5728,METADATA!$J$5:$Q$29,IF(E5728="HI",2,IF(E5728="LO",6,10))+IF(T5728=1,2,IF(D5728=7,1,(IF(WEEKDAY(B5728)=1,2,IF(WEEKDAY(B5728)=7,1,0))))))</f>
        <v>2</v>
      </c>
      <c r="V5728" s="328">
        <f>VLOOKUP(C5728,METADATA!$A$5:$H$29,IF(E5728="HI",2,IF(E5728="LO",6,10))+IF(T5728=1,2,IF(D5728=7,1,(IF(WEEKDAY(B5728)=1,2,IF(WEEKDAY(B5728)=7,1,0))))))</f>
        <v>2</v>
      </c>
    </row>
    <row r="5729" spans="2:22">
      <c r="B5729" s="318">
        <f t="shared" si="359"/>
        <v>46351</v>
      </c>
      <c r="C5729" s="312">
        <v>13</v>
      </c>
      <c r="D5729" s="368">
        <f>IFERROR((INDEX(METADATA!$T$2:$T$20,MATCH(B5729,METADATA!$S$2:$S$20,0))),0)</f>
        <v>0</v>
      </c>
      <c r="E5729" s="312" t="str">
        <f t="shared" si="356"/>
        <v>LO</v>
      </c>
      <c r="F5729" s="369">
        <f>VLOOKUP(C5729,METADATA!$A$5:$H$29,IF(E5729="HI",2,IF(E5729="LO",6,10))+IF(D5729=1,2,IF(D5729=7,1,(IF(WEEKDAY(B5729)=1,2,IF(WEEKDAY(B5729)=7,1,0))))))</f>
        <v>2</v>
      </c>
      <c r="G5729" s="369">
        <f>VLOOKUP(C5729,METADATA!$J$5:$Q$29,IF(E5729="HI",2,IF(E5729="LO",6,10))+IF(D5729=1,2,IF(D5729=7,1,(IF(WEEKDAY(B5729)=1,2,IF(WEEKDAY(B5729)=7,1,0))))))</f>
        <v>2</v>
      </c>
      <c r="H5729" s="370">
        <v>11619.525207519531</v>
      </c>
      <c r="I5729" s="370">
        <v>3211.6824645996094</v>
      </c>
      <c r="M5729" s="371">
        <f t="shared" si="357"/>
        <v>12055.21755513348</v>
      </c>
      <c r="N5729" s="329">
        <f t="shared" si="358"/>
        <v>0</v>
      </c>
      <c r="T5729" s="331">
        <v>0</v>
      </c>
      <c r="U5729" s="328">
        <f>VLOOKUP(C5729,METADATA!$J$5:$Q$29,IF(E5729="HI",2,IF(E5729="LO",6,10))+IF(T5729=1,2,IF(D5729=7,1,(IF(WEEKDAY(B5729)=1,2,IF(WEEKDAY(B5729)=7,1,0))))))</f>
        <v>2</v>
      </c>
      <c r="V5729" s="328">
        <f>VLOOKUP(C5729,METADATA!$A$5:$H$29,IF(E5729="HI",2,IF(E5729="LO",6,10))+IF(T5729=1,2,IF(D5729=7,1,(IF(WEEKDAY(B5729)=1,2,IF(WEEKDAY(B5729)=7,1,0))))))</f>
        <v>2</v>
      </c>
    </row>
    <row r="5730" spans="2:22">
      <c r="B5730" s="318">
        <f t="shared" si="359"/>
        <v>46351</v>
      </c>
      <c r="C5730" s="312">
        <v>14</v>
      </c>
      <c r="D5730" s="368">
        <f>IFERROR((INDEX(METADATA!$T$2:$T$20,MATCH(B5730,METADATA!$S$2:$S$20,0))),0)</f>
        <v>0</v>
      </c>
      <c r="E5730" s="312" t="str">
        <f t="shared" si="356"/>
        <v>LO</v>
      </c>
      <c r="F5730" s="369">
        <f>VLOOKUP(C5730,METADATA!$A$5:$H$29,IF(E5730="HI",2,IF(E5730="LO",6,10))+IF(D5730=1,2,IF(D5730=7,1,(IF(WEEKDAY(B5730)=1,2,IF(WEEKDAY(B5730)=7,1,0))))))</f>
        <v>2</v>
      </c>
      <c r="G5730" s="369">
        <f>VLOOKUP(C5730,METADATA!$J$5:$Q$29,IF(E5730="HI",2,IF(E5730="LO",6,10))+IF(D5730=1,2,IF(D5730=7,1,(IF(WEEKDAY(B5730)=1,2,IF(WEEKDAY(B5730)=7,1,0))))))</f>
        <v>2</v>
      </c>
      <c r="H5730" s="370">
        <v>11735.125122070313</v>
      </c>
      <c r="I5730" s="370">
        <v>3472.1350402832031</v>
      </c>
      <c r="M5730" s="371">
        <f t="shared" si="357"/>
        <v>12238.009779723507</v>
      </c>
      <c r="N5730" s="329">
        <f t="shared" si="358"/>
        <v>0</v>
      </c>
      <c r="T5730" s="331">
        <v>0</v>
      </c>
      <c r="U5730" s="328">
        <f>VLOOKUP(C5730,METADATA!$J$5:$Q$29,IF(E5730="HI",2,IF(E5730="LO",6,10))+IF(T5730=1,2,IF(D5730=7,1,(IF(WEEKDAY(B5730)=1,2,IF(WEEKDAY(B5730)=7,1,0))))))</f>
        <v>2</v>
      </c>
      <c r="V5730" s="328">
        <f>VLOOKUP(C5730,METADATA!$A$5:$H$29,IF(E5730="HI",2,IF(E5730="LO",6,10))+IF(T5730=1,2,IF(D5730=7,1,(IF(WEEKDAY(B5730)=1,2,IF(WEEKDAY(B5730)=7,1,0))))))</f>
        <v>2</v>
      </c>
    </row>
    <row r="5731" spans="2:22">
      <c r="B5731" s="318">
        <f t="shared" si="359"/>
        <v>46351</v>
      </c>
      <c r="C5731" s="312">
        <v>15</v>
      </c>
      <c r="D5731" s="368">
        <f>IFERROR((INDEX(METADATA!$T$2:$T$20,MATCH(B5731,METADATA!$S$2:$S$20,0))),0)</f>
        <v>0</v>
      </c>
      <c r="E5731" s="312" t="str">
        <f t="shared" si="356"/>
        <v>LO</v>
      </c>
      <c r="F5731" s="369">
        <f>VLOOKUP(C5731,METADATA!$A$5:$H$29,IF(E5731="HI",2,IF(E5731="LO",6,10))+IF(D5731=1,2,IF(D5731=7,1,(IF(WEEKDAY(B5731)=1,2,IF(WEEKDAY(B5731)=7,1,0))))))</f>
        <v>2</v>
      </c>
      <c r="G5731" s="369">
        <f>VLOOKUP(C5731,METADATA!$J$5:$Q$29,IF(E5731="HI",2,IF(E5731="LO",6,10))+IF(D5731=1,2,IF(D5731=7,1,(IF(WEEKDAY(B5731)=1,2,IF(WEEKDAY(B5731)=7,1,0))))))</f>
        <v>2</v>
      </c>
      <c r="H5731" s="370">
        <v>13411.750183105469</v>
      </c>
      <c r="I5731" s="370">
        <v>5049.8750610351563</v>
      </c>
      <c r="M5731" s="371">
        <f t="shared" si="357"/>
        <v>14330.955345199231</v>
      </c>
      <c r="N5731" s="329">
        <f t="shared" si="358"/>
        <v>1026.3500061035156</v>
      </c>
      <c r="T5731" s="331">
        <v>0</v>
      </c>
      <c r="U5731" s="328">
        <f>VLOOKUP(C5731,METADATA!$J$5:$Q$29,IF(E5731="HI",2,IF(E5731="LO",6,10))+IF(T5731=1,2,IF(D5731=7,1,(IF(WEEKDAY(B5731)=1,2,IF(WEEKDAY(B5731)=7,1,0))))))</f>
        <v>2</v>
      </c>
      <c r="V5731" s="328">
        <f>VLOOKUP(C5731,METADATA!$A$5:$H$29,IF(E5731="HI",2,IF(E5731="LO",6,10))+IF(T5731=1,2,IF(D5731=7,1,(IF(WEEKDAY(B5731)=1,2,IF(WEEKDAY(B5731)=7,1,0))))))</f>
        <v>2</v>
      </c>
    </row>
    <row r="5732" spans="2:22">
      <c r="B5732" s="318">
        <f t="shared" si="359"/>
        <v>46351</v>
      </c>
      <c r="C5732" s="312">
        <v>16</v>
      </c>
      <c r="D5732" s="368">
        <f>IFERROR((INDEX(METADATA!$T$2:$T$20,MATCH(B5732,METADATA!$S$2:$S$20,0))),0)</f>
        <v>0</v>
      </c>
      <c r="E5732" s="312" t="str">
        <f t="shared" si="356"/>
        <v>LO</v>
      </c>
      <c r="F5732" s="369">
        <f>VLOOKUP(C5732,METADATA!$A$5:$H$29,IF(E5732="HI",2,IF(E5732="LO",6,10))+IF(D5732=1,2,IF(D5732=7,1,(IF(WEEKDAY(B5732)=1,2,IF(WEEKDAY(B5732)=7,1,0))))))</f>
        <v>2</v>
      </c>
      <c r="G5732" s="369">
        <f>VLOOKUP(C5732,METADATA!$J$5:$Q$29,IF(E5732="HI",2,IF(E5732="LO",6,10))+IF(D5732=1,2,IF(D5732=7,1,(IF(WEEKDAY(B5732)=1,2,IF(WEEKDAY(B5732)=7,1,0))))))</f>
        <v>2</v>
      </c>
      <c r="H5732" s="370">
        <v>13813.575256347656</v>
      </c>
      <c r="I5732" s="370">
        <v>5088.9251098632813</v>
      </c>
      <c r="M5732" s="371">
        <f t="shared" si="357"/>
        <v>14721.141944040117</v>
      </c>
      <c r="N5732" s="329">
        <f t="shared" si="358"/>
        <v>944.85253295898474</v>
      </c>
      <c r="T5732" s="331">
        <v>0</v>
      </c>
      <c r="U5732" s="328">
        <f>VLOOKUP(C5732,METADATA!$J$5:$Q$29,IF(E5732="HI",2,IF(E5732="LO",6,10))+IF(T5732=1,2,IF(D5732=7,1,(IF(WEEKDAY(B5732)=1,2,IF(WEEKDAY(B5732)=7,1,0))))))</f>
        <v>2</v>
      </c>
      <c r="V5732" s="328">
        <f>VLOOKUP(C5732,METADATA!$A$5:$H$29,IF(E5732="HI",2,IF(E5732="LO",6,10))+IF(T5732=1,2,IF(D5732=7,1,(IF(WEEKDAY(B5732)=1,2,IF(WEEKDAY(B5732)=7,1,0))))))</f>
        <v>2</v>
      </c>
    </row>
    <row r="5733" spans="2:22">
      <c r="B5733" s="318">
        <f t="shared" si="359"/>
        <v>46351</v>
      </c>
      <c r="C5733" s="312">
        <v>17</v>
      </c>
      <c r="D5733" s="368">
        <f>IFERROR((INDEX(METADATA!$T$2:$T$20,MATCH(B5733,METADATA!$S$2:$S$20,0))),0)</f>
        <v>0</v>
      </c>
      <c r="E5733" s="312" t="str">
        <f t="shared" si="356"/>
        <v>LO</v>
      </c>
      <c r="F5733" s="369">
        <f>VLOOKUP(C5733,METADATA!$A$5:$H$29,IF(E5733="HI",2,IF(E5733="LO",6,10))+IF(D5733=1,2,IF(D5733=7,1,(IF(WEEKDAY(B5733)=1,2,IF(WEEKDAY(B5733)=7,1,0))))))</f>
        <v>2</v>
      </c>
      <c r="G5733" s="369">
        <f>VLOOKUP(C5733,METADATA!$J$5:$Q$29,IF(E5733="HI",2,IF(E5733="LO",6,10))+IF(D5733=1,2,IF(D5733=7,1,(IF(WEEKDAY(B5733)=1,2,IF(WEEKDAY(B5733)=7,1,0))))))</f>
        <v>2</v>
      </c>
      <c r="H5733" s="370">
        <v>12678.5</v>
      </c>
      <c r="I5733" s="370">
        <v>4419.6449279785156</v>
      </c>
      <c r="M5733" s="371">
        <f t="shared" si="357"/>
        <v>13426.750297052753</v>
      </c>
      <c r="N5733" s="329">
        <f t="shared" si="358"/>
        <v>616.0949279785159</v>
      </c>
      <c r="T5733" s="331">
        <v>0</v>
      </c>
      <c r="U5733" s="328">
        <f>VLOOKUP(C5733,METADATA!$J$5:$Q$29,IF(E5733="HI",2,IF(E5733="LO",6,10))+IF(T5733=1,2,IF(D5733=7,1,(IF(WEEKDAY(B5733)=1,2,IF(WEEKDAY(B5733)=7,1,0))))))</f>
        <v>2</v>
      </c>
      <c r="V5733" s="328">
        <f>VLOOKUP(C5733,METADATA!$A$5:$H$29,IF(E5733="HI",2,IF(E5733="LO",6,10))+IF(T5733=1,2,IF(D5733=7,1,(IF(WEEKDAY(B5733)=1,2,IF(WEEKDAY(B5733)=7,1,0))))))</f>
        <v>2</v>
      </c>
    </row>
    <row r="5734" spans="2:22">
      <c r="B5734" s="318">
        <f t="shared" si="359"/>
        <v>46351</v>
      </c>
      <c r="C5734" s="312">
        <v>18</v>
      </c>
      <c r="D5734" s="368">
        <f>IFERROR((INDEX(METADATA!$T$2:$T$20,MATCH(B5734,METADATA!$S$2:$S$20,0))),0)</f>
        <v>0</v>
      </c>
      <c r="E5734" s="312" t="str">
        <f t="shared" si="356"/>
        <v>LO</v>
      </c>
      <c r="F5734" s="369">
        <f>VLOOKUP(C5734,METADATA!$A$5:$H$29,IF(E5734="HI",2,IF(E5734="LO",6,10))+IF(D5734=1,2,IF(D5734=7,1,(IF(WEEKDAY(B5734)=1,2,IF(WEEKDAY(B5734)=7,1,0))))))</f>
        <v>1</v>
      </c>
      <c r="G5734" s="369">
        <f>VLOOKUP(C5734,METADATA!$J$5:$Q$29,IF(E5734="HI",2,IF(E5734="LO",6,10))+IF(D5734=1,2,IF(D5734=7,1,(IF(WEEKDAY(B5734)=1,2,IF(WEEKDAY(B5734)=7,1,0))))))</f>
        <v>1</v>
      </c>
      <c r="H5734" s="370">
        <v>12364.674926757813</v>
      </c>
      <c r="I5734" s="370">
        <v>3992.9550476074219</v>
      </c>
      <c r="M5734" s="371">
        <f t="shared" si="357"/>
        <v>12993.416642923712</v>
      </c>
      <c r="N5734" s="329">
        <f t="shared" si="358"/>
        <v>283.5525695800784</v>
      </c>
      <c r="T5734" s="331">
        <v>0</v>
      </c>
      <c r="U5734" s="328">
        <f>VLOOKUP(C5734,METADATA!$J$5:$Q$29,IF(E5734="HI",2,IF(E5734="LO",6,10))+IF(T5734=1,2,IF(D5734=7,1,(IF(WEEKDAY(B5734)=1,2,IF(WEEKDAY(B5734)=7,1,0))))))</f>
        <v>1</v>
      </c>
      <c r="V5734" s="328">
        <f>VLOOKUP(C5734,METADATA!$A$5:$H$29,IF(E5734="HI",2,IF(E5734="LO",6,10))+IF(T5734=1,2,IF(D5734=7,1,(IF(WEEKDAY(B5734)=1,2,IF(WEEKDAY(B5734)=7,1,0))))))</f>
        <v>1</v>
      </c>
    </row>
    <row r="5735" spans="2:22">
      <c r="B5735" s="318">
        <f t="shared" si="359"/>
        <v>46351</v>
      </c>
      <c r="C5735" s="312">
        <v>19</v>
      </c>
      <c r="D5735" s="368">
        <f>IFERROR((INDEX(METADATA!$T$2:$T$20,MATCH(B5735,METADATA!$S$2:$S$20,0))),0)</f>
        <v>0</v>
      </c>
      <c r="E5735" s="312" t="str">
        <f t="shared" si="356"/>
        <v>LO</v>
      </c>
      <c r="F5735" s="369">
        <f>VLOOKUP(C5735,METADATA!$A$5:$H$29,IF(E5735="HI",2,IF(E5735="LO",6,10))+IF(D5735=1,2,IF(D5735=7,1,(IF(WEEKDAY(B5735)=1,2,IF(WEEKDAY(B5735)=7,1,0))))))</f>
        <v>1</v>
      </c>
      <c r="G5735" s="369">
        <f>VLOOKUP(C5735,METADATA!$J$5:$Q$29,IF(E5735="HI",2,IF(E5735="LO",6,10))+IF(D5735=1,2,IF(D5735=7,1,(IF(WEEKDAY(B5735)=1,2,IF(WEEKDAY(B5735)=7,1,0))))))</f>
        <v>1</v>
      </c>
      <c r="H5735" s="370">
        <v>13000.124816894531</v>
      </c>
      <c r="I5735" s="370">
        <v>4555.1100158691406</v>
      </c>
      <c r="M5735" s="371">
        <f t="shared" si="357"/>
        <v>13775.059800650901</v>
      </c>
      <c r="N5735" s="329">
        <f t="shared" si="358"/>
        <v>655.07257080078125</v>
      </c>
      <c r="T5735" s="331">
        <v>0</v>
      </c>
      <c r="U5735" s="328">
        <f>VLOOKUP(C5735,METADATA!$J$5:$Q$29,IF(E5735="HI",2,IF(E5735="LO",6,10))+IF(T5735=1,2,IF(D5735=7,1,(IF(WEEKDAY(B5735)=1,2,IF(WEEKDAY(B5735)=7,1,0))))))</f>
        <v>1</v>
      </c>
      <c r="V5735" s="328">
        <f>VLOOKUP(C5735,METADATA!$A$5:$H$29,IF(E5735="HI",2,IF(E5735="LO",6,10))+IF(T5735=1,2,IF(D5735=7,1,(IF(WEEKDAY(B5735)=1,2,IF(WEEKDAY(B5735)=7,1,0))))))</f>
        <v>1</v>
      </c>
    </row>
    <row r="5736" spans="2:22">
      <c r="B5736" s="318">
        <f t="shared" si="359"/>
        <v>46351</v>
      </c>
      <c r="C5736" s="312">
        <v>20</v>
      </c>
      <c r="D5736" s="368">
        <f>IFERROR((INDEX(METADATA!$T$2:$T$20,MATCH(B5736,METADATA!$S$2:$S$20,0))),0)</f>
        <v>0</v>
      </c>
      <c r="E5736" s="312" t="str">
        <f t="shared" si="356"/>
        <v>LO</v>
      </c>
      <c r="F5736" s="369">
        <f>VLOOKUP(C5736,METADATA!$A$5:$H$29,IF(E5736="HI",2,IF(E5736="LO",6,10))+IF(D5736=1,2,IF(D5736=7,1,(IF(WEEKDAY(B5736)=1,2,IF(WEEKDAY(B5736)=7,1,0))))))</f>
        <v>1</v>
      </c>
      <c r="G5736" s="369">
        <f>VLOOKUP(C5736,METADATA!$J$5:$Q$29,IF(E5736="HI",2,IF(E5736="LO",6,10))+IF(D5736=1,2,IF(D5736=7,1,(IF(WEEKDAY(B5736)=1,2,IF(WEEKDAY(B5736)=7,1,0))))))</f>
        <v>1</v>
      </c>
      <c r="H5736" s="370">
        <v>13217.77490234375</v>
      </c>
      <c r="I5736" s="370">
        <v>4824.2249145507813</v>
      </c>
      <c r="M5736" s="371">
        <f t="shared" si="357"/>
        <v>14070.633226518301</v>
      </c>
      <c r="N5736" s="329">
        <f t="shared" si="358"/>
        <v>858.89244384765652</v>
      </c>
      <c r="T5736" s="331">
        <v>0</v>
      </c>
      <c r="U5736" s="328">
        <f>VLOOKUP(C5736,METADATA!$J$5:$Q$29,IF(E5736="HI",2,IF(E5736="LO",6,10))+IF(T5736=1,2,IF(D5736=7,1,(IF(WEEKDAY(B5736)=1,2,IF(WEEKDAY(B5736)=7,1,0))))))</f>
        <v>1</v>
      </c>
      <c r="V5736" s="328">
        <f>VLOOKUP(C5736,METADATA!$A$5:$H$29,IF(E5736="HI",2,IF(E5736="LO",6,10))+IF(T5736=1,2,IF(D5736=7,1,(IF(WEEKDAY(B5736)=1,2,IF(WEEKDAY(B5736)=7,1,0))))))</f>
        <v>1</v>
      </c>
    </row>
    <row r="5737" spans="2:22">
      <c r="B5737" s="318">
        <f t="shared" si="359"/>
        <v>46351</v>
      </c>
      <c r="C5737" s="312">
        <v>21</v>
      </c>
      <c r="D5737" s="368">
        <f>IFERROR((INDEX(METADATA!$T$2:$T$20,MATCH(B5737,METADATA!$S$2:$S$20,0))),0)</f>
        <v>0</v>
      </c>
      <c r="E5737" s="312" t="str">
        <f t="shared" si="356"/>
        <v>LO</v>
      </c>
      <c r="F5737" s="369">
        <f>VLOOKUP(C5737,METADATA!$A$5:$H$29,IF(E5737="HI",2,IF(E5737="LO",6,10))+IF(D5737=1,2,IF(D5737=7,1,(IF(WEEKDAY(B5737)=1,2,IF(WEEKDAY(B5737)=7,1,0))))))</f>
        <v>2</v>
      </c>
      <c r="G5737" s="369">
        <f>VLOOKUP(C5737,METADATA!$J$5:$Q$29,IF(E5737="HI",2,IF(E5737="LO",6,10))+IF(D5737=1,2,IF(D5737=7,1,(IF(WEEKDAY(B5737)=1,2,IF(WEEKDAY(B5737)=7,1,0))))))</f>
        <v>2</v>
      </c>
      <c r="H5737" s="370">
        <v>12711.724975585938</v>
      </c>
      <c r="I5737" s="370">
        <v>4634.3500366210938</v>
      </c>
      <c r="M5737" s="371">
        <f t="shared" si="357"/>
        <v>13530.157135704863</v>
      </c>
      <c r="N5737" s="329">
        <f t="shared" si="358"/>
        <v>820.83254394531286</v>
      </c>
      <c r="T5737" s="331">
        <v>0</v>
      </c>
      <c r="U5737" s="328">
        <f>VLOOKUP(C5737,METADATA!$J$5:$Q$29,IF(E5737="HI",2,IF(E5737="LO",6,10))+IF(T5737=1,2,IF(D5737=7,1,(IF(WEEKDAY(B5737)=1,2,IF(WEEKDAY(B5737)=7,1,0))))))</f>
        <v>2</v>
      </c>
      <c r="V5737" s="328">
        <f>VLOOKUP(C5737,METADATA!$A$5:$H$29,IF(E5737="HI",2,IF(E5737="LO",6,10))+IF(T5737=1,2,IF(D5737=7,1,(IF(WEEKDAY(B5737)=1,2,IF(WEEKDAY(B5737)=7,1,0))))))</f>
        <v>2</v>
      </c>
    </row>
    <row r="5738" spans="2:22">
      <c r="B5738" s="318">
        <f t="shared" si="359"/>
        <v>46351</v>
      </c>
      <c r="C5738" s="312">
        <v>22</v>
      </c>
      <c r="D5738" s="368">
        <f>IFERROR((INDEX(METADATA!$T$2:$T$20,MATCH(B5738,METADATA!$S$2:$S$20,0))),0)</f>
        <v>0</v>
      </c>
      <c r="E5738" s="312" t="str">
        <f t="shared" si="356"/>
        <v>LO</v>
      </c>
      <c r="F5738" s="369">
        <f>VLOOKUP(C5738,METADATA!$A$5:$H$29,IF(E5738="HI",2,IF(E5738="LO",6,10))+IF(D5738=1,2,IF(D5738=7,1,(IF(WEEKDAY(B5738)=1,2,IF(WEEKDAY(B5738)=7,1,0))))))</f>
        <v>3</v>
      </c>
      <c r="G5738" s="369">
        <f>VLOOKUP(C5738,METADATA!$J$5:$Q$29,IF(E5738="HI",2,IF(E5738="LO",6,10))+IF(D5738=1,2,IF(D5738=7,1,(IF(WEEKDAY(B5738)=1,2,IF(WEEKDAY(B5738)=7,1,0))))))</f>
        <v>3</v>
      </c>
      <c r="H5738" s="370">
        <v>13437.549621582031</v>
      </c>
      <c r="I5738" s="370">
        <v>5092.1500244140625</v>
      </c>
      <c r="M5738" s="371">
        <f t="shared" si="357"/>
        <v>14370.02893885811</v>
      </c>
      <c r="N5738" s="329">
        <f t="shared" si="358"/>
        <v>1060.8851379394532</v>
      </c>
      <c r="T5738" s="331">
        <v>0</v>
      </c>
      <c r="U5738" s="328">
        <f>VLOOKUP(C5738,METADATA!$J$5:$Q$29,IF(E5738="HI",2,IF(E5738="LO",6,10))+IF(T5738=1,2,IF(D5738=7,1,(IF(WEEKDAY(B5738)=1,2,IF(WEEKDAY(B5738)=7,1,0))))))</f>
        <v>3</v>
      </c>
      <c r="V5738" s="328">
        <f>VLOOKUP(C5738,METADATA!$A$5:$H$29,IF(E5738="HI",2,IF(E5738="LO",6,10))+IF(T5738=1,2,IF(D5738=7,1,(IF(WEEKDAY(B5738)=1,2,IF(WEEKDAY(B5738)=7,1,0))))))</f>
        <v>3</v>
      </c>
    </row>
    <row r="5739" spans="2:22">
      <c r="B5739" s="318">
        <f t="shared" si="359"/>
        <v>46351</v>
      </c>
      <c r="C5739" s="312">
        <v>23</v>
      </c>
      <c r="D5739" s="368">
        <f>IFERROR((INDEX(METADATA!$T$2:$T$20,MATCH(B5739,METADATA!$S$2:$S$20,0))),0)</f>
        <v>0</v>
      </c>
      <c r="E5739" s="312" t="str">
        <f t="shared" si="356"/>
        <v>LO</v>
      </c>
      <c r="F5739" s="369">
        <f>VLOOKUP(C5739,METADATA!$A$5:$H$29,IF(E5739="HI",2,IF(E5739="LO",6,10))+IF(D5739=1,2,IF(D5739=7,1,(IF(WEEKDAY(B5739)=1,2,IF(WEEKDAY(B5739)=7,1,0))))))</f>
        <v>3</v>
      </c>
      <c r="G5739" s="369">
        <f>VLOOKUP(C5739,METADATA!$J$5:$Q$29,IF(E5739="HI",2,IF(E5739="LO",6,10))+IF(D5739=1,2,IF(D5739=7,1,(IF(WEEKDAY(B5739)=1,2,IF(WEEKDAY(B5739)=7,1,0))))))</f>
        <v>3</v>
      </c>
      <c r="H5739" s="370">
        <v>13597.999938964844</v>
      </c>
      <c r="I5739" s="370">
        <v>5198.449951171875</v>
      </c>
      <c r="M5739" s="371">
        <f t="shared" si="357"/>
        <v>14557.798055850575</v>
      </c>
      <c r="N5739" s="329">
        <f t="shared" si="358"/>
        <v>1119.0499694824221</v>
      </c>
      <c r="T5739" s="331">
        <v>0</v>
      </c>
      <c r="U5739" s="328">
        <f>VLOOKUP(C5739,METADATA!$J$5:$Q$29,IF(E5739="HI",2,IF(E5739="LO",6,10))+IF(T5739=1,2,IF(D5739=7,1,(IF(WEEKDAY(B5739)=1,2,IF(WEEKDAY(B5739)=7,1,0))))))</f>
        <v>3</v>
      </c>
      <c r="V5739" s="328">
        <f>VLOOKUP(C5739,METADATA!$A$5:$H$29,IF(E5739="HI",2,IF(E5739="LO",6,10))+IF(T5739=1,2,IF(D5739=7,1,(IF(WEEKDAY(B5739)=1,2,IF(WEEKDAY(B5739)=7,1,0))))))</f>
        <v>3</v>
      </c>
    </row>
    <row r="5740" spans="2:22">
      <c r="B5740" s="318">
        <f t="shared" si="359"/>
        <v>46352</v>
      </c>
      <c r="C5740" s="312">
        <v>0</v>
      </c>
      <c r="D5740" s="368">
        <f>IFERROR((INDEX(METADATA!$T$2:$T$20,MATCH(B5740,METADATA!$S$2:$S$20,0))),0)</f>
        <v>0</v>
      </c>
      <c r="E5740" s="312" t="str">
        <f t="shared" si="356"/>
        <v>LO</v>
      </c>
      <c r="F5740" s="369">
        <f>VLOOKUP(C5740,METADATA!$A$5:$H$29,IF(E5740="HI",2,IF(E5740="LO",6,10))+IF(D5740=1,2,IF(D5740=7,1,(IF(WEEKDAY(B5740)=1,2,IF(WEEKDAY(B5740)=7,1,0))))))</f>
        <v>3</v>
      </c>
      <c r="G5740" s="369">
        <f>VLOOKUP(C5740,METADATA!$J$5:$Q$29,IF(E5740="HI",2,IF(E5740="LO",6,10))+IF(D5740=1,2,IF(D5740=7,1,(IF(WEEKDAY(B5740)=1,2,IF(WEEKDAY(B5740)=7,1,0))))))</f>
        <v>3</v>
      </c>
      <c r="H5740" s="370">
        <v>12561.724975585938</v>
      </c>
      <c r="I5740" s="370">
        <v>4750.625</v>
      </c>
      <c r="M5740" s="371">
        <f t="shared" si="357"/>
        <v>13430.017582002061</v>
      </c>
      <c r="N5740" s="329">
        <f t="shared" si="358"/>
        <v>982.10750732421911</v>
      </c>
      <c r="T5740" s="331">
        <v>0</v>
      </c>
      <c r="U5740" s="328">
        <f>VLOOKUP(C5740,METADATA!$J$5:$Q$29,IF(E5740="HI",2,IF(E5740="LO",6,10))+IF(T5740=1,2,IF(D5740=7,1,(IF(WEEKDAY(B5740)=1,2,IF(WEEKDAY(B5740)=7,1,0))))))</f>
        <v>3</v>
      </c>
      <c r="V5740" s="328">
        <f>VLOOKUP(C5740,METADATA!$A$5:$H$29,IF(E5740="HI",2,IF(E5740="LO",6,10))+IF(T5740=1,2,IF(D5740=7,1,(IF(WEEKDAY(B5740)=1,2,IF(WEEKDAY(B5740)=7,1,0))))))</f>
        <v>3</v>
      </c>
    </row>
    <row r="5741" spans="2:22">
      <c r="B5741" s="318">
        <f t="shared" si="359"/>
        <v>46352</v>
      </c>
      <c r="C5741" s="312">
        <v>1</v>
      </c>
      <c r="D5741" s="368">
        <f>IFERROR((INDEX(METADATA!$T$2:$T$20,MATCH(B5741,METADATA!$S$2:$S$20,0))),0)</f>
        <v>0</v>
      </c>
      <c r="E5741" s="312" t="str">
        <f t="shared" si="356"/>
        <v>LO</v>
      </c>
      <c r="F5741" s="369">
        <f>VLOOKUP(C5741,METADATA!$A$5:$H$29,IF(E5741="HI",2,IF(E5741="LO",6,10))+IF(D5741=1,2,IF(D5741=7,1,(IF(WEEKDAY(B5741)=1,2,IF(WEEKDAY(B5741)=7,1,0))))))</f>
        <v>3</v>
      </c>
      <c r="G5741" s="369">
        <f>VLOOKUP(C5741,METADATA!$J$5:$Q$29,IF(E5741="HI",2,IF(E5741="LO",6,10))+IF(D5741=1,2,IF(D5741=7,1,(IF(WEEKDAY(B5741)=1,2,IF(WEEKDAY(B5741)=7,1,0))))))</f>
        <v>3</v>
      </c>
      <c r="H5741" s="370">
        <v>11440.427307128906</v>
      </c>
      <c r="I5741" s="370">
        <v>3930.8374633789063</v>
      </c>
      <c r="M5741" s="371">
        <f t="shared" si="357"/>
        <v>12096.894648346899</v>
      </c>
      <c r="N5741" s="329">
        <f t="shared" si="358"/>
        <v>498.70927124023456</v>
      </c>
      <c r="T5741" s="331">
        <v>0</v>
      </c>
      <c r="U5741" s="328">
        <f>VLOOKUP(C5741,METADATA!$J$5:$Q$29,IF(E5741="HI",2,IF(E5741="LO",6,10))+IF(T5741=1,2,IF(D5741=7,1,(IF(WEEKDAY(B5741)=1,2,IF(WEEKDAY(B5741)=7,1,0))))))</f>
        <v>3</v>
      </c>
      <c r="V5741" s="328">
        <f>VLOOKUP(C5741,METADATA!$A$5:$H$29,IF(E5741="HI",2,IF(E5741="LO",6,10))+IF(T5741=1,2,IF(D5741=7,1,(IF(WEEKDAY(B5741)=1,2,IF(WEEKDAY(B5741)=7,1,0))))))</f>
        <v>3</v>
      </c>
    </row>
    <row r="5742" spans="2:22">
      <c r="B5742" s="318">
        <f t="shared" si="359"/>
        <v>46352</v>
      </c>
      <c r="C5742" s="312">
        <v>2</v>
      </c>
      <c r="D5742" s="368">
        <f>IFERROR((INDEX(METADATA!$T$2:$T$20,MATCH(B5742,METADATA!$S$2:$S$20,0))),0)</f>
        <v>0</v>
      </c>
      <c r="E5742" s="312" t="str">
        <f t="shared" si="356"/>
        <v>LO</v>
      </c>
      <c r="F5742" s="369">
        <f>VLOOKUP(C5742,METADATA!$A$5:$H$29,IF(E5742="HI",2,IF(E5742="LO",6,10))+IF(D5742=1,2,IF(D5742=7,1,(IF(WEEKDAY(B5742)=1,2,IF(WEEKDAY(B5742)=7,1,0))))))</f>
        <v>3</v>
      </c>
      <c r="G5742" s="369">
        <f>VLOOKUP(C5742,METADATA!$J$5:$Q$29,IF(E5742="HI",2,IF(E5742="LO",6,10))+IF(D5742=1,2,IF(D5742=7,1,(IF(WEEKDAY(B5742)=1,2,IF(WEEKDAY(B5742)=7,1,0))))))</f>
        <v>3</v>
      </c>
      <c r="H5742" s="370">
        <v>11545.774719238281</v>
      </c>
      <c r="I5742" s="370">
        <v>3939.1073913574219</v>
      </c>
      <c r="M5742" s="371">
        <f t="shared" si="357"/>
        <v>12199.240997211609</v>
      </c>
      <c r="N5742" s="329">
        <f t="shared" si="358"/>
        <v>475.37497558593759</v>
      </c>
      <c r="T5742" s="331">
        <v>0</v>
      </c>
      <c r="U5742" s="328">
        <f>VLOOKUP(C5742,METADATA!$J$5:$Q$29,IF(E5742="HI",2,IF(E5742="LO",6,10))+IF(T5742=1,2,IF(D5742=7,1,(IF(WEEKDAY(B5742)=1,2,IF(WEEKDAY(B5742)=7,1,0))))))</f>
        <v>3</v>
      </c>
      <c r="V5742" s="328">
        <f>VLOOKUP(C5742,METADATA!$A$5:$H$29,IF(E5742="HI",2,IF(E5742="LO",6,10))+IF(T5742=1,2,IF(D5742=7,1,(IF(WEEKDAY(B5742)=1,2,IF(WEEKDAY(B5742)=7,1,0))))))</f>
        <v>3</v>
      </c>
    </row>
    <row r="5743" spans="2:22">
      <c r="B5743" s="318">
        <f t="shared" si="359"/>
        <v>46352</v>
      </c>
      <c r="C5743" s="312">
        <v>3</v>
      </c>
      <c r="D5743" s="368">
        <f>IFERROR((INDEX(METADATA!$T$2:$T$20,MATCH(B5743,METADATA!$S$2:$S$20,0))),0)</f>
        <v>0</v>
      </c>
      <c r="E5743" s="312" t="str">
        <f t="shared" si="356"/>
        <v>LO</v>
      </c>
      <c r="F5743" s="369">
        <f>VLOOKUP(C5743,METADATA!$A$5:$H$29,IF(E5743="HI",2,IF(E5743="LO",6,10))+IF(D5743=1,2,IF(D5743=7,1,(IF(WEEKDAY(B5743)=1,2,IF(WEEKDAY(B5743)=7,1,0))))))</f>
        <v>3</v>
      </c>
      <c r="G5743" s="369">
        <f>VLOOKUP(C5743,METADATA!$J$5:$Q$29,IF(E5743="HI",2,IF(E5743="LO",6,10))+IF(D5743=1,2,IF(D5743=7,1,(IF(WEEKDAY(B5743)=1,2,IF(WEEKDAY(B5743)=7,1,0))))))</f>
        <v>3</v>
      </c>
      <c r="H5743" s="370">
        <v>11662.750061035156</v>
      </c>
      <c r="I5743" s="370">
        <v>4010.0226135253906</v>
      </c>
      <c r="M5743" s="371">
        <f t="shared" si="357"/>
        <v>12332.883699571668</v>
      </c>
      <c r="N5743" s="329">
        <f t="shared" si="358"/>
        <v>511.19759521484366</v>
      </c>
      <c r="T5743" s="331">
        <v>0</v>
      </c>
      <c r="U5743" s="328">
        <f>VLOOKUP(C5743,METADATA!$J$5:$Q$29,IF(E5743="HI",2,IF(E5743="LO",6,10))+IF(T5743=1,2,IF(D5743=7,1,(IF(WEEKDAY(B5743)=1,2,IF(WEEKDAY(B5743)=7,1,0))))))</f>
        <v>3</v>
      </c>
      <c r="V5743" s="328">
        <f>VLOOKUP(C5743,METADATA!$A$5:$H$29,IF(E5743="HI",2,IF(E5743="LO",6,10))+IF(T5743=1,2,IF(D5743=7,1,(IF(WEEKDAY(B5743)=1,2,IF(WEEKDAY(B5743)=7,1,0))))))</f>
        <v>3</v>
      </c>
    </row>
    <row r="5744" spans="2:22">
      <c r="B5744" s="318">
        <f t="shared" si="359"/>
        <v>46352</v>
      </c>
      <c r="C5744" s="312">
        <v>4</v>
      </c>
      <c r="D5744" s="368">
        <f>IFERROR((INDEX(METADATA!$T$2:$T$20,MATCH(B5744,METADATA!$S$2:$S$20,0))),0)</f>
        <v>0</v>
      </c>
      <c r="E5744" s="312" t="str">
        <f t="shared" si="356"/>
        <v>LO</v>
      </c>
      <c r="F5744" s="369">
        <f>VLOOKUP(C5744,METADATA!$A$5:$H$29,IF(E5744="HI",2,IF(E5744="LO",6,10))+IF(D5744=1,2,IF(D5744=7,1,(IF(WEEKDAY(B5744)=1,2,IF(WEEKDAY(B5744)=7,1,0))))))</f>
        <v>3</v>
      </c>
      <c r="G5744" s="369">
        <f>VLOOKUP(C5744,METADATA!$J$5:$Q$29,IF(E5744="HI",2,IF(E5744="LO",6,10))+IF(D5744=1,2,IF(D5744=7,1,(IF(WEEKDAY(B5744)=1,2,IF(WEEKDAY(B5744)=7,1,0))))))</f>
        <v>3</v>
      </c>
      <c r="H5744" s="370">
        <v>13371.275085449219</v>
      </c>
      <c r="I5744" s="370">
        <v>4881.9999694824219</v>
      </c>
      <c r="M5744" s="371">
        <f t="shared" si="357"/>
        <v>14234.638074527269</v>
      </c>
      <c r="N5744" s="329">
        <f t="shared" si="358"/>
        <v>870.61744384765643</v>
      </c>
      <c r="T5744" s="331">
        <v>0</v>
      </c>
      <c r="U5744" s="328">
        <f>VLOOKUP(C5744,METADATA!$J$5:$Q$29,IF(E5744="HI",2,IF(E5744="LO",6,10))+IF(T5744=1,2,IF(D5744=7,1,(IF(WEEKDAY(B5744)=1,2,IF(WEEKDAY(B5744)=7,1,0))))))</f>
        <v>3</v>
      </c>
      <c r="V5744" s="328">
        <f>VLOOKUP(C5744,METADATA!$A$5:$H$29,IF(E5744="HI",2,IF(E5744="LO",6,10))+IF(T5744=1,2,IF(D5744=7,1,(IF(WEEKDAY(B5744)=1,2,IF(WEEKDAY(B5744)=7,1,0))))))</f>
        <v>3</v>
      </c>
    </row>
    <row r="5745" spans="2:22">
      <c r="B5745" s="318">
        <f t="shared" si="359"/>
        <v>46352</v>
      </c>
      <c r="C5745" s="312">
        <v>5</v>
      </c>
      <c r="D5745" s="368">
        <f>IFERROR((INDEX(METADATA!$T$2:$T$20,MATCH(B5745,METADATA!$S$2:$S$20,0))),0)</f>
        <v>0</v>
      </c>
      <c r="E5745" s="312" t="str">
        <f t="shared" si="356"/>
        <v>LO</v>
      </c>
      <c r="F5745" s="369">
        <f>VLOOKUP(C5745,METADATA!$A$5:$H$29,IF(E5745="HI",2,IF(E5745="LO",6,10))+IF(D5745=1,2,IF(D5745=7,1,(IF(WEEKDAY(B5745)=1,2,IF(WEEKDAY(B5745)=7,1,0))))))</f>
        <v>3</v>
      </c>
      <c r="G5745" s="369">
        <f>VLOOKUP(C5745,METADATA!$J$5:$Q$29,IF(E5745="HI",2,IF(E5745="LO",6,10))+IF(D5745=1,2,IF(D5745=7,1,(IF(WEEKDAY(B5745)=1,2,IF(WEEKDAY(B5745)=7,1,0))))))</f>
        <v>3</v>
      </c>
      <c r="H5745" s="370">
        <v>13471.149963378906</v>
      </c>
      <c r="I5745" s="370">
        <v>4897.780029296875</v>
      </c>
      <c r="M5745" s="371">
        <f t="shared" si="357"/>
        <v>14333.880512660304</v>
      </c>
      <c r="N5745" s="329">
        <f t="shared" si="358"/>
        <v>856.43504028320331</v>
      </c>
      <c r="T5745" s="331">
        <v>0</v>
      </c>
      <c r="U5745" s="328">
        <f>VLOOKUP(C5745,METADATA!$J$5:$Q$29,IF(E5745="HI",2,IF(E5745="LO",6,10))+IF(T5745=1,2,IF(D5745=7,1,(IF(WEEKDAY(B5745)=1,2,IF(WEEKDAY(B5745)=7,1,0))))))</f>
        <v>3</v>
      </c>
      <c r="V5745" s="328">
        <f>VLOOKUP(C5745,METADATA!$A$5:$H$29,IF(E5745="HI",2,IF(E5745="LO",6,10))+IF(T5745=1,2,IF(D5745=7,1,(IF(WEEKDAY(B5745)=1,2,IF(WEEKDAY(B5745)=7,1,0))))))</f>
        <v>3</v>
      </c>
    </row>
    <row r="5746" spans="2:22">
      <c r="B5746" s="318">
        <f t="shared" si="359"/>
        <v>46352</v>
      </c>
      <c r="C5746" s="312">
        <v>6</v>
      </c>
      <c r="D5746" s="368">
        <f>IFERROR((INDEX(METADATA!$T$2:$T$20,MATCH(B5746,METADATA!$S$2:$S$20,0))),0)</f>
        <v>0</v>
      </c>
      <c r="E5746" s="312" t="str">
        <f t="shared" si="356"/>
        <v>LO</v>
      </c>
      <c r="F5746" s="369">
        <f>VLOOKUP(C5746,METADATA!$A$5:$H$29,IF(E5746="HI",2,IF(E5746="LO",6,10))+IF(D5746=1,2,IF(D5746=7,1,(IF(WEEKDAY(B5746)=1,2,IF(WEEKDAY(B5746)=7,1,0))))))</f>
        <v>2</v>
      </c>
      <c r="G5746" s="369">
        <f>VLOOKUP(C5746,METADATA!$J$5:$Q$29,IF(E5746="HI",2,IF(E5746="LO",6,10))+IF(D5746=1,2,IF(D5746=7,1,(IF(WEEKDAY(B5746)=1,2,IF(WEEKDAY(B5746)=7,1,0))))))</f>
        <v>2</v>
      </c>
      <c r="H5746" s="370">
        <v>13455.60009765625</v>
      </c>
      <c r="I5746" s="370">
        <v>5028.8500366210938</v>
      </c>
      <c r="M5746" s="371">
        <f t="shared" si="357"/>
        <v>14364.626924458249</v>
      </c>
      <c r="N5746" s="329">
        <f t="shared" si="358"/>
        <v>992.17000732421911</v>
      </c>
      <c r="T5746" s="331">
        <v>0</v>
      </c>
      <c r="U5746" s="328">
        <f>VLOOKUP(C5746,METADATA!$J$5:$Q$29,IF(E5746="HI",2,IF(E5746="LO",6,10))+IF(T5746=1,2,IF(D5746=7,1,(IF(WEEKDAY(B5746)=1,2,IF(WEEKDAY(B5746)=7,1,0))))))</f>
        <v>2</v>
      </c>
      <c r="V5746" s="328">
        <f>VLOOKUP(C5746,METADATA!$A$5:$H$29,IF(E5746="HI",2,IF(E5746="LO",6,10))+IF(T5746=1,2,IF(D5746=7,1,(IF(WEEKDAY(B5746)=1,2,IF(WEEKDAY(B5746)=7,1,0))))))</f>
        <v>2</v>
      </c>
    </row>
    <row r="5747" spans="2:22">
      <c r="B5747" s="318">
        <f t="shared" si="359"/>
        <v>46352</v>
      </c>
      <c r="C5747" s="312">
        <v>7</v>
      </c>
      <c r="D5747" s="368">
        <f>IFERROR((INDEX(METADATA!$T$2:$T$20,MATCH(B5747,METADATA!$S$2:$S$20,0))),0)</f>
        <v>0</v>
      </c>
      <c r="E5747" s="312" t="str">
        <f t="shared" si="356"/>
        <v>LO</v>
      </c>
      <c r="F5747" s="369">
        <f>VLOOKUP(C5747,METADATA!$A$5:$H$29,IF(E5747="HI",2,IF(E5747="LO",6,10))+IF(D5747=1,2,IF(D5747=7,1,(IF(WEEKDAY(B5747)=1,2,IF(WEEKDAY(B5747)=7,1,0))))))</f>
        <v>1</v>
      </c>
      <c r="G5747" s="369">
        <f>VLOOKUP(C5747,METADATA!$J$5:$Q$29,IF(E5747="HI",2,IF(E5747="LO",6,10))+IF(D5747=1,2,IF(D5747=7,1,(IF(WEEKDAY(B5747)=1,2,IF(WEEKDAY(B5747)=7,1,0))))))</f>
        <v>1</v>
      </c>
      <c r="H5747" s="370">
        <v>13651.924743652344</v>
      </c>
      <c r="I5747" s="370">
        <v>5022.2750854492188</v>
      </c>
      <c r="M5747" s="371">
        <f t="shared" si="357"/>
        <v>14546.418674033519</v>
      </c>
      <c r="N5747" s="329">
        <f t="shared" si="358"/>
        <v>926.69766235351563</v>
      </c>
      <c r="T5747" s="331">
        <v>0</v>
      </c>
      <c r="U5747" s="328">
        <f>VLOOKUP(C5747,METADATA!$J$5:$Q$29,IF(E5747="HI",2,IF(E5747="LO",6,10))+IF(T5747=1,2,IF(D5747=7,1,(IF(WEEKDAY(B5747)=1,2,IF(WEEKDAY(B5747)=7,1,0))))))</f>
        <v>1</v>
      </c>
      <c r="V5747" s="328">
        <f>VLOOKUP(C5747,METADATA!$A$5:$H$29,IF(E5747="HI",2,IF(E5747="LO",6,10))+IF(T5747=1,2,IF(D5747=7,1,(IF(WEEKDAY(B5747)=1,2,IF(WEEKDAY(B5747)=7,1,0))))))</f>
        <v>1</v>
      </c>
    </row>
    <row r="5748" spans="2:22">
      <c r="B5748" s="318">
        <f t="shared" si="359"/>
        <v>46352</v>
      </c>
      <c r="C5748" s="312">
        <v>8</v>
      </c>
      <c r="D5748" s="368">
        <f>IFERROR((INDEX(METADATA!$T$2:$T$20,MATCH(B5748,METADATA!$S$2:$S$20,0))),0)</f>
        <v>0</v>
      </c>
      <c r="E5748" s="312" t="str">
        <f t="shared" si="356"/>
        <v>LO</v>
      </c>
      <c r="F5748" s="369">
        <f>VLOOKUP(C5748,METADATA!$A$5:$H$29,IF(E5748="HI",2,IF(E5748="LO",6,10))+IF(D5748=1,2,IF(D5748=7,1,(IF(WEEKDAY(B5748)=1,2,IF(WEEKDAY(B5748)=7,1,0))))))</f>
        <v>1</v>
      </c>
      <c r="G5748" s="369">
        <f>VLOOKUP(C5748,METADATA!$J$5:$Q$29,IF(E5748="HI",2,IF(E5748="LO",6,10))+IF(D5748=1,2,IF(D5748=7,1,(IF(WEEKDAY(B5748)=1,2,IF(WEEKDAY(B5748)=7,1,0))))))</f>
        <v>1</v>
      </c>
      <c r="H5748" s="370">
        <v>13788.899963378906</v>
      </c>
      <c r="I5748" s="370">
        <v>5169.2750854492188</v>
      </c>
      <c r="M5748" s="371">
        <f t="shared" si="357"/>
        <v>14726.00309347777</v>
      </c>
      <c r="N5748" s="329">
        <f t="shared" si="358"/>
        <v>1032.6050964355472</v>
      </c>
      <c r="T5748" s="331">
        <v>0</v>
      </c>
      <c r="U5748" s="328">
        <f>VLOOKUP(C5748,METADATA!$J$5:$Q$29,IF(E5748="HI",2,IF(E5748="LO",6,10))+IF(T5748=1,2,IF(D5748=7,1,(IF(WEEKDAY(B5748)=1,2,IF(WEEKDAY(B5748)=7,1,0))))))</f>
        <v>1</v>
      </c>
      <c r="V5748" s="328">
        <f>VLOOKUP(C5748,METADATA!$A$5:$H$29,IF(E5748="HI",2,IF(E5748="LO",6,10))+IF(T5748=1,2,IF(D5748=7,1,(IF(WEEKDAY(B5748)=1,2,IF(WEEKDAY(B5748)=7,1,0))))))</f>
        <v>1</v>
      </c>
    </row>
    <row r="5749" spans="2:22">
      <c r="B5749" s="318">
        <f t="shared" si="359"/>
        <v>46352</v>
      </c>
      <c r="C5749" s="312">
        <v>9</v>
      </c>
      <c r="D5749" s="368">
        <f>IFERROR((INDEX(METADATA!$T$2:$T$20,MATCH(B5749,METADATA!$S$2:$S$20,0))),0)</f>
        <v>0</v>
      </c>
      <c r="E5749" s="312" t="str">
        <f t="shared" si="356"/>
        <v>LO</v>
      </c>
      <c r="F5749" s="369">
        <f>VLOOKUP(C5749,METADATA!$A$5:$H$29,IF(E5749="HI",2,IF(E5749="LO",6,10))+IF(D5749=1,2,IF(D5749=7,1,(IF(WEEKDAY(B5749)=1,2,IF(WEEKDAY(B5749)=7,1,0))))))</f>
        <v>2</v>
      </c>
      <c r="G5749" s="369">
        <f>VLOOKUP(C5749,METADATA!$J$5:$Q$29,IF(E5749="HI",2,IF(E5749="LO",6,10))+IF(D5749=1,2,IF(D5749=7,1,(IF(WEEKDAY(B5749)=1,2,IF(WEEKDAY(B5749)=7,1,0))))))</f>
        <v>2</v>
      </c>
      <c r="H5749" s="370">
        <v>13672.350219726563</v>
      </c>
      <c r="I5749" s="370">
        <v>5251.0999755859375</v>
      </c>
      <c r="M5749" s="371">
        <f t="shared" si="357"/>
        <v>14646.064709827537</v>
      </c>
      <c r="N5749" s="329">
        <f t="shared" si="358"/>
        <v>1149.3949096679689</v>
      </c>
      <c r="T5749" s="331">
        <v>0</v>
      </c>
      <c r="U5749" s="328">
        <f>VLOOKUP(C5749,METADATA!$J$5:$Q$29,IF(E5749="HI",2,IF(E5749="LO",6,10))+IF(T5749=1,2,IF(D5749=7,1,(IF(WEEKDAY(B5749)=1,2,IF(WEEKDAY(B5749)=7,1,0))))))</f>
        <v>2</v>
      </c>
      <c r="V5749" s="328">
        <f>VLOOKUP(C5749,METADATA!$A$5:$H$29,IF(E5749="HI",2,IF(E5749="LO",6,10))+IF(T5749=1,2,IF(D5749=7,1,(IF(WEEKDAY(B5749)=1,2,IF(WEEKDAY(B5749)=7,1,0))))))</f>
        <v>2</v>
      </c>
    </row>
    <row r="5750" spans="2:22">
      <c r="B5750" s="318">
        <f t="shared" si="359"/>
        <v>46352</v>
      </c>
      <c r="C5750" s="312">
        <v>10</v>
      </c>
      <c r="D5750" s="368">
        <f>IFERROR((INDEX(METADATA!$T$2:$T$20,MATCH(B5750,METADATA!$S$2:$S$20,0))),0)</f>
        <v>0</v>
      </c>
      <c r="E5750" s="312" t="str">
        <f t="shared" si="356"/>
        <v>LO</v>
      </c>
      <c r="F5750" s="369">
        <f>VLOOKUP(C5750,METADATA!$A$5:$H$29,IF(E5750="HI",2,IF(E5750="LO",6,10))+IF(D5750=1,2,IF(D5750=7,1,(IF(WEEKDAY(B5750)=1,2,IF(WEEKDAY(B5750)=7,1,0))))))</f>
        <v>2</v>
      </c>
      <c r="G5750" s="369">
        <f>VLOOKUP(C5750,METADATA!$J$5:$Q$29,IF(E5750="HI",2,IF(E5750="LO",6,10))+IF(D5750=1,2,IF(D5750=7,1,(IF(WEEKDAY(B5750)=1,2,IF(WEEKDAY(B5750)=7,1,0))))))</f>
        <v>2</v>
      </c>
      <c r="H5750" s="370">
        <v>13810.799621582031</v>
      </c>
      <c r="I5750" s="370">
        <v>5135.074951171875</v>
      </c>
      <c r="M5750" s="371">
        <f t="shared" si="357"/>
        <v>14734.557371758516</v>
      </c>
      <c r="N5750" s="329">
        <f t="shared" si="358"/>
        <v>991.83506469726581</v>
      </c>
      <c r="T5750" s="331">
        <v>0</v>
      </c>
      <c r="U5750" s="328">
        <f>VLOOKUP(C5750,METADATA!$J$5:$Q$29,IF(E5750="HI",2,IF(E5750="LO",6,10))+IF(T5750=1,2,IF(D5750=7,1,(IF(WEEKDAY(B5750)=1,2,IF(WEEKDAY(B5750)=7,1,0))))))</f>
        <v>2</v>
      </c>
      <c r="V5750" s="328">
        <f>VLOOKUP(C5750,METADATA!$A$5:$H$29,IF(E5750="HI",2,IF(E5750="LO",6,10))+IF(T5750=1,2,IF(D5750=7,1,(IF(WEEKDAY(B5750)=1,2,IF(WEEKDAY(B5750)=7,1,0))))))</f>
        <v>2</v>
      </c>
    </row>
    <row r="5751" spans="2:22">
      <c r="B5751" s="318">
        <f t="shared" si="359"/>
        <v>46352</v>
      </c>
      <c r="C5751" s="312">
        <v>11</v>
      </c>
      <c r="D5751" s="368">
        <f>IFERROR((INDEX(METADATA!$T$2:$T$20,MATCH(B5751,METADATA!$S$2:$S$20,0))),0)</f>
        <v>0</v>
      </c>
      <c r="E5751" s="312" t="str">
        <f t="shared" si="356"/>
        <v>LO</v>
      </c>
      <c r="F5751" s="369">
        <f>VLOOKUP(C5751,METADATA!$A$5:$H$29,IF(E5751="HI",2,IF(E5751="LO",6,10))+IF(D5751=1,2,IF(D5751=7,1,(IF(WEEKDAY(B5751)=1,2,IF(WEEKDAY(B5751)=7,1,0))))))</f>
        <v>2</v>
      </c>
      <c r="G5751" s="369">
        <f>VLOOKUP(C5751,METADATA!$J$5:$Q$29,IF(E5751="HI",2,IF(E5751="LO",6,10))+IF(D5751=1,2,IF(D5751=7,1,(IF(WEEKDAY(B5751)=1,2,IF(WEEKDAY(B5751)=7,1,0))))))</f>
        <v>2</v>
      </c>
      <c r="H5751" s="370">
        <v>13935.575073242188</v>
      </c>
      <c r="I5751" s="370">
        <v>5036.3500366210938</v>
      </c>
      <c r="M5751" s="371">
        <f t="shared" si="357"/>
        <v>14817.728378983813</v>
      </c>
      <c r="N5751" s="329">
        <f t="shared" si="358"/>
        <v>855.67751464843786</v>
      </c>
      <c r="T5751" s="331">
        <v>0</v>
      </c>
      <c r="U5751" s="328">
        <f>VLOOKUP(C5751,METADATA!$J$5:$Q$29,IF(E5751="HI",2,IF(E5751="LO",6,10))+IF(T5751=1,2,IF(D5751=7,1,(IF(WEEKDAY(B5751)=1,2,IF(WEEKDAY(B5751)=7,1,0))))))</f>
        <v>2</v>
      </c>
      <c r="V5751" s="328">
        <f>VLOOKUP(C5751,METADATA!$A$5:$H$29,IF(E5751="HI",2,IF(E5751="LO",6,10))+IF(T5751=1,2,IF(D5751=7,1,(IF(WEEKDAY(B5751)=1,2,IF(WEEKDAY(B5751)=7,1,0))))))</f>
        <v>2</v>
      </c>
    </row>
    <row r="5752" spans="2:22">
      <c r="B5752" s="318">
        <f t="shared" si="359"/>
        <v>46352</v>
      </c>
      <c r="C5752" s="312">
        <v>12</v>
      </c>
      <c r="D5752" s="368">
        <f>IFERROR((INDEX(METADATA!$T$2:$T$20,MATCH(B5752,METADATA!$S$2:$S$20,0))),0)</f>
        <v>0</v>
      </c>
      <c r="E5752" s="312" t="str">
        <f t="shared" si="356"/>
        <v>LO</v>
      </c>
      <c r="F5752" s="369">
        <f>VLOOKUP(C5752,METADATA!$A$5:$H$29,IF(E5752="HI",2,IF(E5752="LO",6,10))+IF(D5752=1,2,IF(D5752=7,1,(IF(WEEKDAY(B5752)=1,2,IF(WEEKDAY(B5752)=7,1,0))))))</f>
        <v>2</v>
      </c>
      <c r="G5752" s="369">
        <f>VLOOKUP(C5752,METADATA!$J$5:$Q$29,IF(E5752="HI",2,IF(E5752="LO",6,10))+IF(D5752=1,2,IF(D5752=7,1,(IF(WEEKDAY(B5752)=1,2,IF(WEEKDAY(B5752)=7,1,0))))))</f>
        <v>2</v>
      </c>
      <c r="H5752" s="370">
        <v>14086.324951171875</v>
      </c>
      <c r="I5752" s="370">
        <v>5295.1250610351563</v>
      </c>
      <c r="M5752" s="371">
        <f t="shared" si="357"/>
        <v>15048.684329269781</v>
      </c>
      <c r="N5752" s="329">
        <f t="shared" si="358"/>
        <v>1069.2275756835943</v>
      </c>
      <c r="T5752" s="331">
        <v>0</v>
      </c>
      <c r="U5752" s="328">
        <f>VLOOKUP(C5752,METADATA!$J$5:$Q$29,IF(E5752="HI",2,IF(E5752="LO",6,10))+IF(T5752=1,2,IF(D5752=7,1,(IF(WEEKDAY(B5752)=1,2,IF(WEEKDAY(B5752)=7,1,0))))))</f>
        <v>2</v>
      </c>
      <c r="V5752" s="328">
        <f>VLOOKUP(C5752,METADATA!$A$5:$H$29,IF(E5752="HI",2,IF(E5752="LO",6,10))+IF(T5752=1,2,IF(D5752=7,1,(IF(WEEKDAY(B5752)=1,2,IF(WEEKDAY(B5752)=7,1,0))))))</f>
        <v>2</v>
      </c>
    </row>
    <row r="5753" spans="2:22">
      <c r="B5753" s="318">
        <f t="shared" si="359"/>
        <v>46352</v>
      </c>
      <c r="C5753" s="312">
        <v>13</v>
      </c>
      <c r="D5753" s="368">
        <f>IFERROR((INDEX(METADATA!$T$2:$T$20,MATCH(B5753,METADATA!$S$2:$S$20,0))),0)</f>
        <v>0</v>
      </c>
      <c r="E5753" s="312" t="str">
        <f t="shared" si="356"/>
        <v>LO</v>
      </c>
      <c r="F5753" s="369">
        <f>VLOOKUP(C5753,METADATA!$A$5:$H$29,IF(E5753="HI",2,IF(E5753="LO",6,10))+IF(D5753=1,2,IF(D5753=7,1,(IF(WEEKDAY(B5753)=1,2,IF(WEEKDAY(B5753)=7,1,0))))))</f>
        <v>2</v>
      </c>
      <c r="G5753" s="369">
        <f>VLOOKUP(C5753,METADATA!$J$5:$Q$29,IF(E5753="HI",2,IF(E5753="LO",6,10))+IF(D5753=1,2,IF(D5753=7,1,(IF(WEEKDAY(B5753)=1,2,IF(WEEKDAY(B5753)=7,1,0))))))</f>
        <v>2</v>
      </c>
      <c r="H5753" s="370">
        <v>14106.899841308594</v>
      </c>
      <c r="I5753" s="370">
        <v>5309.35009765625</v>
      </c>
      <c r="M5753" s="371">
        <f t="shared" si="357"/>
        <v>15072.949996340956</v>
      </c>
      <c r="N5753" s="329">
        <f t="shared" si="358"/>
        <v>1077.2801452636722</v>
      </c>
      <c r="T5753" s="331">
        <v>0</v>
      </c>
      <c r="U5753" s="328">
        <f>VLOOKUP(C5753,METADATA!$J$5:$Q$29,IF(E5753="HI",2,IF(E5753="LO",6,10))+IF(T5753=1,2,IF(D5753=7,1,(IF(WEEKDAY(B5753)=1,2,IF(WEEKDAY(B5753)=7,1,0))))))</f>
        <v>2</v>
      </c>
      <c r="V5753" s="328">
        <f>VLOOKUP(C5753,METADATA!$A$5:$H$29,IF(E5753="HI",2,IF(E5753="LO",6,10))+IF(T5753=1,2,IF(D5753=7,1,(IF(WEEKDAY(B5753)=1,2,IF(WEEKDAY(B5753)=7,1,0))))))</f>
        <v>2</v>
      </c>
    </row>
    <row r="5754" spans="2:22">
      <c r="B5754" s="318">
        <f t="shared" si="359"/>
        <v>46352</v>
      </c>
      <c r="C5754" s="312">
        <v>14</v>
      </c>
      <c r="D5754" s="368">
        <f>IFERROR((INDEX(METADATA!$T$2:$T$20,MATCH(B5754,METADATA!$S$2:$S$20,0))),0)</f>
        <v>0</v>
      </c>
      <c r="E5754" s="312" t="str">
        <f t="shared" si="356"/>
        <v>LO</v>
      </c>
      <c r="F5754" s="369">
        <f>VLOOKUP(C5754,METADATA!$A$5:$H$29,IF(E5754="HI",2,IF(E5754="LO",6,10))+IF(D5754=1,2,IF(D5754=7,1,(IF(WEEKDAY(B5754)=1,2,IF(WEEKDAY(B5754)=7,1,0))))))</f>
        <v>2</v>
      </c>
      <c r="G5754" s="369">
        <f>VLOOKUP(C5754,METADATA!$J$5:$Q$29,IF(E5754="HI",2,IF(E5754="LO",6,10))+IF(D5754=1,2,IF(D5754=7,1,(IF(WEEKDAY(B5754)=1,2,IF(WEEKDAY(B5754)=7,1,0))))))</f>
        <v>2</v>
      </c>
      <c r="H5754" s="370">
        <v>13765.924865722656</v>
      </c>
      <c r="I5754" s="370">
        <v>5120.849853515625</v>
      </c>
      <c r="M5754" s="371">
        <f t="shared" si="357"/>
        <v>14687.538617173823</v>
      </c>
      <c r="N5754" s="329">
        <f t="shared" si="358"/>
        <v>991.07239379882867</v>
      </c>
      <c r="T5754" s="331">
        <v>0</v>
      </c>
      <c r="U5754" s="328">
        <f>VLOOKUP(C5754,METADATA!$J$5:$Q$29,IF(E5754="HI",2,IF(E5754="LO",6,10))+IF(T5754=1,2,IF(D5754=7,1,(IF(WEEKDAY(B5754)=1,2,IF(WEEKDAY(B5754)=7,1,0))))))</f>
        <v>2</v>
      </c>
      <c r="V5754" s="328">
        <f>VLOOKUP(C5754,METADATA!$A$5:$H$29,IF(E5754="HI",2,IF(E5754="LO",6,10))+IF(T5754=1,2,IF(D5754=7,1,(IF(WEEKDAY(B5754)=1,2,IF(WEEKDAY(B5754)=7,1,0))))))</f>
        <v>2</v>
      </c>
    </row>
    <row r="5755" spans="2:22">
      <c r="B5755" s="318">
        <f t="shared" si="359"/>
        <v>46352</v>
      </c>
      <c r="C5755" s="312">
        <v>15</v>
      </c>
      <c r="D5755" s="368">
        <f>IFERROR((INDEX(METADATA!$T$2:$T$20,MATCH(B5755,METADATA!$S$2:$S$20,0))),0)</f>
        <v>0</v>
      </c>
      <c r="E5755" s="312" t="str">
        <f t="shared" si="356"/>
        <v>LO</v>
      </c>
      <c r="F5755" s="369">
        <f>VLOOKUP(C5755,METADATA!$A$5:$H$29,IF(E5755="HI",2,IF(E5755="LO",6,10))+IF(D5755=1,2,IF(D5755=7,1,(IF(WEEKDAY(B5755)=1,2,IF(WEEKDAY(B5755)=7,1,0))))))</f>
        <v>2</v>
      </c>
      <c r="G5755" s="369">
        <f>VLOOKUP(C5755,METADATA!$J$5:$Q$29,IF(E5755="HI",2,IF(E5755="LO",6,10))+IF(D5755=1,2,IF(D5755=7,1,(IF(WEEKDAY(B5755)=1,2,IF(WEEKDAY(B5755)=7,1,0))))))</f>
        <v>2</v>
      </c>
      <c r="H5755" s="370">
        <v>13808.674987792969</v>
      </c>
      <c r="I5755" s="370">
        <v>5141.775146484375</v>
      </c>
      <c r="M5755" s="371">
        <f t="shared" si="357"/>
        <v>14734.902665966394</v>
      </c>
      <c r="N5755" s="329">
        <f t="shared" si="358"/>
        <v>999.17265014648456</v>
      </c>
      <c r="T5755" s="331">
        <v>0</v>
      </c>
      <c r="U5755" s="328">
        <f>VLOOKUP(C5755,METADATA!$J$5:$Q$29,IF(E5755="HI",2,IF(E5755="LO",6,10))+IF(T5755=1,2,IF(D5755=7,1,(IF(WEEKDAY(B5755)=1,2,IF(WEEKDAY(B5755)=7,1,0))))))</f>
        <v>2</v>
      </c>
      <c r="V5755" s="328">
        <f>VLOOKUP(C5755,METADATA!$A$5:$H$29,IF(E5755="HI",2,IF(E5755="LO",6,10))+IF(T5755=1,2,IF(D5755=7,1,(IF(WEEKDAY(B5755)=1,2,IF(WEEKDAY(B5755)=7,1,0))))))</f>
        <v>2</v>
      </c>
    </row>
    <row r="5756" spans="2:22">
      <c r="B5756" s="318">
        <f t="shared" si="359"/>
        <v>46352</v>
      </c>
      <c r="C5756" s="312">
        <v>16</v>
      </c>
      <c r="D5756" s="368">
        <f>IFERROR((INDEX(METADATA!$T$2:$T$20,MATCH(B5756,METADATA!$S$2:$S$20,0))),0)</f>
        <v>0</v>
      </c>
      <c r="E5756" s="312" t="str">
        <f t="shared" si="356"/>
        <v>LO</v>
      </c>
      <c r="F5756" s="369">
        <f>VLOOKUP(C5756,METADATA!$A$5:$H$29,IF(E5756="HI",2,IF(E5756="LO",6,10))+IF(D5756=1,2,IF(D5756=7,1,(IF(WEEKDAY(B5756)=1,2,IF(WEEKDAY(B5756)=7,1,0))))))</f>
        <v>2</v>
      </c>
      <c r="G5756" s="369">
        <f>VLOOKUP(C5756,METADATA!$J$5:$Q$29,IF(E5756="HI",2,IF(E5756="LO",6,10))+IF(D5756=1,2,IF(D5756=7,1,(IF(WEEKDAY(B5756)=1,2,IF(WEEKDAY(B5756)=7,1,0))))))</f>
        <v>2</v>
      </c>
      <c r="H5756" s="370">
        <v>13836.399780273438</v>
      </c>
      <c r="I5756" s="370">
        <v>5175.6250610351563</v>
      </c>
      <c r="M5756" s="371">
        <f t="shared" si="357"/>
        <v>14772.713144577267</v>
      </c>
      <c r="N5756" s="329">
        <f t="shared" si="358"/>
        <v>1024.7051269531248</v>
      </c>
      <c r="T5756" s="331">
        <v>0</v>
      </c>
      <c r="U5756" s="328">
        <f>VLOOKUP(C5756,METADATA!$J$5:$Q$29,IF(E5756="HI",2,IF(E5756="LO",6,10))+IF(T5756=1,2,IF(D5756=7,1,(IF(WEEKDAY(B5756)=1,2,IF(WEEKDAY(B5756)=7,1,0))))))</f>
        <v>2</v>
      </c>
      <c r="V5756" s="328">
        <f>VLOOKUP(C5756,METADATA!$A$5:$H$29,IF(E5756="HI",2,IF(E5756="LO",6,10))+IF(T5756=1,2,IF(D5756=7,1,(IF(WEEKDAY(B5756)=1,2,IF(WEEKDAY(B5756)=7,1,0))))))</f>
        <v>2</v>
      </c>
    </row>
    <row r="5757" spans="2:22">
      <c r="B5757" s="318">
        <f t="shared" si="359"/>
        <v>46352</v>
      </c>
      <c r="C5757" s="312">
        <v>17</v>
      </c>
      <c r="D5757" s="368">
        <f>IFERROR((INDEX(METADATA!$T$2:$T$20,MATCH(B5757,METADATA!$S$2:$S$20,0))),0)</f>
        <v>0</v>
      </c>
      <c r="E5757" s="312" t="str">
        <f t="shared" si="356"/>
        <v>LO</v>
      </c>
      <c r="F5757" s="369">
        <f>VLOOKUP(C5757,METADATA!$A$5:$H$29,IF(E5757="HI",2,IF(E5757="LO",6,10))+IF(D5757=1,2,IF(D5757=7,1,(IF(WEEKDAY(B5757)=1,2,IF(WEEKDAY(B5757)=7,1,0))))))</f>
        <v>2</v>
      </c>
      <c r="G5757" s="369">
        <f>VLOOKUP(C5757,METADATA!$J$5:$Q$29,IF(E5757="HI",2,IF(E5757="LO",6,10))+IF(D5757=1,2,IF(D5757=7,1,(IF(WEEKDAY(B5757)=1,2,IF(WEEKDAY(B5757)=7,1,0))))))</f>
        <v>2</v>
      </c>
      <c r="H5757" s="370">
        <v>13845.699829101563</v>
      </c>
      <c r="I5757" s="370">
        <v>5200.7250366210938</v>
      </c>
      <c r="M5757" s="371">
        <f t="shared" si="357"/>
        <v>14790.231393190592</v>
      </c>
      <c r="N5757" s="329">
        <f t="shared" si="358"/>
        <v>1047.0150878906252</v>
      </c>
      <c r="T5757" s="331">
        <v>0</v>
      </c>
      <c r="U5757" s="328">
        <f>VLOOKUP(C5757,METADATA!$J$5:$Q$29,IF(E5757="HI",2,IF(E5757="LO",6,10))+IF(T5757=1,2,IF(D5757=7,1,(IF(WEEKDAY(B5757)=1,2,IF(WEEKDAY(B5757)=7,1,0))))))</f>
        <v>2</v>
      </c>
      <c r="V5757" s="328">
        <f>VLOOKUP(C5757,METADATA!$A$5:$H$29,IF(E5757="HI",2,IF(E5757="LO",6,10))+IF(T5757=1,2,IF(D5757=7,1,(IF(WEEKDAY(B5757)=1,2,IF(WEEKDAY(B5757)=7,1,0))))))</f>
        <v>2</v>
      </c>
    </row>
    <row r="5758" spans="2:22">
      <c r="B5758" s="318">
        <f t="shared" si="359"/>
        <v>46352</v>
      </c>
      <c r="C5758" s="312">
        <v>18</v>
      </c>
      <c r="D5758" s="368">
        <f>IFERROR((INDEX(METADATA!$T$2:$T$20,MATCH(B5758,METADATA!$S$2:$S$20,0))),0)</f>
        <v>0</v>
      </c>
      <c r="E5758" s="312" t="str">
        <f t="shared" si="356"/>
        <v>LO</v>
      </c>
      <c r="F5758" s="369">
        <f>VLOOKUP(C5758,METADATA!$A$5:$H$29,IF(E5758="HI",2,IF(E5758="LO",6,10))+IF(D5758=1,2,IF(D5758=7,1,(IF(WEEKDAY(B5758)=1,2,IF(WEEKDAY(B5758)=7,1,0))))))</f>
        <v>1</v>
      </c>
      <c r="G5758" s="369">
        <f>VLOOKUP(C5758,METADATA!$J$5:$Q$29,IF(E5758="HI",2,IF(E5758="LO",6,10))+IF(D5758=1,2,IF(D5758=7,1,(IF(WEEKDAY(B5758)=1,2,IF(WEEKDAY(B5758)=7,1,0))))))</f>
        <v>1</v>
      </c>
      <c r="H5758" s="370">
        <v>13591.999938964844</v>
      </c>
      <c r="I5758" s="370">
        <v>4972.27490234375</v>
      </c>
      <c r="M5758" s="371">
        <f t="shared" si="357"/>
        <v>14472.939578582433</v>
      </c>
      <c r="N5758" s="329">
        <f t="shared" si="358"/>
        <v>894.67492065429724</v>
      </c>
      <c r="T5758" s="331">
        <v>0</v>
      </c>
      <c r="U5758" s="328">
        <f>VLOOKUP(C5758,METADATA!$J$5:$Q$29,IF(E5758="HI",2,IF(E5758="LO",6,10))+IF(T5758=1,2,IF(D5758=7,1,(IF(WEEKDAY(B5758)=1,2,IF(WEEKDAY(B5758)=7,1,0))))))</f>
        <v>1</v>
      </c>
      <c r="V5758" s="328">
        <f>VLOOKUP(C5758,METADATA!$A$5:$H$29,IF(E5758="HI",2,IF(E5758="LO",6,10))+IF(T5758=1,2,IF(D5758=7,1,(IF(WEEKDAY(B5758)=1,2,IF(WEEKDAY(B5758)=7,1,0))))))</f>
        <v>1</v>
      </c>
    </row>
    <row r="5759" spans="2:22">
      <c r="B5759" s="318">
        <f t="shared" si="359"/>
        <v>46352</v>
      </c>
      <c r="C5759" s="312">
        <v>19</v>
      </c>
      <c r="D5759" s="368">
        <f>IFERROR((INDEX(METADATA!$T$2:$T$20,MATCH(B5759,METADATA!$S$2:$S$20,0))),0)</f>
        <v>0</v>
      </c>
      <c r="E5759" s="312" t="str">
        <f t="shared" si="356"/>
        <v>LO</v>
      </c>
      <c r="F5759" s="369">
        <f>VLOOKUP(C5759,METADATA!$A$5:$H$29,IF(E5759="HI",2,IF(E5759="LO",6,10))+IF(D5759=1,2,IF(D5759=7,1,(IF(WEEKDAY(B5759)=1,2,IF(WEEKDAY(B5759)=7,1,0))))))</f>
        <v>1</v>
      </c>
      <c r="G5759" s="369">
        <f>VLOOKUP(C5759,METADATA!$J$5:$Q$29,IF(E5759="HI",2,IF(E5759="LO",6,10))+IF(D5759=1,2,IF(D5759=7,1,(IF(WEEKDAY(B5759)=1,2,IF(WEEKDAY(B5759)=7,1,0))))))</f>
        <v>1</v>
      </c>
      <c r="H5759" s="370">
        <v>13762.825134277344</v>
      </c>
      <c r="I5759" s="370">
        <v>4998.0499267578125</v>
      </c>
      <c r="M5759" s="371">
        <f t="shared" si="357"/>
        <v>14642.262760484116</v>
      </c>
      <c r="N5759" s="329">
        <f t="shared" si="358"/>
        <v>869.20238647460974</v>
      </c>
      <c r="T5759" s="331">
        <v>0</v>
      </c>
      <c r="U5759" s="328">
        <f>VLOOKUP(C5759,METADATA!$J$5:$Q$29,IF(E5759="HI",2,IF(E5759="LO",6,10))+IF(T5759=1,2,IF(D5759=7,1,(IF(WEEKDAY(B5759)=1,2,IF(WEEKDAY(B5759)=7,1,0))))))</f>
        <v>1</v>
      </c>
      <c r="V5759" s="328">
        <f>VLOOKUP(C5759,METADATA!$A$5:$H$29,IF(E5759="HI",2,IF(E5759="LO",6,10))+IF(T5759=1,2,IF(D5759=7,1,(IF(WEEKDAY(B5759)=1,2,IF(WEEKDAY(B5759)=7,1,0))))))</f>
        <v>1</v>
      </c>
    </row>
    <row r="5760" spans="2:22">
      <c r="B5760" s="318">
        <f t="shared" si="359"/>
        <v>46352</v>
      </c>
      <c r="C5760" s="312">
        <v>20</v>
      </c>
      <c r="D5760" s="368">
        <f>IFERROR((INDEX(METADATA!$T$2:$T$20,MATCH(B5760,METADATA!$S$2:$S$20,0))),0)</f>
        <v>0</v>
      </c>
      <c r="E5760" s="312" t="str">
        <f t="shared" si="356"/>
        <v>LO</v>
      </c>
      <c r="F5760" s="369">
        <f>VLOOKUP(C5760,METADATA!$A$5:$H$29,IF(E5760="HI",2,IF(E5760="LO",6,10))+IF(D5760=1,2,IF(D5760=7,1,(IF(WEEKDAY(B5760)=1,2,IF(WEEKDAY(B5760)=7,1,0))))))</f>
        <v>1</v>
      </c>
      <c r="G5760" s="369">
        <f>VLOOKUP(C5760,METADATA!$J$5:$Q$29,IF(E5760="HI",2,IF(E5760="LO",6,10))+IF(D5760=1,2,IF(D5760=7,1,(IF(WEEKDAY(B5760)=1,2,IF(WEEKDAY(B5760)=7,1,0))))))</f>
        <v>1</v>
      </c>
      <c r="H5760" s="370">
        <v>13827.274719238281</v>
      </c>
      <c r="I5760" s="370">
        <v>5017.0250244140625</v>
      </c>
      <c r="M5760" s="371">
        <f t="shared" si="357"/>
        <v>14709.319027639689</v>
      </c>
      <c r="N5760" s="329">
        <f t="shared" si="358"/>
        <v>868.84260864257794</v>
      </c>
      <c r="T5760" s="331">
        <v>0</v>
      </c>
      <c r="U5760" s="328">
        <f>VLOOKUP(C5760,METADATA!$J$5:$Q$29,IF(E5760="HI",2,IF(E5760="LO",6,10))+IF(T5760=1,2,IF(D5760=7,1,(IF(WEEKDAY(B5760)=1,2,IF(WEEKDAY(B5760)=7,1,0))))))</f>
        <v>1</v>
      </c>
      <c r="V5760" s="328">
        <f>VLOOKUP(C5760,METADATA!$A$5:$H$29,IF(E5760="HI",2,IF(E5760="LO",6,10))+IF(T5760=1,2,IF(D5760=7,1,(IF(WEEKDAY(B5760)=1,2,IF(WEEKDAY(B5760)=7,1,0))))))</f>
        <v>1</v>
      </c>
    </row>
    <row r="5761" spans="2:22">
      <c r="B5761" s="318">
        <f t="shared" si="359"/>
        <v>46352</v>
      </c>
      <c r="C5761" s="312">
        <v>21</v>
      </c>
      <c r="D5761" s="368">
        <f>IFERROR((INDEX(METADATA!$T$2:$T$20,MATCH(B5761,METADATA!$S$2:$S$20,0))),0)</f>
        <v>0</v>
      </c>
      <c r="E5761" s="312" t="str">
        <f t="shared" si="356"/>
        <v>LO</v>
      </c>
      <c r="F5761" s="369">
        <f>VLOOKUP(C5761,METADATA!$A$5:$H$29,IF(E5761="HI",2,IF(E5761="LO",6,10))+IF(D5761=1,2,IF(D5761=7,1,(IF(WEEKDAY(B5761)=1,2,IF(WEEKDAY(B5761)=7,1,0))))))</f>
        <v>2</v>
      </c>
      <c r="G5761" s="369">
        <f>VLOOKUP(C5761,METADATA!$J$5:$Q$29,IF(E5761="HI",2,IF(E5761="LO",6,10))+IF(D5761=1,2,IF(D5761=7,1,(IF(WEEKDAY(B5761)=1,2,IF(WEEKDAY(B5761)=7,1,0))))))</f>
        <v>2</v>
      </c>
      <c r="H5761" s="370">
        <v>13879.075073242188</v>
      </c>
      <c r="I5761" s="370">
        <v>4950.8499145507813</v>
      </c>
      <c r="M5761" s="371">
        <f t="shared" si="357"/>
        <v>14735.6587828675</v>
      </c>
      <c r="N5761" s="329">
        <f t="shared" si="358"/>
        <v>787.12739257812518</v>
      </c>
      <c r="T5761" s="331">
        <v>0</v>
      </c>
      <c r="U5761" s="328">
        <f>VLOOKUP(C5761,METADATA!$J$5:$Q$29,IF(E5761="HI",2,IF(E5761="LO",6,10))+IF(T5761=1,2,IF(D5761=7,1,(IF(WEEKDAY(B5761)=1,2,IF(WEEKDAY(B5761)=7,1,0))))))</f>
        <v>2</v>
      </c>
      <c r="V5761" s="328">
        <f>VLOOKUP(C5761,METADATA!$A$5:$H$29,IF(E5761="HI",2,IF(E5761="LO",6,10))+IF(T5761=1,2,IF(D5761=7,1,(IF(WEEKDAY(B5761)=1,2,IF(WEEKDAY(B5761)=7,1,0))))))</f>
        <v>2</v>
      </c>
    </row>
    <row r="5762" spans="2:22">
      <c r="B5762" s="318">
        <f t="shared" si="359"/>
        <v>46352</v>
      </c>
      <c r="C5762" s="312">
        <v>22</v>
      </c>
      <c r="D5762" s="368">
        <f>IFERROR((INDEX(METADATA!$T$2:$T$20,MATCH(B5762,METADATA!$S$2:$S$20,0))),0)</f>
        <v>0</v>
      </c>
      <c r="E5762" s="312" t="str">
        <f t="shared" si="356"/>
        <v>LO</v>
      </c>
      <c r="F5762" s="369">
        <f>VLOOKUP(C5762,METADATA!$A$5:$H$29,IF(E5762="HI",2,IF(E5762="LO",6,10))+IF(D5762=1,2,IF(D5762=7,1,(IF(WEEKDAY(B5762)=1,2,IF(WEEKDAY(B5762)=7,1,0))))))</f>
        <v>3</v>
      </c>
      <c r="G5762" s="369">
        <f>VLOOKUP(C5762,METADATA!$J$5:$Q$29,IF(E5762="HI",2,IF(E5762="LO",6,10))+IF(D5762=1,2,IF(D5762=7,1,(IF(WEEKDAY(B5762)=1,2,IF(WEEKDAY(B5762)=7,1,0))))))</f>
        <v>3</v>
      </c>
      <c r="H5762" s="370">
        <v>13977.950012207031</v>
      </c>
      <c r="I5762" s="370">
        <v>5101.5</v>
      </c>
      <c r="M5762" s="371">
        <f t="shared" si="357"/>
        <v>14879.798009171984</v>
      </c>
      <c r="N5762" s="329">
        <f t="shared" si="358"/>
        <v>908.11499633789117</v>
      </c>
      <c r="T5762" s="331">
        <v>0</v>
      </c>
      <c r="U5762" s="328">
        <f>VLOOKUP(C5762,METADATA!$J$5:$Q$29,IF(E5762="HI",2,IF(E5762="LO",6,10))+IF(T5762=1,2,IF(D5762=7,1,(IF(WEEKDAY(B5762)=1,2,IF(WEEKDAY(B5762)=7,1,0))))))</f>
        <v>3</v>
      </c>
      <c r="V5762" s="328">
        <f>VLOOKUP(C5762,METADATA!$A$5:$H$29,IF(E5762="HI",2,IF(E5762="LO",6,10))+IF(T5762=1,2,IF(D5762=7,1,(IF(WEEKDAY(B5762)=1,2,IF(WEEKDAY(B5762)=7,1,0))))))</f>
        <v>3</v>
      </c>
    </row>
    <row r="5763" spans="2:22">
      <c r="B5763" s="318">
        <f t="shared" si="359"/>
        <v>46352</v>
      </c>
      <c r="C5763" s="312">
        <v>23</v>
      </c>
      <c r="D5763" s="368">
        <f>IFERROR((INDEX(METADATA!$T$2:$T$20,MATCH(B5763,METADATA!$S$2:$S$20,0))),0)</f>
        <v>0</v>
      </c>
      <c r="E5763" s="312" t="str">
        <f t="shared" si="356"/>
        <v>LO</v>
      </c>
      <c r="F5763" s="369">
        <f>VLOOKUP(C5763,METADATA!$A$5:$H$29,IF(E5763="HI",2,IF(E5763="LO",6,10))+IF(D5763=1,2,IF(D5763=7,1,(IF(WEEKDAY(B5763)=1,2,IF(WEEKDAY(B5763)=7,1,0))))))</f>
        <v>3</v>
      </c>
      <c r="G5763" s="369">
        <f>VLOOKUP(C5763,METADATA!$J$5:$Q$29,IF(E5763="HI",2,IF(E5763="LO",6,10))+IF(D5763=1,2,IF(D5763=7,1,(IF(WEEKDAY(B5763)=1,2,IF(WEEKDAY(B5763)=7,1,0))))))</f>
        <v>3</v>
      </c>
      <c r="H5763" s="370">
        <v>13987.025024414063</v>
      </c>
      <c r="I5763" s="370">
        <v>5146.3499755859375</v>
      </c>
      <c r="M5763" s="371">
        <f t="shared" si="357"/>
        <v>14903.750773036918</v>
      </c>
      <c r="N5763" s="329">
        <f t="shared" si="358"/>
        <v>950.2424682617193</v>
      </c>
      <c r="T5763" s="331">
        <v>0</v>
      </c>
      <c r="U5763" s="328">
        <f>VLOOKUP(C5763,METADATA!$J$5:$Q$29,IF(E5763="HI",2,IF(E5763="LO",6,10))+IF(T5763=1,2,IF(D5763=7,1,(IF(WEEKDAY(B5763)=1,2,IF(WEEKDAY(B5763)=7,1,0))))))</f>
        <v>3</v>
      </c>
      <c r="V5763" s="328">
        <f>VLOOKUP(C5763,METADATA!$A$5:$H$29,IF(E5763="HI",2,IF(E5763="LO",6,10))+IF(T5763=1,2,IF(D5763=7,1,(IF(WEEKDAY(B5763)=1,2,IF(WEEKDAY(B5763)=7,1,0))))))</f>
        <v>3</v>
      </c>
    </row>
    <row r="5764" spans="2:22">
      <c r="B5764" s="318">
        <f t="shared" si="359"/>
        <v>46353</v>
      </c>
      <c r="C5764" s="312">
        <v>0</v>
      </c>
      <c r="D5764" s="368">
        <f>IFERROR((INDEX(METADATA!$T$2:$T$20,MATCH(B5764,METADATA!$S$2:$S$20,0))),0)</f>
        <v>0</v>
      </c>
      <c r="E5764" s="312" t="str">
        <f t="shared" ref="E5764:E5827" si="360">IF(B5764="","",IF(AND(MONTH(B5764)&gt;=MONTH($Z$9),MONTH(B5764)&lt;=MONTH($Z$11)),"HI","LO"))</f>
        <v>LO</v>
      </c>
      <c r="F5764" s="369">
        <f>VLOOKUP(C5764,METADATA!$A$5:$H$29,IF(E5764="HI",2,IF(E5764="LO",6,10))+IF(D5764=1,2,IF(D5764=7,1,(IF(WEEKDAY(B5764)=1,2,IF(WEEKDAY(B5764)=7,1,0))))))</f>
        <v>3</v>
      </c>
      <c r="G5764" s="369">
        <f>VLOOKUP(C5764,METADATA!$J$5:$Q$29,IF(E5764="HI",2,IF(E5764="LO",6,10))+IF(D5764=1,2,IF(D5764=7,1,(IF(WEEKDAY(B5764)=1,2,IF(WEEKDAY(B5764)=7,1,0))))))</f>
        <v>3</v>
      </c>
      <c r="H5764" s="370">
        <v>13932.425231933594</v>
      </c>
      <c r="I5764" s="370">
        <v>4997.1748962402344</v>
      </c>
      <c r="M5764" s="371">
        <f t="shared" ref="M5764:M5827" si="361">SQRT(H5764^2+I5764^2)</f>
        <v>14801.494174137739</v>
      </c>
      <c r="N5764" s="329">
        <f t="shared" ref="N5764:N5827" si="362">IF(H5764=0,0,(IF(I5764-(0.3*H5764)&lt;0,0,(I5764-(0.3*H5764)))))</f>
        <v>817.44732666015625</v>
      </c>
      <c r="T5764" s="331">
        <v>0</v>
      </c>
      <c r="U5764" s="328">
        <f>VLOOKUP(C5764,METADATA!$J$5:$Q$29,IF(E5764="HI",2,IF(E5764="LO",6,10))+IF(T5764=1,2,IF(D5764=7,1,(IF(WEEKDAY(B5764)=1,2,IF(WEEKDAY(B5764)=7,1,0))))))</f>
        <v>3</v>
      </c>
      <c r="V5764" s="328">
        <f>VLOOKUP(C5764,METADATA!$A$5:$H$29,IF(E5764="HI",2,IF(E5764="LO",6,10))+IF(T5764=1,2,IF(D5764=7,1,(IF(WEEKDAY(B5764)=1,2,IF(WEEKDAY(B5764)=7,1,0))))))</f>
        <v>3</v>
      </c>
    </row>
    <row r="5765" spans="2:22">
      <c r="B5765" s="318">
        <f t="shared" si="359"/>
        <v>46353</v>
      </c>
      <c r="C5765" s="312">
        <v>1</v>
      </c>
      <c r="D5765" s="368">
        <f>IFERROR((INDEX(METADATA!$T$2:$T$20,MATCH(B5765,METADATA!$S$2:$S$20,0))),0)</f>
        <v>0</v>
      </c>
      <c r="E5765" s="312" t="str">
        <f t="shared" si="360"/>
        <v>LO</v>
      </c>
      <c r="F5765" s="369">
        <f>VLOOKUP(C5765,METADATA!$A$5:$H$29,IF(E5765="HI",2,IF(E5765="LO",6,10))+IF(D5765=1,2,IF(D5765=7,1,(IF(WEEKDAY(B5765)=1,2,IF(WEEKDAY(B5765)=7,1,0))))))</f>
        <v>3</v>
      </c>
      <c r="G5765" s="369">
        <f>VLOOKUP(C5765,METADATA!$J$5:$Q$29,IF(E5765="HI",2,IF(E5765="LO",6,10))+IF(D5765=1,2,IF(D5765=7,1,(IF(WEEKDAY(B5765)=1,2,IF(WEEKDAY(B5765)=7,1,0))))))</f>
        <v>3</v>
      </c>
      <c r="H5765" s="370">
        <v>13655.490112304688</v>
      </c>
      <c r="I5765" s="370">
        <v>4749.6650085449219</v>
      </c>
      <c r="M5765" s="371">
        <f t="shared" si="361"/>
        <v>14457.92958554741</v>
      </c>
      <c r="N5765" s="329">
        <f t="shared" si="362"/>
        <v>653.01797485351563</v>
      </c>
      <c r="T5765" s="331">
        <v>0</v>
      </c>
      <c r="U5765" s="328">
        <f>VLOOKUP(C5765,METADATA!$J$5:$Q$29,IF(E5765="HI",2,IF(E5765="LO",6,10))+IF(T5765=1,2,IF(D5765=7,1,(IF(WEEKDAY(B5765)=1,2,IF(WEEKDAY(B5765)=7,1,0))))))</f>
        <v>3</v>
      </c>
      <c r="V5765" s="328">
        <f>VLOOKUP(C5765,METADATA!$A$5:$H$29,IF(E5765="HI",2,IF(E5765="LO",6,10))+IF(T5765=1,2,IF(D5765=7,1,(IF(WEEKDAY(B5765)=1,2,IF(WEEKDAY(B5765)=7,1,0))))))</f>
        <v>3</v>
      </c>
    </row>
    <row r="5766" spans="2:22">
      <c r="B5766" s="318">
        <f t="shared" si="359"/>
        <v>46353</v>
      </c>
      <c r="C5766" s="312">
        <v>2</v>
      </c>
      <c r="D5766" s="368">
        <f>IFERROR((INDEX(METADATA!$T$2:$T$20,MATCH(B5766,METADATA!$S$2:$S$20,0))),0)</f>
        <v>0</v>
      </c>
      <c r="E5766" s="312" t="str">
        <f t="shared" si="360"/>
        <v>LO</v>
      </c>
      <c r="F5766" s="369">
        <f>VLOOKUP(C5766,METADATA!$A$5:$H$29,IF(E5766="HI",2,IF(E5766="LO",6,10))+IF(D5766=1,2,IF(D5766=7,1,(IF(WEEKDAY(B5766)=1,2,IF(WEEKDAY(B5766)=7,1,0))))))</f>
        <v>3</v>
      </c>
      <c r="G5766" s="369">
        <f>VLOOKUP(C5766,METADATA!$J$5:$Q$29,IF(E5766="HI",2,IF(E5766="LO",6,10))+IF(D5766=1,2,IF(D5766=7,1,(IF(WEEKDAY(B5766)=1,2,IF(WEEKDAY(B5766)=7,1,0))))))</f>
        <v>3</v>
      </c>
      <c r="H5766" s="370">
        <v>13521.737426757813</v>
      </c>
      <c r="I5766" s="370">
        <v>4822.8774108886719</v>
      </c>
      <c r="M5766" s="371">
        <f t="shared" si="361"/>
        <v>14356.097295527194</v>
      </c>
      <c r="N5766" s="329">
        <f t="shared" si="362"/>
        <v>766.35618286132831</v>
      </c>
      <c r="T5766" s="331">
        <v>0</v>
      </c>
      <c r="U5766" s="328">
        <f>VLOOKUP(C5766,METADATA!$J$5:$Q$29,IF(E5766="HI",2,IF(E5766="LO",6,10))+IF(T5766=1,2,IF(D5766=7,1,(IF(WEEKDAY(B5766)=1,2,IF(WEEKDAY(B5766)=7,1,0))))))</f>
        <v>3</v>
      </c>
      <c r="V5766" s="328">
        <f>VLOOKUP(C5766,METADATA!$A$5:$H$29,IF(E5766="HI",2,IF(E5766="LO",6,10))+IF(T5766=1,2,IF(D5766=7,1,(IF(WEEKDAY(B5766)=1,2,IF(WEEKDAY(B5766)=7,1,0))))))</f>
        <v>3</v>
      </c>
    </row>
    <row r="5767" spans="2:22">
      <c r="B5767" s="318">
        <f t="shared" si="359"/>
        <v>46353</v>
      </c>
      <c r="C5767" s="312">
        <v>3</v>
      </c>
      <c r="D5767" s="368">
        <f>IFERROR((INDEX(METADATA!$T$2:$T$20,MATCH(B5767,METADATA!$S$2:$S$20,0))),0)</f>
        <v>0</v>
      </c>
      <c r="E5767" s="312" t="str">
        <f t="shared" si="360"/>
        <v>LO</v>
      </c>
      <c r="F5767" s="369">
        <f>VLOOKUP(C5767,METADATA!$A$5:$H$29,IF(E5767="HI",2,IF(E5767="LO",6,10))+IF(D5767=1,2,IF(D5767=7,1,(IF(WEEKDAY(B5767)=1,2,IF(WEEKDAY(B5767)=7,1,0))))))</f>
        <v>3</v>
      </c>
      <c r="G5767" s="369">
        <f>VLOOKUP(C5767,METADATA!$J$5:$Q$29,IF(E5767="HI",2,IF(E5767="LO",6,10))+IF(D5767=1,2,IF(D5767=7,1,(IF(WEEKDAY(B5767)=1,2,IF(WEEKDAY(B5767)=7,1,0))))))</f>
        <v>3</v>
      </c>
      <c r="H5767" s="370">
        <v>13523.049560546875</v>
      </c>
      <c r="I5767" s="370">
        <v>4799.6049194335938</v>
      </c>
      <c r="M5767" s="371">
        <f t="shared" si="361"/>
        <v>14349.532285048812</v>
      </c>
      <c r="N5767" s="329">
        <f t="shared" si="362"/>
        <v>742.69005126953152</v>
      </c>
      <c r="T5767" s="331">
        <v>0</v>
      </c>
      <c r="U5767" s="328">
        <f>VLOOKUP(C5767,METADATA!$J$5:$Q$29,IF(E5767="HI",2,IF(E5767="LO",6,10))+IF(T5767=1,2,IF(D5767=7,1,(IF(WEEKDAY(B5767)=1,2,IF(WEEKDAY(B5767)=7,1,0))))))</f>
        <v>3</v>
      </c>
      <c r="V5767" s="328">
        <f>VLOOKUP(C5767,METADATA!$A$5:$H$29,IF(E5767="HI",2,IF(E5767="LO",6,10))+IF(T5767=1,2,IF(D5767=7,1,(IF(WEEKDAY(B5767)=1,2,IF(WEEKDAY(B5767)=7,1,0))))))</f>
        <v>3</v>
      </c>
    </row>
    <row r="5768" spans="2:22">
      <c r="B5768" s="318">
        <f t="shared" si="359"/>
        <v>46353</v>
      </c>
      <c r="C5768" s="312">
        <v>4</v>
      </c>
      <c r="D5768" s="368">
        <f>IFERROR((INDEX(METADATA!$T$2:$T$20,MATCH(B5768,METADATA!$S$2:$S$20,0))),0)</f>
        <v>0</v>
      </c>
      <c r="E5768" s="312" t="str">
        <f t="shared" si="360"/>
        <v>LO</v>
      </c>
      <c r="F5768" s="369">
        <f>VLOOKUP(C5768,METADATA!$A$5:$H$29,IF(E5768="HI",2,IF(E5768="LO",6,10))+IF(D5768=1,2,IF(D5768=7,1,(IF(WEEKDAY(B5768)=1,2,IF(WEEKDAY(B5768)=7,1,0))))))</f>
        <v>3</v>
      </c>
      <c r="G5768" s="369">
        <f>VLOOKUP(C5768,METADATA!$J$5:$Q$29,IF(E5768="HI",2,IF(E5768="LO",6,10))+IF(D5768=1,2,IF(D5768=7,1,(IF(WEEKDAY(B5768)=1,2,IF(WEEKDAY(B5768)=7,1,0))))))</f>
        <v>3</v>
      </c>
      <c r="H5768" s="370">
        <v>13697.299926757813</v>
      </c>
      <c r="I5768" s="370">
        <v>4867.9150085449219</v>
      </c>
      <c r="M5768" s="371">
        <f t="shared" si="361"/>
        <v>14536.595950014449</v>
      </c>
      <c r="N5768" s="329">
        <f t="shared" si="362"/>
        <v>758.72503051757849</v>
      </c>
      <c r="T5768" s="331">
        <v>0</v>
      </c>
      <c r="U5768" s="328">
        <f>VLOOKUP(C5768,METADATA!$J$5:$Q$29,IF(E5768="HI",2,IF(E5768="LO",6,10))+IF(T5768=1,2,IF(D5768=7,1,(IF(WEEKDAY(B5768)=1,2,IF(WEEKDAY(B5768)=7,1,0))))))</f>
        <v>3</v>
      </c>
      <c r="V5768" s="328">
        <f>VLOOKUP(C5768,METADATA!$A$5:$H$29,IF(E5768="HI",2,IF(E5768="LO",6,10))+IF(T5768=1,2,IF(D5768=7,1,(IF(WEEKDAY(B5768)=1,2,IF(WEEKDAY(B5768)=7,1,0))))))</f>
        <v>3</v>
      </c>
    </row>
    <row r="5769" spans="2:22">
      <c r="B5769" s="318">
        <f t="shared" si="359"/>
        <v>46353</v>
      </c>
      <c r="C5769" s="312">
        <v>5</v>
      </c>
      <c r="D5769" s="368">
        <f>IFERROR((INDEX(METADATA!$T$2:$T$20,MATCH(B5769,METADATA!$S$2:$S$20,0))),0)</f>
        <v>0</v>
      </c>
      <c r="E5769" s="312" t="str">
        <f t="shared" si="360"/>
        <v>LO</v>
      </c>
      <c r="F5769" s="369">
        <f>VLOOKUP(C5769,METADATA!$A$5:$H$29,IF(E5769="HI",2,IF(E5769="LO",6,10))+IF(D5769=1,2,IF(D5769=7,1,(IF(WEEKDAY(B5769)=1,2,IF(WEEKDAY(B5769)=7,1,0))))))</f>
        <v>3</v>
      </c>
      <c r="G5769" s="369">
        <f>VLOOKUP(C5769,METADATA!$J$5:$Q$29,IF(E5769="HI",2,IF(E5769="LO",6,10))+IF(D5769=1,2,IF(D5769=7,1,(IF(WEEKDAY(B5769)=1,2,IF(WEEKDAY(B5769)=7,1,0))))))</f>
        <v>3</v>
      </c>
      <c r="H5769" s="370">
        <v>13342.474975585938</v>
      </c>
      <c r="I5769" s="370">
        <v>4706.8099060058594</v>
      </c>
      <c r="M5769" s="371">
        <f t="shared" si="361"/>
        <v>14148.346121204833</v>
      </c>
      <c r="N5769" s="329">
        <f t="shared" si="362"/>
        <v>704.06741333007813</v>
      </c>
      <c r="T5769" s="331">
        <v>0</v>
      </c>
      <c r="U5769" s="328">
        <f>VLOOKUP(C5769,METADATA!$J$5:$Q$29,IF(E5769="HI",2,IF(E5769="LO",6,10))+IF(T5769=1,2,IF(D5769=7,1,(IF(WEEKDAY(B5769)=1,2,IF(WEEKDAY(B5769)=7,1,0))))))</f>
        <v>3</v>
      </c>
      <c r="V5769" s="328">
        <f>VLOOKUP(C5769,METADATA!$A$5:$H$29,IF(E5769="HI",2,IF(E5769="LO",6,10))+IF(T5769=1,2,IF(D5769=7,1,(IF(WEEKDAY(B5769)=1,2,IF(WEEKDAY(B5769)=7,1,0))))))</f>
        <v>3</v>
      </c>
    </row>
    <row r="5770" spans="2:22">
      <c r="B5770" s="318">
        <f t="shared" si="359"/>
        <v>46353</v>
      </c>
      <c r="C5770" s="312">
        <v>6</v>
      </c>
      <c r="D5770" s="368">
        <f>IFERROR((INDEX(METADATA!$T$2:$T$20,MATCH(B5770,METADATA!$S$2:$S$20,0))),0)</f>
        <v>0</v>
      </c>
      <c r="E5770" s="312" t="str">
        <f t="shared" si="360"/>
        <v>LO</v>
      </c>
      <c r="F5770" s="369">
        <f>VLOOKUP(C5770,METADATA!$A$5:$H$29,IF(E5770="HI",2,IF(E5770="LO",6,10))+IF(D5770=1,2,IF(D5770=7,1,(IF(WEEKDAY(B5770)=1,2,IF(WEEKDAY(B5770)=7,1,0))))))</f>
        <v>2</v>
      </c>
      <c r="G5770" s="369">
        <f>VLOOKUP(C5770,METADATA!$J$5:$Q$29,IF(E5770="HI",2,IF(E5770="LO",6,10))+IF(D5770=1,2,IF(D5770=7,1,(IF(WEEKDAY(B5770)=1,2,IF(WEEKDAY(B5770)=7,1,0))))))</f>
        <v>2</v>
      </c>
      <c r="H5770" s="370">
        <v>12184.474609375</v>
      </c>
      <c r="I5770" s="370">
        <v>4125.2724914550781</v>
      </c>
      <c r="M5770" s="371">
        <f t="shared" si="361"/>
        <v>12863.875568243811</v>
      </c>
      <c r="N5770" s="329">
        <f t="shared" si="362"/>
        <v>469.93010864257803</v>
      </c>
      <c r="T5770" s="331">
        <v>0</v>
      </c>
      <c r="U5770" s="328">
        <f>VLOOKUP(C5770,METADATA!$J$5:$Q$29,IF(E5770="HI",2,IF(E5770="LO",6,10))+IF(T5770=1,2,IF(D5770=7,1,(IF(WEEKDAY(B5770)=1,2,IF(WEEKDAY(B5770)=7,1,0))))))</f>
        <v>2</v>
      </c>
      <c r="V5770" s="328">
        <f>VLOOKUP(C5770,METADATA!$A$5:$H$29,IF(E5770="HI",2,IF(E5770="LO",6,10))+IF(T5770=1,2,IF(D5770=7,1,(IF(WEEKDAY(B5770)=1,2,IF(WEEKDAY(B5770)=7,1,0))))))</f>
        <v>2</v>
      </c>
    </row>
    <row r="5771" spans="2:22">
      <c r="B5771" s="318">
        <f t="shared" si="359"/>
        <v>46353</v>
      </c>
      <c r="C5771" s="312">
        <v>7</v>
      </c>
      <c r="D5771" s="368">
        <f>IFERROR((INDEX(METADATA!$T$2:$T$20,MATCH(B5771,METADATA!$S$2:$S$20,0))),0)</f>
        <v>0</v>
      </c>
      <c r="E5771" s="312" t="str">
        <f t="shared" si="360"/>
        <v>LO</v>
      </c>
      <c r="F5771" s="369">
        <f>VLOOKUP(C5771,METADATA!$A$5:$H$29,IF(E5771="HI",2,IF(E5771="LO",6,10))+IF(D5771=1,2,IF(D5771=7,1,(IF(WEEKDAY(B5771)=1,2,IF(WEEKDAY(B5771)=7,1,0))))))</f>
        <v>1</v>
      </c>
      <c r="G5771" s="369">
        <f>VLOOKUP(C5771,METADATA!$J$5:$Q$29,IF(E5771="HI",2,IF(E5771="LO",6,10))+IF(D5771=1,2,IF(D5771=7,1,(IF(WEEKDAY(B5771)=1,2,IF(WEEKDAY(B5771)=7,1,0))))))</f>
        <v>1</v>
      </c>
      <c r="H5771" s="370">
        <v>13067.549682617188</v>
      </c>
      <c r="I5771" s="370">
        <v>4530.599853515625</v>
      </c>
      <c r="M5771" s="371">
        <f t="shared" si="361"/>
        <v>13830.661218479192</v>
      </c>
      <c r="N5771" s="329">
        <f t="shared" si="362"/>
        <v>610.33494873046902</v>
      </c>
      <c r="T5771" s="331">
        <v>0</v>
      </c>
      <c r="U5771" s="328">
        <f>VLOOKUP(C5771,METADATA!$J$5:$Q$29,IF(E5771="HI",2,IF(E5771="LO",6,10))+IF(T5771=1,2,IF(D5771=7,1,(IF(WEEKDAY(B5771)=1,2,IF(WEEKDAY(B5771)=7,1,0))))))</f>
        <v>1</v>
      </c>
      <c r="V5771" s="328">
        <f>VLOOKUP(C5771,METADATA!$A$5:$H$29,IF(E5771="HI",2,IF(E5771="LO",6,10))+IF(T5771=1,2,IF(D5771=7,1,(IF(WEEKDAY(B5771)=1,2,IF(WEEKDAY(B5771)=7,1,0))))))</f>
        <v>1</v>
      </c>
    </row>
    <row r="5772" spans="2:22">
      <c r="B5772" s="318">
        <f t="shared" si="359"/>
        <v>46353</v>
      </c>
      <c r="C5772" s="312">
        <v>8</v>
      </c>
      <c r="D5772" s="368">
        <f>IFERROR((INDEX(METADATA!$T$2:$T$20,MATCH(B5772,METADATA!$S$2:$S$20,0))),0)</f>
        <v>0</v>
      </c>
      <c r="E5772" s="312" t="str">
        <f t="shared" si="360"/>
        <v>LO</v>
      </c>
      <c r="F5772" s="369">
        <f>VLOOKUP(C5772,METADATA!$A$5:$H$29,IF(E5772="HI",2,IF(E5772="LO",6,10))+IF(D5772=1,2,IF(D5772=7,1,(IF(WEEKDAY(B5772)=1,2,IF(WEEKDAY(B5772)=7,1,0))))))</f>
        <v>1</v>
      </c>
      <c r="G5772" s="369">
        <f>VLOOKUP(C5772,METADATA!$J$5:$Q$29,IF(E5772="HI",2,IF(E5772="LO",6,10))+IF(D5772=1,2,IF(D5772=7,1,(IF(WEEKDAY(B5772)=1,2,IF(WEEKDAY(B5772)=7,1,0))))))</f>
        <v>1</v>
      </c>
      <c r="H5772" s="370">
        <v>13915.200073242188</v>
      </c>
      <c r="I5772" s="370">
        <v>4967.3500366210938</v>
      </c>
      <c r="M5772" s="371">
        <f t="shared" si="361"/>
        <v>14775.227898908326</v>
      </c>
      <c r="N5772" s="329">
        <f t="shared" si="362"/>
        <v>792.79001464843805</v>
      </c>
      <c r="T5772" s="331">
        <v>0</v>
      </c>
      <c r="U5772" s="328">
        <f>VLOOKUP(C5772,METADATA!$J$5:$Q$29,IF(E5772="HI",2,IF(E5772="LO",6,10))+IF(T5772=1,2,IF(D5772=7,1,(IF(WEEKDAY(B5772)=1,2,IF(WEEKDAY(B5772)=7,1,0))))))</f>
        <v>1</v>
      </c>
      <c r="V5772" s="328">
        <f>VLOOKUP(C5772,METADATA!$A$5:$H$29,IF(E5772="HI",2,IF(E5772="LO",6,10))+IF(T5772=1,2,IF(D5772=7,1,(IF(WEEKDAY(B5772)=1,2,IF(WEEKDAY(B5772)=7,1,0))))))</f>
        <v>1</v>
      </c>
    </row>
    <row r="5773" spans="2:22">
      <c r="B5773" s="318">
        <f t="shared" si="359"/>
        <v>46353</v>
      </c>
      <c r="C5773" s="312">
        <v>9</v>
      </c>
      <c r="D5773" s="368">
        <f>IFERROR((INDEX(METADATA!$T$2:$T$20,MATCH(B5773,METADATA!$S$2:$S$20,0))),0)</f>
        <v>0</v>
      </c>
      <c r="E5773" s="312" t="str">
        <f t="shared" si="360"/>
        <v>LO</v>
      </c>
      <c r="F5773" s="369">
        <f>VLOOKUP(C5773,METADATA!$A$5:$H$29,IF(E5773="HI",2,IF(E5773="LO",6,10))+IF(D5773=1,2,IF(D5773=7,1,(IF(WEEKDAY(B5773)=1,2,IF(WEEKDAY(B5773)=7,1,0))))))</f>
        <v>2</v>
      </c>
      <c r="G5773" s="369">
        <f>VLOOKUP(C5773,METADATA!$J$5:$Q$29,IF(E5773="HI",2,IF(E5773="LO",6,10))+IF(D5773=1,2,IF(D5773=7,1,(IF(WEEKDAY(B5773)=1,2,IF(WEEKDAY(B5773)=7,1,0))))))</f>
        <v>2</v>
      </c>
      <c r="H5773" s="370">
        <v>13840.325256347656</v>
      </c>
      <c r="I5773" s="370">
        <v>4785.4248962402344</v>
      </c>
      <c r="M5773" s="371">
        <f t="shared" si="361"/>
        <v>14644.278563283706</v>
      </c>
      <c r="N5773" s="329">
        <f t="shared" si="362"/>
        <v>633.32731933593732</v>
      </c>
      <c r="T5773" s="331">
        <v>0</v>
      </c>
      <c r="U5773" s="328">
        <f>VLOOKUP(C5773,METADATA!$J$5:$Q$29,IF(E5773="HI",2,IF(E5773="LO",6,10))+IF(T5773=1,2,IF(D5773=7,1,(IF(WEEKDAY(B5773)=1,2,IF(WEEKDAY(B5773)=7,1,0))))))</f>
        <v>2</v>
      </c>
      <c r="V5773" s="328">
        <f>VLOOKUP(C5773,METADATA!$A$5:$H$29,IF(E5773="HI",2,IF(E5773="LO",6,10))+IF(T5773=1,2,IF(D5773=7,1,(IF(WEEKDAY(B5773)=1,2,IF(WEEKDAY(B5773)=7,1,0))))))</f>
        <v>2</v>
      </c>
    </row>
    <row r="5774" spans="2:22">
      <c r="B5774" s="318">
        <f t="shared" si="359"/>
        <v>46353</v>
      </c>
      <c r="C5774" s="312">
        <v>10</v>
      </c>
      <c r="D5774" s="368">
        <f>IFERROR((INDEX(METADATA!$T$2:$T$20,MATCH(B5774,METADATA!$S$2:$S$20,0))),0)</f>
        <v>0</v>
      </c>
      <c r="E5774" s="312" t="str">
        <f t="shared" si="360"/>
        <v>LO</v>
      </c>
      <c r="F5774" s="369">
        <f>VLOOKUP(C5774,METADATA!$A$5:$H$29,IF(E5774="HI",2,IF(E5774="LO",6,10))+IF(D5774=1,2,IF(D5774=7,1,(IF(WEEKDAY(B5774)=1,2,IF(WEEKDAY(B5774)=7,1,0))))))</f>
        <v>2</v>
      </c>
      <c r="G5774" s="369">
        <f>VLOOKUP(C5774,METADATA!$J$5:$Q$29,IF(E5774="HI",2,IF(E5774="LO",6,10))+IF(D5774=1,2,IF(D5774=7,1,(IF(WEEKDAY(B5774)=1,2,IF(WEEKDAY(B5774)=7,1,0))))))</f>
        <v>2</v>
      </c>
      <c r="H5774" s="370">
        <v>13704.0498046875</v>
      </c>
      <c r="I5774" s="370">
        <v>4724.1250915527344</v>
      </c>
      <c r="M5774" s="371">
        <f t="shared" si="361"/>
        <v>14495.459252124219</v>
      </c>
      <c r="N5774" s="329">
        <f t="shared" si="362"/>
        <v>612.91015014648474</v>
      </c>
      <c r="T5774" s="331">
        <v>0</v>
      </c>
      <c r="U5774" s="328">
        <f>VLOOKUP(C5774,METADATA!$J$5:$Q$29,IF(E5774="HI",2,IF(E5774="LO",6,10))+IF(T5774=1,2,IF(D5774=7,1,(IF(WEEKDAY(B5774)=1,2,IF(WEEKDAY(B5774)=7,1,0))))))</f>
        <v>2</v>
      </c>
      <c r="V5774" s="328">
        <f>VLOOKUP(C5774,METADATA!$A$5:$H$29,IF(E5774="HI",2,IF(E5774="LO",6,10))+IF(T5774=1,2,IF(D5774=7,1,(IF(WEEKDAY(B5774)=1,2,IF(WEEKDAY(B5774)=7,1,0))))))</f>
        <v>2</v>
      </c>
    </row>
    <row r="5775" spans="2:22">
      <c r="B5775" s="318">
        <f t="shared" si="359"/>
        <v>46353</v>
      </c>
      <c r="C5775" s="312">
        <v>11</v>
      </c>
      <c r="D5775" s="368">
        <f>IFERROR((INDEX(METADATA!$T$2:$T$20,MATCH(B5775,METADATA!$S$2:$S$20,0))),0)</f>
        <v>0</v>
      </c>
      <c r="E5775" s="312" t="str">
        <f t="shared" si="360"/>
        <v>LO</v>
      </c>
      <c r="F5775" s="369">
        <f>VLOOKUP(C5775,METADATA!$A$5:$H$29,IF(E5775="HI",2,IF(E5775="LO",6,10))+IF(D5775=1,2,IF(D5775=7,1,(IF(WEEKDAY(B5775)=1,2,IF(WEEKDAY(B5775)=7,1,0))))))</f>
        <v>2</v>
      </c>
      <c r="G5775" s="369">
        <f>VLOOKUP(C5775,METADATA!$J$5:$Q$29,IF(E5775="HI",2,IF(E5775="LO",6,10))+IF(D5775=1,2,IF(D5775=7,1,(IF(WEEKDAY(B5775)=1,2,IF(WEEKDAY(B5775)=7,1,0))))))</f>
        <v>2</v>
      </c>
      <c r="H5775" s="370">
        <v>13945.025024414063</v>
      </c>
      <c r="I5775" s="370">
        <v>4907.8499755859375</v>
      </c>
      <c r="M5775" s="371">
        <f t="shared" si="361"/>
        <v>14783.460836840381</v>
      </c>
      <c r="N5775" s="329">
        <f t="shared" si="362"/>
        <v>724.34246826171875</v>
      </c>
      <c r="T5775" s="331">
        <v>0</v>
      </c>
      <c r="U5775" s="328">
        <f>VLOOKUP(C5775,METADATA!$J$5:$Q$29,IF(E5775="HI",2,IF(E5775="LO",6,10))+IF(T5775=1,2,IF(D5775=7,1,(IF(WEEKDAY(B5775)=1,2,IF(WEEKDAY(B5775)=7,1,0))))))</f>
        <v>2</v>
      </c>
      <c r="V5775" s="328">
        <f>VLOOKUP(C5775,METADATA!$A$5:$H$29,IF(E5775="HI",2,IF(E5775="LO",6,10))+IF(T5775=1,2,IF(D5775=7,1,(IF(WEEKDAY(B5775)=1,2,IF(WEEKDAY(B5775)=7,1,0))))))</f>
        <v>2</v>
      </c>
    </row>
    <row r="5776" spans="2:22">
      <c r="B5776" s="318">
        <f t="shared" si="359"/>
        <v>46353</v>
      </c>
      <c r="C5776" s="312">
        <v>12</v>
      </c>
      <c r="D5776" s="368">
        <f>IFERROR((INDEX(METADATA!$T$2:$T$20,MATCH(B5776,METADATA!$S$2:$S$20,0))),0)</f>
        <v>0</v>
      </c>
      <c r="E5776" s="312" t="str">
        <f t="shared" si="360"/>
        <v>LO</v>
      </c>
      <c r="F5776" s="369">
        <f>VLOOKUP(C5776,METADATA!$A$5:$H$29,IF(E5776="HI",2,IF(E5776="LO",6,10))+IF(D5776=1,2,IF(D5776=7,1,(IF(WEEKDAY(B5776)=1,2,IF(WEEKDAY(B5776)=7,1,0))))))</f>
        <v>2</v>
      </c>
      <c r="G5776" s="369">
        <f>VLOOKUP(C5776,METADATA!$J$5:$Q$29,IF(E5776="HI",2,IF(E5776="LO",6,10))+IF(D5776=1,2,IF(D5776=7,1,(IF(WEEKDAY(B5776)=1,2,IF(WEEKDAY(B5776)=7,1,0))))))</f>
        <v>2</v>
      </c>
      <c r="H5776" s="370">
        <v>13940.399963378906</v>
      </c>
      <c r="I5776" s="370">
        <v>4918.2000732421875</v>
      </c>
      <c r="M5776" s="371">
        <f t="shared" si="361"/>
        <v>14782.538452492321</v>
      </c>
      <c r="N5776" s="329">
        <f t="shared" si="362"/>
        <v>736.08008422851617</v>
      </c>
      <c r="T5776" s="331">
        <v>0</v>
      </c>
      <c r="U5776" s="328">
        <f>VLOOKUP(C5776,METADATA!$J$5:$Q$29,IF(E5776="HI",2,IF(E5776="LO",6,10))+IF(T5776=1,2,IF(D5776=7,1,(IF(WEEKDAY(B5776)=1,2,IF(WEEKDAY(B5776)=7,1,0))))))</f>
        <v>2</v>
      </c>
      <c r="V5776" s="328">
        <f>VLOOKUP(C5776,METADATA!$A$5:$H$29,IF(E5776="HI",2,IF(E5776="LO",6,10))+IF(T5776=1,2,IF(D5776=7,1,(IF(WEEKDAY(B5776)=1,2,IF(WEEKDAY(B5776)=7,1,0))))))</f>
        <v>2</v>
      </c>
    </row>
    <row r="5777" spans="2:22">
      <c r="B5777" s="318">
        <f t="shared" si="359"/>
        <v>46353</v>
      </c>
      <c r="C5777" s="312">
        <v>13</v>
      </c>
      <c r="D5777" s="368">
        <f>IFERROR((INDEX(METADATA!$T$2:$T$20,MATCH(B5777,METADATA!$S$2:$S$20,0))),0)</f>
        <v>0</v>
      </c>
      <c r="E5777" s="312" t="str">
        <f t="shared" si="360"/>
        <v>LO</v>
      </c>
      <c r="F5777" s="369">
        <f>VLOOKUP(C5777,METADATA!$A$5:$H$29,IF(E5777="HI",2,IF(E5777="LO",6,10))+IF(D5777=1,2,IF(D5777=7,1,(IF(WEEKDAY(B5777)=1,2,IF(WEEKDAY(B5777)=7,1,0))))))</f>
        <v>2</v>
      </c>
      <c r="G5777" s="369">
        <f>VLOOKUP(C5777,METADATA!$J$5:$Q$29,IF(E5777="HI",2,IF(E5777="LO",6,10))+IF(D5777=1,2,IF(D5777=7,1,(IF(WEEKDAY(B5777)=1,2,IF(WEEKDAY(B5777)=7,1,0))))))</f>
        <v>2</v>
      </c>
      <c r="H5777" s="370">
        <v>13972.725219726563</v>
      </c>
      <c r="I5777" s="370">
        <v>4964.1500244140625</v>
      </c>
      <c r="M5777" s="371">
        <f t="shared" si="361"/>
        <v>14828.345677481113</v>
      </c>
      <c r="N5777" s="329">
        <f t="shared" si="362"/>
        <v>772.33245849609375</v>
      </c>
      <c r="T5777" s="331">
        <v>0</v>
      </c>
      <c r="U5777" s="328">
        <f>VLOOKUP(C5777,METADATA!$J$5:$Q$29,IF(E5777="HI",2,IF(E5777="LO",6,10))+IF(T5777=1,2,IF(D5777=7,1,(IF(WEEKDAY(B5777)=1,2,IF(WEEKDAY(B5777)=7,1,0))))))</f>
        <v>2</v>
      </c>
      <c r="V5777" s="328">
        <f>VLOOKUP(C5777,METADATA!$A$5:$H$29,IF(E5777="HI",2,IF(E5777="LO",6,10))+IF(T5777=1,2,IF(D5777=7,1,(IF(WEEKDAY(B5777)=1,2,IF(WEEKDAY(B5777)=7,1,0))))))</f>
        <v>2</v>
      </c>
    </row>
    <row r="5778" spans="2:22">
      <c r="B5778" s="318">
        <f t="shared" si="359"/>
        <v>46353</v>
      </c>
      <c r="C5778" s="312">
        <v>14</v>
      </c>
      <c r="D5778" s="368">
        <f>IFERROR((INDEX(METADATA!$T$2:$T$20,MATCH(B5778,METADATA!$S$2:$S$20,0))),0)</f>
        <v>0</v>
      </c>
      <c r="E5778" s="312" t="str">
        <f t="shared" si="360"/>
        <v>LO</v>
      </c>
      <c r="F5778" s="369">
        <f>VLOOKUP(C5778,METADATA!$A$5:$H$29,IF(E5778="HI",2,IF(E5778="LO",6,10))+IF(D5778=1,2,IF(D5778=7,1,(IF(WEEKDAY(B5778)=1,2,IF(WEEKDAY(B5778)=7,1,0))))))</f>
        <v>2</v>
      </c>
      <c r="G5778" s="369">
        <f>VLOOKUP(C5778,METADATA!$J$5:$Q$29,IF(E5778="HI",2,IF(E5778="LO",6,10))+IF(D5778=1,2,IF(D5778=7,1,(IF(WEEKDAY(B5778)=1,2,IF(WEEKDAY(B5778)=7,1,0))))))</f>
        <v>2</v>
      </c>
      <c r="H5778" s="370">
        <v>14191.849731445313</v>
      </c>
      <c r="I5778" s="370">
        <v>5057.2249755859375</v>
      </c>
      <c r="M5778" s="371">
        <f t="shared" si="361"/>
        <v>15065.992275771767</v>
      </c>
      <c r="N5778" s="329">
        <f t="shared" si="362"/>
        <v>799.67005615234393</v>
      </c>
      <c r="T5778" s="331">
        <v>0</v>
      </c>
      <c r="U5778" s="328">
        <f>VLOOKUP(C5778,METADATA!$J$5:$Q$29,IF(E5778="HI",2,IF(E5778="LO",6,10))+IF(T5778=1,2,IF(D5778=7,1,(IF(WEEKDAY(B5778)=1,2,IF(WEEKDAY(B5778)=7,1,0))))))</f>
        <v>2</v>
      </c>
      <c r="V5778" s="328">
        <f>VLOOKUP(C5778,METADATA!$A$5:$H$29,IF(E5778="HI",2,IF(E5778="LO",6,10))+IF(T5778=1,2,IF(D5778=7,1,(IF(WEEKDAY(B5778)=1,2,IF(WEEKDAY(B5778)=7,1,0))))))</f>
        <v>2</v>
      </c>
    </row>
    <row r="5779" spans="2:22">
      <c r="B5779" s="318">
        <f t="shared" si="359"/>
        <v>46353</v>
      </c>
      <c r="C5779" s="312">
        <v>15</v>
      </c>
      <c r="D5779" s="368">
        <f>IFERROR((INDEX(METADATA!$T$2:$T$20,MATCH(B5779,METADATA!$S$2:$S$20,0))),0)</f>
        <v>0</v>
      </c>
      <c r="E5779" s="312" t="str">
        <f t="shared" si="360"/>
        <v>LO</v>
      </c>
      <c r="F5779" s="369">
        <f>VLOOKUP(C5779,METADATA!$A$5:$H$29,IF(E5779="HI",2,IF(E5779="LO",6,10))+IF(D5779=1,2,IF(D5779=7,1,(IF(WEEKDAY(B5779)=1,2,IF(WEEKDAY(B5779)=7,1,0))))))</f>
        <v>2</v>
      </c>
      <c r="G5779" s="369">
        <f>VLOOKUP(C5779,METADATA!$J$5:$Q$29,IF(E5779="HI",2,IF(E5779="LO",6,10))+IF(D5779=1,2,IF(D5779=7,1,(IF(WEEKDAY(B5779)=1,2,IF(WEEKDAY(B5779)=7,1,0))))))</f>
        <v>2</v>
      </c>
      <c r="H5779" s="370">
        <v>14299.499877929688</v>
      </c>
      <c r="I5779" s="370">
        <v>5097.5999755859375</v>
      </c>
      <c r="M5779" s="371">
        <f t="shared" si="361"/>
        <v>15180.949320447811</v>
      </c>
      <c r="N5779" s="329">
        <f t="shared" si="362"/>
        <v>807.75001220703143</v>
      </c>
      <c r="T5779" s="331">
        <v>0</v>
      </c>
      <c r="U5779" s="328">
        <f>VLOOKUP(C5779,METADATA!$J$5:$Q$29,IF(E5779="HI",2,IF(E5779="LO",6,10))+IF(T5779=1,2,IF(D5779=7,1,(IF(WEEKDAY(B5779)=1,2,IF(WEEKDAY(B5779)=7,1,0))))))</f>
        <v>2</v>
      </c>
      <c r="V5779" s="328">
        <f>VLOOKUP(C5779,METADATA!$A$5:$H$29,IF(E5779="HI",2,IF(E5779="LO",6,10))+IF(T5779=1,2,IF(D5779=7,1,(IF(WEEKDAY(B5779)=1,2,IF(WEEKDAY(B5779)=7,1,0))))))</f>
        <v>2</v>
      </c>
    </row>
    <row r="5780" spans="2:22">
      <c r="B5780" s="318">
        <f t="shared" si="359"/>
        <v>46353</v>
      </c>
      <c r="C5780" s="312">
        <v>16</v>
      </c>
      <c r="D5780" s="368">
        <f>IFERROR((INDEX(METADATA!$T$2:$T$20,MATCH(B5780,METADATA!$S$2:$S$20,0))),0)</f>
        <v>0</v>
      </c>
      <c r="E5780" s="312" t="str">
        <f t="shared" si="360"/>
        <v>LO</v>
      </c>
      <c r="F5780" s="369">
        <f>VLOOKUP(C5780,METADATA!$A$5:$H$29,IF(E5780="HI",2,IF(E5780="LO",6,10))+IF(D5780=1,2,IF(D5780=7,1,(IF(WEEKDAY(B5780)=1,2,IF(WEEKDAY(B5780)=7,1,0))))))</f>
        <v>2</v>
      </c>
      <c r="G5780" s="369">
        <f>VLOOKUP(C5780,METADATA!$J$5:$Q$29,IF(E5780="HI",2,IF(E5780="LO",6,10))+IF(D5780=1,2,IF(D5780=7,1,(IF(WEEKDAY(B5780)=1,2,IF(WEEKDAY(B5780)=7,1,0))))))</f>
        <v>2</v>
      </c>
      <c r="H5780" s="370">
        <v>14197.47509765625</v>
      </c>
      <c r="I5780" s="370">
        <v>5061.5000610351563</v>
      </c>
      <c r="M5780" s="371">
        <f t="shared" si="361"/>
        <v>15072.726429429687</v>
      </c>
      <c r="N5780" s="329">
        <f t="shared" si="362"/>
        <v>802.25753173828161</v>
      </c>
      <c r="T5780" s="331">
        <v>0</v>
      </c>
      <c r="U5780" s="328">
        <f>VLOOKUP(C5780,METADATA!$J$5:$Q$29,IF(E5780="HI",2,IF(E5780="LO",6,10))+IF(T5780=1,2,IF(D5780=7,1,(IF(WEEKDAY(B5780)=1,2,IF(WEEKDAY(B5780)=7,1,0))))))</f>
        <v>2</v>
      </c>
      <c r="V5780" s="328">
        <f>VLOOKUP(C5780,METADATA!$A$5:$H$29,IF(E5780="HI",2,IF(E5780="LO",6,10))+IF(T5780=1,2,IF(D5780=7,1,(IF(WEEKDAY(B5780)=1,2,IF(WEEKDAY(B5780)=7,1,0))))))</f>
        <v>2</v>
      </c>
    </row>
    <row r="5781" spans="2:22">
      <c r="B5781" s="318">
        <f t="shared" si="359"/>
        <v>46353</v>
      </c>
      <c r="C5781" s="312">
        <v>17</v>
      </c>
      <c r="D5781" s="368">
        <f>IFERROR((INDEX(METADATA!$T$2:$T$20,MATCH(B5781,METADATA!$S$2:$S$20,0))),0)</f>
        <v>0</v>
      </c>
      <c r="E5781" s="312" t="str">
        <f t="shared" si="360"/>
        <v>LO</v>
      </c>
      <c r="F5781" s="369">
        <f>VLOOKUP(C5781,METADATA!$A$5:$H$29,IF(E5781="HI",2,IF(E5781="LO",6,10))+IF(D5781=1,2,IF(D5781=7,1,(IF(WEEKDAY(B5781)=1,2,IF(WEEKDAY(B5781)=7,1,0))))))</f>
        <v>2</v>
      </c>
      <c r="G5781" s="369">
        <f>VLOOKUP(C5781,METADATA!$J$5:$Q$29,IF(E5781="HI",2,IF(E5781="LO",6,10))+IF(D5781=1,2,IF(D5781=7,1,(IF(WEEKDAY(B5781)=1,2,IF(WEEKDAY(B5781)=7,1,0))))))</f>
        <v>2</v>
      </c>
      <c r="H5781" s="370">
        <v>14185.324768066406</v>
      </c>
      <c r="I5781" s="370">
        <v>5076.9249267578125</v>
      </c>
      <c r="M5781" s="371">
        <f t="shared" si="361"/>
        <v>15066.472894724002</v>
      </c>
      <c r="N5781" s="329">
        <f t="shared" si="362"/>
        <v>821.32749633789081</v>
      </c>
      <c r="T5781" s="331">
        <v>0</v>
      </c>
      <c r="U5781" s="328">
        <f>VLOOKUP(C5781,METADATA!$J$5:$Q$29,IF(E5781="HI",2,IF(E5781="LO",6,10))+IF(T5781=1,2,IF(D5781=7,1,(IF(WEEKDAY(B5781)=1,2,IF(WEEKDAY(B5781)=7,1,0))))))</f>
        <v>2</v>
      </c>
      <c r="V5781" s="328">
        <f>VLOOKUP(C5781,METADATA!$A$5:$H$29,IF(E5781="HI",2,IF(E5781="LO",6,10))+IF(T5781=1,2,IF(D5781=7,1,(IF(WEEKDAY(B5781)=1,2,IF(WEEKDAY(B5781)=7,1,0))))))</f>
        <v>2</v>
      </c>
    </row>
    <row r="5782" spans="2:22">
      <c r="B5782" s="318">
        <f t="shared" si="359"/>
        <v>46353</v>
      </c>
      <c r="C5782" s="312">
        <v>18</v>
      </c>
      <c r="D5782" s="368">
        <f>IFERROR((INDEX(METADATA!$T$2:$T$20,MATCH(B5782,METADATA!$S$2:$S$20,0))),0)</f>
        <v>0</v>
      </c>
      <c r="E5782" s="312" t="str">
        <f t="shared" si="360"/>
        <v>LO</v>
      </c>
      <c r="F5782" s="369">
        <f>VLOOKUP(C5782,METADATA!$A$5:$H$29,IF(E5782="HI",2,IF(E5782="LO",6,10))+IF(D5782=1,2,IF(D5782=7,1,(IF(WEEKDAY(B5782)=1,2,IF(WEEKDAY(B5782)=7,1,0))))))</f>
        <v>1</v>
      </c>
      <c r="G5782" s="369">
        <f>VLOOKUP(C5782,METADATA!$J$5:$Q$29,IF(E5782="HI",2,IF(E5782="LO",6,10))+IF(D5782=1,2,IF(D5782=7,1,(IF(WEEKDAY(B5782)=1,2,IF(WEEKDAY(B5782)=7,1,0))))))</f>
        <v>1</v>
      </c>
      <c r="H5782" s="370">
        <v>14306.949890136719</v>
      </c>
      <c r="I5782" s="370">
        <v>5192.5999145507813</v>
      </c>
      <c r="M5782" s="371">
        <f t="shared" si="361"/>
        <v>15220.11527655017</v>
      </c>
      <c r="N5782" s="329">
        <f t="shared" si="362"/>
        <v>900.51494750976599</v>
      </c>
      <c r="T5782" s="331">
        <v>0</v>
      </c>
      <c r="U5782" s="328">
        <f>VLOOKUP(C5782,METADATA!$J$5:$Q$29,IF(E5782="HI",2,IF(E5782="LO",6,10))+IF(T5782=1,2,IF(D5782=7,1,(IF(WEEKDAY(B5782)=1,2,IF(WEEKDAY(B5782)=7,1,0))))))</f>
        <v>1</v>
      </c>
      <c r="V5782" s="328">
        <f>VLOOKUP(C5782,METADATA!$A$5:$H$29,IF(E5782="HI",2,IF(E5782="LO",6,10))+IF(T5782=1,2,IF(D5782=7,1,(IF(WEEKDAY(B5782)=1,2,IF(WEEKDAY(B5782)=7,1,0))))))</f>
        <v>1</v>
      </c>
    </row>
    <row r="5783" spans="2:22">
      <c r="B5783" s="318">
        <f t="shared" si="359"/>
        <v>46353</v>
      </c>
      <c r="C5783" s="312">
        <v>19</v>
      </c>
      <c r="D5783" s="368">
        <f>IFERROR((INDEX(METADATA!$T$2:$T$20,MATCH(B5783,METADATA!$S$2:$S$20,0))),0)</f>
        <v>0</v>
      </c>
      <c r="E5783" s="312" t="str">
        <f t="shared" si="360"/>
        <v>LO</v>
      </c>
      <c r="F5783" s="369">
        <f>VLOOKUP(C5783,METADATA!$A$5:$H$29,IF(E5783="HI",2,IF(E5783="LO",6,10))+IF(D5783=1,2,IF(D5783=7,1,(IF(WEEKDAY(B5783)=1,2,IF(WEEKDAY(B5783)=7,1,0))))))</f>
        <v>1</v>
      </c>
      <c r="G5783" s="369">
        <f>VLOOKUP(C5783,METADATA!$J$5:$Q$29,IF(E5783="HI",2,IF(E5783="LO",6,10))+IF(D5783=1,2,IF(D5783=7,1,(IF(WEEKDAY(B5783)=1,2,IF(WEEKDAY(B5783)=7,1,0))))))</f>
        <v>1</v>
      </c>
      <c r="H5783" s="370">
        <v>14043.024963378906</v>
      </c>
      <c r="I5783" s="370">
        <v>5083.8251342773438</v>
      </c>
      <c r="M5783" s="371">
        <f t="shared" si="361"/>
        <v>14934.919755994446</v>
      </c>
      <c r="N5783" s="329">
        <f t="shared" si="362"/>
        <v>870.91764526367206</v>
      </c>
      <c r="T5783" s="331">
        <v>0</v>
      </c>
      <c r="U5783" s="328">
        <f>VLOOKUP(C5783,METADATA!$J$5:$Q$29,IF(E5783="HI",2,IF(E5783="LO",6,10))+IF(T5783=1,2,IF(D5783=7,1,(IF(WEEKDAY(B5783)=1,2,IF(WEEKDAY(B5783)=7,1,0))))))</f>
        <v>1</v>
      </c>
      <c r="V5783" s="328">
        <f>VLOOKUP(C5783,METADATA!$A$5:$H$29,IF(E5783="HI",2,IF(E5783="LO",6,10))+IF(T5783=1,2,IF(D5783=7,1,(IF(WEEKDAY(B5783)=1,2,IF(WEEKDAY(B5783)=7,1,0))))))</f>
        <v>1</v>
      </c>
    </row>
    <row r="5784" spans="2:22">
      <c r="B5784" s="318">
        <f t="shared" si="359"/>
        <v>46353</v>
      </c>
      <c r="C5784" s="312">
        <v>20</v>
      </c>
      <c r="D5784" s="368">
        <f>IFERROR((INDEX(METADATA!$T$2:$T$20,MATCH(B5784,METADATA!$S$2:$S$20,0))),0)</f>
        <v>0</v>
      </c>
      <c r="E5784" s="312" t="str">
        <f t="shared" si="360"/>
        <v>LO</v>
      </c>
      <c r="F5784" s="369">
        <f>VLOOKUP(C5784,METADATA!$A$5:$H$29,IF(E5784="HI",2,IF(E5784="LO",6,10))+IF(D5784=1,2,IF(D5784=7,1,(IF(WEEKDAY(B5784)=1,2,IF(WEEKDAY(B5784)=7,1,0))))))</f>
        <v>1</v>
      </c>
      <c r="G5784" s="369">
        <f>VLOOKUP(C5784,METADATA!$J$5:$Q$29,IF(E5784="HI",2,IF(E5784="LO",6,10))+IF(D5784=1,2,IF(D5784=7,1,(IF(WEEKDAY(B5784)=1,2,IF(WEEKDAY(B5784)=7,1,0))))))</f>
        <v>1</v>
      </c>
      <c r="H5784" s="370">
        <v>14143.07470703125</v>
      </c>
      <c r="I5784" s="370">
        <v>5008.3748168945313</v>
      </c>
      <c r="M5784" s="371">
        <f t="shared" si="361"/>
        <v>15003.678898029322</v>
      </c>
      <c r="N5784" s="329">
        <f t="shared" si="362"/>
        <v>765.45240478515643</v>
      </c>
      <c r="T5784" s="331">
        <v>0</v>
      </c>
      <c r="U5784" s="328">
        <f>VLOOKUP(C5784,METADATA!$J$5:$Q$29,IF(E5784="HI",2,IF(E5784="LO",6,10))+IF(T5784=1,2,IF(D5784=7,1,(IF(WEEKDAY(B5784)=1,2,IF(WEEKDAY(B5784)=7,1,0))))))</f>
        <v>1</v>
      </c>
      <c r="V5784" s="328">
        <f>VLOOKUP(C5784,METADATA!$A$5:$H$29,IF(E5784="HI",2,IF(E5784="LO",6,10))+IF(T5784=1,2,IF(D5784=7,1,(IF(WEEKDAY(B5784)=1,2,IF(WEEKDAY(B5784)=7,1,0))))))</f>
        <v>1</v>
      </c>
    </row>
    <row r="5785" spans="2:22">
      <c r="B5785" s="318">
        <f t="shared" si="359"/>
        <v>46353</v>
      </c>
      <c r="C5785" s="312">
        <v>21</v>
      </c>
      <c r="D5785" s="368">
        <f>IFERROR((INDEX(METADATA!$T$2:$T$20,MATCH(B5785,METADATA!$S$2:$S$20,0))),0)</f>
        <v>0</v>
      </c>
      <c r="E5785" s="312" t="str">
        <f t="shared" si="360"/>
        <v>LO</v>
      </c>
      <c r="F5785" s="369">
        <f>VLOOKUP(C5785,METADATA!$A$5:$H$29,IF(E5785="HI",2,IF(E5785="LO",6,10))+IF(D5785=1,2,IF(D5785=7,1,(IF(WEEKDAY(B5785)=1,2,IF(WEEKDAY(B5785)=7,1,0))))))</f>
        <v>2</v>
      </c>
      <c r="G5785" s="369">
        <f>VLOOKUP(C5785,METADATA!$J$5:$Q$29,IF(E5785="HI",2,IF(E5785="LO",6,10))+IF(D5785=1,2,IF(D5785=7,1,(IF(WEEKDAY(B5785)=1,2,IF(WEEKDAY(B5785)=7,1,0))))))</f>
        <v>2</v>
      </c>
      <c r="H5785" s="370">
        <v>13849.22509765625</v>
      </c>
      <c r="I5785" s="370">
        <v>4904.3750610351563</v>
      </c>
      <c r="M5785" s="371">
        <f t="shared" si="361"/>
        <v>14691.968232502253</v>
      </c>
      <c r="N5785" s="329">
        <f t="shared" si="362"/>
        <v>749.60753173828107</v>
      </c>
      <c r="T5785" s="331">
        <v>0</v>
      </c>
      <c r="U5785" s="328">
        <f>VLOOKUP(C5785,METADATA!$J$5:$Q$29,IF(E5785="HI",2,IF(E5785="LO",6,10))+IF(T5785=1,2,IF(D5785=7,1,(IF(WEEKDAY(B5785)=1,2,IF(WEEKDAY(B5785)=7,1,0))))))</f>
        <v>2</v>
      </c>
      <c r="V5785" s="328">
        <f>VLOOKUP(C5785,METADATA!$A$5:$H$29,IF(E5785="HI",2,IF(E5785="LO",6,10))+IF(T5785=1,2,IF(D5785=7,1,(IF(WEEKDAY(B5785)=1,2,IF(WEEKDAY(B5785)=7,1,0))))))</f>
        <v>2</v>
      </c>
    </row>
    <row r="5786" spans="2:22">
      <c r="B5786" s="318">
        <f t="shared" si="359"/>
        <v>46353</v>
      </c>
      <c r="C5786" s="312">
        <v>22</v>
      </c>
      <c r="D5786" s="368">
        <f>IFERROR((INDEX(METADATA!$T$2:$T$20,MATCH(B5786,METADATA!$S$2:$S$20,0))),0)</f>
        <v>0</v>
      </c>
      <c r="E5786" s="312" t="str">
        <f t="shared" si="360"/>
        <v>LO</v>
      </c>
      <c r="F5786" s="369">
        <f>VLOOKUP(C5786,METADATA!$A$5:$H$29,IF(E5786="HI",2,IF(E5786="LO",6,10))+IF(D5786=1,2,IF(D5786=7,1,(IF(WEEKDAY(B5786)=1,2,IF(WEEKDAY(B5786)=7,1,0))))))</f>
        <v>3</v>
      </c>
      <c r="G5786" s="369">
        <f>VLOOKUP(C5786,METADATA!$J$5:$Q$29,IF(E5786="HI",2,IF(E5786="LO",6,10))+IF(D5786=1,2,IF(D5786=7,1,(IF(WEEKDAY(B5786)=1,2,IF(WEEKDAY(B5786)=7,1,0))))))</f>
        <v>3</v>
      </c>
      <c r="H5786" s="370">
        <v>14020.925048828125</v>
      </c>
      <c r="I5786" s="370">
        <v>5062.3999633789063</v>
      </c>
      <c r="M5786" s="371">
        <f t="shared" si="361"/>
        <v>14906.851867985899</v>
      </c>
      <c r="N5786" s="329">
        <f t="shared" si="362"/>
        <v>856.12244873046893</v>
      </c>
      <c r="T5786" s="331">
        <v>0</v>
      </c>
      <c r="U5786" s="328">
        <f>VLOOKUP(C5786,METADATA!$J$5:$Q$29,IF(E5786="HI",2,IF(E5786="LO",6,10))+IF(T5786=1,2,IF(D5786=7,1,(IF(WEEKDAY(B5786)=1,2,IF(WEEKDAY(B5786)=7,1,0))))))</f>
        <v>3</v>
      </c>
      <c r="V5786" s="328">
        <f>VLOOKUP(C5786,METADATA!$A$5:$H$29,IF(E5786="HI",2,IF(E5786="LO",6,10))+IF(T5786=1,2,IF(D5786=7,1,(IF(WEEKDAY(B5786)=1,2,IF(WEEKDAY(B5786)=7,1,0))))))</f>
        <v>3</v>
      </c>
    </row>
    <row r="5787" spans="2:22">
      <c r="B5787" s="318">
        <f t="shared" si="359"/>
        <v>46353</v>
      </c>
      <c r="C5787" s="312">
        <v>23</v>
      </c>
      <c r="D5787" s="368">
        <f>IFERROR((INDEX(METADATA!$T$2:$T$20,MATCH(B5787,METADATA!$S$2:$S$20,0))),0)</f>
        <v>0</v>
      </c>
      <c r="E5787" s="312" t="str">
        <f t="shared" si="360"/>
        <v>LO</v>
      </c>
      <c r="F5787" s="369">
        <f>VLOOKUP(C5787,METADATA!$A$5:$H$29,IF(E5787="HI",2,IF(E5787="LO",6,10))+IF(D5787=1,2,IF(D5787=7,1,(IF(WEEKDAY(B5787)=1,2,IF(WEEKDAY(B5787)=7,1,0))))))</f>
        <v>3</v>
      </c>
      <c r="G5787" s="369">
        <f>VLOOKUP(C5787,METADATA!$J$5:$Q$29,IF(E5787="HI",2,IF(E5787="LO",6,10))+IF(D5787=1,2,IF(D5787=7,1,(IF(WEEKDAY(B5787)=1,2,IF(WEEKDAY(B5787)=7,1,0))))))</f>
        <v>3</v>
      </c>
      <c r="H5787" s="370">
        <v>14123.349975585938</v>
      </c>
      <c r="I5787" s="370">
        <v>5239.6998291015625</v>
      </c>
      <c r="M5787" s="371">
        <f t="shared" si="361"/>
        <v>15063.979183202897</v>
      </c>
      <c r="N5787" s="329">
        <f t="shared" si="362"/>
        <v>1002.6948364257814</v>
      </c>
      <c r="T5787" s="331">
        <v>0</v>
      </c>
      <c r="U5787" s="328">
        <f>VLOOKUP(C5787,METADATA!$J$5:$Q$29,IF(E5787="HI",2,IF(E5787="LO",6,10))+IF(T5787=1,2,IF(D5787=7,1,(IF(WEEKDAY(B5787)=1,2,IF(WEEKDAY(B5787)=7,1,0))))))</f>
        <v>3</v>
      </c>
      <c r="V5787" s="328">
        <f>VLOOKUP(C5787,METADATA!$A$5:$H$29,IF(E5787="HI",2,IF(E5787="LO",6,10))+IF(T5787=1,2,IF(D5787=7,1,(IF(WEEKDAY(B5787)=1,2,IF(WEEKDAY(B5787)=7,1,0))))))</f>
        <v>3</v>
      </c>
    </row>
    <row r="5788" spans="2:22">
      <c r="B5788" s="318">
        <f t="shared" ref="B5788:B5851" si="363">B5764+1</f>
        <v>46354</v>
      </c>
      <c r="C5788" s="312">
        <v>0</v>
      </c>
      <c r="D5788" s="368">
        <f>IFERROR((INDEX(METADATA!$T$2:$T$20,MATCH(B5788,METADATA!$S$2:$S$20,0))),0)</f>
        <v>0</v>
      </c>
      <c r="E5788" s="312" t="str">
        <f t="shared" si="360"/>
        <v>LO</v>
      </c>
      <c r="F5788" s="369">
        <f>VLOOKUP(C5788,METADATA!$A$5:$H$29,IF(E5788="HI",2,IF(E5788="LO",6,10))+IF(D5788=1,2,IF(D5788=7,1,(IF(WEEKDAY(B5788)=1,2,IF(WEEKDAY(B5788)=7,1,0))))))</f>
        <v>3</v>
      </c>
      <c r="G5788" s="369">
        <f>VLOOKUP(C5788,METADATA!$J$5:$Q$29,IF(E5788="HI",2,IF(E5788="LO",6,10))+IF(D5788=1,2,IF(D5788=7,1,(IF(WEEKDAY(B5788)=1,2,IF(WEEKDAY(B5788)=7,1,0))))))</f>
        <v>3</v>
      </c>
      <c r="H5788" s="370">
        <v>14237.249755859375</v>
      </c>
      <c r="I5788" s="370">
        <v>5375.0999755859375</v>
      </c>
      <c r="M5788" s="371">
        <f t="shared" si="361"/>
        <v>15218.113561090999</v>
      </c>
      <c r="N5788" s="329">
        <f t="shared" si="362"/>
        <v>1103.925048828125</v>
      </c>
      <c r="T5788" s="331">
        <v>0</v>
      </c>
      <c r="U5788" s="328">
        <f>VLOOKUP(C5788,METADATA!$J$5:$Q$29,IF(E5788="HI",2,IF(E5788="LO",6,10))+IF(T5788=1,2,IF(D5788=7,1,(IF(WEEKDAY(B5788)=1,2,IF(WEEKDAY(B5788)=7,1,0))))))</f>
        <v>3</v>
      </c>
      <c r="V5788" s="328">
        <f>VLOOKUP(C5788,METADATA!$A$5:$H$29,IF(E5788="HI",2,IF(E5788="LO",6,10))+IF(T5788=1,2,IF(D5788=7,1,(IF(WEEKDAY(B5788)=1,2,IF(WEEKDAY(B5788)=7,1,0))))))</f>
        <v>3</v>
      </c>
    </row>
    <row r="5789" spans="2:22">
      <c r="B5789" s="318">
        <f t="shared" si="363"/>
        <v>46354</v>
      </c>
      <c r="C5789" s="312">
        <v>1</v>
      </c>
      <c r="D5789" s="368">
        <f>IFERROR((INDEX(METADATA!$T$2:$T$20,MATCH(B5789,METADATA!$S$2:$S$20,0))),0)</f>
        <v>0</v>
      </c>
      <c r="E5789" s="312" t="str">
        <f t="shared" si="360"/>
        <v>LO</v>
      </c>
      <c r="F5789" s="369">
        <f>VLOOKUP(C5789,METADATA!$A$5:$H$29,IF(E5789="HI",2,IF(E5789="LO",6,10))+IF(D5789=1,2,IF(D5789=7,1,(IF(WEEKDAY(B5789)=1,2,IF(WEEKDAY(B5789)=7,1,0))))))</f>
        <v>3</v>
      </c>
      <c r="G5789" s="369">
        <f>VLOOKUP(C5789,METADATA!$J$5:$Q$29,IF(E5789="HI",2,IF(E5789="LO",6,10))+IF(D5789=1,2,IF(D5789=7,1,(IF(WEEKDAY(B5789)=1,2,IF(WEEKDAY(B5789)=7,1,0))))))</f>
        <v>3</v>
      </c>
      <c r="H5789" s="370">
        <v>14151.087524414063</v>
      </c>
      <c r="I5789" s="370">
        <v>5284.8223876953125</v>
      </c>
      <c r="M5789" s="371">
        <f t="shared" si="361"/>
        <v>15105.715004365496</v>
      </c>
      <c r="N5789" s="329">
        <f t="shared" si="362"/>
        <v>1039.4961303710943</v>
      </c>
      <c r="T5789" s="331">
        <v>0</v>
      </c>
      <c r="U5789" s="328">
        <f>VLOOKUP(C5789,METADATA!$J$5:$Q$29,IF(E5789="HI",2,IF(E5789="LO",6,10))+IF(T5789=1,2,IF(D5789=7,1,(IF(WEEKDAY(B5789)=1,2,IF(WEEKDAY(B5789)=7,1,0))))))</f>
        <v>3</v>
      </c>
      <c r="V5789" s="328">
        <f>VLOOKUP(C5789,METADATA!$A$5:$H$29,IF(E5789="HI",2,IF(E5789="LO",6,10))+IF(T5789=1,2,IF(D5789=7,1,(IF(WEEKDAY(B5789)=1,2,IF(WEEKDAY(B5789)=7,1,0))))))</f>
        <v>3</v>
      </c>
    </row>
    <row r="5790" spans="2:22">
      <c r="B5790" s="318">
        <f t="shared" si="363"/>
        <v>46354</v>
      </c>
      <c r="C5790" s="312">
        <v>2</v>
      </c>
      <c r="D5790" s="368">
        <f>IFERROR((INDEX(METADATA!$T$2:$T$20,MATCH(B5790,METADATA!$S$2:$S$20,0))),0)</f>
        <v>0</v>
      </c>
      <c r="E5790" s="312" t="str">
        <f t="shared" si="360"/>
        <v>LO</v>
      </c>
      <c r="F5790" s="369">
        <f>VLOOKUP(C5790,METADATA!$A$5:$H$29,IF(E5790="HI",2,IF(E5790="LO",6,10))+IF(D5790=1,2,IF(D5790=7,1,(IF(WEEKDAY(B5790)=1,2,IF(WEEKDAY(B5790)=7,1,0))))))</f>
        <v>3</v>
      </c>
      <c r="G5790" s="369">
        <f>VLOOKUP(C5790,METADATA!$J$5:$Q$29,IF(E5790="HI",2,IF(E5790="LO",6,10))+IF(D5790=1,2,IF(D5790=7,1,(IF(WEEKDAY(B5790)=1,2,IF(WEEKDAY(B5790)=7,1,0))))))</f>
        <v>3</v>
      </c>
      <c r="H5790" s="370">
        <v>14049.625244140625</v>
      </c>
      <c r="I5790" s="370">
        <v>5251.9498291015625</v>
      </c>
      <c r="M5790" s="371">
        <f t="shared" si="361"/>
        <v>14999.16486035784</v>
      </c>
      <c r="N5790" s="329">
        <f t="shared" si="362"/>
        <v>1037.062255859375</v>
      </c>
      <c r="T5790" s="331">
        <v>0</v>
      </c>
      <c r="U5790" s="328">
        <f>VLOOKUP(C5790,METADATA!$J$5:$Q$29,IF(E5790="HI",2,IF(E5790="LO",6,10))+IF(T5790=1,2,IF(D5790=7,1,(IF(WEEKDAY(B5790)=1,2,IF(WEEKDAY(B5790)=7,1,0))))))</f>
        <v>3</v>
      </c>
      <c r="V5790" s="328">
        <f>VLOOKUP(C5790,METADATA!$A$5:$H$29,IF(E5790="HI",2,IF(E5790="LO",6,10))+IF(T5790=1,2,IF(D5790=7,1,(IF(WEEKDAY(B5790)=1,2,IF(WEEKDAY(B5790)=7,1,0))))))</f>
        <v>3</v>
      </c>
    </row>
    <row r="5791" spans="2:22">
      <c r="B5791" s="318">
        <f t="shared" si="363"/>
        <v>46354</v>
      </c>
      <c r="C5791" s="312">
        <v>3</v>
      </c>
      <c r="D5791" s="368">
        <f>IFERROR((INDEX(METADATA!$T$2:$T$20,MATCH(B5791,METADATA!$S$2:$S$20,0))),0)</f>
        <v>0</v>
      </c>
      <c r="E5791" s="312" t="str">
        <f t="shared" si="360"/>
        <v>LO</v>
      </c>
      <c r="F5791" s="369">
        <f>VLOOKUP(C5791,METADATA!$A$5:$H$29,IF(E5791="HI",2,IF(E5791="LO",6,10))+IF(D5791=1,2,IF(D5791=7,1,(IF(WEEKDAY(B5791)=1,2,IF(WEEKDAY(B5791)=7,1,0))))))</f>
        <v>3</v>
      </c>
      <c r="G5791" s="369">
        <f>VLOOKUP(C5791,METADATA!$J$5:$Q$29,IF(E5791="HI",2,IF(E5791="LO",6,10))+IF(D5791=1,2,IF(D5791=7,1,(IF(WEEKDAY(B5791)=1,2,IF(WEEKDAY(B5791)=7,1,0))))))</f>
        <v>3</v>
      </c>
      <c r="H5791" s="370">
        <v>13943.074645996094</v>
      </c>
      <c r="I5791" s="370">
        <v>5241.0001220703125</v>
      </c>
      <c r="M5791" s="371">
        <f t="shared" si="361"/>
        <v>14895.550102744111</v>
      </c>
      <c r="N5791" s="329">
        <f t="shared" si="362"/>
        <v>1058.0777282714844</v>
      </c>
      <c r="T5791" s="331">
        <v>0</v>
      </c>
      <c r="U5791" s="328">
        <f>VLOOKUP(C5791,METADATA!$J$5:$Q$29,IF(E5791="HI",2,IF(E5791="LO",6,10))+IF(T5791=1,2,IF(D5791=7,1,(IF(WEEKDAY(B5791)=1,2,IF(WEEKDAY(B5791)=7,1,0))))))</f>
        <v>3</v>
      </c>
      <c r="V5791" s="328">
        <f>VLOOKUP(C5791,METADATA!$A$5:$H$29,IF(E5791="HI",2,IF(E5791="LO",6,10))+IF(T5791=1,2,IF(D5791=7,1,(IF(WEEKDAY(B5791)=1,2,IF(WEEKDAY(B5791)=7,1,0))))))</f>
        <v>3</v>
      </c>
    </row>
    <row r="5792" spans="2:22">
      <c r="B5792" s="318">
        <f t="shared" si="363"/>
        <v>46354</v>
      </c>
      <c r="C5792" s="312">
        <v>4</v>
      </c>
      <c r="D5792" s="368">
        <f>IFERROR((INDEX(METADATA!$T$2:$T$20,MATCH(B5792,METADATA!$S$2:$S$20,0))),0)</f>
        <v>0</v>
      </c>
      <c r="E5792" s="312" t="str">
        <f t="shared" si="360"/>
        <v>LO</v>
      </c>
      <c r="F5792" s="369">
        <f>VLOOKUP(C5792,METADATA!$A$5:$H$29,IF(E5792="HI",2,IF(E5792="LO",6,10))+IF(D5792=1,2,IF(D5792=7,1,(IF(WEEKDAY(B5792)=1,2,IF(WEEKDAY(B5792)=7,1,0))))))</f>
        <v>3</v>
      </c>
      <c r="G5792" s="369">
        <f>VLOOKUP(C5792,METADATA!$J$5:$Q$29,IF(E5792="HI",2,IF(E5792="LO",6,10))+IF(D5792=1,2,IF(D5792=7,1,(IF(WEEKDAY(B5792)=1,2,IF(WEEKDAY(B5792)=7,1,0))))))</f>
        <v>3</v>
      </c>
      <c r="H5792" s="370">
        <v>13764.824768066406</v>
      </c>
      <c r="I5792" s="370">
        <v>5068.9749755859375</v>
      </c>
      <c r="M5792" s="371">
        <f t="shared" si="361"/>
        <v>14668.500543637405</v>
      </c>
      <c r="N5792" s="329">
        <f t="shared" si="362"/>
        <v>939.52754516601544</v>
      </c>
      <c r="T5792" s="331">
        <v>0</v>
      </c>
      <c r="U5792" s="328">
        <f>VLOOKUP(C5792,METADATA!$J$5:$Q$29,IF(E5792="HI",2,IF(E5792="LO",6,10))+IF(T5792=1,2,IF(D5792=7,1,(IF(WEEKDAY(B5792)=1,2,IF(WEEKDAY(B5792)=7,1,0))))))</f>
        <v>3</v>
      </c>
      <c r="V5792" s="328">
        <f>VLOOKUP(C5792,METADATA!$A$5:$H$29,IF(E5792="HI",2,IF(E5792="LO",6,10))+IF(T5792=1,2,IF(D5792=7,1,(IF(WEEKDAY(B5792)=1,2,IF(WEEKDAY(B5792)=7,1,0))))))</f>
        <v>3</v>
      </c>
    </row>
    <row r="5793" spans="2:22">
      <c r="B5793" s="318">
        <f t="shared" si="363"/>
        <v>46354</v>
      </c>
      <c r="C5793" s="312">
        <v>5</v>
      </c>
      <c r="D5793" s="368">
        <f>IFERROR((INDEX(METADATA!$T$2:$T$20,MATCH(B5793,METADATA!$S$2:$S$20,0))),0)</f>
        <v>0</v>
      </c>
      <c r="E5793" s="312" t="str">
        <f t="shared" si="360"/>
        <v>LO</v>
      </c>
      <c r="F5793" s="369">
        <f>VLOOKUP(C5793,METADATA!$A$5:$H$29,IF(E5793="HI",2,IF(E5793="LO",6,10))+IF(D5793=1,2,IF(D5793=7,1,(IF(WEEKDAY(B5793)=1,2,IF(WEEKDAY(B5793)=7,1,0))))))</f>
        <v>3</v>
      </c>
      <c r="G5793" s="369">
        <f>VLOOKUP(C5793,METADATA!$J$5:$Q$29,IF(E5793="HI",2,IF(E5793="LO",6,10))+IF(D5793=1,2,IF(D5793=7,1,(IF(WEEKDAY(B5793)=1,2,IF(WEEKDAY(B5793)=7,1,0))))))</f>
        <v>3</v>
      </c>
      <c r="H5793" s="370">
        <v>13583.350036621094</v>
      </c>
      <c r="I5793" s="370">
        <v>4955.7249755859375</v>
      </c>
      <c r="M5793" s="371">
        <f t="shared" si="361"/>
        <v>14459.13580581566</v>
      </c>
      <c r="N5793" s="329">
        <f t="shared" si="362"/>
        <v>880.71996459960974</v>
      </c>
      <c r="T5793" s="331">
        <v>0</v>
      </c>
      <c r="U5793" s="328">
        <f>VLOOKUP(C5793,METADATA!$J$5:$Q$29,IF(E5793="HI",2,IF(E5793="LO",6,10))+IF(T5793=1,2,IF(D5793=7,1,(IF(WEEKDAY(B5793)=1,2,IF(WEEKDAY(B5793)=7,1,0))))))</f>
        <v>3</v>
      </c>
      <c r="V5793" s="328">
        <f>VLOOKUP(C5793,METADATA!$A$5:$H$29,IF(E5793="HI",2,IF(E5793="LO",6,10))+IF(T5793=1,2,IF(D5793=7,1,(IF(WEEKDAY(B5793)=1,2,IF(WEEKDAY(B5793)=7,1,0))))))</f>
        <v>3</v>
      </c>
    </row>
    <row r="5794" spans="2:22">
      <c r="B5794" s="318">
        <f t="shared" si="363"/>
        <v>46354</v>
      </c>
      <c r="C5794" s="312">
        <v>6</v>
      </c>
      <c r="D5794" s="368">
        <f>IFERROR((INDEX(METADATA!$T$2:$T$20,MATCH(B5794,METADATA!$S$2:$S$20,0))),0)</f>
        <v>0</v>
      </c>
      <c r="E5794" s="312" t="str">
        <f t="shared" si="360"/>
        <v>LO</v>
      </c>
      <c r="F5794" s="369">
        <f>VLOOKUP(C5794,METADATA!$A$5:$H$29,IF(E5794="HI",2,IF(E5794="LO",6,10))+IF(D5794=1,2,IF(D5794=7,1,(IF(WEEKDAY(B5794)=1,2,IF(WEEKDAY(B5794)=7,1,0))))))</f>
        <v>3</v>
      </c>
      <c r="G5794" s="369">
        <f>VLOOKUP(C5794,METADATA!$J$5:$Q$29,IF(E5794="HI",2,IF(E5794="LO",6,10))+IF(D5794=1,2,IF(D5794=7,1,(IF(WEEKDAY(B5794)=1,2,IF(WEEKDAY(B5794)=7,1,0))))))</f>
        <v>3</v>
      </c>
      <c r="H5794" s="370">
        <v>13716.774963378906</v>
      </c>
      <c r="I5794" s="370">
        <v>5149.5001831054688</v>
      </c>
      <c r="M5794" s="371">
        <f t="shared" si="361"/>
        <v>14651.527822441645</v>
      </c>
      <c r="N5794" s="329">
        <f t="shared" si="362"/>
        <v>1034.4676940917971</v>
      </c>
      <c r="T5794" s="331">
        <v>0</v>
      </c>
      <c r="U5794" s="328">
        <f>VLOOKUP(C5794,METADATA!$J$5:$Q$29,IF(E5794="HI",2,IF(E5794="LO",6,10))+IF(T5794=1,2,IF(D5794=7,1,(IF(WEEKDAY(B5794)=1,2,IF(WEEKDAY(B5794)=7,1,0))))))</f>
        <v>3</v>
      </c>
      <c r="V5794" s="328">
        <f>VLOOKUP(C5794,METADATA!$A$5:$H$29,IF(E5794="HI",2,IF(E5794="LO",6,10))+IF(T5794=1,2,IF(D5794=7,1,(IF(WEEKDAY(B5794)=1,2,IF(WEEKDAY(B5794)=7,1,0))))))</f>
        <v>3</v>
      </c>
    </row>
    <row r="5795" spans="2:22">
      <c r="B5795" s="318">
        <f t="shared" si="363"/>
        <v>46354</v>
      </c>
      <c r="C5795" s="312">
        <v>7</v>
      </c>
      <c r="D5795" s="368">
        <f>IFERROR((INDEX(METADATA!$T$2:$T$20,MATCH(B5795,METADATA!$S$2:$S$20,0))),0)</f>
        <v>0</v>
      </c>
      <c r="E5795" s="312" t="str">
        <f t="shared" si="360"/>
        <v>LO</v>
      </c>
      <c r="F5795" s="369">
        <f>VLOOKUP(C5795,METADATA!$A$5:$H$29,IF(E5795="HI",2,IF(E5795="LO",6,10))+IF(D5795=1,2,IF(D5795=7,1,(IF(WEEKDAY(B5795)=1,2,IF(WEEKDAY(B5795)=7,1,0))))))</f>
        <v>2</v>
      </c>
      <c r="G5795" s="369">
        <f>VLOOKUP(C5795,METADATA!$J$5:$Q$29,IF(E5795="HI",2,IF(E5795="LO",6,10))+IF(D5795=1,2,IF(D5795=7,1,(IF(WEEKDAY(B5795)=1,2,IF(WEEKDAY(B5795)=7,1,0))))))</f>
        <v>2</v>
      </c>
      <c r="H5795" s="370">
        <v>13916.249755859375</v>
      </c>
      <c r="I5795" s="370">
        <v>5014.7250366210938</v>
      </c>
      <c r="M5795" s="371">
        <f t="shared" si="361"/>
        <v>14792.20992483444</v>
      </c>
      <c r="N5795" s="329">
        <f t="shared" si="362"/>
        <v>839.85010986328143</v>
      </c>
      <c r="T5795" s="331">
        <v>0</v>
      </c>
      <c r="U5795" s="328">
        <f>VLOOKUP(C5795,METADATA!$J$5:$Q$29,IF(E5795="HI",2,IF(E5795="LO",6,10))+IF(T5795=1,2,IF(D5795=7,1,(IF(WEEKDAY(B5795)=1,2,IF(WEEKDAY(B5795)=7,1,0))))))</f>
        <v>2</v>
      </c>
      <c r="V5795" s="328">
        <f>VLOOKUP(C5795,METADATA!$A$5:$H$29,IF(E5795="HI",2,IF(E5795="LO",6,10))+IF(T5795=1,2,IF(D5795=7,1,(IF(WEEKDAY(B5795)=1,2,IF(WEEKDAY(B5795)=7,1,0))))))</f>
        <v>2</v>
      </c>
    </row>
    <row r="5796" spans="2:22">
      <c r="B5796" s="318">
        <f t="shared" si="363"/>
        <v>46354</v>
      </c>
      <c r="C5796" s="312">
        <v>8</v>
      </c>
      <c r="D5796" s="368">
        <f>IFERROR((INDEX(METADATA!$T$2:$T$20,MATCH(B5796,METADATA!$S$2:$S$20,0))),0)</f>
        <v>0</v>
      </c>
      <c r="E5796" s="312" t="str">
        <f t="shared" si="360"/>
        <v>LO</v>
      </c>
      <c r="F5796" s="369">
        <f>VLOOKUP(C5796,METADATA!$A$5:$H$29,IF(E5796="HI",2,IF(E5796="LO",6,10))+IF(D5796=1,2,IF(D5796=7,1,(IF(WEEKDAY(B5796)=1,2,IF(WEEKDAY(B5796)=7,1,0))))))</f>
        <v>2</v>
      </c>
      <c r="G5796" s="369">
        <f>VLOOKUP(C5796,METADATA!$J$5:$Q$29,IF(E5796="HI",2,IF(E5796="LO",6,10))+IF(D5796=1,2,IF(D5796=7,1,(IF(WEEKDAY(B5796)=1,2,IF(WEEKDAY(B5796)=7,1,0))))))</f>
        <v>2</v>
      </c>
      <c r="H5796" s="370">
        <v>13799.974914550781</v>
      </c>
      <c r="I5796" s="370">
        <v>4785.64990234375</v>
      </c>
      <c r="M5796" s="371">
        <f t="shared" si="361"/>
        <v>14606.223078880919</v>
      </c>
      <c r="N5796" s="329">
        <f t="shared" si="362"/>
        <v>645.65742797851544</v>
      </c>
      <c r="T5796" s="331">
        <v>0</v>
      </c>
      <c r="U5796" s="328">
        <f>VLOOKUP(C5796,METADATA!$J$5:$Q$29,IF(E5796="HI",2,IF(E5796="LO",6,10))+IF(T5796=1,2,IF(D5796=7,1,(IF(WEEKDAY(B5796)=1,2,IF(WEEKDAY(B5796)=7,1,0))))))</f>
        <v>2</v>
      </c>
      <c r="V5796" s="328">
        <f>VLOOKUP(C5796,METADATA!$A$5:$H$29,IF(E5796="HI",2,IF(E5796="LO",6,10))+IF(T5796=1,2,IF(D5796=7,1,(IF(WEEKDAY(B5796)=1,2,IF(WEEKDAY(B5796)=7,1,0))))))</f>
        <v>2</v>
      </c>
    </row>
    <row r="5797" spans="2:22">
      <c r="B5797" s="318">
        <f t="shared" si="363"/>
        <v>46354</v>
      </c>
      <c r="C5797" s="312">
        <v>9</v>
      </c>
      <c r="D5797" s="368">
        <f>IFERROR((INDEX(METADATA!$T$2:$T$20,MATCH(B5797,METADATA!$S$2:$S$20,0))),0)</f>
        <v>0</v>
      </c>
      <c r="E5797" s="312" t="str">
        <f t="shared" si="360"/>
        <v>LO</v>
      </c>
      <c r="F5797" s="369">
        <f>VLOOKUP(C5797,METADATA!$A$5:$H$29,IF(E5797="HI",2,IF(E5797="LO",6,10))+IF(D5797=1,2,IF(D5797=7,1,(IF(WEEKDAY(B5797)=1,2,IF(WEEKDAY(B5797)=7,1,0))))))</f>
        <v>2</v>
      </c>
      <c r="G5797" s="369">
        <f>VLOOKUP(C5797,METADATA!$J$5:$Q$29,IF(E5797="HI",2,IF(E5797="LO",6,10))+IF(D5797=1,2,IF(D5797=7,1,(IF(WEEKDAY(B5797)=1,2,IF(WEEKDAY(B5797)=7,1,0))))))</f>
        <v>2</v>
      </c>
      <c r="H5797" s="370">
        <v>13680.624633789063</v>
      </c>
      <c r="I5797" s="370">
        <v>4755.3749694824219</v>
      </c>
      <c r="M5797" s="371">
        <f t="shared" si="361"/>
        <v>14483.545196912808</v>
      </c>
      <c r="N5797" s="329">
        <f t="shared" si="362"/>
        <v>651.18757934570294</v>
      </c>
      <c r="T5797" s="331">
        <v>0</v>
      </c>
      <c r="U5797" s="328">
        <f>VLOOKUP(C5797,METADATA!$J$5:$Q$29,IF(E5797="HI",2,IF(E5797="LO",6,10))+IF(T5797=1,2,IF(D5797=7,1,(IF(WEEKDAY(B5797)=1,2,IF(WEEKDAY(B5797)=7,1,0))))))</f>
        <v>2</v>
      </c>
      <c r="V5797" s="328">
        <f>VLOOKUP(C5797,METADATA!$A$5:$H$29,IF(E5797="HI",2,IF(E5797="LO",6,10))+IF(T5797=1,2,IF(D5797=7,1,(IF(WEEKDAY(B5797)=1,2,IF(WEEKDAY(B5797)=7,1,0))))))</f>
        <v>2</v>
      </c>
    </row>
    <row r="5798" spans="2:22">
      <c r="B5798" s="318">
        <f t="shared" si="363"/>
        <v>46354</v>
      </c>
      <c r="C5798" s="312">
        <v>10</v>
      </c>
      <c r="D5798" s="368">
        <f>IFERROR((INDEX(METADATA!$T$2:$T$20,MATCH(B5798,METADATA!$S$2:$S$20,0))),0)</f>
        <v>0</v>
      </c>
      <c r="E5798" s="312" t="str">
        <f t="shared" si="360"/>
        <v>LO</v>
      </c>
      <c r="F5798" s="369">
        <f>VLOOKUP(C5798,METADATA!$A$5:$H$29,IF(E5798="HI",2,IF(E5798="LO",6,10))+IF(D5798=1,2,IF(D5798=7,1,(IF(WEEKDAY(B5798)=1,2,IF(WEEKDAY(B5798)=7,1,0))))))</f>
        <v>2</v>
      </c>
      <c r="G5798" s="369">
        <f>VLOOKUP(C5798,METADATA!$J$5:$Q$29,IF(E5798="HI",2,IF(E5798="LO",6,10))+IF(D5798=1,2,IF(D5798=7,1,(IF(WEEKDAY(B5798)=1,2,IF(WEEKDAY(B5798)=7,1,0))))))</f>
        <v>2</v>
      </c>
      <c r="H5798" s="370">
        <v>13618.475280761719</v>
      </c>
      <c r="I5798" s="370">
        <v>4694.3349914550781</v>
      </c>
      <c r="M5798" s="371">
        <f t="shared" si="361"/>
        <v>14404.848141674993</v>
      </c>
      <c r="N5798" s="329">
        <f t="shared" si="362"/>
        <v>608.79240722656277</v>
      </c>
      <c r="T5798" s="331">
        <v>0</v>
      </c>
      <c r="U5798" s="328">
        <f>VLOOKUP(C5798,METADATA!$J$5:$Q$29,IF(E5798="HI",2,IF(E5798="LO",6,10))+IF(T5798=1,2,IF(D5798=7,1,(IF(WEEKDAY(B5798)=1,2,IF(WEEKDAY(B5798)=7,1,0))))))</f>
        <v>2</v>
      </c>
      <c r="V5798" s="328">
        <f>VLOOKUP(C5798,METADATA!$A$5:$H$29,IF(E5798="HI",2,IF(E5798="LO",6,10))+IF(T5798=1,2,IF(D5798=7,1,(IF(WEEKDAY(B5798)=1,2,IF(WEEKDAY(B5798)=7,1,0))))))</f>
        <v>2</v>
      </c>
    </row>
    <row r="5799" spans="2:22">
      <c r="B5799" s="318">
        <f t="shared" si="363"/>
        <v>46354</v>
      </c>
      <c r="C5799" s="312">
        <v>11</v>
      </c>
      <c r="D5799" s="368">
        <f>IFERROR((INDEX(METADATA!$T$2:$T$20,MATCH(B5799,METADATA!$S$2:$S$20,0))),0)</f>
        <v>0</v>
      </c>
      <c r="E5799" s="312" t="str">
        <f t="shared" si="360"/>
        <v>LO</v>
      </c>
      <c r="F5799" s="369">
        <f>VLOOKUP(C5799,METADATA!$A$5:$H$29,IF(E5799="HI",2,IF(E5799="LO",6,10))+IF(D5799=1,2,IF(D5799=7,1,(IF(WEEKDAY(B5799)=1,2,IF(WEEKDAY(B5799)=7,1,0))))))</f>
        <v>2</v>
      </c>
      <c r="G5799" s="369">
        <f>VLOOKUP(C5799,METADATA!$J$5:$Q$29,IF(E5799="HI",2,IF(E5799="LO",6,10))+IF(D5799=1,2,IF(D5799=7,1,(IF(WEEKDAY(B5799)=1,2,IF(WEEKDAY(B5799)=7,1,0))))))</f>
        <v>2</v>
      </c>
      <c r="H5799" s="370">
        <v>13631.874938964844</v>
      </c>
      <c r="I5799" s="370">
        <v>4673.1248779296875</v>
      </c>
      <c r="M5799" s="371">
        <f t="shared" si="361"/>
        <v>14410.624916231187</v>
      </c>
      <c r="N5799" s="329">
        <f t="shared" si="362"/>
        <v>583.56239624023465</v>
      </c>
      <c r="T5799" s="331">
        <v>0</v>
      </c>
      <c r="U5799" s="328">
        <f>VLOOKUP(C5799,METADATA!$J$5:$Q$29,IF(E5799="HI",2,IF(E5799="LO",6,10))+IF(T5799=1,2,IF(D5799=7,1,(IF(WEEKDAY(B5799)=1,2,IF(WEEKDAY(B5799)=7,1,0))))))</f>
        <v>2</v>
      </c>
      <c r="V5799" s="328">
        <f>VLOOKUP(C5799,METADATA!$A$5:$H$29,IF(E5799="HI",2,IF(E5799="LO",6,10))+IF(T5799=1,2,IF(D5799=7,1,(IF(WEEKDAY(B5799)=1,2,IF(WEEKDAY(B5799)=7,1,0))))))</f>
        <v>2</v>
      </c>
    </row>
    <row r="5800" spans="2:22">
      <c r="B5800" s="318">
        <f t="shared" si="363"/>
        <v>46354</v>
      </c>
      <c r="C5800" s="312">
        <v>12</v>
      </c>
      <c r="D5800" s="368">
        <f>IFERROR((INDEX(METADATA!$T$2:$T$20,MATCH(B5800,METADATA!$S$2:$S$20,0))),0)</f>
        <v>0</v>
      </c>
      <c r="E5800" s="312" t="str">
        <f t="shared" si="360"/>
        <v>LO</v>
      </c>
      <c r="F5800" s="369">
        <f>VLOOKUP(C5800,METADATA!$A$5:$H$29,IF(E5800="HI",2,IF(E5800="LO",6,10))+IF(D5800=1,2,IF(D5800=7,1,(IF(WEEKDAY(B5800)=1,2,IF(WEEKDAY(B5800)=7,1,0))))))</f>
        <v>3</v>
      </c>
      <c r="G5800" s="369">
        <f>VLOOKUP(C5800,METADATA!$J$5:$Q$29,IF(E5800="HI",2,IF(E5800="LO",6,10))+IF(D5800=1,2,IF(D5800=7,1,(IF(WEEKDAY(B5800)=1,2,IF(WEEKDAY(B5800)=7,1,0))))))</f>
        <v>3</v>
      </c>
      <c r="H5800" s="370">
        <v>13562.25</v>
      </c>
      <c r="I5800" s="370">
        <v>4711.8250122070313</v>
      </c>
      <c r="M5800" s="371">
        <f t="shared" si="361"/>
        <v>14357.434311469435</v>
      </c>
      <c r="N5800" s="329">
        <f t="shared" si="362"/>
        <v>643.15001220703152</v>
      </c>
      <c r="T5800" s="331">
        <v>0</v>
      </c>
      <c r="U5800" s="328">
        <f>VLOOKUP(C5800,METADATA!$J$5:$Q$29,IF(E5800="HI",2,IF(E5800="LO",6,10))+IF(T5800=1,2,IF(D5800=7,1,(IF(WEEKDAY(B5800)=1,2,IF(WEEKDAY(B5800)=7,1,0))))))</f>
        <v>3</v>
      </c>
      <c r="V5800" s="328">
        <f>VLOOKUP(C5800,METADATA!$A$5:$H$29,IF(E5800="HI",2,IF(E5800="LO",6,10))+IF(T5800=1,2,IF(D5800=7,1,(IF(WEEKDAY(B5800)=1,2,IF(WEEKDAY(B5800)=7,1,0))))))</f>
        <v>3</v>
      </c>
    </row>
    <row r="5801" spans="2:22">
      <c r="B5801" s="318">
        <f t="shared" si="363"/>
        <v>46354</v>
      </c>
      <c r="C5801" s="312">
        <v>13</v>
      </c>
      <c r="D5801" s="368">
        <f>IFERROR((INDEX(METADATA!$T$2:$T$20,MATCH(B5801,METADATA!$S$2:$S$20,0))),0)</f>
        <v>0</v>
      </c>
      <c r="E5801" s="312" t="str">
        <f t="shared" si="360"/>
        <v>LO</v>
      </c>
      <c r="F5801" s="369">
        <f>VLOOKUP(C5801,METADATA!$A$5:$H$29,IF(E5801="HI",2,IF(E5801="LO",6,10))+IF(D5801=1,2,IF(D5801=7,1,(IF(WEEKDAY(B5801)=1,2,IF(WEEKDAY(B5801)=7,1,0))))))</f>
        <v>3</v>
      </c>
      <c r="G5801" s="369">
        <f>VLOOKUP(C5801,METADATA!$J$5:$Q$29,IF(E5801="HI",2,IF(E5801="LO",6,10))+IF(D5801=1,2,IF(D5801=7,1,(IF(WEEKDAY(B5801)=1,2,IF(WEEKDAY(B5801)=7,1,0))))))</f>
        <v>3</v>
      </c>
      <c r="H5801" s="370">
        <v>13684.825073242188</v>
      </c>
      <c r="I5801" s="370">
        <v>4829.8499145507813</v>
      </c>
      <c r="M5801" s="371">
        <f t="shared" si="361"/>
        <v>14512.128978283105</v>
      </c>
      <c r="N5801" s="329">
        <f t="shared" si="362"/>
        <v>724.40239257812482</v>
      </c>
      <c r="T5801" s="331">
        <v>0</v>
      </c>
      <c r="U5801" s="328">
        <f>VLOOKUP(C5801,METADATA!$J$5:$Q$29,IF(E5801="HI",2,IF(E5801="LO",6,10))+IF(T5801=1,2,IF(D5801=7,1,(IF(WEEKDAY(B5801)=1,2,IF(WEEKDAY(B5801)=7,1,0))))))</f>
        <v>3</v>
      </c>
      <c r="V5801" s="328">
        <f>VLOOKUP(C5801,METADATA!$A$5:$H$29,IF(E5801="HI",2,IF(E5801="LO",6,10))+IF(T5801=1,2,IF(D5801=7,1,(IF(WEEKDAY(B5801)=1,2,IF(WEEKDAY(B5801)=7,1,0))))))</f>
        <v>3</v>
      </c>
    </row>
    <row r="5802" spans="2:22">
      <c r="B5802" s="318">
        <f t="shared" si="363"/>
        <v>46354</v>
      </c>
      <c r="C5802" s="312">
        <v>14</v>
      </c>
      <c r="D5802" s="368">
        <f>IFERROR((INDEX(METADATA!$T$2:$T$20,MATCH(B5802,METADATA!$S$2:$S$20,0))),0)</f>
        <v>0</v>
      </c>
      <c r="E5802" s="312" t="str">
        <f t="shared" si="360"/>
        <v>LO</v>
      </c>
      <c r="F5802" s="369">
        <f>VLOOKUP(C5802,METADATA!$A$5:$H$29,IF(E5802="HI",2,IF(E5802="LO",6,10))+IF(D5802=1,2,IF(D5802=7,1,(IF(WEEKDAY(B5802)=1,2,IF(WEEKDAY(B5802)=7,1,0))))))</f>
        <v>3</v>
      </c>
      <c r="G5802" s="369">
        <f>VLOOKUP(C5802,METADATA!$J$5:$Q$29,IF(E5802="HI",2,IF(E5802="LO",6,10))+IF(D5802=1,2,IF(D5802=7,1,(IF(WEEKDAY(B5802)=1,2,IF(WEEKDAY(B5802)=7,1,0))))))</f>
        <v>3</v>
      </c>
      <c r="H5802" s="370">
        <v>13498.450256347656</v>
      </c>
      <c r="I5802" s="370">
        <v>4730.989990234375</v>
      </c>
      <c r="M5802" s="371">
        <f t="shared" si="361"/>
        <v>14303.510953985737</v>
      </c>
      <c r="N5802" s="329">
        <f t="shared" si="362"/>
        <v>681.4549133300784</v>
      </c>
      <c r="T5802" s="331">
        <v>0</v>
      </c>
      <c r="U5802" s="328">
        <f>VLOOKUP(C5802,METADATA!$J$5:$Q$29,IF(E5802="HI",2,IF(E5802="LO",6,10))+IF(T5802=1,2,IF(D5802=7,1,(IF(WEEKDAY(B5802)=1,2,IF(WEEKDAY(B5802)=7,1,0))))))</f>
        <v>3</v>
      </c>
      <c r="V5802" s="328">
        <f>VLOOKUP(C5802,METADATA!$A$5:$H$29,IF(E5802="HI",2,IF(E5802="LO",6,10))+IF(T5802=1,2,IF(D5802=7,1,(IF(WEEKDAY(B5802)=1,2,IF(WEEKDAY(B5802)=7,1,0))))))</f>
        <v>3</v>
      </c>
    </row>
    <row r="5803" spans="2:22">
      <c r="B5803" s="318">
        <f t="shared" si="363"/>
        <v>46354</v>
      </c>
      <c r="C5803" s="312">
        <v>15</v>
      </c>
      <c r="D5803" s="368">
        <f>IFERROR((INDEX(METADATA!$T$2:$T$20,MATCH(B5803,METADATA!$S$2:$S$20,0))),0)</f>
        <v>0</v>
      </c>
      <c r="E5803" s="312" t="str">
        <f t="shared" si="360"/>
        <v>LO</v>
      </c>
      <c r="F5803" s="369">
        <f>VLOOKUP(C5803,METADATA!$A$5:$H$29,IF(E5803="HI",2,IF(E5803="LO",6,10))+IF(D5803=1,2,IF(D5803=7,1,(IF(WEEKDAY(B5803)=1,2,IF(WEEKDAY(B5803)=7,1,0))))))</f>
        <v>3</v>
      </c>
      <c r="G5803" s="369">
        <f>VLOOKUP(C5803,METADATA!$J$5:$Q$29,IF(E5803="HI",2,IF(E5803="LO",6,10))+IF(D5803=1,2,IF(D5803=7,1,(IF(WEEKDAY(B5803)=1,2,IF(WEEKDAY(B5803)=7,1,0))))))</f>
        <v>3</v>
      </c>
      <c r="H5803" s="370">
        <v>13474.874938964844</v>
      </c>
      <c r="I5803" s="370">
        <v>4822.9999389648438</v>
      </c>
      <c r="M5803" s="371">
        <f t="shared" si="361"/>
        <v>14312.008350752094</v>
      </c>
      <c r="N5803" s="329">
        <f t="shared" si="362"/>
        <v>780.53745727539081</v>
      </c>
      <c r="T5803" s="331">
        <v>0</v>
      </c>
      <c r="U5803" s="328">
        <f>VLOOKUP(C5803,METADATA!$J$5:$Q$29,IF(E5803="HI",2,IF(E5803="LO",6,10))+IF(T5803=1,2,IF(D5803=7,1,(IF(WEEKDAY(B5803)=1,2,IF(WEEKDAY(B5803)=7,1,0))))))</f>
        <v>3</v>
      </c>
      <c r="V5803" s="328">
        <f>VLOOKUP(C5803,METADATA!$A$5:$H$29,IF(E5803="HI",2,IF(E5803="LO",6,10))+IF(T5803=1,2,IF(D5803=7,1,(IF(WEEKDAY(B5803)=1,2,IF(WEEKDAY(B5803)=7,1,0))))))</f>
        <v>3</v>
      </c>
    </row>
    <row r="5804" spans="2:22">
      <c r="B5804" s="318">
        <f t="shared" si="363"/>
        <v>46354</v>
      </c>
      <c r="C5804" s="312">
        <v>16</v>
      </c>
      <c r="D5804" s="368">
        <f>IFERROR((INDEX(METADATA!$T$2:$T$20,MATCH(B5804,METADATA!$S$2:$S$20,0))),0)</f>
        <v>0</v>
      </c>
      <c r="E5804" s="312" t="str">
        <f t="shared" si="360"/>
        <v>LO</v>
      </c>
      <c r="F5804" s="369">
        <f>VLOOKUP(C5804,METADATA!$A$5:$H$29,IF(E5804="HI",2,IF(E5804="LO",6,10))+IF(D5804=1,2,IF(D5804=7,1,(IF(WEEKDAY(B5804)=1,2,IF(WEEKDAY(B5804)=7,1,0))))))</f>
        <v>3</v>
      </c>
      <c r="G5804" s="369">
        <f>VLOOKUP(C5804,METADATA!$J$5:$Q$29,IF(E5804="HI",2,IF(E5804="LO",6,10))+IF(D5804=1,2,IF(D5804=7,1,(IF(WEEKDAY(B5804)=1,2,IF(WEEKDAY(B5804)=7,1,0))))))</f>
        <v>3</v>
      </c>
      <c r="H5804" s="370">
        <v>13454.749633789063</v>
      </c>
      <c r="I5804" s="370">
        <v>4820.8998413085938</v>
      </c>
      <c r="M5804" s="371">
        <f t="shared" si="361"/>
        <v>14292.353304752723</v>
      </c>
      <c r="N5804" s="329">
        <f t="shared" si="362"/>
        <v>784.47495117187509</v>
      </c>
      <c r="T5804" s="331">
        <v>0</v>
      </c>
      <c r="U5804" s="328">
        <f>VLOOKUP(C5804,METADATA!$J$5:$Q$29,IF(E5804="HI",2,IF(E5804="LO",6,10))+IF(T5804=1,2,IF(D5804=7,1,(IF(WEEKDAY(B5804)=1,2,IF(WEEKDAY(B5804)=7,1,0))))))</f>
        <v>3</v>
      </c>
      <c r="V5804" s="328">
        <f>VLOOKUP(C5804,METADATA!$A$5:$H$29,IF(E5804="HI",2,IF(E5804="LO",6,10))+IF(T5804=1,2,IF(D5804=7,1,(IF(WEEKDAY(B5804)=1,2,IF(WEEKDAY(B5804)=7,1,0))))))</f>
        <v>3</v>
      </c>
    </row>
    <row r="5805" spans="2:22">
      <c r="B5805" s="318">
        <f t="shared" si="363"/>
        <v>46354</v>
      </c>
      <c r="C5805" s="312">
        <v>17</v>
      </c>
      <c r="D5805" s="368">
        <f>IFERROR((INDEX(METADATA!$T$2:$T$20,MATCH(B5805,METADATA!$S$2:$S$20,0))),0)</f>
        <v>0</v>
      </c>
      <c r="E5805" s="312" t="str">
        <f t="shared" si="360"/>
        <v>LO</v>
      </c>
      <c r="F5805" s="369">
        <f>VLOOKUP(C5805,METADATA!$A$5:$H$29,IF(E5805="HI",2,IF(E5805="LO",6,10))+IF(D5805=1,2,IF(D5805=7,1,(IF(WEEKDAY(B5805)=1,2,IF(WEEKDAY(B5805)=7,1,0))))))</f>
        <v>3</v>
      </c>
      <c r="G5805" s="369">
        <f>VLOOKUP(C5805,METADATA!$J$5:$Q$29,IF(E5805="HI",2,IF(E5805="LO",6,10))+IF(D5805=1,2,IF(D5805=7,1,(IF(WEEKDAY(B5805)=1,2,IF(WEEKDAY(B5805)=7,1,0))))))</f>
        <v>3</v>
      </c>
      <c r="H5805" s="370">
        <v>13508.225341796875</v>
      </c>
      <c r="I5805" s="370">
        <v>4792.6249389648438</v>
      </c>
      <c r="M5805" s="371">
        <f t="shared" si="361"/>
        <v>14333.227329891586</v>
      </c>
      <c r="N5805" s="329">
        <f t="shared" si="362"/>
        <v>740.15733642578152</v>
      </c>
      <c r="T5805" s="331">
        <v>0</v>
      </c>
      <c r="U5805" s="328">
        <f>VLOOKUP(C5805,METADATA!$J$5:$Q$29,IF(E5805="HI",2,IF(E5805="LO",6,10))+IF(T5805=1,2,IF(D5805=7,1,(IF(WEEKDAY(B5805)=1,2,IF(WEEKDAY(B5805)=7,1,0))))))</f>
        <v>3</v>
      </c>
      <c r="V5805" s="328">
        <f>VLOOKUP(C5805,METADATA!$A$5:$H$29,IF(E5805="HI",2,IF(E5805="LO",6,10))+IF(T5805=1,2,IF(D5805=7,1,(IF(WEEKDAY(B5805)=1,2,IF(WEEKDAY(B5805)=7,1,0))))))</f>
        <v>3</v>
      </c>
    </row>
    <row r="5806" spans="2:22">
      <c r="B5806" s="318">
        <f t="shared" si="363"/>
        <v>46354</v>
      </c>
      <c r="C5806" s="312">
        <v>18</v>
      </c>
      <c r="D5806" s="368">
        <f>IFERROR((INDEX(METADATA!$T$2:$T$20,MATCH(B5806,METADATA!$S$2:$S$20,0))),0)</f>
        <v>0</v>
      </c>
      <c r="E5806" s="312" t="str">
        <f t="shared" si="360"/>
        <v>LO</v>
      </c>
      <c r="F5806" s="369">
        <f>VLOOKUP(C5806,METADATA!$A$5:$H$29,IF(E5806="HI",2,IF(E5806="LO",6,10))+IF(D5806=1,2,IF(D5806=7,1,(IF(WEEKDAY(B5806)=1,2,IF(WEEKDAY(B5806)=7,1,0))))))</f>
        <v>2</v>
      </c>
      <c r="G5806" s="369">
        <f>VLOOKUP(C5806,METADATA!$J$5:$Q$29,IF(E5806="HI",2,IF(E5806="LO",6,10))+IF(D5806=1,2,IF(D5806=7,1,(IF(WEEKDAY(B5806)=1,2,IF(WEEKDAY(B5806)=7,1,0))))))</f>
        <v>2</v>
      </c>
      <c r="H5806" s="370">
        <v>13523.650085449219</v>
      </c>
      <c r="I5806" s="370">
        <v>4786.574951171875</v>
      </c>
      <c r="M5806" s="371">
        <f t="shared" si="361"/>
        <v>14345.745410987074</v>
      </c>
      <c r="N5806" s="329">
        <f t="shared" si="362"/>
        <v>729.47992553710947</v>
      </c>
      <c r="T5806" s="331">
        <v>0</v>
      </c>
      <c r="U5806" s="328">
        <f>VLOOKUP(C5806,METADATA!$J$5:$Q$29,IF(E5806="HI",2,IF(E5806="LO",6,10))+IF(T5806=1,2,IF(D5806=7,1,(IF(WEEKDAY(B5806)=1,2,IF(WEEKDAY(B5806)=7,1,0))))))</f>
        <v>2</v>
      </c>
      <c r="V5806" s="328">
        <f>VLOOKUP(C5806,METADATA!$A$5:$H$29,IF(E5806="HI",2,IF(E5806="LO",6,10))+IF(T5806=1,2,IF(D5806=7,1,(IF(WEEKDAY(B5806)=1,2,IF(WEEKDAY(B5806)=7,1,0))))))</f>
        <v>2</v>
      </c>
    </row>
    <row r="5807" spans="2:22">
      <c r="B5807" s="318">
        <f t="shared" si="363"/>
        <v>46354</v>
      </c>
      <c r="C5807" s="312">
        <v>19</v>
      </c>
      <c r="D5807" s="368">
        <f>IFERROR((INDEX(METADATA!$T$2:$T$20,MATCH(B5807,METADATA!$S$2:$S$20,0))),0)</f>
        <v>0</v>
      </c>
      <c r="E5807" s="312" t="str">
        <f t="shared" si="360"/>
        <v>LO</v>
      </c>
      <c r="F5807" s="369">
        <f>VLOOKUP(C5807,METADATA!$A$5:$H$29,IF(E5807="HI",2,IF(E5807="LO",6,10))+IF(D5807=1,2,IF(D5807=7,1,(IF(WEEKDAY(B5807)=1,2,IF(WEEKDAY(B5807)=7,1,0))))))</f>
        <v>2</v>
      </c>
      <c r="G5807" s="369">
        <f>VLOOKUP(C5807,METADATA!$J$5:$Q$29,IF(E5807="HI",2,IF(E5807="LO",6,10))+IF(D5807=1,2,IF(D5807=7,1,(IF(WEEKDAY(B5807)=1,2,IF(WEEKDAY(B5807)=7,1,0))))))</f>
        <v>2</v>
      </c>
      <c r="H5807" s="370">
        <v>13548.250366210938</v>
      </c>
      <c r="I5807" s="370">
        <v>4683.8700256347656</v>
      </c>
      <c r="M5807" s="371">
        <f t="shared" si="361"/>
        <v>14335.05236832341</v>
      </c>
      <c r="N5807" s="329">
        <f t="shared" si="362"/>
        <v>619.39491577148465</v>
      </c>
      <c r="T5807" s="331">
        <v>0</v>
      </c>
      <c r="U5807" s="328">
        <f>VLOOKUP(C5807,METADATA!$J$5:$Q$29,IF(E5807="HI",2,IF(E5807="LO",6,10))+IF(T5807=1,2,IF(D5807=7,1,(IF(WEEKDAY(B5807)=1,2,IF(WEEKDAY(B5807)=7,1,0))))))</f>
        <v>2</v>
      </c>
      <c r="V5807" s="328">
        <f>VLOOKUP(C5807,METADATA!$A$5:$H$29,IF(E5807="HI",2,IF(E5807="LO",6,10))+IF(T5807=1,2,IF(D5807=7,1,(IF(WEEKDAY(B5807)=1,2,IF(WEEKDAY(B5807)=7,1,0))))))</f>
        <v>2</v>
      </c>
    </row>
    <row r="5808" spans="2:22">
      <c r="B5808" s="318">
        <f t="shared" si="363"/>
        <v>46354</v>
      </c>
      <c r="C5808" s="312">
        <v>20</v>
      </c>
      <c r="D5808" s="368">
        <f>IFERROR((INDEX(METADATA!$T$2:$T$20,MATCH(B5808,METADATA!$S$2:$S$20,0))),0)</f>
        <v>0</v>
      </c>
      <c r="E5808" s="312" t="str">
        <f t="shared" si="360"/>
        <v>LO</v>
      </c>
      <c r="F5808" s="369">
        <f>VLOOKUP(C5808,METADATA!$A$5:$H$29,IF(E5808="HI",2,IF(E5808="LO",6,10))+IF(D5808=1,2,IF(D5808=7,1,(IF(WEEKDAY(B5808)=1,2,IF(WEEKDAY(B5808)=7,1,0))))))</f>
        <v>3</v>
      </c>
      <c r="G5808" s="369">
        <f>VLOOKUP(C5808,METADATA!$J$5:$Q$29,IF(E5808="HI",2,IF(E5808="LO",6,10))+IF(D5808=1,2,IF(D5808=7,1,(IF(WEEKDAY(B5808)=1,2,IF(WEEKDAY(B5808)=7,1,0))))))</f>
        <v>3</v>
      </c>
      <c r="H5808" s="370">
        <v>13571.07470703125</v>
      </c>
      <c r="I5808" s="370">
        <v>4667.0900268554688</v>
      </c>
      <c r="M5808" s="371">
        <f t="shared" si="361"/>
        <v>14351.160162948399</v>
      </c>
      <c r="N5808" s="329">
        <f t="shared" si="362"/>
        <v>595.76761474609384</v>
      </c>
      <c r="T5808" s="331">
        <v>0</v>
      </c>
      <c r="U5808" s="328">
        <f>VLOOKUP(C5808,METADATA!$J$5:$Q$29,IF(E5808="HI",2,IF(E5808="LO",6,10))+IF(T5808=1,2,IF(D5808=7,1,(IF(WEEKDAY(B5808)=1,2,IF(WEEKDAY(B5808)=7,1,0))))))</f>
        <v>3</v>
      </c>
      <c r="V5808" s="328">
        <f>VLOOKUP(C5808,METADATA!$A$5:$H$29,IF(E5808="HI",2,IF(E5808="LO",6,10))+IF(T5808=1,2,IF(D5808=7,1,(IF(WEEKDAY(B5808)=1,2,IF(WEEKDAY(B5808)=7,1,0))))))</f>
        <v>3</v>
      </c>
    </row>
    <row r="5809" spans="2:22">
      <c r="B5809" s="318">
        <f t="shared" si="363"/>
        <v>46354</v>
      </c>
      <c r="C5809" s="312">
        <v>21</v>
      </c>
      <c r="D5809" s="368">
        <f>IFERROR((INDEX(METADATA!$T$2:$T$20,MATCH(B5809,METADATA!$S$2:$S$20,0))),0)</f>
        <v>0</v>
      </c>
      <c r="E5809" s="312" t="str">
        <f t="shared" si="360"/>
        <v>LO</v>
      </c>
      <c r="F5809" s="369">
        <f>VLOOKUP(C5809,METADATA!$A$5:$H$29,IF(E5809="HI",2,IF(E5809="LO",6,10))+IF(D5809=1,2,IF(D5809=7,1,(IF(WEEKDAY(B5809)=1,2,IF(WEEKDAY(B5809)=7,1,0))))))</f>
        <v>3</v>
      </c>
      <c r="G5809" s="369">
        <f>VLOOKUP(C5809,METADATA!$J$5:$Q$29,IF(E5809="HI",2,IF(E5809="LO",6,10))+IF(D5809=1,2,IF(D5809=7,1,(IF(WEEKDAY(B5809)=1,2,IF(WEEKDAY(B5809)=7,1,0))))))</f>
        <v>3</v>
      </c>
      <c r="H5809" s="370">
        <v>13606.600219726563</v>
      </c>
      <c r="I5809" s="370">
        <v>4805.9999389648438</v>
      </c>
      <c r="M5809" s="371">
        <f t="shared" si="361"/>
        <v>14430.42636074184</v>
      </c>
      <c r="N5809" s="329">
        <f t="shared" si="362"/>
        <v>724.01987304687509</v>
      </c>
      <c r="T5809" s="331">
        <v>0</v>
      </c>
      <c r="U5809" s="328">
        <f>VLOOKUP(C5809,METADATA!$J$5:$Q$29,IF(E5809="HI",2,IF(E5809="LO",6,10))+IF(T5809=1,2,IF(D5809=7,1,(IF(WEEKDAY(B5809)=1,2,IF(WEEKDAY(B5809)=7,1,0))))))</f>
        <v>3</v>
      </c>
      <c r="V5809" s="328">
        <f>VLOOKUP(C5809,METADATA!$A$5:$H$29,IF(E5809="HI",2,IF(E5809="LO",6,10))+IF(T5809=1,2,IF(D5809=7,1,(IF(WEEKDAY(B5809)=1,2,IF(WEEKDAY(B5809)=7,1,0))))))</f>
        <v>3</v>
      </c>
    </row>
    <row r="5810" spans="2:22">
      <c r="B5810" s="318">
        <f t="shared" si="363"/>
        <v>46354</v>
      </c>
      <c r="C5810" s="312">
        <v>22</v>
      </c>
      <c r="D5810" s="368">
        <f>IFERROR((INDEX(METADATA!$T$2:$T$20,MATCH(B5810,METADATA!$S$2:$S$20,0))),0)</f>
        <v>0</v>
      </c>
      <c r="E5810" s="312" t="str">
        <f t="shared" si="360"/>
        <v>LO</v>
      </c>
      <c r="F5810" s="369">
        <f>VLOOKUP(C5810,METADATA!$A$5:$H$29,IF(E5810="HI",2,IF(E5810="LO",6,10))+IF(D5810=1,2,IF(D5810=7,1,(IF(WEEKDAY(B5810)=1,2,IF(WEEKDAY(B5810)=7,1,0))))))</f>
        <v>3</v>
      </c>
      <c r="G5810" s="369">
        <f>VLOOKUP(C5810,METADATA!$J$5:$Q$29,IF(E5810="HI",2,IF(E5810="LO",6,10))+IF(D5810=1,2,IF(D5810=7,1,(IF(WEEKDAY(B5810)=1,2,IF(WEEKDAY(B5810)=7,1,0))))))</f>
        <v>3</v>
      </c>
      <c r="H5810" s="370">
        <v>13020.549865722656</v>
      </c>
      <c r="I5810" s="370">
        <v>4473.9400329589844</v>
      </c>
      <c r="M5810" s="371">
        <f t="shared" si="361"/>
        <v>13767.747027901236</v>
      </c>
      <c r="N5810" s="329">
        <f t="shared" si="362"/>
        <v>567.77507324218777</v>
      </c>
      <c r="T5810" s="331">
        <v>0</v>
      </c>
      <c r="U5810" s="328">
        <f>VLOOKUP(C5810,METADATA!$J$5:$Q$29,IF(E5810="HI",2,IF(E5810="LO",6,10))+IF(T5810=1,2,IF(D5810=7,1,(IF(WEEKDAY(B5810)=1,2,IF(WEEKDAY(B5810)=7,1,0))))))</f>
        <v>3</v>
      </c>
      <c r="V5810" s="328">
        <f>VLOOKUP(C5810,METADATA!$A$5:$H$29,IF(E5810="HI",2,IF(E5810="LO",6,10))+IF(T5810=1,2,IF(D5810=7,1,(IF(WEEKDAY(B5810)=1,2,IF(WEEKDAY(B5810)=7,1,0))))))</f>
        <v>3</v>
      </c>
    </row>
    <row r="5811" spans="2:22">
      <c r="B5811" s="318">
        <f t="shared" si="363"/>
        <v>46354</v>
      </c>
      <c r="C5811" s="312">
        <v>23</v>
      </c>
      <c r="D5811" s="368">
        <f>IFERROR((INDEX(METADATA!$T$2:$T$20,MATCH(B5811,METADATA!$S$2:$S$20,0))),0)</f>
        <v>0</v>
      </c>
      <c r="E5811" s="312" t="str">
        <f t="shared" si="360"/>
        <v>LO</v>
      </c>
      <c r="F5811" s="369">
        <f>VLOOKUP(C5811,METADATA!$A$5:$H$29,IF(E5811="HI",2,IF(E5811="LO",6,10))+IF(D5811=1,2,IF(D5811=7,1,(IF(WEEKDAY(B5811)=1,2,IF(WEEKDAY(B5811)=7,1,0))))))</f>
        <v>3</v>
      </c>
      <c r="G5811" s="369">
        <f>VLOOKUP(C5811,METADATA!$J$5:$Q$29,IF(E5811="HI",2,IF(E5811="LO",6,10))+IF(D5811=1,2,IF(D5811=7,1,(IF(WEEKDAY(B5811)=1,2,IF(WEEKDAY(B5811)=7,1,0))))))</f>
        <v>3</v>
      </c>
      <c r="H5811" s="370">
        <v>13222.599609375</v>
      </c>
      <c r="I5811" s="370">
        <v>4733.6800537109375</v>
      </c>
      <c r="M5811" s="371">
        <f t="shared" si="361"/>
        <v>14044.389174355169</v>
      </c>
      <c r="N5811" s="329">
        <f t="shared" si="362"/>
        <v>766.90017089843786</v>
      </c>
      <c r="T5811" s="331">
        <v>0</v>
      </c>
      <c r="U5811" s="328">
        <f>VLOOKUP(C5811,METADATA!$J$5:$Q$29,IF(E5811="HI",2,IF(E5811="LO",6,10))+IF(T5811=1,2,IF(D5811=7,1,(IF(WEEKDAY(B5811)=1,2,IF(WEEKDAY(B5811)=7,1,0))))))</f>
        <v>3</v>
      </c>
      <c r="V5811" s="328">
        <f>VLOOKUP(C5811,METADATA!$A$5:$H$29,IF(E5811="HI",2,IF(E5811="LO",6,10))+IF(T5811=1,2,IF(D5811=7,1,(IF(WEEKDAY(B5811)=1,2,IF(WEEKDAY(B5811)=7,1,0))))))</f>
        <v>3</v>
      </c>
    </row>
    <row r="5812" spans="2:22">
      <c r="B5812" s="318">
        <f t="shared" si="363"/>
        <v>46355</v>
      </c>
      <c r="C5812" s="312">
        <v>0</v>
      </c>
      <c r="D5812" s="368">
        <f>IFERROR((INDEX(METADATA!$T$2:$T$20,MATCH(B5812,METADATA!$S$2:$S$20,0))),0)</f>
        <v>0</v>
      </c>
      <c r="E5812" s="312" t="str">
        <f t="shared" si="360"/>
        <v>LO</v>
      </c>
      <c r="F5812" s="369">
        <f>VLOOKUP(C5812,METADATA!$A$5:$H$29,IF(E5812="HI",2,IF(E5812="LO",6,10))+IF(D5812=1,2,IF(D5812=7,1,(IF(WEEKDAY(B5812)=1,2,IF(WEEKDAY(B5812)=7,1,0))))))</f>
        <v>3</v>
      </c>
      <c r="G5812" s="369">
        <f>VLOOKUP(C5812,METADATA!$J$5:$Q$29,IF(E5812="HI",2,IF(E5812="LO",6,10))+IF(D5812=1,2,IF(D5812=7,1,(IF(WEEKDAY(B5812)=1,2,IF(WEEKDAY(B5812)=7,1,0))))))</f>
        <v>3</v>
      </c>
      <c r="H5812" s="370">
        <v>13370.325073242188</v>
      </c>
      <c r="I5812" s="370">
        <v>4647.800048828125</v>
      </c>
      <c r="M5812" s="371">
        <f t="shared" si="361"/>
        <v>14155.127617158929</v>
      </c>
      <c r="N5812" s="329">
        <f t="shared" si="362"/>
        <v>636.70252685546893</v>
      </c>
      <c r="T5812" s="331">
        <v>0</v>
      </c>
      <c r="U5812" s="328">
        <f>VLOOKUP(C5812,METADATA!$J$5:$Q$29,IF(E5812="HI",2,IF(E5812="LO",6,10))+IF(T5812=1,2,IF(D5812=7,1,(IF(WEEKDAY(B5812)=1,2,IF(WEEKDAY(B5812)=7,1,0))))))</f>
        <v>3</v>
      </c>
      <c r="V5812" s="328">
        <f>VLOOKUP(C5812,METADATA!$A$5:$H$29,IF(E5812="HI",2,IF(E5812="LO",6,10))+IF(T5812=1,2,IF(D5812=7,1,(IF(WEEKDAY(B5812)=1,2,IF(WEEKDAY(B5812)=7,1,0))))))</f>
        <v>3</v>
      </c>
    </row>
    <row r="5813" spans="2:22">
      <c r="B5813" s="318">
        <f t="shared" si="363"/>
        <v>46355</v>
      </c>
      <c r="C5813" s="312">
        <v>1</v>
      </c>
      <c r="D5813" s="368">
        <f>IFERROR((INDEX(METADATA!$T$2:$T$20,MATCH(B5813,METADATA!$S$2:$S$20,0))),0)</f>
        <v>0</v>
      </c>
      <c r="E5813" s="312" t="str">
        <f t="shared" si="360"/>
        <v>LO</v>
      </c>
      <c r="F5813" s="369">
        <f>VLOOKUP(C5813,METADATA!$A$5:$H$29,IF(E5813="HI",2,IF(E5813="LO",6,10))+IF(D5813=1,2,IF(D5813=7,1,(IF(WEEKDAY(B5813)=1,2,IF(WEEKDAY(B5813)=7,1,0))))))</f>
        <v>3</v>
      </c>
      <c r="G5813" s="369">
        <f>VLOOKUP(C5813,METADATA!$J$5:$Q$29,IF(E5813="HI",2,IF(E5813="LO",6,10))+IF(D5813=1,2,IF(D5813=7,1,(IF(WEEKDAY(B5813)=1,2,IF(WEEKDAY(B5813)=7,1,0))))))</f>
        <v>3</v>
      </c>
      <c r="H5813" s="370">
        <v>13418.14990234375</v>
      </c>
      <c r="I5813" s="370">
        <v>4621.1250610351563</v>
      </c>
      <c r="M5813" s="371">
        <f t="shared" si="361"/>
        <v>14191.601165178465</v>
      </c>
      <c r="N5813" s="329">
        <f t="shared" si="362"/>
        <v>595.68009033203134</v>
      </c>
      <c r="T5813" s="331">
        <v>0</v>
      </c>
      <c r="U5813" s="328">
        <f>VLOOKUP(C5813,METADATA!$J$5:$Q$29,IF(E5813="HI",2,IF(E5813="LO",6,10))+IF(T5813=1,2,IF(D5813=7,1,(IF(WEEKDAY(B5813)=1,2,IF(WEEKDAY(B5813)=7,1,0))))))</f>
        <v>3</v>
      </c>
      <c r="V5813" s="328">
        <f>VLOOKUP(C5813,METADATA!$A$5:$H$29,IF(E5813="HI",2,IF(E5813="LO",6,10))+IF(T5813=1,2,IF(D5813=7,1,(IF(WEEKDAY(B5813)=1,2,IF(WEEKDAY(B5813)=7,1,0))))))</f>
        <v>3</v>
      </c>
    </row>
    <row r="5814" spans="2:22">
      <c r="B5814" s="318">
        <f t="shared" si="363"/>
        <v>46355</v>
      </c>
      <c r="C5814" s="312">
        <v>2</v>
      </c>
      <c r="D5814" s="368">
        <f>IFERROR((INDEX(METADATA!$T$2:$T$20,MATCH(B5814,METADATA!$S$2:$S$20,0))),0)</f>
        <v>0</v>
      </c>
      <c r="E5814" s="312" t="str">
        <f t="shared" si="360"/>
        <v>LO</v>
      </c>
      <c r="F5814" s="369">
        <f>VLOOKUP(C5814,METADATA!$A$5:$H$29,IF(E5814="HI",2,IF(E5814="LO",6,10))+IF(D5814=1,2,IF(D5814=7,1,(IF(WEEKDAY(B5814)=1,2,IF(WEEKDAY(B5814)=7,1,0))))))</f>
        <v>3</v>
      </c>
      <c r="G5814" s="369">
        <f>VLOOKUP(C5814,METADATA!$J$5:$Q$29,IF(E5814="HI",2,IF(E5814="LO",6,10))+IF(D5814=1,2,IF(D5814=7,1,(IF(WEEKDAY(B5814)=1,2,IF(WEEKDAY(B5814)=7,1,0))))))</f>
        <v>3</v>
      </c>
      <c r="H5814" s="370">
        <v>13287.474792480469</v>
      </c>
      <c r="I5814" s="370">
        <v>4656.9749755859375</v>
      </c>
      <c r="M5814" s="371">
        <f t="shared" si="361"/>
        <v>14079.929058203295</v>
      </c>
      <c r="N5814" s="329">
        <f t="shared" si="362"/>
        <v>670.73253784179724</v>
      </c>
      <c r="T5814" s="331">
        <v>0</v>
      </c>
      <c r="U5814" s="328">
        <f>VLOOKUP(C5814,METADATA!$J$5:$Q$29,IF(E5814="HI",2,IF(E5814="LO",6,10))+IF(T5814=1,2,IF(D5814=7,1,(IF(WEEKDAY(B5814)=1,2,IF(WEEKDAY(B5814)=7,1,0))))))</f>
        <v>3</v>
      </c>
      <c r="V5814" s="328">
        <f>VLOOKUP(C5814,METADATA!$A$5:$H$29,IF(E5814="HI",2,IF(E5814="LO",6,10))+IF(T5814=1,2,IF(D5814=7,1,(IF(WEEKDAY(B5814)=1,2,IF(WEEKDAY(B5814)=7,1,0))))))</f>
        <v>3</v>
      </c>
    </row>
    <row r="5815" spans="2:22">
      <c r="B5815" s="318">
        <f t="shared" si="363"/>
        <v>46355</v>
      </c>
      <c r="C5815" s="312">
        <v>3</v>
      </c>
      <c r="D5815" s="368">
        <f>IFERROR((INDEX(METADATA!$T$2:$T$20,MATCH(B5815,METADATA!$S$2:$S$20,0))),0)</f>
        <v>0</v>
      </c>
      <c r="E5815" s="312" t="str">
        <f t="shared" si="360"/>
        <v>LO</v>
      </c>
      <c r="F5815" s="369">
        <f>VLOOKUP(C5815,METADATA!$A$5:$H$29,IF(E5815="HI",2,IF(E5815="LO",6,10))+IF(D5815=1,2,IF(D5815=7,1,(IF(WEEKDAY(B5815)=1,2,IF(WEEKDAY(B5815)=7,1,0))))))</f>
        <v>3</v>
      </c>
      <c r="G5815" s="369">
        <f>VLOOKUP(C5815,METADATA!$J$5:$Q$29,IF(E5815="HI",2,IF(E5815="LO",6,10))+IF(D5815=1,2,IF(D5815=7,1,(IF(WEEKDAY(B5815)=1,2,IF(WEEKDAY(B5815)=7,1,0))))))</f>
        <v>3</v>
      </c>
      <c r="H5815" s="370">
        <v>13095.125549316406</v>
      </c>
      <c r="I5815" s="370">
        <v>4507.7748413085938</v>
      </c>
      <c r="M5815" s="371">
        <f t="shared" si="361"/>
        <v>13849.272441983876</v>
      </c>
      <c r="N5815" s="329">
        <f t="shared" si="362"/>
        <v>579.23717651367224</v>
      </c>
      <c r="T5815" s="331">
        <v>0</v>
      </c>
      <c r="U5815" s="328">
        <f>VLOOKUP(C5815,METADATA!$J$5:$Q$29,IF(E5815="HI",2,IF(E5815="LO",6,10))+IF(T5815=1,2,IF(D5815=7,1,(IF(WEEKDAY(B5815)=1,2,IF(WEEKDAY(B5815)=7,1,0))))))</f>
        <v>3</v>
      </c>
      <c r="V5815" s="328">
        <f>VLOOKUP(C5815,METADATA!$A$5:$H$29,IF(E5815="HI",2,IF(E5815="LO",6,10))+IF(T5815=1,2,IF(D5815=7,1,(IF(WEEKDAY(B5815)=1,2,IF(WEEKDAY(B5815)=7,1,0))))))</f>
        <v>3</v>
      </c>
    </row>
    <row r="5816" spans="2:22">
      <c r="B5816" s="318">
        <f t="shared" si="363"/>
        <v>46355</v>
      </c>
      <c r="C5816" s="312">
        <v>4</v>
      </c>
      <c r="D5816" s="368">
        <f>IFERROR((INDEX(METADATA!$T$2:$T$20,MATCH(B5816,METADATA!$S$2:$S$20,0))),0)</f>
        <v>0</v>
      </c>
      <c r="E5816" s="312" t="str">
        <f t="shared" si="360"/>
        <v>LO</v>
      </c>
      <c r="F5816" s="369">
        <f>VLOOKUP(C5816,METADATA!$A$5:$H$29,IF(E5816="HI",2,IF(E5816="LO",6,10))+IF(D5816=1,2,IF(D5816=7,1,(IF(WEEKDAY(B5816)=1,2,IF(WEEKDAY(B5816)=7,1,0))))))</f>
        <v>3</v>
      </c>
      <c r="G5816" s="369">
        <f>VLOOKUP(C5816,METADATA!$J$5:$Q$29,IF(E5816="HI",2,IF(E5816="LO",6,10))+IF(D5816=1,2,IF(D5816=7,1,(IF(WEEKDAY(B5816)=1,2,IF(WEEKDAY(B5816)=7,1,0))))))</f>
        <v>3</v>
      </c>
      <c r="H5816" s="370">
        <v>11869.787658691406</v>
      </c>
      <c r="I5816" s="370">
        <v>3828.3600769042969</v>
      </c>
      <c r="M5816" s="371">
        <f t="shared" si="361"/>
        <v>12471.896405152565</v>
      </c>
      <c r="N5816" s="329">
        <f t="shared" si="362"/>
        <v>267.42377929687518</v>
      </c>
      <c r="T5816" s="331">
        <v>0</v>
      </c>
      <c r="U5816" s="328">
        <f>VLOOKUP(C5816,METADATA!$J$5:$Q$29,IF(E5816="HI",2,IF(E5816="LO",6,10))+IF(T5816=1,2,IF(D5816=7,1,(IF(WEEKDAY(B5816)=1,2,IF(WEEKDAY(B5816)=7,1,0))))))</f>
        <v>3</v>
      </c>
      <c r="V5816" s="328">
        <f>VLOOKUP(C5816,METADATA!$A$5:$H$29,IF(E5816="HI",2,IF(E5816="LO",6,10))+IF(T5816=1,2,IF(D5816=7,1,(IF(WEEKDAY(B5816)=1,2,IF(WEEKDAY(B5816)=7,1,0))))))</f>
        <v>3</v>
      </c>
    </row>
    <row r="5817" spans="2:22">
      <c r="B5817" s="318">
        <f t="shared" si="363"/>
        <v>46355</v>
      </c>
      <c r="C5817" s="312">
        <v>5</v>
      </c>
      <c r="D5817" s="368">
        <f>IFERROR((INDEX(METADATA!$T$2:$T$20,MATCH(B5817,METADATA!$S$2:$S$20,0))),0)</f>
        <v>0</v>
      </c>
      <c r="E5817" s="312" t="str">
        <f t="shared" si="360"/>
        <v>LO</v>
      </c>
      <c r="F5817" s="369">
        <f>VLOOKUP(C5817,METADATA!$A$5:$H$29,IF(E5817="HI",2,IF(E5817="LO",6,10))+IF(D5817=1,2,IF(D5817=7,1,(IF(WEEKDAY(B5817)=1,2,IF(WEEKDAY(B5817)=7,1,0))))))</f>
        <v>3</v>
      </c>
      <c r="G5817" s="369">
        <f>VLOOKUP(C5817,METADATA!$J$5:$Q$29,IF(E5817="HI",2,IF(E5817="LO",6,10))+IF(D5817=1,2,IF(D5817=7,1,(IF(WEEKDAY(B5817)=1,2,IF(WEEKDAY(B5817)=7,1,0))))))</f>
        <v>3</v>
      </c>
      <c r="H5817" s="370">
        <v>12269.150207519531</v>
      </c>
      <c r="I5817" s="370">
        <v>3885.7650146484375</v>
      </c>
      <c r="M5817" s="371">
        <f t="shared" si="361"/>
        <v>12869.779196386484</v>
      </c>
      <c r="N5817" s="329">
        <f t="shared" si="362"/>
        <v>205.01995239257803</v>
      </c>
      <c r="T5817" s="331">
        <v>0</v>
      </c>
      <c r="U5817" s="328">
        <f>VLOOKUP(C5817,METADATA!$J$5:$Q$29,IF(E5817="HI",2,IF(E5817="LO",6,10))+IF(T5817=1,2,IF(D5817=7,1,(IF(WEEKDAY(B5817)=1,2,IF(WEEKDAY(B5817)=7,1,0))))))</f>
        <v>3</v>
      </c>
      <c r="V5817" s="328">
        <f>VLOOKUP(C5817,METADATA!$A$5:$H$29,IF(E5817="HI",2,IF(E5817="LO",6,10))+IF(T5817=1,2,IF(D5817=7,1,(IF(WEEKDAY(B5817)=1,2,IF(WEEKDAY(B5817)=7,1,0))))))</f>
        <v>3</v>
      </c>
    </row>
    <row r="5818" spans="2:22">
      <c r="B5818" s="318">
        <f t="shared" si="363"/>
        <v>46355</v>
      </c>
      <c r="C5818" s="312">
        <v>6</v>
      </c>
      <c r="D5818" s="368">
        <f>IFERROR((INDEX(METADATA!$T$2:$T$20,MATCH(B5818,METADATA!$S$2:$S$20,0))),0)</f>
        <v>0</v>
      </c>
      <c r="E5818" s="312" t="str">
        <f t="shared" si="360"/>
        <v>LO</v>
      </c>
      <c r="F5818" s="369">
        <f>VLOOKUP(C5818,METADATA!$A$5:$H$29,IF(E5818="HI",2,IF(E5818="LO",6,10))+IF(D5818=1,2,IF(D5818=7,1,(IF(WEEKDAY(B5818)=1,2,IF(WEEKDAY(B5818)=7,1,0))))))</f>
        <v>3</v>
      </c>
      <c r="G5818" s="369">
        <f>VLOOKUP(C5818,METADATA!$J$5:$Q$29,IF(E5818="HI",2,IF(E5818="LO",6,10))+IF(D5818=1,2,IF(D5818=7,1,(IF(WEEKDAY(B5818)=1,2,IF(WEEKDAY(B5818)=7,1,0))))))</f>
        <v>3</v>
      </c>
      <c r="H5818" s="370">
        <v>10636.10009765625</v>
      </c>
      <c r="I5818" s="370">
        <v>3439.3150024414063</v>
      </c>
      <c r="M5818" s="371">
        <f t="shared" si="361"/>
        <v>11178.350190139054</v>
      </c>
      <c r="N5818" s="329">
        <f t="shared" si="362"/>
        <v>248.48497314453152</v>
      </c>
      <c r="T5818" s="331">
        <v>0</v>
      </c>
      <c r="U5818" s="328">
        <f>VLOOKUP(C5818,METADATA!$J$5:$Q$29,IF(E5818="HI",2,IF(E5818="LO",6,10))+IF(T5818=1,2,IF(D5818=7,1,(IF(WEEKDAY(B5818)=1,2,IF(WEEKDAY(B5818)=7,1,0))))))</f>
        <v>3</v>
      </c>
      <c r="V5818" s="328">
        <f>VLOOKUP(C5818,METADATA!$A$5:$H$29,IF(E5818="HI",2,IF(E5818="LO",6,10))+IF(T5818=1,2,IF(D5818=7,1,(IF(WEEKDAY(B5818)=1,2,IF(WEEKDAY(B5818)=7,1,0))))))</f>
        <v>3</v>
      </c>
    </row>
    <row r="5819" spans="2:22">
      <c r="B5819" s="318">
        <f t="shared" si="363"/>
        <v>46355</v>
      </c>
      <c r="C5819" s="312">
        <v>7</v>
      </c>
      <c r="D5819" s="368">
        <f>IFERROR((INDEX(METADATA!$T$2:$T$20,MATCH(B5819,METADATA!$S$2:$S$20,0))),0)</f>
        <v>0</v>
      </c>
      <c r="E5819" s="312" t="str">
        <f t="shared" si="360"/>
        <v>LO</v>
      </c>
      <c r="F5819" s="369">
        <f>VLOOKUP(C5819,METADATA!$A$5:$H$29,IF(E5819="HI",2,IF(E5819="LO",6,10))+IF(D5819=1,2,IF(D5819=7,1,(IF(WEEKDAY(B5819)=1,2,IF(WEEKDAY(B5819)=7,1,0))))))</f>
        <v>3</v>
      </c>
      <c r="G5819" s="369">
        <f>VLOOKUP(C5819,METADATA!$J$5:$Q$29,IF(E5819="HI",2,IF(E5819="LO",6,10))+IF(D5819=1,2,IF(D5819=7,1,(IF(WEEKDAY(B5819)=1,2,IF(WEEKDAY(B5819)=7,1,0))))))</f>
        <v>3</v>
      </c>
      <c r="H5819" s="370">
        <v>6141.7374267578125</v>
      </c>
      <c r="I5819" s="370">
        <v>1386.25</v>
      </c>
      <c r="M5819" s="371">
        <f t="shared" si="361"/>
        <v>6296.2391696740424</v>
      </c>
      <c r="N5819" s="329">
        <f t="shared" si="362"/>
        <v>0</v>
      </c>
      <c r="T5819" s="331">
        <v>0</v>
      </c>
      <c r="U5819" s="328">
        <f>VLOOKUP(C5819,METADATA!$J$5:$Q$29,IF(E5819="HI",2,IF(E5819="LO",6,10))+IF(T5819=1,2,IF(D5819=7,1,(IF(WEEKDAY(B5819)=1,2,IF(WEEKDAY(B5819)=7,1,0))))))</f>
        <v>3</v>
      </c>
      <c r="V5819" s="328">
        <f>VLOOKUP(C5819,METADATA!$A$5:$H$29,IF(E5819="HI",2,IF(E5819="LO",6,10))+IF(T5819=1,2,IF(D5819=7,1,(IF(WEEKDAY(B5819)=1,2,IF(WEEKDAY(B5819)=7,1,0))))))</f>
        <v>3</v>
      </c>
    </row>
    <row r="5820" spans="2:22">
      <c r="B5820" s="318">
        <f t="shared" si="363"/>
        <v>46355</v>
      </c>
      <c r="C5820" s="312">
        <v>8</v>
      </c>
      <c r="D5820" s="368">
        <f>IFERROR((INDEX(METADATA!$T$2:$T$20,MATCH(B5820,METADATA!$S$2:$S$20,0))),0)</f>
        <v>0</v>
      </c>
      <c r="E5820" s="312" t="str">
        <f t="shared" si="360"/>
        <v>LO</v>
      </c>
      <c r="F5820" s="369">
        <f>VLOOKUP(C5820,METADATA!$A$5:$H$29,IF(E5820="HI",2,IF(E5820="LO",6,10))+IF(D5820=1,2,IF(D5820=7,1,(IF(WEEKDAY(B5820)=1,2,IF(WEEKDAY(B5820)=7,1,0))))))</f>
        <v>3</v>
      </c>
      <c r="G5820" s="369">
        <f>VLOOKUP(C5820,METADATA!$J$5:$Q$29,IF(E5820="HI",2,IF(E5820="LO",6,10))+IF(D5820=1,2,IF(D5820=7,1,(IF(WEEKDAY(B5820)=1,2,IF(WEEKDAY(B5820)=7,1,0))))))</f>
        <v>3</v>
      </c>
      <c r="H5820" s="370">
        <v>5764.04248046875</v>
      </c>
      <c r="I5820" s="370">
        <v>1284.12255859375</v>
      </c>
      <c r="M5820" s="371">
        <f t="shared" si="361"/>
        <v>5905.3498170843104</v>
      </c>
      <c r="N5820" s="329">
        <f t="shared" si="362"/>
        <v>0</v>
      </c>
      <c r="T5820" s="331">
        <v>0</v>
      </c>
      <c r="U5820" s="328">
        <f>VLOOKUP(C5820,METADATA!$J$5:$Q$29,IF(E5820="HI",2,IF(E5820="LO",6,10))+IF(T5820=1,2,IF(D5820=7,1,(IF(WEEKDAY(B5820)=1,2,IF(WEEKDAY(B5820)=7,1,0))))))</f>
        <v>3</v>
      </c>
      <c r="V5820" s="328">
        <f>VLOOKUP(C5820,METADATA!$A$5:$H$29,IF(E5820="HI",2,IF(E5820="LO",6,10))+IF(T5820=1,2,IF(D5820=7,1,(IF(WEEKDAY(B5820)=1,2,IF(WEEKDAY(B5820)=7,1,0))))))</f>
        <v>3</v>
      </c>
    </row>
    <row r="5821" spans="2:22">
      <c r="B5821" s="318">
        <f t="shared" si="363"/>
        <v>46355</v>
      </c>
      <c r="C5821" s="312">
        <v>9</v>
      </c>
      <c r="D5821" s="368">
        <f>IFERROR((INDEX(METADATA!$T$2:$T$20,MATCH(B5821,METADATA!$S$2:$S$20,0))),0)</f>
        <v>0</v>
      </c>
      <c r="E5821" s="312" t="str">
        <f t="shared" si="360"/>
        <v>LO</v>
      </c>
      <c r="F5821" s="369">
        <f>VLOOKUP(C5821,METADATA!$A$5:$H$29,IF(E5821="HI",2,IF(E5821="LO",6,10))+IF(D5821=1,2,IF(D5821=7,1,(IF(WEEKDAY(B5821)=1,2,IF(WEEKDAY(B5821)=7,1,0))))))</f>
        <v>3</v>
      </c>
      <c r="G5821" s="369">
        <f>VLOOKUP(C5821,METADATA!$J$5:$Q$29,IF(E5821="HI",2,IF(E5821="LO",6,10))+IF(D5821=1,2,IF(D5821=7,1,(IF(WEEKDAY(B5821)=1,2,IF(WEEKDAY(B5821)=7,1,0))))))</f>
        <v>3</v>
      </c>
      <c r="H5821" s="370">
        <v>5799.0225524902344</v>
      </c>
      <c r="I5821" s="370">
        <v>1251.4300231933594</v>
      </c>
      <c r="M5821" s="371">
        <f t="shared" si="361"/>
        <v>5932.5154586600183</v>
      </c>
      <c r="N5821" s="329">
        <f t="shared" si="362"/>
        <v>0</v>
      </c>
      <c r="T5821" s="331">
        <v>0</v>
      </c>
      <c r="U5821" s="328">
        <f>VLOOKUP(C5821,METADATA!$J$5:$Q$29,IF(E5821="HI",2,IF(E5821="LO",6,10))+IF(T5821=1,2,IF(D5821=7,1,(IF(WEEKDAY(B5821)=1,2,IF(WEEKDAY(B5821)=7,1,0))))))</f>
        <v>3</v>
      </c>
      <c r="V5821" s="328">
        <f>VLOOKUP(C5821,METADATA!$A$5:$H$29,IF(E5821="HI",2,IF(E5821="LO",6,10))+IF(T5821=1,2,IF(D5821=7,1,(IF(WEEKDAY(B5821)=1,2,IF(WEEKDAY(B5821)=7,1,0))))))</f>
        <v>3</v>
      </c>
    </row>
    <row r="5822" spans="2:22">
      <c r="B5822" s="318">
        <f t="shared" si="363"/>
        <v>46355</v>
      </c>
      <c r="C5822" s="312">
        <v>10</v>
      </c>
      <c r="D5822" s="368">
        <f>IFERROR((INDEX(METADATA!$T$2:$T$20,MATCH(B5822,METADATA!$S$2:$S$20,0))),0)</f>
        <v>0</v>
      </c>
      <c r="E5822" s="312" t="str">
        <f t="shared" si="360"/>
        <v>LO</v>
      </c>
      <c r="F5822" s="369">
        <f>VLOOKUP(C5822,METADATA!$A$5:$H$29,IF(E5822="HI",2,IF(E5822="LO",6,10))+IF(D5822=1,2,IF(D5822=7,1,(IF(WEEKDAY(B5822)=1,2,IF(WEEKDAY(B5822)=7,1,0))))))</f>
        <v>3</v>
      </c>
      <c r="G5822" s="369">
        <f>VLOOKUP(C5822,METADATA!$J$5:$Q$29,IF(E5822="HI",2,IF(E5822="LO",6,10))+IF(D5822=1,2,IF(D5822=7,1,(IF(WEEKDAY(B5822)=1,2,IF(WEEKDAY(B5822)=7,1,0))))))</f>
        <v>3</v>
      </c>
      <c r="H5822" s="370">
        <v>5977.8175659179688</v>
      </c>
      <c r="I5822" s="370">
        <v>1268.5675048828125</v>
      </c>
      <c r="M5822" s="371">
        <f t="shared" si="361"/>
        <v>6110.9382557707149</v>
      </c>
      <c r="N5822" s="329">
        <f t="shared" si="362"/>
        <v>0</v>
      </c>
      <c r="T5822" s="331">
        <v>0</v>
      </c>
      <c r="U5822" s="328">
        <f>VLOOKUP(C5822,METADATA!$J$5:$Q$29,IF(E5822="HI",2,IF(E5822="LO",6,10))+IF(T5822=1,2,IF(D5822=7,1,(IF(WEEKDAY(B5822)=1,2,IF(WEEKDAY(B5822)=7,1,0))))))</f>
        <v>3</v>
      </c>
      <c r="V5822" s="328">
        <f>VLOOKUP(C5822,METADATA!$A$5:$H$29,IF(E5822="HI",2,IF(E5822="LO",6,10))+IF(T5822=1,2,IF(D5822=7,1,(IF(WEEKDAY(B5822)=1,2,IF(WEEKDAY(B5822)=7,1,0))))))</f>
        <v>3</v>
      </c>
    </row>
    <row r="5823" spans="2:22">
      <c r="B5823" s="318">
        <f t="shared" si="363"/>
        <v>46355</v>
      </c>
      <c r="C5823" s="312">
        <v>11</v>
      </c>
      <c r="D5823" s="368">
        <f>IFERROR((INDEX(METADATA!$T$2:$T$20,MATCH(B5823,METADATA!$S$2:$S$20,0))),0)</f>
        <v>0</v>
      </c>
      <c r="E5823" s="312" t="str">
        <f t="shared" si="360"/>
        <v>LO</v>
      </c>
      <c r="F5823" s="369">
        <f>VLOOKUP(C5823,METADATA!$A$5:$H$29,IF(E5823="HI",2,IF(E5823="LO",6,10))+IF(D5823=1,2,IF(D5823=7,1,(IF(WEEKDAY(B5823)=1,2,IF(WEEKDAY(B5823)=7,1,0))))))</f>
        <v>3</v>
      </c>
      <c r="G5823" s="369">
        <f>VLOOKUP(C5823,METADATA!$J$5:$Q$29,IF(E5823="HI",2,IF(E5823="LO",6,10))+IF(D5823=1,2,IF(D5823=7,1,(IF(WEEKDAY(B5823)=1,2,IF(WEEKDAY(B5823)=7,1,0))))))</f>
        <v>3</v>
      </c>
      <c r="H5823" s="370">
        <v>7112.0502319335938</v>
      </c>
      <c r="I5823" s="370">
        <v>2006.7424926757813</v>
      </c>
      <c r="M5823" s="371">
        <f t="shared" si="361"/>
        <v>7389.741127634803</v>
      </c>
      <c r="N5823" s="329">
        <f t="shared" si="362"/>
        <v>0</v>
      </c>
      <c r="T5823" s="331">
        <v>0</v>
      </c>
      <c r="U5823" s="328">
        <f>VLOOKUP(C5823,METADATA!$J$5:$Q$29,IF(E5823="HI",2,IF(E5823="LO",6,10))+IF(T5823=1,2,IF(D5823=7,1,(IF(WEEKDAY(B5823)=1,2,IF(WEEKDAY(B5823)=7,1,0))))))</f>
        <v>3</v>
      </c>
      <c r="V5823" s="328">
        <f>VLOOKUP(C5823,METADATA!$A$5:$H$29,IF(E5823="HI",2,IF(E5823="LO",6,10))+IF(T5823=1,2,IF(D5823=7,1,(IF(WEEKDAY(B5823)=1,2,IF(WEEKDAY(B5823)=7,1,0))))))</f>
        <v>3</v>
      </c>
    </row>
    <row r="5824" spans="2:22">
      <c r="B5824" s="318">
        <f t="shared" si="363"/>
        <v>46355</v>
      </c>
      <c r="C5824" s="312">
        <v>12</v>
      </c>
      <c r="D5824" s="368">
        <f>IFERROR((INDEX(METADATA!$T$2:$T$20,MATCH(B5824,METADATA!$S$2:$S$20,0))),0)</f>
        <v>0</v>
      </c>
      <c r="E5824" s="312" t="str">
        <f t="shared" si="360"/>
        <v>LO</v>
      </c>
      <c r="F5824" s="369">
        <f>VLOOKUP(C5824,METADATA!$A$5:$H$29,IF(E5824="HI",2,IF(E5824="LO",6,10))+IF(D5824=1,2,IF(D5824=7,1,(IF(WEEKDAY(B5824)=1,2,IF(WEEKDAY(B5824)=7,1,0))))))</f>
        <v>3</v>
      </c>
      <c r="G5824" s="369">
        <f>VLOOKUP(C5824,METADATA!$J$5:$Q$29,IF(E5824="HI",2,IF(E5824="LO",6,10))+IF(D5824=1,2,IF(D5824=7,1,(IF(WEEKDAY(B5824)=1,2,IF(WEEKDAY(B5824)=7,1,0))))))</f>
        <v>3</v>
      </c>
      <c r="H5824" s="370">
        <v>9357</v>
      </c>
      <c r="I5824" s="370">
        <v>2758.2700140327215</v>
      </c>
      <c r="M5824" s="371">
        <f t="shared" si="361"/>
        <v>9755.0757285790496</v>
      </c>
      <c r="N5824" s="329">
        <f t="shared" si="362"/>
        <v>0</v>
      </c>
      <c r="T5824" s="331">
        <v>0</v>
      </c>
      <c r="U5824" s="328">
        <f>VLOOKUP(C5824,METADATA!$J$5:$Q$29,IF(E5824="HI",2,IF(E5824="LO",6,10))+IF(T5824=1,2,IF(D5824=7,1,(IF(WEEKDAY(B5824)=1,2,IF(WEEKDAY(B5824)=7,1,0))))))</f>
        <v>3</v>
      </c>
      <c r="V5824" s="328">
        <f>VLOOKUP(C5824,METADATA!$A$5:$H$29,IF(E5824="HI",2,IF(E5824="LO",6,10))+IF(T5824=1,2,IF(D5824=7,1,(IF(WEEKDAY(B5824)=1,2,IF(WEEKDAY(B5824)=7,1,0))))))</f>
        <v>3</v>
      </c>
    </row>
    <row r="5825" spans="2:22">
      <c r="B5825" s="318">
        <f t="shared" si="363"/>
        <v>46355</v>
      </c>
      <c r="C5825" s="312">
        <v>13</v>
      </c>
      <c r="D5825" s="368">
        <f>IFERROR((INDEX(METADATA!$T$2:$T$20,MATCH(B5825,METADATA!$S$2:$S$20,0))),0)</f>
        <v>0</v>
      </c>
      <c r="E5825" s="312" t="str">
        <f t="shared" si="360"/>
        <v>LO</v>
      </c>
      <c r="F5825" s="369">
        <f>VLOOKUP(C5825,METADATA!$A$5:$H$29,IF(E5825="HI",2,IF(E5825="LO",6,10))+IF(D5825=1,2,IF(D5825=7,1,(IF(WEEKDAY(B5825)=1,2,IF(WEEKDAY(B5825)=7,1,0))))))</f>
        <v>3</v>
      </c>
      <c r="G5825" s="369">
        <f>VLOOKUP(C5825,METADATA!$J$5:$Q$29,IF(E5825="HI",2,IF(E5825="LO",6,10))+IF(D5825=1,2,IF(D5825=7,1,(IF(WEEKDAY(B5825)=1,2,IF(WEEKDAY(B5825)=7,1,0))))))</f>
        <v>3</v>
      </c>
      <c r="H5825" s="370">
        <v>12673.275024414063</v>
      </c>
      <c r="I5825" s="370">
        <v>3771.0800170898438</v>
      </c>
      <c r="M5825" s="371">
        <f t="shared" si="361"/>
        <v>13222.44093727522</v>
      </c>
      <c r="N5825" s="329">
        <f t="shared" si="362"/>
        <v>0</v>
      </c>
      <c r="T5825" s="331">
        <v>0</v>
      </c>
      <c r="U5825" s="328">
        <f>VLOOKUP(C5825,METADATA!$J$5:$Q$29,IF(E5825="HI",2,IF(E5825="LO",6,10))+IF(T5825=1,2,IF(D5825=7,1,(IF(WEEKDAY(B5825)=1,2,IF(WEEKDAY(B5825)=7,1,0))))))</f>
        <v>3</v>
      </c>
      <c r="V5825" s="328">
        <f>VLOOKUP(C5825,METADATA!$A$5:$H$29,IF(E5825="HI",2,IF(E5825="LO",6,10))+IF(T5825=1,2,IF(D5825=7,1,(IF(WEEKDAY(B5825)=1,2,IF(WEEKDAY(B5825)=7,1,0))))))</f>
        <v>3</v>
      </c>
    </row>
    <row r="5826" spans="2:22">
      <c r="B5826" s="318">
        <f t="shared" si="363"/>
        <v>46355</v>
      </c>
      <c r="C5826" s="312">
        <v>14</v>
      </c>
      <c r="D5826" s="368">
        <f>IFERROR((INDEX(METADATA!$T$2:$T$20,MATCH(B5826,METADATA!$S$2:$S$20,0))),0)</f>
        <v>0</v>
      </c>
      <c r="E5826" s="312" t="str">
        <f t="shared" si="360"/>
        <v>LO</v>
      </c>
      <c r="F5826" s="369">
        <f>VLOOKUP(C5826,METADATA!$A$5:$H$29,IF(E5826="HI",2,IF(E5826="LO",6,10))+IF(D5826=1,2,IF(D5826=7,1,(IF(WEEKDAY(B5826)=1,2,IF(WEEKDAY(B5826)=7,1,0))))))</f>
        <v>3</v>
      </c>
      <c r="G5826" s="369">
        <f>VLOOKUP(C5826,METADATA!$J$5:$Q$29,IF(E5826="HI",2,IF(E5826="LO",6,10))+IF(D5826=1,2,IF(D5826=7,1,(IF(WEEKDAY(B5826)=1,2,IF(WEEKDAY(B5826)=7,1,0))))))</f>
        <v>3</v>
      </c>
      <c r="H5826" s="370">
        <v>12885.474609375</v>
      </c>
      <c r="I5826" s="370">
        <v>3750.6299133300781</v>
      </c>
      <c r="M5826" s="371">
        <f t="shared" si="361"/>
        <v>13420.234001522262</v>
      </c>
      <c r="N5826" s="329">
        <f t="shared" si="362"/>
        <v>0</v>
      </c>
      <c r="T5826" s="331">
        <v>0</v>
      </c>
      <c r="U5826" s="328">
        <f>VLOOKUP(C5826,METADATA!$J$5:$Q$29,IF(E5826="HI",2,IF(E5826="LO",6,10))+IF(T5826=1,2,IF(D5826=7,1,(IF(WEEKDAY(B5826)=1,2,IF(WEEKDAY(B5826)=7,1,0))))))</f>
        <v>3</v>
      </c>
      <c r="V5826" s="328">
        <f>VLOOKUP(C5826,METADATA!$A$5:$H$29,IF(E5826="HI",2,IF(E5826="LO",6,10))+IF(T5826=1,2,IF(D5826=7,1,(IF(WEEKDAY(B5826)=1,2,IF(WEEKDAY(B5826)=7,1,0))))))</f>
        <v>3</v>
      </c>
    </row>
    <row r="5827" spans="2:22">
      <c r="B5827" s="318">
        <f t="shared" si="363"/>
        <v>46355</v>
      </c>
      <c r="C5827" s="312">
        <v>15</v>
      </c>
      <c r="D5827" s="368">
        <f>IFERROR((INDEX(METADATA!$T$2:$T$20,MATCH(B5827,METADATA!$S$2:$S$20,0))),0)</f>
        <v>0</v>
      </c>
      <c r="E5827" s="312" t="str">
        <f t="shared" si="360"/>
        <v>LO</v>
      </c>
      <c r="F5827" s="369">
        <f>VLOOKUP(C5827,METADATA!$A$5:$H$29,IF(E5827="HI",2,IF(E5827="LO",6,10))+IF(D5827=1,2,IF(D5827=7,1,(IF(WEEKDAY(B5827)=1,2,IF(WEEKDAY(B5827)=7,1,0))))))</f>
        <v>3</v>
      </c>
      <c r="G5827" s="369">
        <f>VLOOKUP(C5827,METADATA!$J$5:$Q$29,IF(E5827="HI",2,IF(E5827="LO",6,10))+IF(D5827=1,2,IF(D5827=7,1,(IF(WEEKDAY(B5827)=1,2,IF(WEEKDAY(B5827)=7,1,0))))))</f>
        <v>3</v>
      </c>
      <c r="H5827" s="370">
        <v>12742.475219726563</v>
      </c>
      <c r="I5827" s="370">
        <v>3671.9600219726563</v>
      </c>
      <c r="M5827" s="371">
        <f t="shared" si="361"/>
        <v>13260.994122927244</v>
      </c>
      <c r="N5827" s="329">
        <f t="shared" si="362"/>
        <v>0</v>
      </c>
      <c r="T5827" s="331">
        <v>0</v>
      </c>
      <c r="U5827" s="328">
        <f>VLOOKUP(C5827,METADATA!$J$5:$Q$29,IF(E5827="HI",2,IF(E5827="LO",6,10))+IF(T5827=1,2,IF(D5827=7,1,(IF(WEEKDAY(B5827)=1,2,IF(WEEKDAY(B5827)=7,1,0))))))</f>
        <v>3</v>
      </c>
      <c r="V5827" s="328">
        <f>VLOOKUP(C5827,METADATA!$A$5:$H$29,IF(E5827="HI",2,IF(E5827="LO",6,10))+IF(T5827=1,2,IF(D5827=7,1,(IF(WEEKDAY(B5827)=1,2,IF(WEEKDAY(B5827)=7,1,0))))))</f>
        <v>3</v>
      </c>
    </row>
    <row r="5828" spans="2:22">
      <c r="B5828" s="318">
        <f t="shared" si="363"/>
        <v>46355</v>
      </c>
      <c r="C5828" s="312">
        <v>16</v>
      </c>
      <c r="D5828" s="368">
        <f>IFERROR((INDEX(METADATA!$T$2:$T$20,MATCH(B5828,METADATA!$S$2:$S$20,0))),0)</f>
        <v>0</v>
      </c>
      <c r="E5828" s="312" t="str">
        <f t="shared" ref="E5828:E5891" si="364">IF(B5828="","",IF(AND(MONTH(B5828)&gt;=MONTH($Z$9),MONTH(B5828)&lt;=MONTH($Z$11)),"HI","LO"))</f>
        <v>LO</v>
      </c>
      <c r="F5828" s="369">
        <f>VLOOKUP(C5828,METADATA!$A$5:$H$29,IF(E5828="HI",2,IF(E5828="LO",6,10))+IF(D5828=1,2,IF(D5828=7,1,(IF(WEEKDAY(B5828)=1,2,IF(WEEKDAY(B5828)=7,1,0))))))</f>
        <v>3</v>
      </c>
      <c r="G5828" s="369">
        <f>VLOOKUP(C5828,METADATA!$J$5:$Q$29,IF(E5828="HI",2,IF(E5828="LO",6,10))+IF(D5828=1,2,IF(D5828=7,1,(IF(WEEKDAY(B5828)=1,2,IF(WEEKDAY(B5828)=7,1,0))))))</f>
        <v>3</v>
      </c>
      <c r="H5828" s="370">
        <v>12985.625061035156</v>
      </c>
      <c r="I5828" s="370">
        <v>3833.4549560546875</v>
      </c>
      <c r="M5828" s="371">
        <f t="shared" ref="M5828:M5891" si="365">SQRT(H5828^2+I5828^2)</f>
        <v>13539.639401619399</v>
      </c>
      <c r="N5828" s="329">
        <f t="shared" ref="N5828:N5891" si="366">IF(H5828=0,0,(IF(I5828-(0.3*H5828)&lt;0,0,(I5828-(0.3*H5828)))))</f>
        <v>0</v>
      </c>
      <c r="T5828" s="331">
        <v>0</v>
      </c>
      <c r="U5828" s="328">
        <f>VLOOKUP(C5828,METADATA!$J$5:$Q$29,IF(E5828="HI",2,IF(E5828="LO",6,10))+IF(T5828=1,2,IF(D5828=7,1,(IF(WEEKDAY(B5828)=1,2,IF(WEEKDAY(B5828)=7,1,0))))))</f>
        <v>3</v>
      </c>
      <c r="V5828" s="328">
        <f>VLOOKUP(C5828,METADATA!$A$5:$H$29,IF(E5828="HI",2,IF(E5828="LO",6,10))+IF(T5828=1,2,IF(D5828=7,1,(IF(WEEKDAY(B5828)=1,2,IF(WEEKDAY(B5828)=7,1,0))))))</f>
        <v>3</v>
      </c>
    </row>
    <row r="5829" spans="2:22">
      <c r="B5829" s="318">
        <f t="shared" si="363"/>
        <v>46355</v>
      </c>
      <c r="C5829" s="312">
        <v>17</v>
      </c>
      <c r="D5829" s="368">
        <f>IFERROR((INDEX(METADATA!$T$2:$T$20,MATCH(B5829,METADATA!$S$2:$S$20,0))),0)</f>
        <v>0</v>
      </c>
      <c r="E5829" s="312" t="str">
        <f t="shared" si="364"/>
        <v>LO</v>
      </c>
      <c r="F5829" s="369">
        <f>VLOOKUP(C5829,METADATA!$A$5:$H$29,IF(E5829="HI",2,IF(E5829="LO",6,10))+IF(D5829=1,2,IF(D5829=7,1,(IF(WEEKDAY(B5829)=1,2,IF(WEEKDAY(B5829)=7,1,0))))))</f>
        <v>3</v>
      </c>
      <c r="G5829" s="369">
        <f>VLOOKUP(C5829,METADATA!$J$5:$Q$29,IF(E5829="HI",2,IF(E5829="LO",6,10))+IF(D5829=1,2,IF(D5829=7,1,(IF(WEEKDAY(B5829)=1,2,IF(WEEKDAY(B5829)=7,1,0))))))</f>
        <v>3</v>
      </c>
      <c r="H5829" s="370">
        <v>12906.049682617188</v>
      </c>
      <c r="I5829" s="370">
        <v>3874.9600219726563</v>
      </c>
      <c r="M5829" s="371">
        <f t="shared" si="365"/>
        <v>13475.215530078527</v>
      </c>
      <c r="N5829" s="329">
        <f t="shared" si="366"/>
        <v>3.1451171875000909</v>
      </c>
      <c r="T5829" s="331">
        <v>0</v>
      </c>
      <c r="U5829" s="328">
        <f>VLOOKUP(C5829,METADATA!$J$5:$Q$29,IF(E5829="HI",2,IF(E5829="LO",6,10))+IF(T5829=1,2,IF(D5829=7,1,(IF(WEEKDAY(B5829)=1,2,IF(WEEKDAY(B5829)=7,1,0))))))</f>
        <v>3</v>
      </c>
      <c r="V5829" s="328">
        <f>VLOOKUP(C5829,METADATA!$A$5:$H$29,IF(E5829="HI",2,IF(E5829="LO",6,10))+IF(T5829=1,2,IF(D5829=7,1,(IF(WEEKDAY(B5829)=1,2,IF(WEEKDAY(B5829)=7,1,0))))))</f>
        <v>3</v>
      </c>
    </row>
    <row r="5830" spans="2:22">
      <c r="B5830" s="318">
        <f t="shared" si="363"/>
        <v>46355</v>
      </c>
      <c r="C5830" s="312">
        <v>18</v>
      </c>
      <c r="D5830" s="368">
        <f>IFERROR((INDEX(METADATA!$T$2:$T$20,MATCH(B5830,METADATA!$S$2:$S$20,0))),0)</f>
        <v>0</v>
      </c>
      <c r="E5830" s="312" t="str">
        <f t="shared" si="364"/>
        <v>LO</v>
      </c>
      <c r="F5830" s="369">
        <f>VLOOKUP(C5830,METADATA!$A$5:$H$29,IF(E5830="HI",2,IF(E5830="LO",6,10))+IF(D5830=1,2,IF(D5830=7,1,(IF(WEEKDAY(B5830)=1,2,IF(WEEKDAY(B5830)=7,1,0))))))</f>
        <v>2</v>
      </c>
      <c r="G5830" s="369">
        <f>VLOOKUP(C5830,METADATA!$J$5:$Q$29,IF(E5830="HI",2,IF(E5830="LO",6,10))+IF(D5830=1,2,IF(D5830=7,1,(IF(WEEKDAY(B5830)=1,2,IF(WEEKDAY(B5830)=7,1,0))))))</f>
        <v>2</v>
      </c>
      <c r="H5830" s="370">
        <v>12589.925415039063</v>
      </c>
      <c r="I5830" s="370">
        <v>3578.5598754882813</v>
      </c>
      <c r="M5830" s="371">
        <f t="shared" si="365"/>
        <v>13088.632959125303</v>
      </c>
      <c r="N5830" s="329">
        <f t="shared" si="366"/>
        <v>0</v>
      </c>
      <c r="T5830" s="331">
        <v>0</v>
      </c>
      <c r="U5830" s="328">
        <f>VLOOKUP(C5830,METADATA!$J$5:$Q$29,IF(E5830="HI",2,IF(E5830="LO",6,10))+IF(T5830=1,2,IF(D5830=7,1,(IF(WEEKDAY(B5830)=1,2,IF(WEEKDAY(B5830)=7,1,0))))))</f>
        <v>2</v>
      </c>
      <c r="V5830" s="328">
        <f>VLOOKUP(C5830,METADATA!$A$5:$H$29,IF(E5830="HI",2,IF(E5830="LO",6,10))+IF(T5830=1,2,IF(D5830=7,1,(IF(WEEKDAY(B5830)=1,2,IF(WEEKDAY(B5830)=7,1,0))))))</f>
        <v>2</v>
      </c>
    </row>
    <row r="5831" spans="2:22">
      <c r="B5831" s="318">
        <f t="shared" si="363"/>
        <v>46355</v>
      </c>
      <c r="C5831" s="312">
        <v>19</v>
      </c>
      <c r="D5831" s="368">
        <f>IFERROR((INDEX(METADATA!$T$2:$T$20,MATCH(B5831,METADATA!$S$2:$S$20,0))),0)</f>
        <v>0</v>
      </c>
      <c r="E5831" s="312" t="str">
        <f t="shared" si="364"/>
        <v>LO</v>
      </c>
      <c r="F5831" s="369">
        <f>VLOOKUP(C5831,METADATA!$A$5:$H$29,IF(E5831="HI",2,IF(E5831="LO",6,10))+IF(D5831=1,2,IF(D5831=7,1,(IF(WEEKDAY(B5831)=1,2,IF(WEEKDAY(B5831)=7,1,0))))))</f>
        <v>2</v>
      </c>
      <c r="G5831" s="369">
        <f>VLOOKUP(C5831,METADATA!$J$5:$Q$29,IF(E5831="HI",2,IF(E5831="LO",6,10))+IF(D5831=1,2,IF(D5831=7,1,(IF(WEEKDAY(B5831)=1,2,IF(WEEKDAY(B5831)=7,1,0))))))</f>
        <v>2</v>
      </c>
      <c r="H5831" s="370">
        <v>13078.850219726563</v>
      </c>
      <c r="I5831" s="370">
        <v>3848.1549377441406</v>
      </c>
      <c r="M5831" s="371">
        <f t="shared" si="365"/>
        <v>13633.217503396847</v>
      </c>
      <c r="N5831" s="329">
        <f t="shared" si="366"/>
        <v>0</v>
      </c>
      <c r="T5831" s="331">
        <v>0</v>
      </c>
      <c r="U5831" s="328">
        <f>VLOOKUP(C5831,METADATA!$J$5:$Q$29,IF(E5831="HI",2,IF(E5831="LO",6,10))+IF(T5831=1,2,IF(D5831=7,1,(IF(WEEKDAY(B5831)=1,2,IF(WEEKDAY(B5831)=7,1,0))))))</f>
        <v>2</v>
      </c>
      <c r="V5831" s="328">
        <f>VLOOKUP(C5831,METADATA!$A$5:$H$29,IF(E5831="HI",2,IF(E5831="LO",6,10))+IF(T5831=1,2,IF(D5831=7,1,(IF(WEEKDAY(B5831)=1,2,IF(WEEKDAY(B5831)=7,1,0))))))</f>
        <v>2</v>
      </c>
    </row>
    <row r="5832" spans="2:22">
      <c r="B5832" s="318">
        <f t="shared" si="363"/>
        <v>46355</v>
      </c>
      <c r="C5832" s="312">
        <v>20</v>
      </c>
      <c r="D5832" s="368">
        <f>IFERROR((INDEX(METADATA!$T$2:$T$20,MATCH(B5832,METADATA!$S$2:$S$20,0))),0)</f>
        <v>0</v>
      </c>
      <c r="E5832" s="312" t="str">
        <f t="shared" si="364"/>
        <v>LO</v>
      </c>
      <c r="F5832" s="369">
        <f>VLOOKUP(C5832,METADATA!$A$5:$H$29,IF(E5832="HI",2,IF(E5832="LO",6,10))+IF(D5832=1,2,IF(D5832=7,1,(IF(WEEKDAY(B5832)=1,2,IF(WEEKDAY(B5832)=7,1,0))))))</f>
        <v>3</v>
      </c>
      <c r="G5832" s="369">
        <f>VLOOKUP(C5832,METADATA!$J$5:$Q$29,IF(E5832="HI",2,IF(E5832="LO",6,10))+IF(D5832=1,2,IF(D5832=7,1,(IF(WEEKDAY(B5832)=1,2,IF(WEEKDAY(B5832)=7,1,0))))))</f>
        <v>3</v>
      </c>
      <c r="H5832" s="370">
        <v>12812.250427246094</v>
      </c>
      <c r="I5832" s="370">
        <v>3575.7100830078125</v>
      </c>
      <c r="M5832" s="371">
        <f t="shared" si="365"/>
        <v>13301.859404165698</v>
      </c>
      <c r="N5832" s="329">
        <f t="shared" si="366"/>
        <v>0</v>
      </c>
      <c r="T5832" s="331">
        <v>0</v>
      </c>
      <c r="U5832" s="328">
        <f>VLOOKUP(C5832,METADATA!$J$5:$Q$29,IF(E5832="HI",2,IF(E5832="LO",6,10))+IF(T5832=1,2,IF(D5832=7,1,(IF(WEEKDAY(B5832)=1,2,IF(WEEKDAY(B5832)=7,1,0))))))</f>
        <v>3</v>
      </c>
      <c r="V5832" s="328">
        <f>VLOOKUP(C5832,METADATA!$A$5:$H$29,IF(E5832="HI",2,IF(E5832="LO",6,10))+IF(T5832=1,2,IF(D5832=7,1,(IF(WEEKDAY(B5832)=1,2,IF(WEEKDAY(B5832)=7,1,0))))))</f>
        <v>3</v>
      </c>
    </row>
    <row r="5833" spans="2:22">
      <c r="B5833" s="318">
        <f t="shared" si="363"/>
        <v>46355</v>
      </c>
      <c r="C5833" s="312">
        <v>21</v>
      </c>
      <c r="D5833" s="368">
        <f>IFERROR((INDEX(METADATA!$T$2:$T$20,MATCH(B5833,METADATA!$S$2:$S$20,0))),0)</f>
        <v>0</v>
      </c>
      <c r="E5833" s="312" t="str">
        <f t="shared" si="364"/>
        <v>LO</v>
      </c>
      <c r="F5833" s="369">
        <f>VLOOKUP(C5833,METADATA!$A$5:$H$29,IF(E5833="HI",2,IF(E5833="LO",6,10))+IF(D5833=1,2,IF(D5833=7,1,(IF(WEEKDAY(B5833)=1,2,IF(WEEKDAY(B5833)=7,1,0))))))</f>
        <v>3</v>
      </c>
      <c r="G5833" s="369">
        <f>VLOOKUP(C5833,METADATA!$J$5:$Q$29,IF(E5833="HI",2,IF(E5833="LO",6,10))+IF(D5833=1,2,IF(D5833=7,1,(IF(WEEKDAY(B5833)=1,2,IF(WEEKDAY(B5833)=7,1,0))))))</f>
        <v>3</v>
      </c>
      <c r="H5833" s="370">
        <v>13246.324951171875</v>
      </c>
      <c r="I5833" s="370">
        <v>3773.5500183105469</v>
      </c>
      <c r="M5833" s="371">
        <f t="shared" si="365"/>
        <v>13773.336721823442</v>
      </c>
      <c r="N5833" s="329">
        <f t="shared" si="366"/>
        <v>0</v>
      </c>
      <c r="T5833" s="331">
        <v>0</v>
      </c>
      <c r="U5833" s="328">
        <f>VLOOKUP(C5833,METADATA!$J$5:$Q$29,IF(E5833="HI",2,IF(E5833="LO",6,10))+IF(T5833=1,2,IF(D5833=7,1,(IF(WEEKDAY(B5833)=1,2,IF(WEEKDAY(B5833)=7,1,0))))))</f>
        <v>3</v>
      </c>
      <c r="V5833" s="328">
        <f>VLOOKUP(C5833,METADATA!$A$5:$H$29,IF(E5833="HI",2,IF(E5833="LO",6,10))+IF(T5833=1,2,IF(D5833=7,1,(IF(WEEKDAY(B5833)=1,2,IF(WEEKDAY(B5833)=7,1,0))))))</f>
        <v>3</v>
      </c>
    </row>
    <row r="5834" spans="2:22">
      <c r="B5834" s="318">
        <f t="shared" si="363"/>
        <v>46355</v>
      </c>
      <c r="C5834" s="312">
        <v>22</v>
      </c>
      <c r="D5834" s="368">
        <f>IFERROR((INDEX(METADATA!$T$2:$T$20,MATCH(B5834,METADATA!$S$2:$S$20,0))),0)</f>
        <v>0</v>
      </c>
      <c r="E5834" s="312" t="str">
        <f t="shared" si="364"/>
        <v>LO</v>
      </c>
      <c r="F5834" s="369">
        <f>VLOOKUP(C5834,METADATA!$A$5:$H$29,IF(E5834="HI",2,IF(E5834="LO",6,10))+IF(D5834=1,2,IF(D5834=7,1,(IF(WEEKDAY(B5834)=1,2,IF(WEEKDAY(B5834)=7,1,0))))))</f>
        <v>3</v>
      </c>
      <c r="G5834" s="369">
        <f>VLOOKUP(C5834,METADATA!$J$5:$Q$29,IF(E5834="HI",2,IF(E5834="LO",6,10))+IF(D5834=1,2,IF(D5834=7,1,(IF(WEEKDAY(B5834)=1,2,IF(WEEKDAY(B5834)=7,1,0))))))</f>
        <v>3</v>
      </c>
      <c r="H5834" s="370">
        <v>13611.5751953125</v>
      </c>
      <c r="I5834" s="370">
        <v>4201.8500366210938</v>
      </c>
      <c r="M5834" s="371">
        <f t="shared" si="365"/>
        <v>14245.368476382042</v>
      </c>
      <c r="N5834" s="329">
        <f t="shared" si="366"/>
        <v>118.37747802734384</v>
      </c>
      <c r="T5834" s="331">
        <v>0</v>
      </c>
      <c r="U5834" s="328">
        <f>VLOOKUP(C5834,METADATA!$J$5:$Q$29,IF(E5834="HI",2,IF(E5834="LO",6,10))+IF(T5834=1,2,IF(D5834=7,1,(IF(WEEKDAY(B5834)=1,2,IF(WEEKDAY(B5834)=7,1,0))))))</f>
        <v>3</v>
      </c>
      <c r="V5834" s="328">
        <f>VLOOKUP(C5834,METADATA!$A$5:$H$29,IF(E5834="HI",2,IF(E5834="LO",6,10))+IF(T5834=1,2,IF(D5834=7,1,(IF(WEEKDAY(B5834)=1,2,IF(WEEKDAY(B5834)=7,1,0))))))</f>
        <v>3</v>
      </c>
    </row>
    <row r="5835" spans="2:22">
      <c r="B5835" s="318">
        <f t="shared" si="363"/>
        <v>46355</v>
      </c>
      <c r="C5835" s="312">
        <v>23</v>
      </c>
      <c r="D5835" s="368">
        <f>IFERROR((INDEX(METADATA!$T$2:$T$20,MATCH(B5835,METADATA!$S$2:$S$20,0))),0)</f>
        <v>0</v>
      </c>
      <c r="E5835" s="312" t="str">
        <f t="shared" si="364"/>
        <v>LO</v>
      </c>
      <c r="F5835" s="369">
        <f>VLOOKUP(C5835,METADATA!$A$5:$H$29,IF(E5835="HI",2,IF(E5835="LO",6,10))+IF(D5835=1,2,IF(D5835=7,1,(IF(WEEKDAY(B5835)=1,2,IF(WEEKDAY(B5835)=7,1,0))))))</f>
        <v>3</v>
      </c>
      <c r="G5835" s="369">
        <f>VLOOKUP(C5835,METADATA!$J$5:$Q$29,IF(E5835="HI",2,IF(E5835="LO",6,10))+IF(D5835=1,2,IF(D5835=7,1,(IF(WEEKDAY(B5835)=1,2,IF(WEEKDAY(B5835)=7,1,0))))))</f>
        <v>3</v>
      </c>
      <c r="H5835" s="370">
        <v>13590.325073242188</v>
      </c>
      <c r="I5835" s="370">
        <v>4191.7750244140625</v>
      </c>
      <c r="M5835" s="371">
        <f t="shared" si="365"/>
        <v>14222.092442805199</v>
      </c>
      <c r="N5835" s="329">
        <f t="shared" si="366"/>
        <v>114.67750244140643</v>
      </c>
      <c r="T5835" s="331">
        <v>0</v>
      </c>
      <c r="U5835" s="328">
        <f>VLOOKUP(C5835,METADATA!$J$5:$Q$29,IF(E5835="HI",2,IF(E5835="LO",6,10))+IF(T5835=1,2,IF(D5835=7,1,(IF(WEEKDAY(B5835)=1,2,IF(WEEKDAY(B5835)=7,1,0))))))</f>
        <v>3</v>
      </c>
      <c r="V5835" s="328">
        <f>VLOOKUP(C5835,METADATA!$A$5:$H$29,IF(E5835="HI",2,IF(E5835="LO",6,10))+IF(T5835=1,2,IF(D5835=7,1,(IF(WEEKDAY(B5835)=1,2,IF(WEEKDAY(B5835)=7,1,0))))))</f>
        <v>3</v>
      </c>
    </row>
    <row r="5836" spans="2:22">
      <c r="B5836" s="318">
        <f t="shared" si="363"/>
        <v>46356</v>
      </c>
      <c r="C5836" s="312">
        <v>0</v>
      </c>
      <c r="D5836" s="368">
        <f>IFERROR((INDEX(METADATA!$T$2:$T$20,MATCH(B5836,METADATA!$S$2:$S$20,0))),0)</f>
        <v>0</v>
      </c>
      <c r="E5836" s="312" t="str">
        <f t="shared" si="364"/>
        <v>LO</v>
      </c>
      <c r="F5836" s="369">
        <f>VLOOKUP(C5836,METADATA!$A$5:$H$29,IF(E5836="HI",2,IF(E5836="LO",6,10))+IF(D5836=1,2,IF(D5836=7,1,(IF(WEEKDAY(B5836)=1,2,IF(WEEKDAY(B5836)=7,1,0))))))</f>
        <v>3</v>
      </c>
      <c r="G5836" s="369">
        <f>VLOOKUP(C5836,METADATA!$J$5:$Q$29,IF(E5836="HI",2,IF(E5836="LO",6,10))+IF(D5836=1,2,IF(D5836=7,1,(IF(WEEKDAY(B5836)=1,2,IF(WEEKDAY(B5836)=7,1,0))))))</f>
        <v>3</v>
      </c>
      <c r="H5836" s="370">
        <v>13483.300170898438</v>
      </c>
      <c r="I5836" s="370">
        <v>4204.8350830078125</v>
      </c>
      <c r="M5836" s="371">
        <f t="shared" si="365"/>
        <v>14123.739645499103</v>
      </c>
      <c r="N5836" s="329">
        <f t="shared" si="366"/>
        <v>159.84503173828125</v>
      </c>
      <c r="T5836" s="331">
        <v>0</v>
      </c>
      <c r="U5836" s="328">
        <f>VLOOKUP(C5836,METADATA!$J$5:$Q$29,IF(E5836="HI",2,IF(E5836="LO",6,10))+IF(T5836=1,2,IF(D5836=7,1,(IF(WEEKDAY(B5836)=1,2,IF(WEEKDAY(B5836)=7,1,0))))))</f>
        <v>3</v>
      </c>
      <c r="V5836" s="328">
        <f>VLOOKUP(C5836,METADATA!$A$5:$H$29,IF(E5836="HI",2,IF(E5836="LO",6,10))+IF(T5836=1,2,IF(D5836=7,1,(IF(WEEKDAY(B5836)=1,2,IF(WEEKDAY(B5836)=7,1,0))))))</f>
        <v>3</v>
      </c>
    </row>
    <row r="5837" spans="2:22">
      <c r="B5837" s="318">
        <f t="shared" si="363"/>
        <v>46356</v>
      </c>
      <c r="C5837" s="312">
        <v>1</v>
      </c>
      <c r="D5837" s="368">
        <f>IFERROR((INDEX(METADATA!$T$2:$T$20,MATCH(B5837,METADATA!$S$2:$S$20,0))),0)</f>
        <v>0</v>
      </c>
      <c r="E5837" s="312" t="str">
        <f t="shared" si="364"/>
        <v>LO</v>
      </c>
      <c r="F5837" s="369">
        <f>VLOOKUP(C5837,METADATA!$A$5:$H$29,IF(E5837="HI",2,IF(E5837="LO",6,10))+IF(D5837=1,2,IF(D5837=7,1,(IF(WEEKDAY(B5837)=1,2,IF(WEEKDAY(B5837)=7,1,0))))))</f>
        <v>3</v>
      </c>
      <c r="G5837" s="369">
        <f>VLOOKUP(C5837,METADATA!$J$5:$Q$29,IF(E5837="HI",2,IF(E5837="LO",6,10))+IF(D5837=1,2,IF(D5837=7,1,(IF(WEEKDAY(B5837)=1,2,IF(WEEKDAY(B5837)=7,1,0))))))</f>
        <v>3</v>
      </c>
      <c r="H5837" s="370">
        <v>13470.602416992188</v>
      </c>
      <c r="I5837" s="370">
        <v>4269.2350158691406</v>
      </c>
      <c r="M5837" s="371">
        <f t="shared" si="365"/>
        <v>14130.941125678748</v>
      </c>
      <c r="N5837" s="329">
        <f t="shared" si="366"/>
        <v>228.05429077148438</v>
      </c>
      <c r="T5837" s="331">
        <v>0</v>
      </c>
      <c r="U5837" s="328">
        <f>VLOOKUP(C5837,METADATA!$J$5:$Q$29,IF(E5837="HI",2,IF(E5837="LO",6,10))+IF(T5837=1,2,IF(D5837=7,1,(IF(WEEKDAY(B5837)=1,2,IF(WEEKDAY(B5837)=7,1,0))))))</f>
        <v>3</v>
      </c>
      <c r="V5837" s="328">
        <f>VLOOKUP(C5837,METADATA!$A$5:$H$29,IF(E5837="HI",2,IF(E5837="LO",6,10))+IF(T5837=1,2,IF(D5837=7,1,(IF(WEEKDAY(B5837)=1,2,IF(WEEKDAY(B5837)=7,1,0))))))</f>
        <v>3</v>
      </c>
    </row>
    <row r="5838" spans="2:22">
      <c r="B5838" s="318">
        <f t="shared" si="363"/>
        <v>46356</v>
      </c>
      <c r="C5838" s="312">
        <v>2</v>
      </c>
      <c r="D5838" s="368">
        <f>IFERROR((INDEX(METADATA!$T$2:$T$20,MATCH(B5838,METADATA!$S$2:$S$20,0))),0)</f>
        <v>0</v>
      </c>
      <c r="E5838" s="312" t="str">
        <f t="shared" si="364"/>
        <v>LO</v>
      </c>
      <c r="F5838" s="369">
        <f>VLOOKUP(C5838,METADATA!$A$5:$H$29,IF(E5838="HI",2,IF(E5838="LO",6,10))+IF(D5838=1,2,IF(D5838=7,1,(IF(WEEKDAY(B5838)=1,2,IF(WEEKDAY(B5838)=7,1,0))))))</f>
        <v>3</v>
      </c>
      <c r="G5838" s="369">
        <f>VLOOKUP(C5838,METADATA!$J$5:$Q$29,IF(E5838="HI",2,IF(E5838="LO",6,10))+IF(D5838=1,2,IF(D5838=7,1,(IF(WEEKDAY(B5838)=1,2,IF(WEEKDAY(B5838)=7,1,0))))))</f>
        <v>3</v>
      </c>
      <c r="H5838" s="370">
        <v>13551.025146484375</v>
      </c>
      <c r="I5838" s="370">
        <v>4286.2750244140625</v>
      </c>
      <c r="M5838" s="371">
        <f t="shared" si="365"/>
        <v>14212.756105188311</v>
      </c>
      <c r="N5838" s="329">
        <f t="shared" si="366"/>
        <v>220.96748046875018</v>
      </c>
      <c r="T5838" s="331">
        <v>0</v>
      </c>
      <c r="U5838" s="328">
        <f>VLOOKUP(C5838,METADATA!$J$5:$Q$29,IF(E5838="HI",2,IF(E5838="LO",6,10))+IF(T5838=1,2,IF(D5838=7,1,(IF(WEEKDAY(B5838)=1,2,IF(WEEKDAY(B5838)=7,1,0))))))</f>
        <v>3</v>
      </c>
      <c r="V5838" s="328">
        <f>VLOOKUP(C5838,METADATA!$A$5:$H$29,IF(E5838="HI",2,IF(E5838="LO",6,10))+IF(T5838=1,2,IF(D5838=7,1,(IF(WEEKDAY(B5838)=1,2,IF(WEEKDAY(B5838)=7,1,0))))))</f>
        <v>3</v>
      </c>
    </row>
    <row r="5839" spans="2:22">
      <c r="B5839" s="318">
        <f t="shared" si="363"/>
        <v>46356</v>
      </c>
      <c r="C5839" s="312">
        <v>3</v>
      </c>
      <c r="D5839" s="368">
        <f>IFERROR((INDEX(METADATA!$T$2:$T$20,MATCH(B5839,METADATA!$S$2:$S$20,0))),0)</f>
        <v>0</v>
      </c>
      <c r="E5839" s="312" t="str">
        <f t="shared" si="364"/>
        <v>LO</v>
      </c>
      <c r="F5839" s="369">
        <f>VLOOKUP(C5839,METADATA!$A$5:$H$29,IF(E5839="HI",2,IF(E5839="LO",6,10))+IF(D5839=1,2,IF(D5839=7,1,(IF(WEEKDAY(B5839)=1,2,IF(WEEKDAY(B5839)=7,1,0))))))</f>
        <v>3</v>
      </c>
      <c r="G5839" s="369">
        <f>VLOOKUP(C5839,METADATA!$J$5:$Q$29,IF(E5839="HI",2,IF(E5839="LO",6,10))+IF(D5839=1,2,IF(D5839=7,1,(IF(WEEKDAY(B5839)=1,2,IF(WEEKDAY(B5839)=7,1,0))))))</f>
        <v>3</v>
      </c>
      <c r="H5839" s="370">
        <v>13509.250061035156</v>
      </c>
      <c r="I5839" s="370">
        <v>4278.7901000976563</v>
      </c>
      <c r="M5839" s="371">
        <f t="shared" si="365"/>
        <v>14170.669777123172</v>
      </c>
      <c r="N5839" s="329">
        <f t="shared" si="366"/>
        <v>226.01508178710947</v>
      </c>
      <c r="T5839" s="331">
        <v>0</v>
      </c>
      <c r="U5839" s="328">
        <f>VLOOKUP(C5839,METADATA!$J$5:$Q$29,IF(E5839="HI",2,IF(E5839="LO",6,10))+IF(T5839=1,2,IF(D5839=7,1,(IF(WEEKDAY(B5839)=1,2,IF(WEEKDAY(B5839)=7,1,0))))))</f>
        <v>3</v>
      </c>
      <c r="V5839" s="328">
        <f>VLOOKUP(C5839,METADATA!$A$5:$H$29,IF(E5839="HI",2,IF(E5839="LO",6,10))+IF(T5839=1,2,IF(D5839=7,1,(IF(WEEKDAY(B5839)=1,2,IF(WEEKDAY(B5839)=7,1,0))))))</f>
        <v>3</v>
      </c>
    </row>
    <row r="5840" spans="2:22">
      <c r="B5840" s="318">
        <f t="shared" si="363"/>
        <v>46356</v>
      </c>
      <c r="C5840" s="312">
        <v>4</v>
      </c>
      <c r="D5840" s="368">
        <f>IFERROR((INDEX(METADATA!$T$2:$T$20,MATCH(B5840,METADATA!$S$2:$S$20,0))),0)</f>
        <v>0</v>
      </c>
      <c r="E5840" s="312" t="str">
        <f t="shared" si="364"/>
        <v>LO</v>
      </c>
      <c r="F5840" s="369">
        <f>VLOOKUP(C5840,METADATA!$A$5:$H$29,IF(E5840="HI",2,IF(E5840="LO",6,10))+IF(D5840=1,2,IF(D5840=7,1,(IF(WEEKDAY(B5840)=1,2,IF(WEEKDAY(B5840)=7,1,0))))))</f>
        <v>3</v>
      </c>
      <c r="G5840" s="369">
        <f>VLOOKUP(C5840,METADATA!$J$5:$Q$29,IF(E5840="HI",2,IF(E5840="LO",6,10))+IF(D5840=1,2,IF(D5840=7,1,(IF(WEEKDAY(B5840)=1,2,IF(WEEKDAY(B5840)=7,1,0))))))</f>
        <v>3</v>
      </c>
      <c r="H5840" s="370">
        <v>13478.799743652344</v>
      </c>
      <c r="I5840" s="370">
        <v>4270.3749389648438</v>
      </c>
      <c r="M5840" s="371">
        <f t="shared" si="365"/>
        <v>14139.099852848536</v>
      </c>
      <c r="N5840" s="329">
        <f t="shared" si="366"/>
        <v>226.73501586914063</v>
      </c>
      <c r="T5840" s="331">
        <v>0</v>
      </c>
      <c r="U5840" s="328">
        <f>VLOOKUP(C5840,METADATA!$J$5:$Q$29,IF(E5840="HI",2,IF(E5840="LO",6,10))+IF(T5840=1,2,IF(D5840=7,1,(IF(WEEKDAY(B5840)=1,2,IF(WEEKDAY(B5840)=7,1,0))))))</f>
        <v>3</v>
      </c>
      <c r="V5840" s="328">
        <f>VLOOKUP(C5840,METADATA!$A$5:$H$29,IF(E5840="HI",2,IF(E5840="LO",6,10))+IF(T5840=1,2,IF(D5840=7,1,(IF(WEEKDAY(B5840)=1,2,IF(WEEKDAY(B5840)=7,1,0))))))</f>
        <v>3</v>
      </c>
    </row>
    <row r="5841" spans="2:22">
      <c r="B5841" s="318">
        <f t="shared" si="363"/>
        <v>46356</v>
      </c>
      <c r="C5841" s="312">
        <v>5</v>
      </c>
      <c r="D5841" s="368">
        <f>IFERROR((INDEX(METADATA!$T$2:$T$20,MATCH(B5841,METADATA!$S$2:$S$20,0))),0)</f>
        <v>0</v>
      </c>
      <c r="E5841" s="312" t="str">
        <f t="shared" si="364"/>
        <v>LO</v>
      </c>
      <c r="F5841" s="369">
        <f>VLOOKUP(C5841,METADATA!$A$5:$H$29,IF(E5841="HI",2,IF(E5841="LO",6,10))+IF(D5841=1,2,IF(D5841=7,1,(IF(WEEKDAY(B5841)=1,2,IF(WEEKDAY(B5841)=7,1,0))))))</f>
        <v>3</v>
      </c>
      <c r="G5841" s="369">
        <f>VLOOKUP(C5841,METADATA!$J$5:$Q$29,IF(E5841="HI",2,IF(E5841="LO",6,10))+IF(D5841=1,2,IF(D5841=7,1,(IF(WEEKDAY(B5841)=1,2,IF(WEEKDAY(B5841)=7,1,0))))))</f>
        <v>3</v>
      </c>
      <c r="H5841" s="370">
        <v>13360.200134277344</v>
      </c>
      <c r="I5841" s="370">
        <v>4115.0699768066406</v>
      </c>
      <c r="M5841" s="371">
        <f t="shared" si="365"/>
        <v>13979.583274974964</v>
      </c>
      <c r="N5841" s="329">
        <f t="shared" si="366"/>
        <v>107.00993652343777</v>
      </c>
      <c r="T5841" s="331">
        <v>0</v>
      </c>
      <c r="U5841" s="328">
        <f>VLOOKUP(C5841,METADATA!$J$5:$Q$29,IF(E5841="HI",2,IF(E5841="LO",6,10))+IF(T5841=1,2,IF(D5841=7,1,(IF(WEEKDAY(B5841)=1,2,IF(WEEKDAY(B5841)=7,1,0))))))</f>
        <v>3</v>
      </c>
      <c r="V5841" s="328">
        <f>VLOOKUP(C5841,METADATA!$A$5:$H$29,IF(E5841="HI",2,IF(E5841="LO",6,10))+IF(T5841=1,2,IF(D5841=7,1,(IF(WEEKDAY(B5841)=1,2,IF(WEEKDAY(B5841)=7,1,0))))))</f>
        <v>3</v>
      </c>
    </row>
    <row r="5842" spans="2:22">
      <c r="B5842" s="318">
        <f t="shared" si="363"/>
        <v>46356</v>
      </c>
      <c r="C5842" s="312">
        <v>6</v>
      </c>
      <c r="D5842" s="368">
        <f>IFERROR((INDEX(METADATA!$T$2:$T$20,MATCH(B5842,METADATA!$S$2:$S$20,0))),0)</f>
        <v>0</v>
      </c>
      <c r="E5842" s="312" t="str">
        <f t="shared" si="364"/>
        <v>LO</v>
      </c>
      <c r="F5842" s="369">
        <f>VLOOKUP(C5842,METADATA!$A$5:$H$29,IF(E5842="HI",2,IF(E5842="LO",6,10))+IF(D5842=1,2,IF(D5842=7,1,(IF(WEEKDAY(B5842)=1,2,IF(WEEKDAY(B5842)=7,1,0))))))</f>
        <v>2</v>
      </c>
      <c r="G5842" s="369">
        <f>VLOOKUP(C5842,METADATA!$J$5:$Q$29,IF(E5842="HI",2,IF(E5842="LO",6,10))+IF(D5842=1,2,IF(D5842=7,1,(IF(WEEKDAY(B5842)=1,2,IF(WEEKDAY(B5842)=7,1,0))))))</f>
        <v>2</v>
      </c>
      <c r="H5842" s="370">
        <v>12841.625244140625</v>
      </c>
      <c r="I5842" s="370">
        <v>3789.3100280761719</v>
      </c>
      <c r="M5842" s="371">
        <f t="shared" si="365"/>
        <v>13389.033176440649</v>
      </c>
      <c r="N5842" s="329">
        <f t="shared" si="366"/>
        <v>0</v>
      </c>
      <c r="T5842" s="331">
        <v>0</v>
      </c>
      <c r="U5842" s="328">
        <f>VLOOKUP(C5842,METADATA!$J$5:$Q$29,IF(E5842="HI",2,IF(E5842="LO",6,10))+IF(T5842=1,2,IF(D5842=7,1,(IF(WEEKDAY(B5842)=1,2,IF(WEEKDAY(B5842)=7,1,0))))))</f>
        <v>2</v>
      </c>
      <c r="V5842" s="328">
        <f>VLOOKUP(C5842,METADATA!$A$5:$H$29,IF(E5842="HI",2,IF(E5842="LO",6,10))+IF(T5842=1,2,IF(D5842=7,1,(IF(WEEKDAY(B5842)=1,2,IF(WEEKDAY(B5842)=7,1,0))))))</f>
        <v>2</v>
      </c>
    </row>
    <row r="5843" spans="2:22">
      <c r="B5843" s="318">
        <f t="shared" si="363"/>
        <v>46356</v>
      </c>
      <c r="C5843" s="312">
        <v>7</v>
      </c>
      <c r="D5843" s="368">
        <f>IFERROR((INDEX(METADATA!$T$2:$T$20,MATCH(B5843,METADATA!$S$2:$S$20,0))),0)</f>
        <v>0</v>
      </c>
      <c r="E5843" s="312" t="str">
        <f t="shared" si="364"/>
        <v>LO</v>
      </c>
      <c r="F5843" s="369">
        <f>VLOOKUP(C5843,METADATA!$A$5:$H$29,IF(E5843="HI",2,IF(E5843="LO",6,10))+IF(D5843=1,2,IF(D5843=7,1,(IF(WEEKDAY(B5843)=1,2,IF(WEEKDAY(B5843)=7,1,0))))))</f>
        <v>1</v>
      </c>
      <c r="G5843" s="369">
        <f>VLOOKUP(C5843,METADATA!$J$5:$Q$29,IF(E5843="HI",2,IF(E5843="LO",6,10))+IF(D5843=1,2,IF(D5843=7,1,(IF(WEEKDAY(B5843)=1,2,IF(WEEKDAY(B5843)=7,1,0))))))</f>
        <v>1</v>
      </c>
      <c r="H5843" s="370">
        <v>11418.299743652344</v>
      </c>
      <c r="I5843" s="370">
        <v>2812.7999877929688</v>
      </c>
      <c r="M5843" s="371">
        <f t="shared" si="365"/>
        <v>11759.651899916906</v>
      </c>
      <c r="N5843" s="329">
        <f t="shared" si="366"/>
        <v>0</v>
      </c>
      <c r="T5843" s="331">
        <v>0</v>
      </c>
      <c r="U5843" s="328">
        <f>VLOOKUP(C5843,METADATA!$J$5:$Q$29,IF(E5843="HI",2,IF(E5843="LO",6,10))+IF(T5843=1,2,IF(D5843=7,1,(IF(WEEKDAY(B5843)=1,2,IF(WEEKDAY(B5843)=7,1,0))))))</f>
        <v>1</v>
      </c>
      <c r="V5843" s="328">
        <f>VLOOKUP(C5843,METADATA!$A$5:$H$29,IF(E5843="HI",2,IF(E5843="LO",6,10))+IF(T5843=1,2,IF(D5843=7,1,(IF(WEEKDAY(B5843)=1,2,IF(WEEKDAY(B5843)=7,1,0))))))</f>
        <v>1</v>
      </c>
    </row>
    <row r="5844" spans="2:22">
      <c r="B5844" s="318">
        <f t="shared" si="363"/>
        <v>46356</v>
      </c>
      <c r="C5844" s="312">
        <v>8</v>
      </c>
      <c r="D5844" s="368">
        <f>IFERROR((INDEX(METADATA!$T$2:$T$20,MATCH(B5844,METADATA!$S$2:$S$20,0))),0)</f>
        <v>0</v>
      </c>
      <c r="E5844" s="312" t="str">
        <f t="shared" si="364"/>
        <v>LO</v>
      </c>
      <c r="F5844" s="369">
        <f>VLOOKUP(C5844,METADATA!$A$5:$H$29,IF(E5844="HI",2,IF(E5844="LO",6,10))+IF(D5844=1,2,IF(D5844=7,1,(IF(WEEKDAY(B5844)=1,2,IF(WEEKDAY(B5844)=7,1,0))))))</f>
        <v>1</v>
      </c>
      <c r="G5844" s="369">
        <f>VLOOKUP(C5844,METADATA!$J$5:$Q$29,IF(E5844="HI",2,IF(E5844="LO",6,10))+IF(D5844=1,2,IF(D5844=7,1,(IF(WEEKDAY(B5844)=1,2,IF(WEEKDAY(B5844)=7,1,0))))))</f>
        <v>1</v>
      </c>
      <c r="H5844" s="370">
        <v>12924.174926757813</v>
      </c>
      <c r="I5844" s="370">
        <v>3647.655029296875</v>
      </c>
      <c r="M5844" s="371">
        <f t="shared" si="365"/>
        <v>13429.061201371826</v>
      </c>
      <c r="N5844" s="329">
        <f t="shared" si="366"/>
        <v>0</v>
      </c>
      <c r="T5844" s="331">
        <v>0</v>
      </c>
      <c r="U5844" s="328">
        <f>VLOOKUP(C5844,METADATA!$J$5:$Q$29,IF(E5844="HI",2,IF(E5844="LO",6,10))+IF(T5844=1,2,IF(D5844=7,1,(IF(WEEKDAY(B5844)=1,2,IF(WEEKDAY(B5844)=7,1,0))))))</f>
        <v>1</v>
      </c>
      <c r="V5844" s="328">
        <f>VLOOKUP(C5844,METADATA!$A$5:$H$29,IF(E5844="HI",2,IF(E5844="LO",6,10))+IF(T5844=1,2,IF(D5844=7,1,(IF(WEEKDAY(B5844)=1,2,IF(WEEKDAY(B5844)=7,1,0))))))</f>
        <v>1</v>
      </c>
    </row>
    <row r="5845" spans="2:22">
      <c r="B5845" s="318">
        <f t="shared" si="363"/>
        <v>46356</v>
      </c>
      <c r="C5845" s="312">
        <v>9</v>
      </c>
      <c r="D5845" s="368">
        <f>IFERROR((INDEX(METADATA!$T$2:$T$20,MATCH(B5845,METADATA!$S$2:$S$20,0))),0)</f>
        <v>0</v>
      </c>
      <c r="E5845" s="312" t="str">
        <f t="shared" si="364"/>
        <v>LO</v>
      </c>
      <c r="F5845" s="369">
        <f>VLOOKUP(C5845,METADATA!$A$5:$H$29,IF(E5845="HI",2,IF(E5845="LO",6,10))+IF(D5845=1,2,IF(D5845=7,1,(IF(WEEKDAY(B5845)=1,2,IF(WEEKDAY(B5845)=7,1,0))))))</f>
        <v>2</v>
      </c>
      <c r="G5845" s="369">
        <f>VLOOKUP(C5845,METADATA!$J$5:$Q$29,IF(E5845="HI",2,IF(E5845="LO",6,10))+IF(D5845=1,2,IF(D5845=7,1,(IF(WEEKDAY(B5845)=1,2,IF(WEEKDAY(B5845)=7,1,0))))))</f>
        <v>2</v>
      </c>
      <c r="H5845" s="370">
        <v>13217.074951171875</v>
      </c>
      <c r="I5845" s="370">
        <v>3779.2051086425781</v>
      </c>
      <c r="M5845" s="371">
        <f t="shared" si="365"/>
        <v>13746.761855727522</v>
      </c>
      <c r="N5845" s="329">
        <f t="shared" si="366"/>
        <v>0</v>
      </c>
      <c r="T5845" s="331">
        <v>0</v>
      </c>
      <c r="U5845" s="328">
        <f>VLOOKUP(C5845,METADATA!$J$5:$Q$29,IF(E5845="HI",2,IF(E5845="LO",6,10))+IF(T5845=1,2,IF(D5845=7,1,(IF(WEEKDAY(B5845)=1,2,IF(WEEKDAY(B5845)=7,1,0))))))</f>
        <v>2</v>
      </c>
      <c r="V5845" s="328">
        <f>VLOOKUP(C5845,METADATA!$A$5:$H$29,IF(E5845="HI",2,IF(E5845="LO",6,10))+IF(T5845=1,2,IF(D5845=7,1,(IF(WEEKDAY(B5845)=1,2,IF(WEEKDAY(B5845)=7,1,0))))))</f>
        <v>2</v>
      </c>
    </row>
    <row r="5846" spans="2:22">
      <c r="B5846" s="318">
        <f t="shared" si="363"/>
        <v>46356</v>
      </c>
      <c r="C5846" s="312">
        <v>10</v>
      </c>
      <c r="D5846" s="368">
        <f>IFERROR((INDEX(METADATA!$T$2:$T$20,MATCH(B5846,METADATA!$S$2:$S$20,0))),0)</f>
        <v>0</v>
      </c>
      <c r="E5846" s="312" t="str">
        <f t="shared" si="364"/>
        <v>LO</v>
      </c>
      <c r="F5846" s="369">
        <f>VLOOKUP(C5846,METADATA!$A$5:$H$29,IF(E5846="HI",2,IF(E5846="LO",6,10))+IF(D5846=1,2,IF(D5846=7,1,(IF(WEEKDAY(B5846)=1,2,IF(WEEKDAY(B5846)=7,1,0))))))</f>
        <v>2</v>
      </c>
      <c r="G5846" s="369">
        <f>VLOOKUP(C5846,METADATA!$J$5:$Q$29,IF(E5846="HI",2,IF(E5846="LO",6,10))+IF(D5846=1,2,IF(D5846=7,1,(IF(WEEKDAY(B5846)=1,2,IF(WEEKDAY(B5846)=7,1,0))))))</f>
        <v>2</v>
      </c>
      <c r="H5846" s="370">
        <v>12500.675170898438</v>
      </c>
      <c r="I5846" s="370">
        <v>3237.5499649047852</v>
      </c>
      <c r="M5846" s="371">
        <f t="shared" si="365"/>
        <v>12913.117729795993</v>
      </c>
      <c r="N5846" s="329">
        <f t="shared" si="366"/>
        <v>0</v>
      </c>
      <c r="T5846" s="331">
        <v>0</v>
      </c>
      <c r="U5846" s="328">
        <f>VLOOKUP(C5846,METADATA!$J$5:$Q$29,IF(E5846="HI",2,IF(E5846="LO",6,10))+IF(T5846=1,2,IF(D5846=7,1,(IF(WEEKDAY(B5846)=1,2,IF(WEEKDAY(B5846)=7,1,0))))))</f>
        <v>2</v>
      </c>
      <c r="V5846" s="328">
        <f>VLOOKUP(C5846,METADATA!$A$5:$H$29,IF(E5846="HI",2,IF(E5846="LO",6,10))+IF(T5846=1,2,IF(D5846=7,1,(IF(WEEKDAY(B5846)=1,2,IF(WEEKDAY(B5846)=7,1,0))))))</f>
        <v>2</v>
      </c>
    </row>
    <row r="5847" spans="2:22">
      <c r="B5847" s="318">
        <f t="shared" si="363"/>
        <v>46356</v>
      </c>
      <c r="C5847" s="312">
        <v>11</v>
      </c>
      <c r="D5847" s="368">
        <f>IFERROR((INDEX(METADATA!$T$2:$T$20,MATCH(B5847,METADATA!$S$2:$S$20,0))),0)</f>
        <v>0</v>
      </c>
      <c r="E5847" s="312" t="str">
        <f t="shared" si="364"/>
        <v>LO</v>
      </c>
      <c r="F5847" s="369">
        <f>VLOOKUP(C5847,METADATA!$A$5:$H$29,IF(E5847="HI",2,IF(E5847="LO",6,10))+IF(D5847=1,2,IF(D5847=7,1,(IF(WEEKDAY(B5847)=1,2,IF(WEEKDAY(B5847)=7,1,0))))))</f>
        <v>2</v>
      </c>
      <c r="G5847" s="369">
        <f>VLOOKUP(C5847,METADATA!$J$5:$Q$29,IF(E5847="HI",2,IF(E5847="LO",6,10))+IF(D5847=1,2,IF(D5847=7,1,(IF(WEEKDAY(B5847)=1,2,IF(WEEKDAY(B5847)=7,1,0))))))</f>
        <v>2</v>
      </c>
      <c r="H5847" s="370">
        <v>13274.925109863281</v>
      </c>
      <c r="I5847" s="370">
        <v>4095.8199768066406</v>
      </c>
      <c r="M5847" s="371">
        <f t="shared" si="365"/>
        <v>13892.421601538264</v>
      </c>
      <c r="N5847" s="329">
        <f t="shared" si="366"/>
        <v>113.34244384765634</v>
      </c>
      <c r="T5847" s="331">
        <v>0</v>
      </c>
      <c r="U5847" s="328">
        <f>VLOOKUP(C5847,METADATA!$J$5:$Q$29,IF(E5847="HI",2,IF(E5847="LO",6,10))+IF(T5847=1,2,IF(D5847=7,1,(IF(WEEKDAY(B5847)=1,2,IF(WEEKDAY(B5847)=7,1,0))))))</f>
        <v>2</v>
      </c>
      <c r="V5847" s="328">
        <f>VLOOKUP(C5847,METADATA!$A$5:$H$29,IF(E5847="HI",2,IF(E5847="LO",6,10))+IF(T5847=1,2,IF(D5847=7,1,(IF(WEEKDAY(B5847)=1,2,IF(WEEKDAY(B5847)=7,1,0))))))</f>
        <v>2</v>
      </c>
    </row>
    <row r="5848" spans="2:22">
      <c r="B5848" s="318">
        <f t="shared" si="363"/>
        <v>46356</v>
      </c>
      <c r="C5848" s="312">
        <v>12</v>
      </c>
      <c r="D5848" s="368">
        <f>IFERROR((INDEX(METADATA!$T$2:$T$20,MATCH(B5848,METADATA!$S$2:$S$20,0))),0)</f>
        <v>0</v>
      </c>
      <c r="E5848" s="312" t="str">
        <f t="shared" si="364"/>
        <v>LO</v>
      </c>
      <c r="F5848" s="369">
        <f>VLOOKUP(C5848,METADATA!$A$5:$H$29,IF(E5848="HI",2,IF(E5848="LO",6,10))+IF(D5848=1,2,IF(D5848=7,1,(IF(WEEKDAY(B5848)=1,2,IF(WEEKDAY(B5848)=7,1,0))))))</f>
        <v>2</v>
      </c>
      <c r="G5848" s="369">
        <f>VLOOKUP(C5848,METADATA!$J$5:$Q$29,IF(E5848="HI",2,IF(E5848="LO",6,10))+IF(D5848=1,2,IF(D5848=7,1,(IF(WEEKDAY(B5848)=1,2,IF(WEEKDAY(B5848)=7,1,0))))))</f>
        <v>2</v>
      </c>
      <c r="H5848" s="370">
        <v>13649.074829101563</v>
      </c>
      <c r="I5848" s="370">
        <v>4256.6400146484375</v>
      </c>
      <c r="M5848" s="371">
        <f t="shared" si="365"/>
        <v>14297.420323426184</v>
      </c>
      <c r="N5848" s="329">
        <f t="shared" si="366"/>
        <v>161.91756591796911</v>
      </c>
      <c r="T5848" s="331">
        <v>0</v>
      </c>
      <c r="U5848" s="328">
        <f>VLOOKUP(C5848,METADATA!$J$5:$Q$29,IF(E5848="HI",2,IF(E5848="LO",6,10))+IF(T5848=1,2,IF(D5848=7,1,(IF(WEEKDAY(B5848)=1,2,IF(WEEKDAY(B5848)=7,1,0))))))</f>
        <v>2</v>
      </c>
      <c r="V5848" s="328">
        <f>VLOOKUP(C5848,METADATA!$A$5:$H$29,IF(E5848="HI",2,IF(E5848="LO",6,10))+IF(T5848=1,2,IF(D5848=7,1,(IF(WEEKDAY(B5848)=1,2,IF(WEEKDAY(B5848)=7,1,0))))))</f>
        <v>2</v>
      </c>
    </row>
    <row r="5849" spans="2:22">
      <c r="B5849" s="318">
        <f t="shared" si="363"/>
        <v>46356</v>
      </c>
      <c r="C5849" s="312">
        <v>13</v>
      </c>
      <c r="D5849" s="368">
        <f>IFERROR((INDEX(METADATA!$T$2:$T$20,MATCH(B5849,METADATA!$S$2:$S$20,0))),0)</f>
        <v>0</v>
      </c>
      <c r="E5849" s="312" t="str">
        <f t="shared" si="364"/>
        <v>LO</v>
      </c>
      <c r="F5849" s="369">
        <f>VLOOKUP(C5849,METADATA!$A$5:$H$29,IF(E5849="HI",2,IF(E5849="LO",6,10))+IF(D5849=1,2,IF(D5849=7,1,(IF(WEEKDAY(B5849)=1,2,IF(WEEKDAY(B5849)=7,1,0))))))</f>
        <v>2</v>
      </c>
      <c r="G5849" s="369">
        <f>VLOOKUP(C5849,METADATA!$J$5:$Q$29,IF(E5849="HI",2,IF(E5849="LO",6,10))+IF(D5849=1,2,IF(D5849=7,1,(IF(WEEKDAY(B5849)=1,2,IF(WEEKDAY(B5849)=7,1,0))))))</f>
        <v>2</v>
      </c>
      <c r="H5849" s="370">
        <v>13490.849853515625</v>
      </c>
      <c r="I5849" s="370">
        <v>4197.3499450683594</v>
      </c>
      <c r="M5849" s="371">
        <f t="shared" si="365"/>
        <v>14128.721680727806</v>
      </c>
      <c r="N5849" s="329">
        <f t="shared" si="366"/>
        <v>150.09498901367215</v>
      </c>
      <c r="T5849" s="331">
        <v>0</v>
      </c>
      <c r="U5849" s="328">
        <f>VLOOKUP(C5849,METADATA!$J$5:$Q$29,IF(E5849="HI",2,IF(E5849="LO",6,10))+IF(T5849=1,2,IF(D5849=7,1,(IF(WEEKDAY(B5849)=1,2,IF(WEEKDAY(B5849)=7,1,0))))))</f>
        <v>2</v>
      </c>
      <c r="V5849" s="328">
        <f>VLOOKUP(C5849,METADATA!$A$5:$H$29,IF(E5849="HI",2,IF(E5849="LO",6,10))+IF(T5849=1,2,IF(D5849=7,1,(IF(WEEKDAY(B5849)=1,2,IF(WEEKDAY(B5849)=7,1,0))))))</f>
        <v>2</v>
      </c>
    </row>
    <row r="5850" spans="2:22">
      <c r="B5850" s="318">
        <f t="shared" si="363"/>
        <v>46356</v>
      </c>
      <c r="C5850" s="312">
        <v>14</v>
      </c>
      <c r="D5850" s="368">
        <f>IFERROR((INDEX(METADATA!$T$2:$T$20,MATCH(B5850,METADATA!$S$2:$S$20,0))),0)</f>
        <v>0</v>
      </c>
      <c r="E5850" s="312" t="str">
        <f t="shared" si="364"/>
        <v>LO</v>
      </c>
      <c r="F5850" s="369">
        <f>VLOOKUP(C5850,METADATA!$A$5:$H$29,IF(E5850="HI",2,IF(E5850="LO",6,10))+IF(D5850=1,2,IF(D5850=7,1,(IF(WEEKDAY(B5850)=1,2,IF(WEEKDAY(B5850)=7,1,0))))))</f>
        <v>2</v>
      </c>
      <c r="G5850" s="369">
        <f>VLOOKUP(C5850,METADATA!$J$5:$Q$29,IF(E5850="HI",2,IF(E5850="LO",6,10))+IF(D5850=1,2,IF(D5850=7,1,(IF(WEEKDAY(B5850)=1,2,IF(WEEKDAY(B5850)=7,1,0))))))</f>
        <v>2</v>
      </c>
      <c r="H5850" s="370">
        <v>13631.799926757813</v>
      </c>
      <c r="I5850" s="370">
        <v>4358.25</v>
      </c>
      <c r="M5850" s="371">
        <f t="shared" si="365"/>
        <v>14311.544721156213</v>
      </c>
      <c r="N5850" s="329">
        <f t="shared" si="366"/>
        <v>268.71002197265625</v>
      </c>
      <c r="T5850" s="331">
        <v>0</v>
      </c>
      <c r="U5850" s="328">
        <f>VLOOKUP(C5850,METADATA!$J$5:$Q$29,IF(E5850="HI",2,IF(E5850="LO",6,10))+IF(T5850=1,2,IF(D5850=7,1,(IF(WEEKDAY(B5850)=1,2,IF(WEEKDAY(B5850)=7,1,0))))))</f>
        <v>2</v>
      </c>
      <c r="V5850" s="328">
        <f>VLOOKUP(C5850,METADATA!$A$5:$H$29,IF(E5850="HI",2,IF(E5850="LO",6,10))+IF(T5850=1,2,IF(D5850=7,1,(IF(WEEKDAY(B5850)=1,2,IF(WEEKDAY(B5850)=7,1,0))))))</f>
        <v>2</v>
      </c>
    </row>
    <row r="5851" spans="2:22">
      <c r="B5851" s="318">
        <f t="shared" si="363"/>
        <v>46356</v>
      </c>
      <c r="C5851" s="312">
        <v>15</v>
      </c>
      <c r="D5851" s="368">
        <f>IFERROR((INDEX(METADATA!$T$2:$T$20,MATCH(B5851,METADATA!$S$2:$S$20,0))),0)</f>
        <v>0</v>
      </c>
      <c r="E5851" s="312" t="str">
        <f t="shared" si="364"/>
        <v>LO</v>
      </c>
      <c r="F5851" s="369">
        <f>VLOOKUP(C5851,METADATA!$A$5:$H$29,IF(E5851="HI",2,IF(E5851="LO",6,10))+IF(D5851=1,2,IF(D5851=7,1,(IF(WEEKDAY(B5851)=1,2,IF(WEEKDAY(B5851)=7,1,0))))))</f>
        <v>2</v>
      </c>
      <c r="G5851" s="369">
        <f>VLOOKUP(C5851,METADATA!$J$5:$Q$29,IF(E5851="HI",2,IF(E5851="LO",6,10))+IF(D5851=1,2,IF(D5851=7,1,(IF(WEEKDAY(B5851)=1,2,IF(WEEKDAY(B5851)=7,1,0))))))</f>
        <v>2</v>
      </c>
      <c r="H5851" s="370">
        <v>13771.799743652344</v>
      </c>
      <c r="I5851" s="370">
        <v>4526.7049865722656</v>
      </c>
      <c r="M5851" s="371">
        <f t="shared" si="365"/>
        <v>14496.672936047118</v>
      </c>
      <c r="N5851" s="329">
        <f t="shared" si="366"/>
        <v>395.16506347656286</v>
      </c>
      <c r="T5851" s="331">
        <v>0</v>
      </c>
      <c r="U5851" s="328">
        <f>VLOOKUP(C5851,METADATA!$J$5:$Q$29,IF(E5851="HI",2,IF(E5851="LO",6,10))+IF(T5851=1,2,IF(D5851=7,1,(IF(WEEKDAY(B5851)=1,2,IF(WEEKDAY(B5851)=7,1,0))))))</f>
        <v>2</v>
      </c>
      <c r="V5851" s="328">
        <f>VLOOKUP(C5851,METADATA!$A$5:$H$29,IF(E5851="HI",2,IF(E5851="LO",6,10))+IF(T5851=1,2,IF(D5851=7,1,(IF(WEEKDAY(B5851)=1,2,IF(WEEKDAY(B5851)=7,1,0))))))</f>
        <v>2</v>
      </c>
    </row>
    <row r="5852" spans="2:22">
      <c r="B5852" s="318">
        <f t="shared" ref="B5852:B5915" si="367">B5828+1</f>
        <v>46356</v>
      </c>
      <c r="C5852" s="312">
        <v>16</v>
      </c>
      <c r="D5852" s="368">
        <f>IFERROR((INDEX(METADATA!$T$2:$T$20,MATCH(B5852,METADATA!$S$2:$S$20,0))),0)</f>
        <v>0</v>
      </c>
      <c r="E5852" s="312" t="str">
        <f t="shared" si="364"/>
        <v>LO</v>
      </c>
      <c r="F5852" s="369">
        <f>VLOOKUP(C5852,METADATA!$A$5:$H$29,IF(E5852="HI",2,IF(E5852="LO",6,10))+IF(D5852=1,2,IF(D5852=7,1,(IF(WEEKDAY(B5852)=1,2,IF(WEEKDAY(B5852)=7,1,0))))))</f>
        <v>2</v>
      </c>
      <c r="G5852" s="369">
        <f>VLOOKUP(C5852,METADATA!$J$5:$Q$29,IF(E5852="HI",2,IF(E5852="LO",6,10))+IF(D5852=1,2,IF(D5852=7,1,(IF(WEEKDAY(B5852)=1,2,IF(WEEKDAY(B5852)=7,1,0))))))</f>
        <v>2</v>
      </c>
      <c r="H5852" s="370">
        <v>13685.374694824219</v>
      </c>
      <c r="I5852" s="370">
        <v>4462.8350219726563</v>
      </c>
      <c r="M5852" s="371">
        <f t="shared" si="365"/>
        <v>14394.664878734786</v>
      </c>
      <c r="N5852" s="329">
        <f t="shared" si="366"/>
        <v>357.22261352539044</v>
      </c>
      <c r="T5852" s="331">
        <v>0</v>
      </c>
      <c r="U5852" s="328">
        <f>VLOOKUP(C5852,METADATA!$J$5:$Q$29,IF(E5852="HI",2,IF(E5852="LO",6,10))+IF(T5852=1,2,IF(D5852=7,1,(IF(WEEKDAY(B5852)=1,2,IF(WEEKDAY(B5852)=7,1,0))))))</f>
        <v>2</v>
      </c>
      <c r="V5852" s="328">
        <f>VLOOKUP(C5852,METADATA!$A$5:$H$29,IF(E5852="HI",2,IF(E5852="LO",6,10))+IF(T5852=1,2,IF(D5852=7,1,(IF(WEEKDAY(B5852)=1,2,IF(WEEKDAY(B5852)=7,1,0))))))</f>
        <v>2</v>
      </c>
    </row>
    <row r="5853" spans="2:22">
      <c r="B5853" s="318">
        <f t="shared" si="367"/>
        <v>46356</v>
      </c>
      <c r="C5853" s="312">
        <v>17</v>
      </c>
      <c r="D5853" s="368">
        <f>IFERROR((INDEX(METADATA!$T$2:$T$20,MATCH(B5853,METADATA!$S$2:$S$20,0))),0)</f>
        <v>0</v>
      </c>
      <c r="E5853" s="312" t="str">
        <f t="shared" si="364"/>
        <v>LO</v>
      </c>
      <c r="F5853" s="369">
        <f>VLOOKUP(C5853,METADATA!$A$5:$H$29,IF(E5853="HI",2,IF(E5853="LO",6,10))+IF(D5853=1,2,IF(D5853=7,1,(IF(WEEKDAY(B5853)=1,2,IF(WEEKDAY(B5853)=7,1,0))))))</f>
        <v>2</v>
      </c>
      <c r="G5853" s="369">
        <f>VLOOKUP(C5853,METADATA!$J$5:$Q$29,IF(E5853="HI",2,IF(E5853="LO",6,10))+IF(D5853=1,2,IF(D5853=7,1,(IF(WEEKDAY(B5853)=1,2,IF(WEEKDAY(B5853)=7,1,0))))))</f>
        <v>2</v>
      </c>
      <c r="H5853" s="370">
        <v>13555.174865722656</v>
      </c>
      <c r="I5853" s="370">
        <v>4393.830078125</v>
      </c>
      <c r="M5853" s="371">
        <f t="shared" si="365"/>
        <v>14249.509058060743</v>
      </c>
      <c r="N5853" s="329">
        <f t="shared" si="366"/>
        <v>327.27761840820313</v>
      </c>
      <c r="T5853" s="331">
        <v>0</v>
      </c>
      <c r="U5853" s="328">
        <f>VLOOKUP(C5853,METADATA!$J$5:$Q$29,IF(E5853="HI",2,IF(E5853="LO",6,10))+IF(T5853=1,2,IF(D5853=7,1,(IF(WEEKDAY(B5853)=1,2,IF(WEEKDAY(B5853)=7,1,0))))))</f>
        <v>2</v>
      </c>
      <c r="V5853" s="328">
        <f>VLOOKUP(C5853,METADATA!$A$5:$H$29,IF(E5853="HI",2,IF(E5853="LO",6,10))+IF(T5853=1,2,IF(D5853=7,1,(IF(WEEKDAY(B5853)=1,2,IF(WEEKDAY(B5853)=7,1,0))))))</f>
        <v>2</v>
      </c>
    </row>
    <row r="5854" spans="2:22">
      <c r="B5854" s="318">
        <f t="shared" si="367"/>
        <v>46356</v>
      </c>
      <c r="C5854" s="312">
        <v>18</v>
      </c>
      <c r="D5854" s="368">
        <f>IFERROR((INDEX(METADATA!$T$2:$T$20,MATCH(B5854,METADATA!$S$2:$S$20,0))),0)</f>
        <v>0</v>
      </c>
      <c r="E5854" s="312" t="str">
        <f t="shared" si="364"/>
        <v>LO</v>
      </c>
      <c r="F5854" s="369">
        <f>VLOOKUP(C5854,METADATA!$A$5:$H$29,IF(E5854="HI",2,IF(E5854="LO",6,10))+IF(D5854=1,2,IF(D5854=7,1,(IF(WEEKDAY(B5854)=1,2,IF(WEEKDAY(B5854)=7,1,0))))))</f>
        <v>1</v>
      </c>
      <c r="G5854" s="369">
        <f>VLOOKUP(C5854,METADATA!$J$5:$Q$29,IF(E5854="HI",2,IF(E5854="LO",6,10))+IF(D5854=1,2,IF(D5854=7,1,(IF(WEEKDAY(B5854)=1,2,IF(WEEKDAY(B5854)=7,1,0))))))</f>
        <v>1</v>
      </c>
      <c r="H5854" s="370">
        <v>13263.649963378906</v>
      </c>
      <c r="I5854" s="370">
        <v>4066.7651062011719</v>
      </c>
      <c r="M5854" s="371">
        <f t="shared" si="365"/>
        <v>13873.103069611236</v>
      </c>
      <c r="N5854" s="329">
        <f t="shared" si="366"/>
        <v>87.670117187500182</v>
      </c>
      <c r="T5854" s="331">
        <v>0</v>
      </c>
      <c r="U5854" s="328">
        <f>VLOOKUP(C5854,METADATA!$J$5:$Q$29,IF(E5854="HI",2,IF(E5854="LO",6,10))+IF(T5854=1,2,IF(D5854=7,1,(IF(WEEKDAY(B5854)=1,2,IF(WEEKDAY(B5854)=7,1,0))))))</f>
        <v>1</v>
      </c>
      <c r="V5854" s="328">
        <f>VLOOKUP(C5854,METADATA!$A$5:$H$29,IF(E5854="HI",2,IF(E5854="LO",6,10))+IF(T5854=1,2,IF(D5854=7,1,(IF(WEEKDAY(B5854)=1,2,IF(WEEKDAY(B5854)=7,1,0))))))</f>
        <v>1</v>
      </c>
    </row>
    <row r="5855" spans="2:22">
      <c r="B5855" s="318">
        <f t="shared" si="367"/>
        <v>46356</v>
      </c>
      <c r="C5855" s="312">
        <v>19</v>
      </c>
      <c r="D5855" s="368">
        <f>IFERROR((INDEX(METADATA!$T$2:$T$20,MATCH(B5855,METADATA!$S$2:$S$20,0))),0)</f>
        <v>0</v>
      </c>
      <c r="E5855" s="312" t="str">
        <f t="shared" si="364"/>
        <v>LO</v>
      </c>
      <c r="F5855" s="369">
        <f>VLOOKUP(C5855,METADATA!$A$5:$H$29,IF(E5855="HI",2,IF(E5855="LO",6,10))+IF(D5855=1,2,IF(D5855=7,1,(IF(WEEKDAY(B5855)=1,2,IF(WEEKDAY(B5855)=7,1,0))))))</f>
        <v>1</v>
      </c>
      <c r="G5855" s="369">
        <f>VLOOKUP(C5855,METADATA!$J$5:$Q$29,IF(E5855="HI",2,IF(E5855="LO",6,10))+IF(D5855=1,2,IF(D5855=7,1,(IF(WEEKDAY(B5855)=1,2,IF(WEEKDAY(B5855)=7,1,0))))))</f>
        <v>1</v>
      </c>
      <c r="H5855" s="370">
        <v>12988.3251953125</v>
      </c>
      <c r="I5855" s="370">
        <v>3777.7399597167969</v>
      </c>
      <c r="M5855" s="371">
        <f t="shared" si="365"/>
        <v>13526.563147467672</v>
      </c>
      <c r="N5855" s="329">
        <f t="shared" si="366"/>
        <v>0</v>
      </c>
      <c r="T5855" s="331">
        <v>0</v>
      </c>
      <c r="U5855" s="328">
        <f>VLOOKUP(C5855,METADATA!$J$5:$Q$29,IF(E5855="HI",2,IF(E5855="LO",6,10))+IF(T5855=1,2,IF(D5855=7,1,(IF(WEEKDAY(B5855)=1,2,IF(WEEKDAY(B5855)=7,1,0))))))</f>
        <v>1</v>
      </c>
      <c r="V5855" s="328">
        <f>VLOOKUP(C5855,METADATA!$A$5:$H$29,IF(E5855="HI",2,IF(E5855="LO",6,10))+IF(T5855=1,2,IF(D5855=7,1,(IF(WEEKDAY(B5855)=1,2,IF(WEEKDAY(B5855)=7,1,0))))))</f>
        <v>1</v>
      </c>
    </row>
    <row r="5856" spans="2:22">
      <c r="B5856" s="318">
        <f t="shared" si="367"/>
        <v>46356</v>
      </c>
      <c r="C5856" s="312">
        <v>20</v>
      </c>
      <c r="D5856" s="368">
        <f>IFERROR((INDEX(METADATA!$T$2:$T$20,MATCH(B5856,METADATA!$S$2:$S$20,0))),0)</f>
        <v>0</v>
      </c>
      <c r="E5856" s="312" t="str">
        <f t="shared" si="364"/>
        <v>LO</v>
      </c>
      <c r="F5856" s="369">
        <f>VLOOKUP(C5856,METADATA!$A$5:$H$29,IF(E5856="HI",2,IF(E5856="LO",6,10))+IF(D5856=1,2,IF(D5856=7,1,(IF(WEEKDAY(B5856)=1,2,IF(WEEKDAY(B5856)=7,1,0))))))</f>
        <v>1</v>
      </c>
      <c r="G5856" s="369">
        <f>VLOOKUP(C5856,METADATA!$J$5:$Q$29,IF(E5856="HI",2,IF(E5856="LO",6,10))+IF(D5856=1,2,IF(D5856=7,1,(IF(WEEKDAY(B5856)=1,2,IF(WEEKDAY(B5856)=7,1,0))))))</f>
        <v>1</v>
      </c>
      <c r="H5856" s="370">
        <v>12819.700439453125</v>
      </c>
      <c r="I5856" s="370">
        <v>3721.9750518798828</v>
      </c>
      <c r="M5856" s="371">
        <f t="shared" si="365"/>
        <v>13349.075535187107</v>
      </c>
      <c r="N5856" s="329">
        <f t="shared" si="366"/>
        <v>0</v>
      </c>
      <c r="T5856" s="331">
        <v>0</v>
      </c>
      <c r="U5856" s="328">
        <f>VLOOKUP(C5856,METADATA!$J$5:$Q$29,IF(E5856="HI",2,IF(E5856="LO",6,10))+IF(T5856=1,2,IF(D5856=7,1,(IF(WEEKDAY(B5856)=1,2,IF(WEEKDAY(B5856)=7,1,0))))))</f>
        <v>1</v>
      </c>
      <c r="V5856" s="328">
        <f>VLOOKUP(C5856,METADATA!$A$5:$H$29,IF(E5856="HI",2,IF(E5856="LO",6,10))+IF(T5856=1,2,IF(D5856=7,1,(IF(WEEKDAY(B5856)=1,2,IF(WEEKDAY(B5856)=7,1,0))))))</f>
        <v>1</v>
      </c>
    </row>
    <row r="5857" spans="2:22">
      <c r="B5857" s="318">
        <f t="shared" si="367"/>
        <v>46356</v>
      </c>
      <c r="C5857" s="312">
        <v>21</v>
      </c>
      <c r="D5857" s="368">
        <f>IFERROR((INDEX(METADATA!$T$2:$T$20,MATCH(B5857,METADATA!$S$2:$S$20,0))),0)</f>
        <v>0</v>
      </c>
      <c r="E5857" s="312" t="str">
        <f t="shared" si="364"/>
        <v>LO</v>
      </c>
      <c r="F5857" s="369">
        <f>VLOOKUP(C5857,METADATA!$A$5:$H$29,IF(E5857="HI",2,IF(E5857="LO",6,10))+IF(D5857=1,2,IF(D5857=7,1,(IF(WEEKDAY(B5857)=1,2,IF(WEEKDAY(B5857)=7,1,0))))))</f>
        <v>2</v>
      </c>
      <c r="G5857" s="369">
        <f>VLOOKUP(C5857,METADATA!$J$5:$Q$29,IF(E5857="HI",2,IF(E5857="LO",6,10))+IF(D5857=1,2,IF(D5857=7,1,(IF(WEEKDAY(B5857)=1,2,IF(WEEKDAY(B5857)=7,1,0))))))</f>
        <v>2</v>
      </c>
      <c r="H5857" s="370">
        <v>12987.999877929688</v>
      </c>
      <c r="I5857" s="370">
        <v>3801.2399291992188</v>
      </c>
      <c r="M5857" s="371">
        <f t="shared" si="365"/>
        <v>13532.832882602224</v>
      </c>
      <c r="N5857" s="329">
        <f t="shared" si="366"/>
        <v>0</v>
      </c>
      <c r="T5857" s="331">
        <v>0</v>
      </c>
      <c r="U5857" s="328">
        <f>VLOOKUP(C5857,METADATA!$J$5:$Q$29,IF(E5857="HI",2,IF(E5857="LO",6,10))+IF(T5857=1,2,IF(D5857=7,1,(IF(WEEKDAY(B5857)=1,2,IF(WEEKDAY(B5857)=7,1,0))))))</f>
        <v>2</v>
      </c>
      <c r="V5857" s="328">
        <f>VLOOKUP(C5857,METADATA!$A$5:$H$29,IF(E5857="HI",2,IF(E5857="LO",6,10))+IF(T5857=1,2,IF(D5857=7,1,(IF(WEEKDAY(B5857)=1,2,IF(WEEKDAY(B5857)=7,1,0))))))</f>
        <v>2</v>
      </c>
    </row>
    <row r="5858" spans="2:22">
      <c r="B5858" s="318">
        <f t="shared" si="367"/>
        <v>46356</v>
      </c>
      <c r="C5858" s="312">
        <v>22</v>
      </c>
      <c r="D5858" s="368">
        <f>IFERROR((INDEX(METADATA!$T$2:$T$20,MATCH(B5858,METADATA!$S$2:$S$20,0))),0)</f>
        <v>0</v>
      </c>
      <c r="E5858" s="312" t="str">
        <f t="shared" si="364"/>
        <v>LO</v>
      </c>
      <c r="F5858" s="369">
        <f>VLOOKUP(C5858,METADATA!$A$5:$H$29,IF(E5858="HI",2,IF(E5858="LO",6,10))+IF(D5858=1,2,IF(D5858=7,1,(IF(WEEKDAY(B5858)=1,2,IF(WEEKDAY(B5858)=7,1,0))))))</f>
        <v>3</v>
      </c>
      <c r="G5858" s="369">
        <f>VLOOKUP(C5858,METADATA!$J$5:$Q$29,IF(E5858="HI",2,IF(E5858="LO",6,10))+IF(D5858=1,2,IF(D5858=7,1,(IF(WEEKDAY(B5858)=1,2,IF(WEEKDAY(B5858)=7,1,0))))))</f>
        <v>3</v>
      </c>
      <c r="H5858" s="370">
        <v>13314.474975585938</v>
      </c>
      <c r="I5858" s="370">
        <v>4006.4249267578125</v>
      </c>
      <c r="M5858" s="371">
        <f t="shared" si="365"/>
        <v>13904.196653142189</v>
      </c>
      <c r="N5858" s="329">
        <f t="shared" si="366"/>
        <v>12.082434082031341</v>
      </c>
      <c r="T5858" s="331">
        <v>0</v>
      </c>
      <c r="U5858" s="328">
        <f>VLOOKUP(C5858,METADATA!$J$5:$Q$29,IF(E5858="HI",2,IF(E5858="LO",6,10))+IF(T5858=1,2,IF(D5858=7,1,(IF(WEEKDAY(B5858)=1,2,IF(WEEKDAY(B5858)=7,1,0))))))</f>
        <v>3</v>
      </c>
      <c r="V5858" s="328">
        <f>VLOOKUP(C5858,METADATA!$A$5:$H$29,IF(E5858="HI",2,IF(E5858="LO",6,10))+IF(T5858=1,2,IF(D5858=7,1,(IF(WEEKDAY(B5858)=1,2,IF(WEEKDAY(B5858)=7,1,0))))))</f>
        <v>3</v>
      </c>
    </row>
    <row r="5859" spans="2:22">
      <c r="B5859" s="318">
        <f t="shared" si="367"/>
        <v>46356</v>
      </c>
      <c r="C5859" s="312">
        <v>23</v>
      </c>
      <c r="D5859" s="368">
        <f>IFERROR((INDEX(METADATA!$T$2:$T$20,MATCH(B5859,METADATA!$S$2:$S$20,0))),0)</f>
        <v>0</v>
      </c>
      <c r="E5859" s="312" t="str">
        <f t="shared" si="364"/>
        <v>LO</v>
      </c>
      <c r="F5859" s="369">
        <f>VLOOKUP(C5859,METADATA!$A$5:$H$29,IF(E5859="HI",2,IF(E5859="LO",6,10))+IF(D5859=1,2,IF(D5859=7,1,(IF(WEEKDAY(B5859)=1,2,IF(WEEKDAY(B5859)=7,1,0))))))</f>
        <v>3</v>
      </c>
      <c r="G5859" s="369">
        <f>VLOOKUP(C5859,METADATA!$J$5:$Q$29,IF(E5859="HI",2,IF(E5859="LO",6,10))+IF(D5859=1,2,IF(D5859=7,1,(IF(WEEKDAY(B5859)=1,2,IF(WEEKDAY(B5859)=7,1,0))))))</f>
        <v>3</v>
      </c>
      <c r="H5859" s="370">
        <v>13387.700073242188</v>
      </c>
      <c r="I5859" s="370">
        <v>4351.635009765625</v>
      </c>
      <c r="M5859" s="371">
        <f t="shared" si="365"/>
        <v>14077.188657871526</v>
      </c>
      <c r="N5859" s="329">
        <f t="shared" si="366"/>
        <v>335.32498779296884</v>
      </c>
      <c r="T5859" s="331">
        <v>0</v>
      </c>
      <c r="U5859" s="328">
        <f>VLOOKUP(C5859,METADATA!$J$5:$Q$29,IF(E5859="HI",2,IF(E5859="LO",6,10))+IF(T5859=1,2,IF(D5859=7,1,(IF(WEEKDAY(B5859)=1,2,IF(WEEKDAY(B5859)=7,1,0))))))</f>
        <v>3</v>
      </c>
      <c r="V5859" s="328">
        <f>VLOOKUP(C5859,METADATA!$A$5:$H$29,IF(E5859="HI",2,IF(E5859="LO",6,10))+IF(T5859=1,2,IF(D5859=7,1,(IF(WEEKDAY(B5859)=1,2,IF(WEEKDAY(B5859)=7,1,0))))))</f>
        <v>3</v>
      </c>
    </row>
    <row r="5860" spans="2:22">
      <c r="B5860" s="318">
        <f t="shared" si="367"/>
        <v>46357</v>
      </c>
      <c r="C5860" s="312">
        <v>0</v>
      </c>
      <c r="D5860" s="368">
        <f>IFERROR((INDEX(METADATA!$T$2:$T$20,MATCH(B5860,METADATA!$S$2:$S$20,0))),0)</f>
        <v>0</v>
      </c>
      <c r="E5860" s="312" t="str">
        <f t="shared" si="364"/>
        <v>LO</v>
      </c>
      <c r="F5860" s="369">
        <f>VLOOKUP(C5860,METADATA!$A$5:$H$29,IF(E5860="HI",2,IF(E5860="LO",6,10))+IF(D5860=1,2,IF(D5860=7,1,(IF(WEEKDAY(B5860)=1,2,IF(WEEKDAY(B5860)=7,1,0))))))</f>
        <v>3</v>
      </c>
      <c r="G5860" s="369">
        <f>VLOOKUP(C5860,METADATA!$J$5:$Q$29,IF(E5860="HI",2,IF(E5860="LO",6,10))+IF(D5860=1,2,IF(D5860=7,1,(IF(WEEKDAY(B5860)=1,2,IF(WEEKDAY(B5860)=7,1,0))))))</f>
        <v>3</v>
      </c>
      <c r="H5860" s="370">
        <v>13399.299987792969</v>
      </c>
      <c r="I5860" s="370">
        <v>4384.3700561523438</v>
      </c>
      <c r="M5860" s="371">
        <f t="shared" si="365"/>
        <v>14098.366605821893</v>
      </c>
      <c r="N5860" s="329">
        <f t="shared" si="366"/>
        <v>364.58005981445331</v>
      </c>
      <c r="T5860" s="331">
        <v>0</v>
      </c>
      <c r="U5860" s="328">
        <f>VLOOKUP(C5860,METADATA!$J$5:$Q$29,IF(E5860="HI",2,IF(E5860="LO",6,10))+IF(T5860=1,2,IF(D5860=7,1,(IF(WEEKDAY(B5860)=1,2,IF(WEEKDAY(B5860)=7,1,0))))))</f>
        <v>3</v>
      </c>
      <c r="V5860" s="328">
        <f>VLOOKUP(C5860,METADATA!$A$5:$H$29,IF(E5860="HI",2,IF(E5860="LO",6,10))+IF(T5860=1,2,IF(D5860=7,1,(IF(WEEKDAY(B5860)=1,2,IF(WEEKDAY(B5860)=7,1,0))))))</f>
        <v>3</v>
      </c>
    </row>
    <row r="5861" spans="2:22">
      <c r="B5861" s="318">
        <f t="shared" si="367"/>
        <v>46357</v>
      </c>
      <c r="C5861" s="312">
        <v>1</v>
      </c>
      <c r="D5861" s="368">
        <f>IFERROR((INDEX(METADATA!$T$2:$T$20,MATCH(B5861,METADATA!$S$2:$S$20,0))),0)</f>
        <v>0</v>
      </c>
      <c r="E5861" s="312" t="str">
        <f t="shared" si="364"/>
        <v>LO</v>
      </c>
      <c r="F5861" s="369">
        <f>VLOOKUP(C5861,METADATA!$A$5:$H$29,IF(E5861="HI",2,IF(E5861="LO",6,10))+IF(D5861=1,2,IF(D5861=7,1,(IF(WEEKDAY(B5861)=1,2,IF(WEEKDAY(B5861)=7,1,0))))))</f>
        <v>3</v>
      </c>
      <c r="G5861" s="369">
        <f>VLOOKUP(C5861,METADATA!$J$5:$Q$29,IF(E5861="HI",2,IF(E5861="LO",6,10))+IF(D5861=1,2,IF(D5861=7,1,(IF(WEEKDAY(B5861)=1,2,IF(WEEKDAY(B5861)=7,1,0))))))</f>
        <v>3</v>
      </c>
      <c r="H5861" s="370">
        <v>13395.437622070313</v>
      </c>
      <c r="I5861" s="370">
        <v>4410.8574829101563</v>
      </c>
      <c r="M5861" s="371">
        <f t="shared" si="365"/>
        <v>14102.957591275712</v>
      </c>
      <c r="N5861" s="329">
        <f t="shared" si="366"/>
        <v>392.2261962890625</v>
      </c>
      <c r="T5861" s="331">
        <v>0</v>
      </c>
      <c r="U5861" s="328">
        <f>VLOOKUP(C5861,METADATA!$J$5:$Q$29,IF(E5861="HI",2,IF(E5861="LO",6,10))+IF(T5861=1,2,IF(D5861=7,1,(IF(WEEKDAY(B5861)=1,2,IF(WEEKDAY(B5861)=7,1,0))))))</f>
        <v>3</v>
      </c>
      <c r="V5861" s="328">
        <f>VLOOKUP(C5861,METADATA!$A$5:$H$29,IF(E5861="HI",2,IF(E5861="LO",6,10))+IF(T5861=1,2,IF(D5861=7,1,(IF(WEEKDAY(B5861)=1,2,IF(WEEKDAY(B5861)=7,1,0))))))</f>
        <v>3</v>
      </c>
    </row>
    <row r="5862" spans="2:22">
      <c r="B5862" s="318">
        <f t="shared" si="367"/>
        <v>46357</v>
      </c>
      <c r="C5862" s="312">
        <v>2</v>
      </c>
      <c r="D5862" s="368">
        <f>IFERROR((INDEX(METADATA!$T$2:$T$20,MATCH(B5862,METADATA!$S$2:$S$20,0))),0)</f>
        <v>0</v>
      </c>
      <c r="E5862" s="312" t="str">
        <f t="shared" si="364"/>
        <v>LO</v>
      </c>
      <c r="F5862" s="369">
        <f>VLOOKUP(C5862,METADATA!$A$5:$H$29,IF(E5862="HI",2,IF(E5862="LO",6,10))+IF(D5862=1,2,IF(D5862=7,1,(IF(WEEKDAY(B5862)=1,2,IF(WEEKDAY(B5862)=7,1,0))))))</f>
        <v>3</v>
      </c>
      <c r="G5862" s="369">
        <f>VLOOKUP(C5862,METADATA!$J$5:$Q$29,IF(E5862="HI",2,IF(E5862="LO",6,10))+IF(D5862=1,2,IF(D5862=7,1,(IF(WEEKDAY(B5862)=1,2,IF(WEEKDAY(B5862)=7,1,0))))))</f>
        <v>3</v>
      </c>
      <c r="H5862" s="370">
        <v>13126.025390625</v>
      </c>
      <c r="I5862" s="370">
        <v>4164.1750183105469</v>
      </c>
      <c r="M5862" s="371">
        <f t="shared" si="365"/>
        <v>13770.726057055012</v>
      </c>
      <c r="N5862" s="329">
        <f t="shared" si="366"/>
        <v>226.36740112304688</v>
      </c>
      <c r="T5862" s="331">
        <v>0</v>
      </c>
      <c r="U5862" s="328">
        <f>VLOOKUP(C5862,METADATA!$J$5:$Q$29,IF(E5862="HI",2,IF(E5862="LO",6,10))+IF(T5862=1,2,IF(D5862=7,1,(IF(WEEKDAY(B5862)=1,2,IF(WEEKDAY(B5862)=7,1,0))))))</f>
        <v>3</v>
      </c>
      <c r="V5862" s="328">
        <f>VLOOKUP(C5862,METADATA!$A$5:$H$29,IF(E5862="HI",2,IF(E5862="LO",6,10))+IF(T5862=1,2,IF(D5862=7,1,(IF(WEEKDAY(B5862)=1,2,IF(WEEKDAY(B5862)=7,1,0))))))</f>
        <v>3</v>
      </c>
    </row>
    <row r="5863" spans="2:22">
      <c r="B5863" s="318">
        <f t="shared" si="367"/>
        <v>46357</v>
      </c>
      <c r="C5863" s="312">
        <v>3</v>
      </c>
      <c r="D5863" s="368">
        <f>IFERROR((INDEX(METADATA!$T$2:$T$20,MATCH(B5863,METADATA!$S$2:$S$20,0))),0)</f>
        <v>0</v>
      </c>
      <c r="E5863" s="312" t="str">
        <f t="shared" si="364"/>
        <v>LO</v>
      </c>
      <c r="F5863" s="369">
        <f>VLOOKUP(C5863,METADATA!$A$5:$H$29,IF(E5863="HI",2,IF(E5863="LO",6,10))+IF(D5863=1,2,IF(D5863=7,1,(IF(WEEKDAY(B5863)=1,2,IF(WEEKDAY(B5863)=7,1,0))))))</f>
        <v>3</v>
      </c>
      <c r="G5863" s="369">
        <f>VLOOKUP(C5863,METADATA!$J$5:$Q$29,IF(E5863="HI",2,IF(E5863="LO",6,10))+IF(D5863=1,2,IF(D5863=7,1,(IF(WEEKDAY(B5863)=1,2,IF(WEEKDAY(B5863)=7,1,0))))))</f>
        <v>3</v>
      </c>
      <c r="H5863" s="370">
        <v>13171.525268554688</v>
      </c>
      <c r="I5863" s="370">
        <v>4172.7949523925781</v>
      </c>
      <c r="M5863" s="371">
        <f t="shared" si="365"/>
        <v>13816.703500288613</v>
      </c>
      <c r="N5863" s="329">
        <f t="shared" si="366"/>
        <v>221.33737182617188</v>
      </c>
      <c r="T5863" s="331">
        <v>0</v>
      </c>
      <c r="U5863" s="328">
        <f>VLOOKUP(C5863,METADATA!$J$5:$Q$29,IF(E5863="HI",2,IF(E5863="LO",6,10))+IF(T5863=1,2,IF(D5863=7,1,(IF(WEEKDAY(B5863)=1,2,IF(WEEKDAY(B5863)=7,1,0))))))</f>
        <v>3</v>
      </c>
      <c r="V5863" s="328">
        <f>VLOOKUP(C5863,METADATA!$A$5:$H$29,IF(E5863="HI",2,IF(E5863="LO",6,10))+IF(T5863=1,2,IF(D5863=7,1,(IF(WEEKDAY(B5863)=1,2,IF(WEEKDAY(B5863)=7,1,0))))))</f>
        <v>3</v>
      </c>
    </row>
    <row r="5864" spans="2:22">
      <c r="B5864" s="318">
        <f t="shared" si="367"/>
        <v>46357</v>
      </c>
      <c r="C5864" s="312">
        <v>4</v>
      </c>
      <c r="D5864" s="368">
        <f>IFERROR((INDEX(METADATA!$T$2:$T$20,MATCH(B5864,METADATA!$S$2:$S$20,0))),0)</f>
        <v>0</v>
      </c>
      <c r="E5864" s="312" t="str">
        <f t="shared" si="364"/>
        <v>LO</v>
      </c>
      <c r="F5864" s="369">
        <f>VLOOKUP(C5864,METADATA!$A$5:$H$29,IF(E5864="HI",2,IF(E5864="LO",6,10))+IF(D5864=1,2,IF(D5864=7,1,(IF(WEEKDAY(B5864)=1,2,IF(WEEKDAY(B5864)=7,1,0))))))</f>
        <v>3</v>
      </c>
      <c r="G5864" s="369">
        <f>VLOOKUP(C5864,METADATA!$J$5:$Q$29,IF(E5864="HI",2,IF(E5864="LO",6,10))+IF(D5864=1,2,IF(D5864=7,1,(IF(WEEKDAY(B5864)=1,2,IF(WEEKDAY(B5864)=7,1,0))))))</f>
        <v>3</v>
      </c>
      <c r="H5864" s="370">
        <v>13203.875</v>
      </c>
      <c r="I5864" s="370">
        <v>4160.2500305175781</v>
      </c>
      <c r="M5864" s="371">
        <f t="shared" si="365"/>
        <v>13843.77099391804</v>
      </c>
      <c r="N5864" s="329">
        <f t="shared" si="366"/>
        <v>199.08753051757822</v>
      </c>
      <c r="T5864" s="331">
        <v>0</v>
      </c>
      <c r="U5864" s="328">
        <f>VLOOKUP(C5864,METADATA!$J$5:$Q$29,IF(E5864="HI",2,IF(E5864="LO",6,10))+IF(T5864=1,2,IF(D5864=7,1,(IF(WEEKDAY(B5864)=1,2,IF(WEEKDAY(B5864)=7,1,0))))))</f>
        <v>3</v>
      </c>
      <c r="V5864" s="328">
        <f>VLOOKUP(C5864,METADATA!$A$5:$H$29,IF(E5864="HI",2,IF(E5864="LO",6,10))+IF(T5864=1,2,IF(D5864=7,1,(IF(WEEKDAY(B5864)=1,2,IF(WEEKDAY(B5864)=7,1,0))))))</f>
        <v>3</v>
      </c>
    </row>
    <row r="5865" spans="2:22">
      <c r="B5865" s="318">
        <f t="shared" si="367"/>
        <v>46357</v>
      </c>
      <c r="C5865" s="312">
        <v>5</v>
      </c>
      <c r="D5865" s="368">
        <f>IFERROR((INDEX(METADATA!$T$2:$T$20,MATCH(B5865,METADATA!$S$2:$S$20,0))),0)</f>
        <v>0</v>
      </c>
      <c r="E5865" s="312" t="str">
        <f t="shared" si="364"/>
        <v>LO</v>
      </c>
      <c r="F5865" s="369">
        <f>VLOOKUP(C5865,METADATA!$A$5:$H$29,IF(E5865="HI",2,IF(E5865="LO",6,10))+IF(D5865=1,2,IF(D5865=7,1,(IF(WEEKDAY(B5865)=1,2,IF(WEEKDAY(B5865)=7,1,0))))))</f>
        <v>3</v>
      </c>
      <c r="G5865" s="369">
        <f>VLOOKUP(C5865,METADATA!$J$5:$Q$29,IF(E5865="HI",2,IF(E5865="LO",6,10))+IF(D5865=1,2,IF(D5865=7,1,(IF(WEEKDAY(B5865)=1,2,IF(WEEKDAY(B5865)=7,1,0))))))</f>
        <v>3</v>
      </c>
      <c r="H5865" s="370">
        <v>13328.974609375</v>
      </c>
      <c r="I5865" s="370">
        <v>4088.0499267578125</v>
      </c>
      <c r="M5865" s="371">
        <f t="shared" si="365"/>
        <v>13941.797457323355</v>
      </c>
      <c r="N5865" s="329">
        <f t="shared" si="366"/>
        <v>89.3575439453125</v>
      </c>
      <c r="T5865" s="331">
        <v>0</v>
      </c>
      <c r="U5865" s="328">
        <f>VLOOKUP(C5865,METADATA!$J$5:$Q$29,IF(E5865="HI",2,IF(E5865="LO",6,10))+IF(T5865=1,2,IF(D5865=7,1,(IF(WEEKDAY(B5865)=1,2,IF(WEEKDAY(B5865)=7,1,0))))))</f>
        <v>3</v>
      </c>
      <c r="V5865" s="328">
        <f>VLOOKUP(C5865,METADATA!$A$5:$H$29,IF(E5865="HI",2,IF(E5865="LO",6,10))+IF(T5865=1,2,IF(D5865=7,1,(IF(WEEKDAY(B5865)=1,2,IF(WEEKDAY(B5865)=7,1,0))))))</f>
        <v>3</v>
      </c>
    </row>
    <row r="5866" spans="2:22">
      <c r="B5866" s="318">
        <f t="shared" si="367"/>
        <v>46357</v>
      </c>
      <c r="C5866" s="312">
        <v>6</v>
      </c>
      <c r="D5866" s="368">
        <f>IFERROR((INDEX(METADATA!$T$2:$T$20,MATCH(B5866,METADATA!$S$2:$S$20,0))),0)</f>
        <v>0</v>
      </c>
      <c r="E5866" s="312" t="str">
        <f t="shared" si="364"/>
        <v>LO</v>
      </c>
      <c r="F5866" s="369">
        <f>VLOOKUP(C5866,METADATA!$A$5:$H$29,IF(E5866="HI",2,IF(E5866="LO",6,10))+IF(D5866=1,2,IF(D5866=7,1,(IF(WEEKDAY(B5866)=1,2,IF(WEEKDAY(B5866)=7,1,0))))))</f>
        <v>2</v>
      </c>
      <c r="G5866" s="369">
        <f>VLOOKUP(C5866,METADATA!$J$5:$Q$29,IF(E5866="HI",2,IF(E5866="LO",6,10))+IF(D5866=1,2,IF(D5866=7,1,(IF(WEEKDAY(B5866)=1,2,IF(WEEKDAY(B5866)=7,1,0))))))</f>
        <v>2</v>
      </c>
      <c r="H5866" s="370">
        <v>13324.89990234375</v>
      </c>
      <c r="I5866" s="370">
        <v>3925.8349914550781</v>
      </c>
      <c r="M5866" s="371">
        <f t="shared" si="365"/>
        <v>13891.189214304641</v>
      </c>
      <c r="N5866" s="329">
        <f t="shared" si="366"/>
        <v>0</v>
      </c>
      <c r="T5866" s="331">
        <v>0</v>
      </c>
      <c r="U5866" s="328">
        <f>VLOOKUP(C5866,METADATA!$J$5:$Q$29,IF(E5866="HI",2,IF(E5866="LO",6,10))+IF(T5866=1,2,IF(D5866=7,1,(IF(WEEKDAY(B5866)=1,2,IF(WEEKDAY(B5866)=7,1,0))))))</f>
        <v>2</v>
      </c>
      <c r="V5866" s="328">
        <f>VLOOKUP(C5866,METADATA!$A$5:$H$29,IF(E5866="HI",2,IF(E5866="LO",6,10))+IF(T5866=1,2,IF(D5866=7,1,(IF(WEEKDAY(B5866)=1,2,IF(WEEKDAY(B5866)=7,1,0))))))</f>
        <v>2</v>
      </c>
    </row>
    <row r="5867" spans="2:22">
      <c r="B5867" s="318">
        <f t="shared" si="367"/>
        <v>46357</v>
      </c>
      <c r="C5867" s="312">
        <v>7</v>
      </c>
      <c r="D5867" s="368">
        <f>IFERROR((INDEX(METADATA!$T$2:$T$20,MATCH(B5867,METADATA!$S$2:$S$20,0))),0)</f>
        <v>0</v>
      </c>
      <c r="E5867" s="312" t="str">
        <f t="shared" si="364"/>
        <v>LO</v>
      </c>
      <c r="F5867" s="369">
        <f>VLOOKUP(C5867,METADATA!$A$5:$H$29,IF(E5867="HI",2,IF(E5867="LO",6,10))+IF(D5867=1,2,IF(D5867=7,1,(IF(WEEKDAY(B5867)=1,2,IF(WEEKDAY(B5867)=7,1,0))))))</f>
        <v>1</v>
      </c>
      <c r="G5867" s="369">
        <f>VLOOKUP(C5867,METADATA!$J$5:$Q$29,IF(E5867="HI",2,IF(E5867="LO",6,10))+IF(D5867=1,2,IF(D5867=7,1,(IF(WEEKDAY(B5867)=1,2,IF(WEEKDAY(B5867)=7,1,0))))))</f>
        <v>1</v>
      </c>
      <c r="H5867" s="370">
        <v>13374.625061035156</v>
      </c>
      <c r="I5867" s="370">
        <v>3871.4598693847656</v>
      </c>
      <c r="M5867" s="371">
        <f t="shared" si="365"/>
        <v>13923.677568930068</v>
      </c>
      <c r="N5867" s="329">
        <f t="shared" si="366"/>
        <v>0</v>
      </c>
      <c r="T5867" s="331">
        <v>0</v>
      </c>
      <c r="U5867" s="328">
        <f>VLOOKUP(C5867,METADATA!$J$5:$Q$29,IF(E5867="HI",2,IF(E5867="LO",6,10))+IF(T5867=1,2,IF(D5867=7,1,(IF(WEEKDAY(B5867)=1,2,IF(WEEKDAY(B5867)=7,1,0))))))</f>
        <v>1</v>
      </c>
      <c r="V5867" s="328">
        <f>VLOOKUP(C5867,METADATA!$A$5:$H$29,IF(E5867="HI",2,IF(E5867="LO",6,10))+IF(T5867=1,2,IF(D5867=7,1,(IF(WEEKDAY(B5867)=1,2,IF(WEEKDAY(B5867)=7,1,0))))))</f>
        <v>1</v>
      </c>
    </row>
    <row r="5868" spans="2:22">
      <c r="B5868" s="318">
        <f t="shared" si="367"/>
        <v>46357</v>
      </c>
      <c r="C5868" s="312">
        <v>8</v>
      </c>
      <c r="D5868" s="368">
        <f>IFERROR((INDEX(METADATA!$T$2:$T$20,MATCH(B5868,METADATA!$S$2:$S$20,0))),0)</f>
        <v>0</v>
      </c>
      <c r="E5868" s="312" t="str">
        <f t="shared" si="364"/>
        <v>LO</v>
      </c>
      <c r="F5868" s="369">
        <f>VLOOKUP(C5868,METADATA!$A$5:$H$29,IF(E5868="HI",2,IF(E5868="LO",6,10))+IF(D5868=1,2,IF(D5868=7,1,(IF(WEEKDAY(B5868)=1,2,IF(WEEKDAY(B5868)=7,1,0))))))</f>
        <v>1</v>
      </c>
      <c r="G5868" s="369">
        <f>VLOOKUP(C5868,METADATA!$J$5:$Q$29,IF(E5868="HI",2,IF(E5868="LO",6,10))+IF(D5868=1,2,IF(D5868=7,1,(IF(WEEKDAY(B5868)=1,2,IF(WEEKDAY(B5868)=7,1,0))))))</f>
        <v>1</v>
      </c>
      <c r="H5868" s="370">
        <v>13449.699951171875</v>
      </c>
      <c r="I5868" s="370">
        <v>3999.1749267578125</v>
      </c>
      <c r="M5868" s="371">
        <f t="shared" si="365"/>
        <v>14031.672347634158</v>
      </c>
      <c r="N5868" s="329">
        <f t="shared" si="366"/>
        <v>0</v>
      </c>
      <c r="T5868" s="331">
        <v>0</v>
      </c>
      <c r="U5868" s="328">
        <f>VLOOKUP(C5868,METADATA!$J$5:$Q$29,IF(E5868="HI",2,IF(E5868="LO",6,10))+IF(T5868=1,2,IF(D5868=7,1,(IF(WEEKDAY(B5868)=1,2,IF(WEEKDAY(B5868)=7,1,0))))))</f>
        <v>1</v>
      </c>
      <c r="V5868" s="328">
        <f>VLOOKUP(C5868,METADATA!$A$5:$H$29,IF(E5868="HI",2,IF(E5868="LO",6,10))+IF(T5868=1,2,IF(D5868=7,1,(IF(WEEKDAY(B5868)=1,2,IF(WEEKDAY(B5868)=7,1,0))))))</f>
        <v>1</v>
      </c>
    </row>
    <row r="5869" spans="2:22">
      <c r="B5869" s="318">
        <f t="shared" si="367"/>
        <v>46357</v>
      </c>
      <c r="C5869" s="312">
        <v>9</v>
      </c>
      <c r="D5869" s="368">
        <f>IFERROR((INDEX(METADATA!$T$2:$T$20,MATCH(B5869,METADATA!$S$2:$S$20,0))),0)</f>
        <v>0</v>
      </c>
      <c r="E5869" s="312" t="str">
        <f t="shared" si="364"/>
        <v>LO</v>
      </c>
      <c r="F5869" s="369">
        <f>VLOOKUP(C5869,METADATA!$A$5:$H$29,IF(E5869="HI",2,IF(E5869="LO",6,10))+IF(D5869=1,2,IF(D5869=7,1,(IF(WEEKDAY(B5869)=1,2,IF(WEEKDAY(B5869)=7,1,0))))))</f>
        <v>2</v>
      </c>
      <c r="G5869" s="369">
        <f>VLOOKUP(C5869,METADATA!$J$5:$Q$29,IF(E5869="HI",2,IF(E5869="LO",6,10))+IF(D5869=1,2,IF(D5869=7,1,(IF(WEEKDAY(B5869)=1,2,IF(WEEKDAY(B5869)=7,1,0))))))</f>
        <v>2</v>
      </c>
      <c r="H5869" s="370">
        <v>13530.699768066406</v>
      </c>
      <c r="I5869" s="370">
        <v>4011.3551025390625</v>
      </c>
      <c r="M5869" s="371">
        <f t="shared" si="365"/>
        <v>14112.788738311732</v>
      </c>
      <c r="N5869" s="329">
        <f t="shared" si="366"/>
        <v>0</v>
      </c>
      <c r="T5869" s="331">
        <v>0</v>
      </c>
      <c r="U5869" s="328">
        <f>VLOOKUP(C5869,METADATA!$J$5:$Q$29,IF(E5869="HI",2,IF(E5869="LO",6,10))+IF(T5869=1,2,IF(D5869=7,1,(IF(WEEKDAY(B5869)=1,2,IF(WEEKDAY(B5869)=7,1,0))))))</f>
        <v>2</v>
      </c>
      <c r="V5869" s="328">
        <f>VLOOKUP(C5869,METADATA!$A$5:$H$29,IF(E5869="HI",2,IF(E5869="LO",6,10))+IF(T5869=1,2,IF(D5869=7,1,(IF(WEEKDAY(B5869)=1,2,IF(WEEKDAY(B5869)=7,1,0))))))</f>
        <v>2</v>
      </c>
    </row>
    <row r="5870" spans="2:22">
      <c r="B5870" s="318">
        <f t="shared" si="367"/>
        <v>46357</v>
      </c>
      <c r="C5870" s="312">
        <v>10</v>
      </c>
      <c r="D5870" s="368">
        <f>IFERROR((INDEX(METADATA!$T$2:$T$20,MATCH(B5870,METADATA!$S$2:$S$20,0))),0)</f>
        <v>0</v>
      </c>
      <c r="E5870" s="312" t="str">
        <f t="shared" si="364"/>
        <v>LO</v>
      </c>
      <c r="F5870" s="369">
        <f>VLOOKUP(C5870,METADATA!$A$5:$H$29,IF(E5870="HI",2,IF(E5870="LO",6,10))+IF(D5870=1,2,IF(D5870=7,1,(IF(WEEKDAY(B5870)=1,2,IF(WEEKDAY(B5870)=7,1,0))))))</f>
        <v>2</v>
      </c>
      <c r="G5870" s="369">
        <f>VLOOKUP(C5870,METADATA!$J$5:$Q$29,IF(E5870="HI",2,IF(E5870="LO",6,10))+IF(D5870=1,2,IF(D5870=7,1,(IF(WEEKDAY(B5870)=1,2,IF(WEEKDAY(B5870)=7,1,0))))))</f>
        <v>2</v>
      </c>
      <c r="H5870" s="370">
        <v>11553.400085449219</v>
      </c>
      <c r="I5870" s="370">
        <v>2876.6324462890625</v>
      </c>
      <c r="M5870" s="371">
        <f t="shared" si="365"/>
        <v>11906.135719262611</v>
      </c>
      <c r="N5870" s="329">
        <f t="shared" si="366"/>
        <v>0</v>
      </c>
      <c r="T5870" s="331">
        <v>0</v>
      </c>
      <c r="U5870" s="328">
        <f>VLOOKUP(C5870,METADATA!$J$5:$Q$29,IF(E5870="HI",2,IF(E5870="LO",6,10))+IF(T5870=1,2,IF(D5870=7,1,(IF(WEEKDAY(B5870)=1,2,IF(WEEKDAY(B5870)=7,1,0))))))</f>
        <v>2</v>
      </c>
      <c r="V5870" s="328">
        <f>VLOOKUP(C5870,METADATA!$A$5:$H$29,IF(E5870="HI",2,IF(E5870="LO",6,10))+IF(T5870=1,2,IF(D5870=7,1,(IF(WEEKDAY(B5870)=1,2,IF(WEEKDAY(B5870)=7,1,0))))))</f>
        <v>2</v>
      </c>
    </row>
    <row r="5871" spans="2:22">
      <c r="B5871" s="318">
        <f t="shared" si="367"/>
        <v>46357</v>
      </c>
      <c r="C5871" s="312">
        <v>11</v>
      </c>
      <c r="D5871" s="368">
        <f>IFERROR((INDEX(METADATA!$T$2:$T$20,MATCH(B5871,METADATA!$S$2:$S$20,0))),0)</f>
        <v>0</v>
      </c>
      <c r="E5871" s="312" t="str">
        <f t="shared" si="364"/>
        <v>LO</v>
      </c>
      <c r="F5871" s="369">
        <f>VLOOKUP(C5871,METADATA!$A$5:$H$29,IF(E5871="HI",2,IF(E5871="LO",6,10))+IF(D5871=1,2,IF(D5871=7,1,(IF(WEEKDAY(B5871)=1,2,IF(WEEKDAY(B5871)=7,1,0))))))</f>
        <v>2</v>
      </c>
      <c r="G5871" s="369">
        <f>VLOOKUP(C5871,METADATA!$J$5:$Q$29,IF(E5871="HI",2,IF(E5871="LO",6,10))+IF(D5871=1,2,IF(D5871=7,1,(IF(WEEKDAY(B5871)=1,2,IF(WEEKDAY(B5871)=7,1,0))))))</f>
        <v>2</v>
      </c>
      <c r="H5871" s="370">
        <v>11164.899597167969</v>
      </c>
      <c r="I5871" s="370">
        <v>2521.8199996948242</v>
      </c>
      <c r="M5871" s="371">
        <f t="shared" si="365"/>
        <v>11446.159142948445</v>
      </c>
      <c r="N5871" s="329">
        <f t="shared" si="366"/>
        <v>0</v>
      </c>
      <c r="T5871" s="331">
        <v>0</v>
      </c>
      <c r="U5871" s="328">
        <f>VLOOKUP(C5871,METADATA!$J$5:$Q$29,IF(E5871="HI",2,IF(E5871="LO",6,10))+IF(T5871=1,2,IF(D5871=7,1,(IF(WEEKDAY(B5871)=1,2,IF(WEEKDAY(B5871)=7,1,0))))))</f>
        <v>2</v>
      </c>
      <c r="V5871" s="328">
        <f>VLOOKUP(C5871,METADATA!$A$5:$H$29,IF(E5871="HI",2,IF(E5871="LO",6,10))+IF(T5871=1,2,IF(D5871=7,1,(IF(WEEKDAY(B5871)=1,2,IF(WEEKDAY(B5871)=7,1,0))))))</f>
        <v>2</v>
      </c>
    </row>
    <row r="5872" spans="2:22">
      <c r="B5872" s="318">
        <f t="shared" si="367"/>
        <v>46357</v>
      </c>
      <c r="C5872" s="312">
        <v>12</v>
      </c>
      <c r="D5872" s="368">
        <f>IFERROR((INDEX(METADATA!$T$2:$T$20,MATCH(B5872,METADATA!$S$2:$S$20,0))),0)</f>
        <v>0</v>
      </c>
      <c r="E5872" s="312" t="str">
        <f t="shared" si="364"/>
        <v>LO</v>
      </c>
      <c r="F5872" s="369">
        <f>VLOOKUP(C5872,METADATA!$A$5:$H$29,IF(E5872="HI",2,IF(E5872="LO",6,10))+IF(D5872=1,2,IF(D5872=7,1,(IF(WEEKDAY(B5872)=1,2,IF(WEEKDAY(B5872)=7,1,0))))))</f>
        <v>2</v>
      </c>
      <c r="G5872" s="369">
        <f>VLOOKUP(C5872,METADATA!$J$5:$Q$29,IF(E5872="HI",2,IF(E5872="LO",6,10))+IF(D5872=1,2,IF(D5872=7,1,(IF(WEEKDAY(B5872)=1,2,IF(WEEKDAY(B5872)=7,1,0))))))</f>
        <v>2</v>
      </c>
      <c r="H5872" s="370">
        <v>13452.274719238281</v>
      </c>
      <c r="I5872" s="370">
        <v>4022.8199615478516</v>
      </c>
      <c r="M5872" s="371">
        <f t="shared" si="365"/>
        <v>14040.896537076442</v>
      </c>
      <c r="N5872" s="329">
        <f t="shared" si="366"/>
        <v>0</v>
      </c>
      <c r="T5872" s="331">
        <v>0</v>
      </c>
      <c r="U5872" s="328">
        <f>VLOOKUP(C5872,METADATA!$J$5:$Q$29,IF(E5872="HI",2,IF(E5872="LO",6,10))+IF(T5872=1,2,IF(D5872=7,1,(IF(WEEKDAY(B5872)=1,2,IF(WEEKDAY(B5872)=7,1,0))))))</f>
        <v>2</v>
      </c>
      <c r="V5872" s="328">
        <f>VLOOKUP(C5872,METADATA!$A$5:$H$29,IF(E5872="HI",2,IF(E5872="LO",6,10))+IF(T5872=1,2,IF(D5872=7,1,(IF(WEEKDAY(B5872)=1,2,IF(WEEKDAY(B5872)=7,1,0))))))</f>
        <v>2</v>
      </c>
    </row>
    <row r="5873" spans="2:22">
      <c r="B5873" s="318">
        <f t="shared" si="367"/>
        <v>46357</v>
      </c>
      <c r="C5873" s="312">
        <v>13</v>
      </c>
      <c r="D5873" s="368">
        <f>IFERROR((INDEX(METADATA!$T$2:$T$20,MATCH(B5873,METADATA!$S$2:$S$20,0))),0)</f>
        <v>0</v>
      </c>
      <c r="E5873" s="312" t="str">
        <f t="shared" si="364"/>
        <v>LO</v>
      </c>
      <c r="F5873" s="369">
        <f>VLOOKUP(C5873,METADATA!$A$5:$H$29,IF(E5873="HI",2,IF(E5873="LO",6,10))+IF(D5873=1,2,IF(D5873=7,1,(IF(WEEKDAY(B5873)=1,2,IF(WEEKDAY(B5873)=7,1,0))))))</f>
        <v>2</v>
      </c>
      <c r="G5873" s="369">
        <f>VLOOKUP(C5873,METADATA!$J$5:$Q$29,IF(E5873="HI",2,IF(E5873="LO",6,10))+IF(D5873=1,2,IF(D5873=7,1,(IF(WEEKDAY(B5873)=1,2,IF(WEEKDAY(B5873)=7,1,0))))))</f>
        <v>2</v>
      </c>
      <c r="H5873" s="370">
        <v>13639.449768066406</v>
      </c>
      <c r="I5873" s="370">
        <v>3950.0350189208984</v>
      </c>
      <c r="M5873" s="371">
        <f t="shared" si="365"/>
        <v>14199.907275271489</v>
      </c>
      <c r="N5873" s="329">
        <f t="shared" si="366"/>
        <v>0</v>
      </c>
      <c r="T5873" s="331">
        <v>0</v>
      </c>
      <c r="U5873" s="328">
        <f>VLOOKUP(C5873,METADATA!$J$5:$Q$29,IF(E5873="HI",2,IF(E5873="LO",6,10))+IF(T5873=1,2,IF(D5873=7,1,(IF(WEEKDAY(B5873)=1,2,IF(WEEKDAY(B5873)=7,1,0))))))</f>
        <v>2</v>
      </c>
      <c r="V5873" s="328">
        <f>VLOOKUP(C5873,METADATA!$A$5:$H$29,IF(E5873="HI",2,IF(E5873="LO",6,10))+IF(T5873=1,2,IF(D5873=7,1,(IF(WEEKDAY(B5873)=1,2,IF(WEEKDAY(B5873)=7,1,0))))))</f>
        <v>2</v>
      </c>
    </row>
    <row r="5874" spans="2:22">
      <c r="B5874" s="318">
        <f t="shared" si="367"/>
        <v>46357</v>
      </c>
      <c r="C5874" s="312">
        <v>14</v>
      </c>
      <c r="D5874" s="368">
        <f>IFERROR((INDEX(METADATA!$T$2:$T$20,MATCH(B5874,METADATA!$S$2:$S$20,0))),0)</f>
        <v>0</v>
      </c>
      <c r="E5874" s="312" t="str">
        <f t="shared" si="364"/>
        <v>LO</v>
      </c>
      <c r="F5874" s="369">
        <f>VLOOKUP(C5874,METADATA!$A$5:$H$29,IF(E5874="HI",2,IF(E5874="LO",6,10))+IF(D5874=1,2,IF(D5874=7,1,(IF(WEEKDAY(B5874)=1,2,IF(WEEKDAY(B5874)=7,1,0))))))</f>
        <v>2</v>
      </c>
      <c r="G5874" s="369">
        <f>VLOOKUP(C5874,METADATA!$J$5:$Q$29,IF(E5874="HI",2,IF(E5874="LO",6,10))+IF(D5874=1,2,IF(D5874=7,1,(IF(WEEKDAY(B5874)=1,2,IF(WEEKDAY(B5874)=7,1,0))))))</f>
        <v>2</v>
      </c>
      <c r="H5874" s="370">
        <v>13306.374694824219</v>
      </c>
      <c r="I5874" s="370">
        <v>3847.1249694824219</v>
      </c>
      <c r="M5874" s="371">
        <f t="shared" si="365"/>
        <v>13851.352932110041</v>
      </c>
      <c r="N5874" s="329">
        <f t="shared" si="366"/>
        <v>0</v>
      </c>
      <c r="T5874" s="331">
        <v>0</v>
      </c>
      <c r="U5874" s="328">
        <f>VLOOKUP(C5874,METADATA!$J$5:$Q$29,IF(E5874="HI",2,IF(E5874="LO",6,10))+IF(T5874=1,2,IF(D5874=7,1,(IF(WEEKDAY(B5874)=1,2,IF(WEEKDAY(B5874)=7,1,0))))))</f>
        <v>2</v>
      </c>
      <c r="V5874" s="328">
        <f>VLOOKUP(C5874,METADATA!$A$5:$H$29,IF(E5874="HI",2,IF(E5874="LO",6,10))+IF(T5874=1,2,IF(D5874=7,1,(IF(WEEKDAY(B5874)=1,2,IF(WEEKDAY(B5874)=7,1,0))))))</f>
        <v>2</v>
      </c>
    </row>
    <row r="5875" spans="2:22">
      <c r="B5875" s="318">
        <f t="shared" si="367"/>
        <v>46357</v>
      </c>
      <c r="C5875" s="312">
        <v>15</v>
      </c>
      <c r="D5875" s="368">
        <f>IFERROR((INDEX(METADATA!$T$2:$T$20,MATCH(B5875,METADATA!$S$2:$S$20,0))),0)</f>
        <v>0</v>
      </c>
      <c r="E5875" s="312" t="str">
        <f t="shared" si="364"/>
        <v>LO</v>
      </c>
      <c r="F5875" s="369">
        <f>VLOOKUP(C5875,METADATA!$A$5:$H$29,IF(E5875="HI",2,IF(E5875="LO",6,10))+IF(D5875=1,2,IF(D5875=7,1,(IF(WEEKDAY(B5875)=1,2,IF(WEEKDAY(B5875)=7,1,0))))))</f>
        <v>2</v>
      </c>
      <c r="G5875" s="369">
        <f>VLOOKUP(C5875,METADATA!$J$5:$Q$29,IF(E5875="HI",2,IF(E5875="LO",6,10))+IF(D5875=1,2,IF(D5875=7,1,(IF(WEEKDAY(B5875)=1,2,IF(WEEKDAY(B5875)=7,1,0))))))</f>
        <v>2</v>
      </c>
      <c r="H5875" s="370">
        <v>12835.89990234375</v>
      </c>
      <c r="I5875" s="370">
        <v>3608.3849487304688</v>
      </c>
      <c r="M5875" s="371">
        <f t="shared" si="365"/>
        <v>13333.445475240556</v>
      </c>
      <c r="N5875" s="329">
        <f t="shared" si="366"/>
        <v>0</v>
      </c>
      <c r="T5875" s="331">
        <v>0</v>
      </c>
      <c r="U5875" s="328">
        <f>VLOOKUP(C5875,METADATA!$J$5:$Q$29,IF(E5875="HI",2,IF(E5875="LO",6,10))+IF(T5875=1,2,IF(D5875=7,1,(IF(WEEKDAY(B5875)=1,2,IF(WEEKDAY(B5875)=7,1,0))))))</f>
        <v>2</v>
      </c>
      <c r="V5875" s="328">
        <f>VLOOKUP(C5875,METADATA!$A$5:$H$29,IF(E5875="HI",2,IF(E5875="LO",6,10))+IF(T5875=1,2,IF(D5875=7,1,(IF(WEEKDAY(B5875)=1,2,IF(WEEKDAY(B5875)=7,1,0))))))</f>
        <v>2</v>
      </c>
    </row>
    <row r="5876" spans="2:22">
      <c r="B5876" s="318">
        <f t="shared" si="367"/>
        <v>46357</v>
      </c>
      <c r="C5876" s="312">
        <v>16</v>
      </c>
      <c r="D5876" s="368">
        <f>IFERROR((INDEX(METADATA!$T$2:$T$20,MATCH(B5876,METADATA!$S$2:$S$20,0))),0)</f>
        <v>0</v>
      </c>
      <c r="E5876" s="312" t="str">
        <f t="shared" si="364"/>
        <v>LO</v>
      </c>
      <c r="F5876" s="369">
        <f>VLOOKUP(C5876,METADATA!$A$5:$H$29,IF(E5876="HI",2,IF(E5876="LO",6,10))+IF(D5876=1,2,IF(D5876=7,1,(IF(WEEKDAY(B5876)=1,2,IF(WEEKDAY(B5876)=7,1,0))))))</f>
        <v>2</v>
      </c>
      <c r="G5876" s="369">
        <f>VLOOKUP(C5876,METADATA!$J$5:$Q$29,IF(E5876="HI",2,IF(E5876="LO",6,10))+IF(D5876=1,2,IF(D5876=7,1,(IF(WEEKDAY(B5876)=1,2,IF(WEEKDAY(B5876)=7,1,0))))))</f>
        <v>2</v>
      </c>
      <c r="H5876" s="370">
        <v>11986.424865722656</v>
      </c>
      <c r="I5876" s="370">
        <v>3027.8700485229492</v>
      </c>
      <c r="M5876" s="371">
        <f t="shared" si="365"/>
        <v>12362.9437470352</v>
      </c>
      <c r="N5876" s="329">
        <f t="shared" si="366"/>
        <v>0</v>
      </c>
      <c r="T5876" s="331">
        <v>0</v>
      </c>
      <c r="U5876" s="328">
        <f>VLOOKUP(C5876,METADATA!$J$5:$Q$29,IF(E5876="HI",2,IF(E5876="LO",6,10))+IF(T5876=1,2,IF(D5876=7,1,(IF(WEEKDAY(B5876)=1,2,IF(WEEKDAY(B5876)=7,1,0))))))</f>
        <v>2</v>
      </c>
      <c r="V5876" s="328">
        <f>VLOOKUP(C5876,METADATA!$A$5:$H$29,IF(E5876="HI",2,IF(E5876="LO",6,10))+IF(T5876=1,2,IF(D5876=7,1,(IF(WEEKDAY(B5876)=1,2,IF(WEEKDAY(B5876)=7,1,0))))))</f>
        <v>2</v>
      </c>
    </row>
    <row r="5877" spans="2:22">
      <c r="B5877" s="318">
        <f t="shared" si="367"/>
        <v>46357</v>
      </c>
      <c r="C5877" s="312">
        <v>17</v>
      </c>
      <c r="D5877" s="368">
        <f>IFERROR((INDEX(METADATA!$T$2:$T$20,MATCH(B5877,METADATA!$S$2:$S$20,0))),0)</f>
        <v>0</v>
      </c>
      <c r="E5877" s="312" t="str">
        <f t="shared" si="364"/>
        <v>LO</v>
      </c>
      <c r="F5877" s="369">
        <f>VLOOKUP(C5877,METADATA!$A$5:$H$29,IF(E5877="HI",2,IF(E5877="LO",6,10))+IF(D5877=1,2,IF(D5877=7,1,(IF(WEEKDAY(B5877)=1,2,IF(WEEKDAY(B5877)=7,1,0))))))</f>
        <v>2</v>
      </c>
      <c r="G5877" s="369">
        <f>VLOOKUP(C5877,METADATA!$J$5:$Q$29,IF(E5877="HI",2,IF(E5877="LO",6,10))+IF(D5877=1,2,IF(D5877=7,1,(IF(WEEKDAY(B5877)=1,2,IF(WEEKDAY(B5877)=7,1,0))))))</f>
        <v>2</v>
      </c>
      <c r="H5877" s="370">
        <v>12419.724487304688</v>
      </c>
      <c r="I5877" s="370">
        <v>3357.6250457763672</v>
      </c>
      <c r="M5877" s="371">
        <f t="shared" si="365"/>
        <v>12865.582081218883</v>
      </c>
      <c r="N5877" s="329">
        <f t="shared" si="366"/>
        <v>0</v>
      </c>
      <c r="T5877" s="331">
        <v>0</v>
      </c>
      <c r="U5877" s="328">
        <f>VLOOKUP(C5877,METADATA!$J$5:$Q$29,IF(E5877="HI",2,IF(E5877="LO",6,10))+IF(T5877=1,2,IF(D5877=7,1,(IF(WEEKDAY(B5877)=1,2,IF(WEEKDAY(B5877)=7,1,0))))))</f>
        <v>2</v>
      </c>
      <c r="V5877" s="328">
        <f>VLOOKUP(C5877,METADATA!$A$5:$H$29,IF(E5877="HI",2,IF(E5877="LO",6,10))+IF(T5877=1,2,IF(D5877=7,1,(IF(WEEKDAY(B5877)=1,2,IF(WEEKDAY(B5877)=7,1,0))))))</f>
        <v>2</v>
      </c>
    </row>
    <row r="5878" spans="2:22">
      <c r="B5878" s="318">
        <f t="shared" si="367"/>
        <v>46357</v>
      </c>
      <c r="C5878" s="312">
        <v>18</v>
      </c>
      <c r="D5878" s="368">
        <f>IFERROR((INDEX(METADATA!$T$2:$T$20,MATCH(B5878,METADATA!$S$2:$S$20,0))),0)</f>
        <v>0</v>
      </c>
      <c r="E5878" s="312" t="str">
        <f t="shared" si="364"/>
        <v>LO</v>
      </c>
      <c r="F5878" s="369">
        <f>VLOOKUP(C5878,METADATA!$A$5:$H$29,IF(E5878="HI",2,IF(E5878="LO",6,10))+IF(D5878=1,2,IF(D5878=7,1,(IF(WEEKDAY(B5878)=1,2,IF(WEEKDAY(B5878)=7,1,0))))))</f>
        <v>1</v>
      </c>
      <c r="G5878" s="369">
        <f>VLOOKUP(C5878,METADATA!$J$5:$Q$29,IF(E5878="HI",2,IF(E5878="LO",6,10))+IF(D5878=1,2,IF(D5878=7,1,(IF(WEEKDAY(B5878)=1,2,IF(WEEKDAY(B5878)=7,1,0))))))</f>
        <v>1</v>
      </c>
      <c r="H5878" s="370">
        <v>12413.525207519531</v>
      </c>
      <c r="I5878" s="370">
        <v>3422.4250183105469</v>
      </c>
      <c r="M5878" s="371">
        <f t="shared" si="365"/>
        <v>12876.668865963773</v>
      </c>
      <c r="N5878" s="329">
        <f t="shared" si="366"/>
        <v>0</v>
      </c>
      <c r="T5878" s="331">
        <v>0</v>
      </c>
      <c r="U5878" s="328">
        <f>VLOOKUP(C5878,METADATA!$J$5:$Q$29,IF(E5878="HI",2,IF(E5878="LO",6,10))+IF(T5878=1,2,IF(D5878=7,1,(IF(WEEKDAY(B5878)=1,2,IF(WEEKDAY(B5878)=7,1,0))))))</f>
        <v>1</v>
      </c>
      <c r="V5878" s="328">
        <f>VLOOKUP(C5878,METADATA!$A$5:$H$29,IF(E5878="HI",2,IF(E5878="LO",6,10))+IF(T5878=1,2,IF(D5878=7,1,(IF(WEEKDAY(B5878)=1,2,IF(WEEKDAY(B5878)=7,1,0))))))</f>
        <v>1</v>
      </c>
    </row>
    <row r="5879" spans="2:22">
      <c r="B5879" s="318">
        <f t="shared" si="367"/>
        <v>46357</v>
      </c>
      <c r="C5879" s="312">
        <v>19</v>
      </c>
      <c r="D5879" s="368">
        <f>IFERROR((INDEX(METADATA!$T$2:$T$20,MATCH(B5879,METADATA!$S$2:$S$20,0))),0)</f>
        <v>0</v>
      </c>
      <c r="E5879" s="312" t="str">
        <f t="shared" si="364"/>
        <v>LO</v>
      </c>
      <c r="F5879" s="369">
        <f>VLOOKUP(C5879,METADATA!$A$5:$H$29,IF(E5879="HI",2,IF(E5879="LO",6,10))+IF(D5879=1,2,IF(D5879=7,1,(IF(WEEKDAY(B5879)=1,2,IF(WEEKDAY(B5879)=7,1,0))))))</f>
        <v>1</v>
      </c>
      <c r="G5879" s="369">
        <f>VLOOKUP(C5879,METADATA!$J$5:$Q$29,IF(E5879="HI",2,IF(E5879="LO",6,10))+IF(D5879=1,2,IF(D5879=7,1,(IF(WEEKDAY(B5879)=1,2,IF(WEEKDAY(B5879)=7,1,0))))))</f>
        <v>1</v>
      </c>
      <c r="H5879" s="370">
        <v>10345.900024414063</v>
      </c>
      <c r="I5879" s="370">
        <v>2831.2650451660156</v>
      </c>
      <c r="M5879" s="371">
        <f t="shared" si="365"/>
        <v>10726.309200799213</v>
      </c>
      <c r="N5879" s="329">
        <f t="shared" si="366"/>
        <v>0</v>
      </c>
      <c r="T5879" s="331">
        <v>0</v>
      </c>
      <c r="U5879" s="328">
        <f>VLOOKUP(C5879,METADATA!$J$5:$Q$29,IF(E5879="HI",2,IF(E5879="LO",6,10))+IF(T5879=1,2,IF(D5879=7,1,(IF(WEEKDAY(B5879)=1,2,IF(WEEKDAY(B5879)=7,1,0))))))</f>
        <v>1</v>
      </c>
      <c r="V5879" s="328">
        <f>VLOOKUP(C5879,METADATA!$A$5:$H$29,IF(E5879="HI",2,IF(E5879="LO",6,10))+IF(T5879=1,2,IF(D5879=7,1,(IF(WEEKDAY(B5879)=1,2,IF(WEEKDAY(B5879)=7,1,0))))))</f>
        <v>1</v>
      </c>
    </row>
    <row r="5880" spans="2:22">
      <c r="B5880" s="318">
        <f t="shared" si="367"/>
        <v>46357</v>
      </c>
      <c r="C5880" s="312">
        <v>20</v>
      </c>
      <c r="D5880" s="368">
        <f>IFERROR((INDEX(METADATA!$T$2:$T$20,MATCH(B5880,METADATA!$S$2:$S$20,0))),0)</f>
        <v>0</v>
      </c>
      <c r="E5880" s="312" t="str">
        <f t="shared" si="364"/>
        <v>LO</v>
      </c>
      <c r="F5880" s="369">
        <f>VLOOKUP(C5880,METADATA!$A$5:$H$29,IF(E5880="HI",2,IF(E5880="LO",6,10))+IF(D5880=1,2,IF(D5880=7,1,(IF(WEEKDAY(B5880)=1,2,IF(WEEKDAY(B5880)=7,1,0))))))</f>
        <v>1</v>
      </c>
      <c r="G5880" s="369">
        <f>VLOOKUP(C5880,METADATA!$J$5:$Q$29,IF(E5880="HI",2,IF(E5880="LO",6,10))+IF(D5880=1,2,IF(D5880=7,1,(IF(WEEKDAY(B5880)=1,2,IF(WEEKDAY(B5880)=7,1,0))))))</f>
        <v>1</v>
      </c>
      <c r="H5880" s="370">
        <v>6412.1500244140625</v>
      </c>
      <c r="I5880" s="370">
        <v>1879.9750061035156</v>
      </c>
      <c r="M5880" s="371">
        <f t="shared" si="365"/>
        <v>6682.06360035335</v>
      </c>
      <c r="N5880" s="329">
        <f t="shared" si="366"/>
        <v>0</v>
      </c>
      <c r="T5880" s="331">
        <v>0</v>
      </c>
      <c r="U5880" s="328">
        <f>VLOOKUP(C5880,METADATA!$J$5:$Q$29,IF(E5880="HI",2,IF(E5880="LO",6,10))+IF(T5880=1,2,IF(D5880=7,1,(IF(WEEKDAY(B5880)=1,2,IF(WEEKDAY(B5880)=7,1,0))))))</f>
        <v>1</v>
      </c>
      <c r="V5880" s="328">
        <f>VLOOKUP(C5880,METADATA!$A$5:$H$29,IF(E5880="HI",2,IF(E5880="LO",6,10))+IF(T5880=1,2,IF(D5880=7,1,(IF(WEEKDAY(B5880)=1,2,IF(WEEKDAY(B5880)=7,1,0))))))</f>
        <v>1</v>
      </c>
    </row>
    <row r="5881" spans="2:22">
      <c r="B5881" s="318">
        <f t="shared" si="367"/>
        <v>46357</v>
      </c>
      <c r="C5881" s="312">
        <v>21</v>
      </c>
      <c r="D5881" s="368">
        <f>IFERROR((INDEX(METADATA!$T$2:$T$20,MATCH(B5881,METADATA!$S$2:$S$20,0))),0)</f>
        <v>0</v>
      </c>
      <c r="E5881" s="312" t="str">
        <f t="shared" si="364"/>
        <v>LO</v>
      </c>
      <c r="F5881" s="369">
        <f>VLOOKUP(C5881,METADATA!$A$5:$H$29,IF(E5881="HI",2,IF(E5881="LO",6,10))+IF(D5881=1,2,IF(D5881=7,1,(IF(WEEKDAY(B5881)=1,2,IF(WEEKDAY(B5881)=7,1,0))))))</f>
        <v>2</v>
      </c>
      <c r="G5881" s="369">
        <f>VLOOKUP(C5881,METADATA!$J$5:$Q$29,IF(E5881="HI",2,IF(E5881="LO",6,10))+IF(D5881=1,2,IF(D5881=7,1,(IF(WEEKDAY(B5881)=1,2,IF(WEEKDAY(B5881)=7,1,0))))))</f>
        <v>2</v>
      </c>
      <c r="H5881" s="370">
        <v>8473.0249633789063</v>
      </c>
      <c r="I5881" s="370">
        <v>2731.7300364971161</v>
      </c>
      <c r="M5881" s="371">
        <f t="shared" si="365"/>
        <v>8902.4997063938536</v>
      </c>
      <c r="N5881" s="329">
        <f t="shared" si="366"/>
        <v>189.8225474834444</v>
      </c>
      <c r="T5881" s="331">
        <v>0</v>
      </c>
      <c r="U5881" s="328">
        <f>VLOOKUP(C5881,METADATA!$J$5:$Q$29,IF(E5881="HI",2,IF(E5881="LO",6,10))+IF(T5881=1,2,IF(D5881=7,1,(IF(WEEKDAY(B5881)=1,2,IF(WEEKDAY(B5881)=7,1,0))))))</f>
        <v>2</v>
      </c>
      <c r="V5881" s="328">
        <f>VLOOKUP(C5881,METADATA!$A$5:$H$29,IF(E5881="HI",2,IF(E5881="LO",6,10))+IF(T5881=1,2,IF(D5881=7,1,(IF(WEEKDAY(B5881)=1,2,IF(WEEKDAY(B5881)=7,1,0))))))</f>
        <v>2</v>
      </c>
    </row>
    <row r="5882" spans="2:22">
      <c r="B5882" s="318">
        <f t="shared" si="367"/>
        <v>46357</v>
      </c>
      <c r="C5882" s="312">
        <v>22</v>
      </c>
      <c r="D5882" s="368">
        <f>IFERROR((INDEX(METADATA!$T$2:$T$20,MATCH(B5882,METADATA!$S$2:$S$20,0))),0)</f>
        <v>0</v>
      </c>
      <c r="E5882" s="312" t="str">
        <f t="shared" si="364"/>
        <v>LO</v>
      </c>
      <c r="F5882" s="369">
        <f>VLOOKUP(C5882,METADATA!$A$5:$H$29,IF(E5882="HI",2,IF(E5882="LO",6,10))+IF(D5882=1,2,IF(D5882=7,1,(IF(WEEKDAY(B5882)=1,2,IF(WEEKDAY(B5882)=7,1,0))))))</f>
        <v>3</v>
      </c>
      <c r="G5882" s="369">
        <f>VLOOKUP(C5882,METADATA!$J$5:$Q$29,IF(E5882="HI",2,IF(E5882="LO",6,10))+IF(D5882=1,2,IF(D5882=7,1,(IF(WEEKDAY(B5882)=1,2,IF(WEEKDAY(B5882)=7,1,0))))))</f>
        <v>3</v>
      </c>
      <c r="H5882" s="370">
        <v>13076.300170898438</v>
      </c>
      <c r="I5882" s="370">
        <v>3959.5300903320313</v>
      </c>
      <c r="M5882" s="371">
        <f t="shared" si="365"/>
        <v>13662.631689966734</v>
      </c>
      <c r="N5882" s="329">
        <f t="shared" si="366"/>
        <v>36.640039062500364</v>
      </c>
      <c r="T5882" s="331">
        <v>0</v>
      </c>
      <c r="U5882" s="328">
        <f>VLOOKUP(C5882,METADATA!$J$5:$Q$29,IF(E5882="HI",2,IF(E5882="LO",6,10))+IF(T5882=1,2,IF(D5882=7,1,(IF(WEEKDAY(B5882)=1,2,IF(WEEKDAY(B5882)=7,1,0))))))</f>
        <v>3</v>
      </c>
      <c r="V5882" s="328">
        <f>VLOOKUP(C5882,METADATA!$A$5:$H$29,IF(E5882="HI",2,IF(E5882="LO",6,10))+IF(T5882=1,2,IF(D5882=7,1,(IF(WEEKDAY(B5882)=1,2,IF(WEEKDAY(B5882)=7,1,0))))))</f>
        <v>3</v>
      </c>
    </row>
    <row r="5883" spans="2:22">
      <c r="B5883" s="318">
        <f t="shared" si="367"/>
        <v>46357</v>
      </c>
      <c r="C5883" s="312">
        <v>23</v>
      </c>
      <c r="D5883" s="368">
        <f>IFERROR((INDEX(METADATA!$T$2:$T$20,MATCH(B5883,METADATA!$S$2:$S$20,0))),0)</f>
        <v>0</v>
      </c>
      <c r="E5883" s="312" t="str">
        <f t="shared" si="364"/>
        <v>LO</v>
      </c>
      <c r="F5883" s="369">
        <f>VLOOKUP(C5883,METADATA!$A$5:$H$29,IF(E5883="HI",2,IF(E5883="LO",6,10))+IF(D5883=1,2,IF(D5883=7,1,(IF(WEEKDAY(B5883)=1,2,IF(WEEKDAY(B5883)=7,1,0))))))</f>
        <v>3</v>
      </c>
      <c r="G5883" s="369">
        <f>VLOOKUP(C5883,METADATA!$J$5:$Q$29,IF(E5883="HI",2,IF(E5883="LO",6,10))+IF(D5883=1,2,IF(D5883=7,1,(IF(WEEKDAY(B5883)=1,2,IF(WEEKDAY(B5883)=7,1,0))))))</f>
        <v>3</v>
      </c>
      <c r="H5883" s="370">
        <v>13482.325256347656</v>
      </c>
      <c r="I5883" s="370">
        <v>4082.9599914550781</v>
      </c>
      <c r="M5883" s="371">
        <f t="shared" si="365"/>
        <v>14087.003109596191</v>
      </c>
      <c r="N5883" s="329">
        <f t="shared" si="366"/>
        <v>38.262414550781614</v>
      </c>
      <c r="T5883" s="331">
        <v>0</v>
      </c>
      <c r="U5883" s="328">
        <f>VLOOKUP(C5883,METADATA!$J$5:$Q$29,IF(E5883="HI",2,IF(E5883="LO",6,10))+IF(T5883=1,2,IF(D5883=7,1,(IF(WEEKDAY(B5883)=1,2,IF(WEEKDAY(B5883)=7,1,0))))))</f>
        <v>3</v>
      </c>
      <c r="V5883" s="328">
        <f>VLOOKUP(C5883,METADATA!$A$5:$H$29,IF(E5883="HI",2,IF(E5883="LO",6,10))+IF(T5883=1,2,IF(D5883=7,1,(IF(WEEKDAY(B5883)=1,2,IF(WEEKDAY(B5883)=7,1,0))))))</f>
        <v>3</v>
      </c>
    </row>
    <row r="5884" spans="2:22">
      <c r="B5884" s="318">
        <f t="shared" si="367"/>
        <v>46358</v>
      </c>
      <c r="C5884" s="312">
        <v>0</v>
      </c>
      <c r="D5884" s="368">
        <f>IFERROR((INDEX(METADATA!$T$2:$T$20,MATCH(B5884,METADATA!$S$2:$S$20,0))),0)</f>
        <v>0</v>
      </c>
      <c r="E5884" s="312" t="str">
        <f t="shared" si="364"/>
        <v>LO</v>
      </c>
      <c r="F5884" s="369">
        <f>VLOOKUP(C5884,METADATA!$A$5:$H$29,IF(E5884="HI",2,IF(E5884="LO",6,10))+IF(D5884=1,2,IF(D5884=7,1,(IF(WEEKDAY(B5884)=1,2,IF(WEEKDAY(B5884)=7,1,0))))))</f>
        <v>3</v>
      </c>
      <c r="G5884" s="369">
        <f>VLOOKUP(C5884,METADATA!$J$5:$Q$29,IF(E5884="HI",2,IF(E5884="LO",6,10))+IF(D5884=1,2,IF(D5884=7,1,(IF(WEEKDAY(B5884)=1,2,IF(WEEKDAY(B5884)=7,1,0))))))</f>
        <v>3</v>
      </c>
      <c r="H5884" s="370">
        <v>13292.299865722656</v>
      </c>
      <c r="I5884" s="370">
        <v>3973.2200012207031</v>
      </c>
      <c r="M5884" s="371">
        <f t="shared" si="365"/>
        <v>13873.417491677772</v>
      </c>
      <c r="N5884" s="329">
        <f t="shared" si="366"/>
        <v>0</v>
      </c>
      <c r="T5884" s="331">
        <v>0</v>
      </c>
      <c r="U5884" s="328">
        <f>VLOOKUP(C5884,METADATA!$J$5:$Q$29,IF(E5884="HI",2,IF(E5884="LO",6,10))+IF(T5884=1,2,IF(D5884=7,1,(IF(WEEKDAY(B5884)=1,2,IF(WEEKDAY(B5884)=7,1,0))))))</f>
        <v>3</v>
      </c>
      <c r="V5884" s="328">
        <f>VLOOKUP(C5884,METADATA!$A$5:$H$29,IF(E5884="HI",2,IF(E5884="LO",6,10))+IF(T5884=1,2,IF(D5884=7,1,(IF(WEEKDAY(B5884)=1,2,IF(WEEKDAY(B5884)=7,1,0))))))</f>
        <v>3</v>
      </c>
    </row>
    <row r="5885" spans="2:22">
      <c r="B5885" s="318">
        <f t="shared" si="367"/>
        <v>46358</v>
      </c>
      <c r="C5885" s="312">
        <v>1</v>
      </c>
      <c r="D5885" s="368">
        <f>IFERROR((INDEX(METADATA!$T$2:$T$20,MATCH(B5885,METADATA!$S$2:$S$20,0))),0)</f>
        <v>0</v>
      </c>
      <c r="E5885" s="312" t="str">
        <f t="shared" si="364"/>
        <v>LO</v>
      </c>
      <c r="F5885" s="369">
        <f>VLOOKUP(C5885,METADATA!$A$5:$H$29,IF(E5885="HI",2,IF(E5885="LO",6,10))+IF(D5885=1,2,IF(D5885=7,1,(IF(WEEKDAY(B5885)=1,2,IF(WEEKDAY(B5885)=7,1,0))))))</f>
        <v>3</v>
      </c>
      <c r="G5885" s="369">
        <f>VLOOKUP(C5885,METADATA!$J$5:$Q$29,IF(E5885="HI",2,IF(E5885="LO",6,10))+IF(D5885=1,2,IF(D5885=7,1,(IF(WEEKDAY(B5885)=1,2,IF(WEEKDAY(B5885)=7,1,0))))))</f>
        <v>3</v>
      </c>
      <c r="H5885" s="370">
        <v>13286.517639160156</v>
      </c>
      <c r="I5885" s="370">
        <v>3952.4675903320313</v>
      </c>
      <c r="M5885" s="371">
        <f t="shared" si="365"/>
        <v>13861.946148659612</v>
      </c>
      <c r="N5885" s="329">
        <f t="shared" si="366"/>
        <v>0</v>
      </c>
      <c r="T5885" s="331">
        <v>0</v>
      </c>
      <c r="U5885" s="328">
        <f>VLOOKUP(C5885,METADATA!$J$5:$Q$29,IF(E5885="HI",2,IF(E5885="LO",6,10))+IF(T5885=1,2,IF(D5885=7,1,(IF(WEEKDAY(B5885)=1,2,IF(WEEKDAY(B5885)=7,1,0))))))</f>
        <v>3</v>
      </c>
      <c r="V5885" s="328">
        <f>VLOOKUP(C5885,METADATA!$A$5:$H$29,IF(E5885="HI",2,IF(E5885="LO",6,10))+IF(T5885=1,2,IF(D5885=7,1,(IF(WEEKDAY(B5885)=1,2,IF(WEEKDAY(B5885)=7,1,0))))))</f>
        <v>3</v>
      </c>
    </row>
    <row r="5886" spans="2:22">
      <c r="B5886" s="318">
        <f t="shared" si="367"/>
        <v>46358</v>
      </c>
      <c r="C5886" s="312">
        <v>2</v>
      </c>
      <c r="D5886" s="368">
        <f>IFERROR((INDEX(METADATA!$T$2:$T$20,MATCH(B5886,METADATA!$S$2:$S$20,0))),0)</f>
        <v>0</v>
      </c>
      <c r="E5886" s="312" t="str">
        <f t="shared" si="364"/>
        <v>LO</v>
      </c>
      <c r="F5886" s="369">
        <f>VLOOKUP(C5886,METADATA!$A$5:$H$29,IF(E5886="HI",2,IF(E5886="LO",6,10))+IF(D5886=1,2,IF(D5886=7,1,(IF(WEEKDAY(B5886)=1,2,IF(WEEKDAY(B5886)=7,1,0))))))</f>
        <v>3</v>
      </c>
      <c r="G5886" s="369">
        <f>VLOOKUP(C5886,METADATA!$J$5:$Q$29,IF(E5886="HI",2,IF(E5886="LO",6,10))+IF(D5886=1,2,IF(D5886=7,1,(IF(WEEKDAY(B5886)=1,2,IF(WEEKDAY(B5886)=7,1,0))))))</f>
        <v>3</v>
      </c>
      <c r="H5886" s="370">
        <v>13233.425231933594</v>
      </c>
      <c r="I5886" s="370">
        <v>4008.3099975585938</v>
      </c>
      <c r="M5886" s="371">
        <f t="shared" si="365"/>
        <v>13827.150552652012</v>
      </c>
      <c r="N5886" s="329">
        <f t="shared" si="366"/>
        <v>38.282427978515898</v>
      </c>
      <c r="T5886" s="331">
        <v>0</v>
      </c>
      <c r="U5886" s="328">
        <f>VLOOKUP(C5886,METADATA!$J$5:$Q$29,IF(E5886="HI",2,IF(E5886="LO",6,10))+IF(T5886=1,2,IF(D5886=7,1,(IF(WEEKDAY(B5886)=1,2,IF(WEEKDAY(B5886)=7,1,0))))))</f>
        <v>3</v>
      </c>
      <c r="V5886" s="328">
        <f>VLOOKUP(C5886,METADATA!$A$5:$H$29,IF(E5886="HI",2,IF(E5886="LO",6,10))+IF(T5886=1,2,IF(D5886=7,1,(IF(WEEKDAY(B5886)=1,2,IF(WEEKDAY(B5886)=7,1,0))))))</f>
        <v>3</v>
      </c>
    </row>
    <row r="5887" spans="2:22">
      <c r="B5887" s="318">
        <f t="shared" si="367"/>
        <v>46358</v>
      </c>
      <c r="C5887" s="312">
        <v>3</v>
      </c>
      <c r="D5887" s="368">
        <f>IFERROR((INDEX(METADATA!$T$2:$T$20,MATCH(B5887,METADATA!$S$2:$S$20,0))),0)</f>
        <v>0</v>
      </c>
      <c r="E5887" s="312" t="str">
        <f t="shared" si="364"/>
        <v>LO</v>
      </c>
      <c r="F5887" s="369">
        <f>VLOOKUP(C5887,METADATA!$A$5:$H$29,IF(E5887="HI",2,IF(E5887="LO",6,10))+IF(D5887=1,2,IF(D5887=7,1,(IF(WEEKDAY(B5887)=1,2,IF(WEEKDAY(B5887)=7,1,0))))))</f>
        <v>3</v>
      </c>
      <c r="G5887" s="369">
        <f>VLOOKUP(C5887,METADATA!$J$5:$Q$29,IF(E5887="HI",2,IF(E5887="LO",6,10))+IF(D5887=1,2,IF(D5887=7,1,(IF(WEEKDAY(B5887)=1,2,IF(WEEKDAY(B5887)=7,1,0))))))</f>
        <v>3</v>
      </c>
      <c r="H5887" s="370">
        <v>13169.675109863281</v>
      </c>
      <c r="I5887" s="370">
        <v>3973.5250244140625</v>
      </c>
      <c r="M5887" s="371">
        <f t="shared" si="365"/>
        <v>13756.06206801195</v>
      </c>
      <c r="N5887" s="329">
        <f t="shared" si="366"/>
        <v>22.622491455078489</v>
      </c>
      <c r="T5887" s="331">
        <v>0</v>
      </c>
      <c r="U5887" s="328">
        <f>VLOOKUP(C5887,METADATA!$J$5:$Q$29,IF(E5887="HI",2,IF(E5887="LO",6,10))+IF(T5887=1,2,IF(D5887=7,1,(IF(WEEKDAY(B5887)=1,2,IF(WEEKDAY(B5887)=7,1,0))))))</f>
        <v>3</v>
      </c>
      <c r="V5887" s="328">
        <f>VLOOKUP(C5887,METADATA!$A$5:$H$29,IF(E5887="HI",2,IF(E5887="LO",6,10))+IF(T5887=1,2,IF(D5887=7,1,(IF(WEEKDAY(B5887)=1,2,IF(WEEKDAY(B5887)=7,1,0))))))</f>
        <v>3</v>
      </c>
    </row>
    <row r="5888" spans="2:22">
      <c r="B5888" s="318">
        <f t="shared" si="367"/>
        <v>46358</v>
      </c>
      <c r="C5888" s="312">
        <v>4</v>
      </c>
      <c r="D5888" s="368">
        <f>IFERROR((INDEX(METADATA!$T$2:$T$20,MATCH(B5888,METADATA!$S$2:$S$20,0))),0)</f>
        <v>0</v>
      </c>
      <c r="E5888" s="312" t="str">
        <f t="shared" si="364"/>
        <v>LO</v>
      </c>
      <c r="F5888" s="369">
        <f>VLOOKUP(C5888,METADATA!$A$5:$H$29,IF(E5888="HI",2,IF(E5888="LO",6,10))+IF(D5888=1,2,IF(D5888=7,1,(IF(WEEKDAY(B5888)=1,2,IF(WEEKDAY(B5888)=7,1,0))))))</f>
        <v>3</v>
      </c>
      <c r="G5888" s="369">
        <f>VLOOKUP(C5888,METADATA!$J$5:$Q$29,IF(E5888="HI",2,IF(E5888="LO",6,10))+IF(D5888=1,2,IF(D5888=7,1,(IF(WEEKDAY(B5888)=1,2,IF(WEEKDAY(B5888)=7,1,0))))))</f>
        <v>3</v>
      </c>
      <c r="H5888" s="370">
        <v>13128.300170898438</v>
      </c>
      <c r="I5888" s="370">
        <v>3945.7600708007813</v>
      </c>
      <c r="M5888" s="371">
        <f t="shared" si="365"/>
        <v>13708.438565844679</v>
      </c>
      <c r="N5888" s="329">
        <f t="shared" si="366"/>
        <v>7.27001953125</v>
      </c>
      <c r="T5888" s="331">
        <v>0</v>
      </c>
      <c r="U5888" s="328">
        <f>VLOOKUP(C5888,METADATA!$J$5:$Q$29,IF(E5888="HI",2,IF(E5888="LO",6,10))+IF(T5888=1,2,IF(D5888=7,1,(IF(WEEKDAY(B5888)=1,2,IF(WEEKDAY(B5888)=7,1,0))))))</f>
        <v>3</v>
      </c>
      <c r="V5888" s="328">
        <f>VLOOKUP(C5888,METADATA!$A$5:$H$29,IF(E5888="HI",2,IF(E5888="LO",6,10))+IF(T5888=1,2,IF(D5888=7,1,(IF(WEEKDAY(B5888)=1,2,IF(WEEKDAY(B5888)=7,1,0))))))</f>
        <v>3</v>
      </c>
    </row>
    <row r="5889" spans="2:22">
      <c r="B5889" s="318">
        <f t="shared" si="367"/>
        <v>46358</v>
      </c>
      <c r="C5889" s="312">
        <v>5</v>
      </c>
      <c r="D5889" s="368">
        <f>IFERROR((INDEX(METADATA!$T$2:$T$20,MATCH(B5889,METADATA!$S$2:$S$20,0))),0)</f>
        <v>0</v>
      </c>
      <c r="E5889" s="312" t="str">
        <f t="shared" si="364"/>
        <v>LO</v>
      </c>
      <c r="F5889" s="369">
        <f>VLOOKUP(C5889,METADATA!$A$5:$H$29,IF(E5889="HI",2,IF(E5889="LO",6,10))+IF(D5889=1,2,IF(D5889=7,1,(IF(WEEKDAY(B5889)=1,2,IF(WEEKDAY(B5889)=7,1,0))))))</f>
        <v>3</v>
      </c>
      <c r="G5889" s="369">
        <f>VLOOKUP(C5889,METADATA!$J$5:$Q$29,IF(E5889="HI",2,IF(E5889="LO",6,10))+IF(D5889=1,2,IF(D5889=7,1,(IF(WEEKDAY(B5889)=1,2,IF(WEEKDAY(B5889)=7,1,0))))))</f>
        <v>3</v>
      </c>
      <c r="H5889" s="370">
        <v>12807.4248046875</v>
      </c>
      <c r="I5889" s="370">
        <v>3845.0449829101563</v>
      </c>
      <c r="M5889" s="371">
        <f t="shared" si="365"/>
        <v>13372.153941991814</v>
      </c>
      <c r="N5889" s="329">
        <f t="shared" si="366"/>
        <v>2.8175415039063409</v>
      </c>
      <c r="T5889" s="331">
        <v>0</v>
      </c>
      <c r="U5889" s="328">
        <f>VLOOKUP(C5889,METADATA!$J$5:$Q$29,IF(E5889="HI",2,IF(E5889="LO",6,10))+IF(T5889=1,2,IF(D5889=7,1,(IF(WEEKDAY(B5889)=1,2,IF(WEEKDAY(B5889)=7,1,0))))))</f>
        <v>3</v>
      </c>
      <c r="V5889" s="328">
        <f>VLOOKUP(C5889,METADATA!$A$5:$H$29,IF(E5889="HI",2,IF(E5889="LO",6,10))+IF(T5889=1,2,IF(D5889=7,1,(IF(WEEKDAY(B5889)=1,2,IF(WEEKDAY(B5889)=7,1,0))))))</f>
        <v>3</v>
      </c>
    </row>
    <row r="5890" spans="2:22">
      <c r="B5890" s="318">
        <f t="shared" si="367"/>
        <v>46358</v>
      </c>
      <c r="C5890" s="312">
        <v>6</v>
      </c>
      <c r="D5890" s="368">
        <f>IFERROR((INDEX(METADATA!$T$2:$T$20,MATCH(B5890,METADATA!$S$2:$S$20,0))),0)</f>
        <v>0</v>
      </c>
      <c r="E5890" s="312" t="str">
        <f t="shared" si="364"/>
        <v>LO</v>
      </c>
      <c r="F5890" s="369">
        <f>VLOOKUP(C5890,METADATA!$A$5:$H$29,IF(E5890="HI",2,IF(E5890="LO",6,10))+IF(D5890=1,2,IF(D5890=7,1,(IF(WEEKDAY(B5890)=1,2,IF(WEEKDAY(B5890)=7,1,0))))))</f>
        <v>2</v>
      </c>
      <c r="G5890" s="369">
        <f>VLOOKUP(C5890,METADATA!$J$5:$Q$29,IF(E5890="HI",2,IF(E5890="LO",6,10))+IF(D5890=1,2,IF(D5890=7,1,(IF(WEEKDAY(B5890)=1,2,IF(WEEKDAY(B5890)=7,1,0))))))</f>
        <v>2</v>
      </c>
      <c r="H5890" s="370">
        <v>12988.550231933594</v>
      </c>
      <c r="I5890" s="370">
        <v>3876.5199279785156</v>
      </c>
      <c r="M5890" s="371">
        <f t="shared" si="365"/>
        <v>13554.698221630637</v>
      </c>
      <c r="N5890" s="329">
        <f t="shared" si="366"/>
        <v>0</v>
      </c>
      <c r="T5890" s="331">
        <v>0</v>
      </c>
      <c r="U5890" s="328">
        <f>VLOOKUP(C5890,METADATA!$J$5:$Q$29,IF(E5890="HI",2,IF(E5890="LO",6,10))+IF(T5890=1,2,IF(D5890=7,1,(IF(WEEKDAY(B5890)=1,2,IF(WEEKDAY(B5890)=7,1,0))))))</f>
        <v>2</v>
      </c>
      <c r="V5890" s="328">
        <f>VLOOKUP(C5890,METADATA!$A$5:$H$29,IF(E5890="HI",2,IF(E5890="LO",6,10))+IF(T5890=1,2,IF(D5890=7,1,(IF(WEEKDAY(B5890)=1,2,IF(WEEKDAY(B5890)=7,1,0))))))</f>
        <v>2</v>
      </c>
    </row>
    <row r="5891" spans="2:22">
      <c r="B5891" s="318">
        <f t="shared" si="367"/>
        <v>46358</v>
      </c>
      <c r="C5891" s="312">
        <v>7</v>
      </c>
      <c r="D5891" s="368">
        <f>IFERROR((INDEX(METADATA!$T$2:$T$20,MATCH(B5891,METADATA!$S$2:$S$20,0))),0)</f>
        <v>0</v>
      </c>
      <c r="E5891" s="312" t="str">
        <f t="shared" si="364"/>
        <v>LO</v>
      </c>
      <c r="F5891" s="369">
        <f>VLOOKUP(C5891,METADATA!$A$5:$H$29,IF(E5891="HI",2,IF(E5891="LO",6,10))+IF(D5891=1,2,IF(D5891=7,1,(IF(WEEKDAY(B5891)=1,2,IF(WEEKDAY(B5891)=7,1,0))))))</f>
        <v>1</v>
      </c>
      <c r="G5891" s="369">
        <f>VLOOKUP(C5891,METADATA!$J$5:$Q$29,IF(E5891="HI",2,IF(E5891="LO",6,10))+IF(D5891=1,2,IF(D5891=7,1,(IF(WEEKDAY(B5891)=1,2,IF(WEEKDAY(B5891)=7,1,0))))))</f>
        <v>1</v>
      </c>
      <c r="H5891" s="370">
        <v>12917.424560546875</v>
      </c>
      <c r="I5891" s="370">
        <v>3757.474853515625</v>
      </c>
      <c r="M5891" s="371">
        <f t="shared" si="365"/>
        <v>13452.824036321217</v>
      </c>
      <c r="N5891" s="329">
        <f t="shared" si="366"/>
        <v>0</v>
      </c>
      <c r="T5891" s="331">
        <v>0</v>
      </c>
      <c r="U5891" s="328">
        <f>VLOOKUP(C5891,METADATA!$J$5:$Q$29,IF(E5891="HI",2,IF(E5891="LO",6,10))+IF(T5891=1,2,IF(D5891=7,1,(IF(WEEKDAY(B5891)=1,2,IF(WEEKDAY(B5891)=7,1,0))))))</f>
        <v>1</v>
      </c>
      <c r="V5891" s="328">
        <f>VLOOKUP(C5891,METADATA!$A$5:$H$29,IF(E5891="HI",2,IF(E5891="LO",6,10))+IF(T5891=1,2,IF(D5891=7,1,(IF(WEEKDAY(B5891)=1,2,IF(WEEKDAY(B5891)=7,1,0))))))</f>
        <v>1</v>
      </c>
    </row>
    <row r="5892" spans="2:22">
      <c r="B5892" s="318">
        <f t="shared" si="367"/>
        <v>46358</v>
      </c>
      <c r="C5892" s="312">
        <v>8</v>
      </c>
      <c r="D5892" s="368">
        <f>IFERROR((INDEX(METADATA!$T$2:$T$20,MATCH(B5892,METADATA!$S$2:$S$20,0))),0)</f>
        <v>0</v>
      </c>
      <c r="E5892" s="312" t="str">
        <f t="shared" ref="E5892:E5955" si="368">IF(B5892="","",IF(AND(MONTH(B5892)&gt;=MONTH($Z$9),MONTH(B5892)&lt;=MONTH($Z$11)),"HI","LO"))</f>
        <v>LO</v>
      </c>
      <c r="F5892" s="369">
        <f>VLOOKUP(C5892,METADATA!$A$5:$H$29,IF(E5892="HI",2,IF(E5892="LO",6,10))+IF(D5892=1,2,IF(D5892=7,1,(IF(WEEKDAY(B5892)=1,2,IF(WEEKDAY(B5892)=7,1,0))))))</f>
        <v>1</v>
      </c>
      <c r="G5892" s="369">
        <f>VLOOKUP(C5892,METADATA!$J$5:$Q$29,IF(E5892="HI",2,IF(E5892="LO",6,10))+IF(D5892=1,2,IF(D5892=7,1,(IF(WEEKDAY(B5892)=1,2,IF(WEEKDAY(B5892)=7,1,0))))))</f>
        <v>1</v>
      </c>
      <c r="H5892" s="370">
        <v>12974.974670410156</v>
      </c>
      <c r="I5892" s="370">
        <v>3737.0699920654297</v>
      </c>
      <c r="M5892" s="371">
        <f t="shared" ref="M5892:M5955" si="369">SQRT(H5892^2+I5892^2)</f>
        <v>13502.431626317573</v>
      </c>
      <c r="N5892" s="329">
        <f t="shared" ref="N5892:N5955" si="370">IF(H5892=0,0,(IF(I5892-(0.3*H5892)&lt;0,0,(I5892-(0.3*H5892)))))</f>
        <v>0</v>
      </c>
      <c r="T5892" s="331">
        <v>0</v>
      </c>
      <c r="U5892" s="328">
        <f>VLOOKUP(C5892,METADATA!$J$5:$Q$29,IF(E5892="HI",2,IF(E5892="LO",6,10))+IF(T5892=1,2,IF(D5892=7,1,(IF(WEEKDAY(B5892)=1,2,IF(WEEKDAY(B5892)=7,1,0))))))</f>
        <v>1</v>
      </c>
      <c r="V5892" s="328">
        <f>VLOOKUP(C5892,METADATA!$A$5:$H$29,IF(E5892="HI",2,IF(E5892="LO",6,10))+IF(T5892=1,2,IF(D5892=7,1,(IF(WEEKDAY(B5892)=1,2,IF(WEEKDAY(B5892)=7,1,0))))))</f>
        <v>1</v>
      </c>
    </row>
    <row r="5893" spans="2:22">
      <c r="B5893" s="318">
        <f t="shared" si="367"/>
        <v>46358</v>
      </c>
      <c r="C5893" s="312">
        <v>9</v>
      </c>
      <c r="D5893" s="368">
        <f>IFERROR((INDEX(METADATA!$T$2:$T$20,MATCH(B5893,METADATA!$S$2:$S$20,0))),0)</f>
        <v>0</v>
      </c>
      <c r="E5893" s="312" t="str">
        <f t="shared" si="368"/>
        <v>LO</v>
      </c>
      <c r="F5893" s="369">
        <f>VLOOKUP(C5893,METADATA!$A$5:$H$29,IF(E5893="HI",2,IF(E5893="LO",6,10))+IF(D5893=1,2,IF(D5893=7,1,(IF(WEEKDAY(B5893)=1,2,IF(WEEKDAY(B5893)=7,1,0))))))</f>
        <v>2</v>
      </c>
      <c r="G5893" s="369">
        <f>VLOOKUP(C5893,METADATA!$J$5:$Q$29,IF(E5893="HI",2,IF(E5893="LO",6,10))+IF(D5893=1,2,IF(D5893=7,1,(IF(WEEKDAY(B5893)=1,2,IF(WEEKDAY(B5893)=7,1,0))))))</f>
        <v>2</v>
      </c>
      <c r="H5893" s="370">
        <v>13089.649780273438</v>
      </c>
      <c r="I5893" s="370">
        <v>3949.1350708007813</v>
      </c>
      <c r="M5893" s="371">
        <f t="shared" si="369"/>
        <v>13672.402831164723</v>
      </c>
      <c r="N5893" s="329">
        <f t="shared" si="370"/>
        <v>22.240136718750364</v>
      </c>
      <c r="T5893" s="331">
        <v>0</v>
      </c>
      <c r="U5893" s="328">
        <f>VLOOKUP(C5893,METADATA!$J$5:$Q$29,IF(E5893="HI",2,IF(E5893="LO",6,10))+IF(T5893=1,2,IF(D5893=7,1,(IF(WEEKDAY(B5893)=1,2,IF(WEEKDAY(B5893)=7,1,0))))))</f>
        <v>2</v>
      </c>
      <c r="V5893" s="328">
        <f>VLOOKUP(C5893,METADATA!$A$5:$H$29,IF(E5893="HI",2,IF(E5893="LO",6,10))+IF(T5893=1,2,IF(D5893=7,1,(IF(WEEKDAY(B5893)=1,2,IF(WEEKDAY(B5893)=7,1,0))))))</f>
        <v>2</v>
      </c>
    </row>
    <row r="5894" spans="2:22">
      <c r="B5894" s="318">
        <f t="shared" si="367"/>
        <v>46358</v>
      </c>
      <c r="C5894" s="312">
        <v>10</v>
      </c>
      <c r="D5894" s="368">
        <f>IFERROR((INDEX(METADATA!$T$2:$T$20,MATCH(B5894,METADATA!$S$2:$S$20,0))),0)</f>
        <v>0</v>
      </c>
      <c r="E5894" s="312" t="str">
        <f t="shared" si="368"/>
        <v>LO</v>
      </c>
      <c r="F5894" s="369">
        <f>VLOOKUP(C5894,METADATA!$A$5:$H$29,IF(E5894="HI",2,IF(E5894="LO",6,10))+IF(D5894=1,2,IF(D5894=7,1,(IF(WEEKDAY(B5894)=1,2,IF(WEEKDAY(B5894)=7,1,0))))))</f>
        <v>2</v>
      </c>
      <c r="G5894" s="369">
        <f>VLOOKUP(C5894,METADATA!$J$5:$Q$29,IF(E5894="HI",2,IF(E5894="LO",6,10))+IF(D5894=1,2,IF(D5894=7,1,(IF(WEEKDAY(B5894)=1,2,IF(WEEKDAY(B5894)=7,1,0))))))</f>
        <v>2</v>
      </c>
      <c r="H5894" s="370">
        <v>13174.799743652344</v>
      </c>
      <c r="I5894" s="370">
        <v>3968.2450256347656</v>
      </c>
      <c r="M5894" s="371">
        <f t="shared" si="369"/>
        <v>13759.44464245621</v>
      </c>
      <c r="N5894" s="329">
        <f t="shared" si="370"/>
        <v>15.805102539062773</v>
      </c>
      <c r="T5894" s="331">
        <v>0</v>
      </c>
      <c r="U5894" s="328">
        <f>VLOOKUP(C5894,METADATA!$J$5:$Q$29,IF(E5894="HI",2,IF(E5894="LO",6,10))+IF(T5894=1,2,IF(D5894=7,1,(IF(WEEKDAY(B5894)=1,2,IF(WEEKDAY(B5894)=7,1,0))))))</f>
        <v>2</v>
      </c>
      <c r="V5894" s="328">
        <f>VLOOKUP(C5894,METADATA!$A$5:$H$29,IF(E5894="HI",2,IF(E5894="LO",6,10))+IF(T5894=1,2,IF(D5894=7,1,(IF(WEEKDAY(B5894)=1,2,IF(WEEKDAY(B5894)=7,1,0))))))</f>
        <v>2</v>
      </c>
    </row>
    <row r="5895" spans="2:22">
      <c r="B5895" s="318">
        <f t="shared" si="367"/>
        <v>46358</v>
      </c>
      <c r="C5895" s="312">
        <v>11</v>
      </c>
      <c r="D5895" s="368">
        <f>IFERROR((INDEX(METADATA!$T$2:$T$20,MATCH(B5895,METADATA!$S$2:$S$20,0))),0)</f>
        <v>0</v>
      </c>
      <c r="E5895" s="312" t="str">
        <f t="shared" si="368"/>
        <v>LO</v>
      </c>
      <c r="F5895" s="369">
        <f>VLOOKUP(C5895,METADATA!$A$5:$H$29,IF(E5895="HI",2,IF(E5895="LO",6,10))+IF(D5895=1,2,IF(D5895=7,1,(IF(WEEKDAY(B5895)=1,2,IF(WEEKDAY(B5895)=7,1,0))))))</f>
        <v>2</v>
      </c>
      <c r="G5895" s="369">
        <f>VLOOKUP(C5895,METADATA!$J$5:$Q$29,IF(E5895="HI",2,IF(E5895="LO",6,10))+IF(D5895=1,2,IF(D5895=7,1,(IF(WEEKDAY(B5895)=1,2,IF(WEEKDAY(B5895)=7,1,0))))))</f>
        <v>2</v>
      </c>
      <c r="H5895" s="370">
        <v>13139.675048828125</v>
      </c>
      <c r="I5895" s="370">
        <v>3839.0399322509766</v>
      </c>
      <c r="M5895" s="371">
        <f t="shared" si="369"/>
        <v>13689.020709686065</v>
      </c>
      <c r="N5895" s="329">
        <f t="shared" si="370"/>
        <v>0</v>
      </c>
      <c r="T5895" s="331">
        <v>0</v>
      </c>
      <c r="U5895" s="328">
        <f>VLOOKUP(C5895,METADATA!$J$5:$Q$29,IF(E5895="HI",2,IF(E5895="LO",6,10))+IF(T5895=1,2,IF(D5895=7,1,(IF(WEEKDAY(B5895)=1,2,IF(WEEKDAY(B5895)=7,1,0))))))</f>
        <v>2</v>
      </c>
      <c r="V5895" s="328">
        <f>VLOOKUP(C5895,METADATA!$A$5:$H$29,IF(E5895="HI",2,IF(E5895="LO",6,10))+IF(T5895=1,2,IF(D5895=7,1,(IF(WEEKDAY(B5895)=1,2,IF(WEEKDAY(B5895)=7,1,0))))))</f>
        <v>2</v>
      </c>
    </row>
    <row r="5896" spans="2:22">
      <c r="B5896" s="318">
        <f t="shared" si="367"/>
        <v>46358</v>
      </c>
      <c r="C5896" s="312">
        <v>12</v>
      </c>
      <c r="D5896" s="368">
        <f>IFERROR((INDEX(METADATA!$T$2:$T$20,MATCH(B5896,METADATA!$S$2:$S$20,0))),0)</f>
        <v>0</v>
      </c>
      <c r="E5896" s="312" t="str">
        <f t="shared" si="368"/>
        <v>LO</v>
      </c>
      <c r="F5896" s="369">
        <f>VLOOKUP(C5896,METADATA!$A$5:$H$29,IF(E5896="HI",2,IF(E5896="LO",6,10))+IF(D5896=1,2,IF(D5896=7,1,(IF(WEEKDAY(B5896)=1,2,IF(WEEKDAY(B5896)=7,1,0))))))</f>
        <v>2</v>
      </c>
      <c r="G5896" s="369">
        <f>VLOOKUP(C5896,METADATA!$J$5:$Q$29,IF(E5896="HI",2,IF(E5896="LO",6,10))+IF(D5896=1,2,IF(D5896=7,1,(IF(WEEKDAY(B5896)=1,2,IF(WEEKDAY(B5896)=7,1,0))))))</f>
        <v>2</v>
      </c>
      <c r="H5896" s="370">
        <v>10729.999694824219</v>
      </c>
      <c r="I5896" s="370">
        <v>3092.4850921630859</v>
      </c>
      <c r="M5896" s="371">
        <f t="shared" si="369"/>
        <v>11166.752325371004</v>
      </c>
      <c r="N5896" s="329">
        <f t="shared" si="370"/>
        <v>0</v>
      </c>
      <c r="T5896" s="331">
        <v>0</v>
      </c>
      <c r="U5896" s="328">
        <f>VLOOKUP(C5896,METADATA!$J$5:$Q$29,IF(E5896="HI",2,IF(E5896="LO",6,10))+IF(T5896=1,2,IF(D5896=7,1,(IF(WEEKDAY(B5896)=1,2,IF(WEEKDAY(B5896)=7,1,0))))))</f>
        <v>2</v>
      </c>
      <c r="V5896" s="328">
        <f>VLOOKUP(C5896,METADATA!$A$5:$H$29,IF(E5896="HI",2,IF(E5896="LO",6,10))+IF(T5896=1,2,IF(D5896=7,1,(IF(WEEKDAY(B5896)=1,2,IF(WEEKDAY(B5896)=7,1,0))))))</f>
        <v>2</v>
      </c>
    </row>
    <row r="5897" spans="2:22">
      <c r="B5897" s="318">
        <f t="shared" si="367"/>
        <v>46358</v>
      </c>
      <c r="C5897" s="312">
        <v>13</v>
      </c>
      <c r="D5897" s="368">
        <f>IFERROR((INDEX(METADATA!$T$2:$T$20,MATCH(B5897,METADATA!$S$2:$S$20,0))),0)</f>
        <v>0</v>
      </c>
      <c r="E5897" s="312" t="str">
        <f t="shared" si="368"/>
        <v>LO</v>
      </c>
      <c r="F5897" s="369">
        <f>VLOOKUP(C5897,METADATA!$A$5:$H$29,IF(E5897="HI",2,IF(E5897="LO",6,10))+IF(D5897=1,2,IF(D5897=7,1,(IF(WEEKDAY(B5897)=1,2,IF(WEEKDAY(B5897)=7,1,0))))))</f>
        <v>2</v>
      </c>
      <c r="G5897" s="369">
        <f>VLOOKUP(C5897,METADATA!$J$5:$Q$29,IF(E5897="HI",2,IF(E5897="LO",6,10))+IF(D5897=1,2,IF(D5897=7,1,(IF(WEEKDAY(B5897)=1,2,IF(WEEKDAY(B5897)=7,1,0))))))</f>
        <v>2</v>
      </c>
      <c r="H5897" s="370">
        <v>5936.4000854492188</v>
      </c>
      <c r="I5897" s="370">
        <v>1700.8925170898438</v>
      </c>
      <c r="M5897" s="371">
        <f t="shared" si="369"/>
        <v>6175.2636647525997</v>
      </c>
      <c r="N5897" s="329">
        <f t="shared" si="370"/>
        <v>0</v>
      </c>
      <c r="T5897" s="331">
        <v>0</v>
      </c>
      <c r="U5897" s="328">
        <f>VLOOKUP(C5897,METADATA!$J$5:$Q$29,IF(E5897="HI",2,IF(E5897="LO",6,10))+IF(T5897=1,2,IF(D5897=7,1,(IF(WEEKDAY(B5897)=1,2,IF(WEEKDAY(B5897)=7,1,0))))))</f>
        <v>2</v>
      </c>
      <c r="V5897" s="328">
        <f>VLOOKUP(C5897,METADATA!$A$5:$H$29,IF(E5897="HI",2,IF(E5897="LO",6,10))+IF(T5897=1,2,IF(D5897=7,1,(IF(WEEKDAY(B5897)=1,2,IF(WEEKDAY(B5897)=7,1,0))))))</f>
        <v>2</v>
      </c>
    </row>
    <row r="5898" spans="2:22">
      <c r="B5898" s="318">
        <f t="shared" si="367"/>
        <v>46358</v>
      </c>
      <c r="C5898" s="312">
        <v>14</v>
      </c>
      <c r="D5898" s="368">
        <f>IFERROR((INDEX(METADATA!$T$2:$T$20,MATCH(B5898,METADATA!$S$2:$S$20,0))),0)</f>
        <v>0</v>
      </c>
      <c r="E5898" s="312" t="str">
        <f t="shared" si="368"/>
        <v>LO</v>
      </c>
      <c r="F5898" s="369">
        <f>VLOOKUP(C5898,METADATA!$A$5:$H$29,IF(E5898="HI",2,IF(E5898="LO",6,10))+IF(D5898=1,2,IF(D5898=7,1,(IF(WEEKDAY(B5898)=1,2,IF(WEEKDAY(B5898)=7,1,0))))))</f>
        <v>2</v>
      </c>
      <c r="G5898" s="369">
        <f>VLOOKUP(C5898,METADATA!$J$5:$Q$29,IF(E5898="HI",2,IF(E5898="LO",6,10))+IF(D5898=1,2,IF(D5898=7,1,(IF(WEEKDAY(B5898)=1,2,IF(WEEKDAY(B5898)=7,1,0))))))</f>
        <v>2</v>
      </c>
      <c r="H5898" s="370">
        <v>6454.7500610351563</v>
      </c>
      <c r="I5898" s="370">
        <v>1714.177490234375</v>
      </c>
      <c r="M5898" s="371">
        <f t="shared" si="369"/>
        <v>6678.4880638105187</v>
      </c>
      <c r="N5898" s="329">
        <f t="shared" si="370"/>
        <v>0</v>
      </c>
      <c r="T5898" s="331">
        <v>0</v>
      </c>
      <c r="U5898" s="328">
        <f>VLOOKUP(C5898,METADATA!$J$5:$Q$29,IF(E5898="HI",2,IF(E5898="LO",6,10))+IF(T5898=1,2,IF(D5898=7,1,(IF(WEEKDAY(B5898)=1,2,IF(WEEKDAY(B5898)=7,1,0))))))</f>
        <v>2</v>
      </c>
      <c r="V5898" s="328">
        <f>VLOOKUP(C5898,METADATA!$A$5:$H$29,IF(E5898="HI",2,IF(E5898="LO",6,10))+IF(T5898=1,2,IF(D5898=7,1,(IF(WEEKDAY(B5898)=1,2,IF(WEEKDAY(B5898)=7,1,0))))))</f>
        <v>2</v>
      </c>
    </row>
    <row r="5899" spans="2:22">
      <c r="B5899" s="318">
        <f t="shared" si="367"/>
        <v>46358</v>
      </c>
      <c r="C5899" s="312">
        <v>15</v>
      </c>
      <c r="D5899" s="368">
        <f>IFERROR((INDEX(METADATA!$T$2:$T$20,MATCH(B5899,METADATA!$S$2:$S$20,0))),0)</f>
        <v>0</v>
      </c>
      <c r="E5899" s="312" t="str">
        <f t="shared" si="368"/>
        <v>LO</v>
      </c>
      <c r="F5899" s="369">
        <f>VLOOKUP(C5899,METADATA!$A$5:$H$29,IF(E5899="HI",2,IF(E5899="LO",6,10))+IF(D5899=1,2,IF(D5899=7,1,(IF(WEEKDAY(B5899)=1,2,IF(WEEKDAY(B5899)=7,1,0))))))</f>
        <v>2</v>
      </c>
      <c r="G5899" s="369">
        <f>VLOOKUP(C5899,METADATA!$J$5:$Q$29,IF(E5899="HI",2,IF(E5899="LO",6,10))+IF(D5899=1,2,IF(D5899=7,1,(IF(WEEKDAY(B5899)=1,2,IF(WEEKDAY(B5899)=7,1,0))))))</f>
        <v>2</v>
      </c>
      <c r="H5899" s="370">
        <v>9110.050048828125</v>
      </c>
      <c r="I5899" s="370">
        <v>1914.262455701828</v>
      </c>
      <c r="M5899" s="371">
        <f t="shared" si="369"/>
        <v>9308.9963283623074</v>
      </c>
      <c r="N5899" s="329">
        <f t="shared" si="370"/>
        <v>0</v>
      </c>
      <c r="T5899" s="331">
        <v>0</v>
      </c>
      <c r="U5899" s="328">
        <f>VLOOKUP(C5899,METADATA!$J$5:$Q$29,IF(E5899="HI",2,IF(E5899="LO",6,10))+IF(T5899=1,2,IF(D5899=7,1,(IF(WEEKDAY(B5899)=1,2,IF(WEEKDAY(B5899)=7,1,0))))))</f>
        <v>2</v>
      </c>
      <c r="V5899" s="328">
        <f>VLOOKUP(C5899,METADATA!$A$5:$H$29,IF(E5899="HI",2,IF(E5899="LO",6,10))+IF(T5899=1,2,IF(D5899=7,1,(IF(WEEKDAY(B5899)=1,2,IF(WEEKDAY(B5899)=7,1,0))))))</f>
        <v>2</v>
      </c>
    </row>
    <row r="5900" spans="2:22">
      <c r="B5900" s="318">
        <f t="shared" si="367"/>
        <v>46358</v>
      </c>
      <c r="C5900" s="312">
        <v>16</v>
      </c>
      <c r="D5900" s="368">
        <f>IFERROR((INDEX(METADATA!$T$2:$T$20,MATCH(B5900,METADATA!$S$2:$S$20,0))),0)</f>
        <v>0</v>
      </c>
      <c r="E5900" s="312" t="str">
        <f t="shared" si="368"/>
        <v>LO</v>
      </c>
      <c r="F5900" s="369">
        <f>VLOOKUP(C5900,METADATA!$A$5:$H$29,IF(E5900="HI",2,IF(E5900="LO",6,10))+IF(D5900=1,2,IF(D5900=7,1,(IF(WEEKDAY(B5900)=1,2,IF(WEEKDAY(B5900)=7,1,0))))))</f>
        <v>2</v>
      </c>
      <c r="G5900" s="369">
        <f>VLOOKUP(C5900,METADATA!$J$5:$Q$29,IF(E5900="HI",2,IF(E5900="LO",6,10))+IF(D5900=1,2,IF(D5900=7,1,(IF(WEEKDAY(B5900)=1,2,IF(WEEKDAY(B5900)=7,1,0))))))</f>
        <v>2</v>
      </c>
      <c r="H5900" s="370">
        <v>8174.6549987792969</v>
      </c>
      <c r="I5900" s="370">
        <v>1902.0025291442871</v>
      </c>
      <c r="M5900" s="371">
        <f t="shared" si="369"/>
        <v>8393.0088746491037</v>
      </c>
      <c r="N5900" s="329">
        <f t="shared" si="370"/>
        <v>0</v>
      </c>
      <c r="T5900" s="331">
        <v>0</v>
      </c>
      <c r="U5900" s="328">
        <f>VLOOKUP(C5900,METADATA!$J$5:$Q$29,IF(E5900="HI",2,IF(E5900="LO",6,10))+IF(T5900=1,2,IF(D5900=7,1,(IF(WEEKDAY(B5900)=1,2,IF(WEEKDAY(B5900)=7,1,0))))))</f>
        <v>2</v>
      </c>
      <c r="V5900" s="328">
        <f>VLOOKUP(C5900,METADATA!$A$5:$H$29,IF(E5900="HI",2,IF(E5900="LO",6,10))+IF(T5900=1,2,IF(D5900=7,1,(IF(WEEKDAY(B5900)=1,2,IF(WEEKDAY(B5900)=7,1,0))))))</f>
        <v>2</v>
      </c>
    </row>
    <row r="5901" spans="2:22">
      <c r="B5901" s="318">
        <f t="shared" si="367"/>
        <v>46358</v>
      </c>
      <c r="C5901" s="312">
        <v>17</v>
      </c>
      <c r="D5901" s="368">
        <f>IFERROR((INDEX(METADATA!$T$2:$T$20,MATCH(B5901,METADATA!$S$2:$S$20,0))),0)</f>
        <v>0</v>
      </c>
      <c r="E5901" s="312" t="str">
        <f t="shared" si="368"/>
        <v>LO</v>
      </c>
      <c r="F5901" s="369">
        <f>VLOOKUP(C5901,METADATA!$A$5:$H$29,IF(E5901="HI",2,IF(E5901="LO",6,10))+IF(D5901=1,2,IF(D5901=7,1,(IF(WEEKDAY(B5901)=1,2,IF(WEEKDAY(B5901)=7,1,0))))))</f>
        <v>2</v>
      </c>
      <c r="G5901" s="369">
        <f>VLOOKUP(C5901,METADATA!$J$5:$Q$29,IF(E5901="HI",2,IF(E5901="LO",6,10))+IF(D5901=1,2,IF(D5901=7,1,(IF(WEEKDAY(B5901)=1,2,IF(WEEKDAY(B5901)=7,1,0))))))</f>
        <v>2</v>
      </c>
      <c r="H5901" s="370">
        <v>8287.9849853515625</v>
      </c>
      <c r="I5901" s="370">
        <v>1748.5199818015099</v>
      </c>
      <c r="M5901" s="371">
        <f t="shared" si="369"/>
        <v>8470.4201338642051</v>
      </c>
      <c r="N5901" s="329">
        <f t="shared" si="370"/>
        <v>0</v>
      </c>
      <c r="T5901" s="331">
        <v>0</v>
      </c>
      <c r="U5901" s="328">
        <f>VLOOKUP(C5901,METADATA!$J$5:$Q$29,IF(E5901="HI",2,IF(E5901="LO",6,10))+IF(T5901=1,2,IF(D5901=7,1,(IF(WEEKDAY(B5901)=1,2,IF(WEEKDAY(B5901)=7,1,0))))))</f>
        <v>2</v>
      </c>
      <c r="V5901" s="328">
        <f>VLOOKUP(C5901,METADATA!$A$5:$H$29,IF(E5901="HI",2,IF(E5901="LO",6,10))+IF(T5901=1,2,IF(D5901=7,1,(IF(WEEKDAY(B5901)=1,2,IF(WEEKDAY(B5901)=7,1,0))))))</f>
        <v>2</v>
      </c>
    </row>
    <row r="5902" spans="2:22">
      <c r="B5902" s="318">
        <f t="shared" si="367"/>
        <v>46358</v>
      </c>
      <c r="C5902" s="312">
        <v>18</v>
      </c>
      <c r="D5902" s="368">
        <f>IFERROR((INDEX(METADATA!$T$2:$T$20,MATCH(B5902,METADATA!$S$2:$S$20,0))),0)</f>
        <v>0</v>
      </c>
      <c r="E5902" s="312" t="str">
        <f t="shared" si="368"/>
        <v>LO</v>
      </c>
      <c r="F5902" s="369">
        <f>VLOOKUP(C5902,METADATA!$A$5:$H$29,IF(E5902="HI",2,IF(E5902="LO",6,10))+IF(D5902=1,2,IF(D5902=7,1,(IF(WEEKDAY(B5902)=1,2,IF(WEEKDAY(B5902)=7,1,0))))))</f>
        <v>1</v>
      </c>
      <c r="G5902" s="369">
        <f>VLOOKUP(C5902,METADATA!$J$5:$Q$29,IF(E5902="HI",2,IF(E5902="LO",6,10))+IF(D5902=1,2,IF(D5902=7,1,(IF(WEEKDAY(B5902)=1,2,IF(WEEKDAY(B5902)=7,1,0))))))</f>
        <v>1</v>
      </c>
      <c r="H5902" s="370">
        <v>8150.6800231933594</v>
      </c>
      <c r="I5902" s="370">
        <v>1701.8124847412109</v>
      </c>
      <c r="M5902" s="371">
        <f t="shared" si="369"/>
        <v>8326.4488573283361</v>
      </c>
      <c r="N5902" s="329">
        <f t="shared" si="370"/>
        <v>0</v>
      </c>
      <c r="T5902" s="331">
        <v>0</v>
      </c>
      <c r="U5902" s="328">
        <f>VLOOKUP(C5902,METADATA!$J$5:$Q$29,IF(E5902="HI",2,IF(E5902="LO",6,10))+IF(T5902=1,2,IF(D5902=7,1,(IF(WEEKDAY(B5902)=1,2,IF(WEEKDAY(B5902)=7,1,0))))))</f>
        <v>1</v>
      </c>
      <c r="V5902" s="328">
        <f>VLOOKUP(C5902,METADATA!$A$5:$H$29,IF(E5902="HI",2,IF(E5902="LO",6,10))+IF(T5902=1,2,IF(D5902=7,1,(IF(WEEKDAY(B5902)=1,2,IF(WEEKDAY(B5902)=7,1,0))))))</f>
        <v>1</v>
      </c>
    </row>
    <row r="5903" spans="2:22">
      <c r="B5903" s="318">
        <f t="shared" si="367"/>
        <v>46358</v>
      </c>
      <c r="C5903" s="312">
        <v>19</v>
      </c>
      <c r="D5903" s="368">
        <f>IFERROR((INDEX(METADATA!$T$2:$T$20,MATCH(B5903,METADATA!$S$2:$S$20,0))),0)</f>
        <v>0</v>
      </c>
      <c r="E5903" s="312" t="str">
        <f t="shared" si="368"/>
        <v>LO</v>
      </c>
      <c r="F5903" s="369">
        <f>VLOOKUP(C5903,METADATA!$A$5:$H$29,IF(E5903="HI",2,IF(E5903="LO",6,10))+IF(D5903=1,2,IF(D5903=7,1,(IF(WEEKDAY(B5903)=1,2,IF(WEEKDAY(B5903)=7,1,0))))))</f>
        <v>1</v>
      </c>
      <c r="G5903" s="369">
        <f>VLOOKUP(C5903,METADATA!$J$5:$Q$29,IF(E5903="HI",2,IF(E5903="LO",6,10))+IF(D5903=1,2,IF(D5903=7,1,(IF(WEEKDAY(B5903)=1,2,IF(WEEKDAY(B5903)=7,1,0))))))</f>
        <v>1</v>
      </c>
      <c r="H5903" s="370">
        <v>6374.4699096679688</v>
      </c>
      <c r="I5903" s="370">
        <v>1596.3875427246094</v>
      </c>
      <c r="M5903" s="371">
        <f t="shared" si="369"/>
        <v>6571.3255752419291</v>
      </c>
      <c r="N5903" s="329">
        <f t="shared" si="370"/>
        <v>0</v>
      </c>
      <c r="T5903" s="331">
        <v>0</v>
      </c>
      <c r="U5903" s="328">
        <f>VLOOKUP(C5903,METADATA!$J$5:$Q$29,IF(E5903="HI",2,IF(E5903="LO",6,10))+IF(T5903=1,2,IF(D5903=7,1,(IF(WEEKDAY(B5903)=1,2,IF(WEEKDAY(B5903)=7,1,0))))))</f>
        <v>1</v>
      </c>
      <c r="V5903" s="328">
        <f>VLOOKUP(C5903,METADATA!$A$5:$H$29,IF(E5903="HI",2,IF(E5903="LO",6,10))+IF(T5903=1,2,IF(D5903=7,1,(IF(WEEKDAY(B5903)=1,2,IF(WEEKDAY(B5903)=7,1,0))))))</f>
        <v>1</v>
      </c>
    </row>
    <row r="5904" spans="2:22">
      <c r="B5904" s="318">
        <f t="shared" si="367"/>
        <v>46358</v>
      </c>
      <c r="C5904" s="312">
        <v>20</v>
      </c>
      <c r="D5904" s="368">
        <f>IFERROR((INDEX(METADATA!$T$2:$T$20,MATCH(B5904,METADATA!$S$2:$S$20,0))),0)</f>
        <v>0</v>
      </c>
      <c r="E5904" s="312" t="str">
        <f t="shared" si="368"/>
        <v>LO</v>
      </c>
      <c r="F5904" s="369">
        <f>VLOOKUP(C5904,METADATA!$A$5:$H$29,IF(E5904="HI",2,IF(E5904="LO",6,10))+IF(D5904=1,2,IF(D5904=7,1,(IF(WEEKDAY(B5904)=1,2,IF(WEEKDAY(B5904)=7,1,0))))))</f>
        <v>1</v>
      </c>
      <c r="G5904" s="369">
        <f>VLOOKUP(C5904,METADATA!$J$5:$Q$29,IF(E5904="HI",2,IF(E5904="LO",6,10))+IF(D5904=1,2,IF(D5904=7,1,(IF(WEEKDAY(B5904)=1,2,IF(WEEKDAY(B5904)=7,1,0))))))</f>
        <v>1</v>
      </c>
      <c r="H5904" s="370">
        <v>5911.0501403808594</v>
      </c>
      <c r="I5904" s="370">
        <v>1550.6600341796875</v>
      </c>
      <c r="M5904" s="371">
        <f t="shared" si="369"/>
        <v>6111.0604892848778</v>
      </c>
      <c r="N5904" s="329">
        <f t="shared" si="370"/>
        <v>0</v>
      </c>
      <c r="T5904" s="331">
        <v>0</v>
      </c>
      <c r="U5904" s="328">
        <f>VLOOKUP(C5904,METADATA!$J$5:$Q$29,IF(E5904="HI",2,IF(E5904="LO",6,10))+IF(T5904=1,2,IF(D5904=7,1,(IF(WEEKDAY(B5904)=1,2,IF(WEEKDAY(B5904)=7,1,0))))))</f>
        <v>1</v>
      </c>
      <c r="V5904" s="328">
        <f>VLOOKUP(C5904,METADATA!$A$5:$H$29,IF(E5904="HI",2,IF(E5904="LO",6,10))+IF(T5904=1,2,IF(D5904=7,1,(IF(WEEKDAY(B5904)=1,2,IF(WEEKDAY(B5904)=7,1,0))))))</f>
        <v>1</v>
      </c>
    </row>
    <row r="5905" spans="2:22">
      <c r="B5905" s="318">
        <f t="shared" si="367"/>
        <v>46358</v>
      </c>
      <c r="C5905" s="312">
        <v>21</v>
      </c>
      <c r="D5905" s="368">
        <f>IFERROR((INDEX(METADATA!$T$2:$T$20,MATCH(B5905,METADATA!$S$2:$S$20,0))),0)</f>
        <v>0</v>
      </c>
      <c r="E5905" s="312" t="str">
        <f t="shared" si="368"/>
        <v>LO</v>
      </c>
      <c r="F5905" s="369">
        <f>VLOOKUP(C5905,METADATA!$A$5:$H$29,IF(E5905="HI",2,IF(E5905="LO",6,10))+IF(D5905=1,2,IF(D5905=7,1,(IF(WEEKDAY(B5905)=1,2,IF(WEEKDAY(B5905)=7,1,0))))))</f>
        <v>2</v>
      </c>
      <c r="G5905" s="369">
        <f>VLOOKUP(C5905,METADATA!$J$5:$Q$29,IF(E5905="HI",2,IF(E5905="LO",6,10))+IF(D5905=1,2,IF(D5905=7,1,(IF(WEEKDAY(B5905)=1,2,IF(WEEKDAY(B5905)=7,1,0))))))</f>
        <v>2</v>
      </c>
      <c r="H5905" s="370">
        <v>11040.775085449219</v>
      </c>
      <c r="I5905" s="370">
        <v>2955.7500762939453</v>
      </c>
      <c r="M5905" s="371">
        <f t="shared" si="369"/>
        <v>11429.574489060731</v>
      </c>
      <c r="N5905" s="329">
        <f t="shared" si="370"/>
        <v>0</v>
      </c>
      <c r="T5905" s="331">
        <v>0</v>
      </c>
      <c r="U5905" s="328">
        <f>VLOOKUP(C5905,METADATA!$J$5:$Q$29,IF(E5905="HI",2,IF(E5905="LO",6,10))+IF(T5905=1,2,IF(D5905=7,1,(IF(WEEKDAY(B5905)=1,2,IF(WEEKDAY(B5905)=7,1,0))))))</f>
        <v>2</v>
      </c>
      <c r="V5905" s="328">
        <f>VLOOKUP(C5905,METADATA!$A$5:$H$29,IF(E5905="HI",2,IF(E5905="LO",6,10))+IF(T5905=1,2,IF(D5905=7,1,(IF(WEEKDAY(B5905)=1,2,IF(WEEKDAY(B5905)=7,1,0))))))</f>
        <v>2</v>
      </c>
    </row>
    <row r="5906" spans="2:22">
      <c r="B5906" s="318">
        <f t="shared" si="367"/>
        <v>46358</v>
      </c>
      <c r="C5906" s="312">
        <v>22</v>
      </c>
      <c r="D5906" s="368">
        <f>IFERROR((INDEX(METADATA!$T$2:$T$20,MATCH(B5906,METADATA!$S$2:$S$20,0))),0)</f>
        <v>0</v>
      </c>
      <c r="E5906" s="312" t="str">
        <f t="shared" si="368"/>
        <v>LO</v>
      </c>
      <c r="F5906" s="369">
        <f>VLOOKUP(C5906,METADATA!$A$5:$H$29,IF(E5906="HI",2,IF(E5906="LO",6,10))+IF(D5906=1,2,IF(D5906=7,1,(IF(WEEKDAY(B5906)=1,2,IF(WEEKDAY(B5906)=7,1,0))))))</f>
        <v>3</v>
      </c>
      <c r="G5906" s="369">
        <f>VLOOKUP(C5906,METADATA!$J$5:$Q$29,IF(E5906="HI",2,IF(E5906="LO",6,10))+IF(D5906=1,2,IF(D5906=7,1,(IF(WEEKDAY(B5906)=1,2,IF(WEEKDAY(B5906)=7,1,0))))))</f>
        <v>3</v>
      </c>
      <c r="H5906" s="370">
        <v>12534.725402832031</v>
      </c>
      <c r="I5906" s="370">
        <v>3639.885009765625</v>
      </c>
      <c r="M5906" s="371">
        <f t="shared" si="369"/>
        <v>13052.51331386868</v>
      </c>
      <c r="N5906" s="329">
        <f t="shared" si="370"/>
        <v>0</v>
      </c>
      <c r="T5906" s="331">
        <v>0</v>
      </c>
      <c r="U5906" s="328">
        <f>VLOOKUP(C5906,METADATA!$J$5:$Q$29,IF(E5906="HI",2,IF(E5906="LO",6,10))+IF(T5906=1,2,IF(D5906=7,1,(IF(WEEKDAY(B5906)=1,2,IF(WEEKDAY(B5906)=7,1,0))))))</f>
        <v>3</v>
      </c>
      <c r="V5906" s="328">
        <f>VLOOKUP(C5906,METADATA!$A$5:$H$29,IF(E5906="HI",2,IF(E5906="LO",6,10))+IF(T5906=1,2,IF(D5906=7,1,(IF(WEEKDAY(B5906)=1,2,IF(WEEKDAY(B5906)=7,1,0))))))</f>
        <v>3</v>
      </c>
    </row>
    <row r="5907" spans="2:22">
      <c r="B5907" s="318">
        <f t="shared" si="367"/>
        <v>46358</v>
      </c>
      <c r="C5907" s="312">
        <v>23</v>
      </c>
      <c r="D5907" s="368">
        <f>IFERROR((INDEX(METADATA!$T$2:$T$20,MATCH(B5907,METADATA!$S$2:$S$20,0))),0)</f>
        <v>0</v>
      </c>
      <c r="E5907" s="312" t="str">
        <f t="shared" si="368"/>
        <v>LO</v>
      </c>
      <c r="F5907" s="369">
        <f>VLOOKUP(C5907,METADATA!$A$5:$H$29,IF(E5907="HI",2,IF(E5907="LO",6,10))+IF(D5907=1,2,IF(D5907=7,1,(IF(WEEKDAY(B5907)=1,2,IF(WEEKDAY(B5907)=7,1,0))))))</f>
        <v>3</v>
      </c>
      <c r="G5907" s="369">
        <f>VLOOKUP(C5907,METADATA!$J$5:$Q$29,IF(E5907="HI",2,IF(E5907="LO",6,10))+IF(D5907=1,2,IF(D5907=7,1,(IF(WEEKDAY(B5907)=1,2,IF(WEEKDAY(B5907)=7,1,0))))))</f>
        <v>3</v>
      </c>
      <c r="H5907" s="370">
        <v>12676.9501953125</v>
      </c>
      <c r="I5907" s="370">
        <v>3805.4050598144531</v>
      </c>
      <c r="M5907" s="371">
        <f t="shared" si="369"/>
        <v>13235.79139771004</v>
      </c>
      <c r="N5907" s="329">
        <f t="shared" si="370"/>
        <v>2.3200012207034888</v>
      </c>
      <c r="T5907" s="331">
        <v>0</v>
      </c>
      <c r="U5907" s="328">
        <f>VLOOKUP(C5907,METADATA!$J$5:$Q$29,IF(E5907="HI",2,IF(E5907="LO",6,10))+IF(T5907=1,2,IF(D5907=7,1,(IF(WEEKDAY(B5907)=1,2,IF(WEEKDAY(B5907)=7,1,0))))))</f>
        <v>3</v>
      </c>
      <c r="V5907" s="328">
        <f>VLOOKUP(C5907,METADATA!$A$5:$H$29,IF(E5907="HI",2,IF(E5907="LO",6,10))+IF(T5907=1,2,IF(D5907=7,1,(IF(WEEKDAY(B5907)=1,2,IF(WEEKDAY(B5907)=7,1,0))))))</f>
        <v>3</v>
      </c>
    </row>
    <row r="5908" spans="2:22">
      <c r="B5908" s="318">
        <f t="shared" si="367"/>
        <v>46359</v>
      </c>
      <c r="C5908" s="312">
        <v>0</v>
      </c>
      <c r="D5908" s="368">
        <f>IFERROR((INDEX(METADATA!$T$2:$T$20,MATCH(B5908,METADATA!$S$2:$S$20,0))),0)</f>
        <v>0</v>
      </c>
      <c r="E5908" s="312" t="str">
        <f t="shared" si="368"/>
        <v>LO</v>
      </c>
      <c r="F5908" s="369">
        <f>VLOOKUP(C5908,METADATA!$A$5:$H$29,IF(E5908="HI",2,IF(E5908="LO",6,10))+IF(D5908=1,2,IF(D5908=7,1,(IF(WEEKDAY(B5908)=1,2,IF(WEEKDAY(B5908)=7,1,0))))))</f>
        <v>3</v>
      </c>
      <c r="G5908" s="369">
        <f>VLOOKUP(C5908,METADATA!$J$5:$Q$29,IF(E5908="HI",2,IF(E5908="LO",6,10))+IF(D5908=1,2,IF(D5908=7,1,(IF(WEEKDAY(B5908)=1,2,IF(WEEKDAY(B5908)=7,1,0))))))</f>
        <v>3</v>
      </c>
      <c r="H5908" s="370">
        <v>12879.550170898438</v>
      </c>
      <c r="I5908" s="370">
        <v>3928.7549591064453</v>
      </c>
      <c r="M5908" s="371">
        <f t="shared" si="369"/>
        <v>13465.434569050991</v>
      </c>
      <c r="N5908" s="329">
        <f t="shared" si="370"/>
        <v>64.889907836914063</v>
      </c>
      <c r="T5908" s="331">
        <v>0</v>
      </c>
      <c r="U5908" s="328">
        <f>VLOOKUP(C5908,METADATA!$J$5:$Q$29,IF(E5908="HI",2,IF(E5908="LO",6,10))+IF(T5908=1,2,IF(D5908=7,1,(IF(WEEKDAY(B5908)=1,2,IF(WEEKDAY(B5908)=7,1,0))))))</f>
        <v>3</v>
      </c>
      <c r="V5908" s="328">
        <f>VLOOKUP(C5908,METADATA!$A$5:$H$29,IF(E5908="HI",2,IF(E5908="LO",6,10))+IF(T5908=1,2,IF(D5908=7,1,(IF(WEEKDAY(B5908)=1,2,IF(WEEKDAY(B5908)=7,1,0))))))</f>
        <v>3</v>
      </c>
    </row>
    <row r="5909" spans="2:22">
      <c r="B5909" s="318">
        <f t="shared" si="367"/>
        <v>46359</v>
      </c>
      <c r="C5909" s="312">
        <v>1</v>
      </c>
      <c r="D5909" s="368">
        <f>IFERROR((INDEX(METADATA!$T$2:$T$20,MATCH(B5909,METADATA!$S$2:$S$20,0))),0)</f>
        <v>0</v>
      </c>
      <c r="E5909" s="312" t="str">
        <f t="shared" si="368"/>
        <v>LO</v>
      </c>
      <c r="F5909" s="369">
        <f>VLOOKUP(C5909,METADATA!$A$5:$H$29,IF(E5909="HI",2,IF(E5909="LO",6,10))+IF(D5909=1,2,IF(D5909=7,1,(IF(WEEKDAY(B5909)=1,2,IF(WEEKDAY(B5909)=7,1,0))))))</f>
        <v>3</v>
      </c>
      <c r="G5909" s="369">
        <f>VLOOKUP(C5909,METADATA!$J$5:$Q$29,IF(E5909="HI",2,IF(E5909="LO",6,10))+IF(D5909=1,2,IF(D5909=7,1,(IF(WEEKDAY(B5909)=1,2,IF(WEEKDAY(B5909)=7,1,0))))))</f>
        <v>3</v>
      </c>
      <c r="H5909" s="370">
        <v>12862.375244140625</v>
      </c>
      <c r="I5909" s="370">
        <v>3889.2474670410156</v>
      </c>
      <c r="M5909" s="371">
        <f t="shared" si="369"/>
        <v>13437.519963928111</v>
      </c>
      <c r="N5909" s="329">
        <f t="shared" si="370"/>
        <v>30.534893798828307</v>
      </c>
      <c r="T5909" s="331">
        <v>0</v>
      </c>
      <c r="U5909" s="328">
        <f>VLOOKUP(C5909,METADATA!$J$5:$Q$29,IF(E5909="HI",2,IF(E5909="LO",6,10))+IF(T5909=1,2,IF(D5909=7,1,(IF(WEEKDAY(B5909)=1,2,IF(WEEKDAY(B5909)=7,1,0))))))</f>
        <v>3</v>
      </c>
      <c r="V5909" s="328">
        <f>VLOOKUP(C5909,METADATA!$A$5:$H$29,IF(E5909="HI",2,IF(E5909="LO",6,10))+IF(T5909=1,2,IF(D5909=7,1,(IF(WEEKDAY(B5909)=1,2,IF(WEEKDAY(B5909)=7,1,0))))))</f>
        <v>3</v>
      </c>
    </row>
    <row r="5910" spans="2:22">
      <c r="B5910" s="318">
        <f t="shared" si="367"/>
        <v>46359</v>
      </c>
      <c r="C5910" s="312">
        <v>2</v>
      </c>
      <c r="D5910" s="368">
        <f>IFERROR((INDEX(METADATA!$T$2:$T$20,MATCH(B5910,METADATA!$S$2:$S$20,0))),0)</f>
        <v>0</v>
      </c>
      <c r="E5910" s="312" t="str">
        <f t="shared" si="368"/>
        <v>LO</v>
      </c>
      <c r="F5910" s="369">
        <f>VLOOKUP(C5910,METADATA!$A$5:$H$29,IF(E5910="HI",2,IF(E5910="LO",6,10))+IF(D5910=1,2,IF(D5910=7,1,(IF(WEEKDAY(B5910)=1,2,IF(WEEKDAY(B5910)=7,1,0))))))</f>
        <v>3</v>
      </c>
      <c r="G5910" s="369">
        <f>VLOOKUP(C5910,METADATA!$J$5:$Q$29,IF(E5910="HI",2,IF(E5910="LO",6,10))+IF(D5910=1,2,IF(D5910=7,1,(IF(WEEKDAY(B5910)=1,2,IF(WEEKDAY(B5910)=7,1,0))))))</f>
        <v>3</v>
      </c>
      <c r="H5910" s="370">
        <v>11473.85009765625</v>
      </c>
      <c r="I5910" s="370">
        <v>3613.5149993896484</v>
      </c>
      <c r="M5910" s="371">
        <f t="shared" si="369"/>
        <v>12029.410904707691</v>
      </c>
      <c r="N5910" s="329">
        <f t="shared" si="370"/>
        <v>171.35997009277344</v>
      </c>
      <c r="T5910" s="331">
        <v>0</v>
      </c>
      <c r="U5910" s="328">
        <f>VLOOKUP(C5910,METADATA!$J$5:$Q$29,IF(E5910="HI",2,IF(E5910="LO",6,10))+IF(T5910=1,2,IF(D5910=7,1,(IF(WEEKDAY(B5910)=1,2,IF(WEEKDAY(B5910)=7,1,0))))))</f>
        <v>3</v>
      </c>
      <c r="V5910" s="328">
        <f>VLOOKUP(C5910,METADATA!$A$5:$H$29,IF(E5910="HI",2,IF(E5910="LO",6,10))+IF(T5910=1,2,IF(D5910=7,1,(IF(WEEKDAY(B5910)=1,2,IF(WEEKDAY(B5910)=7,1,0))))))</f>
        <v>3</v>
      </c>
    </row>
    <row r="5911" spans="2:22">
      <c r="B5911" s="318">
        <f t="shared" si="367"/>
        <v>46359</v>
      </c>
      <c r="C5911" s="312">
        <v>3</v>
      </c>
      <c r="D5911" s="368">
        <f>IFERROR((INDEX(METADATA!$T$2:$T$20,MATCH(B5911,METADATA!$S$2:$S$20,0))),0)</f>
        <v>0</v>
      </c>
      <c r="E5911" s="312" t="str">
        <f t="shared" si="368"/>
        <v>LO</v>
      </c>
      <c r="F5911" s="369">
        <f>VLOOKUP(C5911,METADATA!$A$5:$H$29,IF(E5911="HI",2,IF(E5911="LO",6,10))+IF(D5911=1,2,IF(D5911=7,1,(IF(WEEKDAY(B5911)=1,2,IF(WEEKDAY(B5911)=7,1,0))))))</f>
        <v>3</v>
      </c>
      <c r="G5911" s="369">
        <f>VLOOKUP(C5911,METADATA!$J$5:$Q$29,IF(E5911="HI",2,IF(E5911="LO",6,10))+IF(D5911=1,2,IF(D5911=7,1,(IF(WEEKDAY(B5911)=1,2,IF(WEEKDAY(B5911)=7,1,0))))))</f>
        <v>3</v>
      </c>
      <c r="H5911" s="370">
        <v>8293.4000244140625</v>
      </c>
      <c r="I5911" s="370">
        <v>2824.9750366210938</v>
      </c>
      <c r="M5911" s="371">
        <f t="shared" si="369"/>
        <v>8761.3336840051652</v>
      </c>
      <c r="N5911" s="329">
        <f t="shared" si="370"/>
        <v>336.95502929687518</v>
      </c>
      <c r="T5911" s="331">
        <v>0</v>
      </c>
      <c r="U5911" s="328">
        <f>VLOOKUP(C5911,METADATA!$J$5:$Q$29,IF(E5911="HI",2,IF(E5911="LO",6,10))+IF(T5911=1,2,IF(D5911=7,1,(IF(WEEKDAY(B5911)=1,2,IF(WEEKDAY(B5911)=7,1,0))))))</f>
        <v>3</v>
      </c>
      <c r="V5911" s="328">
        <f>VLOOKUP(C5911,METADATA!$A$5:$H$29,IF(E5911="HI",2,IF(E5911="LO",6,10))+IF(T5911=1,2,IF(D5911=7,1,(IF(WEEKDAY(B5911)=1,2,IF(WEEKDAY(B5911)=7,1,0))))))</f>
        <v>3</v>
      </c>
    </row>
    <row r="5912" spans="2:22">
      <c r="B5912" s="318">
        <f t="shared" si="367"/>
        <v>46359</v>
      </c>
      <c r="C5912" s="312">
        <v>4</v>
      </c>
      <c r="D5912" s="368">
        <f>IFERROR((INDEX(METADATA!$T$2:$T$20,MATCH(B5912,METADATA!$S$2:$S$20,0))),0)</f>
        <v>0</v>
      </c>
      <c r="E5912" s="312" t="str">
        <f t="shared" si="368"/>
        <v>LO</v>
      </c>
      <c r="F5912" s="369">
        <f>VLOOKUP(C5912,METADATA!$A$5:$H$29,IF(E5912="HI",2,IF(E5912="LO",6,10))+IF(D5912=1,2,IF(D5912=7,1,(IF(WEEKDAY(B5912)=1,2,IF(WEEKDAY(B5912)=7,1,0))))))</f>
        <v>3</v>
      </c>
      <c r="G5912" s="369">
        <f>VLOOKUP(C5912,METADATA!$J$5:$Q$29,IF(E5912="HI",2,IF(E5912="LO",6,10))+IF(D5912=1,2,IF(D5912=7,1,(IF(WEEKDAY(B5912)=1,2,IF(WEEKDAY(B5912)=7,1,0))))))</f>
        <v>3</v>
      </c>
      <c r="H5912" s="370">
        <v>7812.625</v>
      </c>
      <c r="I5912" s="370">
        <v>2731.050048828125</v>
      </c>
      <c r="M5912" s="371">
        <f t="shared" si="369"/>
        <v>8276.2155457569552</v>
      </c>
      <c r="N5912" s="329">
        <f t="shared" si="370"/>
        <v>387.26254882812509</v>
      </c>
      <c r="T5912" s="331">
        <v>0</v>
      </c>
      <c r="U5912" s="328">
        <f>VLOOKUP(C5912,METADATA!$J$5:$Q$29,IF(E5912="HI",2,IF(E5912="LO",6,10))+IF(T5912=1,2,IF(D5912=7,1,(IF(WEEKDAY(B5912)=1,2,IF(WEEKDAY(B5912)=7,1,0))))))</f>
        <v>3</v>
      </c>
      <c r="V5912" s="328">
        <f>VLOOKUP(C5912,METADATA!$A$5:$H$29,IF(E5912="HI",2,IF(E5912="LO",6,10))+IF(T5912=1,2,IF(D5912=7,1,(IF(WEEKDAY(B5912)=1,2,IF(WEEKDAY(B5912)=7,1,0))))))</f>
        <v>3</v>
      </c>
    </row>
    <row r="5913" spans="2:22">
      <c r="B5913" s="318">
        <f t="shared" si="367"/>
        <v>46359</v>
      </c>
      <c r="C5913" s="312">
        <v>5</v>
      </c>
      <c r="D5913" s="368">
        <f>IFERROR((INDEX(METADATA!$T$2:$T$20,MATCH(B5913,METADATA!$S$2:$S$20,0))),0)</f>
        <v>0</v>
      </c>
      <c r="E5913" s="312" t="str">
        <f t="shared" si="368"/>
        <v>LO</v>
      </c>
      <c r="F5913" s="369">
        <f>VLOOKUP(C5913,METADATA!$A$5:$H$29,IF(E5913="HI",2,IF(E5913="LO",6,10))+IF(D5913=1,2,IF(D5913=7,1,(IF(WEEKDAY(B5913)=1,2,IF(WEEKDAY(B5913)=7,1,0))))))</f>
        <v>3</v>
      </c>
      <c r="G5913" s="369">
        <f>VLOOKUP(C5913,METADATA!$J$5:$Q$29,IF(E5913="HI",2,IF(E5913="LO",6,10))+IF(D5913=1,2,IF(D5913=7,1,(IF(WEEKDAY(B5913)=1,2,IF(WEEKDAY(B5913)=7,1,0))))))</f>
        <v>3</v>
      </c>
      <c r="H5913" s="370">
        <v>6375.2750854492188</v>
      </c>
      <c r="I5913" s="370">
        <v>1966.3699645996094</v>
      </c>
      <c r="M5913" s="371">
        <f t="shared" si="369"/>
        <v>6671.6372243122605</v>
      </c>
      <c r="N5913" s="329">
        <f t="shared" si="370"/>
        <v>53.787438964843886</v>
      </c>
      <c r="T5913" s="331">
        <v>0</v>
      </c>
      <c r="U5913" s="328">
        <f>VLOOKUP(C5913,METADATA!$J$5:$Q$29,IF(E5913="HI",2,IF(E5913="LO",6,10))+IF(T5913=1,2,IF(D5913=7,1,(IF(WEEKDAY(B5913)=1,2,IF(WEEKDAY(B5913)=7,1,0))))))</f>
        <v>3</v>
      </c>
      <c r="V5913" s="328">
        <f>VLOOKUP(C5913,METADATA!$A$5:$H$29,IF(E5913="HI",2,IF(E5913="LO",6,10))+IF(T5913=1,2,IF(D5913=7,1,(IF(WEEKDAY(B5913)=1,2,IF(WEEKDAY(B5913)=7,1,0))))))</f>
        <v>3</v>
      </c>
    </row>
    <row r="5914" spans="2:22">
      <c r="B5914" s="318">
        <f t="shared" si="367"/>
        <v>46359</v>
      </c>
      <c r="C5914" s="312">
        <v>6</v>
      </c>
      <c r="D5914" s="368">
        <f>IFERROR((INDEX(METADATA!$T$2:$T$20,MATCH(B5914,METADATA!$S$2:$S$20,0))),0)</f>
        <v>0</v>
      </c>
      <c r="E5914" s="312" t="str">
        <f t="shared" si="368"/>
        <v>LO</v>
      </c>
      <c r="F5914" s="369">
        <f>VLOOKUP(C5914,METADATA!$A$5:$H$29,IF(E5914="HI",2,IF(E5914="LO",6,10))+IF(D5914=1,2,IF(D5914=7,1,(IF(WEEKDAY(B5914)=1,2,IF(WEEKDAY(B5914)=7,1,0))))))</f>
        <v>2</v>
      </c>
      <c r="G5914" s="369">
        <f>VLOOKUP(C5914,METADATA!$J$5:$Q$29,IF(E5914="HI",2,IF(E5914="LO",6,10))+IF(D5914=1,2,IF(D5914=7,1,(IF(WEEKDAY(B5914)=1,2,IF(WEEKDAY(B5914)=7,1,0))))))</f>
        <v>2</v>
      </c>
      <c r="H5914" s="370">
        <v>5670.4824829101563</v>
      </c>
      <c r="I5914" s="370">
        <v>1606.2449645996094</v>
      </c>
      <c r="M5914" s="371">
        <f t="shared" si="369"/>
        <v>5893.5892693071628</v>
      </c>
      <c r="N5914" s="329">
        <f t="shared" si="370"/>
        <v>0</v>
      </c>
      <c r="T5914" s="331">
        <v>0</v>
      </c>
      <c r="U5914" s="328">
        <f>VLOOKUP(C5914,METADATA!$J$5:$Q$29,IF(E5914="HI",2,IF(E5914="LO",6,10))+IF(T5914=1,2,IF(D5914=7,1,(IF(WEEKDAY(B5914)=1,2,IF(WEEKDAY(B5914)=7,1,0))))))</f>
        <v>2</v>
      </c>
      <c r="V5914" s="328">
        <f>VLOOKUP(C5914,METADATA!$A$5:$H$29,IF(E5914="HI",2,IF(E5914="LO",6,10))+IF(T5914=1,2,IF(D5914=7,1,(IF(WEEKDAY(B5914)=1,2,IF(WEEKDAY(B5914)=7,1,0))))))</f>
        <v>2</v>
      </c>
    </row>
    <row r="5915" spans="2:22">
      <c r="B5915" s="318">
        <f t="shared" si="367"/>
        <v>46359</v>
      </c>
      <c r="C5915" s="312">
        <v>7</v>
      </c>
      <c r="D5915" s="368">
        <f>IFERROR((INDEX(METADATA!$T$2:$T$20,MATCH(B5915,METADATA!$S$2:$S$20,0))),0)</f>
        <v>0</v>
      </c>
      <c r="E5915" s="312" t="str">
        <f t="shared" si="368"/>
        <v>LO</v>
      </c>
      <c r="F5915" s="369">
        <f>VLOOKUP(C5915,METADATA!$A$5:$H$29,IF(E5915="HI",2,IF(E5915="LO",6,10))+IF(D5915=1,2,IF(D5915=7,1,(IF(WEEKDAY(B5915)=1,2,IF(WEEKDAY(B5915)=7,1,0))))))</f>
        <v>1</v>
      </c>
      <c r="G5915" s="369">
        <f>VLOOKUP(C5915,METADATA!$J$5:$Q$29,IF(E5915="HI",2,IF(E5915="LO",6,10))+IF(D5915=1,2,IF(D5915=7,1,(IF(WEEKDAY(B5915)=1,2,IF(WEEKDAY(B5915)=7,1,0))))))</f>
        <v>1</v>
      </c>
      <c r="H5915" s="370">
        <v>5548.0774230957031</v>
      </c>
      <c r="I5915" s="370">
        <v>1551.8875732421875</v>
      </c>
      <c r="M5915" s="371">
        <f t="shared" si="369"/>
        <v>5761.0344672331012</v>
      </c>
      <c r="N5915" s="329">
        <f t="shared" si="370"/>
        <v>0</v>
      </c>
      <c r="T5915" s="331">
        <v>0</v>
      </c>
      <c r="U5915" s="328">
        <f>VLOOKUP(C5915,METADATA!$J$5:$Q$29,IF(E5915="HI",2,IF(E5915="LO",6,10))+IF(T5915=1,2,IF(D5915=7,1,(IF(WEEKDAY(B5915)=1,2,IF(WEEKDAY(B5915)=7,1,0))))))</f>
        <v>1</v>
      </c>
      <c r="V5915" s="328">
        <f>VLOOKUP(C5915,METADATA!$A$5:$H$29,IF(E5915="HI",2,IF(E5915="LO",6,10))+IF(T5915=1,2,IF(D5915=7,1,(IF(WEEKDAY(B5915)=1,2,IF(WEEKDAY(B5915)=7,1,0))))))</f>
        <v>1</v>
      </c>
    </row>
    <row r="5916" spans="2:22">
      <c r="B5916" s="318">
        <f t="shared" ref="B5916:B5979" si="371">B5892+1</f>
        <v>46359</v>
      </c>
      <c r="C5916" s="312">
        <v>8</v>
      </c>
      <c r="D5916" s="368">
        <f>IFERROR((INDEX(METADATA!$T$2:$T$20,MATCH(B5916,METADATA!$S$2:$S$20,0))),0)</f>
        <v>0</v>
      </c>
      <c r="E5916" s="312" t="str">
        <f t="shared" si="368"/>
        <v>LO</v>
      </c>
      <c r="F5916" s="369">
        <f>VLOOKUP(C5916,METADATA!$A$5:$H$29,IF(E5916="HI",2,IF(E5916="LO",6,10))+IF(D5916=1,2,IF(D5916=7,1,(IF(WEEKDAY(B5916)=1,2,IF(WEEKDAY(B5916)=7,1,0))))))</f>
        <v>1</v>
      </c>
      <c r="G5916" s="369">
        <f>VLOOKUP(C5916,METADATA!$J$5:$Q$29,IF(E5916="HI",2,IF(E5916="LO",6,10))+IF(D5916=1,2,IF(D5916=7,1,(IF(WEEKDAY(B5916)=1,2,IF(WEEKDAY(B5916)=7,1,0))))))</f>
        <v>1</v>
      </c>
      <c r="H5916" s="370">
        <v>5544.9949340820313</v>
      </c>
      <c r="I5916" s="370">
        <v>1541.9524841308594</v>
      </c>
      <c r="M5916" s="371">
        <f t="shared" si="369"/>
        <v>5755.3962750025057</v>
      </c>
      <c r="N5916" s="329">
        <f t="shared" si="370"/>
        <v>0</v>
      </c>
      <c r="T5916" s="331">
        <v>0</v>
      </c>
      <c r="U5916" s="328">
        <f>VLOOKUP(C5916,METADATA!$J$5:$Q$29,IF(E5916="HI",2,IF(E5916="LO",6,10))+IF(T5916=1,2,IF(D5916=7,1,(IF(WEEKDAY(B5916)=1,2,IF(WEEKDAY(B5916)=7,1,0))))))</f>
        <v>1</v>
      </c>
      <c r="V5916" s="328">
        <f>VLOOKUP(C5916,METADATA!$A$5:$H$29,IF(E5916="HI",2,IF(E5916="LO",6,10))+IF(T5916=1,2,IF(D5916=7,1,(IF(WEEKDAY(B5916)=1,2,IF(WEEKDAY(B5916)=7,1,0))))))</f>
        <v>1</v>
      </c>
    </row>
    <row r="5917" spans="2:22">
      <c r="B5917" s="318">
        <f t="shared" si="371"/>
        <v>46359</v>
      </c>
      <c r="C5917" s="312">
        <v>9</v>
      </c>
      <c r="D5917" s="368">
        <f>IFERROR((INDEX(METADATA!$T$2:$T$20,MATCH(B5917,METADATA!$S$2:$S$20,0))),0)</f>
        <v>0</v>
      </c>
      <c r="E5917" s="312" t="str">
        <f t="shared" si="368"/>
        <v>LO</v>
      </c>
      <c r="F5917" s="369">
        <f>VLOOKUP(C5917,METADATA!$A$5:$H$29,IF(E5917="HI",2,IF(E5917="LO",6,10))+IF(D5917=1,2,IF(D5917=7,1,(IF(WEEKDAY(B5917)=1,2,IF(WEEKDAY(B5917)=7,1,0))))))</f>
        <v>2</v>
      </c>
      <c r="G5917" s="369">
        <f>VLOOKUP(C5917,METADATA!$J$5:$Q$29,IF(E5917="HI",2,IF(E5917="LO",6,10))+IF(D5917=1,2,IF(D5917=7,1,(IF(WEEKDAY(B5917)=1,2,IF(WEEKDAY(B5917)=7,1,0))))))</f>
        <v>2</v>
      </c>
      <c r="H5917" s="370">
        <v>5423.5775756835938</v>
      </c>
      <c r="I5917" s="370">
        <v>1506.7449951171875</v>
      </c>
      <c r="M5917" s="371">
        <f t="shared" si="369"/>
        <v>5628.985183829197</v>
      </c>
      <c r="N5917" s="329">
        <f t="shared" si="370"/>
        <v>0</v>
      </c>
      <c r="T5917" s="331">
        <v>0</v>
      </c>
      <c r="U5917" s="328">
        <f>VLOOKUP(C5917,METADATA!$J$5:$Q$29,IF(E5917="HI",2,IF(E5917="LO",6,10))+IF(T5917=1,2,IF(D5917=7,1,(IF(WEEKDAY(B5917)=1,2,IF(WEEKDAY(B5917)=7,1,0))))))</f>
        <v>2</v>
      </c>
      <c r="V5917" s="328">
        <f>VLOOKUP(C5917,METADATA!$A$5:$H$29,IF(E5917="HI",2,IF(E5917="LO",6,10))+IF(T5917=1,2,IF(D5917=7,1,(IF(WEEKDAY(B5917)=1,2,IF(WEEKDAY(B5917)=7,1,0))))))</f>
        <v>2</v>
      </c>
    </row>
    <row r="5918" spans="2:22">
      <c r="B5918" s="318">
        <f t="shared" si="371"/>
        <v>46359</v>
      </c>
      <c r="C5918" s="312">
        <v>10</v>
      </c>
      <c r="D5918" s="368">
        <f>IFERROR((INDEX(METADATA!$T$2:$T$20,MATCH(B5918,METADATA!$S$2:$S$20,0))),0)</f>
        <v>0</v>
      </c>
      <c r="E5918" s="312" t="str">
        <f t="shared" si="368"/>
        <v>LO</v>
      </c>
      <c r="F5918" s="369">
        <f>VLOOKUP(C5918,METADATA!$A$5:$H$29,IF(E5918="HI",2,IF(E5918="LO",6,10))+IF(D5918=1,2,IF(D5918=7,1,(IF(WEEKDAY(B5918)=1,2,IF(WEEKDAY(B5918)=7,1,0))))))</f>
        <v>2</v>
      </c>
      <c r="G5918" s="369">
        <f>VLOOKUP(C5918,METADATA!$J$5:$Q$29,IF(E5918="HI",2,IF(E5918="LO",6,10))+IF(D5918=1,2,IF(D5918=7,1,(IF(WEEKDAY(B5918)=1,2,IF(WEEKDAY(B5918)=7,1,0))))))</f>
        <v>2</v>
      </c>
      <c r="H5918" s="370">
        <v>5549.5025634765625</v>
      </c>
      <c r="I5918" s="370">
        <v>1573.4849853515625</v>
      </c>
      <c r="M5918" s="371">
        <f t="shared" si="369"/>
        <v>5768.2608905249544</v>
      </c>
      <c r="N5918" s="329">
        <f t="shared" si="370"/>
        <v>0</v>
      </c>
      <c r="T5918" s="331">
        <v>0</v>
      </c>
      <c r="U5918" s="328">
        <f>VLOOKUP(C5918,METADATA!$J$5:$Q$29,IF(E5918="HI",2,IF(E5918="LO",6,10))+IF(T5918=1,2,IF(D5918=7,1,(IF(WEEKDAY(B5918)=1,2,IF(WEEKDAY(B5918)=7,1,0))))))</f>
        <v>2</v>
      </c>
      <c r="V5918" s="328">
        <f>VLOOKUP(C5918,METADATA!$A$5:$H$29,IF(E5918="HI",2,IF(E5918="LO",6,10))+IF(T5918=1,2,IF(D5918=7,1,(IF(WEEKDAY(B5918)=1,2,IF(WEEKDAY(B5918)=7,1,0))))))</f>
        <v>2</v>
      </c>
    </row>
    <row r="5919" spans="2:22">
      <c r="B5919" s="318">
        <f t="shared" si="371"/>
        <v>46359</v>
      </c>
      <c r="C5919" s="312">
        <v>11</v>
      </c>
      <c r="D5919" s="368">
        <f>IFERROR((INDEX(METADATA!$T$2:$T$20,MATCH(B5919,METADATA!$S$2:$S$20,0))),0)</f>
        <v>0</v>
      </c>
      <c r="E5919" s="312" t="str">
        <f t="shared" si="368"/>
        <v>LO</v>
      </c>
      <c r="F5919" s="369">
        <f>VLOOKUP(C5919,METADATA!$A$5:$H$29,IF(E5919="HI",2,IF(E5919="LO",6,10))+IF(D5919=1,2,IF(D5919=7,1,(IF(WEEKDAY(B5919)=1,2,IF(WEEKDAY(B5919)=7,1,0))))))</f>
        <v>2</v>
      </c>
      <c r="G5919" s="369">
        <f>VLOOKUP(C5919,METADATA!$J$5:$Q$29,IF(E5919="HI",2,IF(E5919="LO",6,10))+IF(D5919=1,2,IF(D5919=7,1,(IF(WEEKDAY(B5919)=1,2,IF(WEEKDAY(B5919)=7,1,0))))))</f>
        <v>2</v>
      </c>
      <c r="H5919" s="370">
        <v>5856.6650390625</v>
      </c>
      <c r="I5919" s="370">
        <v>1610.5000305175781</v>
      </c>
      <c r="M5919" s="371">
        <f t="shared" si="369"/>
        <v>6074.062539032182</v>
      </c>
      <c r="N5919" s="329">
        <f t="shared" si="370"/>
        <v>0</v>
      </c>
      <c r="T5919" s="331">
        <v>0</v>
      </c>
      <c r="U5919" s="328">
        <f>VLOOKUP(C5919,METADATA!$J$5:$Q$29,IF(E5919="HI",2,IF(E5919="LO",6,10))+IF(T5919=1,2,IF(D5919=7,1,(IF(WEEKDAY(B5919)=1,2,IF(WEEKDAY(B5919)=7,1,0))))))</f>
        <v>2</v>
      </c>
      <c r="V5919" s="328">
        <f>VLOOKUP(C5919,METADATA!$A$5:$H$29,IF(E5919="HI",2,IF(E5919="LO",6,10))+IF(T5919=1,2,IF(D5919=7,1,(IF(WEEKDAY(B5919)=1,2,IF(WEEKDAY(B5919)=7,1,0))))))</f>
        <v>2</v>
      </c>
    </row>
    <row r="5920" spans="2:22">
      <c r="B5920" s="318">
        <f t="shared" si="371"/>
        <v>46359</v>
      </c>
      <c r="C5920" s="312">
        <v>12</v>
      </c>
      <c r="D5920" s="368">
        <f>IFERROR((INDEX(METADATA!$T$2:$T$20,MATCH(B5920,METADATA!$S$2:$S$20,0))),0)</f>
        <v>0</v>
      </c>
      <c r="E5920" s="312" t="str">
        <f t="shared" si="368"/>
        <v>LO</v>
      </c>
      <c r="F5920" s="369">
        <f>VLOOKUP(C5920,METADATA!$A$5:$H$29,IF(E5920="HI",2,IF(E5920="LO",6,10))+IF(D5920=1,2,IF(D5920=7,1,(IF(WEEKDAY(B5920)=1,2,IF(WEEKDAY(B5920)=7,1,0))))))</f>
        <v>2</v>
      </c>
      <c r="G5920" s="369">
        <f>VLOOKUP(C5920,METADATA!$J$5:$Q$29,IF(E5920="HI",2,IF(E5920="LO",6,10))+IF(D5920=1,2,IF(D5920=7,1,(IF(WEEKDAY(B5920)=1,2,IF(WEEKDAY(B5920)=7,1,0))))))</f>
        <v>2</v>
      </c>
      <c r="H5920" s="370">
        <v>8488.885009765625</v>
      </c>
      <c r="I5920" s="370">
        <v>1764.4075355529785</v>
      </c>
      <c r="M5920" s="371">
        <f t="shared" si="369"/>
        <v>8670.3115665205296</v>
      </c>
      <c r="N5920" s="329">
        <f t="shared" si="370"/>
        <v>0</v>
      </c>
      <c r="T5920" s="331">
        <v>0</v>
      </c>
      <c r="U5920" s="328">
        <f>VLOOKUP(C5920,METADATA!$J$5:$Q$29,IF(E5920="HI",2,IF(E5920="LO",6,10))+IF(T5920=1,2,IF(D5920=7,1,(IF(WEEKDAY(B5920)=1,2,IF(WEEKDAY(B5920)=7,1,0))))))</f>
        <v>2</v>
      </c>
      <c r="V5920" s="328">
        <f>VLOOKUP(C5920,METADATA!$A$5:$H$29,IF(E5920="HI",2,IF(E5920="LO",6,10))+IF(T5920=1,2,IF(D5920=7,1,(IF(WEEKDAY(B5920)=1,2,IF(WEEKDAY(B5920)=7,1,0))))))</f>
        <v>2</v>
      </c>
    </row>
    <row r="5921" spans="2:22">
      <c r="B5921" s="318">
        <f t="shared" si="371"/>
        <v>46359</v>
      </c>
      <c r="C5921" s="312">
        <v>13</v>
      </c>
      <c r="D5921" s="368">
        <f>IFERROR((INDEX(METADATA!$T$2:$T$20,MATCH(B5921,METADATA!$S$2:$S$20,0))),0)</f>
        <v>0</v>
      </c>
      <c r="E5921" s="312" t="str">
        <f t="shared" si="368"/>
        <v>LO</v>
      </c>
      <c r="F5921" s="369">
        <f>VLOOKUP(C5921,METADATA!$A$5:$H$29,IF(E5921="HI",2,IF(E5921="LO",6,10))+IF(D5921=1,2,IF(D5921=7,1,(IF(WEEKDAY(B5921)=1,2,IF(WEEKDAY(B5921)=7,1,0))))))</f>
        <v>2</v>
      </c>
      <c r="G5921" s="369">
        <f>VLOOKUP(C5921,METADATA!$J$5:$Q$29,IF(E5921="HI",2,IF(E5921="LO",6,10))+IF(D5921=1,2,IF(D5921=7,1,(IF(WEEKDAY(B5921)=1,2,IF(WEEKDAY(B5921)=7,1,0))))))</f>
        <v>2</v>
      </c>
      <c r="H5921" s="370">
        <v>11288.499755859375</v>
      </c>
      <c r="I5921" s="370">
        <v>2485.7550355195999</v>
      </c>
      <c r="M5921" s="371">
        <f t="shared" si="369"/>
        <v>11558.944797629592</v>
      </c>
      <c r="N5921" s="329">
        <f t="shared" si="370"/>
        <v>0</v>
      </c>
      <c r="T5921" s="331">
        <v>0</v>
      </c>
      <c r="U5921" s="328">
        <f>VLOOKUP(C5921,METADATA!$J$5:$Q$29,IF(E5921="HI",2,IF(E5921="LO",6,10))+IF(T5921=1,2,IF(D5921=7,1,(IF(WEEKDAY(B5921)=1,2,IF(WEEKDAY(B5921)=7,1,0))))))</f>
        <v>2</v>
      </c>
      <c r="V5921" s="328">
        <f>VLOOKUP(C5921,METADATA!$A$5:$H$29,IF(E5921="HI",2,IF(E5921="LO",6,10))+IF(T5921=1,2,IF(D5921=7,1,(IF(WEEKDAY(B5921)=1,2,IF(WEEKDAY(B5921)=7,1,0))))))</f>
        <v>2</v>
      </c>
    </row>
    <row r="5922" spans="2:22">
      <c r="B5922" s="318">
        <f t="shared" si="371"/>
        <v>46359</v>
      </c>
      <c r="C5922" s="312">
        <v>14</v>
      </c>
      <c r="D5922" s="368">
        <f>IFERROR((INDEX(METADATA!$T$2:$T$20,MATCH(B5922,METADATA!$S$2:$S$20,0))),0)</f>
        <v>0</v>
      </c>
      <c r="E5922" s="312" t="str">
        <f t="shared" si="368"/>
        <v>LO</v>
      </c>
      <c r="F5922" s="369">
        <f>VLOOKUP(C5922,METADATA!$A$5:$H$29,IF(E5922="HI",2,IF(E5922="LO",6,10))+IF(D5922=1,2,IF(D5922=7,1,(IF(WEEKDAY(B5922)=1,2,IF(WEEKDAY(B5922)=7,1,0))))))</f>
        <v>2</v>
      </c>
      <c r="G5922" s="369">
        <f>VLOOKUP(C5922,METADATA!$J$5:$Q$29,IF(E5922="HI",2,IF(E5922="LO",6,10))+IF(D5922=1,2,IF(D5922=7,1,(IF(WEEKDAY(B5922)=1,2,IF(WEEKDAY(B5922)=7,1,0))))))</f>
        <v>2</v>
      </c>
      <c r="H5922" s="370">
        <v>11516.674926757813</v>
      </c>
      <c r="I5922" s="370">
        <v>2840.4000244140625</v>
      </c>
      <c r="M5922" s="371">
        <f t="shared" si="369"/>
        <v>11861.773630756215</v>
      </c>
      <c r="N5922" s="329">
        <f t="shared" si="370"/>
        <v>0</v>
      </c>
      <c r="T5922" s="331">
        <v>0</v>
      </c>
      <c r="U5922" s="328">
        <f>VLOOKUP(C5922,METADATA!$J$5:$Q$29,IF(E5922="HI",2,IF(E5922="LO",6,10))+IF(T5922=1,2,IF(D5922=7,1,(IF(WEEKDAY(B5922)=1,2,IF(WEEKDAY(B5922)=7,1,0))))))</f>
        <v>2</v>
      </c>
      <c r="V5922" s="328">
        <f>VLOOKUP(C5922,METADATA!$A$5:$H$29,IF(E5922="HI",2,IF(E5922="LO",6,10))+IF(T5922=1,2,IF(D5922=7,1,(IF(WEEKDAY(B5922)=1,2,IF(WEEKDAY(B5922)=7,1,0))))))</f>
        <v>2</v>
      </c>
    </row>
    <row r="5923" spans="2:22">
      <c r="B5923" s="318">
        <f t="shared" si="371"/>
        <v>46359</v>
      </c>
      <c r="C5923" s="312">
        <v>15</v>
      </c>
      <c r="D5923" s="368">
        <f>IFERROR((INDEX(METADATA!$T$2:$T$20,MATCH(B5923,METADATA!$S$2:$S$20,0))),0)</f>
        <v>0</v>
      </c>
      <c r="E5923" s="312" t="str">
        <f t="shared" si="368"/>
        <v>LO</v>
      </c>
      <c r="F5923" s="369">
        <f>VLOOKUP(C5923,METADATA!$A$5:$H$29,IF(E5923="HI",2,IF(E5923="LO",6,10))+IF(D5923=1,2,IF(D5923=7,1,(IF(WEEKDAY(B5923)=1,2,IF(WEEKDAY(B5923)=7,1,0))))))</f>
        <v>2</v>
      </c>
      <c r="G5923" s="369">
        <f>VLOOKUP(C5923,METADATA!$J$5:$Q$29,IF(E5923="HI",2,IF(E5923="LO",6,10))+IF(D5923=1,2,IF(D5923=7,1,(IF(WEEKDAY(B5923)=1,2,IF(WEEKDAY(B5923)=7,1,0))))))</f>
        <v>2</v>
      </c>
      <c r="H5923" s="370">
        <v>12083.075012207031</v>
      </c>
      <c r="I5923" s="370">
        <v>3024.8300323486328</v>
      </c>
      <c r="M5923" s="371">
        <f t="shared" si="369"/>
        <v>12455.934267457427</v>
      </c>
      <c r="N5923" s="329">
        <f t="shared" si="370"/>
        <v>0</v>
      </c>
      <c r="T5923" s="331">
        <v>0</v>
      </c>
      <c r="U5923" s="328">
        <f>VLOOKUP(C5923,METADATA!$J$5:$Q$29,IF(E5923="HI",2,IF(E5923="LO",6,10))+IF(T5923=1,2,IF(D5923=7,1,(IF(WEEKDAY(B5923)=1,2,IF(WEEKDAY(B5923)=7,1,0))))))</f>
        <v>2</v>
      </c>
      <c r="V5923" s="328">
        <f>VLOOKUP(C5923,METADATA!$A$5:$H$29,IF(E5923="HI",2,IF(E5923="LO",6,10))+IF(T5923=1,2,IF(D5923=7,1,(IF(WEEKDAY(B5923)=1,2,IF(WEEKDAY(B5923)=7,1,0))))))</f>
        <v>2</v>
      </c>
    </row>
    <row r="5924" spans="2:22">
      <c r="B5924" s="318">
        <f t="shared" si="371"/>
        <v>46359</v>
      </c>
      <c r="C5924" s="312">
        <v>16</v>
      </c>
      <c r="D5924" s="368">
        <f>IFERROR((INDEX(METADATA!$T$2:$T$20,MATCH(B5924,METADATA!$S$2:$S$20,0))),0)</f>
        <v>0</v>
      </c>
      <c r="E5924" s="312" t="str">
        <f t="shared" si="368"/>
        <v>LO</v>
      </c>
      <c r="F5924" s="369">
        <f>VLOOKUP(C5924,METADATA!$A$5:$H$29,IF(E5924="HI",2,IF(E5924="LO",6,10))+IF(D5924=1,2,IF(D5924=7,1,(IF(WEEKDAY(B5924)=1,2,IF(WEEKDAY(B5924)=7,1,0))))))</f>
        <v>2</v>
      </c>
      <c r="G5924" s="369">
        <f>VLOOKUP(C5924,METADATA!$J$5:$Q$29,IF(E5924="HI",2,IF(E5924="LO",6,10))+IF(D5924=1,2,IF(D5924=7,1,(IF(WEEKDAY(B5924)=1,2,IF(WEEKDAY(B5924)=7,1,0))))))</f>
        <v>2</v>
      </c>
      <c r="H5924" s="370">
        <v>12877.874816894531</v>
      </c>
      <c r="I5924" s="370">
        <v>3666.8349914550781</v>
      </c>
      <c r="M5924" s="371">
        <f t="shared" si="369"/>
        <v>13389.747520179972</v>
      </c>
      <c r="N5924" s="329">
        <f t="shared" si="370"/>
        <v>0</v>
      </c>
      <c r="T5924" s="331">
        <v>0</v>
      </c>
      <c r="U5924" s="328">
        <f>VLOOKUP(C5924,METADATA!$J$5:$Q$29,IF(E5924="HI",2,IF(E5924="LO",6,10))+IF(T5924=1,2,IF(D5924=7,1,(IF(WEEKDAY(B5924)=1,2,IF(WEEKDAY(B5924)=7,1,0))))))</f>
        <v>2</v>
      </c>
      <c r="V5924" s="328">
        <f>VLOOKUP(C5924,METADATA!$A$5:$H$29,IF(E5924="HI",2,IF(E5924="LO",6,10))+IF(T5924=1,2,IF(D5924=7,1,(IF(WEEKDAY(B5924)=1,2,IF(WEEKDAY(B5924)=7,1,0))))))</f>
        <v>2</v>
      </c>
    </row>
    <row r="5925" spans="2:22">
      <c r="B5925" s="318">
        <f t="shared" si="371"/>
        <v>46359</v>
      </c>
      <c r="C5925" s="312">
        <v>17</v>
      </c>
      <c r="D5925" s="368">
        <f>IFERROR((INDEX(METADATA!$T$2:$T$20,MATCH(B5925,METADATA!$S$2:$S$20,0))),0)</f>
        <v>0</v>
      </c>
      <c r="E5925" s="312" t="str">
        <f t="shared" si="368"/>
        <v>LO</v>
      </c>
      <c r="F5925" s="369">
        <f>VLOOKUP(C5925,METADATA!$A$5:$H$29,IF(E5925="HI",2,IF(E5925="LO",6,10))+IF(D5925=1,2,IF(D5925=7,1,(IF(WEEKDAY(B5925)=1,2,IF(WEEKDAY(B5925)=7,1,0))))))</f>
        <v>2</v>
      </c>
      <c r="G5925" s="369">
        <f>VLOOKUP(C5925,METADATA!$J$5:$Q$29,IF(E5925="HI",2,IF(E5925="LO",6,10))+IF(D5925=1,2,IF(D5925=7,1,(IF(WEEKDAY(B5925)=1,2,IF(WEEKDAY(B5925)=7,1,0))))))</f>
        <v>2</v>
      </c>
      <c r="H5925" s="370">
        <v>12948.499877929688</v>
      </c>
      <c r="I5925" s="370">
        <v>3724.4949645996094</v>
      </c>
      <c r="M5925" s="371">
        <f t="shared" si="369"/>
        <v>13473.511488475191</v>
      </c>
      <c r="N5925" s="329">
        <f t="shared" si="370"/>
        <v>0</v>
      </c>
      <c r="T5925" s="331">
        <v>0</v>
      </c>
      <c r="U5925" s="328">
        <f>VLOOKUP(C5925,METADATA!$J$5:$Q$29,IF(E5925="HI",2,IF(E5925="LO",6,10))+IF(T5925=1,2,IF(D5925=7,1,(IF(WEEKDAY(B5925)=1,2,IF(WEEKDAY(B5925)=7,1,0))))))</f>
        <v>2</v>
      </c>
      <c r="V5925" s="328">
        <f>VLOOKUP(C5925,METADATA!$A$5:$H$29,IF(E5925="HI",2,IF(E5925="LO",6,10))+IF(T5925=1,2,IF(D5925=7,1,(IF(WEEKDAY(B5925)=1,2,IF(WEEKDAY(B5925)=7,1,0))))))</f>
        <v>2</v>
      </c>
    </row>
    <row r="5926" spans="2:22">
      <c r="B5926" s="318">
        <f t="shared" si="371"/>
        <v>46359</v>
      </c>
      <c r="C5926" s="312">
        <v>18</v>
      </c>
      <c r="D5926" s="368">
        <f>IFERROR((INDEX(METADATA!$T$2:$T$20,MATCH(B5926,METADATA!$S$2:$S$20,0))),0)</f>
        <v>0</v>
      </c>
      <c r="E5926" s="312" t="str">
        <f t="shared" si="368"/>
        <v>LO</v>
      </c>
      <c r="F5926" s="369">
        <f>VLOOKUP(C5926,METADATA!$A$5:$H$29,IF(E5926="HI",2,IF(E5926="LO",6,10))+IF(D5926=1,2,IF(D5926=7,1,(IF(WEEKDAY(B5926)=1,2,IF(WEEKDAY(B5926)=7,1,0))))))</f>
        <v>1</v>
      </c>
      <c r="G5926" s="369">
        <f>VLOOKUP(C5926,METADATA!$J$5:$Q$29,IF(E5926="HI",2,IF(E5926="LO",6,10))+IF(D5926=1,2,IF(D5926=7,1,(IF(WEEKDAY(B5926)=1,2,IF(WEEKDAY(B5926)=7,1,0))))))</f>
        <v>1</v>
      </c>
      <c r="H5926" s="370">
        <v>12965.999938964844</v>
      </c>
      <c r="I5926" s="370">
        <v>3823.4949340820313</v>
      </c>
      <c r="M5926" s="371">
        <f t="shared" si="369"/>
        <v>13517.997926031328</v>
      </c>
      <c r="N5926" s="329">
        <f t="shared" si="370"/>
        <v>0</v>
      </c>
      <c r="T5926" s="331">
        <v>0</v>
      </c>
      <c r="U5926" s="328">
        <f>VLOOKUP(C5926,METADATA!$J$5:$Q$29,IF(E5926="HI",2,IF(E5926="LO",6,10))+IF(T5926=1,2,IF(D5926=7,1,(IF(WEEKDAY(B5926)=1,2,IF(WEEKDAY(B5926)=7,1,0))))))</f>
        <v>1</v>
      </c>
      <c r="V5926" s="328">
        <f>VLOOKUP(C5926,METADATA!$A$5:$H$29,IF(E5926="HI",2,IF(E5926="LO",6,10))+IF(T5926=1,2,IF(D5926=7,1,(IF(WEEKDAY(B5926)=1,2,IF(WEEKDAY(B5926)=7,1,0))))))</f>
        <v>1</v>
      </c>
    </row>
    <row r="5927" spans="2:22">
      <c r="B5927" s="318">
        <f t="shared" si="371"/>
        <v>46359</v>
      </c>
      <c r="C5927" s="312">
        <v>19</v>
      </c>
      <c r="D5927" s="368">
        <f>IFERROR((INDEX(METADATA!$T$2:$T$20,MATCH(B5927,METADATA!$S$2:$S$20,0))),0)</f>
        <v>0</v>
      </c>
      <c r="E5927" s="312" t="str">
        <f t="shared" si="368"/>
        <v>LO</v>
      </c>
      <c r="F5927" s="369">
        <f>VLOOKUP(C5927,METADATA!$A$5:$H$29,IF(E5927="HI",2,IF(E5927="LO",6,10))+IF(D5927=1,2,IF(D5927=7,1,(IF(WEEKDAY(B5927)=1,2,IF(WEEKDAY(B5927)=7,1,0))))))</f>
        <v>1</v>
      </c>
      <c r="G5927" s="369">
        <f>VLOOKUP(C5927,METADATA!$J$5:$Q$29,IF(E5927="HI",2,IF(E5927="LO",6,10))+IF(D5927=1,2,IF(D5927=7,1,(IF(WEEKDAY(B5927)=1,2,IF(WEEKDAY(B5927)=7,1,0))))))</f>
        <v>1</v>
      </c>
      <c r="H5927" s="370">
        <v>13116.874694824219</v>
      </c>
      <c r="I5927" s="370">
        <v>3930.7049713134766</v>
      </c>
      <c r="M5927" s="371">
        <f t="shared" si="369"/>
        <v>13693.167761012366</v>
      </c>
      <c r="N5927" s="329">
        <f t="shared" si="370"/>
        <v>0</v>
      </c>
      <c r="T5927" s="331">
        <v>0</v>
      </c>
      <c r="U5927" s="328">
        <f>VLOOKUP(C5927,METADATA!$J$5:$Q$29,IF(E5927="HI",2,IF(E5927="LO",6,10))+IF(T5927=1,2,IF(D5927=7,1,(IF(WEEKDAY(B5927)=1,2,IF(WEEKDAY(B5927)=7,1,0))))))</f>
        <v>1</v>
      </c>
      <c r="V5927" s="328">
        <f>VLOOKUP(C5927,METADATA!$A$5:$H$29,IF(E5927="HI",2,IF(E5927="LO",6,10))+IF(T5927=1,2,IF(D5927=7,1,(IF(WEEKDAY(B5927)=1,2,IF(WEEKDAY(B5927)=7,1,0))))))</f>
        <v>1</v>
      </c>
    </row>
    <row r="5928" spans="2:22">
      <c r="B5928" s="318">
        <f t="shared" si="371"/>
        <v>46359</v>
      </c>
      <c r="C5928" s="312">
        <v>20</v>
      </c>
      <c r="D5928" s="368">
        <f>IFERROR((INDEX(METADATA!$T$2:$T$20,MATCH(B5928,METADATA!$S$2:$S$20,0))),0)</f>
        <v>0</v>
      </c>
      <c r="E5928" s="312" t="str">
        <f t="shared" si="368"/>
        <v>LO</v>
      </c>
      <c r="F5928" s="369">
        <f>VLOOKUP(C5928,METADATA!$A$5:$H$29,IF(E5928="HI",2,IF(E5928="LO",6,10))+IF(D5928=1,2,IF(D5928=7,1,(IF(WEEKDAY(B5928)=1,2,IF(WEEKDAY(B5928)=7,1,0))))))</f>
        <v>1</v>
      </c>
      <c r="G5928" s="369">
        <f>VLOOKUP(C5928,METADATA!$J$5:$Q$29,IF(E5928="HI",2,IF(E5928="LO",6,10))+IF(D5928=1,2,IF(D5928=7,1,(IF(WEEKDAY(B5928)=1,2,IF(WEEKDAY(B5928)=7,1,0))))))</f>
        <v>1</v>
      </c>
      <c r="H5928" s="370">
        <v>13139.274780273438</v>
      </c>
      <c r="I5928" s="370">
        <v>3979.6100158691406</v>
      </c>
      <c r="M5928" s="371">
        <f t="shared" si="369"/>
        <v>13728.723088107487</v>
      </c>
      <c r="N5928" s="329">
        <f t="shared" si="370"/>
        <v>37.827581787109466</v>
      </c>
      <c r="T5928" s="331">
        <v>0</v>
      </c>
      <c r="U5928" s="328">
        <f>VLOOKUP(C5928,METADATA!$J$5:$Q$29,IF(E5928="HI",2,IF(E5928="LO",6,10))+IF(T5928=1,2,IF(D5928=7,1,(IF(WEEKDAY(B5928)=1,2,IF(WEEKDAY(B5928)=7,1,0))))))</f>
        <v>1</v>
      </c>
      <c r="V5928" s="328">
        <f>VLOOKUP(C5928,METADATA!$A$5:$H$29,IF(E5928="HI",2,IF(E5928="LO",6,10))+IF(T5928=1,2,IF(D5928=7,1,(IF(WEEKDAY(B5928)=1,2,IF(WEEKDAY(B5928)=7,1,0))))))</f>
        <v>1</v>
      </c>
    </row>
    <row r="5929" spans="2:22">
      <c r="B5929" s="318">
        <f t="shared" si="371"/>
        <v>46359</v>
      </c>
      <c r="C5929" s="312">
        <v>21</v>
      </c>
      <c r="D5929" s="368">
        <f>IFERROR((INDEX(METADATA!$T$2:$T$20,MATCH(B5929,METADATA!$S$2:$S$20,0))),0)</f>
        <v>0</v>
      </c>
      <c r="E5929" s="312" t="str">
        <f t="shared" si="368"/>
        <v>LO</v>
      </c>
      <c r="F5929" s="369">
        <f>VLOOKUP(C5929,METADATA!$A$5:$H$29,IF(E5929="HI",2,IF(E5929="LO",6,10))+IF(D5929=1,2,IF(D5929=7,1,(IF(WEEKDAY(B5929)=1,2,IF(WEEKDAY(B5929)=7,1,0))))))</f>
        <v>2</v>
      </c>
      <c r="G5929" s="369">
        <f>VLOOKUP(C5929,METADATA!$J$5:$Q$29,IF(E5929="HI",2,IF(E5929="LO",6,10))+IF(D5929=1,2,IF(D5929=7,1,(IF(WEEKDAY(B5929)=1,2,IF(WEEKDAY(B5929)=7,1,0))))))</f>
        <v>2</v>
      </c>
      <c r="H5929" s="370">
        <v>13046.425109863281</v>
      </c>
      <c r="I5929" s="370">
        <v>3919.1100463867188</v>
      </c>
      <c r="M5929" s="371">
        <f t="shared" si="369"/>
        <v>13622.357787951411</v>
      </c>
      <c r="N5929" s="329">
        <f t="shared" si="370"/>
        <v>5.1825134277346478</v>
      </c>
      <c r="T5929" s="331">
        <v>0</v>
      </c>
      <c r="U5929" s="328">
        <f>VLOOKUP(C5929,METADATA!$J$5:$Q$29,IF(E5929="HI",2,IF(E5929="LO",6,10))+IF(T5929=1,2,IF(D5929=7,1,(IF(WEEKDAY(B5929)=1,2,IF(WEEKDAY(B5929)=7,1,0))))))</f>
        <v>2</v>
      </c>
      <c r="V5929" s="328">
        <f>VLOOKUP(C5929,METADATA!$A$5:$H$29,IF(E5929="HI",2,IF(E5929="LO",6,10))+IF(T5929=1,2,IF(D5929=7,1,(IF(WEEKDAY(B5929)=1,2,IF(WEEKDAY(B5929)=7,1,0))))))</f>
        <v>2</v>
      </c>
    </row>
    <row r="5930" spans="2:22">
      <c r="B5930" s="318">
        <f t="shared" si="371"/>
        <v>46359</v>
      </c>
      <c r="C5930" s="312">
        <v>22</v>
      </c>
      <c r="D5930" s="368">
        <f>IFERROR((INDEX(METADATA!$T$2:$T$20,MATCH(B5930,METADATA!$S$2:$S$20,0))),0)</f>
        <v>0</v>
      </c>
      <c r="E5930" s="312" t="str">
        <f t="shared" si="368"/>
        <v>LO</v>
      </c>
      <c r="F5930" s="369">
        <f>VLOOKUP(C5930,METADATA!$A$5:$H$29,IF(E5930="HI",2,IF(E5930="LO",6,10))+IF(D5930=1,2,IF(D5930=7,1,(IF(WEEKDAY(B5930)=1,2,IF(WEEKDAY(B5930)=7,1,0))))))</f>
        <v>3</v>
      </c>
      <c r="G5930" s="369">
        <f>VLOOKUP(C5930,METADATA!$J$5:$Q$29,IF(E5930="HI",2,IF(E5930="LO",6,10))+IF(D5930=1,2,IF(D5930=7,1,(IF(WEEKDAY(B5930)=1,2,IF(WEEKDAY(B5930)=7,1,0))))))</f>
        <v>3</v>
      </c>
      <c r="H5930" s="370">
        <v>12868.275146484375</v>
      </c>
      <c r="I5930" s="370">
        <v>3864.3798522949219</v>
      </c>
      <c r="M5930" s="371">
        <f t="shared" si="369"/>
        <v>13435.994078907983</v>
      </c>
      <c r="N5930" s="329">
        <f t="shared" si="370"/>
        <v>3.897308349609375</v>
      </c>
      <c r="T5930" s="331">
        <v>0</v>
      </c>
      <c r="U5930" s="328">
        <f>VLOOKUP(C5930,METADATA!$J$5:$Q$29,IF(E5930="HI",2,IF(E5930="LO",6,10))+IF(T5930=1,2,IF(D5930=7,1,(IF(WEEKDAY(B5930)=1,2,IF(WEEKDAY(B5930)=7,1,0))))))</f>
        <v>3</v>
      </c>
      <c r="V5930" s="328">
        <f>VLOOKUP(C5930,METADATA!$A$5:$H$29,IF(E5930="HI",2,IF(E5930="LO",6,10))+IF(T5930=1,2,IF(D5930=7,1,(IF(WEEKDAY(B5930)=1,2,IF(WEEKDAY(B5930)=7,1,0))))))</f>
        <v>3</v>
      </c>
    </row>
    <row r="5931" spans="2:22">
      <c r="B5931" s="318">
        <f t="shared" si="371"/>
        <v>46359</v>
      </c>
      <c r="C5931" s="312">
        <v>23</v>
      </c>
      <c r="D5931" s="368">
        <f>IFERROR((INDEX(METADATA!$T$2:$T$20,MATCH(B5931,METADATA!$S$2:$S$20,0))),0)</f>
        <v>0</v>
      </c>
      <c r="E5931" s="312" t="str">
        <f t="shared" si="368"/>
        <v>LO</v>
      </c>
      <c r="F5931" s="369">
        <f>VLOOKUP(C5931,METADATA!$A$5:$H$29,IF(E5931="HI",2,IF(E5931="LO",6,10))+IF(D5931=1,2,IF(D5931=7,1,(IF(WEEKDAY(B5931)=1,2,IF(WEEKDAY(B5931)=7,1,0))))))</f>
        <v>3</v>
      </c>
      <c r="G5931" s="369">
        <f>VLOOKUP(C5931,METADATA!$J$5:$Q$29,IF(E5931="HI",2,IF(E5931="LO",6,10))+IF(D5931=1,2,IF(D5931=7,1,(IF(WEEKDAY(B5931)=1,2,IF(WEEKDAY(B5931)=7,1,0))))))</f>
        <v>3</v>
      </c>
      <c r="H5931" s="370">
        <v>12981.499755859375</v>
      </c>
      <c r="I5931" s="370">
        <v>4005.7550354003906</v>
      </c>
      <c r="M5931" s="371">
        <f t="shared" si="369"/>
        <v>13585.485244002608</v>
      </c>
      <c r="N5931" s="329">
        <f t="shared" si="370"/>
        <v>111.30510864257849</v>
      </c>
      <c r="T5931" s="331">
        <v>0</v>
      </c>
      <c r="U5931" s="328">
        <f>VLOOKUP(C5931,METADATA!$J$5:$Q$29,IF(E5931="HI",2,IF(E5931="LO",6,10))+IF(T5931=1,2,IF(D5931=7,1,(IF(WEEKDAY(B5931)=1,2,IF(WEEKDAY(B5931)=7,1,0))))))</f>
        <v>3</v>
      </c>
      <c r="V5931" s="328">
        <f>VLOOKUP(C5931,METADATA!$A$5:$H$29,IF(E5931="HI",2,IF(E5931="LO",6,10))+IF(T5931=1,2,IF(D5931=7,1,(IF(WEEKDAY(B5931)=1,2,IF(WEEKDAY(B5931)=7,1,0))))))</f>
        <v>3</v>
      </c>
    </row>
    <row r="5932" spans="2:22">
      <c r="B5932" s="318">
        <f t="shared" si="371"/>
        <v>46360</v>
      </c>
      <c r="C5932" s="312">
        <v>0</v>
      </c>
      <c r="D5932" s="368">
        <f>IFERROR((INDEX(METADATA!$T$2:$T$20,MATCH(B5932,METADATA!$S$2:$S$20,0))),0)</f>
        <v>0</v>
      </c>
      <c r="E5932" s="312" t="str">
        <f t="shared" si="368"/>
        <v>LO</v>
      </c>
      <c r="F5932" s="369">
        <f>VLOOKUP(C5932,METADATA!$A$5:$H$29,IF(E5932="HI",2,IF(E5932="LO",6,10))+IF(D5932=1,2,IF(D5932=7,1,(IF(WEEKDAY(B5932)=1,2,IF(WEEKDAY(B5932)=7,1,0))))))</f>
        <v>3</v>
      </c>
      <c r="G5932" s="369">
        <f>VLOOKUP(C5932,METADATA!$J$5:$Q$29,IF(E5932="HI",2,IF(E5932="LO",6,10))+IF(D5932=1,2,IF(D5932=7,1,(IF(WEEKDAY(B5932)=1,2,IF(WEEKDAY(B5932)=7,1,0))))))</f>
        <v>3</v>
      </c>
      <c r="H5932" s="370">
        <v>12978.400268554688</v>
      </c>
      <c r="I5932" s="370">
        <v>4044.1800537109375</v>
      </c>
      <c r="M5932" s="371">
        <f t="shared" si="369"/>
        <v>13593.905466702854</v>
      </c>
      <c r="N5932" s="329">
        <f t="shared" si="370"/>
        <v>150.65997314453125</v>
      </c>
      <c r="T5932" s="331">
        <v>0</v>
      </c>
      <c r="U5932" s="328">
        <f>VLOOKUP(C5932,METADATA!$J$5:$Q$29,IF(E5932="HI",2,IF(E5932="LO",6,10))+IF(T5932=1,2,IF(D5932=7,1,(IF(WEEKDAY(B5932)=1,2,IF(WEEKDAY(B5932)=7,1,0))))))</f>
        <v>3</v>
      </c>
      <c r="V5932" s="328">
        <f>VLOOKUP(C5932,METADATA!$A$5:$H$29,IF(E5932="HI",2,IF(E5932="LO",6,10))+IF(T5932=1,2,IF(D5932=7,1,(IF(WEEKDAY(B5932)=1,2,IF(WEEKDAY(B5932)=7,1,0))))))</f>
        <v>3</v>
      </c>
    </row>
    <row r="5933" spans="2:22">
      <c r="B5933" s="318">
        <f t="shared" si="371"/>
        <v>46360</v>
      </c>
      <c r="C5933" s="312">
        <v>1</v>
      </c>
      <c r="D5933" s="368">
        <f>IFERROR((INDEX(METADATA!$T$2:$T$20,MATCH(B5933,METADATA!$S$2:$S$20,0))),0)</f>
        <v>0</v>
      </c>
      <c r="E5933" s="312" t="str">
        <f t="shared" si="368"/>
        <v>LO</v>
      </c>
      <c r="F5933" s="369">
        <f>VLOOKUP(C5933,METADATA!$A$5:$H$29,IF(E5933="HI",2,IF(E5933="LO",6,10))+IF(D5933=1,2,IF(D5933=7,1,(IF(WEEKDAY(B5933)=1,2,IF(WEEKDAY(B5933)=7,1,0))))))</f>
        <v>3</v>
      </c>
      <c r="G5933" s="369">
        <f>VLOOKUP(C5933,METADATA!$J$5:$Q$29,IF(E5933="HI",2,IF(E5933="LO",6,10))+IF(D5933=1,2,IF(D5933=7,1,(IF(WEEKDAY(B5933)=1,2,IF(WEEKDAY(B5933)=7,1,0))))))</f>
        <v>3</v>
      </c>
      <c r="H5933" s="370">
        <v>12852.872436523438</v>
      </c>
      <c r="I5933" s="370">
        <v>3985.7649841308594</v>
      </c>
      <c r="M5933" s="371">
        <f t="shared" si="369"/>
        <v>13456.69544792731</v>
      </c>
      <c r="N5933" s="329">
        <f t="shared" si="370"/>
        <v>129.90325317382849</v>
      </c>
      <c r="T5933" s="331">
        <v>0</v>
      </c>
      <c r="U5933" s="328">
        <f>VLOOKUP(C5933,METADATA!$J$5:$Q$29,IF(E5933="HI",2,IF(E5933="LO",6,10))+IF(T5933=1,2,IF(D5933=7,1,(IF(WEEKDAY(B5933)=1,2,IF(WEEKDAY(B5933)=7,1,0))))))</f>
        <v>3</v>
      </c>
      <c r="V5933" s="328">
        <f>VLOOKUP(C5933,METADATA!$A$5:$H$29,IF(E5933="HI",2,IF(E5933="LO",6,10))+IF(T5933=1,2,IF(D5933=7,1,(IF(WEEKDAY(B5933)=1,2,IF(WEEKDAY(B5933)=7,1,0))))))</f>
        <v>3</v>
      </c>
    </row>
    <row r="5934" spans="2:22">
      <c r="B5934" s="318">
        <f t="shared" si="371"/>
        <v>46360</v>
      </c>
      <c r="C5934" s="312">
        <v>2</v>
      </c>
      <c r="D5934" s="368">
        <f>IFERROR((INDEX(METADATA!$T$2:$T$20,MATCH(B5934,METADATA!$S$2:$S$20,0))),0)</f>
        <v>0</v>
      </c>
      <c r="E5934" s="312" t="str">
        <f t="shared" si="368"/>
        <v>LO</v>
      </c>
      <c r="F5934" s="369">
        <f>VLOOKUP(C5934,METADATA!$A$5:$H$29,IF(E5934="HI",2,IF(E5934="LO",6,10))+IF(D5934=1,2,IF(D5934=7,1,(IF(WEEKDAY(B5934)=1,2,IF(WEEKDAY(B5934)=7,1,0))))))</f>
        <v>3</v>
      </c>
      <c r="G5934" s="369">
        <f>VLOOKUP(C5934,METADATA!$J$5:$Q$29,IF(E5934="HI",2,IF(E5934="LO",6,10))+IF(D5934=1,2,IF(D5934=7,1,(IF(WEEKDAY(B5934)=1,2,IF(WEEKDAY(B5934)=7,1,0))))))</f>
        <v>3</v>
      </c>
      <c r="H5934" s="370">
        <v>13006.374694824219</v>
      </c>
      <c r="I5934" s="370">
        <v>4011.1550598144531</v>
      </c>
      <c r="M5934" s="371">
        <f t="shared" si="369"/>
        <v>13610.846689902832</v>
      </c>
      <c r="N5934" s="329">
        <f t="shared" si="370"/>
        <v>109.24265136718759</v>
      </c>
      <c r="T5934" s="331">
        <v>0</v>
      </c>
      <c r="U5934" s="328">
        <f>VLOOKUP(C5934,METADATA!$J$5:$Q$29,IF(E5934="HI",2,IF(E5934="LO",6,10))+IF(T5934=1,2,IF(D5934=7,1,(IF(WEEKDAY(B5934)=1,2,IF(WEEKDAY(B5934)=7,1,0))))))</f>
        <v>3</v>
      </c>
      <c r="V5934" s="328">
        <f>VLOOKUP(C5934,METADATA!$A$5:$H$29,IF(E5934="HI",2,IF(E5934="LO",6,10))+IF(T5934=1,2,IF(D5934=7,1,(IF(WEEKDAY(B5934)=1,2,IF(WEEKDAY(B5934)=7,1,0))))))</f>
        <v>3</v>
      </c>
    </row>
    <row r="5935" spans="2:22">
      <c r="B5935" s="318">
        <f t="shared" si="371"/>
        <v>46360</v>
      </c>
      <c r="C5935" s="312">
        <v>3</v>
      </c>
      <c r="D5935" s="368">
        <f>IFERROR((INDEX(METADATA!$T$2:$T$20,MATCH(B5935,METADATA!$S$2:$S$20,0))),0)</f>
        <v>0</v>
      </c>
      <c r="E5935" s="312" t="str">
        <f t="shared" si="368"/>
        <v>LO</v>
      </c>
      <c r="F5935" s="369">
        <f>VLOOKUP(C5935,METADATA!$A$5:$H$29,IF(E5935="HI",2,IF(E5935="LO",6,10))+IF(D5935=1,2,IF(D5935=7,1,(IF(WEEKDAY(B5935)=1,2,IF(WEEKDAY(B5935)=7,1,0))))))</f>
        <v>3</v>
      </c>
      <c r="G5935" s="369">
        <f>VLOOKUP(C5935,METADATA!$J$5:$Q$29,IF(E5935="HI",2,IF(E5935="LO",6,10))+IF(D5935=1,2,IF(D5935=7,1,(IF(WEEKDAY(B5935)=1,2,IF(WEEKDAY(B5935)=7,1,0))))))</f>
        <v>3</v>
      </c>
      <c r="H5935" s="370">
        <v>13135.899780273438</v>
      </c>
      <c r="I5935" s="370">
        <v>4008.5750122070313</v>
      </c>
      <c r="M5935" s="371">
        <f t="shared" si="369"/>
        <v>13733.919202684947</v>
      </c>
      <c r="N5935" s="329">
        <f t="shared" si="370"/>
        <v>67.805078125000364</v>
      </c>
      <c r="T5935" s="331">
        <v>0</v>
      </c>
      <c r="U5935" s="328">
        <f>VLOOKUP(C5935,METADATA!$J$5:$Q$29,IF(E5935="HI",2,IF(E5935="LO",6,10))+IF(T5935=1,2,IF(D5935=7,1,(IF(WEEKDAY(B5935)=1,2,IF(WEEKDAY(B5935)=7,1,0))))))</f>
        <v>3</v>
      </c>
      <c r="V5935" s="328">
        <f>VLOOKUP(C5935,METADATA!$A$5:$H$29,IF(E5935="HI",2,IF(E5935="LO",6,10))+IF(T5935=1,2,IF(D5935=7,1,(IF(WEEKDAY(B5935)=1,2,IF(WEEKDAY(B5935)=7,1,0))))))</f>
        <v>3</v>
      </c>
    </row>
    <row r="5936" spans="2:22">
      <c r="B5936" s="318">
        <f t="shared" si="371"/>
        <v>46360</v>
      </c>
      <c r="C5936" s="312">
        <v>4</v>
      </c>
      <c r="D5936" s="368">
        <f>IFERROR((INDEX(METADATA!$T$2:$T$20,MATCH(B5936,METADATA!$S$2:$S$20,0))),0)</f>
        <v>0</v>
      </c>
      <c r="E5936" s="312" t="str">
        <f t="shared" si="368"/>
        <v>LO</v>
      </c>
      <c r="F5936" s="369">
        <f>VLOOKUP(C5936,METADATA!$A$5:$H$29,IF(E5936="HI",2,IF(E5936="LO",6,10))+IF(D5936=1,2,IF(D5936=7,1,(IF(WEEKDAY(B5936)=1,2,IF(WEEKDAY(B5936)=7,1,0))))))</f>
        <v>3</v>
      </c>
      <c r="G5936" s="369">
        <f>VLOOKUP(C5936,METADATA!$J$5:$Q$29,IF(E5936="HI",2,IF(E5936="LO",6,10))+IF(D5936=1,2,IF(D5936=7,1,(IF(WEEKDAY(B5936)=1,2,IF(WEEKDAY(B5936)=7,1,0))))))</f>
        <v>3</v>
      </c>
      <c r="H5936" s="370">
        <v>12983.775024414063</v>
      </c>
      <c r="I5936" s="370">
        <v>3884.0400085449219</v>
      </c>
      <c r="M5936" s="371">
        <f t="shared" si="369"/>
        <v>13552.275848453499</v>
      </c>
      <c r="N5936" s="329">
        <f t="shared" si="370"/>
        <v>0</v>
      </c>
      <c r="T5936" s="331">
        <v>0</v>
      </c>
      <c r="U5936" s="328">
        <f>VLOOKUP(C5936,METADATA!$J$5:$Q$29,IF(E5936="HI",2,IF(E5936="LO",6,10))+IF(T5936=1,2,IF(D5936=7,1,(IF(WEEKDAY(B5936)=1,2,IF(WEEKDAY(B5936)=7,1,0))))))</f>
        <v>3</v>
      </c>
      <c r="V5936" s="328">
        <f>VLOOKUP(C5936,METADATA!$A$5:$H$29,IF(E5936="HI",2,IF(E5936="LO",6,10))+IF(T5936=1,2,IF(D5936=7,1,(IF(WEEKDAY(B5936)=1,2,IF(WEEKDAY(B5936)=7,1,0))))))</f>
        <v>3</v>
      </c>
    </row>
    <row r="5937" spans="2:22">
      <c r="B5937" s="318">
        <f t="shared" si="371"/>
        <v>46360</v>
      </c>
      <c r="C5937" s="312">
        <v>5</v>
      </c>
      <c r="D5937" s="368">
        <f>IFERROR((INDEX(METADATA!$T$2:$T$20,MATCH(B5937,METADATA!$S$2:$S$20,0))),0)</f>
        <v>0</v>
      </c>
      <c r="E5937" s="312" t="str">
        <f t="shared" si="368"/>
        <v>LO</v>
      </c>
      <c r="F5937" s="369">
        <f>VLOOKUP(C5937,METADATA!$A$5:$H$29,IF(E5937="HI",2,IF(E5937="LO",6,10))+IF(D5937=1,2,IF(D5937=7,1,(IF(WEEKDAY(B5937)=1,2,IF(WEEKDAY(B5937)=7,1,0))))))</f>
        <v>3</v>
      </c>
      <c r="G5937" s="369">
        <f>VLOOKUP(C5937,METADATA!$J$5:$Q$29,IF(E5937="HI",2,IF(E5937="LO",6,10))+IF(D5937=1,2,IF(D5937=7,1,(IF(WEEKDAY(B5937)=1,2,IF(WEEKDAY(B5937)=7,1,0))))))</f>
        <v>3</v>
      </c>
      <c r="H5937" s="370">
        <v>12821.374633789063</v>
      </c>
      <c r="I5937" s="370">
        <v>3815.7900238037109</v>
      </c>
      <c r="M5937" s="371">
        <f t="shared" si="369"/>
        <v>13377.140987734618</v>
      </c>
      <c r="N5937" s="329">
        <f t="shared" si="370"/>
        <v>0</v>
      </c>
      <c r="T5937" s="331">
        <v>0</v>
      </c>
      <c r="U5937" s="328">
        <f>VLOOKUP(C5937,METADATA!$J$5:$Q$29,IF(E5937="HI",2,IF(E5937="LO",6,10))+IF(T5937=1,2,IF(D5937=7,1,(IF(WEEKDAY(B5937)=1,2,IF(WEEKDAY(B5937)=7,1,0))))))</f>
        <v>3</v>
      </c>
      <c r="V5937" s="328">
        <f>VLOOKUP(C5937,METADATA!$A$5:$H$29,IF(E5937="HI",2,IF(E5937="LO",6,10))+IF(T5937=1,2,IF(D5937=7,1,(IF(WEEKDAY(B5937)=1,2,IF(WEEKDAY(B5937)=7,1,0))))))</f>
        <v>3</v>
      </c>
    </row>
    <row r="5938" spans="2:22">
      <c r="B5938" s="318">
        <f t="shared" si="371"/>
        <v>46360</v>
      </c>
      <c r="C5938" s="312">
        <v>6</v>
      </c>
      <c r="D5938" s="368">
        <f>IFERROR((INDEX(METADATA!$T$2:$T$20,MATCH(B5938,METADATA!$S$2:$S$20,0))),0)</f>
        <v>0</v>
      </c>
      <c r="E5938" s="312" t="str">
        <f t="shared" si="368"/>
        <v>LO</v>
      </c>
      <c r="F5938" s="369">
        <f>VLOOKUP(C5938,METADATA!$A$5:$H$29,IF(E5938="HI",2,IF(E5938="LO",6,10))+IF(D5938=1,2,IF(D5938=7,1,(IF(WEEKDAY(B5938)=1,2,IF(WEEKDAY(B5938)=7,1,0))))))</f>
        <v>2</v>
      </c>
      <c r="G5938" s="369">
        <f>VLOOKUP(C5938,METADATA!$J$5:$Q$29,IF(E5938="HI",2,IF(E5938="LO",6,10))+IF(D5938=1,2,IF(D5938=7,1,(IF(WEEKDAY(B5938)=1,2,IF(WEEKDAY(B5938)=7,1,0))))))</f>
        <v>2</v>
      </c>
      <c r="H5938" s="370">
        <v>10873.249755859375</v>
      </c>
      <c r="I5938" s="370">
        <v>3091.629940032959</v>
      </c>
      <c r="M5938" s="371">
        <f t="shared" si="369"/>
        <v>11304.23530980332</v>
      </c>
      <c r="N5938" s="329">
        <f t="shared" si="370"/>
        <v>0</v>
      </c>
      <c r="T5938" s="331">
        <v>0</v>
      </c>
      <c r="U5938" s="328">
        <f>VLOOKUP(C5938,METADATA!$J$5:$Q$29,IF(E5938="HI",2,IF(E5938="LO",6,10))+IF(T5938=1,2,IF(D5938=7,1,(IF(WEEKDAY(B5938)=1,2,IF(WEEKDAY(B5938)=7,1,0))))))</f>
        <v>2</v>
      </c>
      <c r="V5938" s="328">
        <f>VLOOKUP(C5938,METADATA!$A$5:$H$29,IF(E5938="HI",2,IF(E5938="LO",6,10))+IF(T5938=1,2,IF(D5938=7,1,(IF(WEEKDAY(B5938)=1,2,IF(WEEKDAY(B5938)=7,1,0))))))</f>
        <v>2</v>
      </c>
    </row>
    <row r="5939" spans="2:22">
      <c r="B5939" s="318">
        <f t="shared" si="371"/>
        <v>46360</v>
      </c>
      <c r="C5939" s="312">
        <v>7</v>
      </c>
      <c r="D5939" s="368">
        <f>IFERROR((INDEX(METADATA!$T$2:$T$20,MATCH(B5939,METADATA!$S$2:$S$20,0))),0)</f>
        <v>0</v>
      </c>
      <c r="E5939" s="312" t="str">
        <f t="shared" si="368"/>
        <v>LO</v>
      </c>
      <c r="F5939" s="369">
        <f>VLOOKUP(C5939,METADATA!$A$5:$H$29,IF(E5939="HI",2,IF(E5939="LO",6,10))+IF(D5939=1,2,IF(D5939=7,1,(IF(WEEKDAY(B5939)=1,2,IF(WEEKDAY(B5939)=7,1,0))))))</f>
        <v>1</v>
      </c>
      <c r="G5939" s="369">
        <f>VLOOKUP(C5939,METADATA!$J$5:$Q$29,IF(E5939="HI",2,IF(E5939="LO",6,10))+IF(D5939=1,2,IF(D5939=7,1,(IF(WEEKDAY(B5939)=1,2,IF(WEEKDAY(B5939)=7,1,0))))))</f>
        <v>1</v>
      </c>
      <c r="H5939" s="370">
        <v>8187.3751220703125</v>
      </c>
      <c r="I5939" s="370">
        <v>2726.5750122070313</v>
      </c>
      <c r="M5939" s="371">
        <f t="shared" si="369"/>
        <v>8629.4450972636496</v>
      </c>
      <c r="N5939" s="329">
        <f t="shared" si="370"/>
        <v>270.36247558593777</v>
      </c>
      <c r="T5939" s="331">
        <v>0</v>
      </c>
      <c r="U5939" s="328">
        <f>VLOOKUP(C5939,METADATA!$J$5:$Q$29,IF(E5939="HI",2,IF(E5939="LO",6,10))+IF(T5939=1,2,IF(D5939=7,1,(IF(WEEKDAY(B5939)=1,2,IF(WEEKDAY(B5939)=7,1,0))))))</f>
        <v>1</v>
      </c>
      <c r="V5939" s="328">
        <f>VLOOKUP(C5939,METADATA!$A$5:$H$29,IF(E5939="HI",2,IF(E5939="LO",6,10))+IF(T5939=1,2,IF(D5939=7,1,(IF(WEEKDAY(B5939)=1,2,IF(WEEKDAY(B5939)=7,1,0))))))</f>
        <v>1</v>
      </c>
    </row>
    <row r="5940" spans="2:22">
      <c r="B5940" s="318">
        <f t="shared" si="371"/>
        <v>46360</v>
      </c>
      <c r="C5940" s="312">
        <v>8</v>
      </c>
      <c r="D5940" s="368">
        <f>IFERROR((INDEX(METADATA!$T$2:$T$20,MATCH(B5940,METADATA!$S$2:$S$20,0))),0)</f>
        <v>0</v>
      </c>
      <c r="E5940" s="312" t="str">
        <f t="shared" si="368"/>
        <v>LO</v>
      </c>
      <c r="F5940" s="369">
        <f>VLOOKUP(C5940,METADATA!$A$5:$H$29,IF(E5940="HI",2,IF(E5940="LO",6,10))+IF(D5940=1,2,IF(D5940=7,1,(IF(WEEKDAY(B5940)=1,2,IF(WEEKDAY(B5940)=7,1,0))))))</f>
        <v>1</v>
      </c>
      <c r="G5940" s="369">
        <f>VLOOKUP(C5940,METADATA!$J$5:$Q$29,IF(E5940="HI",2,IF(E5940="LO",6,10))+IF(D5940=1,2,IF(D5940=7,1,(IF(WEEKDAY(B5940)=1,2,IF(WEEKDAY(B5940)=7,1,0))))))</f>
        <v>1</v>
      </c>
      <c r="H5940" s="370">
        <v>6577.7450561523438</v>
      </c>
      <c r="I5940" s="370">
        <v>2085.3800048828125</v>
      </c>
      <c r="M5940" s="371">
        <f t="shared" si="369"/>
        <v>6900.4014222725937</v>
      </c>
      <c r="N5940" s="329">
        <f t="shared" si="370"/>
        <v>112.05648803710938</v>
      </c>
      <c r="T5940" s="331">
        <v>0</v>
      </c>
      <c r="U5940" s="328">
        <f>VLOOKUP(C5940,METADATA!$J$5:$Q$29,IF(E5940="HI",2,IF(E5940="LO",6,10))+IF(T5940=1,2,IF(D5940=7,1,(IF(WEEKDAY(B5940)=1,2,IF(WEEKDAY(B5940)=7,1,0))))))</f>
        <v>1</v>
      </c>
      <c r="V5940" s="328">
        <f>VLOOKUP(C5940,METADATA!$A$5:$H$29,IF(E5940="HI",2,IF(E5940="LO",6,10))+IF(T5940=1,2,IF(D5940=7,1,(IF(WEEKDAY(B5940)=1,2,IF(WEEKDAY(B5940)=7,1,0))))))</f>
        <v>1</v>
      </c>
    </row>
    <row r="5941" spans="2:22">
      <c r="B5941" s="318">
        <f t="shared" si="371"/>
        <v>46360</v>
      </c>
      <c r="C5941" s="312">
        <v>9</v>
      </c>
      <c r="D5941" s="368">
        <f>IFERROR((INDEX(METADATA!$T$2:$T$20,MATCH(B5941,METADATA!$S$2:$S$20,0))),0)</f>
        <v>0</v>
      </c>
      <c r="E5941" s="312" t="str">
        <f t="shared" si="368"/>
        <v>LO</v>
      </c>
      <c r="F5941" s="369">
        <f>VLOOKUP(C5941,METADATA!$A$5:$H$29,IF(E5941="HI",2,IF(E5941="LO",6,10))+IF(D5941=1,2,IF(D5941=7,1,(IF(WEEKDAY(B5941)=1,2,IF(WEEKDAY(B5941)=7,1,0))))))</f>
        <v>2</v>
      </c>
      <c r="G5941" s="369">
        <f>VLOOKUP(C5941,METADATA!$J$5:$Q$29,IF(E5941="HI",2,IF(E5941="LO",6,10))+IF(D5941=1,2,IF(D5941=7,1,(IF(WEEKDAY(B5941)=1,2,IF(WEEKDAY(B5941)=7,1,0))))))</f>
        <v>2</v>
      </c>
      <c r="H5941" s="370">
        <v>6670.5476684570313</v>
      </c>
      <c r="I5941" s="370">
        <v>1656.4050036594272</v>
      </c>
      <c r="M5941" s="371">
        <f t="shared" si="369"/>
        <v>6873.1276529179586</v>
      </c>
      <c r="N5941" s="329">
        <f t="shared" si="370"/>
        <v>0</v>
      </c>
      <c r="T5941" s="331">
        <v>0</v>
      </c>
      <c r="U5941" s="328">
        <f>VLOOKUP(C5941,METADATA!$J$5:$Q$29,IF(E5941="HI",2,IF(E5941="LO",6,10))+IF(T5941=1,2,IF(D5941=7,1,(IF(WEEKDAY(B5941)=1,2,IF(WEEKDAY(B5941)=7,1,0))))))</f>
        <v>2</v>
      </c>
      <c r="V5941" s="328">
        <f>VLOOKUP(C5941,METADATA!$A$5:$H$29,IF(E5941="HI",2,IF(E5941="LO",6,10))+IF(T5941=1,2,IF(D5941=7,1,(IF(WEEKDAY(B5941)=1,2,IF(WEEKDAY(B5941)=7,1,0))))))</f>
        <v>2</v>
      </c>
    </row>
    <row r="5942" spans="2:22">
      <c r="B5942" s="318">
        <f t="shared" si="371"/>
        <v>46360</v>
      </c>
      <c r="C5942" s="312">
        <v>10</v>
      </c>
      <c r="D5942" s="368">
        <f>IFERROR((INDEX(METADATA!$T$2:$T$20,MATCH(B5942,METADATA!$S$2:$S$20,0))),0)</f>
        <v>0</v>
      </c>
      <c r="E5942" s="312" t="str">
        <f t="shared" si="368"/>
        <v>LO</v>
      </c>
      <c r="F5942" s="369">
        <f>VLOOKUP(C5942,METADATA!$A$5:$H$29,IF(E5942="HI",2,IF(E5942="LO",6,10))+IF(D5942=1,2,IF(D5942=7,1,(IF(WEEKDAY(B5942)=1,2,IF(WEEKDAY(B5942)=7,1,0))))))</f>
        <v>2</v>
      </c>
      <c r="G5942" s="369">
        <f>VLOOKUP(C5942,METADATA!$J$5:$Q$29,IF(E5942="HI",2,IF(E5942="LO",6,10))+IF(D5942=1,2,IF(D5942=7,1,(IF(WEEKDAY(B5942)=1,2,IF(WEEKDAY(B5942)=7,1,0))))))</f>
        <v>2</v>
      </c>
      <c r="H5942" s="370">
        <v>8222.4550476074219</v>
      </c>
      <c r="I5942" s="370">
        <v>1725.074987411499</v>
      </c>
      <c r="M5942" s="371">
        <f t="shared" si="369"/>
        <v>8401.4671767565433</v>
      </c>
      <c r="N5942" s="329">
        <f t="shared" si="370"/>
        <v>0</v>
      </c>
      <c r="T5942" s="331">
        <v>0</v>
      </c>
      <c r="U5942" s="328">
        <f>VLOOKUP(C5942,METADATA!$J$5:$Q$29,IF(E5942="HI",2,IF(E5942="LO",6,10))+IF(T5942=1,2,IF(D5942=7,1,(IF(WEEKDAY(B5942)=1,2,IF(WEEKDAY(B5942)=7,1,0))))))</f>
        <v>2</v>
      </c>
      <c r="V5942" s="328">
        <f>VLOOKUP(C5942,METADATA!$A$5:$H$29,IF(E5942="HI",2,IF(E5942="LO",6,10))+IF(T5942=1,2,IF(D5942=7,1,(IF(WEEKDAY(B5942)=1,2,IF(WEEKDAY(B5942)=7,1,0))))))</f>
        <v>2</v>
      </c>
    </row>
    <row r="5943" spans="2:22">
      <c r="B5943" s="318">
        <f t="shared" si="371"/>
        <v>46360</v>
      </c>
      <c r="C5943" s="312">
        <v>11</v>
      </c>
      <c r="D5943" s="368">
        <f>IFERROR((INDEX(METADATA!$T$2:$T$20,MATCH(B5943,METADATA!$S$2:$S$20,0))),0)</f>
        <v>0</v>
      </c>
      <c r="E5943" s="312" t="str">
        <f t="shared" si="368"/>
        <v>LO</v>
      </c>
      <c r="F5943" s="369">
        <f>VLOOKUP(C5943,METADATA!$A$5:$H$29,IF(E5943="HI",2,IF(E5943="LO",6,10))+IF(D5943=1,2,IF(D5943=7,1,(IF(WEEKDAY(B5943)=1,2,IF(WEEKDAY(B5943)=7,1,0))))))</f>
        <v>2</v>
      </c>
      <c r="G5943" s="369">
        <f>VLOOKUP(C5943,METADATA!$J$5:$Q$29,IF(E5943="HI",2,IF(E5943="LO",6,10))+IF(D5943=1,2,IF(D5943=7,1,(IF(WEEKDAY(B5943)=1,2,IF(WEEKDAY(B5943)=7,1,0))))))</f>
        <v>2</v>
      </c>
      <c r="H5943" s="370">
        <v>8006.7275390625</v>
      </c>
      <c r="I5943" s="370">
        <v>1680.6025168895721</v>
      </c>
      <c r="M5943" s="371">
        <f t="shared" si="369"/>
        <v>8181.2047220783688</v>
      </c>
      <c r="N5943" s="329">
        <f t="shared" si="370"/>
        <v>0</v>
      </c>
      <c r="T5943" s="331">
        <v>0</v>
      </c>
      <c r="U5943" s="328">
        <f>VLOOKUP(C5943,METADATA!$J$5:$Q$29,IF(E5943="HI",2,IF(E5943="LO",6,10))+IF(T5943=1,2,IF(D5943=7,1,(IF(WEEKDAY(B5943)=1,2,IF(WEEKDAY(B5943)=7,1,0))))))</f>
        <v>2</v>
      </c>
      <c r="V5943" s="328">
        <f>VLOOKUP(C5943,METADATA!$A$5:$H$29,IF(E5943="HI",2,IF(E5943="LO",6,10))+IF(T5943=1,2,IF(D5943=7,1,(IF(WEEKDAY(B5943)=1,2,IF(WEEKDAY(B5943)=7,1,0))))))</f>
        <v>2</v>
      </c>
    </row>
    <row r="5944" spans="2:22">
      <c r="B5944" s="318">
        <f t="shared" si="371"/>
        <v>46360</v>
      </c>
      <c r="C5944" s="312">
        <v>12</v>
      </c>
      <c r="D5944" s="368">
        <f>IFERROR((INDEX(METADATA!$T$2:$T$20,MATCH(B5944,METADATA!$S$2:$S$20,0))),0)</f>
        <v>0</v>
      </c>
      <c r="E5944" s="312" t="str">
        <f t="shared" si="368"/>
        <v>LO</v>
      </c>
      <c r="F5944" s="369">
        <f>VLOOKUP(C5944,METADATA!$A$5:$H$29,IF(E5944="HI",2,IF(E5944="LO",6,10))+IF(D5944=1,2,IF(D5944=7,1,(IF(WEEKDAY(B5944)=1,2,IF(WEEKDAY(B5944)=7,1,0))))))</f>
        <v>2</v>
      </c>
      <c r="G5944" s="369">
        <f>VLOOKUP(C5944,METADATA!$J$5:$Q$29,IF(E5944="HI",2,IF(E5944="LO",6,10))+IF(D5944=1,2,IF(D5944=7,1,(IF(WEEKDAY(B5944)=1,2,IF(WEEKDAY(B5944)=7,1,0))))))</f>
        <v>2</v>
      </c>
      <c r="H5944" s="370">
        <v>11580.867736816406</v>
      </c>
      <c r="I5944" s="370">
        <v>3155.4974822998047</v>
      </c>
      <c r="M5944" s="371">
        <f t="shared" si="369"/>
        <v>12003.068853357276</v>
      </c>
      <c r="N5944" s="329">
        <f t="shared" si="370"/>
        <v>0</v>
      </c>
      <c r="T5944" s="331">
        <v>0</v>
      </c>
      <c r="U5944" s="328">
        <f>VLOOKUP(C5944,METADATA!$J$5:$Q$29,IF(E5944="HI",2,IF(E5944="LO",6,10))+IF(T5944=1,2,IF(D5944=7,1,(IF(WEEKDAY(B5944)=1,2,IF(WEEKDAY(B5944)=7,1,0))))))</f>
        <v>2</v>
      </c>
      <c r="V5944" s="328">
        <f>VLOOKUP(C5944,METADATA!$A$5:$H$29,IF(E5944="HI",2,IF(E5944="LO",6,10))+IF(T5944=1,2,IF(D5944=7,1,(IF(WEEKDAY(B5944)=1,2,IF(WEEKDAY(B5944)=7,1,0))))))</f>
        <v>2</v>
      </c>
    </row>
    <row r="5945" spans="2:22">
      <c r="B5945" s="318">
        <f t="shared" si="371"/>
        <v>46360</v>
      </c>
      <c r="C5945" s="312">
        <v>13</v>
      </c>
      <c r="D5945" s="368">
        <f>IFERROR((INDEX(METADATA!$T$2:$T$20,MATCH(B5945,METADATA!$S$2:$S$20,0))),0)</f>
        <v>0</v>
      </c>
      <c r="E5945" s="312" t="str">
        <f t="shared" si="368"/>
        <v>LO</v>
      </c>
      <c r="F5945" s="369">
        <f>VLOOKUP(C5945,METADATA!$A$5:$H$29,IF(E5945="HI",2,IF(E5945="LO",6,10))+IF(D5945=1,2,IF(D5945=7,1,(IF(WEEKDAY(B5945)=1,2,IF(WEEKDAY(B5945)=7,1,0))))))</f>
        <v>2</v>
      </c>
      <c r="G5945" s="369">
        <f>VLOOKUP(C5945,METADATA!$J$5:$Q$29,IF(E5945="HI",2,IF(E5945="LO",6,10))+IF(D5945=1,2,IF(D5945=7,1,(IF(WEEKDAY(B5945)=1,2,IF(WEEKDAY(B5945)=7,1,0))))))</f>
        <v>2</v>
      </c>
      <c r="H5945" s="370">
        <v>13164.950073242188</v>
      </c>
      <c r="I5945" s="370">
        <v>3947.3399963378906</v>
      </c>
      <c r="M5945" s="371">
        <f t="shared" si="369"/>
        <v>13743.995178900796</v>
      </c>
      <c r="N5945" s="329">
        <f t="shared" si="370"/>
        <v>0</v>
      </c>
      <c r="T5945" s="331">
        <v>0</v>
      </c>
      <c r="U5945" s="328">
        <f>VLOOKUP(C5945,METADATA!$J$5:$Q$29,IF(E5945="HI",2,IF(E5945="LO",6,10))+IF(T5945=1,2,IF(D5945=7,1,(IF(WEEKDAY(B5945)=1,2,IF(WEEKDAY(B5945)=7,1,0))))))</f>
        <v>2</v>
      </c>
      <c r="V5945" s="328">
        <f>VLOOKUP(C5945,METADATA!$A$5:$H$29,IF(E5945="HI",2,IF(E5945="LO",6,10))+IF(T5945=1,2,IF(D5945=7,1,(IF(WEEKDAY(B5945)=1,2,IF(WEEKDAY(B5945)=7,1,0))))))</f>
        <v>2</v>
      </c>
    </row>
    <row r="5946" spans="2:22">
      <c r="B5946" s="318">
        <f t="shared" si="371"/>
        <v>46360</v>
      </c>
      <c r="C5946" s="312">
        <v>14</v>
      </c>
      <c r="D5946" s="368">
        <f>IFERROR((INDEX(METADATA!$T$2:$T$20,MATCH(B5946,METADATA!$S$2:$S$20,0))),0)</f>
        <v>0</v>
      </c>
      <c r="E5946" s="312" t="str">
        <f t="shared" si="368"/>
        <v>LO</v>
      </c>
      <c r="F5946" s="369">
        <f>VLOOKUP(C5946,METADATA!$A$5:$H$29,IF(E5946="HI",2,IF(E5946="LO",6,10))+IF(D5946=1,2,IF(D5946=7,1,(IF(WEEKDAY(B5946)=1,2,IF(WEEKDAY(B5946)=7,1,0))))))</f>
        <v>2</v>
      </c>
      <c r="G5946" s="369">
        <f>VLOOKUP(C5946,METADATA!$J$5:$Q$29,IF(E5946="HI",2,IF(E5946="LO",6,10))+IF(D5946=1,2,IF(D5946=7,1,(IF(WEEKDAY(B5946)=1,2,IF(WEEKDAY(B5946)=7,1,0))))))</f>
        <v>2</v>
      </c>
      <c r="H5946" s="370">
        <v>12854.699768066406</v>
      </c>
      <c r="I5946" s="370">
        <v>3788.6450347900391</v>
      </c>
      <c r="M5946" s="371">
        <f t="shared" si="369"/>
        <v>13401.385649505268</v>
      </c>
      <c r="N5946" s="329">
        <f t="shared" si="370"/>
        <v>0</v>
      </c>
      <c r="T5946" s="331">
        <v>0</v>
      </c>
      <c r="U5946" s="328">
        <f>VLOOKUP(C5946,METADATA!$J$5:$Q$29,IF(E5946="HI",2,IF(E5946="LO",6,10))+IF(T5946=1,2,IF(D5946=7,1,(IF(WEEKDAY(B5946)=1,2,IF(WEEKDAY(B5946)=7,1,0))))))</f>
        <v>2</v>
      </c>
      <c r="V5946" s="328">
        <f>VLOOKUP(C5946,METADATA!$A$5:$H$29,IF(E5946="HI",2,IF(E5946="LO",6,10))+IF(T5946=1,2,IF(D5946=7,1,(IF(WEEKDAY(B5946)=1,2,IF(WEEKDAY(B5946)=7,1,0))))))</f>
        <v>2</v>
      </c>
    </row>
    <row r="5947" spans="2:22">
      <c r="B5947" s="318">
        <f t="shared" si="371"/>
        <v>46360</v>
      </c>
      <c r="C5947" s="312">
        <v>15</v>
      </c>
      <c r="D5947" s="368">
        <f>IFERROR((INDEX(METADATA!$T$2:$T$20,MATCH(B5947,METADATA!$S$2:$S$20,0))),0)</f>
        <v>0</v>
      </c>
      <c r="E5947" s="312" t="str">
        <f t="shared" si="368"/>
        <v>LO</v>
      </c>
      <c r="F5947" s="369">
        <f>VLOOKUP(C5947,METADATA!$A$5:$H$29,IF(E5947="HI",2,IF(E5947="LO",6,10))+IF(D5947=1,2,IF(D5947=7,1,(IF(WEEKDAY(B5947)=1,2,IF(WEEKDAY(B5947)=7,1,0))))))</f>
        <v>2</v>
      </c>
      <c r="G5947" s="369">
        <f>VLOOKUP(C5947,METADATA!$J$5:$Q$29,IF(E5947="HI",2,IF(E5947="LO",6,10))+IF(D5947=1,2,IF(D5947=7,1,(IF(WEEKDAY(B5947)=1,2,IF(WEEKDAY(B5947)=7,1,0))))))</f>
        <v>2</v>
      </c>
      <c r="H5947" s="370">
        <v>12794.674865722656</v>
      </c>
      <c r="I5947" s="370">
        <v>3788.489990234375</v>
      </c>
      <c r="M5947" s="371">
        <f t="shared" si="369"/>
        <v>13343.77612693128</v>
      </c>
      <c r="N5947" s="329">
        <f t="shared" si="370"/>
        <v>0</v>
      </c>
      <c r="T5947" s="331">
        <v>0</v>
      </c>
      <c r="U5947" s="328">
        <f>VLOOKUP(C5947,METADATA!$J$5:$Q$29,IF(E5947="HI",2,IF(E5947="LO",6,10))+IF(T5947=1,2,IF(D5947=7,1,(IF(WEEKDAY(B5947)=1,2,IF(WEEKDAY(B5947)=7,1,0))))))</f>
        <v>2</v>
      </c>
      <c r="V5947" s="328">
        <f>VLOOKUP(C5947,METADATA!$A$5:$H$29,IF(E5947="HI",2,IF(E5947="LO",6,10))+IF(T5947=1,2,IF(D5947=7,1,(IF(WEEKDAY(B5947)=1,2,IF(WEEKDAY(B5947)=7,1,0))))))</f>
        <v>2</v>
      </c>
    </row>
    <row r="5948" spans="2:22">
      <c r="B5948" s="318">
        <f t="shared" si="371"/>
        <v>46360</v>
      </c>
      <c r="C5948" s="312">
        <v>16</v>
      </c>
      <c r="D5948" s="368">
        <f>IFERROR((INDEX(METADATA!$T$2:$T$20,MATCH(B5948,METADATA!$S$2:$S$20,0))),0)</f>
        <v>0</v>
      </c>
      <c r="E5948" s="312" t="str">
        <f t="shared" si="368"/>
        <v>LO</v>
      </c>
      <c r="F5948" s="369">
        <f>VLOOKUP(C5948,METADATA!$A$5:$H$29,IF(E5948="HI",2,IF(E5948="LO",6,10))+IF(D5948=1,2,IF(D5948=7,1,(IF(WEEKDAY(B5948)=1,2,IF(WEEKDAY(B5948)=7,1,0))))))</f>
        <v>2</v>
      </c>
      <c r="G5948" s="369">
        <f>VLOOKUP(C5948,METADATA!$J$5:$Q$29,IF(E5948="HI",2,IF(E5948="LO",6,10))+IF(D5948=1,2,IF(D5948=7,1,(IF(WEEKDAY(B5948)=1,2,IF(WEEKDAY(B5948)=7,1,0))))))</f>
        <v>2</v>
      </c>
      <c r="H5948" s="370">
        <v>12879.424865722656</v>
      </c>
      <c r="I5948" s="370">
        <v>3802.7400207519531</v>
      </c>
      <c r="M5948" s="371">
        <f t="shared" si="369"/>
        <v>13429.088447739989</v>
      </c>
      <c r="N5948" s="329">
        <f t="shared" si="370"/>
        <v>0</v>
      </c>
      <c r="T5948" s="331">
        <v>0</v>
      </c>
      <c r="U5948" s="328">
        <f>VLOOKUP(C5948,METADATA!$J$5:$Q$29,IF(E5948="HI",2,IF(E5948="LO",6,10))+IF(T5948=1,2,IF(D5948=7,1,(IF(WEEKDAY(B5948)=1,2,IF(WEEKDAY(B5948)=7,1,0))))))</f>
        <v>2</v>
      </c>
      <c r="V5948" s="328">
        <f>VLOOKUP(C5948,METADATA!$A$5:$H$29,IF(E5948="HI",2,IF(E5948="LO",6,10))+IF(T5948=1,2,IF(D5948=7,1,(IF(WEEKDAY(B5948)=1,2,IF(WEEKDAY(B5948)=7,1,0))))))</f>
        <v>2</v>
      </c>
    </row>
    <row r="5949" spans="2:22">
      <c r="B5949" s="318">
        <f t="shared" si="371"/>
        <v>46360</v>
      </c>
      <c r="C5949" s="312">
        <v>17</v>
      </c>
      <c r="D5949" s="368">
        <f>IFERROR((INDEX(METADATA!$T$2:$T$20,MATCH(B5949,METADATA!$S$2:$S$20,0))),0)</f>
        <v>0</v>
      </c>
      <c r="E5949" s="312" t="str">
        <f t="shared" si="368"/>
        <v>LO</v>
      </c>
      <c r="F5949" s="369">
        <f>VLOOKUP(C5949,METADATA!$A$5:$H$29,IF(E5949="HI",2,IF(E5949="LO",6,10))+IF(D5949=1,2,IF(D5949=7,1,(IF(WEEKDAY(B5949)=1,2,IF(WEEKDAY(B5949)=7,1,0))))))</f>
        <v>2</v>
      </c>
      <c r="G5949" s="369">
        <f>VLOOKUP(C5949,METADATA!$J$5:$Q$29,IF(E5949="HI",2,IF(E5949="LO",6,10))+IF(D5949=1,2,IF(D5949=7,1,(IF(WEEKDAY(B5949)=1,2,IF(WEEKDAY(B5949)=7,1,0))))))</f>
        <v>2</v>
      </c>
      <c r="H5949" s="370">
        <v>13079.700134277344</v>
      </c>
      <c r="I5949" s="370">
        <v>3906.8449859619141</v>
      </c>
      <c r="M5949" s="371">
        <f t="shared" si="369"/>
        <v>13650.714023337772</v>
      </c>
      <c r="N5949" s="329">
        <f t="shared" si="370"/>
        <v>0</v>
      </c>
      <c r="T5949" s="331">
        <v>0</v>
      </c>
      <c r="U5949" s="328">
        <f>VLOOKUP(C5949,METADATA!$J$5:$Q$29,IF(E5949="HI",2,IF(E5949="LO",6,10))+IF(T5949=1,2,IF(D5949=7,1,(IF(WEEKDAY(B5949)=1,2,IF(WEEKDAY(B5949)=7,1,0))))))</f>
        <v>2</v>
      </c>
      <c r="V5949" s="328">
        <f>VLOOKUP(C5949,METADATA!$A$5:$H$29,IF(E5949="HI",2,IF(E5949="LO",6,10))+IF(T5949=1,2,IF(D5949=7,1,(IF(WEEKDAY(B5949)=1,2,IF(WEEKDAY(B5949)=7,1,0))))))</f>
        <v>2</v>
      </c>
    </row>
    <row r="5950" spans="2:22">
      <c r="B5950" s="318">
        <f t="shared" si="371"/>
        <v>46360</v>
      </c>
      <c r="C5950" s="312">
        <v>18</v>
      </c>
      <c r="D5950" s="368">
        <f>IFERROR((INDEX(METADATA!$T$2:$T$20,MATCH(B5950,METADATA!$S$2:$S$20,0))),0)</f>
        <v>0</v>
      </c>
      <c r="E5950" s="312" t="str">
        <f t="shared" si="368"/>
        <v>LO</v>
      </c>
      <c r="F5950" s="369">
        <f>VLOOKUP(C5950,METADATA!$A$5:$H$29,IF(E5950="HI",2,IF(E5950="LO",6,10))+IF(D5950=1,2,IF(D5950=7,1,(IF(WEEKDAY(B5950)=1,2,IF(WEEKDAY(B5950)=7,1,0))))))</f>
        <v>1</v>
      </c>
      <c r="G5950" s="369">
        <f>VLOOKUP(C5950,METADATA!$J$5:$Q$29,IF(E5950="HI",2,IF(E5950="LO",6,10))+IF(D5950=1,2,IF(D5950=7,1,(IF(WEEKDAY(B5950)=1,2,IF(WEEKDAY(B5950)=7,1,0))))))</f>
        <v>1</v>
      </c>
      <c r="H5950" s="370">
        <v>13045.449951171875</v>
      </c>
      <c r="I5950" s="370">
        <v>3985.0249633789063</v>
      </c>
      <c r="M5950" s="371">
        <f t="shared" si="369"/>
        <v>13640.534754447252</v>
      </c>
      <c r="N5950" s="329">
        <f t="shared" si="370"/>
        <v>71.389978027344114</v>
      </c>
      <c r="T5950" s="331">
        <v>0</v>
      </c>
      <c r="U5950" s="328">
        <f>VLOOKUP(C5950,METADATA!$J$5:$Q$29,IF(E5950="HI",2,IF(E5950="LO",6,10))+IF(T5950=1,2,IF(D5950=7,1,(IF(WEEKDAY(B5950)=1,2,IF(WEEKDAY(B5950)=7,1,0))))))</f>
        <v>1</v>
      </c>
      <c r="V5950" s="328">
        <f>VLOOKUP(C5950,METADATA!$A$5:$H$29,IF(E5950="HI",2,IF(E5950="LO",6,10))+IF(T5950=1,2,IF(D5950=7,1,(IF(WEEKDAY(B5950)=1,2,IF(WEEKDAY(B5950)=7,1,0))))))</f>
        <v>1</v>
      </c>
    </row>
    <row r="5951" spans="2:22">
      <c r="B5951" s="318">
        <f t="shared" si="371"/>
        <v>46360</v>
      </c>
      <c r="C5951" s="312">
        <v>19</v>
      </c>
      <c r="D5951" s="368">
        <f>IFERROR((INDEX(METADATA!$T$2:$T$20,MATCH(B5951,METADATA!$S$2:$S$20,0))),0)</f>
        <v>0</v>
      </c>
      <c r="E5951" s="312" t="str">
        <f t="shared" si="368"/>
        <v>LO</v>
      </c>
      <c r="F5951" s="369">
        <f>VLOOKUP(C5951,METADATA!$A$5:$H$29,IF(E5951="HI",2,IF(E5951="LO",6,10))+IF(D5951=1,2,IF(D5951=7,1,(IF(WEEKDAY(B5951)=1,2,IF(WEEKDAY(B5951)=7,1,0))))))</f>
        <v>1</v>
      </c>
      <c r="G5951" s="369">
        <f>VLOOKUP(C5951,METADATA!$J$5:$Q$29,IF(E5951="HI",2,IF(E5951="LO",6,10))+IF(D5951=1,2,IF(D5951=7,1,(IF(WEEKDAY(B5951)=1,2,IF(WEEKDAY(B5951)=7,1,0))))))</f>
        <v>1</v>
      </c>
      <c r="H5951" s="370">
        <v>13258.824951171875</v>
      </c>
      <c r="I5951" s="370">
        <v>4089.4499816894531</v>
      </c>
      <c r="M5951" s="371">
        <f t="shared" si="369"/>
        <v>13875.159106783523</v>
      </c>
      <c r="N5951" s="329">
        <f t="shared" si="370"/>
        <v>111.80249633789072</v>
      </c>
      <c r="T5951" s="331">
        <v>0</v>
      </c>
      <c r="U5951" s="328">
        <f>VLOOKUP(C5951,METADATA!$J$5:$Q$29,IF(E5951="HI",2,IF(E5951="LO",6,10))+IF(T5951=1,2,IF(D5951=7,1,(IF(WEEKDAY(B5951)=1,2,IF(WEEKDAY(B5951)=7,1,0))))))</f>
        <v>1</v>
      </c>
      <c r="V5951" s="328">
        <f>VLOOKUP(C5951,METADATA!$A$5:$H$29,IF(E5951="HI",2,IF(E5951="LO",6,10))+IF(T5951=1,2,IF(D5951=7,1,(IF(WEEKDAY(B5951)=1,2,IF(WEEKDAY(B5951)=7,1,0))))))</f>
        <v>1</v>
      </c>
    </row>
    <row r="5952" spans="2:22">
      <c r="B5952" s="318">
        <f t="shared" si="371"/>
        <v>46360</v>
      </c>
      <c r="C5952" s="312">
        <v>20</v>
      </c>
      <c r="D5952" s="368">
        <f>IFERROR((INDEX(METADATA!$T$2:$T$20,MATCH(B5952,METADATA!$S$2:$S$20,0))),0)</f>
        <v>0</v>
      </c>
      <c r="E5952" s="312" t="str">
        <f t="shared" si="368"/>
        <v>LO</v>
      </c>
      <c r="F5952" s="369">
        <f>VLOOKUP(C5952,METADATA!$A$5:$H$29,IF(E5952="HI",2,IF(E5952="LO",6,10))+IF(D5952=1,2,IF(D5952=7,1,(IF(WEEKDAY(B5952)=1,2,IF(WEEKDAY(B5952)=7,1,0))))))</f>
        <v>1</v>
      </c>
      <c r="G5952" s="369">
        <f>VLOOKUP(C5952,METADATA!$J$5:$Q$29,IF(E5952="HI",2,IF(E5952="LO",6,10))+IF(D5952=1,2,IF(D5952=7,1,(IF(WEEKDAY(B5952)=1,2,IF(WEEKDAY(B5952)=7,1,0))))))</f>
        <v>1</v>
      </c>
      <c r="H5952" s="370">
        <v>13227.124755859375</v>
      </c>
      <c r="I5952" s="370">
        <v>4058.39501953125</v>
      </c>
      <c r="M5952" s="371">
        <f t="shared" si="369"/>
        <v>13835.729089629645</v>
      </c>
      <c r="N5952" s="329">
        <f t="shared" si="370"/>
        <v>90.257592773437864</v>
      </c>
      <c r="T5952" s="331">
        <v>0</v>
      </c>
      <c r="U5952" s="328">
        <f>VLOOKUP(C5952,METADATA!$J$5:$Q$29,IF(E5952="HI",2,IF(E5952="LO",6,10))+IF(T5952=1,2,IF(D5952=7,1,(IF(WEEKDAY(B5952)=1,2,IF(WEEKDAY(B5952)=7,1,0))))))</f>
        <v>1</v>
      </c>
      <c r="V5952" s="328">
        <f>VLOOKUP(C5952,METADATA!$A$5:$H$29,IF(E5952="HI",2,IF(E5952="LO",6,10))+IF(T5952=1,2,IF(D5952=7,1,(IF(WEEKDAY(B5952)=1,2,IF(WEEKDAY(B5952)=7,1,0))))))</f>
        <v>1</v>
      </c>
    </row>
    <row r="5953" spans="2:22">
      <c r="B5953" s="318">
        <f t="shared" si="371"/>
        <v>46360</v>
      </c>
      <c r="C5953" s="312">
        <v>21</v>
      </c>
      <c r="D5953" s="368">
        <f>IFERROR((INDEX(METADATA!$T$2:$T$20,MATCH(B5953,METADATA!$S$2:$S$20,0))),0)</f>
        <v>0</v>
      </c>
      <c r="E5953" s="312" t="str">
        <f t="shared" si="368"/>
        <v>LO</v>
      </c>
      <c r="F5953" s="369">
        <f>VLOOKUP(C5953,METADATA!$A$5:$H$29,IF(E5953="HI",2,IF(E5953="LO",6,10))+IF(D5953=1,2,IF(D5953=7,1,(IF(WEEKDAY(B5953)=1,2,IF(WEEKDAY(B5953)=7,1,0))))))</f>
        <v>2</v>
      </c>
      <c r="G5953" s="369">
        <f>VLOOKUP(C5953,METADATA!$J$5:$Q$29,IF(E5953="HI",2,IF(E5953="LO",6,10))+IF(D5953=1,2,IF(D5953=7,1,(IF(WEEKDAY(B5953)=1,2,IF(WEEKDAY(B5953)=7,1,0))))))</f>
        <v>2</v>
      </c>
      <c r="H5953" s="370">
        <v>12970.574890136719</v>
      </c>
      <c r="I5953" s="370">
        <v>3843.7098999023438</v>
      </c>
      <c r="M5953" s="371">
        <f t="shared" si="369"/>
        <v>13528.115861983606</v>
      </c>
      <c r="N5953" s="329">
        <f t="shared" si="370"/>
        <v>0</v>
      </c>
      <c r="T5953" s="331">
        <v>0</v>
      </c>
      <c r="U5953" s="328">
        <f>VLOOKUP(C5953,METADATA!$J$5:$Q$29,IF(E5953="HI",2,IF(E5953="LO",6,10))+IF(T5953=1,2,IF(D5953=7,1,(IF(WEEKDAY(B5953)=1,2,IF(WEEKDAY(B5953)=7,1,0))))))</f>
        <v>2</v>
      </c>
      <c r="V5953" s="328">
        <f>VLOOKUP(C5953,METADATA!$A$5:$H$29,IF(E5953="HI",2,IF(E5953="LO",6,10))+IF(T5953=1,2,IF(D5953=7,1,(IF(WEEKDAY(B5953)=1,2,IF(WEEKDAY(B5953)=7,1,0))))))</f>
        <v>2</v>
      </c>
    </row>
    <row r="5954" spans="2:22">
      <c r="B5954" s="318">
        <f t="shared" si="371"/>
        <v>46360</v>
      </c>
      <c r="C5954" s="312">
        <v>22</v>
      </c>
      <c r="D5954" s="368">
        <f>IFERROR((INDEX(METADATA!$T$2:$T$20,MATCH(B5954,METADATA!$S$2:$S$20,0))),0)</f>
        <v>0</v>
      </c>
      <c r="E5954" s="312" t="str">
        <f t="shared" si="368"/>
        <v>LO</v>
      </c>
      <c r="F5954" s="369">
        <f>VLOOKUP(C5954,METADATA!$A$5:$H$29,IF(E5954="HI",2,IF(E5954="LO",6,10))+IF(D5954=1,2,IF(D5954=7,1,(IF(WEEKDAY(B5954)=1,2,IF(WEEKDAY(B5954)=7,1,0))))))</f>
        <v>3</v>
      </c>
      <c r="G5954" s="369">
        <f>VLOOKUP(C5954,METADATA!$J$5:$Q$29,IF(E5954="HI",2,IF(E5954="LO",6,10))+IF(D5954=1,2,IF(D5954=7,1,(IF(WEEKDAY(B5954)=1,2,IF(WEEKDAY(B5954)=7,1,0))))))</f>
        <v>3</v>
      </c>
      <c r="H5954" s="370">
        <v>13120.375122070313</v>
      </c>
      <c r="I5954" s="370">
        <v>3971.1949462890625</v>
      </c>
      <c r="M5954" s="371">
        <f t="shared" si="369"/>
        <v>13708.195820211839</v>
      </c>
      <c r="N5954" s="329">
        <f t="shared" si="370"/>
        <v>35.082409667968932</v>
      </c>
      <c r="T5954" s="331">
        <v>0</v>
      </c>
      <c r="U5954" s="328">
        <f>VLOOKUP(C5954,METADATA!$J$5:$Q$29,IF(E5954="HI",2,IF(E5954="LO",6,10))+IF(T5954=1,2,IF(D5954=7,1,(IF(WEEKDAY(B5954)=1,2,IF(WEEKDAY(B5954)=7,1,0))))))</f>
        <v>3</v>
      </c>
      <c r="V5954" s="328">
        <f>VLOOKUP(C5954,METADATA!$A$5:$H$29,IF(E5954="HI",2,IF(E5954="LO",6,10))+IF(T5954=1,2,IF(D5954=7,1,(IF(WEEKDAY(B5954)=1,2,IF(WEEKDAY(B5954)=7,1,0))))))</f>
        <v>3</v>
      </c>
    </row>
    <row r="5955" spans="2:22">
      <c r="B5955" s="318">
        <f t="shared" si="371"/>
        <v>46360</v>
      </c>
      <c r="C5955" s="312">
        <v>23</v>
      </c>
      <c r="D5955" s="368">
        <f>IFERROR((INDEX(METADATA!$T$2:$T$20,MATCH(B5955,METADATA!$S$2:$S$20,0))),0)</f>
        <v>0</v>
      </c>
      <c r="E5955" s="312" t="str">
        <f t="shared" si="368"/>
        <v>LO</v>
      </c>
      <c r="F5955" s="369">
        <f>VLOOKUP(C5955,METADATA!$A$5:$H$29,IF(E5955="HI",2,IF(E5955="LO",6,10))+IF(D5955=1,2,IF(D5955=7,1,(IF(WEEKDAY(B5955)=1,2,IF(WEEKDAY(B5955)=7,1,0))))))</f>
        <v>3</v>
      </c>
      <c r="G5955" s="369">
        <f>VLOOKUP(C5955,METADATA!$J$5:$Q$29,IF(E5955="HI",2,IF(E5955="LO",6,10))+IF(D5955=1,2,IF(D5955=7,1,(IF(WEEKDAY(B5955)=1,2,IF(WEEKDAY(B5955)=7,1,0))))))</f>
        <v>3</v>
      </c>
      <c r="H5955" s="370">
        <v>12782.874877929688</v>
      </c>
      <c r="I5955" s="370">
        <v>3529.2000350952148</v>
      </c>
      <c r="M5955" s="371">
        <f t="shared" si="369"/>
        <v>13261.113943878243</v>
      </c>
      <c r="N5955" s="329">
        <f t="shared" si="370"/>
        <v>0</v>
      </c>
      <c r="T5955" s="331">
        <v>0</v>
      </c>
      <c r="U5955" s="328">
        <f>VLOOKUP(C5955,METADATA!$J$5:$Q$29,IF(E5955="HI",2,IF(E5955="LO",6,10))+IF(T5955=1,2,IF(D5955=7,1,(IF(WEEKDAY(B5955)=1,2,IF(WEEKDAY(B5955)=7,1,0))))))</f>
        <v>3</v>
      </c>
      <c r="V5955" s="328">
        <f>VLOOKUP(C5955,METADATA!$A$5:$H$29,IF(E5955="HI",2,IF(E5955="LO",6,10))+IF(T5955=1,2,IF(D5955=7,1,(IF(WEEKDAY(B5955)=1,2,IF(WEEKDAY(B5955)=7,1,0))))))</f>
        <v>3</v>
      </c>
    </row>
    <row r="5956" spans="2:22">
      <c r="B5956" s="318">
        <f t="shared" si="371"/>
        <v>46361</v>
      </c>
      <c r="C5956" s="312">
        <v>0</v>
      </c>
      <c r="D5956" s="368">
        <f>IFERROR((INDEX(METADATA!$T$2:$T$20,MATCH(B5956,METADATA!$S$2:$S$20,0))),0)</f>
        <v>0</v>
      </c>
      <c r="E5956" s="312" t="str">
        <f t="shared" ref="E5956:E6019" si="372">IF(B5956="","",IF(AND(MONTH(B5956)&gt;=MONTH($Z$9),MONTH(B5956)&lt;=MONTH($Z$11)),"HI","LO"))</f>
        <v>LO</v>
      </c>
      <c r="F5956" s="369">
        <f>VLOOKUP(C5956,METADATA!$A$5:$H$29,IF(E5956="HI",2,IF(E5956="LO",6,10))+IF(D5956=1,2,IF(D5956=7,1,(IF(WEEKDAY(B5956)=1,2,IF(WEEKDAY(B5956)=7,1,0))))))</f>
        <v>3</v>
      </c>
      <c r="G5956" s="369">
        <f>VLOOKUP(C5956,METADATA!$J$5:$Q$29,IF(E5956="HI",2,IF(E5956="LO",6,10))+IF(D5956=1,2,IF(D5956=7,1,(IF(WEEKDAY(B5956)=1,2,IF(WEEKDAY(B5956)=7,1,0))))))</f>
        <v>3</v>
      </c>
      <c r="H5956" s="370">
        <v>11819.300109863281</v>
      </c>
      <c r="I5956" s="370">
        <v>2873.9150966405869</v>
      </c>
      <c r="M5956" s="371">
        <f t="shared" ref="M5956:M6019" si="373">SQRT(H5956^2+I5956^2)</f>
        <v>12163.685423000417</v>
      </c>
      <c r="N5956" s="329">
        <f t="shared" ref="N5956:N6019" si="374">IF(H5956=0,0,(IF(I5956-(0.3*H5956)&lt;0,0,(I5956-(0.3*H5956)))))</f>
        <v>0</v>
      </c>
      <c r="T5956" s="331">
        <v>0</v>
      </c>
      <c r="U5956" s="328">
        <f>VLOOKUP(C5956,METADATA!$J$5:$Q$29,IF(E5956="HI",2,IF(E5956="LO",6,10))+IF(T5956=1,2,IF(D5956=7,1,(IF(WEEKDAY(B5956)=1,2,IF(WEEKDAY(B5956)=7,1,0))))))</f>
        <v>3</v>
      </c>
      <c r="V5956" s="328">
        <f>VLOOKUP(C5956,METADATA!$A$5:$H$29,IF(E5956="HI",2,IF(E5956="LO",6,10))+IF(T5956=1,2,IF(D5956=7,1,(IF(WEEKDAY(B5956)=1,2,IF(WEEKDAY(B5956)=7,1,0))))))</f>
        <v>3</v>
      </c>
    </row>
    <row r="5957" spans="2:22">
      <c r="B5957" s="318">
        <f t="shared" si="371"/>
        <v>46361</v>
      </c>
      <c r="C5957" s="312">
        <v>1</v>
      </c>
      <c r="D5957" s="368">
        <f>IFERROR((INDEX(METADATA!$T$2:$T$20,MATCH(B5957,METADATA!$S$2:$S$20,0))),0)</f>
        <v>0</v>
      </c>
      <c r="E5957" s="312" t="str">
        <f t="shared" si="372"/>
        <v>LO</v>
      </c>
      <c r="F5957" s="369">
        <f>VLOOKUP(C5957,METADATA!$A$5:$H$29,IF(E5957="HI",2,IF(E5957="LO",6,10))+IF(D5957=1,2,IF(D5957=7,1,(IF(WEEKDAY(B5957)=1,2,IF(WEEKDAY(B5957)=7,1,0))))))</f>
        <v>3</v>
      </c>
      <c r="G5957" s="369">
        <f>VLOOKUP(C5957,METADATA!$J$5:$Q$29,IF(E5957="HI",2,IF(E5957="LO",6,10))+IF(D5957=1,2,IF(D5957=7,1,(IF(WEEKDAY(B5957)=1,2,IF(WEEKDAY(B5957)=7,1,0))))))</f>
        <v>3</v>
      </c>
      <c r="H5957" s="370">
        <v>11699.300231933594</v>
      </c>
      <c r="I5957" s="370">
        <v>2867.4449633359909</v>
      </c>
      <c r="M5957" s="371">
        <f t="shared" si="373"/>
        <v>12045.574562248261</v>
      </c>
      <c r="N5957" s="329">
        <f t="shared" si="374"/>
        <v>0</v>
      </c>
      <c r="T5957" s="331">
        <v>0</v>
      </c>
      <c r="U5957" s="328">
        <f>VLOOKUP(C5957,METADATA!$J$5:$Q$29,IF(E5957="HI",2,IF(E5957="LO",6,10))+IF(T5957=1,2,IF(D5957=7,1,(IF(WEEKDAY(B5957)=1,2,IF(WEEKDAY(B5957)=7,1,0))))))</f>
        <v>3</v>
      </c>
      <c r="V5957" s="328">
        <f>VLOOKUP(C5957,METADATA!$A$5:$H$29,IF(E5957="HI",2,IF(E5957="LO",6,10))+IF(T5957=1,2,IF(D5957=7,1,(IF(WEEKDAY(B5957)=1,2,IF(WEEKDAY(B5957)=7,1,0))))))</f>
        <v>3</v>
      </c>
    </row>
    <row r="5958" spans="2:22">
      <c r="B5958" s="318">
        <f t="shared" si="371"/>
        <v>46361</v>
      </c>
      <c r="C5958" s="312">
        <v>2</v>
      </c>
      <c r="D5958" s="368">
        <f>IFERROR((INDEX(METADATA!$T$2:$T$20,MATCH(B5958,METADATA!$S$2:$S$20,0))),0)</f>
        <v>0</v>
      </c>
      <c r="E5958" s="312" t="str">
        <f t="shared" si="372"/>
        <v>LO</v>
      </c>
      <c r="F5958" s="369">
        <f>VLOOKUP(C5958,METADATA!$A$5:$H$29,IF(E5958="HI",2,IF(E5958="LO",6,10))+IF(D5958=1,2,IF(D5958=7,1,(IF(WEEKDAY(B5958)=1,2,IF(WEEKDAY(B5958)=7,1,0))))))</f>
        <v>3</v>
      </c>
      <c r="G5958" s="369">
        <f>VLOOKUP(C5958,METADATA!$J$5:$Q$29,IF(E5958="HI",2,IF(E5958="LO",6,10))+IF(D5958=1,2,IF(D5958=7,1,(IF(WEEKDAY(B5958)=1,2,IF(WEEKDAY(B5958)=7,1,0))))))</f>
        <v>3</v>
      </c>
      <c r="H5958" s="370">
        <v>11726.976806640625</v>
      </c>
      <c r="I5958" s="370">
        <v>2880.6954882070422</v>
      </c>
      <c r="M5958" s="371">
        <f t="shared" si="373"/>
        <v>12075.6114345926</v>
      </c>
      <c r="N5958" s="329">
        <f t="shared" si="374"/>
        <v>0</v>
      </c>
      <c r="T5958" s="331">
        <v>0</v>
      </c>
      <c r="U5958" s="328">
        <f>VLOOKUP(C5958,METADATA!$J$5:$Q$29,IF(E5958="HI",2,IF(E5958="LO",6,10))+IF(T5958=1,2,IF(D5958=7,1,(IF(WEEKDAY(B5958)=1,2,IF(WEEKDAY(B5958)=7,1,0))))))</f>
        <v>3</v>
      </c>
      <c r="V5958" s="328">
        <f>VLOOKUP(C5958,METADATA!$A$5:$H$29,IF(E5958="HI",2,IF(E5958="LO",6,10))+IF(T5958=1,2,IF(D5958=7,1,(IF(WEEKDAY(B5958)=1,2,IF(WEEKDAY(B5958)=7,1,0))))))</f>
        <v>3</v>
      </c>
    </row>
    <row r="5959" spans="2:22">
      <c r="B5959" s="318">
        <f t="shared" si="371"/>
        <v>46361</v>
      </c>
      <c r="C5959" s="312">
        <v>3</v>
      </c>
      <c r="D5959" s="368">
        <f>IFERROR((INDEX(METADATA!$T$2:$T$20,MATCH(B5959,METADATA!$S$2:$S$20,0))),0)</f>
        <v>0</v>
      </c>
      <c r="E5959" s="312" t="str">
        <f t="shared" si="372"/>
        <v>LO</v>
      </c>
      <c r="F5959" s="369">
        <f>VLOOKUP(C5959,METADATA!$A$5:$H$29,IF(E5959="HI",2,IF(E5959="LO",6,10))+IF(D5959=1,2,IF(D5959=7,1,(IF(WEEKDAY(B5959)=1,2,IF(WEEKDAY(B5959)=7,1,0))))))</f>
        <v>3</v>
      </c>
      <c r="G5959" s="369">
        <f>VLOOKUP(C5959,METADATA!$J$5:$Q$29,IF(E5959="HI",2,IF(E5959="LO",6,10))+IF(D5959=1,2,IF(D5959=7,1,(IF(WEEKDAY(B5959)=1,2,IF(WEEKDAY(B5959)=7,1,0))))))</f>
        <v>3</v>
      </c>
      <c r="H5959" s="370">
        <v>11907.025146484375</v>
      </c>
      <c r="I5959" s="370">
        <v>3128.2000552341342</v>
      </c>
      <c r="M5959" s="371">
        <f t="shared" si="373"/>
        <v>12311.087824582282</v>
      </c>
      <c r="N5959" s="329">
        <f t="shared" si="374"/>
        <v>0</v>
      </c>
      <c r="T5959" s="331">
        <v>0</v>
      </c>
      <c r="U5959" s="328">
        <f>VLOOKUP(C5959,METADATA!$J$5:$Q$29,IF(E5959="HI",2,IF(E5959="LO",6,10))+IF(T5959=1,2,IF(D5959=7,1,(IF(WEEKDAY(B5959)=1,2,IF(WEEKDAY(B5959)=7,1,0))))))</f>
        <v>3</v>
      </c>
      <c r="V5959" s="328">
        <f>VLOOKUP(C5959,METADATA!$A$5:$H$29,IF(E5959="HI",2,IF(E5959="LO",6,10))+IF(T5959=1,2,IF(D5959=7,1,(IF(WEEKDAY(B5959)=1,2,IF(WEEKDAY(B5959)=7,1,0))))))</f>
        <v>3</v>
      </c>
    </row>
    <row r="5960" spans="2:22">
      <c r="B5960" s="318">
        <f t="shared" si="371"/>
        <v>46361</v>
      </c>
      <c r="C5960" s="312">
        <v>4</v>
      </c>
      <c r="D5960" s="368">
        <f>IFERROR((INDEX(METADATA!$T$2:$T$20,MATCH(B5960,METADATA!$S$2:$S$20,0))),0)</f>
        <v>0</v>
      </c>
      <c r="E5960" s="312" t="str">
        <f t="shared" si="372"/>
        <v>LO</v>
      </c>
      <c r="F5960" s="369">
        <f>VLOOKUP(C5960,METADATA!$A$5:$H$29,IF(E5960="HI",2,IF(E5960="LO",6,10))+IF(D5960=1,2,IF(D5960=7,1,(IF(WEEKDAY(B5960)=1,2,IF(WEEKDAY(B5960)=7,1,0))))))</f>
        <v>3</v>
      </c>
      <c r="G5960" s="369">
        <f>VLOOKUP(C5960,METADATA!$J$5:$Q$29,IF(E5960="HI",2,IF(E5960="LO",6,10))+IF(D5960=1,2,IF(D5960=7,1,(IF(WEEKDAY(B5960)=1,2,IF(WEEKDAY(B5960)=7,1,0))))))</f>
        <v>3</v>
      </c>
      <c r="H5960" s="370">
        <v>12853.200256347656</v>
      </c>
      <c r="I5960" s="370">
        <v>3899.6199951171875</v>
      </c>
      <c r="M5960" s="371">
        <f t="shared" si="373"/>
        <v>13431.745714392198</v>
      </c>
      <c r="N5960" s="329">
        <f t="shared" si="374"/>
        <v>43.659918212890716</v>
      </c>
      <c r="T5960" s="331">
        <v>0</v>
      </c>
      <c r="U5960" s="328">
        <f>VLOOKUP(C5960,METADATA!$J$5:$Q$29,IF(E5960="HI",2,IF(E5960="LO",6,10))+IF(T5960=1,2,IF(D5960=7,1,(IF(WEEKDAY(B5960)=1,2,IF(WEEKDAY(B5960)=7,1,0))))))</f>
        <v>3</v>
      </c>
      <c r="V5960" s="328">
        <f>VLOOKUP(C5960,METADATA!$A$5:$H$29,IF(E5960="HI",2,IF(E5960="LO",6,10))+IF(T5960=1,2,IF(D5960=7,1,(IF(WEEKDAY(B5960)=1,2,IF(WEEKDAY(B5960)=7,1,0))))))</f>
        <v>3</v>
      </c>
    </row>
    <row r="5961" spans="2:22">
      <c r="B5961" s="318">
        <f t="shared" si="371"/>
        <v>46361</v>
      </c>
      <c r="C5961" s="312">
        <v>5</v>
      </c>
      <c r="D5961" s="368">
        <f>IFERROR((INDEX(METADATA!$T$2:$T$20,MATCH(B5961,METADATA!$S$2:$S$20,0))),0)</f>
        <v>0</v>
      </c>
      <c r="E5961" s="312" t="str">
        <f t="shared" si="372"/>
        <v>LO</v>
      </c>
      <c r="F5961" s="369">
        <f>VLOOKUP(C5961,METADATA!$A$5:$H$29,IF(E5961="HI",2,IF(E5961="LO",6,10))+IF(D5961=1,2,IF(D5961=7,1,(IF(WEEKDAY(B5961)=1,2,IF(WEEKDAY(B5961)=7,1,0))))))</f>
        <v>3</v>
      </c>
      <c r="G5961" s="369">
        <f>VLOOKUP(C5961,METADATA!$J$5:$Q$29,IF(E5961="HI",2,IF(E5961="LO",6,10))+IF(D5961=1,2,IF(D5961=7,1,(IF(WEEKDAY(B5961)=1,2,IF(WEEKDAY(B5961)=7,1,0))))))</f>
        <v>3</v>
      </c>
      <c r="H5961" s="370">
        <v>12993.899658203125</v>
      </c>
      <c r="I5961" s="370">
        <v>3815.9099578857422</v>
      </c>
      <c r="M5961" s="371">
        <f t="shared" si="373"/>
        <v>13542.621501546251</v>
      </c>
      <c r="N5961" s="329">
        <f t="shared" si="374"/>
        <v>0</v>
      </c>
      <c r="T5961" s="331">
        <v>0</v>
      </c>
      <c r="U5961" s="328">
        <f>VLOOKUP(C5961,METADATA!$J$5:$Q$29,IF(E5961="HI",2,IF(E5961="LO",6,10))+IF(T5961=1,2,IF(D5961=7,1,(IF(WEEKDAY(B5961)=1,2,IF(WEEKDAY(B5961)=7,1,0))))))</f>
        <v>3</v>
      </c>
      <c r="V5961" s="328">
        <f>VLOOKUP(C5961,METADATA!$A$5:$H$29,IF(E5961="HI",2,IF(E5961="LO",6,10))+IF(T5961=1,2,IF(D5961=7,1,(IF(WEEKDAY(B5961)=1,2,IF(WEEKDAY(B5961)=7,1,0))))))</f>
        <v>3</v>
      </c>
    </row>
    <row r="5962" spans="2:22">
      <c r="B5962" s="318">
        <f t="shared" si="371"/>
        <v>46361</v>
      </c>
      <c r="C5962" s="312">
        <v>6</v>
      </c>
      <c r="D5962" s="368">
        <f>IFERROR((INDEX(METADATA!$T$2:$T$20,MATCH(B5962,METADATA!$S$2:$S$20,0))),0)</f>
        <v>0</v>
      </c>
      <c r="E5962" s="312" t="str">
        <f t="shared" si="372"/>
        <v>LO</v>
      </c>
      <c r="F5962" s="369">
        <f>VLOOKUP(C5962,METADATA!$A$5:$H$29,IF(E5962="HI",2,IF(E5962="LO",6,10))+IF(D5962=1,2,IF(D5962=7,1,(IF(WEEKDAY(B5962)=1,2,IF(WEEKDAY(B5962)=7,1,0))))))</f>
        <v>3</v>
      </c>
      <c r="G5962" s="369">
        <f>VLOOKUP(C5962,METADATA!$J$5:$Q$29,IF(E5962="HI",2,IF(E5962="LO",6,10))+IF(D5962=1,2,IF(D5962=7,1,(IF(WEEKDAY(B5962)=1,2,IF(WEEKDAY(B5962)=7,1,0))))))</f>
        <v>3</v>
      </c>
      <c r="H5962" s="370">
        <v>12859.150268554688</v>
      </c>
      <c r="I5962" s="370">
        <v>3782.8550567626953</v>
      </c>
      <c r="M5962" s="371">
        <f t="shared" si="373"/>
        <v>13404.019472148837</v>
      </c>
      <c r="N5962" s="329">
        <f t="shared" si="374"/>
        <v>0</v>
      </c>
      <c r="T5962" s="331">
        <v>0</v>
      </c>
      <c r="U5962" s="328">
        <f>VLOOKUP(C5962,METADATA!$J$5:$Q$29,IF(E5962="HI",2,IF(E5962="LO",6,10))+IF(T5962=1,2,IF(D5962=7,1,(IF(WEEKDAY(B5962)=1,2,IF(WEEKDAY(B5962)=7,1,0))))))</f>
        <v>3</v>
      </c>
      <c r="V5962" s="328">
        <f>VLOOKUP(C5962,METADATA!$A$5:$H$29,IF(E5962="HI",2,IF(E5962="LO",6,10))+IF(T5962=1,2,IF(D5962=7,1,(IF(WEEKDAY(B5962)=1,2,IF(WEEKDAY(B5962)=7,1,0))))))</f>
        <v>3</v>
      </c>
    </row>
    <row r="5963" spans="2:22">
      <c r="B5963" s="318">
        <f t="shared" si="371"/>
        <v>46361</v>
      </c>
      <c r="C5963" s="312">
        <v>7</v>
      </c>
      <c r="D5963" s="368">
        <f>IFERROR((INDEX(METADATA!$T$2:$T$20,MATCH(B5963,METADATA!$S$2:$S$20,0))),0)</f>
        <v>0</v>
      </c>
      <c r="E5963" s="312" t="str">
        <f t="shared" si="372"/>
        <v>LO</v>
      </c>
      <c r="F5963" s="369">
        <f>VLOOKUP(C5963,METADATA!$A$5:$H$29,IF(E5963="HI",2,IF(E5963="LO",6,10))+IF(D5963=1,2,IF(D5963=7,1,(IF(WEEKDAY(B5963)=1,2,IF(WEEKDAY(B5963)=7,1,0))))))</f>
        <v>2</v>
      </c>
      <c r="G5963" s="369">
        <f>VLOOKUP(C5963,METADATA!$J$5:$Q$29,IF(E5963="HI",2,IF(E5963="LO",6,10))+IF(D5963=1,2,IF(D5963=7,1,(IF(WEEKDAY(B5963)=1,2,IF(WEEKDAY(B5963)=7,1,0))))))</f>
        <v>2</v>
      </c>
      <c r="H5963" s="370">
        <v>12708.200012207031</v>
      </c>
      <c r="I5963" s="370">
        <v>3722.4750061035156</v>
      </c>
      <c r="M5963" s="371">
        <f t="shared" si="373"/>
        <v>13242.173829146186</v>
      </c>
      <c r="N5963" s="329">
        <f t="shared" si="374"/>
        <v>0</v>
      </c>
      <c r="T5963" s="331">
        <v>0</v>
      </c>
      <c r="U5963" s="328">
        <f>VLOOKUP(C5963,METADATA!$J$5:$Q$29,IF(E5963="HI",2,IF(E5963="LO",6,10))+IF(T5963=1,2,IF(D5963=7,1,(IF(WEEKDAY(B5963)=1,2,IF(WEEKDAY(B5963)=7,1,0))))))</f>
        <v>2</v>
      </c>
      <c r="V5963" s="328">
        <f>VLOOKUP(C5963,METADATA!$A$5:$H$29,IF(E5963="HI",2,IF(E5963="LO",6,10))+IF(T5963=1,2,IF(D5963=7,1,(IF(WEEKDAY(B5963)=1,2,IF(WEEKDAY(B5963)=7,1,0))))))</f>
        <v>2</v>
      </c>
    </row>
    <row r="5964" spans="2:22">
      <c r="B5964" s="318">
        <f t="shared" si="371"/>
        <v>46361</v>
      </c>
      <c r="C5964" s="312">
        <v>8</v>
      </c>
      <c r="D5964" s="368">
        <f>IFERROR((INDEX(METADATA!$T$2:$T$20,MATCH(B5964,METADATA!$S$2:$S$20,0))),0)</f>
        <v>0</v>
      </c>
      <c r="E5964" s="312" t="str">
        <f t="shared" si="372"/>
        <v>LO</v>
      </c>
      <c r="F5964" s="369">
        <f>VLOOKUP(C5964,METADATA!$A$5:$H$29,IF(E5964="HI",2,IF(E5964="LO",6,10))+IF(D5964=1,2,IF(D5964=7,1,(IF(WEEKDAY(B5964)=1,2,IF(WEEKDAY(B5964)=7,1,0))))))</f>
        <v>2</v>
      </c>
      <c r="G5964" s="369">
        <f>VLOOKUP(C5964,METADATA!$J$5:$Q$29,IF(E5964="HI",2,IF(E5964="LO",6,10))+IF(D5964=1,2,IF(D5964=7,1,(IF(WEEKDAY(B5964)=1,2,IF(WEEKDAY(B5964)=7,1,0))))))</f>
        <v>2</v>
      </c>
      <c r="H5964" s="370">
        <v>12821.574645996094</v>
      </c>
      <c r="I5964" s="370">
        <v>3685.2999725341797</v>
      </c>
      <c r="M5964" s="371">
        <f t="shared" si="373"/>
        <v>13340.697593844568</v>
      </c>
      <c r="N5964" s="329">
        <f t="shared" si="374"/>
        <v>0</v>
      </c>
      <c r="T5964" s="331">
        <v>0</v>
      </c>
      <c r="U5964" s="328">
        <f>VLOOKUP(C5964,METADATA!$J$5:$Q$29,IF(E5964="HI",2,IF(E5964="LO",6,10))+IF(T5964=1,2,IF(D5964=7,1,(IF(WEEKDAY(B5964)=1,2,IF(WEEKDAY(B5964)=7,1,0))))))</f>
        <v>2</v>
      </c>
      <c r="V5964" s="328">
        <f>VLOOKUP(C5964,METADATA!$A$5:$H$29,IF(E5964="HI",2,IF(E5964="LO",6,10))+IF(T5964=1,2,IF(D5964=7,1,(IF(WEEKDAY(B5964)=1,2,IF(WEEKDAY(B5964)=7,1,0))))))</f>
        <v>2</v>
      </c>
    </row>
    <row r="5965" spans="2:22">
      <c r="B5965" s="318">
        <f t="shared" si="371"/>
        <v>46361</v>
      </c>
      <c r="C5965" s="312">
        <v>9</v>
      </c>
      <c r="D5965" s="368">
        <f>IFERROR((INDEX(METADATA!$T$2:$T$20,MATCH(B5965,METADATA!$S$2:$S$20,0))),0)</f>
        <v>0</v>
      </c>
      <c r="E5965" s="312" t="str">
        <f t="shared" si="372"/>
        <v>LO</v>
      </c>
      <c r="F5965" s="369">
        <f>VLOOKUP(C5965,METADATA!$A$5:$H$29,IF(E5965="HI",2,IF(E5965="LO",6,10))+IF(D5965=1,2,IF(D5965=7,1,(IF(WEEKDAY(B5965)=1,2,IF(WEEKDAY(B5965)=7,1,0))))))</f>
        <v>2</v>
      </c>
      <c r="G5965" s="369">
        <f>VLOOKUP(C5965,METADATA!$J$5:$Q$29,IF(E5965="HI",2,IF(E5965="LO",6,10))+IF(D5965=1,2,IF(D5965=7,1,(IF(WEEKDAY(B5965)=1,2,IF(WEEKDAY(B5965)=7,1,0))))))</f>
        <v>2</v>
      </c>
      <c r="H5965" s="370">
        <v>12608.800109863281</v>
      </c>
      <c r="I5965" s="370">
        <v>3577.6500091552734</v>
      </c>
      <c r="M5965" s="371">
        <f t="shared" si="373"/>
        <v>13106.541107343959</v>
      </c>
      <c r="N5965" s="329">
        <f t="shared" si="374"/>
        <v>0</v>
      </c>
      <c r="T5965" s="331">
        <v>0</v>
      </c>
      <c r="U5965" s="328">
        <f>VLOOKUP(C5965,METADATA!$J$5:$Q$29,IF(E5965="HI",2,IF(E5965="LO",6,10))+IF(T5965=1,2,IF(D5965=7,1,(IF(WEEKDAY(B5965)=1,2,IF(WEEKDAY(B5965)=7,1,0))))))</f>
        <v>2</v>
      </c>
      <c r="V5965" s="328">
        <f>VLOOKUP(C5965,METADATA!$A$5:$H$29,IF(E5965="HI",2,IF(E5965="LO",6,10))+IF(T5965=1,2,IF(D5965=7,1,(IF(WEEKDAY(B5965)=1,2,IF(WEEKDAY(B5965)=7,1,0))))))</f>
        <v>2</v>
      </c>
    </row>
    <row r="5966" spans="2:22">
      <c r="B5966" s="318">
        <f t="shared" si="371"/>
        <v>46361</v>
      </c>
      <c r="C5966" s="312">
        <v>10</v>
      </c>
      <c r="D5966" s="368">
        <f>IFERROR((INDEX(METADATA!$T$2:$T$20,MATCH(B5966,METADATA!$S$2:$S$20,0))),0)</f>
        <v>0</v>
      </c>
      <c r="E5966" s="312" t="str">
        <f t="shared" si="372"/>
        <v>LO</v>
      </c>
      <c r="F5966" s="369">
        <f>VLOOKUP(C5966,METADATA!$A$5:$H$29,IF(E5966="HI",2,IF(E5966="LO",6,10))+IF(D5966=1,2,IF(D5966=7,1,(IF(WEEKDAY(B5966)=1,2,IF(WEEKDAY(B5966)=7,1,0))))))</f>
        <v>2</v>
      </c>
      <c r="G5966" s="369">
        <f>VLOOKUP(C5966,METADATA!$J$5:$Q$29,IF(E5966="HI",2,IF(E5966="LO",6,10))+IF(D5966=1,2,IF(D5966=7,1,(IF(WEEKDAY(B5966)=1,2,IF(WEEKDAY(B5966)=7,1,0))))))</f>
        <v>2</v>
      </c>
      <c r="H5966" s="370">
        <v>12607.324890136719</v>
      </c>
      <c r="I5966" s="370">
        <v>3752.3549346923828</v>
      </c>
      <c r="M5966" s="371">
        <f t="shared" si="373"/>
        <v>13153.889479593901</v>
      </c>
      <c r="N5966" s="329">
        <f t="shared" si="374"/>
        <v>0</v>
      </c>
      <c r="T5966" s="331">
        <v>0</v>
      </c>
      <c r="U5966" s="328">
        <f>VLOOKUP(C5966,METADATA!$J$5:$Q$29,IF(E5966="HI",2,IF(E5966="LO",6,10))+IF(T5966=1,2,IF(D5966=7,1,(IF(WEEKDAY(B5966)=1,2,IF(WEEKDAY(B5966)=7,1,0))))))</f>
        <v>2</v>
      </c>
      <c r="V5966" s="328">
        <f>VLOOKUP(C5966,METADATA!$A$5:$H$29,IF(E5966="HI",2,IF(E5966="LO",6,10))+IF(T5966=1,2,IF(D5966=7,1,(IF(WEEKDAY(B5966)=1,2,IF(WEEKDAY(B5966)=7,1,0))))))</f>
        <v>2</v>
      </c>
    </row>
    <row r="5967" spans="2:22">
      <c r="B5967" s="318">
        <f t="shared" si="371"/>
        <v>46361</v>
      </c>
      <c r="C5967" s="312">
        <v>11</v>
      </c>
      <c r="D5967" s="368">
        <f>IFERROR((INDEX(METADATA!$T$2:$T$20,MATCH(B5967,METADATA!$S$2:$S$20,0))),0)</f>
        <v>0</v>
      </c>
      <c r="E5967" s="312" t="str">
        <f t="shared" si="372"/>
        <v>LO</v>
      </c>
      <c r="F5967" s="369">
        <f>VLOOKUP(C5967,METADATA!$A$5:$H$29,IF(E5967="HI",2,IF(E5967="LO",6,10))+IF(D5967=1,2,IF(D5967=7,1,(IF(WEEKDAY(B5967)=1,2,IF(WEEKDAY(B5967)=7,1,0))))))</f>
        <v>2</v>
      </c>
      <c r="G5967" s="369">
        <f>VLOOKUP(C5967,METADATA!$J$5:$Q$29,IF(E5967="HI",2,IF(E5967="LO",6,10))+IF(D5967=1,2,IF(D5967=7,1,(IF(WEEKDAY(B5967)=1,2,IF(WEEKDAY(B5967)=7,1,0))))))</f>
        <v>2</v>
      </c>
      <c r="H5967" s="370">
        <v>12787.825134277344</v>
      </c>
      <c r="I5967" s="370">
        <v>3927.2150573730469</v>
      </c>
      <c r="M5967" s="371">
        <f t="shared" si="373"/>
        <v>13377.275125066128</v>
      </c>
      <c r="N5967" s="329">
        <f t="shared" si="374"/>
        <v>90.867517089844114</v>
      </c>
      <c r="T5967" s="331">
        <v>0</v>
      </c>
      <c r="U5967" s="328">
        <f>VLOOKUP(C5967,METADATA!$J$5:$Q$29,IF(E5967="HI",2,IF(E5967="LO",6,10))+IF(T5967=1,2,IF(D5967=7,1,(IF(WEEKDAY(B5967)=1,2,IF(WEEKDAY(B5967)=7,1,0))))))</f>
        <v>2</v>
      </c>
      <c r="V5967" s="328">
        <f>VLOOKUP(C5967,METADATA!$A$5:$H$29,IF(E5967="HI",2,IF(E5967="LO",6,10))+IF(T5967=1,2,IF(D5967=7,1,(IF(WEEKDAY(B5967)=1,2,IF(WEEKDAY(B5967)=7,1,0))))))</f>
        <v>2</v>
      </c>
    </row>
    <row r="5968" spans="2:22">
      <c r="B5968" s="318">
        <f t="shared" si="371"/>
        <v>46361</v>
      </c>
      <c r="C5968" s="312">
        <v>12</v>
      </c>
      <c r="D5968" s="368">
        <f>IFERROR((INDEX(METADATA!$T$2:$T$20,MATCH(B5968,METADATA!$S$2:$S$20,0))),0)</f>
        <v>0</v>
      </c>
      <c r="E5968" s="312" t="str">
        <f t="shared" si="372"/>
        <v>LO</v>
      </c>
      <c r="F5968" s="369">
        <f>VLOOKUP(C5968,METADATA!$A$5:$H$29,IF(E5968="HI",2,IF(E5968="LO",6,10))+IF(D5968=1,2,IF(D5968=7,1,(IF(WEEKDAY(B5968)=1,2,IF(WEEKDAY(B5968)=7,1,0))))))</f>
        <v>3</v>
      </c>
      <c r="G5968" s="369">
        <f>VLOOKUP(C5968,METADATA!$J$5:$Q$29,IF(E5968="HI",2,IF(E5968="LO",6,10))+IF(D5968=1,2,IF(D5968=7,1,(IF(WEEKDAY(B5968)=1,2,IF(WEEKDAY(B5968)=7,1,0))))))</f>
        <v>3</v>
      </c>
      <c r="H5968" s="370">
        <v>12887.30029296875</v>
      </c>
      <c r="I5968" s="370">
        <v>3984.2099914550781</v>
      </c>
      <c r="M5968" s="371">
        <f t="shared" si="373"/>
        <v>13489.122955076171</v>
      </c>
      <c r="N5968" s="329">
        <f t="shared" si="374"/>
        <v>118.01990356445322</v>
      </c>
      <c r="T5968" s="331">
        <v>0</v>
      </c>
      <c r="U5968" s="328">
        <f>VLOOKUP(C5968,METADATA!$J$5:$Q$29,IF(E5968="HI",2,IF(E5968="LO",6,10))+IF(T5968=1,2,IF(D5968=7,1,(IF(WEEKDAY(B5968)=1,2,IF(WEEKDAY(B5968)=7,1,0))))))</f>
        <v>3</v>
      </c>
      <c r="V5968" s="328">
        <f>VLOOKUP(C5968,METADATA!$A$5:$H$29,IF(E5968="HI",2,IF(E5968="LO",6,10))+IF(T5968=1,2,IF(D5968=7,1,(IF(WEEKDAY(B5968)=1,2,IF(WEEKDAY(B5968)=7,1,0))))))</f>
        <v>3</v>
      </c>
    </row>
    <row r="5969" spans="2:22">
      <c r="B5969" s="318">
        <f t="shared" si="371"/>
        <v>46361</v>
      </c>
      <c r="C5969" s="312">
        <v>13</v>
      </c>
      <c r="D5969" s="368">
        <f>IFERROR((INDEX(METADATA!$T$2:$T$20,MATCH(B5969,METADATA!$S$2:$S$20,0))),0)</f>
        <v>0</v>
      </c>
      <c r="E5969" s="312" t="str">
        <f t="shared" si="372"/>
        <v>LO</v>
      </c>
      <c r="F5969" s="369">
        <f>VLOOKUP(C5969,METADATA!$A$5:$H$29,IF(E5969="HI",2,IF(E5969="LO",6,10))+IF(D5969=1,2,IF(D5969=7,1,(IF(WEEKDAY(B5969)=1,2,IF(WEEKDAY(B5969)=7,1,0))))))</f>
        <v>3</v>
      </c>
      <c r="G5969" s="369">
        <f>VLOOKUP(C5969,METADATA!$J$5:$Q$29,IF(E5969="HI",2,IF(E5969="LO",6,10))+IF(D5969=1,2,IF(D5969=7,1,(IF(WEEKDAY(B5969)=1,2,IF(WEEKDAY(B5969)=7,1,0))))))</f>
        <v>3</v>
      </c>
      <c r="H5969" s="370">
        <v>13074.5498046875</v>
      </c>
      <c r="I5969" s="370">
        <v>3995.6148986816406</v>
      </c>
      <c r="M5969" s="371">
        <f t="shared" si="373"/>
        <v>13671.458993604912</v>
      </c>
      <c r="N5969" s="329">
        <f t="shared" si="374"/>
        <v>73.249957275390898</v>
      </c>
      <c r="T5969" s="331">
        <v>0</v>
      </c>
      <c r="U5969" s="328">
        <f>VLOOKUP(C5969,METADATA!$J$5:$Q$29,IF(E5969="HI",2,IF(E5969="LO",6,10))+IF(T5969=1,2,IF(D5969=7,1,(IF(WEEKDAY(B5969)=1,2,IF(WEEKDAY(B5969)=7,1,0))))))</f>
        <v>3</v>
      </c>
      <c r="V5969" s="328">
        <f>VLOOKUP(C5969,METADATA!$A$5:$H$29,IF(E5969="HI",2,IF(E5969="LO",6,10))+IF(T5969=1,2,IF(D5969=7,1,(IF(WEEKDAY(B5969)=1,2,IF(WEEKDAY(B5969)=7,1,0))))))</f>
        <v>3</v>
      </c>
    </row>
    <row r="5970" spans="2:22">
      <c r="B5970" s="318">
        <f t="shared" si="371"/>
        <v>46361</v>
      </c>
      <c r="C5970" s="312">
        <v>14</v>
      </c>
      <c r="D5970" s="368">
        <f>IFERROR((INDEX(METADATA!$T$2:$T$20,MATCH(B5970,METADATA!$S$2:$S$20,0))),0)</f>
        <v>0</v>
      </c>
      <c r="E5970" s="312" t="str">
        <f t="shared" si="372"/>
        <v>LO</v>
      </c>
      <c r="F5970" s="369">
        <f>VLOOKUP(C5970,METADATA!$A$5:$H$29,IF(E5970="HI",2,IF(E5970="LO",6,10))+IF(D5970=1,2,IF(D5970=7,1,(IF(WEEKDAY(B5970)=1,2,IF(WEEKDAY(B5970)=7,1,0))))))</f>
        <v>3</v>
      </c>
      <c r="G5970" s="369">
        <f>VLOOKUP(C5970,METADATA!$J$5:$Q$29,IF(E5970="HI",2,IF(E5970="LO",6,10))+IF(D5970=1,2,IF(D5970=7,1,(IF(WEEKDAY(B5970)=1,2,IF(WEEKDAY(B5970)=7,1,0))))))</f>
        <v>3</v>
      </c>
      <c r="H5970" s="370">
        <v>12962.225219726563</v>
      </c>
      <c r="I5970" s="370">
        <v>3735.3149566650391</v>
      </c>
      <c r="M5970" s="371">
        <f t="shared" si="373"/>
        <v>13489.694602636519</v>
      </c>
      <c r="N5970" s="329">
        <f t="shared" si="374"/>
        <v>0</v>
      </c>
      <c r="T5970" s="331">
        <v>0</v>
      </c>
      <c r="U5970" s="328">
        <f>VLOOKUP(C5970,METADATA!$J$5:$Q$29,IF(E5970="HI",2,IF(E5970="LO",6,10))+IF(T5970=1,2,IF(D5970=7,1,(IF(WEEKDAY(B5970)=1,2,IF(WEEKDAY(B5970)=7,1,0))))))</f>
        <v>3</v>
      </c>
      <c r="V5970" s="328">
        <f>VLOOKUP(C5970,METADATA!$A$5:$H$29,IF(E5970="HI",2,IF(E5970="LO",6,10))+IF(T5970=1,2,IF(D5970=7,1,(IF(WEEKDAY(B5970)=1,2,IF(WEEKDAY(B5970)=7,1,0))))))</f>
        <v>3</v>
      </c>
    </row>
    <row r="5971" spans="2:22">
      <c r="B5971" s="318">
        <f t="shared" si="371"/>
        <v>46361</v>
      </c>
      <c r="C5971" s="312">
        <v>15</v>
      </c>
      <c r="D5971" s="368">
        <f>IFERROR((INDEX(METADATA!$T$2:$T$20,MATCH(B5971,METADATA!$S$2:$S$20,0))),0)</f>
        <v>0</v>
      </c>
      <c r="E5971" s="312" t="str">
        <f t="shared" si="372"/>
        <v>LO</v>
      </c>
      <c r="F5971" s="369">
        <f>VLOOKUP(C5971,METADATA!$A$5:$H$29,IF(E5971="HI",2,IF(E5971="LO",6,10))+IF(D5971=1,2,IF(D5971=7,1,(IF(WEEKDAY(B5971)=1,2,IF(WEEKDAY(B5971)=7,1,0))))))</f>
        <v>3</v>
      </c>
      <c r="G5971" s="369">
        <f>VLOOKUP(C5971,METADATA!$J$5:$Q$29,IF(E5971="HI",2,IF(E5971="LO",6,10))+IF(D5971=1,2,IF(D5971=7,1,(IF(WEEKDAY(B5971)=1,2,IF(WEEKDAY(B5971)=7,1,0))))))</f>
        <v>3</v>
      </c>
      <c r="H5971" s="370">
        <v>12861.000183105469</v>
      </c>
      <c r="I5971" s="370">
        <v>3792.6450653076172</v>
      </c>
      <c r="M5971" s="371">
        <f t="shared" si="373"/>
        <v>13408.560038320338</v>
      </c>
      <c r="N5971" s="329">
        <f t="shared" si="374"/>
        <v>0</v>
      </c>
      <c r="T5971" s="331">
        <v>0</v>
      </c>
      <c r="U5971" s="328">
        <f>VLOOKUP(C5971,METADATA!$J$5:$Q$29,IF(E5971="HI",2,IF(E5971="LO",6,10))+IF(T5971=1,2,IF(D5971=7,1,(IF(WEEKDAY(B5971)=1,2,IF(WEEKDAY(B5971)=7,1,0))))))</f>
        <v>3</v>
      </c>
      <c r="V5971" s="328">
        <f>VLOOKUP(C5971,METADATA!$A$5:$H$29,IF(E5971="HI",2,IF(E5971="LO",6,10))+IF(T5971=1,2,IF(D5971=7,1,(IF(WEEKDAY(B5971)=1,2,IF(WEEKDAY(B5971)=7,1,0))))))</f>
        <v>3</v>
      </c>
    </row>
    <row r="5972" spans="2:22">
      <c r="B5972" s="318">
        <f t="shared" si="371"/>
        <v>46361</v>
      </c>
      <c r="C5972" s="312">
        <v>16</v>
      </c>
      <c r="D5972" s="368">
        <f>IFERROR((INDEX(METADATA!$T$2:$T$20,MATCH(B5972,METADATA!$S$2:$S$20,0))),0)</f>
        <v>0</v>
      </c>
      <c r="E5972" s="312" t="str">
        <f t="shared" si="372"/>
        <v>LO</v>
      </c>
      <c r="F5972" s="369">
        <f>VLOOKUP(C5972,METADATA!$A$5:$H$29,IF(E5972="HI",2,IF(E5972="LO",6,10))+IF(D5972=1,2,IF(D5972=7,1,(IF(WEEKDAY(B5972)=1,2,IF(WEEKDAY(B5972)=7,1,0))))))</f>
        <v>3</v>
      </c>
      <c r="G5972" s="369">
        <f>VLOOKUP(C5972,METADATA!$J$5:$Q$29,IF(E5972="HI",2,IF(E5972="LO",6,10))+IF(D5972=1,2,IF(D5972=7,1,(IF(WEEKDAY(B5972)=1,2,IF(WEEKDAY(B5972)=7,1,0))))))</f>
        <v>3</v>
      </c>
      <c r="H5972" s="370">
        <v>12695.499816894531</v>
      </c>
      <c r="I5972" s="370">
        <v>3760.5700073242188</v>
      </c>
      <c r="M5972" s="371">
        <f t="shared" si="373"/>
        <v>13240.755355369856</v>
      </c>
      <c r="N5972" s="329">
        <f t="shared" si="374"/>
        <v>0</v>
      </c>
      <c r="T5972" s="331">
        <v>0</v>
      </c>
      <c r="U5972" s="328">
        <f>VLOOKUP(C5972,METADATA!$J$5:$Q$29,IF(E5972="HI",2,IF(E5972="LO",6,10))+IF(T5972=1,2,IF(D5972=7,1,(IF(WEEKDAY(B5972)=1,2,IF(WEEKDAY(B5972)=7,1,0))))))</f>
        <v>3</v>
      </c>
      <c r="V5972" s="328">
        <f>VLOOKUP(C5972,METADATA!$A$5:$H$29,IF(E5972="HI",2,IF(E5972="LO",6,10))+IF(T5972=1,2,IF(D5972=7,1,(IF(WEEKDAY(B5972)=1,2,IF(WEEKDAY(B5972)=7,1,0))))))</f>
        <v>3</v>
      </c>
    </row>
    <row r="5973" spans="2:22">
      <c r="B5973" s="318">
        <f t="shared" si="371"/>
        <v>46361</v>
      </c>
      <c r="C5973" s="312">
        <v>17</v>
      </c>
      <c r="D5973" s="368">
        <f>IFERROR((INDEX(METADATA!$T$2:$T$20,MATCH(B5973,METADATA!$S$2:$S$20,0))),0)</f>
        <v>0</v>
      </c>
      <c r="E5973" s="312" t="str">
        <f t="shared" si="372"/>
        <v>LO</v>
      </c>
      <c r="F5973" s="369">
        <f>VLOOKUP(C5973,METADATA!$A$5:$H$29,IF(E5973="HI",2,IF(E5973="LO",6,10))+IF(D5973=1,2,IF(D5973=7,1,(IF(WEEKDAY(B5973)=1,2,IF(WEEKDAY(B5973)=7,1,0))))))</f>
        <v>3</v>
      </c>
      <c r="G5973" s="369">
        <f>VLOOKUP(C5973,METADATA!$J$5:$Q$29,IF(E5973="HI",2,IF(E5973="LO",6,10))+IF(D5973=1,2,IF(D5973=7,1,(IF(WEEKDAY(B5973)=1,2,IF(WEEKDAY(B5973)=7,1,0))))))</f>
        <v>3</v>
      </c>
      <c r="H5973" s="370">
        <v>12759.224853515625</v>
      </c>
      <c r="I5973" s="370">
        <v>3739.2000579833984</v>
      </c>
      <c r="M5973" s="371">
        <f t="shared" si="373"/>
        <v>13295.842806538963</v>
      </c>
      <c r="N5973" s="329">
        <f t="shared" si="374"/>
        <v>0</v>
      </c>
      <c r="T5973" s="331">
        <v>0</v>
      </c>
      <c r="U5973" s="328">
        <f>VLOOKUP(C5973,METADATA!$J$5:$Q$29,IF(E5973="HI",2,IF(E5973="LO",6,10))+IF(T5973=1,2,IF(D5973=7,1,(IF(WEEKDAY(B5973)=1,2,IF(WEEKDAY(B5973)=7,1,0))))))</f>
        <v>3</v>
      </c>
      <c r="V5973" s="328">
        <f>VLOOKUP(C5973,METADATA!$A$5:$H$29,IF(E5973="HI",2,IF(E5973="LO",6,10))+IF(T5973=1,2,IF(D5973=7,1,(IF(WEEKDAY(B5973)=1,2,IF(WEEKDAY(B5973)=7,1,0))))))</f>
        <v>3</v>
      </c>
    </row>
    <row r="5974" spans="2:22">
      <c r="B5974" s="318">
        <f t="shared" si="371"/>
        <v>46361</v>
      </c>
      <c r="C5974" s="312">
        <v>18</v>
      </c>
      <c r="D5974" s="368">
        <f>IFERROR((INDEX(METADATA!$T$2:$T$20,MATCH(B5974,METADATA!$S$2:$S$20,0))),0)</f>
        <v>0</v>
      </c>
      <c r="E5974" s="312" t="str">
        <f t="shared" si="372"/>
        <v>LO</v>
      </c>
      <c r="F5974" s="369">
        <f>VLOOKUP(C5974,METADATA!$A$5:$H$29,IF(E5974="HI",2,IF(E5974="LO",6,10))+IF(D5974=1,2,IF(D5974=7,1,(IF(WEEKDAY(B5974)=1,2,IF(WEEKDAY(B5974)=7,1,0))))))</f>
        <v>2</v>
      </c>
      <c r="G5974" s="369">
        <f>VLOOKUP(C5974,METADATA!$J$5:$Q$29,IF(E5974="HI",2,IF(E5974="LO",6,10))+IF(D5974=1,2,IF(D5974=7,1,(IF(WEEKDAY(B5974)=1,2,IF(WEEKDAY(B5974)=7,1,0))))))</f>
        <v>2</v>
      </c>
      <c r="H5974" s="370">
        <v>11944.125</v>
      </c>
      <c r="I5974" s="370">
        <v>3358.8775177001953</v>
      </c>
      <c r="M5974" s="371">
        <f t="shared" si="373"/>
        <v>12407.424398098778</v>
      </c>
      <c r="N5974" s="329">
        <f t="shared" si="374"/>
        <v>0</v>
      </c>
      <c r="T5974" s="331">
        <v>0</v>
      </c>
      <c r="U5974" s="328">
        <f>VLOOKUP(C5974,METADATA!$J$5:$Q$29,IF(E5974="HI",2,IF(E5974="LO",6,10))+IF(T5974=1,2,IF(D5974=7,1,(IF(WEEKDAY(B5974)=1,2,IF(WEEKDAY(B5974)=7,1,0))))))</f>
        <v>2</v>
      </c>
      <c r="V5974" s="328">
        <f>VLOOKUP(C5974,METADATA!$A$5:$H$29,IF(E5974="HI",2,IF(E5974="LO",6,10))+IF(T5974=1,2,IF(D5974=7,1,(IF(WEEKDAY(B5974)=1,2,IF(WEEKDAY(B5974)=7,1,0))))))</f>
        <v>2</v>
      </c>
    </row>
    <row r="5975" spans="2:22">
      <c r="B5975" s="318">
        <f t="shared" si="371"/>
        <v>46361</v>
      </c>
      <c r="C5975" s="312">
        <v>19</v>
      </c>
      <c r="D5975" s="368">
        <f>IFERROR((INDEX(METADATA!$T$2:$T$20,MATCH(B5975,METADATA!$S$2:$S$20,0))),0)</f>
        <v>0</v>
      </c>
      <c r="E5975" s="312" t="str">
        <f t="shared" si="372"/>
        <v>LO</v>
      </c>
      <c r="F5975" s="369">
        <f>VLOOKUP(C5975,METADATA!$A$5:$H$29,IF(E5975="HI",2,IF(E5975="LO",6,10))+IF(D5975=1,2,IF(D5975=7,1,(IF(WEEKDAY(B5975)=1,2,IF(WEEKDAY(B5975)=7,1,0))))))</f>
        <v>2</v>
      </c>
      <c r="G5975" s="369">
        <f>VLOOKUP(C5975,METADATA!$J$5:$Q$29,IF(E5975="HI",2,IF(E5975="LO",6,10))+IF(D5975=1,2,IF(D5975=7,1,(IF(WEEKDAY(B5975)=1,2,IF(WEEKDAY(B5975)=7,1,0))))))</f>
        <v>2</v>
      </c>
      <c r="H5975" s="370">
        <v>11141.424987792969</v>
      </c>
      <c r="I5975" s="370">
        <v>2928.3200531005859</v>
      </c>
      <c r="M5975" s="371">
        <f t="shared" si="373"/>
        <v>11519.826782205042</v>
      </c>
      <c r="N5975" s="329">
        <f t="shared" si="374"/>
        <v>0</v>
      </c>
      <c r="T5975" s="331">
        <v>0</v>
      </c>
      <c r="U5975" s="328">
        <f>VLOOKUP(C5975,METADATA!$J$5:$Q$29,IF(E5975="HI",2,IF(E5975="LO",6,10))+IF(T5975=1,2,IF(D5975=7,1,(IF(WEEKDAY(B5975)=1,2,IF(WEEKDAY(B5975)=7,1,0))))))</f>
        <v>2</v>
      </c>
      <c r="V5975" s="328">
        <f>VLOOKUP(C5975,METADATA!$A$5:$H$29,IF(E5975="HI",2,IF(E5975="LO",6,10))+IF(T5975=1,2,IF(D5975=7,1,(IF(WEEKDAY(B5975)=1,2,IF(WEEKDAY(B5975)=7,1,0))))))</f>
        <v>2</v>
      </c>
    </row>
    <row r="5976" spans="2:22">
      <c r="B5976" s="318">
        <f t="shared" si="371"/>
        <v>46361</v>
      </c>
      <c r="C5976" s="312">
        <v>20</v>
      </c>
      <c r="D5976" s="368">
        <f>IFERROR((INDEX(METADATA!$T$2:$T$20,MATCH(B5976,METADATA!$S$2:$S$20,0))),0)</f>
        <v>0</v>
      </c>
      <c r="E5976" s="312" t="str">
        <f t="shared" si="372"/>
        <v>LO</v>
      </c>
      <c r="F5976" s="369">
        <f>VLOOKUP(C5976,METADATA!$A$5:$H$29,IF(E5976="HI",2,IF(E5976="LO",6,10))+IF(D5976=1,2,IF(D5976=7,1,(IF(WEEKDAY(B5976)=1,2,IF(WEEKDAY(B5976)=7,1,0))))))</f>
        <v>3</v>
      </c>
      <c r="G5976" s="369">
        <f>VLOOKUP(C5976,METADATA!$J$5:$Q$29,IF(E5976="HI",2,IF(E5976="LO",6,10))+IF(D5976=1,2,IF(D5976=7,1,(IF(WEEKDAY(B5976)=1,2,IF(WEEKDAY(B5976)=7,1,0))))))</f>
        <v>3</v>
      </c>
      <c r="H5976" s="370">
        <v>12638.35009765625</v>
      </c>
      <c r="I5976" s="370">
        <v>3690.3699188232422</v>
      </c>
      <c r="M5976" s="371">
        <f t="shared" si="373"/>
        <v>13166.120283845321</v>
      </c>
      <c r="N5976" s="329">
        <f t="shared" si="374"/>
        <v>0</v>
      </c>
      <c r="T5976" s="331">
        <v>0</v>
      </c>
      <c r="U5976" s="328">
        <f>VLOOKUP(C5976,METADATA!$J$5:$Q$29,IF(E5976="HI",2,IF(E5976="LO",6,10))+IF(T5976=1,2,IF(D5976=7,1,(IF(WEEKDAY(B5976)=1,2,IF(WEEKDAY(B5976)=7,1,0))))))</f>
        <v>3</v>
      </c>
      <c r="V5976" s="328">
        <f>VLOOKUP(C5976,METADATA!$A$5:$H$29,IF(E5976="HI",2,IF(E5976="LO",6,10))+IF(T5976=1,2,IF(D5976=7,1,(IF(WEEKDAY(B5976)=1,2,IF(WEEKDAY(B5976)=7,1,0))))))</f>
        <v>3</v>
      </c>
    </row>
    <row r="5977" spans="2:22">
      <c r="B5977" s="318">
        <f t="shared" si="371"/>
        <v>46361</v>
      </c>
      <c r="C5977" s="312">
        <v>21</v>
      </c>
      <c r="D5977" s="368">
        <f>IFERROR((INDEX(METADATA!$T$2:$T$20,MATCH(B5977,METADATA!$S$2:$S$20,0))),0)</f>
        <v>0</v>
      </c>
      <c r="E5977" s="312" t="str">
        <f t="shared" si="372"/>
        <v>LO</v>
      </c>
      <c r="F5977" s="369">
        <f>VLOOKUP(C5977,METADATA!$A$5:$H$29,IF(E5977="HI",2,IF(E5977="LO",6,10))+IF(D5977=1,2,IF(D5977=7,1,(IF(WEEKDAY(B5977)=1,2,IF(WEEKDAY(B5977)=7,1,0))))))</f>
        <v>3</v>
      </c>
      <c r="G5977" s="369">
        <f>VLOOKUP(C5977,METADATA!$J$5:$Q$29,IF(E5977="HI",2,IF(E5977="LO",6,10))+IF(D5977=1,2,IF(D5977=7,1,(IF(WEEKDAY(B5977)=1,2,IF(WEEKDAY(B5977)=7,1,0))))))</f>
        <v>3</v>
      </c>
      <c r="H5977" s="370">
        <v>12544.000122070313</v>
      </c>
      <c r="I5977" s="370">
        <v>3702.4899291992188</v>
      </c>
      <c r="M5977" s="371">
        <f t="shared" si="373"/>
        <v>13079.004959794212</v>
      </c>
      <c r="N5977" s="329">
        <f t="shared" si="374"/>
        <v>0</v>
      </c>
      <c r="T5977" s="331">
        <v>0</v>
      </c>
      <c r="U5977" s="328">
        <f>VLOOKUP(C5977,METADATA!$J$5:$Q$29,IF(E5977="HI",2,IF(E5977="LO",6,10))+IF(T5977=1,2,IF(D5977=7,1,(IF(WEEKDAY(B5977)=1,2,IF(WEEKDAY(B5977)=7,1,0))))))</f>
        <v>3</v>
      </c>
      <c r="V5977" s="328">
        <f>VLOOKUP(C5977,METADATA!$A$5:$H$29,IF(E5977="HI",2,IF(E5977="LO",6,10))+IF(T5977=1,2,IF(D5977=7,1,(IF(WEEKDAY(B5977)=1,2,IF(WEEKDAY(B5977)=7,1,0))))))</f>
        <v>3</v>
      </c>
    </row>
    <row r="5978" spans="2:22">
      <c r="B5978" s="318">
        <f t="shared" si="371"/>
        <v>46361</v>
      </c>
      <c r="C5978" s="312">
        <v>22</v>
      </c>
      <c r="D5978" s="368">
        <f>IFERROR((INDEX(METADATA!$T$2:$T$20,MATCH(B5978,METADATA!$S$2:$S$20,0))),0)</f>
        <v>0</v>
      </c>
      <c r="E5978" s="312" t="str">
        <f t="shared" si="372"/>
        <v>LO</v>
      </c>
      <c r="F5978" s="369">
        <f>VLOOKUP(C5978,METADATA!$A$5:$H$29,IF(E5978="HI",2,IF(E5978="LO",6,10))+IF(D5978=1,2,IF(D5978=7,1,(IF(WEEKDAY(B5978)=1,2,IF(WEEKDAY(B5978)=7,1,0))))))</f>
        <v>3</v>
      </c>
      <c r="G5978" s="369">
        <f>VLOOKUP(C5978,METADATA!$J$5:$Q$29,IF(E5978="HI",2,IF(E5978="LO",6,10))+IF(D5978=1,2,IF(D5978=7,1,(IF(WEEKDAY(B5978)=1,2,IF(WEEKDAY(B5978)=7,1,0))))))</f>
        <v>3</v>
      </c>
      <c r="H5978" s="370">
        <v>12617.225158691406</v>
      </c>
      <c r="I5978" s="370">
        <v>3824.7950134277344</v>
      </c>
      <c r="M5978" s="371">
        <f t="shared" si="373"/>
        <v>13184.211299878996</v>
      </c>
      <c r="N5978" s="329">
        <f t="shared" si="374"/>
        <v>39.627465820312864</v>
      </c>
      <c r="T5978" s="331">
        <v>0</v>
      </c>
      <c r="U5978" s="328">
        <f>VLOOKUP(C5978,METADATA!$J$5:$Q$29,IF(E5978="HI",2,IF(E5978="LO",6,10))+IF(T5978=1,2,IF(D5978=7,1,(IF(WEEKDAY(B5978)=1,2,IF(WEEKDAY(B5978)=7,1,0))))))</f>
        <v>3</v>
      </c>
      <c r="V5978" s="328">
        <f>VLOOKUP(C5978,METADATA!$A$5:$H$29,IF(E5978="HI",2,IF(E5978="LO",6,10))+IF(T5978=1,2,IF(D5978=7,1,(IF(WEEKDAY(B5978)=1,2,IF(WEEKDAY(B5978)=7,1,0))))))</f>
        <v>3</v>
      </c>
    </row>
    <row r="5979" spans="2:22">
      <c r="B5979" s="318">
        <f t="shared" si="371"/>
        <v>46361</v>
      </c>
      <c r="C5979" s="312">
        <v>23</v>
      </c>
      <c r="D5979" s="368">
        <f>IFERROR((INDEX(METADATA!$T$2:$T$20,MATCH(B5979,METADATA!$S$2:$S$20,0))),0)</f>
        <v>0</v>
      </c>
      <c r="E5979" s="312" t="str">
        <f t="shared" si="372"/>
        <v>LO</v>
      </c>
      <c r="F5979" s="369">
        <f>VLOOKUP(C5979,METADATA!$A$5:$H$29,IF(E5979="HI",2,IF(E5979="LO",6,10))+IF(D5979=1,2,IF(D5979=7,1,(IF(WEEKDAY(B5979)=1,2,IF(WEEKDAY(B5979)=7,1,0))))))</f>
        <v>3</v>
      </c>
      <c r="G5979" s="369">
        <f>VLOOKUP(C5979,METADATA!$J$5:$Q$29,IF(E5979="HI",2,IF(E5979="LO",6,10))+IF(D5979=1,2,IF(D5979=7,1,(IF(WEEKDAY(B5979)=1,2,IF(WEEKDAY(B5979)=7,1,0))))))</f>
        <v>3</v>
      </c>
      <c r="H5979" s="370">
        <v>12554.575073242188</v>
      </c>
      <c r="I5979" s="370">
        <v>3767.6199493408203</v>
      </c>
      <c r="M5979" s="371">
        <f t="shared" si="373"/>
        <v>13107.71968545044</v>
      </c>
      <c r="N5979" s="329">
        <f t="shared" si="374"/>
        <v>1.2474273681641534</v>
      </c>
      <c r="T5979" s="331">
        <v>0</v>
      </c>
      <c r="U5979" s="328">
        <f>VLOOKUP(C5979,METADATA!$J$5:$Q$29,IF(E5979="HI",2,IF(E5979="LO",6,10))+IF(T5979=1,2,IF(D5979=7,1,(IF(WEEKDAY(B5979)=1,2,IF(WEEKDAY(B5979)=7,1,0))))))</f>
        <v>3</v>
      </c>
      <c r="V5979" s="328">
        <f>VLOOKUP(C5979,METADATA!$A$5:$H$29,IF(E5979="HI",2,IF(E5979="LO",6,10))+IF(T5979=1,2,IF(D5979=7,1,(IF(WEEKDAY(B5979)=1,2,IF(WEEKDAY(B5979)=7,1,0))))))</f>
        <v>3</v>
      </c>
    </row>
    <row r="5980" spans="2:22">
      <c r="B5980" s="318">
        <f t="shared" ref="B5980:B6043" si="375">B5956+1</f>
        <v>46362</v>
      </c>
      <c r="C5980" s="312">
        <v>0</v>
      </c>
      <c r="D5980" s="368">
        <f>IFERROR((INDEX(METADATA!$T$2:$T$20,MATCH(B5980,METADATA!$S$2:$S$20,0))),0)</f>
        <v>0</v>
      </c>
      <c r="E5980" s="312" t="str">
        <f t="shared" si="372"/>
        <v>LO</v>
      </c>
      <c r="F5980" s="369">
        <f>VLOOKUP(C5980,METADATA!$A$5:$H$29,IF(E5980="HI",2,IF(E5980="LO",6,10))+IF(D5980=1,2,IF(D5980=7,1,(IF(WEEKDAY(B5980)=1,2,IF(WEEKDAY(B5980)=7,1,0))))))</f>
        <v>3</v>
      </c>
      <c r="G5980" s="369">
        <f>VLOOKUP(C5980,METADATA!$J$5:$Q$29,IF(E5980="HI",2,IF(E5980="LO",6,10))+IF(D5980=1,2,IF(D5980=7,1,(IF(WEEKDAY(B5980)=1,2,IF(WEEKDAY(B5980)=7,1,0))))))</f>
        <v>3</v>
      </c>
      <c r="H5980" s="370">
        <v>12579.699890136719</v>
      </c>
      <c r="I5980" s="370">
        <v>3703.4349060058594</v>
      </c>
      <c r="M5980" s="371">
        <f t="shared" si="373"/>
        <v>13113.515143886036</v>
      </c>
      <c r="N5980" s="329">
        <f t="shared" si="374"/>
        <v>0</v>
      </c>
      <c r="T5980" s="331">
        <v>0</v>
      </c>
      <c r="U5980" s="328">
        <f>VLOOKUP(C5980,METADATA!$J$5:$Q$29,IF(E5980="HI",2,IF(E5980="LO",6,10))+IF(T5980=1,2,IF(D5980=7,1,(IF(WEEKDAY(B5980)=1,2,IF(WEEKDAY(B5980)=7,1,0))))))</f>
        <v>3</v>
      </c>
      <c r="V5980" s="328">
        <f>VLOOKUP(C5980,METADATA!$A$5:$H$29,IF(E5980="HI",2,IF(E5980="LO",6,10))+IF(T5980=1,2,IF(D5980=7,1,(IF(WEEKDAY(B5980)=1,2,IF(WEEKDAY(B5980)=7,1,0))))))</f>
        <v>3</v>
      </c>
    </row>
    <row r="5981" spans="2:22">
      <c r="B5981" s="318">
        <f t="shared" si="375"/>
        <v>46362</v>
      </c>
      <c r="C5981" s="312">
        <v>1</v>
      </c>
      <c r="D5981" s="368">
        <f>IFERROR((INDEX(METADATA!$T$2:$T$20,MATCH(B5981,METADATA!$S$2:$S$20,0))),0)</f>
        <v>0</v>
      </c>
      <c r="E5981" s="312" t="str">
        <f t="shared" si="372"/>
        <v>LO</v>
      </c>
      <c r="F5981" s="369">
        <f>VLOOKUP(C5981,METADATA!$A$5:$H$29,IF(E5981="HI",2,IF(E5981="LO",6,10))+IF(D5981=1,2,IF(D5981=7,1,(IF(WEEKDAY(B5981)=1,2,IF(WEEKDAY(B5981)=7,1,0))))))</f>
        <v>3</v>
      </c>
      <c r="G5981" s="369">
        <f>VLOOKUP(C5981,METADATA!$J$5:$Q$29,IF(E5981="HI",2,IF(E5981="LO",6,10))+IF(D5981=1,2,IF(D5981=7,1,(IF(WEEKDAY(B5981)=1,2,IF(WEEKDAY(B5981)=7,1,0))))))</f>
        <v>3</v>
      </c>
      <c r="H5981" s="370">
        <v>12594.227416992188</v>
      </c>
      <c r="I5981" s="370">
        <v>3723.2424468994141</v>
      </c>
      <c r="M5981" s="371">
        <f t="shared" si="373"/>
        <v>13133.053664297242</v>
      </c>
      <c r="N5981" s="329">
        <f t="shared" si="374"/>
        <v>0</v>
      </c>
      <c r="T5981" s="331">
        <v>0</v>
      </c>
      <c r="U5981" s="328">
        <f>VLOOKUP(C5981,METADATA!$J$5:$Q$29,IF(E5981="HI",2,IF(E5981="LO",6,10))+IF(T5981=1,2,IF(D5981=7,1,(IF(WEEKDAY(B5981)=1,2,IF(WEEKDAY(B5981)=7,1,0))))))</f>
        <v>3</v>
      </c>
      <c r="V5981" s="328">
        <f>VLOOKUP(C5981,METADATA!$A$5:$H$29,IF(E5981="HI",2,IF(E5981="LO",6,10))+IF(T5981=1,2,IF(D5981=7,1,(IF(WEEKDAY(B5981)=1,2,IF(WEEKDAY(B5981)=7,1,0))))))</f>
        <v>3</v>
      </c>
    </row>
    <row r="5982" spans="2:22">
      <c r="B5982" s="318">
        <f t="shared" si="375"/>
        <v>46362</v>
      </c>
      <c r="C5982" s="312">
        <v>2</v>
      </c>
      <c r="D5982" s="368">
        <f>IFERROR((INDEX(METADATA!$T$2:$T$20,MATCH(B5982,METADATA!$S$2:$S$20,0))),0)</f>
        <v>0</v>
      </c>
      <c r="E5982" s="312" t="str">
        <f t="shared" si="372"/>
        <v>LO</v>
      </c>
      <c r="F5982" s="369">
        <f>VLOOKUP(C5982,METADATA!$A$5:$H$29,IF(E5982="HI",2,IF(E5982="LO",6,10))+IF(D5982=1,2,IF(D5982=7,1,(IF(WEEKDAY(B5982)=1,2,IF(WEEKDAY(B5982)=7,1,0))))))</f>
        <v>3</v>
      </c>
      <c r="G5982" s="369">
        <f>VLOOKUP(C5982,METADATA!$J$5:$Q$29,IF(E5982="HI",2,IF(E5982="LO",6,10))+IF(D5982=1,2,IF(D5982=7,1,(IF(WEEKDAY(B5982)=1,2,IF(WEEKDAY(B5982)=7,1,0))))))</f>
        <v>3</v>
      </c>
      <c r="H5982" s="370">
        <v>12721.524780273438</v>
      </c>
      <c r="I5982" s="370">
        <v>3770.8499450683594</v>
      </c>
      <c r="M5982" s="371">
        <f t="shared" si="373"/>
        <v>13268.628491420399</v>
      </c>
      <c r="N5982" s="329">
        <f t="shared" si="374"/>
        <v>0</v>
      </c>
      <c r="T5982" s="331">
        <v>0</v>
      </c>
      <c r="U5982" s="328">
        <f>VLOOKUP(C5982,METADATA!$J$5:$Q$29,IF(E5982="HI",2,IF(E5982="LO",6,10))+IF(T5982=1,2,IF(D5982=7,1,(IF(WEEKDAY(B5982)=1,2,IF(WEEKDAY(B5982)=7,1,0))))))</f>
        <v>3</v>
      </c>
      <c r="V5982" s="328">
        <f>VLOOKUP(C5982,METADATA!$A$5:$H$29,IF(E5982="HI",2,IF(E5982="LO",6,10))+IF(T5982=1,2,IF(D5982=7,1,(IF(WEEKDAY(B5982)=1,2,IF(WEEKDAY(B5982)=7,1,0))))))</f>
        <v>3</v>
      </c>
    </row>
    <row r="5983" spans="2:22">
      <c r="B5983" s="318">
        <f t="shared" si="375"/>
        <v>46362</v>
      </c>
      <c r="C5983" s="312">
        <v>3</v>
      </c>
      <c r="D5983" s="368">
        <f>IFERROR((INDEX(METADATA!$T$2:$T$20,MATCH(B5983,METADATA!$S$2:$S$20,0))),0)</f>
        <v>0</v>
      </c>
      <c r="E5983" s="312" t="str">
        <f t="shared" si="372"/>
        <v>LO</v>
      </c>
      <c r="F5983" s="369">
        <f>VLOOKUP(C5983,METADATA!$A$5:$H$29,IF(E5983="HI",2,IF(E5983="LO",6,10))+IF(D5983=1,2,IF(D5983=7,1,(IF(WEEKDAY(B5983)=1,2,IF(WEEKDAY(B5983)=7,1,0))))))</f>
        <v>3</v>
      </c>
      <c r="G5983" s="369">
        <f>VLOOKUP(C5983,METADATA!$J$5:$Q$29,IF(E5983="HI",2,IF(E5983="LO",6,10))+IF(D5983=1,2,IF(D5983=7,1,(IF(WEEKDAY(B5983)=1,2,IF(WEEKDAY(B5983)=7,1,0))))))</f>
        <v>3</v>
      </c>
      <c r="H5983" s="370">
        <v>12589.704833984375</v>
      </c>
      <c r="I5983" s="370">
        <v>3781.8625335693359</v>
      </c>
      <c r="M5983" s="371">
        <f t="shared" si="373"/>
        <v>13145.461271087639</v>
      </c>
      <c r="N5983" s="329">
        <f t="shared" si="374"/>
        <v>4.9510833740237103</v>
      </c>
      <c r="T5983" s="331">
        <v>0</v>
      </c>
      <c r="U5983" s="328">
        <f>VLOOKUP(C5983,METADATA!$J$5:$Q$29,IF(E5983="HI",2,IF(E5983="LO",6,10))+IF(T5983=1,2,IF(D5983=7,1,(IF(WEEKDAY(B5983)=1,2,IF(WEEKDAY(B5983)=7,1,0))))))</f>
        <v>3</v>
      </c>
      <c r="V5983" s="328">
        <f>VLOOKUP(C5983,METADATA!$A$5:$H$29,IF(E5983="HI",2,IF(E5983="LO",6,10))+IF(T5983=1,2,IF(D5983=7,1,(IF(WEEKDAY(B5983)=1,2,IF(WEEKDAY(B5983)=7,1,0))))))</f>
        <v>3</v>
      </c>
    </row>
    <row r="5984" spans="2:22">
      <c r="B5984" s="318">
        <f t="shared" si="375"/>
        <v>46362</v>
      </c>
      <c r="C5984" s="312">
        <v>4</v>
      </c>
      <c r="D5984" s="368">
        <f>IFERROR((INDEX(METADATA!$T$2:$T$20,MATCH(B5984,METADATA!$S$2:$S$20,0))),0)</f>
        <v>0</v>
      </c>
      <c r="E5984" s="312" t="str">
        <f t="shared" si="372"/>
        <v>LO</v>
      </c>
      <c r="F5984" s="369">
        <f>VLOOKUP(C5984,METADATA!$A$5:$H$29,IF(E5984="HI",2,IF(E5984="LO",6,10))+IF(D5984=1,2,IF(D5984=7,1,(IF(WEEKDAY(B5984)=1,2,IF(WEEKDAY(B5984)=7,1,0))))))</f>
        <v>3</v>
      </c>
      <c r="G5984" s="369">
        <f>VLOOKUP(C5984,METADATA!$J$5:$Q$29,IF(E5984="HI",2,IF(E5984="LO",6,10))+IF(D5984=1,2,IF(D5984=7,1,(IF(WEEKDAY(B5984)=1,2,IF(WEEKDAY(B5984)=7,1,0))))))</f>
        <v>3</v>
      </c>
      <c r="H5984" s="370">
        <v>12599.824829101563</v>
      </c>
      <c r="I5984" s="370">
        <v>3673.0249633789063</v>
      </c>
      <c r="M5984" s="371">
        <f t="shared" si="373"/>
        <v>13124.278955647385</v>
      </c>
      <c r="N5984" s="329">
        <f t="shared" si="374"/>
        <v>0</v>
      </c>
      <c r="T5984" s="331">
        <v>0</v>
      </c>
      <c r="U5984" s="328">
        <f>VLOOKUP(C5984,METADATA!$J$5:$Q$29,IF(E5984="HI",2,IF(E5984="LO",6,10))+IF(T5984=1,2,IF(D5984=7,1,(IF(WEEKDAY(B5984)=1,2,IF(WEEKDAY(B5984)=7,1,0))))))</f>
        <v>3</v>
      </c>
      <c r="V5984" s="328">
        <f>VLOOKUP(C5984,METADATA!$A$5:$H$29,IF(E5984="HI",2,IF(E5984="LO",6,10))+IF(T5984=1,2,IF(D5984=7,1,(IF(WEEKDAY(B5984)=1,2,IF(WEEKDAY(B5984)=7,1,0))))))</f>
        <v>3</v>
      </c>
    </row>
    <row r="5985" spans="2:22">
      <c r="B5985" s="318">
        <f t="shared" si="375"/>
        <v>46362</v>
      </c>
      <c r="C5985" s="312">
        <v>5</v>
      </c>
      <c r="D5985" s="368">
        <f>IFERROR((INDEX(METADATA!$T$2:$T$20,MATCH(B5985,METADATA!$S$2:$S$20,0))),0)</f>
        <v>0</v>
      </c>
      <c r="E5985" s="312" t="str">
        <f t="shared" si="372"/>
        <v>LO</v>
      </c>
      <c r="F5985" s="369">
        <f>VLOOKUP(C5985,METADATA!$A$5:$H$29,IF(E5985="HI",2,IF(E5985="LO",6,10))+IF(D5985=1,2,IF(D5985=7,1,(IF(WEEKDAY(B5985)=1,2,IF(WEEKDAY(B5985)=7,1,0))))))</f>
        <v>3</v>
      </c>
      <c r="G5985" s="369">
        <f>VLOOKUP(C5985,METADATA!$J$5:$Q$29,IF(E5985="HI",2,IF(E5985="LO",6,10))+IF(D5985=1,2,IF(D5985=7,1,(IF(WEEKDAY(B5985)=1,2,IF(WEEKDAY(B5985)=7,1,0))))))</f>
        <v>3</v>
      </c>
      <c r="H5985" s="370">
        <v>12136.87548828125</v>
      </c>
      <c r="I5985" s="370">
        <v>3486.0150756835938</v>
      </c>
      <c r="M5985" s="371">
        <f t="shared" si="373"/>
        <v>12627.590733229183</v>
      </c>
      <c r="N5985" s="329">
        <f t="shared" si="374"/>
        <v>0</v>
      </c>
      <c r="T5985" s="331">
        <v>0</v>
      </c>
      <c r="U5985" s="328">
        <f>VLOOKUP(C5985,METADATA!$J$5:$Q$29,IF(E5985="HI",2,IF(E5985="LO",6,10))+IF(T5985=1,2,IF(D5985=7,1,(IF(WEEKDAY(B5985)=1,2,IF(WEEKDAY(B5985)=7,1,0))))))</f>
        <v>3</v>
      </c>
      <c r="V5985" s="328">
        <f>VLOOKUP(C5985,METADATA!$A$5:$H$29,IF(E5985="HI",2,IF(E5985="LO",6,10))+IF(T5985=1,2,IF(D5985=7,1,(IF(WEEKDAY(B5985)=1,2,IF(WEEKDAY(B5985)=7,1,0))))))</f>
        <v>3</v>
      </c>
    </row>
    <row r="5986" spans="2:22">
      <c r="B5986" s="318">
        <f t="shared" si="375"/>
        <v>46362</v>
      </c>
      <c r="C5986" s="312">
        <v>6</v>
      </c>
      <c r="D5986" s="368">
        <f>IFERROR((INDEX(METADATA!$T$2:$T$20,MATCH(B5986,METADATA!$S$2:$S$20,0))),0)</f>
        <v>0</v>
      </c>
      <c r="E5986" s="312" t="str">
        <f t="shared" si="372"/>
        <v>LO</v>
      </c>
      <c r="F5986" s="369">
        <f>VLOOKUP(C5986,METADATA!$A$5:$H$29,IF(E5986="HI",2,IF(E5986="LO",6,10))+IF(D5986=1,2,IF(D5986=7,1,(IF(WEEKDAY(B5986)=1,2,IF(WEEKDAY(B5986)=7,1,0))))))</f>
        <v>3</v>
      </c>
      <c r="G5986" s="369">
        <f>VLOOKUP(C5986,METADATA!$J$5:$Q$29,IF(E5986="HI",2,IF(E5986="LO",6,10))+IF(D5986=1,2,IF(D5986=7,1,(IF(WEEKDAY(B5986)=1,2,IF(WEEKDAY(B5986)=7,1,0))))))</f>
        <v>3</v>
      </c>
      <c r="H5986" s="370">
        <v>7247.8999633789063</v>
      </c>
      <c r="I5986" s="370">
        <v>2579.75</v>
      </c>
      <c r="M5986" s="371">
        <f t="shared" si="373"/>
        <v>7693.3194358253413</v>
      </c>
      <c r="N5986" s="329">
        <f t="shared" si="374"/>
        <v>405.38001098632822</v>
      </c>
      <c r="T5986" s="331">
        <v>0</v>
      </c>
      <c r="U5986" s="328">
        <f>VLOOKUP(C5986,METADATA!$J$5:$Q$29,IF(E5986="HI",2,IF(E5986="LO",6,10))+IF(T5986=1,2,IF(D5986=7,1,(IF(WEEKDAY(B5986)=1,2,IF(WEEKDAY(B5986)=7,1,0))))))</f>
        <v>3</v>
      </c>
      <c r="V5986" s="328">
        <f>VLOOKUP(C5986,METADATA!$A$5:$H$29,IF(E5986="HI",2,IF(E5986="LO",6,10))+IF(T5986=1,2,IF(D5986=7,1,(IF(WEEKDAY(B5986)=1,2,IF(WEEKDAY(B5986)=7,1,0))))))</f>
        <v>3</v>
      </c>
    </row>
    <row r="5987" spans="2:22">
      <c r="B5987" s="318">
        <f t="shared" si="375"/>
        <v>46362</v>
      </c>
      <c r="C5987" s="312">
        <v>7</v>
      </c>
      <c r="D5987" s="368">
        <f>IFERROR((INDEX(METADATA!$T$2:$T$20,MATCH(B5987,METADATA!$S$2:$S$20,0))),0)</f>
        <v>0</v>
      </c>
      <c r="E5987" s="312" t="str">
        <f t="shared" si="372"/>
        <v>LO</v>
      </c>
      <c r="F5987" s="369">
        <f>VLOOKUP(C5987,METADATA!$A$5:$H$29,IF(E5987="HI",2,IF(E5987="LO",6,10))+IF(D5987=1,2,IF(D5987=7,1,(IF(WEEKDAY(B5987)=1,2,IF(WEEKDAY(B5987)=7,1,0))))))</f>
        <v>3</v>
      </c>
      <c r="G5987" s="369">
        <f>VLOOKUP(C5987,METADATA!$J$5:$Q$29,IF(E5987="HI",2,IF(E5987="LO",6,10))+IF(D5987=1,2,IF(D5987=7,1,(IF(WEEKDAY(B5987)=1,2,IF(WEEKDAY(B5987)=7,1,0))))))</f>
        <v>3</v>
      </c>
      <c r="H5987" s="370">
        <v>6863.6250610351563</v>
      </c>
      <c r="I5987" s="370">
        <v>2527.8750610351563</v>
      </c>
      <c r="M5987" s="371">
        <f t="shared" si="373"/>
        <v>7314.335328837019</v>
      </c>
      <c r="N5987" s="329">
        <f t="shared" si="374"/>
        <v>468.78754272460947</v>
      </c>
      <c r="T5987" s="331">
        <v>0</v>
      </c>
      <c r="U5987" s="328">
        <f>VLOOKUP(C5987,METADATA!$J$5:$Q$29,IF(E5987="HI",2,IF(E5987="LO",6,10))+IF(T5987=1,2,IF(D5987=7,1,(IF(WEEKDAY(B5987)=1,2,IF(WEEKDAY(B5987)=7,1,0))))))</f>
        <v>3</v>
      </c>
      <c r="V5987" s="328">
        <f>VLOOKUP(C5987,METADATA!$A$5:$H$29,IF(E5987="HI",2,IF(E5987="LO",6,10))+IF(T5987=1,2,IF(D5987=7,1,(IF(WEEKDAY(B5987)=1,2,IF(WEEKDAY(B5987)=7,1,0))))))</f>
        <v>3</v>
      </c>
    </row>
    <row r="5988" spans="2:22">
      <c r="B5988" s="318">
        <f t="shared" si="375"/>
        <v>46362</v>
      </c>
      <c r="C5988" s="312">
        <v>8</v>
      </c>
      <c r="D5988" s="368">
        <f>IFERROR((INDEX(METADATA!$T$2:$T$20,MATCH(B5988,METADATA!$S$2:$S$20,0))),0)</f>
        <v>0</v>
      </c>
      <c r="E5988" s="312" t="str">
        <f t="shared" si="372"/>
        <v>LO</v>
      </c>
      <c r="F5988" s="369">
        <f>VLOOKUP(C5988,METADATA!$A$5:$H$29,IF(E5988="HI",2,IF(E5988="LO",6,10))+IF(D5988=1,2,IF(D5988=7,1,(IF(WEEKDAY(B5988)=1,2,IF(WEEKDAY(B5988)=7,1,0))))))</f>
        <v>3</v>
      </c>
      <c r="G5988" s="369">
        <f>VLOOKUP(C5988,METADATA!$J$5:$Q$29,IF(E5988="HI",2,IF(E5988="LO",6,10))+IF(D5988=1,2,IF(D5988=7,1,(IF(WEEKDAY(B5988)=1,2,IF(WEEKDAY(B5988)=7,1,0))))))</f>
        <v>3</v>
      </c>
      <c r="H5988" s="370">
        <v>6887.2499389648438</v>
      </c>
      <c r="I5988" s="370">
        <v>2547.4249877929688</v>
      </c>
      <c r="M5988" s="371">
        <f t="shared" si="373"/>
        <v>7343.2680592637525</v>
      </c>
      <c r="N5988" s="329">
        <f t="shared" si="374"/>
        <v>481.25000610351572</v>
      </c>
      <c r="T5988" s="331">
        <v>0</v>
      </c>
      <c r="U5988" s="328">
        <f>VLOOKUP(C5988,METADATA!$J$5:$Q$29,IF(E5988="HI",2,IF(E5988="LO",6,10))+IF(T5988=1,2,IF(D5988=7,1,(IF(WEEKDAY(B5988)=1,2,IF(WEEKDAY(B5988)=7,1,0))))))</f>
        <v>3</v>
      </c>
      <c r="V5988" s="328">
        <f>VLOOKUP(C5988,METADATA!$A$5:$H$29,IF(E5988="HI",2,IF(E5988="LO",6,10))+IF(T5988=1,2,IF(D5988=7,1,(IF(WEEKDAY(B5988)=1,2,IF(WEEKDAY(B5988)=7,1,0))))))</f>
        <v>3</v>
      </c>
    </row>
    <row r="5989" spans="2:22">
      <c r="B5989" s="318">
        <f t="shared" si="375"/>
        <v>46362</v>
      </c>
      <c r="C5989" s="312">
        <v>9</v>
      </c>
      <c r="D5989" s="368">
        <f>IFERROR((INDEX(METADATA!$T$2:$T$20,MATCH(B5989,METADATA!$S$2:$S$20,0))),0)</f>
        <v>0</v>
      </c>
      <c r="E5989" s="312" t="str">
        <f t="shared" si="372"/>
        <v>LO</v>
      </c>
      <c r="F5989" s="369">
        <f>VLOOKUP(C5989,METADATA!$A$5:$H$29,IF(E5989="HI",2,IF(E5989="LO",6,10))+IF(D5989=1,2,IF(D5989=7,1,(IF(WEEKDAY(B5989)=1,2,IF(WEEKDAY(B5989)=7,1,0))))))</f>
        <v>3</v>
      </c>
      <c r="G5989" s="369">
        <f>VLOOKUP(C5989,METADATA!$J$5:$Q$29,IF(E5989="HI",2,IF(E5989="LO",6,10))+IF(D5989=1,2,IF(D5989=7,1,(IF(WEEKDAY(B5989)=1,2,IF(WEEKDAY(B5989)=7,1,0))))))</f>
        <v>3</v>
      </c>
      <c r="H5989" s="370">
        <v>7232.8250732421875</v>
      </c>
      <c r="I5989" s="370">
        <v>2530.2749633789063</v>
      </c>
      <c r="M5989" s="371">
        <f t="shared" si="373"/>
        <v>7662.6398799906401</v>
      </c>
      <c r="N5989" s="329">
        <f t="shared" si="374"/>
        <v>360.42744140625018</v>
      </c>
      <c r="T5989" s="331">
        <v>0</v>
      </c>
      <c r="U5989" s="328">
        <f>VLOOKUP(C5989,METADATA!$J$5:$Q$29,IF(E5989="HI",2,IF(E5989="LO",6,10))+IF(T5989=1,2,IF(D5989=7,1,(IF(WEEKDAY(B5989)=1,2,IF(WEEKDAY(B5989)=7,1,0))))))</f>
        <v>3</v>
      </c>
      <c r="V5989" s="328">
        <f>VLOOKUP(C5989,METADATA!$A$5:$H$29,IF(E5989="HI",2,IF(E5989="LO",6,10))+IF(T5989=1,2,IF(D5989=7,1,(IF(WEEKDAY(B5989)=1,2,IF(WEEKDAY(B5989)=7,1,0))))))</f>
        <v>3</v>
      </c>
    </row>
    <row r="5990" spans="2:22">
      <c r="B5990" s="318">
        <f t="shared" si="375"/>
        <v>46362</v>
      </c>
      <c r="C5990" s="312">
        <v>10</v>
      </c>
      <c r="D5990" s="368">
        <f>IFERROR((INDEX(METADATA!$T$2:$T$20,MATCH(B5990,METADATA!$S$2:$S$20,0))),0)</f>
        <v>0</v>
      </c>
      <c r="E5990" s="312" t="str">
        <f t="shared" si="372"/>
        <v>LO</v>
      </c>
      <c r="F5990" s="369">
        <f>VLOOKUP(C5990,METADATA!$A$5:$H$29,IF(E5990="HI",2,IF(E5990="LO",6,10))+IF(D5990=1,2,IF(D5990=7,1,(IF(WEEKDAY(B5990)=1,2,IF(WEEKDAY(B5990)=7,1,0))))))</f>
        <v>3</v>
      </c>
      <c r="G5990" s="369">
        <f>VLOOKUP(C5990,METADATA!$J$5:$Q$29,IF(E5990="HI",2,IF(E5990="LO",6,10))+IF(D5990=1,2,IF(D5990=7,1,(IF(WEEKDAY(B5990)=1,2,IF(WEEKDAY(B5990)=7,1,0))))))</f>
        <v>3</v>
      </c>
      <c r="H5990" s="370">
        <v>6532.0125427246094</v>
      </c>
      <c r="I5990" s="370">
        <v>1819.3374328613281</v>
      </c>
      <c r="M5990" s="371">
        <f t="shared" si="373"/>
        <v>6780.6472075254042</v>
      </c>
      <c r="N5990" s="329">
        <f t="shared" si="374"/>
        <v>0</v>
      </c>
      <c r="T5990" s="331">
        <v>0</v>
      </c>
      <c r="U5990" s="328">
        <f>VLOOKUP(C5990,METADATA!$J$5:$Q$29,IF(E5990="HI",2,IF(E5990="LO",6,10))+IF(T5990=1,2,IF(D5990=7,1,(IF(WEEKDAY(B5990)=1,2,IF(WEEKDAY(B5990)=7,1,0))))))</f>
        <v>3</v>
      </c>
      <c r="V5990" s="328">
        <f>VLOOKUP(C5990,METADATA!$A$5:$H$29,IF(E5990="HI",2,IF(E5990="LO",6,10))+IF(T5990=1,2,IF(D5990=7,1,(IF(WEEKDAY(B5990)=1,2,IF(WEEKDAY(B5990)=7,1,0))))))</f>
        <v>3</v>
      </c>
    </row>
    <row r="5991" spans="2:22">
      <c r="B5991" s="318">
        <f t="shared" si="375"/>
        <v>46362</v>
      </c>
      <c r="C5991" s="312">
        <v>11</v>
      </c>
      <c r="D5991" s="368">
        <f>IFERROR((INDEX(METADATA!$T$2:$T$20,MATCH(B5991,METADATA!$S$2:$S$20,0))),0)</f>
        <v>0</v>
      </c>
      <c r="E5991" s="312" t="str">
        <f t="shared" si="372"/>
        <v>LO</v>
      </c>
      <c r="F5991" s="369">
        <f>VLOOKUP(C5991,METADATA!$A$5:$H$29,IF(E5991="HI",2,IF(E5991="LO",6,10))+IF(D5991=1,2,IF(D5991=7,1,(IF(WEEKDAY(B5991)=1,2,IF(WEEKDAY(B5991)=7,1,0))))))</f>
        <v>3</v>
      </c>
      <c r="G5991" s="369">
        <f>VLOOKUP(C5991,METADATA!$J$5:$Q$29,IF(E5991="HI",2,IF(E5991="LO",6,10))+IF(D5991=1,2,IF(D5991=7,1,(IF(WEEKDAY(B5991)=1,2,IF(WEEKDAY(B5991)=7,1,0))))))</f>
        <v>3</v>
      </c>
      <c r="H5991" s="370">
        <v>10420.140106201172</v>
      </c>
      <c r="I5991" s="370">
        <v>2650.6825561523438</v>
      </c>
      <c r="M5991" s="371">
        <f t="shared" si="373"/>
        <v>10751.996923658065</v>
      </c>
      <c r="N5991" s="329">
        <f t="shared" si="374"/>
        <v>0</v>
      </c>
      <c r="T5991" s="331">
        <v>0</v>
      </c>
      <c r="U5991" s="328">
        <f>VLOOKUP(C5991,METADATA!$J$5:$Q$29,IF(E5991="HI",2,IF(E5991="LO",6,10))+IF(T5991=1,2,IF(D5991=7,1,(IF(WEEKDAY(B5991)=1,2,IF(WEEKDAY(B5991)=7,1,0))))))</f>
        <v>3</v>
      </c>
      <c r="V5991" s="328">
        <f>VLOOKUP(C5991,METADATA!$A$5:$H$29,IF(E5991="HI",2,IF(E5991="LO",6,10))+IF(T5991=1,2,IF(D5991=7,1,(IF(WEEKDAY(B5991)=1,2,IF(WEEKDAY(B5991)=7,1,0))))))</f>
        <v>3</v>
      </c>
    </row>
    <row r="5992" spans="2:22">
      <c r="B5992" s="318">
        <f t="shared" si="375"/>
        <v>46362</v>
      </c>
      <c r="C5992" s="312">
        <v>12</v>
      </c>
      <c r="D5992" s="368">
        <f>IFERROR((INDEX(METADATA!$T$2:$T$20,MATCH(B5992,METADATA!$S$2:$S$20,0))),0)</f>
        <v>0</v>
      </c>
      <c r="E5992" s="312" t="str">
        <f t="shared" si="372"/>
        <v>LO</v>
      </c>
      <c r="F5992" s="369">
        <f>VLOOKUP(C5992,METADATA!$A$5:$H$29,IF(E5992="HI",2,IF(E5992="LO",6,10))+IF(D5992=1,2,IF(D5992=7,1,(IF(WEEKDAY(B5992)=1,2,IF(WEEKDAY(B5992)=7,1,0))))))</f>
        <v>3</v>
      </c>
      <c r="G5992" s="369">
        <f>VLOOKUP(C5992,METADATA!$J$5:$Q$29,IF(E5992="HI",2,IF(E5992="LO",6,10))+IF(D5992=1,2,IF(D5992=7,1,(IF(WEEKDAY(B5992)=1,2,IF(WEEKDAY(B5992)=7,1,0))))))</f>
        <v>3</v>
      </c>
      <c r="H5992" s="370">
        <v>11000.767456054688</v>
      </c>
      <c r="I5992" s="370">
        <v>2821.2474670410156</v>
      </c>
      <c r="M5992" s="371">
        <f t="shared" si="373"/>
        <v>11356.774273202636</v>
      </c>
      <c r="N5992" s="329">
        <f t="shared" si="374"/>
        <v>0</v>
      </c>
      <c r="T5992" s="331">
        <v>0</v>
      </c>
      <c r="U5992" s="328">
        <f>VLOOKUP(C5992,METADATA!$J$5:$Q$29,IF(E5992="HI",2,IF(E5992="LO",6,10))+IF(T5992=1,2,IF(D5992=7,1,(IF(WEEKDAY(B5992)=1,2,IF(WEEKDAY(B5992)=7,1,0))))))</f>
        <v>3</v>
      </c>
      <c r="V5992" s="328">
        <f>VLOOKUP(C5992,METADATA!$A$5:$H$29,IF(E5992="HI",2,IF(E5992="LO",6,10))+IF(T5992=1,2,IF(D5992=7,1,(IF(WEEKDAY(B5992)=1,2,IF(WEEKDAY(B5992)=7,1,0))))))</f>
        <v>3</v>
      </c>
    </row>
    <row r="5993" spans="2:22">
      <c r="B5993" s="318">
        <f t="shared" si="375"/>
        <v>46362</v>
      </c>
      <c r="C5993" s="312">
        <v>13</v>
      </c>
      <c r="D5993" s="368">
        <f>IFERROR((INDEX(METADATA!$T$2:$T$20,MATCH(B5993,METADATA!$S$2:$S$20,0))),0)</f>
        <v>0</v>
      </c>
      <c r="E5993" s="312" t="str">
        <f t="shared" si="372"/>
        <v>LO</v>
      </c>
      <c r="F5993" s="369">
        <f>VLOOKUP(C5993,METADATA!$A$5:$H$29,IF(E5993="HI",2,IF(E5993="LO",6,10))+IF(D5993=1,2,IF(D5993=7,1,(IF(WEEKDAY(B5993)=1,2,IF(WEEKDAY(B5993)=7,1,0))))))</f>
        <v>3</v>
      </c>
      <c r="G5993" s="369">
        <f>VLOOKUP(C5993,METADATA!$J$5:$Q$29,IF(E5993="HI",2,IF(E5993="LO",6,10))+IF(D5993=1,2,IF(D5993=7,1,(IF(WEEKDAY(B5993)=1,2,IF(WEEKDAY(B5993)=7,1,0))))))</f>
        <v>3</v>
      </c>
      <c r="H5993" s="370">
        <v>12220.275207519531</v>
      </c>
      <c r="I5993" s="370">
        <v>3508.9550170898438</v>
      </c>
      <c r="M5993" s="371">
        <f t="shared" si="373"/>
        <v>12714.08240729454</v>
      </c>
      <c r="N5993" s="329">
        <f t="shared" si="374"/>
        <v>0</v>
      </c>
      <c r="T5993" s="331">
        <v>0</v>
      </c>
      <c r="U5993" s="328">
        <f>VLOOKUP(C5993,METADATA!$J$5:$Q$29,IF(E5993="HI",2,IF(E5993="LO",6,10))+IF(T5993=1,2,IF(D5993=7,1,(IF(WEEKDAY(B5993)=1,2,IF(WEEKDAY(B5993)=7,1,0))))))</f>
        <v>3</v>
      </c>
      <c r="V5993" s="328">
        <f>VLOOKUP(C5993,METADATA!$A$5:$H$29,IF(E5993="HI",2,IF(E5993="LO",6,10))+IF(T5993=1,2,IF(D5993=7,1,(IF(WEEKDAY(B5993)=1,2,IF(WEEKDAY(B5993)=7,1,0))))))</f>
        <v>3</v>
      </c>
    </row>
    <row r="5994" spans="2:22">
      <c r="B5994" s="318">
        <f t="shared" si="375"/>
        <v>46362</v>
      </c>
      <c r="C5994" s="312">
        <v>14</v>
      </c>
      <c r="D5994" s="368">
        <f>IFERROR((INDEX(METADATA!$T$2:$T$20,MATCH(B5994,METADATA!$S$2:$S$20,0))),0)</f>
        <v>0</v>
      </c>
      <c r="E5994" s="312" t="str">
        <f t="shared" si="372"/>
        <v>LO</v>
      </c>
      <c r="F5994" s="369">
        <f>VLOOKUP(C5994,METADATA!$A$5:$H$29,IF(E5994="HI",2,IF(E5994="LO",6,10))+IF(D5994=1,2,IF(D5994=7,1,(IF(WEEKDAY(B5994)=1,2,IF(WEEKDAY(B5994)=7,1,0))))))</f>
        <v>3</v>
      </c>
      <c r="G5994" s="369">
        <f>VLOOKUP(C5994,METADATA!$J$5:$Q$29,IF(E5994="HI",2,IF(E5994="LO",6,10))+IF(D5994=1,2,IF(D5994=7,1,(IF(WEEKDAY(B5994)=1,2,IF(WEEKDAY(B5994)=7,1,0))))))</f>
        <v>3</v>
      </c>
      <c r="H5994" s="370">
        <v>12396.125</v>
      </c>
      <c r="I5994" s="370">
        <v>3816.9249572753906</v>
      </c>
      <c r="M5994" s="371">
        <f t="shared" si="373"/>
        <v>12970.459943467569</v>
      </c>
      <c r="N5994" s="329">
        <f t="shared" si="374"/>
        <v>98.087457275390989</v>
      </c>
      <c r="T5994" s="331">
        <v>0</v>
      </c>
      <c r="U5994" s="328">
        <f>VLOOKUP(C5994,METADATA!$J$5:$Q$29,IF(E5994="HI",2,IF(E5994="LO",6,10))+IF(T5994=1,2,IF(D5994=7,1,(IF(WEEKDAY(B5994)=1,2,IF(WEEKDAY(B5994)=7,1,0))))))</f>
        <v>3</v>
      </c>
      <c r="V5994" s="328">
        <f>VLOOKUP(C5994,METADATA!$A$5:$H$29,IF(E5994="HI",2,IF(E5994="LO",6,10))+IF(T5994=1,2,IF(D5994=7,1,(IF(WEEKDAY(B5994)=1,2,IF(WEEKDAY(B5994)=7,1,0))))))</f>
        <v>3</v>
      </c>
    </row>
    <row r="5995" spans="2:22">
      <c r="B5995" s="318">
        <f t="shared" si="375"/>
        <v>46362</v>
      </c>
      <c r="C5995" s="312">
        <v>15</v>
      </c>
      <c r="D5995" s="368">
        <f>IFERROR((INDEX(METADATA!$T$2:$T$20,MATCH(B5995,METADATA!$S$2:$S$20,0))),0)</f>
        <v>0</v>
      </c>
      <c r="E5995" s="312" t="str">
        <f t="shared" si="372"/>
        <v>LO</v>
      </c>
      <c r="F5995" s="369">
        <f>VLOOKUP(C5995,METADATA!$A$5:$H$29,IF(E5995="HI",2,IF(E5995="LO",6,10))+IF(D5995=1,2,IF(D5995=7,1,(IF(WEEKDAY(B5995)=1,2,IF(WEEKDAY(B5995)=7,1,0))))))</f>
        <v>3</v>
      </c>
      <c r="G5995" s="369">
        <f>VLOOKUP(C5995,METADATA!$J$5:$Q$29,IF(E5995="HI",2,IF(E5995="LO",6,10))+IF(D5995=1,2,IF(D5995=7,1,(IF(WEEKDAY(B5995)=1,2,IF(WEEKDAY(B5995)=7,1,0))))))</f>
        <v>3</v>
      </c>
      <c r="H5995" s="370">
        <v>12888.224731445313</v>
      </c>
      <c r="I5995" s="370">
        <v>4189.1199645996094</v>
      </c>
      <c r="M5995" s="371">
        <f t="shared" si="373"/>
        <v>13551.939448139725</v>
      </c>
      <c r="N5995" s="329">
        <f t="shared" si="374"/>
        <v>322.6525451660159</v>
      </c>
      <c r="T5995" s="331">
        <v>0</v>
      </c>
      <c r="U5995" s="328">
        <f>VLOOKUP(C5995,METADATA!$J$5:$Q$29,IF(E5995="HI",2,IF(E5995="LO",6,10))+IF(T5995=1,2,IF(D5995=7,1,(IF(WEEKDAY(B5995)=1,2,IF(WEEKDAY(B5995)=7,1,0))))))</f>
        <v>3</v>
      </c>
      <c r="V5995" s="328">
        <f>VLOOKUP(C5995,METADATA!$A$5:$H$29,IF(E5995="HI",2,IF(E5995="LO",6,10))+IF(T5995=1,2,IF(D5995=7,1,(IF(WEEKDAY(B5995)=1,2,IF(WEEKDAY(B5995)=7,1,0))))))</f>
        <v>3</v>
      </c>
    </row>
    <row r="5996" spans="2:22">
      <c r="B5996" s="318">
        <f t="shared" si="375"/>
        <v>46362</v>
      </c>
      <c r="C5996" s="312">
        <v>16</v>
      </c>
      <c r="D5996" s="368">
        <f>IFERROR((INDEX(METADATA!$T$2:$T$20,MATCH(B5996,METADATA!$S$2:$S$20,0))),0)</f>
        <v>0</v>
      </c>
      <c r="E5996" s="312" t="str">
        <f t="shared" si="372"/>
        <v>LO</v>
      </c>
      <c r="F5996" s="369">
        <f>VLOOKUP(C5996,METADATA!$A$5:$H$29,IF(E5996="HI",2,IF(E5996="LO",6,10))+IF(D5996=1,2,IF(D5996=7,1,(IF(WEEKDAY(B5996)=1,2,IF(WEEKDAY(B5996)=7,1,0))))))</f>
        <v>3</v>
      </c>
      <c r="G5996" s="369">
        <f>VLOOKUP(C5996,METADATA!$J$5:$Q$29,IF(E5996="HI",2,IF(E5996="LO",6,10))+IF(D5996=1,2,IF(D5996=7,1,(IF(WEEKDAY(B5996)=1,2,IF(WEEKDAY(B5996)=7,1,0))))))</f>
        <v>3</v>
      </c>
      <c r="H5996" s="370">
        <v>13309.675109863281</v>
      </c>
      <c r="I5996" s="370">
        <v>4324.5250549316406</v>
      </c>
      <c r="M5996" s="371">
        <f t="shared" si="373"/>
        <v>13994.604977663559</v>
      </c>
      <c r="N5996" s="329">
        <f t="shared" si="374"/>
        <v>331.62252197265661</v>
      </c>
      <c r="T5996" s="331">
        <v>0</v>
      </c>
      <c r="U5996" s="328">
        <f>VLOOKUP(C5996,METADATA!$J$5:$Q$29,IF(E5996="HI",2,IF(E5996="LO",6,10))+IF(T5996=1,2,IF(D5996=7,1,(IF(WEEKDAY(B5996)=1,2,IF(WEEKDAY(B5996)=7,1,0))))))</f>
        <v>3</v>
      </c>
      <c r="V5996" s="328">
        <f>VLOOKUP(C5996,METADATA!$A$5:$H$29,IF(E5996="HI",2,IF(E5996="LO",6,10))+IF(T5996=1,2,IF(D5996=7,1,(IF(WEEKDAY(B5996)=1,2,IF(WEEKDAY(B5996)=7,1,0))))))</f>
        <v>3</v>
      </c>
    </row>
    <row r="5997" spans="2:22">
      <c r="B5997" s="318">
        <f t="shared" si="375"/>
        <v>46362</v>
      </c>
      <c r="C5997" s="312">
        <v>17</v>
      </c>
      <c r="D5997" s="368">
        <f>IFERROR((INDEX(METADATA!$T$2:$T$20,MATCH(B5997,METADATA!$S$2:$S$20,0))),0)</f>
        <v>0</v>
      </c>
      <c r="E5997" s="312" t="str">
        <f t="shared" si="372"/>
        <v>LO</v>
      </c>
      <c r="F5997" s="369">
        <f>VLOOKUP(C5997,METADATA!$A$5:$H$29,IF(E5997="HI",2,IF(E5997="LO",6,10))+IF(D5997=1,2,IF(D5997=7,1,(IF(WEEKDAY(B5997)=1,2,IF(WEEKDAY(B5997)=7,1,0))))))</f>
        <v>3</v>
      </c>
      <c r="G5997" s="369">
        <f>VLOOKUP(C5997,METADATA!$J$5:$Q$29,IF(E5997="HI",2,IF(E5997="LO",6,10))+IF(D5997=1,2,IF(D5997=7,1,(IF(WEEKDAY(B5997)=1,2,IF(WEEKDAY(B5997)=7,1,0))))))</f>
        <v>3</v>
      </c>
      <c r="H5997" s="370">
        <v>13206.750305175781</v>
      </c>
      <c r="I5997" s="370">
        <v>4288.2499084472656</v>
      </c>
      <c r="M5997" s="371">
        <f t="shared" si="373"/>
        <v>13885.508305444153</v>
      </c>
      <c r="N5997" s="329">
        <f t="shared" si="374"/>
        <v>326.22481689453161</v>
      </c>
      <c r="T5997" s="331">
        <v>0</v>
      </c>
      <c r="U5997" s="328">
        <f>VLOOKUP(C5997,METADATA!$J$5:$Q$29,IF(E5997="HI",2,IF(E5997="LO",6,10))+IF(T5997=1,2,IF(D5997=7,1,(IF(WEEKDAY(B5997)=1,2,IF(WEEKDAY(B5997)=7,1,0))))))</f>
        <v>3</v>
      </c>
      <c r="V5997" s="328">
        <f>VLOOKUP(C5997,METADATA!$A$5:$H$29,IF(E5997="HI",2,IF(E5997="LO",6,10))+IF(T5997=1,2,IF(D5997=7,1,(IF(WEEKDAY(B5997)=1,2,IF(WEEKDAY(B5997)=7,1,0))))))</f>
        <v>3</v>
      </c>
    </row>
    <row r="5998" spans="2:22">
      <c r="B5998" s="318">
        <f t="shared" si="375"/>
        <v>46362</v>
      </c>
      <c r="C5998" s="312">
        <v>18</v>
      </c>
      <c r="D5998" s="368">
        <f>IFERROR((INDEX(METADATA!$T$2:$T$20,MATCH(B5998,METADATA!$S$2:$S$20,0))),0)</f>
        <v>0</v>
      </c>
      <c r="E5998" s="312" t="str">
        <f t="shared" si="372"/>
        <v>LO</v>
      </c>
      <c r="F5998" s="369">
        <f>VLOOKUP(C5998,METADATA!$A$5:$H$29,IF(E5998="HI",2,IF(E5998="LO",6,10))+IF(D5998=1,2,IF(D5998=7,1,(IF(WEEKDAY(B5998)=1,2,IF(WEEKDAY(B5998)=7,1,0))))))</f>
        <v>2</v>
      </c>
      <c r="G5998" s="369">
        <f>VLOOKUP(C5998,METADATA!$J$5:$Q$29,IF(E5998="HI",2,IF(E5998="LO",6,10))+IF(D5998=1,2,IF(D5998=7,1,(IF(WEEKDAY(B5998)=1,2,IF(WEEKDAY(B5998)=7,1,0))))))</f>
        <v>2</v>
      </c>
      <c r="H5998" s="370">
        <v>13229.600158691406</v>
      </c>
      <c r="I5998" s="370">
        <v>4362.6249389648438</v>
      </c>
      <c r="M5998" s="371">
        <f t="shared" si="373"/>
        <v>13930.355943655053</v>
      </c>
      <c r="N5998" s="329">
        <f t="shared" si="374"/>
        <v>393.74489135742215</v>
      </c>
      <c r="T5998" s="331">
        <v>0</v>
      </c>
      <c r="U5998" s="328">
        <f>VLOOKUP(C5998,METADATA!$J$5:$Q$29,IF(E5998="HI",2,IF(E5998="LO",6,10))+IF(T5998=1,2,IF(D5998=7,1,(IF(WEEKDAY(B5998)=1,2,IF(WEEKDAY(B5998)=7,1,0))))))</f>
        <v>2</v>
      </c>
      <c r="V5998" s="328">
        <f>VLOOKUP(C5998,METADATA!$A$5:$H$29,IF(E5998="HI",2,IF(E5998="LO",6,10))+IF(T5998=1,2,IF(D5998=7,1,(IF(WEEKDAY(B5998)=1,2,IF(WEEKDAY(B5998)=7,1,0))))))</f>
        <v>2</v>
      </c>
    </row>
    <row r="5999" spans="2:22">
      <c r="B5999" s="318">
        <f t="shared" si="375"/>
        <v>46362</v>
      </c>
      <c r="C5999" s="312">
        <v>19</v>
      </c>
      <c r="D5999" s="368">
        <f>IFERROR((INDEX(METADATA!$T$2:$T$20,MATCH(B5999,METADATA!$S$2:$S$20,0))),0)</f>
        <v>0</v>
      </c>
      <c r="E5999" s="312" t="str">
        <f t="shared" si="372"/>
        <v>LO</v>
      </c>
      <c r="F5999" s="369">
        <f>VLOOKUP(C5999,METADATA!$A$5:$H$29,IF(E5999="HI",2,IF(E5999="LO",6,10))+IF(D5999=1,2,IF(D5999=7,1,(IF(WEEKDAY(B5999)=1,2,IF(WEEKDAY(B5999)=7,1,0))))))</f>
        <v>2</v>
      </c>
      <c r="G5999" s="369">
        <f>VLOOKUP(C5999,METADATA!$J$5:$Q$29,IF(E5999="HI",2,IF(E5999="LO",6,10))+IF(D5999=1,2,IF(D5999=7,1,(IF(WEEKDAY(B5999)=1,2,IF(WEEKDAY(B5999)=7,1,0))))))</f>
        <v>2</v>
      </c>
      <c r="H5999" s="370">
        <v>13273.125183105469</v>
      </c>
      <c r="I5999" s="370">
        <v>4273.7650451660156</v>
      </c>
      <c r="M5999" s="371">
        <f t="shared" si="373"/>
        <v>13944.207391876795</v>
      </c>
      <c r="N5999" s="329">
        <f t="shared" si="374"/>
        <v>291.82749023437509</v>
      </c>
      <c r="T5999" s="331">
        <v>0</v>
      </c>
      <c r="U5999" s="328">
        <f>VLOOKUP(C5999,METADATA!$J$5:$Q$29,IF(E5999="HI",2,IF(E5999="LO",6,10))+IF(T5999=1,2,IF(D5999=7,1,(IF(WEEKDAY(B5999)=1,2,IF(WEEKDAY(B5999)=7,1,0))))))</f>
        <v>2</v>
      </c>
      <c r="V5999" s="328">
        <f>VLOOKUP(C5999,METADATA!$A$5:$H$29,IF(E5999="HI",2,IF(E5999="LO",6,10))+IF(T5999=1,2,IF(D5999=7,1,(IF(WEEKDAY(B5999)=1,2,IF(WEEKDAY(B5999)=7,1,0))))))</f>
        <v>2</v>
      </c>
    </row>
    <row r="6000" spans="2:22">
      <c r="B6000" s="318">
        <f t="shared" si="375"/>
        <v>46362</v>
      </c>
      <c r="C6000" s="312">
        <v>20</v>
      </c>
      <c r="D6000" s="368">
        <f>IFERROR((INDEX(METADATA!$T$2:$T$20,MATCH(B6000,METADATA!$S$2:$S$20,0))),0)</f>
        <v>0</v>
      </c>
      <c r="E6000" s="312" t="str">
        <f t="shared" si="372"/>
        <v>LO</v>
      </c>
      <c r="F6000" s="369">
        <f>VLOOKUP(C6000,METADATA!$A$5:$H$29,IF(E6000="HI",2,IF(E6000="LO",6,10))+IF(D6000=1,2,IF(D6000=7,1,(IF(WEEKDAY(B6000)=1,2,IF(WEEKDAY(B6000)=7,1,0))))))</f>
        <v>3</v>
      </c>
      <c r="G6000" s="369">
        <f>VLOOKUP(C6000,METADATA!$J$5:$Q$29,IF(E6000="HI",2,IF(E6000="LO",6,10))+IF(D6000=1,2,IF(D6000=7,1,(IF(WEEKDAY(B6000)=1,2,IF(WEEKDAY(B6000)=7,1,0))))))</f>
        <v>3</v>
      </c>
      <c r="H6000" s="370">
        <v>13378.499633789063</v>
      </c>
      <c r="I6000" s="370">
        <v>4277.614990234375</v>
      </c>
      <c r="M6000" s="371">
        <f t="shared" si="373"/>
        <v>14045.719720113024</v>
      </c>
      <c r="N6000" s="329">
        <f t="shared" si="374"/>
        <v>264.06510009765634</v>
      </c>
      <c r="T6000" s="331">
        <v>0</v>
      </c>
      <c r="U6000" s="328">
        <f>VLOOKUP(C6000,METADATA!$J$5:$Q$29,IF(E6000="HI",2,IF(E6000="LO",6,10))+IF(T6000=1,2,IF(D6000=7,1,(IF(WEEKDAY(B6000)=1,2,IF(WEEKDAY(B6000)=7,1,0))))))</f>
        <v>3</v>
      </c>
      <c r="V6000" s="328">
        <f>VLOOKUP(C6000,METADATA!$A$5:$H$29,IF(E6000="HI",2,IF(E6000="LO",6,10))+IF(T6000=1,2,IF(D6000=7,1,(IF(WEEKDAY(B6000)=1,2,IF(WEEKDAY(B6000)=7,1,0))))))</f>
        <v>3</v>
      </c>
    </row>
    <row r="6001" spans="2:22">
      <c r="B6001" s="318">
        <f t="shared" si="375"/>
        <v>46362</v>
      </c>
      <c r="C6001" s="312">
        <v>21</v>
      </c>
      <c r="D6001" s="368">
        <f>IFERROR((INDEX(METADATA!$T$2:$T$20,MATCH(B6001,METADATA!$S$2:$S$20,0))),0)</f>
        <v>0</v>
      </c>
      <c r="E6001" s="312" t="str">
        <f t="shared" si="372"/>
        <v>LO</v>
      </c>
      <c r="F6001" s="369">
        <f>VLOOKUP(C6001,METADATA!$A$5:$H$29,IF(E6001="HI",2,IF(E6001="LO",6,10))+IF(D6001=1,2,IF(D6001=7,1,(IF(WEEKDAY(B6001)=1,2,IF(WEEKDAY(B6001)=7,1,0))))))</f>
        <v>3</v>
      </c>
      <c r="G6001" s="369">
        <f>VLOOKUP(C6001,METADATA!$J$5:$Q$29,IF(E6001="HI",2,IF(E6001="LO",6,10))+IF(D6001=1,2,IF(D6001=7,1,(IF(WEEKDAY(B6001)=1,2,IF(WEEKDAY(B6001)=7,1,0))))))</f>
        <v>3</v>
      </c>
      <c r="H6001" s="370">
        <v>13266.524475097656</v>
      </c>
      <c r="I6001" s="370">
        <v>4252.0100402832031</v>
      </c>
      <c r="M6001" s="371">
        <f t="shared" si="373"/>
        <v>13931.269182347827</v>
      </c>
      <c r="N6001" s="329">
        <f t="shared" si="374"/>
        <v>272.05269775390661</v>
      </c>
      <c r="T6001" s="331">
        <v>0</v>
      </c>
      <c r="U6001" s="328">
        <f>VLOOKUP(C6001,METADATA!$J$5:$Q$29,IF(E6001="HI",2,IF(E6001="LO",6,10))+IF(T6001=1,2,IF(D6001=7,1,(IF(WEEKDAY(B6001)=1,2,IF(WEEKDAY(B6001)=7,1,0))))))</f>
        <v>3</v>
      </c>
      <c r="V6001" s="328">
        <f>VLOOKUP(C6001,METADATA!$A$5:$H$29,IF(E6001="HI",2,IF(E6001="LO",6,10))+IF(T6001=1,2,IF(D6001=7,1,(IF(WEEKDAY(B6001)=1,2,IF(WEEKDAY(B6001)=7,1,0))))))</f>
        <v>3</v>
      </c>
    </row>
    <row r="6002" spans="2:22">
      <c r="B6002" s="318">
        <f t="shared" si="375"/>
        <v>46362</v>
      </c>
      <c r="C6002" s="312">
        <v>22</v>
      </c>
      <c r="D6002" s="368">
        <f>IFERROR((INDEX(METADATA!$T$2:$T$20,MATCH(B6002,METADATA!$S$2:$S$20,0))),0)</f>
        <v>0</v>
      </c>
      <c r="E6002" s="312" t="str">
        <f t="shared" si="372"/>
        <v>LO</v>
      </c>
      <c r="F6002" s="369">
        <f>VLOOKUP(C6002,METADATA!$A$5:$H$29,IF(E6002="HI",2,IF(E6002="LO",6,10))+IF(D6002=1,2,IF(D6002=7,1,(IF(WEEKDAY(B6002)=1,2,IF(WEEKDAY(B6002)=7,1,0))))))</f>
        <v>3</v>
      </c>
      <c r="G6002" s="369">
        <f>VLOOKUP(C6002,METADATA!$J$5:$Q$29,IF(E6002="HI",2,IF(E6002="LO",6,10))+IF(D6002=1,2,IF(D6002=7,1,(IF(WEEKDAY(B6002)=1,2,IF(WEEKDAY(B6002)=7,1,0))))))</f>
        <v>3</v>
      </c>
      <c r="H6002" s="370">
        <v>13119.424987792969</v>
      </c>
      <c r="I6002" s="370">
        <v>4128.1650390625</v>
      </c>
      <c r="M6002" s="371">
        <f t="shared" si="373"/>
        <v>13753.58348213528</v>
      </c>
      <c r="N6002" s="329">
        <f t="shared" si="374"/>
        <v>192.33754272460965</v>
      </c>
      <c r="T6002" s="331">
        <v>0</v>
      </c>
      <c r="U6002" s="328">
        <f>VLOOKUP(C6002,METADATA!$J$5:$Q$29,IF(E6002="HI",2,IF(E6002="LO",6,10))+IF(T6002=1,2,IF(D6002=7,1,(IF(WEEKDAY(B6002)=1,2,IF(WEEKDAY(B6002)=7,1,0))))))</f>
        <v>3</v>
      </c>
      <c r="V6002" s="328">
        <f>VLOOKUP(C6002,METADATA!$A$5:$H$29,IF(E6002="HI",2,IF(E6002="LO",6,10))+IF(T6002=1,2,IF(D6002=7,1,(IF(WEEKDAY(B6002)=1,2,IF(WEEKDAY(B6002)=7,1,0))))))</f>
        <v>3</v>
      </c>
    </row>
    <row r="6003" spans="2:22">
      <c r="B6003" s="318">
        <f t="shared" si="375"/>
        <v>46362</v>
      </c>
      <c r="C6003" s="312">
        <v>23</v>
      </c>
      <c r="D6003" s="368">
        <f>IFERROR((INDEX(METADATA!$T$2:$T$20,MATCH(B6003,METADATA!$S$2:$S$20,0))),0)</f>
        <v>0</v>
      </c>
      <c r="E6003" s="312" t="str">
        <f t="shared" si="372"/>
        <v>LO</v>
      </c>
      <c r="F6003" s="369">
        <f>VLOOKUP(C6003,METADATA!$A$5:$H$29,IF(E6003="HI",2,IF(E6003="LO",6,10))+IF(D6003=1,2,IF(D6003=7,1,(IF(WEEKDAY(B6003)=1,2,IF(WEEKDAY(B6003)=7,1,0))))))</f>
        <v>3</v>
      </c>
      <c r="G6003" s="369">
        <f>VLOOKUP(C6003,METADATA!$J$5:$Q$29,IF(E6003="HI",2,IF(E6003="LO",6,10))+IF(D6003=1,2,IF(D6003=7,1,(IF(WEEKDAY(B6003)=1,2,IF(WEEKDAY(B6003)=7,1,0))))))</f>
        <v>3</v>
      </c>
      <c r="H6003" s="370">
        <v>13326.050170898438</v>
      </c>
      <c r="I6003" s="370">
        <v>4265.3700561523438</v>
      </c>
      <c r="M6003" s="371">
        <f t="shared" si="373"/>
        <v>13992.033264440994</v>
      </c>
      <c r="N6003" s="329">
        <f t="shared" si="374"/>
        <v>267.55500488281268</v>
      </c>
      <c r="T6003" s="331">
        <v>0</v>
      </c>
      <c r="U6003" s="328">
        <f>VLOOKUP(C6003,METADATA!$J$5:$Q$29,IF(E6003="HI",2,IF(E6003="LO",6,10))+IF(T6003=1,2,IF(D6003=7,1,(IF(WEEKDAY(B6003)=1,2,IF(WEEKDAY(B6003)=7,1,0))))))</f>
        <v>3</v>
      </c>
      <c r="V6003" s="328">
        <f>VLOOKUP(C6003,METADATA!$A$5:$H$29,IF(E6003="HI",2,IF(E6003="LO",6,10))+IF(T6003=1,2,IF(D6003=7,1,(IF(WEEKDAY(B6003)=1,2,IF(WEEKDAY(B6003)=7,1,0))))))</f>
        <v>3</v>
      </c>
    </row>
    <row r="6004" spans="2:22">
      <c r="B6004" s="318">
        <f t="shared" si="375"/>
        <v>46363</v>
      </c>
      <c r="C6004" s="312">
        <v>0</v>
      </c>
      <c r="D6004" s="368">
        <f>IFERROR((INDEX(METADATA!$T$2:$T$20,MATCH(B6004,METADATA!$S$2:$S$20,0))),0)</f>
        <v>0</v>
      </c>
      <c r="E6004" s="312" t="str">
        <f t="shared" si="372"/>
        <v>LO</v>
      </c>
      <c r="F6004" s="369">
        <f>VLOOKUP(C6004,METADATA!$A$5:$H$29,IF(E6004="HI",2,IF(E6004="LO",6,10))+IF(D6004=1,2,IF(D6004=7,1,(IF(WEEKDAY(B6004)=1,2,IF(WEEKDAY(B6004)=7,1,0))))))</f>
        <v>3</v>
      </c>
      <c r="G6004" s="369">
        <f>VLOOKUP(C6004,METADATA!$J$5:$Q$29,IF(E6004="HI",2,IF(E6004="LO",6,10))+IF(D6004=1,2,IF(D6004=7,1,(IF(WEEKDAY(B6004)=1,2,IF(WEEKDAY(B6004)=7,1,0))))))</f>
        <v>3</v>
      </c>
      <c r="H6004" s="370">
        <v>13329.974853515625</v>
      </c>
      <c r="I6004" s="370">
        <v>4316.9000854492188</v>
      </c>
      <c r="M6004" s="371">
        <f t="shared" si="373"/>
        <v>14011.561509807192</v>
      </c>
      <c r="N6004" s="329">
        <f t="shared" si="374"/>
        <v>317.90762939453134</v>
      </c>
      <c r="T6004" s="331">
        <v>0</v>
      </c>
      <c r="U6004" s="328">
        <f>VLOOKUP(C6004,METADATA!$J$5:$Q$29,IF(E6004="HI",2,IF(E6004="LO",6,10))+IF(T6004=1,2,IF(D6004=7,1,(IF(WEEKDAY(B6004)=1,2,IF(WEEKDAY(B6004)=7,1,0))))))</f>
        <v>3</v>
      </c>
      <c r="V6004" s="328">
        <f>VLOOKUP(C6004,METADATA!$A$5:$H$29,IF(E6004="HI",2,IF(E6004="LO",6,10))+IF(T6004=1,2,IF(D6004=7,1,(IF(WEEKDAY(B6004)=1,2,IF(WEEKDAY(B6004)=7,1,0))))))</f>
        <v>3</v>
      </c>
    </row>
    <row r="6005" spans="2:22">
      <c r="B6005" s="318">
        <f t="shared" si="375"/>
        <v>46363</v>
      </c>
      <c r="C6005" s="312">
        <v>1</v>
      </c>
      <c r="D6005" s="368">
        <f>IFERROR((INDEX(METADATA!$T$2:$T$20,MATCH(B6005,METADATA!$S$2:$S$20,0))),0)</f>
        <v>0</v>
      </c>
      <c r="E6005" s="312" t="str">
        <f t="shared" si="372"/>
        <v>LO</v>
      </c>
      <c r="F6005" s="369">
        <f>VLOOKUP(C6005,METADATA!$A$5:$H$29,IF(E6005="HI",2,IF(E6005="LO",6,10))+IF(D6005=1,2,IF(D6005=7,1,(IF(WEEKDAY(B6005)=1,2,IF(WEEKDAY(B6005)=7,1,0))))))</f>
        <v>3</v>
      </c>
      <c r="G6005" s="369">
        <f>VLOOKUP(C6005,METADATA!$J$5:$Q$29,IF(E6005="HI",2,IF(E6005="LO",6,10))+IF(D6005=1,2,IF(D6005=7,1,(IF(WEEKDAY(B6005)=1,2,IF(WEEKDAY(B6005)=7,1,0))))))</f>
        <v>3</v>
      </c>
      <c r="H6005" s="370">
        <v>13230.90771484375</v>
      </c>
      <c r="I6005" s="370">
        <v>4235.1075134277344</v>
      </c>
      <c r="M6005" s="371">
        <f t="shared" si="373"/>
        <v>13892.194017109174</v>
      </c>
      <c r="N6005" s="329">
        <f t="shared" si="374"/>
        <v>265.83519897460974</v>
      </c>
      <c r="T6005" s="331">
        <v>0</v>
      </c>
      <c r="U6005" s="328">
        <f>VLOOKUP(C6005,METADATA!$J$5:$Q$29,IF(E6005="HI",2,IF(E6005="LO",6,10))+IF(T6005=1,2,IF(D6005=7,1,(IF(WEEKDAY(B6005)=1,2,IF(WEEKDAY(B6005)=7,1,0))))))</f>
        <v>3</v>
      </c>
      <c r="V6005" s="328">
        <f>VLOOKUP(C6005,METADATA!$A$5:$H$29,IF(E6005="HI",2,IF(E6005="LO",6,10))+IF(T6005=1,2,IF(D6005=7,1,(IF(WEEKDAY(B6005)=1,2,IF(WEEKDAY(B6005)=7,1,0))))))</f>
        <v>3</v>
      </c>
    </row>
    <row r="6006" spans="2:22">
      <c r="B6006" s="318">
        <f t="shared" si="375"/>
        <v>46363</v>
      </c>
      <c r="C6006" s="312">
        <v>2</v>
      </c>
      <c r="D6006" s="368">
        <f>IFERROR((INDEX(METADATA!$T$2:$T$20,MATCH(B6006,METADATA!$S$2:$S$20,0))),0)</f>
        <v>0</v>
      </c>
      <c r="E6006" s="312" t="str">
        <f t="shared" si="372"/>
        <v>LO</v>
      </c>
      <c r="F6006" s="369">
        <f>VLOOKUP(C6006,METADATA!$A$5:$H$29,IF(E6006="HI",2,IF(E6006="LO",6,10))+IF(D6006=1,2,IF(D6006=7,1,(IF(WEEKDAY(B6006)=1,2,IF(WEEKDAY(B6006)=7,1,0))))))</f>
        <v>3</v>
      </c>
      <c r="G6006" s="369">
        <f>VLOOKUP(C6006,METADATA!$J$5:$Q$29,IF(E6006="HI",2,IF(E6006="LO",6,10))+IF(D6006=1,2,IF(D6006=7,1,(IF(WEEKDAY(B6006)=1,2,IF(WEEKDAY(B6006)=7,1,0))))))</f>
        <v>3</v>
      </c>
      <c r="H6006" s="370">
        <v>13277.149841308594</v>
      </c>
      <c r="I6006" s="370">
        <v>4281.4801330566406</v>
      </c>
      <c r="M6006" s="371">
        <f t="shared" si="373"/>
        <v>13950.404296590101</v>
      </c>
      <c r="N6006" s="329">
        <f t="shared" si="374"/>
        <v>298.33518066406259</v>
      </c>
      <c r="T6006" s="331">
        <v>0</v>
      </c>
      <c r="U6006" s="328">
        <f>VLOOKUP(C6006,METADATA!$J$5:$Q$29,IF(E6006="HI",2,IF(E6006="LO",6,10))+IF(T6006=1,2,IF(D6006=7,1,(IF(WEEKDAY(B6006)=1,2,IF(WEEKDAY(B6006)=7,1,0))))))</f>
        <v>3</v>
      </c>
      <c r="V6006" s="328">
        <f>VLOOKUP(C6006,METADATA!$A$5:$H$29,IF(E6006="HI",2,IF(E6006="LO",6,10))+IF(T6006=1,2,IF(D6006=7,1,(IF(WEEKDAY(B6006)=1,2,IF(WEEKDAY(B6006)=7,1,0))))))</f>
        <v>3</v>
      </c>
    </row>
    <row r="6007" spans="2:22">
      <c r="B6007" s="318">
        <f t="shared" si="375"/>
        <v>46363</v>
      </c>
      <c r="C6007" s="312">
        <v>3</v>
      </c>
      <c r="D6007" s="368">
        <f>IFERROR((INDEX(METADATA!$T$2:$T$20,MATCH(B6007,METADATA!$S$2:$S$20,0))),0)</f>
        <v>0</v>
      </c>
      <c r="E6007" s="312" t="str">
        <f t="shared" si="372"/>
        <v>LO</v>
      </c>
      <c r="F6007" s="369">
        <f>VLOOKUP(C6007,METADATA!$A$5:$H$29,IF(E6007="HI",2,IF(E6007="LO",6,10))+IF(D6007=1,2,IF(D6007=7,1,(IF(WEEKDAY(B6007)=1,2,IF(WEEKDAY(B6007)=7,1,0))))))</f>
        <v>3</v>
      </c>
      <c r="G6007" s="369">
        <f>VLOOKUP(C6007,METADATA!$J$5:$Q$29,IF(E6007="HI",2,IF(E6007="LO",6,10))+IF(D6007=1,2,IF(D6007=7,1,(IF(WEEKDAY(B6007)=1,2,IF(WEEKDAY(B6007)=7,1,0))))))</f>
        <v>3</v>
      </c>
      <c r="H6007" s="370">
        <v>12724.224792480469</v>
      </c>
      <c r="I6007" s="370">
        <v>4062.2550354003906</v>
      </c>
      <c r="M6007" s="371">
        <f t="shared" si="373"/>
        <v>13356.938741426138</v>
      </c>
      <c r="N6007" s="329">
        <f t="shared" si="374"/>
        <v>244.98759765625027</v>
      </c>
      <c r="T6007" s="331">
        <v>0</v>
      </c>
      <c r="U6007" s="328">
        <f>VLOOKUP(C6007,METADATA!$J$5:$Q$29,IF(E6007="HI",2,IF(E6007="LO",6,10))+IF(T6007=1,2,IF(D6007=7,1,(IF(WEEKDAY(B6007)=1,2,IF(WEEKDAY(B6007)=7,1,0))))))</f>
        <v>3</v>
      </c>
      <c r="V6007" s="328">
        <f>VLOOKUP(C6007,METADATA!$A$5:$H$29,IF(E6007="HI",2,IF(E6007="LO",6,10))+IF(T6007=1,2,IF(D6007=7,1,(IF(WEEKDAY(B6007)=1,2,IF(WEEKDAY(B6007)=7,1,0))))))</f>
        <v>3</v>
      </c>
    </row>
    <row r="6008" spans="2:22">
      <c r="B6008" s="318">
        <f t="shared" si="375"/>
        <v>46363</v>
      </c>
      <c r="C6008" s="312">
        <v>4</v>
      </c>
      <c r="D6008" s="368">
        <f>IFERROR((INDEX(METADATA!$T$2:$T$20,MATCH(B6008,METADATA!$S$2:$S$20,0))),0)</f>
        <v>0</v>
      </c>
      <c r="E6008" s="312" t="str">
        <f t="shared" si="372"/>
        <v>LO</v>
      </c>
      <c r="F6008" s="369">
        <f>VLOOKUP(C6008,METADATA!$A$5:$H$29,IF(E6008="HI",2,IF(E6008="LO",6,10))+IF(D6008=1,2,IF(D6008=7,1,(IF(WEEKDAY(B6008)=1,2,IF(WEEKDAY(B6008)=7,1,0))))))</f>
        <v>3</v>
      </c>
      <c r="G6008" s="369">
        <f>VLOOKUP(C6008,METADATA!$J$5:$Q$29,IF(E6008="HI",2,IF(E6008="LO",6,10))+IF(D6008=1,2,IF(D6008=7,1,(IF(WEEKDAY(B6008)=1,2,IF(WEEKDAY(B6008)=7,1,0))))))</f>
        <v>3</v>
      </c>
      <c r="H6008" s="370">
        <v>12007.986999511719</v>
      </c>
      <c r="I6008" s="370">
        <v>3718.4850463867188</v>
      </c>
      <c r="M6008" s="371">
        <f t="shared" si="373"/>
        <v>12570.556185811512</v>
      </c>
      <c r="N6008" s="329">
        <f t="shared" si="374"/>
        <v>116.0889465332034</v>
      </c>
      <c r="T6008" s="331">
        <v>0</v>
      </c>
      <c r="U6008" s="328">
        <f>VLOOKUP(C6008,METADATA!$J$5:$Q$29,IF(E6008="HI",2,IF(E6008="LO",6,10))+IF(T6008=1,2,IF(D6008=7,1,(IF(WEEKDAY(B6008)=1,2,IF(WEEKDAY(B6008)=7,1,0))))))</f>
        <v>3</v>
      </c>
      <c r="V6008" s="328">
        <f>VLOOKUP(C6008,METADATA!$A$5:$H$29,IF(E6008="HI",2,IF(E6008="LO",6,10))+IF(T6008=1,2,IF(D6008=7,1,(IF(WEEKDAY(B6008)=1,2,IF(WEEKDAY(B6008)=7,1,0))))))</f>
        <v>3</v>
      </c>
    </row>
    <row r="6009" spans="2:22">
      <c r="B6009" s="318">
        <f t="shared" si="375"/>
        <v>46363</v>
      </c>
      <c r="C6009" s="312">
        <v>5</v>
      </c>
      <c r="D6009" s="368">
        <f>IFERROR((INDEX(METADATA!$T$2:$T$20,MATCH(B6009,METADATA!$S$2:$S$20,0))),0)</f>
        <v>0</v>
      </c>
      <c r="E6009" s="312" t="str">
        <f t="shared" si="372"/>
        <v>LO</v>
      </c>
      <c r="F6009" s="369">
        <f>VLOOKUP(C6009,METADATA!$A$5:$H$29,IF(E6009="HI",2,IF(E6009="LO",6,10))+IF(D6009=1,2,IF(D6009=7,1,(IF(WEEKDAY(B6009)=1,2,IF(WEEKDAY(B6009)=7,1,0))))))</f>
        <v>3</v>
      </c>
      <c r="G6009" s="369">
        <f>VLOOKUP(C6009,METADATA!$J$5:$Q$29,IF(E6009="HI",2,IF(E6009="LO",6,10))+IF(D6009=1,2,IF(D6009=7,1,(IF(WEEKDAY(B6009)=1,2,IF(WEEKDAY(B6009)=7,1,0))))))</f>
        <v>3</v>
      </c>
      <c r="H6009" s="370">
        <v>13045.724731445313</v>
      </c>
      <c r="I6009" s="370">
        <v>4106.4849853515625</v>
      </c>
      <c r="M6009" s="371">
        <f t="shared" si="373"/>
        <v>13676.774206791661</v>
      </c>
      <c r="N6009" s="329">
        <f t="shared" si="374"/>
        <v>192.76756591796902</v>
      </c>
      <c r="T6009" s="331">
        <v>0</v>
      </c>
      <c r="U6009" s="328">
        <f>VLOOKUP(C6009,METADATA!$J$5:$Q$29,IF(E6009="HI",2,IF(E6009="LO",6,10))+IF(T6009=1,2,IF(D6009=7,1,(IF(WEEKDAY(B6009)=1,2,IF(WEEKDAY(B6009)=7,1,0))))))</f>
        <v>3</v>
      </c>
      <c r="V6009" s="328">
        <f>VLOOKUP(C6009,METADATA!$A$5:$H$29,IF(E6009="HI",2,IF(E6009="LO",6,10))+IF(T6009=1,2,IF(D6009=7,1,(IF(WEEKDAY(B6009)=1,2,IF(WEEKDAY(B6009)=7,1,0))))))</f>
        <v>3</v>
      </c>
    </row>
    <row r="6010" spans="2:22">
      <c r="B6010" s="318">
        <f t="shared" si="375"/>
        <v>46363</v>
      </c>
      <c r="C6010" s="312">
        <v>6</v>
      </c>
      <c r="D6010" s="368">
        <f>IFERROR((INDEX(METADATA!$T$2:$T$20,MATCH(B6010,METADATA!$S$2:$S$20,0))),0)</f>
        <v>0</v>
      </c>
      <c r="E6010" s="312" t="str">
        <f t="shared" si="372"/>
        <v>LO</v>
      </c>
      <c r="F6010" s="369">
        <f>VLOOKUP(C6010,METADATA!$A$5:$H$29,IF(E6010="HI",2,IF(E6010="LO",6,10))+IF(D6010=1,2,IF(D6010=7,1,(IF(WEEKDAY(B6010)=1,2,IF(WEEKDAY(B6010)=7,1,0))))))</f>
        <v>2</v>
      </c>
      <c r="G6010" s="369">
        <f>VLOOKUP(C6010,METADATA!$J$5:$Q$29,IF(E6010="HI",2,IF(E6010="LO",6,10))+IF(D6010=1,2,IF(D6010=7,1,(IF(WEEKDAY(B6010)=1,2,IF(WEEKDAY(B6010)=7,1,0))))))</f>
        <v>2</v>
      </c>
      <c r="H6010" s="370">
        <v>12892.19970703125</v>
      </c>
      <c r="I6010" s="370">
        <v>4014.1548461914063</v>
      </c>
      <c r="M6010" s="371">
        <f t="shared" si="373"/>
        <v>13502.675750205164</v>
      </c>
      <c r="N6010" s="329">
        <f t="shared" si="374"/>
        <v>146.49493408203125</v>
      </c>
      <c r="T6010" s="331">
        <v>0</v>
      </c>
      <c r="U6010" s="328">
        <f>VLOOKUP(C6010,METADATA!$J$5:$Q$29,IF(E6010="HI",2,IF(E6010="LO",6,10))+IF(T6010=1,2,IF(D6010=7,1,(IF(WEEKDAY(B6010)=1,2,IF(WEEKDAY(B6010)=7,1,0))))))</f>
        <v>2</v>
      </c>
      <c r="V6010" s="328">
        <f>VLOOKUP(C6010,METADATA!$A$5:$H$29,IF(E6010="HI",2,IF(E6010="LO",6,10))+IF(T6010=1,2,IF(D6010=7,1,(IF(WEEKDAY(B6010)=1,2,IF(WEEKDAY(B6010)=7,1,0))))))</f>
        <v>2</v>
      </c>
    </row>
    <row r="6011" spans="2:22">
      <c r="B6011" s="318">
        <f t="shared" si="375"/>
        <v>46363</v>
      </c>
      <c r="C6011" s="312">
        <v>7</v>
      </c>
      <c r="D6011" s="368">
        <f>IFERROR((INDEX(METADATA!$T$2:$T$20,MATCH(B6011,METADATA!$S$2:$S$20,0))),0)</f>
        <v>0</v>
      </c>
      <c r="E6011" s="312" t="str">
        <f t="shared" si="372"/>
        <v>LO</v>
      </c>
      <c r="F6011" s="369">
        <f>VLOOKUP(C6011,METADATA!$A$5:$H$29,IF(E6011="HI",2,IF(E6011="LO",6,10))+IF(D6011=1,2,IF(D6011=7,1,(IF(WEEKDAY(B6011)=1,2,IF(WEEKDAY(B6011)=7,1,0))))))</f>
        <v>1</v>
      </c>
      <c r="G6011" s="369">
        <f>VLOOKUP(C6011,METADATA!$J$5:$Q$29,IF(E6011="HI",2,IF(E6011="LO",6,10))+IF(D6011=1,2,IF(D6011=7,1,(IF(WEEKDAY(B6011)=1,2,IF(WEEKDAY(B6011)=7,1,0))))))</f>
        <v>1</v>
      </c>
      <c r="H6011" s="370">
        <v>13015.049987792969</v>
      </c>
      <c r="I6011" s="370">
        <v>4019.0000610351563</v>
      </c>
      <c r="M6011" s="371">
        <f t="shared" si="373"/>
        <v>13621.449543838949</v>
      </c>
      <c r="N6011" s="329">
        <f t="shared" si="374"/>
        <v>114.4850646972659</v>
      </c>
      <c r="T6011" s="331">
        <v>0</v>
      </c>
      <c r="U6011" s="328">
        <f>VLOOKUP(C6011,METADATA!$J$5:$Q$29,IF(E6011="HI",2,IF(E6011="LO",6,10))+IF(T6011=1,2,IF(D6011=7,1,(IF(WEEKDAY(B6011)=1,2,IF(WEEKDAY(B6011)=7,1,0))))))</f>
        <v>1</v>
      </c>
      <c r="V6011" s="328">
        <f>VLOOKUP(C6011,METADATA!$A$5:$H$29,IF(E6011="HI",2,IF(E6011="LO",6,10))+IF(T6011=1,2,IF(D6011=7,1,(IF(WEEKDAY(B6011)=1,2,IF(WEEKDAY(B6011)=7,1,0))))))</f>
        <v>1</v>
      </c>
    </row>
    <row r="6012" spans="2:22">
      <c r="B6012" s="318">
        <f t="shared" si="375"/>
        <v>46363</v>
      </c>
      <c r="C6012" s="312">
        <v>8</v>
      </c>
      <c r="D6012" s="368">
        <f>IFERROR((INDEX(METADATA!$T$2:$T$20,MATCH(B6012,METADATA!$S$2:$S$20,0))),0)</f>
        <v>0</v>
      </c>
      <c r="E6012" s="312" t="str">
        <f t="shared" si="372"/>
        <v>LO</v>
      </c>
      <c r="F6012" s="369">
        <f>VLOOKUP(C6012,METADATA!$A$5:$H$29,IF(E6012="HI",2,IF(E6012="LO",6,10))+IF(D6012=1,2,IF(D6012=7,1,(IF(WEEKDAY(B6012)=1,2,IF(WEEKDAY(B6012)=7,1,0))))))</f>
        <v>1</v>
      </c>
      <c r="G6012" s="369">
        <f>VLOOKUP(C6012,METADATA!$J$5:$Q$29,IF(E6012="HI",2,IF(E6012="LO",6,10))+IF(D6012=1,2,IF(D6012=7,1,(IF(WEEKDAY(B6012)=1,2,IF(WEEKDAY(B6012)=7,1,0))))))</f>
        <v>1</v>
      </c>
      <c r="H6012" s="370">
        <v>13210.375061035156</v>
      </c>
      <c r="I6012" s="370">
        <v>4110.719970703125</v>
      </c>
      <c r="M6012" s="371">
        <f t="shared" si="373"/>
        <v>13835.173577904872</v>
      </c>
      <c r="N6012" s="329">
        <f t="shared" si="374"/>
        <v>147.60745239257813</v>
      </c>
      <c r="T6012" s="331">
        <v>0</v>
      </c>
      <c r="U6012" s="328">
        <f>VLOOKUP(C6012,METADATA!$J$5:$Q$29,IF(E6012="HI",2,IF(E6012="LO",6,10))+IF(T6012=1,2,IF(D6012=7,1,(IF(WEEKDAY(B6012)=1,2,IF(WEEKDAY(B6012)=7,1,0))))))</f>
        <v>1</v>
      </c>
      <c r="V6012" s="328">
        <f>VLOOKUP(C6012,METADATA!$A$5:$H$29,IF(E6012="HI",2,IF(E6012="LO",6,10))+IF(T6012=1,2,IF(D6012=7,1,(IF(WEEKDAY(B6012)=1,2,IF(WEEKDAY(B6012)=7,1,0))))))</f>
        <v>1</v>
      </c>
    </row>
    <row r="6013" spans="2:22">
      <c r="B6013" s="318">
        <f t="shared" si="375"/>
        <v>46363</v>
      </c>
      <c r="C6013" s="312">
        <v>9</v>
      </c>
      <c r="D6013" s="368">
        <f>IFERROR((INDEX(METADATA!$T$2:$T$20,MATCH(B6013,METADATA!$S$2:$S$20,0))),0)</f>
        <v>0</v>
      </c>
      <c r="E6013" s="312" t="str">
        <f t="shared" si="372"/>
        <v>LO</v>
      </c>
      <c r="F6013" s="369">
        <f>VLOOKUP(C6013,METADATA!$A$5:$H$29,IF(E6013="HI",2,IF(E6013="LO",6,10))+IF(D6013=1,2,IF(D6013=7,1,(IF(WEEKDAY(B6013)=1,2,IF(WEEKDAY(B6013)=7,1,0))))))</f>
        <v>2</v>
      </c>
      <c r="G6013" s="369">
        <f>VLOOKUP(C6013,METADATA!$J$5:$Q$29,IF(E6013="HI",2,IF(E6013="LO",6,10))+IF(D6013=1,2,IF(D6013=7,1,(IF(WEEKDAY(B6013)=1,2,IF(WEEKDAY(B6013)=7,1,0))))))</f>
        <v>2</v>
      </c>
      <c r="H6013" s="370">
        <v>12537.92529296875</v>
      </c>
      <c r="I6013" s="370">
        <v>3653.7575073242188</v>
      </c>
      <c r="M6013" s="371">
        <f t="shared" si="373"/>
        <v>13059.460730611872</v>
      </c>
      <c r="N6013" s="329">
        <f t="shared" si="374"/>
        <v>0</v>
      </c>
      <c r="T6013" s="331">
        <v>0</v>
      </c>
      <c r="U6013" s="328">
        <f>VLOOKUP(C6013,METADATA!$J$5:$Q$29,IF(E6013="HI",2,IF(E6013="LO",6,10))+IF(T6013=1,2,IF(D6013=7,1,(IF(WEEKDAY(B6013)=1,2,IF(WEEKDAY(B6013)=7,1,0))))))</f>
        <v>2</v>
      </c>
      <c r="V6013" s="328">
        <f>VLOOKUP(C6013,METADATA!$A$5:$H$29,IF(E6013="HI",2,IF(E6013="LO",6,10))+IF(T6013=1,2,IF(D6013=7,1,(IF(WEEKDAY(B6013)=1,2,IF(WEEKDAY(B6013)=7,1,0))))))</f>
        <v>2</v>
      </c>
    </row>
    <row r="6014" spans="2:22">
      <c r="B6014" s="318">
        <f t="shared" si="375"/>
        <v>46363</v>
      </c>
      <c r="C6014" s="312">
        <v>10</v>
      </c>
      <c r="D6014" s="368">
        <f>IFERROR((INDEX(METADATA!$T$2:$T$20,MATCH(B6014,METADATA!$S$2:$S$20,0))),0)</f>
        <v>0</v>
      </c>
      <c r="E6014" s="312" t="str">
        <f t="shared" si="372"/>
        <v>LO</v>
      </c>
      <c r="F6014" s="369">
        <f>VLOOKUP(C6014,METADATA!$A$5:$H$29,IF(E6014="HI",2,IF(E6014="LO",6,10))+IF(D6014=1,2,IF(D6014=7,1,(IF(WEEKDAY(B6014)=1,2,IF(WEEKDAY(B6014)=7,1,0))))))</f>
        <v>2</v>
      </c>
      <c r="G6014" s="369">
        <f>VLOOKUP(C6014,METADATA!$J$5:$Q$29,IF(E6014="HI",2,IF(E6014="LO",6,10))+IF(D6014=1,2,IF(D6014=7,1,(IF(WEEKDAY(B6014)=1,2,IF(WEEKDAY(B6014)=7,1,0))))))</f>
        <v>2</v>
      </c>
      <c r="H6014" s="370">
        <v>12928.875061035156</v>
      </c>
      <c r="I6014" s="370">
        <v>4036.5050048828125</v>
      </c>
      <c r="M6014" s="371">
        <f t="shared" si="373"/>
        <v>13544.341364507201</v>
      </c>
      <c r="N6014" s="329">
        <f t="shared" si="374"/>
        <v>157.8424865722659</v>
      </c>
      <c r="T6014" s="331">
        <v>0</v>
      </c>
      <c r="U6014" s="328">
        <f>VLOOKUP(C6014,METADATA!$J$5:$Q$29,IF(E6014="HI",2,IF(E6014="LO",6,10))+IF(T6014=1,2,IF(D6014=7,1,(IF(WEEKDAY(B6014)=1,2,IF(WEEKDAY(B6014)=7,1,0))))))</f>
        <v>2</v>
      </c>
      <c r="V6014" s="328">
        <f>VLOOKUP(C6014,METADATA!$A$5:$H$29,IF(E6014="HI",2,IF(E6014="LO",6,10))+IF(T6014=1,2,IF(D6014=7,1,(IF(WEEKDAY(B6014)=1,2,IF(WEEKDAY(B6014)=7,1,0))))))</f>
        <v>2</v>
      </c>
    </row>
    <row r="6015" spans="2:22">
      <c r="B6015" s="318">
        <f t="shared" si="375"/>
        <v>46363</v>
      </c>
      <c r="C6015" s="312">
        <v>11</v>
      </c>
      <c r="D6015" s="368">
        <f>IFERROR((INDEX(METADATA!$T$2:$T$20,MATCH(B6015,METADATA!$S$2:$S$20,0))),0)</f>
        <v>0</v>
      </c>
      <c r="E6015" s="312" t="str">
        <f t="shared" si="372"/>
        <v>LO</v>
      </c>
      <c r="F6015" s="369">
        <f>VLOOKUP(C6015,METADATA!$A$5:$H$29,IF(E6015="HI",2,IF(E6015="LO",6,10))+IF(D6015=1,2,IF(D6015=7,1,(IF(WEEKDAY(B6015)=1,2,IF(WEEKDAY(B6015)=7,1,0))))))</f>
        <v>2</v>
      </c>
      <c r="G6015" s="369">
        <f>VLOOKUP(C6015,METADATA!$J$5:$Q$29,IF(E6015="HI",2,IF(E6015="LO",6,10))+IF(D6015=1,2,IF(D6015=7,1,(IF(WEEKDAY(B6015)=1,2,IF(WEEKDAY(B6015)=7,1,0))))))</f>
        <v>2</v>
      </c>
      <c r="H6015" s="370">
        <v>13295.074768066406</v>
      </c>
      <c r="I6015" s="370">
        <v>4234.9549255371094</v>
      </c>
      <c r="M6015" s="371">
        <f t="shared" si="373"/>
        <v>13953.274035501741</v>
      </c>
      <c r="N6015" s="329">
        <f t="shared" si="374"/>
        <v>246.4324951171875</v>
      </c>
      <c r="T6015" s="331">
        <v>0</v>
      </c>
      <c r="U6015" s="328">
        <f>VLOOKUP(C6015,METADATA!$J$5:$Q$29,IF(E6015="HI",2,IF(E6015="LO",6,10))+IF(T6015=1,2,IF(D6015=7,1,(IF(WEEKDAY(B6015)=1,2,IF(WEEKDAY(B6015)=7,1,0))))))</f>
        <v>2</v>
      </c>
      <c r="V6015" s="328">
        <f>VLOOKUP(C6015,METADATA!$A$5:$H$29,IF(E6015="HI",2,IF(E6015="LO",6,10))+IF(T6015=1,2,IF(D6015=7,1,(IF(WEEKDAY(B6015)=1,2,IF(WEEKDAY(B6015)=7,1,0))))))</f>
        <v>2</v>
      </c>
    </row>
    <row r="6016" spans="2:22">
      <c r="B6016" s="318">
        <f t="shared" si="375"/>
        <v>46363</v>
      </c>
      <c r="C6016" s="312">
        <v>12</v>
      </c>
      <c r="D6016" s="368">
        <f>IFERROR((INDEX(METADATA!$T$2:$T$20,MATCH(B6016,METADATA!$S$2:$S$20,0))),0)</f>
        <v>0</v>
      </c>
      <c r="E6016" s="312" t="str">
        <f t="shared" si="372"/>
        <v>LO</v>
      </c>
      <c r="F6016" s="369">
        <f>VLOOKUP(C6016,METADATA!$A$5:$H$29,IF(E6016="HI",2,IF(E6016="LO",6,10))+IF(D6016=1,2,IF(D6016=7,1,(IF(WEEKDAY(B6016)=1,2,IF(WEEKDAY(B6016)=7,1,0))))))</f>
        <v>2</v>
      </c>
      <c r="G6016" s="369">
        <f>VLOOKUP(C6016,METADATA!$J$5:$Q$29,IF(E6016="HI",2,IF(E6016="LO",6,10))+IF(D6016=1,2,IF(D6016=7,1,(IF(WEEKDAY(B6016)=1,2,IF(WEEKDAY(B6016)=7,1,0))))))</f>
        <v>2</v>
      </c>
      <c r="H6016" s="370">
        <v>13144.10009765625</v>
      </c>
      <c r="I6016" s="370">
        <v>4240.5050659179688</v>
      </c>
      <c r="M6016" s="371">
        <f t="shared" si="373"/>
        <v>13811.200186489334</v>
      </c>
      <c r="N6016" s="329">
        <f t="shared" si="374"/>
        <v>297.27503662109393</v>
      </c>
      <c r="T6016" s="331">
        <v>0</v>
      </c>
      <c r="U6016" s="328">
        <f>VLOOKUP(C6016,METADATA!$J$5:$Q$29,IF(E6016="HI",2,IF(E6016="LO",6,10))+IF(T6016=1,2,IF(D6016=7,1,(IF(WEEKDAY(B6016)=1,2,IF(WEEKDAY(B6016)=7,1,0))))))</f>
        <v>2</v>
      </c>
      <c r="V6016" s="328">
        <f>VLOOKUP(C6016,METADATA!$A$5:$H$29,IF(E6016="HI",2,IF(E6016="LO",6,10))+IF(T6016=1,2,IF(D6016=7,1,(IF(WEEKDAY(B6016)=1,2,IF(WEEKDAY(B6016)=7,1,0))))))</f>
        <v>2</v>
      </c>
    </row>
    <row r="6017" spans="2:22">
      <c r="B6017" s="318">
        <f t="shared" si="375"/>
        <v>46363</v>
      </c>
      <c r="C6017" s="312">
        <v>13</v>
      </c>
      <c r="D6017" s="368">
        <f>IFERROR((INDEX(METADATA!$T$2:$T$20,MATCH(B6017,METADATA!$S$2:$S$20,0))),0)</f>
        <v>0</v>
      </c>
      <c r="E6017" s="312" t="str">
        <f t="shared" si="372"/>
        <v>LO</v>
      </c>
      <c r="F6017" s="369">
        <f>VLOOKUP(C6017,METADATA!$A$5:$H$29,IF(E6017="HI",2,IF(E6017="LO",6,10))+IF(D6017=1,2,IF(D6017=7,1,(IF(WEEKDAY(B6017)=1,2,IF(WEEKDAY(B6017)=7,1,0))))))</f>
        <v>2</v>
      </c>
      <c r="G6017" s="369">
        <f>VLOOKUP(C6017,METADATA!$J$5:$Q$29,IF(E6017="HI",2,IF(E6017="LO",6,10))+IF(D6017=1,2,IF(D6017=7,1,(IF(WEEKDAY(B6017)=1,2,IF(WEEKDAY(B6017)=7,1,0))))))</f>
        <v>2</v>
      </c>
      <c r="H6017" s="370">
        <v>13258.399536132813</v>
      </c>
      <c r="I6017" s="370">
        <v>4252.7850036621094</v>
      </c>
      <c r="M6017" s="371">
        <f t="shared" si="373"/>
        <v>13923.768834159095</v>
      </c>
      <c r="N6017" s="329">
        <f t="shared" si="374"/>
        <v>275.26514282226572</v>
      </c>
      <c r="T6017" s="331">
        <v>0</v>
      </c>
      <c r="U6017" s="328">
        <f>VLOOKUP(C6017,METADATA!$J$5:$Q$29,IF(E6017="HI",2,IF(E6017="LO",6,10))+IF(T6017=1,2,IF(D6017=7,1,(IF(WEEKDAY(B6017)=1,2,IF(WEEKDAY(B6017)=7,1,0))))))</f>
        <v>2</v>
      </c>
      <c r="V6017" s="328">
        <f>VLOOKUP(C6017,METADATA!$A$5:$H$29,IF(E6017="HI",2,IF(E6017="LO",6,10))+IF(T6017=1,2,IF(D6017=7,1,(IF(WEEKDAY(B6017)=1,2,IF(WEEKDAY(B6017)=7,1,0))))))</f>
        <v>2</v>
      </c>
    </row>
    <row r="6018" spans="2:22">
      <c r="B6018" s="318">
        <f t="shared" si="375"/>
        <v>46363</v>
      </c>
      <c r="C6018" s="312">
        <v>14</v>
      </c>
      <c r="D6018" s="368">
        <f>IFERROR((INDEX(METADATA!$T$2:$T$20,MATCH(B6018,METADATA!$S$2:$S$20,0))),0)</f>
        <v>0</v>
      </c>
      <c r="E6018" s="312" t="str">
        <f t="shared" si="372"/>
        <v>LO</v>
      </c>
      <c r="F6018" s="369">
        <f>VLOOKUP(C6018,METADATA!$A$5:$H$29,IF(E6018="HI",2,IF(E6018="LO",6,10))+IF(D6018=1,2,IF(D6018=7,1,(IF(WEEKDAY(B6018)=1,2,IF(WEEKDAY(B6018)=7,1,0))))))</f>
        <v>2</v>
      </c>
      <c r="G6018" s="369">
        <f>VLOOKUP(C6018,METADATA!$J$5:$Q$29,IF(E6018="HI",2,IF(E6018="LO",6,10))+IF(D6018=1,2,IF(D6018=7,1,(IF(WEEKDAY(B6018)=1,2,IF(WEEKDAY(B6018)=7,1,0))))))</f>
        <v>2</v>
      </c>
      <c r="H6018" s="370">
        <v>13349.849853515625</v>
      </c>
      <c r="I6018" s="370">
        <v>4258.2649841308594</v>
      </c>
      <c r="M6018" s="371">
        <f t="shared" si="373"/>
        <v>14012.541232284962</v>
      </c>
      <c r="N6018" s="329">
        <f t="shared" si="374"/>
        <v>253.31002807617188</v>
      </c>
      <c r="T6018" s="331">
        <v>0</v>
      </c>
      <c r="U6018" s="328">
        <f>VLOOKUP(C6018,METADATA!$J$5:$Q$29,IF(E6018="HI",2,IF(E6018="LO",6,10))+IF(T6018=1,2,IF(D6018=7,1,(IF(WEEKDAY(B6018)=1,2,IF(WEEKDAY(B6018)=7,1,0))))))</f>
        <v>2</v>
      </c>
      <c r="V6018" s="328">
        <f>VLOOKUP(C6018,METADATA!$A$5:$H$29,IF(E6018="HI",2,IF(E6018="LO",6,10))+IF(T6018=1,2,IF(D6018=7,1,(IF(WEEKDAY(B6018)=1,2,IF(WEEKDAY(B6018)=7,1,0))))))</f>
        <v>2</v>
      </c>
    </row>
    <row r="6019" spans="2:22">
      <c r="B6019" s="318">
        <f t="shared" si="375"/>
        <v>46363</v>
      </c>
      <c r="C6019" s="312">
        <v>15</v>
      </c>
      <c r="D6019" s="368">
        <f>IFERROR((INDEX(METADATA!$T$2:$T$20,MATCH(B6019,METADATA!$S$2:$S$20,0))),0)</f>
        <v>0</v>
      </c>
      <c r="E6019" s="312" t="str">
        <f t="shared" si="372"/>
        <v>LO</v>
      </c>
      <c r="F6019" s="369">
        <f>VLOOKUP(C6019,METADATA!$A$5:$H$29,IF(E6019="HI",2,IF(E6019="LO",6,10))+IF(D6019=1,2,IF(D6019=7,1,(IF(WEEKDAY(B6019)=1,2,IF(WEEKDAY(B6019)=7,1,0))))))</f>
        <v>2</v>
      </c>
      <c r="G6019" s="369">
        <f>VLOOKUP(C6019,METADATA!$J$5:$Q$29,IF(E6019="HI",2,IF(E6019="LO",6,10))+IF(D6019=1,2,IF(D6019=7,1,(IF(WEEKDAY(B6019)=1,2,IF(WEEKDAY(B6019)=7,1,0))))))</f>
        <v>2</v>
      </c>
      <c r="H6019" s="370">
        <v>13392.600219726563</v>
      </c>
      <c r="I6019" s="370">
        <v>4263.4849243164063</v>
      </c>
      <c r="M6019" s="371">
        <f t="shared" si="373"/>
        <v>14054.858389371742</v>
      </c>
      <c r="N6019" s="329">
        <f t="shared" si="374"/>
        <v>245.70485839843786</v>
      </c>
      <c r="T6019" s="331">
        <v>0</v>
      </c>
      <c r="U6019" s="328">
        <f>VLOOKUP(C6019,METADATA!$J$5:$Q$29,IF(E6019="HI",2,IF(E6019="LO",6,10))+IF(T6019=1,2,IF(D6019=7,1,(IF(WEEKDAY(B6019)=1,2,IF(WEEKDAY(B6019)=7,1,0))))))</f>
        <v>2</v>
      </c>
      <c r="V6019" s="328">
        <f>VLOOKUP(C6019,METADATA!$A$5:$H$29,IF(E6019="HI",2,IF(E6019="LO",6,10))+IF(T6019=1,2,IF(D6019=7,1,(IF(WEEKDAY(B6019)=1,2,IF(WEEKDAY(B6019)=7,1,0))))))</f>
        <v>2</v>
      </c>
    </row>
    <row r="6020" spans="2:22">
      <c r="B6020" s="318">
        <f t="shared" si="375"/>
        <v>46363</v>
      </c>
      <c r="C6020" s="312">
        <v>16</v>
      </c>
      <c r="D6020" s="368">
        <f>IFERROR((INDEX(METADATA!$T$2:$T$20,MATCH(B6020,METADATA!$S$2:$S$20,0))),0)</f>
        <v>0</v>
      </c>
      <c r="E6020" s="312" t="str">
        <f t="shared" ref="E6020:E6083" si="376">IF(B6020="","",IF(AND(MONTH(B6020)&gt;=MONTH($Z$9),MONTH(B6020)&lt;=MONTH($Z$11)),"HI","LO"))</f>
        <v>LO</v>
      </c>
      <c r="F6020" s="369">
        <f>VLOOKUP(C6020,METADATA!$A$5:$H$29,IF(E6020="HI",2,IF(E6020="LO",6,10))+IF(D6020=1,2,IF(D6020=7,1,(IF(WEEKDAY(B6020)=1,2,IF(WEEKDAY(B6020)=7,1,0))))))</f>
        <v>2</v>
      </c>
      <c r="G6020" s="369">
        <f>VLOOKUP(C6020,METADATA!$J$5:$Q$29,IF(E6020="HI",2,IF(E6020="LO",6,10))+IF(D6020=1,2,IF(D6020=7,1,(IF(WEEKDAY(B6020)=1,2,IF(WEEKDAY(B6020)=7,1,0))))))</f>
        <v>2</v>
      </c>
      <c r="H6020" s="370">
        <v>13244.749877929688</v>
      </c>
      <c r="I6020" s="370">
        <v>4235.2249450683594</v>
      </c>
      <c r="M6020" s="371">
        <f t="shared" ref="M6020:M6083" si="377">SQRT(H6020^2+I6020^2)</f>
        <v>13905.41368188116</v>
      </c>
      <c r="N6020" s="329">
        <f t="shared" ref="N6020:N6083" si="378">IF(H6020=0,0,(IF(I6020-(0.3*H6020)&lt;0,0,(I6020-(0.3*H6020)))))</f>
        <v>261.79998168945349</v>
      </c>
      <c r="T6020" s="331">
        <v>0</v>
      </c>
      <c r="U6020" s="328">
        <f>VLOOKUP(C6020,METADATA!$J$5:$Q$29,IF(E6020="HI",2,IF(E6020="LO",6,10))+IF(T6020=1,2,IF(D6020=7,1,(IF(WEEKDAY(B6020)=1,2,IF(WEEKDAY(B6020)=7,1,0))))))</f>
        <v>2</v>
      </c>
      <c r="V6020" s="328">
        <f>VLOOKUP(C6020,METADATA!$A$5:$H$29,IF(E6020="HI",2,IF(E6020="LO",6,10))+IF(T6020=1,2,IF(D6020=7,1,(IF(WEEKDAY(B6020)=1,2,IF(WEEKDAY(B6020)=7,1,0))))))</f>
        <v>2</v>
      </c>
    </row>
    <row r="6021" spans="2:22">
      <c r="B6021" s="318">
        <f t="shared" si="375"/>
        <v>46363</v>
      </c>
      <c r="C6021" s="312">
        <v>17</v>
      </c>
      <c r="D6021" s="368">
        <f>IFERROR((INDEX(METADATA!$T$2:$T$20,MATCH(B6021,METADATA!$S$2:$S$20,0))),0)</f>
        <v>0</v>
      </c>
      <c r="E6021" s="312" t="str">
        <f t="shared" si="376"/>
        <v>LO</v>
      </c>
      <c r="F6021" s="369">
        <f>VLOOKUP(C6021,METADATA!$A$5:$H$29,IF(E6021="HI",2,IF(E6021="LO",6,10))+IF(D6021=1,2,IF(D6021=7,1,(IF(WEEKDAY(B6021)=1,2,IF(WEEKDAY(B6021)=7,1,0))))))</f>
        <v>2</v>
      </c>
      <c r="G6021" s="369">
        <f>VLOOKUP(C6021,METADATA!$J$5:$Q$29,IF(E6021="HI",2,IF(E6021="LO",6,10))+IF(D6021=1,2,IF(D6021=7,1,(IF(WEEKDAY(B6021)=1,2,IF(WEEKDAY(B6021)=7,1,0))))))</f>
        <v>2</v>
      </c>
      <c r="H6021" s="370">
        <v>13182.275207519531</v>
      </c>
      <c r="I6021" s="370">
        <v>4232.1499938964844</v>
      </c>
      <c r="M6021" s="371">
        <f t="shared" si="377"/>
        <v>13844.980072850307</v>
      </c>
      <c r="N6021" s="329">
        <f t="shared" si="378"/>
        <v>277.46743164062536</v>
      </c>
      <c r="T6021" s="331">
        <v>0</v>
      </c>
      <c r="U6021" s="328">
        <f>VLOOKUP(C6021,METADATA!$J$5:$Q$29,IF(E6021="HI",2,IF(E6021="LO",6,10))+IF(T6021=1,2,IF(D6021=7,1,(IF(WEEKDAY(B6021)=1,2,IF(WEEKDAY(B6021)=7,1,0))))))</f>
        <v>2</v>
      </c>
      <c r="V6021" s="328">
        <f>VLOOKUP(C6021,METADATA!$A$5:$H$29,IF(E6021="HI",2,IF(E6021="LO",6,10))+IF(T6021=1,2,IF(D6021=7,1,(IF(WEEKDAY(B6021)=1,2,IF(WEEKDAY(B6021)=7,1,0))))))</f>
        <v>2</v>
      </c>
    </row>
    <row r="6022" spans="2:22">
      <c r="B6022" s="318">
        <f t="shared" si="375"/>
        <v>46363</v>
      </c>
      <c r="C6022" s="312">
        <v>18</v>
      </c>
      <c r="D6022" s="368">
        <f>IFERROR((INDEX(METADATA!$T$2:$T$20,MATCH(B6022,METADATA!$S$2:$S$20,0))),0)</f>
        <v>0</v>
      </c>
      <c r="E6022" s="312" t="str">
        <f t="shared" si="376"/>
        <v>LO</v>
      </c>
      <c r="F6022" s="369">
        <f>VLOOKUP(C6022,METADATA!$A$5:$H$29,IF(E6022="HI",2,IF(E6022="LO",6,10))+IF(D6022=1,2,IF(D6022=7,1,(IF(WEEKDAY(B6022)=1,2,IF(WEEKDAY(B6022)=7,1,0))))))</f>
        <v>1</v>
      </c>
      <c r="G6022" s="369">
        <f>VLOOKUP(C6022,METADATA!$J$5:$Q$29,IF(E6022="HI",2,IF(E6022="LO",6,10))+IF(D6022=1,2,IF(D6022=7,1,(IF(WEEKDAY(B6022)=1,2,IF(WEEKDAY(B6022)=7,1,0))))))</f>
        <v>1</v>
      </c>
      <c r="H6022" s="370">
        <v>13195.724853515625</v>
      </c>
      <c r="I6022" s="370">
        <v>4054.9849548339844</v>
      </c>
      <c r="M6022" s="371">
        <f t="shared" si="377"/>
        <v>13804.711420150003</v>
      </c>
      <c r="N6022" s="329">
        <f t="shared" si="378"/>
        <v>96.267498779297057</v>
      </c>
      <c r="T6022" s="331">
        <v>0</v>
      </c>
      <c r="U6022" s="328">
        <f>VLOOKUP(C6022,METADATA!$J$5:$Q$29,IF(E6022="HI",2,IF(E6022="LO",6,10))+IF(T6022=1,2,IF(D6022=7,1,(IF(WEEKDAY(B6022)=1,2,IF(WEEKDAY(B6022)=7,1,0))))))</f>
        <v>1</v>
      </c>
      <c r="V6022" s="328">
        <f>VLOOKUP(C6022,METADATA!$A$5:$H$29,IF(E6022="HI",2,IF(E6022="LO",6,10))+IF(T6022=1,2,IF(D6022=7,1,(IF(WEEKDAY(B6022)=1,2,IF(WEEKDAY(B6022)=7,1,0))))))</f>
        <v>1</v>
      </c>
    </row>
    <row r="6023" spans="2:22">
      <c r="B6023" s="318">
        <f t="shared" si="375"/>
        <v>46363</v>
      </c>
      <c r="C6023" s="312">
        <v>19</v>
      </c>
      <c r="D6023" s="368">
        <f>IFERROR((INDEX(METADATA!$T$2:$T$20,MATCH(B6023,METADATA!$S$2:$S$20,0))),0)</f>
        <v>0</v>
      </c>
      <c r="E6023" s="312" t="str">
        <f t="shared" si="376"/>
        <v>LO</v>
      </c>
      <c r="F6023" s="369">
        <f>VLOOKUP(C6023,METADATA!$A$5:$H$29,IF(E6023="HI",2,IF(E6023="LO",6,10))+IF(D6023=1,2,IF(D6023=7,1,(IF(WEEKDAY(B6023)=1,2,IF(WEEKDAY(B6023)=7,1,0))))))</f>
        <v>1</v>
      </c>
      <c r="G6023" s="369">
        <f>VLOOKUP(C6023,METADATA!$J$5:$Q$29,IF(E6023="HI",2,IF(E6023="LO",6,10))+IF(D6023=1,2,IF(D6023=7,1,(IF(WEEKDAY(B6023)=1,2,IF(WEEKDAY(B6023)=7,1,0))))))</f>
        <v>1</v>
      </c>
      <c r="H6023" s="370">
        <v>13349.5751953125</v>
      </c>
      <c r="I6023" s="370">
        <v>4020.3500061035156</v>
      </c>
      <c r="M6023" s="371">
        <f t="shared" si="377"/>
        <v>13941.820973849841</v>
      </c>
      <c r="N6023" s="329">
        <f t="shared" si="378"/>
        <v>15.477447509765625</v>
      </c>
      <c r="T6023" s="331">
        <v>0</v>
      </c>
      <c r="U6023" s="328">
        <f>VLOOKUP(C6023,METADATA!$J$5:$Q$29,IF(E6023="HI",2,IF(E6023="LO",6,10))+IF(T6023=1,2,IF(D6023=7,1,(IF(WEEKDAY(B6023)=1,2,IF(WEEKDAY(B6023)=7,1,0))))))</f>
        <v>1</v>
      </c>
      <c r="V6023" s="328">
        <f>VLOOKUP(C6023,METADATA!$A$5:$H$29,IF(E6023="HI",2,IF(E6023="LO",6,10))+IF(T6023=1,2,IF(D6023=7,1,(IF(WEEKDAY(B6023)=1,2,IF(WEEKDAY(B6023)=7,1,0))))))</f>
        <v>1</v>
      </c>
    </row>
    <row r="6024" spans="2:22">
      <c r="B6024" s="318">
        <f t="shared" si="375"/>
        <v>46363</v>
      </c>
      <c r="C6024" s="312">
        <v>20</v>
      </c>
      <c r="D6024" s="368">
        <f>IFERROR((INDEX(METADATA!$T$2:$T$20,MATCH(B6024,METADATA!$S$2:$S$20,0))),0)</f>
        <v>0</v>
      </c>
      <c r="E6024" s="312" t="str">
        <f t="shared" si="376"/>
        <v>LO</v>
      </c>
      <c r="F6024" s="369">
        <f>VLOOKUP(C6024,METADATA!$A$5:$H$29,IF(E6024="HI",2,IF(E6024="LO",6,10))+IF(D6024=1,2,IF(D6024=7,1,(IF(WEEKDAY(B6024)=1,2,IF(WEEKDAY(B6024)=7,1,0))))))</f>
        <v>1</v>
      </c>
      <c r="G6024" s="369">
        <f>VLOOKUP(C6024,METADATA!$J$5:$Q$29,IF(E6024="HI",2,IF(E6024="LO",6,10))+IF(D6024=1,2,IF(D6024=7,1,(IF(WEEKDAY(B6024)=1,2,IF(WEEKDAY(B6024)=7,1,0))))))</f>
        <v>1</v>
      </c>
      <c r="H6024" s="370">
        <v>13424.30029296875</v>
      </c>
      <c r="I6024" s="370">
        <v>3979.7350463867188</v>
      </c>
      <c r="M6024" s="371">
        <f t="shared" si="377"/>
        <v>14001.790221083858</v>
      </c>
      <c r="N6024" s="329">
        <f t="shared" si="378"/>
        <v>0</v>
      </c>
      <c r="T6024" s="331">
        <v>0</v>
      </c>
      <c r="U6024" s="328">
        <f>VLOOKUP(C6024,METADATA!$J$5:$Q$29,IF(E6024="HI",2,IF(E6024="LO",6,10))+IF(T6024=1,2,IF(D6024=7,1,(IF(WEEKDAY(B6024)=1,2,IF(WEEKDAY(B6024)=7,1,0))))))</f>
        <v>1</v>
      </c>
      <c r="V6024" s="328">
        <f>VLOOKUP(C6024,METADATA!$A$5:$H$29,IF(E6024="HI",2,IF(E6024="LO",6,10))+IF(T6024=1,2,IF(D6024=7,1,(IF(WEEKDAY(B6024)=1,2,IF(WEEKDAY(B6024)=7,1,0))))))</f>
        <v>1</v>
      </c>
    </row>
    <row r="6025" spans="2:22">
      <c r="B6025" s="318">
        <f t="shared" si="375"/>
        <v>46363</v>
      </c>
      <c r="C6025" s="312">
        <v>21</v>
      </c>
      <c r="D6025" s="368">
        <f>IFERROR((INDEX(METADATA!$T$2:$T$20,MATCH(B6025,METADATA!$S$2:$S$20,0))),0)</f>
        <v>0</v>
      </c>
      <c r="E6025" s="312" t="str">
        <f t="shared" si="376"/>
        <v>LO</v>
      </c>
      <c r="F6025" s="369">
        <f>VLOOKUP(C6025,METADATA!$A$5:$H$29,IF(E6025="HI",2,IF(E6025="LO",6,10))+IF(D6025=1,2,IF(D6025=7,1,(IF(WEEKDAY(B6025)=1,2,IF(WEEKDAY(B6025)=7,1,0))))))</f>
        <v>2</v>
      </c>
      <c r="G6025" s="369">
        <f>VLOOKUP(C6025,METADATA!$J$5:$Q$29,IF(E6025="HI",2,IF(E6025="LO",6,10))+IF(D6025=1,2,IF(D6025=7,1,(IF(WEEKDAY(B6025)=1,2,IF(WEEKDAY(B6025)=7,1,0))))))</f>
        <v>2</v>
      </c>
      <c r="H6025" s="370">
        <v>13249.574951171875</v>
      </c>
      <c r="I6025" s="370">
        <v>4105.3649291992188</v>
      </c>
      <c r="M6025" s="371">
        <f t="shared" si="377"/>
        <v>13871.02222579937</v>
      </c>
      <c r="N6025" s="329">
        <f t="shared" si="378"/>
        <v>130.49244384765643</v>
      </c>
      <c r="T6025" s="331">
        <v>0</v>
      </c>
      <c r="U6025" s="328">
        <f>VLOOKUP(C6025,METADATA!$J$5:$Q$29,IF(E6025="HI",2,IF(E6025="LO",6,10))+IF(T6025=1,2,IF(D6025=7,1,(IF(WEEKDAY(B6025)=1,2,IF(WEEKDAY(B6025)=7,1,0))))))</f>
        <v>2</v>
      </c>
      <c r="V6025" s="328">
        <f>VLOOKUP(C6025,METADATA!$A$5:$H$29,IF(E6025="HI",2,IF(E6025="LO",6,10))+IF(T6025=1,2,IF(D6025=7,1,(IF(WEEKDAY(B6025)=1,2,IF(WEEKDAY(B6025)=7,1,0))))))</f>
        <v>2</v>
      </c>
    </row>
    <row r="6026" spans="2:22">
      <c r="B6026" s="318">
        <f t="shared" si="375"/>
        <v>46363</v>
      </c>
      <c r="C6026" s="312">
        <v>22</v>
      </c>
      <c r="D6026" s="368">
        <f>IFERROR((INDEX(METADATA!$T$2:$T$20,MATCH(B6026,METADATA!$S$2:$S$20,0))),0)</f>
        <v>0</v>
      </c>
      <c r="E6026" s="312" t="str">
        <f t="shared" si="376"/>
        <v>LO</v>
      </c>
      <c r="F6026" s="369">
        <f>VLOOKUP(C6026,METADATA!$A$5:$H$29,IF(E6026="HI",2,IF(E6026="LO",6,10))+IF(D6026=1,2,IF(D6026=7,1,(IF(WEEKDAY(B6026)=1,2,IF(WEEKDAY(B6026)=7,1,0))))))</f>
        <v>3</v>
      </c>
      <c r="G6026" s="369">
        <f>VLOOKUP(C6026,METADATA!$J$5:$Q$29,IF(E6026="HI",2,IF(E6026="LO",6,10))+IF(D6026=1,2,IF(D6026=7,1,(IF(WEEKDAY(B6026)=1,2,IF(WEEKDAY(B6026)=7,1,0))))))</f>
        <v>3</v>
      </c>
      <c r="H6026" s="370">
        <v>13317.400024414063</v>
      </c>
      <c r="I6026" s="370">
        <v>4214.989990234375</v>
      </c>
      <c r="M6026" s="371">
        <f t="shared" si="377"/>
        <v>13968.510444139691</v>
      </c>
      <c r="N6026" s="329">
        <f t="shared" si="378"/>
        <v>219.76998291015661</v>
      </c>
      <c r="T6026" s="331">
        <v>0</v>
      </c>
      <c r="U6026" s="328">
        <f>VLOOKUP(C6026,METADATA!$J$5:$Q$29,IF(E6026="HI",2,IF(E6026="LO",6,10))+IF(T6026=1,2,IF(D6026=7,1,(IF(WEEKDAY(B6026)=1,2,IF(WEEKDAY(B6026)=7,1,0))))))</f>
        <v>3</v>
      </c>
      <c r="V6026" s="328">
        <f>VLOOKUP(C6026,METADATA!$A$5:$H$29,IF(E6026="HI",2,IF(E6026="LO",6,10))+IF(T6026=1,2,IF(D6026=7,1,(IF(WEEKDAY(B6026)=1,2,IF(WEEKDAY(B6026)=7,1,0))))))</f>
        <v>3</v>
      </c>
    </row>
    <row r="6027" spans="2:22">
      <c r="B6027" s="318">
        <f t="shared" si="375"/>
        <v>46363</v>
      </c>
      <c r="C6027" s="312">
        <v>23</v>
      </c>
      <c r="D6027" s="368">
        <f>IFERROR((INDEX(METADATA!$T$2:$T$20,MATCH(B6027,METADATA!$S$2:$S$20,0))),0)</f>
        <v>0</v>
      </c>
      <c r="E6027" s="312" t="str">
        <f t="shared" si="376"/>
        <v>LO</v>
      </c>
      <c r="F6027" s="369">
        <f>VLOOKUP(C6027,METADATA!$A$5:$H$29,IF(E6027="HI",2,IF(E6027="LO",6,10))+IF(D6027=1,2,IF(D6027=7,1,(IF(WEEKDAY(B6027)=1,2,IF(WEEKDAY(B6027)=7,1,0))))))</f>
        <v>3</v>
      </c>
      <c r="G6027" s="369">
        <f>VLOOKUP(C6027,METADATA!$J$5:$Q$29,IF(E6027="HI",2,IF(E6027="LO",6,10))+IF(D6027=1,2,IF(D6027=7,1,(IF(WEEKDAY(B6027)=1,2,IF(WEEKDAY(B6027)=7,1,0))))))</f>
        <v>3</v>
      </c>
      <c r="H6027" s="370">
        <v>13237.724853515625</v>
      </c>
      <c r="I6027" s="370">
        <v>4266.1050415039063</v>
      </c>
      <c r="M6027" s="371">
        <f t="shared" si="377"/>
        <v>13908.163484893694</v>
      </c>
      <c r="N6027" s="329">
        <f t="shared" si="378"/>
        <v>294.78758544921902</v>
      </c>
      <c r="T6027" s="331">
        <v>0</v>
      </c>
      <c r="U6027" s="328">
        <f>VLOOKUP(C6027,METADATA!$J$5:$Q$29,IF(E6027="HI",2,IF(E6027="LO",6,10))+IF(T6027=1,2,IF(D6027=7,1,(IF(WEEKDAY(B6027)=1,2,IF(WEEKDAY(B6027)=7,1,0))))))</f>
        <v>3</v>
      </c>
      <c r="V6027" s="328">
        <f>VLOOKUP(C6027,METADATA!$A$5:$H$29,IF(E6027="HI",2,IF(E6027="LO",6,10))+IF(T6027=1,2,IF(D6027=7,1,(IF(WEEKDAY(B6027)=1,2,IF(WEEKDAY(B6027)=7,1,0))))))</f>
        <v>3</v>
      </c>
    </row>
    <row r="6028" spans="2:22">
      <c r="B6028" s="318">
        <f t="shared" si="375"/>
        <v>46364</v>
      </c>
      <c r="C6028" s="312">
        <v>0</v>
      </c>
      <c r="D6028" s="368">
        <f>IFERROR((INDEX(METADATA!$T$2:$T$20,MATCH(B6028,METADATA!$S$2:$S$20,0))),0)</f>
        <v>0</v>
      </c>
      <c r="E6028" s="312" t="str">
        <f t="shared" si="376"/>
        <v>LO</v>
      </c>
      <c r="F6028" s="369">
        <f>VLOOKUP(C6028,METADATA!$A$5:$H$29,IF(E6028="HI",2,IF(E6028="LO",6,10))+IF(D6028=1,2,IF(D6028=7,1,(IF(WEEKDAY(B6028)=1,2,IF(WEEKDAY(B6028)=7,1,0))))))</f>
        <v>3</v>
      </c>
      <c r="G6028" s="369">
        <f>VLOOKUP(C6028,METADATA!$J$5:$Q$29,IF(E6028="HI",2,IF(E6028="LO",6,10))+IF(D6028=1,2,IF(D6028=7,1,(IF(WEEKDAY(B6028)=1,2,IF(WEEKDAY(B6028)=7,1,0))))))</f>
        <v>3</v>
      </c>
      <c r="H6028" s="370">
        <v>13204.499755859375</v>
      </c>
      <c r="I6028" s="370">
        <v>4258.8250122070313</v>
      </c>
      <c r="M6028" s="371">
        <f t="shared" si="377"/>
        <v>13874.307344407882</v>
      </c>
      <c r="N6028" s="329">
        <f t="shared" si="378"/>
        <v>297.47508544921902</v>
      </c>
      <c r="T6028" s="331">
        <v>0</v>
      </c>
      <c r="U6028" s="328">
        <f>VLOOKUP(C6028,METADATA!$J$5:$Q$29,IF(E6028="HI",2,IF(E6028="LO",6,10))+IF(T6028=1,2,IF(D6028=7,1,(IF(WEEKDAY(B6028)=1,2,IF(WEEKDAY(B6028)=7,1,0))))))</f>
        <v>3</v>
      </c>
      <c r="V6028" s="328">
        <f>VLOOKUP(C6028,METADATA!$A$5:$H$29,IF(E6028="HI",2,IF(E6028="LO",6,10))+IF(T6028=1,2,IF(D6028=7,1,(IF(WEEKDAY(B6028)=1,2,IF(WEEKDAY(B6028)=7,1,0))))))</f>
        <v>3</v>
      </c>
    </row>
    <row r="6029" spans="2:22">
      <c r="B6029" s="318">
        <f t="shared" si="375"/>
        <v>46364</v>
      </c>
      <c r="C6029" s="312">
        <v>1</v>
      </c>
      <c r="D6029" s="368">
        <f>IFERROR((INDEX(METADATA!$T$2:$T$20,MATCH(B6029,METADATA!$S$2:$S$20,0))),0)</f>
        <v>0</v>
      </c>
      <c r="E6029" s="312" t="str">
        <f t="shared" si="376"/>
        <v>LO</v>
      </c>
      <c r="F6029" s="369">
        <f>VLOOKUP(C6029,METADATA!$A$5:$H$29,IF(E6029="HI",2,IF(E6029="LO",6,10))+IF(D6029=1,2,IF(D6029=7,1,(IF(WEEKDAY(B6029)=1,2,IF(WEEKDAY(B6029)=7,1,0))))))</f>
        <v>3</v>
      </c>
      <c r="G6029" s="369">
        <f>VLOOKUP(C6029,METADATA!$J$5:$Q$29,IF(E6029="HI",2,IF(E6029="LO",6,10))+IF(D6029=1,2,IF(D6029=7,1,(IF(WEEKDAY(B6029)=1,2,IF(WEEKDAY(B6029)=7,1,0))))))</f>
        <v>3</v>
      </c>
      <c r="H6029" s="370">
        <v>13116.1748046875</v>
      </c>
      <c r="I6029" s="370">
        <v>4282.9199523925781</v>
      </c>
      <c r="M6029" s="371">
        <f t="shared" si="377"/>
        <v>13797.733322025093</v>
      </c>
      <c r="N6029" s="329">
        <f t="shared" si="378"/>
        <v>348.06751098632822</v>
      </c>
      <c r="T6029" s="331">
        <v>0</v>
      </c>
      <c r="U6029" s="328">
        <f>VLOOKUP(C6029,METADATA!$J$5:$Q$29,IF(E6029="HI",2,IF(E6029="LO",6,10))+IF(T6029=1,2,IF(D6029=7,1,(IF(WEEKDAY(B6029)=1,2,IF(WEEKDAY(B6029)=7,1,0))))))</f>
        <v>3</v>
      </c>
      <c r="V6029" s="328">
        <f>VLOOKUP(C6029,METADATA!$A$5:$H$29,IF(E6029="HI",2,IF(E6029="LO",6,10))+IF(T6029=1,2,IF(D6029=7,1,(IF(WEEKDAY(B6029)=1,2,IF(WEEKDAY(B6029)=7,1,0))))))</f>
        <v>3</v>
      </c>
    </row>
    <row r="6030" spans="2:22">
      <c r="B6030" s="318">
        <f t="shared" si="375"/>
        <v>46364</v>
      </c>
      <c r="C6030" s="312">
        <v>2</v>
      </c>
      <c r="D6030" s="368">
        <f>IFERROR((INDEX(METADATA!$T$2:$T$20,MATCH(B6030,METADATA!$S$2:$S$20,0))),0)</f>
        <v>0</v>
      </c>
      <c r="E6030" s="312" t="str">
        <f t="shared" si="376"/>
        <v>LO</v>
      </c>
      <c r="F6030" s="369">
        <f>VLOOKUP(C6030,METADATA!$A$5:$H$29,IF(E6030="HI",2,IF(E6030="LO",6,10))+IF(D6030=1,2,IF(D6030=7,1,(IF(WEEKDAY(B6030)=1,2,IF(WEEKDAY(B6030)=7,1,0))))))</f>
        <v>3</v>
      </c>
      <c r="G6030" s="369">
        <f>VLOOKUP(C6030,METADATA!$J$5:$Q$29,IF(E6030="HI",2,IF(E6030="LO",6,10))+IF(D6030=1,2,IF(D6030=7,1,(IF(WEEKDAY(B6030)=1,2,IF(WEEKDAY(B6030)=7,1,0))))))</f>
        <v>3</v>
      </c>
      <c r="H6030" s="370">
        <v>13158.575012207031</v>
      </c>
      <c r="I6030" s="370">
        <v>4269.1049194335938</v>
      </c>
      <c r="M6030" s="371">
        <f t="shared" si="377"/>
        <v>13833.775810132654</v>
      </c>
      <c r="N6030" s="329">
        <f t="shared" si="378"/>
        <v>321.53241577148447</v>
      </c>
      <c r="T6030" s="331">
        <v>0</v>
      </c>
      <c r="U6030" s="328">
        <f>VLOOKUP(C6030,METADATA!$J$5:$Q$29,IF(E6030="HI",2,IF(E6030="LO",6,10))+IF(T6030=1,2,IF(D6030=7,1,(IF(WEEKDAY(B6030)=1,2,IF(WEEKDAY(B6030)=7,1,0))))))</f>
        <v>3</v>
      </c>
      <c r="V6030" s="328">
        <f>VLOOKUP(C6030,METADATA!$A$5:$H$29,IF(E6030="HI",2,IF(E6030="LO",6,10))+IF(T6030=1,2,IF(D6030=7,1,(IF(WEEKDAY(B6030)=1,2,IF(WEEKDAY(B6030)=7,1,0))))))</f>
        <v>3</v>
      </c>
    </row>
    <row r="6031" spans="2:22">
      <c r="B6031" s="318">
        <f t="shared" si="375"/>
        <v>46364</v>
      </c>
      <c r="C6031" s="312">
        <v>3</v>
      </c>
      <c r="D6031" s="368">
        <f>IFERROR((INDEX(METADATA!$T$2:$T$20,MATCH(B6031,METADATA!$S$2:$S$20,0))),0)</f>
        <v>0</v>
      </c>
      <c r="E6031" s="312" t="str">
        <f t="shared" si="376"/>
        <v>LO</v>
      </c>
      <c r="F6031" s="369">
        <f>VLOOKUP(C6031,METADATA!$A$5:$H$29,IF(E6031="HI",2,IF(E6031="LO",6,10))+IF(D6031=1,2,IF(D6031=7,1,(IF(WEEKDAY(B6031)=1,2,IF(WEEKDAY(B6031)=7,1,0))))))</f>
        <v>3</v>
      </c>
      <c r="G6031" s="369">
        <f>VLOOKUP(C6031,METADATA!$J$5:$Q$29,IF(E6031="HI",2,IF(E6031="LO",6,10))+IF(D6031=1,2,IF(D6031=7,1,(IF(WEEKDAY(B6031)=1,2,IF(WEEKDAY(B6031)=7,1,0))))))</f>
        <v>3</v>
      </c>
      <c r="H6031" s="370">
        <v>13008.650085449219</v>
      </c>
      <c r="I6031" s="370">
        <v>4124.7649841308594</v>
      </c>
      <c r="M6031" s="371">
        <f t="shared" si="377"/>
        <v>13646.928710151966</v>
      </c>
      <c r="N6031" s="329">
        <f t="shared" si="378"/>
        <v>222.16995849609384</v>
      </c>
      <c r="T6031" s="331">
        <v>0</v>
      </c>
      <c r="U6031" s="328">
        <f>VLOOKUP(C6031,METADATA!$J$5:$Q$29,IF(E6031="HI",2,IF(E6031="LO",6,10))+IF(T6031=1,2,IF(D6031=7,1,(IF(WEEKDAY(B6031)=1,2,IF(WEEKDAY(B6031)=7,1,0))))))</f>
        <v>3</v>
      </c>
      <c r="V6031" s="328">
        <f>VLOOKUP(C6031,METADATA!$A$5:$H$29,IF(E6031="HI",2,IF(E6031="LO",6,10))+IF(T6031=1,2,IF(D6031=7,1,(IF(WEEKDAY(B6031)=1,2,IF(WEEKDAY(B6031)=7,1,0))))))</f>
        <v>3</v>
      </c>
    </row>
    <row r="6032" spans="2:22">
      <c r="B6032" s="318">
        <f t="shared" si="375"/>
        <v>46364</v>
      </c>
      <c r="C6032" s="312">
        <v>4</v>
      </c>
      <c r="D6032" s="368">
        <f>IFERROR((INDEX(METADATA!$T$2:$T$20,MATCH(B6032,METADATA!$S$2:$S$20,0))),0)</f>
        <v>0</v>
      </c>
      <c r="E6032" s="312" t="str">
        <f t="shared" si="376"/>
        <v>LO</v>
      </c>
      <c r="F6032" s="369">
        <f>VLOOKUP(C6032,METADATA!$A$5:$H$29,IF(E6032="HI",2,IF(E6032="LO",6,10))+IF(D6032=1,2,IF(D6032=7,1,(IF(WEEKDAY(B6032)=1,2,IF(WEEKDAY(B6032)=7,1,0))))))</f>
        <v>3</v>
      </c>
      <c r="G6032" s="369">
        <f>VLOOKUP(C6032,METADATA!$J$5:$Q$29,IF(E6032="HI",2,IF(E6032="LO",6,10))+IF(D6032=1,2,IF(D6032=7,1,(IF(WEEKDAY(B6032)=1,2,IF(WEEKDAY(B6032)=7,1,0))))))</f>
        <v>3</v>
      </c>
      <c r="H6032" s="370">
        <v>13051.199951171875</v>
      </c>
      <c r="I6032" s="370">
        <v>4106.3950500488281</v>
      </c>
      <c r="M6032" s="371">
        <f t="shared" si="377"/>
        <v>13681.969904678721</v>
      </c>
      <c r="N6032" s="329">
        <f t="shared" si="378"/>
        <v>191.03506469726563</v>
      </c>
      <c r="T6032" s="331">
        <v>0</v>
      </c>
      <c r="U6032" s="328">
        <f>VLOOKUP(C6032,METADATA!$J$5:$Q$29,IF(E6032="HI",2,IF(E6032="LO",6,10))+IF(T6032=1,2,IF(D6032=7,1,(IF(WEEKDAY(B6032)=1,2,IF(WEEKDAY(B6032)=7,1,0))))))</f>
        <v>3</v>
      </c>
      <c r="V6032" s="328">
        <f>VLOOKUP(C6032,METADATA!$A$5:$H$29,IF(E6032="HI",2,IF(E6032="LO",6,10))+IF(T6032=1,2,IF(D6032=7,1,(IF(WEEKDAY(B6032)=1,2,IF(WEEKDAY(B6032)=7,1,0))))))</f>
        <v>3</v>
      </c>
    </row>
    <row r="6033" spans="2:22">
      <c r="B6033" s="318">
        <f t="shared" si="375"/>
        <v>46364</v>
      </c>
      <c r="C6033" s="312">
        <v>5</v>
      </c>
      <c r="D6033" s="368">
        <f>IFERROR((INDEX(METADATA!$T$2:$T$20,MATCH(B6033,METADATA!$S$2:$S$20,0))),0)</f>
        <v>0</v>
      </c>
      <c r="E6033" s="312" t="str">
        <f t="shared" si="376"/>
        <v>LO</v>
      </c>
      <c r="F6033" s="369">
        <f>VLOOKUP(C6033,METADATA!$A$5:$H$29,IF(E6033="HI",2,IF(E6033="LO",6,10))+IF(D6033=1,2,IF(D6033=7,1,(IF(WEEKDAY(B6033)=1,2,IF(WEEKDAY(B6033)=7,1,0))))))</f>
        <v>3</v>
      </c>
      <c r="G6033" s="369">
        <f>VLOOKUP(C6033,METADATA!$J$5:$Q$29,IF(E6033="HI",2,IF(E6033="LO",6,10))+IF(D6033=1,2,IF(D6033=7,1,(IF(WEEKDAY(B6033)=1,2,IF(WEEKDAY(B6033)=7,1,0))))))</f>
        <v>3</v>
      </c>
      <c r="H6033" s="370">
        <v>13226.774719238281</v>
      </c>
      <c r="I6033" s="370">
        <v>4121.8800048828125</v>
      </c>
      <c r="M6033" s="371">
        <f t="shared" si="377"/>
        <v>13854.14971220297</v>
      </c>
      <c r="N6033" s="329">
        <f t="shared" si="378"/>
        <v>153.84758911132849</v>
      </c>
      <c r="T6033" s="331">
        <v>0</v>
      </c>
      <c r="U6033" s="328">
        <f>VLOOKUP(C6033,METADATA!$J$5:$Q$29,IF(E6033="HI",2,IF(E6033="LO",6,10))+IF(T6033=1,2,IF(D6033=7,1,(IF(WEEKDAY(B6033)=1,2,IF(WEEKDAY(B6033)=7,1,0))))))</f>
        <v>3</v>
      </c>
      <c r="V6033" s="328">
        <f>VLOOKUP(C6033,METADATA!$A$5:$H$29,IF(E6033="HI",2,IF(E6033="LO",6,10))+IF(T6033=1,2,IF(D6033=7,1,(IF(WEEKDAY(B6033)=1,2,IF(WEEKDAY(B6033)=7,1,0))))))</f>
        <v>3</v>
      </c>
    </row>
    <row r="6034" spans="2:22">
      <c r="B6034" s="318">
        <f t="shared" si="375"/>
        <v>46364</v>
      </c>
      <c r="C6034" s="312">
        <v>6</v>
      </c>
      <c r="D6034" s="368">
        <f>IFERROR((INDEX(METADATA!$T$2:$T$20,MATCH(B6034,METADATA!$S$2:$S$20,0))),0)</f>
        <v>0</v>
      </c>
      <c r="E6034" s="312" t="str">
        <f t="shared" si="376"/>
        <v>LO</v>
      </c>
      <c r="F6034" s="369">
        <f>VLOOKUP(C6034,METADATA!$A$5:$H$29,IF(E6034="HI",2,IF(E6034="LO",6,10))+IF(D6034=1,2,IF(D6034=7,1,(IF(WEEKDAY(B6034)=1,2,IF(WEEKDAY(B6034)=7,1,0))))))</f>
        <v>2</v>
      </c>
      <c r="G6034" s="369">
        <f>VLOOKUP(C6034,METADATA!$J$5:$Q$29,IF(E6034="HI",2,IF(E6034="LO",6,10))+IF(D6034=1,2,IF(D6034=7,1,(IF(WEEKDAY(B6034)=1,2,IF(WEEKDAY(B6034)=7,1,0))))))</f>
        <v>2</v>
      </c>
      <c r="H6034" s="370">
        <v>13167.450073242188</v>
      </c>
      <c r="I6034" s="370">
        <v>4120.4800415039063</v>
      </c>
      <c r="M6034" s="371">
        <f t="shared" si="377"/>
        <v>13797.104667420543</v>
      </c>
      <c r="N6034" s="329">
        <f t="shared" si="378"/>
        <v>170.24501953125036</v>
      </c>
      <c r="T6034" s="331">
        <v>0</v>
      </c>
      <c r="U6034" s="328">
        <f>VLOOKUP(C6034,METADATA!$J$5:$Q$29,IF(E6034="HI",2,IF(E6034="LO",6,10))+IF(T6034=1,2,IF(D6034=7,1,(IF(WEEKDAY(B6034)=1,2,IF(WEEKDAY(B6034)=7,1,0))))))</f>
        <v>2</v>
      </c>
      <c r="V6034" s="328">
        <f>VLOOKUP(C6034,METADATA!$A$5:$H$29,IF(E6034="HI",2,IF(E6034="LO",6,10))+IF(T6034=1,2,IF(D6034=7,1,(IF(WEEKDAY(B6034)=1,2,IF(WEEKDAY(B6034)=7,1,0))))))</f>
        <v>2</v>
      </c>
    </row>
    <row r="6035" spans="2:22">
      <c r="B6035" s="318">
        <f t="shared" si="375"/>
        <v>46364</v>
      </c>
      <c r="C6035" s="312">
        <v>7</v>
      </c>
      <c r="D6035" s="368">
        <f>IFERROR((INDEX(METADATA!$T$2:$T$20,MATCH(B6035,METADATA!$S$2:$S$20,0))),0)</f>
        <v>0</v>
      </c>
      <c r="E6035" s="312" t="str">
        <f t="shared" si="376"/>
        <v>LO</v>
      </c>
      <c r="F6035" s="369">
        <f>VLOOKUP(C6035,METADATA!$A$5:$H$29,IF(E6035="HI",2,IF(E6035="LO",6,10))+IF(D6035=1,2,IF(D6035=7,1,(IF(WEEKDAY(B6035)=1,2,IF(WEEKDAY(B6035)=7,1,0))))))</f>
        <v>1</v>
      </c>
      <c r="G6035" s="369">
        <f>VLOOKUP(C6035,METADATA!$J$5:$Q$29,IF(E6035="HI",2,IF(E6035="LO",6,10))+IF(D6035=1,2,IF(D6035=7,1,(IF(WEEKDAY(B6035)=1,2,IF(WEEKDAY(B6035)=7,1,0))))))</f>
        <v>1</v>
      </c>
      <c r="H6035" s="370">
        <v>13328.974609375</v>
      </c>
      <c r="I6035" s="370">
        <v>4128.197509765625</v>
      </c>
      <c r="M6035" s="371">
        <f t="shared" si="377"/>
        <v>13953.622426345015</v>
      </c>
      <c r="N6035" s="329">
        <f t="shared" si="378"/>
        <v>129.505126953125</v>
      </c>
      <c r="T6035" s="331">
        <v>0</v>
      </c>
      <c r="U6035" s="328">
        <f>VLOOKUP(C6035,METADATA!$J$5:$Q$29,IF(E6035="HI",2,IF(E6035="LO",6,10))+IF(T6035=1,2,IF(D6035=7,1,(IF(WEEKDAY(B6035)=1,2,IF(WEEKDAY(B6035)=7,1,0))))))</f>
        <v>1</v>
      </c>
      <c r="V6035" s="328">
        <f>VLOOKUP(C6035,METADATA!$A$5:$H$29,IF(E6035="HI",2,IF(E6035="LO",6,10))+IF(T6035=1,2,IF(D6035=7,1,(IF(WEEKDAY(B6035)=1,2,IF(WEEKDAY(B6035)=7,1,0))))))</f>
        <v>1</v>
      </c>
    </row>
    <row r="6036" spans="2:22">
      <c r="B6036" s="318">
        <f t="shared" si="375"/>
        <v>46364</v>
      </c>
      <c r="C6036" s="312">
        <v>8</v>
      </c>
      <c r="D6036" s="368">
        <f>IFERROR((INDEX(METADATA!$T$2:$T$20,MATCH(B6036,METADATA!$S$2:$S$20,0))),0)</f>
        <v>0</v>
      </c>
      <c r="E6036" s="312" t="str">
        <f t="shared" si="376"/>
        <v>LO</v>
      </c>
      <c r="F6036" s="369">
        <f>VLOOKUP(C6036,METADATA!$A$5:$H$29,IF(E6036="HI",2,IF(E6036="LO",6,10))+IF(D6036=1,2,IF(D6036=7,1,(IF(WEEKDAY(B6036)=1,2,IF(WEEKDAY(B6036)=7,1,0))))))</f>
        <v>1</v>
      </c>
      <c r="G6036" s="369">
        <f>VLOOKUP(C6036,METADATA!$J$5:$Q$29,IF(E6036="HI",2,IF(E6036="LO",6,10))+IF(D6036=1,2,IF(D6036=7,1,(IF(WEEKDAY(B6036)=1,2,IF(WEEKDAY(B6036)=7,1,0))))))</f>
        <v>1</v>
      </c>
      <c r="H6036" s="370">
        <v>13538.650085449219</v>
      </c>
      <c r="I6036" s="370">
        <v>4250.7749633789063</v>
      </c>
      <c r="M6036" s="371">
        <f t="shared" si="377"/>
        <v>14190.283081232843</v>
      </c>
      <c r="N6036" s="329">
        <f t="shared" si="378"/>
        <v>189.17993774414072</v>
      </c>
      <c r="T6036" s="331">
        <v>0</v>
      </c>
      <c r="U6036" s="328">
        <f>VLOOKUP(C6036,METADATA!$J$5:$Q$29,IF(E6036="HI",2,IF(E6036="LO",6,10))+IF(T6036=1,2,IF(D6036=7,1,(IF(WEEKDAY(B6036)=1,2,IF(WEEKDAY(B6036)=7,1,0))))))</f>
        <v>1</v>
      </c>
      <c r="V6036" s="328">
        <f>VLOOKUP(C6036,METADATA!$A$5:$H$29,IF(E6036="HI",2,IF(E6036="LO",6,10))+IF(T6036=1,2,IF(D6036=7,1,(IF(WEEKDAY(B6036)=1,2,IF(WEEKDAY(B6036)=7,1,0))))))</f>
        <v>1</v>
      </c>
    </row>
    <row r="6037" spans="2:22">
      <c r="B6037" s="318">
        <f t="shared" si="375"/>
        <v>46364</v>
      </c>
      <c r="C6037" s="312">
        <v>9</v>
      </c>
      <c r="D6037" s="368">
        <f>IFERROR((INDEX(METADATA!$T$2:$T$20,MATCH(B6037,METADATA!$S$2:$S$20,0))),0)</f>
        <v>0</v>
      </c>
      <c r="E6037" s="312" t="str">
        <f t="shared" si="376"/>
        <v>LO</v>
      </c>
      <c r="F6037" s="369">
        <f>VLOOKUP(C6037,METADATA!$A$5:$H$29,IF(E6037="HI",2,IF(E6037="LO",6,10))+IF(D6037=1,2,IF(D6037=7,1,(IF(WEEKDAY(B6037)=1,2,IF(WEEKDAY(B6037)=7,1,0))))))</f>
        <v>2</v>
      </c>
      <c r="G6037" s="369">
        <f>VLOOKUP(C6037,METADATA!$J$5:$Q$29,IF(E6037="HI",2,IF(E6037="LO",6,10))+IF(D6037=1,2,IF(D6037=7,1,(IF(WEEKDAY(B6037)=1,2,IF(WEEKDAY(B6037)=7,1,0))))))</f>
        <v>2</v>
      </c>
      <c r="H6037" s="370">
        <v>13365.075073242188</v>
      </c>
      <c r="I6037" s="370">
        <v>4469.2249755859375</v>
      </c>
      <c r="M6037" s="371">
        <f t="shared" si="377"/>
        <v>14092.522967723018</v>
      </c>
      <c r="N6037" s="329">
        <f t="shared" si="378"/>
        <v>459.70245361328125</v>
      </c>
      <c r="T6037" s="331">
        <v>0</v>
      </c>
      <c r="U6037" s="328">
        <f>VLOOKUP(C6037,METADATA!$J$5:$Q$29,IF(E6037="HI",2,IF(E6037="LO",6,10))+IF(T6037=1,2,IF(D6037=7,1,(IF(WEEKDAY(B6037)=1,2,IF(WEEKDAY(B6037)=7,1,0))))))</f>
        <v>2</v>
      </c>
      <c r="V6037" s="328">
        <f>VLOOKUP(C6037,METADATA!$A$5:$H$29,IF(E6037="HI",2,IF(E6037="LO",6,10))+IF(T6037=1,2,IF(D6037=7,1,(IF(WEEKDAY(B6037)=1,2,IF(WEEKDAY(B6037)=7,1,0))))))</f>
        <v>2</v>
      </c>
    </row>
    <row r="6038" spans="2:22">
      <c r="B6038" s="318">
        <f t="shared" si="375"/>
        <v>46364</v>
      </c>
      <c r="C6038" s="312">
        <v>10</v>
      </c>
      <c r="D6038" s="368">
        <f>IFERROR((INDEX(METADATA!$T$2:$T$20,MATCH(B6038,METADATA!$S$2:$S$20,0))),0)</f>
        <v>0</v>
      </c>
      <c r="E6038" s="312" t="str">
        <f t="shared" si="376"/>
        <v>LO</v>
      </c>
      <c r="F6038" s="369">
        <f>VLOOKUP(C6038,METADATA!$A$5:$H$29,IF(E6038="HI",2,IF(E6038="LO",6,10))+IF(D6038=1,2,IF(D6038=7,1,(IF(WEEKDAY(B6038)=1,2,IF(WEEKDAY(B6038)=7,1,0))))))</f>
        <v>2</v>
      </c>
      <c r="G6038" s="369">
        <f>VLOOKUP(C6038,METADATA!$J$5:$Q$29,IF(E6038="HI",2,IF(E6038="LO",6,10))+IF(D6038=1,2,IF(D6038=7,1,(IF(WEEKDAY(B6038)=1,2,IF(WEEKDAY(B6038)=7,1,0))))))</f>
        <v>2</v>
      </c>
      <c r="H6038" s="370">
        <v>11662.160247802734</v>
      </c>
      <c r="I6038" s="370">
        <v>3370.3550109863281</v>
      </c>
      <c r="M6038" s="371">
        <f t="shared" si="377"/>
        <v>12139.409975180464</v>
      </c>
      <c r="N6038" s="329">
        <f t="shared" si="378"/>
        <v>0</v>
      </c>
      <c r="T6038" s="331">
        <v>0</v>
      </c>
      <c r="U6038" s="328">
        <f>VLOOKUP(C6038,METADATA!$J$5:$Q$29,IF(E6038="HI",2,IF(E6038="LO",6,10))+IF(T6038=1,2,IF(D6038=7,1,(IF(WEEKDAY(B6038)=1,2,IF(WEEKDAY(B6038)=7,1,0))))))</f>
        <v>2</v>
      </c>
      <c r="V6038" s="328">
        <f>VLOOKUP(C6038,METADATA!$A$5:$H$29,IF(E6038="HI",2,IF(E6038="LO",6,10))+IF(T6038=1,2,IF(D6038=7,1,(IF(WEEKDAY(B6038)=1,2,IF(WEEKDAY(B6038)=7,1,0))))))</f>
        <v>2</v>
      </c>
    </row>
    <row r="6039" spans="2:22">
      <c r="B6039" s="318">
        <f t="shared" si="375"/>
        <v>46364</v>
      </c>
      <c r="C6039" s="312">
        <v>11</v>
      </c>
      <c r="D6039" s="368">
        <f>IFERROR((INDEX(METADATA!$T$2:$T$20,MATCH(B6039,METADATA!$S$2:$S$20,0))),0)</f>
        <v>0</v>
      </c>
      <c r="E6039" s="312" t="str">
        <f t="shared" si="376"/>
        <v>LO</v>
      </c>
      <c r="F6039" s="369">
        <f>VLOOKUP(C6039,METADATA!$A$5:$H$29,IF(E6039="HI",2,IF(E6039="LO",6,10))+IF(D6039=1,2,IF(D6039=7,1,(IF(WEEKDAY(B6039)=1,2,IF(WEEKDAY(B6039)=7,1,0))))))</f>
        <v>2</v>
      </c>
      <c r="G6039" s="369">
        <f>VLOOKUP(C6039,METADATA!$J$5:$Q$29,IF(E6039="HI",2,IF(E6039="LO",6,10))+IF(D6039=1,2,IF(D6039=7,1,(IF(WEEKDAY(B6039)=1,2,IF(WEEKDAY(B6039)=7,1,0))))))</f>
        <v>2</v>
      </c>
      <c r="H6039" s="370">
        <v>11379.707794189453</v>
      </c>
      <c r="I6039" s="370">
        <v>3005.0124816894531</v>
      </c>
      <c r="M6039" s="371">
        <f t="shared" si="377"/>
        <v>11769.785448182374</v>
      </c>
      <c r="N6039" s="329">
        <f t="shared" si="378"/>
        <v>0</v>
      </c>
      <c r="T6039" s="331">
        <v>0</v>
      </c>
      <c r="U6039" s="328">
        <f>VLOOKUP(C6039,METADATA!$J$5:$Q$29,IF(E6039="HI",2,IF(E6039="LO",6,10))+IF(T6039=1,2,IF(D6039=7,1,(IF(WEEKDAY(B6039)=1,2,IF(WEEKDAY(B6039)=7,1,0))))))</f>
        <v>2</v>
      </c>
      <c r="V6039" s="328">
        <f>VLOOKUP(C6039,METADATA!$A$5:$H$29,IF(E6039="HI",2,IF(E6039="LO",6,10))+IF(T6039=1,2,IF(D6039=7,1,(IF(WEEKDAY(B6039)=1,2,IF(WEEKDAY(B6039)=7,1,0))))))</f>
        <v>2</v>
      </c>
    </row>
    <row r="6040" spans="2:22">
      <c r="B6040" s="318">
        <f t="shared" si="375"/>
        <v>46364</v>
      </c>
      <c r="C6040" s="312">
        <v>12</v>
      </c>
      <c r="D6040" s="368">
        <f>IFERROR((INDEX(METADATA!$T$2:$T$20,MATCH(B6040,METADATA!$S$2:$S$20,0))),0)</f>
        <v>0</v>
      </c>
      <c r="E6040" s="312" t="str">
        <f t="shared" si="376"/>
        <v>LO</v>
      </c>
      <c r="F6040" s="369">
        <f>VLOOKUP(C6040,METADATA!$A$5:$H$29,IF(E6040="HI",2,IF(E6040="LO",6,10))+IF(D6040=1,2,IF(D6040=7,1,(IF(WEEKDAY(B6040)=1,2,IF(WEEKDAY(B6040)=7,1,0))))))</f>
        <v>2</v>
      </c>
      <c r="G6040" s="369">
        <f>VLOOKUP(C6040,METADATA!$J$5:$Q$29,IF(E6040="HI",2,IF(E6040="LO",6,10))+IF(D6040=1,2,IF(D6040=7,1,(IF(WEEKDAY(B6040)=1,2,IF(WEEKDAY(B6040)=7,1,0))))))</f>
        <v>2</v>
      </c>
      <c r="H6040" s="370">
        <v>11458.112701416016</v>
      </c>
      <c r="I6040" s="370">
        <v>3107.2100219726563</v>
      </c>
      <c r="M6040" s="371">
        <f t="shared" si="377"/>
        <v>11871.945956708123</v>
      </c>
      <c r="N6040" s="329">
        <f t="shared" si="378"/>
        <v>0</v>
      </c>
      <c r="T6040" s="331">
        <v>0</v>
      </c>
      <c r="U6040" s="328">
        <f>VLOOKUP(C6040,METADATA!$J$5:$Q$29,IF(E6040="HI",2,IF(E6040="LO",6,10))+IF(T6040=1,2,IF(D6040=7,1,(IF(WEEKDAY(B6040)=1,2,IF(WEEKDAY(B6040)=7,1,0))))))</f>
        <v>2</v>
      </c>
      <c r="V6040" s="328">
        <f>VLOOKUP(C6040,METADATA!$A$5:$H$29,IF(E6040="HI",2,IF(E6040="LO",6,10))+IF(T6040=1,2,IF(D6040=7,1,(IF(WEEKDAY(B6040)=1,2,IF(WEEKDAY(B6040)=7,1,0))))))</f>
        <v>2</v>
      </c>
    </row>
    <row r="6041" spans="2:22">
      <c r="B6041" s="318">
        <f t="shared" si="375"/>
        <v>46364</v>
      </c>
      <c r="C6041" s="312">
        <v>13</v>
      </c>
      <c r="D6041" s="368">
        <f>IFERROR((INDEX(METADATA!$T$2:$T$20,MATCH(B6041,METADATA!$S$2:$S$20,0))),0)</f>
        <v>0</v>
      </c>
      <c r="E6041" s="312" t="str">
        <f t="shared" si="376"/>
        <v>LO</v>
      </c>
      <c r="F6041" s="369">
        <f>VLOOKUP(C6041,METADATA!$A$5:$H$29,IF(E6041="HI",2,IF(E6041="LO",6,10))+IF(D6041=1,2,IF(D6041=7,1,(IF(WEEKDAY(B6041)=1,2,IF(WEEKDAY(B6041)=7,1,0))))))</f>
        <v>2</v>
      </c>
      <c r="G6041" s="369">
        <f>VLOOKUP(C6041,METADATA!$J$5:$Q$29,IF(E6041="HI",2,IF(E6041="LO",6,10))+IF(D6041=1,2,IF(D6041=7,1,(IF(WEEKDAY(B6041)=1,2,IF(WEEKDAY(B6041)=7,1,0))))))</f>
        <v>2</v>
      </c>
      <c r="H6041" s="370">
        <v>12955.775024414063</v>
      </c>
      <c r="I6041" s="370">
        <v>4052.7300109863281</v>
      </c>
      <c r="M6041" s="371">
        <f t="shared" si="377"/>
        <v>13574.856427424211</v>
      </c>
      <c r="N6041" s="329">
        <f t="shared" si="378"/>
        <v>165.99750366210947</v>
      </c>
      <c r="T6041" s="331">
        <v>0</v>
      </c>
      <c r="U6041" s="328">
        <f>VLOOKUP(C6041,METADATA!$J$5:$Q$29,IF(E6041="HI",2,IF(E6041="LO",6,10))+IF(T6041=1,2,IF(D6041=7,1,(IF(WEEKDAY(B6041)=1,2,IF(WEEKDAY(B6041)=7,1,0))))))</f>
        <v>2</v>
      </c>
      <c r="V6041" s="328">
        <f>VLOOKUP(C6041,METADATA!$A$5:$H$29,IF(E6041="HI",2,IF(E6041="LO",6,10))+IF(T6041=1,2,IF(D6041=7,1,(IF(WEEKDAY(B6041)=1,2,IF(WEEKDAY(B6041)=7,1,0))))))</f>
        <v>2</v>
      </c>
    </row>
    <row r="6042" spans="2:22">
      <c r="B6042" s="318">
        <f t="shared" si="375"/>
        <v>46364</v>
      </c>
      <c r="C6042" s="312">
        <v>14</v>
      </c>
      <c r="D6042" s="368">
        <f>IFERROR((INDEX(METADATA!$T$2:$T$20,MATCH(B6042,METADATA!$S$2:$S$20,0))),0)</f>
        <v>0</v>
      </c>
      <c r="E6042" s="312" t="str">
        <f t="shared" si="376"/>
        <v>LO</v>
      </c>
      <c r="F6042" s="369">
        <f>VLOOKUP(C6042,METADATA!$A$5:$H$29,IF(E6042="HI",2,IF(E6042="LO",6,10))+IF(D6042=1,2,IF(D6042=7,1,(IF(WEEKDAY(B6042)=1,2,IF(WEEKDAY(B6042)=7,1,0))))))</f>
        <v>2</v>
      </c>
      <c r="G6042" s="369">
        <f>VLOOKUP(C6042,METADATA!$J$5:$Q$29,IF(E6042="HI",2,IF(E6042="LO",6,10))+IF(D6042=1,2,IF(D6042=7,1,(IF(WEEKDAY(B6042)=1,2,IF(WEEKDAY(B6042)=7,1,0))))))</f>
        <v>2</v>
      </c>
      <c r="H6042" s="370">
        <v>11352.710144042969</v>
      </c>
      <c r="I6042" s="370">
        <v>3110.385009765625</v>
      </c>
      <c r="M6042" s="371">
        <f t="shared" si="377"/>
        <v>11771.088417118905</v>
      </c>
      <c r="N6042" s="329">
        <f t="shared" si="378"/>
        <v>0</v>
      </c>
      <c r="T6042" s="331">
        <v>0</v>
      </c>
      <c r="U6042" s="328">
        <f>VLOOKUP(C6042,METADATA!$J$5:$Q$29,IF(E6042="HI",2,IF(E6042="LO",6,10))+IF(T6042=1,2,IF(D6042=7,1,(IF(WEEKDAY(B6042)=1,2,IF(WEEKDAY(B6042)=7,1,0))))))</f>
        <v>2</v>
      </c>
      <c r="V6042" s="328">
        <f>VLOOKUP(C6042,METADATA!$A$5:$H$29,IF(E6042="HI",2,IF(E6042="LO",6,10))+IF(T6042=1,2,IF(D6042=7,1,(IF(WEEKDAY(B6042)=1,2,IF(WEEKDAY(B6042)=7,1,0))))))</f>
        <v>2</v>
      </c>
    </row>
    <row r="6043" spans="2:22">
      <c r="B6043" s="318">
        <f t="shared" si="375"/>
        <v>46364</v>
      </c>
      <c r="C6043" s="312">
        <v>15</v>
      </c>
      <c r="D6043" s="368">
        <f>IFERROR((INDEX(METADATA!$T$2:$T$20,MATCH(B6043,METADATA!$S$2:$S$20,0))),0)</f>
        <v>0</v>
      </c>
      <c r="E6043" s="312" t="str">
        <f t="shared" si="376"/>
        <v>LO</v>
      </c>
      <c r="F6043" s="369">
        <f>VLOOKUP(C6043,METADATA!$A$5:$H$29,IF(E6043="HI",2,IF(E6043="LO",6,10))+IF(D6043=1,2,IF(D6043=7,1,(IF(WEEKDAY(B6043)=1,2,IF(WEEKDAY(B6043)=7,1,0))))))</f>
        <v>2</v>
      </c>
      <c r="G6043" s="369">
        <f>VLOOKUP(C6043,METADATA!$J$5:$Q$29,IF(E6043="HI",2,IF(E6043="LO",6,10))+IF(D6043=1,2,IF(D6043=7,1,(IF(WEEKDAY(B6043)=1,2,IF(WEEKDAY(B6043)=7,1,0))))))</f>
        <v>2</v>
      </c>
      <c r="H6043" s="370">
        <v>12186.37744140625</v>
      </c>
      <c r="I6043" s="370">
        <v>3547.215087890625</v>
      </c>
      <c r="M6043" s="371">
        <f t="shared" si="377"/>
        <v>12692.144421813598</v>
      </c>
      <c r="N6043" s="329">
        <f t="shared" si="378"/>
        <v>0</v>
      </c>
      <c r="T6043" s="331">
        <v>0</v>
      </c>
      <c r="U6043" s="328">
        <f>VLOOKUP(C6043,METADATA!$J$5:$Q$29,IF(E6043="HI",2,IF(E6043="LO",6,10))+IF(T6043=1,2,IF(D6043=7,1,(IF(WEEKDAY(B6043)=1,2,IF(WEEKDAY(B6043)=7,1,0))))))</f>
        <v>2</v>
      </c>
      <c r="V6043" s="328">
        <f>VLOOKUP(C6043,METADATA!$A$5:$H$29,IF(E6043="HI",2,IF(E6043="LO",6,10))+IF(T6043=1,2,IF(D6043=7,1,(IF(WEEKDAY(B6043)=1,2,IF(WEEKDAY(B6043)=7,1,0))))))</f>
        <v>2</v>
      </c>
    </row>
    <row r="6044" spans="2:22">
      <c r="B6044" s="318">
        <f t="shared" ref="B6044:B6107" si="379">B6020+1</f>
        <v>46364</v>
      </c>
      <c r="C6044" s="312">
        <v>16</v>
      </c>
      <c r="D6044" s="368">
        <f>IFERROR((INDEX(METADATA!$T$2:$T$20,MATCH(B6044,METADATA!$S$2:$S$20,0))),0)</f>
        <v>0</v>
      </c>
      <c r="E6044" s="312" t="str">
        <f t="shared" si="376"/>
        <v>LO</v>
      </c>
      <c r="F6044" s="369">
        <f>VLOOKUP(C6044,METADATA!$A$5:$H$29,IF(E6044="HI",2,IF(E6044="LO",6,10))+IF(D6044=1,2,IF(D6044=7,1,(IF(WEEKDAY(B6044)=1,2,IF(WEEKDAY(B6044)=7,1,0))))))</f>
        <v>2</v>
      </c>
      <c r="G6044" s="369">
        <f>VLOOKUP(C6044,METADATA!$J$5:$Q$29,IF(E6044="HI",2,IF(E6044="LO",6,10))+IF(D6044=1,2,IF(D6044=7,1,(IF(WEEKDAY(B6044)=1,2,IF(WEEKDAY(B6044)=7,1,0))))))</f>
        <v>2</v>
      </c>
      <c r="H6044" s="370">
        <v>13323.500183105469</v>
      </c>
      <c r="I6044" s="370">
        <v>4198.8049621582031</v>
      </c>
      <c r="M6044" s="371">
        <f t="shared" si="377"/>
        <v>13969.453111681067</v>
      </c>
      <c r="N6044" s="329">
        <f t="shared" si="378"/>
        <v>201.75490722656286</v>
      </c>
      <c r="T6044" s="331">
        <v>0</v>
      </c>
      <c r="U6044" s="328">
        <f>VLOOKUP(C6044,METADATA!$J$5:$Q$29,IF(E6044="HI",2,IF(E6044="LO",6,10))+IF(T6044=1,2,IF(D6044=7,1,(IF(WEEKDAY(B6044)=1,2,IF(WEEKDAY(B6044)=7,1,0))))))</f>
        <v>2</v>
      </c>
      <c r="V6044" s="328">
        <f>VLOOKUP(C6044,METADATA!$A$5:$H$29,IF(E6044="HI",2,IF(E6044="LO",6,10))+IF(T6044=1,2,IF(D6044=7,1,(IF(WEEKDAY(B6044)=1,2,IF(WEEKDAY(B6044)=7,1,0))))))</f>
        <v>2</v>
      </c>
    </row>
    <row r="6045" spans="2:22">
      <c r="B6045" s="318">
        <f t="shared" si="379"/>
        <v>46364</v>
      </c>
      <c r="C6045" s="312">
        <v>17</v>
      </c>
      <c r="D6045" s="368">
        <f>IFERROR((INDEX(METADATA!$T$2:$T$20,MATCH(B6045,METADATA!$S$2:$S$20,0))),0)</f>
        <v>0</v>
      </c>
      <c r="E6045" s="312" t="str">
        <f t="shared" si="376"/>
        <v>LO</v>
      </c>
      <c r="F6045" s="369">
        <f>VLOOKUP(C6045,METADATA!$A$5:$H$29,IF(E6045="HI",2,IF(E6045="LO",6,10))+IF(D6045=1,2,IF(D6045=7,1,(IF(WEEKDAY(B6045)=1,2,IF(WEEKDAY(B6045)=7,1,0))))))</f>
        <v>2</v>
      </c>
      <c r="G6045" s="369">
        <f>VLOOKUP(C6045,METADATA!$J$5:$Q$29,IF(E6045="HI",2,IF(E6045="LO",6,10))+IF(D6045=1,2,IF(D6045=7,1,(IF(WEEKDAY(B6045)=1,2,IF(WEEKDAY(B6045)=7,1,0))))))</f>
        <v>2</v>
      </c>
      <c r="H6045" s="370">
        <v>13244.450317382813</v>
      </c>
      <c r="I6045" s="370">
        <v>4254.550048828125</v>
      </c>
      <c r="M6045" s="371">
        <f t="shared" si="377"/>
        <v>13911.026573463407</v>
      </c>
      <c r="N6045" s="329">
        <f t="shared" si="378"/>
        <v>281.21495361328152</v>
      </c>
      <c r="T6045" s="331">
        <v>0</v>
      </c>
      <c r="U6045" s="328">
        <f>VLOOKUP(C6045,METADATA!$J$5:$Q$29,IF(E6045="HI",2,IF(E6045="LO",6,10))+IF(T6045=1,2,IF(D6045=7,1,(IF(WEEKDAY(B6045)=1,2,IF(WEEKDAY(B6045)=7,1,0))))))</f>
        <v>2</v>
      </c>
      <c r="V6045" s="328">
        <f>VLOOKUP(C6045,METADATA!$A$5:$H$29,IF(E6045="HI",2,IF(E6045="LO",6,10))+IF(T6045=1,2,IF(D6045=7,1,(IF(WEEKDAY(B6045)=1,2,IF(WEEKDAY(B6045)=7,1,0))))))</f>
        <v>2</v>
      </c>
    </row>
    <row r="6046" spans="2:22">
      <c r="B6046" s="318">
        <f t="shared" si="379"/>
        <v>46364</v>
      </c>
      <c r="C6046" s="312">
        <v>18</v>
      </c>
      <c r="D6046" s="368">
        <f>IFERROR((INDEX(METADATA!$T$2:$T$20,MATCH(B6046,METADATA!$S$2:$S$20,0))),0)</f>
        <v>0</v>
      </c>
      <c r="E6046" s="312" t="str">
        <f t="shared" si="376"/>
        <v>LO</v>
      </c>
      <c r="F6046" s="369">
        <f>VLOOKUP(C6046,METADATA!$A$5:$H$29,IF(E6046="HI",2,IF(E6046="LO",6,10))+IF(D6046=1,2,IF(D6046=7,1,(IF(WEEKDAY(B6046)=1,2,IF(WEEKDAY(B6046)=7,1,0))))))</f>
        <v>1</v>
      </c>
      <c r="G6046" s="369">
        <f>VLOOKUP(C6046,METADATA!$J$5:$Q$29,IF(E6046="HI",2,IF(E6046="LO",6,10))+IF(D6046=1,2,IF(D6046=7,1,(IF(WEEKDAY(B6046)=1,2,IF(WEEKDAY(B6046)=7,1,0))))))</f>
        <v>1</v>
      </c>
      <c r="H6046" s="370">
        <v>13132.675170898438</v>
      </c>
      <c r="I6046" s="370">
        <v>4208.5200500488281</v>
      </c>
      <c r="M6046" s="371">
        <f t="shared" si="377"/>
        <v>13790.532917766277</v>
      </c>
      <c r="N6046" s="329">
        <f t="shared" si="378"/>
        <v>268.71749877929688</v>
      </c>
      <c r="T6046" s="331">
        <v>0</v>
      </c>
      <c r="U6046" s="328">
        <f>VLOOKUP(C6046,METADATA!$J$5:$Q$29,IF(E6046="HI",2,IF(E6046="LO",6,10))+IF(T6046=1,2,IF(D6046=7,1,(IF(WEEKDAY(B6046)=1,2,IF(WEEKDAY(B6046)=7,1,0))))))</f>
        <v>1</v>
      </c>
      <c r="V6046" s="328">
        <f>VLOOKUP(C6046,METADATA!$A$5:$H$29,IF(E6046="HI",2,IF(E6046="LO",6,10))+IF(T6046=1,2,IF(D6046=7,1,(IF(WEEKDAY(B6046)=1,2,IF(WEEKDAY(B6046)=7,1,0))))))</f>
        <v>1</v>
      </c>
    </row>
    <row r="6047" spans="2:22">
      <c r="B6047" s="318">
        <f t="shared" si="379"/>
        <v>46364</v>
      </c>
      <c r="C6047" s="312">
        <v>19</v>
      </c>
      <c r="D6047" s="368">
        <f>IFERROR((INDEX(METADATA!$T$2:$T$20,MATCH(B6047,METADATA!$S$2:$S$20,0))),0)</f>
        <v>0</v>
      </c>
      <c r="E6047" s="312" t="str">
        <f t="shared" si="376"/>
        <v>LO</v>
      </c>
      <c r="F6047" s="369">
        <f>VLOOKUP(C6047,METADATA!$A$5:$H$29,IF(E6047="HI",2,IF(E6047="LO",6,10))+IF(D6047=1,2,IF(D6047=7,1,(IF(WEEKDAY(B6047)=1,2,IF(WEEKDAY(B6047)=7,1,0))))))</f>
        <v>1</v>
      </c>
      <c r="G6047" s="369">
        <f>VLOOKUP(C6047,METADATA!$J$5:$Q$29,IF(E6047="HI",2,IF(E6047="LO",6,10))+IF(D6047=1,2,IF(D6047=7,1,(IF(WEEKDAY(B6047)=1,2,IF(WEEKDAY(B6047)=7,1,0))))))</f>
        <v>1</v>
      </c>
      <c r="H6047" s="370">
        <v>13354.525329589844</v>
      </c>
      <c r="I6047" s="370">
        <v>4132.7699584960938</v>
      </c>
      <c r="M6047" s="371">
        <f t="shared" si="377"/>
        <v>13979.382472359232</v>
      </c>
      <c r="N6047" s="329">
        <f t="shared" si="378"/>
        <v>126.41235961914072</v>
      </c>
      <c r="T6047" s="331">
        <v>0</v>
      </c>
      <c r="U6047" s="328">
        <f>VLOOKUP(C6047,METADATA!$J$5:$Q$29,IF(E6047="HI",2,IF(E6047="LO",6,10))+IF(T6047=1,2,IF(D6047=7,1,(IF(WEEKDAY(B6047)=1,2,IF(WEEKDAY(B6047)=7,1,0))))))</f>
        <v>1</v>
      </c>
      <c r="V6047" s="328">
        <f>VLOOKUP(C6047,METADATA!$A$5:$H$29,IF(E6047="HI",2,IF(E6047="LO",6,10))+IF(T6047=1,2,IF(D6047=7,1,(IF(WEEKDAY(B6047)=1,2,IF(WEEKDAY(B6047)=7,1,0))))))</f>
        <v>1</v>
      </c>
    </row>
    <row r="6048" spans="2:22">
      <c r="B6048" s="318">
        <f t="shared" si="379"/>
        <v>46364</v>
      </c>
      <c r="C6048" s="312">
        <v>20</v>
      </c>
      <c r="D6048" s="368">
        <f>IFERROR((INDEX(METADATA!$T$2:$T$20,MATCH(B6048,METADATA!$S$2:$S$20,0))),0)</f>
        <v>0</v>
      </c>
      <c r="E6048" s="312" t="str">
        <f t="shared" si="376"/>
        <v>LO</v>
      </c>
      <c r="F6048" s="369">
        <f>VLOOKUP(C6048,METADATA!$A$5:$H$29,IF(E6048="HI",2,IF(E6048="LO",6,10))+IF(D6048=1,2,IF(D6048=7,1,(IF(WEEKDAY(B6048)=1,2,IF(WEEKDAY(B6048)=7,1,0))))))</f>
        <v>1</v>
      </c>
      <c r="G6048" s="369">
        <f>VLOOKUP(C6048,METADATA!$J$5:$Q$29,IF(E6048="HI",2,IF(E6048="LO",6,10))+IF(D6048=1,2,IF(D6048=7,1,(IF(WEEKDAY(B6048)=1,2,IF(WEEKDAY(B6048)=7,1,0))))))</f>
        <v>1</v>
      </c>
      <c r="H6048" s="370">
        <v>13284.949890136719</v>
      </c>
      <c r="I6048" s="370">
        <v>4164.8351135253906</v>
      </c>
      <c r="M6048" s="371">
        <f t="shared" si="377"/>
        <v>13922.490621519473</v>
      </c>
      <c r="N6048" s="329">
        <f t="shared" si="378"/>
        <v>179.35014648437527</v>
      </c>
      <c r="T6048" s="331">
        <v>0</v>
      </c>
      <c r="U6048" s="328">
        <f>VLOOKUP(C6048,METADATA!$J$5:$Q$29,IF(E6048="HI",2,IF(E6048="LO",6,10))+IF(T6048=1,2,IF(D6048=7,1,(IF(WEEKDAY(B6048)=1,2,IF(WEEKDAY(B6048)=7,1,0))))))</f>
        <v>1</v>
      </c>
      <c r="V6048" s="328">
        <f>VLOOKUP(C6048,METADATA!$A$5:$H$29,IF(E6048="HI",2,IF(E6048="LO",6,10))+IF(T6048=1,2,IF(D6048=7,1,(IF(WEEKDAY(B6048)=1,2,IF(WEEKDAY(B6048)=7,1,0))))))</f>
        <v>1</v>
      </c>
    </row>
    <row r="6049" spans="2:22">
      <c r="B6049" s="318">
        <f t="shared" si="379"/>
        <v>46364</v>
      </c>
      <c r="C6049" s="312">
        <v>21</v>
      </c>
      <c r="D6049" s="368">
        <f>IFERROR((INDEX(METADATA!$T$2:$T$20,MATCH(B6049,METADATA!$S$2:$S$20,0))),0)</f>
        <v>0</v>
      </c>
      <c r="E6049" s="312" t="str">
        <f t="shared" si="376"/>
        <v>LO</v>
      </c>
      <c r="F6049" s="369">
        <f>VLOOKUP(C6049,METADATA!$A$5:$H$29,IF(E6049="HI",2,IF(E6049="LO",6,10))+IF(D6049=1,2,IF(D6049=7,1,(IF(WEEKDAY(B6049)=1,2,IF(WEEKDAY(B6049)=7,1,0))))))</f>
        <v>2</v>
      </c>
      <c r="G6049" s="369">
        <f>VLOOKUP(C6049,METADATA!$J$5:$Q$29,IF(E6049="HI",2,IF(E6049="LO",6,10))+IF(D6049=1,2,IF(D6049=7,1,(IF(WEEKDAY(B6049)=1,2,IF(WEEKDAY(B6049)=7,1,0))))))</f>
        <v>2</v>
      </c>
      <c r="H6049" s="370">
        <v>13481.250244140625</v>
      </c>
      <c r="I6049" s="370">
        <v>4268.0599975585938</v>
      </c>
      <c r="M6049" s="371">
        <f t="shared" si="377"/>
        <v>14140.73704896253</v>
      </c>
      <c r="N6049" s="329">
        <f t="shared" si="378"/>
        <v>223.68492431640652</v>
      </c>
      <c r="T6049" s="331">
        <v>0</v>
      </c>
      <c r="U6049" s="328">
        <f>VLOOKUP(C6049,METADATA!$J$5:$Q$29,IF(E6049="HI",2,IF(E6049="LO",6,10))+IF(T6049=1,2,IF(D6049=7,1,(IF(WEEKDAY(B6049)=1,2,IF(WEEKDAY(B6049)=7,1,0))))))</f>
        <v>2</v>
      </c>
      <c r="V6049" s="328">
        <f>VLOOKUP(C6049,METADATA!$A$5:$H$29,IF(E6049="HI",2,IF(E6049="LO",6,10))+IF(T6049=1,2,IF(D6049=7,1,(IF(WEEKDAY(B6049)=1,2,IF(WEEKDAY(B6049)=7,1,0))))))</f>
        <v>2</v>
      </c>
    </row>
    <row r="6050" spans="2:22">
      <c r="B6050" s="318">
        <f t="shared" si="379"/>
        <v>46364</v>
      </c>
      <c r="C6050" s="312">
        <v>22</v>
      </c>
      <c r="D6050" s="368">
        <f>IFERROR((INDEX(METADATA!$T$2:$T$20,MATCH(B6050,METADATA!$S$2:$S$20,0))),0)</f>
        <v>0</v>
      </c>
      <c r="E6050" s="312" t="str">
        <f t="shared" si="376"/>
        <v>LO</v>
      </c>
      <c r="F6050" s="369">
        <f>VLOOKUP(C6050,METADATA!$A$5:$H$29,IF(E6050="HI",2,IF(E6050="LO",6,10))+IF(D6050=1,2,IF(D6050=7,1,(IF(WEEKDAY(B6050)=1,2,IF(WEEKDAY(B6050)=7,1,0))))))</f>
        <v>3</v>
      </c>
      <c r="G6050" s="369">
        <f>VLOOKUP(C6050,METADATA!$J$5:$Q$29,IF(E6050="HI",2,IF(E6050="LO",6,10))+IF(D6050=1,2,IF(D6050=7,1,(IF(WEEKDAY(B6050)=1,2,IF(WEEKDAY(B6050)=7,1,0))))))</f>
        <v>3</v>
      </c>
      <c r="H6050" s="370">
        <v>13531.125183105469</v>
      </c>
      <c r="I6050" s="370">
        <v>4243.6550598144531</v>
      </c>
      <c r="M6050" s="371">
        <f t="shared" si="377"/>
        <v>14180.971651743748</v>
      </c>
      <c r="N6050" s="329">
        <f t="shared" si="378"/>
        <v>184.3175048828125</v>
      </c>
      <c r="T6050" s="331">
        <v>0</v>
      </c>
      <c r="U6050" s="328">
        <f>VLOOKUP(C6050,METADATA!$J$5:$Q$29,IF(E6050="HI",2,IF(E6050="LO",6,10))+IF(T6050=1,2,IF(D6050=7,1,(IF(WEEKDAY(B6050)=1,2,IF(WEEKDAY(B6050)=7,1,0))))))</f>
        <v>3</v>
      </c>
      <c r="V6050" s="328">
        <f>VLOOKUP(C6050,METADATA!$A$5:$H$29,IF(E6050="HI",2,IF(E6050="LO",6,10))+IF(T6050=1,2,IF(D6050=7,1,(IF(WEEKDAY(B6050)=1,2,IF(WEEKDAY(B6050)=7,1,0))))))</f>
        <v>3</v>
      </c>
    </row>
    <row r="6051" spans="2:22">
      <c r="B6051" s="318">
        <f t="shared" si="379"/>
        <v>46364</v>
      </c>
      <c r="C6051" s="312">
        <v>23</v>
      </c>
      <c r="D6051" s="368">
        <f>IFERROR((INDEX(METADATA!$T$2:$T$20,MATCH(B6051,METADATA!$S$2:$S$20,0))),0)</f>
        <v>0</v>
      </c>
      <c r="E6051" s="312" t="str">
        <f t="shared" si="376"/>
        <v>LO</v>
      </c>
      <c r="F6051" s="369">
        <f>VLOOKUP(C6051,METADATA!$A$5:$H$29,IF(E6051="HI",2,IF(E6051="LO",6,10))+IF(D6051=1,2,IF(D6051=7,1,(IF(WEEKDAY(B6051)=1,2,IF(WEEKDAY(B6051)=7,1,0))))))</f>
        <v>3</v>
      </c>
      <c r="G6051" s="369">
        <f>VLOOKUP(C6051,METADATA!$J$5:$Q$29,IF(E6051="HI",2,IF(E6051="LO",6,10))+IF(D6051=1,2,IF(D6051=7,1,(IF(WEEKDAY(B6051)=1,2,IF(WEEKDAY(B6051)=7,1,0))))))</f>
        <v>3</v>
      </c>
      <c r="H6051" s="370">
        <v>13305.64990234375</v>
      </c>
      <c r="I6051" s="370">
        <v>4115.2049560546875</v>
      </c>
      <c r="M6051" s="371">
        <f t="shared" si="377"/>
        <v>13927.499099051391</v>
      </c>
      <c r="N6051" s="329">
        <f t="shared" si="378"/>
        <v>123.50998535156259</v>
      </c>
      <c r="T6051" s="331">
        <v>0</v>
      </c>
      <c r="U6051" s="328">
        <f>VLOOKUP(C6051,METADATA!$J$5:$Q$29,IF(E6051="HI",2,IF(E6051="LO",6,10))+IF(T6051=1,2,IF(D6051=7,1,(IF(WEEKDAY(B6051)=1,2,IF(WEEKDAY(B6051)=7,1,0))))))</f>
        <v>3</v>
      </c>
      <c r="V6051" s="328">
        <f>VLOOKUP(C6051,METADATA!$A$5:$H$29,IF(E6051="HI",2,IF(E6051="LO",6,10))+IF(T6051=1,2,IF(D6051=7,1,(IF(WEEKDAY(B6051)=1,2,IF(WEEKDAY(B6051)=7,1,0))))))</f>
        <v>3</v>
      </c>
    </row>
    <row r="6052" spans="2:22">
      <c r="B6052" s="318">
        <f t="shared" si="379"/>
        <v>46365</v>
      </c>
      <c r="C6052" s="312">
        <v>0</v>
      </c>
      <c r="D6052" s="368">
        <f>IFERROR((INDEX(METADATA!$T$2:$T$20,MATCH(B6052,METADATA!$S$2:$S$20,0))),0)</f>
        <v>0</v>
      </c>
      <c r="E6052" s="312" t="str">
        <f t="shared" si="376"/>
        <v>LO</v>
      </c>
      <c r="F6052" s="369">
        <f>VLOOKUP(C6052,METADATA!$A$5:$H$29,IF(E6052="HI",2,IF(E6052="LO",6,10))+IF(D6052=1,2,IF(D6052=7,1,(IF(WEEKDAY(B6052)=1,2,IF(WEEKDAY(B6052)=7,1,0))))))</f>
        <v>3</v>
      </c>
      <c r="G6052" s="369">
        <f>VLOOKUP(C6052,METADATA!$J$5:$Q$29,IF(E6052="HI",2,IF(E6052="LO",6,10))+IF(D6052=1,2,IF(D6052=7,1,(IF(WEEKDAY(B6052)=1,2,IF(WEEKDAY(B6052)=7,1,0))))))</f>
        <v>3</v>
      </c>
      <c r="H6052" s="370">
        <v>13257.474792480469</v>
      </c>
      <c r="I6052" s="370">
        <v>4144.635009765625</v>
      </c>
      <c r="M6052" s="371">
        <f t="shared" si="377"/>
        <v>13890.235319728386</v>
      </c>
      <c r="N6052" s="329">
        <f t="shared" si="378"/>
        <v>167.39257202148474</v>
      </c>
      <c r="T6052" s="331">
        <v>0</v>
      </c>
      <c r="U6052" s="328">
        <f>VLOOKUP(C6052,METADATA!$J$5:$Q$29,IF(E6052="HI",2,IF(E6052="LO",6,10))+IF(T6052=1,2,IF(D6052=7,1,(IF(WEEKDAY(B6052)=1,2,IF(WEEKDAY(B6052)=7,1,0))))))</f>
        <v>3</v>
      </c>
      <c r="V6052" s="328">
        <f>VLOOKUP(C6052,METADATA!$A$5:$H$29,IF(E6052="HI",2,IF(E6052="LO",6,10))+IF(T6052=1,2,IF(D6052=7,1,(IF(WEEKDAY(B6052)=1,2,IF(WEEKDAY(B6052)=7,1,0))))))</f>
        <v>3</v>
      </c>
    </row>
    <row r="6053" spans="2:22">
      <c r="B6053" s="318">
        <f t="shared" si="379"/>
        <v>46365</v>
      </c>
      <c r="C6053" s="312">
        <v>1</v>
      </c>
      <c r="D6053" s="368">
        <f>IFERROR((INDEX(METADATA!$T$2:$T$20,MATCH(B6053,METADATA!$S$2:$S$20,0))),0)</f>
        <v>0</v>
      </c>
      <c r="E6053" s="312" t="str">
        <f t="shared" si="376"/>
        <v>LO</v>
      </c>
      <c r="F6053" s="369">
        <f>VLOOKUP(C6053,METADATA!$A$5:$H$29,IF(E6053="HI",2,IF(E6053="LO",6,10))+IF(D6053=1,2,IF(D6053=7,1,(IF(WEEKDAY(B6053)=1,2,IF(WEEKDAY(B6053)=7,1,0))))))</f>
        <v>3</v>
      </c>
      <c r="G6053" s="369">
        <f>VLOOKUP(C6053,METADATA!$J$5:$Q$29,IF(E6053="HI",2,IF(E6053="LO",6,10))+IF(D6053=1,2,IF(D6053=7,1,(IF(WEEKDAY(B6053)=1,2,IF(WEEKDAY(B6053)=7,1,0))))))</f>
        <v>3</v>
      </c>
      <c r="H6053" s="370">
        <v>13260.924987792969</v>
      </c>
      <c r="I6053" s="370">
        <v>4099.0200500488281</v>
      </c>
      <c r="M6053" s="371">
        <f t="shared" si="377"/>
        <v>13879.989081500542</v>
      </c>
      <c r="N6053" s="329">
        <f t="shared" si="378"/>
        <v>120.7425537109375</v>
      </c>
      <c r="T6053" s="331">
        <v>0</v>
      </c>
      <c r="U6053" s="328">
        <f>VLOOKUP(C6053,METADATA!$J$5:$Q$29,IF(E6053="HI",2,IF(E6053="LO",6,10))+IF(T6053=1,2,IF(D6053=7,1,(IF(WEEKDAY(B6053)=1,2,IF(WEEKDAY(B6053)=7,1,0))))))</f>
        <v>3</v>
      </c>
      <c r="V6053" s="328">
        <f>VLOOKUP(C6053,METADATA!$A$5:$H$29,IF(E6053="HI",2,IF(E6053="LO",6,10))+IF(T6053=1,2,IF(D6053=7,1,(IF(WEEKDAY(B6053)=1,2,IF(WEEKDAY(B6053)=7,1,0))))))</f>
        <v>3</v>
      </c>
    </row>
    <row r="6054" spans="2:22">
      <c r="B6054" s="318">
        <f t="shared" si="379"/>
        <v>46365</v>
      </c>
      <c r="C6054" s="312">
        <v>2</v>
      </c>
      <c r="D6054" s="368">
        <f>IFERROR((INDEX(METADATA!$T$2:$T$20,MATCH(B6054,METADATA!$S$2:$S$20,0))),0)</f>
        <v>0</v>
      </c>
      <c r="E6054" s="312" t="str">
        <f t="shared" si="376"/>
        <v>LO</v>
      </c>
      <c r="F6054" s="369">
        <f>VLOOKUP(C6054,METADATA!$A$5:$H$29,IF(E6054="HI",2,IF(E6054="LO",6,10))+IF(D6054=1,2,IF(D6054=7,1,(IF(WEEKDAY(B6054)=1,2,IF(WEEKDAY(B6054)=7,1,0))))))</f>
        <v>3</v>
      </c>
      <c r="G6054" s="369">
        <f>VLOOKUP(C6054,METADATA!$J$5:$Q$29,IF(E6054="HI",2,IF(E6054="LO",6,10))+IF(D6054=1,2,IF(D6054=7,1,(IF(WEEKDAY(B6054)=1,2,IF(WEEKDAY(B6054)=7,1,0))))))</f>
        <v>3</v>
      </c>
      <c r="H6054" s="370">
        <v>13359.569702148438</v>
      </c>
      <c r="I6054" s="370">
        <v>4182.56005859375</v>
      </c>
      <c r="M6054" s="371">
        <f t="shared" si="377"/>
        <v>13998.996795138793</v>
      </c>
      <c r="N6054" s="329">
        <f t="shared" si="378"/>
        <v>174.68914794921875</v>
      </c>
      <c r="T6054" s="331">
        <v>0</v>
      </c>
      <c r="U6054" s="328">
        <f>VLOOKUP(C6054,METADATA!$J$5:$Q$29,IF(E6054="HI",2,IF(E6054="LO",6,10))+IF(T6054=1,2,IF(D6054=7,1,(IF(WEEKDAY(B6054)=1,2,IF(WEEKDAY(B6054)=7,1,0))))))</f>
        <v>3</v>
      </c>
      <c r="V6054" s="328">
        <f>VLOOKUP(C6054,METADATA!$A$5:$H$29,IF(E6054="HI",2,IF(E6054="LO",6,10))+IF(T6054=1,2,IF(D6054=7,1,(IF(WEEKDAY(B6054)=1,2,IF(WEEKDAY(B6054)=7,1,0))))))</f>
        <v>3</v>
      </c>
    </row>
    <row r="6055" spans="2:22">
      <c r="B6055" s="318">
        <f t="shared" si="379"/>
        <v>46365</v>
      </c>
      <c r="C6055" s="312">
        <v>3</v>
      </c>
      <c r="D6055" s="368">
        <f>IFERROR((INDEX(METADATA!$T$2:$T$20,MATCH(B6055,METADATA!$S$2:$S$20,0))),0)</f>
        <v>0</v>
      </c>
      <c r="E6055" s="312" t="str">
        <f t="shared" si="376"/>
        <v>LO</v>
      </c>
      <c r="F6055" s="369">
        <f>VLOOKUP(C6055,METADATA!$A$5:$H$29,IF(E6055="HI",2,IF(E6055="LO",6,10))+IF(D6055=1,2,IF(D6055=7,1,(IF(WEEKDAY(B6055)=1,2,IF(WEEKDAY(B6055)=7,1,0))))))</f>
        <v>3</v>
      </c>
      <c r="G6055" s="369">
        <f>VLOOKUP(C6055,METADATA!$J$5:$Q$29,IF(E6055="HI",2,IF(E6055="LO",6,10))+IF(D6055=1,2,IF(D6055=7,1,(IF(WEEKDAY(B6055)=1,2,IF(WEEKDAY(B6055)=7,1,0))))))</f>
        <v>3</v>
      </c>
      <c r="H6055" s="370">
        <v>13397.599975585938</v>
      </c>
      <c r="I6055" s="370">
        <v>4244.7250671386719</v>
      </c>
      <c r="M6055" s="371">
        <f t="shared" si="377"/>
        <v>14053.945211271306</v>
      </c>
      <c r="N6055" s="329">
        <f t="shared" si="378"/>
        <v>225.44507446289072</v>
      </c>
      <c r="T6055" s="331">
        <v>0</v>
      </c>
      <c r="U6055" s="328">
        <f>VLOOKUP(C6055,METADATA!$J$5:$Q$29,IF(E6055="HI",2,IF(E6055="LO",6,10))+IF(T6055=1,2,IF(D6055=7,1,(IF(WEEKDAY(B6055)=1,2,IF(WEEKDAY(B6055)=7,1,0))))))</f>
        <v>3</v>
      </c>
      <c r="V6055" s="328">
        <f>VLOOKUP(C6055,METADATA!$A$5:$H$29,IF(E6055="HI",2,IF(E6055="LO",6,10))+IF(T6055=1,2,IF(D6055=7,1,(IF(WEEKDAY(B6055)=1,2,IF(WEEKDAY(B6055)=7,1,0))))))</f>
        <v>3</v>
      </c>
    </row>
    <row r="6056" spans="2:22">
      <c r="B6056" s="318">
        <f t="shared" si="379"/>
        <v>46365</v>
      </c>
      <c r="C6056" s="312">
        <v>4</v>
      </c>
      <c r="D6056" s="368">
        <f>IFERROR((INDEX(METADATA!$T$2:$T$20,MATCH(B6056,METADATA!$S$2:$S$20,0))),0)</f>
        <v>0</v>
      </c>
      <c r="E6056" s="312" t="str">
        <f t="shared" si="376"/>
        <v>LO</v>
      </c>
      <c r="F6056" s="369">
        <f>VLOOKUP(C6056,METADATA!$A$5:$H$29,IF(E6056="HI",2,IF(E6056="LO",6,10))+IF(D6056=1,2,IF(D6056=7,1,(IF(WEEKDAY(B6056)=1,2,IF(WEEKDAY(B6056)=7,1,0))))))</f>
        <v>3</v>
      </c>
      <c r="G6056" s="369">
        <f>VLOOKUP(C6056,METADATA!$J$5:$Q$29,IF(E6056="HI",2,IF(E6056="LO",6,10))+IF(D6056=1,2,IF(D6056=7,1,(IF(WEEKDAY(B6056)=1,2,IF(WEEKDAY(B6056)=7,1,0))))))</f>
        <v>3</v>
      </c>
      <c r="H6056" s="370">
        <v>13410.449951171875</v>
      </c>
      <c r="I6056" s="370">
        <v>4172.1000671386719</v>
      </c>
      <c r="M6056" s="371">
        <f t="shared" si="377"/>
        <v>14044.450393771351</v>
      </c>
      <c r="N6056" s="329">
        <f t="shared" si="378"/>
        <v>148.96508178710974</v>
      </c>
      <c r="T6056" s="331">
        <v>0</v>
      </c>
      <c r="U6056" s="328">
        <f>VLOOKUP(C6056,METADATA!$J$5:$Q$29,IF(E6056="HI",2,IF(E6056="LO",6,10))+IF(T6056=1,2,IF(D6056=7,1,(IF(WEEKDAY(B6056)=1,2,IF(WEEKDAY(B6056)=7,1,0))))))</f>
        <v>3</v>
      </c>
      <c r="V6056" s="328">
        <f>VLOOKUP(C6056,METADATA!$A$5:$H$29,IF(E6056="HI",2,IF(E6056="LO",6,10))+IF(T6056=1,2,IF(D6056=7,1,(IF(WEEKDAY(B6056)=1,2,IF(WEEKDAY(B6056)=7,1,0))))))</f>
        <v>3</v>
      </c>
    </row>
    <row r="6057" spans="2:22">
      <c r="B6057" s="318">
        <f t="shared" si="379"/>
        <v>46365</v>
      </c>
      <c r="C6057" s="312">
        <v>5</v>
      </c>
      <c r="D6057" s="368">
        <f>IFERROR((INDEX(METADATA!$T$2:$T$20,MATCH(B6057,METADATA!$S$2:$S$20,0))),0)</f>
        <v>0</v>
      </c>
      <c r="E6057" s="312" t="str">
        <f t="shared" si="376"/>
        <v>LO</v>
      </c>
      <c r="F6057" s="369">
        <f>VLOOKUP(C6057,METADATA!$A$5:$H$29,IF(E6057="HI",2,IF(E6057="LO",6,10))+IF(D6057=1,2,IF(D6057=7,1,(IF(WEEKDAY(B6057)=1,2,IF(WEEKDAY(B6057)=7,1,0))))))</f>
        <v>3</v>
      </c>
      <c r="G6057" s="369">
        <f>VLOOKUP(C6057,METADATA!$J$5:$Q$29,IF(E6057="HI",2,IF(E6057="LO",6,10))+IF(D6057=1,2,IF(D6057=7,1,(IF(WEEKDAY(B6057)=1,2,IF(WEEKDAY(B6057)=7,1,0))))))</f>
        <v>3</v>
      </c>
      <c r="H6057" s="370">
        <v>13272.175048828125</v>
      </c>
      <c r="I6057" s="370">
        <v>4004.2799072265625</v>
      </c>
      <c r="M6057" s="371">
        <f t="shared" si="377"/>
        <v>13863.076429932651</v>
      </c>
      <c r="N6057" s="329">
        <f t="shared" si="378"/>
        <v>22.627392578125182</v>
      </c>
      <c r="T6057" s="331">
        <v>0</v>
      </c>
      <c r="U6057" s="328">
        <f>VLOOKUP(C6057,METADATA!$J$5:$Q$29,IF(E6057="HI",2,IF(E6057="LO",6,10))+IF(T6057=1,2,IF(D6057=7,1,(IF(WEEKDAY(B6057)=1,2,IF(WEEKDAY(B6057)=7,1,0))))))</f>
        <v>3</v>
      </c>
      <c r="V6057" s="328">
        <f>VLOOKUP(C6057,METADATA!$A$5:$H$29,IF(E6057="HI",2,IF(E6057="LO",6,10))+IF(T6057=1,2,IF(D6057=7,1,(IF(WEEKDAY(B6057)=1,2,IF(WEEKDAY(B6057)=7,1,0))))))</f>
        <v>3</v>
      </c>
    </row>
    <row r="6058" spans="2:22">
      <c r="B6058" s="318">
        <f t="shared" si="379"/>
        <v>46365</v>
      </c>
      <c r="C6058" s="312">
        <v>6</v>
      </c>
      <c r="D6058" s="368">
        <f>IFERROR((INDEX(METADATA!$T$2:$T$20,MATCH(B6058,METADATA!$S$2:$S$20,0))),0)</f>
        <v>0</v>
      </c>
      <c r="E6058" s="312" t="str">
        <f t="shared" si="376"/>
        <v>LO</v>
      </c>
      <c r="F6058" s="369">
        <f>VLOOKUP(C6058,METADATA!$A$5:$H$29,IF(E6058="HI",2,IF(E6058="LO",6,10))+IF(D6058=1,2,IF(D6058=7,1,(IF(WEEKDAY(B6058)=1,2,IF(WEEKDAY(B6058)=7,1,0))))))</f>
        <v>2</v>
      </c>
      <c r="G6058" s="369">
        <f>VLOOKUP(C6058,METADATA!$J$5:$Q$29,IF(E6058="HI",2,IF(E6058="LO",6,10))+IF(D6058=1,2,IF(D6058=7,1,(IF(WEEKDAY(B6058)=1,2,IF(WEEKDAY(B6058)=7,1,0))))))</f>
        <v>2</v>
      </c>
      <c r="H6058" s="370">
        <v>13255.350219726563</v>
      </c>
      <c r="I6058" s="370">
        <v>3946.1300048828125</v>
      </c>
      <c r="M6058" s="371">
        <f t="shared" si="377"/>
        <v>13830.265777021114</v>
      </c>
      <c r="N6058" s="329">
        <f t="shared" si="378"/>
        <v>0</v>
      </c>
      <c r="T6058" s="331">
        <v>0</v>
      </c>
      <c r="U6058" s="328">
        <f>VLOOKUP(C6058,METADATA!$J$5:$Q$29,IF(E6058="HI",2,IF(E6058="LO",6,10))+IF(T6058=1,2,IF(D6058=7,1,(IF(WEEKDAY(B6058)=1,2,IF(WEEKDAY(B6058)=7,1,0))))))</f>
        <v>2</v>
      </c>
      <c r="V6058" s="328">
        <f>VLOOKUP(C6058,METADATA!$A$5:$H$29,IF(E6058="HI",2,IF(E6058="LO",6,10))+IF(T6058=1,2,IF(D6058=7,1,(IF(WEEKDAY(B6058)=1,2,IF(WEEKDAY(B6058)=7,1,0))))))</f>
        <v>2</v>
      </c>
    </row>
    <row r="6059" spans="2:22">
      <c r="B6059" s="318">
        <f t="shared" si="379"/>
        <v>46365</v>
      </c>
      <c r="C6059" s="312">
        <v>7</v>
      </c>
      <c r="D6059" s="368">
        <f>IFERROR((INDEX(METADATA!$T$2:$T$20,MATCH(B6059,METADATA!$S$2:$S$20,0))),0)</f>
        <v>0</v>
      </c>
      <c r="E6059" s="312" t="str">
        <f t="shared" si="376"/>
        <v>LO</v>
      </c>
      <c r="F6059" s="369">
        <f>VLOOKUP(C6059,METADATA!$A$5:$H$29,IF(E6059="HI",2,IF(E6059="LO",6,10))+IF(D6059=1,2,IF(D6059=7,1,(IF(WEEKDAY(B6059)=1,2,IF(WEEKDAY(B6059)=7,1,0))))))</f>
        <v>1</v>
      </c>
      <c r="G6059" s="369">
        <f>VLOOKUP(C6059,METADATA!$J$5:$Q$29,IF(E6059="HI",2,IF(E6059="LO",6,10))+IF(D6059=1,2,IF(D6059=7,1,(IF(WEEKDAY(B6059)=1,2,IF(WEEKDAY(B6059)=7,1,0))))))</f>
        <v>1</v>
      </c>
      <c r="H6059" s="370">
        <v>12791.100158691406</v>
      </c>
      <c r="I6059" s="370">
        <v>3637.0849456787109</v>
      </c>
      <c r="M6059" s="371">
        <f t="shared" si="377"/>
        <v>13298.143861898849</v>
      </c>
      <c r="N6059" s="329">
        <f t="shared" si="378"/>
        <v>0</v>
      </c>
      <c r="T6059" s="331">
        <v>0</v>
      </c>
      <c r="U6059" s="328">
        <f>VLOOKUP(C6059,METADATA!$J$5:$Q$29,IF(E6059="HI",2,IF(E6059="LO",6,10))+IF(T6059=1,2,IF(D6059=7,1,(IF(WEEKDAY(B6059)=1,2,IF(WEEKDAY(B6059)=7,1,0))))))</f>
        <v>1</v>
      </c>
      <c r="V6059" s="328">
        <f>VLOOKUP(C6059,METADATA!$A$5:$H$29,IF(E6059="HI",2,IF(E6059="LO",6,10))+IF(T6059=1,2,IF(D6059=7,1,(IF(WEEKDAY(B6059)=1,2,IF(WEEKDAY(B6059)=7,1,0))))))</f>
        <v>1</v>
      </c>
    </row>
    <row r="6060" spans="2:22">
      <c r="B6060" s="318">
        <f t="shared" si="379"/>
        <v>46365</v>
      </c>
      <c r="C6060" s="312">
        <v>8</v>
      </c>
      <c r="D6060" s="368">
        <f>IFERROR((INDEX(METADATA!$T$2:$T$20,MATCH(B6060,METADATA!$S$2:$S$20,0))),0)</f>
        <v>0</v>
      </c>
      <c r="E6060" s="312" t="str">
        <f t="shared" si="376"/>
        <v>LO</v>
      </c>
      <c r="F6060" s="369">
        <f>VLOOKUP(C6060,METADATA!$A$5:$H$29,IF(E6060="HI",2,IF(E6060="LO",6,10))+IF(D6060=1,2,IF(D6060=7,1,(IF(WEEKDAY(B6060)=1,2,IF(WEEKDAY(B6060)=7,1,0))))))</f>
        <v>1</v>
      </c>
      <c r="G6060" s="369">
        <f>VLOOKUP(C6060,METADATA!$J$5:$Q$29,IF(E6060="HI",2,IF(E6060="LO",6,10))+IF(D6060=1,2,IF(D6060=7,1,(IF(WEEKDAY(B6060)=1,2,IF(WEEKDAY(B6060)=7,1,0))))))</f>
        <v>1</v>
      </c>
      <c r="H6060" s="370">
        <v>12003.474975585938</v>
      </c>
      <c r="I6060" s="370">
        <v>2888.3100166320801</v>
      </c>
      <c r="M6060" s="371">
        <f t="shared" si="377"/>
        <v>12346.082222377065</v>
      </c>
      <c r="N6060" s="329">
        <f t="shared" si="378"/>
        <v>0</v>
      </c>
      <c r="T6060" s="331">
        <v>0</v>
      </c>
      <c r="U6060" s="328">
        <f>VLOOKUP(C6060,METADATA!$J$5:$Q$29,IF(E6060="HI",2,IF(E6060="LO",6,10))+IF(T6060=1,2,IF(D6060=7,1,(IF(WEEKDAY(B6060)=1,2,IF(WEEKDAY(B6060)=7,1,0))))))</f>
        <v>1</v>
      </c>
      <c r="V6060" s="328">
        <f>VLOOKUP(C6060,METADATA!$A$5:$H$29,IF(E6060="HI",2,IF(E6060="LO",6,10))+IF(T6060=1,2,IF(D6060=7,1,(IF(WEEKDAY(B6060)=1,2,IF(WEEKDAY(B6060)=7,1,0))))))</f>
        <v>1</v>
      </c>
    </row>
    <row r="6061" spans="2:22">
      <c r="B6061" s="318">
        <f t="shared" si="379"/>
        <v>46365</v>
      </c>
      <c r="C6061" s="312">
        <v>9</v>
      </c>
      <c r="D6061" s="368">
        <f>IFERROR((INDEX(METADATA!$T$2:$T$20,MATCH(B6061,METADATA!$S$2:$S$20,0))),0)</f>
        <v>0</v>
      </c>
      <c r="E6061" s="312" t="str">
        <f t="shared" si="376"/>
        <v>LO</v>
      </c>
      <c r="F6061" s="369">
        <f>VLOOKUP(C6061,METADATA!$A$5:$H$29,IF(E6061="HI",2,IF(E6061="LO",6,10))+IF(D6061=1,2,IF(D6061=7,1,(IF(WEEKDAY(B6061)=1,2,IF(WEEKDAY(B6061)=7,1,0))))))</f>
        <v>2</v>
      </c>
      <c r="G6061" s="369">
        <f>VLOOKUP(C6061,METADATA!$J$5:$Q$29,IF(E6061="HI",2,IF(E6061="LO",6,10))+IF(D6061=1,2,IF(D6061=7,1,(IF(WEEKDAY(B6061)=1,2,IF(WEEKDAY(B6061)=7,1,0))))))</f>
        <v>2</v>
      </c>
      <c r="H6061" s="370">
        <v>12034.750183105469</v>
      </c>
      <c r="I6061" s="370">
        <v>2846.3449516296387</v>
      </c>
      <c r="M6061" s="371">
        <f t="shared" si="377"/>
        <v>12366.765605987066</v>
      </c>
      <c r="N6061" s="329">
        <f t="shared" si="378"/>
        <v>0</v>
      </c>
      <c r="T6061" s="331">
        <v>0</v>
      </c>
      <c r="U6061" s="328">
        <f>VLOOKUP(C6061,METADATA!$J$5:$Q$29,IF(E6061="HI",2,IF(E6061="LO",6,10))+IF(T6061=1,2,IF(D6061=7,1,(IF(WEEKDAY(B6061)=1,2,IF(WEEKDAY(B6061)=7,1,0))))))</f>
        <v>2</v>
      </c>
      <c r="V6061" s="328">
        <f>VLOOKUP(C6061,METADATA!$A$5:$H$29,IF(E6061="HI",2,IF(E6061="LO",6,10))+IF(T6061=1,2,IF(D6061=7,1,(IF(WEEKDAY(B6061)=1,2,IF(WEEKDAY(B6061)=7,1,0))))))</f>
        <v>2</v>
      </c>
    </row>
    <row r="6062" spans="2:22">
      <c r="B6062" s="318">
        <f t="shared" si="379"/>
        <v>46365</v>
      </c>
      <c r="C6062" s="312">
        <v>10</v>
      </c>
      <c r="D6062" s="368">
        <f>IFERROR((INDEX(METADATA!$T$2:$T$20,MATCH(B6062,METADATA!$S$2:$S$20,0))),0)</f>
        <v>0</v>
      </c>
      <c r="E6062" s="312" t="str">
        <f t="shared" si="376"/>
        <v>LO</v>
      </c>
      <c r="F6062" s="369">
        <f>VLOOKUP(C6062,METADATA!$A$5:$H$29,IF(E6062="HI",2,IF(E6062="LO",6,10))+IF(D6062=1,2,IF(D6062=7,1,(IF(WEEKDAY(B6062)=1,2,IF(WEEKDAY(B6062)=7,1,0))))))</f>
        <v>2</v>
      </c>
      <c r="G6062" s="369">
        <f>VLOOKUP(C6062,METADATA!$J$5:$Q$29,IF(E6062="HI",2,IF(E6062="LO",6,10))+IF(D6062=1,2,IF(D6062=7,1,(IF(WEEKDAY(B6062)=1,2,IF(WEEKDAY(B6062)=7,1,0))))))</f>
        <v>2</v>
      </c>
      <c r="H6062" s="370">
        <v>12099.64990234375</v>
      </c>
      <c r="I6062" s="370">
        <v>2882.0649948120117</v>
      </c>
      <c r="M6062" s="371">
        <f t="shared" si="377"/>
        <v>12438.160088759425</v>
      </c>
      <c r="N6062" s="329">
        <f t="shared" si="378"/>
        <v>0</v>
      </c>
      <c r="T6062" s="331">
        <v>0</v>
      </c>
      <c r="U6062" s="328">
        <f>VLOOKUP(C6062,METADATA!$J$5:$Q$29,IF(E6062="HI",2,IF(E6062="LO",6,10))+IF(T6062=1,2,IF(D6062=7,1,(IF(WEEKDAY(B6062)=1,2,IF(WEEKDAY(B6062)=7,1,0))))))</f>
        <v>2</v>
      </c>
      <c r="V6062" s="328">
        <f>VLOOKUP(C6062,METADATA!$A$5:$H$29,IF(E6062="HI",2,IF(E6062="LO",6,10))+IF(T6062=1,2,IF(D6062=7,1,(IF(WEEKDAY(B6062)=1,2,IF(WEEKDAY(B6062)=7,1,0))))))</f>
        <v>2</v>
      </c>
    </row>
    <row r="6063" spans="2:22">
      <c r="B6063" s="318">
        <f t="shared" si="379"/>
        <v>46365</v>
      </c>
      <c r="C6063" s="312">
        <v>11</v>
      </c>
      <c r="D6063" s="368">
        <f>IFERROR((INDEX(METADATA!$T$2:$T$20,MATCH(B6063,METADATA!$S$2:$S$20,0))),0)</f>
        <v>0</v>
      </c>
      <c r="E6063" s="312" t="str">
        <f t="shared" si="376"/>
        <v>LO</v>
      </c>
      <c r="F6063" s="369">
        <f>VLOOKUP(C6063,METADATA!$A$5:$H$29,IF(E6063="HI",2,IF(E6063="LO",6,10))+IF(D6063=1,2,IF(D6063=7,1,(IF(WEEKDAY(B6063)=1,2,IF(WEEKDAY(B6063)=7,1,0))))))</f>
        <v>2</v>
      </c>
      <c r="G6063" s="369">
        <f>VLOOKUP(C6063,METADATA!$J$5:$Q$29,IF(E6063="HI",2,IF(E6063="LO",6,10))+IF(D6063=1,2,IF(D6063=7,1,(IF(WEEKDAY(B6063)=1,2,IF(WEEKDAY(B6063)=7,1,0))))))</f>
        <v>2</v>
      </c>
      <c r="H6063" s="370">
        <v>11979.875122070313</v>
      </c>
      <c r="I6063" s="370">
        <v>2832.4049682617188</v>
      </c>
      <c r="M6063" s="371">
        <f t="shared" si="377"/>
        <v>12310.155394820686</v>
      </c>
      <c r="N6063" s="329">
        <f t="shared" si="378"/>
        <v>0</v>
      </c>
      <c r="T6063" s="331">
        <v>0</v>
      </c>
      <c r="U6063" s="328">
        <f>VLOOKUP(C6063,METADATA!$J$5:$Q$29,IF(E6063="HI",2,IF(E6063="LO",6,10))+IF(T6063=1,2,IF(D6063=7,1,(IF(WEEKDAY(B6063)=1,2,IF(WEEKDAY(B6063)=7,1,0))))))</f>
        <v>2</v>
      </c>
      <c r="V6063" s="328">
        <f>VLOOKUP(C6063,METADATA!$A$5:$H$29,IF(E6063="HI",2,IF(E6063="LO",6,10))+IF(T6063=1,2,IF(D6063=7,1,(IF(WEEKDAY(B6063)=1,2,IF(WEEKDAY(B6063)=7,1,0))))))</f>
        <v>2</v>
      </c>
    </row>
    <row r="6064" spans="2:22">
      <c r="B6064" s="318">
        <f t="shared" si="379"/>
        <v>46365</v>
      </c>
      <c r="C6064" s="312">
        <v>12</v>
      </c>
      <c r="D6064" s="368">
        <f>IFERROR((INDEX(METADATA!$T$2:$T$20,MATCH(B6064,METADATA!$S$2:$S$20,0))),0)</f>
        <v>0</v>
      </c>
      <c r="E6064" s="312" t="str">
        <f t="shared" si="376"/>
        <v>LO</v>
      </c>
      <c r="F6064" s="369">
        <f>VLOOKUP(C6064,METADATA!$A$5:$H$29,IF(E6064="HI",2,IF(E6064="LO",6,10))+IF(D6064=1,2,IF(D6064=7,1,(IF(WEEKDAY(B6064)=1,2,IF(WEEKDAY(B6064)=7,1,0))))))</f>
        <v>2</v>
      </c>
      <c r="G6064" s="369">
        <f>VLOOKUP(C6064,METADATA!$J$5:$Q$29,IF(E6064="HI",2,IF(E6064="LO",6,10))+IF(D6064=1,2,IF(D6064=7,1,(IF(WEEKDAY(B6064)=1,2,IF(WEEKDAY(B6064)=7,1,0))))))</f>
        <v>2</v>
      </c>
      <c r="H6064" s="370">
        <v>12158.7998046875</v>
      </c>
      <c r="I6064" s="370">
        <v>3020.0699996948242</v>
      </c>
      <c r="M6064" s="371">
        <f t="shared" si="377"/>
        <v>12528.257480333228</v>
      </c>
      <c r="N6064" s="329">
        <f t="shared" si="378"/>
        <v>0</v>
      </c>
      <c r="T6064" s="331">
        <v>0</v>
      </c>
      <c r="U6064" s="328">
        <f>VLOOKUP(C6064,METADATA!$J$5:$Q$29,IF(E6064="HI",2,IF(E6064="LO",6,10))+IF(T6064=1,2,IF(D6064=7,1,(IF(WEEKDAY(B6064)=1,2,IF(WEEKDAY(B6064)=7,1,0))))))</f>
        <v>2</v>
      </c>
      <c r="V6064" s="328">
        <f>VLOOKUP(C6064,METADATA!$A$5:$H$29,IF(E6064="HI",2,IF(E6064="LO",6,10))+IF(T6064=1,2,IF(D6064=7,1,(IF(WEEKDAY(B6064)=1,2,IF(WEEKDAY(B6064)=7,1,0))))))</f>
        <v>2</v>
      </c>
    </row>
    <row r="6065" spans="2:22">
      <c r="B6065" s="318">
        <f t="shared" si="379"/>
        <v>46365</v>
      </c>
      <c r="C6065" s="312">
        <v>13</v>
      </c>
      <c r="D6065" s="368">
        <f>IFERROR((INDEX(METADATA!$T$2:$T$20,MATCH(B6065,METADATA!$S$2:$S$20,0))),0)</f>
        <v>0</v>
      </c>
      <c r="E6065" s="312" t="str">
        <f t="shared" si="376"/>
        <v>LO</v>
      </c>
      <c r="F6065" s="369">
        <f>VLOOKUP(C6065,METADATA!$A$5:$H$29,IF(E6065="HI",2,IF(E6065="LO",6,10))+IF(D6065=1,2,IF(D6065=7,1,(IF(WEEKDAY(B6065)=1,2,IF(WEEKDAY(B6065)=7,1,0))))))</f>
        <v>2</v>
      </c>
      <c r="G6065" s="369">
        <f>VLOOKUP(C6065,METADATA!$J$5:$Q$29,IF(E6065="HI",2,IF(E6065="LO",6,10))+IF(D6065=1,2,IF(D6065=7,1,(IF(WEEKDAY(B6065)=1,2,IF(WEEKDAY(B6065)=7,1,0))))))</f>
        <v>2</v>
      </c>
      <c r="H6065" s="370">
        <v>12385.875</v>
      </c>
      <c r="I6065" s="370">
        <v>3130.5649719238281</v>
      </c>
      <c r="M6065" s="371">
        <f t="shared" si="377"/>
        <v>12775.380094504486</v>
      </c>
      <c r="N6065" s="329">
        <f t="shared" si="378"/>
        <v>0</v>
      </c>
      <c r="T6065" s="331">
        <v>0</v>
      </c>
      <c r="U6065" s="328">
        <f>VLOOKUP(C6065,METADATA!$J$5:$Q$29,IF(E6065="HI",2,IF(E6065="LO",6,10))+IF(T6065=1,2,IF(D6065=7,1,(IF(WEEKDAY(B6065)=1,2,IF(WEEKDAY(B6065)=7,1,0))))))</f>
        <v>2</v>
      </c>
      <c r="V6065" s="328">
        <f>VLOOKUP(C6065,METADATA!$A$5:$H$29,IF(E6065="HI",2,IF(E6065="LO",6,10))+IF(T6065=1,2,IF(D6065=7,1,(IF(WEEKDAY(B6065)=1,2,IF(WEEKDAY(B6065)=7,1,0))))))</f>
        <v>2</v>
      </c>
    </row>
    <row r="6066" spans="2:22">
      <c r="B6066" s="318">
        <f t="shared" si="379"/>
        <v>46365</v>
      </c>
      <c r="C6066" s="312">
        <v>14</v>
      </c>
      <c r="D6066" s="368">
        <f>IFERROR((INDEX(METADATA!$T$2:$T$20,MATCH(B6066,METADATA!$S$2:$S$20,0))),0)</f>
        <v>0</v>
      </c>
      <c r="E6066" s="312" t="str">
        <f t="shared" si="376"/>
        <v>LO</v>
      </c>
      <c r="F6066" s="369">
        <f>VLOOKUP(C6066,METADATA!$A$5:$H$29,IF(E6066="HI",2,IF(E6066="LO",6,10))+IF(D6066=1,2,IF(D6066=7,1,(IF(WEEKDAY(B6066)=1,2,IF(WEEKDAY(B6066)=7,1,0))))))</f>
        <v>2</v>
      </c>
      <c r="G6066" s="369">
        <f>VLOOKUP(C6066,METADATA!$J$5:$Q$29,IF(E6066="HI",2,IF(E6066="LO",6,10))+IF(D6066=1,2,IF(D6066=7,1,(IF(WEEKDAY(B6066)=1,2,IF(WEEKDAY(B6066)=7,1,0))))))</f>
        <v>2</v>
      </c>
      <c r="H6066" s="370">
        <v>12258.950439453125</v>
      </c>
      <c r="I6066" s="370">
        <v>3073.3300628662109</v>
      </c>
      <c r="M6066" s="371">
        <f t="shared" si="377"/>
        <v>12638.32360530008</v>
      </c>
      <c r="N6066" s="329">
        <f t="shared" si="378"/>
        <v>0</v>
      </c>
      <c r="T6066" s="331">
        <v>0</v>
      </c>
      <c r="U6066" s="328">
        <f>VLOOKUP(C6066,METADATA!$J$5:$Q$29,IF(E6066="HI",2,IF(E6066="LO",6,10))+IF(T6066=1,2,IF(D6066=7,1,(IF(WEEKDAY(B6066)=1,2,IF(WEEKDAY(B6066)=7,1,0))))))</f>
        <v>2</v>
      </c>
      <c r="V6066" s="328">
        <f>VLOOKUP(C6066,METADATA!$A$5:$H$29,IF(E6066="HI",2,IF(E6066="LO",6,10))+IF(T6066=1,2,IF(D6066=7,1,(IF(WEEKDAY(B6066)=1,2,IF(WEEKDAY(B6066)=7,1,0))))))</f>
        <v>2</v>
      </c>
    </row>
    <row r="6067" spans="2:22">
      <c r="B6067" s="318">
        <f t="shared" si="379"/>
        <v>46365</v>
      </c>
      <c r="C6067" s="312">
        <v>15</v>
      </c>
      <c r="D6067" s="368">
        <f>IFERROR((INDEX(METADATA!$T$2:$T$20,MATCH(B6067,METADATA!$S$2:$S$20,0))),0)</f>
        <v>0</v>
      </c>
      <c r="E6067" s="312" t="str">
        <f t="shared" si="376"/>
        <v>LO</v>
      </c>
      <c r="F6067" s="369">
        <f>VLOOKUP(C6067,METADATA!$A$5:$H$29,IF(E6067="HI",2,IF(E6067="LO",6,10))+IF(D6067=1,2,IF(D6067=7,1,(IF(WEEKDAY(B6067)=1,2,IF(WEEKDAY(B6067)=7,1,0))))))</f>
        <v>2</v>
      </c>
      <c r="G6067" s="369">
        <f>VLOOKUP(C6067,METADATA!$J$5:$Q$29,IF(E6067="HI",2,IF(E6067="LO",6,10))+IF(D6067=1,2,IF(D6067=7,1,(IF(WEEKDAY(B6067)=1,2,IF(WEEKDAY(B6067)=7,1,0))))))</f>
        <v>2</v>
      </c>
      <c r="H6067" s="370">
        <v>11979.5498046875</v>
      </c>
      <c r="I6067" s="370">
        <v>2877.0050010681152</v>
      </c>
      <c r="M6067" s="371">
        <f t="shared" si="377"/>
        <v>12320.177405344424</v>
      </c>
      <c r="N6067" s="329">
        <f t="shared" si="378"/>
        <v>0</v>
      </c>
      <c r="T6067" s="331">
        <v>0</v>
      </c>
      <c r="U6067" s="328">
        <f>VLOOKUP(C6067,METADATA!$J$5:$Q$29,IF(E6067="HI",2,IF(E6067="LO",6,10))+IF(T6067=1,2,IF(D6067=7,1,(IF(WEEKDAY(B6067)=1,2,IF(WEEKDAY(B6067)=7,1,0))))))</f>
        <v>2</v>
      </c>
      <c r="V6067" s="328">
        <f>VLOOKUP(C6067,METADATA!$A$5:$H$29,IF(E6067="HI",2,IF(E6067="LO",6,10))+IF(T6067=1,2,IF(D6067=7,1,(IF(WEEKDAY(B6067)=1,2,IF(WEEKDAY(B6067)=7,1,0))))))</f>
        <v>2</v>
      </c>
    </row>
    <row r="6068" spans="2:22">
      <c r="B6068" s="318">
        <f t="shared" si="379"/>
        <v>46365</v>
      </c>
      <c r="C6068" s="312">
        <v>16</v>
      </c>
      <c r="D6068" s="368">
        <f>IFERROR((INDEX(METADATA!$T$2:$T$20,MATCH(B6068,METADATA!$S$2:$S$20,0))),0)</f>
        <v>0</v>
      </c>
      <c r="E6068" s="312" t="str">
        <f t="shared" si="376"/>
        <v>LO</v>
      </c>
      <c r="F6068" s="369">
        <f>VLOOKUP(C6068,METADATA!$A$5:$H$29,IF(E6068="HI",2,IF(E6068="LO",6,10))+IF(D6068=1,2,IF(D6068=7,1,(IF(WEEKDAY(B6068)=1,2,IF(WEEKDAY(B6068)=7,1,0))))))</f>
        <v>2</v>
      </c>
      <c r="G6068" s="369">
        <f>VLOOKUP(C6068,METADATA!$J$5:$Q$29,IF(E6068="HI",2,IF(E6068="LO",6,10))+IF(D6068=1,2,IF(D6068=7,1,(IF(WEEKDAY(B6068)=1,2,IF(WEEKDAY(B6068)=7,1,0))))))</f>
        <v>2</v>
      </c>
      <c r="H6068" s="370">
        <v>11902.949829101563</v>
      </c>
      <c r="I6068" s="370">
        <v>2918.5449638366699</v>
      </c>
      <c r="M6068" s="371">
        <f t="shared" si="377"/>
        <v>12255.534233155457</v>
      </c>
      <c r="N6068" s="329">
        <f t="shared" si="378"/>
        <v>0</v>
      </c>
      <c r="T6068" s="331">
        <v>0</v>
      </c>
      <c r="U6068" s="328">
        <f>VLOOKUP(C6068,METADATA!$J$5:$Q$29,IF(E6068="HI",2,IF(E6068="LO",6,10))+IF(T6068=1,2,IF(D6068=7,1,(IF(WEEKDAY(B6068)=1,2,IF(WEEKDAY(B6068)=7,1,0))))))</f>
        <v>2</v>
      </c>
      <c r="V6068" s="328">
        <f>VLOOKUP(C6068,METADATA!$A$5:$H$29,IF(E6068="HI",2,IF(E6068="LO",6,10))+IF(T6068=1,2,IF(D6068=7,1,(IF(WEEKDAY(B6068)=1,2,IF(WEEKDAY(B6068)=7,1,0))))))</f>
        <v>2</v>
      </c>
    </row>
    <row r="6069" spans="2:22">
      <c r="B6069" s="318">
        <f t="shared" si="379"/>
        <v>46365</v>
      </c>
      <c r="C6069" s="312">
        <v>17</v>
      </c>
      <c r="D6069" s="368">
        <f>IFERROR((INDEX(METADATA!$T$2:$T$20,MATCH(B6069,METADATA!$S$2:$S$20,0))),0)</f>
        <v>0</v>
      </c>
      <c r="E6069" s="312" t="str">
        <f t="shared" si="376"/>
        <v>LO</v>
      </c>
      <c r="F6069" s="369">
        <f>VLOOKUP(C6069,METADATA!$A$5:$H$29,IF(E6069="HI",2,IF(E6069="LO",6,10))+IF(D6069=1,2,IF(D6069=7,1,(IF(WEEKDAY(B6069)=1,2,IF(WEEKDAY(B6069)=7,1,0))))))</f>
        <v>2</v>
      </c>
      <c r="G6069" s="369">
        <f>VLOOKUP(C6069,METADATA!$J$5:$Q$29,IF(E6069="HI",2,IF(E6069="LO",6,10))+IF(D6069=1,2,IF(D6069=7,1,(IF(WEEKDAY(B6069)=1,2,IF(WEEKDAY(B6069)=7,1,0))))))</f>
        <v>2</v>
      </c>
      <c r="H6069" s="370">
        <v>12838.574951171875</v>
      </c>
      <c r="I6069" s="370">
        <v>3901.9450378417969</v>
      </c>
      <c r="M6069" s="371">
        <f t="shared" si="377"/>
        <v>13418.426951591462</v>
      </c>
      <c r="N6069" s="329">
        <f t="shared" si="378"/>
        <v>50.372552490234739</v>
      </c>
      <c r="T6069" s="331">
        <v>0</v>
      </c>
      <c r="U6069" s="328">
        <f>VLOOKUP(C6069,METADATA!$J$5:$Q$29,IF(E6069="HI",2,IF(E6069="LO",6,10))+IF(T6069=1,2,IF(D6069=7,1,(IF(WEEKDAY(B6069)=1,2,IF(WEEKDAY(B6069)=7,1,0))))))</f>
        <v>2</v>
      </c>
      <c r="V6069" s="328">
        <f>VLOOKUP(C6069,METADATA!$A$5:$H$29,IF(E6069="HI",2,IF(E6069="LO",6,10))+IF(T6069=1,2,IF(D6069=7,1,(IF(WEEKDAY(B6069)=1,2,IF(WEEKDAY(B6069)=7,1,0))))))</f>
        <v>2</v>
      </c>
    </row>
    <row r="6070" spans="2:22">
      <c r="B6070" s="318">
        <f t="shared" si="379"/>
        <v>46365</v>
      </c>
      <c r="C6070" s="312">
        <v>18</v>
      </c>
      <c r="D6070" s="368">
        <f>IFERROR((INDEX(METADATA!$T$2:$T$20,MATCH(B6070,METADATA!$S$2:$S$20,0))),0)</f>
        <v>0</v>
      </c>
      <c r="E6070" s="312" t="str">
        <f t="shared" si="376"/>
        <v>LO</v>
      </c>
      <c r="F6070" s="369">
        <f>VLOOKUP(C6070,METADATA!$A$5:$H$29,IF(E6070="HI",2,IF(E6070="LO",6,10))+IF(D6070=1,2,IF(D6070=7,1,(IF(WEEKDAY(B6070)=1,2,IF(WEEKDAY(B6070)=7,1,0))))))</f>
        <v>1</v>
      </c>
      <c r="G6070" s="369">
        <f>VLOOKUP(C6070,METADATA!$J$5:$Q$29,IF(E6070="HI",2,IF(E6070="LO",6,10))+IF(D6070=1,2,IF(D6070=7,1,(IF(WEEKDAY(B6070)=1,2,IF(WEEKDAY(B6070)=7,1,0))))))</f>
        <v>1</v>
      </c>
      <c r="H6070" s="370">
        <v>13168.825073242188</v>
      </c>
      <c r="I6070" s="370">
        <v>4136.739990234375</v>
      </c>
      <c r="M6070" s="371">
        <f t="shared" si="377"/>
        <v>13803.281188052948</v>
      </c>
      <c r="N6070" s="329">
        <f t="shared" si="378"/>
        <v>186.09246826171875</v>
      </c>
      <c r="T6070" s="331">
        <v>0</v>
      </c>
      <c r="U6070" s="328">
        <f>VLOOKUP(C6070,METADATA!$J$5:$Q$29,IF(E6070="HI",2,IF(E6070="LO",6,10))+IF(T6070=1,2,IF(D6070=7,1,(IF(WEEKDAY(B6070)=1,2,IF(WEEKDAY(B6070)=7,1,0))))))</f>
        <v>1</v>
      </c>
      <c r="V6070" s="328">
        <f>VLOOKUP(C6070,METADATA!$A$5:$H$29,IF(E6070="HI",2,IF(E6070="LO",6,10))+IF(T6070=1,2,IF(D6070=7,1,(IF(WEEKDAY(B6070)=1,2,IF(WEEKDAY(B6070)=7,1,0))))))</f>
        <v>1</v>
      </c>
    </row>
    <row r="6071" spans="2:22">
      <c r="B6071" s="318">
        <f t="shared" si="379"/>
        <v>46365</v>
      </c>
      <c r="C6071" s="312">
        <v>19</v>
      </c>
      <c r="D6071" s="368">
        <f>IFERROR((INDEX(METADATA!$T$2:$T$20,MATCH(B6071,METADATA!$S$2:$S$20,0))),0)</f>
        <v>0</v>
      </c>
      <c r="E6071" s="312" t="str">
        <f t="shared" si="376"/>
        <v>LO</v>
      </c>
      <c r="F6071" s="369">
        <f>VLOOKUP(C6071,METADATA!$A$5:$H$29,IF(E6071="HI",2,IF(E6071="LO",6,10))+IF(D6071=1,2,IF(D6071=7,1,(IF(WEEKDAY(B6071)=1,2,IF(WEEKDAY(B6071)=7,1,0))))))</f>
        <v>1</v>
      </c>
      <c r="G6071" s="369">
        <f>VLOOKUP(C6071,METADATA!$J$5:$Q$29,IF(E6071="HI",2,IF(E6071="LO",6,10))+IF(D6071=1,2,IF(D6071=7,1,(IF(WEEKDAY(B6071)=1,2,IF(WEEKDAY(B6071)=7,1,0))))))</f>
        <v>1</v>
      </c>
      <c r="H6071" s="370">
        <v>13025.149963378906</v>
      </c>
      <c r="I6071" s="370">
        <v>3877.8049926757813</v>
      </c>
      <c r="M6071" s="371">
        <f t="shared" si="377"/>
        <v>13590.139923110826</v>
      </c>
      <c r="N6071" s="329">
        <f t="shared" si="378"/>
        <v>0</v>
      </c>
      <c r="T6071" s="331">
        <v>0</v>
      </c>
      <c r="U6071" s="328">
        <f>VLOOKUP(C6071,METADATA!$J$5:$Q$29,IF(E6071="HI",2,IF(E6071="LO",6,10))+IF(T6071=1,2,IF(D6071=7,1,(IF(WEEKDAY(B6071)=1,2,IF(WEEKDAY(B6071)=7,1,0))))))</f>
        <v>1</v>
      </c>
      <c r="V6071" s="328">
        <f>VLOOKUP(C6071,METADATA!$A$5:$H$29,IF(E6071="HI",2,IF(E6071="LO",6,10))+IF(T6071=1,2,IF(D6071=7,1,(IF(WEEKDAY(B6071)=1,2,IF(WEEKDAY(B6071)=7,1,0))))))</f>
        <v>1</v>
      </c>
    </row>
    <row r="6072" spans="2:22">
      <c r="B6072" s="318">
        <f t="shared" si="379"/>
        <v>46365</v>
      </c>
      <c r="C6072" s="312">
        <v>20</v>
      </c>
      <c r="D6072" s="368">
        <f>IFERROR((INDEX(METADATA!$T$2:$T$20,MATCH(B6072,METADATA!$S$2:$S$20,0))),0)</f>
        <v>0</v>
      </c>
      <c r="E6072" s="312" t="str">
        <f t="shared" si="376"/>
        <v>LO</v>
      </c>
      <c r="F6072" s="369">
        <f>VLOOKUP(C6072,METADATA!$A$5:$H$29,IF(E6072="HI",2,IF(E6072="LO",6,10))+IF(D6072=1,2,IF(D6072=7,1,(IF(WEEKDAY(B6072)=1,2,IF(WEEKDAY(B6072)=7,1,0))))))</f>
        <v>1</v>
      </c>
      <c r="G6072" s="369">
        <f>VLOOKUP(C6072,METADATA!$J$5:$Q$29,IF(E6072="HI",2,IF(E6072="LO",6,10))+IF(D6072=1,2,IF(D6072=7,1,(IF(WEEKDAY(B6072)=1,2,IF(WEEKDAY(B6072)=7,1,0))))))</f>
        <v>1</v>
      </c>
      <c r="H6072" s="370">
        <v>12902.275085449219</v>
      </c>
      <c r="I6072" s="370">
        <v>3733.9649963378906</v>
      </c>
      <c r="M6072" s="371">
        <f t="shared" si="377"/>
        <v>13431.723529557936</v>
      </c>
      <c r="N6072" s="329">
        <f t="shared" si="378"/>
        <v>0</v>
      </c>
      <c r="T6072" s="331">
        <v>0</v>
      </c>
      <c r="U6072" s="328">
        <f>VLOOKUP(C6072,METADATA!$J$5:$Q$29,IF(E6072="HI",2,IF(E6072="LO",6,10))+IF(T6072=1,2,IF(D6072=7,1,(IF(WEEKDAY(B6072)=1,2,IF(WEEKDAY(B6072)=7,1,0))))))</f>
        <v>1</v>
      </c>
      <c r="V6072" s="328">
        <f>VLOOKUP(C6072,METADATA!$A$5:$H$29,IF(E6072="HI",2,IF(E6072="LO",6,10))+IF(T6072=1,2,IF(D6072=7,1,(IF(WEEKDAY(B6072)=1,2,IF(WEEKDAY(B6072)=7,1,0))))))</f>
        <v>1</v>
      </c>
    </row>
    <row r="6073" spans="2:22">
      <c r="B6073" s="318">
        <f t="shared" si="379"/>
        <v>46365</v>
      </c>
      <c r="C6073" s="312">
        <v>21</v>
      </c>
      <c r="D6073" s="368">
        <f>IFERROR((INDEX(METADATA!$T$2:$T$20,MATCH(B6073,METADATA!$S$2:$S$20,0))),0)</f>
        <v>0</v>
      </c>
      <c r="E6073" s="312" t="str">
        <f t="shared" si="376"/>
        <v>LO</v>
      </c>
      <c r="F6073" s="369">
        <f>VLOOKUP(C6073,METADATA!$A$5:$H$29,IF(E6073="HI",2,IF(E6073="LO",6,10))+IF(D6073=1,2,IF(D6073=7,1,(IF(WEEKDAY(B6073)=1,2,IF(WEEKDAY(B6073)=7,1,0))))))</f>
        <v>2</v>
      </c>
      <c r="G6073" s="369">
        <f>VLOOKUP(C6073,METADATA!$J$5:$Q$29,IF(E6073="HI",2,IF(E6073="LO",6,10))+IF(D6073=1,2,IF(D6073=7,1,(IF(WEEKDAY(B6073)=1,2,IF(WEEKDAY(B6073)=7,1,0))))))</f>
        <v>2</v>
      </c>
      <c r="H6073" s="370">
        <v>13040.775207519531</v>
      </c>
      <c r="I6073" s="370">
        <v>3868.7900390625</v>
      </c>
      <c r="M6073" s="371">
        <f t="shared" si="377"/>
        <v>13602.549554381534</v>
      </c>
      <c r="N6073" s="329">
        <f t="shared" si="378"/>
        <v>0</v>
      </c>
      <c r="T6073" s="331">
        <v>0</v>
      </c>
      <c r="U6073" s="328">
        <f>VLOOKUP(C6073,METADATA!$J$5:$Q$29,IF(E6073="HI",2,IF(E6073="LO",6,10))+IF(T6073=1,2,IF(D6073=7,1,(IF(WEEKDAY(B6073)=1,2,IF(WEEKDAY(B6073)=7,1,0))))))</f>
        <v>2</v>
      </c>
      <c r="V6073" s="328">
        <f>VLOOKUP(C6073,METADATA!$A$5:$H$29,IF(E6073="HI",2,IF(E6073="LO",6,10))+IF(T6073=1,2,IF(D6073=7,1,(IF(WEEKDAY(B6073)=1,2,IF(WEEKDAY(B6073)=7,1,0))))))</f>
        <v>2</v>
      </c>
    </row>
    <row r="6074" spans="2:22">
      <c r="B6074" s="318">
        <f t="shared" si="379"/>
        <v>46365</v>
      </c>
      <c r="C6074" s="312">
        <v>22</v>
      </c>
      <c r="D6074" s="368">
        <f>IFERROR((INDEX(METADATA!$T$2:$T$20,MATCH(B6074,METADATA!$S$2:$S$20,0))),0)</f>
        <v>0</v>
      </c>
      <c r="E6074" s="312" t="str">
        <f t="shared" si="376"/>
        <v>LO</v>
      </c>
      <c r="F6074" s="369">
        <f>VLOOKUP(C6074,METADATA!$A$5:$H$29,IF(E6074="HI",2,IF(E6074="LO",6,10))+IF(D6074=1,2,IF(D6074=7,1,(IF(WEEKDAY(B6074)=1,2,IF(WEEKDAY(B6074)=7,1,0))))))</f>
        <v>3</v>
      </c>
      <c r="G6074" s="369">
        <f>VLOOKUP(C6074,METADATA!$J$5:$Q$29,IF(E6074="HI",2,IF(E6074="LO",6,10))+IF(D6074=1,2,IF(D6074=7,1,(IF(WEEKDAY(B6074)=1,2,IF(WEEKDAY(B6074)=7,1,0))))))</f>
        <v>3</v>
      </c>
      <c r="H6074" s="370">
        <v>12867.674987792969</v>
      </c>
      <c r="I6074" s="370">
        <v>3890.9650573730469</v>
      </c>
      <c r="M6074" s="371">
        <f t="shared" si="377"/>
        <v>13443.08999706432</v>
      </c>
      <c r="N6074" s="329">
        <f t="shared" si="378"/>
        <v>30.662561035156614</v>
      </c>
      <c r="T6074" s="331">
        <v>0</v>
      </c>
      <c r="U6074" s="328">
        <f>VLOOKUP(C6074,METADATA!$J$5:$Q$29,IF(E6074="HI",2,IF(E6074="LO",6,10))+IF(T6074=1,2,IF(D6074=7,1,(IF(WEEKDAY(B6074)=1,2,IF(WEEKDAY(B6074)=7,1,0))))))</f>
        <v>3</v>
      </c>
      <c r="V6074" s="328">
        <f>VLOOKUP(C6074,METADATA!$A$5:$H$29,IF(E6074="HI",2,IF(E6074="LO",6,10))+IF(T6074=1,2,IF(D6074=7,1,(IF(WEEKDAY(B6074)=1,2,IF(WEEKDAY(B6074)=7,1,0))))))</f>
        <v>3</v>
      </c>
    </row>
    <row r="6075" spans="2:22">
      <c r="B6075" s="318">
        <f t="shared" si="379"/>
        <v>46365</v>
      </c>
      <c r="C6075" s="312">
        <v>23</v>
      </c>
      <c r="D6075" s="368">
        <f>IFERROR((INDEX(METADATA!$T$2:$T$20,MATCH(B6075,METADATA!$S$2:$S$20,0))),0)</f>
        <v>0</v>
      </c>
      <c r="E6075" s="312" t="str">
        <f t="shared" si="376"/>
        <v>LO</v>
      </c>
      <c r="F6075" s="369">
        <f>VLOOKUP(C6075,METADATA!$A$5:$H$29,IF(E6075="HI",2,IF(E6075="LO",6,10))+IF(D6075=1,2,IF(D6075=7,1,(IF(WEEKDAY(B6075)=1,2,IF(WEEKDAY(B6075)=7,1,0))))))</f>
        <v>3</v>
      </c>
      <c r="G6075" s="369">
        <f>VLOOKUP(C6075,METADATA!$J$5:$Q$29,IF(E6075="HI",2,IF(E6075="LO",6,10))+IF(D6075=1,2,IF(D6075=7,1,(IF(WEEKDAY(B6075)=1,2,IF(WEEKDAY(B6075)=7,1,0))))))</f>
        <v>3</v>
      </c>
      <c r="H6075" s="370">
        <v>12681.074951171875</v>
      </c>
      <c r="I6075" s="370">
        <v>3864.5250244140625</v>
      </c>
      <c r="M6075" s="371">
        <f t="shared" si="377"/>
        <v>13256.855418294388</v>
      </c>
      <c r="N6075" s="329">
        <f t="shared" si="378"/>
        <v>60.202539062500364</v>
      </c>
      <c r="T6075" s="331">
        <v>0</v>
      </c>
      <c r="U6075" s="328">
        <f>VLOOKUP(C6075,METADATA!$J$5:$Q$29,IF(E6075="HI",2,IF(E6075="LO",6,10))+IF(T6075=1,2,IF(D6075=7,1,(IF(WEEKDAY(B6075)=1,2,IF(WEEKDAY(B6075)=7,1,0))))))</f>
        <v>3</v>
      </c>
      <c r="V6075" s="328">
        <f>VLOOKUP(C6075,METADATA!$A$5:$H$29,IF(E6075="HI",2,IF(E6075="LO",6,10))+IF(T6075=1,2,IF(D6075=7,1,(IF(WEEKDAY(B6075)=1,2,IF(WEEKDAY(B6075)=7,1,0))))))</f>
        <v>3</v>
      </c>
    </row>
    <row r="6076" spans="2:22">
      <c r="B6076" s="318">
        <f t="shared" si="379"/>
        <v>46366</v>
      </c>
      <c r="C6076" s="312">
        <v>0</v>
      </c>
      <c r="D6076" s="368">
        <f>IFERROR((INDEX(METADATA!$T$2:$T$20,MATCH(B6076,METADATA!$S$2:$S$20,0))),0)</f>
        <v>0</v>
      </c>
      <c r="E6076" s="312" t="str">
        <f t="shared" si="376"/>
        <v>LO</v>
      </c>
      <c r="F6076" s="369">
        <f>VLOOKUP(C6076,METADATA!$A$5:$H$29,IF(E6076="HI",2,IF(E6076="LO",6,10))+IF(D6076=1,2,IF(D6076=7,1,(IF(WEEKDAY(B6076)=1,2,IF(WEEKDAY(B6076)=7,1,0))))))</f>
        <v>3</v>
      </c>
      <c r="G6076" s="369">
        <f>VLOOKUP(C6076,METADATA!$J$5:$Q$29,IF(E6076="HI",2,IF(E6076="LO",6,10))+IF(D6076=1,2,IF(D6076=7,1,(IF(WEEKDAY(B6076)=1,2,IF(WEEKDAY(B6076)=7,1,0))))))</f>
        <v>3</v>
      </c>
      <c r="H6076" s="370">
        <v>12879.199768066406</v>
      </c>
      <c r="I6076" s="370">
        <v>4043.3949584960938</v>
      </c>
      <c r="M6076" s="371">
        <f t="shared" si="377"/>
        <v>13498.993646052042</v>
      </c>
      <c r="N6076" s="329">
        <f t="shared" si="378"/>
        <v>179.63502807617215</v>
      </c>
      <c r="T6076" s="331">
        <v>0</v>
      </c>
      <c r="U6076" s="328">
        <f>VLOOKUP(C6076,METADATA!$J$5:$Q$29,IF(E6076="HI",2,IF(E6076="LO",6,10))+IF(T6076=1,2,IF(D6076=7,1,(IF(WEEKDAY(B6076)=1,2,IF(WEEKDAY(B6076)=7,1,0))))))</f>
        <v>3</v>
      </c>
      <c r="V6076" s="328">
        <f>VLOOKUP(C6076,METADATA!$A$5:$H$29,IF(E6076="HI",2,IF(E6076="LO",6,10))+IF(T6076=1,2,IF(D6076=7,1,(IF(WEEKDAY(B6076)=1,2,IF(WEEKDAY(B6076)=7,1,0))))))</f>
        <v>3</v>
      </c>
    </row>
    <row r="6077" spans="2:22">
      <c r="B6077" s="318">
        <f t="shared" si="379"/>
        <v>46366</v>
      </c>
      <c r="C6077" s="312">
        <v>1</v>
      </c>
      <c r="D6077" s="368">
        <f>IFERROR((INDEX(METADATA!$T$2:$T$20,MATCH(B6077,METADATA!$S$2:$S$20,0))),0)</f>
        <v>0</v>
      </c>
      <c r="E6077" s="312" t="str">
        <f t="shared" si="376"/>
        <v>LO</v>
      </c>
      <c r="F6077" s="369">
        <f>VLOOKUP(C6077,METADATA!$A$5:$H$29,IF(E6077="HI",2,IF(E6077="LO",6,10))+IF(D6077=1,2,IF(D6077=7,1,(IF(WEEKDAY(B6077)=1,2,IF(WEEKDAY(B6077)=7,1,0))))))</f>
        <v>3</v>
      </c>
      <c r="G6077" s="369">
        <f>VLOOKUP(C6077,METADATA!$J$5:$Q$29,IF(E6077="HI",2,IF(E6077="LO",6,10))+IF(D6077=1,2,IF(D6077=7,1,(IF(WEEKDAY(B6077)=1,2,IF(WEEKDAY(B6077)=7,1,0))))))</f>
        <v>3</v>
      </c>
      <c r="H6077" s="370">
        <v>12880.852416992188</v>
      </c>
      <c r="I6077" s="370">
        <v>4055.5126342773438</v>
      </c>
      <c r="M6077" s="371">
        <f t="shared" si="377"/>
        <v>13504.204593944682</v>
      </c>
      <c r="N6077" s="329">
        <f t="shared" si="378"/>
        <v>191.25690917968768</v>
      </c>
      <c r="T6077" s="331">
        <v>0</v>
      </c>
      <c r="U6077" s="328">
        <f>VLOOKUP(C6077,METADATA!$J$5:$Q$29,IF(E6077="HI",2,IF(E6077="LO",6,10))+IF(T6077=1,2,IF(D6077=7,1,(IF(WEEKDAY(B6077)=1,2,IF(WEEKDAY(B6077)=7,1,0))))))</f>
        <v>3</v>
      </c>
      <c r="V6077" s="328">
        <f>VLOOKUP(C6077,METADATA!$A$5:$H$29,IF(E6077="HI",2,IF(E6077="LO",6,10))+IF(T6077=1,2,IF(D6077=7,1,(IF(WEEKDAY(B6077)=1,2,IF(WEEKDAY(B6077)=7,1,0))))))</f>
        <v>3</v>
      </c>
    </row>
    <row r="6078" spans="2:22">
      <c r="B6078" s="318">
        <f t="shared" si="379"/>
        <v>46366</v>
      </c>
      <c r="C6078" s="312">
        <v>2</v>
      </c>
      <c r="D6078" s="368">
        <f>IFERROR((INDEX(METADATA!$T$2:$T$20,MATCH(B6078,METADATA!$S$2:$S$20,0))),0)</f>
        <v>0</v>
      </c>
      <c r="E6078" s="312" t="str">
        <f t="shared" si="376"/>
        <v>LO</v>
      </c>
      <c r="F6078" s="369">
        <f>VLOOKUP(C6078,METADATA!$A$5:$H$29,IF(E6078="HI",2,IF(E6078="LO",6,10))+IF(D6078=1,2,IF(D6078=7,1,(IF(WEEKDAY(B6078)=1,2,IF(WEEKDAY(B6078)=7,1,0))))))</f>
        <v>3</v>
      </c>
      <c r="G6078" s="369">
        <f>VLOOKUP(C6078,METADATA!$J$5:$Q$29,IF(E6078="HI",2,IF(E6078="LO",6,10))+IF(D6078=1,2,IF(D6078=7,1,(IF(WEEKDAY(B6078)=1,2,IF(WEEKDAY(B6078)=7,1,0))))))</f>
        <v>3</v>
      </c>
      <c r="H6078" s="370">
        <v>12877.2001953125</v>
      </c>
      <c r="I6078" s="370">
        <v>4021.3099670410156</v>
      </c>
      <c r="M6078" s="371">
        <f t="shared" si="377"/>
        <v>13490.486229976283</v>
      </c>
      <c r="N6078" s="329">
        <f t="shared" si="378"/>
        <v>158.14990844726572</v>
      </c>
      <c r="T6078" s="331">
        <v>0</v>
      </c>
      <c r="U6078" s="328">
        <f>VLOOKUP(C6078,METADATA!$J$5:$Q$29,IF(E6078="HI",2,IF(E6078="LO",6,10))+IF(T6078=1,2,IF(D6078=7,1,(IF(WEEKDAY(B6078)=1,2,IF(WEEKDAY(B6078)=7,1,0))))))</f>
        <v>3</v>
      </c>
      <c r="V6078" s="328">
        <f>VLOOKUP(C6078,METADATA!$A$5:$H$29,IF(E6078="HI",2,IF(E6078="LO",6,10))+IF(T6078=1,2,IF(D6078=7,1,(IF(WEEKDAY(B6078)=1,2,IF(WEEKDAY(B6078)=7,1,0))))))</f>
        <v>3</v>
      </c>
    </row>
    <row r="6079" spans="2:22">
      <c r="B6079" s="318">
        <f t="shared" si="379"/>
        <v>46366</v>
      </c>
      <c r="C6079" s="312">
        <v>3</v>
      </c>
      <c r="D6079" s="368">
        <f>IFERROR((INDEX(METADATA!$T$2:$T$20,MATCH(B6079,METADATA!$S$2:$S$20,0))),0)</f>
        <v>0</v>
      </c>
      <c r="E6079" s="312" t="str">
        <f t="shared" si="376"/>
        <v>LO</v>
      </c>
      <c r="F6079" s="369">
        <f>VLOOKUP(C6079,METADATA!$A$5:$H$29,IF(E6079="HI",2,IF(E6079="LO",6,10))+IF(D6079=1,2,IF(D6079=7,1,(IF(WEEKDAY(B6079)=1,2,IF(WEEKDAY(B6079)=7,1,0))))))</f>
        <v>3</v>
      </c>
      <c r="G6079" s="369">
        <f>VLOOKUP(C6079,METADATA!$J$5:$Q$29,IF(E6079="HI",2,IF(E6079="LO",6,10))+IF(D6079=1,2,IF(D6079=7,1,(IF(WEEKDAY(B6079)=1,2,IF(WEEKDAY(B6079)=7,1,0))))))</f>
        <v>3</v>
      </c>
      <c r="H6079" s="370">
        <v>12955.775085449219</v>
      </c>
      <c r="I6079" s="370">
        <v>4040.0699462890625</v>
      </c>
      <c r="M6079" s="371">
        <f t="shared" si="377"/>
        <v>13571.082242608909</v>
      </c>
      <c r="N6079" s="329">
        <f t="shared" si="378"/>
        <v>153.33742065429715</v>
      </c>
      <c r="T6079" s="331">
        <v>0</v>
      </c>
      <c r="U6079" s="328">
        <f>VLOOKUP(C6079,METADATA!$J$5:$Q$29,IF(E6079="HI",2,IF(E6079="LO",6,10))+IF(T6079=1,2,IF(D6079=7,1,(IF(WEEKDAY(B6079)=1,2,IF(WEEKDAY(B6079)=7,1,0))))))</f>
        <v>3</v>
      </c>
      <c r="V6079" s="328">
        <f>VLOOKUP(C6079,METADATA!$A$5:$H$29,IF(E6079="HI",2,IF(E6079="LO",6,10))+IF(T6079=1,2,IF(D6079=7,1,(IF(WEEKDAY(B6079)=1,2,IF(WEEKDAY(B6079)=7,1,0))))))</f>
        <v>3</v>
      </c>
    </row>
    <row r="6080" spans="2:22">
      <c r="B6080" s="318">
        <f t="shared" si="379"/>
        <v>46366</v>
      </c>
      <c r="C6080" s="312">
        <v>4</v>
      </c>
      <c r="D6080" s="368">
        <f>IFERROR((INDEX(METADATA!$T$2:$T$20,MATCH(B6080,METADATA!$S$2:$S$20,0))),0)</f>
        <v>0</v>
      </c>
      <c r="E6080" s="312" t="str">
        <f t="shared" si="376"/>
        <v>LO</v>
      </c>
      <c r="F6080" s="369">
        <f>VLOOKUP(C6080,METADATA!$A$5:$H$29,IF(E6080="HI",2,IF(E6080="LO",6,10))+IF(D6080=1,2,IF(D6080=7,1,(IF(WEEKDAY(B6080)=1,2,IF(WEEKDAY(B6080)=7,1,0))))))</f>
        <v>3</v>
      </c>
      <c r="G6080" s="369">
        <f>VLOOKUP(C6080,METADATA!$J$5:$Q$29,IF(E6080="HI",2,IF(E6080="LO",6,10))+IF(D6080=1,2,IF(D6080=7,1,(IF(WEEKDAY(B6080)=1,2,IF(WEEKDAY(B6080)=7,1,0))))))</f>
        <v>3</v>
      </c>
      <c r="H6080" s="370">
        <v>12841.150207519531</v>
      </c>
      <c r="I6080" s="370">
        <v>3829.3099670410156</v>
      </c>
      <c r="M6080" s="371">
        <f t="shared" si="377"/>
        <v>13399.953487820716</v>
      </c>
      <c r="N6080" s="329">
        <f t="shared" si="378"/>
        <v>0</v>
      </c>
      <c r="T6080" s="331">
        <v>0</v>
      </c>
      <c r="U6080" s="328">
        <f>VLOOKUP(C6080,METADATA!$J$5:$Q$29,IF(E6080="HI",2,IF(E6080="LO",6,10))+IF(T6080=1,2,IF(D6080=7,1,(IF(WEEKDAY(B6080)=1,2,IF(WEEKDAY(B6080)=7,1,0))))))</f>
        <v>3</v>
      </c>
      <c r="V6080" s="328">
        <f>VLOOKUP(C6080,METADATA!$A$5:$H$29,IF(E6080="HI",2,IF(E6080="LO",6,10))+IF(T6080=1,2,IF(D6080=7,1,(IF(WEEKDAY(B6080)=1,2,IF(WEEKDAY(B6080)=7,1,0))))))</f>
        <v>3</v>
      </c>
    </row>
    <row r="6081" spans="2:22">
      <c r="B6081" s="318">
        <f t="shared" si="379"/>
        <v>46366</v>
      </c>
      <c r="C6081" s="312">
        <v>5</v>
      </c>
      <c r="D6081" s="368">
        <f>IFERROR((INDEX(METADATA!$T$2:$T$20,MATCH(B6081,METADATA!$S$2:$S$20,0))),0)</f>
        <v>0</v>
      </c>
      <c r="E6081" s="312" t="str">
        <f t="shared" si="376"/>
        <v>LO</v>
      </c>
      <c r="F6081" s="369">
        <f>VLOOKUP(C6081,METADATA!$A$5:$H$29,IF(E6081="HI",2,IF(E6081="LO",6,10))+IF(D6081=1,2,IF(D6081=7,1,(IF(WEEKDAY(B6081)=1,2,IF(WEEKDAY(B6081)=7,1,0))))))</f>
        <v>3</v>
      </c>
      <c r="G6081" s="369">
        <f>VLOOKUP(C6081,METADATA!$J$5:$Q$29,IF(E6081="HI",2,IF(E6081="LO",6,10))+IF(D6081=1,2,IF(D6081=7,1,(IF(WEEKDAY(B6081)=1,2,IF(WEEKDAY(B6081)=7,1,0))))))</f>
        <v>3</v>
      </c>
      <c r="H6081" s="370">
        <v>12890.224670410156</v>
      </c>
      <c r="I6081" s="370">
        <v>3874.5249938964844</v>
      </c>
      <c r="M6081" s="371">
        <f t="shared" si="377"/>
        <v>13459.934471682214</v>
      </c>
      <c r="N6081" s="329">
        <f t="shared" si="378"/>
        <v>7.4575927734376819</v>
      </c>
      <c r="T6081" s="331">
        <v>0</v>
      </c>
      <c r="U6081" s="328">
        <f>VLOOKUP(C6081,METADATA!$J$5:$Q$29,IF(E6081="HI",2,IF(E6081="LO",6,10))+IF(T6081=1,2,IF(D6081=7,1,(IF(WEEKDAY(B6081)=1,2,IF(WEEKDAY(B6081)=7,1,0))))))</f>
        <v>3</v>
      </c>
      <c r="V6081" s="328">
        <f>VLOOKUP(C6081,METADATA!$A$5:$H$29,IF(E6081="HI",2,IF(E6081="LO",6,10))+IF(T6081=1,2,IF(D6081=7,1,(IF(WEEKDAY(B6081)=1,2,IF(WEEKDAY(B6081)=7,1,0))))))</f>
        <v>3</v>
      </c>
    </row>
    <row r="6082" spans="2:22">
      <c r="B6082" s="318">
        <f t="shared" si="379"/>
        <v>46366</v>
      </c>
      <c r="C6082" s="312">
        <v>6</v>
      </c>
      <c r="D6082" s="368">
        <f>IFERROR((INDEX(METADATA!$T$2:$T$20,MATCH(B6082,METADATA!$S$2:$S$20,0))),0)</f>
        <v>0</v>
      </c>
      <c r="E6082" s="312" t="str">
        <f t="shared" si="376"/>
        <v>LO</v>
      </c>
      <c r="F6082" s="369">
        <f>VLOOKUP(C6082,METADATA!$A$5:$H$29,IF(E6082="HI",2,IF(E6082="LO",6,10))+IF(D6082=1,2,IF(D6082=7,1,(IF(WEEKDAY(B6082)=1,2,IF(WEEKDAY(B6082)=7,1,0))))))</f>
        <v>2</v>
      </c>
      <c r="G6082" s="369">
        <f>VLOOKUP(C6082,METADATA!$J$5:$Q$29,IF(E6082="HI",2,IF(E6082="LO",6,10))+IF(D6082=1,2,IF(D6082=7,1,(IF(WEEKDAY(B6082)=1,2,IF(WEEKDAY(B6082)=7,1,0))))))</f>
        <v>2</v>
      </c>
      <c r="H6082" s="370">
        <v>13035.574523925781</v>
      </c>
      <c r="I6082" s="370">
        <v>3944.5350341796875</v>
      </c>
      <c r="M6082" s="371">
        <f t="shared" si="377"/>
        <v>13619.30834531232</v>
      </c>
      <c r="N6082" s="329">
        <f t="shared" si="378"/>
        <v>33.862677001953216</v>
      </c>
      <c r="T6082" s="331">
        <v>0</v>
      </c>
      <c r="U6082" s="328">
        <f>VLOOKUP(C6082,METADATA!$J$5:$Q$29,IF(E6082="HI",2,IF(E6082="LO",6,10))+IF(T6082=1,2,IF(D6082=7,1,(IF(WEEKDAY(B6082)=1,2,IF(WEEKDAY(B6082)=7,1,0))))))</f>
        <v>2</v>
      </c>
      <c r="V6082" s="328">
        <f>VLOOKUP(C6082,METADATA!$A$5:$H$29,IF(E6082="HI",2,IF(E6082="LO",6,10))+IF(T6082=1,2,IF(D6082=7,1,(IF(WEEKDAY(B6082)=1,2,IF(WEEKDAY(B6082)=7,1,0))))))</f>
        <v>2</v>
      </c>
    </row>
    <row r="6083" spans="2:22">
      <c r="B6083" s="318">
        <f t="shared" si="379"/>
        <v>46366</v>
      </c>
      <c r="C6083" s="312">
        <v>7</v>
      </c>
      <c r="D6083" s="368">
        <f>IFERROR((INDEX(METADATA!$T$2:$T$20,MATCH(B6083,METADATA!$S$2:$S$20,0))),0)</f>
        <v>0</v>
      </c>
      <c r="E6083" s="312" t="str">
        <f t="shared" si="376"/>
        <v>LO</v>
      </c>
      <c r="F6083" s="369">
        <f>VLOOKUP(C6083,METADATA!$A$5:$H$29,IF(E6083="HI",2,IF(E6083="LO",6,10))+IF(D6083=1,2,IF(D6083=7,1,(IF(WEEKDAY(B6083)=1,2,IF(WEEKDAY(B6083)=7,1,0))))))</f>
        <v>1</v>
      </c>
      <c r="G6083" s="369">
        <f>VLOOKUP(C6083,METADATA!$J$5:$Q$29,IF(E6083="HI",2,IF(E6083="LO",6,10))+IF(D6083=1,2,IF(D6083=7,1,(IF(WEEKDAY(B6083)=1,2,IF(WEEKDAY(B6083)=7,1,0))))))</f>
        <v>1</v>
      </c>
      <c r="H6083" s="370">
        <v>13090.69970703125</v>
      </c>
      <c r="I6083" s="370">
        <v>3911.3598937988281</v>
      </c>
      <c r="M6083" s="371">
        <f t="shared" si="377"/>
        <v>13662.545701240528</v>
      </c>
      <c r="N6083" s="329">
        <f t="shared" si="378"/>
        <v>0</v>
      </c>
      <c r="T6083" s="331">
        <v>0</v>
      </c>
      <c r="U6083" s="328">
        <f>VLOOKUP(C6083,METADATA!$J$5:$Q$29,IF(E6083="HI",2,IF(E6083="LO",6,10))+IF(T6083=1,2,IF(D6083=7,1,(IF(WEEKDAY(B6083)=1,2,IF(WEEKDAY(B6083)=7,1,0))))))</f>
        <v>1</v>
      </c>
      <c r="V6083" s="328">
        <f>VLOOKUP(C6083,METADATA!$A$5:$H$29,IF(E6083="HI",2,IF(E6083="LO",6,10))+IF(T6083=1,2,IF(D6083=7,1,(IF(WEEKDAY(B6083)=1,2,IF(WEEKDAY(B6083)=7,1,0))))))</f>
        <v>1</v>
      </c>
    </row>
    <row r="6084" spans="2:22">
      <c r="B6084" s="318">
        <f t="shared" si="379"/>
        <v>46366</v>
      </c>
      <c r="C6084" s="312">
        <v>8</v>
      </c>
      <c r="D6084" s="368">
        <f>IFERROR((INDEX(METADATA!$T$2:$T$20,MATCH(B6084,METADATA!$S$2:$S$20,0))),0)</f>
        <v>0</v>
      </c>
      <c r="E6084" s="312" t="str">
        <f t="shared" ref="E6084:E6147" si="380">IF(B6084="","",IF(AND(MONTH(B6084)&gt;=MONTH($Z$9),MONTH(B6084)&lt;=MONTH($Z$11)),"HI","LO"))</f>
        <v>LO</v>
      </c>
      <c r="F6084" s="369">
        <f>VLOOKUP(C6084,METADATA!$A$5:$H$29,IF(E6084="HI",2,IF(E6084="LO",6,10))+IF(D6084=1,2,IF(D6084=7,1,(IF(WEEKDAY(B6084)=1,2,IF(WEEKDAY(B6084)=7,1,0))))))</f>
        <v>1</v>
      </c>
      <c r="G6084" s="369">
        <f>VLOOKUP(C6084,METADATA!$J$5:$Q$29,IF(E6084="HI",2,IF(E6084="LO",6,10))+IF(D6084=1,2,IF(D6084=7,1,(IF(WEEKDAY(B6084)=1,2,IF(WEEKDAY(B6084)=7,1,0))))))</f>
        <v>1</v>
      </c>
      <c r="H6084" s="370">
        <v>13279.9501953125</v>
      </c>
      <c r="I6084" s="370">
        <v>4013.3799438476563</v>
      </c>
      <c r="M6084" s="371">
        <f t="shared" ref="M6084:M6147" si="381">SQRT(H6084^2+I6084^2)</f>
        <v>13873.150174479448</v>
      </c>
      <c r="N6084" s="329">
        <f t="shared" ref="N6084:N6147" si="382">IF(H6084=0,0,(IF(I6084-(0.3*H6084)&lt;0,0,(I6084-(0.3*H6084)))))</f>
        <v>29.394885253906523</v>
      </c>
      <c r="T6084" s="331">
        <v>0</v>
      </c>
      <c r="U6084" s="328">
        <f>VLOOKUP(C6084,METADATA!$J$5:$Q$29,IF(E6084="HI",2,IF(E6084="LO",6,10))+IF(T6084=1,2,IF(D6084=7,1,(IF(WEEKDAY(B6084)=1,2,IF(WEEKDAY(B6084)=7,1,0))))))</f>
        <v>1</v>
      </c>
      <c r="V6084" s="328">
        <f>VLOOKUP(C6084,METADATA!$A$5:$H$29,IF(E6084="HI",2,IF(E6084="LO",6,10))+IF(T6084=1,2,IF(D6084=7,1,(IF(WEEKDAY(B6084)=1,2,IF(WEEKDAY(B6084)=7,1,0))))))</f>
        <v>1</v>
      </c>
    </row>
    <row r="6085" spans="2:22">
      <c r="B6085" s="318">
        <f t="shared" si="379"/>
        <v>46366</v>
      </c>
      <c r="C6085" s="312">
        <v>9</v>
      </c>
      <c r="D6085" s="368">
        <f>IFERROR((INDEX(METADATA!$T$2:$T$20,MATCH(B6085,METADATA!$S$2:$S$20,0))),0)</f>
        <v>0</v>
      </c>
      <c r="E6085" s="312" t="str">
        <f t="shared" si="380"/>
        <v>LO</v>
      </c>
      <c r="F6085" s="369">
        <f>VLOOKUP(C6085,METADATA!$A$5:$H$29,IF(E6085="HI",2,IF(E6085="LO",6,10))+IF(D6085=1,2,IF(D6085=7,1,(IF(WEEKDAY(B6085)=1,2,IF(WEEKDAY(B6085)=7,1,0))))))</f>
        <v>2</v>
      </c>
      <c r="G6085" s="369">
        <f>VLOOKUP(C6085,METADATA!$J$5:$Q$29,IF(E6085="HI",2,IF(E6085="LO",6,10))+IF(D6085=1,2,IF(D6085=7,1,(IF(WEEKDAY(B6085)=1,2,IF(WEEKDAY(B6085)=7,1,0))))))</f>
        <v>2</v>
      </c>
      <c r="H6085" s="370">
        <v>13392.899719238281</v>
      </c>
      <c r="I6085" s="370">
        <v>4171.0700988769531</v>
      </c>
      <c r="M6085" s="371">
        <f t="shared" si="381"/>
        <v>14027.387093087515</v>
      </c>
      <c r="N6085" s="329">
        <f t="shared" si="382"/>
        <v>153.20018310546902</v>
      </c>
      <c r="T6085" s="331">
        <v>0</v>
      </c>
      <c r="U6085" s="328">
        <f>VLOOKUP(C6085,METADATA!$J$5:$Q$29,IF(E6085="HI",2,IF(E6085="LO",6,10))+IF(T6085=1,2,IF(D6085=7,1,(IF(WEEKDAY(B6085)=1,2,IF(WEEKDAY(B6085)=7,1,0))))))</f>
        <v>2</v>
      </c>
      <c r="V6085" s="328">
        <f>VLOOKUP(C6085,METADATA!$A$5:$H$29,IF(E6085="HI",2,IF(E6085="LO",6,10))+IF(T6085=1,2,IF(D6085=7,1,(IF(WEEKDAY(B6085)=1,2,IF(WEEKDAY(B6085)=7,1,0))))))</f>
        <v>2</v>
      </c>
    </row>
    <row r="6086" spans="2:22">
      <c r="B6086" s="318">
        <f t="shared" si="379"/>
        <v>46366</v>
      </c>
      <c r="C6086" s="312">
        <v>10</v>
      </c>
      <c r="D6086" s="368">
        <f>IFERROR((INDEX(METADATA!$T$2:$T$20,MATCH(B6086,METADATA!$S$2:$S$20,0))),0)</f>
        <v>0</v>
      </c>
      <c r="E6086" s="312" t="str">
        <f t="shared" si="380"/>
        <v>LO</v>
      </c>
      <c r="F6086" s="369">
        <f>VLOOKUP(C6086,METADATA!$A$5:$H$29,IF(E6086="HI",2,IF(E6086="LO",6,10))+IF(D6086=1,2,IF(D6086=7,1,(IF(WEEKDAY(B6086)=1,2,IF(WEEKDAY(B6086)=7,1,0))))))</f>
        <v>2</v>
      </c>
      <c r="G6086" s="369">
        <f>VLOOKUP(C6086,METADATA!$J$5:$Q$29,IF(E6086="HI",2,IF(E6086="LO",6,10))+IF(D6086=1,2,IF(D6086=7,1,(IF(WEEKDAY(B6086)=1,2,IF(WEEKDAY(B6086)=7,1,0))))))</f>
        <v>2</v>
      </c>
      <c r="H6086" s="370">
        <v>13390.600341796875</v>
      </c>
      <c r="I6086" s="370">
        <v>4192.6899719238281</v>
      </c>
      <c r="M6086" s="371">
        <f t="shared" si="381"/>
        <v>14031.636637057034</v>
      </c>
      <c r="N6086" s="329">
        <f t="shared" si="382"/>
        <v>175.50986938476581</v>
      </c>
      <c r="T6086" s="331">
        <v>0</v>
      </c>
      <c r="U6086" s="328">
        <f>VLOOKUP(C6086,METADATA!$J$5:$Q$29,IF(E6086="HI",2,IF(E6086="LO",6,10))+IF(T6086=1,2,IF(D6086=7,1,(IF(WEEKDAY(B6086)=1,2,IF(WEEKDAY(B6086)=7,1,0))))))</f>
        <v>2</v>
      </c>
      <c r="V6086" s="328">
        <f>VLOOKUP(C6086,METADATA!$A$5:$H$29,IF(E6086="HI",2,IF(E6086="LO",6,10))+IF(T6086=1,2,IF(D6086=7,1,(IF(WEEKDAY(B6086)=1,2,IF(WEEKDAY(B6086)=7,1,0))))))</f>
        <v>2</v>
      </c>
    </row>
    <row r="6087" spans="2:22">
      <c r="B6087" s="318">
        <f t="shared" si="379"/>
        <v>46366</v>
      </c>
      <c r="C6087" s="312">
        <v>11</v>
      </c>
      <c r="D6087" s="368">
        <f>IFERROR((INDEX(METADATA!$T$2:$T$20,MATCH(B6087,METADATA!$S$2:$S$20,0))),0)</f>
        <v>0</v>
      </c>
      <c r="E6087" s="312" t="str">
        <f t="shared" si="380"/>
        <v>LO</v>
      </c>
      <c r="F6087" s="369">
        <f>VLOOKUP(C6087,METADATA!$A$5:$H$29,IF(E6087="HI",2,IF(E6087="LO",6,10))+IF(D6087=1,2,IF(D6087=7,1,(IF(WEEKDAY(B6087)=1,2,IF(WEEKDAY(B6087)=7,1,0))))))</f>
        <v>2</v>
      </c>
      <c r="G6087" s="369">
        <f>VLOOKUP(C6087,METADATA!$J$5:$Q$29,IF(E6087="HI",2,IF(E6087="LO",6,10))+IF(D6087=1,2,IF(D6087=7,1,(IF(WEEKDAY(B6087)=1,2,IF(WEEKDAY(B6087)=7,1,0))))))</f>
        <v>2</v>
      </c>
      <c r="H6087" s="370">
        <v>13366.549926757813</v>
      </c>
      <c r="I6087" s="370">
        <v>4239.4251403808594</v>
      </c>
      <c r="M6087" s="371">
        <f t="shared" si="381"/>
        <v>14022.745182930572</v>
      </c>
      <c r="N6087" s="329">
        <f t="shared" si="382"/>
        <v>229.4601623535159</v>
      </c>
      <c r="T6087" s="331">
        <v>0</v>
      </c>
      <c r="U6087" s="328">
        <f>VLOOKUP(C6087,METADATA!$J$5:$Q$29,IF(E6087="HI",2,IF(E6087="LO",6,10))+IF(T6087=1,2,IF(D6087=7,1,(IF(WEEKDAY(B6087)=1,2,IF(WEEKDAY(B6087)=7,1,0))))))</f>
        <v>2</v>
      </c>
      <c r="V6087" s="328">
        <f>VLOOKUP(C6087,METADATA!$A$5:$H$29,IF(E6087="HI",2,IF(E6087="LO",6,10))+IF(T6087=1,2,IF(D6087=7,1,(IF(WEEKDAY(B6087)=1,2,IF(WEEKDAY(B6087)=7,1,0))))))</f>
        <v>2</v>
      </c>
    </row>
    <row r="6088" spans="2:22">
      <c r="B6088" s="318">
        <f t="shared" si="379"/>
        <v>46366</v>
      </c>
      <c r="C6088" s="312">
        <v>12</v>
      </c>
      <c r="D6088" s="368">
        <f>IFERROR((INDEX(METADATA!$T$2:$T$20,MATCH(B6088,METADATA!$S$2:$S$20,0))),0)</f>
        <v>0</v>
      </c>
      <c r="E6088" s="312" t="str">
        <f t="shared" si="380"/>
        <v>LO</v>
      </c>
      <c r="F6088" s="369">
        <f>VLOOKUP(C6088,METADATA!$A$5:$H$29,IF(E6088="HI",2,IF(E6088="LO",6,10))+IF(D6088=1,2,IF(D6088=7,1,(IF(WEEKDAY(B6088)=1,2,IF(WEEKDAY(B6088)=7,1,0))))))</f>
        <v>2</v>
      </c>
      <c r="G6088" s="369">
        <f>VLOOKUP(C6088,METADATA!$J$5:$Q$29,IF(E6088="HI",2,IF(E6088="LO",6,10))+IF(D6088=1,2,IF(D6088=7,1,(IF(WEEKDAY(B6088)=1,2,IF(WEEKDAY(B6088)=7,1,0))))))</f>
        <v>2</v>
      </c>
      <c r="H6088" s="370">
        <v>13334.474975585938</v>
      </c>
      <c r="I6088" s="370">
        <v>4253.7000732421875</v>
      </c>
      <c r="M6088" s="371">
        <f t="shared" si="381"/>
        <v>13996.506249333372</v>
      </c>
      <c r="N6088" s="329">
        <f t="shared" si="382"/>
        <v>253.35758056640634</v>
      </c>
      <c r="T6088" s="331">
        <v>0</v>
      </c>
      <c r="U6088" s="328">
        <f>VLOOKUP(C6088,METADATA!$J$5:$Q$29,IF(E6088="HI",2,IF(E6088="LO",6,10))+IF(T6088=1,2,IF(D6088=7,1,(IF(WEEKDAY(B6088)=1,2,IF(WEEKDAY(B6088)=7,1,0))))))</f>
        <v>2</v>
      </c>
      <c r="V6088" s="328">
        <f>VLOOKUP(C6088,METADATA!$A$5:$H$29,IF(E6088="HI",2,IF(E6088="LO",6,10))+IF(T6088=1,2,IF(D6088=7,1,(IF(WEEKDAY(B6088)=1,2,IF(WEEKDAY(B6088)=7,1,0))))))</f>
        <v>2</v>
      </c>
    </row>
    <row r="6089" spans="2:22">
      <c r="B6089" s="318">
        <f t="shared" si="379"/>
        <v>46366</v>
      </c>
      <c r="C6089" s="312">
        <v>13</v>
      </c>
      <c r="D6089" s="368">
        <f>IFERROR((INDEX(METADATA!$T$2:$T$20,MATCH(B6089,METADATA!$S$2:$S$20,0))),0)</f>
        <v>0</v>
      </c>
      <c r="E6089" s="312" t="str">
        <f t="shared" si="380"/>
        <v>LO</v>
      </c>
      <c r="F6089" s="369">
        <f>VLOOKUP(C6089,METADATA!$A$5:$H$29,IF(E6089="HI",2,IF(E6089="LO",6,10))+IF(D6089=1,2,IF(D6089=7,1,(IF(WEEKDAY(B6089)=1,2,IF(WEEKDAY(B6089)=7,1,0))))))</f>
        <v>2</v>
      </c>
      <c r="G6089" s="369">
        <f>VLOOKUP(C6089,METADATA!$J$5:$Q$29,IF(E6089="HI",2,IF(E6089="LO",6,10))+IF(D6089=1,2,IF(D6089=7,1,(IF(WEEKDAY(B6089)=1,2,IF(WEEKDAY(B6089)=7,1,0))))))</f>
        <v>2</v>
      </c>
      <c r="H6089" s="370">
        <v>13517.100158691406</v>
      </c>
      <c r="I6089" s="370">
        <v>4355.2951354980469</v>
      </c>
      <c r="M6089" s="371">
        <f t="shared" si="381"/>
        <v>14201.429238544555</v>
      </c>
      <c r="N6089" s="329">
        <f t="shared" si="382"/>
        <v>300.16508789062527</v>
      </c>
      <c r="T6089" s="331">
        <v>0</v>
      </c>
      <c r="U6089" s="328">
        <f>VLOOKUP(C6089,METADATA!$J$5:$Q$29,IF(E6089="HI",2,IF(E6089="LO",6,10))+IF(T6089=1,2,IF(D6089=7,1,(IF(WEEKDAY(B6089)=1,2,IF(WEEKDAY(B6089)=7,1,0))))))</f>
        <v>2</v>
      </c>
      <c r="V6089" s="328">
        <f>VLOOKUP(C6089,METADATA!$A$5:$H$29,IF(E6089="HI",2,IF(E6089="LO",6,10))+IF(T6089=1,2,IF(D6089=7,1,(IF(WEEKDAY(B6089)=1,2,IF(WEEKDAY(B6089)=7,1,0))))))</f>
        <v>2</v>
      </c>
    </row>
    <row r="6090" spans="2:22">
      <c r="B6090" s="318">
        <f t="shared" si="379"/>
        <v>46366</v>
      </c>
      <c r="C6090" s="312">
        <v>14</v>
      </c>
      <c r="D6090" s="368">
        <f>IFERROR((INDEX(METADATA!$T$2:$T$20,MATCH(B6090,METADATA!$S$2:$S$20,0))),0)</f>
        <v>0</v>
      </c>
      <c r="E6090" s="312" t="str">
        <f t="shared" si="380"/>
        <v>LO</v>
      </c>
      <c r="F6090" s="369">
        <f>VLOOKUP(C6090,METADATA!$A$5:$H$29,IF(E6090="HI",2,IF(E6090="LO",6,10))+IF(D6090=1,2,IF(D6090=7,1,(IF(WEEKDAY(B6090)=1,2,IF(WEEKDAY(B6090)=7,1,0))))))</f>
        <v>2</v>
      </c>
      <c r="G6090" s="369">
        <f>VLOOKUP(C6090,METADATA!$J$5:$Q$29,IF(E6090="HI",2,IF(E6090="LO",6,10))+IF(D6090=1,2,IF(D6090=7,1,(IF(WEEKDAY(B6090)=1,2,IF(WEEKDAY(B6090)=7,1,0))))))</f>
        <v>2</v>
      </c>
      <c r="H6090" s="370">
        <v>13567.675170898438</v>
      </c>
      <c r="I6090" s="370">
        <v>4419.4200439453125</v>
      </c>
      <c r="M6090" s="371">
        <f t="shared" si="381"/>
        <v>14269.30562668834</v>
      </c>
      <c r="N6090" s="329">
        <f t="shared" si="382"/>
        <v>349.11749267578125</v>
      </c>
      <c r="T6090" s="331">
        <v>0</v>
      </c>
      <c r="U6090" s="328">
        <f>VLOOKUP(C6090,METADATA!$J$5:$Q$29,IF(E6090="HI",2,IF(E6090="LO",6,10))+IF(T6090=1,2,IF(D6090=7,1,(IF(WEEKDAY(B6090)=1,2,IF(WEEKDAY(B6090)=7,1,0))))))</f>
        <v>2</v>
      </c>
      <c r="V6090" s="328">
        <f>VLOOKUP(C6090,METADATA!$A$5:$H$29,IF(E6090="HI",2,IF(E6090="LO",6,10))+IF(T6090=1,2,IF(D6090=7,1,(IF(WEEKDAY(B6090)=1,2,IF(WEEKDAY(B6090)=7,1,0))))))</f>
        <v>2</v>
      </c>
    </row>
    <row r="6091" spans="2:22">
      <c r="B6091" s="318">
        <f t="shared" si="379"/>
        <v>46366</v>
      </c>
      <c r="C6091" s="312">
        <v>15</v>
      </c>
      <c r="D6091" s="368">
        <f>IFERROR((INDEX(METADATA!$T$2:$T$20,MATCH(B6091,METADATA!$S$2:$S$20,0))),0)</f>
        <v>0</v>
      </c>
      <c r="E6091" s="312" t="str">
        <f t="shared" si="380"/>
        <v>LO</v>
      </c>
      <c r="F6091" s="369">
        <f>VLOOKUP(C6091,METADATA!$A$5:$H$29,IF(E6091="HI",2,IF(E6091="LO",6,10))+IF(D6091=1,2,IF(D6091=7,1,(IF(WEEKDAY(B6091)=1,2,IF(WEEKDAY(B6091)=7,1,0))))))</f>
        <v>2</v>
      </c>
      <c r="G6091" s="369">
        <f>VLOOKUP(C6091,METADATA!$J$5:$Q$29,IF(E6091="HI",2,IF(E6091="LO",6,10))+IF(D6091=1,2,IF(D6091=7,1,(IF(WEEKDAY(B6091)=1,2,IF(WEEKDAY(B6091)=7,1,0))))))</f>
        <v>2</v>
      </c>
      <c r="H6091" s="370">
        <v>13469.500122070313</v>
      </c>
      <c r="I6091" s="370">
        <v>4358.3299255371094</v>
      </c>
      <c r="M6091" s="371">
        <f t="shared" si="381"/>
        <v>14157.064430109953</v>
      </c>
      <c r="N6091" s="329">
        <f t="shared" si="382"/>
        <v>317.47988891601563</v>
      </c>
      <c r="T6091" s="331">
        <v>0</v>
      </c>
      <c r="U6091" s="328">
        <f>VLOOKUP(C6091,METADATA!$J$5:$Q$29,IF(E6091="HI",2,IF(E6091="LO",6,10))+IF(T6091=1,2,IF(D6091=7,1,(IF(WEEKDAY(B6091)=1,2,IF(WEEKDAY(B6091)=7,1,0))))))</f>
        <v>2</v>
      </c>
      <c r="V6091" s="328">
        <f>VLOOKUP(C6091,METADATA!$A$5:$H$29,IF(E6091="HI",2,IF(E6091="LO",6,10))+IF(T6091=1,2,IF(D6091=7,1,(IF(WEEKDAY(B6091)=1,2,IF(WEEKDAY(B6091)=7,1,0))))))</f>
        <v>2</v>
      </c>
    </row>
    <row r="6092" spans="2:22">
      <c r="B6092" s="318">
        <f t="shared" si="379"/>
        <v>46366</v>
      </c>
      <c r="C6092" s="312">
        <v>16</v>
      </c>
      <c r="D6092" s="368">
        <f>IFERROR((INDEX(METADATA!$T$2:$T$20,MATCH(B6092,METADATA!$S$2:$S$20,0))),0)</f>
        <v>0</v>
      </c>
      <c r="E6092" s="312" t="str">
        <f t="shared" si="380"/>
        <v>LO</v>
      </c>
      <c r="F6092" s="369">
        <f>VLOOKUP(C6092,METADATA!$A$5:$H$29,IF(E6092="HI",2,IF(E6092="LO",6,10))+IF(D6092=1,2,IF(D6092=7,1,(IF(WEEKDAY(B6092)=1,2,IF(WEEKDAY(B6092)=7,1,0))))))</f>
        <v>2</v>
      </c>
      <c r="G6092" s="369">
        <f>VLOOKUP(C6092,METADATA!$J$5:$Q$29,IF(E6092="HI",2,IF(E6092="LO",6,10))+IF(D6092=1,2,IF(D6092=7,1,(IF(WEEKDAY(B6092)=1,2,IF(WEEKDAY(B6092)=7,1,0))))))</f>
        <v>2</v>
      </c>
      <c r="H6092" s="370">
        <v>12779.75</v>
      </c>
      <c r="I6092" s="370">
        <v>3714.7951049804688</v>
      </c>
      <c r="M6092" s="371">
        <f t="shared" si="381"/>
        <v>13308.708154230704</v>
      </c>
      <c r="N6092" s="329">
        <f t="shared" si="382"/>
        <v>0</v>
      </c>
      <c r="T6092" s="331">
        <v>0</v>
      </c>
      <c r="U6092" s="328">
        <f>VLOOKUP(C6092,METADATA!$J$5:$Q$29,IF(E6092="HI",2,IF(E6092="LO",6,10))+IF(T6092=1,2,IF(D6092=7,1,(IF(WEEKDAY(B6092)=1,2,IF(WEEKDAY(B6092)=7,1,0))))))</f>
        <v>2</v>
      </c>
      <c r="V6092" s="328">
        <f>VLOOKUP(C6092,METADATA!$A$5:$H$29,IF(E6092="HI",2,IF(E6092="LO",6,10))+IF(T6092=1,2,IF(D6092=7,1,(IF(WEEKDAY(B6092)=1,2,IF(WEEKDAY(B6092)=7,1,0))))))</f>
        <v>2</v>
      </c>
    </row>
    <row r="6093" spans="2:22">
      <c r="B6093" s="318">
        <f t="shared" si="379"/>
        <v>46366</v>
      </c>
      <c r="C6093" s="312">
        <v>17</v>
      </c>
      <c r="D6093" s="368">
        <f>IFERROR((INDEX(METADATA!$T$2:$T$20,MATCH(B6093,METADATA!$S$2:$S$20,0))),0)</f>
        <v>0</v>
      </c>
      <c r="E6093" s="312" t="str">
        <f t="shared" si="380"/>
        <v>LO</v>
      </c>
      <c r="F6093" s="369">
        <f>VLOOKUP(C6093,METADATA!$A$5:$H$29,IF(E6093="HI",2,IF(E6093="LO",6,10))+IF(D6093=1,2,IF(D6093=7,1,(IF(WEEKDAY(B6093)=1,2,IF(WEEKDAY(B6093)=7,1,0))))))</f>
        <v>2</v>
      </c>
      <c r="G6093" s="369">
        <f>VLOOKUP(C6093,METADATA!$J$5:$Q$29,IF(E6093="HI",2,IF(E6093="LO",6,10))+IF(D6093=1,2,IF(D6093=7,1,(IF(WEEKDAY(B6093)=1,2,IF(WEEKDAY(B6093)=7,1,0))))))</f>
        <v>2</v>
      </c>
      <c r="H6093" s="370">
        <v>12180.5751953125</v>
      </c>
      <c r="I6093" s="370">
        <v>2980.5949783325195</v>
      </c>
      <c r="M6093" s="371">
        <f t="shared" si="381"/>
        <v>12539.950498846603</v>
      </c>
      <c r="N6093" s="329">
        <f t="shared" si="382"/>
        <v>0</v>
      </c>
      <c r="T6093" s="331">
        <v>0</v>
      </c>
      <c r="U6093" s="328">
        <f>VLOOKUP(C6093,METADATA!$J$5:$Q$29,IF(E6093="HI",2,IF(E6093="LO",6,10))+IF(T6093=1,2,IF(D6093=7,1,(IF(WEEKDAY(B6093)=1,2,IF(WEEKDAY(B6093)=7,1,0))))))</f>
        <v>2</v>
      </c>
      <c r="V6093" s="328">
        <f>VLOOKUP(C6093,METADATA!$A$5:$H$29,IF(E6093="HI",2,IF(E6093="LO",6,10))+IF(T6093=1,2,IF(D6093=7,1,(IF(WEEKDAY(B6093)=1,2,IF(WEEKDAY(B6093)=7,1,0))))))</f>
        <v>2</v>
      </c>
    </row>
    <row r="6094" spans="2:22">
      <c r="B6094" s="318">
        <f t="shared" si="379"/>
        <v>46366</v>
      </c>
      <c r="C6094" s="312">
        <v>18</v>
      </c>
      <c r="D6094" s="368">
        <f>IFERROR((INDEX(METADATA!$T$2:$T$20,MATCH(B6094,METADATA!$S$2:$S$20,0))),0)</f>
        <v>0</v>
      </c>
      <c r="E6094" s="312" t="str">
        <f t="shared" si="380"/>
        <v>LO</v>
      </c>
      <c r="F6094" s="369">
        <f>VLOOKUP(C6094,METADATA!$A$5:$H$29,IF(E6094="HI",2,IF(E6094="LO",6,10))+IF(D6094=1,2,IF(D6094=7,1,(IF(WEEKDAY(B6094)=1,2,IF(WEEKDAY(B6094)=7,1,0))))))</f>
        <v>1</v>
      </c>
      <c r="G6094" s="369">
        <f>VLOOKUP(C6094,METADATA!$J$5:$Q$29,IF(E6094="HI",2,IF(E6094="LO",6,10))+IF(D6094=1,2,IF(D6094=7,1,(IF(WEEKDAY(B6094)=1,2,IF(WEEKDAY(B6094)=7,1,0))))))</f>
        <v>1</v>
      </c>
      <c r="H6094" s="370">
        <v>12256.37451171875</v>
      </c>
      <c r="I6094" s="370">
        <v>3134.9399566650391</v>
      </c>
      <c r="M6094" s="371">
        <f t="shared" si="381"/>
        <v>12650.951138290116</v>
      </c>
      <c r="N6094" s="329">
        <f t="shared" si="382"/>
        <v>0</v>
      </c>
      <c r="T6094" s="331">
        <v>0</v>
      </c>
      <c r="U6094" s="328">
        <f>VLOOKUP(C6094,METADATA!$J$5:$Q$29,IF(E6094="HI",2,IF(E6094="LO",6,10))+IF(T6094=1,2,IF(D6094=7,1,(IF(WEEKDAY(B6094)=1,2,IF(WEEKDAY(B6094)=7,1,0))))))</f>
        <v>1</v>
      </c>
      <c r="V6094" s="328">
        <f>VLOOKUP(C6094,METADATA!$A$5:$H$29,IF(E6094="HI",2,IF(E6094="LO",6,10))+IF(T6094=1,2,IF(D6094=7,1,(IF(WEEKDAY(B6094)=1,2,IF(WEEKDAY(B6094)=7,1,0))))))</f>
        <v>1</v>
      </c>
    </row>
    <row r="6095" spans="2:22">
      <c r="B6095" s="318">
        <f t="shared" si="379"/>
        <v>46366</v>
      </c>
      <c r="C6095" s="312">
        <v>19</v>
      </c>
      <c r="D6095" s="368">
        <f>IFERROR((INDEX(METADATA!$T$2:$T$20,MATCH(B6095,METADATA!$S$2:$S$20,0))),0)</f>
        <v>0</v>
      </c>
      <c r="E6095" s="312" t="str">
        <f t="shared" si="380"/>
        <v>LO</v>
      </c>
      <c r="F6095" s="369">
        <f>VLOOKUP(C6095,METADATA!$A$5:$H$29,IF(E6095="HI",2,IF(E6095="LO",6,10))+IF(D6095=1,2,IF(D6095=7,1,(IF(WEEKDAY(B6095)=1,2,IF(WEEKDAY(B6095)=7,1,0))))))</f>
        <v>1</v>
      </c>
      <c r="G6095" s="369">
        <f>VLOOKUP(C6095,METADATA!$J$5:$Q$29,IF(E6095="HI",2,IF(E6095="LO",6,10))+IF(D6095=1,2,IF(D6095=7,1,(IF(WEEKDAY(B6095)=1,2,IF(WEEKDAY(B6095)=7,1,0))))))</f>
        <v>1</v>
      </c>
      <c r="H6095" s="370">
        <v>12209.550048828125</v>
      </c>
      <c r="I6095" s="370">
        <v>3037.2649688720703</v>
      </c>
      <c r="M6095" s="371">
        <f t="shared" si="381"/>
        <v>12581.656921327029</v>
      </c>
      <c r="N6095" s="329">
        <f t="shared" si="382"/>
        <v>0</v>
      </c>
      <c r="T6095" s="331">
        <v>0</v>
      </c>
      <c r="U6095" s="328">
        <f>VLOOKUP(C6095,METADATA!$J$5:$Q$29,IF(E6095="HI",2,IF(E6095="LO",6,10))+IF(T6095=1,2,IF(D6095=7,1,(IF(WEEKDAY(B6095)=1,2,IF(WEEKDAY(B6095)=7,1,0))))))</f>
        <v>1</v>
      </c>
      <c r="V6095" s="328">
        <f>VLOOKUP(C6095,METADATA!$A$5:$H$29,IF(E6095="HI",2,IF(E6095="LO",6,10))+IF(T6095=1,2,IF(D6095=7,1,(IF(WEEKDAY(B6095)=1,2,IF(WEEKDAY(B6095)=7,1,0))))))</f>
        <v>1</v>
      </c>
    </row>
    <row r="6096" spans="2:22">
      <c r="B6096" s="318">
        <f t="shared" si="379"/>
        <v>46366</v>
      </c>
      <c r="C6096" s="312">
        <v>20</v>
      </c>
      <c r="D6096" s="368">
        <f>IFERROR((INDEX(METADATA!$T$2:$T$20,MATCH(B6096,METADATA!$S$2:$S$20,0))),0)</f>
        <v>0</v>
      </c>
      <c r="E6096" s="312" t="str">
        <f t="shared" si="380"/>
        <v>LO</v>
      </c>
      <c r="F6096" s="369">
        <f>VLOOKUP(C6096,METADATA!$A$5:$H$29,IF(E6096="HI",2,IF(E6096="LO",6,10))+IF(D6096=1,2,IF(D6096=7,1,(IF(WEEKDAY(B6096)=1,2,IF(WEEKDAY(B6096)=7,1,0))))))</f>
        <v>1</v>
      </c>
      <c r="G6096" s="369">
        <f>VLOOKUP(C6096,METADATA!$J$5:$Q$29,IF(E6096="HI",2,IF(E6096="LO",6,10))+IF(D6096=1,2,IF(D6096=7,1,(IF(WEEKDAY(B6096)=1,2,IF(WEEKDAY(B6096)=7,1,0))))))</f>
        <v>1</v>
      </c>
      <c r="H6096" s="370">
        <v>12265.324951171875</v>
      </c>
      <c r="I6096" s="370">
        <v>3056.0749359130859</v>
      </c>
      <c r="M6096" s="371">
        <f t="shared" si="381"/>
        <v>12640.323974161245</v>
      </c>
      <c r="N6096" s="329">
        <f t="shared" si="382"/>
        <v>0</v>
      </c>
      <c r="T6096" s="331">
        <v>0</v>
      </c>
      <c r="U6096" s="328">
        <f>VLOOKUP(C6096,METADATA!$J$5:$Q$29,IF(E6096="HI",2,IF(E6096="LO",6,10))+IF(T6096=1,2,IF(D6096=7,1,(IF(WEEKDAY(B6096)=1,2,IF(WEEKDAY(B6096)=7,1,0))))))</f>
        <v>1</v>
      </c>
      <c r="V6096" s="328">
        <f>VLOOKUP(C6096,METADATA!$A$5:$H$29,IF(E6096="HI",2,IF(E6096="LO",6,10))+IF(T6096=1,2,IF(D6096=7,1,(IF(WEEKDAY(B6096)=1,2,IF(WEEKDAY(B6096)=7,1,0))))))</f>
        <v>1</v>
      </c>
    </row>
    <row r="6097" spans="2:22">
      <c r="B6097" s="318">
        <f t="shared" si="379"/>
        <v>46366</v>
      </c>
      <c r="C6097" s="312">
        <v>21</v>
      </c>
      <c r="D6097" s="368">
        <f>IFERROR((INDEX(METADATA!$T$2:$T$20,MATCH(B6097,METADATA!$S$2:$S$20,0))),0)</f>
        <v>0</v>
      </c>
      <c r="E6097" s="312" t="str">
        <f t="shared" si="380"/>
        <v>LO</v>
      </c>
      <c r="F6097" s="369">
        <f>VLOOKUP(C6097,METADATA!$A$5:$H$29,IF(E6097="HI",2,IF(E6097="LO",6,10))+IF(D6097=1,2,IF(D6097=7,1,(IF(WEEKDAY(B6097)=1,2,IF(WEEKDAY(B6097)=7,1,0))))))</f>
        <v>2</v>
      </c>
      <c r="G6097" s="369">
        <f>VLOOKUP(C6097,METADATA!$J$5:$Q$29,IF(E6097="HI",2,IF(E6097="LO",6,10))+IF(D6097=1,2,IF(D6097=7,1,(IF(WEEKDAY(B6097)=1,2,IF(WEEKDAY(B6097)=7,1,0))))))</f>
        <v>2</v>
      </c>
      <c r="H6097" s="370">
        <v>12225.599914550781</v>
      </c>
      <c r="I6097" s="370">
        <v>3021.2750015258789</v>
      </c>
      <c r="M6097" s="371">
        <f t="shared" si="381"/>
        <v>12593.386991016725</v>
      </c>
      <c r="N6097" s="329">
        <f t="shared" si="382"/>
        <v>0</v>
      </c>
      <c r="T6097" s="331">
        <v>0</v>
      </c>
      <c r="U6097" s="328">
        <f>VLOOKUP(C6097,METADATA!$J$5:$Q$29,IF(E6097="HI",2,IF(E6097="LO",6,10))+IF(T6097=1,2,IF(D6097=7,1,(IF(WEEKDAY(B6097)=1,2,IF(WEEKDAY(B6097)=7,1,0))))))</f>
        <v>2</v>
      </c>
      <c r="V6097" s="328">
        <f>VLOOKUP(C6097,METADATA!$A$5:$H$29,IF(E6097="HI",2,IF(E6097="LO",6,10))+IF(T6097=1,2,IF(D6097=7,1,(IF(WEEKDAY(B6097)=1,2,IF(WEEKDAY(B6097)=7,1,0))))))</f>
        <v>2</v>
      </c>
    </row>
    <row r="6098" spans="2:22">
      <c r="B6098" s="318">
        <f t="shared" si="379"/>
        <v>46366</v>
      </c>
      <c r="C6098" s="312">
        <v>22</v>
      </c>
      <c r="D6098" s="368">
        <f>IFERROR((INDEX(METADATA!$T$2:$T$20,MATCH(B6098,METADATA!$S$2:$S$20,0))),0)</f>
        <v>0</v>
      </c>
      <c r="E6098" s="312" t="str">
        <f t="shared" si="380"/>
        <v>LO</v>
      </c>
      <c r="F6098" s="369">
        <f>VLOOKUP(C6098,METADATA!$A$5:$H$29,IF(E6098="HI",2,IF(E6098="LO",6,10))+IF(D6098=1,2,IF(D6098=7,1,(IF(WEEKDAY(B6098)=1,2,IF(WEEKDAY(B6098)=7,1,0))))))</f>
        <v>3</v>
      </c>
      <c r="G6098" s="369">
        <f>VLOOKUP(C6098,METADATA!$J$5:$Q$29,IF(E6098="HI",2,IF(E6098="LO",6,10))+IF(D6098=1,2,IF(D6098=7,1,(IF(WEEKDAY(B6098)=1,2,IF(WEEKDAY(B6098)=7,1,0))))))</f>
        <v>3</v>
      </c>
      <c r="H6098" s="370">
        <v>12449.925415039063</v>
      </c>
      <c r="I6098" s="370">
        <v>3548.6800689697266</v>
      </c>
      <c r="M6098" s="371">
        <f t="shared" si="381"/>
        <v>12945.801368472272</v>
      </c>
      <c r="N6098" s="329">
        <f t="shared" si="382"/>
        <v>0</v>
      </c>
      <c r="T6098" s="331">
        <v>0</v>
      </c>
      <c r="U6098" s="328">
        <f>VLOOKUP(C6098,METADATA!$J$5:$Q$29,IF(E6098="HI",2,IF(E6098="LO",6,10))+IF(T6098=1,2,IF(D6098=7,1,(IF(WEEKDAY(B6098)=1,2,IF(WEEKDAY(B6098)=7,1,0))))))</f>
        <v>3</v>
      </c>
      <c r="V6098" s="328">
        <f>VLOOKUP(C6098,METADATA!$A$5:$H$29,IF(E6098="HI",2,IF(E6098="LO",6,10))+IF(T6098=1,2,IF(D6098=7,1,(IF(WEEKDAY(B6098)=1,2,IF(WEEKDAY(B6098)=7,1,0))))))</f>
        <v>3</v>
      </c>
    </row>
    <row r="6099" spans="2:22">
      <c r="B6099" s="318">
        <f t="shared" si="379"/>
        <v>46366</v>
      </c>
      <c r="C6099" s="312">
        <v>23</v>
      </c>
      <c r="D6099" s="368">
        <f>IFERROR((INDEX(METADATA!$T$2:$T$20,MATCH(B6099,METADATA!$S$2:$S$20,0))),0)</f>
        <v>0</v>
      </c>
      <c r="E6099" s="312" t="str">
        <f t="shared" si="380"/>
        <v>LO</v>
      </c>
      <c r="F6099" s="369">
        <f>VLOOKUP(C6099,METADATA!$A$5:$H$29,IF(E6099="HI",2,IF(E6099="LO",6,10))+IF(D6099=1,2,IF(D6099=7,1,(IF(WEEKDAY(B6099)=1,2,IF(WEEKDAY(B6099)=7,1,0))))))</f>
        <v>3</v>
      </c>
      <c r="G6099" s="369">
        <f>VLOOKUP(C6099,METADATA!$J$5:$Q$29,IF(E6099="HI",2,IF(E6099="LO",6,10))+IF(D6099=1,2,IF(D6099=7,1,(IF(WEEKDAY(B6099)=1,2,IF(WEEKDAY(B6099)=7,1,0))))))</f>
        <v>3</v>
      </c>
      <c r="H6099" s="370">
        <v>13081.224975585938</v>
      </c>
      <c r="I6099" s="370">
        <v>4078.824951171875</v>
      </c>
      <c r="M6099" s="371">
        <f t="shared" si="381"/>
        <v>13702.381539141126</v>
      </c>
      <c r="N6099" s="329">
        <f t="shared" si="382"/>
        <v>154.45745849609375</v>
      </c>
      <c r="T6099" s="331">
        <v>0</v>
      </c>
      <c r="U6099" s="328">
        <f>VLOOKUP(C6099,METADATA!$J$5:$Q$29,IF(E6099="HI",2,IF(E6099="LO",6,10))+IF(T6099=1,2,IF(D6099=7,1,(IF(WEEKDAY(B6099)=1,2,IF(WEEKDAY(B6099)=7,1,0))))))</f>
        <v>3</v>
      </c>
      <c r="V6099" s="328">
        <f>VLOOKUP(C6099,METADATA!$A$5:$H$29,IF(E6099="HI",2,IF(E6099="LO",6,10))+IF(T6099=1,2,IF(D6099=7,1,(IF(WEEKDAY(B6099)=1,2,IF(WEEKDAY(B6099)=7,1,0))))))</f>
        <v>3</v>
      </c>
    </row>
    <row r="6100" spans="2:22">
      <c r="B6100" s="318">
        <f t="shared" si="379"/>
        <v>46367</v>
      </c>
      <c r="C6100" s="312">
        <v>0</v>
      </c>
      <c r="D6100" s="368">
        <f>IFERROR((INDEX(METADATA!$T$2:$T$20,MATCH(B6100,METADATA!$S$2:$S$20,0))),0)</f>
        <v>0</v>
      </c>
      <c r="E6100" s="312" t="str">
        <f t="shared" si="380"/>
        <v>LO</v>
      </c>
      <c r="F6100" s="369">
        <f>VLOOKUP(C6100,METADATA!$A$5:$H$29,IF(E6100="HI",2,IF(E6100="LO",6,10))+IF(D6100=1,2,IF(D6100=7,1,(IF(WEEKDAY(B6100)=1,2,IF(WEEKDAY(B6100)=7,1,0))))))</f>
        <v>3</v>
      </c>
      <c r="G6100" s="369">
        <f>VLOOKUP(C6100,METADATA!$J$5:$Q$29,IF(E6100="HI",2,IF(E6100="LO",6,10))+IF(D6100=1,2,IF(D6100=7,1,(IF(WEEKDAY(B6100)=1,2,IF(WEEKDAY(B6100)=7,1,0))))))</f>
        <v>3</v>
      </c>
      <c r="H6100" s="370">
        <v>13266.900024414063</v>
      </c>
      <c r="I6100" s="370">
        <v>4294.9599609375</v>
      </c>
      <c r="M6100" s="371">
        <f t="shared" si="381"/>
        <v>13944.79534894127</v>
      </c>
      <c r="N6100" s="329">
        <f t="shared" si="382"/>
        <v>314.88995361328125</v>
      </c>
      <c r="T6100" s="331">
        <v>0</v>
      </c>
      <c r="U6100" s="328">
        <f>VLOOKUP(C6100,METADATA!$J$5:$Q$29,IF(E6100="HI",2,IF(E6100="LO",6,10))+IF(T6100=1,2,IF(D6100=7,1,(IF(WEEKDAY(B6100)=1,2,IF(WEEKDAY(B6100)=7,1,0))))))</f>
        <v>3</v>
      </c>
      <c r="V6100" s="328">
        <f>VLOOKUP(C6100,METADATA!$A$5:$H$29,IF(E6100="HI",2,IF(E6100="LO",6,10))+IF(T6100=1,2,IF(D6100=7,1,(IF(WEEKDAY(B6100)=1,2,IF(WEEKDAY(B6100)=7,1,0))))))</f>
        <v>3</v>
      </c>
    </row>
    <row r="6101" spans="2:22">
      <c r="B6101" s="318">
        <f t="shared" si="379"/>
        <v>46367</v>
      </c>
      <c r="C6101" s="312">
        <v>1</v>
      </c>
      <c r="D6101" s="368">
        <f>IFERROR((INDEX(METADATA!$T$2:$T$20,MATCH(B6101,METADATA!$S$2:$S$20,0))),0)</f>
        <v>0</v>
      </c>
      <c r="E6101" s="312" t="str">
        <f t="shared" si="380"/>
        <v>LO</v>
      </c>
      <c r="F6101" s="369">
        <f>VLOOKUP(C6101,METADATA!$A$5:$H$29,IF(E6101="HI",2,IF(E6101="LO",6,10))+IF(D6101=1,2,IF(D6101=7,1,(IF(WEEKDAY(B6101)=1,2,IF(WEEKDAY(B6101)=7,1,0))))))</f>
        <v>3</v>
      </c>
      <c r="G6101" s="369">
        <f>VLOOKUP(C6101,METADATA!$J$5:$Q$29,IF(E6101="HI",2,IF(E6101="LO",6,10))+IF(D6101=1,2,IF(D6101=7,1,(IF(WEEKDAY(B6101)=1,2,IF(WEEKDAY(B6101)=7,1,0))))))</f>
        <v>3</v>
      </c>
      <c r="H6101" s="370">
        <v>13187.825134277344</v>
      </c>
      <c r="I6101" s="370">
        <v>4159.072509765625</v>
      </c>
      <c r="M6101" s="371">
        <f t="shared" si="381"/>
        <v>13828.109629076758</v>
      </c>
      <c r="N6101" s="329">
        <f t="shared" si="382"/>
        <v>202.72496948242224</v>
      </c>
      <c r="T6101" s="331">
        <v>0</v>
      </c>
      <c r="U6101" s="328">
        <f>VLOOKUP(C6101,METADATA!$J$5:$Q$29,IF(E6101="HI",2,IF(E6101="LO",6,10))+IF(T6101=1,2,IF(D6101=7,1,(IF(WEEKDAY(B6101)=1,2,IF(WEEKDAY(B6101)=7,1,0))))))</f>
        <v>3</v>
      </c>
      <c r="V6101" s="328">
        <f>VLOOKUP(C6101,METADATA!$A$5:$H$29,IF(E6101="HI",2,IF(E6101="LO",6,10))+IF(T6101=1,2,IF(D6101=7,1,(IF(WEEKDAY(B6101)=1,2,IF(WEEKDAY(B6101)=7,1,0))))))</f>
        <v>3</v>
      </c>
    </row>
    <row r="6102" spans="2:22">
      <c r="B6102" s="318">
        <f t="shared" si="379"/>
        <v>46367</v>
      </c>
      <c r="C6102" s="312">
        <v>2</v>
      </c>
      <c r="D6102" s="368">
        <f>IFERROR((INDEX(METADATA!$T$2:$T$20,MATCH(B6102,METADATA!$S$2:$S$20,0))),0)</f>
        <v>0</v>
      </c>
      <c r="E6102" s="312" t="str">
        <f t="shared" si="380"/>
        <v>LO</v>
      </c>
      <c r="F6102" s="369">
        <f>VLOOKUP(C6102,METADATA!$A$5:$H$29,IF(E6102="HI",2,IF(E6102="LO",6,10))+IF(D6102=1,2,IF(D6102=7,1,(IF(WEEKDAY(B6102)=1,2,IF(WEEKDAY(B6102)=7,1,0))))))</f>
        <v>3</v>
      </c>
      <c r="G6102" s="369">
        <f>VLOOKUP(C6102,METADATA!$J$5:$Q$29,IF(E6102="HI",2,IF(E6102="LO",6,10))+IF(D6102=1,2,IF(D6102=7,1,(IF(WEEKDAY(B6102)=1,2,IF(WEEKDAY(B6102)=7,1,0))))))</f>
        <v>3</v>
      </c>
      <c r="H6102" s="370">
        <v>13088.975280761719</v>
      </c>
      <c r="I6102" s="370">
        <v>3761.8999938964844</v>
      </c>
      <c r="M6102" s="371">
        <f t="shared" si="381"/>
        <v>13618.853309455597</v>
      </c>
      <c r="N6102" s="329">
        <f t="shared" si="382"/>
        <v>0</v>
      </c>
      <c r="T6102" s="331">
        <v>0</v>
      </c>
      <c r="U6102" s="328">
        <f>VLOOKUP(C6102,METADATA!$J$5:$Q$29,IF(E6102="HI",2,IF(E6102="LO",6,10))+IF(T6102=1,2,IF(D6102=7,1,(IF(WEEKDAY(B6102)=1,2,IF(WEEKDAY(B6102)=7,1,0))))))</f>
        <v>3</v>
      </c>
      <c r="V6102" s="328">
        <f>VLOOKUP(C6102,METADATA!$A$5:$H$29,IF(E6102="HI",2,IF(E6102="LO",6,10))+IF(T6102=1,2,IF(D6102=7,1,(IF(WEEKDAY(B6102)=1,2,IF(WEEKDAY(B6102)=7,1,0))))))</f>
        <v>3</v>
      </c>
    </row>
    <row r="6103" spans="2:22">
      <c r="B6103" s="318">
        <f t="shared" si="379"/>
        <v>46367</v>
      </c>
      <c r="C6103" s="312">
        <v>3</v>
      </c>
      <c r="D6103" s="368">
        <f>IFERROR((INDEX(METADATA!$T$2:$T$20,MATCH(B6103,METADATA!$S$2:$S$20,0))),0)</f>
        <v>0</v>
      </c>
      <c r="E6103" s="312" t="str">
        <f t="shared" si="380"/>
        <v>LO</v>
      </c>
      <c r="F6103" s="369">
        <f>VLOOKUP(C6103,METADATA!$A$5:$H$29,IF(E6103="HI",2,IF(E6103="LO",6,10))+IF(D6103=1,2,IF(D6103=7,1,(IF(WEEKDAY(B6103)=1,2,IF(WEEKDAY(B6103)=7,1,0))))))</f>
        <v>3</v>
      </c>
      <c r="G6103" s="369">
        <f>VLOOKUP(C6103,METADATA!$J$5:$Q$29,IF(E6103="HI",2,IF(E6103="LO",6,10))+IF(D6103=1,2,IF(D6103=7,1,(IF(WEEKDAY(B6103)=1,2,IF(WEEKDAY(B6103)=7,1,0))))))</f>
        <v>3</v>
      </c>
      <c r="H6103" s="370">
        <v>13229.77490234375</v>
      </c>
      <c r="I6103" s="370">
        <v>3815.260009765625</v>
      </c>
      <c r="M6103" s="371">
        <f t="shared" si="381"/>
        <v>13768.919816340038</v>
      </c>
      <c r="N6103" s="329">
        <f t="shared" si="382"/>
        <v>0</v>
      </c>
      <c r="T6103" s="331">
        <v>0</v>
      </c>
      <c r="U6103" s="328">
        <f>VLOOKUP(C6103,METADATA!$J$5:$Q$29,IF(E6103="HI",2,IF(E6103="LO",6,10))+IF(T6103=1,2,IF(D6103=7,1,(IF(WEEKDAY(B6103)=1,2,IF(WEEKDAY(B6103)=7,1,0))))))</f>
        <v>3</v>
      </c>
      <c r="V6103" s="328">
        <f>VLOOKUP(C6103,METADATA!$A$5:$H$29,IF(E6103="HI",2,IF(E6103="LO",6,10))+IF(T6103=1,2,IF(D6103=7,1,(IF(WEEKDAY(B6103)=1,2,IF(WEEKDAY(B6103)=7,1,0))))))</f>
        <v>3</v>
      </c>
    </row>
    <row r="6104" spans="2:22">
      <c r="B6104" s="318">
        <f t="shared" si="379"/>
        <v>46367</v>
      </c>
      <c r="C6104" s="312">
        <v>4</v>
      </c>
      <c r="D6104" s="368">
        <f>IFERROR((INDEX(METADATA!$T$2:$T$20,MATCH(B6104,METADATA!$S$2:$S$20,0))),0)</f>
        <v>0</v>
      </c>
      <c r="E6104" s="312" t="str">
        <f t="shared" si="380"/>
        <v>LO</v>
      </c>
      <c r="F6104" s="369">
        <f>VLOOKUP(C6104,METADATA!$A$5:$H$29,IF(E6104="HI",2,IF(E6104="LO",6,10))+IF(D6104=1,2,IF(D6104=7,1,(IF(WEEKDAY(B6104)=1,2,IF(WEEKDAY(B6104)=7,1,0))))))</f>
        <v>3</v>
      </c>
      <c r="G6104" s="369">
        <f>VLOOKUP(C6104,METADATA!$J$5:$Q$29,IF(E6104="HI",2,IF(E6104="LO",6,10))+IF(D6104=1,2,IF(D6104=7,1,(IF(WEEKDAY(B6104)=1,2,IF(WEEKDAY(B6104)=7,1,0))))))</f>
        <v>3</v>
      </c>
      <c r="H6104" s="370">
        <v>13141.275146484375</v>
      </c>
      <c r="I6104" s="370">
        <v>3775.1249389648438</v>
      </c>
      <c r="M6104" s="371">
        <f t="shared" si="381"/>
        <v>13672.771510575398</v>
      </c>
      <c r="N6104" s="329">
        <f t="shared" si="382"/>
        <v>0</v>
      </c>
      <c r="T6104" s="331">
        <v>0</v>
      </c>
      <c r="U6104" s="328">
        <f>VLOOKUP(C6104,METADATA!$J$5:$Q$29,IF(E6104="HI",2,IF(E6104="LO",6,10))+IF(T6104=1,2,IF(D6104=7,1,(IF(WEEKDAY(B6104)=1,2,IF(WEEKDAY(B6104)=7,1,0))))))</f>
        <v>3</v>
      </c>
      <c r="V6104" s="328">
        <f>VLOOKUP(C6104,METADATA!$A$5:$H$29,IF(E6104="HI",2,IF(E6104="LO",6,10))+IF(T6104=1,2,IF(D6104=7,1,(IF(WEEKDAY(B6104)=1,2,IF(WEEKDAY(B6104)=7,1,0))))))</f>
        <v>3</v>
      </c>
    </row>
    <row r="6105" spans="2:22">
      <c r="B6105" s="318">
        <f t="shared" si="379"/>
        <v>46367</v>
      </c>
      <c r="C6105" s="312">
        <v>5</v>
      </c>
      <c r="D6105" s="368">
        <f>IFERROR((INDEX(METADATA!$T$2:$T$20,MATCH(B6105,METADATA!$S$2:$S$20,0))),0)</f>
        <v>0</v>
      </c>
      <c r="E6105" s="312" t="str">
        <f t="shared" si="380"/>
        <v>LO</v>
      </c>
      <c r="F6105" s="369">
        <f>VLOOKUP(C6105,METADATA!$A$5:$H$29,IF(E6105="HI",2,IF(E6105="LO",6,10))+IF(D6105=1,2,IF(D6105=7,1,(IF(WEEKDAY(B6105)=1,2,IF(WEEKDAY(B6105)=7,1,0))))))</f>
        <v>3</v>
      </c>
      <c r="G6105" s="369">
        <f>VLOOKUP(C6105,METADATA!$J$5:$Q$29,IF(E6105="HI",2,IF(E6105="LO",6,10))+IF(D6105=1,2,IF(D6105=7,1,(IF(WEEKDAY(B6105)=1,2,IF(WEEKDAY(B6105)=7,1,0))))))</f>
        <v>3</v>
      </c>
      <c r="H6105" s="370">
        <v>13092.92529296875</v>
      </c>
      <c r="I6105" s="370">
        <v>3779.4200134277344</v>
      </c>
      <c r="M6105" s="371">
        <f t="shared" si="381"/>
        <v>13627.498243080383</v>
      </c>
      <c r="N6105" s="329">
        <f t="shared" si="382"/>
        <v>0</v>
      </c>
      <c r="T6105" s="331">
        <v>0</v>
      </c>
      <c r="U6105" s="328">
        <f>VLOOKUP(C6105,METADATA!$J$5:$Q$29,IF(E6105="HI",2,IF(E6105="LO",6,10))+IF(T6105=1,2,IF(D6105=7,1,(IF(WEEKDAY(B6105)=1,2,IF(WEEKDAY(B6105)=7,1,0))))))</f>
        <v>3</v>
      </c>
      <c r="V6105" s="328">
        <f>VLOOKUP(C6105,METADATA!$A$5:$H$29,IF(E6105="HI",2,IF(E6105="LO",6,10))+IF(T6105=1,2,IF(D6105=7,1,(IF(WEEKDAY(B6105)=1,2,IF(WEEKDAY(B6105)=7,1,0))))))</f>
        <v>3</v>
      </c>
    </row>
    <row r="6106" spans="2:22">
      <c r="B6106" s="318">
        <f t="shared" si="379"/>
        <v>46367</v>
      </c>
      <c r="C6106" s="312">
        <v>6</v>
      </c>
      <c r="D6106" s="368">
        <f>IFERROR((INDEX(METADATA!$T$2:$T$20,MATCH(B6106,METADATA!$S$2:$S$20,0))),0)</f>
        <v>0</v>
      </c>
      <c r="E6106" s="312" t="str">
        <f t="shared" si="380"/>
        <v>LO</v>
      </c>
      <c r="F6106" s="369">
        <f>VLOOKUP(C6106,METADATA!$A$5:$H$29,IF(E6106="HI",2,IF(E6106="LO",6,10))+IF(D6106=1,2,IF(D6106=7,1,(IF(WEEKDAY(B6106)=1,2,IF(WEEKDAY(B6106)=7,1,0))))))</f>
        <v>2</v>
      </c>
      <c r="G6106" s="369">
        <f>VLOOKUP(C6106,METADATA!$J$5:$Q$29,IF(E6106="HI",2,IF(E6106="LO",6,10))+IF(D6106=1,2,IF(D6106=7,1,(IF(WEEKDAY(B6106)=1,2,IF(WEEKDAY(B6106)=7,1,0))))))</f>
        <v>2</v>
      </c>
      <c r="H6106" s="370">
        <v>13203.399719238281</v>
      </c>
      <c r="I6106" s="370">
        <v>3781.3949890136719</v>
      </c>
      <c r="M6106" s="371">
        <f t="shared" si="381"/>
        <v>13734.216840028383</v>
      </c>
      <c r="N6106" s="329">
        <f t="shared" si="382"/>
        <v>0</v>
      </c>
      <c r="T6106" s="331">
        <v>0</v>
      </c>
      <c r="U6106" s="328">
        <f>VLOOKUP(C6106,METADATA!$J$5:$Q$29,IF(E6106="HI",2,IF(E6106="LO",6,10))+IF(T6106=1,2,IF(D6106=7,1,(IF(WEEKDAY(B6106)=1,2,IF(WEEKDAY(B6106)=7,1,0))))))</f>
        <v>2</v>
      </c>
      <c r="V6106" s="328">
        <f>VLOOKUP(C6106,METADATA!$A$5:$H$29,IF(E6106="HI",2,IF(E6106="LO",6,10))+IF(T6106=1,2,IF(D6106=7,1,(IF(WEEKDAY(B6106)=1,2,IF(WEEKDAY(B6106)=7,1,0))))))</f>
        <v>2</v>
      </c>
    </row>
    <row r="6107" spans="2:22">
      <c r="B6107" s="318">
        <f t="shared" si="379"/>
        <v>46367</v>
      </c>
      <c r="C6107" s="312">
        <v>7</v>
      </c>
      <c r="D6107" s="368">
        <f>IFERROR((INDEX(METADATA!$T$2:$T$20,MATCH(B6107,METADATA!$S$2:$S$20,0))),0)</f>
        <v>0</v>
      </c>
      <c r="E6107" s="312" t="str">
        <f t="shared" si="380"/>
        <v>LO</v>
      </c>
      <c r="F6107" s="369">
        <f>VLOOKUP(C6107,METADATA!$A$5:$H$29,IF(E6107="HI",2,IF(E6107="LO",6,10))+IF(D6107=1,2,IF(D6107=7,1,(IF(WEEKDAY(B6107)=1,2,IF(WEEKDAY(B6107)=7,1,0))))))</f>
        <v>1</v>
      </c>
      <c r="G6107" s="369">
        <f>VLOOKUP(C6107,METADATA!$J$5:$Q$29,IF(E6107="HI",2,IF(E6107="LO",6,10))+IF(D6107=1,2,IF(D6107=7,1,(IF(WEEKDAY(B6107)=1,2,IF(WEEKDAY(B6107)=7,1,0))))))</f>
        <v>1</v>
      </c>
      <c r="H6107" s="370">
        <v>13279.700012207031</v>
      </c>
      <c r="I6107" s="370">
        <v>4090.2449645996094</v>
      </c>
      <c r="M6107" s="371">
        <f t="shared" si="381"/>
        <v>13895.342251439648</v>
      </c>
      <c r="N6107" s="329">
        <f t="shared" si="382"/>
        <v>106.3349609375</v>
      </c>
      <c r="T6107" s="331">
        <v>0</v>
      </c>
      <c r="U6107" s="328">
        <f>VLOOKUP(C6107,METADATA!$J$5:$Q$29,IF(E6107="HI",2,IF(E6107="LO",6,10))+IF(T6107=1,2,IF(D6107=7,1,(IF(WEEKDAY(B6107)=1,2,IF(WEEKDAY(B6107)=7,1,0))))))</f>
        <v>1</v>
      </c>
      <c r="V6107" s="328">
        <f>VLOOKUP(C6107,METADATA!$A$5:$H$29,IF(E6107="HI",2,IF(E6107="LO",6,10))+IF(T6107=1,2,IF(D6107=7,1,(IF(WEEKDAY(B6107)=1,2,IF(WEEKDAY(B6107)=7,1,0))))))</f>
        <v>1</v>
      </c>
    </row>
    <row r="6108" spans="2:22">
      <c r="B6108" s="318">
        <f t="shared" ref="B6108:B6171" si="383">B6084+1</f>
        <v>46367</v>
      </c>
      <c r="C6108" s="312">
        <v>8</v>
      </c>
      <c r="D6108" s="368">
        <f>IFERROR((INDEX(METADATA!$T$2:$T$20,MATCH(B6108,METADATA!$S$2:$S$20,0))),0)</f>
        <v>0</v>
      </c>
      <c r="E6108" s="312" t="str">
        <f t="shared" si="380"/>
        <v>LO</v>
      </c>
      <c r="F6108" s="369">
        <f>VLOOKUP(C6108,METADATA!$A$5:$H$29,IF(E6108="HI",2,IF(E6108="LO",6,10))+IF(D6108=1,2,IF(D6108=7,1,(IF(WEEKDAY(B6108)=1,2,IF(WEEKDAY(B6108)=7,1,0))))))</f>
        <v>1</v>
      </c>
      <c r="G6108" s="369">
        <f>VLOOKUP(C6108,METADATA!$J$5:$Q$29,IF(E6108="HI",2,IF(E6108="LO",6,10))+IF(D6108=1,2,IF(D6108=7,1,(IF(WEEKDAY(B6108)=1,2,IF(WEEKDAY(B6108)=7,1,0))))))</f>
        <v>1</v>
      </c>
      <c r="H6108" s="370">
        <v>13382.024841308594</v>
      </c>
      <c r="I6108" s="370">
        <v>4164.8199768066406</v>
      </c>
      <c r="M6108" s="371">
        <f t="shared" si="381"/>
        <v>14015.145889094696</v>
      </c>
      <c r="N6108" s="329">
        <f t="shared" si="382"/>
        <v>150.2125244140625</v>
      </c>
      <c r="T6108" s="331">
        <v>0</v>
      </c>
      <c r="U6108" s="328">
        <f>VLOOKUP(C6108,METADATA!$J$5:$Q$29,IF(E6108="HI",2,IF(E6108="LO",6,10))+IF(T6108=1,2,IF(D6108=7,1,(IF(WEEKDAY(B6108)=1,2,IF(WEEKDAY(B6108)=7,1,0))))))</f>
        <v>1</v>
      </c>
      <c r="V6108" s="328">
        <f>VLOOKUP(C6108,METADATA!$A$5:$H$29,IF(E6108="HI",2,IF(E6108="LO",6,10))+IF(T6108=1,2,IF(D6108=7,1,(IF(WEEKDAY(B6108)=1,2,IF(WEEKDAY(B6108)=7,1,0))))))</f>
        <v>1</v>
      </c>
    </row>
    <row r="6109" spans="2:22">
      <c r="B6109" s="318">
        <f t="shared" si="383"/>
        <v>46367</v>
      </c>
      <c r="C6109" s="312">
        <v>9</v>
      </c>
      <c r="D6109" s="368">
        <f>IFERROR((INDEX(METADATA!$T$2:$T$20,MATCH(B6109,METADATA!$S$2:$S$20,0))),0)</f>
        <v>0</v>
      </c>
      <c r="E6109" s="312" t="str">
        <f t="shared" si="380"/>
        <v>LO</v>
      </c>
      <c r="F6109" s="369">
        <f>VLOOKUP(C6109,METADATA!$A$5:$H$29,IF(E6109="HI",2,IF(E6109="LO",6,10))+IF(D6109=1,2,IF(D6109=7,1,(IF(WEEKDAY(B6109)=1,2,IF(WEEKDAY(B6109)=7,1,0))))))</f>
        <v>2</v>
      </c>
      <c r="G6109" s="369">
        <f>VLOOKUP(C6109,METADATA!$J$5:$Q$29,IF(E6109="HI",2,IF(E6109="LO",6,10))+IF(D6109=1,2,IF(D6109=7,1,(IF(WEEKDAY(B6109)=1,2,IF(WEEKDAY(B6109)=7,1,0))))))</f>
        <v>2</v>
      </c>
      <c r="H6109" s="370">
        <v>13334.674987792969</v>
      </c>
      <c r="I6109" s="370">
        <v>4126.989990234375</v>
      </c>
      <c r="M6109" s="371">
        <f t="shared" si="381"/>
        <v>13958.710664297263</v>
      </c>
      <c r="N6109" s="329">
        <f t="shared" si="382"/>
        <v>126.58749389648438</v>
      </c>
      <c r="T6109" s="331">
        <v>0</v>
      </c>
      <c r="U6109" s="328">
        <f>VLOOKUP(C6109,METADATA!$J$5:$Q$29,IF(E6109="HI",2,IF(E6109="LO",6,10))+IF(T6109=1,2,IF(D6109=7,1,(IF(WEEKDAY(B6109)=1,2,IF(WEEKDAY(B6109)=7,1,0))))))</f>
        <v>2</v>
      </c>
      <c r="V6109" s="328">
        <f>VLOOKUP(C6109,METADATA!$A$5:$H$29,IF(E6109="HI",2,IF(E6109="LO",6,10))+IF(T6109=1,2,IF(D6109=7,1,(IF(WEEKDAY(B6109)=1,2,IF(WEEKDAY(B6109)=7,1,0))))))</f>
        <v>2</v>
      </c>
    </row>
    <row r="6110" spans="2:22">
      <c r="B6110" s="318">
        <f t="shared" si="383"/>
        <v>46367</v>
      </c>
      <c r="C6110" s="312">
        <v>10</v>
      </c>
      <c r="D6110" s="368">
        <f>IFERROR((INDEX(METADATA!$T$2:$T$20,MATCH(B6110,METADATA!$S$2:$S$20,0))),0)</f>
        <v>0</v>
      </c>
      <c r="E6110" s="312" t="str">
        <f t="shared" si="380"/>
        <v>LO</v>
      </c>
      <c r="F6110" s="369">
        <f>VLOOKUP(C6110,METADATA!$A$5:$H$29,IF(E6110="HI",2,IF(E6110="LO",6,10))+IF(D6110=1,2,IF(D6110=7,1,(IF(WEEKDAY(B6110)=1,2,IF(WEEKDAY(B6110)=7,1,0))))))</f>
        <v>2</v>
      </c>
      <c r="G6110" s="369">
        <f>VLOOKUP(C6110,METADATA!$J$5:$Q$29,IF(E6110="HI",2,IF(E6110="LO",6,10))+IF(D6110=1,2,IF(D6110=7,1,(IF(WEEKDAY(B6110)=1,2,IF(WEEKDAY(B6110)=7,1,0))))))</f>
        <v>2</v>
      </c>
      <c r="H6110" s="370">
        <v>12515.174743652344</v>
      </c>
      <c r="I6110" s="370">
        <v>3250.0099792480469</v>
      </c>
      <c r="M6110" s="371">
        <f t="shared" si="381"/>
        <v>12930.280883622188</v>
      </c>
      <c r="N6110" s="329">
        <f t="shared" si="382"/>
        <v>0</v>
      </c>
      <c r="T6110" s="331">
        <v>0</v>
      </c>
      <c r="U6110" s="328">
        <f>VLOOKUP(C6110,METADATA!$J$5:$Q$29,IF(E6110="HI",2,IF(E6110="LO",6,10))+IF(T6110=1,2,IF(D6110=7,1,(IF(WEEKDAY(B6110)=1,2,IF(WEEKDAY(B6110)=7,1,0))))))</f>
        <v>2</v>
      </c>
      <c r="V6110" s="328">
        <f>VLOOKUP(C6110,METADATA!$A$5:$H$29,IF(E6110="HI",2,IF(E6110="LO",6,10))+IF(T6110=1,2,IF(D6110=7,1,(IF(WEEKDAY(B6110)=1,2,IF(WEEKDAY(B6110)=7,1,0))))))</f>
        <v>2</v>
      </c>
    </row>
    <row r="6111" spans="2:22">
      <c r="B6111" s="318">
        <f t="shared" si="383"/>
        <v>46367</v>
      </c>
      <c r="C6111" s="312">
        <v>11</v>
      </c>
      <c r="D6111" s="368">
        <f>IFERROR((INDEX(METADATA!$T$2:$T$20,MATCH(B6111,METADATA!$S$2:$S$20,0))),0)</f>
        <v>0</v>
      </c>
      <c r="E6111" s="312" t="str">
        <f t="shared" si="380"/>
        <v>LO</v>
      </c>
      <c r="F6111" s="369">
        <f>VLOOKUP(C6111,METADATA!$A$5:$H$29,IF(E6111="HI",2,IF(E6111="LO",6,10))+IF(D6111=1,2,IF(D6111=7,1,(IF(WEEKDAY(B6111)=1,2,IF(WEEKDAY(B6111)=7,1,0))))))</f>
        <v>2</v>
      </c>
      <c r="G6111" s="369">
        <f>VLOOKUP(C6111,METADATA!$J$5:$Q$29,IF(E6111="HI",2,IF(E6111="LO",6,10))+IF(D6111=1,2,IF(D6111=7,1,(IF(WEEKDAY(B6111)=1,2,IF(WEEKDAY(B6111)=7,1,0))))))</f>
        <v>2</v>
      </c>
      <c r="H6111" s="370">
        <v>13060.749877929688</v>
      </c>
      <c r="I6111" s="370">
        <v>3715.9599914550781</v>
      </c>
      <c r="M6111" s="371">
        <f t="shared" si="381"/>
        <v>13579.08487461269</v>
      </c>
      <c r="N6111" s="329">
        <f t="shared" si="382"/>
        <v>0</v>
      </c>
      <c r="T6111" s="331">
        <v>0</v>
      </c>
      <c r="U6111" s="328">
        <f>VLOOKUP(C6111,METADATA!$J$5:$Q$29,IF(E6111="HI",2,IF(E6111="LO",6,10))+IF(T6111=1,2,IF(D6111=7,1,(IF(WEEKDAY(B6111)=1,2,IF(WEEKDAY(B6111)=7,1,0))))))</f>
        <v>2</v>
      </c>
      <c r="V6111" s="328">
        <f>VLOOKUP(C6111,METADATA!$A$5:$H$29,IF(E6111="HI",2,IF(E6111="LO",6,10))+IF(T6111=1,2,IF(D6111=7,1,(IF(WEEKDAY(B6111)=1,2,IF(WEEKDAY(B6111)=7,1,0))))))</f>
        <v>2</v>
      </c>
    </row>
    <row r="6112" spans="2:22">
      <c r="B6112" s="318">
        <f t="shared" si="383"/>
        <v>46367</v>
      </c>
      <c r="C6112" s="312">
        <v>12</v>
      </c>
      <c r="D6112" s="368">
        <f>IFERROR((INDEX(METADATA!$T$2:$T$20,MATCH(B6112,METADATA!$S$2:$S$20,0))),0)</f>
        <v>0</v>
      </c>
      <c r="E6112" s="312" t="str">
        <f t="shared" si="380"/>
        <v>LO</v>
      </c>
      <c r="F6112" s="369">
        <f>VLOOKUP(C6112,METADATA!$A$5:$H$29,IF(E6112="HI",2,IF(E6112="LO",6,10))+IF(D6112=1,2,IF(D6112=7,1,(IF(WEEKDAY(B6112)=1,2,IF(WEEKDAY(B6112)=7,1,0))))))</f>
        <v>2</v>
      </c>
      <c r="G6112" s="369">
        <f>VLOOKUP(C6112,METADATA!$J$5:$Q$29,IF(E6112="HI",2,IF(E6112="LO",6,10))+IF(D6112=1,2,IF(D6112=7,1,(IF(WEEKDAY(B6112)=1,2,IF(WEEKDAY(B6112)=7,1,0))))))</f>
        <v>2</v>
      </c>
      <c r="H6112" s="370">
        <v>13033.600036621094</v>
      </c>
      <c r="I6112" s="370">
        <v>3723.1550903320313</v>
      </c>
      <c r="M6112" s="371">
        <f t="shared" si="381"/>
        <v>13554.947943141453</v>
      </c>
      <c r="N6112" s="329">
        <f t="shared" si="382"/>
        <v>0</v>
      </c>
      <c r="T6112" s="331">
        <v>0</v>
      </c>
      <c r="U6112" s="328">
        <f>VLOOKUP(C6112,METADATA!$J$5:$Q$29,IF(E6112="HI",2,IF(E6112="LO",6,10))+IF(T6112=1,2,IF(D6112=7,1,(IF(WEEKDAY(B6112)=1,2,IF(WEEKDAY(B6112)=7,1,0))))))</f>
        <v>2</v>
      </c>
      <c r="V6112" s="328">
        <f>VLOOKUP(C6112,METADATA!$A$5:$H$29,IF(E6112="HI",2,IF(E6112="LO",6,10))+IF(T6112=1,2,IF(D6112=7,1,(IF(WEEKDAY(B6112)=1,2,IF(WEEKDAY(B6112)=7,1,0))))))</f>
        <v>2</v>
      </c>
    </row>
    <row r="6113" spans="2:22">
      <c r="B6113" s="318">
        <f t="shared" si="383"/>
        <v>46367</v>
      </c>
      <c r="C6113" s="312">
        <v>13</v>
      </c>
      <c r="D6113" s="368">
        <f>IFERROR((INDEX(METADATA!$T$2:$T$20,MATCH(B6113,METADATA!$S$2:$S$20,0))),0)</f>
        <v>0</v>
      </c>
      <c r="E6113" s="312" t="str">
        <f t="shared" si="380"/>
        <v>LO</v>
      </c>
      <c r="F6113" s="369">
        <f>VLOOKUP(C6113,METADATA!$A$5:$H$29,IF(E6113="HI",2,IF(E6113="LO",6,10))+IF(D6113=1,2,IF(D6113=7,1,(IF(WEEKDAY(B6113)=1,2,IF(WEEKDAY(B6113)=7,1,0))))))</f>
        <v>2</v>
      </c>
      <c r="G6113" s="369">
        <f>VLOOKUP(C6113,METADATA!$J$5:$Q$29,IF(E6113="HI",2,IF(E6113="LO",6,10))+IF(D6113=1,2,IF(D6113=7,1,(IF(WEEKDAY(B6113)=1,2,IF(WEEKDAY(B6113)=7,1,0))))))</f>
        <v>2</v>
      </c>
      <c r="H6113" s="370">
        <v>13349.600036621094</v>
      </c>
      <c r="I6113" s="370">
        <v>4063.6150512695313</v>
      </c>
      <c r="M6113" s="371">
        <f t="shared" si="381"/>
        <v>13954.382409216762</v>
      </c>
      <c r="N6113" s="329">
        <f t="shared" si="382"/>
        <v>58.735040283203489</v>
      </c>
      <c r="T6113" s="331">
        <v>0</v>
      </c>
      <c r="U6113" s="328">
        <f>VLOOKUP(C6113,METADATA!$J$5:$Q$29,IF(E6113="HI",2,IF(E6113="LO",6,10))+IF(T6113=1,2,IF(D6113=7,1,(IF(WEEKDAY(B6113)=1,2,IF(WEEKDAY(B6113)=7,1,0))))))</f>
        <v>2</v>
      </c>
      <c r="V6113" s="328">
        <f>VLOOKUP(C6113,METADATA!$A$5:$H$29,IF(E6113="HI",2,IF(E6113="LO",6,10))+IF(T6113=1,2,IF(D6113=7,1,(IF(WEEKDAY(B6113)=1,2,IF(WEEKDAY(B6113)=7,1,0))))))</f>
        <v>2</v>
      </c>
    </row>
    <row r="6114" spans="2:22">
      <c r="B6114" s="318">
        <f t="shared" si="383"/>
        <v>46367</v>
      </c>
      <c r="C6114" s="312">
        <v>14</v>
      </c>
      <c r="D6114" s="368">
        <f>IFERROR((INDEX(METADATA!$T$2:$T$20,MATCH(B6114,METADATA!$S$2:$S$20,0))),0)</f>
        <v>0</v>
      </c>
      <c r="E6114" s="312" t="str">
        <f t="shared" si="380"/>
        <v>LO</v>
      </c>
      <c r="F6114" s="369">
        <f>VLOOKUP(C6114,METADATA!$A$5:$H$29,IF(E6114="HI",2,IF(E6114="LO",6,10))+IF(D6114=1,2,IF(D6114=7,1,(IF(WEEKDAY(B6114)=1,2,IF(WEEKDAY(B6114)=7,1,0))))))</f>
        <v>2</v>
      </c>
      <c r="G6114" s="369">
        <f>VLOOKUP(C6114,METADATA!$J$5:$Q$29,IF(E6114="HI",2,IF(E6114="LO",6,10))+IF(D6114=1,2,IF(D6114=7,1,(IF(WEEKDAY(B6114)=1,2,IF(WEEKDAY(B6114)=7,1,0))))))</f>
        <v>2</v>
      </c>
      <c r="H6114" s="370">
        <v>10893.7998046875</v>
      </c>
      <c r="I6114" s="370">
        <v>3277.5450286865234</v>
      </c>
      <c r="M6114" s="371">
        <f t="shared" si="381"/>
        <v>11376.16699946327</v>
      </c>
      <c r="N6114" s="329">
        <f t="shared" si="382"/>
        <v>9.4050872802736194</v>
      </c>
      <c r="T6114" s="331">
        <v>0</v>
      </c>
      <c r="U6114" s="328">
        <f>VLOOKUP(C6114,METADATA!$J$5:$Q$29,IF(E6114="HI",2,IF(E6114="LO",6,10))+IF(T6114=1,2,IF(D6114=7,1,(IF(WEEKDAY(B6114)=1,2,IF(WEEKDAY(B6114)=7,1,0))))))</f>
        <v>2</v>
      </c>
      <c r="V6114" s="328">
        <f>VLOOKUP(C6114,METADATA!$A$5:$H$29,IF(E6114="HI",2,IF(E6114="LO",6,10))+IF(T6114=1,2,IF(D6114=7,1,(IF(WEEKDAY(B6114)=1,2,IF(WEEKDAY(B6114)=7,1,0))))))</f>
        <v>2</v>
      </c>
    </row>
    <row r="6115" spans="2:22">
      <c r="B6115" s="318">
        <f t="shared" si="383"/>
        <v>46367</v>
      </c>
      <c r="C6115" s="312">
        <v>15</v>
      </c>
      <c r="D6115" s="368">
        <f>IFERROR((INDEX(METADATA!$T$2:$T$20,MATCH(B6115,METADATA!$S$2:$S$20,0))),0)</f>
        <v>0</v>
      </c>
      <c r="E6115" s="312" t="str">
        <f t="shared" si="380"/>
        <v>LO</v>
      </c>
      <c r="F6115" s="369">
        <f>VLOOKUP(C6115,METADATA!$A$5:$H$29,IF(E6115="HI",2,IF(E6115="LO",6,10))+IF(D6115=1,2,IF(D6115=7,1,(IF(WEEKDAY(B6115)=1,2,IF(WEEKDAY(B6115)=7,1,0))))))</f>
        <v>2</v>
      </c>
      <c r="G6115" s="369">
        <f>VLOOKUP(C6115,METADATA!$J$5:$Q$29,IF(E6115="HI",2,IF(E6115="LO",6,10))+IF(D6115=1,2,IF(D6115=7,1,(IF(WEEKDAY(B6115)=1,2,IF(WEEKDAY(B6115)=7,1,0))))))</f>
        <v>2</v>
      </c>
      <c r="H6115" s="370">
        <v>11314.500183105469</v>
      </c>
      <c r="I6115" s="370">
        <v>3542.3650360107422</v>
      </c>
      <c r="M6115" s="371">
        <f t="shared" si="381"/>
        <v>11856.064458404613</v>
      </c>
      <c r="N6115" s="329">
        <f t="shared" si="382"/>
        <v>148.01498107910174</v>
      </c>
      <c r="T6115" s="331">
        <v>0</v>
      </c>
      <c r="U6115" s="328">
        <f>VLOOKUP(C6115,METADATA!$J$5:$Q$29,IF(E6115="HI",2,IF(E6115="LO",6,10))+IF(T6115=1,2,IF(D6115=7,1,(IF(WEEKDAY(B6115)=1,2,IF(WEEKDAY(B6115)=7,1,0))))))</f>
        <v>2</v>
      </c>
      <c r="V6115" s="328">
        <f>VLOOKUP(C6115,METADATA!$A$5:$H$29,IF(E6115="HI",2,IF(E6115="LO",6,10))+IF(T6115=1,2,IF(D6115=7,1,(IF(WEEKDAY(B6115)=1,2,IF(WEEKDAY(B6115)=7,1,0))))))</f>
        <v>2</v>
      </c>
    </row>
    <row r="6116" spans="2:22">
      <c r="B6116" s="318">
        <f t="shared" si="383"/>
        <v>46367</v>
      </c>
      <c r="C6116" s="312">
        <v>16</v>
      </c>
      <c r="D6116" s="368">
        <f>IFERROR((INDEX(METADATA!$T$2:$T$20,MATCH(B6116,METADATA!$S$2:$S$20,0))),0)</f>
        <v>0</v>
      </c>
      <c r="E6116" s="312" t="str">
        <f t="shared" si="380"/>
        <v>LO</v>
      </c>
      <c r="F6116" s="369">
        <f>VLOOKUP(C6116,METADATA!$A$5:$H$29,IF(E6116="HI",2,IF(E6116="LO",6,10))+IF(D6116=1,2,IF(D6116=7,1,(IF(WEEKDAY(B6116)=1,2,IF(WEEKDAY(B6116)=7,1,0))))))</f>
        <v>2</v>
      </c>
      <c r="G6116" s="369">
        <f>VLOOKUP(C6116,METADATA!$J$5:$Q$29,IF(E6116="HI",2,IF(E6116="LO",6,10))+IF(D6116=1,2,IF(D6116=7,1,(IF(WEEKDAY(B6116)=1,2,IF(WEEKDAY(B6116)=7,1,0))))))</f>
        <v>2</v>
      </c>
      <c r="H6116" s="370">
        <v>10562.220153808594</v>
      </c>
      <c r="I6116" s="370">
        <v>3152.3049926757813</v>
      </c>
      <c r="M6116" s="371">
        <f t="shared" si="381"/>
        <v>11022.591407848206</v>
      </c>
      <c r="N6116" s="329">
        <f t="shared" si="382"/>
        <v>0</v>
      </c>
      <c r="T6116" s="331">
        <v>0</v>
      </c>
      <c r="U6116" s="328">
        <f>VLOOKUP(C6116,METADATA!$J$5:$Q$29,IF(E6116="HI",2,IF(E6116="LO",6,10))+IF(T6116=1,2,IF(D6116=7,1,(IF(WEEKDAY(B6116)=1,2,IF(WEEKDAY(B6116)=7,1,0))))))</f>
        <v>2</v>
      </c>
      <c r="V6116" s="328">
        <f>VLOOKUP(C6116,METADATA!$A$5:$H$29,IF(E6116="HI",2,IF(E6116="LO",6,10))+IF(T6116=1,2,IF(D6116=7,1,(IF(WEEKDAY(B6116)=1,2,IF(WEEKDAY(B6116)=7,1,0))))))</f>
        <v>2</v>
      </c>
    </row>
    <row r="6117" spans="2:22">
      <c r="B6117" s="318">
        <f t="shared" si="383"/>
        <v>46367</v>
      </c>
      <c r="C6117" s="312">
        <v>17</v>
      </c>
      <c r="D6117" s="368">
        <f>IFERROR((INDEX(METADATA!$T$2:$T$20,MATCH(B6117,METADATA!$S$2:$S$20,0))),0)</f>
        <v>0</v>
      </c>
      <c r="E6117" s="312" t="str">
        <f t="shared" si="380"/>
        <v>LO</v>
      </c>
      <c r="F6117" s="369">
        <f>VLOOKUP(C6117,METADATA!$A$5:$H$29,IF(E6117="HI",2,IF(E6117="LO",6,10))+IF(D6117=1,2,IF(D6117=7,1,(IF(WEEKDAY(B6117)=1,2,IF(WEEKDAY(B6117)=7,1,0))))))</f>
        <v>2</v>
      </c>
      <c r="G6117" s="369">
        <f>VLOOKUP(C6117,METADATA!$J$5:$Q$29,IF(E6117="HI",2,IF(E6117="LO",6,10))+IF(D6117=1,2,IF(D6117=7,1,(IF(WEEKDAY(B6117)=1,2,IF(WEEKDAY(B6117)=7,1,0))))))</f>
        <v>2</v>
      </c>
      <c r="H6117" s="370">
        <v>10389.107513427734</v>
      </c>
      <c r="I6117" s="370">
        <v>2715.7399597167969</v>
      </c>
      <c r="M6117" s="371">
        <f t="shared" si="381"/>
        <v>10738.193444633189</v>
      </c>
      <c r="N6117" s="329">
        <f t="shared" si="382"/>
        <v>0</v>
      </c>
      <c r="T6117" s="331">
        <v>0</v>
      </c>
      <c r="U6117" s="328">
        <f>VLOOKUP(C6117,METADATA!$J$5:$Q$29,IF(E6117="HI",2,IF(E6117="LO",6,10))+IF(T6117=1,2,IF(D6117=7,1,(IF(WEEKDAY(B6117)=1,2,IF(WEEKDAY(B6117)=7,1,0))))))</f>
        <v>2</v>
      </c>
      <c r="V6117" s="328">
        <f>VLOOKUP(C6117,METADATA!$A$5:$H$29,IF(E6117="HI",2,IF(E6117="LO",6,10))+IF(T6117=1,2,IF(D6117=7,1,(IF(WEEKDAY(B6117)=1,2,IF(WEEKDAY(B6117)=7,1,0))))))</f>
        <v>2</v>
      </c>
    </row>
    <row r="6118" spans="2:22">
      <c r="B6118" s="318">
        <f t="shared" si="383"/>
        <v>46367</v>
      </c>
      <c r="C6118" s="312">
        <v>18</v>
      </c>
      <c r="D6118" s="368">
        <f>IFERROR((INDEX(METADATA!$T$2:$T$20,MATCH(B6118,METADATA!$S$2:$S$20,0))),0)</f>
        <v>0</v>
      </c>
      <c r="E6118" s="312" t="str">
        <f t="shared" si="380"/>
        <v>LO</v>
      </c>
      <c r="F6118" s="369">
        <f>VLOOKUP(C6118,METADATA!$A$5:$H$29,IF(E6118="HI",2,IF(E6118="LO",6,10))+IF(D6118=1,2,IF(D6118=7,1,(IF(WEEKDAY(B6118)=1,2,IF(WEEKDAY(B6118)=7,1,0))))))</f>
        <v>1</v>
      </c>
      <c r="G6118" s="369">
        <f>VLOOKUP(C6118,METADATA!$J$5:$Q$29,IF(E6118="HI",2,IF(E6118="LO",6,10))+IF(D6118=1,2,IF(D6118=7,1,(IF(WEEKDAY(B6118)=1,2,IF(WEEKDAY(B6118)=7,1,0))))))</f>
        <v>1</v>
      </c>
      <c r="H6118" s="370">
        <v>9792.9198303222656</v>
      </c>
      <c r="I6118" s="370">
        <v>2382.3150329589844</v>
      </c>
      <c r="M6118" s="371">
        <f t="shared" si="381"/>
        <v>10078.526862561883</v>
      </c>
      <c r="N6118" s="329">
        <f t="shared" si="382"/>
        <v>0</v>
      </c>
      <c r="T6118" s="331">
        <v>0</v>
      </c>
      <c r="U6118" s="328">
        <f>VLOOKUP(C6118,METADATA!$J$5:$Q$29,IF(E6118="HI",2,IF(E6118="LO",6,10))+IF(T6118=1,2,IF(D6118=7,1,(IF(WEEKDAY(B6118)=1,2,IF(WEEKDAY(B6118)=7,1,0))))))</f>
        <v>1</v>
      </c>
      <c r="V6118" s="328">
        <f>VLOOKUP(C6118,METADATA!$A$5:$H$29,IF(E6118="HI",2,IF(E6118="LO",6,10))+IF(T6118=1,2,IF(D6118=7,1,(IF(WEEKDAY(B6118)=1,2,IF(WEEKDAY(B6118)=7,1,0))))))</f>
        <v>1</v>
      </c>
    </row>
    <row r="6119" spans="2:22">
      <c r="B6119" s="318">
        <f t="shared" si="383"/>
        <v>46367</v>
      </c>
      <c r="C6119" s="312">
        <v>19</v>
      </c>
      <c r="D6119" s="368">
        <f>IFERROR((INDEX(METADATA!$T$2:$T$20,MATCH(B6119,METADATA!$S$2:$S$20,0))),0)</f>
        <v>0</v>
      </c>
      <c r="E6119" s="312" t="str">
        <f t="shared" si="380"/>
        <v>LO</v>
      </c>
      <c r="F6119" s="369">
        <f>VLOOKUP(C6119,METADATA!$A$5:$H$29,IF(E6119="HI",2,IF(E6119="LO",6,10))+IF(D6119=1,2,IF(D6119=7,1,(IF(WEEKDAY(B6119)=1,2,IF(WEEKDAY(B6119)=7,1,0))))))</f>
        <v>1</v>
      </c>
      <c r="G6119" s="369">
        <f>VLOOKUP(C6119,METADATA!$J$5:$Q$29,IF(E6119="HI",2,IF(E6119="LO",6,10))+IF(D6119=1,2,IF(D6119=7,1,(IF(WEEKDAY(B6119)=1,2,IF(WEEKDAY(B6119)=7,1,0))))))</f>
        <v>1</v>
      </c>
      <c r="H6119" s="370">
        <v>7053.7375793457031</v>
      </c>
      <c r="I6119" s="370">
        <v>1338.0475158691406</v>
      </c>
      <c r="M6119" s="371">
        <f t="shared" si="381"/>
        <v>7179.5254016541621</v>
      </c>
      <c r="N6119" s="329">
        <f t="shared" si="382"/>
        <v>0</v>
      </c>
      <c r="T6119" s="331">
        <v>0</v>
      </c>
      <c r="U6119" s="328">
        <f>VLOOKUP(C6119,METADATA!$J$5:$Q$29,IF(E6119="HI",2,IF(E6119="LO",6,10))+IF(T6119=1,2,IF(D6119=7,1,(IF(WEEKDAY(B6119)=1,2,IF(WEEKDAY(B6119)=7,1,0))))))</f>
        <v>1</v>
      </c>
      <c r="V6119" s="328">
        <f>VLOOKUP(C6119,METADATA!$A$5:$H$29,IF(E6119="HI",2,IF(E6119="LO",6,10))+IF(T6119=1,2,IF(D6119=7,1,(IF(WEEKDAY(B6119)=1,2,IF(WEEKDAY(B6119)=7,1,0))))))</f>
        <v>1</v>
      </c>
    </row>
    <row r="6120" spans="2:22">
      <c r="B6120" s="318">
        <f t="shared" si="383"/>
        <v>46367</v>
      </c>
      <c r="C6120" s="312">
        <v>20</v>
      </c>
      <c r="D6120" s="368">
        <f>IFERROR((INDEX(METADATA!$T$2:$T$20,MATCH(B6120,METADATA!$S$2:$S$20,0))),0)</f>
        <v>0</v>
      </c>
      <c r="E6120" s="312" t="str">
        <f t="shared" si="380"/>
        <v>LO</v>
      </c>
      <c r="F6120" s="369">
        <f>VLOOKUP(C6120,METADATA!$A$5:$H$29,IF(E6120="HI",2,IF(E6120="LO",6,10))+IF(D6120=1,2,IF(D6120=7,1,(IF(WEEKDAY(B6120)=1,2,IF(WEEKDAY(B6120)=7,1,0))))))</f>
        <v>1</v>
      </c>
      <c r="G6120" s="369">
        <f>VLOOKUP(C6120,METADATA!$J$5:$Q$29,IF(E6120="HI",2,IF(E6120="LO",6,10))+IF(D6120=1,2,IF(D6120=7,1,(IF(WEEKDAY(B6120)=1,2,IF(WEEKDAY(B6120)=7,1,0))))))</f>
        <v>1</v>
      </c>
      <c r="H6120" s="370">
        <v>6438.3224182128906</v>
      </c>
      <c r="I6120" s="370">
        <v>1357.7024230957031</v>
      </c>
      <c r="M6120" s="371">
        <f t="shared" si="381"/>
        <v>6579.9203209873767</v>
      </c>
      <c r="N6120" s="329">
        <f t="shared" si="382"/>
        <v>0</v>
      </c>
      <c r="T6120" s="331">
        <v>0</v>
      </c>
      <c r="U6120" s="328">
        <f>VLOOKUP(C6120,METADATA!$J$5:$Q$29,IF(E6120="HI",2,IF(E6120="LO",6,10))+IF(T6120=1,2,IF(D6120=7,1,(IF(WEEKDAY(B6120)=1,2,IF(WEEKDAY(B6120)=7,1,0))))))</f>
        <v>1</v>
      </c>
      <c r="V6120" s="328">
        <f>VLOOKUP(C6120,METADATA!$A$5:$H$29,IF(E6120="HI",2,IF(E6120="LO",6,10))+IF(T6120=1,2,IF(D6120=7,1,(IF(WEEKDAY(B6120)=1,2,IF(WEEKDAY(B6120)=7,1,0))))))</f>
        <v>1</v>
      </c>
    </row>
    <row r="6121" spans="2:22">
      <c r="B6121" s="318">
        <f t="shared" si="383"/>
        <v>46367</v>
      </c>
      <c r="C6121" s="312">
        <v>21</v>
      </c>
      <c r="D6121" s="368">
        <f>IFERROR((INDEX(METADATA!$T$2:$T$20,MATCH(B6121,METADATA!$S$2:$S$20,0))),0)</f>
        <v>0</v>
      </c>
      <c r="E6121" s="312" t="str">
        <f t="shared" si="380"/>
        <v>LO</v>
      </c>
      <c r="F6121" s="369">
        <f>VLOOKUP(C6121,METADATA!$A$5:$H$29,IF(E6121="HI",2,IF(E6121="LO",6,10))+IF(D6121=1,2,IF(D6121=7,1,(IF(WEEKDAY(B6121)=1,2,IF(WEEKDAY(B6121)=7,1,0))))))</f>
        <v>2</v>
      </c>
      <c r="G6121" s="369">
        <f>VLOOKUP(C6121,METADATA!$J$5:$Q$29,IF(E6121="HI",2,IF(E6121="LO",6,10))+IF(D6121=1,2,IF(D6121=7,1,(IF(WEEKDAY(B6121)=1,2,IF(WEEKDAY(B6121)=7,1,0))))))</f>
        <v>2</v>
      </c>
      <c r="H6121" s="370">
        <v>7222.0399780273438</v>
      </c>
      <c r="I6121" s="370">
        <v>1365.1700038909912</v>
      </c>
      <c r="M6121" s="371">
        <f t="shared" si="381"/>
        <v>7349.9354135767016</v>
      </c>
      <c r="N6121" s="329">
        <f t="shared" si="382"/>
        <v>0</v>
      </c>
      <c r="T6121" s="331">
        <v>0</v>
      </c>
      <c r="U6121" s="328">
        <f>VLOOKUP(C6121,METADATA!$J$5:$Q$29,IF(E6121="HI",2,IF(E6121="LO",6,10))+IF(T6121=1,2,IF(D6121=7,1,(IF(WEEKDAY(B6121)=1,2,IF(WEEKDAY(B6121)=7,1,0))))))</f>
        <v>2</v>
      </c>
      <c r="V6121" s="328">
        <f>VLOOKUP(C6121,METADATA!$A$5:$H$29,IF(E6121="HI",2,IF(E6121="LO",6,10))+IF(T6121=1,2,IF(D6121=7,1,(IF(WEEKDAY(B6121)=1,2,IF(WEEKDAY(B6121)=7,1,0))))))</f>
        <v>2</v>
      </c>
    </row>
    <row r="6122" spans="2:22">
      <c r="B6122" s="318">
        <f t="shared" si="383"/>
        <v>46367</v>
      </c>
      <c r="C6122" s="312">
        <v>22</v>
      </c>
      <c r="D6122" s="368">
        <f>IFERROR((INDEX(METADATA!$T$2:$T$20,MATCH(B6122,METADATA!$S$2:$S$20,0))),0)</f>
        <v>0</v>
      </c>
      <c r="E6122" s="312" t="str">
        <f t="shared" si="380"/>
        <v>LO</v>
      </c>
      <c r="F6122" s="369">
        <f>VLOOKUP(C6122,METADATA!$A$5:$H$29,IF(E6122="HI",2,IF(E6122="LO",6,10))+IF(D6122=1,2,IF(D6122=7,1,(IF(WEEKDAY(B6122)=1,2,IF(WEEKDAY(B6122)=7,1,0))))))</f>
        <v>3</v>
      </c>
      <c r="G6122" s="369">
        <f>VLOOKUP(C6122,METADATA!$J$5:$Q$29,IF(E6122="HI",2,IF(E6122="LO",6,10))+IF(D6122=1,2,IF(D6122=7,1,(IF(WEEKDAY(B6122)=1,2,IF(WEEKDAY(B6122)=7,1,0))))))</f>
        <v>3</v>
      </c>
      <c r="H6122" s="370">
        <v>11522.350219726563</v>
      </c>
      <c r="I6122" s="370">
        <v>3248.1299285888672</v>
      </c>
      <c r="M6122" s="371">
        <f t="shared" si="381"/>
        <v>11971.420242353348</v>
      </c>
      <c r="N6122" s="329">
        <f t="shared" si="382"/>
        <v>0</v>
      </c>
      <c r="T6122" s="331">
        <v>0</v>
      </c>
      <c r="U6122" s="328">
        <f>VLOOKUP(C6122,METADATA!$J$5:$Q$29,IF(E6122="HI",2,IF(E6122="LO",6,10))+IF(T6122=1,2,IF(D6122=7,1,(IF(WEEKDAY(B6122)=1,2,IF(WEEKDAY(B6122)=7,1,0))))))</f>
        <v>3</v>
      </c>
      <c r="V6122" s="328">
        <f>VLOOKUP(C6122,METADATA!$A$5:$H$29,IF(E6122="HI",2,IF(E6122="LO",6,10))+IF(T6122=1,2,IF(D6122=7,1,(IF(WEEKDAY(B6122)=1,2,IF(WEEKDAY(B6122)=7,1,0))))))</f>
        <v>3</v>
      </c>
    </row>
    <row r="6123" spans="2:22">
      <c r="B6123" s="318">
        <f t="shared" si="383"/>
        <v>46367</v>
      </c>
      <c r="C6123" s="312">
        <v>23</v>
      </c>
      <c r="D6123" s="368">
        <f>IFERROR((INDEX(METADATA!$T$2:$T$20,MATCH(B6123,METADATA!$S$2:$S$20,0))),0)</f>
        <v>0</v>
      </c>
      <c r="E6123" s="312" t="str">
        <f t="shared" si="380"/>
        <v>LO</v>
      </c>
      <c r="F6123" s="369">
        <f>VLOOKUP(C6123,METADATA!$A$5:$H$29,IF(E6123="HI",2,IF(E6123="LO",6,10))+IF(D6123=1,2,IF(D6123=7,1,(IF(WEEKDAY(B6123)=1,2,IF(WEEKDAY(B6123)=7,1,0))))))</f>
        <v>3</v>
      </c>
      <c r="G6123" s="369">
        <f>VLOOKUP(C6123,METADATA!$J$5:$Q$29,IF(E6123="HI",2,IF(E6123="LO",6,10))+IF(D6123=1,2,IF(D6123=7,1,(IF(WEEKDAY(B6123)=1,2,IF(WEEKDAY(B6123)=7,1,0))))))</f>
        <v>3</v>
      </c>
      <c r="H6123" s="370">
        <v>12956.75</v>
      </c>
      <c r="I6123" s="370">
        <v>4002.5850219726563</v>
      </c>
      <c r="M6123" s="371">
        <f t="shared" si="381"/>
        <v>13560.901792307908</v>
      </c>
      <c r="N6123" s="329">
        <f t="shared" si="382"/>
        <v>115.56002197265661</v>
      </c>
      <c r="T6123" s="331">
        <v>0</v>
      </c>
      <c r="U6123" s="328">
        <f>VLOOKUP(C6123,METADATA!$J$5:$Q$29,IF(E6123="HI",2,IF(E6123="LO",6,10))+IF(T6123=1,2,IF(D6123=7,1,(IF(WEEKDAY(B6123)=1,2,IF(WEEKDAY(B6123)=7,1,0))))))</f>
        <v>3</v>
      </c>
      <c r="V6123" s="328">
        <f>VLOOKUP(C6123,METADATA!$A$5:$H$29,IF(E6123="HI",2,IF(E6123="LO",6,10))+IF(T6123=1,2,IF(D6123=7,1,(IF(WEEKDAY(B6123)=1,2,IF(WEEKDAY(B6123)=7,1,0))))))</f>
        <v>3</v>
      </c>
    </row>
    <row r="6124" spans="2:22">
      <c r="B6124" s="318">
        <f t="shared" si="383"/>
        <v>46368</v>
      </c>
      <c r="C6124" s="312">
        <v>0</v>
      </c>
      <c r="D6124" s="368">
        <f>IFERROR((INDEX(METADATA!$T$2:$T$20,MATCH(B6124,METADATA!$S$2:$S$20,0))),0)</f>
        <v>0</v>
      </c>
      <c r="E6124" s="312" t="str">
        <f t="shared" si="380"/>
        <v>LO</v>
      </c>
      <c r="F6124" s="369">
        <f>VLOOKUP(C6124,METADATA!$A$5:$H$29,IF(E6124="HI",2,IF(E6124="LO",6,10))+IF(D6124=1,2,IF(D6124=7,1,(IF(WEEKDAY(B6124)=1,2,IF(WEEKDAY(B6124)=7,1,0))))))</f>
        <v>3</v>
      </c>
      <c r="G6124" s="369">
        <f>VLOOKUP(C6124,METADATA!$J$5:$Q$29,IF(E6124="HI",2,IF(E6124="LO",6,10))+IF(D6124=1,2,IF(D6124=7,1,(IF(WEEKDAY(B6124)=1,2,IF(WEEKDAY(B6124)=7,1,0))))))</f>
        <v>3</v>
      </c>
      <c r="H6124" s="370">
        <v>13031.900024414063</v>
      </c>
      <c r="I6124" s="370">
        <v>4000.0849609375</v>
      </c>
      <c r="M6124" s="371">
        <f t="shared" si="381"/>
        <v>13631.98804067263</v>
      </c>
      <c r="N6124" s="329">
        <f t="shared" si="382"/>
        <v>90.51495361328125</v>
      </c>
      <c r="T6124" s="331">
        <v>0</v>
      </c>
      <c r="U6124" s="328">
        <f>VLOOKUP(C6124,METADATA!$J$5:$Q$29,IF(E6124="HI",2,IF(E6124="LO",6,10))+IF(T6124=1,2,IF(D6124=7,1,(IF(WEEKDAY(B6124)=1,2,IF(WEEKDAY(B6124)=7,1,0))))))</f>
        <v>3</v>
      </c>
      <c r="V6124" s="328">
        <f>VLOOKUP(C6124,METADATA!$A$5:$H$29,IF(E6124="HI",2,IF(E6124="LO",6,10))+IF(T6124=1,2,IF(D6124=7,1,(IF(WEEKDAY(B6124)=1,2,IF(WEEKDAY(B6124)=7,1,0))))))</f>
        <v>3</v>
      </c>
    </row>
    <row r="6125" spans="2:22">
      <c r="B6125" s="318">
        <f t="shared" si="383"/>
        <v>46368</v>
      </c>
      <c r="C6125" s="312">
        <v>1</v>
      </c>
      <c r="D6125" s="368">
        <f>IFERROR((INDEX(METADATA!$T$2:$T$20,MATCH(B6125,METADATA!$S$2:$S$20,0))),0)</f>
        <v>0</v>
      </c>
      <c r="E6125" s="312" t="str">
        <f t="shared" si="380"/>
        <v>LO</v>
      </c>
      <c r="F6125" s="369">
        <f>VLOOKUP(C6125,METADATA!$A$5:$H$29,IF(E6125="HI",2,IF(E6125="LO",6,10))+IF(D6125=1,2,IF(D6125=7,1,(IF(WEEKDAY(B6125)=1,2,IF(WEEKDAY(B6125)=7,1,0))))))</f>
        <v>3</v>
      </c>
      <c r="G6125" s="369">
        <f>VLOOKUP(C6125,METADATA!$J$5:$Q$29,IF(E6125="HI",2,IF(E6125="LO",6,10))+IF(D6125=1,2,IF(D6125=7,1,(IF(WEEKDAY(B6125)=1,2,IF(WEEKDAY(B6125)=7,1,0))))))</f>
        <v>3</v>
      </c>
      <c r="H6125" s="370">
        <v>12840.030212402344</v>
      </c>
      <c r="I6125" s="370">
        <v>4015.8674621582031</v>
      </c>
      <c r="M6125" s="371">
        <f t="shared" si="381"/>
        <v>13453.384976615585</v>
      </c>
      <c r="N6125" s="329">
        <f t="shared" si="382"/>
        <v>163.8583984375</v>
      </c>
      <c r="T6125" s="331">
        <v>0</v>
      </c>
      <c r="U6125" s="328">
        <f>VLOOKUP(C6125,METADATA!$J$5:$Q$29,IF(E6125="HI",2,IF(E6125="LO",6,10))+IF(T6125=1,2,IF(D6125=7,1,(IF(WEEKDAY(B6125)=1,2,IF(WEEKDAY(B6125)=7,1,0))))))</f>
        <v>3</v>
      </c>
      <c r="V6125" s="328">
        <f>VLOOKUP(C6125,METADATA!$A$5:$H$29,IF(E6125="HI",2,IF(E6125="LO",6,10))+IF(T6125=1,2,IF(D6125=7,1,(IF(WEEKDAY(B6125)=1,2,IF(WEEKDAY(B6125)=7,1,0))))))</f>
        <v>3</v>
      </c>
    </row>
    <row r="6126" spans="2:22">
      <c r="B6126" s="318">
        <f t="shared" si="383"/>
        <v>46368</v>
      </c>
      <c r="C6126" s="312">
        <v>2</v>
      </c>
      <c r="D6126" s="368">
        <f>IFERROR((INDEX(METADATA!$T$2:$T$20,MATCH(B6126,METADATA!$S$2:$S$20,0))),0)</f>
        <v>0</v>
      </c>
      <c r="E6126" s="312" t="str">
        <f t="shared" si="380"/>
        <v>LO</v>
      </c>
      <c r="F6126" s="369">
        <f>VLOOKUP(C6126,METADATA!$A$5:$H$29,IF(E6126="HI",2,IF(E6126="LO",6,10))+IF(D6126=1,2,IF(D6126=7,1,(IF(WEEKDAY(B6126)=1,2,IF(WEEKDAY(B6126)=7,1,0))))))</f>
        <v>3</v>
      </c>
      <c r="G6126" s="369">
        <f>VLOOKUP(C6126,METADATA!$J$5:$Q$29,IF(E6126="HI",2,IF(E6126="LO",6,10))+IF(D6126=1,2,IF(D6126=7,1,(IF(WEEKDAY(B6126)=1,2,IF(WEEKDAY(B6126)=7,1,0))))))</f>
        <v>3</v>
      </c>
      <c r="H6126" s="370">
        <v>8759.2499389648438</v>
      </c>
      <c r="I6126" s="370">
        <v>2590.9999084472656</v>
      </c>
      <c r="M6126" s="371">
        <f t="shared" si="381"/>
        <v>9134.4260913770249</v>
      </c>
      <c r="N6126" s="329">
        <f t="shared" si="382"/>
        <v>0</v>
      </c>
      <c r="T6126" s="331">
        <v>0</v>
      </c>
      <c r="U6126" s="328">
        <f>VLOOKUP(C6126,METADATA!$J$5:$Q$29,IF(E6126="HI",2,IF(E6126="LO",6,10))+IF(T6126=1,2,IF(D6126=7,1,(IF(WEEKDAY(B6126)=1,2,IF(WEEKDAY(B6126)=7,1,0))))))</f>
        <v>3</v>
      </c>
      <c r="V6126" s="328">
        <f>VLOOKUP(C6126,METADATA!$A$5:$H$29,IF(E6126="HI",2,IF(E6126="LO",6,10))+IF(T6126=1,2,IF(D6126=7,1,(IF(WEEKDAY(B6126)=1,2,IF(WEEKDAY(B6126)=7,1,0))))))</f>
        <v>3</v>
      </c>
    </row>
    <row r="6127" spans="2:22">
      <c r="B6127" s="318">
        <f t="shared" si="383"/>
        <v>46368</v>
      </c>
      <c r="C6127" s="312">
        <v>3</v>
      </c>
      <c r="D6127" s="368">
        <f>IFERROR((INDEX(METADATA!$T$2:$T$20,MATCH(B6127,METADATA!$S$2:$S$20,0))),0)</f>
        <v>0</v>
      </c>
      <c r="E6127" s="312" t="str">
        <f t="shared" si="380"/>
        <v>LO</v>
      </c>
      <c r="F6127" s="369">
        <f>VLOOKUP(C6127,METADATA!$A$5:$H$29,IF(E6127="HI",2,IF(E6127="LO",6,10))+IF(D6127=1,2,IF(D6127=7,1,(IF(WEEKDAY(B6127)=1,2,IF(WEEKDAY(B6127)=7,1,0))))))</f>
        <v>3</v>
      </c>
      <c r="G6127" s="369">
        <f>VLOOKUP(C6127,METADATA!$J$5:$Q$29,IF(E6127="HI",2,IF(E6127="LO",6,10))+IF(D6127=1,2,IF(D6127=7,1,(IF(WEEKDAY(B6127)=1,2,IF(WEEKDAY(B6127)=7,1,0))))))</f>
        <v>3</v>
      </c>
      <c r="H6127" s="370">
        <v>5853.6749877929688</v>
      </c>
      <c r="I6127" s="370">
        <v>1362.2974853515625</v>
      </c>
      <c r="M6127" s="371">
        <f t="shared" si="381"/>
        <v>6010.1052654099331</v>
      </c>
      <c r="N6127" s="329">
        <f t="shared" si="382"/>
        <v>0</v>
      </c>
      <c r="T6127" s="331">
        <v>0</v>
      </c>
      <c r="U6127" s="328">
        <f>VLOOKUP(C6127,METADATA!$J$5:$Q$29,IF(E6127="HI",2,IF(E6127="LO",6,10))+IF(T6127=1,2,IF(D6127=7,1,(IF(WEEKDAY(B6127)=1,2,IF(WEEKDAY(B6127)=7,1,0))))))</f>
        <v>3</v>
      </c>
      <c r="V6127" s="328">
        <f>VLOOKUP(C6127,METADATA!$A$5:$H$29,IF(E6127="HI",2,IF(E6127="LO",6,10))+IF(T6127=1,2,IF(D6127=7,1,(IF(WEEKDAY(B6127)=1,2,IF(WEEKDAY(B6127)=7,1,0))))))</f>
        <v>3</v>
      </c>
    </row>
    <row r="6128" spans="2:22">
      <c r="B6128" s="318">
        <f t="shared" si="383"/>
        <v>46368</v>
      </c>
      <c r="C6128" s="312">
        <v>4</v>
      </c>
      <c r="D6128" s="368">
        <f>IFERROR((INDEX(METADATA!$T$2:$T$20,MATCH(B6128,METADATA!$S$2:$S$20,0))),0)</f>
        <v>0</v>
      </c>
      <c r="E6128" s="312" t="str">
        <f t="shared" si="380"/>
        <v>LO</v>
      </c>
      <c r="F6128" s="369">
        <f>VLOOKUP(C6128,METADATA!$A$5:$H$29,IF(E6128="HI",2,IF(E6128="LO",6,10))+IF(D6128=1,2,IF(D6128=7,1,(IF(WEEKDAY(B6128)=1,2,IF(WEEKDAY(B6128)=7,1,0))))))</f>
        <v>3</v>
      </c>
      <c r="G6128" s="369">
        <f>VLOOKUP(C6128,METADATA!$J$5:$Q$29,IF(E6128="HI",2,IF(E6128="LO",6,10))+IF(D6128=1,2,IF(D6128=7,1,(IF(WEEKDAY(B6128)=1,2,IF(WEEKDAY(B6128)=7,1,0))))))</f>
        <v>3</v>
      </c>
      <c r="H6128" s="370">
        <v>5742.2825317382813</v>
      </c>
      <c r="I6128" s="370">
        <v>1354.3900146484375</v>
      </c>
      <c r="M6128" s="371">
        <f t="shared" si="381"/>
        <v>5899.845844264577</v>
      </c>
      <c r="N6128" s="329">
        <f t="shared" si="382"/>
        <v>0</v>
      </c>
      <c r="T6128" s="331">
        <v>0</v>
      </c>
      <c r="U6128" s="328">
        <f>VLOOKUP(C6128,METADATA!$J$5:$Q$29,IF(E6128="HI",2,IF(E6128="LO",6,10))+IF(T6128=1,2,IF(D6128=7,1,(IF(WEEKDAY(B6128)=1,2,IF(WEEKDAY(B6128)=7,1,0))))))</f>
        <v>3</v>
      </c>
      <c r="V6128" s="328">
        <f>VLOOKUP(C6128,METADATA!$A$5:$H$29,IF(E6128="HI",2,IF(E6128="LO",6,10))+IF(T6128=1,2,IF(D6128=7,1,(IF(WEEKDAY(B6128)=1,2,IF(WEEKDAY(B6128)=7,1,0))))))</f>
        <v>3</v>
      </c>
    </row>
    <row r="6129" spans="2:22">
      <c r="B6129" s="318">
        <f t="shared" si="383"/>
        <v>46368</v>
      </c>
      <c r="C6129" s="312">
        <v>5</v>
      </c>
      <c r="D6129" s="368">
        <f>IFERROR((INDEX(METADATA!$T$2:$T$20,MATCH(B6129,METADATA!$S$2:$S$20,0))),0)</f>
        <v>0</v>
      </c>
      <c r="E6129" s="312" t="str">
        <f t="shared" si="380"/>
        <v>LO</v>
      </c>
      <c r="F6129" s="369">
        <f>VLOOKUP(C6129,METADATA!$A$5:$H$29,IF(E6129="HI",2,IF(E6129="LO",6,10))+IF(D6129=1,2,IF(D6129=7,1,(IF(WEEKDAY(B6129)=1,2,IF(WEEKDAY(B6129)=7,1,0))))))</f>
        <v>3</v>
      </c>
      <c r="G6129" s="369">
        <f>VLOOKUP(C6129,METADATA!$J$5:$Q$29,IF(E6129="HI",2,IF(E6129="LO",6,10))+IF(D6129=1,2,IF(D6129=7,1,(IF(WEEKDAY(B6129)=1,2,IF(WEEKDAY(B6129)=7,1,0))))))</f>
        <v>3</v>
      </c>
      <c r="H6129" s="370">
        <v>5444.9824523925781</v>
      </c>
      <c r="I6129" s="370">
        <v>1341.1449890136719</v>
      </c>
      <c r="M6129" s="371">
        <f t="shared" si="381"/>
        <v>5607.7182336864589</v>
      </c>
      <c r="N6129" s="329">
        <f t="shared" si="382"/>
        <v>0</v>
      </c>
      <c r="T6129" s="331">
        <v>0</v>
      </c>
      <c r="U6129" s="328">
        <f>VLOOKUP(C6129,METADATA!$J$5:$Q$29,IF(E6129="HI",2,IF(E6129="LO",6,10))+IF(T6129=1,2,IF(D6129=7,1,(IF(WEEKDAY(B6129)=1,2,IF(WEEKDAY(B6129)=7,1,0))))))</f>
        <v>3</v>
      </c>
      <c r="V6129" s="328">
        <f>VLOOKUP(C6129,METADATA!$A$5:$H$29,IF(E6129="HI",2,IF(E6129="LO",6,10))+IF(T6129=1,2,IF(D6129=7,1,(IF(WEEKDAY(B6129)=1,2,IF(WEEKDAY(B6129)=7,1,0))))))</f>
        <v>3</v>
      </c>
    </row>
    <row r="6130" spans="2:22">
      <c r="B6130" s="318">
        <f t="shared" si="383"/>
        <v>46368</v>
      </c>
      <c r="C6130" s="312">
        <v>6</v>
      </c>
      <c r="D6130" s="368">
        <f>IFERROR((INDEX(METADATA!$T$2:$T$20,MATCH(B6130,METADATA!$S$2:$S$20,0))),0)</f>
        <v>0</v>
      </c>
      <c r="E6130" s="312" t="str">
        <f t="shared" si="380"/>
        <v>LO</v>
      </c>
      <c r="F6130" s="369">
        <f>VLOOKUP(C6130,METADATA!$A$5:$H$29,IF(E6130="HI",2,IF(E6130="LO",6,10))+IF(D6130=1,2,IF(D6130=7,1,(IF(WEEKDAY(B6130)=1,2,IF(WEEKDAY(B6130)=7,1,0))))))</f>
        <v>3</v>
      </c>
      <c r="G6130" s="369">
        <f>VLOOKUP(C6130,METADATA!$J$5:$Q$29,IF(E6130="HI",2,IF(E6130="LO",6,10))+IF(D6130=1,2,IF(D6130=7,1,(IF(WEEKDAY(B6130)=1,2,IF(WEEKDAY(B6130)=7,1,0))))))</f>
        <v>3</v>
      </c>
      <c r="H6130" s="370">
        <v>5339.197509765625</v>
      </c>
      <c r="I6130" s="370">
        <v>1302.9099731445313</v>
      </c>
      <c r="M6130" s="371">
        <f t="shared" si="381"/>
        <v>5495.8715820520165</v>
      </c>
      <c r="N6130" s="329">
        <f t="shared" si="382"/>
        <v>0</v>
      </c>
      <c r="T6130" s="331">
        <v>0</v>
      </c>
      <c r="U6130" s="328">
        <f>VLOOKUP(C6130,METADATA!$J$5:$Q$29,IF(E6130="HI",2,IF(E6130="LO",6,10))+IF(T6130=1,2,IF(D6130=7,1,(IF(WEEKDAY(B6130)=1,2,IF(WEEKDAY(B6130)=7,1,0))))))</f>
        <v>3</v>
      </c>
      <c r="V6130" s="328">
        <f>VLOOKUP(C6130,METADATA!$A$5:$H$29,IF(E6130="HI",2,IF(E6130="LO",6,10))+IF(T6130=1,2,IF(D6130=7,1,(IF(WEEKDAY(B6130)=1,2,IF(WEEKDAY(B6130)=7,1,0))))))</f>
        <v>3</v>
      </c>
    </row>
    <row r="6131" spans="2:22">
      <c r="B6131" s="318">
        <f t="shared" si="383"/>
        <v>46368</v>
      </c>
      <c r="C6131" s="312">
        <v>7</v>
      </c>
      <c r="D6131" s="368">
        <f>IFERROR((INDEX(METADATA!$T$2:$T$20,MATCH(B6131,METADATA!$S$2:$S$20,0))),0)</f>
        <v>0</v>
      </c>
      <c r="E6131" s="312" t="str">
        <f t="shared" si="380"/>
        <v>LO</v>
      </c>
      <c r="F6131" s="369">
        <f>VLOOKUP(C6131,METADATA!$A$5:$H$29,IF(E6131="HI",2,IF(E6131="LO",6,10))+IF(D6131=1,2,IF(D6131=7,1,(IF(WEEKDAY(B6131)=1,2,IF(WEEKDAY(B6131)=7,1,0))))))</f>
        <v>2</v>
      </c>
      <c r="G6131" s="369">
        <f>VLOOKUP(C6131,METADATA!$J$5:$Q$29,IF(E6131="HI",2,IF(E6131="LO",6,10))+IF(D6131=1,2,IF(D6131=7,1,(IF(WEEKDAY(B6131)=1,2,IF(WEEKDAY(B6131)=7,1,0))))))</f>
        <v>2</v>
      </c>
      <c r="H6131" s="370">
        <v>5284.2300109863281</v>
      </c>
      <c r="I6131" s="370">
        <v>1296.7200317382813</v>
      </c>
      <c r="M6131" s="371">
        <f t="shared" si="381"/>
        <v>5441.0081464485875</v>
      </c>
      <c r="N6131" s="329">
        <f t="shared" si="382"/>
        <v>0</v>
      </c>
      <c r="T6131" s="331">
        <v>0</v>
      </c>
      <c r="U6131" s="328">
        <f>VLOOKUP(C6131,METADATA!$J$5:$Q$29,IF(E6131="HI",2,IF(E6131="LO",6,10))+IF(T6131=1,2,IF(D6131=7,1,(IF(WEEKDAY(B6131)=1,2,IF(WEEKDAY(B6131)=7,1,0))))))</f>
        <v>2</v>
      </c>
      <c r="V6131" s="328">
        <f>VLOOKUP(C6131,METADATA!$A$5:$H$29,IF(E6131="HI",2,IF(E6131="LO",6,10))+IF(T6131=1,2,IF(D6131=7,1,(IF(WEEKDAY(B6131)=1,2,IF(WEEKDAY(B6131)=7,1,0))))))</f>
        <v>2</v>
      </c>
    </row>
    <row r="6132" spans="2:22">
      <c r="B6132" s="318">
        <f t="shared" si="383"/>
        <v>46368</v>
      </c>
      <c r="C6132" s="312">
        <v>8</v>
      </c>
      <c r="D6132" s="368">
        <f>IFERROR((INDEX(METADATA!$T$2:$T$20,MATCH(B6132,METADATA!$S$2:$S$20,0))),0)</f>
        <v>0</v>
      </c>
      <c r="E6132" s="312" t="str">
        <f t="shared" si="380"/>
        <v>LO</v>
      </c>
      <c r="F6132" s="369">
        <f>VLOOKUP(C6132,METADATA!$A$5:$H$29,IF(E6132="HI",2,IF(E6132="LO",6,10))+IF(D6132=1,2,IF(D6132=7,1,(IF(WEEKDAY(B6132)=1,2,IF(WEEKDAY(B6132)=7,1,0))))))</f>
        <v>2</v>
      </c>
      <c r="G6132" s="369">
        <f>VLOOKUP(C6132,METADATA!$J$5:$Q$29,IF(E6132="HI",2,IF(E6132="LO",6,10))+IF(D6132=1,2,IF(D6132=7,1,(IF(WEEKDAY(B6132)=1,2,IF(WEEKDAY(B6132)=7,1,0))))))</f>
        <v>2</v>
      </c>
      <c r="H6132" s="370">
        <v>5481.260009765625</v>
      </c>
      <c r="I6132" s="370">
        <v>1274.9775085449219</v>
      </c>
      <c r="M6132" s="371">
        <f t="shared" si="381"/>
        <v>5627.5908648329505</v>
      </c>
      <c r="N6132" s="329">
        <f t="shared" si="382"/>
        <v>0</v>
      </c>
      <c r="T6132" s="331">
        <v>0</v>
      </c>
      <c r="U6132" s="328">
        <f>VLOOKUP(C6132,METADATA!$J$5:$Q$29,IF(E6132="HI",2,IF(E6132="LO",6,10))+IF(T6132=1,2,IF(D6132=7,1,(IF(WEEKDAY(B6132)=1,2,IF(WEEKDAY(B6132)=7,1,0))))))</f>
        <v>2</v>
      </c>
      <c r="V6132" s="328">
        <f>VLOOKUP(C6132,METADATA!$A$5:$H$29,IF(E6132="HI",2,IF(E6132="LO",6,10))+IF(T6132=1,2,IF(D6132=7,1,(IF(WEEKDAY(B6132)=1,2,IF(WEEKDAY(B6132)=7,1,0))))))</f>
        <v>2</v>
      </c>
    </row>
    <row r="6133" spans="2:22">
      <c r="B6133" s="318">
        <f t="shared" si="383"/>
        <v>46368</v>
      </c>
      <c r="C6133" s="312">
        <v>9</v>
      </c>
      <c r="D6133" s="368">
        <f>IFERROR((INDEX(METADATA!$T$2:$T$20,MATCH(B6133,METADATA!$S$2:$S$20,0))),0)</f>
        <v>0</v>
      </c>
      <c r="E6133" s="312" t="str">
        <f t="shared" si="380"/>
        <v>LO</v>
      </c>
      <c r="F6133" s="369">
        <f>VLOOKUP(C6133,METADATA!$A$5:$H$29,IF(E6133="HI",2,IF(E6133="LO",6,10))+IF(D6133=1,2,IF(D6133=7,1,(IF(WEEKDAY(B6133)=1,2,IF(WEEKDAY(B6133)=7,1,0))))))</f>
        <v>2</v>
      </c>
      <c r="G6133" s="369">
        <f>VLOOKUP(C6133,METADATA!$J$5:$Q$29,IF(E6133="HI",2,IF(E6133="LO",6,10))+IF(D6133=1,2,IF(D6133=7,1,(IF(WEEKDAY(B6133)=1,2,IF(WEEKDAY(B6133)=7,1,0))))))</f>
        <v>2</v>
      </c>
      <c r="H6133" s="370">
        <v>10496.790130615234</v>
      </c>
      <c r="I6133" s="370">
        <v>2552.922477722168</v>
      </c>
      <c r="M6133" s="371">
        <f t="shared" si="381"/>
        <v>10802.778171537195</v>
      </c>
      <c r="N6133" s="329">
        <f t="shared" si="382"/>
        <v>0</v>
      </c>
      <c r="T6133" s="331">
        <v>0</v>
      </c>
      <c r="U6133" s="328">
        <f>VLOOKUP(C6133,METADATA!$J$5:$Q$29,IF(E6133="HI",2,IF(E6133="LO",6,10))+IF(T6133=1,2,IF(D6133=7,1,(IF(WEEKDAY(B6133)=1,2,IF(WEEKDAY(B6133)=7,1,0))))))</f>
        <v>2</v>
      </c>
      <c r="V6133" s="328">
        <f>VLOOKUP(C6133,METADATA!$A$5:$H$29,IF(E6133="HI",2,IF(E6133="LO",6,10))+IF(T6133=1,2,IF(D6133=7,1,(IF(WEEKDAY(B6133)=1,2,IF(WEEKDAY(B6133)=7,1,0))))))</f>
        <v>2</v>
      </c>
    </row>
    <row r="6134" spans="2:22">
      <c r="B6134" s="318">
        <f t="shared" si="383"/>
        <v>46368</v>
      </c>
      <c r="C6134" s="312">
        <v>10</v>
      </c>
      <c r="D6134" s="368">
        <f>IFERROR((INDEX(METADATA!$T$2:$T$20,MATCH(B6134,METADATA!$S$2:$S$20,0))),0)</f>
        <v>0</v>
      </c>
      <c r="E6134" s="312" t="str">
        <f t="shared" si="380"/>
        <v>LO</v>
      </c>
      <c r="F6134" s="369">
        <f>VLOOKUP(C6134,METADATA!$A$5:$H$29,IF(E6134="HI",2,IF(E6134="LO",6,10))+IF(D6134=1,2,IF(D6134=7,1,(IF(WEEKDAY(B6134)=1,2,IF(WEEKDAY(B6134)=7,1,0))))))</f>
        <v>2</v>
      </c>
      <c r="G6134" s="369">
        <f>VLOOKUP(C6134,METADATA!$J$5:$Q$29,IF(E6134="HI",2,IF(E6134="LO",6,10))+IF(D6134=1,2,IF(D6134=7,1,(IF(WEEKDAY(B6134)=1,2,IF(WEEKDAY(B6134)=7,1,0))))))</f>
        <v>2</v>
      </c>
      <c r="H6134" s="370">
        <v>13051.625061035156</v>
      </c>
      <c r="I6134" s="370">
        <v>3911.1849365234375</v>
      </c>
      <c r="M6134" s="371">
        <f t="shared" si="381"/>
        <v>13625.060893131038</v>
      </c>
      <c r="N6134" s="329">
        <f t="shared" si="382"/>
        <v>0</v>
      </c>
      <c r="T6134" s="331">
        <v>0</v>
      </c>
      <c r="U6134" s="328">
        <f>VLOOKUP(C6134,METADATA!$J$5:$Q$29,IF(E6134="HI",2,IF(E6134="LO",6,10))+IF(T6134=1,2,IF(D6134=7,1,(IF(WEEKDAY(B6134)=1,2,IF(WEEKDAY(B6134)=7,1,0))))))</f>
        <v>2</v>
      </c>
      <c r="V6134" s="328">
        <f>VLOOKUP(C6134,METADATA!$A$5:$H$29,IF(E6134="HI",2,IF(E6134="LO",6,10))+IF(T6134=1,2,IF(D6134=7,1,(IF(WEEKDAY(B6134)=1,2,IF(WEEKDAY(B6134)=7,1,0))))))</f>
        <v>2</v>
      </c>
    </row>
    <row r="6135" spans="2:22">
      <c r="B6135" s="318">
        <f t="shared" si="383"/>
        <v>46368</v>
      </c>
      <c r="C6135" s="312">
        <v>11</v>
      </c>
      <c r="D6135" s="368">
        <f>IFERROR((INDEX(METADATA!$T$2:$T$20,MATCH(B6135,METADATA!$S$2:$S$20,0))),0)</f>
        <v>0</v>
      </c>
      <c r="E6135" s="312" t="str">
        <f t="shared" si="380"/>
        <v>LO</v>
      </c>
      <c r="F6135" s="369">
        <f>VLOOKUP(C6135,METADATA!$A$5:$H$29,IF(E6135="HI",2,IF(E6135="LO",6,10))+IF(D6135=1,2,IF(D6135=7,1,(IF(WEEKDAY(B6135)=1,2,IF(WEEKDAY(B6135)=7,1,0))))))</f>
        <v>2</v>
      </c>
      <c r="G6135" s="369">
        <f>VLOOKUP(C6135,METADATA!$J$5:$Q$29,IF(E6135="HI",2,IF(E6135="LO",6,10))+IF(D6135=1,2,IF(D6135=7,1,(IF(WEEKDAY(B6135)=1,2,IF(WEEKDAY(B6135)=7,1,0))))))</f>
        <v>2</v>
      </c>
      <c r="H6135" s="370">
        <v>13107.049987792969</v>
      </c>
      <c r="I6135" s="370">
        <v>3979.9150695800781</v>
      </c>
      <c r="M6135" s="371">
        <f t="shared" si="381"/>
        <v>13697.973694805165</v>
      </c>
      <c r="N6135" s="329">
        <f t="shared" si="382"/>
        <v>47.800073242187864</v>
      </c>
      <c r="T6135" s="331">
        <v>0</v>
      </c>
      <c r="U6135" s="328">
        <f>VLOOKUP(C6135,METADATA!$J$5:$Q$29,IF(E6135="HI",2,IF(E6135="LO",6,10))+IF(T6135=1,2,IF(D6135=7,1,(IF(WEEKDAY(B6135)=1,2,IF(WEEKDAY(B6135)=7,1,0))))))</f>
        <v>2</v>
      </c>
      <c r="V6135" s="328">
        <f>VLOOKUP(C6135,METADATA!$A$5:$H$29,IF(E6135="HI",2,IF(E6135="LO",6,10))+IF(T6135=1,2,IF(D6135=7,1,(IF(WEEKDAY(B6135)=1,2,IF(WEEKDAY(B6135)=7,1,0))))))</f>
        <v>2</v>
      </c>
    </row>
    <row r="6136" spans="2:22">
      <c r="B6136" s="318">
        <f t="shared" si="383"/>
        <v>46368</v>
      </c>
      <c r="C6136" s="312">
        <v>12</v>
      </c>
      <c r="D6136" s="368">
        <f>IFERROR((INDEX(METADATA!$T$2:$T$20,MATCH(B6136,METADATA!$S$2:$S$20,0))),0)</f>
        <v>0</v>
      </c>
      <c r="E6136" s="312" t="str">
        <f t="shared" si="380"/>
        <v>LO</v>
      </c>
      <c r="F6136" s="369">
        <f>VLOOKUP(C6136,METADATA!$A$5:$H$29,IF(E6136="HI",2,IF(E6136="LO",6,10))+IF(D6136=1,2,IF(D6136=7,1,(IF(WEEKDAY(B6136)=1,2,IF(WEEKDAY(B6136)=7,1,0))))))</f>
        <v>3</v>
      </c>
      <c r="G6136" s="369">
        <f>VLOOKUP(C6136,METADATA!$J$5:$Q$29,IF(E6136="HI",2,IF(E6136="LO",6,10))+IF(D6136=1,2,IF(D6136=7,1,(IF(WEEKDAY(B6136)=1,2,IF(WEEKDAY(B6136)=7,1,0))))))</f>
        <v>3</v>
      </c>
      <c r="H6136" s="370">
        <v>13076.050170898438</v>
      </c>
      <c r="I6136" s="370">
        <v>3986.5699768066406</v>
      </c>
      <c r="M6136" s="371">
        <f t="shared" si="381"/>
        <v>13670.253408471592</v>
      </c>
      <c r="N6136" s="329">
        <f t="shared" si="382"/>
        <v>63.754925537109557</v>
      </c>
      <c r="T6136" s="331">
        <v>0</v>
      </c>
      <c r="U6136" s="328">
        <f>VLOOKUP(C6136,METADATA!$J$5:$Q$29,IF(E6136="HI",2,IF(E6136="LO",6,10))+IF(T6136=1,2,IF(D6136=7,1,(IF(WEEKDAY(B6136)=1,2,IF(WEEKDAY(B6136)=7,1,0))))))</f>
        <v>3</v>
      </c>
      <c r="V6136" s="328">
        <f>VLOOKUP(C6136,METADATA!$A$5:$H$29,IF(E6136="HI",2,IF(E6136="LO",6,10))+IF(T6136=1,2,IF(D6136=7,1,(IF(WEEKDAY(B6136)=1,2,IF(WEEKDAY(B6136)=7,1,0))))))</f>
        <v>3</v>
      </c>
    </row>
    <row r="6137" spans="2:22">
      <c r="B6137" s="318">
        <f t="shared" si="383"/>
        <v>46368</v>
      </c>
      <c r="C6137" s="312">
        <v>13</v>
      </c>
      <c r="D6137" s="368">
        <f>IFERROR((INDEX(METADATA!$T$2:$T$20,MATCH(B6137,METADATA!$S$2:$S$20,0))),0)</f>
        <v>0</v>
      </c>
      <c r="E6137" s="312" t="str">
        <f t="shared" si="380"/>
        <v>LO</v>
      </c>
      <c r="F6137" s="369">
        <f>VLOOKUP(C6137,METADATA!$A$5:$H$29,IF(E6137="HI",2,IF(E6137="LO",6,10))+IF(D6137=1,2,IF(D6137=7,1,(IF(WEEKDAY(B6137)=1,2,IF(WEEKDAY(B6137)=7,1,0))))))</f>
        <v>3</v>
      </c>
      <c r="G6137" s="369">
        <f>VLOOKUP(C6137,METADATA!$J$5:$Q$29,IF(E6137="HI",2,IF(E6137="LO",6,10))+IF(D6137=1,2,IF(D6137=7,1,(IF(WEEKDAY(B6137)=1,2,IF(WEEKDAY(B6137)=7,1,0))))))</f>
        <v>3</v>
      </c>
      <c r="H6137" s="370">
        <v>13013.824951171875</v>
      </c>
      <c r="I6137" s="370">
        <v>4031.1349792480469</v>
      </c>
      <c r="M6137" s="371">
        <f t="shared" si="381"/>
        <v>13623.864689604812</v>
      </c>
      <c r="N6137" s="329">
        <f t="shared" si="382"/>
        <v>126.98749389648447</v>
      </c>
      <c r="T6137" s="331">
        <v>0</v>
      </c>
      <c r="U6137" s="328">
        <f>VLOOKUP(C6137,METADATA!$J$5:$Q$29,IF(E6137="HI",2,IF(E6137="LO",6,10))+IF(T6137=1,2,IF(D6137=7,1,(IF(WEEKDAY(B6137)=1,2,IF(WEEKDAY(B6137)=7,1,0))))))</f>
        <v>3</v>
      </c>
      <c r="V6137" s="328">
        <f>VLOOKUP(C6137,METADATA!$A$5:$H$29,IF(E6137="HI",2,IF(E6137="LO",6,10))+IF(T6137=1,2,IF(D6137=7,1,(IF(WEEKDAY(B6137)=1,2,IF(WEEKDAY(B6137)=7,1,0))))))</f>
        <v>3</v>
      </c>
    </row>
    <row r="6138" spans="2:22">
      <c r="B6138" s="318">
        <f t="shared" si="383"/>
        <v>46368</v>
      </c>
      <c r="C6138" s="312">
        <v>14</v>
      </c>
      <c r="D6138" s="368">
        <f>IFERROR((INDEX(METADATA!$T$2:$T$20,MATCH(B6138,METADATA!$S$2:$S$20,0))),0)</f>
        <v>0</v>
      </c>
      <c r="E6138" s="312" t="str">
        <f t="shared" si="380"/>
        <v>LO</v>
      </c>
      <c r="F6138" s="369">
        <f>VLOOKUP(C6138,METADATA!$A$5:$H$29,IF(E6138="HI",2,IF(E6138="LO",6,10))+IF(D6138=1,2,IF(D6138=7,1,(IF(WEEKDAY(B6138)=1,2,IF(WEEKDAY(B6138)=7,1,0))))))</f>
        <v>3</v>
      </c>
      <c r="G6138" s="369">
        <f>VLOOKUP(C6138,METADATA!$J$5:$Q$29,IF(E6138="HI",2,IF(E6138="LO",6,10))+IF(D6138=1,2,IF(D6138=7,1,(IF(WEEKDAY(B6138)=1,2,IF(WEEKDAY(B6138)=7,1,0))))))</f>
        <v>3</v>
      </c>
      <c r="H6138" s="370">
        <v>13320.724975585938</v>
      </c>
      <c r="I6138" s="370">
        <v>4192.7949829101563</v>
      </c>
      <c r="M6138" s="371">
        <f t="shared" si="381"/>
        <v>13965.000667522918</v>
      </c>
      <c r="N6138" s="329">
        <f t="shared" si="382"/>
        <v>196.57749023437509</v>
      </c>
      <c r="T6138" s="331">
        <v>0</v>
      </c>
      <c r="U6138" s="328">
        <f>VLOOKUP(C6138,METADATA!$J$5:$Q$29,IF(E6138="HI",2,IF(E6138="LO",6,10))+IF(T6138=1,2,IF(D6138=7,1,(IF(WEEKDAY(B6138)=1,2,IF(WEEKDAY(B6138)=7,1,0))))))</f>
        <v>3</v>
      </c>
      <c r="V6138" s="328">
        <f>VLOOKUP(C6138,METADATA!$A$5:$H$29,IF(E6138="HI",2,IF(E6138="LO",6,10))+IF(T6138=1,2,IF(D6138=7,1,(IF(WEEKDAY(B6138)=1,2,IF(WEEKDAY(B6138)=7,1,0))))))</f>
        <v>3</v>
      </c>
    </row>
    <row r="6139" spans="2:22">
      <c r="B6139" s="318">
        <f t="shared" si="383"/>
        <v>46368</v>
      </c>
      <c r="C6139" s="312">
        <v>15</v>
      </c>
      <c r="D6139" s="368">
        <f>IFERROR((INDEX(METADATA!$T$2:$T$20,MATCH(B6139,METADATA!$S$2:$S$20,0))),0)</f>
        <v>0</v>
      </c>
      <c r="E6139" s="312" t="str">
        <f t="shared" si="380"/>
        <v>LO</v>
      </c>
      <c r="F6139" s="369">
        <f>VLOOKUP(C6139,METADATA!$A$5:$H$29,IF(E6139="HI",2,IF(E6139="LO",6,10))+IF(D6139=1,2,IF(D6139=7,1,(IF(WEEKDAY(B6139)=1,2,IF(WEEKDAY(B6139)=7,1,0))))))</f>
        <v>3</v>
      </c>
      <c r="G6139" s="369">
        <f>VLOOKUP(C6139,METADATA!$J$5:$Q$29,IF(E6139="HI",2,IF(E6139="LO",6,10))+IF(D6139=1,2,IF(D6139=7,1,(IF(WEEKDAY(B6139)=1,2,IF(WEEKDAY(B6139)=7,1,0))))))</f>
        <v>3</v>
      </c>
      <c r="H6139" s="370">
        <v>13158.700012207031</v>
      </c>
      <c r="I6139" s="370">
        <v>4128.0449829101563</v>
      </c>
      <c r="M6139" s="371">
        <f t="shared" si="381"/>
        <v>13791.016691752173</v>
      </c>
      <c r="N6139" s="329">
        <f t="shared" si="382"/>
        <v>180.43497924804706</v>
      </c>
      <c r="T6139" s="331">
        <v>0</v>
      </c>
      <c r="U6139" s="328">
        <f>VLOOKUP(C6139,METADATA!$J$5:$Q$29,IF(E6139="HI",2,IF(E6139="LO",6,10))+IF(T6139=1,2,IF(D6139=7,1,(IF(WEEKDAY(B6139)=1,2,IF(WEEKDAY(B6139)=7,1,0))))))</f>
        <v>3</v>
      </c>
      <c r="V6139" s="328">
        <f>VLOOKUP(C6139,METADATA!$A$5:$H$29,IF(E6139="HI",2,IF(E6139="LO",6,10))+IF(T6139=1,2,IF(D6139=7,1,(IF(WEEKDAY(B6139)=1,2,IF(WEEKDAY(B6139)=7,1,0))))))</f>
        <v>3</v>
      </c>
    </row>
    <row r="6140" spans="2:22">
      <c r="B6140" s="318">
        <f t="shared" si="383"/>
        <v>46368</v>
      </c>
      <c r="C6140" s="312">
        <v>16</v>
      </c>
      <c r="D6140" s="368">
        <f>IFERROR((INDEX(METADATA!$T$2:$T$20,MATCH(B6140,METADATA!$S$2:$S$20,0))),0)</f>
        <v>0</v>
      </c>
      <c r="E6140" s="312" t="str">
        <f t="shared" si="380"/>
        <v>LO</v>
      </c>
      <c r="F6140" s="369">
        <f>VLOOKUP(C6140,METADATA!$A$5:$H$29,IF(E6140="HI",2,IF(E6140="LO",6,10))+IF(D6140=1,2,IF(D6140=7,1,(IF(WEEKDAY(B6140)=1,2,IF(WEEKDAY(B6140)=7,1,0))))))</f>
        <v>3</v>
      </c>
      <c r="G6140" s="369">
        <f>VLOOKUP(C6140,METADATA!$J$5:$Q$29,IF(E6140="HI",2,IF(E6140="LO",6,10))+IF(D6140=1,2,IF(D6140=7,1,(IF(WEEKDAY(B6140)=1,2,IF(WEEKDAY(B6140)=7,1,0))))))</f>
        <v>3</v>
      </c>
      <c r="H6140" s="370">
        <v>13312.324829101563</v>
      </c>
      <c r="I6140" s="370">
        <v>4128.4149475097656</v>
      </c>
      <c r="M6140" s="371">
        <f t="shared" si="381"/>
        <v>13937.783264720971</v>
      </c>
      <c r="N6140" s="329">
        <f t="shared" si="382"/>
        <v>134.71749877929688</v>
      </c>
      <c r="T6140" s="331">
        <v>0</v>
      </c>
      <c r="U6140" s="328">
        <f>VLOOKUP(C6140,METADATA!$J$5:$Q$29,IF(E6140="HI",2,IF(E6140="LO",6,10))+IF(T6140=1,2,IF(D6140=7,1,(IF(WEEKDAY(B6140)=1,2,IF(WEEKDAY(B6140)=7,1,0))))))</f>
        <v>3</v>
      </c>
      <c r="V6140" s="328">
        <f>VLOOKUP(C6140,METADATA!$A$5:$H$29,IF(E6140="HI",2,IF(E6140="LO",6,10))+IF(T6140=1,2,IF(D6140=7,1,(IF(WEEKDAY(B6140)=1,2,IF(WEEKDAY(B6140)=7,1,0))))))</f>
        <v>3</v>
      </c>
    </row>
    <row r="6141" spans="2:22">
      <c r="B6141" s="318">
        <f t="shared" si="383"/>
        <v>46368</v>
      </c>
      <c r="C6141" s="312">
        <v>17</v>
      </c>
      <c r="D6141" s="368">
        <f>IFERROR((INDEX(METADATA!$T$2:$T$20,MATCH(B6141,METADATA!$S$2:$S$20,0))),0)</f>
        <v>0</v>
      </c>
      <c r="E6141" s="312" t="str">
        <f t="shared" si="380"/>
        <v>LO</v>
      </c>
      <c r="F6141" s="369">
        <f>VLOOKUP(C6141,METADATA!$A$5:$H$29,IF(E6141="HI",2,IF(E6141="LO",6,10))+IF(D6141=1,2,IF(D6141=7,1,(IF(WEEKDAY(B6141)=1,2,IF(WEEKDAY(B6141)=7,1,0))))))</f>
        <v>3</v>
      </c>
      <c r="G6141" s="369">
        <f>VLOOKUP(C6141,METADATA!$J$5:$Q$29,IF(E6141="HI",2,IF(E6141="LO",6,10))+IF(D6141=1,2,IF(D6141=7,1,(IF(WEEKDAY(B6141)=1,2,IF(WEEKDAY(B6141)=7,1,0))))))</f>
        <v>3</v>
      </c>
      <c r="H6141" s="370">
        <v>13318.624877929688</v>
      </c>
      <c r="I6141" s="370">
        <v>4122.7599182128906</v>
      </c>
      <c r="M6141" s="371">
        <f t="shared" si="381"/>
        <v>13942.12745538608</v>
      </c>
      <c r="N6141" s="329">
        <f t="shared" si="382"/>
        <v>127.17245483398438</v>
      </c>
      <c r="T6141" s="331">
        <v>0</v>
      </c>
      <c r="U6141" s="328">
        <f>VLOOKUP(C6141,METADATA!$J$5:$Q$29,IF(E6141="HI",2,IF(E6141="LO",6,10))+IF(T6141=1,2,IF(D6141=7,1,(IF(WEEKDAY(B6141)=1,2,IF(WEEKDAY(B6141)=7,1,0))))))</f>
        <v>3</v>
      </c>
      <c r="V6141" s="328">
        <f>VLOOKUP(C6141,METADATA!$A$5:$H$29,IF(E6141="HI",2,IF(E6141="LO",6,10))+IF(T6141=1,2,IF(D6141=7,1,(IF(WEEKDAY(B6141)=1,2,IF(WEEKDAY(B6141)=7,1,0))))))</f>
        <v>3</v>
      </c>
    </row>
    <row r="6142" spans="2:22">
      <c r="B6142" s="318">
        <f t="shared" si="383"/>
        <v>46368</v>
      </c>
      <c r="C6142" s="312">
        <v>18</v>
      </c>
      <c r="D6142" s="368">
        <f>IFERROR((INDEX(METADATA!$T$2:$T$20,MATCH(B6142,METADATA!$S$2:$S$20,0))),0)</f>
        <v>0</v>
      </c>
      <c r="E6142" s="312" t="str">
        <f t="shared" si="380"/>
        <v>LO</v>
      </c>
      <c r="F6142" s="369">
        <f>VLOOKUP(C6142,METADATA!$A$5:$H$29,IF(E6142="HI",2,IF(E6142="LO",6,10))+IF(D6142=1,2,IF(D6142=7,1,(IF(WEEKDAY(B6142)=1,2,IF(WEEKDAY(B6142)=7,1,0))))))</f>
        <v>2</v>
      </c>
      <c r="G6142" s="369">
        <f>VLOOKUP(C6142,METADATA!$J$5:$Q$29,IF(E6142="HI",2,IF(E6142="LO",6,10))+IF(D6142=1,2,IF(D6142=7,1,(IF(WEEKDAY(B6142)=1,2,IF(WEEKDAY(B6142)=7,1,0))))))</f>
        <v>2</v>
      </c>
      <c r="H6142" s="370">
        <v>13084.60009765625</v>
      </c>
      <c r="I6142" s="370">
        <v>3921.7450256347656</v>
      </c>
      <c r="M6142" s="371">
        <f t="shared" si="381"/>
        <v>13659.679489712669</v>
      </c>
      <c r="N6142" s="329">
        <f t="shared" si="382"/>
        <v>0</v>
      </c>
      <c r="T6142" s="331">
        <v>0</v>
      </c>
      <c r="U6142" s="328">
        <f>VLOOKUP(C6142,METADATA!$J$5:$Q$29,IF(E6142="HI",2,IF(E6142="LO",6,10))+IF(T6142=1,2,IF(D6142=7,1,(IF(WEEKDAY(B6142)=1,2,IF(WEEKDAY(B6142)=7,1,0))))))</f>
        <v>2</v>
      </c>
      <c r="V6142" s="328">
        <f>VLOOKUP(C6142,METADATA!$A$5:$H$29,IF(E6142="HI",2,IF(E6142="LO",6,10))+IF(T6142=1,2,IF(D6142=7,1,(IF(WEEKDAY(B6142)=1,2,IF(WEEKDAY(B6142)=7,1,0))))))</f>
        <v>2</v>
      </c>
    </row>
    <row r="6143" spans="2:22">
      <c r="B6143" s="318">
        <f t="shared" si="383"/>
        <v>46368</v>
      </c>
      <c r="C6143" s="312">
        <v>19</v>
      </c>
      <c r="D6143" s="368">
        <f>IFERROR((INDEX(METADATA!$T$2:$T$20,MATCH(B6143,METADATA!$S$2:$S$20,0))),0)</f>
        <v>0</v>
      </c>
      <c r="E6143" s="312" t="str">
        <f t="shared" si="380"/>
        <v>LO</v>
      </c>
      <c r="F6143" s="369">
        <f>VLOOKUP(C6143,METADATA!$A$5:$H$29,IF(E6143="HI",2,IF(E6143="LO",6,10))+IF(D6143=1,2,IF(D6143=7,1,(IF(WEEKDAY(B6143)=1,2,IF(WEEKDAY(B6143)=7,1,0))))))</f>
        <v>2</v>
      </c>
      <c r="G6143" s="369">
        <f>VLOOKUP(C6143,METADATA!$J$5:$Q$29,IF(E6143="HI",2,IF(E6143="LO",6,10))+IF(D6143=1,2,IF(D6143=7,1,(IF(WEEKDAY(B6143)=1,2,IF(WEEKDAY(B6143)=7,1,0))))))</f>
        <v>2</v>
      </c>
      <c r="H6143" s="370">
        <v>13108.849914550781</v>
      </c>
      <c r="I6143" s="370">
        <v>3917</v>
      </c>
      <c r="M6143" s="371">
        <f t="shared" si="381"/>
        <v>13681.550901934255</v>
      </c>
      <c r="N6143" s="329">
        <f t="shared" si="382"/>
        <v>0</v>
      </c>
      <c r="T6143" s="331">
        <v>0</v>
      </c>
      <c r="U6143" s="328">
        <f>VLOOKUP(C6143,METADATA!$J$5:$Q$29,IF(E6143="HI",2,IF(E6143="LO",6,10))+IF(T6143=1,2,IF(D6143=7,1,(IF(WEEKDAY(B6143)=1,2,IF(WEEKDAY(B6143)=7,1,0))))))</f>
        <v>2</v>
      </c>
      <c r="V6143" s="328">
        <f>VLOOKUP(C6143,METADATA!$A$5:$H$29,IF(E6143="HI",2,IF(E6143="LO",6,10))+IF(T6143=1,2,IF(D6143=7,1,(IF(WEEKDAY(B6143)=1,2,IF(WEEKDAY(B6143)=7,1,0))))))</f>
        <v>2</v>
      </c>
    </row>
    <row r="6144" spans="2:22">
      <c r="B6144" s="318">
        <f t="shared" si="383"/>
        <v>46368</v>
      </c>
      <c r="C6144" s="312">
        <v>20</v>
      </c>
      <c r="D6144" s="368">
        <f>IFERROR((INDEX(METADATA!$T$2:$T$20,MATCH(B6144,METADATA!$S$2:$S$20,0))),0)</f>
        <v>0</v>
      </c>
      <c r="E6144" s="312" t="str">
        <f t="shared" si="380"/>
        <v>LO</v>
      </c>
      <c r="F6144" s="369">
        <f>VLOOKUP(C6144,METADATA!$A$5:$H$29,IF(E6144="HI",2,IF(E6144="LO",6,10))+IF(D6144=1,2,IF(D6144=7,1,(IF(WEEKDAY(B6144)=1,2,IF(WEEKDAY(B6144)=7,1,0))))))</f>
        <v>3</v>
      </c>
      <c r="G6144" s="369">
        <f>VLOOKUP(C6144,METADATA!$J$5:$Q$29,IF(E6144="HI",2,IF(E6144="LO",6,10))+IF(D6144=1,2,IF(D6144=7,1,(IF(WEEKDAY(B6144)=1,2,IF(WEEKDAY(B6144)=7,1,0))))))</f>
        <v>3</v>
      </c>
      <c r="H6144" s="370">
        <v>13115.64990234375</v>
      </c>
      <c r="I6144" s="370">
        <v>3966.3649291992188</v>
      </c>
      <c r="M6144" s="371">
        <f t="shared" si="381"/>
        <v>13702.274377359079</v>
      </c>
      <c r="N6144" s="329">
        <f t="shared" si="382"/>
        <v>31.669958496093841</v>
      </c>
      <c r="T6144" s="331">
        <v>0</v>
      </c>
      <c r="U6144" s="328">
        <f>VLOOKUP(C6144,METADATA!$J$5:$Q$29,IF(E6144="HI",2,IF(E6144="LO",6,10))+IF(T6144=1,2,IF(D6144=7,1,(IF(WEEKDAY(B6144)=1,2,IF(WEEKDAY(B6144)=7,1,0))))))</f>
        <v>3</v>
      </c>
      <c r="V6144" s="328">
        <f>VLOOKUP(C6144,METADATA!$A$5:$H$29,IF(E6144="HI",2,IF(E6144="LO",6,10))+IF(T6144=1,2,IF(D6144=7,1,(IF(WEEKDAY(B6144)=1,2,IF(WEEKDAY(B6144)=7,1,0))))))</f>
        <v>3</v>
      </c>
    </row>
    <row r="6145" spans="2:22">
      <c r="B6145" s="318">
        <f t="shared" si="383"/>
        <v>46368</v>
      </c>
      <c r="C6145" s="312">
        <v>21</v>
      </c>
      <c r="D6145" s="368">
        <f>IFERROR((INDEX(METADATA!$T$2:$T$20,MATCH(B6145,METADATA!$S$2:$S$20,0))),0)</f>
        <v>0</v>
      </c>
      <c r="E6145" s="312" t="str">
        <f t="shared" si="380"/>
        <v>LO</v>
      </c>
      <c r="F6145" s="369">
        <f>VLOOKUP(C6145,METADATA!$A$5:$H$29,IF(E6145="HI",2,IF(E6145="LO",6,10))+IF(D6145=1,2,IF(D6145=7,1,(IF(WEEKDAY(B6145)=1,2,IF(WEEKDAY(B6145)=7,1,0))))))</f>
        <v>3</v>
      </c>
      <c r="G6145" s="369">
        <f>VLOOKUP(C6145,METADATA!$J$5:$Q$29,IF(E6145="HI",2,IF(E6145="LO",6,10))+IF(D6145=1,2,IF(D6145=7,1,(IF(WEEKDAY(B6145)=1,2,IF(WEEKDAY(B6145)=7,1,0))))))</f>
        <v>3</v>
      </c>
      <c r="H6145" s="370">
        <v>13208.200317382813</v>
      </c>
      <c r="I6145" s="370">
        <v>4006.7799377441406</v>
      </c>
      <c r="M6145" s="371">
        <f t="shared" si="381"/>
        <v>13802.566467640008</v>
      </c>
      <c r="N6145" s="329">
        <f t="shared" si="382"/>
        <v>44.319842529297148</v>
      </c>
      <c r="T6145" s="331">
        <v>0</v>
      </c>
      <c r="U6145" s="328">
        <f>VLOOKUP(C6145,METADATA!$J$5:$Q$29,IF(E6145="HI",2,IF(E6145="LO",6,10))+IF(T6145=1,2,IF(D6145=7,1,(IF(WEEKDAY(B6145)=1,2,IF(WEEKDAY(B6145)=7,1,0))))))</f>
        <v>3</v>
      </c>
      <c r="V6145" s="328">
        <f>VLOOKUP(C6145,METADATA!$A$5:$H$29,IF(E6145="HI",2,IF(E6145="LO",6,10))+IF(T6145=1,2,IF(D6145=7,1,(IF(WEEKDAY(B6145)=1,2,IF(WEEKDAY(B6145)=7,1,0))))))</f>
        <v>3</v>
      </c>
    </row>
    <row r="6146" spans="2:22">
      <c r="B6146" s="318">
        <f t="shared" si="383"/>
        <v>46368</v>
      </c>
      <c r="C6146" s="312">
        <v>22</v>
      </c>
      <c r="D6146" s="368">
        <f>IFERROR((INDEX(METADATA!$T$2:$T$20,MATCH(B6146,METADATA!$S$2:$S$20,0))),0)</f>
        <v>0</v>
      </c>
      <c r="E6146" s="312" t="str">
        <f t="shared" si="380"/>
        <v>LO</v>
      </c>
      <c r="F6146" s="369">
        <f>VLOOKUP(C6146,METADATA!$A$5:$H$29,IF(E6146="HI",2,IF(E6146="LO",6,10))+IF(D6146=1,2,IF(D6146=7,1,(IF(WEEKDAY(B6146)=1,2,IF(WEEKDAY(B6146)=7,1,0))))))</f>
        <v>3</v>
      </c>
      <c r="G6146" s="369">
        <f>VLOOKUP(C6146,METADATA!$J$5:$Q$29,IF(E6146="HI",2,IF(E6146="LO",6,10))+IF(D6146=1,2,IF(D6146=7,1,(IF(WEEKDAY(B6146)=1,2,IF(WEEKDAY(B6146)=7,1,0))))))</f>
        <v>3</v>
      </c>
      <c r="H6146" s="370">
        <v>13235.950134277344</v>
      </c>
      <c r="I6146" s="370">
        <v>4047.1999816894531</v>
      </c>
      <c r="M6146" s="371">
        <f t="shared" si="381"/>
        <v>13840.888831605562</v>
      </c>
      <c r="N6146" s="329">
        <f t="shared" si="382"/>
        <v>76.414941406250364</v>
      </c>
      <c r="T6146" s="331">
        <v>0</v>
      </c>
      <c r="U6146" s="328">
        <f>VLOOKUP(C6146,METADATA!$J$5:$Q$29,IF(E6146="HI",2,IF(E6146="LO",6,10))+IF(T6146=1,2,IF(D6146=7,1,(IF(WEEKDAY(B6146)=1,2,IF(WEEKDAY(B6146)=7,1,0))))))</f>
        <v>3</v>
      </c>
      <c r="V6146" s="328">
        <f>VLOOKUP(C6146,METADATA!$A$5:$H$29,IF(E6146="HI",2,IF(E6146="LO",6,10))+IF(T6146=1,2,IF(D6146=7,1,(IF(WEEKDAY(B6146)=1,2,IF(WEEKDAY(B6146)=7,1,0))))))</f>
        <v>3</v>
      </c>
    </row>
    <row r="6147" spans="2:22">
      <c r="B6147" s="318">
        <f t="shared" si="383"/>
        <v>46368</v>
      </c>
      <c r="C6147" s="312">
        <v>23</v>
      </c>
      <c r="D6147" s="368">
        <f>IFERROR((INDEX(METADATA!$T$2:$T$20,MATCH(B6147,METADATA!$S$2:$S$20,0))),0)</f>
        <v>0</v>
      </c>
      <c r="E6147" s="312" t="str">
        <f t="shared" si="380"/>
        <v>LO</v>
      </c>
      <c r="F6147" s="369">
        <f>VLOOKUP(C6147,METADATA!$A$5:$H$29,IF(E6147="HI",2,IF(E6147="LO",6,10))+IF(D6147=1,2,IF(D6147=7,1,(IF(WEEKDAY(B6147)=1,2,IF(WEEKDAY(B6147)=7,1,0))))))</f>
        <v>3</v>
      </c>
      <c r="G6147" s="369">
        <f>VLOOKUP(C6147,METADATA!$J$5:$Q$29,IF(E6147="HI",2,IF(E6147="LO",6,10))+IF(D6147=1,2,IF(D6147=7,1,(IF(WEEKDAY(B6147)=1,2,IF(WEEKDAY(B6147)=7,1,0))))))</f>
        <v>3</v>
      </c>
      <c r="H6147" s="370">
        <v>13140.750610351563</v>
      </c>
      <c r="I6147" s="370">
        <v>4070.1400146484375</v>
      </c>
      <c r="M6147" s="371">
        <f t="shared" si="381"/>
        <v>13756.648078012948</v>
      </c>
      <c r="N6147" s="329">
        <f t="shared" si="382"/>
        <v>127.91483154296884</v>
      </c>
      <c r="T6147" s="331">
        <v>0</v>
      </c>
      <c r="U6147" s="328">
        <f>VLOOKUP(C6147,METADATA!$J$5:$Q$29,IF(E6147="HI",2,IF(E6147="LO",6,10))+IF(T6147=1,2,IF(D6147=7,1,(IF(WEEKDAY(B6147)=1,2,IF(WEEKDAY(B6147)=7,1,0))))))</f>
        <v>3</v>
      </c>
      <c r="V6147" s="328">
        <f>VLOOKUP(C6147,METADATA!$A$5:$H$29,IF(E6147="HI",2,IF(E6147="LO",6,10))+IF(T6147=1,2,IF(D6147=7,1,(IF(WEEKDAY(B6147)=1,2,IF(WEEKDAY(B6147)=7,1,0))))))</f>
        <v>3</v>
      </c>
    </row>
    <row r="6148" spans="2:22">
      <c r="B6148" s="318">
        <f t="shared" si="383"/>
        <v>46369</v>
      </c>
      <c r="C6148" s="312">
        <v>0</v>
      </c>
      <c r="D6148" s="368">
        <f>IFERROR((INDEX(METADATA!$T$2:$T$20,MATCH(B6148,METADATA!$S$2:$S$20,0))),0)</f>
        <v>0</v>
      </c>
      <c r="E6148" s="312" t="str">
        <f t="shared" ref="E6148:E6211" si="384">IF(B6148="","",IF(AND(MONTH(B6148)&gt;=MONTH($Z$9),MONTH(B6148)&lt;=MONTH($Z$11)),"HI","LO"))</f>
        <v>LO</v>
      </c>
      <c r="F6148" s="369">
        <f>VLOOKUP(C6148,METADATA!$A$5:$H$29,IF(E6148="HI",2,IF(E6148="LO",6,10))+IF(D6148=1,2,IF(D6148=7,1,(IF(WEEKDAY(B6148)=1,2,IF(WEEKDAY(B6148)=7,1,0))))))</f>
        <v>3</v>
      </c>
      <c r="G6148" s="369">
        <f>VLOOKUP(C6148,METADATA!$J$5:$Q$29,IF(E6148="HI",2,IF(E6148="LO",6,10))+IF(D6148=1,2,IF(D6148=7,1,(IF(WEEKDAY(B6148)=1,2,IF(WEEKDAY(B6148)=7,1,0))))))</f>
        <v>3</v>
      </c>
      <c r="H6148" s="370">
        <v>13140.9501953125</v>
      </c>
      <c r="I6148" s="370">
        <v>4153.0549011230469</v>
      </c>
      <c r="M6148" s="371">
        <f t="shared" ref="M6148:M6211" si="385">SQRT(H6148^2+I6148^2)</f>
        <v>13781.597768307774</v>
      </c>
      <c r="N6148" s="329">
        <f t="shared" ref="N6148:N6211" si="386">IF(H6148=0,0,(IF(I6148-(0.3*H6148)&lt;0,0,(I6148-(0.3*H6148)))))</f>
        <v>210.76984252929697</v>
      </c>
      <c r="T6148" s="331">
        <v>0</v>
      </c>
      <c r="U6148" s="328">
        <f>VLOOKUP(C6148,METADATA!$J$5:$Q$29,IF(E6148="HI",2,IF(E6148="LO",6,10))+IF(T6148=1,2,IF(D6148=7,1,(IF(WEEKDAY(B6148)=1,2,IF(WEEKDAY(B6148)=7,1,0))))))</f>
        <v>3</v>
      </c>
      <c r="V6148" s="328">
        <f>VLOOKUP(C6148,METADATA!$A$5:$H$29,IF(E6148="HI",2,IF(E6148="LO",6,10))+IF(T6148=1,2,IF(D6148=7,1,(IF(WEEKDAY(B6148)=1,2,IF(WEEKDAY(B6148)=7,1,0))))))</f>
        <v>3</v>
      </c>
    </row>
    <row r="6149" spans="2:22">
      <c r="B6149" s="318">
        <f t="shared" si="383"/>
        <v>46369</v>
      </c>
      <c r="C6149" s="312">
        <v>1</v>
      </c>
      <c r="D6149" s="368">
        <f>IFERROR((INDEX(METADATA!$T$2:$T$20,MATCH(B6149,METADATA!$S$2:$S$20,0))),0)</f>
        <v>0</v>
      </c>
      <c r="E6149" s="312" t="str">
        <f t="shared" si="384"/>
        <v>LO</v>
      </c>
      <c r="F6149" s="369">
        <f>VLOOKUP(C6149,METADATA!$A$5:$H$29,IF(E6149="HI",2,IF(E6149="LO",6,10))+IF(D6149=1,2,IF(D6149=7,1,(IF(WEEKDAY(B6149)=1,2,IF(WEEKDAY(B6149)=7,1,0))))))</f>
        <v>3</v>
      </c>
      <c r="G6149" s="369">
        <f>VLOOKUP(C6149,METADATA!$J$5:$Q$29,IF(E6149="HI",2,IF(E6149="LO",6,10))+IF(D6149=1,2,IF(D6149=7,1,(IF(WEEKDAY(B6149)=1,2,IF(WEEKDAY(B6149)=7,1,0))))))</f>
        <v>3</v>
      </c>
      <c r="H6149" s="370">
        <v>13157.962280273438</v>
      </c>
      <c r="I6149" s="370">
        <v>4159.3749694824219</v>
      </c>
      <c r="M6149" s="371">
        <f t="shared" si="385"/>
        <v>13799.723602516662</v>
      </c>
      <c r="N6149" s="329">
        <f t="shared" si="386"/>
        <v>211.9862854003909</v>
      </c>
      <c r="T6149" s="331">
        <v>0</v>
      </c>
      <c r="U6149" s="328">
        <f>VLOOKUP(C6149,METADATA!$J$5:$Q$29,IF(E6149="HI",2,IF(E6149="LO",6,10))+IF(T6149=1,2,IF(D6149=7,1,(IF(WEEKDAY(B6149)=1,2,IF(WEEKDAY(B6149)=7,1,0))))))</f>
        <v>3</v>
      </c>
      <c r="V6149" s="328">
        <f>VLOOKUP(C6149,METADATA!$A$5:$H$29,IF(E6149="HI",2,IF(E6149="LO",6,10))+IF(T6149=1,2,IF(D6149=7,1,(IF(WEEKDAY(B6149)=1,2,IF(WEEKDAY(B6149)=7,1,0))))))</f>
        <v>3</v>
      </c>
    </row>
    <row r="6150" spans="2:22">
      <c r="B6150" s="318">
        <f t="shared" si="383"/>
        <v>46369</v>
      </c>
      <c r="C6150" s="312">
        <v>2</v>
      </c>
      <c r="D6150" s="368">
        <f>IFERROR((INDEX(METADATA!$T$2:$T$20,MATCH(B6150,METADATA!$S$2:$S$20,0))),0)</f>
        <v>0</v>
      </c>
      <c r="E6150" s="312" t="str">
        <f t="shared" si="384"/>
        <v>LO</v>
      </c>
      <c r="F6150" s="369">
        <f>VLOOKUP(C6150,METADATA!$A$5:$H$29,IF(E6150="HI",2,IF(E6150="LO",6,10))+IF(D6150=1,2,IF(D6150=7,1,(IF(WEEKDAY(B6150)=1,2,IF(WEEKDAY(B6150)=7,1,0))))))</f>
        <v>3</v>
      </c>
      <c r="G6150" s="369">
        <f>VLOOKUP(C6150,METADATA!$J$5:$Q$29,IF(E6150="HI",2,IF(E6150="LO",6,10))+IF(D6150=1,2,IF(D6150=7,1,(IF(WEEKDAY(B6150)=1,2,IF(WEEKDAY(B6150)=7,1,0))))))</f>
        <v>3</v>
      </c>
      <c r="H6150" s="370">
        <v>13055.674865722656</v>
      </c>
      <c r="I6150" s="370">
        <v>4105.300048828125</v>
      </c>
      <c r="M6150" s="371">
        <f t="shared" si="385"/>
        <v>13685.910078996227</v>
      </c>
      <c r="N6150" s="329">
        <f t="shared" si="386"/>
        <v>188.59758911132849</v>
      </c>
      <c r="T6150" s="331">
        <v>0</v>
      </c>
      <c r="U6150" s="328">
        <f>VLOOKUP(C6150,METADATA!$J$5:$Q$29,IF(E6150="HI",2,IF(E6150="LO",6,10))+IF(T6150=1,2,IF(D6150=7,1,(IF(WEEKDAY(B6150)=1,2,IF(WEEKDAY(B6150)=7,1,0))))))</f>
        <v>3</v>
      </c>
      <c r="V6150" s="328">
        <f>VLOOKUP(C6150,METADATA!$A$5:$H$29,IF(E6150="HI",2,IF(E6150="LO",6,10))+IF(T6150=1,2,IF(D6150=7,1,(IF(WEEKDAY(B6150)=1,2,IF(WEEKDAY(B6150)=7,1,0))))))</f>
        <v>3</v>
      </c>
    </row>
    <row r="6151" spans="2:22">
      <c r="B6151" s="318">
        <f t="shared" si="383"/>
        <v>46369</v>
      </c>
      <c r="C6151" s="312">
        <v>3</v>
      </c>
      <c r="D6151" s="368">
        <f>IFERROR((INDEX(METADATA!$T$2:$T$20,MATCH(B6151,METADATA!$S$2:$S$20,0))),0)</f>
        <v>0</v>
      </c>
      <c r="E6151" s="312" t="str">
        <f t="shared" si="384"/>
        <v>LO</v>
      </c>
      <c r="F6151" s="369">
        <f>VLOOKUP(C6151,METADATA!$A$5:$H$29,IF(E6151="HI",2,IF(E6151="LO",6,10))+IF(D6151=1,2,IF(D6151=7,1,(IF(WEEKDAY(B6151)=1,2,IF(WEEKDAY(B6151)=7,1,0))))))</f>
        <v>3</v>
      </c>
      <c r="G6151" s="369">
        <f>VLOOKUP(C6151,METADATA!$J$5:$Q$29,IF(E6151="HI",2,IF(E6151="LO",6,10))+IF(D6151=1,2,IF(D6151=7,1,(IF(WEEKDAY(B6151)=1,2,IF(WEEKDAY(B6151)=7,1,0))))))</f>
        <v>3</v>
      </c>
      <c r="H6151" s="370">
        <v>13236.750061035156</v>
      </c>
      <c r="I6151" s="370">
        <v>4077.1649780273438</v>
      </c>
      <c r="M6151" s="371">
        <f t="shared" si="385"/>
        <v>13850.444990554162</v>
      </c>
      <c r="N6151" s="329">
        <f t="shared" si="386"/>
        <v>106.13995971679697</v>
      </c>
      <c r="T6151" s="331">
        <v>0</v>
      </c>
      <c r="U6151" s="328">
        <f>VLOOKUP(C6151,METADATA!$J$5:$Q$29,IF(E6151="HI",2,IF(E6151="LO",6,10))+IF(T6151=1,2,IF(D6151=7,1,(IF(WEEKDAY(B6151)=1,2,IF(WEEKDAY(B6151)=7,1,0))))))</f>
        <v>3</v>
      </c>
      <c r="V6151" s="328">
        <f>VLOOKUP(C6151,METADATA!$A$5:$H$29,IF(E6151="HI",2,IF(E6151="LO",6,10))+IF(T6151=1,2,IF(D6151=7,1,(IF(WEEKDAY(B6151)=1,2,IF(WEEKDAY(B6151)=7,1,0))))))</f>
        <v>3</v>
      </c>
    </row>
    <row r="6152" spans="2:22">
      <c r="B6152" s="318">
        <f t="shared" si="383"/>
        <v>46369</v>
      </c>
      <c r="C6152" s="312">
        <v>4</v>
      </c>
      <c r="D6152" s="368">
        <f>IFERROR((INDEX(METADATA!$T$2:$T$20,MATCH(B6152,METADATA!$S$2:$S$20,0))),0)</f>
        <v>0</v>
      </c>
      <c r="E6152" s="312" t="str">
        <f t="shared" si="384"/>
        <v>LO</v>
      </c>
      <c r="F6152" s="369">
        <f>VLOOKUP(C6152,METADATA!$A$5:$H$29,IF(E6152="HI",2,IF(E6152="LO",6,10))+IF(D6152=1,2,IF(D6152=7,1,(IF(WEEKDAY(B6152)=1,2,IF(WEEKDAY(B6152)=7,1,0))))))</f>
        <v>3</v>
      </c>
      <c r="G6152" s="369">
        <f>VLOOKUP(C6152,METADATA!$J$5:$Q$29,IF(E6152="HI",2,IF(E6152="LO",6,10))+IF(D6152=1,2,IF(D6152=7,1,(IF(WEEKDAY(B6152)=1,2,IF(WEEKDAY(B6152)=7,1,0))))))</f>
        <v>3</v>
      </c>
      <c r="H6152" s="370">
        <v>13066.550109863281</v>
      </c>
      <c r="I6152" s="370">
        <v>4024.8349304199219</v>
      </c>
      <c r="M6152" s="371">
        <f t="shared" si="385"/>
        <v>13672.381942832655</v>
      </c>
      <c r="N6152" s="329">
        <f t="shared" si="386"/>
        <v>104.86989746093786</v>
      </c>
      <c r="T6152" s="331">
        <v>0</v>
      </c>
      <c r="U6152" s="328">
        <f>VLOOKUP(C6152,METADATA!$J$5:$Q$29,IF(E6152="HI",2,IF(E6152="LO",6,10))+IF(T6152=1,2,IF(D6152=7,1,(IF(WEEKDAY(B6152)=1,2,IF(WEEKDAY(B6152)=7,1,0))))))</f>
        <v>3</v>
      </c>
      <c r="V6152" s="328">
        <f>VLOOKUP(C6152,METADATA!$A$5:$H$29,IF(E6152="HI",2,IF(E6152="LO",6,10))+IF(T6152=1,2,IF(D6152=7,1,(IF(WEEKDAY(B6152)=1,2,IF(WEEKDAY(B6152)=7,1,0))))))</f>
        <v>3</v>
      </c>
    </row>
    <row r="6153" spans="2:22">
      <c r="B6153" s="318">
        <f t="shared" si="383"/>
        <v>46369</v>
      </c>
      <c r="C6153" s="312">
        <v>5</v>
      </c>
      <c r="D6153" s="368">
        <f>IFERROR((INDEX(METADATA!$T$2:$T$20,MATCH(B6153,METADATA!$S$2:$S$20,0))),0)</f>
        <v>0</v>
      </c>
      <c r="E6153" s="312" t="str">
        <f t="shared" si="384"/>
        <v>LO</v>
      </c>
      <c r="F6153" s="369">
        <f>VLOOKUP(C6153,METADATA!$A$5:$H$29,IF(E6153="HI",2,IF(E6153="LO",6,10))+IF(D6153=1,2,IF(D6153=7,1,(IF(WEEKDAY(B6153)=1,2,IF(WEEKDAY(B6153)=7,1,0))))))</f>
        <v>3</v>
      </c>
      <c r="G6153" s="369">
        <f>VLOOKUP(C6153,METADATA!$J$5:$Q$29,IF(E6153="HI",2,IF(E6153="LO",6,10))+IF(D6153=1,2,IF(D6153=7,1,(IF(WEEKDAY(B6153)=1,2,IF(WEEKDAY(B6153)=7,1,0))))))</f>
        <v>3</v>
      </c>
      <c r="H6153" s="370">
        <v>12973.600280761719</v>
      </c>
      <c r="I6153" s="370">
        <v>3989.4349365234375</v>
      </c>
      <c r="M6153" s="371">
        <f t="shared" si="385"/>
        <v>13573.13137627918</v>
      </c>
      <c r="N6153" s="329">
        <f t="shared" si="386"/>
        <v>97.354852294922239</v>
      </c>
      <c r="T6153" s="331">
        <v>0</v>
      </c>
      <c r="U6153" s="328">
        <f>VLOOKUP(C6153,METADATA!$J$5:$Q$29,IF(E6153="HI",2,IF(E6153="LO",6,10))+IF(T6153=1,2,IF(D6153=7,1,(IF(WEEKDAY(B6153)=1,2,IF(WEEKDAY(B6153)=7,1,0))))))</f>
        <v>3</v>
      </c>
      <c r="V6153" s="328">
        <f>VLOOKUP(C6153,METADATA!$A$5:$H$29,IF(E6153="HI",2,IF(E6153="LO",6,10))+IF(T6153=1,2,IF(D6153=7,1,(IF(WEEKDAY(B6153)=1,2,IF(WEEKDAY(B6153)=7,1,0))))))</f>
        <v>3</v>
      </c>
    </row>
    <row r="6154" spans="2:22">
      <c r="B6154" s="318">
        <f t="shared" si="383"/>
        <v>46369</v>
      </c>
      <c r="C6154" s="312">
        <v>6</v>
      </c>
      <c r="D6154" s="368">
        <f>IFERROR((INDEX(METADATA!$T$2:$T$20,MATCH(B6154,METADATA!$S$2:$S$20,0))),0)</f>
        <v>0</v>
      </c>
      <c r="E6154" s="312" t="str">
        <f t="shared" si="384"/>
        <v>LO</v>
      </c>
      <c r="F6154" s="369">
        <f>VLOOKUP(C6154,METADATA!$A$5:$H$29,IF(E6154="HI",2,IF(E6154="LO",6,10))+IF(D6154=1,2,IF(D6154=7,1,(IF(WEEKDAY(B6154)=1,2,IF(WEEKDAY(B6154)=7,1,0))))))</f>
        <v>3</v>
      </c>
      <c r="G6154" s="369">
        <f>VLOOKUP(C6154,METADATA!$J$5:$Q$29,IF(E6154="HI",2,IF(E6154="LO",6,10))+IF(D6154=1,2,IF(D6154=7,1,(IF(WEEKDAY(B6154)=1,2,IF(WEEKDAY(B6154)=7,1,0))))))</f>
        <v>3</v>
      </c>
      <c r="H6154" s="370">
        <v>12539.949768066406</v>
      </c>
      <c r="I6154" s="370">
        <v>3505.1749877929688</v>
      </c>
      <c r="M6154" s="371">
        <f t="shared" si="385"/>
        <v>13020.621793166336</v>
      </c>
      <c r="N6154" s="329">
        <f t="shared" si="386"/>
        <v>0</v>
      </c>
      <c r="T6154" s="331">
        <v>0</v>
      </c>
      <c r="U6154" s="328">
        <f>VLOOKUP(C6154,METADATA!$J$5:$Q$29,IF(E6154="HI",2,IF(E6154="LO",6,10))+IF(T6154=1,2,IF(D6154=7,1,(IF(WEEKDAY(B6154)=1,2,IF(WEEKDAY(B6154)=7,1,0))))))</f>
        <v>3</v>
      </c>
      <c r="V6154" s="328">
        <f>VLOOKUP(C6154,METADATA!$A$5:$H$29,IF(E6154="HI",2,IF(E6154="LO",6,10))+IF(T6154=1,2,IF(D6154=7,1,(IF(WEEKDAY(B6154)=1,2,IF(WEEKDAY(B6154)=7,1,0))))))</f>
        <v>3</v>
      </c>
    </row>
    <row r="6155" spans="2:22">
      <c r="B6155" s="318">
        <f t="shared" si="383"/>
        <v>46369</v>
      </c>
      <c r="C6155" s="312">
        <v>7</v>
      </c>
      <c r="D6155" s="368">
        <f>IFERROR((INDEX(METADATA!$T$2:$T$20,MATCH(B6155,METADATA!$S$2:$S$20,0))),0)</f>
        <v>0</v>
      </c>
      <c r="E6155" s="312" t="str">
        <f t="shared" si="384"/>
        <v>LO</v>
      </c>
      <c r="F6155" s="369">
        <f>VLOOKUP(C6155,METADATA!$A$5:$H$29,IF(E6155="HI",2,IF(E6155="LO",6,10))+IF(D6155=1,2,IF(D6155=7,1,(IF(WEEKDAY(B6155)=1,2,IF(WEEKDAY(B6155)=7,1,0))))))</f>
        <v>3</v>
      </c>
      <c r="G6155" s="369">
        <f>VLOOKUP(C6155,METADATA!$J$5:$Q$29,IF(E6155="HI",2,IF(E6155="LO",6,10))+IF(D6155=1,2,IF(D6155=7,1,(IF(WEEKDAY(B6155)=1,2,IF(WEEKDAY(B6155)=7,1,0))))))</f>
        <v>3</v>
      </c>
      <c r="H6155" s="370">
        <v>12352.150268554688</v>
      </c>
      <c r="I6155" s="370">
        <v>3119.9499816894531</v>
      </c>
      <c r="M6155" s="371">
        <f t="shared" si="385"/>
        <v>12740.082579999224</v>
      </c>
      <c r="N6155" s="329">
        <f t="shared" si="386"/>
        <v>0</v>
      </c>
      <c r="T6155" s="331">
        <v>0</v>
      </c>
      <c r="U6155" s="328">
        <f>VLOOKUP(C6155,METADATA!$J$5:$Q$29,IF(E6155="HI",2,IF(E6155="LO",6,10))+IF(T6155=1,2,IF(D6155=7,1,(IF(WEEKDAY(B6155)=1,2,IF(WEEKDAY(B6155)=7,1,0))))))</f>
        <v>3</v>
      </c>
      <c r="V6155" s="328">
        <f>VLOOKUP(C6155,METADATA!$A$5:$H$29,IF(E6155="HI",2,IF(E6155="LO",6,10))+IF(T6155=1,2,IF(D6155=7,1,(IF(WEEKDAY(B6155)=1,2,IF(WEEKDAY(B6155)=7,1,0))))))</f>
        <v>3</v>
      </c>
    </row>
    <row r="6156" spans="2:22">
      <c r="B6156" s="318">
        <f t="shared" si="383"/>
        <v>46369</v>
      </c>
      <c r="C6156" s="312">
        <v>8</v>
      </c>
      <c r="D6156" s="368">
        <f>IFERROR((INDEX(METADATA!$T$2:$T$20,MATCH(B6156,METADATA!$S$2:$S$20,0))),0)</f>
        <v>0</v>
      </c>
      <c r="E6156" s="312" t="str">
        <f t="shared" si="384"/>
        <v>LO</v>
      </c>
      <c r="F6156" s="369">
        <f>VLOOKUP(C6156,METADATA!$A$5:$H$29,IF(E6156="HI",2,IF(E6156="LO",6,10))+IF(D6156=1,2,IF(D6156=7,1,(IF(WEEKDAY(B6156)=1,2,IF(WEEKDAY(B6156)=7,1,0))))))</f>
        <v>3</v>
      </c>
      <c r="G6156" s="369">
        <f>VLOOKUP(C6156,METADATA!$J$5:$Q$29,IF(E6156="HI",2,IF(E6156="LO",6,10))+IF(D6156=1,2,IF(D6156=7,1,(IF(WEEKDAY(B6156)=1,2,IF(WEEKDAY(B6156)=7,1,0))))))</f>
        <v>3</v>
      </c>
      <c r="H6156" s="370">
        <v>11920.600219726563</v>
      </c>
      <c r="I6156" s="370">
        <v>2935.0800323486328</v>
      </c>
      <c r="M6156" s="371">
        <f t="shared" si="385"/>
        <v>12276.620235017315</v>
      </c>
      <c r="N6156" s="329">
        <f t="shared" si="386"/>
        <v>0</v>
      </c>
      <c r="T6156" s="331">
        <v>0</v>
      </c>
      <c r="U6156" s="328">
        <f>VLOOKUP(C6156,METADATA!$J$5:$Q$29,IF(E6156="HI",2,IF(E6156="LO",6,10))+IF(T6156=1,2,IF(D6156=7,1,(IF(WEEKDAY(B6156)=1,2,IF(WEEKDAY(B6156)=7,1,0))))))</f>
        <v>3</v>
      </c>
      <c r="V6156" s="328">
        <f>VLOOKUP(C6156,METADATA!$A$5:$H$29,IF(E6156="HI",2,IF(E6156="LO",6,10))+IF(T6156=1,2,IF(D6156=7,1,(IF(WEEKDAY(B6156)=1,2,IF(WEEKDAY(B6156)=7,1,0))))))</f>
        <v>3</v>
      </c>
    </row>
    <row r="6157" spans="2:22">
      <c r="B6157" s="318">
        <f t="shared" si="383"/>
        <v>46369</v>
      </c>
      <c r="C6157" s="312">
        <v>9</v>
      </c>
      <c r="D6157" s="368">
        <f>IFERROR((INDEX(METADATA!$T$2:$T$20,MATCH(B6157,METADATA!$S$2:$S$20,0))),0)</f>
        <v>0</v>
      </c>
      <c r="E6157" s="312" t="str">
        <f t="shared" si="384"/>
        <v>LO</v>
      </c>
      <c r="F6157" s="369">
        <f>VLOOKUP(C6157,METADATA!$A$5:$H$29,IF(E6157="HI",2,IF(E6157="LO",6,10))+IF(D6157=1,2,IF(D6157=7,1,(IF(WEEKDAY(B6157)=1,2,IF(WEEKDAY(B6157)=7,1,0))))))</f>
        <v>3</v>
      </c>
      <c r="G6157" s="369">
        <f>VLOOKUP(C6157,METADATA!$J$5:$Q$29,IF(E6157="HI",2,IF(E6157="LO",6,10))+IF(D6157=1,2,IF(D6157=7,1,(IF(WEEKDAY(B6157)=1,2,IF(WEEKDAY(B6157)=7,1,0))))))</f>
        <v>3</v>
      </c>
      <c r="H6157" s="370">
        <v>5582.5250854492188</v>
      </c>
      <c r="I6157" s="370">
        <v>2110.2775573730469</v>
      </c>
      <c r="M6157" s="371">
        <f t="shared" si="385"/>
        <v>5968.0698470126972</v>
      </c>
      <c r="N6157" s="329">
        <f t="shared" si="386"/>
        <v>435.5200317382812</v>
      </c>
      <c r="T6157" s="331">
        <v>0</v>
      </c>
      <c r="U6157" s="328">
        <f>VLOOKUP(C6157,METADATA!$J$5:$Q$29,IF(E6157="HI",2,IF(E6157="LO",6,10))+IF(T6157=1,2,IF(D6157=7,1,(IF(WEEKDAY(B6157)=1,2,IF(WEEKDAY(B6157)=7,1,0))))))</f>
        <v>3</v>
      </c>
      <c r="V6157" s="328">
        <f>VLOOKUP(C6157,METADATA!$A$5:$H$29,IF(E6157="HI",2,IF(E6157="LO",6,10))+IF(T6157=1,2,IF(D6157=7,1,(IF(WEEKDAY(B6157)=1,2,IF(WEEKDAY(B6157)=7,1,0))))))</f>
        <v>3</v>
      </c>
    </row>
    <row r="6158" spans="2:22">
      <c r="B6158" s="318">
        <f t="shared" si="383"/>
        <v>46369</v>
      </c>
      <c r="C6158" s="312">
        <v>10</v>
      </c>
      <c r="D6158" s="368">
        <f>IFERROR((INDEX(METADATA!$T$2:$T$20,MATCH(B6158,METADATA!$S$2:$S$20,0))),0)</f>
        <v>0</v>
      </c>
      <c r="E6158" s="312" t="str">
        <f t="shared" si="384"/>
        <v>LO</v>
      </c>
      <c r="F6158" s="369">
        <f>VLOOKUP(C6158,METADATA!$A$5:$H$29,IF(E6158="HI",2,IF(E6158="LO",6,10))+IF(D6158=1,2,IF(D6158=7,1,(IF(WEEKDAY(B6158)=1,2,IF(WEEKDAY(B6158)=7,1,0))))))</f>
        <v>3</v>
      </c>
      <c r="G6158" s="369">
        <f>VLOOKUP(C6158,METADATA!$J$5:$Q$29,IF(E6158="HI",2,IF(E6158="LO",6,10))+IF(D6158=1,2,IF(D6158=7,1,(IF(WEEKDAY(B6158)=1,2,IF(WEEKDAY(B6158)=7,1,0))))))</f>
        <v>3</v>
      </c>
      <c r="H6158" s="370">
        <v>4819.3274841308594</v>
      </c>
      <c r="I6158" s="370">
        <v>1349.8324938938022</v>
      </c>
      <c r="M6158" s="371">
        <f t="shared" si="385"/>
        <v>5004.7942176347906</v>
      </c>
      <c r="N6158" s="329">
        <f t="shared" si="386"/>
        <v>0</v>
      </c>
      <c r="T6158" s="331">
        <v>0</v>
      </c>
      <c r="U6158" s="328">
        <f>VLOOKUP(C6158,METADATA!$J$5:$Q$29,IF(E6158="HI",2,IF(E6158="LO",6,10))+IF(T6158=1,2,IF(D6158=7,1,(IF(WEEKDAY(B6158)=1,2,IF(WEEKDAY(B6158)=7,1,0))))))</f>
        <v>3</v>
      </c>
      <c r="V6158" s="328">
        <f>VLOOKUP(C6158,METADATA!$A$5:$H$29,IF(E6158="HI",2,IF(E6158="LO",6,10))+IF(T6158=1,2,IF(D6158=7,1,(IF(WEEKDAY(B6158)=1,2,IF(WEEKDAY(B6158)=7,1,0))))))</f>
        <v>3</v>
      </c>
    </row>
    <row r="6159" spans="2:22">
      <c r="B6159" s="318">
        <f t="shared" si="383"/>
        <v>46369</v>
      </c>
      <c r="C6159" s="312">
        <v>11</v>
      </c>
      <c r="D6159" s="368">
        <f>IFERROR((INDEX(METADATA!$T$2:$T$20,MATCH(B6159,METADATA!$S$2:$S$20,0))),0)</f>
        <v>0</v>
      </c>
      <c r="E6159" s="312" t="str">
        <f t="shared" si="384"/>
        <v>LO</v>
      </c>
      <c r="F6159" s="369">
        <f>VLOOKUP(C6159,METADATA!$A$5:$H$29,IF(E6159="HI",2,IF(E6159="LO",6,10))+IF(D6159=1,2,IF(D6159=7,1,(IF(WEEKDAY(B6159)=1,2,IF(WEEKDAY(B6159)=7,1,0))))))</f>
        <v>3</v>
      </c>
      <c r="G6159" s="369">
        <f>VLOOKUP(C6159,METADATA!$J$5:$Q$29,IF(E6159="HI",2,IF(E6159="LO",6,10))+IF(D6159=1,2,IF(D6159=7,1,(IF(WEEKDAY(B6159)=1,2,IF(WEEKDAY(B6159)=7,1,0))))))</f>
        <v>3</v>
      </c>
      <c r="H6159" s="370">
        <v>9846.8551025390625</v>
      </c>
      <c r="I6159" s="370">
        <v>1678.0525074005127</v>
      </c>
      <c r="M6159" s="371">
        <f t="shared" si="385"/>
        <v>9988.8145256578227</v>
      </c>
      <c r="N6159" s="329">
        <f t="shared" si="386"/>
        <v>0</v>
      </c>
      <c r="T6159" s="331">
        <v>0</v>
      </c>
      <c r="U6159" s="328">
        <f>VLOOKUP(C6159,METADATA!$J$5:$Q$29,IF(E6159="HI",2,IF(E6159="LO",6,10))+IF(T6159=1,2,IF(D6159=7,1,(IF(WEEKDAY(B6159)=1,2,IF(WEEKDAY(B6159)=7,1,0))))))</f>
        <v>3</v>
      </c>
      <c r="V6159" s="328">
        <f>VLOOKUP(C6159,METADATA!$A$5:$H$29,IF(E6159="HI",2,IF(E6159="LO",6,10))+IF(T6159=1,2,IF(D6159=7,1,(IF(WEEKDAY(B6159)=1,2,IF(WEEKDAY(B6159)=7,1,0))))))</f>
        <v>3</v>
      </c>
    </row>
    <row r="6160" spans="2:22">
      <c r="B6160" s="318">
        <f t="shared" si="383"/>
        <v>46369</v>
      </c>
      <c r="C6160" s="312">
        <v>12</v>
      </c>
      <c r="D6160" s="368">
        <f>IFERROR((INDEX(METADATA!$T$2:$T$20,MATCH(B6160,METADATA!$S$2:$S$20,0))),0)</f>
        <v>0</v>
      </c>
      <c r="E6160" s="312" t="str">
        <f t="shared" si="384"/>
        <v>LO</v>
      </c>
      <c r="F6160" s="369">
        <f>VLOOKUP(C6160,METADATA!$A$5:$H$29,IF(E6160="HI",2,IF(E6160="LO",6,10))+IF(D6160=1,2,IF(D6160=7,1,(IF(WEEKDAY(B6160)=1,2,IF(WEEKDAY(B6160)=7,1,0))))))</f>
        <v>3</v>
      </c>
      <c r="G6160" s="369">
        <f>VLOOKUP(C6160,METADATA!$J$5:$Q$29,IF(E6160="HI",2,IF(E6160="LO",6,10))+IF(D6160=1,2,IF(D6160=7,1,(IF(WEEKDAY(B6160)=1,2,IF(WEEKDAY(B6160)=7,1,0))))))</f>
        <v>3</v>
      </c>
      <c r="H6160" s="370">
        <v>11735.224853515625</v>
      </c>
      <c r="I6160" s="370">
        <v>2643.8500366210938</v>
      </c>
      <c r="M6160" s="371">
        <f t="shared" si="385"/>
        <v>12029.357646138558</v>
      </c>
      <c r="N6160" s="329">
        <f t="shared" si="386"/>
        <v>0</v>
      </c>
      <c r="T6160" s="331">
        <v>0</v>
      </c>
      <c r="U6160" s="328">
        <f>VLOOKUP(C6160,METADATA!$J$5:$Q$29,IF(E6160="HI",2,IF(E6160="LO",6,10))+IF(T6160=1,2,IF(D6160=7,1,(IF(WEEKDAY(B6160)=1,2,IF(WEEKDAY(B6160)=7,1,0))))))</f>
        <v>3</v>
      </c>
      <c r="V6160" s="328">
        <f>VLOOKUP(C6160,METADATA!$A$5:$H$29,IF(E6160="HI",2,IF(E6160="LO",6,10))+IF(T6160=1,2,IF(D6160=7,1,(IF(WEEKDAY(B6160)=1,2,IF(WEEKDAY(B6160)=7,1,0))))))</f>
        <v>3</v>
      </c>
    </row>
    <row r="6161" spans="2:22">
      <c r="B6161" s="318">
        <f t="shared" si="383"/>
        <v>46369</v>
      </c>
      <c r="C6161" s="312">
        <v>13</v>
      </c>
      <c r="D6161" s="368">
        <f>IFERROR((INDEX(METADATA!$T$2:$T$20,MATCH(B6161,METADATA!$S$2:$S$20,0))),0)</f>
        <v>0</v>
      </c>
      <c r="E6161" s="312" t="str">
        <f t="shared" si="384"/>
        <v>LO</v>
      </c>
      <c r="F6161" s="369">
        <f>VLOOKUP(C6161,METADATA!$A$5:$H$29,IF(E6161="HI",2,IF(E6161="LO",6,10))+IF(D6161=1,2,IF(D6161=7,1,(IF(WEEKDAY(B6161)=1,2,IF(WEEKDAY(B6161)=7,1,0))))))</f>
        <v>3</v>
      </c>
      <c r="G6161" s="369">
        <f>VLOOKUP(C6161,METADATA!$J$5:$Q$29,IF(E6161="HI",2,IF(E6161="LO",6,10))+IF(D6161=1,2,IF(D6161=7,1,(IF(WEEKDAY(B6161)=1,2,IF(WEEKDAY(B6161)=7,1,0))))))</f>
        <v>3</v>
      </c>
      <c r="H6161" s="370">
        <v>11876.624938964844</v>
      </c>
      <c r="I6161" s="370">
        <v>2725.584997177124</v>
      </c>
      <c r="M6161" s="371">
        <f t="shared" si="385"/>
        <v>12185.361443866928</v>
      </c>
      <c r="N6161" s="329">
        <f t="shared" si="386"/>
        <v>0</v>
      </c>
      <c r="T6161" s="331">
        <v>0</v>
      </c>
      <c r="U6161" s="328">
        <f>VLOOKUP(C6161,METADATA!$J$5:$Q$29,IF(E6161="HI",2,IF(E6161="LO",6,10))+IF(T6161=1,2,IF(D6161=7,1,(IF(WEEKDAY(B6161)=1,2,IF(WEEKDAY(B6161)=7,1,0))))))</f>
        <v>3</v>
      </c>
      <c r="V6161" s="328">
        <f>VLOOKUP(C6161,METADATA!$A$5:$H$29,IF(E6161="HI",2,IF(E6161="LO",6,10))+IF(T6161=1,2,IF(D6161=7,1,(IF(WEEKDAY(B6161)=1,2,IF(WEEKDAY(B6161)=7,1,0))))))</f>
        <v>3</v>
      </c>
    </row>
    <row r="6162" spans="2:22">
      <c r="B6162" s="318">
        <f t="shared" si="383"/>
        <v>46369</v>
      </c>
      <c r="C6162" s="312">
        <v>14</v>
      </c>
      <c r="D6162" s="368">
        <f>IFERROR((INDEX(METADATA!$T$2:$T$20,MATCH(B6162,METADATA!$S$2:$S$20,0))),0)</f>
        <v>0</v>
      </c>
      <c r="E6162" s="312" t="str">
        <f t="shared" si="384"/>
        <v>LO</v>
      </c>
      <c r="F6162" s="369">
        <f>VLOOKUP(C6162,METADATA!$A$5:$H$29,IF(E6162="HI",2,IF(E6162="LO",6,10))+IF(D6162=1,2,IF(D6162=7,1,(IF(WEEKDAY(B6162)=1,2,IF(WEEKDAY(B6162)=7,1,0))))))</f>
        <v>3</v>
      </c>
      <c r="G6162" s="369">
        <f>VLOOKUP(C6162,METADATA!$J$5:$Q$29,IF(E6162="HI",2,IF(E6162="LO",6,10))+IF(D6162=1,2,IF(D6162=7,1,(IF(WEEKDAY(B6162)=1,2,IF(WEEKDAY(B6162)=7,1,0))))))</f>
        <v>3</v>
      </c>
      <c r="H6162" s="370">
        <v>11918.5</v>
      </c>
      <c r="I6162" s="370">
        <v>2789.5750007629395</v>
      </c>
      <c r="M6162" s="371">
        <f t="shared" si="385"/>
        <v>12240.60337299112</v>
      </c>
      <c r="N6162" s="329">
        <f t="shared" si="386"/>
        <v>0</v>
      </c>
      <c r="T6162" s="331">
        <v>0</v>
      </c>
      <c r="U6162" s="328">
        <f>VLOOKUP(C6162,METADATA!$J$5:$Q$29,IF(E6162="HI",2,IF(E6162="LO",6,10))+IF(T6162=1,2,IF(D6162=7,1,(IF(WEEKDAY(B6162)=1,2,IF(WEEKDAY(B6162)=7,1,0))))))</f>
        <v>3</v>
      </c>
      <c r="V6162" s="328">
        <f>VLOOKUP(C6162,METADATA!$A$5:$H$29,IF(E6162="HI",2,IF(E6162="LO",6,10))+IF(T6162=1,2,IF(D6162=7,1,(IF(WEEKDAY(B6162)=1,2,IF(WEEKDAY(B6162)=7,1,0))))))</f>
        <v>3</v>
      </c>
    </row>
    <row r="6163" spans="2:22">
      <c r="B6163" s="318">
        <f t="shared" si="383"/>
        <v>46369</v>
      </c>
      <c r="C6163" s="312">
        <v>15</v>
      </c>
      <c r="D6163" s="368">
        <f>IFERROR((INDEX(METADATA!$T$2:$T$20,MATCH(B6163,METADATA!$S$2:$S$20,0))),0)</f>
        <v>0</v>
      </c>
      <c r="E6163" s="312" t="str">
        <f t="shared" si="384"/>
        <v>LO</v>
      </c>
      <c r="F6163" s="369">
        <f>VLOOKUP(C6163,METADATA!$A$5:$H$29,IF(E6163="HI",2,IF(E6163="LO",6,10))+IF(D6163=1,2,IF(D6163=7,1,(IF(WEEKDAY(B6163)=1,2,IF(WEEKDAY(B6163)=7,1,0))))))</f>
        <v>3</v>
      </c>
      <c r="G6163" s="369">
        <f>VLOOKUP(C6163,METADATA!$J$5:$Q$29,IF(E6163="HI",2,IF(E6163="LO",6,10))+IF(D6163=1,2,IF(D6163=7,1,(IF(WEEKDAY(B6163)=1,2,IF(WEEKDAY(B6163)=7,1,0))))))</f>
        <v>3</v>
      </c>
      <c r="H6163" s="370">
        <v>11918.77490234375</v>
      </c>
      <c r="I6163" s="370">
        <v>2812.6850357055664</v>
      </c>
      <c r="M6163" s="371">
        <f t="shared" si="385"/>
        <v>12246.158266281769</v>
      </c>
      <c r="N6163" s="329">
        <f t="shared" si="386"/>
        <v>0</v>
      </c>
      <c r="T6163" s="331">
        <v>0</v>
      </c>
      <c r="U6163" s="328">
        <f>VLOOKUP(C6163,METADATA!$J$5:$Q$29,IF(E6163="HI",2,IF(E6163="LO",6,10))+IF(T6163=1,2,IF(D6163=7,1,(IF(WEEKDAY(B6163)=1,2,IF(WEEKDAY(B6163)=7,1,0))))))</f>
        <v>3</v>
      </c>
      <c r="V6163" s="328">
        <f>VLOOKUP(C6163,METADATA!$A$5:$H$29,IF(E6163="HI",2,IF(E6163="LO",6,10))+IF(T6163=1,2,IF(D6163=7,1,(IF(WEEKDAY(B6163)=1,2,IF(WEEKDAY(B6163)=7,1,0))))))</f>
        <v>3</v>
      </c>
    </row>
    <row r="6164" spans="2:22">
      <c r="B6164" s="318">
        <f t="shared" si="383"/>
        <v>46369</v>
      </c>
      <c r="C6164" s="312">
        <v>16</v>
      </c>
      <c r="D6164" s="368">
        <f>IFERROR((INDEX(METADATA!$T$2:$T$20,MATCH(B6164,METADATA!$S$2:$S$20,0))),0)</f>
        <v>0</v>
      </c>
      <c r="E6164" s="312" t="str">
        <f t="shared" si="384"/>
        <v>LO</v>
      </c>
      <c r="F6164" s="369">
        <f>VLOOKUP(C6164,METADATA!$A$5:$H$29,IF(E6164="HI",2,IF(E6164="LO",6,10))+IF(D6164=1,2,IF(D6164=7,1,(IF(WEEKDAY(B6164)=1,2,IF(WEEKDAY(B6164)=7,1,0))))))</f>
        <v>3</v>
      </c>
      <c r="G6164" s="369">
        <f>VLOOKUP(C6164,METADATA!$J$5:$Q$29,IF(E6164="HI",2,IF(E6164="LO",6,10))+IF(D6164=1,2,IF(D6164=7,1,(IF(WEEKDAY(B6164)=1,2,IF(WEEKDAY(B6164)=7,1,0))))))</f>
        <v>3</v>
      </c>
      <c r="H6164" s="370">
        <v>11964.350036621094</v>
      </c>
      <c r="I6164" s="370">
        <v>2867.5399894714355</v>
      </c>
      <c r="M6164" s="371">
        <f t="shared" si="385"/>
        <v>12303.18891141695</v>
      </c>
      <c r="N6164" s="329">
        <f t="shared" si="386"/>
        <v>0</v>
      </c>
      <c r="T6164" s="331">
        <v>0</v>
      </c>
      <c r="U6164" s="328">
        <f>VLOOKUP(C6164,METADATA!$J$5:$Q$29,IF(E6164="HI",2,IF(E6164="LO",6,10))+IF(T6164=1,2,IF(D6164=7,1,(IF(WEEKDAY(B6164)=1,2,IF(WEEKDAY(B6164)=7,1,0))))))</f>
        <v>3</v>
      </c>
      <c r="V6164" s="328">
        <f>VLOOKUP(C6164,METADATA!$A$5:$H$29,IF(E6164="HI",2,IF(E6164="LO",6,10))+IF(T6164=1,2,IF(D6164=7,1,(IF(WEEKDAY(B6164)=1,2,IF(WEEKDAY(B6164)=7,1,0))))))</f>
        <v>3</v>
      </c>
    </row>
    <row r="6165" spans="2:22">
      <c r="B6165" s="318">
        <f t="shared" si="383"/>
        <v>46369</v>
      </c>
      <c r="C6165" s="312">
        <v>17</v>
      </c>
      <c r="D6165" s="368">
        <f>IFERROR((INDEX(METADATA!$T$2:$T$20,MATCH(B6165,METADATA!$S$2:$S$20,0))),0)</f>
        <v>0</v>
      </c>
      <c r="E6165" s="312" t="str">
        <f t="shared" si="384"/>
        <v>LO</v>
      </c>
      <c r="F6165" s="369">
        <f>VLOOKUP(C6165,METADATA!$A$5:$H$29,IF(E6165="HI",2,IF(E6165="LO",6,10))+IF(D6165=1,2,IF(D6165=7,1,(IF(WEEKDAY(B6165)=1,2,IF(WEEKDAY(B6165)=7,1,0))))))</f>
        <v>3</v>
      </c>
      <c r="G6165" s="369">
        <f>VLOOKUP(C6165,METADATA!$J$5:$Q$29,IF(E6165="HI",2,IF(E6165="LO",6,10))+IF(D6165=1,2,IF(D6165=7,1,(IF(WEEKDAY(B6165)=1,2,IF(WEEKDAY(B6165)=7,1,0))))))</f>
        <v>3</v>
      </c>
      <c r="H6165" s="370">
        <v>11874.249816894531</v>
      </c>
      <c r="I6165" s="370">
        <v>2845.5750274658203</v>
      </c>
      <c r="M6165" s="371">
        <f t="shared" si="385"/>
        <v>12210.4506858247</v>
      </c>
      <c r="N6165" s="329">
        <f t="shared" si="386"/>
        <v>0</v>
      </c>
      <c r="T6165" s="331">
        <v>0</v>
      </c>
      <c r="U6165" s="328">
        <f>VLOOKUP(C6165,METADATA!$J$5:$Q$29,IF(E6165="HI",2,IF(E6165="LO",6,10))+IF(T6165=1,2,IF(D6165=7,1,(IF(WEEKDAY(B6165)=1,2,IF(WEEKDAY(B6165)=7,1,0))))))</f>
        <v>3</v>
      </c>
      <c r="V6165" s="328">
        <f>VLOOKUP(C6165,METADATA!$A$5:$H$29,IF(E6165="HI",2,IF(E6165="LO",6,10))+IF(T6165=1,2,IF(D6165=7,1,(IF(WEEKDAY(B6165)=1,2,IF(WEEKDAY(B6165)=7,1,0))))))</f>
        <v>3</v>
      </c>
    </row>
    <row r="6166" spans="2:22">
      <c r="B6166" s="318">
        <f t="shared" si="383"/>
        <v>46369</v>
      </c>
      <c r="C6166" s="312">
        <v>18</v>
      </c>
      <c r="D6166" s="368">
        <f>IFERROR((INDEX(METADATA!$T$2:$T$20,MATCH(B6166,METADATA!$S$2:$S$20,0))),0)</f>
        <v>0</v>
      </c>
      <c r="E6166" s="312" t="str">
        <f t="shared" si="384"/>
        <v>LO</v>
      </c>
      <c r="F6166" s="369">
        <f>VLOOKUP(C6166,METADATA!$A$5:$H$29,IF(E6166="HI",2,IF(E6166="LO",6,10))+IF(D6166=1,2,IF(D6166=7,1,(IF(WEEKDAY(B6166)=1,2,IF(WEEKDAY(B6166)=7,1,0))))))</f>
        <v>2</v>
      </c>
      <c r="G6166" s="369">
        <f>VLOOKUP(C6166,METADATA!$J$5:$Q$29,IF(E6166="HI",2,IF(E6166="LO",6,10))+IF(D6166=1,2,IF(D6166=7,1,(IF(WEEKDAY(B6166)=1,2,IF(WEEKDAY(B6166)=7,1,0))))))</f>
        <v>2</v>
      </c>
      <c r="H6166" s="370">
        <v>11876.675170898438</v>
      </c>
      <c r="I6166" s="370">
        <v>2899.9199752807617</v>
      </c>
      <c r="M6166" s="371">
        <f t="shared" si="385"/>
        <v>12225.585833736875</v>
      </c>
      <c r="N6166" s="329">
        <f t="shared" si="386"/>
        <v>0</v>
      </c>
      <c r="T6166" s="331">
        <v>0</v>
      </c>
      <c r="U6166" s="328">
        <f>VLOOKUP(C6166,METADATA!$J$5:$Q$29,IF(E6166="HI",2,IF(E6166="LO",6,10))+IF(T6166=1,2,IF(D6166=7,1,(IF(WEEKDAY(B6166)=1,2,IF(WEEKDAY(B6166)=7,1,0))))))</f>
        <v>2</v>
      </c>
      <c r="V6166" s="328">
        <f>VLOOKUP(C6166,METADATA!$A$5:$H$29,IF(E6166="HI",2,IF(E6166="LO",6,10))+IF(T6166=1,2,IF(D6166=7,1,(IF(WEEKDAY(B6166)=1,2,IF(WEEKDAY(B6166)=7,1,0))))))</f>
        <v>2</v>
      </c>
    </row>
    <row r="6167" spans="2:22">
      <c r="B6167" s="318">
        <f t="shared" si="383"/>
        <v>46369</v>
      </c>
      <c r="C6167" s="312">
        <v>19</v>
      </c>
      <c r="D6167" s="368">
        <f>IFERROR((INDEX(METADATA!$T$2:$T$20,MATCH(B6167,METADATA!$S$2:$S$20,0))),0)</f>
        <v>0</v>
      </c>
      <c r="E6167" s="312" t="str">
        <f t="shared" si="384"/>
        <v>LO</v>
      </c>
      <c r="F6167" s="369">
        <f>VLOOKUP(C6167,METADATA!$A$5:$H$29,IF(E6167="HI",2,IF(E6167="LO",6,10))+IF(D6167=1,2,IF(D6167=7,1,(IF(WEEKDAY(B6167)=1,2,IF(WEEKDAY(B6167)=7,1,0))))))</f>
        <v>2</v>
      </c>
      <c r="G6167" s="369">
        <f>VLOOKUP(C6167,METADATA!$J$5:$Q$29,IF(E6167="HI",2,IF(E6167="LO",6,10))+IF(D6167=1,2,IF(D6167=7,1,(IF(WEEKDAY(B6167)=1,2,IF(WEEKDAY(B6167)=7,1,0))))))</f>
        <v>2</v>
      </c>
      <c r="H6167" s="370">
        <v>9200.22509765625</v>
      </c>
      <c r="I6167" s="370">
        <v>2519.7650489807129</v>
      </c>
      <c r="M6167" s="371">
        <f t="shared" si="385"/>
        <v>9539.0438592978862</v>
      </c>
      <c r="N6167" s="329">
        <f t="shared" si="386"/>
        <v>0</v>
      </c>
      <c r="T6167" s="331">
        <v>0</v>
      </c>
      <c r="U6167" s="328">
        <f>VLOOKUP(C6167,METADATA!$J$5:$Q$29,IF(E6167="HI",2,IF(E6167="LO",6,10))+IF(T6167=1,2,IF(D6167=7,1,(IF(WEEKDAY(B6167)=1,2,IF(WEEKDAY(B6167)=7,1,0))))))</f>
        <v>2</v>
      </c>
      <c r="V6167" s="328">
        <f>VLOOKUP(C6167,METADATA!$A$5:$H$29,IF(E6167="HI",2,IF(E6167="LO",6,10))+IF(T6167=1,2,IF(D6167=7,1,(IF(WEEKDAY(B6167)=1,2,IF(WEEKDAY(B6167)=7,1,0))))))</f>
        <v>2</v>
      </c>
    </row>
    <row r="6168" spans="2:22">
      <c r="B6168" s="318">
        <f t="shared" si="383"/>
        <v>46369</v>
      </c>
      <c r="C6168" s="312">
        <v>20</v>
      </c>
      <c r="D6168" s="368">
        <f>IFERROR((INDEX(METADATA!$T$2:$T$20,MATCH(B6168,METADATA!$S$2:$S$20,0))),0)</f>
        <v>0</v>
      </c>
      <c r="E6168" s="312" t="str">
        <f t="shared" si="384"/>
        <v>LO</v>
      </c>
      <c r="F6168" s="369">
        <f>VLOOKUP(C6168,METADATA!$A$5:$H$29,IF(E6168="HI",2,IF(E6168="LO",6,10))+IF(D6168=1,2,IF(D6168=7,1,(IF(WEEKDAY(B6168)=1,2,IF(WEEKDAY(B6168)=7,1,0))))))</f>
        <v>3</v>
      </c>
      <c r="G6168" s="369">
        <f>VLOOKUP(C6168,METADATA!$J$5:$Q$29,IF(E6168="HI",2,IF(E6168="LO",6,10))+IF(D6168=1,2,IF(D6168=7,1,(IF(WEEKDAY(B6168)=1,2,IF(WEEKDAY(B6168)=7,1,0))))))</f>
        <v>3</v>
      </c>
      <c r="H6168" s="370">
        <v>5707.9550476074219</v>
      </c>
      <c r="I6168" s="370">
        <v>1569.3474731445313</v>
      </c>
      <c r="M6168" s="371">
        <f t="shared" si="385"/>
        <v>5919.7637044878884</v>
      </c>
      <c r="N6168" s="329">
        <f t="shared" si="386"/>
        <v>0</v>
      </c>
      <c r="T6168" s="331">
        <v>0</v>
      </c>
      <c r="U6168" s="328">
        <f>VLOOKUP(C6168,METADATA!$J$5:$Q$29,IF(E6168="HI",2,IF(E6168="LO",6,10))+IF(T6168=1,2,IF(D6168=7,1,(IF(WEEKDAY(B6168)=1,2,IF(WEEKDAY(B6168)=7,1,0))))))</f>
        <v>3</v>
      </c>
      <c r="V6168" s="328">
        <f>VLOOKUP(C6168,METADATA!$A$5:$H$29,IF(E6168="HI",2,IF(E6168="LO",6,10))+IF(T6168=1,2,IF(D6168=7,1,(IF(WEEKDAY(B6168)=1,2,IF(WEEKDAY(B6168)=7,1,0))))))</f>
        <v>3</v>
      </c>
    </row>
    <row r="6169" spans="2:22">
      <c r="B6169" s="318">
        <f t="shared" si="383"/>
        <v>46369</v>
      </c>
      <c r="C6169" s="312">
        <v>21</v>
      </c>
      <c r="D6169" s="368">
        <f>IFERROR((INDEX(METADATA!$T$2:$T$20,MATCH(B6169,METADATA!$S$2:$S$20,0))),0)</f>
        <v>0</v>
      </c>
      <c r="E6169" s="312" t="str">
        <f t="shared" si="384"/>
        <v>LO</v>
      </c>
      <c r="F6169" s="369">
        <f>VLOOKUP(C6169,METADATA!$A$5:$H$29,IF(E6169="HI",2,IF(E6169="LO",6,10))+IF(D6169=1,2,IF(D6169=7,1,(IF(WEEKDAY(B6169)=1,2,IF(WEEKDAY(B6169)=7,1,0))))))</f>
        <v>3</v>
      </c>
      <c r="G6169" s="369">
        <f>VLOOKUP(C6169,METADATA!$J$5:$Q$29,IF(E6169="HI",2,IF(E6169="LO",6,10))+IF(D6169=1,2,IF(D6169=7,1,(IF(WEEKDAY(B6169)=1,2,IF(WEEKDAY(B6169)=7,1,0))))))</f>
        <v>3</v>
      </c>
      <c r="H6169" s="370">
        <v>5200.0599670410156</v>
      </c>
      <c r="I6169" s="370">
        <v>1417.6074829101563</v>
      </c>
      <c r="M6169" s="371">
        <f t="shared" si="385"/>
        <v>5389.8269579296766</v>
      </c>
      <c r="N6169" s="329">
        <f t="shared" si="386"/>
        <v>0</v>
      </c>
      <c r="T6169" s="331">
        <v>0</v>
      </c>
      <c r="U6169" s="328">
        <f>VLOOKUP(C6169,METADATA!$J$5:$Q$29,IF(E6169="HI",2,IF(E6169="LO",6,10))+IF(T6169=1,2,IF(D6169=7,1,(IF(WEEKDAY(B6169)=1,2,IF(WEEKDAY(B6169)=7,1,0))))))</f>
        <v>3</v>
      </c>
      <c r="V6169" s="328">
        <f>VLOOKUP(C6169,METADATA!$A$5:$H$29,IF(E6169="HI",2,IF(E6169="LO",6,10))+IF(T6169=1,2,IF(D6169=7,1,(IF(WEEKDAY(B6169)=1,2,IF(WEEKDAY(B6169)=7,1,0))))))</f>
        <v>3</v>
      </c>
    </row>
    <row r="6170" spans="2:22">
      <c r="B6170" s="318">
        <f t="shared" si="383"/>
        <v>46369</v>
      </c>
      <c r="C6170" s="312">
        <v>22</v>
      </c>
      <c r="D6170" s="368">
        <f>IFERROR((INDEX(METADATA!$T$2:$T$20,MATCH(B6170,METADATA!$S$2:$S$20,0))),0)</f>
        <v>0</v>
      </c>
      <c r="E6170" s="312" t="str">
        <f t="shared" si="384"/>
        <v>LO</v>
      </c>
      <c r="F6170" s="369">
        <f>VLOOKUP(C6170,METADATA!$A$5:$H$29,IF(E6170="HI",2,IF(E6170="LO",6,10))+IF(D6170=1,2,IF(D6170=7,1,(IF(WEEKDAY(B6170)=1,2,IF(WEEKDAY(B6170)=7,1,0))))))</f>
        <v>3</v>
      </c>
      <c r="G6170" s="369">
        <f>VLOOKUP(C6170,METADATA!$J$5:$Q$29,IF(E6170="HI",2,IF(E6170="LO",6,10))+IF(D6170=1,2,IF(D6170=7,1,(IF(WEEKDAY(B6170)=1,2,IF(WEEKDAY(B6170)=7,1,0))))))</f>
        <v>3</v>
      </c>
      <c r="H6170" s="370">
        <v>5236.1875305175781</v>
      </c>
      <c r="I6170" s="370">
        <v>1341.1449890136719</v>
      </c>
      <c r="M6170" s="371">
        <f t="shared" si="385"/>
        <v>5405.213199893622</v>
      </c>
      <c r="N6170" s="329">
        <f t="shared" si="386"/>
        <v>0</v>
      </c>
      <c r="T6170" s="331">
        <v>0</v>
      </c>
      <c r="U6170" s="328">
        <f>VLOOKUP(C6170,METADATA!$J$5:$Q$29,IF(E6170="HI",2,IF(E6170="LO",6,10))+IF(T6170=1,2,IF(D6170=7,1,(IF(WEEKDAY(B6170)=1,2,IF(WEEKDAY(B6170)=7,1,0))))))</f>
        <v>3</v>
      </c>
      <c r="V6170" s="328">
        <f>VLOOKUP(C6170,METADATA!$A$5:$H$29,IF(E6170="HI",2,IF(E6170="LO",6,10))+IF(T6170=1,2,IF(D6170=7,1,(IF(WEEKDAY(B6170)=1,2,IF(WEEKDAY(B6170)=7,1,0))))))</f>
        <v>3</v>
      </c>
    </row>
    <row r="6171" spans="2:22">
      <c r="B6171" s="318">
        <f t="shared" si="383"/>
        <v>46369</v>
      </c>
      <c r="C6171" s="312">
        <v>23</v>
      </c>
      <c r="D6171" s="368">
        <f>IFERROR((INDEX(METADATA!$T$2:$T$20,MATCH(B6171,METADATA!$S$2:$S$20,0))),0)</f>
        <v>0</v>
      </c>
      <c r="E6171" s="312" t="str">
        <f t="shared" si="384"/>
        <v>LO</v>
      </c>
      <c r="F6171" s="369">
        <f>VLOOKUP(C6171,METADATA!$A$5:$H$29,IF(E6171="HI",2,IF(E6171="LO",6,10))+IF(D6171=1,2,IF(D6171=7,1,(IF(WEEKDAY(B6171)=1,2,IF(WEEKDAY(B6171)=7,1,0))))))</f>
        <v>3</v>
      </c>
      <c r="G6171" s="369">
        <f>VLOOKUP(C6171,METADATA!$J$5:$Q$29,IF(E6171="HI",2,IF(E6171="LO",6,10))+IF(D6171=1,2,IF(D6171=7,1,(IF(WEEKDAY(B6171)=1,2,IF(WEEKDAY(B6171)=7,1,0))))))</f>
        <v>3</v>
      </c>
      <c r="H6171" s="370">
        <v>6516.6373291015625</v>
      </c>
      <c r="I6171" s="370">
        <v>1409.8299961090088</v>
      </c>
      <c r="M6171" s="371">
        <f t="shared" si="385"/>
        <v>6667.3969956024575</v>
      </c>
      <c r="N6171" s="329">
        <f t="shared" si="386"/>
        <v>0</v>
      </c>
      <c r="T6171" s="331">
        <v>0</v>
      </c>
      <c r="U6171" s="328">
        <f>VLOOKUP(C6171,METADATA!$J$5:$Q$29,IF(E6171="HI",2,IF(E6171="LO",6,10))+IF(T6171=1,2,IF(D6171=7,1,(IF(WEEKDAY(B6171)=1,2,IF(WEEKDAY(B6171)=7,1,0))))))</f>
        <v>3</v>
      </c>
      <c r="V6171" s="328">
        <f>VLOOKUP(C6171,METADATA!$A$5:$H$29,IF(E6171="HI",2,IF(E6171="LO",6,10))+IF(T6171=1,2,IF(D6171=7,1,(IF(WEEKDAY(B6171)=1,2,IF(WEEKDAY(B6171)=7,1,0))))))</f>
        <v>3</v>
      </c>
    </row>
    <row r="6172" spans="2:22">
      <c r="B6172" s="318">
        <f t="shared" ref="B6172:B6235" si="387">B6148+1</f>
        <v>46370</v>
      </c>
      <c r="C6172" s="312">
        <v>0</v>
      </c>
      <c r="D6172" s="368">
        <f>IFERROR((INDEX(METADATA!$T$2:$T$20,MATCH(B6172,METADATA!$S$2:$S$20,0))),0)</f>
        <v>0</v>
      </c>
      <c r="E6172" s="312" t="str">
        <f t="shared" si="384"/>
        <v>LO</v>
      </c>
      <c r="F6172" s="369">
        <f>VLOOKUP(C6172,METADATA!$A$5:$H$29,IF(E6172="HI",2,IF(E6172="LO",6,10))+IF(D6172=1,2,IF(D6172=7,1,(IF(WEEKDAY(B6172)=1,2,IF(WEEKDAY(B6172)=7,1,0))))))</f>
        <v>3</v>
      </c>
      <c r="G6172" s="369">
        <f>VLOOKUP(C6172,METADATA!$J$5:$Q$29,IF(E6172="HI",2,IF(E6172="LO",6,10))+IF(D6172=1,2,IF(D6172=7,1,(IF(WEEKDAY(B6172)=1,2,IF(WEEKDAY(B6172)=7,1,0))))))</f>
        <v>3</v>
      </c>
      <c r="H6172" s="370">
        <v>10164.525024414063</v>
      </c>
      <c r="I6172" s="370">
        <v>2231.8574676513672</v>
      </c>
      <c r="M6172" s="371">
        <f t="shared" si="385"/>
        <v>10406.668858373983</v>
      </c>
      <c r="N6172" s="329">
        <f t="shared" si="386"/>
        <v>0</v>
      </c>
      <c r="T6172" s="331">
        <v>0</v>
      </c>
      <c r="U6172" s="328">
        <f>VLOOKUP(C6172,METADATA!$J$5:$Q$29,IF(E6172="HI",2,IF(E6172="LO",6,10))+IF(T6172=1,2,IF(D6172=7,1,(IF(WEEKDAY(B6172)=1,2,IF(WEEKDAY(B6172)=7,1,0))))))</f>
        <v>3</v>
      </c>
      <c r="V6172" s="328">
        <f>VLOOKUP(C6172,METADATA!$A$5:$H$29,IF(E6172="HI",2,IF(E6172="LO",6,10))+IF(T6172=1,2,IF(D6172=7,1,(IF(WEEKDAY(B6172)=1,2,IF(WEEKDAY(B6172)=7,1,0))))))</f>
        <v>3</v>
      </c>
    </row>
    <row r="6173" spans="2:22">
      <c r="B6173" s="318">
        <f t="shared" si="387"/>
        <v>46370</v>
      </c>
      <c r="C6173" s="312">
        <v>1</v>
      </c>
      <c r="D6173" s="368">
        <f>IFERROR((INDEX(METADATA!$T$2:$T$20,MATCH(B6173,METADATA!$S$2:$S$20,0))),0)</f>
        <v>0</v>
      </c>
      <c r="E6173" s="312" t="str">
        <f t="shared" si="384"/>
        <v>LO</v>
      </c>
      <c r="F6173" s="369">
        <f>VLOOKUP(C6173,METADATA!$A$5:$H$29,IF(E6173="HI",2,IF(E6173="LO",6,10))+IF(D6173=1,2,IF(D6173=7,1,(IF(WEEKDAY(B6173)=1,2,IF(WEEKDAY(B6173)=7,1,0))))))</f>
        <v>3</v>
      </c>
      <c r="G6173" s="369">
        <f>VLOOKUP(C6173,METADATA!$J$5:$Q$29,IF(E6173="HI",2,IF(E6173="LO",6,10))+IF(D6173=1,2,IF(D6173=7,1,(IF(WEEKDAY(B6173)=1,2,IF(WEEKDAY(B6173)=7,1,0))))))</f>
        <v>3</v>
      </c>
      <c r="H6173" s="370">
        <v>12034.370178222656</v>
      </c>
      <c r="I6173" s="370">
        <v>3166.7074432373047</v>
      </c>
      <c r="M6173" s="371">
        <f t="shared" si="385"/>
        <v>12444.038798458858</v>
      </c>
      <c r="N6173" s="329">
        <f t="shared" si="386"/>
        <v>0</v>
      </c>
      <c r="T6173" s="331">
        <v>0</v>
      </c>
      <c r="U6173" s="328">
        <f>VLOOKUP(C6173,METADATA!$J$5:$Q$29,IF(E6173="HI",2,IF(E6173="LO",6,10))+IF(T6173=1,2,IF(D6173=7,1,(IF(WEEKDAY(B6173)=1,2,IF(WEEKDAY(B6173)=7,1,0))))))</f>
        <v>3</v>
      </c>
      <c r="V6173" s="328">
        <f>VLOOKUP(C6173,METADATA!$A$5:$H$29,IF(E6173="HI",2,IF(E6173="LO",6,10))+IF(T6173=1,2,IF(D6173=7,1,(IF(WEEKDAY(B6173)=1,2,IF(WEEKDAY(B6173)=7,1,0))))))</f>
        <v>3</v>
      </c>
    </row>
    <row r="6174" spans="2:22">
      <c r="B6174" s="318">
        <f t="shared" si="387"/>
        <v>46370</v>
      </c>
      <c r="C6174" s="312">
        <v>2</v>
      </c>
      <c r="D6174" s="368">
        <f>IFERROR((INDEX(METADATA!$T$2:$T$20,MATCH(B6174,METADATA!$S$2:$S$20,0))),0)</f>
        <v>0</v>
      </c>
      <c r="E6174" s="312" t="str">
        <f t="shared" si="384"/>
        <v>LO</v>
      </c>
      <c r="F6174" s="369">
        <f>VLOOKUP(C6174,METADATA!$A$5:$H$29,IF(E6174="HI",2,IF(E6174="LO",6,10))+IF(D6174=1,2,IF(D6174=7,1,(IF(WEEKDAY(B6174)=1,2,IF(WEEKDAY(B6174)=7,1,0))))))</f>
        <v>3</v>
      </c>
      <c r="G6174" s="369">
        <f>VLOOKUP(C6174,METADATA!$J$5:$Q$29,IF(E6174="HI",2,IF(E6174="LO",6,10))+IF(D6174=1,2,IF(D6174=7,1,(IF(WEEKDAY(B6174)=1,2,IF(WEEKDAY(B6174)=7,1,0))))))</f>
        <v>3</v>
      </c>
      <c r="H6174" s="370">
        <v>11990.879638671875</v>
      </c>
      <c r="I6174" s="370">
        <v>3114.8199768066406</v>
      </c>
      <c r="M6174" s="371">
        <f t="shared" si="385"/>
        <v>12388.837637043658</v>
      </c>
      <c r="N6174" s="329">
        <f t="shared" si="386"/>
        <v>0</v>
      </c>
      <c r="T6174" s="331">
        <v>0</v>
      </c>
      <c r="U6174" s="328">
        <f>VLOOKUP(C6174,METADATA!$J$5:$Q$29,IF(E6174="HI",2,IF(E6174="LO",6,10))+IF(T6174=1,2,IF(D6174=7,1,(IF(WEEKDAY(B6174)=1,2,IF(WEEKDAY(B6174)=7,1,0))))))</f>
        <v>3</v>
      </c>
      <c r="V6174" s="328">
        <f>VLOOKUP(C6174,METADATA!$A$5:$H$29,IF(E6174="HI",2,IF(E6174="LO",6,10))+IF(T6174=1,2,IF(D6174=7,1,(IF(WEEKDAY(B6174)=1,2,IF(WEEKDAY(B6174)=7,1,0))))))</f>
        <v>3</v>
      </c>
    </row>
    <row r="6175" spans="2:22">
      <c r="B6175" s="318">
        <f t="shared" si="387"/>
        <v>46370</v>
      </c>
      <c r="C6175" s="312">
        <v>3</v>
      </c>
      <c r="D6175" s="368">
        <f>IFERROR((INDEX(METADATA!$T$2:$T$20,MATCH(B6175,METADATA!$S$2:$S$20,0))),0)</f>
        <v>0</v>
      </c>
      <c r="E6175" s="312" t="str">
        <f t="shared" si="384"/>
        <v>LO</v>
      </c>
      <c r="F6175" s="369">
        <f>VLOOKUP(C6175,METADATA!$A$5:$H$29,IF(E6175="HI",2,IF(E6175="LO",6,10))+IF(D6175=1,2,IF(D6175=7,1,(IF(WEEKDAY(B6175)=1,2,IF(WEEKDAY(B6175)=7,1,0))))))</f>
        <v>3</v>
      </c>
      <c r="G6175" s="369">
        <f>VLOOKUP(C6175,METADATA!$J$5:$Q$29,IF(E6175="HI",2,IF(E6175="LO",6,10))+IF(D6175=1,2,IF(D6175=7,1,(IF(WEEKDAY(B6175)=1,2,IF(WEEKDAY(B6175)=7,1,0))))))</f>
        <v>3</v>
      </c>
      <c r="H6175" s="370">
        <v>11982.77490234375</v>
      </c>
      <c r="I6175" s="370">
        <v>3137.0599212646484</v>
      </c>
      <c r="M6175" s="371">
        <f t="shared" si="385"/>
        <v>12386.607255816431</v>
      </c>
      <c r="N6175" s="329">
        <f t="shared" si="386"/>
        <v>0</v>
      </c>
      <c r="T6175" s="331">
        <v>0</v>
      </c>
      <c r="U6175" s="328">
        <f>VLOOKUP(C6175,METADATA!$J$5:$Q$29,IF(E6175="HI",2,IF(E6175="LO",6,10))+IF(T6175=1,2,IF(D6175=7,1,(IF(WEEKDAY(B6175)=1,2,IF(WEEKDAY(B6175)=7,1,0))))))</f>
        <v>3</v>
      </c>
      <c r="V6175" s="328">
        <f>VLOOKUP(C6175,METADATA!$A$5:$H$29,IF(E6175="HI",2,IF(E6175="LO",6,10))+IF(T6175=1,2,IF(D6175=7,1,(IF(WEEKDAY(B6175)=1,2,IF(WEEKDAY(B6175)=7,1,0))))))</f>
        <v>3</v>
      </c>
    </row>
    <row r="6176" spans="2:22">
      <c r="B6176" s="318">
        <f t="shared" si="387"/>
        <v>46370</v>
      </c>
      <c r="C6176" s="312">
        <v>4</v>
      </c>
      <c r="D6176" s="368">
        <f>IFERROR((INDEX(METADATA!$T$2:$T$20,MATCH(B6176,METADATA!$S$2:$S$20,0))),0)</f>
        <v>0</v>
      </c>
      <c r="E6176" s="312" t="str">
        <f t="shared" si="384"/>
        <v>LO</v>
      </c>
      <c r="F6176" s="369">
        <f>VLOOKUP(C6176,METADATA!$A$5:$H$29,IF(E6176="HI",2,IF(E6176="LO",6,10))+IF(D6176=1,2,IF(D6176=7,1,(IF(WEEKDAY(B6176)=1,2,IF(WEEKDAY(B6176)=7,1,0))))))</f>
        <v>3</v>
      </c>
      <c r="G6176" s="369">
        <f>VLOOKUP(C6176,METADATA!$J$5:$Q$29,IF(E6176="HI",2,IF(E6176="LO",6,10))+IF(D6176=1,2,IF(D6176=7,1,(IF(WEEKDAY(B6176)=1,2,IF(WEEKDAY(B6176)=7,1,0))))))</f>
        <v>3</v>
      </c>
      <c r="H6176" s="370">
        <v>11982.574951171875</v>
      </c>
      <c r="I6176" s="370">
        <v>3067.7999649047852</v>
      </c>
      <c r="M6176" s="371">
        <f t="shared" si="385"/>
        <v>12369.054090152627</v>
      </c>
      <c r="N6176" s="329">
        <f t="shared" si="386"/>
        <v>0</v>
      </c>
      <c r="T6176" s="331">
        <v>0</v>
      </c>
      <c r="U6176" s="328">
        <f>VLOOKUP(C6176,METADATA!$J$5:$Q$29,IF(E6176="HI",2,IF(E6176="LO",6,10))+IF(T6176=1,2,IF(D6176=7,1,(IF(WEEKDAY(B6176)=1,2,IF(WEEKDAY(B6176)=7,1,0))))))</f>
        <v>3</v>
      </c>
      <c r="V6176" s="328">
        <f>VLOOKUP(C6176,METADATA!$A$5:$H$29,IF(E6176="HI",2,IF(E6176="LO",6,10))+IF(T6176=1,2,IF(D6176=7,1,(IF(WEEKDAY(B6176)=1,2,IF(WEEKDAY(B6176)=7,1,0))))))</f>
        <v>3</v>
      </c>
    </row>
    <row r="6177" spans="2:22">
      <c r="B6177" s="318">
        <f t="shared" si="387"/>
        <v>46370</v>
      </c>
      <c r="C6177" s="312">
        <v>5</v>
      </c>
      <c r="D6177" s="368">
        <f>IFERROR((INDEX(METADATA!$T$2:$T$20,MATCH(B6177,METADATA!$S$2:$S$20,0))),0)</f>
        <v>0</v>
      </c>
      <c r="E6177" s="312" t="str">
        <f t="shared" si="384"/>
        <v>LO</v>
      </c>
      <c r="F6177" s="369">
        <f>VLOOKUP(C6177,METADATA!$A$5:$H$29,IF(E6177="HI",2,IF(E6177="LO",6,10))+IF(D6177=1,2,IF(D6177=7,1,(IF(WEEKDAY(B6177)=1,2,IF(WEEKDAY(B6177)=7,1,0))))))</f>
        <v>3</v>
      </c>
      <c r="G6177" s="369">
        <f>VLOOKUP(C6177,METADATA!$J$5:$Q$29,IF(E6177="HI",2,IF(E6177="LO",6,10))+IF(D6177=1,2,IF(D6177=7,1,(IF(WEEKDAY(B6177)=1,2,IF(WEEKDAY(B6177)=7,1,0))))))</f>
        <v>3</v>
      </c>
      <c r="H6177" s="370">
        <v>12021.299926757813</v>
      </c>
      <c r="I6177" s="370">
        <v>2989.1449584960938</v>
      </c>
      <c r="M6177" s="371">
        <f t="shared" si="385"/>
        <v>12387.35805214211</v>
      </c>
      <c r="N6177" s="329">
        <f t="shared" si="386"/>
        <v>0</v>
      </c>
      <c r="T6177" s="331">
        <v>0</v>
      </c>
      <c r="U6177" s="328">
        <f>VLOOKUP(C6177,METADATA!$J$5:$Q$29,IF(E6177="HI",2,IF(E6177="LO",6,10))+IF(T6177=1,2,IF(D6177=7,1,(IF(WEEKDAY(B6177)=1,2,IF(WEEKDAY(B6177)=7,1,0))))))</f>
        <v>3</v>
      </c>
      <c r="V6177" s="328">
        <f>VLOOKUP(C6177,METADATA!$A$5:$H$29,IF(E6177="HI",2,IF(E6177="LO",6,10))+IF(T6177=1,2,IF(D6177=7,1,(IF(WEEKDAY(B6177)=1,2,IF(WEEKDAY(B6177)=7,1,0))))))</f>
        <v>3</v>
      </c>
    </row>
    <row r="6178" spans="2:22">
      <c r="B6178" s="318">
        <f t="shared" si="387"/>
        <v>46370</v>
      </c>
      <c r="C6178" s="312">
        <v>6</v>
      </c>
      <c r="D6178" s="368">
        <f>IFERROR((INDEX(METADATA!$T$2:$T$20,MATCH(B6178,METADATA!$S$2:$S$20,0))),0)</f>
        <v>0</v>
      </c>
      <c r="E6178" s="312" t="str">
        <f t="shared" si="384"/>
        <v>LO</v>
      </c>
      <c r="F6178" s="369">
        <f>VLOOKUP(C6178,METADATA!$A$5:$H$29,IF(E6178="HI",2,IF(E6178="LO",6,10))+IF(D6178=1,2,IF(D6178=7,1,(IF(WEEKDAY(B6178)=1,2,IF(WEEKDAY(B6178)=7,1,0))))))</f>
        <v>2</v>
      </c>
      <c r="G6178" s="369">
        <f>VLOOKUP(C6178,METADATA!$J$5:$Q$29,IF(E6178="HI",2,IF(E6178="LO",6,10))+IF(D6178=1,2,IF(D6178=7,1,(IF(WEEKDAY(B6178)=1,2,IF(WEEKDAY(B6178)=7,1,0))))))</f>
        <v>2</v>
      </c>
      <c r="H6178" s="370">
        <v>11547.824890136719</v>
      </c>
      <c r="I6178" s="370">
        <v>2838.635009765625</v>
      </c>
      <c r="M6178" s="371">
        <f t="shared" si="385"/>
        <v>11891.598227821532</v>
      </c>
      <c r="N6178" s="329">
        <f t="shared" si="386"/>
        <v>0</v>
      </c>
      <c r="T6178" s="331">
        <v>0</v>
      </c>
      <c r="U6178" s="328">
        <f>VLOOKUP(C6178,METADATA!$J$5:$Q$29,IF(E6178="HI",2,IF(E6178="LO",6,10))+IF(T6178=1,2,IF(D6178=7,1,(IF(WEEKDAY(B6178)=1,2,IF(WEEKDAY(B6178)=7,1,0))))))</f>
        <v>2</v>
      </c>
      <c r="V6178" s="328">
        <f>VLOOKUP(C6178,METADATA!$A$5:$H$29,IF(E6178="HI",2,IF(E6178="LO",6,10))+IF(T6178=1,2,IF(D6178=7,1,(IF(WEEKDAY(B6178)=1,2,IF(WEEKDAY(B6178)=7,1,0))))))</f>
        <v>2</v>
      </c>
    </row>
    <row r="6179" spans="2:22">
      <c r="B6179" s="318">
        <f t="shared" si="387"/>
        <v>46370</v>
      </c>
      <c r="C6179" s="312">
        <v>7</v>
      </c>
      <c r="D6179" s="368">
        <f>IFERROR((INDEX(METADATA!$T$2:$T$20,MATCH(B6179,METADATA!$S$2:$S$20,0))),0)</f>
        <v>0</v>
      </c>
      <c r="E6179" s="312" t="str">
        <f t="shared" si="384"/>
        <v>LO</v>
      </c>
      <c r="F6179" s="369">
        <f>VLOOKUP(C6179,METADATA!$A$5:$H$29,IF(E6179="HI",2,IF(E6179="LO",6,10))+IF(D6179=1,2,IF(D6179=7,1,(IF(WEEKDAY(B6179)=1,2,IF(WEEKDAY(B6179)=7,1,0))))))</f>
        <v>1</v>
      </c>
      <c r="G6179" s="369">
        <f>VLOOKUP(C6179,METADATA!$J$5:$Q$29,IF(E6179="HI",2,IF(E6179="LO",6,10))+IF(D6179=1,2,IF(D6179=7,1,(IF(WEEKDAY(B6179)=1,2,IF(WEEKDAY(B6179)=7,1,0))))))</f>
        <v>1</v>
      </c>
      <c r="H6179" s="370">
        <v>6690.132568359375</v>
      </c>
      <c r="I6179" s="370">
        <v>1658.6700439453125</v>
      </c>
      <c r="M6179" s="371">
        <f t="shared" si="385"/>
        <v>6892.6816332182607</v>
      </c>
      <c r="N6179" s="329">
        <f t="shared" si="386"/>
        <v>0</v>
      </c>
      <c r="T6179" s="331">
        <v>0</v>
      </c>
      <c r="U6179" s="328">
        <f>VLOOKUP(C6179,METADATA!$J$5:$Q$29,IF(E6179="HI",2,IF(E6179="LO",6,10))+IF(T6179=1,2,IF(D6179=7,1,(IF(WEEKDAY(B6179)=1,2,IF(WEEKDAY(B6179)=7,1,0))))))</f>
        <v>1</v>
      </c>
      <c r="V6179" s="328">
        <f>VLOOKUP(C6179,METADATA!$A$5:$H$29,IF(E6179="HI",2,IF(E6179="LO",6,10))+IF(T6179=1,2,IF(D6179=7,1,(IF(WEEKDAY(B6179)=1,2,IF(WEEKDAY(B6179)=7,1,0))))))</f>
        <v>1</v>
      </c>
    </row>
    <row r="6180" spans="2:22">
      <c r="B6180" s="318">
        <f t="shared" si="387"/>
        <v>46370</v>
      </c>
      <c r="C6180" s="312">
        <v>8</v>
      </c>
      <c r="D6180" s="368">
        <f>IFERROR((INDEX(METADATA!$T$2:$T$20,MATCH(B6180,METADATA!$S$2:$S$20,0))),0)</f>
        <v>0</v>
      </c>
      <c r="E6180" s="312" t="str">
        <f t="shared" si="384"/>
        <v>LO</v>
      </c>
      <c r="F6180" s="369">
        <f>VLOOKUP(C6180,METADATA!$A$5:$H$29,IF(E6180="HI",2,IF(E6180="LO",6,10))+IF(D6180=1,2,IF(D6180=7,1,(IF(WEEKDAY(B6180)=1,2,IF(WEEKDAY(B6180)=7,1,0))))))</f>
        <v>1</v>
      </c>
      <c r="G6180" s="369">
        <f>VLOOKUP(C6180,METADATA!$J$5:$Q$29,IF(E6180="HI",2,IF(E6180="LO",6,10))+IF(D6180=1,2,IF(D6180=7,1,(IF(WEEKDAY(B6180)=1,2,IF(WEEKDAY(B6180)=7,1,0))))))</f>
        <v>1</v>
      </c>
      <c r="H6180" s="370">
        <v>5208.5274963378906</v>
      </c>
      <c r="I6180" s="370">
        <v>1142.1375122070313</v>
      </c>
      <c r="M6180" s="371">
        <f t="shared" si="385"/>
        <v>5332.2825109795449</v>
      </c>
      <c r="N6180" s="329">
        <f t="shared" si="386"/>
        <v>0</v>
      </c>
      <c r="T6180" s="331">
        <v>0</v>
      </c>
      <c r="U6180" s="328">
        <f>VLOOKUP(C6180,METADATA!$J$5:$Q$29,IF(E6180="HI",2,IF(E6180="LO",6,10))+IF(T6180=1,2,IF(D6180=7,1,(IF(WEEKDAY(B6180)=1,2,IF(WEEKDAY(B6180)=7,1,0))))))</f>
        <v>1</v>
      </c>
      <c r="V6180" s="328">
        <f>VLOOKUP(C6180,METADATA!$A$5:$H$29,IF(E6180="HI",2,IF(E6180="LO",6,10))+IF(T6180=1,2,IF(D6180=7,1,(IF(WEEKDAY(B6180)=1,2,IF(WEEKDAY(B6180)=7,1,0))))))</f>
        <v>1</v>
      </c>
    </row>
    <row r="6181" spans="2:22">
      <c r="B6181" s="318">
        <f t="shared" si="387"/>
        <v>46370</v>
      </c>
      <c r="C6181" s="312">
        <v>9</v>
      </c>
      <c r="D6181" s="368">
        <f>IFERROR((INDEX(METADATA!$T$2:$T$20,MATCH(B6181,METADATA!$S$2:$S$20,0))),0)</f>
        <v>0</v>
      </c>
      <c r="E6181" s="312" t="str">
        <f t="shared" si="384"/>
        <v>LO</v>
      </c>
      <c r="F6181" s="369">
        <f>VLOOKUP(C6181,METADATA!$A$5:$H$29,IF(E6181="HI",2,IF(E6181="LO",6,10))+IF(D6181=1,2,IF(D6181=7,1,(IF(WEEKDAY(B6181)=1,2,IF(WEEKDAY(B6181)=7,1,0))))))</f>
        <v>2</v>
      </c>
      <c r="G6181" s="369">
        <f>VLOOKUP(C6181,METADATA!$J$5:$Q$29,IF(E6181="HI",2,IF(E6181="LO",6,10))+IF(D6181=1,2,IF(D6181=7,1,(IF(WEEKDAY(B6181)=1,2,IF(WEEKDAY(B6181)=7,1,0))))))</f>
        <v>2</v>
      </c>
      <c r="H6181" s="370">
        <v>3706.1549987792969</v>
      </c>
      <c r="I6181" s="370">
        <v>1008.072509765625</v>
      </c>
      <c r="M6181" s="371">
        <f t="shared" si="385"/>
        <v>3840.8065637209506</v>
      </c>
      <c r="N6181" s="329">
        <f t="shared" si="386"/>
        <v>0</v>
      </c>
      <c r="T6181" s="331">
        <v>0</v>
      </c>
      <c r="U6181" s="328">
        <f>VLOOKUP(C6181,METADATA!$J$5:$Q$29,IF(E6181="HI",2,IF(E6181="LO",6,10))+IF(T6181=1,2,IF(D6181=7,1,(IF(WEEKDAY(B6181)=1,2,IF(WEEKDAY(B6181)=7,1,0))))))</f>
        <v>2</v>
      </c>
      <c r="V6181" s="328">
        <f>VLOOKUP(C6181,METADATA!$A$5:$H$29,IF(E6181="HI",2,IF(E6181="LO",6,10))+IF(T6181=1,2,IF(D6181=7,1,(IF(WEEKDAY(B6181)=1,2,IF(WEEKDAY(B6181)=7,1,0))))))</f>
        <v>2</v>
      </c>
    </row>
    <row r="6182" spans="2:22">
      <c r="B6182" s="318">
        <f t="shared" si="387"/>
        <v>46370</v>
      </c>
      <c r="C6182" s="312">
        <v>10</v>
      </c>
      <c r="D6182" s="368">
        <f>IFERROR((INDEX(METADATA!$T$2:$T$20,MATCH(B6182,METADATA!$S$2:$S$20,0))),0)</f>
        <v>0</v>
      </c>
      <c r="E6182" s="312" t="str">
        <f t="shared" si="384"/>
        <v>LO</v>
      </c>
      <c r="F6182" s="369">
        <f>VLOOKUP(C6182,METADATA!$A$5:$H$29,IF(E6182="HI",2,IF(E6182="LO",6,10))+IF(D6182=1,2,IF(D6182=7,1,(IF(WEEKDAY(B6182)=1,2,IF(WEEKDAY(B6182)=7,1,0))))))</f>
        <v>2</v>
      </c>
      <c r="G6182" s="369">
        <f>VLOOKUP(C6182,METADATA!$J$5:$Q$29,IF(E6182="HI",2,IF(E6182="LO",6,10))+IF(D6182=1,2,IF(D6182=7,1,(IF(WEEKDAY(B6182)=1,2,IF(WEEKDAY(B6182)=7,1,0))))))</f>
        <v>2</v>
      </c>
      <c r="H6182" s="370">
        <v>3324.3275146484375</v>
      </c>
      <c r="I6182" s="370">
        <v>1009.2974853515625</v>
      </c>
      <c r="M6182" s="371">
        <f t="shared" si="385"/>
        <v>3474.1667833576507</v>
      </c>
      <c r="N6182" s="329">
        <f t="shared" si="386"/>
        <v>11.999230957031273</v>
      </c>
      <c r="T6182" s="331">
        <v>0</v>
      </c>
      <c r="U6182" s="328">
        <f>VLOOKUP(C6182,METADATA!$J$5:$Q$29,IF(E6182="HI",2,IF(E6182="LO",6,10))+IF(T6182=1,2,IF(D6182=7,1,(IF(WEEKDAY(B6182)=1,2,IF(WEEKDAY(B6182)=7,1,0))))))</f>
        <v>2</v>
      </c>
      <c r="V6182" s="328">
        <f>VLOOKUP(C6182,METADATA!$A$5:$H$29,IF(E6182="HI",2,IF(E6182="LO",6,10))+IF(T6182=1,2,IF(D6182=7,1,(IF(WEEKDAY(B6182)=1,2,IF(WEEKDAY(B6182)=7,1,0))))))</f>
        <v>2</v>
      </c>
    </row>
    <row r="6183" spans="2:22">
      <c r="B6183" s="318">
        <f t="shared" si="387"/>
        <v>46370</v>
      </c>
      <c r="C6183" s="312">
        <v>11</v>
      </c>
      <c r="D6183" s="368">
        <f>IFERROR((INDEX(METADATA!$T$2:$T$20,MATCH(B6183,METADATA!$S$2:$S$20,0))),0)</f>
        <v>0</v>
      </c>
      <c r="E6183" s="312" t="str">
        <f t="shared" si="384"/>
        <v>LO</v>
      </c>
      <c r="F6183" s="369">
        <f>VLOOKUP(C6183,METADATA!$A$5:$H$29,IF(E6183="HI",2,IF(E6183="LO",6,10))+IF(D6183=1,2,IF(D6183=7,1,(IF(WEEKDAY(B6183)=1,2,IF(WEEKDAY(B6183)=7,1,0))))))</f>
        <v>2</v>
      </c>
      <c r="G6183" s="369">
        <f>VLOOKUP(C6183,METADATA!$J$5:$Q$29,IF(E6183="HI",2,IF(E6183="LO",6,10))+IF(D6183=1,2,IF(D6183=7,1,(IF(WEEKDAY(B6183)=1,2,IF(WEEKDAY(B6183)=7,1,0))))))</f>
        <v>2</v>
      </c>
      <c r="H6183" s="370">
        <v>3375.4800415039063</v>
      </c>
      <c r="I6183" s="370">
        <v>1050.4075012207031</v>
      </c>
      <c r="M6183" s="371">
        <f t="shared" si="385"/>
        <v>3535.1409348443144</v>
      </c>
      <c r="N6183" s="329">
        <f t="shared" si="386"/>
        <v>37.76348876953125</v>
      </c>
      <c r="T6183" s="331">
        <v>0</v>
      </c>
      <c r="U6183" s="328">
        <f>VLOOKUP(C6183,METADATA!$J$5:$Q$29,IF(E6183="HI",2,IF(E6183="LO",6,10))+IF(T6183=1,2,IF(D6183=7,1,(IF(WEEKDAY(B6183)=1,2,IF(WEEKDAY(B6183)=7,1,0))))))</f>
        <v>2</v>
      </c>
      <c r="V6183" s="328">
        <f>VLOOKUP(C6183,METADATA!$A$5:$H$29,IF(E6183="HI",2,IF(E6183="LO",6,10))+IF(T6183=1,2,IF(D6183=7,1,(IF(WEEKDAY(B6183)=1,2,IF(WEEKDAY(B6183)=7,1,0))))))</f>
        <v>2</v>
      </c>
    </row>
    <row r="6184" spans="2:22">
      <c r="B6184" s="318">
        <f t="shared" si="387"/>
        <v>46370</v>
      </c>
      <c r="C6184" s="312">
        <v>12</v>
      </c>
      <c r="D6184" s="368">
        <f>IFERROR((INDEX(METADATA!$T$2:$T$20,MATCH(B6184,METADATA!$S$2:$S$20,0))),0)</f>
        <v>0</v>
      </c>
      <c r="E6184" s="312" t="str">
        <f t="shared" si="384"/>
        <v>LO</v>
      </c>
      <c r="F6184" s="369">
        <f>VLOOKUP(C6184,METADATA!$A$5:$H$29,IF(E6184="HI",2,IF(E6184="LO",6,10))+IF(D6184=1,2,IF(D6184=7,1,(IF(WEEKDAY(B6184)=1,2,IF(WEEKDAY(B6184)=7,1,0))))))</f>
        <v>2</v>
      </c>
      <c r="G6184" s="369">
        <f>VLOOKUP(C6184,METADATA!$J$5:$Q$29,IF(E6184="HI",2,IF(E6184="LO",6,10))+IF(D6184=1,2,IF(D6184=7,1,(IF(WEEKDAY(B6184)=1,2,IF(WEEKDAY(B6184)=7,1,0))))))</f>
        <v>2</v>
      </c>
      <c r="H6184" s="370">
        <v>3848.9873657226563</v>
      </c>
      <c r="I6184" s="370">
        <v>1081.5800170898438</v>
      </c>
      <c r="M6184" s="371">
        <f t="shared" si="385"/>
        <v>3998.0644160469324</v>
      </c>
      <c r="N6184" s="329">
        <f t="shared" si="386"/>
        <v>0</v>
      </c>
      <c r="T6184" s="331">
        <v>0</v>
      </c>
      <c r="U6184" s="328">
        <f>VLOOKUP(C6184,METADATA!$J$5:$Q$29,IF(E6184="HI",2,IF(E6184="LO",6,10))+IF(T6184=1,2,IF(D6184=7,1,(IF(WEEKDAY(B6184)=1,2,IF(WEEKDAY(B6184)=7,1,0))))))</f>
        <v>2</v>
      </c>
      <c r="V6184" s="328">
        <f>VLOOKUP(C6184,METADATA!$A$5:$H$29,IF(E6184="HI",2,IF(E6184="LO",6,10))+IF(T6184=1,2,IF(D6184=7,1,(IF(WEEKDAY(B6184)=1,2,IF(WEEKDAY(B6184)=7,1,0))))))</f>
        <v>2</v>
      </c>
    </row>
    <row r="6185" spans="2:22">
      <c r="B6185" s="318">
        <f t="shared" si="387"/>
        <v>46370</v>
      </c>
      <c r="C6185" s="312">
        <v>13</v>
      </c>
      <c r="D6185" s="368">
        <f>IFERROR((INDEX(METADATA!$T$2:$T$20,MATCH(B6185,METADATA!$S$2:$S$20,0))),0)</f>
        <v>0</v>
      </c>
      <c r="E6185" s="312" t="str">
        <f t="shared" si="384"/>
        <v>LO</v>
      </c>
      <c r="F6185" s="369">
        <f>VLOOKUP(C6185,METADATA!$A$5:$H$29,IF(E6185="HI",2,IF(E6185="LO",6,10))+IF(D6185=1,2,IF(D6185=7,1,(IF(WEEKDAY(B6185)=1,2,IF(WEEKDAY(B6185)=7,1,0))))))</f>
        <v>2</v>
      </c>
      <c r="G6185" s="369">
        <f>VLOOKUP(C6185,METADATA!$J$5:$Q$29,IF(E6185="HI",2,IF(E6185="LO",6,10))+IF(D6185=1,2,IF(D6185=7,1,(IF(WEEKDAY(B6185)=1,2,IF(WEEKDAY(B6185)=7,1,0))))))</f>
        <v>2</v>
      </c>
      <c r="H6185" s="370">
        <v>3321.7349853515625</v>
      </c>
      <c r="I6185" s="370">
        <v>1052.1375427246094</v>
      </c>
      <c r="M6185" s="371">
        <f t="shared" si="385"/>
        <v>3484.3818277736332</v>
      </c>
      <c r="N6185" s="329">
        <f t="shared" si="386"/>
        <v>55.617047119140693</v>
      </c>
      <c r="T6185" s="331">
        <v>0</v>
      </c>
      <c r="U6185" s="328">
        <f>VLOOKUP(C6185,METADATA!$J$5:$Q$29,IF(E6185="HI",2,IF(E6185="LO",6,10))+IF(T6185=1,2,IF(D6185=7,1,(IF(WEEKDAY(B6185)=1,2,IF(WEEKDAY(B6185)=7,1,0))))))</f>
        <v>2</v>
      </c>
      <c r="V6185" s="328">
        <f>VLOOKUP(C6185,METADATA!$A$5:$H$29,IF(E6185="HI",2,IF(E6185="LO",6,10))+IF(T6185=1,2,IF(D6185=7,1,(IF(WEEKDAY(B6185)=1,2,IF(WEEKDAY(B6185)=7,1,0))))))</f>
        <v>2</v>
      </c>
    </row>
    <row r="6186" spans="2:22">
      <c r="B6186" s="318">
        <f t="shared" si="387"/>
        <v>46370</v>
      </c>
      <c r="C6186" s="312">
        <v>14</v>
      </c>
      <c r="D6186" s="368">
        <f>IFERROR((INDEX(METADATA!$T$2:$T$20,MATCH(B6186,METADATA!$S$2:$S$20,0))),0)</f>
        <v>0</v>
      </c>
      <c r="E6186" s="312" t="str">
        <f t="shared" si="384"/>
        <v>LO</v>
      </c>
      <c r="F6186" s="369">
        <f>VLOOKUP(C6186,METADATA!$A$5:$H$29,IF(E6186="HI",2,IF(E6186="LO",6,10))+IF(D6186=1,2,IF(D6186=7,1,(IF(WEEKDAY(B6186)=1,2,IF(WEEKDAY(B6186)=7,1,0))))))</f>
        <v>2</v>
      </c>
      <c r="G6186" s="369">
        <f>VLOOKUP(C6186,METADATA!$J$5:$Q$29,IF(E6186="HI",2,IF(E6186="LO",6,10))+IF(D6186=1,2,IF(D6186=7,1,(IF(WEEKDAY(B6186)=1,2,IF(WEEKDAY(B6186)=7,1,0))))))</f>
        <v>2</v>
      </c>
      <c r="H6186" s="370">
        <v>3246.3124084472656</v>
      </c>
      <c r="I6186" s="370">
        <v>1077.6949920654297</v>
      </c>
      <c r="M6186" s="371">
        <f t="shared" si="385"/>
        <v>3420.521999514342</v>
      </c>
      <c r="N6186" s="329">
        <f t="shared" si="386"/>
        <v>103.80126953125</v>
      </c>
      <c r="T6186" s="331">
        <v>0</v>
      </c>
      <c r="U6186" s="328">
        <f>VLOOKUP(C6186,METADATA!$J$5:$Q$29,IF(E6186="HI",2,IF(E6186="LO",6,10))+IF(T6186=1,2,IF(D6186=7,1,(IF(WEEKDAY(B6186)=1,2,IF(WEEKDAY(B6186)=7,1,0))))))</f>
        <v>2</v>
      </c>
      <c r="V6186" s="328">
        <f>VLOOKUP(C6186,METADATA!$A$5:$H$29,IF(E6186="HI",2,IF(E6186="LO",6,10))+IF(T6186=1,2,IF(D6186=7,1,(IF(WEEKDAY(B6186)=1,2,IF(WEEKDAY(B6186)=7,1,0))))))</f>
        <v>2</v>
      </c>
    </row>
    <row r="6187" spans="2:22">
      <c r="B6187" s="318">
        <f t="shared" si="387"/>
        <v>46370</v>
      </c>
      <c r="C6187" s="312">
        <v>15</v>
      </c>
      <c r="D6187" s="368">
        <f>IFERROR((INDEX(METADATA!$T$2:$T$20,MATCH(B6187,METADATA!$S$2:$S$20,0))),0)</f>
        <v>0</v>
      </c>
      <c r="E6187" s="312" t="str">
        <f t="shared" si="384"/>
        <v>LO</v>
      </c>
      <c r="F6187" s="369">
        <f>VLOOKUP(C6187,METADATA!$A$5:$H$29,IF(E6187="HI",2,IF(E6187="LO",6,10))+IF(D6187=1,2,IF(D6187=7,1,(IF(WEEKDAY(B6187)=1,2,IF(WEEKDAY(B6187)=7,1,0))))))</f>
        <v>2</v>
      </c>
      <c r="G6187" s="369">
        <f>VLOOKUP(C6187,METADATA!$J$5:$Q$29,IF(E6187="HI",2,IF(E6187="LO",6,10))+IF(D6187=1,2,IF(D6187=7,1,(IF(WEEKDAY(B6187)=1,2,IF(WEEKDAY(B6187)=7,1,0))))))</f>
        <v>2</v>
      </c>
      <c r="H6187" s="370">
        <v>3643.7974548339844</v>
      </c>
      <c r="I6187" s="370">
        <v>1141.41748046875</v>
      </c>
      <c r="M6187" s="371">
        <f t="shared" si="385"/>
        <v>3818.3888954078852</v>
      </c>
      <c r="N6187" s="329">
        <f t="shared" si="386"/>
        <v>48.278244018554688</v>
      </c>
      <c r="T6187" s="331">
        <v>0</v>
      </c>
      <c r="U6187" s="328">
        <f>VLOOKUP(C6187,METADATA!$J$5:$Q$29,IF(E6187="HI",2,IF(E6187="LO",6,10))+IF(T6187=1,2,IF(D6187=7,1,(IF(WEEKDAY(B6187)=1,2,IF(WEEKDAY(B6187)=7,1,0))))))</f>
        <v>2</v>
      </c>
      <c r="V6187" s="328">
        <f>VLOOKUP(C6187,METADATA!$A$5:$H$29,IF(E6187="HI",2,IF(E6187="LO",6,10))+IF(T6187=1,2,IF(D6187=7,1,(IF(WEEKDAY(B6187)=1,2,IF(WEEKDAY(B6187)=7,1,0))))))</f>
        <v>2</v>
      </c>
    </row>
    <row r="6188" spans="2:22">
      <c r="B6188" s="318">
        <f t="shared" si="387"/>
        <v>46370</v>
      </c>
      <c r="C6188" s="312">
        <v>16</v>
      </c>
      <c r="D6188" s="368">
        <f>IFERROR((INDEX(METADATA!$T$2:$T$20,MATCH(B6188,METADATA!$S$2:$S$20,0))),0)</f>
        <v>0</v>
      </c>
      <c r="E6188" s="312" t="str">
        <f t="shared" si="384"/>
        <v>LO</v>
      </c>
      <c r="F6188" s="369">
        <f>VLOOKUP(C6188,METADATA!$A$5:$H$29,IF(E6188="HI",2,IF(E6188="LO",6,10))+IF(D6188=1,2,IF(D6188=7,1,(IF(WEEKDAY(B6188)=1,2,IF(WEEKDAY(B6188)=7,1,0))))))</f>
        <v>2</v>
      </c>
      <c r="G6188" s="369">
        <f>VLOOKUP(C6188,METADATA!$J$5:$Q$29,IF(E6188="HI",2,IF(E6188="LO",6,10))+IF(D6188=1,2,IF(D6188=7,1,(IF(WEEKDAY(B6188)=1,2,IF(WEEKDAY(B6188)=7,1,0))))))</f>
        <v>2</v>
      </c>
      <c r="H6188" s="370">
        <v>3941.909912109375</v>
      </c>
      <c r="I6188" s="370">
        <v>1180.1525268554688</v>
      </c>
      <c r="M6188" s="371">
        <f t="shared" si="385"/>
        <v>4114.7799141423702</v>
      </c>
      <c r="N6188" s="329">
        <f t="shared" si="386"/>
        <v>0</v>
      </c>
      <c r="T6188" s="331">
        <v>0</v>
      </c>
      <c r="U6188" s="328">
        <f>VLOOKUP(C6188,METADATA!$J$5:$Q$29,IF(E6188="HI",2,IF(E6188="LO",6,10))+IF(T6188=1,2,IF(D6188=7,1,(IF(WEEKDAY(B6188)=1,2,IF(WEEKDAY(B6188)=7,1,0))))))</f>
        <v>2</v>
      </c>
      <c r="V6188" s="328">
        <f>VLOOKUP(C6188,METADATA!$A$5:$H$29,IF(E6188="HI",2,IF(E6188="LO",6,10))+IF(T6188=1,2,IF(D6188=7,1,(IF(WEEKDAY(B6188)=1,2,IF(WEEKDAY(B6188)=7,1,0))))))</f>
        <v>2</v>
      </c>
    </row>
    <row r="6189" spans="2:22">
      <c r="B6189" s="318">
        <f t="shared" si="387"/>
        <v>46370</v>
      </c>
      <c r="C6189" s="312">
        <v>17</v>
      </c>
      <c r="D6189" s="368">
        <f>IFERROR((INDEX(METADATA!$T$2:$T$20,MATCH(B6189,METADATA!$S$2:$S$20,0))),0)</f>
        <v>0</v>
      </c>
      <c r="E6189" s="312" t="str">
        <f t="shared" si="384"/>
        <v>LO</v>
      </c>
      <c r="F6189" s="369">
        <f>VLOOKUP(C6189,METADATA!$A$5:$H$29,IF(E6189="HI",2,IF(E6189="LO",6,10))+IF(D6189=1,2,IF(D6189=7,1,(IF(WEEKDAY(B6189)=1,2,IF(WEEKDAY(B6189)=7,1,0))))))</f>
        <v>2</v>
      </c>
      <c r="G6189" s="369">
        <f>VLOOKUP(C6189,METADATA!$J$5:$Q$29,IF(E6189="HI",2,IF(E6189="LO",6,10))+IF(D6189=1,2,IF(D6189=7,1,(IF(WEEKDAY(B6189)=1,2,IF(WEEKDAY(B6189)=7,1,0))))))</f>
        <v>2</v>
      </c>
      <c r="H6189" s="370">
        <v>3969.5025329589844</v>
      </c>
      <c r="I6189" s="370">
        <v>1194.1199340820313</v>
      </c>
      <c r="M6189" s="371">
        <f t="shared" si="385"/>
        <v>4145.2228861835483</v>
      </c>
      <c r="N6189" s="329">
        <f t="shared" si="386"/>
        <v>3.2691741943360739</v>
      </c>
      <c r="T6189" s="331">
        <v>0</v>
      </c>
      <c r="U6189" s="328">
        <f>VLOOKUP(C6189,METADATA!$J$5:$Q$29,IF(E6189="HI",2,IF(E6189="LO",6,10))+IF(T6189=1,2,IF(D6189=7,1,(IF(WEEKDAY(B6189)=1,2,IF(WEEKDAY(B6189)=7,1,0))))))</f>
        <v>2</v>
      </c>
      <c r="V6189" s="328">
        <f>VLOOKUP(C6189,METADATA!$A$5:$H$29,IF(E6189="HI",2,IF(E6189="LO",6,10))+IF(T6189=1,2,IF(D6189=7,1,(IF(WEEKDAY(B6189)=1,2,IF(WEEKDAY(B6189)=7,1,0))))))</f>
        <v>2</v>
      </c>
    </row>
    <row r="6190" spans="2:22">
      <c r="B6190" s="318">
        <f t="shared" si="387"/>
        <v>46370</v>
      </c>
      <c r="C6190" s="312">
        <v>18</v>
      </c>
      <c r="D6190" s="368">
        <f>IFERROR((INDEX(METADATA!$T$2:$T$20,MATCH(B6190,METADATA!$S$2:$S$20,0))),0)</f>
        <v>0</v>
      </c>
      <c r="E6190" s="312" t="str">
        <f t="shared" si="384"/>
        <v>LO</v>
      </c>
      <c r="F6190" s="369">
        <f>VLOOKUP(C6190,METADATA!$A$5:$H$29,IF(E6190="HI",2,IF(E6190="LO",6,10))+IF(D6190=1,2,IF(D6190=7,1,(IF(WEEKDAY(B6190)=1,2,IF(WEEKDAY(B6190)=7,1,0))))))</f>
        <v>1</v>
      </c>
      <c r="G6190" s="369">
        <f>VLOOKUP(C6190,METADATA!$J$5:$Q$29,IF(E6190="HI",2,IF(E6190="LO",6,10))+IF(D6190=1,2,IF(D6190=7,1,(IF(WEEKDAY(B6190)=1,2,IF(WEEKDAY(B6190)=7,1,0))))))</f>
        <v>1</v>
      </c>
      <c r="H6190" s="370">
        <v>3785.3599853515625</v>
      </c>
      <c r="I6190" s="370">
        <v>1080.5050048828125</v>
      </c>
      <c r="M6190" s="371">
        <f t="shared" si="385"/>
        <v>3936.5519537124856</v>
      </c>
      <c r="N6190" s="329">
        <f t="shared" si="386"/>
        <v>0</v>
      </c>
      <c r="T6190" s="331">
        <v>0</v>
      </c>
      <c r="U6190" s="328">
        <f>VLOOKUP(C6190,METADATA!$J$5:$Q$29,IF(E6190="HI",2,IF(E6190="LO",6,10))+IF(T6190=1,2,IF(D6190=7,1,(IF(WEEKDAY(B6190)=1,2,IF(WEEKDAY(B6190)=7,1,0))))))</f>
        <v>1</v>
      </c>
      <c r="V6190" s="328">
        <f>VLOOKUP(C6190,METADATA!$A$5:$H$29,IF(E6190="HI",2,IF(E6190="LO",6,10))+IF(T6190=1,2,IF(D6190=7,1,(IF(WEEKDAY(B6190)=1,2,IF(WEEKDAY(B6190)=7,1,0))))))</f>
        <v>1</v>
      </c>
    </row>
    <row r="6191" spans="2:22">
      <c r="B6191" s="318">
        <f t="shared" si="387"/>
        <v>46370</v>
      </c>
      <c r="C6191" s="312">
        <v>19</v>
      </c>
      <c r="D6191" s="368">
        <f>IFERROR((INDEX(METADATA!$T$2:$T$20,MATCH(B6191,METADATA!$S$2:$S$20,0))),0)</f>
        <v>0</v>
      </c>
      <c r="E6191" s="312" t="str">
        <f t="shared" si="384"/>
        <v>LO</v>
      </c>
      <c r="F6191" s="369">
        <f>VLOOKUP(C6191,METADATA!$A$5:$H$29,IF(E6191="HI",2,IF(E6191="LO",6,10))+IF(D6191=1,2,IF(D6191=7,1,(IF(WEEKDAY(B6191)=1,2,IF(WEEKDAY(B6191)=7,1,0))))))</f>
        <v>1</v>
      </c>
      <c r="G6191" s="369">
        <f>VLOOKUP(C6191,METADATA!$J$5:$Q$29,IF(E6191="HI",2,IF(E6191="LO",6,10))+IF(D6191=1,2,IF(D6191=7,1,(IF(WEEKDAY(B6191)=1,2,IF(WEEKDAY(B6191)=7,1,0))))))</f>
        <v>1</v>
      </c>
      <c r="H6191" s="370">
        <v>4450.4574279785156</v>
      </c>
      <c r="I6191" s="370">
        <v>1077.3350219726563</v>
      </c>
      <c r="M6191" s="371">
        <f t="shared" si="385"/>
        <v>4578.9979327160618</v>
      </c>
      <c r="N6191" s="329">
        <f t="shared" si="386"/>
        <v>0</v>
      </c>
      <c r="T6191" s="331">
        <v>0</v>
      </c>
      <c r="U6191" s="328">
        <f>VLOOKUP(C6191,METADATA!$J$5:$Q$29,IF(E6191="HI",2,IF(E6191="LO",6,10))+IF(T6191=1,2,IF(D6191=7,1,(IF(WEEKDAY(B6191)=1,2,IF(WEEKDAY(B6191)=7,1,0))))))</f>
        <v>1</v>
      </c>
      <c r="V6191" s="328">
        <f>VLOOKUP(C6191,METADATA!$A$5:$H$29,IF(E6191="HI",2,IF(E6191="LO",6,10))+IF(T6191=1,2,IF(D6191=7,1,(IF(WEEKDAY(B6191)=1,2,IF(WEEKDAY(B6191)=7,1,0))))))</f>
        <v>1</v>
      </c>
    </row>
    <row r="6192" spans="2:22">
      <c r="B6192" s="318">
        <f t="shared" si="387"/>
        <v>46370</v>
      </c>
      <c r="C6192" s="312">
        <v>20</v>
      </c>
      <c r="D6192" s="368">
        <f>IFERROR((INDEX(METADATA!$T$2:$T$20,MATCH(B6192,METADATA!$S$2:$S$20,0))),0)</f>
        <v>0</v>
      </c>
      <c r="E6192" s="312" t="str">
        <f t="shared" si="384"/>
        <v>LO</v>
      </c>
      <c r="F6192" s="369">
        <f>VLOOKUP(C6192,METADATA!$A$5:$H$29,IF(E6192="HI",2,IF(E6192="LO",6,10))+IF(D6192=1,2,IF(D6192=7,1,(IF(WEEKDAY(B6192)=1,2,IF(WEEKDAY(B6192)=7,1,0))))))</f>
        <v>1</v>
      </c>
      <c r="G6192" s="369">
        <f>VLOOKUP(C6192,METADATA!$J$5:$Q$29,IF(E6192="HI",2,IF(E6192="LO",6,10))+IF(D6192=1,2,IF(D6192=7,1,(IF(WEEKDAY(B6192)=1,2,IF(WEEKDAY(B6192)=7,1,0))))))</f>
        <v>1</v>
      </c>
      <c r="H6192" s="370">
        <v>5682.8050842285156</v>
      </c>
      <c r="I6192" s="370">
        <v>1150.7750244140625</v>
      </c>
      <c r="M6192" s="371">
        <f t="shared" si="385"/>
        <v>5798.151152061203</v>
      </c>
      <c r="N6192" s="329">
        <f t="shared" si="386"/>
        <v>0</v>
      </c>
      <c r="T6192" s="331">
        <v>0</v>
      </c>
      <c r="U6192" s="328">
        <f>VLOOKUP(C6192,METADATA!$J$5:$Q$29,IF(E6192="HI",2,IF(E6192="LO",6,10))+IF(T6192=1,2,IF(D6192=7,1,(IF(WEEKDAY(B6192)=1,2,IF(WEEKDAY(B6192)=7,1,0))))))</f>
        <v>1</v>
      </c>
      <c r="V6192" s="328">
        <f>VLOOKUP(C6192,METADATA!$A$5:$H$29,IF(E6192="HI",2,IF(E6192="LO",6,10))+IF(T6192=1,2,IF(D6192=7,1,(IF(WEEKDAY(B6192)=1,2,IF(WEEKDAY(B6192)=7,1,0))))))</f>
        <v>1</v>
      </c>
    </row>
    <row r="6193" spans="2:22">
      <c r="B6193" s="318">
        <f t="shared" si="387"/>
        <v>46370</v>
      </c>
      <c r="C6193" s="312">
        <v>21</v>
      </c>
      <c r="D6193" s="368">
        <f>IFERROR((INDEX(METADATA!$T$2:$T$20,MATCH(B6193,METADATA!$S$2:$S$20,0))),0)</f>
        <v>0</v>
      </c>
      <c r="E6193" s="312" t="str">
        <f t="shared" si="384"/>
        <v>LO</v>
      </c>
      <c r="F6193" s="369">
        <f>VLOOKUP(C6193,METADATA!$A$5:$H$29,IF(E6193="HI",2,IF(E6193="LO",6,10))+IF(D6193=1,2,IF(D6193=7,1,(IF(WEEKDAY(B6193)=1,2,IF(WEEKDAY(B6193)=7,1,0))))))</f>
        <v>2</v>
      </c>
      <c r="G6193" s="369">
        <f>VLOOKUP(C6193,METADATA!$J$5:$Q$29,IF(E6193="HI",2,IF(E6193="LO",6,10))+IF(D6193=1,2,IF(D6193=7,1,(IF(WEEKDAY(B6193)=1,2,IF(WEEKDAY(B6193)=7,1,0))))))</f>
        <v>2</v>
      </c>
      <c r="H6193" s="370">
        <v>6484.2273559570313</v>
      </c>
      <c r="I6193" s="370">
        <v>1151.6399841308594</v>
      </c>
      <c r="M6193" s="371">
        <f t="shared" si="385"/>
        <v>6585.7026243818837</v>
      </c>
      <c r="N6193" s="329">
        <f t="shared" si="386"/>
        <v>0</v>
      </c>
      <c r="T6193" s="331">
        <v>0</v>
      </c>
      <c r="U6193" s="328">
        <f>VLOOKUP(C6193,METADATA!$J$5:$Q$29,IF(E6193="HI",2,IF(E6193="LO",6,10))+IF(T6193=1,2,IF(D6193=7,1,(IF(WEEKDAY(B6193)=1,2,IF(WEEKDAY(B6193)=7,1,0))))))</f>
        <v>2</v>
      </c>
      <c r="V6193" s="328">
        <f>VLOOKUP(C6193,METADATA!$A$5:$H$29,IF(E6193="HI",2,IF(E6193="LO",6,10))+IF(T6193=1,2,IF(D6193=7,1,(IF(WEEKDAY(B6193)=1,2,IF(WEEKDAY(B6193)=7,1,0))))))</f>
        <v>2</v>
      </c>
    </row>
    <row r="6194" spans="2:22">
      <c r="B6194" s="318">
        <f t="shared" si="387"/>
        <v>46370</v>
      </c>
      <c r="C6194" s="312">
        <v>22</v>
      </c>
      <c r="D6194" s="368">
        <f>IFERROR((INDEX(METADATA!$T$2:$T$20,MATCH(B6194,METADATA!$S$2:$S$20,0))),0)</f>
        <v>0</v>
      </c>
      <c r="E6194" s="312" t="str">
        <f t="shared" si="384"/>
        <v>LO</v>
      </c>
      <c r="F6194" s="369">
        <f>VLOOKUP(C6194,METADATA!$A$5:$H$29,IF(E6194="HI",2,IF(E6194="LO",6,10))+IF(D6194=1,2,IF(D6194=7,1,(IF(WEEKDAY(B6194)=1,2,IF(WEEKDAY(B6194)=7,1,0))))))</f>
        <v>3</v>
      </c>
      <c r="G6194" s="369">
        <f>VLOOKUP(C6194,METADATA!$J$5:$Q$29,IF(E6194="HI",2,IF(E6194="LO",6,10))+IF(D6194=1,2,IF(D6194=7,1,(IF(WEEKDAY(B6194)=1,2,IF(WEEKDAY(B6194)=7,1,0))))))</f>
        <v>3</v>
      </c>
      <c r="H6194" s="370">
        <v>7938.402587890625</v>
      </c>
      <c r="I6194" s="370">
        <v>1301.5450189709663</v>
      </c>
      <c r="M6194" s="371">
        <f t="shared" si="385"/>
        <v>8044.3927728472272</v>
      </c>
      <c r="N6194" s="329">
        <f t="shared" si="386"/>
        <v>0</v>
      </c>
      <c r="T6194" s="331">
        <v>0</v>
      </c>
      <c r="U6194" s="328">
        <f>VLOOKUP(C6194,METADATA!$J$5:$Q$29,IF(E6194="HI",2,IF(E6194="LO",6,10))+IF(T6194=1,2,IF(D6194=7,1,(IF(WEEKDAY(B6194)=1,2,IF(WEEKDAY(B6194)=7,1,0))))))</f>
        <v>3</v>
      </c>
      <c r="V6194" s="328">
        <f>VLOOKUP(C6194,METADATA!$A$5:$H$29,IF(E6194="HI",2,IF(E6194="LO",6,10))+IF(T6194=1,2,IF(D6194=7,1,(IF(WEEKDAY(B6194)=1,2,IF(WEEKDAY(B6194)=7,1,0))))))</f>
        <v>3</v>
      </c>
    </row>
    <row r="6195" spans="2:22">
      <c r="B6195" s="318">
        <f t="shared" si="387"/>
        <v>46370</v>
      </c>
      <c r="C6195" s="312">
        <v>23</v>
      </c>
      <c r="D6195" s="368">
        <f>IFERROR((INDEX(METADATA!$T$2:$T$20,MATCH(B6195,METADATA!$S$2:$S$20,0))),0)</f>
        <v>0</v>
      </c>
      <c r="E6195" s="312" t="str">
        <f t="shared" si="384"/>
        <v>LO</v>
      </c>
      <c r="F6195" s="369">
        <f>VLOOKUP(C6195,METADATA!$A$5:$H$29,IF(E6195="HI",2,IF(E6195="LO",6,10))+IF(D6195=1,2,IF(D6195=7,1,(IF(WEEKDAY(B6195)=1,2,IF(WEEKDAY(B6195)=7,1,0))))))</f>
        <v>3</v>
      </c>
      <c r="G6195" s="369">
        <f>VLOOKUP(C6195,METADATA!$J$5:$Q$29,IF(E6195="HI",2,IF(E6195="LO",6,10))+IF(D6195=1,2,IF(D6195=7,1,(IF(WEEKDAY(B6195)=1,2,IF(WEEKDAY(B6195)=7,1,0))))))</f>
        <v>3</v>
      </c>
      <c r="H6195" s="370">
        <v>10831.194854736328</v>
      </c>
      <c r="I6195" s="370">
        <v>2257.1324920654297</v>
      </c>
      <c r="M6195" s="371">
        <f t="shared" si="385"/>
        <v>11063.879476386401</v>
      </c>
      <c r="N6195" s="329">
        <f t="shared" si="386"/>
        <v>0</v>
      </c>
      <c r="T6195" s="331">
        <v>0</v>
      </c>
      <c r="U6195" s="328">
        <f>VLOOKUP(C6195,METADATA!$J$5:$Q$29,IF(E6195="HI",2,IF(E6195="LO",6,10))+IF(T6195=1,2,IF(D6195=7,1,(IF(WEEKDAY(B6195)=1,2,IF(WEEKDAY(B6195)=7,1,0))))))</f>
        <v>3</v>
      </c>
      <c r="V6195" s="328">
        <f>VLOOKUP(C6195,METADATA!$A$5:$H$29,IF(E6195="HI",2,IF(E6195="LO",6,10))+IF(T6195=1,2,IF(D6195=7,1,(IF(WEEKDAY(B6195)=1,2,IF(WEEKDAY(B6195)=7,1,0))))))</f>
        <v>3</v>
      </c>
    </row>
    <row r="6196" spans="2:22">
      <c r="B6196" s="318">
        <f t="shared" si="387"/>
        <v>46371</v>
      </c>
      <c r="C6196" s="312">
        <v>0</v>
      </c>
      <c r="D6196" s="368">
        <f>IFERROR((INDEX(METADATA!$T$2:$T$20,MATCH(B6196,METADATA!$S$2:$S$20,0))),0)</f>
        <v>0</v>
      </c>
      <c r="E6196" s="312" t="str">
        <f t="shared" si="384"/>
        <v>LO</v>
      </c>
      <c r="F6196" s="369">
        <f>VLOOKUP(C6196,METADATA!$A$5:$H$29,IF(E6196="HI",2,IF(E6196="LO",6,10))+IF(D6196=1,2,IF(D6196=7,1,(IF(WEEKDAY(B6196)=1,2,IF(WEEKDAY(B6196)=7,1,0))))))</f>
        <v>3</v>
      </c>
      <c r="G6196" s="369">
        <f>VLOOKUP(C6196,METADATA!$J$5:$Q$29,IF(E6196="HI",2,IF(E6196="LO",6,10))+IF(D6196=1,2,IF(D6196=7,1,(IF(WEEKDAY(B6196)=1,2,IF(WEEKDAY(B6196)=7,1,0))))))</f>
        <v>3</v>
      </c>
      <c r="H6196" s="370">
        <v>11916.174926757813</v>
      </c>
      <c r="I6196" s="370">
        <v>2839.0899658203125</v>
      </c>
      <c r="M6196" s="371">
        <f t="shared" si="385"/>
        <v>12249.720679228287</v>
      </c>
      <c r="N6196" s="329">
        <f t="shared" si="386"/>
        <v>0</v>
      </c>
      <c r="T6196" s="331">
        <v>0</v>
      </c>
      <c r="U6196" s="328">
        <f>VLOOKUP(C6196,METADATA!$J$5:$Q$29,IF(E6196="HI",2,IF(E6196="LO",6,10))+IF(T6196=1,2,IF(D6196=7,1,(IF(WEEKDAY(B6196)=1,2,IF(WEEKDAY(B6196)=7,1,0))))))</f>
        <v>3</v>
      </c>
      <c r="V6196" s="328">
        <f>VLOOKUP(C6196,METADATA!$A$5:$H$29,IF(E6196="HI",2,IF(E6196="LO",6,10))+IF(T6196=1,2,IF(D6196=7,1,(IF(WEEKDAY(B6196)=1,2,IF(WEEKDAY(B6196)=7,1,0))))))</f>
        <v>3</v>
      </c>
    </row>
    <row r="6197" spans="2:22">
      <c r="B6197" s="318">
        <f t="shared" si="387"/>
        <v>46371</v>
      </c>
      <c r="C6197" s="312">
        <v>1</v>
      </c>
      <c r="D6197" s="368">
        <f>IFERROR((INDEX(METADATA!$T$2:$T$20,MATCH(B6197,METADATA!$S$2:$S$20,0))),0)</f>
        <v>0</v>
      </c>
      <c r="E6197" s="312" t="str">
        <f t="shared" si="384"/>
        <v>LO</v>
      </c>
      <c r="F6197" s="369">
        <f>VLOOKUP(C6197,METADATA!$A$5:$H$29,IF(E6197="HI",2,IF(E6197="LO",6,10))+IF(D6197=1,2,IF(D6197=7,1,(IF(WEEKDAY(B6197)=1,2,IF(WEEKDAY(B6197)=7,1,0))))))</f>
        <v>3</v>
      </c>
      <c r="G6197" s="369">
        <f>VLOOKUP(C6197,METADATA!$J$5:$Q$29,IF(E6197="HI",2,IF(E6197="LO",6,10))+IF(D6197=1,2,IF(D6197=7,1,(IF(WEEKDAY(B6197)=1,2,IF(WEEKDAY(B6197)=7,1,0))))))</f>
        <v>3</v>
      </c>
      <c r="H6197" s="370">
        <v>12414.422729492188</v>
      </c>
      <c r="I6197" s="370">
        <v>3227.0800018310547</v>
      </c>
      <c r="M6197" s="371">
        <f t="shared" si="385"/>
        <v>12827.000313586577</v>
      </c>
      <c r="N6197" s="329">
        <f t="shared" si="386"/>
        <v>0</v>
      </c>
      <c r="T6197" s="331">
        <v>0</v>
      </c>
      <c r="U6197" s="328">
        <f>VLOOKUP(C6197,METADATA!$J$5:$Q$29,IF(E6197="HI",2,IF(E6197="LO",6,10))+IF(T6197=1,2,IF(D6197=7,1,(IF(WEEKDAY(B6197)=1,2,IF(WEEKDAY(B6197)=7,1,0))))))</f>
        <v>3</v>
      </c>
      <c r="V6197" s="328">
        <f>VLOOKUP(C6197,METADATA!$A$5:$H$29,IF(E6197="HI",2,IF(E6197="LO",6,10))+IF(T6197=1,2,IF(D6197=7,1,(IF(WEEKDAY(B6197)=1,2,IF(WEEKDAY(B6197)=7,1,0))))))</f>
        <v>3</v>
      </c>
    </row>
    <row r="6198" spans="2:22">
      <c r="B6198" s="318">
        <f t="shared" si="387"/>
        <v>46371</v>
      </c>
      <c r="C6198" s="312">
        <v>2</v>
      </c>
      <c r="D6198" s="368">
        <f>IFERROR((INDEX(METADATA!$T$2:$T$20,MATCH(B6198,METADATA!$S$2:$S$20,0))),0)</f>
        <v>0</v>
      </c>
      <c r="E6198" s="312" t="str">
        <f t="shared" si="384"/>
        <v>LO</v>
      </c>
      <c r="F6198" s="369">
        <f>VLOOKUP(C6198,METADATA!$A$5:$H$29,IF(E6198="HI",2,IF(E6198="LO",6,10))+IF(D6198=1,2,IF(D6198=7,1,(IF(WEEKDAY(B6198)=1,2,IF(WEEKDAY(B6198)=7,1,0))))))</f>
        <v>3</v>
      </c>
      <c r="G6198" s="369">
        <f>VLOOKUP(C6198,METADATA!$J$5:$Q$29,IF(E6198="HI",2,IF(E6198="LO",6,10))+IF(D6198=1,2,IF(D6198=7,1,(IF(WEEKDAY(B6198)=1,2,IF(WEEKDAY(B6198)=7,1,0))))))</f>
        <v>3</v>
      </c>
      <c r="H6198" s="370">
        <v>13569.025024414063</v>
      </c>
      <c r="I6198" s="370">
        <v>4221.2599792480469</v>
      </c>
      <c r="M6198" s="371">
        <f t="shared" si="385"/>
        <v>14210.470644055962</v>
      </c>
      <c r="N6198" s="329">
        <f t="shared" si="386"/>
        <v>150.55247192382831</v>
      </c>
      <c r="T6198" s="331">
        <v>0</v>
      </c>
      <c r="U6198" s="328">
        <f>VLOOKUP(C6198,METADATA!$J$5:$Q$29,IF(E6198="HI",2,IF(E6198="LO",6,10))+IF(T6198=1,2,IF(D6198=7,1,(IF(WEEKDAY(B6198)=1,2,IF(WEEKDAY(B6198)=7,1,0))))))</f>
        <v>3</v>
      </c>
      <c r="V6198" s="328">
        <f>VLOOKUP(C6198,METADATA!$A$5:$H$29,IF(E6198="HI",2,IF(E6198="LO",6,10))+IF(T6198=1,2,IF(D6198=7,1,(IF(WEEKDAY(B6198)=1,2,IF(WEEKDAY(B6198)=7,1,0))))))</f>
        <v>3</v>
      </c>
    </row>
    <row r="6199" spans="2:22">
      <c r="B6199" s="318">
        <f t="shared" si="387"/>
        <v>46371</v>
      </c>
      <c r="C6199" s="312">
        <v>3</v>
      </c>
      <c r="D6199" s="368">
        <f>IFERROR((INDEX(METADATA!$T$2:$T$20,MATCH(B6199,METADATA!$S$2:$S$20,0))),0)</f>
        <v>0</v>
      </c>
      <c r="E6199" s="312" t="str">
        <f t="shared" si="384"/>
        <v>LO</v>
      </c>
      <c r="F6199" s="369">
        <f>VLOOKUP(C6199,METADATA!$A$5:$H$29,IF(E6199="HI",2,IF(E6199="LO",6,10))+IF(D6199=1,2,IF(D6199=7,1,(IF(WEEKDAY(B6199)=1,2,IF(WEEKDAY(B6199)=7,1,0))))))</f>
        <v>3</v>
      </c>
      <c r="G6199" s="369">
        <f>VLOOKUP(C6199,METADATA!$J$5:$Q$29,IF(E6199="HI",2,IF(E6199="LO",6,10))+IF(D6199=1,2,IF(D6199=7,1,(IF(WEEKDAY(B6199)=1,2,IF(WEEKDAY(B6199)=7,1,0))))))</f>
        <v>3</v>
      </c>
      <c r="H6199" s="370">
        <v>13650.350219726563</v>
      </c>
      <c r="I6199" s="370">
        <v>4237.9050598144531</v>
      </c>
      <c r="M6199" s="371">
        <f t="shared" si="385"/>
        <v>14293.071762822363</v>
      </c>
      <c r="N6199" s="329">
        <f t="shared" si="386"/>
        <v>142.79999389648447</v>
      </c>
      <c r="T6199" s="331">
        <v>0</v>
      </c>
      <c r="U6199" s="328">
        <f>VLOOKUP(C6199,METADATA!$J$5:$Q$29,IF(E6199="HI",2,IF(E6199="LO",6,10))+IF(T6199=1,2,IF(D6199=7,1,(IF(WEEKDAY(B6199)=1,2,IF(WEEKDAY(B6199)=7,1,0))))))</f>
        <v>3</v>
      </c>
      <c r="V6199" s="328">
        <f>VLOOKUP(C6199,METADATA!$A$5:$H$29,IF(E6199="HI",2,IF(E6199="LO",6,10))+IF(T6199=1,2,IF(D6199=7,1,(IF(WEEKDAY(B6199)=1,2,IF(WEEKDAY(B6199)=7,1,0))))))</f>
        <v>3</v>
      </c>
    </row>
    <row r="6200" spans="2:22">
      <c r="B6200" s="318">
        <f t="shared" si="387"/>
        <v>46371</v>
      </c>
      <c r="C6200" s="312">
        <v>4</v>
      </c>
      <c r="D6200" s="368">
        <f>IFERROR((INDEX(METADATA!$T$2:$T$20,MATCH(B6200,METADATA!$S$2:$S$20,0))),0)</f>
        <v>0</v>
      </c>
      <c r="E6200" s="312" t="str">
        <f t="shared" si="384"/>
        <v>LO</v>
      </c>
      <c r="F6200" s="369">
        <f>VLOOKUP(C6200,METADATA!$A$5:$H$29,IF(E6200="HI",2,IF(E6200="LO",6,10))+IF(D6200=1,2,IF(D6200=7,1,(IF(WEEKDAY(B6200)=1,2,IF(WEEKDAY(B6200)=7,1,0))))))</f>
        <v>3</v>
      </c>
      <c r="G6200" s="369">
        <f>VLOOKUP(C6200,METADATA!$J$5:$Q$29,IF(E6200="HI",2,IF(E6200="LO",6,10))+IF(D6200=1,2,IF(D6200=7,1,(IF(WEEKDAY(B6200)=1,2,IF(WEEKDAY(B6200)=7,1,0))))))</f>
        <v>3</v>
      </c>
      <c r="H6200" s="370">
        <v>13059.725036621094</v>
      </c>
      <c r="I6200" s="370">
        <v>3748.6651153564453</v>
      </c>
      <c r="M6200" s="371">
        <f t="shared" si="385"/>
        <v>13587.086081247817</v>
      </c>
      <c r="N6200" s="329">
        <f t="shared" si="386"/>
        <v>0</v>
      </c>
      <c r="T6200" s="331">
        <v>0</v>
      </c>
      <c r="U6200" s="328">
        <f>VLOOKUP(C6200,METADATA!$J$5:$Q$29,IF(E6200="HI",2,IF(E6200="LO",6,10))+IF(T6200=1,2,IF(D6200=7,1,(IF(WEEKDAY(B6200)=1,2,IF(WEEKDAY(B6200)=7,1,0))))))</f>
        <v>3</v>
      </c>
      <c r="V6200" s="328">
        <f>VLOOKUP(C6200,METADATA!$A$5:$H$29,IF(E6200="HI",2,IF(E6200="LO",6,10))+IF(T6200=1,2,IF(D6200=7,1,(IF(WEEKDAY(B6200)=1,2,IF(WEEKDAY(B6200)=7,1,0))))))</f>
        <v>3</v>
      </c>
    </row>
    <row r="6201" spans="2:22">
      <c r="B6201" s="318">
        <f t="shared" si="387"/>
        <v>46371</v>
      </c>
      <c r="C6201" s="312">
        <v>5</v>
      </c>
      <c r="D6201" s="368">
        <f>IFERROR((INDEX(METADATA!$T$2:$T$20,MATCH(B6201,METADATA!$S$2:$S$20,0))),0)</f>
        <v>0</v>
      </c>
      <c r="E6201" s="312" t="str">
        <f t="shared" si="384"/>
        <v>LO</v>
      </c>
      <c r="F6201" s="369">
        <f>VLOOKUP(C6201,METADATA!$A$5:$H$29,IF(E6201="HI",2,IF(E6201="LO",6,10))+IF(D6201=1,2,IF(D6201=7,1,(IF(WEEKDAY(B6201)=1,2,IF(WEEKDAY(B6201)=7,1,0))))))</f>
        <v>3</v>
      </c>
      <c r="G6201" s="369">
        <f>VLOOKUP(C6201,METADATA!$J$5:$Q$29,IF(E6201="HI",2,IF(E6201="LO",6,10))+IF(D6201=1,2,IF(D6201=7,1,(IF(WEEKDAY(B6201)=1,2,IF(WEEKDAY(B6201)=7,1,0))))))</f>
        <v>3</v>
      </c>
      <c r="H6201" s="370">
        <v>11821.682769775391</v>
      </c>
      <c r="I6201" s="370">
        <v>3083.2499694824219</v>
      </c>
      <c r="M6201" s="371">
        <f t="shared" si="385"/>
        <v>12217.144260567513</v>
      </c>
      <c r="N6201" s="329">
        <f t="shared" si="386"/>
        <v>0</v>
      </c>
      <c r="T6201" s="331">
        <v>0</v>
      </c>
      <c r="U6201" s="328">
        <f>VLOOKUP(C6201,METADATA!$J$5:$Q$29,IF(E6201="HI",2,IF(E6201="LO",6,10))+IF(T6201=1,2,IF(D6201=7,1,(IF(WEEKDAY(B6201)=1,2,IF(WEEKDAY(B6201)=7,1,0))))))</f>
        <v>3</v>
      </c>
      <c r="V6201" s="328">
        <f>VLOOKUP(C6201,METADATA!$A$5:$H$29,IF(E6201="HI",2,IF(E6201="LO",6,10))+IF(T6201=1,2,IF(D6201=7,1,(IF(WEEKDAY(B6201)=1,2,IF(WEEKDAY(B6201)=7,1,0))))))</f>
        <v>3</v>
      </c>
    </row>
    <row r="6202" spans="2:22">
      <c r="B6202" s="318">
        <f t="shared" si="387"/>
        <v>46371</v>
      </c>
      <c r="C6202" s="312">
        <v>6</v>
      </c>
      <c r="D6202" s="368">
        <f>IFERROR((INDEX(METADATA!$T$2:$T$20,MATCH(B6202,METADATA!$S$2:$S$20,0))),0)</f>
        <v>0</v>
      </c>
      <c r="E6202" s="312" t="str">
        <f t="shared" si="384"/>
        <v>LO</v>
      </c>
      <c r="F6202" s="369">
        <f>VLOOKUP(C6202,METADATA!$A$5:$H$29,IF(E6202="HI",2,IF(E6202="LO",6,10))+IF(D6202=1,2,IF(D6202=7,1,(IF(WEEKDAY(B6202)=1,2,IF(WEEKDAY(B6202)=7,1,0))))))</f>
        <v>2</v>
      </c>
      <c r="G6202" s="369">
        <f>VLOOKUP(C6202,METADATA!$J$5:$Q$29,IF(E6202="HI",2,IF(E6202="LO",6,10))+IF(D6202=1,2,IF(D6202=7,1,(IF(WEEKDAY(B6202)=1,2,IF(WEEKDAY(B6202)=7,1,0))))))</f>
        <v>2</v>
      </c>
      <c r="H6202" s="370">
        <v>11656.457336425781</v>
      </c>
      <c r="I6202" s="370">
        <v>3035.0650329589844</v>
      </c>
      <c r="M6202" s="371">
        <f t="shared" si="385"/>
        <v>12045.107612230151</v>
      </c>
      <c r="N6202" s="329">
        <f t="shared" si="386"/>
        <v>0</v>
      </c>
      <c r="T6202" s="331">
        <v>0</v>
      </c>
      <c r="U6202" s="328">
        <f>VLOOKUP(C6202,METADATA!$J$5:$Q$29,IF(E6202="HI",2,IF(E6202="LO",6,10))+IF(T6202=1,2,IF(D6202=7,1,(IF(WEEKDAY(B6202)=1,2,IF(WEEKDAY(B6202)=7,1,0))))))</f>
        <v>2</v>
      </c>
      <c r="V6202" s="328">
        <f>VLOOKUP(C6202,METADATA!$A$5:$H$29,IF(E6202="HI",2,IF(E6202="LO",6,10))+IF(T6202=1,2,IF(D6202=7,1,(IF(WEEKDAY(B6202)=1,2,IF(WEEKDAY(B6202)=7,1,0))))))</f>
        <v>2</v>
      </c>
    </row>
    <row r="6203" spans="2:22">
      <c r="B6203" s="318">
        <f t="shared" si="387"/>
        <v>46371</v>
      </c>
      <c r="C6203" s="312">
        <v>7</v>
      </c>
      <c r="D6203" s="368">
        <f>IFERROR((INDEX(METADATA!$T$2:$T$20,MATCH(B6203,METADATA!$S$2:$S$20,0))),0)</f>
        <v>0</v>
      </c>
      <c r="E6203" s="312" t="str">
        <f t="shared" si="384"/>
        <v>LO</v>
      </c>
      <c r="F6203" s="369">
        <f>VLOOKUP(C6203,METADATA!$A$5:$H$29,IF(E6203="HI",2,IF(E6203="LO",6,10))+IF(D6203=1,2,IF(D6203=7,1,(IF(WEEKDAY(B6203)=1,2,IF(WEEKDAY(B6203)=7,1,0))))))</f>
        <v>1</v>
      </c>
      <c r="G6203" s="369">
        <f>VLOOKUP(C6203,METADATA!$J$5:$Q$29,IF(E6203="HI",2,IF(E6203="LO",6,10))+IF(D6203=1,2,IF(D6203=7,1,(IF(WEEKDAY(B6203)=1,2,IF(WEEKDAY(B6203)=7,1,0))))))</f>
        <v>1</v>
      </c>
      <c r="H6203" s="370">
        <v>11605.780029296875</v>
      </c>
      <c r="I6203" s="370">
        <v>2871.6699829101563</v>
      </c>
      <c r="M6203" s="371">
        <f t="shared" si="385"/>
        <v>11955.777623357395</v>
      </c>
      <c r="N6203" s="329">
        <f t="shared" si="386"/>
        <v>0</v>
      </c>
      <c r="T6203" s="331">
        <v>0</v>
      </c>
      <c r="U6203" s="328">
        <f>VLOOKUP(C6203,METADATA!$J$5:$Q$29,IF(E6203="HI",2,IF(E6203="LO",6,10))+IF(T6203=1,2,IF(D6203=7,1,(IF(WEEKDAY(B6203)=1,2,IF(WEEKDAY(B6203)=7,1,0))))))</f>
        <v>1</v>
      </c>
      <c r="V6203" s="328">
        <f>VLOOKUP(C6203,METADATA!$A$5:$H$29,IF(E6203="HI",2,IF(E6203="LO",6,10))+IF(T6203=1,2,IF(D6203=7,1,(IF(WEEKDAY(B6203)=1,2,IF(WEEKDAY(B6203)=7,1,0))))))</f>
        <v>1</v>
      </c>
    </row>
    <row r="6204" spans="2:22">
      <c r="B6204" s="318">
        <f t="shared" si="387"/>
        <v>46371</v>
      </c>
      <c r="C6204" s="312">
        <v>8</v>
      </c>
      <c r="D6204" s="368">
        <f>IFERROR((INDEX(METADATA!$T$2:$T$20,MATCH(B6204,METADATA!$S$2:$S$20,0))),0)</f>
        <v>0</v>
      </c>
      <c r="E6204" s="312" t="str">
        <f t="shared" si="384"/>
        <v>LO</v>
      </c>
      <c r="F6204" s="369">
        <f>VLOOKUP(C6204,METADATA!$A$5:$H$29,IF(E6204="HI",2,IF(E6204="LO",6,10))+IF(D6204=1,2,IF(D6204=7,1,(IF(WEEKDAY(B6204)=1,2,IF(WEEKDAY(B6204)=7,1,0))))))</f>
        <v>1</v>
      </c>
      <c r="G6204" s="369">
        <f>VLOOKUP(C6204,METADATA!$J$5:$Q$29,IF(E6204="HI",2,IF(E6204="LO",6,10))+IF(D6204=1,2,IF(D6204=7,1,(IF(WEEKDAY(B6204)=1,2,IF(WEEKDAY(B6204)=7,1,0))))))</f>
        <v>1</v>
      </c>
      <c r="H6204" s="370">
        <v>11796.809936523438</v>
      </c>
      <c r="I6204" s="370">
        <v>2867.5449829101563</v>
      </c>
      <c r="M6204" s="371">
        <f t="shared" si="385"/>
        <v>12140.326968721694</v>
      </c>
      <c r="N6204" s="329">
        <f t="shared" si="386"/>
        <v>0</v>
      </c>
      <c r="T6204" s="331">
        <v>0</v>
      </c>
      <c r="U6204" s="328">
        <f>VLOOKUP(C6204,METADATA!$J$5:$Q$29,IF(E6204="HI",2,IF(E6204="LO",6,10))+IF(T6204=1,2,IF(D6204=7,1,(IF(WEEKDAY(B6204)=1,2,IF(WEEKDAY(B6204)=7,1,0))))))</f>
        <v>1</v>
      </c>
      <c r="V6204" s="328">
        <f>VLOOKUP(C6204,METADATA!$A$5:$H$29,IF(E6204="HI",2,IF(E6204="LO",6,10))+IF(T6204=1,2,IF(D6204=7,1,(IF(WEEKDAY(B6204)=1,2,IF(WEEKDAY(B6204)=7,1,0))))))</f>
        <v>1</v>
      </c>
    </row>
    <row r="6205" spans="2:22">
      <c r="B6205" s="318">
        <f t="shared" si="387"/>
        <v>46371</v>
      </c>
      <c r="C6205" s="312">
        <v>9</v>
      </c>
      <c r="D6205" s="368">
        <f>IFERROR((INDEX(METADATA!$T$2:$T$20,MATCH(B6205,METADATA!$S$2:$S$20,0))),0)</f>
        <v>0</v>
      </c>
      <c r="E6205" s="312" t="str">
        <f t="shared" si="384"/>
        <v>LO</v>
      </c>
      <c r="F6205" s="369">
        <f>VLOOKUP(C6205,METADATA!$A$5:$H$29,IF(E6205="HI",2,IF(E6205="LO",6,10))+IF(D6205=1,2,IF(D6205=7,1,(IF(WEEKDAY(B6205)=1,2,IF(WEEKDAY(B6205)=7,1,0))))))</f>
        <v>2</v>
      </c>
      <c r="G6205" s="369">
        <f>VLOOKUP(C6205,METADATA!$J$5:$Q$29,IF(E6205="HI",2,IF(E6205="LO",6,10))+IF(D6205=1,2,IF(D6205=7,1,(IF(WEEKDAY(B6205)=1,2,IF(WEEKDAY(B6205)=7,1,0))))))</f>
        <v>2</v>
      </c>
      <c r="H6205" s="370">
        <v>13039.974914550781</v>
      </c>
      <c r="I6205" s="370">
        <v>3642.8549194335938</v>
      </c>
      <c r="M6205" s="371">
        <f t="shared" si="385"/>
        <v>13539.251742107286</v>
      </c>
      <c r="N6205" s="329">
        <f t="shared" si="386"/>
        <v>0</v>
      </c>
      <c r="T6205" s="331">
        <v>0</v>
      </c>
      <c r="U6205" s="328">
        <f>VLOOKUP(C6205,METADATA!$J$5:$Q$29,IF(E6205="HI",2,IF(E6205="LO",6,10))+IF(T6205=1,2,IF(D6205=7,1,(IF(WEEKDAY(B6205)=1,2,IF(WEEKDAY(B6205)=7,1,0))))))</f>
        <v>2</v>
      </c>
      <c r="V6205" s="328">
        <f>VLOOKUP(C6205,METADATA!$A$5:$H$29,IF(E6205="HI",2,IF(E6205="LO",6,10))+IF(T6205=1,2,IF(D6205=7,1,(IF(WEEKDAY(B6205)=1,2,IF(WEEKDAY(B6205)=7,1,0))))))</f>
        <v>2</v>
      </c>
    </row>
    <row r="6206" spans="2:22">
      <c r="B6206" s="318">
        <f t="shared" si="387"/>
        <v>46371</v>
      </c>
      <c r="C6206" s="312">
        <v>10</v>
      </c>
      <c r="D6206" s="368">
        <f>IFERROR((INDEX(METADATA!$T$2:$T$20,MATCH(B6206,METADATA!$S$2:$S$20,0))),0)</f>
        <v>0</v>
      </c>
      <c r="E6206" s="312" t="str">
        <f t="shared" si="384"/>
        <v>LO</v>
      </c>
      <c r="F6206" s="369">
        <f>VLOOKUP(C6206,METADATA!$A$5:$H$29,IF(E6206="HI",2,IF(E6206="LO",6,10))+IF(D6206=1,2,IF(D6206=7,1,(IF(WEEKDAY(B6206)=1,2,IF(WEEKDAY(B6206)=7,1,0))))))</f>
        <v>2</v>
      </c>
      <c r="G6206" s="369">
        <f>VLOOKUP(C6206,METADATA!$J$5:$Q$29,IF(E6206="HI",2,IF(E6206="LO",6,10))+IF(D6206=1,2,IF(D6206=7,1,(IF(WEEKDAY(B6206)=1,2,IF(WEEKDAY(B6206)=7,1,0))))))</f>
        <v>2</v>
      </c>
      <c r="H6206" s="370">
        <v>12961.875244140625</v>
      </c>
      <c r="I6206" s="370">
        <v>3569.3800048828125</v>
      </c>
      <c r="M6206" s="371">
        <f t="shared" si="385"/>
        <v>13444.355078021512</v>
      </c>
      <c r="N6206" s="329">
        <f t="shared" si="386"/>
        <v>0</v>
      </c>
      <c r="T6206" s="331">
        <v>0</v>
      </c>
      <c r="U6206" s="328">
        <f>VLOOKUP(C6206,METADATA!$J$5:$Q$29,IF(E6206="HI",2,IF(E6206="LO",6,10))+IF(T6206=1,2,IF(D6206=7,1,(IF(WEEKDAY(B6206)=1,2,IF(WEEKDAY(B6206)=7,1,0))))))</f>
        <v>2</v>
      </c>
      <c r="V6206" s="328">
        <f>VLOOKUP(C6206,METADATA!$A$5:$H$29,IF(E6206="HI",2,IF(E6206="LO",6,10))+IF(T6206=1,2,IF(D6206=7,1,(IF(WEEKDAY(B6206)=1,2,IF(WEEKDAY(B6206)=7,1,0))))))</f>
        <v>2</v>
      </c>
    </row>
    <row r="6207" spans="2:22">
      <c r="B6207" s="318">
        <f t="shared" si="387"/>
        <v>46371</v>
      </c>
      <c r="C6207" s="312">
        <v>11</v>
      </c>
      <c r="D6207" s="368">
        <f>IFERROR((INDEX(METADATA!$T$2:$T$20,MATCH(B6207,METADATA!$S$2:$S$20,0))),0)</f>
        <v>0</v>
      </c>
      <c r="E6207" s="312" t="str">
        <f t="shared" si="384"/>
        <v>LO</v>
      </c>
      <c r="F6207" s="369">
        <f>VLOOKUP(C6207,METADATA!$A$5:$H$29,IF(E6207="HI",2,IF(E6207="LO",6,10))+IF(D6207=1,2,IF(D6207=7,1,(IF(WEEKDAY(B6207)=1,2,IF(WEEKDAY(B6207)=7,1,0))))))</f>
        <v>2</v>
      </c>
      <c r="G6207" s="369">
        <f>VLOOKUP(C6207,METADATA!$J$5:$Q$29,IF(E6207="HI",2,IF(E6207="LO",6,10))+IF(D6207=1,2,IF(D6207=7,1,(IF(WEEKDAY(B6207)=1,2,IF(WEEKDAY(B6207)=7,1,0))))))</f>
        <v>2</v>
      </c>
      <c r="H6207" s="370">
        <v>13108.125061035156</v>
      </c>
      <c r="I6207" s="370">
        <v>3667.7300415039063</v>
      </c>
      <c r="M6207" s="371">
        <f t="shared" si="385"/>
        <v>13611.582798230636</v>
      </c>
      <c r="N6207" s="329">
        <f t="shared" si="386"/>
        <v>0</v>
      </c>
      <c r="T6207" s="331">
        <v>0</v>
      </c>
      <c r="U6207" s="328">
        <f>VLOOKUP(C6207,METADATA!$J$5:$Q$29,IF(E6207="HI",2,IF(E6207="LO",6,10))+IF(T6207=1,2,IF(D6207=7,1,(IF(WEEKDAY(B6207)=1,2,IF(WEEKDAY(B6207)=7,1,0))))))</f>
        <v>2</v>
      </c>
      <c r="V6207" s="328">
        <f>VLOOKUP(C6207,METADATA!$A$5:$H$29,IF(E6207="HI",2,IF(E6207="LO",6,10))+IF(T6207=1,2,IF(D6207=7,1,(IF(WEEKDAY(B6207)=1,2,IF(WEEKDAY(B6207)=7,1,0))))))</f>
        <v>2</v>
      </c>
    </row>
    <row r="6208" spans="2:22">
      <c r="B6208" s="318">
        <f t="shared" si="387"/>
        <v>46371</v>
      </c>
      <c r="C6208" s="312">
        <v>12</v>
      </c>
      <c r="D6208" s="368">
        <f>IFERROR((INDEX(METADATA!$T$2:$T$20,MATCH(B6208,METADATA!$S$2:$S$20,0))),0)</f>
        <v>0</v>
      </c>
      <c r="E6208" s="312" t="str">
        <f t="shared" si="384"/>
        <v>LO</v>
      </c>
      <c r="F6208" s="369">
        <f>VLOOKUP(C6208,METADATA!$A$5:$H$29,IF(E6208="HI",2,IF(E6208="LO",6,10))+IF(D6208=1,2,IF(D6208=7,1,(IF(WEEKDAY(B6208)=1,2,IF(WEEKDAY(B6208)=7,1,0))))))</f>
        <v>2</v>
      </c>
      <c r="G6208" s="369">
        <f>VLOOKUP(C6208,METADATA!$J$5:$Q$29,IF(E6208="HI",2,IF(E6208="LO",6,10))+IF(D6208=1,2,IF(D6208=7,1,(IF(WEEKDAY(B6208)=1,2,IF(WEEKDAY(B6208)=7,1,0))))))</f>
        <v>2</v>
      </c>
      <c r="H6208" s="370">
        <v>11801.400085449219</v>
      </c>
      <c r="I6208" s="370">
        <v>2773.822509765625</v>
      </c>
      <c r="M6208" s="371">
        <f t="shared" si="385"/>
        <v>12123.000259528302</v>
      </c>
      <c r="N6208" s="329">
        <f t="shared" si="386"/>
        <v>0</v>
      </c>
      <c r="T6208" s="331">
        <v>0</v>
      </c>
      <c r="U6208" s="328">
        <f>VLOOKUP(C6208,METADATA!$J$5:$Q$29,IF(E6208="HI",2,IF(E6208="LO",6,10))+IF(T6208=1,2,IF(D6208=7,1,(IF(WEEKDAY(B6208)=1,2,IF(WEEKDAY(B6208)=7,1,0))))))</f>
        <v>2</v>
      </c>
      <c r="V6208" s="328">
        <f>VLOOKUP(C6208,METADATA!$A$5:$H$29,IF(E6208="HI",2,IF(E6208="LO",6,10))+IF(T6208=1,2,IF(D6208=7,1,(IF(WEEKDAY(B6208)=1,2,IF(WEEKDAY(B6208)=7,1,0))))))</f>
        <v>2</v>
      </c>
    </row>
    <row r="6209" spans="2:22">
      <c r="B6209" s="318">
        <f t="shared" si="387"/>
        <v>46371</v>
      </c>
      <c r="C6209" s="312">
        <v>13</v>
      </c>
      <c r="D6209" s="368">
        <f>IFERROR((INDEX(METADATA!$T$2:$T$20,MATCH(B6209,METADATA!$S$2:$S$20,0))),0)</f>
        <v>0</v>
      </c>
      <c r="E6209" s="312" t="str">
        <f t="shared" si="384"/>
        <v>LO</v>
      </c>
      <c r="F6209" s="369">
        <f>VLOOKUP(C6209,METADATA!$A$5:$H$29,IF(E6209="HI",2,IF(E6209="LO",6,10))+IF(D6209=1,2,IF(D6209=7,1,(IF(WEEKDAY(B6209)=1,2,IF(WEEKDAY(B6209)=7,1,0))))))</f>
        <v>2</v>
      </c>
      <c r="G6209" s="369">
        <f>VLOOKUP(C6209,METADATA!$J$5:$Q$29,IF(E6209="HI",2,IF(E6209="LO",6,10))+IF(D6209=1,2,IF(D6209=7,1,(IF(WEEKDAY(B6209)=1,2,IF(WEEKDAY(B6209)=7,1,0))))))</f>
        <v>2</v>
      </c>
      <c r="H6209" s="370">
        <v>12859.849548339844</v>
      </c>
      <c r="I6209" s="370">
        <v>3524.4249267578125</v>
      </c>
      <c r="M6209" s="371">
        <f t="shared" si="385"/>
        <v>13334.065451702578</v>
      </c>
      <c r="N6209" s="329">
        <f t="shared" si="386"/>
        <v>0</v>
      </c>
      <c r="T6209" s="331">
        <v>0</v>
      </c>
      <c r="U6209" s="328">
        <f>VLOOKUP(C6209,METADATA!$J$5:$Q$29,IF(E6209="HI",2,IF(E6209="LO",6,10))+IF(T6209=1,2,IF(D6209=7,1,(IF(WEEKDAY(B6209)=1,2,IF(WEEKDAY(B6209)=7,1,0))))))</f>
        <v>2</v>
      </c>
      <c r="V6209" s="328">
        <f>VLOOKUP(C6209,METADATA!$A$5:$H$29,IF(E6209="HI",2,IF(E6209="LO",6,10))+IF(T6209=1,2,IF(D6209=7,1,(IF(WEEKDAY(B6209)=1,2,IF(WEEKDAY(B6209)=7,1,0))))))</f>
        <v>2</v>
      </c>
    </row>
    <row r="6210" spans="2:22">
      <c r="B6210" s="318">
        <f t="shared" si="387"/>
        <v>46371</v>
      </c>
      <c r="C6210" s="312">
        <v>14</v>
      </c>
      <c r="D6210" s="368">
        <f>IFERROR((INDEX(METADATA!$T$2:$T$20,MATCH(B6210,METADATA!$S$2:$S$20,0))),0)</f>
        <v>0</v>
      </c>
      <c r="E6210" s="312" t="str">
        <f t="shared" si="384"/>
        <v>LO</v>
      </c>
      <c r="F6210" s="369">
        <f>VLOOKUP(C6210,METADATA!$A$5:$H$29,IF(E6210="HI",2,IF(E6210="LO",6,10))+IF(D6210=1,2,IF(D6210=7,1,(IF(WEEKDAY(B6210)=1,2,IF(WEEKDAY(B6210)=7,1,0))))))</f>
        <v>2</v>
      </c>
      <c r="G6210" s="369">
        <f>VLOOKUP(C6210,METADATA!$J$5:$Q$29,IF(E6210="HI",2,IF(E6210="LO",6,10))+IF(D6210=1,2,IF(D6210=7,1,(IF(WEEKDAY(B6210)=1,2,IF(WEEKDAY(B6210)=7,1,0))))))</f>
        <v>2</v>
      </c>
      <c r="H6210" s="370">
        <v>13540.825012207031</v>
      </c>
      <c r="I6210" s="370">
        <v>4133.93994140625</v>
      </c>
      <c r="M6210" s="371">
        <f t="shared" si="385"/>
        <v>14157.8035531775</v>
      </c>
      <c r="N6210" s="329">
        <f t="shared" si="386"/>
        <v>71.692437744140989</v>
      </c>
      <c r="T6210" s="331">
        <v>0</v>
      </c>
      <c r="U6210" s="328">
        <f>VLOOKUP(C6210,METADATA!$J$5:$Q$29,IF(E6210="HI",2,IF(E6210="LO",6,10))+IF(T6210=1,2,IF(D6210=7,1,(IF(WEEKDAY(B6210)=1,2,IF(WEEKDAY(B6210)=7,1,0))))))</f>
        <v>2</v>
      </c>
      <c r="V6210" s="328">
        <f>VLOOKUP(C6210,METADATA!$A$5:$H$29,IF(E6210="HI",2,IF(E6210="LO",6,10))+IF(T6210=1,2,IF(D6210=7,1,(IF(WEEKDAY(B6210)=1,2,IF(WEEKDAY(B6210)=7,1,0))))))</f>
        <v>2</v>
      </c>
    </row>
    <row r="6211" spans="2:22">
      <c r="B6211" s="318">
        <f t="shared" si="387"/>
        <v>46371</v>
      </c>
      <c r="C6211" s="312">
        <v>15</v>
      </c>
      <c r="D6211" s="368">
        <f>IFERROR((INDEX(METADATA!$T$2:$T$20,MATCH(B6211,METADATA!$S$2:$S$20,0))),0)</f>
        <v>0</v>
      </c>
      <c r="E6211" s="312" t="str">
        <f t="shared" si="384"/>
        <v>LO</v>
      </c>
      <c r="F6211" s="369">
        <f>VLOOKUP(C6211,METADATA!$A$5:$H$29,IF(E6211="HI",2,IF(E6211="LO",6,10))+IF(D6211=1,2,IF(D6211=7,1,(IF(WEEKDAY(B6211)=1,2,IF(WEEKDAY(B6211)=7,1,0))))))</f>
        <v>2</v>
      </c>
      <c r="G6211" s="369">
        <f>VLOOKUP(C6211,METADATA!$J$5:$Q$29,IF(E6211="HI",2,IF(E6211="LO",6,10))+IF(D6211=1,2,IF(D6211=7,1,(IF(WEEKDAY(B6211)=1,2,IF(WEEKDAY(B6211)=7,1,0))))))</f>
        <v>2</v>
      </c>
      <c r="H6211" s="370">
        <v>13540.1748046875</v>
      </c>
      <c r="I6211" s="370">
        <v>4067.7350158691406</v>
      </c>
      <c r="M6211" s="371">
        <f t="shared" si="385"/>
        <v>14137.991437995077</v>
      </c>
      <c r="N6211" s="329">
        <f t="shared" si="386"/>
        <v>5.6825744628908978</v>
      </c>
      <c r="T6211" s="331">
        <v>0</v>
      </c>
      <c r="U6211" s="328">
        <f>VLOOKUP(C6211,METADATA!$J$5:$Q$29,IF(E6211="HI",2,IF(E6211="LO",6,10))+IF(T6211=1,2,IF(D6211=7,1,(IF(WEEKDAY(B6211)=1,2,IF(WEEKDAY(B6211)=7,1,0))))))</f>
        <v>2</v>
      </c>
      <c r="V6211" s="328">
        <f>VLOOKUP(C6211,METADATA!$A$5:$H$29,IF(E6211="HI",2,IF(E6211="LO",6,10))+IF(T6211=1,2,IF(D6211=7,1,(IF(WEEKDAY(B6211)=1,2,IF(WEEKDAY(B6211)=7,1,0))))))</f>
        <v>2</v>
      </c>
    </row>
    <row r="6212" spans="2:22">
      <c r="B6212" s="318">
        <f t="shared" si="387"/>
        <v>46371</v>
      </c>
      <c r="C6212" s="312">
        <v>16</v>
      </c>
      <c r="D6212" s="368">
        <f>IFERROR((INDEX(METADATA!$T$2:$T$20,MATCH(B6212,METADATA!$S$2:$S$20,0))),0)</f>
        <v>0</v>
      </c>
      <c r="E6212" s="312" t="str">
        <f t="shared" ref="E6212:E6275" si="388">IF(B6212="","",IF(AND(MONTH(B6212)&gt;=MONTH($Z$9),MONTH(B6212)&lt;=MONTH($Z$11)),"HI","LO"))</f>
        <v>LO</v>
      </c>
      <c r="F6212" s="369">
        <f>VLOOKUP(C6212,METADATA!$A$5:$H$29,IF(E6212="HI",2,IF(E6212="LO",6,10))+IF(D6212=1,2,IF(D6212=7,1,(IF(WEEKDAY(B6212)=1,2,IF(WEEKDAY(B6212)=7,1,0))))))</f>
        <v>2</v>
      </c>
      <c r="G6212" s="369">
        <f>VLOOKUP(C6212,METADATA!$J$5:$Q$29,IF(E6212="HI",2,IF(E6212="LO",6,10))+IF(D6212=1,2,IF(D6212=7,1,(IF(WEEKDAY(B6212)=1,2,IF(WEEKDAY(B6212)=7,1,0))))))</f>
        <v>2</v>
      </c>
      <c r="H6212" s="370">
        <v>13543.650085449219</v>
      </c>
      <c r="I6212" s="370">
        <v>4131.7400207519531</v>
      </c>
      <c r="M6212" s="371">
        <f t="shared" ref="M6212:M6275" si="389">SQRT(H6212^2+I6212^2)</f>
        <v>14159.863461070941</v>
      </c>
      <c r="N6212" s="329">
        <f t="shared" ref="N6212:N6275" si="390">IF(H6212=0,0,(IF(I6212-(0.3*H6212)&lt;0,0,(I6212-(0.3*H6212)))))</f>
        <v>68.644995117187591</v>
      </c>
      <c r="T6212" s="331">
        <v>0</v>
      </c>
      <c r="U6212" s="328">
        <f>VLOOKUP(C6212,METADATA!$J$5:$Q$29,IF(E6212="HI",2,IF(E6212="LO",6,10))+IF(T6212=1,2,IF(D6212=7,1,(IF(WEEKDAY(B6212)=1,2,IF(WEEKDAY(B6212)=7,1,0))))))</f>
        <v>2</v>
      </c>
      <c r="V6212" s="328">
        <f>VLOOKUP(C6212,METADATA!$A$5:$H$29,IF(E6212="HI",2,IF(E6212="LO",6,10))+IF(T6212=1,2,IF(D6212=7,1,(IF(WEEKDAY(B6212)=1,2,IF(WEEKDAY(B6212)=7,1,0))))))</f>
        <v>2</v>
      </c>
    </row>
    <row r="6213" spans="2:22">
      <c r="B6213" s="318">
        <f t="shared" si="387"/>
        <v>46371</v>
      </c>
      <c r="C6213" s="312">
        <v>17</v>
      </c>
      <c r="D6213" s="368">
        <f>IFERROR((INDEX(METADATA!$T$2:$T$20,MATCH(B6213,METADATA!$S$2:$S$20,0))),0)</f>
        <v>0</v>
      </c>
      <c r="E6213" s="312" t="str">
        <f t="shared" si="388"/>
        <v>LO</v>
      </c>
      <c r="F6213" s="369">
        <f>VLOOKUP(C6213,METADATA!$A$5:$H$29,IF(E6213="HI",2,IF(E6213="LO",6,10))+IF(D6213=1,2,IF(D6213=7,1,(IF(WEEKDAY(B6213)=1,2,IF(WEEKDAY(B6213)=7,1,0))))))</f>
        <v>2</v>
      </c>
      <c r="G6213" s="369">
        <f>VLOOKUP(C6213,METADATA!$J$5:$Q$29,IF(E6213="HI",2,IF(E6213="LO",6,10))+IF(D6213=1,2,IF(D6213=7,1,(IF(WEEKDAY(B6213)=1,2,IF(WEEKDAY(B6213)=7,1,0))))))</f>
        <v>2</v>
      </c>
      <c r="H6213" s="370">
        <v>13510.699951171875</v>
      </c>
      <c r="I6213" s="370">
        <v>4255.6100158691406</v>
      </c>
      <c r="M6213" s="371">
        <f t="shared" si="389"/>
        <v>14165.070765010723</v>
      </c>
      <c r="N6213" s="329">
        <f t="shared" si="390"/>
        <v>202.40003051757822</v>
      </c>
      <c r="T6213" s="331">
        <v>0</v>
      </c>
      <c r="U6213" s="328">
        <f>VLOOKUP(C6213,METADATA!$J$5:$Q$29,IF(E6213="HI",2,IF(E6213="LO",6,10))+IF(T6213=1,2,IF(D6213=7,1,(IF(WEEKDAY(B6213)=1,2,IF(WEEKDAY(B6213)=7,1,0))))))</f>
        <v>2</v>
      </c>
      <c r="V6213" s="328">
        <f>VLOOKUP(C6213,METADATA!$A$5:$H$29,IF(E6213="HI",2,IF(E6213="LO",6,10))+IF(T6213=1,2,IF(D6213=7,1,(IF(WEEKDAY(B6213)=1,2,IF(WEEKDAY(B6213)=7,1,0))))))</f>
        <v>2</v>
      </c>
    </row>
    <row r="6214" spans="2:22">
      <c r="B6214" s="318">
        <f t="shared" si="387"/>
        <v>46371</v>
      </c>
      <c r="C6214" s="312">
        <v>18</v>
      </c>
      <c r="D6214" s="368">
        <f>IFERROR((INDEX(METADATA!$T$2:$T$20,MATCH(B6214,METADATA!$S$2:$S$20,0))),0)</f>
        <v>0</v>
      </c>
      <c r="E6214" s="312" t="str">
        <f t="shared" si="388"/>
        <v>LO</v>
      </c>
      <c r="F6214" s="369">
        <f>VLOOKUP(C6214,METADATA!$A$5:$H$29,IF(E6214="HI",2,IF(E6214="LO",6,10))+IF(D6214=1,2,IF(D6214=7,1,(IF(WEEKDAY(B6214)=1,2,IF(WEEKDAY(B6214)=7,1,0))))))</f>
        <v>1</v>
      </c>
      <c r="G6214" s="369">
        <f>VLOOKUP(C6214,METADATA!$J$5:$Q$29,IF(E6214="HI",2,IF(E6214="LO",6,10))+IF(D6214=1,2,IF(D6214=7,1,(IF(WEEKDAY(B6214)=1,2,IF(WEEKDAY(B6214)=7,1,0))))))</f>
        <v>1</v>
      </c>
      <c r="H6214" s="370">
        <v>13263.349731445313</v>
      </c>
      <c r="I6214" s="370">
        <v>3950.4000549316406</v>
      </c>
      <c r="M6214" s="371">
        <f t="shared" si="389"/>
        <v>13839.151227320061</v>
      </c>
      <c r="N6214" s="329">
        <f t="shared" si="390"/>
        <v>0</v>
      </c>
      <c r="T6214" s="331">
        <v>0</v>
      </c>
      <c r="U6214" s="328">
        <f>VLOOKUP(C6214,METADATA!$J$5:$Q$29,IF(E6214="HI",2,IF(E6214="LO",6,10))+IF(T6214=1,2,IF(D6214=7,1,(IF(WEEKDAY(B6214)=1,2,IF(WEEKDAY(B6214)=7,1,0))))))</f>
        <v>1</v>
      </c>
      <c r="V6214" s="328">
        <f>VLOOKUP(C6214,METADATA!$A$5:$H$29,IF(E6214="HI",2,IF(E6214="LO",6,10))+IF(T6214=1,2,IF(D6214=7,1,(IF(WEEKDAY(B6214)=1,2,IF(WEEKDAY(B6214)=7,1,0))))))</f>
        <v>1</v>
      </c>
    </row>
    <row r="6215" spans="2:22">
      <c r="B6215" s="318">
        <f t="shared" si="387"/>
        <v>46371</v>
      </c>
      <c r="C6215" s="312">
        <v>19</v>
      </c>
      <c r="D6215" s="368">
        <f>IFERROR((INDEX(METADATA!$T$2:$T$20,MATCH(B6215,METADATA!$S$2:$S$20,0))),0)</f>
        <v>0</v>
      </c>
      <c r="E6215" s="312" t="str">
        <f t="shared" si="388"/>
        <v>LO</v>
      </c>
      <c r="F6215" s="369">
        <f>VLOOKUP(C6215,METADATA!$A$5:$H$29,IF(E6215="HI",2,IF(E6215="LO",6,10))+IF(D6215=1,2,IF(D6215=7,1,(IF(WEEKDAY(B6215)=1,2,IF(WEEKDAY(B6215)=7,1,0))))))</f>
        <v>1</v>
      </c>
      <c r="G6215" s="369">
        <f>VLOOKUP(C6215,METADATA!$J$5:$Q$29,IF(E6215="HI",2,IF(E6215="LO",6,10))+IF(D6215=1,2,IF(D6215=7,1,(IF(WEEKDAY(B6215)=1,2,IF(WEEKDAY(B6215)=7,1,0))))))</f>
        <v>1</v>
      </c>
      <c r="H6215" s="370">
        <v>13205.77490234375</v>
      </c>
      <c r="I6215" s="370">
        <v>3910.0649108886719</v>
      </c>
      <c r="M6215" s="371">
        <f t="shared" si="389"/>
        <v>13772.476116469939</v>
      </c>
      <c r="N6215" s="329">
        <f t="shared" si="390"/>
        <v>0</v>
      </c>
      <c r="T6215" s="331">
        <v>0</v>
      </c>
      <c r="U6215" s="328">
        <f>VLOOKUP(C6215,METADATA!$J$5:$Q$29,IF(E6215="HI",2,IF(E6215="LO",6,10))+IF(T6215=1,2,IF(D6215=7,1,(IF(WEEKDAY(B6215)=1,2,IF(WEEKDAY(B6215)=7,1,0))))))</f>
        <v>1</v>
      </c>
      <c r="V6215" s="328">
        <f>VLOOKUP(C6215,METADATA!$A$5:$H$29,IF(E6215="HI",2,IF(E6215="LO",6,10))+IF(T6215=1,2,IF(D6215=7,1,(IF(WEEKDAY(B6215)=1,2,IF(WEEKDAY(B6215)=7,1,0))))))</f>
        <v>1</v>
      </c>
    </row>
    <row r="6216" spans="2:22">
      <c r="B6216" s="318">
        <f t="shared" si="387"/>
        <v>46371</v>
      </c>
      <c r="C6216" s="312">
        <v>20</v>
      </c>
      <c r="D6216" s="368">
        <f>IFERROR((INDEX(METADATA!$T$2:$T$20,MATCH(B6216,METADATA!$S$2:$S$20,0))),0)</f>
        <v>0</v>
      </c>
      <c r="E6216" s="312" t="str">
        <f t="shared" si="388"/>
        <v>LO</v>
      </c>
      <c r="F6216" s="369">
        <f>VLOOKUP(C6216,METADATA!$A$5:$H$29,IF(E6216="HI",2,IF(E6216="LO",6,10))+IF(D6216=1,2,IF(D6216=7,1,(IF(WEEKDAY(B6216)=1,2,IF(WEEKDAY(B6216)=7,1,0))))))</f>
        <v>1</v>
      </c>
      <c r="G6216" s="369">
        <f>VLOOKUP(C6216,METADATA!$J$5:$Q$29,IF(E6216="HI",2,IF(E6216="LO",6,10))+IF(D6216=1,2,IF(D6216=7,1,(IF(WEEKDAY(B6216)=1,2,IF(WEEKDAY(B6216)=7,1,0))))))</f>
        <v>1</v>
      </c>
      <c r="H6216" s="370">
        <v>13631.950134277344</v>
      </c>
      <c r="I6216" s="370">
        <v>4130.4549255371094</v>
      </c>
      <c r="M6216" s="371">
        <f t="shared" si="389"/>
        <v>14243.971439009481</v>
      </c>
      <c r="N6216" s="329">
        <f t="shared" si="390"/>
        <v>40.869885253906432</v>
      </c>
      <c r="T6216" s="331">
        <v>0</v>
      </c>
      <c r="U6216" s="328">
        <f>VLOOKUP(C6216,METADATA!$J$5:$Q$29,IF(E6216="HI",2,IF(E6216="LO",6,10))+IF(T6216=1,2,IF(D6216=7,1,(IF(WEEKDAY(B6216)=1,2,IF(WEEKDAY(B6216)=7,1,0))))))</f>
        <v>1</v>
      </c>
      <c r="V6216" s="328">
        <f>VLOOKUP(C6216,METADATA!$A$5:$H$29,IF(E6216="HI",2,IF(E6216="LO",6,10))+IF(T6216=1,2,IF(D6216=7,1,(IF(WEEKDAY(B6216)=1,2,IF(WEEKDAY(B6216)=7,1,0))))))</f>
        <v>1</v>
      </c>
    </row>
    <row r="6217" spans="2:22">
      <c r="B6217" s="318">
        <f t="shared" si="387"/>
        <v>46371</v>
      </c>
      <c r="C6217" s="312">
        <v>21</v>
      </c>
      <c r="D6217" s="368">
        <f>IFERROR((INDEX(METADATA!$T$2:$T$20,MATCH(B6217,METADATA!$S$2:$S$20,0))),0)</f>
        <v>0</v>
      </c>
      <c r="E6217" s="312" t="str">
        <f t="shared" si="388"/>
        <v>LO</v>
      </c>
      <c r="F6217" s="369">
        <f>VLOOKUP(C6217,METADATA!$A$5:$H$29,IF(E6217="HI",2,IF(E6217="LO",6,10))+IF(D6217=1,2,IF(D6217=7,1,(IF(WEEKDAY(B6217)=1,2,IF(WEEKDAY(B6217)=7,1,0))))))</f>
        <v>2</v>
      </c>
      <c r="G6217" s="369">
        <f>VLOOKUP(C6217,METADATA!$J$5:$Q$29,IF(E6217="HI",2,IF(E6217="LO",6,10))+IF(D6217=1,2,IF(D6217=7,1,(IF(WEEKDAY(B6217)=1,2,IF(WEEKDAY(B6217)=7,1,0))))))</f>
        <v>2</v>
      </c>
      <c r="H6217" s="370">
        <v>13630.125122070313</v>
      </c>
      <c r="I6217" s="370">
        <v>4268.7049560546875</v>
      </c>
      <c r="M6217" s="371">
        <f t="shared" si="389"/>
        <v>14282.932221541138</v>
      </c>
      <c r="N6217" s="329">
        <f t="shared" si="390"/>
        <v>179.66741943359375</v>
      </c>
      <c r="T6217" s="331">
        <v>0</v>
      </c>
      <c r="U6217" s="328">
        <f>VLOOKUP(C6217,METADATA!$J$5:$Q$29,IF(E6217="HI",2,IF(E6217="LO",6,10))+IF(T6217=1,2,IF(D6217=7,1,(IF(WEEKDAY(B6217)=1,2,IF(WEEKDAY(B6217)=7,1,0))))))</f>
        <v>2</v>
      </c>
      <c r="V6217" s="328">
        <f>VLOOKUP(C6217,METADATA!$A$5:$H$29,IF(E6217="HI",2,IF(E6217="LO",6,10))+IF(T6217=1,2,IF(D6217=7,1,(IF(WEEKDAY(B6217)=1,2,IF(WEEKDAY(B6217)=7,1,0))))))</f>
        <v>2</v>
      </c>
    </row>
    <row r="6218" spans="2:22">
      <c r="B6218" s="318">
        <f t="shared" si="387"/>
        <v>46371</v>
      </c>
      <c r="C6218" s="312">
        <v>22</v>
      </c>
      <c r="D6218" s="368">
        <f>IFERROR((INDEX(METADATA!$T$2:$T$20,MATCH(B6218,METADATA!$S$2:$S$20,0))),0)</f>
        <v>0</v>
      </c>
      <c r="E6218" s="312" t="str">
        <f t="shared" si="388"/>
        <v>LO</v>
      </c>
      <c r="F6218" s="369">
        <f>VLOOKUP(C6218,METADATA!$A$5:$H$29,IF(E6218="HI",2,IF(E6218="LO",6,10))+IF(D6218=1,2,IF(D6218=7,1,(IF(WEEKDAY(B6218)=1,2,IF(WEEKDAY(B6218)=7,1,0))))))</f>
        <v>3</v>
      </c>
      <c r="G6218" s="369">
        <f>VLOOKUP(C6218,METADATA!$J$5:$Q$29,IF(E6218="HI",2,IF(E6218="LO",6,10))+IF(D6218=1,2,IF(D6218=7,1,(IF(WEEKDAY(B6218)=1,2,IF(WEEKDAY(B6218)=7,1,0))))))</f>
        <v>3</v>
      </c>
      <c r="H6218" s="370">
        <v>13601.5751953125</v>
      </c>
      <c r="I6218" s="370">
        <v>4370.0950012207031</v>
      </c>
      <c r="M6218" s="371">
        <f t="shared" si="389"/>
        <v>14286.377361438919</v>
      </c>
      <c r="N6218" s="329">
        <f t="shared" si="390"/>
        <v>289.62244262695322</v>
      </c>
      <c r="T6218" s="331">
        <v>0</v>
      </c>
      <c r="U6218" s="328">
        <f>VLOOKUP(C6218,METADATA!$J$5:$Q$29,IF(E6218="HI",2,IF(E6218="LO",6,10))+IF(T6218=1,2,IF(D6218=7,1,(IF(WEEKDAY(B6218)=1,2,IF(WEEKDAY(B6218)=7,1,0))))))</f>
        <v>3</v>
      </c>
      <c r="V6218" s="328">
        <f>VLOOKUP(C6218,METADATA!$A$5:$H$29,IF(E6218="HI",2,IF(E6218="LO",6,10))+IF(T6218=1,2,IF(D6218=7,1,(IF(WEEKDAY(B6218)=1,2,IF(WEEKDAY(B6218)=7,1,0))))))</f>
        <v>3</v>
      </c>
    </row>
    <row r="6219" spans="2:22">
      <c r="B6219" s="318">
        <f t="shared" si="387"/>
        <v>46371</v>
      </c>
      <c r="C6219" s="312">
        <v>23</v>
      </c>
      <c r="D6219" s="368">
        <f>IFERROR((INDEX(METADATA!$T$2:$T$20,MATCH(B6219,METADATA!$S$2:$S$20,0))),0)</f>
        <v>0</v>
      </c>
      <c r="E6219" s="312" t="str">
        <f t="shared" si="388"/>
        <v>LO</v>
      </c>
      <c r="F6219" s="369">
        <f>VLOOKUP(C6219,METADATA!$A$5:$H$29,IF(E6219="HI",2,IF(E6219="LO",6,10))+IF(D6219=1,2,IF(D6219=7,1,(IF(WEEKDAY(B6219)=1,2,IF(WEEKDAY(B6219)=7,1,0))))))</f>
        <v>3</v>
      </c>
      <c r="G6219" s="369">
        <f>VLOOKUP(C6219,METADATA!$J$5:$Q$29,IF(E6219="HI",2,IF(E6219="LO",6,10))+IF(D6219=1,2,IF(D6219=7,1,(IF(WEEKDAY(B6219)=1,2,IF(WEEKDAY(B6219)=7,1,0))))))</f>
        <v>3</v>
      </c>
      <c r="H6219" s="370">
        <v>13106.150329589844</v>
      </c>
      <c r="I6219" s="370">
        <v>4149.6100463867188</v>
      </c>
      <c r="M6219" s="371">
        <f t="shared" si="389"/>
        <v>13747.379386591525</v>
      </c>
      <c r="N6219" s="329">
        <f t="shared" si="390"/>
        <v>217.76494750976599</v>
      </c>
      <c r="T6219" s="331">
        <v>0</v>
      </c>
      <c r="U6219" s="328">
        <f>VLOOKUP(C6219,METADATA!$J$5:$Q$29,IF(E6219="HI",2,IF(E6219="LO",6,10))+IF(T6219=1,2,IF(D6219=7,1,(IF(WEEKDAY(B6219)=1,2,IF(WEEKDAY(B6219)=7,1,0))))))</f>
        <v>3</v>
      </c>
      <c r="V6219" s="328">
        <f>VLOOKUP(C6219,METADATA!$A$5:$H$29,IF(E6219="HI",2,IF(E6219="LO",6,10))+IF(T6219=1,2,IF(D6219=7,1,(IF(WEEKDAY(B6219)=1,2,IF(WEEKDAY(B6219)=7,1,0))))))</f>
        <v>3</v>
      </c>
    </row>
    <row r="6220" spans="2:22">
      <c r="B6220" s="318">
        <f t="shared" si="387"/>
        <v>46372</v>
      </c>
      <c r="C6220" s="312">
        <v>0</v>
      </c>
      <c r="D6220" s="368">
        <f>IFERROR((INDEX(METADATA!$T$2:$T$20,MATCH(B6220,METADATA!$S$2:$S$20,0))),0)</f>
        <v>7</v>
      </c>
      <c r="E6220" s="312" t="str">
        <f t="shared" si="388"/>
        <v>LO</v>
      </c>
      <c r="F6220" s="369">
        <f>VLOOKUP(C6220,METADATA!$A$5:$H$29,IF(E6220="HI",2,IF(E6220="LO",6,10))+IF(D6220=1,2,IF(D6220=7,1,(IF(WEEKDAY(B6220)=1,2,IF(WEEKDAY(B6220)=7,1,0))))))</f>
        <v>3</v>
      </c>
      <c r="G6220" s="369">
        <f>VLOOKUP(C6220,METADATA!$J$5:$Q$29,IF(E6220="HI",2,IF(E6220="LO",6,10))+IF(D6220=1,2,IF(D6220=7,1,(IF(WEEKDAY(B6220)=1,2,IF(WEEKDAY(B6220)=7,1,0))))))</f>
        <v>3</v>
      </c>
      <c r="H6220" s="370">
        <v>11603.997253417969</v>
      </c>
      <c r="I6220" s="370">
        <v>3490.47998046875</v>
      </c>
      <c r="M6220" s="371">
        <f t="shared" si="389"/>
        <v>12117.598885562473</v>
      </c>
      <c r="N6220" s="329">
        <f t="shared" si="390"/>
        <v>9.2808044433595569</v>
      </c>
      <c r="T6220" s="331">
        <v>0</v>
      </c>
      <c r="U6220" s="328">
        <f>VLOOKUP(C6220,METADATA!$J$5:$Q$29,IF(E6220="HI",2,IF(E6220="LO",6,10))+IF(T6220=1,2,IF(D6220=7,1,(IF(WEEKDAY(B6220)=1,2,IF(WEEKDAY(B6220)=7,1,0))))))</f>
        <v>3</v>
      </c>
      <c r="V6220" s="328">
        <f>VLOOKUP(C6220,METADATA!$A$5:$H$29,IF(E6220="HI",2,IF(E6220="LO",6,10))+IF(T6220=1,2,IF(D6220=7,1,(IF(WEEKDAY(B6220)=1,2,IF(WEEKDAY(B6220)=7,1,0))))))</f>
        <v>3</v>
      </c>
    </row>
    <row r="6221" spans="2:22">
      <c r="B6221" s="318">
        <f t="shared" si="387"/>
        <v>46372</v>
      </c>
      <c r="C6221" s="312">
        <v>1</v>
      </c>
      <c r="D6221" s="368">
        <f>IFERROR((INDEX(METADATA!$T$2:$T$20,MATCH(B6221,METADATA!$S$2:$S$20,0))),0)</f>
        <v>7</v>
      </c>
      <c r="E6221" s="312" t="str">
        <f t="shared" si="388"/>
        <v>LO</v>
      </c>
      <c r="F6221" s="369">
        <f>VLOOKUP(C6221,METADATA!$A$5:$H$29,IF(E6221="HI",2,IF(E6221="LO",6,10))+IF(D6221=1,2,IF(D6221=7,1,(IF(WEEKDAY(B6221)=1,2,IF(WEEKDAY(B6221)=7,1,0))))))</f>
        <v>3</v>
      </c>
      <c r="G6221" s="369">
        <f>VLOOKUP(C6221,METADATA!$J$5:$Q$29,IF(E6221="HI",2,IF(E6221="LO",6,10))+IF(D6221=1,2,IF(D6221=7,1,(IF(WEEKDAY(B6221)=1,2,IF(WEEKDAY(B6221)=7,1,0))))))</f>
        <v>3</v>
      </c>
      <c r="H6221" s="370">
        <v>11669.190246582031</v>
      </c>
      <c r="I6221" s="370">
        <v>3367.6076049804688</v>
      </c>
      <c r="M6221" s="371">
        <f t="shared" si="389"/>
        <v>12145.401680967472</v>
      </c>
      <c r="N6221" s="329">
        <f t="shared" si="390"/>
        <v>0</v>
      </c>
      <c r="T6221" s="331">
        <v>0</v>
      </c>
      <c r="U6221" s="328">
        <f>VLOOKUP(C6221,METADATA!$J$5:$Q$29,IF(E6221="HI",2,IF(E6221="LO",6,10))+IF(T6221=1,2,IF(D6221=7,1,(IF(WEEKDAY(B6221)=1,2,IF(WEEKDAY(B6221)=7,1,0))))))</f>
        <v>3</v>
      </c>
      <c r="V6221" s="328">
        <f>VLOOKUP(C6221,METADATA!$A$5:$H$29,IF(E6221="HI",2,IF(E6221="LO",6,10))+IF(T6221=1,2,IF(D6221=7,1,(IF(WEEKDAY(B6221)=1,2,IF(WEEKDAY(B6221)=7,1,0))))))</f>
        <v>3</v>
      </c>
    </row>
    <row r="6222" spans="2:22">
      <c r="B6222" s="318">
        <f t="shared" si="387"/>
        <v>46372</v>
      </c>
      <c r="C6222" s="312">
        <v>2</v>
      </c>
      <c r="D6222" s="368">
        <f>IFERROR((INDEX(METADATA!$T$2:$T$20,MATCH(B6222,METADATA!$S$2:$S$20,0))),0)</f>
        <v>7</v>
      </c>
      <c r="E6222" s="312" t="str">
        <f t="shared" si="388"/>
        <v>LO</v>
      </c>
      <c r="F6222" s="369">
        <f>VLOOKUP(C6222,METADATA!$A$5:$H$29,IF(E6222="HI",2,IF(E6222="LO",6,10))+IF(D6222=1,2,IF(D6222=7,1,(IF(WEEKDAY(B6222)=1,2,IF(WEEKDAY(B6222)=7,1,0))))))</f>
        <v>3</v>
      </c>
      <c r="G6222" s="369">
        <f>VLOOKUP(C6222,METADATA!$J$5:$Q$29,IF(E6222="HI",2,IF(E6222="LO",6,10))+IF(D6222=1,2,IF(D6222=7,1,(IF(WEEKDAY(B6222)=1,2,IF(WEEKDAY(B6222)=7,1,0))))))</f>
        <v>3</v>
      </c>
      <c r="H6222" s="370">
        <v>12180.714904785156</v>
      </c>
      <c r="I6222" s="370">
        <v>3575.1199645996094</v>
      </c>
      <c r="M6222" s="371">
        <f t="shared" si="389"/>
        <v>12694.538130744811</v>
      </c>
      <c r="N6222" s="329">
        <f t="shared" si="390"/>
        <v>0</v>
      </c>
      <c r="T6222" s="331">
        <v>0</v>
      </c>
      <c r="U6222" s="328">
        <f>VLOOKUP(C6222,METADATA!$J$5:$Q$29,IF(E6222="HI",2,IF(E6222="LO",6,10))+IF(T6222=1,2,IF(D6222=7,1,(IF(WEEKDAY(B6222)=1,2,IF(WEEKDAY(B6222)=7,1,0))))))</f>
        <v>3</v>
      </c>
      <c r="V6222" s="328">
        <f>VLOOKUP(C6222,METADATA!$A$5:$H$29,IF(E6222="HI",2,IF(E6222="LO",6,10))+IF(T6222=1,2,IF(D6222=7,1,(IF(WEEKDAY(B6222)=1,2,IF(WEEKDAY(B6222)=7,1,0))))))</f>
        <v>3</v>
      </c>
    </row>
    <row r="6223" spans="2:22">
      <c r="B6223" s="318">
        <f t="shared" si="387"/>
        <v>46372</v>
      </c>
      <c r="C6223" s="312">
        <v>3</v>
      </c>
      <c r="D6223" s="368">
        <f>IFERROR((INDEX(METADATA!$T$2:$T$20,MATCH(B6223,METADATA!$S$2:$S$20,0))),0)</f>
        <v>7</v>
      </c>
      <c r="E6223" s="312" t="str">
        <f t="shared" si="388"/>
        <v>LO</v>
      </c>
      <c r="F6223" s="369">
        <f>VLOOKUP(C6223,METADATA!$A$5:$H$29,IF(E6223="HI",2,IF(E6223="LO",6,10))+IF(D6223=1,2,IF(D6223=7,1,(IF(WEEKDAY(B6223)=1,2,IF(WEEKDAY(B6223)=7,1,0))))))</f>
        <v>3</v>
      </c>
      <c r="G6223" s="369">
        <f>VLOOKUP(C6223,METADATA!$J$5:$Q$29,IF(E6223="HI",2,IF(E6223="LO",6,10))+IF(D6223=1,2,IF(D6223=7,1,(IF(WEEKDAY(B6223)=1,2,IF(WEEKDAY(B6223)=7,1,0))))))</f>
        <v>3</v>
      </c>
      <c r="H6223" s="370">
        <v>12879.138244628906</v>
      </c>
      <c r="I6223" s="370">
        <v>3861.2565307617188</v>
      </c>
      <c r="M6223" s="371">
        <f t="shared" si="389"/>
        <v>13445.501252114515</v>
      </c>
      <c r="N6223" s="329">
        <f t="shared" si="390"/>
        <v>0</v>
      </c>
      <c r="T6223" s="331">
        <v>0</v>
      </c>
      <c r="U6223" s="328">
        <f>VLOOKUP(C6223,METADATA!$J$5:$Q$29,IF(E6223="HI",2,IF(E6223="LO",6,10))+IF(T6223=1,2,IF(D6223=7,1,(IF(WEEKDAY(B6223)=1,2,IF(WEEKDAY(B6223)=7,1,0))))))</f>
        <v>3</v>
      </c>
      <c r="V6223" s="328">
        <f>VLOOKUP(C6223,METADATA!$A$5:$H$29,IF(E6223="HI",2,IF(E6223="LO",6,10))+IF(T6223=1,2,IF(D6223=7,1,(IF(WEEKDAY(B6223)=1,2,IF(WEEKDAY(B6223)=7,1,0))))))</f>
        <v>3</v>
      </c>
    </row>
    <row r="6224" spans="2:22">
      <c r="B6224" s="318">
        <f t="shared" si="387"/>
        <v>46372</v>
      </c>
      <c r="C6224" s="312">
        <v>4</v>
      </c>
      <c r="D6224" s="368">
        <f>IFERROR((INDEX(METADATA!$T$2:$T$20,MATCH(B6224,METADATA!$S$2:$S$20,0))),0)</f>
        <v>7</v>
      </c>
      <c r="E6224" s="312" t="str">
        <f t="shared" si="388"/>
        <v>LO</v>
      </c>
      <c r="F6224" s="369">
        <f>VLOOKUP(C6224,METADATA!$A$5:$H$29,IF(E6224="HI",2,IF(E6224="LO",6,10))+IF(D6224=1,2,IF(D6224=7,1,(IF(WEEKDAY(B6224)=1,2,IF(WEEKDAY(B6224)=7,1,0))))))</f>
        <v>3</v>
      </c>
      <c r="G6224" s="369">
        <f>VLOOKUP(C6224,METADATA!$J$5:$Q$29,IF(E6224="HI",2,IF(E6224="LO",6,10))+IF(D6224=1,2,IF(D6224=7,1,(IF(WEEKDAY(B6224)=1,2,IF(WEEKDAY(B6224)=7,1,0))))))</f>
        <v>3</v>
      </c>
      <c r="H6224" s="370">
        <v>13205.425170898438</v>
      </c>
      <c r="I6224" s="370">
        <v>3976.6501159667969</v>
      </c>
      <c r="M6224" s="371">
        <f t="shared" si="389"/>
        <v>13791.192845037616</v>
      </c>
      <c r="N6224" s="329">
        <f t="shared" si="390"/>
        <v>15.022564697265807</v>
      </c>
      <c r="T6224" s="331">
        <v>0</v>
      </c>
      <c r="U6224" s="328">
        <f>VLOOKUP(C6224,METADATA!$J$5:$Q$29,IF(E6224="HI",2,IF(E6224="LO",6,10))+IF(T6224=1,2,IF(D6224=7,1,(IF(WEEKDAY(B6224)=1,2,IF(WEEKDAY(B6224)=7,1,0))))))</f>
        <v>3</v>
      </c>
      <c r="V6224" s="328">
        <f>VLOOKUP(C6224,METADATA!$A$5:$H$29,IF(E6224="HI",2,IF(E6224="LO",6,10))+IF(T6224=1,2,IF(D6224=7,1,(IF(WEEKDAY(B6224)=1,2,IF(WEEKDAY(B6224)=7,1,0))))))</f>
        <v>3</v>
      </c>
    </row>
    <row r="6225" spans="2:22">
      <c r="B6225" s="318">
        <f t="shared" si="387"/>
        <v>46372</v>
      </c>
      <c r="C6225" s="312">
        <v>5</v>
      </c>
      <c r="D6225" s="368">
        <f>IFERROR((INDEX(METADATA!$T$2:$T$20,MATCH(B6225,METADATA!$S$2:$S$20,0))),0)</f>
        <v>7</v>
      </c>
      <c r="E6225" s="312" t="str">
        <f t="shared" si="388"/>
        <v>LO</v>
      </c>
      <c r="F6225" s="369">
        <f>VLOOKUP(C6225,METADATA!$A$5:$H$29,IF(E6225="HI",2,IF(E6225="LO",6,10))+IF(D6225=1,2,IF(D6225=7,1,(IF(WEEKDAY(B6225)=1,2,IF(WEEKDAY(B6225)=7,1,0))))))</f>
        <v>3</v>
      </c>
      <c r="G6225" s="369">
        <f>VLOOKUP(C6225,METADATA!$J$5:$Q$29,IF(E6225="HI",2,IF(E6225="LO",6,10))+IF(D6225=1,2,IF(D6225=7,1,(IF(WEEKDAY(B6225)=1,2,IF(WEEKDAY(B6225)=7,1,0))))))</f>
        <v>3</v>
      </c>
      <c r="H6225" s="370">
        <v>13137.025329589844</v>
      </c>
      <c r="I6225" s="370">
        <v>3939.0449829101563</v>
      </c>
      <c r="M6225" s="371">
        <f t="shared" si="389"/>
        <v>13714.864559581871</v>
      </c>
      <c r="N6225" s="329">
        <f t="shared" si="390"/>
        <v>0</v>
      </c>
      <c r="T6225" s="331">
        <v>0</v>
      </c>
      <c r="U6225" s="328">
        <f>VLOOKUP(C6225,METADATA!$J$5:$Q$29,IF(E6225="HI",2,IF(E6225="LO",6,10))+IF(T6225=1,2,IF(D6225=7,1,(IF(WEEKDAY(B6225)=1,2,IF(WEEKDAY(B6225)=7,1,0))))))</f>
        <v>3</v>
      </c>
      <c r="V6225" s="328">
        <f>VLOOKUP(C6225,METADATA!$A$5:$H$29,IF(E6225="HI",2,IF(E6225="LO",6,10))+IF(T6225=1,2,IF(D6225=7,1,(IF(WEEKDAY(B6225)=1,2,IF(WEEKDAY(B6225)=7,1,0))))))</f>
        <v>3</v>
      </c>
    </row>
    <row r="6226" spans="2:22">
      <c r="B6226" s="318">
        <f t="shared" si="387"/>
        <v>46372</v>
      </c>
      <c r="C6226" s="312">
        <v>6</v>
      </c>
      <c r="D6226" s="368">
        <f>IFERROR((INDEX(METADATA!$T$2:$T$20,MATCH(B6226,METADATA!$S$2:$S$20,0))),0)</f>
        <v>7</v>
      </c>
      <c r="E6226" s="312" t="str">
        <f t="shared" si="388"/>
        <v>LO</v>
      </c>
      <c r="F6226" s="369">
        <f>VLOOKUP(C6226,METADATA!$A$5:$H$29,IF(E6226="HI",2,IF(E6226="LO",6,10))+IF(D6226=1,2,IF(D6226=7,1,(IF(WEEKDAY(B6226)=1,2,IF(WEEKDAY(B6226)=7,1,0))))))</f>
        <v>3</v>
      </c>
      <c r="G6226" s="369">
        <f>VLOOKUP(C6226,METADATA!$J$5:$Q$29,IF(E6226="HI",2,IF(E6226="LO",6,10))+IF(D6226=1,2,IF(D6226=7,1,(IF(WEEKDAY(B6226)=1,2,IF(WEEKDAY(B6226)=7,1,0))))))</f>
        <v>3</v>
      </c>
      <c r="H6226" s="370">
        <v>13395.374694824219</v>
      </c>
      <c r="I6226" s="370">
        <v>3996.7349853515625</v>
      </c>
      <c r="M6226" s="371">
        <f t="shared" si="389"/>
        <v>13978.911036195566</v>
      </c>
      <c r="N6226" s="329">
        <f t="shared" si="390"/>
        <v>0</v>
      </c>
      <c r="T6226" s="331">
        <v>0</v>
      </c>
      <c r="U6226" s="328">
        <f>VLOOKUP(C6226,METADATA!$J$5:$Q$29,IF(E6226="HI",2,IF(E6226="LO",6,10))+IF(T6226=1,2,IF(D6226=7,1,(IF(WEEKDAY(B6226)=1,2,IF(WEEKDAY(B6226)=7,1,0))))))</f>
        <v>3</v>
      </c>
      <c r="V6226" s="328">
        <f>VLOOKUP(C6226,METADATA!$A$5:$H$29,IF(E6226="HI",2,IF(E6226="LO",6,10))+IF(T6226=1,2,IF(D6226=7,1,(IF(WEEKDAY(B6226)=1,2,IF(WEEKDAY(B6226)=7,1,0))))))</f>
        <v>3</v>
      </c>
    </row>
    <row r="6227" spans="2:22">
      <c r="B6227" s="318">
        <f t="shared" si="387"/>
        <v>46372</v>
      </c>
      <c r="C6227" s="312">
        <v>7</v>
      </c>
      <c r="D6227" s="368">
        <f>IFERROR((INDEX(METADATA!$T$2:$T$20,MATCH(B6227,METADATA!$S$2:$S$20,0))),0)</f>
        <v>7</v>
      </c>
      <c r="E6227" s="312" t="str">
        <f t="shared" si="388"/>
        <v>LO</v>
      </c>
      <c r="F6227" s="369">
        <f>VLOOKUP(C6227,METADATA!$A$5:$H$29,IF(E6227="HI",2,IF(E6227="LO",6,10))+IF(D6227=1,2,IF(D6227=7,1,(IF(WEEKDAY(B6227)=1,2,IF(WEEKDAY(B6227)=7,1,0))))))</f>
        <v>2</v>
      </c>
      <c r="G6227" s="369">
        <f>VLOOKUP(C6227,METADATA!$J$5:$Q$29,IF(E6227="HI",2,IF(E6227="LO",6,10))+IF(D6227=1,2,IF(D6227=7,1,(IF(WEEKDAY(B6227)=1,2,IF(WEEKDAY(B6227)=7,1,0))))))</f>
        <v>2</v>
      </c>
      <c r="H6227" s="370">
        <v>13586.2998046875</v>
      </c>
      <c r="I6227" s="370">
        <v>4102.5050354003906</v>
      </c>
      <c r="M6227" s="371">
        <f t="shared" si="389"/>
        <v>14192.18411479844</v>
      </c>
      <c r="N6227" s="329">
        <f t="shared" si="390"/>
        <v>26.615093994140807</v>
      </c>
      <c r="T6227" s="331">
        <v>0</v>
      </c>
      <c r="U6227" s="328">
        <f>VLOOKUP(C6227,METADATA!$J$5:$Q$29,IF(E6227="HI",2,IF(E6227="LO",6,10))+IF(T6227=1,2,IF(D6227=7,1,(IF(WEEKDAY(B6227)=1,2,IF(WEEKDAY(B6227)=7,1,0))))))</f>
        <v>2</v>
      </c>
      <c r="V6227" s="328">
        <f>VLOOKUP(C6227,METADATA!$A$5:$H$29,IF(E6227="HI",2,IF(E6227="LO",6,10))+IF(T6227=1,2,IF(D6227=7,1,(IF(WEEKDAY(B6227)=1,2,IF(WEEKDAY(B6227)=7,1,0))))))</f>
        <v>2</v>
      </c>
    </row>
    <row r="6228" spans="2:22">
      <c r="B6228" s="318">
        <f t="shared" si="387"/>
        <v>46372</v>
      </c>
      <c r="C6228" s="312">
        <v>8</v>
      </c>
      <c r="D6228" s="368">
        <f>IFERROR((INDEX(METADATA!$T$2:$T$20,MATCH(B6228,METADATA!$S$2:$S$20,0))),0)</f>
        <v>7</v>
      </c>
      <c r="E6228" s="312" t="str">
        <f t="shared" si="388"/>
        <v>LO</v>
      </c>
      <c r="F6228" s="369">
        <f>VLOOKUP(C6228,METADATA!$A$5:$H$29,IF(E6228="HI",2,IF(E6228="LO",6,10))+IF(D6228=1,2,IF(D6228=7,1,(IF(WEEKDAY(B6228)=1,2,IF(WEEKDAY(B6228)=7,1,0))))))</f>
        <v>2</v>
      </c>
      <c r="G6228" s="369">
        <f>VLOOKUP(C6228,METADATA!$J$5:$Q$29,IF(E6228="HI",2,IF(E6228="LO",6,10))+IF(D6228=1,2,IF(D6228=7,1,(IF(WEEKDAY(B6228)=1,2,IF(WEEKDAY(B6228)=7,1,0))))))</f>
        <v>2</v>
      </c>
      <c r="H6228" s="370">
        <v>13583.125244140625</v>
      </c>
      <c r="I6228" s="370">
        <v>4025.4199523925781</v>
      </c>
      <c r="M6228" s="371">
        <f t="shared" si="389"/>
        <v>14167.049699606852</v>
      </c>
      <c r="N6228" s="329">
        <f t="shared" si="390"/>
        <v>0</v>
      </c>
      <c r="T6228" s="331">
        <v>0</v>
      </c>
      <c r="U6228" s="328">
        <f>VLOOKUP(C6228,METADATA!$J$5:$Q$29,IF(E6228="HI",2,IF(E6228="LO",6,10))+IF(T6228=1,2,IF(D6228=7,1,(IF(WEEKDAY(B6228)=1,2,IF(WEEKDAY(B6228)=7,1,0))))))</f>
        <v>2</v>
      </c>
      <c r="V6228" s="328">
        <f>VLOOKUP(C6228,METADATA!$A$5:$H$29,IF(E6228="HI",2,IF(E6228="LO",6,10))+IF(T6228=1,2,IF(D6228=7,1,(IF(WEEKDAY(B6228)=1,2,IF(WEEKDAY(B6228)=7,1,0))))))</f>
        <v>2</v>
      </c>
    </row>
    <row r="6229" spans="2:22">
      <c r="B6229" s="318">
        <f t="shared" si="387"/>
        <v>46372</v>
      </c>
      <c r="C6229" s="312">
        <v>9</v>
      </c>
      <c r="D6229" s="368">
        <f>IFERROR((INDEX(METADATA!$T$2:$T$20,MATCH(B6229,METADATA!$S$2:$S$20,0))),0)</f>
        <v>7</v>
      </c>
      <c r="E6229" s="312" t="str">
        <f t="shared" si="388"/>
        <v>LO</v>
      </c>
      <c r="F6229" s="369">
        <f>VLOOKUP(C6229,METADATA!$A$5:$H$29,IF(E6229="HI",2,IF(E6229="LO",6,10))+IF(D6229=1,2,IF(D6229=7,1,(IF(WEEKDAY(B6229)=1,2,IF(WEEKDAY(B6229)=7,1,0))))))</f>
        <v>2</v>
      </c>
      <c r="G6229" s="369">
        <f>VLOOKUP(C6229,METADATA!$J$5:$Q$29,IF(E6229="HI",2,IF(E6229="LO",6,10))+IF(D6229=1,2,IF(D6229=7,1,(IF(WEEKDAY(B6229)=1,2,IF(WEEKDAY(B6229)=7,1,0))))))</f>
        <v>2</v>
      </c>
      <c r="H6229" s="370">
        <v>13515.700317382813</v>
      </c>
      <c r="I6229" s="370">
        <v>3983.43505859375</v>
      </c>
      <c r="M6229" s="371">
        <f t="shared" si="389"/>
        <v>14090.490053058325</v>
      </c>
      <c r="N6229" s="329">
        <f t="shared" si="390"/>
        <v>0</v>
      </c>
      <c r="T6229" s="331">
        <v>0</v>
      </c>
      <c r="U6229" s="328">
        <f>VLOOKUP(C6229,METADATA!$J$5:$Q$29,IF(E6229="HI",2,IF(E6229="LO",6,10))+IF(T6229=1,2,IF(D6229=7,1,(IF(WEEKDAY(B6229)=1,2,IF(WEEKDAY(B6229)=7,1,0))))))</f>
        <v>2</v>
      </c>
      <c r="V6229" s="328">
        <f>VLOOKUP(C6229,METADATA!$A$5:$H$29,IF(E6229="HI",2,IF(E6229="LO",6,10))+IF(T6229=1,2,IF(D6229=7,1,(IF(WEEKDAY(B6229)=1,2,IF(WEEKDAY(B6229)=7,1,0))))))</f>
        <v>2</v>
      </c>
    </row>
    <row r="6230" spans="2:22">
      <c r="B6230" s="318">
        <f t="shared" si="387"/>
        <v>46372</v>
      </c>
      <c r="C6230" s="312">
        <v>10</v>
      </c>
      <c r="D6230" s="368">
        <f>IFERROR((INDEX(METADATA!$T$2:$T$20,MATCH(B6230,METADATA!$S$2:$S$20,0))),0)</f>
        <v>7</v>
      </c>
      <c r="E6230" s="312" t="str">
        <f t="shared" si="388"/>
        <v>LO</v>
      </c>
      <c r="F6230" s="369">
        <f>VLOOKUP(C6230,METADATA!$A$5:$H$29,IF(E6230="HI",2,IF(E6230="LO",6,10))+IF(D6230=1,2,IF(D6230=7,1,(IF(WEEKDAY(B6230)=1,2,IF(WEEKDAY(B6230)=7,1,0))))))</f>
        <v>2</v>
      </c>
      <c r="G6230" s="369">
        <f>VLOOKUP(C6230,METADATA!$J$5:$Q$29,IF(E6230="HI",2,IF(E6230="LO",6,10))+IF(D6230=1,2,IF(D6230=7,1,(IF(WEEKDAY(B6230)=1,2,IF(WEEKDAY(B6230)=7,1,0))))))</f>
        <v>2</v>
      </c>
      <c r="H6230" s="370">
        <v>13509.900268554688</v>
      </c>
      <c r="I6230" s="370">
        <v>4070.81494140625</v>
      </c>
      <c r="M6230" s="371">
        <f t="shared" si="389"/>
        <v>14109.888006411333</v>
      </c>
      <c r="N6230" s="329">
        <f t="shared" si="390"/>
        <v>17.844860839843932</v>
      </c>
      <c r="T6230" s="331">
        <v>0</v>
      </c>
      <c r="U6230" s="328">
        <f>VLOOKUP(C6230,METADATA!$J$5:$Q$29,IF(E6230="HI",2,IF(E6230="LO",6,10))+IF(T6230=1,2,IF(D6230=7,1,(IF(WEEKDAY(B6230)=1,2,IF(WEEKDAY(B6230)=7,1,0))))))</f>
        <v>2</v>
      </c>
      <c r="V6230" s="328">
        <f>VLOOKUP(C6230,METADATA!$A$5:$H$29,IF(E6230="HI",2,IF(E6230="LO",6,10))+IF(T6230=1,2,IF(D6230=7,1,(IF(WEEKDAY(B6230)=1,2,IF(WEEKDAY(B6230)=7,1,0))))))</f>
        <v>2</v>
      </c>
    </row>
    <row r="6231" spans="2:22">
      <c r="B6231" s="318">
        <f t="shared" si="387"/>
        <v>46372</v>
      </c>
      <c r="C6231" s="312">
        <v>11</v>
      </c>
      <c r="D6231" s="368">
        <f>IFERROR((INDEX(METADATA!$T$2:$T$20,MATCH(B6231,METADATA!$S$2:$S$20,0))),0)</f>
        <v>7</v>
      </c>
      <c r="E6231" s="312" t="str">
        <f t="shared" si="388"/>
        <v>LO</v>
      </c>
      <c r="F6231" s="369">
        <f>VLOOKUP(C6231,METADATA!$A$5:$H$29,IF(E6231="HI",2,IF(E6231="LO",6,10))+IF(D6231=1,2,IF(D6231=7,1,(IF(WEEKDAY(B6231)=1,2,IF(WEEKDAY(B6231)=7,1,0))))))</f>
        <v>2</v>
      </c>
      <c r="G6231" s="369">
        <f>VLOOKUP(C6231,METADATA!$J$5:$Q$29,IF(E6231="HI",2,IF(E6231="LO",6,10))+IF(D6231=1,2,IF(D6231=7,1,(IF(WEEKDAY(B6231)=1,2,IF(WEEKDAY(B6231)=7,1,0))))))</f>
        <v>2</v>
      </c>
      <c r="H6231" s="370">
        <v>13016.274536132813</v>
      </c>
      <c r="I6231" s="370">
        <v>3728.4324645996094</v>
      </c>
      <c r="M6231" s="371">
        <f t="shared" si="389"/>
        <v>13539.741926752509</v>
      </c>
      <c r="N6231" s="329">
        <f t="shared" si="390"/>
        <v>0</v>
      </c>
      <c r="T6231" s="331">
        <v>0</v>
      </c>
      <c r="U6231" s="328">
        <f>VLOOKUP(C6231,METADATA!$J$5:$Q$29,IF(E6231="HI",2,IF(E6231="LO",6,10))+IF(T6231=1,2,IF(D6231=7,1,(IF(WEEKDAY(B6231)=1,2,IF(WEEKDAY(B6231)=7,1,0))))))</f>
        <v>2</v>
      </c>
      <c r="V6231" s="328">
        <f>VLOOKUP(C6231,METADATA!$A$5:$H$29,IF(E6231="HI",2,IF(E6231="LO",6,10))+IF(T6231=1,2,IF(D6231=7,1,(IF(WEEKDAY(B6231)=1,2,IF(WEEKDAY(B6231)=7,1,0))))))</f>
        <v>2</v>
      </c>
    </row>
    <row r="6232" spans="2:22">
      <c r="B6232" s="318">
        <f t="shared" si="387"/>
        <v>46372</v>
      </c>
      <c r="C6232" s="312">
        <v>12</v>
      </c>
      <c r="D6232" s="368">
        <f>IFERROR((INDEX(METADATA!$T$2:$T$20,MATCH(B6232,METADATA!$S$2:$S$20,0))),0)</f>
        <v>7</v>
      </c>
      <c r="E6232" s="312" t="str">
        <f t="shared" si="388"/>
        <v>LO</v>
      </c>
      <c r="F6232" s="369">
        <f>VLOOKUP(C6232,METADATA!$A$5:$H$29,IF(E6232="HI",2,IF(E6232="LO",6,10))+IF(D6232=1,2,IF(D6232=7,1,(IF(WEEKDAY(B6232)=1,2,IF(WEEKDAY(B6232)=7,1,0))))))</f>
        <v>3</v>
      </c>
      <c r="G6232" s="369">
        <f>VLOOKUP(C6232,METADATA!$J$5:$Q$29,IF(E6232="HI",2,IF(E6232="LO",6,10))+IF(D6232=1,2,IF(D6232=7,1,(IF(WEEKDAY(B6232)=1,2,IF(WEEKDAY(B6232)=7,1,0))))))</f>
        <v>3</v>
      </c>
      <c r="H6232" s="370">
        <v>11751.277496337891</v>
      </c>
      <c r="I6232" s="370">
        <v>2935.8974609375</v>
      </c>
      <c r="M6232" s="371">
        <f t="shared" si="389"/>
        <v>12112.473599437755</v>
      </c>
      <c r="N6232" s="329">
        <f t="shared" si="390"/>
        <v>0</v>
      </c>
      <c r="T6232" s="331">
        <v>0</v>
      </c>
      <c r="U6232" s="328">
        <f>VLOOKUP(C6232,METADATA!$J$5:$Q$29,IF(E6232="HI",2,IF(E6232="LO",6,10))+IF(T6232=1,2,IF(D6232=7,1,(IF(WEEKDAY(B6232)=1,2,IF(WEEKDAY(B6232)=7,1,0))))))</f>
        <v>3</v>
      </c>
      <c r="V6232" s="328">
        <f>VLOOKUP(C6232,METADATA!$A$5:$H$29,IF(E6232="HI",2,IF(E6232="LO",6,10))+IF(T6232=1,2,IF(D6232=7,1,(IF(WEEKDAY(B6232)=1,2,IF(WEEKDAY(B6232)=7,1,0))))))</f>
        <v>3</v>
      </c>
    </row>
    <row r="6233" spans="2:22">
      <c r="B6233" s="318">
        <f t="shared" si="387"/>
        <v>46372</v>
      </c>
      <c r="C6233" s="312">
        <v>13</v>
      </c>
      <c r="D6233" s="368">
        <f>IFERROR((INDEX(METADATA!$T$2:$T$20,MATCH(B6233,METADATA!$S$2:$S$20,0))),0)</f>
        <v>7</v>
      </c>
      <c r="E6233" s="312" t="str">
        <f t="shared" si="388"/>
        <v>LO</v>
      </c>
      <c r="F6233" s="369">
        <f>VLOOKUP(C6233,METADATA!$A$5:$H$29,IF(E6233="HI",2,IF(E6233="LO",6,10))+IF(D6233=1,2,IF(D6233=7,1,(IF(WEEKDAY(B6233)=1,2,IF(WEEKDAY(B6233)=7,1,0))))))</f>
        <v>3</v>
      </c>
      <c r="G6233" s="369">
        <f>VLOOKUP(C6233,METADATA!$J$5:$Q$29,IF(E6233="HI",2,IF(E6233="LO",6,10))+IF(D6233=1,2,IF(D6233=7,1,(IF(WEEKDAY(B6233)=1,2,IF(WEEKDAY(B6233)=7,1,0))))))</f>
        <v>3</v>
      </c>
      <c r="H6233" s="370">
        <v>11712.560272216797</v>
      </c>
      <c r="I6233" s="370">
        <v>2998.3675231933594</v>
      </c>
      <c r="M6233" s="371">
        <f t="shared" si="389"/>
        <v>12090.25541229183</v>
      </c>
      <c r="N6233" s="329">
        <f t="shared" si="390"/>
        <v>0</v>
      </c>
      <c r="T6233" s="331">
        <v>0</v>
      </c>
      <c r="U6233" s="328">
        <f>VLOOKUP(C6233,METADATA!$J$5:$Q$29,IF(E6233="HI",2,IF(E6233="LO",6,10))+IF(T6233=1,2,IF(D6233=7,1,(IF(WEEKDAY(B6233)=1,2,IF(WEEKDAY(B6233)=7,1,0))))))</f>
        <v>3</v>
      </c>
      <c r="V6233" s="328">
        <f>VLOOKUP(C6233,METADATA!$A$5:$H$29,IF(E6233="HI",2,IF(E6233="LO",6,10))+IF(T6233=1,2,IF(D6233=7,1,(IF(WEEKDAY(B6233)=1,2,IF(WEEKDAY(B6233)=7,1,0))))))</f>
        <v>3</v>
      </c>
    </row>
    <row r="6234" spans="2:22">
      <c r="B6234" s="318">
        <f t="shared" si="387"/>
        <v>46372</v>
      </c>
      <c r="C6234" s="312">
        <v>14</v>
      </c>
      <c r="D6234" s="368">
        <f>IFERROR((INDEX(METADATA!$T$2:$T$20,MATCH(B6234,METADATA!$S$2:$S$20,0))),0)</f>
        <v>7</v>
      </c>
      <c r="E6234" s="312" t="str">
        <f t="shared" si="388"/>
        <v>LO</v>
      </c>
      <c r="F6234" s="369">
        <f>VLOOKUP(C6234,METADATA!$A$5:$H$29,IF(E6234="HI",2,IF(E6234="LO",6,10))+IF(D6234=1,2,IF(D6234=7,1,(IF(WEEKDAY(B6234)=1,2,IF(WEEKDAY(B6234)=7,1,0))))))</f>
        <v>3</v>
      </c>
      <c r="G6234" s="369">
        <f>VLOOKUP(C6234,METADATA!$J$5:$Q$29,IF(E6234="HI",2,IF(E6234="LO",6,10))+IF(D6234=1,2,IF(D6234=7,1,(IF(WEEKDAY(B6234)=1,2,IF(WEEKDAY(B6234)=7,1,0))))))</f>
        <v>3</v>
      </c>
      <c r="H6234" s="370">
        <v>12986.449890136719</v>
      </c>
      <c r="I6234" s="370">
        <v>3798.0025329589844</v>
      </c>
      <c r="M6234" s="371">
        <f t="shared" si="389"/>
        <v>13530.436208393092</v>
      </c>
      <c r="N6234" s="329">
        <f t="shared" si="390"/>
        <v>0</v>
      </c>
      <c r="T6234" s="331">
        <v>0</v>
      </c>
      <c r="U6234" s="328">
        <f>VLOOKUP(C6234,METADATA!$J$5:$Q$29,IF(E6234="HI",2,IF(E6234="LO",6,10))+IF(T6234=1,2,IF(D6234=7,1,(IF(WEEKDAY(B6234)=1,2,IF(WEEKDAY(B6234)=7,1,0))))))</f>
        <v>3</v>
      </c>
      <c r="V6234" s="328">
        <f>VLOOKUP(C6234,METADATA!$A$5:$H$29,IF(E6234="HI",2,IF(E6234="LO",6,10))+IF(T6234=1,2,IF(D6234=7,1,(IF(WEEKDAY(B6234)=1,2,IF(WEEKDAY(B6234)=7,1,0))))))</f>
        <v>3</v>
      </c>
    </row>
    <row r="6235" spans="2:22">
      <c r="B6235" s="318">
        <f t="shared" si="387"/>
        <v>46372</v>
      </c>
      <c r="C6235" s="312">
        <v>15</v>
      </c>
      <c r="D6235" s="368">
        <f>IFERROR((INDEX(METADATA!$T$2:$T$20,MATCH(B6235,METADATA!$S$2:$S$20,0))),0)</f>
        <v>7</v>
      </c>
      <c r="E6235" s="312" t="str">
        <f t="shared" si="388"/>
        <v>LO</v>
      </c>
      <c r="F6235" s="369">
        <f>VLOOKUP(C6235,METADATA!$A$5:$H$29,IF(E6235="HI",2,IF(E6235="LO",6,10))+IF(D6235=1,2,IF(D6235=7,1,(IF(WEEKDAY(B6235)=1,2,IF(WEEKDAY(B6235)=7,1,0))))))</f>
        <v>3</v>
      </c>
      <c r="G6235" s="369">
        <f>VLOOKUP(C6235,METADATA!$J$5:$Q$29,IF(E6235="HI",2,IF(E6235="LO",6,10))+IF(D6235=1,2,IF(D6235=7,1,(IF(WEEKDAY(B6235)=1,2,IF(WEEKDAY(B6235)=7,1,0))))))</f>
        <v>3</v>
      </c>
      <c r="H6235" s="370">
        <v>13590.975463867188</v>
      </c>
      <c r="I6235" s="370">
        <v>4124.0050048828125</v>
      </c>
      <c r="M6235" s="371">
        <f t="shared" si="389"/>
        <v>14202.888133747247</v>
      </c>
      <c r="N6235" s="329">
        <f t="shared" si="390"/>
        <v>46.712365722656614</v>
      </c>
      <c r="T6235" s="331">
        <v>0</v>
      </c>
      <c r="U6235" s="328">
        <f>VLOOKUP(C6235,METADATA!$J$5:$Q$29,IF(E6235="HI",2,IF(E6235="LO",6,10))+IF(T6235=1,2,IF(D6235=7,1,(IF(WEEKDAY(B6235)=1,2,IF(WEEKDAY(B6235)=7,1,0))))))</f>
        <v>3</v>
      </c>
      <c r="V6235" s="328">
        <f>VLOOKUP(C6235,METADATA!$A$5:$H$29,IF(E6235="HI",2,IF(E6235="LO",6,10))+IF(T6235=1,2,IF(D6235=7,1,(IF(WEEKDAY(B6235)=1,2,IF(WEEKDAY(B6235)=7,1,0))))))</f>
        <v>3</v>
      </c>
    </row>
    <row r="6236" spans="2:22">
      <c r="B6236" s="318">
        <f t="shared" ref="B6236:B6299" si="391">B6212+1</f>
        <v>46372</v>
      </c>
      <c r="C6236" s="312">
        <v>16</v>
      </c>
      <c r="D6236" s="368">
        <f>IFERROR((INDEX(METADATA!$T$2:$T$20,MATCH(B6236,METADATA!$S$2:$S$20,0))),0)</f>
        <v>7</v>
      </c>
      <c r="E6236" s="312" t="str">
        <f t="shared" si="388"/>
        <v>LO</v>
      </c>
      <c r="F6236" s="369">
        <f>VLOOKUP(C6236,METADATA!$A$5:$H$29,IF(E6236="HI",2,IF(E6236="LO",6,10))+IF(D6236=1,2,IF(D6236=7,1,(IF(WEEKDAY(B6236)=1,2,IF(WEEKDAY(B6236)=7,1,0))))))</f>
        <v>3</v>
      </c>
      <c r="G6236" s="369">
        <f>VLOOKUP(C6236,METADATA!$J$5:$Q$29,IF(E6236="HI",2,IF(E6236="LO",6,10))+IF(D6236=1,2,IF(D6236=7,1,(IF(WEEKDAY(B6236)=1,2,IF(WEEKDAY(B6236)=7,1,0))))))</f>
        <v>3</v>
      </c>
      <c r="H6236" s="370">
        <v>13700.875366210938</v>
      </c>
      <c r="I6236" s="370">
        <v>4152.2000122070313</v>
      </c>
      <c r="M6236" s="371">
        <f t="shared" si="389"/>
        <v>14316.240803430828</v>
      </c>
      <c r="N6236" s="329">
        <f t="shared" si="390"/>
        <v>41.937402343750364</v>
      </c>
      <c r="T6236" s="331">
        <v>0</v>
      </c>
      <c r="U6236" s="328">
        <f>VLOOKUP(C6236,METADATA!$J$5:$Q$29,IF(E6236="HI",2,IF(E6236="LO",6,10))+IF(T6236=1,2,IF(D6236=7,1,(IF(WEEKDAY(B6236)=1,2,IF(WEEKDAY(B6236)=7,1,0))))))</f>
        <v>3</v>
      </c>
      <c r="V6236" s="328">
        <f>VLOOKUP(C6236,METADATA!$A$5:$H$29,IF(E6236="HI",2,IF(E6236="LO",6,10))+IF(T6236=1,2,IF(D6236=7,1,(IF(WEEKDAY(B6236)=1,2,IF(WEEKDAY(B6236)=7,1,0))))))</f>
        <v>3</v>
      </c>
    </row>
    <row r="6237" spans="2:22">
      <c r="B6237" s="318">
        <f t="shared" si="391"/>
        <v>46372</v>
      </c>
      <c r="C6237" s="312">
        <v>17</v>
      </c>
      <c r="D6237" s="368">
        <f>IFERROR((INDEX(METADATA!$T$2:$T$20,MATCH(B6237,METADATA!$S$2:$S$20,0))),0)</f>
        <v>7</v>
      </c>
      <c r="E6237" s="312" t="str">
        <f t="shared" si="388"/>
        <v>LO</v>
      </c>
      <c r="F6237" s="369">
        <f>VLOOKUP(C6237,METADATA!$A$5:$H$29,IF(E6237="HI",2,IF(E6237="LO",6,10))+IF(D6237=1,2,IF(D6237=7,1,(IF(WEEKDAY(B6237)=1,2,IF(WEEKDAY(B6237)=7,1,0))))))</f>
        <v>3</v>
      </c>
      <c r="G6237" s="369">
        <f>VLOOKUP(C6237,METADATA!$J$5:$Q$29,IF(E6237="HI",2,IF(E6237="LO",6,10))+IF(D6237=1,2,IF(D6237=7,1,(IF(WEEKDAY(B6237)=1,2,IF(WEEKDAY(B6237)=7,1,0))))))</f>
        <v>3</v>
      </c>
      <c r="H6237" s="370">
        <v>13612.500122070313</v>
      </c>
      <c r="I6237" s="370">
        <v>4112.6549377441406</v>
      </c>
      <c r="M6237" s="371">
        <f t="shared" si="389"/>
        <v>14220.200076311006</v>
      </c>
      <c r="N6237" s="329">
        <f t="shared" si="390"/>
        <v>28.904901123047239</v>
      </c>
      <c r="T6237" s="331">
        <v>0</v>
      </c>
      <c r="U6237" s="328">
        <f>VLOOKUP(C6237,METADATA!$J$5:$Q$29,IF(E6237="HI",2,IF(E6237="LO",6,10))+IF(T6237=1,2,IF(D6237=7,1,(IF(WEEKDAY(B6237)=1,2,IF(WEEKDAY(B6237)=7,1,0))))))</f>
        <v>3</v>
      </c>
      <c r="V6237" s="328">
        <f>VLOOKUP(C6237,METADATA!$A$5:$H$29,IF(E6237="HI",2,IF(E6237="LO",6,10))+IF(T6237=1,2,IF(D6237=7,1,(IF(WEEKDAY(B6237)=1,2,IF(WEEKDAY(B6237)=7,1,0))))))</f>
        <v>3</v>
      </c>
    </row>
    <row r="6238" spans="2:22">
      <c r="B6238" s="318">
        <f t="shared" si="391"/>
        <v>46372</v>
      </c>
      <c r="C6238" s="312">
        <v>18</v>
      </c>
      <c r="D6238" s="368">
        <f>IFERROR((INDEX(METADATA!$T$2:$T$20,MATCH(B6238,METADATA!$S$2:$S$20,0))),0)</f>
        <v>7</v>
      </c>
      <c r="E6238" s="312" t="str">
        <f t="shared" si="388"/>
        <v>LO</v>
      </c>
      <c r="F6238" s="369">
        <f>VLOOKUP(C6238,METADATA!$A$5:$H$29,IF(E6238="HI",2,IF(E6238="LO",6,10))+IF(D6238=1,2,IF(D6238=7,1,(IF(WEEKDAY(B6238)=1,2,IF(WEEKDAY(B6238)=7,1,0))))))</f>
        <v>2</v>
      </c>
      <c r="G6238" s="369">
        <f>VLOOKUP(C6238,METADATA!$J$5:$Q$29,IF(E6238="HI",2,IF(E6238="LO",6,10))+IF(D6238=1,2,IF(D6238=7,1,(IF(WEEKDAY(B6238)=1,2,IF(WEEKDAY(B6238)=7,1,0))))))</f>
        <v>2</v>
      </c>
      <c r="H6238" s="370">
        <v>13590.525390625</v>
      </c>
      <c r="I6238" s="370">
        <v>4079.6400146484375</v>
      </c>
      <c r="M6238" s="371">
        <f t="shared" si="389"/>
        <v>14189.638580398851</v>
      </c>
      <c r="N6238" s="329">
        <f t="shared" si="390"/>
        <v>2.4823974609375909</v>
      </c>
      <c r="T6238" s="331">
        <v>0</v>
      </c>
      <c r="U6238" s="328">
        <f>VLOOKUP(C6238,METADATA!$J$5:$Q$29,IF(E6238="HI",2,IF(E6238="LO",6,10))+IF(T6238=1,2,IF(D6238=7,1,(IF(WEEKDAY(B6238)=1,2,IF(WEEKDAY(B6238)=7,1,0))))))</f>
        <v>2</v>
      </c>
      <c r="V6238" s="328">
        <f>VLOOKUP(C6238,METADATA!$A$5:$H$29,IF(E6238="HI",2,IF(E6238="LO",6,10))+IF(T6238=1,2,IF(D6238=7,1,(IF(WEEKDAY(B6238)=1,2,IF(WEEKDAY(B6238)=7,1,0))))))</f>
        <v>2</v>
      </c>
    </row>
    <row r="6239" spans="2:22">
      <c r="B6239" s="318">
        <f t="shared" si="391"/>
        <v>46372</v>
      </c>
      <c r="C6239" s="312">
        <v>19</v>
      </c>
      <c r="D6239" s="368">
        <f>IFERROR((INDEX(METADATA!$T$2:$T$20,MATCH(B6239,METADATA!$S$2:$S$20,0))),0)</f>
        <v>7</v>
      </c>
      <c r="E6239" s="312" t="str">
        <f t="shared" si="388"/>
        <v>LO</v>
      </c>
      <c r="F6239" s="369">
        <f>VLOOKUP(C6239,METADATA!$A$5:$H$29,IF(E6239="HI",2,IF(E6239="LO",6,10))+IF(D6239=1,2,IF(D6239=7,1,(IF(WEEKDAY(B6239)=1,2,IF(WEEKDAY(B6239)=7,1,0))))))</f>
        <v>2</v>
      </c>
      <c r="G6239" s="369">
        <f>VLOOKUP(C6239,METADATA!$J$5:$Q$29,IF(E6239="HI",2,IF(E6239="LO",6,10))+IF(D6239=1,2,IF(D6239=7,1,(IF(WEEKDAY(B6239)=1,2,IF(WEEKDAY(B6239)=7,1,0))))))</f>
        <v>2</v>
      </c>
      <c r="H6239" s="370">
        <v>13599.72509765625</v>
      </c>
      <c r="I6239" s="370">
        <v>4021.6349792480469</v>
      </c>
      <c r="M6239" s="371">
        <f t="shared" si="389"/>
        <v>14181.892350392904</v>
      </c>
      <c r="N6239" s="329">
        <f t="shared" si="390"/>
        <v>0</v>
      </c>
      <c r="T6239" s="331">
        <v>0</v>
      </c>
      <c r="U6239" s="328">
        <f>VLOOKUP(C6239,METADATA!$J$5:$Q$29,IF(E6239="HI",2,IF(E6239="LO",6,10))+IF(T6239=1,2,IF(D6239=7,1,(IF(WEEKDAY(B6239)=1,2,IF(WEEKDAY(B6239)=7,1,0))))))</f>
        <v>2</v>
      </c>
      <c r="V6239" s="328">
        <f>VLOOKUP(C6239,METADATA!$A$5:$H$29,IF(E6239="HI",2,IF(E6239="LO",6,10))+IF(T6239=1,2,IF(D6239=7,1,(IF(WEEKDAY(B6239)=1,2,IF(WEEKDAY(B6239)=7,1,0))))))</f>
        <v>2</v>
      </c>
    </row>
    <row r="6240" spans="2:22">
      <c r="B6240" s="318">
        <f t="shared" si="391"/>
        <v>46372</v>
      </c>
      <c r="C6240" s="312">
        <v>20</v>
      </c>
      <c r="D6240" s="368">
        <f>IFERROR((INDEX(METADATA!$T$2:$T$20,MATCH(B6240,METADATA!$S$2:$S$20,0))),0)</f>
        <v>7</v>
      </c>
      <c r="E6240" s="312" t="str">
        <f t="shared" si="388"/>
        <v>LO</v>
      </c>
      <c r="F6240" s="369">
        <f>VLOOKUP(C6240,METADATA!$A$5:$H$29,IF(E6240="HI",2,IF(E6240="LO",6,10))+IF(D6240=1,2,IF(D6240=7,1,(IF(WEEKDAY(B6240)=1,2,IF(WEEKDAY(B6240)=7,1,0))))))</f>
        <v>3</v>
      </c>
      <c r="G6240" s="369">
        <f>VLOOKUP(C6240,METADATA!$J$5:$Q$29,IF(E6240="HI",2,IF(E6240="LO",6,10))+IF(D6240=1,2,IF(D6240=7,1,(IF(WEEKDAY(B6240)=1,2,IF(WEEKDAY(B6240)=7,1,0))))))</f>
        <v>3</v>
      </c>
      <c r="H6240" s="370">
        <v>13560.575256347656</v>
      </c>
      <c r="I6240" s="370">
        <v>4084.6548767089844</v>
      </c>
      <c r="M6240" s="371">
        <f t="shared" si="389"/>
        <v>14162.401164523295</v>
      </c>
      <c r="N6240" s="329">
        <f t="shared" si="390"/>
        <v>16.4822998046875</v>
      </c>
      <c r="T6240" s="331">
        <v>0</v>
      </c>
      <c r="U6240" s="328">
        <f>VLOOKUP(C6240,METADATA!$J$5:$Q$29,IF(E6240="HI",2,IF(E6240="LO",6,10))+IF(T6240=1,2,IF(D6240=7,1,(IF(WEEKDAY(B6240)=1,2,IF(WEEKDAY(B6240)=7,1,0))))))</f>
        <v>3</v>
      </c>
      <c r="V6240" s="328">
        <f>VLOOKUP(C6240,METADATA!$A$5:$H$29,IF(E6240="HI",2,IF(E6240="LO",6,10))+IF(T6240=1,2,IF(D6240=7,1,(IF(WEEKDAY(B6240)=1,2,IF(WEEKDAY(B6240)=7,1,0))))))</f>
        <v>3</v>
      </c>
    </row>
    <row r="6241" spans="2:22">
      <c r="B6241" s="318">
        <f t="shared" si="391"/>
        <v>46372</v>
      </c>
      <c r="C6241" s="312">
        <v>21</v>
      </c>
      <c r="D6241" s="368">
        <f>IFERROR((INDEX(METADATA!$T$2:$T$20,MATCH(B6241,METADATA!$S$2:$S$20,0))),0)</f>
        <v>7</v>
      </c>
      <c r="E6241" s="312" t="str">
        <f t="shared" si="388"/>
        <v>LO</v>
      </c>
      <c r="F6241" s="369">
        <f>VLOOKUP(C6241,METADATA!$A$5:$H$29,IF(E6241="HI",2,IF(E6241="LO",6,10))+IF(D6241=1,2,IF(D6241=7,1,(IF(WEEKDAY(B6241)=1,2,IF(WEEKDAY(B6241)=7,1,0))))))</f>
        <v>3</v>
      </c>
      <c r="G6241" s="369">
        <f>VLOOKUP(C6241,METADATA!$J$5:$Q$29,IF(E6241="HI",2,IF(E6241="LO",6,10))+IF(D6241=1,2,IF(D6241=7,1,(IF(WEEKDAY(B6241)=1,2,IF(WEEKDAY(B6241)=7,1,0))))))</f>
        <v>3</v>
      </c>
      <c r="H6241" s="370">
        <v>13656.425048828125</v>
      </c>
      <c r="I6241" s="370">
        <v>4200.8199157714844</v>
      </c>
      <c r="M6241" s="371">
        <f t="shared" si="389"/>
        <v>14287.926129393398</v>
      </c>
      <c r="N6241" s="329">
        <f t="shared" si="390"/>
        <v>103.89240112304742</v>
      </c>
      <c r="T6241" s="331">
        <v>0</v>
      </c>
      <c r="U6241" s="328">
        <f>VLOOKUP(C6241,METADATA!$J$5:$Q$29,IF(E6241="HI",2,IF(E6241="LO",6,10))+IF(T6241=1,2,IF(D6241=7,1,(IF(WEEKDAY(B6241)=1,2,IF(WEEKDAY(B6241)=7,1,0))))))</f>
        <v>3</v>
      </c>
      <c r="V6241" s="328">
        <f>VLOOKUP(C6241,METADATA!$A$5:$H$29,IF(E6241="HI",2,IF(E6241="LO",6,10))+IF(T6241=1,2,IF(D6241=7,1,(IF(WEEKDAY(B6241)=1,2,IF(WEEKDAY(B6241)=7,1,0))))))</f>
        <v>3</v>
      </c>
    </row>
    <row r="6242" spans="2:22">
      <c r="B6242" s="318">
        <f t="shared" si="391"/>
        <v>46372</v>
      </c>
      <c r="C6242" s="312">
        <v>22</v>
      </c>
      <c r="D6242" s="368">
        <f>IFERROR((INDEX(METADATA!$T$2:$T$20,MATCH(B6242,METADATA!$S$2:$S$20,0))),0)</f>
        <v>7</v>
      </c>
      <c r="E6242" s="312" t="str">
        <f t="shared" si="388"/>
        <v>LO</v>
      </c>
      <c r="F6242" s="369">
        <f>VLOOKUP(C6242,METADATA!$A$5:$H$29,IF(E6242="HI",2,IF(E6242="LO",6,10))+IF(D6242=1,2,IF(D6242=7,1,(IF(WEEKDAY(B6242)=1,2,IF(WEEKDAY(B6242)=7,1,0))))))</f>
        <v>3</v>
      </c>
      <c r="G6242" s="369">
        <f>VLOOKUP(C6242,METADATA!$J$5:$Q$29,IF(E6242="HI",2,IF(E6242="LO",6,10))+IF(D6242=1,2,IF(D6242=7,1,(IF(WEEKDAY(B6242)=1,2,IF(WEEKDAY(B6242)=7,1,0))))))</f>
        <v>3</v>
      </c>
      <c r="H6242" s="370">
        <v>13670.375244140625</v>
      </c>
      <c r="I6242" s="370">
        <v>4246.3800048828125</v>
      </c>
      <c r="M6242" s="371">
        <f t="shared" si="389"/>
        <v>14314.709304120757</v>
      </c>
      <c r="N6242" s="329">
        <f t="shared" si="390"/>
        <v>145.26743164062555</v>
      </c>
      <c r="T6242" s="331">
        <v>0</v>
      </c>
      <c r="U6242" s="328">
        <f>VLOOKUP(C6242,METADATA!$J$5:$Q$29,IF(E6242="HI",2,IF(E6242="LO",6,10))+IF(T6242=1,2,IF(D6242=7,1,(IF(WEEKDAY(B6242)=1,2,IF(WEEKDAY(B6242)=7,1,0))))))</f>
        <v>3</v>
      </c>
      <c r="V6242" s="328">
        <f>VLOOKUP(C6242,METADATA!$A$5:$H$29,IF(E6242="HI",2,IF(E6242="LO",6,10))+IF(T6242=1,2,IF(D6242=7,1,(IF(WEEKDAY(B6242)=1,2,IF(WEEKDAY(B6242)=7,1,0))))))</f>
        <v>3</v>
      </c>
    </row>
    <row r="6243" spans="2:22">
      <c r="B6243" s="318">
        <f t="shared" si="391"/>
        <v>46372</v>
      </c>
      <c r="C6243" s="312">
        <v>23</v>
      </c>
      <c r="D6243" s="368">
        <f>IFERROR((INDEX(METADATA!$T$2:$T$20,MATCH(B6243,METADATA!$S$2:$S$20,0))),0)</f>
        <v>7</v>
      </c>
      <c r="E6243" s="312" t="str">
        <f t="shared" si="388"/>
        <v>LO</v>
      </c>
      <c r="F6243" s="369">
        <f>VLOOKUP(C6243,METADATA!$A$5:$H$29,IF(E6243="HI",2,IF(E6243="LO",6,10))+IF(D6243=1,2,IF(D6243=7,1,(IF(WEEKDAY(B6243)=1,2,IF(WEEKDAY(B6243)=7,1,0))))))</f>
        <v>3</v>
      </c>
      <c r="G6243" s="369">
        <f>VLOOKUP(C6243,METADATA!$J$5:$Q$29,IF(E6243="HI",2,IF(E6243="LO",6,10))+IF(D6243=1,2,IF(D6243=7,1,(IF(WEEKDAY(B6243)=1,2,IF(WEEKDAY(B6243)=7,1,0))))))</f>
        <v>3</v>
      </c>
      <c r="H6243" s="370">
        <v>13738.950317382813</v>
      </c>
      <c r="I6243" s="370">
        <v>4219.2098999023438</v>
      </c>
      <c r="M6243" s="371">
        <f t="shared" si="389"/>
        <v>14372.212355895219</v>
      </c>
      <c r="N6243" s="329">
        <f t="shared" si="390"/>
        <v>97.524804687500364</v>
      </c>
      <c r="T6243" s="331">
        <v>0</v>
      </c>
      <c r="U6243" s="328">
        <f>VLOOKUP(C6243,METADATA!$J$5:$Q$29,IF(E6243="HI",2,IF(E6243="LO",6,10))+IF(T6243=1,2,IF(D6243=7,1,(IF(WEEKDAY(B6243)=1,2,IF(WEEKDAY(B6243)=7,1,0))))))</f>
        <v>3</v>
      </c>
      <c r="V6243" s="328">
        <f>VLOOKUP(C6243,METADATA!$A$5:$H$29,IF(E6243="HI",2,IF(E6243="LO",6,10))+IF(T6243=1,2,IF(D6243=7,1,(IF(WEEKDAY(B6243)=1,2,IF(WEEKDAY(B6243)=7,1,0))))))</f>
        <v>3</v>
      </c>
    </row>
    <row r="6244" spans="2:22">
      <c r="B6244" s="318">
        <f t="shared" si="391"/>
        <v>46373</v>
      </c>
      <c r="C6244" s="312">
        <v>0</v>
      </c>
      <c r="D6244" s="368">
        <f>IFERROR((INDEX(METADATA!$T$2:$T$20,MATCH(B6244,METADATA!$S$2:$S$20,0))),0)</f>
        <v>0</v>
      </c>
      <c r="E6244" s="312" t="str">
        <f t="shared" si="388"/>
        <v>LO</v>
      </c>
      <c r="F6244" s="369">
        <f>VLOOKUP(C6244,METADATA!$A$5:$H$29,IF(E6244="HI",2,IF(E6244="LO",6,10))+IF(D6244=1,2,IF(D6244=7,1,(IF(WEEKDAY(B6244)=1,2,IF(WEEKDAY(B6244)=7,1,0))))))</f>
        <v>3</v>
      </c>
      <c r="G6244" s="369">
        <f>VLOOKUP(C6244,METADATA!$J$5:$Q$29,IF(E6244="HI",2,IF(E6244="LO",6,10))+IF(D6244=1,2,IF(D6244=7,1,(IF(WEEKDAY(B6244)=1,2,IF(WEEKDAY(B6244)=7,1,0))))))</f>
        <v>3</v>
      </c>
      <c r="H6244" s="370">
        <v>13777.250305175781</v>
      </c>
      <c r="I6244" s="370">
        <v>4369.7450561523438</v>
      </c>
      <c r="M6244" s="371">
        <f t="shared" si="389"/>
        <v>14453.625767510171</v>
      </c>
      <c r="N6244" s="329">
        <f t="shared" si="390"/>
        <v>236.56996459960919</v>
      </c>
      <c r="T6244" s="331">
        <v>0</v>
      </c>
      <c r="U6244" s="328">
        <f>VLOOKUP(C6244,METADATA!$J$5:$Q$29,IF(E6244="HI",2,IF(E6244="LO",6,10))+IF(T6244=1,2,IF(D6244=7,1,(IF(WEEKDAY(B6244)=1,2,IF(WEEKDAY(B6244)=7,1,0))))))</f>
        <v>3</v>
      </c>
      <c r="V6244" s="328">
        <f>VLOOKUP(C6244,METADATA!$A$5:$H$29,IF(E6244="HI",2,IF(E6244="LO",6,10))+IF(T6244=1,2,IF(D6244=7,1,(IF(WEEKDAY(B6244)=1,2,IF(WEEKDAY(B6244)=7,1,0))))))</f>
        <v>3</v>
      </c>
    </row>
    <row r="6245" spans="2:22">
      <c r="B6245" s="318">
        <f t="shared" si="391"/>
        <v>46373</v>
      </c>
      <c r="C6245" s="312">
        <v>1</v>
      </c>
      <c r="D6245" s="368">
        <f>IFERROR((INDEX(METADATA!$T$2:$T$20,MATCH(B6245,METADATA!$S$2:$S$20,0))),0)</f>
        <v>0</v>
      </c>
      <c r="E6245" s="312" t="str">
        <f t="shared" si="388"/>
        <v>LO</v>
      </c>
      <c r="F6245" s="369">
        <f>VLOOKUP(C6245,METADATA!$A$5:$H$29,IF(E6245="HI",2,IF(E6245="LO",6,10))+IF(D6245=1,2,IF(D6245=7,1,(IF(WEEKDAY(B6245)=1,2,IF(WEEKDAY(B6245)=7,1,0))))))</f>
        <v>3</v>
      </c>
      <c r="G6245" s="369">
        <f>VLOOKUP(C6245,METADATA!$J$5:$Q$29,IF(E6245="HI",2,IF(E6245="LO",6,10))+IF(D6245=1,2,IF(D6245=7,1,(IF(WEEKDAY(B6245)=1,2,IF(WEEKDAY(B6245)=7,1,0))))))</f>
        <v>3</v>
      </c>
      <c r="H6245" s="370">
        <v>13684.125122070313</v>
      </c>
      <c r="I6245" s="370">
        <v>4369.4850158691406</v>
      </c>
      <c r="M6245" s="371">
        <f t="shared" si="389"/>
        <v>14364.806983053437</v>
      </c>
      <c r="N6245" s="329">
        <f t="shared" si="390"/>
        <v>264.24747924804706</v>
      </c>
      <c r="T6245" s="331">
        <v>0</v>
      </c>
      <c r="U6245" s="328">
        <f>VLOOKUP(C6245,METADATA!$J$5:$Q$29,IF(E6245="HI",2,IF(E6245="LO",6,10))+IF(T6245=1,2,IF(D6245=7,1,(IF(WEEKDAY(B6245)=1,2,IF(WEEKDAY(B6245)=7,1,0))))))</f>
        <v>3</v>
      </c>
      <c r="V6245" s="328">
        <f>VLOOKUP(C6245,METADATA!$A$5:$H$29,IF(E6245="HI",2,IF(E6245="LO",6,10))+IF(T6245=1,2,IF(D6245=7,1,(IF(WEEKDAY(B6245)=1,2,IF(WEEKDAY(B6245)=7,1,0))))))</f>
        <v>3</v>
      </c>
    </row>
    <row r="6246" spans="2:22">
      <c r="B6246" s="318">
        <f t="shared" si="391"/>
        <v>46373</v>
      </c>
      <c r="C6246" s="312">
        <v>2</v>
      </c>
      <c r="D6246" s="368">
        <f>IFERROR((INDEX(METADATA!$T$2:$T$20,MATCH(B6246,METADATA!$S$2:$S$20,0))),0)</f>
        <v>0</v>
      </c>
      <c r="E6246" s="312" t="str">
        <f t="shared" si="388"/>
        <v>LO</v>
      </c>
      <c r="F6246" s="369">
        <f>VLOOKUP(C6246,METADATA!$A$5:$H$29,IF(E6246="HI",2,IF(E6246="LO",6,10))+IF(D6246=1,2,IF(D6246=7,1,(IF(WEEKDAY(B6246)=1,2,IF(WEEKDAY(B6246)=7,1,0))))))</f>
        <v>3</v>
      </c>
      <c r="G6246" s="369">
        <f>VLOOKUP(C6246,METADATA!$J$5:$Q$29,IF(E6246="HI",2,IF(E6246="LO",6,10))+IF(D6246=1,2,IF(D6246=7,1,(IF(WEEKDAY(B6246)=1,2,IF(WEEKDAY(B6246)=7,1,0))))))</f>
        <v>3</v>
      </c>
      <c r="H6246" s="370">
        <v>13817</v>
      </c>
      <c r="I6246" s="370">
        <v>4394.9199829101563</v>
      </c>
      <c r="M6246" s="371">
        <f t="shared" si="389"/>
        <v>14499.131375919835</v>
      </c>
      <c r="N6246" s="329">
        <f t="shared" si="390"/>
        <v>249.8199829101568</v>
      </c>
      <c r="T6246" s="331">
        <v>0</v>
      </c>
      <c r="U6246" s="328">
        <f>VLOOKUP(C6246,METADATA!$J$5:$Q$29,IF(E6246="HI",2,IF(E6246="LO",6,10))+IF(T6246=1,2,IF(D6246=7,1,(IF(WEEKDAY(B6246)=1,2,IF(WEEKDAY(B6246)=7,1,0))))))</f>
        <v>3</v>
      </c>
      <c r="V6246" s="328">
        <f>VLOOKUP(C6246,METADATA!$A$5:$H$29,IF(E6246="HI",2,IF(E6246="LO",6,10))+IF(T6246=1,2,IF(D6246=7,1,(IF(WEEKDAY(B6246)=1,2,IF(WEEKDAY(B6246)=7,1,0))))))</f>
        <v>3</v>
      </c>
    </row>
    <row r="6247" spans="2:22">
      <c r="B6247" s="318">
        <f t="shared" si="391"/>
        <v>46373</v>
      </c>
      <c r="C6247" s="312">
        <v>3</v>
      </c>
      <c r="D6247" s="368">
        <f>IFERROR((INDEX(METADATA!$T$2:$T$20,MATCH(B6247,METADATA!$S$2:$S$20,0))),0)</f>
        <v>0</v>
      </c>
      <c r="E6247" s="312" t="str">
        <f t="shared" si="388"/>
        <v>LO</v>
      </c>
      <c r="F6247" s="369">
        <f>VLOOKUP(C6247,METADATA!$A$5:$H$29,IF(E6247="HI",2,IF(E6247="LO",6,10))+IF(D6247=1,2,IF(D6247=7,1,(IF(WEEKDAY(B6247)=1,2,IF(WEEKDAY(B6247)=7,1,0))))))</f>
        <v>3</v>
      </c>
      <c r="G6247" s="369">
        <f>VLOOKUP(C6247,METADATA!$J$5:$Q$29,IF(E6247="HI",2,IF(E6247="LO",6,10))+IF(D6247=1,2,IF(D6247=7,1,(IF(WEEKDAY(B6247)=1,2,IF(WEEKDAY(B6247)=7,1,0))))))</f>
        <v>3</v>
      </c>
      <c r="H6247" s="370">
        <v>13853.599914550781</v>
      </c>
      <c r="I6247" s="370">
        <v>4304.0949401855469</v>
      </c>
      <c r="M6247" s="371">
        <f t="shared" si="389"/>
        <v>14506.80750015565</v>
      </c>
      <c r="N6247" s="329">
        <f t="shared" si="390"/>
        <v>148.01496582031268</v>
      </c>
      <c r="T6247" s="331">
        <v>0</v>
      </c>
      <c r="U6247" s="328">
        <f>VLOOKUP(C6247,METADATA!$J$5:$Q$29,IF(E6247="HI",2,IF(E6247="LO",6,10))+IF(T6247=1,2,IF(D6247=7,1,(IF(WEEKDAY(B6247)=1,2,IF(WEEKDAY(B6247)=7,1,0))))))</f>
        <v>3</v>
      </c>
      <c r="V6247" s="328">
        <f>VLOOKUP(C6247,METADATA!$A$5:$H$29,IF(E6247="HI",2,IF(E6247="LO",6,10))+IF(T6247=1,2,IF(D6247=7,1,(IF(WEEKDAY(B6247)=1,2,IF(WEEKDAY(B6247)=7,1,0))))))</f>
        <v>3</v>
      </c>
    </row>
    <row r="6248" spans="2:22">
      <c r="B6248" s="318">
        <f t="shared" si="391"/>
        <v>46373</v>
      </c>
      <c r="C6248" s="312">
        <v>4</v>
      </c>
      <c r="D6248" s="368">
        <f>IFERROR((INDEX(METADATA!$T$2:$T$20,MATCH(B6248,METADATA!$S$2:$S$20,0))),0)</f>
        <v>0</v>
      </c>
      <c r="E6248" s="312" t="str">
        <f t="shared" si="388"/>
        <v>LO</v>
      </c>
      <c r="F6248" s="369">
        <f>VLOOKUP(C6248,METADATA!$A$5:$H$29,IF(E6248="HI",2,IF(E6248="LO",6,10))+IF(D6248=1,2,IF(D6248=7,1,(IF(WEEKDAY(B6248)=1,2,IF(WEEKDAY(B6248)=7,1,0))))))</f>
        <v>3</v>
      </c>
      <c r="G6248" s="369">
        <f>VLOOKUP(C6248,METADATA!$J$5:$Q$29,IF(E6248="HI",2,IF(E6248="LO",6,10))+IF(D6248=1,2,IF(D6248=7,1,(IF(WEEKDAY(B6248)=1,2,IF(WEEKDAY(B6248)=7,1,0))))))</f>
        <v>3</v>
      </c>
      <c r="H6248" s="370">
        <v>13659.974975585938</v>
      </c>
      <c r="I6248" s="370">
        <v>4339.0500183105469</v>
      </c>
      <c r="M6248" s="371">
        <f t="shared" si="389"/>
        <v>14332.559833994581</v>
      </c>
      <c r="N6248" s="329">
        <f t="shared" si="390"/>
        <v>241.05752563476563</v>
      </c>
      <c r="T6248" s="331">
        <v>0</v>
      </c>
      <c r="U6248" s="328">
        <f>VLOOKUP(C6248,METADATA!$J$5:$Q$29,IF(E6248="HI",2,IF(E6248="LO",6,10))+IF(T6248=1,2,IF(D6248=7,1,(IF(WEEKDAY(B6248)=1,2,IF(WEEKDAY(B6248)=7,1,0))))))</f>
        <v>3</v>
      </c>
      <c r="V6248" s="328">
        <f>VLOOKUP(C6248,METADATA!$A$5:$H$29,IF(E6248="HI",2,IF(E6248="LO",6,10))+IF(T6248=1,2,IF(D6248=7,1,(IF(WEEKDAY(B6248)=1,2,IF(WEEKDAY(B6248)=7,1,0))))))</f>
        <v>3</v>
      </c>
    </row>
    <row r="6249" spans="2:22">
      <c r="B6249" s="318">
        <f t="shared" si="391"/>
        <v>46373</v>
      </c>
      <c r="C6249" s="312">
        <v>5</v>
      </c>
      <c r="D6249" s="368">
        <f>IFERROR((INDEX(METADATA!$T$2:$T$20,MATCH(B6249,METADATA!$S$2:$S$20,0))),0)</f>
        <v>0</v>
      </c>
      <c r="E6249" s="312" t="str">
        <f t="shared" si="388"/>
        <v>LO</v>
      </c>
      <c r="F6249" s="369">
        <f>VLOOKUP(C6249,METADATA!$A$5:$H$29,IF(E6249="HI",2,IF(E6249="LO",6,10))+IF(D6249=1,2,IF(D6249=7,1,(IF(WEEKDAY(B6249)=1,2,IF(WEEKDAY(B6249)=7,1,0))))))</f>
        <v>3</v>
      </c>
      <c r="G6249" s="369">
        <f>VLOOKUP(C6249,METADATA!$J$5:$Q$29,IF(E6249="HI",2,IF(E6249="LO",6,10))+IF(D6249=1,2,IF(D6249=7,1,(IF(WEEKDAY(B6249)=1,2,IF(WEEKDAY(B6249)=7,1,0))))))</f>
        <v>3</v>
      </c>
      <c r="H6249" s="370">
        <v>13922.724792480469</v>
      </c>
      <c r="I6249" s="370">
        <v>4367.8150329589844</v>
      </c>
      <c r="M6249" s="371">
        <f t="shared" si="389"/>
        <v>14591.781036230388</v>
      </c>
      <c r="N6249" s="329">
        <f t="shared" si="390"/>
        <v>190.9975952148443</v>
      </c>
      <c r="T6249" s="331">
        <v>0</v>
      </c>
      <c r="U6249" s="328">
        <f>VLOOKUP(C6249,METADATA!$J$5:$Q$29,IF(E6249="HI",2,IF(E6249="LO",6,10))+IF(T6249=1,2,IF(D6249=7,1,(IF(WEEKDAY(B6249)=1,2,IF(WEEKDAY(B6249)=7,1,0))))))</f>
        <v>3</v>
      </c>
      <c r="V6249" s="328">
        <f>VLOOKUP(C6249,METADATA!$A$5:$H$29,IF(E6249="HI",2,IF(E6249="LO",6,10))+IF(T6249=1,2,IF(D6249=7,1,(IF(WEEKDAY(B6249)=1,2,IF(WEEKDAY(B6249)=7,1,0))))))</f>
        <v>3</v>
      </c>
    </row>
    <row r="6250" spans="2:22">
      <c r="B6250" s="318">
        <f t="shared" si="391"/>
        <v>46373</v>
      </c>
      <c r="C6250" s="312">
        <v>6</v>
      </c>
      <c r="D6250" s="368">
        <f>IFERROR((INDEX(METADATA!$T$2:$T$20,MATCH(B6250,METADATA!$S$2:$S$20,0))),0)</f>
        <v>0</v>
      </c>
      <c r="E6250" s="312" t="str">
        <f t="shared" si="388"/>
        <v>LO</v>
      </c>
      <c r="F6250" s="369">
        <f>VLOOKUP(C6250,METADATA!$A$5:$H$29,IF(E6250="HI",2,IF(E6250="LO",6,10))+IF(D6250=1,2,IF(D6250=7,1,(IF(WEEKDAY(B6250)=1,2,IF(WEEKDAY(B6250)=7,1,0))))))</f>
        <v>2</v>
      </c>
      <c r="G6250" s="369">
        <f>VLOOKUP(C6250,METADATA!$J$5:$Q$29,IF(E6250="HI",2,IF(E6250="LO",6,10))+IF(D6250=1,2,IF(D6250=7,1,(IF(WEEKDAY(B6250)=1,2,IF(WEEKDAY(B6250)=7,1,0))))))</f>
        <v>2</v>
      </c>
      <c r="H6250" s="370">
        <v>13763.912475585938</v>
      </c>
      <c r="I6250" s="370">
        <v>4304.6125183105469</v>
      </c>
      <c r="M6250" s="371">
        <f t="shared" si="389"/>
        <v>14421.337509689803</v>
      </c>
      <c r="N6250" s="329">
        <f t="shared" si="390"/>
        <v>175.43877563476599</v>
      </c>
      <c r="T6250" s="331">
        <v>0</v>
      </c>
      <c r="U6250" s="328">
        <f>VLOOKUP(C6250,METADATA!$J$5:$Q$29,IF(E6250="HI",2,IF(E6250="LO",6,10))+IF(T6250=1,2,IF(D6250=7,1,(IF(WEEKDAY(B6250)=1,2,IF(WEEKDAY(B6250)=7,1,0))))))</f>
        <v>2</v>
      </c>
      <c r="V6250" s="328">
        <f>VLOOKUP(C6250,METADATA!$A$5:$H$29,IF(E6250="HI",2,IF(E6250="LO",6,10))+IF(T6250=1,2,IF(D6250=7,1,(IF(WEEKDAY(B6250)=1,2,IF(WEEKDAY(B6250)=7,1,0))))))</f>
        <v>2</v>
      </c>
    </row>
    <row r="6251" spans="2:22">
      <c r="B6251" s="318">
        <f t="shared" si="391"/>
        <v>46373</v>
      </c>
      <c r="C6251" s="312">
        <v>7</v>
      </c>
      <c r="D6251" s="368">
        <f>IFERROR((INDEX(METADATA!$T$2:$T$20,MATCH(B6251,METADATA!$S$2:$S$20,0))),0)</f>
        <v>0</v>
      </c>
      <c r="E6251" s="312" t="str">
        <f t="shared" si="388"/>
        <v>LO</v>
      </c>
      <c r="F6251" s="369">
        <f>VLOOKUP(C6251,METADATA!$A$5:$H$29,IF(E6251="HI",2,IF(E6251="LO",6,10))+IF(D6251=1,2,IF(D6251=7,1,(IF(WEEKDAY(B6251)=1,2,IF(WEEKDAY(B6251)=7,1,0))))))</f>
        <v>1</v>
      </c>
      <c r="G6251" s="369">
        <f>VLOOKUP(C6251,METADATA!$J$5:$Q$29,IF(E6251="HI",2,IF(E6251="LO",6,10))+IF(D6251=1,2,IF(D6251=7,1,(IF(WEEKDAY(B6251)=1,2,IF(WEEKDAY(B6251)=7,1,0))))))</f>
        <v>1</v>
      </c>
      <c r="H6251" s="370">
        <v>13556.825317382813</v>
      </c>
      <c r="I6251" s="370">
        <v>4101.8349914550781</v>
      </c>
      <c r="M6251" s="371">
        <f t="shared" si="389"/>
        <v>14163.776437912202</v>
      </c>
      <c r="N6251" s="329">
        <f t="shared" si="390"/>
        <v>34.787396240234557</v>
      </c>
      <c r="T6251" s="331">
        <v>0</v>
      </c>
      <c r="U6251" s="328">
        <f>VLOOKUP(C6251,METADATA!$J$5:$Q$29,IF(E6251="HI",2,IF(E6251="LO",6,10))+IF(T6251=1,2,IF(D6251=7,1,(IF(WEEKDAY(B6251)=1,2,IF(WEEKDAY(B6251)=7,1,0))))))</f>
        <v>1</v>
      </c>
      <c r="V6251" s="328">
        <f>VLOOKUP(C6251,METADATA!$A$5:$H$29,IF(E6251="HI",2,IF(E6251="LO",6,10))+IF(T6251=1,2,IF(D6251=7,1,(IF(WEEKDAY(B6251)=1,2,IF(WEEKDAY(B6251)=7,1,0))))))</f>
        <v>1</v>
      </c>
    </row>
    <row r="6252" spans="2:22">
      <c r="B6252" s="318">
        <f t="shared" si="391"/>
        <v>46373</v>
      </c>
      <c r="C6252" s="312">
        <v>8</v>
      </c>
      <c r="D6252" s="368">
        <f>IFERROR((INDEX(METADATA!$T$2:$T$20,MATCH(B6252,METADATA!$S$2:$S$20,0))),0)</f>
        <v>0</v>
      </c>
      <c r="E6252" s="312" t="str">
        <f t="shared" si="388"/>
        <v>LO</v>
      </c>
      <c r="F6252" s="369">
        <f>VLOOKUP(C6252,METADATA!$A$5:$H$29,IF(E6252="HI",2,IF(E6252="LO",6,10))+IF(D6252=1,2,IF(D6252=7,1,(IF(WEEKDAY(B6252)=1,2,IF(WEEKDAY(B6252)=7,1,0))))))</f>
        <v>1</v>
      </c>
      <c r="G6252" s="369">
        <f>VLOOKUP(C6252,METADATA!$J$5:$Q$29,IF(E6252="HI",2,IF(E6252="LO",6,10))+IF(D6252=1,2,IF(D6252=7,1,(IF(WEEKDAY(B6252)=1,2,IF(WEEKDAY(B6252)=7,1,0))))))</f>
        <v>1</v>
      </c>
      <c r="H6252" s="370">
        <v>11946.609954833984</v>
      </c>
      <c r="I6252" s="370">
        <v>3039.3574829101563</v>
      </c>
      <c r="M6252" s="371">
        <f t="shared" si="389"/>
        <v>12327.172559912529</v>
      </c>
      <c r="N6252" s="329">
        <f t="shared" si="390"/>
        <v>0</v>
      </c>
      <c r="T6252" s="331">
        <v>0</v>
      </c>
      <c r="U6252" s="328">
        <f>VLOOKUP(C6252,METADATA!$J$5:$Q$29,IF(E6252="HI",2,IF(E6252="LO",6,10))+IF(T6252=1,2,IF(D6252=7,1,(IF(WEEKDAY(B6252)=1,2,IF(WEEKDAY(B6252)=7,1,0))))))</f>
        <v>1</v>
      </c>
      <c r="V6252" s="328">
        <f>VLOOKUP(C6252,METADATA!$A$5:$H$29,IF(E6252="HI",2,IF(E6252="LO",6,10))+IF(T6252=1,2,IF(D6252=7,1,(IF(WEEKDAY(B6252)=1,2,IF(WEEKDAY(B6252)=7,1,0))))))</f>
        <v>1</v>
      </c>
    </row>
    <row r="6253" spans="2:22">
      <c r="B6253" s="318">
        <f t="shared" si="391"/>
        <v>46373</v>
      </c>
      <c r="C6253" s="312">
        <v>9</v>
      </c>
      <c r="D6253" s="368">
        <f>IFERROR((INDEX(METADATA!$T$2:$T$20,MATCH(B6253,METADATA!$S$2:$S$20,0))),0)</f>
        <v>0</v>
      </c>
      <c r="E6253" s="312" t="str">
        <f t="shared" si="388"/>
        <v>LO</v>
      </c>
      <c r="F6253" s="369">
        <f>VLOOKUP(C6253,METADATA!$A$5:$H$29,IF(E6253="HI",2,IF(E6253="LO",6,10))+IF(D6253=1,2,IF(D6253=7,1,(IF(WEEKDAY(B6253)=1,2,IF(WEEKDAY(B6253)=7,1,0))))))</f>
        <v>2</v>
      </c>
      <c r="G6253" s="369">
        <f>VLOOKUP(C6253,METADATA!$J$5:$Q$29,IF(E6253="HI",2,IF(E6253="LO",6,10))+IF(D6253=1,2,IF(D6253=7,1,(IF(WEEKDAY(B6253)=1,2,IF(WEEKDAY(B6253)=7,1,0))))))</f>
        <v>2</v>
      </c>
      <c r="H6253" s="370">
        <v>11810.215118408203</v>
      </c>
      <c r="I6253" s="370">
        <v>2978.304931640625</v>
      </c>
      <c r="M6253" s="371">
        <f t="shared" si="389"/>
        <v>12179.962290947889</v>
      </c>
      <c r="N6253" s="329">
        <f t="shared" si="390"/>
        <v>0</v>
      </c>
      <c r="T6253" s="331">
        <v>0</v>
      </c>
      <c r="U6253" s="328">
        <f>VLOOKUP(C6253,METADATA!$J$5:$Q$29,IF(E6253="HI",2,IF(E6253="LO",6,10))+IF(T6253=1,2,IF(D6253=7,1,(IF(WEEKDAY(B6253)=1,2,IF(WEEKDAY(B6253)=7,1,0))))))</f>
        <v>2</v>
      </c>
      <c r="V6253" s="328">
        <f>VLOOKUP(C6253,METADATA!$A$5:$H$29,IF(E6253="HI",2,IF(E6253="LO",6,10))+IF(T6253=1,2,IF(D6253=7,1,(IF(WEEKDAY(B6253)=1,2,IF(WEEKDAY(B6253)=7,1,0))))))</f>
        <v>2</v>
      </c>
    </row>
    <row r="6254" spans="2:22">
      <c r="B6254" s="318">
        <f t="shared" si="391"/>
        <v>46373</v>
      </c>
      <c r="C6254" s="312">
        <v>10</v>
      </c>
      <c r="D6254" s="368">
        <f>IFERROR((INDEX(METADATA!$T$2:$T$20,MATCH(B6254,METADATA!$S$2:$S$20,0))),0)</f>
        <v>0</v>
      </c>
      <c r="E6254" s="312" t="str">
        <f t="shared" si="388"/>
        <v>LO</v>
      </c>
      <c r="F6254" s="369">
        <f>VLOOKUP(C6254,METADATA!$A$5:$H$29,IF(E6254="HI",2,IF(E6254="LO",6,10))+IF(D6254=1,2,IF(D6254=7,1,(IF(WEEKDAY(B6254)=1,2,IF(WEEKDAY(B6254)=7,1,0))))))</f>
        <v>2</v>
      </c>
      <c r="G6254" s="369">
        <f>VLOOKUP(C6254,METADATA!$J$5:$Q$29,IF(E6254="HI",2,IF(E6254="LO",6,10))+IF(D6254=1,2,IF(D6254=7,1,(IF(WEEKDAY(B6254)=1,2,IF(WEEKDAY(B6254)=7,1,0))))))</f>
        <v>2</v>
      </c>
      <c r="H6254" s="370">
        <v>11824.945129394531</v>
      </c>
      <c r="I6254" s="370">
        <v>2991.0249938964844</v>
      </c>
      <c r="M6254" s="371">
        <f t="shared" si="389"/>
        <v>12197.358641415152</v>
      </c>
      <c r="N6254" s="329">
        <f t="shared" si="390"/>
        <v>0</v>
      </c>
      <c r="T6254" s="331">
        <v>0</v>
      </c>
      <c r="U6254" s="328">
        <f>VLOOKUP(C6254,METADATA!$J$5:$Q$29,IF(E6254="HI",2,IF(E6254="LO",6,10))+IF(T6254=1,2,IF(D6254=7,1,(IF(WEEKDAY(B6254)=1,2,IF(WEEKDAY(B6254)=7,1,0))))))</f>
        <v>2</v>
      </c>
      <c r="V6254" s="328">
        <f>VLOOKUP(C6254,METADATA!$A$5:$H$29,IF(E6254="HI",2,IF(E6254="LO",6,10))+IF(T6254=1,2,IF(D6254=7,1,(IF(WEEKDAY(B6254)=1,2,IF(WEEKDAY(B6254)=7,1,0))))))</f>
        <v>2</v>
      </c>
    </row>
    <row r="6255" spans="2:22">
      <c r="B6255" s="318">
        <f t="shared" si="391"/>
        <v>46373</v>
      </c>
      <c r="C6255" s="312">
        <v>11</v>
      </c>
      <c r="D6255" s="368">
        <f>IFERROR((INDEX(METADATA!$T$2:$T$20,MATCH(B6255,METADATA!$S$2:$S$20,0))),0)</f>
        <v>0</v>
      </c>
      <c r="E6255" s="312" t="str">
        <f t="shared" si="388"/>
        <v>LO</v>
      </c>
      <c r="F6255" s="369">
        <f>VLOOKUP(C6255,METADATA!$A$5:$H$29,IF(E6255="HI",2,IF(E6255="LO",6,10))+IF(D6255=1,2,IF(D6255=7,1,(IF(WEEKDAY(B6255)=1,2,IF(WEEKDAY(B6255)=7,1,0))))))</f>
        <v>2</v>
      </c>
      <c r="G6255" s="369">
        <f>VLOOKUP(C6255,METADATA!$J$5:$Q$29,IF(E6255="HI",2,IF(E6255="LO",6,10))+IF(D6255=1,2,IF(D6255=7,1,(IF(WEEKDAY(B6255)=1,2,IF(WEEKDAY(B6255)=7,1,0))))))</f>
        <v>2</v>
      </c>
      <c r="H6255" s="370">
        <v>13128.949829101563</v>
      </c>
      <c r="I6255" s="370">
        <v>3761.6174926757813</v>
      </c>
      <c r="M6255" s="371">
        <f t="shared" si="389"/>
        <v>13657.199192230828</v>
      </c>
      <c r="N6255" s="329">
        <f t="shared" si="390"/>
        <v>0</v>
      </c>
      <c r="T6255" s="331">
        <v>0</v>
      </c>
      <c r="U6255" s="328">
        <f>VLOOKUP(C6255,METADATA!$J$5:$Q$29,IF(E6255="HI",2,IF(E6255="LO",6,10))+IF(T6255=1,2,IF(D6255=7,1,(IF(WEEKDAY(B6255)=1,2,IF(WEEKDAY(B6255)=7,1,0))))))</f>
        <v>2</v>
      </c>
      <c r="V6255" s="328">
        <f>VLOOKUP(C6255,METADATA!$A$5:$H$29,IF(E6255="HI",2,IF(E6255="LO",6,10))+IF(T6255=1,2,IF(D6255=7,1,(IF(WEEKDAY(B6255)=1,2,IF(WEEKDAY(B6255)=7,1,0))))))</f>
        <v>2</v>
      </c>
    </row>
    <row r="6256" spans="2:22">
      <c r="B6256" s="318">
        <f t="shared" si="391"/>
        <v>46373</v>
      </c>
      <c r="C6256" s="312">
        <v>12</v>
      </c>
      <c r="D6256" s="368">
        <f>IFERROR((INDEX(METADATA!$T$2:$T$20,MATCH(B6256,METADATA!$S$2:$S$20,0))),0)</f>
        <v>0</v>
      </c>
      <c r="E6256" s="312" t="str">
        <f t="shared" si="388"/>
        <v>LO</v>
      </c>
      <c r="F6256" s="369">
        <f>VLOOKUP(C6256,METADATA!$A$5:$H$29,IF(E6256="HI",2,IF(E6256="LO",6,10))+IF(D6256=1,2,IF(D6256=7,1,(IF(WEEKDAY(B6256)=1,2,IF(WEEKDAY(B6256)=7,1,0))))))</f>
        <v>2</v>
      </c>
      <c r="G6256" s="369">
        <f>VLOOKUP(C6256,METADATA!$J$5:$Q$29,IF(E6256="HI",2,IF(E6256="LO",6,10))+IF(D6256=1,2,IF(D6256=7,1,(IF(WEEKDAY(B6256)=1,2,IF(WEEKDAY(B6256)=7,1,0))))))</f>
        <v>2</v>
      </c>
      <c r="H6256" s="370">
        <v>13512.949951171875</v>
      </c>
      <c r="I6256" s="370">
        <v>3936.4499816894531</v>
      </c>
      <c r="M6256" s="371">
        <f t="shared" si="389"/>
        <v>14074.638710859292</v>
      </c>
      <c r="N6256" s="329">
        <f t="shared" si="390"/>
        <v>0</v>
      </c>
      <c r="T6256" s="331">
        <v>0</v>
      </c>
      <c r="U6256" s="328">
        <f>VLOOKUP(C6256,METADATA!$J$5:$Q$29,IF(E6256="HI",2,IF(E6256="LO",6,10))+IF(T6256=1,2,IF(D6256=7,1,(IF(WEEKDAY(B6256)=1,2,IF(WEEKDAY(B6256)=7,1,0))))))</f>
        <v>2</v>
      </c>
      <c r="V6256" s="328">
        <f>VLOOKUP(C6256,METADATA!$A$5:$H$29,IF(E6256="HI",2,IF(E6256="LO",6,10))+IF(T6256=1,2,IF(D6256=7,1,(IF(WEEKDAY(B6256)=1,2,IF(WEEKDAY(B6256)=7,1,0))))))</f>
        <v>2</v>
      </c>
    </row>
    <row r="6257" spans="2:22">
      <c r="B6257" s="318">
        <f t="shared" si="391"/>
        <v>46373</v>
      </c>
      <c r="C6257" s="312">
        <v>13</v>
      </c>
      <c r="D6257" s="368">
        <f>IFERROR((INDEX(METADATA!$T$2:$T$20,MATCH(B6257,METADATA!$S$2:$S$20,0))),0)</f>
        <v>0</v>
      </c>
      <c r="E6257" s="312" t="str">
        <f t="shared" si="388"/>
        <v>LO</v>
      </c>
      <c r="F6257" s="369">
        <f>VLOOKUP(C6257,METADATA!$A$5:$H$29,IF(E6257="HI",2,IF(E6257="LO",6,10))+IF(D6257=1,2,IF(D6257=7,1,(IF(WEEKDAY(B6257)=1,2,IF(WEEKDAY(B6257)=7,1,0))))))</f>
        <v>2</v>
      </c>
      <c r="G6257" s="369">
        <f>VLOOKUP(C6257,METADATA!$J$5:$Q$29,IF(E6257="HI",2,IF(E6257="LO",6,10))+IF(D6257=1,2,IF(D6257=7,1,(IF(WEEKDAY(B6257)=1,2,IF(WEEKDAY(B6257)=7,1,0))))))</f>
        <v>2</v>
      </c>
      <c r="H6257" s="370">
        <v>13527.849975585938</v>
      </c>
      <c r="I6257" s="370">
        <v>3981.7349853515625</v>
      </c>
      <c r="M6257" s="371">
        <f t="shared" si="389"/>
        <v>14101.664386005399</v>
      </c>
      <c r="N6257" s="329">
        <f t="shared" si="390"/>
        <v>0</v>
      </c>
      <c r="T6257" s="331">
        <v>0</v>
      </c>
      <c r="U6257" s="328">
        <f>VLOOKUP(C6257,METADATA!$J$5:$Q$29,IF(E6257="HI",2,IF(E6257="LO",6,10))+IF(T6257=1,2,IF(D6257=7,1,(IF(WEEKDAY(B6257)=1,2,IF(WEEKDAY(B6257)=7,1,0))))))</f>
        <v>2</v>
      </c>
      <c r="V6257" s="328">
        <f>VLOOKUP(C6257,METADATA!$A$5:$H$29,IF(E6257="HI",2,IF(E6257="LO",6,10))+IF(T6257=1,2,IF(D6257=7,1,(IF(WEEKDAY(B6257)=1,2,IF(WEEKDAY(B6257)=7,1,0))))))</f>
        <v>2</v>
      </c>
    </row>
    <row r="6258" spans="2:22">
      <c r="B6258" s="318">
        <f t="shared" si="391"/>
        <v>46373</v>
      </c>
      <c r="C6258" s="312">
        <v>14</v>
      </c>
      <c r="D6258" s="368">
        <f>IFERROR((INDEX(METADATA!$T$2:$T$20,MATCH(B6258,METADATA!$S$2:$S$20,0))),0)</f>
        <v>0</v>
      </c>
      <c r="E6258" s="312" t="str">
        <f t="shared" si="388"/>
        <v>LO</v>
      </c>
      <c r="F6258" s="369">
        <f>VLOOKUP(C6258,METADATA!$A$5:$H$29,IF(E6258="HI",2,IF(E6258="LO",6,10))+IF(D6258=1,2,IF(D6258=7,1,(IF(WEEKDAY(B6258)=1,2,IF(WEEKDAY(B6258)=7,1,0))))))</f>
        <v>2</v>
      </c>
      <c r="G6258" s="369">
        <f>VLOOKUP(C6258,METADATA!$J$5:$Q$29,IF(E6258="HI",2,IF(E6258="LO",6,10))+IF(D6258=1,2,IF(D6258=7,1,(IF(WEEKDAY(B6258)=1,2,IF(WEEKDAY(B6258)=7,1,0))))))</f>
        <v>2</v>
      </c>
      <c r="H6258" s="370">
        <v>13508.575134277344</v>
      </c>
      <c r="I6258" s="370">
        <v>3996.5151062011719</v>
      </c>
      <c r="M6258" s="371">
        <f t="shared" si="389"/>
        <v>14087.360829925183</v>
      </c>
      <c r="N6258" s="329">
        <f t="shared" si="390"/>
        <v>0</v>
      </c>
      <c r="T6258" s="331">
        <v>0</v>
      </c>
      <c r="U6258" s="328">
        <f>VLOOKUP(C6258,METADATA!$J$5:$Q$29,IF(E6258="HI",2,IF(E6258="LO",6,10))+IF(T6258=1,2,IF(D6258=7,1,(IF(WEEKDAY(B6258)=1,2,IF(WEEKDAY(B6258)=7,1,0))))))</f>
        <v>2</v>
      </c>
      <c r="V6258" s="328">
        <f>VLOOKUP(C6258,METADATA!$A$5:$H$29,IF(E6258="HI",2,IF(E6258="LO",6,10))+IF(T6258=1,2,IF(D6258=7,1,(IF(WEEKDAY(B6258)=1,2,IF(WEEKDAY(B6258)=7,1,0))))))</f>
        <v>2</v>
      </c>
    </row>
    <row r="6259" spans="2:22">
      <c r="B6259" s="318">
        <f t="shared" si="391"/>
        <v>46373</v>
      </c>
      <c r="C6259" s="312">
        <v>15</v>
      </c>
      <c r="D6259" s="368">
        <f>IFERROR((INDEX(METADATA!$T$2:$T$20,MATCH(B6259,METADATA!$S$2:$S$20,0))),0)</f>
        <v>0</v>
      </c>
      <c r="E6259" s="312" t="str">
        <f t="shared" si="388"/>
        <v>LO</v>
      </c>
      <c r="F6259" s="369">
        <f>VLOOKUP(C6259,METADATA!$A$5:$H$29,IF(E6259="HI",2,IF(E6259="LO",6,10))+IF(D6259=1,2,IF(D6259=7,1,(IF(WEEKDAY(B6259)=1,2,IF(WEEKDAY(B6259)=7,1,0))))))</f>
        <v>2</v>
      </c>
      <c r="G6259" s="369">
        <f>VLOOKUP(C6259,METADATA!$J$5:$Q$29,IF(E6259="HI",2,IF(E6259="LO",6,10))+IF(D6259=1,2,IF(D6259=7,1,(IF(WEEKDAY(B6259)=1,2,IF(WEEKDAY(B6259)=7,1,0))))))</f>
        <v>2</v>
      </c>
      <c r="H6259" s="370">
        <v>13536.39990234375</v>
      </c>
      <c r="I6259" s="370">
        <v>4097.6199951171875</v>
      </c>
      <c r="M6259" s="371">
        <f t="shared" si="389"/>
        <v>14143.005760465348</v>
      </c>
      <c r="N6259" s="329">
        <f t="shared" si="390"/>
        <v>36.700024414062682</v>
      </c>
      <c r="T6259" s="331">
        <v>0</v>
      </c>
      <c r="U6259" s="328">
        <f>VLOOKUP(C6259,METADATA!$J$5:$Q$29,IF(E6259="HI",2,IF(E6259="LO",6,10))+IF(T6259=1,2,IF(D6259=7,1,(IF(WEEKDAY(B6259)=1,2,IF(WEEKDAY(B6259)=7,1,0))))))</f>
        <v>2</v>
      </c>
      <c r="V6259" s="328">
        <f>VLOOKUP(C6259,METADATA!$A$5:$H$29,IF(E6259="HI",2,IF(E6259="LO",6,10))+IF(T6259=1,2,IF(D6259=7,1,(IF(WEEKDAY(B6259)=1,2,IF(WEEKDAY(B6259)=7,1,0))))))</f>
        <v>2</v>
      </c>
    </row>
    <row r="6260" spans="2:22">
      <c r="B6260" s="318">
        <f t="shared" si="391"/>
        <v>46373</v>
      </c>
      <c r="C6260" s="312">
        <v>16</v>
      </c>
      <c r="D6260" s="368">
        <f>IFERROR((INDEX(METADATA!$T$2:$T$20,MATCH(B6260,METADATA!$S$2:$S$20,0))),0)</f>
        <v>0</v>
      </c>
      <c r="E6260" s="312" t="str">
        <f t="shared" si="388"/>
        <v>LO</v>
      </c>
      <c r="F6260" s="369">
        <f>VLOOKUP(C6260,METADATA!$A$5:$H$29,IF(E6260="HI",2,IF(E6260="LO",6,10))+IF(D6260=1,2,IF(D6260=7,1,(IF(WEEKDAY(B6260)=1,2,IF(WEEKDAY(B6260)=7,1,0))))))</f>
        <v>2</v>
      </c>
      <c r="G6260" s="369">
        <f>VLOOKUP(C6260,METADATA!$J$5:$Q$29,IF(E6260="HI",2,IF(E6260="LO",6,10))+IF(D6260=1,2,IF(D6260=7,1,(IF(WEEKDAY(B6260)=1,2,IF(WEEKDAY(B6260)=7,1,0))))))</f>
        <v>2</v>
      </c>
      <c r="H6260" s="370">
        <v>12243.332763671875</v>
      </c>
      <c r="I6260" s="370">
        <v>3325.7525634765625</v>
      </c>
      <c r="M6260" s="371">
        <f t="shared" si="389"/>
        <v>12686.994414575585</v>
      </c>
      <c r="N6260" s="329">
        <f t="shared" si="390"/>
        <v>0</v>
      </c>
      <c r="T6260" s="331">
        <v>0</v>
      </c>
      <c r="U6260" s="328">
        <f>VLOOKUP(C6260,METADATA!$J$5:$Q$29,IF(E6260="HI",2,IF(E6260="LO",6,10))+IF(T6260=1,2,IF(D6260=7,1,(IF(WEEKDAY(B6260)=1,2,IF(WEEKDAY(B6260)=7,1,0))))))</f>
        <v>2</v>
      </c>
      <c r="V6260" s="328">
        <f>VLOOKUP(C6260,METADATA!$A$5:$H$29,IF(E6260="HI",2,IF(E6260="LO",6,10))+IF(T6260=1,2,IF(D6260=7,1,(IF(WEEKDAY(B6260)=1,2,IF(WEEKDAY(B6260)=7,1,0))))))</f>
        <v>2</v>
      </c>
    </row>
    <row r="6261" spans="2:22">
      <c r="B6261" s="318">
        <f t="shared" si="391"/>
        <v>46373</v>
      </c>
      <c r="C6261" s="312">
        <v>17</v>
      </c>
      <c r="D6261" s="368">
        <f>IFERROR((INDEX(METADATA!$T$2:$T$20,MATCH(B6261,METADATA!$S$2:$S$20,0))),0)</f>
        <v>0</v>
      </c>
      <c r="E6261" s="312" t="str">
        <f t="shared" si="388"/>
        <v>LO</v>
      </c>
      <c r="F6261" s="369">
        <f>VLOOKUP(C6261,METADATA!$A$5:$H$29,IF(E6261="HI",2,IF(E6261="LO",6,10))+IF(D6261=1,2,IF(D6261=7,1,(IF(WEEKDAY(B6261)=1,2,IF(WEEKDAY(B6261)=7,1,0))))))</f>
        <v>2</v>
      </c>
      <c r="G6261" s="369">
        <f>VLOOKUP(C6261,METADATA!$J$5:$Q$29,IF(E6261="HI",2,IF(E6261="LO",6,10))+IF(D6261=1,2,IF(D6261=7,1,(IF(WEEKDAY(B6261)=1,2,IF(WEEKDAY(B6261)=7,1,0))))))</f>
        <v>2</v>
      </c>
      <c r="H6261" s="370">
        <v>11583.300018310547</v>
      </c>
      <c r="I6261" s="370">
        <v>2840.0624084472656</v>
      </c>
      <c r="M6261" s="371">
        <f t="shared" si="389"/>
        <v>11926.390644200299</v>
      </c>
      <c r="N6261" s="329">
        <f t="shared" si="390"/>
        <v>0</v>
      </c>
      <c r="T6261" s="331">
        <v>0</v>
      </c>
      <c r="U6261" s="328">
        <f>VLOOKUP(C6261,METADATA!$J$5:$Q$29,IF(E6261="HI",2,IF(E6261="LO",6,10))+IF(T6261=1,2,IF(D6261=7,1,(IF(WEEKDAY(B6261)=1,2,IF(WEEKDAY(B6261)=7,1,0))))))</f>
        <v>2</v>
      </c>
      <c r="V6261" s="328">
        <f>VLOOKUP(C6261,METADATA!$A$5:$H$29,IF(E6261="HI",2,IF(E6261="LO",6,10))+IF(T6261=1,2,IF(D6261=7,1,(IF(WEEKDAY(B6261)=1,2,IF(WEEKDAY(B6261)=7,1,0))))))</f>
        <v>2</v>
      </c>
    </row>
    <row r="6262" spans="2:22">
      <c r="B6262" s="318">
        <f t="shared" si="391"/>
        <v>46373</v>
      </c>
      <c r="C6262" s="312">
        <v>18</v>
      </c>
      <c r="D6262" s="368">
        <f>IFERROR((INDEX(METADATA!$T$2:$T$20,MATCH(B6262,METADATA!$S$2:$S$20,0))),0)</f>
        <v>0</v>
      </c>
      <c r="E6262" s="312" t="str">
        <f t="shared" si="388"/>
        <v>LO</v>
      </c>
      <c r="F6262" s="369">
        <f>VLOOKUP(C6262,METADATA!$A$5:$H$29,IF(E6262="HI",2,IF(E6262="LO",6,10))+IF(D6262=1,2,IF(D6262=7,1,(IF(WEEKDAY(B6262)=1,2,IF(WEEKDAY(B6262)=7,1,0))))))</f>
        <v>1</v>
      </c>
      <c r="G6262" s="369">
        <f>VLOOKUP(C6262,METADATA!$J$5:$Q$29,IF(E6262="HI",2,IF(E6262="LO",6,10))+IF(D6262=1,2,IF(D6262=7,1,(IF(WEEKDAY(B6262)=1,2,IF(WEEKDAY(B6262)=7,1,0))))))</f>
        <v>1</v>
      </c>
      <c r="H6262" s="370">
        <v>12456.077514648438</v>
      </c>
      <c r="I6262" s="370">
        <v>3390.3674926757813</v>
      </c>
      <c r="M6262" s="371">
        <f t="shared" si="389"/>
        <v>12909.239279923626</v>
      </c>
      <c r="N6262" s="329">
        <f t="shared" si="390"/>
        <v>0</v>
      </c>
      <c r="T6262" s="331">
        <v>0</v>
      </c>
      <c r="U6262" s="328">
        <f>VLOOKUP(C6262,METADATA!$J$5:$Q$29,IF(E6262="HI",2,IF(E6262="LO",6,10))+IF(T6262=1,2,IF(D6262=7,1,(IF(WEEKDAY(B6262)=1,2,IF(WEEKDAY(B6262)=7,1,0))))))</f>
        <v>1</v>
      </c>
      <c r="V6262" s="328">
        <f>VLOOKUP(C6262,METADATA!$A$5:$H$29,IF(E6262="HI",2,IF(E6262="LO",6,10))+IF(T6262=1,2,IF(D6262=7,1,(IF(WEEKDAY(B6262)=1,2,IF(WEEKDAY(B6262)=7,1,0))))))</f>
        <v>1</v>
      </c>
    </row>
    <row r="6263" spans="2:22">
      <c r="B6263" s="318">
        <f t="shared" si="391"/>
        <v>46373</v>
      </c>
      <c r="C6263" s="312">
        <v>19</v>
      </c>
      <c r="D6263" s="368">
        <f>IFERROR((INDEX(METADATA!$T$2:$T$20,MATCH(B6263,METADATA!$S$2:$S$20,0))),0)</f>
        <v>0</v>
      </c>
      <c r="E6263" s="312" t="str">
        <f t="shared" si="388"/>
        <v>LO</v>
      </c>
      <c r="F6263" s="369">
        <f>VLOOKUP(C6263,METADATA!$A$5:$H$29,IF(E6263="HI",2,IF(E6263="LO",6,10))+IF(D6263=1,2,IF(D6263=7,1,(IF(WEEKDAY(B6263)=1,2,IF(WEEKDAY(B6263)=7,1,0))))))</f>
        <v>1</v>
      </c>
      <c r="G6263" s="369">
        <f>VLOOKUP(C6263,METADATA!$J$5:$Q$29,IF(E6263="HI",2,IF(E6263="LO",6,10))+IF(D6263=1,2,IF(D6263=7,1,(IF(WEEKDAY(B6263)=1,2,IF(WEEKDAY(B6263)=7,1,0))))))</f>
        <v>1</v>
      </c>
      <c r="H6263" s="370">
        <v>13455.625122070313</v>
      </c>
      <c r="I6263" s="370">
        <v>3907.1200256347656</v>
      </c>
      <c r="M6263" s="371">
        <f t="shared" si="389"/>
        <v>14011.403724124357</v>
      </c>
      <c r="N6263" s="329">
        <f t="shared" si="390"/>
        <v>0</v>
      </c>
      <c r="T6263" s="331">
        <v>0</v>
      </c>
      <c r="U6263" s="328">
        <f>VLOOKUP(C6263,METADATA!$J$5:$Q$29,IF(E6263="HI",2,IF(E6263="LO",6,10))+IF(T6263=1,2,IF(D6263=7,1,(IF(WEEKDAY(B6263)=1,2,IF(WEEKDAY(B6263)=7,1,0))))))</f>
        <v>1</v>
      </c>
      <c r="V6263" s="328">
        <f>VLOOKUP(C6263,METADATA!$A$5:$H$29,IF(E6263="HI",2,IF(E6263="LO",6,10))+IF(T6263=1,2,IF(D6263=7,1,(IF(WEEKDAY(B6263)=1,2,IF(WEEKDAY(B6263)=7,1,0))))))</f>
        <v>1</v>
      </c>
    </row>
    <row r="6264" spans="2:22">
      <c r="B6264" s="318">
        <f t="shared" si="391"/>
        <v>46373</v>
      </c>
      <c r="C6264" s="312">
        <v>20</v>
      </c>
      <c r="D6264" s="368">
        <f>IFERROR((INDEX(METADATA!$T$2:$T$20,MATCH(B6264,METADATA!$S$2:$S$20,0))),0)</f>
        <v>0</v>
      </c>
      <c r="E6264" s="312" t="str">
        <f t="shared" si="388"/>
        <v>LO</v>
      </c>
      <c r="F6264" s="369">
        <f>VLOOKUP(C6264,METADATA!$A$5:$H$29,IF(E6264="HI",2,IF(E6264="LO",6,10))+IF(D6264=1,2,IF(D6264=7,1,(IF(WEEKDAY(B6264)=1,2,IF(WEEKDAY(B6264)=7,1,0))))))</f>
        <v>1</v>
      </c>
      <c r="G6264" s="369">
        <f>VLOOKUP(C6264,METADATA!$J$5:$Q$29,IF(E6264="HI",2,IF(E6264="LO",6,10))+IF(D6264=1,2,IF(D6264=7,1,(IF(WEEKDAY(B6264)=1,2,IF(WEEKDAY(B6264)=7,1,0))))))</f>
        <v>1</v>
      </c>
      <c r="H6264" s="370">
        <v>13536.674926757813</v>
      </c>
      <c r="I6264" s="370">
        <v>4054.554931640625</v>
      </c>
      <c r="M6264" s="371">
        <f t="shared" si="389"/>
        <v>14130.852195335034</v>
      </c>
      <c r="N6264" s="329">
        <f t="shared" si="390"/>
        <v>0</v>
      </c>
      <c r="T6264" s="331">
        <v>0</v>
      </c>
      <c r="U6264" s="328">
        <f>VLOOKUP(C6264,METADATA!$J$5:$Q$29,IF(E6264="HI",2,IF(E6264="LO",6,10))+IF(T6264=1,2,IF(D6264=7,1,(IF(WEEKDAY(B6264)=1,2,IF(WEEKDAY(B6264)=7,1,0))))))</f>
        <v>1</v>
      </c>
      <c r="V6264" s="328">
        <f>VLOOKUP(C6264,METADATA!$A$5:$H$29,IF(E6264="HI",2,IF(E6264="LO",6,10))+IF(T6264=1,2,IF(D6264=7,1,(IF(WEEKDAY(B6264)=1,2,IF(WEEKDAY(B6264)=7,1,0))))))</f>
        <v>1</v>
      </c>
    </row>
    <row r="6265" spans="2:22">
      <c r="B6265" s="318">
        <f t="shared" si="391"/>
        <v>46373</v>
      </c>
      <c r="C6265" s="312">
        <v>21</v>
      </c>
      <c r="D6265" s="368">
        <f>IFERROR((INDEX(METADATA!$T$2:$T$20,MATCH(B6265,METADATA!$S$2:$S$20,0))),0)</f>
        <v>0</v>
      </c>
      <c r="E6265" s="312" t="str">
        <f t="shared" si="388"/>
        <v>LO</v>
      </c>
      <c r="F6265" s="369">
        <f>VLOOKUP(C6265,METADATA!$A$5:$H$29,IF(E6265="HI",2,IF(E6265="LO",6,10))+IF(D6265=1,2,IF(D6265=7,1,(IF(WEEKDAY(B6265)=1,2,IF(WEEKDAY(B6265)=7,1,0))))))</f>
        <v>2</v>
      </c>
      <c r="G6265" s="369">
        <f>VLOOKUP(C6265,METADATA!$J$5:$Q$29,IF(E6265="HI",2,IF(E6265="LO",6,10))+IF(D6265=1,2,IF(D6265=7,1,(IF(WEEKDAY(B6265)=1,2,IF(WEEKDAY(B6265)=7,1,0))))))</f>
        <v>2</v>
      </c>
      <c r="H6265" s="370">
        <v>13385.800170898438</v>
      </c>
      <c r="I6265" s="370">
        <v>3924.0249938964844</v>
      </c>
      <c r="M6265" s="371">
        <f t="shared" si="389"/>
        <v>13949.108156722741</v>
      </c>
      <c r="N6265" s="329">
        <f t="shared" si="390"/>
        <v>0</v>
      </c>
      <c r="T6265" s="331">
        <v>0</v>
      </c>
      <c r="U6265" s="328">
        <f>VLOOKUP(C6265,METADATA!$J$5:$Q$29,IF(E6265="HI",2,IF(E6265="LO",6,10))+IF(T6265=1,2,IF(D6265=7,1,(IF(WEEKDAY(B6265)=1,2,IF(WEEKDAY(B6265)=7,1,0))))))</f>
        <v>2</v>
      </c>
      <c r="V6265" s="328">
        <f>VLOOKUP(C6265,METADATA!$A$5:$H$29,IF(E6265="HI",2,IF(E6265="LO",6,10))+IF(T6265=1,2,IF(D6265=7,1,(IF(WEEKDAY(B6265)=1,2,IF(WEEKDAY(B6265)=7,1,0))))))</f>
        <v>2</v>
      </c>
    </row>
    <row r="6266" spans="2:22">
      <c r="B6266" s="318">
        <f t="shared" si="391"/>
        <v>46373</v>
      </c>
      <c r="C6266" s="312">
        <v>22</v>
      </c>
      <c r="D6266" s="368">
        <f>IFERROR((INDEX(METADATA!$T$2:$T$20,MATCH(B6266,METADATA!$S$2:$S$20,0))),0)</f>
        <v>0</v>
      </c>
      <c r="E6266" s="312" t="str">
        <f t="shared" si="388"/>
        <v>LO</v>
      </c>
      <c r="F6266" s="369">
        <f>VLOOKUP(C6266,METADATA!$A$5:$H$29,IF(E6266="HI",2,IF(E6266="LO",6,10))+IF(D6266=1,2,IF(D6266=7,1,(IF(WEEKDAY(B6266)=1,2,IF(WEEKDAY(B6266)=7,1,0))))))</f>
        <v>3</v>
      </c>
      <c r="G6266" s="369">
        <f>VLOOKUP(C6266,METADATA!$J$5:$Q$29,IF(E6266="HI",2,IF(E6266="LO",6,10))+IF(D6266=1,2,IF(D6266=7,1,(IF(WEEKDAY(B6266)=1,2,IF(WEEKDAY(B6266)=7,1,0))))))</f>
        <v>3</v>
      </c>
      <c r="H6266" s="370">
        <v>13262.050048828125</v>
      </c>
      <c r="I6266" s="370">
        <v>4040.0450744628906</v>
      </c>
      <c r="M6266" s="371">
        <f t="shared" si="389"/>
        <v>13863.763403250718</v>
      </c>
      <c r="N6266" s="329">
        <f t="shared" si="390"/>
        <v>61.430059814453216</v>
      </c>
      <c r="T6266" s="331">
        <v>0</v>
      </c>
      <c r="U6266" s="328">
        <f>VLOOKUP(C6266,METADATA!$J$5:$Q$29,IF(E6266="HI",2,IF(E6266="LO",6,10))+IF(T6266=1,2,IF(D6266=7,1,(IF(WEEKDAY(B6266)=1,2,IF(WEEKDAY(B6266)=7,1,0))))))</f>
        <v>3</v>
      </c>
      <c r="V6266" s="328">
        <f>VLOOKUP(C6266,METADATA!$A$5:$H$29,IF(E6266="HI",2,IF(E6266="LO",6,10))+IF(T6266=1,2,IF(D6266=7,1,(IF(WEEKDAY(B6266)=1,2,IF(WEEKDAY(B6266)=7,1,0))))))</f>
        <v>3</v>
      </c>
    </row>
    <row r="6267" spans="2:22">
      <c r="B6267" s="318">
        <f t="shared" si="391"/>
        <v>46373</v>
      </c>
      <c r="C6267" s="312">
        <v>23</v>
      </c>
      <c r="D6267" s="368">
        <f>IFERROR((INDEX(METADATA!$T$2:$T$20,MATCH(B6267,METADATA!$S$2:$S$20,0))),0)</f>
        <v>0</v>
      </c>
      <c r="E6267" s="312" t="str">
        <f t="shared" si="388"/>
        <v>LO</v>
      </c>
      <c r="F6267" s="369">
        <f>VLOOKUP(C6267,METADATA!$A$5:$H$29,IF(E6267="HI",2,IF(E6267="LO",6,10))+IF(D6267=1,2,IF(D6267=7,1,(IF(WEEKDAY(B6267)=1,2,IF(WEEKDAY(B6267)=7,1,0))))))</f>
        <v>3</v>
      </c>
      <c r="G6267" s="369">
        <f>VLOOKUP(C6267,METADATA!$J$5:$Q$29,IF(E6267="HI",2,IF(E6267="LO",6,10))+IF(D6267=1,2,IF(D6267=7,1,(IF(WEEKDAY(B6267)=1,2,IF(WEEKDAY(B6267)=7,1,0))))))</f>
        <v>3</v>
      </c>
      <c r="H6267" s="370">
        <v>13303.824523925781</v>
      </c>
      <c r="I6267" s="370">
        <v>3900.9800109863281</v>
      </c>
      <c r="M6267" s="371">
        <f t="shared" si="389"/>
        <v>13863.960184937201</v>
      </c>
      <c r="N6267" s="329">
        <f t="shared" si="390"/>
        <v>0</v>
      </c>
      <c r="T6267" s="331">
        <v>0</v>
      </c>
      <c r="U6267" s="328">
        <f>VLOOKUP(C6267,METADATA!$J$5:$Q$29,IF(E6267="HI",2,IF(E6267="LO",6,10))+IF(T6267=1,2,IF(D6267=7,1,(IF(WEEKDAY(B6267)=1,2,IF(WEEKDAY(B6267)=7,1,0))))))</f>
        <v>3</v>
      </c>
      <c r="V6267" s="328">
        <f>VLOOKUP(C6267,METADATA!$A$5:$H$29,IF(E6267="HI",2,IF(E6267="LO",6,10))+IF(T6267=1,2,IF(D6267=7,1,(IF(WEEKDAY(B6267)=1,2,IF(WEEKDAY(B6267)=7,1,0))))))</f>
        <v>3</v>
      </c>
    </row>
    <row r="6268" spans="2:22">
      <c r="B6268" s="318">
        <f t="shared" si="391"/>
        <v>46374</v>
      </c>
      <c r="C6268" s="312">
        <v>0</v>
      </c>
      <c r="D6268" s="368">
        <f>IFERROR((INDEX(METADATA!$T$2:$T$20,MATCH(B6268,METADATA!$S$2:$S$20,0))),0)</f>
        <v>0</v>
      </c>
      <c r="E6268" s="312" t="str">
        <f t="shared" si="388"/>
        <v>LO</v>
      </c>
      <c r="F6268" s="369">
        <f>VLOOKUP(C6268,METADATA!$A$5:$H$29,IF(E6268="HI",2,IF(E6268="LO",6,10))+IF(D6268=1,2,IF(D6268=7,1,(IF(WEEKDAY(B6268)=1,2,IF(WEEKDAY(B6268)=7,1,0))))))</f>
        <v>3</v>
      </c>
      <c r="G6268" s="369">
        <f>VLOOKUP(C6268,METADATA!$J$5:$Q$29,IF(E6268="HI",2,IF(E6268="LO",6,10))+IF(D6268=1,2,IF(D6268=7,1,(IF(WEEKDAY(B6268)=1,2,IF(WEEKDAY(B6268)=7,1,0))))))</f>
        <v>3</v>
      </c>
      <c r="H6268" s="370">
        <v>13000.099853515625</v>
      </c>
      <c r="I6268" s="370">
        <v>3824.2500915527344</v>
      </c>
      <c r="M6268" s="371">
        <f t="shared" si="389"/>
        <v>13550.921923032323</v>
      </c>
      <c r="N6268" s="329">
        <f t="shared" si="390"/>
        <v>0</v>
      </c>
      <c r="T6268" s="331">
        <v>0</v>
      </c>
      <c r="U6268" s="328">
        <f>VLOOKUP(C6268,METADATA!$J$5:$Q$29,IF(E6268="HI",2,IF(E6268="LO",6,10))+IF(T6268=1,2,IF(D6268=7,1,(IF(WEEKDAY(B6268)=1,2,IF(WEEKDAY(B6268)=7,1,0))))))</f>
        <v>3</v>
      </c>
      <c r="V6268" s="328">
        <f>VLOOKUP(C6268,METADATA!$A$5:$H$29,IF(E6268="HI",2,IF(E6268="LO",6,10))+IF(T6268=1,2,IF(D6268=7,1,(IF(WEEKDAY(B6268)=1,2,IF(WEEKDAY(B6268)=7,1,0))))))</f>
        <v>3</v>
      </c>
    </row>
    <row r="6269" spans="2:22">
      <c r="B6269" s="318">
        <f t="shared" si="391"/>
        <v>46374</v>
      </c>
      <c r="C6269" s="312">
        <v>1</v>
      </c>
      <c r="D6269" s="368">
        <f>IFERROR((INDEX(METADATA!$T$2:$T$20,MATCH(B6269,METADATA!$S$2:$S$20,0))),0)</f>
        <v>0</v>
      </c>
      <c r="E6269" s="312" t="str">
        <f t="shared" si="388"/>
        <v>LO</v>
      </c>
      <c r="F6269" s="369">
        <f>VLOOKUP(C6269,METADATA!$A$5:$H$29,IF(E6269="HI",2,IF(E6269="LO",6,10))+IF(D6269=1,2,IF(D6269=7,1,(IF(WEEKDAY(B6269)=1,2,IF(WEEKDAY(B6269)=7,1,0))))))</f>
        <v>3</v>
      </c>
      <c r="G6269" s="369">
        <f>VLOOKUP(C6269,METADATA!$J$5:$Q$29,IF(E6269="HI",2,IF(E6269="LO",6,10))+IF(D6269=1,2,IF(D6269=7,1,(IF(WEEKDAY(B6269)=1,2,IF(WEEKDAY(B6269)=7,1,0))))))</f>
        <v>3</v>
      </c>
      <c r="H6269" s="370">
        <v>12897.214965820313</v>
      </c>
      <c r="I6269" s="370">
        <v>3828.6975708007813</v>
      </c>
      <c r="M6269" s="371">
        <f t="shared" si="389"/>
        <v>13453.515487159304</v>
      </c>
      <c r="N6269" s="329">
        <f t="shared" si="390"/>
        <v>0</v>
      </c>
      <c r="T6269" s="331">
        <v>0</v>
      </c>
      <c r="U6269" s="328">
        <f>VLOOKUP(C6269,METADATA!$J$5:$Q$29,IF(E6269="HI",2,IF(E6269="LO",6,10))+IF(T6269=1,2,IF(D6269=7,1,(IF(WEEKDAY(B6269)=1,2,IF(WEEKDAY(B6269)=7,1,0))))))</f>
        <v>3</v>
      </c>
      <c r="V6269" s="328">
        <f>VLOOKUP(C6269,METADATA!$A$5:$H$29,IF(E6269="HI",2,IF(E6269="LO",6,10))+IF(T6269=1,2,IF(D6269=7,1,(IF(WEEKDAY(B6269)=1,2,IF(WEEKDAY(B6269)=7,1,0))))))</f>
        <v>3</v>
      </c>
    </row>
    <row r="6270" spans="2:22">
      <c r="B6270" s="318">
        <f t="shared" si="391"/>
        <v>46374</v>
      </c>
      <c r="C6270" s="312">
        <v>2</v>
      </c>
      <c r="D6270" s="368">
        <f>IFERROR((INDEX(METADATA!$T$2:$T$20,MATCH(B6270,METADATA!$S$2:$S$20,0))),0)</f>
        <v>0</v>
      </c>
      <c r="E6270" s="312" t="str">
        <f t="shared" si="388"/>
        <v>LO</v>
      </c>
      <c r="F6270" s="369">
        <f>VLOOKUP(C6270,METADATA!$A$5:$H$29,IF(E6270="HI",2,IF(E6270="LO",6,10))+IF(D6270=1,2,IF(D6270=7,1,(IF(WEEKDAY(B6270)=1,2,IF(WEEKDAY(B6270)=7,1,0))))))</f>
        <v>3</v>
      </c>
      <c r="G6270" s="369">
        <f>VLOOKUP(C6270,METADATA!$J$5:$Q$29,IF(E6270="HI",2,IF(E6270="LO",6,10))+IF(D6270=1,2,IF(D6270=7,1,(IF(WEEKDAY(B6270)=1,2,IF(WEEKDAY(B6270)=7,1,0))))))</f>
        <v>3</v>
      </c>
      <c r="H6270" s="370">
        <v>12867.025024414063</v>
      </c>
      <c r="I6270" s="370">
        <v>3854.4800415039063</v>
      </c>
      <c r="M6270" s="371">
        <f t="shared" si="389"/>
        <v>13431.952552374865</v>
      </c>
      <c r="N6270" s="329">
        <f t="shared" si="390"/>
        <v>0</v>
      </c>
      <c r="T6270" s="331">
        <v>0</v>
      </c>
      <c r="U6270" s="328">
        <f>VLOOKUP(C6270,METADATA!$J$5:$Q$29,IF(E6270="HI",2,IF(E6270="LO",6,10))+IF(T6270=1,2,IF(D6270=7,1,(IF(WEEKDAY(B6270)=1,2,IF(WEEKDAY(B6270)=7,1,0))))))</f>
        <v>3</v>
      </c>
      <c r="V6270" s="328">
        <f>VLOOKUP(C6270,METADATA!$A$5:$H$29,IF(E6270="HI",2,IF(E6270="LO",6,10))+IF(T6270=1,2,IF(D6270=7,1,(IF(WEEKDAY(B6270)=1,2,IF(WEEKDAY(B6270)=7,1,0))))))</f>
        <v>3</v>
      </c>
    </row>
    <row r="6271" spans="2:22">
      <c r="B6271" s="318">
        <f t="shared" si="391"/>
        <v>46374</v>
      </c>
      <c r="C6271" s="312">
        <v>3</v>
      </c>
      <c r="D6271" s="368">
        <f>IFERROR((INDEX(METADATA!$T$2:$T$20,MATCH(B6271,METADATA!$S$2:$S$20,0))),0)</f>
        <v>0</v>
      </c>
      <c r="E6271" s="312" t="str">
        <f t="shared" si="388"/>
        <v>LO</v>
      </c>
      <c r="F6271" s="369">
        <f>VLOOKUP(C6271,METADATA!$A$5:$H$29,IF(E6271="HI",2,IF(E6271="LO",6,10))+IF(D6271=1,2,IF(D6271=7,1,(IF(WEEKDAY(B6271)=1,2,IF(WEEKDAY(B6271)=7,1,0))))))</f>
        <v>3</v>
      </c>
      <c r="G6271" s="369">
        <f>VLOOKUP(C6271,METADATA!$J$5:$Q$29,IF(E6271="HI",2,IF(E6271="LO",6,10))+IF(D6271=1,2,IF(D6271=7,1,(IF(WEEKDAY(B6271)=1,2,IF(WEEKDAY(B6271)=7,1,0))))))</f>
        <v>3</v>
      </c>
      <c r="H6271" s="370">
        <v>12762.875061035156</v>
      </c>
      <c r="I6271" s="370">
        <v>3899.574951171875</v>
      </c>
      <c r="M6271" s="371">
        <f t="shared" si="389"/>
        <v>13345.323698711854</v>
      </c>
      <c r="N6271" s="329">
        <f t="shared" si="390"/>
        <v>70.712432861328125</v>
      </c>
      <c r="T6271" s="331">
        <v>0</v>
      </c>
      <c r="U6271" s="328">
        <f>VLOOKUP(C6271,METADATA!$J$5:$Q$29,IF(E6271="HI",2,IF(E6271="LO",6,10))+IF(T6271=1,2,IF(D6271=7,1,(IF(WEEKDAY(B6271)=1,2,IF(WEEKDAY(B6271)=7,1,0))))))</f>
        <v>3</v>
      </c>
      <c r="V6271" s="328">
        <f>VLOOKUP(C6271,METADATA!$A$5:$H$29,IF(E6271="HI",2,IF(E6271="LO",6,10))+IF(T6271=1,2,IF(D6271=7,1,(IF(WEEKDAY(B6271)=1,2,IF(WEEKDAY(B6271)=7,1,0))))))</f>
        <v>3</v>
      </c>
    </row>
    <row r="6272" spans="2:22">
      <c r="B6272" s="318">
        <f t="shared" si="391"/>
        <v>46374</v>
      </c>
      <c r="C6272" s="312">
        <v>4</v>
      </c>
      <c r="D6272" s="368">
        <f>IFERROR((INDEX(METADATA!$T$2:$T$20,MATCH(B6272,METADATA!$S$2:$S$20,0))),0)</f>
        <v>0</v>
      </c>
      <c r="E6272" s="312" t="str">
        <f t="shared" si="388"/>
        <v>LO</v>
      </c>
      <c r="F6272" s="369">
        <f>VLOOKUP(C6272,METADATA!$A$5:$H$29,IF(E6272="HI",2,IF(E6272="LO",6,10))+IF(D6272=1,2,IF(D6272=7,1,(IF(WEEKDAY(B6272)=1,2,IF(WEEKDAY(B6272)=7,1,0))))))</f>
        <v>3</v>
      </c>
      <c r="G6272" s="369">
        <f>VLOOKUP(C6272,METADATA!$J$5:$Q$29,IF(E6272="HI",2,IF(E6272="LO",6,10))+IF(D6272=1,2,IF(D6272=7,1,(IF(WEEKDAY(B6272)=1,2,IF(WEEKDAY(B6272)=7,1,0))))))</f>
        <v>3</v>
      </c>
      <c r="H6272" s="370">
        <v>12010.85009765625</v>
      </c>
      <c r="I6272" s="370">
        <v>3465.5174560546875</v>
      </c>
      <c r="M6272" s="371">
        <f t="shared" si="389"/>
        <v>12500.813225810107</v>
      </c>
      <c r="N6272" s="329">
        <f t="shared" si="390"/>
        <v>0</v>
      </c>
      <c r="T6272" s="331">
        <v>0</v>
      </c>
      <c r="U6272" s="328">
        <f>VLOOKUP(C6272,METADATA!$J$5:$Q$29,IF(E6272="HI",2,IF(E6272="LO",6,10))+IF(T6272=1,2,IF(D6272=7,1,(IF(WEEKDAY(B6272)=1,2,IF(WEEKDAY(B6272)=7,1,0))))))</f>
        <v>3</v>
      </c>
      <c r="V6272" s="328">
        <f>VLOOKUP(C6272,METADATA!$A$5:$H$29,IF(E6272="HI",2,IF(E6272="LO",6,10))+IF(T6272=1,2,IF(D6272=7,1,(IF(WEEKDAY(B6272)=1,2,IF(WEEKDAY(B6272)=7,1,0))))))</f>
        <v>3</v>
      </c>
    </row>
    <row r="6273" spans="2:22">
      <c r="B6273" s="318">
        <f t="shared" si="391"/>
        <v>46374</v>
      </c>
      <c r="C6273" s="312">
        <v>5</v>
      </c>
      <c r="D6273" s="368">
        <f>IFERROR((INDEX(METADATA!$T$2:$T$20,MATCH(B6273,METADATA!$S$2:$S$20,0))),0)</f>
        <v>0</v>
      </c>
      <c r="E6273" s="312" t="str">
        <f t="shared" si="388"/>
        <v>LO</v>
      </c>
      <c r="F6273" s="369">
        <f>VLOOKUP(C6273,METADATA!$A$5:$H$29,IF(E6273="HI",2,IF(E6273="LO",6,10))+IF(D6273=1,2,IF(D6273=7,1,(IF(WEEKDAY(B6273)=1,2,IF(WEEKDAY(B6273)=7,1,0))))))</f>
        <v>3</v>
      </c>
      <c r="G6273" s="369">
        <f>VLOOKUP(C6273,METADATA!$J$5:$Q$29,IF(E6273="HI",2,IF(E6273="LO",6,10))+IF(D6273=1,2,IF(D6273=7,1,(IF(WEEKDAY(B6273)=1,2,IF(WEEKDAY(B6273)=7,1,0))))))</f>
        <v>3</v>
      </c>
      <c r="H6273" s="370">
        <v>10750.337646484375</v>
      </c>
      <c r="I6273" s="370">
        <v>2568.1675109863281</v>
      </c>
      <c r="M6273" s="371">
        <f t="shared" si="389"/>
        <v>11052.838724866337</v>
      </c>
      <c r="N6273" s="329">
        <f t="shared" si="390"/>
        <v>0</v>
      </c>
      <c r="T6273" s="331">
        <v>0</v>
      </c>
      <c r="U6273" s="328">
        <f>VLOOKUP(C6273,METADATA!$J$5:$Q$29,IF(E6273="HI",2,IF(E6273="LO",6,10))+IF(T6273=1,2,IF(D6273=7,1,(IF(WEEKDAY(B6273)=1,2,IF(WEEKDAY(B6273)=7,1,0))))))</f>
        <v>3</v>
      </c>
      <c r="V6273" s="328">
        <f>VLOOKUP(C6273,METADATA!$A$5:$H$29,IF(E6273="HI",2,IF(E6273="LO",6,10))+IF(T6273=1,2,IF(D6273=7,1,(IF(WEEKDAY(B6273)=1,2,IF(WEEKDAY(B6273)=7,1,0))))))</f>
        <v>3</v>
      </c>
    </row>
    <row r="6274" spans="2:22">
      <c r="B6274" s="318">
        <f t="shared" si="391"/>
        <v>46374</v>
      </c>
      <c r="C6274" s="312">
        <v>6</v>
      </c>
      <c r="D6274" s="368">
        <f>IFERROR((INDEX(METADATA!$T$2:$T$20,MATCH(B6274,METADATA!$S$2:$S$20,0))),0)</f>
        <v>0</v>
      </c>
      <c r="E6274" s="312" t="str">
        <f t="shared" si="388"/>
        <v>LO</v>
      </c>
      <c r="F6274" s="369">
        <f>VLOOKUP(C6274,METADATA!$A$5:$H$29,IF(E6274="HI",2,IF(E6274="LO",6,10))+IF(D6274=1,2,IF(D6274=7,1,(IF(WEEKDAY(B6274)=1,2,IF(WEEKDAY(B6274)=7,1,0))))))</f>
        <v>2</v>
      </c>
      <c r="G6274" s="369">
        <f>VLOOKUP(C6274,METADATA!$J$5:$Q$29,IF(E6274="HI",2,IF(E6274="LO",6,10))+IF(D6274=1,2,IF(D6274=7,1,(IF(WEEKDAY(B6274)=1,2,IF(WEEKDAY(B6274)=7,1,0))))))</f>
        <v>2</v>
      </c>
      <c r="H6274" s="370">
        <v>11999.424926757813</v>
      </c>
      <c r="I6274" s="370">
        <v>3346.8175354003906</v>
      </c>
      <c r="M6274" s="371">
        <f t="shared" si="389"/>
        <v>12457.422935268765</v>
      </c>
      <c r="N6274" s="329">
        <f t="shared" si="390"/>
        <v>0</v>
      </c>
      <c r="T6274" s="331">
        <v>0</v>
      </c>
      <c r="U6274" s="328">
        <f>VLOOKUP(C6274,METADATA!$J$5:$Q$29,IF(E6274="HI",2,IF(E6274="LO",6,10))+IF(T6274=1,2,IF(D6274=7,1,(IF(WEEKDAY(B6274)=1,2,IF(WEEKDAY(B6274)=7,1,0))))))</f>
        <v>2</v>
      </c>
      <c r="V6274" s="328">
        <f>VLOOKUP(C6274,METADATA!$A$5:$H$29,IF(E6274="HI",2,IF(E6274="LO",6,10))+IF(T6274=1,2,IF(D6274=7,1,(IF(WEEKDAY(B6274)=1,2,IF(WEEKDAY(B6274)=7,1,0))))))</f>
        <v>2</v>
      </c>
    </row>
    <row r="6275" spans="2:22">
      <c r="B6275" s="318">
        <f t="shared" si="391"/>
        <v>46374</v>
      </c>
      <c r="C6275" s="312">
        <v>7</v>
      </c>
      <c r="D6275" s="368">
        <f>IFERROR((INDEX(METADATA!$T$2:$T$20,MATCH(B6275,METADATA!$S$2:$S$20,0))),0)</f>
        <v>0</v>
      </c>
      <c r="E6275" s="312" t="str">
        <f t="shared" si="388"/>
        <v>LO</v>
      </c>
      <c r="F6275" s="369">
        <f>VLOOKUP(C6275,METADATA!$A$5:$H$29,IF(E6275="HI",2,IF(E6275="LO",6,10))+IF(D6275=1,2,IF(D6275=7,1,(IF(WEEKDAY(B6275)=1,2,IF(WEEKDAY(B6275)=7,1,0))))))</f>
        <v>1</v>
      </c>
      <c r="G6275" s="369">
        <f>VLOOKUP(C6275,METADATA!$J$5:$Q$29,IF(E6275="HI",2,IF(E6275="LO",6,10))+IF(D6275=1,2,IF(D6275=7,1,(IF(WEEKDAY(B6275)=1,2,IF(WEEKDAY(B6275)=7,1,0))))))</f>
        <v>1</v>
      </c>
      <c r="H6275" s="370">
        <v>12949.9248046875</v>
      </c>
      <c r="I6275" s="370">
        <v>3868.4949645996094</v>
      </c>
      <c r="M6275" s="371">
        <f t="shared" si="389"/>
        <v>13515.391438585608</v>
      </c>
      <c r="N6275" s="329">
        <f t="shared" si="390"/>
        <v>0</v>
      </c>
      <c r="T6275" s="331">
        <v>0</v>
      </c>
      <c r="U6275" s="328">
        <f>VLOOKUP(C6275,METADATA!$J$5:$Q$29,IF(E6275="HI",2,IF(E6275="LO",6,10))+IF(T6275=1,2,IF(D6275=7,1,(IF(WEEKDAY(B6275)=1,2,IF(WEEKDAY(B6275)=7,1,0))))))</f>
        <v>1</v>
      </c>
      <c r="V6275" s="328">
        <f>VLOOKUP(C6275,METADATA!$A$5:$H$29,IF(E6275="HI",2,IF(E6275="LO",6,10))+IF(T6275=1,2,IF(D6275=7,1,(IF(WEEKDAY(B6275)=1,2,IF(WEEKDAY(B6275)=7,1,0))))))</f>
        <v>1</v>
      </c>
    </row>
    <row r="6276" spans="2:22">
      <c r="B6276" s="318">
        <f t="shared" si="391"/>
        <v>46374</v>
      </c>
      <c r="C6276" s="312">
        <v>8</v>
      </c>
      <c r="D6276" s="368">
        <f>IFERROR((INDEX(METADATA!$T$2:$T$20,MATCH(B6276,METADATA!$S$2:$S$20,0))),0)</f>
        <v>0</v>
      </c>
      <c r="E6276" s="312" t="str">
        <f t="shared" ref="E6276:E6339" si="392">IF(B6276="","",IF(AND(MONTH(B6276)&gt;=MONTH($Z$9),MONTH(B6276)&lt;=MONTH($Z$11)),"HI","LO"))</f>
        <v>LO</v>
      </c>
      <c r="F6276" s="369">
        <f>VLOOKUP(C6276,METADATA!$A$5:$H$29,IF(E6276="HI",2,IF(E6276="LO",6,10))+IF(D6276=1,2,IF(D6276=7,1,(IF(WEEKDAY(B6276)=1,2,IF(WEEKDAY(B6276)=7,1,0))))))</f>
        <v>1</v>
      </c>
      <c r="G6276" s="369">
        <f>VLOOKUP(C6276,METADATA!$J$5:$Q$29,IF(E6276="HI",2,IF(E6276="LO",6,10))+IF(D6276=1,2,IF(D6276=7,1,(IF(WEEKDAY(B6276)=1,2,IF(WEEKDAY(B6276)=7,1,0))))))</f>
        <v>1</v>
      </c>
      <c r="H6276" s="370">
        <v>12829.649780273438</v>
      </c>
      <c r="I6276" s="370">
        <v>3664.6200256347656</v>
      </c>
      <c r="M6276" s="371">
        <f t="shared" ref="M6276:M6339" si="393">SQRT(H6276^2+I6276^2)</f>
        <v>13342.764084579836</v>
      </c>
      <c r="N6276" s="329">
        <f t="shared" ref="N6276:N6339" si="394">IF(H6276=0,0,(IF(I6276-(0.3*H6276)&lt;0,0,(I6276-(0.3*H6276)))))</f>
        <v>0</v>
      </c>
      <c r="T6276" s="331">
        <v>0</v>
      </c>
      <c r="U6276" s="328">
        <f>VLOOKUP(C6276,METADATA!$J$5:$Q$29,IF(E6276="HI",2,IF(E6276="LO",6,10))+IF(T6276=1,2,IF(D6276=7,1,(IF(WEEKDAY(B6276)=1,2,IF(WEEKDAY(B6276)=7,1,0))))))</f>
        <v>1</v>
      </c>
      <c r="V6276" s="328">
        <f>VLOOKUP(C6276,METADATA!$A$5:$H$29,IF(E6276="HI",2,IF(E6276="LO",6,10))+IF(T6276=1,2,IF(D6276=7,1,(IF(WEEKDAY(B6276)=1,2,IF(WEEKDAY(B6276)=7,1,0))))))</f>
        <v>1</v>
      </c>
    </row>
    <row r="6277" spans="2:22">
      <c r="B6277" s="318">
        <f t="shared" si="391"/>
        <v>46374</v>
      </c>
      <c r="C6277" s="312">
        <v>9</v>
      </c>
      <c r="D6277" s="368">
        <f>IFERROR((INDEX(METADATA!$T$2:$T$20,MATCH(B6277,METADATA!$S$2:$S$20,0))),0)</f>
        <v>0</v>
      </c>
      <c r="E6277" s="312" t="str">
        <f t="shared" si="392"/>
        <v>LO</v>
      </c>
      <c r="F6277" s="369">
        <f>VLOOKUP(C6277,METADATA!$A$5:$H$29,IF(E6277="HI",2,IF(E6277="LO",6,10))+IF(D6277=1,2,IF(D6277=7,1,(IF(WEEKDAY(B6277)=1,2,IF(WEEKDAY(B6277)=7,1,0))))))</f>
        <v>2</v>
      </c>
      <c r="G6277" s="369">
        <f>VLOOKUP(C6277,METADATA!$J$5:$Q$29,IF(E6277="HI",2,IF(E6277="LO",6,10))+IF(D6277=1,2,IF(D6277=7,1,(IF(WEEKDAY(B6277)=1,2,IF(WEEKDAY(B6277)=7,1,0))))))</f>
        <v>2</v>
      </c>
      <c r="H6277" s="370">
        <v>12901.374572753906</v>
      </c>
      <c r="I6277" s="370">
        <v>3655.7950744628906</v>
      </c>
      <c r="M6277" s="371">
        <f t="shared" si="393"/>
        <v>13409.336430001604</v>
      </c>
      <c r="N6277" s="329">
        <f t="shared" si="394"/>
        <v>0</v>
      </c>
      <c r="T6277" s="331">
        <v>0</v>
      </c>
      <c r="U6277" s="328">
        <f>VLOOKUP(C6277,METADATA!$J$5:$Q$29,IF(E6277="HI",2,IF(E6277="LO",6,10))+IF(T6277=1,2,IF(D6277=7,1,(IF(WEEKDAY(B6277)=1,2,IF(WEEKDAY(B6277)=7,1,0))))))</f>
        <v>2</v>
      </c>
      <c r="V6277" s="328">
        <f>VLOOKUP(C6277,METADATA!$A$5:$H$29,IF(E6277="HI",2,IF(E6277="LO",6,10))+IF(T6277=1,2,IF(D6277=7,1,(IF(WEEKDAY(B6277)=1,2,IF(WEEKDAY(B6277)=7,1,0))))))</f>
        <v>2</v>
      </c>
    </row>
    <row r="6278" spans="2:22">
      <c r="B6278" s="318">
        <f t="shared" si="391"/>
        <v>46374</v>
      </c>
      <c r="C6278" s="312">
        <v>10</v>
      </c>
      <c r="D6278" s="368">
        <f>IFERROR((INDEX(METADATA!$T$2:$T$20,MATCH(B6278,METADATA!$S$2:$S$20,0))),0)</f>
        <v>0</v>
      </c>
      <c r="E6278" s="312" t="str">
        <f t="shared" si="392"/>
        <v>LO</v>
      </c>
      <c r="F6278" s="369">
        <f>VLOOKUP(C6278,METADATA!$A$5:$H$29,IF(E6278="HI",2,IF(E6278="LO",6,10))+IF(D6278=1,2,IF(D6278=7,1,(IF(WEEKDAY(B6278)=1,2,IF(WEEKDAY(B6278)=7,1,0))))))</f>
        <v>2</v>
      </c>
      <c r="G6278" s="369">
        <f>VLOOKUP(C6278,METADATA!$J$5:$Q$29,IF(E6278="HI",2,IF(E6278="LO",6,10))+IF(D6278=1,2,IF(D6278=7,1,(IF(WEEKDAY(B6278)=1,2,IF(WEEKDAY(B6278)=7,1,0))))))</f>
        <v>2</v>
      </c>
      <c r="H6278" s="370">
        <v>12938.100219726563</v>
      </c>
      <c r="I6278" s="370">
        <v>3681.6399841308594</v>
      </c>
      <c r="M6278" s="371">
        <f t="shared" si="393"/>
        <v>13451.725178148698</v>
      </c>
      <c r="N6278" s="329">
        <f t="shared" si="394"/>
        <v>0</v>
      </c>
      <c r="T6278" s="331">
        <v>0</v>
      </c>
      <c r="U6278" s="328">
        <f>VLOOKUP(C6278,METADATA!$J$5:$Q$29,IF(E6278="HI",2,IF(E6278="LO",6,10))+IF(T6278=1,2,IF(D6278=7,1,(IF(WEEKDAY(B6278)=1,2,IF(WEEKDAY(B6278)=7,1,0))))))</f>
        <v>2</v>
      </c>
      <c r="V6278" s="328">
        <f>VLOOKUP(C6278,METADATA!$A$5:$H$29,IF(E6278="HI",2,IF(E6278="LO",6,10))+IF(T6278=1,2,IF(D6278=7,1,(IF(WEEKDAY(B6278)=1,2,IF(WEEKDAY(B6278)=7,1,0))))))</f>
        <v>2</v>
      </c>
    </row>
    <row r="6279" spans="2:22">
      <c r="B6279" s="318">
        <f t="shared" si="391"/>
        <v>46374</v>
      </c>
      <c r="C6279" s="312">
        <v>11</v>
      </c>
      <c r="D6279" s="368">
        <f>IFERROR((INDEX(METADATA!$T$2:$T$20,MATCH(B6279,METADATA!$S$2:$S$20,0))),0)</f>
        <v>0</v>
      </c>
      <c r="E6279" s="312" t="str">
        <f t="shared" si="392"/>
        <v>LO</v>
      </c>
      <c r="F6279" s="369">
        <f>VLOOKUP(C6279,METADATA!$A$5:$H$29,IF(E6279="HI",2,IF(E6279="LO",6,10))+IF(D6279=1,2,IF(D6279=7,1,(IF(WEEKDAY(B6279)=1,2,IF(WEEKDAY(B6279)=7,1,0))))))</f>
        <v>2</v>
      </c>
      <c r="G6279" s="369">
        <f>VLOOKUP(C6279,METADATA!$J$5:$Q$29,IF(E6279="HI",2,IF(E6279="LO",6,10))+IF(D6279=1,2,IF(D6279=7,1,(IF(WEEKDAY(B6279)=1,2,IF(WEEKDAY(B6279)=7,1,0))))))</f>
        <v>2</v>
      </c>
      <c r="H6279" s="370">
        <v>12903.900390625</v>
      </c>
      <c r="I6279" s="370">
        <v>3741.6249694824219</v>
      </c>
      <c r="M6279" s="371">
        <f t="shared" si="393"/>
        <v>13435.415985499903</v>
      </c>
      <c r="N6279" s="329">
        <f t="shared" si="394"/>
        <v>0</v>
      </c>
      <c r="T6279" s="331">
        <v>0</v>
      </c>
      <c r="U6279" s="328">
        <f>VLOOKUP(C6279,METADATA!$J$5:$Q$29,IF(E6279="HI",2,IF(E6279="LO",6,10))+IF(T6279=1,2,IF(D6279=7,1,(IF(WEEKDAY(B6279)=1,2,IF(WEEKDAY(B6279)=7,1,0))))))</f>
        <v>2</v>
      </c>
      <c r="V6279" s="328">
        <f>VLOOKUP(C6279,METADATA!$A$5:$H$29,IF(E6279="HI",2,IF(E6279="LO",6,10))+IF(T6279=1,2,IF(D6279=7,1,(IF(WEEKDAY(B6279)=1,2,IF(WEEKDAY(B6279)=7,1,0))))))</f>
        <v>2</v>
      </c>
    </row>
    <row r="6280" spans="2:22">
      <c r="B6280" s="318">
        <f t="shared" si="391"/>
        <v>46374</v>
      </c>
      <c r="C6280" s="312">
        <v>12</v>
      </c>
      <c r="D6280" s="368">
        <f>IFERROR((INDEX(METADATA!$T$2:$T$20,MATCH(B6280,METADATA!$S$2:$S$20,0))),0)</f>
        <v>0</v>
      </c>
      <c r="E6280" s="312" t="str">
        <f t="shared" si="392"/>
        <v>LO</v>
      </c>
      <c r="F6280" s="369">
        <f>VLOOKUP(C6280,METADATA!$A$5:$H$29,IF(E6280="HI",2,IF(E6280="LO",6,10))+IF(D6280=1,2,IF(D6280=7,1,(IF(WEEKDAY(B6280)=1,2,IF(WEEKDAY(B6280)=7,1,0))))))</f>
        <v>2</v>
      </c>
      <c r="G6280" s="369">
        <f>VLOOKUP(C6280,METADATA!$J$5:$Q$29,IF(E6280="HI",2,IF(E6280="LO",6,10))+IF(D6280=1,2,IF(D6280=7,1,(IF(WEEKDAY(B6280)=1,2,IF(WEEKDAY(B6280)=7,1,0))))))</f>
        <v>2</v>
      </c>
      <c r="H6280" s="370">
        <v>12848.575256347656</v>
      </c>
      <c r="I6280" s="370">
        <v>3740.2499389648438</v>
      </c>
      <c r="M6280" s="371">
        <f t="shared" si="393"/>
        <v>13381.904039558636</v>
      </c>
      <c r="N6280" s="329">
        <f t="shared" si="394"/>
        <v>0</v>
      </c>
      <c r="T6280" s="331">
        <v>0</v>
      </c>
      <c r="U6280" s="328">
        <f>VLOOKUP(C6280,METADATA!$J$5:$Q$29,IF(E6280="HI",2,IF(E6280="LO",6,10))+IF(T6280=1,2,IF(D6280=7,1,(IF(WEEKDAY(B6280)=1,2,IF(WEEKDAY(B6280)=7,1,0))))))</f>
        <v>2</v>
      </c>
      <c r="V6280" s="328">
        <f>VLOOKUP(C6280,METADATA!$A$5:$H$29,IF(E6280="HI",2,IF(E6280="LO",6,10))+IF(T6280=1,2,IF(D6280=7,1,(IF(WEEKDAY(B6280)=1,2,IF(WEEKDAY(B6280)=7,1,0))))))</f>
        <v>2</v>
      </c>
    </row>
    <row r="6281" spans="2:22">
      <c r="B6281" s="318">
        <f t="shared" si="391"/>
        <v>46374</v>
      </c>
      <c r="C6281" s="312">
        <v>13</v>
      </c>
      <c r="D6281" s="368">
        <f>IFERROR((INDEX(METADATA!$T$2:$T$20,MATCH(B6281,METADATA!$S$2:$S$20,0))),0)</f>
        <v>0</v>
      </c>
      <c r="E6281" s="312" t="str">
        <f t="shared" si="392"/>
        <v>LO</v>
      </c>
      <c r="F6281" s="369">
        <f>VLOOKUP(C6281,METADATA!$A$5:$H$29,IF(E6281="HI",2,IF(E6281="LO",6,10))+IF(D6281=1,2,IF(D6281=7,1,(IF(WEEKDAY(B6281)=1,2,IF(WEEKDAY(B6281)=7,1,0))))))</f>
        <v>2</v>
      </c>
      <c r="G6281" s="369">
        <f>VLOOKUP(C6281,METADATA!$J$5:$Q$29,IF(E6281="HI",2,IF(E6281="LO",6,10))+IF(D6281=1,2,IF(D6281=7,1,(IF(WEEKDAY(B6281)=1,2,IF(WEEKDAY(B6281)=7,1,0))))))</f>
        <v>2</v>
      </c>
      <c r="H6281" s="370">
        <v>11315.095031738281</v>
      </c>
      <c r="I6281" s="370">
        <v>2896.135009765625</v>
      </c>
      <c r="M6281" s="371">
        <f t="shared" si="393"/>
        <v>11679.853319800659</v>
      </c>
      <c r="N6281" s="329">
        <f t="shared" si="394"/>
        <v>0</v>
      </c>
      <c r="T6281" s="331">
        <v>0</v>
      </c>
      <c r="U6281" s="328">
        <f>VLOOKUP(C6281,METADATA!$J$5:$Q$29,IF(E6281="HI",2,IF(E6281="LO",6,10))+IF(T6281=1,2,IF(D6281=7,1,(IF(WEEKDAY(B6281)=1,2,IF(WEEKDAY(B6281)=7,1,0))))))</f>
        <v>2</v>
      </c>
      <c r="V6281" s="328">
        <f>VLOOKUP(C6281,METADATA!$A$5:$H$29,IF(E6281="HI",2,IF(E6281="LO",6,10))+IF(T6281=1,2,IF(D6281=7,1,(IF(WEEKDAY(B6281)=1,2,IF(WEEKDAY(B6281)=7,1,0))))))</f>
        <v>2</v>
      </c>
    </row>
    <row r="6282" spans="2:22">
      <c r="B6282" s="318">
        <f t="shared" si="391"/>
        <v>46374</v>
      </c>
      <c r="C6282" s="312">
        <v>14</v>
      </c>
      <c r="D6282" s="368">
        <f>IFERROR((INDEX(METADATA!$T$2:$T$20,MATCH(B6282,METADATA!$S$2:$S$20,0))),0)</f>
        <v>0</v>
      </c>
      <c r="E6282" s="312" t="str">
        <f t="shared" si="392"/>
        <v>LO</v>
      </c>
      <c r="F6282" s="369">
        <f>VLOOKUP(C6282,METADATA!$A$5:$H$29,IF(E6282="HI",2,IF(E6282="LO",6,10))+IF(D6282=1,2,IF(D6282=7,1,(IF(WEEKDAY(B6282)=1,2,IF(WEEKDAY(B6282)=7,1,0))))))</f>
        <v>2</v>
      </c>
      <c r="G6282" s="369">
        <f>VLOOKUP(C6282,METADATA!$J$5:$Q$29,IF(E6282="HI",2,IF(E6282="LO",6,10))+IF(D6282=1,2,IF(D6282=7,1,(IF(WEEKDAY(B6282)=1,2,IF(WEEKDAY(B6282)=7,1,0))))))</f>
        <v>2</v>
      </c>
      <c r="H6282" s="370">
        <v>12154.499755859375</v>
      </c>
      <c r="I6282" s="370">
        <v>3390.0300598144531</v>
      </c>
      <c r="M6282" s="371">
        <f t="shared" si="393"/>
        <v>12618.405926329649</v>
      </c>
      <c r="N6282" s="329">
        <f t="shared" si="394"/>
        <v>0</v>
      </c>
      <c r="T6282" s="331">
        <v>0</v>
      </c>
      <c r="U6282" s="328">
        <f>VLOOKUP(C6282,METADATA!$J$5:$Q$29,IF(E6282="HI",2,IF(E6282="LO",6,10))+IF(T6282=1,2,IF(D6282=7,1,(IF(WEEKDAY(B6282)=1,2,IF(WEEKDAY(B6282)=7,1,0))))))</f>
        <v>2</v>
      </c>
      <c r="V6282" s="328">
        <f>VLOOKUP(C6282,METADATA!$A$5:$H$29,IF(E6282="HI",2,IF(E6282="LO",6,10))+IF(T6282=1,2,IF(D6282=7,1,(IF(WEEKDAY(B6282)=1,2,IF(WEEKDAY(B6282)=7,1,0))))))</f>
        <v>2</v>
      </c>
    </row>
    <row r="6283" spans="2:22">
      <c r="B6283" s="318">
        <f t="shared" si="391"/>
        <v>46374</v>
      </c>
      <c r="C6283" s="312">
        <v>15</v>
      </c>
      <c r="D6283" s="368">
        <f>IFERROR((INDEX(METADATA!$T$2:$T$20,MATCH(B6283,METADATA!$S$2:$S$20,0))),0)</f>
        <v>0</v>
      </c>
      <c r="E6283" s="312" t="str">
        <f t="shared" si="392"/>
        <v>LO</v>
      </c>
      <c r="F6283" s="369">
        <f>VLOOKUP(C6283,METADATA!$A$5:$H$29,IF(E6283="HI",2,IF(E6283="LO",6,10))+IF(D6283=1,2,IF(D6283=7,1,(IF(WEEKDAY(B6283)=1,2,IF(WEEKDAY(B6283)=7,1,0))))))</f>
        <v>2</v>
      </c>
      <c r="G6283" s="369">
        <f>VLOOKUP(C6283,METADATA!$J$5:$Q$29,IF(E6283="HI",2,IF(E6283="LO",6,10))+IF(D6283=1,2,IF(D6283=7,1,(IF(WEEKDAY(B6283)=1,2,IF(WEEKDAY(B6283)=7,1,0))))))</f>
        <v>2</v>
      </c>
      <c r="H6283" s="370">
        <v>12813.100036621094</v>
      </c>
      <c r="I6283" s="370">
        <v>3779.5749816894531</v>
      </c>
      <c r="M6283" s="371">
        <f t="shared" si="393"/>
        <v>13358.91910263223</v>
      </c>
      <c r="N6283" s="329">
        <f t="shared" si="394"/>
        <v>0</v>
      </c>
      <c r="T6283" s="331">
        <v>0</v>
      </c>
      <c r="U6283" s="328">
        <f>VLOOKUP(C6283,METADATA!$J$5:$Q$29,IF(E6283="HI",2,IF(E6283="LO",6,10))+IF(T6283=1,2,IF(D6283=7,1,(IF(WEEKDAY(B6283)=1,2,IF(WEEKDAY(B6283)=7,1,0))))))</f>
        <v>2</v>
      </c>
      <c r="V6283" s="328">
        <f>VLOOKUP(C6283,METADATA!$A$5:$H$29,IF(E6283="HI",2,IF(E6283="LO",6,10))+IF(T6283=1,2,IF(D6283=7,1,(IF(WEEKDAY(B6283)=1,2,IF(WEEKDAY(B6283)=7,1,0))))))</f>
        <v>2</v>
      </c>
    </row>
    <row r="6284" spans="2:22">
      <c r="B6284" s="318">
        <f t="shared" si="391"/>
        <v>46374</v>
      </c>
      <c r="C6284" s="312">
        <v>16</v>
      </c>
      <c r="D6284" s="368">
        <f>IFERROR((INDEX(METADATA!$T$2:$T$20,MATCH(B6284,METADATA!$S$2:$S$20,0))),0)</f>
        <v>0</v>
      </c>
      <c r="E6284" s="312" t="str">
        <f t="shared" si="392"/>
        <v>LO</v>
      </c>
      <c r="F6284" s="369">
        <f>VLOOKUP(C6284,METADATA!$A$5:$H$29,IF(E6284="HI",2,IF(E6284="LO",6,10))+IF(D6284=1,2,IF(D6284=7,1,(IF(WEEKDAY(B6284)=1,2,IF(WEEKDAY(B6284)=7,1,0))))))</f>
        <v>2</v>
      </c>
      <c r="G6284" s="369">
        <f>VLOOKUP(C6284,METADATA!$J$5:$Q$29,IF(E6284="HI",2,IF(E6284="LO",6,10))+IF(D6284=1,2,IF(D6284=7,1,(IF(WEEKDAY(B6284)=1,2,IF(WEEKDAY(B6284)=7,1,0))))))</f>
        <v>2</v>
      </c>
      <c r="H6284" s="370">
        <v>12679.300048828125</v>
      </c>
      <c r="I6284" s="370">
        <v>3730.93994140625</v>
      </c>
      <c r="M6284" s="371">
        <f t="shared" si="393"/>
        <v>13216.828763912823</v>
      </c>
      <c r="N6284" s="329">
        <f t="shared" si="394"/>
        <v>0</v>
      </c>
      <c r="T6284" s="331">
        <v>0</v>
      </c>
      <c r="U6284" s="328">
        <f>VLOOKUP(C6284,METADATA!$J$5:$Q$29,IF(E6284="HI",2,IF(E6284="LO",6,10))+IF(T6284=1,2,IF(D6284=7,1,(IF(WEEKDAY(B6284)=1,2,IF(WEEKDAY(B6284)=7,1,0))))))</f>
        <v>2</v>
      </c>
      <c r="V6284" s="328">
        <f>VLOOKUP(C6284,METADATA!$A$5:$H$29,IF(E6284="HI",2,IF(E6284="LO",6,10))+IF(T6284=1,2,IF(D6284=7,1,(IF(WEEKDAY(B6284)=1,2,IF(WEEKDAY(B6284)=7,1,0))))))</f>
        <v>2</v>
      </c>
    </row>
    <row r="6285" spans="2:22">
      <c r="B6285" s="318">
        <f t="shared" si="391"/>
        <v>46374</v>
      </c>
      <c r="C6285" s="312">
        <v>17</v>
      </c>
      <c r="D6285" s="368">
        <f>IFERROR((INDEX(METADATA!$T$2:$T$20,MATCH(B6285,METADATA!$S$2:$S$20,0))),0)</f>
        <v>0</v>
      </c>
      <c r="E6285" s="312" t="str">
        <f t="shared" si="392"/>
        <v>LO</v>
      </c>
      <c r="F6285" s="369">
        <f>VLOOKUP(C6285,METADATA!$A$5:$H$29,IF(E6285="HI",2,IF(E6285="LO",6,10))+IF(D6285=1,2,IF(D6285=7,1,(IF(WEEKDAY(B6285)=1,2,IF(WEEKDAY(B6285)=7,1,0))))))</f>
        <v>2</v>
      </c>
      <c r="G6285" s="369">
        <f>VLOOKUP(C6285,METADATA!$J$5:$Q$29,IF(E6285="HI",2,IF(E6285="LO",6,10))+IF(D6285=1,2,IF(D6285=7,1,(IF(WEEKDAY(B6285)=1,2,IF(WEEKDAY(B6285)=7,1,0))))))</f>
        <v>2</v>
      </c>
      <c r="H6285" s="370">
        <v>12736.100158691406</v>
      </c>
      <c r="I6285" s="370">
        <v>3700.6350402832031</v>
      </c>
      <c r="M6285" s="371">
        <f t="shared" si="393"/>
        <v>13262.840832702137</v>
      </c>
      <c r="N6285" s="329">
        <f t="shared" si="394"/>
        <v>0</v>
      </c>
      <c r="T6285" s="331">
        <v>0</v>
      </c>
      <c r="U6285" s="328">
        <f>VLOOKUP(C6285,METADATA!$J$5:$Q$29,IF(E6285="HI",2,IF(E6285="LO",6,10))+IF(T6285=1,2,IF(D6285=7,1,(IF(WEEKDAY(B6285)=1,2,IF(WEEKDAY(B6285)=7,1,0))))))</f>
        <v>2</v>
      </c>
      <c r="V6285" s="328">
        <f>VLOOKUP(C6285,METADATA!$A$5:$H$29,IF(E6285="HI",2,IF(E6285="LO",6,10))+IF(T6285=1,2,IF(D6285=7,1,(IF(WEEKDAY(B6285)=1,2,IF(WEEKDAY(B6285)=7,1,0))))))</f>
        <v>2</v>
      </c>
    </row>
    <row r="6286" spans="2:22">
      <c r="B6286" s="318">
        <f t="shared" si="391"/>
        <v>46374</v>
      </c>
      <c r="C6286" s="312">
        <v>18</v>
      </c>
      <c r="D6286" s="368">
        <f>IFERROR((INDEX(METADATA!$T$2:$T$20,MATCH(B6286,METADATA!$S$2:$S$20,0))),0)</f>
        <v>0</v>
      </c>
      <c r="E6286" s="312" t="str">
        <f t="shared" si="392"/>
        <v>LO</v>
      </c>
      <c r="F6286" s="369">
        <f>VLOOKUP(C6286,METADATA!$A$5:$H$29,IF(E6286="HI",2,IF(E6286="LO",6,10))+IF(D6286=1,2,IF(D6286=7,1,(IF(WEEKDAY(B6286)=1,2,IF(WEEKDAY(B6286)=7,1,0))))))</f>
        <v>1</v>
      </c>
      <c r="G6286" s="369">
        <f>VLOOKUP(C6286,METADATA!$J$5:$Q$29,IF(E6286="HI",2,IF(E6286="LO",6,10))+IF(D6286=1,2,IF(D6286=7,1,(IF(WEEKDAY(B6286)=1,2,IF(WEEKDAY(B6286)=7,1,0))))))</f>
        <v>1</v>
      </c>
      <c r="H6286" s="370">
        <v>12631.999877929688</v>
      </c>
      <c r="I6286" s="370">
        <v>3695.3599853515625</v>
      </c>
      <c r="M6286" s="371">
        <f t="shared" si="393"/>
        <v>13161.424935672927</v>
      </c>
      <c r="N6286" s="329">
        <f t="shared" si="394"/>
        <v>0</v>
      </c>
      <c r="T6286" s="331">
        <v>0</v>
      </c>
      <c r="U6286" s="328">
        <f>VLOOKUP(C6286,METADATA!$J$5:$Q$29,IF(E6286="HI",2,IF(E6286="LO",6,10))+IF(T6286=1,2,IF(D6286=7,1,(IF(WEEKDAY(B6286)=1,2,IF(WEEKDAY(B6286)=7,1,0))))))</f>
        <v>1</v>
      </c>
      <c r="V6286" s="328">
        <f>VLOOKUP(C6286,METADATA!$A$5:$H$29,IF(E6286="HI",2,IF(E6286="LO",6,10))+IF(T6286=1,2,IF(D6286=7,1,(IF(WEEKDAY(B6286)=1,2,IF(WEEKDAY(B6286)=7,1,0))))))</f>
        <v>1</v>
      </c>
    </row>
    <row r="6287" spans="2:22">
      <c r="B6287" s="318">
        <f t="shared" si="391"/>
        <v>46374</v>
      </c>
      <c r="C6287" s="312">
        <v>19</v>
      </c>
      <c r="D6287" s="368">
        <f>IFERROR((INDEX(METADATA!$T$2:$T$20,MATCH(B6287,METADATA!$S$2:$S$20,0))),0)</f>
        <v>0</v>
      </c>
      <c r="E6287" s="312" t="str">
        <f t="shared" si="392"/>
        <v>LO</v>
      </c>
      <c r="F6287" s="369">
        <f>VLOOKUP(C6287,METADATA!$A$5:$H$29,IF(E6287="HI",2,IF(E6287="LO",6,10))+IF(D6287=1,2,IF(D6287=7,1,(IF(WEEKDAY(B6287)=1,2,IF(WEEKDAY(B6287)=7,1,0))))))</f>
        <v>1</v>
      </c>
      <c r="G6287" s="369">
        <f>VLOOKUP(C6287,METADATA!$J$5:$Q$29,IF(E6287="HI",2,IF(E6287="LO",6,10))+IF(D6287=1,2,IF(D6287=7,1,(IF(WEEKDAY(B6287)=1,2,IF(WEEKDAY(B6287)=7,1,0))))))</f>
        <v>1</v>
      </c>
      <c r="H6287" s="370">
        <v>12175.22509765625</v>
      </c>
      <c r="I6287" s="370">
        <v>3266.8450469970703</v>
      </c>
      <c r="M6287" s="371">
        <f t="shared" si="393"/>
        <v>12605.886828767261</v>
      </c>
      <c r="N6287" s="329">
        <f t="shared" si="394"/>
        <v>0</v>
      </c>
      <c r="T6287" s="331">
        <v>0</v>
      </c>
      <c r="U6287" s="328">
        <f>VLOOKUP(C6287,METADATA!$J$5:$Q$29,IF(E6287="HI",2,IF(E6287="LO",6,10))+IF(T6287=1,2,IF(D6287=7,1,(IF(WEEKDAY(B6287)=1,2,IF(WEEKDAY(B6287)=7,1,0))))))</f>
        <v>1</v>
      </c>
      <c r="V6287" s="328">
        <f>VLOOKUP(C6287,METADATA!$A$5:$H$29,IF(E6287="HI",2,IF(E6287="LO",6,10))+IF(T6287=1,2,IF(D6287=7,1,(IF(WEEKDAY(B6287)=1,2,IF(WEEKDAY(B6287)=7,1,0))))))</f>
        <v>1</v>
      </c>
    </row>
    <row r="6288" spans="2:22">
      <c r="B6288" s="318">
        <f t="shared" si="391"/>
        <v>46374</v>
      </c>
      <c r="C6288" s="312">
        <v>20</v>
      </c>
      <c r="D6288" s="368">
        <f>IFERROR((INDEX(METADATA!$T$2:$T$20,MATCH(B6288,METADATA!$S$2:$S$20,0))),0)</f>
        <v>0</v>
      </c>
      <c r="E6288" s="312" t="str">
        <f t="shared" si="392"/>
        <v>LO</v>
      </c>
      <c r="F6288" s="369">
        <f>VLOOKUP(C6288,METADATA!$A$5:$H$29,IF(E6288="HI",2,IF(E6288="LO",6,10))+IF(D6288=1,2,IF(D6288=7,1,(IF(WEEKDAY(B6288)=1,2,IF(WEEKDAY(B6288)=7,1,0))))))</f>
        <v>1</v>
      </c>
      <c r="G6288" s="369">
        <f>VLOOKUP(C6288,METADATA!$J$5:$Q$29,IF(E6288="HI",2,IF(E6288="LO",6,10))+IF(D6288=1,2,IF(D6288=7,1,(IF(WEEKDAY(B6288)=1,2,IF(WEEKDAY(B6288)=7,1,0))))))</f>
        <v>1</v>
      </c>
      <c r="H6288" s="370">
        <v>12572.874877929688</v>
      </c>
      <c r="I6288" s="370">
        <v>3636.1699676513672</v>
      </c>
      <c r="M6288" s="371">
        <f t="shared" si="393"/>
        <v>13088.121130617839</v>
      </c>
      <c r="N6288" s="329">
        <f t="shared" si="394"/>
        <v>0</v>
      </c>
      <c r="T6288" s="331">
        <v>0</v>
      </c>
      <c r="U6288" s="328">
        <f>VLOOKUP(C6288,METADATA!$J$5:$Q$29,IF(E6288="HI",2,IF(E6288="LO",6,10))+IF(T6288=1,2,IF(D6288=7,1,(IF(WEEKDAY(B6288)=1,2,IF(WEEKDAY(B6288)=7,1,0))))))</f>
        <v>1</v>
      </c>
      <c r="V6288" s="328">
        <f>VLOOKUP(C6288,METADATA!$A$5:$H$29,IF(E6288="HI",2,IF(E6288="LO",6,10))+IF(T6288=1,2,IF(D6288=7,1,(IF(WEEKDAY(B6288)=1,2,IF(WEEKDAY(B6288)=7,1,0))))))</f>
        <v>1</v>
      </c>
    </row>
    <row r="6289" spans="2:22">
      <c r="B6289" s="318">
        <f t="shared" si="391"/>
        <v>46374</v>
      </c>
      <c r="C6289" s="312">
        <v>21</v>
      </c>
      <c r="D6289" s="368">
        <f>IFERROR((INDEX(METADATA!$T$2:$T$20,MATCH(B6289,METADATA!$S$2:$S$20,0))),0)</f>
        <v>0</v>
      </c>
      <c r="E6289" s="312" t="str">
        <f t="shared" si="392"/>
        <v>LO</v>
      </c>
      <c r="F6289" s="369">
        <f>VLOOKUP(C6289,METADATA!$A$5:$H$29,IF(E6289="HI",2,IF(E6289="LO",6,10))+IF(D6289=1,2,IF(D6289=7,1,(IF(WEEKDAY(B6289)=1,2,IF(WEEKDAY(B6289)=7,1,0))))))</f>
        <v>2</v>
      </c>
      <c r="G6289" s="369">
        <f>VLOOKUP(C6289,METADATA!$J$5:$Q$29,IF(E6289="HI",2,IF(E6289="LO",6,10))+IF(D6289=1,2,IF(D6289=7,1,(IF(WEEKDAY(B6289)=1,2,IF(WEEKDAY(B6289)=7,1,0))))))</f>
        <v>2</v>
      </c>
      <c r="H6289" s="370">
        <v>12823.425048828125</v>
      </c>
      <c r="I6289" s="370">
        <v>3770.1899719238281</v>
      </c>
      <c r="M6289" s="371">
        <f t="shared" si="393"/>
        <v>13366.172316983932</v>
      </c>
      <c r="N6289" s="329">
        <f t="shared" si="394"/>
        <v>0</v>
      </c>
      <c r="T6289" s="331">
        <v>0</v>
      </c>
      <c r="U6289" s="328">
        <f>VLOOKUP(C6289,METADATA!$J$5:$Q$29,IF(E6289="HI",2,IF(E6289="LO",6,10))+IF(T6289=1,2,IF(D6289=7,1,(IF(WEEKDAY(B6289)=1,2,IF(WEEKDAY(B6289)=7,1,0))))))</f>
        <v>2</v>
      </c>
      <c r="V6289" s="328">
        <f>VLOOKUP(C6289,METADATA!$A$5:$H$29,IF(E6289="HI",2,IF(E6289="LO",6,10))+IF(T6289=1,2,IF(D6289=7,1,(IF(WEEKDAY(B6289)=1,2,IF(WEEKDAY(B6289)=7,1,0))))))</f>
        <v>2</v>
      </c>
    </row>
    <row r="6290" spans="2:22">
      <c r="B6290" s="318">
        <f t="shared" si="391"/>
        <v>46374</v>
      </c>
      <c r="C6290" s="312">
        <v>22</v>
      </c>
      <c r="D6290" s="368">
        <f>IFERROR((INDEX(METADATA!$T$2:$T$20,MATCH(B6290,METADATA!$S$2:$S$20,0))),0)</f>
        <v>0</v>
      </c>
      <c r="E6290" s="312" t="str">
        <f t="shared" si="392"/>
        <v>LO</v>
      </c>
      <c r="F6290" s="369">
        <f>VLOOKUP(C6290,METADATA!$A$5:$H$29,IF(E6290="HI",2,IF(E6290="LO",6,10))+IF(D6290=1,2,IF(D6290=7,1,(IF(WEEKDAY(B6290)=1,2,IF(WEEKDAY(B6290)=7,1,0))))))</f>
        <v>3</v>
      </c>
      <c r="G6290" s="369">
        <f>VLOOKUP(C6290,METADATA!$J$5:$Q$29,IF(E6290="HI",2,IF(E6290="LO",6,10))+IF(D6290=1,2,IF(D6290=7,1,(IF(WEEKDAY(B6290)=1,2,IF(WEEKDAY(B6290)=7,1,0))))))</f>
        <v>3</v>
      </c>
      <c r="H6290" s="370">
        <v>12904.7998046875</v>
      </c>
      <c r="I6290" s="370">
        <v>3951.4849548339844</v>
      </c>
      <c r="M6290" s="371">
        <f t="shared" si="393"/>
        <v>13496.2250776779</v>
      </c>
      <c r="N6290" s="329">
        <f t="shared" si="394"/>
        <v>80.045013427734375</v>
      </c>
      <c r="T6290" s="331">
        <v>0</v>
      </c>
      <c r="U6290" s="328">
        <f>VLOOKUP(C6290,METADATA!$J$5:$Q$29,IF(E6290="HI",2,IF(E6290="LO",6,10))+IF(T6290=1,2,IF(D6290=7,1,(IF(WEEKDAY(B6290)=1,2,IF(WEEKDAY(B6290)=7,1,0))))))</f>
        <v>3</v>
      </c>
      <c r="V6290" s="328">
        <f>VLOOKUP(C6290,METADATA!$A$5:$H$29,IF(E6290="HI",2,IF(E6290="LO",6,10))+IF(T6290=1,2,IF(D6290=7,1,(IF(WEEKDAY(B6290)=1,2,IF(WEEKDAY(B6290)=7,1,0))))))</f>
        <v>3</v>
      </c>
    </row>
    <row r="6291" spans="2:22">
      <c r="B6291" s="318">
        <f t="shared" si="391"/>
        <v>46374</v>
      </c>
      <c r="C6291" s="312">
        <v>23</v>
      </c>
      <c r="D6291" s="368">
        <f>IFERROR((INDEX(METADATA!$T$2:$T$20,MATCH(B6291,METADATA!$S$2:$S$20,0))),0)</f>
        <v>0</v>
      </c>
      <c r="E6291" s="312" t="str">
        <f t="shared" si="392"/>
        <v>LO</v>
      </c>
      <c r="F6291" s="369">
        <f>VLOOKUP(C6291,METADATA!$A$5:$H$29,IF(E6291="HI",2,IF(E6291="LO",6,10))+IF(D6291=1,2,IF(D6291=7,1,(IF(WEEKDAY(B6291)=1,2,IF(WEEKDAY(B6291)=7,1,0))))))</f>
        <v>3</v>
      </c>
      <c r="G6291" s="369">
        <f>VLOOKUP(C6291,METADATA!$J$5:$Q$29,IF(E6291="HI",2,IF(E6291="LO",6,10))+IF(D6291=1,2,IF(D6291=7,1,(IF(WEEKDAY(B6291)=1,2,IF(WEEKDAY(B6291)=7,1,0))))))</f>
        <v>3</v>
      </c>
      <c r="H6291" s="370">
        <v>12758.199768066406</v>
      </c>
      <c r="I6291" s="370">
        <v>3791.7450561523438</v>
      </c>
      <c r="M6291" s="371">
        <f t="shared" si="393"/>
        <v>13309.732976012157</v>
      </c>
      <c r="N6291" s="329">
        <f t="shared" si="394"/>
        <v>0</v>
      </c>
      <c r="T6291" s="331">
        <v>0</v>
      </c>
      <c r="U6291" s="328">
        <f>VLOOKUP(C6291,METADATA!$J$5:$Q$29,IF(E6291="HI",2,IF(E6291="LO",6,10))+IF(T6291=1,2,IF(D6291=7,1,(IF(WEEKDAY(B6291)=1,2,IF(WEEKDAY(B6291)=7,1,0))))))</f>
        <v>3</v>
      </c>
      <c r="V6291" s="328">
        <f>VLOOKUP(C6291,METADATA!$A$5:$H$29,IF(E6291="HI",2,IF(E6291="LO",6,10))+IF(T6291=1,2,IF(D6291=7,1,(IF(WEEKDAY(B6291)=1,2,IF(WEEKDAY(B6291)=7,1,0))))))</f>
        <v>3</v>
      </c>
    </row>
    <row r="6292" spans="2:22">
      <c r="B6292" s="318">
        <f t="shared" si="391"/>
        <v>46375</v>
      </c>
      <c r="C6292" s="312">
        <v>0</v>
      </c>
      <c r="D6292" s="368">
        <f>IFERROR((INDEX(METADATA!$T$2:$T$20,MATCH(B6292,METADATA!$S$2:$S$20,0))),0)</f>
        <v>0</v>
      </c>
      <c r="E6292" s="312" t="str">
        <f t="shared" si="392"/>
        <v>LO</v>
      </c>
      <c r="F6292" s="369">
        <f>VLOOKUP(C6292,METADATA!$A$5:$H$29,IF(E6292="HI",2,IF(E6292="LO",6,10))+IF(D6292=1,2,IF(D6292=7,1,(IF(WEEKDAY(B6292)=1,2,IF(WEEKDAY(B6292)=7,1,0))))))</f>
        <v>3</v>
      </c>
      <c r="G6292" s="369">
        <f>VLOOKUP(C6292,METADATA!$J$5:$Q$29,IF(E6292="HI",2,IF(E6292="LO",6,10))+IF(D6292=1,2,IF(D6292=7,1,(IF(WEEKDAY(B6292)=1,2,IF(WEEKDAY(B6292)=7,1,0))))))</f>
        <v>3</v>
      </c>
      <c r="H6292" s="370">
        <v>12826.825012207031</v>
      </c>
      <c r="I6292" s="370">
        <v>3931.5850219726563</v>
      </c>
      <c r="M6292" s="371">
        <f t="shared" si="393"/>
        <v>13415.841407782802</v>
      </c>
      <c r="N6292" s="329">
        <f t="shared" si="394"/>
        <v>83.537518310547057</v>
      </c>
      <c r="T6292" s="331">
        <v>0</v>
      </c>
      <c r="U6292" s="328">
        <f>VLOOKUP(C6292,METADATA!$J$5:$Q$29,IF(E6292="HI",2,IF(E6292="LO",6,10))+IF(T6292=1,2,IF(D6292=7,1,(IF(WEEKDAY(B6292)=1,2,IF(WEEKDAY(B6292)=7,1,0))))))</f>
        <v>3</v>
      </c>
      <c r="V6292" s="328">
        <f>VLOOKUP(C6292,METADATA!$A$5:$H$29,IF(E6292="HI",2,IF(E6292="LO",6,10))+IF(T6292=1,2,IF(D6292=7,1,(IF(WEEKDAY(B6292)=1,2,IF(WEEKDAY(B6292)=7,1,0))))))</f>
        <v>3</v>
      </c>
    </row>
    <row r="6293" spans="2:22">
      <c r="B6293" s="318">
        <f t="shared" si="391"/>
        <v>46375</v>
      </c>
      <c r="C6293" s="312">
        <v>1</v>
      </c>
      <c r="D6293" s="368">
        <f>IFERROR((INDEX(METADATA!$T$2:$T$20,MATCH(B6293,METADATA!$S$2:$S$20,0))),0)</f>
        <v>0</v>
      </c>
      <c r="E6293" s="312" t="str">
        <f t="shared" si="392"/>
        <v>LO</v>
      </c>
      <c r="F6293" s="369">
        <f>VLOOKUP(C6293,METADATA!$A$5:$H$29,IF(E6293="HI",2,IF(E6293="LO",6,10))+IF(D6293=1,2,IF(D6293=7,1,(IF(WEEKDAY(B6293)=1,2,IF(WEEKDAY(B6293)=7,1,0))))))</f>
        <v>3</v>
      </c>
      <c r="G6293" s="369">
        <f>VLOOKUP(C6293,METADATA!$J$5:$Q$29,IF(E6293="HI",2,IF(E6293="LO",6,10))+IF(D6293=1,2,IF(D6293=7,1,(IF(WEEKDAY(B6293)=1,2,IF(WEEKDAY(B6293)=7,1,0))))))</f>
        <v>3</v>
      </c>
      <c r="H6293" s="370">
        <v>12009.252624511719</v>
      </c>
      <c r="I6293" s="370">
        <v>3617.6150207519531</v>
      </c>
      <c r="M6293" s="371">
        <f t="shared" si="393"/>
        <v>12542.29991021231</v>
      </c>
      <c r="N6293" s="329">
        <f t="shared" si="394"/>
        <v>14.8392333984375</v>
      </c>
      <c r="T6293" s="331">
        <v>0</v>
      </c>
      <c r="U6293" s="328">
        <f>VLOOKUP(C6293,METADATA!$J$5:$Q$29,IF(E6293="HI",2,IF(E6293="LO",6,10))+IF(T6293=1,2,IF(D6293=7,1,(IF(WEEKDAY(B6293)=1,2,IF(WEEKDAY(B6293)=7,1,0))))))</f>
        <v>3</v>
      </c>
      <c r="V6293" s="328">
        <f>VLOOKUP(C6293,METADATA!$A$5:$H$29,IF(E6293="HI",2,IF(E6293="LO",6,10))+IF(T6293=1,2,IF(D6293=7,1,(IF(WEEKDAY(B6293)=1,2,IF(WEEKDAY(B6293)=7,1,0))))))</f>
        <v>3</v>
      </c>
    </row>
    <row r="6294" spans="2:22">
      <c r="B6294" s="318">
        <f t="shared" si="391"/>
        <v>46375</v>
      </c>
      <c r="C6294" s="312">
        <v>2</v>
      </c>
      <c r="D6294" s="368">
        <f>IFERROR((INDEX(METADATA!$T$2:$T$20,MATCH(B6294,METADATA!$S$2:$S$20,0))),0)</f>
        <v>0</v>
      </c>
      <c r="E6294" s="312" t="str">
        <f t="shared" si="392"/>
        <v>LO</v>
      </c>
      <c r="F6294" s="369">
        <f>VLOOKUP(C6294,METADATA!$A$5:$H$29,IF(E6294="HI",2,IF(E6294="LO",6,10))+IF(D6294=1,2,IF(D6294=7,1,(IF(WEEKDAY(B6294)=1,2,IF(WEEKDAY(B6294)=7,1,0))))))</f>
        <v>3</v>
      </c>
      <c r="G6294" s="369">
        <f>VLOOKUP(C6294,METADATA!$J$5:$Q$29,IF(E6294="HI",2,IF(E6294="LO",6,10))+IF(D6294=1,2,IF(D6294=7,1,(IF(WEEKDAY(B6294)=1,2,IF(WEEKDAY(B6294)=7,1,0))))))</f>
        <v>3</v>
      </c>
      <c r="H6294" s="370">
        <v>10952.675109863281</v>
      </c>
      <c r="I6294" s="370">
        <v>3187.0001068115234</v>
      </c>
      <c r="M6294" s="371">
        <f t="shared" si="393"/>
        <v>11406.930425975048</v>
      </c>
      <c r="N6294" s="329">
        <f t="shared" si="394"/>
        <v>0</v>
      </c>
      <c r="T6294" s="331">
        <v>0</v>
      </c>
      <c r="U6294" s="328">
        <f>VLOOKUP(C6294,METADATA!$J$5:$Q$29,IF(E6294="HI",2,IF(E6294="LO",6,10))+IF(T6294=1,2,IF(D6294=7,1,(IF(WEEKDAY(B6294)=1,2,IF(WEEKDAY(B6294)=7,1,0))))))</f>
        <v>3</v>
      </c>
      <c r="V6294" s="328">
        <f>VLOOKUP(C6294,METADATA!$A$5:$H$29,IF(E6294="HI",2,IF(E6294="LO",6,10))+IF(T6294=1,2,IF(D6294=7,1,(IF(WEEKDAY(B6294)=1,2,IF(WEEKDAY(B6294)=7,1,0))))))</f>
        <v>3</v>
      </c>
    </row>
    <row r="6295" spans="2:22">
      <c r="B6295" s="318">
        <f t="shared" si="391"/>
        <v>46375</v>
      </c>
      <c r="C6295" s="312">
        <v>3</v>
      </c>
      <c r="D6295" s="368">
        <f>IFERROR((INDEX(METADATA!$T$2:$T$20,MATCH(B6295,METADATA!$S$2:$S$20,0))),0)</f>
        <v>0</v>
      </c>
      <c r="E6295" s="312" t="str">
        <f t="shared" si="392"/>
        <v>LO</v>
      </c>
      <c r="F6295" s="369">
        <f>VLOOKUP(C6295,METADATA!$A$5:$H$29,IF(E6295="HI",2,IF(E6295="LO",6,10))+IF(D6295=1,2,IF(D6295=7,1,(IF(WEEKDAY(B6295)=1,2,IF(WEEKDAY(B6295)=7,1,0))))))</f>
        <v>3</v>
      </c>
      <c r="G6295" s="369">
        <f>VLOOKUP(C6295,METADATA!$J$5:$Q$29,IF(E6295="HI",2,IF(E6295="LO",6,10))+IF(D6295=1,2,IF(D6295=7,1,(IF(WEEKDAY(B6295)=1,2,IF(WEEKDAY(B6295)=7,1,0))))))</f>
        <v>3</v>
      </c>
      <c r="H6295" s="370">
        <v>10783.052001953125</v>
      </c>
      <c r="I6295" s="370">
        <v>2967.6750183105469</v>
      </c>
      <c r="M6295" s="371">
        <f t="shared" si="393"/>
        <v>11183.975388524861</v>
      </c>
      <c r="N6295" s="329">
        <f t="shared" si="394"/>
        <v>0</v>
      </c>
      <c r="T6295" s="331">
        <v>0</v>
      </c>
      <c r="U6295" s="328">
        <f>VLOOKUP(C6295,METADATA!$J$5:$Q$29,IF(E6295="HI",2,IF(E6295="LO",6,10))+IF(T6295=1,2,IF(D6295=7,1,(IF(WEEKDAY(B6295)=1,2,IF(WEEKDAY(B6295)=7,1,0))))))</f>
        <v>3</v>
      </c>
      <c r="V6295" s="328">
        <f>VLOOKUP(C6295,METADATA!$A$5:$H$29,IF(E6295="HI",2,IF(E6295="LO",6,10))+IF(T6295=1,2,IF(D6295=7,1,(IF(WEEKDAY(B6295)=1,2,IF(WEEKDAY(B6295)=7,1,0))))))</f>
        <v>3</v>
      </c>
    </row>
    <row r="6296" spans="2:22">
      <c r="B6296" s="318">
        <f t="shared" si="391"/>
        <v>46375</v>
      </c>
      <c r="C6296" s="312">
        <v>4</v>
      </c>
      <c r="D6296" s="368">
        <f>IFERROR((INDEX(METADATA!$T$2:$T$20,MATCH(B6296,METADATA!$S$2:$S$20,0))),0)</f>
        <v>0</v>
      </c>
      <c r="E6296" s="312" t="str">
        <f t="shared" si="392"/>
        <v>LO</v>
      </c>
      <c r="F6296" s="369">
        <f>VLOOKUP(C6296,METADATA!$A$5:$H$29,IF(E6296="HI",2,IF(E6296="LO",6,10))+IF(D6296=1,2,IF(D6296=7,1,(IF(WEEKDAY(B6296)=1,2,IF(WEEKDAY(B6296)=7,1,0))))))</f>
        <v>3</v>
      </c>
      <c r="G6296" s="369">
        <f>VLOOKUP(C6296,METADATA!$J$5:$Q$29,IF(E6296="HI",2,IF(E6296="LO",6,10))+IF(D6296=1,2,IF(D6296=7,1,(IF(WEEKDAY(B6296)=1,2,IF(WEEKDAY(B6296)=7,1,0))))))</f>
        <v>3</v>
      </c>
      <c r="H6296" s="370">
        <v>11881.142456054688</v>
      </c>
      <c r="I6296" s="370">
        <v>3444.447509765625</v>
      </c>
      <c r="M6296" s="371">
        <f t="shared" si="393"/>
        <v>12370.358309628538</v>
      </c>
      <c r="N6296" s="329">
        <f t="shared" si="394"/>
        <v>0</v>
      </c>
      <c r="T6296" s="331">
        <v>0</v>
      </c>
      <c r="U6296" s="328">
        <f>VLOOKUP(C6296,METADATA!$J$5:$Q$29,IF(E6296="HI",2,IF(E6296="LO",6,10))+IF(T6296=1,2,IF(D6296=7,1,(IF(WEEKDAY(B6296)=1,2,IF(WEEKDAY(B6296)=7,1,0))))))</f>
        <v>3</v>
      </c>
      <c r="V6296" s="328">
        <f>VLOOKUP(C6296,METADATA!$A$5:$H$29,IF(E6296="HI",2,IF(E6296="LO",6,10))+IF(T6296=1,2,IF(D6296=7,1,(IF(WEEKDAY(B6296)=1,2,IF(WEEKDAY(B6296)=7,1,0))))))</f>
        <v>3</v>
      </c>
    </row>
    <row r="6297" spans="2:22">
      <c r="B6297" s="318">
        <f t="shared" si="391"/>
        <v>46375</v>
      </c>
      <c r="C6297" s="312">
        <v>5</v>
      </c>
      <c r="D6297" s="368">
        <f>IFERROR((INDEX(METADATA!$T$2:$T$20,MATCH(B6297,METADATA!$S$2:$S$20,0))),0)</f>
        <v>0</v>
      </c>
      <c r="E6297" s="312" t="str">
        <f t="shared" si="392"/>
        <v>LO</v>
      </c>
      <c r="F6297" s="369">
        <f>VLOOKUP(C6297,METADATA!$A$5:$H$29,IF(E6297="HI",2,IF(E6297="LO",6,10))+IF(D6297=1,2,IF(D6297=7,1,(IF(WEEKDAY(B6297)=1,2,IF(WEEKDAY(B6297)=7,1,0))))))</f>
        <v>3</v>
      </c>
      <c r="G6297" s="369">
        <f>VLOOKUP(C6297,METADATA!$J$5:$Q$29,IF(E6297="HI",2,IF(E6297="LO",6,10))+IF(D6297=1,2,IF(D6297=7,1,(IF(WEEKDAY(B6297)=1,2,IF(WEEKDAY(B6297)=7,1,0))))))</f>
        <v>3</v>
      </c>
      <c r="H6297" s="370">
        <v>12802.375</v>
      </c>
      <c r="I6297" s="370">
        <v>3891.4300231933594</v>
      </c>
      <c r="M6297" s="371">
        <f t="shared" si="393"/>
        <v>13380.733659483536</v>
      </c>
      <c r="N6297" s="329">
        <f t="shared" si="394"/>
        <v>50.717523193359739</v>
      </c>
      <c r="T6297" s="331">
        <v>0</v>
      </c>
      <c r="U6297" s="328">
        <f>VLOOKUP(C6297,METADATA!$J$5:$Q$29,IF(E6297="HI",2,IF(E6297="LO",6,10))+IF(T6297=1,2,IF(D6297=7,1,(IF(WEEKDAY(B6297)=1,2,IF(WEEKDAY(B6297)=7,1,0))))))</f>
        <v>3</v>
      </c>
      <c r="V6297" s="328">
        <f>VLOOKUP(C6297,METADATA!$A$5:$H$29,IF(E6297="HI",2,IF(E6297="LO",6,10))+IF(T6297=1,2,IF(D6297=7,1,(IF(WEEKDAY(B6297)=1,2,IF(WEEKDAY(B6297)=7,1,0))))))</f>
        <v>3</v>
      </c>
    </row>
    <row r="6298" spans="2:22">
      <c r="B6298" s="318">
        <f t="shared" si="391"/>
        <v>46375</v>
      </c>
      <c r="C6298" s="312">
        <v>6</v>
      </c>
      <c r="D6298" s="368">
        <f>IFERROR((INDEX(METADATA!$T$2:$T$20,MATCH(B6298,METADATA!$S$2:$S$20,0))),0)</f>
        <v>0</v>
      </c>
      <c r="E6298" s="312" t="str">
        <f t="shared" si="392"/>
        <v>LO</v>
      </c>
      <c r="F6298" s="369">
        <f>VLOOKUP(C6298,METADATA!$A$5:$H$29,IF(E6298="HI",2,IF(E6298="LO",6,10))+IF(D6298=1,2,IF(D6298=7,1,(IF(WEEKDAY(B6298)=1,2,IF(WEEKDAY(B6298)=7,1,0))))))</f>
        <v>3</v>
      </c>
      <c r="G6298" s="369">
        <f>VLOOKUP(C6298,METADATA!$J$5:$Q$29,IF(E6298="HI",2,IF(E6298="LO",6,10))+IF(D6298=1,2,IF(D6298=7,1,(IF(WEEKDAY(B6298)=1,2,IF(WEEKDAY(B6298)=7,1,0))))))</f>
        <v>3</v>
      </c>
      <c r="H6298" s="370">
        <v>12675.800048828125</v>
      </c>
      <c r="I6298" s="370">
        <v>3807.8049926757813</v>
      </c>
      <c r="M6298" s="371">
        <f t="shared" si="393"/>
        <v>13235.38007539329</v>
      </c>
      <c r="N6298" s="329">
        <f t="shared" si="394"/>
        <v>5.0649780273438409</v>
      </c>
      <c r="T6298" s="331">
        <v>0</v>
      </c>
      <c r="U6298" s="328">
        <f>VLOOKUP(C6298,METADATA!$J$5:$Q$29,IF(E6298="HI",2,IF(E6298="LO",6,10))+IF(T6298=1,2,IF(D6298=7,1,(IF(WEEKDAY(B6298)=1,2,IF(WEEKDAY(B6298)=7,1,0))))))</f>
        <v>3</v>
      </c>
      <c r="V6298" s="328">
        <f>VLOOKUP(C6298,METADATA!$A$5:$H$29,IF(E6298="HI",2,IF(E6298="LO",6,10))+IF(T6298=1,2,IF(D6298=7,1,(IF(WEEKDAY(B6298)=1,2,IF(WEEKDAY(B6298)=7,1,0))))))</f>
        <v>3</v>
      </c>
    </row>
    <row r="6299" spans="2:22">
      <c r="B6299" s="318">
        <f t="shared" si="391"/>
        <v>46375</v>
      </c>
      <c r="C6299" s="312">
        <v>7</v>
      </c>
      <c r="D6299" s="368">
        <f>IFERROR((INDEX(METADATA!$T$2:$T$20,MATCH(B6299,METADATA!$S$2:$S$20,0))),0)</f>
        <v>0</v>
      </c>
      <c r="E6299" s="312" t="str">
        <f t="shared" si="392"/>
        <v>LO</v>
      </c>
      <c r="F6299" s="369">
        <f>VLOOKUP(C6299,METADATA!$A$5:$H$29,IF(E6299="HI",2,IF(E6299="LO",6,10))+IF(D6299=1,2,IF(D6299=7,1,(IF(WEEKDAY(B6299)=1,2,IF(WEEKDAY(B6299)=7,1,0))))))</f>
        <v>2</v>
      </c>
      <c r="G6299" s="369">
        <f>VLOOKUP(C6299,METADATA!$J$5:$Q$29,IF(E6299="HI",2,IF(E6299="LO",6,10))+IF(D6299=1,2,IF(D6299=7,1,(IF(WEEKDAY(B6299)=1,2,IF(WEEKDAY(B6299)=7,1,0))))))</f>
        <v>2</v>
      </c>
      <c r="H6299" s="370">
        <v>12665.249572753906</v>
      </c>
      <c r="I6299" s="370">
        <v>3741.5249633789063</v>
      </c>
      <c r="M6299" s="371">
        <f t="shared" si="393"/>
        <v>13206.345285192665</v>
      </c>
      <c r="N6299" s="329">
        <f t="shared" si="394"/>
        <v>0</v>
      </c>
      <c r="T6299" s="331">
        <v>0</v>
      </c>
      <c r="U6299" s="328">
        <f>VLOOKUP(C6299,METADATA!$J$5:$Q$29,IF(E6299="HI",2,IF(E6299="LO",6,10))+IF(T6299=1,2,IF(D6299=7,1,(IF(WEEKDAY(B6299)=1,2,IF(WEEKDAY(B6299)=7,1,0))))))</f>
        <v>2</v>
      </c>
      <c r="V6299" s="328">
        <f>VLOOKUP(C6299,METADATA!$A$5:$H$29,IF(E6299="HI",2,IF(E6299="LO",6,10))+IF(T6299=1,2,IF(D6299=7,1,(IF(WEEKDAY(B6299)=1,2,IF(WEEKDAY(B6299)=7,1,0))))))</f>
        <v>2</v>
      </c>
    </row>
    <row r="6300" spans="2:22">
      <c r="B6300" s="318">
        <f t="shared" ref="B6300:B6363" si="395">B6276+1</f>
        <v>46375</v>
      </c>
      <c r="C6300" s="312">
        <v>8</v>
      </c>
      <c r="D6300" s="368">
        <f>IFERROR((INDEX(METADATA!$T$2:$T$20,MATCH(B6300,METADATA!$S$2:$S$20,0))),0)</f>
        <v>0</v>
      </c>
      <c r="E6300" s="312" t="str">
        <f t="shared" si="392"/>
        <v>LO</v>
      </c>
      <c r="F6300" s="369">
        <f>VLOOKUP(C6300,METADATA!$A$5:$H$29,IF(E6300="HI",2,IF(E6300="LO",6,10))+IF(D6300=1,2,IF(D6300=7,1,(IF(WEEKDAY(B6300)=1,2,IF(WEEKDAY(B6300)=7,1,0))))))</f>
        <v>2</v>
      </c>
      <c r="G6300" s="369">
        <f>VLOOKUP(C6300,METADATA!$J$5:$Q$29,IF(E6300="HI",2,IF(E6300="LO",6,10))+IF(D6300=1,2,IF(D6300=7,1,(IF(WEEKDAY(B6300)=1,2,IF(WEEKDAY(B6300)=7,1,0))))))</f>
        <v>2</v>
      </c>
      <c r="H6300" s="370">
        <v>12750.200561523438</v>
      </c>
      <c r="I6300" s="370">
        <v>3934.1949157714844</v>
      </c>
      <c r="M6300" s="371">
        <f t="shared" si="393"/>
        <v>13343.369289439408</v>
      </c>
      <c r="N6300" s="329">
        <f t="shared" si="394"/>
        <v>109.13474731445331</v>
      </c>
      <c r="T6300" s="331">
        <v>0</v>
      </c>
      <c r="U6300" s="328">
        <f>VLOOKUP(C6300,METADATA!$J$5:$Q$29,IF(E6300="HI",2,IF(E6300="LO",6,10))+IF(T6300=1,2,IF(D6300=7,1,(IF(WEEKDAY(B6300)=1,2,IF(WEEKDAY(B6300)=7,1,0))))))</f>
        <v>2</v>
      </c>
      <c r="V6300" s="328">
        <f>VLOOKUP(C6300,METADATA!$A$5:$H$29,IF(E6300="HI",2,IF(E6300="LO",6,10))+IF(T6300=1,2,IF(D6300=7,1,(IF(WEEKDAY(B6300)=1,2,IF(WEEKDAY(B6300)=7,1,0))))))</f>
        <v>2</v>
      </c>
    </row>
    <row r="6301" spans="2:22">
      <c r="B6301" s="318">
        <f t="shared" si="395"/>
        <v>46375</v>
      </c>
      <c r="C6301" s="312">
        <v>9</v>
      </c>
      <c r="D6301" s="368">
        <f>IFERROR((INDEX(METADATA!$T$2:$T$20,MATCH(B6301,METADATA!$S$2:$S$20,0))),0)</f>
        <v>0</v>
      </c>
      <c r="E6301" s="312" t="str">
        <f t="shared" si="392"/>
        <v>LO</v>
      </c>
      <c r="F6301" s="369">
        <f>VLOOKUP(C6301,METADATA!$A$5:$H$29,IF(E6301="HI",2,IF(E6301="LO",6,10))+IF(D6301=1,2,IF(D6301=7,1,(IF(WEEKDAY(B6301)=1,2,IF(WEEKDAY(B6301)=7,1,0))))))</f>
        <v>2</v>
      </c>
      <c r="G6301" s="369">
        <f>VLOOKUP(C6301,METADATA!$J$5:$Q$29,IF(E6301="HI",2,IF(E6301="LO",6,10))+IF(D6301=1,2,IF(D6301=7,1,(IF(WEEKDAY(B6301)=1,2,IF(WEEKDAY(B6301)=7,1,0))))))</f>
        <v>2</v>
      </c>
      <c r="H6301" s="370">
        <v>12731.424926757813</v>
      </c>
      <c r="I6301" s="370">
        <v>3936.6699829101563</v>
      </c>
      <c r="M6301" s="371">
        <f t="shared" si="393"/>
        <v>13326.160408010102</v>
      </c>
      <c r="N6301" s="329">
        <f t="shared" si="394"/>
        <v>117.24250488281268</v>
      </c>
      <c r="T6301" s="331">
        <v>0</v>
      </c>
      <c r="U6301" s="328">
        <f>VLOOKUP(C6301,METADATA!$J$5:$Q$29,IF(E6301="HI",2,IF(E6301="LO",6,10))+IF(T6301=1,2,IF(D6301=7,1,(IF(WEEKDAY(B6301)=1,2,IF(WEEKDAY(B6301)=7,1,0))))))</f>
        <v>2</v>
      </c>
      <c r="V6301" s="328">
        <f>VLOOKUP(C6301,METADATA!$A$5:$H$29,IF(E6301="HI",2,IF(E6301="LO",6,10))+IF(T6301=1,2,IF(D6301=7,1,(IF(WEEKDAY(B6301)=1,2,IF(WEEKDAY(B6301)=7,1,0))))))</f>
        <v>2</v>
      </c>
    </row>
    <row r="6302" spans="2:22">
      <c r="B6302" s="318">
        <f t="shared" si="395"/>
        <v>46375</v>
      </c>
      <c r="C6302" s="312">
        <v>10</v>
      </c>
      <c r="D6302" s="368">
        <f>IFERROR((INDEX(METADATA!$T$2:$T$20,MATCH(B6302,METADATA!$S$2:$S$20,0))),0)</f>
        <v>0</v>
      </c>
      <c r="E6302" s="312" t="str">
        <f t="shared" si="392"/>
        <v>LO</v>
      </c>
      <c r="F6302" s="369">
        <f>VLOOKUP(C6302,METADATA!$A$5:$H$29,IF(E6302="HI",2,IF(E6302="LO",6,10))+IF(D6302=1,2,IF(D6302=7,1,(IF(WEEKDAY(B6302)=1,2,IF(WEEKDAY(B6302)=7,1,0))))))</f>
        <v>2</v>
      </c>
      <c r="G6302" s="369">
        <f>VLOOKUP(C6302,METADATA!$J$5:$Q$29,IF(E6302="HI",2,IF(E6302="LO",6,10))+IF(D6302=1,2,IF(D6302=7,1,(IF(WEEKDAY(B6302)=1,2,IF(WEEKDAY(B6302)=7,1,0))))))</f>
        <v>2</v>
      </c>
      <c r="H6302" s="370">
        <v>12665.700073242188</v>
      </c>
      <c r="I6302" s="370">
        <v>3864.195068359375</v>
      </c>
      <c r="M6302" s="371">
        <f t="shared" si="393"/>
        <v>13242.052781636994</v>
      </c>
      <c r="N6302" s="329">
        <f t="shared" si="394"/>
        <v>64.48504638671875</v>
      </c>
      <c r="T6302" s="331">
        <v>0</v>
      </c>
      <c r="U6302" s="328">
        <f>VLOOKUP(C6302,METADATA!$J$5:$Q$29,IF(E6302="HI",2,IF(E6302="LO",6,10))+IF(T6302=1,2,IF(D6302=7,1,(IF(WEEKDAY(B6302)=1,2,IF(WEEKDAY(B6302)=7,1,0))))))</f>
        <v>2</v>
      </c>
      <c r="V6302" s="328">
        <f>VLOOKUP(C6302,METADATA!$A$5:$H$29,IF(E6302="HI",2,IF(E6302="LO",6,10))+IF(T6302=1,2,IF(D6302=7,1,(IF(WEEKDAY(B6302)=1,2,IF(WEEKDAY(B6302)=7,1,0))))))</f>
        <v>2</v>
      </c>
    </row>
    <row r="6303" spans="2:22">
      <c r="B6303" s="318">
        <f t="shared" si="395"/>
        <v>46375</v>
      </c>
      <c r="C6303" s="312">
        <v>11</v>
      </c>
      <c r="D6303" s="368">
        <f>IFERROR((INDEX(METADATA!$T$2:$T$20,MATCH(B6303,METADATA!$S$2:$S$20,0))),0)</f>
        <v>0</v>
      </c>
      <c r="E6303" s="312" t="str">
        <f t="shared" si="392"/>
        <v>LO</v>
      </c>
      <c r="F6303" s="369">
        <f>VLOOKUP(C6303,METADATA!$A$5:$H$29,IF(E6303="HI",2,IF(E6303="LO",6,10))+IF(D6303=1,2,IF(D6303=7,1,(IF(WEEKDAY(B6303)=1,2,IF(WEEKDAY(B6303)=7,1,0))))))</f>
        <v>2</v>
      </c>
      <c r="G6303" s="369">
        <f>VLOOKUP(C6303,METADATA!$J$5:$Q$29,IF(E6303="HI",2,IF(E6303="LO",6,10))+IF(D6303=1,2,IF(D6303=7,1,(IF(WEEKDAY(B6303)=1,2,IF(WEEKDAY(B6303)=7,1,0))))))</f>
        <v>2</v>
      </c>
      <c r="H6303" s="370">
        <v>12836.074829101563</v>
      </c>
      <c r="I6303" s="370">
        <v>3930.0151062011719</v>
      </c>
      <c r="M6303" s="371">
        <f t="shared" si="393"/>
        <v>13424.22570404953</v>
      </c>
      <c r="N6303" s="329">
        <f t="shared" si="394"/>
        <v>79.192657470703125</v>
      </c>
      <c r="T6303" s="331">
        <v>0</v>
      </c>
      <c r="U6303" s="328">
        <f>VLOOKUP(C6303,METADATA!$J$5:$Q$29,IF(E6303="HI",2,IF(E6303="LO",6,10))+IF(T6303=1,2,IF(D6303=7,1,(IF(WEEKDAY(B6303)=1,2,IF(WEEKDAY(B6303)=7,1,0))))))</f>
        <v>2</v>
      </c>
      <c r="V6303" s="328">
        <f>VLOOKUP(C6303,METADATA!$A$5:$H$29,IF(E6303="HI",2,IF(E6303="LO",6,10))+IF(T6303=1,2,IF(D6303=7,1,(IF(WEEKDAY(B6303)=1,2,IF(WEEKDAY(B6303)=7,1,0))))))</f>
        <v>2</v>
      </c>
    </row>
    <row r="6304" spans="2:22">
      <c r="B6304" s="318">
        <f t="shared" si="395"/>
        <v>46375</v>
      </c>
      <c r="C6304" s="312">
        <v>12</v>
      </c>
      <c r="D6304" s="368">
        <f>IFERROR((INDEX(METADATA!$T$2:$T$20,MATCH(B6304,METADATA!$S$2:$S$20,0))),0)</f>
        <v>0</v>
      </c>
      <c r="E6304" s="312" t="str">
        <f t="shared" si="392"/>
        <v>LO</v>
      </c>
      <c r="F6304" s="369">
        <f>VLOOKUP(C6304,METADATA!$A$5:$H$29,IF(E6304="HI",2,IF(E6304="LO",6,10))+IF(D6304=1,2,IF(D6304=7,1,(IF(WEEKDAY(B6304)=1,2,IF(WEEKDAY(B6304)=7,1,0))))))</f>
        <v>3</v>
      </c>
      <c r="G6304" s="369">
        <f>VLOOKUP(C6304,METADATA!$J$5:$Q$29,IF(E6304="HI",2,IF(E6304="LO",6,10))+IF(D6304=1,2,IF(D6304=7,1,(IF(WEEKDAY(B6304)=1,2,IF(WEEKDAY(B6304)=7,1,0))))))</f>
        <v>3</v>
      </c>
      <c r="H6304" s="370">
        <v>12707.924926757813</v>
      </c>
      <c r="I6304" s="370">
        <v>3899.1250305175781</v>
      </c>
      <c r="M6304" s="371">
        <f t="shared" si="393"/>
        <v>13292.649545809942</v>
      </c>
      <c r="N6304" s="329">
        <f t="shared" si="394"/>
        <v>86.747552490234739</v>
      </c>
      <c r="T6304" s="331">
        <v>0</v>
      </c>
      <c r="U6304" s="328">
        <f>VLOOKUP(C6304,METADATA!$J$5:$Q$29,IF(E6304="HI",2,IF(E6304="LO",6,10))+IF(T6304=1,2,IF(D6304=7,1,(IF(WEEKDAY(B6304)=1,2,IF(WEEKDAY(B6304)=7,1,0))))))</f>
        <v>3</v>
      </c>
      <c r="V6304" s="328">
        <f>VLOOKUP(C6304,METADATA!$A$5:$H$29,IF(E6304="HI",2,IF(E6304="LO",6,10))+IF(T6304=1,2,IF(D6304=7,1,(IF(WEEKDAY(B6304)=1,2,IF(WEEKDAY(B6304)=7,1,0))))))</f>
        <v>3</v>
      </c>
    </row>
    <row r="6305" spans="2:22">
      <c r="B6305" s="318">
        <f t="shared" si="395"/>
        <v>46375</v>
      </c>
      <c r="C6305" s="312">
        <v>13</v>
      </c>
      <c r="D6305" s="368">
        <f>IFERROR((INDEX(METADATA!$T$2:$T$20,MATCH(B6305,METADATA!$S$2:$S$20,0))),0)</f>
        <v>0</v>
      </c>
      <c r="E6305" s="312" t="str">
        <f t="shared" si="392"/>
        <v>LO</v>
      </c>
      <c r="F6305" s="369">
        <f>VLOOKUP(C6305,METADATA!$A$5:$H$29,IF(E6305="HI",2,IF(E6305="LO",6,10))+IF(D6305=1,2,IF(D6305=7,1,(IF(WEEKDAY(B6305)=1,2,IF(WEEKDAY(B6305)=7,1,0))))))</f>
        <v>3</v>
      </c>
      <c r="G6305" s="369">
        <f>VLOOKUP(C6305,METADATA!$J$5:$Q$29,IF(E6305="HI",2,IF(E6305="LO",6,10))+IF(D6305=1,2,IF(D6305=7,1,(IF(WEEKDAY(B6305)=1,2,IF(WEEKDAY(B6305)=7,1,0))))))</f>
        <v>3</v>
      </c>
      <c r="H6305" s="370">
        <v>12774.524963378906</v>
      </c>
      <c r="I6305" s="370">
        <v>4008.7749328613281</v>
      </c>
      <c r="M6305" s="371">
        <f t="shared" si="393"/>
        <v>13388.755151332336</v>
      </c>
      <c r="N6305" s="329">
        <f t="shared" si="394"/>
        <v>176.41744384765661</v>
      </c>
      <c r="T6305" s="331">
        <v>0</v>
      </c>
      <c r="U6305" s="328">
        <f>VLOOKUP(C6305,METADATA!$J$5:$Q$29,IF(E6305="HI",2,IF(E6305="LO",6,10))+IF(T6305=1,2,IF(D6305=7,1,(IF(WEEKDAY(B6305)=1,2,IF(WEEKDAY(B6305)=7,1,0))))))</f>
        <v>3</v>
      </c>
      <c r="V6305" s="328">
        <f>VLOOKUP(C6305,METADATA!$A$5:$H$29,IF(E6305="HI",2,IF(E6305="LO",6,10))+IF(T6305=1,2,IF(D6305=7,1,(IF(WEEKDAY(B6305)=1,2,IF(WEEKDAY(B6305)=7,1,0))))))</f>
        <v>3</v>
      </c>
    </row>
    <row r="6306" spans="2:22">
      <c r="B6306" s="318">
        <f t="shared" si="395"/>
        <v>46375</v>
      </c>
      <c r="C6306" s="312">
        <v>14</v>
      </c>
      <c r="D6306" s="368">
        <f>IFERROR((INDEX(METADATA!$T$2:$T$20,MATCH(B6306,METADATA!$S$2:$S$20,0))),0)</f>
        <v>0</v>
      </c>
      <c r="E6306" s="312" t="str">
        <f t="shared" si="392"/>
        <v>LO</v>
      </c>
      <c r="F6306" s="369">
        <f>VLOOKUP(C6306,METADATA!$A$5:$H$29,IF(E6306="HI",2,IF(E6306="LO",6,10))+IF(D6306=1,2,IF(D6306=7,1,(IF(WEEKDAY(B6306)=1,2,IF(WEEKDAY(B6306)=7,1,0))))))</f>
        <v>3</v>
      </c>
      <c r="G6306" s="369">
        <f>VLOOKUP(C6306,METADATA!$J$5:$Q$29,IF(E6306="HI",2,IF(E6306="LO",6,10))+IF(D6306=1,2,IF(D6306=7,1,(IF(WEEKDAY(B6306)=1,2,IF(WEEKDAY(B6306)=7,1,0))))))</f>
        <v>3</v>
      </c>
      <c r="H6306" s="370">
        <v>12644.274536132813</v>
      </c>
      <c r="I6306" s="370">
        <v>3920.1701049804688</v>
      </c>
      <c r="M6306" s="371">
        <f t="shared" si="393"/>
        <v>13238.029014814827</v>
      </c>
      <c r="N6306" s="329">
        <f t="shared" si="394"/>
        <v>126.88774414062527</v>
      </c>
      <c r="T6306" s="331">
        <v>0</v>
      </c>
      <c r="U6306" s="328">
        <f>VLOOKUP(C6306,METADATA!$J$5:$Q$29,IF(E6306="HI",2,IF(E6306="LO",6,10))+IF(T6306=1,2,IF(D6306=7,1,(IF(WEEKDAY(B6306)=1,2,IF(WEEKDAY(B6306)=7,1,0))))))</f>
        <v>3</v>
      </c>
      <c r="V6306" s="328">
        <f>VLOOKUP(C6306,METADATA!$A$5:$H$29,IF(E6306="HI",2,IF(E6306="LO",6,10))+IF(T6306=1,2,IF(D6306=7,1,(IF(WEEKDAY(B6306)=1,2,IF(WEEKDAY(B6306)=7,1,0))))))</f>
        <v>3</v>
      </c>
    </row>
    <row r="6307" spans="2:22">
      <c r="B6307" s="318">
        <f t="shared" si="395"/>
        <v>46375</v>
      </c>
      <c r="C6307" s="312">
        <v>15</v>
      </c>
      <c r="D6307" s="368">
        <f>IFERROR((INDEX(METADATA!$T$2:$T$20,MATCH(B6307,METADATA!$S$2:$S$20,0))),0)</f>
        <v>0</v>
      </c>
      <c r="E6307" s="312" t="str">
        <f t="shared" si="392"/>
        <v>LO</v>
      </c>
      <c r="F6307" s="369">
        <f>VLOOKUP(C6307,METADATA!$A$5:$H$29,IF(E6307="HI",2,IF(E6307="LO",6,10))+IF(D6307=1,2,IF(D6307=7,1,(IF(WEEKDAY(B6307)=1,2,IF(WEEKDAY(B6307)=7,1,0))))))</f>
        <v>3</v>
      </c>
      <c r="G6307" s="369">
        <f>VLOOKUP(C6307,METADATA!$J$5:$Q$29,IF(E6307="HI",2,IF(E6307="LO",6,10))+IF(D6307=1,2,IF(D6307=7,1,(IF(WEEKDAY(B6307)=1,2,IF(WEEKDAY(B6307)=7,1,0))))))</f>
        <v>3</v>
      </c>
      <c r="H6307" s="370">
        <v>12605.224975585938</v>
      </c>
      <c r="I6307" s="370">
        <v>3877.6350708007813</v>
      </c>
      <c r="M6307" s="371">
        <f t="shared" si="393"/>
        <v>13188.167060946706</v>
      </c>
      <c r="N6307" s="329">
        <f t="shared" si="394"/>
        <v>96.067578125000182</v>
      </c>
      <c r="T6307" s="331">
        <v>0</v>
      </c>
      <c r="U6307" s="328">
        <f>VLOOKUP(C6307,METADATA!$J$5:$Q$29,IF(E6307="HI",2,IF(E6307="LO",6,10))+IF(T6307=1,2,IF(D6307=7,1,(IF(WEEKDAY(B6307)=1,2,IF(WEEKDAY(B6307)=7,1,0))))))</f>
        <v>3</v>
      </c>
      <c r="V6307" s="328">
        <f>VLOOKUP(C6307,METADATA!$A$5:$H$29,IF(E6307="HI",2,IF(E6307="LO",6,10))+IF(T6307=1,2,IF(D6307=7,1,(IF(WEEKDAY(B6307)=1,2,IF(WEEKDAY(B6307)=7,1,0))))))</f>
        <v>3</v>
      </c>
    </row>
    <row r="6308" spans="2:22">
      <c r="B6308" s="318">
        <f t="shared" si="395"/>
        <v>46375</v>
      </c>
      <c r="C6308" s="312">
        <v>16</v>
      </c>
      <c r="D6308" s="368">
        <f>IFERROR((INDEX(METADATA!$T$2:$T$20,MATCH(B6308,METADATA!$S$2:$S$20,0))),0)</f>
        <v>0</v>
      </c>
      <c r="E6308" s="312" t="str">
        <f t="shared" si="392"/>
        <v>LO</v>
      </c>
      <c r="F6308" s="369">
        <f>VLOOKUP(C6308,METADATA!$A$5:$H$29,IF(E6308="HI",2,IF(E6308="LO",6,10))+IF(D6308=1,2,IF(D6308=7,1,(IF(WEEKDAY(B6308)=1,2,IF(WEEKDAY(B6308)=7,1,0))))))</f>
        <v>3</v>
      </c>
      <c r="G6308" s="369">
        <f>VLOOKUP(C6308,METADATA!$J$5:$Q$29,IF(E6308="HI",2,IF(E6308="LO",6,10))+IF(D6308=1,2,IF(D6308=7,1,(IF(WEEKDAY(B6308)=1,2,IF(WEEKDAY(B6308)=7,1,0))))))</f>
        <v>3</v>
      </c>
      <c r="H6308" s="370">
        <v>12160.025207519531</v>
      </c>
      <c r="I6308" s="370">
        <v>3667.905029296875</v>
      </c>
      <c r="M6308" s="371">
        <f t="shared" si="393"/>
        <v>12701.170826008591</v>
      </c>
      <c r="N6308" s="329">
        <f t="shared" si="394"/>
        <v>19.897467041015716</v>
      </c>
      <c r="T6308" s="331">
        <v>0</v>
      </c>
      <c r="U6308" s="328">
        <f>VLOOKUP(C6308,METADATA!$J$5:$Q$29,IF(E6308="HI",2,IF(E6308="LO",6,10))+IF(T6308=1,2,IF(D6308=7,1,(IF(WEEKDAY(B6308)=1,2,IF(WEEKDAY(B6308)=7,1,0))))))</f>
        <v>3</v>
      </c>
      <c r="V6308" s="328">
        <f>VLOOKUP(C6308,METADATA!$A$5:$H$29,IF(E6308="HI",2,IF(E6308="LO",6,10))+IF(T6308=1,2,IF(D6308=7,1,(IF(WEEKDAY(B6308)=1,2,IF(WEEKDAY(B6308)=7,1,0))))))</f>
        <v>3</v>
      </c>
    </row>
    <row r="6309" spans="2:22">
      <c r="B6309" s="318">
        <f t="shared" si="395"/>
        <v>46375</v>
      </c>
      <c r="C6309" s="312">
        <v>17</v>
      </c>
      <c r="D6309" s="368">
        <f>IFERROR((INDEX(METADATA!$T$2:$T$20,MATCH(B6309,METADATA!$S$2:$S$20,0))),0)</f>
        <v>0</v>
      </c>
      <c r="E6309" s="312" t="str">
        <f t="shared" si="392"/>
        <v>LO</v>
      </c>
      <c r="F6309" s="369">
        <f>VLOOKUP(C6309,METADATA!$A$5:$H$29,IF(E6309="HI",2,IF(E6309="LO",6,10))+IF(D6309=1,2,IF(D6309=7,1,(IF(WEEKDAY(B6309)=1,2,IF(WEEKDAY(B6309)=7,1,0))))))</f>
        <v>3</v>
      </c>
      <c r="G6309" s="369">
        <f>VLOOKUP(C6309,METADATA!$J$5:$Q$29,IF(E6309="HI",2,IF(E6309="LO",6,10))+IF(D6309=1,2,IF(D6309=7,1,(IF(WEEKDAY(B6309)=1,2,IF(WEEKDAY(B6309)=7,1,0))))))</f>
        <v>3</v>
      </c>
      <c r="H6309" s="370">
        <v>11855.425109863281</v>
      </c>
      <c r="I6309" s="370">
        <v>3201.815055847168</v>
      </c>
      <c r="M6309" s="371">
        <f t="shared" si="393"/>
        <v>12280.17606500112</v>
      </c>
      <c r="N6309" s="329">
        <f t="shared" si="394"/>
        <v>0</v>
      </c>
      <c r="T6309" s="331">
        <v>0</v>
      </c>
      <c r="U6309" s="328">
        <f>VLOOKUP(C6309,METADATA!$J$5:$Q$29,IF(E6309="HI",2,IF(E6309="LO",6,10))+IF(T6309=1,2,IF(D6309=7,1,(IF(WEEKDAY(B6309)=1,2,IF(WEEKDAY(B6309)=7,1,0))))))</f>
        <v>3</v>
      </c>
      <c r="V6309" s="328">
        <f>VLOOKUP(C6309,METADATA!$A$5:$H$29,IF(E6309="HI",2,IF(E6309="LO",6,10))+IF(T6309=1,2,IF(D6309=7,1,(IF(WEEKDAY(B6309)=1,2,IF(WEEKDAY(B6309)=7,1,0))))))</f>
        <v>3</v>
      </c>
    </row>
    <row r="6310" spans="2:22">
      <c r="B6310" s="318">
        <f t="shared" si="395"/>
        <v>46375</v>
      </c>
      <c r="C6310" s="312">
        <v>18</v>
      </c>
      <c r="D6310" s="368">
        <f>IFERROR((INDEX(METADATA!$T$2:$T$20,MATCH(B6310,METADATA!$S$2:$S$20,0))),0)</f>
        <v>0</v>
      </c>
      <c r="E6310" s="312" t="str">
        <f t="shared" si="392"/>
        <v>LO</v>
      </c>
      <c r="F6310" s="369">
        <f>VLOOKUP(C6310,METADATA!$A$5:$H$29,IF(E6310="HI",2,IF(E6310="LO",6,10))+IF(D6310=1,2,IF(D6310=7,1,(IF(WEEKDAY(B6310)=1,2,IF(WEEKDAY(B6310)=7,1,0))))))</f>
        <v>2</v>
      </c>
      <c r="G6310" s="369">
        <f>VLOOKUP(C6310,METADATA!$J$5:$Q$29,IF(E6310="HI",2,IF(E6310="LO",6,10))+IF(D6310=1,2,IF(D6310=7,1,(IF(WEEKDAY(B6310)=1,2,IF(WEEKDAY(B6310)=7,1,0))))))</f>
        <v>2</v>
      </c>
      <c r="H6310" s="370">
        <v>11748.224975585938</v>
      </c>
      <c r="I6310" s="370">
        <v>3015.8999786376953</v>
      </c>
      <c r="M6310" s="371">
        <f t="shared" si="393"/>
        <v>12129.1567208165</v>
      </c>
      <c r="N6310" s="329">
        <f t="shared" si="394"/>
        <v>0</v>
      </c>
      <c r="T6310" s="331">
        <v>0</v>
      </c>
      <c r="U6310" s="328">
        <f>VLOOKUP(C6310,METADATA!$J$5:$Q$29,IF(E6310="HI",2,IF(E6310="LO",6,10))+IF(T6310=1,2,IF(D6310=7,1,(IF(WEEKDAY(B6310)=1,2,IF(WEEKDAY(B6310)=7,1,0))))))</f>
        <v>2</v>
      </c>
      <c r="V6310" s="328">
        <f>VLOOKUP(C6310,METADATA!$A$5:$H$29,IF(E6310="HI",2,IF(E6310="LO",6,10))+IF(T6310=1,2,IF(D6310=7,1,(IF(WEEKDAY(B6310)=1,2,IF(WEEKDAY(B6310)=7,1,0))))))</f>
        <v>2</v>
      </c>
    </row>
    <row r="6311" spans="2:22">
      <c r="B6311" s="318">
        <f t="shared" si="395"/>
        <v>46375</v>
      </c>
      <c r="C6311" s="312">
        <v>19</v>
      </c>
      <c r="D6311" s="368">
        <f>IFERROR((INDEX(METADATA!$T$2:$T$20,MATCH(B6311,METADATA!$S$2:$S$20,0))),0)</f>
        <v>0</v>
      </c>
      <c r="E6311" s="312" t="str">
        <f t="shared" si="392"/>
        <v>LO</v>
      </c>
      <c r="F6311" s="369">
        <f>VLOOKUP(C6311,METADATA!$A$5:$H$29,IF(E6311="HI",2,IF(E6311="LO",6,10))+IF(D6311=1,2,IF(D6311=7,1,(IF(WEEKDAY(B6311)=1,2,IF(WEEKDAY(B6311)=7,1,0))))))</f>
        <v>2</v>
      </c>
      <c r="G6311" s="369">
        <f>VLOOKUP(C6311,METADATA!$J$5:$Q$29,IF(E6311="HI",2,IF(E6311="LO",6,10))+IF(D6311=1,2,IF(D6311=7,1,(IF(WEEKDAY(B6311)=1,2,IF(WEEKDAY(B6311)=7,1,0))))))</f>
        <v>2</v>
      </c>
      <c r="H6311" s="370">
        <v>11816.000061035156</v>
      </c>
      <c r="I6311" s="370">
        <v>3074.6299285888672</v>
      </c>
      <c r="M6311" s="371">
        <f t="shared" si="393"/>
        <v>12209.472004970452</v>
      </c>
      <c r="N6311" s="329">
        <f t="shared" si="394"/>
        <v>0</v>
      </c>
      <c r="T6311" s="331">
        <v>0</v>
      </c>
      <c r="U6311" s="328">
        <f>VLOOKUP(C6311,METADATA!$J$5:$Q$29,IF(E6311="HI",2,IF(E6311="LO",6,10))+IF(T6311=1,2,IF(D6311=7,1,(IF(WEEKDAY(B6311)=1,2,IF(WEEKDAY(B6311)=7,1,0))))))</f>
        <v>2</v>
      </c>
      <c r="V6311" s="328">
        <f>VLOOKUP(C6311,METADATA!$A$5:$H$29,IF(E6311="HI",2,IF(E6311="LO",6,10))+IF(T6311=1,2,IF(D6311=7,1,(IF(WEEKDAY(B6311)=1,2,IF(WEEKDAY(B6311)=7,1,0))))))</f>
        <v>2</v>
      </c>
    </row>
    <row r="6312" spans="2:22">
      <c r="B6312" s="318">
        <f t="shared" si="395"/>
        <v>46375</v>
      </c>
      <c r="C6312" s="312">
        <v>20</v>
      </c>
      <c r="D6312" s="368">
        <f>IFERROR((INDEX(METADATA!$T$2:$T$20,MATCH(B6312,METADATA!$S$2:$S$20,0))),0)</f>
        <v>0</v>
      </c>
      <c r="E6312" s="312" t="str">
        <f t="shared" si="392"/>
        <v>LO</v>
      </c>
      <c r="F6312" s="369">
        <f>VLOOKUP(C6312,METADATA!$A$5:$H$29,IF(E6312="HI",2,IF(E6312="LO",6,10))+IF(D6312=1,2,IF(D6312=7,1,(IF(WEEKDAY(B6312)=1,2,IF(WEEKDAY(B6312)=7,1,0))))))</f>
        <v>3</v>
      </c>
      <c r="G6312" s="369">
        <f>VLOOKUP(C6312,METADATA!$J$5:$Q$29,IF(E6312="HI",2,IF(E6312="LO",6,10))+IF(D6312=1,2,IF(D6312=7,1,(IF(WEEKDAY(B6312)=1,2,IF(WEEKDAY(B6312)=7,1,0))))))</f>
        <v>3</v>
      </c>
      <c r="H6312" s="370">
        <v>11732.075073242188</v>
      </c>
      <c r="I6312" s="370">
        <v>2980.8650054931641</v>
      </c>
      <c r="M6312" s="371">
        <f t="shared" si="393"/>
        <v>12104.839598489707</v>
      </c>
      <c r="N6312" s="329">
        <f t="shared" si="394"/>
        <v>0</v>
      </c>
      <c r="T6312" s="331">
        <v>0</v>
      </c>
      <c r="U6312" s="328">
        <f>VLOOKUP(C6312,METADATA!$J$5:$Q$29,IF(E6312="HI",2,IF(E6312="LO",6,10))+IF(T6312=1,2,IF(D6312=7,1,(IF(WEEKDAY(B6312)=1,2,IF(WEEKDAY(B6312)=7,1,0))))))</f>
        <v>3</v>
      </c>
      <c r="V6312" s="328">
        <f>VLOOKUP(C6312,METADATA!$A$5:$H$29,IF(E6312="HI",2,IF(E6312="LO",6,10))+IF(T6312=1,2,IF(D6312=7,1,(IF(WEEKDAY(B6312)=1,2,IF(WEEKDAY(B6312)=7,1,0))))))</f>
        <v>3</v>
      </c>
    </row>
    <row r="6313" spans="2:22">
      <c r="B6313" s="318">
        <f t="shared" si="395"/>
        <v>46375</v>
      </c>
      <c r="C6313" s="312">
        <v>21</v>
      </c>
      <c r="D6313" s="368">
        <f>IFERROR((INDEX(METADATA!$T$2:$T$20,MATCH(B6313,METADATA!$S$2:$S$20,0))),0)</f>
        <v>0</v>
      </c>
      <c r="E6313" s="312" t="str">
        <f t="shared" si="392"/>
        <v>LO</v>
      </c>
      <c r="F6313" s="369">
        <f>VLOOKUP(C6313,METADATA!$A$5:$H$29,IF(E6313="HI",2,IF(E6313="LO",6,10))+IF(D6313=1,2,IF(D6313=7,1,(IF(WEEKDAY(B6313)=1,2,IF(WEEKDAY(B6313)=7,1,0))))))</f>
        <v>3</v>
      </c>
      <c r="G6313" s="369">
        <f>VLOOKUP(C6313,METADATA!$J$5:$Q$29,IF(E6313="HI",2,IF(E6313="LO",6,10))+IF(D6313=1,2,IF(D6313=7,1,(IF(WEEKDAY(B6313)=1,2,IF(WEEKDAY(B6313)=7,1,0))))))</f>
        <v>3</v>
      </c>
      <c r="H6313" s="370">
        <v>11578.27490234375</v>
      </c>
      <c r="I6313" s="370">
        <v>2917.9650726318359</v>
      </c>
      <c r="M6313" s="371">
        <f t="shared" si="393"/>
        <v>11940.308617424531</v>
      </c>
      <c r="N6313" s="329">
        <f t="shared" si="394"/>
        <v>0</v>
      </c>
      <c r="T6313" s="331">
        <v>0</v>
      </c>
      <c r="U6313" s="328">
        <f>VLOOKUP(C6313,METADATA!$J$5:$Q$29,IF(E6313="HI",2,IF(E6313="LO",6,10))+IF(T6313=1,2,IF(D6313=7,1,(IF(WEEKDAY(B6313)=1,2,IF(WEEKDAY(B6313)=7,1,0))))))</f>
        <v>3</v>
      </c>
      <c r="V6313" s="328">
        <f>VLOOKUP(C6313,METADATA!$A$5:$H$29,IF(E6313="HI",2,IF(E6313="LO",6,10))+IF(T6313=1,2,IF(D6313=7,1,(IF(WEEKDAY(B6313)=1,2,IF(WEEKDAY(B6313)=7,1,0))))))</f>
        <v>3</v>
      </c>
    </row>
    <row r="6314" spans="2:22">
      <c r="B6314" s="318">
        <f t="shared" si="395"/>
        <v>46375</v>
      </c>
      <c r="C6314" s="312">
        <v>22</v>
      </c>
      <c r="D6314" s="368">
        <f>IFERROR((INDEX(METADATA!$T$2:$T$20,MATCH(B6314,METADATA!$S$2:$S$20,0))),0)</f>
        <v>0</v>
      </c>
      <c r="E6314" s="312" t="str">
        <f t="shared" si="392"/>
        <v>LO</v>
      </c>
      <c r="F6314" s="369">
        <f>VLOOKUP(C6314,METADATA!$A$5:$H$29,IF(E6314="HI",2,IF(E6314="LO",6,10))+IF(D6314=1,2,IF(D6314=7,1,(IF(WEEKDAY(B6314)=1,2,IF(WEEKDAY(B6314)=7,1,0))))))</f>
        <v>3</v>
      </c>
      <c r="G6314" s="369">
        <f>VLOOKUP(C6314,METADATA!$J$5:$Q$29,IF(E6314="HI",2,IF(E6314="LO",6,10))+IF(D6314=1,2,IF(D6314=7,1,(IF(WEEKDAY(B6314)=1,2,IF(WEEKDAY(B6314)=7,1,0))))))</f>
        <v>3</v>
      </c>
      <c r="H6314" s="370">
        <v>12517.874633789063</v>
      </c>
      <c r="I6314" s="370">
        <v>3828.1249389648438</v>
      </c>
      <c r="M6314" s="371">
        <f t="shared" si="393"/>
        <v>13090.138497952732</v>
      </c>
      <c r="N6314" s="329">
        <f t="shared" si="394"/>
        <v>72.762548828125091</v>
      </c>
      <c r="T6314" s="331">
        <v>0</v>
      </c>
      <c r="U6314" s="328">
        <f>VLOOKUP(C6314,METADATA!$J$5:$Q$29,IF(E6314="HI",2,IF(E6314="LO",6,10))+IF(T6314=1,2,IF(D6314=7,1,(IF(WEEKDAY(B6314)=1,2,IF(WEEKDAY(B6314)=7,1,0))))))</f>
        <v>3</v>
      </c>
      <c r="V6314" s="328">
        <f>VLOOKUP(C6314,METADATA!$A$5:$H$29,IF(E6314="HI",2,IF(E6314="LO",6,10))+IF(T6314=1,2,IF(D6314=7,1,(IF(WEEKDAY(B6314)=1,2,IF(WEEKDAY(B6314)=7,1,0))))))</f>
        <v>3</v>
      </c>
    </row>
    <row r="6315" spans="2:22">
      <c r="B6315" s="318">
        <f t="shared" si="395"/>
        <v>46375</v>
      </c>
      <c r="C6315" s="312">
        <v>23</v>
      </c>
      <c r="D6315" s="368">
        <f>IFERROR((INDEX(METADATA!$T$2:$T$20,MATCH(B6315,METADATA!$S$2:$S$20,0))),0)</f>
        <v>0</v>
      </c>
      <c r="E6315" s="312" t="str">
        <f t="shared" si="392"/>
        <v>LO</v>
      </c>
      <c r="F6315" s="369">
        <f>VLOOKUP(C6315,METADATA!$A$5:$H$29,IF(E6315="HI",2,IF(E6315="LO",6,10))+IF(D6315=1,2,IF(D6315=7,1,(IF(WEEKDAY(B6315)=1,2,IF(WEEKDAY(B6315)=7,1,0))))))</f>
        <v>3</v>
      </c>
      <c r="G6315" s="369">
        <f>VLOOKUP(C6315,METADATA!$J$5:$Q$29,IF(E6315="HI",2,IF(E6315="LO",6,10))+IF(D6315=1,2,IF(D6315=7,1,(IF(WEEKDAY(B6315)=1,2,IF(WEEKDAY(B6315)=7,1,0))))))</f>
        <v>3</v>
      </c>
      <c r="H6315" s="370">
        <v>12674.049743652344</v>
      </c>
      <c r="I6315" s="370">
        <v>3793.429931640625</v>
      </c>
      <c r="M6315" s="371">
        <f t="shared" si="393"/>
        <v>13229.574730536164</v>
      </c>
      <c r="N6315" s="329">
        <f t="shared" si="394"/>
        <v>0</v>
      </c>
      <c r="T6315" s="331">
        <v>0</v>
      </c>
      <c r="U6315" s="328">
        <f>VLOOKUP(C6315,METADATA!$J$5:$Q$29,IF(E6315="HI",2,IF(E6315="LO",6,10))+IF(T6315=1,2,IF(D6315=7,1,(IF(WEEKDAY(B6315)=1,2,IF(WEEKDAY(B6315)=7,1,0))))))</f>
        <v>3</v>
      </c>
      <c r="V6315" s="328">
        <f>VLOOKUP(C6315,METADATA!$A$5:$H$29,IF(E6315="HI",2,IF(E6315="LO",6,10))+IF(T6315=1,2,IF(D6315=7,1,(IF(WEEKDAY(B6315)=1,2,IF(WEEKDAY(B6315)=7,1,0))))))</f>
        <v>3</v>
      </c>
    </row>
    <row r="6316" spans="2:22">
      <c r="B6316" s="318">
        <f t="shared" si="395"/>
        <v>46376</v>
      </c>
      <c r="C6316" s="312">
        <v>0</v>
      </c>
      <c r="D6316" s="368">
        <f>IFERROR((INDEX(METADATA!$T$2:$T$20,MATCH(B6316,METADATA!$S$2:$S$20,0))),0)</f>
        <v>0</v>
      </c>
      <c r="E6316" s="312" t="str">
        <f t="shared" si="392"/>
        <v>LO</v>
      </c>
      <c r="F6316" s="369">
        <f>VLOOKUP(C6316,METADATA!$A$5:$H$29,IF(E6316="HI",2,IF(E6316="LO",6,10))+IF(D6316=1,2,IF(D6316=7,1,(IF(WEEKDAY(B6316)=1,2,IF(WEEKDAY(B6316)=7,1,0))))))</f>
        <v>3</v>
      </c>
      <c r="G6316" s="369">
        <f>VLOOKUP(C6316,METADATA!$J$5:$Q$29,IF(E6316="HI",2,IF(E6316="LO",6,10))+IF(D6316=1,2,IF(D6316=7,1,(IF(WEEKDAY(B6316)=1,2,IF(WEEKDAY(B6316)=7,1,0))))))</f>
        <v>3</v>
      </c>
      <c r="H6316" s="370">
        <v>12565.5751953125</v>
      </c>
      <c r="I6316" s="370">
        <v>3707.4101257324219</v>
      </c>
      <c r="M6316" s="371">
        <f t="shared" si="393"/>
        <v>13101.090406124067</v>
      </c>
      <c r="N6316" s="329">
        <f t="shared" si="394"/>
        <v>0</v>
      </c>
      <c r="T6316" s="331">
        <v>0</v>
      </c>
      <c r="U6316" s="328">
        <f>VLOOKUP(C6316,METADATA!$J$5:$Q$29,IF(E6316="HI",2,IF(E6316="LO",6,10))+IF(T6316=1,2,IF(D6316=7,1,(IF(WEEKDAY(B6316)=1,2,IF(WEEKDAY(B6316)=7,1,0))))))</f>
        <v>3</v>
      </c>
      <c r="V6316" s="328">
        <f>VLOOKUP(C6316,METADATA!$A$5:$H$29,IF(E6316="HI",2,IF(E6316="LO",6,10))+IF(T6316=1,2,IF(D6316=7,1,(IF(WEEKDAY(B6316)=1,2,IF(WEEKDAY(B6316)=7,1,0))))))</f>
        <v>3</v>
      </c>
    </row>
    <row r="6317" spans="2:22">
      <c r="B6317" s="318">
        <f t="shared" si="395"/>
        <v>46376</v>
      </c>
      <c r="C6317" s="312">
        <v>1</v>
      </c>
      <c r="D6317" s="368">
        <f>IFERROR((INDEX(METADATA!$T$2:$T$20,MATCH(B6317,METADATA!$S$2:$S$20,0))),0)</f>
        <v>0</v>
      </c>
      <c r="E6317" s="312" t="str">
        <f t="shared" si="392"/>
        <v>LO</v>
      </c>
      <c r="F6317" s="369">
        <f>VLOOKUP(C6317,METADATA!$A$5:$H$29,IF(E6317="HI",2,IF(E6317="LO",6,10))+IF(D6317=1,2,IF(D6317=7,1,(IF(WEEKDAY(B6317)=1,2,IF(WEEKDAY(B6317)=7,1,0))))))</f>
        <v>3</v>
      </c>
      <c r="G6317" s="369">
        <f>VLOOKUP(C6317,METADATA!$J$5:$Q$29,IF(E6317="HI",2,IF(E6317="LO",6,10))+IF(D6317=1,2,IF(D6317=7,1,(IF(WEEKDAY(B6317)=1,2,IF(WEEKDAY(B6317)=7,1,0))))))</f>
        <v>3</v>
      </c>
      <c r="H6317" s="370">
        <v>12660.375</v>
      </c>
      <c r="I6317" s="370">
        <v>3755.885009765625</v>
      </c>
      <c r="M6317" s="371">
        <f t="shared" si="393"/>
        <v>13205.747511867972</v>
      </c>
      <c r="N6317" s="329">
        <f t="shared" si="394"/>
        <v>0</v>
      </c>
      <c r="T6317" s="331">
        <v>0</v>
      </c>
      <c r="U6317" s="328">
        <f>VLOOKUP(C6317,METADATA!$J$5:$Q$29,IF(E6317="HI",2,IF(E6317="LO",6,10))+IF(T6317=1,2,IF(D6317=7,1,(IF(WEEKDAY(B6317)=1,2,IF(WEEKDAY(B6317)=7,1,0))))))</f>
        <v>3</v>
      </c>
      <c r="V6317" s="328">
        <f>VLOOKUP(C6317,METADATA!$A$5:$H$29,IF(E6317="HI",2,IF(E6317="LO",6,10))+IF(T6317=1,2,IF(D6317=7,1,(IF(WEEKDAY(B6317)=1,2,IF(WEEKDAY(B6317)=7,1,0))))))</f>
        <v>3</v>
      </c>
    </row>
    <row r="6318" spans="2:22">
      <c r="B6318" s="318">
        <f t="shared" si="395"/>
        <v>46376</v>
      </c>
      <c r="C6318" s="312">
        <v>2</v>
      </c>
      <c r="D6318" s="368">
        <f>IFERROR((INDEX(METADATA!$T$2:$T$20,MATCH(B6318,METADATA!$S$2:$S$20,0))),0)</f>
        <v>0</v>
      </c>
      <c r="E6318" s="312" t="str">
        <f t="shared" si="392"/>
        <v>LO</v>
      </c>
      <c r="F6318" s="369">
        <f>VLOOKUP(C6318,METADATA!$A$5:$H$29,IF(E6318="HI",2,IF(E6318="LO",6,10))+IF(D6318=1,2,IF(D6318=7,1,(IF(WEEKDAY(B6318)=1,2,IF(WEEKDAY(B6318)=7,1,0))))))</f>
        <v>3</v>
      </c>
      <c r="G6318" s="369">
        <f>VLOOKUP(C6318,METADATA!$J$5:$Q$29,IF(E6318="HI",2,IF(E6318="LO",6,10))+IF(D6318=1,2,IF(D6318=7,1,(IF(WEEKDAY(B6318)=1,2,IF(WEEKDAY(B6318)=7,1,0))))))</f>
        <v>3</v>
      </c>
      <c r="H6318" s="370">
        <v>12615.299682617188</v>
      </c>
      <c r="I6318" s="370">
        <v>3784.7099914550781</v>
      </c>
      <c r="M6318" s="371">
        <f t="shared" si="393"/>
        <v>13170.79404598148</v>
      </c>
      <c r="N6318" s="329">
        <f t="shared" si="394"/>
        <v>0.120086669921875</v>
      </c>
      <c r="T6318" s="331">
        <v>0</v>
      </c>
      <c r="U6318" s="328">
        <f>VLOOKUP(C6318,METADATA!$J$5:$Q$29,IF(E6318="HI",2,IF(E6318="LO",6,10))+IF(T6318=1,2,IF(D6318=7,1,(IF(WEEKDAY(B6318)=1,2,IF(WEEKDAY(B6318)=7,1,0))))))</f>
        <v>3</v>
      </c>
      <c r="V6318" s="328">
        <f>VLOOKUP(C6318,METADATA!$A$5:$H$29,IF(E6318="HI",2,IF(E6318="LO",6,10))+IF(T6318=1,2,IF(D6318=7,1,(IF(WEEKDAY(B6318)=1,2,IF(WEEKDAY(B6318)=7,1,0))))))</f>
        <v>3</v>
      </c>
    </row>
    <row r="6319" spans="2:22">
      <c r="B6319" s="318">
        <f t="shared" si="395"/>
        <v>46376</v>
      </c>
      <c r="C6319" s="312">
        <v>3</v>
      </c>
      <c r="D6319" s="368">
        <f>IFERROR((INDEX(METADATA!$T$2:$T$20,MATCH(B6319,METADATA!$S$2:$S$20,0))),0)</f>
        <v>0</v>
      </c>
      <c r="E6319" s="312" t="str">
        <f t="shared" si="392"/>
        <v>LO</v>
      </c>
      <c r="F6319" s="369">
        <f>VLOOKUP(C6319,METADATA!$A$5:$H$29,IF(E6319="HI",2,IF(E6319="LO",6,10))+IF(D6319=1,2,IF(D6319=7,1,(IF(WEEKDAY(B6319)=1,2,IF(WEEKDAY(B6319)=7,1,0))))))</f>
        <v>3</v>
      </c>
      <c r="G6319" s="369">
        <f>VLOOKUP(C6319,METADATA!$J$5:$Q$29,IF(E6319="HI",2,IF(E6319="LO",6,10))+IF(D6319=1,2,IF(D6319=7,1,(IF(WEEKDAY(B6319)=1,2,IF(WEEKDAY(B6319)=7,1,0))))))</f>
        <v>3</v>
      </c>
      <c r="H6319" s="370">
        <v>12687.774780273438</v>
      </c>
      <c r="I6319" s="370">
        <v>3752.8800048828125</v>
      </c>
      <c r="M6319" s="371">
        <f t="shared" si="393"/>
        <v>13231.16537595959</v>
      </c>
      <c r="N6319" s="329">
        <f t="shared" si="394"/>
        <v>0</v>
      </c>
      <c r="T6319" s="331">
        <v>0</v>
      </c>
      <c r="U6319" s="328">
        <f>VLOOKUP(C6319,METADATA!$J$5:$Q$29,IF(E6319="HI",2,IF(E6319="LO",6,10))+IF(T6319=1,2,IF(D6319=7,1,(IF(WEEKDAY(B6319)=1,2,IF(WEEKDAY(B6319)=7,1,0))))))</f>
        <v>3</v>
      </c>
      <c r="V6319" s="328">
        <f>VLOOKUP(C6319,METADATA!$A$5:$H$29,IF(E6319="HI",2,IF(E6319="LO",6,10))+IF(T6319=1,2,IF(D6319=7,1,(IF(WEEKDAY(B6319)=1,2,IF(WEEKDAY(B6319)=7,1,0))))))</f>
        <v>3</v>
      </c>
    </row>
    <row r="6320" spans="2:22">
      <c r="B6320" s="318">
        <f t="shared" si="395"/>
        <v>46376</v>
      </c>
      <c r="C6320" s="312">
        <v>4</v>
      </c>
      <c r="D6320" s="368">
        <f>IFERROR((INDEX(METADATA!$T$2:$T$20,MATCH(B6320,METADATA!$S$2:$S$20,0))),0)</f>
        <v>0</v>
      </c>
      <c r="E6320" s="312" t="str">
        <f t="shared" si="392"/>
        <v>LO</v>
      </c>
      <c r="F6320" s="369">
        <f>VLOOKUP(C6320,METADATA!$A$5:$H$29,IF(E6320="HI",2,IF(E6320="LO",6,10))+IF(D6320=1,2,IF(D6320=7,1,(IF(WEEKDAY(B6320)=1,2,IF(WEEKDAY(B6320)=7,1,0))))))</f>
        <v>3</v>
      </c>
      <c r="G6320" s="369">
        <f>VLOOKUP(C6320,METADATA!$J$5:$Q$29,IF(E6320="HI",2,IF(E6320="LO",6,10))+IF(D6320=1,2,IF(D6320=7,1,(IF(WEEKDAY(B6320)=1,2,IF(WEEKDAY(B6320)=7,1,0))))))</f>
        <v>3</v>
      </c>
      <c r="H6320" s="370">
        <v>12645.675048828125</v>
      </c>
      <c r="I6320" s="370">
        <v>3784.6200866699219</v>
      </c>
      <c r="M6320" s="371">
        <f t="shared" si="393"/>
        <v>13199.86540238118</v>
      </c>
      <c r="N6320" s="329">
        <f t="shared" si="394"/>
        <v>0</v>
      </c>
      <c r="T6320" s="331">
        <v>0</v>
      </c>
      <c r="U6320" s="328">
        <f>VLOOKUP(C6320,METADATA!$J$5:$Q$29,IF(E6320="HI",2,IF(E6320="LO",6,10))+IF(T6320=1,2,IF(D6320=7,1,(IF(WEEKDAY(B6320)=1,2,IF(WEEKDAY(B6320)=7,1,0))))))</f>
        <v>3</v>
      </c>
      <c r="V6320" s="328">
        <f>VLOOKUP(C6320,METADATA!$A$5:$H$29,IF(E6320="HI",2,IF(E6320="LO",6,10))+IF(T6320=1,2,IF(D6320=7,1,(IF(WEEKDAY(B6320)=1,2,IF(WEEKDAY(B6320)=7,1,0))))))</f>
        <v>3</v>
      </c>
    </row>
    <row r="6321" spans="2:22">
      <c r="B6321" s="318">
        <f t="shared" si="395"/>
        <v>46376</v>
      </c>
      <c r="C6321" s="312">
        <v>5</v>
      </c>
      <c r="D6321" s="368">
        <f>IFERROR((INDEX(METADATA!$T$2:$T$20,MATCH(B6321,METADATA!$S$2:$S$20,0))),0)</f>
        <v>0</v>
      </c>
      <c r="E6321" s="312" t="str">
        <f t="shared" si="392"/>
        <v>LO</v>
      </c>
      <c r="F6321" s="369">
        <f>VLOOKUP(C6321,METADATA!$A$5:$H$29,IF(E6321="HI",2,IF(E6321="LO",6,10))+IF(D6321=1,2,IF(D6321=7,1,(IF(WEEKDAY(B6321)=1,2,IF(WEEKDAY(B6321)=7,1,0))))))</f>
        <v>3</v>
      </c>
      <c r="G6321" s="369">
        <f>VLOOKUP(C6321,METADATA!$J$5:$Q$29,IF(E6321="HI",2,IF(E6321="LO",6,10))+IF(D6321=1,2,IF(D6321=7,1,(IF(WEEKDAY(B6321)=1,2,IF(WEEKDAY(B6321)=7,1,0))))))</f>
        <v>3</v>
      </c>
      <c r="H6321" s="370">
        <v>12582.900329589844</v>
      </c>
      <c r="I6321" s="370">
        <v>3662.5600891113281</v>
      </c>
      <c r="M6321" s="371">
        <f t="shared" si="393"/>
        <v>13105.103094243226</v>
      </c>
      <c r="N6321" s="329">
        <f t="shared" si="394"/>
        <v>0</v>
      </c>
      <c r="T6321" s="331">
        <v>0</v>
      </c>
      <c r="U6321" s="328">
        <f>VLOOKUP(C6321,METADATA!$J$5:$Q$29,IF(E6321="HI",2,IF(E6321="LO",6,10))+IF(T6321=1,2,IF(D6321=7,1,(IF(WEEKDAY(B6321)=1,2,IF(WEEKDAY(B6321)=7,1,0))))))</f>
        <v>3</v>
      </c>
      <c r="V6321" s="328">
        <f>VLOOKUP(C6321,METADATA!$A$5:$H$29,IF(E6321="HI",2,IF(E6321="LO",6,10))+IF(T6321=1,2,IF(D6321=7,1,(IF(WEEKDAY(B6321)=1,2,IF(WEEKDAY(B6321)=7,1,0))))))</f>
        <v>3</v>
      </c>
    </row>
    <row r="6322" spans="2:22">
      <c r="B6322" s="318">
        <f t="shared" si="395"/>
        <v>46376</v>
      </c>
      <c r="C6322" s="312">
        <v>6</v>
      </c>
      <c r="D6322" s="368">
        <f>IFERROR((INDEX(METADATA!$T$2:$T$20,MATCH(B6322,METADATA!$S$2:$S$20,0))),0)</f>
        <v>0</v>
      </c>
      <c r="E6322" s="312" t="str">
        <f t="shared" si="392"/>
        <v>LO</v>
      </c>
      <c r="F6322" s="369">
        <f>VLOOKUP(C6322,METADATA!$A$5:$H$29,IF(E6322="HI",2,IF(E6322="LO",6,10))+IF(D6322=1,2,IF(D6322=7,1,(IF(WEEKDAY(B6322)=1,2,IF(WEEKDAY(B6322)=7,1,0))))))</f>
        <v>3</v>
      </c>
      <c r="G6322" s="369">
        <f>VLOOKUP(C6322,METADATA!$J$5:$Q$29,IF(E6322="HI",2,IF(E6322="LO",6,10))+IF(D6322=1,2,IF(D6322=7,1,(IF(WEEKDAY(B6322)=1,2,IF(WEEKDAY(B6322)=7,1,0))))))</f>
        <v>3</v>
      </c>
      <c r="H6322" s="370">
        <v>12425.099914550781</v>
      </c>
      <c r="I6322" s="370">
        <v>3670.9900512695313</v>
      </c>
      <c r="M6322" s="371">
        <f t="shared" si="393"/>
        <v>12956.05170733313</v>
      </c>
      <c r="N6322" s="329">
        <f t="shared" si="394"/>
        <v>0</v>
      </c>
      <c r="T6322" s="331">
        <v>0</v>
      </c>
      <c r="U6322" s="328">
        <f>VLOOKUP(C6322,METADATA!$J$5:$Q$29,IF(E6322="HI",2,IF(E6322="LO",6,10))+IF(T6322=1,2,IF(D6322=7,1,(IF(WEEKDAY(B6322)=1,2,IF(WEEKDAY(B6322)=7,1,0))))))</f>
        <v>3</v>
      </c>
      <c r="V6322" s="328">
        <f>VLOOKUP(C6322,METADATA!$A$5:$H$29,IF(E6322="HI",2,IF(E6322="LO",6,10))+IF(T6322=1,2,IF(D6322=7,1,(IF(WEEKDAY(B6322)=1,2,IF(WEEKDAY(B6322)=7,1,0))))))</f>
        <v>3</v>
      </c>
    </row>
    <row r="6323" spans="2:22">
      <c r="B6323" s="318">
        <f t="shared" si="395"/>
        <v>46376</v>
      </c>
      <c r="C6323" s="312">
        <v>7</v>
      </c>
      <c r="D6323" s="368">
        <f>IFERROR((INDEX(METADATA!$T$2:$T$20,MATCH(B6323,METADATA!$S$2:$S$20,0))),0)</f>
        <v>0</v>
      </c>
      <c r="E6323" s="312" t="str">
        <f t="shared" si="392"/>
        <v>LO</v>
      </c>
      <c r="F6323" s="369">
        <f>VLOOKUP(C6323,METADATA!$A$5:$H$29,IF(E6323="HI",2,IF(E6323="LO",6,10))+IF(D6323=1,2,IF(D6323=7,1,(IF(WEEKDAY(B6323)=1,2,IF(WEEKDAY(B6323)=7,1,0))))))</f>
        <v>3</v>
      </c>
      <c r="G6323" s="369">
        <f>VLOOKUP(C6323,METADATA!$J$5:$Q$29,IF(E6323="HI",2,IF(E6323="LO",6,10))+IF(D6323=1,2,IF(D6323=7,1,(IF(WEEKDAY(B6323)=1,2,IF(WEEKDAY(B6323)=7,1,0))))))</f>
        <v>3</v>
      </c>
      <c r="H6323" s="370">
        <v>12082.350158691406</v>
      </c>
      <c r="I6323" s="370">
        <v>3287.7550354003906</v>
      </c>
      <c r="M6323" s="371">
        <f t="shared" si="393"/>
        <v>12521.681936945646</v>
      </c>
      <c r="N6323" s="329">
        <f t="shared" si="394"/>
        <v>0</v>
      </c>
      <c r="T6323" s="331">
        <v>0</v>
      </c>
      <c r="U6323" s="328">
        <f>VLOOKUP(C6323,METADATA!$J$5:$Q$29,IF(E6323="HI",2,IF(E6323="LO",6,10))+IF(T6323=1,2,IF(D6323=7,1,(IF(WEEKDAY(B6323)=1,2,IF(WEEKDAY(B6323)=7,1,0))))))</f>
        <v>3</v>
      </c>
      <c r="V6323" s="328">
        <f>VLOOKUP(C6323,METADATA!$A$5:$H$29,IF(E6323="HI",2,IF(E6323="LO",6,10))+IF(T6323=1,2,IF(D6323=7,1,(IF(WEEKDAY(B6323)=1,2,IF(WEEKDAY(B6323)=7,1,0))))))</f>
        <v>3</v>
      </c>
    </row>
    <row r="6324" spans="2:22">
      <c r="B6324" s="318">
        <f t="shared" si="395"/>
        <v>46376</v>
      </c>
      <c r="C6324" s="312">
        <v>8</v>
      </c>
      <c r="D6324" s="368">
        <f>IFERROR((INDEX(METADATA!$T$2:$T$20,MATCH(B6324,METADATA!$S$2:$S$20,0))),0)</f>
        <v>0</v>
      </c>
      <c r="E6324" s="312" t="str">
        <f t="shared" si="392"/>
        <v>LO</v>
      </c>
      <c r="F6324" s="369">
        <f>VLOOKUP(C6324,METADATA!$A$5:$H$29,IF(E6324="HI",2,IF(E6324="LO",6,10))+IF(D6324=1,2,IF(D6324=7,1,(IF(WEEKDAY(B6324)=1,2,IF(WEEKDAY(B6324)=7,1,0))))))</f>
        <v>3</v>
      </c>
      <c r="G6324" s="369">
        <f>VLOOKUP(C6324,METADATA!$J$5:$Q$29,IF(E6324="HI",2,IF(E6324="LO",6,10))+IF(D6324=1,2,IF(D6324=7,1,(IF(WEEKDAY(B6324)=1,2,IF(WEEKDAY(B6324)=7,1,0))))))</f>
        <v>3</v>
      </c>
      <c r="H6324" s="370">
        <v>12471.575012207031</v>
      </c>
      <c r="I6324" s="370">
        <v>3529.9350433349609</v>
      </c>
      <c r="M6324" s="371">
        <f t="shared" si="393"/>
        <v>12961.505494936575</v>
      </c>
      <c r="N6324" s="329">
        <f t="shared" si="394"/>
        <v>0</v>
      </c>
      <c r="T6324" s="331">
        <v>0</v>
      </c>
      <c r="U6324" s="328">
        <f>VLOOKUP(C6324,METADATA!$J$5:$Q$29,IF(E6324="HI",2,IF(E6324="LO",6,10))+IF(T6324=1,2,IF(D6324=7,1,(IF(WEEKDAY(B6324)=1,2,IF(WEEKDAY(B6324)=7,1,0))))))</f>
        <v>3</v>
      </c>
      <c r="V6324" s="328">
        <f>VLOOKUP(C6324,METADATA!$A$5:$H$29,IF(E6324="HI",2,IF(E6324="LO",6,10))+IF(T6324=1,2,IF(D6324=7,1,(IF(WEEKDAY(B6324)=1,2,IF(WEEKDAY(B6324)=7,1,0))))))</f>
        <v>3</v>
      </c>
    </row>
    <row r="6325" spans="2:22">
      <c r="B6325" s="318">
        <f t="shared" si="395"/>
        <v>46376</v>
      </c>
      <c r="C6325" s="312">
        <v>9</v>
      </c>
      <c r="D6325" s="368">
        <f>IFERROR((INDEX(METADATA!$T$2:$T$20,MATCH(B6325,METADATA!$S$2:$S$20,0))),0)</f>
        <v>0</v>
      </c>
      <c r="E6325" s="312" t="str">
        <f t="shared" si="392"/>
        <v>LO</v>
      </c>
      <c r="F6325" s="369">
        <f>VLOOKUP(C6325,METADATA!$A$5:$H$29,IF(E6325="HI",2,IF(E6325="LO",6,10))+IF(D6325=1,2,IF(D6325=7,1,(IF(WEEKDAY(B6325)=1,2,IF(WEEKDAY(B6325)=7,1,0))))))</f>
        <v>3</v>
      </c>
      <c r="G6325" s="369">
        <f>VLOOKUP(C6325,METADATA!$J$5:$Q$29,IF(E6325="HI",2,IF(E6325="LO",6,10))+IF(D6325=1,2,IF(D6325=7,1,(IF(WEEKDAY(B6325)=1,2,IF(WEEKDAY(B6325)=7,1,0))))))</f>
        <v>3</v>
      </c>
      <c r="H6325" s="370">
        <v>12791.900207519531</v>
      </c>
      <c r="I6325" s="370">
        <v>3681.6699523925781</v>
      </c>
      <c r="M6325" s="371">
        <f t="shared" si="393"/>
        <v>13311.175926922782</v>
      </c>
      <c r="N6325" s="329">
        <f t="shared" si="394"/>
        <v>0</v>
      </c>
      <c r="T6325" s="331">
        <v>0</v>
      </c>
      <c r="U6325" s="328">
        <f>VLOOKUP(C6325,METADATA!$J$5:$Q$29,IF(E6325="HI",2,IF(E6325="LO",6,10))+IF(T6325=1,2,IF(D6325=7,1,(IF(WEEKDAY(B6325)=1,2,IF(WEEKDAY(B6325)=7,1,0))))))</f>
        <v>3</v>
      </c>
      <c r="V6325" s="328">
        <f>VLOOKUP(C6325,METADATA!$A$5:$H$29,IF(E6325="HI",2,IF(E6325="LO",6,10))+IF(T6325=1,2,IF(D6325=7,1,(IF(WEEKDAY(B6325)=1,2,IF(WEEKDAY(B6325)=7,1,0))))))</f>
        <v>3</v>
      </c>
    </row>
    <row r="6326" spans="2:22">
      <c r="B6326" s="318">
        <f t="shared" si="395"/>
        <v>46376</v>
      </c>
      <c r="C6326" s="312">
        <v>10</v>
      </c>
      <c r="D6326" s="368">
        <f>IFERROR((INDEX(METADATA!$T$2:$T$20,MATCH(B6326,METADATA!$S$2:$S$20,0))),0)</f>
        <v>0</v>
      </c>
      <c r="E6326" s="312" t="str">
        <f t="shared" si="392"/>
        <v>LO</v>
      </c>
      <c r="F6326" s="369">
        <f>VLOOKUP(C6326,METADATA!$A$5:$H$29,IF(E6326="HI",2,IF(E6326="LO",6,10))+IF(D6326=1,2,IF(D6326=7,1,(IF(WEEKDAY(B6326)=1,2,IF(WEEKDAY(B6326)=7,1,0))))))</f>
        <v>3</v>
      </c>
      <c r="G6326" s="369">
        <f>VLOOKUP(C6326,METADATA!$J$5:$Q$29,IF(E6326="HI",2,IF(E6326="LO",6,10))+IF(D6326=1,2,IF(D6326=7,1,(IF(WEEKDAY(B6326)=1,2,IF(WEEKDAY(B6326)=7,1,0))))))</f>
        <v>3</v>
      </c>
      <c r="H6326" s="370">
        <v>12604.050109863281</v>
      </c>
      <c r="I6326" s="370">
        <v>3667.3599243164063</v>
      </c>
      <c r="M6326" s="371">
        <f t="shared" si="393"/>
        <v>13126.751615934028</v>
      </c>
      <c r="N6326" s="329">
        <f t="shared" si="394"/>
        <v>0</v>
      </c>
      <c r="T6326" s="331">
        <v>0</v>
      </c>
      <c r="U6326" s="328">
        <f>VLOOKUP(C6326,METADATA!$J$5:$Q$29,IF(E6326="HI",2,IF(E6326="LO",6,10))+IF(T6326=1,2,IF(D6326=7,1,(IF(WEEKDAY(B6326)=1,2,IF(WEEKDAY(B6326)=7,1,0))))))</f>
        <v>3</v>
      </c>
      <c r="V6326" s="328">
        <f>VLOOKUP(C6326,METADATA!$A$5:$H$29,IF(E6326="HI",2,IF(E6326="LO",6,10))+IF(T6326=1,2,IF(D6326=7,1,(IF(WEEKDAY(B6326)=1,2,IF(WEEKDAY(B6326)=7,1,0))))))</f>
        <v>3</v>
      </c>
    </row>
    <row r="6327" spans="2:22">
      <c r="B6327" s="318">
        <f t="shared" si="395"/>
        <v>46376</v>
      </c>
      <c r="C6327" s="312">
        <v>11</v>
      </c>
      <c r="D6327" s="368">
        <f>IFERROR((INDEX(METADATA!$T$2:$T$20,MATCH(B6327,METADATA!$S$2:$S$20,0))),0)</f>
        <v>0</v>
      </c>
      <c r="E6327" s="312" t="str">
        <f t="shared" si="392"/>
        <v>LO</v>
      </c>
      <c r="F6327" s="369">
        <f>VLOOKUP(C6327,METADATA!$A$5:$H$29,IF(E6327="HI",2,IF(E6327="LO",6,10))+IF(D6327=1,2,IF(D6327=7,1,(IF(WEEKDAY(B6327)=1,2,IF(WEEKDAY(B6327)=7,1,0))))))</f>
        <v>3</v>
      </c>
      <c r="G6327" s="369">
        <f>VLOOKUP(C6327,METADATA!$J$5:$Q$29,IF(E6327="HI",2,IF(E6327="LO",6,10))+IF(D6327=1,2,IF(D6327=7,1,(IF(WEEKDAY(B6327)=1,2,IF(WEEKDAY(B6327)=7,1,0))))))</f>
        <v>3</v>
      </c>
      <c r="H6327" s="370">
        <v>12541.949584960938</v>
      </c>
      <c r="I6327" s="370">
        <v>3662.9549255371094</v>
      </c>
      <c r="M6327" s="371">
        <f t="shared" si="393"/>
        <v>13065.899822753057</v>
      </c>
      <c r="N6327" s="329">
        <f t="shared" si="394"/>
        <v>0</v>
      </c>
      <c r="T6327" s="331">
        <v>0</v>
      </c>
      <c r="U6327" s="328">
        <f>VLOOKUP(C6327,METADATA!$J$5:$Q$29,IF(E6327="HI",2,IF(E6327="LO",6,10))+IF(T6327=1,2,IF(D6327=7,1,(IF(WEEKDAY(B6327)=1,2,IF(WEEKDAY(B6327)=7,1,0))))))</f>
        <v>3</v>
      </c>
      <c r="V6327" s="328">
        <f>VLOOKUP(C6327,METADATA!$A$5:$H$29,IF(E6327="HI",2,IF(E6327="LO",6,10))+IF(T6327=1,2,IF(D6327=7,1,(IF(WEEKDAY(B6327)=1,2,IF(WEEKDAY(B6327)=7,1,0))))))</f>
        <v>3</v>
      </c>
    </row>
    <row r="6328" spans="2:22">
      <c r="B6328" s="318">
        <f t="shared" si="395"/>
        <v>46376</v>
      </c>
      <c r="C6328" s="312">
        <v>12</v>
      </c>
      <c r="D6328" s="368">
        <f>IFERROR((INDEX(METADATA!$T$2:$T$20,MATCH(B6328,METADATA!$S$2:$S$20,0))),0)</f>
        <v>0</v>
      </c>
      <c r="E6328" s="312" t="str">
        <f t="shared" si="392"/>
        <v>LO</v>
      </c>
      <c r="F6328" s="369">
        <f>VLOOKUP(C6328,METADATA!$A$5:$H$29,IF(E6328="HI",2,IF(E6328="LO",6,10))+IF(D6328=1,2,IF(D6328=7,1,(IF(WEEKDAY(B6328)=1,2,IF(WEEKDAY(B6328)=7,1,0))))))</f>
        <v>3</v>
      </c>
      <c r="G6328" s="369">
        <f>VLOOKUP(C6328,METADATA!$J$5:$Q$29,IF(E6328="HI",2,IF(E6328="LO",6,10))+IF(D6328=1,2,IF(D6328=7,1,(IF(WEEKDAY(B6328)=1,2,IF(WEEKDAY(B6328)=7,1,0))))))</f>
        <v>3</v>
      </c>
      <c r="H6328" s="370">
        <v>12485.649963378906</v>
      </c>
      <c r="I6328" s="370">
        <v>3651.294921875</v>
      </c>
      <c r="M6328" s="371">
        <f t="shared" si="393"/>
        <v>13008.589839584221</v>
      </c>
      <c r="N6328" s="329">
        <f t="shared" si="394"/>
        <v>0</v>
      </c>
      <c r="T6328" s="331">
        <v>0</v>
      </c>
      <c r="U6328" s="328">
        <f>VLOOKUP(C6328,METADATA!$J$5:$Q$29,IF(E6328="HI",2,IF(E6328="LO",6,10))+IF(T6328=1,2,IF(D6328=7,1,(IF(WEEKDAY(B6328)=1,2,IF(WEEKDAY(B6328)=7,1,0))))))</f>
        <v>3</v>
      </c>
      <c r="V6328" s="328">
        <f>VLOOKUP(C6328,METADATA!$A$5:$H$29,IF(E6328="HI",2,IF(E6328="LO",6,10))+IF(T6328=1,2,IF(D6328=7,1,(IF(WEEKDAY(B6328)=1,2,IF(WEEKDAY(B6328)=7,1,0))))))</f>
        <v>3</v>
      </c>
    </row>
    <row r="6329" spans="2:22">
      <c r="B6329" s="318">
        <f t="shared" si="395"/>
        <v>46376</v>
      </c>
      <c r="C6329" s="312">
        <v>13</v>
      </c>
      <c r="D6329" s="368">
        <f>IFERROR((INDEX(METADATA!$T$2:$T$20,MATCH(B6329,METADATA!$S$2:$S$20,0))),0)</f>
        <v>0</v>
      </c>
      <c r="E6329" s="312" t="str">
        <f t="shared" si="392"/>
        <v>LO</v>
      </c>
      <c r="F6329" s="369">
        <f>VLOOKUP(C6329,METADATA!$A$5:$H$29,IF(E6329="HI",2,IF(E6329="LO",6,10))+IF(D6329=1,2,IF(D6329=7,1,(IF(WEEKDAY(B6329)=1,2,IF(WEEKDAY(B6329)=7,1,0))))))</f>
        <v>3</v>
      </c>
      <c r="G6329" s="369">
        <f>VLOOKUP(C6329,METADATA!$J$5:$Q$29,IF(E6329="HI",2,IF(E6329="LO",6,10))+IF(D6329=1,2,IF(D6329=7,1,(IF(WEEKDAY(B6329)=1,2,IF(WEEKDAY(B6329)=7,1,0))))))</f>
        <v>3</v>
      </c>
      <c r="H6329" s="370">
        <v>12648.05029296875</v>
      </c>
      <c r="I6329" s="370">
        <v>3583.0850219726563</v>
      </c>
      <c r="M6329" s="371">
        <f t="shared" si="393"/>
        <v>13145.785426826031</v>
      </c>
      <c r="N6329" s="329">
        <f t="shared" si="394"/>
        <v>0</v>
      </c>
      <c r="T6329" s="331">
        <v>0</v>
      </c>
      <c r="U6329" s="328">
        <f>VLOOKUP(C6329,METADATA!$J$5:$Q$29,IF(E6329="HI",2,IF(E6329="LO",6,10))+IF(T6329=1,2,IF(D6329=7,1,(IF(WEEKDAY(B6329)=1,2,IF(WEEKDAY(B6329)=7,1,0))))))</f>
        <v>3</v>
      </c>
      <c r="V6329" s="328">
        <f>VLOOKUP(C6329,METADATA!$A$5:$H$29,IF(E6329="HI",2,IF(E6329="LO",6,10))+IF(T6329=1,2,IF(D6329=7,1,(IF(WEEKDAY(B6329)=1,2,IF(WEEKDAY(B6329)=7,1,0))))))</f>
        <v>3</v>
      </c>
    </row>
    <row r="6330" spans="2:22">
      <c r="B6330" s="318">
        <f t="shared" si="395"/>
        <v>46376</v>
      </c>
      <c r="C6330" s="312">
        <v>14</v>
      </c>
      <c r="D6330" s="368">
        <f>IFERROR((INDEX(METADATA!$T$2:$T$20,MATCH(B6330,METADATA!$S$2:$S$20,0))),0)</f>
        <v>0</v>
      </c>
      <c r="E6330" s="312" t="str">
        <f t="shared" si="392"/>
        <v>LO</v>
      </c>
      <c r="F6330" s="369">
        <f>VLOOKUP(C6330,METADATA!$A$5:$H$29,IF(E6330="HI",2,IF(E6330="LO",6,10))+IF(D6330=1,2,IF(D6330=7,1,(IF(WEEKDAY(B6330)=1,2,IF(WEEKDAY(B6330)=7,1,0))))))</f>
        <v>3</v>
      </c>
      <c r="G6330" s="369">
        <f>VLOOKUP(C6330,METADATA!$J$5:$Q$29,IF(E6330="HI",2,IF(E6330="LO",6,10))+IF(D6330=1,2,IF(D6330=7,1,(IF(WEEKDAY(B6330)=1,2,IF(WEEKDAY(B6330)=7,1,0))))))</f>
        <v>3</v>
      </c>
      <c r="H6330" s="370">
        <v>12592.499755859375</v>
      </c>
      <c r="I6330" s="370">
        <v>3524.5050048828125</v>
      </c>
      <c r="M6330" s="371">
        <f t="shared" si="393"/>
        <v>13076.436274106274</v>
      </c>
      <c r="N6330" s="329">
        <f t="shared" si="394"/>
        <v>0</v>
      </c>
      <c r="T6330" s="331">
        <v>0</v>
      </c>
      <c r="U6330" s="328">
        <f>VLOOKUP(C6330,METADATA!$J$5:$Q$29,IF(E6330="HI",2,IF(E6330="LO",6,10))+IF(T6330=1,2,IF(D6330=7,1,(IF(WEEKDAY(B6330)=1,2,IF(WEEKDAY(B6330)=7,1,0))))))</f>
        <v>3</v>
      </c>
      <c r="V6330" s="328">
        <f>VLOOKUP(C6330,METADATA!$A$5:$H$29,IF(E6330="HI",2,IF(E6330="LO",6,10))+IF(T6330=1,2,IF(D6330=7,1,(IF(WEEKDAY(B6330)=1,2,IF(WEEKDAY(B6330)=7,1,0))))))</f>
        <v>3</v>
      </c>
    </row>
    <row r="6331" spans="2:22">
      <c r="B6331" s="318">
        <f t="shared" si="395"/>
        <v>46376</v>
      </c>
      <c r="C6331" s="312">
        <v>15</v>
      </c>
      <c r="D6331" s="368">
        <f>IFERROR((INDEX(METADATA!$T$2:$T$20,MATCH(B6331,METADATA!$S$2:$S$20,0))),0)</f>
        <v>0</v>
      </c>
      <c r="E6331" s="312" t="str">
        <f t="shared" si="392"/>
        <v>LO</v>
      </c>
      <c r="F6331" s="369">
        <f>VLOOKUP(C6331,METADATA!$A$5:$H$29,IF(E6331="HI",2,IF(E6331="LO",6,10))+IF(D6331=1,2,IF(D6331=7,1,(IF(WEEKDAY(B6331)=1,2,IF(WEEKDAY(B6331)=7,1,0))))))</f>
        <v>3</v>
      </c>
      <c r="G6331" s="369">
        <f>VLOOKUP(C6331,METADATA!$J$5:$Q$29,IF(E6331="HI",2,IF(E6331="LO",6,10))+IF(D6331=1,2,IF(D6331=7,1,(IF(WEEKDAY(B6331)=1,2,IF(WEEKDAY(B6331)=7,1,0))))))</f>
        <v>3</v>
      </c>
      <c r="H6331" s="370">
        <v>12795</v>
      </c>
      <c r="I6331" s="370">
        <v>3942.3549194335938</v>
      </c>
      <c r="M6331" s="371">
        <f t="shared" si="393"/>
        <v>13388.584216069385</v>
      </c>
      <c r="N6331" s="329">
        <f t="shared" si="394"/>
        <v>103.85491943359375</v>
      </c>
      <c r="T6331" s="331">
        <v>0</v>
      </c>
      <c r="U6331" s="328">
        <f>VLOOKUP(C6331,METADATA!$J$5:$Q$29,IF(E6331="HI",2,IF(E6331="LO",6,10))+IF(T6331=1,2,IF(D6331=7,1,(IF(WEEKDAY(B6331)=1,2,IF(WEEKDAY(B6331)=7,1,0))))))</f>
        <v>3</v>
      </c>
      <c r="V6331" s="328">
        <f>VLOOKUP(C6331,METADATA!$A$5:$H$29,IF(E6331="HI",2,IF(E6331="LO",6,10))+IF(T6331=1,2,IF(D6331=7,1,(IF(WEEKDAY(B6331)=1,2,IF(WEEKDAY(B6331)=7,1,0))))))</f>
        <v>3</v>
      </c>
    </row>
    <row r="6332" spans="2:22">
      <c r="B6332" s="318">
        <f t="shared" si="395"/>
        <v>46376</v>
      </c>
      <c r="C6332" s="312">
        <v>16</v>
      </c>
      <c r="D6332" s="368">
        <f>IFERROR((INDEX(METADATA!$T$2:$T$20,MATCH(B6332,METADATA!$S$2:$S$20,0))),0)</f>
        <v>0</v>
      </c>
      <c r="E6332" s="312" t="str">
        <f t="shared" si="392"/>
        <v>LO</v>
      </c>
      <c r="F6332" s="369">
        <f>VLOOKUP(C6332,METADATA!$A$5:$H$29,IF(E6332="HI",2,IF(E6332="LO",6,10))+IF(D6332=1,2,IF(D6332=7,1,(IF(WEEKDAY(B6332)=1,2,IF(WEEKDAY(B6332)=7,1,0))))))</f>
        <v>3</v>
      </c>
      <c r="G6332" s="369">
        <f>VLOOKUP(C6332,METADATA!$J$5:$Q$29,IF(E6332="HI",2,IF(E6332="LO",6,10))+IF(D6332=1,2,IF(D6332=7,1,(IF(WEEKDAY(B6332)=1,2,IF(WEEKDAY(B6332)=7,1,0))))))</f>
        <v>3</v>
      </c>
      <c r="H6332" s="370">
        <v>12770.074951171875</v>
      </c>
      <c r="I6332" s="370">
        <v>3858.2200012207031</v>
      </c>
      <c r="M6332" s="371">
        <f t="shared" si="393"/>
        <v>13340.190247382787</v>
      </c>
      <c r="N6332" s="329">
        <f t="shared" si="394"/>
        <v>27.197515869140716</v>
      </c>
      <c r="T6332" s="331">
        <v>0</v>
      </c>
      <c r="U6332" s="328">
        <f>VLOOKUP(C6332,METADATA!$J$5:$Q$29,IF(E6332="HI",2,IF(E6332="LO",6,10))+IF(T6332=1,2,IF(D6332=7,1,(IF(WEEKDAY(B6332)=1,2,IF(WEEKDAY(B6332)=7,1,0))))))</f>
        <v>3</v>
      </c>
      <c r="V6332" s="328">
        <f>VLOOKUP(C6332,METADATA!$A$5:$H$29,IF(E6332="HI",2,IF(E6332="LO",6,10))+IF(T6332=1,2,IF(D6332=7,1,(IF(WEEKDAY(B6332)=1,2,IF(WEEKDAY(B6332)=7,1,0))))))</f>
        <v>3</v>
      </c>
    </row>
    <row r="6333" spans="2:22">
      <c r="B6333" s="318">
        <f t="shared" si="395"/>
        <v>46376</v>
      </c>
      <c r="C6333" s="312">
        <v>17</v>
      </c>
      <c r="D6333" s="368">
        <f>IFERROR((INDEX(METADATA!$T$2:$T$20,MATCH(B6333,METADATA!$S$2:$S$20,0))),0)</f>
        <v>0</v>
      </c>
      <c r="E6333" s="312" t="str">
        <f t="shared" si="392"/>
        <v>LO</v>
      </c>
      <c r="F6333" s="369">
        <f>VLOOKUP(C6333,METADATA!$A$5:$H$29,IF(E6333="HI",2,IF(E6333="LO",6,10))+IF(D6333=1,2,IF(D6333=7,1,(IF(WEEKDAY(B6333)=1,2,IF(WEEKDAY(B6333)=7,1,0))))))</f>
        <v>3</v>
      </c>
      <c r="G6333" s="369">
        <f>VLOOKUP(C6333,METADATA!$J$5:$Q$29,IF(E6333="HI",2,IF(E6333="LO",6,10))+IF(D6333=1,2,IF(D6333=7,1,(IF(WEEKDAY(B6333)=1,2,IF(WEEKDAY(B6333)=7,1,0))))))</f>
        <v>3</v>
      </c>
      <c r="H6333" s="370">
        <v>12717.150024414063</v>
      </c>
      <c r="I6333" s="370">
        <v>3804.989990234375</v>
      </c>
      <c r="M6333" s="371">
        <f t="shared" si="393"/>
        <v>13274.17995844709</v>
      </c>
      <c r="N6333" s="329">
        <f t="shared" si="394"/>
        <v>0</v>
      </c>
      <c r="T6333" s="331">
        <v>0</v>
      </c>
      <c r="U6333" s="328">
        <f>VLOOKUP(C6333,METADATA!$J$5:$Q$29,IF(E6333="HI",2,IF(E6333="LO",6,10))+IF(T6333=1,2,IF(D6333=7,1,(IF(WEEKDAY(B6333)=1,2,IF(WEEKDAY(B6333)=7,1,0))))))</f>
        <v>3</v>
      </c>
      <c r="V6333" s="328">
        <f>VLOOKUP(C6333,METADATA!$A$5:$H$29,IF(E6333="HI",2,IF(E6333="LO",6,10))+IF(T6333=1,2,IF(D6333=7,1,(IF(WEEKDAY(B6333)=1,2,IF(WEEKDAY(B6333)=7,1,0))))))</f>
        <v>3</v>
      </c>
    </row>
    <row r="6334" spans="2:22">
      <c r="B6334" s="318">
        <f t="shared" si="395"/>
        <v>46376</v>
      </c>
      <c r="C6334" s="312">
        <v>18</v>
      </c>
      <c r="D6334" s="368">
        <f>IFERROR((INDEX(METADATA!$T$2:$T$20,MATCH(B6334,METADATA!$S$2:$S$20,0))),0)</f>
        <v>0</v>
      </c>
      <c r="E6334" s="312" t="str">
        <f t="shared" si="392"/>
        <v>LO</v>
      </c>
      <c r="F6334" s="369">
        <f>VLOOKUP(C6334,METADATA!$A$5:$H$29,IF(E6334="HI",2,IF(E6334="LO",6,10))+IF(D6334=1,2,IF(D6334=7,1,(IF(WEEKDAY(B6334)=1,2,IF(WEEKDAY(B6334)=7,1,0))))))</f>
        <v>2</v>
      </c>
      <c r="G6334" s="369">
        <f>VLOOKUP(C6334,METADATA!$J$5:$Q$29,IF(E6334="HI",2,IF(E6334="LO",6,10))+IF(D6334=1,2,IF(D6334=7,1,(IF(WEEKDAY(B6334)=1,2,IF(WEEKDAY(B6334)=7,1,0))))))</f>
        <v>2</v>
      </c>
      <c r="H6334" s="370">
        <v>12828.925109863281</v>
      </c>
      <c r="I6334" s="370">
        <v>3919.1800231933594</v>
      </c>
      <c r="M6334" s="371">
        <f t="shared" si="393"/>
        <v>13414.219751020873</v>
      </c>
      <c r="N6334" s="329">
        <f t="shared" si="394"/>
        <v>70.502490234375273</v>
      </c>
      <c r="T6334" s="331">
        <v>0</v>
      </c>
      <c r="U6334" s="328">
        <f>VLOOKUP(C6334,METADATA!$J$5:$Q$29,IF(E6334="HI",2,IF(E6334="LO",6,10))+IF(T6334=1,2,IF(D6334=7,1,(IF(WEEKDAY(B6334)=1,2,IF(WEEKDAY(B6334)=7,1,0))))))</f>
        <v>2</v>
      </c>
      <c r="V6334" s="328">
        <f>VLOOKUP(C6334,METADATA!$A$5:$H$29,IF(E6334="HI",2,IF(E6334="LO",6,10))+IF(T6334=1,2,IF(D6334=7,1,(IF(WEEKDAY(B6334)=1,2,IF(WEEKDAY(B6334)=7,1,0))))))</f>
        <v>2</v>
      </c>
    </row>
    <row r="6335" spans="2:22">
      <c r="B6335" s="318">
        <f t="shared" si="395"/>
        <v>46376</v>
      </c>
      <c r="C6335" s="312">
        <v>19</v>
      </c>
      <c r="D6335" s="368">
        <f>IFERROR((INDEX(METADATA!$T$2:$T$20,MATCH(B6335,METADATA!$S$2:$S$20,0))),0)</f>
        <v>0</v>
      </c>
      <c r="E6335" s="312" t="str">
        <f t="shared" si="392"/>
        <v>LO</v>
      </c>
      <c r="F6335" s="369">
        <f>VLOOKUP(C6335,METADATA!$A$5:$H$29,IF(E6335="HI",2,IF(E6335="LO",6,10))+IF(D6335=1,2,IF(D6335=7,1,(IF(WEEKDAY(B6335)=1,2,IF(WEEKDAY(B6335)=7,1,0))))))</f>
        <v>2</v>
      </c>
      <c r="G6335" s="369">
        <f>VLOOKUP(C6335,METADATA!$J$5:$Q$29,IF(E6335="HI",2,IF(E6335="LO",6,10))+IF(D6335=1,2,IF(D6335=7,1,(IF(WEEKDAY(B6335)=1,2,IF(WEEKDAY(B6335)=7,1,0))))))</f>
        <v>2</v>
      </c>
      <c r="H6335" s="370">
        <v>12749.0751953125</v>
      </c>
      <c r="I6335" s="370">
        <v>3942.929931640625</v>
      </c>
      <c r="M6335" s="371">
        <f t="shared" si="393"/>
        <v>13344.87222799679</v>
      </c>
      <c r="N6335" s="329">
        <f t="shared" si="394"/>
        <v>118.20737304687509</v>
      </c>
      <c r="T6335" s="331">
        <v>0</v>
      </c>
      <c r="U6335" s="328">
        <f>VLOOKUP(C6335,METADATA!$J$5:$Q$29,IF(E6335="HI",2,IF(E6335="LO",6,10))+IF(T6335=1,2,IF(D6335=7,1,(IF(WEEKDAY(B6335)=1,2,IF(WEEKDAY(B6335)=7,1,0))))))</f>
        <v>2</v>
      </c>
      <c r="V6335" s="328">
        <f>VLOOKUP(C6335,METADATA!$A$5:$H$29,IF(E6335="HI",2,IF(E6335="LO",6,10))+IF(T6335=1,2,IF(D6335=7,1,(IF(WEEKDAY(B6335)=1,2,IF(WEEKDAY(B6335)=7,1,0))))))</f>
        <v>2</v>
      </c>
    </row>
    <row r="6336" spans="2:22">
      <c r="B6336" s="318">
        <f t="shared" si="395"/>
        <v>46376</v>
      </c>
      <c r="C6336" s="312">
        <v>20</v>
      </c>
      <c r="D6336" s="368">
        <f>IFERROR((INDEX(METADATA!$T$2:$T$20,MATCH(B6336,METADATA!$S$2:$S$20,0))),0)</f>
        <v>0</v>
      </c>
      <c r="E6336" s="312" t="str">
        <f t="shared" si="392"/>
        <v>LO</v>
      </c>
      <c r="F6336" s="369">
        <f>VLOOKUP(C6336,METADATA!$A$5:$H$29,IF(E6336="HI",2,IF(E6336="LO",6,10))+IF(D6336=1,2,IF(D6336=7,1,(IF(WEEKDAY(B6336)=1,2,IF(WEEKDAY(B6336)=7,1,0))))))</f>
        <v>3</v>
      </c>
      <c r="G6336" s="369">
        <f>VLOOKUP(C6336,METADATA!$J$5:$Q$29,IF(E6336="HI",2,IF(E6336="LO",6,10))+IF(D6336=1,2,IF(D6336=7,1,(IF(WEEKDAY(B6336)=1,2,IF(WEEKDAY(B6336)=7,1,0))))))</f>
        <v>3</v>
      </c>
      <c r="H6336" s="370">
        <v>12880.950073242188</v>
      </c>
      <c r="I6336" s="370">
        <v>4021.9100646972656</v>
      </c>
      <c r="M6336" s="371">
        <f t="shared" si="393"/>
        <v>13494.244527126039</v>
      </c>
      <c r="N6336" s="329">
        <f t="shared" si="394"/>
        <v>157.62504272460956</v>
      </c>
      <c r="T6336" s="331">
        <v>0</v>
      </c>
      <c r="U6336" s="328">
        <f>VLOOKUP(C6336,METADATA!$J$5:$Q$29,IF(E6336="HI",2,IF(E6336="LO",6,10))+IF(T6336=1,2,IF(D6336=7,1,(IF(WEEKDAY(B6336)=1,2,IF(WEEKDAY(B6336)=7,1,0))))))</f>
        <v>3</v>
      </c>
      <c r="V6336" s="328">
        <f>VLOOKUP(C6336,METADATA!$A$5:$H$29,IF(E6336="HI",2,IF(E6336="LO",6,10))+IF(T6336=1,2,IF(D6336=7,1,(IF(WEEKDAY(B6336)=1,2,IF(WEEKDAY(B6336)=7,1,0))))))</f>
        <v>3</v>
      </c>
    </row>
    <row r="6337" spans="2:22">
      <c r="B6337" s="318">
        <f t="shared" si="395"/>
        <v>46376</v>
      </c>
      <c r="C6337" s="312">
        <v>21</v>
      </c>
      <c r="D6337" s="368">
        <f>IFERROR((INDEX(METADATA!$T$2:$T$20,MATCH(B6337,METADATA!$S$2:$S$20,0))),0)</f>
        <v>0</v>
      </c>
      <c r="E6337" s="312" t="str">
        <f t="shared" si="392"/>
        <v>LO</v>
      </c>
      <c r="F6337" s="369">
        <f>VLOOKUP(C6337,METADATA!$A$5:$H$29,IF(E6337="HI",2,IF(E6337="LO",6,10))+IF(D6337=1,2,IF(D6337=7,1,(IF(WEEKDAY(B6337)=1,2,IF(WEEKDAY(B6337)=7,1,0))))))</f>
        <v>3</v>
      </c>
      <c r="G6337" s="369">
        <f>VLOOKUP(C6337,METADATA!$J$5:$Q$29,IF(E6337="HI",2,IF(E6337="LO",6,10))+IF(D6337=1,2,IF(D6337=7,1,(IF(WEEKDAY(B6337)=1,2,IF(WEEKDAY(B6337)=7,1,0))))))</f>
        <v>3</v>
      </c>
      <c r="H6337" s="370">
        <v>12826.600341796875</v>
      </c>
      <c r="I6337" s="370">
        <v>3904.5250244140625</v>
      </c>
      <c r="M6337" s="371">
        <f t="shared" si="393"/>
        <v>13407.721357279892</v>
      </c>
      <c r="N6337" s="329">
        <f t="shared" si="394"/>
        <v>56.544921875</v>
      </c>
      <c r="T6337" s="331">
        <v>0</v>
      </c>
      <c r="U6337" s="328">
        <f>VLOOKUP(C6337,METADATA!$J$5:$Q$29,IF(E6337="HI",2,IF(E6337="LO",6,10))+IF(T6337=1,2,IF(D6337=7,1,(IF(WEEKDAY(B6337)=1,2,IF(WEEKDAY(B6337)=7,1,0))))))</f>
        <v>3</v>
      </c>
      <c r="V6337" s="328">
        <f>VLOOKUP(C6337,METADATA!$A$5:$H$29,IF(E6337="HI",2,IF(E6337="LO",6,10))+IF(T6337=1,2,IF(D6337=7,1,(IF(WEEKDAY(B6337)=1,2,IF(WEEKDAY(B6337)=7,1,0))))))</f>
        <v>3</v>
      </c>
    </row>
    <row r="6338" spans="2:22">
      <c r="B6338" s="318">
        <f t="shared" si="395"/>
        <v>46376</v>
      </c>
      <c r="C6338" s="312">
        <v>22</v>
      </c>
      <c r="D6338" s="368">
        <f>IFERROR((INDEX(METADATA!$T$2:$T$20,MATCH(B6338,METADATA!$S$2:$S$20,0))),0)</f>
        <v>0</v>
      </c>
      <c r="E6338" s="312" t="str">
        <f t="shared" si="392"/>
        <v>LO</v>
      </c>
      <c r="F6338" s="369">
        <f>VLOOKUP(C6338,METADATA!$A$5:$H$29,IF(E6338="HI",2,IF(E6338="LO",6,10))+IF(D6338=1,2,IF(D6338=7,1,(IF(WEEKDAY(B6338)=1,2,IF(WEEKDAY(B6338)=7,1,0))))))</f>
        <v>3</v>
      </c>
      <c r="G6338" s="369">
        <f>VLOOKUP(C6338,METADATA!$J$5:$Q$29,IF(E6338="HI",2,IF(E6338="LO",6,10))+IF(D6338=1,2,IF(D6338=7,1,(IF(WEEKDAY(B6338)=1,2,IF(WEEKDAY(B6338)=7,1,0))))))</f>
        <v>3</v>
      </c>
      <c r="H6338" s="370">
        <v>12837.625305175781</v>
      </c>
      <c r="I6338" s="370">
        <v>3955.7950439453125</v>
      </c>
      <c r="M6338" s="371">
        <f t="shared" si="393"/>
        <v>13433.277258576623</v>
      </c>
      <c r="N6338" s="329">
        <f t="shared" si="394"/>
        <v>104.50745239257822</v>
      </c>
      <c r="T6338" s="331">
        <v>0</v>
      </c>
      <c r="U6338" s="328">
        <f>VLOOKUP(C6338,METADATA!$J$5:$Q$29,IF(E6338="HI",2,IF(E6338="LO",6,10))+IF(T6338=1,2,IF(D6338=7,1,(IF(WEEKDAY(B6338)=1,2,IF(WEEKDAY(B6338)=7,1,0))))))</f>
        <v>3</v>
      </c>
      <c r="V6338" s="328">
        <f>VLOOKUP(C6338,METADATA!$A$5:$H$29,IF(E6338="HI",2,IF(E6338="LO",6,10))+IF(T6338=1,2,IF(D6338=7,1,(IF(WEEKDAY(B6338)=1,2,IF(WEEKDAY(B6338)=7,1,0))))))</f>
        <v>3</v>
      </c>
    </row>
    <row r="6339" spans="2:22">
      <c r="B6339" s="318">
        <f t="shared" si="395"/>
        <v>46376</v>
      </c>
      <c r="C6339" s="312">
        <v>23</v>
      </c>
      <c r="D6339" s="368">
        <f>IFERROR((INDEX(METADATA!$T$2:$T$20,MATCH(B6339,METADATA!$S$2:$S$20,0))),0)</f>
        <v>0</v>
      </c>
      <c r="E6339" s="312" t="str">
        <f t="shared" si="392"/>
        <v>LO</v>
      </c>
      <c r="F6339" s="369">
        <f>VLOOKUP(C6339,METADATA!$A$5:$H$29,IF(E6339="HI",2,IF(E6339="LO",6,10))+IF(D6339=1,2,IF(D6339=7,1,(IF(WEEKDAY(B6339)=1,2,IF(WEEKDAY(B6339)=7,1,0))))))</f>
        <v>3</v>
      </c>
      <c r="G6339" s="369">
        <f>VLOOKUP(C6339,METADATA!$J$5:$Q$29,IF(E6339="HI",2,IF(E6339="LO",6,10))+IF(D6339=1,2,IF(D6339=7,1,(IF(WEEKDAY(B6339)=1,2,IF(WEEKDAY(B6339)=7,1,0))))))</f>
        <v>3</v>
      </c>
      <c r="H6339" s="370">
        <v>12713.624816894531</v>
      </c>
      <c r="I6339" s="370">
        <v>3993.510009765625</v>
      </c>
      <c r="M6339" s="371">
        <f t="shared" si="393"/>
        <v>13326.078875005009</v>
      </c>
      <c r="N6339" s="329">
        <f t="shared" si="394"/>
        <v>179.4225646972659</v>
      </c>
      <c r="T6339" s="331">
        <v>0</v>
      </c>
      <c r="U6339" s="328">
        <f>VLOOKUP(C6339,METADATA!$J$5:$Q$29,IF(E6339="HI",2,IF(E6339="LO",6,10))+IF(T6339=1,2,IF(D6339=7,1,(IF(WEEKDAY(B6339)=1,2,IF(WEEKDAY(B6339)=7,1,0))))))</f>
        <v>3</v>
      </c>
      <c r="V6339" s="328">
        <f>VLOOKUP(C6339,METADATA!$A$5:$H$29,IF(E6339="HI",2,IF(E6339="LO",6,10))+IF(T6339=1,2,IF(D6339=7,1,(IF(WEEKDAY(B6339)=1,2,IF(WEEKDAY(B6339)=7,1,0))))))</f>
        <v>3</v>
      </c>
    </row>
    <row r="6340" spans="2:22">
      <c r="B6340" s="318">
        <f t="shared" si="395"/>
        <v>46377</v>
      </c>
      <c r="C6340" s="312">
        <v>0</v>
      </c>
      <c r="D6340" s="368">
        <f>IFERROR((INDEX(METADATA!$T$2:$T$20,MATCH(B6340,METADATA!$S$2:$S$20,0))),0)</f>
        <v>0</v>
      </c>
      <c r="E6340" s="312" t="str">
        <f t="shared" ref="E6340:E6403" si="396">IF(B6340="","",IF(AND(MONTH(B6340)&gt;=MONTH($Z$9),MONTH(B6340)&lt;=MONTH($Z$11)),"HI","LO"))</f>
        <v>LO</v>
      </c>
      <c r="F6340" s="369">
        <f>VLOOKUP(C6340,METADATA!$A$5:$H$29,IF(E6340="HI",2,IF(E6340="LO",6,10))+IF(D6340=1,2,IF(D6340=7,1,(IF(WEEKDAY(B6340)=1,2,IF(WEEKDAY(B6340)=7,1,0))))))</f>
        <v>3</v>
      </c>
      <c r="G6340" s="369">
        <f>VLOOKUP(C6340,METADATA!$J$5:$Q$29,IF(E6340="HI",2,IF(E6340="LO",6,10))+IF(D6340=1,2,IF(D6340=7,1,(IF(WEEKDAY(B6340)=1,2,IF(WEEKDAY(B6340)=7,1,0))))))</f>
        <v>3</v>
      </c>
      <c r="H6340" s="370">
        <v>12780.224670410156</v>
      </c>
      <c r="I6340" s="370">
        <v>3840.0050659179688</v>
      </c>
      <c r="M6340" s="371">
        <f t="shared" ref="M6340:M6403" si="397">SQRT(H6340^2+I6340^2)</f>
        <v>13344.65366850845</v>
      </c>
      <c r="N6340" s="329">
        <f t="shared" ref="N6340:N6403" si="398">IF(H6340=0,0,(IF(I6340-(0.3*H6340)&lt;0,0,(I6340-(0.3*H6340)))))</f>
        <v>5.9376647949220569</v>
      </c>
      <c r="T6340" s="331">
        <v>0</v>
      </c>
      <c r="U6340" s="328">
        <f>VLOOKUP(C6340,METADATA!$J$5:$Q$29,IF(E6340="HI",2,IF(E6340="LO",6,10))+IF(T6340=1,2,IF(D6340=7,1,(IF(WEEKDAY(B6340)=1,2,IF(WEEKDAY(B6340)=7,1,0))))))</f>
        <v>3</v>
      </c>
      <c r="V6340" s="328">
        <f>VLOOKUP(C6340,METADATA!$A$5:$H$29,IF(E6340="HI",2,IF(E6340="LO",6,10))+IF(T6340=1,2,IF(D6340=7,1,(IF(WEEKDAY(B6340)=1,2,IF(WEEKDAY(B6340)=7,1,0))))))</f>
        <v>3</v>
      </c>
    </row>
    <row r="6341" spans="2:22">
      <c r="B6341" s="318">
        <f t="shared" si="395"/>
        <v>46377</v>
      </c>
      <c r="C6341" s="312">
        <v>1</v>
      </c>
      <c r="D6341" s="368">
        <f>IFERROR((INDEX(METADATA!$T$2:$T$20,MATCH(B6341,METADATA!$S$2:$S$20,0))),0)</f>
        <v>0</v>
      </c>
      <c r="E6341" s="312" t="str">
        <f t="shared" si="396"/>
        <v>LO</v>
      </c>
      <c r="F6341" s="369">
        <f>VLOOKUP(C6341,METADATA!$A$5:$H$29,IF(E6341="HI",2,IF(E6341="LO",6,10))+IF(D6341=1,2,IF(D6341=7,1,(IF(WEEKDAY(B6341)=1,2,IF(WEEKDAY(B6341)=7,1,0))))))</f>
        <v>3</v>
      </c>
      <c r="G6341" s="369">
        <f>VLOOKUP(C6341,METADATA!$J$5:$Q$29,IF(E6341="HI",2,IF(E6341="LO",6,10))+IF(D6341=1,2,IF(D6341=7,1,(IF(WEEKDAY(B6341)=1,2,IF(WEEKDAY(B6341)=7,1,0))))))</f>
        <v>3</v>
      </c>
      <c r="H6341" s="370">
        <v>12789.249633789063</v>
      </c>
      <c r="I6341" s="370">
        <v>3932.0774536132813</v>
      </c>
      <c r="M6341" s="371">
        <f t="shared" si="397"/>
        <v>13380.064995977693</v>
      </c>
      <c r="N6341" s="329">
        <f t="shared" si="398"/>
        <v>95.302563476562682</v>
      </c>
      <c r="T6341" s="331">
        <v>0</v>
      </c>
      <c r="U6341" s="328">
        <f>VLOOKUP(C6341,METADATA!$J$5:$Q$29,IF(E6341="HI",2,IF(E6341="LO",6,10))+IF(T6341=1,2,IF(D6341=7,1,(IF(WEEKDAY(B6341)=1,2,IF(WEEKDAY(B6341)=7,1,0))))))</f>
        <v>3</v>
      </c>
      <c r="V6341" s="328">
        <f>VLOOKUP(C6341,METADATA!$A$5:$H$29,IF(E6341="HI",2,IF(E6341="LO",6,10))+IF(T6341=1,2,IF(D6341=7,1,(IF(WEEKDAY(B6341)=1,2,IF(WEEKDAY(B6341)=7,1,0))))))</f>
        <v>3</v>
      </c>
    </row>
    <row r="6342" spans="2:22">
      <c r="B6342" s="318">
        <f t="shared" si="395"/>
        <v>46377</v>
      </c>
      <c r="C6342" s="312">
        <v>2</v>
      </c>
      <c r="D6342" s="368">
        <f>IFERROR((INDEX(METADATA!$T$2:$T$20,MATCH(B6342,METADATA!$S$2:$S$20,0))),0)</f>
        <v>0</v>
      </c>
      <c r="E6342" s="312" t="str">
        <f t="shared" si="396"/>
        <v>LO</v>
      </c>
      <c r="F6342" s="369">
        <f>VLOOKUP(C6342,METADATA!$A$5:$H$29,IF(E6342="HI",2,IF(E6342="LO",6,10))+IF(D6342=1,2,IF(D6342=7,1,(IF(WEEKDAY(B6342)=1,2,IF(WEEKDAY(B6342)=7,1,0))))))</f>
        <v>3</v>
      </c>
      <c r="G6342" s="369">
        <f>VLOOKUP(C6342,METADATA!$J$5:$Q$29,IF(E6342="HI",2,IF(E6342="LO",6,10))+IF(D6342=1,2,IF(D6342=7,1,(IF(WEEKDAY(B6342)=1,2,IF(WEEKDAY(B6342)=7,1,0))))))</f>
        <v>3</v>
      </c>
      <c r="H6342" s="370">
        <v>12734.125183105469</v>
      </c>
      <c r="I6342" s="370">
        <v>3888.60498046875</v>
      </c>
      <c r="M6342" s="371">
        <f t="shared" si="397"/>
        <v>13314.623271919008</v>
      </c>
      <c r="N6342" s="329">
        <f t="shared" si="398"/>
        <v>68.367425537109739</v>
      </c>
      <c r="T6342" s="331">
        <v>0</v>
      </c>
      <c r="U6342" s="328">
        <f>VLOOKUP(C6342,METADATA!$J$5:$Q$29,IF(E6342="HI",2,IF(E6342="LO",6,10))+IF(T6342=1,2,IF(D6342=7,1,(IF(WEEKDAY(B6342)=1,2,IF(WEEKDAY(B6342)=7,1,0))))))</f>
        <v>3</v>
      </c>
      <c r="V6342" s="328">
        <f>VLOOKUP(C6342,METADATA!$A$5:$H$29,IF(E6342="HI",2,IF(E6342="LO",6,10))+IF(T6342=1,2,IF(D6342=7,1,(IF(WEEKDAY(B6342)=1,2,IF(WEEKDAY(B6342)=7,1,0))))))</f>
        <v>3</v>
      </c>
    </row>
    <row r="6343" spans="2:22">
      <c r="B6343" s="318">
        <f t="shared" si="395"/>
        <v>46377</v>
      </c>
      <c r="C6343" s="312">
        <v>3</v>
      </c>
      <c r="D6343" s="368">
        <f>IFERROR((INDEX(METADATA!$T$2:$T$20,MATCH(B6343,METADATA!$S$2:$S$20,0))),0)</f>
        <v>0</v>
      </c>
      <c r="E6343" s="312" t="str">
        <f t="shared" si="396"/>
        <v>LO</v>
      </c>
      <c r="F6343" s="369">
        <f>VLOOKUP(C6343,METADATA!$A$5:$H$29,IF(E6343="HI",2,IF(E6343="LO",6,10))+IF(D6343=1,2,IF(D6343=7,1,(IF(WEEKDAY(B6343)=1,2,IF(WEEKDAY(B6343)=7,1,0))))))</f>
        <v>3</v>
      </c>
      <c r="G6343" s="369">
        <f>VLOOKUP(C6343,METADATA!$J$5:$Q$29,IF(E6343="HI",2,IF(E6343="LO",6,10))+IF(D6343=1,2,IF(D6343=7,1,(IF(WEEKDAY(B6343)=1,2,IF(WEEKDAY(B6343)=7,1,0))))))</f>
        <v>3</v>
      </c>
      <c r="H6343" s="370">
        <v>12875.47509765625</v>
      </c>
      <c r="I6343" s="370">
        <v>3868.080078125</v>
      </c>
      <c r="M6343" s="371">
        <f t="shared" si="397"/>
        <v>13443.954123737321</v>
      </c>
      <c r="N6343" s="329">
        <f t="shared" si="398"/>
        <v>5.4375488281252728</v>
      </c>
      <c r="T6343" s="331">
        <v>0</v>
      </c>
      <c r="U6343" s="328">
        <f>VLOOKUP(C6343,METADATA!$J$5:$Q$29,IF(E6343="HI",2,IF(E6343="LO",6,10))+IF(T6343=1,2,IF(D6343=7,1,(IF(WEEKDAY(B6343)=1,2,IF(WEEKDAY(B6343)=7,1,0))))))</f>
        <v>3</v>
      </c>
      <c r="V6343" s="328">
        <f>VLOOKUP(C6343,METADATA!$A$5:$H$29,IF(E6343="HI",2,IF(E6343="LO",6,10))+IF(T6343=1,2,IF(D6343=7,1,(IF(WEEKDAY(B6343)=1,2,IF(WEEKDAY(B6343)=7,1,0))))))</f>
        <v>3</v>
      </c>
    </row>
    <row r="6344" spans="2:22">
      <c r="B6344" s="318">
        <f t="shared" si="395"/>
        <v>46377</v>
      </c>
      <c r="C6344" s="312">
        <v>4</v>
      </c>
      <c r="D6344" s="368">
        <f>IFERROR((INDEX(METADATA!$T$2:$T$20,MATCH(B6344,METADATA!$S$2:$S$20,0))),0)</f>
        <v>0</v>
      </c>
      <c r="E6344" s="312" t="str">
        <f t="shared" si="396"/>
        <v>LO</v>
      </c>
      <c r="F6344" s="369">
        <f>VLOOKUP(C6344,METADATA!$A$5:$H$29,IF(E6344="HI",2,IF(E6344="LO",6,10))+IF(D6344=1,2,IF(D6344=7,1,(IF(WEEKDAY(B6344)=1,2,IF(WEEKDAY(B6344)=7,1,0))))))</f>
        <v>3</v>
      </c>
      <c r="G6344" s="369">
        <f>VLOOKUP(C6344,METADATA!$J$5:$Q$29,IF(E6344="HI",2,IF(E6344="LO",6,10))+IF(D6344=1,2,IF(D6344=7,1,(IF(WEEKDAY(B6344)=1,2,IF(WEEKDAY(B6344)=7,1,0))))))</f>
        <v>3</v>
      </c>
      <c r="H6344" s="370">
        <v>12773.899963378906</v>
      </c>
      <c r="I6344" s="370">
        <v>3758.2899780273438</v>
      </c>
      <c r="M6344" s="371">
        <f t="shared" si="397"/>
        <v>13315.301867901921</v>
      </c>
      <c r="N6344" s="329">
        <f t="shared" si="398"/>
        <v>0</v>
      </c>
      <c r="T6344" s="331">
        <v>0</v>
      </c>
      <c r="U6344" s="328">
        <f>VLOOKUP(C6344,METADATA!$J$5:$Q$29,IF(E6344="HI",2,IF(E6344="LO",6,10))+IF(T6344=1,2,IF(D6344=7,1,(IF(WEEKDAY(B6344)=1,2,IF(WEEKDAY(B6344)=7,1,0))))))</f>
        <v>3</v>
      </c>
      <c r="V6344" s="328">
        <f>VLOOKUP(C6344,METADATA!$A$5:$H$29,IF(E6344="HI",2,IF(E6344="LO",6,10))+IF(T6344=1,2,IF(D6344=7,1,(IF(WEEKDAY(B6344)=1,2,IF(WEEKDAY(B6344)=7,1,0))))))</f>
        <v>3</v>
      </c>
    </row>
    <row r="6345" spans="2:22">
      <c r="B6345" s="318">
        <f t="shared" si="395"/>
        <v>46377</v>
      </c>
      <c r="C6345" s="312">
        <v>5</v>
      </c>
      <c r="D6345" s="368">
        <f>IFERROR((INDEX(METADATA!$T$2:$T$20,MATCH(B6345,METADATA!$S$2:$S$20,0))),0)</f>
        <v>0</v>
      </c>
      <c r="E6345" s="312" t="str">
        <f t="shared" si="396"/>
        <v>LO</v>
      </c>
      <c r="F6345" s="369">
        <f>VLOOKUP(C6345,METADATA!$A$5:$H$29,IF(E6345="HI",2,IF(E6345="LO",6,10))+IF(D6345=1,2,IF(D6345=7,1,(IF(WEEKDAY(B6345)=1,2,IF(WEEKDAY(B6345)=7,1,0))))))</f>
        <v>3</v>
      </c>
      <c r="G6345" s="369">
        <f>VLOOKUP(C6345,METADATA!$J$5:$Q$29,IF(E6345="HI",2,IF(E6345="LO",6,10))+IF(D6345=1,2,IF(D6345=7,1,(IF(WEEKDAY(B6345)=1,2,IF(WEEKDAY(B6345)=7,1,0))))))</f>
        <v>3</v>
      </c>
      <c r="H6345" s="370">
        <v>12744.649963378906</v>
      </c>
      <c r="I6345" s="370">
        <v>3717.9900817871094</v>
      </c>
      <c r="M6345" s="371">
        <f t="shared" si="397"/>
        <v>13275.90120998651</v>
      </c>
      <c r="N6345" s="329">
        <f t="shared" si="398"/>
        <v>0</v>
      </c>
      <c r="T6345" s="331">
        <v>0</v>
      </c>
      <c r="U6345" s="328">
        <f>VLOOKUP(C6345,METADATA!$J$5:$Q$29,IF(E6345="HI",2,IF(E6345="LO",6,10))+IF(T6345=1,2,IF(D6345=7,1,(IF(WEEKDAY(B6345)=1,2,IF(WEEKDAY(B6345)=7,1,0))))))</f>
        <v>3</v>
      </c>
      <c r="V6345" s="328">
        <f>VLOOKUP(C6345,METADATA!$A$5:$H$29,IF(E6345="HI",2,IF(E6345="LO",6,10))+IF(T6345=1,2,IF(D6345=7,1,(IF(WEEKDAY(B6345)=1,2,IF(WEEKDAY(B6345)=7,1,0))))))</f>
        <v>3</v>
      </c>
    </row>
    <row r="6346" spans="2:22">
      <c r="B6346" s="318">
        <f t="shared" si="395"/>
        <v>46377</v>
      </c>
      <c r="C6346" s="312">
        <v>6</v>
      </c>
      <c r="D6346" s="368">
        <f>IFERROR((INDEX(METADATA!$T$2:$T$20,MATCH(B6346,METADATA!$S$2:$S$20,0))),0)</f>
        <v>0</v>
      </c>
      <c r="E6346" s="312" t="str">
        <f t="shared" si="396"/>
        <v>LO</v>
      </c>
      <c r="F6346" s="369">
        <f>VLOOKUP(C6346,METADATA!$A$5:$H$29,IF(E6346="HI",2,IF(E6346="LO",6,10))+IF(D6346=1,2,IF(D6346=7,1,(IF(WEEKDAY(B6346)=1,2,IF(WEEKDAY(B6346)=7,1,0))))))</f>
        <v>2</v>
      </c>
      <c r="G6346" s="369">
        <f>VLOOKUP(C6346,METADATA!$J$5:$Q$29,IF(E6346="HI",2,IF(E6346="LO",6,10))+IF(D6346=1,2,IF(D6346=7,1,(IF(WEEKDAY(B6346)=1,2,IF(WEEKDAY(B6346)=7,1,0))))))</f>
        <v>2</v>
      </c>
      <c r="H6346" s="370">
        <v>10363.225219726563</v>
      </c>
      <c r="I6346" s="370">
        <v>3053.989953994751</v>
      </c>
      <c r="M6346" s="371">
        <f t="shared" si="397"/>
        <v>10803.855404154459</v>
      </c>
      <c r="N6346" s="329">
        <f t="shared" si="398"/>
        <v>0</v>
      </c>
      <c r="T6346" s="331">
        <v>0</v>
      </c>
      <c r="U6346" s="328">
        <f>VLOOKUP(C6346,METADATA!$J$5:$Q$29,IF(E6346="HI",2,IF(E6346="LO",6,10))+IF(T6346=1,2,IF(D6346=7,1,(IF(WEEKDAY(B6346)=1,2,IF(WEEKDAY(B6346)=7,1,0))))))</f>
        <v>2</v>
      </c>
      <c r="V6346" s="328">
        <f>VLOOKUP(C6346,METADATA!$A$5:$H$29,IF(E6346="HI",2,IF(E6346="LO",6,10))+IF(T6346=1,2,IF(D6346=7,1,(IF(WEEKDAY(B6346)=1,2,IF(WEEKDAY(B6346)=7,1,0))))))</f>
        <v>2</v>
      </c>
    </row>
    <row r="6347" spans="2:22">
      <c r="B6347" s="318">
        <f t="shared" si="395"/>
        <v>46377</v>
      </c>
      <c r="C6347" s="312">
        <v>7</v>
      </c>
      <c r="D6347" s="368">
        <f>IFERROR((INDEX(METADATA!$T$2:$T$20,MATCH(B6347,METADATA!$S$2:$S$20,0))),0)</f>
        <v>0</v>
      </c>
      <c r="E6347" s="312" t="str">
        <f t="shared" si="396"/>
        <v>LO</v>
      </c>
      <c r="F6347" s="369">
        <f>VLOOKUP(C6347,METADATA!$A$5:$H$29,IF(E6347="HI",2,IF(E6347="LO",6,10))+IF(D6347=1,2,IF(D6347=7,1,(IF(WEEKDAY(B6347)=1,2,IF(WEEKDAY(B6347)=7,1,0))))))</f>
        <v>1</v>
      </c>
      <c r="G6347" s="369">
        <f>VLOOKUP(C6347,METADATA!$J$5:$Q$29,IF(E6347="HI",2,IF(E6347="LO",6,10))+IF(D6347=1,2,IF(D6347=7,1,(IF(WEEKDAY(B6347)=1,2,IF(WEEKDAY(B6347)=7,1,0))))))</f>
        <v>1</v>
      </c>
      <c r="H6347" s="370">
        <v>5684.3374328613281</v>
      </c>
      <c r="I6347" s="370">
        <v>1569.4400024414063</v>
      </c>
      <c r="M6347" s="371">
        <f t="shared" si="397"/>
        <v>5897.0190750829179</v>
      </c>
      <c r="N6347" s="329">
        <f t="shared" si="398"/>
        <v>0</v>
      </c>
      <c r="T6347" s="331">
        <v>0</v>
      </c>
      <c r="U6347" s="328">
        <f>VLOOKUP(C6347,METADATA!$J$5:$Q$29,IF(E6347="HI",2,IF(E6347="LO",6,10))+IF(T6347=1,2,IF(D6347=7,1,(IF(WEEKDAY(B6347)=1,2,IF(WEEKDAY(B6347)=7,1,0))))))</f>
        <v>1</v>
      </c>
      <c r="V6347" s="328">
        <f>VLOOKUP(C6347,METADATA!$A$5:$H$29,IF(E6347="HI",2,IF(E6347="LO",6,10))+IF(T6347=1,2,IF(D6347=7,1,(IF(WEEKDAY(B6347)=1,2,IF(WEEKDAY(B6347)=7,1,0))))))</f>
        <v>1</v>
      </c>
    </row>
    <row r="6348" spans="2:22">
      <c r="B6348" s="318">
        <f t="shared" si="395"/>
        <v>46377</v>
      </c>
      <c r="C6348" s="312">
        <v>8</v>
      </c>
      <c r="D6348" s="368">
        <f>IFERROR((INDEX(METADATA!$T$2:$T$20,MATCH(B6348,METADATA!$S$2:$S$20,0))),0)</f>
        <v>0</v>
      </c>
      <c r="E6348" s="312" t="str">
        <f t="shared" si="396"/>
        <v>LO</v>
      </c>
      <c r="F6348" s="369">
        <f>VLOOKUP(C6348,METADATA!$A$5:$H$29,IF(E6348="HI",2,IF(E6348="LO",6,10))+IF(D6348=1,2,IF(D6348=7,1,(IF(WEEKDAY(B6348)=1,2,IF(WEEKDAY(B6348)=7,1,0))))))</f>
        <v>1</v>
      </c>
      <c r="G6348" s="369">
        <f>VLOOKUP(C6348,METADATA!$J$5:$Q$29,IF(E6348="HI",2,IF(E6348="LO",6,10))+IF(D6348=1,2,IF(D6348=7,1,(IF(WEEKDAY(B6348)=1,2,IF(WEEKDAY(B6348)=7,1,0))))))</f>
        <v>1</v>
      </c>
      <c r="H6348" s="370">
        <v>4383.2349548339844</v>
      </c>
      <c r="I6348" s="370">
        <v>1320.1900024414063</v>
      </c>
      <c r="M6348" s="371">
        <f t="shared" si="397"/>
        <v>4577.7341897301903</v>
      </c>
      <c r="N6348" s="329">
        <f t="shared" si="398"/>
        <v>5.219515991210983</v>
      </c>
      <c r="T6348" s="331">
        <v>0</v>
      </c>
      <c r="U6348" s="328">
        <f>VLOOKUP(C6348,METADATA!$J$5:$Q$29,IF(E6348="HI",2,IF(E6348="LO",6,10))+IF(T6348=1,2,IF(D6348=7,1,(IF(WEEKDAY(B6348)=1,2,IF(WEEKDAY(B6348)=7,1,0))))))</f>
        <v>1</v>
      </c>
      <c r="V6348" s="328">
        <f>VLOOKUP(C6348,METADATA!$A$5:$H$29,IF(E6348="HI",2,IF(E6348="LO",6,10))+IF(T6348=1,2,IF(D6348=7,1,(IF(WEEKDAY(B6348)=1,2,IF(WEEKDAY(B6348)=7,1,0))))))</f>
        <v>1</v>
      </c>
    </row>
    <row r="6349" spans="2:22">
      <c r="B6349" s="318">
        <f t="shared" si="395"/>
        <v>46377</v>
      </c>
      <c r="C6349" s="312">
        <v>9</v>
      </c>
      <c r="D6349" s="368">
        <f>IFERROR((INDEX(METADATA!$T$2:$T$20,MATCH(B6349,METADATA!$S$2:$S$20,0))),0)</f>
        <v>0</v>
      </c>
      <c r="E6349" s="312" t="str">
        <f t="shared" si="396"/>
        <v>LO</v>
      </c>
      <c r="F6349" s="369">
        <f>VLOOKUP(C6349,METADATA!$A$5:$H$29,IF(E6349="HI",2,IF(E6349="LO",6,10))+IF(D6349=1,2,IF(D6349=7,1,(IF(WEEKDAY(B6349)=1,2,IF(WEEKDAY(B6349)=7,1,0))))))</f>
        <v>2</v>
      </c>
      <c r="G6349" s="369">
        <f>VLOOKUP(C6349,METADATA!$J$5:$Q$29,IF(E6349="HI",2,IF(E6349="LO",6,10))+IF(D6349=1,2,IF(D6349=7,1,(IF(WEEKDAY(B6349)=1,2,IF(WEEKDAY(B6349)=7,1,0))))))</f>
        <v>2</v>
      </c>
      <c r="H6349" s="370">
        <v>4177.8449096679688</v>
      </c>
      <c r="I6349" s="370">
        <v>1286.3524780273438</v>
      </c>
      <c r="M6349" s="371">
        <f t="shared" si="397"/>
        <v>4371.3946043528995</v>
      </c>
      <c r="N6349" s="329">
        <f t="shared" si="398"/>
        <v>32.99900512695308</v>
      </c>
      <c r="T6349" s="331">
        <v>0</v>
      </c>
      <c r="U6349" s="328">
        <f>VLOOKUP(C6349,METADATA!$J$5:$Q$29,IF(E6349="HI",2,IF(E6349="LO",6,10))+IF(T6349=1,2,IF(D6349=7,1,(IF(WEEKDAY(B6349)=1,2,IF(WEEKDAY(B6349)=7,1,0))))))</f>
        <v>2</v>
      </c>
      <c r="V6349" s="328">
        <f>VLOOKUP(C6349,METADATA!$A$5:$H$29,IF(E6349="HI",2,IF(E6349="LO",6,10))+IF(T6349=1,2,IF(D6349=7,1,(IF(WEEKDAY(B6349)=1,2,IF(WEEKDAY(B6349)=7,1,0))))))</f>
        <v>2</v>
      </c>
    </row>
    <row r="6350" spans="2:22">
      <c r="B6350" s="318">
        <f t="shared" si="395"/>
        <v>46377</v>
      </c>
      <c r="C6350" s="312">
        <v>10</v>
      </c>
      <c r="D6350" s="368">
        <f>IFERROR((INDEX(METADATA!$T$2:$T$20,MATCH(B6350,METADATA!$S$2:$S$20,0))),0)</f>
        <v>0</v>
      </c>
      <c r="E6350" s="312" t="str">
        <f t="shared" si="396"/>
        <v>LO</v>
      </c>
      <c r="F6350" s="369">
        <f>VLOOKUP(C6350,METADATA!$A$5:$H$29,IF(E6350="HI",2,IF(E6350="LO",6,10))+IF(D6350=1,2,IF(D6350=7,1,(IF(WEEKDAY(B6350)=1,2,IF(WEEKDAY(B6350)=7,1,0))))))</f>
        <v>2</v>
      </c>
      <c r="G6350" s="369">
        <f>VLOOKUP(C6350,METADATA!$J$5:$Q$29,IF(E6350="HI",2,IF(E6350="LO",6,10))+IF(D6350=1,2,IF(D6350=7,1,(IF(WEEKDAY(B6350)=1,2,IF(WEEKDAY(B6350)=7,1,0))))))</f>
        <v>2</v>
      </c>
      <c r="H6350" s="370">
        <v>4044.4375</v>
      </c>
      <c r="I6350" s="370">
        <v>1264.2499694824219</v>
      </c>
      <c r="M6350" s="371">
        <f t="shared" si="397"/>
        <v>4237.4287813180472</v>
      </c>
      <c r="N6350" s="329">
        <f t="shared" si="398"/>
        <v>50.91871948242192</v>
      </c>
      <c r="T6350" s="331">
        <v>0</v>
      </c>
      <c r="U6350" s="328">
        <f>VLOOKUP(C6350,METADATA!$J$5:$Q$29,IF(E6350="HI",2,IF(E6350="LO",6,10))+IF(T6350=1,2,IF(D6350=7,1,(IF(WEEKDAY(B6350)=1,2,IF(WEEKDAY(B6350)=7,1,0))))))</f>
        <v>2</v>
      </c>
      <c r="V6350" s="328">
        <f>VLOOKUP(C6350,METADATA!$A$5:$H$29,IF(E6350="HI",2,IF(E6350="LO",6,10))+IF(T6350=1,2,IF(D6350=7,1,(IF(WEEKDAY(B6350)=1,2,IF(WEEKDAY(B6350)=7,1,0))))))</f>
        <v>2</v>
      </c>
    </row>
    <row r="6351" spans="2:22">
      <c r="B6351" s="318">
        <f t="shared" si="395"/>
        <v>46377</v>
      </c>
      <c r="C6351" s="312">
        <v>11</v>
      </c>
      <c r="D6351" s="368">
        <f>IFERROR((INDEX(METADATA!$T$2:$T$20,MATCH(B6351,METADATA!$S$2:$S$20,0))),0)</f>
        <v>0</v>
      </c>
      <c r="E6351" s="312" t="str">
        <f t="shared" si="396"/>
        <v>LO</v>
      </c>
      <c r="F6351" s="369">
        <f>VLOOKUP(C6351,METADATA!$A$5:$H$29,IF(E6351="HI",2,IF(E6351="LO",6,10))+IF(D6351=1,2,IF(D6351=7,1,(IF(WEEKDAY(B6351)=1,2,IF(WEEKDAY(B6351)=7,1,0))))))</f>
        <v>2</v>
      </c>
      <c r="G6351" s="369">
        <f>VLOOKUP(C6351,METADATA!$J$5:$Q$29,IF(E6351="HI",2,IF(E6351="LO",6,10))+IF(D6351=1,2,IF(D6351=7,1,(IF(WEEKDAY(B6351)=1,2,IF(WEEKDAY(B6351)=7,1,0))))))</f>
        <v>2</v>
      </c>
      <c r="H6351" s="370">
        <v>4610.6925048828125</v>
      </c>
      <c r="I6351" s="370">
        <v>1257.9824829101563</v>
      </c>
      <c r="M6351" s="371">
        <f t="shared" si="397"/>
        <v>4779.2264334190468</v>
      </c>
      <c r="N6351" s="329">
        <f t="shared" si="398"/>
        <v>0</v>
      </c>
      <c r="T6351" s="331">
        <v>0</v>
      </c>
      <c r="U6351" s="328">
        <f>VLOOKUP(C6351,METADATA!$J$5:$Q$29,IF(E6351="HI",2,IF(E6351="LO",6,10))+IF(T6351=1,2,IF(D6351=7,1,(IF(WEEKDAY(B6351)=1,2,IF(WEEKDAY(B6351)=7,1,0))))))</f>
        <v>2</v>
      </c>
      <c r="V6351" s="328">
        <f>VLOOKUP(C6351,METADATA!$A$5:$H$29,IF(E6351="HI",2,IF(E6351="LO",6,10))+IF(T6351=1,2,IF(D6351=7,1,(IF(WEEKDAY(B6351)=1,2,IF(WEEKDAY(B6351)=7,1,0))))))</f>
        <v>2</v>
      </c>
    </row>
    <row r="6352" spans="2:22">
      <c r="B6352" s="318">
        <f t="shared" si="395"/>
        <v>46377</v>
      </c>
      <c r="C6352" s="312">
        <v>12</v>
      </c>
      <c r="D6352" s="368">
        <f>IFERROR((INDEX(METADATA!$T$2:$T$20,MATCH(B6352,METADATA!$S$2:$S$20,0))),0)</f>
        <v>0</v>
      </c>
      <c r="E6352" s="312" t="str">
        <f t="shared" si="396"/>
        <v>LO</v>
      </c>
      <c r="F6352" s="369">
        <f>VLOOKUP(C6352,METADATA!$A$5:$H$29,IF(E6352="HI",2,IF(E6352="LO",6,10))+IF(D6352=1,2,IF(D6352=7,1,(IF(WEEKDAY(B6352)=1,2,IF(WEEKDAY(B6352)=7,1,0))))))</f>
        <v>2</v>
      </c>
      <c r="G6352" s="369">
        <f>VLOOKUP(C6352,METADATA!$J$5:$Q$29,IF(E6352="HI",2,IF(E6352="LO",6,10))+IF(D6352=1,2,IF(D6352=7,1,(IF(WEEKDAY(B6352)=1,2,IF(WEEKDAY(B6352)=7,1,0))))))</f>
        <v>2</v>
      </c>
      <c r="H6352" s="370">
        <v>4826.9850463867188</v>
      </c>
      <c r="I6352" s="370">
        <v>1246.9674987792969</v>
      </c>
      <c r="M6352" s="371">
        <f t="shared" si="397"/>
        <v>4985.4500881116928</v>
      </c>
      <c r="N6352" s="329">
        <f t="shared" si="398"/>
        <v>0</v>
      </c>
      <c r="T6352" s="331">
        <v>0</v>
      </c>
      <c r="U6352" s="328">
        <f>VLOOKUP(C6352,METADATA!$J$5:$Q$29,IF(E6352="HI",2,IF(E6352="LO",6,10))+IF(T6352=1,2,IF(D6352=7,1,(IF(WEEKDAY(B6352)=1,2,IF(WEEKDAY(B6352)=7,1,0))))))</f>
        <v>2</v>
      </c>
      <c r="V6352" s="328">
        <f>VLOOKUP(C6352,METADATA!$A$5:$H$29,IF(E6352="HI",2,IF(E6352="LO",6,10))+IF(T6352=1,2,IF(D6352=7,1,(IF(WEEKDAY(B6352)=1,2,IF(WEEKDAY(B6352)=7,1,0))))))</f>
        <v>2</v>
      </c>
    </row>
    <row r="6353" spans="2:22">
      <c r="B6353" s="318">
        <f t="shared" si="395"/>
        <v>46377</v>
      </c>
      <c r="C6353" s="312">
        <v>13</v>
      </c>
      <c r="D6353" s="368">
        <f>IFERROR((INDEX(METADATA!$T$2:$T$20,MATCH(B6353,METADATA!$S$2:$S$20,0))),0)</f>
        <v>0</v>
      </c>
      <c r="E6353" s="312" t="str">
        <f t="shared" si="396"/>
        <v>LO</v>
      </c>
      <c r="F6353" s="369">
        <f>VLOOKUP(C6353,METADATA!$A$5:$H$29,IF(E6353="HI",2,IF(E6353="LO",6,10))+IF(D6353=1,2,IF(D6353=7,1,(IF(WEEKDAY(B6353)=1,2,IF(WEEKDAY(B6353)=7,1,0))))))</f>
        <v>2</v>
      </c>
      <c r="G6353" s="369">
        <f>VLOOKUP(C6353,METADATA!$J$5:$Q$29,IF(E6353="HI",2,IF(E6353="LO",6,10))+IF(D6353=1,2,IF(D6353=7,1,(IF(WEEKDAY(B6353)=1,2,IF(WEEKDAY(B6353)=7,1,0))))))</f>
        <v>2</v>
      </c>
      <c r="H6353" s="370">
        <v>4790.4175415039063</v>
      </c>
      <c r="I6353" s="370">
        <v>1172.9524536132813</v>
      </c>
      <c r="M6353" s="371">
        <f t="shared" si="397"/>
        <v>4931.9283936798747</v>
      </c>
      <c r="N6353" s="329">
        <f t="shared" si="398"/>
        <v>0</v>
      </c>
      <c r="T6353" s="331">
        <v>0</v>
      </c>
      <c r="U6353" s="328">
        <f>VLOOKUP(C6353,METADATA!$J$5:$Q$29,IF(E6353="HI",2,IF(E6353="LO",6,10))+IF(T6353=1,2,IF(D6353=7,1,(IF(WEEKDAY(B6353)=1,2,IF(WEEKDAY(B6353)=7,1,0))))))</f>
        <v>2</v>
      </c>
      <c r="V6353" s="328">
        <f>VLOOKUP(C6353,METADATA!$A$5:$H$29,IF(E6353="HI",2,IF(E6353="LO",6,10))+IF(T6353=1,2,IF(D6353=7,1,(IF(WEEKDAY(B6353)=1,2,IF(WEEKDAY(B6353)=7,1,0))))))</f>
        <v>2</v>
      </c>
    </row>
    <row r="6354" spans="2:22">
      <c r="B6354" s="318">
        <f t="shared" si="395"/>
        <v>46377</v>
      </c>
      <c r="C6354" s="312">
        <v>14</v>
      </c>
      <c r="D6354" s="368">
        <f>IFERROR((INDEX(METADATA!$T$2:$T$20,MATCH(B6354,METADATA!$S$2:$S$20,0))),0)</f>
        <v>0</v>
      </c>
      <c r="E6354" s="312" t="str">
        <f t="shared" si="396"/>
        <v>LO</v>
      </c>
      <c r="F6354" s="369">
        <f>VLOOKUP(C6354,METADATA!$A$5:$H$29,IF(E6354="HI",2,IF(E6354="LO",6,10))+IF(D6354=1,2,IF(D6354=7,1,(IF(WEEKDAY(B6354)=1,2,IF(WEEKDAY(B6354)=7,1,0))))))</f>
        <v>2</v>
      </c>
      <c r="G6354" s="369">
        <f>VLOOKUP(C6354,METADATA!$J$5:$Q$29,IF(E6354="HI",2,IF(E6354="LO",6,10))+IF(D6354=1,2,IF(D6354=7,1,(IF(WEEKDAY(B6354)=1,2,IF(WEEKDAY(B6354)=7,1,0))))))</f>
        <v>2</v>
      </c>
      <c r="H6354" s="370">
        <v>4856.8849487304688</v>
      </c>
      <c r="I6354" s="370">
        <v>1193.4024658203125</v>
      </c>
      <c r="M6354" s="371">
        <f t="shared" si="397"/>
        <v>5001.3539017580597</v>
      </c>
      <c r="N6354" s="329">
        <f t="shared" si="398"/>
        <v>0</v>
      </c>
      <c r="T6354" s="331">
        <v>0</v>
      </c>
      <c r="U6354" s="328">
        <f>VLOOKUP(C6354,METADATA!$J$5:$Q$29,IF(E6354="HI",2,IF(E6354="LO",6,10))+IF(T6354=1,2,IF(D6354=7,1,(IF(WEEKDAY(B6354)=1,2,IF(WEEKDAY(B6354)=7,1,0))))))</f>
        <v>2</v>
      </c>
      <c r="V6354" s="328">
        <f>VLOOKUP(C6354,METADATA!$A$5:$H$29,IF(E6354="HI",2,IF(E6354="LO",6,10))+IF(T6354=1,2,IF(D6354=7,1,(IF(WEEKDAY(B6354)=1,2,IF(WEEKDAY(B6354)=7,1,0))))))</f>
        <v>2</v>
      </c>
    </row>
    <row r="6355" spans="2:22">
      <c r="B6355" s="318">
        <f t="shared" si="395"/>
        <v>46377</v>
      </c>
      <c r="C6355" s="312">
        <v>15</v>
      </c>
      <c r="D6355" s="368">
        <f>IFERROR((INDEX(METADATA!$T$2:$T$20,MATCH(B6355,METADATA!$S$2:$S$20,0))),0)</f>
        <v>0</v>
      </c>
      <c r="E6355" s="312" t="str">
        <f t="shared" si="396"/>
        <v>LO</v>
      </c>
      <c r="F6355" s="369">
        <f>VLOOKUP(C6355,METADATA!$A$5:$H$29,IF(E6355="HI",2,IF(E6355="LO",6,10))+IF(D6355=1,2,IF(D6355=7,1,(IF(WEEKDAY(B6355)=1,2,IF(WEEKDAY(B6355)=7,1,0))))))</f>
        <v>2</v>
      </c>
      <c r="G6355" s="369">
        <f>VLOOKUP(C6355,METADATA!$J$5:$Q$29,IF(E6355="HI",2,IF(E6355="LO",6,10))+IF(D6355=1,2,IF(D6355=7,1,(IF(WEEKDAY(B6355)=1,2,IF(WEEKDAY(B6355)=7,1,0))))))</f>
        <v>2</v>
      </c>
      <c r="H6355" s="370">
        <v>5126.4848937988281</v>
      </c>
      <c r="I6355" s="370">
        <v>1221.3350524902344</v>
      </c>
      <c r="M6355" s="371">
        <f t="shared" si="397"/>
        <v>5269.9626826751728</v>
      </c>
      <c r="N6355" s="329">
        <f t="shared" si="398"/>
        <v>0</v>
      </c>
      <c r="T6355" s="331">
        <v>0</v>
      </c>
      <c r="U6355" s="328">
        <f>VLOOKUP(C6355,METADATA!$J$5:$Q$29,IF(E6355="HI",2,IF(E6355="LO",6,10))+IF(T6355=1,2,IF(D6355=7,1,(IF(WEEKDAY(B6355)=1,2,IF(WEEKDAY(B6355)=7,1,0))))))</f>
        <v>2</v>
      </c>
      <c r="V6355" s="328">
        <f>VLOOKUP(C6355,METADATA!$A$5:$H$29,IF(E6355="HI",2,IF(E6355="LO",6,10))+IF(T6355=1,2,IF(D6355=7,1,(IF(WEEKDAY(B6355)=1,2,IF(WEEKDAY(B6355)=7,1,0))))))</f>
        <v>2</v>
      </c>
    </row>
    <row r="6356" spans="2:22">
      <c r="B6356" s="318">
        <f t="shared" si="395"/>
        <v>46377</v>
      </c>
      <c r="C6356" s="312">
        <v>16</v>
      </c>
      <c r="D6356" s="368">
        <f>IFERROR((INDEX(METADATA!$T$2:$T$20,MATCH(B6356,METADATA!$S$2:$S$20,0))),0)</f>
        <v>0</v>
      </c>
      <c r="E6356" s="312" t="str">
        <f t="shared" si="396"/>
        <v>LO</v>
      </c>
      <c r="F6356" s="369">
        <f>VLOOKUP(C6356,METADATA!$A$5:$H$29,IF(E6356="HI",2,IF(E6356="LO",6,10))+IF(D6356=1,2,IF(D6356=7,1,(IF(WEEKDAY(B6356)=1,2,IF(WEEKDAY(B6356)=7,1,0))))))</f>
        <v>2</v>
      </c>
      <c r="G6356" s="369">
        <f>VLOOKUP(C6356,METADATA!$J$5:$Q$29,IF(E6356="HI",2,IF(E6356="LO",6,10))+IF(D6356=1,2,IF(D6356=7,1,(IF(WEEKDAY(B6356)=1,2,IF(WEEKDAY(B6356)=7,1,0))))))</f>
        <v>2</v>
      </c>
      <c r="H6356" s="370">
        <v>9001.155029296875</v>
      </c>
      <c r="I6356" s="370">
        <v>2094.5024795532227</v>
      </c>
      <c r="M6356" s="371">
        <f t="shared" si="397"/>
        <v>9241.6304026016442</v>
      </c>
      <c r="N6356" s="329">
        <f t="shared" si="398"/>
        <v>0</v>
      </c>
      <c r="T6356" s="331">
        <v>0</v>
      </c>
      <c r="U6356" s="328">
        <f>VLOOKUP(C6356,METADATA!$J$5:$Q$29,IF(E6356="HI",2,IF(E6356="LO",6,10))+IF(T6356=1,2,IF(D6356=7,1,(IF(WEEKDAY(B6356)=1,2,IF(WEEKDAY(B6356)=7,1,0))))))</f>
        <v>2</v>
      </c>
      <c r="V6356" s="328">
        <f>VLOOKUP(C6356,METADATA!$A$5:$H$29,IF(E6356="HI",2,IF(E6356="LO",6,10))+IF(T6356=1,2,IF(D6356=7,1,(IF(WEEKDAY(B6356)=1,2,IF(WEEKDAY(B6356)=7,1,0))))))</f>
        <v>2</v>
      </c>
    </row>
    <row r="6357" spans="2:22">
      <c r="B6357" s="318">
        <f t="shared" si="395"/>
        <v>46377</v>
      </c>
      <c r="C6357" s="312">
        <v>17</v>
      </c>
      <c r="D6357" s="368">
        <f>IFERROR((INDEX(METADATA!$T$2:$T$20,MATCH(B6357,METADATA!$S$2:$S$20,0))),0)</f>
        <v>0</v>
      </c>
      <c r="E6357" s="312" t="str">
        <f t="shared" si="396"/>
        <v>LO</v>
      </c>
      <c r="F6357" s="369">
        <f>VLOOKUP(C6357,METADATA!$A$5:$H$29,IF(E6357="HI",2,IF(E6357="LO",6,10))+IF(D6357=1,2,IF(D6357=7,1,(IF(WEEKDAY(B6357)=1,2,IF(WEEKDAY(B6357)=7,1,0))))))</f>
        <v>2</v>
      </c>
      <c r="G6357" s="369">
        <f>VLOOKUP(C6357,METADATA!$J$5:$Q$29,IF(E6357="HI",2,IF(E6357="LO",6,10))+IF(D6357=1,2,IF(D6357=7,1,(IF(WEEKDAY(B6357)=1,2,IF(WEEKDAY(B6357)=7,1,0))))))</f>
        <v>2</v>
      </c>
      <c r="H6357" s="370">
        <v>11292.157440185547</v>
      </c>
      <c r="I6357" s="370">
        <v>2796.0975036621094</v>
      </c>
      <c r="M6357" s="371">
        <f t="shared" si="397"/>
        <v>11633.184469607764</v>
      </c>
      <c r="N6357" s="329">
        <f t="shared" si="398"/>
        <v>0</v>
      </c>
      <c r="T6357" s="331">
        <v>0</v>
      </c>
      <c r="U6357" s="328">
        <f>VLOOKUP(C6357,METADATA!$J$5:$Q$29,IF(E6357="HI",2,IF(E6357="LO",6,10))+IF(T6357=1,2,IF(D6357=7,1,(IF(WEEKDAY(B6357)=1,2,IF(WEEKDAY(B6357)=7,1,0))))))</f>
        <v>2</v>
      </c>
      <c r="V6357" s="328">
        <f>VLOOKUP(C6357,METADATA!$A$5:$H$29,IF(E6357="HI",2,IF(E6357="LO",6,10))+IF(T6357=1,2,IF(D6357=7,1,(IF(WEEKDAY(B6357)=1,2,IF(WEEKDAY(B6357)=7,1,0))))))</f>
        <v>2</v>
      </c>
    </row>
    <row r="6358" spans="2:22">
      <c r="B6358" s="318">
        <f t="shared" si="395"/>
        <v>46377</v>
      </c>
      <c r="C6358" s="312">
        <v>18</v>
      </c>
      <c r="D6358" s="368">
        <f>IFERROR((INDEX(METADATA!$T$2:$T$20,MATCH(B6358,METADATA!$S$2:$S$20,0))),0)</f>
        <v>0</v>
      </c>
      <c r="E6358" s="312" t="str">
        <f t="shared" si="396"/>
        <v>LO</v>
      </c>
      <c r="F6358" s="369">
        <f>VLOOKUP(C6358,METADATA!$A$5:$H$29,IF(E6358="HI",2,IF(E6358="LO",6,10))+IF(D6358=1,2,IF(D6358=7,1,(IF(WEEKDAY(B6358)=1,2,IF(WEEKDAY(B6358)=7,1,0))))))</f>
        <v>1</v>
      </c>
      <c r="G6358" s="369">
        <f>VLOOKUP(C6358,METADATA!$J$5:$Q$29,IF(E6358="HI",2,IF(E6358="LO",6,10))+IF(D6358=1,2,IF(D6358=7,1,(IF(WEEKDAY(B6358)=1,2,IF(WEEKDAY(B6358)=7,1,0))))))</f>
        <v>1</v>
      </c>
      <c r="H6358" s="370">
        <v>11231.192443847656</v>
      </c>
      <c r="I6358" s="370">
        <v>2715.6249847412109</v>
      </c>
      <c r="M6358" s="371">
        <f t="shared" si="397"/>
        <v>11554.838933039759</v>
      </c>
      <c r="N6358" s="329">
        <f t="shared" si="398"/>
        <v>0</v>
      </c>
      <c r="T6358" s="331">
        <v>0</v>
      </c>
      <c r="U6358" s="328">
        <f>VLOOKUP(C6358,METADATA!$J$5:$Q$29,IF(E6358="HI",2,IF(E6358="LO",6,10))+IF(T6358=1,2,IF(D6358=7,1,(IF(WEEKDAY(B6358)=1,2,IF(WEEKDAY(B6358)=7,1,0))))))</f>
        <v>1</v>
      </c>
      <c r="V6358" s="328">
        <f>VLOOKUP(C6358,METADATA!$A$5:$H$29,IF(E6358="HI",2,IF(E6358="LO",6,10))+IF(T6358=1,2,IF(D6358=7,1,(IF(WEEKDAY(B6358)=1,2,IF(WEEKDAY(B6358)=7,1,0))))))</f>
        <v>1</v>
      </c>
    </row>
    <row r="6359" spans="2:22">
      <c r="B6359" s="318">
        <f t="shared" si="395"/>
        <v>46377</v>
      </c>
      <c r="C6359" s="312">
        <v>19</v>
      </c>
      <c r="D6359" s="368">
        <f>IFERROR((INDEX(METADATA!$T$2:$T$20,MATCH(B6359,METADATA!$S$2:$S$20,0))),0)</f>
        <v>0</v>
      </c>
      <c r="E6359" s="312" t="str">
        <f t="shared" si="396"/>
        <v>LO</v>
      </c>
      <c r="F6359" s="369">
        <f>VLOOKUP(C6359,METADATA!$A$5:$H$29,IF(E6359="HI",2,IF(E6359="LO",6,10))+IF(D6359=1,2,IF(D6359=7,1,(IF(WEEKDAY(B6359)=1,2,IF(WEEKDAY(B6359)=7,1,0))))))</f>
        <v>1</v>
      </c>
      <c r="G6359" s="369">
        <f>VLOOKUP(C6359,METADATA!$J$5:$Q$29,IF(E6359="HI",2,IF(E6359="LO",6,10))+IF(D6359=1,2,IF(D6359=7,1,(IF(WEEKDAY(B6359)=1,2,IF(WEEKDAY(B6359)=7,1,0))))))</f>
        <v>1</v>
      </c>
      <c r="H6359" s="370">
        <v>11381.637573242188</v>
      </c>
      <c r="I6359" s="370">
        <v>2610.2250061035156</v>
      </c>
      <c r="M6359" s="371">
        <f t="shared" si="397"/>
        <v>11677.112161451838</v>
      </c>
      <c r="N6359" s="329">
        <f t="shared" si="398"/>
        <v>0</v>
      </c>
      <c r="T6359" s="331">
        <v>0</v>
      </c>
      <c r="U6359" s="328">
        <f>VLOOKUP(C6359,METADATA!$J$5:$Q$29,IF(E6359="HI",2,IF(E6359="LO",6,10))+IF(T6359=1,2,IF(D6359=7,1,(IF(WEEKDAY(B6359)=1,2,IF(WEEKDAY(B6359)=7,1,0))))))</f>
        <v>1</v>
      </c>
      <c r="V6359" s="328">
        <f>VLOOKUP(C6359,METADATA!$A$5:$H$29,IF(E6359="HI",2,IF(E6359="LO",6,10))+IF(T6359=1,2,IF(D6359=7,1,(IF(WEEKDAY(B6359)=1,2,IF(WEEKDAY(B6359)=7,1,0))))))</f>
        <v>1</v>
      </c>
    </row>
    <row r="6360" spans="2:22">
      <c r="B6360" s="318">
        <f t="shared" si="395"/>
        <v>46377</v>
      </c>
      <c r="C6360" s="312">
        <v>20</v>
      </c>
      <c r="D6360" s="368">
        <f>IFERROR((INDEX(METADATA!$T$2:$T$20,MATCH(B6360,METADATA!$S$2:$S$20,0))),0)</f>
        <v>0</v>
      </c>
      <c r="E6360" s="312" t="str">
        <f t="shared" si="396"/>
        <v>LO</v>
      </c>
      <c r="F6360" s="369">
        <f>VLOOKUP(C6360,METADATA!$A$5:$H$29,IF(E6360="HI",2,IF(E6360="LO",6,10))+IF(D6360=1,2,IF(D6360=7,1,(IF(WEEKDAY(B6360)=1,2,IF(WEEKDAY(B6360)=7,1,0))))))</f>
        <v>1</v>
      </c>
      <c r="G6360" s="369">
        <f>VLOOKUP(C6360,METADATA!$J$5:$Q$29,IF(E6360="HI",2,IF(E6360="LO",6,10))+IF(D6360=1,2,IF(D6360=7,1,(IF(WEEKDAY(B6360)=1,2,IF(WEEKDAY(B6360)=7,1,0))))))</f>
        <v>1</v>
      </c>
      <c r="H6360" s="370">
        <v>13038.874938964844</v>
      </c>
      <c r="I6360" s="370">
        <v>3705.2099914550781</v>
      </c>
      <c r="M6360" s="371">
        <f t="shared" si="397"/>
        <v>13555.103863664934</v>
      </c>
      <c r="N6360" s="329">
        <f t="shared" si="398"/>
        <v>0</v>
      </c>
      <c r="T6360" s="331">
        <v>0</v>
      </c>
      <c r="U6360" s="328">
        <f>VLOOKUP(C6360,METADATA!$J$5:$Q$29,IF(E6360="HI",2,IF(E6360="LO",6,10))+IF(T6360=1,2,IF(D6360=7,1,(IF(WEEKDAY(B6360)=1,2,IF(WEEKDAY(B6360)=7,1,0))))))</f>
        <v>1</v>
      </c>
      <c r="V6360" s="328">
        <f>VLOOKUP(C6360,METADATA!$A$5:$H$29,IF(E6360="HI",2,IF(E6360="LO",6,10))+IF(T6360=1,2,IF(D6360=7,1,(IF(WEEKDAY(B6360)=1,2,IF(WEEKDAY(B6360)=7,1,0))))))</f>
        <v>1</v>
      </c>
    </row>
    <row r="6361" spans="2:22">
      <c r="B6361" s="318">
        <f t="shared" si="395"/>
        <v>46377</v>
      </c>
      <c r="C6361" s="312">
        <v>21</v>
      </c>
      <c r="D6361" s="368">
        <f>IFERROR((INDEX(METADATA!$T$2:$T$20,MATCH(B6361,METADATA!$S$2:$S$20,0))),0)</f>
        <v>0</v>
      </c>
      <c r="E6361" s="312" t="str">
        <f t="shared" si="396"/>
        <v>LO</v>
      </c>
      <c r="F6361" s="369">
        <f>VLOOKUP(C6361,METADATA!$A$5:$H$29,IF(E6361="HI",2,IF(E6361="LO",6,10))+IF(D6361=1,2,IF(D6361=7,1,(IF(WEEKDAY(B6361)=1,2,IF(WEEKDAY(B6361)=7,1,0))))))</f>
        <v>2</v>
      </c>
      <c r="G6361" s="369">
        <f>VLOOKUP(C6361,METADATA!$J$5:$Q$29,IF(E6361="HI",2,IF(E6361="LO",6,10))+IF(D6361=1,2,IF(D6361=7,1,(IF(WEEKDAY(B6361)=1,2,IF(WEEKDAY(B6361)=7,1,0))))))</f>
        <v>2</v>
      </c>
      <c r="H6361" s="370">
        <v>13526.550109863281</v>
      </c>
      <c r="I6361" s="370">
        <v>4122.0799255371094</v>
      </c>
      <c r="M6361" s="371">
        <f t="shared" si="397"/>
        <v>14140.689544260505</v>
      </c>
      <c r="N6361" s="329">
        <f t="shared" si="398"/>
        <v>64.114892578125364</v>
      </c>
      <c r="T6361" s="331">
        <v>0</v>
      </c>
      <c r="U6361" s="328">
        <f>VLOOKUP(C6361,METADATA!$J$5:$Q$29,IF(E6361="HI",2,IF(E6361="LO",6,10))+IF(T6361=1,2,IF(D6361=7,1,(IF(WEEKDAY(B6361)=1,2,IF(WEEKDAY(B6361)=7,1,0))))))</f>
        <v>2</v>
      </c>
      <c r="V6361" s="328">
        <f>VLOOKUP(C6361,METADATA!$A$5:$H$29,IF(E6361="HI",2,IF(E6361="LO",6,10))+IF(T6361=1,2,IF(D6361=7,1,(IF(WEEKDAY(B6361)=1,2,IF(WEEKDAY(B6361)=7,1,0))))))</f>
        <v>2</v>
      </c>
    </row>
    <row r="6362" spans="2:22">
      <c r="B6362" s="318">
        <f t="shared" si="395"/>
        <v>46377</v>
      </c>
      <c r="C6362" s="312">
        <v>22</v>
      </c>
      <c r="D6362" s="368">
        <f>IFERROR((INDEX(METADATA!$T$2:$T$20,MATCH(B6362,METADATA!$S$2:$S$20,0))),0)</f>
        <v>0</v>
      </c>
      <c r="E6362" s="312" t="str">
        <f t="shared" si="396"/>
        <v>LO</v>
      </c>
      <c r="F6362" s="369">
        <f>VLOOKUP(C6362,METADATA!$A$5:$H$29,IF(E6362="HI",2,IF(E6362="LO",6,10))+IF(D6362=1,2,IF(D6362=7,1,(IF(WEEKDAY(B6362)=1,2,IF(WEEKDAY(B6362)=7,1,0))))))</f>
        <v>3</v>
      </c>
      <c r="G6362" s="369">
        <f>VLOOKUP(C6362,METADATA!$J$5:$Q$29,IF(E6362="HI",2,IF(E6362="LO",6,10))+IF(D6362=1,2,IF(D6362=7,1,(IF(WEEKDAY(B6362)=1,2,IF(WEEKDAY(B6362)=7,1,0))))))</f>
        <v>3</v>
      </c>
      <c r="H6362" s="370">
        <v>13462.89990234375</v>
      </c>
      <c r="I6362" s="370">
        <v>4159.5899963378906</v>
      </c>
      <c r="M6362" s="371">
        <f t="shared" si="397"/>
        <v>14090.84322239665</v>
      </c>
      <c r="N6362" s="329">
        <f t="shared" si="398"/>
        <v>120.72002563476599</v>
      </c>
      <c r="T6362" s="331">
        <v>0</v>
      </c>
      <c r="U6362" s="328">
        <f>VLOOKUP(C6362,METADATA!$J$5:$Q$29,IF(E6362="HI",2,IF(E6362="LO",6,10))+IF(T6362=1,2,IF(D6362=7,1,(IF(WEEKDAY(B6362)=1,2,IF(WEEKDAY(B6362)=7,1,0))))))</f>
        <v>3</v>
      </c>
      <c r="V6362" s="328">
        <f>VLOOKUP(C6362,METADATA!$A$5:$H$29,IF(E6362="HI",2,IF(E6362="LO",6,10))+IF(T6362=1,2,IF(D6362=7,1,(IF(WEEKDAY(B6362)=1,2,IF(WEEKDAY(B6362)=7,1,0))))))</f>
        <v>3</v>
      </c>
    </row>
    <row r="6363" spans="2:22">
      <c r="B6363" s="318">
        <f t="shared" si="395"/>
        <v>46377</v>
      </c>
      <c r="C6363" s="312">
        <v>23</v>
      </c>
      <c r="D6363" s="368">
        <f>IFERROR((INDEX(METADATA!$T$2:$T$20,MATCH(B6363,METADATA!$S$2:$S$20,0))),0)</f>
        <v>0</v>
      </c>
      <c r="E6363" s="312" t="str">
        <f t="shared" si="396"/>
        <v>LO</v>
      </c>
      <c r="F6363" s="369">
        <f>VLOOKUP(C6363,METADATA!$A$5:$H$29,IF(E6363="HI",2,IF(E6363="LO",6,10))+IF(D6363=1,2,IF(D6363=7,1,(IF(WEEKDAY(B6363)=1,2,IF(WEEKDAY(B6363)=7,1,0))))))</f>
        <v>3</v>
      </c>
      <c r="G6363" s="369">
        <f>VLOOKUP(C6363,METADATA!$J$5:$Q$29,IF(E6363="HI",2,IF(E6363="LO",6,10))+IF(D6363=1,2,IF(D6363=7,1,(IF(WEEKDAY(B6363)=1,2,IF(WEEKDAY(B6363)=7,1,0))))))</f>
        <v>3</v>
      </c>
      <c r="H6363" s="370">
        <v>13439.999816894531</v>
      </c>
      <c r="I6363" s="370">
        <v>4055.2401123046875</v>
      </c>
      <c r="M6363" s="371">
        <f t="shared" si="397"/>
        <v>14038.467418011482</v>
      </c>
      <c r="N6363" s="329">
        <f t="shared" si="398"/>
        <v>23.240167236328489</v>
      </c>
      <c r="T6363" s="331">
        <v>0</v>
      </c>
      <c r="U6363" s="328">
        <f>VLOOKUP(C6363,METADATA!$J$5:$Q$29,IF(E6363="HI",2,IF(E6363="LO",6,10))+IF(T6363=1,2,IF(D6363=7,1,(IF(WEEKDAY(B6363)=1,2,IF(WEEKDAY(B6363)=7,1,0))))))</f>
        <v>3</v>
      </c>
      <c r="V6363" s="328">
        <f>VLOOKUP(C6363,METADATA!$A$5:$H$29,IF(E6363="HI",2,IF(E6363="LO",6,10))+IF(T6363=1,2,IF(D6363=7,1,(IF(WEEKDAY(B6363)=1,2,IF(WEEKDAY(B6363)=7,1,0))))))</f>
        <v>3</v>
      </c>
    </row>
    <row r="6364" spans="2:22">
      <c r="B6364" s="318">
        <f t="shared" ref="B6364:B6427" si="399">B6340+1</f>
        <v>46378</v>
      </c>
      <c r="C6364" s="312">
        <v>0</v>
      </c>
      <c r="D6364" s="368">
        <f>IFERROR((INDEX(METADATA!$T$2:$T$20,MATCH(B6364,METADATA!$S$2:$S$20,0))),0)</f>
        <v>0</v>
      </c>
      <c r="E6364" s="312" t="str">
        <f t="shared" si="396"/>
        <v>LO</v>
      </c>
      <c r="F6364" s="369">
        <f>VLOOKUP(C6364,METADATA!$A$5:$H$29,IF(E6364="HI",2,IF(E6364="LO",6,10))+IF(D6364=1,2,IF(D6364=7,1,(IF(WEEKDAY(B6364)=1,2,IF(WEEKDAY(B6364)=7,1,0))))))</f>
        <v>3</v>
      </c>
      <c r="G6364" s="369">
        <f>VLOOKUP(C6364,METADATA!$J$5:$Q$29,IF(E6364="HI",2,IF(E6364="LO",6,10))+IF(D6364=1,2,IF(D6364=7,1,(IF(WEEKDAY(B6364)=1,2,IF(WEEKDAY(B6364)=7,1,0))))))</f>
        <v>3</v>
      </c>
      <c r="H6364" s="370">
        <v>13442.5751953125</v>
      </c>
      <c r="I6364" s="370">
        <v>4070.3349304199219</v>
      </c>
      <c r="M6364" s="371">
        <f t="shared" si="397"/>
        <v>14045.300079650397</v>
      </c>
      <c r="N6364" s="329">
        <f t="shared" si="398"/>
        <v>37.562371826172239</v>
      </c>
      <c r="T6364" s="331">
        <v>0</v>
      </c>
      <c r="U6364" s="328">
        <f>VLOOKUP(C6364,METADATA!$J$5:$Q$29,IF(E6364="HI",2,IF(E6364="LO",6,10))+IF(T6364=1,2,IF(D6364=7,1,(IF(WEEKDAY(B6364)=1,2,IF(WEEKDAY(B6364)=7,1,0))))))</f>
        <v>3</v>
      </c>
      <c r="V6364" s="328">
        <f>VLOOKUP(C6364,METADATA!$A$5:$H$29,IF(E6364="HI",2,IF(E6364="LO",6,10))+IF(T6364=1,2,IF(D6364=7,1,(IF(WEEKDAY(B6364)=1,2,IF(WEEKDAY(B6364)=7,1,0))))))</f>
        <v>3</v>
      </c>
    </row>
    <row r="6365" spans="2:22">
      <c r="B6365" s="318">
        <f t="shared" si="399"/>
        <v>46378</v>
      </c>
      <c r="C6365" s="312">
        <v>1</v>
      </c>
      <c r="D6365" s="368">
        <f>IFERROR((INDEX(METADATA!$T$2:$T$20,MATCH(B6365,METADATA!$S$2:$S$20,0))),0)</f>
        <v>0</v>
      </c>
      <c r="E6365" s="312" t="str">
        <f t="shared" si="396"/>
        <v>LO</v>
      </c>
      <c r="F6365" s="369">
        <f>VLOOKUP(C6365,METADATA!$A$5:$H$29,IF(E6365="HI",2,IF(E6365="LO",6,10))+IF(D6365=1,2,IF(D6365=7,1,(IF(WEEKDAY(B6365)=1,2,IF(WEEKDAY(B6365)=7,1,0))))))</f>
        <v>3</v>
      </c>
      <c r="G6365" s="369">
        <f>VLOOKUP(C6365,METADATA!$J$5:$Q$29,IF(E6365="HI",2,IF(E6365="LO",6,10))+IF(D6365=1,2,IF(D6365=7,1,(IF(WEEKDAY(B6365)=1,2,IF(WEEKDAY(B6365)=7,1,0))))))</f>
        <v>3</v>
      </c>
      <c r="H6365" s="370">
        <v>13420.012512207031</v>
      </c>
      <c r="I6365" s="370">
        <v>4102.5776062011719</v>
      </c>
      <c r="M6365" s="371">
        <f t="shared" si="397"/>
        <v>14033.099402580194</v>
      </c>
      <c r="N6365" s="329">
        <f t="shared" si="398"/>
        <v>76.5738525390625</v>
      </c>
      <c r="T6365" s="331">
        <v>0</v>
      </c>
      <c r="U6365" s="328">
        <f>VLOOKUP(C6365,METADATA!$J$5:$Q$29,IF(E6365="HI",2,IF(E6365="LO",6,10))+IF(T6365=1,2,IF(D6365=7,1,(IF(WEEKDAY(B6365)=1,2,IF(WEEKDAY(B6365)=7,1,0))))))</f>
        <v>3</v>
      </c>
      <c r="V6365" s="328">
        <f>VLOOKUP(C6365,METADATA!$A$5:$H$29,IF(E6365="HI",2,IF(E6365="LO",6,10))+IF(T6365=1,2,IF(D6365=7,1,(IF(WEEKDAY(B6365)=1,2,IF(WEEKDAY(B6365)=7,1,0))))))</f>
        <v>3</v>
      </c>
    </row>
    <row r="6366" spans="2:22">
      <c r="B6366" s="318">
        <f t="shared" si="399"/>
        <v>46378</v>
      </c>
      <c r="C6366" s="312">
        <v>2</v>
      </c>
      <c r="D6366" s="368">
        <f>IFERROR((INDEX(METADATA!$T$2:$T$20,MATCH(B6366,METADATA!$S$2:$S$20,0))),0)</f>
        <v>0</v>
      </c>
      <c r="E6366" s="312" t="str">
        <f t="shared" si="396"/>
        <v>LO</v>
      </c>
      <c r="F6366" s="369">
        <f>VLOOKUP(C6366,METADATA!$A$5:$H$29,IF(E6366="HI",2,IF(E6366="LO",6,10))+IF(D6366=1,2,IF(D6366=7,1,(IF(WEEKDAY(B6366)=1,2,IF(WEEKDAY(B6366)=7,1,0))))))</f>
        <v>3</v>
      </c>
      <c r="G6366" s="369">
        <f>VLOOKUP(C6366,METADATA!$J$5:$Q$29,IF(E6366="HI",2,IF(E6366="LO",6,10))+IF(D6366=1,2,IF(D6366=7,1,(IF(WEEKDAY(B6366)=1,2,IF(WEEKDAY(B6366)=7,1,0))))))</f>
        <v>3</v>
      </c>
      <c r="H6366" s="370">
        <v>13405.974914550781</v>
      </c>
      <c r="I6366" s="370">
        <v>4068.3450317382813</v>
      </c>
      <c r="M6366" s="371">
        <f t="shared" si="397"/>
        <v>14009.696453058303</v>
      </c>
      <c r="N6366" s="329">
        <f t="shared" si="398"/>
        <v>46.552557373046966</v>
      </c>
      <c r="T6366" s="331">
        <v>0</v>
      </c>
      <c r="U6366" s="328">
        <f>VLOOKUP(C6366,METADATA!$J$5:$Q$29,IF(E6366="HI",2,IF(E6366="LO",6,10))+IF(T6366=1,2,IF(D6366=7,1,(IF(WEEKDAY(B6366)=1,2,IF(WEEKDAY(B6366)=7,1,0))))))</f>
        <v>3</v>
      </c>
      <c r="V6366" s="328">
        <f>VLOOKUP(C6366,METADATA!$A$5:$H$29,IF(E6366="HI",2,IF(E6366="LO",6,10))+IF(T6366=1,2,IF(D6366=7,1,(IF(WEEKDAY(B6366)=1,2,IF(WEEKDAY(B6366)=7,1,0))))))</f>
        <v>3</v>
      </c>
    </row>
    <row r="6367" spans="2:22">
      <c r="B6367" s="318">
        <f t="shared" si="399"/>
        <v>46378</v>
      </c>
      <c r="C6367" s="312">
        <v>3</v>
      </c>
      <c r="D6367" s="368">
        <f>IFERROR((INDEX(METADATA!$T$2:$T$20,MATCH(B6367,METADATA!$S$2:$S$20,0))),0)</f>
        <v>0</v>
      </c>
      <c r="E6367" s="312" t="str">
        <f t="shared" si="396"/>
        <v>LO</v>
      </c>
      <c r="F6367" s="369">
        <f>VLOOKUP(C6367,METADATA!$A$5:$H$29,IF(E6367="HI",2,IF(E6367="LO",6,10))+IF(D6367=1,2,IF(D6367=7,1,(IF(WEEKDAY(B6367)=1,2,IF(WEEKDAY(B6367)=7,1,0))))))</f>
        <v>3</v>
      </c>
      <c r="G6367" s="369">
        <f>VLOOKUP(C6367,METADATA!$J$5:$Q$29,IF(E6367="HI",2,IF(E6367="LO",6,10))+IF(D6367=1,2,IF(D6367=7,1,(IF(WEEKDAY(B6367)=1,2,IF(WEEKDAY(B6367)=7,1,0))))))</f>
        <v>3</v>
      </c>
      <c r="H6367" s="370">
        <v>13271.600158691406</v>
      </c>
      <c r="I6367" s="370">
        <v>4069.9700622558594</v>
      </c>
      <c r="M6367" s="371">
        <f t="shared" si="397"/>
        <v>13881.643529490186</v>
      </c>
      <c r="N6367" s="329">
        <f t="shared" si="398"/>
        <v>88.490014648437864</v>
      </c>
      <c r="T6367" s="331">
        <v>0</v>
      </c>
      <c r="U6367" s="328">
        <f>VLOOKUP(C6367,METADATA!$J$5:$Q$29,IF(E6367="HI",2,IF(E6367="LO",6,10))+IF(T6367=1,2,IF(D6367=7,1,(IF(WEEKDAY(B6367)=1,2,IF(WEEKDAY(B6367)=7,1,0))))))</f>
        <v>3</v>
      </c>
      <c r="V6367" s="328">
        <f>VLOOKUP(C6367,METADATA!$A$5:$H$29,IF(E6367="HI",2,IF(E6367="LO",6,10))+IF(T6367=1,2,IF(D6367=7,1,(IF(WEEKDAY(B6367)=1,2,IF(WEEKDAY(B6367)=7,1,0))))))</f>
        <v>3</v>
      </c>
    </row>
    <row r="6368" spans="2:22">
      <c r="B6368" s="318">
        <f t="shared" si="399"/>
        <v>46378</v>
      </c>
      <c r="C6368" s="312">
        <v>4</v>
      </c>
      <c r="D6368" s="368">
        <f>IFERROR((INDEX(METADATA!$T$2:$T$20,MATCH(B6368,METADATA!$S$2:$S$20,0))),0)</f>
        <v>0</v>
      </c>
      <c r="E6368" s="312" t="str">
        <f t="shared" si="396"/>
        <v>LO</v>
      </c>
      <c r="F6368" s="369">
        <f>VLOOKUP(C6368,METADATA!$A$5:$H$29,IF(E6368="HI",2,IF(E6368="LO",6,10))+IF(D6368=1,2,IF(D6368=7,1,(IF(WEEKDAY(B6368)=1,2,IF(WEEKDAY(B6368)=7,1,0))))))</f>
        <v>3</v>
      </c>
      <c r="G6368" s="369">
        <f>VLOOKUP(C6368,METADATA!$J$5:$Q$29,IF(E6368="HI",2,IF(E6368="LO",6,10))+IF(D6368=1,2,IF(D6368=7,1,(IF(WEEKDAY(B6368)=1,2,IF(WEEKDAY(B6368)=7,1,0))))))</f>
        <v>3</v>
      </c>
      <c r="H6368" s="370">
        <v>13243.075073242188</v>
      </c>
      <c r="I6368" s="370">
        <v>4026.1149597167969</v>
      </c>
      <c r="M6368" s="371">
        <f t="shared" si="397"/>
        <v>13841.554792160594</v>
      </c>
      <c r="N6368" s="329">
        <f t="shared" si="398"/>
        <v>53.192437744140989</v>
      </c>
      <c r="T6368" s="331">
        <v>0</v>
      </c>
      <c r="U6368" s="328">
        <f>VLOOKUP(C6368,METADATA!$J$5:$Q$29,IF(E6368="HI",2,IF(E6368="LO",6,10))+IF(T6368=1,2,IF(D6368=7,1,(IF(WEEKDAY(B6368)=1,2,IF(WEEKDAY(B6368)=7,1,0))))))</f>
        <v>3</v>
      </c>
      <c r="V6368" s="328">
        <f>VLOOKUP(C6368,METADATA!$A$5:$H$29,IF(E6368="HI",2,IF(E6368="LO",6,10))+IF(T6368=1,2,IF(D6368=7,1,(IF(WEEKDAY(B6368)=1,2,IF(WEEKDAY(B6368)=7,1,0))))))</f>
        <v>3</v>
      </c>
    </row>
    <row r="6369" spans="2:22">
      <c r="B6369" s="318">
        <f t="shared" si="399"/>
        <v>46378</v>
      </c>
      <c r="C6369" s="312">
        <v>5</v>
      </c>
      <c r="D6369" s="368">
        <f>IFERROR((INDEX(METADATA!$T$2:$T$20,MATCH(B6369,METADATA!$S$2:$S$20,0))),0)</f>
        <v>0</v>
      </c>
      <c r="E6369" s="312" t="str">
        <f t="shared" si="396"/>
        <v>LO</v>
      </c>
      <c r="F6369" s="369">
        <f>VLOOKUP(C6369,METADATA!$A$5:$H$29,IF(E6369="HI",2,IF(E6369="LO",6,10))+IF(D6369=1,2,IF(D6369=7,1,(IF(WEEKDAY(B6369)=1,2,IF(WEEKDAY(B6369)=7,1,0))))))</f>
        <v>3</v>
      </c>
      <c r="G6369" s="369">
        <f>VLOOKUP(C6369,METADATA!$J$5:$Q$29,IF(E6369="HI",2,IF(E6369="LO",6,10))+IF(D6369=1,2,IF(D6369=7,1,(IF(WEEKDAY(B6369)=1,2,IF(WEEKDAY(B6369)=7,1,0))))))</f>
        <v>3</v>
      </c>
      <c r="H6369" s="370">
        <v>13248.050109863281</v>
      </c>
      <c r="I6369" s="370">
        <v>4050.4248657226563</v>
      </c>
      <c r="M6369" s="371">
        <f t="shared" si="397"/>
        <v>13853.402950405827</v>
      </c>
      <c r="N6369" s="329">
        <f t="shared" si="398"/>
        <v>76.009832763671966</v>
      </c>
      <c r="T6369" s="331">
        <v>0</v>
      </c>
      <c r="U6369" s="328">
        <f>VLOOKUP(C6369,METADATA!$J$5:$Q$29,IF(E6369="HI",2,IF(E6369="LO",6,10))+IF(T6369=1,2,IF(D6369=7,1,(IF(WEEKDAY(B6369)=1,2,IF(WEEKDAY(B6369)=7,1,0))))))</f>
        <v>3</v>
      </c>
      <c r="V6369" s="328">
        <f>VLOOKUP(C6369,METADATA!$A$5:$H$29,IF(E6369="HI",2,IF(E6369="LO",6,10))+IF(T6369=1,2,IF(D6369=7,1,(IF(WEEKDAY(B6369)=1,2,IF(WEEKDAY(B6369)=7,1,0))))))</f>
        <v>3</v>
      </c>
    </row>
    <row r="6370" spans="2:22">
      <c r="B6370" s="318">
        <f t="shared" si="399"/>
        <v>46378</v>
      </c>
      <c r="C6370" s="312">
        <v>6</v>
      </c>
      <c r="D6370" s="368">
        <f>IFERROR((INDEX(METADATA!$T$2:$T$20,MATCH(B6370,METADATA!$S$2:$S$20,0))),0)</f>
        <v>0</v>
      </c>
      <c r="E6370" s="312" t="str">
        <f t="shared" si="396"/>
        <v>LO</v>
      </c>
      <c r="F6370" s="369">
        <f>VLOOKUP(C6370,METADATA!$A$5:$H$29,IF(E6370="HI",2,IF(E6370="LO",6,10))+IF(D6370=1,2,IF(D6370=7,1,(IF(WEEKDAY(B6370)=1,2,IF(WEEKDAY(B6370)=7,1,0))))))</f>
        <v>2</v>
      </c>
      <c r="G6370" s="369">
        <f>VLOOKUP(C6370,METADATA!$J$5:$Q$29,IF(E6370="HI",2,IF(E6370="LO",6,10))+IF(D6370=1,2,IF(D6370=7,1,(IF(WEEKDAY(B6370)=1,2,IF(WEEKDAY(B6370)=7,1,0))))))</f>
        <v>2</v>
      </c>
      <c r="H6370" s="370">
        <v>13181.524963378906</v>
      </c>
      <c r="I6370" s="370">
        <v>4013.0449829101563</v>
      </c>
      <c r="M6370" s="371">
        <f t="shared" si="397"/>
        <v>13778.865352235707</v>
      </c>
      <c r="N6370" s="329">
        <f t="shared" si="398"/>
        <v>58.587493896484375</v>
      </c>
      <c r="T6370" s="331">
        <v>0</v>
      </c>
      <c r="U6370" s="328">
        <f>VLOOKUP(C6370,METADATA!$J$5:$Q$29,IF(E6370="HI",2,IF(E6370="LO",6,10))+IF(T6370=1,2,IF(D6370=7,1,(IF(WEEKDAY(B6370)=1,2,IF(WEEKDAY(B6370)=7,1,0))))))</f>
        <v>2</v>
      </c>
      <c r="V6370" s="328">
        <f>VLOOKUP(C6370,METADATA!$A$5:$H$29,IF(E6370="HI",2,IF(E6370="LO",6,10))+IF(T6370=1,2,IF(D6370=7,1,(IF(WEEKDAY(B6370)=1,2,IF(WEEKDAY(B6370)=7,1,0))))))</f>
        <v>2</v>
      </c>
    </row>
    <row r="6371" spans="2:22">
      <c r="B6371" s="318">
        <f t="shared" si="399"/>
        <v>46378</v>
      </c>
      <c r="C6371" s="312">
        <v>7</v>
      </c>
      <c r="D6371" s="368">
        <f>IFERROR((INDEX(METADATA!$T$2:$T$20,MATCH(B6371,METADATA!$S$2:$S$20,0))),0)</f>
        <v>0</v>
      </c>
      <c r="E6371" s="312" t="str">
        <f t="shared" si="396"/>
        <v>LO</v>
      </c>
      <c r="F6371" s="369">
        <f>VLOOKUP(C6371,METADATA!$A$5:$H$29,IF(E6371="HI",2,IF(E6371="LO",6,10))+IF(D6371=1,2,IF(D6371=7,1,(IF(WEEKDAY(B6371)=1,2,IF(WEEKDAY(B6371)=7,1,0))))))</f>
        <v>1</v>
      </c>
      <c r="G6371" s="369">
        <f>VLOOKUP(C6371,METADATA!$J$5:$Q$29,IF(E6371="HI",2,IF(E6371="LO",6,10))+IF(D6371=1,2,IF(D6371=7,1,(IF(WEEKDAY(B6371)=1,2,IF(WEEKDAY(B6371)=7,1,0))))))</f>
        <v>1</v>
      </c>
      <c r="H6371" s="370">
        <v>12179.199829101563</v>
      </c>
      <c r="I6371" s="370">
        <v>3406.6824645996094</v>
      </c>
      <c r="M6371" s="371">
        <f t="shared" si="397"/>
        <v>12646.67521097138</v>
      </c>
      <c r="N6371" s="329">
        <f t="shared" si="398"/>
        <v>0</v>
      </c>
      <c r="T6371" s="331">
        <v>0</v>
      </c>
      <c r="U6371" s="328">
        <f>VLOOKUP(C6371,METADATA!$J$5:$Q$29,IF(E6371="HI",2,IF(E6371="LO",6,10))+IF(T6371=1,2,IF(D6371=7,1,(IF(WEEKDAY(B6371)=1,2,IF(WEEKDAY(B6371)=7,1,0))))))</f>
        <v>1</v>
      </c>
      <c r="V6371" s="328">
        <f>VLOOKUP(C6371,METADATA!$A$5:$H$29,IF(E6371="HI",2,IF(E6371="LO",6,10))+IF(T6371=1,2,IF(D6371=7,1,(IF(WEEKDAY(B6371)=1,2,IF(WEEKDAY(B6371)=7,1,0))))))</f>
        <v>1</v>
      </c>
    </row>
    <row r="6372" spans="2:22">
      <c r="B6372" s="318">
        <f t="shared" si="399"/>
        <v>46378</v>
      </c>
      <c r="C6372" s="312">
        <v>8</v>
      </c>
      <c r="D6372" s="368">
        <f>IFERROR((INDEX(METADATA!$T$2:$T$20,MATCH(B6372,METADATA!$S$2:$S$20,0))),0)</f>
        <v>0</v>
      </c>
      <c r="E6372" s="312" t="str">
        <f t="shared" si="396"/>
        <v>LO</v>
      </c>
      <c r="F6372" s="369">
        <f>VLOOKUP(C6372,METADATA!$A$5:$H$29,IF(E6372="HI",2,IF(E6372="LO",6,10))+IF(D6372=1,2,IF(D6372=7,1,(IF(WEEKDAY(B6372)=1,2,IF(WEEKDAY(B6372)=7,1,0))))))</f>
        <v>1</v>
      </c>
      <c r="G6372" s="369">
        <f>VLOOKUP(C6372,METADATA!$J$5:$Q$29,IF(E6372="HI",2,IF(E6372="LO",6,10))+IF(D6372=1,2,IF(D6372=7,1,(IF(WEEKDAY(B6372)=1,2,IF(WEEKDAY(B6372)=7,1,0))))))</f>
        <v>1</v>
      </c>
      <c r="H6372" s="370">
        <v>11346.962554931641</v>
      </c>
      <c r="I6372" s="370">
        <v>2934.6500549316406</v>
      </c>
      <c r="M6372" s="371">
        <f t="shared" si="397"/>
        <v>11720.312716302884</v>
      </c>
      <c r="N6372" s="329">
        <f t="shared" si="398"/>
        <v>0</v>
      </c>
      <c r="T6372" s="331">
        <v>0</v>
      </c>
      <c r="U6372" s="328">
        <f>VLOOKUP(C6372,METADATA!$J$5:$Q$29,IF(E6372="HI",2,IF(E6372="LO",6,10))+IF(T6372=1,2,IF(D6372=7,1,(IF(WEEKDAY(B6372)=1,2,IF(WEEKDAY(B6372)=7,1,0))))))</f>
        <v>1</v>
      </c>
      <c r="V6372" s="328">
        <f>VLOOKUP(C6372,METADATA!$A$5:$H$29,IF(E6372="HI",2,IF(E6372="LO",6,10))+IF(T6372=1,2,IF(D6372=7,1,(IF(WEEKDAY(B6372)=1,2,IF(WEEKDAY(B6372)=7,1,0))))))</f>
        <v>1</v>
      </c>
    </row>
    <row r="6373" spans="2:22">
      <c r="B6373" s="318">
        <f t="shared" si="399"/>
        <v>46378</v>
      </c>
      <c r="C6373" s="312">
        <v>9</v>
      </c>
      <c r="D6373" s="368">
        <f>IFERROR((INDEX(METADATA!$T$2:$T$20,MATCH(B6373,METADATA!$S$2:$S$20,0))),0)</f>
        <v>0</v>
      </c>
      <c r="E6373" s="312" t="str">
        <f t="shared" si="396"/>
        <v>LO</v>
      </c>
      <c r="F6373" s="369">
        <f>VLOOKUP(C6373,METADATA!$A$5:$H$29,IF(E6373="HI",2,IF(E6373="LO",6,10))+IF(D6373=1,2,IF(D6373=7,1,(IF(WEEKDAY(B6373)=1,2,IF(WEEKDAY(B6373)=7,1,0))))))</f>
        <v>2</v>
      </c>
      <c r="G6373" s="369">
        <f>VLOOKUP(C6373,METADATA!$J$5:$Q$29,IF(E6373="HI",2,IF(E6373="LO",6,10))+IF(D6373=1,2,IF(D6373=7,1,(IF(WEEKDAY(B6373)=1,2,IF(WEEKDAY(B6373)=7,1,0))))))</f>
        <v>2</v>
      </c>
      <c r="H6373" s="370">
        <v>11379.315032958984</v>
      </c>
      <c r="I6373" s="370">
        <v>2859.4774169921875</v>
      </c>
      <c r="M6373" s="371">
        <f t="shared" si="397"/>
        <v>11733.090885082867</v>
      </c>
      <c r="N6373" s="329">
        <f t="shared" si="398"/>
        <v>0</v>
      </c>
      <c r="T6373" s="331">
        <v>0</v>
      </c>
      <c r="U6373" s="328">
        <f>VLOOKUP(C6373,METADATA!$J$5:$Q$29,IF(E6373="HI",2,IF(E6373="LO",6,10))+IF(T6373=1,2,IF(D6373=7,1,(IF(WEEKDAY(B6373)=1,2,IF(WEEKDAY(B6373)=7,1,0))))))</f>
        <v>2</v>
      </c>
      <c r="V6373" s="328">
        <f>VLOOKUP(C6373,METADATA!$A$5:$H$29,IF(E6373="HI",2,IF(E6373="LO",6,10))+IF(T6373=1,2,IF(D6373=7,1,(IF(WEEKDAY(B6373)=1,2,IF(WEEKDAY(B6373)=7,1,0))))))</f>
        <v>2</v>
      </c>
    </row>
    <row r="6374" spans="2:22">
      <c r="B6374" s="318">
        <f t="shared" si="399"/>
        <v>46378</v>
      </c>
      <c r="C6374" s="312">
        <v>10</v>
      </c>
      <c r="D6374" s="368">
        <f>IFERROR((INDEX(METADATA!$T$2:$T$20,MATCH(B6374,METADATA!$S$2:$S$20,0))),0)</f>
        <v>0</v>
      </c>
      <c r="E6374" s="312" t="str">
        <f t="shared" si="396"/>
        <v>LO</v>
      </c>
      <c r="F6374" s="369">
        <f>VLOOKUP(C6374,METADATA!$A$5:$H$29,IF(E6374="HI",2,IF(E6374="LO",6,10))+IF(D6374=1,2,IF(D6374=7,1,(IF(WEEKDAY(B6374)=1,2,IF(WEEKDAY(B6374)=7,1,0))))))</f>
        <v>2</v>
      </c>
      <c r="G6374" s="369">
        <f>VLOOKUP(C6374,METADATA!$J$5:$Q$29,IF(E6374="HI",2,IF(E6374="LO",6,10))+IF(D6374=1,2,IF(D6374=7,1,(IF(WEEKDAY(B6374)=1,2,IF(WEEKDAY(B6374)=7,1,0))))))</f>
        <v>2</v>
      </c>
      <c r="H6374" s="370">
        <v>11332.445068359375</v>
      </c>
      <c r="I6374" s="370">
        <v>2798.0674133300781</v>
      </c>
      <c r="M6374" s="371">
        <f t="shared" si="397"/>
        <v>11672.767130244756</v>
      </c>
      <c r="N6374" s="329">
        <f t="shared" si="398"/>
        <v>0</v>
      </c>
      <c r="T6374" s="331">
        <v>0</v>
      </c>
      <c r="U6374" s="328">
        <f>VLOOKUP(C6374,METADATA!$J$5:$Q$29,IF(E6374="HI",2,IF(E6374="LO",6,10))+IF(T6374=1,2,IF(D6374=7,1,(IF(WEEKDAY(B6374)=1,2,IF(WEEKDAY(B6374)=7,1,0))))))</f>
        <v>2</v>
      </c>
      <c r="V6374" s="328">
        <f>VLOOKUP(C6374,METADATA!$A$5:$H$29,IF(E6374="HI",2,IF(E6374="LO",6,10))+IF(T6374=1,2,IF(D6374=7,1,(IF(WEEKDAY(B6374)=1,2,IF(WEEKDAY(B6374)=7,1,0))))))</f>
        <v>2</v>
      </c>
    </row>
    <row r="6375" spans="2:22">
      <c r="B6375" s="318">
        <f t="shared" si="399"/>
        <v>46378</v>
      </c>
      <c r="C6375" s="312">
        <v>11</v>
      </c>
      <c r="D6375" s="368">
        <f>IFERROR((INDEX(METADATA!$T$2:$T$20,MATCH(B6375,METADATA!$S$2:$S$20,0))),0)</f>
        <v>0</v>
      </c>
      <c r="E6375" s="312" t="str">
        <f t="shared" si="396"/>
        <v>LO</v>
      </c>
      <c r="F6375" s="369">
        <f>VLOOKUP(C6375,METADATA!$A$5:$H$29,IF(E6375="HI",2,IF(E6375="LO",6,10))+IF(D6375=1,2,IF(D6375=7,1,(IF(WEEKDAY(B6375)=1,2,IF(WEEKDAY(B6375)=7,1,0))))))</f>
        <v>2</v>
      </c>
      <c r="G6375" s="369">
        <f>VLOOKUP(C6375,METADATA!$J$5:$Q$29,IF(E6375="HI",2,IF(E6375="LO",6,10))+IF(D6375=1,2,IF(D6375=7,1,(IF(WEEKDAY(B6375)=1,2,IF(WEEKDAY(B6375)=7,1,0))))))</f>
        <v>2</v>
      </c>
      <c r="H6375" s="370">
        <v>11665.775390625</v>
      </c>
      <c r="I6375" s="370">
        <v>2788.2849655151367</v>
      </c>
      <c r="M6375" s="371">
        <f t="shared" si="397"/>
        <v>11994.367366119382</v>
      </c>
      <c r="N6375" s="329">
        <f t="shared" si="398"/>
        <v>0</v>
      </c>
      <c r="T6375" s="331">
        <v>0</v>
      </c>
      <c r="U6375" s="328">
        <f>VLOOKUP(C6375,METADATA!$J$5:$Q$29,IF(E6375="HI",2,IF(E6375="LO",6,10))+IF(T6375=1,2,IF(D6375=7,1,(IF(WEEKDAY(B6375)=1,2,IF(WEEKDAY(B6375)=7,1,0))))))</f>
        <v>2</v>
      </c>
      <c r="V6375" s="328">
        <f>VLOOKUP(C6375,METADATA!$A$5:$H$29,IF(E6375="HI",2,IF(E6375="LO",6,10))+IF(T6375=1,2,IF(D6375=7,1,(IF(WEEKDAY(B6375)=1,2,IF(WEEKDAY(B6375)=7,1,0))))))</f>
        <v>2</v>
      </c>
    </row>
    <row r="6376" spans="2:22">
      <c r="B6376" s="318">
        <f t="shared" si="399"/>
        <v>46378</v>
      </c>
      <c r="C6376" s="312">
        <v>12</v>
      </c>
      <c r="D6376" s="368">
        <f>IFERROR((INDEX(METADATA!$T$2:$T$20,MATCH(B6376,METADATA!$S$2:$S$20,0))),0)</f>
        <v>0</v>
      </c>
      <c r="E6376" s="312" t="str">
        <f t="shared" si="396"/>
        <v>LO</v>
      </c>
      <c r="F6376" s="369">
        <f>VLOOKUP(C6376,METADATA!$A$5:$H$29,IF(E6376="HI",2,IF(E6376="LO",6,10))+IF(D6376=1,2,IF(D6376=7,1,(IF(WEEKDAY(B6376)=1,2,IF(WEEKDAY(B6376)=7,1,0))))))</f>
        <v>2</v>
      </c>
      <c r="G6376" s="369">
        <f>VLOOKUP(C6376,METADATA!$J$5:$Q$29,IF(E6376="HI",2,IF(E6376="LO",6,10))+IF(D6376=1,2,IF(D6376=7,1,(IF(WEEKDAY(B6376)=1,2,IF(WEEKDAY(B6376)=7,1,0))))))</f>
        <v>2</v>
      </c>
      <c r="H6376" s="370">
        <v>12272.100158691406</v>
      </c>
      <c r="I6376" s="370">
        <v>3133.6049499511719</v>
      </c>
      <c r="M6376" s="371">
        <f t="shared" si="397"/>
        <v>12665.856555610921</v>
      </c>
      <c r="N6376" s="329">
        <f t="shared" si="398"/>
        <v>0</v>
      </c>
      <c r="T6376" s="331">
        <v>0</v>
      </c>
      <c r="U6376" s="328">
        <f>VLOOKUP(C6376,METADATA!$J$5:$Q$29,IF(E6376="HI",2,IF(E6376="LO",6,10))+IF(T6376=1,2,IF(D6376=7,1,(IF(WEEKDAY(B6376)=1,2,IF(WEEKDAY(B6376)=7,1,0))))))</f>
        <v>2</v>
      </c>
      <c r="V6376" s="328">
        <f>VLOOKUP(C6376,METADATA!$A$5:$H$29,IF(E6376="HI",2,IF(E6376="LO",6,10))+IF(T6376=1,2,IF(D6376=7,1,(IF(WEEKDAY(B6376)=1,2,IF(WEEKDAY(B6376)=7,1,0))))))</f>
        <v>2</v>
      </c>
    </row>
    <row r="6377" spans="2:22">
      <c r="B6377" s="318">
        <f t="shared" si="399"/>
        <v>46378</v>
      </c>
      <c r="C6377" s="312">
        <v>13</v>
      </c>
      <c r="D6377" s="368">
        <f>IFERROR((INDEX(METADATA!$T$2:$T$20,MATCH(B6377,METADATA!$S$2:$S$20,0))),0)</f>
        <v>0</v>
      </c>
      <c r="E6377" s="312" t="str">
        <f t="shared" si="396"/>
        <v>LO</v>
      </c>
      <c r="F6377" s="369">
        <f>VLOOKUP(C6377,METADATA!$A$5:$H$29,IF(E6377="HI",2,IF(E6377="LO",6,10))+IF(D6377=1,2,IF(D6377=7,1,(IF(WEEKDAY(B6377)=1,2,IF(WEEKDAY(B6377)=7,1,0))))))</f>
        <v>2</v>
      </c>
      <c r="G6377" s="369">
        <f>VLOOKUP(C6377,METADATA!$J$5:$Q$29,IF(E6377="HI",2,IF(E6377="LO",6,10))+IF(D6377=1,2,IF(D6377=7,1,(IF(WEEKDAY(B6377)=1,2,IF(WEEKDAY(B6377)=7,1,0))))))</f>
        <v>2</v>
      </c>
      <c r="H6377" s="370">
        <v>13139.075134277344</v>
      </c>
      <c r="I6377" s="370">
        <v>3874.3150024414063</v>
      </c>
      <c r="M6377" s="371">
        <f t="shared" si="397"/>
        <v>13698.379908672694</v>
      </c>
      <c r="N6377" s="329">
        <f t="shared" si="398"/>
        <v>0</v>
      </c>
      <c r="T6377" s="331">
        <v>0</v>
      </c>
      <c r="U6377" s="328">
        <f>VLOOKUP(C6377,METADATA!$J$5:$Q$29,IF(E6377="HI",2,IF(E6377="LO",6,10))+IF(T6377=1,2,IF(D6377=7,1,(IF(WEEKDAY(B6377)=1,2,IF(WEEKDAY(B6377)=7,1,0))))))</f>
        <v>2</v>
      </c>
      <c r="V6377" s="328">
        <f>VLOOKUP(C6377,METADATA!$A$5:$H$29,IF(E6377="HI",2,IF(E6377="LO",6,10))+IF(T6377=1,2,IF(D6377=7,1,(IF(WEEKDAY(B6377)=1,2,IF(WEEKDAY(B6377)=7,1,0))))))</f>
        <v>2</v>
      </c>
    </row>
    <row r="6378" spans="2:22">
      <c r="B6378" s="318">
        <f t="shared" si="399"/>
        <v>46378</v>
      </c>
      <c r="C6378" s="312">
        <v>14</v>
      </c>
      <c r="D6378" s="368">
        <f>IFERROR((INDEX(METADATA!$T$2:$T$20,MATCH(B6378,METADATA!$S$2:$S$20,0))),0)</f>
        <v>0</v>
      </c>
      <c r="E6378" s="312" t="str">
        <f t="shared" si="396"/>
        <v>LO</v>
      </c>
      <c r="F6378" s="369">
        <f>VLOOKUP(C6378,METADATA!$A$5:$H$29,IF(E6378="HI",2,IF(E6378="LO",6,10))+IF(D6378=1,2,IF(D6378=7,1,(IF(WEEKDAY(B6378)=1,2,IF(WEEKDAY(B6378)=7,1,0))))))</f>
        <v>2</v>
      </c>
      <c r="G6378" s="369">
        <f>VLOOKUP(C6378,METADATA!$J$5:$Q$29,IF(E6378="HI",2,IF(E6378="LO",6,10))+IF(D6378=1,2,IF(D6378=7,1,(IF(WEEKDAY(B6378)=1,2,IF(WEEKDAY(B6378)=7,1,0))))))</f>
        <v>2</v>
      </c>
      <c r="H6378" s="370">
        <v>13031.550048828125</v>
      </c>
      <c r="I6378" s="370">
        <v>3932.2650451660156</v>
      </c>
      <c r="M6378" s="371">
        <f t="shared" si="397"/>
        <v>13611.906738607446</v>
      </c>
      <c r="N6378" s="329">
        <f t="shared" si="398"/>
        <v>22.800030517578307</v>
      </c>
      <c r="T6378" s="331">
        <v>0</v>
      </c>
      <c r="U6378" s="328">
        <f>VLOOKUP(C6378,METADATA!$J$5:$Q$29,IF(E6378="HI",2,IF(E6378="LO",6,10))+IF(T6378=1,2,IF(D6378=7,1,(IF(WEEKDAY(B6378)=1,2,IF(WEEKDAY(B6378)=7,1,0))))))</f>
        <v>2</v>
      </c>
      <c r="V6378" s="328">
        <f>VLOOKUP(C6378,METADATA!$A$5:$H$29,IF(E6378="HI",2,IF(E6378="LO",6,10))+IF(T6378=1,2,IF(D6378=7,1,(IF(WEEKDAY(B6378)=1,2,IF(WEEKDAY(B6378)=7,1,0))))))</f>
        <v>2</v>
      </c>
    </row>
    <row r="6379" spans="2:22">
      <c r="B6379" s="318">
        <f t="shared" si="399"/>
        <v>46378</v>
      </c>
      <c r="C6379" s="312">
        <v>15</v>
      </c>
      <c r="D6379" s="368">
        <f>IFERROR((INDEX(METADATA!$T$2:$T$20,MATCH(B6379,METADATA!$S$2:$S$20,0))),0)</f>
        <v>0</v>
      </c>
      <c r="E6379" s="312" t="str">
        <f t="shared" si="396"/>
        <v>LO</v>
      </c>
      <c r="F6379" s="369">
        <f>VLOOKUP(C6379,METADATA!$A$5:$H$29,IF(E6379="HI",2,IF(E6379="LO",6,10))+IF(D6379=1,2,IF(D6379=7,1,(IF(WEEKDAY(B6379)=1,2,IF(WEEKDAY(B6379)=7,1,0))))))</f>
        <v>2</v>
      </c>
      <c r="G6379" s="369">
        <f>VLOOKUP(C6379,METADATA!$J$5:$Q$29,IF(E6379="HI",2,IF(E6379="LO",6,10))+IF(D6379=1,2,IF(D6379=7,1,(IF(WEEKDAY(B6379)=1,2,IF(WEEKDAY(B6379)=7,1,0))))))</f>
        <v>2</v>
      </c>
      <c r="H6379" s="370">
        <v>13276.449829101563</v>
      </c>
      <c r="I6379" s="370">
        <v>3954.6700744628906</v>
      </c>
      <c r="M6379" s="371">
        <f t="shared" si="397"/>
        <v>13852.925159059483</v>
      </c>
      <c r="N6379" s="329">
        <f t="shared" si="398"/>
        <v>0</v>
      </c>
      <c r="T6379" s="331">
        <v>0</v>
      </c>
      <c r="U6379" s="328">
        <f>VLOOKUP(C6379,METADATA!$J$5:$Q$29,IF(E6379="HI",2,IF(E6379="LO",6,10))+IF(T6379=1,2,IF(D6379=7,1,(IF(WEEKDAY(B6379)=1,2,IF(WEEKDAY(B6379)=7,1,0))))))</f>
        <v>2</v>
      </c>
      <c r="V6379" s="328">
        <f>VLOOKUP(C6379,METADATA!$A$5:$H$29,IF(E6379="HI",2,IF(E6379="LO",6,10))+IF(T6379=1,2,IF(D6379=7,1,(IF(WEEKDAY(B6379)=1,2,IF(WEEKDAY(B6379)=7,1,0))))))</f>
        <v>2</v>
      </c>
    </row>
    <row r="6380" spans="2:22">
      <c r="B6380" s="318">
        <f t="shared" si="399"/>
        <v>46378</v>
      </c>
      <c r="C6380" s="312">
        <v>16</v>
      </c>
      <c r="D6380" s="368">
        <f>IFERROR((INDEX(METADATA!$T$2:$T$20,MATCH(B6380,METADATA!$S$2:$S$20,0))),0)</f>
        <v>0</v>
      </c>
      <c r="E6380" s="312" t="str">
        <f t="shared" si="396"/>
        <v>LO</v>
      </c>
      <c r="F6380" s="369">
        <f>VLOOKUP(C6380,METADATA!$A$5:$H$29,IF(E6380="HI",2,IF(E6380="LO",6,10))+IF(D6380=1,2,IF(D6380=7,1,(IF(WEEKDAY(B6380)=1,2,IF(WEEKDAY(B6380)=7,1,0))))))</f>
        <v>2</v>
      </c>
      <c r="G6380" s="369">
        <f>VLOOKUP(C6380,METADATA!$J$5:$Q$29,IF(E6380="HI",2,IF(E6380="LO",6,10))+IF(D6380=1,2,IF(D6380=7,1,(IF(WEEKDAY(B6380)=1,2,IF(WEEKDAY(B6380)=7,1,0))))))</f>
        <v>2</v>
      </c>
      <c r="H6380" s="370">
        <v>13102.925354003906</v>
      </c>
      <c r="I6380" s="370">
        <v>3837.9249572753906</v>
      </c>
      <c r="M6380" s="371">
        <f t="shared" si="397"/>
        <v>13653.436227202135</v>
      </c>
      <c r="N6380" s="329">
        <f t="shared" si="398"/>
        <v>0</v>
      </c>
      <c r="T6380" s="331">
        <v>0</v>
      </c>
      <c r="U6380" s="328">
        <f>VLOOKUP(C6380,METADATA!$J$5:$Q$29,IF(E6380="HI",2,IF(E6380="LO",6,10))+IF(T6380=1,2,IF(D6380=7,1,(IF(WEEKDAY(B6380)=1,2,IF(WEEKDAY(B6380)=7,1,0))))))</f>
        <v>2</v>
      </c>
      <c r="V6380" s="328">
        <f>VLOOKUP(C6380,METADATA!$A$5:$H$29,IF(E6380="HI",2,IF(E6380="LO",6,10))+IF(T6380=1,2,IF(D6380=7,1,(IF(WEEKDAY(B6380)=1,2,IF(WEEKDAY(B6380)=7,1,0))))))</f>
        <v>2</v>
      </c>
    </row>
    <row r="6381" spans="2:22">
      <c r="B6381" s="318">
        <f t="shared" si="399"/>
        <v>46378</v>
      </c>
      <c r="C6381" s="312">
        <v>17</v>
      </c>
      <c r="D6381" s="368">
        <f>IFERROR((INDEX(METADATA!$T$2:$T$20,MATCH(B6381,METADATA!$S$2:$S$20,0))),0)</f>
        <v>0</v>
      </c>
      <c r="E6381" s="312" t="str">
        <f t="shared" si="396"/>
        <v>LO</v>
      </c>
      <c r="F6381" s="369">
        <f>VLOOKUP(C6381,METADATA!$A$5:$H$29,IF(E6381="HI",2,IF(E6381="LO",6,10))+IF(D6381=1,2,IF(D6381=7,1,(IF(WEEKDAY(B6381)=1,2,IF(WEEKDAY(B6381)=7,1,0))))))</f>
        <v>2</v>
      </c>
      <c r="G6381" s="369">
        <f>VLOOKUP(C6381,METADATA!$J$5:$Q$29,IF(E6381="HI",2,IF(E6381="LO",6,10))+IF(D6381=1,2,IF(D6381=7,1,(IF(WEEKDAY(B6381)=1,2,IF(WEEKDAY(B6381)=7,1,0))))))</f>
        <v>2</v>
      </c>
      <c r="H6381" s="370">
        <v>13048.525085449219</v>
      </c>
      <c r="I6381" s="370">
        <v>3816.3100280761719</v>
      </c>
      <c r="M6381" s="371">
        <f t="shared" si="397"/>
        <v>13595.154619789813</v>
      </c>
      <c r="N6381" s="329">
        <f t="shared" si="398"/>
        <v>0</v>
      </c>
      <c r="T6381" s="331">
        <v>0</v>
      </c>
      <c r="U6381" s="328">
        <f>VLOOKUP(C6381,METADATA!$J$5:$Q$29,IF(E6381="HI",2,IF(E6381="LO",6,10))+IF(T6381=1,2,IF(D6381=7,1,(IF(WEEKDAY(B6381)=1,2,IF(WEEKDAY(B6381)=7,1,0))))))</f>
        <v>2</v>
      </c>
      <c r="V6381" s="328">
        <f>VLOOKUP(C6381,METADATA!$A$5:$H$29,IF(E6381="HI",2,IF(E6381="LO",6,10))+IF(T6381=1,2,IF(D6381=7,1,(IF(WEEKDAY(B6381)=1,2,IF(WEEKDAY(B6381)=7,1,0))))))</f>
        <v>2</v>
      </c>
    </row>
    <row r="6382" spans="2:22">
      <c r="B6382" s="318">
        <f t="shared" si="399"/>
        <v>46378</v>
      </c>
      <c r="C6382" s="312">
        <v>18</v>
      </c>
      <c r="D6382" s="368">
        <f>IFERROR((INDEX(METADATA!$T$2:$T$20,MATCH(B6382,METADATA!$S$2:$S$20,0))),0)</f>
        <v>0</v>
      </c>
      <c r="E6382" s="312" t="str">
        <f t="shared" si="396"/>
        <v>LO</v>
      </c>
      <c r="F6382" s="369">
        <f>VLOOKUP(C6382,METADATA!$A$5:$H$29,IF(E6382="HI",2,IF(E6382="LO",6,10))+IF(D6382=1,2,IF(D6382=7,1,(IF(WEEKDAY(B6382)=1,2,IF(WEEKDAY(B6382)=7,1,0))))))</f>
        <v>1</v>
      </c>
      <c r="G6382" s="369">
        <f>VLOOKUP(C6382,METADATA!$J$5:$Q$29,IF(E6382="HI",2,IF(E6382="LO",6,10))+IF(D6382=1,2,IF(D6382=7,1,(IF(WEEKDAY(B6382)=1,2,IF(WEEKDAY(B6382)=7,1,0))))))</f>
        <v>1</v>
      </c>
      <c r="H6382" s="370">
        <v>11489.522705078125</v>
      </c>
      <c r="I6382" s="370">
        <v>2933.5649719238281</v>
      </c>
      <c r="M6382" s="371">
        <f t="shared" si="397"/>
        <v>11858.116858717669</v>
      </c>
      <c r="N6382" s="329">
        <f t="shared" si="398"/>
        <v>0</v>
      </c>
      <c r="T6382" s="331">
        <v>0</v>
      </c>
      <c r="U6382" s="328">
        <f>VLOOKUP(C6382,METADATA!$J$5:$Q$29,IF(E6382="HI",2,IF(E6382="LO",6,10))+IF(T6382=1,2,IF(D6382=7,1,(IF(WEEKDAY(B6382)=1,2,IF(WEEKDAY(B6382)=7,1,0))))))</f>
        <v>1</v>
      </c>
      <c r="V6382" s="328">
        <f>VLOOKUP(C6382,METADATA!$A$5:$H$29,IF(E6382="HI",2,IF(E6382="LO",6,10))+IF(T6382=1,2,IF(D6382=7,1,(IF(WEEKDAY(B6382)=1,2,IF(WEEKDAY(B6382)=7,1,0))))))</f>
        <v>1</v>
      </c>
    </row>
    <row r="6383" spans="2:22">
      <c r="B6383" s="318">
        <f t="shared" si="399"/>
        <v>46378</v>
      </c>
      <c r="C6383" s="312">
        <v>19</v>
      </c>
      <c r="D6383" s="368">
        <f>IFERROR((INDEX(METADATA!$T$2:$T$20,MATCH(B6383,METADATA!$S$2:$S$20,0))),0)</f>
        <v>0</v>
      </c>
      <c r="E6383" s="312" t="str">
        <f t="shared" si="396"/>
        <v>LO</v>
      </c>
      <c r="F6383" s="369">
        <f>VLOOKUP(C6383,METADATA!$A$5:$H$29,IF(E6383="HI",2,IF(E6383="LO",6,10))+IF(D6383=1,2,IF(D6383=7,1,(IF(WEEKDAY(B6383)=1,2,IF(WEEKDAY(B6383)=7,1,0))))))</f>
        <v>1</v>
      </c>
      <c r="G6383" s="369">
        <f>VLOOKUP(C6383,METADATA!$J$5:$Q$29,IF(E6383="HI",2,IF(E6383="LO",6,10))+IF(D6383=1,2,IF(D6383=7,1,(IF(WEEKDAY(B6383)=1,2,IF(WEEKDAY(B6383)=7,1,0))))))</f>
        <v>1</v>
      </c>
      <c r="H6383" s="370">
        <v>11232.342193603516</v>
      </c>
      <c r="I6383" s="370">
        <v>2720.9749145507813</v>
      </c>
      <c r="M6383" s="371">
        <f t="shared" si="397"/>
        <v>11557.214873827537</v>
      </c>
      <c r="N6383" s="329">
        <f t="shared" si="398"/>
        <v>0</v>
      </c>
      <c r="T6383" s="331">
        <v>0</v>
      </c>
      <c r="U6383" s="328">
        <f>VLOOKUP(C6383,METADATA!$J$5:$Q$29,IF(E6383="HI",2,IF(E6383="LO",6,10))+IF(T6383=1,2,IF(D6383=7,1,(IF(WEEKDAY(B6383)=1,2,IF(WEEKDAY(B6383)=7,1,0))))))</f>
        <v>1</v>
      </c>
      <c r="V6383" s="328">
        <f>VLOOKUP(C6383,METADATA!$A$5:$H$29,IF(E6383="HI",2,IF(E6383="LO",6,10))+IF(T6383=1,2,IF(D6383=7,1,(IF(WEEKDAY(B6383)=1,2,IF(WEEKDAY(B6383)=7,1,0))))))</f>
        <v>1</v>
      </c>
    </row>
    <row r="6384" spans="2:22">
      <c r="B6384" s="318">
        <f t="shared" si="399"/>
        <v>46378</v>
      </c>
      <c r="C6384" s="312">
        <v>20</v>
      </c>
      <c r="D6384" s="368">
        <f>IFERROR((INDEX(METADATA!$T$2:$T$20,MATCH(B6384,METADATA!$S$2:$S$20,0))),0)</f>
        <v>0</v>
      </c>
      <c r="E6384" s="312" t="str">
        <f t="shared" si="396"/>
        <v>LO</v>
      </c>
      <c r="F6384" s="369">
        <f>VLOOKUP(C6384,METADATA!$A$5:$H$29,IF(E6384="HI",2,IF(E6384="LO",6,10))+IF(D6384=1,2,IF(D6384=7,1,(IF(WEEKDAY(B6384)=1,2,IF(WEEKDAY(B6384)=7,1,0))))))</f>
        <v>1</v>
      </c>
      <c r="G6384" s="369">
        <f>VLOOKUP(C6384,METADATA!$J$5:$Q$29,IF(E6384="HI",2,IF(E6384="LO",6,10))+IF(D6384=1,2,IF(D6384=7,1,(IF(WEEKDAY(B6384)=1,2,IF(WEEKDAY(B6384)=7,1,0))))))</f>
        <v>1</v>
      </c>
      <c r="H6384" s="370">
        <v>11182.479858398438</v>
      </c>
      <c r="I6384" s="370">
        <v>2715.2673950195313</v>
      </c>
      <c r="M6384" s="371">
        <f t="shared" si="397"/>
        <v>11507.41208134752</v>
      </c>
      <c r="N6384" s="329">
        <f t="shared" si="398"/>
        <v>0</v>
      </c>
      <c r="T6384" s="331">
        <v>0</v>
      </c>
      <c r="U6384" s="328">
        <f>VLOOKUP(C6384,METADATA!$J$5:$Q$29,IF(E6384="HI",2,IF(E6384="LO",6,10))+IF(T6384=1,2,IF(D6384=7,1,(IF(WEEKDAY(B6384)=1,2,IF(WEEKDAY(B6384)=7,1,0))))))</f>
        <v>1</v>
      </c>
      <c r="V6384" s="328">
        <f>VLOOKUP(C6384,METADATA!$A$5:$H$29,IF(E6384="HI",2,IF(E6384="LO",6,10))+IF(T6384=1,2,IF(D6384=7,1,(IF(WEEKDAY(B6384)=1,2,IF(WEEKDAY(B6384)=7,1,0))))))</f>
        <v>1</v>
      </c>
    </row>
    <row r="6385" spans="2:22">
      <c r="B6385" s="318">
        <f t="shared" si="399"/>
        <v>46378</v>
      </c>
      <c r="C6385" s="312">
        <v>21</v>
      </c>
      <c r="D6385" s="368">
        <f>IFERROR((INDEX(METADATA!$T$2:$T$20,MATCH(B6385,METADATA!$S$2:$S$20,0))),0)</f>
        <v>0</v>
      </c>
      <c r="E6385" s="312" t="str">
        <f t="shared" si="396"/>
        <v>LO</v>
      </c>
      <c r="F6385" s="369">
        <f>VLOOKUP(C6385,METADATA!$A$5:$H$29,IF(E6385="HI",2,IF(E6385="LO",6,10))+IF(D6385=1,2,IF(D6385=7,1,(IF(WEEKDAY(B6385)=1,2,IF(WEEKDAY(B6385)=7,1,0))))))</f>
        <v>2</v>
      </c>
      <c r="G6385" s="369">
        <f>VLOOKUP(C6385,METADATA!$J$5:$Q$29,IF(E6385="HI",2,IF(E6385="LO",6,10))+IF(D6385=1,2,IF(D6385=7,1,(IF(WEEKDAY(B6385)=1,2,IF(WEEKDAY(B6385)=7,1,0))))))</f>
        <v>2</v>
      </c>
      <c r="H6385" s="370">
        <v>11261.714874267578</v>
      </c>
      <c r="I6385" s="370">
        <v>2761.6075134277344</v>
      </c>
      <c r="M6385" s="371">
        <f t="shared" si="397"/>
        <v>11595.373989980664</v>
      </c>
      <c r="N6385" s="329">
        <f t="shared" si="398"/>
        <v>0</v>
      </c>
      <c r="T6385" s="331">
        <v>0</v>
      </c>
      <c r="U6385" s="328">
        <f>VLOOKUP(C6385,METADATA!$J$5:$Q$29,IF(E6385="HI",2,IF(E6385="LO",6,10))+IF(T6385=1,2,IF(D6385=7,1,(IF(WEEKDAY(B6385)=1,2,IF(WEEKDAY(B6385)=7,1,0))))))</f>
        <v>2</v>
      </c>
      <c r="V6385" s="328">
        <f>VLOOKUP(C6385,METADATA!$A$5:$H$29,IF(E6385="HI",2,IF(E6385="LO",6,10))+IF(T6385=1,2,IF(D6385=7,1,(IF(WEEKDAY(B6385)=1,2,IF(WEEKDAY(B6385)=7,1,0))))))</f>
        <v>2</v>
      </c>
    </row>
    <row r="6386" spans="2:22">
      <c r="B6386" s="318">
        <f t="shared" si="399"/>
        <v>46378</v>
      </c>
      <c r="C6386" s="312">
        <v>22</v>
      </c>
      <c r="D6386" s="368">
        <f>IFERROR((INDEX(METADATA!$T$2:$T$20,MATCH(B6386,METADATA!$S$2:$S$20,0))),0)</f>
        <v>0</v>
      </c>
      <c r="E6386" s="312" t="str">
        <f t="shared" si="396"/>
        <v>LO</v>
      </c>
      <c r="F6386" s="369">
        <f>VLOOKUP(C6386,METADATA!$A$5:$H$29,IF(E6386="HI",2,IF(E6386="LO",6,10))+IF(D6386=1,2,IF(D6386=7,1,(IF(WEEKDAY(B6386)=1,2,IF(WEEKDAY(B6386)=7,1,0))))))</f>
        <v>3</v>
      </c>
      <c r="G6386" s="369">
        <f>VLOOKUP(C6386,METADATA!$J$5:$Q$29,IF(E6386="HI",2,IF(E6386="LO",6,10))+IF(D6386=1,2,IF(D6386=7,1,(IF(WEEKDAY(B6386)=1,2,IF(WEEKDAY(B6386)=7,1,0))))))</f>
        <v>3</v>
      </c>
      <c r="H6386" s="370">
        <v>12489.224731445313</v>
      </c>
      <c r="I6386" s="370">
        <v>3575.0724487304688</v>
      </c>
      <c r="M6386" s="371">
        <f t="shared" si="397"/>
        <v>12990.838210301015</v>
      </c>
      <c r="N6386" s="329">
        <f t="shared" si="398"/>
        <v>0</v>
      </c>
      <c r="T6386" s="331">
        <v>0</v>
      </c>
      <c r="U6386" s="328">
        <f>VLOOKUP(C6386,METADATA!$J$5:$Q$29,IF(E6386="HI",2,IF(E6386="LO",6,10))+IF(T6386=1,2,IF(D6386=7,1,(IF(WEEKDAY(B6386)=1,2,IF(WEEKDAY(B6386)=7,1,0))))))</f>
        <v>3</v>
      </c>
      <c r="V6386" s="328">
        <f>VLOOKUP(C6386,METADATA!$A$5:$H$29,IF(E6386="HI",2,IF(E6386="LO",6,10))+IF(T6386=1,2,IF(D6386=7,1,(IF(WEEKDAY(B6386)=1,2,IF(WEEKDAY(B6386)=7,1,0))))))</f>
        <v>3</v>
      </c>
    </row>
    <row r="6387" spans="2:22">
      <c r="B6387" s="318">
        <f t="shared" si="399"/>
        <v>46378</v>
      </c>
      <c r="C6387" s="312">
        <v>23</v>
      </c>
      <c r="D6387" s="368">
        <f>IFERROR((INDEX(METADATA!$T$2:$T$20,MATCH(B6387,METADATA!$S$2:$S$20,0))),0)</f>
        <v>0</v>
      </c>
      <c r="E6387" s="312" t="str">
        <f t="shared" si="396"/>
        <v>LO</v>
      </c>
      <c r="F6387" s="369">
        <f>VLOOKUP(C6387,METADATA!$A$5:$H$29,IF(E6387="HI",2,IF(E6387="LO",6,10))+IF(D6387=1,2,IF(D6387=7,1,(IF(WEEKDAY(B6387)=1,2,IF(WEEKDAY(B6387)=7,1,0))))))</f>
        <v>3</v>
      </c>
      <c r="G6387" s="369">
        <f>VLOOKUP(C6387,METADATA!$J$5:$Q$29,IF(E6387="HI",2,IF(E6387="LO",6,10))+IF(D6387=1,2,IF(D6387=7,1,(IF(WEEKDAY(B6387)=1,2,IF(WEEKDAY(B6387)=7,1,0))))))</f>
        <v>3</v>
      </c>
      <c r="H6387" s="370">
        <v>13022.874938964844</v>
      </c>
      <c r="I6387" s="370">
        <v>3971.0050048828125</v>
      </c>
      <c r="M6387" s="371">
        <f t="shared" si="397"/>
        <v>13614.850437104438</v>
      </c>
      <c r="N6387" s="329">
        <f t="shared" si="398"/>
        <v>64.142523193359466</v>
      </c>
      <c r="T6387" s="331">
        <v>0</v>
      </c>
      <c r="U6387" s="328">
        <f>VLOOKUP(C6387,METADATA!$J$5:$Q$29,IF(E6387="HI",2,IF(E6387="LO",6,10))+IF(T6387=1,2,IF(D6387=7,1,(IF(WEEKDAY(B6387)=1,2,IF(WEEKDAY(B6387)=7,1,0))))))</f>
        <v>3</v>
      </c>
      <c r="V6387" s="328">
        <f>VLOOKUP(C6387,METADATA!$A$5:$H$29,IF(E6387="HI",2,IF(E6387="LO",6,10))+IF(T6387=1,2,IF(D6387=7,1,(IF(WEEKDAY(B6387)=1,2,IF(WEEKDAY(B6387)=7,1,0))))))</f>
        <v>3</v>
      </c>
    </row>
    <row r="6388" spans="2:22">
      <c r="B6388" s="318">
        <f t="shared" si="399"/>
        <v>46379</v>
      </c>
      <c r="C6388" s="312">
        <v>0</v>
      </c>
      <c r="D6388" s="368">
        <f>IFERROR((INDEX(METADATA!$T$2:$T$20,MATCH(B6388,METADATA!$S$2:$S$20,0))),0)</f>
        <v>0</v>
      </c>
      <c r="E6388" s="312" t="str">
        <f t="shared" si="396"/>
        <v>LO</v>
      </c>
      <c r="F6388" s="369">
        <f>VLOOKUP(C6388,METADATA!$A$5:$H$29,IF(E6388="HI",2,IF(E6388="LO",6,10))+IF(D6388=1,2,IF(D6388=7,1,(IF(WEEKDAY(B6388)=1,2,IF(WEEKDAY(B6388)=7,1,0))))))</f>
        <v>3</v>
      </c>
      <c r="G6388" s="369">
        <f>VLOOKUP(C6388,METADATA!$J$5:$Q$29,IF(E6388="HI",2,IF(E6388="LO",6,10))+IF(D6388=1,2,IF(D6388=7,1,(IF(WEEKDAY(B6388)=1,2,IF(WEEKDAY(B6388)=7,1,0))))))</f>
        <v>3</v>
      </c>
      <c r="H6388" s="370">
        <v>12935.149963378906</v>
      </c>
      <c r="I6388" s="370">
        <v>3936.0350646972656</v>
      </c>
      <c r="M6388" s="371">
        <f t="shared" si="397"/>
        <v>13520.742457632559</v>
      </c>
      <c r="N6388" s="329">
        <f t="shared" si="398"/>
        <v>55.490075683594114</v>
      </c>
      <c r="T6388" s="331">
        <v>0</v>
      </c>
      <c r="U6388" s="328">
        <f>VLOOKUP(C6388,METADATA!$J$5:$Q$29,IF(E6388="HI",2,IF(E6388="LO",6,10))+IF(T6388=1,2,IF(D6388=7,1,(IF(WEEKDAY(B6388)=1,2,IF(WEEKDAY(B6388)=7,1,0))))))</f>
        <v>3</v>
      </c>
      <c r="V6388" s="328">
        <f>VLOOKUP(C6388,METADATA!$A$5:$H$29,IF(E6388="HI",2,IF(E6388="LO",6,10))+IF(T6388=1,2,IF(D6388=7,1,(IF(WEEKDAY(B6388)=1,2,IF(WEEKDAY(B6388)=7,1,0))))))</f>
        <v>3</v>
      </c>
    </row>
    <row r="6389" spans="2:22">
      <c r="B6389" s="318">
        <f t="shared" si="399"/>
        <v>46379</v>
      </c>
      <c r="C6389" s="312">
        <v>1</v>
      </c>
      <c r="D6389" s="368">
        <f>IFERROR((INDEX(METADATA!$T$2:$T$20,MATCH(B6389,METADATA!$S$2:$S$20,0))),0)</f>
        <v>0</v>
      </c>
      <c r="E6389" s="312" t="str">
        <f t="shared" si="396"/>
        <v>LO</v>
      </c>
      <c r="F6389" s="369">
        <f>VLOOKUP(C6389,METADATA!$A$5:$H$29,IF(E6389="HI",2,IF(E6389="LO",6,10))+IF(D6389=1,2,IF(D6389=7,1,(IF(WEEKDAY(B6389)=1,2,IF(WEEKDAY(B6389)=7,1,0))))))</f>
        <v>3</v>
      </c>
      <c r="G6389" s="369">
        <f>VLOOKUP(C6389,METADATA!$J$5:$Q$29,IF(E6389="HI",2,IF(E6389="LO",6,10))+IF(D6389=1,2,IF(D6389=7,1,(IF(WEEKDAY(B6389)=1,2,IF(WEEKDAY(B6389)=7,1,0))))))</f>
        <v>3</v>
      </c>
      <c r="H6389" s="370">
        <v>12799.044982910156</v>
      </c>
      <c r="I6389" s="370">
        <v>3901.5225524902344</v>
      </c>
      <c r="M6389" s="371">
        <f t="shared" si="397"/>
        <v>13380.486938155411</v>
      </c>
      <c r="N6389" s="329">
        <f t="shared" si="398"/>
        <v>61.809057617187591</v>
      </c>
      <c r="T6389" s="331">
        <v>0</v>
      </c>
      <c r="U6389" s="328">
        <f>VLOOKUP(C6389,METADATA!$J$5:$Q$29,IF(E6389="HI",2,IF(E6389="LO",6,10))+IF(T6389=1,2,IF(D6389=7,1,(IF(WEEKDAY(B6389)=1,2,IF(WEEKDAY(B6389)=7,1,0))))))</f>
        <v>3</v>
      </c>
      <c r="V6389" s="328">
        <f>VLOOKUP(C6389,METADATA!$A$5:$H$29,IF(E6389="HI",2,IF(E6389="LO",6,10))+IF(T6389=1,2,IF(D6389=7,1,(IF(WEEKDAY(B6389)=1,2,IF(WEEKDAY(B6389)=7,1,0))))))</f>
        <v>3</v>
      </c>
    </row>
    <row r="6390" spans="2:22">
      <c r="B6390" s="318">
        <f t="shared" si="399"/>
        <v>46379</v>
      </c>
      <c r="C6390" s="312">
        <v>2</v>
      </c>
      <c r="D6390" s="368">
        <f>IFERROR((INDEX(METADATA!$T$2:$T$20,MATCH(B6390,METADATA!$S$2:$S$20,0))),0)</f>
        <v>0</v>
      </c>
      <c r="E6390" s="312" t="str">
        <f t="shared" si="396"/>
        <v>LO</v>
      </c>
      <c r="F6390" s="369">
        <f>VLOOKUP(C6390,METADATA!$A$5:$H$29,IF(E6390="HI",2,IF(E6390="LO",6,10))+IF(D6390=1,2,IF(D6390=7,1,(IF(WEEKDAY(B6390)=1,2,IF(WEEKDAY(B6390)=7,1,0))))))</f>
        <v>3</v>
      </c>
      <c r="G6390" s="369">
        <f>VLOOKUP(C6390,METADATA!$J$5:$Q$29,IF(E6390="HI",2,IF(E6390="LO",6,10))+IF(D6390=1,2,IF(D6390=7,1,(IF(WEEKDAY(B6390)=1,2,IF(WEEKDAY(B6390)=7,1,0))))))</f>
        <v>3</v>
      </c>
      <c r="H6390" s="370">
        <v>12998.72509765625</v>
      </c>
      <c r="I6390" s="370">
        <v>4029.3999633789063</v>
      </c>
      <c r="M6390" s="371">
        <f t="shared" si="397"/>
        <v>13608.927886843858</v>
      </c>
      <c r="N6390" s="329">
        <f t="shared" si="398"/>
        <v>129.78243408203161</v>
      </c>
      <c r="T6390" s="331">
        <v>0</v>
      </c>
      <c r="U6390" s="328">
        <f>VLOOKUP(C6390,METADATA!$J$5:$Q$29,IF(E6390="HI",2,IF(E6390="LO",6,10))+IF(T6390=1,2,IF(D6390=7,1,(IF(WEEKDAY(B6390)=1,2,IF(WEEKDAY(B6390)=7,1,0))))))</f>
        <v>3</v>
      </c>
      <c r="V6390" s="328">
        <f>VLOOKUP(C6390,METADATA!$A$5:$H$29,IF(E6390="HI",2,IF(E6390="LO",6,10))+IF(T6390=1,2,IF(D6390=7,1,(IF(WEEKDAY(B6390)=1,2,IF(WEEKDAY(B6390)=7,1,0))))))</f>
        <v>3</v>
      </c>
    </row>
    <row r="6391" spans="2:22">
      <c r="B6391" s="318">
        <f t="shared" si="399"/>
        <v>46379</v>
      </c>
      <c r="C6391" s="312">
        <v>3</v>
      </c>
      <c r="D6391" s="368">
        <f>IFERROR((INDEX(METADATA!$T$2:$T$20,MATCH(B6391,METADATA!$S$2:$S$20,0))),0)</f>
        <v>0</v>
      </c>
      <c r="E6391" s="312" t="str">
        <f t="shared" si="396"/>
        <v>LO</v>
      </c>
      <c r="F6391" s="369">
        <f>VLOOKUP(C6391,METADATA!$A$5:$H$29,IF(E6391="HI",2,IF(E6391="LO",6,10))+IF(D6391=1,2,IF(D6391=7,1,(IF(WEEKDAY(B6391)=1,2,IF(WEEKDAY(B6391)=7,1,0))))))</f>
        <v>3</v>
      </c>
      <c r="G6391" s="369">
        <f>VLOOKUP(C6391,METADATA!$J$5:$Q$29,IF(E6391="HI",2,IF(E6391="LO",6,10))+IF(D6391=1,2,IF(D6391=7,1,(IF(WEEKDAY(B6391)=1,2,IF(WEEKDAY(B6391)=7,1,0))))))</f>
        <v>3</v>
      </c>
      <c r="H6391" s="370">
        <v>12924.875122070313</v>
      </c>
      <c r="I6391" s="370">
        <v>3856.5349426269531</v>
      </c>
      <c r="M6391" s="371">
        <f t="shared" si="397"/>
        <v>13487.967181336659</v>
      </c>
      <c r="N6391" s="329">
        <f t="shared" si="398"/>
        <v>0</v>
      </c>
      <c r="T6391" s="331">
        <v>0</v>
      </c>
      <c r="U6391" s="328">
        <f>VLOOKUP(C6391,METADATA!$J$5:$Q$29,IF(E6391="HI",2,IF(E6391="LO",6,10))+IF(T6391=1,2,IF(D6391=7,1,(IF(WEEKDAY(B6391)=1,2,IF(WEEKDAY(B6391)=7,1,0))))))</f>
        <v>3</v>
      </c>
      <c r="V6391" s="328">
        <f>VLOOKUP(C6391,METADATA!$A$5:$H$29,IF(E6391="HI",2,IF(E6391="LO",6,10))+IF(T6391=1,2,IF(D6391=7,1,(IF(WEEKDAY(B6391)=1,2,IF(WEEKDAY(B6391)=7,1,0))))))</f>
        <v>3</v>
      </c>
    </row>
    <row r="6392" spans="2:22">
      <c r="B6392" s="318">
        <f t="shared" si="399"/>
        <v>46379</v>
      </c>
      <c r="C6392" s="312">
        <v>4</v>
      </c>
      <c r="D6392" s="368">
        <f>IFERROR((INDEX(METADATA!$T$2:$T$20,MATCH(B6392,METADATA!$S$2:$S$20,0))),0)</f>
        <v>0</v>
      </c>
      <c r="E6392" s="312" t="str">
        <f t="shared" si="396"/>
        <v>LO</v>
      </c>
      <c r="F6392" s="369">
        <f>VLOOKUP(C6392,METADATA!$A$5:$H$29,IF(E6392="HI",2,IF(E6392="LO",6,10))+IF(D6392=1,2,IF(D6392=7,1,(IF(WEEKDAY(B6392)=1,2,IF(WEEKDAY(B6392)=7,1,0))))))</f>
        <v>3</v>
      </c>
      <c r="G6392" s="369">
        <f>VLOOKUP(C6392,METADATA!$J$5:$Q$29,IF(E6392="HI",2,IF(E6392="LO",6,10))+IF(D6392=1,2,IF(D6392=7,1,(IF(WEEKDAY(B6392)=1,2,IF(WEEKDAY(B6392)=7,1,0))))))</f>
        <v>3</v>
      </c>
      <c r="H6392" s="370">
        <v>13122.77490234375</v>
      </c>
      <c r="I6392" s="370">
        <v>4019.1148986816406</v>
      </c>
      <c r="M6392" s="371">
        <f t="shared" si="397"/>
        <v>13724.449195009167</v>
      </c>
      <c r="N6392" s="329">
        <f t="shared" si="398"/>
        <v>82.282427978515898</v>
      </c>
      <c r="T6392" s="331">
        <v>0</v>
      </c>
      <c r="U6392" s="328">
        <f>VLOOKUP(C6392,METADATA!$J$5:$Q$29,IF(E6392="HI",2,IF(E6392="LO",6,10))+IF(T6392=1,2,IF(D6392=7,1,(IF(WEEKDAY(B6392)=1,2,IF(WEEKDAY(B6392)=7,1,0))))))</f>
        <v>3</v>
      </c>
      <c r="V6392" s="328">
        <f>VLOOKUP(C6392,METADATA!$A$5:$H$29,IF(E6392="HI",2,IF(E6392="LO",6,10))+IF(T6392=1,2,IF(D6392=7,1,(IF(WEEKDAY(B6392)=1,2,IF(WEEKDAY(B6392)=7,1,0))))))</f>
        <v>3</v>
      </c>
    </row>
    <row r="6393" spans="2:22">
      <c r="B6393" s="318">
        <f t="shared" si="399"/>
        <v>46379</v>
      </c>
      <c r="C6393" s="312">
        <v>5</v>
      </c>
      <c r="D6393" s="368">
        <f>IFERROR((INDEX(METADATA!$T$2:$T$20,MATCH(B6393,METADATA!$S$2:$S$20,0))),0)</f>
        <v>0</v>
      </c>
      <c r="E6393" s="312" t="str">
        <f t="shared" si="396"/>
        <v>LO</v>
      </c>
      <c r="F6393" s="369">
        <f>VLOOKUP(C6393,METADATA!$A$5:$H$29,IF(E6393="HI",2,IF(E6393="LO",6,10))+IF(D6393=1,2,IF(D6393=7,1,(IF(WEEKDAY(B6393)=1,2,IF(WEEKDAY(B6393)=7,1,0))))))</f>
        <v>3</v>
      </c>
      <c r="G6393" s="369">
        <f>VLOOKUP(C6393,METADATA!$J$5:$Q$29,IF(E6393="HI",2,IF(E6393="LO",6,10))+IF(D6393=1,2,IF(D6393=7,1,(IF(WEEKDAY(B6393)=1,2,IF(WEEKDAY(B6393)=7,1,0))))))</f>
        <v>3</v>
      </c>
      <c r="H6393" s="370">
        <v>12981.87548828125</v>
      </c>
      <c r="I6393" s="370">
        <v>3926.1099853515625</v>
      </c>
      <c r="M6393" s="371">
        <f t="shared" si="397"/>
        <v>13562.574637962911</v>
      </c>
      <c r="N6393" s="329">
        <f t="shared" si="398"/>
        <v>31.547338867187591</v>
      </c>
      <c r="T6393" s="331">
        <v>0</v>
      </c>
      <c r="U6393" s="328">
        <f>VLOOKUP(C6393,METADATA!$J$5:$Q$29,IF(E6393="HI",2,IF(E6393="LO",6,10))+IF(T6393=1,2,IF(D6393=7,1,(IF(WEEKDAY(B6393)=1,2,IF(WEEKDAY(B6393)=7,1,0))))))</f>
        <v>3</v>
      </c>
      <c r="V6393" s="328">
        <f>VLOOKUP(C6393,METADATA!$A$5:$H$29,IF(E6393="HI",2,IF(E6393="LO",6,10))+IF(T6393=1,2,IF(D6393=7,1,(IF(WEEKDAY(B6393)=1,2,IF(WEEKDAY(B6393)=7,1,0))))))</f>
        <v>3</v>
      </c>
    </row>
    <row r="6394" spans="2:22">
      <c r="B6394" s="318">
        <f t="shared" si="399"/>
        <v>46379</v>
      </c>
      <c r="C6394" s="312">
        <v>6</v>
      </c>
      <c r="D6394" s="368">
        <f>IFERROR((INDEX(METADATA!$T$2:$T$20,MATCH(B6394,METADATA!$S$2:$S$20,0))),0)</f>
        <v>0</v>
      </c>
      <c r="E6394" s="312" t="str">
        <f t="shared" si="396"/>
        <v>LO</v>
      </c>
      <c r="F6394" s="369">
        <f>VLOOKUP(C6394,METADATA!$A$5:$H$29,IF(E6394="HI",2,IF(E6394="LO",6,10))+IF(D6394=1,2,IF(D6394=7,1,(IF(WEEKDAY(B6394)=1,2,IF(WEEKDAY(B6394)=7,1,0))))))</f>
        <v>2</v>
      </c>
      <c r="G6394" s="369">
        <f>VLOOKUP(C6394,METADATA!$J$5:$Q$29,IF(E6394="HI",2,IF(E6394="LO",6,10))+IF(D6394=1,2,IF(D6394=7,1,(IF(WEEKDAY(B6394)=1,2,IF(WEEKDAY(B6394)=7,1,0))))))</f>
        <v>2</v>
      </c>
      <c r="H6394" s="370">
        <v>11469.224975585938</v>
      </c>
      <c r="I6394" s="370">
        <v>3422.7850112915039</v>
      </c>
      <c r="M6394" s="371">
        <f t="shared" si="397"/>
        <v>11969.067581650879</v>
      </c>
      <c r="N6394" s="329">
        <f t="shared" si="398"/>
        <v>0</v>
      </c>
      <c r="T6394" s="331">
        <v>0</v>
      </c>
      <c r="U6394" s="328">
        <f>VLOOKUP(C6394,METADATA!$J$5:$Q$29,IF(E6394="HI",2,IF(E6394="LO",6,10))+IF(T6394=1,2,IF(D6394=7,1,(IF(WEEKDAY(B6394)=1,2,IF(WEEKDAY(B6394)=7,1,0))))))</f>
        <v>2</v>
      </c>
      <c r="V6394" s="328">
        <f>VLOOKUP(C6394,METADATA!$A$5:$H$29,IF(E6394="HI",2,IF(E6394="LO",6,10))+IF(T6394=1,2,IF(D6394=7,1,(IF(WEEKDAY(B6394)=1,2,IF(WEEKDAY(B6394)=7,1,0))))))</f>
        <v>2</v>
      </c>
    </row>
    <row r="6395" spans="2:22">
      <c r="B6395" s="318">
        <f t="shared" si="399"/>
        <v>46379</v>
      </c>
      <c r="C6395" s="312">
        <v>7</v>
      </c>
      <c r="D6395" s="368">
        <f>IFERROR((INDEX(METADATA!$T$2:$T$20,MATCH(B6395,METADATA!$S$2:$S$20,0))),0)</f>
        <v>0</v>
      </c>
      <c r="E6395" s="312" t="str">
        <f t="shared" si="396"/>
        <v>LO</v>
      </c>
      <c r="F6395" s="369">
        <f>VLOOKUP(C6395,METADATA!$A$5:$H$29,IF(E6395="HI",2,IF(E6395="LO",6,10))+IF(D6395=1,2,IF(D6395=7,1,(IF(WEEKDAY(B6395)=1,2,IF(WEEKDAY(B6395)=7,1,0))))))</f>
        <v>1</v>
      </c>
      <c r="G6395" s="369">
        <f>VLOOKUP(C6395,METADATA!$J$5:$Q$29,IF(E6395="HI",2,IF(E6395="LO",6,10))+IF(D6395=1,2,IF(D6395=7,1,(IF(WEEKDAY(B6395)=1,2,IF(WEEKDAY(B6395)=7,1,0))))))</f>
        <v>1</v>
      </c>
      <c r="H6395" s="370">
        <v>6089.3100891113281</v>
      </c>
      <c r="I6395" s="370">
        <v>1456.9774475097656</v>
      </c>
      <c r="M6395" s="371">
        <f t="shared" si="397"/>
        <v>6261.1884370225662</v>
      </c>
      <c r="N6395" s="329">
        <f t="shared" si="398"/>
        <v>0</v>
      </c>
      <c r="T6395" s="331">
        <v>0</v>
      </c>
      <c r="U6395" s="328">
        <f>VLOOKUP(C6395,METADATA!$J$5:$Q$29,IF(E6395="HI",2,IF(E6395="LO",6,10))+IF(T6395=1,2,IF(D6395=7,1,(IF(WEEKDAY(B6395)=1,2,IF(WEEKDAY(B6395)=7,1,0))))))</f>
        <v>1</v>
      </c>
      <c r="V6395" s="328">
        <f>VLOOKUP(C6395,METADATA!$A$5:$H$29,IF(E6395="HI",2,IF(E6395="LO",6,10))+IF(T6395=1,2,IF(D6395=7,1,(IF(WEEKDAY(B6395)=1,2,IF(WEEKDAY(B6395)=7,1,0))))))</f>
        <v>1</v>
      </c>
    </row>
    <row r="6396" spans="2:22">
      <c r="B6396" s="318">
        <f t="shared" si="399"/>
        <v>46379</v>
      </c>
      <c r="C6396" s="312">
        <v>8</v>
      </c>
      <c r="D6396" s="368">
        <f>IFERROR((INDEX(METADATA!$T$2:$T$20,MATCH(B6396,METADATA!$S$2:$S$20,0))),0)</f>
        <v>0</v>
      </c>
      <c r="E6396" s="312" t="str">
        <f t="shared" si="396"/>
        <v>LO</v>
      </c>
      <c r="F6396" s="369">
        <f>VLOOKUP(C6396,METADATA!$A$5:$H$29,IF(E6396="HI",2,IF(E6396="LO",6,10))+IF(D6396=1,2,IF(D6396=7,1,(IF(WEEKDAY(B6396)=1,2,IF(WEEKDAY(B6396)=7,1,0))))))</f>
        <v>1</v>
      </c>
      <c r="G6396" s="369">
        <f>VLOOKUP(C6396,METADATA!$J$5:$Q$29,IF(E6396="HI",2,IF(E6396="LO",6,10))+IF(D6396=1,2,IF(D6396=7,1,(IF(WEEKDAY(B6396)=1,2,IF(WEEKDAY(B6396)=7,1,0))))))</f>
        <v>1</v>
      </c>
      <c r="H6396" s="370">
        <v>5820.344970703125</v>
      </c>
      <c r="I6396" s="370">
        <v>1329.4100036621094</v>
      </c>
      <c r="M6396" s="371">
        <f t="shared" si="397"/>
        <v>5970.2383985755587</v>
      </c>
      <c r="N6396" s="329">
        <f t="shared" si="398"/>
        <v>0</v>
      </c>
      <c r="T6396" s="331">
        <v>0</v>
      </c>
      <c r="U6396" s="328">
        <f>VLOOKUP(C6396,METADATA!$J$5:$Q$29,IF(E6396="HI",2,IF(E6396="LO",6,10))+IF(T6396=1,2,IF(D6396=7,1,(IF(WEEKDAY(B6396)=1,2,IF(WEEKDAY(B6396)=7,1,0))))))</f>
        <v>1</v>
      </c>
      <c r="V6396" s="328">
        <f>VLOOKUP(C6396,METADATA!$A$5:$H$29,IF(E6396="HI",2,IF(E6396="LO",6,10))+IF(T6396=1,2,IF(D6396=7,1,(IF(WEEKDAY(B6396)=1,2,IF(WEEKDAY(B6396)=7,1,0))))))</f>
        <v>1</v>
      </c>
    </row>
    <row r="6397" spans="2:22">
      <c r="B6397" s="318">
        <f t="shared" si="399"/>
        <v>46379</v>
      </c>
      <c r="C6397" s="312">
        <v>9</v>
      </c>
      <c r="D6397" s="368">
        <f>IFERROR((INDEX(METADATA!$T$2:$T$20,MATCH(B6397,METADATA!$S$2:$S$20,0))),0)</f>
        <v>0</v>
      </c>
      <c r="E6397" s="312" t="str">
        <f t="shared" si="396"/>
        <v>LO</v>
      </c>
      <c r="F6397" s="369">
        <f>VLOOKUP(C6397,METADATA!$A$5:$H$29,IF(E6397="HI",2,IF(E6397="LO",6,10))+IF(D6397=1,2,IF(D6397=7,1,(IF(WEEKDAY(B6397)=1,2,IF(WEEKDAY(B6397)=7,1,0))))))</f>
        <v>2</v>
      </c>
      <c r="G6397" s="369">
        <f>VLOOKUP(C6397,METADATA!$J$5:$Q$29,IF(E6397="HI",2,IF(E6397="LO",6,10))+IF(D6397=1,2,IF(D6397=7,1,(IF(WEEKDAY(B6397)=1,2,IF(WEEKDAY(B6397)=7,1,0))))))</f>
        <v>2</v>
      </c>
      <c r="H6397" s="370">
        <v>5761.8524780273438</v>
      </c>
      <c r="I6397" s="370">
        <v>1293.6224670410156</v>
      </c>
      <c r="M6397" s="371">
        <f t="shared" si="397"/>
        <v>5905.2860274319592</v>
      </c>
      <c r="N6397" s="329">
        <f t="shared" si="398"/>
        <v>0</v>
      </c>
      <c r="T6397" s="331">
        <v>0</v>
      </c>
      <c r="U6397" s="328">
        <f>VLOOKUP(C6397,METADATA!$J$5:$Q$29,IF(E6397="HI",2,IF(E6397="LO",6,10))+IF(T6397=1,2,IF(D6397=7,1,(IF(WEEKDAY(B6397)=1,2,IF(WEEKDAY(B6397)=7,1,0))))))</f>
        <v>2</v>
      </c>
      <c r="V6397" s="328">
        <f>VLOOKUP(C6397,METADATA!$A$5:$H$29,IF(E6397="HI",2,IF(E6397="LO",6,10))+IF(T6397=1,2,IF(D6397=7,1,(IF(WEEKDAY(B6397)=1,2,IF(WEEKDAY(B6397)=7,1,0))))))</f>
        <v>2</v>
      </c>
    </row>
    <row r="6398" spans="2:22">
      <c r="B6398" s="318">
        <f t="shared" si="399"/>
        <v>46379</v>
      </c>
      <c r="C6398" s="312">
        <v>10</v>
      </c>
      <c r="D6398" s="368">
        <f>IFERROR((INDEX(METADATA!$T$2:$T$20,MATCH(B6398,METADATA!$S$2:$S$20,0))),0)</f>
        <v>0</v>
      </c>
      <c r="E6398" s="312" t="str">
        <f t="shared" si="396"/>
        <v>LO</v>
      </c>
      <c r="F6398" s="369">
        <f>VLOOKUP(C6398,METADATA!$A$5:$H$29,IF(E6398="HI",2,IF(E6398="LO",6,10))+IF(D6398=1,2,IF(D6398=7,1,(IF(WEEKDAY(B6398)=1,2,IF(WEEKDAY(B6398)=7,1,0))))))</f>
        <v>2</v>
      </c>
      <c r="G6398" s="369">
        <f>VLOOKUP(C6398,METADATA!$J$5:$Q$29,IF(E6398="HI",2,IF(E6398="LO",6,10))+IF(D6398=1,2,IF(D6398=7,1,(IF(WEEKDAY(B6398)=1,2,IF(WEEKDAY(B6398)=7,1,0))))))</f>
        <v>2</v>
      </c>
      <c r="H6398" s="370">
        <v>5766.3450622558594</v>
      </c>
      <c r="I6398" s="370">
        <v>1285.4149780273438</v>
      </c>
      <c r="M6398" s="371">
        <f t="shared" si="397"/>
        <v>5907.8783876057887</v>
      </c>
      <c r="N6398" s="329">
        <f t="shared" si="398"/>
        <v>0</v>
      </c>
      <c r="T6398" s="331">
        <v>0</v>
      </c>
      <c r="U6398" s="328">
        <f>VLOOKUP(C6398,METADATA!$J$5:$Q$29,IF(E6398="HI",2,IF(E6398="LO",6,10))+IF(T6398=1,2,IF(D6398=7,1,(IF(WEEKDAY(B6398)=1,2,IF(WEEKDAY(B6398)=7,1,0))))))</f>
        <v>2</v>
      </c>
      <c r="V6398" s="328">
        <f>VLOOKUP(C6398,METADATA!$A$5:$H$29,IF(E6398="HI",2,IF(E6398="LO",6,10))+IF(T6398=1,2,IF(D6398=7,1,(IF(WEEKDAY(B6398)=1,2,IF(WEEKDAY(B6398)=7,1,0))))))</f>
        <v>2</v>
      </c>
    </row>
    <row r="6399" spans="2:22">
      <c r="B6399" s="318">
        <f t="shared" si="399"/>
        <v>46379</v>
      </c>
      <c r="C6399" s="312">
        <v>11</v>
      </c>
      <c r="D6399" s="368">
        <f>IFERROR((INDEX(METADATA!$T$2:$T$20,MATCH(B6399,METADATA!$S$2:$S$20,0))),0)</f>
        <v>0</v>
      </c>
      <c r="E6399" s="312" t="str">
        <f t="shared" si="396"/>
        <v>LO</v>
      </c>
      <c r="F6399" s="369">
        <f>VLOOKUP(C6399,METADATA!$A$5:$H$29,IF(E6399="HI",2,IF(E6399="LO",6,10))+IF(D6399=1,2,IF(D6399=7,1,(IF(WEEKDAY(B6399)=1,2,IF(WEEKDAY(B6399)=7,1,0))))))</f>
        <v>2</v>
      </c>
      <c r="G6399" s="369">
        <f>VLOOKUP(C6399,METADATA!$J$5:$Q$29,IF(E6399="HI",2,IF(E6399="LO",6,10))+IF(D6399=1,2,IF(D6399=7,1,(IF(WEEKDAY(B6399)=1,2,IF(WEEKDAY(B6399)=7,1,0))))))</f>
        <v>2</v>
      </c>
      <c r="H6399" s="370">
        <v>6541.6925354003906</v>
      </c>
      <c r="I6399" s="370">
        <v>1282.6050109863281</v>
      </c>
      <c r="M6399" s="371">
        <f t="shared" si="397"/>
        <v>6666.2445831157765</v>
      </c>
      <c r="N6399" s="329">
        <f t="shared" si="398"/>
        <v>0</v>
      </c>
      <c r="T6399" s="331">
        <v>0</v>
      </c>
      <c r="U6399" s="328">
        <f>VLOOKUP(C6399,METADATA!$J$5:$Q$29,IF(E6399="HI",2,IF(E6399="LO",6,10))+IF(T6399=1,2,IF(D6399=7,1,(IF(WEEKDAY(B6399)=1,2,IF(WEEKDAY(B6399)=7,1,0))))))</f>
        <v>2</v>
      </c>
      <c r="V6399" s="328">
        <f>VLOOKUP(C6399,METADATA!$A$5:$H$29,IF(E6399="HI",2,IF(E6399="LO",6,10))+IF(T6399=1,2,IF(D6399=7,1,(IF(WEEKDAY(B6399)=1,2,IF(WEEKDAY(B6399)=7,1,0))))))</f>
        <v>2</v>
      </c>
    </row>
    <row r="6400" spans="2:22">
      <c r="B6400" s="318">
        <f t="shared" si="399"/>
        <v>46379</v>
      </c>
      <c r="C6400" s="312">
        <v>12</v>
      </c>
      <c r="D6400" s="368">
        <f>IFERROR((INDEX(METADATA!$T$2:$T$20,MATCH(B6400,METADATA!$S$2:$S$20,0))),0)</f>
        <v>0</v>
      </c>
      <c r="E6400" s="312" t="str">
        <f t="shared" si="396"/>
        <v>LO</v>
      </c>
      <c r="F6400" s="369">
        <f>VLOOKUP(C6400,METADATA!$A$5:$H$29,IF(E6400="HI",2,IF(E6400="LO",6,10))+IF(D6400=1,2,IF(D6400=7,1,(IF(WEEKDAY(B6400)=1,2,IF(WEEKDAY(B6400)=7,1,0))))))</f>
        <v>2</v>
      </c>
      <c r="G6400" s="369">
        <f>VLOOKUP(C6400,METADATA!$J$5:$Q$29,IF(E6400="HI",2,IF(E6400="LO",6,10))+IF(D6400=1,2,IF(D6400=7,1,(IF(WEEKDAY(B6400)=1,2,IF(WEEKDAY(B6400)=7,1,0))))))</f>
        <v>2</v>
      </c>
      <c r="H6400" s="370">
        <v>6980.4201354980469</v>
      </c>
      <c r="I6400" s="370">
        <v>1322.5950049161911</v>
      </c>
      <c r="M6400" s="371">
        <f t="shared" si="397"/>
        <v>7104.6127843180748</v>
      </c>
      <c r="N6400" s="329">
        <f t="shared" si="398"/>
        <v>0</v>
      </c>
      <c r="T6400" s="331">
        <v>0</v>
      </c>
      <c r="U6400" s="328">
        <f>VLOOKUP(C6400,METADATA!$J$5:$Q$29,IF(E6400="HI",2,IF(E6400="LO",6,10))+IF(T6400=1,2,IF(D6400=7,1,(IF(WEEKDAY(B6400)=1,2,IF(WEEKDAY(B6400)=7,1,0))))))</f>
        <v>2</v>
      </c>
      <c r="V6400" s="328">
        <f>VLOOKUP(C6400,METADATA!$A$5:$H$29,IF(E6400="HI",2,IF(E6400="LO",6,10))+IF(T6400=1,2,IF(D6400=7,1,(IF(WEEKDAY(B6400)=1,2,IF(WEEKDAY(B6400)=7,1,0))))))</f>
        <v>2</v>
      </c>
    </row>
    <row r="6401" spans="2:22">
      <c r="B6401" s="318">
        <f t="shared" si="399"/>
        <v>46379</v>
      </c>
      <c r="C6401" s="312">
        <v>13</v>
      </c>
      <c r="D6401" s="368">
        <f>IFERROR((INDEX(METADATA!$T$2:$T$20,MATCH(B6401,METADATA!$S$2:$S$20,0))),0)</f>
        <v>0</v>
      </c>
      <c r="E6401" s="312" t="str">
        <f t="shared" si="396"/>
        <v>LO</v>
      </c>
      <c r="F6401" s="369">
        <f>VLOOKUP(C6401,METADATA!$A$5:$H$29,IF(E6401="HI",2,IF(E6401="LO",6,10))+IF(D6401=1,2,IF(D6401=7,1,(IF(WEEKDAY(B6401)=1,2,IF(WEEKDAY(B6401)=7,1,0))))))</f>
        <v>2</v>
      </c>
      <c r="G6401" s="369">
        <f>VLOOKUP(C6401,METADATA!$J$5:$Q$29,IF(E6401="HI",2,IF(E6401="LO",6,10))+IF(D6401=1,2,IF(D6401=7,1,(IF(WEEKDAY(B6401)=1,2,IF(WEEKDAY(B6401)=7,1,0))))))</f>
        <v>2</v>
      </c>
      <c r="H6401" s="370">
        <v>10186.257446289063</v>
      </c>
      <c r="I6401" s="370">
        <v>2037.1174545288086</v>
      </c>
      <c r="M6401" s="371">
        <f t="shared" si="397"/>
        <v>10387.958812279981</v>
      </c>
      <c r="N6401" s="329">
        <f t="shared" si="398"/>
        <v>0</v>
      </c>
      <c r="T6401" s="331">
        <v>0</v>
      </c>
      <c r="U6401" s="328">
        <f>VLOOKUP(C6401,METADATA!$J$5:$Q$29,IF(E6401="HI",2,IF(E6401="LO",6,10))+IF(T6401=1,2,IF(D6401=7,1,(IF(WEEKDAY(B6401)=1,2,IF(WEEKDAY(B6401)=7,1,0))))))</f>
        <v>2</v>
      </c>
      <c r="V6401" s="328">
        <f>VLOOKUP(C6401,METADATA!$A$5:$H$29,IF(E6401="HI",2,IF(E6401="LO",6,10))+IF(T6401=1,2,IF(D6401=7,1,(IF(WEEKDAY(B6401)=1,2,IF(WEEKDAY(B6401)=7,1,0))))))</f>
        <v>2</v>
      </c>
    </row>
    <row r="6402" spans="2:22">
      <c r="B6402" s="318">
        <f t="shared" si="399"/>
        <v>46379</v>
      </c>
      <c r="C6402" s="312">
        <v>14</v>
      </c>
      <c r="D6402" s="368">
        <f>IFERROR((INDEX(METADATA!$T$2:$T$20,MATCH(B6402,METADATA!$S$2:$S$20,0))),0)</f>
        <v>0</v>
      </c>
      <c r="E6402" s="312" t="str">
        <f t="shared" si="396"/>
        <v>LO</v>
      </c>
      <c r="F6402" s="369">
        <f>VLOOKUP(C6402,METADATA!$A$5:$H$29,IF(E6402="HI",2,IF(E6402="LO",6,10))+IF(D6402=1,2,IF(D6402=7,1,(IF(WEEKDAY(B6402)=1,2,IF(WEEKDAY(B6402)=7,1,0))))))</f>
        <v>2</v>
      </c>
      <c r="G6402" s="369">
        <f>VLOOKUP(C6402,METADATA!$J$5:$Q$29,IF(E6402="HI",2,IF(E6402="LO",6,10))+IF(D6402=1,2,IF(D6402=7,1,(IF(WEEKDAY(B6402)=1,2,IF(WEEKDAY(B6402)=7,1,0))))))</f>
        <v>2</v>
      </c>
      <c r="H6402" s="370">
        <v>11428.449829101563</v>
      </c>
      <c r="I6402" s="370">
        <v>3099.8399963378906</v>
      </c>
      <c r="M6402" s="371">
        <f t="shared" si="397"/>
        <v>11841.388157610054</v>
      </c>
      <c r="N6402" s="329">
        <f t="shared" si="398"/>
        <v>0</v>
      </c>
      <c r="T6402" s="331">
        <v>0</v>
      </c>
      <c r="U6402" s="328">
        <f>VLOOKUP(C6402,METADATA!$J$5:$Q$29,IF(E6402="HI",2,IF(E6402="LO",6,10))+IF(T6402=1,2,IF(D6402=7,1,(IF(WEEKDAY(B6402)=1,2,IF(WEEKDAY(B6402)=7,1,0))))))</f>
        <v>2</v>
      </c>
      <c r="V6402" s="328">
        <f>VLOOKUP(C6402,METADATA!$A$5:$H$29,IF(E6402="HI",2,IF(E6402="LO",6,10))+IF(T6402=1,2,IF(D6402=7,1,(IF(WEEKDAY(B6402)=1,2,IF(WEEKDAY(B6402)=7,1,0))))))</f>
        <v>2</v>
      </c>
    </row>
    <row r="6403" spans="2:22">
      <c r="B6403" s="318">
        <f t="shared" si="399"/>
        <v>46379</v>
      </c>
      <c r="C6403" s="312">
        <v>15</v>
      </c>
      <c r="D6403" s="368">
        <f>IFERROR((INDEX(METADATA!$T$2:$T$20,MATCH(B6403,METADATA!$S$2:$S$20,0))),0)</f>
        <v>0</v>
      </c>
      <c r="E6403" s="312" t="str">
        <f t="shared" si="396"/>
        <v>LO</v>
      </c>
      <c r="F6403" s="369">
        <f>VLOOKUP(C6403,METADATA!$A$5:$H$29,IF(E6403="HI",2,IF(E6403="LO",6,10))+IF(D6403=1,2,IF(D6403=7,1,(IF(WEEKDAY(B6403)=1,2,IF(WEEKDAY(B6403)=7,1,0))))))</f>
        <v>2</v>
      </c>
      <c r="G6403" s="369">
        <f>VLOOKUP(C6403,METADATA!$J$5:$Q$29,IF(E6403="HI",2,IF(E6403="LO",6,10))+IF(D6403=1,2,IF(D6403=7,1,(IF(WEEKDAY(B6403)=1,2,IF(WEEKDAY(B6403)=7,1,0))))))</f>
        <v>2</v>
      </c>
      <c r="H6403" s="370">
        <v>12368.599914550781</v>
      </c>
      <c r="I6403" s="370">
        <v>3671.2275085449219</v>
      </c>
      <c r="M6403" s="371">
        <f t="shared" si="397"/>
        <v>12901.944631167913</v>
      </c>
      <c r="N6403" s="329">
        <f t="shared" si="398"/>
        <v>0</v>
      </c>
      <c r="T6403" s="331">
        <v>0</v>
      </c>
      <c r="U6403" s="328">
        <f>VLOOKUP(C6403,METADATA!$J$5:$Q$29,IF(E6403="HI",2,IF(E6403="LO",6,10))+IF(T6403=1,2,IF(D6403=7,1,(IF(WEEKDAY(B6403)=1,2,IF(WEEKDAY(B6403)=7,1,0))))))</f>
        <v>2</v>
      </c>
      <c r="V6403" s="328">
        <f>VLOOKUP(C6403,METADATA!$A$5:$H$29,IF(E6403="HI",2,IF(E6403="LO",6,10))+IF(T6403=1,2,IF(D6403=7,1,(IF(WEEKDAY(B6403)=1,2,IF(WEEKDAY(B6403)=7,1,0))))))</f>
        <v>2</v>
      </c>
    </row>
    <row r="6404" spans="2:22">
      <c r="B6404" s="318">
        <f t="shared" si="399"/>
        <v>46379</v>
      </c>
      <c r="C6404" s="312">
        <v>16</v>
      </c>
      <c r="D6404" s="368">
        <f>IFERROR((INDEX(METADATA!$T$2:$T$20,MATCH(B6404,METADATA!$S$2:$S$20,0))),0)</f>
        <v>0</v>
      </c>
      <c r="E6404" s="312" t="str">
        <f t="shared" ref="E6404:E6467" si="400">IF(B6404="","",IF(AND(MONTH(B6404)&gt;=MONTH($Z$9),MONTH(B6404)&lt;=MONTH($Z$11)),"HI","LO"))</f>
        <v>LO</v>
      </c>
      <c r="F6404" s="369">
        <f>VLOOKUP(C6404,METADATA!$A$5:$H$29,IF(E6404="HI",2,IF(E6404="LO",6,10))+IF(D6404=1,2,IF(D6404=7,1,(IF(WEEKDAY(B6404)=1,2,IF(WEEKDAY(B6404)=7,1,0))))))</f>
        <v>2</v>
      </c>
      <c r="G6404" s="369">
        <f>VLOOKUP(C6404,METADATA!$J$5:$Q$29,IF(E6404="HI",2,IF(E6404="LO",6,10))+IF(D6404=1,2,IF(D6404=7,1,(IF(WEEKDAY(B6404)=1,2,IF(WEEKDAY(B6404)=7,1,0))))))</f>
        <v>2</v>
      </c>
      <c r="H6404" s="370">
        <v>13359.274841308594</v>
      </c>
      <c r="I6404" s="370">
        <v>4243.31494140625</v>
      </c>
      <c r="M6404" s="371">
        <f t="shared" ref="M6404:M6467" si="401">SQRT(H6404^2+I6404^2)</f>
        <v>14016.987764051957</v>
      </c>
      <c r="N6404" s="329">
        <f t="shared" ref="N6404:N6467" si="402">IF(H6404=0,0,(IF(I6404-(0.3*H6404)&lt;0,0,(I6404-(0.3*H6404)))))</f>
        <v>235.53248901367215</v>
      </c>
      <c r="T6404" s="331">
        <v>0</v>
      </c>
      <c r="U6404" s="328">
        <f>VLOOKUP(C6404,METADATA!$J$5:$Q$29,IF(E6404="HI",2,IF(E6404="LO",6,10))+IF(T6404=1,2,IF(D6404=7,1,(IF(WEEKDAY(B6404)=1,2,IF(WEEKDAY(B6404)=7,1,0))))))</f>
        <v>2</v>
      </c>
      <c r="V6404" s="328">
        <f>VLOOKUP(C6404,METADATA!$A$5:$H$29,IF(E6404="HI",2,IF(E6404="LO",6,10))+IF(T6404=1,2,IF(D6404=7,1,(IF(WEEKDAY(B6404)=1,2,IF(WEEKDAY(B6404)=7,1,0))))))</f>
        <v>2</v>
      </c>
    </row>
    <row r="6405" spans="2:22">
      <c r="B6405" s="318">
        <f t="shared" si="399"/>
        <v>46379</v>
      </c>
      <c r="C6405" s="312">
        <v>17</v>
      </c>
      <c r="D6405" s="368">
        <f>IFERROR((INDEX(METADATA!$T$2:$T$20,MATCH(B6405,METADATA!$S$2:$S$20,0))),0)</f>
        <v>0</v>
      </c>
      <c r="E6405" s="312" t="str">
        <f t="shared" si="400"/>
        <v>LO</v>
      </c>
      <c r="F6405" s="369">
        <f>VLOOKUP(C6405,METADATA!$A$5:$H$29,IF(E6405="HI",2,IF(E6405="LO",6,10))+IF(D6405=1,2,IF(D6405=7,1,(IF(WEEKDAY(B6405)=1,2,IF(WEEKDAY(B6405)=7,1,0))))))</f>
        <v>2</v>
      </c>
      <c r="G6405" s="369">
        <f>VLOOKUP(C6405,METADATA!$J$5:$Q$29,IF(E6405="HI",2,IF(E6405="LO",6,10))+IF(D6405=1,2,IF(D6405=7,1,(IF(WEEKDAY(B6405)=1,2,IF(WEEKDAY(B6405)=7,1,0))))))</f>
        <v>2</v>
      </c>
      <c r="H6405" s="370">
        <v>13221.524780273438</v>
      </c>
      <c r="I6405" s="370">
        <v>4213.0199584960938</v>
      </c>
      <c r="M6405" s="371">
        <f t="shared" si="401"/>
        <v>13876.536119870512</v>
      </c>
      <c r="N6405" s="329">
        <f t="shared" si="402"/>
        <v>246.56252441406286</v>
      </c>
      <c r="T6405" s="331">
        <v>0</v>
      </c>
      <c r="U6405" s="328">
        <f>VLOOKUP(C6405,METADATA!$J$5:$Q$29,IF(E6405="HI",2,IF(E6405="LO",6,10))+IF(T6405=1,2,IF(D6405=7,1,(IF(WEEKDAY(B6405)=1,2,IF(WEEKDAY(B6405)=7,1,0))))))</f>
        <v>2</v>
      </c>
      <c r="V6405" s="328">
        <f>VLOOKUP(C6405,METADATA!$A$5:$H$29,IF(E6405="HI",2,IF(E6405="LO",6,10))+IF(T6405=1,2,IF(D6405=7,1,(IF(WEEKDAY(B6405)=1,2,IF(WEEKDAY(B6405)=7,1,0))))))</f>
        <v>2</v>
      </c>
    </row>
    <row r="6406" spans="2:22">
      <c r="B6406" s="318">
        <f t="shared" si="399"/>
        <v>46379</v>
      </c>
      <c r="C6406" s="312">
        <v>18</v>
      </c>
      <c r="D6406" s="368">
        <f>IFERROR((INDEX(METADATA!$T$2:$T$20,MATCH(B6406,METADATA!$S$2:$S$20,0))),0)</f>
        <v>0</v>
      </c>
      <c r="E6406" s="312" t="str">
        <f t="shared" si="400"/>
        <v>LO</v>
      </c>
      <c r="F6406" s="369">
        <f>VLOOKUP(C6406,METADATA!$A$5:$H$29,IF(E6406="HI",2,IF(E6406="LO",6,10))+IF(D6406=1,2,IF(D6406=7,1,(IF(WEEKDAY(B6406)=1,2,IF(WEEKDAY(B6406)=7,1,0))))))</f>
        <v>1</v>
      </c>
      <c r="G6406" s="369">
        <f>VLOOKUP(C6406,METADATA!$J$5:$Q$29,IF(E6406="HI",2,IF(E6406="LO",6,10))+IF(D6406=1,2,IF(D6406=7,1,(IF(WEEKDAY(B6406)=1,2,IF(WEEKDAY(B6406)=7,1,0))))))</f>
        <v>1</v>
      </c>
      <c r="H6406" s="370">
        <v>13034.125305175781</v>
      </c>
      <c r="I6406" s="370">
        <v>4100.580078125</v>
      </c>
      <c r="M6406" s="371">
        <f t="shared" si="401"/>
        <v>13663.937186921612</v>
      </c>
      <c r="N6406" s="329">
        <f t="shared" si="402"/>
        <v>190.3424865722659</v>
      </c>
      <c r="T6406" s="331">
        <v>0</v>
      </c>
      <c r="U6406" s="328">
        <f>VLOOKUP(C6406,METADATA!$J$5:$Q$29,IF(E6406="HI",2,IF(E6406="LO",6,10))+IF(T6406=1,2,IF(D6406=7,1,(IF(WEEKDAY(B6406)=1,2,IF(WEEKDAY(B6406)=7,1,0))))))</f>
        <v>1</v>
      </c>
      <c r="V6406" s="328">
        <f>VLOOKUP(C6406,METADATA!$A$5:$H$29,IF(E6406="HI",2,IF(E6406="LO",6,10))+IF(T6406=1,2,IF(D6406=7,1,(IF(WEEKDAY(B6406)=1,2,IF(WEEKDAY(B6406)=7,1,0))))))</f>
        <v>1</v>
      </c>
    </row>
    <row r="6407" spans="2:22">
      <c r="B6407" s="318">
        <f t="shared" si="399"/>
        <v>46379</v>
      </c>
      <c r="C6407" s="312">
        <v>19</v>
      </c>
      <c r="D6407" s="368">
        <f>IFERROR((INDEX(METADATA!$T$2:$T$20,MATCH(B6407,METADATA!$S$2:$S$20,0))),0)</f>
        <v>0</v>
      </c>
      <c r="E6407" s="312" t="str">
        <f t="shared" si="400"/>
        <v>LO</v>
      </c>
      <c r="F6407" s="369">
        <f>VLOOKUP(C6407,METADATA!$A$5:$H$29,IF(E6407="HI",2,IF(E6407="LO",6,10))+IF(D6407=1,2,IF(D6407=7,1,(IF(WEEKDAY(B6407)=1,2,IF(WEEKDAY(B6407)=7,1,0))))))</f>
        <v>1</v>
      </c>
      <c r="G6407" s="369">
        <f>VLOOKUP(C6407,METADATA!$J$5:$Q$29,IF(E6407="HI",2,IF(E6407="LO",6,10))+IF(D6407=1,2,IF(D6407=7,1,(IF(WEEKDAY(B6407)=1,2,IF(WEEKDAY(B6407)=7,1,0))))))</f>
        <v>1</v>
      </c>
      <c r="H6407" s="370">
        <v>12877.824829101563</v>
      </c>
      <c r="I6407" s="370">
        <v>4030.6749877929688</v>
      </c>
      <c r="M6407" s="371">
        <f t="shared" si="401"/>
        <v>13493.876877541328</v>
      </c>
      <c r="N6407" s="329">
        <f t="shared" si="402"/>
        <v>167.32753906250036</v>
      </c>
      <c r="T6407" s="331">
        <v>0</v>
      </c>
      <c r="U6407" s="328">
        <f>VLOOKUP(C6407,METADATA!$J$5:$Q$29,IF(E6407="HI",2,IF(E6407="LO",6,10))+IF(T6407=1,2,IF(D6407=7,1,(IF(WEEKDAY(B6407)=1,2,IF(WEEKDAY(B6407)=7,1,0))))))</f>
        <v>1</v>
      </c>
      <c r="V6407" s="328">
        <f>VLOOKUP(C6407,METADATA!$A$5:$H$29,IF(E6407="HI",2,IF(E6407="LO",6,10))+IF(T6407=1,2,IF(D6407=7,1,(IF(WEEKDAY(B6407)=1,2,IF(WEEKDAY(B6407)=7,1,0))))))</f>
        <v>1</v>
      </c>
    </row>
    <row r="6408" spans="2:22">
      <c r="B6408" s="318">
        <f t="shared" si="399"/>
        <v>46379</v>
      </c>
      <c r="C6408" s="312">
        <v>20</v>
      </c>
      <c r="D6408" s="368">
        <f>IFERROR((INDEX(METADATA!$T$2:$T$20,MATCH(B6408,METADATA!$S$2:$S$20,0))),0)</f>
        <v>0</v>
      </c>
      <c r="E6408" s="312" t="str">
        <f t="shared" si="400"/>
        <v>LO</v>
      </c>
      <c r="F6408" s="369">
        <f>VLOOKUP(C6408,METADATA!$A$5:$H$29,IF(E6408="HI",2,IF(E6408="LO",6,10))+IF(D6408=1,2,IF(D6408=7,1,(IF(WEEKDAY(B6408)=1,2,IF(WEEKDAY(B6408)=7,1,0))))))</f>
        <v>1</v>
      </c>
      <c r="G6408" s="369">
        <f>VLOOKUP(C6408,METADATA!$J$5:$Q$29,IF(E6408="HI",2,IF(E6408="LO",6,10))+IF(D6408=1,2,IF(D6408=7,1,(IF(WEEKDAY(B6408)=1,2,IF(WEEKDAY(B6408)=7,1,0))))))</f>
        <v>1</v>
      </c>
      <c r="H6408" s="370">
        <v>12914.3251953125</v>
      </c>
      <c r="I6408" s="370">
        <v>4000.4299926757813</v>
      </c>
      <c r="M6408" s="371">
        <f t="shared" si="401"/>
        <v>13519.735033519821</v>
      </c>
      <c r="N6408" s="329">
        <f t="shared" si="402"/>
        <v>126.13243408203152</v>
      </c>
      <c r="T6408" s="331">
        <v>0</v>
      </c>
      <c r="U6408" s="328">
        <f>VLOOKUP(C6408,METADATA!$J$5:$Q$29,IF(E6408="HI",2,IF(E6408="LO",6,10))+IF(T6408=1,2,IF(D6408=7,1,(IF(WEEKDAY(B6408)=1,2,IF(WEEKDAY(B6408)=7,1,0))))))</f>
        <v>1</v>
      </c>
      <c r="V6408" s="328">
        <f>VLOOKUP(C6408,METADATA!$A$5:$H$29,IF(E6408="HI",2,IF(E6408="LO",6,10))+IF(T6408=1,2,IF(D6408=7,1,(IF(WEEKDAY(B6408)=1,2,IF(WEEKDAY(B6408)=7,1,0))))))</f>
        <v>1</v>
      </c>
    </row>
    <row r="6409" spans="2:22">
      <c r="B6409" s="318">
        <f t="shared" si="399"/>
        <v>46379</v>
      </c>
      <c r="C6409" s="312">
        <v>21</v>
      </c>
      <c r="D6409" s="368">
        <f>IFERROR((INDEX(METADATA!$T$2:$T$20,MATCH(B6409,METADATA!$S$2:$S$20,0))),0)</f>
        <v>0</v>
      </c>
      <c r="E6409" s="312" t="str">
        <f t="shared" si="400"/>
        <v>LO</v>
      </c>
      <c r="F6409" s="369">
        <f>VLOOKUP(C6409,METADATA!$A$5:$H$29,IF(E6409="HI",2,IF(E6409="LO",6,10))+IF(D6409=1,2,IF(D6409=7,1,(IF(WEEKDAY(B6409)=1,2,IF(WEEKDAY(B6409)=7,1,0))))))</f>
        <v>2</v>
      </c>
      <c r="G6409" s="369">
        <f>VLOOKUP(C6409,METADATA!$J$5:$Q$29,IF(E6409="HI",2,IF(E6409="LO",6,10))+IF(D6409=1,2,IF(D6409=7,1,(IF(WEEKDAY(B6409)=1,2,IF(WEEKDAY(B6409)=7,1,0))))))</f>
        <v>2</v>
      </c>
      <c r="H6409" s="370">
        <v>12988.099792480469</v>
      </c>
      <c r="I6409" s="370">
        <v>4009.510009765625</v>
      </c>
      <c r="M6409" s="371">
        <f t="shared" si="401"/>
        <v>13592.899129245458</v>
      </c>
      <c r="N6409" s="329">
        <f t="shared" si="402"/>
        <v>113.08007202148474</v>
      </c>
      <c r="T6409" s="331">
        <v>0</v>
      </c>
      <c r="U6409" s="328">
        <f>VLOOKUP(C6409,METADATA!$J$5:$Q$29,IF(E6409="HI",2,IF(E6409="LO",6,10))+IF(T6409=1,2,IF(D6409=7,1,(IF(WEEKDAY(B6409)=1,2,IF(WEEKDAY(B6409)=7,1,0))))))</f>
        <v>2</v>
      </c>
      <c r="V6409" s="328">
        <f>VLOOKUP(C6409,METADATA!$A$5:$H$29,IF(E6409="HI",2,IF(E6409="LO",6,10))+IF(T6409=1,2,IF(D6409=7,1,(IF(WEEKDAY(B6409)=1,2,IF(WEEKDAY(B6409)=7,1,0))))))</f>
        <v>2</v>
      </c>
    </row>
    <row r="6410" spans="2:22">
      <c r="B6410" s="318">
        <f t="shared" si="399"/>
        <v>46379</v>
      </c>
      <c r="C6410" s="312">
        <v>22</v>
      </c>
      <c r="D6410" s="368">
        <f>IFERROR((INDEX(METADATA!$T$2:$T$20,MATCH(B6410,METADATA!$S$2:$S$20,0))),0)</f>
        <v>0</v>
      </c>
      <c r="E6410" s="312" t="str">
        <f t="shared" si="400"/>
        <v>LO</v>
      </c>
      <c r="F6410" s="369">
        <f>VLOOKUP(C6410,METADATA!$A$5:$H$29,IF(E6410="HI",2,IF(E6410="LO",6,10))+IF(D6410=1,2,IF(D6410=7,1,(IF(WEEKDAY(B6410)=1,2,IF(WEEKDAY(B6410)=7,1,0))))))</f>
        <v>3</v>
      </c>
      <c r="G6410" s="369">
        <f>VLOOKUP(C6410,METADATA!$J$5:$Q$29,IF(E6410="HI",2,IF(E6410="LO",6,10))+IF(D6410=1,2,IF(D6410=7,1,(IF(WEEKDAY(B6410)=1,2,IF(WEEKDAY(B6410)=7,1,0))))))</f>
        <v>3</v>
      </c>
      <c r="H6410" s="370">
        <v>12950.375</v>
      </c>
      <c r="I6410" s="370">
        <v>3956.1650085449219</v>
      </c>
      <c r="M6410" s="371">
        <f t="shared" si="401"/>
        <v>13541.176249331527</v>
      </c>
      <c r="N6410" s="329">
        <f t="shared" si="402"/>
        <v>71.052508544922148</v>
      </c>
      <c r="T6410" s="331">
        <v>0</v>
      </c>
      <c r="U6410" s="328">
        <f>VLOOKUP(C6410,METADATA!$J$5:$Q$29,IF(E6410="HI",2,IF(E6410="LO",6,10))+IF(T6410=1,2,IF(D6410=7,1,(IF(WEEKDAY(B6410)=1,2,IF(WEEKDAY(B6410)=7,1,0))))))</f>
        <v>3</v>
      </c>
      <c r="V6410" s="328">
        <f>VLOOKUP(C6410,METADATA!$A$5:$H$29,IF(E6410="HI",2,IF(E6410="LO",6,10))+IF(T6410=1,2,IF(D6410=7,1,(IF(WEEKDAY(B6410)=1,2,IF(WEEKDAY(B6410)=7,1,0))))))</f>
        <v>3</v>
      </c>
    </row>
    <row r="6411" spans="2:22">
      <c r="B6411" s="318">
        <f t="shared" si="399"/>
        <v>46379</v>
      </c>
      <c r="C6411" s="312">
        <v>23</v>
      </c>
      <c r="D6411" s="368">
        <f>IFERROR((INDEX(METADATA!$T$2:$T$20,MATCH(B6411,METADATA!$S$2:$S$20,0))),0)</f>
        <v>0</v>
      </c>
      <c r="E6411" s="312" t="str">
        <f t="shared" si="400"/>
        <v>LO</v>
      </c>
      <c r="F6411" s="369">
        <f>VLOOKUP(C6411,METADATA!$A$5:$H$29,IF(E6411="HI",2,IF(E6411="LO",6,10))+IF(D6411=1,2,IF(D6411=7,1,(IF(WEEKDAY(B6411)=1,2,IF(WEEKDAY(B6411)=7,1,0))))))</f>
        <v>3</v>
      </c>
      <c r="G6411" s="369">
        <f>VLOOKUP(C6411,METADATA!$J$5:$Q$29,IF(E6411="HI",2,IF(E6411="LO",6,10))+IF(D6411=1,2,IF(D6411=7,1,(IF(WEEKDAY(B6411)=1,2,IF(WEEKDAY(B6411)=7,1,0))))))</f>
        <v>3</v>
      </c>
      <c r="H6411" s="370">
        <v>12985.050354003906</v>
      </c>
      <c r="I6411" s="370">
        <v>4055.7048950195313</v>
      </c>
      <c r="M6411" s="371">
        <f t="shared" si="401"/>
        <v>13603.686077365295</v>
      </c>
      <c r="N6411" s="329">
        <f t="shared" si="402"/>
        <v>160.18978881835938</v>
      </c>
      <c r="T6411" s="331">
        <v>0</v>
      </c>
      <c r="U6411" s="328">
        <f>VLOOKUP(C6411,METADATA!$J$5:$Q$29,IF(E6411="HI",2,IF(E6411="LO",6,10))+IF(T6411=1,2,IF(D6411=7,1,(IF(WEEKDAY(B6411)=1,2,IF(WEEKDAY(B6411)=7,1,0))))))</f>
        <v>3</v>
      </c>
      <c r="V6411" s="328">
        <f>VLOOKUP(C6411,METADATA!$A$5:$H$29,IF(E6411="HI",2,IF(E6411="LO",6,10))+IF(T6411=1,2,IF(D6411=7,1,(IF(WEEKDAY(B6411)=1,2,IF(WEEKDAY(B6411)=7,1,0))))))</f>
        <v>3</v>
      </c>
    </row>
    <row r="6412" spans="2:22">
      <c r="B6412" s="318">
        <f t="shared" si="399"/>
        <v>46380</v>
      </c>
      <c r="C6412" s="312">
        <v>0</v>
      </c>
      <c r="D6412" s="368">
        <f>IFERROR((INDEX(METADATA!$T$2:$T$20,MATCH(B6412,METADATA!$S$2:$S$20,0))),0)</f>
        <v>0</v>
      </c>
      <c r="E6412" s="312" t="str">
        <f t="shared" si="400"/>
        <v>LO</v>
      </c>
      <c r="F6412" s="369">
        <f>VLOOKUP(C6412,METADATA!$A$5:$H$29,IF(E6412="HI",2,IF(E6412="LO",6,10))+IF(D6412=1,2,IF(D6412=7,1,(IF(WEEKDAY(B6412)=1,2,IF(WEEKDAY(B6412)=7,1,0))))))</f>
        <v>3</v>
      </c>
      <c r="G6412" s="369">
        <f>VLOOKUP(C6412,METADATA!$J$5:$Q$29,IF(E6412="HI",2,IF(E6412="LO",6,10))+IF(D6412=1,2,IF(D6412=7,1,(IF(WEEKDAY(B6412)=1,2,IF(WEEKDAY(B6412)=7,1,0))))))</f>
        <v>3</v>
      </c>
      <c r="H6412" s="370">
        <v>13072.5498046875</v>
      </c>
      <c r="I6412" s="370">
        <v>4168.3648986816406</v>
      </c>
      <c r="M6412" s="371">
        <f t="shared" si="401"/>
        <v>13721.035832785963</v>
      </c>
      <c r="N6412" s="329">
        <f t="shared" si="402"/>
        <v>246.59995727539081</v>
      </c>
      <c r="T6412" s="331">
        <v>0</v>
      </c>
      <c r="U6412" s="328">
        <f>VLOOKUP(C6412,METADATA!$J$5:$Q$29,IF(E6412="HI",2,IF(E6412="LO",6,10))+IF(T6412=1,2,IF(D6412=7,1,(IF(WEEKDAY(B6412)=1,2,IF(WEEKDAY(B6412)=7,1,0))))))</f>
        <v>3</v>
      </c>
      <c r="V6412" s="328">
        <f>VLOOKUP(C6412,METADATA!$A$5:$H$29,IF(E6412="HI",2,IF(E6412="LO",6,10))+IF(T6412=1,2,IF(D6412=7,1,(IF(WEEKDAY(B6412)=1,2,IF(WEEKDAY(B6412)=7,1,0))))))</f>
        <v>3</v>
      </c>
    </row>
    <row r="6413" spans="2:22">
      <c r="B6413" s="318">
        <f t="shared" si="399"/>
        <v>46380</v>
      </c>
      <c r="C6413" s="312">
        <v>1</v>
      </c>
      <c r="D6413" s="368">
        <f>IFERROR((INDEX(METADATA!$T$2:$T$20,MATCH(B6413,METADATA!$S$2:$S$20,0))),0)</f>
        <v>0</v>
      </c>
      <c r="E6413" s="312" t="str">
        <f t="shared" si="400"/>
        <v>LO</v>
      </c>
      <c r="F6413" s="369">
        <f>VLOOKUP(C6413,METADATA!$A$5:$H$29,IF(E6413="HI",2,IF(E6413="LO",6,10))+IF(D6413=1,2,IF(D6413=7,1,(IF(WEEKDAY(B6413)=1,2,IF(WEEKDAY(B6413)=7,1,0))))))</f>
        <v>3</v>
      </c>
      <c r="G6413" s="369">
        <f>VLOOKUP(C6413,METADATA!$J$5:$Q$29,IF(E6413="HI",2,IF(E6413="LO",6,10))+IF(D6413=1,2,IF(D6413=7,1,(IF(WEEKDAY(B6413)=1,2,IF(WEEKDAY(B6413)=7,1,0))))))</f>
        <v>3</v>
      </c>
      <c r="H6413" s="370">
        <v>13132.884887695313</v>
      </c>
      <c r="I6413" s="370">
        <v>4108.5273742675781</v>
      </c>
      <c r="M6413" s="371">
        <f t="shared" si="401"/>
        <v>13760.547324091507</v>
      </c>
      <c r="N6413" s="329">
        <f t="shared" si="402"/>
        <v>168.66190795898456</v>
      </c>
      <c r="T6413" s="331">
        <v>0</v>
      </c>
      <c r="U6413" s="328">
        <f>VLOOKUP(C6413,METADATA!$J$5:$Q$29,IF(E6413="HI",2,IF(E6413="LO",6,10))+IF(T6413=1,2,IF(D6413=7,1,(IF(WEEKDAY(B6413)=1,2,IF(WEEKDAY(B6413)=7,1,0))))))</f>
        <v>3</v>
      </c>
      <c r="V6413" s="328">
        <f>VLOOKUP(C6413,METADATA!$A$5:$H$29,IF(E6413="HI",2,IF(E6413="LO",6,10))+IF(T6413=1,2,IF(D6413=7,1,(IF(WEEKDAY(B6413)=1,2,IF(WEEKDAY(B6413)=7,1,0))))))</f>
        <v>3</v>
      </c>
    </row>
    <row r="6414" spans="2:22">
      <c r="B6414" s="318">
        <f t="shared" si="399"/>
        <v>46380</v>
      </c>
      <c r="C6414" s="312">
        <v>2</v>
      </c>
      <c r="D6414" s="368">
        <f>IFERROR((INDEX(METADATA!$T$2:$T$20,MATCH(B6414,METADATA!$S$2:$S$20,0))),0)</f>
        <v>0</v>
      </c>
      <c r="E6414" s="312" t="str">
        <f t="shared" si="400"/>
        <v>LO</v>
      </c>
      <c r="F6414" s="369">
        <f>VLOOKUP(C6414,METADATA!$A$5:$H$29,IF(E6414="HI",2,IF(E6414="LO",6,10))+IF(D6414=1,2,IF(D6414=7,1,(IF(WEEKDAY(B6414)=1,2,IF(WEEKDAY(B6414)=7,1,0))))))</f>
        <v>3</v>
      </c>
      <c r="G6414" s="369">
        <f>VLOOKUP(C6414,METADATA!$J$5:$Q$29,IF(E6414="HI",2,IF(E6414="LO",6,10))+IF(D6414=1,2,IF(D6414=7,1,(IF(WEEKDAY(B6414)=1,2,IF(WEEKDAY(B6414)=7,1,0))))))</f>
        <v>3</v>
      </c>
      <c r="H6414" s="370">
        <v>13147.525146484375</v>
      </c>
      <c r="I6414" s="370">
        <v>4112.3849487304688</v>
      </c>
      <c r="M6414" s="371">
        <f t="shared" si="401"/>
        <v>13775.671578692049</v>
      </c>
      <c r="N6414" s="329">
        <f t="shared" si="402"/>
        <v>168.12740478515661</v>
      </c>
      <c r="T6414" s="331">
        <v>0</v>
      </c>
      <c r="U6414" s="328">
        <f>VLOOKUP(C6414,METADATA!$J$5:$Q$29,IF(E6414="HI",2,IF(E6414="LO",6,10))+IF(T6414=1,2,IF(D6414=7,1,(IF(WEEKDAY(B6414)=1,2,IF(WEEKDAY(B6414)=7,1,0))))))</f>
        <v>3</v>
      </c>
      <c r="V6414" s="328">
        <f>VLOOKUP(C6414,METADATA!$A$5:$H$29,IF(E6414="HI",2,IF(E6414="LO",6,10))+IF(T6414=1,2,IF(D6414=7,1,(IF(WEEKDAY(B6414)=1,2,IF(WEEKDAY(B6414)=7,1,0))))))</f>
        <v>3</v>
      </c>
    </row>
    <row r="6415" spans="2:22">
      <c r="B6415" s="318">
        <f t="shared" si="399"/>
        <v>46380</v>
      </c>
      <c r="C6415" s="312">
        <v>3</v>
      </c>
      <c r="D6415" s="368">
        <f>IFERROR((INDEX(METADATA!$T$2:$T$20,MATCH(B6415,METADATA!$S$2:$S$20,0))),0)</f>
        <v>0</v>
      </c>
      <c r="E6415" s="312" t="str">
        <f t="shared" si="400"/>
        <v>LO</v>
      </c>
      <c r="F6415" s="369">
        <f>VLOOKUP(C6415,METADATA!$A$5:$H$29,IF(E6415="HI",2,IF(E6415="LO",6,10))+IF(D6415=1,2,IF(D6415=7,1,(IF(WEEKDAY(B6415)=1,2,IF(WEEKDAY(B6415)=7,1,0))))))</f>
        <v>3</v>
      </c>
      <c r="G6415" s="369">
        <f>VLOOKUP(C6415,METADATA!$J$5:$Q$29,IF(E6415="HI",2,IF(E6415="LO",6,10))+IF(D6415=1,2,IF(D6415=7,1,(IF(WEEKDAY(B6415)=1,2,IF(WEEKDAY(B6415)=7,1,0))))))</f>
        <v>3</v>
      </c>
      <c r="H6415" s="370">
        <v>13080.075256347656</v>
      </c>
      <c r="I6415" s="370">
        <v>4195.679931640625</v>
      </c>
      <c r="M6415" s="371">
        <f t="shared" si="401"/>
        <v>13736.524261999106</v>
      </c>
      <c r="N6415" s="329">
        <f t="shared" si="402"/>
        <v>271.65735473632822</v>
      </c>
      <c r="T6415" s="331">
        <v>0</v>
      </c>
      <c r="U6415" s="328">
        <f>VLOOKUP(C6415,METADATA!$J$5:$Q$29,IF(E6415="HI",2,IF(E6415="LO",6,10))+IF(T6415=1,2,IF(D6415=7,1,(IF(WEEKDAY(B6415)=1,2,IF(WEEKDAY(B6415)=7,1,0))))))</f>
        <v>3</v>
      </c>
      <c r="V6415" s="328">
        <f>VLOOKUP(C6415,METADATA!$A$5:$H$29,IF(E6415="HI",2,IF(E6415="LO",6,10))+IF(T6415=1,2,IF(D6415=7,1,(IF(WEEKDAY(B6415)=1,2,IF(WEEKDAY(B6415)=7,1,0))))))</f>
        <v>3</v>
      </c>
    </row>
    <row r="6416" spans="2:22">
      <c r="B6416" s="318">
        <f t="shared" si="399"/>
        <v>46380</v>
      </c>
      <c r="C6416" s="312">
        <v>4</v>
      </c>
      <c r="D6416" s="368">
        <f>IFERROR((INDEX(METADATA!$T$2:$T$20,MATCH(B6416,METADATA!$S$2:$S$20,0))),0)</f>
        <v>0</v>
      </c>
      <c r="E6416" s="312" t="str">
        <f t="shared" si="400"/>
        <v>LO</v>
      </c>
      <c r="F6416" s="369">
        <f>VLOOKUP(C6416,METADATA!$A$5:$H$29,IF(E6416="HI",2,IF(E6416="LO",6,10))+IF(D6416=1,2,IF(D6416=7,1,(IF(WEEKDAY(B6416)=1,2,IF(WEEKDAY(B6416)=7,1,0))))))</f>
        <v>3</v>
      </c>
      <c r="G6416" s="369">
        <f>VLOOKUP(C6416,METADATA!$J$5:$Q$29,IF(E6416="HI",2,IF(E6416="LO",6,10))+IF(D6416=1,2,IF(D6416=7,1,(IF(WEEKDAY(B6416)=1,2,IF(WEEKDAY(B6416)=7,1,0))))))</f>
        <v>3</v>
      </c>
      <c r="H6416" s="370">
        <v>13056.574951171875</v>
      </c>
      <c r="I6416" s="370">
        <v>4062.7099609375</v>
      </c>
      <c r="M6416" s="371">
        <f t="shared" si="401"/>
        <v>13674.054324971421</v>
      </c>
      <c r="N6416" s="329">
        <f t="shared" si="402"/>
        <v>145.73747558593777</v>
      </c>
      <c r="T6416" s="331">
        <v>0</v>
      </c>
      <c r="U6416" s="328">
        <f>VLOOKUP(C6416,METADATA!$J$5:$Q$29,IF(E6416="HI",2,IF(E6416="LO",6,10))+IF(T6416=1,2,IF(D6416=7,1,(IF(WEEKDAY(B6416)=1,2,IF(WEEKDAY(B6416)=7,1,0))))))</f>
        <v>3</v>
      </c>
      <c r="V6416" s="328">
        <f>VLOOKUP(C6416,METADATA!$A$5:$H$29,IF(E6416="HI",2,IF(E6416="LO",6,10))+IF(T6416=1,2,IF(D6416=7,1,(IF(WEEKDAY(B6416)=1,2,IF(WEEKDAY(B6416)=7,1,0))))))</f>
        <v>3</v>
      </c>
    </row>
    <row r="6417" spans="2:22">
      <c r="B6417" s="318">
        <f t="shared" si="399"/>
        <v>46380</v>
      </c>
      <c r="C6417" s="312">
        <v>5</v>
      </c>
      <c r="D6417" s="368">
        <f>IFERROR((INDEX(METADATA!$T$2:$T$20,MATCH(B6417,METADATA!$S$2:$S$20,0))),0)</f>
        <v>0</v>
      </c>
      <c r="E6417" s="312" t="str">
        <f t="shared" si="400"/>
        <v>LO</v>
      </c>
      <c r="F6417" s="369">
        <f>VLOOKUP(C6417,METADATA!$A$5:$H$29,IF(E6417="HI",2,IF(E6417="LO",6,10))+IF(D6417=1,2,IF(D6417=7,1,(IF(WEEKDAY(B6417)=1,2,IF(WEEKDAY(B6417)=7,1,0))))))</f>
        <v>3</v>
      </c>
      <c r="G6417" s="369">
        <f>VLOOKUP(C6417,METADATA!$J$5:$Q$29,IF(E6417="HI",2,IF(E6417="LO",6,10))+IF(D6417=1,2,IF(D6417=7,1,(IF(WEEKDAY(B6417)=1,2,IF(WEEKDAY(B6417)=7,1,0))))))</f>
        <v>3</v>
      </c>
      <c r="H6417" s="370">
        <v>13071.924987792969</v>
      </c>
      <c r="I6417" s="370">
        <v>4098.534912109375</v>
      </c>
      <c r="M6417" s="371">
        <f t="shared" si="401"/>
        <v>13699.387260467733</v>
      </c>
      <c r="N6417" s="329">
        <f t="shared" si="402"/>
        <v>176.95741577148465</v>
      </c>
      <c r="T6417" s="331">
        <v>0</v>
      </c>
      <c r="U6417" s="328">
        <f>VLOOKUP(C6417,METADATA!$J$5:$Q$29,IF(E6417="HI",2,IF(E6417="LO",6,10))+IF(T6417=1,2,IF(D6417=7,1,(IF(WEEKDAY(B6417)=1,2,IF(WEEKDAY(B6417)=7,1,0))))))</f>
        <v>3</v>
      </c>
      <c r="V6417" s="328">
        <f>VLOOKUP(C6417,METADATA!$A$5:$H$29,IF(E6417="HI",2,IF(E6417="LO",6,10))+IF(T6417=1,2,IF(D6417=7,1,(IF(WEEKDAY(B6417)=1,2,IF(WEEKDAY(B6417)=7,1,0))))))</f>
        <v>3</v>
      </c>
    </row>
    <row r="6418" spans="2:22">
      <c r="B6418" s="318">
        <f t="shared" si="399"/>
        <v>46380</v>
      </c>
      <c r="C6418" s="312">
        <v>6</v>
      </c>
      <c r="D6418" s="368">
        <f>IFERROR((INDEX(METADATA!$T$2:$T$20,MATCH(B6418,METADATA!$S$2:$S$20,0))),0)</f>
        <v>0</v>
      </c>
      <c r="E6418" s="312" t="str">
        <f t="shared" si="400"/>
        <v>LO</v>
      </c>
      <c r="F6418" s="369">
        <f>VLOOKUP(C6418,METADATA!$A$5:$H$29,IF(E6418="HI",2,IF(E6418="LO",6,10))+IF(D6418=1,2,IF(D6418=7,1,(IF(WEEKDAY(B6418)=1,2,IF(WEEKDAY(B6418)=7,1,0))))))</f>
        <v>2</v>
      </c>
      <c r="G6418" s="369">
        <f>VLOOKUP(C6418,METADATA!$J$5:$Q$29,IF(E6418="HI",2,IF(E6418="LO",6,10))+IF(D6418=1,2,IF(D6418=7,1,(IF(WEEKDAY(B6418)=1,2,IF(WEEKDAY(B6418)=7,1,0))))))</f>
        <v>2</v>
      </c>
      <c r="H6418" s="370">
        <v>13132.849975585938</v>
      </c>
      <c r="I6418" s="370">
        <v>4178.97998046875</v>
      </c>
      <c r="M6418" s="371">
        <f t="shared" si="401"/>
        <v>13781.713324489308</v>
      </c>
      <c r="N6418" s="329">
        <f t="shared" si="402"/>
        <v>239.12498779296902</v>
      </c>
      <c r="T6418" s="331">
        <v>0</v>
      </c>
      <c r="U6418" s="328">
        <f>VLOOKUP(C6418,METADATA!$J$5:$Q$29,IF(E6418="HI",2,IF(E6418="LO",6,10))+IF(T6418=1,2,IF(D6418=7,1,(IF(WEEKDAY(B6418)=1,2,IF(WEEKDAY(B6418)=7,1,0))))))</f>
        <v>2</v>
      </c>
      <c r="V6418" s="328">
        <f>VLOOKUP(C6418,METADATA!$A$5:$H$29,IF(E6418="HI",2,IF(E6418="LO",6,10))+IF(T6418=1,2,IF(D6418=7,1,(IF(WEEKDAY(B6418)=1,2,IF(WEEKDAY(B6418)=7,1,0))))))</f>
        <v>2</v>
      </c>
    </row>
    <row r="6419" spans="2:22">
      <c r="B6419" s="318">
        <f t="shared" si="399"/>
        <v>46380</v>
      </c>
      <c r="C6419" s="312">
        <v>7</v>
      </c>
      <c r="D6419" s="368">
        <f>IFERROR((INDEX(METADATA!$T$2:$T$20,MATCH(B6419,METADATA!$S$2:$S$20,0))),0)</f>
        <v>0</v>
      </c>
      <c r="E6419" s="312" t="str">
        <f t="shared" si="400"/>
        <v>LO</v>
      </c>
      <c r="F6419" s="369">
        <f>VLOOKUP(C6419,METADATA!$A$5:$H$29,IF(E6419="HI",2,IF(E6419="LO",6,10))+IF(D6419=1,2,IF(D6419=7,1,(IF(WEEKDAY(B6419)=1,2,IF(WEEKDAY(B6419)=7,1,0))))))</f>
        <v>1</v>
      </c>
      <c r="G6419" s="369">
        <f>VLOOKUP(C6419,METADATA!$J$5:$Q$29,IF(E6419="HI",2,IF(E6419="LO",6,10))+IF(D6419=1,2,IF(D6419=7,1,(IF(WEEKDAY(B6419)=1,2,IF(WEEKDAY(B6419)=7,1,0))))))</f>
        <v>1</v>
      </c>
      <c r="H6419" s="370">
        <v>13216.224792480469</v>
      </c>
      <c r="I6419" s="370">
        <v>4065.905029296875</v>
      </c>
      <c r="M6419" s="371">
        <f t="shared" si="401"/>
        <v>13827.515375968202</v>
      </c>
      <c r="N6419" s="329">
        <f t="shared" si="402"/>
        <v>101.03759155273474</v>
      </c>
      <c r="T6419" s="331">
        <v>0</v>
      </c>
      <c r="U6419" s="328">
        <f>VLOOKUP(C6419,METADATA!$J$5:$Q$29,IF(E6419="HI",2,IF(E6419="LO",6,10))+IF(T6419=1,2,IF(D6419=7,1,(IF(WEEKDAY(B6419)=1,2,IF(WEEKDAY(B6419)=7,1,0))))))</f>
        <v>1</v>
      </c>
      <c r="V6419" s="328">
        <f>VLOOKUP(C6419,METADATA!$A$5:$H$29,IF(E6419="HI",2,IF(E6419="LO",6,10))+IF(T6419=1,2,IF(D6419=7,1,(IF(WEEKDAY(B6419)=1,2,IF(WEEKDAY(B6419)=7,1,0))))))</f>
        <v>1</v>
      </c>
    </row>
    <row r="6420" spans="2:22">
      <c r="B6420" s="318">
        <f t="shared" si="399"/>
        <v>46380</v>
      </c>
      <c r="C6420" s="312">
        <v>8</v>
      </c>
      <c r="D6420" s="368">
        <f>IFERROR((INDEX(METADATA!$T$2:$T$20,MATCH(B6420,METADATA!$S$2:$S$20,0))),0)</f>
        <v>0</v>
      </c>
      <c r="E6420" s="312" t="str">
        <f t="shared" si="400"/>
        <v>LO</v>
      </c>
      <c r="F6420" s="369">
        <f>VLOOKUP(C6420,METADATA!$A$5:$H$29,IF(E6420="HI",2,IF(E6420="LO",6,10))+IF(D6420=1,2,IF(D6420=7,1,(IF(WEEKDAY(B6420)=1,2,IF(WEEKDAY(B6420)=7,1,0))))))</f>
        <v>1</v>
      </c>
      <c r="G6420" s="369">
        <f>VLOOKUP(C6420,METADATA!$J$5:$Q$29,IF(E6420="HI",2,IF(E6420="LO",6,10))+IF(D6420=1,2,IF(D6420=7,1,(IF(WEEKDAY(B6420)=1,2,IF(WEEKDAY(B6420)=7,1,0))))))</f>
        <v>1</v>
      </c>
      <c r="H6420" s="370">
        <v>13217.099853515625</v>
      </c>
      <c r="I6420" s="370">
        <v>4005.5899658203125</v>
      </c>
      <c r="M6420" s="371">
        <f t="shared" si="401"/>
        <v>13810.737833732241</v>
      </c>
      <c r="N6420" s="329">
        <f t="shared" si="402"/>
        <v>40.460009765625273</v>
      </c>
      <c r="T6420" s="331">
        <v>0</v>
      </c>
      <c r="U6420" s="328">
        <f>VLOOKUP(C6420,METADATA!$J$5:$Q$29,IF(E6420="HI",2,IF(E6420="LO",6,10))+IF(T6420=1,2,IF(D6420=7,1,(IF(WEEKDAY(B6420)=1,2,IF(WEEKDAY(B6420)=7,1,0))))))</f>
        <v>1</v>
      </c>
      <c r="V6420" s="328">
        <f>VLOOKUP(C6420,METADATA!$A$5:$H$29,IF(E6420="HI",2,IF(E6420="LO",6,10))+IF(T6420=1,2,IF(D6420=7,1,(IF(WEEKDAY(B6420)=1,2,IF(WEEKDAY(B6420)=7,1,0))))))</f>
        <v>1</v>
      </c>
    </row>
    <row r="6421" spans="2:22">
      <c r="B6421" s="318">
        <f t="shared" si="399"/>
        <v>46380</v>
      </c>
      <c r="C6421" s="312">
        <v>9</v>
      </c>
      <c r="D6421" s="368">
        <f>IFERROR((INDEX(METADATA!$T$2:$T$20,MATCH(B6421,METADATA!$S$2:$S$20,0))),0)</f>
        <v>0</v>
      </c>
      <c r="E6421" s="312" t="str">
        <f t="shared" si="400"/>
        <v>LO</v>
      </c>
      <c r="F6421" s="369">
        <f>VLOOKUP(C6421,METADATA!$A$5:$H$29,IF(E6421="HI",2,IF(E6421="LO",6,10))+IF(D6421=1,2,IF(D6421=7,1,(IF(WEEKDAY(B6421)=1,2,IF(WEEKDAY(B6421)=7,1,0))))))</f>
        <v>2</v>
      </c>
      <c r="G6421" s="369">
        <f>VLOOKUP(C6421,METADATA!$J$5:$Q$29,IF(E6421="HI",2,IF(E6421="LO",6,10))+IF(D6421=1,2,IF(D6421=7,1,(IF(WEEKDAY(B6421)=1,2,IF(WEEKDAY(B6421)=7,1,0))))))</f>
        <v>2</v>
      </c>
      <c r="H6421" s="370">
        <v>12910.75048828125</v>
      </c>
      <c r="I6421" s="370">
        <v>3864.3149719238281</v>
      </c>
      <c r="M6421" s="371">
        <f t="shared" si="401"/>
        <v>13476.661618252838</v>
      </c>
      <c r="N6421" s="329">
        <f t="shared" si="402"/>
        <v>0</v>
      </c>
      <c r="T6421" s="331">
        <v>0</v>
      </c>
      <c r="U6421" s="328">
        <f>VLOOKUP(C6421,METADATA!$J$5:$Q$29,IF(E6421="HI",2,IF(E6421="LO",6,10))+IF(T6421=1,2,IF(D6421=7,1,(IF(WEEKDAY(B6421)=1,2,IF(WEEKDAY(B6421)=7,1,0))))))</f>
        <v>2</v>
      </c>
      <c r="V6421" s="328">
        <f>VLOOKUP(C6421,METADATA!$A$5:$H$29,IF(E6421="HI",2,IF(E6421="LO",6,10))+IF(T6421=1,2,IF(D6421=7,1,(IF(WEEKDAY(B6421)=1,2,IF(WEEKDAY(B6421)=7,1,0))))))</f>
        <v>2</v>
      </c>
    </row>
    <row r="6422" spans="2:22">
      <c r="B6422" s="318">
        <f t="shared" si="399"/>
        <v>46380</v>
      </c>
      <c r="C6422" s="312">
        <v>10</v>
      </c>
      <c r="D6422" s="368">
        <f>IFERROR((INDEX(METADATA!$T$2:$T$20,MATCH(B6422,METADATA!$S$2:$S$20,0))),0)</f>
        <v>0</v>
      </c>
      <c r="E6422" s="312" t="str">
        <f t="shared" si="400"/>
        <v>LO</v>
      </c>
      <c r="F6422" s="369">
        <f>VLOOKUP(C6422,METADATA!$A$5:$H$29,IF(E6422="HI",2,IF(E6422="LO",6,10))+IF(D6422=1,2,IF(D6422=7,1,(IF(WEEKDAY(B6422)=1,2,IF(WEEKDAY(B6422)=7,1,0))))))</f>
        <v>2</v>
      </c>
      <c r="G6422" s="369">
        <f>VLOOKUP(C6422,METADATA!$J$5:$Q$29,IF(E6422="HI",2,IF(E6422="LO",6,10))+IF(D6422=1,2,IF(D6422=7,1,(IF(WEEKDAY(B6422)=1,2,IF(WEEKDAY(B6422)=7,1,0))))))</f>
        <v>2</v>
      </c>
      <c r="H6422" s="370">
        <v>12887.249694824219</v>
      </c>
      <c r="I6422" s="370">
        <v>3955.9099731445313</v>
      </c>
      <c r="M6422" s="371">
        <f t="shared" si="401"/>
        <v>13480.742873164345</v>
      </c>
      <c r="N6422" s="329">
        <f t="shared" si="402"/>
        <v>89.735064697265898</v>
      </c>
      <c r="T6422" s="331">
        <v>0</v>
      </c>
      <c r="U6422" s="328">
        <f>VLOOKUP(C6422,METADATA!$J$5:$Q$29,IF(E6422="HI",2,IF(E6422="LO",6,10))+IF(T6422=1,2,IF(D6422=7,1,(IF(WEEKDAY(B6422)=1,2,IF(WEEKDAY(B6422)=7,1,0))))))</f>
        <v>2</v>
      </c>
      <c r="V6422" s="328">
        <f>VLOOKUP(C6422,METADATA!$A$5:$H$29,IF(E6422="HI",2,IF(E6422="LO",6,10))+IF(T6422=1,2,IF(D6422=7,1,(IF(WEEKDAY(B6422)=1,2,IF(WEEKDAY(B6422)=7,1,0))))))</f>
        <v>2</v>
      </c>
    </row>
    <row r="6423" spans="2:22">
      <c r="B6423" s="318">
        <f t="shared" si="399"/>
        <v>46380</v>
      </c>
      <c r="C6423" s="312">
        <v>11</v>
      </c>
      <c r="D6423" s="368">
        <f>IFERROR((INDEX(METADATA!$T$2:$T$20,MATCH(B6423,METADATA!$S$2:$S$20,0))),0)</f>
        <v>0</v>
      </c>
      <c r="E6423" s="312" t="str">
        <f t="shared" si="400"/>
        <v>LO</v>
      </c>
      <c r="F6423" s="369">
        <f>VLOOKUP(C6423,METADATA!$A$5:$H$29,IF(E6423="HI",2,IF(E6423="LO",6,10))+IF(D6423=1,2,IF(D6423=7,1,(IF(WEEKDAY(B6423)=1,2,IF(WEEKDAY(B6423)=7,1,0))))))</f>
        <v>2</v>
      </c>
      <c r="G6423" s="369">
        <f>VLOOKUP(C6423,METADATA!$J$5:$Q$29,IF(E6423="HI",2,IF(E6423="LO",6,10))+IF(D6423=1,2,IF(D6423=7,1,(IF(WEEKDAY(B6423)=1,2,IF(WEEKDAY(B6423)=7,1,0))))))</f>
        <v>2</v>
      </c>
      <c r="H6423" s="370">
        <v>12991.374572753906</v>
      </c>
      <c r="I6423" s="370">
        <v>3933.4298400878906</v>
      </c>
      <c r="M6423" s="371">
        <f t="shared" si="401"/>
        <v>13573.786634410111</v>
      </c>
      <c r="N6423" s="329">
        <f t="shared" si="402"/>
        <v>36.017468261718932</v>
      </c>
      <c r="T6423" s="331">
        <v>0</v>
      </c>
      <c r="U6423" s="328">
        <f>VLOOKUP(C6423,METADATA!$J$5:$Q$29,IF(E6423="HI",2,IF(E6423="LO",6,10))+IF(T6423=1,2,IF(D6423=7,1,(IF(WEEKDAY(B6423)=1,2,IF(WEEKDAY(B6423)=7,1,0))))))</f>
        <v>2</v>
      </c>
      <c r="V6423" s="328">
        <f>VLOOKUP(C6423,METADATA!$A$5:$H$29,IF(E6423="HI",2,IF(E6423="LO",6,10))+IF(T6423=1,2,IF(D6423=7,1,(IF(WEEKDAY(B6423)=1,2,IF(WEEKDAY(B6423)=7,1,0))))))</f>
        <v>2</v>
      </c>
    </row>
    <row r="6424" spans="2:22">
      <c r="B6424" s="318">
        <f t="shared" si="399"/>
        <v>46380</v>
      </c>
      <c r="C6424" s="312">
        <v>12</v>
      </c>
      <c r="D6424" s="368">
        <f>IFERROR((INDEX(METADATA!$T$2:$T$20,MATCH(B6424,METADATA!$S$2:$S$20,0))),0)</f>
        <v>0</v>
      </c>
      <c r="E6424" s="312" t="str">
        <f t="shared" si="400"/>
        <v>LO</v>
      </c>
      <c r="F6424" s="369">
        <f>VLOOKUP(C6424,METADATA!$A$5:$H$29,IF(E6424="HI",2,IF(E6424="LO",6,10))+IF(D6424=1,2,IF(D6424=7,1,(IF(WEEKDAY(B6424)=1,2,IF(WEEKDAY(B6424)=7,1,0))))))</f>
        <v>2</v>
      </c>
      <c r="G6424" s="369">
        <f>VLOOKUP(C6424,METADATA!$J$5:$Q$29,IF(E6424="HI",2,IF(E6424="LO",6,10))+IF(D6424=1,2,IF(D6424=7,1,(IF(WEEKDAY(B6424)=1,2,IF(WEEKDAY(B6424)=7,1,0))))))</f>
        <v>2</v>
      </c>
      <c r="H6424" s="370">
        <v>11996.649780273438</v>
      </c>
      <c r="I6424" s="370">
        <v>3170.4000115394592</v>
      </c>
      <c r="M6424" s="371">
        <f t="shared" si="401"/>
        <v>12408.506847469767</v>
      </c>
      <c r="N6424" s="329">
        <f t="shared" si="402"/>
        <v>0</v>
      </c>
      <c r="T6424" s="331">
        <v>0</v>
      </c>
      <c r="U6424" s="328">
        <f>VLOOKUP(C6424,METADATA!$J$5:$Q$29,IF(E6424="HI",2,IF(E6424="LO",6,10))+IF(T6424=1,2,IF(D6424=7,1,(IF(WEEKDAY(B6424)=1,2,IF(WEEKDAY(B6424)=7,1,0))))))</f>
        <v>2</v>
      </c>
      <c r="V6424" s="328">
        <f>VLOOKUP(C6424,METADATA!$A$5:$H$29,IF(E6424="HI",2,IF(E6424="LO",6,10))+IF(T6424=1,2,IF(D6424=7,1,(IF(WEEKDAY(B6424)=1,2,IF(WEEKDAY(B6424)=7,1,0))))))</f>
        <v>2</v>
      </c>
    </row>
    <row r="6425" spans="2:22">
      <c r="B6425" s="318">
        <f t="shared" si="399"/>
        <v>46380</v>
      </c>
      <c r="C6425" s="312">
        <v>13</v>
      </c>
      <c r="D6425" s="368">
        <f>IFERROR((INDEX(METADATA!$T$2:$T$20,MATCH(B6425,METADATA!$S$2:$S$20,0))),0)</f>
        <v>0</v>
      </c>
      <c r="E6425" s="312" t="str">
        <f t="shared" si="400"/>
        <v>LO</v>
      </c>
      <c r="F6425" s="369">
        <f>VLOOKUP(C6425,METADATA!$A$5:$H$29,IF(E6425="HI",2,IF(E6425="LO",6,10))+IF(D6425=1,2,IF(D6425=7,1,(IF(WEEKDAY(B6425)=1,2,IF(WEEKDAY(B6425)=7,1,0))))))</f>
        <v>2</v>
      </c>
      <c r="G6425" s="369">
        <f>VLOOKUP(C6425,METADATA!$J$5:$Q$29,IF(E6425="HI",2,IF(E6425="LO",6,10))+IF(D6425=1,2,IF(D6425=7,1,(IF(WEEKDAY(B6425)=1,2,IF(WEEKDAY(B6425)=7,1,0))))))</f>
        <v>2</v>
      </c>
      <c r="H6425" s="370">
        <v>11387.599975585938</v>
      </c>
      <c r="I6425" s="370">
        <v>2786.4399881362915</v>
      </c>
      <c r="M6425" s="371">
        <f t="shared" si="401"/>
        <v>11723.552405796197</v>
      </c>
      <c r="N6425" s="329">
        <f t="shared" si="402"/>
        <v>0</v>
      </c>
      <c r="T6425" s="331">
        <v>0</v>
      </c>
      <c r="U6425" s="328">
        <f>VLOOKUP(C6425,METADATA!$J$5:$Q$29,IF(E6425="HI",2,IF(E6425="LO",6,10))+IF(T6425=1,2,IF(D6425=7,1,(IF(WEEKDAY(B6425)=1,2,IF(WEEKDAY(B6425)=7,1,0))))))</f>
        <v>2</v>
      </c>
      <c r="V6425" s="328">
        <f>VLOOKUP(C6425,METADATA!$A$5:$H$29,IF(E6425="HI",2,IF(E6425="LO",6,10))+IF(T6425=1,2,IF(D6425=7,1,(IF(WEEKDAY(B6425)=1,2,IF(WEEKDAY(B6425)=7,1,0))))))</f>
        <v>2</v>
      </c>
    </row>
    <row r="6426" spans="2:22">
      <c r="B6426" s="318">
        <f t="shared" si="399"/>
        <v>46380</v>
      </c>
      <c r="C6426" s="312">
        <v>14</v>
      </c>
      <c r="D6426" s="368">
        <f>IFERROR((INDEX(METADATA!$T$2:$T$20,MATCH(B6426,METADATA!$S$2:$S$20,0))),0)</f>
        <v>0</v>
      </c>
      <c r="E6426" s="312" t="str">
        <f t="shared" si="400"/>
        <v>LO</v>
      </c>
      <c r="F6426" s="369">
        <f>VLOOKUP(C6426,METADATA!$A$5:$H$29,IF(E6426="HI",2,IF(E6426="LO",6,10))+IF(D6426=1,2,IF(D6426=7,1,(IF(WEEKDAY(B6426)=1,2,IF(WEEKDAY(B6426)=7,1,0))))))</f>
        <v>2</v>
      </c>
      <c r="G6426" s="369">
        <f>VLOOKUP(C6426,METADATA!$J$5:$Q$29,IF(E6426="HI",2,IF(E6426="LO",6,10))+IF(D6426=1,2,IF(D6426=7,1,(IF(WEEKDAY(B6426)=1,2,IF(WEEKDAY(B6426)=7,1,0))))))</f>
        <v>2</v>
      </c>
      <c r="H6426" s="370">
        <v>11506.950073242188</v>
      </c>
      <c r="I6426" s="370">
        <v>2807.2500370070338</v>
      </c>
      <c r="M6426" s="371">
        <f t="shared" si="401"/>
        <v>11844.431297380401</v>
      </c>
      <c r="N6426" s="329">
        <f t="shared" si="402"/>
        <v>0</v>
      </c>
      <c r="T6426" s="331">
        <v>0</v>
      </c>
      <c r="U6426" s="328">
        <f>VLOOKUP(C6426,METADATA!$J$5:$Q$29,IF(E6426="HI",2,IF(E6426="LO",6,10))+IF(T6426=1,2,IF(D6426=7,1,(IF(WEEKDAY(B6426)=1,2,IF(WEEKDAY(B6426)=7,1,0))))))</f>
        <v>2</v>
      </c>
      <c r="V6426" s="328">
        <f>VLOOKUP(C6426,METADATA!$A$5:$H$29,IF(E6426="HI",2,IF(E6426="LO",6,10))+IF(T6426=1,2,IF(D6426=7,1,(IF(WEEKDAY(B6426)=1,2,IF(WEEKDAY(B6426)=7,1,0))))))</f>
        <v>2</v>
      </c>
    </row>
    <row r="6427" spans="2:22">
      <c r="B6427" s="318">
        <f t="shared" si="399"/>
        <v>46380</v>
      </c>
      <c r="C6427" s="312">
        <v>15</v>
      </c>
      <c r="D6427" s="368">
        <f>IFERROR((INDEX(METADATA!$T$2:$T$20,MATCH(B6427,METADATA!$S$2:$S$20,0))),0)</f>
        <v>0</v>
      </c>
      <c r="E6427" s="312" t="str">
        <f t="shared" si="400"/>
        <v>LO</v>
      </c>
      <c r="F6427" s="369">
        <f>VLOOKUP(C6427,METADATA!$A$5:$H$29,IF(E6427="HI",2,IF(E6427="LO",6,10))+IF(D6427=1,2,IF(D6427=7,1,(IF(WEEKDAY(B6427)=1,2,IF(WEEKDAY(B6427)=7,1,0))))))</f>
        <v>2</v>
      </c>
      <c r="G6427" s="369">
        <f>VLOOKUP(C6427,METADATA!$J$5:$Q$29,IF(E6427="HI",2,IF(E6427="LO",6,10))+IF(D6427=1,2,IF(D6427=7,1,(IF(WEEKDAY(B6427)=1,2,IF(WEEKDAY(B6427)=7,1,0))))))</f>
        <v>2</v>
      </c>
      <c r="H6427" s="370">
        <v>11485.775146484375</v>
      </c>
      <c r="I6427" s="370">
        <v>2793.9999878406525</v>
      </c>
      <c r="M6427" s="371">
        <f t="shared" si="401"/>
        <v>11820.721917364088</v>
      </c>
      <c r="N6427" s="329">
        <f t="shared" si="402"/>
        <v>0</v>
      </c>
      <c r="T6427" s="331">
        <v>0</v>
      </c>
      <c r="U6427" s="328">
        <f>VLOOKUP(C6427,METADATA!$J$5:$Q$29,IF(E6427="HI",2,IF(E6427="LO",6,10))+IF(T6427=1,2,IF(D6427=7,1,(IF(WEEKDAY(B6427)=1,2,IF(WEEKDAY(B6427)=7,1,0))))))</f>
        <v>2</v>
      </c>
      <c r="V6427" s="328">
        <f>VLOOKUP(C6427,METADATA!$A$5:$H$29,IF(E6427="HI",2,IF(E6427="LO",6,10))+IF(T6427=1,2,IF(D6427=7,1,(IF(WEEKDAY(B6427)=1,2,IF(WEEKDAY(B6427)=7,1,0))))))</f>
        <v>2</v>
      </c>
    </row>
    <row r="6428" spans="2:22">
      <c r="B6428" s="318">
        <f t="shared" ref="B6428:B6491" si="403">B6404+1</f>
        <v>46380</v>
      </c>
      <c r="C6428" s="312">
        <v>16</v>
      </c>
      <c r="D6428" s="368">
        <f>IFERROR((INDEX(METADATA!$T$2:$T$20,MATCH(B6428,METADATA!$S$2:$S$20,0))),0)</f>
        <v>0</v>
      </c>
      <c r="E6428" s="312" t="str">
        <f t="shared" si="400"/>
        <v>LO</v>
      </c>
      <c r="F6428" s="369">
        <f>VLOOKUP(C6428,METADATA!$A$5:$H$29,IF(E6428="HI",2,IF(E6428="LO",6,10))+IF(D6428=1,2,IF(D6428=7,1,(IF(WEEKDAY(B6428)=1,2,IF(WEEKDAY(B6428)=7,1,0))))))</f>
        <v>2</v>
      </c>
      <c r="G6428" s="369">
        <f>VLOOKUP(C6428,METADATA!$J$5:$Q$29,IF(E6428="HI",2,IF(E6428="LO",6,10))+IF(D6428=1,2,IF(D6428=7,1,(IF(WEEKDAY(B6428)=1,2,IF(WEEKDAY(B6428)=7,1,0))))))</f>
        <v>2</v>
      </c>
      <c r="H6428" s="370">
        <v>11323.900085449219</v>
      </c>
      <c r="I6428" s="370">
        <v>2789.4200491607189</v>
      </c>
      <c r="M6428" s="371">
        <f t="shared" si="401"/>
        <v>11662.400154166235</v>
      </c>
      <c r="N6428" s="329">
        <f t="shared" si="402"/>
        <v>0</v>
      </c>
      <c r="T6428" s="331">
        <v>0</v>
      </c>
      <c r="U6428" s="328">
        <f>VLOOKUP(C6428,METADATA!$J$5:$Q$29,IF(E6428="HI",2,IF(E6428="LO",6,10))+IF(T6428=1,2,IF(D6428=7,1,(IF(WEEKDAY(B6428)=1,2,IF(WEEKDAY(B6428)=7,1,0))))))</f>
        <v>2</v>
      </c>
      <c r="V6428" s="328">
        <f>VLOOKUP(C6428,METADATA!$A$5:$H$29,IF(E6428="HI",2,IF(E6428="LO",6,10))+IF(T6428=1,2,IF(D6428=7,1,(IF(WEEKDAY(B6428)=1,2,IF(WEEKDAY(B6428)=7,1,0))))))</f>
        <v>2</v>
      </c>
    </row>
    <row r="6429" spans="2:22">
      <c r="B6429" s="318">
        <f t="shared" si="403"/>
        <v>46380</v>
      </c>
      <c r="C6429" s="312">
        <v>17</v>
      </c>
      <c r="D6429" s="368">
        <f>IFERROR((INDEX(METADATA!$T$2:$T$20,MATCH(B6429,METADATA!$S$2:$S$20,0))),0)</f>
        <v>0</v>
      </c>
      <c r="E6429" s="312" t="str">
        <f t="shared" si="400"/>
        <v>LO</v>
      </c>
      <c r="F6429" s="369">
        <f>VLOOKUP(C6429,METADATA!$A$5:$H$29,IF(E6429="HI",2,IF(E6429="LO",6,10))+IF(D6429=1,2,IF(D6429=7,1,(IF(WEEKDAY(B6429)=1,2,IF(WEEKDAY(B6429)=7,1,0))))))</f>
        <v>2</v>
      </c>
      <c r="G6429" s="369">
        <f>VLOOKUP(C6429,METADATA!$J$5:$Q$29,IF(E6429="HI",2,IF(E6429="LO",6,10))+IF(D6429=1,2,IF(D6429=7,1,(IF(WEEKDAY(B6429)=1,2,IF(WEEKDAY(B6429)=7,1,0))))))</f>
        <v>2</v>
      </c>
      <c r="H6429" s="370">
        <v>11274.274963378906</v>
      </c>
      <c r="I6429" s="370">
        <v>2766.170024394989</v>
      </c>
      <c r="M6429" s="371">
        <f t="shared" si="401"/>
        <v>11608.659377970127</v>
      </c>
      <c r="N6429" s="329">
        <f t="shared" si="402"/>
        <v>0</v>
      </c>
      <c r="T6429" s="331">
        <v>0</v>
      </c>
      <c r="U6429" s="328">
        <f>VLOOKUP(C6429,METADATA!$J$5:$Q$29,IF(E6429="HI",2,IF(E6429="LO",6,10))+IF(T6429=1,2,IF(D6429=7,1,(IF(WEEKDAY(B6429)=1,2,IF(WEEKDAY(B6429)=7,1,0))))))</f>
        <v>2</v>
      </c>
      <c r="V6429" s="328">
        <f>VLOOKUP(C6429,METADATA!$A$5:$H$29,IF(E6429="HI",2,IF(E6429="LO",6,10))+IF(T6429=1,2,IF(D6429=7,1,(IF(WEEKDAY(B6429)=1,2,IF(WEEKDAY(B6429)=7,1,0))))))</f>
        <v>2</v>
      </c>
    </row>
    <row r="6430" spans="2:22">
      <c r="B6430" s="318">
        <f t="shared" si="403"/>
        <v>46380</v>
      </c>
      <c r="C6430" s="312">
        <v>18</v>
      </c>
      <c r="D6430" s="368">
        <f>IFERROR((INDEX(METADATA!$T$2:$T$20,MATCH(B6430,METADATA!$S$2:$S$20,0))),0)</f>
        <v>0</v>
      </c>
      <c r="E6430" s="312" t="str">
        <f t="shared" si="400"/>
        <v>LO</v>
      </c>
      <c r="F6430" s="369">
        <f>VLOOKUP(C6430,METADATA!$A$5:$H$29,IF(E6430="HI",2,IF(E6430="LO",6,10))+IF(D6430=1,2,IF(D6430=7,1,(IF(WEEKDAY(B6430)=1,2,IF(WEEKDAY(B6430)=7,1,0))))))</f>
        <v>1</v>
      </c>
      <c r="G6430" s="369">
        <f>VLOOKUP(C6430,METADATA!$J$5:$Q$29,IF(E6430="HI",2,IF(E6430="LO",6,10))+IF(D6430=1,2,IF(D6430=7,1,(IF(WEEKDAY(B6430)=1,2,IF(WEEKDAY(B6430)=7,1,0))))))</f>
        <v>1</v>
      </c>
      <c r="H6430" s="370">
        <v>11421.974975585938</v>
      </c>
      <c r="I6430" s="370">
        <v>2786.1650122404099</v>
      </c>
      <c r="M6430" s="371">
        <f t="shared" si="401"/>
        <v>11756.88002058131</v>
      </c>
      <c r="N6430" s="329">
        <f t="shared" si="402"/>
        <v>0</v>
      </c>
      <c r="T6430" s="331">
        <v>0</v>
      </c>
      <c r="U6430" s="328">
        <f>VLOOKUP(C6430,METADATA!$J$5:$Q$29,IF(E6430="HI",2,IF(E6430="LO",6,10))+IF(T6430=1,2,IF(D6430=7,1,(IF(WEEKDAY(B6430)=1,2,IF(WEEKDAY(B6430)=7,1,0))))))</f>
        <v>1</v>
      </c>
      <c r="V6430" s="328">
        <f>VLOOKUP(C6430,METADATA!$A$5:$H$29,IF(E6430="HI",2,IF(E6430="LO",6,10))+IF(T6430=1,2,IF(D6430=7,1,(IF(WEEKDAY(B6430)=1,2,IF(WEEKDAY(B6430)=7,1,0))))))</f>
        <v>1</v>
      </c>
    </row>
    <row r="6431" spans="2:22">
      <c r="B6431" s="318">
        <f t="shared" si="403"/>
        <v>46380</v>
      </c>
      <c r="C6431" s="312">
        <v>19</v>
      </c>
      <c r="D6431" s="368">
        <f>IFERROR((INDEX(METADATA!$T$2:$T$20,MATCH(B6431,METADATA!$S$2:$S$20,0))),0)</f>
        <v>0</v>
      </c>
      <c r="E6431" s="312" t="str">
        <f t="shared" si="400"/>
        <v>LO</v>
      </c>
      <c r="F6431" s="369">
        <f>VLOOKUP(C6431,METADATA!$A$5:$H$29,IF(E6431="HI",2,IF(E6431="LO",6,10))+IF(D6431=1,2,IF(D6431=7,1,(IF(WEEKDAY(B6431)=1,2,IF(WEEKDAY(B6431)=7,1,0))))))</f>
        <v>1</v>
      </c>
      <c r="G6431" s="369">
        <f>VLOOKUP(C6431,METADATA!$J$5:$Q$29,IF(E6431="HI",2,IF(E6431="LO",6,10))+IF(D6431=1,2,IF(D6431=7,1,(IF(WEEKDAY(B6431)=1,2,IF(WEEKDAY(B6431)=7,1,0))))))</f>
        <v>1</v>
      </c>
      <c r="H6431" s="370">
        <v>11445.674743652344</v>
      </c>
      <c r="I6431" s="370">
        <v>2712.0200365781784</v>
      </c>
      <c r="M6431" s="371">
        <f t="shared" si="401"/>
        <v>11762.589979094002</v>
      </c>
      <c r="N6431" s="329">
        <f t="shared" si="402"/>
        <v>0</v>
      </c>
      <c r="T6431" s="331">
        <v>0</v>
      </c>
      <c r="U6431" s="328">
        <f>VLOOKUP(C6431,METADATA!$J$5:$Q$29,IF(E6431="HI",2,IF(E6431="LO",6,10))+IF(T6431=1,2,IF(D6431=7,1,(IF(WEEKDAY(B6431)=1,2,IF(WEEKDAY(B6431)=7,1,0))))))</f>
        <v>1</v>
      </c>
      <c r="V6431" s="328">
        <f>VLOOKUP(C6431,METADATA!$A$5:$H$29,IF(E6431="HI",2,IF(E6431="LO",6,10))+IF(T6431=1,2,IF(D6431=7,1,(IF(WEEKDAY(B6431)=1,2,IF(WEEKDAY(B6431)=7,1,0))))))</f>
        <v>1</v>
      </c>
    </row>
    <row r="6432" spans="2:22">
      <c r="B6432" s="318">
        <f t="shared" si="403"/>
        <v>46380</v>
      </c>
      <c r="C6432" s="312">
        <v>20</v>
      </c>
      <c r="D6432" s="368">
        <f>IFERROR((INDEX(METADATA!$T$2:$T$20,MATCH(B6432,METADATA!$S$2:$S$20,0))),0)</f>
        <v>0</v>
      </c>
      <c r="E6432" s="312" t="str">
        <f t="shared" si="400"/>
        <v>LO</v>
      </c>
      <c r="F6432" s="369">
        <f>VLOOKUP(C6432,METADATA!$A$5:$H$29,IF(E6432="HI",2,IF(E6432="LO",6,10))+IF(D6432=1,2,IF(D6432=7,1,(IF(WEEKDAY(B6432)=1,2,IF(WEEKDAY(B6432)=7,1,0))))))</f>
        <v>1</v>
      </c>
      <c r="G6432" s="369">
        <f>VLOOKUP(C6432,METADATA!$J$5:$Q$29,IF(E6432="HI",2,IF(E6432="LO",6,10))+IF(D6432=1,2,IF(D6432=7,1,(IF(WEEKDAY(B6432)=1,2,IF(WEEKDAY(B6432)=7,1,0))))))</f>
        <v>1</v>
      </c>
      <c r="H6432" s="370">
        <v>10202.700012207031</v>
      </c>
      <c r="I6432" s="370">
        <v>2069.6724243164063</v>
      </c>
      <c r="M6432" s="371">
        <f t="shared" si="401"/>
        <v>10410.505822632496</v>
      </c>
      <c r="N6432" s="329">
        <f t="shared" si="402"/>
        <v>0</v>
      </c>
      <c r="T6432" s="331">
        <v>0</v>
      </c>
      <c r="U6432" s="328">
        <f>VLOOKUP(C6432,METADATA!$J$5:$Q$29,IF(E6432="HI",2,IF(E6432="LO",6,10))+IF(T6432=1,2,IF(D6432=7,1,(IF(WEEKDAY(B6432)=1,2,IF(WEEKDAY(B6432)=7,1,0))))))</f>
        <v>1</v>
      </c>
      <c r="V6432" s="328">
        <f>VLOOKUP(C6432,METADATA!$A$5:$H$29,IF(E6432="HI",2,IF(E6432="LO",6,10))+IF(T6432=1,2,IF(D6432=7,1,(IF(WEEKDAY(B6432)=1,2,IF(WEEKDAY(B6432)=7,1,0))))))</f>
        <v>1</v>
      </c>
    </row>
    <row r="6433" spans="2:22">
      <c r="B6433" s="318">
        <f t="shared" si="403"/>
        <v>46380</v>
      </c>
      <c r="C6433" s="312">
        <v>21</v>
      </c>
      <c r="D6433" s="368">
        <f>IFERROR((INDEX(METADATA!$T$2:$T$20,MATCH(B6433,METADATA!$S$2:$S$20,0))),0)</f>
        <v>0</v>
      </c>
      <c r="E6433" s="312" t="str">
        <f t="shared" si="400"/>
        <v>LO</v>
      </c>
      <c r="F6433" s="369">
        <f>VLOOKUP(C6433,METADATA!$A$5:$H$29,IF(E6433="HI",2,IF(E6433="LO",6,10))+IF(D6433=1,2,IF(D6433=7,1,(IF(WEEKDAY(B6433)=1,2,IF(WEEKDAY(B6433)=7,1,0))))))</f>
        <v>2</v>
      </c>
      <c r="G6433" s="369">
        <f>VLOOKUP(C6433,METADATA!$J$5:$Q$29,IF(E6433="HI",2,IF(E6433="LO",6,10))+IF(D6433=1,2,IF(D6433=7,1,(IF(WEEKDAY(B6433)=1,2,IF(WEEKDAY(B6433)=7,1,0))))))</f>
        <v>2</v>
      </c>
      <c r="H6433" s="370">
        <v>10297.400024414063</v>
      </c>
      <c r="I6433" s="370">
        <v>2171.2525329589844</v>
      </c>
      <c r="M6433" s="371">
        <f t="shared" si="401"/>
        <v>10523.819878004542</v>
      </c>
      <c r="N6433" s="329">
        <f t="shared" si="402"/>
        <v>0</v>
      </c>
      <c r="T6433" s="331">
        <v>0</v>
      </c>
      <c r="U6433" s="328">
        <f>VLOOKUP(C6433,METADATA!$J$5:$Q$29,IF(E6433="HI",2,IF(E6433="LO",6,10))+IF(T6433=1,2,IF(D6433=7,1,(IF(WEEKDAY(B6433)=1,2,IF(WEEKDAY(B6433)=7,1,0))))))</f>
        <v>2</v>
      </c>
      <c r="V6433" s="328">
        <f>VLOOKUP(C6433,METADATA!$A$5:$H$29,IF(E6433="HI",2,IF(E6433="LO",6,10))+IF(T6433=1,2,IF(D6433=7,1,(IF(WEEKDAY(B6433)=1,2,IF(WEEKDAY(B6433)=7,1,0))))))</f>
        <v>2</v>
      </c>
    </row>
    <row r="6434" spans="2:22">
      <c r="B6434" s="318">
        <f t="shared" si="403"/>
        <v>46380</v>
      </c>
      <c r="C6434" s="312">
        <v>22</v>
      </c>
      <c r="D6434" s="368">
        <f>IFERROR((INDEX(METADATA!$T$2:$T$20,MATCH(B6434,METADATA!$S$2:$S$20,0))),0)</f>
        <v>0</v>
      </c>
      <c r="E6434" s="312" t="str">
        <f t="shared" si="400"/>
        <v>LO</v>
      </c>
      <c r="F6434" s="369">
        <f>VLOOKUP(C6434,METADATA!$A$5:$H$29,IF(E6434="HI",2,IF(E6434="LO",6,10))+IF(D6434=1,2,IF(D6434=7,1,(IF(WEEKDAY(B6434)=1,2,IF(WEEKDAY(B6434)=7,1,0))))))</f>
        <v>3</v>
      </c>
      <c r="G6434" s="369">
        <f>VLOOKUP(C6434,METADATA!$J$5:$Q$29,IF(E6434="HI",2,IF(E6434="LO",6,10))+IF(D6434=1,2,IF(D6434=7,1,(IF(WEEKDAY(B6434)=1,2,IF(WEEKDAY(B6434)=7,1,0))))))</f>
        <v>3</v>
      </c>
      <c r="H6434" s="370">
        <v>11374.699951171875</v>
      </c>
      <c r="I6434" s="370">
        <v>2810.3650001063943</v>
      </c>
      <c r="M6434" s="371">
        <f t="shared" si="401"/>
        <v>11716.738044908765</v>
      </c>
      <c r="N6434" s="329">
        <f t="shared" si="402"/>
        <v>0</v>
      </c>
      <c r="T6434" s="331">
        <v>0</v>
      </c>
      <c r="U6434" s="328">
        <f>VLOOKUP(C6434,METADATA!$J$5:$Q$29,IF(E6434="HI",2,IF(E6434="LO",6,10))+IF(T6434=1,2,IF(D6434=7,1,(IF(WEEKDAY(B6434)=1,2,IF(WEEKDAY(B6434)=7,1,0))))))</f>
        <v>3</v>
      </c>
      <c r="V6434" s="328">
        <f>VLOOKUP(C6434,METADATA!$A$5:$H$29,IF(E6434="HI",2,IF(E6434="LO",6,10))+IF(T6434=1,2,IF(D6434=7,1,(IF(WEEKDAY(B6434)=1,2,IF(WEEKDAY(B6434)=7,1,0))))))</f>
        <v>3</v>
      </c>
    </row>
    <row r="6435" spans="2:22">
      <c r="B6435" s="318">
        <f t="shared" si="403"/>
        <v>46380</v>
      </c>
      <c r="C6435" s="312">
        <v>23</v>
      </c>
      <c r="D6435" s="368">
        <f>IFERROR((INDEX(METADATA!$T$2:$T$20,MATCH(B6435,METADATA!$S$2:$S$20,0))),0)</f>
        <v>0</v>
      </c>
      <c r="E6435" s="312" t="str">
        <f t="shared" si="400"/>
        <v>LO</v>
      </c>
      <c r="F6435" s="369">
        <f>VLOOKUP(C6435,METADATA!$A$5:$H$29,IF(E6435="HI",2,IF(E6435="LO",6,10))+IF(D6435=1,2,IF(D6435=7,1,(IF(WEEKDAY(B6435)=1,2,IF(WEEKDAY(B6435)=7,1,0))))))</f>
        <v>3</v>
      </c>
      <c r="G6435" s="369">
        <f>VLOOKUP(C6435,METADATA!$J$5:$Q$29,IF(E6435="HI",2,IF(E6435="LO",6,10))+IF(D6435=1,2,IF(D6435=7,1,(IF(WEEKDAY(B6435)=1,2,IF(WEEKDAY(B6435)=7,1,0))))))</f>
        <v>3</v>
      </c>
      <c r="H6435" s="370">
        <v>11394.324829101563</v>
      </c>
      <c r="I6435" s="370">
        <v>2808.6649877876043</v>
      </c>
      <c r="M6435" s="371">
        <f t="shared" si="401"/>
        <v>11735.383987100902</v>
      </c>
      <c r="N6435" s="329">
        <f t="shared" si="402"/>
        <v>0</v>
      </c>
      <c r="T6435" s="331">
        <v>0</v>
      </c>
      <c r="U6435" s="328">
        <f>VLOOKUP(C6435,METADATA!$J$5:$Q$29,IF(E6435="HI",2,IF(E6435="LO",6,10))+IF(T6435=1,2,IF(D6435=7,1,(IF(WEEKDAY(B6435)=1,2,IF(WEEKDAY(B6435)=7,1,0))))))</f>
        <v>3</v>
      </c>
      <c r="V6435" s="328">
        <f>VLOOKUP(C6435,METADATA!$A$5:$H$29,IF(E6435="HI",2,IF(E6435="LO",6,10))+IF(T6435=1,2,IF(D6435=7,1,(IF(WEEKDAY(B6435)=1,2,IF(WEEKDAY(B6435)=7,1,0))))))</f>
        <v>3</v>
      </c>
    </row>
    <row r="6436" spans="2:22">
      <c r="B6436" s="318">
        <f t="shared" si="403"/>
        <v>46381</v>
      </c>
      <c r="C6436" s="312">
        <v>0</v>
      </c>
      <c r="D6436" s="368">
        <f>IFERROR((INDEX(METADATA!$T$2:$T$20,MATCH(B6436,METADATA!$S$2:$S$20,0))),0)</f>
        <v>1</v>
      </c>
      <c r="E6436" s="312" t="str">
        <f t="shared" si="400"/>
        <v>LO</v>
      </c>
      <c r="F6436" s="369">
        <f>VLOOKUP(C6436,METADATA!$A$5:$H$29,IF(E6436="HI",2,IF(E6436="LO",6,10))+IF(D6436=1,2,IF(D6436=7,1,(IF(WEEKDAY(B6436)=1,2,IF(WEEKDAY(B6436)=7,1,0))))))</f>
        <v>3</v>
      </c>
      <c r="G6436" s="369">
        <f>VLOOKUP(C6436,METADATA!$J$5:$Q$29,IF(E6436="HI",2,IF(E6436="LO",6,10))+IF(D6436=1,2,IF(D6436=7,1,(IF(WEEKDAY(B6436)=1,2,IF(WEEKDAY(B6436)=7,1,0))))))</f>
        <v>3</v>
      </c>
      <c r="H6436" s="370">
        <v>11419.725036621094</v>
      </c>
      <c r="I6436" s="370">
        <v>2796.4749023914337</v>
      </c>
      <c r="M6436" s="371">
        <f t="shared" si="401"/>
        <v>11757.142160905252</v>
      </c>
      <c r="N6436" s="329">
        <f t="shared" si="402"/>
        <v>0</v>
      </c>
      <c r="T6436" s="331">
        <v>0</v>
      </c>
      <c r="U6436" s="328">
        <f>VLOOKUP(C6436,METADATA!$J$5:$Q$29,IF(E6436="HI",2,IF(E6436="LO",6,10))+IF(T6436=1,2,IF(D6436=7,1,(IF(WEEKDAY(B6436)=1,2,IF(WEEKDAY(B6436)=7,1,0))))))</f>
        <v>3</v>
      </c>
      <c r="V6436" s="328">
        <f>VLOOKUP(C6436,METADATA!$A$5:$H$29,IF(E6436="HI",2,IF(E6436="LO",6,10))+IF(T6436=1,2,IF(D6436=7,1,(IF(WEEKDAY(B6436)=1,2,IF(WEEKDAY(B6436)=7,1,0))))))</f>
        <v>3</v>
      </c>
    </row>
    <row r="6437" spans="2:22">
      <c r="B6437" s="318">
        <f t="shared" si="403"/>
        <v>46381</v>
      </c>
      <c r="C6437" s="312">
        <v>1</v>
      </c>
      <c r="D6437" s="368">
        <f>IFERROR((INDEX(METADATA!$T$2:$T$20,MATCH(B6437,METADATA!$S$2:$S$20,0))),0)</f>
        <v>1</v>
      </c>
      <c r="E6437" s="312" t="str">
        <f t="shared" si="400"/>
        <v>LO</v>
      </c>
      <c r="F6437" s="369">
        <f>VLOOKUP(C6437,METADATA!$A$5:$H$29,IF(E6437="HI",2,IF(E6437="LO",6,10))+IF(D6437=1,2,IF(D6437=7,1,(IF(WEEKDAY(B6437)=1,2,IF(WEEKDAY(B6437)=7,1,0))))))</f>
        <v>3</v>
      </c>
      <c r="G6437" s="369">
        <f>VLOOKUP(C6437,METADATA!$J$5:$Q$29,IF(E6437="HI",2,IF(E6437="LO",6,10))+IF(D6437=1,2,IF(D6437=7,1,(IF(WEEKDAY(B6437)=1,2,IF(WEEKDAY(B6437)=7,1,0))))))</f>
        <v>3</v>
      </c>
      <c r="H6437" s="370">
        <v>11460.445007324219</v>
      </c>
      <c r="I6437" s="370">
        <v>2819.5125074386597</v>
      </c>
      <c r="M6437" s="371">
        <f t="shared" si="401"/>
        <v>11802.1799065048</v>
      </c>
      <c r="N6437" s="329">
        <f t="shared" si="402"/>
        <v>0</v>
      </c>
      <c r="T6437" s="331">
        <v>0</v>
      </c>
      <c r="U6437" s="328">
        <f>VLOOKUP(C6437,METADATA!$J$5:$Q$29,IF(E6437="HI",2,IF(E6437="LO",6,10))+IF(T6437=1,2,IF(D6437=7,1,(IF(WEEKDAY(B6437)=1,2,IF(WEEKDAY(B6437)=7,1,0))))))</f>
        <v>3</v>
      </c>
      <c r="V6437" s="328">
        <f>VLOOKUP(C6437,METADATA!$A$5:$H$29,IF(E6437="HI",2,IF(E6437="LO",6,10))+IF(T6437=1,2,IF(D6437=7,1,(IF(WEEKDAY(B6437)=1,2,IF(WEEKDAY(B6437)=7,1,0))))))</f>
        <v>3</v>
      </c>
    </row>
    <row r="6438" spans="2:22">
      <c r="B6438" s="318">
        <f t="shared" si="403"/>
        <v>46381</v>
      </c>
      <c r="C6438" s="312">
        <v>2</v>
      </c>
      <c r="D6438" s="368">
        <f>IFERROR((INDEX(METADATA!$T$2:$T$20,MATCH(B6438,METADATA!$S$2:$S$20,0))),0)</f>
        <v>1</v>
      </c>
      <c r="E6438" s="312" t="str">
        <f t="shared" si="400"/>
        <v>LO</v>
      </c>
      <c r="F6438" s="369">
        <f>VLOOKUP(C6438,METADATA!$A$5:$H$29,IF(E6438="HI",2,IF(E6438="LO",6,10))+IF(D6438=1,2,IF(D6438=7,1,(IF(WEEKDAY(B6438)=1,2,IF(WEEKDAY(B6438)=7,1,0))))))</f>
        <v>3</v>
      </c>
      <c r="G6438" s="369">
        <f>VLOOKUP(C6438,METADATA!$J$5:$Q$29,IF(E6438="HI",2,IF(E6438="LO",6,10))+IF(D6438=1,2,IF(D6438=7,1,(IF(WEEKDAY(B6438)=1,2,IF(WEEKDAY(B6438)=7,1,0))))))</f>
        <v>3</v>
      </c>
      <c r="H6438" s="370">
        <v>11357.249938964844</v>
      </c>
      <c r="I6438" s="370">
        <v>2807.2149630710483</v>
      </c>
      <c r="M6438" s="371">
        <f t="shared" si="401"/>
        <v>11699.041927654031</v>
      </c>
      <c r="N6438" s="329">
        <f t="shared" si="402"/>
        <v>0</v>
      </c>
      <c r="T6438" s="331">
        <v>0</v>
      </c>
      <c r="U6438" s="328">
        <f>VLOOKUP(C6438,METADATA!$J$5:$Q$29,IF(E6438="HI",2,IF(E6438="LO",6,10))+IF(T6438=1,2,IF(D6438=7,1,(IF(WEEKDAY(B6438)=1,2,IF(WEEKDAY(B6438)=7,1,0))))))</f>
        <v>3</v>
      </c>
      <c r="V6438" s="328">
        <f>VLOOKUP(C6438,METADATA!$A$5:$H$29,IF(E6438="HI",2,IF(E6438="LO",6,10))+IF(T6438=1,2,IF(D6438=7,1,(IF(WEEKDAY(B6438)=1,2,IF(WEEKDAY(B6438)=7,1,0))))))</f>
        <v>3</v>
      </c>
    </row>
    <row r="6439" spans="2:22">
      <c r="B6439" s="318">
        <f t="shared" si="403"/>
        <v>46381</v>
      </c>
      <c r="C6439" s="312">
        <v>3</v>
      </c>
      <c r="D6439" s="368">
        <f>IFERROR((INDEX(METADATA!$T$2:$T$20,MATCH(B6439,METADATA!$S$2:$S$20,0))),0)</f>
        <v>1</v>
      </c>
      <c r="E6439" s="312" t="str">
        <f t="shared" si="400"/>
        <v>LO</v>
      </c>
      <c r="F6439" s="369">
        <f>VLOOKUP(C6439,METADATA!$A$5:$H$29,IF(E6439="HI",2,IF(E6439="LO",6,10))+IF(D6439=1,2,IF(D6439=7,1,(IF(WEEKDAY(B6439)=1,2,IF(WEEKDAY(B6439)=7,1,0))))))</f>
        <v>3</v>
      </c>
      <c r="G6439" s="369">
        <f>VLOOKUP(C6439,METADATA!$J$5:$Q$29,IF(E6439="HI",2,IF(E6439="LO",6,10))+IF(D6439=1,2,IF(D6439=7,1,(IF(WEEKDAY(B6439)=1,2,IF(WEEKDAY(B6439)=7,1,0))))))</f>
        <v>3</v>
      </c>
      <c r="H6439" s="370">
        <v>11244.64990234375</v>
      </c>
      <c r="I6439" s="370">
        <v>2734.6800367832184</v>
      </c>
      <c r="M6439" s="371">
        <f t="shared" si="401"/>
        <v>11572.407974568645</v>
      </c>
      <c r="N6439" s="329">
        <f t="shared" si="402"/>
        <v>0</v>
      </c>
      <c r="T6439" s="331">
        <v>0</v>
      </c>
      <c r="U6439" s="328">
        <f>VLOOKUP(C6439,METADATA!$J$5:$Q$29,IF(E6439="HI",2,IF(E6439="LO",6,10))+IF(T6439=1,2,IF(D6439=7,1,(IF(WEEKDAY(B6439)=1,2,IF(WEEKDAY(B6439)=7,1,0))))))</f>
        <v>3</v>
      </c>
      <c r="V6439" s="328">
        <f>VLOOKUP(C6439,METADATA!$A$5:$H$29,IF(E6439="HI",2,IF(E6439="LO",6,10))+IF(T6439=1,2,IF(D6439=7,1,(IF(WEEKDAY(B6439)=1,2,IF(WEEKDAY(B6439)=7,1,0))))))</f>
        <v>3</v>
      </c>
    </row>
    <row r="6440" spans="2:22">
      <c r="B6440" s="318">
        <f t="shared" si="403"/>
        <v>46381</v>
      </c>
      <c r="C6440" s="312">
        <v>4</v>
      </c>
      <c r="D6440" s="368">
        <f>IFERROR((INDEX(METADATA!$T$2:$T$20,MATCH(B6440,METADATA!$S$2:$S$20,0))),0)</f>
        <v>1</v>
      </c>
      <c r="E6440" s="312" t="str">
        <f t="shared" si="400"/>
        <v>LO</v>
      </c>
      <c r="F6440" s="369">
        <f>VLOOKUP(C6440,METADATA!$A$5:$H$29,IF(E6440="HI",2,IF(E6440="LO",6,10))+IF(D6440=1,2,IF(D6440=7,1,(IF(WEEKDAY(B6440)=1,2,IF(WEEKDAY(B6440)=7,1,0))))))</f>
        <v>3</v>
      </c>
      <c r="G6440" s="369">
        <f>VLOOKUP(C6440,METADATA!$J$5:$Q$29,IF(E6440="HI",2,IF(E6440="LO",6,10))+IF(D6440=1,2,IF(D6440=7,1,(IF(WEEKDAY(B6440)=1,2,IF(WEEKDAY(B6440)=7,1,0))))))</f>
        <v>3</v>
      </c>
      <c r="H6440" s="370">
        <v>11613.124938964844</v>
      </c>
      <c r="I6440" s="370">
        <v>2969.6600162982941</v>
      </c>
      <c r="M6440" s="371">
        <f t="shared" si="401"/>
        <v>11986.807392312932</v>
      </c>
      <c r="N6440" s="329">
        <f t="shared" si="402"/>
        <v>0</v>
      </c>
      <c r="T6440" s="331">
        <v>0</v>
      </c>
      <c r="U6440" s="328">
        <f>VLOOKUP(C6440,METADATA!$J$5:$Q$29,IF(E6440="HI",2,IF(E6440="LO",6,10))+IF(T6440=1,2,IF(D6440=7,1,(IF(WEEKDAY(B6440)=1,2,IF(WEEKDAY(B6440)=7,1,0))))))</f>
        <v>3</v>
      </c>
      <c r="V6440" s="328">
        <f>VLOOKUP(C6440,METADATA!$A$5:$H$29,IF(E6440="HI",2,IF(E6440="LO",6,10))+IF(T6440=1,2,IF(D6440=7,1,(IF(WEEKDAY(B6440)=1,2,IF(WEEKDAY(B6440)=7,1,0))))))</f>
        <v>3</v>
      </c>
    </row>
    <row r="6441" spans="2:22">
      <c r="B6441" s="318">
        <f t="shared" si="403"/>
        <v>46381</v>
      </c>
      <c r="C6441" s="312">
        <v>5</v>
      </c>
      <c r="D6441" s="368">
        <f>IFERROR((INDEX(METADATA!$T$2:$T$20,MATCH(B6441,METADATA!$S$2:$S$20,0))),0)</f>
        <v>1</v>
      </c>
      <c r="E6441" s="312" t="str">
        <f t="shared" si="400"/>
        <v>LO</v>
      </c>
      <c r="F6441" s="369">
        <f>VLOOKUP(C6441,METADATA!$A$5:$H$29,IF(E6441="HI",2,IF(E6441="LO",6,10))+IF(D6441=1,2,IF(D6441=7,1,(IF(WEEKDAY(B6441)=1,2,IF(WEEKDAY(B6441)=7,1,0))))))</f>
        <v>3</v>
      </c>
      <c r="G6441" s="369">
        <f>VLOOKUP(C6441,METADATA!$J$5:$Q$29,IF(E6441="HI",2,IF(E6441="LO",6,10))+IF(D6441=1,2,IF(D6441=7,1,(IF(WEEKDAY(B6441)=1,2,IF(WEEKDAY(B6441)=7,1,0))))))</f>
        <v>3</v>
      </c>
      <c r="H6441" s="370">
        <v>12645.600219726563</v>
      </c>
      <c r="I6441" s="370">
        <v>3908.2949523925781</v>
      </c>
      <c r="M6441" s="371">
        <f t="shared" si="401"/>
        <v>13235.783858617735</v>
      </c>
      <c r="N6441" s="329">
        <f t="shared" si="402"/>
        <v>114.61488647460965</v>
      </c>
      <c r="T6441" s="331">
        <v>0</v>
      </c>
      <c r="U6441" s="328">
        <f>VLOOKUP(C6441,METADATA!$J$5:$Q$29,IF(E6441="HI",2,IF(E6441="LO",6,10))+IF(T6441=1,2,IF(D6441=7,1,(IF(WEEKDAY(B6441)=1,2,IF(WEEKDAY(B6441)=7,1,0))))))</f>
        <v>3</v>
      </c>
      <c r="V6441" s="328">
        <f>VLOOKUP(C6441,METADATA!$A$5:$H$29,IF(E6441="HI",2,IF(E6441="LO",6,10))+IF(T6441=1,2,IF(D6441=7,1,(IF(WEEKDAY(B6441)=1,2,IF(WEEKDAY(B6441)=7,1,0))))))</f>
        <v>3</v>
      </c>
    </row>
    <row r="6442" spans="2:22">
      <c r="B6442" s="318">
        <f t="shared" si="403"/>
        <v>46381</v>
      </c>
      <c r="C6442" s="312">
        <v>6</v>
      </c>
      <c r="D6442" s="368">
        <f>IFERROR((INDEX(METADATA!$T$2:$T$20,MATCH(B6442,METADATA!$S$2:$S$20,0))),0)</f>
        <v>1</v>
      </c>
      <c r="E6442" s="312" t="str">
        <f t="shared" si="400"/>
        <v>LO</v>
      </c>
      <c r="F6442" s="369">
        <f>VLOOKUP(C6442,METADATA!$A$5:$H$29,IF(E6442="HI",2,IF(E6442="LO",6,10))+IF(D6442=1,2,IF(D6442=7,1,(IF(WEEKDAY(B6442)=1,2,IF(WEEKDAY(B6442)=7,1,0))))))</f>
        <v>3</v>
      </c>
      <c r="G6442" s="369">
        <f>VLOOKUP(C6442,METADATA!$J$5:$Q$29,IF(E6442="HI",2,IF(E6442="LO",6,10))+IF(D6442=1,2,IF(D6442=7,1,(IF(WEEKDAY(B6442)=1,2,IF(WEEKDAY(B6442)=7,1,0))))))</f>
        <v>3</v>
      </c>
      <c r="H6442" s="370">
        <v>12849.050109863281</v>
      </c>
      <c r="I6442" s="370">
        <v>3976.9049987792969</v>
      </c>
      <c r="M6442" s="371">
        <f t="shared" si="401"/>
        <v>13450.422376085198</v>
      </c>
      <c r="N6442" s="329">
        <f t="shared" si="402"/>
        <v>122.18996582031286</v>
      </c>
      <c r="T6442" s="331">
        <v>0</v>
      </c>
      <c r="U6442" s="328">
        <f>VLOOKUP(C6442,METADATA!$J$5:$Q$29,IF(E6442="HI",2,IF(E6442="LO",6,10))+IF(T6442=1,2,IF(D6442=7,1,(IF(WEEKDAY(B6442)=1,2,IF(WEEKDAY(B6442)=7,1,0))))))</f>
        <v>2</v>
      </c>
      <c r="V6442" s="328">
        <f>VLOOKUP(C6442,METADATA!$A$5:$H$29,IF(E6442="HI",2,IF(E6442="LO",6,10))+IF(T6442=1,2,IF(D6442=7,1,(IF(WEEKDAY(B6442)=1,2,IF(WEEKDAY(B6442)=7,1,0))))))</f>
        <v>2</v>
      </c>
    </row>
    <row r="6443" spans="2:22">
      <c r="B6443" s="318">
        <f t="shared" si="403"/>
        <v>46381</v>
      </c>
      <c r="C6443" s="312">
        <v>7</v>
      </c>
      <c r="D6443" s="368">
        <f>IFERROR((INDEX(METADATA!$T$2:$T$20,MATCH(B6443,METADATA!$S$2:$S$20,0))),0)</f>
        <v>1</v>
      </c>
      <c r="E6443" s="312" t="str">
        <f t="shared" si="400"/>
        <v>LO</v>
      </c>
      <c r="F6443" s="369">
        <f>VLOOKUP(C6443,METADATA!$A$5:$H$29,IF(E6443="HI",2,IF(E6443="LO",6,10))+IF(D6443=1,2,IF(D6443=7,1,(IF(WEEKDAY(B6443)=1,2,IF(WEEKDAY(B6443)=7,1,0))))))</f>
        <v>3</v>
      </c>
      <c r="G6443" s="369">
        <f>VLOOKUP(C6443,METADATA!$J$5:$Q$29,IF(E6443="HI",2,IF(E6443="LO",6,10))+IF(D6443=1,2,IF(D6443=7,1,(IF(WEEKDAY(B6443)=1,2,IF(WEEKDAY(B6443)=7,1,0))))))</f>
        <v>3</v>
      </c>
      <c r="H6443" s="370">
        <v>12910.349914550781</v>
      </c>
      <c r="I6443" s="370">
        <v>3943.9449462890625</v>
      </c>
      <c r="M6443" s="371">
        <f t="shared" si="401"/>
        <v>13499.327266775201</v>
      </c>
      <c r="N6443" s="329">
        <f t="shared" si="402"/>
        <v>70.839971923828216</v>
      </c>
      <c r="T6443" s="331">
        <v>0</v>
      </c>
      <c r="U6443" s="328">
        <f>VLOOKUP(C6443,METADATA!$J$5:$Q$29,IF(E6443="HI",2,IF(E6443="LO",6,10))+IF(T6443=1,2,IF(D6443=7,1,(IF(WEEKDAY(B6443)=1,2,IF(WEEKDAY(B6443)=7,1,0))))))</f>
        <v>1</v>
      </c>
      <c r="V6443" s="328">
        <f>VLOOKUP(C6443,METADATA!$A$5:$H$29,IF(E6443="HI",2,IF(E6443="LO",6,10))+IF(T6443=1,2,IF(D6443=7,1,(IF(WEEKDAY(B6443)=1,2,IF(WEEKDAY(B6443)=7,1,0))))))</f>
        <v>1</v>
      </c>
    </row>
    <row r="6444" spans="2:22">
      <c r="B6444" s="318">
        <f t="shared" si="403"/>
        <v>46381</v>
      </c>
      <c r="C6444" s="312">
        <v>8</v>
      </c>
      <c r="D6444" s="368">
        <f>IFERROR((INDEX(METADATA!$T$2:$T$20,MATCH(B6444,METADATA!$S$2:$S$20,0))),0)</f>
        <v>1</v>
      </c>
      <c r="E6444" s="312" t="str">
        <f t="shared" si="400"/>
        <v>LO</v>
      </c>
      <c r="F6444" s="369">
        <f>VLOOKUP(C6444,METADATA!$A$5:$H$29,IF(E6444="HI",2,IF(E6444="LO",6,10))+IF(D6444=1,2,IF(D6444=7,1,(IF(WEEKDAY(B6444)=1,2,IF(WEEKDAY(B6444)=7,1,0))))))</f>
        <v>3</v>
      </c>
      <c r="G6444" s="369">
        <f>VLOOKUP(C6444,METADATA!$J$5:$Q$29,IF(E6444="HI",2,IF(E6444="LO",6,10))+IF(D6444=1,2,IF(D6444=7,1,(IF(WEEKDAY(B6444)=1,2,IF(WEEKDAY(B6444)=7,1,0))))))</f>
        <v>3</v>
      </c>
      <c r="H6444" s="370">
        <v>12858.299987792969</v>
      </c>
      <c r="I6444" s="370">
        <v>3891.8749694824219</v>
      </c>
      <c r="M6444" s="371">
        <f t="shared" si="401"/>
        <v>13434.380125415555</v>
      </c>
      <c r="N6444" s="329">
        <f t="shared" si="402"/>
        <v>34.384973144531614</v>
      </c>
      <c r="T6444" s="331">
        <v>0</v>
      </c>
      <c r="U6444" s="328">
        <f>VLOOKUP(C6444,METADATA!$J$5:$Q$29,IF(E6444="HI",2,IF(E6444="LO",6,10))+IF(T6444=1,2,IF(D6444=7,1,(IF(WEEKDAY(B6444)=1,2,IF(WEEKDAY(B6444)=7,1,0))))))</f>
        <v>1</v>
      </c>
      <c r="V6444" s="328">
        <f>VLOOKUP(C6444,METADATA!$A$5:$H$29,IF(E6444="HI",2,IF(E6444="LO",6,10))+IF(T6444=1,2,IF(D6444=7,1,(IF(WEEKDAY(B6444)=1,2,IF(WEEKDAY(B6444)=7,1,0))))))</f>
        <v>1</v>
      </c>
    </row>
    <row r="6445" spans="2:22">
      <c r="B6445" s="318">
        <f t="shared" si="403"/>
        <v>46381</v>
      </c>
      <c r="C6445" s="312">
        <v>9</v>
      </c>
      <c r="D6445" s="368">
        <f>IFERROR((INDEX(METADATA!$T$2:$T$20,MATCH(B6445,METADATA!$S$2:$S$20,0))),0)</f>
        <v>1</v>
      </c>
      <c r="E6445" s="312" t="str">
        <f t="shared" si="400"/>
        <v>LO</v>
      </c>
      <c r="F6445" s="369">
        <f>VLOOKUP(C6445,METADATA!$A$5:$H$29,IF(E6445="HI",2,IF(E6445="LO",6,10))+IF(D6445=1,2,IF(D6445=7,1,(IF(WEEKDAY(B6445)=1,2,IF(WEEKDAY(B6445)=7,1,0))))))</f>
        <v>3</v>
      </c>
      <c r="G6445" s="369">
        <f>VLOOKUP(C6445,METADATA!$J$5:$Q$29,IF(E6445="HI",2,IF(E6445="LO",6,10))+IF(D6445=1,2,IF(D6445=7,1,(IF(WEEKDAY(B6445)=1,2,IF(WEEKDAY(B6445)=7,1,0))))))</f>
        <v>3</v>
      </c>
      <c r="H6445" s="370">
        <v>12830.200073242188</v>
      </c>
      <c r="I6445" s="370">
        <v>3816.56005859375</v>
      </c>
      <c r="M6445" s="371">
        <f t="shared" si="401"/>
        <v>13385.819534129278</v>
      </c>
      <c r="N6445" s="329">
        <f t="shared" si="402"/>
        <v>0</v>
      </c>
      <c r="T6445" s="331">
        <v>0</v>
      </c>
      <c r="U6445" s="328">
        <f>VLOOKUP(C6445,METADATA!$J$5:$Q$29,IF(E6445="HI",2,IF(E6445="LO",6,10))+IF(T6445=1,2,IF(D6445=7,1,(IF(WEEKDAY(B6445)=1,2,IF(WEEKDAY(B6445)=7,1,0))))))</f>
        <v>2</v>
      </c>
      <c r="V6445" s="328">
        <f>VLOOKUP(C6445,METADATA!$A$5:$H$29,IF(E6445="HI",2,IF(E6445="LO",6,10))+IF(T6445=1,2,IF(D6445=7,1,(IF(WEEKDAY(B6445)=1,2,IF(WEEKDAY(B6445)=7,1,0))))))</f>
        <v>2</v>
      </c>
    </row>
    <row r="6446" spans="2:22">
      <c r="B6446" s="318">
        <f t="shared" si="403"/>
        <v>46381</v>
      </c>
      <c r="C6446" s="312">
        <v>10</v>
      </c>
      <c r="D6446" s="368">
        <f>IFERROR((INDEX(METADATA!$T$2:$T$20,MATCH(B6446,METADATA!$S$2:$S$20,0))),0)</f>
        <v>1</v>
      </c>
      <c r="E6446" s="312" t="str">
        <f t="shared" si="400"/>
        <v>LO</v>
      </c>
      <c r="F6446" s="369">
        <f>VLOOKUP(C6446,METADATA!$A$5:$H$29,IF(E6446="HI",2,IF(E6446="LO",6,10))+IF(D6446=1,2,IF(D6446=7,1,(IF(WEEKDAY(B6446)=1,2,IF(WEEKDAY(B6446)=7,1,0))))))</f>
        <v>3</v>
      </c>
      <c r="G6446" s="369">
        <f>VLOOKUP(C6446,METADATA!$J$5:$Q$29,IF(E6446="HI",2,IF(E6446="LO",6,10))+IF(D6446=1,2,IF(D6446=7,1,(IF(WEEKDAY(B6446)=1,2,IF(WEEKDAY(B6446)=7,1,0))))))</f>
        <v>3</v>
      </c>
      <c r="H6446" s="370">
        <v>12891.324829101563</v>
      </c>
      <c r="I6446" s="370">
        <v>3801.3600158691406</v>
      </c>
      <c r="M6446" s="371">
        <f t="shared" si="401"/>
        <v>13440.111376757972</v>
      </c>
      <c r="N6446" s="329">
        <f t="shared" si="402"/>
        <v>0</v>
      </c>
      <c r="T6446" s="331">
        <v>0</v>
      </c>
      <c r="U6446" s="328">
        <f>VLOOKUP(C6446,METADATA!$J$5:$Q$29,IF(E6446="HI",2,IF(E6446="LO",6,10))+IF(T6446=1,2,IF(D6446=7,1,(IF(WEEKDAY(B6446)=1,2,IF(WEEKDAY(B6446)=7,1,0))))))</f>
        <v>2</v>
      </c>
      <c r="V6446" s="328">
        <f>VLOOKUP(C6446,METADATA!$A$5:$H$29,IF(E6446="HI",2,IF(E6446="LO",6,10))+IF(T6446=1,2,IF(D6446=7,1,(IF(WEEKDAY(B6446)=1,2,IF(WEEKDAY(B6446)=7,1,0))))))</f>
        <v>2</v>
      </c>
    </row>
    <row r="6447" spans="2:22">
      <c r="B6447" s="318">
        <f t="shared" si="403"/>
        <v>46381</v>
      </c>
      <c r="C6447" s="312">
        <v>11</v>
      </c>
      <c r="D6447" s="368">
        <f>IFERROR((INDEX(METADATA!$T$2:$T$20,MATCH(B6447,METADATA!$S$2:$S$20,0))),0)</f>
        <v>1</v>
      </c>
      <c r="E6447" s="312" t="str">
        <f t="shared" si="400"/>
        <v>LO</v>
      </c>
      <c r="F6447" s="369">
        <f>VLOOKUP(C6447,METADATA!$A$5:$H$29,IF(E6447="HI",2,IF(E6447="LO",6,10))+IF(D6447=1,2,IF(D6447=7,1,(IF(WEEKDAY(B6447)=1,2,IF(WEEKDAY(B6447)=7,1,0))))))</f>
        <v>3</v>
      </c>
      <c r="G6447" s="369">
        <f>VLOOKUP(C6447,METADATA!$J$5:$Q$29,IF(E6447="HI",2,IF(E6447="LO",6,10))+IF(D6447=1,2,IF(D6447=7,1,(IF(WEEKDAY(B6447)=1,2,IF(WEEKDAY(B6447)=7,1,0))))))</f>
        <v>3</v>
      </c>
      <c r="H6447" s="370">
        <v>12980.974914550781</v>
      </c>
      <c r="I6447" s="370">
        <v>3838.385009765625</v>
      </c>
      <c r="M6447" s="371">
        <f t="shared" si="401"/>
        <v>13536.576717006044</v>
      </c>
      <c r="N6447" s="329">
        <f t="shared" si="402"/>
        <v>0</v>
      </c>
      <c r="T6447" s="331">
        <v>0</v>
      </c>
      <c r="U6447" s="328">
        <f>VLOOKUP(C6447,METADATA!$J$5:$Q$29,IF(E6447="HI",2,IF(E6447="LO",6,10))+IF(T6447=1,2,IF(D6447=7,1,(IF(WEEKDAY(B6447)=1,2,IF(WEEKDAY(B6447)=7,1,0))))))</f>
        <v>2</v>
      </c>
      <c r="V6447" s="328">
        <f>VLOOKUP(C6447,METADATA!$A$5:$H$29,IF(E6447="HI",2,IF(E6447="LO",6,10))+IF(T6447=1,2,IF(D6447=7,1,(IF(WEEKDAY(B6447)=1,2,IF(WEEKDAY(B6447)=7,1,0))))))</f>
        <v>2</v>
      </c>
    </row>
    <row r="6448" spans="2:22">
      <c r="B6448" s="318">
        <f t="shared" si="403"/>
        <v>46381</v>
      </c>
      <c r="C6448" s="312">
        <v>12</v>
      </c>
      <c r="D6448" s="368">
        <f>IFERROR((INDEX(METADATA!$T$2:$T$20,MATCH(B6448,METADATA!$S$2:$S$20,0))),0)</f>
        <v>1</v>
      </c>
      <c r="E6448" s="312" t="str">
        <f t="shared" si="400"/>
        <v>LO</v>
      </c>
      <c r="F6448" s="369">
        <f>VLOOKUP(C6448,METADATA!$A$5:$H$29,IF(E6448="HI",2,IF(E6448="LO",6,10))+IF(D6448=1,2,IF(D6448=7,1,(IF(WEEKDAY(B6448)=1,2,IF(WEEKDAY(B6448)=7,1,0))))))</f>
        <v>3</v>
      </c>
      <c r="G6448" s="369">
        <f>VLOOKUP(C6448,METADATA!$J$5:$Q$29,IF(E6448="HI",2,IF(E6448="LO",6,10))+IF(D6448=1,2,IF(D6448=7,1,(IF(WEEKDAY(B6448)=1,2,IF(WEEKDAY(B6448)=7,1,0))))))</f>
        <v>3</v>
      </c>
      <c r="H6448" s="370">
        <v>12867.625061035156</v>
      </c>
      <c r="I6448" s="370">
        <v>3810.6999664306641</v>
      </c>
      <c r="M6448" s="371">
        <f t="shared" si="401"/>
        <v>13420.030139516628</v>
      </c>
      <c r="N6448" s="329">
        <f t="shared" si="402"/>
        <v>0</v>
      </c>
      <c r="T6448" s="331">
        <v>0</v>
      </c>
      <c r="U6448" s="328">
        <f>VLOOKUP(C6448,METADATA!$J$5:$Q$29,IF(E6448="HI",2,IF(E6448="LO",6,10))+IF(T6448=1,2,IF(D6448=7,1,(IF(WEEKDAY(B6448)=1,2,IF(WEEKDAY(B6448)=7,1,0))))))</f>
        <v>2</v>
      </c>
      <c r="V6448" s="328">
        <f>VLOOKUP(C6448,METADATA!$A$5:$H$29,IF(E6448="HI",2,IF(E6448="LO",6,10))+IF(T6448=1,2,IF(D6448=7,1,(IF(WEEKDAY(B6448)=1,2,IF(WEEKDAY(B6448)=7,1,0))))))</f>
        <v>2</v>
      </c>
    </row>
    <row r="6449" spans="2:22">
      <c r="B6449" s="318">
        <f t="shared" si="403"/>
        <v>46381</v>
      </c>
      <c r="C6449" s="312">
        <v>13</v>
      </c>
      <c r="D6449" s="368">
        <f>IFERROR((INDEX(METADATA!$T$2:$T$20,MATCH(B6449,METADATA!$S$2:$S$20,0))),0)</f>
        <v>1</v>
      </c>
      <c r="E6449" s="312" t="str">
        <f t="shared" si="400"/>
        <v>LO</v>
      </c>
      <c r="F6449" s="369">
        <f>VLOOKUP(C6449,METADATA!$A$5:$H$29,IF(E6449="HI",2,IF(E6449="LO",6,10))+IF(D6449=1,2,IF(D6449=7,1,(IF(WEEKDAY(B6449)=1,2,IF(WEEKDAY(B6449)=7,1,0))))))</f>
        <v>3</v>
      </c>
      <c r="G6449" s="369">
        <f>VLOOKUP(C6449,METADATA!$J$5:$Q$29,IF(E6449="HI",2,IF(E6449="LO",6,10))+IF(D6449=1,2,IF(D6449=7,1,(IF(WEEKDAY(B6449)=1,2,IF(WEEKDAY(B6449)=7,1,0))))))</f>
        <v>3</v>
      </c>
      <c r="H6449" s="370">
        <v>12891.824829101563</v>
      </c>
      <c r="I6449" s="370">
        <v>3849.0149841308594</v>
      </c>
      <c r="M6449" s="371">
        <f t="shared" si="401"/>
        <v>13454.146712902435</v>
      </c>
      <c r="N6449" s="329">
        <f t="shared" si="402"/>
        <v>0</v>
      </c>
      <c r="T6449" s="331">
        <v>0</v>
      </c>
      <c r="U6449" s="328">
        <f>VLOOKUP(C6449,METADATA!$J$5:$Q$29,IF(E6449="HI",2,IF(E6449="LO",6,10))+IF(T6449=1,2,IF(D6449=7,1,(IF(WEEKDAY(B6449)=1,2,IF(WEEKDAY(B6449)=7,1,0))))))</f>
        <v>2</v>
      </c>
      <c r="V6449" s="328">
        <f>VLOOKUP(C6449,METADATA!$A$5:$H$29,IF(E6449="HI",2,IF(E6449="LO",6,10))+IF(T6449=1,2,IF(D6449=7,1,(IF(WEEKDAY(B6449)=1,2,IF(WEEKDAY(B6449)=7,1,0))))))</f>
        <v>2</v>
      </c>
    </row>
    <row r="6450" spans="2:22">
      <c r="B6450" s="318">
        <f t="shared" si="403"/>
        <v>46381</v>
      </c>
      <c r="C6450" s="312">
        <v>14</v>
      </c>
      <c r="D6450" s="368">
        <f>IFERROR((INDEX(METADATA!$T$2:$T$20,MATCH(B6450,METADATA!$S$2:$S$20,0))),0)</f>
        <v>1</v>
      </c>
      <c r="E6450" s="312" t="str">
        <f t="shared" si="400"/>
        <v>LO</v>
      </c>
      <c r="F6450" s="369">
        <f>VLOOKUP(C6450,METADATA!$A$5:$H$29,IF(E6450="HI",2,IF(E6450="LO",6,10))+IF(D6450=1,2,IF(D6450=7,1,(IF(WEEKDAY(B6450)=1,2,IF(WEEKDAY(B6450)=7,1,0))))))</f>
        <v>3</v>
      </c>
      <c r="G6450" s="369">
        <f>VLOOKUP(C6450,METADATA!$J$5:$Q$29,IF(E6450="HI",2,IF(E6450="LO",6,10))+IF(D6450=1,2,IF(D6450=7,1,(IF(WEEKDAY(B6450)=1,2,IF(WEEKDAY(B6450)=7,1,0))))))</f>
        <v>3</v>
      </c>
      <c r="H6450" s="370">
        <v>12919.525024414063</v>
      </c>
      <c r="I6450" s="370">
        <v>3905.9449462890625</v>
      </c>
      <c r="M6450" s="371">
        <f t="shared" si="401"/>
        <v>13497.056448718817</v>
      </c>
      <c r="N6450" s="329">
        <f t="shared" si="402"/>
        <v>30.087438964843841</v>
      </c>
      <c r="T6450" s="331">
        <v>0</v>
      </c>
      <c r="U6450" s="328">
        <f>VLOOKUP(C6450,METADATA!$J$5:$Q$29,IF(E6450="HI",2,IF(E6450="LO",6,10))+IF(T6450=1,2,IF(D6450=7,1,(IF(WEEKDAY(B6450)=1,2,IF(WEEKDAY(B6450)=7,1,0))))))</f>
        <v>2</v>
      </c>
      <c r="V6450" s="328">
        <f>VLOOKUP(C6450,METADATA!$A$5:$H$29,IF(E6450="HI",2,IF(E6450="LO",6,10))+IF(T6450=1,2,IF(D6450=7,1,(IF(WEEKDAY(B6450)=1,2,IF(WEEKDAY(B6450)=7,1,0))))))</f>
        <v>2</v>
      </c>
    </row>
    <row r="6451" spans="2:22">
      <c r="B6451" s="318">
        <f t="shared" si="403"/>
        <v>46381</v>
      </c>
      <c r="C6451" s="312">
        <v>15</v>
      </c>
      <c r="D6451" s="368">
        <f>IFERROR((INDEX(METADATA!$T$2:$T$20,MATCH(B6451,METADATA!$S$2:$S$20,0))),0)</f>
        <v>1</v>
      </c>
      <c r="E6451" s="312" t="str">
        <f t="shared" si="400"/>
        <v>LO</v>
      </c>
      <c r="F6451" s="369">
        <f>VLOOKUP(C6451,METADATA!$A$5:$H$29,IF(E6451="HI",2,IF(E6451="LO",6,10))+IF(D6451=1,2,IF(D6451=7,1,(IF(WEEKDAY(B6451)=1,2,IF(WEEKDAY(B6451)=7,1,0))))))</f>
        <v>3</v>
      </c>
      <c r="G6451" s="369">
        <f>VLOOKUP(C6451,METADATA!$J$5:$Q$29,IF(E6451="HI",2,IF(E6451="LO",6,10))+IF(D6451=1,2,IF(D6451=7,1,(IF(WEEKDAY(B6451)=1,2,IF(WEEKDAY(B6451)=7,1,0))))))</f>
        <v>3</v>
      </c>
      <c r="H6451" s="370">
        <v>12903.675231933594</v>
      </c>
      <c r="I6451" s="370">
        <v>3958.9149780273438</v>
      </c>
      <c r="M6451" s="371">
        <f t="shared" si="401"/>
        <v>13497.327227805723</v>
      </c>
      <c r="N6451" s="329">
        <f t="shared" si="402"/>
        <v>87.812408447265625</v>
      </c>
      <c r="T6451" s="331">
        <v>0</v>
      </c>
      <c r="U6451" s="328">
        <f>VLOOKUP(C6451,METADATA!$J$5:$Q$29,IF(E6451="HI",2,IF(E6451="LO",6,10))+IF(T6451=1,2,IF(D6451=7,1,(IF(WEEKDAY(B6451)=1,2,IF(WEEKDAY(B6451)=7,1,0))))))</f>
        <v>2</v>
      </c>
      <c r="V6451" s="328">
        <f>VLOOKUP(C6451,METADATA!$A$5:$H$29,IF(E6451="HI",2,IF(E6451="LO",6,10))+IF(T6451=1,2,IF(D6451=7,1,(IF(WEEKDAY(B6451)=1,2,IF(WEEKDAY(B6451)=7,1,0))))))</f>
        <v>2</v>
      </c>
    </row>
    <row r="6452" spans="2:22">
      <c r="B6452" s="318">
        <f t="shared" si="403"/>
        <v>46381</v>
      </c>
      <c r="C6452" s="312">
        <v>16</v>
      </c>
      <c r="D6452" s="368">
        <f>IFERROR((INDEX(METADATA!$T$2:$T$20,MATCH(B6452,METADATA!$S$2:$S$20,0))),0)</f>
        <v>1</v>
      </c>
      <c r="E6452" s="312" t="str">
        <f t="shared" si="400"/>
        <v>LO</v>
      </c>
      <c r="F6452" s="369">
        <f>VLOOKUP(C6452,METADATA!$A$5:$H$29,IF(E6452="HI",2,IF(E6452="LO",6,10))+IF(D6452=1,2,IF(D6452=7,1,(IF(WEEKDAY(B6452)=1,2,IF(WEEKDAY(B6452)=7,1,0))))))</f>
        <v>3</v>
      </c>
      <c r="G6452" s="369">
        <f>VLOOKUP(C6452,METADATA!$J$5:$Q$29,IF(E6452="HI",2,IF(E6452="LO",6,10))+IF(D6452=1,2,IF(D6452=7,1,(IF(WEEKDAY(B6452)=1,2,IF(WEEKDAY(B6452)=7,1,0))))))</f>
        <v>3</v>
      </c>
      <c r="H6452" s="370">
        <v>13062.974731445313</v>
      </c>
      <c r="I6452" s="370">
        <v>4092.1549682617188</v>
      </c>
      <c r="M6452" s="371">
        <f t="shared" si="401"/>
        <v>13688.938641057888</v>
      </c>
      <c r="N6452" s="329">
        <f t="shared" si="402"/>
        <v>173.26254882812509</v>
      </c>
      <c r="T6452" s="331">
        <v>0</v>
      </c>
      <c r="U6452" s="328">
        <f>VLOOKUP(C6452,METADATA!$J$5:$Q$29,IF(E6452="HI",2,IF(E6452="LO",6,10))+IF(T6452=1,2,IF(D6452=7,1,(IF(WEEKDAY(B6452)=1,2,IF(WEEKDAY(B6452)=7,1,0))))))</f>
        <v>2</v>
      </c>
      <c r="V6452" s="328">
        <f>VLOOKUP(C6452,METADATA!$A$5:$H$29,IF(E6452="HI",2,IF(E6452="LO",6,10))+IF(T6452=1,2,IF(D6452=7,1,(IF(WEEKDAY(B6452)=1,2,IF(WEEKDAY(B6452)=7,1,0))))))</f>
        <v>2</v>
      </c>
    </row>
    <row r="6453" spans="2:22">
      <c r="B6453" s="318">
        <f t="shared" si="403"/>
        <v>46381</v>
      </c>
      <c r="C6453" s="312">
        <v>17</v>
      </c>
      <c r="D6453" s="368">
        <f>IFERROR((INDEX(METADATA!$T$2:$T$20,MATCH(B6453,METADATA!$S$2:$S$20,0))),0)</f>
        <v>1</v>
      </c>
      <c r="E6453" s="312" t="str">
        <f t="shared" si="400"/>
        <v>LO</v>
      </c>
      <c r="F6453" s="369">
        <f>VLOOKUP(C6453,METADATA!$A$5:$H$29,IF(E6453="HI",2,IF(E6453="LO",6,10))+IF(D6453=1,2,IF(D6453=7,1,(IF(WEEKDAY(B6453)=1,2,IF(WEEKDAY(B6453)=7,1,0))))))</f>
        <v>3</v>
      </c>
      <c r="G6453" s="369">
        <f>VLOOKUP(C6453,METADATA!$J$5:$Q$29,IF(E6453="HI",2,IF(E6453="LO",6,10))+IF(D6453=1,2,IF(D6453=7,1,(IF(WEEKDAY(B6453)=1,2,IF(WEEKDAY(B6453)=7,1,0))))))</f>
        <v>3</v>
      </c>
      <c r="H6453" s="370">
        <v>13091.550109863281</v>
      </c>
      <c r="I6453" s="370">
        <v>4145.3350524902344</v>
      </c>
      <c r="M6453" s="371">
        <f t="shared" si="401"/>
        <v>13732.169783995008</v>
      </c>
      <c r="N6453" s="329">
        <f t="shared" si="402"/>
        <v>217.87001953125036</v>
      </c>
      <c r="T6453" s="331">
        <v>0</v>
      </c>
      <c r="U6453" s="328">
        <f>VLOOKUP(C6453,METADATA!$J$5:$Q$29,IF(E6453="HI",2,IF(E6453="LO",6,10))+IF(T6453=1,2,IF(D6453=7,1,(IF(WEEKDAY(B6453)=1,2,IF(WEEKDAY(B6453)=7,1,0))))))</f>
        <v>2</v>
      </c>
      <c r="V6453" s="328">
        <f>VLOOKUP(C6453,METADATA!$A$5:$H$29,IF(E6453="HI",2,IF(E6453="LO",6,10))+IF(T6453=1,2,IF(D6453=7,1,(IF(WEEKDAY(B6453)=1,2,IF(WEEKDAY(B6453)=7,1,0))))))</f>
        <v>2</v>
      </c>
    </row>
    <row r="6454" spans="2:22">
      <c r="B6454" s="318">
        <f t="shared" si="403"/>
        <v>46381</v>
      </c>
      <c r="C6454" s="312">
        <v>18</v>
      </c>
      <c r="D6454" s="368">
        <f>IFERROR((INDEX(METADATA!$T$2:$T$20,MATCH(B6454,METADATA!$S$2:$S$20,0))),0)</f>
        <v>1</v>
      </c>
      <c r="E6454" s="312" t="str">
        <f t="shared" si="400"/>
        <v>LO</v>
      </c>
      <c r="F6454" s="369">
        <f>VLOOKUP(C6454,METADATA!$A$5:$H$29,IF(E6454="HI",2,IF(E6454="LO",6,10))+IF(D6454=1,2,IF(D6454=7,1,(IF(WEEKDAY(B6454)=1,2,IF(WEEKDAY(B6454)=7,1,0))))))</f>
        <v>2</v>
      </c>
      <c r="G6454" s="369">
        <f>VLOOKUP(C6454,METADATA!$J$5:$Q$29,IF(E6454="HI",2,IF(E6454="LO",6,10))+IF(D6454=1,2,IF(D6454=7,1,(IF(WEEKDAY(B6454)=1,2,IF(WEEKDAY(B6454)=7,1,0))))))</f>
        <v>2</v>
      </c>
      <c r="H6454" s="370">
        <v>13086.549987792969</v>
      </c>
      <c r="I6454" s="370">
        <v>4221.780029296875</v>
      </c>
      <c r="M6454" s="371">
        <f t="shared" si="401"/>
        <v>13750.680608565312</v>
      </c>
      <c r="N6454" s="329">
        <f t="shared" si="402"/>
        <v>295.81503295898438</v>
      </c>
      <c r="T6454" s="331">
        <v>0</v>
      </c>
      <c r="U6454" s="328">
        <f>VLOOKUP(C6454,METADATA!$J$5:$Q$29,IF(E6454="HI",2,IF(E6454="LO",6,10))+IF(T6454=1,2,IF(D6454=7,1,(IF(WEEKDAY(B6454)=1,2,IF(WEEKDAY(B6454)=7,1,0))))))</f>
        <v>1</v>
      </c>
      <c r="V6454" s="328">
        <f>VLOOKUP(C6454,METADATA!$A$5:$H$29,IF(E6454="HI",2,IF(E6454="LO",6,10))+IF(T6454=1,2,IF(D6454=7,1,(IF(WEEKDAY(B6454)=1,2,IF(WEEKDAY(B6454)=7,1,0))))))</f>
        <v>1</v>
      </c>
    </row>
    <row r="6455" spans="2:22">
      <c r="B6455" s="318">
        <f t="shared" si="403"/>
        <v>46381</v>
      </c>
      <c r="C6455" s="312">
        <v>19</v>
      </c>
      <c r="D6455" s="368">
        <f>IFERROR((INDEX(METADATA!$T$2:$T$20,MATCH(B6455,METADATA!$S$2:$S$20,0))),0)</f>
        <v>1</v>
      </c>
      <c r="E6455" s="312" t="str">
        <f t="shared" si="400"/>
        <v>LO</v>
      </c>
      <c r="F6455" s="369">
        <f>VLOOKUP(C6455,METADATA!$A$5:$H$29,IF(E6455="HI",2,IF(E6455="LO",6,10))+IF(D6455=1,2,IF(D6455=7,1,(IF(WEEKDAY(B6455)=1,2,IF(WEEKDAY(B6455)=7,1,0))))))</f>
        <v>2</v>
      </c>
      <c r="G6455" s="369">
        <f>VLOOKUP(C6455,METADATA!$J$5:$Q$29,IF(E6455="HI",2,IF(E6455="LO",6,10))+IF(D6455=1,2,IF(D6455=7,1,(IF(WEEKDAY(B6455)=1,2,IF(WEEKDAY(B6455)=7,1,0))))))</f>
        <v>2</v>
      </c>
      <c r="H6455" s="370">
        <v>13057.874877929688</v>
      </c>
      <c r="I6455" s="370">
        <v>4127.4649963378906</v>
      </c>
      <c r="M6455" s="371">
        <f t="shared" si="401"/>
        <v>13694.672819153504</v>
      </c>
      <c r="N6455" s="329">
        <f t="shared" si="402"/>
        <v>210.10253295898474</v>
      </c>
      <c r="T6455" s="331">
        <v>0</v>
      </c>
      <c r="U6455" s="328">
        <f>VLOOKUP(C6455,METADATA!$J$5:$Q$29,IF(E6455="HI",2,IF(E6455="LO",6,10))+IF(T6455=1,2,IF(D6455=7,1,(IF(WEEKDAY(B6455)=1,2,IF(WEEKDAY(B6455)=7,1,0))))))</f>
        <v>1</v>
      </c>
      <c r="V6455" s="328">
        <f>VLOOKUP(C6455,METADATA!$A$5:$H$29,IF(E6455="HI",2,IF(E6455="LO",6,10))+IF(T6455=1,2,IF(D6455=7,1,(IF(WEEKDAY(B6455)=1,2,IF(WEEKDAY(B6455)=7,1,0))))))</f>
        <v>1</v>
      </c>
    </row>
    <row r="6456" spans="2:22">
      <c r="B6456" s="318">
        <f t="shared" si="403"/>
        <v>46381</v>
      </c>
      <c r="C6456" s="312">
        <v>20</v>
      </c>
      <c r="D6456" s="368">
        <f>IFERROR((INDEX(METADATA!$T$2:$T$20,MATCH(B6456,METADATA!$S$2:$S$20,0))),0)</f>
        <v>1</v>
      </c>
      <c r="E6456" s="312" t="str">
        <f t="shared" si="400"/>
        <v>LO</v>
      </c>
      <c r="F6456" s="369">
        <f>VLOOKUP(C6456,METADATA!$A$5:$H$29,IF(E6456="HI",2,IF(E6456="LO",6,10))+IF(D6456=1,2,IF(D6456=7,1,(IF(WEEKDAY(B6456)=1,2,IF(WEEKDAY(B6456)=7,1,0))))))</f>
        <v>3</v>
      </c>
      <c r="G6456" s="369">
        <f>VLOOKUP(C6456,METADATA!$J$5:$Q$29,IF(E6456="HI",2,IF(E6456="LO",6,10))+IF(D6456=1,2,IF(D6456=7,1,(IF(WEEKDAY(B6456)=1,2,IF(WEEKDAY(B6456)=7,1,0))))))</f>
        <v>3</v>
      </c>
      <c r="H6456" s="370">
        <v>12898.57470703125</v>
      </c>
      <c r="I6456" s="370">
        <v>4023.8199768066406</v>
      </c>
      <c r="M6456" s="371">
        <f t="shared" si="401"/>
        <v>13511.637823691637</v>
      </c>
      <c r="N6456" s="329">
        <f t="shared" si="402"/>
        <v>154.24756469726572</v>
      </c>
      <c r="T6456" s="331">
        <v>0</v>
      </c>
      <c r="U6456" s="328">
        <f>VLOOKUP(C6456,METADATA!$J$5:$Q$29,IF(E6456="HI",2,IF(E6456="LO",6,10))+IF(T6456=1,2,IF(D6456=7,1,(IF(WEEKDAY(B6456)=1,2,IF(WEEKDAY(B6456)=7,1,0))))))</f>
        <v>1</v>
      </c>
      <c r="V6456" s="328">
        <f>VLOOKUP(C6456,METADATA!$A$5:$H$29,IF(E6456="HI",2,IF(E6456="LO",6,10))+IF(T6456=1,2,IF(D6456=7,1,(IF(WEEKDAY(B6456)=1,2,IF(WEEKDAY(B6456)=7,1,0))))))</f>
        <v>1</v>
      </c>
    </row>
    <row r="6457" spans="2:22">
      <c r="B6457" s="318">
        <f t="shared" si="403"/>
        <v>46381</v>
      </c>
      <c r="C6457" s="312">
        <v>21</v>
      </c>
      <c r="D6457" s="368">
        <f>IFERROR((INDEX(METADATA!$T$2:$T$20,MATCH(B6457,METADATA!$S$2:$S$20,0))),0)</f>
        <v>1</v>
      </c>
      <c r="E6457" s="312" t="str">
        <f t="shared" si="400"/>
        <v>LO</v>
      </c>
      <c r="F6457" s="369">
        <f>VLOOKUP(C6457,METADATA!$A$5:$H$29,IF(E6457="HI",2,IF(E6457="LO",6,10))+IF(D6457=1,2,IF(D6457=7,1,(IF(WEEKDAY(B6457)=1,2,IF(WEEKDAY(B6457)=7,1,0))))))</f>
        <v>3</v>
      </c>
      <c r="G6457" s="369">
        <f>VLOOKUP(C6457,METADATA!$J$5:$Q$29,IF(E6457="HI",2,IF(E6457="LO",6,10))+IF(D6457=1,2,IF(D6457=7,1,(IF(WEEKDAY(B6457)=1,2,IF(WEEKDAY(B6457)=7,1,0))))))</f>
        <v>3</v>
      </c>
      <c r="H6457" s="370">
        <v>12985.699768066406</v>
      </c>
      <c r="I6457" s="370">
        <v>4095.02001953125</v>
      </c>
      <c r="M6457" s="371">
        <f t="shared" si="401"/>
        <v>13616.078268970168</v>
      </c>
      <c r="N6457" s="329">
        <f t="shared" si="402"/>
        <v>199.31008911132813</v>
      </c>
      <c r="T6457" s="331">
        <v>0</v>
      </c>
      <c r="U6457" s="328">
        <f>VLOOKUP(C6457,METADATA!$J$5:$Q$29,IF(E6457="HI",2,IF(E6457="LO",6,10))+IF(T6457=1,2,IF(D6457=7,1,(IF(WEEKDAY(B6457)=1,2,IF(WEEKDAY(B6457)=7,1,0))))))</f>
        <v>2</v>
      </c>
      <c r="V6457" s="328">
        <f>VLOOKUP(C6457,METADATA!$A$5:$H$29,IF(E6457="HI",2,IF(E6457="LO",6,10))+IF(T6457=1,2,IF(D6457=7,1,(IF(WEEKDAY(B6457)=1,2,IF(WEEKDAY(B6457)=7,1,0))))))</f>
        <v>2</v>
      </c>
    </row>
    <row r="6458" spans="2:22">
      <c r="B6458" s="318">
        <f t="shared" si="403"/>
        <v>46381</v>
      </c>
      <c r="C6458" s="312">
        <v>22</v>
      </c>
      <c r="D6458" s="368">
        <f>IFERROR((INDEX(METADATA!$T$2:$T$20,MATCH(B6458,METADATA!$S$2:$S$20,0))),0)</f>
        <v>1</v>
      </c>
      <c r="E6458" s="312" t="str">
        <f t="shared" si="400"/>
        <v>LO</v>
      </c>
      <c r="F6458" s="369">
        <f>VLOOKUP(C6458,METADATA!$A$5:$H$29,IF(E6458="HI",2,IF(E6458="LO",6,10))+IF(D6458=1,2,IF(D6458=7,1,(IF(WEEKDAY(B6458)=1,2,IF(WEEKDAY(B6458)=7,1,0))))))</f>
        <v>3</v>
      </c>
      <c r="G6458" s="369">
        <f>VLOOKUP(C6458,METADATA!$J$5:$Q$29,IF(E6458="HI",2,IF(E6458="LO",6,10))+IF(D6458=1,2,IF(D6458=7,1,(IF(WEEKDAY(B6458)=1,2,IF(WEEKDAY(B6458)=7,1,0))))))</f>
        <v>3</v>
      </c>
      <c r="H6458" s="370">
        <v>12823.099975585938</v>
      </c>
      <c r="I6458" s="370">
        <v>4038.1699829101563</v>
      </c>
      <c r="M6458" s="371">
        <f t="shared" si="401"/>
        <v>13443.909765940438</v>
      </c>
      <c r="N6458" s="329">
        <f t="shared" si="402"/>
        <v>191.239990234375</v>
      </c>
      <c r="T6458" s="331">
        <v>0</v>
      </c>
      <c r="U6458" s="328">
        <f>VLOOKUP(C6458,METADATA!$J$5:$Q$29,IF(E6458="HI",2,IF(E6458="LO",6,10))+IF(T6458=1,2,IF(D6458=7,1,(IF(WEEKDAY(B6458)=1,2,IF(WEEKDAY(B6458)=7,1,0))))))</f>
        <v>3</v>
      </c>
      <c r="V6458" s="328">
        <f>VLOOKUP(C6458,METADATA!$A$5:$H$29,IF(E6458="HI",2,IF(E6458="LO",6,10))+IF(T6458=1,2,IF(D6458=7,1,(IF(WEEKDAY(B6458)=1,2,IF(WEEKDAY(B6458)=7,1,0))))))</f>
        <v>3</v>
      </c>
    </row>
    <row r="6459" spans="2:22">
      <c r="B6459" s="318">
        <f t="shared" si="403"/>
        <v>46381</v>
      </c>
      <c r="C6459" s="312">
        <v>23</v>
      </c>
      <c r="D6459" s="368">
        <f>IFERROR((INDEX(METADATA!$T$2:$T$20,MATCH(B6459,METADATA!$S$2:$S$20,0))),0)</f>
        <v>1</v>
      </c>
      <c r="E6459" s="312" t="str">
        <f t="shared" si="400"/>
        <v>LO</v>
      </c>
      <c r="F6459" s="369">
        <f>VLOOKUP(C6459,METADATA!$A$5:$H$29,IF(E6459="HI",2,IF(E6459="LO",6,10))+IF(D6459=1,2,IF(D6459=7,1,(IF(WEEKDAY(B6459)=1,2,IF(WEEKDAY(B6459)=7,1,0))))))</f>
        <v>3</v>
      </c>
      <c r="G6459" s="369">
        <f>VLOOKUP(C6459,METADATA!$J$5:$Q$29,IF(E6459="HI",2,IF(E6459="LO",6,10))+IF(D6459=1,2,IF(D6459=7,1,(IF(WEEKDAY(B6459)=1,2,IF(WEEKDAY(B6459)=7,1,0))))))</f>
        <v>3</v>
      </c>
      <c r="H6459" s="370">
        <v>12971.024780273438</v>
      </c>
      <c r="I6459" s="370">
        <v>4104.3299560546875</v>
      </c>
      <c r="M6459" s="371">
        <f t="shared" si="401"/>
        <v>13604.889129964839</v>
      </c>
      <c r="N6459" s="329">
        <f t="shared" si="402"/>
        <v>213.02252197265625</v>
      </c>
      <c r="T6459" s="331">
        <v>0</v>
      </c>
      <c r="U6459" s="328">
        <f>VLOOKUP(C6459,METADATA!$J$5:$Q$29,IF(E6459="HI",2,IF(E6459="LO",6,10))+IF(T6459=1,2,IF(D6459=7,1,(IF(WEEKDAY(B6459)=1,2,IF(WEEKDAY(B6459)=7,1,0))))))</f>
        <v>3</v>
      </c>
      <c r="V6459" s="328">
        <f>VLOOKUP(C6459,METADATA!$A$5:$H$29,IF(E6459="HI",2,IF(E6459="LO",6,10))+IF(T6459=1,2,IF(D6459=7,1,(IF(WEEKDAY(B6459)=1,2,IF(WEEKDAY(B6459)=7,1,0))))))</f>
        <v>3</v>
      </c>
    </row>
    <row r="6460" spans="2:22">
      <c r="B6460" s="318">
        <f t="shared" si="403"/>
        <v>46382</v>
      </c>
      <c r="C6460" s="312">
        <v>0</v>
      </c>
      <c r="D6460" s="368">
        <f>IFERROR((INDEX(METADATA!$T$2:$T$20,MATCH(B6460,METADATA!$S$2:$S$20,0))),0)</f>
        <v>1</v>
      </c>
      <c r="E6460" s="312" t="str">
        <f t="shared" si="400"/>
        <v>LO</v>
      </c>
      <c r="F6460" s="369">
        <f>VLOOKUP(C6460,METADATA!$A$5:$H$29,IF(E6460="HI",2,IF(E6460="LO",6,10))+IF(D6460=1,2,IF(D6460=7,1,(IF(WEEKDAY(B6460)=1,2,IF(WEEKDAY(B6460)=7,1,0))))))</f>
        <v>3</v>
      </c>
      <c r="G6460" s="369">
        <f>VLOOKUP(C6460,METADATA!$J$5:$Q$29,IF(E6460="HI",2,IF(E6460="LO",6,10))+IF(D6460=1,2,IF(D6460=7,1,(IF(WEEKDAY(B6460)=1,2,IF(WEEKDAY(B6460)=7,1,0))))))</f>
        <v>3</v>
      </c>
      <c r="H6460" s="370">
        <v>12876.575256347656</v>
      </c>
      <c r="I6460" s="370">
        <v>4151.2799987792969</v>
      </c>
      <c r="M6460" s="371">
        <f t="shared" si="401"/>
        <v>13529.202340147394</v>
      </c>
      <c r="N6460" s="329">
        <f t="shared" si="402"/>
        <v>288.30742187500027</v>
      </c>
      <c r="T6460" s="331">
        <v>0</v>
      </c>
      <c r="U6460" s="328">
        <f>VLOOKUP(C6460,METADATA!$J$5:$Q$29,IF(E6460="HI",2,IF(E6460="LO",6,10))+IF(T6460=1,2,IF(D6460=7,1,(IF(WEEKDAY(B6460)=1,2,IF(WEEKDAY(B6460)=7,1,0))))))</f>
        <v>3</v>
      </c>
      <c r="V6460" s="328">
        <f>VLOOKUP(C6460,METADATA!$A$5:$H$29,IF(E6460="HI",2,IF(E6460="LO",6,10))+IF(T6460=1,2,IF(D6460=7,1,(IF(WEEKDAY(B6460)=1,2,IF(WEEKDAY(B6460)=7,1,0))))))</f>
        <v>3</v>
      </c>
    </row>
    <row r="6461" spans="2:22">
      <c r="B6461" s="318">
        <f t="shared" si="403"/>
        <v>46382</v>
      </c>
      <c r="C6461" s="312">
        <v>1</v>
      </c>
      <c r="D6461" s="368">
        <f>IFERROR((INDEX(METADATA!$T$2:$T$20,MATCH(B6461,METADATA!$S$2:$S$20,0))),0)</f>
        <v>1</v>
      </c>
      <c r="E6461" s="312" t="str">
        <f t="shared" si="400"/>
        <v>LO</v>
      </c>
      <c r="F6461" s="369">
        <f>VLOOKUP(C6461,METADATA!$A$5:$H$29,IF(E6461="HI",2,IF(E6461="LO",6,10))+IF(D6461=1,2,IF(D6461=7,1,(IF(WEEKDAY(B6461)=1,2,IF(WEEKDAY(B6461)=7,1,0))))))</f>
        <v>3</v>
      </c>
      <c r="G6461" s="369">
        <f>VLOOKUP(C6461,METADATA!$J$5:$Q$29,IF(E6461="HI",2,IF(E6461="LO",6,10))+IF(D6461=1,2,IF(D6461=7,1,(IF(WEEKDAY(B6461)=1,2,IF(WEEKDAY(B6461)=7,1,0))))))</f>
        <v>3</v>
      </c>
      <c r="H6461" s="370">
        <v>12840.579895019531</v>
      </c>
      <c r="I6461" s="370">
        <v>4119.6649475097656</v>
      </c>
      <c r="M6461" s="371">
        <f t="shared" si="401"/>
        <v>13485.256071729615</v>
      </c>
      <c r="N6461" s="329">
        <f t="shared" si="402"/>
        <v>267.49097900390643</v>
      </c>
      <c r="T6461" s="331">
        <v>0</v>
      </c>
      <c r="U6461" s="328">
        <f>VLOOKUP(C6461,METADATA!$J$5:$Q$29,IF(E6461="HI",2,IF(E6461="LO",6,10))+IF(T6461=1,2,IF(D6461=7,1,(IF(WEEKDAY(B6461)=1,2,IF(WEEKDAY(B6461)=7,1,0))))))</f>
        <v>3</v>
      </c>
      <c r="V6461" s="328">
        <f>VLOOKUP(C6461,METADATA!$A$5:$H$29,IF(E6461="HI",2,IF(E6461="LO",6,10))+IF(T6461=1,2,IF(D6461=7,1,(IF(WEEKDAY(B6461)=1,2,IF(WEEKDAY(B6461)=7,1,0))))))</f>
        <v>3</v>
      </c>
    </row>
    <row r="6462" spans="2:22">
      <c r="B6462" s="318">
        <f t="shared" si="403"/>
        <v>46382</v>
      </c>
      <c r="C6462" s="312">
        <v>2</v>
      </c>
      <c r="D6462" s="368">
        <f>IFERROR((INDEX(METADATA!$T$2:$T$20,MATCH(B6462,METADATA!$S$2:$S$20,0))),0)</f>
        <v>1</v>
      </c>
      <c r="E6462" s="312" t="str">
        <f t="shared" si="400"/>
        <v>LO</v>
      </c>
      <c r="F6462" s="369">
        <f>VLOOKUP(C6462,METADATA!$A$5:$H$29,IF(E6462="HI",2,IF(E6462="LO",6,10))+IF(D6462=1,2,IF(D6462=7,1,(IF(WEEKDAY(B6462)=1,2,IF(WEEKDAY(B6462)=7,1,0))))))</f>
        <v>3</v>
      </c>
      <c r="G6462" s="369">
        <f>VLOOKUP(C6462,METADATA!$J$5:$Q$29,IF(E6462="HI",2,IF(E6462="LO",6,10))+IF(D6462=1,2,IF(D6462=7,1,(IF(WEEKDAY(B6462)=1,2,IF(WEEKDAY(B6462)=7,1,0))))))</f>
        <v>3</v>
      </c>
      <c r="H6462" s="370">
        <v>12848.999877929688</v>
      </c>
      <c r="I6462" s="370">
        <v>4102.6849670410156</v>
      </c>
      <c r="M6462" s="371">
        <f t="shared" si="401"/>
        <v>13488.099265716481</v>
      </c>
      <c r="N6462" s="329">
        <f t="shared" si="402"/>
        <v>247.98500366210965</v>
      </c>
      <c r="T6462" s="331">
        <v>0</v>
      </c>
      <c r="U6462" s="328">
        <f>VLOOKUP(C6462,METADATA!$J$5:$Q$29,IF(E6462="HI",2,IF(E6462="LO",6,10))+IF(T6462=1,2,IF(D6462=7,1,(IF(WEEKDAY(B6462)=1,2,IF(WEEKDAY(B6462)=7,1,0))))))</f>
        <v>3</v>
      </c>
      <c r="V6462" s="328">
        <f>VLOOKUP(C6462,METADATA!$A$5:$H$29,IF(E6462="HI",2,IF(E6462="LO",6,10))+IF(T6462=1,2,IF(D6462=7,1,(IF(WEEKDAY(B6462)=1,2,IF(WEEKDAY(B6462)=7,1,0))))))</f>
        <v>3</v>
      </c>
    </row>
    <row r="6463" spans="2:22">
      <c r="B6463" s="318">
        <f t="shared" si="403"/>
        <v>46382</v>
      </c>
      <c r="C6463" s="312">
        <v>3</v>
      </c>
      <c r="D6463" s="368">
        <f>IFERROR((INDEX(METADATA!$T$2:$T$20,MATCH(B6463,METADATA!$S$2:$S$20,0))),0)</f>
        <v>1</v>
      </c>
      <c r="E6463" s="312" t="str">
        <f t="shared" si="400"/>
        <v>LO</v>
      </c>
      <c r="F6463" s="369">
        <f>VLOOKUP(C6463,METADATA!$A$5:$H$29,IF(E6463="HI",2,IF(E6463="LO",6,10))+IF(D6463=1,2,IF(D6463=7,1,(IF(WEEKDAY(B6463)=1,2,IF(WEEKDAY(B6463)=7,1,0))))))</f>
        <v>3</v>
      </c>
      <c r="G6463" s="369">
        <f>VLOOKUP(C6463,METADATA!$J$5:$Q$29,IF(E6463="HI",2,IF(E6463="LO",6,10))+IF(D6463=1,2,IF(D6463=7,1,(IF(WEEKDAY(B6463)=1,2,IF(WEEKDAY(B6463)=7,1,0))))))</f>
        <v>3</v>
      </c>
      <c r="H6463" s="370">
        <v>12804.325012207031</v>
      </c>
      <c r="I6463" s="370">
        <v>4145.2999877929688</v>
      </c>
      <c r="M6463" s="371">
        <f t="shared" si="401"/>
        <v>13458.61252161704</v>
      </c>
      <c r="N6463" s="329">
        <f t="shared" si="402"/>
        <v>304.00248413085956</v>
      </c>
      <c r="T6463" s="331">
        <v>0</v>
      </c>
      <c r="U6463" s="328">
        <f>VLOOKUP(C6463,METADATA!$J$5:$Q$29,IF(E6463="HI",2,IF(E6463="LO",6,10))+IF(T6463=1,2,IF(D6463=7,1,(IF(WEEKDAY(B6463)=1,2,IF(WEEKDAY(B6463)=7,1,0))))))</f>
        <v>3</v>
      </c>
      <c r="V6463" s="328">
        <f>VLOOKUP(C6463,METADATA!$A$5:$H$29,IF(E6463="HI",2,IF(E6463="LO",6,10))+IF(T6463=1,2,IF(D6463=7,1,(IF(WEEKDAY(B6463)=1,2,IF(WEEKDAY(B6463)=7,1,0))))))</f>
        <v>3</v>
      </c>
    </row>
    <row r="6464" spans="2:22">
      <c r="B6464" s="318">
        <f t="shared" si="403"/>
        <v>46382</v>
      </c>
      <c r="C6464" s="312">
        <v>4</v>
      </c>
      <c r="D6464" s="368">
        <f>IFERROR((INDEX(METADATA!$T$2:$T$20,MATCH(B6464,METADATA!$S$2:$S$20,0))),0)</f>
        <v>1</v>
      </c>
      <c r="E6464" s="312" t="str">
        <f t="shared" si="400"/>
        <v>LO</v>
      </c>
      <c r="F6464" s="369">
        <f>VLOOKUP(C6464,METADATA!$A$5:$H$29,IF(E6464="HI",2,IF(E6464="LO",6,10))+IF(D6464=1,2,IF(D6464=7,1,(IF(WEEKDAY(B6464)=1,2,IF(WEEKDAY(B6464)=7,1,0))))))</f>
        <v>3</v>
      </c>
      <c r="G6464" s="369">
        <f>VLOOKUP(C6464,METADATA!$J$5:$Q$29,IF(E6464="HI",2,IF(E6464="LO",6,10))+IF(D6464=1,2,IF(D6464=7,1,(IF(WEEKDAY(B6464)=1,2,IF(WEEKDAY(B6464)=7,1,0))))))</f>
        <v>3</v>
      </c>
      <c r="H6464" s="370">
        <v>12773.449645996094</v>
      </c>
      <c r="I6464" s="370">
        <v>4137.7650756835938</v>
      </c>
      <c r="M6464" s="371">
        <f t="shared" si="401"/>
        <v>13426.917579263849</v>
      </c>
      <c r="N6464" s="329">
        <f t="shared" si="402"/>
        <v>305.7301818847659</v>
      </c>
      <c r="T6464" s="331">
        <v>0</v>
      </c>
      <c r="U6464" s="328">
        <f>VLOOKUP(C6464,METADATA!$J$5:$Q$29,IF(E6464="HI",2,IF(E6464="LO",6,10))+IF(T6464=1,2,IF(D6464=7,1,(IF(WEEKDAY(B6464)=1,2,IF(WEEKDAY(B6464)=7,1,0))))))</f>
        <v>3</v>
      </c>
      <c r="V6464" s="328">
        <f>VLOOKUP(C6464,METADATA!$A$5:$H$29,IF(E6464="HI",2,IF(E6464="LO",6,10))+IF(T6464=1,2,IF(D6464=7,1,(IF(WEEKDAY(B6464)=1,2,IF(WEEKDAY(B6464)=7,1,0))))))</f>
        <v>3</v>
      </c>
    </row>
    <row r="6465" spans="2:22">
      <c r="B6465" s="318">
        <f t="shared" si="403"/>
        <v>46382</v>
      </c>
      <c r="C6465" s="312">
        <v>5</v>
      </c>
      <c r="D6465" s="368">
        <f>IFERROR((INDEX(METADATA!$T$2:$T$20,MATCH(B6465,METADATA!$S$2:$S$20,0))),0)</f>
        <v>1</v>
      </c>
      <c r="E6465" s="312" t="str">
        <f t="shared" si="400"/>
        <v>LO</v>
      </c>
      <c r="F6465" s="369">
        <f>VLOOKUP(C6465,METADATA!$A$5:$H$29,IF(E6465="HI",2,IF(E6465="LO",6,10))+IF(D6465=1,2,IF(D6465=7,1,(IF(WEEKDAY(B6465)=1,2,IF(WEEKDAY(B6465)=7,1,0))))))</f>
        <v>3</v>
      </c>
      <c r="G6465" s="369">
        <f>VLOOKUP(C6465,METADATA!$J$5:$Q$29,IF(E6465="HI",2,IF(E6465="LO",6,10))+IF(D6465=1,2,IF(D6465=7,1,(IF(WEEKDAY(B6465)=1,2,IF(WEEKDAY(B6465)=7,1,0))))))</f>
        <v>3</v>
      </c>
      <c r="H6465" s="370">
        <v>12778.475036621094</v>
      </c>
      <c r="I6465" s="370">
        <v>4063.1249084472656</v>
      </c>
      <c r="M6465" s="371">
        <f t="shared" si="401"/>
        <v>13408.892880592082</v>
      </c>
      <c r="N6465" s="329">
        <f t="shared" si="402"/>
        <v>229.5823974609375</v>
      </c>
      <c r="T6465" s="331">
        <v>0</v>
      </c>
      <c r="U6465" s="328">
        <f>VLOOKUP(C6465,METADATA!$J$5:$Q$29,IF(E6465="HI",2,IF(E6465="LO",6,10))+IF(T6465=1,2,IF(D6465=7,1,(IF(WEEKDAY(B6465)=1,2,IF(WEEKDAY(B6465)=7,1,0))))))</f>
        <v>3</v>
      </c>
      <c r="V6465" s="328">
        <f>VLOOKUP(C6465,METADATA!$A$5:$H$29,IF(E6465="HI",2,IF(E6465="LO",6,10))+IF(T6465=1,2,IF(D6465=7,1,(IF(WEEKDAY(B6465)=1,2,IF(WEEKDAY(B6465)=7,1,0))))))</f>
        <v>3</v>
      </c>
    </row>
    <row r="6466" spans="2:22">
      <c r="B6466" s="318">
        <f t="shared" si="403"/>
        <v>46382</v>
      </c>
      <c r="C6466" s="312">
        <v>6</v>
      </c>
      <c r="D6466" s="368">
        <f>IFERROR((INDEX(METADATA!$T$2:$T$20,MATCH(B6466,METADATA!$S$2:$S$20,0))),0)</f>
        <v>1</v>
      </c>
      <c r="E6466" s="312" t="str">
        <f t="shared" si="400"/>
        <v>LO</v>
      </c>
      <c r="F6466" s="369">
        <f>VLOOKUP(C6466,METADATA!$A$5:$H$29,IF(E6466="HI",2,IF(E6466="LO",6,10))+IF(D6466=1,2,IF(D6466=7,1,(IF(WEEKDAY(B6466)=1,2,IF(WEEKDAY(B6466)=7,1,0))))))</f>
        <v>3</v>
      </c>
      <c r="G6466" s="369">
        <f>VLOOKUP(C6466,METADATA!$J$5:$Q$29,IF(E6466="HI",2,IF(E6466="LO",6,10))+IF(D6466=1,2,IF(D6466=7,1,(IF(WEEKDAY(B6466)=1,2,IF(WEEKDAY(B6466)=7,1,0))))))</f>
        <v>3</v>
      </c>
      <c r="H6466" s="370">
        <v>12771.2001953125</v>
      </c>
      <c r="I6466" s="370">
        <v>4026.1650085449219</v>
      </c>
      <c r="M6466" s="371">
        <f t="shared" si="401"/>
        <v>13390.801286882783</v>
      </c>
      <c r="N6466" s="329">
        <f t="shared" si="402"/>
        <v>194.80494995117215</v>
      </c>
      <c r="T6466" s="331">
        <v>0</v>
      </c>
      <c r="U6466" s="328">
        <f>VLOOKUP(C6466,METADATA!$J$5:$Q$29,IF(E6466="HI",2,IF(E6466="LO",6,10))+IF(T6466=1,2,IF(D6466=7,1,(IF(WEEKDAY(B6466)=1,2,IF(WEEKDAY(B6466)=7,1,0))))))</f>
        <v>3</v>
      </c>
      <c r="V6466" s="328">
        <f>VLOOKUP(C6466,METADATA!$A$5:$H$29,IF(E6466="HI",2,IF(E6466="LO",6,10))+IF(T6466=1,2,IF(D6466=7,1,(IF(WEEKDAY(B6466)=1,2,IF(WEEKDAY(B6466)=7,1,0))))))</f>
        <v>3</v>
      </c>
    </row>
    <row r="6467" spans="2:22">
      <c r="B6467" s="318">
        <f t="shared" si="403"/>
        <v>46382</v>
      </c>
      <c r="C6467" s="312">
        <v>7</v>
      </c>
      <c r="D6467" s="368">
        <f>IFERROR((INDEX(METADATA!$T$2:$T$20,MATCH(B6467,METADATA!$S$2:$S$20,0))),0)</f>
        <v>1</v>
      </c>
      <c r="E6467" s="312" t="str">
        <f t="shared" si="400"/>
        <v>LO</v>
      </c>
      <c r="F6467" s="369">
        <f>VLOOKUP(C6467,METADATA!$A$5:$H$29,IF(E6467="HI",2,IF(E6467="LO",6,10))+IF(D6467=1,2,IF(D6467=7,1,(IF(WEEKDAY(B6467)=1,2,IF(WEEKDAY(B6467)=7,1,0))))))</f>
        <v>3</v>
      </c>
      <c r="G6467" s="369">
        <f>VLOOKUP(C6467,METADATA!$J$5:$Q$29,IF(E6467="HI",2,IF(E6467="LO",6,10))+IF(D6467=1,2,IF(D6467=7,1,(IF(WEEKDAY(B6467)=1,2,IF(WEEKDAY(B6467)=7,1,0))))))</f>
        <v>3</v>
      </c>
      <c r="H6467" s="370">
        <v>12725.900146484375</v>
      </c>
      <c r="I6467" s="370">
        <v>3906.9750366210938</v>
      </c>
      <c r="M6467" s="371">
        <f t="shared" si="401"/>
        <v>13312.13688613032</v>
      </c>
      <c r="N6467" s="329">
        <f t="shared" si="402"/>
        <v>89.204992675781341</v>
      </c>
      <c r="T6467" s="331">
        <v>0</v>
      </c>
      <c r="U6467" s="328">
        <f>VLOOKUP(C6467,METADATA!$J$5:$Q$29,IF(E6467="HI",2,IF(E6467="LO",6,10))+IF(T6467=1,2,IF(D6467=7,1,(IF(WEEKDAY(B6467)=1,2,IF(WEEKDAY(B6467)=7,1,0))))))</f>
        <v>2</v>
      </c>
      <c r="V6467" s="328">
        <f>VLOOKUP(C6467,METADATA!$A$5:$H$29,IF(E6467="HI",2,IF(E6467="LO",6,10))+IF(T6467=1,2,IF(D6467=7,1,(IF(WEEKDAY(B6467)=1,2,IF(WEEKDAY(B6467)=7,1,0))))))</f>
        <v>2</v>
      </c>
    </row>
    <row r="6468" spans="2:22">
      <c r="B6468" s="318">
        <f t="shared" si="403"/>
        <v>46382</v>
      </c>
      <c r="C6468" s="312">
        <v>8</v>
      </c>
      <c r="D6468" s="368">
        <f>IFERROR((INDEX(METADATA!$T$2:$T$20,MATCH(B6468,METADATA!$S$2:$S$20,0))),0)</f>
        <v>1</v>
      </c>
      <c r="E6468" s="312" t="str">
        <f t="shared" ref="E6468:E6531" si="404">IF(B6468="","",IF(AND(MONTH(B6468)&gt;=MONTH($Z$9),MONTH(B6468)&lt;=MONTH($Z$11)),"HI","LO"))</f>
        <v>LO</v>
      </c>
      <c r="F6468" s="369">
        <f>VLOOKUP(C6468,METADATA!$A$5:$H$29,IF(E6468="HI",2,IF(E6468="LO",6,10))+IF(D6468=1,2,IF(D6468=7,1,(IF(WEEKDAY(B6468)=1,2,IF(WEEKDAY(B6468)=7,1,0))))))</f>
        <v>3</v>
      </c>
      <c r="G6468" s="369">
        <f>VLOOKUP(C6468,METADATA!$J$5:$Q$29,IF(E6468="HI",2,IF(E6468="LO",6,10))+IF(D6468=1,2,IF(D6468=7,1,(IF(WEEKDAY(B6468)=1,2,IF(WEEKDAY(B6468)=7,1,0))))))</f>
        <v>3</v>
      </c>
      <c r="H6468" s="370">
        <v>12853.150024414063</v>
      </c>
      <c r="I6468" s="370">
        <v>3932.2100219726563</v>
      </c>
      <c r="M6468" s="371">
        <f t="shared" ref="M6468:M6531" si="405">SQRT(H6468^2+I6468^2)</f>
        <v>13441.195676240912</v>
      </c>
      <c r="N6468" s="329">
        <f t="shared" ref="N6468:N6531" si="406">IF(H6468=0,0,(IF(I6468-(0.3*H6468)&lt;0,0,(I6468-(0.3*H6468)))))</f>
        <v>76.2650146484375</v>
      </c>
      <c r="T6468" s="331">
        <v>0</v>
      </c>
      <c r="U6468" s="328">
        <f>VLOOKUP(C6468,METADATA!$J$5:$Q$29,IF(E6468="HI",2,IF(E6468="LO",6,10))+IF(T6468=1,2,IF(D6468=7,1,(IF(WEEKDAY(B6468)=1,2,IF(WEEKDAY(B6468)=7,1,0))))))</f>
        <v>2</v>
      </c>
      <c r="V6468" s="328">
        <f>VLOOKUP(C6468,METADATA!$A$5:$H$29,IF(E6468="HI",2,IF(E6468="LO",6,10))+IF(T6468=1,2,IF(D6468=7,1,(IF(WEEKDAY(B6468)=1,2,IF(WEEKDAY(B6468)=7,1,0))))))</f>
        <v>2</v>
      </c>
    </row>
    <row r="6469" spans="2:22">
      <c r="B6469" s="318">
        <f t="shared" si="403"/>
        <v>46382</v>
      </c>
      <c r="C6469" s="312">
        <v>9</v>
      </c>
      <c r="D6469" s="368">
        <f>IFERROR((INDEX(METADATA!$T$2:$T$20,MATCH(B6469,METADATA!$S$2:$S$20,0))),0)</f>
        <v>1</v>
      </c>
      <c r="E6469" s="312" t="str">
        <f t="shared" si="404"/>
        <v>LO</v>
      </c>
      <c r="F6469" s="369">
        <f>VLOOKUP(C6469,METADATA!$A$5:$H$29,IF(E6469="HI",2,IF(E6469="LO",6,10))+IF(D6469=1,2,IF(D6469=7,1,(IF(WEEKDAY(B6469)=1,2,IF(WEEKDAY(B6469)=7,1,0))))))</f>
        <v>3</v>
      </c>
      <c r="G6469" s="369">
        <f>VLOOKUP(C6469,METADATA!$J$5:$Q$29,IF(E6469="HI",2,IF(E6469="LO",6,10))+IF(D6469=1,2,IF(D6469=7,1,(IF(WEEKDAY(B6469)=1,2,IF(WEEKDAY(B6469)=7,1,0))))))</f>
        <v>3</v>
      </c>
      <c r="H6469" s="370">
        <v>12830.075134277344</v>
      </c>
      <c r="I6469" s="370">
        <v>3788.4450073242188</v>
      </c>
      <c r="M6469" s="371">
        <f t="shared" si="405"/>
        <v>13377.710698199509</v>
      </c>
      <c r="N6469" s="329">
        <f t="shared" si="406"/>
        <v>0</v>
      </c>
      <c r="T6469" s="331">
        <v>0</v>
      </c>
      <c r="U6469" s="328">
        <f>VLOOKUP(C6469,METADATA!$J$5:$Q$29,IF(E6469="HI",2,IF(E6469="LO",6,10))+IF(T6469=1,2,IF(D6469=7,1,(IF(WEEKDAY(B6469)=1,2,IF(WEEKDAY(B6469)=7,1,0))))))</f>
        <v>2</v>
      </c>
      <c r="V6469" s="328">
        <f>VLOOKUP(C6469,METADATA!$A$5:$H$29,IF(E6469="HI",2,IF(E6469="LO",6,10))+IF(T6469=1,2,IF(D6469=7,1,(IF(WEEKDAY(B6469)=1,2,IF(WEEKDAY(B6469)=7,1,0))))))</f>
        <v>2</v>
      </c>
    </row>
    <row r="6470" spans="2:22">
      <c r="B6470" s="318">
        <f t="shared" si="403"/>
        <v>46382</v>
      </c>
      <c r="C6470" s="312">
        <v>10</v>
      </c>
      <c r="D6470" s="368">
        <f>IFERROR((INDEX(METADATA!$T$2:$T$20,MATCH(B6470,METADATA!$S$2:$S$20,0))),0)</f>
        <v>1</v>
      </c>
      <c r="E6470" s="312" t="str">
        <f t="shared" si="404"/>
        <v>LO</v>
      </c>
      <c r="F6470" s="369">
        <f>VLOOKUP(C6470,METADATA!$A$5:$H$29,IF(E6470="HI",2,IF(E6470="LO",6,10))+IF(D6470=1,2,IF(D6470=7,1,(IF(WEEKDAY(B6470)=1,2,IF(WEEKDAY(B6470)=7,1,0))))))</f>
        <v>3</v>
      </c>
      <c r="G6470" s="369">
        <f>VLOOKUP(C6470,METADATA!$J$5:$Q$29,IF(E6470="HI",2,IF(E6470="LO",6,10))+IF(D6470=1,2,IF(D6470=7,1,(IF(WEEKDAY(B6470)=1,2,IF(WEEKDAY(B6470)=7,1,0))))))</f>
        <v>3</v>
      </c>
      <c r="H6470" s="370">
        <v>12801.675109863281</v>
      </c>
      <c r="I6470" s="370">
        <v>3865.6100463867188</v>
      </c>
      <c r="M6470" s="371">
        <f t="shared" si="405"/>
        <v>13372.577412347217</v>
      </c>
      <c r="N6470" s="329">
        <f t="shared" si="406"/>
        <v>25.107513427734375</v>
      </c>
      <c r="T6470" s="331">
        <v>0</v>
      </c>
      <c r="U6470" s="328">
        <f>VLOOKUP(C6470,METADATA!$J$5:$Q$29,IF(E6470="HI",2,IF(E6470="LO",6,10))+IF(T6470=1,2,IF(D6470=7,1,(IF(WEEKDAY(B6470)=1,2,IF(WEEKDAY(B6470)=7,1,0))))))</f>
        <v>2</v>
      </c>
      <c r="V6470" s="328">
        <f>VLOOKUP(C6470,METADATA!$A$5:$H$29,IF(E6470="HI",2,IF(E6470="LO",6,10))+IF(T6470=1,2,IF(D6470=7,1,(IF(WEEKDAY(B6470)=1,2,IF(WEEKDAY(B6470)=7,1,0))))))</f>
        <v>2</v>
      </c>
    </row>
    <row r="6471" spans="2:22">
      <c r="B6471" s="318">
        <f t="shared" si="403"/>
        <v>46382</v>
      </c>
      <c r="C6471" s="312">
        <v>11</v>
      </c>
      <c r="D6471" s="368">
        <f>IFERROR((INDEX(METADATA!$T$2:$T$20,MATCH(B6471,METADATA!$S$2:$S$20,0))),0)</f>
        <v>1</v>
      </c>
      <c r="E6471" s="312" t="str">
        <f t="shared" si="404"/>
        <v>LO</v>
      </c>
      <c r="F6471" s="369">
        <f>VLOOKUP(C6471,METADATA!$A$5:$H$29,IF(E6471="HI",2,IF(E6471="LO",6,10))+IF(D6471=1,2,IF(D6471=7,1,(IF(WEEKDAY(B6471)=1,2,IF(WEEKDAY(B6471)=7,1,0))))))</f>
        <v>3</v>
      </c>
      <c r="G6471" s="369">
        <f>VLOOKUP(C6471,METADATA!$J$5:$Q$29,IF(E6471="HI",2,IF(E6471="LO",6,10))+IF(D6471=1,2,IF(D6471=7,1,(IF(WEEKDAY(B6471)=1,2,IF(WEEKDAY(B6471)=7,1,0))))))</f>
        <v>3</v>
      </c>
      <c r="H6471" s="370">
        <v>12854.900024414063</v>
      </c>
      <c r="I6471" s="370">
        <v>3911.3951110839844</v>
      </c>
      <c r="M6471" s="371">
        <f t="shared" si="405"/>
        <v>13436.795241153761</v>
      </c>
      <c r="N6471" s="329">
        <f t="shared" si="406"/>
        <v>54.925103759765989</v>
      </c>
      <c r="T6471" s="331">
        <v>0</v>
      </c>
      <c r="U6471" s="328">
        <f>VLOOKUP(C6471,METADATA!$J$5:$Q$29,IF(E6471="HI",2,IF(E6471="LO",6,10))+IF(T6471=1,2,IF(D6471=7,1,(IF(WEEKDAY(B6471)=1,2,IF(WEEKDAY(B6471)=7,1,0))))))</f>
        <v>2</v>
      </c>
      <c r="V6471" s="328">
        <f>VLOOKUP(C6471,METADATA!$A$5:$H$29,IF(E6471="HI",2,IF(E6471="LO",6,10))+IF(T6471=1,2,IF(D6471=7,1,(IF(WEEKDAY(B6471)=1,2,IF(WEEKDAY(B6471)=7,1,0))))))</f>
        <v>2</v>
      </c>
    </row>
    <row r="6472" spans="2:22">
      <c r="B6472" s="318">
        <f t="shared" si="403"/>
        <v>46382</v>
      </c>
      <c r="C6472" s="312">
        <v>12</v>
      </c>
      <c r="D6472" s="368">
        <f>IFERROR((INDEX(METADATA!$T$2:$T$20,MATCH(B6472,METADATA!$S$2:$S$20,0))),0)</f>
        <v>1</v>
      </c>
      <c r="E6472" s="312" t="str">
        <f t="shared" si="404"/>
        <v>LO</v>
      </c>
      <c r="F6472" s="369">
        <f>VLOOKUP(C6472,METADATA!$A$5:$H$29,IF(E6472="HI",2,IF(E6472="LO",6,10))+IF(D6472=1,2,IF(D6472=7,1,(IF(WEEKDAY(B6472)=1,2,IF(WEEKDAY(B6472)=7,1,0))))))</f>
        <v>3</v>
      </c>
      <c r="G6472" s="369">
        <f>VLOOKUP(C6472,METADATA!$J$5:$Q$29,IF(E6472="HI",2,IF(E6472="LO",6,10))+IF(D6472=1,2,IF(D6472=7,1,(IF(WEEKDAY(B6472)=1,2,IF(WEEKDAY(B6472)=7,1,0))))))</f>
        <v>3</v>
      </c>
      <c r="H6472" s="370">
        <v>9219.000244140625</v>
      </c>
      <c r="I6472" s="370">
        <v>2863.0500640869141</v>
      </c>
      <c r="M6472" s="371">
        <f t="shared" si="405"/>
        <v>9653.3424869799874</v>
      </c>
      <c r="N6472" s="329">
        <f t="shared" si="406"/>
        <v>97.349990844726563</v>
      </c>
      <c r="T6472" s="331">
        <v>0</v>
      </c>
      <c r="U6472" s="328">
        <f>VLOOKUP(C6472,METADATA!$J$5:$Q$29,IF(E6472="HI",2,IF(E6472="LO",6,10))+IF(T6472=1,2,IF(D6472=7,1,(IF(WEEKDAY(B6472)=1,2,IF(WEEKDAY(B6472)=7,1,0))))))</f>
        <v>3</v>
      </c>
      <c r="V6472" s="328">
        <f>VLOOKUP(C6472,METADATA!$A$5:$H$29,IF(E6472="HI",2,IF(E6472="LO",6,10))+IF(T6472=1,2,IF(D6472=7,1,(IF(WEEKDAY(B6472)=1,2,IF(WEEKDAY(B6472)=7,1,0))))))</f>
        <v>3</v>
      </c>
    </row>
    <row r="6473" spans="2:22">
      <c r="B6473" s="318">
        <f t="shared" si="403"/>
        <v>46382</v>
      </c>
      <c r="C6473" s="312">
        <v>13</v>
      </c>
      <c r="D6473" s="368">
        <f>IFERROR((INDEX(METADATA!$T$2:$T$20,MATCH(B6473,METADATA!$S$2:$S$20,0))),0)</f>
        <v>1</v>
      </c>
      <c r="E6473" s="312" t="str">
        <f t="shared" si="404"/>
        <v>LO</v>
      </c>
      <c r="F6473" s="369">
        <f>VLOOKUP(C6473,METADATA!$A$5:$H$29,IF(E6473="HI",2,IF(E6473="LO",6,10))+IF(D6473=1,2,IF(D6473=7,1,(IF(WEEKDAY(B6473)=1,2,IF(WEEKDAY(B6473)=7,1,0))))))</f>
        <v>3</v>
      </c>
      <c r="G6473" s="369">
        <f>VLOOKUP(C6473,METADATA!$J$5:$Q$29,IF(E6473="HI",2,IF(E6473="LO",6,10))+IF(D6473=1,2,IF(D6473=7,1,(IF(WEEKDAY(B6473)=1,2,IF(WEEKDAY(B6473)=7,1,0))))))</f>
        <v>3</v>
      </c>
      <c r="H6473" s="370">
        <v>6075.6875305175781</v>
      </c>
      <c r="I6473" s="370">
        <v>1669.1724853515625</v>
      </c>
      <c r="M6473" s="371">
        <f t="shared" si="405"/>
        <v>6300.8027864980422</v>
      </c>
      <c r="N6473" s="329">
        <f t="shared" si="406"/>
        <v>0</v>
      </c>
      <c r="T6473" s="331">
        <v>0</v>
      </c>
      <c r="U6473" s="328">
        <f>VLOOKUP(C6473,METADATA!$J$5:$Q$29,IF(E6473="HI",2,IF(E6473="LO",6,10))+IF(T6473=1,2,IF(D6473=7,1,(IF(WEEKDAY(B6473)=1,2,IF(WEEKDAY(B6473)=7,1,0))))))</f>
        <v>3</v>
      </c>
      <c r="V6473" s="328">
        <f>VLOOKUP(C6473,METADATA!$A$5:$H$29,IF(E6473="HI",2,IF(E6473="LO",6,10))+IF(T6473=1,2,IF(D6473=7,1,(IF(WEEKDAY(B6473)=1,2,IF(WEEKDAY(B6473)=7,1,0))))))</f>
        <v>3</v>
      </c>
    </row>
    <row r="6474" spans="2:22">
      <c r="B6474" s="318">
        <f t="shared" si="403"/>
        <v>46382</v>
      </c>
      <c r="C6474" s="312">
        <v>14</v>
      </c>
      <c r="D6474" s="368">
        <f>IFERROR((INDEX(METADATA!$T$2:$T$20,MATCH(B6474,METADATA!$S$2:$S$20,0))),0)</f>
        <v>1</v>
      </c>
      <c r="E6474" s="312" t="str">
        <f t="shared" si="404"/>
        <v>LO</v>
      </c>
      <c r="F6474" s="369">
        <f>VLOOKUP(C6474,METADATA!$A$5:$H$29,IF(E6474="HI",2,IF(E6474="LO",6,10))+IF(D6474=1,2,IF(D6474=7,1,(IF(WEEKDAY(B6474)=1,2,IF(WEEKDAY(B6474)=7,1,0))))))</f>
        <v>3</v>
      </c>
      <c r="G6474" s="369">
        <f>VLOOKUP(C6474,METADATA!$J$5:$Q$29,IF(E6474="HI",2,IF(E6474="LO",6,10))+IF(D6474=1,2,IF(D6474=7,1,(IF(WEEKDAY(B6474)=1,2,IF(WEEKDAY(B6474)=7,1,0))))))</f>
        <v>3</v>
      </c>
      <c r="H6474" s="370">
        <v>9481.3698425292969</v>
      </c>
      <c r="I6474" s="370">
        <v>2505.8199844360352</v>
      </c>
      <c r="M6474" s="371">
        <f t="shared" si="405"/>
        <v>9806.9112306180796</v>
      </c>
      <c r="N6474" s="329">
        <f t="shared" si="406"/>
        <v>0</v>
      </c>
      <c r="T6474" s="331">
        <v>0</v>
      </c>
      <c r="U6474" s="328">
        <f>VLOOKUP(C6474,METADATA!$J$5:$Q$29,IF(E6474="HI",2,IF(E6474="LO",6,10))+IF(T6474=1,2,IF(D6474=7,1,(IF(WEEKDAY(B6474)=1,2,IF(WEEKDAY(B6474)=7,1,0))))))</f>
        <v>3</v>
      </c>
      <c r="V6474" s="328">
        <f>VLOOKUP(C6474,METADATA!$A$5:$H$29,IF(E6474="HI",2,IF(E6474="LO",6,10))+IF(T6474=1,2,IF(D6474=7,1,(IF(WEEKDAY(B6474)=1,2,IF(WEEKDAY(B6474)=7,1,0))))))</f>
        <v>3</v>
      </c>
    </row>
    <row r="6475" spans="2:22">
      <c r="B6475" s="318">
        <f t="shared" si="403"/>
        <v>46382</v>
      </c>
      <c r="C6475" s="312">
        <v>15</v>
      </c>
      <c r="D6475" s="368">
        <f>IFERROR((INDEX(METADATA!$T$2:$T$20,MATCH(B6475,METADATA!$S$2:$S$20,0))),0)</f>
        <v>1</v>
      </c>
      <c r="E6475" s="312" t="str">
        <f t="shared" si="404"/>
        <v>LO</v>
      </c>
      <c r="F6475" s="369">
        <f>VLOOKUP(C6475,METADATA!$A$5:$H$29,IF(E6475="HI",2,IF(E6475="LO",6,10))+IF(D6475=1,2,IF(D6475=7,1,(IF(WEEKDAY(B6475)=1,2,IF(WEEKDAY(B6475)=7,1,0))))))</f>
        <v>3</v>
      </c>
      <c r="G6475" s="369">
        <f>VLOOKUP(C6475,METADATA!$J$5:$Q$29,IF(E6475="HI",2,IF(E6475="LO",6,10))+IF(D6475=1,2,IF(D6475=7,1,(IF(WEEKDAY(B6475)=1,2,IF(WEEKDAY(B6475)=7,1,0))))))</f>
        <v>3</v>
      </c>
      <c r="H6475" s="370">
        <v>12348.724792480469</v>
      </c>
      <c r="I6475" s="370">
        <v>3707.2101135253906</v>
      </c>
      <c r="M6475" s="371">
        <f t="shared" si="405"/>
        <v>12893.192421826596</v>
      </c>
      <c r="N6475" s="329">
        <f t="shared" si="406"/>
        <v>2.5926757812503638</v>
      </c>
      <c r="T6475" s="331">
        <v>0</v>
      </c>
      <c r="U6475" s="328">
        <f>VLOOKUP(C6475,METADATA!$J$5:$Q$29,IF(E6475="HI",2,IF(E6475="LO",6,10))+IF(T6475=1,2,IF(D6475=7,1,(IF(WEEKDAY(B6475)=1,2,IF(WEEKDAY(B6475)=7,1,0))))))</f>
        <v>3</v>
      </c>
      <c r="V6475" s="328">
        <f>VLOOKUP(C6475,METADATA!$A$5:$H$29,IF(E6475="HI",2,IF(E6475="LO",6,10))+IF(T6475=1,2,IF(D6475=7,1,(IF(WEEKDAY(B6475)=1,2,IF(WEEKDAY(B6475)=7,1,0))))))</f>
        <v>3</v>
      </c>
    </row>
    <row r="6476" spans="2:22">
      <c r="B6476" s="318">
        <f t="shared" si="403"/>
        <v>46382</v>
      </c>
      <c r="C6476" s="312">
        <v>16</v>
      </c>
      <c r="D6476" s="368">
        <f>IFERROR((INDEX(METADATA!$T$2:$T$20,MATCH(B6476,METADATA!$S$2:$S$20,0))),0)</f>
        <v>1</v>
      </c>
      <c r="E6476" s="312" t="str">
        <f t="shared" si="404"/>
        <v>LO</v>
      </c>
      <c r="F6476" s="369">
        <f>VLOOKUP(C6476,METADATA!$A$5:$H$29,IF(E6476="HI",2,IF(E6476="LO",6,10))+IF(D6476=1,2,IF(D6476=7,1,(IF(WEEKDAY(B6476)=1,2,IF(WEEKDAY(B6476)=7,1,0))))))</f>
        <v>3</v>
      </c>
      <c r="G6476" s="369">
        <f>VLOOKUP(C6476,METADATA!$J$5:$Q$29,IF(E6476="HI",2,IF(E6476="LO",6,10))+IF(D6476=1,2,IF(D6476=7,1,(IF(WEEKDAY(B6476)=1,2,IF(WEEKDAY(B6476)=7,1,0))))))</f>
        <v>3</v>
      </c>
      <c r="H6476" s="370">
        <v>12901.050109863281</v>
      </c>
      <c r="I6476" s="370">
        <v>3964.0249938964844</v>
      </c>
      <c r="M6476" s="371">
        <f t="shared" si="405"/>
        <v>13496.317575155061</v>
      </c>
      <c r="N6476" s="329">
        <f t="shared" si="406"/>
        <v>93.7099609375</v>
      </c>
      <c r="T6476" s="331">
        <v>0</v>
      </c>
      <c r="U6476" s="328">
        <f>VLOOKUP(C6476,METADATA!$J$5:$Q$29,IF(E6476="HI",2,IF(E6476="LO",6,10))+IF(T6476=1,2,IF(D6476=7,1,(IF(WEEKDAY(B6476)=1,2,IF(WEEKDAY(B6476)=7,1,0))))))</f>
        <v>3</v>
      </c>
      <c r="V6476" s="328">
        <f>VLOOKUP(C6476,METADATA!$A$5:$H$29,IF(E6476="HI",2,IF(E6476="LO",6,10))+IF(T6476=1,2,IF(D6476=7,1,(IF(WEEKDAY(B6476)=1,2,IF(WEEKDAY(B6476)=7,1,0))))))</f>
        <v>3</v>
      </c>
    </row>
    <row r="6477" spans="2:22">
      <c r="B6477" s="318">
        <f t="shared" si="403"/>
        <v>46382</v>
      </c>
      <c r="C6477" s="312">
        <v>17</v>
      </c>
      <c r="D6477" s="368">
        <f>IFERROR((INDEX(METADATA!$T$2:$T$20,MATCH(B6477,METADATA!$S$2:$S$20,0))),0)</f>
        <v>1</v>
      </c>
      <c r="E6477" s="312" t="str">
        <f t="shared" si="404"/>
        <v>LO</v>
      </c>
      <c r="F6477" s="369">
        <f>VLOOKUP(C6477,METADATA!$A$5:$H$29,IF(E6477="HI",2,IF(E6477="LO",6,10))+IF(D6477=1,2,IF(D6477=7,1,(IF(WEEKDAY(B6477)=1,2,IF(WEEKDAY(B6477)=7,1,0))))))</f>
        <v>3</v>
      </c>
      <c r="G6477" s="369">
        <f>VLOOKUP(C6477,METADATA!$J$5:$Q$29,IF(E6477="HI",2,IF(E6477="LO",6,10))+IF(D6477=1,2,IF(D6477=7,1,(IF(WEEKDAY(B6477)=1,2,IF(WEEKDAY(B6477)=7,1,0))))))</f>
        <v>3</v>
      </c>
      <c r="H6477" s="370">
        <v>13060.275024414063</v>
      </c>
      <c r="I6477" s="370">
        <v>4094.074951171875</v>
      </c>
      <c r="M6477" s="371">
        <f t="shared" si="405"/>
        <v>13686.936597323256</v>
      </c>
      <c r="N6477" s="329">
        <f t="shared" si="406"/>
        <v>175.99244384765643</v>
      </c>
      <c r="T6477" s="331">
        <v>0</v>
      </c>
      <c r="U6477" s="328">
        <f>VLOOKUP(C6477,METADATA!$J$5:$Q$29,IF(E6477="HI",2,IF(E6477="LO",6,10))+IF(T6477=1,2,IF(D6477=7,1,(IF(WEEKDAY(B6477)=1,2,IF(WEEKDAY(B6477)=7,1,0))))))</f>
        <v>3</v>
      </c>
      <c r="V6477" s="328">
        <f>VLOOKUP(C6477,METADATA!$A$5:$H$29,IF(E6477="HI",2,IF(E6477="LO",6,10))+IF(T6477=1,2,IF(D6477=7,1,(IF(WEEKDAY(B6477)=1,2,IF(WEEKDAY(B6477)=7,1,0))))))</f>
        <v>3</v>
      </c>
    </row>
    <row r="6478" spans="2:22">
      <c r="B6478" s="318">
        <f t="shared" si="403"/>
        <v>46382</v>
      </c>
      <c r="C6478" s="312">
        <v>18</v>
      </c>
      <c r="D6478" s="368">
        <f>IFERROR((INDEX(METADATA!$T$2:$T$20,MATCH(B6478,METADATA!$S$2:$S$20,0))),0)</f>
        <v>1</v>
      </c>
      <c r="E6478" s="312" t="str">
        <f t="shared" si="404"/>
        <v>LO</v>
      </c>
      <c r="F6478" s="369">
        <f>VLOOKUP(C6478,METADATA!$A$5:$H$29,IF(E6478="HI",2,IF(E6478="LO",6,10))+IF(D6478=1,2,IF(D6478=7,1,(IF(WEEKDAY(B6478)=1,2,IF(WEEKDAY(B6478)=7,1,0))))))</f>
        <v>2</v>
      </c>
      <c r="G6478" s="369">
        <f>VLOOKUP(C6478,METADATA!$J$5:$Q$29,IF(E6478="HI",2,IF(E6478="LO",6,10))+IF(D6478=1,2,IF(D6478=7,1,(IF(WEEKDAY(B6478)=1,2,IF(WEEKDAY(B6478)=7,1,0))))))</f>
        <v>2</v>
      </c>
      <c r="H6478" s="370">
        <v>13043.725036621094</v>
      </c>
      <c r="I6478" s="370">
        <v>4110.885009765625</v>
      </c>
      <c r="M6478" s="371">
        <f t="shared" si="405"/>
        <v>13676.188737893744</v>
      </c>
      <c r="N6478" s="329">
        <f t="shared" si="406"/>
        <v>197.76749877929706</v>
      </c>
      <c r="T6478" s="331">
        <v>0</v>
      </c>
      <c r="U6478" s="328">
        <f>VLOOKUP(C6478,METADATA!$J$5:$Q$29,IF(E6478="HI",2,IF(E6478="LO",6,10))+IF(T6478=1,2,IF(D6478=7,1,(IF(WEEKDAY(B6478)=1,2,IF(WEEKDAY(B6478)=7,1,0))))))</f>
        <v>2</v>
      </c>
      <c r="V6478" s="328">
        <f>VLOOKUP(C6478,METADATA!$A$5:$H$29,IF(E6478="HI",2,IF(E6478="LO",6,10))+IF(T6478=1,2,IF(D6478=7,1,(IF(WEEKDAY(B6478)=1,2,IF(WEEKDAY(B6478)=7,1,0))))))</f>
        <v>2</v>
      </c>
    </row>
    <row r="6479" spans="2:22">
      <c r="B6479" s="318">
        <f t="shared" si="403"/>
        <v>46382</v>
      </c>
      <c r="C6479" s="312">
        <v>19</v>
      </c>
      <c r="D6479" s="368">
        <f>IFERROR((INDEX(METADATA!$T$2:$T$20,MATCH(B6479,METADATA!$S$2:$S$20,0))),0)</f>
        <v>1</v>
      </c>
      <c r="E6479" s="312" t="str">
        <f t="shared" si="404"/>
        <v>LO</v>
      </c>
      <c r="F6479" s="369">
        <f>VLOOKUP(C6479,METADATA!$A$5:$H$29,IF(E6479="HI",2,IF(E6479="LO",6,10))+IF(D6479=1,2,IF(D6479=7,1,(IF(WEEKDAY(B6479)=1,2,IF(WEEKDAY(B6479)=7,1,0))))))</f>
        <v>2</v>
      </c>
      <c r="G6479" s="369">
        <f>VLOOKUP(C6479,METADATA!$J$5:$Q$29,IF(E6479="HI",2,IF(E6479="LO",6,10))+IF(D6479=1,2,IF(D6479=7,1,(IF(WEEKDAY(B6479)=1,2,IF(WEEKDAY(B6479)=7,1,0))))))</f>
        <v>2</v>
      </c>
      <c r="H6479" s="370">
        <v>13157.600280761719</v>
      </c>
      <c r="I6479" s="370">
        <v>4120.614990234375</v>
      </c>
      <c r="M6479" s="371">
        <f t="shared" si="405"/>
        <v>13787.745031224109</v>
      </c>
      <c r="N6479" s="329">
        <f t="shared" si="406"/>
        <v>173.33490600585947</v>
      </c>
      <c r="T6479" s="331">
        <v>0</v>
      </c>
      <c r="U6479" s="328">
        <f>VLOOKUP(C6479,METADATA!$J$5:$Q$29,IF(E6479="HI",2,IF(E6479="LO",6,10))+IF(T6479=1,2,IF(D6479=7,1,(IF(WEEKDAY(B6479)=1,2,IF(WEEKDAY(B6479)=7,1,0))))))</f>
        <v>2</v>
      </c>
      <c r="V6479" s="328">
        <f>VLOOKUP(C6479,METADATA!$A$5:$H$29,IF(E6479="HI",2,IF(E6479="LO",6,10))+IF(T6479=1,2,IF(D6479=7,1,(IF(WEEKDAY(B6479)=1,2,IF(WEEKDAY(B6479)=7,1,0))))))</f>
        <v>2</v>
      </c>
    </row>
    <row r="6480" spans="2:22">
      <c r="B6480" s="318">
        <f t="shared" si="403"/>
        <v>46382</v>
      </c>
      <c r="C6480" s="312">
        <v>20</v>
      </c>
      <c r="D6480" s="368">
        <f>IFERROR((INDEX(METADATA!$T$2:$T$20,MATCH(B6480,METADATA!$S$2:$S$20,0))),0)</f>
        <v>1</v>
      </c>
      <c r="E6480" s="312" t="str">
        <f t="shared" si="404"/>
        <v>LO</v>
      </c>
      <c r="F6480" s="369">
        <f>VLOOKUP(C6480,METADATA!$A$5:$H$29,IF(E6480="HI",2,IF(E6480="LO",6,10))+IF(D6480=1,2,IF(D6480=7,1,(IF(WEEKDAY(B6480)=1,2,IF(WEEKDAY(B6480)=7,1,0))))))</f>
        <v>3</v>
      </c>
      <c r="G6480" s="369">
        <f>VLOOKUP(C6480,METADATA!$J$5:$Q$29,IF(E6480="HI",2,IF(E6480="LO",6,10))+IF(D6480=1,2,IF(D6480=7,1,(IF(WEEKDAY(B6480)=1,2,IF(WEEKDAY(B6480)=7,1,0))))))</f>
        <v>3</v>
      </c>
      <c r="H6480" s="370">
        <v>13120.174865722656</v>
      </c>
      <c r="I6480" s="370">
        <v>4195.2049560546875</v>
      </c>
      <c r="M6480" s="371">
        <f t="shared" si="405"/>
        <v>13774.568346429092</v>
      </c>
      <c r="N6480" s="329">
        <f t="shared" si="406"/>
        <v>259.15249633789063</v>
      </c>
      <c r="T6480" s="331">
        <v>0</v>
      </c>
      <c r="U6480" s="328">
        <f>VLOOKUP(C6480,METADATA!$J$5:$Q$29,IF(E6480="HI",2,IF(E6480="LO",6,10))+IF(T6480=1,2,IF(D6480=7,1,(IF(WEEKDAY(B6480)=1,2,IF(WEEKDAY(B6480)=7,1,0))))))</f>
        <v>3</v>
      </c>
      <c r="V6480" s="328">
        <f>VLOOKUP(C6480,METADATA!$A$5:$H$29,IF(E6480="HI",2,IF(E6480="LO",6,10))+IF(T6480=1,2,IF(D6480=7,1,(IF(WEEKDAY(B6480)=1,2,IF(WEEKDAY(B6480)=7,1,0))))))</f>
        <v>3</v>
      </c>
    </row>
    <row r="6481" spans="2:22">
      <c r="B6481" s="318">
        <f t="shared" si="403"/>
        <v>46382</v>
      </c>
      <c r="C6481" s="312">
        <v>21</v>
      </c>
      <c r="D6481" s="368">
        <f>IFERROR((INDEX(METADATA!$T$2:$T$20,MATCH(B6481,METADATA!$S$2:$S$20,0))),0)</f>
        <v>1</v>
      </c>
      <c r="E6481" s="312" t="str">
        <f t="shared" si="404"/>
        <v>LO</v>
      </c>
      <c r="F6481" s="369">
        <f>VLOOKUP(C6481,METADATA!$A$5:$H$29,IF(E6481="HI",2,IF(E6481="LO",6,10))+IF(D6481=1,2,IF(D6481=7,1,(IF(WEEKDAY(B6481)=1,2,IF(WEEKDAY(B6481)=7,1,0))))))</f>
        <v>3</v>
      </c>
      <c r="G6481" s="369">
        <f>VLOOKUP(C6481,METADATA!$J$5:$Q$29,IF(E6481="HI",2,IF(E6481="LO",6,10))+IF(D6481=1,2,IF(D6481=7,1,(IF(WEEKDAY(B6481)=1,2,IF(WEEKDAY(B6481)=7,1,0))))))</f>
        <v>3</v>
      </c>
      <c r="H6481" s="370">
        <v>13048.025085449219</v>
      </c>
      <c r="I6481" s="370">
        <v>4215.8850402832031</v>
      </c>
      <c r="M6481" s="371">
        <f t="shared" si="405"/>
        <v>13712.207893092775</v>
      </c>
      <c r="N6481" s="329">
        <f t="shared" si="406"/>
        <v>301.47751464843759</v>
      </c>
      <c r="T6481" s="331">
        <v>0</v>
      </c>
      <c r="U6481" s="328">
        <f>VLOOKUP(C6481,METADATA!$J$5:$Q$29,IF(E6481="HI",2,IF(E6481="LO",6,10))+IF(T6481=1,2,IF(D6481=7,1,(IF(WEEKDAY(B6481)=1,2,IF(WEEKDAY(B6481)=7,1,0))))))</f>
        <v>3</v>
      </c>
      <c r="V6481" s="328">
        <f>VLOOKUP(C6481,METADATA!$A$5:$H$29,IF(E6481="HI",2,IF(E6481="LO",6,10))+IF(T6481=1,2,IF(D6481=7,1,(IF(WEEKDAY(B6481)=1,2,IF(WEEKDAY(B6481)=7,1,0))))))</f>
        <v>3</v>
      </c>
    </row>
    <row r="6482" spans="2:22">
      <c r="B6482" s="318">
        <f t="shared" si="403"/>
        <v>46382</v>
      </c>
      <c r="C6482" s="312">
        <v>22</v>
      </c>
      <c r="D6482" s="368">
        <f>IFERROR((INDEX(METADATA!$T$2:$T$20,MATCH(B6482,METADATA!$S$2:$S$20,0))),0)</f>
        <v>1</v>
      </c>
      <c r="E6482" s="312" t="str">
        <f t="shared" si="404"/>
        <v>LO</v>
      </c>
      <c r="F6482" s="369">
        <f>VLOOKUP(C6482,METADATA!$A$5:$H$29,IF(E6482="HI",2,IF(E6482="LO",6,10))+IF(D6482=1,2,IF(D6482=7,1,(IF(WEEKDAY(B6482)=1,2,IF(WEEKDAY(B6482)=7,1,0))))))</f>
        <v>3</v>
      </c>
      <c r="G6482" s="369">
        <f>VLOOKUP(C6482,METADATA!$J$5:$Q$29,IF(E6482="HI",2,IF(E6482="LO",6,10))+IF(D6482=1,2,IF(D6482=7,1,(IF(WEEKDAY(B6482)=1,2,IF(WEEKDAY(B6482)=7,1,0))))))</f>
        <v>3</v>
      </c>
      <c r="H6482" s="370">
        <v>13063.974914550781</v>
      </c>
      <c r="I6482" s="370">
        <v>4122.1499633789063</v>
      </c>
      <c r="M6482" s="371">
        <f t="shared" si="405"/>
        <v>13698.88903848034</v>
      </c>
      <c r="N6482" s="329">
        <f t="shared" si="406"/>
        <v>202.95748901367188</v>
      </c>
      <c r="T6482" s="331">
        <v>0</v>
      </c>
      <c r="U6482" s="328">
        <f>VLOOKUP(C6482,METADATA!$J$5:$Q$29,IF(E6482="HI",2,IF(E6482="LO",6,10))+IF(T6482=1,2,IF(D6482=7,1,(IF(WEEKDAY(B6482)=1,2,IF(WEEKDAY(B6482)=7,1,0))))))</f>
        <v>3</v>
      </c>
      <c r="V6482" s="328">
        <f>VLOOKUP(C6482,METADATA!$A$5:$H$29,IF(E6482="HI",2,IF(E6482="LO",6,10))+IF(T6482=1,2,IF(D6482=7,1,(IF(WEEKDAY(B6482)=1,2,IF(WEEKDAY(B6482)=7,1,0))))))</f>
        <v>3</v>
      </c>
    </row>
    <row r="6483" spans="2:22">
      <c r="B6483" s="318">
        <f t="shared" si="403"/>
        <v>46382</v>
      </c>
      <c r="C6483" s="312">
        <v>23</v>
      </c>
      <c r="D6483" s="368">
        <f>IFERROR((INDEX(METADATA!$T$2:$T$20,MATCH(B6483,METADATA!$S$2:$S$20,0))),0)</f>
        <v>1</v>
      </c>
      <c r="E6483" s="312" t="str">
        <f t="shared" si="404"/>
        <v>LO</v>
      </c>
      <c r="F6483" s="369">
        <f>VLOOKUP(C6483,METADATA!$A$5:$H$29,IF(E6483="HI",2,IF(E6483="LO",6,10))+IF(D6483=1,2,IF(D6483=7,1,(IF(WEEKDAY(B6483)=1,2,IF(WEEKDAY(B6483)=7,1,0))))))</f>
        <v>3</v>
      </c>
      <c r="G6483" s="369">
        <f>VLOOKUP(C6483,METADATA!$J$5:$Q$29,IF(E6483="HI",2,IF(E6483="LO",6,10))+IF(D6483=1,2,IF(D6483=7,1,(IF(WEEKDAY(B6483)=1,2,IF(WEEKDAY(B6483)=7,1,0))))))</f>
        <v>3</v>
      </c>
      <c r="H6483" s="370">
        <v>13094.374938964844</v>
      </c>
      <c r="I6483" s="370">
        <v>4116.0699768066406</v>
      </c>
      <c r="M6483" s="371">
        <f t="shared" si="405"/>
        <v>13726.058687626233</v>
      </c>
      <c r="N6483" s="329">
        <f t="shared" si="406"/>
        <v>187.75749511718777</v>
      </c>
      <c r="T6483" s="331">
        <v>0</v>
      </c>
      <c r="U6483" s="328">
        <f>VLOOKUP(C6483,METADATA!$J$5:$Q$29,IF(E6483="HI",2,IF(E6483="LO",6,10))+IF(T6483=1,2,IF(D6483=7,1,(IF(WEEKDAY(B6483)=1,2,IF(WEEKDAY(B6483)=7,1,0))))))</f>
        <v>3</v>
      </c>
      <c r="V6483" s="328">
        <f>VLOOKUP(C6483,METADATA!$A$5:$H$29,IF(E6483="HI",2,IF(E6483="LO",6,10))+IF(T6483=1,2,IF(D6483=7,1,(IF(WEEKDAY(B6483)=1,2,IF(WEEKDAY(B6483)=7,1,0))))))</f>
        <v>3</v>
      </c>
    </row>
    <row r="6484" spans="2:22">
      <c r="B6484" s="318">
        <f t="shared" si="403"/>
        <v>46383</v>
      </c>
      <c r="C6484" s="312">
        <v>0</v>
      </c>
      <c r="D6484" s="368">
        <f>IFERROR((INDEX(METADATA!$T$2:$T$20,MATCH(B6484,METADATA!$S$2:$S$20,0))),0)</f>
        <v>0</v>
      </c>
      <c r="E6484" s="312" t="str">
        <f t="shared" si="404"/>
        <v>LO</v>
      </c>
      <c r="F6484" s="369">
        <f>VLOOKUP(C6484,METADATA!$A$5:$H$29,IF(E6484="HI",2,IF(E6484="LO",6,10))+IF(D6484=1,2,IF(D6484=7,1,(IF(WEEKDAY(B6484)=1,2,IF(WEEKDAY(B6484)=7,1,0))))))</f>
        <v>3</v>
      </c>
      <c r="G6484" s="369">
        <f>VLOOKUP(C6484,METADATA!$J$5:$Q$29,IF(E6484="HI",2,IF(E6484="LO",6,10))+IF(D6484=1,2,IF(D6484=7,1,(IF(WEEKDAY(B6484)=1,2,IF(WEEKDAY(B6484)=7,1,0))))))</f>
        <v>3</v>
      </c>
      <c r="H6484" s="370">
        <v>13112.22509765625</v>
      </c>
      <c r="I6484" s="370">
        <v>4116.56005859375</v>
      </c>
      <c r="M6484" s="371">
        <f t="shared" si="405"/>
        <v>13743.235198730168</v>
      </c>
      <c r="N6484" s="329">
        <f t="shared" si="406"/>
        <v>182.89252929687518</v>
      </c>
      <c r="T6484" s="331">
        <v>0</v>
      </c>
      <c r="U6484" s="328">
        <f>VLOOKUP(C6484,METADATA!$J$5:$Q$29,IF(E6484="HI",2,IF(E6484="LO",6,10))+IF(T6484=1,2,IF(D6484=7,1,(IF(WEEKDAY(B6484)=1,2,IF(WEEKDAY(B6484)=7,1,0))))))</f>
        <v>3</v>
      </c>
      <c r="V6484" s="328">
        <f>VLOOKUP(C6484,METADATA!$A$5:$H$29,IF(E6484="HI",2,IF(E6484="LO",6,10))+IF(T6484=1,2,IF(D6484=7,1,(IF(WEEKDAY(B6484)=1,2,IF(WEEKDAY(B6484)=7,1,0))))))</f>
        <v>3</v>
      </c>
    </row>
    <row r="6485" spans="2:22">
      <c r="B6485" s="318">
        <f t="shared" si="403"/>
        <v>46383</v>
      </c>
      <c r="C6485" s="312">
        <v>1</v>
      </c>
      <c r="D6485" s="368">
        <f>IFERROR((INDEX(METADATA!$T$2:$T$20,MATCH(B6485,METADATA!$S$2:$S$20,0))),0)</f>
        <v>0</v>
      </c>
      <c r="E6485" s="312" t="str">
        <f t="shared" si="404"/>
        <v>LO</v>
      </c>
      <c r="F6485" s="369">
        <f>VLOOKUP(C6485,METADATA!$A$5:$H$29,IF(E6485="HI",2,IF(E6485="LO",6,10))+IF(D6485=1,2,IF(D6485=7,1,(IF(WEEKDAY(B6485)=1,2,IF(WEEKDAY(B6485)=7,1,0))))))</f>
        <v>3</v>
      </c>
      <c r="G6485" s="369">
        <f>VLOOKUP(C6485,METADATA!$J$5:$Q$29,IF(E6485="HI",2,IF(E6485="LO",6,10))+IF(D6485=1,2,IF(D6485=7,1,(IF(WEEKDAY(B6485)=1,2,IF(WEEKDAY(B6485)=7,1,0))))))</f>
        <v>3</v>
      </c>
      <c r="H6485" s="370">
        <v>12990.684875488281</v>
      </c>
      <c r="I6485" s="370">
        <v>4166.4198608398438</v>
      </c>
      <c r="M6485" s="371">
        <f t="shared" si="405"/>
        <v>13642.468544623465</v>
      </c>
      <c r="N6485" s="329">
        <f t="shared" si="406"/>
        <v>269.21439819335956</v>
      </c>
      <c r="T6485" s="331">
        <v>0</v>
      </c>
      <c r="U6485" s="328">
        <f>VLOOKUP(C6485,METADATA!$J$5:$Q$29,IF(E6485="HI",2,IF(E6485="LO",6,10))+IF(T6485=1,2,IF(D6485=7,1,(IF(WEEKDAY(B6485)=1,2,IF(WEEKDAY(B6485)=7,1,0))))))</f>
        <v>3</v>
      </c>
      <c r="V6485" s="328">
        <f>VLOOKUP(C6485,METADATA!$A$5:$H$29,IF(E6485="HI",2,IF(E6485="LO",6,10))+IF(T6485=1,2,IF(D6485=7,1,(IF(WEEKDAY(B6485)=1,2,IF(WEEKDAY(B6485)=7,1,0))))))</f>
        <v>3</v>
      </c>
    </row>
    <row r="6486" spans="2:22">
      <c r="B6486" s="318">
        <f t="shared" si="403"/>
        <v>46383</v>
      </c>
      <c r="C6486" s="312">
        <v>2</v>
      </c>
      <c r="D6486" s="368">
        <f>IFERROR((INDEX(METADATA!$T$2:$T$20,MATCH(B6486,METADATA!$S$2:$S$20,0))),0)</f>
        <v>0</v>
      </c>
      <c r="E6486" s="312" t="str">
        <f t="shared" si="404"/>
        <v>LO</v>
      </c>
      <c r="F6486" s="369">
        <f>VLOOKUP(C6486,METADATA!$A$5:$H$29,IF(E6486="HI",2,IF(E6486="LO",6,10))+IF(D6486=1,2,IF(D6486=7,1,(IF(WEEKDAY(B6486)=1,2,IF(WEEKDAY(B6486)=7,1,0))))))</f>
        <v>3</v>
      </c>
      <c r="G6486" s="369">
        <f>VLOOKUP(C6486,METADATA!$J$5:$Q$29,IF(E6486="HI",2,IF(E6486="LO",6,10))+IF(D6486=1,2,IF(D6486=7,1,(IF(WEEKDAY(B6486)=1,2,IF(WEEKDAY(B6486)=7,1,0))))))</f>
        <v>3</v>
      </c>
      <c r="H6486" s="370">
        <v>13069.750183105469</v>
      </c>
      <c r="I6486" s="370">
        <v>4158.7149658203125</v>
      </c>
      <c r="M6486" s="371">
        <f t="shared" si="405"/>
        <v>13715.439475850684</v>
      </c>
      <c r="N6486" s="329">
        <f t="shared" si="406"/>
        <v>237.78991088867224</v>
      </c>
      <c r="T6486" s="331">
        <v>0</v>
      </c>
      <c r="U6486" s="328">
        <f>VLOOKUP(C6486,METADATA!$J$5:$Q$29,IF(E6486="HI",2,IF(E6486="LO",6,10))+IF(T6486=1,2,IF(D6486=7,1,(IF(WEEKDAY(B6486)=1,2,IF(WEEKDAY(B6486)=7,1,0))))))</f>
        <v>3</v>
      </c>
      <c r="V6486" s="328">
        <f>VLOOKUP(C6486,METADATA!$A$5:$H$29,IF(E6486="HI",2,IF(E6486="LO",6,10))+IF(T6486=1,2,IF(D6486=7,1,(IF(WEEKDAY(B6486)=1,2,IF(WEEKDAY(B6486)=7,1,0))))))</f>
        <v>3</v>
      </c>
    </row>
    <row r="6487" spans="2:22">
      <c r="B6487" s="318">
        <f t="shared" si="403"/>
        <v>46383</v>
      </c>
      <c r="C6487" s="312">
        <v>3</v>
      </c>
      <c r="D6487" s="368">
        <f>IFERROR((INDEX(METADATA!$T$2:$T$20,MATCH(B6487,METADATA!$S$2:$S$20,0))),0)</f>
        <v>0</v>
      </c>
      <c r="E6487" s="312" t="str">
        <f t="shared" si="404"/>
        <v>LO</v>
      </c>
      <c r="F6487" s="369">
        <f>VLOOKUP(C6487,METADATA!$A$5:$H$29,IF(E6487="HI",2,IF(E6487="LO",6,10))+IF(D6487=1,2,IF(D6487=7,1,(IF(WEEKDAY(B6487)=1,2,IF(WEEKDAY(B6487)=7,1,0))))))</f>
        <v>3</v>
      </c>
      <c r="G6487" s="369">
        <f>VLOOKUP(C6487,METADATA!$J$5:$Q$29,IF(E6487="HI",2,IF(E6487="LO",6,10))+IF(D6487=1,2,IF(D6487=7,1,(IF(WEEKDAY(B6487)=1,2,IF(WEEKDAY(B6487)=7,1,0))))))</f>
        <v>3</v>
      </c>
      <c r="H6487" s="370">
        <v>13079.949584960938</v>
      </c>
      <c r="I6487" s="370">
        <v>4143.2649841308594</v>
      </c>
      <c r="M6487" s="371">
        <f t="shared" si="405"/>
        <v>13720.48562820736</v>
      </c>
      <c r="N6487" s="329">
        <f t="shared" si="406"/>
        <v>219.2801086425784</v>
      </c>
      <c r="T6487" s="331">
        <v>0</v>
      </c>
      <c r="U6487" s="328">
        <f>VLOOKUP(C6487,METADATA!$J$5:$Q$29,IF(E6487="HI",2,IF(E6487="LO",6,10))+IF(T6487=1,2,IF(D6487=7,1,(IF(WEEKDAY(B6487)=1,2,IF(WEEKDAY(B6487)=7,1,0))))))</f>
        <v>3</v>
      </c>
      <c r="V6487" s="328">
        <f>VLOOKUP(C6487,METADATA!$A$5:$H$29,IF(E6487="HI",2,IF(E6487="LO",6,10))+IF(T6487=1,2,IF(D6487=7,1,(IF(WEEKDAY(B6487)=1,2,IF(WEEKDAY(B6487)=7,1,0))))))</f>
        <v>3</v>
      </c>
    </row>
    <row r="6488" spans="2:22">
      <c r="B6488" s="318">
        <f t="shared" si="403"/>
        <v>46383</v>
      </c>
      <c r="C6488" s="312">
        <v>4</v>
      </c>
      <c r="D6488" s="368">
        <f>IFERROR((INDEX(METADATA!$T$2:$T$20,MATCH(B6488,METADATA!$S$2:$S$20,0))),0)</f>
        <v>0</v>
      </c>
      <c r="E6488" s="312" t="str">
        <f t="shared" si="404"/>
        <v>LO</v>
      </c>
      <c r="F6488" s="369">
        <f>VLOOKUP(C6488,METADATA!$A$5:$H$29,IF(E6488="HI",2,IF(E6488="LO",6,10))+IF(D6488=1,2,IF(D6488=7,1,(IF(WEEKDAY(B6488)=1,2,IF(WEEKDAY(B6488)=7,1,0))))))</f>
        <v>3</v>
      </c>
      <c r="G6488" s="369">
        <f>VLOOKUP(C6488,METADATA!$J$5:$Q$29,IF(E6488="HI",2,IF(E6488="LO",6,10))+IF(D6488=1,2,IF(D6488=7,1,(IF(WEEKDAY(B6488)=1,2,IF(WEEKDAY(B6488)=7,1,0))))))</f>
        <v>3</v>
      </c>
      <c r="H6488" s="370">
        <v>13154.450073242188</v>
      </c>
      <c r="I6488" s="370">
        <v>4168.6199951171875</v>
      </c>
      <c r="M6488" s="371">
        <f t="shared" si="405"/>
        <v>13799.16480781037</v>
      </c>
      <c r="N6488" s="329">
        <f t="shared" si="406"/>
        <v>222.28497314453125</v>
      </c>
      <c r="T6488" s="331">
        <v>0</v>
      </c>
      <c r="U6488" s="328">
        <f>VLOOKUP(C6488,METADATA!$J$5:$Q$29,IF(E6488="HI",2,IF(E6488="LO",6,10))+IF(T6488=1,2,IF(D6488=7,1,(IF(WEEKDAY(B6488)=1,2,IF(WEEKDAY(B6488)=7,1,0))))))</f>
        <v>3</v>
      </c>
      <c r="V6488" s="328">
        <f>VLOOKUP(C6488,METADATA!$A$5:$H$29,IF(E6488="HI",2,IF(E6488="LO",6,10))+IF(T6488=1,2,IF(D6488=7,1,(IF(WEEKDAY(B6488)=1,2,IF(WEEKDAY(B6488)=7,1,0))))))</f>
        <v>3</v>
      </c>
    </row>
    <row r="6489" spans="2:22">
      <c r="B6489" s="318">
        <f t="shared" si="403"/>
        <v>46383</v>
      </c>
      <c r="C6489" s="312">
        <v>5</v>
      </c>
      <c r="D6489" s="368">
        <f>IFERROR((INDEX(METADATA!$T$2:$T$20,MATCH(B6489,METADATA!$S$2:$S$20,0))),0)</f>
        <v>0</v>
      </c>
      <c r="E6489" s="312" t="str">
        <f t="shared" si="404"/>
        <v>LO</v>
      </c>
      <c r="F6489" s="369">
        <f>VLOOKUP(C6489,METADATA!$A$5:$H$29,IF(E6489="HI",2,IF(E6489="LO",6,10))+IF(D6489=1,2,IF(D6489=7,1,(IF(WEEKDAY(B6489)=1,2,IF(WEEKDAY(B6489)=7,1,0))))))</f>
        <v>3</v>
      </c>
      <c r="G6489" s="369">
        <f>VLOOKUP(C6489,METADATA!$J$5:$Q$29,IF(E6489="HI",2,IF(E6489="LO",6,10))+IF(D6489=1,2,IF(D6489=7,1,(IF(WEEKDAY(B6489)=1,2,IF(WEEKDAY(B6489)=7,1,0))))))</f>
        <v>3</v>
      </c>
      <c r="H6489" s="370">
        <v>12988.649780273438</v>
      </c>
      <c r="I6489" s="370">
        <v>4104.4651184082031</v>
      </c>
      <c r="M6489" s="371">
        <f t="shared" si="405"/>
        <v>13621.734728837839</v>
      </c>
      <c r="N6489" s="329">
        <f t="shared" si="406"/>
        <v>207.87018432617197</v>
      </c>
      <c r="T6489" s="331">
        <v>0</v>
      </c>
      <c r="U6489" s="328">
        <f>VLOOKUP(C6489,METADATA!$J$5:$Q$29,IF(E6489="HI",2,IF(E6489="LO",6,10))+IF(T6489=1,2,IF(D6489=7,1,(IF(WEEKDAY(B6489)=1,2,IF(WEEKDAY(B6489)=7,1,0))))))</f>
        <v>3</v>
      </c>
      <c r="V6489" s="328">
        <f>VLOOKUP(C6489,METADATA!$A$5:$H$29,IF(E6489="HI",2,IF(E6489="LO",6,10))+IF(T6489=1,2,IF(D6489=7,1,(IF(WEEKDAY(B6489)=1,2,IF(WEEKDAY(B6489)=7,1,0))))))</f>
        <v>3</v>
      </c>
    </row>
    <row r="6490" spans="2:22">
      <c r="B6490" s="318">
        <f t="shared" si="403"/>
        <v>46383</v>
      </c>
      <c r="C6490" s="312">
        <v>6</v>
      </c>
      <c r="D6490" s="368">
        <f>IFERROR((INDEX(METADATA!$T$2:$T$20,MATCH(B6490,METADATA!$S$2:$S$20,0))),0)</f>
        <v>0</v>
      </c>
      <c r="E6490" s="312" t="str">
        <f t="shared" si="404"/>
        <v>LO</v>
      </c>
      <c r="F6490" s="369">
        <f>VLOOKUP(C6490,METADATA!$A$5:$H$29,IF(E6490="HI",2,IF(E6490="LO",6,10))+IF(D6490=1,2,IF(D6490=7,1,(IF(WEEKDAY(B6490)=1,2,IF(WEEKDAY(B6490)=7,1,0))))))</f>
        <v>3</v>
      </c>
      <c r="G6490" s="369">
        <f>VLOOKUP(C6490,METADATA!$J$5:$Q$29,IF(E6490="HI",2,IF(E6490="LO",6,10))+IF(D6490=1,2,IF(D6490=7,1,(IF(WEEKDAY(B6490)=1,2,IF(WEEKDAY(B6490)=7,1,0))))))</f>
        <v>3</v>
      </c>
      <c r="H6490" s="370">
        <v>12955.0751953125</v>
      </c>
      <c r="I6490" s="370">
        <v>4127.9900512695313</v>
      </c>
      <c r="M6490" s="371">
        <f t="shared" si="405"/>
        <v>13596.847986926288</v>
      </c>
      <c r="N6490" s="329">
        <f t="shared" si="406"/>
        <v>241.46749267578161</v>
      </c>
      <c r="T6490" s="331">
        <v>0</v>
      </c>
      <c r="U6490" s="328">
        <f>VLOOKUP(C6490,METADATA!$J$5:$Q$29,IF(E6490="HI",2,IF(E6490="LO",6,10))+IF(T6490=1,2,IF(D6490=7,1,(IF(WEEKDAY(B6490)=1,2,IF(WEEKDAY(B6490)=7,1,0))))))</f>
        <v>3</v>
      </c>
      <c r="V6490" s="328">
        <f>VLOOKUP(C6490,METADATA!$A$5:$H$29,IF(E6490="HI",2,IF(E6490="LO",6,10))+IF(T6490=1,2,IF(D6490=7,1,(IF(WEEKDAY(B6490)=1,2,IF(WEEKDAY(B6490)=7,1,0))))))</f>
        <v>3</v>
      </c>
    </row>
    <row r="6491" spans="2:22">
      <c r="B6491" s="318">
        <f t="shared" si="403"/>
        <v>46383</v>
      </c>
      <c r="C6491" s="312">
        <v>7</v>
      </c>
      <c r="D6491" s="368">
        <f>IFERROR((INDEX(METADATA!$T$2:$T$20,MATCH(B6491,METADATA!$S$2:$S$20,0))),0)</f>
        <v>0</v>
      </c>
      <c r="E6491" s="312" t="str">
        <f t="shared" si="404"/>
        <v>LO</v>
      </c>
      <c r="F6491" s="369">
        <f>VLOOKUP(C6491,METADATA!$A$5:$H$29,IF(E6491="HI",2,IF(E6491="LO",6,10))+IF(D6491=1,2,IF(D6491=7,1,(IF(WEEKDAY(B6491)=1,2,IF(WEEKDAY(B6491)=7,1,0))))))</f>
        <v>3</v>
      </c>
      <c r="G6491" s="369">
        <f>VLOOKUP(C6491,METADATA!$J$5:$Q$29,IF(E6491="HI",2,IF(E6491="LO",6,10))+IF(D6491=1,2,IF(D6491=7,1,(IF(WEEKDAY(B6491)=1,2,IF(WEEKDAY(B6491)=7,1,0))))))</f>
        <v>3</v>
      </c>
      <c r="H6491" s="370">
        <v>12958.849975585938</v>
      </c>
      <c r="I6491" s="370">
        <v>4100.4200439453125</v>
      </c>
      <c r="M6491" s="371">
        <f t="shared" si="405"/>
        <v>13592.102016484871</v>
      </c>
      <c r="N6491" s="329">
        <f t="shared" si="406"/>
        <v>212.76505126953134</v>
      </c>
      <c r="T6491" s="331">
        <v>0</v>
      </c>
      <c r="U6491" s="328">
        <f>VLOOKUP(C6491,METADATA!$J$5:$Q$29,IF(E6491="HI",2,IF(E6491="LO",6,10))+IF(T6491=1,2,IF(D6491=7,1,(IF(WEEKDAY(B6491)=1,2,IF(WEEKDAY(B6491)=7,1,0))))))</f>
        <v>3</v>
      </c>
      <c r="V6491" s="328">
        <f>VLOOKUP(C6491,METADATA!$A$5:$H$29,IF(E6491="HI",2,IF(E6491="LO",6,10))+IF(T6491=1,2,IF(D6491=7,1,(IF(WEEKDAY(B6491)=1,2,IF(WEEKDAY(B6491)=7,1,0))))))</f>
        <v>3</v>
      </c>
    </row>
    <row r="6492" spans="2:22">
      <c r="B6492" s="318">
        <f t="shared" ref="B6492:B6555" si="407">B6468+1</f>
        <v>46383</v>
      </c>
      <c r="C6492" s="312">
        <v>8</v>
      </c>
      <c r="D6492" s="368">
        <f>IFERROR((INDEX(METADATA!$T$2:$T$20,MATCH(B6492,METADATA!$S$2:$S$20,0))),0)</f>
        <v>0</v>
      </c>
      <c r="E6492" s="312" t="str">
        <f t="shared" si="404"/>
        <v>LO</v>
      </c>
      <c r="F6492" s="369">
        <f>VLOOKUP(C6492,METADATA!$A$5:$H$29,IF(E6492="HI",2,IF(E6492="LO",6,10))+IF(D6492=1,2,IF(D6492=7,1,(IF(WEEKDAY(B6492)=1,2,IF(WEEKDAY(B6492)=7,1,0))))))</f>
        <v>3</v>
      </c>
      <c r="G6492" s="369">
        <f>VLOOKUP(C6492,METADATA!$J$5:$Q$29,IF(E6492="HI",2,IF(E6492="LO",6,10))+IF(D6492=1,2,IF(D6492=7,1,(IF(WEEKDAY(B6492)=1,2,IF(WEEKDAY(B6492)=7,1,0))))))</f>
        <v>3</v>
      </c>
      <c r="H6492" s="370">
        <v>12951.72509765625</v>
      </c>
      <c r="I6492" s="370">
        <v>3967.3349609375</v>
      </c>
      <c r="M6492" s="371">
        <f t="shared" si="405"/>
        <v>13545.734741885941</v>
      </c>
      <c r="N6492" s="329">
        <f t="shared" si="406"/>
        <v>81.817431640625273</v>
      </c>
      <c r="T6492" s="331">
        <v>0</v>
      </c>
      <c r="U6492" s="328">
        <f>VLOOKUP(C6492,METADATA!$J$5:$Q$29,IF(E6492="HI",2,IF(E6492="LO",6,10))+IF(T6492=1,2,IF(D6492=7,1,(IF(WEEKDAY(B6492)=1,2,IF(WEEKDAY(B6492)=7,1,0))))))</f>
        <v>3</v>
      </c>
      <c r="V6492" s="328">
        <f>VLOOKUP(C6492,METADATA!$A$5:$H$29,IF(E6492="HI",2,IF(E6492="LO",6,10))+IF(T6492=1,2,IF(D6492=7,1,(IF(WEEKDAY(B6492)=1,2,IF(WEEKDAY(B6492)=7,1,0))))))</f>
        <v>3</v>
      </c>
    </row>
    <row r="6493" spans="2:22">
      <c r="B6493" s="318">
        <f t="shared" si="407"/>
        <v>46383</v>
      </c>
      <c r="C6493" s="312">
        <v>9</v>
      </c>
      <c r="D6493" s="368">
        <f>IFERROR((INDEX(METADATA!$T$2:$T$20,MATCH(B6493,METADATA!$S$2:$S$20,0))),0)</f>
        <v>0</v>
      </c>
      <c r="E6493" s="312" t="str">
        <f t="shared" si="404"/>
        <v>LO</v>
      </c>
      <c r="F6493" s="369">
        <f>VLOOKUP(C6493,METADATA!$A$5:$H$29,IF(E6493="HI",2,IF(E6493="LO",6,10))+IF(D6493=1,2,IF(D6493=7,1,(IF(WEEKDAY(B6493)=1,2,IF(WEEKDAY(B6493)=7,1,0))))))</f>
        <v>3</v>
      </c>
      <c r="G6493" s="369">
        <f>VLOOKUP(C6493,METADATA!$J$5:$Q$29,IF(E6493="HI",2,IF(E6493="LO",6,10))+IF(D6493=1,2,IF(D6493=7,1,(IF(WEEKDAY(B6493)=1,2,IF(WEEKDAY(B6493)=7,1,0))))))</f>
        <v>3</v>
      </c>
      <c r="H6493" s="370">
        <v>12784.200073242188</v>
      </c>
      <c r="I6493" s="370">
        <v>3828.6000061035156</v>
      </c>
      <c r="M6493" s="371">
        <f t="shared" si="405"/>
        <v>13345.184506758285</v>
      </c>
      <c r="N6493" s="329">
        <f t="shared" si="406"/>
        <v>0</v>
      </c>
      <c r="T6493" s="331">
        <v>0</v>
      </c>
      <c r="U6493" s="328">
        <f>VLOOKUP(C6493,METADATA!$J$5:$Q$29,IF(E6493="HI",2,IF(E6493="LO",6,10))+IF(T6493=1,2,IF(D6493=7,1,(IF(WEEKDAY(B6493)=1,2,IF(WEEKDAY(B6493)=7,1,0))))))</f>
        <v>3</v>
      </c>
      <c r="V6493" s="328">
        <f>VLOOKUP(C6493,METADATA!$A$5:$H$29,IF(E6493="HI",2,IF(E6493="LO",6,10))+IF(T6493=1,2,IF(D6493=7,1,(IF(WEEKDAY(B6493)=1,2,IF(WEEKDAY(B6493)=7,1,0))))))</f>
        <v>3</v>
      </c>
    </row>
    <row r="6494" spans="2:22">
      <c r="B6494" s="318">
        <f t="shared" si="407"/>
        <v>46383</v>
      </c>
      <c r="C6494" s="312">
        <v>10</v>
      </c>
      <c r="D6494" s="368">
        <f>IFERROR((INDEX(METADATA!$T$2:$T$20,MATCH(B6494,METADATA!$S$2:$S$20,0))),0)</f>
        <v>0</v>
      </c>
      <c r="E6494" s="312" t="str">
        <f t="shared" si="404"/>
        <v>LO</v>
      </c>
      <c r="F6494" s="369">
        <f>VLOOKUP(C6494,METADATA!$A$5:$H$29,IF(E6494="HI",2,IF(E6494="LO",6,10))+IF(D6494=1,2,IF(D6494=7,1,(IF(WEEKDAY(B6494)=1,2,IF(WEEKDAY(B6494)=7,1,0))))))</f>
        <v>3</v>
      </c>
      <c r="G6494" s="369">
        <f>VLOOKUP(C6494,METADATA!$J$5:$Q$29,IF(E6494="HI",2,IF(E6494="LO",6,10))+IF(D6494=1,2,IF(D6494=7,1,(IF(WEEKDAY(B6494)=1,2,IF(WEEKDAY(B6494)=7,1,0))))))</f>
        <v>3</v>
      </c>
      <c r="H6494" s="370">
        <v>12981.324829101563</v>
      </c>
      <c r="I6494" s="370">
        <v>3893.9549560546875</v>
      </c>
      <c r="M6494" s="371">
        <f t="shared" si="405"/>
        <v>13552.773868047512</v>
      </c>
      <c r="N6494" s="329">
        <f t="shared" si="406"/>
        <v>0</v>
      </c>
      <c r="T6494" s="331">
        <v>0</v>
      </c>
      <c r="U6494" s="328">
        <f>VLOOKUP(C6494,METADATA!$J$5:$Q$29,IF(E6494="HI",2,IF(E6494="LO",6,10))+IF(T6494=1,2,IF(D6494=7,1,(IF(WEEKDAY(B6494)=1,2,IF(WEEKDAY(B6494)=7,1,0))))))</f>
        <v>3</v>
      </c>
      <c r="V6494" s="328">
        <f>VLOOKUP(C6494,METADATA!$A$5:$H$29,IF(E6494="HI",2,IF(E6494="LO",6,10))+IF(T6494=1,2,IF(D6494=7,1,(IF(WEEKDAY(B6494)=1,2,IF(WEEKDAY(B6494)=7,1,0))))))</f>
        <v>3</v>
      </c>
    </row>
    <row r="6495" spans="2:22">
      <c r="B6495" s="318">
        <f t="shared" si="407"/>
        <v>46383</v>
      </c>
      <c r="C6495" s="312">
        <v>11</v>
      </c>
      <c r="D6495" s="368">
        <f>IFERROR((INDEX(METADATA!$T$2:$T$20,MATCH(B6495,METADATA!$S$2:$S$20,0))),0)</f>
        <v>0</v>
      </c>
      <c r="E6495" s="312" t="str">
        <f t="shared" si="404"/>
        <v>LO</v>
      </c>
      <c r="F6495" s="369">
        <f>VLOOKUP(C6495,METADATA!$A$5:$H$29,IF(E6495="HI",2,IF(E6495="LO",6,10))+IF(D6495=1,2,IF(D6495=7,1,(IF(WEEKDAY(B6495)=1,2,IF(WEEKDAY(B6495)=7,1,0))))))</f>
        <v>3</v>
      </c>
      <c r="G6495" s="369">
        <f>VLOOKUP(C6495,METADATA!$J$5:$Q$29,IF(E6495="HI",2,IF(E6495="LO",6,10))+IF(D6495=1,2,IF(D6495=7,1,(IF(WEEKDAY(B6495)=1,2,IF(WEEKDAY(B6495)=7,1,0))))))</f>
        <v>3</v>
      </c>
      <c r="H6495" s="370">
        <v>12912.475341796875</v>
      </c>
      <c r="I6495" s="370">
        <v>3849.8749389648438</v>
      </c>
      <c r="M6495" s="371">
        <f t="shared" si="405"/>
        <v>13474.181106775353</v>
      </c>
      <c r="N6495" s="329">
        <f t="shared" si="406"/>
        <v>0</v>
      </c>
      <c r="T6495" s="331">
        <v>0</v>
      </c>
      <c r="U6495" s="328">
        <f>VLOOKUP(C6495,METADATA!$J$5:$Q$29,IF(E6495="HI",2,IF(E6495="LO",6,10))+IF(T6495=1,2,IF(D6495=7,1,(IF(WEEKDAY(B6495)=1,2,IF(WEEKDAY(B6495)=7,1,0))))))</f>
        <v>3</v>
      </c>
      <c r="V6495" s="328">
        <f>VLOOKUP(C6495,METADATA!$A$5:$H$29,IF(E6495="HI",2,IF(E6495="LO",6,10))+IF(T6495=1,2,IF(D6495=7,1,(IF(WEEKDAY(B6495)=1,2,IF(WEEKDAY(B6495)=7,1,0))))))</f>
        <v>3</v>
      </c>
    </row>
    <row r="6496" spans="2:22">
      <c r="B6496" s="318">
        <f t="shared" si="407"/>
        <v>46383</v>
      </c>
      <c r="C6496" s="312">
        <v>12</v>
      </c>
      <c r="D6496" s="368">
        <f>IFERROR((INDEX(METADATA!$T$2:$T$20,MATCH(B6496,METADATA!$S$2:$S$20,0))),0)</f>
        <v>0</v>
      </c>
      <c r="E6496" s="312" t="str">
        <f t="shared" si="404"/>
        <v>LO</v>
      </c>
      <c r="F6496" s="369">
        <f>VLOOKUP(C6496,METADATA!$A$5:$H$29,IF(E6496="HI",2,IF(E6496="LO",6,10))+IF(D6496=1,2,IF(D6496=7,1,(IF(WEEKDAY(B6496)=1,2,IF(WEEKDAY(B6496)=7,1,0))))))</f>
        <v>3</v>
      </c>
      <c r="G6496" s="369">
        <f>VLOOKUP(C6496,METADATA!$J$5:$Q$29,IF(E6496="HI",2,IF(E6496="LO",6,10))+IF(D6496=1,2,IF(D6496=7,1,(IF(WEEKDAY(B6496)=1,2,IF(WEEKDAY(B6496)=7,1,0))))))</f>
        <v>3</v>
      </c>
      <c r="H6496" s="370">
        <v>13025.000061035156</v>
      </c>
      <c r="I6496" s="370">
        <v>3913.2500305175781</v>
      </c>
      <c r="M6496" s="371">
        <f t="shared" si="405"/>
        <v>13600.15266058847</v>
      </c>
      <c r="N6496" s="329">
        <f t="shared" si="406"/>
        <v>5.7500122070314319</v>
      </c>
      <c r="T6496" s="331">
        <v>0</v>
      </c>
      <c r="U6496" s="328">
        <f>VLOOKUP(C6496,METADATA!$J$5:$Q$29,IF(E6496="HI",2,IF(E6496="LO",6,10))+IF(T6496=1,2,IF(D6496=7,1,(IF(WEEKDAY(B6496)=1,2,IF(WEEKDAY(B6496)=7,1,0))))))</f>
        <v>3</v>
      </c>
      <c r="V6496" s="328">
        <f>VLOOKUP(C6496,METADATA!$A$5:$H$29,IF(E6496="HI",2,IF(E6496="LO",6,10))+IF(T6496=1,2,IF(D6496=7,1,(IF(WEEKDAY(B6496)=1,2,IF(WEEKDAY(B6496)=7,1,0))))))</f>
        <v>3</v>
      </c>
    </row>
    <row r="6497" spans="2:22">
      <c r="B6497" s="318">
        <f t="shared" si="407"/>
        <v>46383</v>
      </c>
      <c r="C6497" s="312">
        <v>13</v>
      </c>
      <c r="D6497" s="368">
        <f>IFERROR((INDEX(METADATA!$T$2:$T$20,MATCH(B6497,METADATA!$S$2:$S$20,0))),0)</f>
        <v>0</v>
      </c>
      <c r="E6497" s="312" t="str">
        <f t="shared" si="404"/>
        <v>LO</v>
      </c>
      <c r="F6497" s="369">
        <f>VLOOKUP(C6497,METADATA!$A$5:$H$29,IF(E6497="HI",2,IF(E6497="LO",6,10))+IF(D6497=1,2,IF(D6497=7,1,(IF(WEEKDAY(B6497)=1,2,IF(WEEKDAY(B6497)=7,1,0))))))</f>
        <v>3</v>
      </c>
      <c r="G6497" s="369">
        <f>VLOOKUP(C6497,METADATA!$J$5:$Q$29,IF(E6497="HI",2,IF(E6497="LO",6,10))+IF(D6497=1,2,IF(D6497=7,1,(IF(WEEKDAY(B6497)=1,2,IF(WEEKDAY(B6497)=7,1,0))))))</f>
        <v>3</v>
      </c>
      <c r="H6497" s="370">
        <v>13163.500183105469</v>
      </c>
      <c r="I6497" s="370">
        <v>3915.9700622558594</v>
      </c>
      <c r="M6497" s="371">
        <f t="shared" si="405"/>
        <v>13733.628748408117</v>
      </c>
      <c r="N6497" s="329">
        <f t="shared" si="406"/>
        <v>0</v>
      </c>
      <c r="T6497" s="331">
        <v>0</v>
      </c>
      <c r="U6497" s="328">
        <f>VLOOKUP(C6497,METADATA!$J$5:$Q$29,IF(E6497="HI",2,IF(E6497="LO",6,10))+IF(T6497=1,2,IF(D6497=7,1,(IF(WEEKDAY(B6497)=1,2,IF(WEEKDAY(B6497)=7,1,0))))))</f>
        <v>3</v>
      </c>
      <c r="V6497" s="328">
        <f>VLOOKUP(C6497,METADATA!$A$5:$H$29,IF(E6497="HI",2,IF(E6497="LO",6,10))+IF(T6497=1,2,IF(D6497=7,1,(IF(WEEKDAY(B6497)=1,2,IF(WEEKDAY(B6497)=7,1,0))))))</f>
        <v>3</v>
      </c>
    </row>
    <row r="6498" spans="2:22">
      <c r="B6498" s="318">
        <f t="shared" si="407"/>
        <v>46383</v>
      </c>
      <c r="C6498" s="312">
        <v>14</v>
      </c>
      <c r="D6498" s="368">
        <f>IFERROR((INDEX(METADATA!$T$2:$T$20,MATCH(B6498,METADATA!$S$2:$S$20,0))),0)</f>
        <v>0</v>
      </c>
      <c r="E6498" s="312" t="str">
        <f t="shared" si="404"/>
        <v>LO</v>
      </c>
      <c r="F6498" s="369">
        <f>VLOOKUP(C6498,METADATA!$A$5:$H$29,IF(E6498="HI",2,IF(E6498="LO",6,10))+IF(D6498=1,2,IF(D6498=7,1,(IF(WEEKDAY(B6498)=1,2,IF(WEEKDAY(B6498)=7,1,0))))))</f>
        <v>3</v>
      </c>
      <c r="G6498" s="369">
        <f>VLOOKUP(C6498,METADATA!$J$5:$Q$29,IF(E6498="HI",2,IF(E6498="LO",6,10))+IF(D6498=1,2,IF(D6498=7,1,(IF(WEEKDAY(B6498)=1,2,IF(WEEKDAY(B6498)=7,1,0))))))</f>
        <v>3</v>
      </c>
      <c r="H6498" s="370">
        <v>13197.700012207031</v>
      </c>
      <c r="I6498" s="370">
        <v>4175.6450805664063</v>
      </c>
      <c r="M6498" s="371">
        <f t="shared" si="405"/>
        <v>13842.517742487018</v>
      </c>
      <c r="N6498" s="329">
        <f t="shared" si="406"/>
        <v>216.33507690429724</v>
      </c>
      <c r="T6498" s="331">
        <v>0</v>
      </c>
      <c r="U6498" s="328">
        <f>VLOOKUP(C6498,METADATA!$J$5:$Q$29,IF(E6498="HI",2,IF(E6498="LO",6,10))+IF(T6498=1,2,IF(D6498=7,1,(IF(WEEKDAY(B6498)=1,2,IF(WEEKDAY(B6498)=7,1,0))))))</f>
        <v>3</v>
      </c>
      <c r="V6498" s="328">
        <f>VLOOKUP(C6498,METADATA!$A$5:$H$29,IF(E6498="HI",2,IF(E6498="LO",6,10))+IF(T6498=1,2,IF(D6498=7,1,(IF(WEEKDAY(B6498)=1,2,IF(WEEKDAY(B6498)=7,1,0))))))</f>
        <v>3</v>
      </c>
    </row>
    <row r="6499" spans="2:22">
      <c r="B6499" s="318">
        <f t="shared" si="407"/>
        <v>46383</v>
      </c>
      <c r="C6499" s="312">
        <v>15</v>
      </c>
      <c r="D6499" s="368">
        <f>IFERROR((INDEX(METADATA!$T$2:$T$20,MATCH(B6499,METADATA!$S$2:$S$20,0))),0)</f>
        <v>0</v>
      </c>
      <c r="E6499" s="312" t="str">
        <f t="shared" si="404"/>
        <v>LO</v>
      </c>
      <c r="F6499" s="369">
        <f>VLOOKUP(C6499,METADATA!$A$5:$H$29,IF(E6499="HI",2,IF(E6499="LO",6,10))+IF(D6499=1,2,IF(D6499=7,1,(IF(WEEKDAY(B6499)=1,2,IF(WEEKDAY(B6499)=7,1,0))))))</f>
        <v>3</v>
      </c>
      <c r="G6499" s="369">
        <f>VLOOKUP(C6499,METADATA!$J$5:$Q$29,IF(E6499="HI",2,IF(E6499="LO",6,10))+IF(D6499=1,2,IF(D6499=7,1,(IF(WEEKDAY(B6499)=1,2,IF(WEEKDAY(B6499)=7,1,0))))))</f>
        <v>3</v>
      </c>
      <c r="H6499" s="370">
        <v>13113.849792480469</v>
      </c>
      <c r="I6499" s="370">
        <v>4125.6649169921875</v>
      </c>
      <c r="M6499" s="371">
        <f t="shared" si="405"/>
        <v>13747.514953148449</v>
      </c>
      <c r="N6499" s="329">
        <f t="shared" si="406"/>
        <v>191.50997924804688</v>
      </c>
      <c r="T6499" s="331">
        <v>0</v>
      </c>
      <c r="U6499" s="328">
        <f>VLOOKUP(C6499,METADATA!$J$5:$Q$29,IF(E6499="HI",2,IF(E6499="LO",6,10))+IF(T6499=1,2,IF(D6499=7,1,(IF(WEEKDAY(B6499)=1,2,IF(WEEKDAY(B6499)=7,1,0))))))</f>
        <v>3</v>
      </c>
      <c r="V6499" s="328">
        <f>VLOOKUP(C6499,METADATA!$A$5:$H$29,IF(E6499="HI",2,IF(E6499="LO",6,10))+IF(T6499=1,2,IF(D6499=7,1,(IF(WEEKDAY(B6499)=1,2,IF(WEEKDAY(B6499)=7,1,0))))))</f>
        <v>3</v>
      </c>
    </row>
    <row r="6500" spans="2:22">
      <c r="B6500" s="318">
        <f t="shared" si="407"/>
        <v>46383</v>
      </c>
      <c r="C6500" s="312">
        <v>16</v>
      </c>
      <c r="D6500" s="368">
        <f>IFERROR((INDEX(METADATA!$T$2:$T$20,MATCH(B6500,METADATA!$S$2:$S$20,0))),0)</f>
        <v>0</v>
      </c>
      <c r="E6500" s="312" t="str">
        <f t="shared" si="404"/>
        <v>LO</v>
      </c>
      <c r="F6500" s="369">
        <f>VLOOKUP(C6500,METADATA!$A$5:$H$29,IF(E6500="HI",2,IF(E6500="LO",6,10))+IF(D6500=1,2,IF(D6500=7,1,(IF(WEEKDAY(B6500)=1,2,IF(WEEKDAY(B6500)=7,1,0))))))</f>
        <v>3</v>
      </c>
      <c r="G6500" s="369">
        <f>VLOOKUP(C6500,METADATA!$J$5:$Q$29,IF(E6500="HI",2,IF(E6500="LO",6,10))+IF(D6500=1,2,IF(D6500=7,1,(IF(WEEKDAY(B6500)=1,2,IF(WEEKDAY(B6500)=7,1,0))))))</f>
        <v>3</v>
      </c>
      <c r="H6500" s="370">
        <v>13138.599792480469</v>
      </c>
      <c r="I6500" s="370">
        <v>4101.9600524902344</v>
      </c>
      <c r="M6500" s="371">
        <f t="shared" si="405"/>
        <v>13764.043038990887</v>
      </c>
      <c r="N6500" s="329">
        <f t="shared" si="406"/>
        <v>160.38011474609402</v>
      </c>
      <c r="T6500" s="331">
        <v>0</v>
      </c>
      <c r="U6500" s="328">
        <f>VLOOKUP(C6500,METADATA!$J$5:$Q$29,IF(E6500="HI",2,IF(E6500="LO",6,10))+IF(T6500=1,2,IF(D6500=7,1,(IF(WEEKDAY(B6500)=1,2,IF(WEEKDAY(B6500)=7,1,0))))))</f>
        <v>3</v>
      </c>
      <c r="V6500" s="328">
        <f>VLOOKUP(C6500,METADATA!$A$5:$H$29,IF(E6500="HI",2,IF(E6500="LO",6,10))+IF(T6500=1,2,IF(D6500=7,1,(IF(WEEKDAY(B6500)=1,2,IF(WEEKDAY(B6500)=7,1,0))))))</f>
        <v>3</v>
      </c>
    </row>
    <row r="6501" spans="2:22">
      <c r="B6501" s="318">
        <f t="shared" si="407"/>
        <v>46383</v>
      </c>
      <c r="C6501" s="312">
        <v>17</v>
      </c>
      <c r="D6501" s="368">
        <f>IFERROR((INDEX(METADATA!$T$2:$T$20,MATCH(B6501,METADATA!$S$2:$S$20,0))),0)</f>
        <v>0</v>
      </c>
      <c r="E6501" s="312" t="str">
        <f t="shared" si="404"/>
        <v>LO</v>
      </c>
      <c r="F6501" s="369">
        <f>VLOOKUP(C6501,METADATA!$A$5:$H$29,IF(E6501="HI",2,IF(E6501="LO",6,10))+IF(D6501=1,2,IF(D6501=7,1,(IF(WEEKDAY(B6501)=1,2,IF(WEEKDAY(B6501)=7,1,0))))))</f>
        <v>3</v>
      </c>
      <c r="G6501" s="369">
        <f>VLOOKUP(C6501,METADATA!$J$5:$Q$29,IF(E6501="HI",2,IF(E6501="LO",6,10))+IF(D6501=1,2,IF(D6501=7,1,(IF(WEEKDAY(B6501)=1,2,IF(WEEKDAY(B6501)=7,1,0))))))</f>
        <v>3</v>
      </c>
      <c r="H6501" s="370">
        <v>13125.175048828125</v>
      </c>
      <c r="I6501" s="370">
        <v>4088.7799987792969</v>
      </c>
      <c r="M6501" s="371">
        <f t="shared" si="405"/>
        <v>13747.303078815059</v>
      </c>
      <c r="N6501" s="329">
        <f t="shared" si="406"/>
        <v>151.22748413085947</v>
      </c>
      <c r="T6501" s="331">
        <v>0</v>
      </c>
      <c r="U6501" s="328">
        <f>VLOOKUP(C6501,METADATA!$J$5:$Q$29,IF(E6501="HI",2,IF(E6501="LO",6,10))+IF(T6501=1,2,IF(D6501=7,1,(IF(WEEKDAY(B6501)=1,2,IF(WEEKDAY(B6501)=7,1,0))))))</f>
        <v>3</v>
      </c>
      <c r="V6501" s="328">
        <f>VLOOKUP(C6501,METADATA!$A$5:$H$29,IF(E6501="HI",2,IF(E6501="LO",6,10))+IF(T6501=1,2,IF(D6501=7,1,(IF(WEEKDAY(B6501)=1,2,IF(WEEKDAY(B6501)=7,1,0))))))</f>
        <v>3</v>
      </c>
    </row>
    <row r="6502" spans="2:22">
      <c r="B6502" s="318">
        <f t="shared" si="407"/>
        <v>46383</v>
      </c>
      <c r="C6502" s="312">
        <v>18</v>
      </c>
      <c r="D6502" s="368">
        <f>IFERROR((INDEX(METADATA!$T$2:$T$20,MATCH(B6502,METADATA!$S$2:$S$20,0))),0)</f>
        <v>0</v>
      </c>
      <c r="E6502" s="312" t="str">
        <f t="shared" si="404"/>
        <v>LO</v>
      </c>
      <c r="F6502" s="369">
        <f>VLOOKUP(C6502,METADATA!$A$5:$H$29,IF(E6502="HI",2,IF(E6502="LO",6,10))+IF(D6502=1,2,IF(D6502=7,1,(IF(WEEKDAY(B6502)=1,2,IF(WEEKDAY(B6502)=7,1,0))))))</f>
        <v>2</v>
      </c>
      <c r="G6502" s="369">
        <f>VLOOKUP(C6502,METADATA!$J$5:$Q$29,IF(E6502="HI",2,IF(E6502="LO",6,10))+IF(D6502=1,2,IF(D6502=7,1,(IF(WEEKDAY(B6502)=1,2,IF(WEEKDAY(B6502)=7,1,0))))))</f>
        <v>2</v>
      </c>
      <c r="H6502" s="370">
        <v>13198.72509765625</v>
      </c>
      <c r="I6502" s="370">
        <v>4187.1149291992188</v>
      </c>
      <c r="M6502" s="371">
        <f t="shared" si="405"/>
        <v>13846.959075328559</v>
      </c>
      <c r="N6502" s="329">
        <f t="shared" si="406"/>
        <v>227.49739990234411</v>
      </c>
      <c r="T6502" s="331">
        <v>0</v>
      </c>
      <c r="U6502" s="328">
        <f>VLOOKUP(C6502,METADATA!$J$5:$Q$29,IF(E6502="HI",2,IF(E6502="LO",6,10))+IF(T6502=1,2,IF(D6502=7,1,(IF(WEEKDAY(B6502)=1,2,IF(WEEKDAY(B6502)=7,1,0))))))</f>
        <v>2</v>
      </c>
      <c r="V6502" s="328">
        <f>VLOOKUP(C6502,METADATA!$A$5:$H$29,IF(E6502="HI",2,IF(E6502="LO",6,10))+IF(T6502=1,2,IF(D6502=7,1,(IF(WEEKDAY(B6502)=1,2,IF(WEEKDAY(B6502)=7,1,0))))))</f>
        <v>2</v>
      </c>
    </row>
    <row r="6503" spans="2:22">
      <c r="B6503" s="318">
        <f t="shared" si="407"/>
        <v>46383</v>
      </c>
      <c r="C6503" s="312">
        <v>19</v>
      </c>
      <c r="D6503" s="368">
        <f>IFERROR((INDEX(METADATA!$T$2:$T$20,MATCH(B6503,METADATA!$S$2:$S$20,0))),0)</f>
        <v>0</v>
      </c>
      <c r="E6503" s="312" t="str">
        <f t="shared" si="404"/>
        <v>LO</v>
      </c>
      <c r="F6503" s="369">
        <f>VLOOKUP(C6503,METADATA!$A$5:$H$29,IF(E6503="HI",2,IF(E6503="LO",6,10))+IF(D6503=1,2,IF(D6503=7,1,(IF(WEEKDAY(B6503)=1,2,IF(WEEKDAY(B6503)=7,1,0))))))</f>
        <v>2</v>
      </c>
      <c r="G6503" s="369">
        <f>VLOOKUP(C6503,METADATA!$J$5:$Q$29,IF(E6503="HI",2,IF(E6503="LO",6,10))+IF(D6503=1,2,IF(D6503=7,1,(IF(WEEKDAY(B6503)=1,2,IF(WEEKDAY(B6503)=7,1,0))))))</f>
        <v>2</v>
      </c>
      <c r="H6503" s="370">
        <v>13110.72509765625</v>
      </c>
      <c r="I6503" s="370">
        <v>4053.7050170898438</v>
      </c>
      <c r="M6503" s="371">
        <f t="shared" si="405"/>
        <v>13723.105951346904</v>
      </c>
      <c r="N6503" s="329">
        <f t="shared" si="406"/>
        <v>120.48748779296875</v>
      </c>
      <c r="T6503" s="331">
        <v>0</v>
      </c>
      <c r="U6503" s="328">
        <f>VLOOKUP(C6503,METADATA!$J$5:$Q$29,IF(E6503="HI",2,IF(E6503="LO",6,10))+IF(T6503=1,2,IF(D6503=7,1,(IF(WEEKDAY(B6503)=1,2,IF(WEEKDAY(B6503)=7,1,0))))))</f>
        <v>2</v>
      </c>
      <c r="V6503" s="328">
        <f>VLOOKUP(C6503,METADATA!$A$5:$H$29,IF(E6503="HI",2,IF(E6503="LO",6,10))+IF(T6503=1,2,IF(D6503=7,1,(IF(WEEKDAY(B6503)=1,2,IF(WEEKDAY(B6503)=7,1,0))))))</f>
        <v>2</v>
      </c>
    </row>
    <row r="6504" spans="2:22">
      <c r="B6504" s="318">
        <f t="shared" si="407"/>
        <v>46383</v>
      </c>
      <c r="C6504" s="312">
        <v>20</v>
      </c>
      <c r="D6504" s="368">
        <f>IFERROR((INDEX(METADATA!$T$2:$T$20,MATCH(B6504,METADATA!$S$2:$S$20,0))),0)</f>
        <v>0</v>
      </c>
      <c r="E6504" s="312" t="str">
        <f t="shared" si="404"/>
        <v>LO</v>
      </c>
      <c r="F6504" s="369">
        <f>VLOOKUP(C6504,METADATA!$A$5:$H$29,IF(E6504="HI",2,IF(E6504="LO",6,10))+IF(D6504=1,2,IF(D6504=7,1,(IF(WEEKDAY(B6504)=1,2,IF(WEEKDAY(B6504)=7,1,0))))))</f>
        <v>3</v>
      </c>
      <c r="G6504" s="369">
        <f>VLOOKUP(C6504,METADATA!$J$5:$Q$29,IF(E6504="HI",2,IF(E6504="LO",6,10))+IF(D6504=1,2,IF(D6504=7,1,(IF(WEEKDAY(B6504)=1,2,IF(WEEKDAY(B6504)=7,1,0))))))</f>
        <v>3</v>
      </c>
      <c r="H6504" s="370">
        <v>13024.524658203125</v>
      </c>
      <c r="I6504" s="370">
        <v>3870.8600463867188</v>
      </c>
      <c r="M6504" s="371">
        <f t="shared" si="405"/>
        <v>13587.56049005318</v>
      </c>
      <c r="N6504" s="329">
        <f t="shared" si="406"/>
        <v>0</v>
      </c>
      <c r="T6504" s="331">
        <v>0</v>
      </c>
      <c r="U6504" s="328">
        <f>VLOOKUP(C6504,METADATA!$J$5:$Q$29,IF(E6504="HI",2,IF(E6504="LO",6,10))+IF(T6504=1,2,IF(D6504=7,1,(IF(WEEKDAY(B6504)=1,2,IF(WEEKDAY(B6504)=7,1,0))))))</f>
        <v>3</v>
      </c>
      <c r="V6504" s="328">
        <f>VLOOKUP(C6504,METADATA!$A$5:$H$29,IF(E6504="HI",2,IF(E6504="LO",6,10))+IF(T6504=1,2,IF(D6504=7,1,(IF(WEEKDAY(B6504)=1,2,IF(WEEKDAY(B6504)=7,1,0))))))</f>
        <v>3</v>
      </c>
    </row>
    <row r="6505" spans="2:22">
      <c r="B6505" s="318">
        <f t="shared" si="407"/>
        <v>46383</v>
      </c>
      <c r="C6505" s="312">
        <v>21</v>
      </c>
      <c r="D6505" s="368">
        <f>IFERROR((INDEX(METADATA!$T$2:$T$20,MATCH(B6505,METADATA!$S$2:$S$20,0))),0)</f>
        <v>0</v>
      </c>
      <c r="E6505" s="312" t="str">
        <f t="shared" si="404"/>
        <v>LO</v>
      </c>
      <c r="F6505" s="369">
        <f>VLOOKUP(C6505,METADATA!$A$5:$H$29,IF(E6505="HI",2,IF(E6505="LO",6,10))+IF(D6505=1,2,IF(D6505=7,1,(IF(WEEKDAY(B6505)=1,2,IF(WEEKDAY(B6505)=7,1,0))))))</f>
        <v>3</v>
      </c>
      <c r="G6505" s="369">
        <f>VLOOKUP(C6505,METADATA!$J$5:$Q$29,IF(E6505="HI",2,IF(E6505="LO",6,10))+IF(D6505=1,2,IF(D6505=7,1,(IF(WEEKDAY(B6505)=1,2,IF(WEEKDAY(B6505)=7,1,0))))))</f>
        <v>3</v>
      </c>
      <c r="H6505" s="370">
        <v>13109.700012207031</v>
      </c>
      <c r="I6505" s="370">
        <v>4002.2549133300781</v>
      </c>
      <c r="M6505" s="371">
        <f t="shared" si="405"/>
        <v>13707.015678160427</v>
      </c>
      <c r="N6505" s="329">
        <f t="shared" si="406"/>
        <v>69.34490966796875</v>
      </c>
      <c r="T6505" s="331">
        <v>0</v>
      </c>
      <c r="U6505" s="328">
        <f>VLOOKUP(C6505,METADATA!$J$5:$Q$29,IF(E6505="HI",2,IF(E6505="LO",6,10))+IF(T6505=1,2,IF(D6505=7,1,(IF(WEEKDAY(B6505)=1,2,IF(WEEKDAY(B6505)=7,1,0))))))</f>
        <v>3</v>
      </c>
      <c r="V6505" s="328">
        <f>VLOOKUP(C6505,METADATA!$A$5:$H$29,IF(E6505="HI",2,IF(E6505="LO",6,10))+IF(T6505=1,2,IF(D6505=7,1,(IF(WEEKDAY(B6505)=1,2,IF(WEEKDAY(B6505)=7,1,0))))))</f>
        <v>3</v>
      </c>
    </row>
    <row r="6506" spans="2:22">
      <c r="B6506" s="318">
        <f t="shared" si="407"/>
        <v>46383</v>
      </c>
      <c r="C6506" s="312">
        <v>22</v>
      </c>
      <c r="D6506" s="368">
        <f>IFERROR((INDEX(METADATA!$T$2:$T$20,MATCH(B6506,METADATA!$S$2:$S$20,0))),0)</f>
        <v>0</v>
      </c>
      <c r="E6506" s="312" t="str">
        <f t="shared" si="404"/>
        <v>LO</v>
      </c>
      <c r="F6506" s="369">
        <f>VLOOKUP(C6506,METADATA!$A$5:$H$29,IF(E6506="HI",2,IF(E6506="LO",6,10))+IF(D6506=1,2,IF(D6506=7,1,(IF(WEEKDAY(B6506)=1,2,IF(WEEKDAY(B6506)=7,1,0))))))</f>
        <v>3</v>
      </c>
      <c r="G6506" s="369">
        <f>VLOOKUP(C6506,METADATA!$J$5:$Q$29,IF(E6506="HI",2,IF(E6506="LO",6,10))+IF(D6506=1,2,IF(D6506=7,1,(IF(WEEKDAY(B6506)=1,2,IF(WEEKDAY(B6506)=7,1,0))))))</f>
        <v>3</v>
      </c>
      <c r="H6506" s="370">
        <v>13172.625183105469</v>
      </c>
      <c r="I6506" s="370">
        <v>4261.9801025390625</v>
      </c>
      <c r="M6506" s="371">
        <f t="shared" si="405"/>
        <v>13844.945959050301</v>
      </c>
      <c r="N6506" s="329">
        <f t="shared" si="406"/>
        <v>310.19254760742206</v>
      </c>
      <c r="T6506" s="331">
        <v>0</v>
      </c>
      <c r="U6506" s="328">
        <f>VLOOKUP(C6506,METADATA!$J$5:$Q$29,IF(E6506="HI",2,IF(E6506="LO",6,10))+IF(T6506=1,2,IF(D6506=7,1,(IF(WEEKDAY(B6506)=1,2,IF(WEEKDAY(B6506)=7,1,0))))))</f>
        <v>3</v>
      </c>
      <c r="V6506" s="328">
        <f>VLOOKUP(C6506,METADATA!$A$5:$H$29,IF(E6506="HI",2,IF(E6506="LO",6,10))+IF(T6506=1,2,IF(D6506=7,1,(IF(WEEKDAY(B6506)=1,2,IF(WEEKDAY(B6506)=7,1,0))))))</f>
        <v>3</v>
      </c>
    </row>
    <row r="6507" spans="2:22">
      <c r="B6507" s="318">
        <f t="shared" si="407"/>
        <v>46383</v>
      </c>
      <c r="C6507" s="312">
        <v>23</v>
      </c>
      <c r="D6507" s="368">
        <f>IFERROR((INDEX(METADATA!$T$2:$T$20,MATCH(B6507,METADATA!$S$2:$S$20,0))),0)</f>
        <v>0</v>
      </c>
      <c r="E6507" s="312" t="str">
        <f t="shared" si="404"/>
        <v>LO</v>
      </c>
      <c r="F6507" s="369">
        <f>VLOOKUP(C6507,METADATA!$A$5:$H$29,IF(E6507="HI",2,IF(E6507="LO",6,10))+IF(D6507=1,2,IF(D6507=7,1,(IF(WEEKDAY(B6507)=1,2,IF(WEEKDAY(B6507)=7,1,0))))))</f>
        <v>3</v>
      </c>
      <c r="G6507" s="369">
        <f>VLOOKUP(C6507,METADATA!$J$5:$Q$29,IF(E6507="HI",2,IF(E6507="LO",6,10))+IF(D6507=1,2,IF(D6507=7,1,(IF(WEEKDAY(B6507)=1,2,IF(WEEKDAY(B6507)=7,1,0))))))</f>
        <v>3</v>
      </c>
      <c r="H6507" s="370">
        <v>13204.350158691406</v>
      </c>
      <c r="I6507" s="370">
        <v>4363.0999450683594</v>
      </c>
      <c r="M6507" s="371">
        <f t="shared" si="405"/>
        <v>13906.527397017175</v>
      </c>
      <c r="N6507" s="329">
        <f t="shared" si="406"/>
        <v>401.79489746093759</v>
      </c>
      <c r="T6507" s="331">
        <v>0</v>
      </c>
      <c r="U6507" s="328">
        <f>VLOOKUP(C6507,METADATA!$J$5:$Q$29,IF(E6507="HI",2,IF(E6507="LO",6,10))+IF(T6507=1,2,IF(D6507=7,1,(IF(WEEKDAY(B6507)=1,2,IF(WEEKDAY(B6507)=7,1,0))))))</f>
        <v>3</v>
      </c>
      <c r="V6507" s="328">
        <f>VLOOKUP(C6507,METADATA!$A$5:$H$29,IF(E6507="HI",2,IF(E6507="LO",6,10))+IF(T6507=1,2,IF(D6507=7,1,(IF(WEEKDAY(B6507)=1,2,IF(WEEKDAY(B6507)=7,1,0))))))</f>
        <v>3</v>
      </c>
    </row>
    <row r="6508" spans="2:22">
      <c r="B6508" s="318">
        <f t="shared" si="407"/>
        <v>46384</v>
      </c>
      <c r="C6508" s="312">
        <v>0</v>
      </c>
      <c r="D6508" s="368">
        <f>IFERROR((INDEX(METADATA!$T$2:$T$20,MATCH(B6508,METADATA!$S$2:$S$20,0))),0)</f>
        <v>0</v>
      </c>
      <c r="E6508" s="312" t="str">
        <f t="shared" si="404"/>
        <v>LO</v>
      </c>
      <c r="F6508" s="369">
        <f>VLOOKUP(C6508,METADATA!$A$5:$H$29,IF(E6508="HI",2,IF(E6508="LO",6,10))+IF(D6508=1,2,IF(D6508=7,1,(IF(WEEKDAY(B6508)=1,2,IF(WEEKDAY(B6508)=7,1,0))))))</f>
        <v>3</v>
      </c>
      <c r="G6508" s="369">
        <f>VLOOKUP(C6508,METADATA!$J$5:$Q$29,IF(E6508="HI",2,IF(E6508="LO",6,10))+IF(D6508=1,2,IF(D6508=7,1,(IF(WEEKDAY(B6508)=1,2,IF(WEEKDAY(B6508)=7,1,0))))))</f>
        <v>3</v>
      </c>
      <c r="H6508" s="370">
        <v>13175.324768066406</v>
      </c>
      <c r="I6508" s="370">
        <v>4125.7550659179688</v>
      </c>
      <c r="M6508" s="371">
        <f t="shared" si="405"/>
        <v>13806.195623993304</v>
      </c>
      <c r="N6508" s="329">
        <f t="shared" si="406"/>
        <v>173.15763549804706</v>
      </c>
      <c r="T6508" s="331">
        <v>0</v>
      </c>
      <c r="U6508" s="328">
        <f>VLOOKUP(C6508,METADATA!$J$5:$Q$29,IF(E6508="HI",2,IF(E6508="LO",6,10))+IF(T6508=1,2,IF(D6508=7,1,(IF(WEEKDAY(B6508)=1,2,IF(WEEKDAY(B6508)=7,1,0))))))</f>
        <v>3</v>
      </c>
      <c r="V6508" s="328">
        <f>VLOOKUP(C6508,METADATA!$A$5:$H$29,IF(E6508="HI",2,IF(E6508="LO",6,10))+IF(T6508=1,2,IF(D6508=7,1,(IF(WEEKDAY(B6508)=1,2,IF(WEEKDAY(B6508)=7,1,0))))))</f>
        <v>3</v>
      </c>
    </row>
    <row r="6509" spans="2:22">
      <c r="B6509" s="318">
        <f t="shared" si="407"/>
        <v>46384</v>
      </c>
      <c r="C6509" s="312">
        <v>1</v>
      </c>
      <c r="D6509" s="368">
        <f>IFERROR((INDEX(METADATA!$T$2:$T$20,MATCH(B6509,METADATA!$S$2:$S$20,0))),0)</f>
        <v>0</v>
      </c>
      <c r="E6509" s="312" t="str">
        <f t="shared" si="404"/>
        <v>LO</v>
      </c>
      <c r="F6509" s="369">
        <f>VLOOKUP(C6509,METADATA!$A$5:$H$29,IF(E6509="HI",2,IF(E6509="LO",6,10))+IF(D6509=1,2,IF(D6509=7,1,(IF(WEEKDAY(B6509)=1,2,IF(WEEKDAY(B6509)=7,1,0))))))</f>
        <v>3</v>
      </c>
      <c r="G6509" s="369">
        <f>VLOOKUP(C6509,METADATA!$J$5:$Q$29,IF(E6509="HI",2,IF(E6509="LO",6,10))+IF(D6509=1,2,IF(D6509=7,1,(IF(WEEKDAY(B6509)=1,2,IF(WEEKDAY(B6509)=7,1,0))))))</f>
        <v>3</v>
      </c>
      <c r="H6509" s="370">
        <v>13372.330200195313</v>
      </c>
      <c r="I6509" s="370">
        <v>4293.9450073242188</v>
      </c>
      <c r="M6509" s="371">
        <f t="shared" si="405"/>
        <v>14044.827471670136</v>
      </c>
      <c r="N6509" s="329">
        <f t="shared" si="406"/>
        <v>282.24594726562509</v>
      </c>
      <c r="T6509" s="331">
        <v>0</v>
      </c>
      <c r="U6509" s="328">
        <f>VLOOKUP(C6509,METADATA!$J$5:$Q$29,IF(E6509="HI",2,IF(E6509="LO",6,10))+IF(T6509=1,2,IF(D6509=7,1,(IF(WEEKDAY(B6509)=1,2,IF(WEEKDAY(B6509)=7,1,0))))))</f>
        <v>3</v>
      </c>
      <c r="V6509" s="328">
        <f>VLOOKUP(C6509,METADATA!$A$5:$H$29,IF(E6509="HI",2,IF(E6509="LO",6,10))+IF(T6509=1,2,IF(D6509=7,1,(IF(WEEKDAY(B6509)=1,2,IF(WEEKDAY(B6509)=7,1,0))))))</f>
        <v>3</v>
      </c>
    </row>
    <row r="6510" spans="2:22">
      <c r="B6510" s="318">
        <f t="shared" si="407"/>
        <v>46384</v>
      </c>
      <c r="C6510" s="312">
        <v>2</v>
      </c>
      <c r="D6510" s="368">
        <f>IFERROR((INDEX(METADATA!$T$2:$T$20,MATCH(B6510,METADATA!$S$2:$S$20,0))),0)</f>
        <v>0</v>
      </c>
      <c r="E6510" s="312" t="str">
        <f t="shared" si="404"/>
        <v>LO</v>
      </c>
      <c r="F6510" s="369">
        <f>VLOOKUP(C6510,METADATA!$A$5:$H$29,IF(E6510="HI",2,IF(E6510="LO",6,10))+IF(D6510=1,2,IF(D6510=7,1,(IF(WEEKDAY(B6510)=1,2,IF(WEEKDAY(B6510)=7,1,0))))))</f>
        <v>3</v>
      </c>
      <c r="G6510" s="369">
        <f>VLOOKUP(C6510,METADATA!$J$5:$Q$29,IF(E6510="HI",2,IF(E6510="LO",6,10))+IF(D6510=1,2,IF(D6510=7,1,(IF(WEEKDAY(B6510)=1,2,IF(WEEKDAY(B6510)=7,1,0))))))</f>
        <v>3</v>
      </c>
      <c r="H6510" s="370">
        <v>13197.224792480469</v>
      </c>
      <c r="I6510" s="370">
        <v>4343.4649963378906</v>
      </c>
      <c r="M6510" s="371">
        <f t="shared" si="405"/>
        <v>13893.611135974465</v>
      </c>
      <c r="N6510" s="329">
        <f t="shared" si="406"/>
        <v>384.29755859375018</v>
      </c>
      <c r="T6510" s="331">
        <v>0</v>
      </c>
      <c r="U6510" s="328">
        <f>VLOOKUP(C6510,METADATA!$J$5:$Q$29,IF(E6510="HI",2,IF(E6510="LO",6,10))+IF(T6510=1,2,IF(D6510=7,1,(IF(WEEKDAY(B6510)=1,2,IF(WEEKDAY(B6510)=7,1,0))))))</f>
        <v>3</v>
      </c>
      <c r="V6510" s="328">
        <f>VLOOKUP(C6510,METADATA!$A$5:$H$29,IF(E6510="HI",2,IF(E6510="LO",6,10))+IF(T6510=1,2,IF(D6510=7,1,(IF(WEEKDAY(B6510)=1,2,IF(WEEKDAY(B6510)=7,1,0))))))</f>
        <v>3</v>
      </c>
    </row>
    <row r="6511" spans="2:22">
      <c r="B6511" s="318">
        <f t="shared" si="407"/>
        <v>46384</v>
      </c>
      <c r="C6511" s="312">
        <v>3</v>
      </c>
      <c r="D6511" s="368">
        <f>IFERROR((INDEX(METADATA!$T$2:$T$20,MATCH(B6511,METADATA!$S$2:$S$20,0))),0)</f>
        <v>0</v>
      </c>
      <c r="E6511" s="312" t="str">
        <f t="shared" si="404"/>
        <v>LO</v>
      </c>
      <c r="F6511" s="369">
        <f>VLOOKUP(C6511,METADATA!$A$5:$H$29,IF(E6511="HI",2,IF(E6511="LO",6,10))+IF(D6511=1,2,IF(D6511=7,1,(IF(WEEKDAY(B6511)=1,2,IF(WEEKDAY(B6511)=7,1,0))))))</f>
        <v>3</v>
      </c>
      <c r="G6511" s="369">
        <f>VLOOKUP(C6511,METADATA!$J$5:$Q$29,IF(E6511="HI",2,IF(E6511="LO",6,10))+IF(D6511=1,2,IF(D6511=7,1,(IF(WEEKDAY(B6511)=1,2,IF(WEEKDAY(B6511)=7,1,0))))))</f>
        <v>3</v>
      </c>
      <c r="H6511" s="370">
        <v>13298.675048828125</v>
      </c>
      <c r="I6511" s="370">
        <v>4147.1150512695313</v>
      </c>
      <c r="M6511" s="371">
        <f t="shared" si="405"/>
        <v>13930.302268895317</v>
      </c>
      <c r="N6511" s="329">
        <f t="shared" si="406"/>
        <v>157.51253662109411</v>
      </c>
      <c r="T6511" s="331">
        <v>0</v>
      </c>
      <c r="U6511" s="328">
        <f>VLOOKUP(C6511,METADATA!$J$5:$Q$29,IF(E6511="HI",2,IF(E6511="LO",6,10))+IF(T6511=1,2,IF(D6511=7,1,(IF(WEEKDAY(B6511)=1,2,IF(WEEKDAY(B6511)=7,1,0))))))</f>
        <v>3</v>
      </c>
      <c r="V6511" s="328">
        <f>VLOOKUP(C6511,METADATA!$A$5:$H$29,IF(E6511="HI",2,IF(E6511="LO",6,10))+IF(T6511=1,2,IF(D6511=7,1,(IF(WEEKDAY(B6511)=1,2,IF(WEEKDAY(B6511)=7,1,0))))))</f>
        <v>3</v>
      </c>
    </row>
    <row r="6512" spans="2:22">
      <c r="B6512" s="318">
        <f t="shared" si="407"/>
        <v>46384</v>
      </c>
      <c r="C6512" s="312">
        <v>4</v>
      </c>
      <c r="D6512" s="368">
        <f>IFERROR((INDEX(METADATA!$T$2:$T$20,MATCH(B6512,METADATA!$S$2:$S$20,0))),0)</f>
        <v>0</v>
      </c>
      <c r="E6512" s="312" t="str">
        <f t="shared" si="404"/>
        <v>LO</v>
      </c>
      <c r="F6512" s="369">
        <f>VLOOKUP(C6512,METADATA!$A$5:$H$29,IF(E6512="HI",2,IF(E6512="LO",6,10))+IF(D6512=1,2,IF(D6512=7,1,(IF(WEEKDAY(B6512)=1,2,IF(WEEKDAY(B6512)=7,1,0))))))</f>
        <v>3</v>
      </c>
      <c r="G6512" s="369">
        <f>VLOOKUP(C6512,METADATA!$J$5:$Q$29,IF(E6512="HI",2,IF(E6512="LO",6,10))+IF(D6512=1,2,IF(D6512=7,1,(IF(WEEKDAY(B6512)=1,2,IF(WEEKDAY(B6512)=7,1,0))))))</f>
        <v>3</v>
      </c>
      <c r="H6512" s="370">
        <v>13082.825256347656</v>
      </c>
      <c r="I6512" s="370">
        <v>3907.8600463867188</v>
      </c>
      <c r="M6512" s="371">
        <f t="shared" si="405"/>
        <v>13653.998931824834</v>
      </c>
      <c r="N6512" s="329">
        <f t="shared" si="406"/>
        <v>0</v>
      </c>
      <c r="T6512" s="331">
        <v>0</v>
      </c>
      <c r="U6512" s="328">
        <f>VLOOKUP(C6512,METADATA!$J$5:$Q$29,IF(E6512="HI",2,IF(E6512="LO",6,10))+IF(T6512=1,2,IF(D6512=7,1,(IF(WEEKDAY(B6512)=1,2,IF(WEEKDAY(B6512)=7,1,0))))))</f>
        <v>3</v>
      </c>
      <c r="V6512" s="328">
        <f>VLOOKUP(C6512,METADATA!$A$5:$H$29,IF(E6512="HI",2,IF(E6512="LO",6,10))+IF(T6512=1,2,IF(D6512=7,1,(IF(WEEKDAY(B6512)=1,2,IF(WEEKDAY(B6512)=7,1,0))))))</f>
        <v>3</v>
      </c>
    </row>
    <row r="6513" spans="2:22">
      <c r="B6513" s="318">
        <f t="shared" si="407"/>
        <v>46384</v>
      </c>
      <c r="C6513" s="312">
        <v>5</v>
      </c>
      <c r="D6513" s="368">
        <f>IFERROR((INDEX(METADATA!$T$2:$T$20,MATCH(B6513,METADATA!$S$2:$S$20,0))),0)</f>
        <v>0</v>
      </c>
      <c r="E6513" s="312" t="str">
        <f t="shared" si="404"/>
        <v>LO</v>
      </c>
      <c r="F6513" s="369">
        <f>VLOOKUP(C6513,METADATA!$A$5:$H$29,IF(E6513="HI",2,IF(E6513="LO",6,10))+IF(D6513=1,2,IF(D6513=7,1,(IF(WEEKDAY(B6513)=1,2,IF(WEEKDAY(B6513)=7,1,0))))))</f>
        <v>3</v>
      </c>
      <c r="G6513" s="369">
        <f>VLOOKUP(C6513,METADATA!$J$5:$Q$29,IF(E6513="HI",2,IF(E6513="LO",6,10))+IF(D6513=1,2,IF(D6513=7,1,(IF(WEEKDAY(B6513)=1,2,IF(WEEKDAY(B6513)=7,1,0))))))</f>
        <v>3</v>
      </c>
      <c r="H6513" s="370">
        <v>13124.200134277344</v>
      </c>
      <c r="I6513" s="370">
        <v>3820.5950012207031</v>
      </c>
      <c r="M6513" s="371">
        <f t="shared" si="405"/>
        <v>13669.000524102634</v>
      </c>
      <c r="N6513" s="329">
        <f t="shared" si="406"/>
        <v>0</v>
      </c>
      <c r="T6513" s="331">
        <v>0</v>
      </c>
      <c r="U6513" s="328">
        <f>VLOOKUP(C6513,METADATA!$J$5:$Q$29,IF(E6513="HI",2,IF(E6513="LO",6,10))+IF(T6513=1,2,IF(D6513=7,1,(IF(WEEKDAY(B6513)=1,2,IF(WEEKDAY(B6513)=7,1,0))))))</f>
        <v>3</v>
      </c>
      <c r="V6513" s="328">
        <f>VLOOKUP(C6513,METADATA!$A$5:$H$29,IF(E6513="HI",2,IF(E6513="LO",6,10))+IF(T6513=1,2,IF(D6513=7,1,(IF(WEEKDAY(B6513)=1,2,IF(WEEKDAY(B6513)=7,1,0))))))</f>
        <v>3</v>
      </c>
    </row>
    <row r="6514" spans="2:22">
      <c r="B6514" s="318">
        <f t="shared" si="407"/>
        <v>46384</v>
      </c>
      <c r="C6514" s="312">
        <v>6</v>
      </c>
      <c r="D6514" s="368">
        <f>IFERROR((INDEX(METADATA!$T$2:$T$20,MATCH(B6514,METADATA!$S$2:$S$20,0))),0)</f>
        <v>0</v>
      </c>
      <c r="E6514" s="312" t="str">
        <f t="shared" si="404"/>
        <v>LO</v>
      </c>
      <c r="F6514" s="369">
        <f>VLOOKUP(C6514,METADATA!$A$5:$H$29,IF(E6514="HI",2,IF(E6514="LO",6,10))+IF(D6514=1,2,IF(D6514=7,1,(IF(WEEKDAY(B6514)=1,2,IF(WEEKDAY(B6514)=7,1,0))))))</f>
        <v>2</v>
      </c>
      <c r="G6514" s="369">
        <f>VLOOKUP(C6514,METADATA!$J$5:$Q$29,IF(E6514="HI",2,IF(E6514="LO",6,10))+IF(D6514=1,2,IF(D6514=7,1,(IF(WEEKDAY(B6514)=1,2,IF(WEEKDAY(B6514)=7,1,0))))))</f>
        <v>2</v>
      </c>
      <c r="H6514" s="370">
        <v>13094.500122070313</v>
      </c>
      <c r="I6514" s="370">
        <v>3856.669921875</v>
      </c>
      <c r="M6514" s="371">
        <f t="shared" si="405"/>
        <v>13650.635015749074</v>
      </c>
      <c r="N6514" s="329">
        <f t="shared" si="406"/>
        <v>0</v>
      </c>
      <c r="T6514" s="331">
        <v>0</v>
      </c>
      <c r="U6514" s="328">
        <f>VLOOKUP(C6514,METADATA!$J$5:$Q$29,IF(E6514="HI",2,IF(E6514="LO",6,10))+IF(T6514=1,2,IF(D6514=7,1,(IF(WEEKDAY(B6514)=1,2,IF(WEEKDAY(B6514)=7,1,0))))))</f>
        <v>2</v>
      </c>
      <c r="V6514" s="328">
        <f>VLOOKUP(C6514,METADATA!$A$5:$H$29,IF(E6514="HI",2,IF(E6514="LO",6,10))+IF(T6514=1,2,IF(D6514=7,1,(IF(WEEKDAY(B6514)=1,2,IF(WEEKDAY(B6514)=7,1,0))))))</f>
        <v>2</v>
      </c>
    </row>
    <row r="6515" spans="2:22">
      <c r="B6515" s="318">
        <f t="shared" si="407"/>
        <v>46384</v>
      </c>
      <c r="C6515" s="312">
        <v>7</v>
      </c>
      <c r="D6515" s="368">
        <f>IFERROR((INDEX(METADATA!$T$2:$T$20,MATCH(B6515,METADATA!$S$2:$S$20,0))),0)</f>
        <v>0</v>
      </c>
      <c r="E6515" s="312" t="str">
        <f t="shared" si="404"/>
        <v>LO</v>
      </c>
      <c r="F6515" s="369">
        <f>VLOOKUP(C6515,METADATA!$A$5:$H$29,IF(E6515="HI",2,IF(E6515="LO",6,10))+IF(D6515=1,2,IF(D6515=7,1,(IF(WEEKDAY(B6515)=1,2,IF(WEEKDAY(B6515)=7,1,0))))))</f>
        <v>1</v>
      </c>
      <c r="G6515" s="369">
        <f>VLOOKUP(C6515,METADATA!$J$5:$Q$29,IF(E6515="HI",2,IF(E6515="LO",6,10))+IF(D6515=1,2,IF(D6515=7,1,(IF(WEEKDAY(B6515)=1,2,IF(WEEKDAY(B6515)=7,1,0))))))</f>
        <v>1</v>
      </c>
      <c r="H6515" s="370">
        <v>13244.550170898438</v>
      </c>
      <c r="I6515" s="370">
        <v>3864.7500152587891</v>
      </c>
      <c r="M6515" s="371">
        <f t="shared" si="405"/>
        <v>13796.898271346667</v>
      </c>
      <c r="N6515" s="329">
        <f t="shared" si="406"/>
        <v>0</v>
      </c>
      <c r="T6515" s="331">
        <v>0</v>
      </c>
      <c r="U6515" s="328">
        <f>VLOOKUP(C6515,METADATA!$J$5:$Q$29,IF(E6515="HI",2,IF(E6515="LO",6,10))+IF(T6515=1,2,IF(D6515=7,1,(IF(WEEKDAY(B6515)=1,2,IF(WEEKDAY(B6515)=7,1,0))))))</f>
        <v>1</v>
      </c>
      <c r="V6515" s="328">
        <f>VLOOKUP(C6515,METADATA!$A$5:$H$29,IF(E6515="HI",2,IF(E6515="LO",6,10))+IF(T6515=1,2,IF(D6515=7,1,(IF(WEEKDAY(B6515)=1,2,IF(WEEKDAY(B6515)=7,1,0))))))</f>
        <v>1</v>
      </c>
    </row>
    <row r="6516" spans="2:22">
      <c r="B6516" s="318">
        <f t="shared" si="407"/>
        <v>46384</v>
      </c>
      <c r="C6516" s="312">
        <v>8</v>
      </c>
      <c r="D6516" s="368">
        <f>IFERROR((INDEX(METADATA!$T$2:$T$20,MATCH(B6516,METADATA!$S$2:$S$20,0))),0)</f>
        <v>0</v>
      </c>
      <c r="E6516" s="312" t="str">
        <f t="shared" si="404"/>
        <v>LO</v>
      </c>
      <c r="F6516" s="369">
        <f>VLOOKUP(C6516,METADATA!$A$5:$H$29,IF(E6516="HI",2,IF(E6516="LO",6,10))+IF(D6516=1,2,IF(D6516=7,1,(IF(WEEKDAY(B6516)=1,2,IF(WEEKDAY(B6516)=7,1,0))))))</f>
        <v>1</v>
      </c>
      <c r="G6516" s="369">
        <f>VLOOKUP(C6516,METADATA!$J$5:$Q$29,IF(E6516="HI",2,IF(E6516="LO",6,10))+IF(D6516=1,2,IF(D6516=7,1,(IF(WEEKDAY(B6516)=1,2,IF(WEEKDAY(B6516)=7,1,0))))))</f>
        <v>1</v>
      </c>
      <c r="H6516" s="370">
        <v>13458.974670410156</v>
      </c>
      <c r="I6516" s="370">
        <v>4091.5950012207031</v>
      </c>
      <c r="M6516" s="371">
        <f t="shared" si="405"/>
        <v>14067.165628965788</v>
      </c>
      <c r="N6516" s="329">
        <f t="shared" si="406"/>
        <v>53.902600097656432</v>
      </c>
      <c r="T6516" s="331">
        <v>0</v>
      </c>
      <c r="U6516" s="328">
        <f>VLOOKUP(C6516,METADATA!$J$5:$Q$29,IF(E6516="HI",2,IF(E6516="LO",6,10))+IF(T6516=1,2,IF(D6516=7,1,(IF(WEEKDAY(B6516)=1,2,IF(WEEKDAY(B6516)=7,1,0))))))</f>
        <v>1</v>
      </c>
      <c r="V6516" s="328">
        <f>VLOOKUP(C6516,METADATA!$A$5:$H$29,IF(E6516="HI",2,IF(E6516="LO",6,10))+IF(T6516=1,2,IF(D6516=7,1,(IF(WEEKDAY(B6516)=1,2,IF(WEEKDAY(B6516)=7,1,0))))))</f>
        <v>1</v>
      </c>
    </row>
    <row r="6517" spans="2:22">
      <c r="B6517" s="318">
        <f t="shared" si="407"/>
        <v>46384</v>
      </c>
      <c r="C6517" s="312">
        <v>9</v>
      </c>
      <c r="D6517" s="368">
        <f>IFERROR((INDEX(METADATA!$T$2:$T$20,MATCH(B6517,METADATA!$S$2:$S$20,0))),0)</f>
        <v>0</v>
      </c>
      <c r="E6517" s="312" t="str">
        <f t="shared" si="404"/>
        <v>LO</v>
      </c>
      <c r="F6517" s="369">
        <f>VLOOKUP(C6517,METADATA!$A$5:$H$29,IF(E6517="HI",2,IF(E6517="LO",6,10))+IF(D6517=1,2,IF(D6517=7,1,(IF(WEEKDAY(B6517)=1,2,IF(WEEKDAY(B6517)=7,1,0))))))</f>
        <v>2</v>
      </c>
      <c r="G6517" s="369">
        <f>VLOOKUP(C6517,METADATA!$J$5:$Q$29,IF(E6517="HI",2,IF(E6517="LO",6,10))+IF(D6517=1,2,IF(D6517=7,1,(IF(WEEKDAY(B6517)=1,2,IF(WEEKDAY(B6517)=7,1,0))))))</f>
        <v>2</v>
      </c>
      <c r="H6517" s="370">
        <v>12862</v>
      </c>
      <c r="I6517" s="370">
        <v>3988.2449645996094</v>
      </c>
      <c r="M6517" s="371">
        <f t="shared" si="405"/>
        <v>13466.147997762915</v>
      </c>
      <c r="N6517" s="329">
        <f t="shared" si="406"/>
        <v>129.64496459960947</v>
      </c>
      <c r="T6517" s="331">
        <v>0</v>
      </c>
      <c r="U6517" s="328">
        <f>VLOOKUP(C6517,METADATA!$J$5:$Q$29,IF(E6517="HI",2,IF(E6517="LO",6,10))+IF(T6517=1,2,IF(D6517=7,1,(IF(WEEKDAY(B6517)=1,2,IF(WEEKDAY(B6517)=7,1,0))))))</f>
        <v>2</v>
      </c>
      <c r="V6517" s="328">
        <f>VLOOKUP(C6517,METADATA!$A$5:$H$29,IF(E6517="HI",2,IF(E6517="LO",6,10))+IF(T6517=1,2,IF(D6517=7,1,(IF(WEEKDAY(B6517)=1,2,IF(WEEKDAY(B6517)=7,1,0))))))</f>
        <v>2</v>
      </c>
    </row>
    <row r="6518" spans="2:22">
      <c r="B6518" s="318">
        <f t="shared" si="407"/>
        <v>46384</v>
      </c>
      <c r="C6518" s="312">
        <v>10</v>
      </c>
      <c r="D6518" s="368">
        <f>IFERROR((INDEX(METADATA!$T$2:$T$20,MATCH(B6518,METADATA!$S$2:$S$20,0))),0)</f>
        <v>0</v>
      </c>
      <c r="E6518" s="312" t="str">
        <f t="shared" si="404"/>
        <v>LO</v>
      </c>
      <c r="F6518" s="369">
        <f>VLOOKUP(C6518,METADATA!$A$5:$H$29,IF(E6518="HI",2,IF(E6518="LO",6,10))+IF(D6518=1,2,IF(D6518=7,1,(IF(WEEKDAY(B6518)=1,2,IF(WEEKDAY(B6518)=7,1,0))))))</f>
        <v>2</v>
      </c>
      <c r="G6518" s="369">
        <f>VLOOKUP(C6518,METADATA!$J$5:$Q$29,IF(E6518="HI",2,IF(E6518="LO",6,10))+IF(D6518=1,2,IF(D6518=7,1,(IF(WEEKDAY(B6518)=1,2,IF(WEEKDAY(B6518)=7,1,0))))))</f>
        <v>2</v>
      </c>
      <c r="H6518" s="370">
        <v>11471.525024414063</v>
      </c>
      <c r="I6518" s="370">
        <v>3207.6600036621094</v>
      </c>
      <c r="M6518" s="371">
        <f t="shared" si="405"/>
        <v>11911.547719958631</v>
      </c>
      <c r="N6518" s="329">
        <f t="shared" si="406"/>
        <v>0</v>
      </c>
      <c r="T6518" s="331">
        <v>0</v>
      </c>
      <c r="U6518" s="328">
        <f>VLOOKUP(C6518,METADATA!$J$5:$Q$29,IF(E6518="HI",2,IF(E6518="LO",6,10))+IF(T6518=1,2,IF(D6518=7,1,(IF(WEEKDAY(B6518)=1,2,IF(WEEKDAY(B6518)=7,1,0))))))</f>
        <v>2</v>
      </c>
      <c r="V6518" s="328">
        <f>VLOOKUP(C6518,METADATA!$A$5:$H$29,IF(E6518="HI",2,IF(E6518="LO",6,10))+IF(T6518=1,2,IF(D6518=7,1,(IF(WEEKDAY(B6518)=1,2,IF(WEEKDAY(B6518)=7,1,0))))))</f>
        <v>2</v>
      </c>
    </row>
    <row r="6519" spans="2:22">
      <c r="B6519" s="318">
        <f t="shared" si="407"/>
        <v>46384</v>
      </c>
      <c r="C6519" s="312">
        <v>11</v>
      </c>
      <c r="D6519" s="368">
        <f>IFERROR((INDEX(METADATA!$T$2:$T$20,MATCH(B6519,METADATA!$S$2:$S$20,0))),0)</f>
        <v>0</v>
      </c>
      <c r="E6519" s="312" t="str">
        <f t="shared" si="404"/>
        <v>LO</v>
      </c>
      <c r="F6519" s="369">
        <f>VLOOKUP(C6519,METADATA!$A$5:$H$29,IF(E6519="HI",2,IF(E6519="LO",6,10))+IF(D6519=1,2,IF(D6519=7,1,(IF(WEEKDAY(B6519)=1,2,IF(WEEKDAY(B6519)=7,1,0))))))</f>
        <v>2</v>
      </c>
      <c r="G6519" s="369">
        <f>VLOOKUP(C6519,METADATA!$J$5:$Q$29,IF(E6519="HI",2,IF(E6519="LO",6,10))+IF(D6519=1,2,IF(D6519=7,1,(IF(WEEKDAY(B6519)=1,2,IF(WEEKDAY(B6519)=7,1,0))))))</f>
        <v>2</v>
      </c>
      <c r="H6519" s="370">
        <v>11517.100158691406</v>
      </c>
      <c r="I6519" s="370">
        <v>3206.7825317382813</v>
      </c>
      <c r="M6519" s="371">
        <f t="shared" si="405"/>
        <v>11955.210172606394</v>
      </c>
      <c r="N6519" s="329">
        <f t="shared" si="406"/>
        <v>0</v>
      </c>
      <c r="T6519" s="331">
        <v>0</v>
      </c>
      <c r="U6519" s="328">
        <f>VLOOKUP(C6519,METADATA!$J$5:$Q$29,IF(E6519="HI",2,IF(E6519="LO",6,10))+IF(T6519=1,2,IF(D6519=7,1,(IF(WEEKDAY(B6519)=1,2,IF(WEEKDAY(B6519)=7,1,0))))))</f>
        <v>2</v>
      </c>
      <c r="V6519" s="328">
        <f>VLOOKUP(C6519,METADATA!$A$5:$H$29,IF(E6519="HI",2,IF(E6519="LO",6,10))+IF(T6519=1,2,IF(D6519=7,1,(IF(WEEKDAY(B6519)=1,2,IF(WEEKDAY(B6519)=7,1,0))))))</f>
        <v>2</v>
      </c>
    </row>
    <row r="6520" spans="2:22">
      <c r="B6520" s="318">
        <f t="shared" si="407"/>
        <v>46384</v>
      </c>
      <c r="C6520" s="312">
        <v>12</v>
      </c>
      <c r="D6520" s="368">
        <f>IFERROR((INDEX(METADATA!$T$2:$T$20,MATCH(B6520,METADATA!$S$2:$S$20,0))),0)</f>
        <v>0</v>
      </c>
      <c r="E6520" s="312" t="str">
        <f t="shared" si="404"/>
        <v>LO</v>
      </c>
      <c r="F6520" s="369">
        <f>VLOOKUP(C6520,METADATA!$A$5:$H$29,IF(E6520="HI",2,IF(E6520="LO",6,10))+IF(D6520=1,2,IF(D6520=7,1,(IF(WEEKDAY(B6520)=1,2,IF(WEEKDAY(B6520)=7,1,0))))))</f>
        <v>2</v>
      </c>
      <c r="G6520" s="369">
        <f>VLOOKUP(C6520,METADATA!$J$5:$Q$29,IF(E6520="HI",2,IF(E6520="LO",6,10))+IF(D6520=1,2,IF(D6520=7,1,(IF(WEEKDAY(B6520)=1,2,IF(WEEKDAY(B6520)=7,1,0))))))</f>
        <v>2</v>
      </c>
      <c r="H6520" s="370">
        <v>11201.600219726563</v>
      </c>
      <c r="I6520" s="370">
        <v>3468.0500030517578</v>
      </c>
      <c r="M6520" s="371">
        <f t="shared" si="405"/>
        <v>11726.17662779499</v>
      </c>
      <c r="N6520" s="329">
        <f t="shared" si="406"/>
        <v>107.56993713378915</v>
      </c>
      <c r="T6520" s="331">
        <v>0</v>
      </c>
      <c r="U6520" s="328">
        <f>VLOOKUP(C6520,METADATA!$J$5:$Q$29,IF(E6520="HI",2,IF(E6520="LO",6,10))+IF(T6520=1,2,IF(D6520=7,1,(IF(WEEKDAY(B6520)=1,2,IF(WEEKDAY(B6520)=7,1,0))))))</f>
        <v>2</v>
      </c>
      <c r="V6520" s="328">
        <f>VLOOKUP(C6520,METADATA!$A$5:$H$29,IF(E6520="HI",2,IF(E6520="LO",6,10))+IF(T6520=1,2,IF(D6520=7,1,(IF(WEEKDAY(B6520)=1,2,IF(WEEKDAY(B6520)=7,1,0))))))</f>
        <v>2</v>
      </c>
    </row>
    <row r="6521" spans="2:22">
      <c r="B6521" s="318">
        <f t="shared" si="407"/>
        <v>46384</v>
      </c>
      <c r="C6521" s="312">
        <v>13</v>
      </c>
      <c r="D6521" s="368">
        <f>IFERROR((INDEX(METADATA!$T$2:$T$20,MATCH(B6521,METADATA!$S$2:$S$20,0))),0)</f>
        <v>0</v>
      </c>
      <c r="E6521" s="312" t="str">
        <f t="shared" si="404"/>
        <v>LO</v>
      </c>
      <c r="F6521" s="369">
        <f>VLOOKUP(C6521,METADATA!$A$5:$H$29,IF(E6521="HI",2,IF(E6521="LO",6,10))+IF(D6521=1,2,IF(D6521=7,1,(IF(WEEKDAY(B6521)=1,2,IF(WEEKDAY(B6521)=7,1,0))))))</f>
        <v>2</v>
      </c>
      <c r="G6521" s="369">
        <f>VLOOKUP(C6521,METADATA!$J$5:$Q$29,IF(E6521="HI",2,IF(E6521="LO",6,10))+IF(D6521=1,2,IF(D6521=7,1,(IF(WEEKDAY(B6521)=1,2,IF(WEEKDAY(B6521)=7,1,0))))))</f>
        <v>2</v>
      </c>
      <c r="H6521" s="370">
        <v>10156.650024414063</v>
      </c>
      <c r="I6521" s="370">
        <v>3217.6500244140625</v>
      </c>
      <c r="M6521" s="371">
        <f t="shared" si="405"/>
        <v>10654.145268300128</v>
      </c>
      <c r="N6521" s="329">
        <f t="shared" si="406"/>
        <v>170.65501708984402</v>
      </c>
      <c r="T6521" s="331">
        <v>0</v>
      </c>
      <c r="U6521" s="328">
        <f>VLOOKUP(C6521,METADATA!$J$5:$Q$29,IF(E6521="HI",2,IF(E6521="LO",6,10))+IF(T6521=1,2,IF(D6521=7,1,(IF(WEEKDAY(B6521)=1,2,IF(WEEKDAY(B6521)=7,1,0))))))</f>
        <v>2</v>
      </c>
      <c r="V6521" s="328">
        <f>VLOOKUP(C6521,METADATA!$A$5:$H$29,IF(E6521="HI",2,IF(E6521="LO",6,10))+IF(T6521=1,2,IF(D6521=7,1,(IF(WEEKDAY(B6521)=1,2,IF(WEEKDAY(B6521)=7,1,0))))))</f>
        <v>2</v>
      </c>
    </row>
    <row r="6522" spans="2:22">
      <c r="B6522" s="318">
        <f t="shared" si="407"/>
        <v>46384</v>
      </c>
      <c r="C6522" s="312">
        <v>14</v>
      </c>
      <c r="D6522" s="368">
        <f>IFERROR((INDEX(METADATA!$T$2:$T$20,MATCH(B6522,METADATA!$S$2:$S$20,0))),0)</f>
        <v>0</v>
      </c>
      <c r="E6522" s="312" t="str">
        <f t="shared" si="404"/>
        <v>LO</v>
      </c>
      <c r="F6522" s="369">
        <f>VLOOKUP(C6522,METADATA!$A$5:$H$29,IF(E6522="HI",2,IF(E6522="LO",6,10))+IF(D6522=1,2,IF(D6522=7,1,(IF(WEEKDAY(B6522)=1,2,IF(WEEKDAY(B6522)=7,1,0))))))</f>
        <v>2</v>
      </c>
      <c r="G6522" s="369">
        <f>VLOOKUP(C6522,METADATA!$J$5:$Q$29,IF(E6522="HI",2,IF(E6522="LO",6,10))+IF(D6522=1,2,IF(D6522=7,1,(IF(WEEKDAY(B6522)=1,2,IF(WEEKDAY(B6522)=7,1,0))))))</f>
        <v>2</v>
      </c>
      <c r="H6522" s="370">
        <v>13413.050048828125</v>
      </c>
      <c r="I6522" s="370">
        <v>4329.1551818847656</v>
      </c>
      <c r="M6522" s="371">
        <f t="shared" si="405"/>
        <v>14094.378177174325</v>
      </c>
      <c r="N6522" s="329">
        <f t="shared" si="406"/>
        <v>305.24016723632849</v>
      </c>
      <c r="T6522" s="331">
        <v>0</v>
      </c>
      <c r="U6522" s="328">
        <f>VLOOKUP(C6522,METADATA!$J$5:$Q$29,IF(E6522="HI",2,IF(E6522="LO",6,10))+IF(T6522=1,2,IF(D6522=7,1,(IF(WEEKDAY(B6522)=1,2,IF(WEEKDAY(B6522)=7,1,0))))))</f>
        <v>2</v>
      </c>
      <c r="V6522" s="328">
        <f>VLOOKUP(C6522,METADATA!$A$5:$H$29,IF(E6522="HI",2,IF(E6522="LO",6,10))+IF(T6522=1,2,IF(D6522=7,1,(IF(WEEKDAY(B6522)=1,2,IF(WEEKDAY(B6522)=7,1,0))))))</f>
        <v>2</v>
      </c>
    </row>
    <row r="6523" spans="2:22">
      <c r="B6523" s="318">
        <f t="shared" si="407"/>
        <v>46384</v>
      </c>
      <c r="C6523" s="312">
        <v>15</v>
      </c>
      <c r="D6523" s="368">
        <f>IFERROR((INDEX(METADATA!$T$2:$T$20,MATCH(B6523,METADATA!$S$2:$S$20,0))),0)</f>
        <v>0</v>
      </c>
      <c r="E6523" s="312" t="str">
        <f t="shared" si="404"/>
        <v>LO</v>
      </c>
      <c r="F6523" s="369">
        <f>VLOOKUP(C6523,METADATA!$A$5:$H$29,IF(E6523="HI",2,IF(E6523="LO",6,10))+IF(D6523=1,2,IF(D6523=7,1,(IF(WEEKDAY(B6523)=1,2,IF(WEEKDAY(B6523)=7,1,0))))))</f>
        <v>2</v>
      </c>
      <c r="G6523" s="369">
        <f>VLOOKUP(C6523,METADATA!$J$5:$Q$29,IF(E6523="HI",2,IF(E6523="LO",6,10))+IF(D6523=1,2,IF(D6523=7,1,(IF(WEEKDAY(B6523)=1,2,IF(WEEKDAY(B6523)=7,1,0))))))</f>
        <v>2</v>
      </c>
      <c r="H6523" s="370">
        <v>13387.874877929688</v>
      </c>
      <c r="I6523" s="370">
        <v>4289.9549560546875</v>
      </c>
      <c r="M6523" s="371">
        <f t="shared" si="405"/>
        <v>14058.410552835587</v>
      </c>
      <c r="N6523" s="329">
        <f t="shared" si="406"/>
        <v>273.59249267578161</v>
      </c>
      <c r="T6523" s="331">
        <v>0</v>
      </c>
      <c r="U6523" s="328">
        <f>VLOOKUP(C6523,METADATA!$J$5:$Q$29,IF(E6523="HI",2,IF(E6523="LO",6,10))+IF(T6523=1,2,IF(D6523=7,1,(IF(WEEKDAY(B6523)=1,2,IF(WEEKDAY(B6523)=7,1,0))))))</f>
        <v>2</v>
      </c>
      <c r="V6523" s="328">
        <f>VLOOKUP(C6523,METADATA!$A$5:$H$29,IF(E6523="HI",2,IF(E6523="LO",6,10))+IF(T6523=1,2,IF(D6523=7,1,(IF(WEEKDAY(B6523)=1,2,IF(WEEKDAY(B6523)=7,1,0))))))</f>
        <v>2</v>
      </c>
    </row>
    <row r="6524" spans="2:22">
      <c r="B6524" s="318">
        <f t="shared" si="407"/>
        <v>46384</v>
      </c>
      <c r="C6524" s="312">
        <v>16</v>
      </c>
      <c r="D6524" s="368">
        <f>IFERROR((INDEX(METADATA!$T$2:$T$20,MATCH(B6524,METADATA!$S$2:$S$20,0))),0)</f>
        <v>0</v>
      </c>
      <c r="E6524" s="312" t="str">
        <f t="shared" si="404"/>
        <v>LO</v>
      </c>
      <c r="F6524" s="369">
        <f>VLOOKUP(C6524,METADATA!$A$5:$H$29,IF(E6524="HI",2,IF(E6524="LO",6,10))+IF(D6524=1,2,IF(D6524=7,1,(IF(WEEKDAY(B6524)=1,2,IF(WEEKDAY(B6524)=7,1,0))))))</f>
        <v>2</v>
      </c>
      <c r="G6524" s="369">
        <f>VLOOKUP(C6524,METADATA!$J$5:$Q$29,IF(E6524="HI",2,IF(E6524="LO",6,10))+IF(D6524=1,2,IF(D6524=7,1,(IF(WEEKDAY(B6524)=1,2,IF(WEEKDAY(B6524)=7,1,0))))))</f>
        <v>2</v>
      </c>
      <c r="H6524" s="370">
        <v>11766.875061035156</v>
      </c>
      <c r="I6524" s="370">
        <v>3305.3199462890625</v>
      </c>
      <c r="M6524" s="371">
        <f t="shared" si="405"/>
        <v>12222.294737460204</v>
      </c>
      <c r="N6524" s="329">
        <f t="shared" si="406"/>
        <v>0</v>
      </c>
      <c r="T6524" s="331">
        <v>0</v>
      </c>
      <c r="U6524" s="328">
        <f>VLOOKUP(C6524,METADATA!$J$5:$Q$29,IF(E6524="HI",2,IF(E6524="LO",6,10))+IF(T6524=1,2,IF(D6524=7,1,(IF(WEEKDAY(B6524)=1,2,IF(WEEKDAY(B6524)=7,1,0))))))</f>
        <v>2</v>
      </c>
      <c r="V6524" s="328">
        <f>VLOOKUP(C6524,METADATA!$A$5:$H$29,IF(E6524="HI",2,IF(E6524="LO",6,10))+IF(T6524=1,2,IF(D6524=7,1,(IF(WEEKDAY(B6524)=1,2,IF(WEEKDAY(B6524)=7,1,0))))))</f>
        <v>2</v>
      </c>
    </row>
    <row r="6525" spans="2:22">
      <c r="B6525" s="318">
        <f t="shared" si="407"/>
        <v>46384</v>
      </c>
      <c r="C6525" s="312">
        <v>17</v>
      </c>
      <c r="D6525" s="368">
        <f>IFERROR((INDEX(METADATA!$T$2:$T$20,MATCH(B6525,METADATA!$S$2:$S$20,0))),0)</f>
        <v>0</v>
      </c>
      <c r="E6525" s="312" t="str">
        <f t="shared" si="404"/>
        <v>LO</v>
      </c>
      <c r="F6525" s="369">
        <f>VLOOKUP(C6525,METADATA!$A$5:$H$29,IF(E6525="HI",2,IF(E6525="LO",6,10))+IF(D6525=1,2,IF(D6525=7,1,(IF(WEEKDAY(B6525)=1,2,IF(WEEKDAY(B6525)=7,1,0))))))</f>
        <v>2</v>
      </c>
      <c r="G6525" s="369">
        <f>VLOOKUP(C6525,METADATA!$J$5:$Q$29,IF(E6525="HI",2,IF(E6525="LO",6,10))+IF(D6525=1,2,IF(D6525=7,1,(IF(WEEKDAY(B6525)=1,2,IF(WEEKDAY(B6525)=7,1,0))))))</f>
        <v>2</v>
      </c>
      <c r="H6525" s="370">
        <v>11574.375</v>
      </c>
      <c r="I6525" s="370">
        <v>3188.8075561523438</v>
      </c>
      <c r="M6525" s="371">
        <f t="shared" si="405"/>
        <v>12005.609117025228</v>
      </c>
      <c r="N6525" s="329">
        <f t="shared" si="406"/>
        <v>0</v>
      </c>
      <c r="T6525" s="331">
        <v>0</v>
      </c>
      <c r="U6525" s="328">
        <f>VLOOKUP(C6525,METADATA!$J$5:$Q$29,IF(E6525="HI",2,IF(E6525="LO",6,10))+IF(T6525=1,2,IF(D6525=7,1,(IF(WEEKDAY(B6525)=1,2,IF(WEEKDAY(B6525)=7,1,0))))))</f>
        <v>2</v>
      </c>
      <c r="V6525" s="328">
        <f>VLOOKUP(C6525,METADATA!$A$5:$H$29,IF(E6525="HI",2,IF(E6525="LO",6,10))+IF(T6525=1,2,IF(D6525=7,1,(IF(WEEKDAY(B6525)=1,2,IF(WEEKDAY(B6525)=7,1,0))))))</f>
        <v>2</v>
      </c>
    </row>
    <row r="6526" spans="2:22">
      <c r="B6526" s="318">
        <f t="shared" si="407"/>
        <v>46384</v>
      </c>
      <c r="C6526" s="312">
        <v>18</v>
      </c>
      <c r="D6526" s="368">
        <f>IFERROR((INDEX(METADATA!$T$2:$T$20,MATCH(B6526,METADATA!$S$2:$S$20,0))),0)</f>
        <v>0</v>
      </c>
      <c r="E6526" s="312" t="str">
        <f t="shared" si="404"/>
        <v>LO</v>
      </c>
      <c r="F6526" s="369">
        <f>VLOOKUP(C6526,METADATA!$A$5:$H$29,IF(E6526="HI",2,IF(E6526="LO",6,10))+IF(D6526=1,2,IF(D6526=7,1,(IF(WEEKDAY(B6526)=1,2,IF(WEEKDAY(B6526)=7,1,0))))))</f>
        <v>1</v>
      </c>
      <c r="G6526" s="369">
        <f>VLOOKUP(C6526,METADATA!$J$5:$Q$29,IF(E6526="HI",2,IF(E6526="LO",6,10))+IF(D6526=1,2,IF(D6526=7,1,(IF(WEEKDAY(B6526)=1,2,IF(WEEKDAY(B6526)=7,1,0))))))</f>
        <v>1</v>
      </c>
      <c r="H6526" s="370">
        <v>12529.450012207031</v>
      </c>
      <c r="I6526" s="370">
        <v>3810.875</v>
      </c>
      <c r="M6526" s="371">
        <f t="shared" si="405"/>
        <v>13096.178292693627</v>
      </c>
      <c r="N6526" s="329">
        <f t="shared" si="406"/>
        <v>52.039996337890898</v>
      </c>
      <c r="T6526" s="331">
        <v>0</v>
      </c>
      <c r="U6526" s="328">
        <f>VLOOKUP(C6526,METADATA!$J$5:$Q$29,IF(E6526="HI",2,IF(E6526="LO",6,10))+IF(T6526=1,2,IF(D6526=7,1,(IF(WEEKDAY(B6526)=1,2,IF(WEEKDAY(B6526)=7,1,0))))))</f>
        <v>1</v>
      </c>
      <c r="V6526" s="328">
        <f>VLOOKUP(C6526,METADATA!$A$5:$H$29,IF(E6526="HI",2,IF(E6526="LO",6,10))+IF(T6526=1,2,IF(D6526=7,1,(IF(WEEKDAY(B6526)=1,2,IF(WEEKDAY(B6526)=7,1,0))))))</f>
        <v>1</v>
      </c>
    </row>
    <row r="6527" spans="2:22">
      <c r="B6527" s="318">
        <f t="shared" si="407"/>
        <v>46384</v>
      </c>
      <c r="C6527" s="312">
        <v>19</v>
      </c>
      <c r="D6527" s="368">
        <f>IFERROR((INDEX(METADATA!$T$2:$T$20,MATCH(B6527,METADATA!$S$2:$S$20,0))),0)</f>
        <v>0</v>
      </c>
      <c r="E6527" s="312" t="str">
        <f t="shared" si="404"/>
        <v>LO</v>
      </c>
      <c r="F6527" s="369">
        <f>VLOOKUP(C6527,METADATA!$A$5:$H$29,IF(E6527="HI",2,IF(E6527="LO",6,10))+IF(D6527=1,2,IF(D6527=7,1,(IF(WEEKDAY(B6527)=1,2,IF(WEEKDAY(B6527)=7,1,0))))))</f>
        <v>1</v>
      </c>
      <c r="G6527" s="369">
        <f>VLOOKUP(C6527,METADATA!$J$5:$Q$29,IF(E6527="HI",2,IF(E6527="LO",6,10))+IF(D6527=1,2,IF(D6527=7,1,(IF(WEEKDAY(B6527)=1,2,IF(WEEKDAY(B6527)=7,1,0))))))</f>
        <v>1</v>
      </c>
      <c r="H6527" s="370">
        <v>13229.849731445313</v>
      </c>
      <c r="I6527" s="370">
        <v>4108.3599548339844</v>
      </c>
      <c r="M6527" s="371">
        <f t="shared" si="405"/>
        <v>13853.069892089157</v>
      </c>
      <c r="N6527" s="329">
        <f t="shared" si="406"/>
        <v>139.40503540039072</v>
      </c>
      <c r="T6527" s="331">
        <v>0</v>
      </c>
      <c r="U6527" s="328">
        <f>VLOOKUP(C6527,METADATA!$J$5:$Q$29,IF(E6527="HI",2,IF(E6527="LO",6,10))+IF(T6527=1,2,IF(D6527=7,1,(IF(WEEKDAY(B6527)=1,2,IF(WEEKDAY(B6527)=7,1,0))))))</f>
        <v>1</v>
      </c>
      <c r="V6527" s="328">
        <f>VLOOKUP(C6527,METADATA!$A$5:$H$29,IF(E6527="HI",2,IF(E6527="LO",6,10))+IF(T6527=1,2,IF(D6527=7,1,(IF(WEEKDAY(B6527)=1,2,IF(WEEKDAY(B6527)=7,1,0))))))</f>
        <v>1</v>
      </c>
    </row>
    <row r="6528" spans="2:22">
      <c r="B6528" s="318">
        <f t="shared" si="407"/>
        <v>46384</v>
      </c>
      <c r="C6528" s="312">
        <v>20</v>
      </c>
      <c r="D6528" s="368">
        <f>IFERROR((INDEX(METADATA!$T$2:$T$20,MATCH(B6528,METADATA!$S$2:$S$20,0))),0)</f>
        <v>0</v>
      </c>
      <c r="E6528" s="312" t="str">
        <f t="shared" si="404"/>
        <v>LO</v>
      </c>
      <c r="F6528" s="369">
        <f>VLOOKUP(C6528,METADATA!$A$5:$H$29,IF(E6528="HI",2,IF(E6528="LO",6,10))+IF(D6528=1,2,IF(D6528=7,1,(IF(WEEKDAY(B6528)=1,2,IF(WEEKDAY(B6528)=7,1,0))))))</f>
        <v>1</v>
      </c>
      <c r="G6528" s="369">
        <f>VLOOKUP(C6528,METADATA!$J$5:$Q$29,IF(E6528="HI",2,IF(E6528="LO",6,10))+IF(D6528=1,2,IF(D6528=7,1,(IF(WEEKDAY(B6528)=1,2,IF(WEEKDAY(B6528)=7,1,0))))))</f>
        <v>1</v>
      </c>
      <c r="H6528" s="370">
        <v>13220.80029296875</v>
      </c>
      <c r="I6528" s="370">
        <v>4090</v>
      </c>
      <c r="M6528" s="371">
        <f t="shared" si="405"/>
        <v>13838.990584091116</v>
      </c>
      <c r="N6528" s="329">
        <f t="shared" si="406"/>
        <v>123.75991210937536</v>
      </c>
      <c r="T6528" s="331">
        <v>0</v>
      </c>
      <c r="U6528" s="328">
        <f>VLOOKUP(C6528,METADATA!$J$5:$Q$29,IF(E6528="HI",2,IF(E6528="LO",6,10))+IF(T6528=1,2,IF(D6528=7,1,(IF(WEEKDAY(B6528)=1,2,IF(WEEKDAY(B6528)=7,1,0))))))</f>
        <v>1</v>
      </c>
      <c r="V6528" s="328">
        <f>VLOOKUP(C6528,METADATA!$A$5:$H$29,IF(E6528="HI",2,IF(E6528="LO",6,10))+IF(T6528=1,2,IF(D6528=7,1,(IF(WEEKDAY(B6528)=1,2,IF(WEEKDAY(B6528)=7,1,0))))))</f>
        <v>1</v>
      </c>
    </row>
    <row r="6529" spans="2:22">
      <c r="B6529" s="318">
        <f t="shared" si="407"/>
        <v>46384</v>
      </c>
      <c r="C6529" s="312">
        <v>21</v>
      </c>
      <c r="D6529" s="368">
        <f>IFERROR((INDEX(METADATA!$T$2:$T$20,MATCH(B6529,METADATA!$S$2:$S$20,0))),0)</f>
        <v>0</v>
      </c>
      <c r="E6529" s="312" t="str">
        <f t="shared" si="404"/>
        <v>LO</v>
      </c>
      <c r="F6529" s="369">
        <f>VLOOKUP(C6529,METADATA!$A$5:$H$29,IF(E6529="HI",2,IF(E6529="LO",6,10))+IF(D6529=1,2,IF(D6529=7,1,(IF(WEEKDAY(B6529)=1,2,IF(WEEKDAY(B6529)=7,1,0))))))</f>
        <v>2</v>
      </c>
      <c r="G6529" s="369">
        <f>VLOOKUP(C6529,METADATA!$J$5:$Q$29,IF(E6529="HI",2,IF(E6529="LO",6,10))+IF(D6529=1,2,IF(D6529=7,1,(IF(WEEKDAY(B6529)=1,2,IF(WEEKDAY(B6529)=7,1,0))))))</f>
        <v>2</v>
      </c>
      <c r="H6529" s="370">
        <v>13251.750427246094</v>
      </c>
      <c r="I6529" s="370">
        <v>4196.6950378417969</v>
      </c>
      <c r="M6529" s="371">
        <f t="shared" si="405"/>
        <v>13900.40066424932</v>
      </c>
      <c r="N6529" s="329">
        <f t="shared" si="406"/>
        <v>221.16990966796902</v>
      </c>
      <c r="T6529" s="331">
        <v>0</v>
      </c>
      <c r="U6529" s="328">
        <f>VLOOKUP(C6529,METADATA!$J$5:$Q$29,IF(E6529="HI",2,IF(E6529="LO",6,10))+IF(T6529=1,2,IF(D6529=7,1,(IF(WEEKDAY(B6529)=1,2,IF(WEEKDAY(B6529)=7,1,0))))))</f>
        <v>2</v>
      </c>
      <c r="V6529" s="328">
        <f>VLOOKUP(C6529,METADATA!$A$5:$H$29,IF(E6529="HI",2,IF(E6529="LO",6,10))+IF(T6529=1,2,IF(D6529=7,1,(IF(WEEKDAY(B6529)=1,2,IF(WEEKDAY(B6529)=7,1,0))))))</f>
        <v>2</v>
      </c>
    </row>
    <row r="6530" spans="2:22">
      <c r="B6530" s="318">
        <f t="shared" si="407"/>
        <v>46384</v>
      </c>
      <c r="C6530" s="312">
        <v>22</v>
      </c>
      <c r="D6530" s="368">
        <f>IFERROR((INDEX(METADATA!$T$2:$T$20,MATCH(B6530,METADATA!$S$2:$S$20,0))),0)</f>
        <v>0</v>
      </c>
      <c r="E6530" s="312" t="str">
        <f t="shared" si="404"/>
        <v>LO</v>
      </c>
      <c r="F6530" s="369">
        <f>VLOOKUP(C6530,METADATA!$A$5:$H$29,IF(E6530="HI",2,IF(E6530="LO",6,10))+IF(D6530=1,2,IF(D6530=7,1,(IF(WEEKDAY(B6530)=1,2,IF(WEEKDAY(B6530)=7,1,0))))))</f>
        <v>3</v>
      </c>
      <c r="G6530" s="369">
        <f>VLOOKUP(C6530,METADATA!$J$5:$Q$29,IF(E6530="HI",2,IF(E6530="LO",6,10))+IF(D6530=1,2,IF(D6530=7,1,(IF(WEEKDAY(B6530)=1,2,IF(WEEKDAY(B6530)=7,1,0))))))</f>
        <v>3</v>
      </c>
      <c r="H6530" s="370">
        <v>13204.124877929688</v>
      </c>
      <c r="I6530" s="370">
        <v>4110.4199829101563</v>
      </c>
      <c r="M6530" s="371">
        <f t="shared" si="405"/>
        <v>13829.116610538389</v>
      </c>
      <c r="N6530" s="329">
        <f t="shared" si="406"/>
        <v>149.18251953125036</v>
      </c>
      <c r="T6530" s="331">
        <v>0</v>
      </c>
      <c r="U6530" s="328">
        <f>VLOOKUP(C6530,METADATA!$J$5:$Q$29,IF(E6530="HI",2,IF(E6530="LO",6,10))+IF(T6530=1,2,IF(D6530=7,1,(IF(WEEKDAY(B6530)=1,2,IF(WEEKDAY(B6530)=7,1,0))))))</f>
        <v>3</v>
      </c>
      <c r="V6530" s="328">
        <f>VLOOKUP(C6530,METADATA!$A$5:$H$29,IF(E6530="HI",2,IF(E6530="LO",6,10))+IF(T6530=1,2,IF(D6530=7,1,(IF(WEEKDAY(B6530)=1,2,IF(WEEKDAY(B6530)=7,1,0))))))</f>
        <v>3</v>
      </c>
    </row>
    <row r="6531" spans="2:22">
      <c r="B6531" s="318">
        <f t="shared" si="407"/>
        <v>46384</v>
      </c>
      <c r="C6531" s="312">
        <v>23</v>
      </c>
      <c r="D6531" s="368">
        <f>IFERROR((INDEX(METADATA!$T$2:$T$20,MATCH(B6531,METADATA!$S$2:$S$20,0))),0)</f>
        <v>0</v>
      </c>
      <c r="E6531" s="312" t="str">
        <f t="shared" si="404"/>
        <v>LO</v>
      </c>
      <c r="F6531" s="369">
        <f>VLOOKUP(C6531,METADATA!$A$5:$H$29,IF(E6531="HI",2,IF(E6531="LO",6,10))+IF(D6531=1,2,IF(D6531=7,1,(IF(WEEKDAY(B6531)=1,2,IF(WEEKDAY(B6531)=7,1,0))))))</f>
        <v>3</v>
      </c>
      <c r="G6531" s="369">
        <f>VLOOKUP(C6531,METADATA!$J$5:$Q$29,IF(E6531="HI",2,IF(E6531="LO",6,10))+IF(D6531=1,2,IF(D6531=7,1,(IF(WEEKDAY(B6531)=1,2,IF(WEEKDAY(B6531)=7,1,0))))))</f>
        <v>3</v>
      </c>
      <c r="H6531" s="370">
        <v>13118.074951171875</v>
      </c>
      <c r="I6531" s="370">
        <v>4166.9700622558594</v>
      </c>
      <c r="M6531" s="371">
        <f t="shared" si="405"/>
        <v>13763.993967024964</v>
      </c>
      <c r="N6531" s="329">
        <f t="shared" si="406"/>
        <v>231.54757690429688</v>
      </c>
      <c r="T6531" s="331">
        <v>0</v>
      </c>
      <c r="U6531" s="328">
        <f>VLOOKUP(C6531,METADATA!$J$5:$Q$29,IF(E6531="HI",2,IF(E6531="LO",6,10))+IF(T6531=1,2,IF(D6531=7,1,(IF(WEEKDAY(B6531)=1,2,IF(WEEKDAY(B6531)=7,1,0))))))</f>
        <v>3</v>
      </c>
      <c r="V6531" s="328">
        <f>VLOOKUP(C6531,METADATA!$A$5:$H$29,IF(E6531="HI",2,IF(E6531="LO",6,10))+IF(T6531=1,2,IF(D6531=7,1,(IF(WEEKDAY(B6531)=1,2,IF(WEEKDAY(B6531)=7,1,0))))))</f>
        <v>3</v>
      </c>
    </row>
    <row r="6532" spans="2:22">
      <c r="B6532" s="318">
        <f t="shared" si="407"/>
        <v>46385</v>
      </c>
      <c r="C6532" s="312">
        <v>0</v>
      </c>
      <c r="D6532" s="368">
        <f>IFERROR((INDEX(METADATA!$T$2:$T$20,MATCH(B6532,METADATA!$S$2:$S$20,0))),0)</f>
        <v>0</v>
      </c>
      <c r="E6532" s="312" t="str">
        <f t="shared" ref="E6532:E6595" si="408">IF(B6532="","",IF(AND(MONTH(B6532)&gt;=MONTH($Z$9),MONTH(B6532)&lt;=MONTH($Z$11)),"HI","LO"))</f>
        <v>LO</v>
      </c>
      <c r="F6532" s="369">
        <f>VLOOKUP(C6532,METADATA!$A$5:$H$29,IF(E6532="HI",2,IF(E6532="LO",6,10))+IF(D6532=1,2,IF(D6532=7,1,(IF(WEEKDAY(B6532)=1,2,IF(WEEKDAY(B6532)=7,1,0))))))</f>
        <v>3</v>
      </c>
      <c r="G6532" s="369">
        <f>VLOOKUP(C6532,METADATA!$J$5:$Q$29,IF(E6532="HI",2,IF(E6532="LO",6,10))+IF(D6532=1,2,IF(D6532=7,1,(IF(WEEKDAY(B6532)=1,2,IF(WEEKDAY(B6532)=7,1,0))))))</f>
        <v>3</v>
      </c>
      <c r="H6532" s="370">
        <v>13212.024658203125</v>
      </c>
      <c r="I6532" s="370">
        <v>4246.3349914550781</v>
      </c>
      <c r="M6532" s="371">
        <f t="shared" ref="M6532:M6595" si="409">SQRT(H6532^2+I6532^2)</f>
        <v>13877.642322405603</v>
      </c>
      <c r="N6532" s="329">
        <f t="shared" ref="N6532:N6595" si="410">IF(H6532=0,0,(IF(I6532-(0.3*H6532)&lt;0,0,(I6532-(0.3*H6532)))))</f>
        <v>282.72759399414099</v>
      </c>
      <c r="T6532" s="331">
        <v>0</v>
      </c>
      <c r="U6532" s="328">
        <f>VLOOKUP(C6532,METADATA!$J$5:$Q$29,IF(E6532="HI",2,IF(E6532="LO",6,10))+IF(T6532=1,2,IF(D6532=7,1,(IF(WEEKDAY(B6532)=1,2,IF(WEEKDAY(B6532)=7,1,0))))))</f>
        <v>3</v>
      </c>
      <c r="V6532" s="328">
        <f>VLOOKUP(C6532,METADATA!$A$5:$H$29,IF(E6532="HI",2,IF(E6532="LO",6,10))+IF(T6532=1,2,IF(D6532=7,1,(IF(WEEKDAY(B6532)=1,2,IF(WEEKDAY(B6532)=7,1,0))))))</f>
        <v>3</v>
      </c>
    </row>
    <row r="6533" spans="2:22">
      <c r="B6533" s="318">
        <f t="shared" si="407"/>
        <v>46385</v>
      </c>
      <c r="C6533" s="312">
        <v>1</v>
      </c>
      <c r="D6533" s="368">
        <f>IFERROR((INDEX(METADATA!$T$2:$T$20,MATCH(B6533,METADATA!$S$2:$S$20,0))),0)</f>
        <v>0</v>
      </c>
      <c r="E6533" s="312" t="str">
        <f t="shared" si="408"/>
        <v>LO</v>
      </c>
      <c r="F6533" s="369">
        <f>VLOOKUP(C6533,METADATA!$A$5:$H$29,IF(E6533="HI",2,IF(E6533="LO",6,10))+IF(D6533=1,2,IF(D6533=7,1,(IF(WEEKDAY(B6533)=1,2,IF(WEEKDAY(B6533)=7,1,0))))))</f>
        <v>3</v>
      </c>
      <c r="G6533" s="369">
        <f>VLOOKUP(C6533,METADATA!$J$5:$Q$29,IF(E6533="HI",2,IF(E6533="LO",6,10))+IF(D6533=1,2,IF(D6533=7,1,(IF(WEEKDAY(B6533)=1,2,IF(WEEKDAY(B6533)=7,1,0))))))</f>
        <v>3</v>
      </c>
      <c r="H6533" s="370">
        <v>13246.137451171875</v>
      </c>
      <c r="I6533" s="370">
        <v>4310.4724731445313</v>
      </c>
      <c r="M6533" s="371">
        <f t="shared" si="409"/>
        <v>13929.835975957321</v>
      </c>
      <c r="N6533" s="329">
        <f t="shared" si="410"/>
        <v>336.63123779296893</v>
      </c>
      <c r="T6533" s="331">
        <v>0</v>
      </c>
      <c r="U6533" s="328">
        <f>VLOOKUP(C6533,METADATA!$J$5:$Q$29,IF(E6533="HI",2,IF(E6533="LO",6,10))+IF(T6533=1,2,IF(D6533=7,1,(IF(WEEKDAY(B6533)=1,2,IF(WEEKDAY(B6533)=7,1,0))))))</f>
        <v>3</v>
      </c>
      <c r="V6533" s="328">
        <f>VLOOKUP(C6533,METADATA!$A$5:$H$29,IF(E6533="HI",2,IF(E6533="LO",6,10))+IF(T6533=1,2,IF(D6533=7,1,(IF(WEEKDAY(B6533)=1,2,IF(WEEKDAY(B6533)=7,1,0))))))</f>
        <v>3</v>
      </c>
    </row>
    <row r="6534" spans="2:22">
      <c r="B6534" s="318">
        <f t="shared" si="407"/>
        <v>46385</v>
      </c>
      <c r="C6534" s="312">
        <v>2</v>
      </c>
      <c r="D6534" s="368">
        <f>IFERROR((INDEX(METADATA!$T$2:$T$20,MATCH(B6534,METADATA!$S$2:$S$20,0))),0)</f>
        <v>0</v>
      </c>
      <c r="E6534" s="312" t="str">
        <f t="shared" si="408"/>
        <v>LO</v>
      </c>
      <c r="F6534" s="369">
        <f>VLOOKUP(C6534,METADATA!$A$5:$H$29,IF(E6534="HI",2,IF(E6534="LO",6,10))+IF(D6534=1,2,IF(D6534=7,1,(IF(WEEKDAY(B6534)=1,2,IF(WEEKDAY(B6534)=7,1,0))))))</f>
        <v>3</v>
      </c>
      <c r="G6534" s="369">
        <f>VLOOKUP(C6534,METADATA!$J$5:$Q$29,IF(E6534="HI",2,IF(E6534="LO",6,10))+IF(D6534=1,2,IF(D6534=7,1,(IF(WEEKDAY(B6534)=1,2,IF(WEEKDAY(B6534)=7,1,0))))))</f>
        <v>3</v>
      </c>
      <c r="H6534" s="370">
        <v>12844.52490234375</v>
      </c>
      <c r="I6534" s="370">
        <v>4064.8001098632813</v>
      </c>
      <c r="M6534" s="371">
        <f t="shared" si="409"/>
        <v>13472.357622186002</v>
      </c>
      <c r="N6534" s="329">
        <f t="shared" si="410"/>
        <v>211.44263916015643</v>
      </c>
      <c r="T6534" s="331">
        <v>0</v>
      </c>
      <c r="U6534" s="328">
        <f>VLOOKUP(C6534,METADATA!$J$5:$Q$29,IF(E6534="HI",2,IF(E6534="LO",6,10))+IF(T6534=1,2,IF(D6534=7,1,(IF(WEEKDAY(B6534)=1,2,IF(WEEKDAY(B6534)=7,1,0))))))</f>
        <v>3</v>
      </c>
      <c r="V6534" s="328">
        <f>VLOOKUP(C6534,METADATA!$A$5:$H$29,IF(E6534="HI",2,IF(E6534="LO",6,10))+IF(T6534=1,2,IF(D6534=7,1,(IF(WEEKDAY(B6534)=1,2,IF(WEEKDAY(B6534)=7,1,0))))))</f>
        <v>3</v>
      </c>
    </row>
    <row r="6535" spans="2:22">
      <c r="B6535" s="318">
        <f t="shared" si="407"/>
        <v>46385</v>
      </c>
      <c r="C6535" s="312">
        <v>3</v>
      </c>
      <c r="D6535" s="368">
        <f>IFERROR((INDEX(METADATA!$T$2:$T$20,MATCH(B6535,METADATA!$S$2:$S$20,0))),0)</f>
        <v>0</v>
      </c>
      <c r="E6535" s="312" t="str">
        <f t="shared" si="408"/>
        <v>LO</v>
      </c>
      <c r="F6535" s="369">
        <f>VLOOKUP(C6535,METADATA!$A$5:$H$29,IF(E6535="HI",2,IF(E6535="LO",6,10))+IF(D6535=1,2,IF(D6535=7,1,(IF(WEEKDAY(B6535)=1,2,IF(WEEKDAY(B6535)=7,1,0))))))</f>
        <v>3</v>
      </c>
      <c r="G6535" s="369">
        <f>VLOOKUP(C6535,METADATA!$J$5:$Q$29,IF(E6535="HI",2,IF(E6535="LO",6,10))+IF(D6535=1,2,IF(D6535=7,1,(IF(WEEKDAY(B6535)=1,2,IF(WEEKDAY(B6535)=7,1,0))))))</f>
        <v>3</v>
      </c>
      <c r="H6535" s="370">
        <v>11367.075256347656</v>
      </c>
      <c r="I6535" s="370">
        <v>3105.760009765625</v>
      </c>
      <c r="M6535" s="371">
        <f t="shared" si="409"/>
        <v>11783.723737500404</v>
      </c>
      <c r="N6535" s="329">
        <f t="shared" si="410"/>
        <v>0</v>
      </c>
      <c r="T6535" s="331">
        <v>0</v>
      </c>
      <c r="U6535" s="328">
        <f>VLOOKUP(C6535,METADATA!$J$5:$Q$29,IF(E6535="HI",2,IF(E6535="LO",6,10))+IF(T6535=1,2,IF(D6535=7,1,(IF(WEEKDAY(B6535)=1,2,IF(WEEKDAY(B6535)=7,1,0))))))</f>
        <v>3</v>
      </c>
      <c r="V6535" s="328">
        <f>VLOOKUP(C6535,METADATA!$A$5:$H$29,IF(E6535="HI",2,IF(E6535="LO",6,10))+IF(T6535=1,2,IF(D6535=7,1,(IF(WEEKDAY(B6535)=1,2,IF(WEEKDAY(B6535)=7,1,0))))))</f>
        <v>3</v>
      </c>
    </row>
    <row r="6536" spans="2:22">
      <c r="B6536" s="318">
        <f t="shared" si="407"/>
        <v>46385</v>
      </c>
      <c r="C6536" s="312">
        <v>4</v>
      </c>
      <c r="D6536" s="368">
        <f>IFERROR((INDEX(METADATA!$T$2:$T$20,MATCH(B6536,METADATA!$S$2:$S$20,0))),0)</f>
        <v>0</v>
      </c>
      <c r="E6536" s="312" t="str">
        <f t="shared" si="408"/>
        <v>LO</v>
      </c>
      <c r="F6536" s="369">
        <f>VLOOKUP(C6536,METADATA!$A$5:$H$29,IF(E6536="HI",2,IF(E6536="LO",6,10))+IF(D6536=1,2,IF(D6536=7,1,(IF(WEEKDAY(B6536)=1,2,IF(WEEKDAY(B6536)=7,1,0))))))</f>
        <v>3</v>
      </c>
      <c r="G6536" s="369">
        <f>VLOOKUP(C6536,METADATA!$J$5:$Q$29,IF(E6536="HI",2,IF(E6536="LO",6,10))+IF(D6536=1,2,IF(D6536=7,1,(IF(WEEKDAY(B6536)=1,2,IF(WEEKDAY(B6536)=7,1,0))))))</f>
        <v>3</v>
      </c>
      <c r="H6536" s="370">
        <v>13151.625061035156</v>
      </c>
      <c r="I6536" s="370">
        <v>4099.4500122070313</v>
      </c>
      <c r="M6536" s="371">
        <f t="shared" si="409"/>
        <v>13775.729822721996</v>
      </c>
      <c r="N6536" s="329">
        <f t="shared" si="410"/>
        <v>153.96249389648438</v>
      </c>
      <c r="T6536" s="331">
        <v>0</v>
      </c>
      <c r="U6536" s="328">
        <f>VLOOKUP(C6536,METADATA!$J$5:$Q$29,IF(E6536="HI",2,IF(E6536="LO",6,10))+IF(T6536=1,2,IF(D6536=7,1,(IF(WEEKDAY(B6536)=1,2,IF(WEEKDAY(B6536)=7,1,0))))))</f>
        <v>3</v>
      </c>
      <c r="V6536" s="328">
        <f>VLOOKUP(C6536,METADATA!$A$5:$H$29,IF(E6536="HI",2,IF(E6536="LO",6,10))+IF(T6536=1,2,IF(D6536=7,1,(IF(WEEKDAY(B6536)=1,2,IF(WEEKDAY(B6536)=7,1,0))))))</f>
        <v>3</v>
      </c>
    </row>
    <row r="6537" spans="2:22">
      <c r="B6537" s="318">
        <f t="shared" si="407"/>
        <v>46385</v>
      </c>
      <c r="C6537" s="312">
        <v>5</v>
      </c>
      <c r="D6537" s="368">
        <f>IFERROR((INDEX(METADATA!$T$2:$T$20,MATCH(B6537,METADATA!$S$2:$S$20,0))),0)</f>
        <v>0</v>
      </c>
      <c r="E6537" s="312" t="str">
        <f t="shared" si="408"/>
        <v>LO</v>
      </c>
      <c r="F6537" s="369">
        <f>VLOOKUP(C6537,METADATA!$A$5:$H$29,IF(E6537="HI",2,IF(E6537="LO",6,10))+IF(D6537=1,2,IF(D6537=7,1,(IF(WEEKDAY(B6537)=1,2,IF(WEEKDAY(B6537)=7,1,0))))))</f>
        <v>3</v>
      </c>
      <c r="G6537" s="369">
        <f>VLOOKUP(C6537,METADATA!$J$5:$Q$29,IF(E6537="HI",2,IF(E6537="LO",6,10))+IF(D6537=1,2,IF(D6537=7,1,(IF(WEEKDAY(B6537)=1,2,IF(WEEKDAY(B6537)=7,1,0))))))</f>
        <v>3</v>
      </c>
      <c r="H6537" s="370">
        <v>13368.124938964844</v>
      </c>
      <c r="I6537" s="370">
        <v>4157.9600219726563</v>
      </c>
      <c r="M6537" s="371">
        <f t="shared" si="409"/>
        <v>13999.835567894956</v>
      </c>
      <c r="N6537" s="329">
        <f t="shared" si="410"/>
        <v>147.5225402832034</v>
      </c>
      <c r="T6537" s="331">
        <v>0</v>
      </c>
      <c r="U6537" s="328">
        <f>VLOOKUP(C6537,METADATA!$J$5:$Q$29,IF(E6537="HI",2,IF(E6537="LO",6,10))+IF(T6537=1,2,IF(D6537=7,1,(IF(WEEKDAY(B6537)=1,2,IF(WEEKDAY(B6537)=7,1,0))))))</f>
        <v>3</v>
      </c>
      <c r="V6537" s="328">
        <f>VLOOKUP(C6537,METADATA!$A$5:$H$29,IF(E6537="HI",2,IF(E6537="LO",6,10))+IF(T6537=1,2,IF(D6537=7,1,(IF(WEEKDAY(B6537)=1,2,IF(WEEKDAY(B6537)=7,1,0))))))</f>
        <v>3</v>
      </c>
    </row>
    <row r="6538" spans="2:22">
      <c r="B6538" s="318">
        <f t="shared" si="407"/>
        <v>46385</v>
      </c>
      <c r="C6538" s="312">
        <v>6</v>
      </c>
      <c r="D6538" s="368">
        <f>IFERROR((INDEX(METADATA!$T$2:$T$20,MATCH(B6538,METADATA!$S$2:$S$20,0))),0)</f>
        <v>0</v>
      </c>
      <c r="E6538" s="312" t="str">
        <f t="shared" si="408"/>
        <v>LO</v>
      </c>
      <c r="F6538" s="369">
        <f>VLOOKUP(C6538,METADATA!$A$5:$H$29,IF(E6538="HI",2,IF(E6538="LO",6,10))+IF(D6538=1,2,IF(D6538=7,1,(IF(WEEKDAY(B6538)=1,2,IF(WEEKDAY(B6538)=7,1,0))))))</f>
        <v>2</v>
      </c>
      <c r="G6538" s="369">
        <f>VLOOKUP(C6538,METADATA!$J$5:$Q$29,IF(E6538="HI",2,IF(E6538="LO",6,10))+IF(D6538=1,2,IF(D6538=7,1,(IF(WEEKDAY(B6538)=1,2,IF(WEEKDAY(B6538)=7,1,0))))))</f>
        <v>2</v>
      </c>
      <c r="H6538" s="370">
        <v>13482.275207519531</v>
      </c>
      <c r="I6538" s="370">
        <v>4176.6949462890625</v>
      </c>
      <c r="M6538" s="371">
        <f t="shared" si="409"/>
        <v>14114.408434137522</v>
      </c>
      <c r="N6538" s="329">
        <f t="shared" si="410"/>
        <v>132.01238403320349</v>
      </c>
      <c r="T6538" s="331">
        <v>0</v>
      </c>
      <c r="U6538" s="328">
        <f>VLOOKUP(C6538,METADATA!$J$5:$Q$29,IF(E6538="HI",2,IF(E6538="LO",6,10))+IF(T6538=1,2,IF(D6538=7,1,(IF(WEEKDAY(B6538)=1,2,IF(WEEKDAY(B6538)=7,1,0))))))</f>
        <v>2</v>
      </c>
      <c r="V6538" s="328">
        <f>VLOOKUP(C6538,METADATA!$A$5:$H$29,IF(E6538="HI",2,IF(E6538="LO",6,10))+IF(T6538=1,2,IF(D6538=7,1,(IF(WEEKDAY(B6538)=1,2,IF(WEEKDAY(B6538)=7,1,0))))))</f>
        <v>2</v>
      </c>
    </row>
    <row r="6539" spans="2:22">
      <c r="B6539" s="318">
        <f t="shared" si="407"/>
        <v>46385</v>
      </c>
      <c r="C6539" s="312">
        <v>7</v>
      </c>
      <c r="D6539" s="368">
        <f>IFERROR((INDEX(METADATA!$T$2:$T$20,MATCH(B6539,METADATA!$S$2:$S$20,0))),0)</f>
        <v>0</v>
      </c>
      <c r="E6539" s="312" t="str">
        <f t="shared" si="408"/>
        <v>LO</v>
      </c>
      <c r="F6539" s="369">
        <f>VLOOKUP(C6539,METADATA!$A$5:$H$29,IF(E6539="HI",2,IF(E6539="LO",6,10))+IF(D6539=1,2,IF(D6539=7,1,(IF(WEEKDAY(B6539)=1,2,IF(WEEKDAY(B6539)=7,1,0))))))</f>
        <v>1</v>
      </c>
      <c r="G6539" s="369">
        <f>VLOOKUP(C6539,METADATA!$J$5:$Q$29,IF(E6539="HI",2,IF(E6539="LO",6,10))+IF(D6539=1,2,IF(D6539=7,1,(IF(WEEKDAY(B6539)=1,2,IF(WEEKDAY(B6539)=7,1,0))))))</f>
        <v>1</v>
      </c>
      <c r="H6539" s="370">
        <v>13594.17529296875</v>
      </c>
      <c r="I6539" s="370">
        <v>4233.5150756835938</v>
      </c>
      <c r="M6539" s="371">
        <f t="shared" si="409"/>
        <v>14238.12669532064</v>
      </c>
      <c r="N6539" s="329">
        <f t="shared" si="410"/>
        <v>155.26248779296884</v>
      </c>
      <c r="T6539" s="331">
        <v>0</v>
      </c>
      <c r="U6539" s="328">
        <f>VLOOKUP(C6539,METADATA!$J$5:$Q$29,IF(E6539="HI",2,IF(E6539="LO",6,10))+IF(T6539=1,2,IF(D6539=7,1,(IF(WEEKDAY(B6539)=1,2,IF(WEEKDAY(B6539)=7,1,0))))))</f>
        <v>1</v>
      </c>
      <c r="V6539" s="328">
        <f>VLOOKUP(C6539,METADATA!$A$5:$H$29,IF(E6539="HI",2,IF(E6539="LO",6,10))+IF(T6539=1,2,IF(D6539=7,1,(IF(WEEKDAY(B6539)=1,2,IF(WEEKDAY(B6539)=7,1,0))))))</f>
        <v>1</v>
      </c>
    </row>
    <row r="6540" spans="2:22">
      <c r="B6540" s="318">
        <f t="shared" si="407"/>
        <v>46385</v>
      </c>
      <c r="C6540" s="312">
        <v>8</v>
      </c>
      <c r="D6540" s="368">
        <f>IFERROR((INDEX(METADATA!$T$2:$T$20,MATCH(B6540,METADATA!$S$2:$S$20,0))),0)</f>
        <v>0</v>
      </c>
      <c r="E6540" s="312" t="str">
        <f t="shared" si="408"/>
        <v>LO</v>
      </c>
      <c r="F6540" s="369">
        <f>VLOOKUP(C6540,METADATA!$A$5:$H$29,IF(E6540="HI",2,IF(E6540="LO",6,10))+IF(D6540=1,2,IF(D6540=7,1,(IF(WEEKDAY(B6540)=1,2,IF(WEEKDAY(B6540)=7,1,0))))))</f>
        <v>1</v>
      </c>
      <c r="G6540" s="369">
        <f>VLOOKUP(C6540,METADATA!$J$5:$Q$29,IF(E6540="HI",2,IF(E6540="LO",6,10))+IF(D6540=1,2,IF(D6540=7,1,(IF(WEEKDAY(B6540)=1,2,IF(WEEKDAY(B6540)=7,1,0))))))</f>
        <v>1</v>
      </c>
      <c r="H6540" s="370">
        <v>13596.624694824219</v>
      </c>
      <c r="I6540" s="370">
        <v>4188.3500671386719</v>
      </c>
      <c r="M6540" s="371">
        <f t="shared" si="409"/>
        <v>14227.103688973531</v>
      </c>
      <c r="N6540" s="329">
        <f t="shared" si="410"/>
        <v>109.36265869140652</v>
      </c>
      <c r="T6540" s="331">
        <v>0</v>
      </c>
      <c r="U6540" s="328">
        <f>VLOOKUP(C6540,METADATA!$J$5:$Q$29,IF(E6540="HI",2,IF(E6540="LO",6,10))+IF(T6540=1,2,IF(D6540=7,1,(IF(WEEKDAY(B6540)=1,2,IF(WEEKDAY(B6540)=7,1,0))))))</f>
        <v>1</v>
      </c>
      <c r="V6540" s="328">
        <f>VLOOKUP(C6540,METADATA!$A$5:$H$29,IF(E6540="HI",2,IF(E6540="LO",6,10))+IF(T6540=1,2,IF(D6540=7,1,(IF(WEEKDAY(B6540)=1,2,IF(WEEKDAY(B6540)=7,1,0))))))</f>
        <v>1</v>
      </c>
    </row>
    <row r="6541" spans="2:22">
      <c r="B6541" s="318">
        <f t="shared" si="407"/>
        <v>46385</v>
      </c>
      <c r="C6541" s="312">
        <v>9</v>
      </c>
      <c r="D6541" s="368">
        <f>IFERROR((INDEX(METADATA!$T$2:$T$20,MATCH(B6541,METADATA!$S$2:$S$20,0))),0)</f>
        <v>0</v>
      </c>
      <c r="E6541" s="312" t="str">
        <f t="shared" si="408"/>
        <v>LO</v>
      </c>
      <c r="F6541" s="369">
        <f>VLOOKUP(C6541,METADATA!$A$5:$H$29,IF(E6541="HI",2,IF(E6541="LO",6,10))+IF(D6541=1,2,IF(D6541=7,1,(IF(WEEKDAY(B6541)=1,2,IF(WEEKDAY(B6541)=7,1,0))))))</f>
        <v>2</v>
      </c>
      <c r="G6541" s="369">
        <f>VLOOKUP(C6541,METADATA!$J$5:$Q$29,IF(E6541="HI",2,IF(E6541="LO",6,10))+IF(D6541=1,2,IF(D6541=7,1,(IF(WEEKDAY(B6541)=1,2,IF(WEEKDAY(B6541)=7,1,0))))))</f>
        <v>2</v>
      </c>
      <c r="H6541" s="370">
        <v>13558.400329589844</v>
      </c>
      <c r="I6541" s="370">
        <v>4094.6499633789063</v>
      </c>
      <c r="M6541" s="371">
        <f t="shared" si="409"/>
        <v>14163.205068769599</v>
      </c>
      <c r="N6541" s="329">
        <f t="shared" si="410"/>
        <v>27.129864501953307</v>
      </c>
      <c r="T6541" s="331">
        <v>0</v>
      </c>
      <c r="U6541" s="328">
        <f>VLOOKUP(C6541,METADATA!$J$5:$Q$29,IF(E6541="HI",2,IF(E6541="LO",6,10))+IF(T6541=1,2,IF(D6541=7,1,(IF(WEEKDAY(B6541)=1,2,IF(WEEKDAY(B6541)=7,1,0))))))</f>
        <v>2</v>
      </c>
      <c r="V6541" s="328">
        <f>VLOOKUP(C6541,METADATA!$A$5:$H$29,IF(E6541="HI",2,IF(E6541="LO",6,10))+IF(T6541=1,2,IF(D6541=7,1,(IF(WEEKDAY(B6541)=1,2,IF(WEEKDAY(B6541)=7,1,0))))))</f>
        <v>2</v>
      </c>
    </row>
    <row r="6542" spans="2:22">
      <c r="B6542" s="318">
        <f t="shared" si="407"/>
        <v>46385</v>
      </c>
      <c r="C6542" s="312">
        <v>10</v>
      </c>
      <c r="D6542" s="368">
        <f>IFERROR((INDEX(METADATA!$T$2:$T$20,MATCH(B6542,METADATA!$S$2:$S$20,0))),0)</f>
        <v>0</v>
      </c>
      <c r="E6542" s="312" t="str">
        <f t="shared" si="408"/>
        <v>LO</v>
      </c>
      <c r="F6542" s="369">
        <f>VLOOKUP(C6542,METADATA!$A$5:$H$29,IF(E6542="HI",2,IF(E6542="LO",6,10))+IF(D6542=1,2,IF(D6542=7,1,(IF(WEEKDAY(B6542)=1,2,IF(WEEKDAY(B6542)=7,1,0))))))</f>
        <v>2</v>
      </c>
      <c r="G6542" s="369">
        <f>VLOOKUP(C6542,METADATA!$J$5:$Q$29,IF(E6542="HI",2,IF(E6542="LO",6,10))+IF(D6542=1,2,IF(D6542=7,1,(IF(WEEKDAY(B6542)=1,2,IF(WEEKDAY(B6542)=7,1,0))))))</f>
        <v>2</v>
      </c>
      <c r="H6542" s="370">
        <v>13468.650390625</v>
      </c>
      <c r="I6542" s="370">
        <v>4149.31005859375</v>
      </c>
      <c r="M6542" s="371">
        <f t="shared" si="409"/>
        <v>14093.307536104867</v>
      </c>
      <c r="N6542" s="329">
        <f t="shared" si="410"/>
        <v>108.71494140625009</v>
      </c>
      <c r="T6542" s="331">
        <v>0</v>
      </c>
      <c r="U6542" s="328">
        <f>VLOOKUP(C6542,METADATA!$J$5:$Q$29,IF(E6542="HI",2,IF(E6542="LO",6,10))+IF(T6542=1,2,IF(D6542=7,1,(IF(WEEKDAY(B6542)=1,2,IF(WEEKDAY(B6542)=7,1,0))))))</f>
        <v>2</v>
      </c>
      <c r="V6542" s="328">
        <f>VLOOKUP(C6542,METADATA!$A$5:$H$29,IF(E6542="HI",2,IF(E6542="LO",6,10))+IF(T6542=1,2,IF(D6542=7,1,(IF(WEEKDAY(B6542)=1,2,IF(WEEKDAY(B6542)=7,1,0))))))</f>
        <v>2</v>
      </c>
    </row>
    <row r="6543" spans="2:22">
      <c r="B6543" s="318">
        <f t="shared" si="407"/>
        <v>46385</v>
      </c>
      <c r="C6543" s="312">
        <v>11</v>
      </c>
      <c r="D6543" s="368">
        <f>IFERROR((INDEX(METADATA!$T$2:$T$20,MATCH(B6543,METADATA!$S$2:$S$20,0))),0)</f>
        <v>0</v>
      </c>
      <c r="E6543" s="312" t="str">
        <f t="shared" si="408"/>
        <v>LO</v>
      </c>
      <c r="F6543" s="369">
        <f>VLOOKUP(C6543,METADATA!$A$5:$H$29,IF(E6543="HI",2,IF(E6543="LO",6,10))+IF(D6543=1,2,IF(D6543=7,1,(IF(WEEKDAY(B6543)=1,2,IF(WEEKDAY(B6543)=7,1,0))))))</f>
        <v>2</v>
      </c>
      <c r="G6543" s="369">
        <f>VLOOKUP(C6543,METADATA!$J$5:$Q$29,IF(E6543="HI",2,IF(E6543="LO",6,10))+IF(D6543=1,2,IF(D6543=7,1,(IF(WEEKDAY(B6543)=1,2,IF(WEEKDAY(B6543)=7,1,0))))))</f>
        <v>2</v>
      </c>
      <c r="H6543" s="370">
        <v>13320.175109863281</v>
      </c>
      <c r="I6543" s="370">
        <v>4018.2649536132813</v>
      </c>
      <c r="M6543" s="371">
        <f t="shared" si="409"/>
        <v>13913.070049232772</v>
      </c>
      <c r="N6543" s="329">
        <f t="shared" si="410"/>
        <v>22.212420654297148</v>
      </c>
      <c r="T6543" s="331">
        <v>0</v>
      </c>
      <c r="U6543" s="328">
        <f>VLOOKUP(C6543,METADATA!$J$5:$Q$29,IF(E6543="HI",2,IF(E6543="LO",6,10))+IF(T6543=1,2,IF(D6543=7,1,(IF(WEEKDAY(B6543)=1,2,IF(WEEKDAY(B6543)=7,1,0))))))</f>
        <v>2</v>
      </c>
      <c r="V6543" s="328">
        <f>VLOOKUP(C6543,METADATA!$A$5:$H$29,IF(E6543="HI",2,IF(E6543="LO",6,10))+IF(T6543=1,2,IF(D6543=7,1,(IF(WEEKDAY(B6543)=1,2,IF(WEEKDAY(B6543)=7,1,0))))))</f>
        <v>2</v>
      </c>
    </row>
    <row r="6544" spans="2:22">
      <c r="B6544" s="318">
        <f t="shared" si="407"/>
        <v>46385</v>
      </c>
      <c r="C6544" s="312">
        <v>12</v>
      </c>
      <c r="D6544" s="368">
        <f>IFERROR((INDEX(METADATA!$T$2:$T$20,MATCH(B6544,METADATA!$S$2:$S$20,0))),0)</f>
        <v>0</v>
      </c>
      <c r="E6544" s="312" t="str">
        <f t="shared" si="408"/>
        <v>LO</v>
      </c>
      <c r="F6544" s="369">
        <f>VLOOKUP(C6544,METADATA!$A$5:$H$29,IF(E6544="HI",2,IF(E6544="LO",6,10))+IF(D6544=1,2,IF(D6544=7,1,(IF(WEEKDAY(B6544)=1,2,IF(WEEKDAY(B6544)=7,1,0))))))</f>
        <v>2</v>
      </c>
      <c r="G6544" s="369">
        <f>VLOOKUP(C6544,METADATA!$J$5:$Q$29,IF(E6544="HI",2,IF(E6544="LO",6,10))+IF(D6544=1,2,IF(D6544=7,1,(IF(WEEKDAY(B6544)=1,2,IF(WEEKDAY(B6544)=7,1,0))))))</f>
        <v>2</v>
      </c>
      <c r="H6544" s="370">
        <v>13397.10009765625</v>
      </c>
      <c r="I6544" s="370">
        <v>4082.489990234375</v>
      </c>
      <c r="M6544" s="371">
        <f t="shared" si="409"/>
        <v>14005.32097265125</v>
      </c>
      <c r="N6544" s="329">
        <f t="shared" si="410"/>
        <v>63.359960937500091</v>
      </c>
      <c r="T6544" s="331">
        <v>0</v>
      </c>
      <c r="U6544" s="328">
        <f>VLOOKUP(C6544,METADATA!$J$5:$Q$29,IF(E6544="HI",2,IF(E6544="LO",6,10))+IF(T6544=1,2,IF(D6544=7,1,(IF(WEEKDAY(B6544)=1,2,IF(WEEKDAY(B6544)=7,1,0))))))</f>
        <v>2</v>
      </c>
      <c r="V6544" s="328">
        <f>VLOOKUP(C6544,METADATA!$A$5:$H$29,IF(E6544="HI",2,IF(E6544="LO",6,10))+IF(T6544=1,2,IF(D6544=7,1,(IF(WEEKDAY(B6544)=1,2,IF(WEEKDAY(B6544)=7,1,0))))))</f>
        <v>2</v>
      </c>
    </row>
    <row r="6545" spans="2:22">
      <c r="B6545" s="318">
        <f t="shared" si="407"/>
        <v>46385</v>
      </c>
      <c r="C6545" s="312">
        <v>13</v>
      </c>
      <c r="D6545" s="368">
        <f>IFERROR((INDEX(METADATA!$T$2:$T$20,MATCH(B6545,METADATA!$S$2:$S$20,0))),0)</f>
        <v>0</v>
      </c>
      <c r="E6545" s="312" t="str">
        <f t="shared" si="408"/>
        <v>LO</v>
      </c>
      <c r="F6545" s="369">
        <f>VLOOKUP(C6545,METADATA!$A$5:$H$29,IF(E6545="HI",2,IF(E6545="LO",6,10))+IF(D6545=1,2,IF(D6545=7,1,(IF(WEEKDAY(B6545)=1,2,IF(WEEKDAY(B6545)=7,1,0))))))</f>
        <v>2</v>
      </c>
      <c r="G6545" s="369">
        <f>VLOOKUP(C6545,METADATA!$J$5:$Q$29,IF(E6545="HI",2,IF(E6545="LO",6,10))+IF(D6545=1,2,IF(D6545=7,1,(IF(WEEKDAY(B6545)=1,2,IF(WEEKDAY(B6545)=7,1,0))))))</f>
        <v>2</v>
      </c>
      <c r="H6545" s="370">
        <v>13350.025207519531</v>
      </c>
      <c r="I6545" s="370">
        <v>3859.9549560546875</v>
      </c>
      <c r="M6545" s="371">
        <f t="shared" si="409"/>
        <v>13896.849474041879</v>
      </c>
      <c r="N6545" s="329">
        <f t="shared" si="410"/>
        <v>0</v>
      </c>
      <c r="T6545" s="331">
        <v>0</v>
      </c>
      <c r="U6545" s="328">
        <f>VLOOKUP(C6545,METADATA!$J$5:$Q$29,IF(E6545="HI",2,IF(E6545="LO",6,10))+IF(T6545=1,2,IF(D6545=7,1,(IF(WEEKDAY(B6545)=1,2,IF(WEEKDAY(B6545)=7,1,0))))))</f>
        <v>2</v>
      </c>
      <c r="V6545" s="328">
        <f>VLOOKUP(C6545,METADATA!$A$5:$H$29,IF(E6545="HI",2,IF(E6545="LO",6,10))+IF(T6545=1,2,IF(D6545=7,1,(IF(WEEKDAY(B6545)=1,2,IF(WEEKDAY(B6545)=7,1,0))))))</f>
        <v>2</v>
      </c>
    </row>
    <row r="6546" spans="2:22">
      <c r="B6546" s="318">
        <f t="shared" si="407"/>
        <v>46385</v>
      </c>
      <c r="C6546" s="312">
        <v>14</v>
      </c>
      <c r="D6546" s="368">
        <f>IFERROR((INDEX(METADATA!$T$2:$T$20,MATCH(B6546,METADATA!$S$2:$S$20,0))),0)</f>
        <v>0</v>
      </c>
      <c r="E6546" s="312" t="str">
        <f t="shared" si="408"/>
        <v>LO</v>
      </c>
      <c r="F6546" s="369">
        <f>VLOOKUP(C6546,METADATA!$A$5:$H$29,IF(E6546="HI",2,IF(E6546="LO",6,10))+IF(D6546=1,2,IF(D6546=7,1,(IF(WEEKDAY(B6546)=1,2,IF(WEEKDAY(B6546)=7,1,0))))))</f>
        <v>2</v>
      </c>
      <c r="G6546" s="369">
        <f>VLOOKUP(C6546,METADATA!$J$5:$Q$29,IF(E6546="HI",2,IF(E6546="LO",6,10))+IF(D6546=1,2,IF(D6546=7,1,(IF(WEEKDAY(B6546)=1,2,IF(WEEKDAY(B6546)=7,1,0))))))</f>
        <v>2</v>
      </c>
      <c r="H6546" s="370">
        <v>13254.600158691406</v>
      </c>
      <c r="I6546" s="370">
        <v>3906.6299743652344</v>
      </c>
      <c r="M6546" s="371">
        <f t="shared" si="409"/>
        <v>13818.327797653055</v>
      </c>
      <c r="N6546" s="329">
        <f t="shared" si="410"/>
        <v>0</v>
      </c>
      <c r="T6546" s="331">
        <v>0</v>
      </c>
      <c r="U6546" s="328">
        <f>VLOOKUP(C6546,METADATA!$J$5:$Q$29,IF(E6546="HI",2,IF(E6546="LO",6,10))+IF(T6546=1,2,IF(D6546=7,1,(IF(WEEKDAY(B6546)=1,2,IF(WEEKDAY(B6546)=7,1,0))))))</f>
        <v>2</v>
      </c>
      <c r="V6546" s="328">
        <f>VLOOKUP(C6546,METADATA!$A$5:$H$29,IF(E6546="HI",2,IF(E6546="LO",6,10))+IF(T6546=1,2,IF(D6546=7,1,(IF(WEEKDAY(B6546)=1,2,IF(WEEKDAY(B6546)=7,1,0))))))</f>
        <v>2</v>
      </c>
    </row>
    <row r="6547" spans="2:22">
      <c r="B6547" s="318">
        <f t="shared" si="407"/>
        <v>46385</v>
      </c>
      <c r="C6547" s="312">
        <v>15</v>
      </c>
      <c r="D6547" s="368">
        <f>IFERROR((INDEX(METADATA!$T$2:$T$20,MATCH(B6547,METADATA!$S$2:$S$20,0))),0)</f>
        <v>0</v>
      </c>
      <c r="E6547" s="312" t="str">
        <f t="shared" si="408"/>
        <v>LO</v>
      </c>
      <c r="F6547" s="369">
        <f>VLOOKUP(C6547,METADATA!$A$5:$H$29,IF(E6547="HI",2,IF(E6547="LO",6,10))+IF(D6547=1,2,IF(D6547=7,1,(IF(WEEKDAY(B6547)=1,2,IF(WEEKDAY(B6547)=7,1,0))))))</f>
        <v>2</v>
      </c>
      <c r="G6547" s="369">
        <f>VLOOKUP(C6547,METADATA!$J$5:$Q$29,IF(E6547="HI",2,IF(E6547="LO",6,10))+IF(D6547=1,2,IF(D6547=7,1,(IF(WEEKDAY(B6547)=1,2,IF(WEEKDAY(B6547)=7,1,0))))))</f>
        <v>2</v>
      </c>
      <c r="H6547" s="370">
        <v>13395.924865722656</v>
      </c>
      <c r="I6547" s="370">
        <v>4082.965087890625</v>
      </c>
      <c r="M6547" s="371">
        <f t="shared" si="409"/>
        <v>14004.335290081435</v>
      </c>
      <c r="N6547" s="329">
        <f t="shared" si="410"/>
        <v>64.187628173828216</v>
      </c>
      <c r="T6547" s="331">
        <v>0</v>
      </c>
      <c r="U6547" s="328">
        <f>VLOOKUP(C6547,METADATA!$J$5:$Q$29,IF(E6547="HI",2,IF(E6547="LO",6,10))+IF(T6547=1,2,IF(D6547=7,1,(IF(WEEKDAY(B6547)=1,2,IF(WEEKDAY(B6547)=7,1,0))))))</f>
        <v>2</v>
      </c>
      <c r="V6547" s="328">
        <f>VLOOKUP(C6547,METADATA!$A$5:$H$29,IF(E6547="HI",2,IF(E6547="LO",6,10))+IF(T6547=1,2,IF(D6547=7,1,(IF(WEEKDAY(B6547)=1,2,IF(WEEKDAY(B6547)=7,1,0))))))</f>
        <v>2</v>
      </c>
    </row>
    <row r="6548" spans="2:22">
      <c r="B6548" s="318">
        <f t="shared" si="407"/>
        <v>46385</v>
      </c>
      <c r="C6548" s="312">
        <v>16</v>
      </c>
      <c r="D6548" s="368">
        <f>IFERROR((INDEX(METADATA!$T$2:$T$20,MATCH(B6548,METADATA!$S$2:$S$20,0))),0)</f>
        <v>0</v>
      </c>
      <c r="E6548" s="312" t="str">
        <f t="shared" si="408"/>
        <v>LO</v>
      </c>
      <c r="F6548" s="369">
        <f>VLOOKUP(C6548,METADATA!$A$5:$H$29,IF(E6548="HI",2,IF(E6548="LO",6,10))+IF(D6548=1,2,IF(D6548=7,1,(IF(WEEKDAY(B6548)=1,2,IF(WEEKDAY(B6548)=7,1,0))))))</f>
        <v>2</v>
      </c>
      <c r="G6548" s="369">
        <f>VLOOKUP(C6548,METADATA!$J$5:$Q$29,IF(E6548="HI",2,IF(E6548="LO",6,10))+IF(D6548=1,2,IF(D6548=7,1,(IF(WEEKDAY(B6548)=1,2,IF(WEEKDAY(B6548)=7,1,0))))))</f>
        <v>2</v>
      </c>
      <c r="H6548" s="370">
        <v>13399.549987792969</v>
      </c>
      <c r="I6548" s="370">
        <v>4126.7200012207031</v>
      </c>
      <c r="M6548" s="371">
        <f t="shared" si="409"/>
        <v>14020.619024987362</v>
      </c>
      <c r="N6548" s="329">
        <f t="shared" si="410"/>
        <v>106.85500488281286</v>
      </c>
      <c r="T6548" s="331">
        <v>0</v>
      </c>
      <c r="U6548" s="328">
        <f>VLOOKUP(C6548,METADATA!$J$5:$Q$29,IF(E6548="HI",2,IF(E6548="LO",6,10))+IF(T6548=1,2,IF(D6548=7,1,(IF(WEEKDAY(B6548)=1,2,IF(WEEKDAY(B6548)=7,1,0))))))</f>
        <v>2</v>
      </c>
      <c r="V6548" s="328">
        <f>VLOOKUP(C6548,METADATA!$A$5:$H$29,IF(E6548="HI",2,IF(E6548="LO",6,10))+IF(T6548=1,2,IF(D6548=7,1,(IF(WEEKDAY(B6548)=1,2,IF(WEEKDAY(B6548)=7,1,0))))))</f>
        <v>2</v>
      </c>
    </row>
    <row r="6549" spans="2:22">
      <c r="B6549" s="318">
        <f t="shared" si="407"/>
        <v>46385</v>
      </c>
      <c r="C6549" s="312">
        <v>17</v>
      </c>
      <c r="D6549" s="368">
        <f>IFERROR((INDEX(METADATA!$T$2:$T$20,MATCH(B6549,METADATA!$S$2:$S$20,0))),0)</f>
        <v>0</v>
      </c>
      <c r="E6549" s="312" t="str">
        <f t="shared" si="408"/>
        <v>LO</v>
      </c>
      <c r="F6549" s="369">
        <f>VLOOKUP(C6549,METADATA!$A$5:$H$29,IF(E6549="HI",2,IF(E6549="LO",6,10))+IF(D6549=1,2,IF(D6549=7,1,(IF(WEEKDAY(B6549)=1,2,IF(WEEKDAY(B6549)=7,1,0))))))</f>
        <v>2</v>
      </c>
      <c r="G6549" s="369">
        <f>VLOOKUP(C6549,METADATA!$J$5:$Q$29,IF(E6549="HI",2,IF(E6549="LO",6,10))+IF(D6549=1,2,IF(D6549=7,1,(IF(WEEKDAY(B6549)=1,2,IF(WEEKDAY(B6549)=7,1,0))))))</f>
        <v>2</v>
      </c>
      <c r="H6549" s="370">
        <v>13421.5</v>
      </c>
      <c r="I6549" s="370">
        <v>4108.364990234375</v>
      </c>
      <c r="M6549" s="371">
        <f t="shared" si="409"/>
        <v>14036.214772615283</v>
      </c>
      <c r="N6549" s="329">
        <f t="shared" si="410"/>
        <v>81.914990234375182</v>
      </c>
      <c r="T6549" s="331">
        <v>0</v>
      </c>
      <c r="U6549" s="328">
        <f>VLOOKUP(C6549,METADATA!$J$5:$Q$29,IF(E6549="HI",2,IF(E6549="LO",6,10))+IF(T6549=1,2,IF(D6549=7,1,(IF(WEEKDAY(B6549)=1,2,IF(WEEKDAY(B6549)=7,1,0))))))</f>
        <v>2</v>
      </c>
      <c r="V6549" s="328">
        <f>VLOOKUP(C6549,METADATA!$A$5:$H$29,IF(E6549="HI",2,IF(E6549="LO",6,10))+IF(T6549=1,2,IF(D6549=7,1,(IF(WEEKDAY(B6549)=1,2,IF(WEEKDAY(B6549)=7,1,0))))))</f>
        <v>2</v>
      </c>
    </row>
    <row r="6550" spans="2:22">
      <c r="B6550" s="318">
        <f t="shared" si="407"/>
        <v>46385</v>
      </c>
      <c r="C6550" s="312">
        <v>18</v>
      </c>
      <c r="D6550" s="368">
        <f>IFERROR((INDEX(METADATA!$T$2:$T$20,MATCH(B6550,METADATA!$S$2:$S$20,0))),0)</f>
        <v>0</v>
      </c>
      <c r="E6550" s="312" t="str">
        <f t="shared" si="408"/>
        <v>LO</v>
      </c>
      <c r="F6550" s="369">
        <f>VLOOKUP(C6550,METADATA!$A$5:$H$29,IF(E6550="HI",2,IF(E6550="LO",6,10))+IF(D6550=1,2,IF(D6550=7,1,(IF(WEEKDAY(B6550)=1,2,IF(WEEKDAY(B6550)=7,1,0))))))</f>
        <v>1</v>
      </c>
      <c r="G6550" s="369">
        <f>VLOOKUP(C6550,METADATA!$J$5:$Q$29,IF(E6550="HI",2,IF(E6550="LO",6,10))+IF(D6550=1,2,IF(D6550=7,1,(IF(WEEKDAY(B6550)=1,2,IF(WEEKDAY(B6550)=7,1,0))))))</f>
        <v>1</v>
      </c>
      <c r="H6550" s="370">
        <v>13488.374816894531</v>
      </c>
      <c r="I6550" s="370">
        <v>4216.9649658203125</v>
      </c>
      <c r="M6550" s="371">
        <f t="shared" si="409"/>
        <v>14132.19900525005</v>
      </c>
      <c r="N6550" s="329">
        <f t="shared" si="410"/>
        <v>170.45252075195322</v>
      </c>
      <c r="T6550" s="331">
        <v>0</v>
      </c>
      <c r="U6550" s="328">
        <f>VLOOKUP(C6550,METADATA!$J$5:$Q$29,IF(E6550="HI",2,IF(E6550="LO",6,10))+IF(T6550=1,2,IF(D6550=7,1,(IF(WEEKDAY(B6550)=1,2,IF(WEEKDAY(B6550)=7,1,0))))))</f>
        <v>1</v>
      </c>
      <c r="V6550" s="328">
        <f>VLOOKUP(C6550,METADATA!$A$5:$H$29,IF(E6550="HI",2,IF(E6550="LO",6,10))+IF(T6550=1,2,IF(D6550=7,1,(IF(WEEKDAY(B6550)=1,2,IF(WEEKDAY(B6550)=7,1,0))))))</f>
        <v>1</v>
      </c>
    </row>
    <row r="6551" spans="2:22">
      <c r="B6551" s="318">
        <f t="shared" si="407"/>
        <v>46385</v>
      </c>
      <c r="C6551" s="312">
        <v>19</v>
      </c>
      <c r="D6551" s="368">
        <f>IFERROR((INDEX(METADATA!$T$2:$T$20,MATCH(B6551,METADATA!$S$2:$S$20,0))),0)</f>
        <v>0</v>
      </c>
      <c r="E6551" s="312" t="str">
        <f t="shared" si="408"/>
        <v>LO</v>
      </c>
      <c r="F6551" s="369">
        <f>VLOOKUP(C6551,METADATA!$A$5:$H$29,IF(E6551="HI",2,IF(E6551="LO",6,10))+IF(D6551=1,2,IF(D6551=7,1,(IF(WEEKDAY(B6551)=1,2,IF(WEEKDAY(B6551)=7,1,0))))))</f>
        <v>1</v>
      </c>
      <c r="G6551" s="369">
        <f>VLOOKUP(C6551,METADATA!$J$5:$Q$29,IF(E6551="HI",2,IF(E6551="LO",6,10))+IF(D6551=1,2,IF(D6551=7,1,(IF(WEEKDAY(B6551)=1,2,IF(WEEKDAY(B6551)=7,1,0))))))</f>
        <v>1</v>
      </c>
      <c r="H6551" s="370">
        <v>13572.124877929688</v>
      </c>
      <c r="I6551" s="370">
        <v>4172.3799743652344</v>
      </c>
      <c r="M6551" s="371">
        <f t="shared" si="409"/>
        <v>14198.990399060136</v>
      </c>
      <c r="N6551" s="329">
        <f t="shared" si="410"/>
        <v>100.7425109863284</v>
      </c>
      <c r="T6551" s="331">
        <v>0</v>
      </c>
      <c r="U6551" s="328">
        <f>VLOOKUP(C6551,METADATA!$J$5:$Q$29,IF(E6551="HI",2,IF(E6551="LO",6,10))+IF(T6551=1,2,IF(D6551=7,1,(IF(WEEKDAY(B6551)=1,2,IF(WEEKDAY(B6551)=7,1,0))))))</f>
        <v>1</v>
      </c>
      <c r="V6551" s="328">
        <f>VLOOKUP(C6551,METADATA!$A$5:$H$29,IF(E6551="HI",2,IF(E6551="LO",6,10))+IF(T6551=1,2,IF(D6551=7,1,(IF(WEEKDAY(B6551)=1,2,IF(WEEKDAY(B6551)=7,1,0))))))</f>
        <v>1</v>
      </c>
    </row>
    <row r="6552" spans="2:22">
      <c r="B6552" s="318">
        <f t="shared" si="407"/>
        <v>46385</v>
      </c>
      <c r="C6552" s="312">
        <v>20</v>
      </c>
      <c r="D6552" s="368">
        <f>IFERROR((INDEX(METADATA!$T$2:$T$20,MATCH(B6552,METADATA!$S$2:$S$20,0))),0)</f>
        <v>0</v>
      </c>
      <c r="E6552" s="312" t="str">
        <f t="shared" si="408"/>
        <v>LO</v>
      </c>
      <c r="F6552" s="369">
        <f>VLOOKUP(C6552,METADATA!$A$5:$H$29,IF(E6552="HI",2,IF(E6552="LO",6,10))+IF(D6552=1,2,IF(D6552=7,1,(IF(WEEKDAY(B6552)=1,2,IF(WEEKDAY(B6552)=7,1,0))))))</f>
        <v>1</v>
      </c>
      <c r="G6552" s="369">
        <f>VLOOKUP(C6552,METADATA!$J$5:$Q$29,IF(E6552="HI",2,IF(E6552="LO",6,10))+IF(D6552=1,2,IF(D6552=7,1,(IF(WEEKDAY(B6552)=1,2,IF(WEEKDAY(B6552)=7,1,0))))))</f>
        <v>1</v>
      </c>
      <c r="H6552" s="370">
        <v>13394.47509765625</v>
      </c>
      <c r="I6552" s="370">
        <v>4093.9499816894531</v>
      </c>
      <c r="M6552" s="371">
        <f t="shared" si="409"/>
        <v>14006.155418040616</v>
      </c>
      <c r="N6552" s="329">
        <f t="shared" si="410"/>
        <v>75.607452392578125</v>
      </c>
      <c r="T6552" s="331">
        <v>0</v>
      </c>
      <c r="U6552" s="328">
        <f>VLOOKUP(C6552,METADATA!$J$5:$Q$29,IF(E6552="HI",2,IF(E6552="LO",6,10))+IF(T6552=1,2,IF(D6552=7,1,(IF(WEEKDAY(B6552)=1,2,IF(WEEKDAY(B6552)=7,1,0))))))</f>
        <v>1</v>
      </c>
      <c r="V6552" s="328">
        <f>VLOOKUP(C6552,METADATA!$A$5:$H$29,IF(E6552="HI",2,IF(E6552="LO",6,10))+IF(T6552=1,2,IF(D6552=7,1,(IF(WEEKDAY(B6552)=1,2,IF(WEEKDAY(B6552)=7,1,0))))))</f>
        <v>1</v>
      </c>
    </row>
    <row r="6553" spans="2:22">
      <c r="B6553" s="318">
        <f t="shared" si="407"/>
        <v>46385</v>
      </c>
      <c r="C6553" s="312">
        <v>21</v>
      </c>
      <c r="D6553" s="368">
        <f>IFERROR((INDEX(METADATA!$T$2:$T$20,MATCH(B6553,METADATA!$S$2:$S$20,0))),0)</f>
        <v>0</v>
      </c>
      <c r="E6553" s="312" t="str">
        <f t="shared" si="408"/>
        <v>LO</v>
      </c>
      <c r="F6553" s="369">
        <f>VLOOKUP(C6553,METADATA!$A$5:$H$29,IF(E6553="HI",2,IF(E6553="LO",6,10))+IF(D6553=1,2,IF(D6553=7,1,(IF(WEEKDAY(B6553)=1,2,IF(WEEKDAY(B6553)=7,1,0))))))</f>
        <v>2</v>
      </c>
      <c r="G6553" s="369">
        <f>VLOOKUP(C6553,METADATA!$J$5:$Q$29,IF(E6553="HI",2,IF(E6553="LO",6,10))+IF(D6553=1,2,IF(D6553=7,1,(IF(WEEKDAY(B6553)=1,2,IF(WEEKDAY(B6553)=7,1,0))))))</f>
        <v>2</v>
      </c>
      <c r="H6553" s="370">
        <v>13391.725280761719</v>
      </c>
      <c r="I6553" s="370">
        <v>4099.5349731445313</v>
      </c>
      <c r="M6553" s="371">
        <f t="shared" si="409"/>
        <v>14005.159513244669</v>
      </c>
      <c r="N6553" s="329">
        <f t="shared" si="410"/>
        <v>82.017388916015989</v>
      </c>
      <c r="T6553" s="331">
        <v>0</v>
      </c>
      <c r="U6553" s="328">
        <f>VLOOKUP(C6553,METADATA!$J$5:$Q$29,IF(E6553="HI",2,IF(E6553="LO",6,10))+IF(T6553=1,2,IF(D6553=7,1,(IF(WEEKDAY(B6553)=1,2,IF(WEEKDAY(B6553)=7,1,0))))))</f>
        <v>2</v>
      </c>
      <c r="V6553" s="328">
        <f>VLOOKUP(C6553,METADATA!$A$5:$H$29,IF(E6553="HI",2,IF(E6553="LO",6,10))+IF(T6553=1,2,IF(D6553=7,1,(IF(WEEKDAY(B6553)=1,2,IF(WEEKDAY(B6553)=7,1,0))))))</f>
        <v>2</v>
      </c>
    </row>
    <row r="6554" spans="2:22">
      <c r="B6554" s="318">
        <f t="shared" si="407"/>
        <v>46385</v>
      </c>
      <c r="C6554" s="312">
        <v>22</v>
      </c>
      <c r="D6554" s="368">
        <f>IFERROR((INDEX(METADATA!$T$2:$T$20,MATCH(B6554,METADATA!$S$2:$S$20,0))),0)</f>
        <v>0</v>
      </c>
      <c r="E6554" s="312" t="str">
        <f t="shared" si="408"/>
        <v>LO</v>
      </c>
      <c r="F6554" s="369">
        <f>VLOOKUP(C6554,METADATA!$A$5:$H$29,IF(E6554="HI",2,IF(E6554="LO",6,10))+IF(D6554=1,2,IF(D6554=7,1,(IF(WEEKDAY(B6554)=1,2,IF(WEEKDAY(B6554)=7,1,0))))))</f>
        <v>3</v>
      </c>
      <c r="G6554" s="369">
        <f>VLOOKUP(C6554,METADATA!$J$5:$Q$29,IF(E6554="HI",2,IF(E6554="LO",6,10))+IF(D6554=1,2,IF(D6554=7,1,(IF(WEEKDAY(B6554)=1,2,IF(WEEKDAY(B6554)=7,1,0))))))</f>
        <v>3</v>
      </c>
      <c r="H6554" s="370">
        <v>13226.000183105469</v>
      </c>
      <c r="I6554" s="370">
        <v>4041.5299987792969</v>
      </c>
      <c r="M6554" s="371">
        <f t="shared" si="409"/>
        <v>13829.716033763632</v>
      </c>
      <c r="N6554" s="329">
        <f t="shared" si="410"/>
        <v>73.729943847656614</v>
      </c>
      <c r="T6554" s="331">
        <v>0</v>
      </c>
      <c r="U6554" s="328">
        <f>VLOOKUP(C6554,METADATA!$J$5:$Q$29,IF(E6554="HI",2,IF(E6554="LO",6,10))+IF(T6554=1,2,IF(D6554=7,1,(IF(WEEKDAY(B6554)=1,2,IF(WEEKDAY(B6554)=7,1,0))))))</f>
        <v>3</v>
      </c>
      <c r="V6554" s="328">
        <f>VLOOKUP(C6554,METADATA!$A$5:$H$29,IF(E6554="HI",2,IF(E6554="LO",6,10))+IF(T6554=1,2,IF(D6554=7,1,(IF(WEEKDAY(B6554)=1,2,IF(WEEKDAY(B6554)=7,1,0))))))</f>
        <v>3</v>
      </c>
    </row>
    <row r="6555" spans="2:22">
      <c r="B6555" s="318">
        <f t="shared" si="407"/>
        <v>46385</v>
      </c>
      <c r="C6555" s="312">
        <v>23</v>
      </c>
      <c r="D6555" s="368">
        <f>IFERROR((INDEX(METADATA!$T$2:$T$20,MATCH(B6555,METADATA!$S$2:$S$20,0))),0)</f>
        <v>0</v>
      </c>
      <c r="E6555" s="312" t="str">
        <f t="shared" si="408"/>
        <v>LO</v>
      </c>
      <c r="F6555" s="369">
        <f>VLOOKUP(C6555,METADATA!$A$5:$H$29,IF(E6555="HI",2,IF(E6555="LO",6,10))+IF(D6555=1,2,IF(D6555=7,1,(IF(WEEKDAY(B6555)=1,2,IF(WEEKDAY(B6555)=7,1,0))))))</f>
        <v>3</v>
      </c>
      <c r="G6555" s="369">
        <f>VLOOKUP(C6555,METADATA!$J$5:$Q$29,IF(E6555="HI",2,IF(E6555="LO",6,10))+IF(D6555=1,2,IF(D6555=7,1,(IF(WEEKDAY(B6555)=1,2,IF(WEEKDAY(B6555)=7,1,0))))))</f>
        <v>3</v>
      </c>
      <c r="H6555" s="370">
        <v>13310.224975585938</v>
      </c>
      <c r="I6555" s="370">
        <v>4068.7301330566406</v>
      </c>
      <c r="M6555" s="371">
        <f t="shared" si="409"/>
        <v>13918.213024535684</v>
      </c>
      <c r="N6555" s="329">
        <f t="shared" si="410"/>
        <v>75.662640380859557</v>
      </c>
      <c r="T6555" s="331">
        <v>0</v>
      </c>
      <c r="U6555" s="328">
        <f>VLOOKUP(C6555,METADATA!$J$5:$Q$29,IF(E6555="HI",2,IF(E6555="LO",6,10))+IF(T6555=1,2,IF(D6555=7,1,(IF(WEEKDAY(B6555)=1,2,IF(WEEKDAY(B6555)=7,1,0))))))</f>
        <v>3</v>
      </c>
      <c r="V6555" s="328">
        <f>VLOOKUP(C6555,METADATA!$A$5:$H$29,IF(E6555="HI",2,IF(E6555="LO",6,10))+IF(T6555=1,2,IF(D6555=7,1,(IF(WEEKDAY(B6555)=1,2,IF(WEEKDAY(B6555)=7,1,0))))))</f>
        <v>3</v>
      </c>
    </row>
    <row r="6556" spans="2:22">
      <c r="B6556" s="318">
        <f t="shared" ref="B6556:B6619" si="411">B6532+1</f>
        <v>46386</v>
      </c>
      <c r="C6556" s="312">
        <v>0</v>
      </c>
      <c r="D6556" s="368">
        <f>IFERROR((INDEX(METADATA!$T$2:$T$20,MATCH(B6556,METADATA!$S$2:$S$20,0))),0)</f>
        <v>0</v>
      </c>
      <c r="E6556" s="312" t="str">
        <f t="shared" si="408"/>
        <v>LO</v>
      </c>
      <c r="F6556" s="369">
        <f>VLOOKUP(C6556,METADATA!$A$5:$H$29,IF(E6556="HI",2,IF(E6556="LO",6,10))+IF(D6556=1,2,IF(D6556=7,1,(IF(WEEKDAY(B6556)=1,2,IF(WEEKDAY(B6556)=7,1,0))))))</f>
        <v>3</v>
      </c>
      <c r="G6556" s="369">
        <f>VLOOKUP(C6556,METADATA!$J$5:$Q$29,IF(E6556="HI",2,IF(E6556="LO",6,10))+IF(D6556=1,2,IF(D6556=7,1,(IF(WEEKDAY(B6556)=1,2,IF(WEEKDAY(B6556)=7,1,0))))))</f>
        <v>3</v>
      </c>
      <c r="H6556" s="370">
        <v>13258.350341796875</v>
      </c>
      <c r="I6556" s="370">
        <v>4044.320068359375</v>
      </c>
      <c r="M6556" s="371">
        <f t="shared" si="409"/>
        <v>13861.471011446069</v>
      </c>
      <c r="N6556" s="329">
        <f t="shared" si="410"/>
        <v>66.814965820312864</v>
      </c>
      <c r="T6556" s="331">
        <v>0</v>
      </c>
      <c r="U6556" s="328">
        <f>VLOOKUP(C6556,METADATA!$J$5:$Q$29,IF(E6556="HI",2,IF(E6556="LO",6,10))+IF(T6556=1,2,IF(D6556=7,1,(IF(WEEKDAY(B6556)=1,2,IF(WEEKDAY(B6556)=7,1,0))))))</f>
        <v>3</v>
      </c>
      <c r="V6556" s="328">
        <f>VLOOKUP(C6556,METADATA!$A$5:$H$29,IF(E6556="HI",2,IF(E6556="LO",6,10))+IF(T6556=1,2,IF(D6556=7,1,(IF(WEEKDAY(B6556)=1,2,IF(WEEKDAY(B6556)=7,1,0))))))</f>
        <v>3</v>
      </c>
    </row>
    <row r="6557" spans="2:22">
      <c r="B6557" s="318">
        <f t="shared" si="411"/>
        <v>46386</v>
      </c>
      <c r="C6557" s="312">
        <v>1</v>
      </c>
      <c r="D6557" s="368">
        <f>IFERROR((INDEX(METADATA!$T$2:$T$20,MATCH(B6557,METADATA!$S$2:$S$20,0))),0)</f>
        <v>0</v>
      </c>
      <c r="E6557" s="312" t="str">
        <f t="shared" si="408"/>
        <v>LO</v>
      </c>
      <c r="F6557" s="369">
        <f>VLOOKUP(C6557,METADATA!$A$5:$H$29,IF(E6557="HI",2,IF(E6557="LO",6,10))+IF(D6557=1,2,IF(D6557=7,1,(IF(WEEKDAY(B6557)=1,2,IF(WEEKDAY(B6557)=7,1,0))))))</f>
        <v>3</v>
      </c>
      <c r="G6557" s="369">
        <f>VLOOKUP(C6557,METADATA!$J$5:$Q$29,IF(E6557="HI",2,IF(E6557="LO",6,10))+IF(D6557=1,2,IF(D6557=7,1,(IF(WEEKDAY(B6557)=1,2,IF(WEEKDAY(B6557)=7,1,0))))))</f>
        <v>3</v>
      </c>
      <c r="H6557" s="370">
        <v>13463.02490234375</v>
      </c>
      <c r="I6557" s="370">
        <v>4205.5500793457031</v>
      </c>
      <c r="M6557" s="371">
        <f t="shared" si="409"/>
        <v>14104.598221537988</v>
      </c>
      <c r="N6557" s="329">
        <f t="shared" si="410"/>
        <v>166.64260864257813</v>
      </c>
      <c r="T6557" s="331">
        <v>0</v>
      </c>
      <c r="U6557" s="328">
        <f>VLOOKUP(C6557,METADATA!$J$5:$Q$29,IF(E6557="HI",2,IF(E6557="LO",6,10))+IF(T6557=1,2,IF(D6557=7,1,(IF(WEEKDAY(B6557)=1,2,IF(WEEKDAY(B6557)=7,1,0))))))</f>
        <v>3</v>
      </c>
      <c r="V6557" s="328">
        <f>VLOOKUP(C6557,METADATA!$A$5:$H$29,IF(E6557="HI",2,IF(E6557="LO",6,10))+IF(T6557=1,2,IF(D6557=7,1,(IF(WEEKDAY(B6557)=1,2,IF(WEEKDAY(B6557)=7,1,0))))))</f>
        <v>3</v>
      </c>
    </row>
    <row r="6558" spans="2:22">
      <c r="B6558" s="318">
        <f t="shared" si="411"/>
        <v>46386</v>
      </c>
      <c r="C6558" s="312">
        <v>2</v>
      </c>
      <c r="D6558" s="368">
        <f>IFERROR((INDEX(METADATA!$T$2:$T$20,MATCH(B6558,METADATA!$S$2:$S$20,0))),0)</f>
        <v>0</v>
      </c>
      <c r="E6558" s="312" t="str">
        <f t="shared" si="408"/>
        <v>LO</v>
      </c>
      <c r="F6558" s="369">
        <f>VLOOKUP(C6558,METADATA!$A$5:$H$29,IF(E6558="HI",2,IF(E6558="LO",6,10))+IF(D6558=1,2,IF(D6558=7,1,(IF(WEEKDAY(B6558)=1,2,IF(WEEKDAY(B6558)=7,1,0))))))</f>
        <v>3</v>
      </c>
      <c r="G6558" s="369">
        <f>VLOOKUP(C6558,METADATA!$J$5:$Q$29,IF(E6558="HI",2,IF(E6558="LO",6,10))+IF(D6558=1,2,IF(D6558=7,1,(IF(WEEKDAY(B6558)=1,2,IF(WEEKDAY(B6558)=7,1,0))))))</f>
        <v>3</v>
      </c>
      <c r="H6558" s="370">
        <v>13704.249938964844</v>
      </c>
      <c r="I6558" s="370">
        <v>4463.5050048828125</v>
      </c>
      <c r="M6558" s="371">
        <f t="shared" si="409"/>
        <v>14412.818715235124</v>
      </c>
      <c r="N6558" s="329">
        <f t="shared" si="410"/>
        <v>352.23002319335956</v>
      </c>
      <c r="T6558" s="331">
        <v>0</v>
      </c>
      <c r="U6558" s="328">
        <f>VLOOKUP(C6558,METADATA!$J$5:$Q$29,IF(E6558="HI",2,IF(E6558="LO",6,10))+IF(T6558=1,2,IF(D6558=7,1,(IF(WEEKDAY(B6558)=1,2,IF(WEEKDAY(B6558)=7,1,0))))))</f>
        <v>3</v>
      </c>
      <c r="V6558" s="328">
        <f>VLOOKUP(C6558,METADATA!$A$5:$H$29,IF(E6558="HI",2,IF(E6558="LO",6,10))+IF(T6558=1,2,IF(D6558=7,1,(IF(WEEKDAY(B6558)=1,2,IF(WEEKDAY(B6558)=7,1,0))))))</f>
        <v>3</v>
      </c>
    </row>
    <row r="6559" spans="2:22">
      <c r="B6559" s="318">
        <f t="shared" si="411"/>
        <v>46386</v>
      </c>
      <c r="C6559" s="312">
        <v>3</v>
      </c>
      <c r="D6559" s="368">
        <f>IFERROR((INDEX(METADATA!$T$2:$T$20,MATCH(B6559,METADATA!$S$2:$S$20,0))),0)</f>
        <v>0</v>
      </c>
      <c r="E6559" s="312" t="str">
        <f t="shared" si="408"/>
        <v>LO</v>
      </c>
      <c r="F6559" s="369">
        <f>VLOOKUP(C6559,METADATA!$A$5:$H$29,IF(E6559="HI",2,IF(E6559="LO",6,10))+IF(D6559=1,2,IF(D6559=7,1,(IF(WEEKDAY(B6559)=1,2,IF(WEEKDAY(B6559)=7,1,0))))))</f>
        <v>3</v>
      </c>
      <c r="G6559" s="369">
        <f>VLOOKUP(C6559,METADATA!$J$5:$Q$29,IF(E6559="HI",2,IF(E6559="LO",6,10))+IF(D6559=1,2,IF(D6559=7,1,(IF(WEEKDAY(B6559)=1,2,IF(WEEKDAY(B6559)=7,1,0))))))</f>
        <v>3</v>
      </c>
      <c r="H6559" s="370">
        <v>13577.025268554688</v>
      </c>
      <c r="I6559" s="370">
        <v>4401.2300720214844</v>
      </c>
      <c r="M6559" s="371">
        <f t="shared" si="409"/>
        <v>14272.576546995244</v>
      </c>
      <c r="N6559" s="329">
        <f t="shared" si="410"/>
        <v>328.12249145507849</v>
      </c>
      <c r="T6559" s="331">
        <v>0</v>
      </c>
      <c r="U6559" s="328">
        <f>VLOOKUP(C6559,METADATA!$J$5:$Q$29,IF(E6559="HI",2,IF(E6559="LO",6,10))+IF(T6559=1,2,IF(D6559=7,1,(IF(WEEKDAY(B6559)=1,2,IF(WEEKDAY(B6559)=7,1,0))))))</f>
        <v>3</v>
      </c>
      <c r="V6559" s="328">
        <f>VLOOKUP(C6559,METADATA!$A$5:$H$29,IF(E6559="HI",2,IF(E6559="LO",6,10))+IF(T6559=1,2,IF(D6559=7,1,(IF(WEEKDAY(B6559)=1,2,IF(WEEKDAY(B6559)=7,1,0))))))</f>
        <v>3</v>
      </c>
    </row>
    <row r="6560" spans="2:22">
      <c r="B6560" s="318">
        <f t="shared" si="411"/>
        <v>46386</v>
      </c>
      <c r="C6560" s="312">
        <v>4</v>
      </c>
      <c r="D6560" s="368">
        <f>IFERROR((INDEX(METADATA!$T$2:$T$20,MATCH(B6560,METADATA!$S$2:$S$20,0))),0)</f>
        <v>0</v>
      </c>
      <c r="E6560" s="312" t="str">
        <f t="shared" si="408"/>
        <v>LO</v>
      </c>
      <c r="F6560" s="369">
        <f>VLOOKUP(C6560,METADATA!$A$5:$H$29,IF(E6560="HI",2,IF(E6560="LO",6,10))+IF(D6560=1,2,IF(D6560=7,1,(IF(WEEKDAY(B6560)=1,2,IF(WEEKDAY(B6560)=7,1,0))))))</f>
        <v>3</v>
      </c>
      <c r="G6560" s="369">
        <f>VLOOKUP(C6560,METADATA!$J$5:$Q$29,IF(E6560="HI",2,IF(E6560="LO",6,10))+IF(D6560=1,2,IF(D6560=7,1,(IF(WEEKDAY(B6560)=1,2,IF(WEEKDAY(B6560)=7,1,0))))))</f>
        <v>3</v>
      </c>
      <c r="H6560" s="370">
        <v>13475.02490234375</v>
      </c>
      <c r="I6560" s="370">
        <v>4424.5850524902344</v>
      </c>
      <c r="M6560" s="371">
        <f t="shared" si="409"/>
        <v>14182.850524683117</v>
      </c>
      <c r="N6560" s="329">
        <f t="shared" si="410"/>
        <v>382.07758178710947</v>
      </c>
      <c r="T6560" s="331">
        <v>0</v>
      </c>
      <c r="U6560" s="328">
        <f>VLOOKUP(C6560,METADATA!$J$5:$Q$29,IF(E6560="HI",2,IF(E6560="LO",6,10))+IF(T6560=1,2,IF(D6560=7,1,(IF(WEEKDAY(B6560)=1,2,IF(WEEKDAY(B6560)=7,1,0))))))</f>
        <v>3</v>
      </c>
      <c r="V6560" s="328">
        <f>VLOOKUP(C6560,METADATA!$A$5:$H$29,IF(E6560="HI",2,IF(E6560="LO",6,10))+IF(T6560=1,2,IF(D6560=7,1,(IF(WEEKDAY(B6560)=1,2,IF(WEEKDAY(B6560)=7,1,0))))))</f>
        <v>3</v>
      </c>
    </row>
    <row r="6561" spans="2:22">
      <c r="B6561" s="318">
        <f t="shared" si="411"/>
        <v>46386</v>
      </c>
      <c r="C6561" s="312">
        <v>5</v>
      </c>
      <c r="D6561" s="368">
        <f>IFERROR((INDEX(METADATA!$T$2:$T$20,MATCH(B6561,METADATA!$S$2:$S$20,0))),0)</f>
        <v>0</v>
      </c>
      <c r="E6561" s="312" t="str">
        <f t="shared" si="408"/>
        <v>LO</v>
      </c>
      <c r="F6561" s="369">
        <f>VLOOKUP(C6561,METADATA!$A$5:$H$29,IF(E6561="HI",2,IF(E6561="LO",6,10))+IF(D6561=1,2,IF(D6561=7,1,(IF(WEEKDAY(B6561)=1,2,IF(WEEKDAY(B6561)=7,1,0))))))</f>
        <v>3</v>
      </c>
      <c r="G6561" s="369">
        <f>VLOOKUP(C6561,METADATA!$J$5:$Q$29,IF(E6561="HI",2,IF(E6561="LO",6,10))+IF(D6561=1,2,IF(D6561=7,1,(IF(WEEKDAY(B6561)=1,2,IF(WEEKDAY(B6561)=7,1,0))))))</f>
        <v>3</v>
      </c>
      <c r="H6561" s="370">
        <v>13518.299682617188</v>
      </c>
      <c r="I6561" s="370">
        <v>4336.2200317382813</v>
      </c>
      <c r="M6561" s="371">
        <f t="shared" si="409"/>
        <v>14196.733091549488</v>
      </c>
      <c r="N6561" s="329">
        <f t="shared" si="410"/>
        <v>280.73012695312536</v>
      </c>
      <c r="T6561" s="331">
        <v>0</v>
      </c>
      <c r="U6561" s="328">
        <f>VLOOKUP(C6561,METADATA!$J$5:$Q$29,IF(E6561="HI",2,IF(E6561="LO",6,10))+IF(T6561=1,2,IF(D6561=7,1,(IF(WEEKDAY(B6561)=1,2,IF(WEEKDAY(B6561)=7,1,0))))))</f>
        <v>3</v>
      </c>
      <c r="V6561" s="328">
        <f>VLOOKUP(C6561,METADATA!$A$5:$H$29,IF(E6561="HI",2,IF(E6561="LO",6,10))+IF(T6561=1,2,IF(D6561=7,1,(IF(WEEKDAY(B6561)=1,2,IF(WEEKDAY(B6561)=7,1,0))))))</f>
        <v>3</v>
      </c>
    </row>
    <row r="6562" spans="2:22">
      <c r="B6562" s="318">
        <f t="shared" si="411"/>
        <v>46386</v>
      </c>
      <c r="C6562" s="312">
        <v>6</v>
      </c>
      <c r="D6562" s="368">
        <f>IFERROR((INDEX(METADATA!$T$2:$T$20,MATCH(B6562,METADATA!$S$2:$S$20,0))),0)</f>
        <v>0</v>
      </c>
      <c r="E6562" s="312" t="str">
        <f t="shared" si="408"/>
        <v>LO</v>
      </c>
      <c r="F6562" s="369">
        <f>VLOOKUP(C6562,METADATA!$A$5:$H$29,IF(E6562="HI",2,IF(E6562="LO",6,10))+IF(D6562=1,2,IF(D6562=7,1,(IF(WEEKDAY(B6562)=1,2,IF(WEEKDAY(B6562)=7,1,0))))))</f>
        <v>2</v>
      </c>
      <c r="G6562" s="369">
        <f>VLOOKUP(C6562,METADATA!$J$5:$Q$29,IF(E6562="HI",2,IF(E6562="LO",6,10))+IF(D6562=1,2,IF(D6562=7,1,(IF(WEEKDAY(B6562)=1,2,IF(WEEKDAY(B6562)=7,1,0))))))</f>
        <v>2</v>
      </c>
      <c r="H6562" s="370">
        <v>13225.474670410156</v>
      </c>
      <c r="I6562" s="370">
        <v>4122.195068359375</v>
      </c>
      <c r="M6562" s="371">
        <f t="shared" si="409"/>
        <v>13853.002289730084</v>
      </c>
      <c r="N6562" s="329">
        <f t="shared" si="410"/>
        <v>154.55266723632849</v>
      </c>
      <c r="T6562" s="331">
        <v>0</v>
      </c>
      <c r="U6562" s="328">
        <f>VLOOKUP(C6562,METADATA!$J$5:$Q$29,IF(E6562="HI",2,IF(E6562="LO",6,10))+IF(T6562=1,2,IF(D6562=7,1,(IF(WEEKDAY(B6562)=1,2,IF(WEEKDAY(B6562)=7,1,0))))))</f>
        <v>2</v>
      </c>
      <c r="V6562" s="328">
        <f>VLOOKUP(C6562,METADATA!$A$5:$H$29,IF(E6562="HI",2,IF(E6562="LO",6,10))+IF(T6562=1,2,IF(D6562=7,1,(IF(WEEKDAY(B6562)=1,2,IF(WEEKDAY(B6562)=7,1,0))))))</f>
        <v>2</v>
      </c>
    </row>
    <row r="6563" spans="2:22">
      <c r="B6563" s="318">
        <f t="shared" si="411"/>
        <v>46386</v>
      </c>
      <c r="C6563" s="312">
        <v>7</v>
      </c>
      <c r="D6563" s="368">
        <f>IFERROR((INDEX(METADATA!$T$2:$T$20,MATCH(B6563,METADATA!$S$2:$S$20,0))),0)</f>
        <v>0</v>
      </c>
      <c r="E6563" s="312" t="str">
        <f t="shared" si="408"/>
        <v>LO</v>
      </c>
      <c r="F6563" s="369">
        <f>VLOOKUP(C6563,METADATA!$A$5:$H$29,IF(E6563="HI",2,IF(E6563="LO",6,10))+IF(D6563=1,2,IF(D6563=7,1,(IF(WEEKDAY(B6563)=1,2,IF(WEEKDAY(B6563)=7,1,0))))))</f>
        <v>1</v>
      </c>
      <c r="G6563" s="369">
        <f>VLOOKUP(C6563,METADATA!$J$5:$Q$29,IF(E6563="HI",2,IF(E6563="LO",6,10))+IF(D6563=1,2,IF(D6563=7,1,(IF(WEEKDAY(B6563)=1,2,IF(WEEKDAY(B6563)=7,1,0))))))</f>
        <v>1</v>
      </c>
      <c r="H6563" s="370">
        <v>13445.200134277344</v>
      </c>
      <c r="I6563" s="370">
        <v>3960.1900329589844</v>
      </c>
      <c r="M6563" s="371">
        <f t="shared" si="409"/>
        <v>14016.294508461186</v>
      </c>
      <c r="N6563" s="329">
        <f t="shared" si="410"/>
        <v>0</v>
      </c>
      <c r="T6563" s="331">
        <v>0</v>
      </c>
      <c r="U6563" s="328">
        <f>VLOOKUP(C6563,METADATA!$J$5:$Q$29,IF(E6563="HI",2,IF(E6563="LO",6,10))+IF(T6563=1,2,IF(D6563=7,1,(IF(WEEKDAY(B6563)=1,2,IF(WEEKDAY(B6563)=7,1,0))))))</f>
        <v>1</v>
      </c>
      <c r="V6563" s="328">
        <f>VLOOKUP(C6563,METADATA!$A$5:$H$29,IF(E6563="HI",2,IF(E6563="LO",6,10))+IF(T6563=1,2,IF(D6563=7,1,(IF(WEEKDAY(B6563)=1,2,IF(WEEKDAY(B6563)=7,1,0))))))</f>
        <v>1</v>
      </c>
    </row>
    <row r="6564" spans="2:22">
      <c r="B6564" s="318">
        <f t="shared" si="411"/>
        <v>46386</v>
      </c>
      <c r="C6564" s="312">
        <v>8</v>
      </c>
      <c r="D6564" s="368">
        <f>IFERROR((INDEX(METADATA!$T$2:$T$20,MATCH(B6564,METADATA!$S$2:$S$20,0))),0)</f>
        <v>0</v>
      </c>
      <c r="E6564" s="312" t="str">
        <f t="shared" si="408"/>
        <v>LO</v>
      </c>
      <c r="F6564" s="369">
        <f>VLOOKUP(C6564,METADATA!$A$5:$H$29,IF(E6564="HI",2,IF(E6564="LO",6,10))+IF(D6564=1,2,IF(D6564=7,1,(IF(WEEKDAY(B6564)=1,2,IF(WEEKDAY(B6564)=7,1,0))))))</f>
        <v>1</v>
      </c>
      <c r="G6564" s="369">
        <f>VLOOKUP(C6564,METADATA!$J$5:$Q$29,IF(E6564="HI",2,IF(E6564="LO",6,10))+IF(D6564=1,2,IF(D6564=7,1,(IF(WEEKDAY(B6564)=1,2,IF(WEEKDAY(B6564)=7,1,0))))))</f>
        <v>1</v>
      </c>
      <c r="H6564" s="370">
        <v>13505.375122070313</v>
      </c>
      <c r="I6564" s="370">
        <v>4087.81494140625</v>
      </c>
      <c r="M6564" s="371">
        <f t="shared" si="409"/>
        <v>14110.47087035085</v>
      </c>
      <c r="N6564" s="329">
        <f t="shared" si="410"/>
        <v>36.202404785156432</v>
      </c>
      <c r="T6564" s="331">
        <v>0</v>
      </c>
      <c r="U6564" s="328">
        <f>VLOOKUP(C6564,METADATA!$J$5:$Q$29,IF(E6564="HI",2,IF(E6564="LO",6,10))+IF(T6564=1,2,IF(D6564=7,1,(IF(WEEKDAY(B6564)=1,2,IF(WEEKDAY(B6564)=7,1,0))))))</f>
        <v>1</v>
      </c>
      <c r="V6564" s="328">
        <f>VLOOKUP(C6564,METADATA!$A$5:$H$29,IF(E6564="HI",2,IF(E6564="LO",6,10))+IF(T6564=1,2,IF(D6564=7,1,(IF(WEEKDAY(B6564)=1,2,IF(WEEKDAY(B6564)=7,1,0))))))</f>
        <v>1</v>
      </c>
    </row>
    <row r="6565" spans="2:22">
      <c r="B6565" s="318">
        <f t="shared" si="411"/>
        <v>46386</v>
      </c>
      <c r="C6565" s="312">
        <v>9</v>
      </c>
      <c r="D6565" s="368">
        <f>IFERROR((INDEX(METADATA!$T$2:$T$20,MATCH(B6565,METADATA!$S$2:$S$20,0))),0)</f>
        <v>0</v>
      </c>
      <c r="E6565" s="312" t="str">
        <f t="shared" si="408"/>
        <v>LO</v>
      </c>
      <c r="F6565" s="369">
        <f>VLOOKUP(C6565,METADATA!$A$5:$H$29,IF(E6565="HI",2,IF(E6565="LO",6,10))+IF(D6565=1,2,IF(D6565=7,1,(IF(WEEKDAY(B6565)=1,2,IF(WEEKDAY(B6565)=7,1,0))))))</f>
        <v>2</v>
      </c>
      <c r="G6565" s="369">
        <f>VLOOKUP(C6565,METADATA!$J$5:$Q$29,IF(E6565="HI",2,IF(E6565="LO",6,10))+IF(D6565=1,2,IF(D6565=7,1,(IF(WEEKDAY(B6565)=1,2,IF(WEEKDAY(B6565)=7,1,0))))))</f>
        <v>2</v>
      </c>
      <c r="H6565" s="370">
        <v>13442.000305175781</v>
      </c>
      <c r="I6565" s="370">
        <v>4050.9950866699219</v>
      </c>
      <c r="M6565" s="371">
        <f t="shared" si="409"/>
        <v>14039.157146943318</v>
      </c>
      <c r="N6565" s="329">
        <f t="shared" si="410"/>
        <v>18.394995117187591</v>
      </c>
      <c r="T6565" s="331">
        <v>0</v>
      </c>
      <c r="U6565" s="328">
        <f>VLOOKUP(C6565,METADATA!$J$5:$Q$29,IF(E6565="HI",2,IF(E6565="LO",6,10))+IF(T6565=1,2,IF(D6565=7,1,(IF(WEEKDAY(B6565)=1,2,IF(WEEKDAY(B6565)=7,1,0))))))</f>
        <v>2</v>
      </c>
      <c r="V6565" s="328">
        <f>VLOOKUP(C6565,METADATA!$A$5:$H$29,IF(E6565="HI",2,IF(E6565="LO",6,10))+IF(T6565=1,2,IF(D6565=7,1,(IF(WEEKDAY(B6565)=1,2,IF(WEEKDAY(B6565)=7,1,0))))))</f>
        <v>2</v>
      </c>
    </row>
    <row r="6566" spans="2:22">
      <c r="B6566" s="318">
        <f t="shared" si="411"/>
        <v>46386</v>
      </c>
      <c r="C6566" s="312">
        <v>10</v>
      </c>
      <c r="D6566" s="368">
        <f>IFERROR((INDEX(METADATA!$T$2:$T$20,MATCH(B6566,METADATA!$S$2:$S$20,0))),0)</f>
        <v>0</v>
      </c>
      <c r="E6566" s="312" t="str">
        <f t="shared" si="408"/>
        <v>LO</v>
      </c>
      <c r="F6566" s="369">
        <f>VLOOKUP(C6566,METADATA!$A$5:$H$29,IF(E6566="HI",2,IF(E6566="LO",6,10))+IF(D6566=1,2,IF(D6566=7,1,(IF(WEEKDAY(B6566)=1,2,IF(WEEKDAY(B6566)=7,1,0))))))</f>
        <v>2</v>
      </c>
      <c r="G6566" s="369">
        <f>VLOOKUP(C6566,METADATA!$J$5:$Q$29,IF(E6566="HI",2,IF(E6566="LO",6,10))+IF(D6566=1,2,IF(D6566=7,1,(IF(WEEKDAY(B6566)=1,2,IF(WEEKDAY(B6566)=7,1,0))))))</f>
        <v>2</v>
      </c>
      <c r="H6566" s="370">
        <v>13471.324951171875</v>
      </c>
      <c r="I6566" s="370">
        <v>4100.5450439453125</v>
      </c>
      <c r="M6566" s="371">
        <f t="shared" si="409"/>
        <v>14081.586046944087</v>
      </c>
      <c r="N6566" s="329">
        <f t="shared" si="410"/>
        <v>59.147558593750091</v>
      </c>
      <c r="T6566" s="331">
        <v>0</v>
      </c>
      <c r="U6566" s="328">
        <f>VLOOKUP(C6566,METADATA!$J$5:$Q$29,IF(E6566="HI",2,IF(E6566="LO",6,10))+IF(T6566=1,2,IF(D6566=7,1,(IF(WEEKDAY(B6566)=1,2,IF(WEEKDAY(B6566)=7,1,0))))))</f>
        <v>2</v>
      </c>
      <c r="V6566" s="328">
        <f>VLOOKUP(C6566,METADATA!$A$5:$H$29,IF(E6566="HI",2,IF(E6566="LO",6,10))+IF(T6566=1,2,IF(D6566=7,1,(IF(WEEKDAY(B6566)=1,2,IF(WEEKDAY(B6566)=7,1,0))))))</f>
        <v>2</v>
      </c>
    </row>
    <row r="6567" spans="2:22">
      <c r="B6567" s="318">
        <f t="shared" si="411"/>
        <v>46386</v>
      </c>
      <c r="C6567" s="312">
        <v>11</v>
      </c>
      <c r="D6567" s="368">
        <f>IFERROR((INDEX(METADATA!$T$2:$T$20,MATCH(B6567,METADATA!$S$2:$S$20,0))),0)</f>
        <v>0</v>
      </c>
      <c r="E6567" s="312" t="str">
        <f t="shared" si="408"/>
        <v>LO</v>
      </c>
      <c r="F6567" s="369">
        <f>VLOOKUP(C6567,METADATA!$A$5:$H$29,IF(E6567="HI",2,IF(E6567="LO",6,10))+IF(D6567=1,2,IF(D6567=7,1,(IF(WEEKDAY(B6567)=1,2,IF(WEEKDAY(B6567)=7,1,0))))))</f>
        <v>2</v>
      </c>
      <c r="G6567" s="369">
        <f>VLOOKUP(C6567,METADATA!$J$5:$Q$29,IF(E6567="HI",2,IF(E6567="LO",6,10))+IF(D6567=1,2,IF(D6567=7,1,(IF(WEEKDAY(B6567)=1,2,IF(WEEKDAY(B6567)=7,1,0))))))</f>
        <v>2</v>
      </c>
      <c r="H6567" s="370">
        <v>13467.35009765625</v>
      </c>
      <c r="I6567" s="370">
        <v>3988.8599243164063</v>
      </c>
      <c r="M6567" s="371">
        <f t="shared" si="409"/>
        <v>14045.658480422315</v>
      </c>
      <c r="N6567" s="329">
        <f t="shared" si="410"/>
        <v>0</v>
      </c>
      <c r="T6567" s="331">
        <v>0</v>
      </c>
      <c r="U6567" s="328">
        <f>VLOOKUP(C6567,METADATA!$J$5:$Q$29,IF(E6567="HI",2,IF(E6567="LO",6,10))+IF(T6567=1,2,IF(D6567=7,1,(IF(WEEKDAY(B6567)=1,2,IF(WEEKDAY(B6567)=7,1,0))))))</f>
        <v>2</v>
      </c>
      <c r="V6567" s="328">
        <f>VLOOKUP(C6567,METADATA!$A$5:$H$29,IF(E6567="HI",2,IF(E6567="LO",6,10))+IF(T6567=1,2,IF(D6567=7,1,(IF(WEEKDAY(B6567)=1,2,IF(WEEKDAY(B6567)=7,1,0))))))</f>
        <v>2</v>
      </c>
    </row>
    <row r="6568" spans="2:22">
      <c r="B6568" s="318">
        <f t="shared" si="411"/>
        <v>46386</v>
      </c>
      <c r="C6568" s="312">
        <v>12</v>
      </c>
      <c r="D6568" s="368">
        <f>IFERROR((INDEX(METADATA!$T$2:$T$20,MATCH(B6568,METADATA!$S$2:$S$20,0))),0)</f>
        <v>0</v>
      </c>
      <c r="E6568" s="312" t="str">
        <f t="shared" si="408"/>
        <v>LO</v>
      </c>
      <c r="F6568" s="369">
        <f>VLOOKUP(C6568,METADATA!$A$5:$H$29,IF(E6568="HI",2,IF(E6568="LO",6,10))+IF(D6568=1,2,IF(D6568=7,1,(IF(WEEKDAY(B6568)=1,2,IF(WEEKDAY(B6568)=7,1,0))))))</f>
        <v>2</v>
      </c>
      <c r="G6568" s="369">
        <f>VLOOKUP(C6568,METADATA!$J$5:$Q$29,IF(E6568="HI",2,IF(E6568="LO",6,10))+IF(D6568=1,2,IF(D6568=7,1,(IF(WEEKDAY(B6568)=1,2,IF(WEEKDAY(B6568)=7,1,0))))))</f>
        <v>2</v>
      </c>
      <c r="H6568" s="370">
        <v>13324.250305175781</v>
      </c>
      <c r="I6568" s="370">
        <v>3935.27001953125</v>
      </c>
      <c r="M6568" s="371">
        <f t="shared" si="409"/>
        <v>13893.235631831714</v>
      </c>
      <c r="N6568" s="329">
        <f t="shared" si="410"/>
        <v>0</v>
      </c>
      <c r="T6568" s="331">
        <v>0</v>
      </c>
      <c r="U6568" s="328">
        <f>VLOOKUP(C6568,METADATA!$J$5:$Q$29,IF(E6568="HI",2,IF(E6568="LO",6,10))+IF(T6568=1,2,IF(D6568=7,1,(IF(WEEKDAY(B6568)=1,2,IF(WEEKDAY(B6568)=7,1,0))))))</f>
        <v>2</v>
      </c>
      <c r="V6568" s="328">
        <f>VLOOKUP(C6568,METADATA!$A$5:$H$29,IF(E6568="HI",2,IF(E6568="LO",6,10))+IF(T6568=1,2,IF(D6568=7,1,(IF(WEEKDAY(B6568)=1,2,IF(WEEKDAY(B6568)=7,1,0))))))</f>
        <v>2</v>
      </c>
    </row>
    <row r="6569" spans="2:22">
      <c r="B6569" s="318">
        <f t="shared" si="411"/>
        <v>46386</v>
      </c>
      <c r="C6569" s="312">
        <v>13</v>
      </c>
      <c r="D6569" s="368">
        <f>IFERROR((INDEX(METADATA!$T$2:$T$20,MATCH(B6569,METADATA!$S$2:$S$20,0))),0)</f>
        <v>0</v>
      </c>
      <c r="E6569" s="312" t="str">
        <f t="shared" si="408"/>
        <v>LO</v>
      </c>
      <c r="F6569" s="369">
        <f>VLOOKUP(C6569,METADATA!$A$5:$H$29,IF(E6569="HI",2,IF(E6569="LO",6,10))+IF(D6569=1,2,IF(D6569=7,1,(IF(WEEKDAY(B6569)=1,2,IF(WEEKDAY(B6569)=7,1,0))))))</f>
        <v>2</v>
      </c>
      <c r="G6569" s="369">
        <f>VLOOKUP(C6569,METADATA!$J$5:$Q$29,IF(E6569="HI",2,IF(E6569="LO",6,10))+IF(D6569=1,2,IF(D6569=7,1,(IF(WEEKDAY(B6569)=1,2,IF(WEEKDAY(B6569)=7,1,0))))))</f>
        <v>2</v>
      </c>
      <c r="H6569" s="370">
        <v>13423.349853515625</v>
      </c>
      <c r="I6569" s="370">
        <v>4053.8798522949219</v>
      </c>
      <c r="M6569" s="371">
        <f t="shared" si="409"/>
        <v>14022.134757116002</v>
      </c>
      <c r="N6569" s="329">
        <f t="shared" si="410"/>
        <v>26.874896240234648</v>
      </c>
      <c r="T6569" s="331">
        <v>0</v>
      </c>
      <c r="U6569" s="328">
        <f>VLOOKUP(C6569,METADATA!$J$5:$Q$29,IF(E6569="HI",2,IF(E6569="LO",6,10))+IF(T6569=1,2,IF(D6569=7,1,(IF(WEEKDAY(B6569)=1,2,IF(WEEKDAY(B6569)=7,1,0))))))</f>
        <v>2</v>
      </c>
      <c r="V6569" s="328">
        <f>VLOOKUP(C6569,METADATA!$A$5:$H$29,IF(E6569="HI",2,IF(E6569="LO",6,10))+IF(T6569=1,2,IF(D6569=7,1,(IF(WEEKDAY(B6569)=1,2,IF(WEEKDAY(B6569)=7,1,0))))))</f>
        <v>2</v>
      </c>
    </row>
    <row r="6570" spans="2:22">
      <c r="B6570" s="318">
        <f t="shared" si="411"/>
        <v>46386</v>
      </c>
      <c r="C6570" s="312">
        <v>14</v>
      </c>
      <c r="D6570" s="368">
        <f>IFERROR((INDEX(METADATA!$T$2:$T$20,MATCH(B6570,METADATA!$S$2:$S$20,0))),0)</f>
        <v>0</v>
      </c>
      <c r="E6570" s="312" t="str">
        <f t="shared" si="408"/>
        <v>LO</v>
      </c>
      <c r="F6570" s="369">
        <f>VLOOKUP(C6570,METADATA!$A$5:$H$29,IF(E6570="HI",2,IF(E6570="LO",6,10))+IF(D6570=1,2,IF(D6570=7,1,(IF(WEEKDAY(B6570)=1,2,IF(WEEKDAY(B6570)=7,1,0))))))</f>
        <v>2</v>
      </c>
      <c r="G6570" s="369">
        <f>VLOOKUP(C6570,METADATA!$J$5:$Q$29,IF(E6570="HI",2,IF(E6570="LO",6,10))+IF(D6570=1,2,IF(D6570=7,1,(IF(WEEKDAY(B6570)=1,2,IF(WEEKDAY(B6570)=7,1,0))))))</f>
        <v>2</v>
      </c>
      <c r="H6570" s="370">
        <v>13299.474914550781</v>
      </c>
      <c r="I6570" s="370">
        <v>4202.7549743652344</v>
      </c>
      <c r="M6570" s="371">
        <f t="shared" si="409"/>
        <v>13947.730366526204</v>
      </c>
      <c r="N6570" s="329">
        <f t="shared" si="410"/>
        <v>212.91250000000036</v>
      </c>
      <c r="T6570" s="331">
        <v>0</v>
      </c>
      <c r="U6570" s="328">
        <f>VLOOKUP(C6570,METADATA!$J$5:$Q$29,IF(E6570="HI",2,IF(E6570="LO",6,10))+IF(T6570=1,2,IF(D6570=7,1,(IF(WEEKDAY(B6570)=1,2,IF(WEEKDAY(B6570)=7,1,0))))))</f>
        <v>2</v>
      </c>
      <c r="V6570" s="328">
        <f>VLOOKUP(C6570,METADATA!$A$5:$H$29,IF(E6570="HI",2,IF(E6570="LO",6,10))+IF(T6570=1,2,IF(D6570=7,1,(IF(WEEKDAY(B6570)=1,2,IF(WEEKDAY(B6570)=7,1,0))))))</f>
        <v>2</v>
      </c>
    </row>
    <row r="6571" spans="2:22">
      <c r="B6571" s="318">
        <f t="shared" si="411"/>
        <v>46386</v>
      </c>
      <c r="C6571" s="312">
        <v>15</v>
      </c>
      <c r="D6571" s="368">
        <f>IFERROR((INDEX(METADATA!$T$2:$T$20,MATCH(B6571,METADATA!$S$2:$S$20,0))),0)</f>
        <v>0</v>
      </c>
      <c r="E6571" s="312" t="str">
        <f t="shared" si="408"/>
        <v>LO</v>
      </c>
      <c r="F6571" s="369">
        <f>VLOOKUP(C6571,METADATA!$A$5:$H$29,IF(E6571="HI",2,IF(E6571="LO",6,10))+IF(D6571=1,2,IF(D6571=7,1,(IF(WEEKDAY(B6571)=1,2,IF(WEEKDAY(B6571)=7,1,0))))))</f>
        <v>2</v>
      </c>
      <c r="G6571" s="369">
        <f>VLOOKUP(C6571,METADATA!$J$5:$Q$29,IF(E6571="HI",2,IF(E6571="LO",6,10))+IF(D6571=1,2,IF(D6571=7,1,(IF(WEEKDAY(B6571)=1,2,IF(WEEKDAY(B6571)=7,1,0))))))</f>
        <v>2</v>
      </c>
      <c r="H6571" s="370">
        <v>13590.699829101563</v>
      </c>
      <c r="I6571" s="370">
        <v>4267.280029296875</v>
      </c>
      <c r="M6571" s="371">
        <f t="shared" si="409"/>
        <v>14244.886826267773</v>
      </c>
      <c r="N6571" s="329">
        <f t="shared" si="410"/>
        <v>190.07008056640643</v>
      </c>
      <c r="T6571" s="331">
        <v>0</v>
      </c>
      <c r="U6571" s="328">
        <f>VLOOKUP(C6571,METADATA!$J$5:$Q$29,IF(E6571="HI",2,IF(E6571="LO",6,10))+IF(T6571=1,2,IF(D6571=7,1,(IF(WEEKDAY(B6571)=1,2,IF(WEEKDAY(B6571)=7,1,0))))))</f>
        <v>2</v>
      </c>
      <c r="V6571" s="328">
        <f>VLOOKUP(C6571,METADATA!$A$5:$H$29,IF(E6571="HI",2,IF(E6571="LO",6,10))+IF(T6571=1,2,IF(D6571=7,1,(IF(WEEKDAY(B6571)=1,2,IF(WEEKDAY(B6571)=7,1,0))))))</f>
        <v>2</v>
      </c>
    </row>
    <row r="6572" spans="2:22">
      <c r="B6572" s="318">
        <f t="shared" si="411"/>
        <v>46386</v>
      </c>
      <c r="C6572" s="312">
        <v>16</v>
      </c>
      <c r="D6572" s="368">
        <f>IFERROR((INDEX(METADATA!$T$2:$T$20,MATCH(B6572,METADATA!$S$2:$S$20,0))),0)</f>
        <v>0</v>
      </c>
      <c r="E6572" s="312" t="str">
        <f t="shared" si="408"/>
        <v>LO</v>
      </c>
      <c r="F6572" s="369">
        <f>VLOOKUP(C6572,METADATA!$A$5:$H$29,IF(E6572="HI",2,IF(E6572="LO",6,10))+IF(D6572=1,2,IF(D6572=7,1,(IF(WEEKDAY(B6572)=1,2,IF(WEEKDAY(B6572)=7,1,0))))))</f>
        <v>2</v>
      </c>
      <c r="G6572" s="369">
        <f>VLOOKUP(C6572,METADATA!$J$5:$Q$29,IF(E6572="HI",2,IF(E6572="LO",6,10))+IF(D6572=1,2,IF(D6572=7,1,(IF(WEEKDAY(B6572)=1,2,IF(WEEKDAY(B6572)=7,1,0))))))</f>
        <v>2</v>
      </c>
      <c r="H6572" s="370">
        <v>13784.825134277344</v>
      </c>
      <c r="I6572" s="370">
        <v>4227.0449523925781</v>
      </c>
      <c r="M6572" s="371">
        <f t="shared" si="409"/>
        <v>14418.367210338069</v>
      </c>
      <c r="N6572" s="329">
        <f t="shared" si="410"/>
        <v>91.597412109375</v>
      </c>
      <c r="T6572" s="331">
        <v>0</v>
      </c>
      <c r="U6572" s="328">
        <f>VLOOKUP(C6572,METADATA!$J$5:$Q$29,IF(E6572="HI",2,IF(E6572="LO",6,10))+IF(T6572=1,2,IF(D6572=7,1,(IF(WEEKDAY(B6572)=1,2,IF(WEEKDAY(B6572)=7,1,0))))))</f>
        <v>2</v>
      </c>
      <c r="V6572" s="328">
        <f>VLOOKUP(C6572,METADATA!$A$5:$H$29,IF(E6572="HI",2,IF(E6572="LO",6,10))+IF(T6572=1,2,IF(D6572=7,1,(IF(WEEKDAY(B6572)=1,2,IF(WEEKDAY(B6572)=7,1,0))))))</f>
        <v>2</v>
      </c>
    </row>
    <row r="6573" spans="2:22">
      <c r="B6573" s="318">
        <f t="shared" si="411"/>
        <v>46386</v>
      </c>
      <c r="C6573" s="312">
        <v>17</v>
      </c>
      <c r="D6573" s="368">
        <f>IFERROR((INDEX(METADATA!$T$2:$T$20,MATCH(B6573,METADATA!$S$2:$S$20,0))),0)</f>
        <v>0</v>
      </c>
      <c r="E6573" s="312" t="str">
        <f t="shared" si="408"/>
        <v>LO</v>
      </c>
      <c r="F6573" s="369">
        <f>VLOOKUP(C6573,METADATA!$A$5:$H$29,IF(E6573="HI",2,IF(E6573="LO",6,10))+IF(D6573=1,2,IF(D6573=7,1,(IF(WEEKDAY(B6573)=1,2,IF(WEEKDAY(B6573)=7,1,0))))))</f>
        <v>2</v>
      </c>
      <c r="G6573" s="369">
        <f>VLOOKUP(C6573,METADATA!$J$5:$Q$29,IF(E6573="HI",2,IF(E6573="LO",6,10))+IF(D6573=1,2,IF(D6573=7,1,(IF(WEEKDAY(B6573)=1,2,IF(WEEKDAY(B6573)=7,1,0))))))</f>
        <v>2</v>
      </c>
      <c r="H6573" s="370">
        <v>13820.300170898438</v>
      </c>
      <c r="I6573" s="370">
        <v>4257.5249328613281</v>
      </c>
      <c r="M6573" s="371">
        <f t="shared" si="409"/>
        <v>14461.231460967327</v>
      </c>
      <c r="N6573" s="329">
        <f t="shared" si="410"/>
        <v>111.43488159179742</v>
      </c>
      <c r="T6573" s="331">
        <v>0</v>
      </c>
      <c r="U6573" s="328">
        <f>VLOOKUP(C6573,METADATA!$J$5:$Q$29,IF(E6573="HI",2,IF(E6573="LO",6,10))+IF(T6573=1,2,IF(D6573=7,1,(IF(WEEKDAY(B6573)=1,2,IF(WEEKDAY(B6573)=7,1,0))))))</f>
        <v>2</v>
      </c>
      <c r="V6573" s="328">
        <f>VLOOKUP(C6573,METADATA!$A$5:$H$29,IF(E6573="HI",2,IF(E6573="LO",6,10))+IF(T6573=1,2,IF(D6573=7,1,(IF(WEEKDAY(B6573)=1,2,IF(WEEKDAY(B6573)=7,1,0))))))</f>
        <v>2</v>
      </c>
    </row>
    <row r="6574" spans="2:22">
      <c r="B6574" s="318">
        <f t="shared" si="411"/>
        <v>46386</v>
      </c>
      <c r="C6574" s="312">
        <v>18</v>
      </c>
      <c r="D6574" s="368">
        <f>IFERROR((INDEX(METADATA!$T$2:$T$20,MATCH(B6574,METADATA!$S$2:$S$20,0))),0)</f>
        <v>0</v>
      </c>
      <c r="E6574" s="312" t="str">
        <f t="shared" si="408"/>
        <v>LO</v>
      </c>
      <c r="F6574" s="369">
        <f>VLOOKUP(C6574,METADATA!$A$5:$H$29,IF(E6574="HI",2,IF(E6574="LO",6,10))+IF(D6574=1,2,IF(D6574=7,1,(IF(WEEKDAY(B6574)=1,2,IF(WEEKDAY(B6574)=7,1,0))))))</f>
        <v>1</v>
      </c>
      <c r="G6574" s="369">
        <f>VLOOKUP(C6574,METADATA!$J$5:$Q$29,IF(E6574="HI",2,IF(E6574="LO",6,10))+IF(D6574=1,2,IF(D6574=7,1,(IF(WEEKDAY(B6574)=1,2,IF(WEEKDAY(B6574)=7,1,0))))))</f>
        <v>1</v>
      </c>
      <c r="H6574" s="370">
        <v>13611.224914550781</v>
      </c>
      <c r="I6574" s="370">
        <v>4327.3200378417969</v>
      </c>
      <c r="M6574" s="371">
        <f t="shared" si="409"/>
        <v>14282.546775151659</v>
      </c>
      <c r="N6574" s="329">
        <f t="shared" si="410"/>
        <v>243.95256347656277</v>
      </c>
      <c r="T6574" s="331">
        <v>0</v>
      </c>
      <c r="U6574" s="328">
        <f>VLOOKUP(C6574,METADATA!$J$5:$Q$29,IF(E6574="HI",2,IF(E6574="LO",6,10))+IF(T6574=1,2,IF(D6574=7,1,(IF(WEEKDAY(B6574)=1,2,IF(WEEKDAY(B6574)=7,1,0))))))</f>
        <v>1</v>
      </c>
      <c r="V6574" s="328">
        <f>VLOOKUP(C6574,METADATA!$A$5:$H$29,IF(E6574="HI",2,IF(E6574="LO",6,10))+IF(T6574=1,2,IF(D6574=7,1,(IF(WEEKDAY(B6574)=1,2,IF(WEEKDAY(B6574)=7,1,0))))))</f>
        <v>1</v>
      </c>
    </row>
    <row r="6575" spans="2:22">
      <c r="B6575" s="318">
        <f t="shared" si="411"/>
        <v>46386</v>
      </c>
      <c r="C6575" s="312">
        <v>19</v>
      </c>
      <c r="D6575" s="368">
        <f>IFERROR((INDEX(METADATA!$T$2:$T$20,MATCH(B6575,METADATA!$S$2:$S$20,0))),0)</f>
        <v>0</v>
      </c>
      <c r="E6575" s="312" t="str">
        <f t="shared" si="408"/>
        <v>LO</v>
      </c>
      <c r="F6575" s="369">
        <f>VLOOKUP(C6575,METADATA!$A$5:$H$29,IF(E6575="HI",2,IF(E6575="LO",6,10))+IF(D6575=1,2,IF(D6575=7,1,(IF(WEEKDAY(B6575)=1,2,IF(WEEKDAY(B6575)=7,1,0))))))</f>
        <v>1</v>
      </c>
      <c r="G6575" s="369">
        <f>VLOOKUP(C6575,METADATA!$J$5:$Q$29,IF(E6575="HI",2,IF(E6575="LO",6,10))+IF(D6575=1,2,IF(D6575=7,1,(IF(WEEKDAY(B6575)=1,2,IF(WEEKDAY(B6575)=7,1,0))))))</f>
        <v>1</v>
      </c>
      <c r="H6575" s="370">
        <v>12921.549987792969</v>
      </c>
      <c r="I6575" s="370">
        <v>3905.6299743652344</v>
      </c>
      <c r="M6575" s="371">
        <f t="shared" si="409"/>
        <v>13498.903643766505</v>
      </c>
      <c r="N6575" s="329">
        <f t="shared" si="410"/>
        <v>29.16497802734375</v>
      </c>
      <c r="T6575" s="331">
        <v>0</v>
      </c>
      <c r="U6575" s="328">
        <f>VLOOKUP(C6575,METADATA!$J$5:$Q$29,IF(E6575="HI",2,IF(E6575="LO",6,10))+IF(T6575=1,2,IF(D6575=7,1,(IF(WEEKDAY(B6575)=1,2,IF(WEEKDAY(B6575)=7,1,0))))))</f>
        <v>1</v>
      </c>
      <c r="V6575" s="328">
        <f>VLOOKUP(C6575,METADATA!$A$5:$H$29,IF(E6575="HI",2,IF(E6575="LO",6,10))+IF(T6575=1,2,IF(D6575=7,1,(IF(WEEKDAY(B6575)=1,2,IF(WEEKDAY(B6575)=7,1,0))))))</f>
        <v>1</v>
      </c>
    </row>
    <row r="6576" spans="2:22">
      <c r="B6576" s="318">
        <f t="shared" si="411"/>
        <v>46386</v>
      </c>
      <c r="C6576" s="312">
        <v>20</v>
      </c>
      <c r="D6576" s="368">
        <f>IFERROR((INDEX(METADATA!$T$2:$T$20,MATCH(B6576,METADATA!$S$2:$S$20,0))),0)</f>
        <v>0</v>
      </c>
      <c r="E6576" s="312" t="str">
        <f t="shared" si="408"/>
        <v>LO</v>
      </c>
      <c r="F6576" s="369">
        <f>VLOOKUP(C6576,METADATA!$A$5:$H$29,IF(E6576="HI",2,IF(E6576="LO",6,10))+IF(D6576=1,2,IF(D6576=7,1,(IF(WEEKDAY(B6576)=1,2,IF(WEEKDAY(B6576)=7,1,0))))))</f>
        <v>1</v>
      </c>
      <c r="G6576" s="369">
        <f>VLOOKUP(C6576,METADATA!$J$5:$Q$29,IF(E6576="HI",2,IF(E6576="LO",6,10))+IF(D6576=1,2,IF(D6576=7,1,(IF(WEEKDAY(B6576)=1,2,IF(WEEKDAY(B6576)=7,1,0))))))</f>
        <v>1</v>
      </c>
      <c r="H6576" s="370">
        <v>13303.325012207031</v>
      </c>
      <c r="I6576" s="370">
        <v>4144.5399780273438</v>
      </c>
      <c r="M6576" s="371">
        <f t="shared" si="409"/>
        <v>13933.975312518682</v>
      </c>
      <c r="N6576" s="329">
        <f t="shared" si="410"/>
        <v>153.54247436523474</v>
      </c>
      <c r="T6576" s="331">
        <v>0</v>
      </c>
      <c r="U6576" s="328">
        <f>VLOOKUP(C6576,METADATA!$J$5:$Q$29,IF(E6576="HI",2,IF(E6576="LO",6,10))+IF(T6576=1,2,IF(D6576=7,1,(IF(WEEKDAY(B6576)=1,2,IF(WEEKDAY(B6576)=7,1,0))))))</f>
        <v>1</v>
      </c>
      <c r="V6576" s="328">
        <f>VLOOKUP(C6576,METADATA!$A$5:$H$29,IF(E6576="HI",2,IF(E6576="LO",6,10))+IF(T6576=1,2,IF(D6576=7,1,(IF(WEEKDAY(B6576)=1,2,IF(WEEKDAY(B6576)=7,1,0))))))</f>
        <v>1</v>
      </c>
    </row>
    <row r="6577" spans="2:22">
      <c r="B6577" s="318">
        <f t="shared" si="411"/>
        <v>46386</v>
      </c>
      <c r="C6577" s="312">
        <v>21</v>
      </c>
      <c r="D6577" s="368">
        <f>IFERROR((INDEX(METADATA!$T$2:$T$20,MATCH(B6577,METADATA!$S$2:$S$20,0))),0)</f>
        <v>0</v>
      </c>
      <c r="E6577" s="312" t="str">
        <f t="shared" si="408"/>
        <v>LO</v>
      </c>
      <c r="F6577" s="369">
        <f>VLOOKUP(C6577,METADATA!$A$5:$H$29,IF(E6577="HI",2,IF(E6577="LO",6,10))+IF(D6577=1,2,IF(D6577=7,1,(IF(WEEKDAY(B6577)=1,2,IF(WEEKDAY(B6577)=7,1,0))))))</f>
        <v>2</v>
      </c>
      <c r="G6577" s="369">
        <f>VLOOKUP(C6577,METADATA!$J$5:$Q$29,IF(E6577="HI",2,IF(E6577="LO",6,10))+IF(D6577=1,2,IF(D6577=7,1,(IF(WEEKDAY(B6577)=1,2,IF(WEEKDAY(B6577)=7,1,0))))))</f>
        <v>2</v>
      </c>
      <c r="H6577" s="370">
        <v>13670.700317382813</v>
      </c>
      <c r="I6577" s="370">
        <v>4499.699951171875</v>
      </c>
      <c r="M6577" s="371">
        <f t="shared" si="409"/>
        <v>14392.197428407751</v>
      </c>
      <c r="N6577" s="329">
        <f t="shared" si="410"/>
        <v>398.48985595703107</v>
      </c>
      <c r="T6577" s="331">
        <v>0</v>
      </c>
      <c r="U6577" s="328">
        <f>VLOOKUP(C6577,METADATA!$J$5:$Q$29,IF(E6577="HI",2,IF(E6577="LO",6,10))+IF(T6577=1,2,IF(D6577=7,1,(IF(WEEKDAY(B6577)=1,2,IF(WEEKDAY(B6577)=7,1,0))))))</f>
        <v>2</v>
      </c>
      <c r="V6577" s="328">
        <f>VLOOKUP(C6577,METADATA!$A$5:$H$29,IF(E6577="HI",2,IF(E6577="LO",6,10))+IF(T6577=1,2,IF(D6577=7,1,(IF(WEEKDAY(B6577)=1,2,IF(WEEKDAY(B6577)=7,1,0))))))</f>
        <v>2</v>
      </c>
    </row>
    <row r="6578" spans="2:22">
      <c r="B6578" s="318">
        <f t="shared" si="411"/>
        <v>46386</v>
      </c>
      <c r="C6578" s="312">
        <v>22</v>
      </c>
      <c r="D6578" s="368">
        <f>IFERROR((INDEX(METADATA!$T$2:$T$20,MATCH(B6578,METADATA!$S$2:$S$20,0))),0)</f>
        <v>0</v>
      </c>
      <c r="E6578" s="312" t="str">
        <f t="shared" si="408"/>
        <v>LO</v>
      </c>
      <c r="F6578" s="369">
        <f>VLOOKUP(C6578,METADATA!$A$5:$H$29,IF(E6578="HI",2,IF(E6578="LO",6,10))+IF(D6578=1,2,IF(D6578=7,1,(IF(WEEKDAY(B6578)=1,2,IF(WEEKDAY(B6578)=7,1,0))))))</f>
        <v>3</v>
      </c>
      <c r="G6578" s="369">
        <f>VLOOKUP(C6578,METADATA!$J$5:$Q$29,IF(E6578="HI",2,IF(E6578="LO",6,10))+IF(D6578=1,2,IF(D6578=7,1,(IF(WEEKDAY(B6578)=1,2,IF(WEEKDAY(B6578)=7,1,0))))))</f>
        <v>3</v>
      </c>
      <c r="H6578" s="370">
        <v>13601.850158691406</v>
      </c>
      <c r="I6578" s="370">
        <v>4351.2149658203125</v>
      </c>
      <c r="M6578" s="371">
        <f t="shared" si="409"/>
        <v>14280.875302945267</v>
      </c>
      <c r="N6578" s="329">
        <f t="shared" si="410"/>
        <v>270.65991821289072</v>
      </c>
      <c r="T6578" s="331">
        <v>0</v>
      </c>
      <c r="U6578" s="328">
        <f>VLOOKUP(C6578,METADATA!$J$5:$Q$29,IF(E6578="HI",2,IF(E6578="LO",6,10))+IF(T6578=1,2,IF(D6578=7,1,(IF(WEEKDAY(B6578)=1,2,IF(WEEKDAY(B6578)=7,1,0))))))</f>
        <v>3</v>
      </c>
      <c r="V6578" s="328">
        <f>VLOOKUP(C6578,METADATA!$A$5:$H$29,IF(E6578="HI",2,IF(E6578="LO",6,10))+IF(T6578=1,2,IF(D6578=7,1,(IF(WEEKDAY(B6578)=1,2,IF(WEEKDAY(B6578)=7,1,0))))))</f>
        <v>3</v>
      </c>
    </row>
    <row r="6579" spans="2:22">
      <c r="B6579" s="318">
        <f t="shared" si="411"/>
        <v>46386</v>
      </c>
      <c r="C6579" s="312">
        <v>23</v>
      </c>
      <c r="D6579" s="368">
        <f>IFERROR((INDEX(METADATA!$T$2:$T$20,MATCH(B6579,METADATA!$S$2:$S$20,0))),0)</f>
        <v>0</v>
      </c>
      <c r="E6579" s="312" t="str">
        <f t="shared" si="408"/>
        <v>LO</v>
      </c>
      <c r="F6579" s="369">
        <f>VLOOKUP(C6579,METADATA!$A$5:$H$29,IF(E6579="HI",2,IF(E6579="LO",6,10))+IF(D6579=1,2,IF(D6579=7,1,(IF(WEEKDAY(B6579)=1,2,IF(WEEKDAY(B6579)=7,1,0))))))</f>
        <v>3</v>
      </c>
      <c r="G6579" s="369">
        <f>VLOOKUP(C6579,METADATA!$J$5:$Q$29,IF(E6579="HI",2,IF(E6579="LO",6,10))+IF(D6579=1,2,IF(D6579=7,1,(IF(WEEKDAY(B6579)=1,2,IF(WEEKDAY(B6579)=7,1,0))))))</f>
        <v>3</v>
      </c>
      <c r="H6579" s="370">
        <v>13558.199951171875</v>
      </c>
      <c r="I6579" s="370">
        <v>4177.800048828125</v>
      </c>
      <c r="M6579" s="371">
        <f t="shared" si="409"/>
        <v>14187.275959955996</v>
      </c>
      <c r="N6579" s="329">
        <f t="shared" si="410"/>
        <v>110.34006347656259</v>
      </c>
      <c r="T6579" s="331">
        <v>0</v>
      </c>
      <c r="U6579" s="328">
        <f>VLOOKUP(C6579,METADATA!$J$5:$Q$29,IF(E6579="HI",2,IF(E6579="LO",6,10))+IF(T6579=1,2,IF(D6579=7,1,(IF(WEEKDAY(B6579)=1,2,IF(WEEKDAY(B6579)=7,1,0))))))</f>
        <v>3</v>
      </c>
      <c r="V6579" s="328">
        <f>VLOOKUP(C6579,METADATA!$A$5:$H$29,IF(E6579="HI",2,IF(E6579="LO",6,10))+IF(T6579=1,2,IF(D6579=7,1,(IF(WEEKDAY(B6579)=1,2,IF(WEEKDAY(B6579)=7,1,0))))))</f>
        <v>3</v>
      </c>
    </row>
    <row r="6580" spans="2:22">
      <c r="B6580" s="318">
        <f t="shared" si="411"/>
        <v>46387</v>
      </c>
      <c r="C6580" s="312">
        <v>0</v>
      </c>
      <c r="D6580" s="368">
        <f>IFERROR((INDEX(METADATA!$T$2:$T$20,MATCH(B6580,METADATA!$S$2:$S$20,0))),0)</f>
        <v>0</v>
      </c>
      <c r="E6580" s="312" t="str">
        <f t="shared" si="408"/>
        <v>LO</v>
      </c>
      <c r="F6580" s="369">
        <f>VLOOKUP(C6580,METADATA!$A$5:$H$29,IF(E6580="HI",2,IF(E6580="LO",6,10))+IF(D6580=1,2,IF(D6580=7,1,(IF(WEEKDAY(B6580)=1,2,IF(WEEKDAY(B6580)=7,1,0))))))</f>
        <v>3</v>
      </c>
      <c r="G6580" s="369">
        <f>VLOOKUP(C6580,METADATA!$J$5:$Q$29,IF(E6580="HI",2,IF(E6580="LO",6,10))+IF(D6580=1,2,IF(D6580=7,1,(IF(WEEKDAY(B6580)=1,2,IF(WEEKDAY(B6580)=7,1,0))))))</f>
        <v>3</v>
      </c>
      <c r="H6580" s="370">
        <v>13560.199768066406</v>
      </c>
      <c r="I6580" s="370">
        <v>4360.179931640625</v>
      </c>
      <c r="M6580" s="371">
        <f t="shared" si="409"/>
        <v>14243.952639143035</v>
      </c>
      <c r="N6580" s="329">
        <f t="shared" si="410"/>
        <v>292.12000122070322</v>
      </c>
      <c r="T6580" s="331">
        <v>0</v>
      </c>
      <c r="U6580" s="328">
        <f>VLOOKUP(C6580,METADATA!$J$5:$Q$29,IF(E6580="HI",2,IF(E6580="LO",6,10))+IF(T6580=1,2,IF(D6580=7,1,(IF(WEEKDAY(B6580)=1,2,IF(WEEKDAY(B6580)=7,1,0))))))</f>
        <v>3</v>
      </c>
      <c r="V6580" s="328">
        <f>VLOOKUP(C6580,METADATA!$A$5:$H$29,IF(E6580="HI",2,IF(E6580="LO",6,10))+IF(T6580=1,2,IF(D6580=7,1,(IF(WEEKDAY(B6580)=1,2,IF(WEEKDAY(B6580)=7,1,0))))))</f>
        <v>3</v>
      </c>
    </row>
    <row r="6581" spans="2:22">
      <c r="B6581" s="318">
        <f t="shared" si="411"/>
        <v>46387</v>
      </c>
      <c r="C6581" s="312">
        <v>1</v>
      </c>
      <c r="D6581" s="368">
        <f>IFERROR((INDEX(METADATA!$T$2:$T$20,MATCH(B6581,METADATA!$S$2:$S$20,0))),0)</f>
        <v>0</v>
      </c>
      <c r="E6581" s="312" t="str">
        <f t="shared" si="408"/>
        <v>LO</v>
      </c>
      <c r="F6581" s="369">
        <f>VLOOKUP(C6581,METADATA!$A$5:$H$29,IF(E6581="HI",2,IF(E6581="LO",6,10))+IF(D6581=1,2,IF(D6581=7,1,(IF(WEEKDAY(B6581)=1,2,IF(WEEKDAY(B6581)=7,1,0))))))</f>
        <v>3</v>
      </c>
      <c r="G6581" s="369">
        <f>VLOOKUP(C6581,METADATA!$J$5:$Q$29,IF(E6581="HI",2,IF(E6581="LO",6,10))+IF(D6581=1,2,IF(D6581=7,1,(IF(WEEKDAY(B6581)=1,2,IF(WEEKDAY(B6581)=7,1,0))))))</f>
        <v>3</v>
      </c>
      <c r="H6581" s="370">
        <v>13526.884521484375</v>
      </c>
      <c r="I6581" s="370">
        <v>4572.1450805664063</v>
      </c>
      <c r="M6581" s="371">
        <f t="shared" si="409"/>
        <v>14278.694460465254</v>
      </c>
      <c r="N6581" s="329">
        <f t="shared" si="410"/>
        <v>514.07972412109393</v>
      </c>
      <c r="T6581" s="331">
        <v>0</v>
      </c>
      <c r="U6581" s="328">
        <f>VLOOKUP(C6581,METADATA!$J$5:$Q$29,IF(E6581="HI",2,IF(E6581="LO",6,10))+IF(T6581=1,2,IF(D6581=7,1,(IF(WEEKDAY(B6581)=1,2,IF(WEEKDAY(B6581)=7,1,0))))))</f>
        <v>3</v>
      </c>
      <c r="V6581" s="328">
        <f>VLOOKUP(C6581,METADATA!$A$5:$H$29,IF(E6581="HI",2,IF(E6581="LO",6,10))+IF(T6581=1,2,IF(D6581=7,1,(IF(WEEKDAY(B6581)=1,2,IF(WEEKDAY(B6581)=7,1,0))))))</f>
        <v>3</v>
      </c>
    </row>
    <row r="6582" spans="2:22">
      <c r="B6582" s="318">
        <f t="shared" si="411"/>
        <v>46387</v>
      </c>
      <c r="C6582" s="312">
        <v>2</v>
      </c>
      <c r="D6582" s="368">
        <f>IFERROR((INDEX(METADATA!$T$2:$T$20,MATCH(B6582,METADATA!$S$2:$S$20,0))),0)</f>
        <v>0</v>
      </c>
      <c r="E6582" s="312" t="str">
        <f t="shared" si="408"/>
        <v>LO</v>
      </c>
      <c r="F6582" s="369">
        <f>VLOOKUP(C6582,METADATA!$A$5:$H$29,IF(E6582="HI",2,IF(E6582="LO",6,10))+IF(D6582=1,2,IF(D6582=7,1,(IF(WEEKDAY(B6582)=1,2,IF(WEEKDAY(B6582)=7,1,0))))))</f>
        <v>3</v>
      </c>
      <c r="G6582" s="369">
        <f>VLOOKUP(C6582,METADATA!$J$5:$Q$29,IF(E6582="HI",2,IF(E6582="LO",6,10))+IF(D6582=1,2,IF(D6582=7,1,(IF(WEEKDAY(B6582)=1,2,IF(WEEKDAY(B6582)=7,1,0))))))</f>
        <v>3</v>
      </c>
      <c r="H6582" s="370">
        <v>13459.575073242188</v>
      </c>
      <c r="I6582" s="370">
        <v>4548.6199951171875</v>
      </c>
      <c r="M6582" s="371">
        <f t="shared" si="409"/>
        <v>14207.396137653877</v>
      </c>
      <c r="N6582" s="329">
        <f t="shared" si="410"/>
        <v>510.74747314453134</v>
      </c>
      <c r="T6582" s="331">
        <v>0</v>
      </c>
      <c r="U6582" s="328">
        <f>VLOOKUP(C6582,METADATA!$J$5:$Q$29,IF(E6582="HI",2,IF(E6582="LO",6,10))+IF(T6582=1,2,IF(D6582=7,1,(IF(WEEKDAY(B6582)=1,2,IF(WEEKDAY(B6582)=7,1,0))))))</f>
        <v>3</v>
      </c>
      <c r="V6582" s="328">
        <f>VLOOKUP(C6582,METADATA!$A$5:$H$29,IF(E6582="HI",2,IF(E6582="LO",6,10))+IF(T6582=1,2,IF(D6582=7,1,(IF(WEEKDAY(B6582)=1,2,IF(WEEKDAY(B6582)=7,1,0))))))</f>
        <v>3</v>
      </c>
    </row>
    <row r="6583" spans="2:22">
      <c r="B6583" s="318">
        <f t="shared" si="411"/>
        <v>46387</v>
      </c>
      <c r="C6583" s="312">
        <v>3</v>
      </c>
      <c r="D6583" s="368">
        <f>IFERROR((INDEX(METADATA!$T$2:$T$20,MATCH(B6583,METADATA!$S$2:$S$20,0))),0)</f>
        <v>0</v>
      </c>
      <c r="E6583" s="312" t="str">
        <f t="shared" si="408"/>
        <v>LO</v>
      </c>
      <c r="F6583" s="369">
        <f>VLOOKUP(C6583,METADATA!$A$5:$H$29,IF(E6583="HI",2,IF(E6583="LO",6,10))+IF(D6583=1,2,IF(D6583=7,1,(IF(WEEKDAY(B6583)=1,2,IF(WEEKDAY(B6583)=7,1,0))))))</f>
        <v>3</v>
      </c>
      <c r="G6583" s="369">
        <f>VLOOKUP(C6583,METADATA!$J$5:$Q$29,IF(E6583="HI",2,IF(E6583="LO",6,10))+IF(D6583=1,2,IF(D6583=7,1,(IF(WEEKDAY(B6583)=1,2,IF(WEEKDAY(B6583)=7,1,0))))))</f>
        <v>3</v>
      </c>
      <c r="H6583" s="370">
        <v>13416.375183105469</v>
      </c>
      <c r="I6583" s="370">
        <v>4352.2400207519531</v>
      </c>
      <c r="M6583" s="371">
        <f t="shared" si="409"/>
        <v>14104.648746143352</v>
      </c>
      <c r="N6583" s="329">
        <f t="shared" si="410"/>
        <v>327.32746582031268</v>
      </c>
      <c r="T6583" s="331">
        <v>0</v>
      </c>
      <c r="U6583" s="328">
        <f>VLOOKUP(C6583,METADATA!$J$5:$Q$29,IF(E6583="HI",2,IF(E6583="LO",6,10))+IF(T6583=1,2,IF(D6583=7,1,(IF(WEEKDAY(B6583)=1,2,IF(WEEKDAY(B6583)=7,1,0))))))</f>
        <v>3</v>
      </c>
      <c r="V6583" s="328">
        <f>VLOOKUP(C6583,METADATA!$A$5:$H$29,IF(E6583="HI",2,IF(E6583="LO",6,10))+IF(T6583=1,2,IF(D6583=7,1,(IF(WEEKDAY(B6583)=1,2,IF(WEEKDAY(B6583)=7,1,0))))))</f>
        <v>3</v>
      </c>
    </row>
    <row r="6584" spans="2:22">
      <c r="B6584" s="318">
        <f t="shared" si="411"/>
        <v>46387</v>
      </c>
      <c r="C6584" s="312">
        <v>4</v>
      </c>
      <c r="D6584" s="368">
        <f>IFERROR((INDEX(METADATA!$T$2:$T$20,MATCH(B6584,METADATA!$S$2:$S$20,0))),0)</f>
        <v>0</v>
      </c>
      <c r="E6584" s="312" t="str">
        <f t="shared" si="408"/>
        <v>LO</v>
      </c>
      <c r="F6584" s="369">
        <f>VLOOKUP(C6584,METADATA!$A$5:$H$29,IF(E6584="HI",2,IF(E6584="LO",6,10))+IF(D6584=1,2,IF(D6584=7,1,(IF(WEEKDAY(B6584)=1,2,IF(WEEKDAY(B6584)=7,1,0))))))</f>
        <v>3</v>
      </c>
      <c r="G6584" s="369">
        <f>VLOOKUP(C6584,METADATA!$J$5:$Q$29,IF(E6584="HI",2,IF(E6584="LO",6,10))+IF(D6584=1,2,IF(D6584=7,1,(IF(WEEKDAY(B6584)=1,2,IF(WEEKDAY(B6584)=7,1,0))))))</f>
        <v>3</v>
      </c>
      <c r="H6584" s="370">
        <v>13383.89990234375</v>
      </c>
      <c r="I6584" s="370">
        <v>4336.2950439453125</v>
      </c>
      <c r="M6584" s="371">
        <f t="shared" si="409"/>
        <v>14068.839017634031</v>
      </c>
      <c r="N6584" s="329">
        <f t="shared" si="410"/>
        <v>321.12507324218768</v>
      </c>
      <c r="T6584" s="331">
        <v>0</v>
      </c>
      <c r="U6584" s="328">
        <f>VLOOKUP(C6584,METADATA!$J$5:$Q$29,IF(E6584="HI",2,IF(E6584="LO",6,10))+IF(T6584=1,2,IF(D6584=7,1,(IF(WEEKDAY(B6584)=1,2,IF(WEEKDAY(B6584)=7,1,0))))))</f>
        <v>3</v>
      </c>
      <c r="V6584" s="328">
        <f>VLOOKUP(C6584,METADATA!$A$5:$H$29,IF(E6584="HI",2,IF(E6584="LO",6,10))+IF(T6584=1,2,IF(D6584=7,1,(IF(WEEKDAY(B6584)=1,2,IF(WEEKDAY(B6584)=7,1,0))))))</f>
        <v>3</v>
      </c>
    </row>
    <row r="6585" spans="2:22">
      <c r="B6585" s="318">
        <f t="shared" si="411"/>
        <v>46387</v>
      </c>
      <c r="C6585" s="312">
        <v>5</v>
      </c>
      <c r="D6585" s="368">
        <f>IFERROR((INDEX(METADATA!$T$2:$T$20,MATCH(B6585,METADATA!$S$2:$S$20,0))),0)</f>
        <v>0</v>
      </c>
      <c r="E6585" s="312" t="str">
        <f t="shared" si="408"/>
        <v>LO</v>
      </c>
      <c r="F6585" s="369">
        <f>VLOOKUP(C6585,METADATA!$A$5:$H$29,IF(E6585="HI",2,IF(E6585="LO",6,10))+IF(D6585=1,2,IF(D6585=7,1,(IF(WEEKDAY(B6585)=1,2,IF(WEEKDAY(B6585)=7,1,0))))))</f>
        <v>3</v>
      </c>
      <c r="G6585" s="369">
        <f>VLOOKUP(C6585,METADATA!$J$5:$Q$29,IF(E6585="HI",2,IF(E6585="LO",6,10))+IF(D6585=1,2,IF(D6585=7,1,(IF(WEEKDAY(B6585)=1,2,IF(WEEKDAY(B6585)=7,1,0))))))</f>
        <v>3</v>
      </c>
      <c r="H6585" s="370">
        <v>13345.875183105469</v>
      </c>
      <c r="I6585" s="370">
        <v>4342.0799865722656</v>
      </c>
      <c r="M6585" s="371">
        <f t="shared" si="409"/>
        <v>14034.459127904496</v>
      </c>
      <c r="N6585" s="329">
        <f t="shared" si="410"/>
        <v>338.31743164062527</v>
      </c>
      <c r="T6585" s="331">
        <v>0</v>
      </c>
      <c r="U6585" s="328">
        <f>VLOOKUP(C6585,METADATA!$J$5:$Q$29,IF(E6585="HI",2,IF(E6585="LO",6,10))+IF(T6585=1,2,IF(D6585=7,1,(IF(WEEKDAY(B6585)=1,2,IF(WEEKDAY(B6585)=7,1,0))))))</f>
        <v>3</v>
      </c>
      <c r="V6585" s="328">
        <f>VLOOKUP(C6585,METADATA!$A$5:$H$29,IF(E6585="HI",2,IF(E6585="LO",6,10))+IF(T6585=1,2,IF(D6585=7,1,(IF(WEEKDAY(B6585)=1,2,IF(WEEKDAY(B6585)=7,1,0))))))</f>
        <v>3</v>
      </c>
    </row>
    <row r="6586" spans="2:22">
      <c r="B6586" s="318">
        <f t="shared" si="411"/>
        <v>46387</v>
      </c>
      <c r="C6586" s="312">
        <v>6</v>
      </c>
      <c r="D6586" s="368">
        <f>IFERROR((INDEX(METADATA!$T$2:$T$20,MATCH(B6586,METADATA!$S$2:$S$20,0))),0)</f>
        <v>0</v>
      </c>
      <c r="E6586" s="312" t="str">
        <f t="shared" si="408"/>
        <v>LO</v>
      </c>
      <c r="F6586" s="369">
        <f>VLOOKUP(C6586,METADATA!$A$5:$H$29,IF(E6586="HI",2,IF(E6586="LO",6,10))+IF(D6586=1,2,IF(D6586=7,1,(IF(WEEKDAY(B6586)=1,2,IF(WEEKDAY(B6586)=7,1,0))))))</f>
        <v>2</v>
      </c>
      <c r="G6586" s="369">
        <f>VLOOKUP(C6586,METADATA!$J$5:$Q$29,IF(E6586="HI",2,IF(E6586="LO",6,10))+IF(D6586=1,2,IF(D6586=7,1,(IF(WEEKDAY(B6586)=1,2,IF(WEEKDAY(B6586)=7,1,0))))))</f>
        <v>2</v>
      </c>
      <c r="H6586" s="370">
        <v>13329.875244140625</v>
      </c>
      <c r="I6586" s="370">
        <v>4329.4499816894531</v>
      </c>
      <c r="M6586" s="371">
        <f t="shared" si="409"/>
        <v>14015.338425036476</v>
      </c>
      <c r="N6586" s="329">
        <f t="shared" si="410"/>
        <v>330.48740844726581</v>
      </c>
      <c r="T6586" s="331">
        <v>0</v>
      </c>
      <c r="U6586" s="328">
        <f>VLOOKUP(C6586,METADATA!$J$5:$Q$29,IF(E6586="HI",2,IF(E6586="LO",6,10))+IF(T6586=1,2,IF(D6586=7,1,(IF(WEEKDAY(B6586)=1,2,IF(WEEKDAY(B6586)=7,1,0))))))</f>
        <v>2</v>
      </c>
      <c r="V6586" s="328">
        <f>VLOOKUP(C6586,METADATA!$A$5:$H$29,IF(E6586="HI",2,IF(E6586="LO",6,10))+IF(T6586=1,2,IF(D6586=7,1,(IF(WEEKDAY(B6586)=1,2,IF(WEEKDAY(B6586)=7,1,0))))))</f>
        <v>2</v>
      </c>
    </row>
    <row r="6587" spans="2:22">
      <c r="B6587" s="318">
        <f t="shared" si="411"/>
        <v>46387</v>
      </c>
      <c r="C6587" s="312">
        <v>7</v>
      </c>
      <c r="D6587" s="368">
        <f>IFERROR((INDEX(METADATA!$T$2:$T$20,MATCH(B6587,METADATA!$S$2:$S$20,0))),0)</f>
        <v>0</v>
      </c>
      <c r="E6587" s="312" t="str">
        <f t="shared" si="408"/>
        <v>LO</v>
      </c>
      <c r="F6587" s="369">
        <f>VLOOKUP(C6587,METADATA!$A$5:$H$29,IF(E6587="HI",2,IF(E6587="LO",6,10))+IF(D6587=1,2,IF(D6587=7,1,(IF(WEEKDAY(B6587)=1,2,IF(WEEKDAY(B6587)=7,1,0))))))</f>
        <v>1</v>
      </c>
      <c r="G6587" s="369">
        <f>VLOOKUP(C6587,METADATA!$J$5:$Q$29,IF(E6587="HI",2,IF(E6587="LO",6,10))+IF(D6587=1,2,IF(D6587=7,1,(IF(WEEKDAY(B6587)=1,2,IF(WEEKDAY(B6587)=7,1,0))))))</f>
        <v>1</v>
      </c>
      <c r="H6587" s="370">
        <v>13357.10009765625</v>
      </c>
      <c r="I6587" s="370">
        <v>4140.2300415039063</v>
      </c>
      <c r="M6587" s="371">
        <f t="shared" si="409"/>
        <v>13984.049049376938</v>
      </c>
      <c r="N6587" s="329">
        <f t="shared" si="410"/>
        <v>133.10001220703134</v>
      </c>
      <c r="T6587" s="331">
        <v>0</v>
      </c>
      <c r="U6587" s="328">
        <f>VLOOKUP(C6587,METADATA!$J$5:$Q$29,IF(E6587="HI",2,IF(E6587="LO",6,10))+IF(T6587=1,2,IF(D6587=7,1,(IF(WEEKDAY(B6587)=1,2,IF(WEEKDAY(B6587)=7,1,0))))))</f>
        <v>1</v>
      </c>
      <c r="V6587" s="328">
        <f>VLOOKUP(C6587,METADATA!$A$5:$H$29,IF(E6587="HI",2,IF(E6587="LO",6,10))+IF(T6587=1,2,IF(D6587=7,1,(IF(WEEKDAY(B6587)=1,2,IF(WEEKDAY(B6587)=7,1,0))))))</f>
        <v>1</v>
      </c>
    </row>
    <row r="6588" spans="2:22">
      <c r="B6588" s="318">
        <f t="shared" si="411"/>
        <v>46387</v>
      </c>
      <c r="C6588" s="312">
        <v>8</v>
      </c>
      <c r="D6588" s="368">
        <f>IFERROR((INDEX(METADATA!$T$2:$T$20,MATCH(B6588,METADATA!$S$2:$S$20,0))),0)</f>
        <v>0</v>
      </c>
      <c r="E6588" s="312" t="str">
        <f t="shared" si="408"/>
        <v>LO</v>
      </c>
      <c r="F6588" s="369">
        <f>VLOOKUP(C6588,METADATA!$A$5:$H$29,IF(E6588="HI",2,IF(E6588="LO",6,10))+IF(D6588=1,2,IF(D6588=7,1,(IF(WEEKDAY(B6588)=1,2,IF(WEEKDAY(B6588)=7,1,0))))))</f>
        <v>1</v>
      </c>
      <c r="G6588" s="369">
        <f>VLOOKUP(C6588,METADATA!$J$5:$Q$29,IF(E6588="HI",2,IF(E6588="LO",6,10))+IF(D6588=1,2,IF(D6588=7,1,(IF(WEEKDAY(B6588)=1,2,IF(WEEKDAY(B6588)=7,1,0))))))</f>
        <v>1</v>
      </c>
      <c r="H6588" s="370">
        <v>13569.5498046875</v>
      </c>
      <c r="I6588" s="370">
        <v>4241.9499816894531</v>
      </c>
      <c r="M6588" s="371">
        <f t="shared" si="409"/>
        <v>14217.131270022435</v>
      </c>
      <c r="N6588" s="329">
        <f t="shared" si="410"/>
        <v>171.0850402832034</v>
      </c>
      <c r="T6588" s="331">
        <v>0</v>
      </c>
      <c r="U6588" s="328">
        <f>VLOOKUP(C6588,METADATA!$J$5:$Q$29,IF(E6588="HI",2,IF(E6588="LO",6,10))+IF(T6588=1,2,IF(D6588=7,1,(IF(WEEKDAY(B6588)=1,2,IF(WEEKDAY(B6588)=7,1,0))))))</f>
        <v>1</v>
      </c>
      <c r="V6588" s="328">
        <f>VLOOKUP(C6588,METADATA!$A$5:$H$29,IF(E6588="HI",2,IF(E6588="LO",6,10))+IF(T6588=1,2,IF(D6588=7,1,(IF(WEEKDAY(B6588)=1,2,IF(WEEKDAY(B6588)=7,1,0))))))</f>
        <v>1</v>
      </c>
    </row>
    <row r="6589" spans="2:22">
      <c r="B6589" s="318">
        <f t="shared" si="411"/>
        <v>46387</v>
      </c>
      <c r="C6589" s="312">
        <v>9</v>
      </c>
      <c r="D6589" s="368">
        <f>IFERROR((INDEX(METADATA!$T$2:$T$20,MATCH(B6589,METADATA!$S$2:$S$20,0))),0)</f>
        <v>0</v>
      </c>
      <c r="E6589" s="312" t="str">
        <f t="shared" si="408"/>
        <v>LO</v>
      </c>
      <c r="F6589" s="369">
        <f>VLOOKUP(C6589,METADATA!$A$5:$H$29,IF(E6589="HI",2,IF(E6589="LO",6,10))+IF(D6589=1,2,IF(D6589=7,1,(IF(WEEKDAY(B6589)=1,2,IF(WEEKDAY(B6589)=7,1,0))))))</f>
        <v>2</v>
      </c>
      <c r="G6589" s="369">
        <f>VLOOKUP(C6589,METADATA!$J$5:$Q$29,IF(E6589="HI",2,IF(E6589="LO",6,10))+IF(D6589=1,2,IF(D6589=7,1,(IF(WEEKDAY(B6589)=1,2,IF(WEEKDAY(B6589)=7,1,0))))))</f>
        <v>2</v>
      </c>
      <c r="H6589" s="370">
        <v>13165.549926757813</v>
      </c>
      <c r="I6589" s="370">
        <v>3988.4450073242188</v>
      </c>
      <c r="M6589" s="371">
        <f t="shared" si="409"/>
        <v>13756.431166927057</v>
      </c>
      <c r="N6589" s="329">
        <f t="shared" si="410"/>
        <v>38.780029296875</v>
      </c>
      <c r="T6589" s="331">
        <v>0</v>
      </c>
      <c r="U6589" s="328">
        <f>VLOOKUP(C6589,METADATA!$J$5:$Q$29,IF(E6589="HI",2,IF(E6589="LO",6,10))+IF(T6589=1,2,IF(D6589=7,1,(IF(WEEKDAY(B6589)=1,2,IF(WEEKDAY(B6589)=7,1,0))))))</f>
        <v>2</v>
      </c>
      <c r="V6589" s="328">
        <f>VLOOKUP(C6589,METADATA!$A$5:$H$29,IF(E6589="HI",2,IF(E6589="LO",6,10))+IF(T6589=1,2,IF(D6589=7,1,(IF(WEEKDAY(B6589)=1,2,IF(WEEKDAY(B6589)=7,1,0))))))</f>
        <v>2</v>
      </c>
    </row>
    <row r="6590" spans="2:22">
      <c r="B6590" s="318">
        <f t="shared" si="411"/>
        <v>46387</v>
      </c>
      <c r="C6590" s="312">
        <v>10</v>
      </c>
      <c r="D6590" s="368">
        <f>IFERROR((INDEX(METADATA!$T$2:$T$20,MATCH(B6590,METADATA!$S$2:$S$20,0))),0)</f>
        <v>0</v>
      </c>
      <c r="E6590" s="312" t="str">
        <f t="shared" si="408"/>
        <v>LO</v>
      </c>
      <c r="F6590" s="369">
        <f>VLOOKUP(C6590,METADATA!$A$5:$H$29,IF(E6590="HI",2,IF(E6590="LO",6,10))+IF(D6590=1,2,IF(D6590=7,1,(IF(WEEKDAY(B6590)=1,2,IF(WEEKDAY(B6590)=7,1,0))))))</f>
        <v>2</v>
      </c>
      <c r="G6590" s="369">
        <f>VLOOKUP(C6590,METADATA!$J$5:$Q$29,IF(E6590="HI",2,IF(E6590="LO",6,10))+IF(D6590=1,2,IF(D6590=7,1,(IF(WEEKDAY(B6590)=1,2,IF(WEEKDAY(B6590)=7,1,0))))))</f>
        <v>2</v>
      </c>
      <c r="H6590" s="370">
        <v>11715.324829101563</v>
      </c>
      <c r="I6590" s="370">
        <v>3098.4649963378906</v>
      </c>
      <c r="M6590" s="371">
        <f t="shared" si="409"/>
        <v>12118.140170211545</v>
      </c>
      <c r="N6590" s="329">
        <f t="shared" si="410"/>
        <v>0</v>
      </c>
      <c r="T6590" s="331">
        <v>0</v>
      </c>
      <c r="U6590" s="328">
        <f>VLOOKUP(C6590,METADATA!$J$5:$Q$29,IF(E6590="HI",2,IF(E6590="LO",6,10))+IF(T6590=1,2,IF(D6590=7,1,(IF(WEEKDAY(B6590)=1,2,IF(WEEKDAY(B6590)=7,1,0))))))</f>
        <v>2</v>
      </c>
      <c r="V6590" s="328">
        <f>VLOOKUP(C6590,METADATA!$A$5:$H$29,IF(E6590="HI",2,IF(E6590="LO",6,10))+IF(T6590=1,2,IF(D6590=7,1,(IF(WEEKDAY(B6590)=1,2,IF(WEEKDAY(B6590)=7,1,0))))))</f>
        <v>2</v>
      </c>
    </row>
    <row r="6591" spans="2:22">
      <c r="B6591" s="318">
        <f t="shared" si="411"/>
        <v>46387</v>
      </c>
      <c r="C6591" s="312">
        <v>11</v>
      </c>
      <c r="D6591" s="368">
        <f>IFERROR((INDEX(METADATA!$T$2:$T$20,MATCH(B6591,METADATA!$S$2:$S$20,0))),0)</f>
        <v>0</v>
      </c>
      <c r="E6591" s="312" t="str">
        <f t="shared" si="408"/>
        <v>LO</v>
      </c>
      <c r="F6591" s="369">
        <f>VLOOKUP(C6591,METADATA!$A$5:$H$29,IF(E6591="HI",2,IF(E6591="LO",6,10))+IF(D6591=1,2,IF(D6591=7,1,(IF(WEEKDAY(B6591)=1,2,IF(WEEKDAY(B6591)=7,1,0))))))</f>
        <v>2</v>
      </c>
      <c r="G6591" s="369">
        <f>VLOOKUP(C6591,METADATA!$J$5:$Q$29,IF(E6591="HI",2,IF(E6591="LO",6,10))+IF(D6591=1,2,IF(D6591=7,1,(IF(WEEKDAY(B6591)=1,2,IF(WEEKDAY(B6591)=7,1,0))))))</f>
        <v>2</v>
      </c>
      <c r="H6591" s="370">
        <v>12987.875061035156</v>
      </c>
      <c r="I6591" s="370">
        <v>3795.9625244140625</v>
      </c>
      <c r="M6591" s="371">
        <f t="shared" si="409"/>
        <v>13531.231654502664</v>
      </c>
      <c r="N6591" s="329">
        <f t="shared" si="410"/>
        <v>0</v>
      </c>
      <c r="T6591" s="331">
        <v>0</v>
      </c>
      <c r="U6591" s="328">
        <f>VLOOKUP(C6591,METADATA!$J$5:$Q$29,IF(E6591="HI",2,IF(E6591="LO",6,10))+IF(T6591=1,2,IF(D6591=7,1,(IF(WEEKDAY(B6591)=1,2,IF(WEEKDAY(B6591)=7,1,0))))))</f>
        <v>2</v>
      </c>
      <c r="V6591" s="328">
        <f>VLOOKUP(C6591,METADATA!$A$5:$H$29,IF(E6591="HI",2,IF(E6591="LO",6,10))+IF(T6591=1,2,IF(D6591=7,1,(IF(WEEKDAY(B6591)=1,2,IF(WEEKDAY(B6591)=7,1,0))))))</f>
        <v>2</v>
      </c>
    </row>
    <row r="6592" spans="2:22">
      <c r="B6592" s="318">
        <f t="shared" si="411"/>
        <v>46387</v>
      </c>
      <c r="C6592" s="312">
        <v>12</v>
      </c>
      <c r="D6592" s="368">
        <f>IFERROR((INDEX(METADATA!$T$2:$T$20,MATCH(B6592,METADATA!$S$2:$S$20,0))),0)</f>
        <v>0</v>
      </c>
      <c r="E6592" s="312" t="str">
        <f t="shared" si="408"/>
        <v>LO</v>
      </c>
      <c r="F6592" s="369">
        <f>VLOOKUP(C6592,METADATA!$A$5:$H$29,IF(E6592="HI",2,IF(E6592="LO",6,10))+IF(D6592=1,2,IF(D6592=7,1,(IF(WEEKDAY(B6592)=1,2,IF(WEEKDAY(B6592)=7,1,0))))))</f>
        <v>2</v>
      </c>
      <c r="G6592" s="369">
        <f>VLOOKUP(C6592,METADATA!$J$5:$Q$29,IF(E6592="HI",2,IF(E6592="LO",6,10))+IF(D6592=1,2,IF(D6592=7,1,(IF(WEEKDAY(B6592)=1,2,IF(WEEKDAY(B6592)=7,1,0))))))</f>
        <v>2</v>
      </c>
      <c r="H6592" s="370">
        <v>13553.400024414063</v>
      </c>
      <c r="I6592" s="370">
        <v>4026.7750549316406</v>
      </c>
      <c r="M6592" s="371">
        <f t="shared" si="409"/>
        <v>14138.938063546599</v>
      </c>
      <c r="N6592" s="329">
        <f t="shared" si="410"/>
        <v>0</v>
      </c>
      <c r="T6592" s="331">
        <v>0</v>
      </c>
      <c r="U6592" s="328">
        <f>VLOOKUP(C6592,METADATA!$J$5:$Q$29,IF(E6592="HI",2,IF(E6592="LO",6,10))+IF(T6592=1,2,IF(D6592=7,1,(IF(WEEKDAY(B6592)=1,2,IF(WEEKDAY(B6592)=7,1,0))))))</f>
        <v>2</v>
      </c>
      <c r="V6592" s="328">
        <f>VLOOKUP(C6592,METADATA!$A$5:$H$29,IF(E6592="HI",2,IF(E6592="LO",6,10))+IF(T6592=1,2,IF(D6592=7,1,(IF(WEEKDAY(B6592)=1,2,IF(WEEKDAY(B6592)=7,1,0))))))</f>
        <v>2</v>
      </c>
    </row>
    <row r="6593" spans="2:22">
      <c r="B6593" s="318">
        <f t="shared" si="411"/>
        <v>46387</v>
      </c>
      <c r="C6593" s="312">
        <v>13</v>
      </c>
      <c r="D6593" s="368">
        <f>IFERROR((INDEX(METADATA!$T$2:$T$20,MATCH(B6593,METADATA!$S$2:$S$20,0))),0)</f>
        <v>0</v>
      </c>
      <c r="E6593" s="312" t="str">
        <f t="shared" si="408"/>
        <v>LO</v>
      </c>
      <c r="F6593" s="369">
        <f>VLOOKUP(C6593,METADATA!$A$5:$H$29,IF(E6593="HI",2,IF(E6593="LO",6,10))+IF(D6593=1,2,IF(D6593=7,1,(IF(WEEKDAY(B6593)=1,2,IF(WEEKDAY(B6593)=7,1,0))))))</f>
        <v>2</v>
      </c>
      <c r="G6593" s="369">
        <f>VLOOKUP(C6593,METADATA!$J$5:$Q$29,IF(E6593="HI",2,IF(E6593="LO",6,10))+IF(D6593=1,2,IF(D6593=7,1,(IF(WEEKDAY(B6593)=1,2,IF(WEEKDAY(B6593)=7,1,0))))))</f>
        <v>2</v>
      </c>
      <c r="H6593" s="370">
        <v>13596.725158691406</v>
      </c>
      <c r="I6593" s="370">
        <v>4076.0250244140625</v>
      </c>
      <c r="M6593" s="371">
        <f t="shared" si="409"/>
        <v>14194.538211602428</v>
      </c>
      <c r="N6593" s="329">
        <f t="shared" si="410"/>
        <v>0</v>
      </c>
      <c r="T6593" s="331">
        <v>0</v>
      </c>
      <c r="U6593" s="328">
        <f>VLOOKUP(C6593,METADATA!$J$5:$Q$29,IF(E6593="HI",2,IF(E6593="LO",6,10))+IF(T6593=1,2,IF(D6593=7,1,(IF(WEEKDAY(B6593)=1,2,IF(WEEKDAY(B6593)=7,1,0))))))</f>
        <v>2</v>
      </c>
      <c r="V6593" s="328">
        <f>VLOOKUP(C6593,METADATA!$A$5:$H$29,IF(E6593="HI",2,IF(E6593="LO",6,10))+IF(T6593=1,2,IF(D6593=7,1,(IF(WEEKDAY(B6593)=1,2,IF(WEEKDAY(B6593)=7,1,0))))))</f>
        <v>2</v>
      </c>
    </row>
    <row r="6594" spans="2:22">
      <c r="B6594" s="318">
        <f t="shared" si="411"/>
        <v>46387</v>
      </c>
      <c r="C6594" s="312">
        <v>14</v>
      </c>
      <c r="D6594" s="368">
        <f>IFERROR((INDEX(METADATA!$T$2:$T$20,MATCH(B6594,METADATA!$S$2:$S$20,0))),0)</f>
        <v>0</v>
      </c>
      <c r="E6594" s="312" t="str">
        <f t="shared" si="408"/>
        <v>LO</v>
      </c>
      <c r="F6594" s="369">
        <f>VLOOKUP(C6594,METADATA!$A$5:$H$29,IF(E6594="HI",2,IF(E6594="LO",6,10))+IF(D6594=1,2,IF(D6594=7,1,(IF(WEEKDAY(B6594)=1,2,IF(WEEKDAY(B6594)=7,1,0))))))</f>
        <v>2</v>
      </c>
      <c r="G6594" s="369">
        <f>VLOOKUP(C6594,METADATA!$J$5:$Q$29,IF(E6594="HI",2,IF(E6594="LO",6,10))+IF(D6594=1,2,IF(D6594=7,1,(IF(WEEKDAY(B6594)=1,2,IF(WEEKDAY(B6594)=7,1,0))))))</f>
        <v>2</v>
      </c>
      <c r="H6594" s="370">
        <v>13558.049926757813</v>
      </c>
      <c r="I6594" s="370">
        <v>4172.1900329589844</v>
      </c>
      <c r="M6594" s="371">
        <f t="shared" si="409"/>
        <v>14185.481574045338</v>
      </c>
      <c r="N6594" s="329">
        <f t="shared" si="410"/>
        <v>104.77505493164063</v>
      </c>
      <c r="T6594" s="331">
        <v>0</v>
      </c>
      <c r="U6594" s="328">
        <f>VLOOKUP(C6594,METADATA!$J$5:$Q$29,IF(E6594="HI",2,IF(E6594="LO",6,10))+IF(T6594=1,2,IF(D6594=7,1,(IF(WEEKDAY(B6594)=1,2,IF(WEEKDAY(B6594)=7,1,0))))))</f>
        <v>2</v>
      </c>
      <c r="V6594" s="328">
        <f>VLOOKUP(C6594,METADATA!$A$5:$H$29,IF(E6594="HI",2,IF(E6594="LO",6,10))+IF(T6594=1,2,IF(D6594=7,1,(IF(WEEKDAY(B6594)=1,2,IF(WEEKDAY(B6594)=7,1,0))))))</f>
        <v>2</v>
      </c>
    </row>
    <row r="6595" spans="2:22">
      <c r="B6595" s="318">
        <f t="shared" si="411"/>
        <v>46387</v>
      </c>
      <c r="C6595" s="312">
        <v>15</v>
      </c>
      <c r="D6595" s="368">
        <f>IFERROR((INDEX(METADATA!$T$2:$T$20,MATCH(B6595,METADATA!$S$2:$S$20,0))),0)</f>
        <v>0</v>
      </c>
      <c r="E6595" s="312" t="str">
        <f t="shared" si="408"/>
        <v>LO</v>
      </c>
      <c r="F6595" s="369">
        <f>VLOOKUP(C6595,METADATA!$A$5:$H$29,IF(E6595="HI",2,IF(E6595="LO",6,10))+IF(D6595=1,2,IF(D6595=7,1,(IF(WEEKDAY(B6595)=1,2,IF(WEEKDAY(B6595)=7,1,0))))))</f>
        <v>2</v>
      </c>
      <c r="G6595" s="369">
        <f>VLOOKUP(C6595,METADATA!$J$5:$Q$29,IF(E6595="HI",2,IF(E6595="LO",6,10))+IF(D6595=1,2,IF(D6595=7,1,(IF(WEEKDAY(B6595)=1,2,IF(WEEKDAY(B6595)=7,1,0))))))</f>
        <v>2</v>
      </c>
      <c r="H6595" s="370">
        <v>13592.30029296875</v>
      </c>
      <c r="I6595" s="370">
        <v>4359.0900268554688</v>
      </c>
      <c r="M6595" s="371">
        <f t="shared" si="409"/>
        <v>14274.182747760698</v>
      </c>
      <c r="N6595" s="329">
        <f t="shared" si="410"/>
        <v>281.39993896484384</v>
      </c>
      <c r="T6595" s="331">
        <v>0</v>
      </c>
      <c r="U6595" s="328">
        <f>VLOOKUP(C6595,METADATA!$J$5:$Q$29,IF(E6595="HI",2,IF(E6595="LO",6,10))+IF(T6595=1,2,IF(D6595=7,1,(IF(WEEKDAY(B6595)=1,2,IF(WEEKDAY(B6595)=7,1,0))))))</f>
        <v>2</v>
      </c>
      <c r="V6595" s="328">
        <f>VLOOKUP(C6595,METADATA!$A$5:$H$29,IF(E6595="HI",2,IF(E6595="LO",6,10))+IF(T6595=1,2,IF(D6595=7,1,(IF(WEEKDAY(B6595)=1,2,IF(WEEKDAY(B6595)=7,1,0))))))</f>
        <v>2</v>
      </c>
    </row>
    <row r="6596" spans="2:22">
      <c r="B6596" s="318">
        <f t="shared" si="411"/>
        <v>46387</v>
      </c>
      <c r="C6596" s="312">
        <v>16</v>
      </c>
      <c r="D6596" s="368">
        <f>IFERROR((INDEX(METADATA!$T$2:$T$20,MATCH(B6596,METADATA!$S$2:$S$20,0))),0)</f>
        <v>0</v>
      </c>
      <c r="E6596" s="312" t="str">
        <f t="shared" ref="E6596:E6659" si="412">IF(B6596="","",IF(AND(MONTH(B6596)&gt;=MONTH($Z$9),MONTH(B6596)&lt;=MONTH($Z$11)),"HI","LO"))</f>
        <v>LO</v>
      </c>
      <c r="F6596" s="369">
        <f>VLOOKUP(C6596,METADATA!$A$5:$H$29,IF(E6596="HI",2,IF(E6596="LO",6,10))+IF(D6596=1,2,IF(D6596=7,1,(IF(WEEKDAY(B6596)=1,2,IF(WEEKDAY(B6596)=7,1,0))))))</f>
        <v>2</v>
      </c>
      <c r="G6596" s="369">
        <f>VLOOKUP(C6596,METADATA!$J$5:$Q$29,IF(E6596="HI",2,IF(E6596="LO",6,10))+IF(D6596=1,2,IF(D6596=7,1,(IF(WEEKDAY(B6596)=1,2,IF(WEEKDAY(B6596)=7,1,0))))))</f>
        <v>2</v>
      </c>
      <c r="H6596" s="370">
        <v>13640.749755859375</v>
      </c>
      <c r="I6596" s="370">
        <v>4431.8600769042969</v>
      </c>
      <c r="M6596" s="371">
        <f t="shared" ref="M6596:M6659" si="413">SQRT(H6596^2+I6596^2)</f>
        <v>14342.644025535728</v>
      </c>
      <c r="N6596" s="329">
        <f t="shared" ref="N6596:N6659" si="414">IF(H6596=0,0,(IF(I6596-(0.3*H6596)&lt;0,0,(I6596-(0.3*H6596)))))</f>
        <v>339.63515014648465</v>
      </c>
      <c r="T6596" s="331">
        <v>0</v>
      </c>
      <c r="U6596" s="328">
        <f>VLOOKUP(C6596,METADATA!$J$5:$Q$29,IF(E6596="HI",2,IF(E6596="LO",6,10))+IF(T6596=1,2,IF(D6596=7,1,(IF(WEEKDAY(B6596)=1,2,IF(WEEKDAY(B6596)=7,1,0))))))</f>
        <v>2</v>
      </c>
      <c r="V6596" s="328">
        <f>VLOOKUP(C6596,METADATA!$A$5:$H$29,IF(E6596="HI",2,IF(E6596="LO",6,10))+IF(T6596=1,2,IF(D6596=7,1,(IF(WEEKDAY(B6596)=1,2,IF(WEEKDAY(B6596)=7,1,0))))))</f>
        <v>2</v>
      </c>
    </row>
    <row r="6597" spans="2:22">
      <c r="B6597" s="318">
        <f t="shared" si="411"/>
        <v>46387</v>
      </c>
      <c r="C6597" s="312">
        <v>17</v>
      </c>
      <c r="D6597" s="368">
        <f>IFERROR((INDEX(METADATA!$T$2:$T$20,MATCH(B6597,METADATA!$S$2:$S$20,0))),0)</f>
        <v>0</v>
      </c>
      <c r="E6597" s="312" t="str">
        <f t="shared" si="412"/>
        <v>LO</v>
      </c>
      <c r="F6597" s="369">
        <f>VLOOKUP(C6597,METADATA!$A$5:$H$29,IF(E6597="HI",2,IF(E6597="LO",6,10))+IF(D6597=1,2,IF(D6597=7,1,(IF(WEEKDAY(B6597)=1,2,IF(WEEKDAY(B6597)=7,1,0))))))</f>
        <v>2</v>
      </c>
      <c r="G6597" s="369">
        <f>VLOOKUP(C6597,METADATA!$J$5:$Q$29,IF(E6597="HI",2,IF(E6597="LO",6,10))+IF(D6597=1,2,IF(D6597=7,1,(IF(WEEKDAY(B6597)=1,2,IF(WEEKDAY(B6597)=7,1,0))))))</f>
        <v>2</v>
      </c>
      <c r="H6597" s="370">
        <v>13567.174926757813</v>
      </c>
      <c r="I6597" s="370">
        <v>4301.0349426269531</v>
      </c>
      <c r="M6597" s="371">
        <f t="shared" si="413"/>
        <v>14232.608231485327</v>
      </c>
      <c r="N6597" s="329">
        <f t="shared" si="414"/>
        <v>230.88246459960965</v>
      </c>
      <c r="T6597" s="331">
        <v>0</v>
      </c>
      <c r="U6597" s="328">
        <f>VLOOKUP(C6597,METADATA!$J$5:$Q$29,IF(E6597="HI",2,IF(E6597="LO",6,10))+IF(T6597=1,2,IF(D6597=7,1,(IF(WEEKDAY(B6597)=1,2,IF(WEEKDAY(B6597)=7,1,0))))))</f>
        <v>2</v>
      </c>
      <c r="V6597" s="328">
        <f>VLOOKUP(C6597,METADATA!$A$5:$H$29,IF(E6597="HI",2,IF(E6597="LO",6,10))+IF(T6597=1,2,IF(D6597=7,1,(IF(WEEKDAY(B6597)=1,2,IF(WEEKDAY(B6597)=7,1,0))))))</f>
        <v>2</v>
      </c>
    </row>
    <row r="6598" spans="2:22">
      <c r="B6598" s="318">
        <f t="shared" si="411"/>
        <v>46387</v>
      </c>
      <c r="C6598" s="312">
        <v>18</v>
      </c>
      <c r="D6598" s="368">
        <f>IFERROR((INDEX(METADATA!$T$2:$T$20,MATCH(B6598,METADATA!$S$2:$S$20,0))),0)</f>
        <v>0</v>
      </c>
      <c r="E6598" s="312" t="str">
        <f t="shared" si="412"/>
        <v>LO</v>
      </c>
      <c r="F6598" s="369">
        <f>VLOOKUP(C6598,METADATA!$A$5:$H$29,IF(E6598="HI",2,IF(E6598="LO",6,10))+IF(D6598=1,2,IF(D6598=7,1,(IF(WEEKDAY(B6598)=1,2,IF(WEEKDAY(B6598)=7,1,0))))))</f>
        <v>1</v>
      </c>
      <c r="G6598" s="369">
        <f>VLOOKUP(C6598,METADATA!$J$5:$Q$29,IF(E6598="HI",2,IF(E6598="LO",6,10))+IF(D6598=1,2,IF(D6598=7,1,(IF(WEEKDAY(B6598)=1,2,IF(WEEKDAY(B6598)=7,1,0))))))</f>
        <v>1</v>
      </c>
      <c r="H6598" s="370">
        <v>13594.050109863281</v>
      </c>
      <c r="I6598" s="370">
        <v>4391.9100341796875</v>
      </c>
      <c r="M6598" s="371">
        <f t="shared" si="413"/>
        <v>14285.904666411649</v>
      </c>
      <c r="N6598" s="329">
        <f t="shared" si="414"/>
        <v>313.69500122070349</v>
      </c>
      <c r="T6598" s="331">
        <v>0</v>
      </c>
      <c r="U6598" s="328">
        <f>VLOOKUP(C6598,METADATA!$J$5:$Q$29,IF(E6598="HI",2,IF(E6598="LO",6,10))+IF(T6598=1,2,IF(D6598=7,1,(IF(WEEKDAY(B6598)=1,2,IF(WEEKDAY(B6598)=7,1,0))))))</f>
        <v>1</v>
      </c>
      <c r="V6598" s="328">
        <f>VLOOKUP(C6598,METADATA!$A$5:$H$29,IF(E6598="HI",2,IF(E6598="LO",6,10))+IF(T6598=1,2,IF(D6598=7,1,(IF(WEEKDAY(B6598)=1,2,IF(WEEKDAY(B6598)=7,1,0))))))</f>
        <v>1</v>
      </c>
    </row>
    <row r="6599" spans="2:22">
      <c r="B6599" s="318">
        <f t="shared" si="411"/>
        <v>46387</v>
      </c>
      <c r="C6599" s="312">
        <v>19</v>
      </c>
      <c r="D6599" s="368">
        <f>IFERROR((INDEX(METADATA!$T$2:$T$20,MATCH(B6599,METADATA!$S$2:$S$20,0))),0)</f>
        <v>0</v>
      </c>
      <c r="E6599" s="312" t="str">
        <f t="shared" si="412"/>
        <v>LO</v>
      </c>
      <c r="F6599" s="369">
        <f>VLOOKUP(C6599,METADATA!$A$5:$H$29,IF(E6599="HI",2,IF(E6599="LO",6,10))+IF(D6599=1,2,IF(D6599=7,1,(IF(WEEKDAY(B6599)=1,2,IF(WEEKDAY(B6599)=7,1,0))))))</f>
        <v>1</v>
      </c>
      <c r="G6599" s="369">
        <f>VLOOKUP(C6599,METADATA!$J$5:$Q$29,IF(E6599="HI",2,IF(E6599="LO",6,10))+IF(D6599=1,2,IF(D6599=7,1,(IF(WEEKDAY(B6599)=1,2,IF(WEEKDAY(B6599)=7,1,0))))))</f>
        <v>1</v>
      </c>
      <c r="H6599" s="370">
        <v>13722.07470703125</v>
      </c>
      <c r="I6599" s="370">
        <v>4343.570068359375</v>
      </c>
      <c r="M6599" s="371">
        <f t="shared" si="413"/>
        <v>14393.121107115518</v>
      </c>
      <c r="N6599" s="329">
        <f t="shared" si="414"/>
        <v>226.94765625000036</v>
      </c>
      <c r="T6599" s="331">
        <v>0</v>
      </c>
      <c r="U6599" s="328">
        <f>VLOOKUP(C6599,METADATA!$J$5:$Q$29,IF(E6599="HI",2,IF(E6599="LO",6,10))+IF(T6599=1,2,IF(D6599=7,1,(IF(WEEKDAY(B6599)=1,2,IF(WEEKDAY(B6599)=7,1,0))))))</f>
        <v>1</v>
      </c>
      <c r="V6599" s="328">
        <f>VLOOKUP(C6599,METADATA!$A$5:$H$29,IF(E6599="HI",2,IF(E6599="LO",6,10))+IF(T6599=1,2,IF(D6599=7,1,(IF(WEEKDAY(B6599)=1,2,IF(WEEKDAY(B6599)=7,1,0))))))</f>
        <v>1</v>
      </c>
    </row>
    <row r="6600" spans="2:22">
      <c r="B6600" s="318">
        <f t="shared" si="411"/>
        <v>46387</v>
      </c>
      <c r="C6600" s="312">
        <v>20</v>
      </c>
      <c r="D6600" s="368">
        <f>IFERROR((INDEX(METADATA!$T$2:$T$20,MATCH(B6600,METADATA!$S$2:$S$20,0))),0)</f>
        <v>0</v>
      </c>
      <c r="E6600" s="312" t="str">
        <f t="shared" si="412"/>
        <v>LO</v>
      </c>
      <c r="F6600" s="369">
        <f>VLOOKUP(C6600,METADATA!$A$5:$H$29,IF(E6600="HI",2,IF(E6600="LO",6,10))+IF(D6600=1,2,IF(D6600=7,1,(IF(WEEKDAY(B6600)=1,2,IF(WEEKDAY(B6600)=7,1,0))))))</f>
        <v>1</v>
      </c>
      <c r="G6600" s="369">
        <f>VLOOKUP(C6600,METADATA!$J$5:$Q$29,IF(E6600="HI",2,IF(E6600="LO",6,10))+IF(D6600=1,2,IF(D6600=7,1,(IF(WEEKDAY(B6600)=1,2,IF(WEEKDAY(B6600)=7,1,0))))))</f>
        <v>1</v>
      </c>
      <c r="H6600" s="370">
        <v>13676.150268554688</v>
      </c>
      <c r="I6600" s="370">
        <v>4200.1699523925781</v>
      </c>
      <c r="M6600" s="371">
        <f t="shared" si="413"/>
        <v>14306.589873099387</v>
      </c>
      <c r="N6600" s="329">
        <f t="shared" si="414"/>
        <v>97.324871826172057</v>
      </c>
      <c r="T6600" s="331">
        <v>0</v>
      </c>
      <c r="U6600" s="328">
        <f>VLOOKUP(C6600,METADATA!$J$5:$Q$29,IF(E6600="HI",2,IF(E6600="LO",6,10))+IF(T6600=1,2,IF(D6600=7,1,(IF(WEEKDAY(B6600)=1,2,IF(WEEKDAY(B6600)=7,1,0))))))</f>
        <v>1</v>
      </c>
      <c r="V6600" s="328">
        <f>VLOOKUP(C6600,METADATA!$A$5:$H$29,IF(E6600="HI",2,IF(E6600="LO",6,10))+IF(T6600=1,2,IF(D6600=7,1,(IF(WEEKDAY(B6600)=1,2,IF(WEEKDAY(B6600)=7,1,0))))))</f>
        <v>1</v>
      </c>
    </row>
    <row r="6601" spans="2:22">
      <c r="B6601" s="318">
        <f t="shared" si="411"/>
        <v>46387</v>
      </c>
      <c r="C6601" s="312">
        <v>21</v>
      </c>
      <c r="D6601" s="368">
        <f>IFERROR((INDEX(METADATA!$T$2:$T$20,MATCH(B6601,METADATA!$S$2:$S$20,0))),0)</f>
        <v>0</v>
      </c>
      <c r="E6601" s="312" t="str">
        <f t="shared" si="412"/>
        <v>LO</v>
      </c>
      <c r="F6601" s="369">
        <f>VLOOKUP(C6601,METADATA!$A$5:$H$29,IF(E6601="HI",2,IF(E6601="LO",6,10))+IF(D6601=1,2,IF(D6601=7,1,(IF(WEEKDAY(B6601)=1,2,IF(WEEKDAY(B6601)=7,1,0))))))</f>
        <v>2</v>
      </c>
      <c r="G6601" s="369">
        <f>VLOOKUP(C6601,METADATA!$J$5:$Q$29,IF(E6601="HI",2,IF(E6601="LO",6,10))+IF(D6601=1,2,IF(D6601=7,1,(IF(WEEKDAY(B6601)=1,2,IF(WEEKDAY(B6601)=7,1,0))))))</f>
        <v>2</v>
      </c>
      <c r="H6601" s="370">
        <v>13695.624938964844</v>
      </c>
      <c r="I6601" s="370">
        <v>4400.7000732421875</v>
      </c>
      <c r="M6601" s="371">
        <f t="shared" si="413"/>
        <v>14385.280796822479</v>
      </c>
      <c r="N6601" s="329">
        <f t="shared" si="414"/>
        <v>292.01259155273419</v>
      </c>
      <c r="T6601" s="331">
        <v>0</v>
      </c>
      <c r="U6601" s="328">
        <f>VLOOKUP(C6601,METADATA!$J$5:$Q$29,IF(E6601="HI",2,IF(E6601="LO",6,10))+IF(T6601=1,2,IF(D6601=7,1,(IF(WEEKDAY(B6601)=1,2,IF(WEEKDAY(B6601)=7,1,0))))))</f>
        <v>2</v>
      </c>
      <c r="V6601" s="328">
        <f>VLOOKUP(C6601,METADATA!$A$5:$H$29,IF(E6601="HI",2,IF(E6601="LO",6,10))+IF(T6601=1,2,IF(D6601=7,1,(IF(WEEKDAY(B6601)=1,2,IF(WEEKDAY(B6601)=7,1,0))))))</f>
        <v>2</v>
      </c>
    </row>
    <row r="6602" spans="2:22">
      <c r="B6602" s="318">
        <f t="shared" si="411"/>
        <v>46387</v>
      </c>
      <c r="C6602" s="312">
        <v>22</v>
      </c>
      <c r="D6602" s="368">
        <f>IFERROR((INDEX(METADATA!$T$2:$T$20,MATCH(B6602,METADATA!$S$2:$S$20,0))),0)</f>
        <v>0</v>
      </c>
      <c r="E6602" s="312" t="str">
        <f t="shared" si="412"/>
        <v>LO</v>
      </c>
      <c r="F6602" s="369">
        <f>VLOOKUP(C6602,METADATA!$A$5:$H$29,IF(E6602="HI",2,IF(E6602="LO",6,10))+IF(D6602=1,2,IF(D6602=7,1,(IF(WEEKDAY(B6602)=1,2,IF(WEEKDAY(B6602)=7,1,0))))))</f>
        <v>3</v>
      </c>
      <c r="G6602" s="369">
        <f>VLOOKUP(C6602,METADATA!$J$5:$Q$29,IF(E6602="HI",2,IF(E6602="LO",6,10))+IF(D6602=1,2,IF(D6602=7,1,(IF(WEEKDAY(B6602)=1,2,IF(WEEKDAY(B6602)=7,1,0))))))</f>
        <v>3</v>
      </c>
      <c r="H6602" s="370">
        <v>13637.725158691406</v>
      </c>
      <c r="I6602" s="370">
        <v>4438.1649475097656</v>
      </c>
      <c r="M6602" s="371">
        <f t="shared" si="413"/>
        <v>14341.717317159368</v>
      </c>
      <c r="N6602" s="329">
        <f t="shared" si="414"/>
        <v>346.84739990234402</v>
      </c>
      <c r="T6602" s="331">
        <v>0</v>
      </c>
      <c r="U6602" s="328">
        <f>VLOOKUP(C6602,METADATA!$J$5:$Q$29,IF(E6602="HI",2,IF(E6602="LO",6,10))+IF(T6602=1,2,IF(D6602=7,1,(IF(WEEKDAY(B6602)=1,2,IF(WEEKDAY(B6602)=7,1,0))))))</f>
        <v>3</v>
      </c>
      <c r="V6602" s="328">
        <f>VLOOKUP(C6602,METADATA!$A$5:$H$29,IF(E6602="HI",2,IF(E6602="LO",6,10))+IF(T6602=1,2,IF(D6602=7,1,(IF(WEEKDAY(B6602)=1,2,IF(WEEKDAY(B6602)=7,1,0))))))</f>
        <v>3</v>
      </c>
    </row>
    <row r="6603" spans="2:22">
      <c r="B6603" s="318">
        <f t="shared" si="411"/>
        <v>46387</v>
      </c>
      <c r="C6603" s="312">
        <v>23</v>
      </c>
      <c r="D6603" s="368">
        <f>IFERROR((INDEX(METADATA!$T$2:$T$20,MATCH(B6603,METADATA!$S$2:$S$20,0))),0)</f>
        <v>0</v>
      </c>
      <c r="E6603" s="312" t="str">
        <f t="shared" si="412"/>
        <v>LO</v>
      </c>
      <c r="F6603" s="369">
        <f>VLOOKUP(C6603,METADATA!$A$5:$H$29,IF(E6603="HI",2,IF(E6603="LO",6,10))+IF(D6603=1,2,IF(D6603=7,1,(IF(WEEKDAY(B6603)=1,2,IF(WEEKDAY(B6603)=7,1,0))))))</f>
        <v>3</v>
      </c>
      <c r="G6603" s="369">
        <f>VLOOKUP(C6603,METADATA!$J$5:$Q$29,IF(E6603="HI",2,IF(E6603="LO",6,10))+IF(D6603=1,2,IF(D6603=7,1,(IF(WEEKDAY(B6603)=1,2,IF(WEEKDAY(B6603)=7,1,0))))))</f>
        <v>3</v>
      </c>
      <c r="H6603" s="370">
        <v>13669.274719238281</v>
      </c>
      <c r="I6603" s="370">
        <v>4281.8149108886719</v>
      </c>
      <c r="M6603" s="371">
        <f t="shared" si="413"/>
        <v>14324.210633787656</v>
      </c>
      <c r="N6603" s="329">
        <f t="shared" si="414"/>
        <v>181.03249511718786</v>
      </c>
      <c r="T6603" s="331">
        <v>0</v>
      </c>
      <c r="U6603" s="328">
        <f>VLOOKUP(C6603,METADATA!$J$5:$Q$29,IF(E6603="HI",2,IF(E6603="LO",6,10))+IF(T6603=1,2,IF(D6603=7,1,(IF(WEEKDAY(B6603)=1,2,IF(WEEKDAY(B6603)=7,1,0))))))</f>
        <v>3</v>
      </c>
      <c r="V6603" s="328">
        <f>VLOOKUP(C6603,METADATA!$A$5:$H$29,IF(E6603="HI",2,IF(E6603="LO",6,10))+IF(T6603=1,2,IF(D6603=7,1,(IF(WEEKDAY(B6603)=1,2,IF(WEEKDAY(B6603)=7,1,0))))))</f>
        <v>3</v>
      </c>
    </row>
    <row r="6604" spans="2:22">
      <c r="B6604" s="318">
        <f t="shared" si="411"/>
        <v>46388</v>
      </c>
      <c r="C6604" s="312">
        <v>0</v>
      </c>
      <c r="D6604" s="368">
        <f>IFERROR((INDEX(METADATA!$T$2:$T$20,MATCH(B6604,METADATA!$S$2:$S$20,0))),0)</f>
        <v>1</v>
      </c>
      <c r="E6604" s="312" t="str">
        <f t="shared" si="412"/>
        <v>HI</v>
      </c>
      <c r="F6604" s="369">
        <f>VLOOKUP(C6604,METADATA!$A$5:$H$29,IF(E6604="HI",2,IF(E6604="LO",6,10))+IF(D6604=1,2,IF(D6604=7,1,(IF(WEEKDAY(B6604)=1,2,IF(WEEKDAY(B6604)=7,1,0))))))</f>
        <v>3</v>
      </c>
      <c r="G6604" s="369">
        <f>VLOOKUP(C6604,METADATA!$J$5:$Q$29,IF(E6604="HI",2,IF(E6604="LO",6,10))+IF(D6604=1,2,IF(D6604=7,1,(IF(WEEKDAY(B6604)=1,2,IF(WEEKDAY(B6604)=7,1,0))))))</f>
        <v>3</v>
      </c>
      <c r="H6604" s="370">
        <v>13838.625183105469</v>
      </c>
      <c r="I6604" s="370">
        <v>4375.4450378417969</v>
      </c>
      <c r="M6604" s="371">
        <f t="shared" si="413"/>
        <v>14513.857731067068</v>
      </c>
      <c r="N6604" s="329">
        <f t="shared" si="414"/>
        <v>223.85748291015625</v>
      </c>
      <c r="T6604" s="331">
        <v>0</v>
      </c>
      <c r="U6604" s="328">
        <f>VLOOKUP(C6604,METADATA!$J$5:$Q$29,IF(E6604="HI",2,IF(E6604="LO",6,10))+IF(T6604=1,2,IF(D6604=7,1,(IF(WEEKDAY(B6604)=1,2,IF(WEEKDAY(B6604)=7,1,0))))))</f>
        <v>3</v>
      </c>
      <c r="V6604" s="328">
        <f>VLOOKUP(C6604,METADATA!$A$5:$H$29,IF(E6604="HI",2,IF(E6604="LO",6,10))+IF(T6604=1,2,IF(D6604=7,1,(IF(WEEKDAY(B6604)=1,2,IF(WEEKDAY(B6604)=7,1,0))))))</f>
        <v>3</v>
      </c>
    </row>
    <row r="6605" spans="2:22">
      <c r="B6605" s="318">
        <f t="shared" si="411"/>
        <v>46388</v>
      </c>
      <c r="C6605" s="312">
        <v>1</v>
      </c>
      <c r="D6605" s="368">
        <f>IFERROR((INDEX(METADATA!$T$2:$T$20,MATCH(B6605,METADATA!$S$2:$S$20,0))),0)</f>
        <v>1</v>
      </c>
      <c r="E6605" s="312" t="str">
        <f t="shared" si="412"/>
        <v>HI</v>
      </c>
      <c r="F6605" s="369">
        <f>VLOOKUP(C6605,METADATA!$A$5:$H$29,IF(E6605="HI",2,IF(E6605="LO",6,10))+IF(D6605=1,2,IF(D6605=7,1,(IF(WEEKDAY(B6605)=1,2,IF(WEEKDAY(B6605)=7,1,0))))))</f>
        <v>3</v>
      </c>
      <c r="G6605" s="369">
        <f>VLOOKUP(C6605,METADATA!$J$5:$Q$29,IF(E6605="HI",2,IF(E6605="LO",6,10))+IF(D6605=1,2,IF(D6605=7,1,(IF(WEEKDAY(B6605)=1,2,IF(WEEKDAY(B6605)=7,1,0))))))</f>
        <v>3</v>
      </c>
      <c r="H6605" s="370">
        <v>13732.199890136719</v>
      </c>
      <c r="I6605" s="370">
        <v>4283.9199829101563</v>
      </c>
      <c r="M6605" s="371">
        <f t="shared" si="413"/>
        <v>14384.897783531444</v>
      </c>
      <c r="N6605" s="329">
        <f t="shared" si="414"/>
        <v>164.26001586914117</v>
      </c>
      <c r="T6605" s="331">
        <v>0</v>
      </c>
      <c r="U6605" s="328">
        <f>VLOOKUP(C6605,METADATA!$J$5:$Q$29,IF(E6605="HI",2,IF(E6605="LO",6,10))+IF(T6605=1,2,IF(D6605=7,1,(IF(WEEKDAY(B6605)=1,2,IF(WEEKDAY(B6605)=7,1,0))))))</f>
        <v>3</v>
      </c>
      <c r="V6605" s="328">
        <f>VLOOKUP(C6605,METADATA!$A$5:$H$29,IF(E6605="HI",2,IF(E6605="LO",6,10))+IF(T6605=1,2,IF(D6605=7,1,(IF(WEEKDAY(B6605)=1,2,IF(WEEKDAY(B6605)=7,1,0))))))</f>
        <v>3</v>
      </c>
    </row>
    <row r="6606" spans="2:22">
      <c r="B6606" s="318">
        <f t="shared" si="411"/>
        <v>46388</v>
      </c>
      <c r="C6606" s="312">
        <v>2</v>
      </c>
      <c r="D6606" s="368">
        <f>IFERROR((INDEX(METADATA!$T$2:$T$20,MATCH(B6606,METADATA!$S$2:$S$20,0))),0)</f>
        <v>1</v>
      </c>
      <c r="E6606" s="312" t="str">
        <f t="shared" si="412"/>
        <v>HI</v>
      </c>
      <c r="F6606" s="369">
        <f>VLOOKUP(C6606,METADATA!$A$5:$H$29,IF(E6606="HI",2,IF(E6606="LO",6,10))+IF(D6606=1,2,IF(D6606=7,1,(IF(WEEKDAY(B6606)=1,2,IF(WEEKDAY(B6606)=7,1,0))))))</f>
        <v>3</v>
      </c>
      <c r="G6606" s="369">
        <f>VLOOKUP(C6606,METADATA!$J$5:$Q$29,IF(E6606="HI",2,IF(E6606="LO",6,10))+IF(D6606=1,2,IF(D6606=7,1,(IF(WEEKDAY(B6606)=1,2,IF(WEEKDAY(B6606)=7,1,0))))))</f>
        <v>3</v>
      </c>
      <c r="H6606" s="370">
        <v>13939.099670410156</v>
      </c>
      <c r="I6606" s="370">
        <v>4491.9250793457031</v>
      </c>
      <c r="M6606" s="371">
        <f t="shared" si="413"/>
        <v>14644.995409356858</v>
      </c>
      <c r="N6606" s="329">
        <f t="shared" si="414"/>
        <v>310.19517822265607</v>
      </c>
      <c r="T6606" s="331">
        <v>0</v>
      </c>
      <c r="U6606" s="328">
        <f>VLOOKUP(C6606,METADATA!$J$5:$Q$29,IF(E6606="HI",2,IF(E6606="LO",6,10))+IF(T6606=1,2,IF(D6606=7,1,(IF(WEEKDAY(B6606)=1,2,IF(WEEKDAY(B6606)=7,1,0))))))</f>
        <v>3</v>
      </c>
      <c r="V6606" s="328">
        <f>VLOOKUP(C6606,METADATA!$A$5:$H$29,IF(E6606="HI",2,IF(E6606="LO",6,10))+IF(T6606=1,2,IF(D6606=7,1,(IF(WEEKDAY(B6606)=1,2,IF(WEEKDAY(B6606)=7,1,0))))))</f>
        <v>3</v>
      </c>
    </row>
    <row r="6607" spans="2:22">
      <c r="B6607" s="318">
        <f t="shared" si="411"/>
        <v>46388</v>
      </c>
      <c r="C6607" s="312">
        <v>3</v>
      </c>
      <c r="D6607" s="368">
        <f>IFERROR((INDEX(METADATA!$T$2:$T$20,MATCH(B6607,METADATA!$S$2:$S$20,0))),0)</f>
        <v>1</v>
      </c>
      <c r="E6607" s="312" t="str">
        <f t="shared" si="412"/>
        <v>HI</v>
      </c>
      <c r="F6607" s="369">
        <f>VLOOKUP(C6607,METADATA!$A$5:$H$29,IF(E6607="HI",2,IF(E6607="LO",6,10))+IF(D6607=1,2,IF(D6607=7,1,(IF(WEEKDAY(B6607)=1,2,IF(WEEKDAY(B6607)=7,1,0))))))</f>
        <v>3</v>
      </c>
      <c r="G6607" s="369">
        <f>VLOOKUP(C6607,METADATA!$J$5:$Q$29,IF(E6607="HI",2,IF(E6607="LO",6,10))+IF(D6607=1,2,IF(D6607=7,1,(IF(WEEKDAY(B6607)=1,2,IF(WEEKDAY(B6607)=7,1,0))))))</f>
        <v>3</v>
      </c>
      <c r="H6607" s="370">
        <v>13920.075073242188</v>
      </c>
      <c r="I6607" s="370">
        <v>4433.3550109863281</v>
      </c>
      <c r="M6607" s="371">
        <f t="shared" si="413"/>
        <v>14609.008409133594</v>
      </c>
      <c r="N6607" s="329">
        <f t="shared" si="414"/>
        <v>257.33248901367188</v>
      </c>
      <c r="T6607" s="331">
        <v>0</v>
      </c>
      <c r="U6607" s="328">
        <f>VLOOKUP(C6607,METADATA!$J$5:$Q$29,IF(E6607="HI",2,IF(E6607="LO",6,10))+IF(T6607=1,2,IF(D6607=7,1,(IF(WEEKDAY(B6607)=1,2,IF(WEEKDAY(B6607)=7,1,0))))))</f>
        <v>3</v>
      </c>
      <c r="V6607" s="328">
        <f>VLOOKUP(C6607,METADATA!$A$5:$H$29,IF(E6607="HI",2,IF(E6607="LO",6,10))+IF(T6607=1,2,IF(D6607=7,1,(IF(WEEKDAY(B6607)=1,2,IF(WEEKDAY(B6607)=7,1,0))))))</f>
        <v>3</v>
      </c>
    </row>
    <row r="6608" spans="2:22">
      <c r="B6608" s="318">
        <f t="shared" si="411"/>
        <v>46388</v>
      </c>
      <c r="C6608" s="312">
        <v>4</v>
      </c>
      <c r="D6608" s="368">
        <f>IFERROR((INDEX(METADATA!$T$2:$T$20,MATCH(B6608,METADATA!$S$2:$S$20,0))),0)</f>
        <v>1</v>
      </c>
      <c r="E6608" s="312" t="str">
        <f t="shared" si="412"/>
        <v>HI</v>
      </c>
      <c r="F6608" s="369">
        <f>VLOOKUP(C6608,METADATA!$A$5:$H$29,IF(E6608="HI",2,IF(E6608="LO",6,10))+IF(D6608=1,2,IF(D6608=7,1,(IF(WEEKDAY(B6608)=1,2,IF(WEEKDAY(B6608)=7,1,0))))))</f>
        <v>3</v>
      </c>
      <c r="G6608" s="369">
        <f>VLOOKUP(C6608,METADATA!$J$5:$Q$29,IF(E6608="HI",2,IF(E6608="LO",6,10))+IF(D6608=1,2,IF(D6608=7,1,(IF(WEEKDAY(B6608)=1,2,IF(WEEKDAY(B6608)=7,1,0))))))</f>
        <v>3</v>
      </c>
      <c r="H6608" s="370">
        <v>13872.47509765625</v>
      </c>
      <c r="I6608" s="370">
        <v>4291.1300354003906</v>
      </c>
      <c r="M6608" s="371">
        <f t="shared" si="413"/>
        <v>14520.997290675601</v>
      </c>
      <c r="N6608" s="329">
        <f t="shared" si="414"/>
        <v>129.38750610351599</v>
      </c>
      <c r="T6608" s="331">
        <v>0</v>
      </c>
      <c r="U6608" s="328">
        <f>VLOOKUP(C6608,METADATA!$J$5:$Q$29,IF(E6608="HI",2,IF(E6608="LO",6,10))+IF(T6608=1,2,IF(D6608=7,1,(IF(WEEKDAY(B6608)=1,2,IF(WEEKDAY(B6608)=7,1,0))))))</f>
        <v>3</v>
      </c>
      <c r="V6608" s="328">
        <f>VLOOKUP(C6608,METADATA!$A$5:$H$29,IF(E6608="HI",2,IF(E6608="LO",6,10))+IF(T6608=1,2,IF(D6608=7,1,(IF(WEEKDAY(B6608)=1,2,IF(WEEKDAY(B6608)=7,1,0))))))</f>
        <v>3</v>
      </c>
    </row>
    <row r="6609" spans="2:22">
      <c r="B6609" s="318">
        <f t="shared" si="411"/>
        <v>46388</v>
      </c>
      <c r="C6609" s="312">
        <v>5</v>
      </c>
      <c r="D6609" s="368">
        <f>IFERROR((INDEX(METADATA!$T$2:$T$20,MATCH(B6609,METADATA!$S$2:$S$20,0))),0)</f>
        <v>1</v>
      </c>
      <c r="E6609" s="312" t="str">
        <f t="shared" si="412"/>
        <v>HI</v>
      </c>
      <c r="F6609" s="369">
        <f>VLOOKUP(C6609,METADATA!$A$5:$H$29,IF(E6609="HI",2,IF(E6609="LO",6,10))+IF(D6609=1,2,IF(D6609=7,1,(IF(WEEKDAY(B6609)=1,2,IF(WEEKDAY(B6609)=7,1,0))))))</f>
        <v>3</v>
      </c>
      <c r="G6609" s="369">
        <f>VLOOKUP(C6609,METADATA!$J$5:$Q$29,IF(E6609="HI",2,IF(E6609="LO",6,10))+IF(D6609=1,2,IF(D6609=7,1,(IF(WEEKDAY(B6609)=1,2,IF(WEEKDAY(B6609)=7,1,0))))))</f>
        <v>3</v>
      </c>
      <c r="H6609" s="370">
        <v>13767.550109863281</v>
      </c>
      <c r="I6609" s="370">
        <v>4464.9950256347656</v>
      </c>
      <c r="M6609" s="371">
        <f t="shared" si="413"/>
        <v>14473.479768408828</v>
      </c>
      <c r="N6609" s="329">
        <f t="shared" si="414"/>
        <v>334.72999267578143</v>
      </c>
      <c r="T6609" s="331">
        <v>0</v>
      </c>
      <c r="U6609" s="328">
        <f>VLOOKUP(C6609,METADATA!$J$5:$Q$29,IF(E6609="HI",2,IF(E6609="LO",6,10))+IF(T6609=1,2,IF(D6609=7,1,(IF(WEEKDAY(B6609)=1,2,IF(WEEKDAY(B6609)=7,1,0))))))</f>
        <v>3</v>
      </c>
      <c r="V6609" s="328">
        <f>VLOOKUP(C6609,METADATA!$A$5:$H$29,IF(E6609="HI",2,IF(E6609="LO",6,10))+IF(T6609=1,2,IF(D6609=7,1,(IF(WEEKDAY(B6609)=1,2,IF(WEEKDAY(B6609)=7,1,0))))))</f>
        <v>3</v>
      </c>
    </row>
    <row r="6610" spans="2:22">
      <c r="B6610" s="318">
        <f t="shared" si="411"/>
        <v>46388</v>
      </c>
      <c r="C6610" s="312">
        <v>6</v>
      </c>
      <c r="D6610" s="368">
        <f>IFERROR((INDEX(METADATA!$T$2:$T$20,MATCH(B6610,METADATA!$S$2:$S$20,0))),0)</f>
        <v>1</v>
      </c>
      <c r="E6610" s="312" t="str">
        <f t="shared" si="412"/>
        <v>HI</v>
      </c>
      <c r="F6610" s="369">
        <f>VLOOKUP(C6610,METADATA!$A$5:$H$29,IF(E6610="HI",2,IF(E6610="LO",6,10))+IF(D6610=1,2,IF(D6610=7,1,(IF(WEEKDAY(B6610)=1,2,IF(WEEKDAY(B6610)=7,1,0))))))</f>
        <v>3</v>
      </c>
      <c r="G6610" s="369">
        <f>VLOOKUP(C6610,METADATA!$J$5:$Q$29,IF(E6610="HI",2,IF(E6610="LO",6,10))+IF(D6610=1,2,IF(D6610=7,1,(IF(WEEKDAY(B6610)=1,2,IF(WEEKDAY(B6610)=7,1,0))))))</f>
        <v>3</v>
      </c>
      <c r="H6610" s="370">
        <v>13564.925537109375</v>
      </c>
      <c r="I6610" s="370">
        <v>4415.5799865722656</v>
      </c>
      <c r="M6610" s="371">
        <f t="shared" si="413"/>
        <v>14265.502144864708</v>
      </c>
      <c r="N6610" s="329">
        <f t="shared" si="414"/>
        <v>346.10232543945313</v>
      </c>
      <c r="T6610" s="331">
        <v>0</v>
      </c>
      <c r="U6610" s="328">
        <f>VLOOKUP(C6610,METADATA!$J$5:$Q$29,IF(E6610="HI",2,IF(E6610="LO",6,10))+IF(T6610=1,2,IF(D6610=7,1,(IF(WEEKDAY(B6610)=1,2,IF(WEEKDAY(B6610)=7,1,0))))))</f>
        <v>1</v>
      </c>
      <c r="V6610" s="328">
        <f>VLOOKUP(C6610,METADATA!$A$5:$H$29,IF(E6610="HI",2,IF(E6610="LO",6,10))+IF(T6610=1,2,IF(D6610=7,1,(IF(WEEKDAY(B6610)=1,2,IF(WEEKDAY(B6610)=7,1,0))))))</f>
        <v>1</v>
      </c>
    </row>
    <row r="6611" spans="2:22">
      <c r="B6611" s="318">
        <f t="shared" si="411"/>
        <v>46388</v>
      </c>
      <c r="C6611" s="312">
        <v>7</v>
      </c>
      <c r="D6611" s="368">
        <f>IFERROR((INDEX(METADATA!$T$2:$T$20,MATCH(B6611,METADATA!$S$2:$S$20,0))),0)</f>
        <v>1</v>
      </c>
      <c r="E6611" s="312" t="str">
        <f t="shared" si="412"/>
        <v>HI</v>
      </c>
      <c r="F6611" s="369">
        <f>VLOOKUP(C6611,METADATA!$A$5:$H$29,IF(E6611="HI",2,IF(E6611="LO",6,10))+IF(D6611=1,2,IF(D6611=7,1,(IF(WEEKDAY(B6611)=1,2,IF(WEEKDAY(B6611)=7,1,0))))))</f>
        <v>3</v>
      </c>
      <c r="G6611" s="369">
        <f>VLOOKUP(C6611,METADATA!$J$5:$Q$29,IF(E6611="HI",2,IF(E6611="LO",6,10))+IF(D6611=1,2,IF(D6611=7,1,(IF(WEEKDAY(B6611)=1,2,IF(WEEKDAY(B6611)=7,1,0))))))</f>
        <v>3</v>
      </c>
      <c r="H6611" s="370">
        <v>13345.200073242188</v>
      </c>
      <c r="I6611" s="370">
        <v>4278.9100036621094</v>
      </c>
      <c r="M6611" s="371">
        <f t="shared" si="413"/>
        <v>14014.401015180883</v>
      </c>
      <c r="N6611" s="329">
        <f t="shared" si="414"/>
        <v>275.34998168945322</v>
      </c>
      <c r="T6611" s="331">
        <v>0</v>
      </c>
      <c r="U6611" s="328">
        <f>VLOOKUP(C6611,METADATA!$J$5:$Q$29,IF(E6611="HI",2,IF(E6611="LO",6,10))+IF(T6611=1,2,IF(D6611=7,1,(IF(WEEKDAY(B6611)=1,2,IF(WEEKDAY(B6611)=7,1,0))))))</f>
        <v>1</v>
      </c>
      <c r="V6611" s="328">
        <f>VLOOKUP(C6611,METADATA!$A$5:$H$29,IF(E6611="HI",2,IF(E6611="LO",6,10))+IF(T6611=1,2,IF(D6611=7,1,(IF(WEEKDAY(B6611)=1,2,IF(WEEKDAY(B6611)=7,1,0))))))</f>
        <v>1</v>
      </c>
    </row>
    <row r="6612" spans="2:22">
      <c r="B6612" s="318">
        <f t="shared" si="411"/>
        <v>46388</v>
      </c>
      <c r="C6612" s="312">
        <v>8</v>
      </c>
      <c r="D6612" s="368">
        <f>IFERROR((INDEX(METADATA!$T$2:$T$20,MATCH(B6612,METADATA!$S$2:$S$20,0))),0)</f>
        <v>1</v>
      </c>
      <c r="E6612" s="312" t="str">
        <f t="shared" si="412"/>
        <v>HI</v>
      </c>
      <c r="F6612" s="369">
        <f>VLOOKUP(C6612,METADATA!$A$5:$H$29,IF(E6612="HI",2,IF(E6612="LO",6,10))+IF(D6612=1,2,IF(D6612=7,1,(IF(WEEKDAY(B6612)=1,2,IF(WEEKDAY(B6612)=7,1,0))))))</f>
        <v>3</v>
      </c>
      <c r="G6612" s="369">
        <f>VLOOKUP(C6612,METADATA!$J$5:$Q$29,IF(E6612="HI",2,IF(E6612="LO",6,10))+IF(D6612=1,2,IF(D6612=7,1,(IF(WEEKDAY(B6612)=1,2,IF(WEEKDAY(B6612)=7,1,0))))))</f>
        <v>3</v>
      </c>
      <c r="H6612" s="370">
        <v>13454.650146484375</v>
      </c>
      <c r="I6612" s="370">
        <v>4236.8450012207031</v>
      </c>
      <c r="M6612" s="371">
        <f t="shared" si="413"/>
        <v>14105.972711183758</v>
      </c>
      <c r="N6612" s="329">
        <f t="shared" si="414"/>
        <v>200.44995727539072</v>
      </c>
      <c r="T6612" s="331">
        <v>0</v>
      </c>
      <c r="U6612" s="328">
        <f>VLOOKUP(C6612,METADATA!$J$5:$Q$29,IF(E6612="HI",2,IF(E6612="LO",6,10))+IF(T6612=1,2,IF(D6612=7,1,(IF(WEEKDAY(B6612)=1,2,IF(WEEKDAY(B6612)=7,1,0))))))</f>
        <v>2</v>
      </c>
      <c r="V6612" s="328">
        <f>VLOOKUP(C6612,METADATA!$A$5:$H$29,IF(E6612="HI",2,IF(E6612="LO",6,10))+IF(T6612=1,2,IF(D6612=7,1,(IF(WEEKDAY(B6612)=1,2,IF(WEEKDAY(B6612)=7,1,0))))))</f>
        <v>2</v>
      </c>
    </row>
    <row r="6613" spans="2:22">
      <c r="B6613" s="318">
        <f t="shared" si="411"/>
        <v>46388</v>
      </c>
      <c r="C6613" s="312">
        <v>9</v>
      </c>
      <c r="D6613" s="368">
        <f>IFERROR((INDEX(METADATA!$T$2:$T$20,MATCH(B6613,METADATA!$S$2:$S$20,0))),0)</f>
        <v>1</v>
      </c>
      <c r="E6613" s="312" t="str">
        <f t="shared" si="412"/>
        <v>HI</v>
      </c>
      <c r="F6613" s="369">
        <f>VLOOKUP(C6613,METADATA!$A$5:$H$29,IF(E6613="HI",2,IF(E6613="LO",6,10))+IF(D6613=1,2,IF(D6613=7,1,(IF(WEEKDAY(B6613)=1,2,IF(WEEKDAY(B6613)=7,1,0))))))</f>
        <v>3</v>
      </c>
      <c r="G6613" s="369">
        <f>VLOOKUP(C6613,METADATA!$J$5:$Q$29,IF(E6613="HI",2,IF(E6613="LO",6,10))+IF(D6613=1,2,IF(D6613=7,1,(IF(WEEKDAY(B6613)=1,2,IF(WEEKDAY(B6613)=7,1,0))))))</f>
        <v>3</v>
      </c>
      <c r="H6613" s="370">
        <v>13179.999755859375</v>
      </c>
      <c r="I6613" s="370">
        <v>3942.489990234375</v>
      </c>
      <c r="M6613" s="371">
        <f t="shared" si="413"/>
        <v>13757.020785313636</v>
      </c>
      <c r="N6613" s="329">
        <f t="shared" si="414"/>
        <v>0</v>
      </c>
      <c r="T6613" s="331">
        <v>0</v>
      </c>
      <c r="U6613" s="328">
        <f>VLOOKUP(C6613,METADATA!$J$5:$Q$29,IF(E6613="HI",2,IF(E6613="LO",6,10))+IF(T6613=1,2,IF(D6613=7,1,(IF(WEEKDAY(B6613)=1,2,IF(WEEKDAY(B6613)=7,1,0))))))</f>
        <v>2</v>
      </c>
      <c r="V6613" s="328">
        <f>VLOOKUP(C6613,METADATA!$A$5:$H$29,IF(E6613="HI",2,IF(E6613="LO",6,10))+IF(T6613=1,2,IF(D6613=7,1,(IF(WEEKDAY(B6613)=1,2,IF(WEEKDAY(B6613)=7,1,0))))))</f>
        <v>2</v>
      </c>
    </row>
    <row r="6614" spans="2:22">
      <c r="B6614" s="318">
        <f t="shared" si="411"/>
        <v>46388</v>
      </c>
      <c r="C6614" s="312">
        <v>10</v>
      </c>
      <c r="D6614" s="368">
        <f>IFERROR((INDEX(METADATA!$T$2:$T$20,MATCH(B6614,METADATA!$S$2:$S$20,0))),0)</f>
        <v>1</v>
      </c>
      <c r="E6614" s="312" t="str">
        <f t="shared" si="412"/>
        <v>HI</v>
      </c>
      <c r="F6614" s="369">
        <f>VLOOKUP(C6614,METADATA!$A$5:$H$29,IF(E6614="HI",2,IF(E6614="LO",6,10))+IF(D6614=1,2,IF(D6614=7,1,(IF(WEEKDAY(B6614)=1,2,IF(WEEKDAY(B6614)=7,1,0))))))</f>
        <v>3</v>
      </c>
      <c r="G6614" s="369">
        <f>VLOOKUP(C6614,METADATA!$J$5:$Q$29,IF(E6614="HI",2,IF(E6614="LO",6,10))+IF(D6614=1,2,IF(D6614=7,1,(IF(WEEKDAY(B6614)=1,2,IF(WEEKDAY(B6614)=7,1,0))))))</f>
        <v>3</v>
      </c>
      <c r="H6614" s="370">
        <v>11814.299682617188</v>
      </c>
      <c r="I6614" s="370">
        <v>3117.2274780273438</v>
      </c>
      <c r="M6614" s="371">
        <f t="shared" si="413"/>
        <v>12218.624478248657</v>
      </c>
      <c r="N6614" s="329">
        <f t="shared" si="414"/>
        <v>0</v>
      </c>
      <c r="T6614" s="331">
        <v>0</v>
      </c>
      <c r="U6614" s="328">
        <f>VLOOKUP(C6614,METADATA!$J$5:$Q$29,IF(E6614="HI",2,IF(E6614="LO",6,10))+IF(T6614=1,2,IF(D6614=7,1,(IF(WEEKDAY(B6614)=1,2,IF(WEEKDAY(B6614)=7,1,0))))))</f>
        <v>2</v>
      </c>
      <c r="V6614" s="328">
        <f>VLOOKUP(C6614,METADATA!$A$5:$H$29,IF(E6614="HI",2,IF(E6614="LO",6,10))+IF(T6614=1,2,IF(D6614=7,1,(IF(WEEKDAY(B6614)=1,2,IF(WEEKDAY(B6614)=7,1,0))))))</f>
        <v>2</v>
      </c>
    </row>
    <row r="6615" spans="2:22">
      <c r="B6615" s="318">
        <f t="shared" si="411"/>
        <v>46388</v>
      </c>
      <c r="C6615" s="312">
        <v>11</v>
      </c>
      <c r="D6615" s="368">
        <f>IFERROR((INDEX(METADATA!$T$2:$T$20,MATCH(B6615,METADATA!$S$2:$S$20,0))),0)</f>
        <v>1</v>
      </c>
      <c r="E6615" s="312" t="str">
        <f t="shared" si="412"/>
        <v>HI</v>
      </c>
      <c r="F6615" s="369">
        <f>VLOOKUP(C6615,METADATA!$A$5:$H$29,IF(E6615="HI",2,IF(E6615="LO",6,10))+IF(D6615=1,2,IF(D6615=7,1,(IF(WEEKDAY(B6615)=1,2,IF(WEEKDAY(B6615)=7,1,0))))))</f>
        <v>3</v>
      </c>
      <c r="G6615" s="369">
        <f>VLOOKUP(C6615,METADATA!$J$5:$Q$29,IF(E6615="HI",2,IF(E6615="LO",6,10))+IF(D6615=1,2,IF(D6615=7,1,(IF(WEEKDAY(B6615)=1,2,IF(WEEKDAY(B6615)=7,1,0))))))</f>
        <v>3</v>
      </c>
      <c r="H6615" s="370">
        <v>11786.5498046875</v>
      </c>
      <c r="I6615" s="370">
        <v>3074.7850646972656</v>
      </c>
      <c r="M6615" s="371">
        <f t="shared" si="413"/>
        <v>12181.01225237313</v>
      </c>
      <c r="N6615" s="329">
        <f t="shared" si="414"/>
        <v>0</v>
      </c>
      <c r="T6615" s="331">
        <v>0</v>
      </c>
      <c r="U6615" s="328">
        <f>VLOOKUP(C6615,METADATA!$J$5:$Q$29,IF(E6615="HI",2,IF(E6615="LO",6,10))+IF(T6615=1,2,IF(D6615=7,1,(IF(WEEKDAY(B6615)=1,2,IF(WEEKDAY(B6615)=7,1,0))))))</f>
        <v>2</v>
      </c>
      <c r="V6615" s="328">
        <f>VLOOKUP(C6615,METADATA!$A$5:$H$29,IF(E6615="HI",2,IF(E6615="LO",6,10))+IF(T6615=1,2,IF(D6615=7,1,(IF(WEEKDAY(B6615)=1,2,IF(WEEKDAY(B6615)=7,1,0))))))</f>
        <v>2</v>
      </c>
    </row>
    <row r="6616" spans="2:22">
      <c r="B6616" s="318">
        <f t="shared" si="411"/>
        <v>46388</v>
      </c>
      <c r="C6616" s="312">
        <v>12</v>
      </c>
      <c r="D6616" s="368">
        <f>IFERROR((INDEX(METADATA!$T$2:$T$20,MATCH(B6616,METADATA!$S$2:$S$20,0))),0)</f>
        <v>1</v>
      </c>
      <c r="E6616" s="312" t="str">
        <f t="shared" si="412"/>
        <v>HI</v>
      </c>
      <c r="F6616" s="369">
        <f>VLOOKUP(C6616,METADATA!$A$5:$H$29,IF(E6616="HI",2,IF(E6616="LO",6,10))+IF(D6616=1,2,IF(D6616=7,1,(IF(WEEKDAY(B6616)=1,2,IF(WEEKDAY(B6616)=7,1,0))))))</f>
        <v>3</v>
      </c>
      <c r="G6616" s="369">
        <f>VLOOKUP(C6616,METADATA!$J$5:$Q$29,IF(E6616="HI",2,IF(E6616="LO",6,10))+IF(D6616=1,2,IF(D6616=7,1,(IF(WEEKDAY(B6616)=1,2,IF(WEEKDAY(B6616)=7,1,0))))))</f>
        <v>3</v>
      </c>
      <c r="H6616" s="370">
        <v>13002.125</v>
      </c>
      <c r="I6616" s="370">
        <v>3836.6149597167969</v>
      </c>
      <c r="M6616" s="371">
        <f t="shared" si="413"/>
        <v>13556.35898258628</v>
      </c>
      <c r="N6616" s="329">
        <f t="shared" si="414"/>
        <v>0</v>
      </c>
      <c r="T6616" s="331">
        <v>0</v>
      </c>
      <c r="U6616" s="328">
        <f>VLOOKUP(C6616,METADATA!$J$5:$Q$29,IF(E6616="HI",2,IF(E6616="LO",6,10))+IF(T6616=1,2,IF(D6616=7,1,(IF(WEEKDAY(B6616)=1,2,IF(WEEKDAY(B6616)=7,1,0))))))</f>
        <v>2</v>
      </c>
      <c r="V6616" s="328">
        <f>VLOOKUP(C6616,METADATA!$A$5:$H$29,IF(E6616="HI",2,IF(E6616="LO",6,10))+IF(T6616=1,2,IF(D6616=7,1,(IF(WEEKDAY(B6616)=1,2,IF(WEEKDAY(B6616)=7,1,0))))))</f>
        <v>2</v>
      </c>
    </row>
    <row r="6617" spans="2:22">
      <c r="B6617" s="318">
        <f t="shared" si="411"/>
        <v>46388</v>
      </c>
      <c r="C6617" s="312">
        <v>13</v>
      </c>
      <c r="D6617" s="368">
        <f>IFERROR((INDEX(METADATA!$T$2:$T$20,MATCH(B6617,METADATA!$S$2:$S$20,0))),0)</f>
        <v>1</v>
      </c>
      <c r="E6617" s="312" t="str">
        <f t="shared" si="412"/>
        <v>HI</v>
      </c>
      <c r="F6617" s="369">
        <f>VLOOKUP(C6617,METADATA!$A$5:$H$29,IF(E6617="HI",2,IF(E6617="LO",6,10))+IF(D6617=1,2,IF(D6617=7,1,(IF(WEEKDAY(B6617)=1,2,IF(WEEKDAY(B6617)=7,1,0))))))</f>
        <v>3</v>
      </c>
      <c r="G6617" s="369">
        <f>VLOOKUP(C6617,METADATA!$J$5:$Q$29,IF(E6617="HI",2,IF(E6617="LO",6,10))+IF(D6617=1,2,IF(D6617=7,1,(IF(WEEKDAY(B6617)=1,2,IF(WEEKDAY(B6617)=7,1,0))))))</f>
        <v>3</v>
      </c>
      <c r="H6617" s="370">
        <v>13516.225158691406</v>
      </c>
      <c r="I6617" s="370">
        <v>3996.0499572753906</v>
      </c>
      <c r="M6617" s="371">
        <f t="shared" si="413"/>
        <v>14094.564831930185</v>
      </c>
      <c r="N6617" s="329">
        <f t="shared" si="414"/>
        <v>0</v>
      </c>
      <c r="T6617" s="331">
        <v>0</v>
      </c>
      <c r="U6617" s="328">
        <f>VLOOKUP(C6617,METADATA!$J$5:$Q$29,IF(E6617="HI",2,IF(E6617="LO",6,10))+IF(T6617=1,2,IF(D6617=7,1,(IF(WEEKDAY(B6617)=1,2,IF(WEEKDAY(B6617)=7,1,0))))))</f>
        <v>2</v>
      </c>
      <c r="V6617" s="328">
        <f>VLOOKUP(C6617,METADATA!$A$5:$H$29,IF(E6617="HI",2,IF(E6617="LO",6,10))+IF(T6617=1,2,IF(D6617=7,1,(IF(WEEKDAY(B6617)=1,2,IF(WEEKDAY(B6617)=7,1,0))))))</f>
        <v>2</v>
      </c>
    </row>
    <row r="6618" spans="2:22">
      <c r="B6618" s="318">
        <f t="shared" si="411"/>
        <v>46388</v>
      </c>
      <c r="C6618" s="312">
        <v>14</v>
      </c>
      <c r="D6618" s="368">
        <f>IFERROR((INDEX(METADATA!$T$2:$T$20,MATCH(B6618,METADATA!$S$2:$S$20,0))),0)</f>
        <v>1</v>
      </c>
      <c r="E6618" s="312" t="str">
        <f t="shared" si="412"/>
        <v>HI</v>
      </c>
      <c r="F6618" s="369">
        <f>VLOOKUP(C6618,METADATA!$A$5:$H$29,IF(E6618="HI",2,IF(E6618="LO",6,10))+IF(D6618=1,2,IF(D6618=7,1,(IF(WEEKDAY(B6618)=1,2,IF(WEEKDAY(B6618)=7,1,0))))))</f>
        <v>3</v>
      </c>
      <c r="G6618" s="369">
        <f>VLOOKUP(C6618,METADATA!$J$5:$Q$29,IF(E6618="HI",2,IF(E6618="LO",6,10))+IF(D6618=1,2,IF(D6618=7,1,(IF(WEEKDAY(B6618)=1,2,IF(WEEKDAY(B6618)=7,1,0))))))</f>
        <v>3</v>
      </c>
      <c r="H6618" s="370">
        <v>13515.500122070313</v>
      </c>
      <c r="I6618" s="370">
        <v>4016.655029296875</v>
      </c>
      <c r="M6618" s="371">
        <f t="shared" si="413"/>
        <v>14099.725570877559</v>
      </c>
      <c r="N6618" s="329">
        <f t="shared" si="414"/>
        <v>0</v>
      </c>
      <c r="T6618" s="331">
        <v>0</v>
      </c>
      <c r="U6618" s="328">
        <f>VLOOKUP(C6618,METADATA!$J$5:$Q$29,IF(E6618="HI",2,IF(E6618="LO",6,10))+IF(T6618=1,2,IF(D6618=7,1,(IF(WEEKDAY(B6618)=1,2,IF(WEEKDAY(B6618)=7,1,0))))))</f>
        <v>2</v>
      </c>
      <c r="V6618" s="328">
        <f>VLOOKUP(C6618,METADATA!$A$5:$H$29,IF(E6618="HI",2,IF(E6618="LO",6,10))+IF(T6618=1,2,IF(D6618=7,1,(IF(WEEKDAY(B6618)=1,2,IF(WEEKDAY(B6618)=7,1,0))))))</f>
        <v>2</v>
      </c>
    </row>
    <row r="6619" spans="2:22">
      <c r="B6619" s="318">
        <f t="shared" si="411"/>
        <v>46388</v>
      </c>
      <c r="C6619" s="312">
        <v>15</v>
      </c>
      <c r="D6619" s="368">
        <f>IFERROR((INDEX(METADATA!$T$2:$T$20,MATCH(B6619,METADATA!$S$2:$S$20,0))),0)</f>
        <v>1</v>
      </c>
      <c r="E6619" s="312" t="str">
        <f t="shared" si="412"/>
        <v>HI</v>
      </c>
      <c r="F6619" s="369">
        <f>VLOOKUP(C6619,METADATA!$A$5:$H$29,IF(E6619="HI",2,IF(E6619="LO",6,10))+IF(D6619=1,2,IF(D6619=7,1,(IF(WEEKDAY(B6619)=1,2,IF(WEEKDAY(B6619)=7,1,0))))))</f>
        <v>3</v>
      </c>
      <c r="G6619" s="369">
        <f>VLOOKUP(C6619,METADATA!$J$5:$Q$29,IF(E6619="HI",2,IF(E6619="LO",6,10))+IF(D6619=1,2,IF(D6619=7,1,(IF(WEEKDAY(B6619)=1,2,IF(WEEKDAY(B6619)=7,1,0))))))</f>
        <v>3</v>
      </c>
      <c r="H6619" s="370">
        <v>13685.350219726563</v>
      </c>
      <c r="I6619" s="370">
        <v>4207.9700317382813</v>
      </c>
      <c r="M6619" s="371">
        <f t="shared" si="413"/>
        <v>14317.675175271204</v>
      </c>
      <c r="N6619" s="329">
        <f t="shared" si="414"/>
        <v>102.36496582031305</v>
      </c>
      <c r="T6619" s="331">
        <v>0</v>
      </c>
      <c r="U6619" s="328">
        <f>VLOOKUP(C6619,METADATA!$J$5:$Q$29,IF(E6619="HI",2,IF(E6619="LO",6,10))+IF(T6619=1,2,IF(D6619=7,1,(IF(WEEKDAY(B6619)=1,2,IF(WEEKDAY(B6619)=7,1,0))))))</f>
        <v>2</v>
      </c>
      <c r="V6619" s="328">
        <f>VLOOKUP(C6619,METADATA!$A$5:$H$29,IF(E6619="HI",2,IF(E6619="LO",6,10))+IF(T6619=1,2,IF(D6619=7,1,(IF(WEEKDAY(B6619)=1,2,IF(WEEKDAY(B6619)=7,1,0))))))</f>
        <v>2</v>
      </c>
    </row>
    <row r="6620" spans="2:22">
      <c r="B6620" s="318">
        <f t="shared" ref="B6620:B6683" si="415">B6596+1</f>
        <v>46388</v>
      </c>
      <c r="C6620" s="312">
        <v>16</v>
      </c>
      <c r="D6620" s="368">
        <f>IFERROR((INDEX(METADATA!$T$2:$T$20,MATCH(B6620,METADATA!$S$2:$S$20,0))),0)</f>
        <v>1</v>
      </c>
      <c r="E6620" s="312" t="str">
        <f t="shared" si="412"/>
        <v>HI</v>
      </c>
      <c r="F6620" s="369">
        <f>VLOOKUP(C6620,METADATA!$A$5:$H$29,IF(E6620="HI",2,IF(E6620="LO",6,10))+IF(D6620=1,2,IF(D6620=7,1,(IF(WEEKDAY(B6620)=1,2,IF(WEEKDAY(B6620)=7,1,0))))))</f>
        <v>3</v>
      </c>
      <c r="G6620" s="369">
        <f>VLOOKUP(C6620,METADATA!$J$5:$Q$29,IF(E6620="HI",2,IF(E6620="LO",6,10))+IF(D6620=1,2,IF(D6620=7,1,(IF(WEEKDAY(B6620)=1,2,IF(WEEKDAY(B6620)=7,1,0))))))</f>
        <v>3</v>
      </c>
      <c r="H6620" s="370">
        <v>13729.599853515625</v>
      </c>
      <c r="I6620" s="370">
        <v>4306.0850219726563</v>
      </c>
      <c r="M6620" s="371">
        <f t="shared" si="413"/>
        <v>14389.033336333387</v>
      </c>
      <c r="N6620" s="329">
        <f t="shared" si="414"/>
        <v>187.20506591796857</v>
      </c>
      <c r="T6620" s="331">
        <v>0</v>
      </c>
      <c r="U6620" s="328">
        <f>VLOOKUP(C6620,METADATA!$J$5:$Q$29,IF(E6620="HI",2,IF(E6620="LO",6,10))+IF(T6620=1,2,IF(D6620=7,1,(IF(WEEKDAY(B6620)=1,2,IF(WEEKDAY(B6620)=7,1,0))))))</f>
        <v>2</v>
      </c>
      <c r="V6620" s="328">
        <f>VLOOKUP(C6620,METADATA!$A$5:$H$29,IF(E6620="HI",2,IF(E6620="LO",6,10))+IF(T6620=1,2,IF(D6620=7,1,(IF(WEEKDAY(B6620)=1,2,IF(WEEKDAY(B6620)=7,1,0))))))</f>
        <v>2</v>
      </c>
    </row>
    <row r="6621" spans="2:22">
      <c r="B6621" s="318">
        <f t="shared" si="415"/>
        <v>46388</v>
      </c>
      <c r="C6621" s="312">
        <v>17</v>
      </c>
      <c r="D6621" s="368">
        <f>IFERROR((INDEX(METADATA!$T$2:$T$20,MATCH(B6621,METADATA!$S$2:$S$20,0))),0)</f>
        <v>1</v>
      </c>
      <c r="E6621" s="312" t="str">
        <f t="shared" si="412"/>
        <v>HI</v>
      </c>
      <c r="F6621" s="369">
        <f>VLOOKUP(C6621,METADATA!$A$5:$H$29,IF(E6621="HI",2,IF(E6621="LO",6,10))+IF(D6621=1,2,IF(D6621=7,1,(IF(WEEKDAY(B6621)=1,2,IF(WEEKDAY(B6621)=7,1,0))))))</f>
        <v>2</v>
      </c>
      <c r="G6621" s="369">
        <f>VLOOKUP(C6621,METADATA!$J$5:$Q$29,IF(E6621="HI",2,IF(E6621="LO",6,10))+IF(D6621=1,2,IF(D6621=7,1,(IF(WEEKDAY(B6621)=1,2,IF(WEEKDAY(B6621)=7,1,0))))))</f>
        <v>2</v>
      </c>
      <c r="H6621" s="370">
        <v>13812.525512695313</v>
      </c>
      <c r="I6621" s="370">
        <v>4303.375</v>
      </c>
      <c r="M6621" s="371">
        <f t="shared" si="413"/>
        <v>14467.373549801079</v>
      </c>
      <c r="N6621" s="329">
        <f t="shared" si="414"/>
        <v>159.6173461914068</v>
      </c>
      <c r="T6621" s="331">
        <v>0</v>
      </c>
      <c r="U6621" s="328">
        <f>VLOOKUP(C6621,METADATA!$J$5:$Q$29,IF(E6621="HI",2,IF(E6621="LO",6,10))+IF(T6621=1,2,IF(D6621=7,1,(IF(WEEKDAY(B6621)=1,2,IF(WEEKDAY(B6621)=7,1,0))))))</f>
        <v>1</v>
      </c>
      <c r="V6621" s="328">
        <f>VLOOKUP(C6621,METADATA!$A$5:$H$29,IF(E6621="HI",2,IF(E6621="LO",6,10))+IF(T6621=1,2,IF(D6621=7,1,(IF(WEEKDAY(B6621)=1,2,IF(WEEKDAY(B6621)=7,1,0))))))</f>
        <v>1</v>
      </c>
    </row>
    <row r="6622" spans="2:22">
      <c r="B6622" s="318">
        <f t="shared" si="415"/>
        <v>46388</v>
      </c>
      <c r="C6622" s="312">
        <v>18</v>
      </c>
      <c r="D6622" s="368">
        <f>IFERROR((INDEX(METADATA!$T$2:$T$20,MATCH(B6622,METADATA!$S$2:$S$20,0))),0)</f>
        <v>1</v>
      </c>
      <c r="E6622" s="312" t="str">
        <f t="shared" si="412"/>
        <v>HI</v>
      </c>
      <c r="F6622" s="369">
        <f>VLOOKUP(C6622,METADATA!$A$5:$H$29,IF(E6622="HI",2,IF(E6622="LO",6,10))+IF(D6622=1,2,IF(D6622=7,1,(IF(WEEKDAY(B6622)=1,2,IF(WEEKDAY(B6622)=7,1,0))))))</f>
        <v>2</v>
      </c>
      <c r="G6622" s="369">
        <f>VLOOKUP(C6622,METADATA!$J$5:$Q$29,IF(E6622="HI",2,IF(E6622="LO",6,10))+IF(D6622=1,2,IF(D6622=7,1,(IF(WEEKDAY(B6622)=1,2,IF(WEEKDAY(B6622)=7,1,0))))))</f>
        <v>2</v>
      </c>
      <c r="H6622" s="370">
        <v>13798.75</v>
      </c>
      <c r="I6622" s="370">
        <v>4364.3500366210938</v>
      </c>
      <c r="M6622" s="371">
        <f t="shared" si="413"/>
        <v>14472.492971311285</v>
      </c>
      <c r="N6622" s="329">
        <f t="shared" si="414"/>
        <v>224.72503662109375</v>
      </c>
      <c r="T6622" s="331">
        <v>0</v>
      </c>
      <c r="U6622" s="328">
        <f>VLOOKUP(C6622,METADATA!$J$5:$Q$29,IF(E6622="HI",2,IF(E6622="LO",6,10))+IF(T6622=1,2,IF(D6622=7,1,(IF(WEEKDAY(B6622)=1,2,IF(WEEKDAY(B6622)=7,1,0))))))</f>
        <v>1</v>
      </c>
      <c r="V6622" s="328">
        <f>VLOOKUP(C6622,METADATA!$A$5:$H$29,IF(E6622="HI",2,IF(E6622="LO",6,10))+IF(T6622=1,2,IF(D6622=7,1,(IF(WEEKDAY(B6622)=1,2,IF(WEEKDAY(B6622)=7,1,0))))))</f>
        <v>1</v>
      </c>
    </row>
    <row r="6623" spans="2:22">
      <c r="B6623" s="318">
        <f t="shared" si="415"/>
        <v>46388</v>
      </c>
      <c r="C6623" s="312">
        <v>19</v>
      </c>
      <c r="D6623" s="368">
        <f>IFERROR((INDEX(METADATA!$T$2:$T$20,MATCH(B6623,METADATA!$S$2:$S$20,0))),0)</f>
        <v>1</v>
      </c>
      <c r="E6623" s="312" t="str">
        <f t="shared" si="412"/>
        <v>HI</v>
      </c>
      <c r="F6623" s="369">
        <f>VLOOKUP(C6623,METADATA!$A$5:$H$29,IF(E6623="HI",2,IF(E6623="LO",6,10))+IF(D6623=1,2,IF(D6623=7,1,(IF(WEEKDAY(B6623)=1,2,IF(WEEKDAY(B6623)=7,1,0))))))</f>
        <v>3</v>
      </c>
      <c r="G6623" s="369">
        <f>VLOOKUP(C6623,METADATA!$J$5:$Q$29,IF(E6623="HI",2,IF(E6623="LO",6,10))+IF(D6623=1,2,IF(D6623=7,1,(IF(WEEKDAY(B6623)=1,2,IF(WEEKDAY(B6623)=7,1,0))))))</f>
        <v>3</v>
      </c>
      <c r="H6623" s="370">
        <v>13631.400024414063</v>
      </c>
      <c r="I6623" s="370">
        <v>4253.1050720214844</v>
      </c>
      <c r="M6623" s="371">
        <f t="shared" si="413"/>
        <v>14279.494717224785</v>
      </c>
      <c r="N6623" s="329">
        <f t="shared" si="414"/>
        <v>163.68506469726572</v>
      </c>
      <c r="T6623" s="331">
        <v>0</v>
      </c>
      <c r="U6623" s="328">
        <f>VLOOKUP(C6623,METADATA!$J$5:$Q$29,IF(E6623="HI",2,IF(E6623="LO",6,10))+IF(T6623=1,2,IF(D6623=7,1,(IF(WEEKDAY(B6623)=1,2,IF(WEEKDAY(B6623)=7,1,0))))))</f>
        <v>1</v>
      </c>
      <c r="V6623" s="328">
        <f>VLOOKUP(C6623,METADATA!$A$5:$H$29,IF(E6623="HI",2,IF(E6623="LO",6,10))+IF(T6623=1,2,IF(D6623=7,1,(IF(WEEKDAY(B6623)=1,2,IF(WEEKDAY(B6623)=7,1,0))))))</f>
        <v>1</v>
      </c>
    </row>
    <row r="6624" spans="2:22">
      <c r="B6624" s="318">
        <f t="shared" si="415"/>
        <v>46388</v>
      </c>
      <c r="C6624" s="312">
        <v>20</v>
      </c>
      <c r="D6624" s="368">
        <f>IFERROR((INDEX(METADATA!$T$2:$T$20,MATCH(B6624,METADATA!$S$2:$S$20,0))),0)</f>
        <v>1</v>
      </c>
      <c r="E6624" s="312" t="str">
        <f t="shared" si="412"/>
        <v>HI</v>
      </c>
      <c r="F6624" s="369">
        <f>VLOOKUP(C6624,METADATA!$A$5:$H$29,IF(E6624="HI",2,IF(E6624="LO",6,10))+IF(D6624=1,2,IF(D6624=7,1,(IF(WEEKDAY(B6624)=1,2,IF(WEEKDAY(B6624)=7,1,0))))))</f>
        <v>3</v>
      </c>
      <c r="G6624" s="369">
        <f>VLOOKUP(C6624,METADATA!$J$5:$Q$29,IF(E6624="HI",2,IF(E6624="LO",6,10))+IF(D6624=1,2,IF(D6624=7,1,(IF(WEEKDAY(B6624)=1,2,IF(WEEKDAY(B6624)=7,1,0))))))</f>
        <v>3</v>
      </c>
      <c r="H6624" s="370">
        <v>13630.64990234375</v>
      </c>
      <c r="I6624" s="370">
        <v>4159.8150329589844</v>
      </c>
      <c r="M6624" s="371">
        <f t="shared" si="413"/>
        <v>14251.269342367199</v>
      </c>
      <c r="N6624" s="329">
        <f t="shared" si="414"/>
        <v>70.620062255859466</v>
      </c>
      <c r="T6624" s="331">
        <v>0</v>
      </c>
      <c r="U6624" s="328">
        <f>VLOOKUP(C6624,METADATA!$J$5:$Q$29,IF(E6624="HI",2,IF(E6624="LO",6,10))+IF(T6624=1,2,IF(D6624=7,1,(IF(WEEKDAY(B6624)=1,2,IF(WEEKDAY(B6624)=7,1,0))))))</f>
        <v>2</v>
      </c>
      <c r="V6624" s="328">
        <f>VLOOKUP(C6624,METADATA!$A$5:$H$29,IF(E6624="HI",2,IF(E6624="LO",6,10))+IF(T6624=1,2,IF(D6624=7,1,(IF(WEEKDAY(B6624)=1,2,IF(WEEKDAY(B6624)=7,1,0))))))</f>
        <v>2</v>
      </c>
    </row>
    <row r="6625" spans="2:22">
      <c r="B6625" s="318">
        <f t="shared" si="415"/>
        <v>46388</v>
      </c>
      <c r="C6625" s="312">
        <v>21</v>
      </c>
      <c r="D6625" s="368">
        <f>IFERROR((INDEX(METADATA!$T$2:$T$20,MATCH(B6625,METADATA!$S$2:$S$20,0))),0)</f>
        <v>1</v>
      </c>
      <c r="E6625" s="312" t="str">
        <f t="shared" si="412"/>
        <v>HI</v>
      </c>
      <c r="F6625" s="369">
        <f>VLOOKUP(C6625,METADATA!$A$5:$H$29,IF(E6625="HI",2,IF(E6625="LO",6,10))+IF(D6625=1,2,IF(D6625=7,1,(IF(WEEKDAY(B6625)=1,2,IF(WEEKDAY(B6625)=7,1,0))))))</f>
        <v>3</v>
      </c>
      <c r="G6625" s="369">
        <f>VLOOKUP(C6625,METADATA!$J$5:$Q$29,IF(E6625="HI",2,IF(E6625="LO",6,10))+IF(D6625=1,2,IF(D6625=7,1,(IF(WEEKDAY(B6625)=1,2,IF(WEEKDAY(B6625)=7,1,0))))))</f>
        <v>3</v>
      </c>
      <c r="H6625" s="370">
        <v>13674.924987792969</v>
      </c>
      <c r="I6625" s="370">
        <v>4273.8499755859375</v>
      </c>
      <c r="M6625" s="371">
        <f t="shared" si="413"/>
        <v>14327.224680152833</v>
      </c>
      <c r="N6625" s="329">
        <f t="shared" si="414"/>
        <v>171.37247924804706</v>
      </c>
      <c r="T6625" s="331">
        <v>0</v>
      </c>
      <c r="U6625" s="328">
        <f>VLOOKUP(C6625,METADATA!$J$5:$Q$29,IF(E6625="HI",2,IF(E6625="LO",6,10))+IF(T6625=1,2,IF(D6625=7,1,(IF(WEEKDAY(B6625)=1,2,IF(WEEKDAY(B6625)=7,1,0))))))</f>
        <v>2</v>
      </c>
      <c r="V6625" s="328">
        <f>VLOOKUP(C6625,METADATA!$A$5:$H$29,IF(E6625="HI",2,IF(E6625="LO",6,10))+IF(T6625=1,2,IF(D6625=7,1,(IF(WEEKDAY(B6625)=1,2,IF(WEEKDAY(B6625)=7,1,0))))))</f>
        <v>2</v>
      </c>
    </row>
    <row r="6626" spans="2:22">
      <c r="B6626" s="318">
        <f t="shared" si="415"/>
        <v>46388</v>
      </c>
      <c r="C6626" s="312">
        <v>22</v>
      </c>
      <c r="D6626" s="368">
        <f>IFERROR((INDEX(METADATA!$T$2:$T$20,MATCH(B6626,METADATA!$S$2:$S$20,0))),0)</f>
        <v>1</v>
      </c>
      <c r="E6626" s="312" t="str">
        <f t="shared" si="412"/>
        <v>HI</v>
      </c>
      <c r="F6626" s="369">
        <f>VLOOKUP(C6626,METADATA!$A$5:$H$29,IF(E6626="HI",2,IF(E6626="LO",6,10))+IF(D6626=1,2,IF(D6626=7,1,(IF(WEEKDAY(B6626)=1,2,IF(WEEKDAY(B6626)=7,1,0))))))</f>
        <v>3</v>
      </c>
      <c r="G6626" s="369">
        <f>VLOOKUP(C6626,METADATA!$J$5:$Q$29,IF(E6626="HI",2,IF(E6626="LO",6,10))+IF(D6626=1,2,IF(D6626=7,1,(IF(WEEKDAY(B6626)=1,2,IF(WEEKDAY(B6626)=7,1,0))))))</f>
        <v>3</v>
      </c>
      <c r="H6626" s="370">
        <v>13606.449584960938</v>
      </c>
      <c r="I6626" s="370">
        <v>4275.4850463867188</v>
      </c>
      <c r="M6626" s="371">
        <f t="shared" si="413"/>
        <v>14262.371566116208</v>
      </c>
      <c r="N6626" s="329">
        <f t="shared" si="414"/>
        <v>193.5501708984375</v>
      </c>
      <c r="T6626" s="331">
        <v>0</v>
      </c>
      <c r="U6626" s="328">
        <f>VLOOKUP(C6626,METADATA!$J$5:$Q$29,IF(E6626="HI",2,IF(E6626="LO",6,10))+IF(T6626=1,2,IF(D6626=7,1,(IF(WEEKDAY(B6626)=1,2,IF(WEEKDAY(B6626)=7,1,0))))))</f>
        <v>3</v>
      </c>
      <c r="V6626" s="328">
        <f>VLOOKUP(C6626,METADATA!$A$5:$H$29,IF(E6626="HI",2,IF(E6626="LO",6,10))+IF(T6626=1,2,IF(D6626=7,1,(IF(WEEKDAY(B6626)=1,2,IF(WEEKDAY(B6626)=7,1,0))))))</f>
        <v>3</v>
      </c>
    </row>
    <row r="6627" spans="2:22">
      <c r="B6627" s="318">
        <f t="shared" si="415"/>
        <v>46388</v>
      </c>
      <c r="C6627" s="312">
        <v>23</v>
      </c>
      <c r="D6627" s="368">
        <f>IFERROR((INDEX(METADATA!$T$2:$T$20,MATCH(B6627,METADATA!$S$2:$S$20,0))),0)</f>
        <v>1</v>
      </c>
      <c r="E6627" s="312" t="str">
        <f t="shared" si="412"/>
        <v>HI</v>
      </c>
      <c r="F6627" s="369">
        <f>VLOOKUP(C6627,METADATA!$A$5:$H$29,IF(E6627="HI",2,IF(E6627="LO",6,10))+IF(D6627=1,2,IF(D6627=7,1,(IF(WEEKDAY(B6627)=1,2,IF(WEEKDAY(B6627)=7,1,0))))))</f>
        <v>3</v>
      </c>
      <c r="G6627" s="369">
        <f>VLOOKUP(C6627,METADATA!$J$5:$Q$29,IF(E6627="HI",2,IF(E6627="LO",6,10))+IF(D6627=1,2,IF(D6627=7,1,(IF(WEEKDAY(B6627)=1,2,IF(WEEKDAY(B6627)=7,1,0))))))</f>
        <v>3</v>
      </c>
      <c r="H6627" s="370">
        <v>13427.724975585938</v>
      </c>
      <c r="I6627" s="370">
        <v>4269.1549987792969</v>
      </c>
      <c r="M6627" s="371">
        <f t="shared" si="413"/>
        <v>14090.049056819376</v>
      </c>
      <c r="N6627" s="329">
        <f t="shared" si="414"/>
        <v>240.83750610351581</v>
      </c>
      <c r="T6627" s="331">
        <v>0</v>
      </c>
      <c r="U6627" s="328">
        <f>VLOOKUP(C6627,METADATA!$J$5:$Q$29,IF(E6627="HI",2,IF(E6627="LO",6,10))+IF(T6627=1,2,IF(D6627=7,1,(IF(WEEKDAY(B6627)=1,2,IF(WEEKDAY(B6627)=7,1,0))))))</f>
        <v>3</v>
      </c>
      <c r="V6627" s="328">
        <f>VLOOKUP(C6627,METADATA!$A$5:$H$29,IF(E6627="HI",2,IF(E6627="LO",6,10))+IF(T6627=1,2,IF(D6627=7,1,(IF(WEEKDAY(B6627)=1,2,IF(WEEKDAY(B6627)=7,1,0))))))</f>
        <v>3</v>
      </c>
    </row>
    <row r="6628" spans="2:22">
      <c r="B6628" s="318">
        <f t="shared" si="415"/>
        <v>46389</v>
      </c>
      <c r="C6628" s="312">
        <v>0</v>
      </c>
      <c r="D6628" s="368">
        <f>IFERROR((INDEX(METADATA!$T$2:$T$20,MATCH(B6628,METADATA!$S$2:$S$20,0))),0)</f>
        <v>0</v>
      </c>
      <c r="E6628" s="312" t="str">
        <f t="shared" si="412"/>
        <v>HI</v>
      </c>
      <c r="F6628" s="369">
        <f>VLOOKUP(C6628,METADATA!$A$5:$H$29,IF(E6628="HI",2,IF(E6628="LO",6,10))+IF(D6628=1,2,IF(D6628=7,1,(IF(WEEKDAY(B6628)=1,2,IF(WEEKDAY(B6628)=7,1,0))))))</f>
        <v>3</v>
      </c>
      <c r="G6628" s="369">
        <f>VLOOKUP(C6628,METADATA!$J$5:$Q$29,IF(E6628="HI",2,IF(E6628="LO",6,10))+IF(D6628=1,2,IF(D6628=7,1,(IF(WEEKDAY(B6628)=1,2,IF(WEEKDAY(B6628)=7,1,0))))))</f>
        <v>3</v>
      </c>
      <c r="H6628" s="370">
        <v>13535.450256347656</v>
      </c>
      <c r="I6628" s="370">
        <v>4336.7100830078125</v>
      </c>
      <c r="M6628" s="371">
        <f t="shared" si="413"/>
        <v>14213.214554988024</v>
      </c>
      <c r="N6628" s="329">
        <f t="shared" si="414"/>
        <v>276.07500610351599</v>
      </c>
      <c r="T6628" s="331">
        <v>0</v>
      </c>
      <c r="U6628" s="328">
        <f>VLOOKUP(C6628,METADATA!$J$5:$Q$29,IF(E6628="HI",2,IF(E6628="LO",6,10))+IF(T6628=1,2,IF(D6628=7,1,(IF(WEEKDAY(B6628)=1,2,IF(WEEKDAY(B6628)=7,1,0))))))</f>
        <v>3</v>
      </c>
      <c r="V6628" s="328">
        <f>VLOOKUP(C6628,METADATA!$A$5:$H$29,IF(E6628="HI",2,IF(E6628="LO",6,10))+IF(T6628=1,2,IF(D6628=7,1,(IF(WEEKDAY(B6628)=1,2,IF(WEEKDAY(B6628)=7,1,0))))))</f>
        <v>3</v>
      </c>
    </row>
    <row r="6629" spans="2:22">
      <c r="B6629" s="318">
        <f t="shared" si="415"/>
        <v>46389</v>
      </c>
      <c r="C6629" s="312">
        <v>1</v>
      </c>
      <c r="D6629" s="368">
        <f>IFERROR((INDEX(METADATA!$T$2:$T$20,MATCH(B6629,METADATA!$S$2:$S$20,0))),0)</f>
        <v>0</v>
      </c>
      <c r="E6629" s="312" t="str">
        <f t="shared" si="412"/>
        <v>HI</v>
      </c>
      <c r="F6629" s="369">
        <f>VLOOKUP(C6629,METADATA!$A$5:$H$29,IF(E6629="HI",2,IF(E6629="LO",6,10))+IF(D6629=1,2,IF(D6629=7,1,(IF(WEEKDAY(B6629)=1,2,IF(WEEKDAY(B6629)=7,1,0))))))</f>
        <v>3</v>
      </c>
      <c r="G6629" s="369">
        <f>VLOOKUP(C6629,METADATA!$J$5:$Q$29,IF(E6629="HI",2,IF(E6629="LO",6,10))+IF(D6629=1,2,IF(D6629=7,1,(IF(WEEKDAY(B6629)=1,2,IF(WEEKDAY(B6629)=7,1,0))))))</f>
        <v>3</v>
      </c>
      <c r="H6629" s="370">
        <v>12218.982727050781</v>
      </c>
      <c r="I6629" s="370">
        <v>3750.8098907470703</v>
      </c>
      <c r="M6629" s="371">
        <f t="shared" si="413"/>
        <v>12781.710125037705</v>
      </c>
      <c r="N6629" s="329">
        <f t="shared" si="414"/>
        <v>85.115072631836028</v>
      </c>
      <c r="T6629" s="331">
        <v>0</v>
      </c>
      <c r="U6629" s="328">
        <f>VLOOKUP(C6629,METADATA!$J$5:$Q$29,IF(E6629="HI",2,IF(E6629="LO",6,10))+IF(T6629=1,2,IF(D6629=7,1,(IF(WEEKDAY(B6629)=1,2,IF(WEEKDAY(B6629)=7,1,0))))))</f>
        <v>3</v>
      </c>
      <c r="V6629" s="328">
        <f>VLOOKUP(C6629,METADATA!$A$5:$H$29,IF(E6629="HI",2,IF(E6629="LO",6,10))+IF(T6629=1,2,IF(D6629=7,1,(IF(WEEKDAY(B6629)=1,2,IF(WEEKDAY(B6629)=7,1,0))))))</f>
        <v>3</v>
      </c>
    </row>
    <row r="6630" spans="2:22">
      <c r="B6630" s="318">
        <f t="shared" si="415"/>
        <v>46389</v>
      </c>
      <c r="C6630" s="312">
        <v>2</v>
      </c>
      <c r="D6630" s="368">
        <f>IFERROR((INDEX(METADATA!$T$2:$T$20,MATCH(B6630,METADATA!$S$2:$S$20,0))),0)</f>
        <v>0</v>
      </c>
      <c r="E6630" s="312" t="str">
        <f t="shared" si="412"/>
        <v>HI</v>
      </c>
      <c r="F6630" s="369">
        <f>VLOOKUP(C6630,METADATA!$A$5:$H$29,IF(E6630="HI",2,IF(E6630="LO",6,10))+IF(D6630=1,2,IF(D6630=7,1,(IF(WEEKDAY(B6630)=1,2,IF(WEEKDAY(B6630)=7,1,0))))))</f>
        <v>3</v>
      </c>
      <c r="G6630" s="369">
        <f>VLOOKUP(C6630,METADATA!$J$5:$Q$29,IF(E6630="HI",2,IF(E6630="LO",6,10))+IF(D6630=1,2,IF(D6630=7,1,(IF(WEEKDAY(B6630)=1,2,IF(WEEKDAY(B6630)=7,1,0))))))</f>
        <v>3</v>
      </c>
      <c r="H6630" s="370">
        <v>8379.52490234375</v>
      </c>
      <c r="I6630" s="370">
        <v>2692.89990234375</v>
      </c>
      <c r="M6630" s="371">
        <f t="shared" si="413"/>
        <v>8801.5991429422647</v>
      </c>
      <c r="N6630" s="329">
        <f t="shared" si="414"/>
        <v>179.04243164062518</v>
      </c>
      <c r="T6630" s="331">
        <v>0</v>
      </c>
      <c r="U6630" s="328">
        <f>VLOOKUP(C6630,METADATA!$J$5:$Q$29,IF(E6630="HI",2,IF(E6630="LO",6,10))+IF(T6630=1,2,IF(D6630=7,1,(IF(WEEKDAY(B6630)=1,2,IF(WEEKDAY(B6630)=7,1,0))))))</f>
        <v>3</v>
      </c>
      <c r="V6630" s="328">
        <f>VLOOKUP(C6630,METADATA!$A$5:$H$29,IF(E6630="HI",2,IF(E6630="LO",6,10))+IF(T6630=1,2,IF(D6630=7,1,(IF(WEEKDAY(B6630)=1,2,IF(WEEKDAY(B6630)=7,1,0))))))</f>
        <v>3</v>
      </c>
    </row>
    <row r="6631" spans="2:22">
      <c r="B6631" s="318">
        <f t="shared" si="415"/>
        <v>46389</v>
      </c>
      <c r="C6631" s="312">
        <v>3</v>
      </c>
      <c r="D6631" s="368">
        <f>IFERROR((INDEX(METADATA!$T$2:$T$20,MATCH(B6631,METADATA!$S$2:$S$20,0))),0)</f>
        <v>0</v>
      </c>
      <c r="E6631" s="312" t="str">
        <f t="shared" si="412"/>
        <v>HI</v>
      </c>
      <c r="F6631" s="369">
        <f>VLOOKUP(C6631,METADATA!$A$5:$H$29,IF(E6631="HI",2,IF(E6631="LO",6,10))+IF(D6631=1,2,IF(D6631=7,1,(IF(WEEKDAY(B6631)=1,2,IF(WEEKDAY(B6631)=7,1,0))))))</f>
        <v>3</v>
      </c>
      <c r="G6631" s="369">
        <f>VLOOKUP(C6631,METADATA!$J$5:$Q$29,IF(E6631="HI",2,IF(E6631="LO",6,10))+IF(D6631=1,2,IF(D6631=7,1,(IF(WEEKDAY(B6631)=1,2,IF(WEEKDAY(B6631)=7,1,0))))))</f>
        <v>3</v>
      </c>
      <c r="H6631" s="370">
        <v>6575.7274780273438</v>
      </c>
      <c r="I6631" s="370">
        <v>1980.9074401855469</v>
      </c>
      <c r="M6631" s="371">
        <f t="shared" si="413"/>
        <v>6867.6186667480524</v>
      </c>
      <c r="N6631" s="329">
        <f t="shared" si="414"/>
        <v>8.1891967773437955</v>
      </c>
      <c r="T6631" s="331">
        <v>0</v>
      </c>
      <c r="U6631" s="328">
        <f>VLOOKUP(C6631,METADATA!$J$5:$Q$29,IF(E6631="HI",2,IF(E6631="LO",6,10))+IF(T6631=1,2,IF(D6631=7,1,(IF(WEEKDAY(B6631)=1,2,IF(WEEKDAY(B6631)=7,1,0))))))</f>
        <v>3</v>
      </c>
      <c r="V6631" s="328">
        <f>VLOOKUP(C6631,METADATA!$A$5:$H$29,IF(E6631="HI",2,IF(E6631="LO",6,10))+IF(T6631=1,2,IF(D6631=7,1,(IF(WEEKDAY(B6631)=1,2,IF(WEEKDAY(B6631)=7,1,0))))))</f>
        <v>3</v>
      </c>
    </row>
    <row r="6632" spans="2:22">
      <c r="B6632" s="318">
        <f t="shared" si="415"/>
        <v>46389</v>
      </c>
      <c r="C6632" s="312">
        <v>4</v>
      </c>
      <c r="D6632" s="368">
        <f>IFERROR((INDEX(METADATA!$T$2:$T$20,MATCH(B6632,METADATA!$S$2:$S$20,0))),0)</f>
        <v>0</v>
      </c>
      <c r="E6632" s="312" t="str">
        <f t="shared" si="412"/>
        <v>HI</v>
      </c>
      <c r="F6632" s="369">
        <f>VLOOKUP(C6632,METADATA!$A$5:$H$29,IF(E6632="HI",2,IF(E6632="LO",6,10))+IF(D6632=1,2,IF(D6632=7,1,(IF(WEEKDAY(B6632)=1,2,IF(WEEKDAY(B6632)=7,1,0))))))</f>
        <v>3</v>
      </c>
      <c r="G6632" s="369">
        <f>VLOOKUP(C6632,METADATA!$J$5:$Q$29,IF(E6632="HI",2,IF(E6632="LO",6,10))+IF(D6632=1,2,IF(D6632=7,1,(IF(WEEKDAY(B6632)=1,2,IF(WEEKDAY(B6632)=7,1,0))))))</f>
        <v>3</v>
      </c>
      <c r="H6632" s="370">
        <v>8933.0452880859375</v>
      </c>
      <c r="I6632" s="370">
        <v>2309.9749908447266</v>
      </c>
      <c r="M6632" s="371">
        <f t="shared" si="413"/>
        <v>9226.878268261833</v>
      </c>
      <c r="N6632" s="329">
        <f t="shared" si="414"/>
        <v>0</v>
      </c>
      <c r="T6632" s="331">
        <v>0</v>
      </c>
      <c r="U6632" s="328">
        <f>VLOOKUP(C6632,METADATA!$J$5:$Q$29,IF(E6632="HI",2,IF(E6632="LO",6,10))+IF(T6632=1,2,IF(D6632=7,1,(IF(WEEKDAY(B6632)=1,2,IF(WEEKDAY(B6632)=7,1,0))))))</f>
        <v>3</v>
      </c>
      <c r="V6632" s="328">
        <f>VLOOKUP(C6632,METADATA!$A$5:$H$29,IF(E6632="HI",2,IF(E6632="LO",6,10))+IF(T6632=1,2,IF(D6632=7,1,(IF(WEEKDAY(B6632)=1,2,IF(WEEKDAY(B6632)=7,1,0))))))</f>
        <v>3</v>
      </c>
    </row>
    <row r="6633" spans="2:22">
      <c r="B6633" s="318">
        <f t="shared" si="415"/>
        <v>46389</v>
      </c>
      <c r="C6633" s="312">
        <v>5</v>
      </c>
      <c r="D6633" s="368">
        <f>IFERROR((INDEX(METADATA!$T$2:$T$20,MATCH(B6633,METADATA!$S$2:$S$20,0))),0)</f>
        <v>0</v>
      </c>
      <c r="E6633" s="312" t="str">
        <f t="shared" si="412"/>
        <v>HI</v>
      </c>
      <c r="F6633" s="369">
        <f>VLOOKUP(C6633,METADATA!$A$5:$H$29,IF(E6633="HI",2,IF(E6633="LO",6,10))+IF(D6633=1,2,IF(D6633=7,1,(IF(WEEKDAY(B6633)=1,2,IF(WEEKDAY(B6633)=7,1,0))))))</f>
        <v>3</v>
      </c>
      <c r="G6633" s="369">
        <f>VLOOKUP(C6633,METADATA!$J$5:$Q$29,IF(E6633="HI",2,IF(E6633="LO",6,10))+IF(D6633=1,2,IF(D6633=7,1,(IF(WEEKDAY(B6633)=1,2,IF(WEEKDAY(B6633)=7,1,0))))))</f>
        <v>3</v>
      </c>
      <c r="H6633" s="370">
        <v>12963.77490234375</v>
      </c>
      <c r="I6633" s="370">
        <v>3974.8274536132813</v>
      </c>
      <c r="M6633" s="371">
        <f t="shared" si="413"/>
        <v>13559.451058381219</v>
      </c>
      <c r="N6633" s="329">
        <f t="shared" si="414"/>
        <v>85.694982910156341</v>
      </c>
      <c r="T6633" s="331">
        <v>0</v>
      </c>
      <c r="U6633" s="328">
        <f>VLOOKUP(C6633,METADATA!$J$5:$Q$29,IF(E6633="HI",2,IF(E6633="LO",6,10))+IF(T6633=1,2,IF(D6633=7,1,(IF(WEEKDAY(B6633)=1,2,IF(WEEKDAY(B6633)=7,1,0))))))</f>
        <v>3</v>
      </c>
      <c r="V6633" s="328">
        <f>VLOOKUP(C6633,METADATA!$A$5:$H$29,IF(E6633="HI",2,IF(E6633="LO",6,10))+IF(T6633=1,2,IF(D6633=7,1,(IF(WEEKDAY(B6633)=1,2,IF(WEEKDAY(B6633)=7,1,0))))))</f>
        <v>3</v>
      </c>
    </row>
    <row r="6634" spans="2:22">
      <c r="B6634" s="318">
        <f t="shared" si="415"/>
        <v>46389</v>
      </c>
      <c r="C6634" s="312">
        <v>6</v>
      </c>
      <c r="D6634" s="368">
        <f>IFERROR((INDEX(METADATA!$T$2:$T$20,MATCH(B6634,METADATA!$S$2:$S$20,0))),0)</f>
        <v>0</v>
      </c>
      <c r="E6634" s="312" t="str">
        <f t="shared" si="412"/>
        <v>HI</v>
      </c>
      <c r="F6634" s="369">
        <f>VLOOKUP(C6634,METADATA!$A$5:$H$29,IF(E6634="HI",2,IF(E6634="LO",6,10))+IF(D6634=1,2,IF(D6634=7,1,(IF(WEEKDAY(B6634)=1,2,IF(WEEKDAY(B6634)=7,1,0))))))</f>
        <v>3</v>
      </c>
      <c r="G6634" s="369">
        <f>VLOOKUP(C6634,METADATA!$J$5:$Q$29,IF(E6634="HI",2,IF(E6634="LO",6,10))+IF(D6634=1,2,IF(D6634=7,1,(IF(WEEKDAY(B6634)=1,2,IF(WEEKDAY(B6634)=7,1,0))))))</f>
        <v>3</v>
      </c>
      <c r="H6634" s="370">
        <v>13763.300048828125</v>
      </c>
      <c r="I6634" s="370">
        <v>4442.6150207519531</v>
      </c>
      <c r="M6634" s="371">
        <f t="shared" si="413"/>
        <v>14462.546679498848</v>
      </c>
      <c r="N6634" s="329">
        <f t="shared" si="414"/>
        <v>313.62500610351617</v>
      </c>
      <c r="T6634" s="331">
        <v>0</v>
      </c>
      <c r="U6634" s="328">
        <f>VLOOKUP(C6634,METADATA!$J$5:$Q$29,IF(E6634="HI",2,IF(E6634="LO",6,10))+IF(T6634=1,2,IF(D6634=7,1,(IF(WEEKDAY(B6634)=1,2,IF(WEEKDAY(B6634)=7,1,0))))))</f>
        <v>3</v>
      </c>
      <c r="V6634" s="328">
        <f>VLOOKUP(C6634,METADATA!$A$5:$H$29,IF(E6634="HI",2,IF(E6634="LO",6,10))+IF(T6634=1,2,IF(D6634=7,1,(IF(WEEKDAY(B6634)=1,2,IF(WEEKDAY(B6634)=7,1,0))))))</f>
        <v>3</v>
      </c>
    </row>
    <row r="6635" spans="2:22">
      <c r="B6635" s="318">
        <f t="shared" si="415"/>
        <v>46389</v>
      </c>
      <c r="C6635" s="312">
        <v>7</v>
      </c>
      <c r="D6635" s="368">
        <f>IFERROR((INDEX(METADATA!$T$2:$T$20,MATCH(B6635,METADATA!$S$2:$S$20,0))),0)</f>
        <v>0</v>
      </c>
      <c r="E6635" s="312" t="str">
        <f t="shared" si="412"/>
        <v>HI</v>
      </c>
      <c r="F6635" s="369">
        <f>VLOOKUP(C6635,METADATA!$A$5:$H$29,IF(E6635="HI",2,IF(E6635="LO",6,10))+IF(D6635=1,2,IF(D6635=7,1,(IF(WEEKDAY(B6635)=1,2,IF(WEEKDAY(B6635)=7,1,0))))))</f>
        <v>2</v>
      </c>
      <c r="G6635" s="369">
        <f>VLOOKUP(C6635,METADATA!$J$5:$Q$29,IF(E6635="HI",2,IF(E6635="LO",6,10))+IF(D6635=1,2,IF(D6635=7,1,(IF(WEEKDAY(B6635)=1,2,IF(WEEKDAY(B6635)=7,1,0))))))</f>
        <v>2</v>
      </c>
      <c r="H6635" s="370">
        <v>13676.275207519531</v>
      </c>
      <c r="I6635" s="370">
        <v>4246.9299621582031</v>
      </c>
      <c r="M6635" s="371">
        <f t="shared" si="413"/>
        <v>14320.506892400508</v>
      </c>
      <c r="N6635" s="329">
        <f t="shared" si="414"/>
        <v>144.0473999023443</v>
      </c>
      <c r="T6635" s="331">
        <v>0</v>
      </c>
      <c r="U6635" s="328">
        <f>VLOOKUP(C6635,METADATA!$J$5:$Q$29,IF(E6635="HI",2,IF(E6635="LO",6,10))+IF(T6635=1,2,IF(D6635=7,1,(IF(WEEKDAY(B6635)=1,2,IF(WEEKDAY(B6635)=7,1,0))))))</f>
        <v>2</v>
      </c>
      <c r="V6635" s="328">
        <f>VLOOKUP(C6635,METADATA!$A$5:$H$29,IF(E6635="HI",2,IF(E6635="LO",6,10))+IF(T6635=1,2,IF(D6635=7,1,(IF(WEEKDAY(B6635)=1,2,IF(WEEKDAY(B6635)=7,1,0))))))</f>
        <v>2</v>
      </c>
    </row>
    <row r="6636" spans="2:22">
      <c r="B6636" s="318">
        <f t="shared" si="415"/>
        <v>46389</v>
      </c>
      <c r="C6636" s="312">
        <v>8</v>
      </c>
      <c r="D6636" s="368">
        <f>IFERROR((INDEX(METADATA!$T$2:$T$20,MATCH(B6636,METADATA!$S$2:$S$20,0))),0)</f>
        <v>0</v>
      </c>
      <c r="E6636" s="312" t="str">
        <f t="shared" si="412"/>
        <v>HI</v>
      </c>
      <c r="F6636" s="369">
        <f>VLOOKUP(C6636,METADATA!$A$5:$H$29,IF(E6636="HI",2,IF(E6636="LO",6,10))+IF(D6636=1,2,IF(D6636=7,1,(IF(WEEKDAY(B6636)=1,2,IF(WEEKDAY(B6636)=7,1,0))))))</f>
        <v>2</v>
      </c>
      <c r="G6636" s="369">
        <f>VLOOKUP(C6636,METADATA!$J$5:$Q$29,IF(E6636="HI",2,IF(E6636="LO",6,10))+IF(D6636=1,2,IF(D6636=7,1,(IF(WEEKDAY(B6636)=1,2,IF(WEEKDAY(B6636)=7,1,0))))))</f>
        <v>2</v>
      </c>
      <c r="H6636" s="370">
        <v>13672.974914550781</v>
      </c>
      <c r="I6636" s="370">
        <v>4206.7249755859375</v>
      </c>
      <c r="M6636" s="371">
        <f t="shared" si="413"/>
        <v>14305.480699163991</v>
      </c>
      <c r="N6636" s="329">
        <f t="shared" si="414"/>
        <v>104.83250122070331</v>
      </c>
      <c r="T6636" s="331">
        <v>0</v>
      </c>
      <c r="U6636" s="328">
        <f>VLOOKUP(C6636,METADATA!$J$5:$Q$29,IF(E6636="HI",2,IF(E6636="LO",6,10))+IF(T6636=1,2,IF(D6636=7,1,(IF(WEEKDAY(B6636)=1,2,IF(WEEKDAY(B6636)=7,1,0))))))</f>
        <v>2</v>
      </c>
      <c r="V6636" s="328">
        <f>VLOOKUP(C6636,METADATA!$A$5:$H$29,IF(E6636="HI",2,IF(E6636="LO",6,10))+IF(T6636=1,2,IF(D6636=7,1,(IF(WEEKDAY(B6636)=1,2,IF(WEEKDAY(B6636)=7,1,0))))))</f>
        <v>2</v>
      </c>
    </row>
    <row r="6637" spans="2:22">
      <c r="B6637" s="318">
        <f t="shared" si="415"/>
        <v>46389</v>
      </c>
      <c r="C6637" s="312">
        <v>9</v>
      </c>
      <c r="D6637" s="368">
        <f>IFERROR((INDEX(METADATA!$T$2:$T$20,MATCH(B6637,METADATA!$S$2:$S$20,0))),0)</f>
        <v>0</v>
      </c>
      <c r="E6637" s="312" t="str">
        <f t="shared" si="412"/>
        <v>HI</v>
      </c>
      <c r="F6637" s="369">
        <f>VLOOKUP(C6637,METADATA!$A$5:$H$29,IF(E6637="HI",2,IF(E6637="LO",6,10))+IF(D6637=1,2,IF(D6637=7,1,(IF(WEEKDAY(B6637)=1,2,IF(WEEKDAY(B6637)=7,1,0))))))</f>
        <v>2</v>
      </c>
      <c r="G6637" s="369">
        <f>VLOOKUP(C6637,METADATA!$J$5:$Q$29,IF(E6637="HI",2,IF(E6637="LO",6,10))+IF(D6637=1,2,IF(D6637=7,1,(IF(WEEKDAY(B6637)=1,2,IF(WEEKDAY(B6637)=7,1,0))))))</f>
        <v>2</v>
      </c>
      <c r="H6637" s="370">
        <v>13484.400329589844</v>
      </c>
      <c r="I6637" s="370">
        <v>4084.1050415039063</v>
      </c>
      <c r="M6637" s="371">
        <f t="shared" si="413"/>
        <v>14089.320999916225</v>
      </c>
      <c r="N6637" s="329">
        <f t="shared" si="414"/>
        <v>38.784942626953125</v>
      </c>
      <c r="T6637" s="331">
        <v>0</v>
      </c>
      <c r="U6637" s="328">
        <f>VLOOKUP(C6637,METADATA!$J$5:$Q$29,IF(E6637="HI",2,IF(E6637="LO",6,10))+IF(T6637=1,2,IF(D6637=7,1,(IF(WEEKDAY(B6637)=1,2,IF(WEEKDAY(B6637)=7,1,0))))))</f>
        <v>2</v>
      </c>
      <c r="V6637" s="328">
        <f>VLOOKUP(C6637,METADATA!$A$5:$H$29,IF(E6637="HI",2,IF(E6637="LO",6,10))+IF(T6637=1,2,IF(D6637=7,1,(IF(WEEKDAY(B6637)=1,2,IF(WEEKDAY(B6637)=7,1,0))))))</f>
        <v>2</v>
      </c>
    </row>
    <row r="6638" spans="2:22">
      <c r="B6638" s="318">
        <f t="shared" si="415"/>
        <v>46389</v>
      </c>
      <c r="C6638" s="312">
        <v>10</v>
      </c>
      <c r="D6638" s="368">
        <f>IFERROR((INDEX(METADATA!$T$2:$T$20,MATCH(B6638,METADATA!$S$2:$S$20,0))),0)</f>
        <v>0</v>
      </c>
      <c r="E6638" s="312" t="str">
        <f t="shared" si="412"/>
        <v>HI</v>
      </c>
      <c r="F6638" s="369">
        <f>VLOOKUP(C6638,METADATA!$A$5:$H$29,IF(E6638="HI",2,IF(E6638="LO",6,10))+IF(D6638=1,2,IF(D6638=7,1,(IF(WEEKDAY(B6638)=1,2,IF(WEEKDAY(B6638)=7,1,0))))))</f>
        <v>2</v>
      </c>
      <c r="G6638" s="369">
        <f>VLOOKUP(C6638,METADATA!$J$5:$Q$29,IF(E6638="HI",2,IF(E6638="LO",6,10))+IF(D6638=1,2,IF(D6638=7,1,(IF(WEEKDAY(B6638)=1,2,IF(WEEKDAY(B6638)=7,1,0))))))</f>
        <v>2</v>
      </c>
      <c r="H6638" s="370">
        <v>13501.450073242188</v>
      </c>
      <c r="I6638" s="370">
        <v>4106.2098999023438</v>
      </c>
      <c r="M6638" s="371">
        <f t="shared" si="413"/>
        <v>14112.05562001183</v>
      </c>
      <c r="N6638" s="329">
        <f t="shared" si="414"/>
        <v>55.774877929687591</v>
      </c>
      <c r="T6638" s="331">
        <v>0</v>
      </c>
      <c r="U6638" s="328">
        <f>VLOOKUP(C6638,METADATA!$J$5:$Q$29,IF(E6638="HI",2,IF(E6638="LO",6,10))+IF(T6638=1,2,IF(D6638=7,1,(IF(WEEKDAY(B6638)=1,2,IF(WEEKDAY(B6638)=7,1,0))))))</f>
        <v>2</v>
      </c>
      <c r="V6638" s="328">
        <f>VLOOKUP(C6638,METADATA!$A$5:$H$29,IF(E6638="HI",2,IF(E6638="LO",6,10))+IF(T6638=1,2,IF(D6638=7,1,(IF(WEEKDAY(B6638)=1,2,IF(WEEKDAY(B6638)=7,1,0))))))</f>
        <v>2</v>
      </c>
    </row>
    <row r="6639" spans="2:22">
      <c r="B6639" s="318">
        <f t="shared" si="415"/>
        <v>46389</v>
      </c>
      <c r="C6639" s="312">
        <v>11</v>
      </c>
      <c r="D6639" s="368">
        <f>IFERROR((INDEX(METADATA!$T$2:$T$20,MATCH(B6639,METADATA!$S$2:$S$20,0))),0)</f>
        <v>0</v>
      </c>
      <c r="E6639" s="312" t="str">
        <f t="shared" si="412"/>
        <v>HI</v>
      </c>
      <c r="F6639" s="369">
        <f>VLOOKUP(C6639,METADATA!$A$5:$H$29,IF(E6639="HI",2,IF(E6639="LO",6,10))+IF(D6639=1,2,IF(D6639=7,1,(IF(WEEKDAY(B6639)=1,2,IF(WEEKDAY(B6639)=7,1,0))))))</f>
        <v>2</v>
      </c>
      <c r="G6639" s="369">
        <f>VLOOKUP(C6639,METADATA!$J$5:$Q$29,IF(E6639="HI",2,IF(E6639="LO",6,10))+IF(D6639=1,2,IF(D6639=7,1,(IF(WEEKDAY(B6639)=1,2,IF(WEEKDAY(B6639)=7,1,0))))))</f>
        <v>2</v>
      </c>
      <c r="H6639" s="370">
        <v>13462.824951171875</v>
      </c>
      <c r="I6639" s="370">
        <v>4083.9649658203125</v>
      </c>
      <c r="M6639" s="371">
        <f t="shared" si="413"/>
        <v>14068.632680823808</v>
      </c>
      <c r="N6639" s="329">
        <f t="shared" si="414"/>
        <v>45.117480468750273</v>
      </c>
      <c r="T6639" s="331">
        <v>0</v>
      </c>
      <c r="U6639" s="328">
        <f>VLOOKUP(C6639,METADATA!$J$5:$Q$29,IF(E6639="HI",2,IF(E6639="LO",6,10))+IF(T6639=1,2,IF(D6639=7,1,(IF(WEEKDAY(B6639)=1,2,IF(WEEKDAY(B6639)=7,1,0))))))</f>
        <v>2</v>
      </c>
      <c r="V6639" s="328">
        <f>VLOOKUP(C6639,METADATA!$A$5:$H$29,IF(E6639="HI",2,IF(E6639="LO",6,10))+IF(T6639=1,2,IF(D6639=7,1,(IF(WEEKDAY(B6639)=1,2,IF(WEEKDAY(B6639)=7,1,0))))))</f>
        <v>2</v>
      </c>
    </row>
    <row r="6640" spans="2:22">
      <c r="B6640" s="318">
        <f t="shared" si="415"/>
        <v>46389</v>
      </c>
      <c r="C6640" s="312">
        <v>12</v>
      </c>
      <c r="D6640" s="368">
        <f>IFERROR((INDEX(METADATA!$T$2:$T$20,MATCH(B6640,METADATA!$S$2:$S$20,0))),0)</f>
        <v>0</v>
      </c>
      <c r="E6640" s="312" t="str">
        <f t="shared" si="412"/>
        <v>HI</v>
      </c>
      <c r="F6640" s="369">
        <f>VLOOKUP(C6640,METADATA!$A$5:$H$29,IF(E6640="HI",2,IF(E6640="LO",6,10))+IF(D6640=1,2,IF(D6640=7,1,(IF(WEEKDAY(B6640)=1,2,IF(WEEKDAY(B6640)=7,1,0))))))</f>
        <v>3</v>
      </c>
      <c r="G6640" s="369">
        <f>VLOOKUP(C6640,METADATA!$J$5:$Q$29,IF(E6640="HI",2,IF(E6640="LO",6,10))+IF(D6640=1,2,IF(D6640=7,1,(IF(WEEKDAY(B6640)=1,2,IF(WEEKDAY(B6640)=7,1,0))))))</f>
        <v>3</v>
      </c>
      <c r="H6640" s="370">
        <v>13431.175109863281</v>
      </c>
      <c r="I6640" s="370">
        <v>4073.9850769042969</v>
      </c>
      <c r="M6640" s="371">
        <f t="shared" si="413"/>
        <v>14035.448665384725</v>
      </c>
      <c r="N6640" s="329">
        <f t="shared" si="414"/>
        <v>44.632543945312591</v>
      </c>
      <c r="T6640" s="331">
        <v>0</v>
      </c>
      <c r="U6640" s="328">
        <f>VLOOKUP(C6640,METADATA!$J$5:$Q$29,IF(E6640="HI",2,IF(E6640="LO",6,10))+IF(T6640=1,2,IF(D6640=7,1,(IF(WEEKDAY(B6640)=1,2,IF(WEEKDAY(B6640)=7,1,0))))))</f>
        <v>3</v>
      </c>
      <c r="V6640" s="328">
        <f>VLOOKUP(C6640,METADATA!$A$5:$H$29,IF(E6640="HI",2,IF(E6640="LO",6,10))+IF(T6640=1,2,IF(D6640=7,1,(IF(WEEKDAY(B6640)=1,2,IF(WEEKDAY(B6640)=7,1,0))))))</f>
        <v>3</v>
      </c>
    </row>
    <row r="6641" spans="2:22">
      <c r="B6641" s="318">
        <f t="shared" si="415"/>
        <v>46389</v>
      </c>
      <c r="C6641" s="312">
        <v>13</v>
      </c>
      <c r="D6641" s="368">
        <f>IFERROR((INDEX(METADATA!$T$2:$T$20,MATCH(B6641,METADATA!$S$2:$S$20,0))),0)</f>
        <v>0</v>
      </c>
      <c r="E6641" s="312" t="str">
        <f t="shared" si="412"/>
        <v>HI</v>
      </c>
      <c r="F6641" s="369">
        <f>VLOOKUP(C6641,METADATA!$A$5:$H$29,IF(E6641="HI",2,IF(E6641="LO",6,10))+IF(D6641=1,2,IF(D6641=7,1,(IF(WEEKDAY(B6641)=1,2,IF(WEEKDAY(B6641)=7,1,0))))))</f>
        <v>3</v>
      </c>
      <c r="G6641" s="369">
        <f>VLOOKUP(C6641,METADATA!$J$5:$Q$29,IF(E6641="HI",2,IF(E6641="LO",6,10))+IF(D6641=1,2,IF(D6641=7,1,(IF(WEEKDAY(B6641)=1,2,IF(WEEKDAY(B6641)=7,1,0))))))</f>
        <v>3</v>
      </c>
      <c r="H6641" s="370">
        <v>13604.224914550781</v>
      </c>
      <c r="I6641" s="370">
        <v>4364.4800415039063</v>
      </c>
      <c r="M6641" s="371">
        <f t="shared" si="413"/>
        <v>14287.183821816325</v>
      </c>
      <c r="N6641" s="329">
        <f t="shared" si="414"/>
        <v>283.21256713867206</v>
      </c>
      <c r="T6641" s="331">
        <v>0</v>
      </c>
      <c r="U6641" s="328">
        <f>VLOOKUP(C6641,METADATA!$J$5:$Q$29,IF(E6641="HI",2,IF(E6641="LO",6,10))+IF(T6641=1,2,IF(D6641=7,1,(IF(WEEKDAY(B6641)=1,2,IF(WEEKDAY(B6641)=7,1,0))))))</f>
        <v>3</v>
      </c>
      <c r="V6641" s="328">
        <f>VLOOKUP(C6641,METADATA!$A$5:$H$29,IF(E6641="HI",2,IF(E6641="LO",6,10))+IF(T6641=1,2,IF(D6641=7,1,(IF(WEEKDAY(B6641)=1,2,IF(WEEKDAY(B6641)=7,1,0))))))</f>
        <v>3</v>
      </c>
    </row>
    <row r="6642" spans="2:22">
      <c r="B6642" s="318">
        <f t="shared" si="415"/>
        <v>46389</v>
      </c>
      <c r="C6642" s="312">
        <v>14</v>
      </c>
      <c r="D6642" s="368">
        <f>IFERROR((INDEX(METADATA!$T$2:$T$20,MATCH(B6642,METADATA!$S$2:$S$20,0))),0)</f>
        <v>0</v>
      </c>
      <c r="E6642" s="312" t="str">
        <f t="shared" si="412"/>
        <v>HI</v>
      </c>
      <c r="F6642" s="369">
        <f>VLOOKUP(C6642,METADATA!$A$5:$H$29,IF(E6642="HI",2,IF(E6642="LO",6,10))+IF(D6642=1,2,IF(D6642=7,1,(IF(WEEKDAY(B6642)=1,2,IF(WEEKDAY(B6642)=7,1,0))))))</f>
        <v>3</v>
      </c>
      <c r="G6642" s="369">
        <f>VLOOKUP(C6642,METADATA!$J$5:$Q$29,IF(E6642="HI",2,IF(E6642="LO",6,10))+IF(D6642=1,2,IF(D6642=7,1,(IF(WEEKDAY(B6642)=1,2,IF(WEEKDAY(B6642)=7,1,0))))))</f>
        <v>3</v>
      </c>
      <c r="H6642" s="370">
        <v>13801.924926757813</v>
      </c>
      <c r="I6642" s="370">
        <v>4541.1500244140625</v>
      </c>
      <c r="M6642" s="371">
        <f t="shared" si="413"/>
        <v>14529.803000319531</v>
      </c>
      <c r="N6642" s="329">
        <f t="shared" si="414"/>
        <v>400.5725463867193</v>
      </c>
      <c r="T6642" s="331">
        <v>0</v>
      </c>
      <c r="U6642" s="328">
        <f>VLOOKUP(C6642,METADATA!$J$5:$Q$29,IF(E6642="HI",2,IF(E6642="LO",6,10))+IF(T6642=1,2,IF(D6642=7,1,(IF(WEEKDAY(B6642)=1,2,IF(WEEKDAY(B6642)=7,1,0))))))</f>
        <v>3</v>
      </c>
      <c r="V6642" s="328">
        <f>VLOOKUP(C6642,METADATA!$A$5:$H$29,IF(E6642="HI",2,IF(E6642="LO",6,10))+IF(T6642=1,2,IF(D6642=7,1,(IF(WEEKDAY(B6642)=1,2,IF(WEEKDAY(B6642)=7,1,0))))))</f>
        <v>3</v>
      </c>
    </row>
    <row r="6643" spans="2:22">
      <c r="B6643" s="318">
        <f t="shared" si="415"/>
        <v>46389</v>
      </c>
      <c r="C6643" s="312">
        <v>15</v>
      </c>
      <c r="D6643" s="368">
        <f>IFERROR((INDEX(METADATA!$T$2:$T$20,MATCH(B6643,METADATA!$S$2:$S$20,0))),0)</f>
        <v>0</v>
      </c>
      <c r="E6643" s="312" t="str">
        <f t="shared" si="412"/>
        <v>HI</v>
      </c>
      <c r="F6643" s="369">
        <f>VLOOKUP(C6643,METADATA!$A$5:$H$29,IF(E6643="HI",2,IF(E6643="LO",6,10))+IF(D6643=1,2,IF(D6643=7,1,(IF(WEEKDAY(B6643)=1,2,IF(WEEKDAY(B6643)=7,1,0))))))</f>
        <v>3</v>
      </c>
      <c r="G6643" s="369">
        <f>VLOOKUP(C6643,METADATA!$J$5:$Q$29,IF(E6643="HI",2,IF(E6643="LO",6,10))+IF(D6643=1,2,IF(D6643=7,1,(IF(WEEKDAY(B6643)=1,2,IF(WEEKDAY(B6643)=7,1,0))))))</f>
        <v>3</v>
      </c>
      <c r="H6643" s="370">
        <v>13593.224853515625</v>
      </c>
      <c r="I6643" s="370">
        <v>4475.7000122070313</v>
      </c>
      <c r="M6643" s="371">
        <f t="shared" si="413"/>
        <v>14311.102421459533</v>
      </c>
      <c r="N6643" s="329">
        <f t="shared" si="414"/>
        <v>397.73255615234393</v>
      </c>
      <c r="T6643" s="331">
        <v>0</v>
      </c>
      <c r="U6643" s="328">
        <f>VLOOKUP(C6643,METADATA!$J$5:$Q$29,IF(E6643="HI",2,IF(E6643="LO",6,10))+IF(T6643=1,2,IF(D6643=7,1,(IF(WEEKDAY(B6643)=1,2,IF(WEEKDAY(B6643)=7,1,0))))))</f>
        <v>3</v>
      </c>
      <c r="V6643" s="328">
        <f>VLOOKUP(C6643,METADATA!$A$5:$H$29,IF(E6643="HI",2,IF(E6643="LO",6,10))+IF(T6643=1,2,IF(D6643=7,1,(IF(WEEKDAY(B6643)=1,2,IF(WEEKDAY(B6643)=7,1,0))))))</f>
        <v>3</v>
      </c>
    </row>
    <row r="6644" spans="2:22">
      <c r="B6644" s="318">
        <f t="shared" si="415"/>
        <v>46389</v>
      </c>
      <c r="C6644" s="312">
        <v>16</v>
      </c>
      <c r="D6644" s="368">
        <f>IFERROR((INDEX(METADATA!$T$2:$T$20,MATCH(B6644,METADATA!$S$2:$S$20,0))),0)</f>
        <v>0</v>
      </c>
      <c r="E6644" s="312" t="str">
        <f t="shared" si="412"/>
        <v>HI</v>
      </c>
      <c r="F6644" s="369">
        <f>VLOOKUP(C6644,METADATA!$A$5:$H$29,IF(E6644="HI",2,IF(E6644="LO",6,10))+IF(D6644=1,2,IF(D6644=7,1,(IF(WEEKDAY(B6644)=1,2,IF(WEEKDAY(B6644)=7,1,0))))))</f>
        <v>3</v>
      </c>
      <c r="G6644" s="369">
        <f>VLOOKUP(C6644,METADATA!$J$5:$Q$29,IF(E6644="HI",2,IF(E6644="LO",6,10))+IF(D6644=1,2,IF(D6644=7,1,(IF(WEEKDAY(B6644)=1,2,IF(WEEKDAY(B6644)=7,1,0))))))</f>
        <v>3</v>
      </c>
      <c r="H6644" s="370">
        <v>13493.899780273438</v>
      </c>
      <c r="I6644" s="370">
        <v>4491.0299072265625</v>
      </c>
      <c r="M6644" s="371">
        <f t="shared" si="413"/>
        <v>14221.627224325173</v>
      </c>
      <c r="N6644" s="329">
        <f t="shared" si="414"/>
        <v>442.85997314453152</v>
      </c>
      <c r="T6644" s="331">
        <v>0</v>
      </c>
      <c r="U6644" s="328">
        <f>VLOOKUP(C6644,METADATA!$J$5:$Q$29,IF(E6644="HI",2,IF(E6644="LO",6,10))+IF(T6644=1,2,IF(D6644=7,1,(IF(WEEKDAY(B6644)=1,2,IF(WEEKDAY(B6644)=7,1,0))))))</f>
        <v>3</v>
      </c>
      <c r="V6644" s="328">
        <f>VLOOKUP(C6644,METADATA!$A$5:$H$29,IF(E6644="HI",2,IF(E6644="LO",6,10))+IF(T6644=1,2,IF(D6644=7,1,(IF(WEEKDAY(B6644)=1,2,IF(WEEKDAY(B6644)=7,1,0))))))</f>
        <v>3</v>
      </c>
    </row>
    <row r="6645" spans="2:22">
      <c r="B6645" s="318">
        <f t="shared" si="415"/>
        <v>46389</v>
      </c>
      <c r="C6645" s="312">
        <v>17</v>
      </c>
      <c r="D6645" s="368">
        <f>IFERROR((INDEX(METADATA!$T$2:$T$20,MATCH(B6645,METADATA!$S$2:$S$20,0))),0)</f>
        <v>0</v>
      </c>
      <c r="E6645" s="312" t="str">
        <f t="shared" si="412"/>
        <v>HI</v>
      </c>
      <c r="F6645" s="369">
        <f>VLOOKUP(C6645,METADATA!$A$5:$H$29,IF(E6645="HI",2,IF(E6645="LO",6,10))+IF(D6645=1,2,IF(D6645=7,1,(IF(WEEKDAY(B6645)=1,2,IF(WEEKDAY(B6645)=7,1,0))))))</f>
        <v>2</v>
      </c>
      <c r="G6645" s="369">
        <f>VLOOKUP(C6645,METADATA!$J$5:$Q$29,IF(E6645="HI",2,IF(E6645="LO",6,10))+IF(D6645=1,2,IF(D6645=7,1,(IF(WEEKDAY(B6645)=1,2,IF(WEEKDAY(B6645)=7,1,0))))))</f>
        <v>2</v>
      </c>
      <c r="H6645" s="370">
        <v>13500.125183105469</v>
      </c>
      <c r="I6645" s="370">
        <v>4433.0799560546875</v>
      </c>
      <c r="M6645" s="371">
        <f t="shared" si="413"/>
        <v>14209.34825585932</v>
      </c>
      <c r="N6645" s="329">
        <f t="shared" si="414"/>
        <v>383.04240112304706</v>
      </c>
      <c r="T6645" s="331">
        <v>0</v>
      </c>
      <c r="U6645" s="328">
        <f>VLOOKUP(C6645,METADATA!$J$5:$Q$29,IF(E6645="HI",2,IF(E6645="LO",6,10))+IF(T6645=1,2,IF(D6645=7,1,(IF(WEEKDAY(B6645)=1,2,IF(WEEKDAY(B6645)=7,1,0))))))</f>
        <v>2</v>
      </c>
      <c r="V6645" s="328">
        <f>VLOOKUP(C6645,METADATA!$A$5:$H$29,IF(E6645="HI",2,IF(E6645="LO",6,10))+IF(T6645=1,2,IF(D6645=7,1,(IF(WEEKDAY(B6645)=1,2,IF(WEEKDAY(B6645)=7,1,0))))))</f>
        <v>2</v>
      </c>
    </row>
    <row r="6646" spans="2:22">
      <c r="B6646" s="318">
        <f t="shared" si="415"/>
        <v>46389</v>
      </c>
      <c r="C6646" s="312">
        <v>18</v>
      </c>
      <c r="D6646" s="368">
        <f>IFERROR((INDEX(METADATA!$T$2:$T$20,MATCH(B6646,METADATA!$S$2:$S$20,0))),0)</f>
        <v>0</v>
      </c>
      <c r="E6646" s="312" t="str">
        <f t="shared" si="412"/>
        <v>HI</v>
      </c>
      <c r="F6646" s="369">
        <f>VLOOKUP(C6646,METADATA!$A$5:$H$29,IF(E6646="HI",2,IF(E6646="LO",6,10))+IF(D6646=1,2,IF(D6646=7,1,(IF(WEEKDAY(B6646)=1,2,IF(WEEKDAY(B6646)=7,1,0))))))</f>
        <v>2</v>
      </c>
      <c r="G6646" s="369">
        <f>VLOOKUP(C6646,METADATA!$J$5:$Q$29,IF(E6646="HI",2,IF(E6646="LO",6,10))+IF(D6646=1,2,IF(D6646=7,1,(IF(WEEKDAY(B6646)=1,2,IF(WEEKDAY(B6646)=7,1,0))))))</f>
        <v>2</v>
      </c>
      <c r="H6646" s="370">
        <v>13485.925048828125</v>
      </c>
      <c r="I6646" s="370">
        <v>4404.8250122070313</v>
      </c>
      <c r="M6646" s="371">
        <f t="shared" si="413"/>
        <v>14187.059519533092</v>
      </c>
      <c r="N6646" s="329">
        <f t="shared" si="414"/>
        <v>359.04749755859393</v>
      </c>
      <c r="T6646" s="331">
        <v>0</v>
      </c>
      <c r="U6646" s="328">
        <f>VLOOKUP(C6646,METADATA!$J$5:$Q$29,IF(E6646="HI",2,IF(E6646="LO",6,10))+IF(T6646=1,2,IF(D6646=7,1,(IF(WEEKDAY(B6646)=1,2,IF(WEEKDAY(B6646)=7,1,0))))))</f>
        <v>2</v>
      </c>
      <c r="V6646" s="328">
        <f>VLOOKUP(C6646,METADATA!$A$5:$H$29,IF(E6646="HI",2,IF(E6646="LO",6,10))+IF(T6646=1,2,IF(D6646=7,1,(IF(WEEKDAY(B6646)=1,2,IF(WEEKDAY(B6646)=7,1,0))))))</f>
        <v>2</v>
      </c>
    </row>
    <row r="6647" spans="2:22">
      <c r="B6647" s="318">
        <f t="shared" si="415"/>
        <v>46389</v>
      </c>
      <c r="C6647" s="312">
        <v>19</v>
      </c>
      <c r="D6647" s="368">
        <f>IFERROR((INDEX(METADATA!$T$2:$T$20,MATCH(B6647,METADATA!$S$2:$S$20,0))),0)</f>
        <v>0</v>
      </c>
      <c r="E6647" s="312" t="str">
        <f t="shared" si="412"/>
        <v>HI</v>
      </c>
      <c r="F6647" s="369">
        <f>VLOOKUP(C6647,METADATA!$A$5:$H$29,IF(E6647="HI",2,IF(E6647="LO",6,10))+IF(D6647=1,2,IF(D6647=7,1,(IF(WEEKDAY(B6647)=1,2,IF(WEEKDAY(B6647)=7,1,0))))))</f>
        <v>3</v>
      </c>
      <c r="G6647" s="369">
        <f>VLOOKUP(C6647,METADATA!$J$5:$Q$29,IF(E6647="HI",2,IF(E6647="LO",6,10))+IF(D6647=1,2,IF(D6647=7,1,(IF(WEEKDAY(B6647)=1,2,IF(WEEKDAY(B6647)=7,1,0))))))</f>
        <v>3</v>
      </c>
      <c r="H6647" s="370">
        <v>13440.024780273438</v>
      </c>
      <c r="I6647" s="370">
        <v>4386.074951171875</v>
      </c>
      <c r="M6647" s="371">
        <f t="shared" si="413"/>
        <v>14137.606571540369</v>
      </c>
      <c r="N6647" s="329">
        <f t="shared" si="414"/>
        <v>354.06751708984393</v>
      </c>
      <c r="T6647" s="331">
        <v>0</v>
      </c>
      <c r="U6647" s="328">
        <f>VLOOKUP(C6647,METADATA!$J$5:$Q$29,IF(E6647="HI",2,IF(E6647="LO",6,10))+IF(T6647=1,2,IF(D6647=7,1,(IF(WEEKDAY(B6647)=1,2,IF(WEEKDAY(B6647)=7,1,0))))))</f>
        <v>3</v>
      </c>
      <c r="V6647" s="328">
        <f>VLOOKUP(C6647,METADATA!$A$5:$H$29,IF(E6647="HI",2,IF(E6647="LO",6,10))+IF(T6647=1,2,IF(D6647=7,1,(IF(WEEKDAY(B6647)=1,2,IF(WEEKDAY(B6647)=7,1,0))))))</f>
        <v>3</v>
      </c>
    </row>
    <row r="6648" spans="2:22">
      <c r="B6648" s="318">
        <f t="shared" si="415"/>
        <v>46389</v>
      </c>
      <c r="C6648" s="312">
        <v>20</v>
      </c>
      <c r="D6648" s="368">
        <f>IFERROR((INDEX(METADATA!$T$2:$T$20,MATCH(B6648,METADATA!$S$2:$S$20,0))),0)</f>
        <v>0</v>
      </c>
      <c r="E6648" s="312" t="str">
        <f t="shared" si="412"/>
        <v>HI</v>
      </c>
      <c r="F6648" s="369">
        <f>VLOOKUP(C6648,METADATA!$A$5:$H$29,IF(E6648="HI",2,IF(E6648="LO",6,10))+IF(D6648=1,2,IF(D6648=7,1,(IF(WEEKDAY(B6648)=1,2,IF(WEEKDAY(B6648)=7,1,0))))))</f>
        <v>3</v>
      </c>
      <c r="G6648" s="369">
        <f>VLOOKUP(C6648,METADATA!$J$5:$Q$29,IF(E6648="HI",2,IF(E6648="LO",6,10))+IF(D6648=1,2,IF(D6648=7,1,(IF(WEEKDAY(B6648)=1,2,IF(WEEKDAY(B6648)=7,1,0))))))</f>
        <v>3</v>
      </c>
      <c r="H6648" s="370">
        <v>12426.175415039063</v>
      </c>
      <c r="I6648" s="370">
        <v>3667.4424743652344</v>
      </c>
      <c r="M6648" s="371">
        <f t="shared" si="413"/>
        <v>12956.0784864904</v>
      </c>
      <c r="N6648" s="329">
        <f t="shared" si="414"/>
        <v>0</v>
      </c>
      <c r="T6648" s="331">
        <v>0</v>
      </c>
      <c r="U6648" s="328">
        <f>VLOOKUP(C6648,METADATA!$J$5:$Q$29,IF(E6648="HI",2,IF(E6648="LO",6,10))+IF(T6648=1,2,IF(D6648=7,1,(IF(WEEKDAY(B6648)=1,2,IF(WEEKDAY(B6648)=7,1,0))))))</f>
        <v>3</v>
      </c>
      <c r="V6648" s="328">
        <f>VLOOKUP(C6648,METADATA!$A$5:$H$29,IF(E6648="HI",2,IF(E6648="LO",6,10))+IF(T6648=1,2,IF(D6648=7,1,(IF(WEEKDAY(B6648)=1,2,IF(WEEKDAY(B6648)=7,1,0))))))</f>
        <v>3</v>
      </c>
    </row>
    <row r="6649" spans="2:22">
      <c r="B6649" s="318">
        <f t="shared" si="415"/>
        <v>46389</v>
      </c>
      <c r="C6649" s="312">
        <v>21</v>
      </c>
      <c r="D6649" s="368">
        <f>IFERROR((INDEX(METADATA!$T$2:$T$20,MATCH(B6649,METADATA!$S$2:$S$20,0))),0)</f>
        <v>0</v>
      </c>
      <c r="E6649" s="312" t="str">
        <f t="shared" si="412"/>
        <v>HI</v>
      </c>
      <c r="F6649" s="369">
        <f>VLOOKUP(C6649,METADATA!$A$5:$H$29,IF(E6649="HI",2,IF(E6649="LO",6,10))+IF(D6649=1,2,IF(D6649=7,1,(IF(WEEKDAY(B6649)=1,2,IF(WEEKDAY(B6649)=7,1,0))))))</f>
        <v>3</v>
      </c>
      <c r="G6649" s="369">
        <f>VLOOKUP(C6649,METADATA!$J$5:$Q$29,IF(E6649="HI",2,IF(E6649="LO",6,10))+IF(D6649=1,2,IF(D6649=7,1,(IF(WEEKDAY(B6649)=1,2,IF(WEEKDAY(B6649)=7,1,0))))))</f>
        <v>3</v>
      </c>
      <c r="H6649" s="370">
        <v>11665.7001953125</v>
      </c>
      <c r="I6649" s="370">
        <v>3370.6799926757813</v>
      </c>
      <c r="M6649" s="371">
        <f t="shared" si="413"/>
        <v>12142.900998523332</v>
      </c>
      <c r="N6649" s="329">
        <f t="shared" si="414"/>
        <v>0</v>
      </c>
      <c r="T6649" s="331">
        <v>0</v>
      </c>
      <c r="U6649" s="328">
        <f>VLOOKUP(C6649,METADATA!$J$5:$Q$29,IF(E6649="HI",2,IF(E6649="LO",6,10))+IF(T6649=1,2,IF(D6649=7,1,(IF(WEEKDAY(B6649)=1,2,IF(WEEKDAY(B6649)=7,1,0))))))</f>
        <v>3</v>
      </c>
      <c r="V6649" s="328">
        <f>VLOOKUP(C6649,METADATA!$A$5:$H$29,IF(E6649="HI",2,IF(E6649="LO",6,10))+IF(T6649=1,2,IF(D6649=7,1,(IF(WEEKDAY(B6649)=1,2,IF(WEEKDAY(B6649)=7,1,0))))))</f>
        <v>3</v>
      </c>
    </row>
    <row r="6650" spans="2:22">
      <c r="B6650" s="318">
        <f t="shared" si="415"/>
        <v>46389</v>
      </c>
      <c r="C6650" s="312">
        <v>22</v>
      </c>
      <c r="D6650" s="368">
        <f>IFERROR((INDEX(METADATA!$T$2:$T$20,MATCH(B6650,METADATA!$S$2:$S$20,0))),0)</f>
        <v>0</v>
      </c>
      <c r="E6650" s="312" t="str">
        <f t="shared" si="412"/>
        <v>HI</v>
      </c>
      <c r="F6650" s="369">
        <f>VLOOKUP(C6650,METADATA!$A$5:$H$29,IF(E6650="HI",2,IF(E6650="LO",6,10))+IF(D6650=1,2,IF(D6650=7,1,(IF(WEEKDAY(B6650)=1,2,IF(WEEKDAY(B6650)=7,1,0))))))</f>
        <v>3</v>
      </c>
      <c r="G6650" s="369">
        <f>VLOOKUP(C6650,METADATA!$J$5:$Q$29,IF(E6650="HI",2,IF(E6650="LO",6,10))+IF(D6650=1,2,IF(D6650=7,1,(IF(WEEKDAY(B6650)=1,2,IF(WEEKDAY(B6650)=7,1,0))))))</f>
        <v>3</v>
      </c>
      <c r="H6650" s="370">
        <v>13345.374877929688</v>
      </c>
      <c r="I6650" s="370">
        <v>4354.9449768066406</v>
      </c>
      <c r="M6650" s="371">
        <f t="shared" si="413"/>
        <v>14037.969097540079</v>
      </c>
      <c r="N6650" s="329">
        <f t="shared" si="414"/>
        <v>351.33251342773474</v>
      </c>
      <c r="T6650" s="331">
        <v>0</v>
      </c>
      <c r="U6650" s="328">
        <f>VLOOKUP(C6650,METADATA!$J$5:$Q$29,IF(E6650="HI",2,IF(E6650="LO",6,10))+IF(T6650=1,2,IF(D6650=7,1,(IF(WEEKDAY(B6650)=1,2,IF(WEEKDAY(B6650)=7,1,0))))))</f>
        <v>3</v>
      </c>
      <c r="V6650" s="328">
        <f>VLOOKUP(C6650,METADATA!$A$5:$H$29,IF(E6650="HI",2,IF(E6650="LO",6,10))+IF(T6650=1,2,IF(D6650=7,1,(IF(WEEKDAY(B6650)=1,2,IF(WEEKDAY(B6650)=7,1,0))))))</f>
        <v>3</v>
      </c>
    </row>
    <row r="6651" spans="2:22">
      <c r="B6651" s="318">
        <f t="shared" si="415"/>
        <v>46389</v>
      </c>
      <c r="C6651" s="312">
        <v>23</v>
      </c>
      <c r="D6651" s="368">
        <f>IFERROR((INDEX(METADATA!$T$2:$T$20,MATCH(B6651,METADATA!$S$2:$S$20,0))),0)</f>
        <v>0</v>
      </c>
      <c r="E6651" s="312" t="str">
        <f t="shared" si="412"/>
        <v>HI</v>
      </c>
      <c r="F6651" s="369">
        <f>VLOOKUP(C6651,METADATA!$A$5:$H$29,IF(E6651="HI",2,IF(E6651="LO",6,10))+IF(D6651=1,2,IF(D6651=7,1,(IF(WEEKDAY(B6651)=1,2,IF(WEEKDAY(B6651)=7,1,0))))))</f>
        <v>3</v>
      </c>
      <c r="G6651" s="369">
        <f>VLOOKUP(C6651,METADATA!$J$5:$Q$29,IF(E6651="HI",2,IF(E6651="LO",6,10))+IF(D6651=1,2,IF(D6651=7,1,(IF(WEEKDAY(B6651)=1,2,IF(WEEKDAY(B6651)=7,1,0))))))</f>
        <v>3</v>
      </c>
      <c r="H6651" s="370">
        <v>13514.00048828125</v>
      </c>
      <c r="I6651" s="370">
        <v>4390.5199584960938</v>
      </c>
      <c r="M6651" s="371">
        <f t="shared" si="413"/>
        <v>14209.323513215482</v>
      </c>
      <c r="N6651" s="329">
        <f t="shared" si="414"/>
        <v>336.31981201171902</v>
      </c>
      <c r="T6651" s="331">
        <v>0</v>
      </c>
      <c r="U6651" s="328">
        <f>VLOOKUP(C6651,METADATA!$J$5:$Q$29,IF(E6651="HI",2,IF(E6651="LO",6,10))+IF(T6651=1,2,IF(D6651=7,1,(IF(WEEKDAY(B6651)=1,2,IF(WEEKDAY(B6651)=7,1,0))))))</f>
        <v>3</v>
      </c>
      <c r="V6651" s="328">
        <f>VLOOKUP(C6651,METADATA!$A$5:$H$29,IF(E6651="HI",2,IF(E6651="LO",6,10))+IF(T6651=1,2,IF(D6651=7,1,(IF(WEEKDAY(B6651)=1,2,IF(WEEKDAY(B6651)=7,1,0))))))</f>
        <v>3</v>
      </c>
    </row>
    <row r="6652" spans="2:22">
      <c r="B6652" s="318">
        <f t="shared" si="415"/>
        <v>46390</v>
      </c>
      <c r="C6652" s="312">
        <v>0</v>
      </c>
      <c r="D6652" s="368">
        <f>IFERROR((INDEX(METADATA!$T$2:$T$20,MATCH(B6652,METADATA!$S$2:$S$20,0))),0)</f>
        <v>0</v>
      </c>
      <c r="E6652" s="312" t="str">
        <f t="shared" si="412"/>
        <v>HI</v>
      </c>
      <c r="F6652" s="369">
        <f>VLOOKUP(C6652,METADATA!$A$5:$H$29,IF(E6652="HI",2,IF(E6652="LO",6,10))+IF(D6652=1,2,IF(D6652=7,1,(IF(WEEKDAY(B6652)=1,2,IF(WEEKDAY(B6652)=7,1,0))))))</f>
        <v>3</v>
      </c>
      <c r="G6652" s="369">
        <f>VLOOKUP(C6652,METADATA!$J$5:$Q$29,IF(E6652="HI",2,IF(E6652="LO",6,10))+IF(D6652=1,2,IF(D6652=7,1,(IF(WEEKDAY(B6652)=1,2,IF(WEEKDAY(B6652)=7,1,0))))))</f>
        <v>3</v>
      </c>
      <c r="H6652" s="370">
        <v>13486.474731445313</v>
      </c>
      <c r="I6652" s="370">
        <v>4450.094970703125</v>
      </c>
      <c r="M6652" s="371">
        <f t="shared" si="413"/>
        <v>14201.702219459121</v>
      </c>
      <c r="N6652" s="329">
        <f t="shared" si="414"/>
        <v>404.15255126953161</v>
      </c>
      <c r="T6652" s="331">
        <v>0</v>
      </c>
      <c r="U6652" s="328">
        <f>VLOOKUP(C6652,METADATA!$J$5:$Q$29,IF(E6652="HI",2,IF(E6652="LO",6,10))+IF(T6652=1,2,IF(D6652=7,1,(IF(WEEKDAY(B6652)=1,2,IF(WEEKDAY(B6652)=7,1,0))))))</f>
        <v>3</v>
      </c>
      <c r="V6652" s="328">
        <f>VLOOKUP(C6652,METADATA!$A$5:$H$29,IF(E6652="HI",2,IF(E6652="LO",6,10))+IF(T6652=1,2,IF(D6652=7,1,(IF(WEEKDAY(B6652)=1,2,IF(WEEKDAY(B6652)=7,1,0))))))</f>
        <v>3</v>
      </c>
    </row>
    <row r="6653" spans="2:22">
      <c r="B6653" s="318">
        <f t="shared" si="415"/>
        <v>46390</v>
      </c>
      <c r="C6653" s="312">
        <v>1</v>
      </c>
      <c r="D6653" s="368">
        <f>IFERROR((INDEX(METADATA!$T$2:$T$20,MATCH(B6653,METADATA!$S$2:$S$20,0))),0)</f>
        <v>0</v>
      </c>
      <c r="E6653" s="312" t="str">
        <f t="shared" si="412"/>
        <v>HI</v>
      </c>
      <c r="F6653" s="369">
        <f>VLOOKUP(C6653,METADATA!$A$5:$H$29,IF(E6653="HI",2,IF(E6653="LO",6,10))+IF(D6653=1,2,IF(D6653=7,1,(IF(WEEKDAY(B6653)=1,2,IF(WEEKDAY(B6653)=7,1,0))))))</f>
        <v>3</v>
      </c>
      <c r="G6653" s="369">
        <f>VLOOKUP(C6653,METADATA!$J$5:$Q$29,IF(E6653="HI",2,IF(E6653="LO",6,10))+IF(D6653=1,2,IF(D6653=7,1,(IF(WEEKDAY(B6653)=1,2,IF(WEEKDAY(B6653)=7,1,0))))))</f>
        <v>3</v>
      </c>
      <c r="H6653" s="370">
        <v>13540.207580566406</v>
      </c>
      <c r="I6653" s="370">
        <v>4370.3524169921875</v>
      </c>
      <c r="M6653" s="371">
        <f t="shared" si="413"/>
        <v>14228.042787872737</v>
      </c>
      <c r="N6653" s="329">
        <f t="shared" si="414"/>
        <v>308.29014282226581</v>
      </c>
      <c r="T6653" s="331">
        <v>0</v>
      </c>
      <c r="U6653" s="328">
        <f>VLOOKUP(C6653,METADATA!$J$5:$Q$29,IF(E6653="HI",2,IF(E6653="LO",6,10))+IF(T6653=1,2,IF(D6653=7,1,(IF(WEEKDAY(B6653)=1,2,IF(WEEKDAY(B6653)=7,1,0))))))</f>
        <v>3</v>
      </c>
      <c r="V6653" s="328">
        <f>VLOOKUP(C6653,METADATA!$A$5:$H$29,IF(E6653="HI",2,IF(E6653="LO",6,10))+IF(T6653=1,2,IF(D6653=7,1,(IF(WEEKDAY(B6653)=1,2,IF(WEEKDAY(B6653)=7,1,0))))))</f>
        <v>3</v>
      </c>
    </row>
    <row r="6654" spans="2:22">
      <c r="B6654" s="318">
        <f t="shared" si="415"/>
        <v>46390</v>
      </c>
      <c r="C6654" s="312">
        <v>2</v>
      </c>
      <c r="D6654" s="368">
        <f>IFERROR((INDEX(METADATA!$T$2:$T$20,MATCH(B6654,METADATA!$S$2:$S$20,0))),0)</f>
        <v>0</v>
      </c>
      <c r="E6654" s="312" t="str">
        <f t="shared" si="412"/>
        <v>HI</v>
      </c>
      <c r="F6654" s="369">
        <f>VLOOKUP(C6654,METADATA!$A$5:$H$29,IF(E6654="HI",2,IF(E6654="LO",6,10))+IF(D6654=1,2,IF(D6654=7,1,(IF(WEEKDAY(B6654)=1,2,IF(WEEKDAY(B6654)=7,1,0))))))</f>
        <v>3</v>
      </c>
      <c r="G6654" s="369">
        <f>VLOOKUP(C6654,METADATA!$J$5:$Q$29,IF(E6654="HI",2,IF(E6654="LO",6,10))+IF(D6654=1,2,IF(D6654=7,1,(IF(WEEKDAY(B6654)=1,2,IF(WEEKDAY(B6654)=7,1,0))))))</f>
        <v>3</v>
      </c>
      <c r="H6654" s="370">
        <v>13587.725402832031</v>
      </c>
      <c r="I6654" s="370">
        <v>4447.5849914550781</v>
      </c>
      <c r="M6654" s="371">
        <f t="shared" si="413"/>
        <v>14297.107885127794</v>
      </c>
      <c r="N6654" s="329">
        <f t="shared" si="414"/>
        <v>371.26737060546884</v>
      </c>
      <c r="T6654" s="331">
        <v>0</v>
      </c>
      <c r="U6654" s="328">
        <f>VLOOKUP(C6654,METADATA!$J$5:$Q$29,IF(E6654="HI",2,IF(E6654="LO",6,10))+IF(T6654=1,2,IF(D6654=7,1,(IF(WEEKDAY(B6654)=1,2,IF(WEEKDAY(B6654)=7,1,0))))))</f>
        <v>3</v>
      </c>
      <c r="V6654" s="328">
        <f>VLOOKUP(C6654,METADATA!$A$5:$H$29,IF(E6654="HI",2,IF(E6654="LO",6,10))+IF(T6654=1,2,IF(D6654=7,1,(IF(WEEKDAY(B6654)=1,2,IF(WEEKDAY(B6654)=7,1,0))))))</f>
        <v>3</v>
      </c>
    </row>
    <row r="6655" spans="2:22">
      <c r="B6655" s="318">
        <f t="shared" si="415"/>
        <v>46390</v>
      </c>
      <c r="C6655" s="312">
        <v>3</v>
      </c>
      <c r="D6655" s="368">
        <f>IFERROR((INDEX(METADATA!$T$2:$T$20,MATCH(B6655,METADATA!$S$2:$S$20,0))),0)</f>
        <v>0</v>
      </c>
      <c r="E6655" s="312" t="str">
        <f t="shared" si="412"/>
        <v>HI</v>
      </c>
      <c r="F6655" s="369">
        <f>VLOOKUP(C6655,METADATA!$A$5:$H$29,IF(E6655="HI",2,IF(E6655="LO",6,10))+IF(D6655=1,2,IF(D6655=7,1,(IF(WEEKDAY(B6655)=1,2,IF(WEEKDAY(B6655)=7,1,0))))))</f>
        <v>3</v>
      </c>
      <c r="G6655" s="369">
        <f>VLOOKUP(C6655,METADATA!$J$5:$Q$29,IF(E6655="HI",2,IF(E6655="LO",6,10))+IF(D6655=1,2,IF(D6655=7,1,(IF(WEEKDAY(B6655)=1,2,IF(WEEKDAY(B6655)=7,1,0))))))</f>
        <v>3</v>
      </c>
      <c r="H6655" s="370">
        <v>13381.474914550781</v>
      </c>
      <c r="I6655" s="370">
        <v>4399.0249938964844</v>
      </c>
      <c r="M6655" s="371">
        <f t="shared" si="413"/>
        <v>14085.996300783192</v>
      </c>
      <c r="N6655" s="329">
        <f t="shared" si="414"/>
        <v>384.58251953125</v>
      </c>
      <c r="T6655" s="331">
        <v>0</v>
      </c>
      <c r="U6655" s="328">
        <f>VLOOKUP(C6655,METADATA!$J$5:$Q$29,IF(E6655="HI",2,IF(E6655="LO",6,10))+IF(T6655=1,2,IF(D6655=7,1,(IF(WEEKDAY(B6655)=1,2,IF(WEEKDAY(B6655)=7,1,0))))))</f>
        <v>3</v>
      </c>
      <c r="V6655" s="328">
        <f>VLOOKUP(C6655,METADATA!$A$5:$H$29,IF(E6655="HI",2,IF(E6655="LO",6,10))+IF(T6655=1,2,IF(D6655=7,1,(IF(WEEKDAY(B6655)=1,2,IF(WEEKDAY(B6655)=7,1,0))))))</f>
        <v>3</v>
      </c>
    </row>
    <row r="6656" spans="2:22">
      <c r="B6656" s="318">
        <f t="shared" si="415"/>
        <v>46390</v>
      </c>
      <c r="C6656" s="312">
        <v>4</v>
      </c>
      <c r="D6656" s="368">
        <f>IFERROR((INDEX(METADATA!$T$2:$T$20,MATCH(B6656,METADATA!$S$2:$S$20,0))),0)</f>
        <v>0</v>
      </c>
      <c r="E6656" s="312" t="str">
        <f t="shared" si="412"/>
        <v>HI</v>
      </c>
      <c r="F6656" s="369">
        <f>VLOOKUP(C6656,METADATA!$A$5:$H$29,IF(E6656="HI",2,IF(E6656="LO",6,10))+IF(D6656=1,2,IF(D6656=7,1,(IF(WEEKDAY(B6656)=1,2,IF(WEEKDAY(B6656)=7,1,0))))))</f>
        <v>3</v>
      </c>
      <c r="G6656" s="369">
        <f>VLOOKUP(C6656,METADATA!$J$5:$Q$29,IF(E6656="HI",2,IF(E6656="LO",6,10))+IF(D6656=1,2,IF(D6656=7,1,(IF(WEEKDAY(B6656)=1,2,IF(WEEKDAY(B6656)=7,1,0))))))</f>
        <v>3</v>
      </c>
      <c r="H6656" s="370">
        <v>13470.699890136719</v>
      </c>
      <c r="I6656" s="370">
        <v>4430.8600463867188</v>
      </c>
      <c r="M6656" s="371">
        <f t="shared" si="413"/>
        <v>14180.700838844163</v>
      </c>
      <c r="N6656" s="329">
        <f t="shared" si="414"/>
        <v>389.65007934570349</v>
      </c>
      <c r="T6656" s="331">
        <v>0</v>
      </c>
      <c r="U6656" s="328">
        <f>VLOOKUP(C6656,METADATA!$J$5:$Q$29,IF(E6656="HI",2,IF(E6656="LO",6,10))+IF(T6656=1,2,IF(D6656=7,1,(IF(WEEKDAY(B6656)=1,2,IF(WEEKDAY(B6656)=7,1,0))))))</f>
        <v>3</v>
      </c>
      <c r="V6656" s="328">
        <f>VLOOKUP(C6656,METADATA!$A$5:$H$29,IF(E6656="HI",2,IF(E6656="LO",6,10))+IF(T6656=1,2,IF(D6656=7,1,(IF(WEEKDAY(B6656)=1,2,IF(WEEKDAY(B6656)=7,1,0))))))</f>
        <v>3</v>
      </c>
    </row>
    <row r="6657" spans="2:22">
      <c r="B6657" s="318">
        <f t="shared" si="415"/>
        <v>46390</v>
      </c>
      <c r="C6657" s="312">
        <v>5</v>
      </c>
      <c r="D6657" s="368">
        <f>IFERROR((INDEX(METADATA!$T$2:$T$20,MATCH(B6657,METADATA!$S$2:$S$20,0))),0)</f>
        <v>0</v>
      </c>
      <c r="E6657" s="312" t="str">
        <f t="shared" si="412"/>
        <v>HI</v>
      </c>
      <c r="F6657" s="369">
        <f>VLOOKUP(C6657,METADATA!$A$5:$H$29,IF(E6657="HI",2,IF(E6657="LO",6,10))+IF(D6657=1,2,IF(D6657=7,1,(IF(WEEKDAY(B6657)=1,2,IF(WEEKDAY(B6657)=7,1,0))))))</f>
        <v>3</v>
      </c>
      <c r="G6657" s="369">
        <f>VLOOKUP(C6657,METADATA!$J$5:$Q$29,IF(E6657="HI",2,IF(E6657="LO",6,10))+IF(D6657=1,2,IF(D6657=7,1,(IF(WEEKDAY(B6657)=1,2,IF(WEEKDAY(B6657)=7,1,0))))))</f>
        <v>3</v>
      </c>
      <c r="H6657" s="370">
        <v>13492.050354003906</v>
      </c>
      <c r="I6657" s="370">
        <v>4300.6849060058594</v>
      </c>
      <c r="M6657" s="371">
        <f t="shared" si="413"/>
        <v>14160.907930486786</v>
      </c>
      <c r="N6657" s="329">
        <f t="shared" si="414"/>
        <v>253.06979980468759</v>
      </c>
      <c r="T6657" s="331">
        <v>0</v>
      </c>
      <c r="U6657" s="328">
        <f>VLOOKUP(C6657,METADATA!$J$5:$Q$29,IF(E6657="HI",2,IF(E6657="LO",6,10))+IF(T6657=1,2,IF(D6657=7,1,(IF(WEEKDAY(B6657)=1,2,IF(WEEKDAY(B6657)=7,1,0))))))</f>
        <v>3</v>
      </c>
      <c r="V6657" s="328">
        <f>VLOOKUP(C6657,METADATA!$A$5:$H$29,IF(E6657="HI",2,IF(E6657="LO",6,10))+IF(T6657=1,2,IF(D6657=7,1,(IF(WEEKDAY(B6657)=1,2,IF(WEEKDAY(B6657)=7,1,0))))))</f>
        <v>3</v>
      </c>
    </row>
    <row r="6658" spans="2:22">
      <c r="B6658" s="318">
        <f t="shared" si="415"/>
        <v>46390</v>
      </c>
      <c r="C6658" s="312">
        <v>6</v>
      </c>
      <c r="D6658" s="368">
        <f>IFERROR((INDEX(METADATA!$T$2:$T$20,MATCH(B6658,METADATA!$S$2:$S$20,0))),0)</f>
        <v>0</v>
      </c>
      <c r="E6658" s="312" t="str">
        <f t="shared" si="412"/>
        <v>HI</v>
      </c>
      <c r="F6658" s="369">
        <f>VLOOKUP(C6658,METADATA!$A$5:$H$29,IF(E6658="HI",2,IF(E6658="LO",6,10))+IF(D6658=1,2,IF(D6658=7,1,(IF(WEEKDAY(B6658)=1,2,IF(WEEKDAY(B6658)=7,1,0))))))</f>
        <v>3</v>
      </c>
      <c r="G6658" s="369">
        <f>VLOOKUP(C6658,METADATA!$J$5:$Q$29,IF(E6658="HI",2,IF(E6658="LO",6,10))+IF(D6658=1,2,IF(D6658=7,1,(IF(WEEKDAY(B6658)=1,2,IF(WEEKDAY(B6658)=7,1,0))))))</f>
        <v>3</v>
      </c>
      <c r="H6658" s="370">
        <v>13557.450256347656</v>
      </c>
      <c r="I6658" s="370">
        <v>4259.1600341796875</v>
      </c>
      <c r="M6658" s="371">
        <f t="shared" si="413"/>
        <v>14210.731918169966</v>
      </c>
      <c r="N6658" s="329">
        <f t="shared" si="414"/>
        <v>191.92495727539063</v>
      </c>
      <c r="T6658" s="331">
        <v>0</v>
      </c>
      <c r="U6658" s="328">
        <f>VLOOKUP(C6658,METADATA!$J$5:$Q$29,IF(E6658="HI",2,IF(E6658="LO",6,10))+IF(T6658=1,2,IF(D6658=7,1,(IF(WEEKDAY(B6658)=1,2,IF(WEEKDAY(B6658)=7,1,0))))))</f>
        <v>3</v>
      </c>
      <c r="V6658" s="328">
        <f>VLOOKUP(C6658,METADATA!$A$5:$H$29,IF(E6658="HI",2,IF(E6658="LO",6,10))+IF(T6658=1,2,IF(D6658=7,1,(IF(WEEKDAY(B6658)=1,2,IF(WEEKDAY(B6658)=7,1,0))))))</f>
        <v>3</v>
      </c>
    </row>
    <row r="6659" spans="2:22">
      <c r="B6659" s="318">
        <f t="shared" si="415"/>
        <v>46390</v>
      </c>
      <c r="C6659" s="312">
        <v>7</v>
      </c>
      <c r="D6659" s="368">
        <f>IFERROR((INDEX(METADATA!$T$2:$T$20,MATCH(B6659,METADATA!$S$2:$S$20,0))),0)</f>
        <v>0</v>
      </c>
      <c r="E6659" s="312" t="str">
        <f t="shared" si="412"/>
        <v>HI</v>
      </c>
      <c r="F6659" s="369">
        <f>VLOOKUP(C6659,METADATA!$A$5:$H$29,IF(E6659="HI",2,IF(E6659="LO",6,10))+IF(D6659=1,2,IF(D6659=7,1,(IF(WEEKDAY(B6659)=1,2,IF(WEEKDAY(B6659)=7,1,0))))))</f>
        <v>3</v>
      </c>
      <c r="G6659" s="369">
        <f>VLOOKUP(C6659,METADATA!$J$5:$Q$29,IF(E6659="HI",2,IF(E6659="LO",6,10))+IF(D6659=1,2,IF(D6659=7,1,(IF(WEEKDAY(B6659)=1,2,IF(WEEKDAY(B6659)=7,1,0))))))</f>
        <v>3</v>
      </c>
      <c r="H6659" s="370">
        <v>13624.37451171875</v>
      </c>
      <c r="I6659" s="370">
        <v>4208.429931640625</v>
      </c>
      <c r="M6659" s="371">
        <f t="shared" si="413"/>
        <v>14259.539379836231</v>
      </c>
      <c r="N6659" s="329">
        <f t="shared" si="414"/>
        <v>121.11757812500036</v>
      </c>
      <c r="T6659" s="331">
        <v>0</v>
      </c>
      <c r="U6659" s="328">
        <f>VLOOKUP(C6659,METADATA!$J$5:$Q$29,IF(E6659="HI",2,IF(E6659="LO",6,10))+IF(T6659=1,2,IF(D6659=7,1,(IF(WEEKDAY(B6659)=1,2,IF(WEEKDAY(B6659)=7,1,0))))))</f>
        <v>3</v>
      </c>
      <c r="V6659" s="328">
        <f>VLOOKUP(C6659,METADATA!$A$5:$H$29,IF(E6659="HI",2,IF(E6659="LO",6,10))+IF(T6659=1,2,IF(D6659=7,1,(IF(WEEKDAY(B6659)=1,2,IF(WEEKDAY(B6659)=7,1,0))))))</f>
        <v>3</v>
      </c>
    </row>
    <row r="6660" spans="2:22">
      <c r="B6660" s="318">
        <f t="shared" si="415"/>
        <v>46390</v>
      </c>
      <c r="C6660" s="312">
        <v>8</v>
      </c>
      <c r="D6660" s="368">
        <f>IFERROR((INDEX(METADATA!$T$2:$T$20,MATCH(B6660,METADATA!$S$2:$S$20,0))),0)</f>
        <v>0</v>
      </c>
      <c r="E6660" s="312" t="str">
        <f t="shared" ref="E6660:E6723" si="416">IF(B6660="","",IF(AND(MONTH(B6660)&gt;=MONTH($Z$9),MONTH(B6660)&lt;=MONTH($Z$11)),"HI","LO"))</f>
        <v>HI</v>
      </c>
      <c r="F6660" s="369">
        <f>VLOOKUP(C6660,METADATA!$A$5:$H$29,IF(E6660="HI",2,IF(E6660="LO",6,10))+IF(D6660=1,2,IF(D6660=7,1,(IF(WEEKDAY(B6660)=1,2,IF(WEEKDAY(B6660)=7,1,0))))))</f>
        <v>3</v>
      </c>
      <c r="G6660" s="369">
        <f>VLOOKUP(C6660,METADATA!$J$5:$Q$29,IF(E6660="HI",2,IF(E6660="LO",6,10))+IF(D6660=1,2,IF(D6660=7,1,(IF(WEEKDAY(B6660)=1,2,IF(WEEKDAY(B6660)=7,1,0))))))</f>
        <v>3</v>
      </c>
      <c r="H6660" s="370">
        <v>13241.7998046875</v>
      </c>
      <c r="I6660" s="370">
        <v>4123.5850219726563</v>
      </c>
      <c r="M6660" s="371">
        <f t="shared" ref="M6660:M6723" si="417">SQRT(H6660^2+I6660^2)</f>
        <v>13869.001964844447</v>
      </c>
      <c r="N6660" s="329">
        <f t="shared" ref="N6660:N6723" si="418">IF(H6660=0,0,(IF(I6660-(0.3*H6660)&lt;0,0,(I6660-(0.3*H6660)))))</f>
        <v>151.04508056640634</v>
      </c>
      <c r="T6660" s="331">
        <v>0</v>
      </c>
      <c r="U6660" s="328">
        <f>VLOOKUP(C6660,METADATA!$J$5:$Q$29,IF(E6660="HI",2,IF(E6660="LO",6,10))+IF(T6660=1,2,IF(D6660=7,1,(IF(WEEKDAY(B6660)=1,2,IF(WEEKDAY(B6660)=7,1,0))))))</f>
        <v>3</v>
      </c>
      <c r="V6660" s="328">
        <f>VLOOKUP(C6660,METADATA!$A$5:$H$29,IF(E6660="HI",2,IF(E6660="LO",6,10))+IF(T6660=1,2,IF(D6660=7,1,(IF(WEEKDAY(B6660)=1,2,IF(WEEKDAY(B6660)=7,1,0))))))</f>
        <v>3</v>
      </c>
    </row>
    <row r="6661" spans="2:22">
      <c r="B6661" s="318">
        <f t="shared" si="415"/>
        <v>46390</v>
      </c>
      <c r="C6661" s="312">
        <v>9</v>
      </c>
      <c r="D6661" s="368">
        <f>IFERROR((INDEX(METADATA!$T$2:$T$20,MATCH(B6661,METADATA!$S$2:$S$20,0))),0)</f>
        <v>0</v>
      </c>
      <c r="E6661" s="312" t="str">
        <f t="shared" si="416"/>
        <v>HI</v>
      </c>
      <c r="F6661" s="369">
        <f>VLOOKUP(C6661,METADATA!$A$5:$H$29,IF(E6661="HI",2,IF(E6661="LO",6,10))+IF(D6661=1,2,IF(D6661=7,1,(IF(WEEKDAY(B6661)=1,2,IF(WEEKDAY(B6661)=7,1,0))))))</f>
        <v>3</v>
      </c>
      <c r="G6661" s="369">
        <f>VLOOKUP(C6661,METADATA!$J$5:$Q$29,IF(E6661="HI",2,IF(E6661="LO",6,10))+IF(D6661=1,2,IF(D6661=7,1,(IF(WEEKDAY(B6661)=1,2,IF(WEEKDAY(B6661)=7,1,0))))))</f>
        <v>3</v>
      </c>
      <c r="H6661" s="370">
        <v>13535.399780273438</v>
      </c>
      <c r="I6661" s="370">
        <v>4326.6300048828125</v>
      </c>
      <c r="M6661" s="371">
        <f t="shared" si="417"/>
        <v>14210.09410281925</v>
      </c>
      <c r="N6661" s="329">
        <f t="shared" si="418"/>
        <v>266.01007080078125</v>
      </c>
      <c r="T6661" s="331">
        <v>0</v>
      </c>
      <c r="U6661" s="328">
        <f>VLOOKUP(C6661,METADATA!$J$5:$Q$29,IF(E6661="HI",2,IF(E6661="LO",6,10))+IF(T6661=1,2,IF(D6661=7,1,(IF(WEEKDAY(B6661)=1,2,IF(WEEKDAY(B6661)=7,1,0))))))</f>
        <v>3</v>
      </c>
      <c r="V6661" s="328">
        <f>VLOOKUP(C6661,METADATA!$A$5:$H$29,IF(E6661="HI",2,IF(E6661="LO",6,10))+IF(T6661=1,2,IF(D6661=7,1,(IF(WEEKDAY(B6661)=1,2,IF(WEEKDAY(B6661)=7,1,0))))))</f>
        <v>3</v>
      </c>
    </row>
    <row r="6662" spans="2:22">
      <c r="B6662" s="318">
        <f t="shared" si="415"/>
        <v>46390</v>
      </c>
      <c r="C6662" s="312">
        <v>10</v>
      </c>
      <c r="D6662" s="368">
        <f>IFERROR((INDEX(METADATA!$T$2:$T$20,MATCH(B6662,METADATA!$S$2:$S$20,0))),0)</f>
        <v>0</v>
      </c>
      <c r="E6662" s="312" t="str">
        <f t="shared" si="416"/>
        <v>HI</v>
      </c>
      <c r="F6662" s="369">
        <f>VLOOKUP(C6662,METADATA!$A$5:$H$29,IF(E6662="HI",2,IF(E6662="LO",6,10))+IF(D6662=1,2,IF(D6662=7,1,(IF(WEEKDAY(B6662)=1,2,IF(WEEKDAY(B6662)=7,1,0))))))</f>
        <v>3</v>
      </c>
      <c r="G6662" s="369">
        <f>VLOOKUP(C6662,METADATA!$J$5:$Q$29,IF(E6662="HI",2,IF(E6662="LO",6,10))+IF(D6662=1,2,IF(D6662=7,1,(IF(WEEKDAY(B6662)=1,2,IF(WEEKDAY(B6662)=7,1,0))))))</f>
        <v>3</v>
      </c>
      <c r="H6662" s="370">
        <v>13859.550048828125</v>
      </c>
      <c r="I6662" s="370">
        <v>4442.159912109375</v>
      </c>
      <c r="M6662" s="371">
        <f t="shared" si="417"/>
        <v>14554.03422562704</v>
      </c>
      <c r="N6662" s="329">
        <f t="shared" si="418"/>
        <v>284.29489746093805</v>
      </c>
      <c r="T6662" s="331">
        <v>0</v>
      </c>
      <c r="U6662" s="328">
        <f>VLOOKUP(C6662,METADATA!$J$5:$Q$29,IF(E6662="HI",2,IF(E6662="LO",6,10))+IF(T6662=1,2,IF(D6662=7,1,(IF(WEEKDAY(B6662)=1,2,IF(WEEKDAY(B6662)=7,1,0))))))</f>
        <v>3</v>
      </c>
      <c r="V6662" s="328">
        <f>VLOOKUP(C6662,METADATA!$A$5:$H$29,IF(E6662="HI",2,IF(E6662="LO",6,10))+IF(T6662=1,2,IF(D6662=7,1,(IF(WEEKDAY(B6662)=1,2,IF(WEEKDAY(B6662)=7,1,0))))))</f>
        <v>3</v>
      </c>
    </row>
    <row r="6663" spans="2:22">
      <c r="B6663" s="318">
        <f t="shared" si="415"/>
        <v>46390</v>
      </c>
      <c r="C6663" s="312">
        <v>11</v>
      </c>
      <c r="D6663" s="368">
        <f>IFERROR((INDEX(METADATA!$T$2:$T$20,MATCH(B6663,METADATA!$S$2:$S$20,0))),0)</f>
        <v>0</v>
      </c>
      <c r="E6663" s="312" t="str">
        <f t="shared" si="416"/>
        <v>HI</v>
      </c>
      <c r="F6663" s="369">
        <f>VLOOKUP(C6663,METADATA!$A$5:$H$29,IF(E6663="HI",2,IF(E6663="LO",6,10))+IF(D6663=1,2,IF(D6663=7,1,(IF(WEEKDAY(B6663)=1,2,IF(WEEKDAY(B6663)=7,1,0))))))</f>
        <v>3</v>
      </c>
      <c r="G6663" s="369">
        <f>VLOOKUP(C6663,METADATA!$J$5:$Q$29,IF(E6663="HI",2,IF(E6663="LO",6,10))+IF(D6663=1,2,IF(D6663=7,1,(IF(WEEKDAY(B6663)=1,2,IF(WEEKDAY(B6663)=7,1,0))))))</f>
        <v>3</v>
      </c>
      <c r="H6663" s="370">
        <v>13654.074829101563</v>
      </c>
      <c r="I6663" s="370">
        <v>4276.3399963378906</v>
      </c>
      <c r="M6663" s="371">
        <f t="shared" si="417"/>
        <v>14308.069164041108</v>
      </c>
      <c r="N6663" s="329">
        <f t="shared" si="418"/>
        <v>180.11754760742224</v>
      </c>
      <c r="T6663" s="331">
        <v>0</v>
      </c>
      <c r="U6663" s="328">
        <f>VLOOKUP(C6663,METADATA!$J$5:$Q$29,IF(E6663="HI",2,IF(E6663="LO",6,10))+IF(T6663=1,2,IF(D6663=7,1,(IF(WEEKDAY(B6663)=1,2,IF(WEEKDAY(B6663)=7,1,0))))))</f>
        <v>3</v>
      </c>
      <c r="V6663" s="328">
        <f>VLOOKUP(C6663,METADATA!$A$5:$H$29,IF(E6663="HI",2,IF(E6663="LO",6,10))+IF(T6663=1,2,IF(D6663=7,1,(IF(WEEKDAY(B6663)=1,2,IF(WEEKDAY(B6663)=7,1,0))))))</f>
        <v>3</v>
      </c>
    </row>
    <row r="6664" spans="2:22">
      <c r="B6664" s="318">
        <f t="shared" si="415"/>
        <v>46390</v>
      </c>
      <c r="C6664" s="312">
        <v>12</v>
      </c>
      <c r="D6664" s="368">
        <f>IFERROR((INDEX(METADATA!$T$2:$T$20,MATCH(B6664,METADATA!$S$2:$S$20,0))),0)</f>
        <v>0</v>
      </c>
      <c r="E6664" s="312" t="str">
        <f t="shared" si="416"/>
        <v>HI</v>
      </c>
      <c r="F6664" s="369">
        <f>VLOOKUP(C6664,METADATA!$A$5:$H$29,IF(E6664="HI",2,IF(E6664="LO",6,10))+IF(D6664=1,2,IF(D6664=7,1,(IF(WEEKDAY(B6664)=1,2,IF(WEEKDAY(B6664)=7,1,0))))))</f>
        <v>3</v>
      </c>
      <c r="G6664" s="369">
        <f>VLOOKUP(C6664,METADATA!$J$5:$Q$29,IF(E6664="HI",2,IF(E6664="LO",6,10))+IF(D6664=1,2,IF(D6664=7,1,(IF(WEEKDAY(B6664)=1,2,IF(WEEKDAY(B6664)=7,1,0))))))</f>
        <v>3</v>
      </c>
      <c r="H6664" s="370">
        <v>12476.5751953125</v>
      </c>
      <c r="I6664" s="370">
        <v>3635.4000244140625</v>
      </c>
      <c r="M6664" s="371">
        <f t="shared" si="417"/>
        <v>12995.424654154127</v>
      </c>
      <c r="N6664" s="329">
        <f t="shared" si="418"/>
        <v>0</v>
      </c>
      <c r="T6664" s="331">
        <v>0</v>
      </c>
      <c r="U6664" s="328">
        <f>VLOOKUP(C6664,METADATA!$J$5:$Q$29,IF(E6664="HI",2,IF(E6664="LO",6,10))+IF(T6664=1,2,IF(D6664=7,1,(IF(WEEKDAY(B6664)=1,2,IF(WEEKDAY(B6664)=7,1,0))))))</f>
        <v>3</v>
      </c>
      <c r="V6664" s="328">
        <f>VLOOKUP(C6664,METADATA!$A$5:$H$29,IF(E6664="HI",2,IF(E6664="LO",6,10))+IF(T6664=1,2,IF(D6664=7,1,(IF(WEEKDAY(B6664)=1,2,IF(WEEKDAY(B6664)=7,1,0))))))</f>
        <v>3</v>
      </c>
    </row>
    <row r="6665" spans="2:22">
      <c r="B6665" s="318">
        <f t="shared" si="415"/>
        <v>46390</v>
      </c>
      <c r="C6665" s="312">
        <v>13</v>
      </c>
      <c r="D6665" s="368">
        <f>IFERROR((INDEX(METADATA!$T$2:$T$20,MATCH(B6665,METADATA!$S$2:$S$20,0))),0)</f>
        <v>0</v>
      </c>
      <c r="E6665" s="312" t="str">
        <f t="shared" si="416"/>
        <v>HI</v>
      </c>
      <c r="F6665" s="369">
        <f>VLOOKUP(C6665,METADATA!$A$5:$H$29,IF(E6665="HI",2,IF(E6665="LO",6,10))+IF(D6665=1,2,IF(D6665=7,1,(IF(WEEKDAY(B6665)=1,2,IF(WEEKDAY(B6665)=7,1,0))))))</f>
        <v>3</v>
      </c>
      <c r="G6665" s="369">
        <f>VLOOKUP(C6665,METADATA!$J$5:$Q$29,IF(E6665="HI",2,IF(E6665="LO",6,10))+IF(D6665=1,2,IF(D6665=7,1,(IF(WEEKDAY(B6665)=1,2,IF(WEEKDAY(B6665)=7,1,0))))))</f>
        <v>3</v>
      </c>
      <c r="H6665" s="370">
        <v>11294.89990234375</v>
      </c>
      <c r="I6665" s="370">
        <v>2740.9075317382813</v>
      </c>
      <c r="M6665" s="371">
        <f t="shared" si="417"/>
        <v>11622.707855809871</v>
      </c>
      <c r="N6665" s="329">
        <f t="shared" si="418"/>
        <v>0</v>
      </c>
      <c r="T6665" s="331">
        <v>0</v>
      </c>
      <c r="U6665" s="328">
        <f>VLOOKUP(C6665,METADATA!$J$5:$Q$29,IF(E6665="HI",2,IF(E6665="LO",6,10))+IF(T6665=1,2,IF(D6665=7,1,(IF(WEEKDAY(B6665)=1,2,IF(WEEKDAY(B6665)=7,1,0))))))</f>
        <v>3</v>
      </c>
      <c r="V6665" s="328">
        <f>VLOOKUP(C6665,METADATA!$A$5:$H$29,IF(E6665="HI",2,IF(E6665="LO",6,10))+IF(T6665=1,2,IF(D6665=7,1,(IF(WEEKDAY(B6665)=1,2,IF(WEEKDAY(B6665)=7,1,0))))))</f>
        <v>3</v>
      </c>
    </row>
    <row r="6666" spans="2:22">
      <c r="B6666" s="318">
        <f t="shared" si="415"/>
        <v>46390</v>
      </c>
      <c r="C6666" s="312">
        <v>14</v>
      </c>
      <c r="D6666" s="368">
        <f>IFERROR((INDEX(METADATA!$T$2:$T$20,MATCH(B6666,METADATA!$S$2:$S$20,0))),0)</f>
        <v>0</v>
      </c>
      <c r="E6666" s="312" t="str">
        <f t="shared" si="416"/>
        <v>HI</v>
      </c>
      <c r="F6666" s="369">
        <f>VLOOKUP(C6666,METADATA!$A$5:$H$29,IF(E6666="HI",2,IF(E6666="LO",6,10))+IF(D6666=1,2,IF(D6666=7,1,(IF(WEEKDAY(B6666)=1,2,IF(WEEKDAY(B6666)=7,1,0))))))</f>
        <v>3</v>
      </c>
      <c r="G6666" s="369">
        <f>VLOOKUP(C6666,METADATA!$J$5:$Q$29,IF(E6666="HI",2,IF(E6666="LO",6,10))+IF(D6666=1,2,IF(D6666=7,1,(IF(WEEKDAY(B6666)=1,2,IF(WEEKDAY(B6666)=7,1,0))))))</f>
        <v>3</v>
      </c>
      <c r="H6666" s="370">
        <v>11208.625244140625</v>
      </c>
      <c r="I6666" s="370">
        <v>2901.1399688720703</v>
      </c>
      <c r="M6666" s="371">
        <f t="shared" si="417"/>
        <v>11577.991750842351</v>
      </c>
      <c r="N6666" s="329">
        <f t="shared" si="418"/>
        <v>0</v>
      </c>
      <c r="T6666" s="331">
        <v>0</v>
      </c>
      <c r="U6666" s="328">
        <f>VLOOKUP(C6666,METADATA!$J$5:$Q$29,IF(E6666="HI",2,IF(E6666="LO",6,10))+IF(T6666=1,2,IF(D6666=7,1,(IF(WEEKDAY(B6666)=1,2,IF(WEEKDAY(B6666)=7,1,0))))))</f>
        <v>3</v>
      </c>
      <c r="V6666" s="328">
        <f>VLOOKUP(C6666,METADATA!$A$5:$H$29,IF(E6666="HI",2,IF(E6666="LO",6,10))+IF(T6666=1,2,IF(D6666=7,1,(IF(WEEKDAY(B6666)=1,2,IF(WEEKDAY(B6666)=7,1,0))))))</f>
        <v>3</v>
      </c>
    </row>
    <row r="6667" spans="2:22">
      <c r="B6667" s="318">
        <f t="shared" si="415"/>
        <v>46390</v>
      </c>
      <c r="C6667" s="312">
        <v>15</v>
      </c>
      <c r="D6667" s="368">
        <f>IFERROR((INDEX(METADATA!$T$2:$T$20,MATCH(B6667,METADATA!$S$2:$S$20,0))),0)</f>
        <v>0</v>
      </c>
      <c r="E6667" s="312" t="str">
        <f t="shared" si="416"/>
        <v>HI</v>
      </c>
      <c r="F6667" s="369">
        <f>VLOOKUP(C6667,METADATA!$A$5:$H$29,IF(E6667="HI",2,IF(E6667="LO",6,10))+IF(D6667=1,2,IF(D6667=7,1,(IF(WEEKDAY(B6667)=1,2,IF(WEEKDAY(B6667)=7,1,0))))))</f>
        <v>3</v>
      </c>
      <c r="G6667" s="369">
        <f>VLOOKUP(C6667,METADATA!$J$5:$Q$29,IF(E6667="HI",2,IF(E6667="LO",6,10))+IF(D6667=1,2,IF(D6667=7,1,(IF(WEEKDAY(B6667)=1,2,IF(WEEKDAY(B6667)=7,1,0))))))</f>
        <v>3</v>
      </c>
      <c r="H6667" s="370">
        <v>12602.299438476563</v>
      </c>
      <c r="I6667" s="370">
        <v>4074.7550048828125</v>
      </c>
      <c r="M6667" s="371">
        <f t="shared" si="417"/>
        <v>13244.681177244101</v>
      </c>
      <c r="N6667" s="329">
        <f t="shared" si="418"/>
        <v>294.06517333984402</v>
      </c>
      <c r="T6667" s="331">
        <v>0</v>
      </c>
      <c r="U6667" s="328">
        <f>VLOOKUP(C6667,METADATA!$J$5:$Q$29,IF(E6667="HI",2,IF(E6667="LO",6,10))+IF(T6667=1,2,IF(D6667=7,1,(IF(WEEKDAY(B6667)=1,2,IF(WEEKDAY(B6667)=7,1,0))))))</f>
        <v>3</v>
      </c>
      <c r="V6667" s="328">
        <f>VLOOKUP(C6667,METADATA!$A$5:$H$29,IF(E6667="HI",2,IF(E6667="LO",6,10))+IF(T6667=1,2,IF(D6667=7,1,(IF(WEEKDAY(B6667)=1,2,IF(WEEKDAY(B6667)=7,1,0))))))</f>
        <v>3</v>
      </c>
    </row>
    <row r="6668" spans="2:22">
      <c r="B6668" s="318">
        <f t="shared" si="415"/>
        <v>46390</v>
      </c>
      <c r="C6668" s="312">
        <v>16</v>
      </c>
      <c r="D6668" s="368">
        <f>IFERROR((INDEX(METADATA!$T$2:$T$20,MATCH(B6668,METADATA!$S$2:$S$20,0))),0)</f>
        <v>0</v>
      </c>
      <c r="E6668" s="312" t="str">
        <f t="shared" si="416"/>
        <v>HI</v>
      </c>
      <c r="F6668" s="369">
        <f>VLOOKUP(C6668,METADATA!$A$5:$H$29,IF(E6668="HI",2,IF(E6668="LO",6,10))+IF(D6668=1,2,IF(D6668=7,1,(IF(WEEKDAY(B6668)=1,2,IF(WEEKDAY(B6668)=7,1,0))))))</f>
        <v>3</v>
      </c>
      <c r="G6668" s="369">
        <f>VLOOKUP(C6668,METADATA!$J$5:$Q$29,IF(E6668="HI",2,IF(E6668="LO",6,10))+IF(D6668=1,2,IF(D6668=7,1,(IF(WEEKDAY(B6668)=1,2,IF(WEEKDAY(B6668)=7,1,0))))))</f>
        <v>3</v>
      </c>
      <c r="H6668" s="370">
        <v>13530.774963378906</v>
      </c>
      <c r="I6668" s="370">
        <v>4389.4101257324219</v>
      </c>
      <c r="M6668" s="371">
        <f t="shared" si="417"/>
        <v>14224.935583737586</v>
      </c>
      <c r="N6668" s="329">
        <f t="shared" si="418"/>
        <v>330.17763671875036</v>
      </c>
      <c r="T6668" s="331">
        <v>0</v>
      </c>
      <c r="U6668" s="328">
        <f>VLOOKUP(C6668,METADATA!$J$5:$Q$29,IF(E6668="HI",2,IF(E6668="LO",6,10))+IF(T6668=1,2,IF(D6668=7,1,(IF(WEEKDAY(B6668)=1,2,IF(WEEKDAY(B6668)=7,1,0))))))</f>
        <v>3</v>
      </c>
      <c r="V6668" s="328">
        <f>VLOOKUP(C6668,METADATA!$A$5:$H$29,IF(E6668="HI",2,IF(E6668="LO",6,10))+IF(T6668=1,2,IF(D6668=7,1,(IF(WEEKDAY(B6668)=1,2,IF(WEEKDAY(B6668)=7,1,0))))))</f>
        <v>3</v>
      </c>
    </row>
    <row r="6669" spans="2:22">
      <c r="B6669" s="318">
        <f t="shared" si="415"/>
        <v>46390</v>
      </c>
      <c r="C6669" s="312">
        <v>17</v>
      </c>
      <c r="D6669" s="368">
        <f>IFERROR((INDEX(METADATA!$T$2:$T$20,MATCH(B6669,METADATA!$S$2:$S$20,0))),0)</f>
        <v>0</v>
      </c>
      <c r="E6669" s="312" t="str">
        <f t="shared" si="416"/>
        <v>HI</v>
      </c>
      <c r="F6669" s="369">
        <f>VLOOKUP(C6669,METADATA!$A$5:$H$29,IF(E6669="HI",2,IF(E6669="LO",6,10))+IF(D6669=1,2,IF(D6669=7,1,(IF(WEEKDAY(B6669)=1,2,IF(WEEKDAY(B6669)=7,1,0))))))</f>
        <v>2</v>
      </c>
      <c r="G6669" s="369">
        <f>VLOOKUP(C6669,METADATA!$J$5:$Q$29,IF(E6669="HI",2,IF(E6669="LO",6,10))+IF(D6669=1,2,IF(D6669=7,1,(IF(WEEKDAY(B6669)=1,2,IF(WEEKDAY(B6669)=7,1,0))))))</f>
        <v>2</v>
      </c>
      <c r="H6669" s="370">
        <v>13353.849609375</v>
      </c>
      <c r="I6669" s="370">
        <v>4183.4700317382813</v>
      </c>
      <c r="M6669" s="371">
        <f t="shared" si="417"/>
        <v>13993.810092189229</v>
      </c>
      <c r="N6669" s="329">
        <f t="shared" si="418"/>
        <v>177.31514892578161</v>
      </c>
      <c r="T6669" s="331">
        <v>0</v>
      </c>
      <c r="U6669" s="328">
        <f>VLOOKUP(C6669,METADATA!$J$5:$Q$29,IF(E6669="HI",2,IF(E6669="LO",6,10))+IF(T6669=1,2,IF(D6669=7,1,(IF(WEEKDAY(B6669)=1,2,IF(WEEKDAY(B6669)=7,1,0))))))</f>
        <v>2</v>
      </c>
      <c r="V6669" s="328">
        <f>VLOOKUP(C6669,METADATA!$A$5:$H$29,IF(E6669="HI",2,IF(E6669="LO",6,10))+IF(T6669=1,2,IF(D6669=7,1,(IF(WEEKDAY(B6669)=1,2,IF(WEEKDAY(B6669)=7,1,0))))))</f>
        <v>2</v>
      </c>
    </row>
    <row r="6670" spans="2:22">
      <c r="B6670" s="318">
        <f t="shared" si="415"/>
        <v>46390</v>
      </c>
      <c r="C6670" s="312">
        <v>18</v>
      </c>
      <c r="D6670" s="368">
        <f>IFERROR((INDEX(METADATA!$T$2:$T$20,MATCH(B6670,METADATA!$S$2:$S$20,0))),0)</f>
        <v>0</v>
      </c>
      <c r="E6670" s="312" t="str">
        <f t="shared" si="416"/>
        <v>HI</v>
      </c>
      <c r="F6670" s="369">
        <f>VLOOKUP(C6670,METADATA!$A$5:$H$29,IF(E6670="HI",2,IF(E6670="LO",6,10))+IF(D6670=1,2,IF(D6670=7,1,(IF(WEEKDAY(B6670)=1,2,IF(WEEKDAY(B6670)=7,1,0))))))</f>
        <v>2</v>
      </c>
      <c r="G6670" s="369">
        <f>VLOOKUP(C6670,METADATA!$J$5:$Q$29,IF(E6670="HI",2,IF(E6670="LO",6,10))+IF(D6670=1,2,IF(D6670=7,1,(IF(WEEKDAY(B6670)=1,2,IF(WEEKDAY(B6670)=7,1,0))))))</f>
        <v>2</v>
      </c>
      <c r="H6670" s="370">
        <v>13583.424926757813</v>
      </c>
      <c r="I6670" s="370">
        <v>4420.9949340820313</v>
      </c>
      <c r="M6670" s="371">
        <f t="shared" si="417"/>
        <v>14284.769124772176</v>
      </c>
      <c r="N6670" s="329">
        <f t="shared" si="418"/>
        <v>345.96745605468777</v>
      </c>
      <c r="T6670" s="331">
        <v>0</v>
      </c>
      <c r="U6670" s="328">
        <f>VLOOKUP(C6670,METADATA!$J$5:$Q$29,IF(E6670="HI",2,IF(E6670="LO",6,10))+IF(T6670=1,2,IF(D6670=7,1,(IF(WEEKDAY(B6670)=1,2,IF(WEEKDAY(B6670)=7,1,0))))))</f>
        <v>2</v>
      </c>
      <c r="V6670" s="328">
        <f>VLOOKUP(C6670,METADATA!$A$5:$H$29,IF(E6670="HI",2,IF(E6670="LO",6,10))+IF(T6670=1,2,IF(D6670=7,1,(IF(WEEKDAY(B6670)=1,2,IF(WEEKDAY(B6670)=7,1,0))))))</f>
        <v>2</v>
      </c>
    </row>
    <row r="6671" spans="2:22">
      <c r="B6671" s="318">
        <f t="shared" si="415"/>
        <v>46390</v>
      </c>
      <c r="C6671" s="312">
        <v>19</v>
      </c>
      <c r="D6671" s="368">
        <f>IFERROR((INDEX(METADATA!$T$2:$T$20,MATCH(B6671,METADATA!$S$2:$S$20,0))),0)</f>
        <v>0</v>
      </c>
      <c r="E6671" s="312" t="str">
        <f t="shared" si="416"/>
        <v>HI</v>
      </c>
      <c r="F6671" s="369">
        <f>VLOOKUP(C6671,METADATA!$A$5:$H$29,IF(E6671="HI",2,IF(E6671="LO",6,10))+IF(D6671=1,2,IF(D6671=7,1,(IF(WEEKDAY(B6671)=1,2,IF(WEEKDAY(B6671)=7,1,0))))))</f>
        <v>3</v>
      </c>
      <c r="G6671" s="369">
        <f>VLOOKUP(C6671,METADATA!$J$5:$Q$29,IF(E6671="HI",2,IF(E6671="LO",6,10))+IF(D6671=1,2,IF(D6671=7,1,(IF(WEEKDAY(B6671)=1,2,IF(WEEKDAY(B6671)=7,1,0))))))</f>
        <v>3</v>
      </c>
      <c r="H6671" s="370">
        <v>13538.474609375</v>
      </c>
      <c r="I6671" s="370">
        <v>4437.5049438476563</v>
      </c>
      <c r="M6671" s="371">
        <f t="shared" si="417"/>
        <v>14247.166205086678</v>
      </c>
      <c r="N6671" s="329">
        <f t="shared" si="418"/>
        <v>375.96256103515634</v>
      </c>
      <c r="T6671" s="331">
        <v>0</v>
      </c>
      <c r="U6671" s="328">
        <f>VLOOKUP(C6671,METADATA!$J$5:$Q$29,IF(E6671="HI",2,IF(E6671="LO",6,10))+IF(T6671=1,2,IF(D6671=7,1,(IF(WEEKDAY(B6671)=1,2,IF(WEEKDAY(B6671)=7,1,0))))))</f>
        <v>3</v>
      </c>
      <c r="V6671" s="328">
        <f>VLOOKUP(C6671,METADATA!$A$5:$H$29,IF(E6671="HI",2,IF(E6671="LO",6,10))+IF(T6671=1,2,IF(D6671=7,1,(IF(WEEKDAY(B6671)=1,2,IF(WEEKDAY(B6671)=7,1,0))))))</f>
        <v>3</v>
      </c>
    </row>
    <row r="6672" spans="2:22">
      <c r="B6672" s="318">
        <f t="shared" si="415"/>
        <v>46390</v>
      </c>
      <c r="C6672" s="312">
        <v>20</v>
      </c>
      <c r="D6672" s="368">
        <f>IFERROR((INDEX(METADATA!$T$2:$T$20,MATCH(B6672,METADATA!$S$2:$S$20,0))),0)</f>
        <v>0</v>
      </c>
      <c r="E6672" s="312" t="str">
        <f t="shared" si="416"/>
        <v>HI</v>
      </c>
      <c r="F6672" s="369">
        <f>VLOOKUP(C6672,METADATA!$A$5:$H$29,IF(E6672="HI",2,IF(E6672="LO",6,10))+IF(D6672=1,2,IF(D6672=7,1,(IF(WEEKDAY(B6672)=1,2,IF(WEEKDAY(B6672)=7,1,0))))))</f>
        <v>3</v>
      </c>
      <c r="G6672" s="369">
        <f>VLOOKUP(C6672,METADATA!$J$5:$Q$29,IF(E6672="HI",2,IF(E6672="LO",6,10))+IF(D6672=1,2,IF(D6672=7,1,(IF(WEEKDAY(B6672)=1,2,IF(WEEKDAY(B6672)=7,1,0))))))</f>
        <v>3</v>
      </c>
      <c r="H6672" s="370">
        <v>13558.974853515625</v>
      </c>
      <c r="I6672" s="370">
        <v>4409.9449462890625</v>
      </c>
      <c r="M6672" s="371">
        <f t="shared" si="417"/>
        <v>14258.099926272416</v>
      </c>
      <c r="N6672" s="329">
        <f t="shared" si="418"/>
        <v>342.25249023437527</v>
      </c>
      <c r="T6672" s="331">
        <v>0</v>
      </c>
      <c r="U6672" s="328">
        <f>VLOOKUP(C6672,METADATA!$J$5:$Q$29,IF(E6672="HI",2,IF(E6672="LO",6,10))+IF(T6672=1,2,IF(D6672=7,1,(IF(WEEKDAY(B6672)=1,2,IF(WEEKDAY(B6672)=7,1,0))))))</f>
        <v>3</v>
      </c>
      <c r="V6672" s="328">
        <f>VLOOKUP(C6672,METADATA!$A$5:$H$29,IF(E6672="HI",2,IF(E6672="LO",6,10))+IF(T6672=1,2,IF(D6672=7,1,(IF(WEEKDAY(B6672)=1,2,IF(WEEKDAY(B6672)=7,1,0))))))</f>
        <v>3</v>
      </c>
    </row>
    <row r="6673" spans="2:22">
      <c r="B6673" s="318">
        <f t="shared" si="415"/>
        <v>46390</v>
      </c>
      <c r="C6673" s="312">
        <v>21</v>
      </c>
      <c r="D6673" s="368">
        <f>IFERROR((INDEX(METADATA!$T$2:$T$20,MATCH(B6673,METADATA!$S$2:$S$20,0))),0)</f>
        <v>0</v>
      </c>
      <c r="E6673" s="312" t="str">
        <f t="shared" si="416"/>
        <v>HI</v>
      </c>
      <c r="F6673" s="369">
        <f>VLOOKUP(C6673,METADATA!$A$5:$H$29,IF(E6673="HI",2,IF(E6673="LO",6,10))+IF(D6673=1,2,IF(D6673=7,1,(IF(WEEKDAY(B6673)=1,2,IF(WEEKDAY(B6673)=7,1,0))))))</f>
        <v>3</v>
      </c>
      <c r="G6673" s="369">
        <f>VLOOKUP(C6673,METADATA!$J$5:$Q$29,IF(E6673="HI",2,IF(E6673="LO",6,10))+IF(D6673=1,2,IF(D6673=7,1,(IF(WEEKDAY(B6673)=1,2,IF(WEEKDAY(B6673)=7,1,0))))))</f>
        <v>3</v>
      </c>
      <c r="H6673" s="370">
        <v>13501.074829101563</v>
      </c>
      <c r="I6673" s="370">
        <v>4513.070068359375</v>
      </c>
      <c r="M6673" s="371">
        <f t="shared" si="417"/>
        <v>14235.407369756618</v>
      </c>
      <c r="N6673" s="329">
        <f t="shared" si="418"/>
        <v>462.74761962890625</v>
      </c>
      <c r="T6673" s="331">
        <v>0</v>
      </c>
      <c r="U6673" s="328">
        <f>VLOOKUP(C6673,METADATA!$J$5:$Q$29,IF(E6673="HI",2,IF(E6673="LO",6,10))+IF(T6673=1,2,IF(D6673=7,1,(IF(WEEKDAY(B6673)=1,2,IF(WEEKDAY(B6673)=7,1,0))))))</f>
        <v>3</v>
      </c>
      <c r="V6673" s="328">
        <f>VLOOKUP(C6673,METADATA!$A$5:$H$29,IF(E6673="HI",2,IF(E6673="LO",6,10))+IF(T6673=1,2,IF(D6673=7,1,(IF(WEEKDAY(B6673)=1,2,IF(WEEKDAY(B6673)=7,1,0))))))</f>
        <v>3</v>
      </c>
    </row>
    <row r="6674" spans="2:22">
      <c r="B6674" s="318">
        <f t="shared" si="415"/>
        <v>46390</v>
      </c>
      <c r="C6674" s="312">
        <v>22</v>
      </c>
      <c r="D6674" s="368">
        <f>IFERROR((INDEX(METADATA!$T$2:$T$20,MATCH(B6674,METADATA!$S$2:$S$20,0))),0)</f>
        <v>0</v>
      </c>
      <c r="E6674" s="312" t="str">
        <f t="shared" si="416"/>
        <v>HI</v>
      </c>
      <c r="F6674" s="369">
        <f>VLOOKUP(C6674,METADATA!$A$5:$H$29,IF(E6674="HI",2,IF(E6674="LO",6,10))+IF(D6674=1,2,IF(D6674=7,1,(IF(WEEKDAY(B6674)=1,2,IF(WEEKDAY(B6674)=7,1,0))))))</f>
        <v>3</v>
      </c>
      <c r="G6674" s="369">
        <f>VLOOKUP(C6674,METADATA!$J$5:$Q$29,IF(E6674="HI",2,IF(E6674="LO",6,10))+IF(D6674=1,2,IF(D6674=7,1,(IF(WEEKDAY(B6674)=1,2,IF(WEEKDAY(B6674)=7,1,0))))))</f>
        <v>3</v>
      </c>
      <c r="H6674" s="370">
        <v>13619.949768066406</v>
      </c>
      <c r="I6674" s="370">
        <v>4630.5299682617188</v>
      </c>
      <c r="M6674" s="371">
        <f t="shared" si="417"/>
        <v>14385.577481339496</v>
      </c>
      <c r="N6674" s="329">
        <f t="shared" si="418"/>
        <v>544.54503784179724</v>
      </c>
      <c r="T6674" s="331">
        <v>0</v>
      </c>
      <c r="U6674" s="328">
        <f>VLOOKUP(C6674,METADATA!$J$5:$Q$29,IF(E6674="HI",2,IF(E6674="LO",6,10))+IF(T6674=1,2,IF(D6674=7,1,(IF(WEEKDAY(B6674)=1,2,IF(WEEKDAY(B6674)=7,1,0))))))</f>
        <v>3</v>
      </c>
      <c r="V6674" s="328">
        <f>VLOOKUP(C6674,METADATA!$A$5:$H$29,IF(E6674="HI",2,IF(E6674="LO",6,10))+IF(T6674=1,2,IF(D6674=7,1,(IF(WEEKDAY(B6674)=1,2,IF(WEEKDAY(B6674)=7,1,0))))))</f>
        <v>3</v>
      </c>
    </row>
    <row r="6675" spans="2:22">
      <c r="B6675" s="318">
        <f t="shared" si="415"/>
        <v>46390</v>
      </c>
      <c r="C6675" s="312">
        <v>23</v>
      </c>
      <c r="D6675" s="368">
        <f>IFERROR((INDEX(METADATA!$T$2:$T$20,MATCH(B6675,METADATA!$S$2:$S$20,0))),0)</f>
        <v>0</v>
      </c>
      <c r="E6675" s="312" t="str">
        <f t="shared" si="416"/>
        <v>HI</v>
      </c>
      <c r="F6675" s="369">
        <f>VLOOKUP(C6675,METADATA!$A$5:$H$29,IF(E6675="HI",2,IF(E6675="LO",6,10))+IF(D6675=1,2,IF(D6675=7,1,(IF(WEEKDAY(B6675)=1,2,IF(WEEKDAY(B6675)=7,1,0))))))</f>
        <v>3</v>
      </c>
      <c r="G6675" s="369">
        <f>VLOOKUP(C6675,METADATA!$J$5:$Q$29,IF(E6675="HI",2,IF(E6675="LO",6,10))+IF(D6675=1,2,IF(D6675=7,1,(IF(WEEKDAY(B6675)=1,2,IF(WEEKDAY(B6675)=7,1,0))))))</f>
        <v>3</v>
      </c>
      <c r="H6675" s="370">
        <v>13356.350158691406</v>
      </c>
      <c r="I6675" s="370">
        <v>4386.81494140625</v>
      </c>
      <c r="M6675" s="371">
        <f t="shared" si="417"/>
        <v>14058.315506906261</v>
      </c>
      <c r="N6675" s="329">
        <f t="shared" si="418"/>
        <v>379.90989379882831</v>
      </c>
      <c r="T6675" s="331">
        <v>0</v>
      </c>
      <c r="U6675" s="328">
        <f>VLOOKUP(C6675,METADATA!$J$5:$Q$29,IF(E6675="HI",2,IF(E6675="LO",6,10))+IF(T6675=1,2,IF(D6675=7,1,(IF(WEEKDAY(B6675)=1,2,IF(WEEKDAY(B6675)=7,1,0))))))</f>
        <v>3</v>
      </c>
      <c r="V6675" s="328">
        <f>VLOOKUP(C6675,METADATA!$A$5:$H$29,IF(E6675="HI",2,IF(E6675="LO",6,10))+IF(T6675=1,2,IF(D6675=7,1,(IF(WEEKDAY(B6675)=1,2,IF(WEEKDAY(B6675)=7,1,0))))))</f>
        <v>3</v>
      </c>
    </row>
    <row r="6676" spans="2:22">
      <c r="B6676" s="318">
        <f t="shared" si="415"/>
        <v>46391</v>
      </c>
      <c r="C6676" s="312">
        <v>0</v>
      </c>
      <c r="D6676" s="368">
        <f>IFERROR((INDEX(METADATA!$T$2:$T$20,MATCH(B6676,METADATA!$S$2:$S$20,0))),0)</f>
        <v>0</v>
      </c>
      <c r="E6676" s="312" t="str">
        <f t="shared" si="416"/>
        <v>HI</v>
      </c>
      <c r="F6676" s="369">
        <f>VLOOKUP(C6676,METADATA!$A$5:$H$29,IF(E6676="HI",2,IF(E6676="LO",6,10))+IF(D6676=1,2,IF(D6676=7,1,(IF(WEEKDAY(B6676)=1,2,IF(WEEKDAY(B6676)=7,1,0))))))</f>
        <v>3</v>
      </c>
      <c r="G6676" s="369">
        <f>VLOOKUP(C6676,METADATA!$J$5:$Q$29,IF(E6676="HI",2,IF(E6676="LO",6,10))+IF(D6676=1,2,IF(D6676=7,1,(IF(WEEKDAY(B6676)=1,2,IF(WEEKDAY(B6676)=7,1,0))))))</f>
        <v>3</v>
      </c>
      <c r="H6676" s="370">
        <v>13185.274963378906</v>
      </c>
      <c r="I6676" s="370">
        <v>4079.8449096679688</v>
      </c>
      <c r="M6676" s="371">
        <f t="shared" si="417"/>
        <v>13802.05094711834</v>
      </c>
      <c r="N6676" s="329">
        <f t="shared" si="418"/>
        <v>124.26242065429688</v>
      </c>
      <c r="T6676" s="331">
        <v>0</v>
      </c>
      <c r="U6676" s="328">
        <f>VLOOKUP(C6676,METADATA!$J$5:$Q$29,IF(E6676="HI",2,IF(E6676="LO",6,10))+IF(T6676=1,2,IF(D6676=7,1,(IF(WEEKDAY(B6676)=1,2,IF(WEEKDAY(B6676)=7,1,0))))))</f>
        <v>3</v>
      </c>
      <c r="V6676" s="328">
        <f>VLOOKUP(C6676,METADATA!$A$5:$H$29,IF(E6676="HI",2,IF(E6676="LO",6,10))+IF(T6676=1,2,IF(D6676=7,1,(IF(WEEKDAY(B6676)=1,2,IF(WEEKDAY(B6676)=7,1,0))))))</f>
        <v>3</v>
      </c>
    </row>
    <row r="6677" spans="2:22">
      <c r="B6677" s="318">
        <f t="shared" si="415"/>
        <v>46391</v>
      </c>
      <c r="C6677" s="312">
        <v>1</v>
      </c>
      <c r="D6677" s="368">
        <f>IFERROR((INDEX(METADATA!$T$2:$T$20,MATCH(B6677,METADATA!$S$2:$S$20,0))),0)</f>
        <v>0</v>
      </c>
      <c r="E6677" s="312" t="str">
        <f t="shared" si="416"/>
        <v>HI</v>
      </c>
      <c r="F6677" s="369">
        <f>VLOOKUP(C6677,METADATA!$A$5:$H$29,IF(E6677="HI",2,IF(E6677="LO",6,10))+IF(D6677=1,2,IF(D6677=7,1,(IF(WEEKDAY(B6677)=1,2,IF(WEEKDAY(B6677)=7,1,0))))))</f>
        <v>3</v>
      </c>
      <c r="G6677" s="369">
        <f>VLOOKUP(C6677,METADATA!$J$5:$Q$29,IF(E6677="HI",2,IF(E6677="LO",6,10))+IF(D6677=1,2,IF(D6677=7,1,(IF(WEEKDAY(B6677)=1,2,IF(WEEKDAY(B6677)=7,1,0))))))</f>
        <v>3</v>
      </c>
      <c r="H6677" s="370">
        <v>13291.024841308594</v>
      </c>
      <c r="I6677" s="370">
        <v>4082.0099792480469</v>
      </c>
      <c r="M6677" s="371">
        <f t="shared" si="417"/>
        <v>13903.745783168029</v>
      </c>
      <c r="N6677" s="329">
        <f t="shared" si="418"/>
        <v>94.702526855468932</v>
      </c>
      <c r="T6677" s="331">
        <v>0</v>
      </c>
      <c r="U6677" s="328">
        <f>VLOOKUP(C6677,METADATA!$J$5:$Q$29,IF(E6677="HI",2,IF(E6677="LO",6,10))+IF(T6677=1,2,IF(D6677=7,1,(IF(WEEKDAY(B6677)=1,2,IF(WEEKDAY(B6677)=7,1,0))))))</f>
        <v>3</v>
      </c>
      <c r="V6677" s="328">
        <f>VLOOKUP(C6677,METADATA!$A$5:$H$29,IF(E6677="HI",2,IF(E6677="LO",6,10))+IF(T6677=1,2,IF(D6677=7,1,(IF(WEEKDAY(B6677)=1,2,IF(WEEKDAY(B6677)=7,1,0))))))</f>
        <v>3</v>
      </c>
    </row>
    <row r="6678" spans="2:22">
      <c r="B6678" s="318">
        <f t="shared" si="415"/>
        <v>46391</v>
      </c>
      <c r="C6678" s="312">
        <v>2</v>
      </c>
      <c r="D6678" s="368">
        <f>IFERROR((INDEX(METADATA!$T$2:$T$20,MATCH(B6678,METADATA!$S$2:$S$20,0))),0)</f>
        <v>0</v>
      </c>
      <c r="E6678" s="312" t="str">
        <f t="shared" si="416"/>
        <v>HI</v>
      </c>
      <c r="F6678" s="369">
        <f>VLOOKUP(C6678,METADATA!$A$5:$H$29,IF(E6678="HI",2,IF(E6678="LO",6,10))+IF(D6678=1,2,IF(D6678=7,1,(IF(WEEKDAY(B6678)=1,2,IF(WEEKDAY(B6678)=7,1,0))))))</f>
        <v>3</v>
      </c>
      <c r="G6678" s="369">
        <f>VLOOKUP(C6678,METADATA!$J$5:$Q$29,IF(E6678="HI",2,IF(E6678="LO",6,10))+IF(D6678=1,2,IF(D6678=7,1,(IF(WEEKDAY(B6678)=1,2,IF(WEEKDAY(B6678)=7,1,0))))))</f>
        <v>3</v>
      </c>
      <c r="H6678" s="370">
        <v>13375.925476074219</v>
      </c>
      <c r="I6678" s="370">
        <v>4224.0848999023438</v>
      </c>
      <c r="M6678" s="371">
        <f t="shared" si="417"/>
        <v>14027.055128681654</v>
      </c>
      <c r="N6678" s="329">
        <f t="shared" si="418"/>
        <v>211.30725708007822</v>
      </c>
      <c r="T6678" s="331">
        <v>0</v>
      </c>
      <c r="U6678" s="328">
        <f>VLOOKUP(C6678,METADATA!$J$5:$Q$29,IF(E6678="HI",2,IF(E6678="LO",6,10))+IF(T6678=1,2,IF(D6678=7,1,(IF(WEEKDAY(B6678)=1,2,IF(WEEKDAY(B6678)=7,1,0))))))</f>
        <v>3</v>
      </c>
      <c r="V6678" s="328">
        <f>VLOOKUP(C6678,METADATA!$A$5:$H$29,IF(E6678="HI",2,IF(E6678="LO",6,10))+IF(T6678=1,2,IF(D6678=7,1,(IF(WEEKDAY(B6678)=1,2,IF(WEEKDAY(B6678)=7,1,0))))))</f>
        <v>3</v>
      </c>
    </row>
    <row r="6679" spans="2:22">
      <c r="B6679" s="318">
        <f t="shared" si="415"/>
        <v>46391</v>
      </c>
      <c r="C6679" s="312">
        <v>3</v>
      </c>
      <c r="D6679" s="368">
        <f>IFERROR((INDEX(METADATA!$T$2:$T$20,MATCH(B6679,METADATA!$S$2:$S$20,0))),0)</f>
        <v>0</v>
      </c>
      <c r="E6679" s="312" t="str">
        <f t="shared" si="416"/>
        <v>HI</v>
      </c>
      <c r="F6679" s="369">
        <f>VLOOKUP(C6679,METADATA!$A$5:$H$29,IF(E6679="HI",2,IF(E6679="LO",6,10))+IF(D6679=1,2,IF(D6679=7,1,(IF(WEEKDAY(B6679)=1,2,IF(WEEKDAY(B6679)=7,1,0))))))</f>
        <v>3</v>
      </c>
      <c r="G6679" s="369">
        <f>VLOOKUP(C6679,METADATA!$J$5:$Q$29,IF(E6679="HI",2,IF(E6679="LO",6,10))+IF(D6679=1,2,IF(D6679=7,1,(IF(WEEKDAY(B6679)=1,2,IF(WEEKDAY(B6679)=7,1,0))))))</f>
        <v>3</v>
      </c>
      <c r="H6679" s="370">
        <v>13504.974975585938</v>
      </c>
      <c r="I6679" s="370">
        <v>4180.8250122070313</v>
      </c>
      <c r="M6679" s="371">
        <f t="shared" si="417"/>
        <v>14137.313990779801</v>
      </c>
      <c r="N6679" s="329">
        <f t="shared" si="418"/>
        <v>129.33251953125</v>
      </c>
      <c r="T6679" s="331">
        <v>0</v>
      </c>
      <c r="U6679" s="328">
        <f>VLOOKUP(C6679,METADATA!$J$5:$Q$29,IF(E6679="HI",2,IF(E6679="LO",6,10))+IF(T6679=1,2,IF(D6679=7,1,(IF(WEEKDAY(B6679)=1,2,IF(WEEKDAY(B6679)=7,1,0))))))</f>
        <v>3</v>
      </c>
      <c r="V6679" s="328">
        <f>VLOOKUP(C6679,METADATA!$A$5:$H$29,IF(E6679="HI",2,IF(E6679="LO",6,10))+IF(T6679=1,2,IF(D6679=7,1,(IF(WEEKDAY(B6679)=1,2,IF(WEEKDAY(B6679)=7,1,0))))))</f>
        <v>3</v>
      </c>
    </row>
    <row r="6680" spans="2:22">
      <c r="B6680" s="318">
        <f t="shared" si="415"/>
        <v>46391</v>
      </c>
      <c r="C6680" s="312">
        <v>4</v>
      </c>
      <c r="D6680" s="368">
        <f>IFERROR((INDEX(METADATA!$T$2:$T$20,MATCH(B6680,METADATA!$S$2:$S$20,0))),0)</f>
        <v>0</v>
      </c>
      <c r="E6680" s="312" t="str">
        <f t="shared" si="416"/>
        <v>HI</v>
      </c>
      <c r="F6680" s="369">
        <f>VLOOKUP(C6680,METADATA!$A$5:$H$29,IF(E6680="HI",2,IF(E6680="LO",6,10))+IF(D6680=1,2,IF(D6680=7,1,(IF(WEEKDAY(B6680)=1,2,IF(WEEKDAY(B6680)=7,1,0))))))</f>
        <v>3</v>
      </c>
      <c r="G6680" s="369">
        <f>VLOOKUP(C6680,METADATA!$J$5:$Q$29,IF(E6680="HI",2,IF(E6680="LO",6,10))+IF(D6680=1,2,IF(D6680=7,1,(IF(WEEKDAY(B6680)=1,2,IF(WEEKDAY(B6680)=7,1,0))))))</f>
        <v>3</v>
      </c>
      <c r="H6680" s="370">
        <v>13483.64990234375</v>
      </c>
      <c r="I6680" s="370">
        <v>4191.5299682617188</v>
      </c>
      <c r="M6680" s="371">
        <f t="shared" si="417"/>
        <v>14120.11820643902</v>
      </c>
      <c r="N6680" s="329">
        <f t="shared" si="418"/>
        <v>146.43499755859375</v>
      </c>
      <c r="T6680" s="331">
        <v>0</v>
      </c>
      <c r="U6680" s="328">
        <f>VLOOKUP(C6680,METADATA!$J$5:$Q$29,IF(E6680="HI",2,IF(E6680="LO",6,10))+IF(T6680=1,2,IF(D6680=7,1,(IF(WEEKDAY(B6680)=1,2,IF(WEEKDAY(B6680)=7,1,0))))))</f>
        <v>3</v>
      </c>
      <c r="V6680" s="328">
        <f>VLOOKUP(C6680,METADATA!$A$5:$H$29,IF(E6680="HI",2,IF(E6680="LO",6,10))+IF(T6680=1,2,IF(D6680=7,1,(IF(WEEKDAY(B6680)=1,2,IF(WEEKDAY(B6680)=7,1,0))))))</f>
        <v>3</v>
      </c>
    </row>
    <row r="6681" spans="2:22">
      <c r="B6681" s="318">
        <f t="shared" si="415"/>
        <v>46391</v>
      </c>
      <c r="C6681" s="312">
        <v>5</v>
      </c>
      <c r="D6681" s="368">
        <f>IFERROR((INDEX(METADATA!$T$2:$T$20,MATCH(B6681,METADATA!$S$2:$S$20,0))),0)</f>
        <v>0</v>
      </c>
      <c r="E6681" s="312" t="str">
        <f t="shared" si="416"/>
        <v>HI</v>
      </c>
      <c r="F6681" s="369">
        <f>VLOOKUP(C6681,METADATA!$A$5:$H$29,IF(E6681="HI",2,IF(E6681="LO",6,10))+IF(D6681=1,2,IF(D6681=7,1,(IF(WEEKDAY(B6681)=1,2,IF(WEEKDAY(B6681)=7,1,0))))))</f>
        <v>3</v>
      </c>
      <c r="G6681" s="369">
        <f>VLOOKUP(C6681,METADATA!$J$5:$Q$29,IF(E6681="HI",2,IF(E6681="LO",6,10))+IF(D6681=1,2,IF(D6681=7,1,(IF(WEEKDAY(B6681)=1,2,IF(WEEKDAY(B6681)=7,1,0))))))</f>
        <v>3</v>
      </c>
      <c r="H6681" s="370">
        <v>13584.749877929688</v>
      </c>
      <c r="I6681" s="370">
        <v>4219.3450622558594</v>
      </c>
      <c r="M6681" s="371">
        <f t="shared" si="417"/>
        <v>14224.918347754885</v>
      </c>
      <c r="N6681" s="329">
        <f t="shared" si="418"/>
        <v>143.92009887695349</v>
      </c>
      <c r="T6681" s="331">
        <v>0</v>
      </c>
      <c r="U6681" s="328">
        <f>VLOOKUP(C6681,METADATA!$J$5:$Q$29,IF(E6681="HI",2,IF(E6681="LO",6,10))+IF(T6681=1,2,IF(D6681=7,1,(IF(WEEKDAY(B6681)=1,2,IF(WEEKDAY(B6681)=7,1,0))))))</f>
        <v>3</v>
      </c>
      <c r="V6681" s="328">
        <f>VLOOKUP(C6681,METADATA!$A$5:$H$29,IF(E6681="HI",2,IF(E6681="LO",6,10))+IF(T6681=1,2,IF(D6681=7,1,(IF(WEEKDAY(B6681)=1,2,IF(WEEKDAY(B6681)=7,1,0))))))</f>
        <v>3</v>
      </c>
    </row>
    <row r="6682" spans="2:22">
      <c r="B6682" s="318">
        <f t="shared" si="415"/>
        <v>46391</v>
      </c>
      <c r="C6682" s="312">
        <v>6</v>
      </c>
      <c r="D6682" s="368">
        <f>IFERROR((INDEX(METADATA!$T$2:$T$20,MATCH(B6682,METADATA!$S$2:$S$20,0))),0)</f>
        <v>0</v>
      </c>
      <c r="E6682" s="312" t="str">
        <f t="shared" si="416"/>
        <v>HI</v>
      </c>
      <c r="F6682" s="369">
        <f>VLOOKUP(C6682,METADATA!$A$5:$H$29,IF(E6682="HI",2,IF(E6682="LO",6,10))+IF(D6682=1,2,IF(D6682=7,1,(IF(WEEKDAY(B6682)=1,2,IF(WEEKDAY(B6682)=7,1,0))))))</f>
        <v>1</v>
      </c>
      <c r="G6682" s="369">
        <f>VLOOKUP(C6682,METADATA!$J$5:$Q$29,IF(E6682="HI",2,IF(E6682="LO",6,10))+IF(D6682=1,2,IF(D6682=7,1,(IF(WEEKDAY(B6682)=1,2,IF(WEEKDAY(B6682)=7,1,0))))))</f>
        <v>1</v>
      </c>
      <c r="H6682" s="370">
        <v>13408.200073242188</v>
      </c>
      <c r="I6682" s="370">
        <v>4194.3599853515625</v>
      </c>
      <c r="M6682" s="371">
        <f t="shared" si="417"/>
        <v>14048.931806041701</v>
      </c>
      <c r="N6682" s="329">
        <f t="shared" si="418"/>
        <v>171.89996337890625</v>
      </c>
      <c r="T6682" s="331">
        <v>0</v>
      </c>
      <c r="U6682" s="328">
        <f>VLOOKUP(C6682,METADATA!$J$5:$Q$29,IF(E6682="HI",2,IF(E6682="LO",6,10))+IF(T6682=1,2,IF(D6682=7,1,(IF(WEEKDAY(B6682)=1,2,IF(WEEKDAY(B6682)=7,1,0))))))</f>
        <v>1</v>
      </c>
      <c r="V6682" s="328">
        <f>VLOOKUP(C6682,METADATA!$A$5:$H$29,IF(E6682="HI",2,IF(E6682="LO",6,10))+IF(T6682=1,2,IF(D6682=7,1,(IF(WEEKDAY(B6682)=1,2,IF(WEEKDAY(B6682)=7,1,0))))))</f>
        <v>1</v>
      </c>
    </row>
    <row r="6683" spans="2:22">
      <c r="B6683" s="318">
        <f t="shared" si="415"/>
        <v>46391</v>
      </c>
      <c r="C6683" s="312">
        <v>7</v>
      </c>
      <c r="D6683" s="368">
        <f>IFERROR((INDEX(METADATA!$T$2:$T$20,MATCH(B6683,METADATA!$S$2:$S$20,0))),0)</f>
        <v>0</v>
      </c>
      <c r="E6683" s="312" t="str">
        <f t="shared" si="416"/>
        <v>HI</v>
      </c>
      <c r="F6683" s="369">
        <f>VLOOKUP(C6683,METADATA!$A$5:$H$29,IF(E6683="HI",2,IF(E6683="LO",6,10))+IF(D6683=1,2,IF(D6683=7,1,(IF(WEEKDAY(B6683)=1,2,IF(WEEKDAY(B6683)=7,1,0))))))</f>
        <v>1</v>
      </c>
      <c r="G6683" s="369">
        <f>VLOOKUP(C6683,METADATA!$J$5:$Q$29,IF(E6683="HI",2,IF(E6683="LO",6,10))+IF(D6683=1,2,IF(D6683=7,1,(IF(WEEKDAY(B6683)=1,2,IF(WEEKDAY(B6683)=7,1,0))))))</f>
        <v>1</v>
      </c>
      <c r="H6683" s="370">
        <v>13374.999816894531</v>
      </c>
      <c r="I6683" s="370">
        <v>4119.5799560546875</v>
      </c>
      <c r="M6683" s="371">
        <f t="shared" si="417"/>
        <v>13995.054809333771</v>
      </c>
      <c r="N6683" s="329">
        <f t="shared" si="418"/>
        <v>107.08001098632849</v>
      </c>
      <c r="T6683" s="331">
        <v>0</v>
      </c>
      <c r="U6683" s="328">
        <f>VLOOKUP(C6683,METADATA!$J$5:$Q$29,IF(E6683="HI",2,IF(E6683="LO",6,10))+IF(T6683=1,2,IF(D6683=7,1,(IF(WEEKDAY(B6683)=1,2,IF(WEEKDAY(B6683)=7,1,0))))))</f>
        <v>1</v>
      </c>
      <c r="V6683" s="328">
        <f>VLOOKUP(C6683,METADATA!$A$5:$H$29,IF(E6683="HI",2,IF(E6683="LO",6,10))+IF(T6683=1,2,IF(D6683=7,1,(IF(WEEKDAY(B6683)=1,2,IF(WEEKDAY(B6683)=7,1,0))))))</f>
        <v>1</v>
      </c>
    </row>
    <row r="6684" spans="2:22">
      <c r="B6684" s="318">
        <f t="shared" ref="B6684:B6747" si="419">B6660+1</f>
        <v>46391</v>
      </c>
      <c r="C6684" s="312">
        <v>8</v>
      </c>
      <c r="D6684" s="368">
        <f>IFERROR((INDEX(METADATA!$T$2:$T$20,MATCH(B6684,METADATA!$S$2:$S$20,0))),0)</f>
        <v>0</v>
      </c>
      <c r="E6684" s="312" t="str">
        <f t="shared" si="416"/>
        <v>HI</v>
      </c>
      <c r="F6684" s="369">
        <f>VLOOKUP(C6684,METADATA!$A$5:$H$29,IF(E6684="HI",2,IF(E6684="LO",6,10))+IF(D6684=1,2,IF(D6684=7,1,(IF(WEEKDAY(B6684)=1,2,IF(WEEKDAY(B6684)=7,1,0))))))</f>
        <v>2</v>
      </c>
      <c r="G6684" s="369">
        <f>VLOOKUP(C6684,METADATA!$J$5:$Q$29,IF(E6684="HI",2,IF(E6684="LO",6,10))+IF(D6684=1,2,IF(D6684=7,1,(IF(WEEKDAY(B6684)=1,2,IF(WEEKDAY(B6684)=7,1,0))))))</f>
        <v>2</v>
      </c>
      <c r="H6684" s="370">
        <v>13384.999938964844</v>
      </c>
      <c r="I6684" s="370">
        <v>4140.3099975585938</v>
      </c>
      <c r="M6684" s="371">
        <f t="shared" si="417"/>
        <v>14010.72411554708</v>
      </c>
      <c r="N6684" s="329">
        <f t="shared" si="418"/>
        <v>124.8100158691409</v>
      </c>
      <c r="T6684" s="331">
        <v>0</v>
      </c>
      <c r="U6684" s="328">
        <f>VLOOKUP(C6684,METADATA!$J$5:$Q$29,IF(E6684="HI",2,IF(E6684="LO",6,10))+IF(T6684=1,2,IF(D6684=7,1,(IF(WEEKDAY(B6684)=1,2,IF(WEEKDAY(B6684)=7,1,0))))))</f>
        <v>2</v>
      </c>
      <c r="V6684" s="328">
        <f>VLOOKUP(C6684,METADATA!$A$5:$H$29,IF(E6684="HI",2,IF(E6684="LO",6,10))+IF(T6684=1,2,IF(D6684=7,1,(IF(WEEKDAY(B6684)=1,2,IF(WEEKDAY(B6684)=7,1,0))))))</f>
        <v>2</v>
      </c>
    </row>
    <row r="6685" spans="2:22">
      <c r="B6685" s="318">
        <f t="shared" si="419"/>
        <v>46391</v>
      </c>
      <c r="C6685" s="312">
        <v>9</v>
      </c>
      <c r="D6685" s="368">
        <f>IFERROR((INDEX(METADATA!$T$2:$T$20,MATCH(B6685,METADATA!$S$2:$S$20,0))),0)</f>
        <v>0</v>
      </c>
      <c r="E6685" s="312" t="str">
        <f t="shared" si="416"/>
        <v>HI</v>
      </c>
      <c r="F6685" s="369">
        <f>VLOOKUP(C6685,METADATA!$A$5:$H$29,IF(E6685="HI",2,IF(E6685="LO",6,10))+IF(D6685=1,2,IF(D6685=7,1,(IF(WEEKDAY(B6685)=1,2,IF(WEEKDAY(B6685)=7,1,0))))))</f>
        <v>2</v>
      </c>
      <c r="G6685" s="369">
        <f>VLOOKUP(C6685,METADATA!$J$5:$Q$29,IF(E6685="HI",2,IF(E6685="LO",6,10))+IF(D6685=1,2,IF(D6685=7,1,(IF(WEEKDAY(B6685)=1,2,IF(WEEKDAY(B6685)=7,1,0))))))</f>
        <v>2</v>
      </c>
      <c r="H6685" s="370">
        <v>13765.625305175781</v>
      </c>
      <c r="I6685" s="370">
        <v>4210.1600341796875</v>
      </c>
      <c r="M6685" s="371">
        <f t="shared" si="417"/>
        <v>14395.064694397859</v>
      </c>
      <c r="N6685" s="329">
        <f t="shared" si="418"/>
        <v>80.472442626953125</v>
      </c>
      <c r="T6685" s="331">
        <v>0</v>
      </c>
      <c r="U6685" s="328">
        <f>VLOOKUP(C6685,METADATA!$J$5:$Q$29,IF(E6685="HI",2,IF(E6685="LO",6,10))+IF(T6685=1,2,IF(D6685=7,1,(IF(WEEKDAY(B6685)=1,2,IF(WEEKDAY(B6685)=7,1,0))))))</f>
        <v>2</v>
      </c>
      <c r="V6685" s="328">
        <f>VLOOKUP(C6685,METADATA!$A$5:$H$29,IF(E6685="HI",2,IF(E6685="LO",6,10))+IF(T6685=1,2,IF(D6685=7,1,(IF(WEEKDAY(B6685)=1,2,IF(WEEKDAY(B6685)=7,1,0))))))</f>
        <v>2</v>
      </c>
    </row>
    <row r="6686" spans="2:22">
      <c r="B6686" s="318">
        <f t="shared" si="419"/>
        <v>46391</v>
      </c>
      <c r="C6686" s="312">
        <v>10</v>
      </c>
      <c r="D6686" s="368">
        <f>IFERROR((INDEX(METADATA!$T$2:$T$20,MATCH(B6686,METADATA!$S$2:$S$20,0))),0)</f>
        <v>0</v>
      </c>
      <c r="E6686" s="312" t="str">
        <f t="shared" si="416"/>
        <v>HI</v>
      </c>
      <c r="F6686" s="369">
        <f>VLOOKUP(C6686,METADATA!$A$5:$H$29,IF(E6686="HI",2,IF(E6686="LO",6,10))+IF(D6686=1,2,IF(D6686=7,1,(IF(WEEKDAY(B6686)=1,2,IF(WEEKDAY(B6686)=7,1,0))))))</f>
        <v>2</v>
      </c>
      <c r="G6686" s="369">
        <f>VLOOKUP(C6686,METADATA!$J$5:$Q$29,IF(E6686="HI",2,IF(E6686="LO",6,10))+IF(D6686=1,2,IF(D6686=7,1,(IF(WEEKDAY(B6686)=1,2,IF(WEEKDAY(B6686)=7,1,0))))))</f>
        <v>2</v>
      </c>
      <c r="H6686" s="370">
        <v>12138.44970703125</v>
      </c>
      <c r="I6686" s="370">
        <v>2994.714973449707</v>
      </c>
      <c r="M6686" s="371">
        <f t="shared" si="417"/>
        <v>12502.410929989901</v>
      </c>
      <c r="N6686" s="329">
        <f t="shared" si="418"/>
        <v>0</v>
      </c>
      <c r="T6686" s="331">
        <v>0</v>
      </c>
      <c r="U6686" s="328">
        <f>VLOOKUP(C6686,METADATA!$J$5:$Q$29,IF(E6686="HI",2,IF(E6686="LO",6,10))+IF(T6686=1,2,IF(D6686=7,1,(IF(WEEKDAY(B6686)=1,2,IF(WEEKDAY(B6686)=7,1,0))))))</f>
        <v>2</v>
      </c>
      <c r="V6686" s="328">
        <f>VLOOKUP(C6686,METADATA!$A$5:$H$29,IF(E6686="HI",2,IF(E6686="LO",6,10))+IF(T6686=1,2,IF(D6686=7,1,(IF(WEEKDAY(B6686)=1,2,IF(WEEKDAY(B6686)=7,1,0))))))</f>
        <v>2</v>
      </c>
    </row>
    <row r="6687" spans="2:22">
      <c r="B6687" s="318">
        <f t="shared" si="419"/>
        <v>46391</v>
      </c>
      <c r="C6687" s="312">
        <v>11</v>
      </c>
      <c r="D6687" s="368">
        <f>IFERROR((INDEX(METADATA!$T$2:$T$20,MATCH(B6687,METADATA!$S$2:$S$20,0))),0)</f>
        <v>0</v>
      </c>
      <c r="E6687" s="312" t="str">
        <f t="shared" si="416"/>
        <v>HI</v>
      </c>
      <c r="F6687" s="369">
        <f>VLOOKUP(C6687,METADATA!$A$5:$H$29,IF(E6687="HI",2,IF(E6687="LO",6,10))+IF(D6687=1,2,IF(D6687=7,1,(IF(WEEKDAY(B6687)=1,2,IF(WEEKDAY(B6687)=7,1,0))))))</f>
        <v>2</v>
      </c>
      <c r="G6687" s="369">
        <f>VLOOKUP(C6687,METADATA!$J$5:$Q$29,IF(E6687="HI",2,IF(E6687="LO",6,10))+IF(D6687=1,2,IF(D6687=7,1,(IF(WEEKDAY(B6687)=1,2,IF(WEEKDAY(B6687)=7,1,0))))))</f>
        <v>2</v>
      </c>
      <c r="H6687" s="370">
        <v>12301.375122070313</v>
      </c>
      <c r="I6687" s="370">
        <v>3259.3799591064453</v>
      </c>
      <c r="M6687" s="371">
        <f t="shared" si="417"/>
        <v>12725.855083715007</v>
      </c>
      <c r="N6687" s="329">
        <f t="shared" si="418"/>
        <v>0</v>
      </c>
      <c r="T6687" s="331">
        <v>0</v>
      </c>
      <c r="U6687" s="328">
        <f>VLOOKUP(C6687,METADATA!$J$5:$Q$29,IF(E6687="HI",2,IF(E6687="LO",6,10))+IF(T6687=1,2,IF(D6687=7,1,(IF(WEEKDAY(B6687)=1,2,IF(WEEKDAY(B6687)=7,1,0))))))</f>
        <v>2</v>
      </c>
      <c r="V6687" s="328">
        <f>VLOOKUP(C6687,METADATA!$A$5:$H$29,IF(E6687="HI",2,IF(E6687="LO",6,10))+IF(T6687=1,2,IF(D6687=7,1,(IF(WEEKDAY(B6687)=1,2,IF(WEEKDAY(B6687)=7,1,0))))))</f>
        <v>2</v>
      </c>
    </row>
    <row r="6688" spans="2:22">
      <c r="B6688" s="318">
        <f t="shared" si="419"/>
        <v>46391</v>
      </c>
      <c r="C6688" s="312">
        <v>12</v>
      </c>
      <c r="D6688" s="368">
        <f>IFERROR((INDEX(METADATA!$T$2:$T$20,MATCH(B6688,METADATA!$S$2:$S$20,0))),0)</f>
        <v>0</v>
      </c>
      <c r="E6688" s="312" t="str">
        <f t="shared" si="416"/>
        <v>HI</v>
      </c>
      <c r="F6688" s="369">
        <f>VLOOKUP(C6688,METADATA!$A$5:$H$29,IF(E6688="HI",2,IF(E6688="LO",6,10))+IF(D6688=1,2,IF(D6688=7,1,(IF(WEEKDAY(B6688)=1,2,IF(WEEKDAY(B6688)=7,1,0))))))</f>
        <v>2</v>
      </c>
      <c r="G6688" s="369">
        <f>VLOOKUP(C6688,METADATA!$J$5:$Q$29,IF(E6688="HI",2,IF(E6688="LO",6,10))+IF(D6688=1,2,IF(D6688=7,1,(IF(WEEKDAY(B6688)=1,2,IF(WEEKDAY(B6688)=7,1,0))))))</f>
        <v>2</v>
      </c>
      <c r="H6688" s="370">
        <v>13041.82470703125</v>
      </c>
      <c r="I6688" s="370">
        <v>4025.1150207519531</v>
      </c>
      <c r="M6688" s="371">
        <f t="shared" si="417"/>
        <v>13648.836676406299</v>
      </c>
      <c r="N6688" s="329">
        <f t="shared" si="418"/>
        <v>112.56760864257831</v>
      </c>
      <c r="T6688" s="331">
        <v>0</v>
      </c>
      <c r="U6688" s="328">
        <f>VLOOKUP(C6688,METADATA!$J$5:$Q$29,IF(E6688="HI",2,IF(E6688="LO",6,10))+IF(T6688=1,2,IF(D6688=7,1,(IF(WEEKDAY(B6688)=1,2,IF(WEEKDAY(B6688)=7,1,0))))))</f>
        <v>2</v>
      </c>
      <c r="V6688" s="328">
        <f>VLOOKUP(C6688,METADATA!$A$5:$H$29,IF(E6688="HI",2,IF(E6688="LO",6,10))+IF(T6688=1,2,IF(D6688=7,1,(IF(WEEKDAY(B6688)=1,2,IF(WEEKDAY(B6688)=7,1,0))))))</f>
        <v>2</v>
      </c>
    </row>
    <row r="6689" spans="2:22">
      <c r="B6689" s="318">
        <f t="shared" si="419"/>
        <v>46391</v>
      </c>
      <c r="C6689" s="312">
        <v>13</v>
      </c>
      <c r="D6689" s="368">
        <f>IFERROR((INDEX(METADATA!$T$2:$T$20,MATCH(B6689,METADATA!$S$2:$S$20,0))),0)</f>
        <v>0</v>
      </c>
      <c r="E6689" s="312" t="str">
        <f t="shared" si="416"/>
        <v>HI</v>
      </c>
      <c r="F6689" s="369">
        <f>VLOOKUP(C6689,METADATA!$A$5:$H$29,IF(E6689="HI",2,IF(E6689="LO",6,10))+IF(D6689=1,2,IF(D6689=7,1,(IF(WEEKDAY(B6689)=1,2,IF(WEEKDAY(B6689)=7,1,0))))))</f>
        <v>2</v>
      </c>
      <c r="G6689" s="369">
        <f>VLOOKUP(C6689,METADATA!$J$5:$Q$29,IF(E6689="HI",2,IF(E6689="LO",6,10))+IF(D6689=1,2,IF(D6689=7,1,(IF(WEEKDAY(B6689)=1,2,IF(WEEKDAY(B6689)=7,1,0))))))</f>
        <v>2</v>
      </c>
      <c r="H6689" s="370">
        <v>12951.97509765625</v>
      </c>
      <c r="I6689" s="370">
        <v>3832.3249206542969</v>
      </c>
      <c r="M6689" s="371">
        <f t="shared" si="417"/>
        <v>13507.049019966411</v>
      </c>
      <c r="N6689" s="329">
        <f t="shared" si="418"/>
        <v>0</v>
      </c>
      <c r="T6689" s="331">
        <v>0</v>
      </c>
      <c r="U6689" s="328">
        <f>VLOOKUP(C6689,METADATA!$J$5:$Q$29,IF(E6689="HI",2,IF(E6689="LO",6,10))+IF(T6689=1,2,IF(D6689=7,1,(IF(WEEKDAY(B6689)=1,2,IF(WEEKDAY(B6689)=7,1,0))))))</f>
        <v>2</v>
      </c>
      <c r="V6689" s="328">
        <f>VLOOKUP(C6689,METADATA!$A$5:$H$29,IF(E6689="HI",2,IF(E6689="LO",6,10))+IF(T6689=1,2,IF(D6689=7,1,(IF(WEEKDAY(B6689)=1,2,IF(WEEKDAY(B6689)=7,1,0))))))</f>
        <v>2</v>
      </c>
    </row>
    <row r="6690" spans="2:22">
      <c r="B6690" s="318">
        <f t="shared" si="419"/>
        <v>46391</v>
      </c>
      <c r="C6690" s="312">
        <v>14</v>
      </c>
      <c r="D6690" s="368">
        <f>IFERROR((INDEX(METADATA!$T$2:$T$20,MATCH(B6690,METADATA!$S$2:$S$20,0))),0)</f>
        <v>0</v>
      </c>
      <c r="E6690" s="312" t="str">
        <f t="shared" si="416"/>
        <v>HI</v>
      </c>
      <c r="F6690" s="369">
        <f>VLOOKUP(C6690,METADATA!$A$5:$H$29,IF(E6690="HI",2,IF(E6690="LO",6,10))+IF(D6690=1,2,IF(D6690=7,1,(IF(WEEKDAY(B6690)=1,2,IF(WEEKDAY(B6690)=7,1,0))))))</f>
        <v>2</v>
      </c>
      <c r="G6690" s="369">
        <f>VLOOKUP(C6690,METADATA!$J$5:$Q$29,IF(E6690="HI",2,IF(E6690="LO",6,10))+IF(D6690=1,2,IF(D6690=7,1,(IF(WEEKDAY(B6690)=1,2,IF(WEEKDAY(B6690)=7,1,0))))))</f>
        <v>2</v>
      </c>
      <c r="H6690" s="370">
        <v>12743.674987792969</v>
      </c>
      <c r="I6690" s="370">
        <v>3572.0450134277344</v>
      </c>
      <c r="M6690" s="371">
        <f t="shared" si="417"/>
        <v>13234.83123324412</v>
      </c>
      <c r="N6690" s="329">
        <f t="shared" si="418"/>
        <v>0</v>
      </c>
      <c r="T6690" s="331">
        <v>0</v>
      </c>
      <c r="U6690" s="328">
        <f>VLOOKUP(C6690,METADATA!$J$5:$Q$29,IF(E6690="HI",2,IF(E6690="LO",6,10))+IF(T6690=1,2,IF(D6690=7,1,(IF(WEEKDAY(B6690)=1,2,IF(WEEKDAY(B6690)=7,1,0))))))</f>
        <v>2</v>
      </c>
      <c r="V6690" s="328">
        <f>VLOOKUP(C6690,METADATA!$A$5:$H$29,IF(E6690="HI",2,IF(E6690="LO",6,10))+IF(T6690=1,2,IF(D6690=7,1,(IF(WEEKDAY(B6690)=1,2,IF(WEEKDAY(B6690)=7,1,0))))))</f>
        <v>2</v>
      </c>
    </row>
    <row r="6691" spans="2:22">
      <c r="B6691" s="318">
        <f t="shared" si="419"/>
        <v>46391</v>
      </c>
      <c r="C6691" s="312">
        <v>15</v>
      </c>
      <c r="D6691" s="368">
        <f>IFERROR((INDEX(METADATA!$T$2:$T$20,MATCH(B6691,METADATA!$S$2:$S$20,0))),0)</f>
        <v>0</v>
      </c>
      <c r="E6691" s="312" t="str">
        <f t="shared" si="416"/>
        <v>HI</v>
      </c>
      <c r="F6691" s="369">
        <f>VLOOKUP(C6691,METADATA!$A$5:$H$29,IF(E6691="HI",2,IF(E6691="LO",6,10))+IF(D6691=1,2,IF(D6691=7,1,(IF(WEEKDAY(B6691)=1,2,IF(WEEKDAY(B6691)=7,1,0))))))</f>
        <v>2</v>
      </c>
      <c r="G6691" s="369">
        <f>VLOOKUP(C6691,METADATA!$J$5:$Q$29,IF(E6691="HI",2,IF(E6691="LO",6,10))+IF(D6691=1,2,IF(D6691=7,1,(IF(WEEKDAY(B6691)=1,2,IF(WEEKDAY(B6691)=7,1,0))))))</f>
        <v>2</v>
      </c>
      <c r="H6691" s="370">
        <v>13306.049987792969</v>
      </c>
      <c r="I6691" s="370">
        <v>3996.3199768066406</v>
      </c>
      <c r="M6691" s="371">
        <f t="shared" si="417"/>
        <v>13893.21919623631</v>
      </c>
      <c r="N6691" s="329">
        <f t="shared" si="418"/>
        <v>4.5049804687500909</v>
      </c>
      <c r="T6691" s="331">
        <v>0</v>
      </c>
      <c r="U6691" s="328">
        <f>VLOOKUP(C6691,METADATA!$J$5:$Q$29,IF(E6691="HI",2,IF(E6691="LO",6,10))+IF(T6691=1,2,IF(D6691=7,1,(IF(WEEKDAY(B6691)=1,2,IF(WEEKDAY(B6691)=7,1,0))))))</f>
        <v>2</v>
      </c>
      <c r="V6691" s="328">
        <f>VLOOKUP(C6691,METADATA!$A$5:$H$29,IF(E6691="HI",2,IF(E6691="LO",6,10))+IF(T6691=1,2,IF(D6691=7,1,(IF(WEEKDAY(B6691)=1,2,IF(WEEKDAY(B6691)=7,1,0))))))</f>
        <v>2</v>
      </c>
    </row>
    <row r="6692" spans="2:22">
      <c r="B6692" s="318">
        <f t="shared" si="419"/>
        <v>46391</v>
      </c>
      <c r="C6692" s="312">
        <v>16</v>
      </c>
      <c r="D6692" s="368">
        <f>IFERROR((INDEX(METADATA!$T$2:$T$20,MATCH(B6692,METADATA!$S$2:$S$20,0))),0)</f>
        <v>0</v>
      </c>
      <c r="E6692" s="312" t="str">
        <f t="shared" si="416"/>
        <v>HI</v>
      </c>
      <c r="F6692" s="369">
        <f>VLOOKUP(C6692,METADATA!$A$5:$H$29,IF(E6692="HI",2,IF(E6692="LO",6,10))+IF(D6692=1,2,IF(D6692=7,1,(IF(WEEKDAY(B6692)=1,2,IF(WEEKDAY(B6692)=7,1,0))))))</f>
        <v>2</v>
      </c>
      <c r="G6692" s="369">
        <f>VLOOKUP(C6692,METADATA!$J$5:$Q$29,IF(E6692="HI",2,IF(E6692="LO",6,10))+IF(D6692=1,2,IF(D6692=7,1,(IF(WEEKDAY(B6692)=1,2,IF(WEEKDAY(B6692)=7,1,0))))))</f>
        <v>2</v>
      </c>
      <c r="H6692" s="370">
        <v>13454.925048828125</v>
      </c>
      <c r="I6692" s="370">
        <v>4193.655029296875</v>
      </c>
      <c r="M6692" s="371">
        <f t="shared" si="417"/>
        <v>14093.322907473932</v>
      </c>
      <c r="N6692" s="329">
        <f t="shared" si="418"/>
        <v>157.17751464843786</v>
      </c>
      <c r="T6692" s="331">
        <v>0</v>
      </c>
      <c r="U6692" s="328">
        <f>VLOOKUP(C6692,METADATA!$J$5:$Q$29,IF(E6692="HI",2,IF(E6692="LO",6,10))+IF(T6692=1,2,IF(D6692=7,1,(IF(WEEKDAY(B6692)=1,2,IF(WEEKDAY(B6692)=7,1,0))))))</f>
        <v>2</v>
      </c>
      <c r="V6692" s="328">
        <f>VLOOKUP(C6692,METADATA!$A$5:$H$29,IF(E6692="HI",2,IF(E6692="LO",6,10))+IF(T6692=1,2,IF(D6692=7,1,(IF(WEEKDAY(B6692)=1,2,IF(WEEKDAY(B6692)=7,1,0))))))</f>
        <v>2</v>
      </c>
    </row>
    <row r="6693" spans="2:22">
      <c r="B6693" s="318">
        <f t="shared" si="419"/>
        <v>46391</v>
      </c>
      <c r="C6693" s="312">
        <v>17</v>
      </c>
      <c r="D6693" s="368">
        <f>IFERROR((INDEX(METADATA!$T$2:$T$20,MATCH(B6693,METADATA!$S$2:$S$20,0))),0)</f>
        <v>0</v>
      </c>
      <c r="E6693" s="312" t="str">
        <f t="shared" si="416"/>
        <v>HI</v>
      </c>
      <c r="F6693" s="369">
        <f>VLOOKUP(C6693,METADATA!$A$5:$H$29,IF(E6693="HI",2,IF(E6693="LO",6,10))+IF(D6693=1,2,IF(D6693=7,1,(IF(WEEKDAY(B6693)=1,2,IF(WEEKDAY(B6693)=7,1,0))))))</f>
        <v>1</v>
      </c>
      <c r="G6693" s="369">
        <f>VLOOKUP(C6693,METADATA!$J$5:$Q$29,IF(E6693="HI",2,IF(E6693="LO",6,10))+IF(D6693=1,2,IF(D6693=7,1,(IF(WEEKDAY(B6693)=1,2,IF(WEEKDAY(B6693)=7,1,0))))))</f>
        <v>1</v>
      </c>
      <c r="H6693" s="370">
        <v>13386.550109863281</v>
      </c>
      <c r="I6693" s="370">
        <v>4108.5050964355469</v>
      </c>
      <c r="M6693" s="371">
        <f t="shared" si="417"/>
        <v>14002.840353703868</v>
      </c>
      <c r="N6693" s="329">
        <f t="shared" si="418"/>
        <v>92.540063476562864</v>
      </c>
      <c r="T6693" s="331">
        <v>0</v>
      </c>
      <c r="U6693" s="328">
        <f>VLOOKUP(C6693,METADATA!$J$5:$Q$29,IF(E6693="HI",2,IF(E6693="LO",6,10))+IF(T6693=1,2,IF(D6693=7,1,(IF(WEEKDAY(B6693)=1,2,IF(WEEKDAY(B6693)=7,1,0))))))</f>
        <v>1</v>
      </c>
      <c r="V6693" s="328">
        <f>VLOOKUP(C6693,METADATA!$A$5:$H$29,IF(E6693="HI",2,IF(E6693="LO",6,10))+IF(T6693=1,2,IF(D6693=7,1,(IF(WEEKDAY(B6693)=1,2,IF(WEEKDAY(B6693)=7,1,0))))))</f>
        <v>1</v>
      </c>
    </row>
    <row r="6694" spans="2:22">
      <c r="B6694" s="318">
        <f t="shared" si="419"/>
        <v>46391</v>
      </c>
      <c r="C6694" s="312">
        <v>18</v>
      </c>
      <c r="D6694" s="368">
        <f>IFERROR((INDEX(METADATA!$T$2:$T$20,MATCH(B6694,METADATA!$S$2:$S$20,0))),0)</f>
        <v>0</v>
      </c>
      <c r="E6694" s="312" t="str">
        <f t="shared" si="416"/>
        <v>HI</v>
      </c>
      <c r="F6694" s="369">
        <f>VLOOKUP(C6694,METADATA!$A$5:$H$29,IF(E6694="HI",2,IF(E6694="LO",6,10))+IF(D6694=1,2,IF(D6694=7,1,(IF(WEEKDAY(B6694)=1,2,IF(WEEKDAY(B6694)=7,1,0))))))</f>
        <v>1</v>
      </c>
      <c r="G6694" s="369">
        <f>VLOOKUP(C6694,METADATA!$J$5:$Q$29,IF(E6694="HI",2,IF(E6694="LO",6,10))+IF(D6694=1,2,IF(D6694=7,1,(IF(WEEKDAY(B6694)=1,2,IF(WEEKDAY(B6694)=7,1,0))))))</f>
        <v>1</v>
      </c>
      <c r="H6694" s="370">
        <v>12951.149780273438</v>
      </c>
      <c r="I6694" s="370">
        <v>3732.7399444580078</v>
      </c>
      <c r="M6694" s="371">
        <f t="shared" si="417"/>
        <v>13478.339219801121</v>
      </c>
      <c r="N6694" s="329">
        <f t="shared" si="418"/>
        <v>0</v>
      </c>
      <c r="T6694" s="331">
        <v>0</v>
      </c>
      <c r="U6694" s="328">
        <f>VLOOKUP(C6694,METADATA!$J$5:$Q$29,IF(E6694="HI",2,IF(E6694="LO",6,10))+IF(T6694=1,2,IF(D6694=7,1,(IF(WEEKDAY(B6694)=1,2,IF(WEEKDAY(B6694)=7,1,0))))))</f>
        <v>1</v>
      </c>
      <c r="V6694" s="328">
        <f>VLOOKUP(C6694,METADATA!$A$5:$H$29,IF(E6694="HI",2,IF(E6694="LO",6,10))+IF(T6694=1,2,IF(D6694=7,1,(IF(WEEKDAY(B6694)=1,2,IF(WEEKDAY(B6694)=7,1,0))))))</f>
        <v>1</v>
      </c>
    </row>
    <row r="6695" spans="2:22">
      <c r="B6695" s="318">
        <f t="shared" si="419"/>
        <v>46391</v>
      </c>
      <c r="C6695" s="312">
        <v>19</v>
      </c>
      <c r="D6695" s="368">
        <f>IFERROR((INDEX(METADATA!$T$2:$T$20,MATCH(B6695,METADATA!$S$2:$S$20,0))),0)</f>
        <v>0</v>
      </c>
      <c r="E6695" s="312" t="str">
        <f t="shared" si="416"/>
        <v>HI</v>
      </c>
      <c r="F6695" s="369">
        <f>VLOOKUP(C6695,METADATA!$A$5:$H$29,IF(E6695="HI",2,IF(E6695="LO",6,10))+IF(D6695=1,2,IF(D6695=7,1,(IF(WEEKDAY(B6695)=1,2,IF(WEEKDAY(B6695)=7,1,0))))))</f>
        <v>1</v>
      </c>
      <c r="G6695" s="369">
        <f>VLOOKUP(C6695,METADATA!$J$5:$Q$29,IF(E6695="HI",2,IF(E6695="LO",6,10))+IF(D6695=1,2,IF(D6695=7,1,(IF(WEEKDAY(B6695)=1,2,IF(WEEKDAY(B6695)=7,1,0))))))</f>
        <v>1</v>
      </c>
      <c r="H6695" s="370">
        <v>12561.6748046875</v>
      </c>
      <c r="I6695" s="370">
        <v>3672.4501342773438</v>
      </c>
      <c r="M6695" s="371">
        <f t="shared" si="417"/>
        <v>13087.496471345252</v>
      </c>
      <c r="N6695" s="329">
        <f t="shared" si="418"/>
        <v>0</v>
      </c>
      <c r="T6695" s="331">
        <v>0</v>
      </c>
      <c r="U6695" s="328">
        <f>VLOOKUP(C6695,METADATA!$J$5:$Q$29,IF(E6695="HI",2,IF(E6695="LO",6,10))+IF(T6695=1,2,IF(D6695=7,1,(IF(WEEKDAY(B6695)=1,2,IF(WEEKDAY(B6695)=7,1,0))))))</f>
        <v>1</v>
      </c>
      <c r="V6695" s="328">
        <f>VLOOKUP(C6695,METADATA!$A$5:$H$29,IF(E6695="HI",2,IF(E6695="LO",6,10))+IF(T6695=1,2,IF(D6695=7,1,(IF(WEEKDAY(B6695)=1,2,IF(WEEKDAY(B6695)=7,1,0))))))</f>
        <v>1</v>
      </c>
    </row>
    <row r="6696" spans="2:22">
      <c r="B6696" s="318">
        <f t="shared" si="419"/>
        <v>46391</v>
      </c>
      <c r="C6696" s="312">
        <v>20</v>
      </c>
      <c r="D6696" s="368">
        <f>IFERROR((INDEX(METADATA!$T$2:$T$20,MATCH(B6696,METADATA!$S$2:$S$20,0))),0)</f>
        <v>0</v>
      </c>
      <c r="E6696" s="312" t="str">
        <f t="shared" si="416"/>
        <v>HI</v>
      </c>
      <c r="F6696" s="369">
        <f>VLOOKUP(C6696,METADATA!$A$5:$H$29,IF(E6696="HI",2,IF(E6696="LO",6,10))+IF(D6696=1,2,IF(D6696=7,1,(IF(WEEKDAY(B6696)=1,2,IF(WEEKDAY(B6696)=7,1,0))))))</f>
        <v>2</v>
      </c>
      <c r="G6696" s="369">
        <f>VLOOKUP(C6696,METADATA!$J$5:$Q$29,IF(E6696="HI",2,IF(E6696="LO",6,10))+IF(D6696=1,2,IF(D6696=7,1,(IF(WEEKDAY(B6696)=1,2,IF(WEEKDAY(B6696)=7,1,0))))))</f>
        <v>2</v>
      </c>
      <c r="H6696" s="370">
        <v>12887.950073242188</v>
      </c>
      <c r="I6696" s="370">
        <v>3934.6651611328125</v>
      </c>
      <c r="M6696" s="371">
        <f t="shared" si="417"/>
        <v>13475.193765605583</v>
      </c>
      <c r="N6696" s="329">
        <f t="shared" si="418"/>
        <v>68.280139160156523</v>
      </c>
      <c r="T6696" s="331">
        <v>0</v>
      </c>
      <c r="U6696" s="328">
        <f>VLOOKUP(C6696,METADATA!$J$5:$Q$29,IF(E6696="HI",2,IF(E6696="LO",6,10))+IF(T6696=1,2,IF(D6696=7,1,(IF(WEEKDAY(B6696)=1,2,IF(WEEKDAY(B6696)=7,1,0))))))</f>
        <v>2</v>
      </c>
      <c r="V6696" s="328">
        <f>VLOOKUP(C6696,METADATA!$A$5:$H$29,IF(E6696="HI",2,IF(E6696="LO",6,10))+IF(T6696=1,2,IF(D6696=7,1,(IF(WEEKDAY(B6696)=1,2,IF(WEEKDAY(B6696)=7,1,0))))))</f>
        <v>2</v>
      </c>
    </row>
    <row r="6697" spans="2:22">
      <c r="B6697" s="318">
        <f t="shared" si="419"/>
        <v>46391</v>
      </c>
      <c r="C6697" s="312">
        <v>21</v>
      </c>
      <c r="D6697" s="368">
        <f>IFERROR((INDEX(METADATA!$T$2:$T$20,MATCH(B6697,METADATA!$S$2:$S$20,0))),0)</f>
        <v>0</v>
      </c>
      <c r="E6697" s="312" t="str">
        <f t="shared" si="416"/>
        <v>HI</v>
      </c>
      <c r="F6697" s="369">
        <f>VLOOKUP(C6697,METADATA!$A$5:$H$29,IF(E6697="HI",2,IF(E6697="LO",6,10))+IF(D6697=1,2,IF(D6697=7,1,(IF(WEEKDAY(B6697)=1,2,IF(WEEKDAY(B6697)=7,1,0))))))</f>
        <v>2</v>
      </c>
      <c r="G6697" s="369">
        <f>VLOOKUP(C6697,METADATA!$J$5:$Q$29,IF(E6697="HI",2,IF(E6697="LO",6,10))+IF(D6697=1,2,IF(D6697=7,1,(IF(WEEKDAY(B6697)=1,2,IF(WEEKDAY(B6697)=7,1,0))))))</f>
        <v>2</v>
      </c>
      <c r="H6697" s="370">
        <v>10701.474853515625</v>
      </c>
      <c r="I6697" s="370">
        <v>3321.5849838256836</v>
      </c>
      <c r="M6697" s="371">
        <f t="shared" si="417"/>
        <v>11205.110032712912</v>
      </c>
      <c r="N6697" s="329">
        <f t="shared" si="418"/>
        <v>111.14252777099637</v>
      </c>
      <c r="T6697" s="331">
        <v>0</v>
      </c>
      <c r="U6697" s="328">
        <f>VLOOKUP(C6697,METADATA!$J$5:$Q$29,IF(E6697="HI",2,IF(E6697="LO",6,10))+IF(T6697=1,2,IF(D6697=7,1,(IF(WEEKDAY(B6697)=1,2,IF(WEEKDAY(B6697)=7,1,0))))))</f>
        <v>2</v>
      </c>
      <c r="V6697" s="328">
        <f>VLOOKUP(C6697,METADATA!$A$5:$H$29,IF(E6697="HI",2,IF(E6697="LO",6,10))+IF(T6697=1,2,IF(D6697=7,1,(IF(WEEKDAY(B6697)=1,2,IF(WEEKDAY(B6697)=7,1,0))))))</f>
        <v>2</v>
      </c>
    </row>
    <row r="6698" spans="2:22">
      <c r="B6698" s="318">
        <f t="shared" si="419"/>
        <v>46391</v>
      </c>
      <c r="C6698" s="312">
        <v>22</v>
      </c>
      <c r="D6698" s="368">
        <f>IFERROR((INDEX(METADATA!$T$2:$T$20,MATCH(B6698,METADATA!$S$2:$S$20,0))),0)</f>
        <v>0</v>
      </c>
      <c r="E6698" s="312" t="str">
        <f t="shared" si="416"/>
        <v>HI</v>
      </c>
      <c r="F6698" s="369">
        <f>VLOOKUP(C6698,METADATA!$A$5:$H$29,IF(E6698="HI",2,IF(E6698="LO",6,10))+IF(D6698=1,2,IF(D6698=7,1,(IF(WEEKDAY(B6698)=1,2,IF(WEEKDAY(B6698)=7,1,0))))))</f>
        <v>3</v>
      </c>
      <c r="G6698" s="369">
        <f>VLOOKUP(C6698,METADATA!$J$5:$Q$29,IF(E6698="HI",2,IF(E6698="LO",6,10))+IF(D6698=1,2,IF(D6698=7,1,(IF(WEEKDAY(B6698)=1,2,IF(WEEKDAY(B6698)=7,1,0))))))</f>
        <v>3</v>
      </c>
      <c r="H6698" s="370">
        <v>13261.400207519531</v>
      </c>
      <c r="I6698" s="370">
        <v>4220.7249145507813</v>
      </c>
      <c r="M6698" s="371">
        <f t="shared" si="417"/>
        <v>13916.869413352586</v>
      </c>
      <c r="N6698" s="329">
        <f t="shared" si="418"/>
        <v>242.30485229492206</v>
      </c>
      <c r="T6698" s="331">
        <v>0</v>
      </c>
      <c r="U6698" s="328">
        <f>VLOOKUP(C6698,METADATA!$J$5:$Q$29,IF(E6698="HI",2,IF(E6698="LO",6,10))+IF(T6698=1,2,IF(D6698=7,1,(IF(WEEKDAY(B6698)=1,2,IF(WEEKDAY(B6698)=7,1,0))))))</f>
        <v>3</v>
      </c>
      <c r="V6698" s="328">
        <f>VLOOKUP(C6698,METADATA!$A$5:$H$29,IF(E6698="HI",2,IF(E6698="LO",6,10))+IF(T6698=1,2,IF(D6698=7,1,(IF(WEEKDAY(B6698)=1,2,IF(WEEKDAY(B6698)=7,1,0))))))</f>
        <v>3</v>
      </c>
    </row>
    <row r="6699" spans="2:22">
      <c r="B6699" s="318">
        <f t="shared" si="419"/>
        <v>46391</v>
      </c>
      <c r="C6699" s="312">
        <v>23</v>
      </c>
      <c r="D6699" s="368">
        <f>IFERROR((INDEX(METADATA!$T$2:$T$20,MATCH(B6699,METADATA!$S$2:$S$20,0))),0)</f>
        <v>0</v>
      </c>
      <c r="E6699" s="312" t="str">
        <f t="shared" si="416"/>
        <v>HI</v>
      </c>
      <c r="F6699" s="369">
        <f>VLOOKUP(C6699,METADATA!$A$5:$H$29,IF(E6699="HI",2,IF(E6699="LO",6,10))+IF(D6699=1,2,IF(D6699=7,1,(IF(WEEKDAY(B6699)=1,2,IF(WEEKDAY(B6699)=7,1,0))))))</f>
        <v>3</v>
      </c>
      <c r="G6699" s="369">
        <f>VLOOKUP(C6699,METADATA!$J$5:$Q$29,IF(E6699="HI",2,IF(E6699="LO",6,10))+IF(D6699=1,2,IF(D6699=7,1,(IF(WEEKDAY(B6699)=1,2,IF(WEEKDAY(B6699)=7,1,0))))))</f>
        <v>3</v>
      </c>
      <c r="H6699" s="370">
        <v>12598.199951171875</v>
      </c>
      <c r="I6699" s="370">
        <v>3945.1699523925781</v>
      </c>
      <c r="M6699" s="371">
        <f t="shared" si="417"/>
        <v>13201.477491666161</v>
      </c>
      <c r="N6699" s="329">
        <f t="shared" si="418"/>
        <v>165.70996704101572</v>
      </c>
      <c r="T6699" s="331">
        <v>0</v>
      </c>
      <c r="U6699" s="328">
        <f>VLOOKUP(C6699,METADATA!$J$5:$Q$29,IF(E6699="HI",2,IF(E6699="LO",6,10))+IF(T6699=1,2,IF(D6699=7,1,(IF(WEEKDAY(B6699)=1,2,IF(WEEKDAY(B6699)=7,1,0))))))</f>
        <v>3</v>
      </c>
      <c r="V6699" s="328">
        <f>VLOOKUP(C6699,METADATA!$A$5:$H$29,IF(E6699="HI",2,IF(E6699="LO",6,10))+IF(T6699=1,2,IF(D6699=7,1,(IF(WEEKDAY(B6699)=1,2,IF(WEEKDAY(B6699)=7,1,0))))))</f>
        <v>3</v>
      </c>
    </row>
    <row r="6700" spans="2:22">
      <c r="B6700" s="318">
        <f t="shared" si="419"/>
        <v>46392</v>
      </c>
      <c r="C6700" s="312">
        <v>0</v>
      </c>
      <c r="D6700" s="368">
        <f>IFERROR((INDEX(METADATA!$T$2:$T$20,MATCH(B6700,METADATA!$S$2:$S$20,0))),0)</f>
        <v>0</v>
      </c>
      <c r="E6700" s="312" t="str">
        <f t="shared" si="416"/>
        <v>HI</v>
      </c>
      <c r="F6700" s="369">
        <f>VLOOKUP(C6700,METADATA!$A$5:$H$29,IF(E6700="HI",2,IF(E6700="LO",6,10))+IF(D6700=1,2,IF(D6700=7,1,(IF(WEEKDAY(B6700)=1,2,IF(WEEKDAY(B6700)=7,1,0))))))</f>
        <v>3</v>
      </c>
      <c r="G6700" s="369">
        <f>VLOOKUP(C6700,METADATA!$J$5:$Q$29,IF(E6700="HI",2,IF(E6700="LO",6,10))+IF(D6700=1,2,IF(D6700=7,1,(IF(WEEKDAY(B6700)=1,2,IF(WEEKDAY(B6700)=7,1,0))))))</f>
        <v>3</v>
      </c>
      <c r="H6700" s="370">
        <v>9664.4498901367188</v>
      </c>
      <c r="I6700" s="370">
        <v>3054.8099670410156</v>
      </c>
      <c r="M6700" s="371">
        <f t="shared" si="417"/>
        <v>10135.751359109829</v>
      </c>
      <c r="N6700" s="329">
        <f t="shared" si="418"/>
        <v>155.47499999999991</v>
      </c>
      <c r="T6700" s="331">
        <v>0</v>
      </c>
      <c r="U6700" s="328">
        <f>VLOOKUP(C6700,METADATA!$J$5:$Q$29,IF(E6700="HI",2,IF(E6700="LO",6,10))+IF(T6700=1,2,IF(D6700=7,1,(IF(WEEKDAY(B6700)=1,2,IF(WEEKDAY(B6700)=7,1,0))))))</f>
        <v>3</v>
      </c>
      <c r="V6700" s="328">
        <f>VLOOKUP(C6700,METADATA!$A$5:$H$29,IF(E6700="HI",2,IF(E6700="LO",6,10))+IF(T6700=1,2,IF(D6700=7,1,(IF(WEEKDAY(B6700)=1,2,IF(WEEKDAY(B6700)=7,1,0))))))</f>
        <v>3</v>
      </c>
    </row>
    <row r="6701" spans="2:22">
      <c r="B6701" s="318">
        <f t="shared" si="419"/>
        <v>46392</v>
      </c>
      <c r="C6701" s="312">
        <v>1</v>
      </c>
      <c r="D6701" s="368">
        <f>IFERROR((INDEX(METADATA!$T$2:$T$20,MATCH(B6701,METADATA!$S$2:$S$20,0))),0)</f>
        <v>0</v>
      </c>
      <c r="E6701" s="312" t="str">
        <f t="shared" si="416"/>
        <v>HI</v>
      </c>
      <c r="F6701" s="369">
        <f>VLOOKUP(C6701,METADATA!$A$5:$H$29,IF(E6701="HI",2,IF(E6701="LO",6,10))+IF(D6701=1,2,IF(D6701=7,1,(IF(WEEKDAY(B6701)=1,2,IF(WEEKDAY(B6701)=7,1,0))))))</f>
        <v>3</v>
      </c>
      <c r="G6701" s="369">
        <f>VLOOKUP(C6701,METADATA!$J$5:$Q$29,IF(E6701="HI",2,IF(E6701="LO",6,10))+IF(D6701=1,2,IF(D6701=7,1,(IF(WEEKDAY(B6701)=1,2,IF(WEEKDAY(B6701)=7,1,0))))))</f>
        <v>3</v>
      </c>
      <c r="H6701" s="370">
        <v>13060.399963378906</v>
      </c>
      <c r="I6701" s="370">
        <v>3997.9799499511719</v>
      </c>
      <c r="M6701" s="371">
        <f t="shared" si="417"/>
        <v>13658.619655134969</v>
      </c>
      <c r="N6701" s="329">
        <f t="shared" si="418"/>
        <v>79.859960937500091</v>
      </c>
      <c r="T6701" s="331">
        <v>0</v>
      </c>
      <c r="U6701" s="328">
        <f>VLOOKUP(C6701,METADATA!$J$5:$Q$29,IF(E6701="HI",2,IF(E6701="LO",6,10))+IF(T6701=1,2,IF(D6701=7,1,(IF(WEEKDAY(B6701)=1,2,IF(WEEKDAY(B6701)=7,1,0))))))</f>
        <v>3</v>
      </c>
      <c r="V6701" s="328">
        <f>VLOOKUP(C6701,METADATA!$A$5:$H$29,IF(E6701="HI",2,IF(E6701="LO",6,10))+IF(T6701=1,2,IF(D6701=7,1,(IF(WEEKDAY(B6701)=1,2,IF(WEEKDAY(B6701)=7,1,0))))))</f>
        <v>3</v>
      </c>
    </row>
    <row r="6702" spans="2:22">
      <c r="B6702" s="318">
        <f t="shared" si="419"/>
        <v>46392</v>
      </c>
      <c r="C6702" s="312">
        <v>2</v>
      </c>
      <c r="D6702" s="368">
        <f>IFERROR((INDEX(METADATA!$T$2:$T$20,MATCH(B6702,METADATA!$S$2:$S$20,0))),0)</f>
        <v>0</v>
      </c>
      <c r="E6702" s="312" t="str">
        <f t="shared" si="416"/>
        <v>HI</v>
      </c>
      <c r="F6702" s="369">
        <f>VLOOKUP(C6702,METADATA!$A$5:$H$29,IF(E6702="HI",2,IF(E6702="LO",6,10))+IF(D6702=1,2,IF(D6702=7,1,(IF(WEEKDAY(B6702)=1,2,IF(WEEKDAY(B6702)=7,1,0))))))</f>
        <v>3</v>
      </c>
      <c r="G6702" s="369">
        <f>VLOOKUP(C6702,METADATA!$J$5:$Q$29,IF(E6702="HI",2,IF(E6702="LO",6,10))+IF(D6702=1,2,IF(D6702=7,1,(IF(WEEKDAY(B6702)=1,2,IF(WEEKDAY(B6702)=7,1,0))))))</f>
        <v>3</v>
      </c>
      <c r="H6702" s="370">
        <v>12858.349853515625</v>
      </c>
      <c r="I6702" s="370">
        <v>3603.2799682617188</v>
      </c>
      <c r="M6702" s="371">
        <f t="shared" si="417"/>
        <v>13353.680671825332</v>
      </c>
      <c r="N6702" s="329">
        <f t="shared" si="418"/>
        <v>0</v>
      </c>
      <c r="T6702" s="331">
        <v>0</v>
      </c>
      <c r="U6702" s="328">
        <f>VLOOKUP(C6702,METADATA!$J$5:$Q$29,IF(E6702="HI",2,IF(E6702="LO",6,10))+IF(T6702=1,2,IF(D6702=7,1,(IF(WEEKDAY(B6702)=1,2,IF(WEEKDAY(B6702)=7,1,0))))))</f>
        <v>3</v>
      </c>
      <c r="V6702" s="328">
        <f>VLOOKUP(C6702,METADATA!$A$5:$H$29,IF(E6702="HI",2,IF(E6702="LO",6,10))+IF(T6702=1,2,IF(D6702=7,1,(IF(WEEKDAY(B6702)=1,2,IF(WEEKDAY(B6702)=7,1,0))))))</f>
        <v>3</v>
      </c>
    </row>
    <row r="6703" spans="2:22">
      <c r="B6703" s="318">
        <f t="shared" si="419"/>
        <v>46392</v>
      </c>
      <c r="C6703" s="312">
        <v>3</v>
      </c>
      <c r="D6703" s="368">
        <f>IFERROR((INDEX(METADATA!$T$2:$T$20,MATCH(B6703,METADATA!$S$2:$S$20,0))),0)</f>
        <v>0</v>
      </c>
      <c r="E6703" s="312" t="str">
        <f t="shared" si="416"/>
        <v>HI</v>
      </c>
      <c r="F6703" s="369">
        <f>VLOOKUP(C6703,METADATA!$A$5:$H$29,IF(E6703="HI",2,IF(E6703="LO",6,10))+IF(D6703=1,2,IF(D6703=7,1,(IF(WEEKDAY(B6703)=1,2,IF(WEEKDAY(B6703)=7,1,0))))))</f>
        <v>3</v>
      </c>
      <c r="G6703" s="369">
        <f>VLOOKUP(C6703,METADATA!$J$5:$Q$29,IF(E6703="HI",2,IF(E6703="LO",6,10))+IF(D6703=1,2,IF(D6703=7,1,(IF(WEEKDAY(B6703)=1,2,IF(WEEKDAY(B6703)=7,1,0))))))</f>
        <v>3</v>
      </c>
      <c r="H6703" s="370">
        <v>12903.475036621094</v>
      </c>
      <c r="I6703" s="370">
        <v>3740.2800598144531</v>
      </c>
      <c r="M6703" s="371">
        <f t="shared" si="417"/>
        <v>13434.632966573719</v>
      </c>
      <c r="N6703" s="329">
        <f t="shared" si="418"/>
        <v>0</v>
      </c>
      <c r="T6703" s="331">
        <v>0</v>
      </c>
      <c r="U6703" s="328">
        <f>VLOOKUP(C6703,METADATA!$J$5:$Q$29,IF(E6703="HI",2,IF(E6703="LO",6,10))+IF(T6703=1,2,IF(D6703=7,1,(IF(WEEKDAY(B6703)=1,2,IF(WEEKDAY(B6703)=7,1,0))))))</f>
        <v>3</v>
      </c>
      <c r="V6703" s="328">
        <f>VLOOKUP(C6703,METADATA!$A$5:$H$29,IF(E6703="HI",2,IF(E6703="LO",6,10))+IF(T6703=1,2,IF(D6703=7,1,(IF(WEEKDAY(B6703)=1,2,IF(WEEKDAY(B6703)=7,1,0))))))</f>
        <v>3</v>
      </c>
    </row>
    <row r="6704" spans="2:22">
      <c r="B6704" s="318">
        <f t="shared" si="419"/>
        <v>46392</v>
      </c>
      <c r="C6704" s="312">
        <v>4</v>
      </c>
      <c r="D6704" s="368">
        <f>IFERROR((INDEX(METADATA!$T$2:$T$20,MATCH(B6704,METADATA!$S$2:$S$20,0))),0)</f>
        <v>0</v>
      </c>
      <c r="E6704" s="312" t="str">
        <f t="shared" si="416"/>
        <v>HI</v>
      </c>
      <c r="F6704" s="369">
        <f>VLOOKUP(C6704,METADATA!$A$5:$H$29,IF(E6704="HI",2,IF(E6704="LO",6,10))+IF(D6704=1,2,IF(D6704=7,1,(IF(WEEKDAY(B6704)=1,2,IF(WEEKDAY(B6704)=7,1,0))))))</f>
        <v>3</v>
      </c>
      <c r="G6704" s="369">
        <f>VLOOKUP(C6704,METADATA!$J$5:$Q$29,IF(E6704="HI",2,IF(E6704="LO",6,10))+IF(D6704=1,2,IF(D6704=7,1,(IF(WEEKDAY(B6704)=1,2,IF(WEEKDAY(B6704)=7,1,0))))))</f>
        <v>3</v>
      </c>
      <c r="H6704" s="370">
        <v>13099.849792480469</v>
      </c>
      <c r="I6704" s="370">
        <v>4001.7049865722656</v>
      </c>
      <c r="M6704" s="371">
        <f t="shared" si="417"/>
        <v>13697.434335856768</v>
      </c>
      <c r="N6704" s="329">
        <f t="shared" si="418"/>
        <v>71.750048828125273</v>
      </c>
      <c r="T6704" s="331">
        <v>0</v>
      </c>
      <c r="U6704" s="328">
        <f>VLOOKUP(C6704,METADATA!$J$5:$Q$29,IF(E6704="HI",2,IF(E6704="LO",6,10))+IF(T6704=1,2,IF(D6704=7,1,(IF(WEEKDAY(B6704)=1,2,IF(WEEKDAY(B6704)=7,1,0))))))</f>
        <v>3</v>
      </c>
      <c r="V6704" s="328">
        <f>VLOOKUP(C6704,METADATA!$A$5:$H$29,IF(E6704="HI",2,IF(E6704="LO",6,10))+IF(T6704=1,2,IF(D6704=7,1,(IF(WEEKDAY(B6704)=1,2,IF(WEEKDAY(B6704)=7,1,0))))))</f>
        <v>3</v>
      </c>
    </row>
    <row r="6705" spans="2:22">
      <c r="B6705" s="318">
        <f t="shared" si="419"/>
        <v>46392</v>
      </c>
      <c r="C6705" s="312">
        <v>5</v>
      </c>
      <c r="D6705" s="368">
        <f>IFERROR((INDEX(METADATA!$T$2:$T$20,MATCH(B6705,METADATA!$S$2:$S$20,0))),0)</f>
        <v>0</v>
      </c>
      <c r="E6705" s="312" t="str">
        <f t="shared" si="416"/>
        <v>HI</v>
      </c>
      <c r="F6705" s="369">
        <f>VLOOKUP(C6705,METADATA!$A$5:$H$29,IF(E6705="HI",2,IF(E6705="LO",6,10))+IF(D6705=1,2,IF(D6705=7,1,(IF(WEEKDAY(B6705)=1,2,IF(WEEKDAY(B6705)=7,1,0))))))</f>
        <v>3</v>
      </c>
      <c r="G6705" s="369">
        <f>VLOOKUP(C6705,METADATA!$J$5:$Q$29,IF(E6705="HI",2,IF(E6705="LO",6,10))+IF(D6705=1,2,IF(D6705=7,1,(IF(WEEKDAY(B6705)=1,2,IF(WEEKDAY(B6705)=7,1,0))))))</f>
        <v>3</v>
      </c>
      <c r="H6705" s="370">
        <v>13042.725219726563</v>
      </c>
      <c r="I6705" s="370">
        <v>3929.2950744628906</v>
      </c>
      <c r="M6705" s="371">
        <f t="shared" si="417"/>
        <v>13621.748820892626</v>
      </c>
      <c r="N6705" s="329">
        <f t="shared" si="418"/>
        <v>16.477508544921875</v>
      </c>
      <c r="T6705" s="331">
        <v>0</v>
      </c>
      <c r="U6705" s="328">
        <f>VLOOKUP(C6705,METADATA!$J$5:$Q$29,IF(E6705="HI",2,IF(E6705="LO",6,10))+IF(T6705=1,2,IF(D6705=7,1,(IF(WEEKDAY(B6705)=1,2,IF(WEEKDAY(B6705)=7,1,0))))))</f>
        <v>3</v>
      </c>
      <c r="V6705" s="328">
        <f>VLOOKUP(C6705,METADATA!$A$5:$H$29,IF(E6705="HI",2,IF(E6705="LO",6,10))+IF(T6705=1,2,IF(D6705=7,1,(IF(WEEKDAY(B6705)=1,2,IF(WEEKDAY(B6705)=7,1,0))))))</f>
        <v>3</v>
      </c>
    </row>
    <row r="6706" spans="2:22">
      <c r="B6706" s="318">
        <f t="shared" si="419"/>
        <v>46392</v>
      </c>
      <c r="C6706" s="312">
        <v>6</v>
      </c>
      <c r="D6706" s="368">
        <f>IFERROR((INDEX(METADATA!$T$2:$T$20,MATCH(B6706,METADATA!$S$2:$S$20,0))),0)</f>
        <v>0</v>
      </c>
      <c r="E6706" s="312" t="str">
        <f t="shared" si="416"/>
        <v>HI</v>
      </c>
      <c r="F6706" s="369">
        <f>VLOOKUP(C6706,METADATA!$A$5:$H$29,IF(E6706="HI",2,IF(E6706="LO",6,10))+IF(D6706=1,2,IF(D6706=7,1,(IF(WEEKDAY(B6706)=1,2,IF(WEEKDAY(B6706)=7,1,0))))))</f>
        <v>1</v>
      </c>
      <c r="G6706" s="369">
        <f>VLOOKUP(C6706,METADATA!$J$5:$Q$29,IF(E6706="HI",2,IF(E6706="LO",6,10))+IF(D6706=1,2,IF(D6706=7,1,(IF(WEEKDAY(B6706)=1,2,IF(WEEKDAY(B6706)=7,1,0))))))</f>
        <v>1</v>
      </c>
      <c r="H6706" s="370">
        <v>13118.824951171875</v>
      </c>
      <c r="I6706" s="370">
        <v>3912.465087890625</v>
      </c>
      <c r="M6706" s="371">
        <f t="shared" si="417"/>
        <v>13689.811947702305</v>
      </c>
      <c r="N6706" s="329">
        <f t="shared" si="418"/>
        <v>0</v>
      </c>
      <c r="T6706" s="331">
        <v>0</v>
      </c>
      <c r="U6706" s="328">
        <f>VLOOKUP(C6706,METADATA!$J$5:$Q$29,IF(E6706="HI",2,IF(E6706="LO",6,10))+IF(T6706=1,2,IF(D6706=7,1,(IF(WEEKDAY(B6706)=1,2,IF(WEEKDAY(B6706)=7,1,0))))))</f>
        <v>1</v>
      </c>
      <c r="V6706" s="328">
        <f>VLOOKUP(C6706,METADATA!$A$5:$H$29,IF(E6706="HI",2,IF(E6706="LO",6,10))+IF(T6706=1,2,IF(D6706=7,1,(IF(WEEKDAY(B6706)=1,2,IF(WEEKDAY(B6706)=7,1,0))))))</f>
        <v>1</v>
      </c>
    </row>
    <row r="6707" spans="2:22">
      <c r="B6707" s="318">
        <f t="shared" si="419"/>
        <v>46392</v>
      </c>
      <c r="C6707" s="312">
        <v>7</v>
      </c>
      <c r="D6707" s="368">
        <f>IFERROR((INDEX(METADATA!$T$2:$T$20,MATCH(B6707,METADATA!$S$2:$S$20,0))),0)</f>
        <v>0</v>
      </c>
      <c r="E6707" s="312" t="str">
        <f t="shared" si="416"/>
        <v>HI</v>
      </c>
      <c r="F6707" s="369">
        <f>VLOOKUP(C6707,METADATA!$A$5:$H$29,IF(E6707="HI",2,IF(E6707="LO",6,10))+IF(D6707=1,2,IF(D6707=7,1,(IF(WEEKDAY(B6707)=1,2,IF(WEEKDAY(B6707)=7,1,0))))))</f>
        <v>1</v>
      </c>
      <c r="G6707" s="369">
        <f>VLOOKUP(C6707,METADATA!$J$5:$Q$29,IF(E6707="HI",2,IF(E6707="LO",6,10))+IF(D6707=1,2,IF(D6707=7,1,(IF(WEEKDAY(B6707)=1,2,IF(WEEKDAY(B6707)=7,1,0))))))</f>
        <v>1</v>
      </c>
      <c r="H6707" s="370">
        <v>13233.85009765625</v>
      </c>
      <c r="I6707" s="370">
        <v>3974.5550231933594</v>
      </c>
      <c r="M6707" s="371">
        <f t="shared" si="417"/>
        <v>13817.810102893582</v>
      </c>
      <c r="N6707" s="329">
        <f t="shared" si="418"/>
        <v>4.399993896484375</v>
      </c>
      <c r="T6707" s="331">
        <v>0</v>
      </c>
      <c r="U6707" s="328">
        <f>VLOOKUP(C6707,METADATA!$J$5:$Q$29,IF(E6707="HI",2,IF(E6707="LO",6,10))+IF(T6707=1,2,IF(D6707=7,1,(IF(WEEKDAY(B6707)=1,2,IF(WEEKDAY(B6707)=7,1,0))))))</f>
        <v>1</v>
      </c>
      <c r="V6707" s="328">
        <f>VLOOKUP(C6707,METADATA!$A$5:$H$29,IF(E6707="HI",2,IF(E6707="LO",6,10))+IF(T6707=1,2,IF(D6707=7,1,(IF(WEEKDAY(B6707)=1,2,IF(WEEKDAY(B6707)=7,1,0))))))</f>
        <v>1</v>
      </c>
    </row>
    <row r="6708" spans="2:22">
      <c r="B6708" s="318">
        <f t="shared" si="419"/>
        <v>46392</v>
      </c>
      <c r="C6708" s="312">
        <v>8</v>
      </c>
      <c r="D6708" s="368">
        <f>IFERROR((INDEX(METADATA!$T$2:$T$20,MATCH(B6708,METADATA!$S$2:$S$20,0))),0)</f>
        <v>0</v>
      </c>
      <c r="E6708" s="312" t="str">
        <f t="shared" si="416"/>
        <v>HI</v>
      </c>
      <c r="F6708" s="369">
        <f>VLOOKUP(C6708,METADATA!$A$5:$H$29,IF(E6708="HI",2,IF(E6708="LO",6,10))+IF(D6708=1,2,IF(D6708=7,1,(IF(WEEKDAY(B6708)=1,2,IF(WEEKDAY(B6708)=7,1,0))))))</f>
        <v>2</v>
      </c>
      <c r="G6708" s="369">
        <f>VLOOKUP(C6708,METADATA!$J$5:$Q$29,IF(E6708="HI",2,IF(E6708="LO",6,10))+IF(D6708=1,2,IF(D6708=7,1,(IF(WEEKDAY(B6708)=1,2,IF(WEEKDAY(B6708)=7,1,0))))))</f>
        <v>2</v>
      </c>
      <c r="H6708" s="370">
        <v>13324.400268554688</v>
      </c>
      <c r="I6708" s="370">
        <v>3995.1500244140625</v>
      </c>
      <c r="M6708" s="371">
        <f t="shared" si="417"/>
        <v>13910.458879355343</v>
      </c>
      <c r="N6708" s="329">
        <f t="shared" si="418"/>
        <v>0</v>
      </c>
      <c r="T6708" s="331">
        <v>0</v>
      </c>
      <c r="U6708" s="328">
        <f>VLOOKUP(C6708,METADATA!$J$5:$Q$29,IF(E6708="HI",2,IF(E6708="LO",6,10))+IF(T6708=1,2,IF(D6708=7,1,(IF(WEEKDAY(B6708)=1,2,IF(WEEKDAY(B6708)=7,1,0))))))</f>
        <v>2</v>
      </c>
      <c r="V6708" s="328">
        <f>VLOOKUP(C6708,METADATA!$A$5:$H$29,IF(E6708="HI",2,IF(E6708="LO",6,10))+IF(T6708=1,2,IF(D6708=7,1,(IF(WEEKDAY(B6708)=1,2,IF(WEEKDAY(B6708)=7,1,0))))))</f>
        <v>2</v>
      </c>
    </row>
    <row r="6709" spans="2:22">
      <c r="B6709" s="318">
        <f t="shared" si="419"/>
        <v>46392</v>
      </c>
      <c r="C6709" s="312">
        <v>9</v>
      </c>
      <c r="D6709" s="368">
        <f>IFERROR((INDEX(METADATA!$T$2:$T$20,MATCH(B6709,METADATA!$S$2:$S$20,0))),0)</f>
        <v>0</v>
      </c>
      <c r="E6709" s="312" t="str">
        <f t="shared" si="416"/>
        <v>HI</v>
      </c>
      <c r="F6709" s="369">
        <f>VLOOKUP(C6709,METADATA!$A$5:$H$29,IF(E6709="HI",2,IF(E6709="LO",6,10))+IF(D6709=1,2,IF(D6709=7,1,(IF(WEEKDAY(B6709)=1,2,IF(WEEKDAY(B6709)=7,1,0))))))</f>
        <v>2</v>
      </c>
      <c r="G6709" s="369">
        <f>VLOOKUP(C6709,METADATA!$J$5:$Q$29,IF(E6709="HI",2,IF(E6709="LO",6,10))+IF(D6709=1,2,IF(D6709=7,1,(IF(WEEKDAY(B6709)=1,2,IF(WEEKDAY(B6709)=7,1,0))))))</f>
        <v>2</v>
      </c>
      <c r="H6709" s="370">
        <v>13358.074768066406</v>
      </c>
      <c r="I6709" s="370">
        <v>3939.5448913574219</v>
      </c>
      <c r="M6709" s="371">
        <f t="shared" si="417"/>
        <v>13926.886782776426</v>
      </c>
      <c r="N6709" s="329">
        <f t="shared" si="418"/>
        <v>0</v>
      </c>
      <c r="T6709" s="331">
        <v>0</v>
      </c>
      <c r="U6709" s="328">
        <f>VLOOKUP(C6709,METADATA!$J$5:$Q$29,IF(E6709="HI",2,IF(E6709="LO",6,10))+IF(T6709=1,2,IF(D6709=7,1,(IF(WEEKDAY(B6709)=1,2,IF(WEEKDAY(B6709)=7,1,0))))))</f>
        <v>2</v>
      </c>
      <c r="V6709" s="328">
        <f>VLOOKUP(C6709,METADATA!$A$5:$H$29,IF(E6709="HI",2,IF(E6709="LO",6,10))+IF(T6709=1,2,IF(D6709=7,1,(IF(WEEKDAY(B6709)=1,2,IF(WEEKDAY(B6709)=7,1,0))))))</f>
        <v>2</v>
      </c>
    </row>
    <row r="6710" spans="2:22">
      <c r="B6710" s="318">
        <f t="shared" si="419"/>
        <v>46392</v>
      </c>
      <c r="C6710" s="312">
        <v>10</v>
      </c>
      <c r="D6710" s="368">
        <f>IFERROR((INDEX(METADATA!$T$2:$T$20,MATCH(B6710,METADATA!$S$2:$S$20,0))),0)</f>
        <v>0</v>
      </c>
      <c r="E6710" s="312" t="str">
        <f t="shared" si="416"/>
        <v>HI</v>
      </c>
      <c r="F6710" s="369">
        <f>VLOOKUP(C6710,METADATA!$A$5:$H$29,IF(E6710="HI",2,IF(E6710="LO",6,10))+IF(D6710=1,2,IF(D6710=7,1,(IF(WEEKDAY(B6710)=1,2,IF(WEEKDAY(B6710)=7,1,0))))))</f>
        <v>2</v>
      </c>
      <c r="G6710" s="369">
        <f>VLOOKUP(C6710,METADATA!$J$5:$Q$29,IF(E6710="HI",2,IF(E6710="LO",6,10))+IF(D6710=1,2,IF(D6710=7,1,(IF(WEEKDAY(B6710)=1,2,IF(WEEKDAY(B6710)=7,1,0))))))</f>
        <v>2</v>
      </c>
      <c r="H6710" s="370">
        <v>13219.974609375</v>
      </c>
      <c r="I6710" s="370">
        <v>4066.4049987792969</v>
      </c>
      <c r="M6710" s="371">
        <f t="shared" si="417"/>
        <v>13831.246447324151</v>
      </c>
      <c r="N6710" s="329">
        <f t="shared" si="418"/>
        <v>100.41261596679715</v>
      </c>
      <c r="T6710" s="331">
        <v>0</v>
      </c>
      <c r="U6710" s="328">
        <f>VLOOKUP(C6710,METADATA!$J$5:$Q$29,IF(E6710="HI",2,IF(E6710="LO",6,10))+IF(T6710=1,2,IF(D6710=7,1,(IF(WEEKDAY(B6710)=1,2,IF(WEEKDAY(B6710)=7,1,0))))))</f>
        <v>2</v>
      </c>
      <c r="V6710" s="328">
        <f>VLOOKUP(C6710,METADATA!$A$5:$H$29,IF(E6710="HI",2,IF(E6710="LO",6,10))+IF(T6710=1,2,IF(D6710=7,1,(IF(WEEKDAY(B6710)=1,2,IF(WEEKDAY(B6710)=7,1,0))))))</f>
        <v>2</v>
      </c>
    </row>
    <row r="6711" spans="2:22">
      <c r="B6711" s="318">
        <f t="shared" si="419"/>
        <v>46392</v>
      </c>
      <c r="C6711" s="312">
        <v>11</v>
      </c>
      <c r="D6711" s="368">
        <f>IFERROR((INDEX(METADATA!$T$2:$T$20,MATCH(B6711,METADATA!$S$2:$S$20,0))),0)</f>
        <v>0</v>
      </c>
      <c r="E6711" s="312" t="str">
        <f t="shared" si="416"/>
        <v>HI</v>
      </c>
      <c r="F6711" s="369">
        <f>VLOOKUP(C6711,METADATA!$A$5:$H$29,IF(E6711="HI",2,IF(E6711="LO",6,10))+IF(D6711=1,2,IF(D6711=7,1,(IF(WEEKDAY(B6711)=1,2,IF(WEEKDAY(B6711)=7,1,0))))))</f>
        <v>2</v>
      </c>
      <c r="G6711" s="369">
        <f>VLOOKUP(C6711,METADATA!$J$5:$Q$29,IF(E6711="HI",2,IF(E6711="LO",6,10))+IF(D6711=1,2,IF(D6711=7,1,(IF(WEEKDAY(B6711)=1,2,IF(WEEKDAY(B6711)=7,1,0))))))</f>
        <v>2</v>
      </c>
      <c r="H6711" s="370">
        <v>13308.899597167969</v>
      </c>
      <c r="I6711" s="370">
        <v>4282.2900085449219</v>
      </c>
      <c r="M6711" s="371">
        <f t="shared" si="417"/>
        <v>13980.873227548464</v>
      </c>
      <c r="N6711" s="329">
        <f t="shared" si="418"/>
        <v>289.62012939453143</v>
      </c>
      <c r="T6711" s="331">
        <v>0</v>
      </c>
      <c r="U6711" s="328">
        <f>VLOOKUP(C6711,METADATA!$J$5:$Q$29,IF(E6711="HI",2,IF(E6711="LO",6,10))+IF(T6711=1,2,IF(D6711=7,1,(IF(WEEKDAY(B6711)=1,2,IF(WEEKDAY(B6711)=7,1,0))))))</f>
        <v>2</v>
      </c>
      <c r="V6711" s="328">
        <f>VLOOKUP(C6711,METADATA!$A$5:$H$29,IF(E6711="HI",2,IF(E6711="LO",6,10))+IF(T6711=1,2,IF(D6711=7,1,(IF(WEEKDAY(B6711)=1,2,IF(WEEKDAY(B6711)=7,1,0))))))</f>
        <v>2</v>
      </c>
    </row>
    <row r="6712" spans="2:22">
      <c r="B6712" s="318">
        <f t="shared" si="419"/>
        <v>46392</v>
      </c>
      <c r="C6712" s="312">
        <v>12</v>
      </c>
      <c r="D6712" s="368">
        <f>IFERROR((INDEX(METADATA!$T$2:$T$20,MATCH(B6712,METADATA!$S$2:$S$20,0))),0)</f>
        <v>0</v>
      </c>
      <c r="E6712" s="312" t="str">
        <f t="shared" si="416"/>
        <v>HI</v>
      </c>
      <c r="F6712" s="369">
        <f>VLOOKUP(C6712,METADATA!$A$5:$H$29,IF(E6712="HI",2,IF(E6712="LO",6,10))+IF(D6712=1,2,IF(D6712=7,1,(IF(WEEKDAY(B6712)=1,2,IF(WEEKDAY(B6712)=7,1,0))))))</f>
        <v>2</v>
      </c>
      <c r="G6712" s="369">
        <f>VLOOKUP(C6712,METADATA!$J$5:$Q$29,IF(E6712="HI",2,IF(E6712="LO",6,10))+IF(D6712=1,2,IF(D6712=7,1,(IF(WEEKDAY(B6712)=1,2,IF(WEEKDAY(B6712)=7,1,0))))))</f>
        <v>2</v>
      </c>
      <c r="H6712" s="370">
        <v>13338.224853515625</v>
      </c>
      <c r="I6712" s="370">
        <v>4221.1148986816406</v>
      </c>
      <c r="M6712" s="371">
        <f t="shared" si="417"/>
        <v>13990.212765744989</v>
      </c>
      <c r="N6712" s="329">
        <f t="shared" si="418"/>
        <v>219.64744262695331</v>
      </c>
      <c r="T6712" s="331">
        <v>0</v>
      </c>
      <c r="U6712" s="328">
        <f>VLOOKUP(C6712,METADATA!$J$5:$Q$29,IF(E6712="HI",2,IF(E6712="LO",6,10))+IF(T6712=1,2,IF(D6712=7,1,(IF(WEEKDAY(B6712)=1,2,IF(WEEKDAY(B6712)=7,1,0))))))</f>
        <v>2</v>
      </c>
      <c r="V6712" s="328">
        <f>VLOOKUP(C6712,METADATA!$A$5:$H$29,IF(E6712="HI",2,IF(E6712="LO",6,10))+IF(T6712=1,2,IF(D6712=7,1,(IF(WEEKDAY(B6712)=1,2,IF(WEEKDAY(B6712)=7,1,0))))))</f>
        <v>2</v>
      </c>
    </row>
    <row r="6713" spans="2:22">
      <c r="B6713" s="318">
        <f t="shared" si="419"/>
        <v>46392</v>
      </c>
      <c r="C6713" s="312">
        <v>13</v>
      </c>
      <c r="D6713" s="368">
        <f>IFERROR((INDEX(METADATA!$T$2:$T$20,MATCH(B6713,METADATA!$S$2:$S$20,0))),0)</f>
        <v>0</v>
      </c>
      <c r="E6713" s="312" t="str">
        <f t="shared" si="416"/>
        <v>HI</v>
      </c>
      <c r="F6713" s="369">
        <f>VLOOKUP(C6713,METADATA!$A$5:$H$29,IF(E6713="HI",2,IF(E6713="LO",6,10))+IF(D6713=1,2,IF(D6713=7,1,(IF(WEEKDAY(B6713)=1,2,IF(WEEKDAY(B6713)=7,1,0))))))</f>
        <v>2</v>
      </c>
      <c r="G6713" s="369">
        <f>VLOOKUP(C6713,METADATA!$J$5:$Q$29,IF(E6713="HI",2,IF(E6713="LO",6,10))+IF(D6713=1,2,IF(D6713=7,1,(IF(WEEKDAY(B6713)=1,2,IF(WEEKDAY(B6713)=7,1,0))))))</f>
        <v>2</v>
      </c>
      <c r="H6713" s="370">
        <v>13434.450317382813</v>
      </c>
      <c r="I6713" s="370">
        <v>4235.1048889160156</v>
      </c>
      <c r="M6713" s="371">
        <f t="shared" si="417"/>
        <v>14086.183611977642</v>
      </c>
      <c r="N6713" s="329">
        <f t="shared" si="418"/>
        <v>204.76979370117215</v>
      </c>
      <c r="T6713" s="331">
        <v>0</v>
      </c>
      <c r="U6713" s="328">
        <f>VLOOKUP(C6713,METADATA!$J$5:$Q$29,IF(E6713="HI",2,IF(E6713="LO",6,10))+IF(T6713=1,2,IF(D6713=7,1,(IF(WEEKDAY(B6713)=1,2,IF(WEEKDAY(B6713)=7,1,0))))))</f>
        <v>2</v>
      </c>
      <c r="V6713" s="328">
        <f>VLOOKUP(C6713,METADATA!$A$5:$H$29,IF(E6713="HI",2,IF(E6713="LO",6,10))+IF(T6713=1,2,IF(D6713=7,1,(IF(WEEKDAY(B6713)=1,2,IF(WEEKDAY(B6713)=7,1,0))))))</f>
        <v>2</v>
      </c>
    </row>
    <row r="6714" spans="2:22">
      <c r="B6714" s="318">
        <f t="shared" si="419"/>
        <v>46392</v>
      </c>
      <c r="C6714" s="312">
        <v>14</v>
      </c>
      <c r="D6714" s="368">
        <f>IFERROR((INDEX(METADATA!$T$2:$T$20,MATCH(B6714,METADATA!$S$2:$S$20,0))),0)</f>
        <v>0</v>
      </c>
      <c r="E6714" s="312" t="str">
        <f t="shared" si="416"/>
        <v>HI</v>
      </c>
      <c r="F6714" s="369">
        <f>VLOOKUP(C6714,METADATA!$A$5:$H$29,IF(E6714="HI",2,IF(E6714="LO",6,10))+IF(D6714=1,2,IF(D6714=7,1,(IF(WEEKDAY(B6714)=1,2,IF(WEEKDAY(B6714)=7,1,0))))))</f>
        <v>2</v>
      </c>
      <c r="G6714" s="369">
        <f>VLOOKUP(C6714,METADATA!$J$5:$Q$29,IF(E6714="HI",2,IF(E6714="LO",6,10))+IF(D6714=1,2,IF(D6714=7,1,(IF(WEEKDAY(B6714)=1,2,IF(WEEKDAY(B6714)=7,1,0))))))</f>
        <v>2</v>
      </c>
      <c r="H6714" s="370">
        <v>13441.699951171875</v>
      </c>
      <c r="I6714" s="370">
        <v>4407.7449951171875</v>
      </c>
      <c r="M6714" s="371">
        <f t="shared" si="417"/>
        <v>14145.936289949654</v>
      </c>
      <c r="N6714" s="329">
        <f t="shared" si="418"/>
        <v>375.23500976562536</v>
      </c>
      <c r="T6714" s="331">
        <v>0</v>
      </c>
      <c r="U6714" s="328">
        <f>VLOOKUP(C6714,METADATA!$J$5:$Q$29,IF(E6714="HI",2,IF(E6714="LO",6,10))+IF(T6714=1,2,IF(D6714=7,1,(IF(WEEKDAY(B6714)=1,2,IF(WEEKDAY(B6714)=7,1,0))))))</f>
        <v>2</v>
      </c>
      <c r="V6714" s="328">
        <f>VLOOKUP(C6714,METADATA!$A$5:$H$29,IF(E6714="HI",2,IF(E6714="LO",6,10))+IF(T6714=1,2,IF(D6714=7,1,(IF(WEEKDAY(B6714)=1,2,IF(WEEKDAY(B6714)=7,1,0))))))</f>
        <v>2</v>
      </c>
    </row>
    <row r="6715" spans="2:22">
      <c r="B6715" s="318">
        <f t="shared" si="419"/>
        <v>46392</v>
      </c>
      <c r="C6715" s="312">
        <v>15</v>
      </c>
      <c r="D6715" s="368">
        <f>IFERROR((INDEX(METADATA!$T$2:$T$20,MATCH(B6715,METADATA!$S$2:$S$20,0))),0)</f>
        <v>0</v>
      </c>
      <c r="E6715" s="312" t="str">
        <f t="shared" si="416"/>
        <v>HI</v>
      </c>
      <c r="F6715" s="369">
        <f>VLOOKUP(C6715,METADATA!$A$5:$H$29,IF(E6715="HI",2,IF(E6715="LO",6,10))+IF(D6715=1,2,IF(D6715=7,1,(IF(WEEKDAY(B6715)=1,2,IF(WEEKDAY(B6715)=7,1,0))))))</f>
        <v>2</v>
      </c>
      <c r="G6715" s="369">
        <f>VLOOKUP(C6715,METADATA!$J$5:$Q$29,IF(E6715="HI",2,IF(E6715="LO",6,10))+IF(D6715=1,2,IF(D6715=7,1,(IF(WEEKDAY(B6715)=1,2,IF(WEEKDAY(B6715)=7,1,0))))))</f>
        <v>2</v>
      </c>
      <c r="H6715" s="370">
        <v>13096.125061035156</v>
      </c>
      <c r="I6715" s="370">
        <v>4190.2249755859375</v>
      </c>
      <c r="M6715" s="371">
        <f t="shared" si="417"/>
        <v>13750.144615977581</v>
      </c>
      <c r="N6715" s="329">
        <f t="shared" si="418"/>
        <v>261.38745727539072</v>
      </c>
      <c r="T6715" s="331">
        <v>0</v>
      </c>
      <c r="U6715" s="328">
        <f>VLOOKUP(C6715,METADATA!$J$5:$Q$29,IF(E6715="HI",2,IF(E6715="LO",6,10))+IF(T6715=1,2,IF(D6715=7,1,(IF(WEEKDAY(B6715)=1,2,IF(WEEKDAY(B6715)=7,1,0))))))</f>
        <v>2</v>
      </c>
      <c r="V6715" s="328">
        <f>VLOOKUP(C6715,METADATA!$A$5:$H$29,IF(E6715="HI",2,IF(E6715="LO",6,10))+IF(T6715=1,2,IF(D6715=7,1,(IF(WEEKDAY(B6715)=1,2,IF(WEEKDAY(B6715)=7,1,0))))))</f>
        <v>2</v>
      </c>
    </row>
    <row r="6716" spans="2:22">
      <c r="B6716" s="318">
        <f t="shared" si="419"/>
        <v>46392</v>
      </c>
      <c r="C6716" s="312">
        <v>16</v>
      </c>
      <c r="D6716" s="368">
        <f>IFERROR((INDEX(METADATA!$T$2:$T$20,MATCH(B6716,METADATA!$S$2:$S$20,0))),0)</f>
        <v>0</v>
      </c>
      <c r="E6716" s="312" t="str">
        <f t="shared" si="416"/>
        <v>HI</v>
      </c>
      <c r="F6716" s="369">
        <f>VLOOKUP(C6716,METADATA!$A$5:$H$29,IF(E6716="HI",2,IF(E6716="LO",6,10))+IF(D6716=1,2,IF(D6716=7,1,(IF(WEEKDAY(B6716)=1,2,IF(WEEKDAY(B6716)=7,1,0))))))</f>
        <v>2</v>
      </c>
      <c r="G6716" s="369">
        <f>VLOOKUP(C6716,METADATA!$J$5:$Q$29,IF(E6716="HI",2,IF(E6716="LO",6,10))+IF(D6716=1,2,IF(D6716=7,1,(IF(WEEKDAY(B6716)=1,2,IF(WEEKDAY(B6716)=7,1,0))))))</f>
        <v>2</v>
      </c>
      <c r="H6716" s="370">
        <v>13362.100219726563</v>
      </c>
      <c r="I6716" s="370">
        <v>4291.6150512695313</v>
      </c>
      <c r="M6716" s="371">
        <f t="shared" si="417"/>
        <v>14034.375013882871</v>
      </c>
      <c r="N6716" s="329">
        <f t="shared" si="418"/>
        <v>282.9849853515625</v>
      </c>
      <c r="T6716" s="331">
        <v>0</v>
      </c>
      <c r="U6716" s="328">
        <f>VLOOKUP(C6716,METADATA!$J$5:$Q$29,IF(E6716="HI",2,IF(E6716="LO",6,10))+IF(T6716=1,2,IF(D6716=7,1,(IF(WEEKDAY(B6716)=1,2,IF(WEEKDAY(B6716)=7,1,0))))))</f>
        <v>2</v>
      </c>
      <c r="V6716" s="328">
        <f>VLOOKUP(C6716,METADATA!$A$5:$H$29,IF(E6716="HI",2,IF(E6716="LO",6,10))+IF(T6716=1,2,IF(D6716=7,1,(IF(WEEKDAY(B6716)=1,2,IF(WEEKDAY(B6716)=7,1,0))))))</f>
        <v>2</v>
      </c>
    </row>
    <row r="6717" spans="2:22">
      <c r="B6717" s="318">
        <f t="shared" si="419"/>
        <v>46392</v>
      </c>
      <c r="C6717" s="312">
        <v>17</v>
      </c>
      <c r="D6717" s="368">
        <f>IFERROR((INDEX(METADATA!$T$2:$T$20,MATCH(B6717,METADATA!$S$2:$S$20,0))),0)</f>
        <v>0</v>
      </c>
      <c r="E6717" s="312" t="str">
        <f t="shared" si="416"/>
        <v>HI</v>
      </c>
      <c r="F6717" s="369">
        <f>VLOOKUP(C6717,METADATA!$A$5:$H$29,IF(E6717="HI",2,IF(E6717="LO",6,10))+IF(D6717=1,2,IF(D6717=7,1,(IF(WEEKDAY(B6717)=1,2,IF(WEEKDAY(B6717)=7,1,0))))))</f>
        <v>1</v>
      </c>
      <c r="G6717" s="369">
        <f>VLOOKUP(C6717,METADATA!$J$5:$Q$29,IF(E6717="HI",2,IF(E6717="LO",6,10))+IF(D6717=1,2,IF(D6717=7,1,(IF(WEEKDAY(B6717)=1,2,IF(WEEKDAY(B6717)=7,1,0))))))</f>
        <v>1</v>
      </c>
      <c r="H6717" s="370">
        <v>13161.27490234375</v>
      </c>
      <c r="I6717" s="370">
        <v>4165.89501953125</v>
      </c>
      <c r="M6717" s="371">
        <f t="shared" si="417"/>
        <v>13804.84836457173</v>
      </c>
      <c r="N6717" s="329">
        <f t="shared" si="418"/>
        <v>217.51254882812509</v>
      </c>
      <c r="T6717" s="331">
        <v>0</v>
      </c>
      <c r="U6717" s="328">
        <f>VLOOKUP(C6717,METADATA!$J$5:$Q$29,IF(E6717="HI",2,IF(E6717="LO",6,10))+IF(T6717=1,2,IF(D6717=7,1,(IF(WEEKDAY(B6717)=1,2,IF(WEEKDAY(B6717)=7,1,0))))))</f>
        <v>1</v>
      </c>
      <c r="V6717" s="328">
        <f>VLOOKUP(C6717,METADATA!$A$5:$H$29,IF(E6717="HI",2,IF(E6717="LO",6,10))+IF(T6717=1,2,IF(D6717=7,1,(IF(WEEKDAY(B6717)=1,2,IF(WEEKDAY(B6717)=7,1,0))))))</f>
        <v>1</v>
      </c>
    </row>
    <row r="6718" spans="2:22">
      <c r="B6718" s="318">
        <f t="shared" si="419"/>
        <v>46392</v>
      </c>
      <c r="C6718" s="312">
        <v>18</v>
      </c>
      <c r="D6718" s="368">
        <f>IFERROR((INDEX(METADATA!$T$2:$T$20,MATCH(B6718,METADATA!$S$2:$S$20,0))),0)</f>
        <v>0</v>
      </c>
      <c r="E6718" s="312" t="str">
        <f t="shared" si="416"/>
        <v>HI</v>
      </c>
      <c r="F6718" s="369">
        <f>VLOOKUP(C6718,METADATA!$A$5:$H$29,IF(E6718="HI",2,IF(E6718="LO",6,10))+IF(D6718=1,2,IF(D6718=7,1,(IF(WEEKDAY(B6718)=1,2,IF(WEEKDAY(B6718)=7,1,0))))))</f>
        <v>1</v>
      </c>
      <c r="G6718" s="369">
        <f>VLOOKUP(C6718,METADATA!$J$5:$Q$29,IF(E6718="HI",2,IF(E6718="LO",6,10))+IF(D6718=1,2,IF(D6718=7,1,(IF(WEEKDAY(B6718)=1,2,IF(WEEKDAY(B6718)=7,1,0))))))</f>
        <v>1</v>
      </c>
      <c r="H6718" s="370">
        <v>12999.024963378906</v>
      </c>
      <c r="I6718" s="370">
        <v>4148.06005859375</v>
      </c>
      <c r="M6718" s="371">
        <f t="shared" si="417"/>
        <v>13644.817779957662</v>
      </c>
      <c r="N6718" s="329">
        <f t="shared" si="418"/>
        <v>248.35256958007813</v>
      </c>
      <c r="T6718" s="331">
        <v>0</v>
      </c>
      <c r="U6718" s="328">
        <f>VLOOKUP(C6718,METADATA!$J$5:$Q$29,IF(E6718="HI",2,IF(E6718="LO",6,10))+IF(T6718=1,2,IF(D6718=7,1,(IF(WEEKDAY(B6718)=1,2,IF(WEEKDAY(B6718)=7,1,0))))))</f>
        <v>1</v>
      </c>
      <c r="V6718" s="328">
        <f>VLOOKUP(C6718,METADATA!$A$5:$H$29,IF(E6718="HI",2,IF(E6718="LO",6,10))+IF(T6718=1,2,IF(D6718=7,1,(IF(WEEKDAY(B6718)=1,2,IF(WEEKDAY(B6718)=7,1,0))))))</f>
        <v>1</v>
      </c>
    </row>
    <row r="6719" spans="2:22">
      <c r="B6719" s="318">
        <f t="shared" si="419"/>
        <v>46392</v>
      </c>
      <c r="C6719" s="312">
        <v>19</v>
      </c>
      <c r="D6719" s="368">
        <f>IFERROR((INDEX(METADATA!$T$2:$T$20,MATCH(B6719,METADATA!$S$2:$S$20,0))),0)</f>
        <v>0</v>
      </c>
      <c r="E6719" s="312" t="str">
        <f t="shared" si="416"/>
        <v>HI</v>
      </c>
      <c r="F6719" s="369">
        <f>VLOOKUP(C6719,METADATA!$A$5:$H$29,IF(E6719="HI",2,IF(E6719="LO",6,10))+IF(D6719=1,2,IF(D6719=7,1,(IF(WEEKDAY(B6719)=1,2,IF(WEEKDAY(B6719)=7,1,0))))))</f>
        <v>1</v>
      </c>
      <c r="G6719" s="369">
        <f>VLOOKUP(C6719,METADATA!$J$5:$Q$29,IF(E6719="HI",2,IF(E6719="LO",6,10))+IF(D6719=1,2,IF(D6719=7,1,(IF(WEEKDAY(B6719)=1,2,IF(WEEKDAY(B6719)=7,1,0))))))</f>
        <v>1</v>
      </c>
      <c r="H6719" s="370">
        <v>13118.924926757813</v>
      </c>
      <c r="I6719" s="370">
        <v>4227.2599182128906</v>
      </c>
      <c r="M6719" s="371">
        <f t="shared" si="417"/>
        <v>13783.175165760491</v>
      </c>
      <c r="N6719" s="329">
        <f t="shared" si="418"/>
        <v>291.58244018554706</v>
      </c>
      <c r="T6719" s="331">
        <v>0</v>
      </c>
      <c r="U6719" s="328">
        <f>VLOOKUP(C6719,METADATA!$J$5:$Q$29,IF(E6719="HI",2,IF(E6719="LO",6,10))+IF(T6719=1,2,IF(D6719=7,1,(IF(WEEKDAY(B6719)=1,2,IF(WEEKDAY(B6719)=7,1,0))))))</f>
        <v>1</v>
      </c>
      <c r="V6719" s="328">
        <f>VLOOKUP(C6719,METADATA!$A$5:$H$29,IF(E6719="HI",2,IF(E6719="LO",6,10))+IF(T6719=1,2,IF(D6719=7,1,(IF(WEEKDAY(B6719)=1,2,IF(WEEKDAY(B6719)=7,1,0))))))</f>
        <v>1</v>
      </c>
    </row>
    <row r="6720" spans="2:22">
      <c r="B6720" s="318">
        <f t="shared" si="419"/>
        <v>46392</v>
      </c>
      <c r="C6720" s="312">
        <v>20</v>
      </c>
      <c r="D6720" s="368">
        <f>IFERROR((INDEX(METADATA!$T$2:$T$20,MATCH(B6720,METADATA!$S$2:$S$20,0))),0)</f>
        <v>0</v>
      </c>
      <c r="E6720" s="312" t="str">
        <f t="shared" si="416"/>
        <v>HI</v>
      </c>
      <c r="F6720" s="369">
        <f>VLOOKUP(C6720,METADATA!$A$5:$H$29,IF(E6720="HI",2,IF(E6720="LO",6,10))+IF(D6720=1,2,IF(D6720=7,1,(IF(WEEKDAY(B6720)=1,2,IF(WEEKDAY(B6720)=7,1,0))))))</f>
        <v>2</v>
      </c>
      <c r="G6720" s="369">
        <f>VLOOKUP(C6720,METADATA!$J$5:$Q$29,IF(E6720="HI",2,IF(E6720="LO",6,10))+IF(D6720=1,2,IF(D6720=7,1,(IF(WEEKDAY(B6720)=1,2,IF(WEEKDAY(B6720)=7,1,0))))))</f>
        <v>2</v>
      </c>
      <c r="H6720" s="370">
        <v>13324.625549316406</v>
      </c>
      <c r="I6720" s="370">
        <v>4288.9050903320313</v>
      </c>
      <c r="M6720" s="371">
        <f t="shared" si="417"/>
        <v>13997.869584453612</v>
      </c>
      <c r="N6720" s="329">
        <f t="shared" si="418"/>
        <v>291.51742553710938</v>
      </c>
      <c r="T6720" s="331">
        <v>0</v>
      </c>
      <c r="U6720" s="328">
        <f>VLOOKUP(C6720,METADATA!$J$5:$Q$29,IF(E6720="HI",2,IF(E6720="LO",6,10))+IF(T6720=1,2,IF(D6720=7,1,(IF(WEEKDAY(B6720)=1,2,IF(WEEKDAY(B6720)=7,1,0))))))</f>
        <v>2</v>
      </c>
      <c r="V6720" s="328">
        <f>VLOOKUP(C6720,METADATA!$A$5:$H$29,IF(E6720="HI",2,IF(E6720="LO",6,10))+IF(T6720=1,2,IF(D6720=7,1,(IF(WEEKDAY(B6720)=1,2,IF(WEEKDAY(B6720)=7,1,0))))))</f>
        <v>2</v>
      </c>
    </row>
    <row r="6721" spans="2:22">
      <c r="B6721" s="318">
        <f t="shared" si="419"/>
        <v>46392</v>
      </c>
      <c r="C6721" s="312">
        <v>21</v>
      </c>
      <c r="D6721" s="368">
        <f>IFERROR((INDEX(METADATA!$T$2:$T$20,MATCH(B6721,METADATA!$S$2:$S$20,0))),0)</f>
        <v>0</v>
      </c>
      <c r="E6721" s="312" t="str">
        <f t="shared" si="416"/>
        <v>HI</v>
      </c>
      <c r="F6721" s="369">
        <f>VLOOKUP(C6721,METADATA!$A$5:$H$29,IF(E6721="HI",2,IF(E6721="LO",6,10))+IF(D6721=1,2,IF(D6721=7,1,(IF(WEEKDAY(B6721)=1,2,IF(WEEKDAY(B6721)=7,1,0))))))</f>
        <v>2</v>
      </c>
      <c r="G6721" s="369">
        <f>VLOOKUP(C6721,METADATA!$J$5:$Q$29,IF(E6721="HI",2,IF(E6721="LO",6,10))+IF(D6721=1,2,IF(D6721=7,1,(IF(WEEKDAY(B6721)=1,2,IF(WEEKDAY(B6721)=7,1,0))))))</f>
        <v>2</v>
      </c>
      <c r="H6721" s="370">
        <v>13286.274963378906</v>
      </c>
      <c r="I6721" s="370">
        <v>4246.419921875</v>
      </c>
      <c r="M6721" s="371">
        <f t="shared" si="417"/>
        <v>13948.375695951339</v>
      </c>
      <c r="N6721" s="329">
        <f t="shared" si="418"/>
        <v>260.5374328613284</v>
      </c>
      <c r="T6721" s="331">
        <v>0</v>
      </c>
      <c r="U6721" s="328">
        <f>VLOOKUP(C6721,METADATA!$J$5:$Q$29,IF(E6721="HI",2,IF(E6721="LO",6,10))+IF(T6721=1,2,IF(D6721=7,1,(IF(WEEKDAY(B6721)=1,2,IF(WEEKDAY(B6721)=7,1,0))))))</f>
        <v>2</v>
      </c>
      <c r="V6721" s="328">
        <f>VLOOKUP(C6721,METADATA!$A$5:$H$29,IF(E6721="HI",2,IF(E6721="LO",6,10))+IF(T6721=1,2,IF(D6721=7,1,(IF(WEEKDAY(B6721)=1,2,IF(WEEKDAY(B6721)=7,1,0))))))</f>
        <v>2</v>
      </c>
    </row>
    <row r="6722" spans="2:22">
      <c r="B6722" s="318">
        <f t="shared" si="419"/>
        <v>46392</v>
      </c>
      <c r="C6722" s="312">
        <v>22</v>
      </c>
      <c r="D6722" s="368">
        <f>IFERROR((INDEX(METADATA!$T$2:$T$20,MATCH(B6722,METADATA!$S$2:$S$20,0))),0)</f>
        <v>0</v>
      </c>
      <c r="E6722" s="312" t="str">
        <f t="shared" si="416"/>
        <v>HI</v>
      </c>
      <c r="F6722" s="369">
        <f>VLOOKUP(C6722,METADATA!$A$5:$H$29,IF(E6722="HI",2,IF(E6722="LO",6,10))+IF(D6722=1,2,IF(D6722=7,1,(IF(WEEKDAY(B6722)=1,2,IF(WEEKDAY(B6722)=7,1,0))))))</f>
        <v>3</v>
      </c>
      <c r="G6722" s="369">
        <f>VLOOKUP(C6722,METADATA!$J$5:$Q$29,IF(E6722="HI",2,IF(E6722="LO",6,10))+IF(D6722=1,2,IF(D6722=7,1,(IF(WEEKDAY(B6722)=1,2,IF(WEEKDAY(B6722)=7,1,0))))))</f>
        <v>3</v>
      </c>
      <c r="H6722" s="370">
        <v>13141.0751953125</v>
      </c>
      <c r="I6722" s="370">
        <v>4222.0050964355469</v>
      </c>
      <c r="M6722" s="371">
        <f t="shared" si="417"/>
        <v>13802.651351214563</v>
      </c>
      <c r="N6722" s="329">
        <f t="shared" si="418"/>
        <v>279.68253784179706</v>
      </c>
      <c r="T6722" s="331">
        <v>0</v>
      </c>
      <c r="U6722" s="328">
        <f>VLOOKUP(C6722,METADATA!$J$5:$Q$29,IF(E6722="HI",2,IF(E6722="LO",6,10))+IF(T6722=1,2,IF(D6722=7,1,(IF(WEEKDAY(B6722)=1,2,IF(WEEKDAY(B6722)=7,1,0))))))</f>
        <v>3</v>
      </c>
      <c r="V6722" s="328">
        <f>VLOOKUP(C6722,METADATA!$A$5:$H$29,IF(E6722="HI",2,IF(E6722="LO",6,10))+IF(T6722=1,2,IF(D6722=7,1,(IF(WEEKDAY(B6722)=1,2,IF(WEEKDAY(B6722)=7,1,0))))))</f>
        <v>3</v>
      </c>
    </row>
    <row r="6723" spans="2:22">
      <c r="B6723" s="318">
        <f t="shared" si="419"/>
        <v>46392</v>
      </c>
      <c r="C6723" s="312">
        <v>23</v>
      </c>
      <c r="D6723" s="368">
        <f>IFERROR((INDEX(METADATA!$T$2:$T$20,MATCH(B6723,METADATA!$S$2:$S$20,0))),0)</f>
        <v>0</v>
      </c>
      <c r="E6723" s="312" t="str">
        <f t="shared" si="416"/>
        <v>HI</v>
      </c>
      <c r="F6723" s="369">
        <f>VLOOKUP(C6723,METADATA!$A$5:$H$29,IF(E6723="HI",2,IF(E6723="LO",6,10))+IF(D6723=1,2,IF(D6723=7,1,(IF(WEEKDAY(B6723)=1,2,IF(WEEKDAY(B6723)=7,1,0))))))</f>
        <v>3</v>
      </c>
      <c r="G6723" s="369">
        <f>VLOOKUP(C6723,METADATA!$J$5:$Q$29,IF(E6723="HI",2,IF(E6723="LO",6,10))+IF(D6723=1,2,IF(D6723=7,1,(IF(WEEKDAY(B6723)=1,2,IF(WEEKDAY(B6723)=7,1,0))))))</f>
        <v>3</v>
      </c>
      <c r="H6723" s="370">
        <v>13180.824890136719</v>
      </c>
      <c r="I6723" s="370">
        <v>4178.4099731445313</v>
      </c>
      <c r="M6723" s="371">
        <f t="shared" si="417"/>
        <v>13827.264902652343</v>
      </c>
      <c r="N6723" s="329">
        <f t="shared" si="418"/>
        <v>224.16250610351563</v>
      </c>
      <c r="T6723" s="331">
        <v>0</v>
      </c>
      <c r="U6723" s="328">
        <f>VLOOKUP(C6723,METADATA!$J$5:$Q$29,IF(E6723="HI",2,IF(E6723="LO",6,10))+IF(T6723=1,2,IF(D6723=7,1,(IF(WEEKDAY(B6723)=1,2,IF(WEEKDAY(B6723)=7,1,0))))))</f>
        <v>3</v>
      </c>
      <c r="V6723" s="328">
        <f>VLOOKUP(C6723,METADATA!$A$5:$H$29,IF(E6723="HI",2,IF(E6723="LO",6,10))+IF(T6723=1,2,IF(D6723=7,1,(IF(WEEKDAY(B6723)=1,2,IF(WEEKDAY(B6723)=7,1,0))))))</f>
        <v>3</v>
      </c>
    </row>
    <row r="6724" spans="2:22">
      <c r="B6724" s="318">
        <f t="shared" si="419"/>
        <v>46393</v>
      </c>
      <c r="C6724" s="312">
        <v>0</v>
      </c>
      <c r="D6724" s="368">
        <f>IFERROR((INDEX(METADATA!$T$2:$T$20,MATCH(B6724,METADATA!$S$2:$S$20,0))),0)</f>
        <v>0</v>
      </c>
      <c r="E6724" s="312" t="str">
        <f t="shared" ref="E6724:E6787" si="420">IF(B6724="","",IF(AND(MONTH(B6724)&gt;=MONTH($Z$9),MONTH(B6724)&lt;=MONTH($Z$11)),"HI","LO"))</f>
        <v>HI</v>
      </c>
      <c r="F6724" s="369">
        <f>VLOOKUP(C6724,METADATA!$A$5:$H$29,IF(E6724="HI",2,IF(E6724="LO",6,10))+IF(D6724=1,2,IF(D6724=7,1,(IF(WEEKDAY(B6724)=1,2,IF(WEEKDAY(B6724)=7,1,0))))))</f>
        <v>3</v>
      </c>
      <c r="G6724" s="369">
        <f>VLOOKUP(C6724,METADATA!$J$5:$Q$29,IF(E6724="HI",2,IF(E6724="LO",6,10))+IF(D6724=1,2,IF(D6724=7,1,(IF(WEEKDAY(B6724)=1,2,IF(WEEKDAY(B6724)=7,1,0))))))</f>
        <v>3</v>
      </c>
      <c r="H6724" s="370">
        <v>13149.75</v>
      </c>
      <c r="I6724" s="370">
        <v>4231.9300537109375</v>
      </c>
      <c r="M6724" s="371">
        <f t="shared" ref="M6724:M6787" si="421">SQRT(H6724^2+I6724^2)</f>
        <v>13813.947916580613</v>
      </c>
      <c r="N6724" s="329">
        <f t="shared" ref="N6724:N6787" si="422">IF(H6724=0,0,(IF(I6724-(0.3*H6724)&lt;0,0,(I6724-(0.3*H6724)))))</f>
        <v>287.00505371093777</v>
      </c>
      <c r="T6724" s="331">
        <v>0</v>
      </c>
      <c r="U6724" s="328">
        <f>VLOOKUP(C6724,METADATA!$J$5:$Q$29,IF(E6724="HI",2,IF(E6724="LO",6,10))+IF(T6724=1,2,IF(D6724=7,1,(IF(WEEKDAY(B6724)=1,2,IF(WEEKDAY(B6724)=7,1,0))))))</f>
        <v>3</v>
      </c>
      <c r="V6724" s="328">
        <f>VLOOKUP(C6724,METADATA!$A$5:$H$29,IF(E6724="HI",2,IF(E6724="LO",6,10))+IF(T6724=1,2,IF(D6724=7,1,(IF(WEEKDAY(B6724)=1,2,IF(WEEKDAY(B6724)=7,1,0))))))</f>
        <v>3</v>
      </c>
    </row>
    <row r="6725" spans="2:22">
      <c r="B6725" s="318">
        <f t="shared" si="419"/>
        <v>46393</v>
      </c>
      <c r="C6725" s="312">
        <v>1</v>
      </c>
      <c r="D6725" s="368">
        <f>IFERROR((INDEX(METADATA!$T$2:$T$20,MATCH(B6725,METADATA!$S$2:$S$20,0))),0)</f>
        <v>0</v>
      </c>
      <c r="E6725" s="312" t="str">
        <f t="shared" si="420"/>
        <v>HI</v>
      </c>
      <c r="F6725" s="369">
        <f>VLOOKUP(C6725,METADATA!$A$5:$H$29,IF(E6725="HI",2,IF(E6725="LO",6,10))+IF(D6725=1,2,IF(D6725=7,1,(IF(WEEKDAY(B6725)=1,2,IF(WEEKDAY(B6725)=7,1,0))))))</f>
        <v>3</v>
      </c>
      <c r="G6725" s="369">
        <f>VLOOKUP(C6725,METADATA!$J$5:$Q$29,IF(E6725="HI",2,IF(E6725="LO",6,10))+IF(D6725=1,2,IF(D6725=7,1,(IF(WEEKDAY(B6725)=1,2,IF(WEEKDAY(B6725)=7,1,0))))))</f>
        <v>3</v>
      </c>
      <c r="H6725" s="370">
        <v>13053.867797851563</v>
      </c>
      <c r="I6725" s="370">
        <v>4317.1925048828125</v>
      </c>
      <c r="M6725" s="371">
        <f t="shared" si="421"/>
        <v>13749.240546590285</v>
      </c>
      <c r="N6725" s="329">
        <f t="shared" si="422"/>
        <v>401.03216552734375</v>
      </c>
      <c r="T6725" s="331">
        <v>0</v>
      </c>
      <c r="U6725" s="328">
        <f>VLOOKUP(C6725,METADATA!$J$5:$Q$29,IF(E6725="HI",2,IF(E6725="LO",6,10))+IF(T6725=1,2,IF(D6725=7,1,(IF(WEEKDAY(B6725)=1,2,IF(WEEKDAY(B6725)=7,1,0))))))</f>
        <v>3</v>
      </c>
      <c r="V6725" s="328">
        <f>VLOOKUP(C6725,METADATA!$A$5:$H$29,IF(E6725="HI",2,IF(E6725="LO",6,10))+IF(T6725=1,2,IF(D6725=7,1,(IF(WEEKDAY(B6725)=1,2,IF(WEEKDAY(B6725)=7,1,0))))))</f>
        <v>3</v>
      </c>
    </row>
    <row r="6726" spans="2:22">
      <c r="B6726" s="318">
        <f t="shared" si="419"/>
        <v>46393</v>
      </c>
      <c r="C6726" s="312">
        <v>2</v>
      </c>
      <c r="D6726" s="368">
        <f>IFERROR((INDEX(METADATA!$T$2:$T$20,MATCH(B6726,METADATA!$S$2:$S$20,0))),0)</f>
        <v>0</v>
      </c>
      <c r="E6726" s="312" t="str">
        <f t="shared" si="420"/>
        <v>HI</v>
      </c>
      <c r="F6726" s="369">
        <f>VLOOKUP(C6726,METADATA!$A$5:$H$29,IF(E6726="HI",2,IF(E6726="LO",6,10))+IF(D6726=1,2,IF(D6726=7,1,(IF(WEEKDAY(B6726)=1,2,IF(WEEKDAY(B6726)=7,1,0))))))</f>
        <v>3</v>
      </c>
      <c r="G6726" s="369">
        <f>VLOOKUP(C6726,METADATA!$J$5:$Q$29,IF(E6726="HI",2,IF(E6726="LO",6,10))+IF(D6726=1,2,IF(D6726=7,1,(IF(WEEKDAY(B6726)=1,2,IF(WEEKDAY(B6726)=7,1,0))))))</f>
        <v>3</v>
      </c>
      <c r="H6726" s="370">
        <v>13171.325500488281</v>
      </c>
      <c r="I6726" s="370">
        <v>4443.1450500488281</v>
      </c>
      <c r="M6726" s="371">
        <f t="shared" si="421"/>
        <v>13900.552268726098</v>
      </c>
      <c r="N6726" s="329">
        <f t="shared" si="422"/>
        <v>491.74739990234411</v>
      </c>
      <c r="T6726" s="331">
        <v>0</v>
      </c>
      <c r="U6726" s="328">
        <f>VLOOKUP(C6726,METADATA!$J$5:$Q$29,IF(E6726="HI",2,IF(E6726="LO",6,10))+IF(T6726=1,2,IF(D6726=7,1,(IF(WEEKDAY(B6726)=1,2,IF(WEEKDAY(B6726)=7,1,0))))))</f>
        <v>3</v>
      </c>
      <c r="V6726" s="328">
        <f>VLOOKUP(C6726,METADATA!$A$5:$H$29,IF(E6726="HI",2,IF(E6726="LO",6,10))+IF(T6726=1,2,IF(D6726=7,1,(IF(WEEKDAY(B6726)=1,2,IF(WEEKDAY(B6726)=7,1,0))))))</f>
        <v>3</v>
      </c>
    </row>
    <row r="6727" spans="2:22">
      <c r="B6727" s="318">
        <f t="shared" si="419"/>
        <v>46393</v>
      </c>
      <c r="C6727" s="312">
        <v>3</v>
      </c>
      <c r="D6727" s="368">
        <f>IFERROR((INDEX(METADATA!$T$2:$T$20,MATCH(B6727,METADATA!$S$2:$S$20,0))),0)</f>
        <v>0</v>
      </c>
      <c r="E6727" s="312" t="str">
        <f t="shared" si="420"/>
        <v>HI</v>
      </c>
      <c r="F6727" s="369">
        <f>VLOOKUP(C6727,METADATA!$A$5:$H$29,IF(E6727="HI",2,IF(E6727="LO",6,10))+IF(D6727=1,2,IF(D6727=7,1,(IF(WEEKDAY(B6727)=1,2,IF(WEEKDAY(B6727)=7,1,0))))))</f>
        <v>3</v>
      </c>
      <c r="G6727" s="369">
        <f>VLOOKUP(C6727,METADATA!$J$5:$Q$29,IF(E6727="HI",2,IF(E6727="LO",6,10))+IF(D6727=1,2,IF(D6727=7,1,(IF(WEEKDAY(B6727)=1,2,IF(WEEKDAY(B6727)=7,1,0))))))</f>
        <v>3</v>
      </c>
      <c r="H6727" s="370">
        <v>13192.12548828125</v>
      </c>
      <c r="I6727" s="370">
        <v>4195.8600158691406</v>
      </c>
      <c r="M6727" s="371">
        <f t="shared" si="421"/>
        <v>13843.316660805285</v>
      </c>
      <c r="N6727" s="329">
        <f t="shared" si="422"/>
        <v>238.2223693847659</v>
      </c>
      <c r="T6727" s="331">
        <v>0</v>
      </c>
      <c r="U6727" s="328">
        <f>VLOOKUP(C6727,METADATA!$J$5:$Q$29,IF(E6727="HI",2,IF(E6727="LO",6,10))+IF(T6727=1,2,IF(D6727=7,1,(IF(WEEKDAY(B6727)=1,2,IF(WEEKDAY(B6727)=7,1,0))))))</f>
        <v>3</v>
      </c>
      <c r="V6727" s="328">
        <f>VLOOKUP(C6727,METADATA!$A$5:$H$29,IF(E6727="HI",2,IF(E6727="LO",6,10))+IF(T6727=1,2,IF(D6727=7,1,(IF(WEEKDAY(B6727)=1,2,IF(WEEKDAY(B6727)=7,1,0))))))</f>
        <v>3</v>
      </c>
    </row>
    <row r="6728" spans="2:22">
      <c r="B6728" s="318">
        <f t="shared" si="419"/>
        <v>46393</v>
      </c>
      <c r="C6728" s="312">
        <v>4</v>
      </c>
      <c r="D6728" s="368">
        <f>IFERROR((INDEX(METADATA!$T$2:$T$20,MATCH(B6728,METADATA!$S$2:$S$20,0))),0)</f>
        <v>0</v>
      </c>
      <c r="E6728" s="312" t="str">
        <f t="shared" si="420"/>
        <v>HI</v>
      </c>
      <c r="F6728" s="369">
        <f>VLOOKUP(C6728,METADATA!$A$5:$H$29,IF(E6728="HI",2,IF(E6728="LO",6,10))+IF(D6728=1,2,IF(D6728=7,1,(IF(WEEKDAY(B6728)=1,2,IF(WEEKDAY(B6728)=7,1,0))))))</f>
        <v>3</v>
      </c>
      <c r="G6728" s="369">
        <f>VLOOKUP(C6728,METADATA!$J$5:$Q$29,IF(E6728="HI",2,IF(E6728="LO",6,10))+IF(D6728=1,2,IF(D6728=7,1,(IF(WEEKDAY(B6728)=1,2,IF(WEEKDAY(B6728)=7,1,0))))))</f>
        <v>3</v>
      </c>
      <c r="H6728" s="370">
        <v>13121.77490234375</v>
      </c>
      <c r="I6728" s="370">
        <v>4097.9450378417969</v>
      </c>
      <c r="M6728" s="371">
        <f t="shared" si="421"/>
        <v>13746.786174264533</v>
      </c>
      <c r="N6728" s="329">
        <f t="shared" si="422"/>
        <v>161.41256713867188</v>
      </c>
      <c r="T6728" s="331">
        <v>0</v>
      </c>
      <c r="U6728" s="328">
        <f>VLOOKUP(C6728,METADATA!$J$5:$Q$29,IF(E6728="HI",2,IF(E6728="LO",6,10))+IF(T6728=1,2,IF(D6728=7,1,(IF(WEEKDAY(B6728)=1,2,IF(WEEKDAY(B6728)=7,1,0))))))</f>
        <v>3</v>
      </c>
      <c r="V6728" s="328">
        <f>VLOOKUP(C6728,METADATA!$A$5:$H$29,IF(E6728="HI",2,IF(E6728="LO",6,10))+IF(T6728=1,2,IF(D6728=7,1,(IF(WEEKDAY(B6728)=1,2,IF(WEEKDAY(B6728)=7,1,0))))))</f>
        <v>3</v>
      </c>
    </row>
    <row r="6729" spans="2:22">
      <c r="B6729" s="318">
        <f t="shared" si="419"/>
        <v>46393</v>
      </c>
      <c r="C6729" s="312">
        <v>5</v>
      </c>
      <c r="D6729" s="368">
        <f>IFERROR((INDEX(METADATA!$T$2:$T$20,MATCH(B6729,METADATA!$S$2:$S$20,0))),0)</f>
        <v>0</v>
      </c>
      <c r="E6729" s="312" t="str">
        <f t="shared" si="420"/>
        <v>HI</v>
      </c>
      <c r="F6729" s="369">
        <f>VLOOKUP(C6729,METADATA!$A$5:$H$29,IF(E6729="HI",2,IF(E6729="LO",6,10))+IF(D6729=1,2,IF(D6729=7,1,(IF(WEEKDAY(B6729)=1,2,IF(WEEKDAY(B6729)=7,1,0))))))</f>
        <v>3</v>
      </c>
      <c r="G6729" s="369">
        <f>VLOOKUP(C6729,METADATA!$J$5:$Q$29,IF(E6729="HI",2,IF(E6729="LO",6,10))+IF(D6729=1,2,IF(D6729=7,1,(IF(WEEKDAY(B6729)=1,2,IF(WEEKDAY(B6729)=7,1,0))))))</f>
        <v>3</v>
      </c>
      <c r="H6729" s="370">
        <v>13234.700256347656</v>
      </c>
      <c r="I6729" s="370">
        <v>4072.3049926757813</v>
      </c>
      <c r="M6729" s="371">
        <f t="shared" si="421"/>
        <v>13847.055962504839</v>
      </c>
      <c r="N6729" s="329">
        <f t="shared" si="422"/>
        <v>101.89491577148465</v>
      </c>
      <c r="T6729" s="331">
        <v>0</v>
      </c>
      <c r="U6729" s="328">
        <f>VLOOKUP(C6729,METADATA!$J$5:$Q$29,IF(E6729="HI",2,IF(E6729="LO",6,10))+IF(T6729=1,2,IF(D6729=7,1,(IF(WEEKDAY(B6729)=1,2,IF(WEEKDAY(B6729)=7,1,0))))))</f>
        <v>3</v>
      </c>
      <c r="V6729" s="328">
        <f>VLOOKUP(C6729,METADATA!$A$5:$H$29,IF(E6729="HI",2,IF(E6729="LO",6,10))+IF(T6729=1,2,IF(D6729=7,1,(IF(WEEKDAY(B6729)=1,2,IF(WEEKDAY(B6729)=7,1,0))))))</f>
        <v>3</v>
      </c>
    </row>
    <row r="6730" spans="2:22">
      <c r="B6730" s="318">
        <f t="shared" si="419"/>
        <v>46393</v>
      </c>
      <c r="C6730" s="312">
        <v>6</v>
      </c>
      <c r="D6730" s="368">
        <f>IFERROR((INDEX(METADATA!$T$2:$T$20,MATCH(B6730,METADATA!$S$2:$S$20,0))),0)</f>
        <v>0</v>
      </c>
      <c r="E6730" s="312" t="str">
        <f t="shared" si="420"/>
        <v>HI</v>
      </c>
      <c r="F6730" s="369">
        <f>VLOOKUP(C6730,METADATA!$A$5:$H$29,IF(E6730="HI",2,IF(E6730="LO",6,10))+IF(D6730=1,2,IF(D6730=7,1,(IF(WEEKDAY(B6730)=1,2,IF(WEEKDAY(B6730)=7,1,0))))))</f>
        <v>1</v>
      </c>
      <c r="G6730" s="369">
        <f>VLOOKUP(C6730,METADATA!$J$5:$Q$29,IF(E6730="HI",2,IF(E6730="LO",6,10))+IF(D6730=1,2,IF(D6730=7,1,(IF(WEEKDAY(B6730)=1,2,IF(WEEKDAY(B6730)=7,1,0))))))</f>
        <v>1</v>
      </c>
      <c r="H6730" s="370">
        <v>13170.625305175781</v>
      </c>
      <c r="I6730" s="370">
        <v>4080.7899475097656</v>
      </c>
      <c r="M6730" s="371">
        <f t="shared" si="421"/>
        <v>13788.336285608695</v>
      </c>
      <c r="N6730" s="329">
        <f t="shared" si="422"/>
        <v>129.60235595703125</v>
      </c>
      <c r="T6730" s="331">
        <v>0</v>
      </c>
      <c r="U6730" s="328">
        <f>VLOOKUP(C6730,METADATA!$J$5:$Q$29,IF(E6730="HI",2,IF(E6730="LO",6,10))+IF(T6730=1,2,IF(D6730=7,1,(IF(WEEKDAY(B6730)=1,2,IF(WEEKDAY(B6730)=7,1,0))))))</f>
        <v>1</v>
      </c>
      <c r="V6730" s="328">
        <f>VLOOKUP(C6730,METADATA!$A$5:$H$29,IF(E6730="HI",2,IF(E6730="LO",6,10))+IF(T6730=1,2,IF(D6730=7,1,(IF(WEEKDAY(B6730)=1,2,IF(WEEKDAY(B6730)=7,1,0))))))</f>
        <v>1</v>
      </c>
    </row>
    <row r="6731" spans="2:22">
      <c r="B6731" s="318">
        <f t="shared" si="419"/>
        <v>46393</v>
      </c>
      <c r="C6731" s="312">
        <v>7</v>
      </c>
      <c r="D6731" s="368">
        <f>IFERROR((INDEX(METADATA!$T$2:$T$20,MATCH(B6731,METADATA!$S$2:$S$20,0))),0)</f>
        <v>0</v>
      </c>
      <c r="E6731" s="312" t="str">
        <f t="shared" si="420"/>
        <v>HI</v>
      </c>
      <c r="F6731" s="369">
        <f>VLOOKUP(C6731,METADATA!$A$5:$H$29,IF(E6731="HI",2,IF(E6731="LO",6,10))+IF(D6731=1,2,IF(D6731=7,1,(IF(WEEKDAY(B6731)=1,2,IF(WEEKDAY(B6731)=7,1,0))))))</f>
        <v>1</v>
      </c>
      <c r="G6731" s="369">
        <f>VLOOKUP(C6731,METADATA!$J$5:$Q$29,IF(E6731="HI",2,IF(E6731="LO",6,10))+IF(D6731=1,2,IF(D6731=7,1,(IF(WEEKDAY(B6731)=1,2,IF(WEEKDAY(B6731)=7,1,0))))))</f>
        <v>1</v>
      </c>
      <c r="H6731" s="370">
        <v>13322.474975585938</v>
      </c>
      <c r="I6731" s="370">
        <v>4054.5999145507813</v>
      </c>
      <c r="M6731" s="371">
        <f t="shared" si="421"/>
        <v>13925.807694427951</v>
      </c>
      <c r="N6731" s="329">
        <f t="shared" si="422"/>
        <v>57.857421875</v>
      </c>
      <c r="T6731" s="331">
        <v>0</v>
      </c>
      <c r="U6731" s="328">
        <f>VLOOKUP(C6731,METADATA!$J$5:$Q$29,IF(E6731="HI",2,IF(E6731="LO",6,10))+IF(T6731=1,2,IF(D6731=7,1,(IF(WEEKDAY(B6731)=1,2,IF(WEEKDAY(B6731)=7,1,0))))))</f>
        <v>1</v>
      </c>
      <c r="V6731" s="328">
        <f>VLOOKUP(C6731,METADATA!$A$5:$H$29,IF(E6731="HI",2,IF(E6731="LO",6,10))+IF(T6731=1,2,IF(D6731=7,1,(IF(WEEKDAY(B6731)=1,2,IF(WEEKDAY(B6731)=7,1,0))))))</f>
        <v>1</v>
      </c>
    </row>
    <row r="6732" spans="2:22">
      <c r="B6732" s="318">
        <f t="shared" si="419"/>
        <v>46393</v>
      </c>
      <c r="C6732" s="312">
        <v>8</v>
      </c>
      <c r="D6732" s="368">
        <f>IFERROR((INDEX(METADATA!$T$2:$T$20,MATCH(B6732,METADATA!$S$2:$S$20,0))),0)</f>
        <v>0</v>
      </c>
      <c r="E6732" s="312" t="str">
        <f t="shared" si="420"/>
        <v>HI</v>
      </c>
      <c r="F6732" s="369">
        <f>VLOOKUP(C6732,METADATA!$A$5:$H$29,IF(E6732="HI",2,IF(E6732="LO",6,10))+IF(D6732=1,2,IF(D6732=7,1,(IF(WEEKDAY(B6732)=1,2,IF(WEEKDAY(B6732)=7,1,0))))))</f>
        <v>2</v>
      </c>
      <c r="G6732" s="369">
        <f>VLOOKUP(C6732,METADATA!$J$5:$Q$29,IF(E6732="HI",2,IF(E6732="LO",6,10))+IF(D6732=1,2,IF(D6732=7,1,(IF(WEEKDAY(B6732)=1,2,IF(WEEKDAY(B6732)=7,1,0))))))</f>
        <v>2</v>
      </c>
      <c r="H6732" s="370">
        <v>13342.724914550781</v>
      </c>
      <c r="I6732" s="370">
        <v>4024.0749816894531</v>
      </c>
      <c r="M6732" s="371">
        <f t="shared" si="421"/>
        <v>13936.336950706707</v>
      </c>
      <c r="N6732" s="329">
        <f t="shared" si="422"/>
        <v>21.25750732421875</v>
      </c>
      <c r="T6732" s="331">
        <v>0</v>
      </c>
      <c r="U6732" s="328">
        <f>VLOOKUP(C6732,METADATA!$J$5:$Q$29,IF(E6732="HI",2,IF(E6732="LO",6,10))+IF(T6732=1,2,IF(D6732=7,1,(IF(WEEKDAY(B6732)=1,2,IF(WEEKDAY(B6732)=7,1,0))))))</f>
        <v>2</v>
      </c>
      <c r="V6732" s="328">
        <f>VLOOKUP(C6732,METADATA!$A$5:$H$29,IF(E6732="HI",2,IF(E6732="LO",6,10))+IF(T6732=1,2,IF(D6732=7,1,(IF(WEEKDAY(B6732)=1,2,IF(WEEKDAY(B6732)=7,1,0))))))</f>
        <v>2</v>
      </c>
    </row>
    <row r="6733" spans="2:22">
      <c r="B6733" s="318">
        <f t="shared" si="419"/>
        <v>46393</v>
      </c>
      <c r="C6733" s="312">
        <v>9</v>
      </c>
      <c r="D6733" s="368">
        <f>IFERROR((INDEX(METADATA!$T$2:$T$20,MATCH(B6733,METADATA!$S$2:$S$20,0))),0)</f>
        <v>0</v>
      </c>
      <c r="E6733" s="312" t="str">
        <f t="shared" si="420"/>
        <v>HI</v>
      </c>
      <c r="F6733" s="369">
        <f>VLOOKUP(C6733,METADATA!$A$5:$H$29,IF(E6733="HI",2,IF(E6733="LO",6,10))+IF(D6733=1,2,IF(D6733=7,1,(IF(WEEKDAY(B6733)=1,2,IF(WEEKDAY(B6733)=7,1,0))))))</f>
        <v>2</v>
      </c>
      <c r="G6733" s="369">
        <f>VLOOKUP(C6733,METADATA!$J$5:$Q$29,IF(E6733="HI",2,IF(E6733="LO",6,10))+IF(D6733=1,2,IF(D6733=7,1,(IF(WEEKDAY(B6733)=1,2,IF(WEEKDAY(B6733)=7,1,0))))))</f>
        <v>2</v>
      </c>
      <c r="H6733" s="370">
        <v>13315.900146484375</v>
      </c>
      <c r="I6733" s="370">
        <v>4417.1099243164063</v>
      </c>
      <c r="M6733" s="371">
        <f t="shared" si="421"/>
        <v>14029.399730374678</v>
      </c>
      <c r="N6733" s="329">
        <f t="shared" si="422"/>
        <v>422.33988037109384</v>
      </c>
      <c r="T6733" s="331">
        <v>0</v>
      </c>
      <c r="U6733" s="328">
        <f>VLOOKUP(C6733,METADATA!$J$5:$Q$29,IF(E6733="HI",2,IF(E6733="LO",6,10))+IF(T6733=1,2,IF(D6733=7,1,(IF(WEEKDAY(B6733)=1,2,IF(WEEKDAY(B6733)=7,1,0))))))</f>
        <v>2</v>
      </c>
      <c r="V6733" s="328">
        <f>VLOOKUP(C6733,METADATA!$A$5:$H$29,IF(E6733="HI",2,IF(E6733="LO",6,10))+IF(T6733=1,2,IF(D6733=7,1,(IF(WEEKDAY(B6733)=1,2,IF(WEEKDAY(B6733)=7,1,0))))))</f>
        <v>2</v>
      </c>
    </row>
    <row r="6734" spans="2:22">
      <c r="B6734" s="318">
        <f t="shared" si="419"/>
        <v>46393</v>
      </c>
      <c r="C6734" s="312">
        <v>10</v>
      </c>
      <c r="D6734" s="368">
        <f>IFERROR((INDEX(METADATA!$T$2:$T$20,MATCH(B6734,METADATA!$S$2:$S$20,0))),0)</f>
        <v>0</v>
      </c>
      <c r="E6734" s="312" t="str">
        <f t="shared" si="420"/>
        <v>HI</v>
      </c>
      <c r="F6734" s="369">
        <f>VLOOKUP(C6734,METADATA!$A$5:$H$29,IF(E6734="HI",2,IF(E6734="LO",6,10))+IF(D6734=1,2,IF(D6734=7,1,(IF(WEEKDAY(B6734)=1,2,IF(WEEKDAY(B6734)=7,1,0))))))</f>
        <v>2</v>
      </c>
      <c r="G6734" s="369">
        <f>VLOOKUP(C6734,METADATA!$J$5:$Q$29,IF(E6734="HI",2,IF(E6734="LO",6,10))+IF(D6734=1,2,IF(D6734=7,1,(IF(WEEKDAY(B6734)=1,2,IF(WEEKDAY(B6734)=7,1,0))))))</f>
        <v>2</v>
      </c>
      <c r="H6734" s="370">
        <v>11859.275085449219</v>
      </c>
      <c r="I6734" s="370">
        <v>3702.1875</v>
      </c>
      <c r="M6734" s="371">
        <f t="shared" si="421"/>
        <v>12423.711113733803</v>
      </c>
      <c r="N6734" s="329">
        <f t="shared" si="422"/>
        <v>144.40497436523447</v>
      </c>
      <c r="T6734" s="331">
        <v>0</v>
      </c>
      <c r="U6734" s="328">
        <f>VLOOKUP(C6734,METADATA!$J$5:$Q$29,IF(E6734="HI",2,IF(E6734="LO",6,10))+IF(T6734=1,2,IF(D6734=7,1,(IF(WEEKDAY(B6734)=1,2,IF(WEEKDAY(B6734)=7,1,0))))))</f>
        <v>2</v>
      </c>
      <c r="V6734" s="328">
        <f>VLOOKUP(C6734,METADATA!$A$5:$H$29,IF(E6734="HI",2,IF(E6734="LO",6,10))+IF(T6734=1,2,IF(D6734=7,1,(IF(WEEKDAY(B6734)=1,2,IF(WEEKDAY(B6734)=7,1,0))))))</f>
        <v>2</v>
      </c>
    </row>
    <row r="6735" spans="2:22">
      <c r="B6735" s="318">
        <f t="shared" si="419"/>
        <v>46393</v>
      </c>
      <c r="C6735" s="312">
        <v>11</v>
      </c>
      <c r="D6735" s="368">
        <f>IFERROR((INDEX(METADATA!$T$2:$T$20,MATCH(B6735,METADATA!$S$2:$S$20,0))),0)</f>
        <v>0</v>
      </c>
      <c r="E6735" s="312" t="str">
        <f t="shared" si="420"/>
        <v>HI</v>
      </c>
      <c r="F6735" s="369">
        <f>VLOOKUP(C6735,METADATA!$A$5:$H$29,IF(E6735="HI",2,IF(E6735="LO",6,10))+IF(D6735=1,2,IF(D6735=7,1,(IF(WEEKDAY(B6735)=1,2,IF(WEEKDAY(B6735)=7,1,0))))))</f>
        <v>2</v>
      </c>
      <c r="G6735" s="369">
        <f>VLOOKUP(C6735,METADATA!$J$5:$Q$29,IF(E6735="HI",2,IF(E6735="LO",6,10))+IF(D6735=1,2,IF(D6735=7,1,(IF(WEEKDAY(B6735)=1,2,IF(WEEKDAY(B6735)=7,1,0))))))</f>
        <v>2</v>
      </c>
      <c r="H6735" s="370">
        <v>12438.375183105469</v>
      </c>
      <c r="I6735" s="370">
        <v>3948.6175231933594</v>
      </c>
      <c r="M6735" s="371">
        <f t="shared" si="421"/>
        <v>13050.086495505066</v>
      </c>
      <c r="N6735" s="329">
        <f t="shared" si="422"/>
        <v>217.10496826171902</v>
      </c>
      <c r="T6735" s="331">
        <v>0</v>
      </c>
      <c r="U6735" s="328">
        <f>VLOOKUP(C6735,METADATA!$J$5:$Q$29,IF(E6735="HI",2,IF(E6735="LO",6,10))+IF(T6735=1,2,IF(D6735=7,1,(IF(WEEKDAY(B6735)=1,2,IF(WEEKDAY(B6735)=7,1,0))))))</f>
        <v>2</v>
      </c>
      <c r="V6735" s="328">
        <f>VLOOKUP(C6735,METADATA!$A$5:$H$29,IF(E6735="HI",2,IF(E6735="LO",6,10))+IF(T6735=1,2,IF(D6735=7,1,(IF(WEEKDAY(B6735)=1,2,IF(WEEKDAY(B6735)=7,1,0))))))</f>
        <v>2</v>
      </c>
    </row>
    <row r="6736" spans="2:22">
      <c r="B6736" s="318">
        <f t="shared" si="419"/>
        <v>46393</v>
      </c>
      <c r="C6736" s="312">
        <v>12</v>
      </c>
      <c r="D6736" s="368">
        <f>IFERROR((INDEX(METADATA!$T$2:$T$20,MATCH(B6736,METADATA!$S$2:$S$20,0))),0)</f>
        <v>0</v>
      </c>
      <c r="E6736" s="312" t="str">
        <f t="shared" si="420"/>
        <v>HI</v>
      </c>
      <c r="F6736" s="369">
        <f>VLOOKUP(C6736,METADATA!$A$5:$H$29,IF(E6736="HI",2,IF(E6736="LO",6,10))+IF(D6736=1,2,IF(D6736=7,1,(IF(WEEKDAY(B6736)=1,2,IF(WEEKDAY(B6736)=7,1,0))))))</f>
        <v>2</v>
      </c>
      <c r="G6736" s="369">
        <f>VLOOKUP(C6736,METADATA!$J$5:$Q$29,IF(E6736="HI",2,IF(E6736="LO",6,10))+IF(D6736=1,2,IF(D6736=7,1,(IF(WEEKDAY(B6736)=1,2,IF(WEEKDAY(B6736)=7,1,0))))))</f>
        <v>2</v>
      </c>
      <c r="H6736" s="370">
        <v>13591.950378417969</v>
      </c>
      <c r="I6736" s="370">
        <v>4478.7651062011719</v>
      </c>
      <c r="M6736" s="371">
        <f t="shared" si="421"/>
        <v>14310.850847028682</v>
      </c>
      <c r="N6736" s="329">
        <f t="shared" si="422"/>
        <v>401.17999267578125</v>
      </c>
      <c r="T6736" s="331">
        <v>0</v>
      </c>
      <c r="U6736" s="328">
        <f>VLOOKUP(C6736,METADATA!$J$5:$Q$29,IF(E6736="HI",2,IF(E6736="LO",6,10))+IF(T6736=1,2,IF(D6736=7,1,(IF(WEEKDAY(B6736)=1,2,IF(WEEKDAY(B6736)=7,1,0))))))</f>
        <v>2</v>
      </c>
      <c r="V6736" s="328">
        <f>VLOOKUP(C6736,METADATA!$A$5:$H$29,IF(E6736="HI",2,IF(E6736="LO",6,10))+IF(T6736=1,2,IF(D6736=7,1,(IF(WEEKDAY(B6736)=1,2,IF(WEEKDAY(B6736)=7,1,0))))))</f>
        <v>2</v>
      </c>
    </row>
    <row r="6737" spans="2:22">
      <c r="B6737" s="318">
        <f t="shared" si="419"/>
        <v>46393</v>
      </c>
      <c r="C6737" s="312">
        <v>13</v>
      </c>
      <c r="D6737" s="368">
        <f>IFERROR((INDEX(METADATA!$T$2:$T$20,MATCH(B6737,METADATA!$S$2:$S$20,0))),0)</f>
        <v>0</v>
      </c>
      <c r="E6737" s="312" t="str">
        <f t="shared" si="420"/>
        <v>HI</v>
      </c>
      <c r="F6737" s="369">
        <f>VLOOKUP(C6737,METADATA!$A$5:$H$29,IF(E6737="HI",2,IF(E6737="LO",6,10))+IF(D6737=1,2,IF(D6737=7,1,(IF(WEEKDAY(B6737)=1,2,IF(WEEKDAY(B6737)=7,1,0))))))</f>
        <v>2</v>
      </c>
      <c r="G6737" s="369">
        <f>VLOOKUP(C6737,METADATA!$J$5:$Q$29,IF(E6737="HI",2,IF(E6737="LO",6,10))+IF(D6737=1,2,IF(D6737=7,1,(IF(WEEKDAY(B6737)=1,2,IF(WEEKDAY(B6737)=7,1,0))))))</f>
        <v>2</v>
      </c>
      <c r="H6737" s="370">
        <v>13460.950378417969</v>
      </c>
      <c r="I6737" s="370">
        <v>4537.7649536132813</v>
      </c>
      <c r="M6737" s="371">
        <f t="shared" si="421"/>
        <v>14205.227765314845</v>
      </c>
      <c r="N6737" s="329">
        <f t="shared" si="422"/>
        <v>499.47984008789081</v>
      </c>
      <c r="T6737" s="331">
        <v>0</v>
      </c>
      <c r="U6737" s="328">
        <f>VLOOKUP(C6737,METADATA!$J$5:$Q$29,IF(E6737="HI",2,IF(E6737="LO",6,10))+IF(T6737=1,2,IF(D6737=7,1,(IF(WEEKDAY(B6737)=1,2,IF(WEEKDAY(B6737)=7,1,0))))))</f>
        <v>2</v>
      </c>
      <c r="V6737" s="328">
        <f>VLOOKUP(C6737,METADATA!$A$5:$H$29,IF(E6737="HI",2,IF(E6737="LO",6,10))+IF(T6737=1,2,IF(D6737=7,1,(IF(WEEKDAY(B6737)=1,2,IF(WEEKDAY(B6737)=7,1,0))))))</f>
        <v>2</v>
      </c>
    </row>
    <row r="6738" spans="2:22">
      <c r="B6738" s="318">
        <f t="shared" si="419"/>
        <v>46393</v>
      </c>
      <c r="C6738" s="312">
        <v>14</v>
      </c>
      <c r="D6738" s="368">
        <f>IFERROR((INDEX(METADATA!$T$2:$T$20,MATCH(B6738,METADATA!$S$2:$S$20,0))),0)</f>
        <v>0</v>
      </c>
      <c r="E6738" s="312" t="str">
        <f t="shared" si="420"/>
        <v>HI</v>
      </c>
      <c r="F6738" s="369">
        <f>VLOOKUP(C6738,METADATA!$A$5:$H$29,IF(E6738="HI",2,IF(E6738="LO",6,10))+IF(D6738=1,2,IF(D6738=7,1,(IF(WEEKDAY(B6738)=1,2,IF(WEEKDAY(B6738)=7,1,0))))))</f>
        <v>2</v>
      </c>
      <c r="G6738" s="369">
        <f>VLOOKUP(C6738,METADATA!$J$5:$Q$29,IF(E6738="HI",2,IF(E6738="LO",6,10))+IF(D6738=1,2,IF(D6738=7,1,(IF(WEEKDAY(B6738)=1,2,IF(WEEKDAY(B6738)=7,1,0))))))</f>
        <v>2</v>
      </c>
      <c r="H6738" s="370">
        <v>13360.199584960938</v>
      </c>
      <c r="I6738" s="370">
        <v>4464.5400085449219</v>
      </c>
      <c r="M6738" s="371">
        <f t="shared" si="421"/>
        <v>14086.413682619457</v>
      </c>
      <c r="N6738" s="329">
        <f t="shared" si="422"/>
        <v>456.48013305664063</v>
      </c>
      <c r="T6738" s="331">
        <v>0</v>
      </c>
      <c r="U6738" s="328">
        <f>VLOOKUP(C6738,METADATA!$J$5:$Q$29,IF(E6738="HI",2,IF(E6738="LO",6,10))+IF(T6738=1,2,IF(D6738=7,1,(IF(WEEKDAY(B6738)=1,2,IF(WEEKDAY(B6738)=7,1,0))))))</f>
        <v>2</v>
      </c>
      <c r="V6738" s="328">
        <f>VLOOKUP(C6738,METADATA!$A$5:$H$29,IF(E6738="HI",2,IF(E6738="LO",6,10))+IF(T6738=1,2,IF(D6738=7,1,(IF(WEEKDAY(B6738)=1,2,IF(WEEKDAY(B6738)=7,1,0))))))</f>
        <v>2</v>
      </c>
    </row>
    <row r="6739" spans="2:22">
      <c r="B6739" s="318">
        <f t="shared" si="419"/>
        <v>46393</v>
      </c>
      <c r="C6739" s="312">
        <v>15</v>
      </c>
      <c r="D6739" s="368">
        <f>IFERROR((INDEX(METADATA!$T$2:$T$20,MATCH(B6739,METADATA!$S$2:$S$20,0))),0)</f>
        <v>0</v>
      </c>
      <c r="E6739" s="312" t="str">
        <f t="shared" si="420"/>
        <v>HI</v>
      </c>
      <c r="F6739" s="369">
        <f>VLOOKUP(C6739,METADATA!$A$5:$H$29,IF(E6739="HI",2,IF(E6739="LO",6,10))+IF(D6739=1,2,IF(D6739=7,1,(IF(WEEKDAY(B6739)=1,2,IF(WEEKDAY(B6739)=7,1,0))))))</f>
        <v>2</v>
      </c>
      <c r="G6739" s="369">
        <f>VLOOKUP(C6739,METADATA!$J$5:$Q$29,IF(E6739="HI",2,IF(E6739="LO",6,10))+IF(D6739=1,2,IF(D6739=7,1,(IF(WEEKDAY(B6739)=1,2,IF(WEEKDAY(B6739)=7,1,0))))))</f>
        <v>2</v>
      </c>
      <c r="H6739" s="370">
        <v>11740.674865722656</v>
      </c>
      <c r="I6739" s="370">
        <v>3586.969970703125</v>
      </c>
      <c r="M6739" s="371">
        <f t="shared" si="421"/>
        <v>12276.391972942933</v>
      </c>
      <c r="N6739" s="329">
        <f t="shared" si="422"/>
        <v>64.767510986328034</v>
      </c>
      <c r="T6739" s="331">
        <v>0</v>
      </c>
      <c r="U6739" s="328">
        <f>VLOOKUP(C6739,METADATA!$J$5:$Q$29,IF(E6739="HI",2,IF(E6739="LO",6,10))+IF(T6739=1,2,IF(D6739=7,1,(IF(WEEKDAY(B6739)=1,2,IF(WEEKDAY(B6739)=7,1,0))))))</f>
        <v>2</v>
      </c>
      <c r="V6739" s="328">
        <f>VLOOKUP(C6739,METADATA!$A$5:$H$29,IF(E6739="HI",2,IF(E6739="LO",6,10))+IF(T6739=1,2,IF(D6739=7,1,(IF(WEEKDAY(B6739)=1,2,IF(WEEKDAY(B6739)=7,1,0))))))</f>
        <v>2</v>
      </c>
    </row>
    <row r="6740" spans="2:22">
      <c r="B6740" s="318">
        <f t="shared" si="419"/>
        <v>46393</v>
      </c>
      <c r="C6740" s="312">
        <v>16</v>
      </c>
      <c r="D6740" s="368">
        <f>IFERROR((INDEX(METADATA!$T$2:$T$20,MATCH(B6740,METADATA!$S$2:$S$20,0))),0)</f>
        <v>0</v>
      </c>
      <c r="E6740" s="312" t="str">
        <f t="shared" si="420"/>
        <v>HI</v>
      </c>
      <c r="F6740" s="369">
        <f>VLOOKUP(C6740,METADATA!$A$5:$H$29,IF(E6740="HI",2,IF(E6740="LO",6,10))+IF(D6740=1,2,IF(D6740=7,1,(IF(WEEKDAY(B6740)=1,2,IF(WEEKDAY(B6740)=7,1,0))))))</f>
        <v>2</v>
      </c>
      <c r="G6740" s="369">
        <f>VLOOKUP(C6740,METADATA!$J$5:$Q$29,IF(E6740="HI",2,IF(E6740="LO",6,10))+IF(D6740=1,2,IF(D6740=7,1,(IF(WEEKDAY(B6740)=1,2,IF(WEEKDAY(B6740)=7,1,0))))))</f>
        <v>2</v>
      </c>
      <c r="H6740" s="370">
        <v>7817.39990234375</v>
      </c>
      <c r="I6740" s="370">
        <v>2498.1900367736816</v>
      </c>
      <c r="M6740" s="371">
        <f t="shared" si="421"/>
        <v>8206.8687508086405</v>
      </c>
      <c r="N6740" s="329">
        <f t="shared" si="422"/>
        <v>152.97006607055664</v>
      </c>
      <c r="T6740" s="331">
        <v>0</v>
      </c>
      <c r="U6740" s="328">
        <f>VLOOKUP(C6740,METADATA!$J$5:$Q$29,IF(E6740="HI",2,IF(E6740="LO",6,10))+IF(T6740=1,2,IF(D6740=7,1,(IF(WEEKDAY(B6740)=1,2,IF(WEEKDAY(B6740)=7,1,0))))))</f>
        <v>2</v>
      </c>
      <c r="V6740" s="328">
        <f>VLOOKUP(C6740,METADATA!$A$5:$H$29,IF(E6740="HI",2,IF(E6740="LO",6,10))+IF(T6740=1,2,IF(D6740=7,1,(IF(WEEKDAY(B6740)=1,2,IF(WEEKDAY(B6740)=7,1,0))))))</f>
        <v>2</v>
      </c>
    </row>
    <row r="6741" spans="2:22">
      <c r="B6741" s="318">
        <f t="shared" si="419"/>
        <v>46393</v>
      </c>
      <c r="C6741" s="312">
        <v>17</v>
      </c>
      <c r="D6741" s="368">
        <f>IFERROR((INDEX(METADATA!$T$2:$T$20,MATCH(B6741,METADATA!$S$2:$S$20,0))),0)</f>
        <v>0</v>
      </c>
      <c r="E6741" s="312" t="str">
        <f t="shared" si="420"/>
        <v>HI</v>
      </c>
      <c r="F6741" s="369">
        <f>VLOOKUP(C6741,METADATA!$A$5:$H$29,IF(E6741="HI",2,IF(E6741="LO",6,10))+IF(D6741=1,2,IF(D6741=7,1,(IF(WEEKDAY(B6741)=1,2,IF(WEEKDAY(B6741)=7,1,0))))))</f>
        <v>1</v>
      </c>
      <c r="G6741" s="369">
        <f>VLOOKUP(C6741,METADATA!$J$5:$Q$29,IF(E6741="HI",2,IF(E6741="LO",6,10))+IF(D6741=1,2,IF(D6741=7,1,(IF(WEEKDAY(B6741)=1,2,IF(WEEKDAY(B6741)=7,1,0))))))</f>
        <v>1</v>
      </c>
      <c r="H6741" s="370">
        <v>8819.7249755859375</v>
      </c>
      <c r="I6741" s="370">
        <v>2978.3949356079102</v>
      </c>
      <c r="M6741" s="371">
        <f t="shared" si="421"/>
        <v>9309.0485570454093</v>
      </c>
      <c r="N6741" s="329">
        <f t="shared" si="422"/>
        <v>332.47744293212918</v>
      </c>
      <c r="T6741" s="331">
        <v>0</v>
      </c>
      <c r="U6741" s="328">
        <f>VLOOKUP(C6741,METADATA!$J$5:$Q$29,IF(E6741="HI",2,IF(E6741="LO",6,10))+IF(T6741=1,2,IF(D6741=7,1,(IF(WEEKDAY(B6741)=1,2,IF(WEEKDAY(B6741)=7,1,0))))))</f>
        <v>1</v>
      </c>
      <c r="V6741" s="328">
        <f>VLOOKUP(C6741,METADATA!$A$5:$H$29,IF(E6741="HI",2,IF(E6741="LO",6,10))+IF(T6741=1,2,IF(D6741=7,1,(IF(WEEKDAY(B6741)=1,2,IF(WEEKDAY(B6741)=7,1,0))))))</f>
        <v>1</v>
      </c>
    </row>
    <row r="6742" spans="2:22">
      <c r="B6742" s="318">
        <f t="shared" si="419"/>
        <v>46393</v>
      </c>
      <c r="C6742" s="312">
        <v>18</v>
      </c>
      <c r="D6742" s="368">
        <f>IFERROR((INDEX(METADATA!$T$2:$T$20,MATCH(B6742,METADATA!$S$2:$S$20,0))),0)</f>
        <v>0</v>
      </c>
      <c r="E6742" s="312" t="str">
        <f t="shared" si="420"/>
        <v>HI</v>
      </c>
      <c r="F6742" s="369">
        <f>VLOOKUP(C6742,METADATA!$A$5:$H$29,IF(E6742="HI",2,IF(E6742="LO",6,10))+IF(D6742=1,2,IF(D6742=7,1,(IF(WEEKDAY(B6742)=1,2,IF(WEEKDAY(B6742)=7,1,0))))))</f>
        <v>1</v>
      </c>
      <c r="G6742" s="369">
        <f>VLOOKUP(C6742,METADATA!$J$5:$Q$29,IF(E6742="HI",2,IF(E6742="LO",6,10))+IF(D6742=1,2,IF(D6742=7,1,(IF(WEEKDAY(B6742)=1,2,IF(WEEKDAY(B6742)=7,1,0))))))</f>
        <v>1</v>
      </c>
      <c r="H6742" s="370">
        <v>10932.925109863281</v>
      </c>
      <c r="I6742" s="370">
        <v>3512.2250308990479</v>
      </c>
      <c r="M6742" s="371">
        <f t="shared" si="421"/>
        <v>11483.230213034694</v>
      </c>
      <c r="N6742" s="329">
        <f t="shared" si="422"/>
        <v>232.34749794006348</v>
      </c>
      <c r="T6742" s="331">
        <v>0</v>
      </c>
      <c r="U6742" s="328">
        <f>VLOOKUP(C6742,METADATA!$J$5:$Q$29,IF(E6742="HI",2,IF(E6742="LO",6,10))+IF(T6742=1,2,IF(D6742=7,1,(IF(WEEKDAY(B6742)=1,2,IF(WEEKDAY(B6742)=7,1,0))))))</f>
        <v>1</v>
      </c>
      <c r="V6742" s="328">
        <f>VLOOKUP(C6742,METADATA!$A$5:$H$29,IF(E6742="HI",2,IF(E6742="LO",6,10))+IF(T6742=1,2,IF(D6742=7,1,(IF(WEEKDAY(B6742)=1,2,IF(WEEKDAY(B6742)=7,1,0))))))</f>
        <v>1</v>
      </c>
    </row>
    <row r="6743" spans="2:22">
      <c r="B6743" s="318">
        <f t="shared" si="419"/>
        <v>46393</v>
      </c>
      <c r="C6743" s="312">
        <v>19</v>
      </c>
      <c r="D6743" s="368">
        <f>IFERROR((INDEX(METADATA!$T$2:$T$20,MATCH(B6743,METADATA!$S$2:$S$20,0))),0)</f>
        <v>0</v>
      </c>
      <c r="E6743" s="312" t="str">
        <f t="shared" si="420"/>
        <v>HI</v>
      </c>
      <c r="F6743" s="369">
        <f>VLOOKUP(C6743,METADATA!$A$5:$H$29,IF(E6743="HI",2,IF(E6743="LO",6,10))+IF(D6743=1,2,IF(D6743=7,1,(IF(WEEKDAY(B6743)=1,2,IF(WEEKDAY(B6743)=7,1,0))))))</f>
        <v>1</v>
      </c>
      <c r="G6743" s="369">
        <f>VLOOKUP(C6743,METADATA!$J$5:$Q$29,IF(E6743="HI",2,IF(E6743="LO",6,10))+IF(D6743=1,2,IF(D6743=7,1,(IF(WEEKDAY(B6743)=1,2,IF(WEEKDAY(B6743)=7,1,0))))))</f>
        <v>1</v>
      </c>
      <c r="H6743" s="370">
        <v>8044.875</v>
      </c>
      <c r="I6743" s="370">
        <v>2738.7999877929688</v>
      </c>
      <c r="M6743" s="371">
        <f t="shared" si="421"/>
        <v>8498.2962491760518</v>
      </c>
      <c r="N6743" s="329">
        <f t="shared" si="422"/>
        <v>325.33748779296866</v>
      </c>
      <c r="T6743" s="331">
        <v>0</v>
      </c>
      <c r="U6743" s="328">
        <f>VLOOKUP(C6743,METADATA!$J$5:$Q$29,IF(E6743="HI",2,IF(E6743="LO",6,10))+IF(T6743=1,2,IF(D6743=7,1,(IF(WEEKDAY(B6743)=1,2,IF(WEEKDAY(B6743)=7,1,0))))))</f>
        <v>1</v>
      </c>
      <c r="V6743" s="328">
        <f>VLOOKUP(C6743,METADATA!$A$5:$H$29,IF(E6743="HI",2,IF(E6743="LO",6,10))+IF(T6743=1,2,IF(D6743=7,1,(IF(WEEKDAY(B6743)=1,2,IF(WEEKDAY(B6743)=7,1,0))))))</f>
        <v>1</v>
      </c>
    </row>
    <row r="6744" spans="2:22">
      <c r="B6744" s="318">
        <f t="shared" si="419"/>
        <v>46393</v>
      </c>
      <c r="C6744" s="312">
        <v>20</v>
      </c>
      <c r="D6744" s="368">
        <f>IFERROR((INDEX(METADATA!$T$2:$T$20,MATCH(B6744,METADATA!$S$2:$S$20,0))),0)</f>
        <v>0</v>
      </c>
      <c r="E6744" s="312" t="str">
        <f t="shared" si="420"/>
        <v>HI</v>
      </c>
      <c r="F6744" s="369">
        <f>VLOOKUP(C6744,METADATA!$A$5:$H$29,IF(E6744="HI",2,IF(E6744="LO",6,10))+IF(D6744=1,2,IF(D6744=7,1,(IF(WEEKDAY(B6744)=1,2,IF(WEEKDAY(B6744)=7,1,0))))))</f>
        <v>2</v>
      </c>
      <c r="G6744" s="369">
        <f>VLOOKUP(C6744,METADATA!$J$5:$Q$29,IF(E6744="HI",2,IF(E6744="LO",6,10))+IF(D6744=1,2,IF(D6744=7,1,(IF(WEEKDAY(B6744)=1,2,IF(WEEKDAY(B6744)=7,1,0))))))</f>
        <v>2</v>
      </c>
      <c r="H6744" s="370">
        <v>7163.14990234375</v>
      </c>
      <c r="I6744" s="370">
        <v>2365.1525268554688</v>
      </c>
      <c r="M6744" s="371">
        <f t="shared" si="421"/>
        <v>7543.5179458087114</v>
      </c>
      <c r="N6744" s="329">
        <f t="shared" si="422"/>
        <v>216.20755615234384</v>
      </c>
      <c r="T6744" s="331">
        <v>0</v>
      </c>
      <c r="U6744" s="328">
        <f>VLOOKUP(C6744,METADATA!$J$5:$Q$29,IF(E6744="HI",2,IF(E6744="LO",6,10))+IF(T6744=1,2,IF(D6744=7,1,(IF(WEEKDAY(B6744)=1,2,IF(WEEKDAY(B6744)=7,1,0))))))</f>
        <v>2</v>
      </c>
      <c r="V6744" s="328">
        <f>VLOOKUP(C6744,METADATA!$A$5:$H$29,IF(E6744="HI",2,IF(E6744="LO",6,10))+IF(T6744=1,2,IF(D6744=7,1,(IF(WEEKDAY(B6744)=1,2,IF(WEEKDAY(B6744)=7,1,0))))))</f>
        <v>2</v>
      </c>
    </row>
    <row r="6745" spans="2:22">
      <c r="B6745" s="318">
        <f t="shared" si="419"/>
        <v>46393</v>
      </c>
      <c r="C6745" s="312">
        <v>21</v>
      </c>
      <c r="D6745" s="368">
        <f>IFERROR((INDEX(METADATA!$T$2:$T$20,MATCH(B6745,METADATA!$S$2:$S$20,0))),0)</f>
        <v>0</v>
      </c>
      <c r="E6745" s="312" t="str">
        <f t="shared" si="420"/>
        <v>HI</v>
      </c>
      <c r="F6745" s="369">
        <f>VLOOKUP(C6745,METADATA!$A$5:$H$29,IF(E6745="HI",2,IF(E6745="LO",6,10))+IF(D6745=1,2,IF(D6745=7,1,(IF(WEEKDAY(B6745)=1,2,IF(WEEKDAY(B6745)=7,1,0))))))</f>
        <v>2</v>
      </c>
      <c r="G6745" s="369">
        <f>VLOOKUP(C6745,METADATA!$J$5:$Q$29,IF(E6745="HI",2,IF(E6745="LO",6,10))+IF(D6745=1,2,IF(D6745=7,1,(IF(WEEKDAY(B6745)=1,2,IF(WEEKDAY(B6745)=7,1,0))))))</f>
        <v>2</v>
      </c>
      <c r="H6745" s="370">
        <v>9644.3225708007813</v>
      </c>
      <c r="I6745" s="370">
        <v>2579.6774597167969</v>
      </c>
      <c r="M6745" s="371">
        <f t="shared" si="421"/>
        <v>9983.370855869689</v>
      </c>
      <c r="N6745" s="329">
        <f t="shared" si="422"/>
        <v>0</v>
      </c>
      <c r="T6745" s="331">
        <v>0</v>
      </c>
      <c r="U6745" s="328">
        <f>VLOOKUP(C6745,METADATA!$J$5:$Q$29,IF(E6745="HI",2,IF(E6745="LO",6,10))+IF(T6745=1,2,IF(D6745=7,1,(IF(WEEKDAY(B6745)=1,2,IF(WEEKDAY(B6745)=7,1,0))))))</f>
        <v>2</v>
      </c>
      <c r="V6745" s="328">
        <f>VLOOKUP(C6745,METADATA!$A$5:$H$29,IF(E6745="HI",2,IF(E6745="LO",6,10))+IF(T6745=1,2,IF(D6745=7,1,(IF(WEEKDAY(B6745)=1,2,IF(WEEKDAY(B6745)=7,1,0))))))</f>
        <v>2</v>
      </c>
    </row>
    <row r="6746" spans="2:22">
      <c r="B6746" s="318">
        <f t="shared" si="419"/>
        <v>46393</v>
      </c>
      <c r="C6746" s="312">
        <v>22</v>
      </c>
      <c r="D6746" s="368">
        <f>IFERROR((INDEX(METADATA!$T$2:$T$20,MATCH(B6746,METADATA!$S$2:$S$20,0))),0)</f>
        <v>0</v>
      </c>
      <c r="E6746" s="312" t="str">
        <f t="shared" si="420"/>
        <v>HI</v>
      </c>
      <c r="F6746" s="369">
        <f>VLOOKUP(C6746,METADATA!$A$5:$H$29,IF(E6746="HI",2,IF(E6746="LO",6,10))+IF(D6746=1,2,IF(D6746=7,1,(IF(WEEKDAY(B6746)=1,2,IF(WEEKDAY(B6746)=7,1,0))))))</f>
        <v>3</v>
      </c>
      <c r="G6746" s="369">
        <f>VLOOKUP(C6746,METADATA!$J$5:$Q$29,IF(E6746="HI",2,IF(E6746="LO",6,10))+IF(D6746=1,2,IF(D6746=7,1,(IF(WEEKDAY(B6746)=1,2,IF(WEEKDAY(B6746)=7,1,0))))))</f>
        <v>3</v>
      </c>
      <c r="H6746" s="370">
        <v>12097.1748046875</v>
      </c>
      <c r="I6746" s="370">
        <v>3772.2249755859375</v>
      </c>
      <c r="M6746" s="371">
        <f t="shared" si="421"/>
        <v>12671.673903695611</v>
      </c>
      <c r="N6746" s="329">
        <f t="shared" si="422"/>
        <v>143.07253417968741</v>
      </c>
      <c r="T6746" s="331">
        <v>0</v>
      </c>
      <c r="U6746" s="328">
        <f>VLOOKUP(C6746,METADATA!$J$5:$Q$29,IF(E6746="HI",2,IF(E6746="LO",6,10))+IF(T6746=1,2,IF(D6746=7,1,(IF(WEEKDAY(B6746)=1,2,IF(WEEKDAY(B6746)=7,1,0))))))</f>
        <v>3</v>
      </c>
      <c r="V6746" s="328">
        <f>VLOOKUP(C6746,METADATA!$A$5:$H$29,IF(E6746="HI",2,IF(E6746="LO",6,10))+IF(T6746=1,2,IF(D6746=7,1,(IF(WEEKDAY(B6746)=1,2,IF(WEEKDAY(B6746)=7,1,0))))))</f>
        <v>3</v>
      </c>
    </row>
    <row r="6747" spans="2:22">
      <c r="B6747" s="318">
        <f t="shared" si="419"/>
        <v>46393</v>
      </c>
      <c r="C6747" s="312">
        <v>23</v>
      </c>
      <c r="D6747" s="368">
        <f>IFERROR((INDEX(METADATA!$T$2:$T$20,MATCH(B6747,METADATA!$S$2:$S$20,0))),0)</f>
        <v>0</v>
      </c>
      <c r="E6747" s="312" t="str">
        <f t="shared" si="420"/>
        <v>HI</v>
      </c>
      <c r="F6747" s="369">
        <f>VLOOKUP(C6747,METADATA!$A$5:$H$29,IF(E6747="HI",2,IF(E6747="LO",6,10))+IF(D6747=1,2,IF(D6747=7,1,(IF(WEEKDAY(B6747)=1,2,IF(WEEKDAY(B6747)=7,1,0))))))</f>
        <v>3</v>
      </c>
      <c r="G6747" s="369">
        <f>VLOOKUP(C6747,METADATA!$J$5:$Q$29,IF(E6747="HI",2,IF(E6747="LO",6,10))+IF(D6747=1,2,IF(D6747=7,1,(IF(WEEKDAY(B6747)=1,2,IF(WEEKDAY(B6747)=7,1,0))))))</f>
        <v>3</v>
      </c>
      <c r="H6747" s="370">
        <v>13128.824951171875</v>
      </c>
      <c r="I6747" s="370">
        <v>4383.5849914550781</v>
      </c>
      <c r="M6747" s="371">
        <f t="shared" si="421"/>
        <v>13841.309980483184</v>
      </c>
      <c r="N6747" s="329">
        <f t="shared" si="422"/>
        <v>444.93750610351572</v>
      </c>
      <c r="T6747" s="331">
        <v>0</v>
      </c>
      <c r="U6747" s="328">
        <f>VLOOKUP(C6747,METADATA!$J$5:$Q$29,IF(E6747="HI",2,IF(E6747="LO",6,10))+IF(T6747=1,2,IF(D6747=7,1,(IF(WEEKDAY(B6747)=1,2,IF(WEEKDAY(B6747)=7,1,0))))))</f>
        <v>3</v>
      </c>
      <c r="V6747" s="328">
        <f>VLOOKUP(C6747,METADATA!$A$5:$H$29,IF(E6747="HI",2,IF(E6747="LO",6,10))+IF(T6747=1,2,IF(D6747=7,1,(IF(WEEKDAY(B6747)=1,2,IF(WEEKDAY(B6747)=7,1,0))))))</f>
        <v>3</v>
      </c>
    </row>
    <row r="6748" spans="2:22">
      <c r="B6748" s="318">
        <f t="shared" ref="B6748:B6811" si="423">B6724+1</f>
        <v>46394</v>
      </c>
      <c r="C6748" s="312">
        <v>0</v>
      </c>
      <c r="D6748" s="368">
        <f>IFERROR((INDEX(METADATA!$T$2:$T$20,MATCH(B6748,METADATA!$S$2:$S$20,0))),0)</f>
        <v>0</v>
      </c>
      <c r="E6748" s="312" t="str">
        <f t="shared" si="420"/>
        <v>HI</v>
      </c>
      <c r="F6748" s="369">
        <f>VLOOKUP(C6748,METADATA!$A$5:$H$29,IF(E6748="HI",2,IF(E6748="LO",6,10))+IF(D6748=1,2,IF(D6748=7,1,(IF(WEEKDAY(B6748)=1,2,IF(WEEKDAY(B6748)=7,1,0))))))</f>
        <v>3</v>
      </c>
      <c r="G6748" s="369">
        <f>VLOOKUP(C6748,METADATA!$J$5:$Q$29,IF(E6748="HI",2,IF(E6748="LO",6,10))+IF(D6748=1,2,IF(D6748=7,1,(IF(WEEKDAY(B6748)=1,2,IF(WEEKDAY(B6748)=7,1,0))))))</f>
        <v>3</v>
      </c>
      <c r="H6748" s="370">
        <v>13359</v>
      </c>
      <c r="I6748" s="370">
        <v>4452.1900024414063</v>
      </c>
      <c r="M6748" s="371">
        <f t="shared" si="421"/>
        <v>14081.366297978304</v>
      </c>
      <c r="N6748" s="329">
        <f t="shared" si="422"/>
        <v>444.49000244140643</v>
      </c>
      <c r="T6748" s="331">
        <v>0</v>
      </c>
      <c r="U6748" s="328">
        <f>VLOOKUP(C6748,METADATA!$J$5:$Q$29,IF(E6748="HI",2,IF(E6748="LO",6,10))+IF(T6748=1,2,IF(D6748=7,1,(IF(WEEKDAY(B6748)=1,2,IF(WEEKDAY(B6748)=7,1,0))))))</f>
        <v>3</v>
      </c>
      <c r="V6748" s="328">
        <f>VLOOKUP(C6748,METADATA!$A$5:$H$29,IF(E6748="HI",2,IF(E6748="LO",6,10))+IF(T6748=1,2,IF(D6748=7,1,(IF(WEEKDAY(B6748)=1,2,IF(WEEKDAY(B6748)=7,1,0))))))</f>
        <v>3</v>
      </c>
    </row>
    <row r="6749" spans="2:22">
      <c r="B6749" s="318">
        <f t="shared" si="423"/>
        <v>46394</v>
      </c>
      <c r="C6749" s="312">
        <v>1</v>
      </c>
      <c r="D6749" s="368">
        <f>IFERROR((INDEX(METADATA!$T$2:$T$20,MATCH(B6749,METADATA!$S$2:$S$20,0))),0)</f>
        <v>0</v>
      </c>
      <c r="E6749" s="312" t="str">
        <f t="shared" si="420"/>
        <v>HI</v>
      </c>
      <c r="F6749" s="369">
        <f>VLOOKUP(C6749,METADATA!$A$5:$H$29,IF(E6749="HI",2,IF(E6749="LO",6,10))+IF(D6749=1,2,IF(D6749=7,1,(IF(WEEKDAY(B6749)=1,2,IF(WEEKDAY(B6749)=7,1,0))))))</f>
        <v>3</v>
      </c>
      <c r="G6749" s="369">
        <f>VLOOKUP(C6749,METADATA!$J$5:$Q$29,IF(E6749="HI",2,IF(E6749="LO",6,10))+IF(D6749=1,2,IF(D6749=7,1,(IF(WEEKDAY(B6749)=1,2,IF(WEEKDAY(B6749)=7,1,0))))))</f>
        <v>3</v>
      </c>
      <c r="H6749" s="370">
        <v>13419.16796875</v>
      </c>
      <c r="I6749" s="370">
        <v>4444.1126098632813</v>
      </c>
      <c r="M6749" s="371">
        <f t="shared" si="421"/>
        <v>14135.918996042381</v>
      </c>
      <c r="N6749" s="329">
        <f t="shared" si="422"/>
        <v>418.36221923828134</v>
      </c>
      <c r="T6749" s="331">
        <v>0</v>
      </c>
      <c r="U6749" s="328">
        <f>VLOOKUP(C6749,METADATA!$J$5:$Q$29,IF(E6749="HI",2,IF(E6749="LO",6,10))+IF(T6749=1,2,IF(D6749=7,1,(IF(WEEKDAY(B6749)=1,2,IF(WEEKDAY(B6749)=7,1,0))))))</f>
        <v>3</v>
      </c>
      <c r="V6749" s="328">
        <f>VLOOKUP(C6749,METADATA!$A$5:$H$29,IF(E6749="HI",2,IF(E6749="LO",6,10))+IF(T6749=1,2,IF(D6749=7,1,(IF(WEEKDAY(B6749)=1,2,IF(WEEKDAY(B6749)=7,1,0))))))</f>
        <v>3</v>
      </c>
    </row>
    <row r="6750" spans="2:22">
      <c r="B6750" s="318">
        <f t="shared" si="423"/>
        <v>46394</v>
      </c>
      <c r="C6750" s="312">
        <v>2</v>
      </c>
      <c r="D6750" s="368">
        <f>IFERROR((INDEX(METADATA!$T$2:$T$20,MATCH(B6750,METADATA!$S$2:$S$20,0))),0)</f>
        <v>0</v>
      </c>
      <c r="E6750" s="312" t="str">
        <f t="shared" si="420"/>
        <v>HI</v>
      </c>
      <c r="F6750" s="369">
        <f>VLOOKUP(C6750,METADATA!$A$5:$H$29,IF(E6750="HI",2,IF(E6750="LO",6,10))+IF(D6750=1,2,IF(D6750=7,1,(IF(WEEKDAY(B6750)=1,2,IF(WEEKDAY(B6750)=7,1,0))))))</f>
        <v>3</v>
      </c>
      <c r="G6750" s="369">
        <f>VLOOKUP(C6750,METADATA!$J$5:$Q$29,IF(E6750="HI",2,IF(E6750="LO",6,10))+IF(D6750=1,2,IF(D6750=7,1,(IF(WEEKDAY(B6750)=1,2,IF(WEEKDAY(B6750)=7,1,0))))))</f>
        <v>3</v>
      </c>
      <c r="H6750" s="370">
        <v>13427.375183105469</v>
      </c>
      <c r="I6750" s="370">
        <v>4610.4949951171875</v>
      </c>
      <c r="M6750" s="371">
        <f t="shared" si="421"/>
        <v>14196.868260566387</v>
      </c>
      <c r="N6750" s="329">
        <f t="shared" si="422"/>
        <v>582.28244018554688</v>
      </c>
      <c r="T6750" s="331">
        <v>0</v>
      </c>
      <c r="U6750" s="328">
        <f>VLOOKUP(C6750,METADATA!$J$5:$Q$29,IF(E6750="HI",2,IF(E6750="LO",6,10))+IF(T6750=1,2,IF(D6750=7,1,(IF(WEEKDAY(B6750)=1,2,IF(WEEKDAY(B6750)=7,1,0))))))</f>
        <v>3</v>
      </c>
      <c r="V6750" s="328">
        <f>VLOOKUP(C6750,METADATA!$A$5:$H$29,IF(E6750="HI",2,IF(E6750="LO",6,10))+IF(T6750=1,2,IF(D6750=7,1,(IF(WEEKDAY(B6750)=1,2,IF(WEEKDAY(B6750)=7,1,0))))))</f>
        <v>3</v>
      </c>
    </row>
    <row r="6751" spans="2:22">
      <c r="B6751" s="318">
        <f t="shared" si="423"/>
        <v>46394</v>
      </c>
      <c r="C6751" s="312">
        <v>3</v>
      </c>
      <c r="D6751" s="368">
        <f>IFERROR((INDEX(METADATA!$T$2:$T$20,MATCH(B6751,METADATA!$S$2:$S$20,0))),0)</f>
        <v>0</v>
      </c>
      <c r="E6751" s="312" t="str">
        <f t="shared" si="420"/>
        <v>HI</v>
      </c>
      <c r="F6751" s="369">
        <f>VLOOKUP(C6751,METADATA!$A$5:$H$29,IF(E6751="HI",2,IF(E6751="LO",6,10))+IF(D6751=1,2,IF(D6751=7,1,(IF(WEEKDAY(B6751)=1,2,IF(WEEKDAY(B6751)=7,1,0))))))</f>
        <v>3</v>
      </c>
      <c r="G6751" s="369">
        <f>VLOOKUP(C6751,METADATA!$J$5:$Q$29,IF(E6751="HI",2,IF(E6751="LO",6,10))+IF(D6751=1,2,IF(D6751=7,1,(IF(WEEKDAY(B6751)=1,2,IF(WEEKDAY(B6751)=7,1,0))))))</f>
        <v>3</v>
      </c>
      <c r="H6751" s="370">
        <v>13308.649719238281</v>
      </c>
      <c r="I6751" s="370">
        <v>4479.280029296875</v>
      </c>
      <c r="M6751" s="371">
        <f t="shared" si="421"/>
        <v>14042.225853839518</v>
      </c>
      <c r="N6751" s="329">
        <f t="shared" si="422"/>
        <v>486.68511352539099</v>
      </c>
      <c r="T6751" s="331">
        <v>0</v>
      </c>
      <c r="U6751" s="328">
        <f>VLOOKUP(C6751,METADATA!$J$5:$Q$29,IF(E6751="HI",2,IF(E6751="LO",6,10))+IF(T6751=1,2,IF(D6751=7,1,(IF(WEEKDAY(B6751)=1,2,IF(WEEKDAY(B6751)=7,1,0))))))</f>
        <v>3</v>
      </c>
      <c r="V6751" s="328">
        <f>VLOOKUP(C6751,METADATA!$A$5:$H$29,IF(E6751="HI",2,IF(E6751="LO",6,10))+IF(T6751=1,2,IF(D6751=7,1,(IF(WEEKDAY(B6751)=1,2,IF(WEEKDAY(B6751)=7,1,0))))))</f>
        <v>3</v>
      </c>
    </row>
    <row r="6752" spans="2:22">
      <c r="B6752" s="318">
        <f t="shared" si="423"/>
        <v>46394</v>
      </c>
      <c r="C6752" s="312">
        <v>4</v>
      </c>
      <c r="D6752" s="368">
        <f>IFERROR((INDEX(METADATA!$T$2:$T$20,MATCH(B6752,METADATA!$S$2:$S$20,0))),0)</f>
        <v>0</v>
      </c>
      <c r="E6752" s="312" t="str">
        <f t="shared" si="420"/>
        <v>HI</v>
      </c>
      <c r="F6752" s="369">
        <f>VLOOKUP(C6752,METADATA!$A$5:$H$29,IF(E6752="HI",2,IF(E6752="LO",6,10))+IF(D6752=1,2,IF(D6752=7,1,(IF(WEEKDAY(B6752)=1,2,IF(WEEKDAY(B6752)=7,1,0))))))</f>
        <v>3</v>
      </c>
      <c r="G6752" s="369">
        <f>VLOOKUP(C6752,METADATA!$J$5:$Q$29,IF(E6752="HI",2,IF(E6752="LO",6,10))+IF(D6752=1,2,IF(D6752=7,1,(IF(WEEKDAY(B6752)=1,2,IF(WEEKDAY(B6752)=7,1,0))))))</f>
        <v>3</v>
      </c>
      <c r="H6752" s="370">
        <v>13220.675170898438</v>
      </c>
      <c r="I6752" s="370">
        <v>4275.5650024414063</v>
      </c>
      <c r="M6752" s="371">
        <f t="shared" si="421"/>
        <v>13894.844657804282</v>
      </c>
      <c r="N6752" s="329">
        <f t="shared" si="422"/>
        <v>309.36245117187536</v>
      </c>
      <c r="T6752" s="331">
        <v>0</v>
      </c>
      <c r="U6752" s="328">
        <f>VLOOKUP(C6752,METADATA!$J$5:$Q$29,IF(E6752="HI",2,IF(E6752="LO",6,10))+IF(T6752=1,2,IF(D6752=7,1,(IF(WEEKDAY(B6752)=1,2,IF(WEEKDAY(B6752)=7,1,0))))))</f>
        <v>3</v>
      </c>
      <c r="V6752" s="328">
        <f>VLOOKUP(C6752,METADATA!$A$5:$H$29,IF(E6752="HI",2,IF(E6752="LO",6,10))+IF(T6752=1,2,IF(D6752=7,1,(IF(WEEKDAY(B6752)=1,2,IF(WEEKDAY(B6752)=7,1,0))))))</f>
        <v>3</v>
      </c>
    </row>
    <row r="6753" spans="2:22">
      <c r="B6753" s="318">
        <f t="shared" si="423"/>
        <v>46394</v>
      </c>
      <c r="C6753" s="312">
        <v>5</v>
      </c>
      <c r="D6753" s="368">
        <f>IFERROR((INDEX(METADATA!$T$2:$T$20,MATCH(B6753,METADATA!$S$2:$S$20,0))),0)</f>
        <v>0</v>
      </c>
      <c r="E6753" s="312" t="str">
        <f t="shared" si="420"/>
        <v>HI</v>
      </c>
      <c r="F6753" s="369">
        <f>VLOOKUP(C6753,METADATA!$A$5:$H$29,IF(E6753="HI",2,IF(E6753="LO",6,10))+IF(D6753=1,2,IF(D6753=7,1,(IF(WEEKDAY(B6753)=1,2,IF(WEEKDAY(B6753)=7,1,0))))))</f>
        <v>3</v>
      </c>
      <c r="G6753" s="369">
        <f>VLOOKUP(C6753,METADATA!$J$5:$Q$29,IF(E6753="HI",2,IF(E6753="LO",6,10))+IF(D6753=1,2,IF(D6753=7,1,(IF(WEEKDAY(B6753)=1,2,IF(WEEKDAY(B6753)=7,1,0))))))</f>
        <v>3</v>
      </c>
      <c r="H6753" s="370">
        <v>13357.100036621094</v>
      </c>
      <c r="I6753" s="370">
        <v>4419.3349914550781</v>
      </c>
      <c r="M6753" s="371">
        <f t="shared" si="421"/>
        <v>14069.209045109908</v>
      </c>
      <c r="N6753" s="329">
        <f t="shared" si="422"/>
        <v>412.20498046875036</v>
      </c>
      <c r="T6753" s="331">
        <v>0</v>
      </c>
      <c r="U6753" s="328">
        <f>VLOOKUP(C6753,METADATA!$J$5:$Q$29,IF(E6753="HI",2,IF(E6753="LO",6,10))+IF(T6753=1,2,IF(D6753=7,1,(IF(WEEKDAY(B6753)=1,2,IF(WEEKDAY(B6753)=7,1,0))))))</f>
        <v>3</v>
      </c>
      <c r="V6753" s="328">
        <f>VLOOKUP(C6753,METADATA!$A$5:$H$29,IF(E6753="HI",2,IF(E6753="LO",6,10))+IF(T6753=1,2,IF(D6753=7,1,(IF(WEEKDAY(B6753)=1,2,IF(WEEKDAY(B6753)=7,1,0))))))</f>
        <v>3</v>
      </c>
    </row>
    <row r="6754" spans="2:22">
      <c r="B6754" s="318">
        <f t="shared" si="423"/>
        <v>46394</v>
      </c>
      <c r="C6754" s="312">
        <v>6</v>
      </c>
      <c r="D6754" s="368">
        <f>IFERROR((INDEX(METADATA!$T$2:$T$20,MATCH(B6754,METADATA!$S$2:$S$20,0))),0)</f>
        <v>0</v>
      </c>
      <c r="E6754" s="312" t="str">
        <f t="shared" si="420"/>
        <v>HI</v>
      </c>
      <c r="F6754" s="369">
        <f>VLOOKUP(C6754,METADATA!$A$5:$H$29,IF(E6754="HI",2,IF(E6754="LO",6,10))+IF(D6754=1,2,IF(D6754=7,1,(IF(WEEKDAY(B6754)=1,2,IF(WEEKDAY(B6754)=7,1,0))))))</f>
        <v>1</v>
      </c>
      <c r="G6754" s="369">
        <f>VLOOKUP(C6754,METADATA!$J$5:$Q$29,IF(E6754="HI",2,IF(E6754="LO",6,10))+IF(D6754=1,2,IF(D6754=7,1,(IF(WEEKDAY(B6754)=1,2,IF(WEEKDAY(B6754)=7,1,0))))))</f>
        <v>1</v>
      </c>
      <c r="H6754" s="370">
        <v>13410.4248046875</v>
      </c>
      <c r="I6754" s="370">
        <v>4436.81005859375</v>
      </c>
      <c r="M6754" s="371">
        <f t="shared" si="421"/>
        <v>14125.323958699724</v>
      </c>
      <c r="N6754" s="329">
        <f t="shared" si="422"/>
        <v>413.6826171875</v>
      </c>
      <c r="T6754" s="331">
        <v>0</v>
      </c>
      <c r="U6754" s="328">
        <f>VLOOKUP(C6754,METADATA!$J$5:$Q$29,IF(E6754="HI",2,IF(E6754="LO",6,10))+IF(T6754=1,2,IF(D6754=7,1,(IF(WEEKDAY(B6754)=1,2,IF(WEEKDAY(B6754)=7,1,0))))))</f>
        <v>1</v>
      </c>
      <c r="V6754" s="328">
        <f>VLOOKUP(C6754,METADATA!$A$5:$H$29,IF(E6754="HI",2,IF(E6754="LO",6,10))+IF(T6754=1,2,IF(D6754=7,1,(IF(WEEKDAY(B6754)=1,2,IF(WEEKDAY(B6754)=7,1,0))))))</f>
        <v>1</v>
      </c>
    </row>
    <row r="6755" spans="2:22">
      <c r="B6755" s="318">
        <f t="shared" si="423"/>
        <v>46394</v>
      </c>
      <c r="C6755" s="312">
        <v>7</v>
      </c>
      <c r="D6755" s="368">
        <f>IFERROR((INDEX(METADATA!$T$2:$T$20,MATCH(B6755,METADATA!$S$2:$S$20,0))),0)</f>
        <v>0</v>
      </c>
      <c r="E6755" s="312" t="str">
        <f t="shared" si="420"/>
        <v>HI</v>
      </c>
      <c r="F6755" s="369">
        <f>VLOOKUP(C6755,METADATA!$A$5:$H$29,IF(E6755="HI",2,IF(E6755="LO",6,10))+IF(D6755=1,2,IF(D6755=7,1,(IF(WEEKDAY(B6755)=1,2,IF(WEEKDAY(B6755)=7,1,0))))))</f>
        <v>1</v>
      </c>
      <c r="G6755" s="369">
        <f>VLOOKUP(C6755,METADATA!$J$5:$Q$29,IF(E6755="HI",2,IF(E6755="LO",6,10))+IF(D6755=1,2,IF(D6755=7,1,(IF(WEEKDAY(B6755)=1,2,IF(WEEKDAY(B6755)=7,1,0))))))</f>
        <v>1</v>
      </c>
      <c r="H6755" s="370">
        <v>13421.999938964844</v>
      </c>
      <c r="I6755" s="370">
        <v>4347.3300476074219</v>
      </c>
      <c r="M6755" s="371">
        <f t="shared" si="421"/>
        <v>14108.485422057274</v>
      </c>
      <c r="N6755" s="329">
        <f t="shared" si="422"/>
        <v>320.73006591796911</v>
      </c>
      <c r="T6755" s="331">
        <v>0</v>
      </c>
      <c r="U6755" s="328">
        <f>VLOOKUP(C6755,METADATA!$J$5:$Q$29,IF(E6755="HI",2,IF(E6755="LO",6,10))+IF(T6755=1,2,IF(D6755=7,1,(IF(WEEKDAY(B6755)=1,2,IF(WEEKDAY(B6755)=7,1,0))))))</f>
        <v>1</v>
      </c>
      <c r="V6755" s="328">
        <f>VLOOKUP(C6755,METADATA!$A$5:$H$29,IF(E6755="HI",2,IF(E6755="LO",6,10))+IF(T6755=1,2,IF(D6755=7,1,(IF(WEEKDAY(B6755)=1,2,IF(WEEKDAY(B6755)=7,1,0))))))</f>
        <v>1</v>
      </c>
    </row>
    <row r="6756" spans="2:22">
      <c r="B6756" s="318">
        <f t="shared" si="423"/>
        <v>46394</v>
      </c>
      <c r="C6756" s="312">
        <v>8</v>
      </c>
      <c r="D6756" s="368">
        <f>IFERROR((INDEX(METADATA!$T$2:$T$20,MATCH(B6756,METADATA!$S$2:$S$20,0))),0)</f>
        <v>0</v>
      </c>
      <c r="E6756" s="312" t="str">
        <f t="shared" si="420"/>
        <v>HI</v>
      </c>
      <c r="F6756" s="369">
        <f>VLOOKUP(C6756,METADATA!$A$5:$H$29,IF(E6756="HI",2,IF(E6756="LO",6,10))+IF(D6756=1,2,IF(D6756=7,1,(IF(WEEKDAY(B6756)=1,2,IF(WEEKDAY(B6756)=7,1,0))))))</f>
        <v>2</v>
      </c>
      <c r="G6756" s="369">
        <f>VLOOKUP(C6756,METADATA!$J$5:$Q$29,IF(E6756="HI",2,IF(E6756="LO",6,10))+IF(D6756=1,2,IF(D6756=7,1,(IF(WEEKDAY(B6756)=1,2,IF(WEEKDAY(B6756)=7,1,0))))))</f>
        <v>2</v>
      </c>
      <c r="H6756" s="370">
        <v>12590.425231933594</v>
      </c>
      <c r="I6756" s="370">
        <v>3821.6500244140625</v>
      </c>
      <c r="M6756" s="371">
        <f t="shared" si="421"/>
        <v>13157.652390529782</v>
      </c>
      <c r="N6756" s="329">
        <f t="shared" si="422"/>
        <v>44.522454833984739</v>
      </c>
      <c r="T6756" s="331">
        <v>0</v>
      </c>
      <c r="U6756" s="328">
        <f>VLOOKUP(C6756,METADATA!$J$5:$Q$29,IF(E6756="HI",2,IF(E6756="LO",6,10))+IF(T6756=1,2,IF(D6756=7,1,(IF(WEEKDAY(B6756)=1,2,IF(WEEKDAY(B6756)=7,1,0))))))</f>
        <v>2</v>
      </c>
      <c r="V6756" s="328">
        <f>VLOOKUP(C6756,METADATA!$A$5:$H$29,IF(E6756="HI",2,IF(E6756="LO",6,10))+IF(T6756=1,2,IF(D6756=7,1,(IF(WEEKDAY(B6756)=1,2,IF(WEEKDAY(B6756)=7,1,0))))))</f>
        <v>2</v>
      </c>
    </row>
    <row r="6757" spans="2:22">
      <c r="B6757" s="318">
        <f t="shared" si="423"/>
        <v>46394</v>
      </c>
      <c r="C6757" s="312">
        <v>9</v>
      </c>
      <c r="D6757" s="368">
        <f>IFERROR((INDEX(METADATA!$T$2:$T$20,MATCH(B6757,METADATA!$S$2:$S$20,0))),0)</f>
        <v>0</v>
      </c>
      <c r="E6757" s="312" t="str">
        <f t="shared" si="420"/>
        <v>HI</v>
      </c>
      <c r="F6757" s="369">
        <f>VLOOKUP(C6757,METADATA!$A$5:$H$29,IF(E6757="HI",2,IF(E6757="LO",6,10))+IF(D6757=1,2,IF(D6757=7,1,(IF(WEEKDAY(B6757)=1,2,IF(WEEKDAY(B6757)=7,1,0))))))</f>
        <v>2</v>
      </c>
      <c r="G6757" s="369">
        <f>VLOOKUP(C6757,METADATA!$J$5:$Q$29,IF(E6757="HI",2,IF(E6757="LO",6,10))+IF(D6757=1,2,IF(D6757=7,1,(IF(WEEKDAY(B6757)=1,2,IF(WEEKDAY(B6757)=7,1,0))))))</f>
        <v>2</v>
      </c>
      <c r="H6757" s="370">
        <v>11283.150024414063</v>
      </c>
      <c r="I6757" s="370">
        <v>3236.5599670410156</v>
      </c>
      <c r="M6757" s="371">
        <f t="shared" si="421"/>
        <v>11738.176813018605</v>
      </c>
      <c r="N6757" s="329">
        <f t="shared" si="422"/>
        <v>0</v>
      </c>
      <c r="T6757" s="331">
        <v>0</v>
      </c>
      <c r="U6757" s="328">
        <f>VLOOKUP(C6757,METADATA!$J$5:$Q$29,IF(E6757="HI",2,IF(E6757="LO",6,10))+IF(T6757=1,2,IF(D6757=7,1,(IF(WEEKDAY(B6757)=1,2,IF(WEEKDAY(B6757)=7,1,0))))))</f>
        <v>2</v>
      </c>
      <c r="V6757" s="328">
        <f>VLOOKUP(C6757,METADATA!$A$5:$H$29,IF(E6757="HI",2,IF(E6757="LO",6,10))+IF(T6757=1,2,IF(D6757=7,1,(IF(WEEKDAY(B6757)=1,2,IF(WEEKDAY(B6757)=7,1,0))))))</f>
        <v>2</v>
      </c>
    </row>
    <row r="6758" spans="2:22">
      <c r="B6758" s="318">
        <f t="shared" si="423"/>
        <v>46394</v>
      </c>
      <c r="C6758" s="312">
        <v>10</v>
      </c>
      <c r="D6758" s="368">
        <f>IFERROR((INDEX(METADATA!$T$2:$T$20,MATCH(B6758,METADATA!$S$2:$S$20,0))),0)</f>
        <v>0</v>
      </c>
      <c r="E6758" s="312" t="str">
        <f t="shared" si="420"/>
        <v>HI</v>
      </c>
      <c r="F6758" s="369">
        <f>VLOOKUP(C6758,METADATA!$A$5:$H$29,IF(E6758="HI",2,IF(E6758="LO",6,10))+IF(D6758=1,2,IF(D6758=7,1,(IF(WEEKDAY(B6758)=1,2,IF(WEEKDAY(B6758)=7,1,0))))))</f>
        <v>2</v>
      </c>
      <c r="G6758" s="369">
        <f>VLOOKUP(C6758,METADATA!$J$5:$Q$29,IF(E6758="HI",2,IF(E6758="LO",6,10))+IF(D6758=1,2,IF(D6758=7,1,(IF(WEEKDAY(B6758)=1,2,IF(WEEKDAY(B6758)=7,1,0))))))</f>
        <v>2</v>
      </c>
      <c r="H6758" s="370">
        <v>7328.8099365234375</v>
      </c>
      <c r="I6758" s="370">
        <v>2104.0324401855469</v>
      </c>
      <c r="M6758" s="371">
        <f t="shared" si="421"/>
        <v>7624.8545950095222</v>
      </c>
      <c r="N6758" s="329">
        <f t="shared" si="422"/>
        <v>0</v>
      </c>
      <c r="T6758" s="331">
        <v>0</v>
      </c>
      <c r="U6758" s="328">
        <f>VLOOKUP(C6758,METADATA!$J$5:$Q$29,IF(E6758="HI",2,IF(E6758="LO",6,10))+IF(T6758=1,2,IF(D6758=7,1,(IF(WEEKDAY(B6758)=1,2,IF(WEEKDAY(B6758)=7,1,0))))))</f>
        <v>2</v>
      </c>
      <c r="V6758" s="328">
        <f>VLOOKUP(C6758,METADATA!$A$5:$H$29,IF(E6758="HI",2,IF(E6758="LO",6,10))+IF(T6758=1,2,IF(D6758=7,1,(IF(WEEKDAY(B6758)=1,2,IF(WEEKDAY(B6758)=7,1,0))))))</f>
        <v>2</v>
      </c>
    </row>
    <row r="6759" spans="2:22">
      <c r="B6759" s="318">
        <f t="shared" si="423"/>
        <v>46394</v>
      </c>
      <c r="C6759" s="312">
        <v>11</v>
      </c>
      <c r="D6759" s="368">
        <f>IFERROR((INDEX(METADATA!$T$2:$T$20,MATCH(B6759,METADATA!$S$2:$S$20,0))),0)</f>
        <v>0</v>
      </c>
      <c r="E6759" s="312" t="str">
        <f t="shared" si="420"/>
        <v>HI</v>
      </c>
      <c r="F6759" s="369">
        <f>VLOOKUP(C6759,METADATA!$A$5:$H$29,IF(E6759="HI",2,IF(E6759="LO",6,10))+IF(D6759=1,2,IF(D6759=7,1,(IF(WEEKDAY(B6759)=1,2,IF(WEEKDAY(B6759)=7,1,0))))))</f>
        <v>2</v>
      </c>
      <c r="G6759" s="369">
        <f>VLOOKUP(C6759,METADATA!$J$5:$Q$29,IF(E6759="HI",2,IF(E6759="LO",6,10))+IF(D6759=1,2,IF(D6759=7,1,(IF(WEEKDAY(B6759)=1,2,IF(WEEKDAY(B6759)=7,1,0))))))</f>
        <v>2</v>
      </c>
      <c r="H6759" s="370">
        <v>7709.2748413085938</v>
      </c>
      <c r="I6759" s="370">
        <v>2665.3250732421875</v>
      </c>
      <c r="M6759" s="371">
        <f t="shared" si="421"/>
        <v>8157.0139343320425</v>
      </c>
      <c r="N6759" s="329">
        <f t="shared" si="422"/>
        <v>352.54262084960965</v>
      </c>
      <c r="T6759" s="331">
        <v>0</v>
      </c>
      <c r="U6759" s="328">
        <f>VLOOKUP(C6759,METADATA!$J$5:$Q$29,IF(E6759="HI",2,IF(E6759="LO",6,10))+IF(T6759=1,2,IF(D6759=7,1,(IF(WEEKDAY(B6759)=1,2,IF(WEEKDAY(B6759)=7,1,0))))))</f>
        <v>2</v>
      </c>
      <c r="V6759" s="328">
        <f>VLOOKUP(C6759,METADATA!$A$5:$H$29,IF(E6759="HI",2,IF(E6759="LO",6,10))+IF(T6759=1,2,IF(D6759=7,1,(IF(WEEKDAY(B6759)=1,2,IF(WEEKDAY(B6759)=7,1,0))))))</f>
        <v>2</v>
      </c>
    </row>
    <row r="6760" spans="2:22">
      <c r="B6760" s="318">
        <f t="shared" si="423"/>
        <v>46394</v>
      </c>
      <c r="C6760" s="312">
        <v>12</v>
      </c>
      <c r="D6760" s="368">
        <f>IFERROR((INDEX(METADATA!$T$2:$T$20,MATCH(B6760,METADATA!$S$2:$S$20,0))),0)</f>
        <v>0</v>
      </c>
      <c r="E6760" s="312" t="str">
        <f t="shared" si="420"/>
        <v>HI</v>
      </c>
      <c r="F6760" s="369">
        <f>VLOOKUP(C6760,METADATA!$A$5:$H$29,IF(E6760="HI",2,IF(E6760="LO",6,10))+IF(D6760=1,2,IF(D6760=7,1,(IF(WEEKDAY(B6760)=1,2,IF(WEEKDAY(B6760)=7,1,0))))))</f>
        <v>2</v>
      </c>
      <c r="G6760" s="369">
        <f>VLOOKUP(C6760,METADATA!$J$5:$Q$29,IF(E6760="HI",2,IF(E6760="LO",6,10))+IF(D6760=1,2,IF(D6760=7,1,(IF(WEEKDAY(B6760)=1,2,IF(WEEKDAY(B6760)=7,1,0))))))</f>
        <v>2</v>
      </c>
      <c r="H6760" s="370">
        <v>7820.7501220703125</v>
      </c>
      <c r="I6760" s="370">
        <v>2591.699951171875</v>
      </c>
      <c r="M6760" s="371">
        <f t="shared" si="421"/>
        <v>8238.9951516411948</v>
      </c>
      <c r="N6760" s="329">
        <f t="shared" si="422"/>
        <v>245.47491455078125</v>
      </c>
      <c r="T6760" s="331">
        <v>0</v>
      </c>
      <c r="U6760" s="328">
        <f>VLOOKUP(C6760,METADATA!$J$5:$Q$29,IF(E6760="HI",2,IF(E6760="LO",6,10))+IF(T6760=1,2,IF(D6760=7,1,(IF(WEEKDAY(B6760)=1,2,IF(WEEKDAY(B6760)=7,1,0))))))</f>
        <v>2</v>
      </c>
      <c r="V6760" s="328">
        <f>VLOOKUP(C6760,METADATA!$A$5:$H$29,IF(E6760="HI",2,IF(E6760="LO",6,10))+IF(T6760=1,2,IF(D6760=7,1,(IF(WEEKDAY(B6760)=1,2,IF(WEEKDAY(B6760)=7,1,0))))))</f>
        <v>2</v>
      </c>
    </row>
    <row r="6761" spans="2:22">
      <c r="B6761" s="318">
        <f t="shared" si="423"/>
        <v>46394</v>
      </c>
      <c r="C6761" s="312">
        <v>13</v>
      </c>
      <c r="D6761" s="368">
        <f>IFERROR((INDEX(METADATA!$T$2:$T$20,MATCH(B6761,METADATA!$S$2:$S$20,0))),0)</f>
        <v>0</v>
      </c>
      <c r="E6761" s="312" t="str">
        <f t="shared" si="420"/>
        <v>HI</v>
      </c>
      <c r="F6761" s="369">
        <f>VLOOKUP(C6761,METADATA!$A$5:$H$29,IF(E6761="HI",2,IF(E6761="LO",6,10))+IF(D6761=1,2,IF(D6761=7,1,(IF(WEEKDAY(B6761)=1,2,IF(WEEKDAY(B6761)=7,1,0))))))</f>
        <v>2</v>
      </c>
      <c r="G6761" s="369">
        <f>VLOOKUP(C6761,METADATA!$J$5:$Q$29,IF(E6761="HI",2,IF(E6761="LO",6,10))+IF(D6761=1,2,IF(D6761=7,1,(IF(WEEKDAY(B6761)=1,2,IF(WEEKDAY(B6761)=7,1,0))))))</f>
        <v>2</v>
      </c>
      <c r="H6761" s="370">
        <v>10806.675048828125</v>
      </c>
      <c r="I6761" s="370">
        <v>3532.2049255371094</v>
      </c>
      <c r="M6761" s="371">
        <f t="shared" si="421"/>
        <v>11369.287455551161</v>
      </c>
      <c r="N6761" s="329">
        <f t="shared" si="422"/>
        <v>290.20241088867215</v>
      </c>
      <c r="T6761" s="331">
        <v>0</v>
      </c>
      <c r="U6761" s="328">
        <f>VLOOKUP(C6761,METADATA!$J$5:$Q$29,IF(E6761="HI",2,IF(E6761="LO",6,10))+IF(T6761=1,2,IF(D6761=7,1,(IF(WEEKDAY(B6761)=1,2,IF(WEEKDAY(B6761)=7,1,0))))))</f>
        <v>2</v>
      </c>
      <c r="V6761" s="328">
        <f>VLOOKUP(C6761,METADATA!$A$5:$H$29,IF(E6761="HI",2,IF(E6761="LO",6,10))+IF(T6761=1,2,IF(D6761=7,1,(IF(WEEKDAY(B6761)=1,2,IF(WEEKDAY(B6761)=7,1,0))))))</f>
        <v>2</v>
      </c>
    </row>
    <row r="6762" spans="2:22">
      <c r="B6762" s="318">
        <f t="shared" si="423"/>
        <v>46394</v>
      </c>
      <c r="C6762" s="312">
        <v>14</v>
      </c>
      <c r="D6762" s="368">
        <f>IFERROR((INDEX(METADATA!$T$2:$T$20,MATCH(B6762,METADATA!$S$2:$S$20,0))),0)</f>
        <v>0</v>
      </c>
      <c r="E6762" s="312" t="str">
        <f t="shared" si="420"/>
        <v>HI</v>
      </c>
      <c r="F6762" s="369">
        <f>VLOOKUP(C6762,METADATA!$A$5:$H$29,IF(E6762="HI",2,IF(E6762="LO",6,10))+IF(D6762=1,2,IF(D6762=7,1,(IF(WEEKDAY(B6762)=1,2,IF(WEEKDAY(B6762)=7,1,0))))))</f>
        <v>2</v>
      </c>
      <c r="G6762" s="369">
        <f>VLOOKUP(C6762,METADATA!$J$5:$Q$29,IF(E6762="HI",2,IF(E6762="LO",6,10))+IF(D6762=1,2,IF(D6762=7,1,(IF(WEEKDAY(B6762)=1,2,IF(WEEKDAY(B6762)=7,1,0))))))</f>
        <v>2</v>
      </c>
      <c r="H6762" s="370">
        <v>13391.200378417969</v>
      </c>
      <c r="I6762" s="370">
        <v>4418.9349365234375</v>
      </c>
      <c r="M6762" s="371">
        <f t="shared" si="421"/>
        <v>14101.462106752228</v>
      </c>
      <c r="N6762" s="329">
        <f t="shared" si="422"/>
        <v>401.57482299804724</v>
      </c>
      <c r="T6762" s="331">
        <v>0</v>
      </c>
      <c r="U6762" s="328">
        <f>VLOOKUP(C6762,METADATA!$J$5:$Q$29,IF(E6762="HI",2,IF(E6762="LO",6,10))+IF(T6762=1,2,IF(D6762=7,1,(IF(WEEKDAY(B6762)=1,2,IF(WEEKDAY(B6762)=7,1,0))))))</f>
        <v>2</v>
      </c>
      <c r="V6762" s="328">
        <f>VLOOKUP(C6762,METADATA!$A$5:$H$29,IF(E6762="HI",2,IF(E6762="LO",6,10))+IF(T6762=1,2,IF(D6762=7,1,(IF(WEEKDAY(B6762)=1,2,IF(WEEKDAY(B6762)=7,1,0))))))</f>
        <v>2</v>
      </c>
    </row>
    <row r="6763" spans="2:22">
      <c r="B6763" s="318">
        <f t="shared" si="423"/>
        <v>46394</v>
      </c>
      <c r="C6763" s="312">
        <v>15</v>
      </c>
      <c r="D6763" s="368">
        <f>IFERROR((INDEX(METADATA!$T$2:$T$20,MATCH(B6763,METADATA!$S$2:$S$20,0))),0)</f>
        <v>0</v>
      </c>
      <c r="E6763" s="312" t="str">
        <f t="shared" si="420"/>
        <v>HI</v>
      </c>
      <c r="F6763" s="369">
        <f>VLOOKUP(C6763,METADATA!$A$5:$H$29,IF(E6763="HI",2,IF(E6763="LO",6,10))+IF(D6763=1,2,IF(D6763=7,1,(IF(WEEKDAY(B6763)=1,2,IF(WEEKDAY(B6763)=7,1,0))))))</f>
        <v>2</v>
      </c>
      <c r="G6763" s="369">
        <f>VLOOKUP(C6763,METADATA!$J$5:$Q$29,IF(E6763="HI",2,IF(E6763="LO",6,10))+IF(D6763=1,2,IF(D6763=7,1,(IF(WEEKDAY(B6763)=1,2,IF(WEEKDAY(B6763)=7,1,0))))))</f>
        <v>2</v>
      </c>
      <c r="H6763" s="370">
        <v>12736.599609375</v>
      </c>
      <c r="I6763" s="370">
        <v>4107.6051025390625</v>
      </c>
      <c r="M6763" s="371">
        <f t="shared" si="421"/>
        <v>13382.577826709483</v>
      </c>
      <c r="N6763" s="329">
        <f t="shared" si="422"/>
        <v>286.62521972656259</v>
      </c>
      <c r="T6763" s="331">
        <v>0</v>
      </c>
      <c r="U6763" s="328">
        <f>VLOOKUP(C6763,METADATA!$J$5:$Q$29,IF(E6763="HI",2,IF(E6763="LO",6,10))+IF(T6763=1,2,IF(D6763=7,1,(IF(WEEKDAY(B6763)=1,2,IF(WEEKDAY(B6763)=7,1,0))))))</f>
        <v>2</v>
      </c>
      <c r="V6763" s="328">
        <f>VLOOKUP(C6763,METADATA!$A$5:$H$29,IF(E6763="HI",2,IF(E6763="LO",6,10))+IF(T6763=1,2,IF(D6763=7,1,(IF(WEEKDAY(B6763)=1,2,IF(WEEKDAY(B6763)=7,1,0))))))</f>
        <v>2</v>
      </c>
    </row>
    <row r="6764" spans="2:22">
      <c r="B6764" s="318">
        <f t="shared" si="423"/>
        <v>46394</v>
      </c>
      <c r="C6764" s="312">
        <v>16</v>
      </c>
      <c r="D6764" s="368">
        <f>IFERROR((INDEX(METADATA!$T$2:$T$20,MATCH(B6764,METADATA!$S$2:$S$20,0))),0)</f>
        <v>0</v>
      </c>
      <c r="E6764" s="312" t="str">
        <f t="shared" si="420"/>
        <v>HI</v>
      </c>
      <c r="F6764" s="369">
        <f>VLOOKUP(C6764,METADATA!$A$5:$H$29,IF(E6764="HI",2,IF(E6764="LO",6,10))+IF(D6764=1,2,IF(D6764=7,1,(IF(WEEKDAY(B6764)=1,2,IF(WEEKDAY(B6764)=7,1,0))))))</f>
        <v>2</v>
      </c>
      <c r="G6764" s="369">
        <f>VLOOKUP(C6764,METADATA!$J$5:$Q$29,IF(E6764="HI",2,IF(E6764="LO",6,10))+IF(D6764=1,2,IF(D6764=7,1,(IF(WEEKDAY(B6764)=1,2,IF(WEEKDAY(B6764)=7,1,0))))))</f>
        <v>2</v>
      </c>
      <c r="H6764" s="370">
        <v>12921.149963378906</v>
      </c>
      <c r="I6764" s="370">
        <v>4132.4649353027344</v>
      </c>
      <c r="M6764" s="371">
        <f t="shared" si="421"/>
        <v>13565.890417426839</v>
      </c>
      <c r="N6764" s="329">
        <f t="shared" si="422"/>
        <v>256.11994628906268</v>
      </c>
      <c r="T6764" s="331">
        <v>0</v>
      </c>
      <c r="U6764" s="328">
        <f>VLOOKUP(C6764,METADATA!$J$5:$Q$29,IF(E6764="HI",2,IF(E6764="LO",6,10))+IF(T6764=1,2,IF(D6764=7,1,(IF(WEEKDAY(B6764)=1,2,IF(WEEKDAY(B6764)=7,1,0))))))</f>
        <v>2</v>
      </c>
      <c r="V6764" s="328">
        <f>VLOOKUP(C6764,METADATA!$A$5:$H$29,IF(E6764="HI",2,IF(E6764="LO",6,10))+IF(T6764=1,2,IF(D6764=7,1,(IF(WEEKDAY(B6764)=1,2,IF(WEEKDAY(B6764)=7,1,0))))))</f>
        <v>2</v>
      </c>
    </row>
    <row r="6765" spans="2:22">
      <c r="B6765" s="318">
        <f t="shared" si="423"/>
        <v>46394</v>
      </c>
      <c r="C6765" s="312">
        <v>17</v>
      </c>
      <c r="D6765" s="368">
        <f>IFERROR((INDEX(METADATA!$T$2:$T$20,MATCH(B6765,METADATA!$S$2:$S$20,0))),0)</f>
        <v>0</v>
      </c>
      <c r="E6765" s="312" t="str">
        <f t="shared" si="420"/>
        <v>HI</v>
      </c>
      <c r="F6765" s="369">
        <f>VLOOKUP(C6765,METADATA!$A$5:$H$29,IF(E6765="HI",2,IF(E6765="LO",6,10))+IF(D6765=1,2,IF(D6765=7,1,(IF(WEEKDAY(B6765)=1,2,IF(WEEKDAY(B6765)=7,1,0))))))</f>
        <v>1</v>
      </c>
      <c r="G6765" s="369">
        <f>VLOOKUP(C6765,METADATA!$J$5:$Q$29,IF(E6765="HI",2,IF(E6765="LO",6,10))+IF(D6765=1,2,IF(D6765=7,1,(IF(WEEKDAY(B6765)=1,2,IF(WEEKDAY(B6765)=7,1,0))))))</f>
        <v>1</v>
      </c>
      <c r="H6765" s="370">
        <v>12802.324951171875</v>
      </c>
      <c r="I6765" s="370">
        <v>4027.3099975585938</v>
      </c>
      <c r="M6765" s="371">
        <f t="shared" si="421"/>
        <v>13420.832685486894</v>
      </c>
      <c r="N6765" s="329">
        <f t="shared" si="422"/>
        <v>186.61251220703161</v>
      </c>
      <c r="T6765" s="331">
        <v>0</v>
      </c>
      <c r="U6765" s="328">
        <f>VLOOKUP(C6765,METADATA!$J$5:$Q$29,IF(E6765="HI",2,IF(E6765="LO",6,10))+IF(T6765=1,2,IF(D6765=7,1,(IF(WEEKDAY(B6765)=1,2,IF(WEEKDAY(B6765)=7,1,0))))))</f>
        <v>1</v>
      </c>
      <c r="V6765" s="328">
        <f>VLOOKUP(C6765,METADATA!$A$5:$H$29,IF(E6765="HI",2,IF(E6765="LO",6,10))+IF(T6765=1,2,IF(D6765=7,1,(IF(WEEKDAY(B6765)=1,2,IF(WEEKDAY(B6765)=7,1,0))))))</f>
        <v>1</v>
      </c>
    </row>
    <row r="6766" spans="2:22">
      <c r="B6766" s="318">
        <f t="shared" si="423"/>
        <v>46394</v>
      </c>
      <c r="C6766" s="312">
        <v>18</v>
      </c>
      <c r="D6766" s="368">
        <f>IFERROR((INDEX(METADATA!$T$2:$T$20,MATCH(B6766,METADATA!$S$2:$S$20,0))),0)</f>
        <v>0</v>
      </c>
      <c r="E6766" s="312" t="str">
        <f t="shared" si="420"/>
        <v>HI</v>
      </c>
      <c r="F6766" s="369">
        <f>VLOOKUP(C6766,METADATA!$A$5:$H$29,IF(E6766="HI",2,IF(E6766="LO",6,10))+IF(D6766=1,2,IF(D6766=7,1,(IF(WEEKDAY(B6766)=1,2,IF(WEEKDAY(B6766)=7,1,0))))))</f>
        <v>1</v>
      </c>
      <c r="G6766" s="369">
        <f>VLOOKUP(C6766,METADATA!$J$5:$Q$29,IF(E6766="HI",2,IF(E6766="LO",6,10))+IF(D6766=1,2,IF(D6766=7,1,(IF(WEEKDAY(B6766)=1,2,IF(WEEKDAY(B6766)=7,1,0))))))</f>
        <v>1</v>
      </c>
      <c r="H6766" s="370">
        <v>13429.500061035156</v>
      </c>
      <c r="I6766" s="370">
        <v>4469.3200073242188</v>
      </c>
      <c r="M6766" s="371">
        <f t="shared" si="421"/>
        <v>14153.667129659783</v>
      </c>
      <c r="N6766" s="329">
        <f t="shared" si="422"/>
        <v>440.46998901367215</v>
      </c>
      <c r="T6766" s="331">
        <v>0</v>
      </c>
      <c r="U6766" s="328">
        <f>VLOOKUP(C6766,METADATA!$J$5:$Q$29,IF(E6766="HI",2,IF(E6766="LO",6,10))+IF(T6766=1,2,IF(D6766=7,1,(IF(WEEKDAY(B6766)=1,2,IF(WEEKDAY(B6766)=7,1,0))))))</f>
        <v>1</v>
      </c>
      <c r="V6766" s="328">
        <f>VLOOKUP(C6766,METADATA!$A$5:$H$29,IF(E6766="HI",2,IF(E6766="LO",6,10))+IF(T6766=1,2,IF(D6766=7,1,(IF(WEEKDAY(B6766)=1,2,IF(WEEKDAY(B6766)=7,1,0))))))</f>
        <v>1</v>
      </c>
    </row>
    <row r="6767" spans="2:22">
      <c r="B6767" s="318">
        <f t="shared" si="423"/>
        <v>46394</v>
      </c>
      <c r="C6767" s="312">
        <v>19</v>
      </c>
      <c r="D6767" s="368">
        <f>IFERROR((INDEX(METADATA!$T$2:$T$20,MATCH(B6767,METADATA!$S$2:$S$20,0))),0)</f>
        <v>0</v>
      </c>
      <c r="E6767" s="312" t="str">
        <f t="shared" si="420"/>
        <v>HI</v>
      </c>
      <c r="F6767" s="369">
        <f>VLOOKUP(C6767,METADATA!$A$5:$H$29,IF(E6767="HI",2,IF(E6767="LO",6,10))+IF(D6767=1,2,IF(D6767=7,1,(IF(WEEKDAY(B6767)=1,2,IF(WEEKDAY(B6767)=7,1,0))))))</f>
        <v>1</v>
      </c>
      <c r="G6767" s="369">
        <f>VLOOKUP(C6767,METADATA!$J$5:$Q$29,IF(E6767="HI",2,IF(E6767="LO",6,10))+IF(D6767=1,2,IF(D6767=7,1,(IF(WEEKDAY(B6767)=1,2,IF(WEEKDAY(B6767)=7,1,0))))))</f>
        <v>1</v>
      </c>
      <c r="H6767" s="370">
        <v>13548.0498046875</v>
      </c>
      <c r="I6767" s="370">
        <v>4452.6949768066406</v>
      </c>
      <c r="M6767" s="371">
        <f t="shared" si="421"/>
        <v>14261.00087885742</v>
      </c>
      <c r="N6767" s="329">
        <f t="shared" si="422"/>
        <v>388.28003540039072</v>
      </c>
      <c r="T6767" s="331">
        <v>0</v>
      </c>
      <c r="U6767" s="328">
        <f>VLOOKUP(C6767,METADATA!$J$5:$Q$29,IF(E6767="HI",2,IF(E6767="LO",6,10))+IF(T6767=1,2,IF(D6767=7,1,(IF(WEEKDAY(B6767)=1,2,IF(WEEKDAY(B6767)=7,1,0))))))</f>
        <v>1</v>
      </c>
      <c r="V6767" s="328">
        <f>VLOOKUP(C6767,METADATA!$A$5:$H$29,IF(E6767="HI",2,IF(E6767="LO",6,10))+IF(T6767=1,2,IF(D6767=7,1,(IF(WEEKDAY(B6767)=1,2,IF(WEEKDAY(B6767)=7,1,0))))))</f>
        <v>1</v>
      </c>
    </row>
    <row r="6768" spans="2:22">
      <c r="B6768" s="318">
        <f t="shared" si="423"/>
        <v>46394</v>
      </c>
      <c r="C6768" s="312">
        <v>20</v>
      </c>
      <c r="D6768" s="368">
        <f>IFERROR((INDEX(METADATA!$T$2:$T$20,MATCH(B6768,METADATA!$S$2:$S$20,0))),0)</f>
        <v>0</v>
      </c>
      <c r="E6768" s="312" t="str">
        <f t="shared" si="420"/>
        <v>HI</v>
      </c>
      <c r="F6768" s="369">
        <f>VLOOKUP(C6768,METADATA!$A$5:$H$29,IF(E6768="HI",2,IF(E6768="LO",6,10))+IF(D6768=1,2,IF(D6768=7,1,(IF(WEEKDAY(B6768)=1,2,IF(WEEKDAY(B6768)=7,1,0))))))</f>
        <v>2</v>
      </c>
      <c r="G6768" s="369">
        <f>VLOOKUP(C6768,METADATA!$J$5:$Q$29,IF(E6768="HI",2,IF(E6768="LO",6,10))+IF(D6768=1,2,IF(D6768=7,1,(IF(WEEKDAY(B6768)=1,2,IF(WEEKDAY(B6768)=7,1,0))))))</f>
        <v>2</v>
      </c>
      <c r="H6768" s="370">
        <v>13626.5751953125</v>
      </c>
      <c r="I6768" s="370">
        <v>4532.5649719238281</v>
      </c>
      <c r="M6768" s="371">
        <f t="shared" si="421"/>
        <v>14360.630096838257</v>
      </c>
      <c r="N6768" s="329">
        <f t="shared" si="422"/>
        <v>444.59241333007822</v>
      </c>
      <c r="T6768" s="331">
        <v>0</v>
      </c>
      <c r="U6768" s="328">
        <f>VLOOKUP(C6768,METADATA!$J$5:$Q$29,IF(E6768="HI",2,IF(E6768="LO",6,10))+IF(T6768=1,2,IF(D6768=7,1,(IF(WEEKDAY(B6768)=1,2,IF(WEEKDAY(B6768)=7,1,0))))))</f>
        <v>2</v>
      </c>
      <c r="V6768" s="328">
        <f>VLOOKUP(C6768,METADATA!$A$5:$H$29,IF(E6768="HI",2,IF(E6768="LO",6,10))+IF(T6768=1,2,IF(D6768=7,1,(IF(WEEKDAY(B6768)=1,2,IF(WEEKDAY(B6768)=7,1,0))))))</f>
        <v>2</v>
      </c>
    </row>
    <row r="6769" spans="2:22">
      <c r="B6769" s="318">
        <f t="shared" si="423"/>
        <v>46394</v>
      </c>
      <c r="C6769" s="312">
        <v>21</v>
      </c>
      <c r="D6769" s="368">
        <f>IFERROR((INDEX(METADATA!$T$2:$T$20,MATCH(B6769,METADATA!$S$2:$S$20,0))),0)</f>
        <v>0</v>
      </c>
      <c r="E6769" s="312" t="str">
        <f t="shared" si="420"/>
        <v>HI</v>
      </c>
      <c r="F6769" s="369">
        <f>VLOOKUP(C6769,METADATA!$A$5:$H$29,IF(E6769="HI",2,IF(E6769="LO",6,10))+IF(D6769=1,2,IF(D6769=7,1,(IF(WEEKDAY(B6769)=1,2,IF(WEEKDAY(B6769)=7,1,0))))))</f>
        <v>2</v>
      </c>
      <c r="G6769" s="369">
        <f>VLOOKUP(C6769,METADATA!$J$5:$Q$29,IF(E6769="HI",2,IF(E6769="LO",6,10))+IF(D6769=1,2,IF(D6769=7,1,(IF(WEEKDAY(B6769)=1,2,IF(WEEKDAY(B6769)=7,1,0))))))</f>
        <v>2</v>
      </c>
      <c r="H6769" s="370">
        <v>13702.949829101563</v>
      </c>
      <c r="I6769" s="370">
        <v>4523.8699951171875</v>
      </c>
      <c r="M6769" s="371">
        <f t="shared" si="421"/>
        <v>14430.392709541764</v>
      </c>
      <c r="N6769" s="329">
        <f t="shared" si="422"/>
        <v>412.98504638671875</v>
      </c>
      <c r="T6769" s="331">
        <v>0</v>
      </c>
      <c r="U6769" s="328">
        <f>VLOOKUP(C6769,METADATA!$J$5:$Q$29,IF(E6769="HI",2,IF(E6769="LO",6,10))+IF(T6769=1,2,IF(D6769=7,1,(IF(WEEKDAY(B6769)=1,2,IF(WEEKDAY(B6769)=7,1,0))))))</f>
        <v>2</v>
      </c>
      <c r="V6769" s="328">
        <f>VLOOKUP(C6769,METADATA!$A$5:$H$29,IF(E6769="HI",2,IF(E6769="LO",6,10))+IF(T6769=1,2,IF(D6769=7,1,(IF(WEEKDAY(B6769)=1,2,IF(WEEKDAY(B6769)=7,1,0))))))</f>
        <v>2</v>
      </c>
    </row>
    <row r="6770" spans="2:22">
      <c r="B6770" s="318">
        <f t="shared" si="423"/>
        <v>46394</v>
      </c>
      <c r="C6770" s="312">
        <v>22</v>
      </c>
      <c r="D6770" s="368">
        <f>IFERROR((INDEX(METADATA!$T$2:$T$20,MATCH(B6770,METADATA!$S$2:$S$20,0))),0)</f>
        <v>0</v>
      </c>
      <c r="E6770" s="312" t="str">
        <f t="shared" si="420"/>
        <v>HI</v>
      </c>
      <c r="F6770" s="369">
        <f>VLOOKUP(C6770,METADATA!$A$5:$H$29,IF(E6770="HI",2,IF(E6770="LO",6,10))+IF(D6770=1,2,IF(D6770=7,1,(IF(WEEKDAY(B6770)=1,2,IF(WEEKDAY(B6770)=7,1,0))))))</f>
        <v>3</v>
      </c>
      <c r="G6770" s="369">
        <f>VLOOKUP(C6770,METADATA!$J$5:$Q$29,IF(E6770="HI",2,IF(E6770="LO",6,10))+IF(D6770=1,2,IF(D6770=7,1,(IF(WEEKDAY(B6770)=1,2,IF(WEEKDAY(B6770)=7,1,0))))))</f>
        <v>3</v>
      </c>
      <c r="H6770" s="370">
        <v>13632.42529296875</v>
      </c>
      <c r="I6770" s="370">
        <v>4618.0649108886719</v>
      </c>
      <c r="M6770" s="371">
        <f t="shared" si="421"/>
        <v>14393.385386682152</v>
      </c>
      <c r="N6770" s="329">
        <f t="shared" si="422"/>
        <v>528.33732299804706</v>
      </c>
      <c r="T6770" s="331">
        <v>0</v>
      </c>
      <c r="U6770" s="328">
        <f>VLOOKUP(C6770,METADATA!$J$5:$Q$29,IF(E6770="HI",2,IF(E6770="LO",6,10))+IF(T6770=1,2,IF(D6770=7,1,(IF(WEEKDAY(B6770)=1,2,IF(WEEKDAY(B6770)=7,1,0))))))</f>
        <v>3</v>
      </c>
      <c r="V6770" s="328">
        <f>VLOOKUP(C6770,METADATA!$A$5:$H$29,IF(E6770="HI",2,IF(E6770="LO",6,10))+IF(T6770=1,2,IF(D6770=7,1,(IF(WEEKDAY(B6770)=1,2,IF(WEEKDAY(B6770)=7,1,0))))))</f>
        <v>3</v>
      </c>
    </row>
    <row r="6771" spans="2:22">
      <c r="B6771" s="318">
        <f t="shared" si="423"/>
        <v>46394</v>
      </c>
      <c r="C6771" s="312">
        <v>23</v>
      </c>
      <c r="D6771" s="368">
        <f>IFERROR((INDEX(METADATA!$T$2:$T$20,MATCH(B6771,METADATA!$S$2:$S$20,0))),0)</f>
        <v>0</v>
      </c>
      <c r="E6771" s="312" t="str">
        <f t="shared" si="420"/>
        <v>HI</v>
      </c>
      <c r="F6771" s="369">
        <f>VLOOKUP(C6771,METADATA!$A$5:$H$29,IF(E6771="HI",2,IF(E6771="LO",6,10))+IF(D6771=1,2,IF(D6771=7,1,(IF(WEEKDAY(B6771)=1,2,IF(WEEKDAY(B6771)=7,1,0))))))</f>
        <v>3</v>
      </c>
      <c r="G6771" s="369">
        <f>VLOOKUP(C6771,METADATA!$J$5:$Q$29,IF(E6771="HI",2,IF(E6771="LO",6,10))+IF(D6771=1,2,IF(D6771=7,1,(IF(WEEKDAY(B6771)=1,2,IF(WEEKDAY(B6771)=7,1,0))))))</f>
        <v>3</v>
      </c>
      <c r="H6771" s="370">
        <v>13658.700134277344</v>
      </c>
      <c r="I6771" s="370">
        <v>4557.9349975585938</v>
      </c>
      <c r="M6771" s="371">
        <f t="shared" si="421"/>
        <v>14399.127084656116</v>
      </c>
      <c r="N6771" s="329">
        <f t="shared" si="422"/>
        <v>460.32495727539117</v>
      </c>
      <c r="T6771" s="331">
        <v>0</v>
      </c>
      <c r="U6771" s="328">
        <f>VLOOKUP(C6771,METADATA!$J$5:$Q$29,IF(E6771="HI",2,IF(E6771="LO",6,10))+IF(T6771=1,2,IF(D6771=7,1,(IF(WEEKDAY(B6771)=1,2,IF(WEEKDAY(B6771)=7,1,0))))))</f>
        <v>3</v>
      </c>
      <c r="V6771" s="328">
        <f>VLOOKUP(C6771,METADATA!$A$5:$H$29,IF(E6771="HI",2,IF(E6771="LO",6,10))+IF(T6771=1,2,IF(D6771=7,1,(IF(WEEKDAY(B6771)=1,2,IF(WEEKDAY(B6771)=7,1,0))))))</f>
        <v>3</v>
      </c>
    </row>
    <row r="6772" spans="2:22">
      <c r="B6772" s="318">
        <f t="shared" si="423"/>
        <v>46395</v>
      </c>
      <c r="C6772" s="312">
        <v>0</v>
      </c>
      <c r="D6772" s="368">
        <f>IFERROR((INDEX(METADATA!$T$2:$T$20,MATCH(B6772,METADATA!$S$2:$S$20,0))),0)</f>
        <v>0</v>
      </c>
      <c r="E6772" s="312" t="str">
        <f t="shared" si="420"/>
        <v>HI</v>
      </c>
      <c r="F6772" s="369">
        <f>VLOOKUP(C6772,METADATA!$A$5:$H$29,IF(E6772="HI",2,IF(E6772="LO",6,10))+IF(D6772=1,2,IF(D6772=7,1,(IF(WEEKDAY(B6772)=1,2,IF(WEEKDAY(B6772)=7,1,0))))))</f>
        <v>3</v>
      </c>
      <c r="G6772" s="369">
        <f>VLOOKUP(C6772,METADATA!$J$5:$Q$29,IF(E6772="HI",2,IF(E6772="LO",6,10))+IF(D6772=1,2,IF(D6772=7,1,(IF(WEEKDAY(B6772)=1,2,IF(WEEKDAY(B6772)=7,1,0))))))</f>
        <v>3</v>
      </c>
      <c r="H6772" s="370">
        <v>13627.200134277344</v>
      </c>
      <c r="I6772" s="370">
        <v>4653.4749145507813</v>
      </c>
      <c r="M6772" s="371">
        <f t="shared" si="421"/>
        <v>14399.840703285639</v>
      </c>
      <c r="N6772" s="329">
        <f t="shared" si="422"/>
        <v>565.31487426757849</v>
      </c>
      <c r="T6772" s="331">
        <v>0</v>
      </c>
      <c r="U6772" s="328">
        <f>VLOOKUP(C6772,METADATA!$J$5:$Q$29,IF(E6772="HI",2,IF(E6772="LO",6,10))+IF(T6772=1,2,IF(D6772=7,1,(IF(WEEKDAY(B6772)=1,2,IF(WEEKDAY(B6772)=7,1,0))))))</f>
        <v>3</v>
      </c>
      <c r="V6772" s="328">
        <f>VLOOKUP(C6772,METADATA!$A$5:$H$29,IF(E6772="HI",2,IF(E6772="LO",6,10))+IF(T6772=1,2,IF(D6772=7,1,(IF(WEEKDAY(B6772)=1,2,IF(WEEKDAY(B6772)=7,1,0))))))</f>
        <v>3</v>
      </c>
    </row>
    <row r="6773" spans="2:22">
      <c r="B6773" s="318">
        <f t="shared" si="423"/>
        <v>46395</v>
      </c>
      <c r="C6773" s="312">
        <v>1</v>
      </c>
      <c r="D6773" s="368">
        <f>IFERROR((INDEX(METADATA!$T$2:$T$20,MATCH(B6773,METADATA!$S$2:$S$20,0))),0)</f>
        <v>0</v>
      </c>
      <c r="E6773" s="312" t="str">
        <f t="shared" si="420"/>
        <v>HI</v>
      </c>
      <c r="F6773" s="369">
        <f>VLOOKUP(C6773,METADATA!$A$5:$H$29,IF(E6773="HI",2,IF(E6773="LO",6,10))+IF(D6773=1,2,IF(D6773=7,1,(IF(WEEKDAY(B6773)=1,2,IF(WEEKDAY(B6773)=7,1,0))))))</f>
        <v>3</v>
      </c>
      <c r="G6773" s="369">
        <f>VLOOKUP(C6773,METADATA!$J$5:$Q$29,IF(E6773="HI",2,IF(E6773="LO",6,10))+IF(D6773=1,2,IF(D6773=7,1,(IF(WEEKDAY(B6773)=1,2,IF(WEEKDAY(B6773)=7,1,0))))))</f>
        <v>3</v>
      </c>
      <c r="H6773" s="370">
        <v>13679.275146484375</v>
      </c>
      <c r="I6773" s="370">
        <v>4661.9700927734375</v>
      </c>
      <c r="M6773" s="371">
        <f t="shared" si="421"/>
        <v>14451.869556536243</v>
      </c>
      <c r="N6773" s="329">
        <f t="shared" si="422"/>
        <v>558.18754882812482</v>
      </c>
      <c r="T6773" s="331">
        <v>0</v>
      </c>
      <c r="U6773" s="328">
        <f>VLOOKUP(C6773,METADATA!$J$5:$Q$29,IF(E6773="HI",2,IF(E6773="LO",6,10))+IF(T6773=1,2,IF(D6773=7,1,(IF(WEEKDAY(B6773)=1,2,IF(WEEKDAY(B6773)=7,1,0))))))</f>
        <v>3</v>
      </c>
      <c r="V6773" s="328">
        <f>VLOOKUP(C6773,METADATA!$A$5:$H$29,IF(E6773="HI",2,IF(E6773="LO",6,10))+IF(T6773=1,2,IF(D6773=7,1,(IF(WEEKDAY(B6773)=1,2,IF(WEEKDAY(B6773)=7,1,0))))))</f>
        <v>3</v>
      </c>
    </row>
    <row r="6774" spans="2:22">
      <c r="B6774" s="318">
        <f t="shared" si="423"/>
        <v>46395</v>
      </c>
      <c r="C6774" s="312">
        <v>2</v>
      </c>
      <c r="D6774" s="368">
        <f>IFERROR((INDEX(METADATA!$T$2:$T$20,MATCH(B6774,METADATA!$S$2:$S$20,0))),0)</f>
        <v>0</v>
      </c>
      <c r="E6774" s="312" t="str">
        <f t="shared" si="420"/>
        <v>HI</v>
      </c>
      <c r="F6774" s="369">
        <f>VLOOKUP(C6774,METADATA!$A$5:$H$29,IF(E6774="HI",2,IF(E6774="LO",6,10))+IF(D6774=1,2,IF(D6774=7,1,(IF(WEEKDAY(B6774)=1,2,IF(WEEKDAY(B6774)=7,1,0))))))</f>
        <v>3</v>
      </c>
      <c r="G6774" s="369">
        <f>VLOOKUP(C6774,METADATA!$J$5:$Q$29,IF(E6774="HI",2,IF(E6774="LO",6,10))+IF(D6774=1,2,IF(D6774=7,1,(IF(WEEKDAY(B6774)=1,2,IF(WEEKDAY(B6774)=7,1,0))))))</f>
        <v>3</v>
      </c>
      <c r="H6774" s="370">
        <v>13548.000305175781</v>
      </c>
      <c r="I6774" s="370">
        <v>4740.8450317382813</v>
      </c>
      <c r="M6774" s="371">
        <f t="shared" si="421"/>
        <v>14353.533498201779</v>
      </c>
      <c r="N6774" s="329">
        <f t="shared" si="422"/>
        <v>676.44494018554724</v>
      </c>
      <c r="T6774" s="331">
        <v>0</v>
      </c>
      <c r="U6774" s="328">
        <f>VLOOKUP(C6774,METADATA!$J$5:$Q$29,IF(E6774="HI",2,IF(E6774="LO",6,10))+IF(T6774=1,2,IF(D6774=7,1,(IF(WEEKDAY(B6774)=1,2,IF(WEEKDAY(B6774)=7,1,0))))))</f>
        <v>3</v>
      </c>
      <c r="V6774" s="328">
        <f>VLOOKUP(C6774,METADATA!$A$5:$H$29,IF(E6774="HI",2,IF(E6774="LO",6,10))+IF(T6774=1,2,IF(D6774=7,1,(IF(WEEKDAY(B6774)=1,2,IF(WEEKDAY(B6774)=7,1,0))))))</f>
        <v>3</v>
      </c>
    </row>
    <row r="6775" spans="2:22">
      <c r="B6775" s="318">
        <f t="shared" si="423"/>
        <v>46395</v>
      </c>
      <c r="C6775" s="312">
        <v>3</v>
      </c>
      <c r="D6775" s="368">
        <f>IFERROR((INDEX(METADATA!$T$2:$T$20,MATCH(B6775,METADATA!$S$2:$S$20,0))),0)</f>
        <v>0</v>
      </c>
      <c r="E6775" s="312" t="str">
        <f t="shared" si="420"/>
        <v>HI</v>
      </c>
      <c r="F6775" s="369">
        <f>VLOOKUP(C6775,METADATA!$A$5:$H$29,IF(E6775="HI",2,IF(E6775="LO",6,10))+IF(D6775=1,2,IF(D6775=7,1,(IF(WEEKDAY(B6775)=1,2,IF(WEEKDAY(B6775)=7,1,0))))))</f>
        <v>3</v>
      </c>
      <c r="G6775" s="369">
        <f>VLOOKUP(C6775,METADATA!$J$5:$Q$29,IF(E6775="HI",2,IF(E6775="LO",6,10))+IF(D6775=1,2,IF(D6775=7,1,(IF(WEEKDAY(B6775)=1,2,IF(WEEKDAY(B6775)=7,1,0))))))</f>
        <v>3</v>
      </c>
      <c r="H6775" s="370">
        <v>13747.89990234375</v>
      </c>
      <c r="I6775" s="370">
        <v>4734.3799743652344</v>
      </c>
      <c r="M6775" s="371">
        <f t="shared" si="421"/>
        <v>14540.258094907869</v>
      </c>
      <c r="N6775" s="329">
        <f t="shared" si="422"/>
        <v>610.01000366210974</v>
      </c>
      <c r="T6775" s="331">
        <v>0</v>
      </c>
      <c r="U6775" s="328">
        <f>VLOOKUP(C6775,METADATA!$J$5:$Q$29,IF(E6775="HI",2,IF(E6775="LO",6,10))+IF(T6775=1,2,IF(D6775=7,1,(IF(WEEKDAY(B6775)=1,2,IF(WEEKDAY(B6775)=7,1,0))))))</f>
        <v>3</v>
      </c>
      <c r="V6775" s="328">
        <f>VLOOKUP(C6775,METADATA!$A$5:$H$29,IF(E6775="HI",2,IF(E6775="LO",6,10))+IF(T6775=1,2,IF(D6775=7,1,(IF(WEEKDAY(B6775)=1,2,IF(WEEKDAY(B6775)=7,1,0))))))</f>
        <v>3</v>
      </c>
    </row>
    <row r="6776" spans="2:22">
      <c r="B6776" s="318">
        <f t="shared" si="423"/>
        <v>46395</v>
      </c>
      <c r="C6776" s="312">
        <v>4</v>
      </c>
      <c r="D6776" s="368">
        <f>IFERROR((INDEX(METADATA!$T$2:$T$20,MATCH(B6776,METADATA!$S$2:$S$20,0))),0)</f>
        <v>0</v>
      </c>
      <c r="E6776" s="312" t="str">
        <f t="shared" si="420"/>
        <v>HI</v>
      </c>
      <c r="F6776" s="369">
        <f>VLOOKUP(C6776,METADATA!$A$5:$H$29,IF(E6776="HI",2,IF(E6776="LO",6,10))+IF(D6776=1,2,IF(D6776=7,1,(IF(WEEKDAY(B6776)=1,2,IF(WEEKDAY(B6776)=7,1,0))))))</f>
        <v>3</v>
      </c>
      <c r="G6776" s="369">
        <f>VLOOKUP(C6776,METADATA!$J$5:$Q$29,IF(E6776="HI",2,IF(E6776="LO",6,10))+IF(D6776=1,2,IF(D6776=7,1,(IF(WEEKDAY(B6776)=1,2,IF(WEEKDAY(B6776)=7,1,0))))))</f>
        <v>3</v>
      </c>
      <c r="H6776" s="370">
        <v>13670.975341796875</v>
      </c>
      <c r="I6776" s="370">
        <v>4670.8750305175781</v>
      </c>
      <c r="M6776" s="371">
        <f t="shared" si="421"/>
        <v>14446.890334834372</v>
      </c>
      <c r="N6776" s="329">
        <f t="shared" si="422"/>
        <v>569.58242797851563</v>
      </c>
      <c r="T6776" s="331">
        <v>0</v>
      </c>
      <c r="U6776" s="328">
        <f>VLOOKUP(C6776,METADATA!$J$5:$Q$29,IF(E6776="HI",2,IF(E6776="LO",6,10))+IF(T6776=1,2,IF(D6776=7,1,(IF(WEEKDAY(B6776)=1,2,IF(WEEKDAY(B6776)=7,1,0))))))</f>
        <v>3</v>
      </c>
      <c r="V6776" s="328">
        <f>VLOOKUP(C6776,METADATA!$A$5:$H$29,IF(E6776="HI",2,IF(E6776="LO",6,10))+IF(T6776=1,2,IF(D6776=7,1,(IF(WEEKDAY(B6776)=1,2,IF(WEEKDAY(B6776)=7,1,0))))))</f>
        <v>3</v>
      </c>
    </row>
    <row r="6777" spans="2:22">
      <c r="B6777" s="318">
        <f t="shared" si="423"/>
        <v>46395</v>
      </c>
      <c r="C6777" s="312">
        <v>5</v>
      </c>
      <c r="D6777" s="368">
        <f>IFERROR((INDEX(METADATA!$T$2:$T$20,MATCH(B6777,METADATA!$S$2:$S$20,0))),0)</f>
        <v>0</v>
      </c>
      <c r="E6777" s="312" t="str">
        <f t="shared" si="420"/>
        <v>HI</v>
      </c>
      <c r="F6777" s="369">
        <f>VLOOKUP(C6777,METADATA!$A$5:$H$29,IF(E6777="HI",2,IF(E6777="LO",6,10))+IF(D6777=1,2,IF(D6777=7,1,(IF(WEEKDAY(B6777)=1,2,IF(WEEKDAY(B6777)=7,1,0))))))</f>
        <v>3</v>
      </c>
      <c r="G6777" s="369">
        <f>VLOOKUP(C6777,METADATA!$J$5:$Q$29,IF(E6777="HI",2,IF(E6777="LO",6,10))+IF(D6777=1,2,IF(D6777=7,1,(IF(WEEKDAY(B6777)=1,2,IF(WEEKDAY(B6777)=7,1,0))))))</f>
        <v>3</v>
      </c>
      <c r="H6777" s="370">
        <v>13460.149780273438</v>
      </c>
      <c r="I6777" s="370">
        <v>4543.1400146484375</v>
      </c>
      <c r="M6777" s="371">
        <f t="shared" si="421"/>
        <v>14206.18714856646</v>
      </c>
      <c r="N6777" s="329">
        <f t="shared" si="422"/>
        <v>505.09508056640652</v>
      </c>
      <c r="T6777" s="331">
        <v>0</v>
      </c>
      <c r="U6777" s="328">
        <f>VLOOKUP(C6777,METADATA!$J$5:$Q$29,IF(E6777="HI",2,IF(E6777="LO",6,10))+IF(T6777=1,2,IF(D6777=7,1,(IF(WEEKDAY(B6777)=1,2,IF(WEEKDAY(B6777)=7,1,0))))))</f>
        <v>3</v>
      </c>
      <c r="V6777" s="328">
        <f>VLOOKUP(C6777,METADATA!$A$5:$H$29,IF(E6777="HI",2,IF(E6777="LO",6,10))+IF(T6777=1,2,IF(D6777=7,1,(IF(WEEKDAY(B6777)=1,2,IF(WEEKDAY(B6777)=7,1,0))))))</f>
        <v>3</v>
      </c>
    </row>
    <row r="6778" spans="2:22">
      <c r="B6778" s="318">
        <f t="shared" si="423"/>
        <v>46395</v>
      </c>
      <c r="C6778" s="312">
        <v>6</v>
      </c>
      <c r="D6778" s="368">
        <f>IFERROR((INDEX(METADATA!$T$2:$T$20,MATCH(B6778,METADATA!$S$2:$S$20,0))),0)</f>
        <v>0</v>
      </c>
      <c r="E6778" s="312" t="str">
        <f t="shared" si="420"/>
        <v>HI</v>
      </c>
      <c r="F6778" s="369">
        <f>VLOOKUP(C6778,METADATA!$A$5:$H$29,IF(E6778="HI",2,IF(E6778="LO",6,10))+IF(D6778=1,2,IF(D6778=7,1,(IF(WEEKDAY(B6778)=1,2,IF(WEEKDAY(B6778)=7,1,0))))))</f>
        <v>1</v>
      </c>
      <c r="G6778" s="369">
        <f>VLOOKUP(C6778,METADATA!$J$5:$Q$29,IF(E6778="HI",2,IF(E6778="LO",6,10))+IF(D6778=1,2,IF(D6778=7,1,(IF(WEEKDAY(B6778)=1,2,IF(WEEKDAY(B6778)=7,1,0))))))</f>
        <v>1</v>
      </c>
      <c r="H6778" s="370">
        <v>13294.699829101563</v>
      </c>
      <c r="I6778" s="370">
        <v>4443.7099304199219</v>
      </c>
      <c r="M6778" s="371">
        <f t="shared" si="421"/>
        <v>14017.688878400239</v>
      </c>
      <c r="N6778" s="329">
        <f t="shared" si="422"/>
        <v>455.29998168945349</v>
      </c>
      <c r="T6778" s="331">
        <v>0</v>
      </c>
      <c r="U6778" s="328">
        <f>VLOOKUP(C6778,METADATA!$J$5:$Q$29,IF(E6778="HI",2,IF(E6778="LO",6,10))+IF(T6778=1,2,IF(D6778=7,1,(IF(WEEKDAY(B6778)=1,2,IF(WEEKDAY(B6778)=7,1,0))))))</f>
        <v>1</v>
      </c>
      <c r="V6778" s="328">
        <f>VLOOKUP(C6778,METADATA!$A$5:$H$29,IF(E6778="HI",2,IF(E6778="LO",6,10))+IF(T6778=1,2,IF(D6778=7,1,(IF(WEEKDAY(B6778)=1,2,IF(WEEKDAY(B6778)=7,1,0))))))</f>
        <v>1</v>
      </c>
    </row>
    <row r="6779" spans="2:22">
      <c r="B6779" s="318">
        <f t="shared" si="423"/>
        <v>46395</v>
      </c>
      <c r="C6779" s="312">
        <v>7</v>
      </c>
      <c r="D6779" s="368">
        <f>IFERROR((INDEX(METADATA!$T$2:$T$20,MATCH(B6779,METADATA!$S$2:$S$20,0))),0)</f>
        <v>0</v>
      </c>
      <c r="E6779" s="312" t="str">
        <f t="shared" si="420"/>
        <v>HI</v>
      </c>
      <c r="F6779" s="369">
        <f>VLOOKUP(C6779,METADATA!$A$5:$H$29,IF(E6779="HI",2,IF(E6779="LO",6,10))+IF(D6779=1,2,IF(D6779=7,1,(IF(WEEKDAY(B6779)=1,2,IF(WEEKDAY(B6779)=7,1,0))))))</f>
        <v>1</v>
      </c>
      <c r="G6779" s="369">
        <f>VLOOKUP(C6779,METADATA!$J$5:$Q$29,IF(E6779="HI",2,IF(E6779="LO",6,10))+IF(D6779=1,2,IF(D6779=7,1,(IF(WEEKDAY(B6779)=1,2,IF(WEEKDAY(B6779)=7,1,0))))))</f>
        <v>1</v>
      </c>
      <c r="H6779" s="370">
        <v>13387.400268554688</v>
      </c>
      <c r="I6779" s="370">
        <v>4425.2249145507813</v>
      </c>
      <c r="M6779" s="371">
        <f t="shared" si="421"/>
        <v>14099.826293073935</v>
      </c>
      <c r="N6779" s="329">
        <f t="shared" si="422"/>
        <v>409.00483398437518</v>
      </c>
      <c r="T6779" s="331">
        <v>0</v>
      </c>
      <c r="U6779" s="328">
        <f>VLOOKUP(C6779,METADATA!$J$5:$Q$29,IF(E6779="HI",2,IF(E6779="LO",6,10))+IF(T6779=1,2,IF(D6779=7,1,(IF(WEEKDAY(B6779)=1,2,IF(WEEKDAY(B6779)=7,1,0))))))</f>
        <v>1</v>
      </c>
      <c r="V6779" s="328">
        <f>VLOOKUP(C6779,METADATA!$A$5:$H$29,IF(E6779="HI",2,IF(E6779="LO",6,10))+IF(T6779=1,2,IF(D6779=7,1,(IF(WEEKDAY(B6779)=1,2,IF(WEEKDAY(B6779)=7,1,0))))))</f>
        <v>1</v>
      </c>
    </row>
    <row r="6780" spans="2:22">
      <c r="B6780" s="318">
        <f t="shared" si="423"/>
        <v>46395</v>
      </c>
      <c r="C6780" s="312">
        <v>8</v>
      </c>
      <c r="D6780" s="368">
        <f>IFERROR((INDEX(METADATA!$T$2:$T$20,MATCH(B6780,METADATA!$S$2:$S$20,0))),0)</f>
        <v>0</v>
      </c>
      <c r="E6780" s="312" t="str">
        <f t="shared" si="420"/>
        <v>HI</v>
      </c>
      <c r="F6780" s="369">
        <f>VLOOKUP(C6780,METADATA!$A$5:$H$29,IF(E6780="HI",2,IF(E6780="LO",6,10))+IF(D6780=1,2,IF(D6780=7,1,(IF(WEEKDAY(B6780)=1,2,IF(WEEKDAY(B6780)=7,1,0))))))</f>
        <v>2</v>
      </c>
      <c r="G6780" s="369">
        <f>VLOOKUP(C6780,METADATA!$J$5:$Q$29,IF(E6780="HI",2,IF(E6780="LO",6,10))+IF(D6780=1,2,IF(D6780=7,1,(IF(WEEKDAY(B6780)=1,2,IF(WEEKDAY(B6780)=7,1,0))))))</f>
        <v>2</v>
      </c>
      <c r="H6780" s="370">
        <v>12625.975219726563</v>
      </c>
      <c r="I6780" s="370">
        <v>3832.3500061035156</v>
      </c>
      <c r="M6780" s="371">
        <f t="shared" si="421"/>
        <v>13194.777634292697</v>
      </c>
      <c r="N6780" s="329">
        <f t="shared" si="422"/>
        <v>44.557440185546966</v>
      </c>
      <c r="T6780" s="331">
        <v>0</v>
      </c>
      <c r="U6780" s="328">
        <f>VLOOKUP(C6780,METADATA!$J$5:$Q$29,IF(E6780="HI",2,IF(E6780="LO",6,10))+IF(T6780=1,2,IF(D6780=7,1,(IF(WEEKDAY(B6780)=1,2,IF(WEEKDAY(B6780)=7,1,0))))))</f>
        <v>2</v>
      </c>
      <c r="V6780" s="328">
        <f>VLOOKUP(C6780,METADATA!$A$5:$H$29,IF(E6780="HI",2,IF(E6780="LO",6,10))+IF(T6780=1,2,IF(D6780=7,1,(IF(WEEKDAY(B6780)=1,2,IF(WEEKDAY(B6780)=7,1,0))))))</f>
        <v>2</v>
      </c>
    </row>
    <row r="6781" spans="2:22">
      <c r="B6781" s="318">
        <f t="shared" si="423"/>
        <v>46395</v>
      </c>
      <c r="C6781" s="312">
        <v>9</v>
      </c>
      <c r="D6781" s="368">
        <f>IFERROR((INDEX(METADATA!$T$2:$T$20,MATCH(B6781,METADATA!$S$2:$S$20,0))),0)</f>
        <v>0</v>
      </c>
      <c r="E6781" s="312" t="str">
        <f t="shared" si="420"/>
        <v>HI</v>
      </c>
      <c r="F6781" s="369">
        <f>VLOOKUP(C6781,METADATA!$A$5:$H$29,IF(E6781="HI",2,IF(E6781="LO",6,10))+IF(D6781=1,2,IF(D6781=7,1,(IF(WEEKDAY(B6781)=1,2,IF(WEEKDAY(B6781)=7,1,0))))))</f>
        <v>2</v>
      </c>
      <c r="G6781" s="369">
        <f>VLOOKUP(C6781,METADATA!$J$5:$Q$29,IF(E6781="HI",2,IF(E6781="LO",6,10))+IF(D6781=1,2,IF(D6781=7,1,(IF(WEEKDAY(B6781)=1,2,IF(WEEKDAY(B6781)=7,1,0))))))</f>
        <v>2</v>
      </c>
      <c r="H6781" s="370">
        <v>12660.649597167969</v>
      </c>
      <c r="I6781" s="370">
        <v>3949.5700378417969</v>
      </c>
      <c r="M6781" s="371">
        <f t="shared" si="421"/>
        <v>13262.39615250906</v>
      </c>
      <c r="N6781" s="329">
        <f t="shared" si="422"/>
        <v>151.37515869140634</v>
      </c>
      <c r="T6781" s="331">
        <v>0</v>
      </c>
      <c r="U6781" s="328">
        <f>VLOOKUP(C6781,METADATA!$J$5:$Q$29,IF(E6781="HI",2,IF(E6781="LO",6,10))+IF(T6781=1,2,IF(D6781=7,1,(IF(WEEKDAY(B6781)=1,2,IF(WEEKDAY(B6781)=7,1,0))))))</f>
        <v>2</v>
      </c>
      <c r="V6781" s="328">
        <f>VLOOKUP(C6781,METADATA!$A$5:$H$29,IF(E6781="HI",2,IF(E6781="LO",6,10))+IF(T6781=1,2,IF(D6781=7,1,(IF(WEEKDAY(B6781)=1,2,IF(WEEKDAY(B6781)=7,1,0))))))</f>
        <v>2</v>
      </c>
    </row>
    <row r="6782" spans="2:22">
      <c r="B6782" s="318">
        <f t="shared" si="423"/>
        <v>46395</v>
      </c>
      <c r="C6782" s="312">
        <v>10</v>
      </c>
      <c r="D6782" s="368">
        <f>IFERROR((INDEX(METADATA!$T$2:$T$20,MATCH(B6782,METADATA!$S$2:$S$20,0))),0)</f>
        <v>0</v>
      </c>
      <c r="E6782" s="312" t="str">
        <f t="shared" si="420"/>
        <v>HI</v>
      </c>
      <c r="F6782" s="369">
        <f>VLOOKUP(C6782,METADATA!$A$5:$H$29,IF(E6782="HI",2,IF(E6782="LO",6,10))+IF(D6782=1,2,IF(D6782=7,1,(IF(WEEKDAY(B6782)=1,2,IF(WEEKDAY(B6782)=7,1,0))))))</f>
        <v>2</v>
      </c>
      <c r="G6782" s="369">
        <f>VLOOKUP(C6782,METADATA!$J$5:$Q$29,IF(E6782="HI",2,IF(E6782="LO",6,10))+IF(D6782=1,2,IF(D6782=7,1,(IF(WEEKDAY(B6782)=1,2,IF(WEEKDAY(B6782)=7,1,0))))))</f>
        <v>2</v>
      </c>
      <c r="H6782" s="370">
        <v>13093.749877929688</v>
      </c>
      <c r="I6782" s="370">
        <v>4270.6349182128906</v>
      </c>
      <c r="M6782" s="371">
        <f t="shared" si="421"/>
        <v>13772.603547276125</v>
      </c>
      <c r="N6782" s="329">
        <f t="shared" si="422"/>
        <v>342.50995483398447</v>
      </c>
      <c r="T6782" s="331">
        <v>0</v>
      </c>
      <c r="U6782" s="328">
        <f>VLOOKUP(C6782,METADATA!$J$5:$Q$29,IF(E6782="HI",2,IF(E6782="LO",6,10))+IF(T6782=1,2,IF(D6782=7,1,(IF(WEEKDAY(B6782)=1,2,IF(WEEKDAY(B6782)=7,1,0))))))</f>
        <v>2</v>
      </c>
      <c r="V6782" s="328">
        <f>VLOOKUP(C6782,METADATA!$A$5:$H$29,IF(E6782="HI",2,IF(E6782="LO",6,10))+IF(T6782=1,2,IF(D6782=7,1,(IF(WEEKDAY(B6782)=1,2,IF(WEEKDAY(B6782)=7,1,0))))))</f>
        <v>2</v>
      </c>
    </row>
    <row r="6783" spans="2:22">
      <c r="B6783" s="318">
        <f t="shared" si="423"/>
        <v>46395</v>
      </c>
      <c r="C6783" s="312">
        <v>11</v>
      </c>
      <c r="D6783" s="368">
        <f>IFERROR((INDEX(METADATA!$T$2:$T$20,MATCH(B6783,METADATA!$S$2:$S$20,0))),0)</f>
        <v>0</v>
      </c>
      <c r="E6783" s="312" t="str">
        <f t="shared" si="420"/>
        <v>HI</v>
      </c>
      <c r="F6783" s="369">
        <f>VLOOKUP(C6783,METADATA!$A$5:$H$29,IF(E6783="HI",2,IF(E6783="LO",6,10))+IF(D6783=1,2,IF(D6783=7,1,(IF(WEEKDAY(B6783)=1,2,IF(WEEKDAY(B6783)=7,1,0))))))</f>
        <v>2</v>
      </c>
      <c r="G6783" s="369">
        <f>VLOOKUP(C6783,METADATA!$J$5:$Q$29,IF(E6783="HI",2,IF(E6783="LO",6,10))+IF(D6783=1,2,IF(D6783=7,1,(IF(WEEKDAY(B6783)=1,2,IF(WEEKDAY(B6783)=7,1,0))))))</f>
        <v>2</v>
      </c>
      <c r="H6783" s="370">
        <v>13280.100158691406</v>
      </c>
      <c r="I6783" s="370">
        <v>4362.8900146484375</v>
      </c>
      <c r="M6783" s="371">
        <f t="shared" si="421"/>
        <v>13978.407259226444</v>
      </c>
      <c r="N6783" s="329">
        <f t="shared" si="422"/>
        <v>378.85996704101581</v>
      </c>
      <c r="T6783" s="331">
        <v>0</v>
      </c>
      <c r="U6783" s="328">
        <f>VLOOKUP(C6783,METADATA!$J$5:$Q$29,IF(E6783="HI",2,IF(E6783="LO",6,10))+IF(T6783=1,2,IF(D6783=7,1,(IF(WEEKDAY(B6783)=1,2,IF(WEEKDAY(B6783)=7,1,0))))))</f>
        <v>2</v>
      </c>
      <c r="V6783" s="328">
        <f>VLOOKUP(C6783,METADATA!$A$5:$H$29,IF(E6783="HI",2,IF(E6783="LO",6,10))+IF(T6783=1,2,IF(D6783=7,1,(IF(WEEKDAY(B6783)=1,2,IF(WEEKDAY(B6783)=7,1,0))))))</f>
        <v>2</v>
      </c>
    </row>
    <row r="6784" spans="2:22">
      <c r="B6784" s="318">
        <f t="shared" si="423"/>
        <v>46395</v>
      </c>
      <c r="C6784" s="312">
        <v>12</v>
      </c>
      <c r="D6784" s="368">
        <f>IFERROR((INDEX(METADATA!$T$2:$T$20,MATCH(B6784,METADATA!$S$2:$S$20,0))),0)</f>
        <v>0</v>
      </c>
      <c r="E6784" s="312" t="str">
        <f t="shared" si="420"/>
        <v>HI</v>
      </c>
      <c r="F6784" s="369">
        <f>VLOOKUP(C6784,METADATA!$A$5:$H$29,IF(E6784="HI",2,IF(E6784="LO",6,10))+IF(D6784=1,2,IF(D6784=7,1,(IF(WEEKDAY(B6784)=1,2,IF(WEEKDAY(B6784)=7,1,0))))))</f>
        <v>2</v>
      </c>
      <c r="G6784" s="369">
        <f>VLOOKUP(C6784,METADATA!$J$5:$Q$29,IF(E6784="HI",2,IF(E6784="LO",6,10))+IF(D6784=1,2,IF(D6784=7,1,(IF(WEEKDAY(B6784)=1,2,IF(WEEKDAY(B6784)=7,1,0))))))</f>
        <v>2</v>
      </c>
      <c r="H6784" s="370">
        <v>13369.074951171875</v>
      </c>
      <c r="I6784" s="370">
        <v>4439.1349182128906</v>
      </c>
      <c r="M6784" s="371">
        <f t="shared" si="421"/>
        <v>14086.805311075619</v>
      </c>
      <c r="N6784" s="329">
        <f t="shared" si="422"/>
        <v>428.4124328613284</v>
      </c>
      <c r="T6784" s="331">
        <v>0</v>
      </c>
      <c r="U6784" s="328">
        <f>VLOOKUP(C6784,METADATA!$J$5:$Q$29,IF(E6784="HI",2,IF(E6784="LO",6,10))+IF(T6784=1,2,IF(D6784=7,1,(IF(WEEKDAY(B6784)=1,2,IF(WEEKDAY(B6784)=7,1,0))))))</f>
        <v>2</v>
      </c>
      <c r="V6784" s="328">
        <f>VLOOKUP(C6784,METADATA!$A$5:$H$29,IF(E6784="HI",2,IF(E6784="LO",6,10))+IF(T6784=1,2,IF(D6784=7,1,(IF(WEEKDAY(B6784)=1,2,IF(WEEKDAY(B6784)=7,1,0))))))</f>
        <v>2</v>
      </c>
    </row>
    <row r="6785" spans="2:22">
      <c r="B6785" s="318">
        <f t="shared" si="423"/>
        <v>46395</v>
      </c>
      <c r="C6785" s="312">
        <v>13</v>
      </c>
      <c r="D6785" s="368">
        <f>IFERROR((INDEX(METADATA!$T$2:$T$20,MATCH(B6785,METADATA!$S$2:$S$20,0))),0)</f>
        <v>0</v>
      </c>
      <c r="E6785" s="312" t="str">
        <f t="shared" si="420"/>
        <v>HI</v>
      </c>
      <c r="F6785" s="369">
        <f>VLOOKUP(C6785,METADATA!$A$5:$H$29,IF(E6785="HI",2,IF(E6785="LO",6,10))+IF(D6785=1,2,IF(D6785=7,1,(IF(WEEKDAY(B6785)=1,2,IF(WEEKDAY(B6785)=7,1,0))))))</f>
        <v>2</v>
      </c>
      <c r="G6785" s="369">
        <f>VLOOKUP(C6785,METADATA!$J$5:$Q$29,IF(E6785="HI",2,IF(E6785="LO",6,10))+IF(D6785=1,2,IF(D6785=7,1,(IF(WEEKDAY(B6785)=1,2,IF(WEEKDAY(B6785)=7,1,0))))))</f>
        <v>2</v>
      </c>
      <c r="H6785" s="370">
        <v>13395.250183105469</v>
      </c>
      <c r="I6785" s="370">
        <v>4532.9499816894531</v>
      </c>
      <c r="M6785" s="371">
        <f t="shared" si="421"/>
        <v>14141.441334053807</v>
      </c>
      <c r="N6785" s="329">
        <f t="shared" si="422"/>
        <v>514.37492675781277</v>
      </c>
      <c r="T6785" s="331">
        <v>0</v>
      </c>
      <c r="U6785" s="328">
        <f>VLOOKUP(C6785,METADATA!$J$5:$Q$29,IF(E6785="HI",2,IF(E6785="LO",6,10))+IF(T6785=1,2,IF(D6785=7,1,(IF(WEEKDAY(B6785)=1,2,IF(WEEKDAY(B6785)=7,1,0))))))</f>
        <v>2</v>
      </c>
      <c r="V6785" s="328">
        <f>VLOOKUP(C6785,METADATA!$A$5:$H$29,IF(E6785="HI",2,IF(E6785="LO",6,10))+IF(T6785=1,2,IF(D6785=7,1,(IF(WEEKDAY(B6785)=1,2,IF(WEEKDAY(B6785)=7,1,0))))))</f>
        <v>2</v>
      </c>
    </row>
    <row r="6786" spans="2:22">
      <c r="B6786" s="318">
        <f t="shared" si="423"/>
        <v>46395</v>
      </c>
      <c r="C6786" s="312">
        <v>14</v>
      </c>
      <c r="D6786" s="368">
        <f>IFERROR((INDEX(METADATA!$T$2:$T$20,MATCH(B6786,METADATA!$S$2:$S$20,0))),0)</f>
        <v>0</v>
      </c>
      <c r="E6786" s="312" t="str">
        <f t="shared" si="420"/>
        <v>HI</v>
      </c>
      <c r="F6786" s="369">
        <f>VLOOKUP(C6786,METADATA!$A$5:$H$29,IF(E6786="HI",2,IF(E6786="LO",6,10))+IF(D6786=1,2,IF(D6786=7,1,(IF(WEEKDAY(B6786)=1,2,IF(WEEKDAY(B6786)=7,1,0))))))</f>
        <v>2</v>
      </c>
      <c r="G6786" s="369">
        <f>VLOOKUP(C6786,METADATA!$J$5:$Q$29,IF(E6786="HI",2,IF(E6786="LO",6,10))+IF(D6786=1,2,IF(D6786=7,1,(IF(WEEKDAY(B6786)=1,2,IF(WEEKDAY(B6786)=7,1,0))))))</f>
        <v>2</v>
      </c>
      <c r="H6786" s="370">
        <v>13508.64990234375</v>
      </c>
      <c r="I6786" s="370">
        <v>4555.5</v>
      </c>
      <c r="M6786" s="371">
        <f t="shared" si="421"/>
        <v>14256.093519407475</v>
      </c>
      <c r="N6786" s="329">
        <f t="shared" si="422"/>
        <v>502.905029296875</v>
      </c>
      <c r="T6786" s="331">
        <v>0</v>
      </c>
      <c r="U6786" s="328">
        <f>VLOOKUP(C6786,METADATA!$J$5:$Q$29,IF(E6786="HI",2,IF(E6786="LO",6,10))+IF(T6786=1,2,IF(D6786=7,1,(IF(WEEKDAY(B6786)=1,2,IF(WEEKDAY(B6786)=7,1,0))))))</f>
        <v>2</v>
      </c>
      <c r="V6786" s="328">
        <f>VLOOKUP(C6786,METADATA!$A$5:$H$29,IF(E6786="HI",2,IF(E6786="LO",6,10))+IF(T6786=1,2,IF(D6786=7,1,(IF(WEEKDAY(B6786)=1,2,IF(WEEKDAY(B6786)=7,1,0))))))</f>
        <v>2</v>
      </c>
    </row>
    <row r="6787" spans="2:22">
      <c r="B6787" s="318">
        <f t="shared" si="423"/>
        <v>46395</v>
      </c>
      <c r="C6787" s="312">
        <v>15</v>
      </c>
      <c r="D6787" s="368">
        <f>IFERROR((INDEX(METADATA!$T$2:$T$20,MATCH(B6787,METADATA!$S$2:$S$20,0))),0)</f>
        <v>0</v>
      </c>
      <c r="E6787" s="312" t="str">
        <f t="shared" si="420"/>
        <v>HI</v>
      </c>
      <c r="F6787" s="369">
        <f>VLOOKUP(C6787,METADATA!$A$5:$H$29,IF(E6787="HI",2,IF(E6787="LO",6,10))+IF(D6787=1,2,IF(D6787=7,1,(IF(WEEKDAY(B6787)=1,2,IF(WEEKDAY(B6787)=7,1,0))))))</f>
        <v>2</v>
      </c>
      <c r="G6787" s="369">
        <f>VLOOKUP(C6787,METADATA!$J$5:$Q$29,IF(E6787="HI",2,IF(E6787="LO",6,10))+IF(D6787=1,2,IF(D6787=7,1,(IF(WEEKDAY(B6787)=1,2,IF(WEEKDAY(B6787)=7,1,0))))))</f>
        <v>2</v>
      </c>
      <c r="H6787" s="370">
        <v>13512.950134277344</v>
      </c>
      <c r="I6787" s="370">
        <v>4725.9599609375</v>
      </c>
      <c r="M6787" s="371">
        <f t="shared" si="421"/>
        <v>14315.534180876746</v>
      </c>
      <c r="N6787" s="329">
        <f t="shared" si="422"/>
        <v>672.07492065429688</v>
      </c>
      <c r="T6787" s="331">
        <v>0</v>
      </c>
      <c r="U6787" s="328">
        <f>VLOOKUP(C6787,METADATA!$J$5:$Q$29,IF(E6787="HI",2,IF(E6787="LO",6,10))+IF(T6787=1,2,IF(D6787=7,1,(IF(WEEKDAY(B6787)=1,2,IF(WEEKDAY(B6787)=7,1,0))))))</f>
        <v>2</v>
      </c>
      <c r="V6787" s="328">
        <f>VLOOKUP(C6787,METADATA!$A$5:$H$29,IF(E6787="HI",2,IF(E6787="LO",6,10))+IF(T6787=1,2,IF(D6787=7,1,(IF(WEEKDAY(B6787)=1,2,IF(WEEKDAY(B6787)=7,1,0))))))</f>
        <v>2</v>
      </c>
    </row>
    <row r="6788" spans="2:22">
      <c r="B6788" s="318">
        <f t="shared" si="423"/>
        <v>46395</v>
      </c>
      <c r="C6788" s="312">
        <v>16</v>
      </c>
      <c r="D6788" s="368">
        <f>IFERROR((INDEX(METADATA!$T$2:$T$20,MATCH(B6788,METADATA!$S$2:$S$20,0))),0)</f>
        <v>0</v>
      </c>
      <c r="E6788" s="312" t="str">
        <f t="shared" ref="E6788:E6851" si="424">IF(B6788="","",IF(AND(MONTH(B6788)&gt;=MONTH($Z$9),MONTH(B6788)&lt;=MONTH($Z$11)),"HI","LO"))</f>
        <v>HI</v>
      </c>
      <c r="F6788" s="369">
        <f>VLOOKUP(C6788,METADATA!$A$5:$H$29,IF(E6788="HI",2,IF(E6788="LO",6,10))+IF(D6788=1,2,IF(D6788=7,1,(IF(WEEKDAY(B6788)=1,2,IF(WEEKDAY(B6788)=7,1,0))))))</f>
        <v>2</v>
      </c>
      <c r="G6788" s="369">
        <f>VLOOKUP(C6788,METADATA!$J$5:$Q$29,IF(E6788="HI",2,IF(E6788="LO",6,10))+IF(D6788=1,2,IF(D6788=7,1,(IF(WEEKDAY(B6788)=1,2,IF(WEEKDAY(B6788)=7,1,0))))))</f>
        <v>2</v>
      </c>
      <c r="H6788" s="370">
        <v>13225.349792480469</v>
      </c>
      <c r="I6788" s="370">
        <v>4311.7350463867188</v>
      </c>
      <c r="M6788" s="371">
        <f t="shared" ref="M6788:M6851" si="425">SQRT(H6788^2+I6788^2)</f>
        <v>13910.461395787799</v>
      </c>
      <c r="N6788" s="329">
        <f t="shared" ref="N6788:N6851" si="426">IF(H6788=0,0,(IF(I6788-(0.3*H6788)&lt;0,0,(I6788-(0.3*H6788)))))</f>
        <v>344.13010864257831</v>
      </c>
      <c r="T6788" s="331">
        <v>0</v>
      </c>
      <c r="U6788" s="328">
        <f>VLOOKUP(C6788,METADATA!$J$5:$Q$29,IF(E6788="HI",2,IF(E6788="LO",6,10))+IF(T6788=1,2,IF(D6788=7,1,(IF(WEEKDAY(B6788)=1,2,IF(WEEKDAY(B6788)=7,1,0))))))</f>
        <v>2</v>
      </c>
      <c r="V6788" s="328">
        <f>VLOOKUP(C6788,METADATA!$A$5:$H$29,IF(E6788="HI",2,IF(E6788="LO",6,10))+IF(T6788=1,2,IF(D6788=7,1,(IF(WEEKDAY(B6788)=1,2,IF(WEEKDAY(B6788)=7,1,0))))))</f>
        <v>2</v>
      </c>
    </row>
    <row r="6789" spans="2:22">
      <c r="B6789" s="318">
        <f t="shared" si="423"/>
        <v>46395</v>
      </c>
      <c r="C6789" s="312">
        <v>17</v>
      </c>
      <c r="D6789" s="368">
        <f>IFERROR((INDEX(METADATA!$T$2:$T$20,MATCH(B6789,METADATA!$S$2:$S$20,0))),0)</f>
        <v>0</v>
      </c>
      <c r="E6789" s="312" t="str">
        <f t="shared" si="424"/>
        <v>HI</v>
      </c>
      <c r="F6789" s="369">
        <f>VLOOKUP(C6789,METADATA!$A$5:$H$29,IF(E6789="HI",2,IF(E6789="LO",6,10))+IF(D6789=1,2,IF(D6789=7,1,(IF(WEEKDAY(B6789)=1,2,IF(WEEKDAY(B6789)=7,1,0))))))</f>
        <v>1</v>
      </c>
      <c r="G6789" s="369">
        <f>VLOOKUP(C6789,METADATA!$J$5:$Q$29,IF(E6789="HI",2,IF(E6789="LO",6,10))+IF(D6789=1,2,IF(D6789=7,1,(IF(WEEKDAY(B6789)=1,2,IF(WEEKDAY(B6789)=7,1,0))))))</f>
        <v>1</v>
      </c>
      <c r="H6789" s="370">
        <v>13278.824768066406</v>
      </c>
      <c r="I6789" s="370">
        <v>4430.5799865722656</v>
      </c>
      <c r="M6789" s="371">
        <f t="shared" si="425"/>
        <v>13998.472282303828</v>
      </c>
      <c r="N6789" s="329">
        <f t="shared" si="426"/>
        <v>446.93255615234375</v>
      </c>
      <c r="T6789" s="331">
        <v>0</v>
      </c>
      <c r="U6789" s="328">
        <f>VLOOKUP(C6789,METADATA!$J$5:$Q$29,IF(E6789="HI",2,IF(E6789="LO",6,10))+IF(T6789=1,2,IF(D6789=7,1,(IF(WEEKDAY(B6789)=1,2,IF(WEEKDAY(B6789)=7,1,0))))))</f>
        <v>1</v>
      </c>
      <c r="V6789" s="328">
        <f>VLOOKUP(C6789,METADATA!$A$5:$H$29,IF(E6789="HI",2,IF(E6789="LO",6,10))+IF(T6789=1,2,IF(D6789=7,1,(IF(WEEKDAY(B6789)=1,2,IF(WEEKDAY(B6789)=7,1,0))))))</f>
        <v>1</v>
      </c>
    </row>
    <row r="6790" spans="2:22">
      <c r="B6790" s="318">
        <f t="shared" si="423"/>
        <v>46395</v>
      </c>
      <c r="C6790" s="312">
        <v>18</v>
      </c>
      <c r="D6790" s="368">
        <f>IFERROR((INDEX(METADATA!$T$2:$T$20,MATCH(B6790,METADATA!$S$2:$S$20,0))),0)</f>
        <v>0</v>
      </c>
      <c r="E6790" s="312" t="str">
        <f t="shared" si="424"/>
        <v>HI</v>
      </c>
      <c r="F6790" s="369">
        <f>VLOOKUP(C6790,METADATA!$A$5:$H$29,IF(E6790="HI",2,IF(E6790="LO",6,10))+IF(D6790=1,2,IF(D6790=7,1,(IF(WEEKDAY(B6790)=1,2,IF(WEEKDAY(B6790)=7,1,0))))))</f>
        <v>1</v>
      </c>
      <c r="G6790" s="369">
        <f>VLOOKUP(C6790,METADATA!$J$5:$Q$29,IF(E6790="HI",2,IF(E6790="LO",6,10))+IF(D6790=1,2,IF(D6790=7,1,(IF(WEEKDAY(B6790)=1,2,IF(WEEKDAY(B6790)=7,1,0))))))</f>
        <v>1</v>
      </c>
      <c r="H6790" s="370">
        <v>13218.49951171875</v>
      </c>
      <c r="I6790" s="370">
        <v>4387.9649047851563</v>
      </c>
      <c r="M6790" s="371">
        <f t="shared" si="425"/>
        <v>13927.776755352415</v>
      </c>
      <c r="N6790" s="329">
        <f t="shared" si="426"/>
        <v>422.41505126953143</v>
      </c>
      <c r="T6790" s="331">
        <v>0</v>
      </c>
      <c r="U6790" s="328">
        <f>VLOOKUP(C6790,METADATA!$J$5:$Q$29,IF(E6790="HI",2,IF(E6790="LO",6,10))+IF(T6790=1,2,IF(D6790=7,1,(IF(WEEKDAY(B6790)=1,2,IF(WEEKDAY(B6790)=7,1,0))))))</f>
        <v>1</v>
      </c>
      <c r="V6790" s="328">
        <f>VLOOKUP(C6790,METADATA!$A$5:$H$29,IF(E6790="HI",2,IF(E6790="LO",6,10))+IF(T6790=1,2,IF(D6790=7,1,(IF(WEEKDAY(B6790)=1,2,IF(WEEKDAY(B6790)=7,1,0))))))</f>
        <v>1</v>
      </c>
    </row>
    <row r="6791" spans="2:22">
      <c r="B6791" s="318">
        <f t="shared" si="423"/>
        <v>46395</v>
      </c>
      <c r="C6791" s="312">
        <v>19</v>
      </c>
      <c r="D6791" s="368">
        <f>IFERROR((INDEX(METADATA!$T$2:$T$20,MATCH(B6791,METADATA!$S$2:$S$20,0))),0)</f>
        <v>0</v>
      </c>
      <c r="E6791" s="312" t="str">
        <f t="shared" si="424"/>
        <v>HI</v>
      </c>
      <c r="F6791" s="369">
        <f>VLOOKUP(C6791,METADATA!$A$5:$H$29,IF(E6791="HI",2,IF(E6791="LO",6,10))+IF(D6791=1,2,IF(D6791=7,1,(IF(WEEKDAY(B6791)=1,2,IF(WEEKDAY(B6791)=7,1,0))))))</f>
        <v>1</v>
      </c>
      <c r="G6791" s="369">
        <f>VLOOKUP(C6791,METADATA!$J$5:$Q$29,IF(E6791="HI",2,IF(E6791="LO",6,10))+IF(D6791=1,2,IF(D6791=7,1,(IF(WEEKDAY(B6791)=1,2,IF(WEEKDAY(B6791)=7,1,0))))))</f>
        <v>1</v>
      </c>
      <c r="H6791" s="370">
        <v>13603.549926757813</v>
      </c>
      <c r="I6791" s="370">
        <v>4539.9149780273438</v>
      </c>
      <c r="M6791" s="371">
        <f t="shared" si="425"/>
        <v>14341.108695547548</v>
      </c>
      <c r="N6791" s="329">
        <f t="shared" si="426"/>
        <v>458.85000000000036</v>
      </c>
      <c r="T6791" s="331">
        <v>0</v>
      </c>
      <c r="U6791" s="328">
        <f>VLOOKUP(C6791,METADATA!$J$5:$Q$29,IF(E6791="HI",2,IF(E6791="LO",6,10))+IF(T6791=1,2,IF(D6791=7,1,(IF(WEEKDAY(B6791)=1,2,IF(WEEKDAY(B6791)=7,1,0))))))</f>
        <v>1</v>
      </c>
      <c r="V6791" s="328">
        <f>VLOOKUP(C6791,METADATA!$A$5:$H$29,IF(E6791="HI",2,IF(E6791="LO",6,10))+IF(T6791=1,2,IF(D6791=7,1,(IF(WEEKDAY(B6791)=1,2,IF(WEEKDAY(B6791)=7,1,0))))))</f>
        <v>1</v>
      </c>
    </row>
    <row r="6792" spans="2:22">
      <c r="B6792" s="318">
        <f t="shared" si="423"/>
        <v>46395</v>
      </c>
      <c r="C6792" s="312">
        <v>20</v>
      </c>
      <c r="D6792" s="368">
        <f>IFERROR((INDEX(METADATA!$T$2:$T$20,MATCH(B6792,METADATA!$S$2:$S$20,0))),0)</f>
        <v>0</v>
      </c>
      <c r="E6792" s="312" t="str">
        <f t="shared" si="424"/>
        <v>HI</v>
      </c>
      <c r="F6792" s="369">
        <f>VLOOKUP(C6792,METADATA!$A$5:$H$29,IF(E6792="HI",2,IF(E6792="LO",6,10))+IF(D6792=1,2,IF(D6792=7,1,(IF(WEEKDAY(B6792)=1,2,IF(WEEKDAY(B6792)=7,1,0))))))</f>
        <v>2</v>
      </c>
      <c r="G6792" s="369">
        <f>VLOOKUP(C6792,METADATA!$J$5:$Q$29,IF(E6792="HI",2,IF(E6792="LO",6,10))+IF(D6792=1,2,IF(D6792=7,1,(IF(WEEKDAY(B6792)=1,2,IF(WEEKDAY(B6792)=7,1,0))))))</f>
        <v>2</v>
      </c>
      <c r="H6792" s="370">
        <v>13512.225524902344</v>
      </c>
      <c r="I6792" s="370">
        <v>4519.2949523925781</v>
      </c>
      <c r="M6792" s="371">
        <f t="shared" si="425"/>
        <v>14247.956537782653</v>
      </c>
      <c r="N6792" s="329">
        <f t="shared" si="426"/>
        <v>465.62729492187509</v>
      </c>
      <c r="T6792" s="331">
        <v>0</v>
      </c>
      <c r="U6792" s="328">
        <f>VLOOKUP(C6792,METADATA!$J$5:$Q$29,IF(E6792="HI",2,IF(E6792="LO",6,10))+IF(T6792=1,2,IF(D6792=7,1,(IF(WEEKDAY(B6792)=1,2,IF(WEEKDAY(B6792)=7,1,0))))))</f>
        <v>2</v>
      </c>
      <c r="V6792" s="328">
        <f>VLOOKUP(C6792,METADATA!$A$5:$H$29,IF(E6792="HI",2,IF(E6792="LO",6,10))+IF(T6792=1,2,IF(D6792=7,1,(IF(WEEKDAY(B6792)=1,2,IF(WEEKDAY(B6792)=7,1,0))))))</f>
        <v>2</v>
      </c>
    </row>
    <row r="6793" spans="2:22">
      <c r="B6793" s="318">
        <f t="shared" si="423"/>
        <v>46395</v>
      </c>
      <c r="C6793" s="312">
        <v>21</v>
      </c>
      <c r="D6793" s="368">
        <f>IFERROR((INDEX(METADATA!$T$2:$T$20,MATCH(B6793,METADATA!$S$2:$S$20,0))),0)</f>
        <v>0</v>
      </c>
      <c r="E6793" s="312" t="str">
        <f t="shared" si="424"/>
        <v>HI</v>
      </c>
      <c r="F6793" s="369">
        <f>VLOOKUP(C6793,METADATA!$A$5:$H$29,IF(E6793="HI",2,IF(E6793="LO",6,10))+IF(D6793=1,2,IF(D6793=7,1,(IF(WEEKDAY(B6793)=1,2,IF(WEEKDAY(B6793)=7,1,0))))))</f>
        <v>2</v>
      </c>
      <c r="G6793" s="369">
        <f>VLOOKUP(C6793,METADATA!$J$5:$Q$29,IF(E6793="HI",2,IF(E6793="LO",6,10))+IF(D6793=1,2,IF(D6793=7,1,(IF(WEEKDAY(B6793)=1,2,IF(WEEKDAY(B6793)=7,1,0))))))</f>
        <v>2</v>
      </c>
      <c r="H6793" s="370">
        <v>13245.024658203125</v>
      </c>
      <c r="I6793" s="370">
        <v>4457.6500854492188</v>
      </c>
      <c r="M6793" s="371">
        <f t="shared" si="425"/>
        <v>13975.024954564991</v>
      </c>
      <c r="N6793" s="329">
        <f t="shared" si="426"/>
        <v>484.14268798828152</v>
      </c>
      <c r="T6793" s="331">
        <v>0</v>
      </c>
      <c r="U6793" s="328">
        <f>VLOOKUP(C6793,METADATA!$J$5:$Q$29,IF(E6793="HI",2,IF(E6793="LO",6,10))+IF(T6793=1,2,IF(D6793=7,1,(IF(WEEKDAY(B6793)=1,2,IF(WEEKDAY(B6793)=7,1,0))))))</f>
        <v>2</v>
      </c>
      <c r="V6793" s="328">
        <f>VLOOKUP(C6793,METADATA!$A$5:$H$29,IF(E6793="HI",2,IF(E6793="LO",6,10))+IF(T6793=1,2,IF(D6793=7,1,(IF(WEEKDAY(B6793)=1,2,IF(WEEKDAY(B6793)=7,1,0))))))</f>
        <v>2</v>
      </c>
    </row>
    <row r="6794" spans="2:22">
      <c r="B6794" s="318">
        <f t="shared" si="423"/>
        <v>46395</v>
      </c>
      <c r="C6794" s="312">
        <v>22</v>
      </c>
      <c r="D6794" s="368">
        <f>IFERROR((INDEX(METADATA!$T$2:$T$20,MATCH(B6794,METADATA!$S$2:$S$20,0))),0)</f>
        <v>0</v>
      </c>
      <c r="E6794" s="312" t="str">
        <f t="shared" si="424"/>
        <v>HI</v>
      </c>
      <c r="F6794" s="369">
        <f>VLOOKUP(C6794,METADATA!$A$5:$H$29,IF(E6794="HI",2,IF(E6794="LO",6,10))+IF(D6794=1,2,IF(D6794=7,1,(IF(WEEKDAY(B6794)=1,2,IF(WEEKDAY(B6794)=7,1,0))))))</f>
        <v>3</v>
      </c>
      <c r="G6794" s="369">
        <f>VLOOKUP(C6794,METADATA!$J$5:$Q$29,IF(E6794="HI",2,IF(E6794="LO",6,10))+IF(D6794=1,2,IF(D6794=7,1,(IF(WEEKDAY(B6794)=1,2,IF(WEEKDAY(B6794)=7,1,0))))))</f>
        <v>3</v>
      </c>
      <c r="H6794" s="370">
        <v>12900.949645996094</v>
      </c>
      <c r="I6794" s="370">
        <v>4321.4649963378906</v>
      </c>
      <c r="M6794" s="371">
        <f t="shared" si="425"/>
        <v>13605.497472826944</v>
      </c>
      <c r="N6794" s="329">
        <f t="shared" si="426"/>
        <v>451.18010253906277</v>
      </c>
      <c r="T6794" s="331">
        <v>0</v>
      </c>
      <c r="U6794" s="328">
        <f>VLOOKUP(C6794,METADATA!$J$5:$Q$29,IF(E6794="HI",2,IF(E6794="LO",6,10))+IF(T6794=1,2,IF(D6794=7,1,(IF(WEEKDAY(B6794)=1,2,IF(WEEKDAY(B6794)=7,1,0))))))</f>
        <v>3</v>
      </c>
      <c r="V6794" s="328">
        <f>VLOOKUP(C6794,METADATA!$A$5:$H$29,IF(E6794="HI",2,IF(E6794="LO",6,10))+IF(T6794=1,2,IF(D6794=7,1,(IF(WEEKDAY(B6794)=1,2,IF(WEEKDAY(B6794)=7,1,0))))))</f>
        <v>3</v>
      </c>
    </row>
    <row r="6795" spans="2:22">
      <c r="B6795" s="318">
        <f t="shared" si="423"/>
        <v>46395</v>
      </c>
      <c r="C6795" s="312">
        <v>23</v>
      </c>
      <c r="D6795" s="368">
        <f>IFERROR((INDEX(METADATA!$T$2:$T$20,MATCH(B6795,METADATA!$S$2:$S$20,0))),0)</f>
        <v>0</v>
      </c>
      <c r="E6795" s="312" t="str">
        <f t="shared" si="424"/>
        <v>HI</v>
      </c>
      <c r="F6795" s="369">
        <f>VLOOKUP(C6795,METADATA!$A$5:$H$29,IF(E6795="HI",2,IF(E6795="LO",6,10))+IF(D6795=1,2,IF(D6795=7,1,(IF(WEEKDAY(B6795)=1,2,IF(WEEKDAY(B6795)=7,1,0))))))</f>
        <v>3</v>
      </c>
      <c r="G6795" s="369">
        <f>VLOOKUP(C6795,METADATA!$J$5:$Q$29,IF(E6795="HI",2,IF(E6795="LO",6,10))+IF(D6795=1,2,IF(D6795=7,1,(IF(WEEKDAY(B6795)=1,2,IF(WEEKDAY(B6795)=7,1,0))))))</f>
        <v>3</v>
      </c>
      <c r="H6795" s="370">
        <v>11764.499877929688</v>
      </c>
      <c r="I6795" s="370">
        <v>3719.677490234375</v>
      </c>
      <c r="M6795" s="371">
        <f t="shared" si="425"/>
        <v>12338.535488831887</v>
      </c>
      <c r="N6795" s="329">
        <f t="shared" si="426"/>
        <v>190.32752685546893</v>
      </c>
      <c r="T6795" s="331">
        <v>0</v>
      </c>
      <c r="U6795" s="328">
        <f>VLOOKUP(C6795,METADATA!$J$5:$Q$29,IF(E6795="HI",2,IF(E6795="LO",6,10))+IF(T6795=1,2,IF(D6795=7,1,(IF(WEEKDAY(B6795)=1,2,IF(WEEKDAY(B6795)=7,1,0))))))</f>
        <v>3</v>
      </c>
      <c r="V6795" s="328">
        <f>VLOOKUP(C6795,METADATA!$A$5:$H$29,IF(E6795="HI",2,IF(E6795="LO",6,10))+IF(T6795=1,2,IF(D6795=7,1,(IF(WEEKDAY(B6795)=1,2,IF(WEEKDAY(B6795)=7,1,0))))))</f>
        <v>3</v>
      </c>
    </row>
    <row r="6796" spans="2:22">
      <c r="B6796" s="318">
        <f t="shared" si="423"/>
        <v>46396</v>
      </c>
      <c r="C6796" s="312">
        <v>0</v>
      </c>
      <c r="D6796" s="368">
        <f>IFERROR((INDEX(METADATA!$T$2:$T$20,MATCH(B6796,METADATA!$S$2:$S$20,0))),0)</f>
        <v>0</v>
      </c>
      <c r="E6796" s="312" t="str">
        <f t="shared" si="424"/>
        <v>HI</v>
      </c>
      <c r="F6796" s="369">
        <f>VLOOKUP(C6796,METADATA!$A$5:$H$29,IF(E6796="HI",2,IF(E6796="LO",6,10))+IF(D6796=1,2,IF(D6796=7,1,(IF(WEEKDAY(B6796)=1,2,IF(WEEKDAY(B6796)=7,1,0))))))</f>
        <v>3</v>
      </c>
      <c r="G6796" s="369">
        <f>VLOOKUP(C6796,METADATA!$J$5:$Q$29,IF(E6796="HI",2,IF(E6796="LO",6,10))+IF(D6796=1,2,IF(D6796=7,1,(IF(WEEKDAY(B6796)=1,2,IF(WEEKDAY(B6796)=7,1,0))))))</f>
        <v>3</v>
      </c>
      <c r="H6796" s="370">
        <v>13408.07470703125</v>
      </c>
      <c r="I6796" s="370">
        <v>4618.324951171875</v>
      </c>
      <c r="M6796" s="371">
        <f t="shared" si="425"/>
        <v>14181.16330573581</v>
      </c>
      <c r="N6796" s="329">
        <f t="shared" si="426"/>
        <v>595.90253906250018</v>
      </c>
      <c r="T6796" s="331">
        <v>0</v>
      </c>
      <c r="U6796" s="328">
        <f>VLOOKUP(C6796,METADATA!$J$5:$Q$29,IF(E6796="HI",2,IF(E6796="LO",6,10))+IF(T6796=1,2,IF(D6796=7,1,(IF(WEEKDAY(B6796)=1,2,IF(WEEKDAY(B6796)=7,1,0))))))</f>
        <v>3</v>
      </c>
      <c r="V6796" s="328">
        <f>VLOOKUP(C6796,METADATA!$A$5:$H$29,IF(E6796="HI",2,IF(E6796="LO",6,10))+IF(T6796=1,2,IF(D6796=7,1,(IF(WEEKDAY(B6796)=1,2,IF(WEEKDAY(B6796)=7,1,0))))))</f>
        <v>3</v>
      </c>
    </row>
    <row r="6797" spans="2:22">
      <c r="B6797" s="318">
        <f t="shared" si="423"/>
        <v>46396</v>
      </c>
      <c r="C6797" s="312">
        <v>1</v>
      </c>
      <c r="D6797" s="368">
        <f>IFERROR((INDEX(METADATA!$T$2:$T$20,MATCH(B6797,METADATA!$S$2:$S$20,0))),0)</f>
        <v>0</v>
      </c>
      <c r="E6797" s="312" t="str">
        <f t="shared" si="424"/>
        <v>HI</v>
      </c>
      <c r="F6797" s="369">
        <f>VLOOKUP(C6797,METADATA!$A$5:$H$29,IF(E6797="HI",2,IF(E6797="LO",6,10))+IF(D6797=1,2,IF(D6797=7,1,(IF(WEEKDAY(B6797)=1,2,IF(WEEKDAY(B6797)=7,1,0))))))</f>
        <v>3</v>
      </c>
      <c r="G6797" s="369">
        <f>VLOOKUP(C6797,METADATA!$J$5:$Q$29,IF(E6797="HI",2,IF(E6797="LO",6,10))+IF(D6797=1,2,IF(D6797=7,1,(IF(WEEKDAY(B6797)=1,2,IF(WEEKDAY(B6797)=7,1,0))))))</f>
        <v>3</v>
      </c>
      <c r="H6797" s="370">
        <v>13628.849731445313</v>
      </c>
      <c r="I6797" s="370">
        <v>4686.2151184082031</v>
      </c>
      <c r="M6797" s="371">
        <f t="shared" si="425"/>
        <v>14412.014333128958</v>
      </c>
      <c r="N6797" s="329">
        <f t="shared" si="426"/>
        <v>597.56019897460965</v>
      </c>
      <c r="T6797" s="331">
        <v>0</v>
      </c>
      <c r="U6797" s="328">
        <f>VLOOKUP(C6797,METADATA!$J$5:$Q$29,IF(E6797="HI",2,IF(E6797="LO",6,10))+IF(T6797=1,2,IF(D6797=7,1,(IF(WEEKDAY(B6797)=1,2,IF(WEEKDAY(B6797)=7,1,0))))))</f>
        <v>3</v>
      </c>
      <c r="V6797" s="328">
        <f>VLOOKUP(C6797,METADATA!$A$5:$H$29,IF(E6797="HI",2,IF(E6797="LO",6,10))+IF(T6797=1,2,IF(D6797=7,1,(IF(WEEKDAY(B6797)=1,2,IF(WEEKDAY(B6797)=7,1,0))))))</f>
        <v>3</v>
      </c>
    </row>
    <row r="6798" spans="2:22">
      <c r="B6798" s="318">
        <f t="shared" si="423"/>
        <v>46396</v>
      </c>
      <c r="C6798" s="312">
        <v>2</v>
      </c>
      <c r="D6798" s="368">
        <f>IFERROR((INDEX(METADATA!$T$2:$T$20,MATCH(B6798,METADATA!$S$2:$S$20,0))),0)</f>
        <v>0</v>
      </c>
      <c r="E6798" s="312" t="str">
        <f t="shared" si="424"/>
        <v>HI</v>
      </c>
      <c r="F6798" s="369">
        <f>VLOOKUP(C6798,METADATA!$A$5:$H$29,IF(E6798="HI",2,IF(E6798="LO",6,10))+IF(D6798=1,2,IF(D6798=7,1,(IF(WEEKDAY(B6798)=1,2,IF(WEEKDAY(B6798)=7,1,0))))))</f>
        <v>3</v>
      </c>
      <c r="G6798" s="369">
        <f>VLOOKUP(C6798,METADATA!$J$5:$Q$29,IF(E6798="HI",2,IF(E6798="LO",6,10))+IF(D6798=1,2,IF(D6798=7,1,(IF(WEEKDAY(B6798)=1,2,IF(WEEKDAY(B6798)=7,1,0))))))</f>
        <v>3</v>
      </c>
      <c r="H6798" s="370">
        <v>13410.625061035156</v>
      </c>
      <c r="I6798" s="370">
        <v>4421.6248779296875</v>
      </c>
      <c r="M6798" s="371">
        <f t="shared" si="425"/>
        <v>14120.751789079464</v>
      </c>
      <c r="N6798" s="329">
        <f t="shared" si="426"/>
        <v>398.43735961914081</v>
      </c>
      <c r="T6798" s="331">
        <v>0</v>
      </c>
      <c r="U6798" s="328">
        <f>VLOOKUP(C6798,METADATA!$J$5:$Q$29,IF(E6798="HI",2,IF(E6798="LO",6,10))+IF(T6798=1,2,IF(D6798=7,1,(IF(WEEKDAY(B6798)=1,2,IF(WEEKDAY(B6798)=7,1,0))))))</f>
        <v>3</v>
      </c>
      <c r="V6798" s="328">
        <f>VLOOKUP(C6798,METADATA!$A$5:$H$29,IF(E6798="HI",2,IF(E6798="LO",6,10))+IF(T6798=1,2,IF(D6798=7,1,(IF(WEEKDAY(B6798)=1,2,IF(WEEKDAY(B6798)=7,1,0))))))</f>
        <v>3</v>
      </c>
    </row>
    <row r="6799" spans="2:22">
      <c r="B6799" s="318">
        <f t="shared" si="423"/>
        <v>46396</v>
      </c>
      <c r="C6799" s="312">
        <v>3</v>
      </c>
      <c r="D6799" s="368">
        <f>IFERROR((INDEX(METADATA!$T$2:$T$20,MATCH(B6799,METADATA!$S$2:$S$20,0))),0)</f>
        <v>0</v>
      </c>
      <c r="E6799" s="312" t="str">
        <f t="shared" si="424"/>
        <v>HI</v>
      </c>
      <c r="F6799" s="369">
        <f>VLOOKUP(C6799,METADATA!$A$5:$H$29,IF(E6799="HI",2,IF(E6799="LO",6,10))+IF(D6799=1,2,IF(D6799=7,1,(IF(WEEKDAY(B6799)=1,2,IF(WEEKDAY(B6799)=7,1,0))))))</f>
        <v>3</v>
      </c>
      <c r="G6799" s="369">
        <f>VLOOKUP(C6799,METADATA!$J$5:$Q$29,IF(E6799="HI",2,IF(E6799="LO",6,10))+IF(D6799=1,2,IF(D6799=7,1,(IF(WEEKDAY(B6799)=1,2,IF(WEEKDAY(B6799)=7,1,0))))))</f>
        <v>3</v>
      </c>
      <c r="H6799" s="370">
        <v>13247.999877929688</v>
      </c>
      <c r="I6799" s="370">
        <v>4321.3901062011719</v>
      </c>
      <c r="M6799" s="371">
        <f t="shared" si="425"/>
        <v>13934.988812898215</v>
      </c>
      <c r="N6799" s="329">
        <f t="shared" si="426"/>
        <v>346.99014282226563</v>
      </c>
      <c r="T6799" s="331">
        <v>0</v>
      </c>
      <c r="U6799" s="328">
        <f>VLOOKUP(C6799,METADATA!$J$5:$Q$29,IF(E6799="HI",2,IF(E6799="LO",6,10))+IF(T6799=1,2,IF(D6799=7,1,(IF(WEEKDAY(B6799)=1,2,IF(WEEKDAY(B6799)=7,1,0))))))</f>
        <v>3</v>
      </c>
      <c r="V6799" s="328">
        <f>VLOOKUP(C6799,METADATA!$A$5:$H$29,IF(E6799="HI",2,IF(E6799="LO",6,10))+IF(T6799=1,2,IF(D6799=7,1,(IF(WEEKDAY(B6799)=1,2,IF(WEEKDAY(B6799)=7,1,0))))))</f>
        <v>3</v>
      </c>
    </row>
    <row r="6800" spans="2:22">
      <c r="B6800" s="318">
        <f t="shared" si="423"/>
        <v>46396</v>
      </c>
      <c r="C6800" s="312">
        <v>4</v>
      </c>
      <c r="D6800" s="368">
        <f>IFERROR((INDEX(METADATA!$T$2:$T$20,MATCH(B6800,METADATA!$S$2:$S$20,0))),0)</f>
        <v>0</v>
      </c>
      <c r="E6800" s="312" t="str">
        <f t="shared" si="424"/>
        <v>HI</v>
      </c>
      <c r="F6800" s="369">
        <f>VLOOKUP(C6800,METADATA!$A$5:$H$29,IF(E6800="HI",2,IF(E6800="LO",6,10))+IF(D6800=1,2,IF(D6800=7,1,(IF(WEEKDAY(B6800)=1,2,IF(WEEKDAY(B6800)=7,1,0))))))</f>
        <v>3</v>
      </c>
      <c r="G6800" s="369">
        <f>VLOOKUP(C6800,METADATA!$J$5:$Q$29,IF(E6800="HI",2,IF(E6800="LO",6,10))+IF(D6800=1,2,IF(D6800=7,1,(IF(WEEKDAY(B6800)=1,2,IF(WEEKDAY(B6800)=7,1,0))))))</f>
        <v>3</v>
      </c>
      <c r="H6800" s="370">
        <v>13381.275146484375</v>
      </c>
      <c r="I6800" s="370">
        <v>4287.9500732421875</v>
      </c>
      <c r="M6800" s="371">
        <f t="shared" si="425"/>
        <v>14051.51381085106</v>
      </c>
      <c r="N6800" s="329">
        <f t="shared" si="426"/>
        <v>273.56752929687536</v>
      </c>
      <c r="T6800" s="331">
        <v>0</v>
      </c>
      <c r="U6800" s="328">
        <f>VLOOKUP(C6800,METADATA!$J$5:$Q$29,IF(E6800="HI",2,IF(E6800="LO",6,10))+IF(T6800=1,2,IF(D6800=7,1,(IF(WEEKDAY(B6800)=1,2,IF(WEEKDAY(B6800)=7,1,0))))))</f>
        <v>3</v>
      </c>
      <c r="V6800" s="328">
        <f>VLOOKUP(C6800,METADATA!$A$5:$H$29,IF(E6800="HI",2,IF(E6800="LO",6,10))+IF(T6800=1,2,IF(D6800=7,1,(IF(WEEKDAY(B6800)=1,2,IF(WEEKDAY(B6800)=7,1,0))))))</f>
        <v>3</v>
      </c>
    </row>
    <row r="6801" spans="2:22">
      <c r="B6801" s="318">
        <f t="shared" si="423"/>
        <v>46396</v>
      </c>
      <c r="C6801" s="312">
        <v>5</v>
      </c>
      <c r="D6801" s="368">
        <f>IFERROR((INDEX(METADATA!$T$2:$T$20,MATCH(B6801,METADATA!$S$2:$S$20,0))),0)</f>
        <v>0</v>
      </c>
      <c r="E6801" s="312" t="str">
        <f t="shared" si="424"/>
        <v>HI</v>
      </c>
      <c r="F6801" s="369">
        <f>VLOOKUP(C6801,METADATA!$A$5:$H$29,IF(E6801="HI",2,IF(E6801="LO",6,10))+IF(D6801=1,2,IF(D6801=7,1,(IF(WEEKDAY(B6801)=1,2,IF(WEEKDAY(B6801)=7,1,0))))))</f>
        <v>3</v>
      </c>
      <c r="G6801" s="369">
        <f>VLOOKUP(C6801,METADATA!$J$5:$Q$29,IF(E6801="HI",2,IF(E6801="LO",6,10))+IF(D6801=1,2,IF(D6801=7,1,(IF(WEEKDAY(B6801)=1,2,IF(WEEKDAY(B6801)=7,1,0))))))</f>
        <v>3</v>
      </c>
      <c r="H6801" s="370">
        <v>13326.724792480469</v>
      </c>
      <c r="I6801" s="370">
        <v>4347.7850646972656</v>
      </c>
      <c r="M6801" s="371">
        <f t="shared" si="425"/>
        <v>14018.018000534817</v>
      </c>
      <c r="N6801" s="329">
        <f t="shared" si="426"/>
        <v>349.76762695312527</v>
      </c>
      <c r="T6801" s="331">
        <v>0</v>
      </c>
      <c r="U6801" s="328">
        <f>VLOOKUP(C6801,METADATA!$J$5:$Q$29,IF(E6801="HI",2,IF(E6801="LO",6,10))+IF(T6801=1,2,IF(D6801=7,1,(IF(WEEKDAY(B6801)=1,2,IF(WEEKDAY(B6801)=7,1,0))))))</f>
        <v>3</v>
      </c>
      <c r="V6801" s="328">
        <f>VLOOKUP(C6801,METADATA!$A$5:$H$29,IF(E6801="HI",2,IF(E6801="LO",6,10))+IF(T6801=1,2,IF(D6801=7,1,(IF(WEEKDAY(B6801)=1,2,IF(WEEKDAY(B6801)=7,1,0))))))</f>
        <v>3</v>
      </c>
    </row>
    <row r="6802" spans="2:22">
      <c r="B6802" s="318">
        <f t="shared" si="423"/>
        <v>46396</v>
      </c>
      <c r="C6802" s="312">
        <v>6</v>
      </c>
      <c r="D6802" s="368">
        <f>IFERROR((INDEX(METADATA!$T$2:$T$20,MATCH(B6802,METADATA!$S$2:$S$20,0))),0)</f>
        <v>0</v>
      </c>
      <c r="E6802" s="312" t="str">
        <f t="shared" si="424"/>
        <v>HI</v>
      </c>
      <c r="F6802" s="369">
        <f>VLOOKUP(C6802,METADATA!$A$5:$H$29,IF(E6802="HI",2,IF(E6802="LO",6,10))+IF(D6802=1,2,IF(D6802=7,1,(IF(WEEKDAY(B6802)=1,2,IF(WEEKDAY(B6802)=7,1,0))))))</f>
        <v>3</v>
      </c>
      <c r="G6802" s="369">
        <f>VLOOKUP(C6802,METADATA!$J$5:$Q$29,IF(E6802="HI",2,IF(E6802="LO",6,10))+IF(D6802=1,2,IF(D6802=7,1,(IF(WEEKDAY(B6802)=1,2,IF(WEEKDAY(B6802)=7,1,0))))))</f>
        <v>3</v>
      </c>
      <c r="H6802" s="370">
        <v>13239.599975585938</v>
      </c>
      <c r="I6802" s="370">
        <v>4331.14501953125</v>
      </c>
      <c r="M6802" s="371">
        <f t="shared" si="425"/>
        <v>13930.033190690734</v>
      </c>
      <c r="N6802" s="329">
        <f t="shared" si="426"/>
        <v>359.26502685546893</v>
      </c>
      <c r="T6802" s="331">
        <v>0</v>
      </c>
      <c r="U6802" s="328">
        <f>VLOOKUP(C6802,METADATA!$J$5:$Q$29,IF(E6802="HI",2,IF(E6802="LO",6,10))+IF(T6802=1,2,IF(D6802=7,1,(IF(WEEKDAY(B6802)=1,2,IF(WEEKDAY(B6802)=7,1,0))))))</f>
        <v>3</v>
      </c>
      <c r="V6802" s="328">
        <f>VLOOKUP(C6802,METADATA!$A$5:$H$29,IF(E6802="HI",2,IF(E6802="LO",6,10))+IF(T6802=1,2,IF(D6802=7,1,(IF(WEEKDAY(B6802)=1,2,IF(WEEKDAY(B6802)=7,1,0))))))</f>
        <v>3</v>
      </c>
    </row>
    <row r="6803" spans="2:22">
      <c r="B6803" s="318">
        <f t="shared" si="423"/>
        <v>46396</v>
      </c>
      <c r="C6803" s="312">
        <v>7</v>
      </c>
      <c r="D6803" s="368">
        <f>IFERROR((INDEX(METADATA!$T$2:$T$20,MATCH(B6803,METADATA!$S$2:$S$20,0))),0)</f>
        <v>0</v>
      </c>
      <c r="E6803" s="312" t="str">
        <f t="shared" si="424"/>
        <v>HI</v>
      </c>
      <c r="F6803" s="369">
        <f>VLOOKUP(C6803,METADATA!$A$5:$H$29,IF(E6803="HI",2,IF(E6803="LO",6,10))+IF(D6803=1,2,IF(D6803=7,1,(IF(WEEKDAY(B6803)=1,2,IF(WEEKDAY(B6803)=7,1,0))))))</f>
        <v>2</v>
      </c>
      <c r="G6803" s="369">
        <f>VLOOKUP(C6803,METADATA!$J$5:$Q$29,IF(E6803="HI",2,IF(E6803="LO",6,10))+IF(D6803=1,2,IF(D6803=7,1,(IF(WEEKDAY(B6803)=1,2,IF(WEEKDAY(B6803)=7,1,0))))))</f>
        <v>2</v>
      </c>
      <c r="H6803" s="370">
        <v>13308.724975585938</v>
      </c>
      <c r="I6803" s="370">
        <v>4363.489990234375</v>
      </c>
      <c r="M6803" s="371">
        <f t="shared" si="425"/>
        <v>14005.791850897274</v>
      </c>
      <c r="N6803" s="329">
        <f t="shared" si="426"/>
        <v>370.87249755859375</v>
      </c>
      <c r="T6803" s="331">
        <v>0</v>
      </c>
      <c r="U6803" s="328">
        <f>VLOOKUP(C6803,METADATA!$J$5:$Q$29,IF(E6803="HI",2,IF(E6803="LO",6,10))+IF(T6803=1,2,IF(D6803=7,1,(IF(WEEKDAY(B6803)=1,2,IF(WEEKDAY(B6803)=7,1,0))))))</f>
        <v>2</v>
      </c>
      <c r="V6803" s="328">
        <f>VLOOKUP(C6803,METADATA!$A$5:$H$29,IF(E6803="HI",2,IF(E6803="LO",6,10))+IF(T6803=1,2,IF(D6803=7,1,(IF(WEEKDAY(B6803)=1,2,IF(WEEKDAY(B6803)=7,1,0))))))</f>
        <v>2</v>
      </c>
    </row>
    <row r="6804" spans="2:22">
      <c r="B6804" s="318">
        <f t="shared" si="423"/>
        <v>46396</v>
      </c>
      <c r="C6804" s="312">
        <v>8</v>
      </c>
      <c r="D6804" s="368">
        <f>IFERROR((INDEX(METADATA!$T$2:$T$20,MATCH(B6804,METADATA!$S$2:$S$20,0))),0)</f>
        <v>0</v>
      </c>
      <c r="E6804" s="312" t="str">
        <f t="shared" si="424"/>
        <v>HI</v>
      </c>
      <c r="F6804" s="369">
        <f>VLOOKUP(C6804,METADATA!$A$5:$H$29,IF(E6804="HI",2,IF(E6804="LO",6,10))+IF(D6804=1,2,IF(D6804=7,1,(IF(WEEKDAY(B6804)=1,2,IF(WEEKDAY(B6804)=7,1,0))))))</f>
        <v>2</v>
      </c>
      <c r="G6804" s="369">
        <f>VLOOKUP(C6804,METADATA!$J$5:$Q$29,IF(E6804="HI",2,IF(E6804="LO",6,10))+IF(D6804=1,2,IF(D6804=7,1,(IF(WEEKDAY(B6804)=1,2,IF(WEEKDAY(B6804)=7,1,0))))))</f>
        <v>2</v>
      </c>
      <c r="H6804" s="370">
        <v>13404.800109863281</v>
      </c>
      <c r="I6804" s="370">
        <v>4476.3099975585938</v>
      </c>
      <c r="M6804" s="371">
        <f t="shared" si="425"/>
        <v>14132.445548440428</v>
      </c>
      <c r="N6804" s="329">
        <f t="shared" si="426"/>
        <v>454.86996459960938</v>
      </c>
      <c r="T6804" s="331">
        <v>0</v>
      </c>
      <c r="U6804" s="328">
        <f>VLOOKUP(C6804,METADATA!$J$5:$Q$29,IF(E6804="HI",2,IF(E6804="LO",6,10))+IF(T6804=1,2,IF(D6804=7,1,(IF(WEEKDAY(B6804)=1,2,IF(WEEKDAY(B6804)=7,1,0))))))</f>
        <v>2</v>
      </c>
      <c r="V6804" s="328">
        <f>VLOOKUP(C6804,METADATA!$A$5:$H$29,IF(E6804="HI",2,IF(E6804="LO",6,10))+IF(T6804=1,2,IF(D6804=7,1,(IF(WEEKDAY(B6804)=1,2,IF(WEEKDAY(B6804)=7,1,0))))))</f>
        <v>2</v>
      </c>
    </row>
    <row r="6805" spans="2:22">
      <c r="B6805" s="318">
        <f t="shared" si="423"/>
        <v>46396</v>
      </c>
      <c r="C6805" s="312">
        <v>9</v>
      </c>
      <c r="D6805" s="368">
        <f>IFERROR((INDEX(METADATA!$T$2:$T$20,MATCH(B6805,METADATA!$S$2:$S$20,0))),0)</f>
        <v>0</v>
      </c>
      <c r="E6805" s="312" t="str">
        <f t="shared" si="424"/>
        <v>HI</v>
      </c>
      <c r="F6805" s="369">
        <f>VLOOKUP(C6805,METADATA!$A$5:$H$29,IF(E6805="HI",2,IF(E6805="LO",6,10))+IF(D6805=1,2,IF(D6805=7,1,(IF(WEEKDAY(B6805)=1,2,IF(WEEKDAY(B6805)=7,1,0))))))</f>
        <v>2</v>
      </c>
      <c r="G6805" s="369">
        <f>VLOOKUP(C6805,METADATA!$J$5:$Q$29,IF(E6805="HI",2,IF(E6805="LO",6,10))+IF(D6805=1,2,IF(D6805=7,1,(IF(WEEKDAY(B6805)=1,2,IF(WEEKDAY(B6805)=7,1,0))))))</f>
        <v>2</v>
      </c>
      <c r="H6805" s="370">
        <v>13406.449768066406</v>
      </c>
      <c r="I6805" s="370">
        <v>4497.5750122070313</v>
      </c>
      <c r="M6805" s="371">
        <f t="shared" si="425"/>
        <v>14140.759398777594</v>
      </c>
      <c r="N6805" s="329">
        <f t="shared" si="426"/>
        <v>475.64008178710947</v>
      </c>
      <c r="T6805" s="331">
        <v>0</v>
      </c>
      <c r="U6805" s="328">
        <f>VLOOKUP(C6805,METADATA!$J$5:$Q$29,IF(E6805="HI",2,IF(E6805="LO",6,10))+IF(T6805=1,2,IF(D6805=7,1,(IF(WEEKDAY(B6805)=1,2,IF(WEEKDAY(B6805)=7,1,0))))))</f>
        <v>2</v>
      </c>
      <c r="V6805" s="328">
        <f>VLOOKUP(C6805,METADATA!$A$5:$H$29,IF(E6805="HI",2,IF(E6805="LO",6,10))+IF(T6805=1,2,IF(D6805=7,1,(IF(WEEKDAY(B6805)=1,2,IF(WEEKDAY(B6805)=7,1,0))))))</f>
        <v>2</v>
      </c>
    </row>
    <row r="6806" spans="2:22">
      <c r="B6806" s="318">
        <f t="shared" si="423"/>
        <v>46396</v>
      </c>
      <c r="C6806" s="312">
        <v>10</v>
      </c>
      <c r="D6806" s="368">
        <f>IFERROR((INDEX(METADATA!$T$2:$T$20,MATCH(B6806,METADATA!$S$2:$S$20,0))),0)</f>
        <v>0</v>
      </c>
      <c r="E6806" s="312" t="str">
        <f t="shared" si="424"/>
        <v>HI</v>
      </c>
      <c r="F6806" s="369">
        <f>VLOOKUP(C6806,METADATA!$A$5:$H$29,IF(E6806="HI",2,IF(E6806="LO",6,10))+IF(D6806=1,2,IF(D6806=7,1,(IF(WEEKDAY(B6806)=1,2,IF(WEEKDAY(B6806)=7,1,0))))))</f>
        <v>2</v>
      </c>
      <c r="G6806" s="369">
        <f>VLOOKUP(C6806,METADATA!$J$5:$Q$29,IF(E6806="HI",2,IF(E6806="LO",6,10))+IF(D6806=1,2,IF(D6806=7,1,(IF(WEEKDAY(B6806)=1,2,IF(WEEKDAY(B6806)=7,1,0))))))</f>
        <v>2</v>
      </c>
      <c r="H6806" s="370">
        <v>13490.35009765625</v>
      </c>
      <c r="I6806" s="370">
        <v>4548.655029296875</v>
      </c>
      <c r="M6806" s="371">
        <f t="shared" si="425"/>
        <v>14236.56588973906</v>
      </c>
      <c r="N6806" s="329">
        <f t="shared" si="426"/>
        <v>501.55000000000018</v>
      </c>
      <c r="T6806" s="331">
        <v>0</v>
      </c>
      <c r="U6806" s="328">
        <f>VLOOKUP(C6806,METADATA!$J$5:$Q$29,IF(E6806="HI",2,IF(E6806="LO",6,10))+IF(T6806=1,2,IF(D6806=7,1,(IF(WEEKDAY(B6806)=1,2,IF(WEEKDAY(B6806)=7,1,0))))))</f>
        <v>2</v>
      </c>
      <c r="V6806" s="328">
        <f>VLOOKUP(C6806,METADATA!$A$5:$H$29,IF(E6806="HI",2,IF(E6806="LO",6,10))+IF(T6806=1,2,IF(D6806=7,1,(IF(WEEKDAY(B6806)=1,2,IF(WEEKDAY(B6806)=7,1,0))))))</f>
        <v>2</v>
      </c>
    </row>
    <row r="6807" spans="2:22">
      <c r="B6807" s="318">
        <f t="shared" si="423"/>
        <v>46396</v>
      </c>
      <c r="C6807" s="312">
        <v>11</v>
      </c>
      <c r="D6807" s="368">
        <f>IFERROR((INDEX(METADATA!$T$2:$T$20,MATCH(B6807,METADATA!$S$2:$S$20,0))),0)</f>
        <v>0</v>
      </c>
      <c r="E6807" s="312" t="str">
        <f t="shared" si="424"/>
        <v>HI</v>
      </c>
      <c r="F6807" s="369">
        <f>VLOOKUP(C6807,METADATA!$A$5:$H$29,IF(E6807="HI",2,IF(E6807="LO",6,10))+IF(D6807=1,2,IF(D6807=7,1,(IF(WEEKDAY(B6807)=1,2,IF(WEEKDAY(B6807)=7,1,0))))))</f>
        <v>2</v>
      </c>
      <c r="G6807" s="369">
        <f>VLOOKUP(C6807,METADATA!$J$5:$Q$29,IF(E6807="HI",2,IF(E6807="LO",6,10))+IF(D6807=1,2,IF(D6807=7,1,(IF(WEEKDAY(B6807)=1,2,IF(WEEKDAY(B6807)=7,1,0))))))</f>
        <v>2</v>
      </c>
      <c r="H6807" s="370">
        <v>13403.074768066406</v>
      </c>
      <c r="I6807" s="370">
        <v>4485.7749938964844</v>
      </c>
      <c r="M6807" s="371">
        <f t="shared" si="425"/>
        <v>14133.810191673205</v>
      </c>
      <c r="N6807" s="329">
        <f t="shared" si="426"/>
        <v>464.85256347656286</v>
      </c>
      <c r="T6807" s="331">
        <v>0</v>
      </c>
      <c r="U6807" s="328">
        <f>VLOOKUP(C6807,METADATA!$J$5:$Q$29,IF(E6807="HI",2,IF(E6807="LO",6,10))+IF(T6807=1,2,IF(D6807=7,1,(IF(WEEKDAY(B6807)=1,2,IF(WEEKDAY(B6807)=7,1,0))))))</f>
        <v>2</v>
      </c>
      <c r="V6807" s="328">
        <f>VLOOKUP(C6807,METADATA!$A$5:$H$29,IF(E6807="HI",2,IF(E6807="LO",6,10))+IF(T6807=1,2,IF(D6807=7,1,(IF(WEEKDAY(B6807)=1,2,IF(WEEKDAY(B6807)=7,1,0))))))</f>
        <v>2</v>
      </c>
    </row>
    <row r="6808" spans="2:22">
      <c r="B6808" s="318">
        <f t="shared" si="423"/>
        <v>46396</v>
      </c>
      <c r="C6808" s="312">
        <v>12</v>
      </c>
      <c r="D6808" s="368">
        <f>IFERROR((INDEX(METADATA!$T$2:$T$20,MATCH(B6808,METADATA!$S$2:$S$20,0))),0)</f>
        <v>0</v>
      </c>
      <c r="E6808" s="312" t="str">
        <f t="shared" si="424"/>
        <v>HI</v>
      </c>
      <c r="F6808" s="369">
        <f>VLOOKUP(C6808,METADATA!$A$5:$H$29,IF(E6808="HI",2,IF(E6808="LO",6,10))+IF(D6808=1,2,IF(D6808=7,1,(IF(WEEKDAY(B6808)=1,2,IF(WEEKDAY(B6808)=7,1,0))))))</f>
        <v>3</v>
      </c>
      <c r="G6808" s="369">
        <f>VLOOKUP(C6808,METADATA!$J$5:$Q$29,IF(E6808="HI",2,IF(E6808="LO",6,10))+IF(D6808=1,2,IF(D6808=7,1,(IF(WEEKDAY(B6808)=1,2,IF(WEEKDAY(B6808)=7,1,0))))))</f>
        <v>3</v>
      </c>
      <c r="H6808" s="370">
        <v>13216.075073242188</v>
      </c>
      <c r="I6808" s="370">
        <v>4285.1049499511719</v>
      </c>
      <c r="M6808" s="371">
        <f t="shared" si="425"/>
        <v>13893.407241338227</v>
      </c>
      <c r="N6808" s="329">
        <f t="shared" si="426"/>
        <v>320.2824279785159</v>
      </c>
      <c r="T6808" s="331">
        <v>0</v>
      </c>
      <c r="U6808" s="328">
        <f>VLOOKUP(C6808,METADATA!$J$5:$Q$29,IF(E6808="HI",2,IF(E6808="LO",6,10))+IF(T6808=1,2,IF(D6808=7,1,(IF(WEEKDAY(B6808)=1,2,IF(WEEKDAY(B6808)=7,1,0))))))</f>
        <v>3</v>
      </c>
      <c r="V6808" s="328">
        <f>VLOOKUP(C6808,METADATA!$A$5:$H$29,IF(E6808="HI",2,IF(E6808="LO",6,10))+IF(T6808=1,2,IF(D6808=7,1,(IF(WEEKDAY(B6808)=1,2,IF(WEEKDAY(B6808)=7,1,0))))))</f>
        <v>3</v>
      </c>
    </row>
    <row r="6809" spans="2:22">
      <c r="B6809" s="318">
        <f t="shared" si="423"/>
        <v>46396</v>
      </c>
      <c r="C6809" s="312">
        <v>13</v>
      </c>
      <c r="D6809" s="368">
        <f>IFERROR((INDEX(METADATA!$T$2:$T$20,MATCH(B6809,METADATA!$S$2:$S$20,0))),0)</f>
        <v>0</v>
      </c>
      <c r="E6809" s="312" t="str">
        <f t="shared" si="424"/>
        <v>HI</v>
      </c>
      <c r="F6809" s="369">
        <f>VLOOKUP(C6809,METADATA!$A$5:$H$29,IF(E6809="HI",2,IF(E6809="LO",6,10))+IF(D6809=1,2,IF(D6809=7,1,(IF(WEEKDAY(B6809)=1,2,IF(WEEKDAY(B6809)=7,1,0))))))</f>
        <v>3</v>
      </c>
      <c r="G6809" s="369">
        <f>VLOOKUP(C6809,METADATA!$J$5:$Q$29,IF(E6809="HI",2,IF(E6809="LO",6,10))+IF(D6809=1,2,IF(D6809=7,1,(IF(WEEKDAY(B6809)=1,2,IF(WEEKDAY(B6809)=7,1,0))))))</f>
        <v>3</v>
      </c>
      <c r="H6809" s="370">
        <v>12815.375061035156</v>
      </c>
      <c r="I6809" s="370">
        <v>4015.8099365234375</v>
      </c>
      <c r="M6809" s="371">
        <f t="shared" si="425"/>
        <v>13429.838696026181</v>
      </c>
      <c r="N6809" s="329">
        <f t="shared" si="426"/>
        <v>171.19741821289063</v>
      </c>
      <c r="T6809" s="331">
        <v>0</v>
      </c>
      <c r="U6809" s="328">
        <f>VLOOKUP(C6809,METADATA!$J$5:$Q$29,IF(E6809="HI",2,IF(E6809="LO",6,10))+IF(T6809=1,2,IF(D6809=7,1,(IF(WEEKDAY(B6809)=1,2,IF(WEEKDAY(B6809)=7,1,0))))))</f>
        <v>3</v>
      </c>
      <c r="V6809" s="328">
        <f>VLOOKUP(C6809,METADATA!$A$5:$H$29,IF(E6809="HI",2,IF(E6809="LO",6,10))+IF(T6809=1,2,IF(D6809=7,1,(IF(WEEKDAY(B6809)=1,2,IF(WEEKDAY(B6809)=7,1,0))))))</f>
        <v>3</v>
      </c>
    </row>
    <row r="6810" spans="2:22">
      <c r="B6810" s="318">
        <f t="shared" si="423"/>
        <v>46396</v>
      </c>
      <c r="C6810" s="312">
        <v>14</v>
      </c>
      <c r="D6810" s="368">
        <f>IFERROR((INDEX(METADATA!$T$2:$T$20,MATCH(B6810,METADATA!$S$2:$S$20,0))),0)</f>
        <v>0</v>
      </c>
      <c r="E6810" s="312" t="str">
        <f t="shared" si="424"/>
        <v>HI</v>
      </c>
      <c r="F6810" s="369">
        <f>VLOOKUP(C6810,METADATA!$A$5:$H$29,IF(E6810="HI",2,IF(E6810="LO",6,10))+IF(D6810=1,2,IF(D6810=7,1,(IF(WEEKDAY(B6810)=1,2,IF(WEEKDAY(B6810)=7,1,0))))))</f>
        <v>3</v>
      </c>
      <c r="G6810" s="369">
        <f>VLOOKUP(C6810,METADATA!$J$5:$Q$29,IF(E6810="HI",2,IF(E6810="LO",6,10))+IF(D6810=1,2,IF(D6810=7,1,(IF(WEEKDAY(B6810)=1,2,IF(WEEKDAY(B6810)=7,1,0))))))</f>
        <v>3</v>
      </c>
      <c r="H6810" s="370">
        <v>13345.325073242188</v>
      </c>
      <c r="I6810" s="370">
        <v>4426.7249145507813</v>
      </c>
      <c r="M6810" s="371">
        <f t="shared" si="425"/>
        <v>14060.355428637329</v>
      </c>
      <c r="N6810" s="329">
        <f t="shared" si="426"/>
        <v>423.12739257812518</v>
      </c>
      <c r="T6810" s="331">
        <v>0</v>
      </c>
      <c r="U6810" s="328">
        <f>VLOOKUP(C6810,METADATA!$J$5:$Q$29,IF(E6810="HI",2,IF(E6810="LO",6,10))+IF(T6810=1,2,IF(D6810=7,1,(IF(WEEKDAY(B6810)=1,2,IF(WEEKDAY(B6810)=7,1,0))))))</f>
        <v>3</v>
      </c>
      <c r="V6810" s="328">
        <f>VLOOKUP(C6810,METADATA!$A$5:$H$29,IF(E6810="HI",2,IF(E6810="LO",6,10))+IF(T6810=1,2,IF(D6810=7,1,(IF(WEEKDAY(B6810)=1,2,IF(WEEKDAY(B6810)=7,1,0))))))</f>
        <v>3</v>
      </c>
    </row>
    <row r="6811" spans="2:22">
      <c r="B6811" s="318">
        <f t="shared" si="423"/>
        <v>46396</v>
      </c>
      <c r="C6811" s="312">
        <v>15</v>
      </c>
      <c r="D6811" s="368">
        <f>IFERROR((INDEX(METADATA!$T$2:$T$20,MATCH(B6811,METADATA!$S$2:$S$20,0))),0)</f>
        <v>0</v>
      </c>
      <c r="E6811" s="312" t="str">
        <f t="shared" si="424"/>
        <v>HI</v>
      </c>
      <c r="F6811" s="369">
        <f>VLOOKUP(C6811,METADATA!$A$5:$H$29,IF(E6811="HI",2,IF(E6811="LO",6,10))+IF(D6811=1,2,IF(D6811=7,1,(IF(WEEKDAY(B6811)=1,2,IF(WEEKDAY(B6811)=7,1,0))))))</f>
        <v>3</v>
      </c>
      <c r="G6811" s="369">
        <f>VLOOKUP(C6811,METADATA!$J$5:$Q$29,IF(E6811="HI",2,IF(E6811="LO",6,10))+IF(D6811=1,2,IF(D6811=7,1,(IF(WEEKDAY(B6811)=1,2,IF(WEEKDAY(B6811)=7,1,0))))))</f>
        <v>3</v>
      </c>
      <c r="H6811" s="370">
        <v>13287.350036621094</v>
      </c>
      <c r="I6811" s="370">
        <v>4415.1349792480469</v>
      </c>
      <c r="M6811" s="371">
        <f t="shared" si="425"/>
        <v>14001.681609030904</v>
      </c>
      <c r="N6811" s="329">
        <f t="shared" si="426"/>
        <v>428.92996826171884</v>
      </c>
      <c r="T6811" s="331">
        <v>0</v>
      </c>
      <c r="U6811" s="328">
        <f>VLOOKUP(C6811,METADATA!$J$5:$Q$29,IF(E6811="HI",2,IF(E6811="LO",6,10))+IF(T6811=1,2,IF(D6811=7,1,(IF(WEEKDAY(B6811)=1,2,IF(WEEKDAY(B6811)=7,1,0))))))</f>
        <v>3</v>
      </c>
      <c r="V6811" s="328">
        <f>VLOOKUP(C6811,METADATA!$A$5:$H$29,IF(E6811="HI",2,IF(E6811="LO",6,10))+IF(T6811=1,2,IF(D6811=7,1,(IF(WEEKDAY(B6811)=1,2,IF(WEEKDAY(B6811)=7,1,0))))))</f>
        <v>3</v>
      </c>
    </row>
    <row r="6812" spans="2:22">
      <c r="B6812" s="318">
        <f t="shared" ref="B6812:B6875" si="427">B6788+1</f>
        <v>46396</v>
      </c>
      <c r="C6812" s="312">
        <v>16</v>
      </c>
      <c r="D6812" s="368">
        <f>IFERROR((INDEX(METADATA!$T$2:$T$20,MATCH(B6812,METADATA!$S$2:$S$20,0))),0)</f>
        <v>0</v>
      </c>
      <c r="E6812" s="312" t="str">
        <f t="shared" si="424"/>
        <v>HI</v>
      </c>
      <c r="F6812" s="369">
        <f>VLOOKUP(C6812,METADATA!$A$5:$H$29,IF(E6812="HI",2,IF(E6812="LO",6,10))+IF(D6812=1,2,IF(D6812=7,1,(IF(WEEKDAY(B6812)=1,2,IF(WEEKDAY(B6812)=7,1,0))))))</f>
        <v>3</v>
      </c>
      <c r="G6812" s="369">
        <f>VLOOKUP(C6812,METADATA!$J$5:$Q$29,IF(E6812="HI",2,IF(E6812="LO",6,10))+IF(D6812=1,2,IF(D6812=7,1,(IF(WEEKDAY(B6812)=1,2,IF(WEEKDAY(B6812)=7,1,0))))))</f>
        <v>3</v>
      </c>
      <c r="H6812" s="370">
        <v>13459.924987792969</v>
      </c>
      <c r="I6812" s="370">
        <v>4494.9749755859375</v>
      </c>
      <c r="M6812" s="371">
        <f t="shared" si="425"/>
        <v>14190.644125907653</v>
      </c>
      <c r="N6812" s="329">
        <f t="shared" si="426"/>
        <v>456.99747924804706</v>
      </c>
      <c r="T6812" s="331">
        <v>0</v>
      </c>
      <c r="U6812" s="328">
        <f>VLOOKUP(C6812,METADATA!$J$5:$Q$29,IF(E6812="HI",2,IF(E6812="LO",6,10))+IF(T6812=1,2,IF(D6812=7,1,(IF(WEEKDAY(B6812)=1,2,IF(WEEKDAY(B6812)=7,1,0))))))</f>
        <v>3</v>
      </c>
      <c r="V6812" s="328">
        <f>VLOOKUP(C6812,METADATA!$A$5:$H$29,IF(E6812="HI",2,IF(E6812="LO",6,10))+IF(T6812=1,2,IF(D6812=7,1,(IF(WEEKDAY(B6812)=1,2,IF(WEEKDAY(B6812)=7,1,0))))))</f>
        <v>3</v>
      </c>
    </row>
    <row r="6813" spans="2:22">
      <c r="B6813" s="318">
        <f t="shared" si="427"/>
        <v>46396</v>
      </c>
      <c r="C6813" s="312">
        <v>17</v>
      </c>
      <c r="D6813" s="368">
        <f>IFERROR((INDEX(METADATA!$T$2:$T$20,MATCH(B6813,METADATA!$S$2:$S$20,0))),0)</f>
        <v>0</v>
      </c>
      <c r="E6813" s="312" t="str">
        <f t="shared" si="424"/>
        <v>HI</v>
      </c>
      <c r="F6813" s="369">
        <f>VLOOKUP(C6813,METADATA!$A$5:$H$29,IF(E6813="HI",2,IF(E6813="LO",6,10))+IF(D6813=1,2,IF(D6813=7,1,(IF(WEEKDAY(B6813)=1,2,IF(WEEKDAY(B6813)=7,1,0))))))</f>
        <v>2</v>
      </c>
      <c r="G6813" s="369">
        <f>VLOOKUP(C6813,METADATA!$J$5:$Q$29,IF(E6813="HI",2,IF(E6813="LO",6,10))+IF(D6813=1,2,IF(D6813=7,1,(IF(WEEKDAY(B6813)=1,2,IF(WEEKDAY(B6813)=7,1,0))))))</f>
        <v>2</v>
      </c>
      <c r="H6813" s="370">
        <v>13388.274780273438</v>
      </c>
      <c r="I6813" s="370">
        <v>4397.875</v>
      </c>
      <c r="M6813" s="371">
        <f t="shared" si="425"/>
        <v>14092.097292728671</v>
      </c>
      <c r="N6813" s="329">
        <f t="shared" si="426"/>
        <v>381.39256591796902</v>
      </c>
      <c r="T6813" s="331">
        <v>0</v>
      </c>
      <c r="U6813" s="328">
        <f>VLOOKUP(C6813,METADATA!$J$5:$Q$29,IF(E6813="HI",2,IF(E6813="LO",6,10))+IF(T6813=1,2,IF(D6813=7,1,(IF(WEEKDAY(B6813)=1,2,IF(WEEKDAY(B6813)=7,1,0))))))</f>
        <v>2</v>
      </c>
      <c r="V6813" s="328">
        <f>VLOOKUP(C6813,METADATA!$A$5:$H$29,IF(E6813="HI",2,IF(E6813="LO",6,10))+IF(T6813=1,2,IF(D6813=7,1,(IF(WEEKDAY(B6813)=1,2,IF(WEEKDAY(B6813)=7,1,0))))))</f>
        <v>2</v>
      </c>
    </row>
    <row r="6814" spans="2:22">
      <c r="B6814" s="318">
        <f t="shared" si="427"/>
        <v>46396</v>
      </c>
      <c r="C6814" s="312">
        <v>18</v>
      </c>
      <c r="D6814" s="368">
        <f>IFERROR((INDEX(METADATA!$T$2:$T$20,MATCH(B6814,METADATA!$S$2:$S$20,0))),0)</f>
        <v>0</v>
      </c>
      <c r="E6814" s="312" t="str">
        <f t="shared" si="424"/>
        <v>HI</v>
      </c>
      <c r="F6814" s="369">
        <f>VLOOKUP(C6814,METADATA!$A$5:$H$29,IF(E6814="HI",2,IF(E6814="LO",6,10))+IF(D6814=1,2,IF(D6814=7,1,(IF(WEEKDAY(B6814)=1,2,IF(WEEKDAY(B6814)=7,1,0))))))</f>
        <v>2</v>
      </c>
      <c r="G6814" s="369">
        <f>VLOOKUP(C6814,METADATA!$J$5:$Q$29,IF(E6814="HI",2,IF(E6814="LO",6,10))+IF(D6814=1,2,IF(D6814=7,1,(IF(WEEKDAY(B6814)=1,2,IF(WEEKDAY(B6814)=7,1,0))))))</f>
        <v>2</v>
      </c>
      <c r="H6814" s="370">
        <v>13565.225219726563</v>
      </c>
      <c r="I6814" s="370">
        <v>4465.8050231933594</v>
      </c>
      <c r="M6814" s="371">
        <f t="shared" si="425"/>
        <v>14281.412737088884</v>
      </c>
      <c r="N6814" s="329">
        <f t="shared" si="426"/>
        <v>396.23745727539063</v>
      </c>
      <c r="T6814" s="331">
        <v>0</v>
      </c>
      <c r="U6814" s="328">
        <f>VLOOKUP(C6814,METADATA!$J$5:$Q$29,IF(E6814="HI",2,IF(E6814="LO",6,10))+IF(T6814=1,2,IF(D6814=7,1,(IF(WEEKDAY(B6814)=1,2,IF(WEEKDAY(B6814)=7,1,0))))))</f>
        <v>2</v>
      </c>
      <c r="V6814" s="328">
        <f>VLOOKUP(C6814,METADATA!$A$5:$H$29,IF(E6814="HI",2,IF(E6814="LO",6,10))+IF(T6814=1,2,IF(D6814=7,1,(IF(WEEKDAY(B6814)=1,2,IF(WEEKDAY(B6814)=7,1,0))))))</f>
        <v>2</v>
      </c>
    </row>
    <row r="6815" spans="2:22">
      <c r="B6815" s="318">
        <f t="shared" si="427"/>
        <v>46396</v>
      </c>
      <c r="C6815" s="312">
        <v>19</v>
      </c>
      <c r="D6815" s="368">
        <f>IFERROR((INDEX(METADATA!$T$2:$T$20,MATCH(B6815,METADATA!$S$2:$S$20,0))),0)</f>
        <v>0</v>
      </c>
      <c r="E6815" s="312" t="str">
        <f t="shared" si="424"/>
        <v>HI</v>
      </c>
      <c r="F6815" s="369">
        <f>VLOOKUP(C6815,METADATA!$A$5:$H$29,IF(E6815="HI",2,IF(E6815="LO",6,10))+IF(D6815=1,2,IF(D6815=7,1,(IF(WEEKDAY(B6815)=1,2,IF(WEEKDAY(B6815)=7,1,0))))))</f>
        <v>3</v>
      </c>
      <c r="G6815" s="369">
        <f>VLOOKUP(C6815,METADATA!$J$5:$Q$29,IF(E6815="HI",2,IF(E6815="LO",6,10))+IF(D6815=1,2,IF(D6815=7,1,(IF(WEEKDAY(B6815)=1,2,IF(WEEKDAY(B6815)=7,1,0))))))</f>
        <v>3</v>
      </c>
      <c r="H6815" s="370">
        <v>13668.074829101563</v>
      </c>
      <c r="I6815" s="370">
        <v>4408.135009765625</v>
      </c>
      <c r="M6815" s="371">
        <f t="shared" si="425"/>
        <v>14361.334332096063</v>
      </c>
      <c r="N6815" s="329">
        <f t="shared" si="426"/>
        <v>307.7125610351568</v>
      </c>
      <c r="T6815" s="331">
        <v>0</v>
      </c>
      <c r="U6815" s="328">
        <f>VLOOKUP(C6815,METADATA!$J$5:$Q$29,IF(E6815="HI",2,IF(E6815="LO",6,10))+IF(T6815=1,2,IF(D6815=7,1,(IF(WEEKDAY(B6815)=1,2,IF(WEEKDAY(B6815)=7,1,0))))))</f>
        <v>3</v>
      </c>
      <c r="V6815" s="328">
        <f>VLOOKUP(C6815,METADATA!$A$5:$H$29,IF(E6815="HI",2,IF(E6815="LO",6,10))+IF(T6815=1,2,IF(D6815=7,1,(IF(WEEKDAY(B6815)=1,2,IF(WEEKDAY(B6815)=7,1,0))))))</f>
        <v>3</v>
      </c>
    </row>
    <row r="6816" spans="2:22">
      <c r="B6816" s="318">
        <f t="shared" si="427"/>
        <v>46396</v>
      </c>
      <c r="C6816" s="312">
        <v>20</v>
      </c>
      <c r="D6816" s="368">
        <f>IFERROR((INDEX(METADATA!$T$2:$T$20,MATCH(B6816,METADATA!$S$2:$S$20,0))),0)</f>
        <v>0</v>
      </c>
      <c r="E6816" s="312" t="str">
        <f t="shared" si="424"/>
        <v>HI</v>
      </c>
      <c r="F6816" s="369">
        <f>VLOOKUP(C6816,METADATA!$A$5:$H$29,IF(E6816="HI",2,IF(E6816="LO",6,10))+IF(D6816=1,2,IF(D6816=7,1,(IF(WEEKDAY(B6816)=1,2,IF(WEEKDAY(B6816)=7,1,0))))))</f>
        <v>3</v>
      </c>
      <c r="G6816" s="369">
        <f>VLOOKUP(C6816,METADATA!$J$5:$Q$29,IF(E6816="HI",2,IF(E6816="LO",6,10))+IF(D6816=1,2,IF(D6816=7,1,(IF(WEEKDAY(B6816)=1,2,IF(WEEKDAY(B6816)=7,1,0))))))</f>
        <v>3</v>
      </c>
      <c r="H6816" s="370">
        <v>13675.75</v>
      </c>
      <c r="I6816" s="370">
        <v>4473.114990234375</v>
      </c>
      <c r="M6816" s="371">
        <f t="shared" si="425"/>
        <v>14388.707230962742</v>
      </c>
      <c r="N6816" s="329">
        <f t="shared" si="426"/>
        <v>370.38999023437555</v>
      </c>
      <c r="T6816" s="331">
        <v>0</v>
      </c>
      <c r="U6816" s="328">
        <f>VLOOKUP(C6816,METADATA!$J$5:$Q$29,IF(E6816="HI",2,IF(E6816="LO",6,10))+IF(T6816=1,2,IF(D6816=7,1,(IF(WEEKDAY(B6816)=1,2,IF(WEEKDAY(B6816)=7,1,0))))))</f>
        <v>3</v>
      </c>
      <c r="V6816" s="328">
        <f>VLOOKUP(C6816,METADATA!$A$5:$H$29,IF(E6816="HI",2,IF(E6816="LO",6,10))+IF(T6816=1,2,IF(D6816=7,1,(IF(WEEKDAY(B6816)=1,2,IF(WEEKDAY(B6816)=7,1,0))))))</f>
        <v>3</v>
      </c>
    </row>
    <row r="6817" spans="2:22">
      <c r="B6817" s="318">
        <f t="shared" si="427"/>
        <v>46396</v>
      </c>
      <c r="C6817" s="312">
        <v>21</v>
      </c>
      <c r="D6817" s="368">
        <f>IFERROR((INDEX(METADATA!$T$2:$T$20,MATCH(B6817,METADATA!$S$2:$S$20,0))),0)</f>
        <v>0</v>
      </c>
      <c r="E6817" s="312" t="str">
        <f t="shared" si="424"/>
        <v>HI</v>
      </c>
      <c r="F6817" s="369">
        <f>VLOOKUP(C6817,METADATA!$A$5:$H$29,IF(E6817="HI",2,IF(E6817="LO",6,10))+IF(D6817=1,2,IF(D6817=7,1,(IF(WEEKDAY(B6817)=1,2,IF(WEEKDAY(B6817)=7,1,0))))))</f>
        <v>3</v>
      </c>
      <c r="G6817" s="369">
        <f>VLOOKUP(C6817,METADATA!$J$5:$Q$29,IF(E6817="HI",2,IF(E6817="LO",6,10))+IF(D6817=1,2,IF(D6817=7,1,(IF(WEEKDAY(B6817)=1,2,IF(WEEKDAY(B6817)=7,1,0))))))</f>
        <v>3</v>
      </c>
      <c r="H6817" s="370">
        <v>13672.024841308594</v>
      </c>
      <c r="I6817" s="370">
        <v>4529.1499633789063</v>
      </c>
      <c r="M6817" s="371">
        <f t="shared" si="425"/>
        <v>14402.689424275399</v>
      </c>
      <c r="N6817" s="329">
        <f t="shared" si="426"/>
        <v>427.54251098632813</v>
      </c>
      <c r="T6817" s="331">
        <v>0</v>
      </c>
      <c r="U6817" s="328">
        <f>VLOOKUP(C6817,METADATA!$J$5:$Q$29,IF(E6817="HI",2,IF(E6817="LO",6,10))+IF(T6817=1,2,IF(D6817=7,1,(IF(WEEKDAY(B6817)=1,2,IF(WEEKDAY(B6817)=7,1,0))))))</f>
        <v>3</v>
      </c>
      <c r="V6817" s="328">
        <f>VLOOKUP(C6817,METADATA!$A$5:$H$29,IF(E6817="HI",2,IF(E6817="LO",6,10))+IF(T6817=1,2,IF(D6817=7,1,(IF(WEEKDAY(B6817)=1,2,IF(WEEKDAY(B6817)=7,1,0))))))</f>
        <v>3</v>
      </c>
    </row>
    <row r="6818" spans="2:22">
      <c r="B6818" s="318">
        <f t="shared" si="427"/>
        <v>46396</v>
      </c>
      <c r="C6818" s="312">
        <v>22</v>
      </c>
      <c r="D6818" s="368">
        <f>IFERROR((INDEX(METADATA!$T$2:$T$20,MATCH(B6818,METADATA!$S$2:$S$20,0))),0)</f>
        <v>0</v>
      </c>
      <c r="E6818" s="312" t="str">
        <f t="shared" si="424"/>
        <v>HI</v>
      </c>
      <c r="F6818" s="369">
        <f>VLOOKUP(C6818,METADATA!$A$5:$H$29,IF(E6818="HI",2,IF(E6818="LO",6,10))+IF(D6818=1,2,IF(D6818=7,1,(IF(WEEKDAY(B6818)=1,2,IF(WEEKDAY(B6818)=7,1,0))))))</f>
        <v>3</v>
      </c>
      <c r="G6818" s="369">
        <f>VLOOKUP(C6818,METADATA!$J$5:$Q$29,IF(E6818="HI",2,IF(E6818="LO",6,10))+IF(D6818=1,2,IF(D6818=7,1,(IF(WEEKDAY(B6818)=1,2,IF(WEEKDAY(B6818)=7,1,0))))))</f>
        <v>3</v>
      </c>
      <c r="H6818" s="370">
        <v>13486.725036621094</v>
      </c>
      <c r="I6818" s="370">
        <v>4486.8600463867188</v>
      </c>
      <c r="M6818" s="371">
        <f t="shared" si="425"/>
        <v>14213.502921140996</v>
      </c>
      <c r="N6818" s="329">
        <f t="shared" si="426"/>
        <v>440.84253540039072</v>
      </c>
      <c r="T6818" s="331">
        <v>0</v>
      </c>
      <c r="U6818" s="328">
        <f>VLOOKUP(C6818,METADATA!$J$5:$Q$29,IF(E6818="HI",2,IF(E6818="LO",6,10))+IF(T6818=1,2,IF(D6818=7,1,(IF(WEEKDAY(B6818)=1,2,IF(WEEKDAY(B6818)=7,1,0))))))</f>
        <v>3</v>
      </c>
      <c r="V6818" s="328">
        <f>VLOOKUP(C6818,METADATA!$A$5:$H$29,IF(E6818="HI",2,IF(E6818="LO",6,10))+IF(T6818=1,2,IF(D6818=7,1,(IF(WEEKDAY(B6818)=1,2,IF(WEEKDAY(B6818)=7,1,0))))))</f>
        <v>3</v>
      </c>
    </row>
    <row r="6819" spans="2:22">
      <c r="B6819" s="318">
        <f t="shared" si="427"/>
        <v>46396</v>
      </c>
      <c r="C6819" s="312">
        <v>23</v>
      </c>
      <c r="D6819" s="368">
        <f>IFERROR((INDEX(METADATA!$T$2:$T$20,MATCH(B6819,METADATA!$S$2:$S$20,0))),0)</f>
        <v>0</v>
      </c>
      <c r="E6819" s="312" t="str">
        <f t="shared" si="424"/>
        <v>HI</v>
      </c>
      <c r="F6819" s="369">
        <f>VLOOKUP(C6819,METADATA!$A$5:$H$29,IF(E6819="HI",2,IF(E6819="LO",6,10))+IF(D6819=1,2,IF(D6819=7,1,(IF(WEEKDAY(B6819)=1,2,IF(WEEKDAY(B6819)=7,1,0))))))</f>
        <v>3</v>
      </c>
      <c r="G6819" s="369">
        <f>VLOOKUP(C6819,METADATA!$J$5:$Q$29,IF(E6819="HI",2,IF(E6819="LO",6,10))+IF(D6819=1,2,IF(D6819=7,1,(IF(WEEKDAY(B6819)=1,2,IF(WEEKDAY(B6819)=7,1,0))))))</f>
        <v>3</v>
      </c>
      <c r="H6819" s="370">
        <v>13298.900390625</v>
      </c>
      <c r="I6819" s="370">
        <v>4449.3699340820313</v>
      </c>
      <c r="M6819" s="371">
        <f t="shared" si="425"/>
        <v>14023.467631441195</v>
      </c>
      <c r="N6819" s="329">
        <f t="shared" si="426"/>
        <v>459.69981689453152</v>
      </c>
      <c r="T6819" s="331">
        <v>0</v>
      </c>
      <c r="U6819" s="328">
        <f>VLOOKUP(C6819,METADATA!$J$5:$Q$29,IF(E6819="HI",2,IF(E6819="LO",6,10))+IF(T6819=1,2,IF(D6819=7,1,(IF(WEEKDAY(B6819)=1,2,IF(WEEKDAY(B6819)=7,1,0))))))</f>
        <v>3</v>
      </c>
      <c r="V6819" s="328">
        <f>VLOOKUP(C6819,METADATA!$A$5:$H$29,IF(E6819="HI",2,IF(E6819="LO",6,10))+IF(T6819=1,2,IF(D6819=7,1,(IF(WEEKDAY(B6819)=1,2,IF(WEEKDAY(B6819)=7,1,0))))))</f>
        <v>3</v>
      </c>
    </row>
    <row r="6820" spans="2:22">
      <c r="B6820" s="318">
        <f t="shared" si="427"/>
        <v>46397</v>
      </c>
      <c r="C6820" s="312">
        <v>0</v>
      </c>
      <c r="D6820" s="368">
        <f>IFERROR((INDEX(METADATA!$T$2:$T$20,MATCH(B6820,METADATA!$S$2:$S$20,0))),0)</f>
        <v>0</v>
      </c>
      <c r="E6820" s="312" t="str">
        <f t="shared" si="424"/>
        <v>HI</v>
      </c>
      <c r="F6820" s="369">
        <f>VLOOKUP(C6820,METADATA!$A$5:$H$29,IF(E6820="HI",2,IF(E6820="LO",6,10))+IF(D6820=1,2,IF(D6820=7,1,(IF(WEEKDAY(B6820)=1,2,IF(WEEKDAY(B6820)=7,1,0))))))</f>
        <v>3</v>
      </c>
      <c r="G6820" s="369">
        <f>VLOOKUP(C6820,METADATA!$J$5:$Q$29,IF(E6820="HI",2,IF(E6820="LO",6,10))+IF(D6820=1,2,IF(D6820=7,1,(IF(WEEKDAY(B6820)=1,2,IF(WEEKDAY(B6820)=7,1,0))))))</f>
        <v>3</v>
      </c>
      <c r="H6820" s="370">
        <v>13510.904541015625</v>
      </c>
      <c r="I6820" s="370">
        <v>4538.6705017089844</v>
      </c>
      <c r="M6820" s="371">
        <f t="shared" si="425"/>
        <v>14252.861868394008</v>
      </c>
      <c r="N6820" s="329">
        <f t="shared" si="426"/>
        <v>485.39913940429688</v>
      </c>
      <c r="T6820" s="331">
        <v>0</v>
      </c>
      <c r="U6820" s="328">
        <f>VLOOKUP(C6820,METADATA!$J$5:$Q$29,IF(E6820="HI",2,IF(E6820="LO",6,10))+IF(T6820=1,2,IF(D6820=7,1,(IF(WEEKDAY(B6820)=1,2,IF(WEEKDAY(B6820)=7,1,0))))))</f>
        <v>3</v>
      </c>
      <c r="V6820" s="328">
        <f>VLOOKUP(C6820,METADATA!$A$5:$H$29,IF(E6820="HI",2,IF(E6820="LO",6,10))+IF(T6820=1,2,IF(D6820=7,1,(IF(WEEKDAY(B6820)=1,2,IF(WEEKDAY(B6820)=7,1,0))))))</f>
        <v>3</v>
      </c>
    </row>
    <row r="6821" spans="2:22">
      <c r="B6821" s="318">
        <f t="shared" si="427"/>
        <v>46397</v>
      </c>
      <c r="C6821" s="312">
        <v>1</v>
      </c>
      <c r="D6821" s="368">
        <f>IFERROR((INDEX(METADATA!$T$2:$T$20,MATCH(B6821,METADATA!$S$2:$S$20,0))),0)</f>
        <v>0</v>
      </c>
      <c r="E6821" s="312" t="str">
        <f t="shared" si="424"/>
        <v>HI</v>
      </c>
      <c r="F6821" s="369">
        <f>VLOOKUP(C6821,METADATA!$A$5:$H$29,IF(E6821="HI",2,IF(E6821="LO",6,10))+IF(D6821=1,2,IF(D6821=7,1,(IF(WEEKDAY(B6821)=1,2,IF(WEEKDAY(B6821)=7,1,0))))))</f>
        <v>3</v>
      </c>
      <c r="G6821" s="369">
        <f>VLOOKUP(C6821,METADATA!$J$5:$Q$29,IF(E6821="HI",2,IF(E6821="LO",6,10))+IF(D6821=1,2,IF(D6821=7,1,(IF(WEEKDAY(B6821)=1,2,IF(WEEKDAY(B6821)=7,1,0))))))</f>
        <v>3</v>
      </c>
      <c r="H6821" s="370">
        <v>13375.574951171875</v>
      </c>
      <c r="I6821" s="370">
        <v>4662.3450927734375</v>
      </c>
      <c r="M6821" s="371">
        <f t="shared" si="425"/>
        <v>14164.867349838651</v>
      </c>
      <c r="N6821" s="329">
        <f t="shared" si="426"/>
        <v>649.672607421875</v>
      </c>
      <c r="T6821" s="331">
        <v>0</v>
      </c>
      <c r="U6821" s="328">
        <f>VLOOKUP(C6821,METADATA!$J$5:$Q$29,IF(E6821="HI",2,IF(E6821="LO",6,10))+IF(T6821=1,2,IF(D6821=7,1,(IF(WEEKDAY(B6821)=1,2,IF(WEEKDAY(B6821)=7,1,0))))))</f>
        <v>3</v>
      </c>
      <c r="V6821" s="328">
        <f>VLOOKUP(C6821,METADATA!$A$5:$H$29,IF(E6821="HI",2,IF(E6821="LO",6,10))+IF(T6821=1,2,IF(D6821=7,1,(IF(WEEKDAY(B6821)=1,2,IF(WEEKDAY(B6821)=7,1,0))))))</f>
        <v>3</v>
      </c>
    </row>
    <row r="6822" spans="2:22">
      <c r="B6822" s="318">
        <f t="shared" si="427"/>
        <v>46397</v>
      </c>
      <c r="C6822" s="312">
        <v>2</v>
      </c>
      <c r="D6822" s="368">
        <f>IFERROR((INDEX(METADATA!$T$2:$T$20,MATCH(B6822,METADATA!$S$2:$S$20,0))),0)</f>
        <v>0</v>
      </c>
      <c r="E6822" s="312" t="str">
        <f t="shared" si="424"/>
        <v>HI</v>
      </c>
      <c r="F6822" s="369">
        <f>VLOOKUP(C6822,METADATA!$A$5:$H$29,IF(E6822="HI",2,IF(E6822="LO",6,10))+IF(D6822=1,2,IF(D6822=7,1,(IF(WEEKDAY(B6822)=1,2,IF(WEEKDAY(B6822)=7,1,0))))))</f>
        <v>3</v>
      </c>
      <c r="G6822" s="369">
        <f>VLOOKUP(C6822,METADATA!$J$5:$Q$29,IF(E6822="HI",2,IF(E6822="LO",6,10))+IF(D6822=1,2,IF(D6822=7,1,(IF(WEEKDAY(B6822)=1,2,IF(WEEKDAY(B6822)=7,1,0))))))</f>
        <v>3</v>
      </c>
      <c r="H6822" s="370">
        <v>13394.025146484375</v>
      </c>
      <c r="I6822" s="370">
        <v>4557.9349670410156</v>
      </c>
      <c r="M6822" s="371">
        <f t="shared" si="425"/>
        <v>14148.31017430813</v>
      </c>
      <c r="N6822" s="329">
        <f t="shared" si="426"/>
        <v>539.72742309570322</v>
      </c>
      <c r="T6822" s="331">
        <v>0</v>
      </c>
      <c r="U6822" s="328">
        <f>VLOOKUP(C6822,METADATA!$J$5:$Q$29,IF(E6822="HI",2,IF(E6822="LO",6,10))+IF(T6822=1,2,IF(D6822=7,1,(IF(WEEKDAY(B6822)=1,2,IF(WEEKDAY(B6822)=7,1,0))))))</f>
        <v>3</v>
      </c>
      <c r="V6822" s="328">
        <f>VLOOKUP(C6822,METADATA!$A$5:$H$29,IF(E6822="HI",2,IF(E6822="LO",6,10))+IF(T6822=1,2,IF(D6822=7,1,(IF(WEEKDAY(B6822)=1,2,IF(WEEKDAY(B6822)=7,1,0))))))</f>
        <v>3</v>
      </c>
    </row>
    <row r="6823" spans="2:22">
      <c r="B6823" s="318">
        <f t="shared" si="427"/>
        <v>46397</v>
      </c>
      <c r="C6823" s="312">
        <v>3</v>
      </c>
      <c r="D6823" s="368">
        <f>IFERROR((INDEX(METADATA!$T$2:$T$20,MATCH(B6823,METADATA!$S$2:$S$20,0))),0)</f>
        <v>0</v>
      </c>
      <c r="E6823" s="312" t="str">
        <f t="shared" si="424"/>
        <v>HI</v>
      </c>
      <c r="F6823" s="369">
        <f>VLOOKUP(C6823,METADATA!$A$5:$H$29,IF(E6823="HI",2,IF(E6823="LO",6,10))+IF(D6823=1,2,IF(D6823=7,1,(IF(WEEKDAY(B6823)=1,2,IF(WEEKDAY(B6823)=7,1,0))))))</f>
        <v>3</v>
      </c>
      <c r="G6823" s="369">
        <f>VLOOKUP(C6823,METADATA!$J$5:$Q$29,IF(E6823="HI",2,IF(E6823="LO",6,10))+IF(D6823=1,2,IF(D6823=7,1,(IF(WEEKDAY(B6823)=1,2,IF(WEEKDAY(B6823)=7,1,0))))))</f>
        <v>3</v>
      </c>
      <c r="H6823" s="370">
        <v>13417.475402832031</v>
      </c>
      <c r="I6823" s="370">
        <v>4499.1750183105469</v>
      </c>
      <c r="M6823" s="371">
        <f t="shared" si="425"/>
        <v>14151.721521814661</v>
      </c>
      <c r="N6823" s="329">
        <f t="shared" si="426"/>
        <v>473.93239746093786</v>
      </c>
      <c r="T6823" s="331">
        <v>0</v>
      </c>
      <c r="U6823" s="328">
        <f>VLOOKUP(C6823,METADATA!$J$5:$Q$29,IF(E6823="HI",2,IF(E6823="LO",6,10))+IF(T6823=1,2,IF(D6823=7,1,(IF(WEEKDAY(B6823)=1,2,IF(WEEKDAY(B6823)=7,1,0))))))</f>
        <v>3</v>
      </c>
      <c r="V6823" s="328">
        <f>VLOOKUP(C6823,METADATA!$A$5:$H$29,IF(E6823="HI",2,IF(E6823="LO",6,10))+IF(T6823=1,2,IF(D6823=7,1,(IF(WEEKDAY(B6823)=1,2,IF(WEEKDAY(B6823)=7,1,0))))))</f>
        <v>3</v>
      </c>
    </row>
    <row r="6824" spans="2:22">
      <c r="B6824" s="318">
        <f t="shared" si="427"/>
        <v>46397</v>
      </c>
      <c r="C6824" s="312">
        <v>4</v>
      </c>
      <c r="D6824" s="368">
        <f>IFERROR((INDEX(METADATA!$T$2:$T$20,MATCH(B6824,METADATA!$S$2:$S$20,0))),0)</f>
        <v>0</v>
      </c>
      <c r="E6824" s="312" t="str">
        <f t="shared" si="424"/>
        <v>HI</v>
      </c>
      <c r="F6824" s="369">
        <f>VLOOKUP(C6824,METADATA!$A$5:$H$29,IF(E6824="HI",2,IF(E6824="LO",6,10))+IF(D6824=1,2,IF(D6824=7,1,(IF(WEEKDAY(B6824)=1,2,IF(WEEKDAY(B6824)=7,1,0))))))</f>
        <v>3</v>
      </c>
      <c r="G6824" s="369">
        <f>VLOOKUP(C6824,METADATA!$J$5:$Q$29,IF(E6824="HI",2,IF(E6824="LO",6,10))+IF(D6824=1,2,IF(D6824=7,1,(IF(WEEKDAY(B6824)=1,2,IF(WEEKDAY(B6824)=7,1,0))))))</f>
        <v>3</v>
      </c>
      <c r="H6824" s="370">
        <v>13392.024475097656</v>
      </c>
      <c r="I6824" s="370">
        <v>4555.7050476074219</v>
      </c>
      <c r="M6824" s="371">
        <f t="shared" si="425"/>
        <v>14145.697862686393</v>
      </c>
      <c r="N6824" s="329">
        <f t="shared" si="426"/>
        <v>538.09770507812527</v>
      </c>
      <c r="T6824" s="331">
        <v>0</v>
      </c>
      <c r="U6824" s="328">
        <f>VLOOKUP(C6824,METADATA!$J$5:$Q$29,IF(E6824="HI",2,IF(E6824="LO",6,10))+IF(T6824=1,2,IF(D6824=7,1,(IF(WEEKDAY(B6824)=1,2,IF(WEEKDAY(B6824)=7,1,0))))))</f>
        <v>3</v>
      </c>
      <c r="V6824" s="328">
        <f>VLOOKUP(C6824,METADATA!$A$5:$H$29,IF(E6824="HI",2,IF(E6824="LO",6,10))+IF(T6824=1,2,IF(D6824=7,1,(IF(WEEKDAY(B6824)=1,2,IF(WEEKDAY(B6824)=7,1,0))))))</f>
        <v>3</v>
      </c>
    </row>
    <row r="6825" spans="2:22">
      <c r="B6825" s="318">
        <f t="shared" si="427"/>
        <v>46397</v>
      </c>
      <c r="C6825" s="312">
        <v>5</v>
      </c>
      <c r="D6825" s="368">
        <f>IFERROR((INDEX(METADATA!$T$2:$T$20,MATCH(B6825,METADATA!$S$2:$S$20,0))),0)</f>
        <v>0</v>
      </c>
      <c r="E6825" s="312" t="str">
        <f t="shared" si="424"/>
        <v>HI</v>
      </c>
      <c r="F6825" s="369">
        <f>VLOOKUP(C6825,METADATA!$A$5:$H$29,IF(E6825="HI",2,IF(E6825="LO",6,10))+IF(D6825=1,2,IF(D6825=7,1,(IF(WEEKDAY(B6825)=1,2,IF(WEEKDAY(B6825)=7,1,0))))))</f>
        <v>3</v>
      </c>
      <c r="G6825" s="369">
        <f>VLOOKUP(C6825,METADATA!$J$5:$Q$29,IF(E6825="HI",2,IF(E6825="LO",6,10))+IF(D6825=1,2,IF(D6825=7,1,(IF(WEEKDAY(B6825)=1,2,IF(WEEKDAY(B6825)=7,1,0))))))</f>
        <v>3</v>
      </c>
      <c r="H6825" s="370">
        <v>13390.200378417969</v>
      </c>
      <c r="I6825" s="370">
        <v>4375.1700134277344</v>
      </c>
      <c r="M6825" s="371">
        <f t="shared" si="425"/>
        <v>14086.858372986573</v>
      </c>
      <c r="N6825" s="329">
        <f t="shared" si="426"/>
        <v>358.10989990234384</v>
      </c>
      <c r="T6825" s="331">
        <v>0</v>
      </c>
      <c r="U6825" s="328">
        <f>VLOOKUP(C6825,METADATA!$J$5:$Q$29,IF(E6825="HI",2,IF(E6825="LO",6,10))+IF(T6825=1,2,IF(D6825=7,1,(IF(WEEKDAY(B6825)=1,2,IF(WEEKDAY(B6825)=7,1,0))))))</f>
        <v>3</v>
      </c>
      <c r="V6825" s="328">
        <f>VLOOKUP(C6825,METADATA!$A$5:$H$29,IF(E6825="HI",2,IF(E6825="LO",6,10))+IF(T6825=1,2,IF(D6825=7,1,(IF(WEEKDAY(B6825)=1,2,IF(WEEKDAY(B6825)=7,1,0))))))</f>
        <v>3</v>
      </c>
    </row>
    <row r="6826" spans="2:22">
      <c r="B6826" s="318">
        <f t="shared" si="427"/>
        <v>46397</v>
      </c>
      <c r="C6826" s="312">
        <v>6</v>
      </c>
      <c r="D6826" s="368">
        <f>IFERROR((INDEX(METADATA!$T$2:$T$20,MATCH(B6826,METADATA!$S$2:$S$20,0))),0)</f>
        <v>0</v>
      </c>
      <c r="E6826" s="312" t="str">
        <f t="shared" si="424"/>
        <v>HI</v>
      </c>
      <c r="F6826" s="369">
        <f>VLOOKUP(C6826,METADATA!$A$5:$H$29,IF(E6826="HI",2,IF(E6826="LO",6,10))+IF(D6826=1,2,IF(D6826=7,1,(IF(WEEKDAY(B6826)=1,2,IF(WEEKDAY(B6826)=7,1,0))))))</f>
        <v>3</v>
      </c>
      <c r="G6826" s="369">
        <f>VLOOKUP(C6826,METADATA!$J$5:$Q$29,IF(E6826="HI",2,IF(E6826="LO",6,10))+IF(D6826=1,2,IF(D6826=7,1,(IF(WEEKDAY(B6826)=1,2,IF(WEEKDAY(B6826)=7,1,0))))))</f>
        <v>3</v>
      </c>
      <c r="H6826" s="370">
        <v>13121.849853515625</v>
      </c>
      <c r="I6826" s="370">
        <v>4202.1349182128906</v>
      </c>
      <c r="M6826" s="371">
        <f t="shared" si="425"/>
        <v>13778.275706672155</v>
      </c>
      <c r="N6826" s="329">
        <f t="shared" si="426"/>
        <v>265.57996215820322</v>
      </c>
      <c r="T6826" s="331">
        <v>0</v>
      </c>
      <c r="U6826" s="328">
        <f>VLOOKUP(C6826,METADATA!$J$5:$Q$29,IF(E6826="HI",2,IF(E6826="LO",6,10))+IF(T6826=1,2,IF(D6826=7,1,(IF(WEEKDAY(B6826)=1,2,IF(WEEKDAY(B6826)=7,1,0))))))</f>
        <v>3</v>
      </c>
      <c r="V6826" s="328">
        <f>VLOOKUP(C6826,METADATA!$A$5:$H$29,IF(E6826="HI",2,IF(E6826="LO",6,10))+IF(T6826=1,2,IF(D6826=7,1,(IF(WEEKDAY(B6826)=1,2,IF(WEEKDAY(B6826)=7,1,0))))))</f>
        <v>3</v>
      </c>
    </row>
    <row r="6827" spans="2:22">
      <c r="B6827" s="318">
        <f t="shared" si="427"/>
        <v>46397</v>
      </c>
      <c r="C6827" s="312">
        <v>7</v>
      </c>
      <c r="D6827" s="368">
        <f>IFERROR((INDEX(METADATA!$T$2:$T$20,MATCH(B6827,METADATA!$S$2:$S$20,0))),0)</f>
        <v>0</v>
      </c>
      <c r="E6827" s="312" t="str">
        <f t="shared" si="424"/>
        <v>HI</v>
      </c>
      <c r="F6827" s="369">
        <f>VLOOKUP(C6827,METADATA!$A$5:$H$29,IF(E6827="HI",2,IF(E6827="LO",6,10))+IF(D6827=1,2,IF(D6827=7,1,(IF(WEEKDAY(B6827)=1,2,IF(WEEKDAY(B6827)=7,1,0))))))</f>
        <v>3</v>
      </c>
      <c r="G6827" s="369">
        <f>VLOOKUP(C6827,METADATA!$J$5:$Q$29,IF(E6827="HI",2,IF(E6827="LO",6,10))+IF(D6827=1,2,IF(D6827=7,1,(IF(WEEKDAY(B6827)=1,2,IF(WEEKDAY(B6827)=7,1,0))))))</f>
        <v>3</v>
      </c>
      <c r="H6827" s="370">
        <v>12514.449890136719</v>
      </c>
      <c r="I6827" s="370">
        <v>3484.2100219726563</v>
      </c>
      <c r="M6827" s="371">
        <f t="shared" si="425"/>
        <v>12990.426302856948</v>
      </c>
      <c r="N6827" s="329">
        <f t="shared" si="426"/>
        <v>0</v>
      </c>
      <c r="T6827" s="331">
        <v>0</v>
      </c>
      <c r="U6827" s="328">
        <f>VLOOKUP(C6827,METADATA!$J$5:$Q$29,IF(E6827="HI",2,IF(E6827="LO",6,10))+IF(T6827=1,2,IF(D6827=7,1,(IF(WEEKDAY(B6827)=1,2,IF(WEEKDAY(B6827)=7,1,0))))))</f>
        <v>3</v>
      </c>
      <c r="V6827" s="328">
        <f>VLOOKUP(C6827,METADATA!$A$5:$H$29,IF(E6827="HI",2,IF(E6827="LO",6,10))+IF(T6827=1,2,IF(D6827=7,1,(IF(WEEKDAY(B6827)=1,2,IF(WEEKDAY(B6827)=7,1,0))))))</f>
        <v>3</v>
      </c>
    </row>
    <row r="6828" spans="2:22">
      <c r="B6828" s="318">
        <f t="shared" si="427"/>
        <v>46397</v>
      </c>
      <c r="C6828" s="312">
        <v>8</v>
      </c>
      <c r="D6828" s="368">
        <f>IFERROR((INDEX(METADATA!$T$2:$T$20,MATCH(B6828,METADATA!$S$2:$S$20,0))),0)</f>
        <v>0</v>
      </c>
      <c r="E6828" s="312" t="str">
        <f t="shared" si="424"/>
        <v>HI</v>
      </c>
      <c r="F6828" s="369">
        <f>VLOOKUP(C6828,METADATA!$A$5:$H$29,IF(E6828="HI",2,IF(E6828="LO",6,10))+IF(D6828=1,2,IF(D6828=7,1,(IF(WEEKDAY(B6828)=1,2,IF(WEEKDAY(B6828)=7,1,0))))))</f>
        <v>3</v>
      </c>
      <c r="G6828" s="369">
        <f>VLOOKUP(C6828,METADATA!$J$5:$Q$29,IF(E6828="HI",2,IF(E6828="LO",6,10))+IF(D6828=1,2,IF(D6828=7,1,(IF(WEEKDAY(B6828)=1,2,IF(WEEKDAY(B6828)=7,1,0))))))</f>
        <v>3</v>
      </c>
      <c r="H6828" s="370">
        <v>12371.649963378906</v>
      </c>
      <c r="I6828" s="370">
        <v>3310.7950210571289</v>
      </c>
      <c r="M6828" s="371">
        <f t="shared" si="425"/>
        <v>12806.993655336522</v>
      </c>
      <c r="N6828" s="329">
        <f t="shared" si="426"/>
        <v>0</v>
      </c>
      <c r="T6828" s="331">
        <v>0</v>
      </c>
      <c r="U6828" s="328">
        <f>VLOOKUP(C6828,METADATA!$J$5:$Q$29,IF(E6828="HI",2,IF(E6828="LO",6,10))+IF(T6828=1,2,IF(D6828=7,1,(IF(WEEKDAY(B6828)=1,2,IF(WEEKDAY(B6828)=7,1,0))))))</f>
        <v>3</v>
      </c>
      <c r="V6828" s="328">
        <f>VLOOKUP(C6828,METADATA!$A$5:$H$29,IF(E6828="HI",2,IF(E6828="LO",6,10))+IF(T6828=1,2,IF(D6828=7,1,(IF(WEEKDAY(B6828)=1,2,IF(WEEKDAY(B6828)=7,1,0))))))</f>
        <v>3</v>
      </c>
    </row>
    <row r="6829" spans="2:22">
      <c r="B6829" s="318">
        <f t="shared" si="427"/>
        <v>46397</v>
      </c>
      <c r="C6829" s="312">
        <v>9</v>
      </c>
      <c r="D6829" s="368">
        <f>IFERROR((INDEX(METADATA!$T$2:$T$20,MATCH(B6829,METADATA!$S$2:$S$20,0))),0)</f>
        <v>0</v>
      </c>
      <c r="E6829" s="312" t="str">
        <f t="shared" si="424"/>
        <v>HI</v>
      </c>
      <c r="F6829" s="369">
        <f>VLOOKUP(C6829,METADATA!$A$5:$H$29,IF(E6829="HI",2,IF(E6829="LO",6,10))+IF(D6829=1,2,IF(D6829=7,1,(IF(WEEKDAY(B6829)=1,2,IF(WEEKDAY(B6829)=7,1,0))))))</f>
        <v>3</v>
      </c>
      <c r="G6829" s="369">
        <f>VLOOKUP(C6829,METADATA!$J$5:$Q$29,IF(E6829="HI",2,IF(E6829="LO",6,10))+IF(D6829=1,2,IF(D6829=7,1,(IF(WEEKDAY(B6829)=1,2,IF(WEEKDAY(B6829)=7,1,0))))))</f>
        <v>3</v>
      </c>
      <c r="H6829" s="370">
        <v>12166.524963378906</v>
      </c>
      <c r="I6829" s="370">
        <v>3205.2149658203125</v>
      </c>
      <c r="M6829" s="371">
        <f t="shared" si="425"/>
        <v>12581.642685342824</v>
      </c>
      <c r="N6829" s="329">
        <f t="shared" si="426"/>
        <v>0</v>
      </c>
      <c r="T6829" s="331">
        <v>0</v>
      </c>
      <c r="U6829" s="328">
        <f>VLOOKUP(C6829,METADATA!$J$5:$Q$29,IF(E6829="HI",2,IF(E6829="LO",6,10))+IF(T6829=1,2,IF(D6829=7,1,(IF(WEEKDAY(B6829)=1,2,IF(WEEKDAY(B6829)=7,1,0))))))</f>
        <v>3</v>
      </c>
      <c r="V6829" s="328">
        <f>VLOOKUP(C6829,METADATA!$A$5:$H$29,IF(E6829="HI",2,IF(E6829="LO",6,10))+IF(T6829=1,2,IF(D6829=7,1,(IF(WEEKDAY(B6829)=1,2,IF(WEEKDAY(B6829)=7,1,0))))))</f>
        <v>3</v>
      </c>
    </row>
    <row r="6830" spans="2:22">
      <c r="B6830" s="318">
        <f t="shared" si="427"/>
        <v>46397</v>
      </c>
      <c r="C6830" s="312">
        <v>10</v>
      </c>
      <c r="D6830" s="368">
        <f>IFERROR((INDEX(METADATA!$T$2:$T$20,MATCH(B6830,METADATA!$S$2:$S$20,0))),0)</f>
        <v>0</v>
      </c>
      <c r="E6830" s="312" t="str">
        <f t="shared" si="424"/>
        <v>HI</v>
      </c>
      <c r="F6830" s="369">
        <f>VLOOKUP(C6830,METADATA!$A$5:$H$29,IF(E6830="HI",2,IF(E6830="LO",6,10))+IF(D6830=1,2,IF(D6830=7,1,(IF(WEEKDAY(B6830)=1,2,IF(WEEKDAY(B6830)=7,1,0))))))</f>
        <v>3</v>
      </c>
      <c r="G6830" s="369">
        <f>VLOOKUP(C6830,METADATA!$J$5:$Q$29,IF(E6830="HI",2,IF(E6830="LO",6,10))+IF(D6830=1,2,IF(D6830=7,1,(IF(WEEKDAY(B6830)=1,2,IF(WEEKDAY(B6830)=7,1,0))))))</f>
        <v>3</v>
      </c>
      <c r="H6830" s="370">
        <v>11445.724975585938</v>
      </c>
      <c r="I6830" s="370">
        <v>2831.7700119018555</v>
      </c>
      <c r="M6830" s="371">
        <f t="shared" si="425"/>
        <v>11790.824467231218</v>
      </c>
      <c r="N6830" s="329">
        <f t="shared" si="426"/>
        <v>0</v>
      </c>
      <c r="T6830" s="331">
        <v>0</v>
      </c>
      <c r="U6830" s="328">
        <f>VLOOKUP(C6830,METADATA!$J$5:$Q$29,IF(E6830="HI",2,IF(E6830="LO",6,10))+IF(T6830=1,2,IF(D6830=7,1,(IF(WEEKDAY(B6830)=1,2,IF(WEEKDAY(B6830)=7,1,0))))))</f>
        <v>3</v>
      </c>
      <c r="V6830" s="328">
        <f>VLOOKUP(C6830,METADATA!$A$5:$H$29,IF(E6830="HI",2,IF(E6830="LO",6,10))+IF(T6830=1,2,IF(D6830=7,1,(IF(WEEKDAY(B6830)=1,2,IF(WEEKDAY(B6830)=7,1,0))))))</f>
        <v>3</v>
      </c>
    </row>
    <row r="6831" spans="2:22">
      <c r="B6831" s="318">
        <f t="shared" si="427"/>
        <v>46397</v>
      </c>
      <c r="C6831" s="312">
        <v>11</v>
      </c>
      <c r="D6831" s="368">
        <f>IFERROR((INDEX(METADATA!$T$2:$T$20,MATCH(B6831,METADATA!$S$2:$S$20,0))),0)</f>
        <v>0</v>
      </c>
      <c r="E6831" s="312" t="str">
        <f t="shared" si="424"/>
        <v>HI</v>
      </c>
      <c r="F6831" s="369">
        <f>VLOOKUP(C6831,METADATA!$A$5:$H$29,IF(E6831="HI",2,IF(E6831="LO",6,10))+IF(D6831=1,2,IF(D6831=7,1,(IF(WEEKDAY(B6831)=1,2,IF(WEEKDAY(B6831)=7,1,0))))))</f>
        <v>3</v>
      </c>
      <c r="G6831" s="369">
        <f>VLOOKUP(C6831,METADATA!$J$5:$Q$29,IF(E6831="HI",2,IF(E6831="LO",6,10))+IF(D6831=1,2,IF(D6831=7,1,(IF(WEEKDAY(B6831)=1,2,IF(WEEKDAY(B6831)=7,1,0))))))</f>
        <v>3</v>
      </c>
      <c r="H6831" s="370">
        <v>10050.200073242188</v>
      </c>
      <c r="I6831" s="370">
        <v>1909.859992980957</v>
      </c>
      <c r="M6831" s="371">
        <f t="shared" si="425"/>
        <v>10230.058001056812</v>
      </c>
      <c r="N6831" s="329">
        <f t="shared" si="426"/>
        <v>0</v>
      </c>
      <c r="T6831" s="331">
        <v>0</v>
      </c>
      <c r="U6831" s="328">
        <f>VLOOKUP(C6831,METADATA!$J$5:$Q$29,IF(E6831="HI",2,IF(E6831="LO",6,10))+IF(T6831=1,2,IF(D6831=7,1,(IF(WEEKDAY(B6831)=1,2,IF(WEEKDAY(B6831)=7,1,0))))))</f>
        <v>3</v>
      </c>
      <c r="V6831" s="328">
        <f>VLOOKUP(C6831,METADATA!$A$5:$H$29,IF(E6831="HI",2,IF(E6831="LO",6,10))+IF(T6831=1,2,IF(D6831=7,1,(IF(WEEKDAY(B6831)=1,2,IF(WEEKDAY(B6831)=7,1,0))))))</f>
        <v>3</v>
      </c>
    </row>
    <row r="6832" spans="2:22">
      <c r="B6832" s="318">
        <f t="shared" si="427"/>
        <v>46397</v>
      </c>
      <c r="C6832" s="312">
        <v>12</v>
      </c>
      <c r="D6832" s="368">
        <f>IFERROR((INDEX(METADATA!$T$2:$T$20,MATCH(B6832,METADATA!$S$2:$S$20,0))),0)</f>
        <v>0</v>
      </c>
      <c r="E6832" s="312" t="str">
        <f t="shared" si="424"/>
        <v>HI</v>
      </c>
      <c r="F6832" s="369">
        <f>VLOOKUP(C6832,METADATA!$A$5:$H$29,IF(E6832="HI",2,IF(E6832="LO",6,10))+IF(D6832=1,2,IF(D6832=7,1,(IF(WEEKDAY(B6832)=1,2,IF(WEEKDAY(B6832)=7,1,0))))))</f>
        <v>3</v>
      </c>
      <c r="G6832" s="369">
        <f>VLOOKUP(C6832,METADATA!$J$5:$Q$29,IF(E6832="HI",2,IF(E6832="LO",6,10))+IF(D6832=1,2,IF(D6832=7,1,(IF(WEEKDAY(B6832)=1,2,IF(WEEKDAY(B6832)=7,1,0))))))</f>
        <v>3</v>
      </c>
      <c r="H6832" s="370">
        <v>9814.18994140625</v>
      </c>
      <c r="I6832" s="370">
        <v>1885.535026550293</v>
      </c>
      <c r="M6832" s="371">
        <f t="shared" si="425"/>
        <v>9993.6763276757974</v>
      </c>
      <c r="N6832" s="329">
        <f t="shared" si="426"/>
        <v>0</v>
      </c>
      <c r="T6832" s="331">
        <v>0</v>
      </c>
      <c r="U6832" s="328">
        <f>VLOOKUP(C6832,METADATA!$J$5:$Q$29,IF(E6832="HI",2,IF(E6832="LO",6,10))+IF(T6832=1,2,IF(D6832=7,1,(IF(WEEKDAY(B6832)=1,2,IF(WEEKDAY(B6832)=7,1,0))))))</f>
        <v>3</v>
      </c>
      <c r="V6832" s="328">
        <f>VLOOKUP(C6832,METADATA!$A$5:$H$29,IF(E6832="HI",2,IF(E6832="LO",6,10))+IF(T6832=1,2,IF(D6832=7,1,(IF(WEEKDAY(B6832)=1,2,IF(WEEKDAY(B6832)=7,1,0))))))</f>
        <v>3</v>
      </c>
    </row>
    <row r="6833" spans="2:22">
      <c r="B6833" s="318">
        <f t="shared" si="427"/>
        <v>46397</v>
      </c>
      <c r="C6833" s="312">
        <v>13</v>
      </c>
      <c r="D6833" s="368">
        <f>IFERROR((INDEX(METADATA!$T$2:$T$20,MATCH(B6833,METADATA!$S$2:$S$20,0))),0)</f>
        <v>0</v>
      </c>
      <c r="E6833" s="312" t="str">
        <f t="shared" si="424"/>
        <v>HI</v>
      </c>
      <c r="F6833" s="369">
        <f>VLOOKUP(C6833,METADATA!$A$5:$H$29,IF(E6833="HI",2,IF(E6833="LO",6,10))+IF(D6833=1,2,IF(D6833=7,1,(IF(WEEKDAY(B6833)=1,2,IF(WEEKDAY(B6833)=7,1,0))))))</f>
        <v>3</v>
      </c>
      <c r="G6833" s="369">
        <f>VLOOKUP(C6833,METADATA!$J$5:$Q$29,IF(E6833="HI",2,IF(E6833="LO",6,10))+IF(D6833=1,2,IF(D6833=7,1,(IF(WEEKDAY(B6833)=1,2,IF(WEEKDAY(B6833)=7,1,0))))))</f>
        <v>3</v>
      </c>
      <c r="H6833" s="370">
        <v>9128.2500305175781</v>
      </c>
      <c r="I6833" s="370">
        <v>1853.3300361633301</v>
      </c>
      <c r="M6833" s="371">
        <f t="shared" si="425"/>
        <v>9314.493053440392</v>
      </c>
      <c r="N6833" s="329">
        <f t="shared" si="426"/>
        <v>0</v>
      </c>
      <c r="T6833" s="331">
        <v>0</v>
      </c>
      <c r="U6833" s="328">
        <f>VLOOKUP(C6833,METADATA!$J$5:$Q$29,IF(E6833="HI",2,IF(E6833="LO",6,10))+IF(T6833=1,2,IF(D6833=7,1,(IF(WEEKDAY(B6833)=1,2,IF(WEEKDAY(B6833)=7,1,0))))))</f>
        <v>3</v>
      </c>
      <c r="V6833" s="328">
        <f>VLOOKUP(C6833,METADATA!$A$5:$H$29,IF(E6833="HI",2,IF(E6833="LO",6,10))+IF(T6833=1,2,IF(D6833=7,1,(IF(WEEKDAY(B6833)=1,2,IF(WEEKDAY(B6833)=7,1,0))))))</f>
        <v>3</v>
      </c>
    </row>
    <row r="6834" spans="2:22">
      <c r="B6834" s="318">
        <f t="shared" si="427"/>
        <v>46397</v>
      </c>
      <c r="C6834" s="312">
        <v>14</v>
      </c>
      <c r="D6834" s="368">
        <f>IFERROR((INDEX(METADATA!$T$2:$T$20,MATCH(B6834,METADATA!$S$2:$S$20,0))),0)</f>
        <v>0</v>
      </c>
      <c r="E6834" s="312" t="str">
        <f t="shared" si="424"/>
        <v>HI</v>
      </c>
      <c r="F6834" s="369">
        <f>VLOOKUP(C6834,METADATA!$A$5:$H$29,IF(E6834="HI",2,IF(E6834="LO",6,10))+IF(D6834=1,2,IF(D6834=7,1,(IF(WEEKDAY(B6834)=1,2,IF(WEEKDAY(B6834)=7,1,0))))))</f>
        <v>3</v>
      </c>
      <c r="G6834" s="369">
        <f>VLOOKUP(C6834,METADATA!$J$5:$Q$29,IF(E6834="HI",2,IF(E6834="LO",6,10))+IF(D6834=1,2,IF(D6834=7,1,(IF(WEEKDAY(B6834)=1,2,IF(WEEKDAY(B6834)=7,1,0))))))</f>
        <v>3</v>
      </c>
      <c r="H6834" s="370">
        <v>6873.5248413085938</v>
      </c>
      <c r="I6834" s="370">
        <v>2707.7250366210938</v>
      </c>
      <c r="M6834" s="371">
        <f t="shared" si="425"/>
        <v>7387.6328155933024</v>
      </c>
      <c r="N6834" s="329">
        <f t="shared" si="426"/>
        <v>645.66758422851581</v>
      </c>
      <c r="T6834" s="331">
        <v>0</v>
      </c>
      <c r="U6834" s="328">
        <f>VLOOKUP(C6834,METADATA!$J$5:$Q$29,IF(E6834="HI",2,IF(E6834="LO",6,10))+IF(T6834=1,2,IF(D6834=7,1,(IF(WEEKDAY(B6834)=1,2,IF(WEEKDAY(B6834)=7,1,0))))))</f>
        <v>3</v>
      </c>
      <c r="V6834" s="328">
        <f>VLOOKUP(C6834,METADATA!$A$5:$H$29,IF(E6834="HI",2,IF(E6834="LO",6,10))+IF(T6834=1,2,IF(D6834=7,1,(IF(WEEKDAY(B6834)=1,2,IF(WEEKDAY(B6834)=7,1,0))))))</f>
        <v>3</v>
      </c>
    </row>
    <row r="6835" spans="2:22">
      <c r="B6835" s="318">
        <f t="shared" si="427"/>
        <v>46397</v>
      </c>
      <c r="C6835" s="312">
        <v>15</v>
      </c>
      <c r="D6835" s="368">
        <f>IFERROR((INDEX(METADATA!$T$2:$T$20,MATCH(B6835,METADATA!$S$2:$S$20,0))),0)</f>
        <v>0</v>
      </c>
      <c r="E6835" s="312" t="str">
        <f t="shared" si="424"/>
        <v>HI</v>
      </c>
      <c r="F6835" s="369">
        <f>VLOOKUP(C6835,METADATA!$A$5:$H$29,IF(E6835="HI",2,IF(E6835="LO",6,10))+IF(D6835=1,2,IF(D6835=7,1,(IF(WEEKDAY(B6835)=1,2,IF(WEEKDAY(B6835)=7,1,0))))))</f>
        <v>3</v>
      </c>
      <c r="G6835" s="369">
        <f>VLOOKUP(C6835,METADATA!$J$5:$Q$29,IF(E6835="HI",2,IF(E6835="LO",6,10))+IF(D6835=1,2,IF(D6835=7,1,(IF(WEEKDAY(B6835)=1,2,IF(WEEKDAY(B6835)=7,1,0))))))</f>
        <v>3</v>
      </c>
      <c r="H6835" s="370">
        <v>10854.85009765625</v>
      </c>
      <c r="I6835" s="370">
        <v>2903.4050506055355</v>
      </c>
      <c r="M6835" s="371">
        <f t="shared" si="425"/>
        <v>11236.437670830985</v>
      </c>
      <c r="N6835" s="329">
        <f t="shared" si="426"/>
        <v>0</v>
      </c>
      <c r="T6835" s="331">
        <v>0</v>
      </c>
      <c r="U6835" s="328">
        <f>VLOOKUP(C6835,METADATA!$J$5:$Q$29,IF(E6835="HI",2,IF(E6835="LO",6,10))+IF(T6835=1,2,IF(D6835=7,1,(IF(WEEKDAY(B6835)=1,2,IF(WEEKDAY(B6835)=7,1,0))))))</f>
        <v>3</v>
      </c>
      <c r="V6835" s="328">
        <f>VLOOKUP(C6835,METADATA!$A$5:$H$29,IF(E6835="HI",2,IF(E6835="LO",6,10))+IF(T6835=1,2,IF(D6835=7,1,(IF(WEEKDAY(B6835)=1,2,IF(WEEKDAY(B6835)=7,1,0))))))</f>
        <v>3</v>
      </c>
    </row>
    <row r="6836" spans="2:22">
      <c r="B6836" s="318">
        <f t="shared" si="427"/>
        <v>46397</v>
      </c>
      <c r="C6836" s="312">
        <v>16</v>
      </c>
      <c r="D6836" s="368">
        <f>IFERROR((INDEX(METADATA!$T$2:$T$20,MATCH(B6836,METADATA!$S$2:$S$20,0))),0)</f>
        <v>0</v>
      </c>
      <c r="E6836" s="312" t="str">
        <f t="shared" si="424"/>
        <v>HI</v>
      </c>
      <c r="F6836" s="369">
        <f>VLOOKUP(C6836,METADATA!$A$5:$H$29,IF(E6836="HI",2,IF(E6836="LO",6,10))+IF(D6836=1,2,IF(D6836=7,1,(IF(WEEKDAY(B6836)=1,2,IF(WEEKDAY(B6836)=7,1,0))))))</f>
        <v>3</v>
      </c>
      <c r="G6836" s="369">
        <f>VLOOKUP(C6836,METADATA!$J$5:$Q$29,IF(E6836="HI",2,IF(E6836="LO",6,10))+IF(D6836=1,2,IF(D6836=7,1,(IF(WEEKDAY(B6836)=1,2,IF(WEEKDAY(B6836)=7,1,0))))))</f>
        <v>3</v>
      </c>
      <c r="H6836" s="370">
        <v>12766.300048828125</v>
      </c>
      <c r="I6836" s="370">
        <v>3795.6201019287109</v>
      </c>
      <c r="M6836" s="371">
        <f t="shared" si="425"/>
        <v>13318.601611838771</v>
      </c>
      <c r="N6836" s="329">
        <f t="shared" si="426"/>
        <v>0</v>
      </c>
      <c r="T6836" s="331">
        <v>0</v>
      </c>
      <c r="U6836" s="328">
        <f>VLOOKUP(C6836,METADATA!$J$5:$Q$29,IF(E6836="HI",2,IF(E6836="LO",6,10))+IF(T6836=1,2,IF(D6836=7,1,(IF(WEEKDAY(B6836)=1,2,IF(WEEKDAY(B6836)=7,1,0))))))</f>
        <v>3</v>
      </c>
      <c r="V6836" s="328">
        <f>VLOOKUP(C6836,METADATA!$A$5:$H$29,IF(E6836="HI",2,IF(E6836="LO",6,10))+IF(T6836=1,2,IF(D6836=7,1,(IF(WEEKDAY(B6836)=1,2,IF(WEEKDAY(B6836)=7,1,0))))))</f>
        <v>3</v>
      </c>
    </row>
    <row r="6837" spans="2:22">
      <c r="B6837" s="318">
        <f t="shared" si="427"/>
        <v>46397</v>
      </c>
      <c r="C6837" s="312">
        <v>17</v>
      </c>
      <c r="D6837" s="368">
        <f>IFERROR((INDEX(METADATA!$T$2:$T$20,MATCH(B6837,METADATA!$S$2:$S$20,0))),0)</f>
        <v>0</v>
      </c>
      <c r="E6837" s="312" t="str">
        <f t="shared" si="424"/>
        <v>HI</v>
      </c>
      <c r="F6837" s="369">
        <f>VLOOKUP(C6837,METADATA!$A$5:$H$29,IF(E6837="HI",2,IF(E6837="LO",6,10))+IF(D6837=1,2,IF(D6837=7,1,(IF(WEEKDAY(B6837)=1,2,IF(WEEKDAY(B6837)=7,1,0))))))</f>
        <v>2</v>
      </c>
      <c r="G6837" s="369">
        <f>VLOOKUP(C6837,METADATA!$J$5:$Q$29,IF(E6837="HI",2,IF(E6837="LO",6,10))+IF(D6837=1,2,IF(D6837=7,1,(IF(WEEKDAY(B6837)=1,2,IF(WEEKDAY(B6837)=7,1,0))))))</f>
        <v>2</v>
      </c>
      <c r="H6837" s="370">
        <v>12661.775329589844</v>
      </c>
      <c r="I6837" s="370">
        <v>3628.5900268554688</v>
      </c>
      <c r="M6837" s="371">
        <f t="shared" si="425"/>
        <v>13171.4547442568</v>
      </c>
      <c r="N6837" s="329">
        <f t="shared" si="426"/>
        <v>0</v>
      </c>
      <c r="T6837" s="331">
        <v>0</v>
      </c>
      <c r="U6837" s="328">
        <f>VLOOKUP(C6837,METADATA!$J$5:$Q$29,IF(E6837="HI",2,IF(E6837="LO",6,10))+IF(T6837=1,2,IF(D6837=7,1,(IF(WEEKDAY(B6837)=1,2,IF(WEEKDAY(B6837)=7,1,0))))))</f>
        <v>2</v>
      </c>
      <c r="V6837" s="328">
        <f>VLOOKUP(C6837,METADATA!$A$5:$H$29,IF(E6837="HI",2,IF(E6837="LO",6,10))+IF(T6837=1,2,IF(D6837=7,1,(IF(WEEKDAY(B6837)=1,2,IF(WEEKDAY(B6837)=7,1,0))))))</f>
        <v>2</v>
      </c>
    </row>
    <row r="6838" spans="2:22">
      <c r="B6838" s="318">
        <f t="shared" si="427"/>
        <v>46397</v>
      </c>
      <c r="C6838" s="312">
        <v>18</v>
      </c>
      <c r="D6838" s="368">
        <f>IFERROR((INDEX(METADATA!$T$2:$T$20,MATCH(B6838,METADATA!$S$2:$S$20,0))),0)</f>
        <v>0</v>
      </c>
      <c r="E6838" s="312" t="str">
        <f t="shared" si="424"/>
        <v>HI</v>
      </c>
      <c r="F6838" s="369">
        <f>VLOOKUP(C6838,METADATA!$A$5:$H$29,IF(E6838="HI",2,IF(E6838="LO",6,10))+IF(D6838=1,2,IF(D6838=7,1,(IF(WEEKDAY(B6838)=1,2,IF(WEEKDAY(B6838)=7,1,0))))))</f>
        <v>2</v>
      </c>
      <c r="G6838" s="369">
        <f>VLOOKUP(C6838,METADATA!$J$5:$Q$29,IF(E6838="HI",2,IF(E6838="LO",6,10))+IF(D6838=1,2,IF(D6838=7,1,(IF(WEEKDAY(B6838)=1,2,IF(WEEKDAY(B6838)=7,1,0))))))</f>
        <v>2</v>
      </c>
      <c r="H6838" s="370">
        <v>12865.499816894531</v>
      </c>
      <c r="I6838" s="370">
        <v>3881.2449951171875</v>
      </c>
      <c r="M6838" s="371">
        <f t="shared" si="425"/>
        <v>13438.197358672607</v>
      </c>
      <c r="N6838" s="329">
        <f t="shared" si="426"/>
        <v>21.595050048828398</v>
      </c>
      <c r="T6838" s="331">
        <v>0</v>
      </c>
      <c r="U6838" s="328">
        <f>VLOOKUP(C6838,METADATA!$J$5:$Q$29,IF(E6838="HI",2,IF(E6838="LO",6,10))+IF(T6838=1,2,IF(D6838=7,1,(IF(WEEKDAY(B6838)=1,2,IF(WEEKDAY(B6838)=7,1,0))))))</f>
        <v>2</v>
      </c>
      <c r="V6838" s="328">
        <f>VLOOKUP(C6838,METADATA!$A$5:$H$29,IF(E6838="HI",2,IF(E6838="LO",6,10))+IF(T6838=1,2,IF(D6838=7,1,(IF(WEEKDAY(B6838)=1,2,IF(WEEKDAY(B6838)=7,1,0))))))</f>
        <v>2</v>
      </c>
    </row>
    <row r="6839" spans="2:22">
      <c r="B6839" s="318">
        <f t="shared" si="427"/>
        <v>46397</v>
      </c>
      <c r="C6839" s="312">
        <v>19</v>
      </c>
      <c r="D6839" s="368">
        <f>IFERROR((INDEX(METADATA!$T$2:$T$20,MATCH(B6839,METADATA!$S$2:$S$20,0))),0)</f>
        <v>0</v>
      </c>
      <c r="E6839" s="312" t="str">
        <f t="shared" si="424"/>
        <v>HI</v>
      </c>
      <c r="F6839" s="369">
        <f>VLOOKUP(C6839,METADATA!$A$5:$H$29,IF(E6839="HI",2,IF(E6839="LO",6,10))+IF(D6839=1,2,IF(D6839=7,1,(IF(WEEKDAY(B6839)=1,2,IF(WEEKDAY(B6839)=7,1,0))))))</f>
        <v>3</v>
      </c>
      <c r="G6839" s="369">
        <f>VLOOKUP(C6839,METADATA!$J$5:$Q$29,IF(E6839="HI",2,IF(E6839="LO",6,10))+IF(D6839=1,2,IF(D6839=7,1,(IF(WEEKDAY(B6839)=1,2,IF(WEEKDAY(B6839)=7,1,0))))))</f>
        <v>3</v>
      </c>
      <c r="H6839" s="370">
        <v>13339.875305175781</v>
      </c>
      <c r="I6839" s="370">
        <v>4290.0400695800781</v>
      </c>
      <c r="M6839" s="371">
        <f t="shared" si="425"/>
        <v>14012.734099962123</v>
      </c>
      <c r="N6839" s="329">
        <f t="shared" si="426"/>
        <v>288.07747802734411</v>
      </c>
      <c r="T6839" s="331">
        <v>0</v>
      </c>
      <c r="U6839" s="328">
        <f>VLOOKUP(C6839,METADATA!$J$5:$Q$29,IF(E6839="HI",2,IF(E6839="LO",6,10))+IF(T6839=1,2,IF(D6839=7,1,(IF(WEEKDAY(B6839)=1,2,IF(WEEKDAY(B6839)=7,1,0))))))</f>
        <v>3</v>
      </c>
      <c r="V6839" s="328">
        <f>VLOOKUP(C6839,METADATA!$A$5:$H$29,IF(E6839="HI",2,IF(E6839="LO",6,10))+IF(T6839=1,2,IF(D6839=7,1,(IF(WEEKDAY(B6839)=1,2,IF(WEEKDAY(B6839)=7,1,0))))))</f>
        <v>3</v>
      </c>
    </row>
    <row r="6840" spans="2:22">
      <c r="B6840" s="318">
        <f t="shared" si="427"/>
        <v>46397</v>
      </c>
      <c r="C6840" s="312">
        <v>20</v>
      </c>
      <c r="D6840" s="368">
        <f>IFERROR((INDEX(METADATA!$T$2:$T$20,MATCH(B6840,METADATA!$S$2:$S$20,0))),0)</f>
        <v>0</v>
      </c>
      <c r="E6840" s="312" t="str">
        <f t="shared" si="424"/>
        <v>HI</v>
      </c>
      <c r="F6840" s="369">
        <f>VLOOKUP(C6840,METADATA!$A$5:$H$29,IF(E6840="HI",2,IF(E6840="LO",6,10))+IF(D6840=1,2,IF(D6840=7,1,(IF(WEEKDAY(B6840)=1,2,IF(WEEKDAY(B6840)=7,1,0))))))</f>
        <v>3</v>
      </c>
      <c r="G6840" s="369">
        <f>VLOOKUP(C6840,METADATA!$J$5:$Q$29,IF(E6840="HI",2,IF(E6840="LO",6,10))+IF(D6840=1,2,IF(D6840=7,1,(IF(WEEKDAY(B6840)=1,2,IF(WEEKDAY(B6840)=7,1,0))))))</f>
        <v>3</v>
      </c>
      <c r="H6840" s="370">
        <v>13266.699890136719</v>
      </c>
      <c r="I6840" s="370">
        <v>4215.5750427246094</v>
      </c>
      <c r="M6840" s="371">
        <f t="shared" si="425"/>
        <v>13920.359151824934</v>
      </c>
      <c r="N6840" s="329">
        <f t="shared" si="426"/>
        <v>235.56507568359393</v>
      </c>
      <c r="T6840" s="331">
        <v>0</v>
      </c>
      <c r="U6840" s="328">
        <f>VLOOKUP(C6840,METADATA!$J$5:$Q$29,IF(E6840="HI",2,IF(E6840="LO",6,10))+IF(T6840=1,2,IF(D6840=7,1,(IF(WEEKDAY(B6840)=1,2,IF(WEEKDAY(B6840)=7,1,0))))))</f>
        <v>3</v>
      </c>
      <c r="V6840" s="328">
        <f>VLOOKUP(C6840,METADATA!$A$5:$H$29,IF(E6840="HI",2,IF(E6840="LO",6,10))+IF(T6840=1,2,IF(D6840=7,1,(IF(WEEKDAY(B6840)=1,2,IF(WEEKDAY(B6840)=7,1,0))))))</f>
        <v>3</v>
      </c>
    </row>
    <row r="6841" spans="2:22">
      <c r="B6841" s="318">
        <f t="shared" si="427"/>
        <v>46397</v>
      </c>
      <c r="C6841" s="312">
        <v>21</v>
      </c>
      <c r="D6841" s="368">
        <f>IFERROR((INDEX(METADATA!$T$2:$T$20,MATCH(B6841,METADATA!$S$2:$S$20,0))),0)</f>
        <v>0</v>
      </c>
      <c r="E6841" s="312" t="str">
        <f t="shared" si="424"/>
        <v>HI</v>
      </c>
      <c r="F6841" s="369">
        <f>VLOOKUP(C6841,METADATA!$A$5:$H$29,IF(E6841="HI",2,IF(E6841="LO",6,10))+IF(D6841=1,2,IF(D6841=7,1,(IF(WEEKDAY(B6841)=1,2,IF(WEEKDAY(B6841)=7,1,0))))))</f>
        <v>3</v>
      </c>
      <c r="G6841" s="369">
        <f>VLOOKUP(C6841,METADATA!$J$5:$Q$29,IF(E6841="HI",2,IF(E6841="LO",6,10))+IF(D6841=1,2,IF(D6841=7,1,(IF(WEEKDAY(B6841)=1,2,IF(WEEKDAY(B6841)=7,1,0))))))</f>
        <v>3</v>
      </c>
      <c r="H6841" s="370">
        <v>13356.175048828125</v>
      </c>
      <c r="I6841" s="370">
        <v>4412.9899291992188</v>
      </c>
      <c r="M6841" s="371">
        <f t="shared" si="425"/>
        <v>14066.338971109459</v>
      </c>
      <c r="N6841" s="329">
        <f t="shared" si="426"/>
        <v>406.13741455078161</v>
      </c>
      <c r="T6841" s="331">
        <v>0</v>
      </c>
      <c r="U6841" s="328">
        <f>VLOOKUP(C6841,METADATA!$J$5:$Q$29,IF(E6841="HI",2,IF(E6841="LO",6,10))+IF(T6841=1,2,IF(D6841=7,1,(IF(WEEKDAY(B6841)=1,2,IF(WEEKDAY(B6841)=7,1,0))))))</f>
        <v>3</v>
      </c>
      <c r="V6841" s="328">
        <f>VLOOKUP(C6841,METADATA!$A$5:$H$29,IF(E6841="HI",2,IF(E6841="LO",6,10))+IF(T6841=1,2,IF(D6841=7,1,(IF(WEEKDAY(B6841)=1,2,IF(WEEKDAY(B6841)=7,1,0))))))</f>
        <v>3</v>
      </c>
    </row>
    <row r="6842" spans="2:22">
      <c r="B6842" s="318">
        <f t="shared" si="427"/>
        <v>46397</v>
      </c>
      <c r="C6842" s="312">
        <v>22</v>
      </c>
      <c r="D6842" s="368">
        <f>IFERROR((INDEX(METADATA!$T$2:$T$20,MATCH(B6842,METADATA!$S$2:$S$20,0))),0)</f>
        <v>0</v>
      </c>
      <c r="E6842" s="312" t="str">
        <f t="shared" si="424"/>
        <v>HI</v>
      </c>
      <c r="F6842" s="369">
        <f>VLOOKUP(C6842,METADATA!$A$5:$H$29,IF(E6842="HI",2,IF(E6842="LO",6,10))+IF(D6842=1,2,IF(D6842=7,1,(IF(WEEKDAY(B6842)=1,2,IF(WEEKDAY(B6842)=7,1,0))))))</f>
        <v>3</v>
      </c>
      <c r="G6842" s="369">
        <f>VLOOKUP(C6842,METADATA!$J$5:$Q$29,IF(E6842="HI",2,IF(E6842="LO",6,10))+IF(D6842=1,2,IF(D6842=7,1,(IF(WEEKDAY(B6842)=1,2,IF(WEEKDAY(B6842)=7,1,0))))))</f>
        <v>3</v>
      </c>
      <c r="H6842" s="370">
        <v>13788.0751953125</v>
      </c>
      <c r="I6842" s="370">
        <v>4567.2499694824219</v>
      </c>
      <c r="M6842" s="371">
        <f t="shared" si="425"/>
        <v>14524.833557577485</v>
      </c>
      <c r="N6842" s="329">
        <f t="shared" si="426"/>
        <v>430.82741088867169</v>
      </c>
      <c r="T6842" s="331">
        <v>0</v>
      </c>
      <c r="U6842" s="328">
        <f>VLOOKUP(C6842,METADATA!$J$5:$Q$29,IF(E6842="HI",2,IF(E6842="LO",6,10))+IF(T6842=1,2,IF(D6842=7,1,(IF(WEEKDAY(B6842)=1,2,IF(WEEKDAY(B6842)=7,1,0))))))</f>
        <v>3</v>
      </c>
      <c r="V6842" s="328">
        <f>VLOOKUP(C6842,METADATA!$A$5:$H$29,IF(E6842="HI",2,IF(E6842="LO",6,10))+IF(T6842=1,2,IF(D6842=7,1,(IF(WEEKDAY(B6842)=1,2,IF(WEEKDAY(B6842)=7,1,0))))))</f>
        <v>3</v>
      </c>
    </row>
    <row r="6843" spans="2:22">
      <c r="B6843" s="318">
        <f t="shared" si="427"/>
        <v>46397</v>
      </c>
      <c r="C6843" s="312">
        <v>23</v>
      </c>
      <c r="D6843" s="368">
        <f>IFERROR((INDEX(METADATA!$T$2:$T$20,MATCH(B6843,METADATA!$S$2:$S$20,0))),0)</f>
        <v>0</v>
      </c>
      <c r="E6843" s="312" t="str">
        <f t="shared" si="424"/>
        <v>HI</v>
      </c>
      <c r="F6843" s="369">
        <f>VLOOKUP(C6843,METADATA!$A$5:$H$29,IF(E6843="HI",2,IF(E6843="LO",6,10))+IF(D6843=1,2,IF(D6843=7,1,(IF(WEEKDAY(B6843)=1,2,IF(WEEKDAY(B6843)=7,1,0))))))</f>
        <v>3</v>
      </c>
      <c r="G6843" s="369">
        <f>VLOOKUP(C6843,METADATA!$J$5:$Q$29,IF(E6843="HI",2,IF(E6843="LO",6,10))+IF(D6843=1,2,IF(D6843=7,1,(IF(WEEKDAY(B6843)=1,2,IF(WEEKDAY(B6843)=7,1,0))))))</f>
        <v>3</v>
      </c>
      <c r="H6843" s="370">
        <v>13634.125244140625</v>
      </c>
      <c r="I6843" s="370">
        <v>4517.4448852539063</v>
      </c>
      <c r="M6843" s="371">
        <f t="shared" si="425"/>
        <v>14363.031694743951</v>
      </c>
      <c r="N6843" s="329">
        <f t="shared" si="426"/>
        <v>427.20731201171884</v>
      </c>
      <c r="T6843" s="331">
        <v>0</v>
      </c>
      <c r="U6843" s="328">
        <f>VLOOKUP(C6843,METADATA!$J$5:$Q$29,IF(E6843="HI",2,IF(E6843="LO",6,10))+IF(T6843=1,2,IF(D6843=7,1,(IF(WEEKDAY(B6843)=1,2,IF(WEEKDAY(B6843)=7,1,0))))))</f>
        <v>3</v>
      </c>
      <c r="V6843" s="328">
        <f>VLOOKUP(C6843,METADATA!$A$5:$H$29,IF(E6843="HI",2,IF(E6843="LO",6,10))+IF(T6843=1,2,IF(D6843=7,1,(IF(WEEKDAY(B6843)=1,2,IF(WEEKDAY(B6843)=7,1,0))))))</f>
        <v>3</v>
      </c>
    </row>
    <row r="6844" spans="2:22">
      <c r="B6844" s="318">
        <f t="shared" si="427"/>
        <v>46398</v>
      </c>
      <c r="C6844" s="312">
        <v>0</v>
      </c>
      <c r="D6844" s="368">
        <f>IFERROR((INDEX(METADATA!$T$2:$T$20,MATCH(B6844,METADATA!$S$2:$S$20,0))),0)</f>
        <v>0</v>
      </c>
      <c r="E6844" s="312" t="str">
        <f t="shared" si="424"/>
        <v>HI</v>
      </c>
      <c r="F6844" s="369">
        <f>VLOOKUP(C6844,METADATA!$A$5:$H$29,IF(E6844="HI",2,IF(E6844="LO",6,10))+IF(D6844=1,2,IF(D6844=7,1,(IF(WEEKDAY(B6844)=1,2,IF(WEEKDAY(B6844)=7,1,0))))))</f>
        <v>3</v>
      </c>
      <c r="G6844" s="369">
        <f>VLOOKUP(C6844,METADATA!$J$5:$Q$29,IF(E6844="HI",2,IF(E6844="LO",6,10))+IF(D6844=1,2,IF(D6844=7,1,(IF(WEEKDAY(B6844)=1,2,IF(WEEKDAY(B6844)=7,1,0))))))</f>
        <v>3</v>
      </c>
      <c r="H6844" s="370">
        <v>13596.950073242188</v>
      </c>
      <c r="I6844" s="370">
        <v>4539.2449951171875</v>
      </c>
      <c r="M6844" s="371">
        <f t="shared" si="425"/>
        <v>14334.636250004292</v>
      </c>
      <c r="N6844" s="329">
        <f t="shared" si="426"/>
        <v>460.15997314453125</v>
      </c>
      <c r="T6844" s="331">
        <v>0</v>
      </c>
      <c r="U6844" s="328">
        <f>VLOOKUP(C6844,METADATA!$J$5:$Q$29,IF(E6844="HI",2,IF(E6844="LO",6,10))+IF(T6844=1,2,IF(D6844=7,1,(IF(WEEKDAY(B6844)=1,2,IF(WEEKDAY(B6844)=7,1,0))))))</f>
        <v>3</v>
      </c>
      <c r="V6844" s="328">
        <f>VLOOKUP(C6844,METADATA!$A$5:$H$29,IF(E6844="HI",2,IF(E6844="LO",6,10))+IF(T6844=1,2,IF(D6844=7,1,(IF(WEEKDAY(B6844)=1,2,IF(WEEKDAY(B6844)=7,1,0))))))</f>
        <v>3</v>
      </c>
    </row>
    <row r="6845" spans="2:22">
      <c r="B6845" s="318">
        <f t="shared" si="427"/>
        <v>46398</v>
      </c>
      <c r="C6845" s="312">
        <v>1</v>
      </c>
      <c r="D6845" s="368">
        <f>IFERROR((INDEX(METADATA!$T$2:$T$20,MATCH(B6845,METADATA!$S$2:$S$20,0))),0)</f>
        <v>0</v>
      </c>
      <c r="E6845" s="312" t="str">
        <f t="shared" si="424"/>
        <v>HI</v>
      </c>
      <c r="F6845" s="369">
        <f>VLOOKUP(C6845,METADATA!$A$5:$H$29,IF(E6845="HI",2,IF(E6845="LO",6,10))+IF(D6845=1,2,IF(D6845=7,1,(IF(WEEKDAY(B6845)=1,2,IF(WEEKDAY(B6845)=7,1,0))))))</f>
        <v>3</v>
      </c>
      <c r="G6845" s="369">
        <f>VLOOKUP(C6845,METADATA!$J$5:$Q$29,IF(E6845="HI",2,IF(E6845="LO",6,10))+IF(D6845=1,2,IF(D6845=7,1,(IF(WEEKDAY(B6845)=1,2,IF(WEEKDAY(B6845)=7,1,0))))))</f>
        <v>3</v>
      </c>
      <c r="H6845" s="370">
        <v>13539.319580078125</v>
      </c>
      <c r="I6845" s="370">
        <v>4398.4300537109375</v>
      </c>
      <c r="M6845" s="371">
        <f t="shared" si="425"/>
        <v>14235.847766426645</v>
      </c>
      <c r="N6845" s="329">
        <f t="shared" si="426"/>
        <v>336.63417968750036</v>
      </c>
      <c r="T6845" s="331">
        <v>0</v>
      </c>
      <c r="U6845" s="328">
        <f>VLOOKUP(C6845,METADATA!$J$5:$Q$29,IF(E6845="HI",2,IF(E6845="LO",6,10))+IF(T6845=1,2,IF(D6845=7,1,(IF(WEEKDAY(B6845)=1,2,IF(WEEKDAY(B6845)=7,1,0))))))</f>
        <v>3</v>
      </c>
      <c r="V6845" s="328">
        <f>VLOOKUP(C6845,METADATA!$A$5:$H$29,IF(E6845="HI",2,IF(E6845="LO",6,10))+IF(T6845=1,2,IF(D6845=7,1,(IF(WEEKDAY(B6845)=1,2,IF(WEEKDAY(B6845)=7,1,0))))))</f>
        <v>3</v>
      </c>
    </row>
    <row r="6846" spans="2:22">
      <c r="B6846" s="318">
        <f t="shared" si="427"/>
        <v>46398</v>
      </c>
      <c r="C6846" s="312">
        <v>2</v>
      </c>
      <c r="D6846" s="368">
        <f>IFERROR((INDEX(METADATA!$T$2:$T$20,MATCH(B6846,METADATA!$S$2:$S$20,0))),0)</f>
        <v>0</v>
      </c>
      <c r="E6846" s="312" t="str">
        <f t="shared" si="424"/>
        <v>HI</v>
      </c>
      <c r="F6846" s="369">
        <f>VLOOKUP(C6846,METADATA!$A$5:$H$29,IF(E6846="HI",2,IF(E6846="LO",6,10))+IF(D6846=1,2,IF(D6846=7,1,(IF(WEEKDAY(B6846)=1,2,IF(WEEKDAY(B6846)=7,1,0))))))</f>
        <v>3</v>
      </c>
      <c r="G6846" s="369">
        <f>VLOOKUP(C6846,METADATA!$J$5:$Q$29,IF(E6846="HI",2,IF(E6846="LO",6,10))+IF(D6846=1,2,IF(D6846=7,1,(IF(WEEKDAY(B6846)=1,2,IF(WEEKDAY(B6846)=7,1,0))))))</f>
        <v>3</v>
      </c>
      <c r="H6846" s="370">
        <v>12434.425109863281</v>
      </c>
      <c r="I6846" s="370">
        <v>3732.3499908447266</v>
      </c>
      <c r="M6846" s="371">
        <f t="shared" si="425"/>
        <v>12982.502234429121</v>
      </c>
      <c r="N6846" s="329">
        <f t="shared" si="426"/>
        <v>2.0224578857423694</v>
      </c>
      <c r="T6846" s="331">
        <v>0</v>
      </c>
      <c r="U6846" s="328">
        <f>VLOOKUP(C6846,METADATA!$J$5:$Q$29,IF(E6846="HI",2,IF(E6846="LO",6,10))+IF(T6846=1,2,IF(D6846=7,1,(IF(WEEKDAY(B6846)=1,2,IF(WEEKDAY(B6846)=7,1,0))))))</f>
        <v>3</v>
      </c>
      <c r="V6846" s="328">
        <f>VLOOKUP(C6846,METADATA!$A$5:$H$29,IF(E6846="HI",2,IF(E6846="LO",6,10))+IF(T6846=1,2,IF(D6846=7,1,(IF(WEEKDAY(B6846)=1,2,IF(WEEKDAY(B6846)=7,1,0))))))</f>
        <v>3</v>
      </c>
    </row>
    <row r="6847" spans="2:22">
      <c r="B6847" s="318">
        <f t="shared" si="427"/>
        <v>46398</v>
      </c>
      <c r="C6847" s="312">
        <v>3</v>
      </c>
      <c r="D6847" s="368">
        <f>IFERROR((INDEX(METADATA!$T$2:$T$20,MATCH(B6847,METADATA!$S$2:$S$20,0))),0)</f>
        <v>0</v>
      </c>
      <c r="E6847" s="312" t="str">
        <f t="shared" si="424"/>
        <v>HI</v>
      </c>
      <c r="F6847" s="369">
        <f>VLOOKUP(C6847,METADATA!$A$5:$H$29,IF(E6847="HI",2,IF(E6847="LO",6,10))+IF(D6847=1,2,IF(D6847=7,1,(IF(WEEKDAY(B6847)=1,2,IF(WEEKDAY(B6847)=7,1,0))))))</f>
        <v>3</v>
      </c>
      <c r="G6847" s="369">
        <f>VLOOKUP(C6847,METADATA!$J$5:$Q$29,IF(E6847="HI",2,IF(E6847="LO",6,10))+IF(D6847=1,2,IF(D6847=7,1,(IF(WEEKDAY(B6847)=1,2,IF(WEEKDAY(B6847)=7,1,0))))))</f>
        <v>3</v>
      </c>
      <c r="H6847" s="370">
        <v>13197.199645996094</v>
      </c>
      <c r="I6847" s="370">
        <v>4429.4800720214844</v>
      </c>
      <c r="M6847" s="371">
        <f t="shared" si="425"/>
        <v>13920.717373925629</v>
      </c>
      <c r="N6847" s="329">
        <f t="shared" si="426"/>
        <v>470.32017822265652</v>
      </c>
      <c r="T6847" s="331">
        <v>0</v>
      </c>
      <c r="U6847" s="328">
        <f>VLOOKUP(C6847,METADATA!$J$5:$Q$29,IF(E6847="HI",2,IF(E6847="LO",6,10))+IF(T6847=1,2,IF(D6847=7,1,(IF(WEEKDAY(B6847)=1,2,IF(WEEKDAY(B6847)=7,1,0))))))</f>
        <v>3</v>
      </c>
      <c r="V6847" s="328">
        <f>VLOOKUP(C6847,METADATA!$A$5:$H$29,IF(E6847="HI",2,IF(E6847="LO",6,10))+IF(T6847=1,2,IF(D6847=7,1,(IF(WEEKDAY(B6847)=1,2,IF(WEEKDAY(B6847)=7,1,0))))))</f>
        <v>3</v>
      </c>
    </row>
    <row r="6848" spans="2:22">
      <c r="B6848" s="318">
        <f t="shared" si="427"/>
        <v>46398</v>
      </c>
      <c r="C6848" s="312">
        <v>4</v>
      </c>
      <c r="D6848" s="368">
        <f>IFERROR((INDEX(METADATA!$T$2:$T$20,MATCH(B6848,METADATA!$S$2:$S$20,0))),0)</f>
        <v>0</v>
      </c>
      <c r="E6848" s="312" t="str">
        <f t="shared" si="424"/>
        <v>HI</v>
      </c>
      <c r="F6848" s="369">
        <f>VLOOKUP(C6848,METADATA!$A$5:$H$29,IF(E6848="HI",2,IF(E6848="LO",6,10))+IF(D6848=1,2,IF(D6848=7,1,(IF(WEEKDAY(B6848)=1,2,IF(WEEKDAY(B6848)=7,1,0))))))</f>
        <v>3</v>
      </c>
      <c r="G6848" s="369">
        <f>VLOOKUP(C6848,METADATA!$J$5:$Q$29,IF(E6848="HI",2,IF(E6848="LO",6,10))+IF(D6848=1,2,IF(D6848=7,1,(IF(WEEKDAY(B6848)=1,2,IF(WEEKDAY(B6848)=7,1,0))))))</f>
        <v>3</v>
      </c>
      <c r="H6848" s="370">
        <v>11186.762634277344</v>
      </c>
      <c r="I6848" s="370">
        <v>3347.1050415039063</v>
      </c>
      <c r="M6848" s="371">
        <f t="shared" si="425"/>
        <v>11676.761982438651</v>
      </c>
      <c r="N6848" s="329">
        <f t="shared" si="426"/>
        <v>0</v>
      </c>
      <c r="T6848" s="331">
        <v>0</v>
      </c>
      <c r="U6848" s="328">
        <f>VLOOKUP(C6848,METADATA!$J$5:$Q$29,IF(E6848="HI",2,IF(E6848="LO",6,10))+IF(T6848=1,2,IF(D6848=7,1,(IF(WEEKDAY(B6848)=1,2,IF(WEEKDAY(B6848)=7,1,0))))))</f>
        <v>3</v>
      </c>
      <c r="V6848" s="328">
        <f>VLOOKUP(C6848,METADATA!$A$5:$H$29,IF(E6848="HI",2,IF(E6848="LO",6,10))+IF(T6848=1,2,IF(D6848=7,1,(IF(WEEKDAY(B6848)=1,2,IF(WEEKDAY(B6848)=7,1,0))))))</f>
        <v>3</v>
      </c>
    </row>
    <row r="6849" spans="2:22">
      <c r="B6849" s="318">
        <f t="shared" si="427"/>
        <v>46398</v>
      </c>
      <c r="C6849" s="312">
        <v>5</v>
      </c>
      <c r="D6849" s="368">
        <f>IFERROR((INDEX(METADATA!$T$2:$T$20,MATCH(B6849,METADATA!$S$2:$S$20,0))),0)</f>
        <v>0</v>
      </c>
      <c r="E6849" s="312" t="str">
        <f t="shared" si="424"/>
        <v>HI</v>
      </c>
      <c r="F6849" s="369">
        <f>VLOOKUP(C6849,METADATA!$A$5:$H$29,IF(E6849="HI",2,IF(E6849="LO",6,10))+IF(D6849=1,2,IF(D6849=7,1,(IF(WEEKDAY(B6849)=1,2,IF(WEEKDAY(B6849)=7,1,0))))))</f>
        <v>3</v>
      </c>
      <c r="G6849" s="369">
        <f>VLOOKUP(C6849,METADATA!$J$5:$Q$29,IF(E6849="HI",2,IF(E6849="LO",6,10))+IF(D6849=1,2,IF(D6849=7,1,(IF(WEEKDAY(B6849)=1,2,IF(WEEKDAY(B6849)=7,1,0))))))</f>
        <v>3</v>
      </c>
      <c r="H6849" s="370">
        <v>5040.1725158691406</v>
      </c>
      <c r="I6849" s="370">
        <v>1587.45751953125</v>
      </c>
      <c r="M6849" s="371">
        <f t="shared" si="425"/>
        <v>5284.2558952078552</v>
      </c>
      <c r="N6849" s="329">
        <f t="shared" si="426"/>
        <v>75.405764770507858</v>
      </c>
      <c r="T6849" s="331">
        <v>0</v>
      </c>
      <c r="U6849" s="328">
        <f>VLOOKUP(C6849,METADATA!$J$5:$Q$29,IF(E6849="HI",2,IF(E6849="LO",6,10))+IF(T6849=1,2,IF(D6849=7,1,(IF(WEEKDAY(B6849)=1,2,IF(WEEKDAY(B6849)=7,1,0))))))</f>
        <v>3</v>
      </c>
      <c r="V6849" s="328">
        <f>VLOOKUP(C6849,METADATA!$A$5:$H$29,IF(E6849="HI",2,IF(E6849="LO",6,10))+IF(T6849=1,2,IF(D6849=7,1,(IF(WEEKDAY(B6849)=1,2,IF(WEEKDAY(B6849)=7,1,0))))))</f>
        <v>3</v>
      </c>
    </row>
    <row r="6850" spans="2:22">
      <c r="B6850" s="318">
        <f t="shared" si="427"/>
        <v>46398</v>
      </c>
      <c r="C6850" s="312">
        <v>6</v>
      </c>
      <c r="D6850" s="368">
        <f>IFERROR((INDEX(METADATA!$T$2:$T$20,MATCH(B6850,METADATA!$S$2:$S$20,0))),0)</f>
        <v>0</v>
      </c>
      <c r="E6850" s="312" t="str">
        <f t="shared" si="424"/>
        <v>HI</v>
      </c>
      <c r="F6850" s="369">
        <f>VLOOKUP(C6850,METADATA!$A$5:$H$29,IF(E6850="HI",2,IF(E6850="LO",6,10))+IF(D6850=1,2,IF(D6850=7,1,(IF(WEEKDAY(B6850)=1,2,IF(WEEKDAY(B6850)=7,1,0))))))</f>
        <v>1</v>
      </c>
      <c r="G6850" s="369">
        <f>VLOOKUP(C6850,METADATA!$J$5:$Q$29,IF(E6850="HI",2,IF(E6850="LO",6,10))+IF(D6850=1,2,IF(D6850=7,1,(IF(WEEKDAY(B6850)=1,2,IF(WEEKDAY(B6850)=7,1,0))))))</f>
        <v>1</v>
      </c>
      <c r="H6850" s="370">
        <v>4889.1974792480469</v>
      </c>
      <c r="I6850" s="370">
        <v>1585.58251953125</v>
      </c>
      <c r="M6850" s="371">
        <f t="shared" si="425"/>
        <v>5139.8758659454534</v>
      </c>
      <c r="N6850" s="329">
        <f t="shared" si="426"/>
        <v>118.82327575683598</v>
      </c>
      <c r="T6850" s="331">
        <v>0</v>
      </c>
      <c r="U6850" s="328">
        <f>VLOOKUP(C6850,METADATA!$J$5:$Q$29,IF(E6850="HI",2,IF(E6850="LO",6,10))+IF(T6850=1,2,IF(D6850=7,1,(IF(WEEKDAY(B6850)=1,2,IF(WEEKDAY(B6850)=7,1,0))))))</f>
        <v>1</v>
      </c>
      <c r="V6850" s="328">
        <f>VLOOKUP(C6850,METADATA!$A$5:$H$29,IF(E6850="HI",2,IF(E6850="LO",6,10))+IF(T6850=1,2,IF(D6850=7,1,(IF(WEEKDAY(B6850)=1,2,IF(WEEKDAY(B6850)=7,1,0))))))</f>
        <v>1</v>
      </c>
    </row>
    <row r="6851" spans="2:22">
      <c r="B6851" s="318">
        <f t="shared" si="427"/>
        <v>46398</v>
      </c>
      <c r="C6851" s="312">
        <v>7</v>
      </c>
      <c r="D6851" s="368">
        <f>IFERROR((INDEX(METADATA!$T$2:$T$20,MATCH(B6851,METADATA!$S$2:$S$20,0))),0)</f>
        <v>0</v>
      </c>
      <c r="E6851" s="312" t="str">
        <f t="shared" si="424"/>
        <v>HI</v>
      </c>
      <c r="F6851" s="369">
        <f>VLOOKUP(C6851,METADATA!$A$5:$H$29,IF(E6851="HI",2,IF(E6851="LO",6,10))+IF(D6851=1,2,IF(D6851=7,1,(IF(WEEKDAY(B6851)=1,2,IF(WEEKDAY(B6851)=7,1,0))))))</f>
        <v>1</v>
      </c>
      <c r="G6851" s="369">
        <f>VLOOKUP(C6851,METADATA!$J$5:$Q$29,IF(E6851="HI",2,IF(E6851="LO",6,10))+IF(D6851=1,2,IF(D6851=7,1,(IF(WEEKDAY(B6851)=1,2,IF(WEEKDAY(B6851)=7,1,0))))))</f>
        <v>1</v>
      </c>
      <c r="H6851" s="370">
        <v>6085.2374572753906</v>
      </c>
      <c r="I6851" s="370">
        <v>1567.7274780273438</v>
      </c>
      <c r="M6851" s="371">
        <f t="shared" si="425"/>
        <v>6283.9386022453655</v>
      </c>
      <c r="N6851" s="329">
        <f t="shared" si="426"/>
        <v>0</v>
      </c>
      <c r="T6851" s="331">
        <v>0</v>
      </c>
      <c r="U6851" s="328">
        <f>VLOOKUP(C6851,METADATA!$J$5:$Q$29,IF(E6851="HI",2,IF(E6851="LO",6,10))+IF(T6851=1,2,IF(D6851=7,1,(IF(WEEKDAY(B6851)=1,2,IF(WEEKDAY(B6851)=7,1,0))))))</f>
        <v>1</v>
      </c>
      <c r="V6851" s="328">
        <f>VLOOKUP(C6851,METADATA!$A$5:$H$29,IF(E6851="HI",2,IF(E6851="LO",6,10))+IF(T6851=1,2,IF(D6851=7,1,(IF(WEEKDAY(B6851)=1,2,IF(WEEKDAY(B6851)=7,1,0))))))</f>
        <v>1</v>
      </c>
    </row>
    <row r="6852" spans="2:22">
      <c r="B6852" s="318">
        <f t="shared" si="427"/>
        <v>46398</v>
      </c>
      <c r="C6852" s="312">
        <v>8</v>
      </c>
      <c r="D6852" s="368">
        <f>IFERROR((INDEX(METADATA!$T$2:$T$20,MATCH(B6852,METADATA!$S$2:$S$20,0))),0)</f>
        <v>0</v>
      </c>
      <c r="E6852" s="312" t="str">
        <f t="shared" ref="E6852:E6915" si="428">IF(B6852="","",IF(AND(MONTH(B6852)&gt;=MONTH($Z$9),MONTH(B6852)&lt;=MONTH($Z$11)),"HI","LO"))</f>
        <v>HI</v>
      </c>
      <c r="F6852" s="369">
        <f>VLOOKUP(C6852,METADATA!$A$5:$H$29,IF(E6852="HI",2,IF(E6852="LO",6,10))+IF(D6852=1,2,IF(D6852=7,1,(IF(WEEKDAY(B6852)=1,2,IF(WEEKDAY(B6852)=7,1,0))))))</f>
        <v>2</v>
      </c>
      <c r="G6852" s="369">
        <f>VLOOKUP(C6852,METADATA!$J$5:$Q$29,IF(E6852="HI",2,IF(E6852="LO",6,10))+IF(D6852=1,2,IF(D6852=7,1,(IF(WEEKDAY(B6852)=1,2,IF(WEEKDAY(B6852)=7,1,0))))))</f>
        <v>2</v>
      </c>
      <c r="H6852" s="370">
        <v>5740.8900146484375</v>
      </c>
      <c r="I6852" s="370">
        <v>1638.14501953125</v>
      </c>
      <c r="M6852" s="371">
        <f t="shared" ref="M6852:M6915" si="429">SQRT(H6852^2+I6852^2)</f>
        <v>5970.0366217725314</v>
      </c>
      <c r="N6852" s="329">
        <f t="shared" ref="N6852:N6915" si="430">IF(H6852=0,0,(IF(I6852-(0.3*H6852)&lt;0,0,(I6852-(0.3*H6852)))))</f>
        <v>0</v>
      </c>
      <c r="T6852" s="331">
        <v>0</v>
      </c>
      <c r="U6852" s="328">
        <f>VLOOKUP(C6852,METADATA!$J$5:$Q$29,IF(E6852="HI",2,IF(E6852="LO",6,10))+IF(T6852=1,2,IF(D6852=7,1,(IF(WEEKDAY(B6852)=1,2,IF(WEEKDAY(B6852)=7,1,0))))))</f>
        <v>2</v>
      </c>
      <c r="V6852" s="328">
        <f>VLOOKUP(C6852,METADATA!$A$5:$H$29,IF(E6852="HI",2,IF(E6852="LO",6,10))+IF(T6852=1,2,IF(D6852=7,1,(IF(WEEKDAY(B6852)=1,2,IF(WEEKDAY(B6852)=7,1,0))))))</f>
        <v>2</v>
      </c>
    </row>
    <row r="6853" spans="2:22">
      <c r="B6853" s="318">
        <f t="shared" si="427"/>
        <v>46398</v>
      </c>
      <c r="C6853" s="312">
        <v>9</v>
      </c>
      <c r="D6853" s="368">
        <f>IFERROR((INDEX(METADATA!$T$2:$T$20,MATCH(B6853,METADATA!$S$2:$S$20,0))),0)</f>
        <v>0</v>
      </c>
      <c r="E6853" s="312" t="str">
        <f t="shared" si="428"/>
        <v>HI</v>
      </c>
      <c r="F6853" s="369">
        <f>VLOOKUP(C6853,METADATA!$A$5:$H$29,IF(E6853="HI",2,IF(E6853="LO",6,10))+IF(D6853=1,2,IF(D6853=7,1,(IF(WEEKDAY(B6853)=1,2,IF(WEEKDAY(B6853)=7,1,0))))))</f>
        <v>2</v>
      </c>
      <c r="G6853" s="369">
        <f>VLOOKUP(C6853,METADATA!$J$5:$Q$29,IF(E6853="HI",2,IF(E6853="LO",6,10))+IF(D6853=1,2,IF(D6853=7,1,(IF(WEEKDAY(B6853)=1,2,IF(WEEKDAY(B6853)=7,1,0))))))</f>
        <v>2</v>
      </c>
      <c r="H6853" s="370">
        <v>5782.9000244140625</v>
      </c>
      <c r="I6853" s="370">
        <v>1615.3925170898438</v>
      </c>
      <c r="M6853" s="371">
        <f t="shared" si="429"/>
        <v>6004.2839437053626</v>
      </c>
      <c r="N6853" s="329">
        <f t="shared" si="430"/>
        <v>0</v>
      </c>
      <c r="T6853" s="331">
        <v>0</v>
      </c>
      <c r="U6853" s="328">
        <f>VLOOKUP(C6853,METADATA!$J$5:$Q$29,IF(E6853="HI",2,IF(E6853="LO",6,10))+IF(T6853=1,2,IF(D6853=7,1,(IF(WEEKDAY(B6853)=1,2,IF(WEEKDAY(B6853)=7,1,0))))))</f>
        <v>2</v>
      </c>
      <c r="V6853" s="328">
        <f>VLOOKUP(C6853,METADATA!$A$5:$H$29,IF(E6853="HI",2,IF(E6853="LO",6,10))+IF(T6853=1,2,IF(D6853=7,1,(IF(WEEKDAY(B6853)=1,2,IF(WEEKDAY(B6853)=7,1,0))))))</f>
        <v>2</v>
      </c>
    </row>
    <row r="6854" spans="2:22">
      <c r="B6854" s="318">
        <f t="shared" si="427"/>
        <v>46398</v>
      </c>
      <c r="C6854" s="312">
        <v>10</v>
      </c>
      <c r="D6854" s="368">
        <f>IFERROR((INDEX(METADATA!$T$2:$T$20,MATCH(B6854,METADATA!$S$2:$S$20,0))),0)</f>
        <v>0</v>
      </c>
      <c r="E6854" s="312" t="str">
        <f t="shared" si="428"/>
        <v>HI</v>
      </c>
      <c r="F6854" s="369">
        <f>VLOOKUP(C6854,METADATA!$A$5:$H$29,IF(E6854="HI",2,IF(E6854="LO",6,10))+IF(D6854=1,2,IF(D6854=7,1,(IF(WEEKDAY(B6854)=1,2,IF(WEEKDAY(B6854)=7,1,0))))))</f>
        <v>2</v>
      </c>
      <c r="G6854" s="369">
        <f>VLOOKUP(C6854,METADATA!$J$5:$Q$29,IF(E6854="HI",2,IF(E6854="LO",6,10))+IF(D6854=1,2,IF(D6854=7,1,(IF(WEEKDAY(B6854)=1,2,IF(WEEKDAY(B6854)=7,1,0))))))</f>
        <v>2</v>
      </c>
      <c r="H6854" s="370">
        <v>8069.537353515625</v>
      </c>
      <c r="I6854" s="370">
        <v>1840.0324993133545</v>
      </c>
      <c r="M6854" s="371">
        <f t="shared" si="429"/>
        <v>8276.6631379024548</v>
      </c>
      <c r="N6854" s="329">
        <f t="shared" si="430"/>
        <v>0</v>
      </c>
      <c r="T6854" s="331">
        <v>0</v>
      </c>
      <c r="U6854" s="328">
        <f>VLOOKUP(C6854,METADATA!$J$5:$Q$29,IF(E6854="HI",2,IF(E6854="LO",6,10))+IF(T6854=1,2,IF(D6854=7,1,(IF(WEEKDAY(B6854)=1,2,IF(WEEKDAY(B6854)=7,1,0))))))</f>
        <v>2</v>
      </c>
      <c r="V6854" s="328">
        <f>VLOOKUP(C6854,METADATA!$A$5:$H$29,IF(E6854="HI",2,IF(E6854="LO",6,10))+IF(T6854=1,2,IF(D6854=7,1,(IF(WEEKDAY(B6854)=1,2,IF(WEEKDAY(B6854)=7,1,0))))))</f>
        <v>2</v>
      </c>
    </row>
    <row r="6855" spans="2:22">
      <c r="B6855" s="318">
        <f t="shared" si="427"/>
        <v>46398</v>
      </c>
      <c r="C6855" s="312">
        <v>11</v>
      </c>
      <c r="D6855" s="368">
        <f>IFERROR((INDEX(METADATA!$T$2:$T$20,MATCH(B6855,METADATA!$S$2:$S$20,0))),0)</f>
        <v>0</v>
      </c>
      <c r="E6855" s="312" t="str">
        <f t="shared" si="428"/>
        <v>HI</v>
      </c>
      <c r="F6855" s="369">
        <f>VLOOKUP(C6855,METADATA!$A$5:$H$29,IF(E6855="HI",2,IF(E6855="LO",6,10))+IF(D6855=1,2,IF(D6855=7,1,(IF(WEEKDAY(B6855)=1,2,IF(WEEKDAY(B6855)=7,1,0))))))</f>
        <v>2</v>
      </c>
      <c r="G6855" s="369">
        <f>VLOOKUP(C6855,METADATA!$J$5:$Q$29,IF(E6855="HI",2,IF(E6855="LO",6,10))+IF(D6855=1,2,IF(D6855=7,1,(IF(WEEKDAY(B6855)=1,2,IF(WEEKDAY(B6855)=7,1,0))))))</f>
        <v>2</v>
      </c>
      <c r="H6855" s="370">
        <v>11167.349731445313</v>
      </c>
      <c r="I6855" s="370">
        <v>3238.8475036621094</v>
      </c>
      <c r="M6855" s="371">
        <f t="shared" si="429"/>
        <v>11627.546309363381</v>
      </c>
      <c r="N6855" s="329">
        <f t="shared" si="430"/>
        <v>0</v>
      </c>
      <c r="T6855" s="331">
        <v>0</v>
      </c>
      <c r="U6855" s="328">
        <f>VLOOKUP(C6855,METADATA!$J$5:$Q$29,IF(E6855="HI",2,IF(E6855="LO",6,10))+IF(T6855=1,2,IF(D6855=7,1,(IF(WEEKDAY(B6855)=1,2,IF(WEEKDAY(B6855)=7,1,0))))))</f>
        <v>2</v>
      </c>
      <c r="V6855" s="328">
        <f>VLOOKUP(C6855,METADATA!$A$5:$H$29,IF(E6855="HI",2,IF(E6855="LO",6,10))+IF(T6855=1,2,IF(D6855=7,1,(IF(WEEKDAY(B6855)=1,2,IF(WEEKDAY(B6855)=7,1,0))))))</f>
        <v>2</v>
      </c>
    </row>
    <row r="6856" spans="2:22">
      <c r="B6856" s="318">
        <f t="shared" si="427"/>
        <v>46398</v>
      </c>
      <c r="C6856" s="312">
        <v>12</v>
      </c>
      <c r="D6856" s="368">
        <f>IFERROR((INDEX(METADATA!$T$2:$T$20,MATCH(B6856,METADATA!$S$2:$S$20,0))),0)</f>
        <v>0</v>
      </c>
      <c r="E6856" s="312" t="str">
        <f t="shared" si="428"/>
        <v>HI</v>
      </c>
      <c r="F6856" s="369">
        <f>VLOOKUP(C6856,METADATA!$A$5:$H$29,IF(E6856="HI",2,IF(E6856="LO",6,10))+IF(D6856=1,2,IF(D6856=7,1,(IF(WEEKDAY(B6856)=1,2,IF(WEEKDAY(B6856)=7,1,0))))))</f>
        <v>2</v>
      </c>
      <c r="G6856" s="369">
        <f>VLOOKUP(C6856,METADATA!$J$5:$Q$29,IF(E6856="HI",2,IF(E6856="LO",6,10))+IF(D6856=1,2,IF(D6856=7,1,(IF(WEEKDAY(B6856)=1,2,IF(WEEKDAY(B6856)=7,1,0))))))</f>
        <v>2</v>
      </c>
      <c r="H6856" s="370">
        <v>13560.849975585938</v>
      </c>
      <c r="I6856" s="370">
        <v>4524.6050109863281</v>
      </c>
      <c r="M6856" s="371">
        <f t="shared" si="429"/>
        <v>14295.758201851055</v>
      </c>
      <c r="N6856" s="329">
        <f t="shared" si="430"/>
        <v>456.35001831054706</v>
      </c>
      <c r="T6856" s="331">
        <v>0</v>
      </c>
      <c r="U6856" s="328">
        <f>VLOOKUP(C6856,METADATA!$J$5:$Q$29,IF(E6856="HI",2,IF(E6856="LO",6,10))+IF(T6856=1,2,IF(D6856=7,1,(IF(WEEKDAY(B6856)=1,2,IF(WEEKDAY(B6856)=7,1,0))))))</f>
        <v>2</v>
      </c>
      <c r="V6856" s="328">
        <f>VLOOKUP(C6856,METADATA!$A$5:$H$29,IF(E6856="HI",2,IF(E6856="LO",6,10))+IF(T6856=1,2,IF(D6856=7,1,(IF(WEEKDAY(B6856)=1,2,IF(WEEKDAY(B6856)=7,1,0))))))</f>
        <v>2</v>
      </c>
    </row>
    <row r="6857" spans="2:22">
      <c r="B6857" s="318">
        <f t="shared" si="427"/>
        <v>46398</v>
      </c>
      <c r="C6857" s="312">
        <v>13</v>
      </c>
      <c r="D6857" s="368">
        <f>IFERROR((INDEX(METADATA!$T$2:$T$20,MATCH(B6857,METADATA!$S$2:$S$20,0))),0)</f>
        <v>0</v>
      </c>
      <c r="E6857" s="312" t="str">
        <f t="shared" si="428"/>
        <v>HI</v>
      </c>
      <c r="F6857" s="369">
        <f>VLOOKUP(C6857,METADATA!$A$5:$H$29,IF(E6857="HI",2,IF(E6857="LO",6,10))+IF(D6857=1,2,IF(D6857=7,1,(IF(WEEKDAY(B6857)=1,2,IF(WEEKDAY(B6857)=7,1,0))))))</f>
        <v>2</v>
      </c>
      <c r="G6857" s="369">
        <f>VLOOKUP(C6857,METADATA!$J$5:$Q$29,IF(E6857="HI",2,IF(E6857="LO",6,10))+IF(D6857=1,2,IF(D6857=7,1,(IF(WEEKDAY(B6857)=1,2,IF(WEEKDAY(B6857)=7,1,0))))))</f>
        <v>2</v>
      </c>
      <c r="H6857" s="370">
        <v>13929.900512695313</v>
      </c>
      <c r="I6857" s="370">
        <v>4633.9949645996094</v>
      </c>
      <c r="M6857" s="371">
        <f t="shared" si="429"/>
        <v>14680.464489433693</v>
      </c>
      <c r="N6857" s="329">
        <f t="shared" si="430"/>
        <v>455.02481079101563</v>
      </c>
      <c r="T6857" s="331">
        <v>0</v>
      </c>
      <c r="U6857" s="328">
        <f>VLOOKUP(C6857,METADATA!$J$5:$Q$29,IF(E6857="HI",2,IF(E6857="LO",6,10))+IF(T6857=1,2,IF(D6857=7,1,(IF(WEEKDAY(B6857)=1,2,IF(WEEKDAY(B6857)=7,1,0))))))</f>
        <v>2</v>
      </c>
      <c r="V6857" s="328">
        <f>VLOOKUP(C6857,METADATA!$A$5:$H$29,IF(E6857="HI",2,IF(E6857="LO",6,10))+IF(T6857=1,2,IF(D6857=7,1,(IF(WEEKDAY(B6857)=1,2,IF(WEEKDAY(B6857)=7,1,0))))))</f>
        <v>2</v>
      </c>
    </row>
    <row r="6858" spans="2:22">
      <c r="B6858" s="318">
        <f t="shared" si="427"/>
        <v>46398</v>
      </c>
      <c r="C6858" s="312">
        <v>14</v>
      </c>
      <c r="D6858" s="368">
        <f>IFERROR((INDEX(METADATA!$T$2:$T$20,MATCH(B6858,METADATA!$S$2:$S$20,0))),0)</f>
        <v>0</v>
      </c>
      <c r="E6858" s="312" t="str">
        <f t="shared" si="428"/>
        <v>HI</v>
      </c>
      <c r="F6858" s="369">
        <f>VLOOKUP(C6858,METADATA!$A$5:$H$29,IF(E6858="HI",2,IF(E6858="LO",6,10))+IF(D6858=1,2,IF(D6858=7,1,(IF(WEEKDAY(B6858)=1,2,IF(WEEKDAY(B6858)=7,1,0))))))</f>
        <v>2</v>
      </c>
      <c r="G6858" s="369">
        <f>VLOOKUP(C6858,METADATA!$J$5:$Q$29,IF(E6858="HI",2,IF(E6858="LO",6,10))+IF(D6858=1,2,IF(D6858=7,1,(IF(WEEKDAY(B6858)=1,2,IF(WEEKDAY(B6858)=7,1,0))))))</f>
        <v>2</v>
      </c>
      <c r="H6858" s="370">
        <v>13740.549926757813</v>
      </c>
      <c r="I6858" s="370">
        <v>4494.3800048828125</v>
      </c>
      <c r="M6858" s="371">
        <f t="shared" si="429"/>
        <v>14456.907135276706</v>
      </c>
      <c r="N6858" s="329">
        <f t="shared" si="430"/>
        <v>372.21502685546875</v>
      </c>
      <c r="T6858" s="331">
        <v>0</v>
      </c>
      <c r="U6858" s="328">
        <f>VLOOKUP(C6858,METADATA!$J$5:$Q$29,IF(E6858="HI",2,IF(E6858="LO",6,10))+IF(T6858=1,2,IF(D6858=7,1,(IF(WEEKDAY(B6858)=1,2,IF(WEEKDAY(B6858)=7,1,0))))))</f>
        <v>2</v>
      </c>
      <c r="V6858" s="328">
        <f>VLOOKUP(C6858,METADATA!$A$5:$H$29,IF(E6858="HI",2,IF(E6858="LO",6,10))+IF(T6858=1,2,IF(D6858=7,1,(IF(WEEKDAY(B6858)=1,2,IF(WEEKDAY(B6858)=7,1,0))))))</f>
        <v>2</v>
      </c>
    </row>
    <row r="6859" spans="2:22">
      <c r="B6859" s="318">
        <f t="shared" si="427"/>
        <v>46398</v>
      </c>
      <c r="C6859" s="312">
        <v>15</v>
      </c>
      <c r="D6859" s="368">
        <f>IFERROR((INDEX(METADATA!$T$2:$T$20,MATCH(B6859,METADATA!$S$2:$S$20,0))),0)</f>
        <v>0</v>
      </c>
      <c r="E6859" s="312" t="str">
        <f t="shared" si="428"/>
        <v>HI</v>
      </c>
      <c r="F6859" s="369">
        <f>VLOOKUP(C6859,METADATA!$A$5:$H$29,IF(E6859="HI",2,IF(E6859="LO",6,10))+IF(D6859=1,2,IF(D6859=7,1,(IF(WEEKDAY(B6859)=1,2,IF(WEEKDAY(B6859)=7,1,0))))))</f>
        <v>2</v>
      </c>
      <c r="G6859" s="369">
        <f>VLOOKUP(C6859,METADATA!$J$5:$Q$29,IF(E6859="HI",2,IF(E6859="LO",6,10))+IF(D6859=1,2,IF(D6859=7,1,(IF(WEEKDAY(B6859)=1,2,IF(WEEKDAY(B6859)=7,1,0))))))</f>
        <v>2</v>
      </c>
      <c r="H6859" s="370">
        <v>13616.299743652344</v>
      </c>
      <c r="I6859" s="370">
        <v>4569.5399780273438</v>
      </c>
      <c r="M6859" s="371">
        <f t="shared" si="429"/>
        <v>14362.601237929604</v>
      </c>
      <c r="N6859" s="329">
        <f t="shared" si="430"/>
        <v>484.65005493164063</v>
      </c>
      <c r="T6859" s="331">
        <v>0</v>
      </c>
      <c r="U6859" s="328">
        <f>VLOOKUP(C6859,METADATA!$J$5:$Q$29,IF(E6859="HI",2,IF(E6859="LO",6,10))+IF(T6859=1,2,IF(D6859=7,1,(IF(WEEKDAY(B6859)=1,2,IF(WEEKDAY(B6859)=7,1,0))))))</f>
        <v>2</v>
      </c>
      <c r="V6859" s="328">
        <f>VLOOKUP(C6859,METADATA!$A$5:$H$29,IF(E6859="HI",2,IF(E6859="LO",6,10))+IF(T6859=1,2,IF(D6859=7,1,(IF(WEEKDAY(B6859)=1,2,IF(WEEKDAY(B6859)=7,1,0))))))</f>
        <v>2</v>
      </c>
    </row>
    <row r="6860" spans="2:22">
      <c r="B6860" s="318">
        <f t="shared" si="427"/>
        <v>46398</v>
      </c>
      <c r="C6860" s="312">
        <v>16</v>
      </c>
      <c r="D6860" s="368">
        <f>IFERROR((INDEX(METADATA!$T$2:$T$20,MATCH(B6860,METADATA!$S$2:$S$20,0))),0)</f>
        <v>0</v>
      </c>
      <c r="E6860" s="312" t="str">
        <f t="shared" si="428"/>
        <v>HI</v>
      </c>
      <c r="F6860" s="369">
        <f>VLOOKUP(C6860,METADATA!$A$5:$H$29,IF(E6860="HI",2,IF(E6860="LO",6,10))+IF(D6860=1,2,IF(D6860=7,1,(IF(WEEKDAY(B6860)=1,2,IF(WEEKDAY(B6860)=7,1,0))))))</f>
        <v>2</v>
      </c>
      <c r="G6860" s="369">
        <f>VLOOKUP(C6860,METADATA!$J$5:$Q$29,IF(E6860="HI",2,IF(E6860="LO",6,10))+IF(D6860=1,2,IF(D6860=7,1,(IF(WEEKDAY(B6860)=1,2,IF(WEEKDAY(B6860)=7,1,0))))))</f>
        <v>2</v>
      </c>
      <c r="H6860" s="370">
        <v>13747.924743652344</v>
      </c>
      <c r="I6860" s="370">
        <v>4565.3249816894531</v>
      </c>
      <c r="M6860" s="371">
        <f t="shared" si="429"/>
        <v>14486.118422323012</v>
      </c>
      <c r="N6860" s="329">
        <f t="shared" si="430"/>
        <v>440.94755859374982</v>
      </c>
      <c r="T6860" s="331">
        <v>0</v>
      </c>
      <c r="U6860" s="328">
        <f>VLOOKUP(C6860,METADATA!$J$5:$Q$29,IF(E6860="HI",2,IF(E6860="LO",6,10))+IF(T6860=1,2,IF(D6860=7,1,(IF(WEEKDAY(B6860)=1,2,IF(WEEKDAY(B6860)=7,1,0))))))</f>
        <v>2</v>
      </c>
      <c r="V6860" s="328">
        <f>VLOOKUP(C6860,METADATA!$A$5:$H$29,IF(E6860="HI",2,IF(E6860="LO",6,10))+IF(T6860=1,2,IF(D6860=7,1,(IF(WEEKDAY(B6860)=1,2,IF(WEEKDAY(B6860)=7,1,0))))))</f>
        <v>2</v>
      </c>
    </row>
    <row r="6861" spans="2:22">
      <c r="B6861" s="318">
        <f t="shared" si="427"/>
        <v>46398</v>
      </c>
      <c r="C6861" s="312">
        <v>17</v>
      </c>
      <c r="D6861" s="368">
        <f>IFERROR((INDEX(METADATA!$T$2:$T$20,MATCH(B6861,METADATA!$S$2:$S$20,0))),0)</f>
        <v>0</v>
      </c>
      <c r="E6861" s="312" t="str">
        <f t="shared" si="428"/>
        <v>HI</v>
      </c>
      <c r="F6861" s="369">
        <f>VLOOKUP(C6861,METADATA!$A$5:$H$29,IF(E6861="HI",2,IF(E6861="LO",6,10))+IF(D6861=1,2,IF(D6861=7,1,(IF(WEEKDAY(B6861)=1,2,IF(WEEKDAY(B6861)=7,1,0))))))</f>
        <v>1</v>
      </c>
      <c r="G6861" s="369">
        <f>VLOOKUP(C6861,METADATA!$J$5:$Q$29,IF(E6861="HI",2,IF(E6861="LO",6,10))+IF(D6861=1,2,IF(D6861=7,1,(IF(WEEKDAY(B6861)=1,2,IF(WEEKDAY(B6861)=7,1,0))))))</f>
        <v>1</v>
      </c>
      <c r="H6861" s="370">
        <v>13640.199523925781</v>
      </c>
      <c r="I6861" s="370">
        <v>4625.5299377441406</v>
      </c>
      <c r="M6861" s="371">
        <f t="shared" si="429"/>
        <v>14403.144457286833</v>
      </c>
      <c r="N6861" s="329">
        <f t="shared" si="430"/>
        <v>533.47008056640652</v>
      </c>
      <c r="T6861" s="331">
        <v>0</v>
      </c>
      <c r="U6861" s="328">
        <f>VLOOKUP(C6861,METADATA!$J$5:$Q$29,IF(E6861="HI",2,IF(E6861="LO",6,10))+IF(T6861=1,2,IF(D6861=7,1,(IF(WEEKDAY(B6861)=1,2,IF(WEEKDAY(B6861)=7,1,0))))))</f>
        <v>1</v>
      </c>
      <c r="V6861" s="328">
        <f>VLOOKUP(C6861,METADATA!$A$5:$H$29,IF(E6861="HI",2,IF(E6861="LO",6,10))+IF(T6861=1,2,IF(D6861=7,1,(IF(WEEKDAY(B6861)=1,2,IF(WEEKDAY(B6861)=7,1,0))))))</f>
        <v>1</v>
      </c>
    </row>
    <row r="6862" spans="2:22">
      <c r="B6862" s="318">
        <f t="shared" si="427"/>
        <v>46398</v>
      </c>
      <c r="C6862" s="312">
        <v>18</v>
      </c>
      <c r="D6862" s="368">
        <f>IFERROR((INDEX(METADATA!$T$2:$T$20,MATCH(B6862,METADATA!$S$2:$S$20,0))),0)</f>
        <v>0</v>
      </c>
      <c r="E6862" s="312" t="str">
        <f t="shared" si="428"/>
        <v>HI</v>
      </c>
      <c r="F6862" s="369">
        <f>VLOOKUP(C6862,METADATA!$A$5:$H$29,IF(E6862="HI",2,IF(E6862="LO",6,10))+IF(D6862=1,2,IF(D6862=7,1,(IF(WEEKDAY(B6862)=1,2,IF(WEEKDAY(B6862)=7,1,0))))))</f>
        <v>1</v>
      </c>
      <c r="G6862" s="369">
        <f>VLOOKUP(C6862,METADATA!$J$5:$Q$29,IF(E6862="HI",2,IF(E6862="LO",6,10))+IF(D6862=1,2,IF(D6862=7,1,(IF(WEEKDAY(B6862)=1,2,IF(WEEKDAY(B6862)=7,1,0))))))</f>
        <v>1</v>
      </c>
      <c r="H6862" s="370">
        <v>13547.449951171875</v>
      </c>
      <c r="I6862" s="370">
        <v>4447.10498046875</v>
      </c>
      <c r="M6862" s="371">
        <f t="shared" si="429"/>
        <v>14258.68657649844</v>
      </c>
      <c r="N6862" s="329">
        <f t="shared" si="430"/>
        <v>382.8699951171875</v>
      </c>
      <c r="T6862" s="331">
        <v>0</v>
      </c>
      <c r="U6862" s="328">
        <f>VLOOKUP(C6862,METADATA!$J$5:$Q$29,IF(E6862="HI",2,IF(E6862="LO",6,10))+IF(T6862=1,2,IF(D6862=7,1,(IF(WEEKDAY(B6862)=1,2,IF(WEEKDAY(B6862)=7,1,0))))))</f>
        <v>1</v>
      </c>
      <c r="V6862" s="328">
        <f>VLOOKUP(C6862,METADATA!$A$5:$H$29,IF(E6862="HI",2,IF(E6862="LO",6,10))+IF(T6862=1,2,IF(D6862=7,1,(IF(WEEKDAY(B6862)=1,2,IF(WEEKDAY(B6862)=7,1,0))))))</f>
        <v>1</v>
      </c>
    </row>
    <row r="6863" spans="2:22">
      <c r="B6863" s="318">
        <f t="shared" si="427"/>
        <v>46398</v>
      </c>
      <c r="C6863" s="312">
        <v>19</v>
      </c>
      <c r="D6863" s="368">
        <f>IFERROR((INDEX(METADATA!$T$2:$T$20,MATCH(B6863,METADATA!$S$2:$S$20,0))),0)</f>
        <v>0</v>
      </c>
      <c r="E6863" s="312" t="str">
        <f t="shared" si="428"/>
        <v>HI</v>
      </c>
      <c r="F6863" s="369">
        <f>VLOOKUP(C6863,METADATA!$A$5:$H$29,IF(E6863="HI",2,IF(E6863="LO",6,10))+IF(D6863=1,2,IF(D6863=7,1,(IF(WEEKDAY(B6863)=1,2,IF(WEEKDAY(B6863)=7,1,0))))))</f>
        <v>1</v>
      </c>
      <c r="G6863" s="369">
        <f>VLOOKUP(C6863,METADATA!$J$5:$Q$29,IF(E6863="HI",2,IF(E6863="LO",6,10))+IF(D6863=1,2,IF(D6863=7,1,(IF(WEEKDAY(B6863)=1,2,IF(WEEKDAY(B6863)=7,1,0))))))</f>
        <v>1</v>
      </c>
      <c r="H6863" s="370">
        <v>12700.675170898438</v>
      </c>
      <c r="I6863" s="370">
        <v>3980.0349731445313</v>
      </c>
      <c r="M6863" s="371">
        <f t="shared" si="429"/>
        <v>13309.689259487977</v>
      </c>
      <c r="N6863" s="329">
        <f t="shared" si="430"/>
        <v>169.83242187500036</v>
      </c>
      <c r="T6863" s="331">
        <v>0</v>
      </c>
      <c r="U6863" s="328">
        <f>VLOOKUP(C6863,METADATA!$J$5:$Q$29,IF(E6863="HI",2,IF(E6863="LO",6,10))+IF(T6863=1,2,IF(D6863=7,1,(IF(WEEKDAY(B6863)=1,2,IF(WEEKDAY(B6863)=7,1,0))))))</f>
        <v>1</v>
      </c>
      <c r="V6863" s="328">
        <f>VLOOKUP(C6863,METADATA!$A$5:$H$29,IF(E6863="HI",2,IF(E6863="LO",6,10))+IF(T6863=1,2,IF(D6863=7,1,(IF(WEEKDAY(B6863)=1,2,IF(WEEKDAY(B6863)=7,1,0))))))</f>
        <v>1</v>
      </c>
    </row>
    <row r="6864" spans="2:22">
      <c r="B6864" s="318">
        <f t="shared" si="427"/>
        <v>46398</v>
      </c>
      <c r="C6864" s="312">
        <v>20</v>
      </c>
      <c r="D6864" s="368">
        <f>IFERROR((INDEX(METADATA!$T$2:$T$20,MATCH(B6864,METADATA!$S$2:$S$20,0))),0)</f>
        <v>0</v>
      </c>
      <c r="E6864" s="312" t="str">
        <f t="shared" si="428"/>
        <v>HI</v>
      </c>
      <c r="F6864" s="369">
        <f>VLOOKUP(C6864,METADATA!$A$5:$H$29,IF(E6864="HI",2,IF(E6864="LO",6,10))+IF(D6864=1,2,IF(D6864=7,1,(IF(WEEKDAY(B6864)=1,2,IF(WEEKDAY(B6864)=7,1,0))))))</f>
        <v>2</v>
      </c>
      <c r="G6864" s="369">
        <f>VLOOKUP(C6864,METADATA!$J$5:$Q$29,IF(E6864="HI",2,IF(E6864="LO",6,10))+IF(D6864=1,2,IF(D6864=7,1,(IF(WEEKDAY(B6864)=1,2,IF(WEEKDAY(B6864)=7,1,0))))))</f>
        <v>2</v>
      </c>
      <c r="H6864" s="370">
        <v>12180.650085449219</v>
      </c>
      <c r="I6864" s="370">
        <v>3438.8400650024414</v>
      </c>
      <c r="M6864" s="371">
        <f t="shared" si="429"/>
        <v>12656.771211364297</v>
      </c>
      <c r="N6864" s="329">
        <f t="shared" si="430"/>
        <v>0</v>
      </c>
      <c r="T6864" s="331">
        <v>0</v>
      </c>
      <c r="U6864" s="328">
        <f>VLOOKUP(C6864,METADATA!$J$5:$Q$29,IF(E6864="HI",2,IF(E6864="LO",6,10))+IF(T6864=1,2,IF(D6864=7,1,(IF(WEEKDAY(B6864)=1,2,IF(WEEKDAY(B6864)=7,1,0))))))</f>
        <v>2</v>
      </c>
      <c r="V6864" s="328">
        <f>VLOOKUP(C6864,METADATA!$A$5:$H$29,IF(E6864="HI",2,IF(E6864="LO",6,10))+IF(T6864=1,2,IF(D6864=7,1,(IF(WEEKDAY(B6864)=1,2,IF(WEEKDAY(B6864)=7,1,0))))))</f>
        <v>2</v>
      </c>
    </row>
    <row r="6865" spans="2:22">
      <c r="B6865" s="318">
        <f t="shared" si="427"/>
        <v>46398</v>
      </c>
      <c r="C6865" s="312">
        <v>21</v>
      </c>
      <c r="D6865" s="368">
        <f>IFERROR((INDEX(METADATA!$T$2:$T$20,MATCH(B6865,METADATA!$S$2:$S$20,0))),0)</f>
        <v>0</v>
      </c>
      <c r="E6865" s="312" t="str">
        <f t="shared" si="428"/>
        <v>HI</v>
      </c>
      <c r="F6865" s="369">
        <f>VLOOKUP(C6865,METADATA!$A$5:$H$29,IF(E6865="HI",2,IF(E6865="LO",6,10))+IF(D6865=1,2,IF(D6865=7,1,(IF(WEEKDAY(B6865)=1,2,IF(WEEKDAY(B6865)=7,1,0))))))</f>
        <v>2</v>
      </c>
      <c r="G6865" s="369">
        <f>VLOOKUP(C6865,METADATA!$J$5:$Q$29,IF(E6865="HI",2,IF(E6865="LO",6,10))+IF(D6865=1,2,IF(D6865=7,1,(IF(WEEKDAY(B6865)=1,2,IF(WEEKDAY(B6865)=7,1,0))))))</f>
        <v>2</v>
      </c>
      <c r="H6865" s="370">
        <v>12211.974670410156</v>
      </c>
      <c r="I6865" s="370">
        <v>3579.1050262451172</v>
      </c>
      <c r="M6865" s="371">
        <f t="shared" si="429"/>
        <v>12725.655902138495</v>
      </c>
      <c r="N6865" s="329">
        <f t="shared" si="430"/>
        <v>0</v>
      </c>
      <c r="T6865" s="331">
        <v>0</v>
      </c>
      <c r="U6865" s="328">
        <f>VLOOKUP(C6865,METADATA!$J$5:$Q$29,IF(E6865="HI",2,IF(E6865="LO",6,10))+IF(T6865=1,2,IF(D6865=7,1,(IF(WEEKDAY(B6865)=1,2,IF(WEEKDAY(B6865)=7,1,0))))))</f>
        <v>2</v>
      </c>
      <c r="V6865" s="328">
        <f>VLOOKUP(C6865,METADATA!$A$5:$H$29,IF(E6865="HI",2,IF(E6865="LO",6,10))+IF(T6865=1,2,IF(D6865=7,1,(IF(WEEKDAY(B6865)=1,2,IF(WEEKDAY(B6865)=7,1,0))))))</f>
        <v>2</v>
      </c>
    </row>
    <row r="6866" spans="2:22">
      <c r="B6866" s="318">
        <f t="shared" si="427"/>
        <v>46398</v>
      </c>
      <c r="C6866" s="312">
        <v>22</v>
      </c>
      <c r="D6866" s="368">
        <f>IFERROR((INDEX(METADATA!$T$2:$T$20,MATCH(B6866,METADATA!$S$2:$S$20,0))),0)</f>
        <v>0</v>
      </c>
      <c r="E6866" s="312" t="str">
        <f t="shared" si="428"/>
        <v>HI</v>
      </c>
      <c r="F6866" s="369">
        <f>VLOOKUP(C6866,METADATA!$A$5:$H$29,IF(E6866="HI",2,IF(E6866="LO",6,10))+IF(D6866=1,2,IF(D6866=7,1,(IF(WEEKDAY(B6866)=1,2,IF(WEEKDAY(B6866)=7,1,0))))))</f>
        <v>3</v>
      </c>
      <c r="G6866" s="369">
        <f>VLOOKUP(C6866,METADATA!$J$5:$Q$29,IF(E6866="HI",2,IF(E6866="LO",6,10))+IF(D6866=1,2,IF(D6866=7,1,(IF(WEEKDAY(B6866)=1,2,IF(WEEKDAY(B6866)=7,1,0))))))</f>
        <v>3</v>
      </c>
      <c r="H6866" s="370">
        <v>12470.524963378906</v>
      </c>
      <c r="I6866" s="370">
        <v>3700.9550018310547</v>
      </c>
      <c r="M6866" s="371">
        <f t="shared" si="429"/>
        <v>13008.115189674281</v>
      </c>
      <c r="N6866" s="329">
        <f t="shared" si="430"/>
        <v>0</v>
      </c>
      <c r="T6866" s="331">
        <v>0</v>
      </c>
      <c r="U6866" s="328">
        <f>VLOOKUP(C6866,METADATA!$J$5:$Q$29,IF(E6866="HI",2,IF(E6866="LO",6,10))+IF(T6866=1,2,IF(D6866=7,1,(IF(WEEKDAY(B6866)=1,2,IF(WEEKDAY(B6866)=7,1,0))))))</f>
        <v>3</v>
      </c>
      <c r="V6866" s="328">
        <f>VLOOKUP(C6866,METADATA!$A$5:$H$29,IF(E6866="HI",2,IF(E6866="LO",6,10))+IF(T6866=1,2,IF(D6866=7,1,(IF(WEEKDAY(B6866)=1,2,IF(WEEKDAY(B6866)=7,1,0))))))</f>
        <v>3</v>
      </c>
    </row>
    <row r="6867" spans="2:22">
      <c r="B6867" s="318">
        <f t="shared" si="427"/>
        <v>46398</v>
      </c>
      <c r="C6867" s="312">
        <v>23</v>
      </c>
      <c r="D6867" s="368">
        <f>IFERROR((INDEX(METADATA!$T$2:$T$20,MATCH(B6867,METADATA!$S$2:$S$20,0))),0)</f>
        <v>0</v>
      </c>
      <c r="E6867" s="312" t="str">
        <f t="shared" si="428"/>
        <v>HI</v>
      </c>
      <c r="F6867" s="369">
        <f>VLOOKUP(C6867,METADATA!$A$5:$H$29,IF(E6867="HI",2,IF(E6867="LO",6,10))+IF(D6867=1,2,IF(D6867=7,1,(IF(WEEKDAY(B6867)=1,2,IF(WEEKDAY(B6867)=7,1,0))))))</f>
        <v>3</v>
      </c>
      <c r="G6867" s="369">
        <f>VLOOKUP(C6867,METADATA!$J$5:$Q$29,IF(E6867="HI",2,IF(E6867="LO",6,10))+IF(D6867=1,2,IF(D6867=7,1,(IF(WEEKDAY(B6867)=1,2,IF(WEEKDAY(B6867)=7,1,0))))))</f>
        <v>3</v>
      </c>
      <c r="H6867" s="370">
        <v>13121.72509765625</v>
      </c>
      <c r="I6867" s="370">
        <v>4378.3500366210938</v>
      </c>
      <c r="M6867" s="371">
        <f t="shared" si="429"/>
        <v>13832.917934464942</v>
      </c>
      <c r="N6867" s="329">
        <f t="shared" si="430"/>
        <v>441.83250732421902</v>
      </c>
      <c r="T6867" s="331">
        <v>0</v>
      </c>
      <c r="U6867" s="328">
        <f>VLOOKUP(C6867,METADATA!$J$5:$Q$29,IF(E6867="HI",2,IF(E6867="LO",6,10))+IF(T6867=1,2,IF(D6867=7,1,(IF(WEEKDAY(B6867)=1,2,IF(WEEKDAY(B6867)=7,1,0))))))</f>
        <v>3</v>
      </c>
      <c r="V6867" s="328">
        <f>VLOOKUP(C6867,METADATA!$A$5:$H$29,IF(E6867="HI",2,IF(E6867="LO",6,10))+IF(T6867=1,2,IF(D6867=7,1,(IF(WEEKDAY(B6867)=1,2,IF(WEEKDAY(B6867)=7,1,0))))))</f>
        <v>3</v>
      </c>
    </row>
    <row r="6868" spans="2:22">
      <c r="B6868" s="318">
        <f t="shared" si="427"/>
        <v>46399</v>
      </c>
      <c r="C6868" s="312">
        <v>0</v>
      </c>
      <c r="D6868" s="368">
        <f>IFERROR((INDEX(METADATA!$T$2:$T$20,MATCH(B6868,METADATA!$S$2:$S$20,0))),0)</f>
        <v>0</v>
      </c>
      <c r="E6868" s="312" t="str">
        <f t="shared" si="428"/>
        <v>HI</v>
      </c>
      <c r="F6868" s="369">
        <f>VLOOKUP(C6868,METADATA!$A$5:$H$29,IF(E6868="HI",2,IF(E6868="LO",6,10))+IF(D6868=1,2,IF(D6868=7,1,(IF(WEEKDAY(B6868)=1,2,IF(WEEKDAY(B6868)=7,1,0))))))</f>
        <v>3</v>
      </c>
      <c r="G6868" s="369">
        <f>VLOOKUP(C6868,METADATA!$J$5:$Q$29,IF(E6868="HI",2,IF(E6868="LO",6,10))+IF(D6868=1,2,IF(D6868=7,1,(IF(WEEKDAY(B6868)=1,2,IF(WEEKDAY(B6868)=7,1,0))))))</f>
        <v>3</v>
      </c>
      <c r="H6868" s="370">
        <v>13309.474914550781</v>
      </c>
      <c r="I6868" s="370">
        <v>4309.614990234375</v>
      </c>
      <c r="M6868" s="371">
        <f t="shared" si="429"/>
        <v>13989.814289872091</v>
      </c>
      <c r="N6868" s="329">
        <f t="shared" si="430"/>
        <v>316.77251586914099</v>
      </c>
      <c r="T6868" s="331">
        <v>0</v>
      </c>
      <c r="U6868" s="328">
        <f>VLOOKUP(C6868,METADATA!$J$5:$Q$29,IF(E6868="HI",2,IF(E6868="LO",6,10))+IF(T6868=1,2,IF(D6868=7,1,(IF(WEEKDAY(B6868)=1,2,IF(WEEKDAY(B6868)=7,1,0))))))</f>
        <v>3</v>
      </c>
      <c r="V6868" s="328">
        <f>VLOOKUP(C6868,METADATA!$A$5:$H$29,IF(E6868="HI",2,IF(E6868="LO",6,10))+IF(T6868=1,2,IF(D6868=7,1,(IF(WEEKDAY(B6868)=1,2,IF(WEEKDAY(B6868)=7,1,0))))))</f>
        <v>3</v>
      </c>
    </row>
    <row r="6869" spans="2:22">
      <c r="B6869" s="318">
        <f t="shared" si="427"/>
        <v>46399</v>
      </c>
      <c r="C6869" s="312">
        <v>1</v>
      </c>
      <c r="D6869" s="368">
        <f>IFERROR((INDEX(METADATA!$T$2:$T$20,MATCH(B6869,METADATA!$S$2:$S$20,0))),0)</f>
        <v>0</v>
      </c>
      <c r="E6869" s="312" t="str">
        <f t="shared" si="428"/>
        <v>HI</v>
      </c>
      <c r="F6869" s="369">
        <f>VLOOKUP(C6869,METADATA!$A$5:$H$29,IF(E6869="HI",2,IF(E6869="LO",6,10))+IF(D6869=1,2,IF(D6869=7,1,(IF(WEEKDAY(B6869)=1,2,IF(WEEKDAY(B6869)=7,1,0))))))</f>
        <v>3</v>
      </c>
      <c r="G6869" s="369">
        <f>VLOOKUP(C6869,METADATA!$J$5:$Q$29,IF(E6869="HI",2,IF(E6869="LO",6,10))+IF(D6869=1,2,IF(D6869=7,1,(IF(WEEKDAY(B6869)=1,2,IF(WEEKDAY(B6869)=7,1,0))))))</f>
        <v>3</v>
      </c>
      <c r="H6869" s="370">
        <v>13375.278015136719</v>
      </c>
      <c r="I6869" s="370">
        <v>4517.8724365234375</v>
      </c>
      <c r="M6869" s="371">
        <f t="shared" si="429"/>
        <v>14117.69220995053</v>
      </c>
      <c r="N6869" s="329">
        <f t="shared" si="430"/>
        <v>505.28903198242188</v>
      </c>
      <c r="T6869" s="331">
        <v>0</v>
      </c>
      <c r="U6869" s="328">
        <f>VLOOKUP(C6869,METADATA!$J$5:$Q$29,IF(E6869="HI",2,IF(E6869="LO",6,10))+IF(T6869=1,2,IF(D6869=7,1,(IF(WEEKDAY(B6869)=1,2,IF(WEEKDAY(B6869)=7,1,0))))))</f>
        <v>3</v>
      </c>
      <c r="V6869" s="328">
        <f>VLOOKUP(C6869,METADATA!$A$5:$H$29,IF(E6869="HI",2,IF(E6869="LO",6,10))+IF(T6869=1,2,IF(D6869=7,1,(IF(WEEKDAY(B6869)=1,2,IF(WEEKDAY(B6869)=7,1,0))))))</f>
        <v>3</v>
      </c>
    </row>
    <row r="6870" spans="2:22">
      <c r="B6870" s="318">
        <f t="shared" si="427"/>
        <v>46399</v>
      </c>
      <c r="C6870" s="312">
        <v>2</v>
      </c>
      <c r="D6870" s="368">
        <f>IFERROR((INDEX(METADATA!$T$2:$T$20,MATCH(B6870,METADATA!$S$2:$S$20,0))),0)</f>
        <v>0</v>
      </c>
      <c r="E6870" s="312" t="str">
        <f t="shared" si="428"/>
        <v>HI</v>
      </c>
      <c r="F6870" s="369">
        <f>VLOOKUP(C6870,METADATA!$A$5:$H$29,IF(E6870="HI",2,IF(E6870="LO",6,10))+IF(D6870=1,2,IF(D6870=7,1,(IF(WEEKDAY(B6870)=1,2,IF(WEEKDAY(B6870)=7,1,0))))))</f>
        <v>3</v>
      </c>
      <c r="G6870" s="369">
        <f>VLOOKUP(C6870,METADATA!$J$5:$Q$29,IF(E6870="HI",2,IF(E6870="LO",6,10))+IF(D6870=1,2,IF(D6870=7,1,(IF(WEEKDAY(B6870)=1,2,IF(WEEKDAY(B6870)=7,1,0))))))</f>
        <v>3</v>
      </c>
      <c r="H6870" s="370">
        <v>13577.125183105469</v>
      </c>
      <c r="I6870" s="370">
        <v>4613.2150573730469</v>
      </c>
      <c r="M6870" s="371">
        <f t="shared" si="429"/>
        <v>14339.458895066093</v>
      </c>
      <c r="N6870" s="329">
        <f t="shared" si="430"/>
        <v>540.07750244140652</v>
      </c>
      <c r="T6870" s="331">
        <v>0</v>
      </c>
      <c r="U6870" s="328">
        <f>VLOOKUP(C6870,METADATA!$J$5:$Q$29,IF(E6870="HI",2,IF(E6870="LO",6,10))+IF(T6870=1,2,IF(D6870=7,1,(IF(WEEKDAY(B6870)=1,2,IF(WEEKDAY(B6870)=7,1,0))))))</f>
        <v>3</v>
      </c>
      <c r="V6870" s="328">
        <f>VLOOKUP(C6870,METADATA!$A$5:$H$29,IF(E6870="HI",2,IF(E6870="LO",6,10))+IF(T6870=1,2,IF(D6870=7,1,(IF(WEEKDAY(B6870)=1,2,IF(WEEKDAY(B6870)=7,1,0))))))</f>
        <v>3</v>
      </c>
    </row>
    <row r="6871" spans="2:22">
      <c r="B6871" s="318">
        <f t="shared" si="427"/>
        <v>46399</v>
      </c>
      <c r="C6871" s="312">
        <v>3</v>
      </c>
      <c r="D6871" s="368">
        <f>IFERROR((INDEX(METADATA!$T$2:$T$20,MATCH(B6871,METADATA!$S$2:$S$20,0))),0)</f>
        <v>0</v>
      </c>
      <c r="E6871" s="312" t="str">
        <f t="shared" si="428"/>
        <v>HI</v>
      </c>
      <c r="F6871" s="369">
        <f>VLOOKUP(C6871,METADATA!$A$5:$H$29,IF(E6871="HI",2,IF(E6871="LO",6,10))+IF(D6871=1,2,IF(D6871=7,1,(IF(WEEKDAY(B6871)=1,2,IF(WEEKDAY(B6871)=7,1,0))))))</f>
        <v>3</v>
      </c>
      <c r="G6871" s="369">
        <f>VLOOKUP(C6871,METADATA!$J$5:$Q$29,IF(E6871="HI",2,IF(E6871="LO",6,10))+IF(D6871=1,2,IF(D6871=7,1,(IF(WEEKDAY(B6871)=1,2,IF(WEEKDAY(B6871)=7,1,0))))))</f>
        <v>3</v>
      </c>
      <c r="H6871" s="370">
        <v>13478.27490234375</v>
      </c>
      <c r="I6871" s="370">
        <v>4519.9600219726563</v>
      </c>
      <c r="M6871" s="371">
        <f t="shared" si="429"/>
        <v>14215.974568891874</v>
      </c>
      <c r="N6871" s="329">
        <f t="shared" si="430"/>
        <v>476.47755126953143</v>
      </c>
      <c r="T6871" s="331">
        <v>0</v>
      </c>
      <c r="U6871" s="328">
        <f>VLOOKUP(C6871,METADATA!$J$5:$Q$29,IF(E6871="HI",2,IF(E6871="LO",6,10))+IF(T6871=1,2,IF(D6871=7,1,(IF(WEEKDAY(B6871)=1,2,IF(WEEKDAY(B6871)=7,1,0))))))</f>
        <v>3</v>
      </c>
      <c r="V6871" s="328">
        <f>VLOOKUP(C6871,METADATA!$A$5:$H$29,IF(E6871="HI",2,IF(E6871="LO",6,10))+IF(T6871=1,2,IF(D6871=7,1,(IF(WEEKDAY(B6871)=1,2,IF(WEEKDAY(B6871)=7,1,0))))))</f>
        <v>3</v>
      </c>
    </row>
    <row r="6872" spans="2:22">
      <c r="B6872" s="318">
        <f t="shared" si="427"/>
        <v>46399</v>
      </c>
      <c r="C6872" s="312">
        <v>4</v>
      </c>
      <c r="D6872" s="368">
        <f>IFERROR((INDEX(METADATA!$T$2:$T$20,MATCH(B6872,METADATA!$S$2:$S$20,0))),0)</f>
        <v>0</v>
      </c>
      <c r="E6872" s="312" t="str">
        <f t="shared" si="428"/>
        <v>HI</v>
      </c>
      <c r="F6872" s="369">
        <f>VLOOKUP(C6872,METADATA!$A$5:$H$29,IF(E6872="HI",2,IF(E6872="LO",6,10))+IF(D6872=1,2,IF(D6872=7,1,(IF(WEEKDAY(B6872)=1,2,IF(WEEKDAY(B6872)=7,1,0))))))</f>
        <v>3</v>
      </c>
      <c r="G6872" s="369">
        <f>VLOOKUP(C6872,METADATA!$J$5:$Q$29,IF(E6872="HI",2,IF(E6872="LO",6,10))+IF(D6872=1,2,IF(D6872=7,1,(IF(WEEKDAY(B6872)=1,2,IF(WEEKDAY(B6872)=7,1,0))))))</f>
        <v>3</v>
      </c>
      <c r="H6872" s="370">
        <v>13279.550048828125</v>
      </c>
      <c r="I6872" s="370">
        <v>4350.4601135253906</v>
      </c>
      <c r="M6872" s="371">
        <f t="shared" si="429"/>
        <v>13974.009900479763</v>
      </c>
      <c r="N6872" s="329">
        <f t="shared" si="430"/>
        <v>366.59509887695322</v>
      </c>
      <c r="T6872" s="331">
        <v>0</v>
      </c>
      <c r="U6872" s="328">
        <f>VLOOKUP(C6872,METADATA!$J$5:$Q$29,IF(E6872="HI",2,IF(E6872="LO",6,10))+IF(T6872=1,2,IF(D6872=7,1,(IF(WEEKDAY(B6872)=1,2,IF(WEEKDAY(B6872)=7,1,0))))))</f>
        <v>3</v>
      </c>
      <c r="V6872" s="328">
        <f>VLOOKUP(C6872,METADATA!$A$5:$H$29,IF(E6872="HI",2,IF(E6872="LO",6,10))+IF(T6872=1,2,IF(D6872=7,1,(IF(WEEKDAY(B6872)=1,2,IF(WEEKDAY(B6872)=7,1,0))))))</f>
        <v>3</v>
      </c>
    </row>
    <row r="6873" spans="2:22">
      <c r="B6873" s="318">
        <f t="shared" si="427"/>
        <v>46399</v>
      </c>
      <c r="C6873" s="312">
        <v>5</v>
      </c>
      <c r="D6873" s="368">
        <f>IFERROR((INDEX(METADATA!$T$2:$T$20,MATCH(B6873,METADATA!$S$2:$S$20,0))),0)</f>
        <v>0</v>
      </c>
      <c r="E6873" s="312" t="str">
        <f t="shared" si="428"/>
        <v>HI</v>
      </c>
      <c r="F6873" s="369">
        <f>VLOOKUP(C6873,METADATA!$A$5:$H$29,IF(E6873="HI",2,IF(E6873="LO",6,10))+IF(D6873=1,2,IF(D6873=7,1,(IF(WEEKDAY(B6873)=1,2,IF(WEEKDAY(B6873)=7,1,0))))))</f>
        <v>3</v>
      </c>
      <c r="G6873" s="369">
        <f>VLOOKUP(C6873,METADATA!$J$5:$Q$29,IF(E6873="HI",2,IF(E6873="LO",6,10))+IF(D6873=1,2,IF(D6873=7,1,(IF(WEEKDAY(B6873)=1,2,IF(WEEKDAY(B6873)=7,1,0))))))</f>
        <v>3</v>
      </c>
      <c r="H6873" s="370">
        <v>11470.72509765625</v>
      </c>
      <c r="I6873" s="370">
        <v>2801.7549591064453</v>
      </c>
      <c r="M6873" s="371">
        <f t="shared" si="429"/>
        <v>11807.93653086256</v>
      </c>
      <c r="N6873" s="329">
        <f t="shared" si="430"/>
        <v>0</v>
      </c>
      <c r="T6873" s="331">
        <v>0</v>
      </c>
      <c r="U6873" s="328">
        <f>VLOOKUP(C6873,METADATA!$J$5:$Q$29,IF(E6873="HI",2,IF(E6873="LO",6,10))+IF(T6873=1,2,IF(D6873=7,1,(IF(WEEKDAY(B6873)=1,2,IF(WEEKDAY(B6873)=7,1,0))))))</f>
        <v>3</v>
      </c>
      <c r="V6873" s="328">
        <f>VLOOKUP(C6873,METADATA!$A$5:$H$29,IF(E6873="HI",2,IF(E6873="LO",6,10))+IF(T6873=1,2,IF(D6873=7,1,(IF(WEEKDAY(B6873)=1,2,IF(WEEKDAY(B6873)=7,1,0))))))</f>
        <v>3</v>
      </c>
    </row>
    <row r="6874" spans="2:22">
      <c r="B6874" s="318">
        <f t="shared" si="427"/>
        <v>46399</v>
      </c>
      <c r="C6874" s="312">
        <v>6</v>
      </c>
      <c r="D6874" s="368">
        <f>IFERROR((INDEX(METADATA!$T$2:$T$20,MATCH(B6874,METADATA!$S$2:$S$20,0))),0)</f>
        <v>0</v>
      </c>
      <c r="E6874" s="312" t="str">
        <f t="shared" si="428"/>
        <v>HI</v>
      </c>
      <c r="F6874" s="369">
        <f>VLOOKUP(C6874,METADATA!$A$5:$H$29,IF(E6874="HI",2,IF(E6874="LO",6,10))+IF(D6874=1,2,IF(D6874=7,1,(IF(WEEKDAY(B6874)=1,2,IF(WEEKDAY(B6874)=7,1,0))))))</f>
        <v>1</v>
      </c>
      <c r="G6874" s="369">
        <f>VLOOKUP(C6874,METADATA!$J$5:$Q$29,IF(E6874="HI",2,IF(E6874="LO",6,10))+IF(D6874=1,2,IF(D6874=7,1,(IF(WEEKDAY(B6874)=1,2,IF(WEEKDAY(B6874)=7,1,0))))))</f>
        <v>1</v>
      </c>
      <c r="H6874" s="370">
        <v>10130.325012207031</v>
      </c>
      <c r="I6874" s="370">
        <v>1866.004997253418</v>
      </c>
      <c r="M6874" s="371">
        <f t="shared" si="429"/>
        <v>10300.750433959756</v>
      </c>
      <c r="N6874" s="329">
        <f t="shared" si="430"/>
        <v>0</v>
      </c>
      <c r="T6874" s="331">
        <v>0</v>
      </c>
      <c r="U6874" s="328">
        <f>VLOOKUP(C6874,METADATA!$J$5:$Q$29,IF(E6874="HI",2,IF(E6874="LO",6,10))+IF(T6874=1,2,IF(D6874=7,1,(IF(WEEKDAY(B6874)=1,2,IF(WEEKDAY(B6874)=7,1,0))))))</f>
        <v>1</v>
      </c>
      <c r="V6874" s="328">
        <f>VLOOKUP(C6874,METADATA!$A$5:$H$29,IF(E6874="HI",2,IF(E6874="LO",6,10))+IF(T6874=1,2,IF(D6874=7,1,(IF(WEEKDAY(B6874)=1,2,IF(WEEKDAY(B6874)=7,1,0))))))</f>
        <v>1</v>
      </c>
    </row>
    <row r="6875" spans="2:22">
      <c r="B6875" s="318">
        <f t="shared" si="427"/>
        <v>46399</v>
      </c>
      <c r="C6875" s="312">
        <v>7</v>
      </c>
      <c r="D6875" s="368">
        <f>IFERROR((INDEX(METADATA!$T$2:$T$20,MATCH(B6875,METADATA!$S$2:$S$20,0))),0)</f>
        <v>0</v>
      </c>
      <c r="E6875" s="312" t="str">
        <f t="shared" si="428"/>
        <v>HI</v>
      </c>
      <c r="F6875" s="369">
        <f>VLOOKUP(C6875,METADATA!$A$5:$H$29,IF(E6875="HI",2,IF(E6875="LO",6,10))+IF(D6875=1,2,IF(D6875=7,1,(IF(WEEKDAY(B6875)=1,2,IF(WEEKDAY(B6875)=7,1,0))))))</f>
        <v>1</v>
      </c>
      <c r="G6875" s="369">
        <f>VLOOKUP(C6875,METADATA!$J$5:$Q$29,IF(E6875="HI",2,IF(E6875="LO",6,10))+IF(D6875=1,2,IF(D6875=7,1,(IF(WEEKDAY(B6875)=1,2,IF(WEEKDAY(B6875)=7,1,0))))))</f>
        <v>1</v>
      </c>
      <c r="H6875" s="370">
        <v>10211.950073242188</v>
      </c>
      <c r="I6875" s="370">
        <v>1898.0849914550781</v>
      </c>
      <c r="M6875" s="371">
        <f t="shared" si="429"/>
        <v>10386.849904238443</v>
      </c>
      <c r="N6875" s="329">
        <f t="shared" si="430"/>
        <v>0</v>
      </c>
      <c r="T6875" s="331">
        <v>0</v>
      </c>
      <c r="U6875" s="328">
        <f>VLOOKUP(C6875,METADATA!$J$5:$Q$29,IF(E6875="HI",2,IF(E6875="LO",6,10))+IF(T6875=1,2,IF(D6875=7,1,(IF(WEEKDAY(B6875)=1,2,IF(WEEKDAY(B6875)=7,1,0))))))</f>
        <v>1</v>
      </c>
      <c r="V6875" s="328">
        <f>VLOOKUP(C6875,METADATA!$A$5:$H$29,IF(E6875="HI",2,IF(E6875="LO",6,10))+IF(T6875=1,2,IF(D6875=7,1,(IF(WEEKDAY(B6875)=1,2,IF(WEEKDAY(B6875)=7,1,0))))))</f>
        <v>1</v>
      </c>
    </row>
    <row r="6876" spans="2:22">
      <c r="B6876" s="318">
        <f t="shared" ref="B6876:B6939" si="431">B6852+1</f>
        <v>46399</v>
      </c>
      <c r="C6876" s="312">
        <v>8</v>
      </c>
      <c r="D6876" s="368">
        <f>IFERROR((INDEX(METADATA!$T$2:$T$20,MATCH(B6876,METADATA!$S$2:$S$20,0))),0)</f>
        <v>0</v>
      </c>
      <c r="E6876" s="312" t="str">
        <f t="shared" si="428"/>
        <v>HI</v>
      </c>
      <c r="F6876" s="369">
        <f>VLOOKUP(C6876,METADATA!$A$5:$H$29,IF(E6876="HI",2,IF(E6876="LO",6,10))+IF(D6876=1,2,IF(D6876=7,1,(IF(WEEKDAY(B6876)=1,2,IF(WEEKDAY(B6876)=7,1,0))))))</f>
        <v>2</v>
      </c>
      <c r="G6876" s="369">
        <f>VLOOKUP(C6876,METADATA!$J$5:$Q$29,IF(E6876="HI",2,IF(E6876="LO",6,10))+IF(D6876=1,2,IF(D6876=7,1,(IF(WEEKDAY(B6876)=1,2,IF(WEEKDAY(B6876)=7,1,0))))))</f>
        <v>2</v>
      </c>
      <c r="H6876" s="370">
        <v>11730.599975585938</v>
      </c>
      <c r="I6876" s="370">
        <v>2834.4600250720978</v>
      </c>
      <c r="M6876" s="371">
        <f t="shared" si="429"/>
        <v>12068.187080955802</v>
      </c>
      <c r="N6876" s="329">
        <f t="shared" si="430"/>
        <v>0</v>
      </c>
      <c r="T6876" s="331">
        <v>0</v>
      </c>
      <c r="U6876" s="328">
        <f>VLOOKUP(C6876,METADATA!$J$5:$Q$29,IF(E6876="HI",2,IF(E6876="LO",6,10))+IF(T6876=1,2,IF(D6876=7,1,(IF(WEEKDAY(B6876)=1,2,IF(WEEKDAY(B6876)=7,1,0))))))</f>
        <v>2</v>
      </c>
      <c r="V6876" s="328">
        <f>VLOOKUP(C6876,METADATA!$A$5:$H$29,IF(E6876="HI",2,IF(E6876="LO",6,10))+IF(T6876=1,2,IF(D6876=7,1,(IF(WEEKDAY(B6876)=1,2,IF(WEEKDAY(B6876)=7,1,0))))))</f>
        <v>2</v>
      </c>
    </row>
    <row r="6877" spans="2:22">
      <c r="B6877" s="318">
        <f t="shared" si="431"/>
        <v>46399</v>
      </c>
      <c r="C6877" s="312">
        <v>9</v>
      </c>
      <c r="D6877" s="368">
        <f>IFERROR((INDEX(METADATA!$T$2:$T$20,MATCH(B6877,METADATA!$S$2:$S$20,0))),0)</f>
        <v>0</v>
      </c>
      <c r="E6877" s="312" t="str">
        <f t="shared" si="428"/>
        <v>HI</v>
      </c>
      <c r="F6877" s="369">
        <f>VLOOKUP(C6877,METADATA!$A$5:$H$29,IF(E6877="HI",2,IF(E6877="LO",6,10))+IF(D6877=1,2,IF(D6877=7,1,(IF(WEEKDAY(B6877)=1,2,IF(WEEKDAY(B6877)=7,1,0))))))</f>
        <v>2</v>
      </c>
      <c r="G6877" s="369">
        <f>VLOOKUP(C6877,METADATA!$J$5:$Q$29,IF(E6877="HI",2,IF(E6877="LO",6,10))+IF(D6877=1,2,IF(D6877=7,1,(IF(WEEKDAY(B6877)=1,2,IF(WEEKDAY(B6877)=7,1,0))))))</f>
        <v>2</v>
      </c>
      <c r="H6877" s="370">
        <v>12136.600036621094</v>
      </c>
      <c r="I6877" s="370">
        <v>3049.070046544075</v>
      </c>
      <c r="M6877" s="371">
        <f t="shared" si="429"/>
        <v>12513.747983623587</v>
      </c>
      <c r="N6877" s="329">
        <f t="shared" si="430"/>
        <v>0</v>
      </c>
      <c r="T6877" s="331">
        <v>0</v>
      </c>
      <c r="U6877" s="328">
        <f>VLOOKUP(C6877,METADATA!$J$5:$Q$29,IF(E6877="HI",2,IF(E6877="LO",6,10))+IF(T6877=1,2,IF(D6877=7,1,(IF(WEEKDAY(B6877)=1,2,IF(WEEKDAY(B6877)=7,1,0))))))</f>
        <v>2</v>
      </c>
      <c r="V6877" s="328">
        <f>VLOOKUP(C6877,METADATA!$A$5:$H$29,IF(E6877="HI",2,IF(E6877="LO",6,10))+IF(T6877=1,2,IF(D6877=7,1,(IF(WEEKDAY(B6877)=1,2,IF(WEEKDAY(B6877)=7,1,0))))))</f>
        <v>2</v>
      </c>
    </row>
    <row r="6878" spans="2:22">
      <c r="B6878" s="318">
        <f t="shared" si="431"/>
        <v>46399</v>
      </c>
      <c r="C6878" s="312">
        <v>10</v>
      </c>
      <c r="D6878" s="368">
        <f>IFERROR((INDEX(METADATA!$T$2:$T$20,MATCH(B6878,METADATA!$S$2:$S$20,0))),0)</f>
        <v>0</v>
      </c>
      <c r="E6878" s="312" t="str">
        <f t="shared" si="428"/>
        <v>HI</v>
      </c>
      <c r="F6878" s="369">
        <f>VLOOKUP(C6878,METADATA!$A$5:$H$29,IF(E6878="HI",2,IF(E6878="LO",6,10))+IF(D6878=1,2,IF(D6878=7,1,(IF(WEEKDAY(B6878)=1,2,IF(WEEKDAY(B6878)=7,1,0))))))</f>
        <v>2</v>
      </c>
      <c r="G6878" s="369">
        <f>VLOOKUP(C6878,METADATA!$J$5:$Q$29,IF(E6878="HI",2,IF(E6878="LO",6,10))+IF(D6878=1,2,IF(D6878=7,1,(IF(WEEKDAY(B6878)=1,2,IF(WEEKDAY(B6878)=7,1,0))))))</f>
        <v>2</v>
      </c>
      <c r="H6878" s="370">
        <v>12370.300170898438</v>
      </c>
      <c r="I6878" s="370">
        <v>3233.1850814819336</v>
      </c>
      <c r="M6878" s="371">
        <f t="shared" si="429"/>
        <v>12785.844207139677</v>
      </c>
      <c r="N6878" s="329">
        <f t="shared" si="430"/>
        <v>0</v>
      </c>
      <c r="T6878" s="331">
        <v>0</v>
      </c>
      <c r="U6878" s="328">
        <f>VLOOKUP(C6878,METADATA!$J$5:$Q$29,IF(E6878="HI",2,IF(E6878="LO",6,10))+IF(T6878=1,2,IF(D6878=7,1,(IF(WEEKDAY(B6878)=1,2,IF(WEEKDAY(B6878)=7,1,0))))))</f>
        <v>2</v>
      </c>
      <c r="V6878" s="328">
        <f>VLOOKUP(C6878,METADATA!$A$5:$H$29,IF(E6878="HI",2,IF(E6878="LO",6,10))+IF(T6878=1,2,IF(D6878=7,1,(IF(WEEKDAY(B6878)=1,2,IF(WEEKDAY(B6878)=7,1,0))))))</f>
        <v>2</v>
      </c>
    </row>
    <row r="6879" spans="2:22">
      <c r="B6879" s="318">
        <f t="shared" si="431"/>
        <v>46399</v>
      </c>
      <c r="C6879" s="312">
        <v>11</v>
      </c>
      <c r="D6879" s="368">
        <f>IFERROR((INDEX(METADATA!$T$2:$T$20,MATCH(B6879,METADATA!$S$2:$S$20,0))),0)</f>
        <v>0</v>
      </c>
      <c r="E6879" s="312" t="str">
        <f t="shared" si="428"/>
        <v>HI</v>
      </c>
      <c r="F6879" s="369">
        <f>VLOOKUP(C6879,METADATA!$A$5:$H$29,IF(E6879="HI",2,IF(E6879="LO",6,10))+IF(D6879=1,2,IF(D6879=7,1,(IF(WEEKDAY(B6879)=1,2,IF(WEEKDAY(B6879)=7,1,0))))))</f>
        <v>2</v>
      </c>
      <c r="G6879" s="369">
        <f>VLOOKUP(C6879,METADATA!$J$5:$Q$29,IF(E6879="HI",2,IF(E6879="LO",6,10))+IF(D6879=1,2,IF(D6879=7,1,(IF(WEEKDAY(B6879)=1,2,IF(WEEKDAY(B6879)=7,1,0))))))</f>
        <v>2</v>
      </c>
      <c r="H6879" s="370">
        <v>8534.3748779296875</v>
      </c>
      <c r="I6879" s="370">
        <v>2778.449951171875</v>
      </c>
      <c r="M6879" s="371">
        <f t="shared" si="429"/>
        <v>8975.2625971725392</v>
      </c>
      <c r="N6879" s="329">
        <f t="shared" si="430"/>
        <v>218.13748779296884</v>
      </c>
      <c r="T6879" s="331">
        <v>0</v>
      </c>
      <c r="U6879" s="328">
        <f>VLOOKUP(C6879,METADATA!$J$5:$Q$29,IF(E6879="HI",2,IF(E6879="LO",6,10))+IF(T6879=1,2,IF(D6879=7,1,(IF(WEEKDAY(B6879)=1,2,IF(WEEKDAY(B6879)=7,1,0))))))</f>
        <v>2</v>
      </c>
      <c r="V6879" s="328">
        <f>VLOOKUP(C6879,METADATA!$A$5:$H$29,IF(E6879="HI",2,IF(E6879="LO",6,10))+IF(T6879=1,2,IF(D6879=7,1,(IF(WEEKDAY(B6879)=1,2,IF(WEEKDAY(B6879)=7,1,0))))))</f>
        <v>2</v>
      </c>
    </row>
    <row r="6880" spans="2:22">
      <c r="B6880" s="318">
        <f t="shared" si="431"/>
        <v>46399</v>
      </c>
      <c r="C6880" s="312">
        <v>12</v>
      </c>
      <c r="D6880" s="368">
        <f>IFERROR((INDEX(METADATA!$T$2:$T$20,MATCH(B6880,METADATA!$S$2:$S$20,0))),0)</f>
        <v>0</v>
      </c>
      <c r="E6880" s="312" t="str">
        <f t="shared" si="428"/>
        <v>HI</v>
      </c>
      <c r="F6880" s="369">
        <f>VLOOKUP(C6880,METADATA!$A$5:$H$29,IF(E6880="HI",2,IF(E6880="LO",6,10))+IF(D6880=1,2,IF(D6880=7,1,(IF(WEEKDAY(B6880)=1,2,IF(WEEKDAY(B6880)=7,1,0))))))</f>
        <v>2</v>
      </c>
      <c r="G6880" s="369">
        <f>VLOOKUP(C6880,METADATA!$J$5:$Q$29,IF(E6880="HI",2,IF(E6880="LO",6,10))+IF(D6880=1,2,IF(D6880=7,1,(IF(WEEKDAY(B6880)=1,2,IF(WEEKDAY(B6880)=7,1,0))))))</f>
        <v>2</v>
      </c>
      <c r="H6880" s="370">
        <v>8757.14990234375</v>
      </c>
      <c r="I6880" s="370">
        <v>1901.1374979019165</v>
      </c>
      <c r="M6880" s="371">
        <f t="shared" si="429"/>
        <v>8961.1382200057542</v>
      </c>
      <c r="N6880" s="329">
        <f t="shared" si="430"/>
        <v>0</v>
      </c>
      <c r="T6880" s="331">
        <v>0</v>
      </c>
      <c r="U6880" s="328">
        <f>VLOOKUP(C6880,METADATA!$J$5:$Q$29,IF(E6880="HI",2,IF(E6880="LO",6,10))+IF(T6880=1,2,IF(D6880=7,1,(IF(WEEKDAY(B6880)=1,2,IF(WEEKDAY(B6880)=7,1,0))))))</f>
        <v>2</v>
      </c>
      <c r="V6880" s="328">
        <f>VLOOKUP(C6880,METADATA!$A$5:$H$29,IF(E6880="HI",2,IF(E6880="LO",6,10))+IF(T6880=1,2,IF(D6880=7,1,(IF(WEEKDAY(B6880)=1,2,IF(WEEKDAY(B6880)=7,1,0))))))</f>
        <v>2</v>
      </c>
    </row>
    <row r="6881" spans="2:22">
      <c r="B6881" s="318">
        <f t="shared" si="431"/>
        <v>46399</v>
      </c>
      <c r="C6881" s="312">
        <v>13</v>
      </c>
      <c r="D6881" s="368">
        <f>IFERROR((INDEX(METADATA!$T$2:$T$20,MATCH(B6881,METADATA!$S$2:$S$20,0))),0)</f>
        <v>0</v>
      </c>
      <c r="E6881" s="312" t="str">
        <f t="shared" si="428"/>
        <v>HI</v>
      </c>
      <c r="F6881" s="369">
        <f>VLOOKUP(C6881,METADATA!$A$5:$H$29,IF(E6881="HI",2,IF(E6881="LO",6,10))+IF(D6881=1,2,IF(D6881=7,1,(IF(WEEKDAY(B6881)=1,2,IF(WEEKDAY(B6881)=7,1,0))))))</f>
        <v>2</v>
      </c>
      <c r="G6881" s="369">
        <f>VLOOKUP(C6881,METADATA!$J$5:$Q$29,IF(E6881="HI",2,IF(E6881="LO",6,10))+IF(D6881=1,2,IF(D6881=7,1,(IF(WEEKDAY(B6881)=1,2,IF(WEEKDAY(B6881)=7,1,0))))))</f>
        <v>2</v>
      </c>
      <c r="H6881" s="370">
        <v>8368.5</v>
      </c>
      <c r="I6881" s="370">
        <v>2166.969970703125</v>
      </c>
      <c r="M6881" s="371">
        <f t="shared" si="429"/>
        <v>8644.5098822275122</v>
      </c>
      <c r="N6881" s="329">
        <f t="shared" si="430"/>
        <v>0</v>
      </c>
      <c r="T6881" s="331">
        <v>0</v>
      </c>
      <c r="U6881" s="328">
        <f>VLOOKUP(C6881,METADATA!$J$5:$Q$29,IF(E6881="HI",2,IF(E6881="LO",6,10))+IF(T6881=1,2,IF(D6881=7,1,(IF(WEEKDAY(B6881)=1,2,IF(WEEKDAY(B6881)=7,1,0))))))</f>
        <v>2</v>
      </c>
      <c r="V6881" s="328">
        <f>VLOOKUP(C6881,METADATA!$A$5:$H$29,IF(E6881="HI",2,IF(E6881="LO",6,10))+IF(T6881=1,2,IF(D6881=7,1,(IF(WEEKDAY(B6881)=1,2,IF(WEEKDAY(B6881)=7,1,0))))))</f>
        <v>2</v>
      </c>
    </row>
    <row r="6882" spans="2:22">
      <c r="B6882" s="318">
        <f t="shared" si="431"/>
        <v>46399</v>
      </c>
      <c r="C6882" s="312">
        <v>14</v>
      </c>
      <c r="D6882" s="368">
        <f>IFERROR((INDEX(METADATA!$T$2:$T$20,MATCH(B6882,METADATA!$S$2:$S$20,0))),0)</f>
        <v>0</v>
      </c>
      <c r="E6882" s="312" t="str">
        <f t="shared" si="428"/>
        <v>HI</v>
      </c>
      <c r="F6882" s="369">
        <f>VLOOKUP(C6882,METADATA!$A$5:$H$29,IF(E6882="HI",2,IF(E6882="LO",6,10))+IF(D6882=1,2,IF(D6882=7,1,(IF(WEEKDAY(B6882)=1,2,IF(WEEKDAY(B6882)=7,1,0))))))</f>
        <v>2</v>
      </c>
      <c r="G6882" s="369">
        <f>VLOOKUP(C6882,METADATA!$J$5:$Q$29,IF(E6882="HI",2,IF(E6882="LO",6,10))+IF(D6882=1,2,IF(D6882=7,1,(IF(WEEKDAY(B6882)=1,2,IF(WEEKDAY(B6882)=7,1,0))))))</f>
        <v>2</v>
      </c>
      <c r="H6882" s="370">
        <v>8708.8250732421875</v>
      </c>
      <c r="I6882" s="370">
        <v>2783.6000366210938</v>
      </c>
      <c r="M6882" s="371">
        <f t="shared" si="429"/>
        <v>9142.8695342440897</v>
      </c>
      <c r="N6882" s="329">
        <f t="shared" si="430"/>
        <v>170.9525146484375</v>
      </c>
      <c r="T6882" s="331">
        <v>0</v>
      </c>
      <c r="U6882" s="328">
        <f>VLOOKUP(C6882,METADATA!$J$5:$Q$29,IF(E6882="HI",2,IF(E6882="LO",6,10))+IF(T6882=1,2,IF(D6882=7,1,(IF(WEEKDAY(B6882)=1,2,IF(WEEKDAY(B6882)=7,1,0))))))</f>
        <v>2</v>
      </c>
      <c r="V6882" s="328">
        <f>VLOOKUP(C6882,METADATA!$A$5:$H$29,IF(E6882="HI",2,IF(E6882="LO",6,10))+IF(T6882=1,2,IF(D6882=7,1,(IF(WEEKDAY(B6882)=1,2,IF(WEEKDAY(B6882)=7,1,0))))))</f>
        <v>2</v>
      </c>
    </row>
    <row r="6883" spans="2:22">
      <c r="B6883" s="318">
        <f t="shared" si="431"/>
        <v>46399</v>
      </c>
      <c r="C6883" s="312">
        <v>15</v>
      </c>
      <c r="D6883" s="368">
        <f>IFERROR((INDEX(METADATA!$T$2:$T$20,MATCH(B6883,METADATA!$S$2:$S$20,0))),0)</f>
        <v>0</v>
      </c>
      <c r="E6883" s="312" t="str">
        <f t="shared" si="428"/>
        <v>HI</v>
      </c>
      <c r="F6883" s="369">
        <f>VLOOKUP(C6883,METADATA!$A$5:$H$29,IF(E6883="HI",2,IF(E6883="LO",6,10))+IF(D6883=1,2,IF(D6883=7,1,(IF(WEEKDAY(B6883)=1,2,IF(WEEKDAY(B6883)=7,1,0))))))</f>
        <v>2</v>
      </c>
      <c r="G6883" s="369">
        <f>VLOOKUP(C6883,METADATA!$J$5:$Q$29,IF(E6883="HI",2,IF(E6883="LO",6,10))+IF(D6883=1,2,IF(D6883=7,1,(IF(WEEKDAY(B6883)=1,2,IF(WEEKDAY(B6883)=7,1,0))))))</f>
        <v>2</v>
      </c>
      <c r="H6883" s="370">
        <v>8685.0499267578125</v>
      </c>
      <c r="I6883" s="370">
        <v>2758.1000366210938</v>
      </c>
      <c r="M6883" s="371">
        <f t="shared" si="429"/>
        <v>9112.4754069509108</v>
      </c>
      <c r="N6883" s="329">
        <f t="shared" si="430"/>
        <v>152.58505859375009</v>
      </c>
      <c r="T6883" s="331">
        <v>0</v>
      </c>
      <c r="U6883" s="328">
        <f>VLOOKUP(C6883,METADATA!$J$5:$Q$29,IF(E6883="HI",2,IF(E6883="LO",6,10))+IF(T6883=1,2,IF(D6883=7,1,(IF(WEEKDAY(B6883)=1,2,IF(WEEKDAY(B6883)=7,1,0))))))</f>
        <v>2</v>
      </c>
      <c r="V6883" s="328">
        <f>VLOOKUP(C6883,METADATA!$A$5:$H$29,IF(E6883="HI",2,IF(E6883="LO",6,10))+IF(T6883=1,2,IF(D6883=7,1,(IF(WEEKDAY(B6883)=1,2,IF(WEEKDAY(B6883)=7,1,0))))))</f>
        <v>2</v>
      </c>
    </row>
    <row r="6884" spans="2:22">
      <c r="B6884" s="318">
        <f t="shared" si="431"/>
        <v>46399</v>
      </c>
      <c r="C6884" s="312">
        <v>16</v>
      </c>
      <c r="D6884" s="368">
        <f>IFERROR((INDEX(METADATA!$T$2:$T$20,MATCH(B6884,METADATA!$S$2:$S$20,0))),0)</f>
        <v>0</v>
      </c>
      <c r="E6884" s="312" t="str">
        <f t="shared" si="428"/>
        <v>HI</v>
      </c>
      <c r="F6884" s="369">
        <f>VLOOKUP(C6884,METADATA!$A$5:$H$29,IF(E6884="HI",2,IF(E6884="LO",6,10))+IF(D6884=1,2,IF(D6884=7,1,(IF(WEEKDAY(B6884)=1,2,IF(WEEKDAY(B6884)=7,1,0))))))</f>
        <v>2</v>
      </c>
      <c r="G6884" s="369">
        <f>VLOOKUP(C6884,METADATA!$J$5:$Q$29,IF(E6884="HI",2,IF(E6884="LO",6,10))+IF(D6884=1,2,IF(D6884=7,1,(IF(WEEKDAY(B6884)=1,2,IF(WEEKDAY(B6884)=7,1,0))))))</f>
        <v>2</v>
      </c>
      <c r="H6884" s="370">
        <v>9504.4501342773438</v>
      </c>
      <c r="I6884" s="370">
        <v>2838.9799194335938</v>
      </c>
      <c r="M6884" s="371">
        <f t="shared" si="429"/>
        <v>9919.3941013507356</v>
      </c>
      <c r="N6884" s="329">
        <f t="shared" si="430"/>
        <v>0</v>
      </c>
      <c r="T6884" s="331">
        <v>0</v>
      </c>
      <c r="U6884" s="328">
        <f>VLOOKUP(C6884,METADATA!$J$5:$Q$29,IF(E6884="HI",2,IF(E6884="LO",6,10))+IF(T6884=1,2,IF(D6884=7,1,(IF(WEEKDAY(B6884)=1,2,IF(WEEKDAY(B6884)=7,1,0))))))</f>
        <v>2</v>
      </c>
      <c r="V6884" s="328">
        <f>VLOOKUP(C6884,METADATA!$A$5:$H$29,IF(E6884="HI",2,IF(E6884="LO",6,10))+IF(T6884=1,2,IF(D6884=7,1,(IF(WEEKDAY(B6884)=1,2,IF(WEEKDAY(B6884)=7,1,0))))))</f>
        <v>2</v>
      </c>
    </row>
    <row r="6885" spans="2:22">
      <c r="B6885" s="318">
        <f t="shared" si="431"/>
        <v>46399</v>
      </c>
      <c r="C6885" s="312">
        <v>17</v>
      </c>
      <c r="D6885" s="368">
        <f>IFERROR((INDEX(METADATA!$T$2:$T$20,MATCH(B6885,METADATA!$S$2:$S$20,0))),0)</f>
        <v>0</v>
      </c>
      <c r="E6885" s="312" t="str">
        <f t="shared" si="428"/>
        <v>HI</v>
      </c>
      <c r="F6885" s="369">
        <f>VLOOKUP(C6885,METADATA!$A$5:$H$29,IF(E6885="HI",2,IF(E6885="LO",6,10))+IF(D6885=1,2,IF(D6885=7,1,(IF(WEEKDAY(B6885)=1,2,IF(WEEKDAY(B6885)=7,1,0))))))</f>
        <v>1</v>
      </c>
      <c r="G6885" s="369">
        <f>VLOOKUP(C6885,METADATA!$J$5:$Q$29,IF(E6885="HI",2,IF(E6885="LO",6,10))+IF(D6885=1,2,IF(D6885=7,1,(IF(WEEKDAY(B6885)=1,2,IF(WEEKDAY(B6885)=7,1,0))))))</f>
        <v>1</v>
      </c>
      <c r="H6885" s="370">
        <v>11776.150146484375</v>
      </c>
      <c r="I6885" s="370">
        <v>3316.982421875</v>
      </c>
      <c r="M6885" s="371">
        <f t="shared" si="429"/>
        <v>12234.381253646288</v>
      </c>
      <c r="N6885" s="329">
        <f t="shared" si="430"/>
        <v>0</v>
      </c>
      <c r="T6885" s="331">
        <v>0</v>
      </c>
      <c r="U6885" s="328">
        <f>VLOOKUP(C6885,METADATA!$J$5:$Q$29,IF(E6885="HI",2,IF(E6885="LO",6,10))+IF(T6885=1,2,IF(D6885=7,1,(IF(WEEKDAY(B6885)=1,2,IF(WEEKDAY(B6885)=7,1,0))))))</f>
        <v>1</v>
      </c>
      <c r="V6885" s="328">
        <f>VLOOKUP(C6885,METADATA!$A$5:$H$29,IF(E6885="HI",2,IF(E6885="LO",6,10))+IF(T6885=1,2,IF(D6885=7,1,(IF(WEEKDAY(B6885)=1,2,IF(WEEKDAY(B6885)=7,1,0))))))</f>
        <v>1</v>
      </c>
    </row>
    <row r="6886" spans="2:22">
      <c r="B6886" s="318">
        <f t="shared" si="431"/>
        <v>46399</v>
      </c>
      <c r="C6886" s="312">
        <v>18</v>
      </c>
      <c r="D6886" s="368">
        <f>IFERROR((INDEX(METADATA!$T$2:$T$20,MATCH(B6886,METADATA!$S$2:$S$20,0))),0)</f>
        <v>0</v>
      </c>
      <c r="E6886" s="312" t="str">
        <f t="shared" si="428"/>
        <v>HI</v>
      </c>
      <c r="F6886" s="369">
        <f>VLOOKUP(C6886,METADATA!$A$5:$H$29,IF(E6886="HI",2,IF(E6886="LO",6,10))+IF(D6886=1,2,IF(D6886=7,1,(IF(WEEKDAY(B6886)=1,2,IF(WEEKDAY(B6886)=7,1,0))))))</f>
        <v>1</v>
      </c>
      <c r="G6886" s="369">
        <f>VLOOKUP(C6886,METADATA!$J$5:$Q$29,IF(E6886="HI",2,IF(E6886="LO",6,10))+IF(D6886=1,2,IF(D6886=7,1,(IF(WEEKDAY(B6886)=1,2,IF(WEEKDAY(B6886)=7,1,0))))))</f>
        <v>1</v>
      </c>
      <c r="H6886" s="370">
        <v>12116.799743652344</v>
      </c>
      <c r="I6886" s="370">
        <v>3378.2224731445313</v>
      </c>
      <c r="M6886" s="371">
        <f t="shared" si="429"/>
        <v>12578.919790897478</v>
      </c>
      <c r="N6886" s="329">
        <f t="shared" si="430"/>
        <v>0</v>
      </c>
      <c r="T6886" s="331">
        <v>0</v>
      </c>
      <c r="U6886" s="328">
        <f>VLOOKUP(C6886,METADATA!$J$5:$Q$29,IF(E6886="HI",2,IF(E6886="LO",6,10))+IF(T6886=1,2,IF(D6886=7,1,(IF(WEEKDAY(B6886)=1,2,IF(WEEKDAY(B6886)=7,1,0))))))</f>
        <v>1</v>
      </c>
      <c r="V6886" s="328">
        <f>VLOOKUP(C6886,METADATA!$A$5:$H$29,IF(E6886="HI",2,IF(E6886="LO",6,10))+IF(T6886=1,2,IF(D6886=7,1,(IF(WEEKDAY(B6886)=1,2,IF(WEEKDAY(B6886)=7,1,0))))))</f>
        <v>1</v>
      </c>
    </row>
    <row r="6887" spans="2:22">
      <c r="B6887" s="318">
        <f t="shared" si="431"/>
        <v>46399</v>
      </c>
      <c r="C6887" s="312">
        <v>19</v>
      </c>
      <c r="D6887" s="368">
        <f>IFERROR((INDEX(METADATA!$T$2:$T$20,MATCH(B6887,METADATA!$S$2:$S$20,0))),0)</f>
        <v>0</v>
      </c>
      <c r="E6887" s="312" t="str">
        <f t="shared" si="428"/>
        <v>HI</v>
      </c>
      <c r="F6887" s="369">
        <f>VLOOKUP(C6887,METADATA!$A$5:$H$29,IF(E6887="HI",2,IF(E6887="LO",6,10))+IF(D6887=1,2,IF(D6887=7,1,(IF(WEEKDAY(B6887)=1,2,IF(WEEKDAY(B6887)=7,1,0))))))</f>
        <v>1</v>
      </c>
      <c r="G6887" s="369">
        <f>VLOOKUP(C6887,METADATA!$J$5:$Q$29,IF(E6887="HI",2,IF(E6887="LO",6,10))+IF(D6887=1,2,IF(D6887=7,1,(IF(WEEKDAY(B6887)=1,2,IF(WEEKDAY(B6887)=7,1,0))))))</f>
        <v>1</v>
      </c>
      <c r="H6887" s="370">
        <v>13791.075012207031</v>
      </c>
      <c r="I6887" s="370">
        <v>4361.9250793457031</v>
      </c>
      <c r="M6887" s="371">
        <f t="shared" si="429"/>
        <v>14464.444005565723</v>
      </c>
      <c r="N6887" s="329">
        <f t="shared" si="430"/>
        <v>224.6025756835943</v>
      </c>
      <c r="T6887" s="331">
        <v>0</v>
      </c>
      <c r="U6887" s="328">
        <f>VLOOKUP(C6887,METADATA!$J$5:$Q$29,IF(E6887="HI",2,IF(E6887="LO",6,10))+IF(T6887=1,2,IF(D6887=7,1,(IF(WEEKDAY(B6887)=1,2,IF(WEEKDAY(B6887)=7,1,0))))))</f>
        <v>1</v>
      </c>
      <c r="V6887" s="328">
        <f>VLOOKUP(C6887,METADATA!$A$5:$H$29,IF(E6887="HI",2,IF(E6887="LO",6,10))+IF(T6887=1,2,IF(D6887=7,1,(IF(WEEKDAY(B6887)=1,2,IF(WEEKDAY(B6887)=7,1,0))))))</f>
        <v>1</v>
      </c>
    </row>
    <row r="6888" spans="2:22">
      <c r="B6888" s="318">
        <f t="shared" si="431"/>
        <v>46399</v>
      </c>
      <c r="C6888" s="312">
        <v>20</v>
      </c>
      <c r="D6888" s="368">
        <f>IFERROR((INDEX(METADATA!$T$2:$T$20,MATCH(B6888,METADATA!$S$2:$S$20,0))),0)</f>
        <v>0</v>
      </c>
      <c r="E6888" s="312" t="str">
        <f t="shared" si="428"/>
        <v>HI</v>
      </c>
      <c r="F6888" s="369">
        <f>VLOOKUP(C6888,METADATA!$A$5:$H$29,IF(E6888="HI",2,IF(E6888="LO",6,10))+IF(D6888=1,2,IF(D6888=7,1,(IF(WEEKDAY(B6888)=1,2,IF(WEEKDAY(B6888)=7,1,0))))))</f>
        <v>2</v>
      </c>
      <c r="G6888" s="369">
        <f>VLOOKUP(C6888,METADATA!$J$5:$Q$29,IF(E6888="HI",2,IF(E6888="LO",6,10))+IF(D6888=1,2,IF(D6888=7,1,(IF(WEEKDAY(B6888)=1,2,IF(WEEKDAY(B6888)=7,1,0))))))</f>
        <v>2</v>
      </c>
      <c r="H6888" s="370">
        <v>13706.225158691406</v>
      </c>
      <c r="I6888" s="370">
        <v>4437.6250305175781</v>
      </c>
      <c r="M6888" s="371">
        <f t="shared" si="429"/>
        <v>14406.704134264068</v>
      </c>
      <c r="N6888" s="329">
        <f t="shared" si="430"/>
        <v>325.7574829101568</v>
      </c>
      <c r="T6888" s="331">
        <v>0</v>
      </c>
      <c r="U6888" s="328">
        <f>VLOOKUP(C6888,METADATA!$J$5:$Q$29,IF(E6888="HI",2,IF(E6888="LO",6,10))+IF(T6888=1,2,IF(D6888=7,1,(IF(WEEKDAY(B6888)=1,2,IF(WEEKDAY(B6888)=7,1,0))))))</f>
        <v>2</v>
      </c>
      <c r="V6888" s="328">
        <f>VLOOKUP(C6888,METADATA!$A$5:$H$29,IF(E6888="HI",2,IF(E6888="LO",6,10))+IF(T6888=1,2,IF(D6888=7,1,(IF(WEEKDAY(B6888)=1,2,IF(WEEKDAY(B6888)=7,1,0))))))</f>
        <v>2</v>
      </c>
    </row>
    <row r="6889" spans="2:22">
      <c r="B6889" s="318">
        <f t="shared" si="431"/>
        <v>46399</v>
      </c>
      <c r="C6889" s="312">
        <v>21</v>
      </c>
      <c r="D6889" s="368">
        <f>IFERROR((INDEX(METADATA!$T$2:$T$20,MATCH(B6889,METADATA!$S$2:$S$20,0))),0)</f>
        <v>0</v>
      </c>
      <c r="E6889" s="312" t="str">
        <f t="shared" si="428"/>
        <v>HI</v>
      </c>
      <c r="F6889" s="369">
        <f>VLOOKUP(C6889,METADATA!$A$5:$H$29,IF(E6889="HI",2,IF(E6889="LO",6,10))+IF(D6889=1,2,IF(D6889=7,1,(IF(WEEKDAY(B6889)=1,2,IF(WEEKDAY(B6889)=7,1,0))))))</f>
        <v>2</v>
      </c>
      <c r="G6889" s="369">
        <f>VLOOKUP(C6889,METADATA!$J$5:$Q$29,IF(E6889="HI",2,IF(E6889="LO",6,10))+IF(D6889=1,2,IF(D6889=7,1,(IF(WEEKDAY(B6889)=1,2,IF(WEEKDAY(B6889)=7,1,0))))))</f>
        <v>2</v>
      </c>
      <c r="H6889" s="370">
        <v>13901.375</v>
      </c>
      <c r="I6889" s="370">
        <v>4569.5200500488281</v>
      </c>
      <c r="M6889" s="371">
        <f t="shared" si="429"/>
        <v>14633.138432285237</v>
      </c>
      <c r="N6889" s="329">
        <f t="shared" si="430"/>
        <v>399.10755004882867</v>
      </c>
      <c r="T6889" s="331">
        <v>0</v>
      </c>
      <c r="U6889" s="328">
        <f>VLOOKUP(C6889,METADATA!$J$5:$Q$29,IF(E6889="HI",2,IF(E6889="LO",6,10))+IF(T6889=1,2,IF(D6889=7,1,(IF(WEEKDAY(B6889)=1,2,IF(WEEKDAY(B6889)=7,1,0))))))</f>
        <v>2</v>
      </c>
      <c r="V6889" s="328">
        <f>VLOOKUP(C6889,METADATA!$A$5:$H$29,IF(E6889="HI",2,IF(E6889="LO",6,10))+IF(T6889=1,2,IF(D6889=7,1,(IF(WEEKDAY(B6889)=1,2,IF(WEEKDAY(B6889)=7,1,0))))))</f>
        <v>2</v>
      </c>
    </row>
    <row r="6890" spans="2:22">
      <c r="B6890" s="318">
        <f t="shared" si="431"/>
        <v>46399</v>
      </c>
      <c r="C6890" s="312">
        <v>22</v>
      </c>
      <c r="D6890" s="368">
        <f>IFERROR((INDEX(METADATA!$T$2:$T$20,MATCH(B6890,METADATA!$S$2:$S$20,0))),0)</f>
        <v>0</v>
      </c>
      <c r="E6890" s="312" t="str">
        <f t="shared" si="428"/>
        <v>HI</v>
      </c>
      <c r="F6890" s="369">
        <f>VLOOKUP(C6890,METADATA!$A$5:$H$29,IF(E6890="HI",2,IF(E6890="LO",6,10))+IF(D6890=1,2,IF(D6890=7,1,(IF(WEEKDAY(B6890)=1,2,IF(WEEKDAY(B6890)=7,1,0))))))</f>
        <v>3</v>
      </c>
      <c r="G6890" s="369">
        <f>VLOOKUP(C6890,METADATA!$J$5:$Q$29,IF(E6890="HI",2,IF(E6890="LO",6,10))+IF(D6890=1,2,IF(D6890=7,1,(IF(WEEKDAY(B6890)=1,2,IF(WEEKDAY(B6890)=7,1,0))))))</f>
        <v>3</v>
      </c>
      <c r="H6890" s="370">
        <v>13592.974914550781</v>
      </c>
      <c r="I6890" s="370">
        <v>4377.9600219726563</v>
      </c>
      <c r="M6890" s="371">
        <f t="shared" si="429"/>
        <v>14280.598761312413</v>
      </c>
      <c r="N6890" s="329">
        <f t="shared" si="430"/>
        <v>300.06754760742206</v>
      </c>
      <c r="T6890" s="331">
        <v>0</v>
      </c>
      <c r="U6890" s="328">
        <f>VLOOKUP(C6890,METADATA!$J$5:$Q$29,IF(E6890="HI",2,IF(E6890="LO",6,10))+IF(T6890=1,2,IF(D6890=7,1,(IF(WEEKDAY(B6890)=1,2,IF(WEEKDAY(B6890)=7,1,0))))))</f>
        <v>3</v>
      </c>
      <c r="V6890" s="328">
        <f>VLOOKUP(C6890,METADATA!$A$5:$H$29,IF(E6890="HI",2,IF(E6890="LO",6,10))+IF(T6890=1,2,IF(D6890=7,1,(IF(WEEKDAY(B6890)=1,2,IF(WEEKDAY(B6890)=7,1,0))))))</f>
        <v>3</v>
      </c>
    </row>
    <row r="6891" spans="2:22">
      <c r="B6891" s="318">
        <f t="shared" si="431"/>
        <v>46399</v>
      </c>
      <c r="C6891" s="312">
        <v>23</v>
      </c>
      <c r="D6891" s="368">
        <f>IFERROR((INDEX(METADATA!$T$2:$T$20,MATCH(B6891,METADATA!$S$2:$S$20,0))),0)</f>
        <v>0</v>
      </c>
      <c r="E6891" s="312" t="str">
        <f t="shared" si="428"/>
        <v>HI</v>
      </c>
      <c r="F6891" s="369">
        <f>VLOOKUP(C6891,METADATA!$A$5:$H$29,IF(E6891="HI",2,IF(E6891="LO",6,10))+IF(D6891=1,2,IF(D6891=7,1,(IF(WEEKDAY(B6891)=1,2,IF(WEEKDAY(B6891)=7,1,0))))))</f>
        <v>3</v>
      </c>
      <c r="G6891" s="369">
        <f>VLOOKUP(C6891,METADATA!$J$5:$Q$29,IF(E6891="HI",2,IF(E6891="LO",6,10))+IF(D6891=1,2,IF(D6891=7,1,(IF(WEEKDAY(B6891)=1,2,IF(WEEKDAY(B6891)=7,1,0))))))</f>
        <v>3</v>
      </c>
      <c r="H6891" s="370">
        <v>12533.200012207031</v>
      </c>
      <c r="I6891" s="370">
        <v>3855.8200378417969</v>
      </c>
      <c r="M6891" s="371">
        <f t="shared" si="429"/>
        <v>13112.911603080707</v>
      </c>
      <c r="N6891" s="329">
        <f t="shared" si="430"/>
        <v>95.860034179687773</v>
      </c>
      <c r="T6891" s="331">
        <v>0</v>
      </c>
      <c r="U6891" s="328">
        <f>VLOOKUP(C6891,METADATA!$J$5:$Q$29,IF(E6891="HI",2,IF(E6891="LO",6,10))+IF(T6891=1,2,IF(D6891=7,1,(IF(WEEKDAY(B6891)=1,2,IF(WEEKDAY(B6891)=7,1,0))))))</f>
        <v>3</v>
      </c>
      <c r="V6891" s="328">
        <f>VLOOKUP(C6891,METADATA!$A$5:$H$29,IF(E6891="HI",2,IF(E6891="LO",6,10))+IF(T6891=1,2,IF(D6891=7,1,(IF(WEEKDAY(B6891)=1,2,IF(WEEKDAY(B6891)=7,1,0))))))</f>
        <v>3</v>
      </c>
    </row>
    <row r="6892" spans="2:22">
      <c r="B6892" s="318">
        <f t="shared" si="431"/>
        <v>46400</v>
      </c>
      <c r="C6892" s="312">
        <v>0</v>
      </c>
      <c r="D6892" s="368">
        <f>IFERROR((INDEX(METADATA!$T$2:$T$20,MATCH(B6892,METADATA!$S$2:$S$20,0))),0)</f>
        <v>0</v>
      </c>
      <c r="E6892" s="312" t="str">
        <f t="shared" si="428"/>
        <v>HI</v>
      </c>
      <c r="F6892" s="369">
        <f>VLOOKUP(C6892,METADATA!$A$5:$H$29,IF(E6892="HI",2,IF(E6892="LO",6,10))+IF(D6892=1,2,IF(D6892=7,1,(IF(WEEKDAY(B6892)=1,2,IF(WEEKDAY(B6892)=7,1,0))))))</f>
        <v>3</v>
      </c>
      <c r="G6892" s="369">
        <f>VLOOKUP(C6892,METADATA!$J$5:$Q$29,IF(E6892="HI",2,IF(E6892="LO",6,10))+IF(D6892=1,2,IF(D6892=7,1,(IF(WEEKDAY(B6892)=1,2,IF(WEEKDAY(B6892)=7,1,0))))))</f>
        <v>3</v>
      </c>
      <c r="H6892" s="370">
        <v>11025.474792480469</v>
      </c>
      <c r="I6892" s="370">
        <v>2937.5275268554688</v>
      </c>
      <c r="M6892" s="371">
        <f t="shared" si="429"/>
        <v>11410.090375218588</v>
      </c>
      <c r="N6892" s="329">
        <f t="shared" si="430"/>
        <v>0</v>
      </c>
      <c r="T6892" s="331">
        <v>0</v>
      </c>
      <c r="U6892" s="328">
        <f>VLOOKUP(C6892,METADATA!$J$5:$Q$29,IF(E6892="HI",2,IF(E6892="LO",6,10))+IF(T6892=1,2,IF(D6892=7,1,(IF(WEEKDAY(B6892)=1,2,IF(WEEKDAY(B6892)=7,1,0))))))</f>
        <v>3</v>
      </c>
      <c r="V6892" s="328">
        <f>VLOOKUP(C6892,METADATA!$A$5:$H$29,IF(E6892="HI",2,IF(E6892="LO",6,10))+IF(T6892=1,2,IF(D6892=7,1,(IF(WEEKDAY(B6892)=1,2,IF(WEEKDAY(B6892)=7,1,0))))))</f>
        <v>3</v>
      </c>
    </row>
    <row r="6893" spans="2:22">
      <c r="B6893" s="318">
        <f t="shared" si="431"/>
        <v>46400</v>
      </c>
      <c r="C6893" s="312">
        <v>1</v>
      </c>
      <c r="D6893" s="368">
        <f>IFERROR((INDEX(METADATA!$T$2:$T$20,MATCH(B6893,METADATA!$S$2:$S$20,0))),0)</f>
        <v>0</v>
      </c>
      <c r="E6893" s="312" t="str">
        <f t="shared" si="428"/>
        <v>HI</v>
      </c>
      <c r="F6893" s="369">
        <f>VLOOKUP(C6893,METADATA!$A$5:$H$29,IF(E6893="HI",2,IF(E6893="LO",6,10))+IF(D6893=1,2,IF(D6893=7,1,(IF(WEEKDAY(B6893)=1,2,IF(WEEKDAY(B6893)=7,1,0))))))</f>
        <v>3</v>
      </c>
      <c r="G6893" s="369">
        <f>VLOOKUP(C6893,METADATA!$J$5:$Q$29,IF(E6893="HI",2,IF(E6893="LO",6,10))+IF(D6893=1,2,IF(D6893=7,1,(IF(WEEKDAY(B6893)=1,2,IF(WEEKDAY(B6893)=7,1,0))))))</f>
        <v>3</v>
      </c>
      <c r="H6893" s="370">
        <v>11142.325134277344</v>
      </c>
      <c r="I6893" s="370">
        <v>3054.8650207519531</v>
      </c>
      <c r="M6893" s="371">
        <f t="shared" si="429"/>
        <v>11553.510708566571</v>
      </c>
      <c r="N6893" s="329">
        <f t="shared" si="430"/>
        <v>0</v>
      </c>
      <c r="T6893" s="331">
        <v>0</v>
      </c>
      <c r="U6893" s="328">
        <f>VLOOKUP(C6893,METADATA!$J$5:$Q$29,IF(E6893="HI",2,IF(E6893="LO",6,10))+IF(T6893=1,2,IF(D6893=7,1,(IF(WEEKDAY(B6893)=1,2,IF(WEEKDAY(B6893)=7,1,0))))))</f>
        <v>3</v>
      </c>
      <c r="V6893" s="328">
        <f>VLOOKUP(C6893,METADATA!$A$5:$H$29,IF(E6893="HI",2,IF(E6893="LO",6,10))+IF(T6893=1,2,IF(D6893=7,1,(IF(WEEKDAY(B6893)=1,2,IF(WEEKDAY(B6893)=7,1,0))))))</f>
        <v>3</v>
      </c>
    </row>
    <row r="6894" spans="2:22">
      <c r="B6894" s="318">
        <f t="shared" si="431"/>
        <v>46400</v>
      </c>
      <c r="C6894" s="312">
        <v>2</v>
      </c>
      <c r="D6894" s="368">
        <f>IFERROR((INDEX(METADATA!$T$2:$T$20,MATCH(B6894,METADATA!$S$2:$S$20,0))),0)</f>
        <v>0</v>
      </c>
      <c r="E6894" s="312" t="str">
        <f t="shared" si="428"/>
        <v>HI</v>
      </c>
      <c r="F6894" s="369">
        <f>VLOOKUP(C6894,METADATA!$A$5:$H$29,IF(E6894="HI",2,IF(E6894="LO",6,10))+IF(D6894=1,2,IF(D6894=7,1,(IF(WEEKDAY(B6894)=1,2,IF(WEEKDAY(B6894)=7,1,0))))))</f>
        <v>3</v>
      </c>
      <c r="G6894" s="369">
        <f>VLOOKUP(C6894,METADATA!$J$5:$Q$29,IF(E6894="HI",2,IF(E6894="LO",6,10))+IF(D6894=1,2,IF(D6894=7,1,(IF(WEEKDAY(B6894)=1,2,IF(WEEKDAY(B6894)=7,1,0))))))</f>
        <v>3</v>
      </c>
      <c r="H6894" s="370">
        <v>12065.94970703125</v>
      </c>
      <c r="I6894" s="370">
        <v>3596.530029296875</v>
      </c>
      <c r="M6894" s="371">
        <f t="shared" si="429"/>
        <v>12590.558787609138</v>
      </c>
      <c r="N6894" s="329">
        <f t="shared" si="430"/>
        <v>0</v>
      </c>
      <c r="T6894" s="331">
        <v>0</v>
      </c>
      <c r="U6894" s="328">
        <f>VLOOKUP(C6894,METADATA!$J$5:$Q$29,IF(E6894="HI",2,IF(E6894="LO",6,10))+IF(T6894=1,2,IF(D6894=7,1,(IF(WEEKDAY(B6894)=1,2,IF(WEEKDAY(B6894)=7,1,0))))))</f>
        <v>3</v>
      </c>
      <c r="V6894" s="328">
        <f>VLOOKUP(C6894,METADATA!$A$5:$H$29,IF(E6894="HI",2,IF(E6894="LO",6,10))+IF(T6894=1,2,IF(D6894=7,1,(IF(WEEKDAY(B6894)=1,2,IF(WEEKDAY(B6894)=7,1,0))))))</f>
        <v>3</v>
      </c>
    </row>
    <row r="6895" spans="2:22">
      <c r="B6895" s="318">
        <f t="shared" si="431"/>
        <v>46400</v>
      </c>
      <c r="C6895" s="312">
        <v>3</v>
      </c>
      <c r="D6895" s="368">
        <f>IFERROR((INDEX(METADATA!$T$2:$T$20,MATCH(B6895,METADATA!$S$2:$S$20,0))),0)</f>
        <v>0</v>
      </c>
      <c r="E6895" s="312" t="str">
        <f t="shared" si="428"/>
        <v>HI</v>
      </c>
      <c r="F6895" s="369">
        <f>VLOOKUP(C6895,METADATA!$A$5:$H$29,IF(E6895="HI",2,IF(E6895="LO",6,10))+IF(D6895=1,2,IF(D6895=7,1,(IF(WEEKDAY(B6895)=1,2,IF(WEEKDAY(B6895)=7,1,0))))))</f>
        <v>3</v>
      </c>
      <c r="G6895" s="369">
        <f>VLOOKUP(C6895,METADATA!$J$5:$Q$29,IF(E6895="HI",2,IF(E6895="LO",6,10))+IF(D6895=1,2,IF(D6895=7,1,(IF(WEEKDAY(B6895)=1,2,IF(WEEKDAY(B6895)=7,1,0))))))</f>
        <v>3</v>
      </c>
      <c r="H6895" s="370">
        <v>13487.790222167969</v>
      </c>
      <c r="I6895" s="370">
        <v>4522.427490234375</v>
      </c>
      <c r="M6895" s="371">
        <f t="shared" si="429"/>
        <v>14225.780663346299</v>
      </c>
      <c r="N6895" s="329">
        <f t="shared" si="430"/>
        <v>476.09042358398438</v>
      </c>
      <c r="T6895" s="331">
        <v>0</v>
      </c>
      <c r="U6895" s="328">
        <f>VLOOKUP(C6895,METADATA!$J$5:$Q$29,IF(E6895="HI",2,IF(E6895="LO",6,10))+IF(T6895=1,2,IF(D6895=7,1,(IF(WEEKDAY(B6895)=1,2,IF(WEEKDAY(B6895)=7,1,0))))))</f>
        <v>3</v>
      </c>
      <c r="V6895" s="328">
        <f>VLOOKUP(C6895,METADATA!$A$5:$H$29,IF(E6895="HI",2,IF(E6895="LO",6,10))+IF(T6895=1,2,IF(D6895=7,1,(IF(WEEKDAY(B6895)=1,2,IF(WEEKDAY(B6895)=7,1,0))))))</f>
        <v>3</v>
      </c>
    </row>
    <row r="6896" spans="2:22">
      <c r="B6896" s="318">
        <f t="shared" si="431"/>
        <v>46400</v>
      </c>
      <c r="C6896" s="312">
        <v>4</v>
      </c>
      <c r="D6896" s="368">
        <f>IFERROR((INDEX(METADATA!$T$2:$T$20,MATCH(B6896,METADATA!$S$2:$S$20,0))),0)</f>
        <v>0</v>
      </c>
      <c r="E6896" s="312" t="str">
        <f t="shared" si="428"/>
        <v>HI</v>
      </c>
      <c r="F6896" s="369">
        <f>VLOOKUP(C6896,METADATA!$A$5:$H$29,IF(E6896="HI",2,IF(E6896="LO",6,10))+IF(D6896=1,2,IF(D6896=7,1,(IF(WEEKDAY(B6896)=1,2,IF(WEEKDAY(B6896)=7,1,0))))))</f>
        <v>3</v>
      </c>
      <c r="G6896" s="369">
        <f>VLOOKUP(C6896,METADATA!$J$5:$Q$29,IF(E6896="HI",2,IF(E6896="LO",6,10))+IF(D6896=1,2,IF(D6896=7,1,(IF(WEEKDAY(B6896)=1,2,IF(WEEKDAY(B6896)=7,1,0))))))</f>
        <v>3</v>
      </c>
      <c r="H6896" s="370">
        <v>13585.049865722656</v>
      </c>
      <c r="I6896" s="370">
        <v>4575.3799743652344</v>
      </c>
      <c r="M6896" s="371">
        <f t="shared" si="429"/>
        <v>14334.841532573479</v>
      </c>
      <c r="N6896" s="329">
        <f t="shared" si="430"/>
        <v>499.86501464843786</v>
      </c>
      <c r="T6896" s="331">
        <v>0</v>
      </c>
      <c r="U6896" s="328">
        <f>VLOOKUP(C6896,METADATA!$J$5:$Q$29,IF(E6896="HI",2,IF(E6896="LO",6,10))+IF(T6896=1,2,IF(D6896=7,1,(IF(WEEKDAY(B6896)=1,2,IF(WEEKDAY(B6896)=7,1,0))))))</f>
        <v>3</v>
      </c>
      <c r="V6896" s="328">
        <f>VLOOKUP(C6896,METADATA!$A$5:$H$29,IF(E6896="HI",2,IF(E6896="LO",6,10))+IF(T6896=1,2,IF(D6896=7,1,(IF(WEEKDAY(B6896)=1,2,IF(WEEKDAY(B6896)=7,1,0))))))</f>
        <v>3</v>
      </c>
    </row>
    <row r="6897" spans="2:22">
      <c r="B6897" s="318">
        <f t="shared" si="431"/>
        <v>46400</v>
      </c>
      <c r="C6897" s="312">
        <v>5</v>
      </c>
      <c r="D6897" s="368">
        <f>IFERROR((INDEX(METADATA!$T$2:$T$20,MATCH(B6897,METADATA!$S$2:$S$20,0))),0)</f>
        <v>0</v>
      </c>
      <c r="E6897" s="312" t="str">
        <f t="shared" si="428"/>
        <v>HI</v>
      </c>
      <c r="F6897" s="369">
        <f>VLOOKUP(C6897,METADATA!$A$5:$H$29,IF(E6897="HI",2,IF(E6897="LO",6,10))+IF(D6897=1,2,IF(D6897=7,1,(IF(WEEKDAY(B6897)=1,2,IF(WEEKDAY(B6897)=7,1,0))))))</f>
        <v>3</v>
      </c>
      <c r="G6897" s="369">
        <f>VLOOKUP(C6897,METADATA!$J$5:$Q$29,IF(E6897="HI",2,IF(E6897="LO",6,10))+IF(D6897=1,2,IF(D6897=7,1,(IF(WEEKDAY(B6897)=1,2,IF(WEEKDAY(B6897)=7,1,0))))))</f>
        <v>3</v>
      </c>
      <c r="H6897" s="370">
        <v>13551.750061035156</v>
      </c>
      <c r="I6897" s="370">
        <v>4446.4299926757813</v>
      </c>
      <c r="M6897" s="371">
        <f t="shared" si="429"/>
        <v>14262.5618104369</v>
      </c>
      <c r="N6897" s="329">
        <f t="shared" si="430"/>
        <v>380.90497436523447</v>
      </c>
      <c r="T6897" s="331">
        <v>0</v>
      </c>
      <c r="U6897" s="328">
        <f>VLOOKUP(C6897,METADATA!$J$5:$Q$29,IF(E6897="HI",2,IF(E6897="LO",6,10))+IF(T6897=1,2,IF(D6897=7,1,(IF(WEEKDAY(B6897)=1,2,IF(WEEKDAY(B6897)=7,1,0))))))</f>
        <v>3</v>
      </c>
      <c r="V6897" s="328">
        <f>VLOOKUP(C6897,METADATA!$A$5:$H$29,IF(E6897="HI",2,IF(E6897="LO",6,10))+IF(T6897=1,2,IF(D6897=7,1,(IF(WEEKDAY(B6897)=1,2,IF(WEEKDAY(B6897)=7,1,0))))))</f>
        <v>3</v>
      </c>
    </row>
    <row r="6898" spans="2:22">
      <c r="B6898" s="318">
        <f t="shared" si="431"/>
        <v>46400</v>
      </c>
      <c r="C6898" s="312">
        <v>6</v>
      </c>
      <c r="D6898" s="368">
        <f>IFERROR((INDEX(METADATA!$T$2:$T$20,MATCH(B6898,METADATA!$S$2:$S$20,0))),0)</f>
        <v>0</v>
      </c>
      <c r="E6898" s="312" t="str">
        <f t="shared" si="428"/>
        <v>HI</v>
      </c>
      <c r="F6898" s="369">
        <f>VLOOKUP(C6898,METADATA!$A$5:$H$29,IF(E6898="HI",2,IF(E6898="LO",6,10))+IF(D6898=1,2,IF(D6898=7,1,(IF(WEEKDAY(B6898)=1,2,IF(WEEKDAY(B6898)=7,1,0))))))</f>
        <v>1</v>
      </c>
      <c r="G6898" s="369">
        <f>VLOOKUP(C6898,METADATA!$J$5:$Q$29,IF(E6898="HI",2,IF(E6898="LO",6,10))+IF(D6898=1,2,IF(D6898=7,1,(IF(WEEKDAY(B6898)=1,2,IF(WEEKDAY(B6898)=7,1,0))))))</f>
        <v>1</v>
      </c>
      <c r="H6898" s="370">
        <v>13115.100036621094</v>
      </c>
      <c r="I6898" s="370">
        <v>4130.6349487304688</v>
      </c>
      <c r="M6898" s="371">
        <f t="shared" si="429"/>
        <v>13750.199782194155</v>
      </c>
      <c r="N6898" s="329">
        <f t="shared" si="430"/>
        <v>196.1049377441409</v>
      </c>
      <c r="T6898" s="331">
        <v>0</v>
      </c>
      <c r="U6898" s="328">
        <f>VLOOKUP(C6898,METADATA!$J$5:$Q$29,IF(E6898="HI",2,IF(E6898="LO",6,10))+IF(T6898=1,2,IF(D6898=7,1,(IF(WEEKDAY(B6898)=1,2,IF(WEEKDAY(B6898)=7,1,0))))))</f>
        <v>1</v>
      </c>
      <c r="V6898" s="328">
        <f>VLOOKUP(C6898,METADATA!$A$5:$H$29,IF(E6898="HI",2,IF(E6898="LO",6,10))+IF(T6898=1,2,IF(D6898=7,1,(IF(WEEKDAY(B6898)=1,2,IF(WEEKDAY(B6898)=7,1,0))))))</f>
        <v>1</v>
      </c>
    </row>
    <row r="6899" spans="2:22">
      <c r="B6899" s="318">
        <f t="shared" si="431"/>
        <v>46400</v>
      </c>
      <c r="C6899" s="312">
        <v>7</v>
      </c>
      <c r="D6899" s="368">
        <f>IFERROR((INDEX(METADATA!$T$2:$T$20,MATCH(B6899,METADATA!$S$2:$S$20,0))),0)</f>
        <v>0</v>
      </c>
      <c r="E6899" s="312" t="str">
        <f t="shared" si="428"/>
        <v>HI</v>
      </c>
      <c r="F6899" s="369">
        <f>VLOOKUP(C6899,METADATA!$A$5:$H$29,IF(E6899="HI",2,IF(E6899="LO",6,10))+IF(D6899=1,2,IF(D6899=7,1,(IF(WEEKDAY(B6899)=1,2,IF(WEEKDAY(B6899)=7,1,0))))))</f>
        <v>1</v>
      </c>
      <c r="G6899" s="369">
        <f>VLOOKUP(C6899,METADATA!$J$5:$Q$29,IF(E6899="HI",2,IF(E6899="LO",6,10))+IF(D6899=1,2,IF(D6899=7,1,(IF(WEEKDAY(B6899)=1,2,IF(WEEKDAY(B6899)=7,1,0))))))</f>
        <v>1</v>
      </c>
      <c r="H6899" s="370">
        <v>13438.949890136719</v>
      </c>
      <c r="I6899" s="370">
        <v>4314.2699584960938</v>
      </c>
      <c r="M6899" s="371">
        <f t="shared" si="429"/>
        <v>14114.471276827468</v>
      </c>
      <c r="N6899" s="329">
        <f t="shared" si="430"/>
        <v>282.58499145507813</v>
      </c>
      <c r="T6899" s="331">
        <v>0</v>
      </c>
      <c r="U6899" s="328">
        <f>VLOOKUP(C6899,METADATA!$J$5:$Q$29,IF(E6899="HI",2,IF(E6899="LO",6,10))+IF(T6899=1,2,IF(D6899=7,1,(IF(WEEKDAY(B6899)=1,2,IF(WEEKDAY(B6899)=7,1,0))))))</f>
        <v>1</v>
      </c>
      <c r="V6899" s="328">
        <f>VLOOKUP(C6899,METADATA!$A$5:$H$29,IF(E6899="HI",2,IF(E6899="LO",6,10))+IF(T6899=1,2,IF(D6899=7,1,(IF(WEEKDAY(B6899)=1,2,IF(WEEKDAY(B6899)=7,1,0))))))</f>
        <v>1</v>
      </c>
    </row>
    <row r="6900" spans="2:22">
      <c r="B6900" s="318">
        <f t="shared" si="431"/>
        <v>46400</v>
      </c>
      <c r="C6900" s="312">
        <v>8</v>
      </c>
      <c r="D6900" s="368">
        <f>IFERROR((INDEX(METADATA!$T$2:$T$20,MATCH(B6900,METADATA!$S$2:$S$20,0))),0)</f>
        <v>0</v>
      </c>
      <c r="E6900" s="312" t="str">
        <f t="shared" si="428"/>
        <v>HI</v>
      </c>
      <c r="F6900" s="369">
        <f>VLOOKUP(C6900,METADATA!$A$5:$H$29,IF(E6900="HI",2,IF(E6900="LO",6,10))+IF(D6900=1,2,IF(D6900=7,1,(IF(WEEKDAY(B6900)=1,2,IF(WEEKDAY(B6900)=7,1,0))))))</f>
        <v>2</v>
      </c>
      <c r="G6900" s="369">
        <f>VLOOKUP(C6900,METADATA!$J$5:$Q$29,IF(E6900="HI",2,IF(E6900="LO",6,10))+IF(D6900=1,2,IF(D6900=7,1,(IF(WEEKDAY(B6900)=1,2,IF(WEEKDAY(B6900)=7,1,0))))))</f>
        <v>2</v>
      </c>
      <c r="H6900" s="370">
        <v>13421.299865722656</v>
      </c>
      <c r="I6900" s="370">
        <v>4236.135009765625</v>
      </c>
      <c r="M6900" s="371">
        <f t="shared" si="429"/>
        <v>14073.952177928168</v>
      </c>
      <c r="N6900" s="329">
        <f t="shared" si="430"/>
        <v>209.74505004882849</v>
      </c>
      <c r="T6900" s="331">
        <v>0</v>
      </c>
      <c r="U6900" s="328">
        <f>VLOOKUP(C6900,METADATA!$J$5:$Q$29,IF(E6900="HI",2,IF(E6900="LO",6,10))+IF(T6900=1,2,IF(D6900=7,1,(IF(WEEKDAY(B6900)=1,2,IF(WEEKDAY(B6900)=7,1,0))))))</f>
        <v>2</v>
      </c>
      <c r="V6900" s="328">
        <f>VLOOKUP(C6900,METADATA!$A$5:$H$29,IF(E6900="HI",2,IF(E6900="LO",6,10))+IF(T6900=1,2,IF(D6900=7,1,(IF(WEEKDAY(B6900)=1,2,IF(WEEKDAY(B6900)=7,1,0))))))</f>
        <v>2</v>
      </c>
    </row>
    <row r="6901" spans="2:22">
      <c r="B6901" s="318">
        <f t="shared" si="431"/>
        <v>46400</v>
      </c>
      <c r="C6901" s="312">
        <v>9</v>
      </c>
      <c r="D6901" s="368">
        <f>IFERROR((INDEX(METADATA!$T$2:$T$20,MATCH(B6901,METADATA!$S$2:$S$20,0))),0)</f>
        <v>0</v>
      </c>
      <c r="E6901" s="312" t="str">
        <f t="shared" si="428"/>
        <v>HI</v>
      </c>
      <c r="F6901" s="369">
        <f>VLOOKUP(C6901,METADATA!$A$5:$H$29,IF(E6901="HI",2,IF(E6901="LO",6,10))+IF(D6901=1,2,IF(D6901=7,1,(IF(WEEKDAY(B6901)=1,2,IF(WEEKDAY(B6901)=7,1,0))))))</f>
        <v>2</v>
      </c>
      <c r="G6901" s="369">
        <f>VLOOKUP(C6901,METADATA!$J$5:$Q$29,IF(E6901="HI",2,IF(E6901="LO",6,10))+IF(D6901=1,2,IF(D6901=7,1,(IF(WEEKDAY(B6901)=1,2,IF(WEEKDAY(B6901)=7,1,0))))))</f>
        <v>2</v>
      </c>
      <c r="H6901" s="370">
        <v>13204.525085449219</v>
      </c>
      <c r="I6901" s="370">
        <v>4245.4649353027344</v>
      </c>
      <c r="M6901" s="371">
        <f t="shared" si="429"/>
        <v>13870.236308338181</v>
      </c>
      <c r="N6901" s="329">
        <f t="shared" si="430"/>
        <v>284.10740966796902</v>
      </c>
      <c r="T6901" s="331">
        <v>0</v>
      </c>
      <c r="U6901" s="328">
        <f>VLOOKUP(C6901,METADATA!$J$5:$Q$29,IF(E6901="HI",2,IF(E6901="LO",6,10))+IF(T6901=1,2,IF(D6901=7,1,(IF(WEEKDAY(B6901)=1,2,IF(WEEKDAY(B6901)=7,1,0))))))</f>
        <v>2</v>
      </c>
      <c r="V6901" s="328">
        <f>VLOOKUP(C6901,METADATA!$A$5:$H$29,IF(E6901="HI",2,IF(E6901="LO",6,10))+IF(T6901=1,2,IF(D6901=7,1,(IF(WEEKDAY(B6901)=1,2,IF(WEEKDAY(B6901)=7,1,0))))))</f>
        <v>2</v>
      </c>
    </row>
    <row r="6902" spans="2:22">
      <c r="B6902" s="318">
        <f t="shared" si="431"/>
        <v>46400</v>
      </c>
      <c r="C6902" s="312">
        <v>10</v>
      </c>
      <c r="D6902" s="368">
        <f>IFERROR((INDEX(METADATA!$T$2:$T$20,MATCH(B6902,METADATA!$S$2:$S$20,0))),0)</f>
        <v>0</v>
      </c>
      <c r="E6902" s="312" t="str">
        <f t="shared" si="428"/>
        <v>HI</v>
      </c>
      <c r="F6902" s="369">
        <f>VLOOKUP(C6902,METADATA!$A$5:$H$29,IF(E6902="HI",2,IF(E6902="LO",6,10))+IF(D6902=1,2,IF(D6902=7,1,(IF(WEEKDAY(B6902)=1,2,IF(WEEKDAY(B6902)=7,1,0))))))</f>
        <v>2</v>
      </c>
      <c r="G6902" s="369">
        <f>VLOOKUP(C6902,METADATA!$J$5:$Q$29,IF(E6902="HI",2,IF(E6902="LO",6,10))+IF(D6902=1,2,IF(D6902=7,1,(IF(WEEKDAY(B6902)=1,2,IF(WEEKDAY(B6902)=7,1,0))))))</f>
        <v>2</v>
      </c>
      <c r="H6902" s="370">
        <v>13281.474731445313</v>
      </c>
      <c r="I6902" s="370">
        <v>4301.0500183105469</v>
      </c>
      <c r="M6902" s="371">
        <f t="shared" si="429"/>
        <v>13960.537321393811</v>
      </c>
      <c r="N6902" s="329">
        <f t="shared" si="430"/>
        <v>316.60759887695349</v>
      </c>
      <c r="T6902" s="331">
        <v>0</v>
      </c>
      <c r="U6902" s="328">
        <f>VLOOKUP(C6902,METADATA!$J$5:$Q$29,IF(E6902="HI",2,IF(E6902="LO",6,10))+IF(T6902=1,2,IF(D6902=7,1,(IF(WEEKDAY(B6902)=1,2,IF(WEEKDAY(B6902)=7,1,0))))))</f>
        <v>2</v>
      </c>
      <c r="V6902" s="328">
        <f>VLOOKUP(C6902,METADATA!$A$5:$H$29,IF(E6902="HI",2,IF(E6902="LO",6,10))+IF(T6902=1,2,IF(D6902=7,1,(IF(WEEKDAY(B6902)=1,2,IF(WEEKDAY(B6902)=7,1,0))))))</f>
        <v>2</v>
      </c>
    </row>
    <row r="6903" spans="2:22">
      <c r="B6903" s="318">
        <f t="shared" si="431"/>
        <v>46400</v>
      </c>
      <c r="C6903" s="312">
        <v>11</v>
      </c>
      <c r="D6903" s="368">
        <f>IFERROR((INDEX(METADATA!$T$2:$T$20,MATCH(B6903,METADATA!$S$2:$S$20,0))),0)</f>
        <v>0</v>
      </c>
      <c r="E6903" s="312" t="str">
        <f t="shared" si="428"/>
        <v>HI</v>
      </c>
      <c r="F6903" s="369">
        <f>VLOOKUP(C6903,METADATA!$A$5:$H$29,IF(E6903="HI",2,IF(E6903="LO",6,10))+IF(D6903=1,2,IF(D6903=7,1,(IF(WEEKDAY(B6903)=1,2,IF(WEEKDAY(B6903)=7,1,0))))))</f>
        <v>2</v>
      </c>
      <c r="G6903" s="369">
        <f>VLOOKUP(C6903,METADATA!$J$5:$Q$29,IF(E6903="HI",2,IF(E6903="LO",6,10))+IF(D6903=1,2,IF(D6903=7,1,(IF(WEEKDAY(B6903)=1,2,IF(WEEKDAY(B6903)=7,1,0))))))</f>
        <v>2</v>
      </c>
      <c r="H6903" s="370">
        <v>13357.349731445313</v>
      </c>
      <c r="I6903" s="370">
        <v>4349.5849914550781</v>
      </c>
      <c r="M6903" s="371">
        <f t="shared" si="429"/>
        <v>14047.693100507051</v>
      </c>
      <c r="N6903" s="329">
        <f t="shared" si="430"/>
        <v>342.38007202148447</v>
      </c>
      <c r="T6903" s="331">
        <v>0</v>
      </c>
      <c r="U6903" s="328">
        <f>VLOOKUP(C6903,METADATA!$J$5:$Q$29,IF(E6903="HI",2,IF(E6903="LO",6,10))+IF(T6903=1,2,IF(D6903=7,1,(IF(WEEKDAY(B6903)=1,2,IF(WEEKDAY(B6903)=7,1,0))))))</f>
        <v>2</v>
      </c>
      <c r="V6903" s="328">
        <f>VLOOKUP(C6903,METADATA!$A$5:$H$29,IF(E6903="HI",2,IF(E6903="LO",6,10))+IF(T6903=1,2,IF(D6903=7,1,(IF(WEEKDAY(B6903)=1,2,IF(WEEKDAY(B6903)=7,1,0))))))</f>
        <v>2</v>
      </c>
    </row>
    <row r="6904" spans="2:22">
      <c r="B6904" s="318">
        <f t="shared" si="431"/>
        <v>46400</v>
      </c>
      <c r="C6904" s="312">
        <v>12</v>
      </c>
      <c r="D6904" s="368">
        <f>IFERROR((INDEX(METADATA!$T$2:$T$20,MATCH(B6904,METADATA!$S$2:$S$20,0))),0)</f>
        <v>0</v>
      </c>
      <c r="E6904" s="312" t="str">
        <f t="shared" si="428"/>
        <v>HI</v>
      </c>
      <c r="F6904" s="369">
        <f>VLOOKUP(C6904,METADATA!$A$5:$H$29,IF(E6904="HI",2,IF(E6904="LO",6,10))+IF(D6904=1,2,IF(D6904=7,1,(IF(WEEKDAY(B6904)=1,2,IF(WEEKDAY(B6904)=7,1,0))))))</f>
        <v>2</v>
      </c>
      <c r="G6904" s="369">
        <f>VLOOKUP(C6904,METADATA!$J$5:$Q$29,IF(E6904="HI",2,IF(E6904="LO",6,10))+IF(D6904=1,2,IF(D6904=7,1,(IF(WEEKDAY(B6904)=1,2,IF(WEEKDAY(B6904)=7,1,0))))))</f>
        <v>2</v>
      </c>
      <c r="H6904" s="370">
        <v>13299.899963378906</v>
      </c>
      <c r="I6904" s="370">
        <v>4352.5650634765625</v>
      </c>
      <c r="M6904" s="371">
        <f t="shared" si="429"/>
        <v>13994.004490055124</v>
      </c>
      <c r="N6904" s="329">
        <f t="shared" si="430"/>
        <v>362.59507446289081</v>
      </c>
      <c r="T6904" s="331">
        <v>0</v>
      </c>
      <c r="U6904" s="328">
        <f>VLOOKUP(C6904,METADATA!$J$5:$Q$29,IF(E6904="HI",2,IF(E6904="LO",6,10))+IF(T6904=1,2,IF(D6904=7,1,(IF(WEEKDAY(B6904)=1,2,IF(WEEKDAY(B6904)=7,1,0))))))</f>
        <v>2</v>
      </c>
      <c r="V6904" s="328">
        <f>VLOOKUP(C6904,METADATA!$A$5:$H$29,IF(E6904="HI",2,IF(E6904="LO",6,10))+IF(T6904=1,2,IF(D6904=7,1,(IF(WEEKDAY(B6904)=1,2,IF(WEEKDAY(B6904)=7,1,0))))))</f>
        <v>2</v>
      </c>
    </row>
    <row r="6905" spans="2:22">
      <c r="B6905" s="318">
        <f t="shared" si="431"/>
        <v>46400</v>
      </c>
      <c r="C6905" s="312">
        <v>13</v>
      </c>
      <c r="D6905" s="368">
        <f>IFERROR((INDEX(METADATA!$T$2:$T$20,MATCH(B6905,METADATA!$S$2:$S$20,0))),0)</f>
        <v>0</v>
      </c>
      <c r="E6905" s="312" t="str">
        <f t="shared" si="428"/>
        <v>HI</v>
      </c>
      <c r="F6905" s="369">
        <f>VLOOKUP(C6905,METADATA!$A$5:$H$29,IF(E6905="HI",2,IF(E6905="LO",6,10))+IF(D6905=1,2,IF(D6905=7,1,(IF(WEEKDAY(B6905)=1,2,IF(WEEKDAY(B6905)=7,1,0))))))</f>
        <v>2</v>
      </c>
      <c r="G6905" s="369">
        <f>VLOOKUP(C6905,METADATA!$J$5:$Q$29,IF(E6905="HI",2,IF(E6905="LO",6,10))+IF(D6905=1,2,IF(D6905=7,1,(IF(WEEKDAY(B6905)=1,2,IF(WEEKDAY(B6905)=7,1,0))))))</f>
        <v>2</v>
      </c>
      <c r="H6905" s="370">
        <v>12192.949829101563</v>
      </c>
      <c r="I6905" s="370">
        <v>3839.1749725341797</v>
      </c>
      <c r="M6905" s="371">
        <f t="shared" si="429"/>
        <v>12783.086090796722</v>
      </c>
      <c r="N6905" s="329">
        <f t="shared" si="430"/>
        <v>181.29002380371094</v>
      </c>
      <c r="T6905" s="331">
        <v>0</v>
      </c>
      <c r="U6905" s="328">
        <f>VLOOKUP(C6905,METADATA!$J$5:$Q$29,IF(E6905="HI",2,IF(E6905="LO",6,10))+IF(T6905=1,2,IF(D6905=7,1,(IF(WEEKDAY(B6905)=1,2,IF(WEEKDAY(B6905)=7,1,0))))))</f>
        <v>2</v>
      </c>
      <c r="V6905" s="328">
        <f>VLOOKUP(C6905,METADATA!$A$5:$H$29,IF(E6905="HI",2,IF(E6905="LO",6,10))+IF(T6905=1,2,IF(D6905=7,1,(IF(WEEKDAY(B6905)=1,2,IF(WEEKDAY(B6905)=7,1,0))))))</f>
        <v>2</v>
      </c>
    </row>
    <row r="6906" spans="2:22">
      <c r="B6906" s="318">
        <f t="shared" si="431"/>
        <v>46400</v>
      </c>
      <c r="C6906" s="312">
        <v>14</v>
      </c>
      <c r="D6906" s="368">
        <f>IFERROR((INDEX(METADATA!$T$2:$T$20,MATCH(B6906,METADATA!$S$2:$S$20,0))),0)</f>
        <v>0</v>
      </c>
      <c r="E6906" s="312" t="str">
        <f t="shared" si="428"/>
        <v>HI</v>
      </c>
      <c r="F6906" s="369">
        <f>VLOOKUP(C6906,METADATA!$A$5:$H$29,IF(E6906="HI",2,IF(E6906="LO",6,10))+IF(D6906=1,2,IF(D6906=7,1,(IF(WEEKDAY(B6906)=1,2,IF(WEEKDAY(B6906)=7,1,0))))))</f>
        <v>2</v>
      </c>
      <c r="G6906" s="369">
        <f>VLOOKUP(C6906,METADATA!$J$5:$Q$29,IF(E6906="HI",2,IF(E6906="LO",6,10))+IF(D6906=1,2,IF(D6906=7,1,(IF(WEEKDAY(B6906)=1,2,IF(WEEKDAY(B6906)=7,1,0))))))</f>
        <v>2</v>
      </c>
      <c r="H6906" s="370">
        <v>13503.549987792969</v>
      </c>
      <c r="I6906" s="370">
        <v>4595.3999328613281</v>
      </c>
      <c r="M6906" s="371">
        <f t="shared" si="429"/>
        <v>14264.065437867474</v>
      </c>
      <c r="N6906" s="329">
        <f t="shared" si="430"/>
        <v>544.33493652343759</v>
      </c>
      <c r="T6906" s="331">
        <v>0</v>
      </c>
      <c r="U6906" s="328">
        <f>VLOOKUP(C6906,METADATA!$J$5:$Q$29,IF(E6906="HI",2,IF(E6906="LO",6,10))+IF(T6906=1,2,IF(D6906=7,1,(IF(WEEKDAY(B6906)=1,2,IF(WEEKDAY(B6906)=7,1,0))))))</f>
        <v>2</v>
      </c>
      <c r="V6906" s="328">
        <f>VLOOKUP(C6906,METADATA!$A$5:$H$29,IF(E6906="HI",2,IF(E6906="LO",6,10))+IF(T6906=1,2,IF(D6906=7,1,(IF(WEEKDAY(B6906)=1,2,IF(WEEKDAY(B6906)=7,1,0))))))</f>
        <v>2</v>
      </c>
    </row>
    <row r="6907" spans="2:22">
      <c r="B6907" s="318">
        <f t="shared" si="431"/>
        <v>46400</v>
      </c>
      <c r="C6907" s="312">
        <v>15</v>
      </c>
      <c r="D6907" s="368">
        <f>IFERROR((INDEX(METADATA!$T$2:$T$20,MATCH(B6907,METADATA!$S$2:$S$20,0))),0)</f>
        <v>0</v>
      </c>
      <c r="E6907" s="312" t="str">
        <f t="shared" si="428"/>
        <v>HI</v>
      </c>
      <c r="F6907" s="369">
        <f>VLOOKUP(C6907,METADATA!$A$5:$H$29,IF(E6907="HI",2,IF(E6907="LO",6,10))+IF(D6907=1,2,IF(D6907=7,1,(IF(WEEKDAY(B6907)=1,2,IF(WEEKDAY(B6907)=7,1,0))))))</f>
        <v>2</v>
      </c>
      <c r="G6907" s="369">
        <f>VLOOKUP(C6907,METADATA!$J$5:$Q$29,IF(E6907="HI",2,IF(E6907="LO",6,10))+IF(D6907=1,2,IF(D6907=7,1,(IF(WEEKDAY(B6907)=1,2,IF(WEEKDAY(B6907)=7,1,0))))))</f>
        <v>2</v>
      </c>
      <c r="H6907" s="370">
        <v>12379.775024414063</v>
      </c>
      <c r="I6907" s="370">
        <v>4130.5899963378906</v>
      </c>
      <c r="M6907" s="371">
        <f t="shared" si="429"/>
        <v>13050.693597389867</v>
      </c>
      <c r="N6907" s="329">
        <f t="shared" si="430"/>
        <v>416.65748901367215</v>
      </c>
      <c r="T6907" s="331">
        <v>0</v>
      </c>
      <c r="U6907" s="328">
        <f>VLOOKUP(C6907,METADATA!$J$5:$Q$29,IF(E6907="HI",2,IF(E6907="LO",6,10))+IF(T6907=1,2,IF(D6907=7,1,(IF(WEEKDAY(B6907)=1,2,IF(WEEKDAY(B6907)=7,1,0))))))</f>
        <v>2</v>
      </c>
      <c r="V6907" s="328">
        <f>VLOOKUP(C6907,METADATA!$A$5:$H$29,IF(E6907="HI",2,IF(E6907="LO",6,10))+IF(T6907=1,2,IF(D6907=7,1,(IF(WEEKDAY(B6907)=1,2,IF(WEEKDAY(B6907)=7,1,0))))))</f>
        <v>2</v>
      </c>
    </row>
    <row r="6908" spans="2:22">
      <c r="B6908" s="318">
        <f t="shared" si="431"/>
        <v>46400</v>
      </c>
      <c r="C6908" s="312">
        <v>16</v>
      </c>
      <c r="D6908" s="368">
        <f>IFERROR((INDEX(METADATA!$T$2:$T$20,MATCH(B6908,METADATA!$S$2:$S$20,0))),0)</f>
        <v>0</v>
      </c>
      <c r="E6908" s="312" t="str">
        <f t="shared" si="428"/>
        <v>HI</v>
      </c>
      <c r="F6908" s="369">
        <f>VLOOKUP(C6908,METADATA!$A$5:$H$29,IF(E6908="HI",2,IF(E6908="LO",6,10))+IF(D6908=1,2,IF(D6908=7,1,(IF(WEEKDAY(B6908)=1,2,IF(WEEKDAY(B6908)=7,1,0))))))</f>
        <v>2</v>
      </c>
      <c r="G6908" s="369">
        <f>VLOOKUP(C6908,METADATA!$J$5:$Q$29,IF(E6908="HI",2,IF(E6908="LO",6,10))+IF(D6908=1,2,IF(D6908=7,1,(IF(WEEKDAY(B6908)=1,2,IF(WEEKDAY(B6908)=7,1,0))))))</f>
        <v>2</v>
      </c>
      <c r="H6908" s="370">
        <v>10487.75</v>
      </c>
      <c r="I6908" s="370">
        <v>3463.1649475097656</v>
      </c>
      <c r="M6908" s="371">
        <f t="shared" si="429"/>
        <v>11044.745878297079</v>
      </c>
      <c r="N6908" s="329">
        <f t="shared" si="430"/>
        <v>316.83994750976581</v>
      </c>
      <c r="T6908" s="331">
        <v>0</v>
      </c>
      <c r="U6908" s="328">
        <f>VLOOKUP(C6908,METADATA!$J$5:$Q$29,IF(E6908="HI",2,IF(E6908="LO",6,10))+IF(T6908=1,2,IF(D6908=7,1,(IF(WEEKDAY(B6908)=1,2,IF(WEEKDAY(B6908)=7,1,0))))))</f>
        <v>2</v>
      </c>
      <c r="V6908" s="328">
        <f>VLOOKUP(C6908,METADATA!$A$5:$H$29,IF(E6908="HI",2,IF(E6908="LO",6,10))+IF(T6908=1,2,IF(D6908=7,1,(IF(WEEKDAY(B6908)=1,2,IF(WEEKDAY(B6908)=7,1,0))))))</f>
        <v>2</v>
      </c>
    </row>
    <row r="6909" spans="2:22">
      <c r="B6909" s="318">
        <f t="shared" si="431"/>
        <v>46400</v>
      </c>
      <c r="C6909" s="312">
        <v>17</v>
      </c>
      <c r="D6909" s="368">
        <f>IFERROR((INDEX(METADATA!$T$2:$T$20,MATCH(B6909,METADATA!$S$2:$S$20,0))),0)</f>
        <v>0</v>
      </c>
      <c r="E6909" s="312" t="str">
        <f t="shared" si="428"/>
        <v>HI</v>
      </c>
      <c r="F6909" s="369">
        <f>VLOOKUP(C6909,METADATA!$A$5:$H$29,IF(E6909="HI",2,IF(E6909="LO",6,10))+IF(D6909=1,2,IF(D6909=7,1,(IF(WEEKDAY(B6909)=1,2,IF(WEEKDAY(B6909)=7,1,0))))))</f>
        <v>1</v>
      </c>
      <c r="G6909" s="369">
        <f>VLOOKUP(C6909,METADATA!$J$5:$Q$29,IF(E6909="HI",2,IF(E6909="LO",6,10))+IF(D6909=1,2,IF(D6909=7,1,(IF(WEEKDAY(B6909)=1,2,IF(WEEKDAY(B6909)=7,1,0))))))</f>
        <v>1</v>
      </c>
      <c r="H6909" s="370">
        <v>10797.924865722656</v>
      </c>
      <c r="I6909" s="370">
        <v>3367.8524932861328</v>
      </c>
      <c r="M6909" s="371">
        <f t="shared" si="429"/>
        <v>11310.950968964778</v>
      </c>
      <c r="N6909" s="329">
        <f t="shared" si="430"/>
        <v>128.47503356933612</v>
      </c>
      <c r="T6909" s="331">
        <v>0</v>
      </c>
      <c r="U6909" s="328">
        <f>VLOOKUP(C6909,METADATA!$J$5:$Q$29,IF(E6909="HI",2,IF(E6909="LO",6,10))+IF(T6909=1,2,IF(D6909=7,1,(IF(WEEKDAY(B6909)=1,2,IF(WEEKDAY(B6909)=7,1,0))))))</f>
        <v>1</v>
      </c>
      <c r="V6909" s="328">
        <f>VLOOKUP(C6909,METADATA!$A$5:$H$29,IF(E6909="HI",2,IF(E6909="LO",6,10))+IF(T6909=1,2,IF(D6909=7,1,(IF(WEEKDAY(B6909)=1,2,IF(WEEKDAY(B6909)=7,1,0))))))</f>
        <v>1</v>
      </c>
    </row>
    <row r="6910" spans="2:22">
      <c r="B6910" s="318">
        <f t="shared" si="431"/>
        <v>46400</v>
      </c>
      <c r="C6910" s="312">
        <v>18</v>
      </c>
      <c r="D6910" s="368">
        <f>IFERROR((INDEX(METADATA!$T$2:$T$20,MATCH(B6910,METADATA!$S$2:$S$20,0))),0)</f>
        <v>0</v>
      </c>
      <c r="E6910" s="312" t="str">
        <f t="shared" si="428"/>
        <v>HI</v>
      </c>
      <c r="F6910" s="369">
        <f>VLOOKUP(C6910,METADATA!$A$5:$H$29,IF(E6910="HI",2,IF(E6910="LO",6,10))+IF(D6910=1,2,IF(D6910=7,1,(IF(WEEKDAY(B6910)=1,2,IF(WEEKDAY(B6910)=7,1,0))))))</f>
        <v>1</v>
      </c>
      <c r="G6910" s="369">
        <f>VLOOKUP(C6910,METADATA!$J$5:$Q$29,IF(E6910="HI",2,IF(E6910="LO",6,10))+IF(D6910=1,2,IF(D6910=7,1,(IF(WEEKDAY(B6910)=1,2,IF(WEEKDAY(B6910)=7,1,0))))))</f>
        <v>1</v>
      </c>
      <c r="H6910" s="370">
        <v>10958.499786376953</v>
      </c>
      <c r="I6910" s="370">
        <v>3109.6524963378906</v>
      </c>
      <c r="M6910" s="371">
        <f t="shared" si="429"/>
        <v>11391.165709268047</v>
      </c>
      <c r="N6910" s="329">
        <f t="shared" si="430"/>
        <v>0</v>
      </c>
      <c r="T6910" s="331">
        <v>0</v>
      </c>
      <c r="U6910" s="328">
        <f>VLOOKUP(C6910,METADATA!$J$5:$Q$29,IF(E6910="HI",2,IF(E6910="LO",6,10))+IF(T6910=1,2,IF(D6910=7,1,(IF(WEEKDAY(B6910)=1,2,IF(WEEKDAY(B6910)=7,1,0))))))</f>
        <v>1</v>
      </c>
      <c r="V6910" s="328">
        <f>VLOOKUP(C6910,METADATA!$A$5:$H$29,IF(E6910="HI",2,IF(E6910="LO",6,10))+IF(T6910=1,2,IF(D6910=7,1,(IF(WEEKDAY(B6910)=1,2,IF(WEEKDAY(B6910)=7,1,0))))))</f>
        <v>1</v>
      </c>
    </row>
    <row r="6911" spans="2:22">
      <c r="B6911" s="318">
        <f t="shared" si="431"/>
        <v>46400</v>
      </c>
      <c r="C6911" s="312">
        <v>19</v>
      </c>
      <c r="D6911" s="368">
        <f>IFERROR((INDEX(METADATA!$T$2:$T$20,MATCH(B6911,METADATA!$S$2:$S$20,0))),0)</f>
        <v>0</v>
      </c>
      <c r="E6911" s="312" t="str">
        <f t="shared" si="428"/>
        <v>HI</v>
      </c>
      <c r="F6911" s="369">
        <f>VLOOKUP(C6911,METADATA!$A$5:$H$29,IF(E6911="HI",2,IF(E6911="LO",6,10))+IF(D6911=1,2,IF(D6911=7,1,(IF(WEEKDAY(B6911)=1,2,IF(WEEKDAY(B6911)=7,1,0))))))</f>
        <v>1</v>
      </c>
      <c r="G6911" s="369">
        <f>VLOOKUP(C6911,METADATA!$J$5:$Q$29,IF(E6911="HI",2,IF(E6911="LO",6,10))+IF(D6911=1,2,IF(D6911=7,1,(IF(WEEKDAY(B6911)=1,2,IF(WEEKDAY(B6911)=7,1,0))))))</f>
        <v>1</v>
      </c>
      <c r="H6911" s="370">
        <v>6268.2224426269531</v>
      </c>
      <c r="I6911" s="370">
        <v>1713.3575057983398</v>
      </c>
      <c r="M6911" s="371">
        <f t="shared" si="429"/>
        <v>6498.1694755467643</v>
      </c>
      <c r="N6911" s="329">
        <f t="shared" si="430"/>
        <v>0</v>
      </c>
      <c r="T6911" s="331">
        <v>0</v>
      </c>
      <c r="U6911" s="328">
        <f>VLOOKUP(C6911,METADATA!$J$5:$Q$29,IF(E6911="HI",2,IF(E6911="LO",6,10))+IF(T6911=1,2,IF(D6911=7,1,(IF(WEEKDAY(B6911)=1,2,IF(WEEKDAY(B6911)=7,1,0))))))</f>
        <v>1</v>
      </c>
      <c r="V6911" s="328">
        <f>VLOOKUP(C6911,METADATA!$A$5:$H$29,IF(E6911="HI",2,IF(E6911="LO",6,10))+IF(T6911=1,2,IF(D6911=7,1,(IF(WEEKDAY(B6911)=1,2,IF(WEEKDAY(B6911)=7,1,0))))))</f>
        <v>1</v>
      </c>
    </row>
    <row r="6912" spans="2:22">
      <c r="B6912" s="318">
        <f t="shared" si="431"/>
        <v>46400</v>
      </c>
      <c r="C6912" s="312">
        <v>20</v>
      </c>
      <c r="D6912" s="368">
        <f>IFERROR((INDEX(METADATA!$T$2:$T$20,MATCH(B6912,METADATA!$S$2:$S$20,0))),0)</f>
        <v>0</v>
      </c>
      <c r="E6912" s="312" t="str">
        <f t="shared" si="428"/>
        <v>HI</v>
      </c>
      <c r="F6912" s="369">
        <f>VLOOKUP(C6912,METADATA!$A$5:$H$29,IF(E6912="HI",2,IF(E6912="LO",6,10))+IF(D6912=1,2,IF(D6912=7,1,(IF(WEEKDAY(B6912)=1,2,IF(WEEKDAY(B6912)=7,1,0))))))</f>
        <v>2</v>
      </c>
      <c r="G6912" s="369">
        <f>VLOOKUP(C6912,METADATA!$J$5:$Q$29,IF(E6912="HI",2,IF(E6912="LO",6,10))+IF(D6912=1,2,IF(D6912=7,1,(IF(WEEKDAY(B6912)=1,2,IF(WEEKDAY(B6912)=7,1,0))))))</f>
        <v>2</v>
      </c>
      <c r="H6912" s="370">
        <v>5589.0498962402344</v>
      </c>
      <c r="I6912" s="370">
        <v>1610.3549499511719</v>
      </c>
      <c r="M6912" s="371">
        <f t="shared" si="429"/>
        <v>5816.4182971563532</v>
      </c>
      <c r="N6912" s="329">
        <f t="shared" si="430"/>
        <v>0</v>
      </c>
      <c r="T6912" s="331">
        <v>0</v>
      </c>
      <c r="U6912" s="328">
        <f>VLOOKUP(C6912,METADATA!$J$5:$Q$29,IF(E6912="HI",2,IF(E6912="LO",6,10))+IF(T6912=1,2,IF(D6912=7,1,(IF(WEEKDAY(B6912)=1,2,IF(WEEKDAY(B6912)=7,1,0))))))</f>
        <v>2</v>
      </c>
      <c r="V6912" s="328">
        <f>VLOOKUP(C6912,METADATA!$A$5:$H$29,IF(E6912="HI",2,IF(E6912="LO",6,10))+IF(T6912=1,2,IF(D6912=7,1,(IF(WEEKDAY(B6912)=1,2,IF(WEEKDAY(B6912)=7,1,0))))))</f>
        <v>2</v>
      </c>
    </row>
    <row r="6913" spans="2:22">
      <c r="B6913" s="318">
        <f t="shared" si="431"/>
        <v>46400</v>
      </c>
      <c r="C6913" s="312">
        <v>21</v>
      </c>
      <c r="D6913" s="368">
        <f>IFERROR((INDEX(METADATA!$T$2:$T$20,MATCH(B6913,METADATA!$S$2:$S$20,0))),0)</f>
        <v>0</v>
      </c>
      <c r="E6913" s="312" t="str">
        <f t="shared" si="428"/>
        <v>HI</v>
      </c>
      <c r="F6913" s="369">
        <f>VLOOKUP(C6913,METADATA!$A$5:$H$29,IF(E6913="HI",2,IF(E6913="LO",6,10))+IF(D6913=1,2,IF(D6913=7,1,(IF(WEEKDAY(B6913)=1,2,IF(WEEKDAY(B6913)=7,1,0))))))</f>
        <v>2</v>
      </c>
      <c r="G6913" s="369">
        <f>VLOOKUP(C6913,METADATA!$J$5:$Q$29,IF(E6913="HI",2,IF(E6913="LO",6,10))+IF(D6913=1,2,IF(D6913=7,1,(IF(WEEKDAY(B6913)=1,2,IF(WEEKDAY(B6913)=7,1,0))))))</f>
        <v>2</v>
      </c>
      <c r="H6913" s="370">
        <v>5520.2049560546875</v>
      </c>
      <c r="I6913" s="370">
        <v>1583.5699768066406</v>
      </c>
      <c r="M6913" s="371">
        <f t="shared" si="429"/>
        <v>5742.8526559797892</v>
      </c>
      <c r="N6913" s="329">
        <f t="shared" si="430"/>
        <v>0</v>
      </c>
      <c r="T6913" s="331">
        <v>0</v>
      </c>
      <c r="U6913" s="328">
        <f>VLOOKUP(C6913,METADATA!$J$5:$Q$29,IF(E6913="HI",2,IF(E6913="LO",6,10))+IF(T6913=1,2,IF(D6913=7,1,(IF(WEEKDAY(B6913)=1,2,IF(WEEKDAY(B6913)=7,1,0))))))</f>
        <v>2</v>
      </c>
      <c r="V6913" s="328">
        <f>VLOOKUP(C6913,METADATA!$A$5:$H$29,IF(E6913="HI",2,IF(E6913="LO",6,10))+IF(T6913=1,2,IF(D6913=7,1,(IF(WEEKDAY(B6913)=1,2,IF(WEEKDAY(B6913)=7,1,0))))))</f>
        <v>2</v>
      </c>
    </row>
    <row r="6914" spans="2:22">
      <c r="B6914" s="318">
        <f t="shared" si="431"/>
        <v>46400</v>
      </c>
      <c r="C6914" s="312">
        <v>22</v>
      </c>
      <c r="D6914" s="368">
        <f>IFERROR((INDEX(METADATA!$T$2:$T$20,MATCH(B6914,METADATA!$S$2:$S$20,0))),0)</f>
        <v>0</v>
      </c>
      <c r="E6914" s="312" t="str">
        <f t="shared" si="428"/>
        <v>HI</v>
      </c>
      <c r="F6914" s="369">
        <f>VLOOKUP(C6914,METADATA!$A$5:$H$29,IF(E6914="HI",2,IF(E6914="LO",6,10))+IF(D6914=1,2,IF(D6914=7,1,(IF(WEEKDAY(B6914)=1,2,IF(WEEKDAY(B6914)=7,1,0))))))</f>
        <v>3</v>
      </c>
      <c r="G6914" s="369">
        <f>VLOOKUP(C6914,METADATA!$J$5:$Q$29,IF(E6914="HI",2,IF(E6914="LO",6,10))+IF(D6914=1,2,IF(D6914=7,1,(IF(WEEKDAY(B6914)=1,2,IF(WEEKDAY(B6914)=7,1,0))))))</f>
        <v>3</v>
      </c>
      <c r="H6914" s="370">
        <v>5571.9925231933594</v>
      </c>
      <c r="I6914" s="370">
        <v>1626.3324890136719</v>
      </c>
      <c r="M6914" s="371">
        <f t="shared" si="429"/>
        <v>5804.4860274915045</v>
      </c>
      <c r="N6914" s="329">
        <f t="shared" si="430"/>
        <v>0</v>
      </c>
      <c r="T6914" s="331">
        <v>0</v>
      </c>
      <c r="U6914" s="328">
        <f>VLOOKUP(C6914,METADATA!$J$5:$Q$29,IF(E6914="HI",2,IF(E6914="LO",6,10))+IF(T6914=1,2,IF(D6914=7,1,(IF(WEEKDAY(B6914)=1,2,IF(WEEKDAY(B6914)=7,1,0))))))</f>
        <v>3</v>
      </c>
      <c r="V6914" s="328">
        <f>VLOOKUP(C6914,METADATA!$A$5:$H$29,IF(E6914="HI",2,IF(E6914="LO",6,10))+IF(T6914=1,2,IF(D6914=7,1,(IF(WEEKDAY(B6914)=1,2,IF(WEEKDAY(B6914)=7,1,0))))))</f>
        <v>3</v>
      </c>
    </row>
    <row r="6915" spans="2:22">
      <c r="B6915" s="318">
        <f t="shared" si="431"/>
        <v>46400</v>
      </c>
      <c r="C6915" s="312">
        <v>23</v>
      </c>
      <c r="D6915" s="368">
        <f>IFERROR((INDEX(METADATA!$T$2:$T$20,MATCH(B6915,METADATA!$S$2:$S$20,0))),0)</f>
        <v>0</v>
      </c>
      <c r="E6915" s="312" t="str">
        <f t="shared" si="428"/>
        <v>HI</v>
      </c>
      <c r="F6915" s="369">
        <f>VLOOKUP(C6915,METADATA!$A$5:$H$29,IF(E6915="HI",2,IF(E6915="LO",6,10))+IF(D6915=1,2,IF(D6915=7,1,(IF(WEEKDAY(B6915)=1,2,IF(WEEKDAY(B6915)=7,1,0))))))</f>
        <v>3</v>
      </c>
      <c r="G6915" s="369">
        <f>VLOOKUP(C6915,METADATA!$J$5:$Q$29,IF(E6915="HI",2,IF(E6915="LO",6,10))+IF(D6915=1,2,IF(D6915=7,1,(IF(WEEKDAY(B6915)=1,2,IF(WEEKDAY(B6915)=7,1,0))))))</f>
        <v>3</v>
      </c>
      <c r="H6915" s="370">
        <v>5710.732421875</v>
      </c>
      <c r="I6915" s="370">
        <v>1685.447509765625</v>
      </c>
      <c r="M6915" s="371">
        <f t="shared" si="429"/>
        <v>5954.2588205778766</v>
      </c>
      <c r="N6915" s="329">
        <f t="shared" si="430"/>
        <v>0</v>
      </c>
      <c r="T6915" s="331">
        <v>0</v>
      </c>
      <c r="U6915" s="328">
        <f>VLOOKUP(C6915,METADATA!$J$5:$Q$29,IF(E6915="HI",2,IF(E6915="LO",6,10))+IF(T6915=1,2,IF(D6915=7,1,(IF(WEEKDAY(B6915)=1,2,IF(WEEKDAY(B6915)=7,1,0))))))</f>
        <v>3</v>
      </c>
      <c r="V6915" s="328">
        <f>VLOOKUP(C6915,METADATA!$A$5:$H$29,IF(E6915="HI",2,IF(E6915="LO",6,10))+IF(T6915=1,2,IF(D6915=7,1,(IF(WEEKDAY(B6915)=1,2,IF(WEEKDAY(B6915)=7,1,0))))))</f>
        <v>3</v>
      </c>
    </row>
    <row r="6916" spans="2:22">
      <c r="B6916" s="318">
        <f t="shared" si="431"/>
        <v>46401</v>
      </c>
      <c r="C6916" s="312">
        <v>0</v>
      </c>
      <c r="D6916" s="368">
        <f>IFERROR((INDEX(METADATA!$T$2:$T$20,MATCH(B6916,METADATA!$S$2:$S$20,0))),0)</f>
        <v>0</v>
      </c>
      <c r="E6916" s="312" t="str">
        <f t="shared" ref="E6916:E6979" si="432">IF(B6916="","",IF(AND(MONTH(B6916)&gt;=MONTH($Z$9),MONTH(B6916)&lt;=MONTH($Z$11)),"HI","LO"))</f>
        <v>HI</v>
      </c>
      <c r="F6916" s="369">
        <f>VLOOKUP(C6916,METADATA!$A$5:$H$29,IF(E6916="HI",2,IF(E6916="LO",6,10))+IF(D6916=1,2,IF(D6916=7,1,(IF(WEEKDAY(B6916)=1,2,IF(WEEKDAY(B6916)=7,1,0))))))</f>
        <v>3</v>
      </c>
      <c r="G6916" s="369">
        <f>VLOOKUP(C6916,METADATA!$J$5:$Q$29,IF(E6916="HI",2,IF(E6916="LO",6,10))+IF(D6916=1,2,IF(D6916=7,1,(IF(WEEKDAY(B6916)=1,2,IF(WEEKDAY(B6916)=7,1,0))))))</f>
        <v>3</v>
      </c>
      <c r="H6916" s="370">
        <v>10878.10009765625</v>
      </c>
      <c r="I6916" s="370">
        <v>3623.2949447631836</v>
      </c>
      <c r="M6916" s="371">
        <f t="shared" ref="M6916:M6979" si="433">SQRT(H6916^2+I6916^2)</f>
        <v>11465.658637486787</v>
      </c>
      <c r="N6916" s="329">
        <f t="shared" ref="N6916:N6979" si="434">IF(H6916=0,0,(IF(I6916-(0.3*H6916)&lt;0,0,(I6916-(0.3*H6916)))))</f>
        <v>359.8649154663085</v>
      </c>
      <c r="T6916" s="331">
        <v>0</v>
      </c>
      <c r="U6916" s="328">
        <f>VLOOKUP(C6916,METADATA!$J$5:$Q$29,IF(E6916="HI",2,IF(E6916="LO",6,10))+IF(T6916=1,2,IF(D6916=7,1,(IF(WEEKDAY(B6916)=1,2,IF(WEEKDAY(B6916)=7,1,0))))))</f>
        <v>3</v>
      </c>
      <c r="V6916" s="328">
        <f>VLOOKUP(C6916,METADATA!$A$5:$H$29,IF(E6916="HI",2,IF(E6916="LO",6,10))+IF(T6916=1,2,IF(D6916=7,1,(IF(WEEKDAY(B6916)=1,2,IF(WEEKDAY(B6916)=7,1,0))))))</f>
        <v>3</v>
      </c>
    </row>
    <row r="6917" spans="2:22">
      <c r="B6917" s="318">
        <f t="shared" si="431"/>
        <v>46401</v>
      </c>
      <c r="C6917" s="312">
        <v>1</v>
      </c>
      <c r="D6917" s="368">
        <f>IFERROR((INDEX(METADATA!$T$2:$T$20,MATCH(B6917,METADATA!$S$2:$S$20,0))),0)</f>
        <v>0</v>
      </c>
      <c r="E6917" s="312" t="str">
        <f t="shared" si="432"/>
        <v>HI</v>
      </c>
      <c r="F6917" s="369">
        <f>VLOOKUP(C6917,METADATA!$A$5:$H$29,IF(E6917="HI",2,IF(E6917="LO",6,10))+IF(D6917=1,2,IF(D6917=7,1,(IF(WEEKDAY(B6917)=1,2,IF(WEEKDAY(B6917)=7,1,0))))))</f>
        <v>3</v>
      </c>
      <c r="G6917" s="369">
        <f>VLOOKUP(C6917,METADATA!$J$5:$Q$29,IF(E6917="HI",2,IF(E6917="LO",6,10))+IF(D6917=1,2,IF(D6917=7,1,(IF(WEEKDAY(B6917)=1,2,IF(WEEKDAY(B6917)=7,1,0))))))</f>
        <v>3</v>
      </c>
      <c r="H6917" s="370">
        <v>13406.77734375</v>
      </c>
      <c r="I6917" s="370">
        <v>4689.1501159667969</v>
      </c>
      <c r="M6917" s="371">
        <f t="shared" si="433"/>
        <v>14203.161885825273</v>
      </c>
      <c r="N6917" s="329">
        <f t="shared" si="434"/>
        <v>667.11691284179688</v>
      </c>
      <c r="T6917" s="331">
        <v>0</v>
      </c>
      <c r="U6917" s="328">
        <f>VLOOKUP(C6917,METADATA!$J$5:$Q$29,IF(E6917="HI",2,IF(E6917="LO",6,10))+IF(T6917=1,2,IF(D6917=7,1,(IF(WEEKDAY(B6917)=1,2,IF(WEEKDAY(B6917)=7,1,0))))))</f>
        <v>3</v>
      </c>
      <c r="V6917" s="328">
        <f>VLOOKUP(C6917,METADATA!$A$5:$H$29,IF(E6917="HI",2,IF(E6917="LO",6,10))+IF(T6917=1,2,IF(D6917=7,1,(IF(WEEKDAY(B6917)=1,2,IF(WEEKDAY(B6917)=7,1,0))))))</f>
        <v>3</v>
      </c>
    </row>
    <row r="6918" spans="2:22">
      <c r="B6918" s="318">
        <f t="shared" si="431"/>
        <v>46401</v>
      </c>
      <c r="C6918" s="312">
        <v>2</v>
      </c>
      <c r="D6918" s="368">
        <f>IFERROR((INDEX(METADATA!$T$2:$T$20,MATCH(B6918,METADATA!$S$2:$S$20,0))),0)</f>
        <v>0</v>
      </c>
      <c r="E6918" s="312" t="str">
        <f t="shared" si="432"/>
        <v>HI</v>
      </c>
      <c r="F6918" s="369">
        <f>VLOOKUP(C6918,METADATA!$A$5:$H$29,IF(E6918="HI",2,IF(E6918="LO",6,10))+IF(D6918=1,2,IF(D6918=7,1,(IF(WEEKDAY(B6918)=1,2,IF(WEEKDAY(B6918)=7,1,0))))))</f>
        <v>3</v>
      </c>
      <c r="G6918" s="369">
        <f>VLOOKUP(C6918,METADATA!$J$5:$Q$29,IF(E6918="HI",2,IF(E6918="LO",6,10))+IF(D6918=1,2,IF(D6918=7,1,(IF(WEEKDAY(B6918)=1,2,IF(WEEKDAY(B6918)=7,1,0))))))</f>
        <v>3</v>
      </c>
      <c r="H6918" s="370">
        <v>13564.950317382813</v>
      </c>
      <c r="I6918" s="370">
        <v>4536.8700561523438</v>
      </c>
      <c r="M6918" s="371">
        <f t="shared" si="433"/>
        <v>14303.533375340368</v>
      </c>
      <c r="N6918" s="329">
        <f t="shared" si="434"/>
        <v>467.38496093750018</v>
      </c>
      <c r="T6918" s="331">
        <v>0</v>
      </c>
      <c r="U6918" s="328">
        <f>VLOOKUP(C6918,METADATA!$J$5:$Q$29,IF(E6918="HI",2,IF(E6918="LO",6,10))+IF(T6918=1,2,IF(D6918=7,1,(IF(WEEKDAY(B6918)=1,2,IF(WEEKDAY(B6918)=7,1,0))))))</f>
        <v>3</v>
      </c>
      <c r="V6918" s="328">
        <f>VLOOKUP(C6918,METADATA!$A$5:$H$29,IF(E6918="HI",2,IF(E6918="LO",6,10))+IF(T6918=1,2,IF(D6918=7,1,(IF(WEEKDAY(B6918)=1,2,IF(WEEKDAY(B6918)=7,1,0))))))</f>
        <v>3</v>
      </c>
    </row>
    <row r="6919" spans="2:22">
      <c r="B6919" s="318">
        <f t="shared" si="431"/>
        <v>46401</v>
      </c>
      <c r="C6919" s="312">
        <v>3</v>
      </c>
      <c r="D6919" s="368">
        <f>IFERROR((INDEX(METADATA!$T$2:$T$20,MATCH(B6919,METADATA!$S$2:$S$20,0))),0)</f>
        <v>0</v>
      </c>
      <c r="E6919" s="312" t="str">
        <f t="shared" si="432"/>
        <v>HI</v>
      </c>
      <c r="F6919" s="369">
        <f>VLOOKUP(C6919,METADATA!$A$5:$H$29,IF(E6919="HI",2,IF(E6919="LO",6,10))+IF(D6919=1,2,IF(D6919=7,1,(IF(WEEKDAY(B6919)=1,2,IF(WEEKDAY(B6919)=7,1,0))))))</f>
        <v>3</v>
      </c>
      <c r="G6919" s="369">
        <f>VLOOKUP(C6919,METADATA!$J$5:$Q$29,IF(E6919="HI",2,IF(E6919="LO",6,10))+IF(D6919=1,2,IF(D6919=7,1,(IF(WEEKDAY(B6919)=1,2,IF(WEEKDAY(B6919)=7,1,0))))))</f>
        <v>3</v>
      </c>
      <c r="H6919" s="370">
        <v>13274.424743652344</v>
      </c>
      <c r="I6919" s="370">
        <v>4063.8999633789063</v>
      </c>
      <c r="M6919" s="371">
        <f t="shared" si="433"/>
        <v>13882.565871885523</v>
      </c>
      <c r="N6919" s="329">
        <f t="shared" si="434"/>
        <v>81.572540283203125</v>
      </c>
      <c r="T6919" s="331">
        <v>0</v>
      </c>
      <c r="U6919" s="328">
        <f>VLOOKUP(C6919,METADATA!$J$5:$Q$29,IF(E6919="HI",2,IF(E6919="LO",6,10))+IF(T6919=1,2,IF(D6919=7,1,(IF(WEEKDAY(B6919)=1,2,IF(WEEKDAY(B6919)=7,1,0))))))</f>
        <v>3</v>
      </c>
      <c r="V6919" s="328">
        <f>VLOOKUP(C6919,METADATA!$A$5:$H$29,IF(E6919="HI",2,IF(E6919="LO",6,10))+IF(T6919=1,2,IF(D6919=7,1,(IF(WEEKDAY(B6919)=1,2,IF(WEEKDAY(B6919)=7,1,0))))))</f>
        <v>3</v>
      </c>
    </row>
    <row r="6920" spans="2:22">
      <c r="B6920" s="318">
        <f t="shared" si="431"/>
        <v>46401</v>
      </c>
      <c r="C6920" s="312">
        <v>4</v>
      </c>
      <c r="D6920" s="368">
        <f>IFERROR((INDEX(METADATA!$T$2:$T$20,MATCH(B6920,METADATA!$S$2:$S$20,0))),0)</f>
        <v>0</v>
      </c>
      <c r="E6920" s="312" t="str">
        <f t="shared" si="432"/>
        <v>HI</v>
      </c>
      <c r="F6920" s="369">
        <f>VLOOKUP(C6920,METADATA!$A$5:$H$29,IF(E6920="HI",2,IF(E6920="LO",6,10))+IF(D6920=1,2,IF(D6920=7,1,(IF(WEEKDAY(B6920)=1,2,IF(WEEKDAY(B6920)=7,1,0))))))</f>
        <v>3</v>
      </c>
      <c r="G6920" s="369">
        <f>VLOOKUP(C6920,METADATA!$J$5:$Q$29,IF(E6920="HI",2,IF(E6920="LO",6,10))+IF(D6920=1,2,IF(D6920=7,1,(IF(WEEKDAY(B6920)=1,2,IF(WEEKDAY(B6920)=7,1,0))))))</f>
        <v>3</v>
      </c>
      <c r="H6920" s="370">
        <v>13137.375244140625</v>
      </c>
      <c r="I6920" s="370">
        <v>4041.5600280761719</v>
      </c>
      <c r="M6920" s="371">
        <f t="shared" si="433"/>
        <v>13744.993116255169</v>
      </c>
      <c r="N6920" s="329">
        <f t="shared" si="434"/>
        <v>100.34745483398456</v>
      </c>
      <c r="T6920" s="331">
        <v>0</v>
      </c>
      <c r="U6920" s="328">
        <f>VLOOKUP(C6920,METADATA!$J$5:$Q$29,IF(E6920="HI",2,IF(E6920="LO",6,10))+IF(T6920=1,2,IF(D6920=7,1,(IF(WEEKDAY(B6920)=1,2,IF(WEEKDAY(B6920)=7,1,0))))))</f>
        <v>3</v>
      </c>
      <c r="V6920" s="328">
        <f>VLOOKUP(C6920,METADATA!$A$5:$H$29,IF(E6920="HI",2,IF(E6920="LO",6,10))+IF(T6920=1,2,IF(D6920=7,1,(IF(WEEKDAY(B6920)=1,2,IF(WEEKDAY(B6920)=7,1,0))))))</f>
        <v>3</v>
      </c>
    </row>
    <row r="6921" spans="2:22">
      <c r="B6921" s="318">
        <f t="shared" si="431"/>
        <v>46401</v>
      </c>
      <c r="C6921" s="312">
        <v>5</v>
      </c>
      <c r="D6921" s="368">
        <f>IFERROR((INDEX(METADATA!$T$2:$T$20,MATCH(B6921,METADATA!$S$2:$S$20,0))),0)</f>
        <v>0</v>
      </c>
      <c r="E6921" s="312" t="str">
        <f t="shared" si="432"/>
        <v>HI</v>
      </c>
      <c r="F6921" s="369">
        <f>VLOOKUP(C6921,METADATA!$A$5:$H$29,IF(E6921="HI",2,IF(E6921="LO",6,10))+IF(D6921=1,2,IF(D6921=7,1,(IF(WEEKDAY(B6921)=1,2,IF(WEEKDAY(B6921)=7,1,0))))))</f>
        <v>3</v>
      </c>
      <c r="G6921" s="369">
        <f>VLOOKUP(C6921,METADATA!$J$5:$Q$29,IF(E6921="HI",2,IF(E6921="LO",6,10))+IF(D6921=1,2,IF(D6921=7,1,(IF(WEEKDAY(B6921)=1,2,IF(WEEKDAY(B6921)=7,1,0))))))</f>
        <v>3</v>
      </c>
      <c r="H6921" s="370">
        <v>13614.500122070313</v>
      </c>
      <c r="I6921" s="370">
        <v>4425.675048828125</v>
      </c>
      <c r="M6921" s="371">
        <f t="shared" si="433"/>
        <v>14315.767992380723</v>
      </c>
      <c r="N6921" s="329">
        <f t="shared" si="434"/>
        <v>341.32501220703125</v>
      </c>
      <c r="T6921" s="331">
        <v>0</v>
      </c>
      <c r="U6921" s="328">
        <f>VLOOKUP(C6921,METADATA!$J$5:$Q$29,IF(E6921="HI",2,IF(E6921="LO",6,10))+IF(T6921=1,2,IF(D6921=7,1,(IF(WEEKDAY(B6921)=1,2,IF(WEEKDAY(B6921)=7,1,0))))))</f>
        <v>3</v>
      </c>
      <c r="V6921" s="328">
        <f>VLOOKUP(C6921,METADATA!$A$5:$H$29,IF(E6921="HI",2,IF(E6921="LO",6,10))+IF(T6921=1,2,IF(D6921=7,1,(IF(WEEKDAY(B6921)=1,2,IF(WEEKDAY(B6921)=7,1,0))))))</f>
        <v>3</v>
      </c>
    </row>
    <row r="6922" spans="2:22">
      <c r="B6922" s="318">
        <f t="shared" si="431"/>
        <v>46401</v>
      </c>
      <c r="C6922" s="312">
        <v>6</v>
      </c>
      <c r="D6922" s="368">
        <f>IFERROR((INDEX(METADATA!$T$2:$T$20,MATCH(B6922,METADATA!$S$2:$S$20,0))),0)</f>
        <v>0</v>
      </c>
      <c r="E6922" s="312" t="str">
        <f t="shared" si="432"/>
        <v>HI</v>
      </c>
      <c r="F6922" s="369">
        <f>VLOOKUP(C6922,METADATA!$A$5:$H$29,IF(E6922="HI",2,IF(E6922="LO",6,10))+IF(D6922=1,2,IF(D6922=7,1,(IF(WEEKDAY(B6922)=1,2,IF(WEEKDAY(B6922)=7,1,0))))))</f>
        <v>1</v>
      </c>
      <c r="G6922" s="369">
        <f>VLOOKUP(C6922,METADATA!$J$5:$Q$29,IF(E6922="HI",2,IF(E6922="LO",6,10))+IF(D6922=1,2,IF(D6922=7,1,(IF(WEEKDAY(B6922)=1,2,IF(WEEKDAY(B6922)=7,1,0))))))</f>
        <v>1</v>
      </c>
      <c r="H6922" s="370">
        <v>13495.574829101563</v>
      </c>
      <c r="I6922" s="370">
        <v>4276.5400390625</v>
      </c>
      <c r="M6922" s="371">
        <f t="shared" si="433"/>
        <v>14156.953580258159</v>
      </c>
      <c r="N6922" s="329">
        <f t="shared" si="434"/>
        <v>227.86759033203134</v>
      </c>
      <c r="T6922" s="331">
        <v>0</v>
      </c>
      <c r="U6922" s="328">
        <f>VLOOKUP(C6922,METADATA!$J$5:$Q$29,IF(E6922="HI",2,IF(E6922="LO",6,10))+IF(T6922=1,2,IF(D6922=7,1,(IF(WEEKDAY(B6922)=1,2,IF(WEEKDAY(B6922)=7,1,0))))))</f>
        <v>1</v>
      </c>
      <c r="V6922" s="328">
        <f>VLOOKUP(C6922,METADATA!$A$5:$H$29,IF(E6922="HI",2,IF(E6922="LO",6,10))+IF(T6922=1,2,IF(D6922=7,1,(IF(WEEKDAY(B6922)=1,2,IF(WEEKDAY(B6922)=7,1,0))))))</f>
        <v>1</v>
      </c>
    </row>
    <row r="6923" spans="2:22">
      <c r="B6923" s="318">
        <f t="shared" si="431"/>
        <v>46401</v>
      </c>
      <c r="C6923" s="312">
        <v>7</v>
      </c>
      <c r="D6923" s="368">
        <f>IFERROR((INDEX(METADATA!$T$2:$T$20,MATCH(B6923,METADATA!$S$2:$S$20,0))),0)</f>
        <v>0</v>
      </c>
      <c r="E6923" s="312" t="str">
        <f t="shared" si="432"/>
        <v>HI</v>
      </c>
      <c r="F6923" s="369">
        <f>VLOOKUP(C6923,METADATA!$A$5:$H$29,IF(E6923="HI",2,IF(E6923="LO",6,10))+IF(D6923=1,2,IF(D6923=7,1,(IF(WEEKDAY(B6923)=1,2,IF(WEEKDAY(B6923)=7,1,0))))))</f>
        <v>1</v>
      </c>
      <c r="G6923" s="369">
        <f>VLOOKUP(C6923,METADATA!$J$5:$Q$29,IF(E6923="HI",2,IF(E6923="LO",6,10))+IF(D6923=1,2,IF(D6923=7,1,(IF(WEEKDAY(B6923)=1,2,IF(WEEKDAY(B6923)=7,1,0))))))</f>
        <v>1</v>
      </c>
      <c r="H6923" s="370">
        <v>13523.299621582031</v>
      </c>
      <c r="I6923" s="370">
        <v>4461.0949401855469</v>
      </c>
      <c r="M6923" s="371">
        <f t="shared" si="433"/>
        <v>14240.11940681783</v>
      </c>
      <c r="N6923" s="329">
        <f t="shared" si="434"/>
        <v>404.10505371093768</v>
      </c>
      <c r="T6923" s="331">
        <v>0</v>
      </c>
      <c r="U6923" s="328">
        <f>VLOOKUP(C6923,METADATA!$J$5:$Q$29,IF(E6923="HI",2,IF(E6923="LO",6,10))+IF(T6923=1,2,IF(D6923=7,1,(IF(WEEKDAY(B6923)=1,2,IF(WEEKDAY(B6923)=7,1,0))))))</f>
        <v>1</v>
      </c>
      <c r="V6923" s="328">
        <f>VLOOKUP(C6923,METADATA!$A$5:$H$29,IF(E6923="HI",2,IF(E6923="LO",6,10))+IF(T6923=1,2,IF(D6923=7,1,(IF(WEEKDAY(B6923)=1,2,IF(WEEKDAY(B6923)=7,1,0))))))</f>
        <v>1</v>
      </c>
    </row>
    <row r="6924" spans="2:22">
      <c r="B6924" s="318">
        <f t="shared" si="431"/>
        <v>46401</v>
      </c>
      <c r="C6924" s="312">
        <v>8</v>
      </c>
      <c r="D6924" s="368">
        <f>IFERROR((INDEX(METADATA!$T$2:$T$20,MATCH(B6924,METADATA!$S$2:$S$20,0))),0)</f>
        <v>0</v>
      </c>
      <c r="E6924" s="312" t="str">
        <f t="shared" si="432"/>
        <v>HI</v>
      </c>
      <c r="F6924" s="369">
        <f>VLOOKUP(C6924,METADATA!$A$5:$H$29,IF(E6924="HI",2,IF(E6924="LO",6,10))+IF(D6924=1,2,IF(D6924=7,1,(IF(WEEKDAY(B6924)=1,2,IF(WEEKDAY(B6924)=7,1,0))))))</f>
        <v>2</v>
      </c>
      <c r="G6924" s="369">
        <f>VLOOKUP(C6924,METADATA!$J$5:$Q$29,IF(E6924="HI",2,IF(E6924="LO",6,10))+IF(D6924=1,2,IF(D6924=7,1,(IF(WEEKDAY(B6924)=1,2,IF(WEEKDAY(B6924)=7,1,0))))))</f>
        <v>2</v>
      </c>
      <c r="H6924" s="370">
        <v>13685.399780273438</v>
      </c>
      <c r="I6924" s="370">
        <v>4376.1349487304688</v>
      </c>
      <c r="M6924" s="371">
        <f t="shared" si="433"/>
        <v>14368.045247541799</v>
      </c>
      <c r="N6924" s="329">
        <f t="shared" si="434"/>
        <v>270.5150146484375</v>
      </c>
      <c r="T6924" s="331">
        <v>0</v>
      </c>
      <c r="U6924" s="328">
        <f>VLOOKUP(C6924,METADATA!$J$5:$Q$29,IF(E6924="HI",2,IF(E6924="LO",6,10))+IF(T6924=1,2,IF(D6924=7,1,(IF(WEEKDAY(B6924)=1,2,IF(WEEKDAY(B6924)=7,1,0))))))</f>
        <v>2</v>
      </c>
      <c r="V6924" s="328">
        <f>VLOOKUP(C6924,METADATA!$A$5:$H$29,IF(E6924="HI",2,IF(E6924="LO",6,10))+IF(T6924=1,2,IF(D6924=7,1,(IF(WEEKDAY(B6924)=1,2,IF(WEEKDAY(B6924)=7,1,0))))))</f>
        <v>2</v>
      </c>
    </row>
    <row r="6925" spans="2:22">
      <c r="B6925" s="318">
        <f t="shared" si="431"/>
        <v>46401</v>
      </c>
      <c r="C6925" s="312">
        <v>9</v>
      </c>
      <c r="D6925" s="368">
        <f>IFERROR((INDEX(METADATA!$T$2:$T$20,MATCH(B6925,METADATA!$S$2:$S$20,0))),0)</f>
        <v>0</v>
      </c>
      <c r="E6925" s="312" t="str">
        <f t="shared" si="432"/>
        <v>HI</v>
      </c>
      <c r="F6925" s="369">
        <f>VLOOKUP(C6925,METADATA!$A$5:$H$29,IF(E6925="HI",2,IF(E6925="LO",6,10))+IF(D6925=1,2,IF(D6925=7,1,(IF(WEEKDAY(B6925)=1,2,IF(WEEKDAY(B6925)=7,1,0))))))</f>
        <v>2</v>
      </c>
      <c r="G6925" s="369">
        <f>VLOOKUP(C6925,METADATA!$J$5:$Q$29,IF(E6925="HI",2,IF(E6925="LO",6,10))+IF(D6925=1,2,IF(D6925=7,1,(IF(WEEKDAY(B6925)=1,2,IF(WEEKDAY(B6925)=7,1,0))))))</f>
        <v>2</v>
      </c>
      <c r="H6925" s="370">
        <v>14059.949401855469</v>
      </c>
      <c r="I6925" s="370">
        <v>4689.0599365234375</v>
      </c>
      <c r="M6925" s="371">
        <f t="shared" si="433"/>
        <v>14821.250293785783</v>
      </c>
      <c r="N6925" s="329">
        <f t="shared" si="434"/>
        <v>471.07511596679706</v>
      </c>
      <c r="T6925" s="331">
        <v>0</v>
      </c>
      <c r="U6925" s="328">
        <f>VLOOKUP(C6925,METADATA!$J$5:$Q$29,IF(E6925="HI",2,IF(E6925="LO",6,10))+IF(T6925=1,2,IF(D6925=7,1,(IF(WEEKDAY(B6925)=1,2,IF(WEEKDAY(B6925)=7,1,0))))))</f>
        <v>2</v>
      </c>
      <c r="V6925" s="328">
        <f>VLOOKUP(C6925,METADATA!$A$5:$H$29,IF(E6925="HI",2,IF(E6925="LO",6,10))+IF(T6925=1,2,IF(D6925=7,1,(IF(WEEKDAY(B6925)=1,2,IF(WEEKDAY(B6925)=7,1,0))))))</f>
        <v>2</v>
      </c>
    </row>
    <row r="6926" spans="2:22">
      <c r="B6926" s="318">
        <f t="shared" si="431"/>
        <v>46401</v>
      </c>
      <c r="C6926" s="312">
        <v>10</v>
      </c>
      <c r="D6926" s="368">
        <f>IFERROR((INDEX(METADATA!$T$2:$T$20,MATCH(B6926,METADATA!$S$2:$S$20,0))),0)</f>
        <v>0</v>
      </c>
      <c r="E6926" s="312" t="str">
        <f t="shared" si="432"/>
        <v>HI</v>
      </c>
      <c r="F6926" s="369">
        <f>VLOOKUP(C6926,METADATA!$A$5:$H$29,IF(E6926="HI",2,IF(E6926="LO",6,10))+IF(D6926=1,2,IF(D6926=7,1,(IF(WEEKDAY(B6926)=1,2,IF(WEEKDAY(B6926)=7,1,0))))))</f>
        <v>2</v>
      </c>
      <c r="G6926" s="369">
        <f>VLOOKUP(C6926,METADATA!$J$5:$Q$29,IF(E6926="HI",2,IF(E6926="LO",6,10))+IF(D6926=1,2,IF(D6926=7,1,(IF(WEEKDAY(B6926)=1,2,IF(WEEKDAY(B6926)=7,1,0))))))</f>
        <v>2</v>
      </c>
      <c r="H6926" s="370">
        <v>13992.225036621094</v>
      </c>
      <c r="I6926" s="370">
        <v>4725.8400573730469</v>
      </c>
      <c r="M6926" s="371">
        <f t="shared" si="433"/>
        <v>14768.748278825726</v>
      </c>
      <c r="N6926" s="329">
        <f t="shared" si="434"/>
        <v>528.17254638671875</v>
      </c>
      <c r="T6926" s="331">
        <v>0</v>
      </c>
      <c r="U6926" s="328">
        <f>VLOOKUP(C6926,METADATA!$J$5:$Q$29,IF(E6926="HI",2,IF(E6926="LO",6,10))+IF(T6926=1,2,IF(D6926=7,1,(IF(WEEKDAY(B6926)=1,2,IF(WEEKDAY(B6926)=7,1,0))))))</f>
        <v>2</v>
      </c>
      <c r="V6926" s="328">
        <f>VLOOKUP(C6926,METADATA!$A$5:$H$29,IF(E6926="HI",2,IF(E6926="LO",6,10))+IF(T6926=1,2,IF(D6926=7,1,(IF(WEEKDAY(B6926)=1,2,IF(WEEKDAY(B6926)=7,1,0))))))</f>
        <v>2</v>
      </c>
    </row>
    <row r="6927" spans="2:22">
      <c r="B6927" s="318">
        <f t="shared" si="431"/>
        <v>46401</v>
      </c>
      <c r="C6927" s="312">
        <v>11</v>
      </c>
      <c r="D6927" s="368">
        <f>IFERROR((INDEX(METADATA!$T$2:$T$20,MATCH(B6927,METADATA!$S$2:$S$20,0))),0)</f>
        <v>0</v>
      </c>
      <c r="E6927" s="312" t="str">
        <f t="shared" si="432"/>
        <v>HI</v>
      </c>
      <c r="F6927" s="369">
        <f>VLOOKUP(C6927,METADATA!$A$5:$H$29,IF(E6927="HI",2,IF(E6927="LO",6,10))+IF(D6927=1,2,IF(D6927=7,1,(IF(WEEKDAY(B6927)=1,2,IF(WEEKDAY(B6927)=7,1,0))))))</f>
        <v>2</v>
      </c>
      <c r="G6927" s="369">
        <f>VLOOKUP(C6927,METADATA!$J$5:$Q$29,IF(E6927="HI",2,IF(E6927="LO",6,10))+IF(D6927=1,2,IF(D6927=7,1,(IF(WEEKDAY(B6927)=1,2,IF(WEEKDAY(B6927)=7,1,0))))))</f>
        <v>2</v>
      </c>
      <c r="H6927" s="370">
        <v>13609.625122070313</v>
      </c>
      <c r="I6927" s="370">
        <v>4433.9150085449219</v>
      </c>
      <c r="M6927" s="371">
        <f t="shared" si="433"/>
        <v>14313.682205019339</v>
      </c>
      <c r="N6927" s="329">
        <f t="shared" si="434"/>
        <v>351.02747192382822</v>
      </c>
      <c r="T6927" s="331">
        <v>0</v>
      </c>
      <c r="U6927" s="328">
        <f>VLOOKUP(C6927,METADATA!$J$5:$Q$29,IF(E6927="HI",2,IF(E6927="LO",6,10))+IF(T6927=1,2,IF(D6927=7,1,(IF(WEEKDAY(B6927)=1,2,IF(WEEKDAY(B6927)=7,1,0))))))</f>
        <v>2</v>
      </c>
      <c r="V6927" s="328">
        <f>VLOOKUP(C6927,METADATA!$A$5:$H$29,IF(E6927="HI",2,IF(E6927="LO",6,10))+IF(T6927=1,2,IF(D6927=7,1,(IF(WEEKDAY(B6927)=1,2,IF(WEEKDAY(B6927)=7,1,0))))))</f>
        <v>2</v>
      </c>
    </row>
    <row r="6928" spans="2:22">
      <c r="B6928" s="318">
        <f t="shared" si="431"/>
        <v>46401</v>
      </c>
      <c r="C6928" s="312">
        <v>12</v>
      </c>
      <c r="D6928" s="368">
        <f>IFERROR((INDEX(METADATA!$T$2:$T$20,MATCH(B6928,METADATA!$S$2:$S$20,0))),0)</f>
        <v>0</v>
      </c>
      <c r="E6928" s="312" t="str">
        <f t="shared" si="432"/>
        <v>HI</v>
      </c>
      <c r="F6928" s="369">
        <f>VLOOKUP(C6928,METADATA!$A$5:$H$29,IF(E6928="HI",2,IF(E6928="LO",6,10))+IF(D6928=1,2,IF(D6928=7,1,(IF(WEEKDAY(B6928)=1,2,IF(WEEKDAY(B6928)=7,1,0))))))</f>
        <v>2</v>
      </c>
      <c r="G6928" s="369">
        <f>VLOOKUP(C6928,METADATA!$J$5:$Q$29,IF(E6928="HI",2,IF(E6928="LO",6,10))+IF(D6928=1,2,IF(D6928=7,1,(IF(WEEKDAY(B6928)=1,2,IF(WEEKDAY(B6928)=7,1,0))))))</f>
        <v>2</v>
      </c>
      <c r="H6928" s="370">
        <v>13452.849609375</v>
      </c>
      <c r="I6928" s="370">
        <v>4352.2000122070313</v>
      </c>
      <c r="M6928" s="371">
        <f t="shared" si="433"/>
        <v>14139.335470902301</v>
      </c>
      <c r="N6928" s="329">
        <f t="shared" si="434"/>
        <v>316.34512939453134</v>
      </c>
      <c r="T6928" s="331">
        <v>0</v>
      </c>
      <c r="U6928" s="328">
        <f>VLOOKUP(C6928,METADATA!$J$5:$Q$29,IF(E6928="HI",2,IF(E6928="LO",6,10))+IF(T6928=1,2,IF(D6928=7,1,(IF(WEEKDAY(B6928)=1,2,IF(WEEKDAY(B6928)=7,1,0))))))</f>
        <v>2</v>
      </c>
      <c r="V6928" s="328">
        <f>VLOOKUP(C6928,METADATA!$A$5:$H$29,IF(E6928="HI",2,IF(E6928="LO",6,10))+IF(T6928=1,2,IF(D6928=7,1,(IF(WEEKDAY(B6928)=1,2,IF(WEEKDAY(B6928)=7,1,0))))))</f>
        <v>2</v>
      </c>
    </row>
    <row r="6929" spans="2:22">
      <c r="B6929" s="318">
        <f t="shared" si="431"/>
        <v>46401</v>
      </c>
      <c r="C6929" s="312">
        <v>13</v>
      </c>
      <c r="D6929" s="368">
        <f>IFERROR((INDEX(METADATA!$T$2:$T$20,MATCH(B6929,METADATA!$S$2:$S$20,0))),0)</f>
        <v>0</v>
      </c>
      <c r="E6929" s="312" t="str">
        <f t="shared" si="432"/>
        <v>HI</v>
      </c>
      <c r="F6929" s="369">
        <f>VLOOKUP(C6929,METADATA!$A$5:$H$29,IF(E6929="HI",2,IF(E6929="LO",6,10))+IF(D6929=1,2,IF(D6929=7,1,(IF(WEEKDAY(B6929)=1,2,IF(WEEKDAY(B6929)=7,1,0))))))</f>
        <v>2</v>
      </c>
      <c r="G6929" s="369">
        <f>VLOOKUP(C6929,METADATA!$J$5:$Q$29,IF(E6929="HI",2,IF(E6929="LO",6,10))+IF(D6929=1,2,IF(D6929=7,1,(IF(WEEKDAY(B6929)=1,2,IF(WEEKDAY(B6929)=7,1,0))))))</f>
        <v>2</v>
      </c>
      <c r="H6929" s="370">
        <v>13601.700012207031</v>
      </c>
      <c r="I6929" s="370">
        <v>4581.5250244140625</v>
      </c>
      <c r="M6929" s="371">
        <f t="shared" si="433"/>
        <v>14352.582163896677</v>
      </c>
      <c r="N6929" s="329">
        <f t="shared" si="434"/>
        <v>501.01502075195322</v>
      </c>
      <c r="T6929" s="331">
        <v>0</v>
      </c>
      <c r="U6929" s="328">
        <f>VLOOKUP(C6929,METADATA!$J$5:$Q$29,IF(E6929="HI",2,IF(E6929="LO",6,10))+IF(T6929=1,2,IF(D6929=7,1,(IF(WEEKDAY(B6929)=1,2,IF(WEEKDAY(B6929)=7,1,0))))))</f>
        <v>2</v>
      </c>
      <c r="V6929" s="328">
        <f>VLOOKUP(C6929,METADATA!$A$5:$H$29,IF(E6929="HI",2,IF(E6929="LO",6,10))+IF(T6929=1,2,IF(D6929=7,1,(IF(WEEKDAY(B6929)=1,2,IF(WEEKDAY(B6929)=7,1,0))))))</f>
        <v>2</v>
      </c>
    </row>
    <row r="6930" spans="2:22">
      <c r="B6930" s="318">
        <f t="shared" si="431"/>
        <v>46401</v>
      </c>
      <c r="C6930" s="312">
        <v>14</v>
      </c>
      <c r="D6930" s="368">
        <f>IFERROR((INDEX(METADATA!$T$2:$T$20,MATCH(B6930,METADATA!$S$2:$S$20,0))),0)</f>
        <v>0</v>
      </c>
      <c r="E6930" s="312" t="str">
        <f t="shared" si="432"/>
        <v>HI</v>
      </c>
      <c r="F6930" s="369">
        <f>VLOOKUP(C6930,METADATA!$A$5:$H$29,IF(E6930="HI",2,IF(E6930="LO",6,10))+IF(D6930=1,2,IF(D6930=7,1,(IF(WEEKDAY(B6930)=1,2,IF(WEEKDAY(B6930)=7,1,0))))))</f>
        <v>2</v>
      </c>
      <c r="G6930" s="369">
        <f>VLOOKUP(C6930,METADATA!$J$5:$Q$29,IF(E6930="HI",2,IF(E6930="LO",6,10))+IF(D6930=1,2,IF(D6930=7,1,(IF(WEEKDAY(B6930)=1,2,IF(WEEKDAY(B6930)=7,1,0))))))</f>
        <v>2</v>
      </c>
      <c r="H6930" s="370">
        <v>13442.249694824219</v>
      </c>
      <c r="I6930" s="370">
        <v>4677.9499206542969</v>
      </c>
      <c r="M6930" s="371">
        <f t="shared" si="433"/>
        <v>14232.964986894029</v>
      </c>
      <c r="N6930" s="329">
        <f t="shared" si="434"/>
        <v>645.27501220703152</v>
      </c>
      <c r="T6930" s="331">
        <v>0</v>
      </c>
      <c r="U6930" s="328">
        <f>VLOOKUP(C6930,METADATA!$J$5:$Q$29,IF(E6930="HI",2,IF(E6930="LO",6,10))+IF(T6930=1,2,IF(D6930=7,1,(IF(WEEKDAY(B6930)=1,2,IF(WEEKDAY(B6930)=7,1,0))))))</f>
        <v>2</v>
      </c>
      <c r="V6930" s="328">
        <f>VLOOKUP(C6930,METADATA!$A$5:$H$29,IF(E6930="HI",2,IF(E6930="LO",6,10))+IF(T6930=1,2,IF(D6930=7,1,(IF(WEEKDAY(B6930)=1,2,IF(WEEKDAY(B6930)=7,1,0))))))</f>
        <v>2</v>
      </c>
    </row>
    <row r="6931" spans="2:22">
      <c r="B6931" s="318">
        <f t="shared" si="431"/>
        <v>46401</v>
      </c>
      <c r="C6931" s="312">
        <v>15</v>
      </c>
      <c r="D6931" s="368">
        <f>IFERROR((INDEX(METADATA!$T$2:$T$20,MATCH(B6931,METADATA!$S$2:$S$20,0))),0)</f>
        <v>0</v>
      </c>
      <c r="E6931" s="312" t="str">
        <f t="shared" si="432"/>
        <v>HI</v>
      </c>
      <c r="F6931" s="369">
        <f>VLOOKUP(C6931,METADATA!$A$5:$H$29,IF(E6931="HI",2,IF(E6931="LO",6,10))+IF(D6931=1,2,IF(D6931=7,1,(IF(WEEKDAY(B6931)=1,2,IF(WEEKDAY(B6931)=7,1,0))))))</f>
        <v>2</v>
      </c>
      <c r="G6931" s="369">
        <f>VLOOKUP(C6931,METADATA!$J$5:$Q$29,IF(E6931="HI",2,IF(E6931="LO",6,10))+IF(D6931=1,2,IF(D6931=7,1,(IF(WEEKDAY(B6931)=1,2,IF(WEEKDAY(B6931)=7,1,0))))))</f>
        <v>2</v>
      </c>
      <c r="H6931" s="370">
        <v>13369.099792480469</v>
      </c>
      <c r="I6931" s="370">
        <v>4582.0199890136719</v>
      </c>
      <c r="M6931" s="371">
        <f t="shared" si="433"/>
        <v>14132.506375056837</v>
      </c>
      <c r="N6931" s="329">
        <f t="shared" si="434"/>
        <v>571.29005126953143</v>
      </c>
      <c r="T6931" s="331">
        <v>0</v>
      </c>
      <c r="U6931" s="328">
        <f>VLOOKUP(C6931,METADATA!$J$5:$Q$29,IF(E6931="HI",2,IF(E6931="LO",6,10))+IF(T6931=1,2,IF(D6931=7,1,(IF(WEEKDAY(B6931)=1,2,IF(WEEKDAY(B6931)=7,1,0))))))</f>
        <v>2</v>
      </c>
      <c r="V6931" s="328">
        <f>VLOOKUP(C6931,METADATA!$A$5:$H$29,IF(E6931="HI",2,IF(E6931="LO",6,10))+IF(T6931=1,2,IF(D6931=7,1,(IF(WEEKDAY(B6931)=1,2,IF(WEEKDAY(B6931)=7,1,0))))))</f>
        <v>2</v>
      </c>
    </row>
    <row r="6932" spans="2:22">
      <c r="B6932" s="318">
        <f t="shared" si="431"/>
        <v>46401</v>
      </c>
      <c r="C6932" s="312">
        <v>16</v>
      </c>
      <c r="D6932" s="368">
        <f>IFERROR((INDEX(METADATA!$T$2:$T$20,MATCH(B6932,METADATA!$S$2:$S$20,0))),0)</f>
        <v>0</v>
      </c>
      <c r="E6932" s="312" t="str">
        <f t="shared" si="432"/>
        <v>HI</v>
      </c>
      <c r="F6932" s="369">
        <f>VLOOKUP(C6932,METADATA!$A$5:$H$29,IF(E6932="HI",2,IF(E6932="LO",6,10))+IF(D6932=1,2,IF(D6932=7,1,(IF(WEEKDAY(B6932)=1,2,IF(WEEKDAY(B6932)=7,1,0))))))</f>
        <v>2</v>
      </c>
      <c r="G6932" s="369">
        <f>VLOOKUP(C6932,METADATA!$J$5:$Q$29,IF(E6932="HI",2,IF(E6932="LO",6,10))+IF(D6932=1,2,IF(D6932=7,1,(IF(WEEKDAY(B6932)=1,2,IF(WEEKDAY(B6932)=7,1,0))))))</f>
        <v>2</v>
      </c>
      <c r="H6932" s="370">
        <v>13453.025024414063</v>
      </c>
      <c r="I6932" s="370">
        <v>4540.675048828125</v>
      </c>
      <c r="M6932" s="371">
        <f t="shared" si="433"/>
        <v>14198.648252793688</v>
      </c>
      <c r="N6932" s="329">
        <f t="shared" si="434"/>
        <v>504.76754150390661</v>
      </c>
      <c r="T6932" s="331">
        <v>0</v>
      </c>
      <c r="U6932" s="328">
        <f>VLOOKUP(C6932,METADATA!$J$5:$Q$29,IF(E6932="HI",2,IF(E6932="LO",6,10))+IF(T6932=1,2,IF(D6932=7,1,(IF(WEEKDAY(B6932)=1,2,IF(WEEKDAY(B6932)=7,1,0))))))</f>
        <v>2</v>
      </c>
      <c r="V6932" s="328">
        <f>VLOOKUP(C6932,METADATA!$A$5:$H$29,IF(E6932="HI",2,IF(E6932="LO",6,10))+IF(T6932=1,2,IF(D6932=7,1,(IF(WEEKDAY(B6932)=1,2,IF(WEEKDAY(B6932)=7,1,0))))))</f>
        <v>2</v>
      </c>
    </row>
    <row r="6933" spans="2:22">
      <c r="B6933" s="318">
        <f t="shared" si="431"/>
        <v>46401</v>
      </c>
      <c r="C6933" s="312">
        <v>17</v>
      </c>
      <c r="D6933" s="368">
        <f>IFERROR((INDEX(METADATA!$T$2:$T$20,MATCH(B6933,METADATA!$S$2:$S$20,0))),0)</f>
        <v>0</v>
      </c>
      <c r="E6933" s="312" t="str">
        <f t="shared" si="432"/>
        <v>HI</v>
      </c>
      <c r="F6933" s="369">
        <f>VLOOKUP(C6933,METADATA!$A$5:$H$29,IF(E6933="HI",2,IF(E6933="LO",6,10))+IF(D6933=1,2,IF(D6933=7,1,(IF(WEEKDAY(B6933)=1,2,IF(WEEKDAY(B6933)=7,1,0))))))</f>
        <v>1</v>
      </c>
      <c r="G6933" s="369">
        <f>VLOOKUP(C6933,METADATA!$J$5:$Q$29,IF(E6933="HI",2,IF(E6933="LO",6,10))+IF(D6933=1,2,IF(D6933=7,1,(IF(WEEKDAY(B6933)=1,2,IF(WEEKDAY(B6933)=7,1,0))))))</f>
        <v>1</v>
      </c>
      <c r="H6933" s="370">
        <v>13529.35009765625</v>
      </c>
      <c r="I6933" s="370">
        <v>4319.9649047851563</v>
      </c>
      <c r="M6933" s="371">
        <f t="shared" si="433"/>
        <v>14202.303011959948</v>
      </c>
      <c r="N6933" s="329">
        <f t="shared" si="434"/>
        <v>261.15987548828161</v>
      </c>
      <c r="T6933" s="331">
        <v>0</v>
      </c>
      <c r="U6933" s="328">
        <f>VLOOKUP(C6933,METADATA!$J$5:$Q$29,IF(E6933="HI",2,IF(E6933="LO",6,10))+IF(T6933=1,2,IF(D6933=7,1,(IF(WEEKDAY(B6933)=1,2,IF(WEEKDAY(B6933)=7,1,0))))))</f>
        <v>1</v>
      </c>
      <c r="V6933" s="328">
        <f>VLOOKUP(C6933,METADATA!$A$5:$H$29,IF(E6933="HI",2,IF(E6933="LO",6,10))+IF(T6933=1,2,IF(D6933=7,1,(IF(WEEKDAY(B6933)=1,2,IF(WEEKDAY(B6933)=7,1,0))))))</f>
        <v>1</v>
      </c>
    </row>
    <row r="6934" spans="2:22">
      <c r="B6934" s="318">
        <f t="shared" si="431"/>
        <v>46401</v>
      </c>
      <c r="C6934" s="312">
        <v>18</v>
      </c>
      <c r="D6934" s="368">
        <f>IFERROR((INDEX(METADATA!$T$2:$T$20,MATCH(B6934,METADATA!$S$2:$S$20,0))),0)</f>
        <v>0</v>
      </c>
      <c r="E6934" s="312" t="str">
        <f t="shared" si="432"/>
        <v>HI</v>
      </c>
      <c r="F6934" s="369">
        <f>VLOOKUP(C6934,METADATA!$A$5:$H$29,IF(E6934="HI",2,IF(E6934="LO",6,10))+IF(D6934=1,2,IF(D6934=7,1,(IF(WEEKDAY(B6934)=1,2,IF(WEEKDAY(B6934)=7,1,0))))))</f>
        <v>1</v>
      </c>
      <c r="G6934" s="369">
        <f>VLOOKUP(C6934,METADATA!$J$5:$Q$29,IF(E6934="HI",2,IF(E6934="LO",6,10))+IF(D6934=1,2,IF(D6934=7,1,(IF(WEEKDAY(B6934)=1,2,IF(WEEKDAY(B6934)=7,1,0))))))</f>
        <v>1</v>
      </c>
      <c r="H6934" s="370">
        <v>13699.025268554688</v>
      </c>
      <c r="I6934" s="370">
        <v>4557.7200012207031</v>
      </c>
      <c r="M6934" s="371">
        <f t="shared" si="433"/>
        <v>14437.316402920143</v>
      </c>
      <c r="N6934" s="329">
        <f t="shared" si="434"/>
        <v>448.01242065429688</v>
      </c>
      <c r="T6934" s="331">
        <v>0</v>
      </c>
      <c r="U6934" s="328">
        <f>VLOOKUP(C6934,METADATA!$J$5:$Q$29,IF(E6934="HI",2,IF(E6934="LO",6,10))+IF(T6934=1,2,IF(D6934=7,1,(IF(WEEKDAY(B6934)=1,2,IF(WEEKDAY(B6934)=7,1,0))))))</f>
        <v>1</v>
      </c>
      <c r="V6934" s="328">
        <f>VLOOKUP(C6934,METADATA!$A$5:$H$29,IF(E6934="HI",2,IF(E6934="LO",6,10))+IF(T6934=1,2,IF(D6934=7,1,(IF(WEEKDAY(B6934)=1,2,IF(WEEKDAY(B6934)=7,1,0))))))</f>
        <v>1</v>
      </c>
    </row>
    <row r="6935" spans="2:22">
      <c r="B6935" s="318">
        <f t="shared" si="431"/>
        <v>46401</v>
      </c>
      <c r="C6935" s="312">
        <v>19</v>
      </c>
      <c r="D6935" s="368">
        <f>IFERROR((INDEX(METADATA!$T$2:$T$20,MATCH(B6935,METADATA!$S$2:$S$20,0))),0)</f>
        <v>0</v>
      </c>
      <c r="E6935" s="312" t="str">
        <f t="shared" si="432"/>
        <v>HI</v>
      </c>
      <c r="F6935" s="369">
        <f>VLOOKUP(C6935,METADATA!$A$5:$H$29,IF(E6935="HI",2,IF(E6935="LO",6,10))+IF(D6935=1,2,IF(D6935=7,1,(IF(WEEKDAY(B6935)=1,2,IF(WEEKDAY(B6935)=7,1,0))))))</f>
        <v>1</v>
      </c>
      <c r="G6935" s="369">
        <f>VLOOKUP(C6935,METADATA!$J$5:$Q$29,IF(E6935="HI",2,IF(E6935="LO",6,10))+IF(D6935=1,2,IF(D6935=7,1,(IF(WEEKDAY(B6935)=1,2,IF(WEEKDAY(B6935)=7,1,0))))))</f>
        <v>1</v>
      </c>
      <c r="H6935" s="370">
        <v>13516.074951171875</v>
      </c>
      <c r="I6935" s="370">
        <v>4473.6699829101563</v>
      </c>
      <c r="M6935" s="371">
        <f t="shared" si="433"/>
        <v>14237.20496451769</v>
      </c>
      <c r="N6935" s="329">
        <f t="shared" si="434"/>
        <v>418.84749755859411</v>
      </c>
      <c r="T6935" s="331">
        <v>0</v>
      </c>
      <c r="U6935" s="328">
        <f>VLOOKUP(C6935,METADATA!$J$5:$Q$29,IF(E6935="HI",2,IF(E6935="LO",6,10))+IF(T6935=1,2,IF(D6935=7,1,(IF(WEEKDAY(B6935)=1,2,IF(WEEKDAY(B6935)=7,1,0))))))</f>
        <v>1</v>
      </c>
      <c r="V6935" s="328">
        <f>VLOOKUP(C6935,METADATA!$A$5:$H$29,IF(E6935="HI",2,IF(E6935="LO",6,10))+IF(T6935=1,2,IF(D6935=7,1,(IF(WEEKDAY(B6935)=1,2,IF(WEEKDAY(B6935)=7,1,0))))))</f>
        <v>1</v>
      </c>
    </row>
    <row r="6936" spans="2:22">
      <c r="B6936" s="318">
        <f t="shared" si="431"/>
        <v>46401</v>
      </c>
      <c r="C6936" s="312">
        <v>20</v>
      </c>
      <c r="D6936" s="368">
        <f>IFERROR((INDEX(METADATA!$T$2:$T$20,MATCH(B6936,METADATA!$S$2:$S$20,0))),0)</f>
        <v>0</v>
      </c>
      <c r="E6936" s="312" t="str">
        <f t="shared" si="432"/>
        <v>HI</v>
      </c>
      <c r="F6936" s="369">
        <f>VLOOKUP(C6936,METADATA!$A$5:$H$29,IF(E6936="HI",2,IF(E6936="LO",6,10))+IF(D6936=1,2,IF(D6936=7,1,(IF(WEEKDAY(B6936)=1,2,IF(WEEKDAY(B6936)=7,1,0))))))</f>
        <v>2</v>
      </c>
      <c r="G6936" s="369">
        <f>VLOOKUP(C6936,METADATA!$J$5:$Q$29,IF(E6936="HI",2,IF(E6936="LO",6,10))+IF(D6936=1,2,IF(D6936=7,1,(IF(WEEKDAY(B6936)=1,2,IF(WEEKDAY(B6936)=7,1,0))))))</f>
        <v>2</v>
      </c>
      <c r="H6936" s="370">
        <v>13397.5751953125</v>
      </c>
      <c r="I6936" s="370">
        <v>4338.9598693847656</v>
      </c>
      <c r="M6936" s="371">
        <f t="shared" si="433"/>
        <v>14082.669983429429</v>
      </c>
      <c r="N6936" s="329">
        <f t="shared" si="434"/>
        <v>319.68731079101599</v>
      </c>
      <c r="T6936" s="331">
        <v>0</v>
      </c>
      <c r="U6936" s="328">
        <f>VLOOKUP(C6936,METADATA!$J$5:$Q$29,IF(E6936="HI",2,IF(E6936="LO",6,10))+IF(T6936=1,2,IF(D6936=7,1,(IF(WEEKDAY(B6936)=1,2,IF(WEEKDAY(B6936)=7,1,0))))))</f>
        <v>2</v>
      </c>
      <c r="V6936" s="328">
        <f>VLOOKUP(C6936,METADATA!$A$5:$H$29,IF(E6936="HI",2,IF(E6936="LO",6,10))+IF(T6936=1,2,IF(D6936=7,1,(IF(WEEKDAY(B6936)=1,2,IF(WEEKDAY(B6936)=7,1,0))))))</f>
        <v>2</v>
      </c>
    </row>
    <row r="6937" spans="2:22">
      <c r="B6937" s="318">
        <f t="shared" si="431"/>
        <v>46401</v>
      </c>
      <c r="C6937" s="312">
        <v>21</v>
      </c>
      <c r="D6937" s="368">
        <f>IFERROR((INDEX(METADATA!$T$2:$T$20,MATCH(B6937,METADATA!$S$2:$S$20,0))),0)</f>
        <v>0</v>
      </c>
      <c r="E6937" s="312" t="str">
        <f t="shared" si="432"/>
        <v>HI</v>
      </c>
      <c r="F6937" s="369">
        <f>VLOOKUP(C6937,METADATA!$A$5:$H$29,IF(E6937="HI",2,IF(E6937="LO",6,10))+IF(D6937=1,2,IF(D6937=7,1,(IF(WEEKDAY(B6937)=1,2,IF(WEEKDAY(B6937)=7,1,0))))))</f>
        <v>2</v>
      </c>
      <c r="G6937" s="369">
        <f>VLOOKUP(C6937,METADATA!$J$5:$Q$29,IF(E6937="HI",2,IF(E6937="LO",6,10))+IF(D6937=1,2,IF(D6937=7,1,(IF(WEEKDAY(B6937)=1,2,IF(WEEKDAY(B6937)=7,1,0))))))</f>
        <v>2</v>
      </c>
      <c r="H6937" s="370">
        <v>13522.400024414063</v>
      </c>
      <c r="I6937" s="370">
        <v>4491.1600341796875</v>
      </c>
      <c r="M6937" s="371">
        <f t="shared" si="433"/>
        <v>14248.712954961451</v>
      </c>
      <c r="N6937" s="329">
        <f t="shared" si="434"/>
        <v>434.44002685546911</v>
      </c>
      <c r="T6937" s="331">
        <v>0</v>
      </c>
      <c r="U6937" s="328">
        <f>VLOOKUP(C6937,METADATA!$J$5:$Q$29,IF(E6937="HI",2,IF(E6937="LO",6,10))+IF(T6937=1,2,IF(D6937=7,1,(IF(WEEKDAY(B6937)=1,2,IF(WEEKDAY(B6937)=7,1,0))))))</f>
        <v>2</v>
      </c>
      <c r="V6937" s="328">
        <f>VLOOKUP(C6937,METADATA!$A$5:$H$29,IF(E6937="HI",2,IF(E6937="LO",6,10))+IF(T6937=1,2,IF(D6937=7,1,(IF(WEEKDAY(B6937)=1,2,IF(WEEKDAY(B6937)=7,1,0))))))</f>
        <v>2</v>
      </c>
    </row>
    <row r="6938" spans="2:22">
      <c r="B6938" s="318">
        <f t="shared" si="431"/>
        <v>46401</v>
      </c>
      <c r="C6938" s="312">
        <v>22</v>
      </c>
      <c r="D6938" s="368">
        <f>IFERROR((INDEX(METADATA!$T$2:$T$20,MATCH(B6938,METADATA!$S$2:$S$20,0))),0)</f>
        <v>0</v>
      </c>
      <c r="E6938" s="312" t="str">
        <f t="shared" si="432"/>
        <v>HI</v>
      </c>
      <c r="F6938" s="369">
        <f>VLOOKUP(C6938,METADATA!$A$5:$H$29,IF(E6938="HI",2,IF(E6938="LO",6,10))+IF(D6938=1,2,IF(D6938=7,1,(IF(WEEKDAY(B6938)=1,2,IF(WEEKDAY(B6938)=7,1,0))))))</f>
        <v>3</v>
      </c>
      <c r="G6938" s="369">
        <f>VLOOKUP(C6938,METADATA!$J$5:$Q$29,IF(E6938="HI",2,IF(E6938="LO",6,10))+IF(D6938=1,2,IF(D6938=7,1,(IF(WEEKDAY(B6938)=1,2,IF(WEEKDAY(B6938)=7,1,0))))))</f>
        <v>3</v>
      </c>
      <c r="H6938" s="370">
        <v>13859.875061035156</v>
      </c>
      <c r="I6938" s="370">
        <v>4740.6199035644531</v>
      </c>
      <c r="M6938" s="371">
        <f t="shared" si="433"/>
        <v>14648.194898265647</v>
      </c>
      <c r="N6938" s="329">
        <f t="shared" si="434"/>
        <v>582.6573852539068</v>
      </c>
      <c r="T6938" s="331">
        <v>0</v>
      </c>
      <c r="U6938" s="328">
        <f>VLOOKUP(C6938,METADATA!$J$5:$Q$29,IF(E6938="HI",2,IF(E6938="LO",6,10))+IF(T6938=1,2,IF(D6938=7,1,(IF(WEEKDAY(B6938)=1,2,IF(WEEKDAY(B6938)=7,1,0))))))</f>
        <v>3</v>
      </c>
      <c r="V6938" s="328">
        <f>VLOOKUP(C6938,METADATA!$A$5:$H$29,IF(E6938="HI",2,IF(E6938="LO",6,10))+IF(T6938=1,2,IF(D6938=7,1,(IF(WEEKDAY(B6938)=1,2,IF(WEEKDAY(B6938)=7,1,0))))))</f>
        <v>3</v>
      </c>
    </row>
    <row r="6939" spans="2:22">
      <c r="B6939" s="318">
        <f t="shared" si="431"/>
        <v>46401</v>
      </c>
      <c r="C6939" s="312">
        <v>23</v>
      </c>
      <c r="D6939" s="368">
        <f>IFERROR((INDEX(METADATA!$T$2:$T$20,MATCH(B6939,METADATA!$S$2:$S$20,0))),0)</f>
        <v>0</v>
      </c>
      <c r="E6939" s="312" t="str">
        <f t="shared" si="432"/>
        <v>HI</v>
      </c>
      <c r="F6939" s="369">
        <f>VLOOKUP(C6939,METADATA!$A$5:$H$29,IF(E6939="HI",2,IF(E6939="LO",6,10))+IF(D6939=1,2,IF(D6939=7,1,(IF(WEEKDAY(B6939)=1,2,IF(WEEKDAY(B6939)=7,1,0))))))</f>
        <v>3</v>
      </c>
      <c r="G6939" s="369">
        <f>VLOOKUP(C6939,METADATA!$J$5:$Q$29,IF(E6939="HI",2,IF(E6939="LO",6,10))+IF(D6939=1,2,IF(D6939=7,1,(IF(WEEKDAY(B6939)=1,2,IF(WEEKDAY(B6939)=7,1,0))))))</f>
        <v>3</v>
      </c>
      <c r="H6939" s="370">
        <v>13826.724914550781</v>
      </c>
      <c r="I6939" s="370">
        <v>4805.7949829101563</v>
      </c>
      <c r="M6939" s="371">
        <f t="shared" si="433"/>
        <v>14638.100535261525</v>
      </c>
      <c r="N6939" s="329">
        <f t="shared" si="434"/>
        <v>657.77750854492206</v>
      </c>
      <c r="T6939" s="331">
        <v>0</v>
      </c>
      <c r="U6939" s="328">
        <f>VLOOKUP(C6939,METADATA!$J$5:$Q$29,IF(E6939="HI",2,IF(E6939="LO",6,10))+IF(T6939=1,2,IF(D6939=7,1,(IF(WEEKDAY(B6939)=1,2,IF(WEEKDAY(B6939)=7,1,0))))))</f>
        <v>3</v>
      </c>
      <c r="V6939" s="328">
        <f>VLOOKUP(C6939,METADATA!$A$5:$H$29,IF(E6939="HI",2,IF(E6939="LO",6,10))+IF(T6939=1,2,IF(D6939=7,1,(IF(WEEKDAY(B6939)=1,2,IF(WEEKDAY(B6939)=7,1,0))))))</f>
        <v>3</v>
      </c>
    </row>
    <row r="6940" spans="2:22">
      <c r="B6940" s="318">
        <f t="shared" ref="B6940:B7003" si="435">B6916+1</f>
        <v>46402</v>
      </c>
      <c r="C6940" s="312">
        <v>0</v>
      </c>
      <c r="D6940" s="368">
        <f>IFERROR((INDEX(METADATA!$T$2:$T$20,MATCH(B6940,METADATA!$S$2:$S$20,0))),0)</f>
        <v>0</v>
      </c>
      <c r="E6940" s="312" t="str">
        <f t="shared" si="432"/>
        <v>HI</v>
      </c>
      <c r="F6940" s="369">
        <f>VLOOKUP(C6940,METADATA!$A$5:$H$29,IF(E6940="HI",2,IF(E6940="LO",6,10))+IF(D6940=1,2,IF(D6940=7,1,(IF(WEEKDAY(B6940)=1,2,IF(WEEKDAY(B6940)=7,1,0))))))</f>
        <v>3</v>
      </c>
      <c r="G6940" s="369">
        <f>VLOOKUP(C6940,METADATA!$J$5:$Q$29,IF(E6940="HI",2,IF(E6940="LO",6,10))+IF(D6940=1,2,IF(D6940=7,1,(IF(WEEKDAY(B6940)=1,2,IF(WEEKDAY(B6940)=7,1,0))))))</f>
        <v>3</v>
      </c>
      <c r="H6940" s="370">
        <v>13805.125</v>
      </c>
      <c r="I6940" s="370">
        <v>4808.1650085449219</v>
      </c>
      <c r="M6940" s="371">
        <f t="shared" si="433"/>
        <v>14618.478956957895</v>
      </c>
      <c r="N6940" s="329">
        <f t="shared" si="434"/>
        <v>666.62750854492242</v>
      </c>
      <c r="T6940" s="331">
        <v>0</v>
      </c>
      <c r="U6940" s="328">
        <f>VLOOKUP(C6940,METADATA!$J$5:$Q$29,IF(E6940="HI",2,IF(E6940="LO",6,10))+IF(T6940=1,2,IF(D6940=7,1,(IF(WEEKDAY(B6940)=1,2,IF(WEEKDAY(B6940)=7,1,0))))))</f>
        <v>3</v>
      </c>
      <c r="V6940" s="328">
        <f>VLOOKUP(C6940,METADATA!$A$5:$H$29,IF(E6940="HI",2,IF(E6940="LO",6,10))+IF(T6940=1,2,IF(D6940=7,1,(IF(WEEKDAY(B6940)=1,2,IF(WEEKDAY(B6940)=7,1,0))))))</f>
        <v>3</v>
      </c>
    </row>
    <row r="6941" spans="2:22">
      <c r="B6941" s="318">
        <f t="shared" si="435"/>
        <v>46402</v>
      </c>
      <c r="C6941" s="312">
        <v>1</v>
      </c>
      <c r="D6941" s="368">
        <f>IFERROR((INDEX(METADATA!$T$2:$T$20,MATCH(B6941,METADATA!$S$2:$S$20,0))),0)</f>
        <v>0</v>
      </c>
      <c r="E6941" s="312" t="str">
        <f t="shared" si="432"/>
        <v>HI</v>
      </c>
      <c r="F6941" s="369">
        <f>VLOOKUP(C6941,METADATA!$A$5:$H$29,IF(E6941="HI",2,IF(E6941="LO",6,10))+IF(D6941=1,2,IF(D6941=7,1,(IF(WEEKDAY(B6941)=1,2,IF(WEEKDAY(B6941)=7,1,0))))))</f>
        <v>3</v>
      </c>
      <c r="G6941" s="369">
        <f>VLOOKUP(C6941,METADATA!$J$5:$Q$29,IF(E6941="HI",2,IF(E6941="LO",6,10))+IF(D6941=1,2,IF(D6941=7,1,(IF(WEEKDAY(B6941)=1,2,IF(WEEKDAY(B6941)=7,1,0))))))</f>
        <v>3</v>
      </c>
      <c r="H6941" s="370">
        <v>13789.909912109375</v>
      </c>
      <c r="I6941" s="370">
        <v>4788.9175109863281</v>
      </c>
      <c r="M6941" s="371">
        <f t="shared" si="433"/>
        <v>14597.785664652152</v>
      </c>
      <c r="N6941" s="329">
        <f t="shared" si="434"/>
        <v>651.94453735351544</v>
      </c>
      <c r="T6941" s="331">
        <v>0</v>
      </c>
      <c r="U6941" s="328">
        <f>VLOOKUP(C6941,METADATA!$J$5:$Q$29,IF(E6941="HI",2,IF(E6941="LO",6,10))+IF(T6941=1,2,IF(D6941=7,1,(IF(WEEKDAY(B6941)=1,2,IF(WEEKDAY(B6941)=7,1,0))))))</f>
        <v>3</v>
      </c>
      <c r="V6941" s="328">
        <f>VLOOKUP(C6941,METADATA!$A$5:$H$29,IF(E6941="HI",2,IF(E6941="LO",6,10))+IF(T6941=1,2,IF(D6941=7,1,(IF(WEEKDAY(B6941)=1,2,IF(WEEKDAY(B6941)=7,1,0))))))</f>
        <v>3</v>
      </c>
    </row>
    <row r="6942" spans="2:22">
      <c r="B6942" s="318">
        <f t="shared" si="435"/>
        <v>46402</v>
      </c>
      <c r="C6942" s="312">
        <v>2</v>
      </c>
      <c r="D6942" s="368">
        <f>IFERROR((INDEX(METADATA!$T$2:$T$20,MATCH(B6942,METADATA!$S$2:$S$20,0))),0)</f>
        <v>0</v>
      </c>
      <c r="E6942" s="312" t="str">
        <f t="shared" si="432"/>
        <v>HI</v>
      </c>
      <c r="F6942" s="369">
        <f>VLOOKUP(C6942,METADATA!$A$5:$H$29,IF(E6942="HI",2,IF(E6942="LO",6,10))+IF(D6942=1,2,IF(D6942=7,1,(IF(WEEKDAY(B6942)=1,2,IF(WEEKDAY(B6942)=7,1,0))))))</f>
        <v>3</v>
      </c>
      <c r="G6942" s="369">
        <f>VLOOKUP(C6942,METADATA!$J$5:$Q$29,IF(E6942="HI",2,IF(E6942="LO",6,10))+IF(D6942=1,2,IF(D6942=7,1,(IF(WEEKDAY(B6942)=1,2,IF(WEEKDAY(B6942)=7,1,0))))))</f>
        <v>3</v>
      </c>
      <c r="H6942" s="370">
        <v>13754.875061035156</v>
      </c>
      <c r="I6942" s="370">
        <v>4627.9750366210938</v>
      </c>
      <c r="M6942" s="371">
        <f t="shared" si="433"/>
        <v>14512.571821847254</v>
      </c>
      <c r="N6942" s="329">
        <f t="shared" si="434"/>
        <v>501.51251831054742</v>
      </c>
      <c r="T6942" s="331">
        <v>0</v>
      </c>
      <c r="U6942" s="328">
        <f>VLOOKUP(C6942,METADATA!$J$5:$Q$29,IF(E6942="HI",2,IF(E6942="LO",6,10))+IF(T6942=1,2,IF(D6942=7,1,(IF(WEEKDAY(B6942)=1,2,IF(WEEKDAY(B6942)=7,1,0))))))</f>
        <v>3</v>
      </c>
      <c r="V6942" s="328">
        <f>VLOOKUP(C6942,METADATA!$A$5:$H$29,IF(E6942="HI",2,IF(E6942="LO",6,10))+IF(T6942=1,2,IF(D6942=7,1,(IF(WEEKDAY(B6942)=1,2,IF(WEEKDAY(B6942)=7,1,0))))))</f>
        <v>3</v>
      </c>
    </row>
    <row r="6943" spans="2:22">
      <c r="B6943" s="318">
        <f t="shared" si="435"/>
        <v>46402</v>
      </c>
      <c r="C6943" s="312">
        <v>3</v>
      </c>
      <c r="D6943" s="368">
        <f>IFERROR((INDEX(METADATA!$T$2:$T$20,MATCH(B6943,METADATA!$S$2:$S$20,0))),0)</f>
        <v>0</v>
      </c>
      <c r="E6943" s="312" t="str">
        <f t="shared" si="432"/>
        <v>HI</v>
      </c>
      <c r="F6943" s="369">
        <f>VLOOKUP(C6943,METADATA!$A$5:$H$29,IF(E6943="HI",2,IF(E6943="LO",6,10))+IF(D6943=1,2,IF(D6943=7,1,(IF(WEEKDAY(B6943)=1,2,IF(WEEKDAY(B6943)=7,1,0))))))</f>
        <v>3</v>
      </c>
      <c r="G6943" s="369">
        <f>VLOOKUP(C6943,METADATA!$J$5:$Q$29,IF(E6943="HI",2,IF(E6943="LO",6,10))+IF(D6943=1,2,IF(D6943=7,1,(IF(WEEKDAY(B6943)=1,2,IF(WEEKDAY(B6943)=7,1,0))))))</f>
        <v>3</v>
      </c>
      <c r="H6943" s="370">
        <v>13834.674926757813</v>
      </c>
      <c r="I6943" s="370">
        <v>4782.469970703125</v>
      </c>
      <c r="M6943" s="371">
        <f t="shared" si="433"/>
        <v>14637.972856571992</v>
      </c>
      <c r="N6943" s="329">
        <f t="shared" si="434"/>
        <v>632.06749267578107</v>
      </c>
      <c r="T6943" s="331">
        <v>0</v>
      </c>
      <c r="U6943" s="328">
        <f>VLOOKUP(C6943,METADATA!$J$5:$Q$29,IF(E6943="HI",2,IF(E6943="LO",6,10))+IF(T6943=1,2,IF(D6943=7,1,(IF(WEEKDAY(B6943)=1,2,IF(WEEKDAY(B6943)=7,1,0))))))</f>
        <v>3</v>
      </c>
      <c r="V6943" s="328">
        <f>VLOOKUP(C6943,METADATA!$A$5:$H$29,IF(E6943="HI",2,IF(E6943="LO",6,10))+IF(T6943=1,2,IF(D6943=7,1,(IF(WEEKDAY(B6943)=1,2,IF(WEEKDAY(B6943)=7,1,0))))))</f>
        <v>3</v>
      </c>
    </row>
    <row r="6944" spans="2:22">
      <c r="B6944" s="318">
        <f t="shared" si="435"/>
        <v>46402</v>
      </c>
      <c r="C6944" s="312">
        <v>4</v>
      </c>
      <c r="D6944" s="368">
        <f>IFERROR((INDEX(METADATA!$T$2:$T$20,MATCH(B6944,METADATA!$S$2:$S$20,0))),0)</f>
        <v>0</v>
      </c>
      <c r="E6944" s="312" t="str">
        <f t="shared" si="432"/>
        <v>HI</v>
      </c>
      <c r="F6944" s="369">
        <f>VLOOKUP(C6944,METADATA!$A$5:$H$29,IF(E6944="HI",2,IF(E6944="LO",6,10))+IF(D6944=1,2,IF(D6944=7,1,(IF(WEEKDAY(B6944)=1,2,IF(WEEKDAY(B6944)=7,1,0))))))</f>
        <v>3</v>
      </c>
      <c r="G6944" s="369">
        <f>VLOOKUP(C6944,METADATA!$J$5:$Q$29,IF(E6944="HI",2,IF(E6944="LO",6,10))+IF(D6944=1,2,IF(D6944=7,1,(IF(WEEKDAY(B6944)=1,2,IF(WEEKDAY(B6944)=7,1,0))))))</f>
        <v>3</v>
      </c>
      <c r="H6944" s="370">
        <v>13702.350036621094</v>
      </c>
      <c r="I6944" s="370">
        <v>4734.4499206542969</v>
      </c>
      <c r="M6944" s="371">
        <f t="shared" si="433"/>
        <v>14497.220857021995</v>
      </c>
      <c r="N6944" s="329">
        <f t="shared" si="434"/>
        <v>623.7449096679693</v>
      </c>
      <c r="T6944" s="331">
        <v>0</v>
      </c>
      <c r="U6944" s="328">
        <f>VLOOKUP(C6944,METADATA!$J$5:$Q$29,IF(E6944="HI",2,IF(E6944="LO",6,10))+IF(T6944=1,2,IF(D6944=7,1,(IF(WEEKDAY(B6944)=1,2,IF(WEEKDAY(B6944)=7,1,0))))))</f>
        <v>3</v>
      </c>
      <c r="V6944" s="328">
        <f>VLOOKUP(C6944,METADATA!$A$5:$H$29,IF(E6944="HI",2,IF(E6944="LO",6,10))+IF(T6944=1,2,IF(D6944=7,1,(IF(WEEKDAY(B6944)=1,2,IF(WEEKDAY(B6944)=7,1,0))))))</f>
        <v>3</v>
      </c>
    </row>
    <row r="6945" spans="2:22">
      <c r="B6945" s="318">
        <f t="shared" si="435"/>
        <v>46402</v>
      </c>
      <c r="C6945" s="312">
        <v>5</v>
      </c>
      <c r="D6945" s="368">
        <f>IFERROR((INDEX(METADATA!$T$2:$T$20,MATCH(B6945,METADATA!$S$2:$S$20,0))),0)</f>
        <v>0</v>
      </c>
      <c r="E6945" s="312" t="str">
        <f t="shared" si="432"/>
        <v>HI</v>
      </c>
      <c r="F6945" s="369">
        <f>VLOOKUP(C6945,METADATA!$A$5:$H$29,IF(E6945="HI",2,IF(E6945="LO",6,10))+IF(D6945=1,2,IF(D6945=7,1,(IF(WEEKDAY(B6945)=1,2,IF(WEEKDAY(B6945)=7,1,0))))))</f>
        <v>3</v>
      </c>
      <c r="G6945" s="369">
        <f>VLOOKUP(C6945,METADATA!$J$5:$Q$29,IF(E6945="HI",2,IF(E6945="LO",6,10))+IF(D6945=1,2,IF(D6945=7,1,(IF(WEEKDAY(B6945)=1,2,IF(WEEKDAY(B6945)=7,1,0))))))</f>
        <v>3</v>
      </c>
      <c r="H6945" s="370">
        <v>13591.525390625</v>
      </c>
      <c r="I6945" s="370">
        <v>4667.5849914550781</v>
      </c>
      <c r="M6945" s="371">
        <f t="shared" si="433"/>
        <v>14370.661505179947</v>
      </c>
      <c r="N6945" s="329">
        <f t="shared" si="434"/>
        <v>590.12737426757849</v>
      </c>
      <c r="T6945" s="331">
        <v>0</v>
      </c>
      <c r="U6945" s="328">
        <f>VLOOKUP(C6945,METADATA!$J$5:$Q$29,IF(E6945="HI",2,IF(E6945="LO",6,10))+IF(T6945=1,2,IF(D6945=7,1,(IF(WEEKDAY(B6945)=1,2,IF(WEEKDAY(B6945)=7,1,0))))))</f>
        <v>3</v>
      </c>
      <c r="V6945" s="328">
        <f>VLOOKUP(C6945,METADATA!$A$5:$H$29,IF(E6945="HI",2,IF(E6945="LO",6,10))+IF(T6945=1,2,IF(D6945=7,1,(IF(WEEKDAY(B6945)=1,2,IF(WEEKDAY(B6945)=7,1,0))))))</f>
        <v>3</v>
      </c>
    </row>
    <row r="6946" spans="2:22">
      <c r="B6946" s="318">
        <f t="shared" si="435"/>
        <v>46402</v>
      </c>
      <c r="C6946" s="312">
        <v>6</v>
      </c>
      <c r="D6946" s="368">
        <f>IFERROR((INDEX(METADATA!$T$2:$T$20,MATCH(B6946,METADATA!$S$2:$S$20,0))),0)</f>
        <v>0</v>
      </c>
      <c r="E6946" s="312" t="str">
        <f t="shared" si="432"/>
        <v>HI</v>
      </c>
      <c r="F6946" s="369">
        <f>VLOOKUP(C6946,METADATA!$A$5:$H$29,IF(E6946="HI",2,IF(E6946="LO",6,10))+IF(D6946=1,2,IF(D6946=7,1,(IF(WEEKDAY(B6946)=1,2,IF(WEEKDAY(B6946)=7,1,0))))))</f>
        <v>1</v>
      </c>
      <c r="G6946" s="369">
        <f>VLOOKUP(C6946,METADATA!$J$5:$Q$29,IF(E6946="HI",2,IF(E6946="LO",6,10))+IF(D6946=1,2,IF(D6946=7,1,(IF(WEEKDAY(B6946)=1,2,IF(WEEKDAY(B6946)=7,1,0))))))</f>
        <v>1</v>
      </c>
      <c r="H6946" s="370">
        <v>13600.825012207031</v>
      </c>
      <c r="I6946" s="370">
        <v>4698.050048828125</v>
      </c>
      <c r="M6946" s="371">
        <f t="shared" si="433"/>
        <v>14389.375082816152</v>
      </c>
      <c r="N6946" s="329">
        <f t="shared" si="434"/>
        <v>617.80254516601599</v>
      </c>
      <c r="T6946" s="331">
        <v>0</v>
      </c>
      <c r="U6946" s="328">
        <f>VLOOKUP(C6946,METADATA!$J$5:$Q$29,IF(E6946="HI",2,IF(E6946="LO",6,10))+IF(T6946=1,2,IF(D6946=7,1,(IF(WEEKDAY(B6946)=1,2,IF(WEEKDAY(B6946)=7,1,0))))))</f>
        <v>1</v>
      </c>
      <c r="V6946" s="328">
        <f>VLOOKUP(C6946,METADATA!$A$5:$H$29,IF(E6946="HI",2,IF(E6946="LO",6,10))+IF(T6946=1,2,IF(D6946=7,1,(IF(WEEKDAY(B6946)=1,2,IF(WEEKDAY(B6946)=7,1,0))))))</f>
        <v>1</v>
      </c>
    </row>
    <row r="6947" spans="2:22">
      <c r="B6947" s="318">
        <f t="shared" si="435"/>
        <v>46402</v>
      </c>
      <c r="C6947" s="312">
        <v>7</v>
      </c>
      <c r="D6947" s="368">
        <f>IFERROR((INDEX(METADATA!$T$2:$T$20,MATCH(B6947,METADATA!$S$2:$S$20,0))),0)</f>
        <v>0</v>
      </c>
      <c r="E6947" s="312" t="str">
        <f t="shared" si="432"/>
        <v>HI</v>
      </c>
      <c r="F6947" s="369">
        <f>VLOOKUP(C6947,METADATA!$A$5:$H$29,IF(E6947="HI",2,IF(E6947="LO",6,10))+IF(D6947=1,2,IF(D6947=7,1,(IF(WEEKDAY(B6947)=1,2,IF(WEEKDAY(B6947)=7,1,0))))))</f>
        <v>1</v>
      </c>
      <c r="G6947" s="369">
        <f>VLOOKUP(C6947,METADATA!$J$5:$Q$29,IF(E6947="HI",2,IF(E6947="LO",6,10))+IF(D6947=1,2,IF(D6947=7,1,(IF(WEEKDAY(B6947)=1,2,IF(WEEKDAY(B6947)=7,1,0))))))</f>
        <v>1</v>
      </c>
      <c r="H6947" s="370">
        <v>12979.250061035156</v>
      </c>
      <c r="I6947" s="370">
        <v>4182.5099487304688</v>
      </c>
      <c r="M6947" s="371">
        <f t="shared" si="433"/>
        <v>13636.50694342618</v>
      </c>
      <c r="N6947" s="329">
        <f t="shared" si="434"/>
        <v>288.73493041992197</v>
      </c>
      <c r="T6947" s="331">
        <v>0</v>
      </c>
      <c r="U6947" s="328">
        <f>VLOOKUP(C6947,METADATA!$J$5:$Q$29,IF(E6947="HI",2,IF(E6947="LO",6,10))+IF(T6947=1,2,IF(D6947=7,1,(IF(WEEKDAY(B6947)=1,2,IF(WEEKDAY(B6947)=7,1,0))))))</f>
        <v>1</v>
      </c>
      <c r="V6947" s="328">
        <f>VLOOKUP(C6947,METADATA!$A$5:$H$29,IF(E6947="HI",2,IF(E6947="LO",6,10))+IF(T6947=1,2,IF(D6947=7,1,(IF(WEEKDAY(B6947)=1,2,IF(WEEKDAY(B6947)=7,1,0))))))</f>
        <v>1</v>
      </c>
    </row>
    <row r="6948" spans="2:22">
      <c r="B6948" s="318">
        <f t="shared" si="435"/>
        <v>46402</v>
      </c>
      <c r="C6948" s="312">
        <v>8</v>
      </c>
      <c r="D6948" s="368">
        <f>IFERROR((INDEX(METADATA!$T$2:$T$20,MATCH(B6948,METADATA!$S$2:$S$20,0))),0)</f>
        <v>0</v>
      </c>
      <c r="E6948" s="312" t="str">
        <f t="shared" si="432"/>
        <v>HI</v>
      </c>
      <c r="F6948" s="369">
        <f>VLOOKUP(C6948,METADATA!$A$5:$H$29,IF(E6948="HI",2,IF(E6948="LO",6,10))+IF(D6948=1,2,IF(D6948=7,1,(IF(WEEKDAY(B6948)=1,2,IF(WEEKDAY(B6948)=7,1,0))))))</f>
        <v>2</v>
      </c>
      <c r="G6948" s="369">
        <f>VLOOKUP(C6948,METADATA!$J$5:$Q$29,IF(E6948="HI",2,IF(E6948="LO",6,10))+IF(D6948=1,2,IF(D6948=7,1,(IF(WEEKDAY(B6948)=1,2,IF(WEEKDAY(B6948)=7,1,0))))))</f>
        <v>2</v>
      </c>
      <c r="H6948" s="370">
        <v>13131.5498046875</v>
      </c>
      <c r="I6948" s="370">
        <v>4231.5449829101563</v>
      </c>
      <c r="M6948" s="371">
        <f t="shared" si="433"/>
        <v>13796.505833557294</v>
      </c>
      <c r="N6948" s="329">
        <f t="shared" si="434"/>
        <v>292.08004150390661</v>
      </c>
      <c r="T6948" s="331">
        <v>0</v>
      </c>
      <c r="U6948" s="328">
        <f>VLOOKUP(C6948,METADATA!$J$5:$Q$29,IF(E6948="HI",2,IF(E6948="LO",6,10))+IF(T6948=1,2,IF(D6948=7,1,(IF(WEEKDAY(B6948)=1,2,IF(WEEKDAY(B6948)=7,1,0))))))</f>
        <v>2</v>
      </c>
      <c r="V6948" s="328">
        <f>VLOOKUP(C6948,METADATA!$A$5:$H$29,IF(E6948="HI",2,IF(E6948="LO",6,10))+IF(T6948=1,2,IF(D6948=7,1,(IF(WEEKDAY(B6948)=1,2,IF(WEEKDAY(B6948)=7,1,0))))))</f>
        <v>2</v>
      </c>
    </row>
    <row r="6949" spans="2:22">
      <c r="B6949" s="318">
        <f t="shared" si="435"/>
        <v>46402</v>
      </c>
      <c r="C6949" s="312">
        <v>9</v>
      </c>
      <c r="D6949" s="368">
        <f>IFERROR((INDEX(METADATA!$T$2:$T$20,MATCH(B6949,METADATA!$S$2:$S$20,0))),0)</f>
        <v>0</v>
      </c>
      <c r="E6949" s="312" t="str">
        <f t="shared" si="432"/>
        <v>HI</v>
      </c>
      <c r="F6949" s="369">
        <f>VLOOKUP(C6949,METADATA!$A$5:$H$29,IF(E6949="HI",2,IF(E6949="LO",6,10))+IF(D6949=1,2,IF(D6949=7,1,(IF(WEEKDAY(B6949)=1,2,IF(WEEKDAY(B6949)=7,1,0))))))</f>
        <v>2</v>
      </c>
      <c r="G6949" s="369">
        <f>VLOOKUP(C6949,METADATA!$J$5:$Q$29,IF(E6949="HI",2,IF(E6949="LO",6,10))+IF(D6949=1,2,IF(D6949=7,1,(IF(WEEKDAY(B6949)=1,2,IF(WEEKDAY(B6949)=7,1,0))))))</f>
        <v>2</v>
      </c>
      <c r="H6949" s="370">
        <v>13763.375</v>
      </c>
      <c r="I6949" s="370">
        <v>4522.6749877929688</v>
      </c>
      <c r="M6949" s="371">
        <f t="shared" si="433"/>
        <v>14487.411101913038</v>
      </c>
      <c r="N6949" s="329">
        <f t="shared" si="434"/>
        <v>393.66248779296893</v>
      </c>
      <c r="T6949" s="331">
        <v>0</v>
      </c>
      <c r="U6949" s="328">
        <f>VLOOKUP(C6949,METADATA!$J$5:$Q$29,IF(E6949="HI",2,IF(E6949="LO",6,10))+IF(T6949=1,2,IF(D6949=7,1,(IF(WEEKDAY(B6949)=1,2,IF(WEEKDAY(B6949)=7,1,0))))))</f>
        <v>2</v>
      </c>
      <c r="V6949" s="328">
        <f>VLOOKUP(C6949,METADATA!$A$5:$H$29,IF(E6949="HI",2,IF(E6949="LO",6,10))+IF(T6949=1,2,IF(D6949=7,1,(IF(WEEKDAY(B6949)=1,2,IF(WEEKDAY(B6949)=7,1,0))))))</f>
        <v>2</v>
      </c>
    </row>
    <row r="6950" spans="2:22">
      <c r="B6950" s="318">
        <f t="shared" si="435"/>
        <v>46402</v>
      </c>
      <c r="C6950" s="312">
        <v>10</v>
      </c>
      <c r="D6950" s="368">
        <f>IFERROR((INDEX(METADATA!$T$2:$T$20,MATCH(B6950,METADATA!$S$2:$S$20,0))),0)</f>
        <v>0</v>
      </c>
      <c r="E6950" s="312" t="str">
        <f t="shared" si="432"/>
        <v>HI</v>
      </c>
      <c r="F6950" s="369">
        <f>VLOOKUP(C6950,METADATA!$A$5:$H$29,IF(E6950="HI",2,IF(E6950="LO",6,10))+IF(D6950=1,2,IF(D6950=7,1,(IF(WEEKDAY(B6950)=1,2,IF(WEEKDAY(B6950)=7,1,0))))))</f>
        <v>2</v>
      </c>
      <c r="G6950" s="369">
        <f>VLOOKUP(C6950,METADATA!$J$5:$Q$29,IF(E6950="HI",2,IF(E6950="LO",6,10))+IF(D6950=1,2,IF(D6950=7,1,(IF(WEEKDAY(B6950)=1,2,IF(WEEKDAY(B6950)=7,1,0))))))</f>
        <v>2</v>
      </c>
      <c r="H6950" s="370">
        <v>13743.124816894531</v>
      </c>
      <c r="I6950" s="370">
        <v>4421.1749572753906</v>
      </c>
      <c r="M6950" s="371">
        <f t="shared" si="433"/>
        <v>14436.767911675432</v>
      </c>
      <c r="N6950" s="329">
        <f t="shared" si="434"/>
        <v>298.23751220703161</v>
      </c>
      <c r="T6950" s="331">
        <v>0</v>
      </c>
      <c r="U6950" s="328">
        <f>VLOOKUP(C6950,METADATA!$J$5:$Q$29,IF(E6950="HI",2,IF(E6950="LO",6,10))+IF(T6950=1,2,IF(D6950=7,1,(IF(WEEKDAY(B6950)=1,2,IF(WEEKDAY(B6950)=7,1,0))))))</f>
        <v>2</v>
      </c>
      <c r="V6950" s="328">
        <f>VLOOKUP(C6950,METADATA!$A$5:$H$29,IF(E6950="HI",2,IF(E6950="LO",6,10))+IF(T6950=1,2,IF(D6950=7,1,(IF(WEEKDAY(B6950)=1,2,IF(WEEKDAY(B6950)=7,1,0))))))</f>
        <v>2</v>
      </c>
    </row>
    <row r="6951" spans="2:22">
      <c r="B6951" s="318">
        <f t="shared" si="435"/>
        <v>46402</v>
      </c>
      <c r="C6951" s="312">
        <v>11</v>
      </c>
      <c r="D6951" s="368">
        <f>IFERROR((INDEX(METADATA!$T$2:$T$20,MATCH(B6951,METADATA!$S$2:$S$20,0))),0)</f>
        <v>0</v>
      </c>
      <c r="E6951" s="312" t="str">
        <f t="shared" si="432"/>
        <v>HI</v>
      </c>
      <c r="F6951" s="369">
        <f>VLOOKUP(C6951,METADATA!$A$5:$H$29,IF(E6951="HI",2,IF(E6951="LO",6,10))+IF(D6951=1,2,IF(D6951=7,1,(IF(WEEKDAY(B6951)=1,2,IF(WEEKDAY(B6951)=7,1,0))))))</f>
        <v>2</v>
      </c>
      <c r="G6951" s="369">
        <f>VLOOKUP(C6951,METADATA!$J$5:$Q$29,IF(E6951="HI",2,IF(E6951="LO",6,10))+IF(D6951=1,2,IF(D6951=7,1,(IF(WEEKDAY(B6951)=1,2,IF(WEEKDAY(B6951)=7,1,0))))))</f>
        <v>2</v>
      </c>
      <c r="H6951" s="370">
        <v>13779.824890136719</v>
      </c>
      <c r="I6951" s="370">
        <v>4517.9349975585938</v>
      </c>
      <c r="M6951" s="371">
        <f t="shared" si="433"/>
        <v>14501.562351863891</v>
      </c>
      <c r="N6951" s="329">
        <f t="shared" si="434"/>
        <v>383.98753051757831</v>
      </c>
      <c r="T6951" s="331">
        <v>0</v>
      </c>
      <c r="U6951" s="328">
        <f>VLOOKUP(C6951,METADATA!$J$5:$Q$29,IF(E6951="HI",2,IF(E6951="LO",6,10))+IF(T6951=1,2,IF(D6951=7,1,(IF(WEEKDAY(B6951)=1,2,IF(WEEKDAY(B6951)=7,1,0))))))</f>
        <v>2</v>
      </c>
      <c r="V6951" s="328">
        <f>VLOOKUP(C6951,METADATA!$A$5:$H$29,IF(E6951="HI",2,IF(E6951="LO",6,10))+IF(T6951=1,2,IF(D6951=7,1,(IF(WEEKDAY(B6951)=1,2,IF(WEEKDAY(B6951)=7,1,0))))))</f>
        <v>2</v>
      </c>
    </row>
    <row r="6952" spans="2:22">
      <c r="B6952" s="318">
        <f t="shared" si="435"/>
        <v>46402</v>
      </c>
      <c r="C6952" s="312">
        <v>12</v>
      </c>
      <c r="D6952" s="368">
        <f>IFERROR((INDEX(METADATA!$T$2:$T$20,MATCH(B6952,METADATA!$S$2:$S$20,0))),0)</f>
        <v>0</v>
      </c>
      <c r="E6952" s="312" t="str">
        <f t="shared" si="432"/>
        <v>HI</v>
      </c>
      <c r="F6952" s="369">
        <f>VLOOKUP(C6952,METADATA!$A$5:$H$29,IF(E6952="HI",2,IF(E6952="LO",6,10))+IF(D6952=1,2,IF(D6952=7,1,(IF(WEEKDAY(B6952)=1,2,IF(WEEKDAY(B6952)=7,1,0))))))</f>
        <v>2</v>
      </c>
      <c r="G6952" s="369">
        <f>VLOOKUP(C6952,METADATA!$J$5:$Q$29,IF(E6952="HI",2,IF(E6952="LO",6,10))+IF(D6952=1,2,IF(D6952=7,1,(IF(WEEKDAY(B6952)=1,2,IF(WEEKDAY(B6952)=7,1,0))))))</f>
        <v>2</v>
      </c>
      <c r="H6952" s="370">
        <v>13673.324951171875</v>
      </c>
      <c r="I6952" s="370">
        <v>4408.10498046875</v>
      </c>
      <c r="M6952" s="371">
        <f t="shared" si="433"/>
        <v>14366.321893204702</v>
      </c>
      <c r="N6952" s="329">
        <f t="shared" si="434"/>
        <v>306.10749511718768</v>
      </c>
      <c r="T6952" s="331">
        <v>0</v>
      </c>
      <c r="U6952" s="328">
        <f>VLOOKUP(C6952,METADATA!$J$5:$Q$29,IF(E6952="HI",2,IF(E6952="LO",6,10))+IF(T6952=1,2,IF(D6952=7,1,(IF(WEEKDAY(B6952)=1,2,IF(WEEKDAY(B6952)=7,1,0))))))</f>
        <v>2</v>
      </c>
      <c r="V6952" s="328">
        <f>VLOOKUP(C6952,METADATA!$A$5:$H$29,IF(E6952="HI",2,IF(E6952="LO",6,10))+IF(T6952=1,2,IF(D6952=7,1,(IF(WEEKDAY(B6952)=1,2,IF(WEEKDAY(B6952)=7,1,0))))))</f>
        <v>2</v>
      </c>
    </row>
    <row r="6953" spans="2:22">
      <c r="B6953" s="318">
        <f t="shared" si="435"/>
        <v>46402</v>
      </c>
      <c r="C6953" s="312">
        <v>13</v>
      </c>
      <c r="D6953" s="368">
        <f>IFERROR((INDEX(METADATA!$T$2:$T$20,MATCH(B6953,METADATA!$S$2:$S$20,0))),0)</f>
        <v>0</v>
      </c>
      <c r="E6953" s="312" t="str">
        <f t="shared" si="432"/>
        <v>HI</v>
      </c>
      <c r="F6953" s="369">
        <f>VLOOKUP(C6953,METADATA!$A$5:$H$29,IF(E6953="HI",2,IF(E6953="LO",6,10))+IF(D6953=1,2,IF(D6953=7,1,(IF(WEEKDAY(B6953)=1,2,IF(WEEKDAY(B6953)=7,1,0))))))</f>
        <v>2</v>
      </c>
      <c r="G6953" s="369">
        <f>VLOOKUP(C6953,METADATA!$J$5:$Q$29,IF(E6953="HI",2,IF(E6953="LO",6,10))+IF(D6953=1,2,IF(D6953=7,1,(IF(WEEKDAY(B6953)=1,2,IF(WEEKDAY(B6953)=7,1,0))))))</f>
        <v>2</v>
      </c>
      <c r="H6953" s="370">
        <v>13762.224975585938</v>
      </c>
      <c r="I6953" s="370">
        <v>4508.5449829101563</v>
      </c>
      <c r="M6953" s="371">
        <f t="shared" si="433"/>
        <v>14481.913345327188</v>
      </c>
      <c r="N6953" s="329">
        <f t="shared" si="434"/>
        <v>379.87749023437482</v>
      </c>
      <c r="T6953" s="331">
        <v>0</v>
      </c>
      <c r="U6953" s="328">
        <f>VLOOKUP(C6953,METADATA!$J$5:$Q$29,IF(E6953="HI",2,IF(E6953="LO",6,10))+IF(T6953=1,2,IF(D6953=7,1,(IF(WEEKDAY(B6953)=1,2,IF(WEEKDAY(B6953)=7,1,0))))))</f>
        <v>2</v>
      </c>
      <c r="V6953" s="328">
        <f>VLOOKUP(C6953,METADATA!$A$5:$H$29,IF(E6953="HI",2,IF(E6953="LO",6,10))+IF(T6953=1,2,IF(D6953=7,1,(IF(WEEKDAY(B6953)=1,2,IF(WEEKDAY(B6953)=7,1,0))))))</f>
        <v>2</v>
      </c>
    </row>
    <row r="6954" spans="2:22">
      <c r="B6954" s="318">
        <f t="shared" si="435"/>
        <v>46402</v>
      </c>
      <c r="C6954" s="312">
        <v>14</v>
      </c>
      <c r="D6954" s="368">
        <f>IFERROR((INDEX(METADATA!$T$2:$T$20,MATCH(B6954,METADATA!$S$2:$S$20,0))),0)</f>
        <v>0</v>
      </c>
      <c r="E6954" s="312" t="str">
        <f t="shared" si="432"/>
        <v>HI</v>
      </c>
      <c r="F6954" s="369">
        <f>VLOOKUP(C6954,METADATA!$A$5:$H$29,IF(E6954="HI",2,IF(E6954="LO",6,10))+IF(D6954=1,2,IF(D6954=7,1,(IF(WEEKDAY(B6954)=1,2,IF(WEEKDAY(B6954)=7,1,0))))))</f>
        <v>2</v>
      </c>
      <c r="G6954" s="369">
        <f>VLOOKUP(C6954,METADATA!$J$5:$Q$29,IF(E6954="HI",2,IF(E6954="LO",6,10))+IF(D6954=1,2,IF(D6954=7,1,(IF(WEEKDAY(B6954)=1,2,IF(WEEKDAY(B6954)=7,1,0))))))</f>
        <v>2</v>
      </c>
      <c r="H6954" s="370">
        <v>13906.17529296875</v>
      </c>
      <c r="I6954" s="370">
        <v>4740.909912109375</v>
      </c>
      <c r="M6954" s="371">
        <f t="shared" si="433"/>
        <v>14692.104616885608</v>
      </c>
      <c r="N6954" s="329">
        <f t="shared" si="434"/>
        <v>569.05732421875018</v>
      </c>
      <c r="T6954" s="331">
        <v>0</v>
      </c>
      <c r="U6954" s="328">
        <f>VLOOKUP(C6954,METADATA!$J$5:$Q$29,IF(E6954="HI",2,IF(E6954="LO",6,10))+IF(T6954=1,2,IF(D6954=7,1,(IF(WEEKDAY(B6954)=1,2,IF(WEEKDAY(B6954)=7,1,0))))))</f>
        <v>2</v>
      </c>
      <c r="V6954" s="328">
        <f>VLOOKUP(C6954,METADATA!$A$5:$H$29,IF(E6954="HI",2,IF(E6954="LO",6,10))+IF(T6954=1,2,IF(D6954=7,1,(IF(WEEKDAY(B6954)=1,2,IF(WEEKDAY(B6954)=7,1,0))))))</f>
        <v>2</v>
      </c>
    </row>
    <row r="6955" spans="2:22">
      <c r="B6955" s="318">
        <f t="shared" si="435"/>
        <v>46402</v>
      </c>
      <c r="C6955" s="312">
        <v>15</v>
      </c>
      <c r="D6955" s="368">
        <f>IFERROR((INDEX(METADATA!$T$2:$T$20,MATCH(B6955,METADATA!$S$2:$S$20,0))),0)</f>
        <v>0</v>
      </c>
      <c r="E6955" s="312" t="str">
        <f t="shared" si="432"/>
        <v>HI</v>
      </c>
      <c r="F6955" s="369">
        <f>VLOOKUP(C6955,METADATA!$A$5:$H$29,IF(E6955="HI",2,IF(E6955="LO",6,10))+IF(D6955=1,2,IF(D6955=7,1,(IF(WEEKDAY(B6955)=1,2,IF(WEEKDAY(B6955)=7,1,0))))))</f>
        <v>2</v>
      </c>
      <c r="G6955" s="369">
        <f>VLOOKUP(C6955,METADATA!$J$5:$Q$29,IF(E6955="HI",2,IF(E6955="LO",6,10))+IF(D6955=1,2,IF(D6955=7,1,(IF(WEEKDAY(B6955)=1,2,IF(WEEKDAY(B6955)=7,1,0))))))</f>
        <v>2</v>
      </c>
      <c r="H6955" s="370">
        <v>13876.25</v>
      </c>
      <c r="I6955" s="370">
        <v>4687.405029296875</v>
      </c>
      <c r="M6955" s="371">
        <f t="shared" si="433"/>
        <v>14646.572294266589</v>
      </c>
      <c r="N6955" s="329">
        <f t="shared" si="434"/>
        <v>524.530029296875</v>
      </c>
      <c r="T6955" s="331">
        <v>0</v>
      </c>
      <c r="U6955" s="328">
        <f>VLOOKUP(C6955,METADATA!$J$5:$Q$29,IF(E6955="HI",2,IF(E6955="LO",6,10))+IF(T6955=1,2,IF(D6955=7,1,(IF(WEEKDAY(B6955)=1,2,IF(WEEKDAY(B6955)=7,1,0))))))</f>
        <v>2</v>
      </c>
      <c r="V6955" s="328">
        <f>VLOOKUP(C6955,METADATA!$A$5:$H$29,IF(E6955="HI",2,IF(E6955="LO",6,10))+IF(T6955=1,2,IF(D6955=7,1,(IF(WEEKDAY(B6955)=1,2,IF(WEEKDAY(B6955)=7,1,0))))))</f>
        <v>2</v>
      </c>
    </row>
    <row r="6956" spans="2:22">
      <c r="B6956" s="318">
        <f t="shared" si="435"/>
        <v>46402</v>
      </c>
      <c r="C6956" s="312">
        <v>16</v>
      </c>
      <c r="D6956" s="368">
        <f>IFERROR((INDEX(METADATA!$T$2:$T$20,MATCH(B6956,METADATA!$S$2:$S$20,0))),0)</f>
        <v>0</v>
      </c>
      <c r="E6956" s="312" t="str">
        <f t="shared" si="432"/>
        <v>HI</v>
      </c>
      <c r="F6956" s="369">
        <f>VLOOKUP(C6956,METADATA!$A$5:$H$29,IF(E6956="HI",2,IF(E6956="LO",6,10))+IF(D6956=1,2,IF(D6956=7,1,(IF(WEEKDAY(B6956)=1,2,IF(WEEKDAY(B6956)=7,1,0))))))</f>
        <v>2</v>
      </c>
      <c r="G6956" s="369">
        <f>VLOOKUP(C6956,METADATA!$J$5:$Q$29,IF(E6956="HI",2,IF(E6956="LO",6,10))+IF(D6956=1,2,IF(D6956=7,1,(IF(WEEKDAY(B6956)=1,2,IF(WEEKDAY(B6956)=7,1,0))))))</f>
        <v>2</v>
      </c>
      <c r="H6956" s="370">
        <v>13954.9501953125</v>
      </c>
      <c r="I6956" s="370">
        <v>4764.5599975585938</v>
      </c>
      <c r="M6956" s="371">
        <f t="shared" si="433"/>
        <v>14745.903394637709</v>
      </c>
      <c r="N6956" s="329">
        <f t="shared" si="434"/>
        <v>578.07493896484357</v>
      </c>
      <c r="T6956" s="331">
        <v>0</v>
      </c>
      <c r="U6956" s="328">
        <f>VLOOKUP(C6956,METADATA!$J$5:$Q$29,IF(E6956="HI",2,IF(E6956="LO",6,10))+IF(T6956=1,2,IF(D6956=7,1,(IF(WEEKDAY(B6956)=1,2,IF(WEEKDAY(B6956)=7,1,0))))))</f>
        <v>2</v>
      </c>
      <c r="V6956" s="328">
        <f>VLOOKUP(C6956,METADATA!$A$5:$H$29,IF(E6956="HI",2,IF(E6956="LO",6,10))+IF(T6956=1,2,IF(D6956=7,1,(IF(WEEKDAY(B6956)=1,2,IF(WEEKDAY(B6956)=7,1,0))))))</f>
        <v>2</v>
      </c>
    </row>
    <row r="6957" spans="2:22">
      <c r="B6957" s="318">
        <f t="shared" si="435"/>
        <v>46402</v>
      </c>
      <c r="C6957" s="312">
        <v>17</v>
      </c>
      <c r="D6957" s="368">
        <f>IFERROR((INDEX(METADATA!$T$2:$T$20,MATCH(B6957,METADATA!$S$2:$S$20,0))),0)</f>
        <v>0</v>
      </c>
      <c r="E6957" s="312" t="str">
        <f t="shared" si="432"/>
        <v>HI</v>
      </c>
      <c r="F6957" s="369">
        <f>VLOOKUP(C6957,METADATA!$A$5:$H$29,IF(E6957="HI",2,IF(E6957="LO",6,10))+IF(D6957=1,2,IF(D6957=7,1,(IF(WEEKDAY(B6957)=1,2,IF(WEEKDAY(B6957)=7,1,0))))))</f>
        <v>1</v>
      </c>
      <c r="G6957" s="369">
        <f>VLOOKUP(C6957,METADATA!$J$5:$Q$29,IF(E6957="HI",2,IF(E6957="LO",6,10))+IF(D6957=1,2,IF(D6957=7,1,(IF(WEEKDAY(B6957)=1,2,IF(WEEKDAY(B6957)=7,1,0))))))</f>
        <v>1</v>
      </c>
      <c r="H6957" s="370">
        <v>14212.125305175781</v>
      </c>
      <c r="I6957" s="370">
        <v>4729.0899658203125</v>
      </c>
      <c r="M6957" s="371">
        <f t="shared" si="433"/>
        <v>14978.277524296316</v>
      </c>
      <c r="N6957" s="329">
        <f t="shared" si="434"/>
        <v>465.45237426757831</v>
      </c>
      <c r="T6957" s="331">
        <v>0</v>
      </c>
      <c r="U6957" s="328">
        <f>VLOOKUP(C6957,METADATA!$J$5:$Q$29,IF(E6957="HI",2,IF(E6957="LO",6,10))+IF(T6957=1,2,IF(D6957=7,1,(IF(WEEKDAY(B6957)=1,2,IF(WEEKDAY(B6957)=7,1,0))))))</f>
        <v>1</v>
      </c>
      <c r="V6957" s="328">
        <f>VLOOKUP(C6957,METADATA!$A$5:$H$29,IF(E6957="HI",2,IF(E6957="LO",6,10))+IF(T6957=1,2,IF(D6957=7,1,(IF(WEEKDAY(B6957)=1,2,IF(WEEKDAY(B6957)=7,1,0))))))</f>
        <v>1</v>
      </c>
    </row>
    <row r="6958" spans="2:22">
      <c r="B6958" s="318">
        <f t="shared" si="435"/>
        <v>46402</v>
      </c>
      <c r="C6958" s="312">
        <v>18</v>
      </c>
      <c r="D6958" s="368">
        <f>IFERROR((INDEX(METADATA!$T$2:$T$20,MATCH(B6958,METADATA!$S$2:$S$20,0))),0)</f>
        <v>0</v>
      </c>
      <c r="E6958" s="312" t="str">
        <f t="shared" si="432"/>
        <v>HI</v>
      </c>
      <c r="F6958" s="369">
        <f>VLOOKUP(C6958,METADATA!$A$5:$H$29,IF(E6958="HI",2,IF(E6958="LO",6,10))+IF(D6958=1,2,IF(D6958=7,1,(IF(WEEKDAY(B6958)=1,2,IF(WEEKDAY(B6958)=7,1,0))))))</f>
        <v>1</v>
      </c>
      <c r="G6958" s="369">
        <f>VLOOKUP(C6958,METADATA!$J$5:$Q$29,IF(E6958="HI",2,IF(E6958="LO",6,10))+IF(D6958=1,2,IF(D6958=7,1,(IF(WEEKDAY(B6958)=1,2,IF(WEEKDAY(B6958)=7,1,0))))))</f>
        <v>1</v>
      </c>
      <c r="H6958" s="370">
        <v>14027.624816894531</v>
      </c>
      <c r="I6958" s="370">
        <v>4479.955078125</v>
      </c>
      <c r="M6958" s="371">
        <f t="shared" si="433"/>
        <v>14725.632601201665</v>
      </c>
      <c r="N6958" s="329">
        <f t="shared" si="434"/>
        <v>271.66763305664063</v>
      </c>
      <c r="T6958" s="331">
        <v>0</v>
      </c>
      <c r="U6958" s="328">
        <f>VLOOKUP(C6958,METADATA!$J$5:$Q$29,IF(E6958="HI",2,IF(E6958="LO",6,10))+IF(T6958=1,2,IF(D6958=7,1,(IF(WEEKDAY(B6958)=1,2,IF(WEEKDAY(B6958)=7,1,0))))))</f>
        <v>1</v>
      </c>
      <c r="V6958" s="328">
        <f>VLOOKUP(C6958,METADATA!$A$5:$H$29,IF(E6958="HI",2,IF(E6958="LO",6,10))+IF(T6958=1,2,IF(D6958=7,1,(IF(WEEKDAY(B6958)=1,2,IF(WEEKDAY(B6958)=7,1,0))))))</f>
        <v>1</v>
      </c>
    </row>
    <row r="6959" spans="2:22">
      <c r="B6959" s="318">
        <f t="shared" si="435"/>
        <v>46402</v>
      </c>
      <c r="C6959" s="312">
        <v>19</v>
      </c>
      <c r="D6959" s="368">
        <f>IFERROR((INDEX(METADATA!$T$2:$T$20,MATCH(B6959,METADATA!$S$2:$S$20,0))),0)</f>
        <v>0</v>
      </c>
      <c r="E6959" s="312" t="str">
        <f t="shared" si="432"/>
        <v>HI</v>
      </c>
      <c r="F6959" s="369">
        <f>VLOOKUP(C6959,METADATA!$A$5:$H$29,IF(E6959="HI",2,IF(E6959="LO",6,10))+IF(D6959=1,2,IF(D6959=7,1,(IF(WEEKDAY(B6959)=1,2,IF(WEEKDAY(B6959)=7,1,0))))))</f>
        <v>1</v>
      </c>
      <c r="G6959" s="369">
        <f>VLOOKUP(C6959,METADATA!$J$5:$Q$29,IF(E6959="HI",2,IF(E6959="LO",6,10))+IF(D6959=1,2,IF(D6959=7,1,(IF(WEEKDAY(B6959)=1,2,IF(WEEKDAY(B6959)=7,1,0))))))</f>
        <v>1</v>
      </c>
      <c r="H6959" s="370">
        <v>14144.024780273438</v>
      </c>
      <c r="I6959" s="370">
        <v>4526.4200439453125</v>
      </c>
      <c r="M6959" s="371">
        <f t="shared" si="433"/>
        <v>14850.653702757294</v>
      </c>
      <c r="N6959" s="329">
        <f t="shared" si="434"/>
        <v>283.21260986328161</v>
      </c>
      <c r="T6959" s="331">
        <v>0</v>
      </c>
      <c r="U6959" s="328">
        <f>VLOOKUP(C6959,METADATA!$J$5:$Q$29,IF(E6959="HI",2,IF(E6959="LO",6,10))+IF(T6959=1,2,IF(D6959=7,1,(IF(WEEKDAY(B6959)=1,2,IF(WEEKDAY(B6959)=7,1,0))))))</f>
        <v>1</v>
      </c>
      <c r="V6959" s="328">
        <f>VLOOKUP(C6959,METADATA!$A$5:$H$29,IF(E6959="HI",2,IF(E6959="LO",6,10))+IF(T6959=1,2,IF(D6959=7,1,(IF(WEEKDAY(B6959)=1,2,IF(WEEKDAY(B6959)=7,1,0))))))</f>
        <v>1</v>
      </c>
    </row>
    <row r="6960" spans="2:22">
      <c r="B6960" s="318">
        <f t="shared" si="435"/>
        <v>46402</v>
      </c>
      <c r="C6960" s="312">
        <v>20</v>
      </c>
      <c r="D6960" s="368">
        <f>IFERROR((INDEX(METADATA!$T$2:$T$20,MATCH(B6960,METADATA!$S$2:$S$20,0))),0)</f>
        <v>0</v>
      </c>
      <c r="E6960" s="312" t="str">
        <f t="shared" si="432"/>
        <v>HI</v>
      </c>
      <c r="F6960" s="369">
        <f>VLOOKUP(C6960,METADATA!$A$5:$H$29,IF(E6960="HI",2,IF(E6960="LO",6,10))+IF(D6960=1,2,IF(D6960=7,1,(IF(WEEKDAY(B6960)=1,2,IF(WEEKDAY(B6960)=7,1,0))))))</f>
        <v>2</v>
      </c>
      <c r="G6960" s="369">
        <f>VLOOKUP(C6960,METADATA!$J$5:$Q$29,IF(E6960="HI",2,IF(E6960="LO",6,10))+IF(D6960=1,2,IF(D6960=7,1,(IF(WEEKDAY(B6960)=1,2,IF(WEEKDAY(B6960)=7,1,0))))))</f>
        <v>2</v>
      </c>
      <c r="H6960" s="370">
        <v>14046.449951171875</v>
      </c>
      <c r="I6960" s="370">
        <v>4555.8950500488281</v>
      </c>
      <c r="M6960" s="371">
        <f t="shared" si="433"/>
        <v>14766.818748052534</v>
      </c>
      <c r="N6960" s="329">
        <f t="shared" si="434"/>
        <v>341.96006469726581</v>
      </c>
      <c r="T6960" s="331">
        <v>0</v>
      </c>
      <c r="U6960" s="328">
        <f>VLOOKUP(C6960,METADATA!$J$5:$Q$29,IF(E6960="HI",2,IF(E6960="LO",6,10))+IF(T6960=1,2,IF(D6960=7,1,(IF(WEEKDAY(B6960)=1,2,IF(WEEKDAY(B6960)=7,1,0))))))</f>
        <v>2</v>
      </c>
      <c r="V6960" s="328">
        <f>VLOOKUP(C6960,METADATA!$A$5:$H$29,IF(E6960="HI",2,IF(E6960="LO",6,10))+IF(T6960=1,2,IF(D6960=7,1,(IF(WEEKDAY(B6960)=1,2,IF(WEEKDAY(B6960)=7,1,0))))))</f>
        <v>2</v>
      </c>
    </row>
    <row r="6961" spans="2:22">
      <c r="B6961" s="318">
        <f t="shared" si="435"/>
        <v>46402</v>
      </c>
      <c r="C6961" s="312">
        <v>21</v>
      </c>
      <c r="D6961" s="368">
        <f>IFERROR((INDEX(METADATA!$T$2:$T$20,MATCH(B6961,METADATA!$S$2:$S$20,0))),0)</f>
        <v>0</v>
      </c>
      <c r="E6961" s="312" t="str">
        <f t="shared" si="432"/>
        <v>HI</v>
      </c>
      <c r="F6961" s="369">
        <f>VLOOKUP(C6961,METADATA!$A$5:$H$29,IF(E6961="HI",2,IF(E6961="LO",6,10))+IF(D6961=1,2,IF(D6961=7,1,(IF(WEEKDAY(B6961)=1,2,IF(WEEKDAY(B6961)=7,1,0))))))</f>
        <v>2</v>
      </c>
      <c r="G6961" s="369">
        <f>VLOOKUP(C6961,METADATA!$J$5:$Q$29,IF(E6961="HI",2,IF(E6961="LO",6,10))+IF(D6961=1,2,IF(D6961=7,1,(IF(WEEKDAY(B6961)=1,2,IF(WEEKDAY(B6961)=7,1,0))))))</f>
        <v>2</v>
      </c>
      <c r="H6961" s="370">
        <v>13997.974609375</v>
      </c>
      <c r="I6961" s="370">
        <v>4503.4949645996094</v>
      </c>
      <c r="M6961" s="371">
        <f t="shared" si="433"/>
        <v>14704.582961134302</v>
      </c>
      <c r="N6961" s="329">
        <f t="shared" si="434"/>
        <v>304.10258178710956</v>
      </c>
      <c r="T6961" s="331">
        <v>0</v>
      </c>
      <c r="U6961" s="328">
        <f>VLOOKUP(C6961,METADATA!$J$5:$Q$29,IF(E6961="HI",2,IF(E6961="LO",6,10))+IF(T6961=1,2,IF(D6961=7,1,(IF(WEEKDAY(B6961)=1,2,IF(WEEKDAY(B6961)=7,1,0))))))</f>
        <v>2</v>
      </c>
      <c r="V6961" s="328">
        <f>VLOOKUP(C6961,METADATA!$A$5:$H$29,IF(E6961="HI",2,IF(E6961="LO",6,10))+IF(T6961=1,2,IF(D6961=7,1,(IF(WEEKDAY(B6961)=1,2,IF(WEEKDAY(B6961)=7,1,0))))))</f>
        <v>2</v>
      </c>
    </row>
    <row r="6962" spans="2:22">
      <c r="B6962" s="318">
        <f t="shared" si="435"/>
        <v>46402</v>
      </c>
      <c r="C6962" s="312">
        <v>22</v>
      </c>
      <c r="D6962" s="368">
        <f>IFERROR((INDEX(METADATA!$T$2:$T$20,MATCH(B6962,METADATA!$S$2:$S$20,0))),0)</f>
        <v>0</v>
      </c>
      <c r="E6962" s="312" t="str">
        <f t="shared" si="432"/>
        <v>HI</v>
      </c>
      <c r="F6962" s="369">
        <f>VLOOKUP(C6962,METADATA!$A$5:$H$29,IF(E6962="HI",2,IF(E6962="LO",6,10))+IF(D6962=1,2,IF(D6962=7,1,(IF(WEEKDAY(B6962)=1,2,IF(WEEKDAY(B6962)=7,1,0))))))</f>
        <v>3</v>
      </c>
      <c r="G6962" s="369">
        <f>VLOOKUP(C6962,METADATA!$J$5:$Q$29,IF(E6962="HI",2,IF(E6962="LO",6,10))+IF(D6962=1,2,IF(D6962=7,1,(IF(WEEKDAY(B6962)=1,2,IF(WEEKDAY(B6962)=7,1,0))))))</f>
        <v>3</v>
      </c>
      <c r="H6962" s="370">
        <v>13904.350219726563</v>
      </c>
      <c r="I6962" s="370">
        <v>4482.2249755859375</v>
      </c>
      <c r="M6962" s="371">
        <f t="shared" si="433"/>
        <v>14608.945744460018</v>
      </c>
      <c r="N6962" s="329">
        <f t="shared" si="434"/>
        <v>310.91990966796857</v>
      </c>
      <c r="T6962" s="331">
        <v>0</v>
      </c>
      <c r="U6962" s="328">
        <f>VLOOKUP(C6962,METADATA!$J$5:$Q$29,IF(E6962="HI",2,IF(E6962="LO",6,10))+IF(T6962=1,2,IF(D6962=7,1,(IF(WEEKDAY(B6962)=1,2,IF(WEEKDAY(B6962)=7,1,0))))))</f>
        <v>3</v>
      </c>
      <c r="V6962" s="328">
        <f>VLOOKUP(C6962,METADATA!$A$5:$H$29,IF(E6962="HI",2,IF(E6962="LO",6,10))+IF(T6962=1,2,IF(D6962=7,1,(IF(WEEKDAY(B6962)=1,2,IF(WEEKDAY(B6962)=7,1,0))))))</f>
        <v>3</v>
      </c>
    </row>
    <row r="6963" spans="2:22">
      <c r="B6963" s="318">
        <f t="shared" si="435"/>
        <v>46402</v>
      </c>
      <c r="C6963" s="312">
        <v>23</v>
      </c>
      <c r="D6963" s="368">
        <f>IFERROR((INDEX(METADATA!$T$2:$T$20,MATCH(B6963,METADATA!$S$2:$S$20,0))),0)</f>
        <v>0</v>
      </c>
      <c r="E6963" s="312" t="str">
        <f t="shared" si="432"/>
        <v>HI</v>
      </c>
      <c r="F6963" s="369">
        <f>VLOOKUP(C6963,METADATA!$A$5:$H$29,IF(E6963="HI",2,IF(E6963="LO",6,10))+IF(D6963=1,2,IF(D6963=7,1,(IF(WEEKDAY(B6963)=1,2,IF(WEEKDAY(B6963)=7,1,0))))))</f>
        <v>3</v>
      </c>
      <c r="G6963" s="369">
        <f>VLOOKUP(C6963,METADATA!$J$5:$Q$29,IF(E6963="HI",2,IF(E6963="LO",6,10))+IF(D6963=1,2,IF(D6963=7,1,(IF(WEEKDAY(B6963)=1,2,IF(WEEKDAY(B6963)=7,1,0))))))</f>
        <v>3</v>
      </c>
      <c r="H6963" s="370">
        <v>14082.500427246094</v>
      </c>
      <c r="I6963" s="370">
        <v>4799.2799682617188</v>
      </c>
      <c r="M6963" s="371">
        <f t="shared" si="433"/>
        <v>14877.832721775863</v>
      </c>
      <c r="N6963" s="329">
        <f t="shared" si="434"/>
        <v>574.52984008789099</v>
      </c>
      <c r="T6963" s="331">
        <v>0</v>
      </c>
      <c r="U6963" s="328">
        <f>VLOOKUP(C6963,METADATA!$J$5:$Q$29,IF(E6963="HI",2,IF(E6963="LO",6,10))+IF(T6963=1,2,IF(D6963=7,1,(IF(WEEKDAY(B6963)=1,2,IF(WEEKDAY(B6963)=7,1,0))))))</f>
        <v>3</v>
      </c>
      <c r="V6963" s="328">
        <f>VLOOKUP(C6963,METADATA!$A$5:$H$29,IF(E6963="HI",2,IF(E6963="LO",6,10))+IF(T6963=1,2,IF(D6963=7,1,(IF(WEEKDAY(B6963)=1,2,IF(WEEKDAY(B6963)=7,1,0))))))</f>
        <v>3</v>
      </c>
    </row>
    <row r="6964" spans="2:22">
      <c r="B6964" s="318">
        <f t="shared" si="435"/>
        <v>46403</v>
      </c>
      <c r="C6964" s="312">
        <v>0</v>
      </c>
      <c r="D6964" s="368">
        <f>IFERROR((INDEX(METADATA!$T$2:$T$20,MATCH(B6964,METADATA!$S$2:$S$20,0))),0)</f>
        <v>0</v>
      </c>
      <c r="E6964" s="312" t="str">
        <f t="shared" si="432"/>
        <v>HI</v>
      </c>
      <c r="F6964" s="369">
        <f>VLOOKUP(C6964,METADATA!$A$5:$H$29,IF(E6964="HI",2,IF(E6964="LO",6,10))+IF(D6964=1,2,IF(D6964=7,1,(IF(WEEKDAY(B6964)=1,2,IF(WEEKDAY(B6964)=7,1,0))))))</f>
        <v>3</v>
      </c>
      <c r="G6964" s="369">
        <f>VLOOKUP(C6964,METADATA!$J$5:$Q$29,IF(E6964="HI",2,IF(E6964="LO",6,10))+IF(D6964=1,2,IF(D6964=7,1,(IF(WEEKDAY(B6964)=1,2,IF(WEEKDAY(B6964)=7,1,0))))))</f>
        <v>3</v>
      </c>
      <c r="H6964" s="370">
        <v>13895.450256347656</v>
      </c>
      <c r="I6964" s="370">
        <v>4631.0699462890625</v>
      </c>
      <c r="M6964" s="371">
        <f t="shared" si="433"/>
        <v>14646.854497606437</v>
      </c>
      <c r="N6964" s="329">
        <f t="shared" si="434"/>
        <v>462.43486938476599</v>
      </c>
      <c r="T6964" s="331">
        <v>0</v>
      </c>
      <c r="U6964" s="328">
        <f>VLOOKUP(C6964,METADATA!$J$5:$Q$29,IF(E6964="HI",2,IF(E6964="LO",6,10))+IF(T6964=1,2,IF(D6964=7,1,(IF(WEEKDAY(B6964)=1,2,IF(WEEKDAY(B6964)=7,1,0))))))</f>
        <v>3</v>
      </c>
      <c r="V6964" s="328">
        <f>VLOOKUP(C6964,METADATA!$A$5:$H$29,IF(E6964="HI",2,IF(E6964="LO",6,10))+IF(T6964=1,2,IF(D6964=7,1,(IF(WEEKDAY(B6964)=1,2,IF(WEEKDAY(B6964)=7,1,0))))))</f>
        <v>3</v>
      </c>
    </row>
    <row r="6965" spans="2:22">
      <c r="B6965" s="318">
        <f t="shared" si="435"/>
        <v>46403</v>
      </c>
      <c r="C6965" s="312">
        <v>1</v>
      </c>
      <c r="D6965" s="368">
        <f>IFERROR((INDEX(METADATA!$T$2:$T$20,MATCH(B6965,METADATA!$S$2:$S$20,0))),0)</f>
        <v>0</v>
      </c>
      <c r="E6965" s="312" t="str">
        <f t="shared" si="432"/>
        <v>HI</v>
      </c>
      <c r="F6965" s="369">
        <f>VLOOKUP(C6965,METADATA!$A$5:$H$29,IF(E6965="HI",2,IF(E6965="LO",6,10))+IF(D6965=1,2,IF(D6965=7,1,(IF(WEEKDAY(B6965)=1,2,IF(WEEKDAY(B6965)=7,1,0))))))</f>
        <v>3</v>
      </c>
      <c r="G6965" s="369">
        <f>VLOOKUP(C6965,METADATA!$J$5:$Q$29,IF(E6965="HI",2,IF(E6965="LO",6,10))+IF(D6965=1,2,IF(D6965=7,1,(IF(WEEKDAY(B6965)=1,2,IF(WEEKDAY(B6965)=7,1,0))))))</f>
        <v>3</v>
      </c>
      <c r="H6965" s="370">
        <v>13922.692199707031</v>
      </c>
      <c r="I6965" s="370">
        <v>4644.1310424804688</v>
      </c>
      <c r="M6965" s="371">
        <f t="shared" si="433"/>
        <v>14676.829059013862</v>
      </c>
      <c r="N6965" s="329">
        <f t="shared" si="434"/>
        <v>467.32338256835919</v>
      </c>
      <c r="T6965" s="331">
        <v>0</v>
      </c>
      <c r="U6965" s="328">
        <f>VLOOKUP(C6965,METADATA!$J$5:$Q$29,IF(E6965="HI",2,IF(E6965="LO",6,10))+IF(T6965=1,2,IF(D6965=7,1,(IF(WEEKDAY(B6965)=1,2,IF(WEEKDAY(B6965)=7,1,0))))))</f>
        <v>3</v>
      </c>
      <c r="V6965" s="328">
        <f>VLOOKUP(C6965,METADATA!$A$5:$H$29,IF(E6965="HI",2,IF(E6965="LO",6,10))+IF(T6965=1,2,IF(D6965=7,1,(IF(WEEKDAY(B6965)=1,2,IF(WEEKDAY(B6965)=7,1,0))))))</f>
        <v>3</v>
      </c>
    </row>
    <row r="6966" spans="2:22">
      <c r="B6966" s="318">
        <f t="shared" si="435"/>
        <v>46403</v>
      </c>
      <c r="C6966" s="312">
        <v>2</v>
      </c>
      <c r="D6966" s="368">
        <f>IFERROR((INDEX(METADATA!$T$2:$T$20,MATCH(B6966,METADATA!$S$2:$S$20,0))),0)</f>
        <v>0</v>
      </c>
      <c r="E6966" s="312" t="str">
        <f t="shared" si="432"/>
        <v>HI</v>
      </c>
      <c r="F6966" s="369">
        <f>VLOOKUP(C6966,METADATA!$A$5:$H$29,IF(E6966="HI",2,IF(E6966="LO",6,10))+IF(D6966=1,2,IF(D6966=7,1,(IF(WEEKDAY(B6966)=1,2,IF(WEEKDAY(B6966)=7,1,0))))))</f>
        <v>3</v>
      </c>
      <c r="G6966" s="369">
        <f>VLOOKUP(C6966,METADATA!$J$5:$Q$29,IF(E6966="HI",2,IF(E6966="LO",6,10))+IF(D6966=1,2,IF(D6966=7,1,(IF(WEEKDAY(B6966)=1,2,IF(WEEKDAY(B6966)=7,1,0))))))</f>
        <v>3</v>
      </c>
      <c r="H6966" s="370">
        <v>13882.981079101563</v>
      </c>
      <c r="I6966" s="370">
        <v>4665.4950256347656</v>
      </c>
      <c r="M6966" s="371">
        <f t="shared" si="433"/>
        <v>14645.955328243859</v>
      </c>
      <c r="N6966" s="329">
        <f t="shared" si="434"/>
        <v>500.60070190429724</v>
      </c>
      <c r="T6966" s="331">
        <v>0</v>
      </c>
      <c r="U6966" s="328">
        <f>VLOOKUP(C6966,METADATA!$J$5:$Q$29,IF(E6966="HI",2,IF(E6966="LO",6,10))+IF(T6966=1,2,IF(D6966=7,1,(IF(WEEKDAY(B6966)=1,2,IF(WEEKDAY(B6966)=7,1,0))))))</f>
        <v>3</v>
      </c>
      <c r="V6966" s="328">
        <f>VLOOKUP(C6966,METADATA!$A$5:$H$29,IF(E6966="HI",2,IF(E6966="LO",6,10))+IF(T6966=1,2,IF(D6966=7,1,(IF(WEEKDAY(B6966)=1,2,IF(WEEKDAY(B6966)=7,1,0))))))</f>
        <v>3</v>
      </c>
    </row>
    <row r="6967" spans="2:22">
      <c r="B6967" s="318">
        <f t="shared" si="435"/>
        <v>46403</v>
      </c>
      <c r="C6967" s="312">
        <v>3</v>
      </c>
      <c r="D6967" s="368">
        <f>IFERROR((INDEX(METADATA!$T$2:$T$20,MATCH(B6967,METADATA!$S$2:$S$20,0))),0)</f>
        <v>0</v>
      </c>
      <c r="E6967" s="312" t="str">
        <f t="shared" si="432"/>
        <v>HI</v>
      </c>
      <c r="F6967" s="369">
        <f>VLOOKUP(C6967,METADATA!$A$5:$H$29,IF(E6967="HI",2,IF(E6967="LO",6,10))+IF(D6967=1,2,IF(D6967=7,1,(IF(WEEKDAY(B6967)=1,2,IF(WEEKDAY(B6967)=7,1,0))))))</f>
        <v>3</v>
      </c>
      <c r="G6967" s="369">
        <f>VLOOKUP(C6967,METADATA!$J$5:$Q$29,IF(E6967="HI",2,IF(E6967="LO",6,10))+IF(D6967=1,2,IF(D6967=7,1,(IF(WEEKDAY(B6967)=1,2,IF(WEEKDAY(B6967)=7,1,0))))))</f>
        <v>3</v>
      </c>
      <c r="H6967" s="370">
        <v>13706.42529296875</v>
      </c>
      <c r="I6967" s="370">
        <v>4444.4999389648438</v>
      </c>
      <c r="M6967" s="371">
        <f t="shared" si="433"/>
        <v>14409.013637969532</v>
      </c>
      <c r="N6967" s="329">
        <f t="shared" si="434"/>
        <v>332.57235107421911</v>
      </c>
      <c r="T6967" s="331">
        <v>0</v>
      </c>
      <c r="U6967" s="328">
        <f>VLOOKUP(C6967,METADATA!$J$5:$Q$29,IF(E6967="HI",2,IF(E6967="LO",6,10))+IF(T6967=1,2,IF(D6967=7,1,(IF(WEEKDAY(B6967)=1,2,IF(WEEKDAY(B6967)=7,1,0))))))</f>
        <v>3</v>
      </c>
      <c r="V6967" s="328">
        <f>VLOOKUP(C6967,METADATA!$A$5:$H$29,IF(E6967="HI",2,IF(E6967="LO",6,10))+IF(T6967=1,2,IF(D6967=7,1,(IF(WEEKDAY(B6967)=1,2,IF(WEEKDAY(B6967)=7,1,0))))))</f>
        <v>3</v>
      </c>
    </row>
    <row r="6968" spans="2:22">
      <c r="B6968" s="318">
        <f t="shared" si="435"/>
        <v>46403</v>
      </c>
      <c r="C6968" s="312">
        <v>4</v>
      </c>
      <c r="D6968" s="368">
        <f>IFERROR((INDEX(METADATA!$T$2:$T$20,MATCH(B6968,METADATA!$S$2:$S$20,0))),0)</f>
        <v>0</v>
      </c>
      <c r="E6968" s="312" t="str">
        <f t="shared" si="432"/>
        <v>HI</v>
      </c>
      <c r="F6968" s="369">
        <f>VLOOKUP(C6968,METADATA!$A$5:$H$29,IF(E6968="HI",2,IF(E6968="LO",6,10))+IF(D6968=1,2,IF(D6968=7,1,(IF(WEEKDAY(B6968)=1,2,IF(WEEKDAY(B6968)=7,1,0))))))</f>
        <v>3</v>
      </c>
      <c r="G6968" s="369">
        <f>VLOOKUP(C6968,METADATA!$J$5:$Q$29,IF(E6968="HI",2,IF(E6968="LO",6,10))+IF(D6968=1,2,IF(D6968=7,1,(IF(WEEKDAY(B6968)=1,2,IF(WEEKDAY(B6968)=7,1,0))))))</f>
        <v>3</v>
      </c>
      <c r="H6968" s="370">
        <v>13809.449890136719</v>
      </c>
      <c r="I6968" s="370">
        <v>4318.760009765625</v>
      </c>
      <c r="M6968" s="371">
        <f t="shared" si="433"/>
        <v>14469.021884362046</v>
      </c>
      <c r="N6968" s="329">
        <f t="shared" si="434"/>
        <v>175.92504272460974</v>
      </c>
      <c r="T6968" s="331">
        <v>0</v>
      </c>
      <c r="U6968" s="328">
        <f>VLOOKUP(C6968,METADATA!$J$5:$Q$29,IF(E6968="HI",2,IF(E6968="LO",6,10))+IF(T6968=1,2,IF(D6968=7,1,(IF(WEEKDAY(B6968)=1,2,IF(WEEKDAY(B6968)=7,1,0))))))</f>
        <v>3</v>
      </c>
      <c r="V6968" s="328">
        <f>VLOOKUP(C6968,METADATA!$A$5:$H$29,IF(E6968="HI",2,IF(E6968="LO",6,10))+IF(T6968=1,2,IF(D6968=7,1,(IF(WEEKDAY(B6968)=1,2,IF(WEEKDAY(B6968)=7,1,0))))))</f>
        <v>3</v>
      </c>
    </row>
    <row r="6969" spans="2:22">
      <c r="B6969" s="318">
        <f t="shared" si="435"/>
        <v>46403</v>
      </c>
      <c r="C6969" s="312">
        <v>5</v>
      </c>
      <c r="D6969" s="368">
        <f>IFERROR((INDEX(METADATA!$T$2:$T$20,MATCH(B6969,METADATA!$S$2:$S$20,0))),0)</f>
        <v>0</v>
      </c>
      <c r="E6969" s="312" t="str">
        <f t="shared" si="432"/>
        <v>HI</v>
      </c>
      <c r="F6969" s="369">
        <f>VLOOKUP(C6969,METADATA!$A$5:$H$29,IF(E6969="HI",2,IF(E6969="LO",6,10))+IF(D6969=1,2,IF(D6969=7,1,(IF(WEEKDAY(B6969)=1,2,IF(WEEKDAY(B6969)=7,1,0))))))</f>
        <v>3</v>
      </c>
      <c r="G6969" s="369">
        <f>VLOOKUP(C6969,METADATA!$J$5:$Q$29,IF(E6969="HI",2,IF(E6969="LO",6,10))+IF(D6969=1,2,IF(D6969=7,1,(IF(WEEKDAY(B6969)=1,2,IF(WEEKDAY(B6969)=7,1,0))))))</f>
        <v>3</v>
      </c>
      <c r="H6969" s="370">
        <v>13923.60009765625</v>
      </c>
      <c r="I6969" s="370">
        <v>4471.3700256347656</v>
      </c>
      <c r="M6969" s="371">
        <f t="shared" si="433"/>
        <v>14623.945759800881</v>
      </c>
      <c r="N6969" s="329">
        <f t="shared" si="434"/>
        <v>294.28999633789044</v>
      </c>
      <c r="T6969" s="331">
        <v>0</v>
      </c>
      <c r="U6969" s="328">
        <f>VLOOKUP(C6969,METADATA!$J$5:$Q$29,IF(E6969="HI",2,IF(E6969="LO",6,10))+IF(T6969=1,2,IF(D6969=7,1,(IF(WEEKDAY(B6969)=1,2,IF(WEEKDAY(B6969)=7,1,0))))))</f>
        <v>3</v>
      </c>
      <c r="V6969" s="328">
        <f>VLOOKUP(C6969,METADATA!$A$5:$H$29,IF(E6969="HI",2,IF(E6969="LO",6,10))+IF(T6969=1,2,IF(D6969=7,1,(IF(WEEKDAY(B6969)=1,2,IF(WEEKDAY(B6969)=7,1,0))))))</f>
        <v>3</v>
      </c>
    </row>
    <row r="6970" spans="2:22">
      <c r="B6970" s="318">
        <f t="shared" si="435"/>
        <v>46403</v>
      </c>
      <c r="C6970" s="312">
        <v>6</v>
      </c>
      <c r="D6970" s="368">
        <f>IFERROR((INDEX(METADATA!$T$2:$T$20,MATCH(B6970,METADATA!$S$2:$S$20,0))),0)</f>
        <v>0</v>
      </c>
      <c r="E6970" s="312" t="str">
        <f t="shared" si="432"/>
        <v>HI</v>
      </c>
      <c r="F6970" s="369">
        <f>VLOOKUP(C6970,METADATA!$A$5:$H$29,IF(E6970="HI",2,IF(E6970="LO",6,10))+IF(D6970=1,2,IF(D6970=7,1,(IF(WEEKDAY(B6970)=1,2,IF(WEEKDAY(B6970)=7,1,0))))))</f>
        <v>3</v>
      </c>
      <c r="G6970" s="369">
        <f>VLOOKUP(C6970,METADATA!$J$5:$Q$29,IF(E6970="HI",2,IF(E6970="LO",6,10))+IF(D6970=1,2,IF(D6970=7,1,(IF(WEEKDAY(B6970)=1,2,IF(WEEKDAY(B6970)=7,1,0))))))</f>
        <v>3</v>
      </c>
      <c r="H6970" s="370">
        <v>13991.475036621094</v>
      </c>
      <c r="I6970" s="370">
        <v>4686.6899719238281</v>
      </c>
      <c r="M6970" s="371">
        <f t="shared" si="433"/>
        <v>14755.556126196077</v>
      </c>
      <c r="N6970" s="329">
        <f t="shared" si="434"/>
        <v>489.24746093750036</v>
      </c>
      <c r="T6970" s="331">
        <v>0</v>
      </c>
      <c r="U6970" s="328">
        <f>VLOOKUP(C6970,METADATA!$J$5:$Q$29,IF(E6970="HI",2,IF(E6970="LO",6,10))+IF(T6970=1,2,IF(D6970=7,1,(IF(WEEKDAY(B6970)=1,2,IF(WEEKDAY(B6970)=7,1,0))))))</f>
        <v>3</v>
      </c>
      <c r="V6970" s="328">
        <f>VLOOKUP(C6970,METADATA!$A$5:$H$29,IF(E6970="HI",2,IF(E6970="LO",6,10))+IF(T6970=1,2,IF(D6970=7,1,(IF(WEEKDAY(B6970)=1,2,IF(WEEKDAY(B6970)=7,1,0))))))</f>
        <v>3</v>
      </c>
    </row>
    <row r="6971" spans="2:22">
      <c r="B6971" s="318">
        <f t="shared" si="435"/>
        <v>46403</v>
      </c>
      <c r="C6971" s="312">
        <v>7</v>
      </c>
      <c r="D6971" s="368">
        <f>IFERROR((INDEX(METADATA!$T$2:$T$20,MATCH(B6971,METADATA!$S$2:$S$20,0))),0)</f>
        <v>0</v>
      </c>
      <c r="E6971" s="312" t="str">
        <f t="shared" si="432"/>
        <v>HI</v>
      </c>
      <c r="F6971" s="369">
        <f>VLOOKUP(C6971,METADATA!$A$5:$H$29,IF(E6971="HI",2,IF(E6971="LO",6,10))+IF(D6971=1,2,IF(D6971=7,1,(IF(WEEKDAY(B6971)=1,2,IF(WEEKDAY(B6971)=7,1,0))))))</f>
        <v>2</v>
      </c>
      <c r="G6971" s="369">
        <f>VLOOKUP(C6971,METADATA!$J$5:$Q$29,IF(E6971="HI",2,IF(E6971="LO",6,10))+IF(D6971=1,2,IF(D6971=7,1,(IF(WEEKDAY(B6971)=1,2,IF(WEEKDAY(B6971)=7,1,0))))))</f>
        <v>2</v>
      </c>
      <c r="H6971" s="370">
        <v>13862.800537109375</v>
      </c>
      <c r="I6971" s="370">
        <v>4502.7399597167969</v>
      </c>
      <c r="M6971" s="371">
        <f t="shared" si="433"/>
        <v>14575.730028938873</v>
      </c>
      <c r="N6971" s="329">
        <f t="shared" si="434"/>
        <v>343.89979858398419</v>
      </c>
      <c r="T6971" s="331">
        <v>0</v>
      </c>
      <c r="U6971" s="328">
        <f>VLOOKUP(C6971,METADATA!$J$5:$Q$29,IF(E6971="HI",2,IF(E6971="LO",6,10))+IF(T6971=1,2,IF(D6971=7,1,(IF(WEEKDAY(B6971)=1,2,IF(WEEKDAY(B6971)=7,1,0))))))</f>
        <v>2</v>
      </c>
      <c r="V6971" s="328">
        <f>VLOOKUP(C6971,METADATA!$A$5:$H$29,IF(E6971="HI",2,IF(E6971="LO",6,10))+IF(T6971=1,2,IF(D6971=7,1,(IF(WEEKDAY(B6971)=1,2,IF(WEEKDAY(B6971)=7,1,0))))))</f>
        <v>2</v>
      </c>
    </row>
    <row r="6972" spans="2:22">
      <c r="B6972" s="318">
        <f t="shared" si="435"/>
        <v>46403</v>
      </c>
      <c r="C6972" s="312">
        <v>8</v>
      </c>
      <c r="D6972" s="368">
        <f>IFERROR((INDEX(METADATA!$T$2:$T$20,MATCH(B6972,METADATA!$S$2:$S$20,0))),0)</f>
        <v>0</v>
      </c>
      <c r="E6972" s="312" t="str">
        <f t="shared" si="432"/>
        <v>HI</v>
      </c>
      <c r="F6972" s="369">
        <f>VLOOKUP(C6972,METADATA!$A$5:$H$29,IF(E6972="HI",2,IF(E6972="LO",6,10))+IF(D6972=1,2,IF(D6972=7,1,(IF(WEEKDAY(B6972)=1,2,IF(WEEKDAY(B6972)=7,1,0))))))</f>
        <v>2</v>
      </c>
      <c r="G6972" s="369">
        <f>VLOOKUP(C6972,METADATA!$J$5:$Q$29,IF(E6972="HI",2,IF(E6972="LO",6,10))+IF(D6972=1,2,IF(D6972=7,1,(IF(WEEKDAY(B6972)=1,2,IF(WEEKDAY(B6972)=7,1,0))))))</f>
        <v>2</v>
      </c>
      <c r="H6972" s="370">
        <v>13790.424987792969</v>
      </c>
      <c r="I6972" s="370">
        <v>4494.989990234375</v>
      </c>
      <c r="M6972" s="371">
        <f t="shared" si="433"/>
        <v>14504.508139066693</v>
      </c>
      <c r="N6972" s="329">
        <f t="shared" si="434"/>
        <v>357.86249389648492</v>
      </c>
      <c r="T6972" s="331">
        <v>0</v>
      </c>
      <c r="U6972" s="328">
        <f>VLOOKUP(C6972,METADATA!$J$5:$Q$29,IF(E6972="HI",2,IF(E6972="LO",6,10))+IF(T6972=1,2,IF(D6972=7,1,(IF(WEEKDAY(B6972)=1,2,IF(WEEKDAY(B6972)=7,1,0))))))</f>
        <v>2</v>
      </c>
      <c r="V6972" s="328">
        <f>VLOOKUP(C6972,METADATA!$A$5:$H$29,IF(E6972="HI",2,IF(E6972="LO",6,10))+IF(T6972=1,2,IF(D6972=7,1,(IF(WEEKDAY(B6972)=1,2,IF(WEEKDAY(B6972)=7,1,0))))))</f>
        <v>2</v>
      </c>
    </row>
    <row r="6973" spans="2:22">
      <c r="B6973" s="318">
        <f t="shared" si="435"/>
        <v>46403</v>
      </c>
      <c r="C6973" s="312">
        <v>9</v>
      </c>
      <c r="D6973" s="368">
        <f>IFERROR((INDEX(METADATA!$T$2:$T$20,MATCH(B6973,METADATA!$S$2:$S$20,0))),0)</f>
        <v>0</v>
      </c>
      <c r="E6973" s="312" t="str">
        <f t="shared" si="432"/>
        <v>HI</v>
      </c>
      <c r="F6973" s="369">
        <f>VLOOKUP(C6973,METADATA!$A$5:$H$29,IF(E6973="HI",2,IF(E6973="LO",6,10))+IF(D6973=1,2,IF(D6973=7,1,(IF(WEEKDAY(B6973)=1,2,IF(WEEKDAY(B6973)=7,1,0))))))</f>
        <v>2</v>
      </c>
      <c r="G6973" s="369">
        <f>VLOOKUP(C6973,METADATA!$J$5:$Q$29,IF(E6973="HI",2,IF(E6973="LO",6,10))+IF(D6973=1,2,IF(D6973=7,1,(IF(WEEKDAY(B6973)=1,2,IF(WEEKDAY(B6973)=7,1,0))))))</f>
        <v>2</v>
      </c>
      <c r="H6973" s="370">
        <v>13916.249633789063</v>
      </c>
      <c r="I6973" s="370">
        <v>4452.1749877929688</v>
      </c>
      <c r="M6973" s="371">
        <f t="shared" si="433"/>
        <v>14611.08709137905</v>
      </c>
      <c r="N6973" s="329">
        <f t="shared" si="434"/>
        <v>277.30009765624982</v>
      </c>
      <c r="T6973" s="331">
        <v>0</v>
      </c>
      <c r="U6973" s="328">
        <f>VLOOKUP(C6973,METADATA!$J$5:$Q$29,IF(E6973="HI",2,IF(E6973="LO",6,10))+IF(T6973=1,2,IF(D6973=7,1,(IF(WEEKDAY(B6973)=1,2,IF(WEEKDAY(B6973)=7,1,0))))))</f>
        <v>2</v>
      </c>
      <c r="V6973" s="328">
        <f>VLOOKUP(C6973,METADATA!$A$5:$H$29,IF(E6973="HI",2,IF(E6973="LO",6,10))+IF(T6973=1,2,IF(D6973=7,1,(IF(WEEKDAY(B6973)=1,2,IF(WEEKDAY(B6973)=7,1,0))))))</f>
        <v>2</v>
      </c>
    </row>
    <row r="6974" spans="2:22">
      <c r="B6974" s="318">
        <f t="shared" si="435"/>
        <v>46403</v>
      </c>
      <c r="C6974" s="312">
        <v>10</v>
      </c>
      <c r="D6974" s="368">
        <f>IFERROR((INDEX(METADATA!$T$2:$T$20,MATCH(B6974,METADATA!$S$2:$S$20,0))),0)</f>
        <v>0</v>
      </c>
      <c r="E6974" s="312" t="str">
        <f t="shared" si="432"/>
        <v>HI</v>
      </c>
      <c r="F6974" s="369">
        <f>VLOOKUP(C6974,METADATA!$A$5:$H$29,IF(E6974="HI",2,IF(E6974="LO",6,10))+IF(D6974=1,2,IF(D6974=7,1,(IF(WEEKDAY(B6974)=1,2,IF(WEEKDAY(B6974)=7,1,0))))))</f>
        <v>2</v>
      </c>
      <c r="G6974" s="369">
        <f>VLOOKUP(C6974,METADATA!$J$5:$Q$29,IF(E6974="HI",2,IF(E6974="LO",6,10))+IF(D6974=1,2,IF(D6974=7,1,(IF(WEEKDAY(B6974)=1,2,IF(WEEKDAY(B6974)=7,1,0))))))</f>
        <v>2</v>
      </c>
      <c r="H6974" s="370">
        <v>13809.400146484375</v>
      </c>
      <c r="I6974" s="370">
        <v>4511.5799865722656</v>
      </c>
      <c r="M6974" s="371">
        <f t="shared" si="433"/>
        <v>14527.693773650451</v>
      </c>
      <c r="N6974" s="329">
        <f t="shared" si="434"/>
        <v>368.75994262695349</v>
      </c>
      <c r="T6974" s="331">
        <v>0</v>
      </c>
      <c r="U6974" s="328">
        <f>VLOOKUP(C6974,METADATA!$J$5:$Q$29,IF(E6974="HI",2,IF(E6974="LO",6,10))+IF(T6974=1,2,IF(D6974=7,1,(IF(WEEKDAY(B6974)=1,2,IF(WEEKDAY(B6974)=7,1,0))))))</f>
        <v>2</v>
      </c>
      <c r="V6974" s="328">
        <f>VLOOKUP(C6974,METADATA!$A$5:$H$29,IF(E6974="HI",2,IF(E6974="LO",6,10))+IF(T6974=1,2,IF(D6974=7,1,(IF(WEEKDAY(B6974)=1,2,IF(WEEKDAY(B6974)=7,1,0))))))</f>
        <v>2</v>
      </c>
    </row>
    <row r="6975" spans="2:22">
      <c r="B6975" s="318">
        <f t="shared" si="435"/>
        <v>46403</v>
      </c>
      <c r="C6975" s="312">
        <v>11</v>
      </c>
      <c r="D6975" s="368">
        <f>IFERROR((INDEX(METADATA!$T$2:$T$20,MATCH(B6975,METADATA!$S$2:$S$20,0))),0)</f>
        <v>0</v>
      </c>
      <c r="E6975" s="312" t="str">
        <f t="shared" si="432"/>
        <v>HI</v>
      </c>
      <c r="F6975" s="369">
        <f>VLOOKUP(C6975,METADATA!$A$5:$H$29,IF(E6975="HI",2,IF(E6975="LO",6,10))+IF(D6975=1,2,IF(D6975=7,1,(IF(WEEKDAY(B6975)=1,2,IF(WEEKDAY(B6975)=7,1,0))))))</f>
        <v>2</v>
      </c>
      <c r="G6975" s="369">
        <f>VLOOKUP(C6975,METADATA!$J$5:$Q$29,IF(E6975="HI",2,IF(E6975="LO",6,10))+IF(D6975=1,2,IF(D6975=7,1,(IF(WEEKDAY(B6975)=1,2,IF(WEEKDAY(B6975)=7,1,0))))))</f>
        <v>2</v>
      </c>
      <c r="H6975" s="370">
        <v>13600.2001953125</v>
      </c>
      <c r="I6975" s="370">
        <v>4350.5799865722656</v>
      </c>
      <c r="M6975" s="371">
        <f t="shared" si="433"/>
        <v>14279.110321450047</v>
      </c>
      <c r="N6975" s="329">
        <f t="shared" si="434"/>
        <v>270.51992797851563</v>
      </c>
      <c r="T6975" s="331">
        <v>0</v>
      </c>
      <c r="U6975" s="328">
        <f>VLOOKUP(C6975,METADATA!$J$5:$Q$29,IF(E6975="HI",2,IF(E6975="LO",6,10))+IF(T6975=1,2,IF(D6975=7,1,(IF(WEEKDAY(B6975)=1,2,IF(WEEKDAY(B6975)=7,1,0))))))</f>
        <v>2</v>
      </c>
      <c r="V6975" s="328">
        <f>VLOOKUP(C6975,METADATA!$A$5:$H$29,IF(E6975="HI",2,IF(E6975="LO",6,10))+IF(T6975=1,2,IF(D6975=7,1,(IF(WEEKDAY(B6975)=1,2,IF(WEEKDAY(B6975)=7,1,0))))))</f>
        <v>2</v>
      </c>
    </row>
    <row r="6976" spans="2:22">
      <c r="B6976" s="318">
        <f t="shared" si="435"/>
        <v>46403</v>
      </c>
      <c r="C6976" s="312">
        <v>12</v>
      </c>
      <c r="D6976" s="368">
        <f>IFERROR((INDEX(METADATA!$T$2:$T$20,MATCH(B6976,METADATA!$S$2:$S$20,0))),0)</f>
        <v>0</v>
      </c>
      <c r="E6976" s="312" t="str">
        <f t="shared" si="432"/>
        <v>HI</v>
      </c>
      <c r="F6976" s="369">
        <f>VLOOKUP(C6976,METADATA!$A$5:$H$29,IF(E6976="HI",2,IF(E6976="LO",6,10))+IF(D6976=1,2,IF(D6976=7,1,(IF(WEEKDAY(B6976)=1,2,IF(WEEKDAY(B6976)=7,1,0))))))</f>
        <v>3</v>
      </c>
      <c r="G6976" s="369">
        <f>VLOOKUP(C6976,METADATA!$J$5:$Q$29,IF(E6976="HI",2,IF(E6976="LO",6,10))+IF(D6976=1,2,IF(D6976=7,1,(IF(WEEKDAY(B6976)=1,2,IF(WEEKDAY(B6976)=7,1,0))))))</f>
        <v>3</v>
      </c>
      <c r="H6976" s="370">
        <v>13134.900146484375</v>
      </c>
      <c r="I6976" s="370">
        <v>3974.8149719238281</v>
      </c>
      <c r="M6976" s="371">
        <f t="shared" si="433"/>
        <v>13723.146720746852</v>
      </c>
      <c r="N6976" s="329">
        <f t="shared" si="434"/>
        <v>34.344927978515898</v>
      </c>
      <c r="T6976" s="331">
        <v>0</v>
      </c>
      <c r="U6976" s="328">
        <f>VLOOKUP(C6976,METADATA!$J$5:$Q$29,IF(E6976="HI",2,IF(E6976="LO",6,10))+IF(T6976=1,2,IF(D6976=7,1,(IF(WEEKDAY(B6976)=1,2,IF(WEEKDAY(B6976)=7,1,0))))))</f>
        <v>3</v>
      </c>
      <c r="V6976" s="328">
        <f>VLOOKUP(C6976,METADATA!$A$5:$H$29,IF(E6976="HI",2,IF(E6976="LO",6,10))+IF(T6976=1,2,IF(D6976=7,1,(IF(WEEKDAY(B6976)=1,2,IF(WEEKDAY(B6976)=7,1,0))))))</f>
        <v>3</v>
      </c>
    </row>
    <row r="6977" spans="2:22">
      <c r="B6977" s="318">
        <f t="shared" si="435"/>
        <v>46403</v>
      </c>
      <c r="C6977" s="312">
        <v>13</v>
      </c>
      <c r="D6977" s="368">
        <f>IFERROR((INDEX(METADATA!$T$2:$T$20,MATCH(B6977,METADATA!$S$2:$S$20,0))),0)</f>
        <v>0</v>
      </c>
      <c r="E6977" s="312" t="str">
        <f t="shared" si="432"/>
        <v>HI</v>
      </c>
      <c r="F6977" s="369">
        <f>VLOOKUP(C6977,METADATA!$A$5:$H$29,IF(E6977="HI",2,IF(E6977="LO",6,10))+IF(D6977=1,2,IF(D6977=7,1,(IF(WEEKDAY(B6977)=1,2,IF(WEEKDAY(B6977)=7,1,0))))))</f>
        <v>3</v>
      </c>
      <c r="G6977" s="369">
        <f>VLOOKUP(C6977,METADATA!$J$5:$Q$29,IF(E6977="HI",2,IF(E6977="LO",6,10))+IF(D6977=1,2,IF(D6977=7,1,(IF(WEEKDAY(B6977)=1,2,IF(WEEKDAY(B6977)=7,1,0))))))</f>
        <v>3</v>
      </c>
      <c r="H6977" s="370">
        <v>13607.624938964844</v>
      </c>
      <c r="I6977" s="370">
        <v>4248.8349609375</v>
      </c>
      <c r="M6977" s="371">
        <f t="shared" si="433"/>
        <v>14255.527173865677</v>
      </c>
      <c r="N6977" s="329">
        <f t="shared" si="434"/>
        <v>166.54747924804724</v>
      </c>
      <c r="T6977" s="331">
        <v>0</v>
      </c>
      <c r="U6977" s="328">
        <f>VLOOKUP(C6977,METADATA!$J$5:$Q$29,IF(E6977="HI",2,IF(E6977="LO",6,10))+IF(T6977=1,2,IF(D6977=7,1,(IF(WEEKDAY(B6977)=1,2,IF(WEEKDAY(B6977)=7,1,0))))))</f>
        <v>3</v>
      </c>
      <c r="V6977" s="328">
        <f>VLOOKUP(C6977,METADATA!$A$5:$H$29,IF(E6977="HI",2,IF(E6977="LO",6,10))+IF(T6977=1,2,IF(D6977=7,1,(IF(WEEKDAY(B6977)=1,2,IF(WEEKDAY(B6977)=7,1,0))))))</f>
        <v>3</v>
      </c>
    </row>
    <row r="6978" spans="2:22">
      <c r="B6978" s="318">
        <f t="shared" si="435"/>
        <v>46403</v>
      </c>
      <c r="C6978" s="312">
        <v>14</v>
      </c>
      <c r="D6978" s="368">
        <f>IFERROR((INDEX(METADATA!$T$2:$T$20,MATCH(B6978,METADATA!$S$2:$S$20,0))),0)</f>
        <v>0</v>
      </c>
      <c r="E6978" s="312" t="str">
        <f t="shared" si="432"/>
        <v>HI</v>
      </c>
      <c r="F6978" s="369">
        <f>VLOOKUP(C6978,METADATA!$A$5:$H$29,IF(E6978="HI",2,IF(E6978="LO",6,10))+IF(D6978=1,2,IF(D6978=7,1,(IF(WEEKDAY(B6978)=1,2,IF(WEEKDAY(B6978)=7,1,0))))))</f>
        <v>3</v>
      </c>
      <c r="G6978" s="369">
        <f>VLOOKUP(C6978,METADATA!$J$5:$Q$29,IF(E6978="HI",2,IF(E6978="LO",6,10))+IF(D6978=1,2,IF(D6978=7,1,(IF(WEEKDAY(B6978)=1,2,IF(WEEKDAY(B6978)=7,1,0))))))</f>
        <v>3</v>
      </c>
      <c r="H6978" s="370">
        <v>13674.099853515625</v>
      </c>
      <c r="I6978" s="370">
        <v>4338.7100524902344</v>
      </c>
      <c r="M6978" s="371">
        <f t="shared" si="433"/>
        <v>14345.919689008992</v>
      </c>
      <c r="N6978" s="329">
        <f t="shared" si="434"/>
        <v>236.48009643554724</v>
      </c>
      <c r="T6978" s="331">
        <v>0</v>
      </c>
      <c r="U6978" s="328">
        <f>VLOOKUP(C6978,METADATA!$J$5:$Q$29,IF(E6978="HI",2,IF(E6978="LO",6,10))+IF(T6978=1,2,IF(D6978=7,1,(IF(WEEKDAY(B6978)=1,2,IF(WEEKDAY(B6978)=7,1,0))))))</f>
        <v>3</v>
      </c>
      <c r="V6978" s="328">
        <f>VLOOKUP(C6978,METADATA!$A$5:$H$29,IF(E6978="HI",2,IF(E6978="LO",6,10))+IF(T6978=1,2,IF(D6978=7,1,(IF(WEEKDAY(B6978)=1,2,IF(WEEKDAY(B6978)=7,1,0))))))</f>
        <v>3</v>
      </c>
    </row>
    <row r="6979" spans="2:22">
      <c r="B6979" s="318">
        <f t="shared" si="435"/>
        <v>46403</v>
      </c>
      <c r="C6979" s="312">
        <v>15</v>
      </c>
      <c r="D6979" s="368">
        <f>IFERROR((INDEX(METADATA!$T$2:$T$20,MATCH(B6979,METADATA!$S$2:$S$20,0))),0)</f>
        <v>0</v>
      </c>
      <c r="E6979" s="312" t="str">
        <f t="shared" si="432"/>
        <v>HI</v>
      </c>
      <c r="F6979" s="369">
        <f>VLOOKUP(C6979,METADATA!$A$5:$H$29,IF(E6979="HI",2,IF(E6979="LO",6,10))+IF(D6979=1,2,IF(D6979=7,1,(IF(WEEKDAY(B6979)=1,2,IF(WEEKDAY(B6979)=7,1,0))))))</f>
        <v>3</v>
      </c>
      <c r="G6979" s="369">
        <f>VLOOKUP(C6979,METADATA!$J$5:$Q$29,IF(E6979="HI",2,IF(E6979="LO",6,10))+IF(D6979=1,2,IF(D6979=7,1,(IF(WEEKDAY(B6979)=1,2,IF(WEEKDAY(B6979)=7,1,0))))))</f>
        <v>3</v>
      </c>
      <c r="H6979" s="370">
        <v>13670.64990234375</v>
      </c>
      <c r="I6979" s="370">
        <v>4418.3150634765625</v>
      </c>
      <c r="M6979" s="371">
        <f t="shared" si="433"/>
        <v>14366.912568558182</v>
      </c>
      <c r="N6979" s="329">
        <f t="shared" si="434"/>
        <v>317.12009277343805</v>
      </c>
      <c r="T6979" s="331">
        <v>0</v>
      </c>
      <c r="U6979" s="328">
        <f>VLOOKUP(C6979,METADATA!$J$5:$Q$29,IF(E6979="HI",2,IF(E6979="LO",6,10))+IF(T6979=1,2,IF(D6979=7,1,(IF(WEEKDAY(B6979)=1,2,IF(WEEKDAY(B6979)=7,1,0))))))</f>
        <v>3</v>
      </c>
      <c r="V6979" s="328">
        <f>VLOOKUP(C6979,METADATA!$A$5:$H$29,IF(E6979="HI",2,IF(E6979="LO",6,10))+IF(T6979=1,2,IF(D6979=7,1,(IF(WEEKDAY(B6979)=1,2,IF(WEEKDAY(B6979)=7,1,0))))))</f>
        <v>3</v>
      </c>
    </row>
    <row r="6980" spans="2:22">
      <c r="B6980" s="318">
        <f t="shared" si="435"/>
        <v>46403</v>
      </c>
      <c r="C6980" s="312">
        <v>16</v>
      </c>
      <c r="D6980" s="368">
        <f>IFERROR((INDEX(METADATA!$T$2:$T$20,MATCH(B6980,METADATA!$S$2:$S$20,0))),0)</f>
        <v>0</v>
      </c>
      <c r="E6980" s="312" t="str">
        <f t="shared" ref="E6980:E7043" si="436">IF(B6980="","",IF(AND(MONTH(B6980)&gt;=MONTH($Z$9),MONTH(B6980)&lt;=MONTH($Z$11)),"HI","LO"))</f>
        <v>HI</v>
      </c>
      <c r="F6980" s="369">
        <f>VLOOKUP(C6980,METADATA!$A$5:$H$29,IF(E6980="HI",2,IF(E6980="LO",6,10))+IF(D6980=1,2,IF(D6980=7,1,(IF(WEEKDAY(B6980)=1,2,IF(WEEKDAY(B6980)=7,1,0))))))</f>
        <v>3</v>
      </c>
      <c r="G6980" s="369">
        <f>VLOOKUP(C6980,METADATA!$J$5:$Q$29,IF(E6980="HI",2,IF(E6980="LO",6,10))+IF(D6980=1,2,IF(D6980=7,1,(IF(WEEKDAY(B6980)=1,2,IF(WEEKDAY(B6980)=7,1,0))))))</f>
        <v>3</v>
      </c>
      <c r="H6980" s="370">
        <v>13861.324768066406</v>
      </c>
      <c r="I6980" s="370">
        <v>4560.054931640625</v>
      </c>
      <c r="M6980" s="371">
        <f t="shared" ref="M6980:M7043" si="437">SQRT(H6980^2+I6980^2)</f>
        <v>14592.135734887857</v>
      </c>
      <c r="N6980" s="329">
        <f t="shared" ref="N6980:N7043" si="438">IF(H6980=0,0,(IF(I6980-(0.3*H6980)&lt;0,0,(I6980-(0.3*H6980)))))</f>
        <v>401.65750122070313</v>
      </c>
      <c r="T6980" s="331">
        <v>0</v>
      </c>
      <c r="U6980" s="328">
        <f>VLOOKUP(C6980,METADATA!$J$5:$Q$29,IF(E6980="HI",2,IF(E6980="LO",6,10))+IF(T6980=1,2,IF(D6980=7,1,(IF(WEEKDAY(B6980)=1,2,IF(WEEKDAY(B6980)=7,1,0))))))</f>
        <v>3</v>
      </c>
      <c r="V6980" s="328">
        <f>VLOOKUP(C6980,METADATA!$A$5:$H$29,IF(E6980="HI",2,IF(E6980="LO",6,10))+IF(T6980=1,2,IF(D6980=7,1,(IF(WEEKDAY(B6980)=1,2,IF(WEEKDAY(B6980)=7,1,0))))))</f>
        <v>3</v>
      </c>
    </row>
    <row r="6981" spans="2:22">
      <c r="B6981" s="318">
        <f t="shared" si="435"/>
        <v>46403</v>
      </c>
      <c r="C6981" s="312">
        <v>17</v>
      </c>
      <c r="D6981" s="368">
        <f>IFERROR((INDEX(METADATA!$T$2:$T$20,MATCH(B6981,METADATA!$S$2:$S$20,0))),0)</f>
        <v>0</v>
      </c>
      <c r="E6981" s="312" t="str">
        <f t="shared" si="436"/>
        <v>HI</v>
      </c>
      <c r="F6981" s="369">
        <f>VLOOKUP(C6981,METADATA!$A$5:$H$29,IF(E6981="HI",2,IF(E6981="LO",6,10))+IF(D6981=1,2,IF(D6981=7,1,(IF(WEEKDAY(B6981)=1,2,IF(WEEKDAY(B6981)=7,1,0))))))</f>
        <v>2</v>
      </c>
      <c r="G6981" s="369">
        <f>VLOOKUP(C6981,METADATA!$J$5:$Q$29,IF(E6981="HI",2,IF(E6981="LO",6,10))+IF(D6981=1,2,IF(D6981=7,1,(IF(WEEKDAY(B6981)=1,2,IF(WEEKDAY(B6981)=7,1,0))))))</f>
        <v>2</v>
      </c>
      <c r="H6981" s="370">
        <v>13775.775085449219</v>
      </c>
      <c r="I6981" s="370">
        <v>4601.1299438476563</v>
      </c>
      <c r="M6981" s="371">
        <f t="shared" si="437"/>
        <v>14523.855409809579</v>
      </c>
      <c r="N6981" s="329">
        <f t="shared" si="438"/>
        <v>468.39741821289044</v>
      </c>
      <c r="T6981" s="331">
        <v>0</v>
      </c>
      <c r="U6981" s="328">
        <f>VLOOKUP(C6981,METADATA!$J$5:$Q$29,IF(E6981="HI",2,IF(E6981="LO",6,10))+IF(T6981=1,2,IF(D6981=7,1,(IF(WEEKDAY(B6981)=1,2,IF(WEEKDAY(B6981)=7,1,0))))))</f>
        <v>2</v>
      </c>
      <c r="V6981" s="328">
        <f>VLOOKUP(C6981,METADATA!$A$5:$H$29,IF(E6981="HI",2,IF(E6981="LO",6,10))+IF(T6981=1,2,IF(D6981=7,1,(IF(WEEKDAY(B6981)=1,2,IF(WEEKDAY(B6981)=7,1,0))))))</f>
        <v>2</v>
      </c>
    </row>
    <row r="6982" spans="2:22">
      <c r="B6982" s="318">
        <f t="shared" si="435"/>
        <v>46403</v>
      </c>
      <c r="C6982" s="312">
        <v>18</v>
      </c>
      <c r="D6982" s="368">
        <f>IFERROR((INDEX(METADATA!$T$2:$T$20,MATCH(B6982,METADATA!$S$2:$S$20,0))),0)</f>
        <v>0</v>
      </c>
      <c r="E6982" s="312" t="str">
        <f t="shared" si="436"/>
        <v>HI</v>
      </c>
      <c r="F6982" s="369">
        <f>VLOOKUP(C6982,METADATA!$A$5:$H$29,IF(E6982="HI",2,IF(E6982="LO",6,10))+IF(D6982=1,2,IF(D6982=7,1,(IF(WEEKDAY(B6982)=1,2,IF(WEEKDAY(B6982)=7,1,0))))))</f>
        <v>2</v>
      </c>
      <c r="G6982" s="369">
        <f>VLOOKUP(C6982,METADATA!$J$5:$Q$29,IF(E6982="HI",2,IF(E6982="LO",6,10))+IF(D6982=1,2,IF(D6982=7,1,(IF(WEEKDAY(B6982)=1,2,IF(WEEKDAY(B6982)=7,1,0))))))</f>
        <v>2</v>
      </c>
      <c r="H6982" s="370">
        <v>13694.574829101563</v>
      </c>
      <c r="I6982" s="370">
        <v>4458.5049438476563</v>
      </c>
      <c r="M6982" s="371">
        <f t="shared" si="437"/>
        <v>14402.070895679415</v>
      </c>
      <c r="N6982" s="329">
        <f t="shared" si="438"/>
        <v>350.13249511718732</v>
      </c>
      <c r="T6982" s="331">
        <v>0</v>
      </c>
      <c r="U6982" s="328">
        <f>VLOOKUP(C6982,METADATA!$J$5:$Q$29,IF(E6982="HI",2,IF(E6982="LO",6,10))+IF(T6982=1,2,IF(D6982=7,1,(IF(WEEKDAY(B6982)=1,2,IF(WEEKDAY(B6982)=7,1,0))))))</f>
        <v>2</v>
      </c>
      <c r="V6982" s="328">
        <f>VLOOKUP(C6982,METADATA!$A$5:$H$29,IF(E6982="HI",2,IF(E6982="LO",6,10))+IF(T6982=1,2,IF(D6982=7,1,(IF(WEEKDAY(B6982)=1,2,IF(WEEKDAY(B6982)=7,1,0))))))</f>
        <v>2</v>
      </c>
    </row>
    <row r="6983" spans="2:22">
      <c r="B6983" s="318">
        <f t="shared" si="435"/>
        <v>46403</v>
      </c>
      <c r="C6983" s="312">
        <v>19</v>
      </c>
      <c r="D6983" s="368">
        <f>IFERROR((INDEX(METADATA!$T$2:$T$20,MATCH(B6983,METADATA!$S$2:$S$20,0))),0)</f>
        <v>0</v>
      </c>
      <c r="E6983" s="312" t="str">
        <f t="shared" si="436"/>
        <v>HI</v>
      </c>
      <c r="F6983" s="369">
        <f>VLOOKUP(C6983,METADATA!$A$5:$H$29,IF(E6983="HI",2,IF(E6983="LO",6,10))+IF(D6983=1,2,IF(D6983=7,1,(IF(WEEKDAY(B6983)=1,2,IF(WEEKDAY(B6983)=7,1,0))))))</f>
        <v>3</v>
      </c>
      <c r="G6983" s="369">
        <f>VLOOKUP(C6983,METADATA!$J$5:$Q$29,IF(E6983="HI",2,IF(E6983="LO",6,10))+IF(D6983=1,2,IF(D6983=7,1,(IF(WEEKDAY(B6983)=1,2,IF(WEEKDAY(B6983)=7,1,0))))))</f>
        <v>3</v>
      </c>
      <c r="H6983" s="370">
        <v>13853.599792480469</v>
      </c>
      <c r="I6983" s="370">
        <v>4476.469970703125</v>
      </c>
      <c r="M6983" s="371">
        <f t="shared" si="437"/>
        <v>14558.880815805236</v>
      </c>
      <c r="N6983" s="329">
        <f t="shared" si="438"/>
        <v>320.39003295898419</v>
      </c>
      <c r="T6983" s="331">
        <v>0</v>
      </c>
      <c r="U6983" s="328">
        <f>VLOOKUP(C6983,METADATA!$J$5:$Q$29,IF(E6983="HI",2,IF(E6983="LO",6,10))+IF(T6983=1,2,IF(D6983=7,1,(IF(WEEKDAY(B6983)=1,2,IF(WEEKDAY(B6983)=7,1,0))))))</f>
        <v>3</v>
      </c>
      <c r="V6983" s="328">
        <f>VLOOKUP(C6983,METADATA!$A$5:$H$29,IF(E6983="HI",2,IF(E6983="LO",6,10))+IF(T6983=1,2,IF(D6983=7,1,(IF(WEEKDAY(B6983)=1,2,IF(WEEKDAY(B6983)=7,1,0))))))</f>
        <v>3</v>
      </c>
    </row>
    <row r="6984" spans="2:22">
      <c r="B6984" s="318">
        <f t="shared" si="435"/>
        <v>46403</v>
      </c>
      <c r="C6984" s="312">
        <v>20</v>
      </c>
      <c r="D6984" s="368">
        <f>IFERROR((INDEX(METADATA!$T$2:$T$20,MATCH(B6984,METADATA!$S$2:$S$20,0))),0)</f>
        <v>0</v>
      </c>
      <c r="E6984" s="312" t="str">
        <f t="shared" si="436"/>
        <v>HI</v>
      </c>
      <c r="F6984" s="369">
        <f>VLOOKUP(C6984,METADATA!$A$5:$H$29,IF(E6984="HI",2,IF(E6984="LO",6,10))+IF(D6984=1,2,IF(D6984=7,1,(IF(WEEKDAY(B6984)=1,2,IF(WEEKDAY(B6984)=7,1,0))))))</f>
        <v>3</v>
      </c>
      <c r="G6984" s="369">
        <f>VLOOKUP(C6984,METADATA!$J$5:$Q$29,IF(E6984="HI",2,IF(E6984="LO",6,10))+IF(D6984=1,2,IF(D6984=7,1,(IF(WEEKDAY(B6984)=1,2,IF(WEEKDAY(B6984)=7,1,0))))))</f>
        <v>3</v>
      </c>
      <c r="H6984" s="370">
        <v>13865.024780273438</v>
      </c>
      <c r="I6984" s="370">
        <v>4363.3899536132813</v>
      </c>
      <c r="M6984" s="371">
        <f t="shared" si="437"/>
        <v>14535.407942155933</v>
      </c>
      <c r="N6984" s="329">
        <f t="shared" si="438"/>
        <v>203.88251953125018</v>
      </c>
      <c r="T6984" s="331">
        <v>0</v>
      </c>
      <c r="U6984" s="328">
        <f>VLOOKUP(C6984,METADATA!$J$5:$Q$29,IF(E6984="HI",2,IF(E6984="LO",6,10))+IF(T6984=1,2,IF(D6984=7,1,(IF(WEEKDAY(B6984)=1,2,IF(WEEKDAY(B6984)=7,1,0))))))</f>
        <v>3</v>
      </c>
      <c r="V6984" s="328">
        <f>VLOOKUP(C6984,METADATA!$A$5:$H$29,IF(E6984="HI",2,IF(E6984="LO",6,10))+IF(T6984=1,2,IF(D6984=7,1,(IF(WEEKDAY(B6984)=1,2,IF(WEEKDAY(B6984)=7,1,0))))))</f>
        <v>3</v>
      </c>
    </row>
    <row r="6985" spans="2:22">
      <c r="B6985" s="318">
        <f t="shared" si="435"/>
        <v>46403</v>
      </c>
      <c r="C6985" s="312">
        <v>21</v>
      </c>
      <c r="D6985" s="368">
        <f>IFERROR((INDEX(METADATA!$T$2:$T$20,MATCH(B6985,METADATA!$S$2:$S$20,0))),0)</f>
        <v>0</v>
      </c>
      <c r="E6985" s="312" t="str">
        <f t="shared" si="436"/>
        <v>HI</v>
      </c>
      <c r="F6985" s="369">
        <f>VLOOKUP(C6985,METADATA!$A$5:$H$29,IF(E6985="HI",2,IF(E6985="LO",6,10))+IF(D6985=1,2,IF(D6985=7,1,(IF(WEEKDAY(B6985)=1,2,IF(WEEKDAY(B6985)=7,1,0))))))</f>
        <v>3</v>
      </c>
      <c r="G6985" s="369">
        <f>VLOOKUP(C6985,METADATA!$J$5:$Q$29,IF(E6985="HI",2,IF(E6985="LO",6,10))+IF(D6985=1,2,IF(D6985=7,1,(IF(WEEKDAY(B6985)=1,2,IF(WEEKDAY(B6985)=7,1,0))))))</f>
        <v>3</v>
      </c>
      <c r="H6985" s="370">
        <v>13959.400268554688</v>
      </c>
      <c r="I6985" s="370">
        <v>4366.6199340820313</v>
      </c>
      <c r="M6985" s="371">
        <f t="shared" si="437"/>
        <v>14626.422170389013</v>
      </c>
      <c r="N6985" s="329">
        <f t="shared" si="438"/>
        <v>178.79985351562482</v>
      </c>
      <c r="T6985" s="331">
        <v>0</v>
      </c>
      <c r="U6985" s="328">
        <f>VLOOKUP(C6985,METADATA!$J$5:$Q$29,IF(E6985="HI",2,IF(E6985="LO",6,10))+IF(T6985=1,2,IF(D6985=7,1,(IF(WEEKDAY(B6985)=1,2,IF(WEEKDAY(B6985)=7,1,0))))))</f>
        <v>3</v>
      </c>
      <c r="V6985" s="328">
        <f>VLOOKUP(C6985,METADATA!$A$5:$H$29,IF(E6985="HI",2,IF(E6985="LO",6,10))+IF(T6985=1,2,IF(D6985=7,1,(IF(WEEKDAY(B6985)=1,2,IF(WEEKDAY(B6985)=7,1,0))))))</f>
        <v>3</v>
      </c>
    </row>
    <row r="6986" spans="2:22">
      <c r="B6986" s="318">
        <f t="shared" si="435"/>
        <v>46403</v>
      </c>
      <c r="C6986" s="312">
        <v>22</v>
      </c>
      <c r="D6986" s="368">
        <f>IFERROR((INDEX(METADATA!$T$2:$T$20,MATCH(B6986,METADATA!$S$2:$S$20,0))),0)</f>
        <v>0</v>
      </c>
      <c r="E6986" s="312" t="str">
        <f t="shared" si="436"/>
        <v>HI</v>
      </c>
      <c r="F6986" s="369">
        <f>VLOOKUP(C6986,METADATA!$A$5:$H$29,IF(E6986="HI",2,IF(E6986="LO",6,10))+IF(D6986=1,2,IF(D6986=7,1,(IF(WEEKDAY(B6986)=1,2,IF(WEEKDAY(B6986)=7,1,0))))))</f>
        <v>3</v>
      </c>
      <c r="G6986" s="369">
        <f>VLOOKUP(C6986,METADATA!$J$5:$Q$29,IF(E6986="HI",2,IF(E6986="LO",6,10))+IF(D6986=1,2,IF(D6986=7,1,(IF(WEEKDAY(B6986)=1,2,IF(WEEKDAY(B6986)=7,1,0))))))</f>
        <v>3</v>
      </c>
      <c r="H6986" s="370">
        <v>14029.39990234375</v>
      </c>
      <c r="I6986" s="370">
        <v>4663.3350219726563</v>
      </c>
      <c r="M6986" s="371">
        <f t="shared" si="437"/>
        <v>14784.13863392249</v>
      </c>
      <c r="N6986" s="329">
        <f t="shared" si="438"/>
        <v>454.5150512695318</v>
      </c>
      <c r="T6986" s="331">
        <v>0</v>
      </c>
      <c r="U6986" s="328">
        <f>VLOOKUP(C6986,METADATA!$J$5:$Q$29,IF(E6986="HI",2,IF(E6986="LO",6,10))+IF(T6986=1,2,IF(D6986=7,1,(IF(WEEKDAY(B6986)=1,2,IF(WEEKDAY(B6986)=7,1,0))))))</f>
        <v>3</v>
      </c>
      <c r="V6986" s="328">
        <f>VLOOKUP(C6986,METADATA!$A$5:$H$29,IF(E6986="HI",2,IF(E6986="LO",6,10))+IF(T6986=1,2,IF(D6986=7,1,(IF(WEEKDAY(B6986)=1,2,IF(WEEKDAY(B6986)=7,1,0))))))</f>
        <v>3</v>
      </c>
    </row>
    <row r="6987" spans="2:22">
      <c r="B6987" s="318">
        <f t="shared" si="435"/>
        <v>46403</v>
      </c>
      <c r="C6987" s="312">
        <v>23</v>
      </c>
      <c r="D6987" s="368">
        <f>IFERROR((INDEX(METADATA!$T$2:$T$20,MATCH(B6987,METADATA!$S$2:$S$20,0))),0)</f>
        <v>0</v>
      </c>
      <c r="E6987" s="312" t="str">
        <f t="shared" si="436"/>
        <v>HI</v>
      </c>
      <c r="F6987" s="369">
        <f>VLOOKUP(C6987,METADATA!$A$5:$H$29,IF(E6987="HI",2,IF(E6987="LO",6,10))+IF(D6987=1,2,IF(D6987=7,1,(IF(WEEKDAY(B6987)=1,2,IF(WEEKDAY(B6987)=7,1,0))))))</f>
        <v>3</v>
      </c>
      <c r="G6987" s="369">
        <f>VLOOKUP(C6987,METADATA!$J$5:$Q$29,IF(E6987="HI",2,IF(E6987="LO",6,10))+IF(D6987=1,2,IF(D6987=7,1,(IF(WEEKDAY(B6987)=1,2,IF(WEEKDAY(B6987)=7,1,0))))))</f>
        <v>3</v>
      </c>
      <c r="H6987" s="370">
        <v>13698.949829101563</v>
      </c>
      <c r="I6987" s="370">
        <v>4421.844970703125</v>
      </c>
      <c r="M6987" s="371">
        <f t="shared" si="437"/>
        <v>14394.927556787989</v>
      </c>
      <c r="N6987" s="329">
        <f t="shared" si="438"/>
        <v>312.16002197265607</v>
      </c>
      <c r="T6987" s="331">
        <v>0</v>
      </c>
      <c r="U6987" s="328">
        <f>VLOOKUP(C6987,METADATA!$J$5:$Q$29,IF(E6987="HI",2,IF(E6987="LO",6,10))+IF(T6987=1,2,IF(D6987=7,1,(IF(WEEKDAY(B6987)=1,2,IF(WEEKDAY(B6987)=7,1,0))))))</f>
        <v>3</v>
      </c>
      <c r="V6987" s="328">
        <f>VLOOKUP(C6987,METADATA!$A$5:$H$29,IF(E6987="HI",2,IF(E6987="LO",6,10))+IF(T6987=1,2,IF(D6987=7,1,(IF(WEEKDAY(B6987)=1,2,IF(WEEKDAY(B6987)=7,1,0))))))</f>
        <v>3</v>
      </c>
    </row>
    <row r="6988" spans="2:22">
      <c r="B6988" s="318">
        <f t="shared" si="435"/>
        <v>46404</v>
      </c>
      <c r="C6988" s="312">
        <v>0</v>
      </c>
      <c r="D6988" s="368">
        <f>IFERROR((INDEX(METADATA!$T$2:$T$20,MATCH(B6988,METADATA!$S$2:$S$20,0))),0)</f>
        <v>0</v>
      </c>
      <c r="E6988" s="312" t="str">
        <f t="shared" si="436"/>
        <v>HI</v>
      </c>
      <c r="F6988" s="369">
        <f>VLOOKUP(C6988,METADATA!$A$5:$H$29,IF(E6988="HI",2,IF(E6988="LO",6,10))+IF(D6988=1,2,IF(D6988=7,1,(IF(WEEKDAY(B6988)=1,2,IF(WEEKDAY(B6988)=7,1,0))))))</f>
        <v>3</v>
      </c>
      <c r="G6988" s="369">
        <f>VLOOKUP(C6988,METADATA!$J$5:$Q$29,IF(E6988="HI",2,IF(E6988="LO",6,10))+IF(D6988=1,2,IF(D6988=7,1,(IF(WEEKDAY(B6988)=1,2,IF(WEEKDAY(B6988)=7,1,0))))))</f>
        <v>3</v>
      </c>
      <c r="H6988" s="370">
        <v>13903.700317382813</v>
      </c>
      <c r="I6988" s="370">
        <v>4584.8999633789063</v>
      </c>
      <c r="M6988" s="371">
        <f t="shared" si="437"/>
        <v>14640.156767937384</v>
      </c>
      <c r="N6988" s="329">
        <f t="shared" si="438"/>
        <v>413.78986816406268</v>
      </c>
      <c r="T6988" s="331">
        <v>0</v>
      </c>
      <c r="U6988" s="328">
        <f>VLOOKUP(C6988,METADATA!$J$5:$Q$29,IF(E6988="HI",2,IF(E6988="LO",6,10))+IF(T6988=1,2,IF(D6988=7,1,(IF(WEEKDAY(B6988)=1,2,IF(WEEKDAY(B6988)=7,1,0))))))</f>
        <v>3</v>
      </c>
      <c r="V6988" s="328">
        <f>VLOOKUP(C6988,METADATA!$A$5:$H$29,IF(E6988="HI",2,IF(E6988="LO",6,10))+IF(T6988=1,2,IF(D6988=7,1,(IF(WEEKDAY(B6988)=1,2,IF(WEEKDAY(B6988)=7,1,0))))))</f>
        <v>3</v>
      </c>
    </row>
    <row r="6989" spans="2:22">
      <c r="B6989" s="318">
        <f t="shared" si="435"/>
        <v>46404</v>
      </c>
      <c r="C6989" s="312">
        <v>1</v>
      </c>
      <c r="D6989" s="368">
        <f>IFERROR((INDEX(METADATA!$T$2:$T$20,MATCH(B6989,METADATA!$S$2:$S$20,0))),0)</f>
        <v>0</v>
      </c>
      <c r="E6989" s="312" t="str">
        <f t="shared" si="436"/>
        <v>HI</v>
      </c>
      <c r="F6989" s="369">
        <f>VLOOKUP(C6989,METADATA!$A$5:$H$29,IF(E6989="HI",2,IF(E6989="LO",6,10))+IF(D6989=1,2,IF(D6989=7,1,(IF(WEEKDAY(B6989)=1,2,IF(WEEKDAY(B6989)=7,1,0))))))</f>
        <v>3</v>
      </c>
      <c r="G6989" s="369">
        <f>VLOOKUP(C6989,METADATA!$J$5:$Q$29,IF(E6989="HI",2,IF(E6989="LO",6,10))+IF(D6989=1,2,IF(D6989=7,1,(IF(WEEKDAY(B6989)=1,2,IF(WEEKDAY(B6989)=7,1,0))))))</f>
        <v>3</v>
      </c>
      <c r="H6989" s="370">
        <v>13932.018310546875</v>
      </c>
      <c r="I6989" s="370">
        <v>4728.5139465332031</v>
      </c>
      <c r="M6989" s="371">
        <f t="shared" si="437"/>
        <v>14712.578915607297</v>
      </c>
      <c r="N6989" s="329">
        <f t="shared" si="438"/>
        <v>548.90845336914117</v>
      </c>
      <c r="T6989" s="331">
        <v>0</v>
      </c>
      <c r="U6989" s="328">
        <f>VLOOKUP(C6989,METADATA!$J$5:$Q$29,IF(E6989="HI",2,IF(E6989="LO",6,10))+IF(T6989=1,2,IF(D6989=7,1,(IF(WEEKDAY(B6989)=1,2,IF(WEEKDAY(B6989)=7,1,0))))))</f>
        <v>3</v>
      </c>
      <c r="V6989" s="328">
        <f>VLOOKUP(C6989,METADATA!$A$5:$H$29,IF(E6989="HI",2,IF(E6989="LO",6,10))+IF(T6989=1,2,IF(D6989=7,1,(IF(WEEKDAY(B6989)=1,2,IF(WEEKDAY(B6989)=7,1,0))))))</f>
        <v>3</v>
      </c>
    </row>
    <row r="6990" spans="2:22">
      <c r="B6990" s="318">
        <f t="shared" si="435"/>
        <v>46404</v>
      </c>
      <c r="C6990" s="312">
        <v>2</v>
      </c>
      <c r="D6990" s="368">
        <f>IFERROR((INDEX(METADATA!$T$2:$T$20,MATCH(B6990,METADATA!$S$2:$S$20,0))),0)</f>
        <v>0</v>
      </c>
      <c r="E6990" s="312" t="str">
        <f t="shared" si="436"/>
        <v>HI</v>
      </c>
      <c r="F6990" s="369">
        <f>VLOOKUP(C6990,METADATA!$A$5:$H$29,IF(E6990="HI",2,IF(E6990="LO",6,10))+IF(D6990=1,2,IF(D6990=7,1,(IF(WEEKDAY(B6990)=1,2,IF(WEEKDAY(B6990)=7,1,0))))))</f>
        <v>3</v>
      </c>
      <c r="G6990" s="369">
        <f>VLOOKUP(C6990,METADATA!$J$5:$Q$29,IF(E6990="HI",2,IF(E6990="LO",6,10))+IF(D6990=1,2,IF(D6990=7,1,(IF(WEEKDAY(B6990)=1,2,IF(WEEKDAY(B6990)=7,1,0))))))</f>
        <v>3</v>
      </c>
      <c r="H6990" s="370">
        <v>13749.648986816406</v>
      </c>
      <c r="I6990" s="370">
        <v>4773.9920654296875</v>
      </c>
      <c r="M6990" s="371">
        <f t="shared" si="437"/>
        <v>14554.856491956458</v>
      </c>
      <c r="N6990" s="329">
        <f t="shared" si="438"/>
        <v>649.09736938476544</v>
      </c>
      <c r="T6990" s="331">
        <v>0</v>
      </c>
      <c r="U6990" s="328">
        <f>VLOOKUP(C6990,METADATA!$J$5:$Q$29,IF(E6990="HI",2,IF(E6990="LO",6,10))+IF(T6990=1,2,IF(D6990=7,1,(IF(WEEKDAY(B6990)=1,2,IF(WEEKDAY(B6990)=7,1,0))))))</f>
        <v>3</v>
      </c>
      <c r="V6990" s="328">
        <f>VLOOKUP(C6990,METADATA!$A$5:$H$29,IF(E6990="HI",2,IF(E6990="LO",6,10))+IF(T6990=1,2,IF(D6990=7,1,(IF(WEEKDAY(B6990)=1,2,IF(WEEKDAY(B6990)=7,1,0))))))</f>
        <v>3</v>
      </c>
    </row>
    <row r="6991" spans="2:22">
      <c r="B6991" s="318">
        <f t="shared" si="435"/>
        <v>46404</v>
      </c>
      <c r="C6991" s="312">
        <v>3</v>
      </c>
      <c r="D6991" s="368">
        <f>IFERROR((INDEX(METADATA!$T$2:$T$20,MATCH(B6991,METADATA!$S$2:$S$20,0))),0)</f>
        <v>0</v>
      </c>
      <c r="E6991" s="312" t="str">
        <f t="shared" si="436"/>
        <v>HI</v>
      </c>
      <c r="F6991" s="369">
        <f>VLOOKUP(C6991,METADATA!$A$5:$H$29,IF(E6991="HI",2,IF(E6991="LO",6,10))+IF(D6991=1,2,IF(D6991=7,1,(IF(WEEKDAY(B6991)=1,2,IF(WEEKDAY(B6991)=7,1,0))))))</f>
        <v>3</v>
      </c>
      <c r="G6991" s="369">
        <f>VLOOKUP(C6991,METADATA!$J$5:$Q$29,IF(E6991="HI",2,IF(E6991="LO",6,10))+IF(D6991=1,2,IF(D6991=7,1,(IF(WEEKDAY(B6991)=1,2,IF(WEEKDAY(B6991)=7,1,0))))))</f>
        <v>3</v>
      </c>
      <c r="H6991" s="370">
        <v>13715.675170898438</v>
      </c>
      <c r="I6991" s="370">
        <v>4654.5550231933594</v>
      </c>
      <c r="M6991" s="371">
        <f t="shared" si="437"/>
        <v>14483.943795028148</v>
      </c>
      <c r="N6991" s="329">
        <f t="shared" si="438"/>
        <v>539.85247192382849</v>
      </c>
      <c r="T6991" s="331">
        <v>0</v>
      </c>
      <c r="U6991" s="328">
        <f>VLOOKUP(C6991,METADATA!$J$5:$Q$29,IF(E6991="HI",2,IF(E6991="LO",6,10))+IF(T6991=1,2,IF(D6991=7,1,(IF(WEEKDAY(B6991)=1,2,IF(WEEKDAY(B6991)=7,1,0))))))</f>
        <v>3</v>
      </c>
      <c r="V6991" s="328">
        <f>VLOOKUP(C6991,METADATA!$A$5:$H$29,IF(E6991="HI",2,IF(E6991="LO",6,10))+IF(T6991=1,2,IF(D6991=7,1,(IF(WEEKDAY(B6991)=1,2,IF(WEEKDAY(B6991)=7,1,0))))))</f>
        <v>3</v>
      </c>
    </row>
    <row r="6992" spans="2:22">
      <c r="B6992" s="318">
        <f t="shared" si="435"/>
        <v>46404</v>
      </c>
      <c r="C6992" s="312">
        <v>4</v>
      </c>
      <c r="D6992" s="368">
        <f>IFERROR((INDEX(METADATA!$T$2:$T$20,MATCH(B6992,METADATA!$S$2:$S$20,0))),0)</f>
        <v>0</v>
      </c>
      <c r="E6992" s="312" t="str">
        <f t="shared" si="436"/>
        <v>HI</v>
      </c>
      <c r="F6992" s="369">
        <f>VLOOKUP(C6992,METADATA!$A$5:$H$29,IF(E6992="HI",2,IF(E6992="LO",6,10))+IF(D6992=1,2,IF(D6992=7,1,(IF(WEEKDAY(B6992)=1,2,IF(WEEKDAY(B6992)=7,1,0))))))</f>
        <v>3</v>
      </c>
      <c r="G6992" s="369">
        <f>VLOOKUP(C6992,METADATA!$J$5:$Q$29,IF(E6992="HI",2,IF(E6992="LO",6,10))+IF(D6992=1,2,IF(D6992=7,1,(IF(WEEKDAY(B6992)=1,2,IF(WEEKDAY(B6992)=7,1,0))))))</f>
        <v>3</v>
      </c>
      <c r="H6992" s="370">
        <v>13531.825317382813</v>
      </c>
      <c r="I6992" s="370">
        <v>4487.4850463867188</v>
      </c>
      <c r="M6992" s="371">
        <f t="shared" si="437"/>
        <v>14256.500919289658</v>
      </c>
      <c r="N6992" s="329">
        <f t="shared" si="438"/>
        <v>427.93745117187518</v>
      </c>
      <c r="T6992" s="331">
        <v>0</v>
      </c>
      <c r="U6992" s="328">
        <f>VLOOKUP(C6992,METADATA!$J$5:$Q$29,IF(E6992="HI",2,IF(E6992="LO",6,10))+IF(T6992=1,2,IF(D6992=7,1,(IF(WEEKDAY(B6992)=1,2,IF(WEEKDAY(B6992)=7,1,0))))))</f>
        <v>3</v>
      </c>
      <c r="V6992" s="328">
        <f>VLOOKUP(C6992,METADATA!$A$5:$H$29,IF(E6992="HI",2,IF(E6992="LO",6,10))+IF(T6992=1,2,IF(D6992=7,1,(IF(WEEKDAY(B6992)=1,2,IF(WEEKDAY(B6992)=7,1,0))))))</f>
        <v>3</v>
      </c>
    </row>
    <row r="6993" spans="2:22">
      <c r="B6993" s="318">
        <f t="shared" si="435"/>
        <v>46404</v>
      </c>
      <c r="C6993" s="312">
        <v>5</v>
      </c>
      <c r="D6993" s="368">
        <f>IFERROR((INDEX(METADATA!$T$2:$T$20,MATCH(B6993,METADATA!$S$2:$S$20,0))),0)</f>
        <v>0</v>
      </c>
      <c r="E6993" s="312" t="str">
        <f t="shared" si="436"/>
        <v>HI</v>
      </c>
      <c r="F6993" s="369">
        <f>VLOOKUP(C6993,METADATA!$A$5:$H$29,IF(E6993="HI",2,IF(E6993="LO",6,10))+IF(D6993=1,2,IF(D6993=7,1,(IF(WEEKDAY(B6993)=1,2,IF(WEEKDAY(B6993)=7,1,0))))))</f>
        <v>3</v>
      </c>
      <c r="G6993" s="369">
        <f>VLOOKUP(C6993,METADATA!$J$5:$Q$29,IF(E6993="HI",2,IF(E6993="LO",6,10))+IF(D6993=1,2,IF(D6993=7,1,(IF(WEEKDAY(B6993)=1,2,IF(WEEKDAY(B6993)=7,1,0))))))</f>
        <v>3</v>
      </c>
      <c r="H6993" s="370">
        <v>13742.849670410156</v>
      </c>
      <c r="I6993" s="370">
        <v>4491.6949768066406</v>
      </c>
      <c r="M6993" s="371">
        <f t="shared" si="437"/>
        <v>14458.258568311834</v>
      </c>
      <c r="N6993" s="329">
        <f t="shared" si="438"/>
        <v>368.84007568359357</v>
      </c>
      <c r="T6993" s="331">
        <v>0</v>
      </c>
      <c r="U6993" s="328">
        <f>VLOOKUP(C6993,METADATA!$J$5:$Q$29,IF(E6993="HI",2,IF(E6993="LO",6,10))+IF(T6993=1,2,IF(D6993=7,1,(IF(WEEKDAY(B6993)=1,2,IF(WEEKDAY(B6993)=7,1,0))))))</f>
        <v>3</v>
      </c>
      <c r="V6993" s="328">
        <f>VLOOKUP(C6993,METADATA!$A$5:$H$29,IF(E6993="HI",2,IF(E6993="LO",6,10))+IF(T6993=1,2,IF(D6993=7,1,(IF(WEEKDAY(B6993)=1,2,IF(WEEKDAY(B6993)=7,1,0))))))</f>
        <v>3</v>
      </c>
    </row>
    <row r="6994" spans="2:22">
      <c r="B6994" s="318">
        <f t="shared" si="435"/>
        <v>46404</v>
      </c>
      <c r="C6994" s="312">
        <v>6</v>
      </c>
      <c r="D6994" s="368">
        <f>IFERROR((INDEX(METADATA!$T$2:$T$20,MATCH(B6994,METADATA!$S$2:$S$20,0))),0)</f>
        <v>0</v>
      </c>
      <c r="E6994" s="312" t="str">
        <f t="shared" si="436"/>
        <v>HI</v>
      </c>
      <c r="F6994" s="369">
        <f>VLOOKUP(C6994,METADATA!$A$5:$H$29,IF(E6994="HI",2,IF(E6994="LO",6,10))+IF(D6994=1,2,IF(D6994=7,1,(IF(WEEKDAY(B6994)=1,2,IF(WEEKDAY(B6994)=7,1,0))))))</f>
        <v>3</v>
      </c>
      <c r="G6994" s="369">
        <f>VLOOKUP(C6994,METADATA!$J$5:$Q$29,IF(E6994="HI",2,IF(E6994="LO",6,10))+IF(D6994=1,2,IF(D6994=7,1,(IF(WEEKDAY(B6994)=1,2,IF(WEEKDAY(B6994)=7,1,0))))))</f>
        <v>3</v>
      </c>
      <c r="H6994" s="370">
        <v>13632.800415039063</v>
      </c>
      <c r="I6994" s="370">
        <v>4285.1199951171875</v>
      </c>
      <c r="M6994" s="371">
        <f t="shared" si="437"/>
        <v>14290.398893272446</v>
      </c>
      <c r="N6994" s="329">
        <f t="shared" si="438"/>
        <v>195.27987060546911</v>
      </c>
      <c r="T6994" s="331">
        <v>0</v>
      </c>
      <c r="U6994" s="328">
        <f>VLOOKUP(C6994,METADATA!$J$5:$Q$29,IF(E6994="HI",2,IF(E6994="LO",6,10))+IF(T6994=1,2,IF(D6994=7,1,(IF(WEEKDAY(B6994)=1,2,IF(WEEKDAY(B6994)=7,1,0))))))</f>
        <v>3</v>
      </c>
      <c r="V6994" s="328">
        <f>VLOOKUP(C6994,METADATA!$A$5:$H$29,IF(E6994="HI",2,IF(E6994="LO",6,10))+IF(T6994=1,2,IF(D6994=7,1,(IF(WEEKDAY(B6994)=1,2,IF(WEEKDAY(B6994)=7,1,0))))))</f>
        <v>3</v>
      </c>
    </row>
    <row r="6995" spans="2:22">
      <c r="B6995" s="318">
        <f t="shared" si="435"/>
        <v>46404</v>
      </c>
      <c r="C6995" s="312">
        <v>7</v>
      </c>
      <c r="D6995" s="368">
        <f>IFERROR((INDEX(METADATA!$T$2:$T$20,MATCH(B6995,METADATA!$S$2:$S$20,0))),0)</f>
        <v>0</v>
      </c>
      <c r="E6995" s="312" t="str">
        <f t="shared" si="436"/>
        <v>HI</v>
      </c>
      <c r="F6995" s="369">
        <f>VLOOKUP(C6995,METADATA!$A$5:$H$29,IF(E6995="HI",2,IF(E6995="LO",6,10))+IF(D6995=1,2,IF(D6995=7,1,(IF(WEEKDAY(B6995)=1,2,IF(WEEKDAY(B6995)=7,1,0))))))</f>
        <v>3</v>
      </c>
      <c r="G6995" s="369">
        <f>VLOOKUP(C6995,METADATA!$J$5:$Q$29,IF(E6995="HI",2,IF(E6995="LO",6,10))+IF(D6995=1,2,IF(D6995=7,1,(IF(WEEKDAY(B6995)=1,2,IF(WEEKDAY(B6995)=7,1,0))))))</f>
        <v>3</v>
      </c>
      <c r="H6995" s="370">
        <v>13521.300354003906</v>
      </c>
      <c r="I6995" s="370">
        <v>4330.6600646972656</v>
      </c>
      <c r="M6995" s="371">
        <f t="shared" si="437"/>
        <v>14197.893500767988</v>
      </c>
      <c r="N6995" s="329">
        <f t="shared" si="438"/>
        <v>274.26995849609375</v>
      </c>
      <c r="T6995" s="331">
        <v>0</v>
      </c>
      <c r="U6995" s="328">
        <f>VLOOKUP(C6995,METADATA!$J$5:$Q$29,IF(E6995="HI",2,IF(E6995="LO",6,10))+IF(T6995=1,2,IF(D6995=7,1,(IF(WEEKDAY(B6995)=1,2,IF(WEEKDAY(B6995)=7,1,0))))))</f>
        <v>3</v>
      </c>
      <c r="V6995" s="328">
        <f>VLOOKUP(C6995,METADATA!$A$5:$H$29,IF(E6995="HI",2,IF(E6995="LO",6,10))+IF(T6995=1,2,IF(D6995=7,1,(IF(WEEKDAY(B6995)=1,2,IF(WEEKDAY(B6995)=7,1,0))))))</f>
        <v>3</v>
      </c>
    </row>
    <row r="6996" spans="2:22">
      <c r="B6996" s="318">
        <f t="shared" si="435"/>
        <v>46404</v>
      </c>
      <c r="C6996" s="312">
        <v>8</v>
      </c>
      <c r="D6996" s="368">
        <f>IFERROR((INDEX(METADATA!$T$2:$T$20,MATCH(B6996,METADATA!$S$2:$S$20,0))),0)</f>
        <v>0</v>
      </c>
      <c r="E6996" s="312" t="str">
        <f t="shared" si="436"/>
        <v>HI</v>
      </c>
      <c r="F6996" s="369">
        <f>VLOOKUP(C6996,METADATA!$A$5:$H$29,IF(E6996="HI",2,IF(E6996="LO",6,10))+IF(D6996=1,2,IF(D6996=7,1,(IF(WEEKDAY(B6996)=1,2,IF(WEEKDAY(B6996)=7,1,0))))))</f>
        <v>3</v>
      </c>
      <c r="G6996" s="369">
        <f>VLOOKUP(C6996,METADATA!$J$5:$Q$29,IF(E6996="HI",2,IF(E6996="LO",6,10))+IF(D6996=1,2,IF(D6996=7,1,(IF(WEEKDAY(B6996)=1,2,IF(WEEKDAY(B6996)=7,1,0))))))</f>
        <v>3</v>
      </c>
      <c r="H6996" s="370">
        <v>13817.100219726563</v>
      </c>
      <c r="I6996" s="370">
        <v>4460.5550537109375</v>
      </c>
      <c r="M6996" s="371">
        <f t="shared" si="437"/>
        <v>14519.256519159442</v>
      </c>
      <c r="N6996" s="329">
        <f t="shared" si="438"/>
        <v>315.42498779296875</v>
      </c>
      <c r="T6996" s="331">
        <v>0</v>
      </c>
      <c r="U6996" s="328">
        <f>VLOOKUP(C6996,METADATA!$J$5:$Q$29,IF(E6996="HI",2,IF(E6996="LO",6,10))+IF(T6996=1,2,IF(D6996=7,1,(IF(WEEKDAY(B6996)=1,2,IF(WEEKDAY(B6996)=7,1,0))))))</f>
        <v>3</v>
      </c>
      <c r="V6996" s="328">
        <f>VLOOKUP(C6996,METADATA!$A$5:$H$29,IF(E6996="HI",2,IF(E6996="LO",6,10))+IF(T6996=1,2,IF(D6996=7,1,(IF(WEEKDAY(B6996)=1,2,IF(WEEKDAY(B6996)=7,1,0))))))</f>
        <v>3</v>
      </c>
    </row>
    <row r="6997" spans="2:22">
      <c r="B6997" s="318">
        <f t="shared" si="435"/>
        <v>46404</v>
      </c>
      <c r="C6997" s="312">
        <v>9</v>
      </c>
      <c r="D6997" s="368">
        <f>IFERROR((INDEX(METADATA!$T$2:$T$20,MATCH(B6997,METADATA!$S$2:$S$20,0))),0)</f>
        <v>0</v>
      </c>
      <c r="E6997" s="312" t="str">
        <f t="shared" si="436"/>
        <v>HI</v>
      </c>
      <c r="F6997" s="369">
        <f>VLOOKUP(C6997,METADATA!$A$5:$H$29,IF(E6997="HI",2,IF(E6997="LO",6,10))+IF(D6997=1,2,IF(D6997=7,1,(IF(WEEKDAY(B6997)=1,2,IF(WEEKDAY(B6997)=7,1,0))))))</f>
        <v>3</v>
      </c>
      <c r="G6997" s="369">
        <f>VLOOKUP(C6997,METADATA!$J$5:$Q$29,IF(E6997="HI",2,IF(E6997="LO",6,10))+IF(D6997=1,2,IF(D6997=7,1,(IF(WEEKDAY(B6997)=1,2,IF(WEEKDAY(B6997)=7,1,0))))))</f>
        <v>3</v>
      </c>
      <c r="H6997" s="370">
        <v>13688.950134277344</v>
      </c>
      <c r="I6997" s="370">
        <v>4366.6649780273438</v>
      </c>
      <c r="M6997" s="371">
        <f t="shared" si="437"/>
        <v>14368.546161983899</v>
      </c>
      <c r="N6997" s="329">
        <f t="shared" si="438"/>
        <v>259.97993774414044</v>
      </c>
      <c r="T6997" s="331">
        <v>0</v>
      </c>
      <c r="U6997" s="328">
        <f>VLOOKUP(C6997,METADATA!$J$5:$Q$29,IF(E6997="HI",2,IF(E6997="LO",6,10))+IF(T6997=1,2,IF(D6997=7,1,(IF(WEEKDAY(B6997)=1,2,IF(WEEKDAY(B6997)=7,1,0))))))</f>
        <v>3</v>
      </c>
      <c r="V6997" s="328">
        <f>VLOOKUP(C6997,METADATA!$A$5:$H$29,IF(E6997="HI",2,IF(E6997="LO",6,10))+IF(T6997=1,2,IF(D6997=7,1,(IF(WEEKDAY(B6997)=1,2,IF(WEEKDAY(B6997)=7,1,0))))))</f>
        <v>3</v>
      </c>
    </row>
    <row r="6998" spans="2:22">
      <c r="B6998" s="318">
        <f t="shared" si="435"/>
        <v>46404</v>
      </c>
      <c r="C6998" s="312">
        <v>10</v>
      </c>
      <c r="D6998" s="368">
        <f>IFERROR((INDEX(METADATA!$T$2:$T$20,MATCH(B6998,METADATA!$S$2:$S$20,0))),0)</f>
        <v>0</v>
      </c>
      <c r="E6998" s="312" t="str">
        <f t="shared" si="436"/>
        <v>HI</v>
      </c>
      <c r="F6998" s="369">
        <f>VLOOKUP(C6998,METADATA!$A$5:$H$29,IF(E6998="HI",2,IF(E6998="LO",6,10))+IF(D6998=1,2,IF(D6998=7,1,(IF(WEEKDAY(B6998)=1,2,IF(WEEKDAY(B6998)=7,1,0))))))</f>
        <v>3</v>
      </c>
      <c r="G6998" s="369">
        <f>VLOOKUP(C6998,METADATA!$J$5:$Q$29,IF(E6998="HI",2,IF(E6998="LO",6,10))+IF(D6998=1,2,IF(D6998=7,1,(IF(WEEKDAY(B6998)=1,2,IF(WEEKDAY(B6998)=7,1,0))))))</f>
        <v>3</v>
      </c>
      <c r="H6998" s="370">
        <v>13746.999877929688</v>
      </c>
      <c r="I6998" s="370">
        <v>4461.9799499511719</v>
      </c>
      <c r="M6998" s="371">
        <f t="shared" si="437"/>
        <v>14453.002135112452</v>
      </c>
      <c r="N6998" s="329">
        <f t="shared" si="438"/>
        <v>337.87998657226581</v>
      </c>
      <c r="T6998" s="331">
        <v>0</v>
      </c>
      <c r="U6998" s="328">
        <f>VLOOKUP(C6998,METADATA!$J$5:$Q$29,IF(E6998="HI",2,IF(E6998="LO",6,10))+IF(T6998=1,2,IF(D6998=7,1,(IF(WEEKDAY(B6998)=1,2,IF(WEEKDAY(B6998)=7,1,0))))))</f>
        <v>3</v>
      </c>
      <c r="V6998" s="328">
        <f>VLOOKUP(C6998,METADATA!$A$5:$H$29,IF(E6998="HI",2,IF(E6998="LO",6,10))+IF(T6998=1,2,IF(D6998=7,1,(IF(WEEKDAY(B6998)=1,2,IF(WEEKDAY(B6998)=7,1,0))))))</f>
        <v>3</v>
      </c>
    </row>
    <row r="6999" spans="2:22">
      <c r="B6999" s="318">
        <f t="shared" si="435"/>
        <v>46404</v>
      </c>
      <c r="C6999" s="312">
        <v>11</v>
      </c>
      <c r="D6999" s="368">
        <f>IFERROR((INDEX(METADATA!$T$2:$T$20,MATCH(B6999,METADATA!$S$2:$S$20,0))),0)</f>
        <v>0</v>
      </c>
      <c r="E6999" s="312" t="str">
        <f t="shared" si="436"/>
        <v>HI</v>
      </c>
      <c r="F6999" s="369">
        <f>VLOOKUP(C6999,METADATA!$A$5:$H$29,IF(E6999="HI",2,IF(E6999="LO",6,10))+IF(D6999=1,2,IF(D6999=7,1,(IF(WEEKDAY(B6999)=1,2,IF(WEEKDAY(B6999)=7,1,0))))))</f>
        <v>3</v>
      </c>
      <c r="G6999" s="369">
        <f>VLOOKUP(C6999,METADATA!$J$5:$Q$29,IF(E6999="HI",2,IF(E6999="LO",6,10))+IF(D6999=1,2,IF(D6999=7,1,(IF(WEEKDAY(B6999)=1,2,IF(WEEKDAY(B6999)=7,1,0))))))</f>
        <v>3</v>
      </c>
      <c r="H6999" s="370">
        <v>13675.099975585938</v>
      </c>
      <c r="I6999" s="370">
        <v>4368.2149963378906</v>
      </c>
      <c r="M6999" s="371">
        <f t="shared" si="437"/>
        <v>14355.823264323844</v>
      </c>
      <c r="N6999" s="329">
        <f t="shared" si="438"/>
        <v>265.68500366210992</v>
      </c>
      <c r="T6999" s="331">
        <v>0</v>
      </c>
      <c r="U6999" s="328">
        <f>VLOOKUP(C6999,METADATA!$J$5:$Q$29,IF(E6999="HI",2,IF(E6999="LO",6,10))+IF(T6999=1,2,IF(D6999=7,1,(IF(WEEKDAY(B6999)=1,2,IF(WEEKDAY(B6999)=7,1,0))))))</f>
        <v>3</v>
      </c>
      <c r="V6999" s="328">
        <f>VLOOKUP(C6999,METADATA!$A$5:$H$29,IF(E6999="HI",2,IF(E6999="LO",6,10))+IF(T6999=1,2,IF(D6999=7,1,(IF(WEEKDAY(B6999)=1,2,IF(WEEKDAY(B6999)=7,1,0))))))</f>
        <v>3</v>
      </c>
    </row>
    <row r="7000" spans="2:22">
      <c r="B7000" s="318">
        <f t="shared" si="435"/>
        <v>46404</v>
      </c>
      <c r="C7000" s="312">
        <v>12</v>
      </c>
      <c r="D7000" s="368">
        <f>IFERROR((INDEX(METADATA!$T$2:$T$20,MATCH(B7000,METADATA!$S$2:$S$20,0))),0)</f>
        <v>0</v>
      </c>
      <c r="E7000" s="312" t="str">
        <f t="shared" si="436"/>
        <v>HI</v>
      </c>
      <c r="F7000" s="369">
        <f>VLOOKUP(C7000,METADATA!$A$5:$H$29,IF(E7000="HI",2,IF(E7000="LO",6,10))+IF(D7000=1,2,IF(D7000=7,1,(IF(WEEKDAY(B7000)=1,2,IF(WEEKDAY(B7000)=7,1,0))))))</f>
        <v>3</v>
      </c>
      <c r="G7000" s="369">
        <f>VLOOKUP(C7000,METADATA!$J$5:$Q$29,IF(E7000="HI",2,IF(E7000="LO",6,10))+IF(D7000=1,2,IF(D7000=7,1,(IF(WEEKDAY(B7000)=1,2,IF(WEEKDAY(B7000)=7,1,0))))))</f>
        <v>3</v>
      </c>
      <c r="H7000" s="370">
        <v>13606.925048828125</v>
      </c>
      <c r="I7000" s="370">
        <v>4363.60009765625</v>
      </c>
      <c r="M7000" s="371">
        <f t="shared" si="437"/>
        <v>14289.486173291603</v>
      </c>
      <c r="N7000" s="329">
        <f t="shared" si="438"/>
        <v>281.5225830078125</v>
      </c>
      <c r="T7000" s="331">
        <v>0</v>
      </c>
      <c r="U7000" s="328">
        <f>VLOOKUP(C7000,METADATA!$J$5:$Q$29,IF(E7000="HI",2,IF(E7000="LO",6,10))+IF(T7000=1,2,IF(D7000=7,1,(IF(WEEKDAY(B7000)=1,2,IF(WEEKDAY(B7000)=7,1,0))))))</f>
        <v>3</v>
      </c>
      <c r="V7000" s="328">
        <f>VLOOKUP(C7000,METADATA!$A$5:$H$29,IF(E7000="HI",2,IF(E7000="LO",6,10))+IF(T7000=1,2,IF(D7000=7,1,(IF(WEEKDAY(B7000)=1,2,IF(WEEKDAY(B7000)=7,1,0))))))</f>
        <v>3</v>
      </c>
    </row>
    <row r="7001" spans="2:22">
      <c r="B7001" s="318">
        <f t="shared" si="435"/>
        <v>46404</v>
      </c>
      <c r="C7001" s="312">
        <v>13</v>
      </c>
      <c r="D7001" s="368">
        <f>IFERROR((INDEX(METADATA!$T$2:$T$20,MATCH(B7001,METADATA!$S$2:$S$20,0))),0)</f>
        <v>0</v>
      </c>
      <c r="E7001" s="312" t="str">
        <f t="shared" si="436"/>
        <v>HI</v>
      </c>
      <c r="F7001" s="369">
        <f>VLOOKUP(C7001,METADATA!$A$5:$H$29,IF(E7001="HI",2,IF(E7001="LO",6,10))+IF(D7001=1,2,IF(D7001=7,1,(IF(WEEKDAY(B7001)=1,2,IF(WEEKDAY(B7001)=7,1,0))))))</f>
        <v>3</v>
      </c>
      <c r="G7001" s="369">
        <f>VLOOKUP(C7001,METADATA!$J$5:$Q$29,IF(E7001="HI",2,IF(E7001="LO",6,10))+IF(D7001=1,2,IF(D7001=7,1,(IF(WEEKDAY(B7001)=1,2,IF(WEEKDAY(B7001)=7,1,0))))))</f>
        <v>3</v>
      </c>
      <c r="H7001" s="370">
        <v>13743.67529296875</v>
      </c>
      <c r="I7001" s="370">
        <v>4485.8050842285156</v>
      </c>
      <c r="M7001" s="371">
        <f t="shared" si="437"/>
        <v>14457.214732176113</v>
      </c>
      <c r="N7001" s="329">
        <f t="shared" si="438"/>
        <v>362.70249633789081</v>
      </c>
      <c r="T7001" s="331">
        <v>0</v>
      </c>
      <c r="U7001" s="328">
        <f>VLOOKUP(C7001,METADATA!$J$5:$Q$29,IF(E7001="HI",2,IF(E7001="LO",6,10))+IF(T7001=1,2,IF(D7001=7,1,(IF(WEEKDAY(B7001)=1,2,IF(WEEKDAY(B7001)=7,1,0))))))</f>
        <v>3</v>
      </c>
      <c r="V7001" s="328">
        <f>VLOOKUP(C7001,METADATA!$A$5:$H$29,IF(E7001="HI",2,IF(E7001="LO",6,10))+IF(T7001=1,2,IF(D7001=7,1,(IF(WEEKDAY(B7001)=1,2,IF(WEEKDAY(B7001)=7,1,0))))))</f>
        <v>3</v>
      </c>
    </row>
    <row r="7002" spans="2:22">
      <c r="B7002" s="318">
        <f t="shared" si="435"/>
        <v>46404</v>
      </c>
      <c r="C7002" s="312">
        <v>14</v>
      </c>
      <c r="D7002" s="368">
        <f>IFERROR((INDEX(METADATA!$T$2:$T$20,MATCH(B7002,METADATA!$S$2:$S$20,0))),0)</f>
        <v>0</v>
      </c>
      <c r="E7002" s="312" t="str">
        <f t="shared" si="436"/>
        <v>HI</v>
      </c>
      <c r="F7002" s="369">
        <f>VLOOKUP(C7002,METADATA!$A$5:$H$29,IF(E7002="HI",2,IF(E7002="LO",6,10))+IF(D7002=1,2,IF(D7002=7,1,(IF(WEEKDAY(B7002)=1,2,IF(WEEKDAY(B7002)=7,1,0))))))</f>
        <v>3</v>
      </c>
      <c r="G7002" s="369">
        <f>VLOOKUP(C7002,METADATA!$J$5:$Q$29,IF(E7002="HI",2,IF(E7002="LO",6,10))+IF(D7002=1,2,IF(D7002=7,1,(IF(WEEKDAY(B7002)=1,2,IF(WEEKDAY(B7002)=7,1,0))))))</f>
        <v>3</v>
      </c>
      <c r="H7002" s="370">
        <v>13916.599975585938</v>
      </c>
      <c r="I7002" s="370">
        <v>4613.0799865722656</v>
      </c>
      <c r="M7002" s="371">
        <f t="shared" si="437"/>
        <v>14661.2503506008</v>
      </c>
      <c r="N7002" s="329">
        <f t="shared" si="438"/>
        <v>438.09999389648419</v>
      </c>
      <c r="T7002" s="331">
        <v>0</v>
      </c>
      <c r="U7002" s="328">
        <f>VLOOKUP(C7002,METADATA!$J$5:$Q$29,IF(E7002="HI",2,IF(E7002="LO",6,10))+IF(T7002=1,2,IF(D7002=7,1,(IF(WEEKDAY(B7002)=1,2,IF(WEEKDAY(B7002)=7,1,0))))))</f>
        <v>3</v>
      </c>
      <c r="V7002" s="328">
        <f>VLOOKUP(C7002,METADATA!$A$5:$H$29,IF(E7002="HI",2,IF(E7002="LO",6,10))+IF(T7002=1,2,IF(D7002=7,1,(IF(WEEKDAY(B7002)=1,2,IF(WEEKDAY(B7002)=7,1,0))))))</f>
        <v>3</v>
      </c>
    </row>
    <row r="7003" spans="2:22">
      <c r="B7003" s="318">
        <f t="shared" si="435"/>
        <v>46404</v>
      </c>
      <c r="C7003" s="312">
        <v>15</v>
      </c>
      <c r="D7003" s="368">
        <f>IFERROR((INDEX(METADATA!$T$2:$T$20,MATCH(B7003,METADATA!$S$2:$S$20,0))),0)</f>
        <v>0</v>
      </c>
      <c r="E7003" s="312" t="str">
        <f t="shared" si="436"/>
        <v>HI</v>
      </c>
      <c r="F7003" s="369">
        <f>VLOOKUP(C7003,METADATA!$A$5:$H$29,IF(E7003="HI",2,IF(E7003="LO",6,10))+IF(D7003=1,2,IF(D7003=7,1,(IF(WEEKDAY(B7003)=1,2,IF(WEEKDAY(B7003)=7,1,0))))))</f>
        <v>3</v>
      </c>
      <c r="G7003" s="369">
        <f>VLOOKUP(C7003,METADATA!$J$5:$Q$29,IF(E7003="HI",2,IF(E7003="LO",6,10))+IF(D7003=1,2,IF(D7003=7,1,(IF(WEEKDAY(B7003)=1,2,IF(WEEKDAY(B7003)=7,1,0))))))</f>
        <v>3</v>
      </c>
      <c r="H7003" s="370">
        <v>13793.724792480469</v>
      </c>
      <c r="I7003" s="370">
        <v>4487.0850219726563</v>
      </c>
      <c r="M7003" s="371">
        <f t="shared" si="437"/>
        <v>14505.198228397352</v>
      </c>
      <c r="N7003" s="329">
        <f t="shared" si="438"/>
        <v>348.96758422851599</v>
      </c>
      <c r="T7003" s="331">
        <v>0</v>
      </c>
      <c r="U7003" s="328">
        <f>VLOOKUP(C7003,METADATA!$J$5:$Q$29,IF(E7003="HI",2,IF(E7003="LO",6,10))+IF(T7003=1,2,IF(D7003=7,1,(IF(WEEKDAY(B7003)=1,2,IF(WEEKDAY(B7003)=7,1,0))))))</f>
        <v>3</v>
      </c>
      <c r="V7003" s="328">
        <f>VLOOKUP(C7003,METADATA!$A$5:$H$29,IF(E7003="HI",2,IF(E7003="LO",6,10))+IF(T7003=1,2,IF(D7003=7,1,(IF(WEEKDAY(B7003)=1,2,IF(WEEKDAY(B7003)=7,1,0))))))</f>
        <v>3</v>
      </c>
    </row>
    <row r="7004" spans="2:22">
      <c r="B7004" s="318">
        <f t="shared" ref="B7004:B7067" si="439">B6980+1</f>
        <v>46404</v>
      </c>
      <c r="C7004" s="312">
        <v>16</v>
      </c>
      <c r="D7004" s="368">
        <f>IFERROR((INDEX(METADATA!$T$2:$T$20,MATCH(B7004,METADATA!$S$2:$S$20,0))),0)</f>
        <v>0</v>
      </c>
      <c r="E7004" s="312" t="str">
        <f t="shared" si="436"/>
        <v>HI</v>
      </c>
      <c r="F7004" s="369">
        <f>VLOOKUP(C7004,METADATA!$A$5:$H$29,IF(E7004="HI",2,IF(E7004="LO",6,10))+IF(D7004=1,2,IF(D7004=7,1,(IF(WEEKDAY(B7004)=1,2,IF(WEEKDAY(B7004)=7,1,0))))))</f>
        <v>3</v>
      </c>
      <c r="G7004" s="369">
        <f>VLOOKUP(C7004,METADATA!$J$5:$Q$29,IF(E7004="HI",2,IF(E7004="LO",6,10))+IF(D7004=1,2,IF(D7004=7,1,(IF(WEEKDAY(B7004)=1,2,IF(WEEKDAY(B7004)=7,1,0))))))</f>
        <v>3</v>
      </c>
      <c r="H7004" s="370">
        <v>13799.325317382813</v>
      </c>
      <c r="I7004" s="370">
        <v>4471.2000122070313</v>
      </c>
      <c r="M7004" s="371">
        <f t="shared" si="437"/>
        <v>14505.619902786726</v>
      </c>
      <c r="N7004" s="329">
        <f t="shared" si="438"/>
        <v>331.40241699218768</v>
      </c>
      <c r="T7004" s="331">
        <v>0</v>
      </c>
      <c r="U7004" s="328">
        <f>VLOOKUP(C7004,METADATA!$J$5:$Q$29,IF(E7004="HI",2,IF(E7004="LO",6,10))+IF(T7004=1,2,IF(D7004=7,1,(IF(WEEKDAY(B7004)=1,2,IF(WEEKDAY(B7004)=7,1,0))))))</f>
        <v>3</v>
      </c>
      <c r="V7004" s="328">
        <f>VLOOKUP(C7004,METADATA!$A$5:$H$29,IF(E7004="HI",2,IF(E7004="LO",6,10))+IF(T7004=1,2,IF(D7004=7,1,(IF(WEEKDAY(B7004)=1,2,IF(WEEKDAY(B7004)=7,1,0))))))</f>
        <v>3</v>
      </c>
    </row>
    <row r="7005" spans="2:22">
      <c r="B7005" s="318">
        <f t="shared" si="439"/>
        <v>46404</v>
      </c>
      <c r="C7005" s="312">
        <v>17</v>
      </c>
      <c r="D7005" s="368">
        <f>IFERROR((INDEX(METADATA!$T$2:$T$20,MATCH(B7005,METADATA!$S$2:$S$20,0))),0)</f>
        <v>0</v>
      </c>
      <c r="E7005" s="312" t="str">
        <f t="shared" si="436"/>
        <v>HI</v>
      </c>
      <c r="F7005" s="369">
        <f>VLOOKUP(C7005,METADATA!$A$5:$H$29,IF(E7005="HI",2,IF(E7005="LO",6,10))+IF(D7005=1,2,IF(D7005=7,1,(IF(WEEKDAY(B7005)=1,2,IF(WEEKDAY(B7005)=7,1,0))))))</f>
        <v>2</v>
      </c>
      <c r="G7005" s="369">
        <f>VLOOKUP(C7005,METADATA!$J$5:$Q$29,IF(E7005="HI",2,IF(E7005="LO",6,10))+IF(D7005=1,2,IF(D7005=7,1,(IF(WEEKDAY(B7005)=1,2,IF(WEEKDAY(B7005)=7,1,0))))))</f>
        <v>2</v>
      </c>
      <c r="H7005" s="370">
        <v>13938.32470703125</v>
      </c>
      <c r="I7005" s="370">
        <v>4686.4749755859375</v>
      </c>
      <c r="M7005" s="371">
        <f t="shared" si="437"/>
        <v>14705.099229023617</v>
      </c>
      <c r="N7005" s="329">
        <f t="shared" si="438"/>
        <v>504.97756347656286</v>
      </c>
      <c r="T7005" s="331">
        <v>0</v>
      </c>
      <c r="U7005" s="328">
        <f>VLOOKUP(C7005,METADATA!$J$5:$Q$29,IF(E7005="HI",2,IF(E7005="LO",6,10))+IF(T7005=1,2,IF(D7005=7,1,(IF(WEEKDAY(B7005)=1,2,IF(WEEKDAY(B7005)=7,1,0))))))</f>
        <v>2</v>
      </c>
      <c r="V7005" s="328">
        <f>VLOOKUP(C7005,METADATA!$A$5:$H$29,IF(E7005="HI",2,IF(E7005="LO",6,10))+IF(T7005=1,2,IF(D7005=7,1,(IF(WEEKDAY(B7005)=1,2,IF(WEEKDAY(B7005)=7,1,0))))))</f>
        <v>2</v>
      </c>
    </row>
    <row r="7006" spans="2:22">
      <c r="B7006" s="318">
        <f t="shared" si="439"/>
        <v>46404</v>
      </c>
      <c r="C7006" s="312">
        <v>18</v>
      </c>
      <c r="D7006" s="368">
        <f>IFERROR((INDEX(METADATA!$T$2:$T$20,MATCH(B7006,METADATA!$S$2:$S$20,0))),0)</f>
        <v>0</v>
      </c>
      <c r="E7006" s="312" t="str">
        <f t="shared" si="436"/>
        <v>HI</v>
      </c>
      <c r="F7006" s="369">
        <f>VLOOKUP(C7006,METADATA!$A$5:$H$29,IF(E7006="HI",2,IF(E7006="LO",6,10))+IF(D7006=1,2,IF(D7006=7,1,(IF(WEEKDAY(B7006)=1,2,IF(WEEKDAY(B7006)=7,1,0))))))</f>
        <v>2</v>
      </c>
      <c r="G7006" s="369">
        <f>VLOOKUP(C7006,METADATA!$J$5:$Q$29,IF(E7006="HI",2,IF(E7006="LO",6,10))+IF(D7006=1,2,IF(D7006=7,1,(IF(WEEKDAY(B7006)=1,2,IF(WEEKDAY(B7006)=7,1,0))))))</f>
        <v>2</v>
      </c>
      <c r="H7006" s="370">
        <v>13810.675231933594</v>
      </c>
      <c r="I7006" s="370">
        <v>4598.5799560546875</v>
      </c>
      <c r="M7006" s="371">
        <f t="shared" si="437"/>
        <v>14556.15635991081</v>
      </c>
      <c r="N7006" s="329">
        <f t="shared" si="438"/>
        <v>455.37738647460992</v>
      </c>
      <c r="T7006" s="331">
        <v>0</v>
      </c>
      <c r="U7006" s="328">
        <f>VLOOKUP(C7006,METADATA!$J$5:$Q$29,IF(E7006="HI",2,IF(E7006="LO",6,10))+IF(T7006=1,2,IF(D7006=7,1,(IF(WEEKDAY(B7006)=1,2,IF(WEEKDAY(B7006)=7,1,0))))))</f>
        <v>2</v>
      </c>
      <c r="V7006" s="328">
        <f>VLOOKUP(C7006,METADATA!$A$5:$H$29,IF(E7006="HI",2,IF(E7006="LO",6,10))+IF(T7006=1,2,IF(D7006=7,1,(IF(WEEKDAY(B7006)=1,2,IF(WEEKDAY(B7006)=7,1,0))))))</f>
        <v>2</v>
      </c>
    </row>
    <row r="7007" spans="2:22">
      <c r="B7007" s="318">
        <f t="shared" si="439"/>
        <v>46404</v>
      </c>
      <c r="C7007" s="312">
        <v>19</v>
      </c>
      <c r="D7007" s="368">
        <f>IFERROR((INDEX(METADATA!$T$2:$T$20,MATCH(B7007,METADATA!$S$2:$S$20,0))),0)</f>
        <v>0</v>
      </c>
      <c r="E7007" s="312" t="str">
        <f t="shared" si="436"/>
        <v>HI</v>
      </c>
      <c r="F7007" s="369">
        <f>VLOOKUP(C7007,METADATA!$A$5:$H$29,IF(E7007="HI",2,IF(E7007="LO",6,10))+IF(D7007=1,2,IF(D7007=7,1,(IF(WEEKDAY(B7007)=1,2,IF(WEEKDAY(B7007)=7,1,0))))))</f>
        <v>3</v>
      </c>
      <c r="G7007" s="369">
        <f>VLOOKUP(C7007,METADATA!$J$5:$Q$29,IF(E7007="HI",2,IF(E7007="LO",6,10))+IF(D7007=1,2,IF(D7007=7,1,(IF(WEEKDAY(B7007)=1,2,IF(WEEKDAY(B7007)=7,1,0))))))</f>
        <v>3</v>
      </c>
      <c r="H7007" s="370">
        <v>13865.624816894531</v>
      </c>
      <c r="I7007" s="370">
        <v>4507.2049865722656</v>
      </c>
      <c r="M7007" s="371">
        <f t="shared" si="437"/>
        <v>14579.795895480273</v>
      </c>
      <c r="N7007" s="329">
        <f t="shared" si="438"/>
        <v>347.51754150390661</v>
      </c>
      <c r="T7007" s="331">
        <v>0</v>
      </c>
      <c r="U7007" s="328">
        <f>VLOOKUP(C7007,METADATA!$J$5:$Q$29,IF(E7007="HI",2,IF(E7007="LO",6,10))+IF(T7007=1,2,IF(D7007=7,1,(IF(WEEKDAY(B7007)=1,2,IF(WEEKDAY(B7007)=7,1,0))))))</f>
        <v>3</v>
      </c>
      <c r="V7007" s="328">
        <f>VLOOKUP(C7007,METADATA!$A$5:$H$29,IF(E7007="HI",2,IF(E7007="LO",6,10))+IF(T7007=1,2,IF(D7007=7,1,(IF(WEEKDAY(B7007)=1,2,IF(WEEKDAY(B7007)=7,1,0))))))</f>
        <v>3</v>
      </c>
    </row>
    <row r="7008" spans="2:22">
      <c r="B7008" s="318">
        <f t="shared" si="439"/>
        <v>46404</v>
      </c>
      <c r="C7008" s="312">
        <v>20</v>
      </c>
      <c r="D7008" s="368">
        <f>IFERROR((INDEX(METADATA!$T$2:$T$20,MATCH(B7008,METADATA!$S$2:$S$20,0))),0)</f>
        <v>0</v>
      </c>
      <c r="E7008" s="312" t="str">
        <f t="shared" si="436"/>
        <v>HI</v>
      </c>
      <c r="F7008" s="369">
        <f>VLOOKUP(C7008,METADATA!$A$5:$H$29,IF(E7008="HI",2,IF(E7008="LO",6,10))+IF(D7008=1,2,IF(D7008=7,1,(IF(WEEKDAY(B7008)=1,2,IF(WEEKDAY(B7008)=7,1,0))))))</f>
        <v>3</v>
      </c>
      <c r="G7008" s="369">
        <f>VLOOKUP(C7008,METADATA!$J$5:$Q$29,IF(E7008="HI",2,IF(E7008="LO",6,10))+IF(D7008=1,2,IF(D7008=7,1,(IF(WEEKDAY(B7008)=1,2,IF(WEEKDAY(B7008)=7,1,0))))))</f>
        <v>3</v>
      </c>
      <c r="H7008" s="370">
        <v>13991.225341796875</v>
      </c>
      <c r="I7008" s="370">
        <v>4719.7750244140625</v>
      </c>
      <c r="M7008" s="371">
        <f t="shared" si="437"/>
        <v>14765.86139871365</v>
      </c>
      <c r="N7008" s="329">
        <f t="shared" si="438"/>
        <v>522.40742187500018</v>
      </c>
      <c r="T7008" s="331">
        <v>0</v>
      </c>
      <c r="U7008" s="328">
        <f>VLOOKUP(C7008,METADATA!$J$5:$Q$29,IF(E7008="HI",2,IF(E7008="LO",6,10))+IF(T7008=1,2,IF(D7008=7,1,(IF(WEEKDAY(B7008)=1,2,IF(WEEKDAY(B7008)=7,1,0))))))</f>
        <v>3</v>
      </c>
      <c r="V7008" s="328">
        <f>VLOOKUP(C7008,METADATA!$A$5:$H$29,IF(E7008="HI",2,IF(E7008="LO",6,10))+IF(T7008=1,2,IF(D7008=7,1,(IF(WEEKDAY(B7008)=1,2,IF(WEEKDAY(B7008)=7,1,0))))))</f>
        <v>3</v>
      </c>
    </row>
    <row r="7009" spans="2:22">
      <c r="B7009" s="318">
        <f t="shared" si="439"/>
        <v>46404</v>
      </c>
      <c r="C7009" s="312">
        <v>21</v>
      </c>
      <c r="D7009" s="368">
        <f>IFERROR((INDEX(METADATA!$T$2:$T$20,MATCH(B7009,METADATA!$S$2:$S$20,0))),0)</f>
        <v>0</v>
      </c>
      <c r="E7009" s="312" t="str">
        <f t="shared" si="436"/>
        <v>HI</v>
      </c>
      <c r="F7009" s="369">
        <f>VLOOKUP(C7009,METADATA!$A$5:$H$29,IF(E7009="HI",2,IF(E7009="LO",6,10))+IF(D7009=1,2,IF(D7009=7,1,(IF(WEEKDAY(B7009)=1,2,IF(WEEKDAY(B7009)=7,1,0))))))</f>
        <v>3</v>
      </c>
      <c r="G7009" s="369">
        <f>VLOOKUP(C7009,METADATA!$J$5:$Q$29,IF(E7009="HI",2,IF(E7009="LO",6,10))+IF(D7009=1,2,IF(D7009=7,1,(IF(WEEKDAY(B7009)=1,2,IF(WEEKDAY(B7009)=7,1,0))))))</f>
        <v>3</v>
      </c>
      <c r="H7009" s="370">
        <v>13976.649780273438</v>
      </c>
      <c r="I7009" s="370">
        <v>4820.9399719238281</v>
      </c>
      <c r="M7009" s="371">
        <f t="shared" si="437"/>
        <v>14784.728651325002</v>
      </c>
      <c r="N7009" s="329">
        <f t="shared" si="438"/>
        <v>627.94503784179688</v>
      </c>
      <c r="T7009" s="331">
        <v>0</v>
      </c>
      <c r="U7009" s="328">
        <f>VLOOKUP(C7009,METADATA!$J$5:$Q$29,IF(E7009="HI",2,IF(E7009="LO",6,10))+IF(T7009=1,2,IF(D7009=7,1,(IF(WEEKDAY(B7009)=1,2,IF(WEEKDAY(B7009)=7,1,0))))))</f>
        <v>3</v>
      </c>
      <c r="V7009" s="328">
        <f>VLOOKUP(C7009,METADATA!$A$5:$H$29,IF(E7009="HI",2,IF(E7009="LO",6,10))+IF(T7009=1,2,IF(D7009=7,1,(IF(WEEKDAY(B7009)=1,2,IF(WEEKDAY(B7009)=7,1,0))))))</f>
        <v>3</v>
      </c>
    </row>
    <row r="7010" spans="2:22">
      <c r="B7010" s="318">
        <f t="shared" si="439"/>
        <v>46404</v>
      </c>
      <c r="C7010" s="312">
        <v>22</v>
      </c>
      <c r="D7010" s="368">
        <f>IFERROR((INDEX(METADATA!$T$2:$T$20,MATCH(B7010,METADATA!$S$2:$S$20,0))),0)</f>
        <v>0</v>
      </c>
      <c r="E7010" s="312" t="str">
        <f t="shared" si="436"/>
        <v>HI</v>
      </c>
      <c r="F7010" s="369">
        <f>VLOOKUP(C7010,METADATA!$A$5:$H$29,IF(E7010="HI",2,IF(E7010="LO",6,10))+IF(D7010=1,2,IF(D7010=7,1,(IF(WEEKDAY(B7010)=1,2,IF(WEEKDAY(B7010)=7,1,0))))))</f>
        <v>3</v>
      </c>
      <c r="G7010" s="369">
        <f>VLOOKUP(C7010,METADATA!$J$5:$Q$29,IF(E7010="HI",2,IF(E7010="LO",6,10))+IF(D7010=1,2,IF(D7010=7,1,(IF(WEEKDAY(B7010)=1,2,IF(WEEKDAY(B7010)=7,1,0))))))</f>
        <v>3</v>
      </c>
      <c r="H7010" s="370">
        <v>13459.724975585938</v>
      </c>
      <c r="I7010" s="370">
        <v>4502.2949829101563</v>
      </c>
      <c r="M7010" s="371">
        <f t="shared" si="437"/>
        <v>14192.774800283058</v>
      </c>
      <c r="N7010" s="329">
        <f t="shared" si="438"/>
        <v>464.37749023437527</v>
      </c>
      <c r="T7010" s="331">
        <v>0</v>
      </c>
      <c r="U7010" s="328">
        <f>VLOOKUP(C7010,METADATA!$J$5:$Q$29,IF(E7010="HI",2,IF(E7010="LO",6,10))+IF(T7010=1,2,IF(D7010=7,1,(IF(WEEKDAY(B7010)=1,2,IF(WEEKDAY(B7010)=7,1,0))))))</f>
        <v>3</v>
      </c>
      <c r="V7010" s="328">
        <f>VLOOKUP(C7010,METADATA!$A$5:$H$29,IF(E7010="HI",2,IF(E7010="LO",6,10))+IF(T7010=1,2,IF(D7010=7,1,(IF(WEEKDAY(B7010)=1,2,IF(WEEKDAY(B7010)=7,1,0))))))</f>
        <v>3</v>
      </c>
    </row>
    <row r="7011" spans="2:22">
      <c r="B7011" s="318">
        <f t="shared" si="439"/>
        <v>46404</v>
      </c>
      <c r="C7011" s="312">
        <v>23</v>
      </c>
      <c r="D7011" s="368">
        <f>IFERROR((INDEX(METADATA!$T$2:$T$20,MATCH(B7011,METADATA!$S$2:$S$20,0))),0)</f>
        <v>0</v>
      </c>
      <c r="E7011" s="312" t="str">
        <f t="shared" si="436"/>
        <v>HI</v>
      </c>
      <c r="F7011" s="369">
        <f>VLOOKUP(C7011,METADATA!$A$5:$H$29,IF(E7011="HI",2,IF(E7011="LO",6,10))+IF(D7011=1,2,IF(D7011=7,1,(IF(WEEKDAY(B7011)=1,2,IF(WEEKDAY(B7011)=7,1,0))))))</f>
        <v>3</v>
      </c>
      <c r="G7011" s="369">
        <f>VLOOKUP(C7011,METADATA!$J$5:$Q$29,IF(E7011="HI",2,IF(E7011="LO",6,10))+IF(D7011=1,2,IF(D7011=7,1,(IF(WEEKDAY(B7011)=1,2,IF(WEEKDAY(B7011)=7,1,0))))))</f>
        <v>3</v>
      </c>
      <c r="H7011" s="370">
        <v>13722.050170898438</v>
      </c>
      <c r="I7011" s="370">
        <v>4484.0900573730469</v>
      </c>
      <c r="M7011" s="371">
        <f t="shared" si="437"/>
        <v>14436.125676069936</v>
      </c>
      <c r="N7011" s="329">
        <f t="shared" si="438"/>
        <v>367.47500610351563</v>
      </c>
      <c r="T7011" s="331">
        <v>0</v>
      </c>
      <c r="U7011" s="328">
        <f>VLOOKUP(C7011,METADATA!$J$5:$Q$29,IF(E7011="HI",2,IF(E7011="LO",6,10))+IF(T7011=1,2,IF(D7011=7,1,(IF(WEEKDAY(B7011)=1,2,IF(WEEKDAY(B7011)=7,1,0))))))</f>
        <v>3</v>
      </c>
      <c r="V7011" s="328">
        <f>VLOOKUP(C7011,METADATA!$A$5:$H$29,IF(E7011="HI",2,IF(E7011="LO",6,10))+IF(T7011=1,2,IF(D7011=7,1,(IF(WEEKDAY(B7011)=1,2,IF(WEEKDAY(B7011)=7,1,0))))))</f>
        <v>3</v>
      </c>
    </row>
    <row r="7012" spans="2:22">
      <c r="B7012" s="318">
        <f t="shared" si="439"/>
        <v>46405</v>
      </c>
      <c r="C7012" s="312">
        <v>0</v>
      </c>
      <c r="D7012" s="368">
        <f>IFERROR((INDEX(METADATA!$T$2:$T$20,MATCH(B7012,METADATA!$S$2:$S$20,0))),0)</f>
        <v>0</v>
      </c>
      <c r="E7012" s="312" t="str">
        <f t="shared" si="436"/>
        <v>HI</v>
      </c>
      <c r="F7012" s="369">
        <f>VLOOKUP(C7012,METADATA!$A$5:$H$29,IF(E7012="HI",2,IF(E7012="LO",6,10))+IF(D7012=1,2,IF(D7012=7,1,(IF(WEEKDAY(B7012)=1,2,IF(WEEKDAY(B7012)=7,1,0))))))</f>
        <v>3</v>
      </c>
      <c r="G7012" s="369">
        <f>VLOOKUP(C7012,METADATA!$J$5:$Q$29,IF(E7012="HI",2,IF(E7012="LO",6,10))+IF(D7012=1,2,IF(D7012=7,1,(IF(WEEKDAY(B7012)=1,2,IF(WEEKDAY(B7012)=7,1,0))))))</f>
        <v>3</v>
      </c>
      <c r="H7012" s="370">
        <v>13770.549865722656</v>
      </c>
      <c r="I7012" s="370">
        <v>4637.4950561523438</v>
      </c>
      <c r="M7012" s="371">
        <f t="shared" si="437"/>
        <v>14530.464686313087</v>
      </c>
      <c r="N7012" s="329">
        <f t="shared" si="438"/>
        <v>506.33009643554669</v>
      </c>
      <c r="T7012" s="331">
        <v>0</v>
      </c>
      <c r="U7012" s="328">
        <f>VLOOKUP(C7012,METADATA!$J$5:$Q$29,IF(E7012="HI",2,IF(E7012="LO",6,10))+IF(T7012=1,2,IF(D7012=7,1,(IF(WEEKDAY(B7012)=1,2,IF(WEEKDAY(B7012)=7,1,0))))))</f>
        <v>3</v>
      </c>
      <c r="V7012" s="328">
        <f>VLOOKUP(C7012,METADATA!$A$5:$H$29,IF(E7012="HI",2,IF(E7012="LO",6,10))+IF(T7012=1,2,IF(D7012=7,1,(IF(WEEKDAY(B7012)=1,2,IF(WEEKDAY(B7012)=7,1,0))))))</f>
        <v>3</v>
      </c>
    </row>
    <row r="7013" spans="2:22">
      <c r="B7013" s="318">
        <f t="shared" si="439"/>
        <v>46405</v>
      </c>
      <c r="C7013" s="312">
        <v>1</v>
      </c>
      <c r="D7013" s="368">
        <f>IFERROR((INDEX(METADATA!$T$2:$T$20,MATCH(B7013,METADATA!$S$2:$S$20,0))),0)</f>
        <v>0</v>
      </c>
      <c r="E7013" s="312" t="str">
        <f t="shared" si="436"/>
        <v>HI</v>
      </c>
      <c r="F7013" s="369">
        <f>VLOOKUP(C7013,METADATA!$A$5:$H$29,IF(E7013="HI",2,IF(E7013="LO",6,10))+IF(D7013=1,2,IF(D7013=7,1,(IF(WEEKDAY(B7013)=1,2,IF(WEEKDAY(B7013)=7,1,0))))))</f>
        <v>3</v>
      </c>
      <c r="G7013" s="369">
        <f>VLOOKUP(C7013,METADATA!$J$5:$Q$29,IF(E7013="HI",2,IF(E7013="LO",6,10))+IF(D7013=1,2,IF(D7013=7,1,(IF(WEEKDAY(B7013)=1,2,IF(WEEKDAY(B7013)=7,1,0))))))</f>
        <v>3</v>
      </c>
      <c r="H7013" s="370">
        <v>13972.680053710938</v>
      </c>
      <c r="I7013" s="370">
        <v>4843.6650695800781</v>
      </c>
      <c r="M7013" s="371">
        <f t="shared" si="437"/>
        <v>14788.403537557448</v>
      </c>
      <c r="N7013" s="329">
        <f t="shared" si="438"/>
        <v>651.86105346679688</v>
      </c>
      <c r="T7013" s="331">
        <v>0</v>
      </c>
      <c r="U7013" s="328">
        <f>VLOOKUP(C7013,METADATA!$J$5:$Q$29,IF(E7013="HI",2,IF(E7013="LO",6,10))+IF(T7013=1,2,IF(D7013=7,1,(IF(WEEKDAY(B7013)=1,2,IF(WEEKDAY(B7013)=7,1,0))))))</f>
        <v>3</v>
      </c>
      <c r="V7013" s="328">
        <f>VLOOKUP(C7013,METADATA!$A$5:$H$29,IF(E7013="HI",2,IF(E7013="LO",6,10))+IF(T7013=1,2,IF(D7013=7,1,(IF(WEEKDAY(B7013)=1,2,IF(WEEKDAY(B7013)=7,1,0))))))</f>
        <v>3</v>
      </c>
    </row>
    <row r="7014" spans="2:22">
      <c r="B7014" s="318">
        <f t="shared" si="439"/>
        <v>46405</v>
      </c>
      <c r="C7014" s="312">
        <v>2</v>
      </c>
      <c r="D7014" s="368">
        <f>IFERROR((INDEX(METADATA!$T$2:$T$20,MATCH(B7014,METADATA!$S$2:$S$20,0))),0)</f>
        <v>0</v>
      </c>
      <c r="E7014" s="312" t="str">
        <f t="shared" si="436"/>
        <v>HI</v>
      </c>
      <c r="F7014" s="369">
        <f>VLOOKUP(C7014,METADATA!$A$5:$H$29,IF(E7014="HI",2,IF(E7014="LO",6,10))+IF(D7014=1,2,IF(D7014=7,1,(IF(WEEKDAY(B7014)=1,2,IF(WEEKDAY(B7014)=7,1,0))))))</f>
        <v>3</v>
      </c>
      <c r="G7014" s="369">
        <f>VLOOKUP(C7014,METADATA!$J$5:$Q$29,IF(E7014="HI",2,IF(E7014="LO",6,10))+IF(D7014=1,2,IF(D7014=7,1,(IF(WEEKDAY(B7014)=1,2,IF(WEEKDAY(B7014)=7,1,0))))))</f>
        <v>3</v>
      </c>
      <c r="H7014" s="370">
        <v>13582.275024414063</v>
      </c>
      <c r="I7014" s="370">
        <v>4535.3700866699219</v>
      </c>
      <c r="M7014" s="371">
        <f t="shared" si="437"/>
        <v>14319.489399482174</v>
      </c>
      <c r="N7014" s="329">
        <f t="shared" si="438"/>
        <v>460.6875793457034</v>
      </c>
      <c r="T7014" s="331">
        <v>0</v>
      </c>
      <c r="U7014" s="328">
        <f>VLOOKUP(C7014,METADATA!$J$5:$Q$29,IF(E7014="HI",2,IF(E7014="LO",6,10))+IF(T7014=1,2,IF(D7014=7,1,(IF(WEEKDAY(B7014)=1,2,IF(WEEKDAY(B7014)=7,1,0))))))</f>
        <v>3</v>
      </c>
      <c r="V7014" s="328">
        <f>VLOOKUP(C7014,METADATA!$A$5:$H$29,IF(E7014="HI",2,IF(E7014="LO",6,10))+IF(T7014=1,2,IF(D7014=7,1,(IF(WEEKDAY(B7014)=1,2,IF(WEEKDAY(B7014)=7,1,0))))))</f>
        <v>3</v>
      </c>
    </row>
    <row r="7015" spans="2:22">
      <c r="B7015" s="318">
        <f t="shared" si="439"/>
        <v>46405</v>
      </c>
      <c r="C7015" s="312">
        <v>3</v>
      </c>
      <c r="D7015" s="368">
        <f>IFERROR((INDEX(METADATA!$T$2:$T$20,MATCH(B7015,METADATA!$S$2:$S$20,0))),0)</f>
        <v>0</v>
      </c>
      <c r="E7015" s="312" t="str">
        <f t="shared" si="436"/>
        <v>HI</v>
      </c>
      <c r="F7015" s="369">
        <f>VLOOKUP(C7015,METADATA!$A$5:$H$29,IF(E7015="HI",2,IF(E7015="LO",6,10))+IF(D7015=1,2,IF(D7015=7,1,(IF(WEEKDAY(B7015)=1,2,IF(WEEKDAY(B7015)=7,1,0))))))</f>
        <v>3</v>
      </c>
      <c r="G7015" s="369">
        <f>VLOOKUP(C7015,METADATA!$J$5:$Q$29,IF(E7015="HI",2,IF(E7015="LO",6,10))+IF(D7015=1,2,IF(D7015=7,1,(IF(WEEKDAY(B7015)=1,2,IF(WEEKDAY(B7015)=7,1,0))))))</f>
        <v>3</v>
      </c>
      <c r="H7015" s="370">
        <v>13908.125061035156</v>
      </c>
      <c r="I7015" s="370">
        <v>4604.5751342773438</v>
      </c>
      <c r="M7015" s="371">
        <f t="shared" si="437"/>
        <v>14650.530873678243</v>
      </c>
      <c r="N7015" s="329">
        <f t="shared" si="438"/>
        <v>432.13761596679706</v>
      </c>
      <c r="T7015" s="331">
        <v>0</v>
      </c>
      <c r="U7015" s="328">
        <f>VLOOKUP(C7015,METADATA!$J$5:$Q$29,IF(E7015="HI",2,IF(E7015="LO",6,10))+IF(T7015=1,2,IF(D7015=7,1,(IF(WEEKDAY(B7015)=1,2,IF(WEEKDAY(B7015)=7,1,0))))))</f>
        <v>3</v>
      </c>
      <c r="V7015" s="328">
        <f>VLOOKUP(C7015,METADATA!$A$5:$H$29,IF(E7015="HI",2,IF(E7015="LO",6,10))+IF(T7015=1,2,IF(D7015=7,1,(IF(WEEKDAY(B7015)=1,2,IF(WEEKDAY(B7015)=7,1,0))))))</f>
        <v>3</v>
      </c>
    </row>
    <row r="7016" spans="2:22">
      <c r="B7016" s="318">
        <f t="shared" si="439"/>
        <v>46405</v>
      </c>
      <c r="C7016" s="312">
        <v>4</v>
      </c>
      <c r="D7016" s="368">
        <f>IFERROR((INDEX(METADATA!$T$2:$T$20,MATCH(B7016,METADATA!$S$2:$S$20,0))),0)</f>
        <v>0</v>
      </c>
      <c r="E7016" s="312" t="str">
        <f t="shared" si="436"/>
        <v>HI</v>
      </c>
      <c r="F7016" s="369">
        <f>VLOOKUP(C7016,METADATA!$A$5:$H$29,IF(E7016="HI",2,IF(E7016="LO",6,10))+IF(D7016=1,2,IF(D7016=7,1,(IF(WEEKDAY(B7016)=1,2,IF(WEEKDAY(B7016)=7,1,0))))))</f>
        <v>3</v>
      </c>
      <c r="G7016" s="369">
        <f>VLOOKUP(C7016,METADATA!$J$5:$Q$29,IF(E7016="HI",2,IF(E7016="LO",6,10))+IF(D7016=1,2,IF(D7016=7,1,(IF(WEEKDAY(B7016)=1,2,IF(WEEKDAY(B7016)=7,1,0))))))</f>
        <v>3</v>
      </c>
      <c r="H7016" s="370">
        <v>14173.800109863281</v>
      </c>
      <c r="I7016" s="370">
        <v>4699.0850830078125</v>
      </c>
      <c r="M7016" s="371">
        <f t="shared" si="437"/>
        <v>14932.448231007094</v>
      </c>
      <c r="N7016" s="329">
        <f t="shared" si="438"/>
        <v>446.94505004882831</v>
      </c>
      <c r="T7016" s="331">
        <v>0</v>
      </c>
      <c r="U7016" s="328">
        <f>VLOOKUP(C7016,METADATA!$J$5:$Q$29,IF(E7016="HI",2,IF(E7016="LO",6,10))+IF(T7016=1,2,IF(D7016=7,1,(IF(WEEKDAY(B7016)=1,2,IF(WEEKDAY(B7016)=7,1,0))))))</f>
        <v>3</v>
      </c>
      <c r="V7016" s="328">
        <f>VLOOKUP(C7016,METADATA!$A$5:$H$29,IF(E7016="HI",2,IF(E7016="LO",6,10))+IF(T7016=1,2,IF(D7016=7,1,(IF(WEEKDAY(B7016)=1,2,IF(WEEKDAY(B7016)=7,1,0))))))</f>
        <v>3</v>
      </c>
    </row>
    <row r="7017" spans="2:22">
      <c r="B7017" s="318">
        <f t="shared" si="439"/>
        <v>46405</v>
      </c>
      <c r="C7017" s="312">
        <v>5</v>
      </c>
      <c r="D7017" s="368">
        <f>IFERROR((INDEX(METADATA!$T$2:$T$20,MATCH(B7017,METADATA!$S$2:$S$20,0))),0)</f>
        <v>0</v>
      </c>
      <c r="E7017" s="312" t="str">
        <f t="shared" si="436"/>
        <v>HI</v>
      </c>
      <c r="F7017" s="369">
        <f>VLOOKUP(C7017,METADATA!$A$5:$H$29,IF(E7017="HI",2,IF(E7017="LO",6,10))+IF(D7017=1,2,IF(D7017=7,1,(IF(WEEKDAY(B7017)=1,2,IF(WEEKDAY(B7017)=7,1,0))))))</f>
        <v>3</v>
      </c>
      <c r="G7017" s="369">
        <f>VLOOKUP(C7017,METADATA!$J$5:$Q$29,IF(E7017="HI",2,IF(E7017="LO",6,10))+IF(D7017=1,2,IF(D7017=7,1,(IF(WEEKDAY(B7017)=1,2,IF(WEEKDAY(B7017)=7,1,0))))))</f>
        <v>3</v>
      </c>
      <c r="H7017" s="370">
        <v>13902.749938964844</v>
      </c>
      <c r="I7017" s="370">
        <v>4515.8349914550781</v>
      </c>
      <c r="M7017" s="371">
        <f t="shared" si="437"/>
        <v>14617.770744386336</v>
      </c>
      <c r="N7017" s="329">
        <f t="shared" si="438"/>
        <v>345.010009765625</v>
      </c>
      <c r="T7017" s="331">
        <v>0</v>
      </c>
      <c r="U7017" s="328">
        <f>VLOOKUP(C7017,METADATA!$J$5:$Q$29,IF(E7017="HI",2,IF(E7017="LO",6,10))+IF(T7017=1,2,IF(D7017=7,1,(IF(WEEKDAY(B7017)=1,2,IF(WEEKDAY(B7017)=7,1,0))))))</f>
        <v>3</v>
      </c>
      <c r="V7017" s="328">
        <f>VLOOKUP(C7017,METADATA!$A$5:$H$29,IF(E7017="HI",2,IF(E7017="LO",6,10))+IF(T7017=1,2,IF(D7017=7,1,(IF(WEEKDAY(B7017)=1,2,IF(WEEKDAY(B7017)=7,1,0))))))</f>
        <v>3</v>
      </c>
    </row>
    <row r="7018" spans="2:22">
      <c r="B7018" s="318">
        <f t="shared" si="439"/>
        <v>46405</v>
      </c>
      <c r="C7018" s="312">
        <v>6</v>
      </c>
      <c r="D7018" s="368">
        <f>IFERROR((INDEX(METADATA!$T$2:$T$20,MATCH(B7018,METADATA!$S$2:$S$20,0))),0)</f>
        <v>0</v>
      </c>
      <c r="E7018" s="312" t="str">
        <f t="shared" si="436"/>
        <v>HI</v>
      </c>
      <c r="F7018" s="369">
        <f>VLOOKUP(C7018,METADATA!$A$5:$H$29,IF(E7018="HI",2,IF(E7018="LO",6,10))+IF(D7018=1,2,IF(D7018=7,1,(IF(WEEKDAY(B7018)=1,2,IF(WEEKDAY(B7018)=7,1,0))))))</f>
        <v>1</v>
      </c>
      <c r="G7018" s="369">
        <f>VLOOKUP(C7018,METADATA!$J$5:$Q$29,IF(E7018="HI",2,IF(E7018="LO",6,10))+IF(D7018=1,2,IF(D7018=7,1,(IF(WEEKDAY(B7018)=1,2,IF(WEEKDAY(B7018)=7,1,0))))))</f>
        <v>1</v>
      </c>
      <c r="H7018" s="370">
        <v>14057.774658203125</v>
      </c>
      <c r="I7018" s="370">
        <v>4516.4099426269531</v>
      </c>
      <c r="M7018" s="371">
        <f t="shared" si="437"/>
        <v>14765.466030934398</v>
      </c>
      <c r="N7018" s="329">
        <f t="shared" si="438"/>
        <v>299.07754516601563</v>
      </c>
      <c r="T7018" s="331">
        <v>0</v>
      </c>
      <c r="U7018" s="328">
        <f>VLOOKUP(C7018,METADATA!$J$5:$Q$29,IF(E7018="HI",2,IF(E7018="LO",6,10))+IF(T7018=1,2,IF(D7018=7,1,(IF(WEEKDAY(B7018)=1,2,IF(WEEKDAY(B7018)=7,1,0))))))</f>
        <v>1</v>
      </c>
      <c r="V7018" s="328">
        <f>VLOOKUP(C7018,METADATA!$A$5:$H$29,IF(E7018="HI",2,IF(E7018="LO",6,10))+IF(T7018=1,2,IF(D7018=7,1,(IF(WEEKDAY(B7018)=1,2,IF(WEEKDAY(B7018)=7,1,0))))))</f>
        <v>1</v>
      </c>
    </row>
    <row r="7019" spans="2:22">
      <c r="B7019" s="318">
        <f t="shared" si="439"/>
        <v>46405</v>
      </c>
      <c r="C7019" s="312">
        <v>7</v>
      </c>
      <c r="D7019" s="368">
        <f>IFERROR((INDEX(METADATA!$T$2:$T$20,MATCH(B7019,METADATA!$S$2:$S$20,0))),0)</f>
        <v>0</v>
      </c>
      <c r="E7019" s="312" t="str">
        <f t="shared" si="436"/>
        <v>HI</v>
      </c>
      <c r="F7019" s="369">
        <f>VLOOKUP(C7019,METADATA!$A$5:$H$29,IF(E7019="HI",2,IF(E7019="LO",6,10))+IF(D7019=1,2,IF(D7019=7,1,(IF(WEEKDAY(B7019)=1,2,IF(WEEKDAY(B7019)=7,1,0))))))</f>
        <v>1</v>
      </c>
      <c r="G7019" s="369">
        <f>VLOOKUP(C7019,METADATA!$J$5:$Q$29,IF(E7019="HI",2,IF(E7019="LO",6,10))+IF(D7019=1,2,IF(D7019=7,1,(IF(WEEKDAY(B7019)=1,2,IF(WEEKDAY(B7019)=7,1,0))))))</f>
        <v>1</v>
      </c>
      <c r="H7019" s="370">
        <v>13698.600036621094</v>
      </c>
      <c r="I7019" s="370">
        <v>4391.1100463867188</v>
      </c>
      <c r="M7019" s="371">
        <f t="shared" si="437"/>
        <v>14385.183015964511</v>
      </c>
      <c r="N7019" s="329">
        <f t="shared" si="438"/>
        <v>281.53003540039117</v>
      </c>
      <c r="T7019" s="331">
        <v>0</v>
      </c>
      <c r="U7019" s="328">
        <f>VLOOKUP(C7019,METADATA!$J$5:$Q$29,IF(E7019="HI",2,IF(E7019="LO",6,10))+IF(T7019=1,2,IF(D7019=7,1,(IF(WEEKDAY(B7019)=1,2,IF(WEEKDAY(B7019)=7,1,0))))))</f>
        <v>1</v>
      </c>
      <c r="V7019" s="328">
        <f>VLOOKUP(C7019,METADATA!$A$5:$H$29,IF(E7019="HI",2,IF(E7019="LO",6,10))+IF(T7019=1,2,IF(D7019=7,1,(IF(WEEKDAY(B7019)=1,2,IF(WEEKDAY(B7019)=7,1,0))))))</f>
        <v>1</v>
      </c>
    </row>
    <row r="7020" spans="2:22">
      <c r="B7020" s="318">
        <f t="shared" si="439"/>
        <v>46405</v>
      </c>
      <c r="C7020" s="312">
        <v>8</v>
      </c>
      <c r="D7020" s="368">
        <f>IFERROR((INDEX(METADATA!$T$2:$T$20,MATCH(B7020,METADATA!$S$2:$S$20,0))),0)</f>
        <v>0</v>
      </c>
      <c r="E7020" s="312" t="str">
        <f t="shared" si="436"/>
        <v>HI</v>
      </c>
      <c r="F7020" s="369">
        <f>VLOOKUP(C7020,METADATA!$A$5:$H$29,IF(E7020="HI",2,IF(E7020="LO",6,10))+IF(D7020=1,2,IF(D7020=7,1,(IF(WEEKDAY(B7020)=1,2,IF(WEEKDAY(B7020)=7,1,0))))))</f>
        <v>2</v>
      </c>
      <c r="G7020" s="369">
        <f>VLOOKUP(C7020,METADATA!$J$5:$Q$29,IF(E7020="HI",2,IF(E7020="LO",6,10))+IF(D7020=1,2,IF(D7020=7,1,(IF(WEEKDAY(B7020)=1,2,IF(WEEKDAY(B7020)=7,1,0))))))</f>
        <v>2</v>
      </c>
      <c r="H7020" s="370">
        <v>13545.674987792969</v>
      </c>
      <c r="I7020" s="370">
        <v>4409.5400390625</v>
      </c>
      <c r="M7020" s="371">
        <f t="shared" si="437"/>
        <v>14245.327452572488</v>
      </c>
      <c r="N7020" s="329">
        <f t="shared" si="438"/>
        <v>345.83754272460965</v>
      </c>
      <c r="T7020" s="331">
        <v>0</v>
      </c>
      <c r="U7020" s="328">
        <f>VLOOKUP(C7020,METADATA!$J$5:$Q$29,IF(E7020="HI",2,IF(E7020="LO",6,10))+IF(T7020=1,2,IF(D7020=7,1,(IF(WEEKDAY(B7020)=1,2,IF(WEEKDAY(B7020)=7,1,0))))))</f>
        <v>2</v>
      </c>
      <c r="V7020" s="328">
        <f>VLOOKUP(C7020,METADATA!$A$5:$H$29,IF(E7020="HI",2,IF(E7020="LO",6,10))+IF(T7020=1,2,IF(D7020=7,1,(IF(WEEKDAY(B7020)=1,2,IF(WEEKDAY(B7020)=7,1,0))))))</f>
        <v>2</v>
      </c>
    </row>
    <row r="7021" spans="2:22">
      <c r="B7021" s="318">
        <f t="shared" si="439"/>
        <v>46405</v>
      </c>
      <c r="C7021" s="312">
        <v>9</v>
      </c>
      <c r="D7021" s="368">
        <f>IFERROR((INDEX(METADATA!$T$2:$T$20,MATCH(B7021,METADATA!$S$2:$S$20,0))),0)</f>
        <v>0</v>
      </c>
      <c r="E7021" s="312" t="str">
        <f t="shared" si="436"/>
        <v>HI</v>
      </c>
      <c r="F7021" s="369">
        <f>VLOOKUP(C7021,METADATA!$A$5:$H$29,IF(E7021="HI",2,IF(E7021="LO",6,10))+IF(D7021=1,2,IF(D7021=7,1,(IF(WEEKDAY(B7021)=1,2,IF(WEEKDAY(B7021)=7,1,0))))))</f>
        <v>2</v>
      </c>
      <c r="G7021" s="369">
        <f>VLOOKUP(C7021,METADATA!$J$5:$Q$29,IF(E7021="HI",2,IF(E7021="LO",6,10))+IF(D7021=1,2,IF(D7021=7,1,(IF(WEEKDAY(B7021)=1,2,IF(WEEKDAY(B7021)=7,1,0))))))</f>
        <v>2</v>
      </c>
      <c r="H7021" s="370">
        <v>13571.749694824219</v>
      </c>
      <c r="I7021" s="370">
        <v>4409.1499938964844</v>
      </c>
      <c r="M7021" s="371">
        <f t="shared" si="437"/>
        <v>14270.003274268673</v>
      </c>
      <c r="N7021" s="329">
        <f t="shared" si="438"/>
        <v>337.62508544921911</v>
      </c>
      <c r="T7021" s="331">
        <v>0</v>
      </c>
      <c r="U7021" s="328">
        <f>VLOOKUP(C7021,METADATA!$J$5:$Q$29,IF(E7021="HI",2,IF(E7021="LO",6,10))+IF(T7021=1,2,IF(D7021=7,1,(IF(WEEKDAY(B7021)=1,2,IF(WEEKDAY(B7021)=7,1,0))))))</f>
        <v>2</v>
      </c>
      <c r="V7021" s="328">
        <f>VLOOKUP(C7021,METADATA!$A$5:$H$29,IF(E7021="HI",2,IF(E7021="LO",6,10))+IF(T7021=1,2,IF(D7021=7,1,(IF(WEEKDAY(B7021)=1,2,IF(WEEKDAY(B7021)=7,1,0))))))</f>
        <v>2</v>
      </c>
    </row>
    <row r="7022" spans="2:22">
      <c r="B7022" s="318">
        <f t="shared" si="439"/>
        <v>46405</v>
      </c>
      <c r="C7022" s="312">
        <v>10</v>
      </c>
      <c r="D7022" s="368">
        <f>IFERROR((INDEX(METADATA!$T$2:$T$20,MATCH(B7022,METADATA!$S$2:$S$20,0))),0)</f>
        <v>0</v>
      </c>
      <c r="E7022" s="312" t="str">
        <f t="shared" si="436"/>
        <v>HI</v>
      </c>
      <c r="F7022" s="369">
        <f>VLOOKUP(C7022,METADATA!$A$5:$H$29,IF(E7022="HI",2,IF(E7022="LO",6,10))+IF(D7022=1,2,IF(D7022=7,1,(IF(WEEKDAY(B7022)=1,2,IF(WEEKDAY(B7022)=7,1,0))))))</f>
        <v>2</v>
      </c>
      <c r="G7022" s="369">
        <f>VLOOKUP(C7022,METADATA!$J$5:$Q$29,IF(E7022="HI",2,IF(E7022="LO",6,10))+IF(D7022=1,2,IF(D7022=7,1,(IF(WEEKDAY(B7022)=1,2,IF(WEEKDAY(B7022)=7,1,0))))))</f>
        <v>2</v>
      </c>
      <c r="H7022" s="370">
        <v>13181.42529296875</v>
      </c>
      <c r="I7022" s="370">
        <v>4200.574951171875</v>
      </c>
      <c r="M7022" s="371">
        <f t="shared" si="437"/>
        <v>13834.551047089635</v>
      </c>
      <c r="N7022" s="329">
        <f t="shared" si="438"/>
        <v>246.14736328125036</v>
      </c>
      <c r="T7022" s="331">
        <v>0</v>
      </c>
      <c r="U7022" s="328">
        <f>VLOOKUP(C7022,METADATA!$J$5:$Q$29,IF(E7022="HI",2,IF(E7022="LO",6,10))+IF(T7022=1,2,IF(D7022=7,1,(IF(WEEKDAY(B7022)=1,2,IF(WEEKDAY(B7022)=7,1,0))))))</f>
        <v>2</v>
      </c>
      <c r="V7022" s="328">
        <f>VLOOKUP(C7022,METADATA!$A$5:$H$29,IF(E7022="HI",2,IF(E7022="LO",6,10))+IF(T7022=1,2,IF(D7022=7,1,(IF(WEEKDAY(B7022)=1,2,IF(WEEKDAY(B7022)=7,1,0))))))</f>
        <v>2</v>
      </c>
    </row>
    <row r="7023" spans="2:22">
      <c r="B7023" s="318">
        <f t="shared" si="439"/>
        <v>46405</v>
      </c>
      <c r="C7023" s="312">
        <v>11</v>
      </c>
      <c r="D7023" s="368">
        <f>IFERROR((INDEX(METADATA!$T$2:$T$20,MATCH(B7023,METADATA!$S$2:$S$20,0))),0)</f>
        <v>0</v>
      </c>
      <c r="E7023" s="312" t="str">
        <f t="shared" si="436"/>
        <v>HI</v>
      </c>
      <c r="F7023" s="369">
        <f>VLOOKUP(C7023,METADATA!$A$5:$H$29,IF(E7023="HI",2,IF(E7023="LO",6,10))+IF(D7023=1,2,IF(D7023=7,1,(IF(WEEKDAY(B7023)=1,2,IF(WEEKDAY(B7023)=7,1,0))))))</f>
        <v>2</v>
      </c>
      <c r="G7023" s="369">
        <f>VLOOKUP(C7023,METADATA!$J$5:$Q$29,IF(E7023="HI",2,IF(E7023="LO",6,10))+IF(D7023=1,2,IF(D7023=7,1,(IF(WEEKDAY(B7023)=1,2,IF(WEEKDAY(B7023)=7,1,0))))))</f>
        <v>2</v>
      </c>
      <c r="H7023" s="370">
        <v>13166.300048828125</v>
      </c>
      <c r="I7023" s="370">
        <v>4291.4949035644531</v>
      </c>
      <c r="M7023" s="371">
        <f t="shared" si="437"/>
        <v>13848.046269531713</v>
      </c>
      <c r="N7023" s="329">
        <f t="shared" si="438"/>
        <v>341.60488891601563</v>
      </c>
      <c r="T7023" s="331">
        <v>0</v>
      </c>
      <c r="U7023" s="328">
        <f>VLOOKUP(C7023,METADATA!$J$5:$Q$29,IF(E7023="HI",2,IF(E7023="LO",6,10))+IF(T7023=1,2,IF(D7023=7,1,(IF(WEEKDAY(B7023)=1,2,IF(WEEKDAY(B7023)=7,1,0))))))</f>
        <v>2</v>
      </c>
      <c r="V7023" s="328">
        <f>VLOOKUP(C7023,METADATA!$A$5:$H$29,IF(E7023="HI",2,IF(E7023="LO",6,10))+IF(T7023=1,2,IF(D7023=7,1,(IF(WEEKDAY(B7023)=1,2,IF(WEEKDAY(B7023)=7,1,0))))))</f>
        <v>2</v>
      </c>
    </row>
    <row r="7024" spans="2:22">
      <c r="B7024" s="318">
        <f t="shared" si="439"/>
        <v>46405</v>
      </c>
      <c r="C7024" s="312">
        <v>12</v>
      </c>
      <c r="D7024" s="368">
        <f>IFERROR((INDEX(METADATA!$T$2:$T$20,MATCH(B7024,METADATA!$S$2:$S$20,0))),0)</f>
        <v>0</v>
      </c>
      <c r="E7024" s="312" t="str">
        <f t="shared" si="436"/>
        <v>HI</v>
      </c>
      <c r="F7024" s="369">
        <f>VLOOKUP(C7024,METADATA!$A$5:$H$29,IF(E7024="HI",2,IF(E7024="LO",6,10))+IF(D7024=1,2,IF(D7024=7,1,(IF(WEEKDAY(B7024)=1,2,IF(WEEKDAY(B7024)=7,1,0))))))</f>
        <v>2</v>
      </c>
      <c r="G7024" s="369">
        <f>VLOOKUP(C7024,METADATA!$J$5:$Q$29,IF(E7024="HI",2,IF(E7024="LO",6,10))+IF(D7024=1,2,IF(D7024=7,1,(IF(WEEKDAY(B7024)=1,2,IF(WEEKDAY(B7024)=7,1,0))))))</f>
        <v>2</v>
      </c>
      <c r="H7024" s="370">
        <v>13085.174926757813</v>
      </c>
      <c r="I7024" s="370">
        <v>4227.2649230957031</v>
      </c>
      <c r="M7024" s="371">
        <f t="shared" si="437"/>
        <v>13751.057108233048</v>
      </c>
      <c r="N7024" s="329">
        <f t="shared" si="438"/>
        <v>301.71244506835956</v>
      </c>
      <c r="T7024" s="331">
        <v>0</v>
      </c>
      <c r="U7024" s="328">
        <f>VLOOKUP(C7024,METADATA!$J$5:$Q$29,IF(E7024="HI",2,IF(E7024="LO",6,10))+IF(T7024=1,2,IF(D7024=7,1,(IF(WEEKDAY(B7024)=1,2,IF(WEEKDAY(B7024)=7,1,0))))))</f>
        <v>2</v>
      </c>
      <c r="V7024" s="328">
        <f>VLOOKUP(C7024,METADATA!$A$5:$H$29,IF(E7024="HI",2,IF(E7024="LO",6,10))+IF(T7024=1,2,IF(D7024=7,1,(IF(WEEKDAY(B7024)=1,2,IF(WEEKDAY(B7024)=7,1,0))))))</f>
        <v>2</v>
      </c>
    </row>
    <row r="7025" spans="2:22">
      <c r="B7025" s="318">
        <f t="shared" si="439"/>
        <v>46405</v>
      </c>
      <c r="C7025" s="312">
        <v>13</v>
      </c>
      <c r="D7025" s="368">
        <f>IFERROR((INDEX(METADATA!$T$2:$T$20,MATCH(B7025,METADATA!$S$2:$S$20,0))),0)</f>
        <v>0</v>
      </c>
      <c r="E7025" s="312" t="str">
        <f t="shared" si="436"/>
        <v>HI</v>
      </c>
      <c r="F7025" s="369">
        <f>VLOOKUP(C7025,METADATA!$A$5:$H$29,IF(E7025="HI",2,IF(E7025="LO",6,10))+IF(D7025=1,2,IF(D7025=7,1,(IF(WEEKDAY(B7025)=1,2,IF(WEEKDAY(B7025)=7,1,0))))))</f>
        <v>2</v>
      </c>
      <c r="G7025" s="369">
        <f>VLOOKUP(C7025,METADATA!$J$5:$Q$29,IF(E7025="HI",2,IF(E7025="LO",6,10))+IF(D7025=1,2,IF(D7025=7,1,(IF(WEEKDAY(B7025)=1,2,IF(WEEKDAY(B7025)=7,1,0))))))</f>
        <v>2</v>
      </c>
      <c r="H7025" s="370">
        <v>13341.874816894531</v>
      </c>
      <c r="I7025" s="370">
        <v>4326.3249816894531</v>
      </c>
      <c r="M7025" s="371">
        <f t="shared" si="437"/>
        <v>14025.787374578111</v>
      </c>
      <c r="N7025" s="329">
        <f t="shared" si="438"/>
        <v>323.76253662109411</v>
      </c>
      <c r="T7025" s="331">
        <v>0</v>
      </c>
      <c r="U7025" s="328">
        <f>VLOOKUP(C7025,METADATA!$J$5:$Q$29,IF(E7025="HI",2,IF(E7025="LO",6,10))+IF(T7025=1,2,IF(D7025=7,1,(IF(WEEKDAY(B7025)=1,2,IF(WEEKDAY(B7025)=7,1,0))))))</f>
        <v>2</v>
      </c>
      <c r="V7025" s="328">
        <f>VLOOKUP(C7025,METADATA!$A$5:$H$29,IF(E7025="HI",2,IF(E7025="LO",6,10))+IF(T7025=1,2,IF(D7025=7,1,(IF(WEEKDAY(B7025)=1,2,IF(WEEKDAY(B7025)=7,1,0))))))</f>
        <v>2</v>
      </c>
    </row>
    <row r="7026" spans="2:22">
      <c r="B7026" s="318">
        <f t="shared" si="439"/>
        <v>46405</v>
      </c>
      <c r="C7026" s="312">
        <v>14</v>
      </c>
      <c r="D7026" s="368">
        <f>IFERROR((INDEX(METADATA!$T$2:$T$20,MATCH(B7026,METADATA!$S$2:$S$20,0))),0)</f>
        <v>0</v>
      </c>
      <c r="E7026" s="312" t="str">
        <f t="shared" si="436"/>
        <v>HI</v>
      </c>
      <c r="F7026" s="369">
        <f>VLOOKUP(C7026,METADATA!$A$5:$H$29,IF(E7026="HI",2,IF(E7026="LO",6,10))+IF(D7026=1,2,IF(D7026=7,1,(IF(WEEKDAY(B7026)=1,2,IF(WEEKDAY(B7026)=7,1,0))))))</f>
        <v>2</v>
      </c>
      <c r="G7026" s="369">
        <f>VLOOKUP(C7026,METADATA!$J$5:$Q$29,IF(E7026="HI",2,IF(E7026="LO",6,10))+IF(D7026=1,2,IF(D7026=7,1,(IF(WEEKDAY(B7026)=1,2,IF(WEEKDAY(B7026)=7,1,0))))))</f>
        <v>2</v>
      </c>
      <c r="H7026" s="370">
        <v>13199.924926757813</v>
      </c>
      <c r="I7026" s="370">
        <v>4222.35498046875</v>
      </c>
      <c r="M7026" s="371">
        <f t="shared" si="437"/>
        <v>13858.798636719255</v>
      </c>
      <c r="N7026" s="329">
        <f t="shared" si="438"/>
        <v>262.37750244140625</v>
      </c>
      <c r="T7026" s="331">
        <v>0</v>
      </c>
      <c r="U7026" s="328">
        <f>VLOOKUP(C7026,METADATA!$J$5:$Q$29,IF(E7026="HI",2,IF(E7026="LO",6,10))+IF(T7026=1,2,IF(D7026=7,1,(IF(WEEKDAY(B7026)=1,2,IF(WEEKDAY(B7026)=7,1,0))))))</f>
        <v>2</v>
      </c>
      <c r="V7026" s="328">
        <f>VLOOKUP(C7026,METADATA!$A$5:$H$29,IF(E7026="HI",2,IF(E7026="LO",6,10))+IF(T7026=1,2,IF(D7026=7,1,(IF(WEEKDAY(B7026)=1,2,IF(WEEKDAY(B7026)=7,1,0))))))</f>
        <v>2</v>
      </c>
    </row>
    <row r="7027" spans="2:22">
      <c r="B7027" s="318">
        <f t="shared" si="439"/>
        <v>46405</v>
      </c>
      <c r="C7027" s="312">
        <v>15</v>
      </c>
      <c r="D7027" s="368">
        <f>IFERROR((INDEX(METADATA!$T$2:$T$20,MATCH(B7027,METADATA!$S$2:$S$20,0))),0)</f>
        <v>0</v>
      </c>
      <c r="E7027" s="312" t="str">
        <f t="shared" si="436"/>
        <v>HI</v>
      </c>
      <c r="F7027" s="369">
        <f>VLOOKUP(C7027,METADATA!$A$5:$H$29,IF(E7027="HI",2,IF(E7027="LO",6,10))+IF(D7027=1,2,IF(D7027=7,1,(IF(WEEKDAY(B7027)=1,2,IF(WEEKDAY(B7027)=7,1,0))))))</f>
        <v>2</v>
      </c>
      <c r="G7027" s="369">
        <f>VLOOKUP(C7027,METADATA!$J$5:$Q$29,IF(E7027="HI",2,IF(E7027="LO",6,10))+IF(D7027=1,2,IF(D7027=7,1,(IF(WEEKDAY(B7027)=1,2,IF(WEEKDAY(B7027)=7,1,0))))))</f>
        <v>2</v>
      </c>
      <c r="H7027" s="370">
        <v>13216.625061035156</v>
      </c>
      <c r="I7027" s="370">
        <v>4283.3049621582031</v>
      </c>
      <c r="M7027" s="371">
        <f t="shared" si="437"/>
        <v>13893.375378317236</v>
      </c>
      <c r="N7027" s="329">
        <f t="shared" si="438"/>
        <v>318.31744384765625</v>
      </c>
      <c r="T7027" s="331">
        <v>0</v>
      </c>
      <c r="U7027" s="328">
        <f>VLOOKUP(C7027,METADATA!$J$5:$Q$29,IF(E7027="HI",2,IF(E7027="LO",6,10))+IF(T7027=1,2,IF(D7027=7,1,(IF(WEEKDAY(B7027)=1,2,IF(WEEKDAY(B7027)=7,1,0))))))</f>
        <v>2</v>
      </c>
      <c r="V7027" s="328">
        <f>VLOOKUP(C7027,METADATA!$A$5:$H$29,IF(E7027="HI",2,IF(E7027="LO",6,10))+IF(T7027=1,2,IF(D7027=7,1,(IF(WEEKDAY(B7027)=1,2,IF(WEEKDAY(B7027)=7,1,0))))))</f>
        <v>2</v>
      </c>
    </row>
    <row r="7028" spans="2:22">
      <c r="B7028" s="318">
        <f t="shared" si="439"/>
        <v>46405</v>
      </c>
      <c r="C7028" s="312">
        <v>16</v>
      </c>
      <c r="D7028" s="368">
        <f>IFERROR((INDEX(METADATA!$T$2:$T$20,MATCH(B7028,METADATA!$S$2:$S$20,0))),0)</f>
        <v>0</v>
      </c>
      <c r="E7028" s="312" t="str">
        <f t="shared" si="436"/>
        <v>HI</v>
      </c>
      <c r="F7028" s="369">
        <f>VLOOKUP(C7028,METADATA!$A$5:$H$29,IF(E7028="HI",2,IF(E7028="LO",6,10))+IF(D7028=1,2,IF(D7028=7,1,(IF(WEEKDAY(B7028)=1,2,IF(WEEKDAY(B7028)=7,1,0))))))</f>
        <v>2</v>
      </c>
      <c r="G7028" s="369">
        <f>VLOOKUP(C7028,METADATA!$J$5:$Q$29,IF(E7028="HI",2,IF(E7028="LO",6,10))+IF(D7028=1,2,IF(D7028=7,1,(IF(WEEKDAY(B7028)=1,2,IF(WEEKDAY(B7028)=7,1,0))))))</f>
        <v>2</v>
      </c>
      <c r="H7028" s="370">
        <v>13509.050048828125</v>
      </c>
      <c r="I7028" s="370">
        <v>4427.1049194335938</v>
      </c>
      <c r="M7028" s="371">
        <f t="shared" si="437"/>
        <v>14215.966065991304</v>
      </c>
      <c r="N7028" s="329">
        <f t="shared" si="438"/>
        <v>374.38990478515643</v>
      </c>
      <c r="T7028" s="331">
        <v>0</v>
      </c>
      <c r="U7028" s="328">
        <f>VLOOKUP(C7028,METADATA!$J$5:$Q$29,IF(E7028="HI",2,IF(E7028="LO",6,10))+IF(T7028=1,2,IF(D7028=7,1,(IF(WEEKDAY(B7028)=1,2,IF(WEEKDAY(B7028)=7,1,0))))))</f>
        <v>2</v>
      </c>
      <c r="V7028" s="328">
        <f>VLOOKUP(C7028,METADATA!$A$5:$H$29,IF(E7028="HI",2,IF(E7028="LO",6,10))+IF(T7028=1,2,IF(D7028=7,1,(IF(WEEKDAY(B7028)=1,2,IF(WEEKDAY(B7028)=7,1,0))))))</f>
        <v>2</v>
      </c>
    </row>
    <row r="7029" spans="2:22">
      <c r="B7029" s="318">
        <f t="shared" si="439"/>
        <v>46405</v>
      </c>
      <c r="C7029" s="312">
        <v>17</v>
      </c>
      <c r="D7029" s="368">
        <f>IFERROR((INDEX(METADATA!$T$2:$T$20,MATCH(B7029,METADATA!$S$2:$S$20,0))),0)</f>
        <v>0</v>
      </c>
      <c r="E7029" s="312" t="str">
        <f t="shared" si="436"/>
        <v>HI</v>
      </c>
      <c r="F7029" s="369">
        <f>VLOOKUP(C7029,METADATA!$A$5:$H$29,IF(E7029="HI",2,IF(E7029="LO",6,10))+IF(D7029=1,2,IF(D7029=7,1,(IF(WEEKDAY(B7029)=1,2,IF(WEEKDAY(B7029)=7,1,0))))))</f>
        <v>1</v>
      </c>
      <c r="G7029" s="369">
        <f>VLOOKUP(C7029,METADATA!$J$5:$Q$29,IF(E7029="HI",2,IF(E7029="LO",6,10))+IF(D7029=1,2,IF(D7029=7,1,(IF(WEEKDAY(B7029)=1,2,IF(WEEKDAY(B7029)=7,1,0))))))</f>
        <v>1</v>
      </c>
      <c r="H7029" s="370">
        <v>13527.224792480469</v>
      </c>
      <c r="I7029" s="370">
        <v>4545.8899536132813</v>
      </c>
      <c r="M7029" s="371">
        <f t="shared" si="437"/>
        <v>14270.631592773336</v>
      </c>
      <c r="N7029" s="329">
        <f t="shared" si="438"/>
        <v>487.72251586914081</v>
      </c>
      <c r="T7029" s="331">
        <v>0</v>
      </c>
      <c r="U7029" s="328">
        <f>VLOOKUP(C7029,METADATA!$J$5:$Q$29,IF(E7029="HI",2,IF(E7029="LO",6,10))+IF(T7029=1,2,IF(D7029=7,1,(IF(WEEKDAY(B7029)=1,2,IF(WEEKDAY(B7029)=7,1,0))))))</f>
        <v>1</v>
      </c>
      <c r="V7029" s="328">
        <f>VLOOKUP(C7029,METADATA!$A$5:$H$29,IF(E7029="HI",2,IF(E7029="LO",6,10))+IF(T7029=1,2,IF(D7029=7,1,(IF(WEEKDAY(B7029)=1,2,IF(WEEKDAY(B7029)=7,1,0))))))</f>
        <v>1</v>
      </c>
    </row>
    <row r="7030" spans="2:22">
      <c r="B7030" s="318">
        <f t="shared" si="439"/>
        <v>46405</v>
      </c>
      <c r="C7030" s="312">
        <v>18</v>
      </c>
      <c r="D7030" s="368">
        <f>IFERROR((INDEX(METADATA!$T$2:$T$20,MATCH(B7030,METADATA!$S$2:$S$20,0))),0)</f>
        <v>0</v>
      </c>
      <c r="E7030" s="312" t="str">
        <f t="shared" si="436"/>
        <v>HI</v>
      </c>
      <c r="F7030" s="369">
        <f>VLOOKUP(C7030,METADATA!$A$5:$H$29,IF(E7030="HI",2,IF(E7030="LO",6,10))+IF(D7030=1,2,IF(D7030=7,1,(IF(WEEKDAY(B7030)=1,2,IF(WEEKDAY(B7030)=7,1,0))))))</f>
        <v>1</v>
      </c>
      <c r="G7030" s="369">
        <f>VLOOKUP(C7030,METADATA!$J$5:$Q$29,IF(E7030="HI",2,IF(E7030="LO",6,10))+IF(D7030=1,2,IF(D7030=7,1,(IF(WEEKDAY(B7030)=1,2,IF(WEEKDAY(B7030)=7,1,0))))))</f>
        <v>1</v>
      </c>
      <c r="H7030" s="370">
        <v>13533.27490234375</v>
      </c>
      <c r="I7030" s="370">
        <v>4576.3999328613281</v>
      </c>
      <c r="M7030" s="371">
        <f t="shared" si="437"/>
        <v>14286.110944826811</v>
      </c>
      <c r="N7030" s="329">
        <f t="shared" si="438"/>
        <v>516.41746215820331</v>
      </c>
      <c r="T7030" s="331">
        <v>0</v>
      </c>
      <c r="U7030" s="328">
        <f>VLOOKUP(C7030,METADATA!$J$5:$Q$29,IF(E7030="HI",2,IF(E7030="LO",6,10))+IF(T7030=1,2,IF(D7030=7,1,(IF(WEEKDAY(B7030)=1,2,IF(WEEKDAY(B7030)=7,1,0))))))</f>
        <v>1</v>
      </c>
      <c r="V7030" s="328">
        <f>VLOOKUP(C7030,METADATA!$A$5:$H$29,IF(E7030="HI",2,IF(E7030="LO",6,10))+IF(T7030=1,2,IF(D7030=7,1,(IF(WEEKDAY(B7030)=1,2,IF(WEEKDAY(B7030)=7,1,0))))))</f>
        <v>1</v>
      </c>
    </row>
    <row r="7031" spans="2:22">
      <c r="B7031" s="318">
        <f t="shared" si="439"/>
        <v>46405</v>
      </c>
      <c r="C7031" s="312">
        <v>19</v>
      </c>
      <c r="D7031" s="368">
        <f>IFERROR((INDEX(METADATA!$T$2:$T$20,MATCH(B7031,METADATA!$S$2:$S$20,0))),0)</f>
        <v>0</v>
      </c>
      <c r="E7031" s="312" t="str">
        <f t="shared" si="436"/>
        <v>HI</v>
      </c>
      <c r="F7031" s="369">
        <f>VLOOKUP(C7031,METADATA!$A$5:$H$29,IF(E7031="HI",2,IF(E7031="LO",6,10))+IF(D7031=1,2,IF(D7031=7,1,(IF(WEEKDAY(B7031)=1,2,IF(WEEKDAY(B7031)=7,1,0))))))</f>
        <v>1</v>
      </c>
      <c r="G7031" s="369">
        <f>VLOOKUP(C7031,METADATA!$J$5:$Q$29,IF(E7031="HI",2,IF(E7031="LO",6,10))+IF(D7031=1,2,IF(D7031=7,1,(IF(WEEKDAY(B7031)=1,2,IF(WEEKDAY(B7031)=7,1,0))))))</f>
        <v>1</v>
      </c>
      <c r="H7031" s="370">
        <v>13760.925170898438</v>
      </c>
      <c r="I7031" s="370">
        <v>4661.9250183105469</v>
      </c>
      <c r="M7031" s="371">
        <f t="shared" si="437"/>
        <v>14529.163996438887</v>
      </c>
      <c r="N7031" s="329">
        <f t="shared" si="438"/>
        <v>533.64746704101617</v>
      </c>
      <c r="T7031" s="331">
        <v>0</v>
      </c>
      <c r="U7031" s="328">
        <f>VLOOKUP(C7031,METADATA!$J$5:$Q$29,IF(E7031="HI",2,IF(E7031="LO",6,10))+IF(T7031=1,2,IF(D7031=7,1,(IF(WEEKDAY(B7031)=1,2,IF(WEEKDAY(B7031)=7,1,0))))))</f>
        <v>1</v>
      </c>
      <c r="V7031" s="328">
        <f>VLOOKUP(C7031,METADATA!$A$5:$H$29,IF(E7031="HI",2,IF(E7031="LO",6,10))+IF(T7031=1,2,IF(D7031=7,1,(IF(WEEKDAY(B7031)=1,2,IF(WEEKDAY(B7031)=7,1,0))))))</f>
        <v>1</v>
      </c>
    </row>
    <row r="7032" spans="2:22">
      <c r="B7032" s="318">
        <f t="shared" si="439"/>
        <v>46405</v>
      </c>
      <c r="C7032" s="312">
        <v>20</v>
      </c>
      <c r="D7032" s="368">
        <f>IFERROR((INDEX(METADATA!$T$2:$T$20,MATCH(B7032,METADATA!$S$2:$S$20,0))),0)</f>
        <v>0</v>
      </c>
      <c r="E7032" s="312" t="str">
        <f t="shared" si="436"/>
        <v>HI</v>
      </c>
      <c r="F7032" s="369">
        <f>VLOOKUP(C7032,METADATA!$A$5:$H$29,IF(E7032="HI",2,IF(E7032="LO",6,10))+IF(D7032=1,2,IF(D7032=7,1,(IF(WEEKDAY(B7032)=1,2,IF(WEEKDAY(B7032)=7,1,0))))))</f>
        <v>2</v>
      </c>
      <c r="G7032" s="369">
        <f>VLOOKUP(C7032,METADATA!$J$5:$Q$29,IF(E7032="HI",2,IF(E7032="LO",6,10))+IF(D7032=1,2,IF(D7032=7,1,(IF(WEEKDAY(B7032)=1,2,IF(WEEKDAY(B7032)=7,1,0))))))</f>
        <v>2</v>
      </c>
      <c r="H7032" s="370">
        <v>13901.949951171875</v>
      </c>
      <c r="I7032" s="370">
        <v>4717.1100463867188</v>
      </c>
      <c r="M7032" s="371">
        <f t="shared" si="437"/>
        <v>14680.440716634164</v>
      </c>
      <c r="N7032" s="329">
        <f t="shared" si="438"/>
        <v>546.5250610351568</v>
      </c>
      <c r="T7032" s="331">
        <v>0</v>
      </c>
      <c r="U7032" s="328">
        <f>VLOOKUP(C7032,METADATA!$J$5:$Q$29,IF(E7032="HI",2,IF(E7032="LO",6,10))+IF(T7032=1,2,IF(D7032=7,1,(IF(WEEKDAY(B7032)=1,2,IF(WEEKDAY(B7032)=7,1,0))))))</f>
        <v>2</v>
      </c>
      <c r="V7032" s="328">
        <f>VLOOKUP(C7032,METADATA!$A$5:$H$29,IF(E7032="HI",2,IF(E7032="LO",6,10))+IF(T7032=1,2,IF(D7032=7,1,(IF(WEEKDAY(B7032)=1,2,IF(WEEKDAY(B7032)=7,1,0))))))</f>
        <v>2</v>
      </c>
    </row>
    <row r="7033" spans="2:22">
      <c r="B7033" s="318">
        <f t="shared" si="439"/>
        <v>46405</v>
      </c>
      <c r="C7033" s="312">
        <v>21</v>
      </c>
      <c r="D7033" s="368">
        <f>IFERROR((INDEX(METADATA!$T$2:$T$20,MATCH(B7033,METADATA!$S$2:$S$20,0))),0)</f>
        <v>0</v>
      </c>
      <c r="E7033" s="312" t="str">
        <f t="shared" si="436"/>
        <v>HI</v>
      </c>
      <c r="F7033" s="369">
        <f>VLOOKUP(C7033,METADATA!$A$5:$H$29,IF(E7033="HI",2,IF(E7033="LO",6,10))+IF(D7033=1,2,IF(D7033=7,1,(IF(WEEKDAY(B7033)=1,2,IF(WEEKDAY(B7033)=7,1,0))))))</f>
        <v>2</v>
      </c>
      <c r="G7033" s="369">
        <f>VLOOKUP(C7033,METADATA!$J$5:$Q$29,IF(E7033="HI",2,IF(E7033="LO",6,10))+IF(D7033=1,2,IF(D7033=7,1,(IF(WEEKDAY(B7033)=1,2,IF(WEEKDAY(B7033)=7,1,0))))))</f>
        <v>2</v>
      </c>
      <c r="H7033" s="370">
        <v>13714.474975585938</v>
      </c>
      <c r="I7033" s="370">
        <v>4696.6448974609375</v>
      </c>
      <c r="M7033" s="371">
        <f t="shared" si="437"/>
        <v>14496.389107250769</v>
      </c>
      <c r="N7033" s="329">
        <f t="shared" si="438"/>
        <v>582.3024047851568</v>
      </c>
      <c r="T7033" s="331">
        <v>0</v>
      </c>
      <c r="U7033" s="328">
        <f>VLOOKUP(C7033,METADATA!$J$5:$Q$29,IF(E7033="HI",2,IF(E7033="LO",6,10))+IF(T7033=1,2,IF(D7033=7,1,(IF(WEEKDAY(B7033)=1,2,IF(WEEKDAY(B7033)=7,1,0))))))</f>
        <v>2</v>
      </c>
      <c r="V7033" s="328">
        <f>VLOOKUP(C7033,METADATA!$A$5:$H$29,IF(E7033="HI",2,IF(E7033="LO",6,10))+IF(T7033=1,2,IF(D7033=7,1,(IF(WEEKDAY(B7033)=1,2,IF(WEEKDAY(B7033)=7,1,0))))))</f>
        <v>2</v>
      </c>
    </row>
    <row r="7034" spans="2:22">
      <c r="B7034" s="318">
        <f t="shared" si="439"/>
        <v>46405</v>
      </c>
      <c r="C7034" s="312">
        <v>22</v>
      </c>
      <c r="D7034" s="368">
        <f>IFERROR((INDEX(METADATA!$T$2:$T$20,MATCH(B7034,METADATA!$S$2:$S$20,0))),0)</f>
        <v>0</v>
      </c>
      <c r="E7034" s="312" t="str">
        <f t="shared" si="436"/>
        <v>HI</v>
      </c>
      <c r="F7034" s="369">
        <f>VLOOKUP(C7034,METADATA!$A$5:$H$29,IF(E7034="HI",2,IF(E7034="LO",6,10))+IF(D7034=1,2,IF(D7034=7,1,(IF(WEEKDAY(B7034)=1,2,IF(WEEKDAY(B7034)=7,1,0))))))</f>
        <v>3</v>
      </c>
      <c r="G7034" s="369">
        <f>VLOOKUP(C7034,METADATA!$J$5:$Q$29,IF(E7034="HI",2,IF(E7034="LO",6,10))+IF(D7034=1,2,IF(D7034=7,1,(IF(WEEKDAY(B7034)=1,2,IF(WEEKDAY(B7034)=7,1,0))))))</f>
        <v>3</v>
      </c>
      <c r="H7034" s="370">
        <v>13776.225341796875</v>
      </c>
      <c r="I7034" s="370">
        <v>4670.3399353027344</v>
      </c>
      <c r="M7034" s="371">
        <f t="shared" si="437"/>
        <v>14546.355549733065</v>
      </c>
      <c r="N7034" s="329">
        <f t="shared" si="438"/>
        <v>537.47233276367206</v>
      </c>
      <c r="T7034" s="331">
        <v>0</v>
      </c>
      <c r="U7034" s="328">
        <f>VLOOKUP(C7034,METADATA!$J$5:$Q$29,IF(E7034="HI",2,IF(E7034="LO",6,10))+IF(T7034=1,2,IF(D7034=7,1,(IF(WEEKDAY(B7034)=1,2,IF(WEEKDAY(B7034)=7,1,0))))))</f>
        <v>3</v>
      </c>
      <c r="V7034" s="328">
        <f>VLOOKUP(C7034,METADATA!$A$5:$H$29,IF(E7034="HI",2,IF(E7034="LO",6,10))+IF(T7034=1,2,IF(D7034=7,1,(IF(WEEKDAY(B7034)=1,2,IF(WEEKDAY(B7034)=7,1,0))))))</f>
        <v>3</v>
      </c>
    </row>
    <row r="7035" spans="2:22">
      <c r="B7035" s="318">
        <f t="shared" si="439"/>
        <v>46405</v>
      </c>
      <c r="C7035" s="312">
        <v>23</v>
      </c>
      <c r="D7035" s="368">
        <f>IFERROR((INDEX(METADATA!$T$2:$T$20,MATCH(B7035,METADATA!$S$2:$S$20,0))),0)</f>
        <v>0</v>
      </c>
      <c r="E7035" s="312" t="str">
        <f t="shared" si="436"/>
        <v>HI</v>
      </c>
      <c r="F7035" s="369">
        <f>VLOOKUP(C7035,METADATA!$A$5:$H$29,IF(E7035="HI",2,IF(E7035="LO",6,10))+IF(D7035=1,2,IF(D7035=7,1,(IF(WEEKDAY(B7035)=1,2,IF(WEEKDAY(B7035)=7,1,0))))))</f>
        <v>3</v>
      </c>
      <c r="G7035" s="369">
        <f>VLOOKUP(C7035,METADATA!$J$5:$Q$29,IF(E7035="HI",2,IF(E7035="LO",6,10))+IF(D7035=1,2,IF(D7035=7,1,(IF(WEEKDAY(B7035)=1,2,IF(WEEKDAY(B7035)=7,1,0))))))</f>
        <v>3</v>
      </c>
      <c r="H7035" s="370">
        <v>13430.000183105469</v>
      </c>
      <c r="I7035" s="370">
        <v>4480.0350036621094</v>
      </c>
      <c r="M7035" s="371">
        <f t="shared" si="437"/>
        <v>14157.528688024993</v>
      </c>
      <c r="N7035" s="329">
        <f t="shared" si="438"/>
        <v>451.03494873046884</v>
      </c>
      <c r="T7035" s="331">
        <v>0</v>
      </c>
      <c r="U7035" s="328">
        <f>VLOOKUP(C7035,METADATA!$J$5:$Q$29,IF(E7035="HI",2,IF(E7035="LO",6,10))+IF(T7035=1,2,IF(D7035=7,1,(IF(WEEKDAY(B7035)=1,2,IF(WEEKDAY(B7035)=7,1,0))))))</f>
        <v>3</v>
      </c>
      <c r="V7035" s="328">
        <f>VLOOKUP(C7035,METADATA!$A$5:$H$29,IF(E7035="HI",2,IF(E7035="LO",6,10))+IF(T7035=1,2,IF(D7035=7,1,(IF(WEEKDAY(B7035)=1,2,IF(WEEKDAY(B7035)=7,1,0))))))</f>
        <v>3</v>
      </c>
    </row>
    <row r="7036" spans="2:22">
      <c r="B7036" s="318">
        <f t="shared" si="439"/>
        <v>46406</v>
      </c>
      <c r="C7036" s="312">
        <v>0</v>
      </c>
      <c r="D7036" s="368">
        <f>IFERROR((INDEX(METADATA!$T$2:$T$20,MATCH(B7036,METADATA!$S$2:$S$20,0))),0)</f>
        <v>0</v>
      </c>
      <c r="E7036" s="312" t="str">
        <f t="shared" si="436"/>
        <v>HI</v>
      </c>
      <c r="F7036" s="369">
        <f>VLOOKUP(C7036,METADATA!$A$5:$H$29,IF(E7036="HI",2,IF(E7036="LO",6,10))+IF(D7036=1,2,IF(D7036=7,1,(IF(WEEKDAY(B7036)=1,2,IF(WEEKDAY(B7036)=7,1,0))))))</f>
        <v>3</v>
      </c>
      <c r="G7036" s="369">
        <f>VLOOKUP(C7036,METADATA!$J$5:$Q$29,IF(E7036="HI",2,IF(E7036="LO",6,10))+IF(D7036=1,2,IF(D7036=7,1,(IF(WEEKDAY(B7036)=1,2,IF(WEEKDAY(B7036)=7,1,0))))))</f>
        <v>3</v>
      </c>
      <c r="H7036" s="370">
        <v>13887.074951171875</v>
      </c>
      <c r="I7036" s="370">
        <v>4831.3099975585938</v>
      </c>
      <c r="M7036" s="371">
        <f t="shared" si="437"/>
        <v>14703.482818433698</v>
      </c>
      <c r="N7036" s="329">
        <f t="shared" si="438"/>
        <v>665.18751220703143</v>
      </c>
      <c r="T7036" s="331">
        <v>0</v>
      </c>
      <c r="U7036" s="328">
        <f>VLOOKUP(C7036,METADATA!$J$5:$Q$29,IF(E7036="HI",2,IF(E7036="LO",6,10))+IF(T7036=1,2,IF(D7036=7,1,(IF(WEEKDAY(B7036)=1,2,IF(WEEKDAY(B7036)=7,1,0))))))</f>
        <v>3</v>
      </c>
      <c r="V7036" s="328">
        <f>VLOOKUP(C7036,METADATA!$A$5:$H$29,IF(E7036="HI",2,IF(E7036="LO",6,10))+IF(T7036=1,2,IF(D7036=7,1,(IF(WEEKDAY(B7036)=1,2,IF(WEEKDAY(B7036)=7,1,0))))))</f>
        <v>3</v>
      </c>
    </row>
    <row r="7037" spans="2:22">
      <c r="B7037" s="318">
        <f t="shared" si="439"/>
        <v>46406</v>
      </c>
      <c r="C7037" s="312">
        <v>1</v>
      </c>
      <c r="D7037" s="368">
        <f>IFERROR((INDEX(METADATA!$T$2:$T$20,MATCH(B7037,METADATA!$S$2:$S$20,0))),0)</f>
        <v>0</v>
      </c>
      <c r="E7037" s="312" t="str">
        <f t="shared" si="436"/>
        <v>HI</v>
      </c>
      <c r="F7037" s="369">
        <f>VLOOKUP(C7037,METADATA!$A$5:$H$29,IF(E7037="HI",2,IF(E7037="LO",6,10))+IF(D7037=1,2,IF(D7037=7,1,(IF(WEEKDAY(B7037)=1,2,IF(WEEKDAY(B7037)=7,1,0))))))</f>
        <v>3</v>
      </c>
      <c r="G7037" s="369">
        <f>VLOOKUP(C7037,METADATA!$J$5:$Q$29,IF(E7037="HI",2,IF(E7037="LO",6,10))+IF(D7037=1,2,IF(D7037=7,1,(IF(WEEKDAY(B7037)=1,2,IF(WEEKDAY(B7037)=7,1,0))))))</f>
        <v>3</v>
      </c>
      <c r="H7037" s="370">
        <v>13643.0830078125</v>
      </c>
      <c r="I7037" s="370">
        <v>4749.2774963378906</v>
      </c>
      <c r="M7037" s="371">
        <f t="shared" si="437"/>
        <v>14446.084268592776</v>
      </c>
      <c r="N7037" s="329">
        <f t="shared" si="438"/>
        <v>656.35259399414099</v>
      </c>
      <c r="T7037" s="331">
        <v>0</v>
      </c>
      <c r="U7037" s="328">
        <f>VLOOKUP(C7037,METADATA!$J$5:$Q$29,IF(E7037="HI",2,IF(E7037="LO",6,10))+IF(T7037=1,2,IF(D7037=7,1,(IF(WEEKDAY(B7037)=1,2,IF(WEEKDAY(B7037)=7,1,0))))))</f>
        <v>3</v>
      </c>
      <c r="V7037" s="328">
        <f>VLOOKUP(C7037,METADATA!$A$5:$H$29,IF(E7037="HI",2,IF(E7037="LO",6,10))+IF(T7037=1,2,IF(D7037=7,1,(IF(WEEKDAY(B7037)=1,2,IF(WEEKDAY(B7037)=7,1,0))))))</f>
        <v>3</v>
      </c>
    </row>
    <row r="7038" spans="2:22">
      <c r="B7038" s="318">
        <f t="shared" si="439"/>
        <v>46406</v>
      </c>
      <c r="C7038" s="312">
        <v>2</v>
      </c>
      <c r="D7038" s="368">
        <f>IFERROR((INDEX(METADATA!$T$2:$T$20,MATCH(B7038,METADATA!$S$2:$S$20,0))),0)</f>
        <v>0</v>
      </c>
      <c r="E7038" s="312" t="str">
        <f t="shared" si="436"/>
        <v>HI</v>
      </c>
      <c r="F7038" s="369">
        <f>VLOOKUP(C7038,METADATA!$A$5:$H$29,IF(E7038="HI",2,IF(E7038="LO",6,10))+IF(D7038=1,2,IF(D7038=7,1,(IF(WEEKDAY(B7038)=1,2,IF(WEEKDAY(B7038)=7,1,0))))))</f>
        <v>3</v>
      </c>
      <c r="G7038" s="369">
        <f>VLOOKUP(C7038,METADATA!$J$5:$Q$29,IF(E7038="HI",2,IF(E7038="LO",6,10))+IF(D7038=1,2,IF(D7038=7,1,(IF(WEEKDAY(B7038)=1,2,IF(WEEKDAY(B7038)=7,1,0))))))</f>
        <v>3</v>
      </c>
      <c r="H7038" s="370">
        <v>13539.474853515625</v>
      </c>
      <c r="I7038" s="370">
        <v>4648.1100463867188</v>
      </c>
      <c r="M7038" s="371">
        <f t="shared" si="437"/>
        <v>14315.107624894166</v>
      </c>
      <c r="N7038" s="329">
        <f t="shared" si="438"/>
        <v>586.26759033203143</v>
      </c>
      <c r="T7038" s="331">
        <v>0</v>
      </c>
      <c r="U7038" s="328">
        <f>VLOOKUP(C7038,METADATA!$J$5:$Q$29,IF(E7038="HI",2,IF(E7038="LO",6,10))+IF(T7038=1,2,IF(D7038=7,1,(IF(WEEKDAY(B7038)=1,2,IF(WEEKDAY(B7038)=7,1,0))))))</f>
        <v>3</v>
      </c>
      <c r="V7038" s="328">
        <f>VLOOKUP(C7038,METADATA!$A$5:$H$29,IF(E7038="HI",2,IF(E7038="LO",6,10))+IF(T7038=1,2,IF(D7038=7,1,(IF(WEEKDAY(B7038)=1,2,IF(WEEKDAY(B7038)=7,1,0))))))</f>
        <v>3</v>
      </c>
    </row>
    <row r="7039" spans="2:22">
      <c r="B7039" s="318">
        <f t="shared" si="439"/>
        <v>46406</v>
      </c>
      <c r="C7039" s="312">
        <v>3</v>
      </c>
      <c r="D7039" s="368">
        <f>IFERROR((INDEX(METADATA!$T$2:$T$20,MATCH(B7039,METADATA!$S$2:$S$20,0))),0)</f>
        <v>0</v>
      </c>
      <c r="E7039" s="312" t="str">
        <f t="shared" si="436"/>
        <v>HI</v>
      </c>
      <c r="F7039" s="369">
        <f>VLOOKUP(C7039,METADATA!$A$5:$H$29,IF(E7039="HI",2,IF(E7039="LO",6,10))+IF(D7039=1,2,IF(D7039=7,1,(IF(WEEKDAY(B7039)=1,2,IF(WEEKDAY(B7039)=7,1,0))))))</f>
        <v>3</v>
      </c>
      <c r="G7039" s="369">
        <f>VLOOKUP(C7039,METADATA!$J$5:$Q$29,IF(E7039="HI",2,IF(E7039="LO",6,10))+IF(D7039=1,2,IF(D7039=7,1,(IF(WEEKDAY(B7039)=1,2,IF(WEEKDAY(B7039)=7,1,0))))))</f>
        <v>3</v>
      </c>
      <c r="H7039" s="370">
        <v>13387.700256347656</v>
      </c>
      <c r="I7039" s="370">
        <v>4644.6151123046875</v>
      </c>
      <c r="M7039" s="371">
        <f t="shared" si="437"/>
        <v>14170.496381399636</v>
      </c>
      <c r="N7039" s="329">
        <f t="shared" si="438"/>
        <v>628.30503540039081</v>
      </c>
      <c r="T7039" s="331">
        <v>0</v>
      </c>
      <c r="U7039" s="328">
        <f>VLOOKUP(C7039,METADATA!$J$5:$Q$29,IF(E7039="HI",2,IF(E7039="LO",6,10))+IF(T7039=1,2,IF(D7039=7,1,(IF(WEEKDAY(B7039)=1,2,IF(WEEKDAY(B7039)=7,1,0))))))</f>
        <v>3</v>
      </c>
      <c r="V7039" s="328">
        <f>VLOOKUP(C7039,METADATA!$A$5:$H$29,IF(E7039="HI",2,IF(E7039="LO",6,10))+IF(T7039=1,2,IF(D7039=7,1,(IF(WEEKDAY(B7039)=1,2,IF(WEEKDAY(B7039)=7,1,0))))))</f>
        <v>3</v>
      </c>
    </row>
    <row r="7040" spans="2:22">
      <c r="B7040" s="318">
        <f t="shared" si="439"/>
        <v>46406</v>
      </c>
      <c r="C7040" s="312">
        <v>4</v>
      </c>
      <c r="D7040" s="368">
        <f>IFERROR((INDEX(METADATA!$T$2:$T$20,MATCH(B7040,METADATA!$S$2:$S$20,0))),0)</f>
        <v>0</v>
      </c>
      <c r="E7040" s="312" t="str">
        <f t="shared" si="436"/>
        <v>HI</v>
      </c>
      <c r="F7040" s="369">
        <f>VLOOKUP(C7040,METADATA!$A$5:$H$29,IF(E7040="HI",2,IF(E7040="LO",6,10))+IF(D7040=1,2,IF(D7040=7,1,(IF(WEEKDAY(B7040)=1,2,IF(WEEKDAY(B7040)=7,1,0))))))</f>
        <v>3</v>
      </c>
      <c r="G7040" s="369">
        <f>VLOOKUP(C7040,METADATA!$J$5:$Q$29,IF(E7040="HI",2,IF(E7040="LO",6,10))+IF(D7040=1,2,IF(D7040=7,1,(IF(WEEKDAY(B7040)=1,2,IF(WEEKDAY(B7040)=7,1,0))))))</f>
        <v>3</v>
      </c>
      <c r="H7040" s="370">
        <v>13727.250244140625</v>
      </c>
      <c r="I7040" s="370">
        <v>4694.9250183105469</v>
      </c>
      <c r="M7040" s="371">
        <f t="shared" si="437"/>
        <v>14507.919223404064</v>
      </c>
      <c r="N7040" s="329">
        <f t="shared" si="438"/>
        <v>576.74994506835992</v>
      </c>
      <c r="T7040" s="331">
        <v>0</v>
      </c>
      <c r="U7040" s="328">
        <f>VLOOKUP(C7040,METADATA!$J$5:$Q$29,IF(E7040="HI",2,IF(E7040="LO",6,10))+IF(T7040=1,2,IF(D7040=7,1,(IF(WEEKDAY(B7040)=1,2,IF(WEEKDAY(B7040)=7,1,0))))))</f>
        <v>3</v>
      </c>
      <c r="V7040" s="328">
        <f>VLOOKUP(C7040,METADATA!$A$5:$H$29,IF(E7040="HI",2,IF(E7040="LO",6,10))+IF(T7040=1,2,IF(D7040=7,1,(IF(WEEKDAY(B7040)=1,2,IF(WEEKDAY(B7040)=7,1,0))))))</f>
        <v>3</v>
      </c>
    </row>
    <row r="7041" spans="2:22">
      <c r="B7041" s="318">
        <f t="shared" si="439"/>
        <v>46406</v>
      </c>
      <c r="C7041" s="312">
        <v>5</v>
      </c>
      <c r="D7041" s="368">
        <f>IFERROR((INDEX(METADATA!$T$2:$T$20,MATCH(B7041,METADATA!$S$2:$S$20,0))),0)</f>
        <v>0</v>
      </c>
      <c r="E7041" s="312" t="str">
        <f t="shared" si="436"/>
        <v>HI</v>
      </c>
      <c r="F7041" s="369">
        <f>VLOOKUP(C7041,METADATA!$A$5:$H$29,IF(E7041="HI",2,IF(E7041="LO",6,10))+IF(D7041=1,2,IF(D7041=7,1,(IF(WEEKDAY(B7041)=1,2,IF(WEEKDAY(B7041)=7,1,0))))))</f>
        <v>3</v>
      </c>
      <c r="G7041" s="369">
        <f>VLOOKUP(C7041,METADATA!$J$5:$Q$29,IF(E7041="HI",2,IF(E7041="LO",6,10))+IF(D7041=1,2,IF(D7041=7,1,(IF(WEEKDAY(B7041)=1,2,IF(WEEKDAY(B7041)=7,1,0))))))</f>
        <v>3</v>
      </c>
      <c r="H7041" s="370">
        <v>13483.25</v>
      </c>
      <c r="I7041" s="370">
        <v>4429.1649169921875</v>
      </c>
      <c r="M7041" s="371">
        <f t="shared" si="437"/>
        <v>14192.094011259029</v>
      </c>
      <c r="N7041" s="329">
        <f t="shared" si="438"/>
        <v>384.18991699218759</v>
      </c>
      <c r="T7041" s="331">
        <v>0</v>
      </c>
      <c r="U7041" s="328">
        <f>VLOOKUP(C7041,METADATA!$J$5:$Q$29,IF(E7041="HI",2,IF(E7041="LO",6,10))+IF(T7041=1,2,IF(D7041=7,1,(IF(WEEKDAY(B7041)=1,2,IF(WEEKDAY(B7041)=7,1,0))))))</f>
        <v>3</v>
      </c>
      <c r="V7041" s="328">
        <f>VLOOKUP(C7041,METADATA!$A$5:$H$29,IF(E7041="HI",2,IF(E7041="LO",6,10))+IF(T7041=1,2,IF(D7041=7,1,(IF(WEEKDAY(B7041)=1,2,IF(WEEKDAY(B7041)=7,1,0))))))</f>
        <v>3</v>
      </c>
    </row>
    <row r="7042" spans="2:22">
      <c r="B7042" s="318">
        <f t="shared" si="439"/>
        <v>46406</v>
      </c>
      <c r="C7042" s="312">
        <v>6</v>
      </c>
      <c r="D7042" s="368">
        <f>IFERROR((INDEX(METADATA!$T$2:$T$20,MATCH(B7042,METADATA!$S$2:$S$20,0))),0)</f>
        <v>0</v>
      </c>
      <c r="E7042" s="312" t="str">
        <f t="shared" si="436"/>
        <v>HI</v>
      </c>
      <c r="F7042" s="369">
        <f>VLOOKUP(C7042,METADATA!$A$5:$H$29,IF(E7042="HI",2,IF(E7042="LO",6,10))+IF(D7042=1,2,IF(D7042=7,1,(IF(WEEKDAY(B7042)=1,2,IF(WEEKDAY(B7042)=7,1,0))))))</f>
        <v>1</v>
      </c>
      <c r="G7042" s="369">
        <f>VLOOKUP(C7042,METADATA!$J$5:$Q$29,IF(E7042="HI",2,IF(E7042="LO",6,10))+IF(D7042=1,2,IF(D7042=7,1,(IF(WEEKDAY(B7042)=1,2,IF(WEEKDAY(B7042)=7,1,0))))))</f>
        <v>1</v>
      </c>
      <c r="H7042" s="370">
        <v>13826.750061035156</v>
      </c>
      <c r="I7042" s="370">
        <v>4590.7149963378906</v>
      </c>
      <c r="M7042" s="371">
        <f t="shared" si="437"/>
        <v>14568.928630065331</v>
      </c>
      <c r="N7042" s="329">
        <f t="shared" si="438"/>
        <v>442.6899780273443</v>
      </c>
      <c r="T7042" s="331">
        <v>0</v>
      </c>
      <c r="U7042" s="328">
        <f>VLOOKUP(C7042,METADATA!$J$5:$Q$29,IF(E7042="HI",2,IF(E7042="LO",6,10))+IF(T7042=1,2,IF(D7042=7,1,(IF(WEEKDAY(B7042)=1,2,IF(WEEKDAY(B7042)=7,1,0))))))</f>
        <v>1</v>
      </c>
      <c r="V7042" s="328">
        <f>VLOOKUP(C7042,METADATA!$A$5:$H$29,IF(E7042="HI",2,IF(E7042="LO",6,10))+IF(T7042=1,2,IF(D7042=7,1,(IF(WEEKDAY(B7042)=1,2,IF(WEEKDAY(B7042)=7,1,0))))))</f>
        <v>1</v>
      </c>
    </row>
    <row r="7043" spans="2:22">
      <c r="B7043" s="318">
        <f t="shared" si="439"/>
        <v>46406</v>
      </c>
      <c r="C7043" s="312">
        <v>7</v>
      </c>
      <c r="D7043" s="368">
        <f>IFERROR((INDEX(METADATA!$T$2:$T$20,MATCH(B7043,METADATA!$S$2:$S$20,0))),0)</f>
        <v>0</v>
      </c>
      <c r="E7043" s="312" t="str">
        <f t="shared" si="436"/>
        <v>HI</v>
      </c>
      <c r="F7043" s="369">
        <f>VLOOKUP(C7043,METADATA!$A$5:$H$29,IF(E7043="HI",2,IF(E7043="LO",6,10))+IF(D7043=1,2,IF(D7043=7,1,(IF(WEEKDAY(B7043)=1,2,IF(WEEKDAY(B7043)=7,1,0))))))</f>
        <v>1</v>
      </c>
      <c r="G7043" s="369">
        <f>VLOOKUP(C7043,METADATA!$J$5:$Q$29,IF(E7043="HI",2,IF(E7043="LO",6,10))+IF(D7043=1,2,IF(D7043=7,1,(IF(WEEKDAY(B7043)=1,2,IF(WEEKDAY(B7043)=7,1,0))))))</f>
        <v>1</v>
      </c>
      <c r="H7043" s="370">
        <v>7716.9749755859375</v>
      </c>
      <c r="I7043" s="370">
        <v>2655.4450073242188</v>
      </c>
      <c r="M7043" s="371">
        <f t="shared" si="437"/>
        <v>8161.071679671898</v>
      </c>
      <c r="N7043" s="329">
        <f t="shared" si="438"/>
        <v>340.35251464843759</v>
      </c>
      <c r="T7043" s="331">
        <v>0</v>
      </c>
      <c r="U7043" s="328">
        <f>VLOOKUP(C7043,METADATA!$J$5:$Q$29,IF(E7043="HI",2,IF(E7043="LO",6,10))+IF(T7043=1,2,IF(D7043=7,1,(IF(WEEKDAY(B7043)=1,2,IF(WEEKDAY(B7043)=7,1,0))))))</f>
        <v>1</v>
      </c>
      <c r="V7043" s="328">
        <f>VLOOKUP(C7043,METADATA!$A$5:$H$29,IF(E7043="HI",2,IF(E7043="LO",6,10))+IF(T7043=1,2,IF(D7043=7,1,(IF(WEEKDAY(B7043)=1,2,IF(WEEKDAY(B7043)=7,1,0))))))</f>
        <v>1</v>
      </c>
    </row>
    <row r="7044" spans="2:22">
      <c r="B7044" s="318">
        <f t="shared" si="439"/>
        <v>46406</v>
      </c>
      <c r="C7044" s="312">
        <v>8</v>
      </c>
      <c r="D7044" s="368">
        <f>IFERROR((INDEX(METADATA!$T$2:$T$20,MATCH(B7044,METADATA!$S$2:$S$20,0))),0)</f>
        <v>0</v>
      </c>
      <c r="E7044" s="312" t="str">
        <f t="shared" ref="E7044:E7107" si="440">IF(B7044="","",IF(AND(MONTH(B7044)&gt;=MONTH($Z$9),MONTH(B7044)&lt;=MONTH($Z$11)),"HI","LO"))</f>
        <v>HI</v>
      </c>
      <c r="F7044" s="369">
        <f>VLOOKUP(C7044,METADATA!$A$5:$H$29,IF(E7044="HI",2,IF(E7044="LO",6,10))+IF(D7044=1,2,IF(D7044=7,1,(IF(WEEKDAY(B7044)=1,2,IF(WEEKDAY(B7044)=7,1,0))))))</f>
        <v>2</v>
      </c>
      <c r="G7044" s="369">
        <f>VLOOKUP(C7044,METADATA!$J$5:$Q$29,IF(E7044="HI",2,IF(E7044="LO",6,10))+IF(D7044=1,2,IF(D7044=7,1,(IF(WEEKDAY(B7044)=1,2,IF(WEEKDAY(B7044)=7,1,0))))))</f>
        <v>2</v>
      </c>
      <c r="H7044" s="370">
        <v>4072.0450134277344</v>
      </c>
      <c r="I7044" s="370">
        <v>1633.302490234375</v>
      </c>
      <c r="M7044" s="371">
        <f t="shared" ref="M7044:M7107" si="441">SQRT(H7044^2+I7044^2)</f>
        <v>4387.394171485791</v>
      </c>
      <c r="N7044" s="329">
        <f t="shared" ref="N7044:N7107" si="442">IF(H7044=0,0,(IF(I7044-(0.3*H7044)&lt;0,0,(I7044-(0.3*H7044)))))</f>
        <v>411.68898620605478</v>
      </c>
      <c r="T7044" s="331">
        <v>0</v>
      </c>
      <c r="U7044" s="328">
        <f>VLOOKUP(C7044,METADATA!$J$5:$Q$29,IF(E7044="HI",2,IF(E7044="LO",6,10))+IF(T7044=1,2,IF(D7044=7,1,(IF(WEEKDAY(B7044)=1,2,IF(WEEKDAY(B7044)=7,1,0))))))</f>
        <v>2</v>
      </c>
      <c r="V7044" s="328">
        <f>VLOOKUP(C7044,METADATA!$A$5:$H$29,IF(E7044="HI",2,IF(E7044="LO",6,10))+IF(T7044=1,2,IF(D7044=7,1,(IF(WEEKDAY(B7044)=1,2,IF(WEEKDAY(B7044)=7,1,0))))))</f>
        <v>2</v>
      </c>
    </row>
    <row r="7045" spans="2:22">
      <c r="B7045" s="318">
        <f t="shared" si="439"/>
        <v>46406</v>
      </c>
      <c r="C7045" s="312">
        <v>9</v>
      </c>
      <c r="D7045" s="368">
        <f>IFERROR((INDEX(METADATA!$T$2:$T$20,MATCH(B7045,METADATA!$S$2:$S$20,0))),0)</f>
        <v>0</v>
      </c>
      <c r="E7045" s="312" t="str">
        <f t="shared" si="440"/>
        <v>HI</v>
      </c>
      <c r="F7045" s="369">
        <f>VLOOKUP(C7045,METADATA!$A$5:$H$29,IF(E7045="HI",2,IF(E7045="LO",6,10))+IF(D7045=1,2,IF(D7045=7,1,(IF(WEEKDAY(B7045)=1,2,IF(WEEKDAY(B7045)=7,1,0))))))</f>
        <v>2</v>
      </c>
      <c r="G7045" s="369">
        <f>VLOOKUP(C7045,METADATA!$J$5:$Q$29,IF(E7045="HI",2,IF(E7045="LO",6,10))+IF(D7045=1,2,IF(D7045=7,1,(IF(WEEKDAY(B7045)=1,2,IF(WEEKDAY(B7045)=7,1,0))))))</f>
        <v>2</v>
      </c>
      <c r="H7045" s="370">
        <v>3513.5999755859375</v>
      </c>
      <c r="I7045" s="370">
        <v>1465.487548828125</v>
      </c>
      <c r="M7045" s="371">
        <f t="shared" si="441"/>
        <v>3806.9723592650062</v>
      </c>
      <c r="N7045" s="329">
        <f t="shared" si="442"/>
        <v>411.40755615234389</v>
      </c>
      <c r="T7045" s="331">
        <v>0</v>
      </c>
      <c r="U7045" s="328">
        <f>VLOOKUP(C7045,METADATA!$J$5:$Q$29,IF(E7045="HI",2,IF(E7045="LO",6,10))+IF(T7045=1,2,IF(D7045=7,1,(IF(WEEKDAY(B7045)=1,2,IF(WEEKDAY(B7045)=7,1,0))))))</f>
        <v>2</v>
      </c>
      <c r="V7045" s="328">
        <f>VLOOKUP(C7045,METADATA!$A$5:$H$29,IF(E7045="HI",2,IF(E7045="LO",6,10))+IF(T7045=1,2,IF(D7045=7,1,(IF(WEEKDAY(B7045)=1,2,IF(WEEKDAY(B7045)=7,1,0))))))</f>
        <v>2</v>
      </c>
    </row>
    <row r="7046" spans="2:22">
      <c r="B7046" s="318">
        <f t="shared" si="439"/>
        <v>46406</v>
      </c>
      <c r="C7046" s="312">
        <v>10</v>
      </c>
      <c r="D7046" s="368">
        <f>IFERROR((INDEX(METADATA!$T$2:$T$20,MATCH(B7046,METADATA!$S$2:$S$20,0))),0)</f>
        <v>0</v>
      </c>
      <c r="E7046" s="312" t="str">
        <f t="shared" si="440"/>
        <v>HI</v>
      </c>
      <c r="F7046" s="369">
        <f>VLOOKUP(C7046,METADATA!$A$5:$H$29,IF(E7046="HI",2,IF(E7046="LO",6,10))+IF(D7046=1,2,IF(D7046=7,1,(IF(WEEKDAY(B7046)=1,2,IF(WEEKDAY(B7046)=7,1,0))))))</f>
        <v>2</v>
      </c>
      <c r="G7046" s="369">
        <f>VLOOKUP(C7046,METADATA!$J$5:$Q$29,IF(E7046="HI",2,IF(E7046="LO",6,10))+IF(D7046=1,2,IF(D7046=7,1,(IF(WEEKDAY(B7046)=1,2,IF(WEEKDAY(B7046)=7,1,0))))))</f>
        <v>2</v>
      </c>
      <c r="H7046" s="370">
        <v>3383.8800048828125</v>
      </c>
      <c r="I7046" s="370">
        <v>1428.6949768066406</v>
      </c>
      <c r="M7046" s="371">
        <f t="shared" si="441"/>
        <v>3673.1203661462318</v>
      </c>
      <c r="N7046" s="329">
        <f t="shared" si="442"/>
        <v>413.53097534179688</v>
      </c>
      <c r="T7046" s="331">
        <v>0</v>
      </c>
      <c r="U7046" s="328">
        <f>VLOOKUP(C7046,METADATA!$J$5:$Q$29,IF(E7046="HI",2,IF(E7046="LO",6,10))+IF(T7046=1,2,IF(D7046=7,1,(IF(WEEKDAY(B7046)=1,2,IF(WEEKDAY(B7046)=7,1,0))))))</f>
        <v>2</v>
      </c>
      <c r="V7046" s="328">
        <f>VLOOKUP(C7046,METADATA!$A$5:$H$29,IF(E7046="HI",2,IF(E7046="LO",6,10))+IF(T7046=1,2,IF(D7046=7,1,(IF(WEEKDAY(B7046)=1,2,IF(WEEKDAY(B7046)=7,1,0))))))</f>
        <v>2</v>
      </c>
    </row>
    <row r="7047" spans="2:22">
      <c r="B7047" s="318">
        <f t="shared" si="439"/>
        <v>46406</v>
      </c>
      <c r="C7047" s="312">
        <v>11</v>
      </c>
      <c r="D7047" s="368">
        <f>IFERROR((INDEX(METADATA!$T$2:$T$20,MATCH(B7047,METADATA!$S$2:$S$20,0))),0)</f>
        <v>0</v>
      </c>
      <c r="E7047" s="312" t="str">
        <f t="shared" si="440"/>
        <v>HI</v>
      </c>
      <c r="F7047" s="369">
        <f>VLOOKUP(C7047,METADATA!$A$5:$H$29,IF(E7047="HI",2,IF(E7047="LO",6,10))+IF(D7047=1,2,IF(D7047=7,1,(IF(WEEKDAY(B7047)=1,2,IF(WEEKDAY(B7047)=7,1,0))))))</f>
        <v>2</v>
      </c>
      <c r="G7047" s="369">
        <f>VLOOKUP(C7047,METADATA!$J$5:$Q$29,IF(E7047="HI",2,IF(E7047="LO",6,10))+IF(D7047=1,2,IF(D7047=7,1,(IF(WEEKDAY(B7047)=1,2,IF(WEEKDAY(B7047)=7,1,0))))))</f>
        <v>2</v>
      </c>
      <c r="H7047" s="370">
        <v>3479.0150146484375</v>
      </c>
      <c r="I7047" s="370">
        <v>1429.0575256347656</v>
      </c>
      <c r="M7047" s="371">
        <f t="shared" si="441"/>
        <v>3761.0837379301497</v>
      </c>
      <c r="N7047" s="329">
        <f t="shared" si="442"/>
        <v>385.35302124023451</v>
      </c>
      <c r="T7047" s="331">
        <v>0</v>
      </c>
      <c r="U7047" s="328">
        <f>VLOOKUP(C7047,METADATA!$J$5:$Q$29,IF(E7047="HI",2,IF(E7047="LO",6,10))+IF(T7047=1,2,IF(D7047=7,1,(IF(WEEKDAY(B7047)=1,2,IF(WEEKDAY(B7047)=7,1,0))))))</f>
        <v>2</v>
      </c>
      <c r="V7047" s="328">
        <f>VLOOKUP(C7047,METADATA!$A$5:$H$29,IF(E7047="HI",2,IF(E7047="LO",6,10))+IF(T7047=1,2,IF(D7047=7,1,(IF(WEEKDAY(B7047)=1,2,IF(WEEKDAY(B7047)=7,1,0))))))</f>
        <v>2</v>
      </c>
    </row>
    <row r="7048" spans="2:22">
      <c r="B7048" s="318">
        <f t="shared" si="439"/>
        <v>46406</v>
      </c>
      <c r="C7048" s="312">
        <v>12</v>
      </c>
      <c r="D7048" s="368">
        <f>IFERROR((INDEX(METADATA!$T$2:$T$20,MATCH(B7048,METADATA!$S$2:$S$20,0))),0)</f>
        <v>0</v>
      </c>
      <c r="E7048" s="312" t="str">
        <f t="shared" si="440"/>
        <v>HI</v>
      </c>
      <c r="F7048" s="369">
        <f>VLOOKUP(C7048,METADATA!$A$5:$H$29,IF(E7048="HI",2,IF(E7048="LO",6,10))+IF(D7048=1,2,IF(D7048=7,1,(IF(WEEKDAY(B7048)=1,2,IF(WEEKDAY(B7048)=7,1,0))))))</f>
        <v>2</v>
      </c>
      <c r="G7048" s="369">
        <f>VLOOKUP(C7048,METADATA!$J$5:$Q$29,IF(E7048="HI",2,IF(E7048="LO",6,10))+IF(D7048=1,2,IF(D7048=7,1,(IF(WEEKDAY(B7048)=1,2,IF(WEEKDAY(B7048)=7,1,0))))))</f>
        <v>2</v>
      </c>
      <c r="H7048" s="370">
        <v>3502.4924621582031</v>
      </c>
      <c r="I7048" s="370">
        <v>1448.7100219726563</v>
      </c>
      <c r="M7048" s="371">
        <f t="shared" si="441"/>
        <v>3790.2789046769426</v>
      </c>
      <c r="N7048" s="329">
        <f t="shared" si="442"/>
        <v>397.96228332519536</v>
      </c>
      <c r="T7048" s="331">
        <v>0</v>
      </c>
      <c r="U7048" s="328">
        <f>VLOOKUP(C7048,METADATA!$J$5:$Q$29,IF(E7048="HI",2,IF(E7048="LO",6,10))+IF(T7048=1,2,IF(D7048=7,1,(IF(WEEKDAY(B7048)=1,2,IF(WEEKDAY(B7048)=7,1,0))))))</f>
        <v>2</v>
      </c>
      <c r="V7048" s="328">
        <f>VLOOKUP(C7048,METADATA!$A$5:$H$29,IF(E7048="HI",2,IF(E7048="LO",6,10))+IF(T7048=1,2,IF(D7048=7,1,(IF(WEEKDAY(B7048)=1,2,IF(WEEKDAY(B7048)=7,1,0))))))</f>
        <v>2</v>
      </c>
    </row>
    <row r="7049" spans="2:22">
      <c r="B7049" s="318">
        <f t="shared" si="439"/>
        <v>46406</v>
      </c>
      <c r="C7049" s="312">
        <v>13</v>
      </c>
      <c r="D7049" s="368">
        <f>IFERROR((INDEX(METADATA!$T$2:$T$20,MATCH(B7049,METADATA!$S$2:$S$20,0))),0)</f>
        <v>0</v>
      </c>
      <c r="E7049" s="312" t="str">
        <f t="shared" si="440"/>
        <v>HI</v>
      </c>
      <c r="F7049" s="369">
        <f>VLOOKUP(C7049,METADATA!$A$5:$H$29,IF(E7049="HI",2,IF(E7049="LO",6,10))+IF(D7049=1,2,IF(D7049=7,1,(IF(WEEKDAY(B7049)=1,2,IF(WEEKDAY(B7049)=7,1,0))))))</f>
        <v>2</v>
      </c>
      <c r="G7049" s="369">
        <f>VLOOKUP(C7049,METADATA!$J$5:$Q$29,IF(E7049="HI",2,IF(E7049="LO",6,10))+IF(D7049=1,2,IF(D7049=7,1,(IF(WEEKDAY(B7049)=1,2,IF(WEEKDAY(B7049)=7,1,0))))))</f>
        <v>2</v>
      </c>
      <c r="H7049" s="370">
        <v>3755.4125061035156</v>
      </c>
      <c r="I7049" s="370">
        <v>1531.1549987792969</v>
      </c>
      <c r="M7049" s="371">
        <f t="shared" si="441"/>
        <v>4055.5589899896063</v>
      </c>
      <c r="N7049" s="329">
        <f t="shared" si="442"/>
        <v>404.53124694824214</v>
      </c>
      <c r="T7049" s="331">
        <v>0</v>
      </c>
      <c r="U7049" s="328">
        <f>VLOOKUP(C7049,METADATA!$J$5:$Q$29,IF(E7049="HI",2,IF(E7049="LO",6,10))+IF(T7049=1,2,IF(D7049=7,1,(IF(WEEKDAY(B7049)=1,2,IF(WEEKDAY(B7049)=7,1,0))))))</f>
        <v>2</v>
      </c>
      <c r="V7049" s="328">
        <f>VLOOKUP(C7049,METADATA!$A$5:$H$29,IF(E7049="HI",2,IF(E7049="LO",6,10))+IF(T7049=1,2,IF(D7049=7,1,(IF(WEEKDAY(B7049)=1,2,IF(WEEKDAY(B7049)=7,1,0))))))</f>
        <v>2</v>
      </c>
    </row>
    <row r="7050" spans="2:22">
      <c r="B7050" s="318">
        <f t="shared" si="439"/>
        <v>46406</v>
      </c>
      <c r="C7050" s="312">
        <v>14</v>
      </c>
      <c r="D7050" s="368">
        <f>IFERROR((INDEX(METADATA!$T$2:$T$20,MATCH(B7050,METADATA!$S$2:$S$20,0))),0)</f>
        <v>0</v>
      </c>
      <c r="E7050" s="312" t="str">
        <f t="shared" si="440"/>
        <v>HI</v>
      </c>
      <c r="F7050" s="369">
        <f>VLOOKUP(C7050,METADATA!$A$5:$H$29,IF(E7050="HI",2,IF(E7050="LO",6,10))+IF(D7050=1,2,IF(D7050=7,1,(IF(WEEKDAY(B7050)=1,2,IF(WEEKDAY(B7050)=7,1,0))))))</f>
        <v>2</v>
      </c>
      <c r="G7050" s="369">
        <f>VLOOKUP(C7050,METADATA!$J$5:$Q$29,IF(E7050="HI",2,IF(E7050="LO",6,10))+IF(D7050=1,2,IF(D7050=7,1,(IF(WEEKDAY(B7050)=1,2,IF(WEEKDAY(B7050)=7,1,0))))))</f>
        <v>2</v>
      </c>
      <c r="H7050" s="370">
        <v>4905.9800109863281</v>
      </c>
      <c r="I7050" s="370">
        <v>1579.9650268554688</v>
      </c>
      <c r="M7050" s="371">
        <f t="shared" si="441"/>
        <v>5154.117708617433</v>
      </c>
      <c r="N7050" s="329">
        <f t="shared" si="442"/>
        <v>108.17102355957036</v>
      </c>
      <c r="T7050" s="331">
        <v>0</v>
      </c>
      <c r="U7050" s="328">
        <f>VLOOKUP(C7050,METADATA!$J$5:$Q$29,IF(E7050="HI",2,IF(E7050="LO",6,10))+IF(T7050=1,2,IF(D7050=7,1,(IF(WEEKDAY(B7050)=1,2,IF(WEEKDAY(B7050)=7,1,0))))))</f>
        <v>2</v>
      </c>
      <c r="V7050" s="328">
        <f>VLOOKUP(C7050,METADATA!$A$5:$H$29,IF(E7050="HI",2,IF(E7050="LO",6,10))+IF(T7050=1,2,IF(D7050=7,1,(IF(WEEKDAY(B7050)=1,2,IF(WEEKDAY(B7050)=7,1,0))))))</f>
        <v>2</v>
      </c>
    </row>
    <row r="7051" spans="2:22">
      <c r="B7051" s="318">
        <f t="shared" si="439"/>
        <v>46406</v>
      </c>
      <c r="C7051" s="312">
        <v>15</v>
      </c>
      <c r="D7051" s="368">
        <f>IFERROR((INDEX(METADATA!$T$2:$T$20,MATCH(B7051,METADATA!$S$2:$S$20,0))),0)</f>
        <v>0</v>
      </c>
      <c r="E7051" s="312" t="str">
        <f t="shared" si="440"/>
        <v>HI</v>
      </c>
      <c r="F7051" s="369">
        <f>VLOOKUP(C7051,METADATA!$A$5:$H$29,IF(E7051="HI",2,IF(E7051="LO",6,10))+IF(D7051=1,2,IF(D7051=7,1,(IF(WEEKDAY(B7051)=1,2,IF(WEEKDAY(B7051)=7,1,0))))))</f>
        <v>2</v>
      </c>
      <c r="G7051" s="369">
        <f>VLOOKUP(C7051,METADATA!$J$5:$Q$29,IF(E7051="HI",2,IF(E7051="LO",6,10))+IF(D7051=1,2,IF(D7051=7,1,(IF(WEEKDAY(B7051)=1,2,IF(WEEKDAY(B7051)=7,1,0))))))</f>
        <v>2</v>
      </c>
      <c r="H7051" s="370">
        <v>6502.1026306152344</v>
      </c>
      <c r="I7051" s="370">
        <v>1646.2099914550781</v>
      </c>
      <c r="M7051" s="371">
        <f t="shared" si="441"/>
        <v>6707.2606893589636</v>
      </c>
      <c r="N7051" s="329">
        <f t="shared" si="442"/>
        <v>0</v>
      </c>
      <c r="T7051" s="331">
        <v>0</v>
      </c>
      <c r="U7051" s="328">
        <f>VLOOKUP(C7051,METADATA!$J$5:$Q$29,IF(E7051="HI",2,IF(E7051="LO",6,10))+IF(T7051=1,2,IF(D7051=7,1,(IF(WEEKDAY(B7051)=1,2,IF(WEEKDAY(B7051)=7,1,0))))))</f>
        <v>2</v>
      </c>
      <c r="V7051" s="328">
        <f>VLOOKUP(C7051,METADATA!$A$5:$H$29,IF(E7051="HI",2,IF(E7051="LO",6,10))+IF(T7051=1,2,IF(D7051=7,1,(IF(WEEKDAY(B7051)=1,2,IF(WEEKDAY(B7051)=7,1,0))))))</f>
        <v>2</v>
      </c>
    </row>
    <row r="7052" spans="2:22">
      <c r="B7052" s="318">
        <f t="shared" si="439"/>
        <v>46406</v>
      </c>
      <c r="C7052" s="312">
        <v>16</v>
      </c>
      <c r="D7052" s="368">
        <f>IFERROR((INDEX(METADATA!$T$2:$T$20,MATCH(B7052,METADATA!$S$2:$S$20,0))),0)</f>
        <v>0</v>
      </c>
      <c r="E7052" s="312" t="str">
        <f t="shared" si="440"/>
        <v>HI</v>
      </c>
      <c r="F7052" s="369">
        <f>VLOOKUP(C7052,METADATA!$A$5:$H$29,IF(E7052="HI",2,IF(E7052="LO",6,10))+IF(D7052=1,2,IF(D7052=7,1,(IF(WEEKDAY(B7052)=1,2,IF(WEEKDAY(B7052)=7,1,0))))))</f>
        <v>2</v>
      </c>
      <c r="G7052" s="369">
        <f>VLOOKUP(C7052,METADATA!$J$5:$Q$29,IF(E7052="HI",2,IF(E7052="LO",6,10))+IF(D7052=1,2,IF(D7052=7,1,(IF(WEEKDAY(B7052)=1,2,IF(WEEKDAY(B7052)=7,1,0))))))</f>
        <v>2</v>
      </c>
      <c r="H7052" s="370">
        <v>8938.7499389648438</v>
      </c>
      <c r="I7052" s="370">
        <v>2436.3300012350082</v>
      </c>
      <c r="M7052" s="371">
        <f t="shared" si="441"/>
        <v>9264.8234924504504</v>
      </c>
      <c r="N7052" s="329">
        <f t="shared" si="442"/>
        <v>0</v>
      </c>
      <c r="T7052" s="331">
        <v>0</v>
      </c>
      <c r="U7052" s="328">
        <f>VLOOKUP(C7052,METADATA!$J$5:$Q$29,IF(E7052="HI",2,IF(E7052="LO",6,10))+IF(T7052=1,2,IF(D7052=7,1,(IF(WEEKDAY(B7052)=1,2,IF(WEEKDAY(B7052)=7,1,0))))))</f>
        <v>2</v>
      </c>
      <c r="V7052" s="328">
        <f>VLOOKUP(C7052,METADATA!$A$5:$H$29,IF(E7052="HI",2,IF(E7052="LO",6,10))+IF(T7052=1,2,IF(D7052=7,1,(IF(WEEKDAY(B7052)=1,2,IF(WEEKDAY(B7052)=7,1,0))))))</f>
        <v>2</v>
      </c>
    </row>
    <row r="7053" spans="2:22">
      <c r="B7053" s="318">
        <f t="shared" si="439"/>
        <v>46406</v>
      </c>
      <c r="C7053" s="312">
        <v>17</v>
      </c>
      <c r="D7053" s="368">
        <f>IFERROR((INDEX(METADATA!$T$2:$T$20,MATCH(B7053,METADATA!$S$2:$S$20,0))),0)</f>
        <v>0</v>
      </c>
      <c r="E7053" s="312" t="str">
        <f t="shared" si="440"/>
        <v>HI</v>
      </c>
      <c r="F7053" s="369">
        <f>VLOOKUP(C7053,METADATA!$A$5:$H$29,IF(E7053="HI",2,IF(E7053="LO",6,10))+IF(D7053=1,2,IF(D7053=7,1,(IF(WEEKDAY(B7053)=1,2,IF(WEEKDAY(B7053)=7,1,0))))))</f>
        <v>1</v>
      </c>
      <c r="G7053" s="369">
        <f>VLOOKUP(C7053,METADATA!$J$5:$Q$29,IF(E7053="HI",2,IF(E7053="LO",6,10))+IF(D7053=1,2,IF(D7053=7,1,(IF(WEEKDAY(B7053)=1,2,IF(WEEKDAY(B7053)=7,1,0))))))</f>
        <v>1</v>
      </c>
      <c r="H7053" s="370">
        <v>12571.875</v>
      </c>
      <c r="I7053" s="370">
        <v>3515.0149993896484</v>
      </c>
      <c r="M7053" s="371">
        <f t="shared" si="441"/>
        <v>13054.017445275582</v>
      </c>
      <c r="N7053" s="329">
        <f t="shared" si="442"/>
        <v>0</v>
      </c>
      <c r="T7053" s="331">
        <v>0</v>
      </c>
      <c r="U7053" s="328">
        <f>VLOOKUP(C7053,METADATA!$J$5:$Q$29,IF(E7053="HI",2,IF(E7053="LO",6,10))+IF(T7053=1,2,IF(D7053=7,1,(IF(WEEKDAY(B7053)=1,2,IF(WEEKDAY(B7053)=7,1,0))))))</f>
        <v>1</v>
      </c>
      <c r="V7053" s="328">
        <f>VLOOKUP(C7053,METADATA!$A$5:$H$29,IF(E7053="HI",2,IF(E7053="LO",6,10))+IF(T7053=1,2,IF(D7053=7,1,(IF(WEEKDAY(B7053)=1,2,IF(WEEKDAY(B7053)=7,1,0))))))</f>
        <v>1</v>
      </c>
    </row>
    <row r="7054" spans="2:22">
      <c r="B7054" s="318">
        <f t="shared" si="439"/>
        <v>46406</v>
      </c>
      <c r="C7054" s="312">
        <v>18</v>
      </c>
      <c r="D7054" s="368">
        <f>IFERROR((INDEX(METADATA!$T$2:$T$20,MATCH(B7054,METADATA!$S$2:$S$20,0))),0)</f>
        <v>0</v>
      </c>
      <c r="E7054" s="312" t="str">
        <f t="shared" si="440"/>
        <v>HI</v>
      </c>
      <c r="F7054" s="369">
        <f>VLOOKUP(C7054,METADATA!$A$5:$H$29,IF(E7054="HI",2,IF(E7054="LO",6,10))+IF(D7054=1,2,IF(D7054=7,1,(IF(WEEKDAY(B7054)=1,2,IF(WEEKDAY(B7054)=7,1,0))))))</f>
        <v>1</v>
      </c>
      <c r="G7054" s="369">
        <f>VLOOKUP(C7054,METADATA!$J$5:$Q$29,IF(E7054="HI",2,IF(E7054="LO",6,10))+IF(D7054=1,2,IF(D7054=7,1,(IF(WEEKDAY(B7054)=1,2,IF(WEEKDAY(B7054)=7,1,0))))))</f>
        <v>1</v>
      </c>
      <c r="H7054" s="370">
        <v>13342.375122070313</v>
      </c>
      <c r="I7054" s="370">
        <v>4359.10498046875</v>
      </c>
      <c r="M7054" s="371">
        <f t="shared" si="441"/>
        <v>14036.408733318798</v>
      </c>
      <c r="N7054" s="329">
        <f t="shared" si="442"/>
        <v>356.39244384765652</v>
      </c>
      <c r="T7054" s="331">
        <v>0</v>
      </c>
      <c r="U7054" s="328">
        <f>VLOOKUP(C7054,METADATA!$J$5:$Q$29,IF(E7054="HI",2,IF(E7054="LO",6,10))+IF(T7054=1,2,IF(D7054=7,1,(IF(WEEKDAY(B7054)=1,2,IF(WEEKDAY(B7054)=7,1,0))))))</f>
        <v>1</v>
      </c>
      <c r="V7054" s="328">
        <f>VLOOKUP(C7054,METADATA!$A$5:$H$29,IF(E7054="HI",2,IF(E7054="LO",6,10))+IF(T7054=1,2,IF(D7054=7,1,(IF(WEEKDAY(B7054)=1,2,IF(WEEKDAY(B7054)=7,1,0))))))</f>
        <v>1</v>
      </c>
    </row>
    <row r="7055" spans="2:22">
      <c r="B7055" s="318">
        <f t="shared" si="439"/>
        <v>46406</v>
      </c>
      <c r="C7055" s="312">
        <v>19</v>
      </c>
      <c r="D7055" s="368">
        <f>IFERROR((INDEX(METADATA!$T$2:$T$20,MATCH(B7055,METADATA!$S$2:$S$20,0))),0)</f>
        <v>0</v>
      </c>
      <c r="E7055" s="312" t="str">
        <f t="shared" si="440"/>
        <v>HI</v>
      </c>
      <c r="F7055" s="369">
        <f>VLOOKUP(C7055,METADATA!$A$5:$H$29,IF(E7055="HI",2,IF(E7055="LO",6,10))+IF(D7055=1,2,IF(D7055=7,1,(IF(WEEKDAY(B7055)=1,2,IF(WEEKDAY(B7055)=7,1,0))))))</f>
        <v>1</v>
      </c>
      <c r="G7055" s="369">
        <f>VLOOKUP(C7055,METADATA!$J$5:$Q$29,IF(E7055="HI",2,IF(E7055="LO",6,10))+IF(D7055=1,2,IF(D7055=7,1,(IF(WEEKDAY(B7055)=1,2,IF(WEEKDAY(B7055)=7,1,0))))))</f>
        <v>1</v>
      </c>
      <c r="H7055" s="370">
        <v>13489.950134277344</v>
      </c>
      <c r="I7055" s="370">
        <v>4304.9299621582031</v>
      </c>
      <c r="M7055" s="371">
        <f t="shared" si="441"/>
        <v>14160.196912627194</v>
      </c>
      <c r="N7055" s="329">
        <f t="shared" si="442"/>
        <v>257.94492187500009</v>
      </c>
      <c r="T7055" s="331">
        <v>0</v>
      </c>
      <c r="U7055" s="328">
        <f>VLOOKUP(C7055,METADATA!$J$5:$Q$29,IF(E7055="HI",2,IF(E7055="LO",6,10))+IF(T7055=1,2,IF(D7055=7,1,(IF(WEEKDAY(B7055)=1,2,IF(WEEKDAY(B7055)=7,1,0))))))</f>
        <v>1</v>
      </c>
      <c r="V7055" s="328">
        <f>VLOOKUP(C7055,METADATA!$A$5:$H$29,IF(E7055="HI",2,IF(E7055="LO",6,10))+IF(T7055=1,2,IF(D7055=7,1,(IF(WEEKDAY(B7055)=1,2,IF(WEEKDAY(B7055)=7,1,0))))))</f>
        <v>1</v>
      </c>
    </row>
    <row r="7056" spans="2:22">
      <c r="B7056" s="318">
        <f t="shared" si="439"/>
        <v>46406</v>
      </c>
      <c r="C7056" s="312">
        <v>20</v>
      </c>
      <c r="D7056" s="368">
        <f>IFERROR((INDEX(METADATA!$T$2:$T$20,MATCH(B7056,METADATA!$S$2:$S$20,0))),0)</f>
        <v>0</v>
      </c>
      <c r="E7056" s="312" t="str">
        <f t="shared" si="440"/>
        <v>HI</v>
      </c>
      <c r="F7056" s="369">
        <f>VLOOKUP(C7056,METADATA!$A$5:$H$29,IF(E7056="HI",2,IF(E7056="LO",6,10))+IF(D7056=1,2,IF(D7056=7,1,(IF(WEEKDAY(B7056)=1,2,IF(WEEKDAY(B7056)=7,1,0))))))</f>
        <v>2</v>
      </c>
      <c r="G7056" s="369">
        <f>VLOOKUP(C7056,METADATA!$J$5:$Q$29,IF(E7056="HI",2,IF(E7056="LO",6,10))+IF(D7056=1,2,IF(D7056=7,1,(IF(WEEKDAY(B7056)=1,2,IF(WEEKDAY(B7056)=7,1,0))))))</f>
        <v>2</v>
      </c>
      <c r="H7056" s="370">
        <v>13759.749633789063</v>
      </c>
      <c r="I7056" s="370">
        <v>4442.2549438476563</v>
      </c>
      <c r="M7056" s="371">
        <f t="shared" si="441"/>
        <v>14459.057333405148</v>
      </c>
      <c r="N7056" s="329">
        <f t="shared" si="442"/>
        <v>314.33005371093805</v>
      </c>
      <c r="T7056" s="331">
        <v>0</v>
      </c>
      <c r="U7056" s="328">
        <f>VLOOKUP(C7056,METADATA!$J$5:$Q$29,IF(E7056="HI",2,IF(E7056="LO",6,10))+IF(T7056=1,2,IF(D7056=7,1,(IF(WEEKDAY(B7056)=1,2,IF(WEEKDAY(B7056)=7,1,0))))))</f>
        <v>2</v>
      </c>
      <c r="V7056" s="328">
        <f>VLOOKUP(C7056,METADATA!$A$5:$H$29,IF(E7056="HI",2,IF(E7056="LO",6,10))+IF(T7056=1,2,IF(D7056=7,1,(IF(WEEKDAY(B7056)=1,2,IF(WEEKDAY(B7056)=7,1,0))))))</f>
        <v>2</v>
      </c>
    </row>
    <row r="7057" spans="2:22">
      <c r="B7057" s="318">
        <f t="shared" si="439"/>
        <v>46406</v>
      </c>
      <c r="C7057" s="312">
        <v>21</v>
      </c>
      <c r="D7057" s="368">
        <f>IFERROR((INDEX(METADATA!$T$2:$T$20,MATCH(B7057,METADATA!$S$2:$S$20,0))),0)</f>
        <v>0</v>
      </c>
      <c r="E7057" s="312" t="str">
        <f t="shared" si="440"/>
        <v>HI</v>
      </c>
      <c r="F7057" s="369">
        <f>VLOOKUP(C7057,METADATA!$A$5:$H$29,IF(E7057="HI",2,IF(E7057="LO",6,10))+IF(D7057=1,2,IF(D7057=7,1,(IF(WEEKDAY(B7057)=1,2,IF(WEEKDAY(B7057)=7,1,0))))))</f>
        <v>2</v>
      </c>
      <c r="G7057" s="369">
        <f>VLOOKUP(C7057,METADATA!$J$5:$Q$29,IF(E7057="HI",2,IF(E7057="LO",6,10))+IF(D7057=1,2,IF(D7057=7,1,(IF(WEEKDAY(B7057)=1,2,IF(WEEKDAY(B7057)=7,1,0))))))</f>
        <v>2</v>
      </c>
      <c r="H7057" s="370">
        <v>13902.825134277344</v>
      </c>
      <c r="I7057" s="370">
        <v>4616.0999755859375</v>
      </c>
      <c r="M7057" s="371">
        <f t="shared" si="441"/>
        <v>14649.127130955561</v>
      </c>
      <c r="N7057" s="329">
        <f t="shared" si="442"/>
        <v>445.25243530273474</v>
      </c>
      <c r="T7057" s="331">
        <v>0</v>
      </c>
      <c r="U7057" s="328">
        <f>VLOOKUP(C7057,METADATA!$J$5:$Q$29,IF(E7057="HI",2,IF(E7057="LO",6,10))+IF(T7057=1,2,IF(D7057=7,1,(IF(WEEKDAY(B7057)=1,2,IF(WEEKDAY(B7057)=7,1,0))))))</f>
        <v>2</v>
      </c>
      <c r="V7057" s="328">
        <f>VLOOKUP(C7057,METADATA!$A$5:$H$29,IF(E7057="HI",2,IF(E7057="LO",6,10))+IF(T7057=1,2,IF(D7057=7,1,(IF(WEEKDAY(B7057)=1,2,IF(WEEKDAY(B7057)=7,1,0))))))</f>
        <v>2</v>
      </c>
    </row>
    <row r="7058" spans="2:22">
      <c r="B7058" s="318">
        <f t="shared" si="439"/>
        <v>46406</v>
      </c>
      <c r="C7058" s="312">
        <v>22</v>
      </c>
      <c r="D7058" s="368">
        <f>IFERROR((INDEX(METADATA!$T$2:$T$20,MATCH(B7058,METADATA!$S$2:$S$20,0))),0)</f>
        <v>0</v>
      </c>
      <c r="E7058" s="312" t="str">
        <f t="shared" si="440"/>
        <v>HI</v>
      </c>
      <c r="F7058" s="369">
        <f>VLOOKUP(C7058,METADATA!$A$5:$H$29,IF(E7058="HI",2,IF(E7058="LO",6,10))+IF(D7058=1,2,IF(D7058=7,1,(IF(WEEKDAY(B7058)=1,2,IF(WEEKDAY(B7058)=7,1,0))))))</f>
        <v>3</v>
      </c>
      <c r="G7058" s="369">
        <f>VLOOKUP(C7058,METADATA!$J$5:$Q$29,IF(E7058="HI",2,IF(E7058="LO",6,10))+IF(D7058=1,2,IF(D7058=7,1,(IF(WEEKDAY(B7058)=1,2,IF(WEEKDAY(B7058)=7,1,0))))))</f>
        <v>3</v>
      </c>
      <c r="H7058" s="370">
        <v>13609.474670410156</v>
      </c>
      <c r="I7058" s="370">
        <v>4615.6899719238281</v>
      </c>
      <c r="M7058" s="371">
        <f t="shared" si="441"/>
        <v>14370.88705409147</v>
      </c>
      <c r="N7058" s="329">
        <f t="shared" si="442"/>
        <v>532.84757080078134</v>
      </c>
      <c r="T7058" s="331">
        <v>0</v>
      </c>
      <c r="U7058" s="328">
        <f>VLOOKUP(C7058,METADATA!$J$5:$Q$29,IF(E7058="HI",2,IF(E7058="LO",6,10))+IF(T7058=1,2,IF(D7058=7,1,(IF(WEEKDAY(B7058)=1,2,IF(WEEKDAY(B7058)=7,1,0))))))</f>
        <v>3</v>
      </c>
      <c r="V7058" s="328">
        <f>VLOOKUP(C7058,METADATA!$A$5:$H$29,IF(E7058="HI",2,IF(E7058="LO",6,10))+IF(T7058=1,2,IF(D7058=7,1,(IF(WEEKDAY(B7058)=1,2,IF(WEEKDAY(B7058)=7,1,0))))))</f>
        <v>3</v>
      </c>
    </row>
    <row r="7059" spans="2:22">
      <c r="B7059" s="318">
        <f t="shared" si="439"/>
        <v>46406</v>
      </c>
      <c r="C7059" s="312">
        <v>23</v>
      </c>
      <c r="D7059" s="368">
        <f>IFERROR((INDEX(METADATA!$T$2:$T$20,MATCH(B7059,METADATA!$S$2:$S$20,0))),0)</f>
        <v>0</v>
      </c>
      <c r="E7059" s="312" t="str">
        <f t="shared" si="440"/>
        <v>HI</v>
      </c>
      <c r="F7059" s="369">
        <f>VLOOKUP(C7059,METADATA!$A$5:$H$29,IF(E7059="HI",2,IF(E7059="LO",6,10))+IF(D7059=1,2,IF(D7059=7,1,(IF(WEEKDAY(B7059)=1,2,IF(WEEKDAY(B7059)=7,1,0))))))</f>
        <v>3</v>
      </c>
      <c r="G7059" s="369">
        <f>VLOOKUP(C7059,METADATA!$J$5:$Q$29,IF(E7059="HI",2,IF(E7059="LO",6,10))+IF(D7059=1,2,IF(D7059=7,1,(IF(WEEKDAY(B7059)=1,2,IF(WEEKDAY(B7059)=7,1,0))))))</f>
        <v>3</v>
      </c>
      <c r="H7059" s="370">
        <v>13666.250183105469</v>
      </c>
      <c r="I7059" s="370">
        <v>4768.4849853515625</v>
      </c>
      <c r="M7059" s="371">
        <f t="shared" si="441"/>
        <v>14474.282128062641</v>
      </c>
      <c r="N7059" s="329">
        <f t="shared" si="442"/>
        <v>668.60993041992242</v>
      </c>
      <c r="T7059" s="331">
        <v>0</v>
      </c>
      <c r="U7059" s="328">
        <f>VLOOKUP(C7059,METADATA!$J$5:$Q$29,IF(E7059="HI",2,IF(E7059="LO",6,10))+IF(T7059=1,2,IF(D7059=7,1,(IF(WEEKDAY(B7059)=1,2,IF(WEEKDAY(B7059)=7,1,0))))))</f>
        <v>3</v>
      </c>
      <c r="V7059" s="328">
        <f>VLOOKUP(C7059,METADATA!$A$5:$H$29,IF(E7059="HI",2,IF(E7059="LO",6,10))+IF(T7059=1,2,IF(D7059=7,1,(IF(WEEKDAY(B7059)=1,2,IF(WEEKDAY(B7059)=7,1,0))))))</f>
        <v>3</v>
      </c>
    </row>
    <row r="7060" spans="2:22">
      <c r="B7060" s="318">
        <f t="shared" si="439"/>
        <v>46407</v>
      </c>
      <c r="C7060" s="312">
        <v>0</v>
      </c>
      <c r="D7060" s="368">
        <f>IFERROR((INDEX(METADATA!$T$2:$T$20,MATCH(B7060,METADATA!$S$2:$S$20,0))),0)</f>
        <v>0</v>
      </c>
      <c r="E7060" s="312" t="str">
        <f t="shared" si="440"/>
        <v>HI</v>
      </c>
      <c r="F7060" s="369">
        <f>VLOOKUP(C7060,METADATA!$A$5:$H$29,IF(E7060="HI",2,IF(E7060="LO",6,10))+IF(D7060=1,2,IF(D7060=7,1,(IF(WEEKDAY(B7060)=1,2,IF(WEEKDAY(B7060)=7,1,0))))))</f>
        <v>3</v>
      </c>
      <c r="G7060" s="369">
        <f>VLOOKUP(C7060,METADATA!$J$5:$Q$29,IF(E7060="HI",2,IF(E7060="LO",6,10))+IF(D7060=1,2,IF(D7060=7,1,(IF(WEEKDAY(B7060)=1,2,IF(WEEKDAY(B7060)=7,1,0))))))</f>
        <v>3</v>
      </c>
      <c r="H7060" s="370">
        <v>13423.000122070313</v>
      </c>
      <c r="I7060" s="370">
        <v>4684.8799743652344</v>
      </c>
      <c r="M7060" s="371">
        <f t="shared" si="441"/>
        <v>14217.068356426651</v>
      </c>
      <c r="N7060" s="329">
        <f t="shared" si="442"/>
        <v>657.9799377441409</v>
      </c>
      <c r="T7060" s="331">
        <v>0</v>
      </c>
      <c r="U7060" s="328">
        <f>VLOOKUP(C7060,METADATA!$J$5:$Q$29,IF(E7060="HI",2,IF(E7060="LO",6,10))+IF(T7060=1,2,IF(D7060=7,1,(IF(WEEKDAY(B7060)=1,2,IF(WEEKDAY(B7060)=7,1,0))))))</f>
        <v>3</v>
      </c>
      <c r="V7060" s="328">
        <f>VLOOKUP(C7060,METADATA!$A$5:$H$29,IF(E7060="HI",2,IF(E7060="LO",6,10))+IF(T7060=1,2,IF(D7060=7,1,(IF(WEEKDAY(B7060)=1,2,IF(WEEKDAY(B7060)=7,1,0))))))</f>
        <v>3</v>
      </c>
    </row>
    <row r="7061" spans="2:22">
      <c r="B7061" s="318">
        <f t="shared" si="439"/>
        <v>46407</v>
      </c>
      <c r="C7061" s="312">
        <v>1</v>
      </c>
      <c r="D7061" s="368">
        <f>IFERROR((INDEX(METADATA!$T$2:$T$20,MATCH(B7061,METADATA!$S$2:$S$20,0))),0)</f>
        <v>0</v>
      </c>
      <c r="E7061" s="312" t="str">
        <f t="shared" si="440"/>
        <v>HI</v>
      </c>
      <c r="F7061" s="369">
        <f>VLOOKUP(C7061,METADATA!$A$5:$H$29,IF(E7061="HI",2,IF(E7061="LO",6,10))+IF(D7061=1,2,IF(D7061=7,1,(IF(WEEKDAY(B7061)=1,2,IF(WEEKDAY(B7061)=7,1,0))))))</f>
        <v>3</v>
      </c>
      <c r="G7061" s="369">
        <f>VLOOKUP(C7061,METADATA!$J$5:$Q$29,IF(E7061="HI",2,IF(E7061="LO",6,10))+IF(D7061=1,2,IF(D7061=7,1,(IF(WEEKDAY(B7061)=1,2,IF(WEEKDAY(B7061)=7,1,0))))))</f>
        <v>3</v>
      </c>
      <c r="H7061" s="370">
        <v>13441.490051269531</v>
      </c>
      <c r="I7061" s="370">
        <v>4675.8650512695313</v>
      </c>
      <c r="M7061" s="371">
        <f t="shared" si="441"/>
        <v>14231.562415141269</v>
      </c>
      <c r="N7061" s="329">
        <f t="shared" si="442"/>
        <v>643.41803588867197</v>
      </c>
      <c r="T7061" s="331">
        <v>0</v>
      </c>
      <c r="U7061" s="328">
        <f>VLOOKUP(C7061,METADATA!$J$5:$Q$29,IF(E7061="HI",2,IF(E7061="LO",6,10))+IF(T7061=1,2,IF(D7061=7,1,(IF(WEEKDAY(B7061)=1,2,IF(WEEKDAY(B7061)=7,1,0))))))</f>
        <v>3</v>
      </c>
      <c r="V7061" s="328">
        <f>VLOOKUP(C7061,METADATA!$A$5:$H$29,IF(E7061="HI",2,IF(E7061="LO",6,10))+IF(T7061=1,2,IF(D7061=7,1,(IF(WEEKDAY(B7061)=1,2,IF(WEEKDAY(B7061)=7,1,0))))))</f>
        <v>3</v>
      </c>
    </row>
    <row r="7062" spans="2:22">
      <c r="B7062" s="318">
        <f t="shared" si="439"/>
        <v>46407</v>
      </c>
      <c r="C7062" s="312">
        <v>2</v>
      </c>
      <c r="D7062" s="368">
        <f>IFERROR((INDEX(METADATA!$T$2:$T$20,MATCH(B7062,METADATA!$S$2:$S$20,0))),0)</f>
        <v>0</v>
      </c>
      <c r="E7062" s="312" t="str">
        <f t="shared" si="440"/>
        <v>HI</v>
      </c>
      <c r="F7062" s="369">
        <f>VLOOKUP(C7062,METADATA!$A$5:$H$29,IF(E7062="HI",2,IF(E7062="LO",6,10))+IF(D7062=1,2,IF(D7062=7,1,(IF(WEEKDAY(B7062)=1,2,IF(WEEKDAY(B7062)=7,1,0))))))</f>
        <v>3</v>
      </c>
      <c r="G7062" s="369">
        <f>VLOOKUP(C7062,METADATA!$J$5:$Q$29,IF(E7062="HI",2,IF(E7062="LO",6,10))+IF(D7062=1,2,IF(D7062=7,1,(IF(WEEKDAY(B7062)=1,2,IF(WEEKDAY(B7062)=7,1,0))))))</f>
        <v>3</v>
      </c>
      <c r="H7062" s="370">
        <v>13613.822692871094</v>
      </c>
      <c r="I7062" s="370">
        <v>4716.3825988769531</v>
      </c>
      <c r="M7062" s="371">
        <f t="shared" si="441"/>
        <v>14407.651895153536</v>
      </c>
      <c r="N7062" s="329">
        <f t="shared" si="442"/>
        <v>632.23579101562518</v>
      </c>
      <c r="T7062" s="331">
        <v>0</v>
      </c>
      <c r="U7062" s="328">
        <f>VLOOKUP(C7062,METADATA!$J$5:$Q$29,IF(E7062="HI",2,IF(E7062="LO",6,10))+IF(T7062=1,2,IF(D7062=7,1,(IF(WEEKDAY(B7062)=1,2,IF(WEEKDAY(B7062)=7,1,0))))))</f>
        <v>3</v>
      </c>
      <c r="V7062" s="328">
        <f>VLOOKUP(C7062,METADATA!$A$5:$H$29,IF(E7062="HI",2,IF(E7062="LO",6,10))+IF(T7062=1,2,IF(D7062=7,1,(IF(WEEKDAY(B7062)=1,2,IF(WEEKDAY(B7062)=7,1,0))))))</f>
        <v>3</v>
      </c>
    </row>
    <row r="7063" spans="2:22">
      <c r="B7063" s="318">
        <f t="shared" si="439"/>
        <v>46407</v>
      </c>
      <c r="C7063" s="312">
        <v>3</v>
      </c>
      <c r="D7063" s="368">
        <f>IFERROR((INDEX(METADATA!$T$2:$T$20,MATCH(B7063,METADATA!$S$2:$S$20,0))),0)</f>
        <v>0</v>
      </c>
      <c r="E7063" s="312" t="str">
        <f t="shared" si="440"/>
        <v>HI</v>
      </c>
      <c r="F7063" s="369">
        <f>VLOOKUP(C7063,METADATA!$A$5:$H$29,IF(E7063="HI",2,IF(E7063="LO",6,10))+IF(D7063=1,2,IF(D7063=7,1,(IF(WEEKDAY(B7063)=1,2,IF(WEEKDAY(B7063)=7,1,0))))))</f>
        <v>3</v>
      </c>
      <c r="G7063" s="369">
        <f>VLOOKUP(C7063,METADATA!$J$5:$Q$29,IF(E7063="HI",2,IF(E7063="LO",6,10))+IF(D7063=1,2,IF(D7063=7,1,(IF(WEEKDAY(B7063)=1,2,IF(WEEKDAY(B7063)=7,1,0))))))</f>
        <v>3</v>
      </c>
      <c r="H7063" s="370">
        <v>13615.0498046875</v>
      </c>
      <c r="I7063" s="370">
        <v>4667.0950927734375</v>
      </c>
      <c r="M7063" s="371">
        <f t="shared" si="441"/>
        <v>14392.753655541772</v>
      </c>
      <c r="N7063" s="329">
        <f t="shared" si="442"/>
        <v>582.58015136718768</v>
      </c>
      <c r="T7063" s="331">
        <v>0</v>
      </c>
      <c r="U7063" s="328">
        <f>VLOOKUP(C7063,METADATA!$J$5:$Q$29,IF(E7063="HI",2,IF(E7063="LO",6,10))+IF(T7063=1,2,IF(D7063=7,1,(IF(WEEKDAY(B7063)=1,2,IF(WEEKDAY(B7063)=7,1,0))))))</f>
        <v>3</v>
      </c>
      <c r="V7063" s="328">
        <f>VLOOKUP(C7063,METADATA!$A$5:$H$29,IF(E7063="HI",2,IF(E7063="LO",6,10))+IF(T7063=1,2,IF(D7063=7,1,(IF(WEEKDAY(B7063)=1,2,IF(WEEKDAY(B7063)=7,1,0))))))</f>
        <v>3</v>
      </c>
    </row>
    <row r="7064" spans="2:22">
      <c r="B7064" s="318">
        <f t="shared" si="439"/>
        <v>46407</v>
      </c>
      <c r="C7064" s="312">
        <v>4</v>
      </c>
      <c r="D7064" s="368">
        <f>IFERROR((INDEX(METADATA!$T$2:$T$20,MATCH(B7064,METADATA!$S$2:$S$20,0))),0)</f>
        <v>0</v>
      </c>
      <c r="E7064" s="312" t="str">
        <f t="shared" si="440"/>
        <v>HI</v>
      </c>
      <c r="F7064" s="369">
        <f>VLOOKUP(C7064,METADATA!$A$5:$H$29,IF(E7064="HI",2,IF(E7064="LO",6,10))+IF(D7064=1,2,IF(D7064=7,1,(IF(WEEKDAY(B7064)=1,2,IF(WEEKDAY(B7064)=7,1,0))))))</f>
        <v>3</v>
      </c>
      <c r="G7064" s="369">
        <f>VLOOKUP(C7064,METADATA!$J$5:$Q$29,IF(E7064="HI",2,IF(E7064="LO",6,10))+IF(D7064=1,2,IF(D7064=7,1,(IF(WEEKDAY(B7064)=1,2,IF(WEEKDAY(B7064)=7,1,0))))))</f>
        <v>3</v>
      </c>
      <c r="H7064" s="370">
        <v>12718.799865722656</v>
      </c>
      <c r="I7064" s="370">
        <v>3805.1949768066406</v>
      </c>
      <c r="M7064" s="371">
        <f t="shared" si="441"/>
        <v>13275.819328230598</v>
      </c>
      <c r="N7064" s="329">
        <f t="shared" si="442"/>
        <v>0</v>
      </c>
      <c r="T7064" s="331">
        <v>0</v>
      </c>
      <c r="U7064" s="328">
        <f>VLOOKUP(C7064,METADATA!$J$5:$Q$29,IF(E7064="HI",2,IF(E7064="LO",6,10))+IF(T7064=1,2,IF(D7064=7,1,(IF(WEEKDAY(B7064)=1,2,IF(WEEKDAY(B7064)=7,1,0))))))</f>
        <v>3</v>
      </c>
      <c r="V7064" s="328">
        <f>VLOOKUP(C7064,METADATA!$A$5:$H$29,IF(E7064="HI",2,IF(E7064="LO",6,10))+IF(T7064=1,2,IF(D7064=7,1,(IF(WEEKDAY(B7064)=1,2,IF(WEEKDAY(B7064)=7,1,0))))))</f>
        <v>3</v>
      </c>
    </row>
    <row r="7065" spans="2:22">
      <c r="B7065" s="318">
        <f t="shared" si="439"/>
        <v>46407</v>
      </c>
      <c r="C7065" s="312">
        <v>5</v>
      </c>
      <c r="D7065" s="368">
        <f>IFERROR((INDEX(METADATA!$T$2:$T$20,MATCH(B7065,METADATA!$S$2:$S$20,0))),0)</f>
        <v>0</v>
      </c>
      <c r="E7065" s="312" t="str">
        <f t="shared" si="440"/>
        <v>HI</v>
      </c>
      <c r="F7065" s="369">
        <f>VLOOKUP(C7065,METADATA!$A$5:$H$29,IF(E7065="HI",2,IF(E7065="LO",6,10))+IF(D7065=1,2,IF(D7065=7,1,(IF(WEEKDAY(B7065)=1,2,IF(WEEKDAY(B7065)=7,1,0))))))</f>
        <v>3</v>
      </c>
      <c r="G7065" s="369">
        <f>VLOOKUP(C7065,METADATA!$J$5:$Q$29,IF(E7065="HI",2,IF(E7065="LO",6,10))+IF(D7065=1,2,IF(D7065=7,1,(IF(WEEKDAY(B7065)=1,2,IF(WEEKDAY(B7065)=7,1,0))))))</f>
        <v>3</v>
      </c>
      <c r="H7065" s="370">
        <v>10445.800170898438</v>
      </c>
      <c r="I7065" s="370">
        <v>2769.7299041748047</v>
      </c>
      <c r="M7065" s="371">
        <f t="shared" si="441"/>
        <v>10806.763851978167</v>
      </c>
      <c r="N7065" s="329">
        <f t="shared" si="442"/>
        <v>0</v>
      </c>
      <c r="T7065" s="331">
        <v>0</v>
      </c>
      <c r="U7065" s="328">
        <f>VLOOKUP(C7065,METADATA!$J$5:$Q$29,IF(E7065="HI",2,IF(E7065="LO",6,10))+IF(T7065=1,2,IF(D7065=7,1,(IF(WEEKDAY(B7065)=1,2,IF(WEEKDAY(B7065)=7,1,0))))))</f>
        <v>3</v>
      </c>
      <c r="V7065" s="328">
        <f>VLOOKUP(C7065,METADATA!$A$5:$H$29,IF(E7065="HI",2,IF(E7065="LO",6,10))+IF(T7065=1,2,IF(D7065=7,1,(IF(WEEKDAY(B7065)=1,2,IF(WEEKDAY(B7065)=7,1,0))))))</f>
        <v>3</v>
      </c>
    </row>
    <row r="7066" spans="2:22">
      <c r="B7066" s="318">
        <f t="shared" si="439"/>
        <v>46407</v>
      </c>
      <c r="C7066" s="312">
        <v>6</v>
      </c>
      <c r="D7066" s="368">
        <f>IFERROR((INDEX(METADATA!$T$2:$T$20,MATCH(B7066,METADATA!$S$2:$S$20,0))),0)</f>
        <v>0</v>
      </c>
      <c r="E7066" s="312" t="str">
        <f t="shared" si="440"/>
        <v>HI</v>
      </c>
      <c r="F7066" s="369">
        <f>VLOOKUP(C7066,METADATA!$A$5:$H$29,IF(E7066="HI",2,IF(E7066="LO",6,10))+IF(D7066=1,2,IF(D7066=7,1,(IF(WEEKDAY(B7066)=1,2,IF(WEEKDAY(B7066)=7,1,0))))))</f>
        <v>1</v>
      </c>
      <c r="G7066" s="369">
        <f>VLOOKUP(C7066,METADATA!$J$5:$Q$29,IF(E7066="HI",2,IF(E7066="LO",6,10))+IF(D7066=1,2,IF(D7066=7,1,(IF(WEEKDAY(B7066)=1,2,IF(WEEKDAY(B7066)=7,1,0))))))</f>
        <v>1</v>
      </c>
      <c r="H7066" s="370">
        <v>10036.892303466797</v>
      </c>
      <c r="I7066" s="370">
        <v>1911.2999801635742</v>
      </c>
      <c r="M7066" s="371">
        <f t="shared" si="441"/>
        <v>10217.253776116373</v>
      </c>
      <c r="N7066" s="329">
        <f t="shared" si="442"/>
        <v>0</v>
      </c>
      <c r="T7066" s="331">
        <v>0</v>
      </c>
      <c r="U7066" s="328">
        <f>VLOOKUP(C7066,METADATA!$J$5:$Q$29,IF(E7066="HI",2,IF(E7066="LO",6,10))+IF(T7066=1,2,IF(D7066=7,1,(IF(WEEKDAY(B7066)=1,2,IF(WEEKDAY(B7066)=7,1,0))))))</f>
        <v>1</v>
      </c>
      <c r="V7066" s="328">
        <f>VLOOKUP(C7066,METADATA!$A$5:$H$29,IF(E7066="HI",2,IF(E7066="LO",6,10))+IF(T7066=1,2,IF(D7066=7,1,(IF(WEEKDAY(B7066)=1,2,IF(WEEKDAY(B7066)=7,1,0))))))</f>
        <v>1</v>
      </c>
    </row>
    <row r="7067" spans="2:22">
      <c r="B7067" s="318">
        <f t="shared" si="439"/>
        <v>46407</v>
      </c>
      <c r="C7067" s="312">
        <v>7</v>
      </c>
      <c r="D7067" s="368">
        <f>IFERROR((INDEX(METADATA!$T$2:$T$20,MATCH(B7067,METADATA!$S$2:$S$20,0))),0)</f>
        <v>0</v>
      </c>
      <c r="E7067" s="312" t="str">
        <f t="shared" si="440"/>
        <v>HI</v>
      </c>
      <c r="F7067" s="369">
        <f>VLOOKUP(C7067,METADATA!$A$5:$H$29,IF(E7067="HI",2,IF(E7067="LO",6,10))+IF(D7067=1,2,IF(D7067=7,1,(IF(WEEKDAY(B7067)=1,2,IF(WEEKDAY(B7067)=7,1,0))))))</f>
        <v>1</v>
      </c>
      <c r="G7067" s="369">
        <f>VLOOKUP(C7067,METADATA!$J$5:$Q$29,IF(E7067="HI",2,IF(E7067="LO",6,10))+IF(D7067=1,2,IF(D7067=7,1,(IF(WEEKDAY(B7067)=1,2,IF(WEEKDAY(B7067)=7,1,0))))))</f>
        <v>1</v>
      </c>
      <c r="H7067" s="370">
        <v>10483.399597167969</v>
      </c>
      <c r="I7067" s="370">
        <v>1928.6624984741211</v>
      </c>
      <c r="M7067" s="371">
        <f t="shared" si="441"/>
        <v>10659.33422625081</v>
      </c>
      <c r="N7067" s="329">
        <f t="shared" si="442"/>
        <v>0</v>
      </c>
      <c r="T7067" s="331">
        <v>0</v>
      </c>
      <c r="U7067" s="328">
        <f>VLOOKUP(C7067,METADATA!$J$5:$Q$29,IF(E7067="HI",2,IF(E7067="LO",6,10))+IF(T7067=1,2,IF(D7067=7,1,(IF(WEEKDAY(B7067)=1,2,IF(WEEKDAY(B7067)=7,1,0))))))</f>
        <v>1</v>
      </c>
      <c r="V7067" s="328">
        <f>VLOOKUP(C7067,METADATA!$A$5:$H$29,IF(E7067="HI",2,IF(E7067="LO",6,10))+IF(T7067=1,2,IF(D7067=7,1,(IF(WEEKDAY(B7067)=1,2,IF(WEEKDAY(B7067)=7,1,0))))))</f>
        <v>1</v>
      </c>
    </row>
    <row r="7068" spans="2:22">
      <c r="B7068" s="318">
        <f t="shared" ref="B7068:B7131" si="443">B7044+1</f>
        <v>46407</v>
      </c>
      <c r="C7068" s="312">
        <v>8</v>
      </c>
      <c r="D7068" s="368">
        <f>IFERROR((INDEX(METADATA!$T$2:$T$20,MATCH(B7068,METADATA!$S$2:$S$20,0))),0)</f>
        <v>0</v>
      </c>
      <c r="E7068" s="312" t="str">
        <f t="shared" si="440"/>
        <v>HI</v>
      </c>
      <c r="F7068" s="369">
        <f>VLOOKUP(C7068,METADATA!$A$5:$H$29,IF(E7068="HI",2,IF(E7068="LO",6,10))+IF(D7068=1,2,IF(D7068=7,1,(IF(WEEKDAY(B7068)=1,2,IF(WEEKDAY(B7068)=7,1,0))))))</f>
        <v>2</v>
      </c>
      <c r="G7068" s="369">
        <f>VLOOKUP(C7068,METADATA!$J$5:$Q$29,IF(E7068="HI",2,IF(E7068="LO",6,10))+IF(D7068=1,2,IF(D7068=7,1,(IF(WEEKDAY(B7068)=1,2,IF(WEEKDAY(B7068)=7,1,0))))))</f>
        <v>2</v>
      </c>
      <c r="H7068" s="370">
        <v>10442.875061035156</v>
      </c>
      <c r="I7068" s="370">
        <v>1828.6800098419189</v>
      </c>
      <c r="M7068" s="371">
        <f t="shared" si="441"/>
        <v>10601.778629965136</v>
      </c>
      <c r="N7068" s="329">
        <f t="shared" si="442"/>
        <v>0</v>
      </c>
      <c r="T7068" s="331">
        <v>0</v>
      </c>
      <c r="U7068" s="328">
        <f>VLOOKUP(C7068,METADATA!$J$5:$Q$29,IF(E7068="HI",2,IF(E7068="LO",6,10))+IF(T7068=1,2,IF(D7068=7,1,(IF(WEEKDAY(B7068)=1,2,IF(WEEKDAY(B7068)=7,1,0))))))</f>
        <v>2</v>
      </c>
      <c r="V7068" s="328">
        <f>VLOOKUP(C7068,METADATA!$A$5:$H$29,IF(E7068="HI",2,IF(E7068="LO",6,10))+IF(T7068=1,2,IF(D7068=7,1,(IF(WEEKDAY(B7068)=1,2,IF(WEEKDAY(B7068)=7,1,0))))))</f>
        <v>2</v>
      </c>
    </row>
    <row r="7069" spans="2:22">
      <c r="B7069" s="318">
        <f t="shared" si="443"/>
        <v>46407</v>
      </c>
      <c r="C7069" s="312">
        <v>9</v>
      </c>
      <c r="D7069" s="368">
        <f>IFERROR((INDEX(METADATA!$T$2:$T$20,MATCH(B7069,METADATA!$S$2:$S$20,0))),0)</f>
        <v>0</v>
      </c>
      <c r="E7069" s="312" t="str">
        <f t="shared" si="440"/>
        <v>HI</v>
      </c>
      <c r="F7069" s="369">
        <f>VLOOKUP(C7069,METADATA!$A$5:$H$29,IF(E7069="HI",2,IF(E7069="LO",6,10))+IF(D7069=1,2,IF(D7069=7,1,(IF(WEEKDAY(B7069)=1,2,IF(WEEKDAY(B7069)=7,1,0))))))</f>
        <v>2</v>
      </c>
      <c r="G7069" s="369">
        <f>VLOOKUP(C7069,METADATA!$J$5:$Q$29,IF(E7069="HI",2,IF(E7069="LO",6,10))+IF(D7069=1,2,IF(D7069=7,1,(IF(WEEKDAY(B7069)=1,2,IF(WEEKDAY(B7069)=7,1,0))))))</f>
        <v>2</v>
      </c>
      <c r="H7069" s="370">
        <v>11740.025390625</v>
      </c>
      <c r="I7069" s="370">
        <v>2654.8349647521973</v>
      </c>
      <c r="M7069" s="371">
        <f t="shared" si="441"/>
        <v>12036.458983546219</v>
      </c>
      <c r="N7069" s="329">
        <f t="shared" si="442"/>
        <v>0</v>
      </c>
      <c r="T7069" s="331">
        <v>0</v>
      </c>
      <c r="U7069" s="328">
        <f>VLOOKUP(C7069,METADATA!$J$5:$Q$29,IF(E7069="HI",2,IF(E7069="LO",6,10))+IF(T7069=1,2,IF(D7069=7,1,(IF(WEEKDAY(B7069)=1,2,IF(WEEKDAY(B7069)=7,1,0))))))</f>
        <v>2</v>
      </c>
      <c r="V7069" s="328">
        <f>VLOOKUP(C7069,METADATA!$A$5:$H$29,IF(E7069="HI",2,IF(E7069="LO",6,10))+IF(T7069=1,2,IF(D7069=7,1,(IF(WEEKDAY(B7069)=1,2,IF(WEEKDAY(B7069)=7,1,0))))))</f>
        <v>2</v>
      </c>
    </row>
    <row r="7070" spans="2:22">
      <c r="B7070" s="318">
        <f t="shared" si="443"/>
        <v>46407</v>
      </c>
      <c r="C7070" s="312">
        <v>10</v>
      </c>
      <c r="D7070" s="368">
        <f>IFERROR((INDEX(METADATA!$T$2:$T$20,MATCH(B7070,METADATA!$S$2:$S$20,0))),0)</f>
        <v>0</v>
      </c>
      <c r="E7070" s="312" t="str">
        <f t="shared" si="440"/>
        <v>HI</v>
      </c>
      <c r="F7070" s="369">
        <f>VLOOKUP(C7070,METADATA!$A$5:$H$29,IF(E7070="HI",2,IF(E7070="LO",6,10))+IF(D7070=1,2,IF(D7070=7,1,(IF(WEEKDAY(B7070)=1,2,IF(WEEKDAY(B7070)=7,1,0))))))</f>
        <v>2</v>
      </c>
      <c r="G7070" s="369">
        <f>VLOOKUP(C7070,METADATA!$J$5:$Q$29,IF(E7070="HI",2,IF(E7070="LO",6,10))+IF(D7070=1,2,IF(D7070=7,1,(IF(WEEKDAY(B7070)=1,2,IF(WEEKDAY(B7070)=7,1,0))))))</f>
        <v>2</v>
      </c>
      <c r="H7070" s="370">
        <v>12538.800170898438</v>
      </c>
      <c r="I7070" s="370">
        <v>3109.4800491333008</v>
      </c>
      <c r="M7070" s="371">
        <f t="shared" si="441"/>
        <v>12918.605803324162</v>
      </c>
      <c r="N7070" s="329">
        <f t="shared" si="442"/>
        <v>0</v>
      </c>
      <c r="T7070" s="331">
        <v>0</v>
      </c>
      <c r="U7070" s="328">
        <f>VLOOKUP(C7070,METADATA!$J$5:$Q$29,IF(E7070="HI",2,IF(E7070="LO",6,10))+IF(T7070=1,2,IF(D7070=7,1,(IF(WEEKDAY(B7070)=1,2,IF(WEEKDAY(B7070)=7,1,0))))))</f>
        <v>2</v>
      </c>
      <c r="V7070" s="328">
        <f>VLOOKUP(C7070,METADATA!$A$5:$H$29,IF(E7070="HI",2,IF(E7070="LO",6,10))+IF(T7070=1,2,IF(D7070=7,1,(IF(WEEKDAY(B7070)=1,2,IF(WEEKDAY(B7070)=7,1,0))))))</f>
        <v>2</v>
      </c>
    </row>
    <row r="7071" spans="2:22">
      <c r="B7071" s="318">
        <f t="shared" si="443"/>
        <v>46407</v>
      </c>
      <c r="C7071" s="312">
        <v>11</v>
      </c>
      <c r="D7071" s="368">
        <f>IFERROR((INDEX(METADATA!$T$2:$T$20,MATCH(B7071,METADATA!$S$2:$S$20,0))),0)</f>
        <v>0</v>
      </c>
      <c r="E7071" s="312" t="str">
        <f t="shared" si="440"/>
        <v>HI</v>
      </c>
      <c r="F7071" s="369">
        <f>VLOOKUP(C7071,METADATA!$A$5:$H$29,IF(E7071="HI",2,IF(E7071="LO",6,10))+IF(D7071=1,2,IF(D7071=7,1,(IF(WEEKDAY(B7071)=1,2,IF(WEEKDAY(B7071)=7,1,0))))))</f>
        <v>2</v>
      </c>
      <c r="G7071" s="369">
        <f>VLOOKUP(C7071,METADATA!$J$5:$Q$29,IF(E7071="HI",2,IF(E7071="LO",6,10))+IF(D7071=1,2,IF(D7071=7,1,(IF(WEEKDAY(B7071)=1,2,IF(WEEKDAY(B7071)=7,1,0))))))</f>
        <v>2</v>
      </c>
      <c r="H7071" s="370">
        <v>12439.025268554688</v>
      </c>
      <c r="I7071" s="370">
        <v>3062.3250579833984</v>
      </c>
      <c r="M7071" s="371">
        <f t="shared" si="441"/>
        <v>12810.432638771223</v>
      </c>
      <c r="N7071" s="329">
        <f t="shared" si="442"/>
        <v>0</v>
      </c>
      <c r="T7071" s="331">
        <v>0</v>
      </c>
      <c r="U7071" s="328">
        <f>VLOOKUP(C7071,METADATA!$J$5:$Q$29,IF(E7071="HI",2,IF(E7071="LO",6,10))+IF(T7071=1,2,IF(D7071=7,1,(IF(WEEKDAY(B7071)=1,2,IF(WEEKDAY(B7071)=7,1,0))))))</f>
        <v>2</v>
      </c>
      <c r="V7071" s="328">
        <f>VLOOKUP(C7071,METADATA!$A$5:$H$29,IF(E7071="HI",2,IF(E7071="LO",6,10))+IF(T7071=1,2,IF(D7071=7,1,(IF(WEEKDAY(B7071)=1,2,IF(WEEKDAY(B7071)=7,1,0))))))</f>
        <v>2</v>
      </c>
    </row>
    <row r="7072" spans="2:22">
      <c r="B7072" s="318">
        <f t="shared" si="443"/>
        <v>46407</v>
      </c>
      <c r="C7072" s="312">
        <v>12</v>
      </c>
      <c r="D7072" s="368">
        <f>IFERROR((INDEX(METADATA!$T$2:$T$20,MATCH(B7072,METADATA!$S$2:$S$20,0))),0)</f>
        <v>0</v>
      </c>
      <c r="E7072" s="312" t="str">
        <f t="shared" si="440"/>
        <v>HI</v>
      </c>
      <c r="F7072" s="369">
        <f>VLOOKUP(C7072,METADATA!$A$5:$H$29,IF(E7072="HI",2,IF(E7072="LO",6,10))+IF(D7072=1,2,IF(D7072=7,1,(IF(WEEKDAY(B7072)=1,2,IF(WEEKDAY(B7072)=7,1,0))))))</f>
        <v>2</v>
      </c>
      <c r="G7072" s="369">
        <f>VLOOKUP(C7072,METADATA!$J$5:$Q$29,IF(E7072="HI",2,IF(E7072="LO",6,10))+IF(D7072=1,2,IF(D7072=7,1,(IF(WEEKDAY(B7072)=1,2,IF(WEEKDAY(B7072)=7,1,0))))))</f>
        <v>2</v>
      </c>
      <c r="H7072" s="370">
        <v>12473.374816894531</v>
      </c>
      <c r="I7072" s="370">
        <v>3178.6749725341797</v>
      </c>
      <c r="M7072" s="371">
        <f t="shared" si="441"/>
        <v>12872.026021716778</v>
      </c>
      <c r="N7072" s="329">
        <f t="shared" si="442"/>
        <v>0</v>
      </c>
      <c r="T7072" s="331">
        <v>0</v>
      </c>
      <c r="U7072" s="328">
        <f>VLOOKUP(C7072,METADATA!$J$5:$Q$29,IF(E7072="HI",2,IF(E7072="LO",6,10))+IF(T7072=1,2,IF(D7072=7,1,(IF(WEEKDAY(B7072)=1,2,IF(WEEKDAY(B7072)=7,1,0))))))</f>
        <v>2</v>
      </c>
      <c r="V7072" s="328">
        <f>VLOOKUP(C7072,METADATA!$A$5:$H$29,IF(E7072="HI",2,IF(E7072="LO",6,10))+IF(T7072=1,2,IF(D7072=7,1,(IF(WEEKDAY(B7072)=1,2,IF(WEEKDAY(B7072)=7,1,0))))))</f>
        <v>2</v>
      </c>
    </row>
    <row r="7073" spans="2:22">
      <c r="B7073" s="318">
        <f t="shared" si="443"/>
        <v>46407</v>
      </c>
      <c r="C7073" s="312">
        <v>13</v>
      </c>
      <c r="D7073" s="368">
        <f>IFERROR((INDEX(METADATA!$T$2:$T$20,MATCH(B7073,METADATA!$S$2:$S$20,0))),0)</f>
        <v>0</v>
      </c>
      <c r="E7073" s="312" t="str">
        <f t="shared" si="440"/>
        <v>HI</v>
      </c>
      <c r="F7073" s="369">
        <f>VLOOKUP(C7073,METADATA!$A$5:$H$29,IF(E7073="HI",2,IF(E7073="LO",6,10))+IF(D7073=1,2,IF(D7073=7,1,(IF(WEEKDAY(B7073)=1,2,IF(WEEKDAY(B7073)=7,1,0))))))</f>
        <v>2</v>
      </c>
      <c r="G7073" s="369">
        <f>VLOOKUP(C7073,METADATA!$J$5:$Q$29,IF(E7073="HI",2,IF(E7073="LO",6,10))+IF(D7073=1,2,IF(D7073=7,1,(IF(WEEKDAY(B7073)=1,2,IF(WEEKDAY(B7073)=7,1,0))))))</f>
        <v>2</v>
      </c>
      <c r="H7073" s="370">
        <v>10850.699768066406</v>
      </c>
      <c r="I7073" s="370">
        <v>2935.7600167691708</v>
      </c>
      <c r="M7073" s="371">
        <f t="shared" si="441"/>
        <v>11240.835037165916</v>
      </c>
      <c r="N7073" s="329">
        <f t="shared" si="442"/>
        <v>0</v>
      </c>
      <c r="T7073" s="331">
        <v>0</v>
      </c>
      <c r="U7073" s="328">
        <f>VLOOKUP(C7073,METADATA!$J$5:$Q$29,IF(E7073="HI",2,IF(E7073="LO",6,10))+IF(T7073=1,2,IF(D7073=7,1,(IF(WEEKDAY(B7073)=1,2,IF(WEEKDAY(B7073)=7,1,0))))))</f>
        <v>2</v>
      </c>
      <c r="V7073" s="328">
        <f>VLOOKUP(C7073,METADATA!$A$5:$H$29,IF(E7073="HI",2,IF(E7073="LO",6,10))+IF(T7073=1,2,IF(D7073=7,1,(IF(WEEKDAY(B7073)=1,2,IF(WEEKDAY(B7073)=7,1,0))))))</f>
        <v>2</v>
      </c>
    </row>
    <row r="7074" spans="2:22">
      <c r="B7074" s="318">
        <f t="shared" si="443"/>
        <v>46407</v>
      </c>
      <c r="C7074" s="312">
        <v>14</v>
      </c>
      <c r="D7074" s="368">
        <f>IFERROR((INDEX(METADATA!$T$2:$T$20,MATCH(B7074,METADATA!$S$2:$S$20,0))),0)</f>
        <v>0</v>
      </c>
      <c r="E7074" s="312" t="str">
        <f t="shared" si="440"/>
        <v>HI</v>
      </c>
      <c r="F7074" s="369">
        <f>VLOOKUP(C7074,METADATA!$A$5:$H$29,IF(E7074="HI",2,IF(E7074="LO",6,10))+IF(D7074=1,2,IF(D7074=7,1,(IF(WEEKDAY(B7074)=1,2,IF(WEEKDAY(B7074)=7,1,0))))))</f>
        <v>2</v>
      </c>
      <c r="G7074" s="369">
        <f>VLOOKUP(C7074,METADATA!$J$5:$Q$29,IF(E7074="HI",2,IF(E7074="LO",6,10))+IF(D7074=1,2,IF(D7074=7,1,(IF(WEEKDAY(B7074)=1,2,IF(WEEKDAY(B7074)=7,1,0))))))</f>
        <v>2</v>
      </c>
      <c r="H7074" s="370">
        <v>10735.200012207031</v>
      </c>
      <c r="I7074" s="370">
        <v>2954.7049825191498</v>
      </c>
      <c r="M7074" s="371">
        <f t="shared" si="441"/>
        <v>11134.397192296192</v>
      </c>
      <c r="N7074" s="329">
        <f t="shared" si="442"/>
        <v>0</v>
      </c>
      <c r="T7074" s="331">
        <v>0</v>
      </c>
      <c r="U7074" s="328">
        <f>VLOOKUP(C7074,METADATA!$J$5:$Q$29,IF(E7074="HI",2,IF(E7074="LO",6,10))+IF(T7074=1,2,IF(D7074=7,1,(IF(WEEKDAY(B7074)=1,2,IF(WEEKDAY(B7074)=7,1,0))))))</f>
        <v>2</v>
      </c>
      <c r="V7074" s="328">
        <f>VLOOKUP(C7074,METADATA!$A$5:$H$29,IF(E7074="HI",2,IF(E7074="LO",6,10))+IF(T7074=1,2,IF(D7074=7,1,(IF(WEEKDAY(B7074)=1,2,IF(WEEKDAY(B7074)=7,1,0))))))</f>
        <v>2</v>
      </c>
    </row>
    <row r="7075" spans="2:22">
      <c r="B7075" s="318">
        <f t="shared" si="443"/>
        <v>46407</v>
      </c>
      <c r="C7075" s="312">
        <v>15</v>
      </c>
      <c r="D7075" s="368">
        <f>IFERROR((INDEX(METADATA!$T$2:$T$20,MATCH(B7075,METADATA!$S$2:$S$20,0))),0)</f>
        <v>0</v>
      </c>
      <c r="E7075" s="312" t="str">
        <f t="shared" si="440"/>
        <v>HI</v>
      </c>
      <c r="F7075" s="369">
        <f>VLOOKUP(C7075,METADATA!$A$5:$H$29,IF(E7075="HI",2,IF(E7075="LO",6,10))+IF(D7075=1,2,IF(D7075=7,1,(IF(WEEKDAY(B7075)=1,2,IF(WEEKDAY(B7075)=7,1,0))))))</f>
        <v>2</v>
      </c>
      <c r="G7075" s="369">
        <f>VLOOKUP(C7075,METADATA!$J$5:$Q$29,IF(E7075="HI",2,IF(E7075="LO",6,10))+IF(D7075=1,2,IF(D7075=7,1,(IF(WEEKDAY(B7075)=1,2,IF(WEEKDAY(B7075)=7,1,0))))))</f>
        <v>2</v>
      </c>
      <c r="H7075" s="370">
        <v>12452.250244140625</v>
      </c>
      <c r="I7075" s="370">
        <v>3289.0749740600586</v>
      </c>
      <c r="M7075" s="371">
        <f t="shared" si="441"/>
        <v>12879.307059298199</v>
      </c>
      <c r="N7075" s="329">
        <f t="shared" si="442"/>
        <v>0</v>
      </c>
      <c r="T7075" s="331">
        <v>0</v>
      </c>
      <c r="U7075" s="328">
        <f>VLOOKUP(C7075,METADATA!$J$5:$Q$29,IF(E7075="HI",2,IF(E7075="LO",6,10))+IF(T7075=1,2,IF(D7075=7,1,(IF(WEEKDAY(B7075)=1,2,IF(WEEKDAY(B7075)=7,1,0))))))</f>
        <v>2</v>
      </c>
      <c r="V7075" s="328">
        <f>VLOOKUP(C7075,METADATA!$A$5:$H$29,IF(E7075="HI",2,IF(E7075="LO",6,10))+IF(T7075=1,2,IF(D7075=7,1,(IF(WEEKDAY(B7075)=1,2,IF(WEEKDAY(B7075)=7,1,0))))))</f>
        <v>2</v>
      </c>
    </row>
    <row r="7076" spans="2:22">
      <c r="B7076" s="318">
        <f t="shared" si="443"/>
        <v>46407</v>
      </c>
      <c r="C7076" s="312">
        <v>16</v>
      </c>
      <c r="D7076" s="368">
        <f>IFERROR((INDEX(METADATA!$T$2:$T$20,MATCH(B7076,METADATA!$S$2:$S$20,0))),0)</f>
        <v>0</v>
      </c>
      <c r="E7076" s="312" t="str">
        <f t="shared" si="440"/>
        <v>HI</v>
      </c>
      <c r="F7076" s="369">
        <f>VLOOKUP(C7076,METADATA!$A$5:$H$29,IF(E7076="HI",2,IF(E7076="LO",6,10))+IF(D7076=1,2,IF(D7076=7,1,(IF(WEEKDAY(B7076)=1,2,IF(WEEKDAY(B7076)=7,1,0))))))</f>
        <v>2</v>
      </c>
      <c r="G7076" s="369">
        <f>VLOOKUP(C7076,METADATA!$J$5:$Q$29,IF(E7076="HI",2,IF(E7076="LO",6,10))+IF(D7076=1,2,IF(D7076=7,1,(IF(WEEKDAY(B7076)=1,2,IF(WEEKDAY(B7076)=7,1,0))))))</f>
        <v>2</v>
      </c>
      <c r="H7076" s="370">
        <v>10765.050231933594</v>
      </c>
      <c r="I7076" s="370">
        <v>2451.6424560546875</v>
      </c>
      <c r="M7076" s="371">
        <f t="shared" si="441"/>
        <v>11040.690976038744</v>
      </c>
      <c r="N7076" s="329">
        <f t="shared" si="442"/>
        <v>0</v>
      </c>
      <c r="T7076" s="331">
        <v>0</v>
      </c>
      <c r="U7076" s="328">
        <f>VLOOKUP(C7076,METADATA!$J$5:$Q$29,IF(E7076="HI",2,IF(E7076="LO",6,10))+IF(T7076=1,2,IF(D7076=7,1,(IF(WEEKDAY(B7076)=1,2,IF(WEEKDAY(B7076)=7,1,0))))))</f>
        <v>2</v>
      </c>
      <c r="V7076" s="328">
        <f>VLOOKUP(C7076,METADATA!$A$5:$H$29,IF(E7076="HI",2,IF(E7076="LO",6,10))+IF(T7076=1,2,IF(D7076=7,1,(IF(WEEKDAY(B7076)=1,2,IF(WEEKDAY(B7076)=7,1,0))))))</f>
        <v>2</v>
      </c>
    </row>
    <row r="7077" spans="2:22">
      <c r="B7077" s="318">
        <f t="shared" si="443"/>
        <v>46407</v>
      </c>
      <c r="C7077" s="312">
        <v>17</v>
      </c>
      <c r="D7077" s="368">
        <f>IFERROR((INDEX(METADATA!$T$2:$T$20,MATCH(B7077,METADATA!$S$2:$S$20,0))),0)</f>
        <v>0</v>
      </c>
      <c r="E7077" s="312" t="str">
        <f t="shared" si="440"/>
        <v>HI</v>
      </c>
      <c r="F7077" s="369">
        <f>VLOOKUP(C7077,METADATA!$A$5:$H$29,IF(E7077="HI",2,IF(E7077="LO",6,10))+IF(D7077=1,2,IF(D7077=7,1,(IF(WEEKDAY(B7077)=1,2,IF(WEEKDAY(B7077)=7,1,0))))))</f>
        <v>1</v>
      </c>
      <c r="G7077" s="369">
        <f>VLOOKUP(C7077,METADATA!$J$5:$Q$29,IF(E7077="HI",2,IF(E7077="LO",6,10))+IF(D7077=1,2,IF(D7077=7,1,(IF(WEEKDAY(B7077)=1,2,IF(WEEKDAY(B7077)=7,1,0))))))</f>
        <v>1</v>
      </c>
      <c r="H7077" s="370">
        <v>10631.149780273438</v>
      </c>
      <c r="I7077" s="370">
        <v>2515.5349884033203</v>
      </c>
      <c r="M7077" s="371">
        <f t="shared" si="441"/>
        <v>10924.708780031129</v>
      </c>
      <c r="N7077" s="329">
        <f t="shared" si="442"/>
        <v>0</v>
      </c>
      <c r="T7077" s="331">
        <v>0</v>
      </c>
      <c r="U7077" s="328">
        <f>VLOOKUP(C7077,METADATA!$J$5:$Q$29,IF(E7077="HI",2,IF(E7077="LO",6,10))+IF(T7077=1,2,IF(D7077=7,1,(IF(WEEKDAY(B7077)=1,2,IF(WEEKDAY(B7077)=7,1,0))))))</f>
        <v>1</v>
      </c>
      <c r="V7077" s="328">
        <f>VLOOKUP(C7077,METADATA!$A$5:$H$29,IF(E7077="HI",2,IF(E7077="LO",6,10))+IF(T7077=1,2,IF(D7077=7,1,(IF(WEEKDAY(B7077)=1,2,IF(WEEKDAY(B7077)=7,1,0))))))</f>
        <v>1</v>
      </c>
    </row>
    <row r="7078" spans="2:22">
      <c r="B7078" s="318">
        <f t="shared" si="443"/>
        <v>46407</v>
      </c>
      <c r="C7078" s="312">
        <v>18</v>
      </c>
      <c r="D7078" s="368">
        <f>IFERROR((INDEX(METADATA!$T$2:$T$20,MATCH(B7078,METADATA!$S$2:$S$20,0))),0)</f>
        <v>0</v>
      </c>
      <c r="E7078" s="312" t="str">
        <f t="shared" si="440"/>
        <v>HI</v>
      </c>
      <c r="F7078" s="369">
        <f>VLOOKUP(C7078,METADATA!$A$5:$H$29,IF(E7078="HI",2,IF(E7078="LO",6,10))+IF(D7078=1,2,IF(D7078=7,1,(IF(WEEKDAY(B7078)=1,2,IF(WEEKDAY(B7078)=7,1,0))))))</f>
        <v>1</v>
      </c>
      <c r="G7078" s="369">
        <f>VLOOKUP(C7078,METADATA!$J$5:$Q$29,IF(E7078="HI",2,IF(E7078="LO",6,10))+IF(D7078=1,2,IF(D7078=7,1,(IF(WEEKDAY(B7078)=1,2,IF(WEEKDAY(B7078)=7,1,0))))))</f>
        <v>1</v>
      </c>
      <c r="H7078" s="370">
        <v>11081.174743652344</v>
      </c>
      <c r="I7078" s="370">
        <v>2731.0325164794922</v>
      </c>
      <c r="M7078" s="371">
        <f t="shared" si="441"/>
        <v>11412.754807907988</v>
      </c>
      <c r="N7078" s="329">
        <f t="shared" si="442"/>
        <v>0</v>
      </c>
      <c r="T7078" s="331">
        <v>0</v>
      </c>
      <c r="U7078" s="328">
        <f>VLOOKUP(C7078,METADATA!$J$5:$Q$29,IF(E7078="HI",2,IF(E7078="LO",6,10))+IF(T7078=1,2,IF(D7078=7,1,(IF(WEEKDAY(B7078)=1,2,IF(WEEKDAY(B7078)=7,1,0))))))</f>
        <v>1</v>
      </c>
      <c r="V7078" s="328">
        <f>VLOOKUP(C7078,METADATA!$A$5:$H$29,IF(E7078="HI",2,IF(E7078="LO",6,10))+IF(T7078=1,2,IF(D7078=7,1,(IF(WEEKDAY(B7078)=1,2,IF(WEEKDAY(B7078)=7,1,0))))))</f>
        <v>1</v>
      </c>
    </row>
    <row r="7079" spans="2:22">
      <c r="B7079" s="318">
        <f t="shared" si="443"/>
        <v>46407</v>
      </c>
      <c r="C7079" s="312">
        <v>19</v>
      </c>
      <c r="D7079" s="368">
        <f>IFERROR((INDEX(METADATA!$T$2:$T$20,MATCH(B7079,METADATA!$S$2:$S$20,0))),0)</f>
        <v>0</v>
      </c>
      <c r="E7079" s="312" t="str">
        <f t="shared" si="440"/>
        <v>HI</v>
      </c>
      <c r="F7079" s="369">
        <f>VLOOKUP(C7079,METADATA!$A$5:$H$29,IF(E7079="HI",2,IF(E7079="LO",6,10))+IF(D7079=1,2,IF(D7079=7,1,(IF(WEEKDAY(B7079)=1,2,IF(WEEKDAY(B7079)=7,1,0))))))</f>
        <v>1</v>
      </c>
      <c r="G7079" s="369">
        <f>VLOOKUP(C7079,METADATA!$J$5:$Q$29,IF(E7079="HI",2,IF(E7079="LO",6,10))+IF(D7079=1,2,IF(D7079=7,1,(IF(WEEKDAY(B7079)=1,2,IF(WEEKDAY(B7079)=7,1,0))))))</f>
        <v>1</v>
      </c>
      <c r="H7079" s="370">
        <v>13839.524963378906</v>
      </c>
      <c r="I7079" s="370">
        <v>4568.3650207519531</v>
      </c>
      <c r="M7079" s="371">
        <f t="shared" si="441"/>
        <v>14574.032049327252</v>
      </c>
      <c r="N7079" s="329">
        <f t="shared" si="442"/>
        <v>416.50753173828161</v>
      </c>
      <c r="T7079" s="331">
        <v>0</v>
      </c>
      <c r="U7079" s="328">
        <f>VLOOKUP(C7079,METADATA!$J$5:$Q$29,IF(E7079="HI",2,IF(E7079="LO",6,10))+IF(T7079=1,2,IF(D7079=7,1,(IF(WEEKDAY(B7079)=1,2,IF(WEEKDAY(B7079)=7,1,0))))))</f>
        <v>1</v>
      </c>
      <c r="V7079" s="328">
        <f>VLOOKUP(C7079,METADATA!$A$5:$H$29,IF(E7079="HI",2,IF(E7079="LO",6,10))+IF(T7079=1,2,IF(D7079=7,1,(IF(WEEKDAY(B7079)=1,2,IF(WEEKDAY(B7079)=7,1,0))))))</f>
        <v>1</v>
      </c>
    </row>
    <row r="7080" spans="2:22">
      <c r="B7080" s="318">
        <f t="shared" si="443"/>
        <v>46407</v>
      </c>
      <c r="C7080" s="312">
        <v>20</v>
      </c>
      <c r="D7080" s="368">
        <f>IFERROR((INDEX(METADATA!$T$2:$T$20,MATCH(B7080,METADATA!$S$2:$S$20,0))),0)</f>
        <v>0</v>
      </c>
      <c r="E7080" s="312" t="str">
        <f t="shared" si="440"/>
        <v>HI</v>
      </c>
      <c r="F7080" s="369">
        <f>VLOOKUP(C7080,METADATA!$A$5:$H$29,IF(E7080="HI",2,IF(E7080="LO",6,10))+IF(D7080=1,2,IF(D7080=7,1,(IF(WEEKDAY(B7080)=1,2,IF(WEEKDAY(B7080)=7,1,0))))))</f>
        <v>2</v>
      </c>
      <c r="G7080" s="369">
        <f>VLOOKUP(C7080,METADATA!$J$5:$Q$29,IF(E7080="HI",2,IF(E7080="LO",6,10))+IF(D7080=1,2,IF(D7080=7,1,(IF(WEEKDAY(B7080)=1,2,IF(WEEKDAY(B7080)=7,1,0))))))</f>
        <v>2</v>
      </c>
      <c r="H7080" s="370">
        <v>13543.074829101563</v>
      </c>
      <c r="I7080" s="370">
        <v>4581.8399963378906</v>
      </c>
      <c r="M7080" s="371">
        <f t="shared" si="441"/>
        <v>14297.137251166259</v>
      </c>
      <c r="N7080" s="329">
        <f t="shared" si="442"/>
        <v>518.91754760742197</v>
      </c>
      <c r="T7080" s="331">
        <v>0</v>
      </c>
      <c r="U7080" s="328">
        <f>VLOOKUP(C7080,METADATA!$J$5:$Q$29,IF(E7080="HI",2,IF(E7080="LO",6,10))+IF(T7080=1,2,IF(D7080=7,1,(IF(WEEKDAY(B7080)=1,2,IF(WEEKDAY(B7080)=7,1,0))))))</f>
        <v>2</v>
      </c>
      <c r="V7080" s="328">
        <f>VLOOKUP(C7080,METADATA!$A$5:$H$29,IF(E7080="HI",2,IF(E7080="LO",6,10))+IF(T7080=1,2,IF(D7080=7,1,(IF(WEEKDAY(B7080)=1,2,IF(WEEKDAY(B7080)=7,1,0))))))</f>
        <v>2</v>
      </c>
    </row>
    <row r="7081" spans="2:22">
      <c r="B7081" s="318">
        <f t="shared" si="443"/>
        <v>46407</v>
      </c>
      <c r="C7081" s="312">
        <v>21</v>
      </c>
      <c r="D7081" s="368">
        <f>IFERROR((INDEX(METADATA!$T$2:$T$20,MATCH(B7081,METADATA!$S$2:$S$20,0))),0)</f>
        <v>0</v>
      </c>
      <c r="E7081" s="312" t="str">
        <f t="shared" si="440"/>
        <v>HI</v>
      </c>
      <c r="F7081" s="369">
        <f>VLOOKUP(C7081,METADATA!$A$5:$H$29,IF(E7081="HI",2,IF(E7081="LO",6,10))+IF(D7081=1,2,IF(D7081=7,1,(IF(WEEKDAY(B7081)=1,2,IF(WEEKDAY(B7081)=7,1,0))))))</f>
        <v>2</v>
      </c>
      <c r="G7081" s="369">
        <f>VLOOKUP(C7081,METADATA!$J$5:$Q$29,IF(E7081="HI",2,IF(E7081="LO",6,10))+IF(D7081=1,2,IF(D7081=7,1,(IF(WEEKDAY(B7081)=1,2,IF(WEEKDAY(B7081)=7,1,0))))))</f>
        <v>2</v>
      </c>
      <c r="H7081" s="370">
        <v>12102.399841308594</v>
      </c>
      <c r="I7081" s="370">
        <v>3675.0849914550781</v>
      </c>
      <c r="M7081" s="371">
        <f t="shared" si="441"/>
        <v>12648.095967904601</v>
      </c>
      <c r="N7081" s="329">
        <f t="shared" si="442"/>
        <v>44.365039062500273</v>
      </c>
      <c r="T7081" s="331">
        <v>0</v>
      </c>
      <c r="U7081" s="328">
        <f>VLOOKUP(C7081,METADATA!$J$5:$Q$29,IF(E7081="HI",2,IF(E7081="LO",6,10))+IF(T7081=1,2,IF(D7081=7,1,(IF(WEEKDAY(B7081)=1,2,IF(WEEKDAY(B7081)=7,1,0))))))</f>
        <v>2</v>
      </c>
      <c r="V7081" s="328">
        <f>VLOOKUP(C7081,METADATA!$A$5:$H$29,IF(E7081="HI",2,IF(E7081="LO",6,10))+IF(T7081=1,2,IF(D7081=7,1,(IF(WEEKDAY(B7081)=1,2,IF(WEEKDAY(B7081)=7,1,0))))))</f>
        <v>2</v>
      </c>
    </row>
    <row r="7082" spans="2:22">
      <c r="B7082" s="318">
        <f t="shared" si="443"/>
        <v>46407</v>
      </c>
      <c r="C7082" s="312">
        <v>22</v>
      </c>
      <c r="D7082" s="368">
        <f>IFERROR((INDEX(METADATA!$T$2:$T$20,MATCH(B7082,METADATA!$S$2:$S$20,0))),0)</f>
        <v>0</v>
      </c>
      <c r="E7082" s="312" t="str">
        <f t="shared" si="440"/>
        <v>HI</v>
      </c>
      <c r="F7082" s="369">
        <f>VLOOKUP(C7082,METADATA!$A$5:$H$29,IF(E7082="HI",2,IF(E7082="LO",6,10))+IF(D7082=1,2,IF(D7082=7,1,(IF(WEEKDAY(B7082)=1,2,IF(WEEKDAY(B7082)=7,1,0))))))</f>
        <v>3</v>
      </c>
      <c r="G7082" s="369">
        <f>VLOOKUP(C7082,METADATA!$J$5:$Q$29,IF(E7082="HI",2,IF(E7082="LO",6,10))+IF(D7082=1,2,IF(D7082=7,1,(IF(WEEKDAY(B7082)=1,2,IF(WEEKDAY(B7082)=7,1,0))))))</f>
        <v>3</v>
      </c>
      <c r="H7082" s="370">
        <v>13315.675537109375</v>
      </c>
      <c r="I7082" s="370">
        <v>4335.3800659179688</v>
      </c>
      <c r="M7082" s="371">
        <f t="shared" si="441"/>
        <v>14003.668638093803</v>
      </c>
      <c r="N7082" s="329">
        <f t="shared" si="442"/>
        <v>340.67740478515634</v>
      </c>
      <c r="T7082" s="331">
        <v>0</v>
      </c>
      <c r="U7082" s="328">
        <f>VLOOKUP(C7082,METADATA!$J$5:$Q$29,IF(E7082="HI",2,IF(E7082="LO",6,10))+IF(T7082=1,2,IF(D7082=7,1,(IF(WEEKDAY(B7082)=1,2,IF(WEEKDAY(B7082)=7,1,0))))))</f>
        <v>3</v>
      </c>
      <c r="V7082" s="328">
        <f>VLOOKUP(C7082,METADATA!$A$5:$H$29,IF(E7082="HI",2,IF(E7082="LO",6,10))+IF(T7082=1,2,IF(D7082=7,1,(IF(WEEKDAY(B7082)=1,2,IF(WEEKDAY(B7082)=7,1,0))))))</f>
        <v>3</v>
      </c>
    </row>
    <row r="7083" spans="2:22">
      <c r="B7083" s="318">
        <f t="shared" si="443"/>
        <v>46407</v>
      </c>
      <c r="C7083" s="312">
        <v>23</v>
      </c>
      <c r="D7083" s="368">
        <f>IFERROR((INDEX(METADATA!$T$2:$T$20,MATCH(B7083,METADATA!$S$2:$S$20,0))),0)</f>
        <v>0</v>
      </c>
      <c r="E7083" s="312" t="str">
        <f t="shared" si="440"/>
        <v>HI</v>
      </c>
      <c r="F7083" s="369">
        <f>VLOOKUP(C7083,METADATA!$A$5:$H$29,IF(E7083="HI",2,IF(E7083="LO",6,10))+IF(D7083=1,2,IF(D7083=7,1,(IF(WEEKDAY(B7083)=1,2,IF(WEEKDAY(B7083)=7,1,0))))))</f>
        <v>3</v>
      </c>
      <c r="G7083" s="369">
        <f>VLOOKUP(C7083,METADATA!$J$5:$Q$29,IF(E7083="HI",2,IF(E7083="LO",6,10))+IF(D7083=1,2,IF(D7083=7,1,(IF(WEEKDAY(B7083)=1,2,IF(WEEKDAY(B7083)=7,1,0))))))</f>
        <v>3</v>
      </c>
      <c r="H7083" s="370">
        <v>13679.449951171875</v>
      </c>
      <c r="I7083" s="370">
        <v>4517.0598754882813</v>
      </c>
      <c r="M7083" s="371">
        <f t="shared" si="441"/>
        <v>14405.942554562767</v>
      </c>
      <c r="N7083" s="329">
        <f t="shared" si="442"/>
        <v>413.2248901367193</v>
      </c>
      <c r="T7083" s="331">
        <v>0</v>
      </c>
      <c r="U7083" s="328">
        <f>VLOOKUP(C7083,METADATA!$J$5:$Q$29,IF(E7083="HI",2,IF(E7083="LO",6,10))+IF(T7083=1,2,IF(D7083=7,1,(IF(WEEKDAY(B7083)=1,2,IF(WEEKDAY(B7083)=7,1,0))))))</f>
        <v>3</v>
      </c>
      <c r="V7083" s="328">
        <f>VLOOKUP(C7083,METADATA!$A$5:$H$29,IF(E7083="HI",2,IF(E7083="LO",6,10))+IF(T7083=1,2,IF(D7083=7,1,(IF(WEEKDAY(B7083)=1,2,IF(WEEKDAY(B7083)=7,1,0))))))</f>
        <v>3</v>
      </c>
    </row>
    <row r="7084" spans="2:22">
      <c r="B7084" s="318">
        <f t="shared" si="443"/>
        <v>46408</v>
      </c>
      <c r="C7084" s="312">
        <v>0</v>
      </c>
      <c r="D7084" s="368">
        <f>IFERROR((INDEX(METADATA!$T$2:$T$20,MATCH(B7084,METADATA!$S$2:$S$20,0))),0)</f>
        <v>0</v>
      </c>
      <c r="E7084" s="312" t="str">
        <f t="shared" si="440"/>
        <v>HI</v>
      </c>
      <c r="F7084" s="369">
        <f>VLOOKUP(C7084,METADATA!$A$5:$H$29,IF(E7084="HI",2,IF(E7084="LO",6,10))+IF(D7084=1,2,IF(D7084=7,1,(IF(WEEKDAY(B7084)=1,2,IF(WEEKDAY(B7084)=7,1,0))))))</f>
        <v>3</v>
      </c>
      <c r="G7084" s="369">
        <f>VLOOKUP(C7084,METADATA!$J$5:$Q$29,IF(E7084="HI",2,IF(E7084="LO",6,10))+IF(D7084=1,2,IF(D7084=7,1,(IF(WEEKDAY(B7084)=1,2,IF(WEEKDAY(B7084)=7,1,0))))))</f>
        <v>3</v>
      </c>
      <c r="H7084" s="370">
        <v>13586.700134277344</v>
      </c>
      <c r="I7084" s="370">
        <v>4689.8999328613281</v>
      </c>
      <c r="M7084" s="371">
        <f t="shared" si="441"/>
        <v>14373.36362578449</v>
      </c>
      <c r="N7084" s="329">
        <f t="shared" si="442"/>
        <v>613.889892578125</v>
      </c>
      <c r="T7084" s="331">
        <v>0</v>
      </c>
      <c r="U7084" s="328">
        <f>VLOOKUP(C7084,METADATA!$J$5:$Q$29,IF(E7084="HI",2,IF(E7084="LO",6,10))+IF(T7084=1,2,IF(D7084=7,1,(IF(WEEKDAY(B7084)=1,2,IF(WEEKDAY(B7084)=7,1,0))))))</f>
        <v>3</v>
      </c>
      <c r="V7084" s="328">
        <f>VLOOKUP(C7084,METADATA!$A$5:$H$29,IF(E7084="HI",2,IF(E7084="LO",6,10))+IF(T7084=1,2,IF(D7084=7,1,(IF(WEEKDAY(B7084)=1,2,IF(WEEKDAY(B7084)=7,1,0))))))</f>
        <v>3</v>
      </c>
    </row>
    <row r="7085" spans="2:22">
      <c r="B7085" s="318">
        <f t="shared" si="443"/>
        <v>46408</v>
      </c>
      <c r="C7085" s="312">
        <v>1</v>
      </c>
      <c r="D7085" s="368">
        <f>IFERROR((INDEX(METADATA!$T$2:$T$20,MATCH(B7085,METADATA!$S$2:$S$20,0))),0)</f>
        <v>0</v>
      </c>
      <c r="E7085" s="312" t="str">
        <f t="shared" si="440"/>
        <v>HI</v>
      </c>
      <c r="F7085" s="369">
        <f>VLOOKUP(C7085,METADATA!$A$5:$H$29,IF(E7085="HI",2,IF(E7085="LO",6,10))+IF(D7085=1,2,IF(D7085=7,1,(IF(WEEKDAY(B7085)=1,2,IF(WEEKDAY(B7085)=7,1,0))))))</f>
        <v>3</v>
      </c>
      <c r="G7085" s="369">
        <f>VLOOKUP(C7085,METADATA!$J$5:$Q$29,IF(E7085="HI",2,IF(E7085="LO",6,10))+IF(D7085=1,2,IF(D7085=7,1,(IF(WEEKDAY(B7085)=1,2,IF(WEEKDAY(B7085)=7,1,0))))))</f>
        <v>3</v>
      </c>
      <c r="H7085" s="370">
        <v>13533.9248046875</v>
      </c>
      <c r="I7085" s="370">
        <v>4572.2950134277344</v>
      </c>
      <c r="M7085" s="371">
        <f t="shared" si="441"/>
        <v>14285.412220469932</v>
      </c>
      <c r="N7085" s="329">
        <f t="shared" si="442"/>
        <v>512.11757202148465</v>
      </c>
      <c r="T7085" s="331">
        <v>0</v>
      </c>
      <c r="U7085" s="328">
        <f>VLOOKUP(C7085,METADATA!$J$5:$Q$29,IF(E7085="HI",2,IF(E7085="LO",6,10))+IF(T7085=1,2,IF(D7085=7,1,(IF(WEEKDAY(B7085)=1,2,IF(WEEKDAY(B7085)=7,1,0))))))</f>
        <v>3</v>
      </c>
      <c r="V7085" s="328">
        <f>VLOOKUP(C7085,METADATA!$A$5:$H$29,IF(E7085="HI",2,IF(E7085="LO",6,10))+IF(T7085=1,2,IF(D7085=7,1,(IF(WEEKDAY(B7085)=1,2,IF(WEEKDAY(B7085)=7,1,0))))))</f>
        <v>3</v>
      </c>
    </row>
    <row r="7086" spans="2:22">
      <c r="B7086" s="318">
        <f t="shared" si="443"/>
        <v>46408</v>
      </c>
      <c r="C7086" s="312">
        <v>2</v>
      </c>
      <c r="D7086" s="368">
        <f>IFERROR((INDEX(METADATA!$T$2:$T$20,MATCH(B7086,METADATA!$S$2:$S$20,0))),0)</f>
        <v>0</v>
      </c>
      <c r="E7086" s="312" t="str">
        <f t="shared" si="440"/>
        <v>HI</v>
      </c>
      <c r="F7086" s="369">
        <f>VLOOKUP(C7086,METADATA!$A$5:$H$29,IF(E7086="HI",2,IF(E7086="LO",6,10))+IF(D7086=1,2,IF(D7086=7,1,(IF(WEEKDAY(B7086)=1,2,IF(WEEKDAY(B7086)=7,1,0))))))</f>
        <v>3</v>
      </c>
      <c r="G7086" s="369">
        <f>VLOOKUP(C7086,METADATA!$J$5:$Q$29,IF(E7086="HI",2,IF(E7086="LO",6,10))+IF(D7086=1,2,IF(D7086=7,1,(IF(WEEKDAY(B7086)=1,2,IF(WEEKDAY(B7086)=7,1,0))))))</f>
        <v>3</v>
      </c>
      <c r="H7086" s="370">
        <v>13699.724975585938</v>
      </c>
      <c r="I7086" s="370">
        <v>4660.5550537109375</v>
      </c>
      <c r="M7086" s="371">
        <f t="shared" si="441"/>
        <v>14470.77184587483</v>
      </c>
      <c r="N7086" s="329">
        <f t="shared" si="442"/>
        <v>550.63756103515607</v>
      </c>
      <c r="T7086" s="331">
        <v>0</v>
      </c>
      <c r="U7086" s="328">
        <f>VLOOKUP(C7086,METADATA!$J$5:$Q$29,IF(E7086="HI",2,IF(E7086="LO",6,10))+IF(T7086=1,2,IF(D7086=7,1,(IF(WEEKDAY(B7086)=1,2,IF(WEEKDAY(B7086)=7,1,0))))))</f>
        <v>3</v>
      </c>
      <c r="V7086" s="328">
        <f>VLOOKUP(C7086,METADATA!$A$5:$H$29,IF(E7086="HI",2,IF(E7086="LO",6,10))+IF(T7086=1,2,IF(D7086=7,1,(IF(WEEKDAY(B7086)=1,2,IF(WEEKDAY(B7086)=7,1,0))))))</f>
        <v>3</v>
      </c>
    </row>
    <row r="7087" spans="2:22">
      <c r="B7087" s="318">
        <f t="shared" si="443"/>
        <v>46408</v>
      </c>
      <c r="C7087" s="312">
        <v>3</v>
      </c>
      <c r="D7087" s="368">
        <f>IFERROR((INDEX(METADATA!$T$2:$T$20,MATCH(B7087,METADATA!$S$2:$S$20,0))),0)</f>
        <v>0</v>
      </c>
      <c r="E7087" s="312" t="str">
        <f t="shared" si="440"/>
        <v>HI</v>
      </c>
      <c r="F7087" s="369">
        <f>VLOOKUP(C7087,METADATA!$A$5:$H$29,IF(E7087="HI",2,IF(E7087="LO",6,10))+IF(D7087=1,2,IF(D7087=7,1,(IF(WEEKDAY(B7087)=1,2,IF(WEEKDAY(B7087)=7,1,0))))))</f>
        <v>3</v>
      </c>
      <c r="G7087" s="369">
        <f>VLOOKUP(C7087,METADATA!$J$5:$Q$29,IF(E7087="HI",2,IF(E7087="LO",6,10))+IF(D7087=1,2,IF(D7087=7,1,(IF(WEEKDAY(B7087)=1,2,IF(WEEKDAY(B7087)=7,1,0))))))</f>
        <v>3</v>
      </c>
      <c r="H7087" s="370">
        <v>13641.575134277344</v>
      </c>
      <c r="I7087" s="370">
        <v>4668.0899963378906</v>
      </c>
      <c r="M7087" s="371">
        <f t="shared" si="441"/>
        <v>14418.170354037429</v>
      </c>
      <c r="N7087" s="329">
        <f t="shared" si="442"/>
        <v>575.61745605468786</v>
      </c>
      <c r="T7087" s="331">
        <v>0</v>
      </c>
      <c r="U7087" s="328">
        <f>VLOOKUP(C7087,METADATA!$J$5:$Q$29,IF(E7087="HI",2,IF(E7087="LO",6,10))+IF(T7087=1,2,IF(D7087=7,1,(IF(WEEKDAY(B7087)=1,2,IF(WEEKDAY(B7087)=7,1,0))))))</f>
        <v>3</v>
      </c>
      <c r="V7087" s="328">
        <f>VLOOKUP(C7087,METADATA!$A$5:$H$29,IF(E7087="HI",2,IF(E7087="LO",6,10))+IF(T7087=1,2,IF(D7087=7,1,(IF(WEEKDAY(B7087)=1,2,IF(WEEKDAY(B7087)=7,1,0))))))</f>
        <v>3</v>
      </c>
    </row>
    <row r="7088" spans="2:22">
      <c r="B7088" s="318">
        <f t="shared" si="443"/>
        <v>46408</v>
      </c>
      <c r="C7088" s="312">
        <v>4</v>
      </c>
      <c r="D7088" s="368">
        <f>IFERROR((INDEX(METADATA!$T$2:$T$20,MATCH(B7088,METADATA!$S$2:$S$20,0))),0)</f>
        <v>0</v>
      </c>
      <c r="E7088" s="312" t="str">
        <f t="shared" si="440"/>
        <v>HI</v>
      </c>
      <c r="F7088" s="369">
        <f>VLOOKUP(C7088,METADATA!$A$5:$H$29,IF(E7088="HI",2,IF(E7088="LO",6,10))+IF(D7088=1,2,IF(D7088=7,1,(IF(WEEKDAY(B7088)=1,2,IF(WEEKDAY(B7088)=7,1,0))))))</f>
        <v>3</v>
      </c>
      <c r="G7088" s="369">
        <f>VLOOKUP(C7088,METADATA!$J$5:$Q$29,IF(E7088="HI",2,IF(E7088="LO",6,10))+IF(D7088=1,2,IF(D7088=7,1,(IF(WEEKDAY(B7088)=1,2,IF(WEEKDAY(B7088)=7,1,0))))))</f>
        <v>3</v>
      </c>
      <c r="H7088" s="370">
        <v>13685.125122070313</v>
      </c>
      <c r="I7088" s="370">
        <v>4674.2500305175781</v>
      </c>
      <c r="M7088" s="371">
        <f t="shared" si="441"/>
        <v>14461.371406423166</v>
      </c>
      <c r="N7088" s="329">
        <f t="shared" si="442"/>
        <v>568.71249389648438</v>
      </c>
      <c r="T7088" s="331">
        <v>0</v>
      </c>
      <c r="U7088" s="328">
        <f>VLOOKUP(C7088,METADATA!$J$5:$Q$29,IF(E7088="HI",2,IF(E7088="LO",6,10))+IF(T7088=1,2,IF(D7088=7,1,(IF(WEEKDAY(B7088)=1,2,IF(WEEKDAY(B7088)=7,1,0))))))</f>
        <v>3</v>
      </c>
      <c r="V7088" s="328">
        <f>VLOOKUP(C7088,METADATA!$A$5:$H$29,IF(E7088="HI",2,IF(E7088="LO",6,10))+IF(T7088=1,2,IF(D7088=7,1,(IF(WEEKDAY(B7088)=1,2,IF(WEEKDAY(B7088)=7,1,0))))))</f>
        <v>3</v>
      </c>
    </row>
    <row r="7089" spans="2:22">
      <c r="B7089" s="318">
        <f t="shared" si="443"/>
        <v>46408</v>
      </c>
      <c r="C7089" s="312">
        <v>5</v>
      </c>
      <c r="D7089" s="368">
        <f>IFERROR((INDEX(METADATA!$T$2:$T$20,MATCH(B7089,METADATA!$S$2:$S$20,0))),0)</f>
        <v>0</v>
      </c>
      <c r="E7089" s="312" t="str">
        <f t="shared" si="440"/>
        <v>HI</v>
      </c>
      <c r="F7089" s="369">
        <f>VLOOKUP(C7089,METADATA!$A$5:$H$29,IF(E7089="HI",2,IF(E7089="LO",6,10))+IF(D7089=1,2,IF(D7089=7,1,(IF(WEEKDAY(B7089)=1,2,IF(WEEKDAY(B7089)=7,1,0))))))</f>
        <v>3</v>
      </c>
      <c r="G7089" s="369">
        <f>VLOOKUP(C7089,METADATA!$J$5:$Q$29,IF(E7089="HI",2,IF(E7089="LO",6,10))+IF(D7089=1,2,IF(D7089=7,1,(IF(WEEKDAY(B7089)=1,2,IF(WEEKDAY(B7089)=7,1,0))))))</f>
        <v>3</v>
      </c>
      <c r="H7089" s="370">
        <v>13547.699890136719</v>
      </c>
      <c r="I7089" s="370">
        <v>4531.2549743652344</v>
      </c>
      <c r="M7089" s="371">
        <f t="shared" si="441"/>
        <v>14285.392677694237</v>
      </c>
      <c r="N7089" s="329">
        <f t="shared" si="442"/>
        <v>466.94500732421875</v>
      </c>
      <c r="T7089" s="331">
        <v>0</v>
      </c>
      <c r="U7089" s="328">
        <f>VLOOKUP(C7089,METADATA!$J$5:$Q$29,IF(E7089="HI",2,IF(E7089="LO",6,10))+IF(T7089=1,2,IF(D7089=7,1,(IF(WEEKDAY(B7089)=1,2,IF(WEEKDAY(B7089)=7,1,0))))))</f>
        <v>3</v>
      </c>
      <c r="V7089" s="328">
        <f>VLOOKUP(C7089,METADATA!$A$5:$H$29,IF(E7089="HI",2,IF(E7089="LO",6,10))+IF(T7089=1,2,IF(D7089=7,1,(IF(WEEKDAY(B7089)=1,2,IF(WEEKDAY(B7089)=7,1,0))))))</f>
        <v>3</v>
      </c>
    </row>
    <row r="7090" spans="2:22">
      <c r="B7090" s="318">
        <f t="shared" si="443"/>
        <v>46408</v>
      </c>
      <c r="C7090" s="312">
        <v>6</v>
      </c>
      <c r="D7090" s="368">
        <f>IFERROR((INDEX(METADATA!$T$2:$T$20,MATCH(B7090,METADATA!$S$2:$S$20,0))),0)</f>
        <v>0</v>
      </c>
      <c r="E7090" s="312" t="str">
        <f t="shared" si="440"/>
        <v>HI</v>
      </c>
      <c r="F7090" s="369">
        <f>VLOOKUP(C7090,METADATA!$A$5:$H$29,IF(E7090="HI",2,IF(E7090="LO",6,10))+IF(D7090=1,2,IF(D7090=7,1,(IF(WEEKDAY(B7090)=1,2,IF(WEEKDAY(B7090)=7,1,0))))))</f>
        <v>1</v>
      </c>
      <c r="G7090" s="369">
        <f>VLOOKUP(C7090,METADATA!$J$5:$Q$29,IF(E7090="HI",2,IF(E7090="LO",6,10))+IF(D7090=1,2,IF(D7090=7,1,(IF(WEEKDAY(B7090)=1,2,IF(WEEKDAY(B7090)=7,1,0))))))</f>
        <v>1</v>
      </c>
      <c r="H7090" s="370">
        <v>13669.624816894531</v>
      </c>
      <c r="I7090" s="370">
        <v>4599.5599975585938</v>
      </c>
      <c r="M7090" s="371">
        <f t="shared" si="441"/>
        <v>14422.711076832957</v>
      </c>
      <c r="N7090" s="329">
        <f t="shared" si="442"/>
        <v>498.67255249023492</v>
      </c>
      <c r="T7090" s="331">
        <v>0</v>
      </c>
      <c r="U7090" s="328">
        <f>VLOOKUP(C7090,METADATA!$J$5:$Q$29,IF(E7090="HI",2,IF(E7090="LO",6,10))+IF(T7090=1,2,IF(D7090=7,1,(IF(WEEKDAY(B7090)=1,2,IF(WEEKDAY(B7090)=7,1,0))))))</f>
        <v>1</v>
      </c>
      <c r="V7090" s="328">
        <f>VLOOKUP(C7090,METADATA!$A$5:$H$29,IF(E7090="HI",2,IF(E7090="LO",6,10))+IF(T7090=1,2,IF(D7090=7,1,(IF(WEEKDAY(B7090)=1,2,IF(WEEKDAY(B7090)=7,1,0))))))</f>
        <v>1</v>
      </c>
    </row>
    <row r="7091" spans="2:22">
      <c r="B7091" s="318">
        <f t="shared" si="443"/>
        <v>46408</v>
      </c>
      <c r="C7091" s="312">
        <v>7</v>
      </c>
      <c r="D7091" s="368">
        <f>IFERROR((INDEX(METADATA!$T$2:$T$20,MATCH(B7091,METADATA!$S$2:$S$20,0))),0)</f>
        <v>0</v>
      </c>
      <c r="E7091" s="312" t="str">
        <f t="shared" si="440"/>
        <v>HI</v>
      </c>
      <c r="F7091" s="369">
        <f>VLOOKUP(C7091,METADATA!$A$5:$H$29,IF(E7091="HI",2,IF(E7091="LO",6,10))+IF(D7091=1,2,IF(D7091=7,1,(IF(WEEKDAY(B7091)=1,2,IF(WEEKDAY(B7091)=7,1,0))))))</f>
        <v>1</v>
      </c>
      <c r="G7091" s="369">
        <f>VLOOKUP(C7091,METADATA!$J$5:$Q$29,IF(E7091="HI",2,IF(E7091="LO",6,10))+IF(D7091=1,2,IF(D7091=7,1,(IF(WEEKDAY(B7091)=1,2,IF(WEEKDAY(B7091)=7,1,0))))))</f>
        <v>1</v>
      </c>
      <c r="H7091" s="370">
        <v>12472.09521484375</v>
      </c>
      <c r="I7091" s="370">
        <v>3895.8150634765625</v>
      </c>
      <c r="M7091" s="371">
        <f t="shared" si="441"/>
        <v>13066.389480531308</v>
      </c>
      <c r="N7091" s="329">
        <f t="shared" si="442"/>
        <v>154.18649902343759</v>
      </c>
      <c r="T7091" s="331">
        <v>0</v>
      </c>
      <c r="U7091" s="328">
        <f>VLOOKUP(C7091,METADATA!$J$5:$Q$29,IF(E7091="HI",2,IF(E7091="LO",6,10))+IF(T7091=1,2,IF(D7091=7,1,(IF(WEEKDAY(B7091)=1,2,IF(WEEKDAY(B7091)=7,1,0))))))</f>
        <v>1</v>
      </c>
      <c r="V7091" s="328">
        <f>VLOOKUP(C7091,METADATA!$A$5:$H$29,IF(E7091="HI",2,IF(E7091="LO",6,10))+IF(T7091=1,2,IF(D7091=7,1,(IF(WEEKDAY(B7091)=1,2,IF(WEEKDAY(B7091)=7,1,0))))))</f>
        <v>1</v>
      </c>
    </row>
    <row r="7092" spans="2:22">
      <c r="B7092" s="318">
        <f t="shared" si="443"/>
        <v>46408</v>
      </c>
      <c r="C7092" s="312">
        <v>8</v>
      </c>
      <c r="D7092" s="368">
        <f>IFERROR((INDEX(METADATA!$T$2:$T$20,MATCH(B7092,METADATA!$S$2:$S$20,0))),0)</f>
        <v>0</v>
      </c>
      <c r="E7092" s="312" t="str">
        <f t="shared" si="440"/>
        <v>HI</v>
      </c>
      <c r="F7092" s="369">
        <f>VLOOKUP(C7092,METADATA!$A$5:$H$29,IF(E7092="HI",2,IF(E7092="LO",6,10))+IF(D7092=1,2,IF(D7092=7,1,(IF(WEEKDAY(B7092)=1,2,IF(WEEKDAY(B7092)=7,1,0))))))</f>
        <v>2</v>
      </c>
      <c r="G7092" s="369">
        <f>VLOOKUP(C7092,METADATA!$J$5:$Q$29,IF(E7092="HI",2,IF(E7092="LO",6,10))+IF(D7092=1,2,IF(D7092=7,1,(IF(WEEKDAY(B7092)=1,2,IF(WEEKDAY(B7092)=7,1,0))))))</f>
        <v>2</v>
      </c>
      <c r="H7092" s="370">
        <v>11768.100036621094</v>
      </c>
      <c r="I7092" s="370">
        <v>3279.9124755859375</v>
      </c>
      <c r="M7092" s="371">
        <f t="shared" si="441"/>
        <v>12216.6281894566</v>
      </c>
      <c r="N7092" s="329">
        <f t="shared" si="442"/>
        <v>0</v>
      </c>
      <c r="T7092" s="331">
        <v>0</v>
      </c>
      <c r="U7092" s="328">
        <f>VLOOKUP(C7092,METADATA!$J$5:$Q$29,IF(E7092="HI",2,IF(E7092="LO",6,10))+IF(T7092=1,2,IF(D7092=7,1,(IF(WEEKDAY(B7092)=1,2,IF(WEEKDAY(B7092)=7,1,0))))))</f>
        <v>2</v>
      </c>
      <c r="V7092" s="328">
        <f>VLOOKUP(C7092,METADATA!$A$5:$H$29,IF(E7092="HI",2,IF(E7092="LO",6,10))+IF(T7092=1,2,IF(D7092=7,1,(IF(WEEKDAY(B7092)=1,2,IF(WEEKDAY(B7092)=7,1,0))))))</f>
        <v>2</v>
      </c>
    </row>
    <row r="7093" spans="2:22">
      <c r="B7093" s="318">
        <f t="shared" si="443"/>
        <v>46408</v>
      </c>
      <c r="C7093" s="312">
        <v>9</v>
      </c>
      <c r="D7093" s="368">
        <f>IFERROR((INDEX(METADATA!$T$2:$T$20,MATCH(B7093,METADATA!$S$2:$S$20,0))),0)</f>
        <v>0</v>
      </c>
      <c r="E7093" s="312" t="str">
        <f t="shared" si="440"/>
        <v>HI</v>
      </c>
      <c r="F7093" s="369">
        <f>VLOOKUP(C7093,METADATA!$A$5:$H$29,IF(E7093="HI",2,IF(E7093="LO",6,10))+IF(D7093=1,2,IF(D7093=7,1,(IF(WEEKDAY(B7093)=1,2,IF(WEEKDAY(B7093)=7,1,0))))))</f>
        <v>2</v>
      </c>
      <c r="G7093" s="369">
        <f>VLOOKUP(C7093,METADATA!$J$5:$Q$29,IF(E7093="HI",2,IF(E7093="LO",6,10))+IF(D7093=1,2,IF(D7093=7,1,(IF(WEEKDAY(B7093)=1,2,IF(WEEKDAY(B7093)=7,1,0))))))</f>
        <v>2</v>
      </c>
      <c r="H7093" s="370">
        <v>12033.475219726563</v>
      </c>
      <c r="I7093" s="370">
        <v>3544.5125427246094</v>
      </c>
      <c r="M7093" s="371">
        <f t="shared" si="441"/>
        <v>12544.644077426243</v>
      </c>
      <c r="N7093" s="329">
        <f t="shared" si="442"/>
        <v>0</v>
      </c>
      <c r="T7093" s="331">
        <v>0</v>
      </c>
      <c r="U7093" s="328">
        <f>VLOOKUP(C7093,METADATA!$J$5:$Q$29,IF(E7093="HI",2,IF(E7093="LO",6,10))+IF(T7093=1,2,IF(D7093=7,1,(IF(WEEKDAY(B7093)=1,2,IF(WEEKDAY(B7093)=7,1,0))))))</f>
        <v>2</v>
      </c>
      <c r="V7093" s="328">
        <f>VLOOKUP(C7093,METADATA!$A$5:$H$29,IF(E7093="HI",2,IF(E7093="LO",6,10))+IF(T7093=1,2,IF(D7093=7,1,(IF(WEEKDAY(B7093)=1,2,IF(WEEKDAY(B7093)=7,1,0))))))</f>
        <v>2</v>
      </c>
    </row>
    <row r="7094" spans="2:22">
      <c r="B7094" s="318">
        <f t="shared" si="443"/>
        <v>46408</v>
      </c>
      <c r="C7094" s="312">
        <v>10</v>
      </c>
      <c r="D7094" s="368">
        <f>IFERROR((INDEX(METADATA!$T$2:$T$20,MATCH(B7094,METADATA!$S$2:$S$20,0))),0)</f>
        <v>0</v>
      </c>
      <c r="E7094" s="312" t="str">
        <f t="shared" si="440"/>
        <v>HI</v>
      </c>
      <c r="F7094" s="369">
        <f>VLOOKUP(C7094,METADATA!$A$5:$H$29,IF(E7094="HI",2,IF(E7094="LO",6,10))+IF(D7094=1,2,IF(D7094=7,1,(IF(WEEKDAY(B7094)=1,2,IF(WEEKDAY(B7094)=7,1,0))))))</f>
        <v>2</v>
      </c>
      <c r="G7094" s="369">
        <f>VLOOKUP(C7094,METADATA!$J$5:$Q$29,IF(E7094="HI",2,IF(E7094="LO",6,10))+IF(D7094=1,2,IF(D7094=7,1,(IF(WEEKDAY(B7094)=1,2,IF(WEEKDAY(B7094)=7,1,0))))))</f>
        <v>2</v>
      </c>
      <c r="H7094" s="370">
        <v>11944.600280761719</v>
      </c>
      <c r="I7094" s="370">
        <v>3584.7374572753906</v>
      </c>
      <c r="M7094" s="371">
        <f t="shared" si="441"/>
        <v>12470.918911803017</v>
      </c>
      <c r="N7094" s="329">
        <f t="shared" si="442"/>
        <v>1.3573730468751819</v>
      </c>
      <c r="T7094" s="331">
        <v>0</v>
      </c>
      <c r="U7094" s="328">
        <f>VLOOKUP(C7094,METADATA!$J$5:$Q$29,IF(E7094="HI",2,IF(E7094="LO",6,10))+IF(T7094=1,2,IF(D7094=7,1,(IF(WEEKDAY(B7094)=1,2,IF(WEEKDAY(B7094)=7,1,0))))))</f>
        <v>2</v>
      </c>
      <c r="V7094" s="328">
        <f>VLOOKUP(C7094,METADATA!$A$5:$H$29,IF(E7094="HI",2,IF(E7094="LO",6,10))+IF(T7094=1,2,IF(D7094=7,1,(IF(WEEKDAY(B7094)=1,2,IF(WEEKDAY(B7094)=7,1,0))))))</f>
        <v>2</v>
      </c>
    </row>
    <row r="7095" spans="2:22">
      <c r="B7095" s="318">
        <f t="shared" si="443"/>
        <v>46408</v>
      </c>
      <c r="C7095" s="312">
        <v>11</v>
      </c>
      <c r="D7095" s="368">
        <f>IFERROR((INDEX(METADATA!$T$2:$T$20,MATCH(B7095,METADATA!$S$2:$S$20,0))),0)</f>
        <v>0</v>
      </c>
      <c r="E7095" s="312" t="str">
        <f t="shared" si="440"/>
        <v>HI</v>
      </c>
      <c r="F7095" s="369">
        <f>VLOOKUP(C7095,METADATA!$A$5:$H$29,IF(E7095="HI",2,IF(E7095="LO",6,10))+IF(D7095=1,2,IF(D7095=7,1,(IF(WEEKDAY(B7095)=1,2,IF(WEEKDAY(B7095)=7,1,0))))))</f>
        <v>2</v>
      </c>
      <c r="G7095" s="369">
        <f>VLOOKUP(C7095,METADATA!$J$5:$Q$29,IF(E7095="HI",2,IF(E7095="LO",6,10))+IF(D7095=1,2,IF(D7095=7,1,(IF(WEEKDAY(B7095)=1,2,IF(WEEKDAY(B7095)=7,1,0))))))</f>
        <v>2</v>
      </c>
      <c r="H7095" s="370">
        <v>11992.699951171875</v>
      </c>
      <c r="I7095" s="370">
        <v>3556.2250061035156</v>
      </c>
      <c r="M7095" s="371">
        <f t="shared" si="441"/>
        <v>12508.860396250086</v>
      </c>
      <c r="N7095" s="329">
        <f t="shared" si="442"/>
        <v>0</v>
      </c>
      <c r="T7095" s="331">
        <v>0</v>
      </c>
      <c r="U7095" s="328">
        <f>VLOOKUP(C7095,METADATA!$J$5:$Q$29,IF(E7095="HI",2,IF(E7095="LO",6,10))+IF(T7095=1,2,IF(D7095=7,1,(IF(WEEKDAY(B7095)=1,2,IF(WEEKDAY(B7095)=7,1,0))))))</f>
        <v>2</v>
      </c>
      <c r="V7095" s="328">
        <f>VLOOKUP(C7095,METADATA!$A$5:$H$29,IF(E7095="HI",2,IF(E7095="LO",6,10))+IF(T7095=1,2,IF(D7095=7,1,(IF(WEEKDAY(B7095)=1,2,IF(WEEKDAY(B7095)=7,1,0))))))</f>
        <v>2</v>
      </c>
    </row>
    <row r="7096" spans="2:22">
      <c r="B7096" s="318">
        <f t="shared" si="443"/>
        <v>46408</v>
      </c>
      <c r="C7096" s="312">
        <v>12</v>
      </c>
      <c r="D7096" s="368">
        <f>IFERROR((INDEX(METADATA!$T$2:$T$20,MATCH(B7096,METADATA!$S$2:$S$20,0))),0)</f>
        <v>0</v>
      </c>
      <c r="E7096" s="312" t="str">
        <f t="shared" si="440"/>
        <v>HI</v>
      </c>
      <c r="F7096" s="369">
        <f>VLOOKUP(C7096,METADATA!$A$5:$H$29,IF(E7096="HI",2,IF(E7096="LO",6,10))+IF(D7096=1,2,IF(D7096=7,1,(IF(WEEKDAY(B7096)=1,2,IF(WEEKDAY(B7096)=7,1,0))))))</f>
        <v>2</v>
      </c>
      <c r="G7096" s="369">
        <f>VLOOKUP(C7096,METADATA!$J$5:$Q$29,IF(E7096="HI",2,IF(E7096="LO",6,10))+IF(D7096=1,2,IF(D7096=7,1,(IF(WEEKDAY(B7096)=1,2,IF(WEEKDAY(B7096)=7,1,0))))))</f>
        <v>2</v>
      </c>
      <c r="H7096" s="370">
        <v>12170.25048828125</v>
      </c>
      <c r="I7096" s="370">
        <v>3806.1100463867188</v>
      </c>
      <c r="M7096" s="371">
        <f t="shared" si="441"/>
        <v>12751.528168526153</v>
      </c>
      <c r="N7096" s="329">
        <f t="shared" si="442"/>
        <v>155.03489990234402</v>
      </c>
      <c r="T7096" s="331">
        <v>0</v>
      </c>
      <c r="U7096" s="328">
        <f>VLOOKUP(C7096,METADATA!$J$5:$Q$29,IF(E7096="HI",2,IF(E7096="LO",6,10))+IF(T7096=1,2,IF(D7096=7,1,(IF(WEEKDAY(B7096)=1,2,IF(WEEKDAY(B7096)=7,1,0))))))</f>
        <v>2</v>
      </c>
      <c r="V7096" s="328">
        <f>VLOOKUP(C7096,METADATA!$A$5:$H$29,IF(E7096="HI",2,IF(E7096="LO",6,10))+IF(T7096=1,2,IF(D7096=7,1,(IF(WEEKDAY(B7096)=1,2,IF(WEEKDAY(B7096)=7,1,0))))))</f>
        <v>2</v>
      </c>
    </row>
    <row r="7097" spans="2:22">
      <c r="B7097" s="318">
        <f t="shared" si="443"/>
        <v>46408</v>
      </c>
      <c r="C7097" s="312">
        <v>13</v>
      </c>
      <c r="D7097" s="368">
        <f>IFERROR((INDEX(METADATA!$T$2:$T$20,MATCH(B7097,METADATA!$S$2:$S$20,0))),0)</f>
        <v>0</v>
      </c>
      <c r="E7097" s="312" t="str">
        <f t="shared" si="440"/>
        <v>HI</v>
      </c>
      <c r="F7097" s="369">
        <f>VLOOKUP(C7097,METADATA!$A$5:$H$29,IF(E7097="HI",2,IF(E7097="LO",6,10))+IF(D7097=1,2,IF(D7097=7,1,(IF(WEEKDAY(B7097)=1,2,IF(WEEKDAY(B7097)=7,1,0))))))</f>
        <v>2</v>
      </c>
      <c r="G7097" s="369">
        <f>VLOOKUP(C7097,METADATA!$J$5:$Q$29,IF(E7097="HI",2,IF(E7097="LO",6,10))+IF(D7097=1,2,IF(D7097=7,1,(IF(WEEKDAY(B7097)=1,2,IF(WEEKDAY(B7097)=7,1,0))))))</f>
        <v>2</v>
      </c>
      <c r="H7097" s="370">
        <v>11380.124877929688</v>
      </c>
      <c r="I7097" s="370">
        <v>3432.217529296875</v>
      </c>
      <c r="M7097" s="371">
        <f t="shared" si="441"/>
        <v>11886.435942101691</v>
      </c>
      <c r="N7097" s="329">
        <f t="shared" si="442"/>
        <v>18.180065917968932</v>
      </c>
      <c r="T7097" s="331">
        <v>0</v>
      </c>
      <c r="U7097" s="328">
        <f>VLOOKUP(C7097,METADATA!$J$5:$Q$29,IF(E7097="HI",2,IF(E7097="LO",6,10))+IF(T7097=1,2,IF(D7097=7,1,(IF(WEEKDAY(B7097)=1,2,IF(WEEKDAY(B7097)=7,1,0))))))</f>
        <v>2</v>
      </c>
      <c r="V7097" s="328">
        <f>VLOOKUP(C7097,METADATA!$A$5:$H$29,IF(E7097="HI",2,IF(E7097="LO",6,10))+IF(T7097=1,2,IF(D7097=7,1,(IF(WEEKDAY(B7097)=1,2,IF(WEEKDAY(B7097)=7,1,0))))))</f>
        <v>2</v>
      </c>
    </row>
    <row r="7098" spans="2:22">
      <c r="B7098" s="318">
        <f t="shared" si="443"/>
        <v>46408</v>
      </c>
      <c r="C7098" s="312">
        <v>14</v>
      </c>
      <c r="D7098" s="368">
        <f>IFERROR((INDEX(METADATA!$T$2:$T$20,MATCH(B7098,METADATA!$S$2:$S$20,0))),0)</f>
        <v>0</v>
      </c>
      <c r="E7098" s="312" t="str">
        <f t="shared" si="440"/>
        <v>HI</v>
      </c>
      <c r="F7098" s="369">
        <f>VLOOKUP(C7098,METADATA!$A$5:$H$29,IF(E7098="HI",2,IF(E7098="LO",6,10))+IF(D7098=1,2,IF(D7098=7,1,(IF(WEEKDAY(B7098)=1,2,IF(WEEKDAY(B7098)=7,1,0))))))</f>
        <v>2</v>
      </c>
      <c r="G7098" s="369">
        <f>VLOOKUP(C7098,METADATA!$J$5:$Q$29,IF(E7098="HI",2,IF(E7098="LO",6,10))+IF(D7098=1,2,IF(D7098=7,1,(IF(WEEKDAY(B7098)=1,2,IF(WEEKDAY(B7098)=7,1,0))))))</f>
        <v>2</v>
      </c>
      <c r="H7098" s="370">
        <v>8344.0750122070313</v>
      </c>
      <c r="I7098" s="370">
        <v>2762.3400366157293</v>
      </c>
      <c r="M7098" s="371">
        <f t="shared" si="441"/>
        <v>8789.4317385840113</v>
      </c>
      <c r="N7098" s="329">
        <f t="shared" si="442"/>
        <v>259.11753295361996</v>
      </c>
      <c r="T7098" s="331">
        <v>0</v>
      </c>
      <c r="U7098" s="328">
        <f>VLOOKUP(C7098,METADATA!$J$5:$Q$29,IF(E7098="HI",2,IF(E7098="LO",6,10))+IF(T7098=1,2,IF(D7098=7,1,(IF(WEEKDAY(B7098)=1,2,IF(WEEKDAY(B7098)=7,1,0))))))</f>
        <v>2</v>
      </c>
      <c r="V7098" s="328">
        <f>VLOOKUP(C7098,METADATA!$A$5:$H$29,IF(E7098="HI",2,IF(E7098="LO",6,10))+IF(T7098=1,2,IF(D7098=7,1,(IF(WEEKDAY(B7098)=1,2,IF(WEEKDAY(B7098)=7,1,0))))))</f>
        <v>2</v>
      </c>
    </row>
    <row r="7099" spans="2:22">
      <c r="B7099" s="318">
        <f t="shared" si="443"/>
        <v>46408</v>
      </c>
      <c r="C7099" s="312">
        <v>15</v>
      </c>
      <c r="D7099" s="368">
        <f>IFERROR((INDEX(METADATA!$T$2:$T$20,MATCH(B7099,METADATA!$S$2:$S$20,0))),0)</f>
        <v>0</v>
      </c>
      <c r="E7099" s="312" t="str">
        <f t="shared" si="440"/>
        <v>HI</v>
      </c>
      <c r="F7099" s="369">
        <f>VLOOKUP(C7099,METADATA!$A$5:$H$29,IF(E7099="HI",2,IF(E7099="LO",6,10))+IF(D7099=1,2,IF(D7099=7,1,(IF(WEEKDAY(B7099)=1,2,IF(WEEKDAY(B7099)=7,1,0))))))</f>
        <v>2</v>
      </c>
      <c r="G7099" s="369">
        <f>VLOOKUP(C7099,METADATA!$J$5:$Q$29,IF(E7099="HI",2,IF(E7099="LO",6,10))+IF(D7099=1,2,IF(D7099=7,1,(IF(WEEKDAY(B7099)=1,2,IF(WEEKDAY(B7099)=7,1,0))))))</f>
        <v>2</v>
      </c>
      <c r="H7099" s="370">
        <v>12142.349975585938</v>
      </c>
      <c r="I7099" s="370">
        <v>4188.8200378417969</v>
      </c>
      <c r="M7099" s="371">
        <f t="shared" si="441"/>
        <v>12844.566019879252</v>
      </c>
      <c r="N7099" s="329">
        <f t="shared" si="442"/>
        <v>546.11504516601553</v>
      </c>
      <c r="T7099" s="331">
        <v>0</v>
      </c>
      <c r="U7099" s="328">
        <f>VLOOKUP(C7099,METADATA!$J$5:$Q$29,IF(E7099="HI",2,IF(E7099="LO",6,10))+IF(T7099=1,2,IF(D7099=7,1,(IF(WEEKDAY(B7099)=1,2,IF(WEEKDAY(B7099)=7,1,0))))))</f>
        <v>2</v>
      </c>
      <c r="V7099" s="328">
        <f>VLOOKUP(C7099,METADATA!$A$5:$H$29,IF(E7099="HI",2,IF(E7099="LO",6,10))+IF(T7099=1,2,IF(D7099=7,1,(IF(WEEKDAY(B7099)=1,2,IF(WEEKDAY(B7099)=7,1,0))))))</f>
        <v>2</v>
      </c>
    </row>
    <row r="7100" spans="2:22">
      <c r="B7100" s="318">
        <f t="shared" si="443"/>
        <v>46408</v>
      </c>
      <c r="C7100" s="312">
        <v>16</v>
      </c>
      <c r="D7100" s="368">
        <f>IFERROR((INDEX(METADATA!$T$2:$T$20,MATCH(B7100,METADATA!$S$2:$S$20,0))),0)</f>
        <v>0</v>
      </c>
      <c r="E7100" s="312" t="str">
        <f t="shared" si="440"/>
        <v>HI</v>
      </c>
      <c r="F7100" s="369">
        <f>VLOOKUP(C7100,METADATA!$A$5:$H$29,IF(E7100="HI",2,IF(E7100="LO",6,10))+IF(D7100=1,2,IF(D7100=7,1,(IF(WEEKDAY(B7100)=1,2,IF(WEEKDAY(B7100)=7,1,0))))))</f>
        <v>2</v>
      </c>
      <c r="G7100" s="369">
        <f>VLOOKUP(C7100,METADATA!$J$5:$Q$29,IF(E7100="HI",2,IF(E7100="LO",6,10))+IF(D7100=1,2,IF(D7100=7,1,(IF(WEEKDAY(B7100)=1,2,IF(WEEKDAY(B7100)=7,1,0))))))</f>
        <v>2</v>
      </c>
      <c r="H7100" s="370">
        <v>13546.274658203125</v>
      </c>
      <c r="I7100" s="370">
        <v>4563.5399169921875</v>
      </c>
      <c r="M7100" s="371">
        <f t="shared" si="441"/>
        <v>14294.315432697616</v>
      </c>
      <c r="N7100" s="329">
        <f t="shared" si="442"/>
        <v>499.65751953125027</v>
      </c>
      <c r="T7100" s="331">
        <v>0</v>
      </c>
      <c r="U7100" s="328">
        <f>VLOOKUP(C7100,METADATA!$J$5:$Q$29,IF(E7100="HI",2,IF(E7100="LO",6,10))+IF(T7100=1,2,IF(D7100=7,1,(IF(WEEKDAY(B7100)=1,2,IF(WEEKDAY(B7100)=7,1,0))))))</f>
        <v>2</v>
      </c>
      <c r="V7100" s="328">
        <f>VLOOKUP(C7100,METADATA!$A$5:$H$29,IF(E7100="HI",2,IF(E7100="LO",6,10))+IF(T7100=1,2,IF(D7100=7,1,(IF(WEEKDAY(B7100)=1,2,IF(WEEKDAY(B7100)=7,1,0))))))</f>
        <v>2</v>
      </c>
    </row>
    <row r="7101" spans="2:22">
      <c r="B7101" s="318">
        <f t="shared" si="443"/>
        <v>46408</v>
      </c>
      <c r="C7101" s="312">
        <v>17</v>
      </c>
      <c r="D7101" s="368">
        <f>IFERROR((INDEX(METADATA!$T$2:$T$20,MATCH(B7101,METADATA!$S$2:$S$20,0))),0)</f>
        <v>0</v>
      </c>
      <c r="E7101" s="312" t="str">
        <f t="shared" si="440"/>
        <v>HI</v>
      </c>
      <c r="F7101" s="369">
        <f>VLOOKUP(C7101,METADATA!$A$5:$H$29,IF(E7101="HI",2,IF(E7101="LO",6,10))+IF(D7101=1,2,IF(D7101=7,1,(IF(WEEKDAY(B7101)=1,2,IF(WEEKDAY(B7101)=7,1,0))))))</f>
        <v>1</v>
      </c>
      <c r="G7101" s="369">
        <f>VLOOKUP(C7101,METADATA!$J$5:$Q$29,IF(E7101="HI",2,IF(E7101="LO",6,10))+IF(D7101=1,2,IF(D7101=7,1,(IF(WEEKDAY(B7101)=1,2,IF(WEEKDAY(B7101)=7,1,0))))))</f>
        <v>1</v>
      </c>
      <c r="H7101" s="370">
        <v>13472.899841308594</v>
      </c>
      <c r="I7101" s="370">
        <v>4580.4000244140625</v>
      </c>
      <c r="M7101" s="371">
        <f t="shared" si="441"/>
        <v>14230.217655313128</v>
      </c>
      <c r="N7101" s="329">
        <f t="shared" si="442"/>
        <v>538.53007202148456</v>
      </c>
      <c r="T7101" s="331">
        <v>0</v>
      </c>
      <c r="U7101" s="328">
        <f>VLOOKUP(C7101,METADATA!$J$5:$Q$29,IF(E7101="HI",2,IF(E7101="LO",6,10))+IF(T7101=1,2,IF(D7101=7,1,(IF(WEEKDAY(B7101)=1,2,IF(WEEKDAY(B7101)=7,1,0))))))</f>
        <v>1</v>
      </c>
      <c r="V7101" s="328">
        <f>VLOOKUP(C7101,METADATA!$A$5:$H$29,IF(E7101="HI",2,IF(E7101="LO",6,10))+IF(T7101=1,2,IF(D7101=7,1,(IF(WEEKDAY(B7101)=1,2,IF(WEEKDAY(B7101)=7,1,0))))))</f>
        <v>1</v>
      </c>
    </row>
    <row r="7102" spans="2:22">
      <c r="B7102" s="318">
        <f t="shared" si="443"/>
        <v>46408</v>
      </c>
      <c r="C7102" s="312">
        <v>18</v>
      </c>
      <c r="D7102" s="368">
        <f>IFERROR((INDEX(METADATA!$T$2:$T$20,MATCH(B7102,METADATA!$S$2:$S$20,0))),0)</f>
        <v>0</v>
      </c>
      <c r="E7102" s="312" t="str">
        <f t="shared" si="440"/>
        <v>HI</v>
      </c>
      <c r="F7102" s="369">
        <f>VLOOKUP(C7102,METADATA!$A$5:$H$29,IF(E7102="HI",2,IF(E7102="LO",6,10))+IF(D7102=1,2,IF(D7102=7,1,(IF(WEEKDAY(B7102)=1,2,IF(WEEKDAY(B7102)=7,1,0))))))</f>
        <v>1</v>
      </c>
      <c r="G7102" s="369">
        <f>VLOOKUP(C7102,METADATA!$J$5:$Q$29,IF(E7102="HI",2,IF(E7102="LO",6,10))+IF(D7102=1,2,IF(D7102=7,1,(IF(WEEKDAY(B7102)=1,2,IF(WEEKDAY(B7102)=7,1,0))))))</f>
        <v>1</v>
      </c>
      <c r="H7102" s="370">
        <v>13147.125366210938</v>
      </c>
      <c r="I7102" s="370">
        <v>4379.1599426269531</v>
      </c>
      <c r="M7102" s="371">
        <f t="shared" si="441"/>
        <v>13857.270553683204</v>
      </c>
      <c r="N7102" s="329">
        <f t="shared" si="442"/>
        <v>435.02233276367224</v>
      </c>
      <c r="T7102" s="331">
        <v>0</v>
      </c>
      <c r="U7102" s="328">
        <f>VLOOKUP(C7102,METADATA!$J$5:$Q$29,IF(E7102="HI",2,IF(E7102="LO",6,10))+IF(T7102=1,2,IF(D7102=7,1,(IF(WEEKDAY(B7102)=1,2,IF(WEEKDAY(B7102)=7,1,0))))))</f>
        <v>1</v>
      </c>
      <c r="V7102" s="328">
        <f>VLOOKUP(C7102,METADATA!$A$5:$H$29,IF(E7102="HI",2,IF(E7102="LO",6,10))+IF(T7102=1,2,IF(D7102=7,1,(IF(WEEKDAY(B7102)=1,2,IF(WEEKDAY(B7102)=7,1,0))))))</f>
        <v>1</v>
      </c>
    </row>
    <row r="7103" spans="2:22">
      <c r="B7103" s="318">
        <f t="shared" si="443"/>
        <v>46408</v>
      </c>
      <c r="C7103" s="312">
        <v>19</v>
      </c>
      <c r="D7103" s="368">
        <f>IFERROR((INDEX(METADATA!$T$2:$T$20,MATCH(B7103,METADATA!$S$2:$S$20,0))),0)</f>
        <v>0</v>
      </c>
      <c r="E7103" s="312" t="str">
        <f t="shared" si="440"/>
        <v>HI</v>
      </c>
      <c r="F7103" s="369">
        <f>VLOOKUP(C7103,METADATA!$A$5:$H$29,IF(E7103="HI",2,IF(E7103="LO",6,10))+IF(D7103=1,2,IF(D7103=7,1,(IF(WEEKDAY(B7103)=1,2,IF(WEEKDAY(B7103)=7,1,0))))))</f>
        <v>1</v>
      </c>
      <c r="G7103" s="369">
        <f>VLOOKUP(C7103,METADATA!$J$5:$Q$29,IF(E7103="HI",2,IF(E7103="LO",6,10))+IF(D7103=1,2,IF(D7103=7,1,(IF(WEEKDAY(B7103)=1,2,IF(WEEKDAY(B7103)=7,1,0))))))</f>
        <v>1</v>
      </c>
      <c r="H7103" s="370">
        <v>11761.625</v>
      </c>
      <c r="I7103" s="370">
        <v>3536.3224792480469</v>
      </c>
      <c r="M7103" s="371">
        <f t="shared" si="441"/>
        <v>12281.75066176887</v>
      </c>
      <c r="N7103" s="329">
        <f t="shared" si="442"/>
        <v>7.8349792480471478</v>
      </c>
      <c r="T7103" s="331">
        <v>0</v>
      </c>
      <c r="U7103" s="328">
        <f>VLOOKUP(C7103,METADATA!$J$5:$Q$29,IF(E7103="HI",2,IF(E7103="LO",6,10))+IF(T7103=1,2,IF(D7103=7,1,(IF(WEEKDAY(B7103)=1,2,IF(WEEKDAY(B7103)=7,1,0))))))</f>
        <v>1</v>
      </c>
      <c r="V7103" s="328">
        <f>VLOOKUP(C7103,METADATA!$A$5:$H$29,IF(E7103="HI",2,IF(E7103="LO",6,10))+IF(T7103=1,2,IF(D7103=7,1,(IF(WEEKDAY(B7103)=1,2,IF(WEEKDAY(B7103)=7,1,0))))))</f>
        <v>1</v>
      </c>
    </row>
    <row r="7104" spans="2:22">
      <c r="B7104" s="318">
        <f t="shared" si="443"/>
        <v>46408</v>
      </c>
      <c r="C7104" s="312">
        <v>20</v>
      </c>
      <c r="D7104" s="368">
        <f>IFERROR((INDEX(METADATA!$T$2:$T$20,MATCH(B7104,METADATA!$S$2:$S$20,0))),0)</f>
        <v>0</v>
      </c>
      <c r="E7104" s="312" t="str">
        <f t="shared" si="440"/>
        <v>HI</v>
      </c>
      <c r="F7104" s="369">
        <f>VLOOKUP(C7104,METADATA!$A$5:$H$29,IF(E7104="HI",2,IF(E7104="LO",6,10))+IF(D7104=1,2,IF(D7104=7,1,(IF(WEEKDAY(B7104)=1,2,IF(WEEKDAY(B7104)=7,1,0))))))</f>
        <v>2</v>
      </c>
      <c r="G7104" s="369">
        <f>VLOOKUP(C7104,METADATA!$J$5:$Q$29,IF(E7104="HI",2,IF(E7104="LO",6,10))+IF(D7104=1,2,IF(D7104=7,1,(IF(WEEKDAY(B7104)=1,2,IF(WEEKDAY(B7104)=7,1,0))))))</f>
        <v>2</v>
      </c>
      <c r="H7104" s="370">
        <v>11721.749938964844</v>
      </c>
      <c r="I7104" s="370">
        <v>3609.094970703125</v>
      </c>
      <c r="M7104" s="371">
        <f t="shared" si="441"/>
        <v>12264.786510134487</v>
      </c>
      <c r="N7104" s="329">
        <f t="shared" si="442"/>
        <v>92.569989013672057</v>
      </c>
      <c r="T7104" s="331">
        <v>0</v>
      </c>
      <c r="U7104" s="328">
        <f>VLOOKUP(C7104,METADATA!$J$5:$Q$29,IF(E7104="HI",2,IF(E7104="LO",6,10))+IF(T7104=1,2,IF(D7104=7,1,(IF(WEEKDAY(B7104)=1,2,IF(WEEKDAY(B7104)=7,1,0))))))</f>
        <v>2</v>
      </c>
      <c r="V7104" s="328">
        <f>VLOOKUP(C7104,METADATA!$A$5:$H$29,IF(E7104="HI",2,IF(E7104="LO",6,10))+IF(T7104=1,2,IF(D7104=7,1,(IF(WEEKDAY(B7104)=1,2,IF(WEEKDAY(B7104)=7,1,0))))))</f>
        <v>2</v>
      </c>
    </row>
    <row r="7105" spans="2:22">
      <c r="B7105" s="318">
        <f t="shared" si="443"/>
        <v>46408</v>
      </c>
      <c r="C7105" s="312">
        <v>21</v>
      </c>
      <c r="D7105" s="368">
        <f>IFERROR((INDEX(METADATA!$T$2:$T$20,MATCH(B7105,METADATA!$S$2:$S$20,0))),0)</f>
        <v>0</v>
      </c>
      <c r="E7105" s="312" t="str">
        <f t="shared" si="440"/>
        <v>HI</v>
      </c>
      <c r="F7105" s="369">
        <f>VLOOKUP(C7105,METADATA!$A$5:$H$29,IF(E7105="HI",2,IF(E7105="LO",6,10))+IF(D7105=1,2,IF(D7105=7,1,(IF(WEEKDAY(B7105)=1,2,IF(WEEKDAY(B7105)=7,1,0))))))</f>
        <v>2</v>
      </c>
      <c r="G7105" s="369">
        <f>VLOOKUP(C7105,METADATA!$J$5:$Q$29,IF(E7105="HI",2,IF(E7105="LO",6,10))+IF(D7105=1,2,IF(D7105=7,1,(IF(WEEKDAY(B7105)=1,2,IF(WEEKDAY(B7105)=7,1,0))))))</f>
        <v>2</v>
      </c>
      <c r="H7105" s="370">
        <v>13621.699829101563</v>
      </c>
      <c r="I7105" s="370">
        <v>4650.4249572753906</v>
      </c>
      <c r="M7105" s="371">
        <f t="shared" si="441"/>
        <v>14393.649937295104</v>
      </c>
      <c r="N7105" s="329">
        <f t="shared" si="442"/>
        <v>563.91500854492188</v>
      </c>
      <c r="T7105" s="331">
        <v>0</v>
      </c>
      <c r="U7105" s="328">
        <f>VLOOKUP(C7105,METADATA!$J$5:$Q$29,IF(E7105="HI",2,IF(E7105="LO",6,10))+IF(T7105=1,2,IF(D7105=7,1,(IF(WEEKDAY(B7105)=1,2,IF(WEEKDAY(B7105)=7,1,0))))))</f>
        <v>2</v>
      </c>
      <c r="V7105" s="328">
        <f>VLOOKUP(C7105,METADATA!$A$5:$H$29,IF(E7105="HI",2,IF(E7105="LO",6,10))+IF(T7105=1,2,IF(D7105=7,1,(IF(WEEKDAY(B7105)=1,2,IF(WEEKDAY(B7105)=7,1,0))))))</f>
        <v>2</v>
      </c>
    </row>
    <row r="7106" spans="2:22">
      <c r="B7106" s="318">
        <f t="shared" si="443"/>
        <v>46408</v>
      </c>
      <c r="C7106" s="312">
        <v>22</v>
      </c>
      <c r="D7106" s="368">
        <f>IFERROR((INDEX(METADATA!$T$2:$T$20,MATCH(B7106,METADATA!$S$2:$S$20,0))),0)</f>
        <v>0</v>
      </c>
      <c r="E7106" s="312" t="str">
        <f t="shared" si="440"/>
        <v>HI</v>
      </c>
      <c r="F7106" s="369">
        <f>VLOOKUP(C7106,METADATA!$A$5:$H$29,IF(E7106="HI",2,IF(E7106="LO",6,10))+IF(D7106=1,2,IF(D7106=7,1,(IF(WEEKDAY(B7106)=1,2,IF(WEEKDAY(B7106)=7,1,0))))))</f>
        <v>3</v>
      </c>
      <c r="G7106" s="369">
        <f>VLOOKUP(C7106,METADATA!$J$5:$Q$29,IF(E7106="HI",2,IF(E7106="LO",6,10))+IF(D7106=1,2,IF(D7106=7,1,(IF(WEEKDAY(B7106)=1,2,IF(WEEKDAY(B7106)=7,1,0))))))</f>
        <v>3</v>
      </c>
      <c r="H7106" s="370">
        <v>13830.000183105469</v>
      </c>
      <c r="I7106" s="370">
        <v>4908.0750427246094</v>
      </c>
      <c r="M7106" s="371">
        <f t="shared" si="441"/>
        <v>14675.084520700842</v>
      </c>
      <c r="N7106" s="329">
        <f t="shared" si="442"/>
        <v>759.0749877929693</v>
      </c>
      <c r="T7106" s="331">
        <v>0</v>
      </c>
      <c r="U7106" s="328">
        <f>VLOOKUP(C7106,METADATA!$J$5:$Q$29,IF(E7106="HI",2,IF(E7106="LO",6,10))+IF(T7106=1,2,IF(D7106=7,1,(IF(WEEKDAY(B7106)=1,2,IF(WEEKDAY(B7106)=7,1,0))))))</f>
        <v>3</v>
      </c>
      <c r="V7106" s="328">
        <f>VLOOKUP(C7106,METADATA!$A$5:$H$29,IF(E7106="HI",2,IF(E7106="LO",6,10))+IF(T7106=1,2,IF(D7106=7,1,(IF(WEEKDAY(B7106)=1,2,IF(WEEKDAY(B7106)=7,1,0))))))</f>
        <v>3</v>
      </c>
    </row>
    <row r="7107" spans="2:22">
      <c r="B7107" s="318">
        <f t="shared" si="443"/>
        <v>46408</v>
      </c>
      <c r="C7107" s="312">
        <v>23</v>
      </c>
      <c r="D7107" s="368">
        <f>IFERROR((INDEX(METADATA!$T$2:$T$20,MATCH(B7107,METADATA!$S$2:$S$20,0))),0)</f>
        <v>0</v>
      </c>
      <c r="E7107" s="312" t="str">
        <f t="shared" si="440"/>
        <v>HI</v>
      </c>
      <c r="F7107" s="369">
        <f>VLOOKUP(C7107,METADATA!$A$5:$H$29,IF(E7107="HI",2,IF(E7107="LO",6,10))+IF(D7107=1,2,IF(D7107=7,1,(IF(WEEKDAY(B7107)=1,2,IF(WEEKDAY(B7107)=7,1,0))))))</f>
        <v>3</v>
      </c>
      <c r="G7107" s="369">
        <f>VLOOKUP(C7107,METADATA!$J$5:$Q$29,IF(E7107="HI",2,IF(E7107="LO",6,10))+IF(D7107=1,2,IF(D7107=7,1,(IF(WEEKDAY(B7107)=1,2,IF(WEEKDAY(B7107)=7,1,0))))))</f>
        <v>3</v>
      </c>
      <c r="H7107" s="370">
        <v>13818.52490234375</v>
      </c>
      <c r="I7107" s="370">
        <v>4705.1099853515625</v>
      </c>
      <c r="M7107" s="371">
        <f t="shared" si="441"/>
        <v>14597.591940143735</v>
      </c>
      <c r="N7107" s="329">
        <f t="shared" si="442"/>
        <v>559.55251464843786</v>
      </c>
      <c r="T7107" s="331">
        <v>0</v>
      </c>
      <c r="U7107" s="328">
        <f>VLOOKUP(C7107,METADATA!$J$5:$Q$29,IF(E7107="HI",2,IF(E7107="LO",6,10))+IF(T7107=1,2,IF(D7107=7,1,(IF(WEEKDAY(B7107)=1,2,IF(WEEKDAY(B7107)=7,1,0))))))</f>
        <v>3</v>
      </c>
      <c r="V7107" s="328">
        <f>VLOOKUP(C7107,METADATA!$A$5:$H$29,IF(E7107="HI",2,IF(E7107="LO",6,10))+IF(T7107=1,2,IF(D7107=7,1,(IF(WEEKDAY(B7107)=1,2,IF(WEEKDAY(B7107)=7,1,0))))))</f>
        <v>3</v>
      </c>
    </row>
    <row r="7108" spans="2:22">
      <c r="B7108" s="318">
        <f t="shared" si="443"/>
        <v>46409</v>
      </c>
      <c r="C7108" s="312">
        <v>0</v>
      </c>
      <c r="D7108" s="368">
        <f>IFERROR((INDEX(METADATA!$T$2:$T$20,MATCH(B7108,METADATA!$S$2:$S$20,0))),0)</f>
        <v>0</v>
      </c>
      <c r="E7108" s="312" t="str">
        <f t="shared" ref="E7108:E7171" si="444">IF(B7108="","",IF(AND(MONTH(B7108)&gt;=MONTH($Z$9),MONTH(B7108)&lt;=MONTH($Z$11)),"HI","LO"))</f>
        <v>HI</v>
      </c>
      <c r="F7108" s="369">
        <f>VLOOKUP(C7108,METADATA!$A$5:$H$29,IF(E7108="HI",2,IF(E7108="LO",6,10))+IF(D7108=1,2,IF(D7108=7,1,(IF(WEEKDAY(B7108)=1,2,IF(WEEKDAY(B7108)=7,1,0))))))</f>
        <v>3</v>
      </c>
      <c r="G7108" s="369">
        <f>VLOOKUP(C7108,METADATA!$J$5:$Q$29,IF(E7108="HI",2,IF(E7108="LO",6,10))+IF(D7108=1,2,IF(D7108=7,1,(IF(WEEKDAY(B7108)=1,2,IF(WEEKDAY(B7108)=7,1,0))))))</f>
        <v>3</v>
      </c>
      <c r="H7108" s="370">
        <v>13779.175231933594</v>
      </c>
      <c r="I7108" s="370">
        <v>4612.0999145507813</v>
      </c>
      <c r="M7108" s="371">
        <f t="shared" ref="M7108:M7171" si="445">SQRT(H7108^2+I7108^2)</f>
        <v>14530.558684859006</v>
      </c>
      <c r="N7108" s="329">
        <f t="shared" ref="N7108:N7171" si="446">IF(H7108=0,0,(IF(I7108-(0.3*H7108)&lt;0,0,(I7108-(0.3*H7108)))))</f>
        <v>478.34734497070349</v>
      </c>
      <c r="T7108" s="331">
        <v>0</v>
      </c>
      <c r="U7108" s="328">
        <f>VLOOKUP(C7108,METADATA!$J$5:$Q$29,IF(E7108="HI",2,IF(E7108="LO",6,10))+IF(T7108=1,2,IF(D7108=7,1,(IF(WEEKDAY(B7108)=1,2,IF(WEEKDAY(B7108)=7,1,0))))))</f>
        <v>3</v>
      </c>
      <c r="V7108" s="328">
        <f>VLOOKUP(C7108,METADATA!$A$5:$H$29,IF(E7108="HI",2,IF(E7108="LO",6,10))+IF(T7108=1,2,IF(D7108=7,1,(IF(WEEKDAY(B7108)=1,2,IF(WEEKDAY(B7108)=7,1,0))))))</f>
        <v>3</v>
      </c>
    </row>
    <row r="7109" spans="2:22">
      <c r="B7109" s="318">
        <f t="shared" si="443"/>
        <v>46409</v>
      </c>
      <c r="C7109" s="312">
        <v>1</v>
      </c>
      <c r="D7109" s="368">
        <f>IFERROR((INDEX(METADATA!$T$2:$T$20,MATCH(B7109,METADATA!$S$2:$S$20,0))),0)</f>
        <v>0</v>
      </c>
      <c r="E7109" s="312" t="str">
        <f t="shared" si="444"/>
        <v>HI</v>
      </c>
      <c r="F7109" s="369">
        <f>VLOOKUP(C7109,METADATA!$A$5:$H$29,IF(E7109="HI",2,IF(E7109="LO",6,10))+IF(D7109=1,2,IF(D7109=7,1,(IF(WEEKDAY(B7109)=1,2,IF(WEEKDAY(B7109)=7,1,0))))))</f>
        <v>3</v>
      </c>
      <c r="G7109" s="369">
        <f>VLOOKUP(C7109,METADATA!$J$5:$Q$29,IF(E7109="HI",2,IF(E7109="LO",6,10))+IF(D7109=1,2,IF(D7109=7,1,(IF(WEEKDAY(B7109)=1,2,IF(WEEKDAY(B7109)=7,1,0))))))</f>
        <v>3</v>
      </c>
      <c r="H7109" s="370">
        <v>13829.457580566406</v>
      </c>
      <c r="I7109" s="370">
        <v>4617.8150329589844</v>
      </c>
      <c r="M7109" s="371">
        <f t="shared" si="445"/>
        <v>14580.058732779769</v>
      </c>
      <c r="N7109" s="329">
        <f t="shared" si="446"/>
        <v>468.97775878906305</v>
      </c>
      <c r="T7109" s="331">
        <v>0</v>
      </c>
      <c r="U7109" s="328">
        <f>VLOOKUP(C7109,METADATA!$J$5:$Q$29,IF(E7109="HI",2,IF(E7109="LO",6,10))+IF(T7109=1,2,IF(D7109=7,1,(IF(WEEKDAY(B7109)=1,2,IF(WEEKDAY(B7109)=7,1,0))))))</f>
        <v>3</v>
      </c>
      <c r="V7109" s="328">
        <f>VLOOKUP(C7109,METADATA!$A$5:$H$29,IF(E7109="HI",2,IF(E7109="LO",6,10))+IF(T7109=1,2,IF(D7109=7,1,(IF(WEEKDAY(B7109)=1,2,IF(WEEKDAY(B7109)=7,1,0))))))</f>
        <v>3</v>
      </c>
    </row>
    <row r="7110" spans="2:22">
      <c r="B7110" s="318">
        <f t="shared" si="443"/>
        <v>46409</v>
      </c>
      <c r="C7110" s="312">
        <v>2</v>
      </c>
      <c r="D7110" s="368">
        <f>IFERROR((INDEX(METADATA!$T$2:$T$20,MATCH(B7110,METADATA!$S$2:$S$20,0))),0)</f>
        <v>0</v>
      </c>
      <c r="E7110" s="312" t="str">
        <f t="shared" si="444"/>
        <v>HI</v>
      </c>
      <c r="F7110" s="369">
        <f>VLOOKUP(C7110,METADATA!$A$5:$H$29,IF(E7110="HI",2,IF(E7110="LO",6,10))+IF(D7110=1,2,IF(D7110=7,1,(IF(WEEKDAY(B7110)=1,2,IF(WEEKDAY(B7110)=7,1,0))))))</f>
        <v>3</v>
      </c>
      <c r="G7110" s="369">
        <f>VLOOKUP(C7110,METADATA!$J$5:$Q$29,IF(E7110="HI",2,IF(E7110="LO",6,10))+IF(D7110=1,2,IF(D7110=7,1,(IF(WEEKDAY(B7110)=1,2,IF(WEEKDAY(B7110)=7,1,0))))))</f>
        <v>3</v>
      </c>
      <c r="H7110" s="370">
        <v>13742.174621582031</v>
      </c>
      <c r="I7110" s="370">
        <v>4634.7901000976563</v>
      </c>
      <c r="M7110" s="371">
        <f t="shared" si="445"/>
        <v>14502.711560326106</v>
      </c>
      <c r="N7110" s="329">
        <f t="shared" si="446"/>
        <v>512.13771362304669</v>
      </c>
      <c r="T7110" s="331">
        <v>0</v>
      </c>
      <c r="U7110" s="328">
        <f>VLOOKUP(C7110,METADATA!$J$5:$Q$29,IF(E7110="HI",2,IF(E7110="LO",6,10))+IF(T7110=1,2,IF(D7110=7,1,(IF(WEEKDAY(B7110)=1,2,IF(WEEKDAY(B7110)=7,1,0))))))</f>
        <v>3</v>
      </c>
      <c r="V7110" s="328">
        <f>VLOOKUP(C7110,METADATA!$A$5:$H$29,IF(E7110="HI",2,IF(E7110="LO",6,10))+IF(T7110=1,2,IF(D7110=7,1,(IF(WEEKDAY(B7110)=1,2,IF(WEEKDAY(B7110)=7,1,0))))))</f>
        <v>3</v>
      </c>
    </row>
    <row r="7111" spans="2:22">
      <c r="B7111" s="318">
        <f t="shared" si="443"/>
        <v>46409</v>
      </c>
      <c r="C7111" s="312">
        <v>3</v>
      </c>
      <c r="D7111" s="368">
        <f>IFERROR((INDEX(METADATA!$T$2:$T$20,MATCH(B7111,METADATA!$S$2:$S$20,0))),0)</f>
        <v>0</v>
      </c>
      <c r="E7111" s="312" t="str">
        <f t="shared" si="444"/>
        <v>HI</v>
      </c>
      <c r="F7111" s="369">
        <f>VLOOKUP(C7111,METADATA!$A$5:$H$29,IF(E7111="HI",2,IF(E7111="LO",6,10))+IF(D7111=1,2,IF(D7111=7,1,(IF(WEEKDAY(B7111)=1,2,IF(WEEKDAY(B7111)=7,1,0))))))</f>
        <v>3</v>
      </c>
      <c r="G7111" s="369">
        <f>VLOOKUP(C7111,METADATA!$J$5:$Q$29,IF(E7111="HI",2,IF(E7111="LO",6,10))+IF(D7111=1,2,IF(D7111=7,1,(IF(WEEKDAY(B7111)=1,2,IF(WEEKDAY(B7111)=7,1,0))))))</f>
        <v>3</v>
      </c>
      <c r="H7111" s="370">
        <v>13778.250244140625</v>
      </c>
      <c r="I7111" s="370">
        <v>4565.5699768066406</v>
      </c>
      <c r="M7111" s="371">
        <f t="shared" si="445"/>
        <v>14514.978780669278</v>
      </c>
      <c r="N7111" s="329">
        <f t="shared" si="446"/>
        <v>432.09490356445349</v>
      </c>
      <c r="T7111" s="331">
        <v>0</v>
      </c>
      <c r="U7111" s="328">
        <f>VLOOKUP(C7111,METADATA!$J$5:$Q$29,IF(E7111="HI",2,IF(E7111="LO",6,10))+IF(T7111=1,2,IF(D7111=7,1,(IF(WEEKDAY(B7111)=1,2,IF(WEEKDAY(B7111)=7,1,0))))))</f>
        <v>3</v>
      </c>
      <c r="V7111" s="328">
        <f>VLOOKUP(C7111,METADATA!$A$5:$H$29,IF(E7111="HI",2,IF(E7111="LO",6,10))+IF(T7111=1,2,IF(D7111=7,1,(IF(WEEKDAY(B7111)=1,2,IF(WEEKDAY(B7111)=7,1,0))))))</f>
        <v>3</v>
      </c>
    </row>
    <row r="7112" spans="2:22">
      <c r="B7112" s="318">
        <f t="shared" si="443"/>
        <v>46409</v>
      </c>
      <c r="C7112" s="312">
        <v>4</v>
      </c>
      <c r="D7112" s="368">
        <f>IFERROR((INDEX(METADATA!$T$2:$T$20,MATCH(B7112,METADATA!$S$2:$S$20,0))),0)</f>
        <v>0</v>
      </c>
      <c r="E7112" s="312" t="str">
        <f t="shared" si="444"/>
        <v>HI</v>
      </c>
      <c r="F7112" s="369">
        <f>VLOOKUP(C7112,METADATA!$A$5:$H$29,IF(E7112="HI",2,IF(E7112="LO",6,10))+IF(D7112=1,2,IF(D7112=7,1,(IF(WEEKDAY(B7112)=1,2,IF(WEEKDAY(B7112)=7,1,0))))))</f>
        <v>3</v>
      </c>
      <c r="G7112" s="369">
        <f>VLOOKUP(C7112,METADATA!$J$5:$Q$29,IF(E7112="HI",2,IF(E7112="LO",6,10))+IF(D7112=1,2,IF(D7112=7,1,(IF(WEEKDAY(B7112)=1,2,IF(WEEKDAY(B7112)=7,1,0))))))</f>
        <v>3</v>
      </c>
      <c r="H7112" s="370">
        <v>13721.899963378906</v>
      </c>
      <c r="I7112" s="370">
        <v>4535.8850402832031</v>
      </c>
      <c r="M7112" s="371">
        <f t="shared" si="445"/>
        <v>14452.155261539468</v>
      </c>
      <c r="N7112" s="329">
        <f t="shared" si="446"/>
        <v>419.31505126953107</v>
      </c>
      <c r="T7112" s="331">
        <v>0</v>
      </c>
      <c r="U7112" s="328">
        <f>VLOOKUP(C7112,METADATA!$J$5:$Q$29,IF(E7112="HI",2,IF(E7112="LO",6,10))+IF(T7112=1,2,IF(D7112=7,1,(IF(WEEKDAY(B7112)=1,2,IF(WEEKDAY(B7112)=7,1,0))))))</f>
        <v>3</v>
      </c>
      <c r="V7112" s="328">
        <f>VLOOKUP(C7112,METADATA!$A$5:$H$29,IF(E7112="HI",2,IF(E7112="LO",6,10))+IF(T7112=1,2,IF(D7112=7,1,(IF(WEEKDAY(B7112)=1,2,IF(WEEKDAY(B7112)=7,1,0))))))</f>
        <v>3</v>
      </c>
    </row>
    <row r="7113" spans="2:22">
      <c r="B7113" s="318">
        <f t="shared" si="443"/>
        <v>46409</v>
      </c>
      <c r="C7113" s="312">
        <v>5</v>
      </c>
      <c r="D7113" s="368">
        <f>IFERROR((INDEX(METADATA!$T$2:$T$20,MATCH(B7113,METADATA!$S$2:$S$20,0))),0)</f>
        <v>0</v>
      </c>
      <c r="E7113" s="312" t="str">
        <f t="shared" si="444"/>
        <v>HI</v>
      </c>
      <c r="F7113" s="369">
        <f>VLOOKUP(C7113,METADATA!$A$5:$H$29,IF(E7113="HI",2,IF(E7113="LO",6,10))+IF(D7113=1,2,IF(D7113=7,1,(IF(WEEKDAY(B7113)=1,2,IF(WEEKDAY(B7113)=7,1,0))))))</f>
        <v>3</v>
      </c>
      <c r="G7113" s="369">
        <f>VLOOKUP(C7113,METADATA!$J$5:$Q$29,IF(E7113="HI",2,IF(E7113="LO",6,10))+IF(D7113=1,2,IF(D7113=7,1,(IF(WEEKDAY(B7113)=1,2,IF(WEEKDAY(B7113)=7,1,0))))))</f>
        <v>3</v>
      </c>
      <c r="H7113" s="370">
        <v>13675.00048828125</v>
      </c>
      <c r="I7113" s="370">
        <v>4444.7250366210938</v>
      </c>
      <c r="M7113" s="371">
        <f t="shared" si="445"/>
        <v>14379.193962307443</v>
      </c>
      <c r="N7113" s="329">
        <f t="shared" si="446"/>
        <v>342.2248901367193</v>
      </c>
      <c r="T7113" s="331">
        <v>0</v>
      </c>
      <c r="U7113" s="328">
        <f>VLOOKUP(C7113,METADATA!$J$5:$Q$29,IF(E7113="HI",2,IF(E7113="LO",6,10))+IF(T7113=1,2,IF(D7113=7,1,(IF(WEEKDAY(B7113)=1,2,IF(WEEKDAY(B7113)=7,1,0))))))</f>
        <v>3</v>
      </c>
      <c r="V7113" s="328">
        <f>VLOOKUP(C7113,METADATA!$A$5:$H$29,IF(E7113="HI",2,IF(E7113="LO",6,10))+IF(T7113=1,2,IF(D7113=7,1,(IF(WEEKDAY(B7113)=1,2,IF(WEEKDAY(B7113)=7,1,0))))))</f>
        <v>3</v>
      </c>
    </row>
    <row r="7114" spans="2:22">
      <c r="B7114" s="318">
        <f t="shared" si="443"/>
        <v>46409</v>
      </c>
      <c r="C7114" s="312">
        <v>6</v>
      </c>
      <c r="D7114" s="368">
        <f>IFERROR((INDEX(METADATA!$T$2:$T$20,MATCH(B7114,METADATA!$S$2:$S$20,0))),0)</f>
        <v>0</v>
      </c>
      <c r="E7114" s="312" t="str">
        <f t="shared" si="444"/>
        <v>HI</v>
      </c>
      <c r="F7114" s="369">
        <f>VLOOKUP(C7114,METADATA!$A$5:$H$29,IF(E7114="HI",2,IF(E7114="LO",6,10))+IF(D7114=1,2,IF(D7114=7,1,(IF(WEEKDAY(B7114)=1,2,IF(WEEKDAY(B7114)=7,1,0))))))</f>
        <v>1</v>
      </c>
      <c r="G7114" s="369">
        <f>VLOOKUP(C7114,METADATA!$J$5:$Q$29,IF(E7114="HI",2,IF(E7114="LO",6,10))+IF(D7114=1,2,IF(D7114=7,1,(IF(WEEKDAY(B7114)=1,2,IF(WEEKDAY(B7114)=7,1,0))))))</f>
        <v>1</v>
      </c>
      <c r="H7114" s="370">
        <v>13525.474975585938</v>
      </c>
      <c r="I7114" s="370">
        <v>4476.3200988769531</v>
      </c>
      <c r="M7114" s="371">
        <f t="shared" si="445"/>
        <v>14246.961603893344</v>
      </c>
      <c r="N7114" s="329">
        <f t="shared" si="446"/>
        <v>418.67760620117224</v>
      </c>
      <c r="T7114" s="331">
        <v>0</v>
      </c>
      <c r="U7114" s="328">
        <f>VLOOKUP(C7114,METADATA!$J$5:$Q$29,IF(E7114="HI",2,IF(E7114="LO",6,10))+IF(T7114=1,2,IF(D7114=7,1,(IF(WEEKDAY(B7114)=1,2,IF(WEEKDAY(B7114)=7,1,0))))))</f>
        <v>1</v>
      </c>
      <c r="V7114" s="328">
        <f>VLOOKUP(C7114,METADATA!$A$5:$H$29,IF(E7114="HI",2,IF(E7114="LO",6,10))+IF(T7114=1,2,IF(D7114=7,1,(IF(WEEKDAY(B7114)=1,2,IF(WEEKDAY(B7114)=7,1,0))))))</f>
        <v>1</v>
      </c>
    </row>
    <row r="7115" spans="2:22">
      <c r="B7115" s="318">
        <f t="shared" si="443"/>
        <v>46409</v>
      </c>
      <c r="C7115" s="312">
        <v>7</v>
      </c>
      <c r="D7115" s="368">
        <f>IFERROR((INDEX(METADATA!$T$2:$T$20,MATCH(B7115,METADATA!$S$2:$S$20,0))),0)</f>
        <v>0</v>
      </c>
      <c r="E7115" s="312" t="str">
        <f t="shared" si="444"/>
        <v>HI</v>
      </c>
      <c r="F7115" s="369">
        <f>VLOOKUP(C7115,METADATA!$A$5:$H$29,IF(E7115="HI",2,IF(E7115="LO",6,10))+IF(D7115=1,2,IF(D7115=7,1,(IF(WEEKDAY(B7115)=1,2,IF(WEEKDAY(B7115)=7,1,0))))))</f>
        <v>1</v>
      </c>
      <c r="G7115" s="369">
        <f>VLOOKUP(C7115,METADATA!$J$5:$Q$29,IF(E7115="HI",2,IF(E7115="LO",6,10))+IF(D7115=1,2,IF(D7115=7,1,(IF(WEEKDAY(B7115)=1,2,IF(WEEKDAY(B7115)=7,1,0))))))</f>
        <v>1</v>
      </c>
      <c r="H7115" s="370">
        <v>13693.550170898438</v>
      </c>
      <c r="I7115" s="370">
        <v>4438.3949279785156</v>
      </c>
      <c r="M7115" s="371">
        <f t="shared" si="445"/>
        <v>14394.883320805973</v>
      </c>
      <c r="N7115" s="329">
        <f t="shared" si="446"/>
        <v>330.32987670898456</v>
      </c>
      <c r="T7115" s="331">
        <v>0</v>
      </c>
      <c r="U7115" s="328">
        <f>VLOOKUP(C7115,METADATA!$J$5:$Q$29,IF(E7115="HI",2,IF(E7115="LO",6,10))+IF(T7115=1,2,IF(D7115=7,1,(IF(WEEKDAY(B7115)=1,2,IF(WEEKDAY(B7115)=7,1,0))))))</f>
        <v>1</v>
      </c>
      <c r="V7115" s="328">
        <f>VLOOKUP(C7115,METADATA!$A$5:$H$29,IF(E7115="HI",2,IF(E7115="LO",6,10))+IF(T7115=1,2,IF(D7115=7,1,(IF(WEEKDAY(B7115)=1,2,IF(WEEKDAY(B7115)=7,1,0))))))</f>
        <v>1</v>
      </c>
    </row>
    <row r="7116" spans="2:22">
      <c r="B7116" s="318">
        <f t="shared" si="443"/>
        <v>46409</v>
      </c>
      <c r="C7116" s="312">
        <v>8</v>
      </c>
      <c r="D7116" s="368">
        <f>IFERROR((INDEX(METADATA!$T$2:$T$20,MATCH(B7116,METADATA!$S$2:$S$20,0))),0)</f>
        <v>0</v>
      </c>
      <c r="E7116" s="312" t="str">
        <f t="shared" si="444"/>
        <v>HI</v>
      </c>
      <c r="F7116" s="369">
        <f>VLOOKUP(C7116,METADATA!$A$5:$H$29,IF(E7116="HI",2,IF(E7116="LO",6,10))+IF(D7116=1,2,IF(D7116=7,1,(IF(WEEKDAY(B7116)=1,2,IF(WEEKDAY(B7116)=7,1,0))))))</f>
        <v>2</v>
      </c>
      <c r="G7116" s="369">
        <f>VLOOKUP(C7116,METADATA!$J$5:$Q$29,IF(E7116="HI",2,IF(E7116="LO",6,10))+IF(D7116=1,2,IF(D7116=7,1,(IF(WEEKDAY(B7116)=1,2,IF(WEEKDAY(B7116)=7,1,0))))))</f>
        <v>2</v>
      </c>
      <c r="H7116" s="370">
        <v>13716.5</v>
      </c>
      <c r="I7116" s="370">
        <v>4317.47998046875</v>
      </c>
      <c r="M7116" s="371">
        <f t="shared" si="445"/>
        <v>14379.951517016614</v>
      </c>
      <c r="N7116" s="329">
        <f t="shared" si="446"/>
        <v>202.52998046875018</v>
      </c>
      <c r="T7116" s="331">
        <v>0</v>
      </c>
      <c r="U7116" s="328">
        <f>VLOOKUP(C7116,METADATA!$J$5:$Q$29,IF(E7116="HI",2,IF(E7116="LO",6,10))+IF(T7116=1,2,IF(D7116=7,1,(IF(WEEKDAY(B7116)=1,2,IF(WEEKDAY(B7116)=7,1,0))))))</f>
        <v>2</v>
      </c>
      <c r="V7116" s="328">
        <f>VLOOKUP(C7116,METADATA!$A$5:$H$29,IF(E7116="HI",2,IF(E7116="LO",6,10))+IF(T7116=1,2,IF(D7116=7,1,(IF(WEEKDAY(B7116)=1,2,IF(WEEKDAY(B7116)=7,1,0))))))</f>
        <v>2</v>
      </c>
    </row>
    <row r="7117" spans="2:22">
      <c r="B7117" s="318">
        <f t="shared" si="443"/>
        <v>46409</v>
      </c>
      <c r="C7117" s="312">
        <v>9</v>
      </c>
      <c r="D7117" s="368">
        <f>IFERROR((INDEX(METADATA!$T$2:$T$20,MATCH(B7117,METADATA!$S$2:$S$20,0))),0)</f>
        <v>0</v>
      </c>
      <c r="E7117" s="312" t="str">
        <f t="shared" si="444"/>
        <v>HI</v>
      </c>
      <c r="F7117" s="369">
        <f>VLOOKUP(C7117,METADATA!$A$5:$H$29,IF(E7117="HI",2,IF(E7117="LO",6,10))+IF(D7117=1,2,IF(D7117=7,1,(IF(WEEKDAY(B7117)=1,2,IF(WEEKDAY(B7117)=7,1,0))))))</f>
        <v>2</v>
      </c>
      <c r="G7117" s="369">
        <f>VLOOKUP(C7117,METADATA!$J$5:$Q$29,IF(E7117="HI",2,IF(E7117="LO",6,10))+IF(D7117=1,2,IF(D7117=7,1,(IF(WEEKDAY(B7117)=1,2,IF(WEEKDAY(B7117)=7,1,0))))))</f>
        <v>2</v>
      </c>
      <c r="H7117" s="370">
        <v>12262.750183105469</v>
      </c>
      <c r="I7117" s="370">
        <v>3582.2400512695313</v>
      </c>
      <c r="M7117" s="371">
        <f t="shared" si="445"/>
        <v>12775.26852313378</v>
      </c>
      <c r="N7117" s="329">
        <f t="shared" si="446"/>
        <v>0</v>
      </c>
      <c r="T7117" s="331">
        <v>0</v>
      </c>
      <c r="U7117" s="328">
        <f>VLOOKUP(C7117,METADATA!$J$5:$Q$29,IF(E7117="HI",2,IF(E7117="LO",6,10))+IF(T7117=1,2,IF(D7117=7,1,(IF(WEEKDAY(B7117)=1,2,IF(WEEKDAY(B7117)=7,1,0))))))</f>
        <v>2</v>
      </c>
      <c r="V7117" s="328">
        <f>VLOOKUP(C7117,METADATA!$A$5:$H$29,IF(E7117="HI",2,IF(E7117="LO",6,10))+IF(T7117=1,2,IF(D7117=7,1,(IF(WEEKDAY(B7117)=1,2,IF(WEEKDAY(B7117)=7,1,0))))))</f>
        <v>2</v>
      </c>
    </row>
    <row r="7118" spans="2:22">
      <c r="B7118" s="318">
        <f t="shared" si="443"/>
        <v>46409</v>
      </c>
      <c r="C7118" s="312">
        <v>10</v>
      </c>
      <c r="D7118" s="368">
        <f>IFERROR((INDEX(METADATA!$T$2:$T$20,MATCH(B7118,METADATA!$S$2:$S$20,0))),0)</f>
        <v>0</v>
      </c>
      <c r="E7118" s="312" t="str">
        <f t="shared" si="444"/>
        <v>HI</v>
      </c>
      <c r="F7118" s="369">
        <f>VLOOKUP(C7118,METADATA!$A$5:$H$29,IF(E7118="HI",2,IF(E7118="LO",6,10))+IF(D7118=1,2,IF(D7118=7,1,(IF(WEEKDAY(B7118)=1,2,IF(WEEKDAY(B7118)=7,1,0))))))</f>
        <v>2</v>
      </c>
      <c r="G7118" s="369">
        <f>VLOOKUP(C7118,METADATA!$J$5:$Q$29,IF(E7118="HI",2,IF(E7118="LO",6,10))+IF(D7118=1,2,IF(D7118=7,1,(IF(WEEKDAY(B7118)=1,2,IF(WEEKDAY(B7118)=7,1,0))))))</f>
        <v>2</v>
      </c>
      <c r="H7118" s="370">
        <v>11787.674987792969</v>
      </c>
      <c r="I7118" s="370">
        <v>3477.9125061035156</v>
      </c>
      <c r="M7118" s="371">
        <f t="shared" si="445"/>
        <v>12290.043003096091</v>
      </c>
      <c r="N7118" s="329">
        <f t="shared" si="446"/>
        <v>0</v>
      </c>
      <c r="T7118" s="331">
        <v>0</v>
      </c>
      <c r="U7118" s="328">
        <f>VLOOKUP(C7118,METADATA!$J$5:$Q$29,IF(E7118="HI",2,IF(E7118="LO",6,10))+IF(T7118=1,2,IF(D7118=7,1,(IF(WEEKDAY(B7118)=1,2,IF(WEEKDAY(B7118)=7,1,0))))))</f>
        <v>2</v>
      </c>
      <c r="V7118" s="328">
        <f>VLOOKUP(C7118,METADATA!$A$5:$H$29,IF(E7118="HI",2,IF(E7118="LO",6,10))+IF(T7118=1,2,IF(D7118=7,1,(IF(WEEKDAY(B7118)=1,2,IF(WEEKDAY(B7118)=7,1,0))))))</f>
        <v>2</v>
      </c>
    </row>
    <row r="7119" spans="2:22">
      <c r="B7119" s="318">
        <f t="shared" si="443"/>
        <v>46409</v>
      </c>
      <c r="C7119" s="312">
        <v>11</v>
      </c>
      <c r="D7119" s="368">
        <f>IFERROR((INDEX(METADATA!$T$2:$T$20,MATCH(B7119,METADATA!$S$2:$S$20,0))),0)</f>
        <v>0</v>
      </c>
      <c r="E7119" s="312" t="str">
        <f t="shared" si="444"/>
        <v>HI</v>
      </c>
      <c r="F7119" s="369">
        <f>VLOOKUP(C7119,METADATA!$A$5:$H$29,IF(E7119="HI",2,IF(E7119="LO",6,10))+IF(D7119=1,2,IF(D7119=7,1,(IF(WEEKDAY(B7119)=1,2,IF(WEEKDAY(B7119)=7,1,0))))))</f>
        <v>2</v>
      </c>
      <c r="G7119" s="369">
        <f>VLOOKUP(C7119,METADATA!$J$5:$Q$29,IF(E7119="HI",2,IF(E7119="LO",6,10))+IF(D7119=1,2,IF(D7119=7,1,(IF(WEEKDAY(B7119)=1,2,IF(WEEKDAY(B7119)=7,1,0))))))</f>
        <v>2</v>
      </c>
      <c r="H7119" s="370">
        <v>13010.000122070313</v>
      </c>
      <c r="I7119" s="370">
        <v>4205.0050659179688</v>
      </c>
      <c r="M7119" s="371">
        <f t="shared" si="445"/>
        <v>13672.679722010067</v>
      </c>
      <c r="N7119" s="329">
        <f t="shared" si="446"/>
        <v>302.00502929687536</v>
      </c>
      <c r="T7119" s="331">
        <v>0</v>
      </c>
      <c r="U7119" s="328">
        <f>VLOOKUP(C7119,METADATA!$J$5:$Q$29,IF(E7119="HI",2,IF(E7119="LO",6,10))+IF(T7119=1,2,IF(D7119=7,1,(IF(WEEKDAY(B7119)=1,2,IF(WEEKDAY(B7119)=7,1,0))))))</f>
        <v>2</v>
      </c>
      <c r="V7119" s="328">
        <f>VLOOKUP(C7119,METADATA!$A$5:$H$29,IF(E7119="HI",2,IF(E7119="LO",6,10))+IF(T7119=1,2,IF(D7119=7,1,(IF(WEEKDAY(B7119)=1,2,IF(WEEKDAY(B7119)=7,1,0))))))</f>
        <v>2</v>
      </c>
    </row>
    <row r="7120" spans="2:22">
      <c r="B7120" s="318">
        <f t="shared" si="443"/>
        <v>46409</v>
      </c>
      <c r="C7120" s="312">
        <v>12</v>
      </c>
      <c r="D7120" s="368">
        <f>IFERROR((INDEX(METADATA!$T$2:$T$20,MATCH(B7120,METADATA!$S$2:$S$20,0))),0)</f>
        <v>0</v>
      </c>
      <c r="E7120" s="312" t="str">
        <f t="shared" si="444"/>
        <v>HI</v>
      </c>
      <c r="F7120" s="369">
        <f>VLOOKUP(C7120,METADATA!$A$5:$H$29,IF(E7120="HI",2,IF(E7120="LO",6,10))+IF(D7120=1,2,IF(D7120=7,1,(IF(WEEKDAY(B7120)=1,2,IF(WEEKDAY(B7120)=7,1,0))))))</f>
        <v>2</v>
      </c>
      <c r="G7120" s="369">
        <f>VLOOKUP(C7120,METADATA!$J$5:$Q$29,IF(E7120="HI",2,IF(E7120="LO",6,10))+IF(D7120=1,2,IF(D7120=7,1,(IF(WEEKDAY(B7120)=1,2,IF(WEEKDAY(B7120)=7,1,0))))))</f>
        <v>2</v>
      </c>
      <c r="H7120" s="370">
        <v>12037.424987792969</v>
      </c>
      <c r="I7120" s="370">
        <v>3776.9650268554688</v>
      </c>
      <c r="M7120" s="371">
        <f t="shared" si="445"/>
        <v>12616.06377404743</v>
      </c>
      <c r="N7120" s="329">
        <f t="shared" si="446"/>
        <v>165.73753051757831</v>
      </c>
      <c r="T7120" s="331">
        <v>0</v>
      </c>
      <c r="U7120" s="328">
        <f>VLOOKUP(C7120,METADATA!$J$5:$Q$29,IF(E7120="HI",2,IF(E7120="LO",6,10))+IF(T7120=1,2,IF(D7120=7,1,(IF(WEEKDAY(B7120)=1,2,IF(WEEKDAY(B7120)=7,1,0))))))</f>
        <v>2</v>
      </c>
      <c r="V7120" s="328">
        <f>VLOOKUP(C7120,METADATA!$A$5:$H$29,IF(E7120="HI",2,IF(E7120="LO",6,10))+IF(T7120=1,2,IF(D7120=7,1,(IF(WEEKDAY(B7120)=1,2,IF(WEEKDAY(B7120)=7,1,0))))))</f>
        <v>2</v>
      </c>
    </row>
    <row r="7121" spans="2:22">
      <c r="B7121" s="318">
        <f t="shared" si="443"/>
        <v>46409</v>
      </c>
      <c r="C7121" s="312">
        <v>13</v>
      </c>
      <c r="D7121" s="368">
        <f>IFERROR((INDEX(METADATA!$T$2:$T$20,MATCH(B7121,METADATA!$S$2:$S$20,0))),0)</f>
        <v>0</v>
      </c>
      <c r="E7121" s="312" t="str">
        <f t="shared" si="444"/>
        <v>HI</v>
      </c>
      <c r="F7121" s="369">
        <f>VLOOKUP(C7121,METADATA!$A$5:$H$29,IF(E7121="HI",2,IF(E7121="LO",6,10))+IF(D7121=1,2,IF(D7121=7,1,(IF(WEEKDAY(B7121)=1,2,IF(WEEKDAY(B7121)=7,1,0))))))</f>
        <v>2</v>
      </c>
      <c r="G7121" s="369">
        <f>VLOOKUP(C7121,METADATA!$J$5:$Q$29,IF(E7121="HI",2,IF(E7121="LO",6,10))+IF(D7121=1,2,IF(D7121=7,1,(IF(WEEKDAY(B7121)=1,2,IF(WEEKDAY(B7121)=7,1,0))))))</f>
        <v>2</v>
      </c>
      <c r="H7121" s="370">
        <v>12173.450073242188</v>
      </c>
      <c r="I7121" s="370">
        <v>3855.969970703125</v>
      </c>
      <c r="M7121" s="371">
        <f t="shared" si="445"/>
        <v>12769.549369522969</v>
      </c>
      <c r="N7121" s="329">
        <f t="shared" si="446"/>
        <v>203.93494873046893</v>
      </c>
      <c r="T7121" s="331">
        <v>0</v>
      </c>
      <c r="U7121" s="328">
        <f>VLOOKUP(C7121,METADATA!$J$5:$Q$29,IF(E7121="HI",2,IF(E7121="LO",6,10))+IF(T7121=1,2,IF(D7121=7,1,(IF(WEEKDAY(B7121)=1,2,IF(WEEKDAY(B7121)=7,1,0))))))</f>
        <v>2</v>
      </c>
      <c r="V7121" s="328">
        <f>VLOOKUP(C7121,METADATA!$A$5:$H$29,IF(E7121="HI",2,IF(E7121="LO",6,10))+IF(T7121=1,2,IF(D7121=7,1,(IF(WEEKDAY(B7121)=1,2,IF(WEEKDAY(B7121)=7,1,0))))))</f>
        <v>2</v>
      </c>
    </row>
    <row r="7122" spans="2:22">
      <c r="B7122" s="318">
        <f t="shared" si="443"/>
        <v>46409</v>
      </c>
      <c r="C7122" s="312">
        <v>14</v>
      </c>
      <c r="D7122" s="368">
        <f>IFERROR((INDEX(METADATA!$T$2:$T$20,MATCH(B7122,METADATA!$S$2:$S$20,0))),0)</f>
        <v>0</v>
      </c>
      <c r="E7122" s="312" t="str">
        <f t="shared" si="444"/>
        <v>HI</v>
      </c>
      <c r="F7122" s="369">
        <f>VLOOKUP(C7122,METADATA!$A$5:$H$29,IF(E7122="HI",2,IF(E7122="LO",6,10))+IF(D7122=1,2,IF(D7122=7,1,(IF(WEEKDAY(B7122)=1,2,IF(WEEKDAY(B7122)=7,1,0))))))</f>
        <v>2</v>
      </c>
      <c r="G7122" s="369">
        <f>VLOOKUP(C7122,METADATA!$J$5:$Q$29,IF(E7122="HI",2,IF(E7122="LO",6,10))+IF(D7122=1,2,IF(D7122=7,1,(IF(WEEKDAY(B7122)=1,2,IF(WEEKDAY(B7122)=7,1,0))))))</f>
        <v>2</v>
      </c>
      <c r="H7122" s="370">
        <v>12669.47509765625</v>
      </c>
      <c r="I7122" s="370">
        <v>4419.4099426269531</v>
      </c>
      <c r="M7122" s="371">
        <f t="shared" si="445"/>
        <v>13418.151269497666</v>
      </c>
      <c r="N7122" s="329">
        <f t="shared" si="446"/>
        <v>618.56741333007813</v>
      </c>
      <c r="T7122" s="331">
        <v>0</v>
      </c>
      <c r="U7122" s="328">
        <f>VLOOKUP(C7122,METADATA!$J$5:$Q$29,IF(E7122="HI",2,IF(E7122="LO",6,10))+IF(T7122=1,2,IF(D7122=7,1,(IF(WEEKDAY(B7122)=1,2,IF(WEEKDAY(B7122)=7,1,0))))))</f>
        <v>2</v>
      </c>
      <c r="V7122" s="328">
        <f>VLOOKUP(C7122,METADATA!$A$5:$H$29,IF(E7122="HI",2,IF(E7122="LO",6,10))+IF(T7122=1,2,IF(D7122=7,1,(IF(WEEKDAY(B7122)=1,2,IF(WEEKDAY(B7122)=7,1,0))))))</f>
        <v>2</v>
      </c>
    </row>
    <row r="7123" spans="2:22">
      <c r="B7123" s="318">
        <f t="shared" si="443"/>
        <v>46409</v>
      </c>
      <c r="C7123" s="312">
        <v>15</v>
      </c>
      <c r="D7123" s="368">
        <f>IFERROR((INDEX(METADATA!$T$2:$T$20,MATCH(B7123,METADATA!$S$2:$S$20,0))),0)</f>
        <v>0</v>
      </c>
      <c r="E7123" s="312" t="str">
        <f t="shared" si="444"/>
        <v>HI</v>
      </c>
      <c r="F7123" s="369">
        <f>VLOOKUP(C7123,METADATA!$A$5:$H$29,IF(E7123="HI",2,IF(E7123="LO",6,10))+IF(D7123=1,2,IF(D7123=7,1,(IF(WEEKDAY(B7123)=1,2,IF(WEEKDAY(B7123)=7,1,0))))))</f>
        <v>2</v>
      </c>
      <c r="G7123" s="369">
        <f>VLOOKUP(C7123,METADATA!$J$5:$Q$29,IF(E7123="HI",2,IF(E7123="LO",6,10))+IF(D7123=1,2,IF(D7123=7,1,(IF(WEEKDAY(B7123)=1,2,IF(WEEKDAY(B7123)=7,1,0))))))</f>
        <v>2</v>
      </c>
      <c r="H7123" s="370">
        <v>13853.474792480469</v>
      </c>
      <c r="I7123" s="370">
        <v>4806.0499877929688</v>
      </c>
      <c r="M7123" s="371">
        <f t="shared" si="445"/>
        <v>14663.453901146775</v>
      </c>
      <c r="N7123" s="329">
        <f t="shared" si="446"/>
        <v>650.00755004882831</v>
      </c>
      <c r="T7123" s="331">
        <v>0</v>
      </c>
      <c r="U7123" s="328">
        <f>VLOOKUP(C7123,METADATA!$J$5:$Q$29,IF(E7123="HI",2,IF(E7123="LO",6,10))+IF(T7123=1,2,IF(D7123=7,1,(IF(WEEKDAY(B7123)=1,2,IF(WEEKDAY(B7123)=7,1,0))))))</f>
        <v>2</v>
      </c>
      <c r="V7123" s="328">
        <f>VLOOKUP(C7123,METADATA!$A$5:$H$29,IF(E7123="HI",2,IF(E7123="LO",6,10))+IF(T7123=1,2,IF(D7123=7,1,(IF(WEEKDAY(B7123)=1,2,IF(WEEKDAY(B7123)=7,1,0))))))</f>
        <v>2</v>
      </c>
    </row>
    <row r="7124" spans="2:22">
      <c r="B7124" s="318">
        <f t="shared" si="443"/>
        <v>46409</v>
      </c>
      <c r="C7124" s="312">
        <v>16</v>
      </c>
      <c r="D7124" s="368">
        <f>IFERROR((INDEX(METADATA!$T$2:$T$20,MATCH(B7124,METADATA!$S$2:$S$20,0))),0)</f>
        <v>0</v>
      </c>
      <c r="E7124" s="312" t="str">
        <f t="shared" si="444"/>
        <v>HI</v>
      </c>
      <c r="F7124" s="369">
        <f>VLOOKUP(C7124,METADATA!$A$5:$H$29,IF(E7124="HI",2,IF(E7124="LO",6,10))+IF(D7124=1,2,IF(D7124=7,1,(IF(WEEKDAY(B7124)=1,2,IF(WEEKDAY(B7124)=7,1,0))))))</f>
        <v>2</v>
      </c>
      <c r="G7124" s="369">
        <f>VLOOKUP(C7124,METADATA!$J$5:$Q$29,IF(E7124="HI",2,IF(E7124="LO",6,10))+IF(D7124=1,2,IF(D7124=7,1,(IF(WEEKDAY(B7124)=1,2,IF(WEEKDAY(B7124)=7,1,0))))))</f>
        <v>2</v>
      </c>
      <c r="H7124" s="370">
        <v>14001.799743652344</v>
      </c>
      <c r="I7124" s="370">
        <v>4945.0300598144531</v>
      </c>
      <c r="M7124" s="371">
        <f t="shared" si="445"/>
        <v>14849.367607875138</v>
      </c>
      <c r="N7124" s="329">
        <f t="shared" si="446"/>
        <v>744.49013671875036</v>
      </c>
      <c r="T7124" s="331">
        <v>0</v>
      </c>
      <c r="U7124" s="328">
        <f>VLOOKUP(C7124,METADATA!$J$5:$Q$29,IF(E7124="HI",2,IF(E7124="LO",6,10))+IF(T7124=1,2,IF(D7124=7,1,(IF(WEEKDAY(B7124)=1,2,IF(WEEKDAY(B7124)=7,1,0))))))</f>
        <v>2</v>
      </c>
      <c r="V7124" s="328">
        <f>VLOOKUP(C7124,METADATA!$A$5:$H$29,IF(E7124="HI",2,IF(E7124="LO",6,10))+IF(T7124=1,2,IF(D7124=7,1,(IF(WEEKDAY(B7124)=1,2,IF(WEEKDAY(B7124)=7,1,0))))))</f>
        <v>2</v>
      </c>
    </row>
    <row r="7125" spans="2:22">
      <c r="B7125" s="318">
        <f t="shared" si="443"/>
        <v>46409</v>
      </c>
      <c r="C7125" s="312">
        <v>17</v>
      </c>
      <c r="D7125" s="368">
        <f>IFERROR((INDEX(METADATA!$T$2:$T$20,MATCH(B7125,METADATA!$S$2:$S$20,0))),0)</f>
        <v>0</v>
      </c>
      <c r="E7125" s="312" t="str">
        <f t="shared" si="444"/>
        <v>HI</v>
      </c>
      <c r="F7125" s="369">
        <f>VLOOKUP(C7125,METADATA!$A$5:$H$29,IF(E7125="HI",2,IF(E7125="LO",6,10))+IF(D7125=1,2,IF(D7125=7,1,(IF(WEEKDAY(B7125)=1,2,IF(WEEKDAY(B7125)=7,1,0))))))</f>
        <v>1</v>
      </c>
      <c r="G7125" s="369">
        <f>VLOOKUP(C7125,METADATA!$J$5:$Q$29,IF(E7125="HI",2,IF(E7125="LO",6,10))+IF(D7125=1,2,IF(D7125=7,1,(IF(WEEKDAY(B7125)=1,2,IF(WEEKDAY(B7125)=7,1,0))))))</f>
        <v>1</v>
      </c>
      <c r="H7125" s="370">
        <v>14105.699951171875</v>
      </c>
      <c r="I7125" s="370">
        <v>4788.0099487304688</v>
      </c>
      <c r="M7125" s="371">
        <f t="shared" si="445"/>
        <v>14896.16764076023</v>
      </c>
      <c r="N7125" s="329">
        <f t="shared" si="446"/>
        <v>556.2999633789068</v>
      </c>
      <c r="T7125" s="331">
        <v>0</v>
      </c>
      <c r="U7125" s="328">
        <f>VLOOKUP(C7125,METADATA!$J$5:$Q$29,IF(E7125="HI",2,IF(E7125="LO",6,10))+IF(T7125=1,2,IF(D7125=7,1,(IF(WEEKDAY(B7125)=1,2,IF(WEEKDAY(B7125)=7,1,0))))))</f>
        <v>1</v>
      </c>
      <c r="V7125" s="328">
        <f>VLOOKUP(C7125,METADATA!$A$5:$H$29,IF(E7125="HI",2,IF(E7125="LO",6,10))+IF(T7125=1,2,IF(D7125=7,1,(IF(WEEKDAY(B7125)=1,2,IF(WEEKDAY(B7125)=7,1,0))))))</f>
        <v>1</v>
      </c>
    </row>
    <row r="7126" spans="2:22">
      <c r="B7126" s="318">
        <f t="shared" si="443"/>
        <v>46409</v>
      </c>
      <c r="C7126" s="312">
        <v>18</v>
      </c>
      <c r="D7126" s="368">
        <f>IFERROR((INDEX(METADATA!$T$2:$T$20,MATCH(B7126,METADATA!$S$2:$S$20,0))),0)</f>
        <v>0</v>
      </c>
      <c r="E7126" s="312" t="str">
        <f t="shared" si="444"/>
        <v>HI</v>
      </c>
      <c r="F7126" s="369">
        <f>VLOOKUP(C7126,METADATA!$A$5:$H$29,IF(E7126="HI",2,IF(E7126="LO",6,10))+IF(D7126=1,2,IF(D7126=7,1,(IF(WEEKDAY(B7126)=1,2,IF(WEEKDAY(B7126)=7,1,0))))))</f>
        <v>1</v>
      </c>
      <c r="G7126" s="369">
        <f>VLOOKUP(C7126,METADATA!$J$5:$Q$29,IF(E7126="HI",2,IF(E7126="LO",6,10))+IF(D7126=1,2,IF(D7126=7,1,(IF(WEEKDAY(B7126)=1,2,IF(WEEKDAY(B7126)=7,1,0))))))</f>
        <v>1</v>
      </c>
      <c r="H7126" s="370">
        <v>13950.924926757813</v>
      </c>
      <c r="I7126" s="370">
        <v>4416.2350463867188</v>
      </c>
      <c r="M7126" s="371">
        <f t="shared" si="445"/>
        <v>14633.230617227584</v>
      </c>
      <c r="N7126" s="329">
        <f t="shared" si="446"/>
        <v>230.95756835937482</v>
      </c>
      <c r="T7126" s="331">
        <v>0</v>
      </c>
      <c r="U7126" s="328">
        <f>VLOOKUP(C7126,METADATA!$J$5:$Q$29,IF(E7126="HI",2,IF(E7126="LO",6,10))+IF(T7126=1,2,IF(D7126=7,1,(IF(WEEKDAY(B7126)=1,2,IF(WEEKDAY(B7126)=7,1,0))))))</f>
        <v>1</v>
      </c>
      <c r="V7126" s="328">
        <f>VLOOKUP(C7126,METADATA!$A$5:$H$29,IF(E7126="HI",2,IF(E7126="LO",6,10))+IF(T7126=1,2,IF(D7126=7,1,(IF(WEEKDAY(B7126)=1,2,IF(WEEKDAY(B7126)=7,1,0))))))</f>
        <v>1</v>
      </c>
    </row>
    <row r="7127" spans="2:22">
      <c r="B7127" s="318">
        <f t="shared" si="443"/>
        <v>46409</v>
      </c>
      <c r="C7127" s="312">
        <v>19</v>
      </c>
      <c r="D7127" s="368">
        <f>IFERROR((INDEX(METADATA!$T$2:$T$20,MATCH(B7127,METADATA!$S$2:$S$20,0))),0)</f>
        <v>0</v>
      </c>
      <c r="E7127" s="312" t="str">
        <f t="shared" si="444"/>
        <v>HI</v>
      </c>
      <c r="F7127" s="369">
        <f>VLOOKUP(C7127,METADATA!$A$5:$H$29,IF(E7127="HI",2,IF(E7127="LO",6,10))+IF(D7127=1,2,IF(D7127=7,1,(IF(WEEKDAY(B7127)=1,2,IF(WEEKDAY(B7127)=7,1,0))))))</f>
        <v>1</v>
      </c>
      <c r="G7127" s="369">
        <f>VLOOKUP(C7127,METADATA!$J$5:$Q$29,IF(E7127="HI",2,IF(E7127="LO",6,10))+IF(D7127=1,2,IF(D7127=7,1,(IF(WEEKDAY(B7127)=1,2,IF(WEEKDAY(B7127)=7,1,0))))))</f>
        <v>1</v>
      </c>
      <c r="H7127" s="370">
        <v>13966.674926757813</v>
      </c>
      <c r="I7127" s="370">
        <v>4546.425048828125</v>
      </c>
      <c r="M7127" s="371">
        <f t="shared" si="445"/>
        <v>14688.021964660087</v>
      </c>
      <c r="N7127" s="329">
        <f t="shared" si="446"/>
        <v>356.42257080078161</v>
      </c>
      <c r="T7127" s="331">
        <v>0</v>
      </c>
      <c r="U7127" s="328">
        <f>VLOOKUP(C7127,METADATA!$J$5:$Q$29,IF(E7127="HI",2,IF(E7127="LO",6,10))+IF(T7127=1,2,IF(D7127=7,1,(IF(WEEKDAY(B7127)=1,2,IF(WEEKDAY(B7127)=7,1,0))))))</f>
        <v>1</v>
      </c>
      <c r="V7127" s="328">
        <f>VLOOKUP(C7127,METADATA!$A$5:$H$29,IF(E7127="HI",2,IF(E7127="LO",6,10))+IF(T7127=1,2,IF(D7127=7,1,(IF(WEEKDAY(B7127)=1,2,IF(WEEKDAY(B7127)=7,1,0))))))</f>
        <v>1</v>
      </c>
    </row>
    <row r="7128" spans="2:22">
      <c r="B7128" s="318">
        <f t="shared" si="443"/>
        <v>46409</v>
      </c>
      <c r="C7128" s="312">
        <v>20</v>
      </c>
      <c r="D7128" s="368">
        <f>IFERROR((INDEX(METADATA!$T$2:$T$20,MATCH(B7128,METADATA!$S$2:$S$20,0))),0)</f>
        <v>0</v>
      </c>
      <c r="E7128" s="312" t="str">
        <f t="shared" si="444"/>
        <v>HI</v>
      </c>
      <c r="F7128" s="369">
        <f>VLOOKUP(C7128,METADATA!$A$5:$H$29,IF(E7128="HI",2,IF(E7128="LO",6,10))+IF(D7128=1,2,IF(D7128=7,1,(IF(WEEKDAY(B7128)=1,2,IF(WEEKDAY(B7128)=7,1,0))))))</f>
        <v>2</v>
      </c>
      <c r="G7128" s="369">
        <f>VLOOKUP(C7128,METADATA!$J$5:$Q$29,IF(E7128="HI",2,IF(E7128="LO",6,10))+IF(D7128=1,2,IF(D7128=7,1,(IF(WEEKDAY(B7128)=1,2,IF(WEEKDAY(B7128)=7,1,0))))))</f>
        <v>2</v>
      </c>
      <c r="H7128" s="370">
        <v>13943.625183105469</v>
      </c>
      <c r="I7128" s="370">
        <v>4613.7099609375</v>
      </c>
      <c r="M7128" s="371">
        <f t="shared" si="445"/>
        <v>14687.103283172857</v>
      </c>
      <c r="N7128" s="329">
        <f t="shared" si="446"/>
        <v>430.62240600585938</v>
      </c>
      <c r="T7128" s="331">
        <v>0</v>
      </c>
      <c r="U7128" s="328">
        <f>VLOOKUP(C7128,METADATA!$J$5:$Q$29,IF(E7128="HI",2,IF(E7128="LO",6,10))+IF(T7128=1,2,IF(D7128=7,1,(IF(WEEKDAY(B7128)=1,2,IF(WEEKDAY(B7128)=7,1,0))))))</f>
        <v>2</v>
      </c>
      <c r="V7128" s="328">
        <f>VLOOKUP(C7128,METADATA!$A$5:$H$29,IF(E7128="HI",2,IF(E7128="LO",6,10))+IF(T7128=1,2,IF(D7128=7,1,(IF(WEEKDAY(B7128)=1,2,IF(WEEKDAY(B7128)=7,1,0))))))</f>
        <v>2</v>
      </c>
    </row>
    <row r="7129" spans="2:22">
      <c r="B7129" s="318">
        <f t="shared" si="443"/>
        <v>46409</v>
      </c>
      <c r="C7129" s="312">
        <v>21</v>
      </c>
      <c r="D7129" s="368">
        <f>IFERROR((INDEX(METADATA!$T$2:$T$20,MATCH(B7129,METADATA!$S$2:$S$20,0))),0)</f>
        <v>0</v>
      </c>
      <c r="E7129" s="312" t="str">
        <f t="shared" si="444"/>
        <v>HI</v>
      </c>
      <c r="F7129" s="369">
        <f>VLOOKUP(C7129,METADATA!$A$5:$H$29,IF(E7129="HI",2,IF(E7129="LO",6,10))+IF(D7129=1,2,IF(D7129=7,1,(IF(WEEKDAY(B7129)=1,2,IF(WEEKDAY(B7129)=7,1,0))))))</f>
        <v>2</v>
      </c>
      <c r="G7129" s="369">
        <f>VLOOKUP(C7129,METADATA!$J$5:$Q$29,IF(E7129="HI",2,IF(E7129="LO",6,10))+IF(D7129=1,2,IF(D7129=7,1,(IF(WEEKDAY(B7129)=1,2,IF(WEEKDAY(B7129)=7,1,0))))))</f>
        <v>2</v>
      </c>
      <c r="H7129" s="370">
        <v>13738.825073242188</v>
      </c>
      <c r="I7129" s="370">
        <v>4563.2750549316406</v>
      </c>
      <c r="M7129" s="371">
        <f t="shared" si="445"/>
        <v>14476.836450692865</v>
      </c>
      <c r="N7129" s="329">
        <f t="shared" si="446"/>
        <v>441.62753295898438</v>
      </c>
      <c r="T7129" s="331">
        <v>0</v>
      </c>
      <c r="U7129" s="328">
        <f>VLOOKUP(C7129,METADATA!$J$5:$Q$29,IF(E7129="HI",2,IF(E7129="LO",6,10))+IF(T7129=1,2,IF(D7129=7,1,(IF(WEEKDAY(B7129)=1,2,IF(WEEKDAY(B7129)=7,1,0))))))</f>
        <v>2</v>
      </c>
      <c r="V7129" s="328">
        <f>VLOOKUP(C7129,METADATA!$A$5:$H$29,IF(E7129="HI",2,IF(E7129="LO",6,10))+IF(T7129=1,2,IF(D7129=7,1,(IF(WEEKDAY(B7129)=1,2,IF(WEEKDAY(B7129)=7,1,0))))))</f>
        <v>2</v>
      </c>
    </row>
    <row r="7130" spans="2:22">
      <c r="B7130" s="318">
        <f t="shared" si="443"/>
        <v>46409</v>
      </c>
      <c r="C7130" s="312">
        <v>22</v>
      </c>
      <c r="D7130" s="368">
        <f>IFERROR((INDEX(METADATA!$T$2:$T$20,MATCH(B7130,METADATA!$S$2:$S$20,0))),0)</f>
        <v>0</v>
      </c>
      <c r="E7130" s="312" t="str">
        <f t="shared" si="444"/>
        <v>HI</v>
      </c>
      <c r="F7130" s="369">
        <f>VLOOKUP(C7130,METADATA!$A$5:$H$29,IF(E7130="HI",2,IF(E7130="LO",6,10))+IF(D7130=1,2,IF(D7130=7,1,(IF(WEEKDAY(B7130)=1,2,IF(WEEKDAY(B7130)=7,1,0))))))</f>
        <v>3</v>
      </c>
      <c r="G7130" s="369">
        <f>VLOOKUP(C7130,METADATA!$J$5:$Q$29,IF(E7130="HI",2,IF(E7130="LO",6,10))+IF(D7130=1,2,IF(D7130=7,1,(IF(WEEKDAY(B7130)=1,2,IF(WEEKDAY(B7130)=7,1,0))))))</f>
        <v>3</v>
      </c>
      <c r="H7130" s="370">
        <v>13586.724670410156</v>
      </c>
      <c r="I7130" s="370">
        <v>4493.155029296875</v>
      </c>
      <c r="M7130" s="371">
        <f t="shared" si="445"/>
        <v>14310.399344072399</v>
      </c>
      <c r="N7130" s="329">
        <f t="shared" si="446"/>
        <v>417.13762817382849</v>
      </c>
      <c r="T7130" s="331">
        <v>0</v>
      </c>
      <c r="U7130" s="328">
        <f>VLOOKUP(C7130,METADATA!$J$5:$Q$29,IF(E7130="HI",2,IF(E7130="LO",6,10))+IF(T7130=1,2,IF(D7130=7,1,(IF(WEEKDAY(B7130)=1,2,IF(WEEKDAY(B7130)=7,1,0))))))</f>
        <v>3</v>
      </c>
      <c r="V7130" s="328">
        <f>VLOOKUP(C7130,METADATA!$A$5:$H$29,IF(E7130="HI",2,IF(E7130="LO",6,10))+IF(T7130=1,2,IF(D7130=7,1,(IF(WEEKDAY(B7130)=1,2,IF(WEEKDAY(B7130)=7,1,0))))))</f>
        <v>3</v>
      </c>
    </row>
    <row r="7131" spans="2:22">
      <c r="B7131" s="318">
        <f t="shared" si="443"/>
        <v>46409</v>
      </c>
      <c r="C7131" s="312">
        <v>23</v>
      </c>
      <c r="D7131" s="368">
        <f>IFERROR((INDEX(METADATA!$T$2:$T$20,MATCH(B7131,METADATA!$S$2:$S$20,0))),0)</f>
        <v>0</v>
      </c>
      <c r="E7131" s="312" t="str">
        <f t="shared" si="444"/>
        <v>HI</v>
      </c>
      <c r="F7131" s="369">
        <f>VLOOKUP(C7131,METADATA!$A$5:$H$29,IF(E7131="HI",2,IF(E7131="LO",6,10))+IF(D7131=1,2,IF(D7131=7,1,(IF(WEEKDAY(B7131)=1,2,IF(WEEKDAY(B7131)=7,1,0))))))</f>
        <v>3</v>
      </c>
      <c r="G7131" s="369">
        <f>VLOOKUP(C7131,METADATA!$J$5:$Q$29,IF(E7131="HI",2,IF(E7131="LO",6,10))+IF(D7131=1,2,IF(D7131=7,1,(IF(WEEKDAY(B7131)=1,2,IF(WEEKDAY(B7131)=7,1,0))))))</f>
        <v>3</v>
      </c>
      <c r="H7131" s="370">
        <v>13606.750061035156</v>
      </c>
      <c r="I7131" s="370">
        <v>4622.5000915527344</v>
      </c>
      <c r="M7131" s="371">
        <f t="shared" si="445"/>
        <v>14370.49596638492</v>
      </c>
      <c r="N7131" s="329">
        <f t="shared" si="446"/>
        <v>540.47507324218759</v>
      </c>
      <c r="T7131" s="331">
        <v>0</v>
      </c>
      <c r="U7131" s="328">
        <f>VLOOKUP(C7131,METADATA!$J$5:$Q$29,IF(E7131="HI",2,IF(E7131="LO",6,10))+IF(T7131=1,2,IF(D7131=7,1,(IF(WEEKDAY(B7131)=1,2,IF(WEEKDAY(B7131)=7,1,0))))))</f>
        <v>3</v>
      </c>
      <c r="V7131" s="328">
        <f>VLOOKUP(C7131,METADATA!$A$5:$H$29,IF(E7131="HI",2,IF(E7131="LO",6,10))+IF(T7131=1,2,IF(D7131=7,1,(IF(WEEKDAY(B7131)=1,2,IF(WEEKDAY(B7131)=7,1,0))))))</f>
        <v>3</v>
      </c>
    </row>
    <row r="7132" spans="2:22">
      <c r="B7132" s="318">
        <f t="shared" ref="B7132:B7195" si="447">B7108+1</f>
        <v>46410</v>
      </c>
      <c r="C7132" s="312">
        <v>0</v>
      </c>
      <c r="D7132" s="368">
        <f>IFERROR((INDEX(METADATA!$T$2:$T$20,MATCH(B7132,METADATA!$S$2:$S$20,0))),0)</f>
        <v>0</v>
      </c>
      <c r="E7132" s="312" t="str">
        <f t="shared" si="444"/>
        <v>HI</v>
      </c>
      <c r="F7132" s="369">
        <f>VLOOKUP(C7132,METADATA!$A$5:$H$29,IF(E7132="HI",2,IF(E7132="LO",6,10))+IF(D7132=1,2,IF(D7132=7,1,(IF(WEEKDAY(B7132)=1,2,IF(WEEKDAY(B7132)=7,1,0))))))</f>
        <v>3</v>
      </c>
      <c r="G7132" s="369">
        <f>VLOOKUP(C7132,METADATA!$J$5:$Q$29,IF(E7132="HI",2,IF(E7132="LO",6,10))+IF(D7132=1,2,IF(D7132=7,1,(IF(WEEKDAY(B7132)=1,2,IF(WEEKDAY(B7132)=7,1,0))))))</f>
        <v>3</v>
      </c>
      <c r="H7132" s="370">
        <v>13551.125183105469</v>
      </c>
      <c r="I7132" s="370">
        <v>4733.5149536132813</v>
      </c>
      <c r="M7132" s="371">
        <f t="shared" si="445"/>
        <v>14354.064147281624</v>
      </c>
      <c r="N7132" s="329">
        <f t="shared" si="446"/>
        <v>668.17739868164063</v>
      </c>
      <c r="T7132" s="331">
        <v>0</v>
      </c>
      <c r="U7132" s="328">
        <f>VLOOKUP(C7132,METADATA!$J$5:$Q$29,IF(E7132="HI",2,IF(E7132="LO",6,10))+IF(T7132=1,2,IF(D7132=7,1,(IF(WEEKDAY(B7132)=1,2,IF(WEEKDAY(B7132)=7,1,0))))))</f>
        <v>3</v>
      </c>
      <c r="V7132" s="328">
        <f>VLOOKUP(C7132,METADATA!$A$5:$H$29,IF(E7132="HI",2,IF(E7132="LO",6,10))+IF(T7132=1,2,IF(D7132=7,1,(IF(WEEKDAY(B7132)=1,2,IF(WEEKDAY(B7132)=7,1,0))))))</f>
        <v>3</v>
      </c>
    </row>
    <row r="7133" spans="2:22">
      <c r="B7133" s="318">
        <f t="shared" si="447"/>
        <v>46410</v>
      </c>
      <c r="C7133" s="312">
        <v>1</v>
      </c>
      <c r="D7133" s="368">
        <f>IFERROR((INDEX(METADATA!$T$2:$T$20,MATCH(B7133,METADATA!$S$2:$S$20,0))),0)</f>
        <v>0</v>
      </c>
      <c r="E7133" s="312" t="str">
        <f t="shared" si="444"/>
        <v>HI</v>
      </c>
      <c r="F7133" s="369">
        <f>VLOOKUP(C7133,METADATA!$A$5:$H$29,IF(E7133="HI",2,IF(E7133="LO",6,10))+IF(D7133=1,2,IF(D7133=7,1,(IF(WEEKDAY(B7133)=1,2,IF(WEEKDAY(B7133)=7,1,0))))))</f>
        <v>3</v>
      </c>
      <c r="G7133" s="369">
        <f>VLOOKUP(C7133,METADATA!$J$5:$Q$29,IF(E7133="HI",2,IF(E7133="LO",6,10))+IF(D7133=1,2,IF(D7133=7,1,(IF(WEEKDAY(B7133)=1,2,IF(WEEKDAY(B7133)=7,1,0))))))</f>
        <v>3</v>
      </c>
      <c r="H7133" s="370">
        <v>13314.932189941406</v>
      </c>
      <c r="I7133" s="370">
        <v>4568.4069519042969</v>
      </c>
      <c r="M7133" s="371">
        <f t="shared" si="445"/>
        <v>14076.851967004033</v>
      </c>
      <c r="N7133" s="329">
        <f t="shared" si="446"/>
        <v>573.92729492187527</v>
      </c>
      <c r="T7133" s="331">
        <v>0</v>
      </c>
      <c r="U7133" s="328">
        <f>VLOOKUP(C7133,METADATA!$J$5:$Q$29,IF(E7133="HI",2,IF(E7133="LO",6,10))+IF(T7133=1,2,IF(D7133=7,1,(IF(WEEKDAY(B7133)=1,2,IF(WEEKDAY(B7133)=7,1,0))))))</f>
        <v>3</v>
      </c>
      <c r="V7133" s="328">
        <f>VLOOKUP(C7133,METADATA!$A$5:$H$29,IF(E7133="HI",2,IF(E7133="LO",6,10))+IF(T7133=1,2,IF(D7133=7,1,(IF(WEEKDAY(B7133)=1,2,IF(WEEKDAY(B7133)=7,1,0))))))</f>
        <v>3</v>
      </c>
    </row>
    <row r="7134" spans="2:22">
      <c r="B7134" s="318">
        <f t="shared" si="447"/>
        <v>46410</v>
      </c>
      <c r="C7134" s="312">
        <v>2</v>
      </c>
      <c r="D7134" s="368">
        <f>IFERROR((INDEX(METADATA!$T$2:$T$20,MATCH(B7134,METADATA!$S$2:$S$20,0))),0)</f>
        <v>0</v>
      </c>
      <c r="E7134" s="312" t="str">
        <f t="shared" si="444"/>
        <v>HI</v>
      </c>
      <c r="F7134" s="369">
        <f>VLOOKUP(C7134,METADATA!$A$5:$H$29,IF(E7134="HI",2,IF(E7134="LO",6,10))+IF(D7134=1,2,IF(D7134=7,1,(IF(WEEKDAY(B7134)=1,2,IF(WEEKDAY(B7134)=7,1,0))))))</f>
        <v>3</v>
      </c>
      <c r="G7134" s="369">
        <f>VLOOKUP(C7134,METADATA!$J$5:$Q$29,IF(E7134="HI",2,IF(E7134="LO",6,10))+IF(D7134=1,2,IF(D7134=7,1,(IF(WEEKDAY(B7134)=1,2,IF(WEEKDAY(B7134)=7,1,0))))))</f>
        <v>3</v>
      </c>
      <c r="H7134" s="370">
        <v>12853.474975585938</v>
      </c>
      <c r="I7134" s="370">
        <v>4346.8350219726563</v>
      </c>
      <c r="M7134" s="371">
        <f t="shared" si="445"/>
        <v>13568.595861630705</v>
      </c>
      <c r="N7134" s="329">
        <f t="shared" si="446"/>
        <v>490.79252929687527</v>
      </c>
      <c r="T7134" s="331">
        <v>0</v>
      </c>
      <c r="U7134" s="328">
        <f>VLOOKUP(C7134,METADATA!$J$5:$Q$29,IF(E7134="HI",2,IF(E7134="LO",6,10))+IF(T7134=1,2,IF(D7134=7,1,(IF(WEEKDAY(B7134)=1,2,IF(WEEKDAY(B7134)=7,1,0))))))</f>
        <v>3</v>
      </c>
      <c r="V7134" s="328">
        <f>VLOOKUP(C7134,METADATA!$A$5:$H$29,IF(E7134="HI",2,IF(E7134="LO",6,10))+IF(T7134=1,2,IF(D7134=7,1,(IF(WEEKDAY(B7134)=1,2,IF(WEEKDAY(B7134)=7,1,0))))))</f>
        <v>3</v>
      </c>
    </row>
    <row r="7135" spans="2:22">
      <c r="B7135" s="318">
        <f t="shared" si="447"/>
        <v>46410</v>
      </c>
      <c r="C7135" s="312">
        <v>3</v>
      </c>
      <c r="D7135" s="368">
        <f>IFERROR((INDEX(METADATA!$T$2:$T$20,MATCH(B7135,METADATA!$S$2:$S$20,0))),0)</f>
        <v>0</v>
      </c>
      <c r="E7135" s="312" t="str">
        <f t="shared" si="444"/>
        <v>HI</v>
      </c>
      <c r="F7135" s="369">
        <f>VLOOKUP(C7135,METADATA!$A$5:$H$29,IF(E7135="HI",2,IF(E7135="LO",6,10))+IF(D7135=1,2,IF(D7135=7,1,(IF(WEEKDAY(B7135)=1,2,IF(WEEKDAY(B7135)=7,1,0))))))</f>
        <v>3</v>
      </c>
      <c r="G7135" s="369">
        <f>VLOOKUP(C7135,METADATA!$J$5:$Q$29,IF(E7135="HI",2,IF(E7135="LO",6,10))+IF(D7135=1,2,IF(D7135=7,1,(IF(WEEKDAY(B7135)=1,2,IF(WEEKDAY(B7135)=7,1,0))))))</f>
        <v>3</v>
      </c>
      <c r="H7135" s="370">
        <v>13534.474975585938</v>
      </c>
      <c r="I7135" s="370">
        <v>4573.0399780273438</v>
      </c>
      <c r="M7135" s="371">
        <f t="shared" si="445"/>
        <v>14286.17189821676</v>
      </c>
      <c r="N7135" s="329">
        <f t="shared" si="446"/>
        <v>512.69748535156259</v>
      </c>
      <c r="T7135" s="331">
        <v>0</v>
      </c>
      <c r="U7135" s="328">
        <f>VLOOKUP(C7135,METADATA!$J$5:$Q$29,IF(E7135="HI",2,IF(E7135="LO",6,10))+IF(T7135=1,2,IF(D7135=7,1,(IF(WEEKDAY(B7135)=1,2,IF(WEEKDAY(B7135)=7,1,0))))))</f>
        <v>3</v>
      </c>
      <c r="V7135" s="328">
        <f>VLOOKUP(C7135,METADATA!$A$5:$H$29,IF(E7135="HI",2,IF(E7135="LO",6,10))+IF(T7135=1,2,IF(D7135=7,1,(IF(WEEKDAY(B7135)=1,2,IF(WEEKDAY(B7135)=7,1,0))))))</f>
        <v>3</v>
      </c>
    </row>
    <row r="7136" spans="2:22">
      <c r="B7136" s="318">
        <f t="shared" si="447"/>
        <v>46410</v>
      </c>
      <c r="C7136" s="312">
        <v>4</v>
      </c>
      <c r="D7136" s="368">
        <f>IFERROR((INDEX(METADATA!$T$2:$T$20,MATCH(B7136,METADATA!$S$2:$S$20,0))),0)</f>
        <v>0</v>
      </c>
      <c r="E7136" s="312" t="str">
        <f t="shared" si="444"/>
        <v>HI</v>
      </c>
      <c r="F7136" s="369">
        <f>VLOOKUP(C7136,METADATA!$A$5:$H$29,IF(E7136="HI",2,IF(E7136="LO",6,10))+IF(D7136=1,2,IF(D7136=7,1,(IF(WEEKDAY(B7136)=1,2,IF(WEEKDAY(B7136)=7,1,0))))))</f>
        <v>3</v>
      </c>
      <c r="G7136" s="369">
        <f>VLOOKUP(C7136,METADATA!$J$5:$Q$29,IF(E7136="HI",2,IF(E7136="LO",6,10))+IF(D7136=1,2,IF(D7136=7,1,(IF(WEEKDAY(B7136)=1,2,IF(WEEKDAY(B7136)=7,1,0))))))</f>
        <v>3</v>
      </c>
      <c r="H7136" s="370">
        <v>13583.625122070313</v>
      </c>
      <c r="I7136" s="370">
        <v>4570.8099670410156</v>
      </c>
      <c r="M7136" s="371">
        <f t="shared" si="445"/>
        <v>14332.033184853473</v>
      </c>
      <c r="N7136" s="329">
        <f t="shared" si="446"/>
        <v>495.72243041992215</v>
      </c>
      <c r="T7136" s="331">
        <v>0</v>
      </c>
      <c r="U7136" s="328">
        <f>VLOOKUP(C7136,METADATA!$J$5:$Q$29,IF(E7136="HI",2,IF(E7136="LO",6,10))+IF(T7136=1,2,IF(D7136=7,1,(IF(WEEKDAY(B7136)=1,2,IF(WEEKDAY(B7136)=7,1,0))))))</f>
        <v>3</v>
      </c>
      <c r="V7136" s="328">
        <f>VLOOKUP(C7136,METADATA!$A$5:$H$29,IF(E7136="HI",2,IF(E7136="LO",6,10))+IF(T7136=1,2,IF(D7136=7,1,(IF(WEEKDAY(B7136)=1,2,IF(WEEKDAY(B7136)=7,1,0))))))</f>
        <v>3</v>
      </c>
    </row>
    <row r="7137" spans="2:22">
      <c r="B7137" s="318">
        <f t="shared" si="447"/>
        <v>46410</v>
      </c>
      <c r="C7137" s="312">
        <v>5</v>
      </c>
      <c r="D7137" s="368">
        <f>IFERROR((INDEX(METADATA!$T$2:$T$20,MATCH(B7137,METADATA!$S$2:$S$20,0))),0)</f>
        <v>0</v>
      </c>
      <c r="E7137" s="312" t="str">
        <f t="shared" si="444"/>
        <v>HI</v>
      </c>
      <c r="F7137" s="369">
        <f>VLOOKUP(C7137,METADATA!$A$5:$H$29,IF(E7137="HI",2,IF(E7137="LO",6,10))+IF(D7137=1,2,IF(D7137=7,1,(IF(WEEKDAY(B7137)=1,2,IF(WEEKDAY(B7137)=7,1,0))))))</f>
        <v>3</v>
      </c>
      <c r="G7137" s="369">
        <f>VLOOKUP(C7137,METADATA!$J$5:$Q$29,IF(E7137="HI",2,IF(E7137="LO",6,10))+IF(D7137=1,2,IF(D7137=7,1,(IF(WEEKDAY(B7137)=1,2,IF(WEEKDAY(B7137)=7,1,0))))))</f>
        <v>3</v>
      </c>
      <c r="H7137" s="370">
        <v>13518.27490234375</v>
      </c>
      <c r="I7137" s="370">
        <v>4525.1950378417969</v>
      </c>
      <c r="M7137" s="371">
        <f t="shared" si="445"/>
        <v>14255.565455843725</v>
      </c>
      <c r="N7137" s="329">
        <f t="shared" si="446"/>
        <v>469.71256713867206</v>
      </c>
      <c r="T7137" s="331">
        <v>0</v>
      </c>
      <c r="U7137" s="328">
        <f>VLOOKUP(C7137,METADATA!$J$5:$Q$29,IF(E7137="HI",2,IF(E7137="LO",6,10))+IF(T7137=1,2,IF(D7137=7,1,(IF(WEEKDAY(B7137)=1,2,IF(WEEKDAY(B7137)=7,1,0))))))</f>
        <v>3</v>
      </c>
      <c r="V7137" s="328">
        <f>VLOOKUP(C7137,METADATA!$A$5:$H$29,IF(E7137="HI",2,IF(E7137="LO",6,10))+IF(T7137=1,2,IF(D7137=7,1,(IF(WEEKDAY(B7137)=1,2,IF(WEEKDAY(B7137)=7,1,0))))))</f>
        <v>3</v>
      </c>
    </row>
    <row r="7138" spans="2:22">
      <c r="B7138" s="318">
        <f t="shared" si="447"/>
        <v>46410</v>
      </c>
      <c r="C7138" s="312">
        <v>6</v>
      </c>
      <c r="D7138" s="368">
        <f>IFERROR((INDEX(METADATA!$T$2:$T$20,MATCH(B7138,METADATA!$S$2:$S$20,0))),0)</f>
        <v>0</v>
      </c>
      <c r="E7138" s="312" t="str">
        <f t="shared" si="444"/>
        <v>HI</v>
      </c>
      <c r="F7138" s="369">
        <f>VLOOKUP(C7138,METADATA!$A$5:$H$29,IF(E7138="HI",2,IF(E7138="LO",6,10))+IF(D7138=1,2,IF(D7138=7,1,(IF(WEEKDAY(B7138)=1,2,IF(WEEKDAY(B7138)=7,1,0))))))</f>
        <v>3</v>
      </c>
      <c r="G7138" s="369">
        <f>VLOOKUP(C7138,METADATA!$J$5:$Q$29,IF(E7138="HI",2,IF(E7138="LO",6,10))+IF(D7138=1,2,IF(D7138=7,1,(IF(WEEKDAY(B7138)=1,2,IF(WEEKDAY(B7138)=7,1,0))))))</f>
        <v>3</v>
      </c>
      <c r="H7138" s="370">
        <v>13612.2998046875</v>
      </c>
      <c r="I7138" s="370">
        <v>4532.2850036621094</v>
      </c>
      <c r="M7138" s="371">
        <f t="shared" si="445"/>
        <v>14346.996665752586</v>
      </c>
      <c r="N7138" s="329">
        <f t="shared" si="446"/>
        <v>448.59506225585938</v>
      </c>
      <c r="T7138" s="331">
        <v>0</v>
      </c>
      <c r="U7138" s="328">
        <f>VLOOKUP(C7138,METADATA!$J$5:$Q$29,IF(E7138="HI",2,IF(E7138="LO",6,10))+IF(T7138=1,2,IF(D7138=7,1,(IF(WEEKDAY(B7138)=1,2,IF(WEEKDAY(B7138)=7,1,0))))))</f>
        <v>3</v>
      </c>
      <c r="V7138" s="328">
        <f>VLOOKUP(C7138,METADATA!$A$5:$H$29,IF(E7138="HI",2,IF(E7138="LO",6,10))+IF(T7138=1,2,IF(D7138=7,1,(IF(WEEKDAY(B7138)=1,2,IF(WEEKDAY(B7138)=7,1,0))))))</f>
        <v>3</v>
      </c>
    </row>
    <row r="7139" spans="2:22">
      <c r="B7139" s="318">
        <f t="shared" si="447"/>
        <v>46410</v>
      </c>
      <c r="C7139" s="312">
        <v>7</v>
      </c>
      <c r="D7139" s="368">
        <f>IFERROR((INDEX(METADATA!$T$2:$T$20,MATCH(B7139,METADATA!$S$2:$S$20,0))),0)</f>
        <v>0</v>
      </c>
      <c r="E7139" s="312" t="str">
        <f t="shared" si="444"/>
        <v>HI</v>
      </c>
      <c r="F7139" s="369">
        <f>VLOOKUP(C7139,METADATA!$A$5:$H$29,IF(E7139="HI",2,IF(E7139="LO",6,10))+IF(D7139=1,2,IF(D7139=7,1,(IF(WEEKDAY(B7139)=1,2,IF(WEEKDAY(B7139)=7,1,0))))))</f>
        <v>2</v>
      </c>
      <c r="G7139" s="369">
        <f>VLOOKUP(C7139,METADATA!$J$5:$Q$29,IF(E7139="HI",2,IF(E7139="LO",6,10))+IF(D7139=1,2,IF(D7139=7,1,(IF(WEEKDAY(B7139)=1,2,IF(WEEKDAY(B7139)=7,1,0))))))</f>
        <v>2</v>
      </c>
      <c r="H7139" s="370">
        <v>13555.250244140625</v>
      </c>
      <c r="I7139" s="370">
        <v>4499.8949890136719</v>
      </c>
      <c r="M7139" s="371">
        <f t="shared" si="445"/>
        <v>14282.642055776125</v>
      </c>
      <c r="N7139" s="329">
        <f t="shared" si="446"/>
        <v>433.31991577148438</v>
      </c>
      <c r="T7139" s="331">
        <v>0</v>
      </c>
      <c r="U7139" s="328">
        <f>VLOOKUP(C7139,METADATA!$J$5:$Q$29,IF(E7139="HI",2,IF(E7139="LO",6,10))+IF(T7139=1,2,IF(D7139=7,1,(IF(WEEKDAY(B7139)=1,2,IF(WEEKDAY(B7139)=7,1,0))))))</f>
        <v>2</v>
      </c>
      <c r="V7139" s="328">
        <f>VLOOKUP(C7139,METADATA!$A$5:$H$29,IF(E7139="HI",2,IF(E7139="LO",6,10))+IF(T7139=1,2,IF(D7139=7,1,(IF(WEEKDAY(B7139)=1,2,IF(WEEKDAY(B7139)=7,1,0))))))</f>
        <v>2</v>
      </c>
    </row>
    <row r="7140" spans="2:22">
      <c r="B7140" s="318">
        <f t="shared" si="447"/>
        <v>46410</v>
      </c>
      <c r="C7140" s="312">
        <v>8</v>
      </c>
      <c r="D7140" s="368">
        <f>IFERROR((INDEX(METADATA!$T$2:$T$20,MATCH(B7140,METADATA!$S$2:$S$20,0))),0)</f>
        <v>0</v>
      </c>
      <c r="E7140" s="312" t="str">
        <f t="shared" si="444"/>
        <v>HI</v>
      </c>
      <c r="F7140" s="369">
        <f>VLOOKUP(C7140,METADATA!$A$5:$H$29,IF(E7140="HI",2,IF(E7140="LO",6,10))+IF(D7140=1,2,IF(D7140=7,1,(IF(WEEKDAY(B7140)=1,2,IF(WEEKDAY(B7140)=7,1,0))))))</f>
        <v>2</v>
      </c>
      <c r="G7140" s="369">
        <f>VLOOKUP(C7140,METADATA!$J$5:$Q$29,IF(E7140="HI",2,IF(E7140="LO",6,10))+IF(D7140=1,2,IF(D7140=7,1,(IF(WEEKDAY(B7140)=1,2,IF(WEEKDAY(B7140)=7,1,0))))))</f>
        <v>2</v>
      </c>
      <c r="H7140" s="370">
        <v>13595.524841308594</v>
      </c>
      <c r="I7140" s="370">
        <v>4507.590087890625</v>
      </c>
      <c r="M7140" s="371">
        <f t="shared" si="445"/>
        <v>14323.290966502387</v>
      </c>
      <c r="N7140" s="329">
        <f t="shared" si="446"/>
        <v>428.93263549804715</v>
      </c>
      <c r="T7140" s="331">
        <v>0</v>
      </c>
      <c r="U7140" s="328">
        <f>VLOOKUP(C7140,METADATA!$J$5:$Q$29,IF(E7140="HI",2,IF(E7140="LO",6,10))+IF(T7140=1,2,IF(D7140=7,1,(IF(WEEKDAY(B7140)=1,2,IF(WEEKDAY(B7140)=7,1,0))))))</f>
        <v>2</v>
      </c>
      <c r="V7140" s="328">
        <f>VLOOKUP(C7140,METADATA!$A$5:$H$29,IF(E7140="HI",2,IF(E7140="LO",6,10))+IF(T7140=1,2,IF(D7140=7,1,(IF(WEEKDAY(B7140)=1,2,IF(WEEKDAY(B7140)=7,1,0))))))</f>
        <v>2</v>
      </c>
    </row>
    <row r="7141" spans="2:22">
      <c r="B7141" s="318">
        <f t="shared" si="447"/>
        <v>46410</v>
      </c>
      <c r="C7141" s="312">
        <v>9</v>
      </c>
      <c r="D7141" s="368">
        <f>IFERROR((INDEX(METADATA!$T$2:$T$20,MATCH(B7141,METADATA!$S$2:$S$20,0))),0)</f>
        <v>0</v>
      </c>
      <c r="E7141" s="312" t="str">
        <f t="shared" si="444"/>
        <v>HI</v>
      </c>
      <c r="F7141" s="369">
        <f>VLOOKUP(C7141,METADATA!$A$5:$H$29,IF(E7141="HI",2,IF(E7141="LO",6,10))+IF(D7141=1,2,IF(D7141=7,1,(IF(WEEKDAY(B7141)=1,2,IF(WEEKDAY(B7141)=7,1,0))))))</f>
        <v>2</v>
      </c>
      <c r="G7141" s="369">
        <f>VLOOKUP(C7141,METADATA!$J$5:$Q$29,IF(E7141="HI",2,IF(E7141="LO",6,10))+IF(D7141=1,2,IF(D7141=7,1,(IF(WEEKDAY(B7141)=1,2,IF(WEEKDAY(B7141)=7,1,0))))))</f>
        <v>2</v>
      </c>
      <c r="H7141" s="370">
        <v>13785.949951171875</v>
      </c>
      <c r="I7141" s="370">
        <v>4590.9850463867188</v>
      </c>
      <c r="M7141" s="371">
        <f t="shared" si="445"/>
        <v>14530.297992552056</v>
      </c>
      <c r="N7141" s="329">
        <f t="shared" si="446"/>
        <v>455.20006103515607</v>
      </c>
      <c r="T7141" s="331">
        <v>0</v>
      </c>
      <c r="U7141" s="328">
        <f>VLOOKUP(C7141,METADATA!$J$5:$Q$29,IF(E7141="HI",2,IF(E7141="LO",6,10))+IF(T7141=1,2,IF(D7141=7,1,(IF(WEEKDAY(B7141)=1,2,IF(WEEKDAY(B7141)=7,1,0))))))</f>
        <v>2</v>
      </c>
      <c r="V7141" s="328">
        <f>VLOOKUP(C7141,METADATA!$A$5:$H$29,IF(E7141="HI",2,IF(E7141="LO",6,10))+IF(T7141=1,2,IF(D7141=7,1,(IF(WEEKDAY(B7141)=1,2,IF(WEEKDAY(B7141)=7,1,0))))))</f>
        <v>2</v>
      </c>
    </row>
    <row r="7142" spans="2:22">
      <c r="B7142" s="318">
        <f t="shared" si="447"/>
        <v>46410</v>
      </c>
      <c r="C7142" s="312">
        <v>10</v>
      </c>
      <c r="D7142" s="368">
        <f>IFERROR((INDEX(METADATA!$T$2:$T$20,MATCH(B7142,METADATA!$S$2:$S$20,0))),0)</f>
        <v>0</v>
      </c>
      <c r="E7142" s="312" t="str">
        <f t="shared" si="444"/>
        <v>HI</v>
      </c>
      <c r="F7142" s="369">
        <f>VLOOKUP(C7142,METADATA!$A$5:$H$29,IF(E7142="HI",2,IF(E7142="LO",6,10))+IF(D7142=1,2,IF(D7142=7,1,(IF(WEEKDAY(B7142)=1,2,IF(WEEKDAY(B7142)=7,1,0))))))</f>
        <v>2</v>
      </c>
      <c r="G7142" s="369">
        <f>VLOOKUP(C7142,METADATA!$J$5:$Q$29,IF(E7142="HI",2,IF(E7142="LO",6,10))+IF(D7142=1,2,IF(D7142=7,1,(IF(WEEKDAY(B7142)=1,2,IF(WEEKDAY(B7142)=7,1,0))))))</f>
        <v>2</v>
      </c>
      <c r="H7142" s="370">
        <v>13767.7998046875</v>
      </c>
      <c r="I7142" s="370">
        <v>4713.4400329589844</v>
      </c>
      <c r="M7142" s="371">
        <f t="shared" si="445"/>
        <v>14552.279148169662</v>
      </c>
      <c r="N7142" s="329">
        <f t="shared" si="446"/>
        <v>583.10009155273474</v>
      </c>
      <c r="T7142" s="331">
        <v>0</v>
      </c>
      <c r="U7142" s="328">
        <f>VLOOKUP(C7142,METADATA!$J$5:$Q$29,IF(E7142="HI",2,IF(E7142="LO",6,10))+IF(T7142=1,2,IF(D7142=7,1,(IF(WEEKDAY(B7142)=1,2,IF(WEEKDAY(B7142)=7,1,0))))))</f>
        <v>2</v>
      </c>
      <c r="V7142" s="328">
        <f>VLOOKUP(C7142,METADATA!$A$5:$H$29,IF(E7142="HI",2,IF(E7142="LO",6,10))+IF(T7142=1,2,IF(D7142=7,1,(IF(WEEKDAY(B7142)=1,2,IF(WEEKDAY(B7142)=7,1,0))))))</f>
        <v>2</v>
      </c>
    </row>
    <row r="7143" spans="2:22">
      <c r="B7143" s="318">
        <f t="shared" si="447"/>
        <v>46410</v>
      </c>
      <c r="C7143" s="312">
        <v>11</v>
      </c>
      <c r="D7143" s="368">
        <f>IFERROR((INDEX(METADATA!$T$2:$T$20,MATCH(B7143,METADATA!$S$2:$S$20,0))),0)</f>
        <v>0</v>
      </c>
      <c r="E7143" s="312" t="str">
        <f t="shared" si="444"/>
        <v>HI</v>
      </c>
      <c r="F7143" s="369">
        <f>VLOOKUP(C7143,METADATA!$A$5:$H$29,IF(E7143="HI",2,IF(E7143="LO",6,10))+IF(D7143=1,2,IF(D7143=7,1,(IF(WEEKDAY(B7143)=1,2,IF(WEEKDAY(B7143)=7,1,0))))))</f>
        <v>2</v>
      </c>
      <c r="G7143" s="369">
        <f>VLOOKUP(C7143,METADATA!$J$5:$Q$29,IF(E7143="HI",2,IF(E7143="LO",6,10))+IF(D7143=1,2,IF(D7143=7,1,(IF(WEEKDAY(B7143)=1,2,IF(WEEKDAY(B7143)=7,1,0))))))</f>
        <v>2</v>
      </c>
      <c r="H7143" s="370">
        <v>13281.725463867188</v>
      </c>
      <c r="I7143" s="370">
        <v>4338.1699829101563</v>
      </c>
      <c r="M7143" s="371">
        <f t="shared" si="445"/>
        <v>13972.256442613725</v>
      </c>
      <c r="N7143" s="329">
        <f t="shared" si="446"/>
        <v>353.65234375</v>
      </c>
      <c r="T7143" s="331">
        <v>0</v>
      </c>
      <c r="U7143" s="328">
        <f>VLOOKUP(C7143,METADATA!$J$5:$Q$29,IF(E7143="HI",2,IF(E7143="LO",6,10))+IF(T7143=1,2,IF(D7143=7,1,(IF(WEEKDAY(B7143)=1,2,IF(WEEKDAY(B7143)=7,1,0))))))</f>
        <v>2</v>
      </c>
      <c r="V7143" s="328">
        <f>VLOOKUP(C7143,METADATA!$A$5:$H$29,IF(E7143="HI",2,IF(E7143="LO",6,10))+IF(T7143=1,2,IF(D7143=7,1,(IF(WEEKDAY(B7143)=1,2,IF(WEEKDAY(B7143)=7,1,0))))))</f>
        <v>2</v>
      </c>
    </row>
    <row r="7144" spans="2:22">
      <c r="B7144" s="318">
        <f t="shared" si="447"/>
        <v>46410</v>
      </c>
      <c r="C7144" s="312">
        <v>12</v>
      </c>
      <c r="D7144" s="368">
        <f>IFERROR((INDEX(METADATA!$T$2:$T$20,MATCH(B7144,METADATA!$S$2:$S$20,0))),0)</f>
        <v>0</v>
      </c>
      <c r="E7144" s="312" t="str">
        <f t="shared" si="444"/>
        <v>HI</v>
      </c>
      <c r="F7144" s="369">
        <f>VLOOKUP(C7144,METADATA!$A$5:$H$29,IF(E7144="HI",2,IF(E7144="LO",6,10))+IF(D7144=1,2,IF(D7144=7,1,(IF(WEEKDAY(B7144)=1,2,IF(WEEKDAY(B7144)=7,1,0))))))</f>
        <v>3</v>
      </c>
      <c r="G7144" s="369">
        <f>VLOOKUP(C7144,METADATA!$J$5:$Q$29,IF(E7144="HI",2,IF(E7144="LO",6,10))+IF(D7144=1,2,IF(D7144=7,1,(IF(WEEKDAY(B7144)=1,2,IF(WEEKDAY(B7144)=7,1,0))))))</f>
        <v>3</v>
      </c>
      <c r="H7144" s="370">
        <v>13751.825073242188</v>
      </c>
      <c r="I7144" s="370">
        <v>4735.8800354003906</v>
      </c>
      <c r="M7144" s="371">
        <f t="shared" si="445"/>
        <v>14544.457795145081</v>
      </c>
      <c r="N7144" s="329">
        <f t="shared" si="446"/>
        <v>610.33251342773474</v>
      </c>
      <c r="T7144" s="331">
        <v>0</v>
      </c>
      <c r="U7144" s="328">
        <f>VLOOKUP(C7144,METADATA!$J$5:$Q$29,IF(E7144="HI",2,IF(E7144="LO",6,10))+IF(T7144=1,2,IF(D7144=7,1,(IF(WEEKDAY(B7144)=1,2,IF(WEEKDAY(B7144)=7,1,0))))))</f>
        <v>3</v>
      </c>
      <c r="V7144" s="328">
        <f>VLOOKUP(C7144,METADATA!$A$5:$H$29,IF(E7144="HI",2,IF(E7144="LO",6,10))+IF(T7144=1,2,IF(D7144=7,1,(IF(WEEKDAY(B7144)=1,2,IF(WEEKDAY(B7144)=7,1,0))))))</f>
        <v>3</v>
      </c>
    </row>
    <row r="7145" spans="2:22">
      <c r="B7145" s="318">
        <f t="shared" si="447"/>
        <v>46410</v>
      </c>
      <c r="C7145" s="312">
        <v>13</v>
      </c>
      <c r="D7145" s="368">
        <f>IFERROR((INDEX(METADATA!$T$2:$T$20,MATCH(B7145,METADATA!$S$2:$S$20,0))),0)</f>
        <v>0</v>
      </c>
      <c r="E7145" s="312" t="str">
        <f t="shared" si="444"/>
        <v>HI</v>
      </c>
      <c r="F7145" s="369">
        <f>VLOOKUP(C7145,METADATA!$A$5:$H$29,IF(E7145="HI",2,IF(E7145="LO",6,10))+IF(D7145=1,2,IF(D7145=7,1,(IF(WEEKDAY(B7145)=1,2,IF(WEEKDAY(B7145)=7,1,0))))))</f>
        <v>3</v>
      </c>
      <c r="G7145" s="369">
        <f>VLOOKUP(C7145,METADATA!$J$5:$Q$29,IF(E7145="HI",2,IF(E7145="LO",6,10))+IF(D7145=1,2,IF(D7145=7,1,(IF(WEEKDAY(B7145)=1,2,IF(WEEKDAY(B7145)=7,1,0))))))</f>
        <v>3</v>
      </c>
      <c r="H7145" s="370">
        <v>13725.099731445313</v>
      </c>
      <c r="I7145" s="370">
        <v>4660.3651123046875</v>
      </c>
      <c r="M7145" s="371">
        <f t="shared" si="445"/>
        <v>14494.735789868915</v>
      </c>
      <c r="N7145" s="329">
        <f t="shared" si="446"/>
        <v>542.83519287109357</v>
      </c>
      <c r="T7145" s="331">
        <v>0</v>
      </c>
      <c r="U7145" s="328">
        <f>VLOOKUP(C7145,METADATA!$J$5:$Q$29,IF(E7145="HI",2,IF(E7145="LO",6,10))+IF(T7145=1,2,IF(D7145=7,1,(IF(WEEKDAY(B7145)=1,2,IF(WEEKDAY(B7145)=7,1,0))))))</f>
        <v>3</v>
      </c>
      <c r="V7145" s="328">
        <f>VLOOKUP(C7145,METADATA!$A$5:$H$29,IF(E7145="HI",2,IF(E7145="LO",6,10))+IF(T7145=1,2,IF(D7145=7,1,(IF(WEEKDAY(B7145)=1,2,IF(WEEKDAY(B7145)=7,1,0))))))</f>
        <v>3</v>
      </c>
    </row>
    <row r="7146" spans="2:22">
      <c r="B7146" s="318">
        <f t="shared" si="447"/>
        <v>46410</v>
      </c>
      <c r="C7146" s="312">
        <v>14</v>
      </c>
      <c r="D7146" s="368">
        <f>IFERROR((INDEX(METADATA!$T$2:$T$20,MATCH(B7146,METADATA!$S$2:$S$20,0))),0)</f>
        <v>0</v>
      </c>
      <c r="E7146" s="312" t="str">
        <f t="shared" si="444"/>
        <v>HI</v>
      </c>
      <c r="F7146" s="369">
        <f>VLOOKUP(C7146,METADATA!$A$5:$H$29,IF(E7146="HI",2,IF(E7146="LO",6,10))+IF(D7146=1,2,IF(D7146=7,1,(IF(WEEKDAY(B7146)=1,2,IF(WEEKDAY(B7146)=7,1,0))))))</f>
        <v>3</v>
      </c>
      <c r="G7146" s="369">
        <f>VLOOKUP(C7146,METADATA!$J$5:$Q$29,IF(E7146="HI",2,IF(E7146="LO",6,10))+IF(D7146=1,2,IF(D7146=7,1,(IF(WEEKDAY(B7146)=1,2,IF(WEEKDAY(B7146)=7,1,0))))))</f>
        <v>3</v>
      </c>
      <c r="H7146" s="370">
        <v>13848.225036621094</v>
      </c>
      <c r="I7146" s="370">
        <v>4732.5700073242188</v>
      </c>
      <c r="M7146" s="371">
        <f t="shared" si="445"/>
        <v>14634.567145601677</v>
      </c>
      <c r="N7146" s="329">
        <f t="shared" si="446"/>
        <v>578.10249633789044</v>
      </c>
      <c r="T7146" s="331">
        <v>0</v>
      </c>
      <c r="U7146" s="328">
        <f>VLOOKUP(C7146,METADATA!$J$5:$Q$29,IF(E7146="HI",2,IF(E7146="LO",6,10))+IF(T7146=1,2,IF(D7146=7,1,(IF(WEEKDAY(B7146)=1,2,IF(WEEKDAY(B7146)=7,1,0))))))</f>
        <v>3</v>
      </c>
      <c r="V7146" s="328">
        <f>VLOOKUP(C7146,METADATA!$A$5:$H$29,IF(E7146="HI",2,IF(E7146="LO",6,10))+IF(T7146=1,2,IF(D7146=7,1,(IF(WEEKDAY(B7146)=1,2,IF(WEEKDAY(B7146)=7,1,0))))))</f>
        <v>3</v>
      </c>
    </row>
    <row r="7147" spans="2:22">
      <c r="B7147" s="318">
        <f t="shared" si="447"/>
        <v>46410</v>
      </c>
      <c r="C7147" s="312">
        <v>15</v>
      </c>
      <c r="D7147" s="368">
        <f>IFERROR((INDEX(METADATA!$T$2:$T$20,MATCH(B7147,METADATA!$S$2:$S$20,0))),0)</f>
        <v>0</v>
      </c>
      <c r="E7147" s="312" t="str">
        <f t="shared" si="444"/>
        <v>HI</v>
      </c>
      <c r="F7147" s="369">
        <f>VLOOKUP(C7147,METADATA!$A$5:$H$29,IF(E7147="HI",2,IF(E7147="LO",6,10))+IF(D7147=1,2,IF(D7147=7,1,(IF(WEEKDAY(B7147)=1,2,IF(WEEKDAY(B7147)=7,1,0))))))</f>
        <v>3</v>
      </c>
      <c r="G7147" s="369">
        <f>VLOOKUP(C7147,METADATA!$J$5:$Q$29,IF(E7147="HI",2,IF(E7147="LO",6,10))+IF(D7147=1,2,IF(D7147=7,1,(IF(WEEKDAY(B7147)=1,2,IF(WEEKDAY(B7147)=7,1,0))))))</f>
        <v>3</v>
      </c>
      <c r="H7147" s="370">
        <v>13777.975280761719</v>
      </c>
      <c r="I7147" s="370">
        <v>4718.6699829101563</v>
      </c>
      <c r="M7147" s="371">
        <f t="shared" si="445"/>
        <v>14563.600147109859</v>
      </c>
      <c r="N7147" s="329">
        <f t="shared" si="446"/>
        <v>585.27739868164099</v>
      </c>
      <c r="T7147" s="331">
        <v>0</v>
      </c>
      <c r="U7147" s="328">
        <f>VLOOKUP(C7147,METADATA!$J$5:$Q$29,IF(E7147="HI",2,IF(E7147="LO",6,10))+IF(T7147=1,2,IF(D7147=7,1,(IF(WEEKDAY(B7147)=1,2,IF(WEEKDAY(B7147)=7,1,0))))))</f>
        <v>3</v>
      </c>
      <c r="V7147" s="328">
        <f>VLOOKUP(C7147,METADATA!$A$5:$H$29,IF(E7147="HI",2,IF(E7147="LO",6,10))+IF(T7147=1,2,IF(D7147=7,1,(IF(WEEKDAY(B7147)=1,2,IF(WEEKDAY(B7147)=7,1,0))))))</f>
        <v>3</v>
      </c>
    </row>
    <row r="7148" spans="2:22">
      <c r="B7148" s="318">
        <f t="shared" si="447"/>
        <v>46410</v>
      </c>
      <c r="C7148" s="312">
        <v>16</v>
      </c>
      <c r="D7148" s="368">
        <f>IFERROR((INDEX(METADATA!$T$2:$T$20,MATCH(B7148,METADATA!$S$2:$S$20,0))),0)</f>
        <v>0</v>
      </c>
      <c r="E7148" s="312" t="str">
        <f t="shared" si="444"/>
        <v>HI</v>
      </c>
      <c r="F7148" s="369">
        <f>VLOOKUP(C7148,METADATA!$A$5:$H$29,IF(E7148="HI",2,IF(E7148="LO",6,10))+IF(D7148=1,2,IF(D7148=7,1,(IF(WEEKDAY(B7148)=1,2,IF(WEEKDAY(B7148)=7,1,0))))))</f>
        <v>3</v>
      </c>
      <c r="G7148" s="369">
        <f>VLOOKUP(C7148,METADATA!$J$5:$Q$29,IF(E7148="HI",2,IF(E7148="LO",6,10))+IF(D7148=1,2,IF(D7148=7,1,(IF(WEEKDAY(B7148)=1,2,IF(WEEKDAY(B7148)=7,1,0))))))</f>
        <v>3</v>
      </c>
      <c r="H7148" s="370">
        <v>13751.300354003906</v>
      </c>
      <c r="I7148" s="370">
        <v>4596.3049621582031</v>
      </c>
      <c r="M7148" s="371">
        <f t="shared" si="445"/>
        <v>14499.113101537903</v>
      </c>
      <c r="N7148" s="329">
        <f t="shared" si="446"/>
        <v>470.91485595703125</v>
      </c>
      <c r="T7148" s="331">
        <v>0</v>
      </c>
      <c r="U7148" s="328">
        <f>VLOOKUP(C7148,METADATA!$J$5:$Q$29,IF(E7148="HI",2,IF(E7148="LO",6,10))+IF(T7148=1,2,IF(D7148=7,1,(IF(WEEKDAY(B7148)=1,2,IF(WEEKDAY(B7148)=7,1,0))))))</f>
        <v>3</v>
      </c>
      <c r="V7148" s="328">
        <f>VLOOKUP(C7148,METADATA!$A$5:$H$29,IF(E7148="HI",2,IF(E7148="LO",6,10))+IF(T7148=1,2,IF(D7148=7,1,(IF(WEEKDAY(B7148)=1,2,IF(WEEKDAY(B7148)=7,1,0))))))</f>
        <v>3</v>
      </c>
    </row>
    <row r="7149" spans="2:22">
      <c r="B7149" s="318">
        <f t="shared" si="447"/>
        <v>46410</v>
      </c>
      <c r="C7149" s="312">
        <v>17</v>
      </c>
      <c r="D7149" s="368">
        <f>IFERROR((INDEX(METADATA!$T$2:$T$20,MATCH(B7149,METADATA!$S$2:$S$20,0))),0)</f>
        <v>0</v>
      </c>
      <c r="E7149" s="312" t="str">
        <f t="shared" si="444"/>
        <v>HI</v>
      </c>
      <c r="F7149" s="369">
        <f>VLOOKUP(C7149,METADATA!$A$5:$H$29,IF(E7149="HI",2,IF(E7149="LO",6,10))+IF(D7149=1,2,IF(D7149=7,1,(IF(WEEKDAY(B7149)=1,2,IF(WEEKDAY(B7149)=7,1,0))))))</f>
        <v>2</v>
      </c>
      <c r="G7149" s="369">
        <f>VLOOKUP(C7149,METADATA!$J$5:$Q$29,IF(E7149="HI",2,IF(E7149="LO",6,10))+IF(D7149=1,2,IF(D7149=7,1,(IF(WEEKDAY(B7149)=1,2,IF(WEEKDAY(B7149)=7,1,0))))))</f>
        <v>2</v>
      </c>
      <c r="H7149" s="370">
        <v>13666.474731445313</v>
      </c>
      <c r="I7149" s="370">
        <v>4600.5149841308594</v>
      </c>
      <c r="M7149" s="371">
        <f t="shared" si="445"/>
        <v>14420.030156155908</v>
      </c>
      <c r="N7149" s="329">
        <f t="shared" si="446"/>
        <v>500.57256469726599</v>
      </c>
      <c r="T7149" s="331">
        <v>0</v>
      </c>
      <c r="U7149" s="328">
        <f>VLOOKUP(C7149,METADATA!$J$5:$Q$29,IF(E7149="HI",2,IF(E7149="LO",6,10))+IF(T7149=1,2,IF(D7149=7,1,(IF(WEEKDAY(B7149)=1,2,IF(WEEKDAY(B7149)=7,1,0))))))</f>
        <v>2</v>
      </c>
      <c r="V7149" s="328">
        <f>VLOOKUP(C7149,METADATA!$A$5:$H$29,IF(E7149="HI",2,IF(E7149="LO",6,10))+IF(T7149=1,2,IF(D7149=7,1,(IF(WEEKDAY(B7149)=1,2,IF(WEEKDAY(B7149)=7,1,0))))))</f>
        <v>2</v>
      </c>
    </row>
    <row r="7150" spans="2:22">
      <c r="B7150" s="318">
        <f t="shared" si="447"/>
        <v>46410</v>
      </c>
      <c r="C7150" s="312">
        <v>18</v>
      </c>
      <c r="D7150" s="368">
        <f>IFERROR((INDEX(METADATA!$T$2:$T$20,MATCH(B7150,METADATA!$S$2:$S$20,0))),0)</f>
        <v>0</v>
      </c>
      <c r="E7150" s="312" t="str">
        <f t="shared" si="444"/>
        <v>HI</v>
      </c>
      <c r="F7150" s="369">
        <f>VLOOKUP(C7150,METADATA!$A$5:$H$29,IF(E7150="HI",2,IF(E7150="LO",6,10))+IF(D7150=1,2,IF(D7150=7,1,(IF(WEEKDAY(B7150)=1,2,IF(WEEKDAY(B7150)=7,1,0))))))</f>
        <v>2</v>
      </c>
      <c r="G7150" s="369">
        <f>VLOOKUP(C7150,METADATA!$J$5:$Q$29,IF(E7150="HI",2,IF(E7150="LO",6,10))+IF(D7150=1,2,IF(D7150=7,1,(IF(WEEKDAY(B7150)=1,2,IF(WEEKDAY(B7150)=7,1,0))))))</f>
        <v>2</v>
      </c>
      <c r="H7150" s="370">
        <v>13561.075439453125</v>
      </c>
      <c r="I7150" s="370">
        <v>4575.030029296875</v>
      </c>
      <c r="M7150" s="371">
        <f t="shared" si="445"/>
        <v>14312.011278765362</v>
      </c>
      <c r="N7150" s="329">
        <f t="shared" si="446"/>
        <v>506.7073974609375</v>
      </c>
      <c r="T7150" s="331">
        <v>0</v>
      </c>
      <c r="U7150" s="328">
        <f>VLOOKUP(C7150,METADATA!$J$5:$Q$29,IF(E7150="HI",2,IF(E7150="LO",6,10))+IF(T7150=1,2,IF(D7150=7,1,(IF(WEEKDAY(B7150)=1,2,IF(WEEKDAY(B7150)=7,1,0))))))</f>
        <v>2</v>
      </c>
      <c r="V7150" s="328">
        <f>VLOOKUP(C7150,METADATA!$A$5:$H$29,IF(E7150="HI",2,IF(E7150="LO",6,10))+IF(T7150=1,2,IF(D7150=7,1,(IF(WEEKDAY(B7150)=1,2,IF(WEEKDAY(B7150)=7,1,0))))))</f>
        <v>2</v>
      </c>
    </row>
    <row r="7151" spans="2:22">
      <c r="B7151" s="318">
        <f t="shared" si="447"/>
        <v>46410</v>
      </c>
      <c r="C7151" s="312">
        <v>19</v>
      </c>
      <c r="D7151" s="368">
        <f>IFERROR((INDEX(METADATA!$T$2:$T$20,MATCH(B7151,METADATA!$S$2:$S$20,0))),0)</f>
        <v>0</v>
      </c>
      <c r="E7151" s="312" t="str">
        <f t="shared" si="444"/>
        <v>HI</v>
      </c>
      <c r="F7151" s="369">
        <f>VLOOKUP(C7151,METADATA!$A$5:$H$29,IF(E7151="HI",2,IF(E7151="LO",6,10))+IF(D7151=1,2,IF(D7151=7,1,(IF(WEEKDAY(B7151)=1,2,IF(WEEKDAY(B7151)=7,1,0))))))</f>
        <v>3</v>
      </c>
      <c r="G7151" s="369">
        <f>VLOOKUP(C7151,METADATA!$J$5:$Q$29,IF(E7151="HI",2,IF(E7151="LO",6,10))+IF(D7151=1,2,IF(D7151=7,1,(IF(WEEKDAY(B7151)=1,2,IF(WEEKDAY(B7151)=7,1,0))))))</f>
        <v>3</v>
      </c>
      <c r="H7151" s="370">
        <v>13641.375</v>
      </c>
      <c r="I7151" s="370">
        <v>4338.0249328613281</v>
      </c>
      <c r="M7151" s="371">
        <f t="shared" si="445"/>
        <v>14314.523121946868</v>
      </c>
      <c r="N7151" s="329">
        <f t="shared" si="446"/>
        <v>245.61243286132822</v>
      </c>
      <c r="T7151" s="331">
        <v>0</v>
      </c>
      <c r="U7151" s="328">
        <f>VLOOKUP(C7151,METADATA!$J$5:$Q$29,IF(E7151="HI",2,IF(E7151="LO",6,10))+IF(T7151=1,2,IF(D7151=7,1,(IF(WEEKDAY(B7151)=1,2,IF(WEEKDAY(B7151)=7,1,0))))))</f>
        <v>3</v>
      </c>
      <c r="V7151" s="328">
        <f>VLOOKUP(C7151,METADATA!$A$5:$H$29,IF(E7151="HI",2,IF(E7151="LO",6,10))+IF(T7151=1,2,IF(D7151=7,1,(IF(WEEKDAY(B7151)=1,2,IF(WEEKDAY(B7151)=7,1,0))))))</f>
        <v>3</v>
      </c>
    </row>
    <row r="7152" spans="2:22">
      <c r="B7152" s="318">
        <f t="shared" si="447"/>
        <v>46410</v>
      </c>
      <c r="C7152" s="312">
        <v>20</v>
      </c>
      <c r="D7152" s="368">
        <f>IFERROR((INDEX(METADATA!$T$2:$T$20,MATCH(B7152,METADATA!$S$2:$S$20,0))),0)</f>
        <v>0</v>
      </c>
      <c r="E7152" s="312" t="str">
        <f t="shared" si="444"/>
        <v>HI</v>
      </c>
      <c r="F7152" s="369">
        <f>VLOOKUP(C7152,METADATA!$A$5:$H$29,IF(E7152="HI",2,IF(E7152="LO",6,10))+IF(D7152=1,2,IF(D7152=7,1,(IF(WEEKDAY(B7152)=1,2,IF(WEEKDAY(B7152)=7,1,0))))))</f>
        <v>3</v>
      </c>
      <c r="G7152" s="369">
        <f>VLOOKUP(C7152,METADATA!$J$5:$Q$29,IF(E7152="HI",2,IF(E7152="LO",6,10))+IF(D7152=1,2,IF(D7152=7,1,(IF(WEEKDAY(B7152)=1,2,IF(WEEKDAY(B7152)=7,1,0))))))</f>
        <v>3</v>
      </c>
      <c r="H7152" s="370">
        <v>13674.224853515625</v>
      </c>
      <c r="I7152" s="370">
        <v>4329.804931640625</v>
      </c>
      <c r="M7152" s="371">
        <f t="shared" si="445"/>
        <v>14343.348147854596</v>
      </c>
      <c r="N7152" s="329">
        <f t="shared" si="446"/>
        <v>227.5374755859375</v>
      </c>
      <c r="T7152" s="331">
        <v>0</v>
      </c>
      <c r="U7152" s="328">
        <f>VLOOKUP(C7152,METADATA!$J$5:$Q$29,IF(E7152="HI",2,IF(E7152="LO",6,10))+IF(T7152=1,2,IF(D7152=7,1,(IF(WEEKDAY(B7152)=1,2,IF(WEEKDAY(B7152)=7,1,0))))))</f>
        <v>3</v>
      </c>
      <c r="V7152" s="328">
        <f>VLOOKUP(C7152,METADATA!$A$5:$H$29,IF(E7152="HI",2,IF(E7152="LO",6,10))+IF(T7152=1,2,IF(D7152=7,1,(IF(WEEKDAY(B7152)=1,2,IF(WEEKDAY(B7152)=7,1,0))))))</f>
        <v>3</v>
      </c>
    </row>
    <row r="7153" spans="2:22">
      <c r="B7153" s="318">
        <f t="shared" si="447"/>
        <v>46410</v>
      </c>
      <c r="C7153" s="312">
        <v>21</v>
      </c>
      <c r="D7153" s="368">
        <f>IFERROR((INDEX(METADATA!$T$2:$T$20,MATCH(B7153,METADATA!$S$2:$S$20,0))),0)</f>
        <v>0</v>
      </c>
      <c r="E7153" s="312" t="str">
        <f t="shared" si="444"/>
        <v>HI</v>
      </c>
      <c r="F7153" s="369">
        <f>VLOOKUP(C7153,METADATA!$A$5:$H$29,IF(E7153="HI",2,IF(E7153="LO",6,10))+IF(D7153=1,2,IF(D7153=7,1,(IF(WEEKDAY(B7153)=1,2,IF(WEEKDAY(B7153)=7,1,0))))))</f>
        <v>3</v>
      </c>
      <c r="G7153" s="369">
        <f>VLOOKUP(C7153,METADATA!$J$5:$Q$29,IF(E7153="HI",2,IF(E7153="LO",6,10))+IF(D7153=1,2,IF(D7153=7,1,(IF(WEEKDAY(B7153)=1,2,IF(WEEKDAY(B7153)=7,1,0))))))</f>
        <v>3</v>
      </c>
      <c r="H7153" s="370">
        <v>13792.075439453125</v>
      </c>
      <c r="I7153" s="370">
        <v>4591.7550354003906</v>
      </c>
      <c r="M7153" s="371">
        <f t="shared" si="445"/>
        <v>14536.353023805214</v>
      </c>
      <c r="N7153" s="329">
        <f t="shared" si="446"/>
        <v>454.13240356445294</v>
      </c>
      <c r="T7153" s="331">
        <v>0</v>
      </c>
      <c r="U7153" s="328">
        <f>VLOOKUP(C7153,METADATA!$J$5:$Q$29,IF(E7153="HI",2,IF(E7153="LO",6,10))+IF(T7153=1,2,IF(D7153=7,1,(IF(WEEKDAY(B7153)=1,2,IF(WEEKDAY(B7153)=7,1,0))))))</f>
        <v>3</v>
      </c>
      <c r="V7153" s="328">
        <f>VLOOKUP(C7153,METADATA!$A$5:$H$29,IF(E7153="HI",2,IF(E7153="LO",6,10))+IF(T7153=1,2,IF(D7153=7,1,(IF(WEEKDAY(B7153)=1,2,IF(WEEKDAY(B7153)=7,1,0))))))</f>
        <v>3</v>
      </c>
    </row>
    <row r="7154" spans="2:22">
      <c r="B7154" s="318">
        <f t="shared" si="447"/>
        <v>46410</v>
      </c>
      <c r="C7154" s="312">
        <v>22</v>
      </c>
      <c r="D7154" s="368">
        <f>IFERROR((INDEX(METADATA!$T$2:$T$20,MATCH(B7154,METADATA!$S$2:$S$20,0))),0)</f>
        <v>0</v>
      </c>
      <c r="E7154" s="312" t="str">
        <f t="shared" si="444"/>
        <v>HI</v>
      </c>
      <c r="F7154" s="369">
        <f>VLOOKUP(C7154,METADATA!$A$5:$H$29,IF(E7154="HI",2,IF(E7154="LO",6,10))+IF(D7154=1,2,IF(D7154=7,1,(IF(WEEKDAY(B7154)=1,2,IF(WEEKDAY(B7154)=7,1,0))))))</f>
        <v>3</v>
      </c>
      <c r="G7154" s="369">
        <f>VLOOKUP(C7154,METADATA!$J$5:$Q$29,IF(E7154="HI",2,IF(E7154="LO",6,10))+IF(D7154=1,2,IF(D7154=7,1,(IF(WEEKDAY(B7154)=1,2,IF(WEEKDAY(B7154)=7,1,0))))))</f>
        <v>3</v>
      </c>
      <c r="H7154" s="370">
        <v>13669.775207519531</v>
      </c>
      <c r="I7154" s="370">
        <v>4553.6950378417969</v>
      </c>
      <c r="M7154" s="371">
        <f t="shared" si="445"/>
        <v>14408.292498480889</v>
      </c>
      <c r="N7154" s="329">
        <f t="shared" si="446"/>
        <v>452.76247558593786</v>
      </c>
      <c r="T7154" s="331">
        <v>0</v>
      </c>
      <c r="U7154" s="328">
        <f>VLOOKUP(C7154,METADATA!$J$5:$Q$29,IF(E7154="HI",2,IF(E7154="LO",6,10))+IF(T7154=1,2,IF(D7154=7,1,(IF(WEEKDAY(B7154)=1,2,IF(WEEKDAY(B7154)=7,1,0))))))</f>
        <v>3</v>
      </c>
      <c r="V7154" s="328">
        <f>VLOOKUP(C7154,METADATA!$A$5:$H$29,IF(E7154="HI",2,IF(E7154="LO",6,10))+IF(T7154=1,2,IF(D7154=7,1,(IF(WEEKDAY(B7154)=1,2,IF(WEEKDAY(B7154)=7,1,0))))))</f>
        <v>3</v>
      </c>
    </row>
    <row r="7155" spans="2:22">
      <c r="B7155" s="318">
        <f t="shared" si="447"/>
        <v>46410</v>
      </c>
      <c r="C7155" s="312">
        <v>23</v>
      </c>
      <c r="D7155" s="368">
        <f>IFERROR((INDEX(METADATA!$T$2:$T$20,MATCH(B7155,METADATA!$S$2:$S$20,0))),0)</f>
        <v>0</v>
      </c>
      <c r="E7155" s="312" t="str">
        <f t="shared" si="444"/>
        <v>HI</v>
      </c>
      <c r="F7155" s="369">
        <f>VLOOKUP(C7155,METADATA!$A$5:$H$29,IF(E7155="HI",2,IF(E7155="LO",6,10))+IF(D7155=1,2,IF(D7155=7,1,(IF(WEEKDAY(B7155)=1,2,IF(WEEKDAY(B7155)=7,1,0))))))</f>
        <v>3</v>
      </c>
      <c r="G7155" s="369">
        <f>VLOOKUP(C7155,METADATA!$J$5:$Q$29,IF(E7155="HI",2,IF(E7155="LO",6,10))+IF(D7155=1,2,IF(D7155=7,1,(IF(WEEKDAY(B7155)=1,2,IF(WEEKDAY(B7155)=7,1,0))))))</f>
        <v>3</v>
      </c>
      <c r="H7155" s="370">
        <v>13820.424926757813</v>
      </c>
      <c r="I7155" s="370">
        <v>4682.9300231933594</v>
      </c>
      <c r="M7155" s="371">
        <f t="shared" si="445"/>
        <v>14592.257493557137</v>
      </c>
      <c r="N7155" s="329">
        <f t="shared" si="446"/>
        <v>536.80254516601599</v>
      </c>
      <c r="T7155" s="331">
        <v>0</v>
      </c>
      <c r="U7155" s="328">
        <f>VLOOKUP(C7155,METADATA!$J$5:$Q$29,IF(E7155="HI",2,IF(E7155="LO",6,10))+IF(T7155=1,2,IF(D7155=7,1,(IF(WEEKDAY(B7155)=1,2,IF(WEEKDAY(B7155)=7,1,0))))))</f>
        <v>3</v>
      </c>
      <c r="V7155" s="328">
        <f>VLOOKUP(C7155,METADATA!$A$5:$H$29,IF(E7155="HI",2,IF(E7155="LO",6,10))+IF(T7155=1,2,IF(D7155=7,1,(IF(WEEKDAY(B7155)=1,2,IF(WEEKDAY(B7155)=7,1,0))))))</f>
        <v>3</v>
      </c>
    </row>
    <row r="7156" spans="2:22">
      <c r="B7156" s="318">
        <f t="shared" si="447"/>
        <v>46411</v>
      </c>
      <c r="C7156" s="312">
        <v>0</v>
      </c>
      <c r="D7156" s="368">
        <f>IFERROR((INDEX(METADATA!$T$2:$T$20,MATCH(B7156,METADATA!$S$2:$S$20,0))),0)</f>
        <v>0</v>
      </c>
      <c r="E7156" s="312" t="str">
        <f t="shared" si="444"/>
        <v>HI</v>
      </c>
      <c r="F7156" s="369">
        <f>VLOOKUP(C7156,METADATA!$A$5:$H$29,IF(E7156="HI",2,IF(E7156="LO",6,10))+IF(D7156=1,2,IF(D7156=7,1,(IF(WEEKDAY(B7156)=1,2,IF(WEEKDAY(B7156)=7,1,0))))))</f>
        <v>3</v>
      </c>
      <c r="G7156" s="369">
        <f>VLOOKUP(C7156,METADATA!$J$5:$Q$29,IF(E7156="HI",2,IF(E7156="LO",6,10))+IF(D7156=1,2,IF(D7156=7,1,(IF(WEEKDAY(B7156)=1,2,IF(WEEKDAY(B7156)=7,1,0))))))</f>
        <v>3</v>
      </c>
      <c r="H7156" s="370">
        <v>13707.7001953125</v>
      </c>
      <c r="I7156" s="370">
        <v>4675.7399597167969</v>
      </c>
      <c r="M7156" s="371">
        <f t="shared" si="445"/>
        <v>14483.217488371249</v>
      </c>
      <c r="N7156" s="329">
        <f t="shared" si="446"/>
        <v>563.42990112304688</v>
      </c>
      <c r="T7156" s="331">
        <v>0</v>
      </c>
      <c r="U7156" s="328">
        <f>VLOOKUP(C7156,METADATA!$J$5:$Q$29,IF(E7156="HI",2,IF(E7156="LO",6,10))+IF(T7156=1,2,IF(D7156=7,1,(IF(WEEKDAY(B7156)=1,2,IF(WEEKDAY(B7156)=7,1,0))))))</f>
        <v>3</v>
      </c>
      <c r="V7156" s="328">
        <f>VLOOKUP(C7156,METADATA!$A$5:$H$29,IF(E7156="HI",2,IF(E7156="LO",6,10))+IF(T7156=1,2,IF(D7156=7,1,(IF(WEEKDAY(B7156)=1,2,IF(WEEKDAY(B7156)=7,1,0))))))</f>
        <v>3</v>
      </c>
    </row>
    <row r="7157" spans="2:22">
      <c r="B7157" s="318">
        <f t="shared" si="447"/>
        <v>46411</v>
      </c>
      <c r="C7157" s="312">
        <v>1</v>
      </c>
      <c r="D7157" s="368">
        <f>IFERROR((INDEX(METADATA!$T$2:$T$20,MATCH(B7157,METADATA!$S$2:$S$20,0))),0)</f>
        <v>0</v>
      </c>
      <c r="E7157" s="312" t="str">
        <f t="shared" si="444"/>
        <v>HI</v>
      </c>
      <c r="F7157" s="369">
        <f>VLOOKUP(C7157,METADATA!$A$5:$H$29,IF(E7157="HI",2,IF(E7157="LO",6,10))+IF(D7157=1,2,IF(D7157=7,1,(IF(WEEKDAY(B7157)=1,2,IF(WEEKDAY(B7157)=7,1,0))))))</f>
        <v>3</v>
      </c>
      <c r="G7157" s="369">
        <f>VLOOKUP(C7157,METADATA!$J$5:$Q$29,IF(E7157="HI",2,IF(E7157="LO",6,10))+IF(D7157=1,2,IF(D7157=7,1,(IF(WEEKDAY(B7157)=1,2,IF(WEEKDAY(B7157)=7,1,0))))))</f>
        <v>3</v>
      </c>
      <c r="H7157" s="370">
        <v>13788.344604492188</v>
      </c>
      <c r="I7157" s="370">
        <v>4729.0374755859375</v>
      </c>
      <c r="M7157" s="371">
        <f t="shared" si="445"/>
        <v>14576.770642969073</v>
      </c>
      <c r="N7157" s="329">
        <f t="shared" si="446"/>
        <v>592.5340942382818</v>
      </c>
      <c r="T7157" s="331">
        <v>0</v>
      </c>
      <c r="U7157" s="328">
        <f>VLOOKUP(C7157,METADATA!$J$5:$Q$29,IF(E7157="HI",2,IF(E7157="LO",6,10))+IF(T7157=1,2,IF(D7157=7,1,(IF(WEEKDAY(B7157)=1,2,IF(WEEKDAY(B7157)=7,1,0))))))</f>
        <v>3</v>
      </c>
      <c r="V7157" s="328">
        <f>VLOOKUP(C7157,METADATA!$A$5:$H$29,IF(E7157="HI",2,IF(E7157="LO",6,10))+IF(T7157=1,2,IF(D7157=7,1,(IF(WEEKDAY(B7157)=1,2,IF(WEEKDAY(B7157)=7,1,0))))))</f>
        <v>3</v>
      </c>
    </row>
    <row r="7158" spans="2:22">
      <c r="B7158" s="318">
        <f t="shared" si="447"/>
        <v>46411</v>
      </c>
      <c r="C7158" s="312">
        <v>2</v>
      </c>
      <c r="D7158" s="368">
        <f>IFERROR((INDEX(METADATA!$T$2:$T$20,MATCH(B7158,METADATA!$S$2:$S$20,0))),0)</f>
        <v>0</v>
      </c>
      <c r="E7158" s="312" t="str">
        <f t="shared" si="444"/>
        <v>HI</v>
      </c>
      <c r="F7158" s="369">
        <f>VLOOKUP(C7158,METADATA!$A$5:$H$29,IF(E7158="HI",2,IF(E7158="LO",6,10))+IF(D7158=1,2,IF(D7158=7,1,(IF(WEEKDAY(B7158)=1,2,IF(WEEKDAY(B7158)=7,1,0))))))</f>
        <v>3</v>
      </c>
      <c r="G7158" s="369">
        <f>VLOOKUP(C7158,METADATA!$J$5:$Q$29,IF(E7158="HI",2,IF(E7158="LO",6,10))+IF(D7158=1,2,IF(D7158=7,1,(IF(WEEKDAY(B7158)=1,2,IF(WEEKDAY(B7158)=7,1,0))))))</f>
        <v>3</v>
      </c>
      <c r="H7158" s="370">
        <v>13809.475219726563</v>
      </c>
      <c r="I7158" s="370">
        <v>4653.9300231933594</v>
      </c>
      <c r="M7158" s="371">
        <f t="shared" si="445"/>
        <v>14572.599991251476</v>
      </c>
      <c r="N7158" s="329">
        <f t="shared" si="446"/>
        <v>511.08745727539099</v>
      </c>
      <c r="T7158" s="331">
        <v>0</v>
      </c>
      <c r="U7158" s="328">
        <f>VLOOKUP(C7158,METADATA!$J$5:$Q$29,IF(E7158="HI",2,IF(E7158="LO",6,10))+IF(T7158=1,2,IF(D7158=7,1,(IF(WEEKDAY(B7158)=1,2,IF(WEEKDAY(B7158)=7,1,0))))))</f>
        <v>3</v>
      </c>
      <c r="V7158" s="328">
        <f>VLOOKUP(C7158,METADATA!$A$5:$H$29,IF(E7158="HI",2,IF(E7158="LO",6,10))+IF(T7158=1,2,IF(D7158=7,1,(IF(WEEKDAY(B7158)=1,2,IF(WEEKDAY(B7158)=7,1,0))))))</f>
        <v>3</v>
      </c>
    </row>
    <row r="7159" spans="2:22">
      <c r="B7159" s="318">
        <f t="shared" si="447"/>
        <v>46411</v>
      </c>
      <c r="C7159" s="312">
        <v>3</v>
      </c>
      <c r="D7159" s="368">
        <f>IFERROR((INDEX(METADATA!$T$2:$T$20,MATCH(B7159,METADATA!$S$2:$S$20,0))),0)</f>
        <v>0</v>
      </c>
      <c r="E7159" s="312" t="str">
        <f t="shared" si="444"/>
        <v>HI</v>
      </c>
      <c r="F7159" s="369">
        <f>VLOOKUP(C7159,METADATA!$A$5:$H$29,IF(E7159="HI",2,IF(E7159="LO",6,10))+IF(D7159=1,2,IF(D7159=7,1,(IF(WEEKDAY(B7159)=1,2,IF(WEEKDAY(B7159)=7,1,0))))))</f>
        <v>3</v>
      </c>
      <c r="G7159" s="369">
        <f>VLOOKUP(C7159,METADATA!$J$5:$Q$29,IF(E7159="HI",2,IF(E7159="LO",6,10))+IF(D7159=1,2,IF(D7159=7,1,(IF(WEEKDAY(B7159)=1,2,IF(WEEKDAY(B7159)=7,1,0))))))</f>
        <v>3</v>
      </c>
      <c r="H7159" s="370">
        <v>13574.274719238281</v>
      </c>
      <c r="I7159" s="370">
        <v>4399.3600463867188</v>
      </c>
      <c r="M7159" s="371">
        <f t="shared" si="445"/>
        <v>14269.383412435705</v>
      </c>
      <c r="N7159" s="329">
        <f t="shared" si="446"/>
        <v>327.07763061523474</v>
      </c>
      <c r="T7159" s="331">
        <v>0</v>
      </c>
      <c r="U7159" s="328">
        <f>VLOOKUP(C7159,METADATA!$J$5:$Q$29,IF(E7159="HI",2,IF(E7159="LO",6,10))+IF(T7159=1,2,IF(D7159=7,1,(IF(WEEKDAY(B7159)=1,2,IF(WEEKDAY(B7159)=7,1,0))))))</f>
        <v>3</v>
      </c>
      <c r="V7159" s="328">
        <f>VLOOKUP(C7159,METADATA!$A$5:$H$29,IF(E7159="HI",2,IF(E7159="LO",6,10))+IF(T7159=1,2,IF(D7159=7,1,(IF(WEEKDAY(B7159)=1,2,IF(WEEKDAY(B7159)=7,1,0))))))</f>
        <v>3</v>
      </c>
    </row>
    <row r="7160" spans="2:22">
      <c r="B7160" s="318">
        <f t="shared" si="447"/>
        <v>46411</v>
      </c>
      <c r="C7160" s="312">
        <v>4</v>
      </c>
      <c r="D7160" s="368">
        <f>IFERROR((INDEX(METADATA!$T$2:$T$20,MATCH(B7160,METADATA!$S$2:$S$20,0))),0)</f>
        <v>0</v>
      </c>
      <c r="E7160" s="312" t="str">
        <f t="shared" si="444"/>
        <v>HI</v>
      </c>
      <c r="F7160" s="369">
        <f>VLOOKUP(C7160,METADATA!$A$5:$H$29,IF(E7160="HI",2,IF(E7160="LO",6,10))+IF(D7160=1,2,IF(D7160=7,1,(IF(WEEKDAY(B7160)=1,2,IF(WEEKDAY(B7160)=7,1,0))))))</f>
        <v>3</v>
      </c>
      <c r="G7160" s="369">
        <f>VLOOKUP(C7160,METADATA!$J$5:$Q$29,IF(E7160="HI",2,IF(E7160="LO",6,10))+IF(D7160=1,2,IF(D7160=7,1,(IF(WEEKDAY(B7160)=1,2,IF(WEEKDAY(B7160)=7,1,0))))))</f>
        <v>3</v>
      </c>
      <c r="H7160" s="370">
        <v>13573.499816894531</v>
      </c>
      <c r="I7160" s="370">
        <v>4302.0300903320313</v>
      </c>
      <c r="M7160" s="371">
        <f t="shared" si="445"/>
        <v>14238.938168885983</v>
      </c>
      <c r="N7160" s="329">
        <f t="shared" si="446"/>
        <v>229.98014526367206</v>
      </c>
      <c r="T7160" s="331">
        <v>0</v>
      </c>
      <c r="U7160" s="328">
        <f>VLOOKUP(C7160,METADATA!$J$5:$Q$29,IF(E7160="HI",2,IF(E7160="LO",6,10))+IF(T7160=1,2,IF(D7160=7,1,(IF(WEEKDAY(B7160)=1,2,IF(WEEKDAY(B7160)=7,1,0))))))</f>
        <v>3</v>
      </c>
      <c r="V7160" s="328">
        <f>VLOOKUP(C7160,METADATA!$A$5:$H$29,IF(E7160="HI",2,IF(E7160="LO",6,10))+IF(T7160=1,2,IF(D7160=7,1,(IF(WEEKDAY(B7160)=1,2,IF(WEEKDAY(B7160)=7,1,0))))))</f>
        <v>3</v>
      </c>
    </row>
    <row r="7161" spans="2:22">
      <c r="B7161" s="318">
        <f t="shared" si="447"/>
        <v>46411</v>
      </c>
      <c r="C7161" s="312">
        <v>5</v>
      </c>
      <c r="D7161" s="368">
        <f>IFERROR((INDEX(METADATA!$T$2:$T$20,MATCH(B7161,METADATA!$S$2:$S$20,0))),0)</f>
        <v>0</v>
      </c>
      <c r="E7161" s="312" t="str">
        <f t="shared" si="444"/>
        <v>HI</v>
      </c>
      <c r="F7161" s="369">
        <f>VLOOKUP(C7161,METADATA!$A$5:$H$29,IF(E7161="HI",2,IF(E7161="LO",6,10))+IF(D7161=1,2,IF(D7161=7,1,(IF(WEEKDAY(B7161)=1,2,IF(WEEKDAY(B7161)=7,1,0))))))</f>
        <v>3</v>
      </c>
      <c r="G7161" s="369">
        <f>VLOOKUP(C7161,METADATA!$J$5:$Q$29,IF(E7161="HI",2,IF(E7161="LO",6,10))+IF(D7161=1,2,IF(D7161=7,1,(IF(WEEKDAY(B7161)=1,2,IF(WEEKDAY(B7161)=7,1,0))))))</f>
        <v>3</v>
      </c>
      <c r="H7161" s="370">
        <v>13623.899658203125</v>
      </c>
      <c r="I7161" s="370">
        <v>4205.3649597167969</v>
      </c>
      <c r="M7161" s="371">
        <f t="shared" si="445"/>
        <v>14258.181382672934</v>
      </c>
      <c r="N7161" s="329">
        <f t="shared" si="446"/>
        <v>118.19506225585974</v>
      </c>
      <c r="T7161" s="331">
        <v>0</v>
      </c>
      <c r="U7161" s="328">
        <f>VLOOKUP(C7161,METADATA!$J$5:$Q$29,IF(E7161="HI",2,IF(E7161="LO",6,10))+IF(T7161=1,2,IF(D7161=7,1,(IF(WEEKDAY(B7161)=1,2,IF(WEEKDAY(B7161)=7,1,0))))))</f>
        <v>3</v>
      </c>
      <c r="V7161" s="328">
        <f>VLOOKUP(C7161,METADATA!$A$5:$H$29,IF(E7161="HI",2,IF(E7161="LO",6,10))+IF(T7161=1,2,IF(D7161=7,1,(IF(WEEKDAY(B7161)=1,2,IF(WEEKDAY(B7161)=7,1,0))))))</f>
        <v>3</v>
      </c>
    </row>
    <row r="7162" spans="2:22">
      <c r="B7162" s="318">
        <f t="shared" si="447"/>
        <v>46411</v>
      </c>
      <c r="C7162" s="312">
        <v>6</v>
      </c>
      <c r="D7162" s="368">
        <f>IFERROR((INDEX(METADATA!$T$2:$T$20,MATCH(B7162,METADATA!$S$2:$S$20,0))),0)</f>
        <v>0</v>
      </c>
      <c r="E7162" s="312" t="str">
        <f t="shared" si="444"/>
        <v>HI</v>
      </c>
      <c r="F7162" s="369">
        <f>VLOOKUP(C7162,METADATA!$A$5:$H$29,IF(E7162="HI",2,IF(E7162="LO",6,10))+IF(D7162=1,2,IF(D7162=7,1,(IF(WEEKDAY(B7162)=1,2,IF(WEEKDAY(B7162)=7,1,0))))))</f>
        <v>3</v>
      </c>
      <c r="G7162" s="369">
        <f>VLOOKUP(C7162,METADATA!$J$5:$Q$29,IF(E7162="HI",2,IF(E7162="LO",6,10))+IF(D7162=1,2,IF(D7162=7,1,(IF(WEEKDAY(B7162)=1,2,IF(WEEKDAY(B7162)=7,1,0))))))</f>
        <v>3</v>
      </c>
      <c r="H7162" s="370">
        <v>13607.499877929688</v>
      </c>
      <c r="I7162" s="370">
        <v>4384.1249389648438</v>
      </c>
      <c r="M7162" s="371">
        <f t="shared" si="445"/>
        <v>14296.314364489539</v>
      </c>
      <c r="N7162" s="329">
        <f t="shared" si="446"/>
        <v>301.87497558593759</v>
      </c>
      <c r="T7162" s="331">
        <v>0</v>
      </c>
      <c r="U7162" s="328">
        <f>VLOOKUP(C7162,METADATA!$J$5:$Q$29,IF(E7162="HI",2,IF(E7162="LO",6,10))+IF(T7162=1,2,IF(D7162=7,1,(IF(WEEKDAY(B7162)=1,2,IF(WEEKDAY(B7162)=7,1,0))))))</f>
        <v>3</v>
      </c>
      <c r="V7162" s="328">
        <f>VLOOKUP(C7162,METADATA!$A$5:$H$29,IF(E7162="HI",2,IF(E7162="LO",6,10))+IF(T7162=1,2,IF(D7162=7,1,(IF(WEEKDAY(B7162)=1,2,IF(WEEKDAY(B7162)=7,1,0))))))</f>
        <v>3</v>
      </c>
    </row>
    <row r="7163" spans="2:22">
      <c r="B7163" s="318">
        <f t="shared" si="447"/>
        <v>46411</v>
      </c>
      <c r="C7163" s="312">
        <v>7</v>
      </c>
      <c r="D7163" s="368">
        <f>IFERROR((INDEX(METADATA!$T$2:$T$20,MATCH(B7163,METADATA!$S$2:$S$20,0))),0)</f>
        <v>0</v>
      </c>
      <c r="E7163" s="312" t="str">
        <f t="shared" si="444"/>
        <v>HI</v>
      </c>
      <c r="F7163" s="369">
        <f>VLOOKUP(C7163,METADATA!$A$5:$H$29,IF(E7163="HI",2,IF(E7163="LO",6,10))+IF(D7163=1,2,IF(D7163=7,1,(IF(WEEKDAY(B7163)=1,2,IF(WEEKDAY(B7163)=7,1,0))))))</f>
        <v>3</v>
      </c>
      <c r="G7163" s="369">
        <f>VLOOKUP(C7163,METADATA!$J$5:$Q$29,IF(E7163="HI",2,IF(E7163="LO",6,10))+IF(D7163=1,2,IF(D7163=7,1,(IF(WEEKDAY(B7163)=1,2,IF(WEEKDAY(B7163)=7,1,0))))))</f>
        <v>3</v>
      </c>
      <c r="H7163" s="370">
        <v>13757.925048828125</v>
      </c>
      <c r="I7163" s="370">
        <v>4459.5950622558594</v>
      </c>
      <c r="M7163" s="371">
        <f t="shared" si="445"/>
        <v>14462.658461308876</v>
      </c>
      <c r="N7163" s="329">
        <f t="shared" si="446"/>
        <v>332.21754760742169</v>
      </c>
      <c r="T7163" s="331">
        <v>0</v>
      </c>
      <c r="U7163" s="328">
        <f>VLOOKUP(C7163,METADATA!$J$5:$Q$29,IF(E7163="HI",2,IF(E7163="LO",6,10))+IF(T7163=1,2,IF(D7163=7,1,(IF(WEEKDAY(B7163)=1,2,IF(WEEKDAY(B7163)=7,1,0))))))</f>
        <v>3</v>
      </c>
      <c r="V7163" s="328">
        <f>VLOOKUP(C7163,METADATA!$A$5:$H$29,IF(E7163="HI",2,IF(E7163="LO",6,10))+IF(T7163=1,2,IF(D7163=7,1,(IF(WEEKDAY(B7163)=1,2,IF(WEEKDAY(B7163)=7,1,0))))))</f>
        <v>3</v>
      </c>
    </row>
    <row r="7164" spans="2:22">
      <c r="B7164" s="318">
        <f t="shared" si="447"/>
        <v>46411</v>
      </c>
      <c r="C7164" s="312">
        <v>8</v>
      </c>
      <c r="D7164" s="368">
        <f>IFERROR((INDEX(METADATA!$T$2:$T$20,MATCH(B7164,METADATA!$S$2:$S$20,0))),0)</f>
        <v>0</v>
      </c>
      <c r="E7164" s="312" t="str">
        <f t="shared" si="444"/>
        <v>HI</v>
      </c>
      <c r="F7164" s="369">
        <f>VLOOKUP(C7164,METADATA!$A$5:$H$29,IF(E7164="HI",2,IF(E7164="LO",6,10))+IF(D7164=1,2,IF(D7164=7,1,(IF(WEEKDAY(B7164)=1,2,IF(WEEKDAY(B7164)=7,1,0))))))</f>
        <v>3</v>
      </c>
      <c r="G7164" s="369">
        <f>VLOOKUP(C7164,METADATA!$J$5:$Q$29,IF(E7164="HI",2,IF(E7164="LO",6,10))+IF(D7164=1,2,IF(D7164=7,1,(IF(WEEKDAY(B7164)=1,2,IF(WEEKDAY(B7164)=7,1,0))))))</f>
        <v>3</v>
      </c>
      <c r="H7164" s="370">
        <v>13870.074890136719</v>
      </c>
      <c r="I7164" s="370">
        <v>4531.8799438476563</v>
      </c>
      <c r="M7164" s="371">
        <f t="shared" si="445"/>
        <v>14591.672737676436</v>
      </c>
      <c r="N7164" s="329">
        <f t="shared" si="446"/>
        <v>370.85747680664099</v>
      </c>
      <c r="T7164" s="331">
        <v>0</v>
      </c>
      <c r="U7164" s="328">
        <f>VLOOKUP(C7164,METADATA!$J$5:$Q$29,IF(E7164="HI",2,IF(E7164="LO",6,10))+IF(T7164=1,2,IF(D7164=7,1,(IF(WEEKDAY(B7164)=1,2,IF(WEEKDAY(B7164)=7,1,0))))))</f>
        <v>3</v>
      </c>
      <c r="V7164" s="328">
        <f>VLOOKUP(C7164,METADATA!$A$5:$H$29,IF(E7164="HI",2,IF(E7164="LO",6,10))+IF(T7164=1,2,IF(D7164=7,1,(IF(WEEKDAY(B7164)=1,2,IF(WEEKDAY(B7164)=7,1,0))))))</f>
        <v>3</v>
      </c>
    </row>
    <row r="7165" spans="2:22">
      <c r="B7165" s="318">
        <f t="shared" si="447"/>
        <v>46411</v>
      </c>
      <c r="C7165" s="312">
        <v>9</v>
      </c>
      <c r="D7165" s="368">
        <f>IFERROR((INDEX(METADATA!$T$2:$T$20,MATCH(B7165,METADATA!$S$2:$S$20,0))),0)</f>
        <v>0</v>
      </c>
      <c r="E7165" s="312" t="str">
        <f t="shared" si="444"/>
        <v>HI</v>
      </c>
      <c r="F7165" s="369">
        <f>VLOOKUP(C7165,METADATA!$A$5:$H$29,IF(E7165="HI",2,IF(E7165="LO",6,10))+IF(D7165=1,2,IF(D7165=7,1,(IF(WEEKDAY(B7165)=1,2,IF(WEEKDAY(B7165)=7,1,0))))))</f>
        <v>3</v>
      </c>
      <c r="G7165" s="369">
        <f>VLOOKUP(C7165,METADATA!$J$5:$Q$29,IF(E7165="HI",2,IF(E7165="LO",6,10))+IF(D7165=1,2,IF(D7165=7,1,(IF(WEEKDAY(B7165)=1,2,IF(WEEKDAY(B7165)=7,1,0))))))</f>
        <v>3</v>
      </c>
      <c r="H7165" s="370">
        <v>13813.224853515625</v>
      </c>
      <c r="I7165" s="370">
        <v>4537.7649230957031</v>
      </c>
      <c r="M7165" s="371">
        <f t="shared" si="445"/>
        <v>14539.480436076783</v>
      </c>
      <c r="N7165" s="329">
        <f t="shared" si="446"/>
        <v>393.79746704101581</v>
      </c>
      <c r="T7165" s="331">
        <v>0</v>
      </c>
      <c r="U7165" s="328">
        <f>VLOOKUP(C7165,METADATA!$J$5:$Q$29,IF(E7165="HI",2,IF(E7165="LO",6,10))+IF(T7165=1,2,IF(D7165=7,1,(IF(WEEKDAY(B7165)=1,2,IF(WEEKDAY(B7165)=7,1,0))))))</f>
        <v>3</v>
      </c>
      <c r="V7165" s="328">
        <f>VLOOKUP(C7165,METADATA!$A$5:$H$29,IF(E7165="HI",2,IF(E7165="LO",6,10))+IF(T7165=1,2,IF(D7165=7,1,(IF(WEEKDAY(B7165)=1,2,IF(WEEKDAY(B7165)=7,1,0))))))</f>
        <v>3</v>
      </c>
    </row>
    <row r="7166" spans="2:22">
      <c r="B7166" s="318">
        <f t="shared" si="447"/>
        <v>46411</v>
      </c>
      <c r="C7166" s="312">
        <v>10</v>
      </c>
      <c r="D7166" s="368">
        <f>IFERROR((INDEX(METADATA!$T$2:$T$20,MATCH(B7166,METADATA!$S$2:$S$20,0))),0)</f>
        <v>0</v>
      </c>
      <c r="E7166" s="312" t="str">
        <f t="shared" si="444"/>
        <v>HI</v>
      </c>
      <c r="F7166" s="369">
        <f>VLOOKUP(C7166,METADATA!$A$5:$H$29,IF(E7166="HI",2,IF(E7166="LO",6,10))+IF(D7166=1,2,IF(D7166=7,1,(IF(WEEKDAY(B7166)=1,2,IF(WEEKDAY(B7166)=7,1,0))))))</f>
        <v>3</v>
      </c>
      <c r="G7166" s="369">
        <f>VLOOKUP(C7166,METADATA!$J$5:$Q$29,IF(E7166="HI",2,IF(E7166="LO",6,10))+IF(D7166=1,2,IF(D7166=7,1,(IF(WEEKDAY(B7166)=1,2,IF(WEEKDAY(B7166)=7,1,0))))))</f>
        <v>3</v>
      </c>
      <c r="H7166" s="370">
        <v>13898.85009765625</v>
      </c>
      <c r="I7166" s="370">
        <v>4570.1099853515625</v>
      </c>
      <c r="M7166" s="371">
        <f t="shared" si="445"/>
        <v>14630.924075919784</v>
      </c>
      <c r="N7166" s="329">
        <f t="shared" si="446"/>
        <v>400.4549560546875</v>
      </c>
      <c r="T7166" s="331">
        <v>0</v>
      </c>
      <c r="U7166" s="328">
        <f>VLOOKUP(C7166,METADATA!$J$5:$Q$29,IF(E7166="HI",2,IF(E7166="LO",6,10))+IF(T7166=1,2,IF(D7166=7,1,(IF(WEEKDAY(B7166)=1,2,IF(WEEKDAY(B7166)=7,1,0))))))</f>
        <v>3</v>
      </c>
      <c r="V7166" s="328">
        <f>VLOOKUP(C7166,METADATA!$A$5:$H$29,IF(E7166="HI",2,IF(E7166="LO",6,10))+IF(T7166=1,2,IF(D7166=7,1,(IF(WEEKDAY(B7166)=1,2,IF(WEEKDAY(B7166)=7,1,0))))))</f>
        <v>3</v>
      </c>
    </row>
    <row r="7167" spans="2:22">
      <c r="B7167" s="318">
        <f t="shared" si="447"/>
        <v>46411</v>
      </c>
      <c r="C7167" s="312">
        <v>11</v>
      </c>
      <c r="D7167" s="368">
        <f>IFERROR((INDEX(METADATA!$T$2:$T$20,MATCH(B7167,METADATA!$S$2:$S$20,0))),0)</f>
        <v>0</v>
      </c>
      <c r="E7167" s="312" t="str">
        <f t="shared" si="444"/>
        <v>HI</v>
      </c>
      <c r="F7167" s="369">
        <f>VLOOKUP(C7167,METADATA!$A$5:$H$29,IF(E7167="HI",2,IF(E7167="LO",6,10))+IF(D7167=1,2,IF(D7167=7,1,(IF(WEEKDAY(B7167)=1,2,IF(WEEKDAY(B7167)=7,1,0))))))</f>
        <v>3</v>
      </c>
      <c r="G7167" s="369">
        <f>VLOOKUP(C7167,METADATA!$J$5:$Q$29,IF(E7167="HI",2,IF(E7167="LO",6,10))+IF(D7167=1,2,IF(D7167=7,1,(IF(WEEKDAY(B7167)=1,2,IF(WEEKDAY(B7167)=7,1,0))))))</f>
        <v>3</v>
      </c>
      <c r="H7167" s="370">
        <v>13780.549987792969</v>
      </c>
      <c r="I7167" s="370">
        <v>4388.1549682617188</v>
      </c>
      <c r="M7167" s="371">
        <f t="shared" si="445"/>
        <v>14462.3463515275</v>
      </c>
      <c r="N7167" s="329">
        <f t="shared" si="446"/>
        <v>253.98997192382831</v>
      </c>
      <c r="T7167" s="331">
        <v>0</v>
      </c>
      <c r="U7167" s="328">
        <f>VLOOKUP(C7167,METADATA!$J$5:$Q$29,IF(E7167="HI",2,IF(E7167="LO",6,10))+IF(T7167=1,2,IF(D7167=7,1,(IF(WEEKDAY(B7167)=1,2,IF(WEEKDAY(B7167)=7,1,0))))))</f>
        <v>3</v>
      </c>
      <c r="V7167" s="328">
        <f>VLOOKUP(C7167,METADATA!$A$5:$H$29,IF(E7167="HI",2,IF(E7167="LO",6,10))+IF(T7167=1,2,IF(D7167=7,1,(IF(WEEKDAY(B7167)=1,2,IF(WEEKDAY(B7167)=7,1,0))))))</f>
        <v>3</v>
      </c>
    </row>
    <row r="7168" spans="2:22">
      <c r="B7168" s="318">
        <f t="shared" si="447"/>
        <v>46411</v>
      </c>
      <c r="C7168" s="312">
        <v>12</v>
      </c>
      <c r="D7168" s="368">
        <f>IFERROR((INDEX(METADATA!$T$2:$T$20,MATCH(B7168,METADATA!$S$2:$S$20,0))),0)</f>
        <v>0</v>
      </c>
      <c r="E7168" s="312" t="str">
        <f t="shared" si="444"/>
        <v>HI</v>
      </c>
      <c r="F7168" s="369">
        <f>VLOOKUP(C7168,METADATA!$A$5:$H$29,IF(E7168="HI",2,IF(E7168="LO",6,10))+IF(D7168=1,2,IF(D7168=7,1,(IF(WEEKDAY(B7168)=1,2,IF(WEEKDAY(B7168)=7,1,0))))))</f>
        <v>3</v>
      </c>
      <c r="G7168" s="369">
        <f>VLOOKUP(C7168,METADATA!$J$5:$Q$29,IF(E7168="HI",2,IF(E7168="LO",6,10))+IF(D7168=1,2,IF(D7168=7,1,(IF(WEEKDAY(B7168)=1,2,IF(WEEKDAY(B7168)=7,1,0))))))</f>
        <v>3</v>
      </c>
      <c r="H7168" s="370">
        <v>13804.499938964844</v>
      </c>
      <c r="I7168" s="370">
        <v>4456.2949523925781</v>
      </c>
      <c r="M7168" s="371">
        <f t="shared" si="445"/>
        <v>14505.95682013427</v>
      </c>
      <c r="N7168" s="329">
        <f t="shared" si="446"/>
        <v>314.94497070312536</v>
      </c>
      <c r="T7168" s="331">
        <v>0</v>
      </c>
      <c r="U7168" s="328">
        <f>VLOOKUP(C7168,METADATA!$J$5:$Q$29,IF(E7168="HI",2,IF(E7168="LO",6,10))+IF(T7168=1,2,IF(D7168=7,1,(IF(WEEKDAY(B7168)=1,2,IF(WEEKDAY(B7168)=7,1,0))))))</f>
        <v>3</v>
      </c>
      <c r="V7168" s="328">
        <f>VLOOKUP(C7168,METADATA!$A$5:$H$29,IF(E7168="HI",2,IF(E7168="LO",6,10))+IF(T7168=1,2,IF(D7168=7,1,(IF(WEEKDAY(B7168)=1,2,IF(WEEKDAY(B7168)=7,1,0))))))</f>
        <v>3</v>
      </c>
    </row>
    <row r="7169" spans="2:22">
      <c r="B7169" s="318">
        <f t="shared" si="447"/>
        <v>46411</v>
      </c>
      <c r="C7169" s="312">
        <v>13</v>
      </c>
      <c r="D7169" s="368">
        <f>IFERROR((INDEX(METADATA!$T$2:$T$20,MATCH(B7169,METADATA!$S$2:$S$20,0))),0)</f>
        <v>0</v>
      </c>
      <c r="E7169" s="312" t="str">
        <f t="shared" si="444"/>
        <v>HI</v>
      </c>
      <c r="F7169" s="369">
        <f>VLOOKUP(C7169,METADATA!$A$5:$H$29,IF(E7169="HI",2,IF(E7169="LO",6,10))+IF(D7169=1,2,IF(D7169=7,1,(IF(WEEKDAY(B7169)=1,2,IF(WEEKDAY(B7169)=7,1,0))))))</f>
        <v>3</v>
      </c>
      <c r="G7169" s="369">
        <f>VLOOKUP(C7169,METADATA!$J$5:$Q$29,IF(E7169="HI",2,IF(E7169="LO",6,10))+IF(D7169=1,2,IF(D7169=7,1,(IF(WEEKDAY(B7169)=1,2,IF(WEEKDAY(B7169)=7,1,0))))))</f>
        <v>3</v>
      </c>
      <c r="H7169" s="370">
        <v>13703.774658203125</v>
      </c>
      <c r="I7169" s="370">
        <v>4376.9400329589844</v>
      </c>
      <c r="M7169" s="371">
        <f t="shared" si="445"/>
        <v>14385.793128462858</v>
      </c>
      <c r="N7169" s="329">
        <f t="shared" si="446"/>
        <v>265.80763549804669</v>
      </c>
      <c r="T7169" s="331">
        <v>0</v>
      </c>
      <c r="U7169" s="328">
        <f>VLOOKUP(C7169,METADATA!$J$5:$Q$29,IF(E7169="HI",2,IF(E7169="LO",6,10))+IF(T7169=1,2,IF(D7169=7,1,(IF(WEEKDAY(B7169)=1,2,IF(WEEKDAY(B7169)=7,1,0))))))</f>
        <v>3</v>
      </c>
      <c r="V7169" s="328">
        <f>VLOOKUP(C7169,METADATA!$A$5:$H$29,IF(E7169="HI",2,IF(E7169="LO",6,10))+IF(T7169=1,2,IF(D7169=7,1,(IF(WEEKDAY(B7169)=1,2,IF(WEEKDAY(B7169)=7,1,0))))))</f>
        <v>3</v>
      </c>
    </row>
    <row r="7170" spans="2:22">
      <c r="B7170" s="318">
        <f t="shared" si="447"/>
        <v>46411</v>
      </c>
      <c r="C7170" s="312">
        <v>14</v>
      </c>
      <c r="D7170" s="368">
        <f>IFERROR((INDEX(METADATA!$T$2:$T$20,MATCH(B7170,METADATA!$S$2:$S$20,0))),0)</f>
        <v>0</v>
      </c>
      <c r="E7170" s="312" t="str">
        <f t="shared" si="444"/>
        <v>HI</v>
      </c>
      <c r="F7170" s="369">
        <f>VLOOKUP(C7170,METADATA!$A$5:$H$29,IF(E7170="HI",2,IF(E7170="LO",6,10))+IF(D7170=1,2,IF(D7170=7,1,(IF(WEEKDAY(B7170)=1,2,IF(WEEKDAY(B7170)=7,1,0))))))</f>
        <v>3</v>
      </c>
      <c r="G7170" s="369">
        <f>VLOOKUP(C7170,METADATA!$J$5:$Q$29,IF(E7170="HI",2,IF(E7170="LO",6,10))+IF(D7170=1,2,IF(D7170=7,1,(IF(WEEKDAY(B7170)=1,2,IF(WEEKDAY(B7170)=7,1,0))))))</f>
        <v>3</v>
      </c>
      <c r="H7170" s="370">
        <v>13678.275024414063</v>
      </c>
      <c r="I7170" s="370">
        <v>4353.0798950195313</v>
      </c>
      <c r="M7170" s="371">
        <f t="shared" si="445"/>
        <v>14354.250667169386</v>
      </c>
      <c r="N7170" s="329">
        <f t="shared" si="446"/>
        <v>249.59738769531305</v>
      </c>
      <c r="T7170" s="331">
        <v>0</v>
      </c>
      <c r="U7170" s="328">
        <f>VLOOKUP(C7170,METADATA!$J$5:$Q$29,IF(E7170="HI",2,IF(E7170="LO",6,10))+IF(T7170=1,2,IF(D7170=7,1,(IF(WEEKDAY(B7170)=1,2,IF(WEEKDAY(B7170)=7,1,0))))))</f>
        <v>3</v>
      </c>
      <c r="V7170" s="328">
        <f>VLOOKUP(C7170,METADATA!$A$5:$H$29,IF(E7170="HI",2,IF(E7170="LO",6,10))+IF(T7170=1,2,IF(D7170=7,1,(IF(WEEKDAY(B7170)=1,2,IF(WEEKDAY(B7170)=7,1,0))))))</f>
        <v>3</v>
      </c>
    </row>
    <row r="7171" spans="2:22">
      <c r="B7171" s="318">
        <f t="shared" si="447"/>
        <v>46411</v>
      </c>
      <c r="C7171" s="312">
        <v>15</v>
      </c>
      <c r="D7171" s="368">
        <f>IFERROR((INDEX(METADATA!$T$2:$T$20,MATCH(B7171,METADATA!$S$2:$S$20,0))),0)</f>
        <v>0</v>
      </c>
      <c r="E7171" s="312" t="str">
        <f t="shared" si="444"/>
        <v>HI</v>
      </c>
      <c r="F7171" s="369">
        <f>VLOOKUP(C7171,METADATA!$A$5:$H$29,IF(E7171="HI",2,IF(E7171="LO",6,10))+IF(D7171=1,2,IF(D7171=7,1,(IF(WEEKDAY(B7171)=1,2,IF(WEEKDAY(B7171)=7,1,0))))))</f>
        <v>3</v>
      </c>
      <c r="G7171" s="369">
        <f>VLOOKUP(C7171,METADATA!$J$5:$Q$29,IF(E7171="HI",2,IF(E7171="LO",6,10))+IF(D7171=1,2,IF(D7171=7,1,(IF(WEEKDAY(B7171)=1,2,IF(WEEKDAY(B7171)=7,1,0))))))</f>
        <v>3</v>
      </c>
      <c r="H7171" s="370">
        <v>13833.22509765625</v>
      </c>
      <c r="I7171" s="370">
        <v>4458.6150512695313</v>
      </c>
      <c r="M7171" s="371">
        <f t="shared" si="445"/>
        <v>14534.007182392403</v>
      </c>
      <c r="N7171" s="329">
        <f t="shared" si="446"/>
        <v>308.64752197265625</v>
      </c>
      <c r="T7171" s="331">
        <v>0</v>
      </c>
      <c r="U7171" s="328">
        <f>VLOOKUP(C7171,METADATA!$J$5:$Q$29,IF(E7171="HI",2,IF(E7171="LO",6,10))+IF(T7171=1,2,IF(D7171=7,1,(IF(WEEKDAY(B7171)=1,2,IF(WEEKDAY(B7171)=7,1,0))))))</f>
        <v>3</v>
      </c>
      <c r="V7171" s="328">
        <f>VLOOKUP(C7171,METADATA!$A$5:$H$29,IF(E7171="HI",2,IF(E7171="LO",6,10))+IF(T7171=1,2,IF(D7171=7,1,(IF(WEEKDAY(B7171)=1,2,IF(WEEKDAY(B7171)=7,1,0))))))</f>
        <v>3</v>
      </c>
    </row>
    <row r="7172" spans="2:22">
      <c r="B7172" s="318">
        <f t="shared" si="447"/>
        <v>46411</v>
      </c>
      <c r="C7172" s="312">
        <v>16</v>
      </c>
      <c r="D7172" s="368">
        <f>IFERROR((INDEX(METADATA!$T$2:$T$20,MATCH(B7172,METADATA!$S$2:$S$20,0))),0)</f>
        <v>0</v>
      </c>
      <c r="E7172" s="312" t="str">
        <f t="shared" ref="E7172:E7235" si="448">IF(B7172="","",IF(AND(MONTH(B7172)&gt;=MONTH($Z$9),MONTH(B7172)&lt;=MONTH($Z$11)),"HI","LO"))</f>
        <v>HI</v>
      </c>
      <c r="F7172" s="369">
        <f>VLOOKUP(C7172,METADATA!$A$5:$H$29,IF(E7172="HI",2,IF(E7172="LO",6,10))+IF(D7172=1,2,IF(D7172=7,1,(IF(WEEKDAY(B7172)=1,2,IF(WEEKDAY(B7172)=7,1,0))))))</f>
        <v>3</v>
      </c>
      <c r="G7172" s="369">
        <f>VLOOKUP(C7172,METADATA!$J$5:$Q$29,IF(E7172="HI",2,IF(E7172="LO",6,10))+IF(D7172=1,2,IF(D7172=7,1,(IF(WEEKDAY(B7172)=1,2,IF(WEEKDAY(B7172)=7,1,0))))))</f>
        <v>3</v>
      </c>
      <c r="H7172" s="370">
        <v>13841.299926757813</v>
      </c>
      <c r="I7172" s="370">
        <v>4581.3550720214844</v>
      </c>
      <c r="M7172" s="371">
        <f t="shared" ref="M7172:M7235" si="449">SQRT(H7172^2+I7172^2)</f>
        <v>14579.794167216585</v>
      </c>
      <c r="N7172" s="329">
        <f t="shared" ref="N7172:N7235" si="450">IF(H7172=0,0,(IF(I7172-(0.3*H7172)&lt;0,0,(I7172-(0.3*H7172)))))</f>
        <v>428.96509399414117</v>
      </c>
      <c r="T7172" s="331">
        <v>0</v>
      </c>
      <c r="U7172" s="328">
        <f>VLOOKUP(C7172,METADATA!$J$5:$Q$29,IF(E7172="HI",2,IF(E7172="LO",6,10))+IF(T7172=1,2,IF(D7172=7,1,(IF(WEEKDAY(B7172)=1,2,IF(WEEKDAY(B7172)=7,1,0))))))</f>
        <v>3</v>
      </c>
      <c r="V7172" s="328">
        <f>VLOOKUP(C7172,METADATA!$A$5:$H$29,IF(E7172="HI",2,IF(E7172="LO",6,10))+IF(T7172=1,2,IF(D7172=7,1,(IF(WEEKDAY(B7172)=1,2,IF(WEEKDAY(B7172)=7,1,0))))))</f>
        <v>3</v>
      </c>
    </row>
    <row r="7173" spans="2:22">
      <c r="B7173" s="318">
        <f t="shared" si="447"/>
        <v>46411</v>
      </c>
      <c r="C7173" s="312">
        <v>17</v>
      </c>
      <c r="D7173" s="368">
        <f>IFERROR((INDEX(METADATA!$T$2:$T$20,MATCH(B7173,METADATA!$S$2:$S$20,0))),0)</f>
        <v>0</v>
      </c>
      <c r="E7173" s="312" t="str">
        <f t="shared" si="448"/>
        <v>HI</v>
      </c>
      <c r="F7173" s="369">
        <f>VLOOKUP(C7173,METADATA!$A$5:$H$29,IF(E7173="HI",2,IF(E7173="LO",6,10))+IF(D7173=1,2,IF(D7173=7,1,(IF(WEEKDAY(B7173)=1,2,IF(WEEKDAY(B7173)=7,1,0))))))</f>
        <v>2</v>
      </c>
      <c r="G7173" s="369">
        <f>VLOOKUP(C7173,METADATA!$J$5:$Q$29,IF(E7173="HI",2,IF(E7173="LO",6,10))+IF(D7173=1,2,IF(D7173=7,1,(IF(WEEKDAY(B7173)=1,2,IF(WEEKDAY(B7173)=7,1,0))))))</f>
        <v>2</v>
      </c>
      <c r="H7173" s="370">
        <v>13768.650024414063</v>
      </c>
      <c r="I7173" s="370">
        <v>4687.3049926757813</v>
      </c>
      <c r="M7173" s="371">
        <f t="shared" si="449"/>
        <v>14544.639960795203</v>
      </c>
      <c r="N7173" s="329">
        <f t="shared" si="450"/>
        <v>556.70998535156286</v>
      </c>
      <c r="T7173" s="331">
        <v>0</v>
      </c>
      <c r="U7173" s="328">
        <f>VLOOKUP(C7173,METADATA!$J$5:$Q$29,IF(E7173="HI",2,IF(E7173="LO",6,10))+IF(T7173=1,2,IF(D7173=7,1,(IF(WEEKDAY(B7173)=1,2,IF(WEEKDAY(B7173)=7,1,0))))))</f>
        <v>2</v>
      </c>
      <c r="V7173" s="328">
        <f>VLOOKUP(C7173,METADATA!$A$5:$H$29,IF(E7173="HI",2,IF(E7173="LO",6,10))+IF(T7173=1,2,IF(D7173=7,1,(IF(WEEKDAY(B7173)=1,2,IF(WEEKDAY(B7173)=7,1,0))))))</f>
        <v>2</v>
      </c>
    </row>
    <row r="7174" spans="2:22">
      <c r="B7174" s="318">
        <f t="shared" si="447"/>
        <v>46411</v>
      </c>
      <c r="C7174" s="312">
        <v>18</v>
      </c>
      <c r="D7174" s="368">
        <f>IFERROR((INDEX(METADATA!$T$2:$T$20,MATCH(B7174,METADATA!$S$2:$S$20,0))),0)</f>
        <v>0</v>
      </c>
      <c r="E7174" s="312" t="str">
        <f t="shared" si="448"/>
        <v>HI</v>
      </c>
      <c r="F7174" s="369">
        <f>VLOOKUP(C7174,METADATA!$A$5:$H$29,IF(E7174="HI",2,IF(E7174="LO",6,10))+IF(D7174=1,2,IF(D7174=7,1,(IF(WEEKDAY(B7174)=1,2,IF(WEEKDAY(B7174)=7,1,0))))))</f>
        <v>2</v>
      </c>
      <c r="G7174" s="369">
        <f>VLOOKUP(C7174,METADATA!$J$5:$Q$29,IF(E7174="HI",2,IF(E7174="LO",6,10))+IF(D7174=1,2,IF(D7174=7,1,(IF(WEEKDAY(B7174)=1,2,IF(WEEKDAY(B7174)=7,1,0))))))</f>
        <v>2</v>
      </c>
      <c r="H7174" s="370">
        <v>13907.2001953125</v>
      </c>
      <c r="I7174" s="370">
        <v>4735.4049682617188</v>
      </c>
      <c r="M7174" s="371">
        <f t="shared" si="449"/>
        <v>14691.299380447525</v>
      </c>
      <c r="N7174" s="329">
        <f t="shared" si="450"/>
        <v>563.2449096679693</v>
      </c>
      <c r="T7174" s="331">
        <v>0</v>
      </c>
      <c r="U7174" s="328">
        <f>VLOOKUP(C7174,METADATA!$J$5:$Q$29,IF(E7174="HI",2,IF(E7174="LO",6,10))+IF(T7174=1,2,IF(D7174=7,1,(IF(WEEKDAY(B7174)=1,2,IF(WEEKDAY(B7174)=7,1,0))))))</f>
        <v>2</v>
      </c>
      <c r="V7174" s="328">
        <f>VLOOKUP(C7174,METADATA!$A$5:$H$29,IF(E7174="HI",2,IF(E7174="LO",6,10))+IF(T7174=1,2,IF(D7174=7,1,(IF(WEEKDAY(B7174)=1,2,IF(WEEKDAY(B7174)=7,1,0))))))</f>
        <v>2</v>
      </c>
    </row>
    <row r="7175" spans="2:22">
      <c r="B7175" s="318">
        <f t="shared" si="447"/>
        <v>46411</v>
      </c>
      <c r="C7175" s="312">
        <v>19</v>
      </c>
      <c r="D7175" s="368">
        <f>IFERROR((INDEX(METADATA!$T$2:$T$20,MATCH(B7175,METADATA!$S$2:$S$20,0))),0)</f>
        <v>0</v>
      </c>
      <c r="E7175" s="312" t="str">
        <f t="shared" si="448"/>
        <v>HI</v>
      </c>
      <c r="F7175" s="369">
        <f>VLOOKUP(C7175,METADATA!$A$5:$H$29,IF(E7175="HI",2,IF(E7175="LO",6,10))+IF(D7175=1,2,IF(D7175=7,1,(IF(WEEKDAY(B7175)=1,2,IF(WEEKDAY(B7175)=7,1,0))))))</f>
        <v>3</v>
      </c>
      <c r="G7175" s="369">
        <f>VLOOKUP(C7175,METADATA!$J$5:$Q$29,IF(E7175="HI",2,IF(E7175="LO",6,10))+IF(D7175=1,2,IF(D7175=7,1,(IF(WEEKDAY(B7175)=1,2,IF(WEEKDAY(B7175)=7,1,0))))))</f>
        <v>3</v>
      </c>
      <c r="H7175" s="370">
        <v>13780.350158691406</v>
      </c>
      <c r="I7175" s="370">
        <v>4648.6250610351563</v>
      </c>
      <c r="M7175" s="371">
        <f t="shared" si="449"/>
        <v>14543.306551614402</v>
      </c>
      <c r="N7175" s="329">
        <f t="shared" si="450"/>
        <v>514.52001342773474</v>
      </c>
      <c r="T7175" s="331">
        <v>0</v>
      </c>
      <c r="U7175" s="328">
        <f>VLOOKUP(C7175,METADATA!$J$5:$Q$29,IF(E7175="HI",2,IF(E7175="LO",6,10))+IF(T7175=1,2,IF(D7175=7,1,(IF(WEEKDAY(B7175)=1,2,IF(WEEKDAY(B7175)=7,1,0))))))</f>
        <v>3</v>
      </c>
      <c r="V7175" s="328">
        <f>VLOOKUP(C7175,METADATA!$A$5:$H$29,IF(E7175="HI",2,IF(E7175="LO",6,10))+IF(T7175=1,2,IF(D7175=7,1,(IF(WEEKDAY(B7175)=1,2,IF(WEEKDAY(B7175)=7,1,0))))))</f>
        <v>3</v>
      </c>
    </row>
    <row r="7176" spans="2:22">
      <c r="B7176" s="318">
        <f t="shared" si="447"/>
        <v>46411</v>
      </c>
      <c r="C7176" s="312">
        <v>20</v>
      </c>
      <c r="D7176" s="368">
        <f>IFERROR((INDEX(METADATA!$T$2:$T$20,MATCH(B7176,METADATA!$S$2:$S$20,0))),0)</f>
        <v>0</v>
      </c>
      <c r="E7176" s="312" t="str">
        <f t="shared" si="448"/>
        <v>HI</v>
      </c>
      <c r="F7176" s="369">
        <f>VLOOKUP(C7176,METADATA!$A$5:$H$29,IF(E7176="HI",2,IF(E7176="LO",6,10))+IF(D7176=1,2,IF(D7176=7,1,(IF(WEEKDAY(B7176)=1,2,IF(WEEKDAY(B7176)=7,1,0))))))</f>
        <v>3</v>
      </c>
      <c r="G7176" s="369">
        <f>VLOOKUP(C7176,METADATA!$J$5:$Q$29,IF(E7176="HI",2,IF(E7176="LO",6,10))+IF(D7176=1,2,IF(D7176=7,1,(IF(WEEKDAY(B7176)=1,2,IF(WEEKDAY(B7176)=7,1,0))))))</f>
        <v>3</v>
      </c>
      <c r="H7176" s="370">
        <v>13947.125122070313</v>
      </c>
      <c r="I7176" s="370">
        <v>4730.0250549316406</v>
      </c>
      <c r="M7176" s="371">
        <f t="shared" si="449"/>
        <v>14727.370308068101</v>
      </c>
      <c r="N7176" s="329">
        <f t="shared" si="450"/>
        <v>545.88751831054742</v>
      </c>
      <c r="T7176" s="331">
        <v>0</v>
      </c>
      <c r="U7176" s="328">
        <f>VLOOKUP(C7176,METADATA!$J$5:$Q$29,IF(E7176="HI",2,IF(E7176="LO",6,10))+IF(T7176=1,2,IF(D7176=7,1,(IF(WEEKDAY(B7176)=1,2,IF(WEEKDAY(B7176)=7,1,0))))))</f>
        <v>3</v>
      </c>
      <c r="V7176" s="328">
        <f>VLOOKUP(C7176,METADATA!$A$5:$H$29,IF(E7176="HI",2,IF(E7176="LO",6,10))+IF(T7176=1,2,IF(D7176=7,1,(IF(WEEKDAY(B7176)=1,2,IF(WEEKDAY(B7176)=7,1,0))))))</f>
        <v>3</v>
      </c>
    </row>
    <row r="7177" spans="2:22">
      <c r="B7177" s="318">
        <f t="shared" si="447"/>
        <v>46411</v>
      </c>
      <c r="C7177" s="312">
        <v>21</v>
      </c>
      <c r="D7177" s="368">
        <f>IFERROR((INDEX(METADATA!$T$2:$T$20,MATCH(B7177,METADATA!$S$2:$S$20,0))),0)</f>
        <v>0</v>
      </c>
      <c r="E7177" s="312" t="str">
        <f t="shared" si="448"/>
        <v>HI</v>
      </c>
      <c r="F7177" s="369">
        <f>VLOOKUP(C7177,METADATA!$A$5:$H$29,IF(E7177="HI",2,IF(E7177="LO",6,10))+IF(D7177=1,2,IF(D7177=7,1,(IF(WEEKDAY(B7177)=1,2,IF(WEEKDAY(B7177)=7,1,0))))))</f>
        <v>3</v>
      </c>
      <c r="G7177" s="369">
        <f>VLOOKUP(C7177,METADATA!$J$5:$Q$29,IF(E7177="HI",2,IF(E7177="LO",6,10))+IF(D7177=1,2,IF(D7177=7,1,(IF(WEEKDAY(B7177)=1,2,IF(WEEKDAY(B7177)=7,1,0))))))</f>
        <v>3</v>
      </c>
      <c r="H7177" s="370">
        <v>13995.625305175781</v>
      </c>
      <c r="I7177" s="370">
        <v>4753.4750061035156</v>
      </c>
      <c r="M7177" s="371">
        <f t="shared" si="449"/>
        <v>14780.833951997685</v>
      </c>
      <c r="N7177" s="329">
        <f t="shared" si="450"/>
        <v>554.78741455078125</v>
      </c>
      <c r="T7177" s="331">
        <v>0</v>
      </c>
      <c r="U7177" s="328">
        <f>VLOOKUP(C7177,METADATA!$J$5:$Q$29,IF(E7177="HI",2,IF(E7177="LO",6,10))+IF(T7177=1,2,IF(D7177=7,1,(IF(WEEKDAY(B7177)=1,2,IF(WEEKDAY(B7177)=7,1,0))))))</f>
        <v>3</v>
      </c>
      <c r="V7177" s="328">
        <f>VLOOKUP(C7177,METADATA!$A$5:$H$29,IF(E7177="HI",2,IF(E7177="LO",6,10))+IF(T7177=1,2,IF(D7177=7,1,(IF(WEEKDAY(B7177)=1,2,IF(WEEKDAY(B7177)=7,1,0))))))</f>
        <v>3</v>
      </c>
    </row>
    <row r="7178" spans="2:22">
      <c r="B7178" s="318">
        <f t="shared" si="447"/>
        <v>46411</v>
      </c>
      <c r="C7178" s="312">
        <v>22</v>
      </c>
      <c r="D7178" s="368">
        <f>IFERROR((INDEX(METADATA!$T$2:$T$20,MATCH(B7178,METADATA!$S$2:$S$20,0))),0)</f>
        <v>0</v>
      </c>
      <c r="E7178" s="312" t="str">
        <f t="shared" si="448"/>
        <v>HI</v>
      </c>
      <c r="F7178" s="369">
        <f>VLOOKUP(C7178,METADATA!$A$5:$H$29,IF(E7178="HI",2,IF(E7178="LO",6,10))+IF(D7178=1,2,IF(D7178=7,1,(IF(WEEKDAY(B7178)=1,2,IF(WEEKDAY(B7178)=7,1,0))))))</f>
        <v>3</v>
      </c>
      <c r="G7178" s="369">
        <f>VLOOKUP(C7178,METADATA!$J$5:$Q$29,IF(E7178="HI",2,IF(E7178="LO",6,10))+IF(D7178=1,2,IF(D7178=7,1,(IF(WEEKDAY(B7178)=1,2,IF(WEEKDAY(B7178)=7,1,0))))))</f>
        <v>3</v>
      </c>
      <c r="H7178" s="370">
        <v>13936.050109863281</v>
      </c>
      <c r="I7178" s="370">
        <v>4660.9400634765625</v>
      </c>
      <c r="M7178" s="371">
        <f t="shared" si="449"/>
        <v>14694.824086730037</v>
      </c>
      <c r="N7178" s="329">
        <f t="shared" si="450"/>
        <v>480.12503051757813</v>
      </c>
      <c r="T7178" s="331">
        <v>0</v>
      </c>
      <c r="U7178" s="328">
        <f>VLOOKUP(C7178,METADATA!$J$5:$Q$29,IF(E7178="HI",2,IF(E7178="LO",6,10))+IF(T7178=1,2,IF(D7178=7,1,(IF(WEEKDAY(B7178)=1,2,IF(WEEKDAY(B7178)=7,1,0))))))</f>
        <v>3</v>
      </c>
      <c r="V7178" s="328">
        <f>VLOOKUP(C7178,METADATA!$A$5:$H$29,IF(E7178="HI",2,IF(E7178="LO",6,10))+IF(T7178=1,2,IF(D7178=7,1,(IF(WEEKDAY(B7178)=1,2,IF(WEEKDAY(B7178)=7,1,0))))))</f>
        <v>3</v>
      </c>
    </row>
    <row r="7179" spans="2:22">
      <c r="B7179" s="318">
        <f t="shared" si="447"/>
        <v>46411</v>
      </c>
      <c r="C7179" s="312">
        <v>23</v>
      </c>
      <c r="D7179" s="368">
        <f>IFERROR((INDEX(METADATA!$T$2:$T$20,MATCH(B7179,METADATA!$S$2:$S$20,0))),0)</f>
        <v>0</v>
      </c>
      <c r="E7179" s="312" t="str">
        <f t="shared" si="448"/>
        <v>HI</v>
      </c>
      <c r="F7179" s="369">
        <f>VLOOKUP(C7179,METADATA!$A$5:$H$29,IF(E7179="HI",2,IF(E7179="LO",6,10))+IF(D7179=1,2,IF(D7179=7,1,(IF(WEEKDAY(B7179)=1,2,IF(WEEKDAY(B7179)=7,1,0))))))</f>
        <v>3</v>
      </c>
      <c r="G7179" s="369">
        <f>VLOOKUP(C7179,METADATA!$J$5:$Q$29,IF(E7179="HI",2,IF(E7179="LO",6,10))+IF(D7179=1,2,IF(D7179=7,1,(IF(WEEKDAY(B7179)=1,2,IF(WEEKDAY(B7179)=7,1,0))))))</f>
        <v>3</v>
      </c>
      <c r="H7179" s="370">
        <v>14100.425048828125</v>
      </c>
      <c r="I7179" s="370">
        <v>4810.7149963378906</v>
      </c>
      <c r="M7179" s="371">
        <f t="shared" si="449"/>
        <v>14898.488692938285</v>
      </c>
      <c r="N7179" s="329">
        <f t="shared" si="450"/>
        <v>580.58748168945294</v>
      </c>
      <c r="T7179" s="331">
        <v>0</v>
      </c>
      <c r="U7179" s="328">
        <f>VLOOKUP(C7179,METADATA!$J$5:$Q$29,IF(E7179="HI",2,IF(E7179="LO",6,10))+IF(T7179=1,2,IF(D7179=7,1,(IF(WEEKDAY(B7179)=1,2,IF(WEEKDAY(B7179)=7,1,0))))))</f>
        <v>3</v>
      </c>
      <c r="V7179" s="328">
        <f>VLOOKUP(C7179,METADATA!$A$5:$H$29,IF(E7179="HI",2,IF(E7179="LO",6,10))+IF(T7179=1,2,IF(D7179=7,1,(IF(WEEKDAY(B7179)=1,2,IF(WEEKDAY(B7179)=7,1,0))))))</f>
        <v>3</v>
      </c>
    </row>
    <row r="7180" spans="2:22">
      <c r="B7180" s="318">
        <f t="shared" si="447"/>
        <v>46412</v>
      </c>
      <c r="C7180" s="312">
        <v>0</v>
      </c>
      <c r="D7180" s="368">
        <f>IFERROR((INDEX(METADATA!$T$2:$T$20,MATCH(B7180,METADATA!$S$2:$S$20,0))),0)</f>
        <v>0</v>
      </c>
      <c r="E7180" s="312" t="str">
        <f t="shared" si="448"/>
        <v>HI</v>
      </c>
      <c r="F7180" s="369">
        <f>VLOOKUP(C7180,METADATA!$A$5:$H$29,IF(E7180="HI",2,IF(E7180="LO",6,10))+IF(D7180=1,2,IF(D7180=7,1,(IF(WEEKDAY(B7180)=1,2,IF(WEEKDAY(B7180)=7,1,0))))))</f>
        <v>3</v>
      </c>
      <c r="G7180" s="369">
        <f>VLOOKUP(C7180,METADATA!$J$5:$Q$29,IF(E7180="HI",2,IF(E7180="LO",6,10))+IF(D7180=1,2,IF(D7180=7,1,(IF(WEEKDAY(B7180)=1,2,IF(WEEKDAY(B7180)=7,1,0))))))</f>
        <v>3</v>
      </c>
      <c r="H7180" s="370">
        <v>14061.600036621094</v>
      </c>
      <c r="I7180" s="370">
        <v>4853.4000244140625</v>
      </c>
      <c r="M7180" s="371">
        <f t="shared" si="449"/>
        <v>14875.620571488262</v>
      </c>
      <c r="N7180" s="329">
        <f t="shared" si="450"/>
        <v>634.92001342773438</v>
      </c>
      <c r="T7180" s="331">
        <v>0</v>
      </c>
      <c r="U7180" s="328">
        <f>VLOOKUP(C7180,METADATA!$J$5:$Q$29,IF(E7180="HI",2,IF(E7180="LO",6,10))+IF(T7180=1,2,IF(D7180=7,1,(IF(WEEKDAY(B7180)=1,2,IF(WEEKDAY(B7180)=7,1,0))))))</f>
        <v>3</v>
      </c>
      <c r="V7180" s="328">
        <f>VLOOKUP(C7180,METADATA!$A$5:$H$29,IF(E7180="HI",2,IF(E7180="LO",6,10))+IF(T7180=1,2,IF(D7180=7,1,(IF(WEEKDAY(B7180)=1,2,IF(WEEKDAY(B7180)=7,1,0))))))</f>
        <v>3</v>
      </c>
    </row>
    <row r="7181" spans="2:22">
      <c r="B7181" s="318">
        <f t="shared" si="447"/>
        <v>46412</v>
      </c>
      <c r="C7181" s="312">
        <v>1</v>
      </c>
      <c r="D7181" s="368">
        <f>IFERROR((INDEX(METADATA!$T$2:$T$20,MATCH(B7181,METADATA!$S$2:$S$20,0))),0)</f>
        <v>0</v>
      </c>
      <c r="E7181" s="312" t="str">
        <f t="shared" si="448"/>
        <v>HI</v>
      </c>
      <c r="F7181" s="369">
        <f>VLOOKUP(C7181,METADATA!$A$5:$H$29,IF(E7181="HI",2,IF(E7181="LO",6,10))+IF(D7181=1,2,IF(D7181=7,1,(IF(WEEKDAY(B7181)=1,2,IF(WEEKDAY(B7181)=7,1,0))))))</f>
        <v>3</v>
      </c>
      <c r="G7181" s="369">
        <f>VLOOKUP(C7181,METADATA!$J$5:$Q$29,IF(E7181="HI",2,IF(E7181="LO",6,10))+IF(D7181=1,2,IF(D7181=7,1,(IF(WEEKDAY(B7181)=1,2,IF(WEEKDAY(B7181)=7,1,0))))))</f>
        <v>3</v>
      </c>
      <c r="H7181" s="370">
        <v>13941.025146484375</v>
      </c>
      <c r="I7181" s="370">
        <v>4778.5200500488281</v>
      </c>
      <c r="M7181" s="371">
        <f t="shared" si="449"/>
        <v>14737.246554347537</v>
      </c>
      <c r="N7181" s="329">
        <f t="shared" si="450"/>
        <v>596.21250610351581</v>
      </c>
      <c r="T7181" s="331">
        <v>0</v>
      </c>
      <c r="U7181" s="328">
        <f>VLOOKUP(C7181,METADATA!$J$5:$Q$29,IF(E7181="HI",2,IF(E7181="LO",6,10))+IF(T7181=1,2,IF(D7181=7,1,(IF(WEEKDAY(B7181)=1,2,IF(WEEKDAY(B7181)=7,1,0))))))</f>
        <v>3</v>
      </c>
      <c r="V7181" s="328">
        <f>VLOOKUP(C7181,METADATA!$A$5:$H$29,IF(E7181="HI",2,IF(E7181="LO",6,10))+IF(T7181=1,2,IF(D7181=7,1,(IF(WEEKDAY(B7181)=1,2,IF(WEEKDAY(B7181)=7,1,0))))))</f>
        <v>3</v>
      </c>
    </row>
    <row r="7182" spans="2:22">
      <c r="B7182" s="318">
        <f t="shared" si="447"/>
        <v>46412</v>
      </c>
      <c r="C7182" s="312">
        <v>2</v>
      </c>
      <c r="D7182" s="368">
        <f>IFERROR((INDEX(METADATA!$T$2:$T$20,MATCH(B7182,METADATA!$S$2:$S$20,0))),0)</f>
        <v>0</v>
      </c>
      <c r="E7182" s="312" t="str">
        <f t="shared" si="448"/>
        <v>HI</v>
      </c>
      <c r="F7182" s="369">
        <f>VLOOKUP(C7182,METADATA!$A$5:$H$29,IF(E7182="HI",2,IF(E7182="LO",6,10))+IF(D7182=1,2,IF(D7182=7,1,(IF(WEEKDAY(B7182)=1,2,IF(WEEKDAY(B7182)=7,1,0))))))</f>
        <v>3</v>
      </c>
      <c r="G7182" s="369">
        <f>VLOOKUP(C7182,METADATA!$J$5:$Q$29,IF(E7182="HI",2,IF(E7182="LO",6,10))+IF(D7182=1,2,IF(D7182=7,1,(IF(WEEKDAY(B7182)=1,2,IF(WEEKDAY(B7182)=7,1,0))))))</f>
        <v>3</v>
      </c>
      <c r="H7182" s="370">
        <v>13874.118713378906</v>
      </c>
      <c r="I7182" s="370">
        <v>4552.0859985351563</v>
      </c>
      <c r="M7182" s="371">
        <f t="shared" si="449"/>
        <v>14601.803210939072</v>
      </c>
      <c r="N7182" s="329">
        <f t="shared" si="450"/>
        <v>389.85038452148456</v>
      </c>
      <c r="T7182" s="331">
        <v>0</v>
      </c>
      <c r="U7182" s="328">
        <f>VLOOKUP(C7182,METADATA!$J$5:$Q$29,IF(E7182="HI",2,IF(E7182="LO",6,10))+IF(T7182=1,2,IF(D7182=7,1,(IF(WEEKDAY(B7182)=1,2,IF(WEEKDAY(B7182)=7,1,0))))))</f>
        <v>3</v>
      </c>
      <c r="V7182" s="328">
        <f>VLOOKUP(C7182,METADATA!$A$5:$H$29,IF(E7182="HI",2,IF(E7182="LO",6,10))+IF(T7182=1,2,IF(D7182=7,1,(IF(WEEKDAY(B7182)=1,2,IF(WEEKDAY(B7182)=7,1,0))))))</f>
        <v>3</v>
      </c>
    </row>
    <row r="7183" spans="2:22">
      <c r="B7183" s="318">
        <f t="shared" si="447"/>
        <v>46412</v>
      </c>
      <c r="C7183" s="312">
        <v>3</v>
      </c>
      <c r="D7183" s="368">
        <f>IFERROR((INDEX(METADATA!$T$2:$T$20,MATCH(B7183,METADATA!$S$2:$S$20,0))),0)</f>
        <v>0</v>
      </c>
      <c r="E7183" s="312" t="str">
        <f t="shared" si="448"/>
        <v>HI</v>
      </c>
      <c r="F7183" s="369">
        <f>VLOOKUP(C7183,METADATA!$A$5:$H$29,IF(E7183="HI",2,IF(E7183="LO",6,10))+IF(D7183=1,2,IF(D7183=7,1,(IF(WEEKDAY(B7183)=1,2,IF(WEEKDAY(B7183)=7,1,0))))))</f>
        <v>3</v>
      </c>
      <c r="G7183" s="369">
        <f>VLOOKUP(C7183,METADATA!$J$5:$Q$29,IF(E7183="HI",2,IF(E7183="LO",6,10))+IF(D7183=1,2,IF(D7183=7,1,(IF(WEEKDAY(B7183)=1,2,IF(WEEKDAY(B7183)=7,1,0))))))</f>
        <v>3</v>
      </c>
      <c r="H7183" s="370">
        <v>13654.25</v>
      </c>
      <c r="I7183" s="370">
        <v>4376.8500366210938</v>
      </c>
      <c r="M7183" s="371">
        <f t="shared" si="449"/>
        <v>14338.596838797375</v>
      </c>
      <c r="N7183" s="329">
        <f t="shared" si="450"/>
        <v>280.57503662109411</v>
      </c>
      <c r="T7183" s="331">
        <v>0</v>
      </c>
      <c r="U7183" s="328">
        <f>VLOOKUP(C7183,METADATA!$J$5:$Q$29,IF(E7183="HI",2,IF(E7183="LO",6,10))+IF(T7183=1,2,IF(D7183=7,1,(IF(WEEKDAY(B7183)=1,2,IF(WEEKDAY(B7183)=7,1,0))))))</f>
        <v>3</v>
      </c>
      <c r="V7183" s="328">
        <f>VLOOKUP(C7183,METADATA!$A$5:$H$29,IF(E7183="HI",2,IF(E7183="LO",6,10))+IF(T7183=1,2,IF(D7183=7,1,(IF(WEEKDAY(B7183)=1,2,IF(WEEKDAY(B7183)=7,1,0))))))</f>
        <v>3</v>
      </c>
    </row>
    <row r="7184" spans="2:22">
      <c r="B7184" s="318">
        <f t="shared" si="447"/>
        <v>46412</v>
      </c>
      <c r="C7184" s="312">
        <v>4</v>
      </c>
      <c r="D7184" s="368">
        <f>IFERROR((INDEX(METADATA!$T$2:$T$20,MATCH(B7184,METADATA!$S$2:$S$20,0))),0)</f>
        <v>0</v>
      </c>
      <c r="E7184" s="312" t="str">
        <f t="shared" si="448"/>
        <v>HI</v>
      </c>
      <c r="F7184" s="369">
        <f>VLOOKUP(C7184,METADATA!$A$5:$H$29,IF(E7184="HI",2,IF(E7184="LO",6,10))+IF(D7184=1,2,IF(D7184=7,1,(IF(WEEKDAY(B7184)=1,2,IF(WEEKDAY(B7184)=7,1,0))))))</f>
        <v>3</v>
      </c>
      <c r="G7184" s="369">
        <f>VLOOKUP(C7184,METADATA!$J$5:$Q$29,IF(E7184="HI",2,IF(E7184="LO",6,10))+IF(D7184=1,2,IF(D7184=7,1,(IF(WEEKDAY(B7184)=1,2,IF(WEEKDAY(B7184)=7,1,0))))))</f>
        <v>3</v>
      </c>
      <c r="H7184" s="370">
        <v>13070.699829101563</v>
      </c>
      <c r="I7184" s="370">
        <v>4126.8749694824219</v>
      </c>
      <c r="M7184" s="371">
        <f t="shared" si="449"/>
        <v>13706.724300000205</v>
      </c>
      <c r="N7184" s="329">
        <f t="shared" si="450"/>
        <v>205.66502075195331</v>
      </c>
      <c r="T7184" s="331">
        <v>0</v>
      </c>
      <c r="U7184" s="328">
        <f>VLOOKUP(C7184,METADATA!$J$5:$Q$29,IF(E7184="HI",2,IF(E7184="LO",6,10))+IF(T7184=1,2,IF(D7184=7,1,(IF(WEEKDAY(B7184)=1,2,IF(WEEKDAY(B7184)=7,1,0))))))</f>
        <v>3</v>
      </c>
      <c r="V7184" s="328">
        <f>VLOOKUP(C7184,METADATA!$A$5:$H$29,IF(E7184="HI",2,IF(E7184="LO",6,10))+IF(T7184=1,2,IF(D7184=7,1,(IF(WEEKDAY(B7184)=1,2,IF(WEEKDAY(B7184)=7,1,0))))))</f>
        <v>3</v>
      </c>
    </row>
    <row r="7185" spans="2:22">
      <c r="B7185" s="318">
        <f t="shared" si="447"/>
        <v>46412</v>
      </c>
      <c r="C7185" s="312">
        <v>5</v>
      </c>
      <c r="D7185" s="368">
        <f>IFERROR((INDEX(METADATA!$T$2:$T$20,MATCH(B7185,METADATA!$S$2:$S$20,0))),0)</f>
        <v>0</v>
      </c>
      <c r="E7185" s="312" t="str">
        <f t="shared" si="448"/>
        <v>HI</v>
      </c>
      <c r="F7185" s="369">
        <f>VLOOKUP(C7185,METADATA!$A$5:$H$29,IF(E7185="HI",2,IF(E7185="LO",6,10))+IF(D7185=1,2,IF(D7185=7,1,(IF(WEEKDAY(B7185)=1,2,IF(WEEKDAY(B7185)=7,1,0))))))</f>
        <v>3</v>
      </c>
      <c r="G7185" s="369">
        <f>VLOOKUP(C7185,METADATA!$J$5:$Q$29,IF(E7185="HI",2,IF(E7185="LO",6,10))+IF(D7185=1,2,IF(D7185=7,1,(IF(WEEKDAY(B7185)=1,2,IF(WEEKDAY(B7185)=7,1,0))))))</f>
        <v>3</v>
      </c>
      <c r="H7185" s="370">
        <v>13891.824829101563</v>
      </c>
      <c r="I7185" s="370">
        <v>4447.5350341796875</v>
      </c>
      <c r="M7185" s="371">
        <f t="shared" si="449"/>
        <v>14586.410283640671</v>
      </c>
      <c r="N7185" s="329">
        <f t="shared" si="450"/>
        <v>279.9875854492193</v>
      </c>
      <c r="T7185" s="331">
        <v>0</v>
      </c>
      <c r="U7185" s="328">
        <f>VLOOKUP(C7185,METADATA!$J$5:$Q$29,IF(E7185="HI",2,IF(E7185="LO",6,10))+IF(T7185=1,2,IF(D7185=7,1,(IF(WEEKDAY(B7185)=1,2,IF(WEEKDAY(B7185)=7,1,0))))))</f>
        <v>3</v>
      </c>
      <c r="V7185" s="328">
        <f>VLOOKUP(C7185,METADATA!$A$5:$H$29,IF(E7185="HI",2,IF(E7185="LO",6,10))+IF(T7185=1,2,IF(D7185=7,1,(IF(WEEKDAY(B7185)=1,2,IF(WEEKDAY(B7185)=7,1,0))))))</f>
        <v>3</v>
      </c>
    </row>
    <row r="7186" spans="2:22">
      <c r="B7186" s="318">
        <f t="shared" si="447"/>
        <v>46412</v>
      </c>
      <c r="C7186" s="312">
        <v>6</v>
      </c>
      <c r="D7186" s="368">
        <f>IFERROR((INDEX(METADATA!$T$2:$T$20,MATCH(B7186,METADATA!$S$2:$S$20,0))),0)</f>
        <v>0</v>
      </c>
      <c r="E7186" s="312" t="str">
        <f t="shared" si="448"/>
        <v>HI</v>
      </c>
      <c r="F7186" s="369">
        <f>VLOOKUP(C7186,METADATA!$A$5:$H$29,IF(E7186="HI",2,IF(E7186="LO",6,10))+IF(D7186=1,2,IF(D7186=7,1,(IF(WEEKDAY(B7186)=1,2,IF(WEEKDAY(B7186)=7,1,0))))))</f>
        <v>1</v>
      </c>
      <c r="G7186" s="369">
        <f>VLOOKUP(C7186,METADATA!$J$5:$Q$29,IF(E7186="HI",2,IF(E7186="LO",6,10))+IF(D7186=1,2,IF(D7186=7,1,(IF(WEEKDAY(B7186)=1,2,IF(WEEKDAY(B7186)=7,1,0))))))</f>
        <v>1</v>
      </c>
      <c r="H7186" s="370">
        <v>13874.950134277344</v>
      </c>
      <c r="I7186" s="370">
        <v>4298.1499328613281</v>
      </c>
      <c r="M7186" s="371">
        <f t="shared" si="449"/>
        <v>14525.437483051543</v>
      </c>
      <c r="N7186" s="329">
        <f t="shared" si="450"/>
        <v>135.66489257812555</v>
      </c>
      <c r="T7186" s="331">
        <v>0</v>
      </c>
      <c r="U7186" s="328">
        <f>VLOOKUP(C7186,METADATA!$J$5:$Q$29,IF(E7186="HI",2,IF(E7186="LO",6,10))+IF(T7186=1,2,IF(D7186=7,1,(IF(WEEKDAY(B7186)=1,2,IF(WEEKDAY(B7186)=7,1,0))))))</f>
        <v>1</v>
      </c>
      <c r="V7186" s="328">
        <f>VLOOKUP(C7186,METADATA!$A$5:$H$29,IF(E7186="HI",2,IF(E7186="LO",6,10))+IF(T7186=1,2,IF(D7186=7,1,(IF(WEEKDAY(B7186)=1,2,IF(WEEKDAY(B7186)=7,1,0))))))</f>
        <v>1</v>
      </c>
    </row>
    <row r="7187" spans="2:22">
      <c r="B7187" s="318">
        <f t="shared" si="447"/>
        <v>46412</v>
      </c>
      <c r="C7187" s="312">
        <v>7</v>
      </c>
      <c r="D7187" s="368">
        <f>IFERROR((INDEX(METADATA!$T$2:$T$20,MATCH(B7187,METADATA!$S$2:$S$20,0))),0)</f>
        <v>0</v>
      </c>
      <c r="E7187" s="312" t="str">
        <f t="shared" si="448"/>
        <v>HI</v>
      </c>
      <c r="F7187" s="369">
        <f>VLOOKUP(C7187,METADATA!$A$5:$H$29,IF(E7187="HI",2,IF(E7187="LO",6,10))+IF(D7187=1,2,IF(D7187=7,1,(IF(WEEKDAY(B7187)=1,2,IF(WEEKDAY(B7187)=7,1,0))))))</f>
        <v>1</v>
      </c>
      <c r="G7187" s="369">
        <f>VLOOKUP(C7187,METADATA!$J$5:$Q$29,IF(E7187="HI",2,IF(E7187="LO",6,10))+IF(D7187=1,2,IF(D7187=7,1,(IF(WEEKDAY(B7187)=1,2,IF(WEEKDAY(B7187)=7,1,0))))))</f>
        <v>1</v>
      </c>
      <c r="H7187" s="370">
        <v>13952.749450683594</v>
      </c>
      <c r="I7187" s="370">
        <v>4417.1449584960938</v>
      </c>
      <c r="M7187" s="371">
        <f t="shared" si="449"/>
        <v>14635.244679127123</v>
      </c>
      <c r="N7187" s="329">
        <f t="shared" si="450"/>
        <v>231.32012329101599</v>
      </c>
      <c r="T7187" s="331">
        <v>0</v>
      </c>
      <c r="U7187" s="328">
        <f>VLOOKUP(C7187,METADATA!$J$5:$Q$29,IF(E7187="HI",2,IF(E7187="LO",6,10))+IF(T7187=1,2,IF(D7187=7,1,(IF(WEEKDAY(B7187)=1,2,IF(WEEKDAY(B7187)=7,1,0))))))</f>
        <v>1</v>
      </c>
      <c r="V7187" s="328">
        <f>VLOOKUP(C7187,METADATA!$A$5:$H$29,IF(E7187="HI",2,IF(E7187="LO",6,10))+IF(T7187=1,2,IF(D7187=7,1,(IF(WEEKDAY(B7187)=1,2,IF(WEEKDAY(B7187)=7,1,0))))))</f>
        <v>1</v>
      </c>
    </row>
    <row r="7188" spans="2:22">
      <c r="B7188" s="318">
        <f t="shared" si="447"/>
        <v>46412</v>
      </c>
      <c r="C7188" s="312">
        <v>8</v>
      </c>
      <c r="D7188" s="368">
        <f>IFERROR((INDEX(METADATA!$T$2:$T$20,MATCH(B7188,METADATA!$S$2:$S$20,0))),0)</f>
        <v>0</v>
      </c>
      <c r="E7188" s="312" t="str">
        <f t="shared" si="448"/>
        <v>HI</v>
      </c>
      <c r="F7188" s="369">
        <f>VLOOKUP(C7188,METADATA!$A$5:$H$29,IF(E7188="HI",2,IF(E7188="LO",6,10))+IF(D7188=1,2,IF(D7188=7,1,(IF(WEEKDAY(B7188)=1,2,IF(WEEKDAY(B7188)=7,1,0))))))</f>
        <v>2</v>
      </c>
      <c r="G7188" s="369">
        <f>VLOOKUP(C7188,METADATA!$J$5:$Q$29,IF(E7188="HI",2,IF(E7188="LO",6,10))+IF(D7188=1,2,IF(D7188=7,1,(IF(WEEKDAY(B7188)=1,2,IF(WEEKDAY(B7188)=7,1,0))))))</f>
        <v>2</v>
      </c>
      <c r="H7188" s="370">
        <v>13973.57470703125</v>
      </c>
      <c r="I7188" s="370">
        <v>4502.6000061035156</v>
      </c>
      <c r="M7188" s="371">
        <f t="shared" si="449"/>
        <v>14681.08296100621</v>
      </c>
      <c r="N7188" s="329">
        <f t="shared" si="450"/>
        <v>310.52759399414117</v>
      </c>
      <c r="T7188" s="331">
        <v>0</v>
      </c>
      <c r="U7188" s="328">
        <f>VLOOKUP(C7188,METADATA!$J$5:$Q$29,IF(E7188="HI",2,IF(E7188="LO",6,10))+IF(T7188=1,2,IF(D7188=7,1,(IF(WEEKDAY(B7188)=1,2,IF(WEEKDAY(B7188)=7,1,0))))))</f>
        <v>2</v>
      </c>
      <c r="V7188" s="328">
        <f>VLOOKUP(C7188,METADATA!$A$5:$H$29,IF(E7188="HI",2,IF(E7188="LO",6,10))+IF(T7188=1,2,IF(D7188=7,1,(IF(WEEKDAY(B7188)=1,2,IF(WEEKDAY(B7188)=7,1,0))))))</f>
        <v>2</v>
      </c>
    </row>
    <row r="7189" spans="2:22">
      <c r="B7189" s="318">
        <f t="shared" si="447"/>
        <v>46412</v>
      </c>
      <c r="C7189" s="312">
        <v>9</v>
      </c>
      <c r="D7189" s="368">
        <f>IFERROR((INDEX(METADATA!$T$2:$T$20,MATCH(B7189,METADATA!$S$2:$S$20,0))),0)</f>
        <v>0</v>
      </c>
      <c r="E7189" s="312" t="str">
        <f t="shared" si="448"/>
        <v>HI</v>
      </c>
      <c r="F7189" s="369">
        <f>VLOOKUP(C7189,METADATA!$A$5:$H$29,IF(E7189="HI",2,IF(E7189="LO",6,10))+IF(D7189=1,2,IF(D7189=7,1,(IF(WEEKDAY(B7189)=1,2,IF(WEEKDAY(B7189)=7,1,0))))))</f>
        <v>2</v>
      </c>
      <c r="G7189" s="369">
        <f>VLOOKUP(C7189,METADATA!$J$5:$Q$29,IF(E7189="HI",2,IF(E7189="LO",6,10))+IF(D7189=1,2,IF(D7189=7,1,(IF(WEEKDAY(B7189)=1,2,IF(WEEKDAY(B7189)=7,1,0))))))</f>
        <v>2</v>
      </c>
      <c r="H7189" s="370">
        <v>14096.300170898438</v>
      </c>
      <c r="I7189" s="370">
        <v>4553.4249877929688</v>
      </c>
      <c r="M7189" s="371">
        <f t="shared" si="449"/>
        <v>14813.48566771267</v>
      </c>
      <c r="N7189" s="329">
        <f t="shared" si="450"/>
        <v>324.53493652343786</v>
      </c>
      <c r="T7189" s="331">
        <v>0</v>
      </c>
      <c r="U7189" s="328">
        <f>VLOOKUP(C7189,METADATA!$J$5:$Q$29,IF(E7189="HI",2,IF(E7189="LO",6,10))+IF(T7189=1,2,IF(D7189=7,1,(IF(WEEKDAY(B7189)=1,2,IF(WEEKDAY(B7189)=7,1,0))))))</f>
        <v>2</v>
      </c>
      <c r="V7189" s="328">
        <f>VLOOKUP(C7189,METADATA!$A$5:$H$29,IF(E7189="HI",2,IF(E7189="LO",6,10))+IF(T7189=1,2,IF(D7189=7,1,(IF(WEEKDAY(B7189)=1,2,IF(WEEKDAY(B7189)=7,1,0))))))</f>
        <v>2</v>
      </c>
    </row>
    <row r="7190" spans="2:22">
      <c r="B7190" s="318">
        <f t="shared" si="447"/>
        <v>46412</v>
      </c>
      <c r="C7190" s="312">
        <v>10</v>
      </c>
      <c r="D7190" s="368">
        <f>IFERROR((INDEX(METADATA!$T$2:$T$20,MATCH(B7190,METADATA!$S$2:$S$20,0))),0)</f>
        <v>0</v>
      </c>
      <c r="E7190" s="312" t="str">
        <f t="shared" si="448"/>
        <v>HI</v>
      </c>
      <c r="F7190" s="369">
        <f>VLOOKUP(C7190,METADATA!$A$5:$H$29,IF(E7190="HI",2,IF(E7190="LO",6,10))+IF(D7190=1,2,IF(D7190=7,1,(IF(WEEKDAY(B7190)=1,2,IF(WEEKDAY(B7190)=7,1,0))))))</f>
        <v>2</v>
      </c>
      <c r="G7190" s="369">
        <f>VLOOKUP(C7190,METADATA!$J$5:$Q$29,IF(E7190="HI",2,IF(E7190="LO",6,10))+IF(D7190=1,2,IF(D7190=7,1,(IF(WEEKDAY(B7190)=1,2,IF(WEEKDAY(B7190)=7,1,0))))))</f>
        <v>2</v>
      </c>
      <c r="H7190" s="370">
        <v>13872.799926757813</v>
      </c>
      <c r="I7190" s="370">
        <v>4321.6998901367188</v>
      </c>
      <c r="M7190" s="371">
        <f t="shared" si="449"/>
        <v>14530.370530315437</v>
      </c>
      <c r="N7190" s="329">
        <f t="shared" si="450"/>
        <v>159.85991210937482</v>
      </c>
      <c r="T7190" s="331">
        <v>0</v>
      </c>
      <c r="U7190" s="328">
        <f>VLOOKUP(C7190,METADATA!$J$5:$Q$29,IF(E7190="HI",2,IF(E7190="LO",6,10))+IF(T7190=1,2,IF(D7190=7,1,(IF(WEEKDAY(B7190)=1,2,IF(WEEKDAY(B7190)=7,1,0))))))</f>
        <v>2</v>
      </c>
      <c r="V7190" s="328">
        <f>VLOOKUP(C7190,METADATA!$A$5:$H$29,IF(E7190="HI",2,IF(E7190="LO",6,10))+IF(T7190=1,2,IF(D7190=7,1,(IF(WEEKDAY(B7190)=1,2,IF(WEEKDAY(B7190)=7,1,0))))))</f>
        <v>2</v>
      </c>
    </row>
    <row r="7191" spans="2:22">
      <c r="B7191" s="318">
        <f t="shared" si="447"/>
        <v>46412</v>
      </c>
      <c r="C7191" s="312">
        <v>11</v>
      </c>
      <c r="D7191" s="368">
        <f>IFERROR((INDEX(METADATA!$T$2:$T$20,MATCH(B7191,METADATA!$S$2:$S$20,0))),0)</f>
        <v>0</v>
      </c>
      <c r="E7191" s="312" t="str">
        <f t="shared" si="448"/>
        <v>HI</v>
      </c>
      <c r="F7191" s="369">
        <f>VLOOKUP(C7191,METADATA!$A$5:$H$29,IF(E7191="HI",2,IF(E7191="LO",6,10))+IF(D7191=1,2,IF(D7191=7,1,(IF(WEEKDAY(B7191)=1,2,IF(WEEKDAY(B7191)=7,1,0))))))</f>
        <v>2</v>
      </c>
      <c r="G7191" s="369">
        <f>VLOOKUP(C7191,METADATA!$J$5:$Q$29,IF(E7191="HI",2,IF(E7191="LO",6,10))+IF(D7191=1,2,IF(D7191=7,1,(IF(WEEKDAY(B7191)=1,2,IF(WEEKDAY(B7191)=7,1,0))))))</f>
        <v>2</v>
      </c>
      <c r="H7191" s="370">
        <v>12572.724975585938</v>
      </c>
      <c r="I7191" s="370">
        <v>3632.2999877929688</v>
      </c>
      <c r="M7191" s="371">
        <f t="shared" si="449"/>
        <v>13086.902479694849</v>
      </c>
      <c r="N7191" s="329">
        <f t="shared" si="450"/>
        <v>0</v>
      </c>
      <c r="T7191" s="331">
        <v>0</v>
      </c>
      <c r="U7191" s="328">
        <f>VLOOKUP(C7191,METADATA!$J$5:$Q$29,IF(E7191="HI",2,IF(E7191="LO",6,10))+IF(T7191=1,2,IF(D7191=7,1,(IF(WEEKDAY(B7191)=1,2,IF(WEEKDAY(B7191)=7,1,0))))))</f>
        <v>2</v>
      </c>
      <c r="V7191" s="328">
        <f>VLOOKUP(C7191,METADATA!$A$5:$H$29,IF(E7191="HI",2,IF(E7191="LO",6,10))+IF(T7191=1,2,IF(D7191=7,1,(IF(WEEKDAY(B7191)=1,2,IF(WEEKDAY(B7191)=7,1,0))))))</f>
        <v>2</v>
      </c>
    </row>
    <row r="7192" spans="2:22">
      <c r="B7192" s="318">
        <f t="shared" si="447"/>
        <v>46412</v>
      </c>
      <c r="C7192" s="312">
        <v>12</v>
      </c>
      <c r="D7192" s="368">
        <f>IFERROR((INDEX(METADATA!$T$2:$T$20,MATCH(B7192,METADATA!$S$2:$S$20,0))),0)</f>
        <v>0</v>
      </c>
      <c r="E7192" s="312" t="str">
        <f t="shared" si="448"/>
        <v>HI</v>
      </c>
      <c r="F7192" s="369">
        <f>VLOOKUP(C7192,METADATA!$A$5:$H$29,IF(E7192="HI",2,IF(E7192="LO",6,10))+IF(D7192=1,2,IF(D7192=7,1,(IF(WEEKDAY(B7192)=1,2,IF(WEEKDAY(B7192)=7,1,0))))))</f>
        <v>2</v>
      </c>
      <c r="G7192" s="369">
        <f>VLOOKUP(C7192,METADATA!$J$5:$Q$29,IF(E7192="HI",2,IF(E7192="LO",6,10))+IF(D7192=1,2,IF(D7192=7,1,(IF(WEEKDAY(B7192)=1,2,IF(WEEKDAY(B7192)=7,1,0))))))</f>
        <v>2</v>
      </c>
      <c r="H7192" s="370">
        <v>12030.600219726563</v>
      </c>
      <c r="I7192" s="370">
        <v>3168.5850524902344</v>
      </c>
      <c r="M7192" s="371">
        <f t="shared" si="449"/>
        <v>12440.871066036709</v>
      </c>
      <c r="N7192" s="329">
        <f t="shared" si="450"/>
        <v>0</v>
      </c>
      <c r="T7192" s="331">
        <v>0</v>
      </c>
      <c r="U7192" s="328">
        <f>VLOOKUP(C7192,METADATA!$J$5:$Q$29,IF(E7192="HI",2,IF(E7192="LO",6,10))+IF(T7192=1,2,IF(D7192=7,1,(IF(WEEKDAY(B7192)=1,2,IF(WEEKDAY(B7192)=7,1,0))))))</f>
        <v>2</v>
      </c>
      <c r="V7192" s="328">
        <f>VLOOKUP(C7192,METADATA!$A$5:$H$29,IF(E7192="HI",2,IF(E7192="LO",6,10))+IF(T7192=1,2,IF(D7192=7,1,(IF(WEEKDAY(B7192)=1,2,IF(WEEKDAY(B7192)=7,1,0))))))</f>
        <v>2</v>
      </c>
    </row>
    <row r="7193" spans="2:22">
      <c r="B7193" s="318">
        <f t="shared" si="447"/>
        <v>46412</v>
      </c>
      <c r="C7193" s="312">
        <v>13</v>
      </c>
      <c r="D7193" s="368">
        <f>IFERROR((INDEX(METADATA!$T$2:$T$20,MATCH(B7193,METADATA!$S$2:$S$20,0))),0)</f>
        <v>0</v>
      </c>
      <c r="E7193" s="312" t="str">
        <f t="shared" si="448"/>
        <v>HI</v>
      </c>
      <c r="F7193" s="369">
        <f>VLOOKUP(C7193,METADATA!$A$5:$H$29,IF(E7193="HI",2,IF(E7193="LO",6,10))+IF(D7193=1,2,IF(D7193=7,1,(IF(WEEKDAY(B7193)=1,2,IF(WEEKDAY(B7193)=7,1,0))))))</f>
        <v>2</v>
      </c>
      <c r="G7193" s="369">
        <f>VLOOKUP(C7193,METADATA!$J$5:$Q$29,IF(E7193="HI",2,IF(E7193="LO",6,10))+IF(D7193=1,2,IF(D7193=7,1,(IF(WEEKDAY(B7193)=1,2,IF(WEEKDAY(B7193)=7,1,0))))))</f>
        <v>2</v>
      </c>
      <c r="H7193" s="370">
        <v>13842.949951171875</v>
      </c>
      <c r="I7193" s="370">
        <v>4345.8650817871094</v>
      </c>
      <c r="M7193" s="371">
        <f t="shared" si="449"/>
        <v>14509.093929661696</v>
      </c>
      <c r="N7193" s="329">
        <f t="shared" si="450"/>
        <v>192.98009643554724</v>
      </c>
      <c r="T7193" s="331">
        <v>0</v>
      </c>
      <c r="U7193" s="328">
        <f>VLOOKUP(C7193,METADATA!$J$5:$Q$29,IF(E7193="HI",2,IF(E7193="LO",6,10))+IF(T7193=1,2,IF(D7193=7,1,(IF(WEEKDAY(B7193)=1,2,IF(WEEKDAY(B7193)=7,1,0))))))</f>
        <v>2</v>
      </c>
      <c r="V7193" s="328">
        <f>VLOOKUP(C7193,METADATA!$A$5:$H$29,IF(E7193="HI",2,IF(E7193="LO",6,10))+IF(T7193=1,2,IF(D7193=7,1,(IF(WEEKDAY(B7193)=1,2,IF(WEEKDAY(B7193)=7,1,0))))))</f>
        <v>2</v>
      </c>
    </row>
    <row r="7194" spans="2:22">
      <c r="B7194" s="318">
        <f t="shared" si="447"/>
        <v>46412</v>
      </c>
      <c r="C7194" s="312">
        <v>14</v>
      </c>
      <c r="D7194" s="368">
        <f>IFERROR((INDEX(METADATA!$T$2:$T$20,MATCH(B7194,METADATA!$S$2:$S$20,0))),0)</f>
        <v>0</v>
      </c>
      <c r="E7194" s="312" t="str">
        <f t="shared" si="448"/>
        <v>HI</v>
      </c>
      <c r="F7194" s="369">
        <f>VLOOKUP(C7194,METADATA!$A$5:$H$29,IF(E7194="HI",2,IF(E7194="LO",6,10))+IF(D7194=1,2,IF(D7194=7,1,(IF(WEEKDAY(B7194)=1,2,IF(WEEKDAY(B7194)=7,1,0))))))</f>
        <v>2</v>
      </c>
      <c r="G7194" s="369">
        <f>VLOOKUP(C7194,METADATA!$J$5:$Q$29,IF(E7194="HI",2,IF(E7194="LO",6,10))+IF(D7194=1,2,IF(D7194=7,1,(IF(WEEKDAY(B7194)=1,2,IF(WEEKDAY(B7194)=7,1,0))))))</f>
        <v>2</v>
      </c>
      <c r="H7194" s="370">
        <v>13915.099914550781</v>
      </c>
      <c r="I7194" s="370">
        <v>4498.3798522949219</v>
      </c>
      <c r="M7194" s="371">
        <f t="shared" si="449"/>
        <v>14624.138502061038</v>
      </c>
      <c r="N7194" s="329">
        <f t="shared" si="450"/>
        <v>323.84987792968786</v>
      </c>
      <c r="T7194" s="331">
        <v>0</v>
      </c>
      <c r="U7194" s="328">
        <f>VLOOKUP(C7194,METADATA!$J$5:$Q$29,IF(E7194="HI",2,IF(E7194="LO",6,10))+IF(T7194=1,2,IF(D7194=7,1,(IF(WEEKDAY(B7194)=1,2,IF(WEEKDAY(B7194)=7,1,0))))))</f>
        <v>2</v>
      </c>
      <c r="V7194" s="328">
        <f>VLOOKUP(C7194,METADATA!$A$5:$H$29,IF(E7194="HI",2,IF(E7194="LO",6,10))+IF(T7194=1,2,IF(D7194=7,1,(IF(WEEKDAY(B7194)=1,2,IF(WEEKDAY(B7194)=7,1,0))))))</f>
        <v>2</v>
      </c>
    </row>
    <row r="7195" spans="2:22">
      <c r="B7195" s="318">
        <f t="shared" si="447"/>
        <v>46412</v>
      </c>
      <c r="C7195" s="312">
        <v>15</v>
      </c>
      <c r="D7195" s="368">
        <f>IFERROR((INDEX(METADATA!$T$2:$T$20,MATCH(B7195,METADATA!$S$2:$S$20,0))),0)</f>
        <v>0</v>
      </c>
      <c r="E7195" s="312" t="str">
        <f t="shared" si="448"/>
        <v>HI</v>
      </c>
      <c r="F7195" s="369">
        <f>VLOOKUP(C7195,METADATA!$A$5:$H$29,IF(E7195="HI",2,IF(E7195="LO",6,10))+IF(D7195=1,2,IF(D7195=7,1,(IF(WEEKDAY(B7195)=1,2,IF(WEEKDAY(B7195)=7,1,0))))))</f>
        <v>2</v>
      </c>
      <c r="G7195" s="369">
        <f>VLOOKUP(C7195,METADATA!$J$5:$Q$29,IF(E7195="HI",2,IF(E7195="LO",6,10))+IF(D7195=1,2,IF(D7195=7,1,(IF(WEEKDAY(B7195)=1,2,IF(WEEKDAY(B7195)=7,1,0))))))</f>
        <v>2</v>
      </c>
      <c r="H7195" s="370">
        <v>13919.199584960938</v>
      </c>
      <c r="I7195" s="370">
        <v>4729.8250427246094</v>
      </c>
      <c r="M7195" s="371">
        <f t="shared" si="449"/>
        <v>14700.862628456929</v>
      </c>
      <c r="N7195" s="329">
        <f t="shared" si="450"/>
        <v>554.06516723632831</v>
      </c>
      <c r="T7195" s="331">
        <v>0</v>
      </c>
      <c r="U7195" s="328">
        <f>VLOOKUP(C7195,METADATA!$J$5:$Q$29,IF(E7195="HI",2,IF(E7195="LO",6,10))+IF(T7195=1,2,IF(D7195=7,1,(IF(WEEKDAY(B7195)=1,2,IF(WEEKDAY(B7195)=7,1,0))))))</f>
        <v>2</v>
      </c>
      <c r="V7195" s="328">
        <f>VLOOKUP(C7195,METADATA!$A$5:$H$29,IF(E7195="HI",2,IF(E7195="LO",6,10))+IF(T7195=1,2,IF(D7195=7,1,(IF(WEEKDAY(B7195)=1,2,IF(WEEKDAY(B7195)=7,1,0))))))</f>
        <v>2</v>
      </c>
    </row>
    <row r="7196" spans="2:22">
      <c r="B7196" s="318">
        <f t="shared" ref="B7196:B7259" si="451">B7172+1</f>
        <v>46412</v>
      </c>
      <c r="C7196" s="312">
        <v>16</v>
      </c>
      <c r="D7196" s="368">
        <f>IFERROR((INDEX(METADATA!$T$2:$T$20,MATCH(B7196,METADATA!$S$2:$S$20,0))),0)</f>
        <v>0</v>
      </c>
      <c r="E7196" s="312" t="str">
        <f t="shared" si="448"/>
        <v>HI</v>
      </c>
      <c r="F7196" s="369">
        <f>VLOOKUP(C7196,METADATA!$A$5:$H$29,IF(E7196="HI",2,IF(E7196="LO",6,10))+IF(D7196=1,2,IF(D7196=7,1,(IF(WEEKDAY(B7196)=1,2,IF(WEEKDAY(B7196)=7,1,0))))))</f>
        <v>2</v>
      </c>
      <c r="G7196" s="369">
        <f>VLOOKUP(C7196,METADATA!$J$5:$Q$29,IF(E7196="HI",2,IF(E7196="LO",6,10))+IF(D7196=1,2,IF(D7196=7,1,(IF(WEEKDAY(B7196)=1,2,IF(WEEKDAY(B7196)=7,1,0))))))</f>
        <v>2</v>
      </c>
      <c r="H7196" s="370">
        <v>14069.175231933594</v>
      </c>
      <c r="I7196" s="370">
        <v>4753.1800537109375</v>
      </c>
      <c r="M7196" s="371">
        <f t="shared" si="449"/>
        <v>14850.40108313069</v>
      </c>
      <c r="N7196" s="329">
        <f t="shared" si="450"/>
        <v>532.42748413085974</v>
      </c>
      <c r="T7196" s="331">
        <v>0</v>
      </c>
      <c r="U7196" s="328">
        <f>VLOOKUP(C7196,METADATA!$J$5:$Q$29,IF(E7196="HI",2,IF(E7196="LO",6,10))+IF(T7196=1,2,IF(D7196=7,1,(IF(WEEKDAY(B7196)=1,2,IF(WEEKDAY(B7196)=7,1,0))))))</f>
        <v>2</v>
      </c>
      <c r="V7196" s="328">
        <f>VLOOKUP(C7196,METADATA!$A$5:$H$29,IF(E7196="HI",2,IF(E7196="LO",6,10))+IF(T7196=1,2,IF(D7196=7,1,(IF(WEEKDAY(B7196)=1,2,IF(WEEKDAY(B7196)=7,1,0))))))</f>
        <v>2</v>
      </c>
    </row>
    <row r="7197" spans="2:22">
      <c r="B7197" s="318">
        <f t="shared" si="451"/>
        <v>46412</v>
      </c>
      <c r="C7197" s="312">
        <v>17</v>
      </c>
      <c r="D7197" s="368">
        <f>IFERROR((INDEX(METADATA!$T$2:$T$20,MATCH(B7197,METADATA!$S$2:$S$20,0))),0)</f>
        <v>0</v>
      </c>
      <c r="E7197" s="312" t="str">
        <f t="shared" si="448"/>
        <v>HI</v>
      </c>
      <c r="F7197" s="369">
        <f>VLOOKUP(C7197,METADATA!$A$5:$H$29,IF(E7197="HI",2,IF(E7197="LO",6,10))+IF(D7197=1,2,IF(D7197=7,1,(IF(WEEKDAY(B7197)=1,2,IF(WEEKDAY(B7197)=7,1,0))))))</f>
        <v>1</v>
      </c>
      <c r="G7197" s="369">
        <f>VLOOKUP(C7197,METADATA!$J$5:$Q$29,IF(E7197="HI",2,IF(E7197="LO",6,10))+IF(D7197=1,2,IF(D7197=7,1,(IF(WEEKDAY(B7197)=1,2,IF(WEEKDAY(B7197)=7,1,0))))))</f>
        <v>1</v>
      </c>
      <c r="H7197" s="370">
        <v>13785.775024414063</v>
      </c>
      <c r="I7197" s="370">
        <v>4424.8699645996094</v>
      </c>
      <c r="M7197" s="371">
        <f t="shared" si="449"/>
        <v>14478.503625284427</v>
      </c>
      <c r="N7197" s="329">
        <f t="shared" si="450"/>
        <v>289.13745727539117</v>
      </c>
      <c r="T7197" s="331">
        <v>0</v>
      </c>
      <c r="U7197" s="328">
        <f>VLOOKUP(C7197,METADATA!$J$5:$Q$29,IF(E7197="HI",2,IF(E7197="LO",6,10))+IF(T7197=1,2,IF(D7197=7,1,(IF(WEEKDAY(B7197)=1,2,IF(WEEKDAY(B7197)=7,1,0))))))</f>
        <v>1</v>
      </c>
      <c r="V7197" s="328">
        <f>VLOOKUP(C7197,METADATA!$A$5:$H$29,IF(E7197="HI",2,IF(E7197="LO",6,10))+IF(T7197=1,2,IF(D7197=7,1,(IF(WEEKDAY(B7197)=1,2,IF(WEEKDAY(B7197)=7,1,0))))))</f>
        <v>1</v>
      </c>
    </row>
    <row r="7198" spans="2:22">
      <c r="B7198" s="318">
        <f t="shared" si="451"/>
        <v>46412</v>
      </c>
      <c r="C7198" s="312">
        <v>18</v>
      </c>
      <c r="D7198" s="368">
        <f>IFERROR((INDEX(METADATA!$T$2:$T$20,MATCH(B7198,METADATA!$S$2:$S$20,0))),0)</f>
        <v>0</v>
      </c>
      <c r="E7198" s="312" t="str">
        <f t="shared" si="448"/>
        <v>HI</v>
      </c>
      <c r="F7198" s="369">
        <f>VLOOKUP(C7198,METADATA!$A$5:$H$29,IF(E7198="HI",2,IF(E7198="LO",6,10))+IF(D7198=1,2,IF(D7198=7,1,(IF(WEEKDAY(B7198)=1,2,IF(WEEKDAY(B7198)=7,1,0))))))</f>
        <v>1</v>
      </c>
      <c r="G7198" s="369">
        <f>VLOOKUP(C7198,METADATA!$J$5:$Q$29,IF(E7198="HI",2,IF(E7198="LO",6,10))+IF(D7198=1,2,IF(D7198=7,1,(IF(WEEKDAY(B7198)=1,2,IF(WEEKDAY(B7198)=7,1,0))))))</f>
        <v>1</v>
      </c>
      <c r="H7198" s="370">
        <v>13897.425109863281</v>
      </c>
      <c r="I7198" s="370">
        <v>4404.0350341796875</v>
      </c>
      <c r="M7198" s="371">
        <f t="shared" si="449"/>
        <v>14578.544140844124</v>
      </c>
      <c r="N7198" s="329">
        <f t="shared" si="450"/>
        <v>234.80750122070367</v>
      </c>
      <c r="T7198" s="331">
        <v>0</v>
      </c>
      <c r="U7198" s="328">
        <f>VLOOKUP(C7198,METADATA!$J$5:$Q$29,IF(E7198="HI",2,IF(E7198="LO",6,10))+IF(T7198=1,2,IF(D7198=7,1,(IF(WEEKDAY(B7198)=1,2,IF(WEEKDAY(B7198)=7,1,0))))))</f>
        <v>1</v>
      </c>
      <c r="V7198" s="328">
        <f>VLOOKUP(C7198,METADATA!$A$5:$H$29,IF(E7198="HI",2,IF(E7198="LO",6,10))+IF(T7198=1,2,IF(D7198=7,1,(IF(WEEKDAY(B7198)=1,2,IF(WEEKDAY(B7198)=7,1,0))))))</f>
        <v>1</v>
      </c>
    </row>
    <row r="7199" spans="2:22">
      <c r="B7199" s="318">
        <f t="shared" si="451"/>
        <v>46412</v>
      </c>
      <c r="C7199" s="312">
        <v>19</v>
      </c>
      <c r="D7199" s="368">
        <f>IFERROR((INDEX(METADATA!$T$2:$T$20,MATCH(B7199,METADATA!$S$2:$S$20,0))),0)</f>
        <v>0</v>
      </c>
      <c r="E7199" s="312" t="str">
        <f t="shared" si="448"/>
        <v>HI</v>
      </c>
      <c r="F7199" s="369">
        <f>VLOOKUP(C7199,METADATA!$A$5:$H$29,IF(E7199="HI",2,IF(E7199="LO",6,10))+IF(D7199=1,2,IF(D7199=7,1,(IF(WEEKDAY(B7199)=1,2,IF(WEEKDAY(B7199)=7,1,0))))))</f>
        <v>1</v>
      </c>
      <c r="G7199" s="369">
        <f>VLOOKUP(C7199,METADATA!$J$5:$Q$29,IF(E7199="HI",2,IF(E7199="LO",6,10))+IF(D7199=1,2,IF(D7199=7,1,(IF(WEEKDAY(B7199)=1,2,IF(WEEKDAY(B7199)=7,1,0))))))</f>
        <v>1</v>
      </c>
      <c r="H7199" s="370">
        <v>13640.475036621094</v>
      </c>
      <c r="I7199" s="370">
        <v>4273.8800048828125</v>
      </c>
      <c r="M7199" s="371">
        <f t="shared" si="449"/>
        <v>14294.355862396189</v>
      </c>
      <c r="N7199" s="329">
        <f t="shared" si="450"/>
        <v>181.73749389648447</v>
      </c>
      <c r="T7199" s="331">
        <v>0</v>
      </c>
      <c r="U7199" s="328">
        <f>VLOOKUP(C7199,METADATA!$J$5:$Q$29,IF(E7199="HI",2,IF(E7199="LO",6,10))+IF(T7199=1,2,IF(D7199=7,1,(IF(WEEKDAY(B7199)=1,2,IF(WEEKDAY(B7199)=7,1,0))))))</f>
        <v>1</v>
      </c>
      <c r="V7199" s="328">
        <f>VLOOKUP(C7199,METADATA!$A$5:$H$29,IF(E7199="HI",2,IF(E7199="LO",6,10))+IF(T7199=1,2,IF(D7199=7,1,(IF(WEEKDAY(B7199)=1,2,IF(WEEKDAY(B7199)=7,1,0))))))</f>
        <v>1</v>
      </c>
    </row>
    <row r="7200" spans="2:22">
      <c r="B7200" s="318">
        <f t="shared" si="451"/>
        <v>46412</v>
      </c>
      <c r="C7200" s="312">
        <v>20</v>
      </c>
      <c r="D7200" s="368">
        <f>IFERROR((INDEX(METADATA!$T$2:$T$20,MATCH(B7200,METADATA!$S$2:$S$20,0))),0)</f>
        <v>0</v>
      </c>
      <c r="E7200" s="312" t="str">
        <f t="shared" si="448"/>
        <v>HI</v>
      </c>
      <c r="F7200" s="369">
        <f>VLOOKUP(C7200,METADATA!$A$5:$H$29,IF(E7200="HI",2,IF(E7200="LO",6,10))+IF(D7200=1,2,IF(D7200=7,1,(IF(WEEKDAY(B7200)=1,2,IF(WEEKDAY(B7200)=7,1,0))))))</f>
        <v>2</v>
      </c>
      <c r="G7200" s="369">
        <f>VLOOKUP(C7200,METADATA!$J$5:$Q$29,IF(E7200="HI",2,IF(E7200="LO",6,10))+IF(D7200=1,2,IF(D7200=7,1,(IF(WEEKDAY(B7200)=1,2,IF(WEEKDAY(B7200)=7,1,0))))))</f>
        <v>2</v>
      </c>
      <c r="H7200" s="370">
        <v>13592.7001953125</v>
      </c>
      <c r="I7200" s="370">
        <v>4307.0899658203125</v>
      </c>
      <c r="M7200" s="371">
        <f t="shared" si="449"/>
        <v>14258.770023158326</v>
      </c>
      <c r="N7200" s="329">
        <f t="shared" si="450"/>
        <v>229.2799072265625</v>
      </c>
      <c r="T7200" s="331">
        <v>0</v>
      </c>
      <c r="U7200" s="328">
        <f>VLOOKUP(C7200,METADATA!$J$5:$Q$29,IF(E7200="HI",2,IF(E7200="LO",6,10))+IF(T7200=1,2,IF(D7200=7,1,(IF(WEEKDAY(B7200)=1,2,IF(WEEKDAY(B7200)=7,1,0))))))</f>
        <v>2</v>
      </c>
      <c r="V7200" s="328">
        <f>VLOOKUP(C7200,METADATA!$A$5:$H$29,IF(E7200="HI",2,IF(E7200="LO",6,10))+IF(T7200=1,2,IF(D7200=7,1,(IF(WEEKDAY(B7200)=1,2,IF(WEEKDAY(B7200)=7,1,0))))))</f>
        <v>2</v>
      </c>
    </row>
    <row r="7201" spans="2:22">
      <c r="B7201" s="318">
        <f t="shared" si="451"/>
        <v>46412</v>
      </c>
      <c r="C7201" s="312">
        <v>21</v>
      </c>
      <c r="D7201" s="368">
        <f>IFERROR((INDEX(METADATA!$T$2:$T$20,MATCH(B7201,METADATA!$S$2:$S$20,0))),0)</f>
        <v>0</v>
      </c>
      <c r="E7201" s="312" t="str">
        <f t="shared" si="448"/>
        <v>HI</v>
      </c>
      <c r="F7201" s="369">
        <f>VLOOKUP(C7201,METADATA!$A$5:$H$29,IF(E7201="HI",2,IF(E7201="LO",6,10))+IF(D7201=1,2,IF(D7201=7,1,(IF(WEEKDAY(B7201)=1,2,IF(WEEKDAY(B7201)=7,1,0))))))</f>
        <v>2</v>
      </c>
      <c r="G7201" s="369">
        <f>VLOOKUP(C7201,METADATA!$J$5:$Q$29,IF(E7201="HI",2,IF(E7201="LO",6,10))+IF(D7201=1,2,IF(D7201=7,1,(IF(WEEKDAY(B7201)=1,2,IF(WEEKDAY(B7201)=7,1,0))))))</f>
        <v>2</v>
      </c>
      <c r="H7201" s="370">
        <v>13682.749877929688</v>
      </c>
      <c r="I7201" s="370">
        <v>4294.8150024414063</v>
      </c>
      <c r="M7201" s="371">
        <f t="shared" si="449"/>
        <v>14340.958131421366</v>
      </c>
      <c r="N7201" s="329">
        <f t="shared" si="450"/>
        <v>189.99003906249982</v>
      </c>
      <c r="T7201" s="331">
        <v>0</v>
      </c>
      <c r="U7201" s="328">
        <f>VLOOKUP(C7201,METADATA!$J$5:$Q$29,IF(E7201="HI",2,IF(E7201="LO",6,10))+IF(T7201=1,2,IF(D7201=7,1,(IF(WEEKDAY(B7201)=1,2,IF(WEEKDAY(B7201)=7,1,0))))))</f>
        <v>2</v>
      </c>
      <c r="V7201" s="328">
        <f>VLOOKUP(C7201,METADATA!$A$5:$H$29,IF(E7201="HI",2,IF(E7201="LO",6,10))+IF(T7201=1,2,IF(D7201=7,1,(IF(WEEKDAY(B7201)=1,2,IF(WEEKDAY(B7201)=7,1,0))))))</f>
        <v>2</v>
      </c>
    </row>
    <row r="7202" spans="2:22">
      <c r="B7202" s="318">
        <f t="shared" si="451"/>
        <v>46412</v>
      </c>
      <c r="C7202" s="312">
        <v>22</v>
      </c>
      <c r="D7202" s="368">
        <f>IFERROR((INDEX(METADATA!$T$2:$T$20,MATCH(B7202,METADATA!$S$2:$S$20,0))),0)</f>
        <v>0</v>
      </c>
      <c r="E7202" s="312" t="str">
        <f t="shared" si="448"/>
        <v>HI</v>
      </c>
      <c r="F7202" s="369">
        <f>VLOOKUP(C7202,METADATA!$A$5:$H$29,IF(E7202="HI",2,IF(E7202="LO",6,10))+IF(D7202=1,2,IF(D7202=7,1,(IF(WEEKDAY(B7202)=1,2,IF(WEEKDAY(B7202)=7,1,0))))))</f>
        <v>3</v>
      </c>
      <c r="G7202" s="369">
        <f>VLOOKUP(C7202,METADATA!$J$5:$Q$29,IF(E7202="HI",2,IF(E7202="LO",6,10))+IF(D7202=1,2,IF(D7202=7,1,(IF(WEEKDAY(B7202)=1,2,IF(WEEKDAY(B7202)=7,1,0))))))</f>
        <v>3</v>
      </c>
      <c r="H7202" s="370">
        <v>13684.575073242188</v>
      </c>
      <c r="I7202" s="370">
        <v>4507.7450561523438</v>
      </c>
      <c r="M7202" s="371">
        <f t="shared" si="449"/>
        <v>14407.892296462633</v>
      </c>
      <c r="N7202" s="329">
        <f t="shared" si="450"/>
        <v>402.37253417968805</v>
      </c>
      <c r="T7202" s="331">
        <v>0</v>
      </c>
      <c r="U7202" s="328">
        <f>VLOOKUP(C7202,METADATA!$J$5:$Q$29,IF(E7202="HI",2,IF(E7202="LO",6,10))+IF(T7202=1,2,IF(D7202=7,1,(IF(WEEKDAY(B7202)=1,2,IF(WEEKDAY(B7202)=7,1,0))))))</f>
        <v>3</v>
      </c>
      <c r="V7202" s="328">
        <f>VLOOKUP(C7202,METADATA!$A$5:$H$29,IF(E7202="HI",2,IF(E7202="LO",6,10))+IF(T7202=1,2,IF(D7202=7,1,(IF(WEEKDAY(B7202)=1,2,IF(WEEKDAY(B7202)=7,1,0))))))</f>
        <v>3</v>
      </c>
    </row>
    <row r="7203" spans="2:22">
      <c r="B7203" s="318">
        <f t="shared" si="451"/>
        <v>46412</v>
      </c>
      <c r="C7203" s="312">
        <v>23</v>
      </c>
      <c r="D7203" s="368">
        <f>IFERROR((INDEX(METADATA!$T$2:$T$20,MATCH(B7203,METADATA!$S$2:$S$20,0))),0)</f>
        <v>0</v>
      </c>
      <c r="E7203" s="312" t="str">
        <f t="shared" si="448"/>
        <v>HI</v>
      </c>
      <c r="F7203" s="369">
        <f>VLOOKUP(C7203,METADATA!$A$5:$H$29,IF(E7203="HI",2,IF(E7203="LO",6,10))+IF(D7203=1,2,IF(D7203=7,1,(IF(WEEKDAY(B7203)=1,2,IF(WEEKDAY(B7203)=7,1,0))))))</f>
        <v>3</v>
      </c>
      <c r="G7203" s="369">
        <f>VLOOKUP(C7203,METADATA!$J$5:$Q$29,IF(E7203="HI",2,IF(E7203="LO",6,10))+IF(D7203=1,2,IF(D7203=7,1,(IF(WEEKDAY(B7203)=1,2,IF(WEEKDAY(B7203)=7,1,0))))))</f>
        <v>3</v>
      </c>
      <c r="H7203" s="370">
        <v>13852.300415039063</v>
      </c>
      <c r="I7203" s="370">
        <v>4624.8199157714844</v>
      </c>
      <c r="M7203" s="371">
        <f t="shared" si="449"/>
        <v>14603.944194696442</v>
      </c>
      <c r="N7203" s="329">
        <f t="shared" si="450"/>
        <v>469.12979125976563</v>
      </c>
      <c r="T7203" s="331">
        <v>0</v>
      </c>
      <c r="U7203" s="328">
        <f>VLOOKUP(C7203,METADATA!$J$5:$Q$29,IF(E7203="HI",2,IF(E7203="LO",6,10))+IF(T7203=1,2,IF(D7203=7,1,(IF(WEEKDAY(B7203)=1,2,IF(WEEKDAY(B7203)=7,1,0))))))</f>
        <v>3</v>
      </c>
      <c r="V7203" s="328">
        <f>VLOOKUP(C7203,METADATA!$A$5:$H$29,IF(E7203="HI",2,IF(E7203="LO",6,10))+IF(T7203=1,2,IF(D7203=7,1,(IF(WEEKDAY(B7203)=1,2,IF(WEEKDAY(B7203)=7,1,0))))))</f>
        <v>3</v>
      </c>
    </row>
    <row r="7204" spans="2:22">
      <c r="B7204" s="318">
        <f t="shared" si="451"/>
        <v>46413</v>
      </c>
      <c r="C7204" s="312">
        <v>0</v>
      </c>
      <c r="D7204" s="368">
        <f>IFERROR((INDEX(METADATA!$T$2:$T$20,MATCH(B7204,METADATA!$S$2:$S$20,0))),0)</f>
        <v>0</v>
      </c>
      <c r="E7204" s="312" t="str">
        <f t="shared" si="448"/>
        <v>HI</v>
      </c>
      <c r="F7204" s="369">
        <f>VLOOKUP(C7204,METADATA!$A$5:$H$29,IF(E7204="HI",2,IF(E7204="LO",6,10))+IF(D7204=1,2,IF(D7204=7,1,(IF(WEEKDAY(B7204)=1,2,IF(WEEKDAY(B7204)=7,1,0))))))</f>
        <v>3</v>
      </c>
      <c r="G7204" s="369">
        <f>VLOOKUP(C7204,METADATA!$J$5:$Q$29,IF(E7204="HI",2,IF(E7204="LO",6,10))+IF(D7204=1,2,IF(D7204=7,1,(IF(WEEKDAY(B7204)=1,2,IF(WEEKDAY(B7204)=7,1,0))))))</f>
        <v>3</v>
      </c>
      <c r="H7204" s="370">
        <v>13503.924499511719</v>
      </c>
      <c r="I7204" s="370">
        <v>4550.919921875</v>
      </c>
      <c r="M7204" s="371">
        <f t="shared" si="449"/>
        <v>14250.152596510381</v>
      </c>
      <c r="N7204" s="329">
        <f t="shared" si="450"/>
        <v>499.74257202148465</v>
      </c>
      <c r="T7204" s="331">
        <v>0</v>
      </c>
      <c r="U7204" s="328">
        <f>VLOOKUP(C7204,METADATA!$J$5:$Q$29,IF(E7204="HI",2,IF(E7204="LO",6,10))+IF(T7204=1,2,IF(D7204=7,1,(IF(WEEKDAY(B7204)=1,2,IF(WEEKDAY(B7204)=7,1,0))))))</f>
        <v>3</v>
      </c>
      <c r="V7204" s="328">
        <f>VLOOKUP(C7204,METADATA!$A$5:$H$29,IF(E7204="HI",2,IF(E7204="LO",6,10))+IF(T7204=1,2,IF(D7204=7,1,(IF(WEEKDAY(B7204)=1,2,IF(WEEKDAY(B7204)=7,1,0))))))</f>
        <v>3</v>
      </c>
    </row>
    <row r="7205" spans="2:22">
      <c r="B7205" s="318">
        <f t="shared" si="451"/>
        <v>46413</v>
      </c>
      <c r="C7205" s="312">
        <v>1</v>
      </c>
      <c r="D7205" s="368">
        <f>IFERROR((INDEX(METADATA!$T$2:$T$20,MATCH(B7205,METADATA!$S$2:$S$20,0))),0)</f>
        <v>0</v>
      </c>
      <c r="E7205" s="312" t="str">
        <f t="shared" si="448"/>
        <v>HI</v>
      </c>
      <c r="F7205" s="369">
        <f>VLOOKUP(C7205,METADATA!$A$5:$H$29,IF(E7205="HI",2,IF(E7205="LO",6,10))+IF(D7205=1,2,IF(D7205=7,1,(IF(WEEKDAY(B7205)=1,2,IF(WEEKDAY(B7205)=7,1,0))))))</f>
        <v>3</v>
      </c>
      <c r="G7205" s="369">
        <f>VLOOKUP(C7205,METADATA!$J$5:$Q$29,IF(E7205="HI",2,IF(E7205="LO",6,10))+IF(D7205=1,2,IF(D7205=7,1,(IF(WEEKDAY(B7205)=1,2,IF(WEEKDAY(B7205)=7,1,0))))))</f>
        <v>3</v>
      </c>
      <c r="H7205" s="370">
        <v>13701.722839355469</v>
      </c>
      <c r="I7205" s="370">
        <v>4695.429931640625</v>
      </c>
      <c r="M7205" s="371">
        <f t="shared" si="449"/>
        <v>14483.931476276113</v>
      </c>
      <c r="N7205" s="329">
        <f t="shared" si="450"/>
        <v>584.91307983398474</v>
      </c>
      <c r="T7205" s="331">
        <v>0</v>
      </c>
      <c r="U7205" s="328">
        <f>VLOOKUP(C7205,METADATA!$J$5:$Q$29,IF(E7205="HI",2,IF(E7205="LO",6,10))+IF(T7205=1,2,IF(D7205=7,1,(IF(WEEKDAY(B7205)=1,2,IF(WEEKDAY(B7205)=7,1,0))))))</f>
        <v>3</v>
      </c>
      <c r="V7205" s="328">
        <f>VLOOKUP(C7205,METADATA!$A$5:$H$29,IF(E7205="HI",2,IF(E7205="LO",6,10))+IF(T7205=1,2,IF(D7205=7,1,(IF(WEEKDAY(B7205)=1,2,IF(WEEKDAY(B7205)=7,1,0))))))</f>
        <v>3</v>
      </c>
    </row>
    <row r="7206" spans="2:22">
      <c r="B7206" s="318">
        <f t="shared" si="451"/>
        <v>46413</v>
      </c>
      <c r="C7206" s="312">
        <v>2</v>
      </c>
      <c r="D7206" s="368">
        <f>IFERROR((INDEX(METADATA!$T$2:$T$20,MATCH(B7206,METADATA!$S$2:$S$20,0))),0)</f>
        <v>0</v>
      </c>
      <c r="E7206" s="312" t="str">
        <f t="shared" si="448"/>
        <v>HI</v>
      </c>
      <c r="F7206" s="369">
        <f>VLOOKUP(C7206,METADATA!$A$5:$H$29,IF(E7206="HI",2,IF(E7206="LO",6,10))+IF(D7206=1,2,IF(D7206=7,1,(IF(WEEKDAY(B7206)=1,2,IF(WEEKDAY(B7206)=7,1,0))))))</f>
        <v>3</v>
      </c>
      <c r="G7206" s="369">
        <f>VLOOKUP(C7206,METADATA!$J$5:$Q$29,IF(E7206="HI",2,IF(E7206="LO",6,10))+IF(D7206=1,2,IF(D7206=7,1,(IF(WEEKDAY(B7206)=1,2,IF(WEEKDAY(B7206)=7,1,0))))))</f>
        <v>3</v>
      </c>
      <c r="H7206" s="370">
        <v>13606.724975585938</v>
      </c>
      <c r="I7206" s="370">
        <v>4591.6749877929688</v>
      </c>
      <c r="M7206" s="371">
        <f t="shared" si="449"/>
        <v>14360.586469735756</v>
      </c>
      <c r="N7206" s="329">
        <f t="shared" si="450"/>
        <v>509.65749511718786</v>
      </c>
      <c r="T7206" s="331">
        <v>0</v>
      </c>
      <c r="U7206" s="328">
        <f>VLOOKUP(C7206,METADATA!$J$5:$Q$29,IF(E7206="HI",2,IF(E7206="LO",6,10))+IF(T7206=1,2,IF(D7206=7,1,(IF(WEEKDAY(B7206)=1,2,IF(WEEKDAY(B7206)=7,1,0))))))</f>
        <v>3</v>
      </c>
      <c r="V7206" s="328">
        <f>VLOOKUP(C7206,METADATA!$A$5:$H$29,IF(E7206="HI",2,IF(E7206="LO",6,10))+IF(T7206=1,2,IF(D7206=7,1,(IF(WEEKDAY(B7206)=1,2,IF(WEEKDAY(B7206)=7,1,0))))))</f>
        <v>3</v>
      </c>
    </row>
    <row r="7207" spans="2:22">
      <c r="B7207" s="318">
        <f t="shared" si="451"/>
        <v>46413</v>
      </c>
      <c r="C7207" s="312">
        <v>3</v>
      </c>
      <c r="D7207" s="368">
        <f>IFERROR((INDEX(METADATA!$T$2:$T$20,MATCH(B7207,METADATA!$S$2:$S$20,0))),0)</f>
        <v>0</v>
      </c>
      <c r="E7207" s="312" t="str">
        <f t="shared" si="448"/>
        <v>HI</v>
      </c>
      <c r="F7207" s="369">
        <f>VLOOKUP(C7207,METADATA!$A$5:$H$29,IF(E7207="HI",2,IF(E7207="LO",6,10))+IF(D7207=1,2,IF(D7207=7,1,(IF(WEEKDAY(B7207)=1,2,IF(WEEKDAY(B7207)=7,1,0))))))</f>
        <v>3</v>
      </c>
      <c r="G7207" s="369">
        <f>VLOOKUP(C7207,METADATA!$J$5:$Q$29,IF(E7207="HI",2,IF(E7207="LO",6,10))+IF(D7207=1,2,IF(D7207=7,1,(IF(WEEKDAY(B7207)=1,2,IF(WEEKDAY(B7207)=7,1,0))))))</f>
        <v>3</v>
      </c>
      <c r="H7207" s="370">
        <v>9542.0799560546875</v>
      </c>
      <c r="I7207" s="370">
        <v>2630.1650276184082</v>
      </c>
      <c r="M7207" s="371">
        <f t="shared" si="449"/>
        <v>9897.9320042242962</v>
      </c>
      <c r="N7207" s="329">
        <f t="shared" si="450"/>
        <v>0</v>
      </c>
      <c r="T7207" s="331">
        <v>0</v>
      </c>
      <c r="U7207" s="328">
        <f>VLOOKUP(C7207,METADATA!$J$5:$Q$29,IF(E7207="HI",2,IF(E7207="LO",6,10))+IF(T7207=1,2,IF(D7207=7,1,(IF(WEEKDAY(B7207)=1,2,IF(WEEKDAY(B7207)=7,1,0))))))</f>
        <v>3</v>
      </c>
      <c r="V7207" s="328">
        <f>VLOOKUP(C7207,METADATA!$A$5:$H$29,IF(E7207="HI",2,IF(E7207="LO",6,10))+IF(T7207=1,2,IF(D7207=7,1,(IF(WEEKDAY(B7207)=1,2,IF(WEEKDAY(B7207)=7,1,0))))))</f>
        <v>3</v>
      </c>
    </row>
    <row r="7208" spans="2:22">
      <c r="B7208" s="318">
        <f t="shared" si="451"/>
        <v>46413</v>
      </c>
      <c r="C7208" s="312">
        <v>4</v>
      </c>
      <c r="D7208" s="368">
        <f>IFERROR((INDEX(METADATA!$T$2:$T$20,MATCH(B7208,METADATA!$S$2:$S$20,0))),0)</f>
        <v>0</v>
      </c>
      <c r="E7208" s="312" t="str">
        <f t="shared" si="448"/>
        <v>HI</v>
      </c>
      <c r="F7208" s="369">
        <f>VLOOKUP(C7208,METADATA!$A$5:$H$29,IF(E7208="HI",2,IF(E7208="LO",6,10))+IF(D7208=1,2,IF(D7208=7,1,(IF(WEEKDAY(B7208)=1,2,IF(WEEKDAY(B7208)=7,1,0))))))</f>
        <v>3</v>
      </c>
      <c r="G7208" s="369">
        <f>VLOOKUP(C7208,METADATA!$J$5:$Q$29,IF(E7208="HI",2,IF(E7208="LO",6,10))+IF(D7208=1,2,IF(D7208=7,1,(IF(WEEKDAY(B7208)=1,2,IF(WEEKDAY(B7208)=7,1,0))))))</f>
        <v>3</v>
      </c>
      <c r="H7208" s="370">
        <v>7752.3026123046875</v>
      </c>
      <c r="I7208" s="370">
        <v>1962.3574981689453</v>
      </c>
      <c r="M7208" s="371">
        <f t="shared" si="449"/>
        <v>7996.8145372620693</v>
      </c>
      <c r="N7208" s="329">
        <f t="shared" si="450"/>
        <v>0</v>
      </c>
      <c r="T7208" s="331">
        <v>0</v>
      </c>
      <c r="U7208" s="328">
        <f>VLOOKUP(C7208,METADATA!$J$5:$Q$29,IF(E7208="HI",2,IF(E7208="LO",6,10))+IF(T7208=1,2,IF(D7208=7,1,(IF(WEEKDAY(B7208)=1,2,IF(WEEKDAY(B7208)=7,1,0))))))</f>
        <v>3</v>
      </c>
      <c r="V7208" s="328">
        <f>VLOOKUP(C7208,METADATA!$A$5:$H$29,IF(E7208="HI",2,IF(E7208="LO",6,10))+IF(T7208=1,2,IF(D7208=7,1,(IF(WEEKDAY(B7208)=1,2,IF(WEEKDAY(B7208)=7,1,0))))))</f>
        <v>3</v>
      </c>
    </row>
    <row r="7209" spans="2:22">
      <c r="B7209" s="318">
        <f t="shared" si="451"/>
        <v>46413</v>
      </c>
      <c r="C7209" s="312">
        <v>5</v>
      </c>
      <c r="D7209" s="368">
        <f>IFERROR((INDEX(METADATA!$T$2:$T$20,MATCH(B7209,METADATA!$S$2:$S$20,0))),0)</f>
        <v>0</v>
      </c>
      <c r="E7209" s="312" t="str">
        <f t="shared" si="448"/>
        <v>HI</v>
      </c>
      <c r="F7209" s="369">
        <f>VLOOKUP(C7209,METADATA!$A$5:$H$29,IF(E7209="HI",2,IF(E7209="LO",6,10))+IF(D7209=1,2,IF(D7209=7,1,(IF(WEEKDAY(B7209)=1,2,IF(WEEKDAY(B7209)=7,1,0))))))</f>
        <v>3</v>
      </c>
      <c r="G7209" s="369">
        <f>VLOOKUP(C7209,METADATA!$J$5:$Q$29,IF(E7209="HI",2,IF(E7209="LO",6,10))+IF(D7209=1,2,IF(D7209=7,1,(IF(WEEKDAY(B7209)=1,2,IF(WEEKDAY(B7209)=7,1,0))))))</f>
        <v>3</v>
      </c>
      <c r="H7209" s="370">
        <v>11939.349792480469</v>
      </c>
      <c r="I7209" s="370">
        <v>3079.9725036621094</v>
      </c>
      <c r="M7209" s="371">
        <f t="shared" si="449"/>
        <v>12330.219142031421</v>
      </c>
      <c r="N7209" s="329">
        <f t="shared" si="450"/>
        <v>0</v>
      </c>
      <c r="T7209" s="331">
        <v>0</v>
      </c>
      <c r="U7209" s="328">
        <f>VLOOKUP(C7209,METADATA!$J$5:$Q$29,IF(E7209="HI",2,IF(E7209="LO",6,10))+IF(T7209=1,2,IF(D7209=7,1,(IF(WEEKDAY(B7209)=1,2,IF(WEEKDAY(B7209)=7,1,0))))))</f>
        <v>3</v>
      </c>
      <c r="V7209" s="328">
        <f>VLOOKUP(C7209,METADATA!$A$5:$H$29,IF(E7209="HI",2,IF(E7209="LO",6,10))+IF(T7209=1,2,IF(D7209=7,1,(IF(WEEKDAY(B7209)=1,2,IF(WEEKDAY(B7209)=7,1,0))))))</f>
        <v>3</v>
      </c>
    </row>
    <row r="7210" spans="2:22">
      <c r="B7210" s="318">
        <f t="shared" si="451"/>
        <v>46413</v>
      </c>
      <c r="C7210" s="312">
        <v>6</v>
      </c>
      <c r="D7210" s="368">
        <f>IFERROR((INDEX(METADATA!$T$2:$T$20,MATCH(B7210,METADATA!$S$2:$S$20,0))),0)</f>
        <v>0</v>
      </c>
      <c r="E7210" s="312" t="str">
        <f t="shared" si="448"/>
        <v>HI</v>
      </c>
      <c r="F7210" s="369">
        <f>VLOOKUP(C7210,METADATA!$A$5:$H$29,IF(E7210="HI",2,IF(E7210="LO",6,10))+IF(D7210=1,2,IF(D7210=7,1,(IF(WEEKDAY(B7210)=1,2,IF(WEEKDAY(B7210)=7,1,0))))))</f>
        <v>1</v>
      </c>
      <c r="G7210" s="369">
        <f>VLOOKUP(C7210,METADATA!$J$5:$Q$29,IF(E7210="HI",2,IF(E7210="LO",6,10))+IF(D7210=1,2,IF(D7210=7,1,(IF(WEEKDAY(B7210)=1,2,IF(WEEKDAY(B7210)=7,1,0))))))</f>
        <v>1</v>
      </c>
      <c r="H7210" s="370">
        <v>13342.550109863281</v>
      </c>
      <c r="I7210" s="370">
        <v>3880.7850341796875</v>
      </c>
      <c r="M7210" s="371">
        <f t="shared" si="449"/>
        <v>13895.471777371422</v>
      </c>
      <c r="N7210" s="329">
        <f t="shared" si="450"/>
        <v>0</v>
      </c>
      <c r="T7210" s="331">
        <v>0</v>
      </c>
      <c r="U7210" s="328">
        <f>VLOOKUP(C7210,METADATA!$J$5:$Q$29,IF(E7210="HI",2,IF(E7210="LO",6,10))+IF(T7210=1,2,IF(D7210=7,1,(IF(WEEKDAY(B7210)=1,2,IF(WEEKDAY(B7210)=7,1,0))))))</f>
        <v>1</v>
      </c>
      <c r="V7210" s="328">
        <f>VLOOKUP(C7210,METADATA!$A$5:$H$29,IF(E7210="HI",2,IF(E7210="LO",6,10))+IF(T7210=1,2,IF(D7210=7,1,(IF(WEEKDAY(B7210)=1,2,IF(WEEKDAY(B7210)=7,1,0))))))</f>
        <v>1</v>
      </c>
    </row>
    <row r="7211" spans="2:22">
      <c r="B7211" s="318">
        <f t="shared" si="451"/>
        <v>46413</v>
      </c>
      <c r="C7211" s="312">
        <v>7</v>
      </c>
      <c r="D7211" s="368">
        <f>IFERROR((INDEX(METADATA!$T$2:$T$20,MATCH(B7211,METADATA!$S$2:$S$20,0))),0)</f>
        <v>0</v>
      </c>
      <c r="E7211" s="312" t="str">
        <f t="shared" si="448"/>
        <v>HI</v>
      </c>
      <c r="F7211" s="369">
        <f>VLOOKUP(C7211,METADATA!$A$5:$H$29,IF(E7211="HI",2,IF(E7211="LO",6,10))+IF(D7211=1,2,IF(D7211=7,1,(IF(WEEKDAY(B7211)=1,2,IF(WEEKDAY(B7211)=7,1,0))))))</f>
        <v>1</v>
      </c>
      <c r="G7211" s="369">
        <f>VLOOKUP(C7211,METADATA!$J$5:$Q$29,IF(E7211="HI",2,IF(E7211="LO",6,10))+IF(D7211=1,2,IF(D7211=7,1,(IF(WEEKDAY(B7211)=1,2,IF(WEEKDAY(B7211)=7,1,0))))))</f>
        <v>1</v>
      </c>
      <c r="H7211" s="370">
        <v>13954.799682617188</v>
      </c>
      <c r="I7211" s="370">
        <v>4593.6749877929688</v>
      </c>
      <c r="M7211" s="371">
        <f t="shared" si="449"/>
        <v>14691.435739077629</v>
      </c>
      <c r="N7211" s="329">
        <f t="shared" si="450"/>
        <v>407.23508300781305</v>
      </c>
      <c r="T7211" s="331">
        <v>0</v>
      </c>
      <c r="U7211" s="328">
        <f>VLOOKUP(C7211,METADATA!$J$5:$Q$29,IF(E7211="HI",2,IF(E7211="LO",6,10))+IF(T7211=1,2,IF(D7211=7,1,(IF(WEEKDAY(B7211)=1,2,IF(WEEKDAY(B7211)=7,1,0))))))</f>
        <v>1</v>
      </c>
      <c r="V7211" s="328">
        <f>VLOOKUP(C7211,METADATA!$A$5:$H$29,IF(E7211="HI",2,IF(E7211="LO",6,10))+IF(T7211=1,2,IF(D7211=7,1,(IF(WEEKDAY(B7211)=1,2,IF(WEEKDAY(B7211)=7,1,0))))))</f>
        <v>1</v>
      </c>
    </row>
    <row r="7212" spans="2:22">
      <c r="B7212" s="318">
        <f t="shared" si="451"/>
        <v>46413</v>
      </c>
      <c r="C7212" s="312">
        <v>8</v>
      </c>
      <c r="D7212" s="368">
        <f>IFERROR((INDEX(METADATA!$T$2:$T$20,MATCH(B7212,METADATA!$S$2:$S$20,0))),0)</f>
        <v>0</v>
      </c>
      <c r="E7212" s="312" t="str">
        <f t="shared" si="448"/>
        <v>HI</v>
      </c>
      <c r="F7212" s="369">
        <f>VLOOKUP(C7212,METADATA!$A$5:$H$29,IF(E7212="HI",2,IF(E7212="LO",6,10))+IF(D7212=1,2,IF(D7212=7,1,(IF(WEEKDAY(B7212)=1,2,IF(WEEKDAY(B7212)=7,1,0))))))</f>
        <v>2</v>
      </c>
      <c r="G7212" s="369">
        <f>VLOOKUP(C7212,METADATA!$J$5:$Q$29,IF(E7212="HI",2,IF(E7212="LO",6,10))+IF(D7212=1,2,IF(D7212=7,1,(IF(WEEKDAY(B7212)=1,2,IF(WEEKDAY(B7212)=7,1,0))))))</f>
        <v>2</v>
      </c>
      <c r="H7212" s="370">
        <v>14135.849975585938</v>
      </c>
      <c r="I7212" s="370">
        <v>4606.695068359375</v>
      </c>
      <c r="M7212" s="371">
        <f t="shared" si="449"/>
        <v>14867.544988501617</v>
      </c>
      <c r="N7212" s="329">
        <f t="shared" si="450"/>
        <v>365.94007568359393</v>
      </c>
      <c r="T7212" s="331">
        <v>0</v>
      </c>
      <c r="U7212" s="328">
        <f>VLOOKUP(C7212,METADATA!$J$5:$Q$29,IF(E7212="HI",2,IF(E7212="LO",6,10))+IF(T7212=1,2,IF(D7212=7,1,(IF(WEEKDAY(B7212)=1,2,IF(WEEKDAY(B7212)=7,1,0))))))</f>
        <v>2</v>
      </c>
      <c r="V7212" s="328">
        <f>VLOOKUP(C7212,METADATA!$A$5:$H$29,IF(E7212="HI",2,IF(E7212="LO",6,10))+IF(T7212=1,2,IF(D7212=7,1,(IF(WEEKDAY(B7212)=1,2,IF(WEEKDAY(B7212)=7,1,0))))))</f>
        <v>2</v>
      </c>
    </row>
    <row r="7213" spans="2:22">
      <c r="B7213" s="318">
        <f t="shared" si="451"/>
        <v>46413</v>
      </c>
      <c r="C7213" s="312">
        <v>9</v>
      </c>
      <c r="D7213" s="368">
        <f>IFERROR((INDEX(METADATA!$T$2:$T$20,MATCH(B7213,METADATA!$S$2:$S$20,0))),0)</f>
        <v>0</v>
      </c>
      <c r="E7213" s="312" t="str">
        <f t="shared" si="448"/>
        <v>HI</v>
      </c>
      <c r="F7213" s="369">
        <f>VLOOKUP(C7213,METADATA!$A$5:$H$29,IF(E7213="HI",2,IF(E7213="LO",6,10))+IF(D7213=1,2,IF(D7213=7,1,(IF(WEEKDAY(B7213)=1,2,IF(WEEKDAY(B7213)=7,1,0))))))</f>
        <v>2</v>
      </c>
      <c r="G7213" s="369">
        <f>VLOOKUP(C7213,METADATA!$J$5:$Q$29,IF(E7213="HI",2,IF(E7213="LO",6,10))+IF(D7213=1,2,IF(D7213=7,1,(IF(WEEKDAY(B7213)=1,2,IF(WEEKDAY(B7213)=7,1,0))))))</f>
        <v>2</v>
      </c>
      <c r="H7213" s="370">
        <v>13919.850219726563</v>
      </c>
      <c r="I7213" s="370">
        <v>4421.2949523925781</v>
      </c>
      <c r="M7213" s="371">
        <f t="shared" si="449"/>
        <v>14605.138794125638</v>
      </c>
      <c r="N7213" s="329">
        <f t="shared" si="450"/>
        <v>245.33988647460956</v>
      </c>
      <c r="T7213" s="331">
        <v>0</v>
      </c>
      <c r="U7213" s="328">
        <f>VLOOKUP(C7213,METADATA!$J$5:$Q$29,IF(E7213="HI",2,IF(E7213="LO",6,10))+IF(T7213=1,2,IF(D7213=7,1,(IF(WEEKDAY(B7213)=1,2,IF(WEEKDAY(B7213)=7,1,0))))))</f>
        <v>2</v>
      </c>
      <c r="V7213" s="328">
        <f>VLOOKUP(C7213,METADATA!$A$5:$H$29,IF(E7213="HI",2,IF(E7213="LO",6,10))+IF(T7213=1,2,IF(D7213=7,1,(IF(WEEKDAY(B7213)=1,2,IF(WEEKDAY(B7213)=7,1,0))))))</f>
        <v>2</v>
      </c>
    </row>
    <row r="7214" spans="2:22">
      <c r="B7214" s="318">
        <f t="shared" si="451"/>
        <v>46413</v>
      </c>
      <c r="C7214" s="312">
        <v>10</v>
      </c>
      <c r="D7214" s="368">
        <f>IFERROR((INDEX(METADATA!$T$2:$T$20,MATCH(B7214,METADATA!$S$2:$S$20,0))),0)</f>
        <v>0</v>
      </c>
      <c r="E7214" s="312" t="str">
        <f t="shared" si="448"/>
        <v>HI</v>
      </c>
      <c r="F7214" s="369">
        <f>VLOOKUP(C7214,METADATA!$A$5:$H$29,IF(E7214="HI",2,IF(E7214="LO",6,10))+IF(D7214=1,2,IF(D7214=7,1,(IF(WEEKDAY(B7214)=1,2,IF(WEEKDAY(B7214)=7,1,0))))))</f>
        <v>2</v>
      </c>
      <c r="G7214" s="369">
        <f>VLOOKUP(C7214,METADATA!$J$5:$Q$29,IF(E7214="HI",2,IF(E7214="LO",6,10))+IF(D7214=1,2,IF(D7214=7,1,(IF(WEEKDAY(B7214)=1,2,IF(WEEKDAY(B7214)=7,1,0))))))</f>
        <v>2</v>
      </c>
      <c r="H7214" s="370">
        <v>13955.775207519531</v>
      </c>
      <c r="I7214" s="370">
        <v>4486.9850769042969</v>
      </c>
      <c r="M7214" s="371">
        <f t="shared" si="449"/>
        <v>14659.355262874922</v>
      </c>
      <c r="N7214" s="329">
        <f t="shared" si="450"/>
        <v>300.25251464843768</v>
      </c>
      <c r="T7214" s="331">
        <v>0</v>
      </c>
      <c r="U7214" s="328">
        <f>VLOOKUP(C7214,METADATA!$J$5:$Q$29,IF(E7214="HI",2,IF(E7214="LO",6,10))+IF(T7214=1,2,IF(D7214=7,1,(IF(WEEKDAY(B7214)=1,2,IF(WEEKDAY(B7214)=7,1,0))))))</f>
        <v>2</v>
      </c>
      <c r="V7214" s="328">
        <f>VLOOKUP(C7214,METADATA!$A$5:$H$29,IF(E7214="HI",2,IF(E7214="LO",6,10))+IF(T7214=1,2,IF(D7214=7,1,(IF(WEEKDAY(B7214)=1,2,IF(WEEKDAY(B7214)=7,1,0))))))</f>
        <v>2</v>
      </c>
    </row>
    <row r="7215" spans="2:22">
      <c r="B7215" s="318">
        <f t="shared" si="451"/>
        <v>46413</v>
      </c>
      <c r="C7215" s="312">
        <v>11</v>
      </c>
      <c r="D7215" s="368">
        <f>IFERROR((INDEX(METADATA!$T$2:$T$20,MATCH(B7215,METADATA!$S$2:$S$20,0))),0)</f>
        <v>0</v>
      </c>
      <c r="E7215" s="312" t="str">
        <f t="shared" si="448"/>
        <v>HI</v>
      </c>
      <c r="F7215" s="369">
        <f>VLOOKUP(C7215,METADATA!$A$5:$H$29,IF(E7215="HI",2,IF(E7215="LO",6,10))+IF(D7215=1,2,IF(D7215=7,1,(IF(WEEKDAY(B7215)=1,2,IF(WEEKDAY(B7215)=7,1,0))))))</f>
        <v>2</v>
      </c>
      <c r="G7215" s="369">
        <f>VLOOKUP(C7215,METADATA!$J$5:$Q$29,IF(E7215="HI",2,IF(E7215="LO",6,10))+IF(D7215=1,2,IF(D7215=7,1,(IF(WEEKDAY(B7215)=1,2,IF(WEEKDAY(B7215)=7,1,0))))))</f>
        <v>2</v>
      </c>
      <c r="H7215" s="370">
        <v>13804.249877929688</v>
      </c>
      <c r="I7215" s="370">
        <v>4402.3900756835938</v>
      </c>
      <c r="M7215" s="371">
        <f t="shared" si="449"/>
        <v>14489.249568932104</v>
      </c>
      <c r="N7215" s="329">
        <f t="shared" si="450"/>
        <v>261.1151123046875</v>
      </c>
      <c r="T7215" s="331">
        <v>0</v>
      </c>
      <c r="U7215" s="328">
        <f>VLOOKUP(C7215,METADATA!$J$5:$Q$29,IF(E7215="HI",2,IF(E7215="LO",6,10))+IF(T7215=1,2,IF(D7215=7,1,(IF(WEEKDAY(B7215)=1,2,IF(WEEKDAY(B7215)=7,1,0))))))</f>
        <v>2</v>
      </c>
      <c r="V7215" s="328">
        <f>VLOOKUP(C7215,METADATA!$A$5:$H$29,IF(E7215="HI",2,IF(E7215="LO",6,10))+IF(T7215=1,2,IF(D7215=7,1,(IF(WEEKDAY(B7215)=1,2,IF(WEEKDAY(B7215)=7,1,0))))))</f>
        <v>2</v>
      </c>
    </row>
    <row r="7216" spans="2:22">
      <c r="B7216" s="318">
        <f t="shared" si="451"/>
        <v>46413</v>
      </c>
      <c r="C7216" s="312">
        <v>12</v>
      </c>
      <c r="D7216" s="368">
        <f>IFERROR((INDEX(METADATA!$T$2:$T$20,MATCH(B7216,METADATA!$S$2:$S$20,0))),0)</f>
        <v>0</v>
      </c>
      <c r="E7216" s="312" t="str">
        <f t="shared" si="448"/>
        <v>HI</v>
      </c>
      <c r="F7216" s="369">
        <f>VLOOKUP(C7216,METADATA!$A$5:$H$29,IF(E7216="HI",2,IF(E7216="LO",6,10))+IF(D7216=1,2,IF(D7216=7,1,(IF(WEEKDAY(B7216)=1,2,IF(WEEKDAY(B7216)=7,1,0))))))</f>
        <v>2</v>
      </c>
      <c r="G7216" s="369">
        <f>VLOOKUP(C7216,METADATA!$J$5:$Q$29,IF(E7216="HI",2,IF(E7216="LO",6,10))+IF(D7216=1,2,IF(D7216=7,1,(IF(WEEKDAY(B7216)=1,2,IF(WEEKDAY(B7216)=7,1,0))))))</f>
        <v>2</v>
      </c>
      <c r="H7216" s="370">
        <v>13940.075073242188</v>
      </c>
      <c r="I7216" s="370">
        <v>4512.3750305175781</v>
      </c>
      <c r="M7216" s="371">
        <f t="shared" si="449"/>
        <v>14652.20875716923</v>
      </c>
      <c r="N7216" s="329">
        <f t="shared" si="450"/>
        <v>330.35250854492188</v>
      </c>
      <c r="T7216" s="331">
        <v>0</v>
      </c>
      <c r="U7216" s="328">
        <f>VLOOKUP(C7216,METADATA!$J$5:$Q$29,IF(E7216="HI",2,IF(E7216="LO",6,10))+IF(T7216=1,2,IF(D7216=7,1,(IF(WEEKDAY(B7216)=1,2,IF(WEEKDAY(B7216)=7,1,0))))))</f>
        <v>2</v>
      </c>
      <c r="V7216" s="328">
        <f>VLOOKUP(C7216,METADATA!$A$5:$H$29,IF(E7216="HI",2,IF(E7216="LO",6,10))+IF(T7216=1,2,IF(D7216=7,1,(IF(WEEKDAY(B7216)=1,2,IF(WEEKDAY(B7216)=7,1,0))))))</f>
        <v>2</v>
      </c>
    </row>
    <row r="7217" spans="2:22">
      <c r="B7217" s="318">
        <f t="shared" si="451"/>
        <v>46413</v>
      </c>
      <c r="C7217" s="312">
        <v>13</v>
      </c>
      <c r="D7217" s="368">
        <f>IFERROR((INDEX(METADATA!$T$2:$T$20,MATCH(B7217,METADATA!$S$2:$S$20,0))),0)</f>
        <v>0</v>
      </c>
      <c r="E7217" s="312" t="str">
        <f t="shared" si="448"/>
        <v>HI</v>
      </c>
      <c r="F7217" s="369">
        <f>VLOOKUP(C7217,METADATA!$A$5:$H$29,IF(E7217="HI",2,IF(E7217="LO",6,10))+IF(D7217=1,2,IF(D7217=7,1,(IF(WEEKDAY(B7217)=1,2,IF(WEEKDAY(B7217)=7,1,0))))))</f>
        <v>2</v>
      </c>
      <c r="G7217" s="369">
        <f>VLOOKUP(C7217,METADATA!$J$5:$Q$29,IF(E7217="HI",2,IF(E7217="LO",6,10))+IF(D7217=1,2,IF(D7217=7,1,(IF(WEEKDAY(B7217)=1,2,IF(WEEKDAY(B7217)=7,1,0))))))</f>
        <v>2</v>
      </c>
      <c r="H7217" s="370">
        <v>12969.775085449219</v>
      </c>
      <c r="I7217" s="370">
        <v>3981.059814453125</v>
      </c>
      <c r="M7217" s="371">
        <f t="shared" si="449"/>
        <v>13567.01525809538</v>
      </c>
      <c r="N7217" s="329">
        <f t="shared" si="450"/>
        <v>90.127288818359375</v>
      </c>
      <c r="T7217" s="331">
        <v>0</v>
      </c>
      <c r="U7217" s="328">
        <f>VLOOKUP(C7217,METADATA!$J$5:$Q$29,IF(E7217="HI",2,IF(E7217="LO",6,10))+IF(T7217=1,2,IF(D7217=7,1,(IF(WEEKDAY(B7217)=1,2,IF(WEEKDAY(B7217)=7,1,0))))))</f>
        <v>2</v>
      </c>
      <c r="V7217" s="328">
        <f>VLOOKUP(C7217,METADATA!$A$5:$H$29,IF(E7217="HI",2,IF(E7217="LO",6,10))+IF(T7217=1,2,IF(D7217=7,1,(IF(WEEKDAY(B7217)=1,2,IF(WEEKDAY(B7217)=7,1,0))))))</f>
        <v>2</v>
      </c>
    </row>
    <row r="7218" spans="2:22">
      <c r="B7218" s="318">
        <f t="shared" si="451"/>
        <v>46413</v>
      </c>
      <c r="C7218" s="312">
        <v>14</v>
      </c>
      <c r="D7218" s="368">
        <f>IFERROR((INDEX(METADATA!$T$2:$T$20,MATCH(B7218,METADATA!$S$2:$S$20,0))),0)</f>
        <v>0</v>
      </c>
      <c r="E7218" s="312" t="str">
        <f t="shared" si="448"/>
        <v>HI</v>
      </c>
      <c r="F7218" s="369">
        <f>VLOOKUP(C7218,METADATA!$A$5:$H$29,IF(E7218="HI",2,IF(E7218="LO",6,10))+IF(D7218=1,2,IF(D7218=7,1,(IF(WEEKDAY(B7218)=1,2,IF(WEEKDAY(B7218)=7,1,0))))))</f>
        <v>2</v>
      </c>
      <c r="G7218" s="369">
        <f>VLOOKUP(C7218,METADATA!$J$5:$Q$29,IF(E7218="HI",2,IF(E7218="LO",6,10))+IF(D7218=1,2,IF(D7218=7,1,(IF(WEEKDAY(B7218)=1,2,IF(WEEKDAY(B7218)=7,1,0))))))</f>
        <v>2</v>
      </c>
      <c r="H7218" s="370">
        <v>11895.175170898438</v>
      </c>
      <c r="I7218" s="370">
        <v>3400.0675354003906</v>
      </c>
      <c r="M7218" s="371">
        <f t="shared" si="449"/>
        <v>12371.566254587264</v>
      </c>
      <c r="N7218" s="329">
        <f t="shared" si="450"/>
        <v>0</v>
      </c>
      <c r="T7218" s="331">
        <v>0</v>
      </c>
      <c r="U7218" s="328">
        <f>VLOOKUP(C7218,METADATA!$J$5:$Q$29,IF(E7218="HI",2,IF(E7218="LO",6,10))+IF(T7218=1,2,IF(D7218=7,1,(IF(WEEKDAY(B7218)=1,2,IF(WEEKDAY(B7218)=7,1,0))))))</f>
        <v>2</v>
      </c>
      <c r="V7218" s="328">
        <f>VLOOKUP(C7218,METADATA!$A$5:$H$29,IF(E7218="HI",2,IF(E7218="LO",6,10))+IF(T7218=1,2,IF(D7218=7,1,(IF(WEEKDAY(B7218)=1,2,IF(WEEKDAY(B7218)=7,1,0))))))</f>
        <v>2</v>
      </c>
    </row>
    <row r="7219" spans="2:22">
      <c r="B7219" s="318">
        <f t="shared" si="451"/>
        <v>46413</v>
      </c>
      <c r="C7219" s="312">
        <v>15</v>
      </c>
      <c r="D7219" s="368">
        <f>IFERROR((INDEX(METADATA!$T$2:$T$20,MATCH(B7219,METADATA!$S$2:$S$20,0))),0)</f>
        <v>0</v>
      </c>
      <c r="E7219" s="312" t="str">
        <f t="shared" si="448"/>
        <v>HI</v>
      </c>
      <c r="F7219" s="369">
        <f>VLOOKUP(C7219,METADATA!$A$5:$H$29,IF(E7219="HI",2,IF(E7219="LO",6,10))+IF(D7219=1,2,IF(D7219=7,1,(IF(WEEKDAY(B7219)=1,2,IF(WEEKDAY(B7219)=7,1,0))))))</f>
        <v>2</v>
      </c>
      <c r="G7219" s="369">
        <f>VLOOKUP(C7219,METADATA!$J$5:$Q$29,IF(E7219="HI",2,IF(E7219="LO",6,10))+IF(D7219=1,2,IF(D7219=7,1,(IF(WEEKDAY(B7219)=1,2,IF(WEEKDAY(B7219)=7,1,0))))))</f>
        <v>2</v>
      </c>
      <c r="H7219" s="370">
        <v>13616.52490234375</v>
      </c>
      <c r="I7219" s="370">
        <v>4376.650146484375</v>
      </c>
      <c r="M7219" s="371">
        <f t="shared" si="449"/>
        <v>14302.615737020595</v>
      </c>
      <c r="N7219" s="329">
        <f t="shared" si="450"/>
        <v>291.69267578125027</v>
      </c>
      <c r="T7219" s="331">
        <v>0</v>
      </c>
      <c r="U7219" s="328">
        <f>VLOOKUP(C7219,METADATA!$J$5:$Q$29,IF(E7219="HI",2,IF(E7219="LO",6,10))+IF(T7219=1,2,IF(D7219=7,1,(IF(WEEKDAY(B7219)=1,2,IF(WEEKDAY(B7219)=7,1,0))))))</f>
        <v>2</v>
      </c>
      <c r="V7219" s="328">
        <f>VLOOKUP(C7219,METADATA!$A$5:$H$29,IF(E7219="HI",2,IF(E7219="LO",6,10))+IF(T7219=1,2,IF(D7219=7,1,(IF(WEEKDAY(B7219)=1,2,IF(WEEKDAY(B7219)=7,1,0))))))</f>
        <v>2</v>
      </c>
    </row>
    <row r="7220" spans="2:22">
      <c r="B7220" s="318">
        <f t="shared" si="451"/>
        <v>46413</v>
      </c>
      <c r="C7220" s="312">
        <v>16</v>
      </c>
      <c r="D7220" s="368">
        <f>IFERROR((INDEX(METADATA!$T$2:$T$20,MATCH(B7220,METADATA!$S$2:$S$20,0))),0)</f>
        <v>0</v>
      </c>
      <c r="E7220" s="312" t="str">
        <f t="shared" si="448"/>
        <v>HI</v>
      </c>
      <c r="F7220" s="369">
        <f>VLOOKUP(C7220,METADATA!$A$5:$H$29,IF(E7220="HI",2,IF(E7220="LO",6,10))+IF(D7220=1,2,IF(D7220=7,1,(IF(WEEKDAY(B7220)=1,2,IF(WEEKDAY(B7220)=7,1,0))))))</f>
        <v>2</v>
      </c>
      <c r="G7220" s="369">
        <f>VLOOKUP(C7220,METADATA!$J$5:$Q$29,IF(E7220="HI",2,IF(E7220="LO",6,10))+IF(D7220=1,2,IF(D7220=7,1,(IF(WEEKDAY(B7220)=1,2,IF(WEEKDAY(B7220)=7,1,0))))))</f>
        <v>2</v>
      </c>
      <c r="H7220" s="370">
        <v>13476.475341796875</v>
      </c>
      <c r="I7220" s="370">
        <v>4332.5800476074219</v>
      </c>
      <c r="M7220" s="371">
        <f t="shared" si="449"/>
        <v>14155.798723738097</v>
      </c>
      <c r="N7220" s="329">
        <f t="shared" si="450"/>
        <v>289.63744506835974</v>
      </c>
      <c r="T7220" s="331">
        <v>0</v>
      </c>
      <c r="U7220" s="328">
        <f>VLOOKUP(C7220,METADATA!$J$5:$Q$29,IF(E7220="HI",2,IF(E7220="LO",6,10))+IF(T7220=1,2,IF(D7220=7,1,(IF(WEEKDAY(B7220)=1,2,IF(WEEKDAY(B7220)=7,1,0))))))</f>
        <v>2</v>
      </c>
      <c r="V7220" s="328">
        <f>VLOOKUP(C7220,METADATA!$A$5:$H$29,IF(E7220="HI",2,IF(E7220="LO",6,10))+IF(T7220=1,2,IF(D7220=7,1,(IF(WEEKDAY(B7220)=1,2,IF(WEEKDAY(B7220)=7,1,0))))))</f>
        <v>2</v>
      </c>
    </row>
    <row r="7221" spans="2:22">
      <c r="B7221" s="318">
        <f t="shared" si="451"/>
        <v>46413</v>
      </c>
      <c r="C7221" s="312">
        <v>17</v>
      </c>
      <c r="D7221" s="368">
        <f>IFERROR((INDEX(METADATA!$T$2:$T$20,MATCH(B7221,METADATA!$S$2:$S$20,0))),0)</f>
        <v>0</v>
      </c>
      <c r="E7221" s="312" t="str">
        <f t="shared" si="448"/>
        <v>HI</v>
      </c>
      <c r="F7221" s="369">
        <f>VLOOKUP(C7221,METADATA!$A$5:$H$29,IF(E7221="HI",2,IF(E7221="LO",6,10))+IF(D7221=1,2,IF(D7221=7,1,(IF(WEEKDAY(B7221)=1,2,IF(WEEKDAY(B7221)=7,1,0))))))</f>
        <v>1</v>
      </c>
      <c r="G7221" s="369">
        <f>VLOOKUP(C7221,METADATA!$J$5:$Q$29,IF(E7221="HI",2,IF(E7221="LO",6,10))+IF(D7221=1,2,IF(D7221=7,1,(IF(WEEKDAY(B7221)=1,2,IF(WEEKDAY(B7221)=7,1,0))))))</f>
        <v>1</v>
      </c>
      <c r="H7221" s="370">
        <v>13370.674743652344</v>
      </c>
      <c r="I7221" s="370">
        <v>4305.4048767089844</v>
      </c>
      <c r="M7221" s="371">
        <f t="shared" si="449"/>
        <v>14046.759564146179</v>
      </c>
      <c r="N7221" s="329">
        <f t="shared" si="450"/>
        <v>294.20245361328125</v>
      </c>
      <c r="T7221" s="331">
        <v>0</v>
      </c>
      <c r="U7221" s="328">
        <f>VLOOKUP(C7221,METADATA!$J$5:$Q$29,IF(E7221="HI",2,IF(E7221="LO",6,10))+IF(T7221=1,2,IF(D7221=7,1,(IF(WEEKDAY(B7221)=1,2,IF(WEEKDAY(B7221)=7,1,0))))))</f>
        <v>1</v>
      </c>
      <c r="V7221" s="328">
        <f>VLOOKUP(C7221,METADATA!$A$5:$H$29,IF(E7221="HI",2,IF(E7221="LO",6,10))+IF(T7221=1,2,IF(D7221=7,1,(IF(WEEKDAY(B7221)=1,2,IF(WEEKDAY(B7221)=7,1,0))))))</f>
        <v>1</v>
      </c>
    </row>
    <row r="7222" spans="2:22">
      <c r="B7222" s="318">
        <f t="shared" si="451"/>
        <v>46413</v>
      </c>
      <c r="C7222" s="312">
        <v>18</v>
      </c>
      <c r="D7222" s="368">
        <f>IFERROR((INDEX(METADATA!$T$2:$T$20,MATCH(B7222,METADATA!$S$2:$S$20,0))),0)</f>
        <v>0</v>
      </c>
      <c r="E7222" s="312" t="str">
        <f t="shared" si="448"/>
        <v>HI</v>
      </c>
      <c r="F7222" s="369">
        <f>VLOOKUP(C7222,METADATA!$A$5:$H$29,IF(E7222="HI",2,IF(E7222="LO",6,10))+IF(D7222=1,2,IF(D7222=7,1,(IF(WEEKDAY(B7222)=1,2,IF(WEEKDAY(B7222)=7,1,0))))))</f>
        <v>1</v>
      </c>
      <c r="G7222" s="369">
        <f>VLOOKUP(C7222,METADATA!$J$5:$Q$29,IF(E7222="HI",2,IF(E7222="LO",6,10))+IF(D7222=1,2,IF(D7222=7,1,(IF(WEEKDAY(B7222)=1,2,IF(WEEKDAY(B7222)=7,1,0))))))</f>
        <v>1</v>
      </c>
      <c r="H7222" s="370">
        <v>13351.349975585938</v>
      </c>
      <c r="I7222" s="370">
        <v>4268.4299621582031</v>
      </c>
      <c r="M7222" s="371">
        <f t="shared" si="449"/>
        <v>14017.062478009737</v>
      </c>
      <c r="N7222" s="329">
        <f t="shared" si="450"/>
        <v>263.02496948242197</v>
      </c>
      <c r="T7222" s="331">
        <v>0</v>
      </c>
      <c r="U7222" s="328">
        <f>VLOOKUP(C7222,METADATA!$J$5:$Q$29,IF(E7222="HI",2,IF(E7222="LO",6,10))+IF(T7222=1,2,IF(D7222=7,1,(IF(WEEKDAY(B7222)=1,2,IF(WEEKDAY(B7222)=7,1,0))))))</f>
        <v>1</v>
      </c>
      <c r="V7222" s="328">
        <f>VLOOKUP(C7222,METADATA!$A$5:$H$29,IF(E7222="HI",2,IF(E7222="LO",6,10))+IF(T7222=1,2,IF(D7222=7,1,(IF(WEEKDAY(B7222)=1,2,IF(WEEKDAY(B7222)=7,1,0))))))</f>
        <v>1</v>
      </c>
    </row>
    <row r="7223" spans="2:22">
      <c r="B7223" s="318">
        <f t="shared" si="451"/>
        <v>46413</v>
      </c>
      <c r="C7223" s="312">
        <v>19</v>
      </c>
      <c r="D7223" s="368">
        <f>IFERROR((INDEX(METADATA!$T$2:$T$20,MATCH(B7223,METADATA!$S$2:$S$20,0))),0)</f>
        <v>0</v>
      </c>
      <c r="E7223" s="312" t="str">
        <f t="shared" si="448"/>
        <v>HI</v>
      </c>
      <c r="F7223" s="369">
        <f>VLOOKUP(C7223,METADATA!$A$5:$H$29,IF(E7223="HI",2,IF(E7223="LO",6,10))+IF(D7223=1,2,IF(D7223=7,1,(IF(WEEKDAY(B7223)=1,2,IF(WEEKDAY(B7223)=7,1,0))))))</f>
        <v>1</v>
      </c>
      <c r="G7223" s="369">
        <f>VLOOKUP(C7223,METADATA!$J$5:$Q$29,IF(E7223="HI",2,IF(E7223="LO",6,10))+IF(D7223=1,2,IF(D7223=7,1,(IF(WEEKDAY(B7223)=1,2,IF(WEEKDAY(B7223)=7,1,0))))))</f>
        <v>1</v>
      </c>
      <c r="H7223" s="370">
        <v>13002.275146484375</v>
      </c>
      <c r="I7223" s="370">
        <v>3825.4650268554688</v>
      </c>
      <c r="M7223" s="371">
        <f t="shared" si="449"/>
        <v>13553.351676119808</v>
      </c>
      <c r="N7223" s="329">
        <f t="shared" si="450"/>
        <v>0</v>
      </c>
      <c r="T7223" s="331">
        <v>0</v>
      </c>
      <c r="U7223" s="328">
        <f>VLOOKUP(C7223,METADATA!$J$5:$Q$29,IF(E7223="HI",2,IF(E7223="LO",6,10))+IF(T7223=1,2,IF(D7223=7,1,(IF(WEEKDAY(B7223)=1,2,IF(WEEKDAY(B7223)=7,1,0))))))</f>
        <v>1</v>
      </c>
      <c r="V7223" s="328">
        <f>VLOOKUP(C7223,METADATA!$A$5:$H$29,IF(E7223="HI",2,IF(E7223="LO",6,10))+IF(T7223=1,2,IF(D7223=7,1,(IF(WEEKDAY(B7223)=1,2,IF(WEEKDAY(B7223)=7,1,0))))))</f>
        <v>1</v>
      </c>
    </row>
    <row r="7224" spans="2:22">
      <c r="B7224" s="318">
        <f t="shared" si="451"/>
        <v>46413</v>
      </c>
      <c r="C7224" s="312">
        <v>20</v>
      </c>
      <c r="D7224" s="368">
        <f>IFERROR((INDEX(METADATA!$T$2:$T$20,MATCH(B7224,METADATA!$S$2:$S$20,0))),0)</f>
        <v>0</v>
      </c>
      <c r="E7224" s="312" t="str">
        <f t="shared" si="448"/>
        <v>HI</v>
      </c>
      <c r="F7224" s="369">
        <f>VLOOKUP(C7224,METADATA!$A$5:$H$29,IF(E7224="HI",2,IF(E7224="LO",6,10))+IF(D7224=1,2,IF(D7224=7,1,(IF(WEEKDAY(B7224)=1,2,IF(WEEKDAY(B7224)=7,1,0))))))</f>
        <v>2</v>
      </c>
      <c r="G7224" s="369">
        <f>VLOOKUP(C7224,METADATA!$J$5:$Q$29,IF(E7224="HI",2,IF(E7224="LO",6,10))+IF(D7224=1,2,IF(D7224=7,1,(IF(WEEKDAY(B7224)=1,2,IF(WEEKDAY(B7224)=7,1,0))))))</f>
        <v>2</v>
      </c>
      <c r="H7224" s="370">
        <v>13409.550170898438</v>
      </c>
      <c r="I7224" s="370">
        <v>4168.7049865722656</v>
      </c>
      <c r="M7224" s="371">
        <f t="shared" si="449"/>
        <v>14042.582990707755</v>
      </c>
      <c r="N7224" s="329">
        <f t="shared" si="450"/>
        <v>145.83993530273438</v>
      </c>
      <c r="T7224" s="331">
        <v>0</v>
      </c>
      <c r="U7224" s="328">
        <f>VLOOKUP(C7224,METADATA!$J$5:$Q$29,IF(E7224="HI",2,IF(E7224="LO",6,10))+IF(T7224=1,2,IF(D7224=7,1,(IF(WEEKDAY(B7224)=1,2,IF(WEEKDAY(B7224)=7,1,0))))))</f>
        <v>2</v>
      </c>
      <c r="V7224" s="328">
        <f>VLOOKUP(C7224,METADATA!$A$5:$H$29,IF(E7224="HI",2,IF(E7224="LO",6,10))+IF(T7224=1,2,IF(D7224=7,1,(IF(WEEKDAY(B7224)=1,2,IF(WEEKDAY(B7224)=7,1,0))))))</f>
        <v>2</v>
      </c>
    </row>
    <row r="7225" spans="2:22">
      <c r="B7225" s="318">
        <f t="shared" si="451"/>
        <v>46413</v>
      </c>
      <c r="C7225" s="312">
        <v>21</v>
      </c>
      <c r="D7225" s="368">
        <f>IFERROR((INDEX(METADATA!$T$2:$T$20,MATCH(B7225,METADATA!$S$2:$S$20,0))),0)</f>
        <v>0</v>
      </c>
      <c r="E7225" s="312" t="str">
        <f t="shared" si="448"/>
        <v>HI</v>
      </c>
      <c r="F7225" s="369">
        <f>VLOOKUP(C7225,METADATA!$A$5:$H$29,IF(E7225="HI",2,IF(E7225="LO",6,10))+IF(D7225=1,2,IF(D7225=7,1,(IF(WEEKDAY(B7225)=1,2,IF(WEEKDAY(B7225)=7,1,0))))))</f>
        <v>2</v>
      </c>
      <c r="G7225" s="369">
        <f>VLOOKUP(C7225,METADATA!$J$5:$Q$29,IF(E7225="HI",2,IF(E7225="LO",6,10))+IF(D7225=1,2,IF(D7225=7,1,(IF(WEEKDAY(B7225)=1,2,IF(WEEKDAY(B7225)=7,1,0))))))</f>
        <v>2</v>
      </c>
      <c r="H7225" s="370">
        <v>13497.999938964844</v>
      </c>
      <c r="I7225" s="370">
        <v>4248.5250854492188</v>
      </c>
      <c r="M7225" s="371">
        <f t="shared" si="449"/>
        <v>14150.829224960147</v>
      </c>
      <c r="N7225" s="329">
        <f t="shared" si="450"/>
        <v>199.12510375976581</v>
      </c>
      <c r="T7225" s="331">
        <v>0</v>
      </c>
      <c r="U7225" s="328">
        <f>VLOOKUP(C7225,METADATA!$J$5:$Q$29,IF(E7225="HI",2,IF(E7225="LO",6,10))+IF(T7225=1,2,IF(D7225=7,1,(IF(WEEKDAY(B7225)=1,2,IF(WEEKDAY(B7225)=7,1,0))))))</f>
        <v>2</v>
      </c>
      <c r="V7225" s="328">
        <f>VLOOKUP(C7225,METADATA!$A$5:$H$29,IF(E7225="HI",2,IF(E7225="LO",6,10))+IF(T7225=1,2,IF(D7225=7,1,(IF(WEEKDAY(B7225)=1,2,IF(WEEKDAY(B7225)=7,1,0))))))</f>
        <v>2</v>
      </c>
    </row>
    <row r="7226" spans="2:22">
      <c r="B7226" s="318">
        <f t="shared" si="451"/>
        <v>46413</v>
      </c>
      <c r="C7226" s="312">
        <v>22</v>
      </c>
      <c r="D7226" s="368">
        <f>IFERROR((INDEX(METADATA!$T$2:$T$20,MATCH(B7226,METADATA!$S$2:$S$20,0))),0)</f>
        <v>0</v>
      </c>
      <c r="E7226" s="312" t="str">
        <f t="shared" si="448"/>
        <v>HI</v>
      </c>
      <c r="F7226" s="369">
        <f>VLOOKUP(C7226,METADATA!$A$5:$H$29,IF(E7226="HI",2,IF(E7226="LO",6,10))+IF(D7226=1,2,IF(D7226=7,1,(IF(WEEKDAY(B7226)=1,2,IF(WEEKDAY(B7226)=7,1,0))))))</f>
        <v>3</v>
      </c>
      <c r="G7226" s="369">
        <f>VLOOKUP(C7226,METADATA!$J$5:$Q$29,IF(E7226="HI",2,IF(E7226="LO",6,10))+IF(D7226=1,2,IF(D7226=7,1,(IF(WEEKDAY(B7226)=1,2,IF(WEEKDAY(B7226)=7,1,0))))))</f>
        <v>3</v>
      </c>
      <c r="H7226" s="370">
        <v>13422.549621582031</v>
      </c>
      <c r="I7226" s="370">
        <v>4348.0749816894531</v>
      </c>
      <c r="M7226" s="371">
        <f t="shared" si="449"/>
        <v>14109.237909618849</v>
      </c>
      <c r="N7226" s="329">
        <f t="shared" si="450"/>
        <v>321.31009521484384</v>
      </c>
      <c r="T7226" s="331">
        <v>0</v>
      </c>
      <c r="U7226" s="328">
        <f>VLOOKUP(C7226,METADATA!$J$5:$Q$29,IF(E7226="HI",2,IF(E7226="LO",6,10))+IF(T7226=1,2,IF(D7226=7,1,(IF(WEEKDAY(B7226)=1,2,IF(WEEKDAY(B7226)=7,1,0))))))</f>
        <v>3</v>
      </c>
      <c r="V7226" s="328">
        <f>VLOOKUP(C7226,METADATA!$A$5:$H$29,IF(E7226="HI",2,IF(E7226="LO",6,10))+IF(T7226=1,2,IF(D7226=7,1,(IF(WEEKDAY(B7226)=1,2,IF(WEEKDAY(B7226)=7,1,0))))))</f>
        <v>3</v>
      </c>
    </row>
    <row r="7227" spans="2:22">
      <c r="B7227" s="318">
        <f t="shared" si="451"/>
        <v>46413</v>
      </c>
      <c r="C7227" s="312">
        <v>23</v>
      </c>
      <c r="D7227" s="368">
        <f>IFERROR((INDEX(METADATA!$T$2:$T$20,MATCH(B7227,METADATA!$S$2:$S$20,0))),0)</f>
        <v>0</v>
      </c>
      <c r="E7227" s="312" t="str">
        <f t="shared" si="448"/>
        <v>HI</v>
      </c>
      <c r="F7227" s="369">
        <f>VLOOKUP(C7227,METADATA!$A$5:$H$29,IF(E7227="HI",2,IF(E7227="LO",6,10))+IF(D7227=1,2,IF(D7227=7,1,(IF(WEEKDAY(B7227)=1,2,IF(WEEKDAY(B7227)=7,1,0))))))</f>
        <v>3</v>
      </c>
      <c r="G7227" s="369">
        <f>VLOOKUP(C7227,METADATA!$J$5:$Q$29,IF(E7227="HI",2,IF(E7227="LO",6,10))+IF(D7227=1,2,IF(D7227=7,1,(IF(WEEKDAY(B7227)=1,2,IF(WEEKDAY(B7227)=7,1,0))))))</f>
        <v>3</v>
      </c>
      <c r="H7227" s="370">
        <v>13381.700073242188</v>
      </c>
      <c r="I7227" s="370">
        <v>4289.2199401855469</v>
      </c>
      <c r="M7227" s="371">
        <f t="shared" si="449"/>
        <v>14052.306022340079</v>
      </c>
      <c r="N7227" s="329">
        <f t="shared" si="450"/>
        <v>274.7099182128909</v>
      </c>
      <c r="T7227" s="331">
        <v>0</v>
      </c>
      <c r="U7227" s="328">
        <f>VLOOKUP(C7227,METADATA!$J$5:$Q$29,IF(E7227="HI",2,IF(E7227="LO",6,10))+IF(T7227=1,2,IF(D7227=7,1,(IF(WEEKDAY(B7227)=1,2,IF(WEEKDAY(B7227)=7,1,0))))))</f>
        <v>3</v>
      </c>
      <c r="V7227" s="328">
        <f>VLOOKUP(C7227,METADATA!$A$5:$H$29,IF(E7227="HI",2,IF(E7227="LO",6,10))+IF(T7227=1,2,IF(D7227=7,1,(IF(WEEKDAY(B7227)=1,2,IF(WEEKDAY(B7227)=7,1,0))))))</f>
        <v>3</v>
      </c>
    </row>
    <row r="7228" spans="2:22">
      <c r="B7228" s="318">
        <f t="shared" si="451"/>
        <v>46414</v>
      </c>
      <c r="C7228" s="312">
        <v>0</v>
      </c>
      <c r="D7228" s="368">
        <f>IFERROR((INDEX(METADATA!$T$2:$T$20,MATCH(B7228,METADATA!$S$2:$S$20,0))),0)</f>
        <v>0</v>
      </c>
      <c r="E7228" s="312" t="str">
        <f t="shared" si="448"/>
        <v>HI</v>
      </c>
      <c r="F7228" s="369">
        <f>VLOOKUP(C7228,METADATA!$A$5:$H$29,IF(E7228="HI",2,IF(E7228="LO",6,10))+IF(D7228=1,2,IF(D7228=7,1,(IF(WEEKDAY(B7228)=1,2,IF(WEEKDAY(B7228)=7,1,0))))))</f>
        <v>3</v>
      </c>
      <c r="G7228" s="369">
        <f>VLOOKUP(C7228,METADATA!$J$5:$Q$29,IF(E7228="HI",2,IF(E7228="LO",6,10))+IF(D7228=1,2,IF(D7228=7,1,(IF(WEEKDAY(B7228)=1,2,IF(WEEKDAY(B7228)=7,1,0))))))</f>
        <v>3</v>
      </c>
      <c r="H7228" s="370">
        <v>13463.300354003906</v>
      </c>
      <c r="I7228" s="370">
        <v>4327.2799987792969</v>
      </c>
      <c r="M7228" s="371">
        <f t="shared" si="449"/>
        <v>14141.633873423432</v>
      </c>
      <c r="N7228" s="329">
        <f t="shared" si="450"/>
        <v>288.28989257812509</v>
      </c>
      <c r="T7228" s="331">
        <v>0</v>
      </c>
      <c r="U7228" s="328">
        <f>VLOOKUP(C7228,METADATA!$J$5:$Q$29,IF(E7228="HI",2,IF(E7228="LO",6,10))+IF(T7228=1,2,IF(D7228=7,1,(IF(WEEKDAY(B7228)=1,2,IF(WEEKDAY(B7228)=7,1,0))))))</f>
        <v>3</v>
      </c>
      <c r="V7228" s="328">
        <f>VLOOKUP(C7228,METADATA!$A$5:$H$29,IF(E7228="HI",2,IF(E7228="LO",6,10))+IF(T7228=1,2,IF(D7228=7,1,(IF(WEEKDAY(B7228)=1,2,IF(WEEKDAY(B7228)=7,1,0))))))</f>
        <v>3</v>
      </c>
    </row>
    <row r="7229" spans="2:22">
      <c r="B7229" s="318">
        <f t="shared" si="451"/>
        <v>46414</v>
      </c>
      <c r="C7229" s="312">
        <v>1</v>
      </c>
      <c r="D7229" s="368">
        <f>IFERROR((INDEX(METADATA!$T$2:$T$20,MATCH(B7229,METADATA!$S$2:$S$20,0))),0)</f>
        <v>0</v>
      </c>
      <c r="E7229" s="312" t="str">
        <f t="shared" si="448"/>
        <v>HI</v>
      </c>
      <c r="F7229" s="369">
        <f>VLOOKUP(C7229,METADATA!$A$5:$H$29,IF(E7229="HI",2,IF(E7229="LO",6,10))+IF(D7229=1,2,IF(D7229=7,1,(IF(WEEKDAY(B7229)=1,2,IF(WEEKDAY(B7229)=7,1,0))))))</f>
        <v>3</v>
      </c>
      <c r="G7229" s="369">
        <f>VLOOKUP(C7229,METADATA!$J$5:$Q$29,IF(E7229="HI",2,IF(E7229="LO",6,10))+IF(D7229=1,2,IF(D7229=7,1,(IF(WEEKDAY(B7229)=1,2,IF(WEEKDAY(B7229)=7,1,0))))))</f>
        <v>3</v>
      </c>
      <c r="H7229" s="370">
        <v>13380.375183105469</v>
      </c>
      <c r="I7229" s="370">
        <v>4364.4449768066406</v>
      </c>
      <c r="M7229" s="371">
        <f t="shared" si="449"/>
        <v>14074.189852216625</v>
      </c>
      <c r="N7229" s="329">
        <f t="shared" si="450"/>
        <v>350.33242187500036</v>
      </c>
      <c r="T7229" s="331">
        <v>0</v>
      </c>
      <c r="U7229" s="328">
        <f>VLOOKUP(C7229,METADATA!$J$5:$Q$29,IF(E7229="HI",2,IF(E7229="LO",6,10))+IF(T7229=1,2,IF(D7229=7,1,(IF(WEEKDAY(B7229)=1,2,IF(WEEKDAY(B7229)=7,1,0))))))</f>
        <v>3</v>
      </c>
      <c r="V7229" s="328">
        <f>VLOOKUP(C7229,METADATA!$A$5:$H$29,IF(E7229="HI",2,IF(E7229="LO",6,10))+IF(T7229=1,2,IF(D7229=7,1,(IF(WEEKDAY(B7229)=1,2,IF(WEEKDAY(B7229)=7,1,0))))))</f>
        <v>3</v>
      </c>
    </row>
    <row r="7230" spans="2:22">
      <c r="B7230" s="318">
        <f t="shared" si="451"/>
        <v>46414</v>
      </c>
      <c r="C7230" s="312">
        <v>2</v>
      </c>
      <c r="D7230" s="368">
        <f>IFERROR((INDEX(METADATA!$T$2:$T$20,MATCH(B7230,METADATA!$S$2:$S$20,0))),0)</f>
        <v>0</v>
      </c>
      <c r="E7230" s="312" t="str">
        <f t="shared" si="448"/>
        <v>HI</v>
      </c>
      <c r="F7230" s="369">
        <f>VLOOKUP(C7230,METADATA!$A$5:$H$29,IF(E7230="HI",2,IF(E7230="LO",6,10))+IF(D7230=1,2,IF(D7230=7,1,(IF(WEEKDAY(B7230)=1,2,IF(WEEKDAY(B7230)=7,1,0))))))</f>
        <v>3</v>
      </c>
      <c r="G7230" s="369">
        <f>VLOOKUP(C7230,METADATA!$J$5:$Q$29,IF(E7230="HI",2,IF(E7230="LO",6,10))+IF(D7230=1,2,IF(D7230=7,1,(IF(WEEKDAY(B7230)=1,2,IF(WEEKDAY(B7230)=7,1,0))))))</f>
        <v>3</v>
      </c>
      <c r="H7230" s="370">
        <v>13467.47509765625</v>
      </c>
      <c r="I7230" s="370">
        <v>4382.0299072265625</v>
      </c>
      <c r="M7230" s="371">
        <f t="shared" si="449"/>
        <v>14162.452881256808</v>
      </c>
      <c r="N7230" s="329">
        <f t="shared" si="450"/>
        <v>341.78737792968786</v>
      </c>
      <c r="T7230" s="331">
        <v>0</v>
      </c>
      <c r="U7230" s="328">
        <f>VLOOKUP(C7230,METADATA!$J$5:$Q$29,IF(E7230="HI",2,IF(E7230="LO",6,10))+IF(T7230=1,2,IF(D7230=7,1,(IF(WEEKDAY(B7230)=1,2,IF(WEEKDAY(B7230)=7,1,0))))))</f>
        <v>3</v>
      </c>
      <c r="V7230" s="328">
        <f>VLOOKUP(C7230,METADATA!$A$5:$H$29,IF(E7230="HI",2,IF(E7230="LO",6,10))+IF(T7230=1,2,IF(D7230=7,1,(IF(WEEKDAY(B7230)=1,2,IF(WEEKDAY(B7230)=7,1,0))))))</f>
        <v>3</v>
      </c>
    </row>
    <row r="7231" spans="2:22">
      <c r="B7231" s="318">
        <f t="shared" si="451"/>
        <v>46414</v>
      </c>
      <c r="C7231" s="312">
        <v>3</v>
      </c>
      <c r="D7231" s="368">
        <f>IFERROR((INDEX(METADATA!$T$2:$T$20,MATCH(B7231,METADATA!$S$2:$S$20,0))),0)</f>
        <v>0</v>
      </c>
      <c r="E7231" s="312" t="str">
        <f t="shared" si="448"/>
        <v>HI</v>
      </c>
      <c r="F7231" s="369">
        <f>VLOOKUP(C7231,METADATA!$A$5:$H$29,IF(E7231="HI",2,IF(E7231="LO",6,10))+IF(D7231=1,2,IF(D7231=7,1,(IF(WEEKDAY(B7231)=1,2,IF(WEEKDAY(B7231)=7,1,0))))))</f>
        <v>3</v>
      </c>
      <c r="G7231" s="369">
        <f>VLOOKUP(C7231,METADATA!$J$5:$Q$29,IF(E7231="HI",2,IF(E7231="LO",6,10))+IF(D7231=1,2,IF(D7231=7,1,(IF(WEEKDAY(B7231)=1,2,IF(WEEKDAY(B7231)=7,1,0))))))</f>
        <v>3</v>
      </c>
      <c r="H7231" s="370">
        <v>13505.349975585938</v>
      </c>
      <c r="I7231" s="370">
        <v>4419.9049377441406</v>
      </c>
      <c r="M7231" s="371">
        <f t="shared" si="449"/>
        <v>14210.208922523065</v>
      </c>
      <c r="N7231" s="329">
        <f t="shared" si="450"/>
        <v>368.29994506835965</v>
      </c>
      <c r="T7231" s="331">
        <v>0</v>
      </c>
      <c r="U7231" s="328">
        <f>VLOOKUP(C7231,METADATA!$J$5:$Q$29,IF(E7231="HI",2,IF(E7231="LO",6,10))+IF(T7231=1,2,IF(D7231=7,1,(IF(WEEKDAY(B7231)=1,2,IF(WEEKDAY(B7231)=7,1,0))))))</f>
        <v>3</v>
      </c>
      <c r="V7231" s="328">
        <f>VLOOKUP(C7231,METADATA!$A$5:$H$29,IF(E7231="HI",2,IF(E7231="LO",6,10))+IF(T7231=1,2,IF(D7231=7,1,(IF(WEEKDAY(B7231)=1,2,IF(WEEKDAY(B7231)=7,1,0))))))</f>
        <v>3</v>
      </c>
    </row>
    <row r="7232" spans="2:22">
      <c r="B7232" s="318">
        <f t="shared" si="451"/>
        <v>46414</v>
      </c>
      <c r="C7232" s="312">
        <v>4</v>
      </c>
      <c r="D7232" s="368">
        <f>IFERROR((INDEX(METADATA!$T$2:$T$20,MATCH(B7232,METADATA!$S$2:$S$20,0))),0)</f>
        <v>0</v>
      </c>
      <c r="E7232" s="312" t="str">
        <f t="shared" si="448"/>
        <v>HI</v>
      </c>
      <c r="F7232" s="369">
        <f>VLOOKUP(C7232,METADATA!$A$5:$H$29,IF(E7232="HI",2,IF(E7232="LO",6,10))+IF(D7232=1,2,IF(D7232=7,1,(IF(WEEKDAY(B7232)=1,2,IF(WEEKDAY(B7232)=7,1,0))))))</f>
        <v>3</v>
      </c>
      <c r="G7232" s="369">
        <f>VLOOKUP(C7232,METADATA!$J$5:$Q$29,IF(E7232="HI",2,IF(E7232="LO",6,10))+IF(D7232=1,2,IF(D7232=7,1,(IF(WEEKDAY(B7232)=1,2,IF(WEEKDAY(B7232)=7,1,0))))))</f>
        <v>3</v>
      </c>
      <c r="H7232" s="370">
        <v>13465.4501953125</v>
      </c>
      <c r="I7232" s="370">
        <v>4382.5401000976563</v>
      </c>
      <c r="M7232" s="371">
        <f t="shared" si="449"/>
        <v>14160.685247946351</v>
      </c>
      <c r="N7232" s="329">
        <f t="shared" si="450"/>
        <v>342.90504150390643</v>
      </c>
      <c r="T7232" s="331">
        <v>0</v>
      </c>
      <c r="U7232" s="328">
        <f>VLOOKUP(C7232,METADATA!$J$5:$Q$29,IF(E7232="HI",2,IF(E7232="LO",6,10))+IF(T7232=1,2,IF(D7232=7,1,(IF(WEEKDAY(B7232)=1,2,IF(WEEKDAY(B7232)=7,1,0))))))</f>
        <v>3</v>
      </c>
      <c r="V7232" s="328">
        <f>VLOOKUP(C7232,METADATA!$A$5:$H$29,IF(E7232="HI",2,IF(E7232="LO",6,10))+IF(T7232=1,2,IF(D7232=7,1,(IF(WEEKDAY(B7232)=1,2,IF(WEEKDAY(B7232)=7,1,0))))))</f>
        <v>3</v>
      </c>
    </row>
    <row r="7233" spans="2:22">
      <c r="B7233" s="318">
        <f t="shared" si="451"/>
        <v>46414</v>
      </c>
      <c r="C7233" s="312">
        <v>5</v>
      </c>
      <c r="D7233" s="368">
        <f>IFERROR((INDEX(METADATA!$T$2:$T$20,MATCH(B7233,METADATA!$S$2:$S$20,0))),0)</f>
        <v>0</v>
      </c>
      <c r="E7233" s="312" t="str">
        <f t="shared" si="448"/>
        <v>HI</v>
      </c>
      <c r="F7233" s="369">
        <f>VLOOKUP(C7233,METADATA!$A$5:$H$29,IF(E7233="HI",2,IF(E7233="LO",6,10))+IF(D7233=1,2,IF(D7233=7,1,(IF(WEEKDAY(B7233)=1,2,IF(WEEKDAY(B7233)=7,1,0))))))</f>
        <v>3</v>
      </c>
      <c r="G7233" s="369">
        <f>VLOOKUP(C7233,METADATA!$J$5:$Q$29,IF(E7233="HI",2,IF(E7233="LO",6,10))+IF(D7233=1,2,IF(D7233=7,1,(IF(WEEKDAY(B7233)=1,2,IF(WEEKDAY(B7233)=7,1,0))))))</f>
        <v>3</v>
      </c>
      <c r="H7233" s="370">
        <v>13421.149963378906</v>
      </c>
      <c r="I7233" s="370">
        <v>4244.7200012207031</v>
      </c>
      <c r="M7233" s="371">
        <f t="shared" si="449"/>
        <v>14076.395640513543</v>
      </c>
      <c r="N7233" s="329">
        <f t="shared" si="450"/>
        <v>218.37501220703143</v>
      </c>
      <c r="T7233" s="331">
        <v>0</v>
      </c>
      <c r="U7233" s="328">
        <f>VLOOKUP(C7233,METADATA!$J$5:$Q$29,IF(E7233="HI",2,IF(E7233="LO",6,10))+IF(T7233=1,2,IF(D7233=7,1,(IF(WEEKDAY(B7233)=1,2,IF(WEEKDAY(B7233)=7,1,0))))))</f>
        <v>3</v>
      </c>
      <c r="V7233" s="328">
        <f>VLOOKUP(C7233,METADATA!$A$5:$H$29,IF(E7233="HI",2,IF(E7233="LO",6,10))+IF(T7233=1,2,IF(D7233=7,1,(IF(WEEKDAY(B7233)=1,2,IF(WEEKDAY(B7233)=7,1,0))))))</f>
        <v>3</v>
      </c>
    </row>
    <row r="7234" spans="2:22">
      <c r="B7234" s="318">
        <f t="shared" si="451"/>
        <v>46414</v>
      </c>
      <c r="C7234" s="312">
        <v>6</v>
      </c>
      <c r="D7234" s="368">
        <f>IFERROR((INDEX(METADATA!$T$2:$T$20,MATCH(B7234,METADATA!$S$2:$S$20,0))),0)</f>
        <v>0</v>
      </c>
      <c r="E7234" s="312" t="str">
        <f t="shared" si="448"/>
        <v>HI</v>
      </c>
      <c r="F7234" s="369">
        <f>VLOOKUP(C7234,METADATA!$A$5:$H$29,IF(E7234="HI",2,IF(E7234="LO",6,10))+IF(D7234=1,2,IF(D7234=7,1,(IF(WEEKDAY(B7234)=1,2,IF(WEEKDAY(B7234)=7,1,0))))))</f>
        <v>1</v>
      </c>
      <c r="G7234" s="369">
        <f>VLOOKUP(C7234,METADATA!$J$5:$Q$29,IF(E7234="HI",2,IF(E7234="LO",6,10))+IF(D7234=1,2,IF(D7234=7,1,(IF(WEEKDAY(B7234)=1,2,IF(WEEKDAY(B7234)=7,1,0))))))</f>
        <v>1</v>
      </c>
      <c r="H7234" s="370">
        <v>13390.675231933594</v>
      </c>
      <c r="I7234" s="370">
        <v>4189.0499877929688</v>
      </c>
      <c r="M7234" s="371">
        <f t="shared" si="449"/>
        <v>14030.620904555439</v>
      </c>
      <c r="N7234" s="329">
        <f t="shared" si="450"/>
        <v>171.84741821289072</v>
      </c>
      <c r="T7234" s="331">
        <v>0</v>
      </c>
      <c r="U7234" s="328">
        <f>VLOOKUP(C7234,METADATA!$J$5:$Q$29,IF(E7234="HI",2,IF(E7234="LO",6,10))+IF(T7234=1,2,IF(D7234=7,1,(IF(WEEKDAY(B7234)=1,2,IF(WEEKDAY(B7234)=7,1,0))))))</f>
        <v>1</v>
      </c>
      <c r="V7234" s="328">
        <f>VLOOKUP(C7234,METADATA!$A$5:$H$29,IF(E7234="HI",2,IF(E7234="LO",6,10))+IF(T7234=1,2,IF(D7234=7,1,(IF(WEEKDAY(B7234)=1,2,IF(WEEKDAY(B7234)=7,1,0))))))</f>
        <v>1</v>
      </c>
    </row>
    <row r="7235" spans="2:22">
      <c r="B7235" s="318">
        <f t="shared" si="451"/>
        <v>46414</v>
      </c>
      <c r="C7235" s="312">
        <v>7</v>
      </c>
      <c r="D7235" s="368">
        <f>IFERROR((INDEX(METADATA!$T$2:$T$20,MATCH(B7235,METADATA!$S$2:$S$20,0))),0)</f>
        <v>0</v>
      </c>
      <c r="E7235" s="312" t="str">
        <f t="shared" si="448"/>
        <v>HI</v>
      </c>
      <c r="F7235" s="369">
        <f>VLOOKUP(C7235,METADATA!$A$5:$H$29,IF(E7235="HI",2,IF(E7235="LO",6,10))+IF(D7235=1,2,IF(D7235=7,1,(IF(WEEKDAY(B7235)=1,2,IF(WEEKDAY(B7235)=7,1,0))))))</f>
        <v>1</v>
      </c>
      <c r="G7235" s="369">
        <f>VLOOKUP(C7235,METADATA!$J$5:$Q$29,IF(E7235="HI",2,IF(E7235="LO",6,10))+IF(D7235=1,2,IF(D7235=7,1,(IF(WEEKDAY(B7235)=1,2,IF(WEEKDAY(B7235)=7,1,0))))))</f>
        <v>1</v>
      </c>
      <c r="H7235" s="370">
        <v>13443.299865722656</v>
      </c>
      <c r="I7235" s="370">
        <v>4353.7350463867188</v>
      </c>
      <c r="M7235" s="371">
        <f t="shared" si="449"/>
        <v>14130.722562341769</v>
      </c>
      <c r="N7235" s="329">
        <f t="shared" si="450"/>
        <v>320.74508666992188</v>
      </c>
      <c r="T7235" s="331">
        <v>0</v>
      </c>
      <c r="U7235" s="328">
        <f>VLOOKUP(C7235,METADATA!$J$5:$Q$29,IF(E7235="HI",2,IF(E7235="LO",6,10))+IF(T7235=1,2,IF(D7235=7,1,(IF(WEEKDAY(B7235)=1,2,IF(WEEKDAY(B7235)=7,1,0))))))</f>
        <v>1</v>
      </c>
      <c r="V7235" s="328">
        <f>VLOOKUP(C7235,METADATA!$A$5:$H$29,IF(E7235="HI",2,IF(E7235="LO",6,10))+IF(T7235=1,2,IF(D7235=7,1,(IF(WEEKDAY(B7235)=1,2,IF(WEEKDAY(B7235)=7,1,0))))))</f>
        <v>1</v>
      </c>
    </row>
    <row r="7236" spans="2:22">
      <c r="B7236" s="318">
        <f t="shared" si="451"/>
        <v>46414</v>
      </c>
      <c r="C7236" s="312">
        <v>8</v>
      </c>
      <c r="D7236" s="368">
        <f>IFERROR((INDEX(METADATA!$T$2:$T$20,MATCH(B7236,METADATA!$S$2:$S$20,0))),0)</f>
        <v>0</v>
      </c>
      <c r="E7236" s="312" t="str">
        <f t="shared" ref="E7236:E7299" si="452">IF(B7236="","",IF(AND(MONTH(B7236)&gt;=MONTH($Z$9),MONTH(B7236)&lt;=MONTH($Z$11)),"HI","LO"))</f>
        <v>HI</v>
      </c>
      <c r="F7236" s="369">
        <f>VLOOKUP(C7236,METADATA!$A$5:$H$29,IF(E7236="HI",2,IF(E7236="LO",6,10))+IF(D7236=1,2,IF(D7236=7,1,(IF(WEEKDAY(B7236)=1,2,IF(WEEKDAY(B7236)=7,1,0))))))</f>
        <v>2</v>
      </c>
      <c r="G7236" s="369">
        <f>VLOOKUP(C7236,METADATA!$J$5:$Q$29,IF(E7236="HI",2,IF(E7236="LO",6,10))+IF(D7236=1,2,IF(D7236=7,1,(IF(WEEKDAY(B7236)=1,2,IF(WEEKDAY(B7236)=7,1,0))))))</f>
        <v>2</v>
      </c>
      <c r="H7236" s="370">
        <v>13576.675048828125</v>
      </c>
      <c r="I7236" s="370">
        <v>4408.5850219726563</v>
      </c>
      <c r="M7236" s="371">
        <f t="shared" ref="M7236:M7299" si="453">SQRT(H7236^2+I7236^2)</f>
        <v>14274.51320632104</v>
      </c>
      <c r="N7236" s="329">
        <f t="shared" ref="N7236:N7299" si="454">IF(H7236=0,0,(IF(I7236-(0.3*H7236)&lt;0,0,(I7236-(0.3*H7236)))))</f>
        <v>335.58250732421902</v>
      </c>
      <c r="T7236" s="331">
        <v>0</v>
      </c>
      <c r="U7236" s="328">
        <f>VLOOKUP(C7236,METADATA!$J$5:$Q$29,IF(E7236="HI",2,IF(E7236="LO",6,10))+IF(T7236=1,2,IF(D7236=7,1,(IF(WEEKDAY(B7236)=1,2,IF(WEEKDAY(B7236)=7,1,0))))))</f>
        <v>2</v>
      </c>
      <c r="V7236" s="328">
        <f>VLOOKUP(C7236,METADATA!$A$5:$H$29,IF(E7236="HI",2,IF(E7236="LO",6,10))+IF(T7236=1,2,IF(D7236=7,1,(IF(WEEKDAY(B7236)=1,2,IF(WEEKDAY(B7236)=7,1,0))))))</f>
        <v>2</v>
      </c>
    </row>
    <row r="7237" spans="2:22">
      <c r="B7237" s="318">
        <f t="shared" si="451"/>
        <v>46414</v>
      </c>
      <c r="C7237" s="312">
        <v>9</v>
      </c>
      <c r="D7237" s="368">
        <f>IFERROR((INDEX(METADATA!$T$2:$T$20,MATCH(B7237,METADATA!$S$2:$S$20,0))),0)</f>
        <v>0</v>
      </c>
      <c r="E7237" s="312" t="str">
        <f t="shared" si="452"/>
        <v>HI</v>
      </c>
      <c r="F7237" s="369">
        <f>VLOOKUP(C7237,METADATA!$A$5:$H$29,IF(E7237="HI",2,IF(E7237="LO",6,10))+IF(D7237=1,2,IF(D7237=7,1,(IF(WEEKDAY(B7237)=1,2,IF(WEEKDAY(B7237)=7,1,0))))))</f>
        <v>2</v>
      </c>
      <c r="G7237" s="369">
        <f>VLOOKUP(C7237,METADATA!$J$5:$Q$29,IF(E7237="HI",2,IF(E7237="LO",6,10))+IF(D7237=1,2,IF(D7237=7,1,(IF(WEEKDAY(B7237)=1,2,IF(WEEKDAY(B7237)=7,1,0))))))</f>
        <v>2</v>
      </c>
      <c r="H7237" s="370">
        <v>13654.250305175781</v>
      </c>
      <c r="I7237" s="370">
        <v>4303.3500366210938</v>
      </c>
      <c r="M7237" s="371">
        <f t="shared" si="453"/>
        <v>14316.332384171572</v>
      </c>
      <c r="N7237" s="329">
        <f t="shared" si="454"/>
        <v>207.07494506835974</v>
      </c>
      <c r="T7237" s="331">
        <v>0</v>
      </c>
      <c r="U7237" s="328">
        <f>VLOOKUP(C7237,METADATA!$J$5:$Q$29,IF(E7237="HI",2,IF(E7237="LO",6,10))+IF(T7237=1,2,IF(D7237=7,1,(IF(WEEKDAY(B7237)=1,2,IF(WEEKDAY(B7237)=7,1,0))))))</f>
        <v>2</v>
      </c>
      <c r="V7237" s="328">
        <f>VLOOKUP(C7237,METADATA!$A$5:$H$29,IF(E7237="HI",2,IF(E7237="LO",6,10))+IF(T7237=1,2,IF(D7237=7,1,(IF(WEEKDAY(B7237)=1,2,IF(WEEKDAY(B7237)=7,1,0))))))</f>
        <v>2</v>
      </c>
    </row>
    <row r="7238" spans="2:22">
      <c r="B7238" s="318">
        <f t="shared" si="451"/>
        <v>46414</v>
      </c>
      <c r="C7238" s="312">
        <v>10</v>
      </c>
      <c r="D7238" s="368">
        <f>IFERROR((INDEX(METADATA!$T$2:$T$20,MATCH(B7238,METADATA!$S$2:$S$20,0))),0)</f>
        <v>0</v>
      </c>
      <c r="E7238" s="312" t="str">
        <f t="shared" si="452"/>
        <v>HI</v>
      </c>
      <c r="F7238" s="369">
        <f>VLOOKUP(C7238,METADATA!$A$5:$H$29,IF(E7238="HI",2,IF(E7238="LO",6,10))+IF(D7238=1,2,IF(D7238=7,1,(IF(WEEKDAY(B7238)=1,2,IF(WEEKDAY(B7238)=7,1,0))))))</f>
        <v>2</v>
      </c>
      <c r="G7238" s="369">
        <f>VLOOKUP(C7238,METADATA!$J$5:$Q$29,IF(E7238="HI",2,IF(E7238="LO",6,10))+IF(D7238=1,2,IF(D7238=7,1,(IF(WEEKDAY(B7238)=1,2,IF(WEEKDAY(B7238)=7,1,0))))))</f>
        <v>2</v>
      </c>
      <c r="H7238" s="370">
        <v>13910.674926757813</v>
      </c>
      <c r="I7238" s="370">
        <v>4440.8650207519531</v>
      </c>
      <c r="M7238" s="371">
        <f t="shared" si="453"/>
        <v>14602.334027492547</v>
      </c>
      <c r="N7238" s="329">
        <f t="shared" si="454"/>
        <v>267.66254272460992</v>
      </c>
      <c r="T7238" s="331">
        <v>0</v>
      </c>
      <c r="U7238" s="328">
        <f>VLOOKUP(C7238,METADATA!$J$5:$Q$29,IF(E7238="HI",2,IF(E7238="LO",6,10))+IF(T7238=1,2,IF(D7238=7,1,(IF(WEEKDAY(B7238)=1,2,IF(WEEKDAY(B7238)=7,1,0))))))</f>
        <v>2</v>
      </c>
      <c r="V7238" s="328">
        <f>VLOOKUP(C7238,METADATA!$A$5:$H$29,IF(E7238="HI",2,IF(E7238="LO",6,10))+IF(T7238=1,2,IF(D7238=7,1,(IF(WEEKDAY(B7238)=1,2,IF(WEEKDAY(B7238)=7,1,0))))))</f>
        <v>2</v>
      </c>
    </row>
    <row r="7239" spans="2:22">
      <c r="B7239" s="318">
        <f t="shared" si="451"/>
        <v>46414</v>
      </c>
      <c r="C7239" s="312">
        <v>11</v>
      </c>
      <c r="D7239" s="368">
        <f>IFERROR((INDEX(METADATA!$T$2:$T$20,MATCH(B7239,METADATA!$S$2:$S$20,0))),0)</f>
        <v>0</v>
      </c>
      <c r="E7239" s="312" t="str">
        <f t="shared" si="452"/>
        <v>HI</v>
      </c>
      <c r="F7239" s="369">
        <f>VLOOKUP(C7239,METADATA!$A$5:$H$29,IF(E7239="HI",2,IF(E7239="LO",6,10))+IF(D7239=1,2,IF(D7239=7,1,(IF(WEEKDAY(B7239)=1,2,IF(WEEKDAY(B7239)=7,1,0))))))</f>
        <v>2</v>
      </c>
      <c r="G7239" s="369">
        <f>VLOOKUP(C7239,METADATA!$J$5:$Q$29,IF(E7239="HI",2,IF(E7239="LO",6,10))+IF(D7239=1,2,IF(D7239=7,1,(IF(WEEKDAY(B7239)=1,2,IF(WEEKDAY(B7239)=7,1,0))))))</f>
        <v>2</v>
      </c>
      <c r="H7239" s="370">
        <v>14072.724975585938</v>
      </c>
      <c r="I7239" s="370">
        <v>4698.5450134277344</v>
      </c>
      <c r="M7239" s="371">
        <f t="shared" si="453"/>
        <v>14836.371304388646</v>
      </c>
      <c r="N7239" s="329">
        <f t="shared" si="454"/>
        <v>476.72752075195331</v>
      </c>
      <c r="T7239" s="331">
        <v>0</v>
      </c>
      <c r="U7239" s="328">
        <f>VLOOKUP(C7239,METADATA!$J$5:$Q$29,IF(E7239="HI",2,IF(E7239="LO",6,10))+IF(T7239=1,2,IF(D7239=7,1,(IF(WEEKDAY(B7239)=1,2,IF(WEEKDAY(B7239)=7,1,0))))))</f>
        <v>2</v>
      </c>
      <c r="V7239" s="328">
        <f>VLOOKUP(C7239,METADATA!$A$5:$H$29,IF(E7239="HI",2,IF(E7239="LO",6,10))+IF(T7239=1,2,IF(D7239=7,1,(IF(WEEKDAY(B7239)=1,2,IF(WEEKDAY(B7239)=7,1,0))))))</f>
        <v>2</v>
      </c>
    </row>
    <row r="7240" spans="2:22">
      <c r="B7240" s="318">
        <f t="shared" si="451"/>
        <v>46414</v>
      </c>
      <c r="C7240" s="312">
        <v>12</v>
      </c>
      <c r="D7240" s="368">
        <f>IFERROR((INDEX(METADATA!$T$2:$T$20,MATCH(B7240,METADATA!$S$2:$S$20,0))),0)</f>
        <v>0</v>
      </c>
      <c r="E7240" s="312" t="str">
        <f t="shared" si="452"/>
        <v>HI</v>
      </c>
      <c r="F7240" s="369">
        <f>VLOOKUP(C7240,METADATA!$A$5:$H$29,IF(E7240="HI",2,IF(E7240="LO",6,10))+IF(D7240=1,2,IF(D7240=7,1,(IF(WEEKDAY(B7240)=1,2,IF(WEEKDAY(B7240)=7,1,0))))))</f>
        <v>2</v>
      </c>
      <c r="G7240" s="369">
        <f>VLOOKUP(C7240,METADATA!$J$5:$Q$29,IF(E7240="HI",2,IF(E7240="LO",6,10))+IF(D7240=1,2,IF(D7240=7,1,(IF(WEEKDAY(B7240)=1,2,IF(WEEKDAY(B7240)=7,1,0))))))</f>
        <v>2</v>
      </c>
      <c r="H7240" s="370">
        <v>14043.200012207031</v>
      </c>
      <c r="I7240" s="370">
        <v>4824.7899475097656</v>
      </c>
      <c r="M7240" s="371">
        <f t="shared" si="453"/>
        <v>14848.907859517576</v>
      </c>
      <c r="N7240" s="329">
        <f t="shared" si="454"/>
        <v>611.82994384765607</v>
      </c>
      <c r="T7240" s="331">
        <v>0</v>
      </c>
      <c r="U7240" s="328">
        <f>VLOOKUP(C7240,METADATA!$J$5:$Q$29,IF(E7240="HI",2,IF(E7240="LO",6,10))+IF(T7240=1,2,IF(D7240=7,1,(IF(WEEKDAY(B7240)=1,2,IF(WEEKDAY(B7240)=7,1,0))))))</f>
        <v>2</v>
      </c>
      <c r="V7240" s="328">
        <f>VLOOKUP(C7240,METADATA!$A$5:$H$29,IF(E7240="HI",2,IF(E7240="LO",6,10))+IF(T7240=1,2,IF(D7240=7,1,(IF(WEEKDAY(B7240)=1,2,IF(WEEKDAY(B7240)=7,1,0))))))</f>
        <v>2</v>
      </c>
    </row>
    <row r="7241" spans="2:22">
      <c r="B7241" s="318">
        <f t="shared" si="451"/>
        <v>46414</v>
      </c>
      <c r="C7241" s="312">
        <v>13</v>
      </c>
      <c r="D7241" s="368">
        <f>IFERROR((INDEX(METADATA!$T$2:$T$20,MATCH(B7241,METADATA!$S$2:$S$20,0))),0)</f>
        <v>0</v>
      </c>
      <c r="E7241" s="312" t="str">
        <f t="shared" si="452"/>
        <v>HI</v>
      </c>
      <c r="F7241" s="369">
        <f>VLOOKUP(C7241,METADATA!$A$5:$H$29,IF(E7241="HI",2,IF(E7241="LO",6,10))+IF(D7241=1,2,IF(D7241=7,1,(IF(WEEKDAY(B7241)=1,2,IF(WEEKDAY(B7241)=7,1,0))))))</f>
        <v>2</v>
      </c>
      <c r="G7241" s="369">
        <f>VLOOKUP(C7241,METADATA!$J$5:$Q$29,IF(E7241="HI",2,IF(E7241="LO",6,10))+IF(D7241=1,2,IF(D7241=7,1,(IF(WEEKDAY(B7241)=1,2,IF(WEEKDAY(B7241)=7,1,0))))))</f>
        <v>2</v>
      </c>
      <c r="H7241" s="370">
        <v>13997.1005859375</v>
      </c>
      <c r="I7241" s="370">
        <v>4668.2998657226563</v>
      </c>
      <c r="M7241" s="371">
        <f t="shared" si="453"/>
        <v>14755.061790760419</v>
      </c>
      <c r="N7241" s="329">
        <f t="shared" si="454"/>
        <v>469.16968994140643</v>
      </c>
      <c r="T7241" s="331">
        <v>0</v>
      </c>
      <c r="U7241" s="328">
        <f>VLOOKUP(C7241,METADATA!$J$5:$Q$29,IF(E7241="HI",2,IF(E7241="LO",6,10))+IF(T7241=1,2,IF(D7241=7,1,(IF(WEEKDAY(B7241)=1,2,IF(WEEKDAY(B7241)=7,1,0))))))</f>
        <v>2</v>
      </c>
      <c r="V7241" s="328">
        <f>VLOOKUP(C7241,METADATA!$A$5:$H$29,IF(E7241="HI",2,IF(E7241="LO",6,10))+IF(T7241=1,2,IF(D7241=7,1,(IF(WEEKDAY(B7241)=1,2,IF(WEEKDAY(B7241)=7,1,0))))))</f>
        <v>2</v>
      </c>
    </row>
    <row r="7242" spans="2:22">
      <c r="B7242" s="318">
        <f t="shared" si="451"/>
        <v>46414</v>
      </c>
      <c r="C7242" s="312">
        <v>14</v>
      </c>
      <c r="D7242" s="368">
        <f>IFERROR((INDEX(METADATA!$T$2:$T$20,MATCH(B7242,METADATA!$S$2:$S$20,0))),0)</f>
        <v>0</v>
      </c>
      <c r="E7242" s="312" t="str">
        <f t="shared" si="452"/>
        <v>HI</v>
      </c>
      <c r="F7242" s="369">
        <f>VLOOKUP(C7242,METADATA!$A$5:$H$29,IF(E7242="HI",2,IF(E7242="LO",6,10))+IF(D7242=1,2,IF(D7242=7,1,(IF(WEEKDAY(B7242)=1,2,IF(WEEKDAY(B7242)=7,1,0))))))</f>
        <v>2</v>
      </c>
      <c r="G7242" s="369">
        <f>VLOOKUP(C7242,METADATA!$J$5:$Q$29,IF(E7242="HI",2,IF(E7242="LO",6,10))+IF(D7242=1,2,IF(D7242=7,1,(IF(WEEKDAY(B7242)=1,2,IF(WEEKDAY(B7242)=7,1,0))))))</f>
        <v>2</v>
      </c>
      <c r="H7242" s="370">
        <v>13798.625</v>
      </c>
      <c r="I7242" s="370">
        <v>4533.3700256347656</v>
      </c>
      <c r="M7242" s="371">
        <f t="shared" si="453"/>
        <v>14524.238213412391</v>
      </c>
      <c r="N7242" s="329">
        <f t="shared" si="454"/>
        <v>393.78252563476599</v>
      </c>
      <c r="T7242" s="331">
        <v>0</v>
      </c>
      <c r="U7242" s="328">
        <f>VLOOKUP(C7242,METADATA!$J$5:$Q$29,IF(E7242="HI",2,IF(E7242="LO",6,10))+IF(T7242=1,2,IF(D7242=7,1,(IF(WEEKDAY(B7242)=1,2,IF(WEEKDAY(B7242)=7,1,0))))))</f>
        <v>2</v>
      </c>
      <c r="V7242" s="328">
        <f>VLOOKUP(C7242,METADATA!$A$5:$H$29,IF(E7242="HI",2,IF(E7242="LO",6,10))+IF(T7242=1,2,IF(D7242=7,1,(IF(WEEKDAY(B7242)=1,2,IF(WEEKDAY(B7242)=7,1,0))))))</f>
        <v>2</v>
      </c>
    </row>
    <row r="7243" spans="2:22">
      <c r="B7243" s="318">
        <f t="shared" si="451"/>
        <v>46414</v>
      </c>
      <c r="C7243" s="312">
        <v>15</v>
      </c>
      <c r="D7243" s="368">
        <f>IFERROR((INDEX(METADATA!$T$2:$T$20,MATCH(B7243,METADATA!$S$2:$S$20,0))),0)</f>
        <v>0</v>
      </c>
      <c r="E7243" s="312" t="str">
        <f t="shared" si="452"/>
        <v>HI</v>
      </c>
      <c r="F7243" s="369">
        <f>VLOOKUP(C7243,METADATA!$A$5:$H$29,IF(E7243="HI",2,IF(E7243="LO",6,10))+IF(D7243=1,2,IF(D7243=7,1,(IF(WEEKDAY(B7243)=1,2,IF(WEEKDAY(B7243)=7,1,0))))))</f>
        <v>2</v>
      </c>
      <c r="G7243" s="369">
        <f>VLOOKUP(C7243,METADATA!$J$5:$Q$29,IF(E7243="HI",2,IF(E7243="LO",6,10))+IF(D7243=1,2,IF(D7243=7,1,(IF(WEEKDAY(B7243)=1,2,IF(WEEKDAY(B7243)=7,1,0))))))</f>
        <v>2</v>
      </c>
      <c r="H7243" s="370">
        <v>13916.0498046875</v>
      </c>
      <c r="I7243" s="370">
        <v>4650.27001953125</v>
      </c>
      <c r="M7243" s="371">
        <f t="shared" si="453"/>
        <v>14672.472641688386</v>
      </c>
      <c r="N7243" s="329">
        <f t="shared" si="454"/>
        <v>475.455078125</v>
      </c>
      <c r="T7243" s="331">
        <v>0</v>
      </c>
      <c r="U7243" s="328">
        <f>VLOOKUP(C7243,METADATA!$J$5:$Q$29,IF(E7243="HI",2,IF(E7243="LO",6,10))+IF(T7243=1,2,IF(D7243=7,1,(IF(WEEKDAY(B7243)=1,2,IF(WEEKDAY(B7243)=7,1,0))))))</f>
        <v>2</v>
      </c>
      <c r="V7243" s="328">
        <f>VLOOKUP(C7243,METADATA!$A$5:$H$29,IF(E7243="HI",2,IF(E7243="LO",6,10))+IF(T7243=1,2,IF(D7243=7,1,(IF(WEEKDAY(B7243)=1,2,IF(WEEKDAY(B7243)=7,1,0))))))</f>
        <v>2</v>
      </c>
    </row>
    <row r="7244" spans="2:22">
      <c r="B7244" s="318">
        <f t="shared" si="451"/>
        <v>46414</v>
      </c>
      <c r="C7244" s="312">
        <v>16</v>
      </c>
      <c r="D7244" s="368">
        <f>IFERROR((INDEX(METADATA!$T$2:$T$20,MATCH(B7244,METADATA!$S$2:$S$20,0))),0)</f>
        <v>0</v>
      </c>
      <c r="E7244" s="312" t="str">
        <f t="shared" si="452"/>
        <v>HI</v>
      </c>
      <c r="F7244" s="369">
        <f>VLOOKUP(C7244,METADATA!$A$5:$H$29,IF(E7244="HI",2,IF(E7244="LO",6,10))+IF(D7244=1,2,IF(D7244=7,1,(IF(WEEKDAY(B7244)=1,2,IF(WEEKDAY(B7244)=7,1,0))))))</f>
        <v>2</v>
      </c>
      <c r="G7244" s="369">
        <f>VLOOKUP(C7244,METADATA!$J$5:$Q$29,IF(E7244="HI",2,IF(E7244="LO",6,10))+IF(D7244=1,2,IF(D7244=7,1,(IF(WEEKDAY(B7244)=1,2,IF(WEEKDAY(B7244)=7,1,0))))))</f>
        <v>2</v>
      </c>
      <c r="H7244" s="370">
        <v>13824.799987792969</v>
      </c>
      <c r="I7244" s="370">
        <v>4665.9649047851563</v>
      </c>
      <c r="M7244" s="371">
        <f t="shared" si="453"/>
        <v>14590.967178195118</v>
      </c>
      <c r="N7244" s="329">
        <f t="shared" si="454"/>
        <v>518.52490844726617</v>
      </c>
      <c r="T7244" s="331">
        <v>0</v>
      </c>
      <c r="U7244" s="328">
        <f>VLOOKUP(C7244,METADATA!$J$5:$Q$29,IF(E7244="HI",2,IF(E7244="LO",6,10))+IF(T7244=1,2,IF(D7244=7,1,(IF(WEEKDAY(B7244)=1,2,IF(WEEKDAY(B7244)=7,1,0))))))</f>
        <v>2</v>
      </c>
      <c r="V7244" s="328">
        <f>VLOOKUP(C7244,METADATA!$A$5:$H$29,IF(E7244="HI",2,IF(E7244="LO",6,10))+IF(T7244=1,2,IF(D7244=7,1,(IF(WEEKDAY(B7244)=1,2,IF(WEEKDAY(B7244)=7,1,0))))))</f>
        <v>2</v>
      </c>
    </row>
    <row r="7245" spans="2:22">
      <c r="B7245" s="318">
        <f t="shared" si="451"/>
        <v>46414</v>
      </c>
      <c r="C7245" s="312">
        <v>17</v>
      </c>
      <c r="D7245" s="368">
        <f>IFERROR((INDEX(METADATA!$T$2:$T$20,MATCH(B7245,METADATA!$S$2:$S$20,0))),0)</f>
        <v>0</v>
      </c>
      <c r="E7245" s="312" t="str">
        <f t="shared" si="452"/>
        <v>HI</v>
      </c>
      <c r="F7245" s="369">
        <f>VLOOKUP(C7245,METADATA!$A$5:$H$29,IF(E7245="HI",2,IF(E7245="LO",6,10))+IF(D7245=1,2,IF(D7245=7,1,(IF(WEEKDAY(B7245)=1,2,IF(WEEKDAY(B7245)=7,1,0))))))</f>
        <v>1</v>
      </c>
      <c r="G7245" s="369">
        <f>VLOOKUP(C7245,METADATA!$J$5:$Q$29,IF(E7245="HI",2,IF(E7245="LO",6,10))+IF(D7245=1,2,IF(D7245=7,1,(IF(WEEKDAY(B7245)=1,2,IF(WEEKDAY(B7245)=7,1,0))))))</f>
        <v>1</v>
      </c>
      <c r="H7245" s="370">
        <v>13723.725219726563</v>
      </c>
      <c r="I7245" s="370">
        <v>4718.6900024414063</v>
      </c>
      <c r="M7245" s="371">
        <f t="shared" si="453"/>
        <v>14512.293727929411</v>
      </c>
      <c r="N7245" s="329">
        <f t="shared" si="454"/>
        <v>601.57243652343732</v>
      </c>
      <c r="T7245" s="331">
        <v>0</v>
      </c>
      <c r="U7245" s="328">
        <f>VLOOKUP(C7245,METADATA!$J$5:$Q$29,IF(E7245="HI",2,IF(E7245="LO",6,10))+IF(T7245=1,2,IF(D7245=7,1,(IF(WEEKDAY(B7245)=1,2,IF(WEEKDAY(B7245)=7,1,0))))))</f>
        <v>1</v>
      </c>
      <c r="V7245" s="328">
        <f>VLOOKUP(C7245,METADATA!$A$5:$H$29,IF(E7245="HI",2,IF(E7245="LO",6,10))+IF(T7245=1,2,IF(D7245=7,1,(IF(WEEKDAY(B7245)=1,2,IF(WEEKDAY(B7245)=7,1,0))))))</f>
        <v>1</v>
      </c>
    </row>
    <row r="7246" spans="2:22">
      <c r="B7246" s="318">
        <f t="shared" si="451"/>
        <v>46414</v>
      </c>
      <c r="C7246" s="312">
        <v>18</v>
      </c>
      <c r="D7246" s="368">
        <f>IFERROR((INDEX(METADATA!$T$2:$T$20,MATCH(B7246,METADATA!$S$2:$S$20,0))),0)</f>
        <v>0</v>
      </c>
      <c r="E7246" s="312" t="str">
        <f t="shared" si="452"/>
        <v>HI</v>
      </c>
      <c r="F7246" s="369">
        <f>VLOOKUP(C7246,METADATA!$A$5:$H$29,IF(E7246="HI",2,IF(E7246="LO",6,10))+IF(D7246=1,2,IF(D7246=7,1,(IF(WEEKDAY(B7246)=1,2,IF(WEEKDAY(B7246)=7,1,0))))))</f>
        <v>1</v>
      </c>
      <c r="G7246" s="369">
        <f>VLOOKUP(C7246,METADATA!$J$5:$Q$29,IF(E7246="HI",2,IF(E7246="LO",6,10))+IF(D7246=1,2,IF(D7246=7,1,(IF(WEEKDAY(B7246)=1,2,IF(WEEKDAY(B7246)=7,1,0))))))</f>
        <v>1</v>
      </c>
      <c r="H7246" s="370">
        <v>13704.099975585938</v>
      </c>
      <c r="I7246" s="370">
        <v>4589.9000549316406</v>
      </c>
      <c r="M7246" s="371">
        <f t="shared" si="453"/>
        <v>14452.319490487193</v>
      </c>
      <c r="N7246" s="329">
        <f t="shared" si="454"/>
        <v>478.67006225585919</v>
      </c>
      <c r="T7246" s="331">
        <v>0</v>
      </c>
      <c r="U7246" s="328">
        <f>VLOOKUP(C7246,METADATA!$J$5:$Q$29,IF(E7246="HI",2,IF(E7246="LO",6,10))+IF(T7246=1,2,IF(D7246=7,1,(IF(WEEKDAY(B7246)=1,2,IF(WEEKDAY(B7246)=7,1,0))))))</f>
        <v>1</v>
      </c>
      <c r="V7246" s="328">
        <f>VLOOKUP(C7246,METADATA!$A$5:$H$29,IF(E7246="HI",2,IF(E7246="LO",6,10))+IF(T7246=1,2,IF(D7246=7,1,(IF(WEEKDAY(B7246)=1,2,IF(WEEKDAY(B7246)=7,1,0))))))</f>
        <v>1</v>
      </c>
    </row>
    <row r="7247" spans="2:22">
      <c r="B7247" s="318">
        <f t="shared" si="451"/>
        <v>46414</v>
      </c>
      <c r="C7247" s="312">
        <v>19</v>
      </c>
      <c r="D7247" s="368">
        <f>IFERROR((INDEX(METADATA!$T$2:$T$20,MATCH(B7247,METADATA!$S$2:$S$20,0))),0)</f>
        <v>0</v>
      </c>
      <c r="E7247" s="312" t="str">
        <f t="shared" si="452"/>
        <v>HI</v>
      </c>
      <c r="F7247" s="369">
        <f>VLOOKUP(C7247,METADATA!$A$5:$H$29,IF(E7247="HI",2,IF(E7247="LO",6,10))+IF(D7247=1,2,IF(D7247=7,1,(IF(WEEKDAY(B7247)=1,2,IF(WEEKDAY(B7247)=7,1,0))))))</f>
        <v>1</v>
      </c>
      <c r="G7247" s="369">
        <f>VLOOKUP(C7247,METADATA!$J$5:$Q$29,IF(E7247="HI",2,IF(E7247="LO",6,10))+IF(D7247=1,2,IF(D7247=7,1,(IF(WEEKDAY(B7247)=1,2,IF(WEEKDAY(B7247)=7,1,0))))))</f>
        <v>1</v>
      </c>
      <c r="H7247" s="370">
        <v>13614.150024414063</v>
      </c>
      <c r="I7247" s="370">
        <v>4412.7201232910156</v>
      </c>
      <c r="M7247" s="371">
        <f t="shared" si="453"/>
        <v>14311.435280004269</v>
      </c>
      <c r="N7247" s="329">
        <f t="shared" si="454"/>
        <v>328.47511596679715</v>
      </c>
      <c r="T7247" s="331">
        <v>0</v>
      </c>
      <c r="U7247" s="328">
        <f>VLOOKUP(C7247,METADATA!$J$5:$Q$29,IF(E7247="HI",2,IF(E7247="LO",6,10))+IF(T7247=1,2,IF(D7247=7,1,(IF(WEEKDAY(B7247)=1,2,IF(WEEKDAY(B7247)=7,1,0))))))</f>
        <v>1</v>
      </c>
      <c r="V7247" s="328">
        <f>VLOOKUP(C7247,METADATA!$A$5:$H$29,IF(E7247="HI",2,IF(E7247="LO",6,10))+IF(T7247=1,2,IF(D7247=7,1,(IF(WEEKDAY(B7247)=1,2,IF(WEEKDAY(B7247)=7,1,0))))))</f>
        <v>1</v>
      </c>
    </row>
    <row r="7248" spans="2:22">
      <c r="B7248" s="318">
        <f t="shared" si="451"/>
        <v>46414</v>
      </c>
      <c r="C7248" s="312">
        <v>20</v>
      </c>
      <c r="D7248" s="368">
        <f>IFERROR((INDEX(METADATA!$T$2:$T$20,MATCH(B7248,METADATA!$S$2:$S$20,0))),0)</f>
        <v>0</v>
      </c>
      <c r="E7248" s="312" t="str">
        <f t="shared" si="452"/>
        <v>HI</v>
      </c>
      <c r="F7248" s="369">
        <f>VLOOKUP(C7248,METADATA!$A$5:$H$29,IF(E7248="HI",2,IF(E7248="LO",6,10))+IF(D7248=1,2,IF(D7248=7,1,(IF(WEEKDAY(B7248)=1,2,IF(WEEKDAY(B7248)=7,1,0))))))</f>
        <v>2</v>
      </c>
      <c r="G7248" s="369">
        <f>VLOOKUP(C7248,METADATA!$J$5:$Q$29,IF(E7248="HI",2,IF(E7248="LO",6,10))+IF(D7248=1,2,IF(D7248=7,1,(IF(WEEKDAY(B7248)=1,2,IF(WEEKDAY(B7248)=7,1,0))))))</f>
        <v>2</v>
      </c>
      <c r="H7248" s="370">
        <v>13817.100158691406</v>
      </c>
      <c r="I7248" s="370">
        <v>4434.35009765625</v>
      </c>
      <c r="M7248" s="371">
        <f t="shared" si="453"/>
        <v>14511.227294198588</v>
      </c>
      <c r="N7248" s="329">
        <f t="shared" si="454"/>
        <v>289.22005004882794</v>
      </c>
      <c r="T7248" s="331">
        <v>0</v>
      </c>
      <c r="U7248" s="328">
        <f>VLOOKUP(C7248,METADATA!$J$5:$Q$29,IF(E7248="HI",2,IF(E7248="LO",6,10))+IF(T7248=1,2,IF(D7248=7,1,(IF(WEEKDAY(B7248)=1,2,IF(WEEKDAY(B7248)=7,1,0))))))</f>
        <v>2</v>
      </c>
      <c r="V7248" s="328">
        <f>VLOOKUP(C7248,METADATA!$A$5:$H$29,IF(E7248="HI",2,IF(E7248="LO",6,10))+IF(T7248=1,2,IF(D7248=7,1,(IF(WEEKDAY(B7248)=1,2,IF(WEEKDAY(B7248)=7,1,0))))))</f>
        <v>2</v>
      </c>
    </row>
    <row r="7249" spans="2:22">
      <c r="B7249" s="318">
        <f t="shared" si="451"/>
        <v>46414</v>
      </c>
      <c r="C7249" s="312">
        <v>21</v>
      </c>
      <c r="D7249" s="368">
        <f>IFERROR((INDEX(METADATA!$T$2:$T$20,MATCH(B7249,METADATA!$S$2:$S$20,0))),0)</f>
        <v>0</v>
      </c>
      <c r="E7249" s="312" t="str">
        <f t="shared" si="452"/>
        <v>HI</v>
      </c>
      <c r="F7249" s="369">
        <f>VLOOKUP(C7249,METADATA!$A$5:$H$29,IF(E7249="HI",2,IF(E7249="LO",6,10))+IF(D7249=1,2,IF(D7249=7,1,(IF(WEEKDAY(B7249)=1,2,IF(WEEKDAY(B7249)=7,1,0))))))</f>
        <v>2</v>
      </c>
      <c r="G7249" s="369">
        <f>VLOOKUP(C7249,METADATA!$J$5:$Q$29,IF(E7249="HI",2,IF(E7249="LO",6,10))+IF(D7249=1,2,IF(D7249=7,1,(IF(WEEKDAY(B7249)=1,2,IF(WEEKDAY(B7249)=7,1,0))))))</f>
        <v>2</v>
      </c>
      <c r="H7249" s="370">
        <v>13797.524963378906</v>
      </c>
      <c r="I7249" s="370">
        <v>4294.3900146484375</v>
      </c>
      <c r="M7249" s="371">
        <f t="shared" si="453"/>
        <v>14450.37995047107</v>
      </c>
      <c r="N7249" s="329">
        <f t="shared" si="454"/>
        <v>155.13252563476544</v>
      </c>
      <c r="T7249" s="331">
        <v>0</v>
      </c>
      <c r="U7249" s="328">
        <f>VLOOKUP(C7249,METADATA!$J$5:$Q$29,IF(E7249="HI",2,IF(E7249="LO",6,10))+IF(T7249=1,2,IF(D7249=7,1,(IF(WEEKDAY(B7249)=1,2,IF(WEEKDAY(B7249)=7,1,0))))))</f>
        <v>2</v>
      </c>
      <c r="V7249" s="328">
        <f>VLOOKUP(C7249,METADATA!$A$5:$H$29,IF(E7249="HI",2,IF(E7249="LO",6,10))+IF(T7249=1,2,IF(D7249=7,1,(IF(WEEKDAY(B7249)=1,2,IF(WEEKDAY(B7249)=7,1,0))))))</f>
        <v>2</v>
      </c>
    </row>
    <row r="7250" spans="2:22">
      <c r="B7250" s="318">
        <f t="shared" si="451"/>
        <v>46414</v>
      </c>
      <c r="C7250" s="312">
        <v>22</v>
      </c>
      <c r="D7250" s="368">
        <f>IFERROR((INDEX(METADATA!$T$2:$T$20,MATCH(B7250,METADATA!$S$2:$S$20,0))),0)</f>
        <v>0</v>
      </c>
      <c r="E7250" s="312" t="str">
        <f t="shared" si="452"/>
        <v>HI</v>
      </c>
      <c r="F7250" s="369">
        <f>VLOOKUP(C7250,METADATA!$A$5:$H$29,IF(E7250="HI",2,IF(E7250="LO",6,10))+IF(D7250=1,2,IF(D7250=7,1,(IF(WEEKDAY(B7250)=1,2,IF(WEEKDAY(B7250)=7,1,0))))))</f>
        <v>3</v>
      </c>
      <c r="G7250" s="369">
        <f>VLOOKUP(C7250,METADATA!$J$5:$Q$29,IF(E7250="HI",2,IF(E7250="LO",6,10))+IF(D7250=1,2,IF(D7250=7,1,(IF(WEEKDAY(B7250)=1,2,IF(WEEKDAY(B7250)=7,1,0))))))</f>
        <v>3</v>
      </c>
      <c r="H7250" s="370">
        <v>13726.64990234375</v>
      </c>
      <c r="I7250" s="370">
        <v>4343.3449401855469</v>
      </c>
      <c r="M7250" s="371">
        <f t="shared" si="453"/>
        <v>14397.415143384214</v>
      </c>
      <c r="N7250" s="329">
        <f t="shared" si="454"/>
        <v>225.34996948242224</v>
      </c>
      <c r="T7250" s="331">
        <v>0</v>
      </c>
      <c r="U7250" s="328">
        <f>VLOOKUP(C7250,METADATA!$J$5:$Q$29,IF(E7250="HI",2,IF(E7250="LO",6,10))+IF(T7250=1,2,IF(D7250=7,1,(IF(WEEKDAY(B7250)=1,2,IF(WEEKDAY(B7250)=7,1,0))))))</f>
        <v>3</v>
      </c>
      <c r="V7250" s="328">
        <f>VLOOKUP(C7250,METADATA!$A$5:$H$29,IF(E7250="HI",2,IF(E7250="LO",6,10))+IF(T7250=1,2,IF(D7250=7,1,(IF(WEEKDAY(B7250)=1,2,IF(WEEKDAY(B7250)=7,1,0))))))</f>
        <v>3</v>
      </c>
    </row>
    <row r="7251" spans="2:22">
      <c r="B7251" s="318">
        <f t="shared" si="451"/>
        <v>46414</v>
      </c>
      <c r="C7251" s="312">
        <v>23</v>
      </c>
      <c r="D7251" s="368">
        <f>IFERROR((INDEX(METADATA!$T$2:$T$20,MATCH(B7251,METADATA!$S$2:$S$20,0))),0)</f>
        <v>0</v>
      </c>
      <c r="E7251" s="312" t="str">
        <f t="shared" si="452"/>
        <v>HI</v>
      </c>
      <c r="F7251" s="369">
        <f>VLOOKUP(C7251,METADATA!$A$5:$H$29,IF(E7251="HI",2,IF(E7251="LO",6,10))+IF(D7251=1,2,IF(D7251=7,1,(IF(WEEKDAY(B7251)=1,2,IF(WEEKDAY(B7251)=7,1,0))))))</f>
        <v>3</v>
      </c>
      <c r="G7251" s="369">
        <f>VLOOKUP(C7251,METADATA!$J$5:$Q$29,IF(E7251="HI",2,IF(E7251="LO",6,10))+IF(D7251=1,2,IF(D7251=7,1,(IF(WEEKDAY(B7251)=1,2,IF(WEEKDAY(B7251)=7,1,0))))))</f>
        <v>3</v>
      </c>
      <c r="H7251" s="370">
        <v>12942.575439453125</v>
      </c>
      <c r="I7251" s="370">
        <v>4131.0499572753906</v>
      </c>
      <c r="M7251" s="371">
        <f t="shared" si="453"/>
        <v>13585.868862735289</v>
      </c>
      <c r="N7251" s="329">
        <f t="shared" si="454"/>
        <v>248.27732543945331</v>
      </c>
      <c r="T7251" s="331">
        <v>0</v>
      </c>
      <c r="U7251" s="328">
        <f>VLOOKUP(C7251,METADATA!$J$5:$Q$29,IF(E7251="HI",2,IF(E7251="LO",6,10))+IF(T7251=1,2,IF(D7251=7,1,(IF(WEEKDAY(B7251)=1,2,IF(WEEKDAY(B7251)=7,1,0))))))</f>
        <v>3</v>
      </c>
      <c r="V7251" s="328">
        <f>VLOOKUP(C7251,METADATA!$A$5:$H$29,IF(E7251="HI",2,IF(E7251="LO",6,10))+IF(T7251=1,2,IF(D7251=7,1,(IF(WEEKDAY(B7251)=1,2,IF(WEEKDAY(B7251)=7,1,0))))))</f>
        <v>3</v>
      </c>
    </row>
    <row r="7252" spans="2:22">
      <c r="B7252" s="318">
        <f t="shared" si="451"/>
        <v>46415</v>
      </c>
      <c r="C7252" s="312">
        <v>0</v>
      </c>
      <c r="D7252" s="368">
        <f>IFERROR((INDEX(METADATA!$T$2:$T$20,MATCH(B7252,METADATA!$S$2:$S$20,0))),0)</f>
        <v>0</v>
      </c>
      <c r="E7252" s="312" t="str">
        <f t="shared" si="452"/>
        <v>HI</v>
      </c>
      <c r="F7252" s="369">
        <f>VLOOKUP(C7252,METADATA!$A$5:$H$29,IF(E7252="HI",2,IF(E7252="LO",6,10))+IF(D7252=1,2,IF(D7252=7,1,(IF(WEEKDAY(B7252)=1,2,IF(WEEKDAY(B7252)=7,1,0))))))</f>
        <v>3</v>
      </c>
      <c r="G7252" s="369">
        <f>VLOOKUP(C7252,METADATA!$J$5:$Q$29,IF(E7252="HI",2,IF(E7252="LO",6,10))+IF(D7252=1,2,IF(D7252=7,1,(IF(WEEKDAY(B7252)=1,2,IF(WEEKDAY(B7252)=7,1,0))))))</f>
        <v>3</v>
      </c>
      <c r="H7252" s="370">
        <v>13645.275085449219</v>
      </c>
      <c r="I7252" s="370">
        <v>4408.3899536132813</v>
      </c>
      <c r="M7252" s="371">
        <f t="shared" si="453"/>
        <v>14339.715274045704</v>
      </c>
      <c r="N7252" s="329">
        <f t="shared" si="454"/>
        <v>314.80742797851599</v>
      </c>
      <c r="T7252" s="331">
        <v>0</v>
      </c>
      <c r="U7252" s="328">
        <f>VLOOKUP(C7252,METADATA!$J$5:$Q$29,IF(E7252="HI",2,IF(E7252="LO",6,10))+IF(T7252=1,2,IF(D7252=7,1,(IF(WEEKDAY(B7252)=1,2,IF(WEEKDAY(B7252)=7,1,0))))))</f>
        <v>3</v>
      </c>
      <c r="V7252" s="328">
        <f>VLOOKUP(C7252,METADATA!$A$5:$H$29,IF(E7252="HI",2,IF(E7252="LO",6,10))+IF(T7252=1,2,IF(D7252=7,1,(IF(WEEKDAY(B7252)=1,2,IF(WEEKDAY(B7252)=7,1,0))))))</f>
        <v>3</v>
      </c>
    </row>
    <row r="7253" spans="2:22">
      <c r="B7253" s="318">
        <f t="shared" si="451"/>
        <v>46415</v>
      </c>
      <c r="C7253" s="312">
        <v>1</v>
      </c>
      <c r="D7253" s="368">
        <f>IFERROR((INDEX(METADATA!$T$2:$T$20,MATCH(B7253,METADATA!$S$2:$S$20,0))),0)</f>
        <v>0</v>
      </c>
      <c r="E7253" s="312" t="str">
        <f t="shared" si="452"/>
        <v>HI</v>
      </c>
      <c r="F7253" s="369">
        <f>VLOOKUP(C7253,METADATA!$A$5:$H$29,IF(E7253="HI",2,IF(E7253="LO",6,10))+IF(D7253=1,2,IF(D7253=7,1,(IF(WEEKDAY(B7253)=1,2,IF(WEEKDAY(B7253)=7,1,0))))))</f>
        <v>3</v>
      </c>
      <c r="G7253" s="369">
        <f>VLOOKUP(C7253,METADATA!$J$5:$Q$29,IF(E7253="HI",2,IF(E7253="LO",6,10))+IF(D7253=1,2,IF(D7253=7,1,(IF(WEEKDAY(B7253)=1,2,IF(WEEKDAY(B7253)=7,1,0))))))</f>
        <v>3</v>
      </c>
      <c r="H7253" s="370">
        <v>13753.894897460938</v>
      </c>
      <c r="I7253" s="370">
        <v>4452.5998840332031</v>
      </c>
      <c r="M7253" s="371">
        <f t="shared" si="453"/>
        <v>14456.668723384875</v>
      </c>
      <c r="N7253" s="329">
        <f t="shared" si="454"/>
        <v>326.43141479492169</v>
      </c>
      <c r="T7253" s="331">
        <v>0</v>
      </c>
      <c r="U7253" s="328">
        <f>VLOOKUP(C7253,METADATA!$J$5:$Q$29,IF(E7253="HI",2,IF(E7253="LO",6,10))+IF(T7253=1,2,IF(D7253=7,1,(IF(WEEKDAY(B7253)=1,2,IF(WEEKDAY(B7253)=7,1,0))))))</f>
        <v>3</v>
      </c>
      <c r="V7253" s="328">
        <f>VLOOKUP(C7253,METADATA!$A$5:$H$29,IF(E7253="HI",2,IF(E7253="LO",6,10))+IF(T7253=1,2,IF(D7253=7,1,(IF(WEEKDAY(B7253)=1,2,IF(WEEKDAY(B7253)=7,1,0))))))</f>
        <v>3</v>
      </c>
    </row>
    <row r="7254" spans="2:22">
      <c r="B7254" s="318">
        <f t="shared" si="451"/>
        <v>46415</v>
      </c>
      <c r="C7254" s="312">
        <v>2</v>
      </c>
      <c r="D7254" s="368">
        <f>IFERROR((INDEX(METADATA!$T$2:$T$20,MATCH(B7254,METADATA!$S$2:$S$20,0))),0)</f>
        <v>0</v>
      </c>
      <c r="E7254" s="312" t="str">
        <f t="shared" si="452"/>
        <v>HI</v>
      </c>
      <c r="F7254" s="369">
        <f>VLOOKUP(C7254,METADATA!$A$5:$H$29,IF(E7254="HI",2,IF(E7254="LO",6,10))+IF(D7254=1,2,IF(D7254=7,1,(IF(WEEKDAY(B7254)=1,2,IF(WEEKDAY(B7254)=7,1,0))))))</f>
        <v>3</v>
      </c>
      <c r="G7254" s="369">
        <f>VLOOKUP(C7254,METADATA!$J$5:$Q$29,IF(E7254="HI",2,IF(E7254="LO",6,10))+IF(D7254=1,2,IF(D7254=7,1,(IF(WEEKDAY(B7254)=1,2,IF(WEEKDAY(B7254)=7,1,0))))))</f>
        <v>3</v>
      </c>
      <c r="H7254" s="370">
        <v>13800.200134277344</v>
      </c>
      <c r="I7254" s="370">
        <v>4494.93505859375</v>
      </c>
      <c r="M7254" s="371">
        <f t="shared" si="453"/>
        <v>14513.785341084647</v>
      </c>
      <c r="N7254" s="329">
        <f t="shared" si="454"/>
        <v>354.87501831054669</v>
      </c>
      <c r="T7254" s="331">
        <v>0</v>
      </c>
      <c r="U7254" s="328">
        <f>VLOOKUP(C7254,METADATA!$J$5:$Q$29,IF(E7254="HI",2,IF(E7254="LO",6,10))+IF(T7254=1,2,IF(D7254=7,1,(IF(WEEKDAY(B7254)=1,2,IF(WEEKDAY(B7254)=7,1,0))))))</f>
        <v>3</v>
      </c>
      <c r="V7254" s="328">
        <f>VLOOKUP(C7254,METADATA!$A$5:$H$29,IF(E7254="HI",2,IF(E7254="LO",6,10))+IF(T7254=1,2,IF(D7254=7,1,(IF(WEEKDAY(B7254)=1,2,IF(WEEKDAY(B7254)=7,1,0))))))</f>
        <v>3</v>
      </c>
    </row>
    <row r="7255" spans="2:22">
      <c r="B7255" s="318">
        <f t="shared" si="451"/>
        <v>46415</v>
      </c>
      <c r="C7255" s="312">
        <v>3</v>
      </c>
      <c r="D7255" s="368">
        <f>IFERROR((INDEX(METADATA!$T$2:$T$20,MATCH(B7255,METADATA!$S$2:$S$20,0))),0)</f>
        <v>0</v>
      </c>
      <c r="E7255" s="312" t="str">
        <f t="shared" si="452"/>
        <v>HI</v>
      </c>
      <c r="F7255" s="369">
        <f>VLOOKUP(C7255,METADATA!$A$5:$H$29,IF(E7255="HI",2,IF(E7255="LO",6,10))+IF(D7255=1,2,IF(D7255=7,1,(IF(WEEKDAY(B7255)=1,2,IF(WEEKDAY(B7255)=7,1,0))))))</f>
        <v>3</v>
      </c>
      <c r="G7255" s="369">
        <f>VLOOKUP(C7255,METADATA!$J$5:$Q$29,IF(E7255="HI",2,IF(E7255="LO",6,10))+IF(D7255=1,2,IF(D7255=7,1,(IF(WEEKDAY(B7255)=1,2,IF(WEEKDAY(B7255)=7,1,0))))))</f>
        <v>3</v>
      </c>
      <c r="H7255" s="370">
        <v>13612.47509765625</v>
      </c>
      <c r="I7255" s="370">
        <v>4439.5499267578125</v>
      </c>
      <c r="M7255" s="371">
        <f t="shared" si="453"/>
        <v>14318.138211251029</v>
      </c>
      <c r="N7255" s="329">
        <f t="shared" si="454"/>
        <v>355.80739746093786</v>
      </c>
      <c r="T7255" s="331">
        <v>0</v>
      </c>
      <c r="U7255" s="328">
        <f>VLOOKUP(C7255,METADATA!$J$5:$Q$29,IF(E7255="HI",2,IF(E7255="LO",6,10))+IF(T7255=1,2,IF(D7255=7,1,(IF(WEEKDAY(B7255)=1,2,IF(WEEKDAY(B7255)=7,1,0))))))</f>
        <v>3</v>
      </c>
      <c r="V7255" s="328">
        <f>VLOOKUP(C7255,METADATA!$A$5:$H$29,IF(E7255="HI",2,IF(E7255="LO",6,10))+IF(T7255=1,2,IF(D7255=7,1,(IF(WEEKDAY(B7255)=1,2,IF(WEEKDAY(B7255)=7,1,0))))))</f>
        <v>3</v>
      </c>
    </row>
    <row r="7256" spans="2:22">
      <c r="B7256" s="318">
        <f t="shared" si="451"/>
        <v>46415</v>
      </c>
      <c r="C7256" s="312">
        <v>4</v>
      </c>
      <c r="D7256" s="368">
        <f>IFERROR((INDEX(METADATA!$T$2:$T$20,MATCH(B7256,METADATA!$S$2:$S$20,0))),0)</f>
        <v>0</v>
      </c>
      <c r="E7256" s="312" t="str">
        <f t="shared" si="452"/>
        <v>HI</v>
      </c>
      <c r="F7256" s="369">
        <f>VLOOKUP(C7256,METADATA!$A$5:$H$29,IF(E7256="HI",2,IF(E7256="LO",6,10))+IF(D7256=1,2,IF(D7256=7,1,(IF(WEEKDAY(B7256)=1,2,IF(WEEKDAY(B7256)=7,1,0))))))</f>
        <v>3</v>
      </c>
      <c r="G7256" s="369">
        <f>VLOOKUP(C7256,METADATA!$J$5:$Q$29,IF(E7256="HI",2,IF(E7256="LO",6,10))+IF(D7256=1,2,IF(D7256=7,1,(IF(WEEKDAY(B7256)=1,2,IF(WEEKDAY(B7256)=7,1,0))))))</f>
        <v>3</v>
      </c>
      <c r="H7256" s="370">
        <v>13596.050231933594</v>
      </c>
      <c r="I7256" s="370">
        <v>4504.8349304199219</v>
      </c>
      <c r="M7256" s="371">
        <f t="shared" si="453"/>
        <v>14322.922874175962</v>
      </c>
      <c r="N7256" s="329">
        <f t="shared" si="454"/>
        <v>426.01986083984411</v>
      </c>
      <c r="T7256" s="331">
        <v>0</v>
      </c>
      <c r="U7256" s="328">
        <f>VLOOKUP(C7256,METADATA!$J$5:$Q$29,IF(E7256="HI",2,IF(E7256="LO",6,10))+IF(T7256=1,2,IF(D7256=7,1,(IF(WEEKDAY(B7256)=1,2,IF(WEEKDAY(B7256)=7,1,0))))))</f>
        <v>3</v>
      </c>
      <c r="V7256" s="328">
        <f>VLOOKUP(C7256,METADATA!$A$5:$H$29,IF(E7256="HI",2,IF(E7256="LO",6,10))+IF(T7256=1,2,IF(D7256=7,1,(IF(WEEKDAY(B7256)=1,2,IF(WEEKDAY(B7256)=7,1,0))))))</f>
        <v>3</v>
      </c>
    </row>
    <row r="7257" spans="2:22">
      <c r="B7257" s="318">
        <f t="shared" si="451"/>
        <v>46415</v>
      </c>
      <c r="C7257" s="312">
        <v>5</v>
      </c>
      <c r="D7257" s="368">
        <f>IFERROR((INDEX(METADATA!$T$2:$T$20,MATCH(B7257,METADATA!$S$2:$S$20,0))),0)</f>
        <v>0</v>
      </c>
      <c r="E7257" s="312" t="str">
        <f t="shared" si="452"/>
        <v>HI</v>
      </c>
      <c r="F7257" s="369">
        <f>VLOOKUP(C7257,METADATA!$A$5:$H$29,IF(E7257="HI",2,IF(E7257="LO",6,10))+IF(D7257=1,2,IF(D7257=7,1,(IF(WEEKDAY(B7257)=1,2,IF(WEEKDAY(B7257)=7,1,0))))))</f>
        <v>3</v>
      </c>
      <c r="G7257" s="369">
        <f>VLOOKUP(C7257,METADATA!$J$5:$Q$29,IF(E7257="HI",2,IF(E7257="LO",6,10))+IF(D7257=1,2,IF(D7257=7,1,(IF(WEEKDAY(B7257)=1,2,IF(WEEKDAY(B7257)=7,1,0))))))</f>
        <v>3</v>
      </c>
      <c r="H7257" s="370">
        <v>13611.975341796875</v>
      </c>
      <c r="I7257" s="370">
        <v>4474.1449584960938</v>
      </c>
      <c r="M7257" s="371">
        <f t="shared" si="453"/>
        <v>14328.42789057202</v>
      </c>
      <c r="N7257" s="329">
        <f t="shared" si="454"/>
        <v>390.55235595703152</v>
      </c>
      <c r="T7257" s="331">
        <v>0</v>
      </c>
      <c r="U7257" s="328">
        <f>VLOOKUP(C7257,METADATA!$J$5:$Q$29,IF(E7257="HI",2,IF(E7257="LO",6,10))+IF(T7257=1,2,IF(D7257=7,1,(IF(WEEKDAY(B7257)=1,2,IF(WEEKDAY(B7257)=7,1,0))))))</f>
        <v>3</v>
      </c>
      <c r="V7257" s="328">
        <f>VLOOKUP(C7257,METADATA!$A$5:$H$29,IF(E7257="HI",2,IF(E7257="LO",6,10))+IF(T7257=1,2,IF(D7257=7,1,(IF(WEEKDAY(B7257)=1,2,IF(WEEKDAY(B7257)=7,1,0))))))</f>
        <v>3</v>
      </c>
    </row>
    <row r="7258" spans="2:22">
      <c r="B7258" s="318">
        <f t="shared" si="451"/>
        <v>46415</v>
      </c>
      <c r="C7258" s="312">
        <v>6</v>
      </c>
      <c r="D7258" s="368">
        <f>IFERROR((INDEX(METADATA!$T$2:$T$20,MATCH(B7258,METADATA!$S$2:$S$20,0))),0)</f>
        <v>0</v>
      </c>
      <c r="E7258" s="312" t="str">
        <f t="shared" si="452"/>
        <v>HI</v>
      </c>
      <c r="F7258" s="369">
        <f>VLOOKUP(C7258,METADATA!$A$5:$H$29,IF(E7258="HI",2,IF(E7258="LO",6,10))+IF(D7258=1,2,IF(D7258=7,1,(IF(WEEKDAY(B7258)=1,2,IF(WEEKDAY(B7258)=7,1,0))))))</f>
        <v>1</v>
      </c>
      <c r="G7258" s="369">
        <f>VLOOKUP(C7258,METADATA!$J$5:$Q$29,IF(E7258="HI",2,IF(E7258="LO",6,10))+IF(D7258=1,2,IF(D7258=7,1,(IF(WEEKDAY(B7258)=1,2,IF(WEEKDAY(B7258)=7,1,0))))))</f>
        <v>1</v>
      </c>
      <c r="H7258" s="370">
        <v>12614.575256347656</v>
      </c>
      <c r="I7258" s="370">
        <v>3986.864990234375</v>
      </c>
      <c r="M7258" s="371">
        <f t="shared" si="453"/>
        <v>13229.610778417295</v>
      </c>
      <c r="N7258" s="329">
        <f t="shared" si="454"/>
        <v>202.49241333007831</v>
      </c>
      <c r="T7258" s="331">
        <v>0</v>
      </c>
      <c r="U7258" s="328">
        <f>VLOOKUP(C7258,METADATA!$J$5:$Q$29,IF(E7258="HI",2,IF(E7258="LO",6,10))+IF(T7258=1,2,IF(D7258=7,1,(IF(WEEKDAY(B7258)=1,2,IF(WEEKDAY(B7258)=7,1,0))))))</f>
        <v>1</v>
      </c>
      <c r="V7258" s="328">
        <f>VLOOKUP(C7258,METADATA!$A$5:$H$29,IF(E7258="HI",2,IF(E7258="LO",6,10))+IF(T7258=1,2,IF(D7258=7,1,(IF(WEEKDAY(B7258)=1,2,IF(WEEKDAY(B7258)=7,1,0))))))</f>
        <v>1</v>
      </c>
    </row>
    <row r="7259" spans="2:22">
      <c r="B7259" s="318">
        <f t="shared" si="451"/>
        <v>46415</v>
      </c>
      <c r="C7259" s="312">
        <v>7</v>
      </c>
      <c r="D7259" s="368">
        <f>IFERROR((INDEX(METADATA!$T$2:$T$20,MATCH(B7259,METADATA!$S$2:$S$20,0))),0)</f>
        <v>0</v>
      </c>
      <c r="E7259" s="312" t="str">
        <f t="shared" si="452"/>
        <v>HI</v>
      </c>
      <c r="F7259" s="369">
        <f>VLOOKUP(C7259,METADATA!$A$5:$H$29,IF(E7259="HI",2,IF(E7259="LO",6,10))+IF(D7259=1,2,IF(D7259=7,1,(IF(WEEKDAY(B7259)=1,2,IF(WEEKDAY(B7259)=7,1,0))))))</f>
        <v>1</v>
      </c>
      <c r="G7259" s="369">
        <f>VLOOKUP(C7259,METADATA!$J$5:$Q$29,IF(E7259="HI",2,IF(E7259="LO",6,10))+IF(D7259=1,2,IF(D7259=7,1,(IF(WEEKDAY(B7259)=1,2,IF(WEEKDAY(B7259)=7,1,0))))))</f>
        <v>1</v>
      </c>
      <c r="H7259" s="370">
        <v>12042.924743652344</v>
      </c>
      <c r="I7259" s="370">
        <v>3533.9800109863281</v>
      </c>
      <c r="M7259" s="371">
        <f t="shared" si="453"/>
        <v>12550.739065860815</v>
      </c>
      <c r="N7259" s="329">
        <f t="shared" si="454"/>
        <v>0</v>
      </c>
      <c r="T7259" s="331">
        <v>0</v>
      </c>
      <c r="U7259" s="328">
        <f>VLOOKUP(C7259,METADATA!$J$5:$Q$29,IF(E7259="HI",2,IF(E7259="LO",6,10))+IF(T7259=1,2,IF(D7259=7,1,(IF(WEEKDAY(B7259)=1,2,IF(WEEKDAY(B7259)=7,1,0))))))</f>
        <v>1</v>
      </c>
      <c r="V7259" s="328">
        <f>VLOOKUP(C7259,METADATA!$A$5:$H$29,IF(E7259="HI",2,IF(E7259="LO",6,10))+IF(T7259=1,2,IF(D7259=7,1,(IF(WEEKDAY(B7259)=1,2,IF(WEEKDAY(B7259)=7,1,0))))))</f>
        <v>1</v>
      </c>
    </row>
    <row r="7260" spans="2:22">
      <c r="B7260" s="318">
        <f t="shared" ref="B7260:B7323" si="455">B7236+1</f>
        <v>46415</v>
      </c>
      <c r="C7260" s="312">
        <v>8</v>
      </c>
      <c r="D7260" s="368">
        <f>IFERROR((INDEX(METADATA!$T$2:$T$20,MATCH(B7260,METADATA!$S$2:$S$20,0))),0)</f>
        <v>0</v>
      </c>
      <c r="E7260" s="312" t="str">
        <f t="shared" si="452"/>
        <v>HI</v>
      </c>
      <c r="F7260" s="369">
        <f>VLOOKUP(C7260,METADATA!$A$5:$H$29,IF(E7260="HI",2,IF(E7260="LO",6,10))+IF(D7260=1,2,IF(D7260=7,1,(IF(WEEKDAY(B7260)=1,2,IF(WEEKDAY(B7260)=7,1,0))))))</f>
        <v>2</v>
      </c>
      <c r="G7260" s="369">
        <f>VLOOKUP(C7260,METADATA!$J$5:$Q$29,IF(E7260="HI",2,IF(E7260="LO",6,10))+IF(D7260=1,2,IF(D7260=7,1,(IF(WEEKDAY(B7260)=1,2,IF(WEEKDAY(B7260)=7,1,0))))))</f>
        <v>2</v>
      </c>
      <c r="H7260" s="370">
        <v>13378.39990234375</v>
      </c>
      <c r="I7260" s="370">
        <v>4170.739990234375</v>
      </c>
      <c r="M7260" s="371">
        <f t="shared" si="453"/>
        <v>14013.445543947124</v>
      </c>
      <c r="N7260" s="329">
        <f t="shared" si="454"/>
        <v>157.22001953125027</v>
      </c>
      <c r="T7260" s="331">
        <v>0</v>
      </c>
      <c r="U7260" s="328">
        <f>VLOOKUP(C7260,METADATA!$J$5:$Q$29,IF(E7260="HI",2,IF(E7260="LO",6,10))+IF(T7260=1,2,IF(D7260=7,1,(IF(WEEKDAY(B7260)=1,2,IF(WEEKDAY(B7260)=7,1,0))))))</f>
        <v>2</v>
      </c>
      <c r="V7260" s="328">
        <f>VLOOKUP(C7260,METADATA!$A$5:$H$29,IF(E7260="HI",2,IF(E7260="LO",6,10))+IF(T7260=1,2,IF(D7260=7,1,(IF(WEEKDAY(B7260)=1,2,IF(WEEKDAY(B7260)=7,1,0))))))</f>
        <v>2</v>
      </c>
    </row>
    <row r="7261" spans="2:22">
      <c r="B7261" s="318">
        <f t="shared" si="455"/>
        <v>46415</v>
      </c>
      <c r="C7261" s="312">
        <v>9</v>
      </c>
      <c r="D7261" s="368">
        <f>IFERROR((INDEX(METADATA!$T$2:$T$20,MATCH(B7261,METADATA!$S$2:$S$20,0))),0)</f>
        <v>0</v>
      </c>
      <c r="E7261" s="312" t="str">
        <f t="shared" si="452"/>
        <v>HI</v>
      </c>
      <c r="F7261" s="369">
        <f>VLOOKUP(C7261,METADATA!$A$5:$H$29,IF(E7261="HI",2,IF(E7261="LO",6,10))+IF(D7261=1,2,IF(D7261=7,1,(IF(WEEKDAY(B7261)=1,2,IF(WEEKDAY(B7261)=7,1,0))))))</f>
        <v>2</v>
      </c>
      <c r="G7261" s="369">
        <f>VLOOKUP(C7261,METADATA!$J$5:$Q$29,IF(E7261="HI",2,IF(E7261="LO",6,10))+IF(D7261=1,2,IF(D7261=7,1,(IF(WEEKDAY(B7261)=1,2,IF(WEEKDAY(B7261)=7,1,0))))))</f>
        <v>2</v>
      </c>
      <c r="H7261" s="370">
        <v>13867.27490234375</v>
      </c>
      <c r="I7261" s="370">
        <v>4335.4248962402344</v>
      </c>
      <c r="M7261" s="371">
        <f t="shared" si="453"/>
        <v>14529.185188719721</v>
      </c>
      <c r="N7261" s="329">
        <f t="shared" si="454"/>
        <v>175.24242553710974</v>
      </c>
      <c r="T7261" s="331">
        <v>0</v>
      </c>
      <c r="U7261" s="328">
        <f>VLOOKUP(C7261,METADATA!$J$5:$Q$29,IF(E7261="HI",2,IF(E7261="LO",6,10))+IF(T7261=1,2,IF(D7261=7,1,(IF(WEEKDAY(B7261)=1,2,IF(WEEKDAY(B7261)=7,1,0))))))</f>
        <v>2</v>
      </c>
      <c r="V7261" s="328">
        <f>VLOOKUP(C7261,METADATA!$A$5:$H$29,IF(E7261="HI",2,IF(E7261="LO",6,10))+IF(T7261=1,2,IF(D7261=7,1,(IF(WEEKDAY(B7261)=1,2,IF(WEEKDAY(B7261)=7,1,0))))))</f>
        <v>2</v>
      </c>
    </row>
    <row r="7262" spans="2:22">
      <c r="B7262" s="318">
        <f t="shared" si="455"/>
        <v>46415</v>
      </c>
      <c r="C7262" s="312">
        <v>10</v>
      </c>
      <c r="D7262" s="368">
        <f>IFERROR((INDEX(METADATA!$T$2:$T$20,MATCH(B7262,METADATA!$S$2:$S$20,0))),0)</f>
        <v>0</v>
      </c>
      <c r="E7262" s="312" t="str">
        <f t="shared" si="452"/>
        <v>HI</v>
      </c>
      <c r="F7262" s="369">
        <f>VLOOKUP(C7262,METADATA!$A$5:$H$29,IF(E7262="HI",2,IF(E7262="LO",6,10))+IF(D7262=1,2,IF(D7262=7,1,(IF(WEEKDAY(B7262)=1,2,IF(WEEKDAY(B7262)=7,1,0))))))</f>
        <v>2</v>
      </c>
      <c r="G7262" s="369">
        <f>VLOOKUP(C7262,METADATA!$J$5:$Q$29,IF(E7262="HI",2,IF(E7262="LO",6,10))+IF(D7262=1,2,IF(D7262=7,1,(IF(WEEKDAY(B7262)=1,2,IF(WEEKDAY(B7262)=7,1,0))))))</f>
        <v>2</v>
      </c>
      <c r="H7262" s="370">
        <v>13965.424987792969</v>
      </c>
      <c r="I7262" s="370">
        <v>4315.2250671386719</v>
      </c>
      <c r="M7262" s="371">
        <f t="shared" si="453"/>
        <v>14616.916996060907</v>
      </c>
      <c r="N7262" s="329">
        <f t="shared" si="454"/>
        <v>125.5975708007818</v>
      </c>
      <c r="T7262" s="331">
        <v>0</v>
      </c>
      <c r="U7262" s="328">
        <f>VLOOKUP(C7262,METADATA!$J$5:$Q$29,IF(E7262="HI",2,IF(E7262="LO",6,10))+IF(T7262=1,2,IF(D7262=7,1,(IF(WEEKDAY(B7262)=1,2,IF(WEEKDAY(B7262)=7,1,0))))))</f>
        <v>2</v>
      </c>
      <c r="V7262" s="328">
        <f>VLOOKUP(C7262,METADATA!$A$5:$H$29,IF(E7262="HI",2,IF(E7262="LO",6,10))+IF(T7262=1,2,IF(D7262=7,1,(IF(WEEKDAY(B7262)=1,2,IF(WEEKDAY(B7262)=7,1,0))))))</f>
        <v>2</v>
      </c>
    </row>
    <row r="7263" spans="2:22">
      <c r="B7263" s="318">
        <f t="shared" si="455"/>
        <v>46415</v>
      </c>
      <c r="C7263" s="312">
        <v>11</v>
      </c>
      <c r="D7263" s="368">
        <f>IFERROR((INDEX(METADATA!$T$2:$T$20,MATCH(B7263,METADATA!$S$2:$S$20,0))),0)</f>
        <v>0</v>
      </c>
      <c r="E7263" s="312" t="str">
        <f t="shared" si="452"/>
        <v>HI</v>
      </c>
      <c r="F7263" s="369">
        <f>VLOOKUP(C7263,METADATA!$A$5:$H$29,IF(E7263="HI",2,IF(E7263="LO",6,10))+IF(D7263=1,2,IF(D7263=7,1,(IF(WEEKDAY(B7263)=1,2,IF(WEEKDAY(B7263)=7,1,0))))))</f>
        <v>2</v>
      </c>
      <c r="G7263" s="369">
        <f>VLOOKUP(C7263,METADATA!$J$5:$Q$29,IF(E7263="HI",2,IF(E7263="LO",6,10))+IF(D7263=1,2,IF(D7263=7,1,(IF(WEEKDAY(B7263)=1,2,IF(WEEKDAY(B7263)=7,1,0))))))</f>
        <v>2</v>
      </c>
      <c r="H7263" s="370">
        <v>13893.625</v>
      </c>
      <c r="I7263" s="370">
        <v>4280.64501953125</v>
      </c>
      <c r="M7263" s="371">
        <f t="shared" si="453"/>
        <v>14538.113269054644</v>
      </c>
      <c r="N7263" s="329">
        <f t="shared" si="454"/>
        <v>112.55751953125036</v>
      </c>
      <c r="T7263" s="331">
        <v>0</v>
      </c>
      <c r="U7263" s="328">
        <f>VLOOKUP(C7263,METADATA!$J$5:$Q$29,IF(E7263="HI",2,IF(E7263="LO",6,10))+IF(T7263=1,2,IF(D7263=7,1,(IF(WEEKDAY(B7263)=1,2,IF(WEEKDAY(B7263)=7,1,0))))))</f>
        <v>2</v>
      </c>
      <c r="V7263" s="328">
        <f>VLOOKUP(C7263,METADATA!$A$5:$H$29,IF(E7263="HI",2,IF(E7263="LO",6,10))+IF(T7263=1,2,IF(D7263=7,1,(IF(WEEKDAY(B7263)=1,2,IF(WEEKDAY(B7263)=7,1,0))))))</f>
        <v>2</v>
      </c>
    </row>
    <row r="7264" spans="2:22">
      <c r="B7264" s="318">
        <f t="shared" si="455"/>
        <v>46415</v>
      </c>
      <c r="C7264" s="312">
        <v>12</v>
      </c>
      <c r="D7264" s="368">
        <f>IFERROR((INDEX(METADATA!$T$2:$T$20,MATCH(B7264,METADATA!$S$2:$S$20,0))),0)</f>
        <v>0</v>
      </c>
      <c r="E7264" s="312" t="str">
        <f t="shared" si="452"/>
        <v>HI</v>
      </c>
      <c r="F7264" s="369">
        <f>VLOOKUP(C7264,METADATA!$A$5:$H$29,IF(E7264="HI",2,IF(E7264="LO",6,10))+IF(D7264=1,2,IF(D7264=7,1,(IF(WEEKDAY(B7264)=1,2,IF(WEEKDAY(B7264)=7,1,0))))))</f>
        <v>2</v>
      </c>
      <c r="G7264" s="369">
        <f>VLOOKUP(C7264,METADATA!$J$5:$Q$29,IF(E7264="HI",2,IF(E7264="LO",6,10))+IF(D7264=1,2,IF(D7264=7,1,(IF(WEEKDAY(B7264)=1,2,IF(WEEKDAY(B7264)=7,1,0))))))</f>
        <v>2</v>
      </c>
      <c r="H7264" s="370">
        <v>13776.075134277344</v>
      </c>
      <c r="I7264" s="370">
        <v>4225.1500244140625</v>
      </c>
      <c r="M7264" s="371">
        <f t="shared" si="453"/>
        <v>14409.446166805325</v>
      </c>
      <c r="N7264" s="329">
        <f t="shared" si="454"/>
        <v>92.327484130859375</v>
      </c>
      <c r="T7264" s="331">
        <v>0</v>
      </c>
      <c r="U7264" s="328">
        <f>VLOOKUP(C7264,METADATA!$J$5:$Q$29,IF(E7264="HI",2,IF(E7264="LO",6,10))+IF(T7264=1,2,IF(D7264=7,1,(IF(WEEKDAY(B7264)=1,2,IF(WEEKDAY(B7264)=7,1,0))))))</f>
        <v>2</v>
      </c>
      <c r="V7264" s="328">
        <f>VLOOKUP(C7264,METADATA!$A$5:$H$29,IF(E7264="HI",2,IF(E7264="LO",6,10))+IF(T7264=1,2,IF(D7264=7,1,(IF(WEEKDAY(B7264)=1,2,IF(WEEKDAY(B7264)=7,1,0))))))</f>
        <v>2</v>
      </c>
    </row>
    <row r="7265" spans="2:22">
      <c r="B7265" s="318">
        <f t="shared" si="455"/>
        <v>46415</v>
      </c>
      <c r="C7265" s="312">
        <v>13</v>
      </c>
      <c r="D7265" s="368">
        <f>IFERROR((INDEX(METADATA!$T$2:$T$20,MATCH(B7265,METADATA!$S$2:$S$20,0))),0)</f>
        <v>0</v>
      </c>
      <c r="E7265" s="312" t="str">
        <f t="shared" si="452"/>
        <v>HI</v>
      </c>
      <c r="F7265" s="369">
        <f>VLOOKUP(C7265,METADATA!$A$5:$H$29,IF(E7265="HI",2,IF(E7265="LO",6,10))+IF(D7265=1,2,IF(D7265=7,1,(IF(WEEKDAY(B7265)=1,2,IF(WEEKDAY(B7265)=7,1,0))))))</f>
        <v>2</v>
      </c>
      <c r="G7265" s="369">
        <f>VLOOKUP(C7265,METADATA!$J$5:$Q$29,IF(E7265="HI",2,IF(E7265="LO",6,10))+IF(D7265=1,2,IF(D7265=7,1,(IF(WEEKDAY(B7265)=1,2,IF(WEEKDAY(B7265)=7,1,0))))))</f>
        <v>2</v>
      </c>
      <c r="H7265" s="370">
        <v>13586.849975585938</v>
      </c>
      <c r="I7265" s="370">
        <v>4206.304931640625</v>
      </c>
      <c r="M7265" s="371">
        <f t="shared" si="453"/>
        <v>14223.062027461732</v>
      </c>
      <c r="N7265" s="329">
        <f t="shared" si="454"/>
        <v>130.24993896484375</v>
      </c>
      <c r="T7265" s="331">
        <v>0</v>
      </c>
      <c r="U7265" s="328">
        <f>VLOOKUP(C7265,METADATA!$J$5:$Q$29,IF(E7265="HI",2,IF(E7265="LO",6,10))+IF(T7265=1,2,IF(D7265=7,1,(IF(WEEKDAY(B7265)=1,2,IF(WEEKDAY(B7265)=7,1,0))))))</f>
        <v>2</v>
      </c>
      <c r="V7265" s="328">
        <f>VLOOKUP(C7265,METADATA!$A$5:$H$29,IF(E7265="HI",2,IF(E7265="LO",6,10))+IF(T7265=1,2,IF(D7265=7,1,(IF(WEEKDAY(B7265)=1,2,IF(WEEKDAY(B7265)=7,1,0))))))</f>
        <v>2</v>
      </c>
    </row>
    <row r="7266" spans="2:22">
      <c r="B7266" s="318">
        <f t="shared" si="455"/>
        <v>46415</v>
      </c>
      <c r="C7266" s="312">
        <v>14</v>
      </c>
      <c r="D7266" s="368">
        <f>IFERROR((INDEX(METADATA!$T$2:$T$20,MATCH(B7266,METADATA!$S$2:$S$20,0))),0)</f>
        <v>0</v>
      </c>
      <c r="E7266" s="312" t="str">
        <f t="shared" si="452"/>
        <v>HI</v>
      </c>
      <c r="F7266" s="369">
        <f>VLOOKUP(C7266,METADATA!$A$5:$H$29,IF(E7266="HI",2,IF(E7266="LO",6,10))+IF(D7266=1,2,IF(D7266=7,1,(IF(WEEKDAY(B7266)=1,2,IF(WEEKDAY(B7266)=7,1,0))))))</f>
        <v>2</v>
      </c>
      <c r="G7266" s="369">
        <f>VLOOKUP(C7266,METADATA!$J$5:$Q$29,IF(E7266="HI",2,IF(E7266="LO",6,10))+IF(D7266=1,2,IF(D7266=7,1,(IF(WEEKDAY(B7266)=1,2,IF(WEEKDAY(B7266)=7,1,0))))))</f>
        <v>2</v>
      </c>
      <c r="H7266" s="370">
        <v>13629.82470703125</v>
      </c>
      <c r="I7266" s="370">
        <v>4294.06005859375</v>
      </c>
      <c r="M7266" s="371">
        <f t="shared" si="453"/>
        <v>14290.243991311334</v>
      </c>
      <c r="N7266" s="329">
        <f t="shared" si="454"/>
        <v>205.11264648437509</v>
      </c>
      <c r="T7266" s="331">
        <v>0</v>
      </c>
      <c r="U7266" s="328">
        <f>VLOOKUP(C7266,METADATA!$J$5:$Q$29,IF(E7266="HI",2,IF(E7266="LO",6,10))+IF(T7266=1,2,IF(D7266=7,1,(IF(WEEKDAY(B7266)=1,2,IF(WEEKDAY(B7266)=7,1,0))))))</f>
        <v>2</v>
      </c>
      <c r="V7266" s="328">
        <f>VLOOKUP(C7266,METADATA!$A$5:$H$29,IF(E7266="HI",2,IF(E7266="LO",6,10))+IF(T7266=1,2,IF(D7266=7,1,(IF(WEEKDAY(B7266)=1,2,IF(WEEKDAY(B7266)=7,1,0))))))</f>
        <v>2</v>
      </c>
    </row>
    <row r="7267" spans="2:22">
      <c r="B7267" s="318">
        <f t="shared" si="455"/>
        <v>46415</v>
      </c>
      <c r="C7267" s="312">
        <v>15</v>
      </c>
      <c r="D7267" s="368">
        <f>IFERROR((INDEX(METADATA!$T$2:$T$20,MATCH(B7267,METADATA!$S$2:$S$20,0))),0)</f>
        <v>0</v>
      </c>
      <c r="E7267" s="312" t="str">
        <f t="shared" si="452"/>
        <v>HI</v>
      </c>
      <c r="F7267" s="369">
        <f>VLOOKUP(C7267,METADATA!$A$5:$H$29,IF(E7267="HI",2,IF(E7267="LO",6,10))+IF(D7267=1,2,IF(D7267=7,1,(IF(WEEKDAY(B7267)=1,2,IF(WEEKDAY(B7267)=7,1,0))))))</f>
        <v>2</v>
      </c>
      <c r="G7267" s="369">
        <f>VLOOKUP(C7267,METADATA!$J$5:$Q$29,IF(E7267="HI",2,IF(E7267="LO",6,10))+IF(D7267=1,2,IF(D7267=7,1,(IF(WEEKDAY(B7267)=1,2,IF(WEEKDAY(B7267)=7,1,0))))))</f>
        <v>2</v>
      </c>
      <c r="H7267" s="370">
        <v>13675.5</v>
      </c>
      <c r="I7267" s="370">
        <v>4392.4350891113281</v>
      </c>
      <c r="M7267" s="371">
        <f t="shared" si="453"/>
        <v>14363.592387075611</v>
      </c>
      <c r="N7267" s="329">
        <f t="shared" si="454"/>
        <v>289.78508911132849</v>
      </c>
      <c r="T7267" s="331">
        <v>0</v>
      </c>
      <c r="U7267" s="328">
        <f>VLOOKUP(C7267,METADATA!$J$5:$Q$29,IF(E7267="HI",2,IF(E7267="LO",6,10))+IF(T7267=1,2,IF(D7267=7,1,(IF(WEEKDAY(B7267)=1,2,IF(WEEKDAY(B7267)=7,1,0))))))</f>
        <v>2</v>
      </c>
      <c r="V7267" s="328">
        <f>VLOOKUP(C7267,METADATA!$A$5:$H$29,IF(E7267="HI",2,IF(E7267="LO",6,10))+IF(T7267=1,2,IF(D7267=7,1,(IF(WEEKDAY(B7267)=1,2,IF(WEEKDAY(B7267)=7,1,0))))))</f>
        <v>2</v>
      </c>
    </row>
    <row r="7268" spans="2:22">
      <c r="B7268" s="318">
        <f t="shared" si="455"/>
        <v>46415</v>
      </c>
      <c r="C7268" s="312">
        <v>16</v>
      </c>
      <c r="D7268" s="368">
        <f>IFERROR((INDEX(METADATA!$T$2:$T$20,MATCH(B7268,METADATA!$S$2:$S$20,0))),0)</f>
        <v>0</v>
      </c>
      <c r="E7268" s="312" t="str">
        <f t="shared" si="452"/>
        <v>HI</v>
      </c>
      <c r="F7268" s="369">
        <f>VLOOKUP(C7268,METADATA!$A$5:$H$29,IF(E7268="HI",2,IF(E7268="LO",6,10))+IF(D7268=1,2,IF(D7268=7,1,(IF(WEEKDAY(B7268)=1,2,IF(WEEKDAY(B7268)=7,1,0))))))</f>
        <v>2</v>
      </c>
      <c r="G7268" s="369">
        <f>VLOOKUP(C7268,METADATA!$J$5:$Q$29,IF(E7268="HI",2,IF(E7268="LO",6,10))+IF(D7268=1,2,IF(D7268=7,1,(IF(WEEKDAY(B7268)=1,2,IF(WEEKDAY(B7268)=7,1,0))))))</f>
        <v>2</v>
      </c>
      <c r="H7268" s="370">
        <v>13776.450317382813</v>
      </c>
      <c r="I7268" s="370">
        <v>4431.2800903320313</v>
      </c>
      <c r="M7268" s="371">
        <f t="shared" si="453"/>
        <v>14471.586871739049</v>
      </c>
      <c r="N7268" s="329">
        <f t="shared" si="454"/>
        <v>298.34499511718786</v>
      </c>
      <c r="T7268" s="331">
        <v>0</v>
      </c>
      <c r="U7268" s="328">
        <f>VLOOKUP(C7268,METADATA!$J$5:$Q$29,IF(E7268="HI",2,IF(E7268="LO",6,10))+IF(T7268=1,2,IF(D7268=7,1,(IF(WEEKDAY(B7268)=1,2,IF(WEEKDAY(B7268)=7,1,0))))))</f>
        <v>2</v>
      </c>
      <c r="V7268" s="328">
        <f>VLOOKUP(C7268,METADATA!$A$5:$H$29,IF(E7268="HI",2,IF(E7268="LO",6,10))+IF(T7268=1,2,IF(D7268=7,1,(IF(WEEKDAY(B7268)=1,2,IF(WEEKDAY(B7268)=7,1,0))))))</f>
        <v>2</v>
      </c>
    </row>
    <row r="7269" spans="2:22">
      <c r="B7269" s="318">
        <f t="shared" si="455"/>
        <v>46415</v>
      </c>
      <c r="C7269" s="312">
        <v>17</v>
      </c>
      <c r="D7269" s="368">
        <f>IFERROR((INDEX(METADATA!$T$2:$T$20,MATCH(B7269,METADATA!$S$2:$S$20,0))),0)</f>
        <v>0</v>
      </c>
      <c r="E7269" s="312" t="str">
        <f t="shared" si="452"/>
        <v>HI</v>
      </c>
      <c r="F7269" s="369">
        <f>VLOOKUP(C7269,METADATA!$A$5:$H$29,IF(E7269="HI",2,IF(E7269="LO",6,10))+IF(D7269=1,2,IF(D7269=7,1,(IF(WEEKDAY(B7269)=1,2,IF(WEEKDAY(B7269)=7,1,0))))))</f>
        <v>1</v>
      </c>
      <c r="G7269" s="369">
        <f>VLOOKUP(C7269,METADATA!$J$5:$Q$29,IF(E7269="HI",2,IF(E7269="LO",6,10))+IF(D7269=1,2,IF(D7269=7,1,(IF(WEEKDAY(B7269)=1,2,IF(WEEKDAY(B7269)=7,1,0))))))</f>
        <v>1</v>
      </c>
      <c r="H7269" s="370">
        <v>13625.000061035156</v>
      </c>
      <c r="I7269" s="370">
        <v>4431.3700561523438</v>
      </c>
      <c r="M7269" s="371">
        <f t="shared" si="453"/>
        <v>14327.514342612665</v>
      </c>
      <c r="N7269" s="329">
        <f t="shared" si="454"/>
        <v>343.87003784179706</v>
      </c>
      <c r="T7269" s="331">
        <v>0</v>
      </c>
      <c r="U7269" s="328">
        <f>VLOOKUP(C7269,METADATA!$J$5:$Q$29,IF(E7269="HI",2,IF(E7269="LO",6,10))+IF(T7269=1,2,IF(D7269=7,1,(IF(WEEKDAY(B7269)=1,2,IF(WEEKDAY(B7269)=7,1,0))))))</f>
        <v>1</v>
      </c>
      <c r="V7269" s="328">
        <f>VLOOKUP(C7269,METADATA!$A$5:$H$29,IF(E7269="HI",2,IF(E7269="LO",6,10))+IF(T7269=1,2,IF(D7269=7,1,(IF(WEEKDAY(B7269)=1,2,IF(WEEKDAY(B7269)=7,1,0))))))</f>
        <v>1</v>
      </c>
    </row>
    <row r="7270" spans="2:22">
      <c r="B7270" s="318">
        <f t="shared" si="455"/>
        <v>46415</v>
      </c>
      <c r="C7270" s="312">
        <v>18</v>
      </c>
      <c r="D7270" s="368">
        <f>IFERROR((INDEX(METADATA!$T$2:$T$20,MATCH(B7270,METADATA!$S$2:$S$20,0))),0)</f>
        <v>0</v>
      </c>
      <c r="E7270" s="312" t="str">
        <f t="shared" si="452"/>
        <v>HI</v>
      </c>
      <c r="F7270" s="369">
        <f>VLOOKUP(C7270,METADATA!$A$5:$H$29,IF(E7270="HI",2,IF(E7270="LO",6,10))+IF(D7270=1,2,IF(D7270=7,1,(IF(WEEKDAY(B7270)=1,2,IF(WEEKDAY(B7270)=7,1,0))))))</f>
        <v>1</v>
      </c>
      <c r="G7270" s="369">
        <f>VLOOKUP(C7270,METADATA!$J$5:$Q$29,IF(E7270="HI",2,IF(E7270="LO",6,10))+IF(D7270=1,2,IF(D7270=7,1,(IF(WEEKDAY(B7270)=1,2,IF(WEEKDAY(B7270)=7,1,0))))))</f>
        <v>1</v>
      </c>
      <c r="H7270" s="370">
        <v>13730.224792480469</v>
      </c>
      <c r="I7270" s="370">
        <v>4462.2100219726563</v>
      </c>
      <c r="M7270" s="371">
        <f t="shared" si="453"/>
        <v>14437.118519020287</v>
      </c>
      <c r="N7270" s="329">
        <f t="shared" si="454"/>
        <v>343.14258422851617</v>
      </c>
      <c r="T7270" s="331">
        <v>0</v>
      </c>
      <c r="U7270" s="328">
        <f>VLOOKUP(C7270,METADATA!$J$5:$Q$29,IF(E7270="HI",2,IF(E7270="LO",6,10))+IF(T7270=1,2,IF(D7270=7,1,(IF(WEEKDAY(B7270)=1,2,IF(WEEKDAY(B7270)=7,1,0))))))</f>
        <v>1</v>
      </c>
      <c r="V7270" s="328">
        <f>VLOOKUP(C7270,METADATA!$A$5:$H$29,IF(E7270="HI",2,IF(E7270="LO",6,10))+IF(T7270=1,2,IF(D7270=7,1,(IF(WEEKDAY(B7270)=1,2,IF(WEEKDAY(B7270)=7,1,0))))))</f>
        <v>1</v>
      </c>
    </row>
    <row r="7271" spans="2:22">
      <c r="B7271" s="318">
        <f t="shared" si="455"/>
        <v>46415</v>
      </c>
      <c r="C7271" s="312">
        <v>19</v>
      </c>
      <c r="D7271" s="368">
        <f>IFERROR((INDEX(METADATA!$T$2:$T$20,MATCH(B7271,METADATA!$S$2:$S$20,0))),0)</f>
        <v>0</v>
      </c>
      <c r="E7271" s="312" t="str">
        <f t="shared" si="452"/>
        <v>HI</v>
      </c>
      <c r="F7271" s="369">
        <f>VLOOKUP(C7271,METADATA!$A$5:$H$29,IF(E7271="HI",2,IF(E7271="LO",6,10))+IF(D7271=1,2,IF(D7271=7,1,(IF(WEEKDAY(B7271)=1,2,IF(WEEKDAY(B7271)=7,1,0))))))</f>
        <v>1</v>
      </c>
      <c r="G7271" s="369">
        <f>VLOOKUP(C7271,METADATA!$J$5:$Q$29,IF(E7271="HI",2,IF(E7271="LO",6,10))+IF(D7271=1,2,IF(D7271=7,1,(IF(WEEKDAY(B7271)=1,2,IF(WEEKDAY(B7271)=7,1,0))))))</f>
        <v>1</v>
      </c>
      <c r="H7271" s="370">
        <v>13691.224975585938</v>
      </c>
      <c r="I7271" s="370">
        <v>4426.0400085449219</v>
      </c>
      <c r="M7271" s="371">
        <f t="shared" si="453"/>
        <v>14388.866233631768</v>
      </c>
      <c r="N7271" s="329">
        <f t="shared" si="454"/>
        <v>318.67251586914063</v>
      </c>
      <c r="T7271" s="331">
        <v>0</v>
      </c>
      <c r="U7271" s="328">
        <f>VLOOKUP(C7271,METADATA!$J$5:$Q$29,IF(E7271="HI",2,IF(E7271="LO",6,10))+IF(T7271=1,2,IF(D7271=7,1,(IF(WEEKDAY(B7271)=1,2,IF(WEEKDAY(B7271)=7,1,0))))))</f>
        <v>1</v>
      </c>
      <c r="V7271" s="328">
        <f>VLOOKUP(C7271,METADATA!$A$5:$H$29,IF(E7271="HI",2,IF(E7271="LO",6,10))+IF(T7271=1,2,IF(D7271=7,1,(IF(WEEKDAY(B7271)=1,2,IF(WEEKDAY(B7271)=7,1,0))))))</f>
        <v>1</v>
      </c>
    </row>
    <row r="7272" spans="2:22">
      <c r="B7272" s="318">
        <f t="shared" si="455"/>
        <v>46415</v>
      </c>
      <c r="C7272" s="312">
        <v>20</v>
      </c>
      <c r="D7272" s="368">
        <f>IFERROR((INDEX(METADATA!$T$2:$T$20,MATCH(B7272,METADATA!$S$2:$S$20,0))),0)</f>
        <v>0</v>
      </c>
      <c r="E7272" s="312" t="str">
        <f t="shared" si="452"/>
        <v>HI</v>
      </c>
      <c r="F7272" s="369">
        <f>VLOOKUP(C7272,METADATA!$A$5:$H$29,IF(E7272="HI",2,IF(E7272="LO",6,10))+IF(D7272=1,2,IF(D7272=7,1,(IF(WEEKDAY(B7272)=1,2,IF(WEEKDAY(B7272)=7,1,0))))))</f>
        <v>2</v>
      </c>
      <c r="G7272" s="369">
        <f>VLOOKUP(C7272,METADATA!$J$5:$Q$29,IF(E7272="HI",2,IF(E7272="LO",6,10))+IF(D7272=1,2,IF(D7272=7,1,(IF(WEEKDAY(B7272)=1,2,IF(WEEKDAY(B7272)=7,1,0))))))</f>
        <v>2</v>
      </c>
      <c r="H7272" s="370">
        <v>13656</v>
      </c>
      <c r="I7272" s="370">
        <v>4462.054931640625</v>
      </c>
      <c r="M7272" s="371">
        <f t="shared" si="453"/>
        <v>14366.498188945643</v>
      </c>
      <c r="N7272" s="329">
        <f t="shared" si="454"/>
        <v>365.25493164062482</v>
      </c>
      <c r="T7272" s="331">
        <v>0</v>
      </c>
      <c r="U7272" s="328">
        <f>VLOOKUP(C7272,METADATA!$J$5:$Q$29,IF(E7272="HI",2,IF(E7272="LO",6,10))+IF(T7272=1,2,IF(D7272=7,1,(IF(WEEKDAY(B7272)=1,2,IF(WEEKDAY(B7272)=7,1,0))))))</f>
        <v>2</v>
      </c>
      <c r="V7272" s="328">
        <f>VLOOKUP(C7272,METADATA!$A$5:$H$29,IF(E7272="HI",2,IF(E7272="LO",6,10))+IF(T7272=1,2,IF(D7272=7,1,(IF(WEEKDAY(B7272)=1,2,IF(WEEKDAY(B7272)=7,1,0))))))</f>
        <v>2</v>
      </c>
    </row>
    <row r="7273" spans="2:22">
      <c r="B7273" s="318">
        <f t="shared" si="455"/>
        <v>46415</v>
      </c>
      <c r="C7273" s="312">
        <v>21</v>
      </c>
      <c r="D7273" s="368">
        <f>IFERROR((INDEX(METADATA!$T$2:$T$20,MATCH(B7273,METADATA!$S$2:$S$20,0))),0)</f>
        <v>0</v>
      </c>
      <c r="E7273" s="312" t="str">
        <f t="shared" si="452"/>
        <v>HI</v>
      </c>
      <c r="F7273" s="369">
        <f>VLOOKUP(C7273,METADATA!$A$5:$H$29,IF(E7273="HI",2,IF(E7273="LO",6,10))+IF(D7273=1,2,IF(D7273=7,1,(IF(WEEKDAY(B7273)=1,2,IF(WEEKDAY(B7273)=7,1,0))))))</f>
        <v>2</v>
      </c>
      <c r="G7273" s="369">
        <f>VLOOKUP(C7273,METADATA!$J$5:$Q$29,IF(E7273="HI",2,IF(E7273="LO",6,10))+IF(D7273=1,2,IF(D7273=7,1,(IF(WEEKDAY(B7273)=1,2,IF(WEEKDAY(B7273)=7,1,0))))))</f>
        <v>2</v>
      </c>
      <c r="H7273" s="370">
        <v>13775.425048828125</v>
      </c>
      <c r="I7273" s="370">
        <v>4394.875</v>
      </c>
      <c r="M7273" s="371">
        <f t="shared" si="453"/>
        <v>14459.504194179908</v>
      </c>
      <c r="N7273" s="329">
        <f t="shared" si="454"/>
        <v>262.24748535156232</v>
      </c>
      <c r="T7273" s="331">
        <v>0</v>
      </c>
      <c r="U7273" s="328">
        <f>VLOOKUP(C7273,METADATA!$J$5:$Q$29,IF(E7273="HI",2,IF(E7273="LO",6,10))+IF(T7273=1,2,IF(D7273=7,1,(IF(WEEKDAY(B7273)=1,2,IF(WEEKDAY(B7273)=7,1,0))))))</f>
        <v>2</v>
      </c>
      <c r="V7273" s="328">
        <f>VLOOKUP(C7273,METADATA!$A$5:$H$29,IF(E7273="HI",2,IF(E7273="LO",6,10))+IF(T7273=1,2,IF(D7273=7,1,(IF(WEEKDAY(B7273)=1,2,IF(WEEKDAY(B7273)=7,1,0))))))</f>
        <v>2</v>
      </c>
    </row>
    <row r="7274" spans="2:22">
      <c r="B7274" s="318">
        <f t="shared" si="455"/>
        <v>46415</v>
      </c>
      <c r="C7274" s="312">
        <v>22</v>
      </c>
      <c r="D7274" s="368">
        <f>IFERROR((INDEX(METADATA!$T$2:$T$20,MATCH(B7274,METADATA!$S$2:$S$20,0))),0)</f>
        <v>0</v>
      </c>
      <c r="E7274" s="312" t="str">
        <f t="shared" si="452"/>
        <v>HI</v>
      </c>
      <c r="F7274" s="369">
        <f>VLOOKUP(C7274,METADATA!$A$5:$H$29,IF(E7274="HI",2,IF(E7274="LO",6,10))+IF(D7274=1,2,IF(D7274=7,1,(IF(WEEKDAY(B7274)=1,2,IF(WEEKDAY(B7274)=7,1,0))))))</f>
        <v>3</v>
      </c>
      <c r="G7274" s="369">
        <f>VLOOKUP(C7274,METADATA!$J$5:$Q$29,IF(E7274="HI",2,IF(E7274="LO",6,10))+IF(D7274=1,2,IF(D7274=7,1,(IF(WEEKDAY(B7274)=1,2,IF(WEEKDAY(B7274)=7,1,0))))))</f>
        <v>3</v>
      </c>
      <c r="H7274" s="370">
        <v>13711.699768066406</v>
      </c>
      <c r="I7274" s="370">
        <v>4265.675048828125</v>
      </c>
      <c r="M7274" s="371">
        <f t="shared" si="453"/>
        <v>14359.898821084609</v>
      </c>
      <c r="N7274" s="329">
        <f t="shared" si="454"/>
        <v>152.16511840820294</v>
      </c>
      <c r="T7274" s="331">
        <v>0</v>
      </c>
      <c r="U7274" s="328">
        <f>VLOOKUP(C7274,METADATA!$J$5:$Q$29,IF(E7274="HI",2,IF(E7274="LO",6,10))+IF(T7274=1,2,IF(D7274=7,1,(IF(WEEKDAY(B7274)=1,2,IF(WEEKDAY(B7274)=7,1,0))))))</f>
        <v>3</v>
      </c>
      <c r="V7274" s="328">
        <f>VLOOKUP(C7274,METADATA!$A$5:$H$29,IF(E7274="HI",2,IF(E7274="LO",6,10))+IF(T7274=1,2,IF(D7274=7,1,(IF(WEEKDAY(B7274)=1,2,IF(WEEKDAY(B7274)=7,1,0))))))</f>
        <v>3</v>
      </c>
    </row>
    <row r="7275" spans="2:22">
      <c r="B7275" s="318">
        <f t="shared" si="455"/>
        <v>46415</v>
      </c>
      <c r="C7275" s="312">
        <v>23</v>
      </c>
      <c r="D7275" s="368">
        <f>IFERROR((INDEX(METADATA!$T$2:$T$20,MATCH(B7275,METADATA!$S$2:$S$20,0))),0)</f>
        <v>0</v>
      </c>
      <c r="E7275" s="312" t="str">
        <f t="shared" si="452"/>
        <v>HI</v>
      </c>
      <c r="F7275" s="369">
        <f>VLOOKUP(C7275,METADATA!$A$5:$H$29,IF(E7275="HI",2,IF(E7275="LO",6,10))+IF(D7275=1,2,IF(D7275=7,1,(IF(WEEKDAY(B7275)=1,2,IF(WEEKDAY(B7275)=7,1,0))))))</f>
        <v>3</v>
      </c>
      <c r="G7275" s="369">
        <f>VLOOKUP(C7275,METADATA!$J$5:$Q$29,IF(E7275="HI",2,IF(E7275="LO",6,10))+IF(D7275=1,2,IF(D7275=7,1,(IF(WEEKDAY(B7275)=1,2,IF(WEEKDAY(B7275)=7,1,0))))))</f>
        <v>3</v>
      </c>
      <c r="H7275" s="370">
        <v>13788.124938964844</v>
      </c>
      <c r="I7275" s="370">
        <v>4295.1199951171875</v>
      </c>
      <c r="M7275" s="371">
        <f t="shared" si="453"/>
        <v>14441.621969327398</v>
      </c>
      <c r="N7275" s="329">
        <f t="shared" si="454"/>
        <v>158.68251342773419</v>
      </c>
      <c r="T7275" s="331">
        <v>0</v>
      </c>
      <c r="U7275" s="328">
        <f>VLOOKUP(C7275,METADATA!$J$5:$Q$29,IF(E7275="HI",2,IF(E7275="LO",6,10))+IF(T7275=1,2,IF(D7275=7,1,(IF(WEEKDAY(B7275)=1,2,IF(WEEKDAY(B7275)=7,1,0))))))</f>
        <v>3</v>
      </c>
      <c r="V7275" s="328">
        <f>VLOOKUP(C7275,METADATA!$A$5:$H$29,IF(E7275="HI",2,IF(E7275="LO",6,10))+IF(T7275=1,2,IF(D7275=7,1,(IF(WEEKDAY(B7275)=1,2,IF(WEEKDAY(B7275)=7,1,0))))))</f>
        <v>3</v>
      </c>
    </row>
    <row r="7276" spans="2:22">
      <c r="B7276" s="318">
        <f t="shared" si="455"/>
        <v>46416</v>
      </c>
      <c r="C7276" s="312">
        <v>0</v>
      </c>
      <c r="D7276" s="368">
        <f>IFERROR((INDEX(METADATA!$T$2:$T$20,MATCH(B7276,METADATA!$S$2:$S$20,0))),0)</f>
        <v>0</v>
      </c>
      <c r="E7276" s="312" t="str">
        <f t="shared" si="452"/>
        <v>HI</v>
      </c>
      <c r="F7276" s="369">
        <f>VLOOKUP(C7276,METADATA!$A$5:$H$29,IF(E7276="HI",2,IF(E7276="LO",6,10))+IF(D7276=1,2,IF(D7276=7,1,(IF(WEEKDAY(B7276)=1,2,IF(WEEKDAY(B7276)=7,1,0))))))</f>
        <v>3</v>
      </c>
      <c r="G7276" s="369">
        <f>VLOOKUP(C7276,METADATA!$J$5:$Q$29,IF(E7276="HI",2,IF(E7276="LO",6,10))+IF(D7276=1,2,IF(D7276=7,1,(IF(WEEKDAY(B7276)=1,2,IF(WEEKDAY(B7276)=7,1,0))))))</f>
        <v>3</v>
      </c>
      <c r="H7276" s="370">
        <v>13819.3251953125</v>
      </c>
      <c r="I7276" s="370">
        <v>4349.4049987792969</v>
      </c>
      <c r="M7276" s="371">
        <f t="shared" si="453"/>
        <v>14487.617909691198</v>
      </c>
      <c r="N7276" s="329">
        <f t="shared" si="454"/>
        <v>203.60744018554669</v>
      </c>
      <c r="T7276" s="331">
        <v>0</v>
      </c>
      <c r="U7276" s="328">
        <f>VLOOKUP(C7276,METADATA!$J$5:$Q$29,IF(E7276="HI",2,IF(E7276="LO",6,10))+IF(T7276=1,2,IF(D7276=7,1,(IF(WEEKDAY(B7276)=1,2,IF(WEEKDAY(B7276)=7,1,0))))))</f>
        <v>3</v>
      </c>
      <c r="V7276" s="328">
        <f>VLOOKUP(C7276,METADATA!$A$5:$H$29,IF(E7276="HI",2,IF(E7276="LO",6,10))+IF(T7276=1,2,IF(D7276=7,1,(IF(WEEKDAY(B7276)=1,2,IF(WEEKDAY(B7276)=7,1,0))))))</f>
        <v>3</v>
      </c>
    </row>
    <row r="7277" spans="2:22">
      <c r="B7277" s="318">
        <f t="shared" si="455"/>
        <v>46416</v>
      </c>
      <c r="C7277" s="312">
        <v>1</v>
      </c>
      <c r="D7277" s="368">
        <f>IFERROR((INDEX(METADATA!$T$2:$T$20,MATCH(B7277,METADATA!$S$2:$S$20,0))),0)</f>
        <v>0</v>
      </c>
      <c r="E7277" s="312" t="str">
        <f t="shared" si="452"/>
        <v>HI</v>
      </c>
      <c r="F7277" s="369">
        <f>VLOOKUP(C7277,METADATA!$A$5:$H$29,IF(E7277="HI",2,IF(E7277="LO",6,10))+IF(D7277=1,2,IF(D7277=7,1,(IF(WEEKDAY(B7277)=1,2,IF(WEEKDAY(B7277)=7,1,0))))))</f>
        <v>3</v>
      </c>
      <c r="G7277" s="369">
        <f>VLOOKUP(C7277,METADATA!$J$5:$Q$29,IF(E7277="HI",2,IF(E7277="LO",6,10))+IF(D7277=1,2,IF(D7277=7,1,(IF(WEEKDAY(B7277)=1,2,IF(WEEKDAY(B7277)=7,1,0))))))</f>
        <v>3</v>
      </c>
      <c r="H7277" s="370">
        <v>13746.494995117188</v>
      </c>
      <c r="I7277" s="370">
        <v>4355.8424682617188</v>
      </c>
      <c r="M7277" s="371">
        <f t="shared" si="453"/>
        <v>14420.107082095272</v>
      </c>
      <c r="N7277" s="329">
        <f t="shared" si="454"/>
        <v>231.89396972656232</v>
      </c>
      <c r="T7277" s="331">
        <v>0</v>
      </c>
      <c r="U7277" s="328">
        <f>VLOOKUP(C7277,METADATA!$J$5:$Q$29,IF(E7277="HI",2,IF(E7277="LO",6,10))+IF(T7277=1,2,IF(D7277=7,1,(IF(WEEKDAY(B7277)=1,2,IF(WEEKDAY(B7277)=7,1,0))))))</f>
        <v>3</v>
      </c>
      <c r="V7277" s="328">
        <f>VLOOKUP(C7277,METADATA!$A$5:$H$29,IF(E7277="HI",2,IF(E7277="LO",6,10))+IF(T7277=1,2,IF(D7277=7,1,(IF(WEEKDAY(B7277)=1,2,IF(WEEKDAY(B7277)=7,1,0))))))</f>
        <v>3</v>
      </c>
    </row>
    <row r="7278" spans="2:22">
      <c r="B7278" s="318">
        <f t="shared" si="455"/>
        <v>46416</v>
      </c>
      <c r="C7278" s="312">
        <v>2</v>
      </c>
      <c r="D7278" s="368">
        <f>IFERROR((INDEX(METADATA!$T$2:$T$20,MATCH(B7278,METADATA!$S$2:$S$20,0))),0)</f>
        <v>0</v>
      </c>
      <c r="E7278" s="312" t="str">
        <f t="shared" si="452"/>
        <v>HI</v>
      </c>
      <c r="F7278" s="369">
        <f>VLOOKUP(C7278,METADATA!$A$5:$H$29,IF(E7278="HI",2,IF(E7278="LO",6,10))+IF(D7278=1,2,IF(D7278=7,1,(IF(WEEKDAY(B7278)=1,2,IF(WEEKDAY(B7278)=7,1,0))))))</f>
        <v>3</v>
      </c>
      <c r="G7278" s="369">
        <f>VLOOKUP(C7278,METADATA!$J$5:$Q$29,IF(E7278="HI",2,IF(E7278="LO",6,10))+IF(D7278=1,2,IF(D7278=7,1,(IF(WEEKDAY(B7278)=1,2,IF(WEEKDAY(B7278)=7,1,0))))))</f>
        <v>3</v>
      </c>
      <c r="H7278" s="370">
        <v>13704.624938964844</v>
      </c>
      <c r="I7278" s="370">
        <v>4428.9949951171875</v>
      </c>
      <c r="M7278" s="371">
        <f t="shared" si="453"/>
        <v>14402.525521049085</v>
      </c>
      <c r="N7278" s="329">
        <f t="shared" si="454"/>
        <v>317.60751342773438</v>
      </c>
      <c r="T7278" s="331">
        <v>0</v>
      </c>
      <c r="U7278" s="328">
        <f>VLOOKUP(C7278,METADATA!$J$5:$Q$29,IF(E7278="HI",2,IF(E7278="LO",6,10))+IF(T7278=1,2,IF(D7278=7,1,(IF(WEEKDAY(B7278)=1,2,IF(WEEKDAY(B7278)=7,1,0))))))</f>
        <v>3</v>
      </c>
      <c r="V7278" s="328">
        <f>VLOOKUP(C7278,METADATA!$A$5:$H$29,IF(E7278="HI",2,IF(E7278="LO",6,10))+IF(T7278=1,2,IF(D7278=7,1,(IF(WEEKDAY(B7278)=1,2,IF(WEEKDAY(B7278)=7,1,0))))))</f>
        <v>3</v>
      </c>
    </row>
    <row r="7279" spans="2:22">
      <c r="B7279" s="318">
        <f t="shared" si="455"/>
        <v>46416</v>
      </c>
      <c r="C7279" s="312">
        <v>3</v>
      </c>
      <c r="D7279" s="368">
        <f>IFERROR((INDEX(METADATA!$T$2:$T$20,MATCH(B7279,METADATA!$S$2:$S$20,0))),0)</f>
        <v>0</v>
      </c>
      <c r="E7279" s="312" t="str">
        <f t="shared" si="452"/>
        <v>HI</v>
      </c>
      <c r="F7279" s="369">
        <f>VLOOKUP(C7279,METADATA!$A$5:$H$29,IF(E7279="HI",2,IF(E7279="LO",6,10))+IF(D7279=1,2,IF(D7279=7,1,(IF(WEEKDAY(B7279)=1,2,IF(WEEKDAY(B7279)=7,1,0))))))</f>
        <v>3</v>
      </c>
      <c r="G7279" s="369">
        <f>VLOOKUP(C7279,METADATA!$J$5:$Q$29,IF(E7279="HI",2,IF(E7279="LO",6,10))+IF(D7279=1,2,IF(D7279=7,1,(IF(WEEKDAY(B7279)=1,2,IF(WEEKDAY(B7279)=7,1,0))))))</f>
        <v>3</v>
      </c>
      <c r="H7279" s="370">
        <v>13661.67529296875</v>
      </c>
      <c r="I7279" s="370">
        <v>4374.60009765625</v>
      </c>
      <c r="M7279" s="371">
        <f t="shared" si="453"/>
        <v>14344.98162511639</v>
      </c>
      <c r="N7279" s="329">
        <f t="shared" si="454"/>
        <v>276.09750976562555</v>
      </c>
      <c r="T7279" s="331">
        <v>0</v>
      </c>
      <c r="U7279" s="328">
        <f>VLOOKUP(C7279,METADATA!$J$5:$Q$29,IF(E7279="HI",2,IF(E7279="LO",6,10))+IF(T7279=1,2,IF(D7279=7,1,(IF(WEEKDAY(B7279)=1,2,IF(WEEKDAY(B7279)=7,1,0))))))</f>
        <v>3</v>
      </c>
      <c r="V7279" s="328">
        <f>VLOOKUP(C7279,METADATA!$A$5:$H$29,IF(E7279="HI",2,IF(E7279="LO",6,10))+IF(T7279=1,2,IF(D7279=7,1,(IF(WEEKDAY(B7279)=1,2,IF(WEEKDAY(B7279)=7,1,0))))))</f>
        <v>3</v>
      </c>
    </row>
    <row r="7280" spans="2:22">
      <c r="B7280" s="318">
        <f t="shared" si="455"/>
        <v>46416</v>
      </c>
      <c r="C7280" s="312">
        <v>4</v>
      </c>
      <c r="D7280" s="368">
        <f>IFERROR((INDEX(METADATA!$T$2:$T$20,MATCH(B7280,METADATA!$S$2:$S$20,0))),0)</f>
        <v>0</v>
      </c>
      <c r="E7280" s="312" t="str">
        <f t="shared" si="452"/>
        <v>HI</v>
      </c>
      <c r="F7280" s="369">
        <f>VLOOKUP(C7280,METADATA!$A$5:$H$29,IF(E7280="HI",2,IF(E7280="LO",6,10))+IF(D7280=1,2,IF(D7280=7,1,(IF(WEEKDAY(B7280)=1,2,IF(WEEKDAY(B7280)=7,1,0))))))</f>
        <v>3</v>
      </c>
      <c r="G7280" s="369">
        <f>VLOOKUP(C7280,METADATA!$J$5:$Q$29,IF(E7280="HI",2,IF(E7280="LO",6,10))+IF(D7280=1,2,IF(D7280=7,1,(IF(WEEKDAY(B7280)=1,2,IF(WEEKDAY(B7280)=7,1,0))))))</f>
        <v>3</v>
      </c>
      <c r="H7280" s="370">
        <v>13729.824951171875</v>
      </c>
      <c r="I7280" s="370">
        <v>4430.2449340820313</v>
      </c>
      <c r="M7280" s="371">
        <f t="shared" si="453"/>
        <v>14426.890287438291</v>
      </c>
      <c r="N7280" s="329">
        <f t="shared" si="454"/>
        <v>311.29744873046911</v>
      </c>
      <c r="T7280" s="331">
        <v>0</v>
      </c>
      <c r="U7280" s="328">
        <f>VLOOKUP(C7280,METADATA!$J$5:$Q$29,IF(E7280="HI",2,IF(E7280="LO",6,10))+IF(T7280=1,2,IF(D7280=7,1,(IF(WEEKDAY(B7280)=1,2,IF(WEEKDAY(B7280)=7,1,0))))))</f>
        <v>3</v>
      </c>
      <c r="V7280" s="328">
        <f>VLOOKUP(C7280,METADATA!$A$5:$H$29,IF(E7280="HI",2,IF(E7280="LO",6,10))+IF(T7280=1,2,IF(D7280=7,1,(IF(WEEKDAY(B7280)=1,2,IF(WEEKDAY(B7280)=7,1,0))))))</f>
        <v>3</v>
      </c>
    </row>
    <row r="7281" spans="2:22">
      <c r="B7281" s="318">
        <f t="shared" si="455"/>
        <v>46416</v>
      </c>
      <c r="C7281" s="312">
        <v>5</v>
      </c>
      <c r="D7281" s="368">
        <f>IFERROR((INDEX(METADATA!$T$2:$T$20,MATCH(B7281,METADATA!$S$2:$S$20,0))),0)</f>
        <v>0</v>
      </c>
      <c r="E7281" s="312" t="str">
        <f t="shared" si="452"/>
        <v>HI</v>
      </c>
      <c r="F7281" s="369">
        <f>VLOOKUP(C7281,METADATA!$A$5:$H$29,IF(E7281="HI",2,IF(E7281="LO",6,10))+IF(D7281=1,2,IF(D7281=7,1,(IF(WEEKDAY(B7281)=1,2,IF(WEEKDAY(B7281)=7,1,0))))))</f>
        <v>3</v>
      </c>
      <c r="G7281" s="369">
        <f>VLOOKUP(C7281,METADATA!$J$5:$Q$29,IF(E7281="HI",2,IF(E7281="LO",6,10))+IF(D7281=1,2,IF(D7281=7,1,(IF(WEEKDAY(B7281)=1,2,IF(WEEKDAY(B7281)=7,1,0))))))</f>
        <v>3</v>
      </c>
      <c r="H7281" s="370">
        <v>12828.250122070313</v>
      </c>
      <c r="I7281" s="370">
        <v>3950.159912109375</v>
      </c>
      <c r="M7281" s="371">
        <f t="shared" si="453"/>
        <v>13422.658623597374</v>
      </c>
      <c r="N7281" s="329">
        <f t="shared" si="454"/>
        <v>101.68487548828125</v>
      </c>
      <c r="T7281" s="331">
        <v>0</v>
      </c>
      <c r="U7281" s="328">
        <f>VLOOKUP(C7281,METADATA!$J$5:$Q$29,IF(E7281="HI",2,IF(E7281="LO",6,10))+IF(T7281=1,2,IF(D7281=7,1,(IF(WEEKDAY(B7281)=1,2,IF(WEEKDAY(B7281)=7,1,0))))))</f>
        <v>3</v>
      </c>
      <c r="V7281" s="328">
        <f>VLOOKUP(C7281,METADATA!$A$5:$H$29,IF(E7281="HI",2,IF(E7281="LO",6,10))+IF(T7281=1,2,IF(D7281=7,1,(IF(WEEKDAY(B7281)=1,2,IF(WEEKDAY(B7281)=7,1,0))))))</f>
        <v>3</v>
      </c>
    </row>
    <row r="7282" spans="2:22">
      <c r="B7282" s="318">
        <f t="shared" si="455"/>
        <v>46416</v>
      </c>
      <c r="C7282" s="312">
        <v>6</v>
      </c>
      <c r="D7282" s="368">
        <f>IFERROR((INDEX(METADATA!$T$2:$T$20,MATCH(B7282,METADATA!$S$2:$S$20,0))),0)</f>
        <v>0</v>
      </c>
      <c r="E7282" s="312" t="str">
        <f t="shared" si="452"/>
        <v>HI</v>
      </c>
      <c r="F7282" s="369">
        <f>VLOOKUP(C7282,METADATA!$A$5:$H$29,IF(E7282="HI",2,IF(E7282="LO",6,10))+IF(D7282=1,2,IF(D7282=7,1,(IF(WEEKDAY(B7282)=1,2,IF(WEEKDAY(B7282)=7,1,0))))))</f>
        <v>1</v>
      </c>
      <c r="G7282" s="369">
        <f>VLOOKUP(C7282,METADATA!$J$5:$Q$29,IF(E7282="HI",2,IF(E7282="LO",6,10))+IF(D7282=1,2,IF(D7282=7,1,(IF(WEEKDAY(B7282)=1,2,IF(WEEKDAY(B7282)=7,1,0))))))</f>
        <v>1</v>
      </c>
      <c r="H7282" s="370">
        <v>12251.699829101563</v>
      </c>
      <c r="I7282" s="370">
        <v>3481.4823913574219</v>
      </c>
      <c r="M7282" s="371">
        <f t="shared" si="453"/>
        <v>12736.752660852728</v>
      </c>
      <c r="N7282" s="329">
        <f t="shared" si="454"/>
        <v>0</v>
      </c>
      <c r="T7282" s="331">
        <v>0</v>
      </c>
      <c r="U7282" s="328">
        <f>VLOOKUP(C7282,METADATA!$J$5:$Q$29,IF(E7282="HI",2,IF(E7282="LO",6,10))+IF(T7282=1,2,IF(D7282=7,1,(IF(WEEKDAY(B7282)=1,2,IF(WEEKDAY(B7282)=7,1,0))))))</f>
        <v>1</v>
      </c>
      <c r="V7282" s="328">
        <f>VLOOKUP(C7282,METADATA!$A$5:$H$29,IF(E7282="HI",2,IF(E7282="LO",6,10))+IF(T7282=1,2,IF(D7282=7,1,(IF(WEEKDAY(B7282)=1,2,IF(WEEKDAY(B7282)=7,1,0))))))</f>
        <v>1</v>
      </c>
    </row>
    <row r="7283" spans="2:22">
      <c r="B7283" s="318">
        <f t="shared" si="455"/>
        <v>46416</v>
      </c>
      <c r="C7283" s="312">
        <v>7</v>
      </c>
      <c r="D7283" s="368">
        <f>IFERROR((INDEX(METADATA!$T$2:$T$20,MATCH(B7283,METADATA!$S$2:$S$20,0))),0)</f>
        <v>0</v>
      </c>
      <c r="E7283" s="312" t="str">
        <f t="shared" si="452"/>
        <v>HI</v>
      </c>
      <c r="F7283" s="369">
        <f>VLOOKUP(C7283,METADATA!$A$5:$H$29,IF(E7283="HI",2,IF(E7283="LO",6,10))+IF(D7283=1,2,IF(D7283=7,1,(IF(WEEKDAY(B7283)=1,2,IF(WEEKDAY(B7283)=7,1,0))))))</f>
        <v>1</v>
      </c>
      <c r="G7283" s="369">
        <f>VLOOKUP(C7283,METADATA!$J$5:$Q$29,IF(E7283="HI",2,IF(E7283="LO",6,10))+IF(D7283=1,2,IF(D7283=7,1,(IF(WEEKDAY(B7283)=1,2,IF(WEEKDAY(B7283)=7,1,0))))))</f>
        <v>1</v>
      </c>
      <c r="H7283" s="370">
        <v>13663.950012207031</v>
      </c>
      <c r="I7283" s="370">
        <v>4222.0599670410156</v>
      </c>
      <c r="M7283" s="371">
        <f t="shared" si="453"/>
        <v>14301.374769629068</v>
      </c>
      <c r="N7283" s="329">
        <f t="shared" si="454"/>
        <v>122.87496337890661</v>
      </c>
      <c r="T7283" s="331">
        <v>0</v>
      </c>
      <c r="U7283" s="328">
        <f>VLOOKUP(C7283,METADATA!$J$5:$Q$29,IF(E7283="HI",2,IF(E7283="LO",6,10))+IF(T7283=1,2,IF(D7283=7,1,(IF(WEEKDAY(B7283)=1,2,IF(WEEKDAY(B7283)=7,1,0))))))</f>
        <v>1</v>
      </c>
      <c r="V7283" s="328">
        <f>VLOOKUP(C7283,METADATA!$A$5:$H$29,IF(E7283="HI",2,IF(E7283="LO",6,10))+IF(T7283=1,2,IF(D7283=7,1,(IF(WEEKDAY(B7283)=1,2,IF(WEEKDAY(B7283)=7,1,0))))))</f>
        <v>1</v>
      </c>
    </row>
    <row r="7284" spans="2:22">
      <c r="B7284" s="318">
        <f t="shared" si="455"/>
        <v>46416</v>
      </c>
      <c r="C7284" s="312">
        <v>8</v>
      </c>
      <c r="D7284" s="368">
        <f>IFERROR((INDEX(METADATA!$T$2:$T$20,MATCH(B7284,METADATA!$S$2:$S$20,0))),0)</f>
        <v>0</v>
      </c>
      <c r="E7284" s="312" t="str">
        <f t="shared" si="452"/>
        <v>HI</v>
      </c>
      <c r="F7284" s="369">
        <f>VLOOKUP(C7284,METADATA!$A$5:$H$29,IF(E7284="HI",2,IF(E7284="LO",6,10))+IF(D7284=1,2,IF(D7284=7,1,(IF(WEEKDAY(B7284)=1,2,IF(WEEKDAY(B7284)=7,1,0))))))</f>
        <v>2</v>
      </c>
      <c r="G7284" s="369">
        <f>VLOOKUP(C7284,METADATA!$J$5:$Q$29,IF(E7284="HI",2,IF(E7284="LO",6,10))+IF(D7284=1,2,IF(D7284=7,1,(IF(WEEKDAY(B7284)=1,2,IF(WEEKDAY(B7284)=7,1,0))))))</f>
        <v>2</v>
      </c>
      <c r="H7284" s="370">
        <v>13731.749755859375</v>
      </c>
      <c r="I7284" s="370">
        <v>4181.9200134277344</v>
      </c>
      <c r="M7284" s="371">
        <f t="shared" si="453"/>
        <v>14354.421143196663</v>
      </c>
      <c r="N7284" s="329">
        <f t="shared" si="454"/>
        <v>62.395086669922421</v>
      </c>
      <c r="T7284" s="331">
        <v>0</v>
      </c>
      <c r="U7284" s="328">
        <f>VLOOKUP(C7284,METADATA!$J$5:$Q$29,IF(E7284="HI",2,IF(E7284="LO",6,10))+IF(T7284=1,2,IF(D7284=7,1,(IF(WEEKDAY(B7284)=1,2,IF(WEEKDAY(B7284)=7,1,0))))))</f>
        <v>2</v>
      </c>
      <c r="V7284" s="328">
        <f>VLOOKUP(C7284,METADATA!$A$5:$H$29,IF(E7284="HI",2,IF(E7284="LO",6,10))+IF(T7284=1,2,IF(D7284=7,1,(IF(WEEKDAY(B7284)=1,2,IF(WEEKDAY(B7284)=7,1,0))))))</f>
        <v>2</v>
      </c>
    </row>
    <row r="7285" spans="2:22">
      <c r="B7285" s="318">
        <f t="shared" si="455"/>
        <v>46416</v>
      </c>
      <c r="C7285" s="312">
        <v>9</v>
      </c>
      <c r="D7285" s="368">
        <f>IFERROR((INDEX(METADATA!$T$2:$T$20,MATCH(B7285,METADATA!$S$2:$S$20,0))),0)</f>
        <v>0</v>
      </c>
      <c r="E7285" s="312" t="str">
        <f t="shared" si="452"/>
        <v>HI</v>
      </c>
      <c r="F7285" s="369">
        <f>VLOOKUP(C7285,METADATA!$A$5:$H$29,IF(E7285="HI",2,IF(E7285="LO",6,10))+IF(D7285=1,2,IF(D7285=7,1,(IF(WEEKDAY(B7285)=1,2,IF(WEEKDAY(B7285)=7,1,0))))))</f>
        <v>2</v>
      </c>
      <c r="G7285" s="369">
        <f>VLOOKUP(C7285,METADATA!$J$5:$Q$29,IF(E7285="HI",2,IF(E7285="LO",6,10))+IF(D7285=1,2,IF(D7285=7,1,(IF(WEEKDAY(B7285)=1,2,IF(WEEKDAY(B7285)=7,1,0))))))</f>
        <v>2</v>
      </c>
      <c r="H7285" s="370">
        <v>13855.649963378906</v>
      </c>
      <c r="I7285" s="370">
        <v>4474.1150207519531</v>
      </c>
      <c r="M7285" s="371">
        <f t="shared" si="453"/>
        <v>14560.10786795895</v>
      </c>
      <c r="N7285" s="329">
        <f t="shared" si="454"/>
        <v>317.42003173828107</v>
      </c>
      <c r="T7285" s="331">
        <v>0</v>
      </c>
      <c r="U7285" s="328">
        <f>VLOOKUP(C7285,METADATA!$J$5:$Q$29,IF(E7285="HI",2,IF(E7285="LO",6,10))+IF(T7285=1,2,IF(D7285=7,1,(IF(WEEKDAY(B7285)=1,2,IF(WEEKDAY(B7285)=7,1,0))))))</f>
        <v>2</v>
      </c>
      <c r="V7285" s="328">
        <f>VLOOKUP(C7285,METADATA!$A$5:$H$29,IF(E7285="HI",2,IF(E7285="LO",6,10))+IF(T7285=1,2,IF(D7285=7,1,(IF(WEEKDAY(B7285)=1,2,IF(WEEKDAY(B7285)=7,1,0))))))</f>
        <v>2</v>
      </c>
    </row>
    <row r="7286" spans="2:22">
      <c r="B7286" s="318">
        <f t="shared" si="455"/>
        <v>46416</v>
      </c>
      <c r="C7286" s="312">
        <v>10</v>
      </c>
      <c r="D7286" s="368">
        <f>IFERROR((INDEX(METADATA!$T$2:$T$20,MATCH(B7286,METADATA!$S$2:$S$20,0))),0)</f>
        <v>0</v>
      </c>
      <c r="E7286" s="312" t="str">
        <f t="shared" si="452"/>
        <v>HI</v>
      </c>
      <c r="F7286" s="369">
        <f>VLOOKUP(C7286,METADATA!$A$5:$H$29,IF(E7286="HI",2,IF(E7286="LO",6,10))+IF(D7286=1,2,IF(D7286=7,1,(IF(WEEKDAY(B7286)=1,2,IF(WEEKDAY(B7286)=7,1,0))))))</f>
        <v>2</v>
      </c>
      <c r="G7286" s="369">
        <f>VLOOKUP(C7286,METADATA!$J$5:$Q$29,IF(E7286="HI",2,IF(E7286="LO",6,10))+IF(D7286=1,2,IF(D7286=7,1,(IF(WEEKDAY(B7286)=1,2,IF(WEEKDAY(B7286)=7,1,0))))))</f>
        <v>2</v>
      </c>
      <c r="H7286" s="370">
        <v>13680.974487304688</v>
      </c>
      <c r="I7286" s="370">
        <v>4514.97509765625</v>
      </c>
      <c r="M7286" s="371">
        <f t="shared" si="453"/>
        <v>14406.736724697159</v>
      </c>
      <c r="N7286" s="329">
        <f t="shared" si="454"/>
        <v>410.68275146484393</v>
      </c>
      <c r="T7286" s="331">
        <v>0</v>
      </c>
      <c r="U7286" s="328">
        <f>VLOOKUP(C7286,METADATA!$J$5:$Q$29,IF(E7286="HI",2,IF(E7286="LO",6,10))+IF(T7286=1,2,IF(D7286=7,1,(IF(WEEKDAY(B7286)=1,2,IF(WEEKDAY(B7286)=7,1,0))))))</f>
        <v>2</v>
      </c>
      <c r="V7286" s="328">
        <f>VLOOKUP(C7286,METADATA!$A$5:$H$29,IF(E7286="HI",2,IF(E7286="LO",6,10))+IF(T7286=1,2,IF(D7286=7,1,(IF(WEEKDAY(B7286)=1,2,IF(WEEKDAY(B7286)=7,1,0))))))</f>
        <v>2</v>
      </c>
    </row>
    <row r="7287" spans="2:22">
      <c r="B7287" s="318">
        <f t="shared" si="455"/>
        <v>46416</v>
      </c>
      <c r="C7287" s="312">
        <v>11</v>
      </c>
      <c r="D7287" s="368">
        <f>IFERROR((INDEX(METADATA!$T$2:$T$20,MATCH(B7287,METADATA!$S$2:$S$20,0))),0)</f>
        <v>0</v>
      </c>
      <c r="E7287" s="312" t="str">
        <f t="shared" si="452"/>
        <v>HI</v>
      </c>
      <c r="F7287" s="369">
        <f>VLOOKUP(C7287,METADATA!$A$5:$H$29,IF(E7287="HI",2,IF(E7287="LO",6,10))+IF(D7287=1,2,IF(D7287=7,1,(IF(WEEKDAY(B7287)=1,2,IF(WEEKDAY(B7287)=7,1,0))))))</f>
        <v>2</v>
      </c>
      <c r="G7287" s="369">
        <f>VLOOKUP(C7287,METADATA!$J$5:$Q$29,IF(E7287="HI",2,IF(E7287="LO",6,10))+IF(D7287=1,2,IF(D7287=7,1,(IF(WEEKDAY(B7287)=1,2,IF(WEEKDAY(B7287)=7,1,0))))))</f>
        <v>2</v>
      </c>
      <c r="H7287" s="370">
        <v>13689.7001953125</v>
      </c>
      <c r="I7287" s="370">
        <v>4516.64501953125</v>
      </c>
      <c r="M7287" s="371">
        <f t="shared" si="453"/>
        <v>14415.546249448736</v>
      </c>
      <c r="N7287" s="329">
        <f t="shared" si="454"/>
        <v>409.73496093750055</v>
      </c>
      <c r="T7287" s="331">
        <v>0</v>
      </c>
      <c r="U7287" s="328">
        <f>VLOOKUP(C7287,METADATA!$J$5:$Q$29,IF(E7287="HI",2,IF(E7287="LO",6,10))+IF(T7287=1,2,IF(D7287=7,1,(IF(WEEKDAY(B7287)=1,2,IF(WEEKDAY(B7287)=7,1,0))))))</f>
        <v>2</v>
      </c>
      <c r="V7287" s="328">
        <f>VLOOKUP(C7287,METADATA!$A$5:$H$29,IF(E7287="HI",2,IF(E7287="LO",6,10))+IF(T7287=1,2,IF(D7287=7,1,(IF(WEEKDAY(B7287)=1,2,IF(WEEKDAY(B7287)=7,1,0))))))</f>
        <v>2</v>
      </c>
    </row>
    <row r="7288" spans="2:22">
      <c r="B7288" s="318">
        <f t="shared" si="455"/>
        <v>46416</v>
      </c>
      <c r="C7288" s="312">
        <v>12</v>
      </c>
      <c r="D7288" s="368">
        <f>IFERROR((INDEX(METADATA!$T$2:$T$20,MATCH(B7288,METADATA!$S$2:$S$20,0))),0)</f>
        <v>0</v>
      </c>
      <c r="E7288" s="312" t="str">
        <f t="shared" si="452"/>
        <v>HI</v>
      </c>
      <c r="F7288" s="369">
        <f>VLOOKUP(C7288,METADATA!$A$5:$H$29,IF(E7288="HI",2,IF(E7288="LO",6,10))+IF(D7288=1,2,IF(D7288=7,1,(IF(WEEKDAY(B7288)=1,2,IF(WEEKDAY(B7288)=7,1,0))))))</f>
        <v>2</v>
      </c>
      <c r="G7288" s="369">
        <f>VLOOKUP(C7288,METADATA!$J$5:$Q$29,IF(E7288="HI",2,IF(E7288="LO",6,10))+IF(D7288=1,2,IF(D7288=7,1,(IF(WEEKDAY(B7288)=1,2,IF(WEEKDAY(B7288)=7,1,0))))))</f>
        <v>2</v>
      </c>
      <c r="H7288" s="370">
        <v>13628.824768066406</v>
      </c>
      <c r="I7288" s="370">
        <v>4518.06005859375</v>
      </c>
      <c r="M7288" s="371">
        <f t="shared" si="453"/>
        <v>14358.193871504887</v>
      </c>
      <c r="N7288" s="329">
        <f t="shared" si="454"/>
        <v>429.41262817382813</v>
      </c>
      <c r="T7288" s="331">
        <v>0</v>
      </c>
      <c r="U7288" s="328">
        <f>VLOOKUP(C7288,METADATA!$J$5:$Q$29,IF(E7288="HI",2,IF(E7288="LO",6,10))+IF(T7288=1,2,IF(D7288=7,1,(IF(WEEKDAY(B7288)=1,2,IF(WEEKDAY(B7288)=7,1,0))))))</f>
        <v>2</v>
      </c>
      <c r="V7288" s="328">
        <f>VLOOKUP(C7288,METADATA!$A$5:$H$29,IF(E7288="HI",2,IF(E7288="LO",6,10))+IF(T7288=1,2,IF(D7288=7,1,(IF(WEEKDAY(B7288)=1,2,IF(WEEKDAY(B7288)=7,1,0))))))</f>
        <v>2</v>
      </c>
    </row>
    <row r="7289" spans="2:22">
      <c r="B7289" s="318">
        <f t="shared" si="455"/>
        <v>46416</v>
      </c>
      <c r="C7289" s="312">
        <v>13</v>
      </c>
      <c r="D7289" s="368">
        <f>IFERROR((INDEX(METADATA!$T$2:$T$20,MATCH(B7289,METADATA!$S$2:$S$20,0))),0)</f>
        <v>0</v>
      </c>
      <c r="E7289" s="312" t="str">
        <f t="shared" si="452"/>
        <v>HI</v>
      </c>
      <c r="F7289" s="369">
        <f>VLOOKUP(C7289,METADATA!$A$5:$H$29,IF(E7289="HI",2,IF(E7289="LO",6,10))+IF(D7289=1,2,IF(D7289=7,1,(IF(WEEKDAY(B7289)=1,2,IF(WEEKDAY(B7289)=7,1,0))))))</f>
        <v>2</v>
      </c>
      <c r="G7289" s="369">
        <f>VLOOKUP(C7289,METADATA!$J$5:$Q$29,IF(E7289="HI",2,IF(E7289="LO",6,10))+IF(D7289=1,2,IF(D7289=7,1,(IF(WEEKDAY(B7289)=1,2,IF(WEEKDAY(B7289)=7,1,0))))))</f>
        <v>2</v>
      </c>
      <c r="H7289" s="370">
        <v>13728.624938964844</v>
      </c>
      <c r="I7289" s="370">
        <v>4541.3099975585938</v>
      </c>
      <c r="M7289" s="371">
        <f t="shared" si="453"/>
        <v>14460.243400741672</v>
      </c>
      <c r="N7289" s="329">
        <f t="shared" si="454"/>
        <v>422.72251586914081</v>
      </c>
      <c r="T7289" s="331">
        <v>0</v>
      </c>
      <c r="U7289" s="328">
        <f>VLOOKUP(C7289,METADATA!$J$5:$Q$29,IF(E7289="HI",2,IF(E7289="LO",6,10))+IF(T7289=1,2,IF(D7289=7,1,(IF(WEEKDAY(B7289)=1,2,IF(WEEKDAY(B7289)=7,1,0))))))</f>
        <v>2</v>
      </c>
      <c r="V7289" s="328">
        <f>VLOOKUP(C7289,METADATA!$A$5:$H$29,IF(E7289="HI",2,IF(E7289="LO",6,10))+IF(T7289=1,2,IF(D7289=7,1,(IF(WEEKDAY(B7289)=1,2,IF(WEEKDAY(B7289)=7,1,0))))))</f>
        <v>2</v>
      </c>
    </row>
    <row r="7290" spans="2:22">
      <c r="B7290" s="318">
        <f t="shared" si="455"/>
        <v>46416</v>
      </c>
      <c r="C7290" s="312">
        <v>14</v>
      </c>
      <c r="D7290" s="368">
        <f>IFERROR((INDEX(METADATA!$T$2:$T$20,MATCH(B7290,METADATA!$S$2:$S$20,0))),0)</f>
        <v>0</v>
      </c>
      <c r="E7290" s="312" t="str">
        <f t="shared" si="452"/>
        <v>HI</v>
      </c>
      <c r="F7290" s="369">
        <f>VLOOKUP(C7290,METADATA!$A$5:$H$29,IF(E7290="HI",2,IF(E7290="LO",6,10))+IF(D7290=1,2,IF(D7290=7,1,(IF(WEEKDAY(B7290)=1,2,IF(WEEKDAY(B7290)=7,1,0))))))</f>
        <v>2</v>
      </c>
      <c r="G7290" s="369">
        <f>VLOOKUP(C7290,METADATA!$J$5:$Q$29,IF(E7290="HI",2,IF(E7290="LO",6,10))+IF(D7290=1,2,IF(D7290=7,1,(IF(WEEKDAY(B7290)=1,2,IF(WEEKDAY(B7290)=7,1,0))))))</f>
        <v>2</v>
      </c>
      <c r="H7290" s="370">
        <v>13726.674743652344</v>
      </c>
      <c r="I7290" s="370">
        <v>4584.7149658203125</v>
      </c>
      <c r="M7290" s="371">
        <f t="shared" si="453"/>
        <v>14472.083845660924</v>
      </c>
      <c r="N7290" s="329">
        <f t="shared" si="454"/>
        <v>466.71254272460919</v>
      </c>
      <c r="T7290" s="331">
        <v>0</v>
      </c>
      <c r="U7290" s="328">
        <f>VLOOKUP(C7290,METADATA!$J$5:$Q$29,IF(E7290="HI",2,IF(E7290="LO",6,10))+IF(T7290=1,2,IF(D7290=7,1,(IF(WEEKDAY(B7290)=1,2,IF(WEEKDAY(B7290)=7,1,0))))))</f>
        <v>2</v>
      </c>
      <c r="V7290" s="328">
        <f>VLOOKUP(C7290,METADATA!$A$5:$H$29,IF(E7290="HI",2,IF(E7290="LO",6,10))+IF(T7290=1,2,IF(D7290=7,1,(IF(WEEKDAY(B7290)=1,2,IF(WEEKDAY(B7290)=7,1,0))))))</f>
        <v>2</v>
      </c>
    </row>
    <row r="7291" spans="2:22">
      <c r="B7291" s="318">
        <f t="shared" si="455"/>
        <v>46416</v>
      </c>
      <c r="C7291" s="312">
        <v>15</v>
      </c>
      <c r="D7291" s="368">
        <f>IFERROR((INDEX(METADATA!$T$2:$T$20,MATCH(B7291,METADATA!$S$2:$S$20,0))),0)</f>
        <v>0</v>
      </c>
      <c r="E7291" s="312" t="str">
        <f t="shared" si="452"/>
        <v>HI</v>
      </c>
      <c r="F7291" s="369">
        <f>VLOOKUP(C7291,METADATA!$A$5:$H$29,IF(E7291="HI",2,IF(E7291="LO",6,10))+IF(D7291=1,2,IF(D7291=7,1,(IF(WEEKDAY(B7291)=1,2,IF(WEEKDAY(B7291)=7,1,0))))))</f>
        <v>2</v>
      </c>
      <c r="G7291" s="369">
        <f>VLOOKUP(C7291,METADATA!$J$5:$Q$29,IF(E7291="HI",2,IF(E7291="LO",6,10))+IF(D7291=1,2,IF(D7291=7,1,(IF(WEEKDAY(B7291)=1,2,IF(WEEKDAY(B7291)=7,1,0))))))</f>
        <v>2</v>
      </c>
      <c r="H7291" s="370">
        <v>13799.474853515625</v>
      </c>
      <c r="I7291" s="370">
        <v>4564.6100769042969</v>
      </c>
      <c r="M7291" s="371">
        <f t="shared" si="453"/>
        <v>14534.826156063455</v>
      </c>
      <c r="N7291" s="329">
        <f t="shared" si="454"/>
        <v>424.76762084960956</v>
      </c>
      <c r="T7291" s="331">
        <v>0</v>
      </c>
      <c r="U7291" s="328">
        <f>VLOOKUP(C7291,METADATA!$J$5:$Q$29,IF(E7291="HI",2,IF(E7291="LO",6,10))+IF(T7291=1,2,IF(D7291=7,1,(IF(WEEKDAY(B7291)=1,2,IF(WEEKDAY(B7291)=7,1,0))))))</f>
        <v>2</v>
      </c>
      <c r="V7291" s="328">
        <f>VLOOKUP(C7291,METADATA!$A$5:$H$29,IF(E7291="HI",2,IF(E7291="LO",6,10))+IF(T7291=1,2,IF(D7291=7,1,(IF(WEEKDAY(B7291)=1,2,IF(WEEKDAY(B7291)=7,1,0))))))</f>
        <v>2</v>
      </c>
    </row>
    <row r="7292" spans="2:22">
      <c r="B7292" s="318">
        <f t="shared" si="455"/>
        <v>46416</v>
      </c>
      <c r="C7292" s="312">
        <v>16</v>
      </c>
      <c r="D7292" s="368">
        <f>IFERROR((INDEX(METADATA!$T$2:$T$20,MATCH(B7292,METADATA!$S$2:$S$20,0))),0)</f>
        <v>0</v>
      </c>
      <c r="E7292" s="312" t="str">
        <f t="shared" si="452"/>
        <v>HI</v>
      </c>
      <c r="F7292" s="369">
        <f>VLOOKUP(C7292,METADATA!$A$5:$H$29,IF(E7292="HI",2,IF(E7292="LO",6,10))+IF(D7292=1,2,IF(D7292=7,1,(IF(WEEKDAY(B7292)=1,2,IF(WEEKDAY(B7292)=7,1,0))))))</f>
        <v>2</v>
      </c>
      <c r="G7292" s="369">
        <f>VLOOKUP(C7292,METADATA!$J$5:$Q$29,IF(E7292="HI",2,IF(E7292="LO",6,10))+IF(D7292=1,2,IF(D7292=7,1,(IF(WEEKDAY(B7292)=1,2,IF(WEEKDAY(B7292)=7,1,0))))))</f>
        <v>2</v>
      </c>
      <c r="H7292" s="370">
        <v>13650.22509765625</v>
      </c>
      <c r="I7292" s="370">
        <v>4550.9799499511719</v>
      </c>
      <c r="M7292" s="371">
        <f t="shared" si="453"/>
        <v>14388.886813146531</v>
      </c>
      <c r="N7292" s="329">
        <f t="shared" si="454"/>
        <v>455.91242065429697</v>
      </c>
      <c r="T7292" s="331">
        <v>0</v>
      </c>
      <c r="U7292" s="328">
        <f>VLOOKUP(C7292,METADATA!$J$5:$Q$29,IF(E7292="HI",2,IF(E7292="LO",6,10))+IF(T7292=1,2,IF(D7292=7,1,(IF(WEEKDAY(B7292)=1,2,IF(WEEKDAY(B7292)=7,1,0))))))</f>
        <v>2</v>
      </c>
      <c r="V7292" s="328">
        <f>VLOOKUP(C7292,METADATA!$A$5:$H$29,IF(E7292="HI",2,IF(E7292="LO",6,10))+IF(T7292=1,2,IF(D7292=7,1,(IF(WEEKDAY(B7292)=1,2,IF(WEEKDAY(B7292)=7,1,0))))))</f>
        <v>2</v>
      </c>
    </row>
    <row r="7293" spans="2:22">
      <c r="B7293" s="318">
        <f t="shared" si="455"/>
        <v>46416</v>
      </c>
      <c r="C7293" s="312">
        <v>17</v>
      </c>
      <c r="D7293" s="368">
        <f>IFERROR((INDEX(METADATA!$T$2:$T$20,MATCH(B7293,METADATA!$S$2:$S$20,0))),0)</f>
        <v>0</v>
      </c>
      <c r="E7293" s="312" t="str">
        <f t="shared" si="452"/>
        <v>HI</v>
      </c>
      <c r="F7293" s="369">
        <f>VLOOKUP(C7293,METADATA!$A$5:$H$29,IF(E7293="HI",2,IF(E7293="LO",6,10))+IF(D7293=1,2,IF(D7293=7,1,(IF(WEEKDAY(B7293)=1,2,IF(WEEKDAY(B7293)=7,1,0))))))</f>
        <v>1</v>
      </c>
      <c r="G7293" s="369">
        <f>VLOOKUP(C7293,METADATA!$J$5:$Q$29,IF(E7293="HI",2,IF(E7293="LO",6,10))+IF(D7293=1,2,IF(D7293=7,1,(IF(WEEKDAY(B7293)=1,2,IF(WEEKDAY(B7293)=7,1,0))))))</f>
        <v>1</v>
      </c>
      <c r="H7293" s="370">
        <v>13665.099975585938</v>
      </c>
      <c r="I7293" s="370">
        <v>4452.0599975585938</v>
      </c>
      <c r="M7293" s="371">
        <f t="shared" si="453"/>
        <v>14372.049108064592</v>
      </c>
      <c r="N7293" s="329">
        <f t="shared" si="454"/>
        <v>352.53000488281305</v>
      </c>
      <c r="T7293" s="331">
        <v>0</v>
      </c>
      <c r="U7293" s="328">
        <f>VLOOKUP(C7293,METADATA!$J$5:$Q$29,IF(E7293="HI",2,IF(E7293="LO",6,10))+IF(T7293=1,2,IF(D7293=7,1,(IF(WEEKDAY(B7293)=1,2,IF(WEEKDAY(B7293)=7,1,0))))))</f>
        <v>1</v>
      </c>
      <c r="V7293" s="328">
        <f>VLOOKUP(C7293,METADATA!$A$5:$H$29,IF(E7293="HI",2,IF(E7293="LO",6,10))+IF(T7293=1,2,IF(D7293=7,1,(IF(WEEKDAY(B7293)=1,2,IF(WEEKDAY(B7293)=7,1,0))))))</f>
        <v>1</v>
      </c>
    </row>
    <row r="7294" spans="2:22">
      <c r="B7294" s="318">
        <f t="shared" si="455"/>
        <v>46416</v>
      </c>
      <c r="C7294" s="312">
        <v>18</v>
      </c>
      <c r="D7294" s="368">
        <f>IFERROR((INDEX(METADATA!$T$2:$T$20,MATCH(B7294,METADATA!$S$2:$S$20,0))),0)</f>
        <v>0</v>
      </c>
      <c r="E7294" s="312" t="str">
        <f t="shared" si="452"/>
        <v>HI</v>
      </c>
      <c r="F7294" s="369">
        <f>VLOOKUP(C7294,METADATA!$A$5:$H$29,IF(E7294="HI",2,IF(E7294="LO",6,10))+IF(D7294=1,2,IF(D7294=7,1,(IF(WEEKDAY(B7294)=1,2,IF(WEEKDAY(B7294)=7,1,0))))))</f>
        <v>1</v>
      </c>
      <c r="G7294" s="369">
        <f>VLOOKUP(C7294,METADATA!$J$5:$Q$29,IF(E7294="HI",2,IF(E7294="LO",6,10))+IF(D7294=1,2,IF(D7294=7,1,(IF(WEEKDAY(B7294)=1,2,IF(WEEKDAY(B7294)=7,1,0))))))</f>
        <v>1</v>
      </c>
      <c r="H7294" s="370">
        <v>13633.525268554688</v>
      </c>
      <c r="I7294" s="370">
        <v>4487.0748901367188</v>
      </c>
      <c r="M7294" s="371">
        <f t="shared" si="453"/>
        <v>14352.938804231508</v>
      </c>
      <c r="N7294" s="329">
        <f t="shared" si="454"/>
        <v>397.01730957031259</v>
      </c>
      <c r="T7294" s="331">
        <v>0</v>
      </c>
      <c r="U7294" s="328">
        <f>VLOOKUP(C7294,METADATA!$J$5:$Q$29,IF(E7294="HI",2,IF(E7294="LO",6,10))+IF(T7294=1,2,IF(D7294=7,1,(IF(WEEKDAY(B7294)=1,2,IF(WEEKDAY(B7294)=7,1,0))))))</f>
        <v>1</v>
      </c>
      <c r="V7294" s="328">
        <f>VLOOKUP(C7294,METADATA!$A$5:$H$29,IF(E7294="HI",2,IF(E7294="LO",6,10))+IF(T7294=1,2,IF(D7294=7,1,(IF(WEEKDAY(B7294)=1,2,IF(WEEKDAY(B7294)=7,1,0))))))</f>
        <v>1</v>
      </c>
    </row>
    <row r="7295" spans="2:22">
      <c r="B7295" s="318">
        <f t="shared" si="455"/>
        <v>46416</v>
      </c>
      <c r="C7295" s="312">
        <v>19</v>
      </c>
      <c r="D7295" s="368">
        <f>IFERROR((INDEX(METADATA!$T$2:$T$20,MATCH(B7295,METADATA!$S$2:$S$20,0))),0)</f>
        <v>0</v>
      </c>
      <c r="E7295" s="312" t="str">
        <f t="shared" si="452"/>
        <v>HI</v>
      </c>
      <c r="F7295" s="369">
        <f>VLOOKUP(C7295,METADATA!$A$5:$H$29,IF(E7295="HI",2,IF(E7295="LO",6,10))+IF(D7295=1,2,IF(D7295=7,1,(IF(WEEKDAY(B7295)=1,2,IF(WEEKDAY(B7295)=7,1,0))))))</f>
        <v>1</v>
      </c>
      <c r="G7295" s="369">
        <f>VLOOKUP(C7295,METADATA!$J$5:$Q$29,IF(E7295="HI",2,IF(E7295="LO",6,10))+IF(D7295=1,2,IF(D7295=7,1,(IF(WEEKDAY(B7295)=1,2,IF(WEEKDAY(B7295)=7,1,0))))))</f>
        <v>1</v>
      </c>
      <c r="H7295" s="370">
        <v>13530.774963378906</v>
      </c>
      <c r="I7295" s="370">
        <v>4458.5550231933594</v>
      </c>
      <c r="M7295" s="371">
        <f t="shared" si="453"/>
        <v>14246.423551349446</v>
      </c>
      <c r="N7295" s="329">
        <f t="shared" si="454"/>
        <v>399.32253417968786</v>
      </c>
      <c r="T7295" s="331">
        <v>0</v>
      </c>
      <c r="U7295" s="328">
        <f>VLOOKUP(C7295,METADATA!$J$5:$Q$29,IF(E7295="HI",2,IF(E7295="LO",6,10))+IF(T7295=1,2,IF(D7295=7,1,(IF(WEEKDAY(B7295)=1,2,IF(WEEKDAY(B7295)=7,1,0))))))</f>
        <v>1</v>
      </c>
      <c r="V7295" s="328">
        <f>VLOOKUP(C7295,METADATA!$A$5:$H$29,IF(E7295="HI",2,IF(E7295="LO",6,10))+IF(T7295=1,2,IF(D7295=7,1,(IF(WEEKDAY(B7295)=1,2,IF(WEEKDAY(B7295)=7,1,0))))))</f>
        <v>1</v>
      </c>
    </row>
    <row r="7296" spans="2:22">
      <c r="B7296" s="318">
        <f t="shared" si="455"/>
        <v>46416</v>
      </c>
      <c r="C7296" s="312">
        <v>20</v>
      </c>
      <c r="D7296" s="368">
        <f>IFERROR((INDEX(METADATA!$T$2:$T$20,MATCH(B7296,METADATA!$S$2:$S$20,0))),0)</f>
        <v>0</v>
      </c>
      <c r="E7296" s="312" t="str">
        <f t="shared" si="452"/>
        <v>HI</v>
      </c>
      <c r="F7296" s="369">
        <f>VLOOKUP(C7296,METADATA!$A$5:$H$29,IF(E7296="HI",2,IF(E7296="LO",6,10))+IF(D7296=1,2,IF(D7296=7,1,(IF(WEEKDAY(B7296)=1,2,IF(WEEKDAY(B7296)=7,1,0))))))</f>
        <v>2</v>
      </c>
      <c r="G7296" s="369">
        <f>VLOOKUP(C7296,METADATA!$J$5:$Q$29,IF(E7296="HI",2,IF(E7296="LO",6,10))+IF(D7296=1,2,IF(D7296=7,1,(IF(WEEKDAY(B7296)=1,2,IF(WEEKDAY(B7296)=7,1,0))))))</f>
        <v>2</v>
      </c>
      <c r="H7296" s="370">
        <v>13591.0751953125</v>
      </c>
      <c r="I7296" s="370">
        <v>4568.5700073242188</v>
      </c>
      <c r="M7296" s="371">
        <f t="shared" si="453"/>
        <v>14338.380552784234</v>
      </c>
      <c r="N7296" s="329">
        <f t="shared" si="454"/>
        <v>491.24744873046893</v>
      </c>
      <c r="T7296" s="331">
        <v>0</v>
      </c>
      <c r="U7296" s="328">
        <f>VLOOKUP(C7296,METADATA!$J$5:$Q$29,IF(E7296="HI",2,IF(E7296="LO",6,10))+IF(T7296=1,2,IF(D7296=7,1,(IF(WEEKDAY(B7296)=1,2,IF(WEEKDAY(B7296)=7,1,0))))))</f>
        <v>2</v>
      </c>
      <c r="V7296" s="328">
        <f>VLOOKUP(C7296,METADATA!$A$5:$H$29,IF(E7296="HI",2,IF(E7296="LO",6,10))+IF(T7296=1,2,IF(D7296=7,1,(IF(WEEKDAY(B7296)=1,2,IF(WEEKDAY(B7296)=7,1,0))))))</f>
        <v>2</v>
      </c>
    </row>
    <row r="7297" spans="2:22">
      <c r="B7297" s="318">
        <f t="shared" si="455"/>
        <v>46416</v>
      </c>
      <c r="C7297" s="312">
        <v>21</v>
      </c>
      <c r="D7297" s="368">
        <f>IFERROR((INDEX(METADATA!$T$2:$T$20,MATCH(B7297,METADATA!$S$2:$S$20,0))),0)</f>
        <v>0</v>
      </c>
      <c r="E7297" s="312" t="str">
        <f t="shared" si="452"/>
        <v>HI</v>
      </c>
      <c r="F7297" s="369">
        <f>VLOOKUP(C7297,METADATA!$A$5:$H$29,IF(E7297="HI",2,IF(E7297="LO",6,10))+IF(D7297=1,2,IF(D7297=7,1,(IF(WEEKDAY(B7297)=1,2,IF(WEEKDAY(B7297)=7,1,0))))))</f>
        <v>2</v>
      </c>
      <c r="G7297" s="369">
        <f>VLOOKUP(C7297,METADATA!$J$5:$Q$29,IF(E7297="HI",2,IF(E7297="LO",6,10))+IF(D7297=1,2,IF(D7297=7,1,(IF(WEEKDAY(B7297)=1,2,IF(WEEKDAY(B7297)=7,1,0))))))</f>
        <v>2</v>
      </c>
      <c r="H7297" s="370">
        <v>13625.649536132813</v>
      </c>
      <c r="I7297" s="370">
        <v>4530.1700439453125</v>
      </c>
      <c r="M7297" s="371">
        <f t="shared" si="453"/>
        <v>14358.995992358788</v>
      </c>
      <c r="N7297" s="329">
        <f t="shared" si="454"/>
        <v>442.47518310546911</v>
      </c>
      <c r="T7297" s="331">
        <v>0</v>
      </c>
      <c r="U7297" s="328">
        <f>VLOOKUP(C7297,METADATA!$J$5:$Q$29,IF(E7297="HI",2,IF(E7297="LO",6,10))+IF(T7297=1,2,IF(D7297=7,1,(IF(WEEKDAY(B7297)=1,2,IF(WEEKDAY(B7297)=7,1,0))))))</f>
        <v>2</v>
      </c>
      <c r="V7297" s="328">
        <f>VLOOKUP(C7297,METADATA!$A$5:$H$29,IF(E7297="HI",2,IF(E7297="LO",6,10))+IF(T7297=1,2,IF(D7297=7,1,(IF(WEEKDAY(B7297)=1,2,IF(WEEKDAY(B7297)=7,1,0))))))</f>
        <v>2</v>
      </c>
    </row>
    <row r="7298" spans="2:22">
      <c r="B7298" s="318">
        <f t="shared" si="455"/>
        <v>46416</v>
      </c>
      <c r="C7298" s="312">
        <v>22</v>
      </c>
      <c r="D7298" s="368">
        <f>IFERROR((INDEX(METADATA!$T$2:$T$20,MATCH(B7298,METADATA!$S$2:$S$20,0))),0)</f>
        <v>0</v>
      </c>
      <c r="E7298" s="312" t="str">
        <f t="shared" si="452"/>
        <v>HI</v>
      </c>
      <c r="F7298" s="369">
        <f>VLOOKUP(C7298,METADATA!$A$5:$H$29,IF(E7298="HI",2,IF(E7298="LO",6,10))+IF(D7298=1,2,IF(D7298=7,1,(IF(WEEKDAY(B7298)=1,2,IF(WEEKDAY(B7298)=7,1,0))))))</f>
        <v>3</v>
      </c>
      <c r="G7298" s="369">
        <f>VLOOKUP(C7298,METADATA!$J$5:$Q$29,IF(E7298="HI",2,IF(E7298="LO",6,10))+IF(D7298=1,2,IF(D7298=7,1,(IF(WEEKDAY(B7298)=1,2,IF(WEEKDAY(B7298)=7,1,0))))))</f>
        <v>3</v>
      </c>
      <c r="H7298" s="370">
        <v>13521.874755859375</v>
      </c>
      <c r="I7298" s="370">
        <v>4329.2150268554688</v>
      </c>
      <c r="M7298" s="371">
        <f t="shared" si="453"/>
        <v>14197.999847228419</v>
      </c>
      <c r="N7298" s="329">
        <f t="shared" si="454"/>
        <v>272.65260009765643</v>
      </c>
      <c r="T7298" s="331">
        <v>0</v>
      </c>
      <c r="U7298" s="328">
        <f>VLOOKUP(C7298,METADATA!$J$5:$Q$29,IF(E7298="HI",2,IF(E7298="LO",6,10))+IF(T7298=1,2,IF(D7298=7,1,(IF(WEEKDAY(B7298)=1,2,IF(WEEKDAY(B7298)=7,1,0))))))</f>
        <v>3</v>
      </c>
      <c r="V7298" s="328">
        <f>VLOOKUP(C7298,METADATA!$A$5:$H$29,IF(E7298="HI",2,IF(E7298="LO",6,10))+IF(T7298=1,2,IF(D7298=7,1,(IF(WEEKDAY(B7298)=1,2,IF(WEEKDAY(B7298)=7,1,0))))))</f>
        <v>3</v>
      </c>
    </row>
    <row r="7299" spans="2:22">
      <c r="B7299" s="318">
        <f t="shared" si="455"/>
        <v>46416</v>
      </c>
      <c r="C7299" s="312">
        <v>23</v>
      </c>
      <c r="D7299" s="368">
        <f>IFERROR((INDEX(METADATA!$T$2:$T$20,MATCH(B7299,METADATA!$S$2:$S$20,0))),0)</f>
        <v>0</v>
      </c>
      <c r="E7299" s="312" t="str">
        <f t="shared" si="452"/>
        <v>HI</v>
      </c>
      <c r="F7299" s="369">
        <f>VLOOKUP(C7299,METADATA!$A$5:$H$29,IF(E7299="HI",2,IF(E7299="LO",6,10))+IF(D7299=1,2,IF(D7299=7,1,(IF(WEEKDAY(B7299)=1,2,IF(WEEKDAY(B7299)=7,1,0))))))</f>
        <v>3</v>
      </c>
      <c r="G7299" s="369">
        <f>VLOOKUP(C7299,METADATA!$J$5:$Q$29,IF(E7299="HI",2,IF(E7299="LO",6,10))+IF(D7299=1,2,IF(D7299=7,1,(IF(WEEKDAY(B7299)=1,2,IF(WEEKDAY(B7299)=7,1,0))))))</f>
        <v>3</v>
      </c>
      <c r="H7299" s="370">
        <v>13525.499755859375</v>
      </c>
      <c r="I7299" s="370">
        <v>4316.3900756835938</v>
      </c>
      <c r="M7299" s="371">
        <f t="shared" si="453"/>
        <v>14197.547919665982</v>
      </c>
      <c r="N7299" s="329">
        <f t="shared" si="454"/>
        <v>258.74014892578134</v>
      </c>
      <c r="T7299" s="331">
        <v>0</v>
      </c>
      <c r="U7299" s="328">
        <f>VLOOKUP(C7299,METADATA!$J$5:$Q$29,IF(E7299="HI",2,IF(E7299="LO",6,10))+IF(T7299=1,2,IF(D7299=7,1,(IF(WEEKDAY(B7299)=1,2,IF(WEEKDAY(B7299)=7,1,0))))))</f>
        <v>3</v>
      </c>
      <c r="V7299" s="328">
        <f>VLOOKUP(C7299,METADATA!$A$5:$H$29,IF(E7299="HI",2,IF(E7299="LO",6,10))+IF(T7299=1,2,IF(D7299=7,1,(IF(WEEKDAY(B7299)=1,2,IF(WEEKDAY(B7299)=7,1,0))))))</f>
        <v>3</v>
      </c>
    </row>
    <row r="7300" spans="2:22">
      <c r="B7300" s="318">
        <f t="shared" si="455"/>
        <v>46417</v>
      </c>
      <c r="C7300" s="312">
        <v>0</v>
      </c>
      <c r="D7300" s="368">
        <f>IFERROR((INDEX(METADATA!$T$2:$T$20,MATCH(B7300,METADATA!$S$2:$S$20,0))),0)</f>
        <v>0</v>
      </c>
      <c r="E7300" s="312" t="str">
        <f t="shared" ref="E7300:E7363" si="456">IF(B7300="","",IF(AND(MONTH(B7300)&gt;=MONTH($Z$9),MONTH(B7300)&lt;=MONTH($Z$11)),"HI","LO"))</f>
        <v>HI</v>
      </c>
      <c r="F7300" s="369">
        <f>VLOOKUP(C7300,METADATA!$A$5:$H$29,IF(E7300="HI",2,IF(E7300="LO",6,10))+IF(D7300=1,2,IF(D7300=7,1,(IF(WEEKDAY(B7300)=1,2,IF(WEEKDAY(B7300)=7,1,0))))))</f>
        <v>3</v>
      </c>
      <c r="G7300" s="369">
        <f>VLOOKUP(C7300,METADATA!$J$5:$Q$29,IF(E7300="HI",2,IF(E7300="LO",6,10))+IF(D7300=1,2,IF(D7300=7,1,(IF(WEEKDAY(B7300)=1,2,IF(WEEKDAY(B7300)=7,1,0))))))</f>
        <v>3</v>
      </c>
      <c r="H7300" s="370">
        <v>13410.175170898438</v>
      </c>
      <c r="I7300" s="370">
        <v>4367.3349609375</v>
      </c>
      <c r="M7300" s="371">
        <f t="shared" ref="M7300:M7363" si="457">SQRT(H7300^2+I7300^2)</f>
        <v>14103.418478340911</v>
      </c>
      <c r="N7300" s="329">
        <f t="shared" ref="N7300:N7363" si="458">IF(H7300=0,0,(IF(I7300-(0.3*H7300)&lt;0,0,(I7300-(0.3*H7300)))))</f>
        <v>344.28240966796875</v>
      </c>
      <c r="T7300" s="331">
        <v>0</v>
      </c>
      <c r="U7300" s="328">
        <f>VLOOKUP(C7300,METADATA!$J$5:$Q$29,IF(E7300="HI",2,IF(E7300="LO",6,10))+IF(T7300=1,2,IF(D7300=7,1,(IF(WEEKDAY(B7300)=1,2,IF(WEEKDAY(B7300)=7,1,0))))))</f>
        <v>3</v>
      </c>
      <c r="V7300" s="328">
        <f>VLOOKUP(C7300,METADATA!$A$5:$H$29,IF(E7300="HI",2,IF(E7300="LO",6,10))+IF(T7300=1,2,IF(D7300=7,1,(IF(WEEKDAY(B7300)=1,2,IF(WEEKDAY(B7300)=7,1,0))))))</f>
        <v>3</v>
      </c>
    </row>
    <row r="7301" spans="2:22">
      <c r="B7301" s="318">
        <f t="shared" si="455"/>
        <v>46417</v>
      </c>
      <c r="C7301" s="312">
        <v>1</v>
      </c>
      <c r="D7301" s="368">
        <f>IFERROR((INDEX(METADATA!$T$2:$T$20,MATCH(B7301,METADATA!$S$2:$S$20,0))),0)</f>
        <v>0</v>
      </c>
      <c r="E7301" s="312" t="str">
        <f t="shared" si="456"/>
        <v>HI</v>
      </c>
      <c r="F7301" s="369">
        <f>VLOOKUP(C7301,METADATA!$A$5:$H$29,IF(E7301="HI",2,IF(E7301="LO",6,10))+IF(D7301=1,2,IF(D7301=7,1,(IF(WEEKDAY(B7301)=1,2,IF(WEEKDAY(B7301)=7,1,0))))))</f>
        <v>3</v>
      </c>
      <c r="G7301" s="369">
        <f>VLOOKUP(C7301,METADATA!$J$5:$Q$29,IF(E7301="HI",2,IF(E7301="LO",6,10))+IF(D7301=1,2,IF(D7301=7,1,(IF(WEEKDAY(B7301)=1,2,IF(WEEKDAY(B7301)=7,1,0))))))</f>
        <v>3</v>
      </c>
      <c r="H7301" s="370">
        <v>13302.352661132813</v>
      </c>
      <c r="I7301" s="370">
        <v>4372.9774169921875</v>
      </c>
      <c r="M7301" s="371">
        <f t="shared" si="457"/>
        <v>14002.696804925501</v>
      </c>
      <c r="N7301" s="329">
        <f t="shared" si="458"/>
        <v>382.27161865234393</v>
      </c>
      <c r="T7301" s="331">
        <v>0</v>
      </c>
      <c r="U7301" s="328">
        <f>VLOOKUP(C7301,METADATA!$J$5:$Q$29,IF(E7301="HI",2,IF(E7301="LO",6,10))+IF(T7301=1,2,IF(D7301=7,1,(IF(WEEKDAY(B7301)=1,2,IF(WEEKDAY(B7301)=7,1,0))))))</f>
        <v>3</v>
      </c>
      <c r="V7301" s="328">
        <f>VLOOKUP(C7301,METADATA!$A$5:$H$29,IF(E7301="HI",2,IF(E7301="LO",6,10))+IF(T7301=1,2,IF(D7301=7,1,(IF(WEEKDAY(B7301)=1,2,IF(WEEKDAY(B7301)=7,1,0))))))</f>
        <v>3</v>
      </c>
    </row>
    <row r="7302" spans="2:22">
      <c r="B7302" s="318">
        <f t="shared" si="455"/>
        <v>46417</v>
      </c>
      <c r="C7302" s="312">
        <v>2</v>
      </c>
      <c r="D7302" s="368">
        <f>IFERROR((INDEX(METADATA!$T$2:$T$20,MATCH(B7302,METADATA!$S$2:$S$20,0))),0)</f>
        <v>0</v>
      </c>
      <c r="E7302" s="312" t="str">
        <f t="shared" si="456"/>
        <v>HI</v>
      </c>
      <c r="F7302" s="369">
        <f>VLOOKUP(C7302,METADATA!$A$5:$H$29,IF(E7302="HI",2,IF(E7302="LO",6,10))+IF(D7302=1,2,IF(D7302=7,1,(IF(WEEKDAY(B7302)=1,2,IF(WEEKDAY(B7302)=7,1,0))))))</f>
        <v>3</v>
      </c>
      <c r="G7302" s="369">
        <f>VLOOKUP(C7302,METADATA!$J$5:$Q$29,IF(E7302="HI",2,IF(E7302="LO",6,10))+IF(D7302=1,2,IF(D7302=7,1,(IF(WEEKDAY(B7302)=1,2,IF(WEEKDAY(B7302)=7,1,0))))))</f>
        <v>3</v>
      </c>
      <c r="H7302" s="370">
        <v>13526.374877929688</v>
      </c>
      <c r="I7302" s="370">
        <v>4516.9950561523438</v>
      </c>
      <c r="M7302" s="371">
        <f t="shared" si="457"/>
        <v>14260.64730913685</v>
      </c>
      <c r="N7302" s="329">
        <f t="shared" si="458"/>
        <v>459.08259277343768</v>
      </c>
      <c r="T7302" s="331">
        <v>0</v>
      </c>
      <c r="U7302" s="328">
        <f>VLOOKUP(C7302,METADATA!$J$5:$Q$29,IF(E7302="HI",2,IF(E7302="LO",6,10))+IF(T7302=1,2,IF(D7302=7,1,(IF(WEEKDAY(B7302)=1,2,IF(WEEKDAY(B7302)=7,1,0))))))</f>
        <v>3</v>
      </c>
      <c r="V7302" s="328">
        <f>VLOOKUP(C7302,METADATA!$A$5:$H$29,IF(E7302="HI",2,IF(E7302="LO",6,10))+IF(T7302=1,2,IF(D7302=7,1,(IF(WEEKDAY(B7302)=1,2,IF(WEEKDAY(B7302)=7,1,0))))))</f>
        <v>3</v>
      </c>
    </row>
    <row r="7303" spans="2:22">
      <c r="B7303" s="318">
        <f t="shared" si="455"/>
        <v>46417</v>
      </c>
      <c r="C7303" s="312">
        <v>3</v>
      </c>
      <c r="D7303" s="368">
        <f>IFERROR((INDEX(METADATA!$T$2:$T$20,MATCH(B7303,METADATA!$S$2:$S$20,0))),0)</f>
        <v>0</v>
      </c>
      <c r="E7303" s="312" t="str">
        <f t="shared" si="456"/>
        <v>HI</v>
      </c>
      <c r="F7303" s="369">
        <f>VLOOKUP(C7303,METADATA!$A$5:$H$29,IF(E7303="HI",2,IF(E7303="LO",6,10))+IF(D7303=1,2,IF(D7303=7,1,(IF(WEEKDAY(B7303)=1,2,IF(WEEKDAY(B7303)=7,1,0))))))</f>
        <v>3</v>
      </c>
      <c r="G7303" s="369">
        <f>VLOOKUP(C7303,METADATA!$J$5:$Q$29,IF(E7303="HI",2,IF(E7303="LO",6,10))+IF(D7303=1,2,IF(D7303=7,1,(IF(WEEKDAY(B7303)=1,2,IF(WEEKDAY(B7303)=7,1,0))))))</f>
        <v>3</v>
      </c>
      <c r="H7303" s="370">
        <v>13334.524658203125</v>
      </c>
      <c r="I7303" s="370">
        <v>4400.1800537109375</v>
      </c>
      <c r="M7303" s="371">
        <f t="shared" si="457"/>
        <v>14041.76386232523</v>
      </c>
      <c r="N7303" s="329">
        <f t="shared" si="458"/>
        <v>399.82265625000036</v>
      </c>
      <c r="T7303" s="331">
        <v>0</v>
      </c>
      <c r="U7303" s="328">
        <f>VLOOKUP(C7303,METADATA!$J$5:$Q$29,IF(E7303="HI",2,IF(E7303="LO",6,10))+IF(T7303=1,2,IF(D7303=7,1,(IF(WEEKDAY(B7303)=1,2,IF(WEEKDAY(B7303)=7,1,0))))))</f>
        <v>3</v>
      </c>
      <c r="V7303" s="328">
        <f>VLOOKUP(C7303,METADATA!$A$5:$H$29,IF(E7303="HI",2,IF(E7303="LO",6,10))+IF(T7303=1,2,IF(D7303=7,1,(IF(WEEKDAY(B7303)=1,2,IF(WEEKDAY(B7303)=7,1,0))))))</f>
        <v>3</v>
      </c>
    </row>
    <row r="7304" spans="2:22">
      <c r="B7304" s="318">
        <f t="shared" si="455"/>
        <v>46417</v>
      </c>
      <c r="C7304" s="312">
        <v>4</v>
      </c>
      <c r="D7304" s="368">
        <f>IFERROR((INDEX(METADATA!$T$2:$T$20,MATCH(B7304,METADATA!$S$2:$S$20,0))),0)</f>
        <v>0</v>
      </c>
      <c r="E7304" s="312" t="str">
        <f t="shared" si="456"/>
        <v>HI</v>
      </c>
      <c r="F7304" s="369">
        <f>VLOOKUP(C7304,METADATA!$A$5:$H$29,IF(E7304="HI",2,IF(E7304="LO",6,10))+IF(D7304=1,2,IF(D7304=7,1,(IF(WEEKDAY(B7304)=1,2,IF(WEEKDAY(B7304)=7,1,0))))))</f>
        <v>3</v>
      </c>
      <c r="G7304" s="369">
        <f>VLOOKUP(C7304,METADATA!$J$5:$Q$29,IF(E7304="HI",2,IF(E7304="LO",6,10))+IF(D7304=1,2,IF(D7304=7,1,(IF(WEEKDAY(B7304)=1,2,IF(WEEKDAY(B7304)=7,1,0))))))</f>
        <v>3</v>
      </c>
      <c r="H7304" s="370">
        <v>13356.425231933594</v>
      </c>
      <c r="I7304" s="370">
        <v>4363.070068359375</v>
      </c>
      <c r="M7304" s="371">
        <f t="shared" si="457"/>
        <v>14050.995530482736</v>
      </c>
      <c r="N7304" s="329">
        <f t="shared" si="458"/>
        <v>356.14249877929706</v>
      </c>
      <c r="T7304" s="331">
        <v>0</v>
      </c>
      <c r="U7304" s="328">
        <f>VLOOKUP(C7304,METADATA!$J$5:$Q$29,IF(E7304="HI",2,IF(E7304="LO",6,10))+IF(T7304=1,2,IF(D7304=7,1,(IF(WEEKDAY(B7304)=1,2,IF(WEEKDAY(B7304)=7,1,0))))))</f>
        <v>3</v>
      </c>
      <c r="V7304" s="328">
        <f>VLOOKUP(C7304,METADATA!$A$5:$H$29,IF(E7304="HI",2,IF(E7304="LO",6,10))+IF(T7304=1,2,IF(D7304=7,1,(IF(WEEKDAY(B7304)=1,2,IF(WEEKDAY(B7304)=7,1,0))))))</f>
        <v>3</v>
      </c>
    </row>
    <row r="7305" spans="2:22">
      <c r="B7305" s="318">
        <f t="shared" si="455"/>
        <v>46417</v>
      </c>
      <c r="C7305" s="312">
        <v>5</v>
      </c>
      <c r="D7305" s="368">
        <f>IFERROR((INDEX(METADATA!$T$2:$T$20,MATCH(B7305,METADATA!$S$2:$S$20,0))),0)</f>
        <v>0</v>
      </c>
      <c r="E7305" s="312" t="str">
        <f t="shared" si="456"/>
        <v>HI</v>
      </c>
      <c r="F7305" s="369">
        <f>VLOOKUP(C7305,METADATA!$A$5:$H$29,IF(E7305="HI",2,IF(E7305="LO",6,10))+IF(D7305=1,2,IF(D7305=7,1,(IF(WEEKDAY(B7305)=1,2,IF(WEEKDAY(B7305)=7,1,0))))))</f>
        <v>3</v>
      </c>
      <c r="G7305" s="369">
        <f>VLOOKUP(C7305,METADATA!$J$5:$Q$29,IF(E7305="HI",2,IF(E7305="LO",6,10))+IF(D7305=1,2,IF(D7305=7,1,(IF(WEEKDAY(B7305)=1,2,IF(WEEKDAY(B7305)=7,1,0))))))</f>
        <v>3</v>
      </c>
      <c r="H7305" s="370">
        <v>13354.525146484375</v>
      </c>
      <c r="I7305" s="370">
        <v>4324.8299560546875</v>
      </c>
      <c r="M7305" s="371">
        <f t="shared" si="457"/>
        <v>14037.360721904652</v>
      </c>
      <c r="N7305" s="329">
        <f t="shared" si="458"/>
        <v>318.472412109375</v>
      </c>
      <c r="T7305" s="331">
        <v>0</v>
      </c>
      <c r="U7305" s="328">
        <f>VLOOKUP(C7305,METADATA!$J$5:$Q$29,IF(E7305="HI",2,IF(E7305="LO",6,10))+IF(T7305=1,2,IF(D7305=7,1,(IF(WEEKDAY(B7305)=1,2,IF(WEEKDAY(B7305)=7,1,0))))))</f>
        <v>3</v>
      </c>
      <c r="V7305" s="328">
        <f>VLOOKUP(C7305,METADATA!$A$5:$H$29,IF(E7305="HI",2,IF(E7305="LO",6,10))+IF(T7305=1,2,IF(D7305=7,1,(IF(WEEKDAY(B7305)=1,2,IF(WEEKDAY(B7305)=7,1,0))))))</f>
        <v>3</v>
      </c>
    </row>
    <row r="7306" spans="2:22">
      <c r="B7306" s="318">
        <f t="shared" si="455"/>
        <v>46417</v>
      </c>
      <c r="C7306" s="312">
        <v>6</v>
      </c>
      <c r="D7306" s="368">
        <f>IFERROR((INDEX(METADATA!$T$2:$T$20,MATCH(B7306,METADATA!$S$2:$S$20,0))),0)</f>
        <v>0</v>
      </c>
      <c r="E7306" s="312" t="str">
        <f t="shared" si="456"/>
        <v>HI</v>
      </c>
      <c r="F7306" s="369">
        <f>VLOOKUP(C7306,METADATA!$A$5:$H$29,IF(E7306="HI",2,IF(E7306="LO",6,10))+IF(D7306=1,2,IF(D7306=7,1,(IF(WEEKDAY(B7306)=1,2,IF(WEEKDAY(B7306)=7,1,0))))))</f>
        <v>3</v>
      </c>
      <c r="G7306" s="369">
        <f>VLOOKUP(C7306,METADATA!$J$5:$Q$29,IF(E7306="HI",2,IF(E7306="LO",6,10))+IF(D7306=1,2,IF(D7306=7,1,(IF(WEEKDAY(B7306)=1,2,IF(WEEKDAY(B7306)=7,1,0))))))</f>
        <v>3</v>
      </c>
      <c r="H7306" s="370">
        <v>13480.974670410156</v>
      </c>
      <c r="I7306" s="370">
        <v>4404.6800537109375</v>
      </c>
      <c r="M7306" s="371">
        <f t="shared" si="457"/>
        <v>14182.308854336772</v>
      </c>
      <c r="N7306" s="329">
        <f t="shared" si="458"/>
        <v>360.3876525878909</v>
      </c>
      <c r="T7306" s="331">
        <v>0</v>
      </c>
      <c r="U7306" s="328">
        <f>VLOOKUP(C7306,METADATA!$J$5:$Q$29,IF(E7306="HI",2,IF(E7306="LO",6,10))+IF(T7306=1,2,IF(D7306=7,1,(IF(WEEKDAY(B7306)=1,2,IF(WEEKDAY(B7306)=7,1,0))))))</f>
        <v>3</v>
      </c>
      <c r="V7306" s="328">
        <f>VLOOKUP(C7306,METADATA!$A$5:$H$29,IF(E7306="HI",2,IF(E7306="LO",6,10))+IF(T7306=1,2,IF(D7306=7,1,(IF(WEEKDAY(B7306)=1,2,IF(WEEKDAY(B7306)=7,1,0))))))</f>
        <v>3</v>
      </c>
    </row>
    <row r="7307" spans="2:22">
      <c r="B7307" s="318">
        <f t="shared" si="455"/>
        <v>46417</v>
      </c>
      <c r="C7307" s="312">
        <v>7</v>
      </c>
      <c r="D7307" s="368">
        <f>IFERROR((INDEX(METADATA!$T$2:$T$20,MATCH(B7307,METADATA!$S$2:$S$20,0))),0)</f>
        <v>0</v>
      </c>
      <c r="E7307" s="312" t="str">
        <f t="shared" si="456"/>
        <v>HI</v>
      </c>
      <c r="F7307" s="369">
        <f>VLOOKUP(C7307,METADATA!$A$5:$H$29,IF(E7307="HI",2,IF(E7307="LO",6,10))+IF(D7307=1,2,IF(D7307=7,1,(IF(WEEKDAY(B7307)=1,2,IF(WEEKDAY(B7307)=7,1,0))))))</f>
        <v>2</v>
      </c>
      <c r="G7307" s="369">
        <f>VLOOKUP(C7307,METADATA!$J$5:$Q$29,IF(E7307="HI",2,IF(E7307="LO",6,10))+IF(D7307=1,2,IF(D7307=7,1,(IF(WEEKDAY(B7307)=1,2,IF(WEEKDAY(B7307)=7,1,0))))))</f>
        <v>2</v>
      </c>
      <c r="H7307" s="370">
        <v>13320.274841308594</v>
      </c>
      <c r="I7307" s="370">
        <v>4329.0250549316406</v>
      </c>
      <c r="M7307" s="371">
        <f t="shared" si="457"/>
        <v>14006.076530357264</v>
      </c>
      <c r="N7307" s="329">
        <f t="shared" si="458"/>
        <v>332.94260253906259</v>
      </c>
      <c r="T7307" s="331">
        <v>0</v>
      </c>
      <c r="U7307" s="328">
        <f>VLOOKUP(C7307,METADATA!$J$5:$Q$29,IF(E7307="HI",2,IF(E7307="LO",6,10))+IF(T7307=1,2,IF(D7307=7,1,(IF(WEEKDAY(B7307)=1,2,IF(WEEKDAY(B7307)=7,1,0))))))</f>
        <v>2</v>
      </c>
      <c r="V7307" s="328">
        <f>VLOOKUP(C7307,METADATA!$A$5:$H$29,IF(E7307="HI",2,IF(E7307="LO",6,10))+IF(T7307=1,2,IF(D7307=7,1,(IF(WEEKDAY(B7307)=1,2,IF(WEEKDAY(B7307)=7,1,0))))))</f>
        <v>2</v>
      </c>
    </row>
    <row r="7308" spans="2:22">
      <c r="B7308" s="318">
        <f t="shared" si="455"/>
        <v>46417</v>
      </c>
      <c r="C7308" s="312">
        <v>8</v>
      </c>
      <c r="D7308" s="368">
        <f>IFERROR((INDEX(METADATA!$T$2:$T$20,MATCH(B7308,METADATA!$S$2:$S$20,0))),0)</f>
        <v>0</v>
      </c>
      <c r="E7308" s="312" t="str">
        <f t="shared" si="456"/>
        <v>HI</v>
      </c>
      <c r="F7308" s="369">
        <f>VLOOKUP(C7308,METADATA!$A$5:$H$29,IF(E7308="HI",2,IF(E7308="LO",6,10))+IF(D7308=1,2,IF(D7308=7,1,(IF(WEEKDAY(B7308)=1,2,IF(WEEKDAY(B7308)=7,1,0))))))</f>
        <v>2</v>
      </c>
      <c r="G7308" s="369">
        <f>VLOOKUP(C7308,METADATA!$J$5:$Q$29,IF(E7308="HI",2,IF(E7308="LO",6,10))+IF(D7308=1,2,IF(D7308=7,1,(IF(WEEKDAY(B7308)=1,2,IF(WEEKDAY(B7308)=7,1,0))))))</f>
        <v>2</v>
      </c>
      <c r="H7308" s="370">
        <v>13492.200378417969</v>
      </c>
      <c r="I7308" s="370">
        <v>4262.18994140625</v>
      </c>
      <c r="M7308" s="371">
        <f t="shared" si="457"/>
        <v>14149.407554664846</v>
      </c>
      <c r="N7308" s="329">
        <f t="shared" si="458"/>
        <v>214.52982788085956</v>
      </c>
      <c r="T7308" s="331">
        <v>0</v>
      </c>
      <c r="U7308" s="328">
        <f>VLOOKUP(C7308,METADATA!$J$5:$Q$29,IF(E7308="HI",2,IF(E7308="LO",6,10))+IF(T7308=1,2,IF(D7308=7,1,(IF(WEEKDAY(B7308)=1,2,IF(WEEKDAY(B7308)=7,1,0))))))</f>
        <v>2</v>
      </c>
      <c r="V7308" s="328">
        <f>VLOOKUP(C7308,METADATA!$A$5:$H$29,IF(E7308="HI",2,IF(E7308="LO",6,10))+IF(T7308=1,2,IF(D7308=7,1,(IF(WEEKDAY(B7308)=1,2,IF(WEEKDAY(B7308)=7,1,0))))))</f>
        <v>2</v>
      </c>
    </row>
    <row r="7309" spans="2:22">
      <c r="B7309" s="318">
        <f t="shared" si="455"/>
        <v>46417</v>
      </c>
      <c r="C7309" s="312">
        <v>9</v>
      </c>
      <c r="D7309" s="368">
        <f>IFERROR((INDEX(METADATA!$T$2:$T$20,MATCH(B7309,METADATA!$S$2:$S$20,0))),0)</f>
        <v>0</v>
      </c>
      <c r="E7309" s="312" t="str">
        <f t="shared" si="456"/>
        <v>HI</v>
      </c>
      <c r="F7309" s="369">
        <f>VLOOKUP(C7309,METADATA!$A$5:$H$29,IF(E7309="HI",2,IF(E7309="LO",6,10))+IF(D7309=1,2,IF(D7309=7,1,(IF(WEEKDAY(B7309)=1,2,IF(WEEKDAY(B7309)=7,1,0))))))</f>
        <v>2</v>
      </c>
      <c r="G7309" s="369">
        <f>VLOOKUP(C7309,METADATA!$J$5:$Q$29,IF(E7309="HI",2,IF(E7309="LO",6,10))+IF(D7309=1,2,IF(D7309=7,1,(IF(WEEKDAY(B7309)=1,2,IF(WEEKDAY(B7309)=7,1,0))))))</f>
        <v>2</v>
      </c>
      <c r="H7309" s="370">
        <v>13357.449951171875</v>
      </c>
      <c r="I7309" s="370">
        <v>4299.0950012207031</v>
      </c>
      <c r="M7309" s="371">
        <f t="shared" si="457"/>
        <v>14032.23742058202</v>
      </c>
      <c r="N7309" s="329">
        <f t="shared" si="458"/>
        <v>291.86001586914063</v>
      </c>
      <c r="T7309" s="331">
        <v>0</v>
      </c>
      <c r="U7309" s="328">
        <f>VLOOKUP(C7309,METADATA!$J$5:$Q$29,IF(E7309="HI",2,IF(E7309="LO",6,10))+IF(T7309=1,2,IF(D7309=7,1,(IF(WEEKDAY(B7309)=1,2,IF(WEEKDAY(B7309)=7,1,0))))))</f>
        <v>2</v>
      </c>
      <c r="V7309" s="328">
        <f>VLOOKUP(C7309,METADATA!$A$5:$H$29,IF(E7309="HI",2,IF(E7309="LO",6,10))+IF(T7309=1,2,IF(D7309=7,1,(IF(WEEKDAY(B7309)=1,2,IF(WEEKDAY(B7309)=7,1,0))))))</f>
        <v>2</v>
      </c>
    </row>
    <row r="7310" spans="2:22">
      <c r="B7310" s="318">
        <f t="shared" si="455"/>
        <v>46417</v>
      </c>
      <c r="C7310" s="312">
        <v>10</v>
      </c>
      <c r="D7310" s="368">
        <f>IFERROR((INDEX(METADATA!$T$2:$T$20,MATCH(B7310,METADATA!$S$2:$S$20,0))),0)</f>
        <v>0</v>
      </c>
      <c r="E7310" s="312" t="str">
        <f t="shared" si="456"/>
        <v>HI</v>
      </c>
      <c r="F7310" s="369">
        <f>VLOOKUP(C7310,METADATA!$A$5:$H$29,IF(E7310="HI",2,IF(E7310="LO",6,10))+IF(D7310=1,2,IF(D7310=7,1,(IF(WEEKDAY(B7310)=1,2,IF(WEEKDAY(B7310)=7,1,0))))))</f>
        <v>2</v>
      </c>
      <c r="G7310" s="369">
        <f>VLOOKUP(C7310,METADATA!$J$5:$Q$29,IF(E7310="HI",2,IF(E7310="LO",6,10))+IF(D7310=1,2,IF(D7310=7,1,(IF(WEEKDAY(B7310)=1,2,IF(WEEKDAY(B7310)=7,1,0))))))</f>
        <v>2</v>
      </c>
      <c r="H7310" s="370">
        <v>13371.02490234375</v>
      </c>
      <c r="I7310" s="370">
        <v>4416.0550537109375</v>
      </c>
      <c r="M7310" s="371">
        <f t="shared" si="457"/>
        <v>14081.400824367673</v>
      </c>
      <c r="N7310" s="329">
        <f t="shared" si="458"/>
        <v>404.74758300781286</v>
      </c>
      <c r="T7310" s="331">
        <v>0</v>
      </c>
      <c r="U7310" s="328">
        <f>VLOOKUP(C7310,METADATA!$J$5:$Q$29,IF(E7310="HI",2,IF(E7310="LO",6,10))+IF(T7310=1,2,IF(D7310=7,1,(IF(WEEKDAY(B7310)=1,2,IF(WEEKDAY(B7310)=7,1,0))))))</f>
        <v>2</v>
      </c>
      <c r="V7310" s="328">
        <f>VLOOKUP(C7310,METADATA!$A$5:$H$29,IF(E7310="HI",2,IF(E7310="LO",6,10))+IF(T7310=1,2,IF(D7310=7,1,(IF(WEEKDAY(B7310)=1,2,IF(WEEKDAY(B7310)=7,1,0))))))</f>
        <v>2</v>
      </c>
    </row>
    <row r="7311" spans="2:22">
      <c r="B7311" s="318">
        <f t="shared" si="455"/>
        <v>46417</v>
      </c>
      <c r="C7311" s="312">
        <v>11</v>
      </c>
      <c r="D7311" s="368">
        <f>IFERROR((INDEX(METADATA!$T$2:$T$20,MATCH(B7311,METADATA!$S$2:$S$20,0))),0)</f>
        <v>0</v>
      </c>
      <c r="E7311" s="312" t="str">
        <f t="shared" si="456"/>
        <v>HI</v>
      </c>
      <c r="F7311" s="369">
        <f>VLOOKUP(C7311,METADATA!$A$5:$H$29,IF(E7311="HI",2,IF(E7311="LO",6,10))+IF(D7311=1,2,IF(D7311=7,1,(IF(WEEKDAY(B7311)=1,2,IF(WEEKDAY(B7311)=7,1,0))))))</f>
        <v>2</v>
      </c>
      <c r="G7311" s="369">
        <f>VLOOKUP(C7311,METADATA!$J$5:$Q$29,IF(E7311="HI",2,IF(E7311="LO",6,10))+IF(D7311=1,2,IF(D7311=7,1,(IF(WEEKDAY(B7311)=1,2,IF(WEEKDAY(B7311)=7,1,0))))))</f>
        <v>2</v>
      </c>
      <c r="H7311" s="370">
        <v>13249.999938964844</v>
      </c>
      <c r="I7311" s="370">
        <v>4382.3050537109375</v>
      </c>
      <c r="M7311" s="371">
        <f t="shared" si="457"/>
        <v>13955.898250071501</v>
      </c>
      <c r="N7311" s="329">
        <f t="shared" si="458"/>
        <v>407.30507202148465</v>
      </c>
      <c r="T7311" s="331">
        <v>0</v>
      </c>
      <c r="U7311" s="328">
        <f>VLOOKUP(C7311,METADATA!$J$5:$Q$29,IF(E7311="HI",2,IF(E7311="LO",6,10))+IF(T7311=1,2,IF(D7311=7,1,(IF(WEEKDAY(B7311)=1,2,IF(WEEKDAY(B7311)=7,1,0))))))</f>
        <v>2</v>
      </c>
      <c r="V7311" s="328">
        <f>VLOOKUP(C7311,METADATA!$A$5:$H$29,IF(E7311="HI",2,IF(E7311="LO",6,10))+IF(T7311=1,2,IF(D7311=7,1,(IF(WEEKDAY(B7311)=1,2,IF(WEEKDAY(B7311)=7,1,0))))))</f>
        <v>2</v>
      </c>
    </row>
    <row r="7312" spans="2:22">
      <c r="B7312" s="318">
        <f t="shared" si="455"/>
        <v>46417</v>
      </c>
      <c r="C7312" s="312">
        <v>12</v>
      </c>
      <c r="D7312" s="368">
        <f>IFERROR((INDEX(METADATA!$T$2:$T$20,MATCH(B7312,METADATA!$S$2:$S$20,0))),0)</f>
        <v>0</v>
      </c>
      <c r="E7312" s="312" t="str">
        <f t="shared" si="456"/>
        <v>HI</v>
      </c>
      <c r="F7312" s="369">
        <f>VLOOKUP(C7312,METADATA!$A$5:$H$29,IF(E7312="HI",2,IF(E7312="LO",6,10))+IF(D7312=1,2,IF(D7312=7,1,(IF(WEEKDAY(B7312)=1,2,IF(WEEKDAY(B7312)=7,1,0))))))</f>
        <v>3</v>
      </c>
      <c r="G7312" s="369">
        <f>VLOOKUP(C7312,METADATA!$J$5:$Q$29,IF(E7312="HI",2,IF(E7312="LO",6,10))+IF(D7312=1,2,IF(D7312=7,1,(IF(WEEKDAY(B7312)=1,2,IF(WEEKDAY(B7312)=7,1,0))))))</f>
        <v>3</v>
      </c>
      <c r="H7312" s="370">
        <v>13227.075073242188</v>
      </c>
      <c r="I7312" s="370">
        <v>4327.39501953125</v>
      </c>
      <c r="M7312" s="371">
        <f t="shared" si="457"/>
        <v>13916.963125921138</v>
      </c>
      <c r="N7312" s="329">
        <f t="shared" si="458"/>
        <v>359.27249755859384</v>
      </c>
      <c r="T7312" s="331">
        <v>0</v>
      </c>
      <c r="U7312" s="328">
        <f>VLOOKUP(C7312,METADATA!$J$5:$Q$29,IF(E7312="HI",2,IF(E7312="LO",6,10))+IF(T7312=1,2,IF(D7312=7,1,(IF(WEEKDAY(B7312)=1,2,IF(WEEKDAY(B7312)=7,1,0))))))</f>
        <v>3</v>
      </c>
      <c r="V7312" s="328">
        <f>VLOOKUP(C7312,METADATA!$A$5:$H$29,IF(E7312="HI",2,IF(E7312="LO",6,10))+IF(T7312=1,2,IF(D7312=7,1,(IF(WEEKDAY(B7312)=1,2,IF(WEEKDAY(B7312)=7,1,0))))))</f>
        <v>3</v>
      </c>
    </row>
    <row r="7313" spans="2:22">
      <c r="B7313" s="318">
        <f t="shared" si="455"/>
        <v>46417</v>
      </c>
      <c r="C7313" s="312">
        <v>13</v>
      </c>
      <c r="D7313" s="368">
        <f>IFERROR((INDEX(METADATA!$T$2:$T$20,MATCH(B7313,METADATA!$S$2:$S$20,0))),0)</f>
        <v>0</v>
      </c>
      <c r="E7313" s="312" t="str">
        <f t="shared" si="456"/>
        <v>HI</v>
      </c>
      <c r="F7313" s="369">
        <f>VLOOKUP(C7313,METADATA!$A$5:$H$29,IF(E7313="HI",2,IF(E7313="LO",6,10))+IF(D7313=1,2,IF(D7313=7,1,(IF(WEEKDAY(B7313)=1,2,IF(WEEKDAY(B7313)=7,1,0))))))</f>
        <v>3</v>
      </c>
      <c r="G7313" s="369">
        <f>VLOOKUP(C7313,METADATA!$J$5:$Q$29,IF(E7313="HI",2,IF(E7313="LO",6,10))+IF(D7313=1,2,IF(D7313=7,1,(IF(WEEKDAY(B7313)=1,2,IF(WEEKDAY(B7313)=7,1,0))))))</f>
        <v>3</v>
      </c>
      <c r="H7313" s="370">
        <v>13335.925048828125</v>
      </c>
      <c r="I7313" s="370">
        <v>4432.5099182128906</v>
      </c>
      <c r="M7313" s="371">
        <f t="shared" si="457"/>
        <v>14053.257312204067</v>
      </c>
      <c r="N7313" s="329">
        <f t="shared" si="458"/>
        <v>431.73240356445331</v>
      </c>
      <c r="T7313" s="331">
        <v>0</v>
      </c>
      <c r="U7313" s="328">
        <f>VLOOKUP(C7313,METADATA!$J$5:$Q$29,IF(E7313="HI",2,IF(E7313="LO",6,10))+IF(T7313=1,2,IF(D7313=7,1,(IF(WEEKDAY(B7313)=1,2,IF(WEEKDAY(B7313)=7,1,0))))))</f>
        <v>3</v>
      </c>
      <c r="V7313" s="328">
        <f>VLOOKUP(C7313,METADATA!$A$5:$H$29,IF(E7313="HI",2,IF(E7313="LO",6,10))+IF(T7313=1,2,IF(D7313=7,1,(IF(WEEKDAY(B7313)=1,2,IF(WEEKDAY(B7313)=7,1,0))))))</f>
        <v>3</v>
      </c>
    </row>
    <row r="7314" spans="2:22">
      <c r="B7314" s="318">
        <f t="shared" si="455"/>
        <v>46417</v>
      </c>
      <c r="C7314" s="312">
        <v>14</v>
      </c>
      <c r="D7314" s="368">
        <f>IFERROR((INDEX(METADATA!$T$2:$T$20,MATCH(B7314,METADATA!$S$2:$S$20,0))),0)</f>
        <v>0</v>
      </c>
      <c r="E7314" s="312" t="str">
        <f t="shared" si="456"/>
        <v>HI</v>
      </c>
      <c r="F7314" s="369">
        <f>VLOOKUP(C7314,METADATA!$A$5:$H$29,IF(E7314="HI",2,IF(E7314="LO",6,10))+IF(D7314=1,2,IF(D7314=7,1,(IF(WEEKDAY(B7314)=1,2,IF(WEEKDAY(B7314)=7,1,0))))))</f>
        <v>3</v>
      </c>
      <c r="G7314" s="369">
        <f>VLOOKUP(C7314,METADATA!$J$5:$Q$29,IF(E7314="HI",2,IF(E7314="LO",6,10))+IF(D7314=1,2,IF(D7314=7,1,(IF(WEEKDAY(B7314)=1,2,IF(WEEKDAY(B7314)=7,1,0))))))</f>
        <v>3</v>
      </c>
      <c r="H7314" s="370">
        <v>13410.349914550781</v>
      </c>
      <c r="I7314" s="370">
        <v>4454.6749877929688</v>
      </c>
      <c r="M7314" s="371">
        <f t="shared" si="457"/>
        <v>14130.874497976423</v>
      </c>
      <c r="N7314" s="329">
        <f t="shared" si="458"/>
        <v>431.57001342773447</v>
      </c>
      <c r="T7314" s="331">
        <v>0</v>
      </c>
      <c r="U7314" s="328">
        <f>VLOOKUP(C7314,METADATA!$J$5:$Q$29,IF(E7314="HI",2,IF(E7314="LO",6,10))+IF(T7314=1,2,IF(D7314=7,1,(IF(WEEKDAY(B7314)=1,2,IF(WEEKDAY(B7314)=7,1,0))))))</f>
        <v>3</v>
      </c>
      <c r="V7314" s="328">
        <f>VLOOKUP(C7314,METADATA!$A$5:$H$29,IF(E7314="HI",2,IF(E7314="LO",6,10))+IF(T7314=1,2,IF(D7314=7,1,(IF(WEEKDAY(B7314)=1,2,IF(WEEKDAY(B7314)=7,1,0))))))</f>
        <v>3</v>
      </c>
    </row>
    <row r="7315" spans="2:22">
      <c r="B7315" s="318">
        <f t="shared" si="455"/>
        <v>46417</v>
      </c>
      <c r="C7315" s="312">
        <v>15</v>
      </c>
      <c r="D7315" s="368">
        <f>IFERROR((INDEX(METADATA!$T$2:$T$20,MATCH(B7315,METADATA!$S$2:$S$20,0))),0)</f>
        <v>0</v>
      </c>
      <c r="E7315" s="312" t="str">
        <f t="shared" si="456"/>
        <v>HI</v>
      </c>
      <c r="F7315" s="369">
        <f>VLOOKUP(C7315,METADATA!$A$5:$H$29,IF(E7315="HI",2,IF(E7315="LO",6,10))+IF(D7315=1,2,IF(D7315=7,1,(IF(WEEKDAY(B7315)=1,2,IF(WEEKDAY(B7315)=7,1,0))))))</f>
        <v>3</v>
      </c>
      <c r="G7315" s="369">
        <f>VLOOKUP(C7315,METADATA!$J$5:$Q$29,IF(E7315="HI",2,IF(E7315="LO",6,10))+IF(D7315=1,2,IF(D7315=7,1,(IF(WEEKDAY(B7315)=1,2,IF(WEEKDAY(B7315)=7,1,0))))))</f>
        <v>3</v>
      </c>
      <c r="H7315" s="370">
        <v>13531.749816894531</v>
      </c>
      <c r="I7315" s="370">
        <v>4557.4599609375</v>
      </c>
      <c r="M7315" s="371">
        <f t="shared" si="457"/>
        <v>14278.609680307591</v>
      </c>
      <c r="N7315" s="329">
        <f t="shared" si="458"/>
        <v>497.9350158691409</v>
      </c>
      <c r="T7315" s="331">
        <v>0</v>
      </c>
      <c r="U7315" s="328">
        <f>VLOOKUP(C7315,METADATA!$J$5:$Q$29,IF(E7315="HI",2,IF(E7315="LO",6,10))+IF(T7315=1,2,IF(D7315=7,1,(IF(WEEKDAY(B7315)=1,2,IF(WEEKDAY(B7315)=7,1,0))))))</f>
        <v>3</v>
      </c>
      <c r="V7315" s="328">
        <f>VLOOKUP(C7315,METADATA!$A$5:$H$29,IF(E7315="HI",2,IF(E7315="LO",6,10))+IF(T7315=1,2,IF(D7315=7,1,(IF(WEEKDAY(B7315)=1,2,IF(WEEKDAY(B7315)=7,1,0))))))</f>
        <v>3</v>
      </c>
    </row>
    <row r="7316" spans="2:22">
      <c r="B7316" s="318">
        <f t="shared" si="455"/>
        <v>46417</v>
      </c>
      <c r="C7316" s="312">
        <v>16</v>
      </c>
      <c r="D7316" s="368">
        <f>IFERROR((INDEX(METADATA!$T$2:$T$20,MATCH(B7316,METADATA!$S$2:$S$20,0))),0)</f>
        <v>0</v>
      </c>
      <c r="E7316" s="312" t="str">
        <f t="shared" si="456"/>
        <v>HI</v>
      </c>
      <c r="F7316" s="369">
        <f>VLOOKUP(C7316,METADATA!$A$5:$H$29,IF(E7316="HI",2,IF(E7316="LO",6,10))+IF(D7316=1,2,IF(D7316=7,1,(IF(WEEKDAY(B7316)=1,2,IF(WEEKDAY(B7316)=7,1,0))))))</f>
        <v>3</v>
      </c>
      <c r="G7316" s="369">
        <f>VLOOKUP(C7316,METADATA!$J$5:$Q$29,IF(E7316="HI",2,IF(E7316="LO",6,10))+IF(D7316=1,2,IF(D7316=7,1,(IF(WEEKDAY(B7316)=1,2,IF(WEEKDAY(B7316)=7,1,0))))))</f>
        <v>3</v>
      </c>
      <c r="H7316" s="370">
        <v>13736.874816894531</v>
      </c>
      <c r="I7316" s="370">
        <v>4541.574951171875</v>
      </c>
      <c r="M7316" s="371">
        <f t="shared" si="457"/>
        <v>14468.159273803389</v>
      </c>
      <c r="N7316" s="329">
        <f t="shared" si="458"/>
        <v>420.51250610351599</v>
      </c>
      <c r="T7316" s="331">
        <v>0</v>
      </c>
      <c r="U7316" s="328">
        <f>VLOOKUP(C7316,METADATA!$J$5:$Q$29,IF(E7316="HI",2,IF(E7316="LO",6,10))+IF(T7316=1,2,IF(D7316=7,1,(IF(WEEKDAY(B7316)=1,2,IF(WEEKDAY(B7316)=7,1,0))))))</f>
        <v>3</v>
      </c>
      <c r="V7316" s="328">
        <f>VLOOKUP(C7316,METADATA!$A$5:$H$29,IF(E7316="HI",2,IF(E7316="LO",6,10))+IF(T7316=1,2,IF(D7316=7,1,(IF(WEEKDAY(B7316)=1,2,IF(WEEKDAY(B7316)=7,1,0))))))</f>
        <v>3</v>
      </c>
    </row>
    <row r="7317" spans="2:22">
      <c r="B7317" s="318">
        <f t="shared" si="455"/>
        <v>46417</v>
      </c>
      <c r="C7317" s="312">
        <v>17</v>
      </c>
      <c r="D7317" s="368">
        <f>IFERROR((INDEX(METADATA!$T$2:$T$20,MATCH(B7317,METADATA!$S$2:$S$20,0))),0)</f>
        <v>0</v>
      </c>
      <c r="E7317" s="312" t="str">
        <f t="shared" si="456"/>
        <v>HI</v>
      </c>
      <c r="F7317" s="369">
        <f>VLOOKUP(C7317,METADATA!$A$5:$H$29,IF(E7317="HI",2,IF(E7317="LO",6,10))+IF(D7317=1,2,IF(D7317=7,1,(IF(WEEKDAY(B7317)=1,2,IF(WEEKDAY(B7317)=7,1,0))))))</f>
        <v>2</v>
      </c>
      <c r="G7317" s="369">
        <f>VLOOKUP(C7317,METADATA!$J$5:$Q$29,IF(E7317="HI",2,IF(E7317="LO",6,10))+IF(D7317=1,2,IF(D7317=7,1,(IF(WEEKDAY(B7317)=1,2,IF(WEEKDAY(B7317)=7,1,0))))))</f>
        <v>2</v>
      </c>
      <c r="H7317" s="370">
        <v>13673.400085449219</v>
      </c>
      <c r="I7317" s="370">
        <v>4498.5850219726563</v>
      </c>
      <c r="M7317" s="371">
        <f t="shared" si="457"/>
        <v>14394.413398839128</v>
      </c>
      <c r="N7317" s="329">
        <f t="shared" si="458"/>
        <v>396.56499633789099</v>
      </c>
      <c r="T7317" s="331">
        <v>0</v>
      </c>
      <c r="U7317" s="328">
        <f>VLOOKUP(C7317,METADATA!$J$5:$Q$29,IF(E7317="HI",2,IF(E7317="LO",6,10))+IF(T7317=1,2,IF(D7317=7,1,(IF(WEEKDAY(B7317)=1,2,IF(WEEKDAY(B7317)=7,1,0))))))</f>
        <v>2</v>
      </c>
      <c r="V7317" s="328">
        <f>VLOOKUP(C7317,METADATA!$A$5:$H$29,IF(E7317="HI",2,IF(E7317="LO",6,10))+IF(T7317=1,2,IF(D7317=7,1,(IF(WEEKDAY(B7317)=1,2,IF(WEEKDAY(B7317)=7,1,0))))))</f>
        <v>2</v>
      </c>
    </row>
    <row r="7318" spans="2:22">
      <c r="B7318" s="318">
        <f t="shared" si="455"/>
        <v>46417</v>
      </c>
      <c r="C7318" s="312">
        <v>18</v>
      </c>
      <c r="D7318" s="368">
        <f>IFERROR((INDEX(METADATA!$T$2:$T$20,MATCH(B7318,METADATA!$S$2:$S$20,0))),0)</f>
        <v>0</v>
      </c>
      <c r="E7318" s="312" t="str">
        <f t="shared" si="456"/>
        <v>HI</v>
      </c>
      <c r="F7318" s="369">
        <f>VLOOKUP(C7318,METADATA!$A$5:$H$29,IF(E7318="HI",2,IF(E7318="LO",6,10))+IF(D7318=1,2,IF(D7318=7,1,(IF(WEEKDAY(B7318)=1,2,IF(WEEKDAY(B7318)=7,1,0))))))</f>
        <v>2</v>
      </c>
      <c r="G7318" s="369">
        <f>VLOOKUP(C7318,METADATA!$J$5:$Q$29,IF(E7318="HI",2,IF(E7318="LO",6,10))+IF(D7318=1,2,IF(D7318=7,1,(IF(WEEKDAY(B7318)=1,2,IF(WEEKDAY(B7318)=7,1,0))))))</f>
        <v>2</v>
      </c>
      <c r="H7318" s="370">
        <v>13555.125</v>
      </c>
      <c r="I7318" s="370">
        <v>4411.8700256347656</v>
      </c>
      <c r="M7318" s="371">
        <f t="shared" si="457"/>
        <v>14255.034580411213</v>
      </c>
      <c r="N7318" s="329">
        <f t="shared" si="458"/>
        <v>345.33252563476572</v>
      </c>
      <c r="T7318" s="331">
        <v>0</v>
      </c>
      <c r="U7318" s="328">
        <f>VLOOKUP(C7318,METADATA!$J$5:$Q$29,IF(E7318="HI",2,IF(E7318="LO",6,10))+IF(T7318=1,2,IF(D7318=7,1,(IF(WEEKDAY(B7318)=1,2,IF(WEEKDAY(B7318)=7,1,0))))))</f>
        <v>2</v>
      </c>
      <c r="V7318" s="328">
        <f>VLOOKUP(C7318,METADATA!$A$5:$H$29,IF(E7318="HI",2,IF(E7318="LO",6,10))+IF(T7318=1,2,IF(D7318=7,1,(IF(WEEKDAY(B7318)=1,2,IF(WEEKDAY(B7318)=7,1,0))))))</f>
        <v>2</v>
      </c>
    </row>
    <row r="7319" spans="2:22">
      <c r="B7319" s="318">
        <f t="shared" si="455"/>
        <v>46417</v>
      </c>
      <c r="C7319" s="312">
        <v>19</v>
      </c>
      <c r="D7319" s="368">
        <f>IFERROR((INDEX(METADATA!$T$2:$T$20,MATCH(B7319,METADATA!$S$2:$S$20,0))),0)</f>
        <v>0</v>
      </c>
      <c r="E7319" s="312" t="str">
        <f t="shared" si="456"/>
        <v>HI</v>
      </c>
      <c r="F7319" s="369">
        <f>VLOOKUP(C7319,METADATA!$A$5:$H$29,IF(E7319="HI",2,IF(E7319="LO",6,10))+IF(D7319=1,2,IF(D7319=7,1,(IF(WEEKDAY(B7319)=1,2,IF(WEEKDAY(B7319)=7,1,0))))))</f>
        <v>3</v>
      </c>
      <c r="G7319" s="369">
        <f>VLOOKUP(C7319,METADATA!$J$5:$Q$29,IF(E7319="HI",2,IF(E7319="LO",6,10))+IF(D7319=1,2,IF(D7319=7,1,(IF(WEEKDAY(B7319)=1,2,IF(WEEKDAY(B7319)=7,1,0))))))</f>
        <v>3</v>
      </c>
      <c r="H7319" s="370">
        <v>13345.075012207031</v>
      </c>
      <c r="I7319" s="370">
        <v>4362.8250427246094</v>
      </c>
      <c r="M7319" s="371">
        <f t="shared" si="457"/>
        <v>14040.130677271402</v>
      </c>
      <c r="N7319" s="329">
        <f t="shared" si="458"/>
        <v>359.30253906250027</v>
      </c>
      <c r="T7319" s="331">
        <v>0</v>
      </c>
      <c r="U7319" s="328">
        <f>VLOOKUP(C7319,METADATA!$J$5:$Q$29,IF(E7319="HI",2,IF(E7319="LO",6,10))+IF(T7319=1,2,IF(D7319=7,1,(IF(WEEKDAY(B7319)=1,2,IF(WEEKDAY(B7319)=7,1,0))))))</f>
        <v>3</v>
      </c>
      <c r="V7319" s="328">
        <f>VLOOKUP(C7319,METADATA!$A$5:$H$29,IF(E7319="HI",2,IF(E7319="LO",6,10))+IF(T7319=1,2,IF(D7319=7,1,(IF(WEEKDAY(B7319)=1,2,IF(WEEKDAY(B7319)=7,1,0))))))</f>
        <v>3</v>
      </c>
    </row>
    <row r="7320" spans="2:22">
      <c r="B7320" s="318">
        <f t="shared" si="455"/>
        <v>46417</v>
      </c>
      <c r="C7320" s="312">
        <v>20</v>
      </c>
      <c r="D7320" s="368">
        <f>IFERROR((INDEX(METADATA!$T$2:$T$20,MATCH(B7320,METADATA!$S$2:$S$20,0))),0)</f>
        <v>0</v>
      </c>
      <c r="E7320" s="312" t="str">
        <f t="shared" si="456"/>
        <v>HI</v>
      </c>
      <c r="F7320" s="369">
        <f>VLOOKUP(C7320,METADATA!$A$5:$H$29,IF(E7320="HI",2,IF(E7320="LO",6,10))+IF(D7320=1,2,IF(D7320=7,1,(IF(WEEKDAY(B7320)=1,2,IF(WEEKDAY(B7320)=7,1,0))))))</f>
        <v>3</v>
      </c>
      <c r="G7320" s="369">
        <f>VLOOKUP(C7320,METADATA!$J$5:$Q$29,IF(E7320="HI",2,IF(E7320="LO",6,10))+IF(D7320=1,2,IF(D7320=7,1,(IF(WEEKDAY(B7320)=1,2,IF(WEEKDAY(B7320)=7,1,0))))))</f>
        <v>3</v>
      </c>
      <c r="H7320" s="370">
        <v>12245.900390625</v>
      </c>
      <c r="I7320" s="370">
        <v>3755.3050537109375</v>
      </c>
      <c r="M7320" s="371">
        <f t="shared" si="457"/>
        <v>12808.762329887162</v>
      </c>
      <c r="N7320" s="329">
        <f t="shared" si="458"/>
        <v>81.534936523437409</v>
      </c>
      <c r="T7320" s="331">
        <v>0</v>
      </c>
      <c r="U7320" s="328">
        <f>VLOOKUP(C7320,METADATA!$J$5:$Q$29,IF(E7320="HI",2,IF(E7320="LO",6,10))+IF(T7320=1,2,IF(D7320=7,1,(IF(WEEKDAY(B7320)=1,2,IF(WEEKDAY(B7320)=7,1,0))))))</f>
        <v>3</v>
      </c>
      <c r="V7320" s="328">
        <f>VLOOKUP(C7320,METADATA!$A$5:$H$29,IF(E7320="HI",2,IF(E7320="LO",6,10))+IF(T7320=1,2,IF(D7320=7,1,(IF(WEEKDAY(B7320)=1,2,IF(WEEKDAY(B7320)=7,1,0))))))</f>
        <v>3</v>
      </c>
    </row>
    <row r="7321" spans="2:22">
      <c r="B7321" s="318">
        <f t="shared" si="455"/>
        <v>46417</v>
      </c>
      <c r="C7321" s="312">
        <v>21</v>
      </c>
      <c r="D7321" s="368">
        <f>IFERROR((INDEX(METADATA!$T$2:$T$20,MATCH(B7321,METADATA!$S$2:$S$20,0))),0)</f>
        <v>0</v>
      </c>
      <c r="E7321" s="312" t="str">
        <f t="shared" si="456"/>
        <v>HI</v>
      </c>
      <c r="F7321" s="369">
        <f>VLOOKUP(C7321,METADATA!$A$5:$H$29,IF(E7321="HI",2,IF(E7321="LO",6,10))+IF(D7321=1,2,IF(D7321=7,1,(IF(WEEKDAY(B7321)=1,2,IF(WEEKDAY(B7321)=7,1,0))))))</f>
        <v>3</v>
      </c>
      <c r="G7321" s="369">
        <f>VLOOKUP(C7321,METADATA!$J$5:$Q$29,IF(E7321="HI",2,IF(E7321="LO",6,10))+IF(D7321=1,2,IF(D7321=7,1,(IF(WEEKDAY(B7321)=1,2,IF(WEEKDAY(B7321)=7,1,0))))))</f>
        <v>3</v>
      </c>
      <c r="H7321" s="370">
        <v>11691.025024414063</v>
      </c>
      <c r="I7321" s="370">
        <v>3277.2974243164063</v>
      </c>
      <c r="M7321" s="371">
        <f t="shared" si="457"/>
        <v>12141.694466955869</v>
      </c>
      <c r="N7321" s="329">
        <f t="shared" si="458"/>
        <v>0</v>
      </c>
      <c r="T7321" s="331">
        <v>0</v>
      </c>
      <c r="U7321" s="328">
        <f>VLOOKUP(C7321,METADATA!$J$5:$Q$29,IF(E7321="HI",2,IF(E7321="LO",6,10))+IF(T7321=1,2,IF(D7321=7,1,(IF(WEEKDAY(B7321)=1,2,IF(WEEKDAY(B7321)=7,1,0))))))</f>
        <v>3</v>
      </c>
      <c r="V7321" s="328">
        <f>VLOOKUP(C7321,METADATA!$A$5:$H$29,IF(E7321="HI",2,IF(E7321="LO",6,10))+IF(T7321=1,2,IF(D7321=7,1,(IF(WEEKDAY(B7321)=1,2,IF(WEEKDAY(B7321)=7,1,0))))))</f>
        <v>3</v>
      </c>
    </row>
    <row r="7322" spans="2:22">
      <c r="B7322" s="318">
        <f t="shared" si="455"/>
        <v>46417</v>
      </c>
      <c r="C7322" s="312">
        <v>22</v>
      </c>
      <c r="D7322" s="368">
        <f>IFERROR((INDEX(METADATA!$T$2:$T$20,MATCH(B7322,METADATA!$S$2:$S$20,0))),0)</f>
        <v>0</v>
      </c>
      <c r="E7322" s="312" t="str">
        <f t="shared" si="456"/>
        <v>HI</v>
      </c>
      <c r="F7322" s="369">
        <f>VLOOKUP(C7322,METADATA!$A$5:$H$29,IF(E7322="HI",2,IF(E7322="LO",6,10))+IF(D7322=1,2,IF(D7322=7,1,(IF(WEEKDAY(B7322)=1,2,IF(WEEKDAY(B7322)=7,1,0))))))</f>
        <v>3</v>
      </c>
      <c r="G7322" s="369">
        <f>VLOOKUP(C7322,METADATA!$J$5:$Q$29,IF(E7322="HI",2,IF(E7322="LO",6,10))+IF(D7322=1,2,IF(D7322=7,1,(IF(WEEKDAY(B7322)=1,2,IF(WEEKDAY(B7322)=7,1,0))))))</f>
        <v>3</v>
      </c>
      <c r="H7322" s="370">
        <v>13548.224914550781</v>
      </c>
      <c r="I7322" s="370">
        <v>4285.1449584960938</v>
      </c>
      <c r="M7322" s="371">
        <f t="shared" si="457"/>
        <v>14209.745446368102</v>
      </c>
      <c r="N7322" s="329">
        <f t="shared" si="458"/>
        <v>220.67748413085974</v>
      </c>
      <c r="T7322" s="331">
        <v>0</v>
      </c>
      <c r="U7322" s="328">
        <f>VLOOKUP(C7322,METADATA!$J$5:$Q$29,IF(E7322="HI",2,IF(E7322="LO",6,10))+IF(T7322=1,2,IF(D7322=7,1,(IF(WEEKDAY(B7322)=1,2,IF(WEEKDAY(B7322)=7,1,0))))))</f>
        <v>3</v>
      </c>
      <c r="V7322" s="328">
        <f>VLOOKUP(C7322,METADATA!$A$5:$H$29,IF(E7322="HI",2,IF(E7322="LO",6,10))+IF(T7322=1,2,IF(D7322=7,1,(IF(WEEKDAY(B7322)=1,2,IF(WEEKDAY(B7322)=7,1,0))))))</f>
        <v>3</v>
      </c>
    </row>
    <row r="7323" spans="2:22">
      <c r="B7323" s="318">
        <f t="shared" si="455"/>
        <v>46417</v>
      </c>
      <c r="C7323" s="312">
        <v>23</v>
      </c>
      <c r="D7323" s="368">
        <f>IFERROR((INDEX(METADATA!$T$2:$T$20,MATCH(B7323,METADATA!$S$2:$S$20,0))),0)</f>
        <v>0</v>
      </c>
      <c r="E7323" s="312" t="str">
        <f t="shared" si="456"/>
        <v>HI</v>
      </c>
      <c r="F7323" s="369">
        <f>VLOOKUP(C7323,METADATA!$A$5:$H$29,IF(E7323="HI",2,IF(E7323="LO",6,10))+IF(D7323=1,2,IF(D7323=7,1,(IF(WEEKDAY(B7323)=1,2,IF(WEEKDAY(B7323)=7,1,0))))))</f>
        <v>3</v>
      </c>
      <c r="G7323" s="369">
        <f>VLOOKUP(C7323,METADATA!$J$5:$Q$29,IF(E7323="HI",2,IF(E7323="LO",6,10))+IF(D7323=1,2,IF(D7323=7,1,(IF(WEEKDAY(B7323)=1,2,IF(WEEKDAY(B7323)=7,1,0))))))</f>
        <v>3</v>
      </c>
      <c r="H7323" s="370">
        <v>9272.8748779296875</v>
      </c>
      <c r="I7323" s="370">
        <v>2825.5300979614258</v>
      </c>
      <c r="M7323" s="371">
        <f t="shared" si="457"/>
        <v>9693.8036309915733</v>
      </c>
      <c r="N7323" s="329">
        <f t="shared" si="458"/>
        <v>43.66763458251944</v>
      </c>
      <c r="T7323" s="331">
        <v>0</v>
      </c>
      <c r="U7323" s="328">
        <f>VLOOKUP(C7323,METADATA!$J$5:$Q$29,IF(E7323="HI",2,IF(E7323="LO",6,10))+IF(T7323=1,2,IF(D7323=7,1,(IF(WEEKDAY(B7323)=1,2,IF(WEEKDAY(B7323)=7,1,0))))))</f>
        <v>3</v>
      </c>
      <c r="V7323" s="328">
        <f>VLOOKUP(C7323,METADATA!$A$5:$H$29,IF(E7323="HI",2,IF(E7323="LO",6,10))+IF(T7323=1,2,IF(D7323=7,1,(IF(WEEKDAY(B7323)=1,2,IF(WEEKDAY(B7323)=7,1,0))))))</f>
        <v>3</v>
      </c>
    </row>
    <row r="7324" spans="2:22">
      <c r="B7324" s="318">
        <f t="shared" ref="B7324:B7387" si="459">B7300+1</f>
        <v>46418</v>
      </c>
      <c r="C7324" s="312">
        <v>0</v>
      </c>
      <c r="D7324" s="368">
        <f>IFERROR((INDEX(METADATA!$T$2:$T$20,MATCH(B7324,METADATA!$S$2:$S$20,0))),0)</f>
        <v>0</v>
      </c>
      <c r="E7324" s="312" t="str">
        <f t="shared" si="456"/>
        <v>HI</v>
      </c>
      <c r="F7324" s="369">
        <f>VLOOKUP(C7324,METADATA!$A$5:$H$29,IF(E7324="HI",2,IF(E7324="LO",6,10))+IF(D7324=1,2,IF(D7324=7,1,(IF(WEEKDAY(B7324)=1,2,IF(WEEKDAY(B7324)=7,1,0))))))</f>
        <v>3</v>
      </c>
      <c r="G7324" s="369">
        <f>VLOOKUP(C7324,METADATA!$J$5:$Q$29,IF(E7324="HI",2,IF(E7324="LO",6,10))+IF(D7324=1,2,IF(D7324=7,1,(IF(WEEKDAY(B7324)=1,2,IF(WEEKDAY(B7324)=7,1,0))))))</f>
        <v>3</v>
      </c>
      <c r="H7324" s="370">
        <v>7996.7250366210938</v>
      </c>
      <c r="I7324" s="370">
        <v>1888.9374694824219</v>
      </c>
      <c r="M7324" s="371">
        <f t="shared" si="457"/>
        <v>8216.7935397536476</v>
      </c>
      <c r="N7324" s="329">
        <f t="shared" si="458"/>
        <v>0</v>
      </c>
      <c r="T7324" s="331">
        <v>0</v>
      </c>
      <c r="U7324" s="328">
        <f>VLOOKUP(C7324,METADATA!$J$5:$Q$29,IF(E7324="HI",2,IF(E7324="LO",6,10))+IF(T7324=1,2,IF(D7324=7,1,(IF(WEEKDAY(B7324)=1,2,IF(WEEKDAY(B7324)=7,1,0))))))</f>
        <v>3</v>
      </c>
      <c r="V7324" s="328">
        <f>VLOOKUP(C7324,METADATA!$A$5:$H$29,IF(E7324="HI",2,IF(E7324="LO",6,10))+IF(T7324=1,2,IF(D7324=7,1,(IF(WEEKDAY(B7324)=1,2,IF(WEEKDAY(B7324)=7,1,0))))))</f>
        <v>3</v>
      </c>
    </row>
    <row r="7325" spans="2:22">
      <c r="B7325" s="318">
        <f t="shared" si="459"/>
        <v>46418</v>
      </c>
      <c r="C7325" s="312">
        <v>1</v>
      </c>
      <c r="D7325" s="368">
        <f>IFERROR((INDEX(METADATA!$T$2:$T$20,MATCH(B7325,METADATA!$S$2:$S$20,0))),0)</f>
        <v>0</v>
      </c>
      <c r="E7325" s="312" t="str">
        <f t="shared" si="456"/>
        <v>HI</v>
      </c>
      <c r="F7325" s="369">
        <f>VLOOKUP(C7325,METADATA!$A$5:$H$29,IF(E7325="HI",2,IF(E7325="LO",6,10))+IF(D7325=1,2,IF(D7325=7,1,(IF(WEEKDAY(B7325)=1,2,IF(WEEKDAY(B7325)=7,1,0))))))</f>
        <v>3</v>
      </c>
      <c r="G7325" s="369">
        <f>VLOOKUP(C7325,METADATA!$J$5:$Q$29,IF(E7325="HI",2,IF(E7325="LO",6,10))+IF(D7325=1,2,IF(D7325=7,1,(IF(WEEKDAY(B7325)=1,2,IF(WEEKDAY(B7325)=7,1,0))))))</f>
        <v>3</v>
      </c>
      <c r="H7325" s="370">
        <v>7869.5426025390625</v>
      </c>
      <c r="I7325" s="370">
        <v>1925.0624841228127</v>
      </c>
      <c r="M7325" s="371">
        <f t="shared" si="457"/>
        <v>8101.5780154828099</v>
      </c>
      <c r="N7325" s="329">
        <f t="shared" si="458"/>
        <v>0</v>
      </c>
      <c r="T7325" s="331">
        <v>0</v>
      </c>
      <c r="U7325" s="328">
        <f>VLOOKUP(C7325,METADATA!$J$5:$Q$29,IF(E7325="HI",2,IF(E7325="LO",6,10))+IF(T7325=1,2,IF(D7325=7,1,(IF(WEEKDAY(B7325)=1,2,IF(WEEKDAY(B7325)=7,1,0))))))</f>
        <v>3</v>
      </c>
      <c r="V7325" s="328">
        <f>VLOOKUP(C7325,METADATA!$A$5:$H$29,IF(E7325="HI",2,IF(E7325="LO",6,10))+IF(T7325=1,2,IF(D7325=7,1,(IF(WEEKDAY(B7325)=1,2,IF(WEEKDAY(B7325)=7,1,0))))))</f>
        <v>3</v>
      </c>
    </row>
    <row r="7326" spans="2:22">
      <c r="B7326" s="318">
        <f t="shared" si="459"/>
        <v>46418</v>
      </c>
      <c r="C7326" s="312">
        <v>2</v>
      </c>
      <c r="D7326" s="368">
        <f>IFERROR((INDEX(METADATA!$T$2:$T$20,MATCH(B7326,METADATA!$S$2:$S$20,0))),0)</f>
        <v>0</v>
      </c>
      <c r="E7326" s="312" t="str">
        <f t="shared" si="456"/>
        <v>HI</v>
      </c>
      <c r="F7326" s="369">
        <f>VLOOKUP(C7326,METADATA!$A$5:$H$29,IF(E7326="HI",2,IF(E7326="LO",6,10))+IF(D7326=1,2,IF(D7326=7,1,(IF(WEEKDAY(B7326)=1,2,IF(WEEKDAY(B7326)=7,1,0))))))</f>
        <v>3</v>
      </c>
      <c r="G7326" s="369">
        <f>VLOOKUP(C7326,METADATA!$J$5:$Q$29,IF(E7326="HI",2,IF(E7326="LO",6,10))+IF(D7326=1,2,IF(D7326=7,1,(IF(WEEKDAY(B7326)=1,2,IF(WEEKDAY(B7326)=7,1,0))))))</f>
        <v>3</v>
      </c>
      <c r="H7326" s="370">
        <v>6061.7750854492188</v>
      </c>
      <c r="I7326" s="370">
        <v>1580.8324890136719</v>
      </c>
      <c r="M7326" s="371">
        <f t="shared" si="457"/>
        <v>6264.5150287068545</v>
      </c>
      <c r="N7326" s="329">
        <f t="shared" si="458"/>
        <v>0</v>
      </c>
      <c r="T7326" s="331">
        <v>0</v>
      </c>
      <c r="U7326" s="328">
        <f>VLOOKUP(C7326,METADATA!$J$5:$Q$29,IF(E7326="HI",2,IF(E7326="LO",6,10))+IF(T7326=1,2,IF(D7326=7,1,(IF(WEEKDAY(B7326)=1,2,IF(WEEKDAY(B7326)=7,1,0))))))</f>
        <v>3</v>
      </c>
      <c r="V7326" s="328">
        <f>VLOOKUP(C7326,METADATA!$A$5:$H$29,IF(E7326="HI",2,IF(E7326="LO",6,10))+IF(T7326=1,2,IF(D7326=7,1,(IF(WEEKDAY(B7326)=1,2,IF(WEEKDAY(B7326)=7,1,0))))))</f>
        <v>3</v>
      </c>
    </row>
    <row r="7327" spans="2:22">
      <c r="B7327" s="318">
        <f t="shared" si="459"/>
        <v>46418</v>
      </c>
      <c r="C7327" s="312">
        <v>3</v>
      </c>
      <c r="D7327" s="368">
        <f>IFERROR((INDEX(METADATA!$T$2:$T$20,MATCH(B7327,METADATA!$S$2:$S$20,0))),0)</f>
        <v>0</v>
      </c>
      <c r="E7327" s="312" t="str">
        <f t="shared" si="456"/>
        <v>HI</v>
      </c>
      <c r="F7327" s="369">
        <f>VLOOKUP(C7327,METADATA!$A$5:$H$29,IF(E7327="HI",2,IF(E7327="LO",6,10))+IF(D7327=1,2,IF(D7327=7,1,(IF(WEEKDAY(B7327)=1,2,IF(WEEKDAY(B7327)=7,1,0))))))</f>
        <v>3</v>
      </c>
      <c r="G7327" s="369">
        <f>VLOOKUP(C7327,METADATA!$J$5:$Q$29,IF(E7327="HI",2,IF(E7327="LO",6,10))+IF(D7327=1,2,IF(D7327=7,1,(IF(WEEKDAY(B7327)=1,2,IF(WEEKDAY(B7327)=7,1,0))))))</f>
        <v>3</v>
      </c>
      <c r="H7327" s="370">
        <v>6930.3025512695313</v>
      </c>
      <c r="I7327" s="370">
        <v>1751.1575012207031</v>
      </c>
      <c r="M7327" s="371">
        <f t="shared" si="457"/>
        <v>7148.121854460408</v>
      </c>
      <c r="N7327" s="329">
        <f t="shared" si="458"/>
        <v>0</v>
      </c>
      <c r="T7327" s="331">
        <v>0</v>
      </c>
      <c r="U7327" s="328">
        <f>VLOOKUP(C7327,METADATA!$J$5:$Q$29,IF(E7327="HI",2,IF(E7327="LO",6,10))+IF(T7327=1,2,IF(D7327=7,1,(IF(WEEKDAY(B7327)=1,2,IF(WEEKDAY(B7327)=7,1,0))))))</f>
        <v>3</v>
      </c>
      <c r="V7327" s="328">
        <f>VLOOKUP(C7327,METADATA!$A$5:$H$29,IF(E7327="HI",2,IF(E7327="LO",6,10))+IF(T7327=1,2,IF(D7327=7,1,(IF(WEEKDAY(B7327)=1,2,IF(WEEKDAY(B7327)=7,1,0))))))</f>
        <v>3</v>
      </c>
    </row>
    <row r="7328" spans="2:22">
      <c r="B7328" s="318">
        <f t="shared" si="459"/>
        <v>46418</v>
      </c>
      <c r="C7328" s="312">
        <v>4</v>
      </c>
      <c r="D7328" s="368">
        <f>IFERROR((INDEX(METADATA!$T$2:$T$20,MATCH(B7328,METADATA!$S$2:$S$20,0))),0)</f>
        <v>0</v>
      </c>
      <c r="E7328" s="312" t="str">
        <f t="shared" si="456"/>
        <v>HI</v>
      </c>
      <c r="F7328" s="369">
        <f>VLOOKUP(C7328,METADATA!$A$5:$H$29,IF(E7328="HI",2,IF(E7328="LO",6,10))+IF(D7328=1,2,IF(D7328=7,1,(IF(WEEKDAY(B7328)=1,2,IF(WEEKDAY(B7328)=7,1,0))))))</f>
        <v>3</v>
      </c>
      <c r="G7328" s="369">
        <f>VLOOKUP(C7328,METADATA!$J$5:$Q$29,IF(E7328="HI",2,IF(E7328="LO",6,10))+IF(D7328=1,2,IF(D7328=7,1,(IF(WEEKDAY(B7328)=1,2,IF(WEEKDAY(B7328)=7,1,0))))))</f>
        <v>3</v>
      </c>
      <c r="H7328" s="370">
        <v>11110.64501953125</v>
      </c>
      <c r="I7328" s="370">
        <v>3025.7525329589844</v>
      </c>
      <c r="M7328" s="371">
        <f t="shared" si="457"/>
        <v>11515.277293263167</v>
      </c>
      <c r="N7328" s="329">
        <f t="shared" si="458"/>
        <v>0</v>
      </c>
      <c r="T7328" s="331">
        <v>0</v>
      </c>
      <c r="U7328" s="328">
        <f>VLOOKUP(C7328,METADATA!$J$5:$Q$29,IF(E7328="HI",2,IF(E7328="LO",6,10))+IF(T7328=1,2,IF(D7328=7,1,(IF(WEEKDAY(B7328)=1,2,IF(WEEKDAY(B7328)=7,1,0))))))</f>
        <v>3</v>
      </c>
      <c r="V7328" s="328">
        <f>VLOOKUP(C7328,METADATA!$A$5:$H$29,IF(E7328="HI",2,IF(E7328="LO",6,10))+IF(T7328=1,2,IF(D7328=7,1,(IF(WEEKDAY(B7328)=1,2,IF(WEEKDAY(B7328)=7,1,0))))))</f>
        <v>3</v>
      </c>
    </row>
    <row r="7329" spans="2:22">
      <c r="B7329" s="318">
        <f t="shared" si="459"/>
        <v>46418</v>
      </c>
      <c r="C7329" s="312">
        <v>5</v>
      </c>
      <c r="D7329" s="368">
        <f>IFERROR((INDEX(METADATA!$T$2:$T$20,MATCH(B7329,METADATA!$S$2:$S$20,0))),0)</f>
        <v>0</v>
      </c>
      <c r="E7329" s="312" t="str">
        <f t="shared" si="456"/>
        <v>HI</v>
      </c>
      <c r="F7329" s="369">
        <f>VLOOKUP(C7329,METADATA!$A$5:$H$29,IF(E7329="HI",2,IF(E7329="LO",6,10))+IF(D7329=1,2,IF(D7329=7,1,(IF(WEEKDAY(B7329)=1,2,IF(WEEKDAY(B7329)=7,1,0))))))</f>
        <v>3</v>
      </c>
      <c r="G7329" s="369">
        <f>VLOOKUP(C7329,METADATA!$J$5:$Q$29,IF(E7329="HI",2,IF(E7329="LO",6,10))+IF(D7329=1,2,IF(D7329=7,1,(IF(WEEKDAY(B7329)=1,2,IF(WEEKDAY(B7329)=7,1,0))))))</f>
        <v>3</v>
      </c>
      <c r="H7329" s="370">
        <v>9877.1499633789063</v>
      </c>
      <c r="I7329" s="370">
        <v>2988.8599700927734</v>
      </c>
      <c r="M7329" s="371">
        <f t="shared" si="457"/>
        <v>10319.465844698499</v>
      </c>
      <c r="N7329" s="329">
        <f t="shared" si="458"/>
        <v>25.714981079101563</v>
      </c>
      <c r="T7329" s="331">
        <v>0</v>
      </c>
      <c r="U7329" s="328">
        <f>VLOOKUP(C7329,METADATA!$J$5:$Q$29,IF(E7329="HI",2,IF(E7329="LO",6,10))+IF(T7329=1,2,IF(D7329=7,1,(IF(WEEKDAY(B7329)=1,2,IF(WEEKDAY(B7329)=7,1,0))))))</f>
        <v>3</v>
      </c>
      <c r="V7329" s="328">
        <f>VLOOKUP(C7329,METADATA!$A$5:$H$29,IF(E7329="HI",2,IF(E7329="LO",6,10))+IF(T7329=1,2,IF(D7329=7,1,(IF(WEEKDAY(B7329)=1,2,IF(WEEKDAY(B7329)=7,1,0))))))</f>
        <v>3</v>
      </c>
    </row>
    <row r="7330" spans="2:22">
      <c r="B7330" s="318">
        <f t="shared" si="459"/>
        <v>46418</v>
      </c>
      <c r="C7330" s="312">
        <v>6</v>
      </c>
      <c r="D7330" s="368">
        <f>IFERROR((INDEX(METADATA!$T$2:$T$20,MATCH(B7330,METADATA!$S$2:$S$20,0))),0)</f>
        <v>0</v>
      </c>
      <c r="E7330" s="312" t="str">
        <f t="shared" si="456"/>
        <v>HI</v>
      </c>
      <c r="F7330" s="369">
        <f>VLOOKUP(C7330,METADATA!$A$5:$H$29,IF(E7330="HI",2,IF(E7330="LO",6,10))+IF(D7330=1,2,IF(D7330=7,1,(IF(WEEKDAY(B7330)=1,2,IF(WEEKDAY(B7330)=7,1,0))))))</f>
        <v>3</v>
      </c>
      <c r="G7330" s="369">
        <f>VLOOKUP(C7330,METADATA!$J$5:$Q$29,IF(E7330="HI",2,IF(E7330="LO",6,10))+IF(D7330=1,2,IF(D7330=7,1,(IF(WEEKDAY(B7330)=1,2,IF(WEEKDAY(B7330)=7,1,0))))))</f>
        <v>3</v>
      </c>
      <c r="H7330" s="370">
        <v>5687.3250122070313</v>
      </c>
      <c r="I7330" s="370">
        <v>2345.1500549316406</v>
      </c>
      <c r="M7330" s="371">
        <f t="shared" si="457"/>
        <v>6151.8610659394435</v>
      </c>
      <c r="N7330" s="329">
        <f t="shared" si="458"/>
        <v>638.95255126953134</v>
      </c>
      <c r="T7330" s="331">
        <v>0</v>
      </c>
      <c r="U7330" s="328">
        <f>VLOOKUP(C7330,METADATA!$J$5:$Q$29,IF(E7330="HI",2,IF(E7330="LO",6,10))+IF(T7330=1,2,IF(D7330=7,1,(IF(WEEKDAY(B7330)=1,2,IF(WEEKDAY(B7330)=7,1,0))))))</f>
        <v>3</v>
      </c>
      <c r="V7330" s="328">
        <f>VLOOKUP(C7330,METADATA!$A$5:$H$29,IF(E7330="HI",2,IF(E7330="LO",6,10))+IF(T7330=1,2,IF(D7330=7,1,(IF(WEEKDAY(B7330)=1,2,IF(WEEKDAY(B7330)=7,1,0))))))</f>
        <v>3</v>
      </c>
    </row>
    <row r="7331" spans="2:22">
      <c r="B7331" s="318">
        <f t="shared" si="459"/>
        <v>46418</v>
      </c>
      <c r="C7331" s="312">
        <v>7</v>
      </c>
      <c r="D7331" s="368">
        <f>IFERROR((INDEX(METADATA!$T$2:$T$20,MATCH(B7331,METADATA!$S$2:$S$20,0))),0)</f>
        <v>0</v>
      </c>
      <c r="E7331" s="312" t="str">
        <f t="shared" si="456"/>
        <v>HI</v>
      </c>
      <c r="F7331" s="369">
        <f>VLOOKUP(C7331,METADATA!$A$5:$H$29,IF(E7331="HI",2,IF(E7331="LO",6,10))+IF(D7331=1,2,IF(D7331=7,1,(IF(WEEKDAY(B7331)=1,2,IF(WEEKDAY(B7331)=7,1,0))))))</f>
        <v>3</v>
      </c>
      <c r="G7331" s="369">
        <f>VLOOKUP(C7331,METADATA!$J$5:$Q$29,IF(E7331="HI",2,IF(E7331="LO",6,10))+IF(D7331=1,2,IF(D7331=7,1,(IF(WEEKDAY(B7331)=1,2,IF(WEEKDAY(B7331)=7,1,0))))))</f>
        <v>3</v>
      </c>
      <c r="H7331" s="370">
        <v>4180.2850341796875</v>
      </c>
      <c r="I7331" s="370">
        <v>1519.0699768066406</v>
      </c>
      <c r="M7331" s="371">
        <f t="shared" si="457"/>
        <v>4447.7361164329432</v>
      </c>
      <c r="N7331" s="329">
        <f t="shared" si="458"/>
        <v>264.98446655273438</v>
      </c>
      <c r="T7331" s="331">
        <v>0</v>
      </c>
      <c r="U7331" s="328">
        <f>VLOOKUP(C7331,METADATA!$J$5:$Q$29,IF(E7331="HI",2,IF(E7331="LO",6,10))+IF(T7331=1,2,IF(D7331=7,1,(IF(WEEKDAY(B7331)=1,2,IF(WEEKDAY(B7331)=7,1,0))))))</f>
        <v>3</v>
      </c>
      <c r="V7331" s="328">
        <f>VLOOKUP(C7331,METADATA!$A$5:$H$29,IF(E7331="HI",2,IF(E7331="LO",6,10))+IF(T7331=1,2,IF(D7331=7,1,(IF(WEEKDAY(B7331)=1,2,IF(WEEKDAY(B7331)=7,1,0))))))</f>
        <v>3</v>
      </c>
    </row>
    <row r="7332" spans="2:22">
      <c r="B7332" s="318">
        <f t="shared" si="459"/>
        <v>46418</v>
      </c>
      <c r="C7332" s="312">
        <v>8</v>
      </c>
      <c r="D7332" s="368">
        <f>IFERROR((INDEX(METADATA!$T$2:$T$20,MATCH(B7332,METADATA!$S$2:$S$20,0))),0)</f>
        <v>0</v>
      </c>
      <c r="E7332" s="312" t="str">
        <f t="shared" si="456"/>
        <v>HI</v>
      </c>
      <c r="F7332" s="369">
        <f>VLOOKUP(C7332,METADATA!$A$5:$H$29,IF(E7332="HI",2,IF(E7332="LO",6,10))+IF(D7332=1,2,IF(D7332=7,1,(IF(WEEKDAY(B7332)=1,2,IF(WEEKDAY(B7332)=7,1,0))))))</f>
        <v>3</v>
      </c>
      <c r="G7332" s="369">
        <f>VLOOKUP(C7332,METADATA!$J$5:$Q$29,IF(E7332="HI",2,IF(E7332="LO",6,10))+IF(D7332=1,2,IF(D7332=7,1,(IF(WEEKDAY(B7332)=1,2,IF(WEEKDAY(B7332)=7,1,0))))))</f>
        <v>3</v>
      </c>
      <c r="H7332" s="370">
        <v>4187.4449768066406</v>
      </c>
      <c r="I7332" s="370">
        <v>1547.3550415039063</v>
      </c>
      <c r="M7332" s="371">
        <f t="shared" si="457"/>
        <v>4464.191198666419</v>
      </c>
      <c r="N7332" s="329">
        <f t="shared" si="458"/>
        <v>291.12154846191402</v>
      </c>
      <c r="T7332" s="331">
        <v>0</v>
      </c>
      <c r="U7332" s="328">
        <f>VLOOKUP(C7332,METADATA!$J$5:$Q$29,IF(E7332="HI",2,IF(E7332="LO",6,10))+IF(T7332=1,2,IF(D7332=7,1,(IF(WEEKDAY(B7332)=1,2,IF(WEEKDAY(B7332)=7,1,0))))))</f>
        <v>3</v>
      </c>
      <c r="V7332" s="328">
        <f>VLOOKUP(C7332,METADATA!$A$5:$H$29,IF(E7332="HI",2,IF(E7332="LO",6,10))+IF(T7332=1,2,IF(D7332=7,1,(IF(WEEKDAY(B7332)=1,2,IF(WEEKDAY(B7332)=7,1,0))))))</f>
        <v>3</v>
      </c>
    </row>
    <row r="7333" spans="2:22">
      <c r="B7333" s="318">
        <f t="shared" si="459"/>
        <v>46418</v>
      </c>
      <c r="C7333" s="312">
        <v>9</v>
      </c>
      <c r="D7333" s="368">
        <f>IFERROR((INDEX(METADATA!$T$2:$T$20,MATCH(B7333,METADATA!$S$2:$S$20,0))),0)</f>
        <v>0</v>
      </c>
      <c r="E7333" s="312" t="str">
        <f t="shared" si="456"/>
        <v>HI</v>
      </c>
      <c r="F7333" s="369">
        <f>VLOOKUP(C7333,METADATA!$A$5:$H$29,IF(E7333="HI",2,IF(E7333="LO",6,10))+IF(D7333=1,2,IF(D7333=7,1,(IF(WEEKDAY(B7333)=1,2,IF(WEEKDAY(B7333)=7,1,0))))))</f>
        <v>3</v>
      </c>
      <c r="G7333" s="369">
        <f>VLOOKUP(C7333,METADATA!$J$5:$Q$29,IF(E7333="HI",2,IF(E7333="LO",6,10))+IF(D7333=1,2,IF(D7333=7,1,(IF(WEEKDAY(B7333)=1,2,IF(WEEKDAY(B7333)=7,1,0))))))</f>
        <v>3</v>
      </c>
      <c r="H7333" s="370">
        <v>5933.1401672363281</v>
      </c>
      <c r="I7333" s="370">
        <v>1577.6375012099743</v>
      </c>
      <c r="M7333" s="371">
        <f t="shared" si="457"/>
        <v>6139.3071538486474</v>
      </c>
      <c r="N7333" s="329">
        <f t="shared" si="458"/>
        <v>0</v>
      </c>
      <c r="T7333" s="331">
        <v>0</v>
      </c>
      <c r="U7333" s="328">
        <f>VLOOKUP(C7333,METADATA!$J$5:$Q$29,IF(E7333="HI",2,IF(E7333="LO",6,10))+IF(T7333=1,2,IF(D7333=7,1,(IF(WEEKDAY(B7333)=1,2,IF(WEEKDAY(B7333)=7,1,0))))))</f>
        <v>3</v>
      </c>
      <c r="V7333" s="328">
        <f>VLOOKUP(C7333,METADATA!$A$5:$H$29,IF(E7333="HI",2,IF(E7333="LO",6,10))+IF(T7333=1,2,IF(D7333=7,1,(IF(WEEKDAY(B7333)=1,2,IF(WEEKDAY(B7333)=7,1,0))))))</f>
        <v>3</v>
      </c>
    </row>
    <row r="7334" spans="2:22">
      <c r="B7334" s="318">
        <f t="shared" si="459"/>
        <v>46418</v>
      </c>
      <c r="C7334" s="312">
        <v>10</v>
      </c>
      <c r="D7334" s="368">
        <f>IFERROR((INDEX(METADATA!$T$2:$T$20,MATCH(B7334,METADATA!$S$2:$S$20,0))),0)</f>
        <v>0</v>
      </c>
      <c r="E7334" s="312" t="str">
        <f t="shared" si="456"/>
        <v>HI</v>
      </c>
      <c r="F7334" s="369">
        <f>VLOOKUP(C7334,METADATA!$A$5:$H$29,IF(E7334="HI",2,IF(E7334="LO",6,10))+IF(D7334=1,2,IF(D7334=7,1,(IF(WEEKDAY(B7334)=1,2,IF(WEEKDAY(B7334)=7,1,0))))))</f>
        <v>3</v>
      </c>
      <c r="G7334" s="369">
        <f>VLOOKUP(C7334,METADATA!$J$5:$Q$29,IF(E7334="HI",2,IF(E7334="LO",6,10))+IF(D7334=1,2,IF(D7334=7,1,(IF(WEEKDAY(B7334)=1,2,IF(WEEKDAY(B7334)=7,1,0))))))</f>
        <v>3</v>
      </c>
      <c r="H7334" s="370">
        <v>7314.7649841308594</v>
      </c>
      <c r="I7334" s="370">
        <v>1588.9925011992455</v>
      </c>
      <c r="M7334" s="371">
        <f t="shared" si="457"/>
        <v>7485.3646498974495</v>
      </c>
      <c r="N7334" s="329">
        <f t="shared" si="458"/>
        <v>0</v>
      </c>
      <c r="T7334" s="331">
        <v>0</v>
      </c>
      <c r="U7334" s="328">
        <f>VLOOKUP(C7334,METADATA!$J$5:$Q$29,IF(E7334="HI",2,IF(E7334="LO",6,10))+IF(T7334=1,2,IF(D7334=7,1,(IF(WEEKDAY(B7334)=1,2,IF(WEEKDAY(B7334)=7,1,0))))))</f>
        <v>3</v>
      </c>
      <c r="V7334" s="328">
        <f>VLOOKUP(C7334,METADATA!$A$5:$H$29,IF(E7334="HI",2,IF(E7334="LO",6,10))+IF(T7334=1,2,IF(D7334=7,1,(IF(WEEKDAY(B7334)=1,2,IF(WEEKDAY(B7334)=7,1,0))))))</f>
        <v>3</v>
      </c>
    </row>
    <row r="7335" spans="2:22">
      <c r="B7335" s="318">
        <f t="shared" si="459"/>
        <v>46418</v>
      </c>
      <c r="C7335" s="312">
        <v>11</v>
      </c>
      <c r="D7335" s="368">
        <f>IFERROR((INDEX(METADATA!$T$2:$T$20,MATCH(B7335,METADATA!$S$2:$S$20,0))),0)</f>
        <v>0</v>
      </c>
      <c r="E7335" s="312" t="str">
        <f t="shared" si="456"/>
        <v>HI</v>
      </c>
      <c r="F7335" s="369">
        <f>VLOOKUP(C7335,METADATA!$A$5:$H$29,IF(E7335="HI",2,IF(E7335="LO",6,10))+IF(D7335=1,2,IF(D7335=7,1,(IF(WEEKDAY(B7335)=1,2,IF(WEEKDAY(B7335)=7,1,0))))))</f>
        <v>3</v>
      </c>
      <c r="G7335" s="369">
        <f>VLOOKUP(C7335,METADATA!$J$5:$Q$29,IF(E7335="HI",2,IF(E7335="LO",6,10))+IF(D7335=1,2,IF(D7335=7,1,(IF(WEEKDAY(B7335)=1,2,IF(WEEKDAY(B7335)=7,1,0))))))</f>
        <v>3</v>
      </c>
      <c r="H7335" s="370">
        <v>4307.2225952148438</v>
      </c>
      <c r="I7335" s="370">
        <v>1622.4500122070313</v>
      </c>
      <c r="M7335" s="371">
        <f t="shared" si="457"/>
        <v>4602.6634166360554</v>
      </c>
      <c r="N7335" s="329">
        <f t="shared" si="458"/>
        <v>330.28323364257813</v>
      </c>
      <c r="T7335" s="331">
        <v>0</v>
      </c>
      <c r="U7335" s="328">
        <f>VLOOKUP(C7335,METADATA!$J$5:$Q$29,IF(E7335="HI",2,IF(E7335="LO",6,10))+IF(T7335=1,2,IF(D7335=7,1,(IF(WEEKDAY(B7335)=1,2,IF(WEEKDAY(B7335)=7,1,0))))))</f>
        <v>3</v>
      </c>
      <c r="V7335" s="328">
        <f>VLOOKUP(C7335,METADATA!$A$5:$H$29,IF(E7335="HI",2,IF(E7335="LO",6,10))+IF(T7335=1,2,IF(D7335=7,1,(IF(WEEKDAY(B7335)=1,2,IF(WEEKDAY(B7335)=7,1,0))))))</f>
        <v>3</v>
      </c>
    </row>
    <row r="7336" spans="2:22">
      <c r="B7336" s="318">
        <f t="shared" si="459"/>
        <v>46418</v>
      </c>
      <c r="C7336" s="312">
        <v>12</v>
      </c>
      <c r="D7336" s="368">
        <f>IFERROR((INDEX(METADATA!$T$2:$T$20,MATCH(B7336,METADATA!$S$2:$S$20,0))),0)</f>
        <v>0</v>
      </c>
      <c r="E7336" s="312" t="str">
        <f t="shared" si="456"/>
        <v>HI</v>
      </c>
      <c r="F7336" s="369">
        <f>VLOOKUP(C7336,METADATA!$A$5:$H$29,IF(E7336="HI",2,IF(E7336="LO",6,10))+IF(D7336=1,2,IF(D7336=7,1,(IF(WEEKDAY(B7336)=1,2,IF(WEEKDAY(B7336)=7,1,0))))))</f>
        <v>3</v>
      </c>
      <c r="G7336" s="369">
        <f>VLOOKUP(C7336,METADATA!$J$5:$Q$29,IF(E7336="HI",2,IF(E7336="LO",6,10))+IF(D7336=1,2,IF(D7336=7,1,(IF(WEEKDAY(B7336)=1,2,IF(WEEKDAY(B7336)=7,1,0))))))</f>
        <v>3</v>
      </c>
      <c r="H7336" s="370">
        <v>5633.8450622558594</v>
      </c>
      <c r="I7336" s="370">
        <v>1700.7850036621094</v>
      </c>
      <c r="M7336" s="371">
        <f t="shared" si="457"/>
        <v>5884.970672330207</v>
      </c>
      <c r="N7336" s="329">
        <f t="shared" si="458"/>
        <v>10.631484985351563</v>
      </c>
      <c r="T7336" s="331">
        <v>0</v>
      </c>
      <c r="U7336" s="328">
        <f>VLOOKUP(C7336,METADATA!$J$5:$Q$29,IF(E7336="HI",2,IF(E7336="LO",6,10))+IF(T7336=1,2,IF(D7336=7,1,(IF(WEEKDAY(B7336)=1,2,IF(WEEKDAY(B7336)=7,1,0))))))</f>
        <v>3</v>
      </c>
      <c r="V7336" s="328">
        <f>VLOOKUP(C7336,METADATA!$A$5:$H$29,IF(E7336="HI",2,IF(E7336="LO",6,10))+IF(T7336=1,2,IF(D7336=7,1,(IF(WEEKDAY(B7336)=1,2,IF(WEEKDAY(B7336)=7,1,0))))))</f>
        <v>3</v>
      </c>
    </row>
    <row r="7337" spans="2:22">
      <c r="B7337" s="318">
        <f t="shared" si="459"/>
        <v>46418</v>
      </c>
      <c r="C7337" s="312">
        <v>13</v>
      </c>
      <c r="D7337" s="368">
        <f>IFERROR((INDEX(METADATA!$T$2:$T$20,MATCH(B7337,METADATA!$S$2:$S$20,0))),0)</f>
        <v>0</v>
      </c>
      <c r="E7337" s="312" t="str">
        <f t="shared" si="456"/>
        <v>HI</v>
      </c>
      <c r="F7337" s="369">
        <f>VLOOKUP(C7337,METADATA!$A$5:$H$29,IF(E7337="HI",2,IF(E7337="LO",6,10))+IF(D7337=1,2,IF(D7337=7,1,(IF(WEEKDAY(B7337)=1,2,IF(WEEKDAY(B7337)=7,1,0))))))</f>
        <v>3</v>
      </c>
      <c r="G7337" s="369">
        <f>VLOOKUP(C7337,METADATA!$J$5:$Q$29,IF(E7337="HI",2,IF(E7337="LO",6,10))+IF(D7337=1,2,IF(D7337=7,1,(IF(WEEKDAY(B7337)=1,2,IF(WEEKDAY(B7337)=7,1,0))))))</f>
        <v>3</v>
      </c>
      <c r="H7337" s="370">
        <v>5618.04248046875</v>
      </c>
      <c r="I7337" s="370">
        <v>1640.6599731445313</v>
      </c>
      <c r="M7337" s="371">
        <f t="shared" si="457"/>
        <v>5852.7059092209711</v>
      </c>
      <c r="N7337" s="329">
        <f t="shared" si="458"/>
        <v>0</v>
      </c>
      <c r="T7337" s="331">
        <v>0</v>
      </c>
      <c r="U7337" s="328">
        <f>VLOOKUP(C7337,METADATA!$J$5:$Q$29,IF(E7337="HI",2,IF(E7337="LO",6,10))+IF(T7337=1,2,IF(D7337=7,1,(IF(WEEKDAY(B7337)=1,2,IF(WEEKDAY(B7337)=7,1,0))))))</f>
        <v>3</v>
      </c>
      <c r="V7337" s="328">
        <f>VLOOKUP(C7337,METADATA!$A$5:$H$29,IF(E7337="HI",2,IF(E7337="LO",6,10))+IF(T7337=1,2,IF(D7337=7,1,(IF(WEEKDAY(B7337)=1,2,IF(WEEKDAY(B7337)=7,1,0))))))</f>
        <v>3</v>
      </c>
    </row>
    <row r="7338" spans="2:22">
      <c r="B7338" s="318">
        <f t="shared" si="459"/>
        <v>46418</v>
      </c>
      <c r="C7338" s="312">
        <v>14</v>
      </c>
      <c r="D7338" s="368">
        <f>IFERROR((INDEX(METADATA!$T$2:$T$20,MATCH(B7338,METADATA!$S$2:$S$20,0))),0)</f>
        <v>0</v>
      </c>
      <c r="E7338" s="312" t="str">
        <f t="shared" si="456"/>
        <v>HI</v>
      </c>
      <c r="F7338" s="369">
        <f>VLOOKUP(C7338,METADATA!$A$5:$H$29,IF(E7338="HI",2,IF(E7338="LO",6,10))+IF(D7338=1,2,IF(D7338=7,1,(IF(WEEKDAY(B7338)=1,2,IF(WEEKDAY(B7338)=7,1,0))))))</f>
        <v>3</v>
      </c>
      <c r="G7338" s="369">
        <f>VLOOKUP(C7338,METADATA!$J$5:$Q$29,IF(E7338="HI",2,IF(E7338="LO",6,10))+IF(D7338=1,2,IF(D7338=7,1,(IF(WEEKDAY(B7338)=1,2,IF(WEEKDAY(B7338)=7,1,0))))))</f>
        <v>3</v>
      </c>
      <c r="H7338" s="370">
        <v>4624.0424194335938</v>
      </c>
      <c r="I7338" s="370">
        <v>1624.6075134277344</v>
      </c>
      <c r="M7338" s="371">
        <f t="shared" si="457"/>
        <v>4901.1343451702205</v>
      </c>
      <c r="N7338" s="329">
        <f t="shared" si="458"/>
        <v>237.3947875976562</v>
      </c>
      <c r="T7338" s="331">
        <v>0</v>
      </c>
      <c r="U7338" s="328">
        <f>VLOOKUP(C7338,METADATA!$J$5:$Q$29,IF(E7338="HI",2,IF(E7338="LO",6,10))+IF(T7338=1,2,IF(D7338=7,1,(IF(WEEKDAY(B7338)=1,2,IF(WEEKDAY(B7338)=7,1,0))))))</f>
        <v>3</v>
      </c>
      <c r="V7338" s="328">
        <f>VLOOKUP(C7338,METADATA!$A$5:$H$29,IF(E7338="HI",2,IF(E7338="LO",6,10))+IF(T7338=1,2,IF(D7338=7,1,(IF(WEEKDAY(B7338)=1,2,IF(WEEKDAY(B7338)=7,1,0))))))</f>
        <v>3</v>
      </c>
    </row>
    <row r="7339" spans="2:22">
      <c r="B7339" s="318">
        <f t="shared" si="459"/>
        <v>46418</v>
      </c>
      <c r="C7339" s="312">
        <v>15</v>
      </c>
      <c r="D7339" s="368">
        <f>IFERROR((INDEX(METADATA!$T$2:$T$20,MATCH(B7339,METADATA!$S$2:$S$20,0))),0)</f>
        <v>0</v>
      </c>
      <c r="E7339" s="312" t="str">
        <f t="shared" si="456"/>
        <v>HI</v>
      </c>
      <c r="F7339" s="369">
        <f>VLOOKUP(C7339,METADATA!$A$5:$H$29,IF(E7339="HI",2,IF(E7339="LO",6,10))+IF(D7339=1,2,IF(D7339=7,1,(IF(WEEKDAY(B7339)=1,2,IF(WEEKDAY(B7339)=7,1,0))))))</f>
        <v>3</v>
      </c>
      <c r="G7339" s="369">
        <f>VLOOKUP(C7339,METADATA!$J$5:$Q$29,IF(E7339="HI",2,IF(E7339="LO",6,10))+IF(D7339=1,2,IF(D7339=7,1,(IF(WEEKDAY(B7339)=1,2,IF(WEEKDAY(B7339)=7,1,0))))))</f>
        <v>3</v>
      </c>
      <c r="H7339" s="370">
        <v>4105.1275939941406</v>
      </c>
      <c r="I7339" s="370">
        <v>1661.1849670410156</v>
      </c>
      <c r="M7339" s="371">
        <f t="shared" si="457"/>
        <v>4428.4995266676024</v>
      </c>
      <c r="N7339" s="329">
        <f t="shared" si="458"/>
        <v>429.64668884277353</v>
      </c>
      <c r="T7339" s="331">
        <v>0</v>
      </c>
      <c r="U7339" s="328">
        <f>VLOOKUP(C7339,METADATA!$J$5:$Q$29,IF(E7339="HI",2,IF(E7339="LO",6,10))+IF(T7339=1,2,IF(D7339=7,1,(IF(WEEKDAY(B7339)=1,2,IF(WEEKDAY(B7339)=7,1,0))))))</f>
        <v>3</v>
      </c>
      <c r="V7339" s="328">
        <f>VLOOKUP(C7339,METADATA!$A$5:$H$29,IF(E7339="HI",2,IF(E7339="LO",6,10))+IF(T7339=1,2,IF(D7339=7,1,(IF(WEEKDAY(B7339)=1,2,IF(WEEKDAY(B7339)=7,1,0))))))</f>
        <v>3</v>
      </c>
    </row>
    <row r="7340" spans="2:22">
      <c r="B7340" s="318">
        <f t="shared" si="459"/>
        <v>46418</v>
      </c>
      <c r="C7340" s="312">
        <v>16</v>
      </c>
      <c r="D7340" s="368">
        <f>IFERROR((INDEX(METADATA!$T$2:$T$20,MATCH(B7340,METADATA!$S$2:$S$20,0))),0)</f>
        <v>0</v>
      </c>
      <c r="E7340" s="312" t="str">
        <f t="shared" si="456"/>
        <v>HI</v>
      </c>
      <c r="F7340" s="369">
        <f>VLOOKUP(C7340,METADATA!$A$5:$H$29,IF(E7340="HI",2,IF(E7340="LO",6,10))+IF(D7340=1,2,IF(D7340=7,1,(IF(WEEKDAY(B7340)=1,2,IF(WEEKDAY(B7340)=7,1,0))))))</f>
        <v>3</v>
      </c>
      <c r="G7340" s="369">
        <f>VLOOKUP(C7340,METADATA!$J$5:$Q$29,IF(E7340="HI",2,IF(E7340="LO",6,10))+IF(D7340=1,2,IF(D7340=7,1,(IF(WEEKDAY(B7340)=1,2,IF(WEEKDAY(B7340)=7,1,0))))))</f>
        <v>3</v>
      </c>
      <c r="H7340" s="370">
        <v>3950.0750122070313</v>
      </c>
      <c r="I7340" s="370">
        <v>1646.3524780273438</v>
      </c>
      <c r="M7340" s="371">
        <f t="shared" si="457"/>
        <v>4279.4356034375787</v>
      </c>
      <c r="N7340" s="329">
        <f t="shared" si="458"/>
        <v>461.32997436523442</v>
      </c>
      <c r="T7340" s="331">
        <v>0</v>
      </c>
      <c r="U7340" s="328">
        <f>VLOOKUP(C7340,METADATA!$J$5:$Q$29,IF(E7340="HI",2,IF(E7340="LO",6,10))+IF(T7340=1,2,IF(D7340=7,1,(IF(WEEKDAY(B7340)=1,2,IF(WEEKDAY(B7340)=7,1,0))))))</f>
        <v>3</v>
      </c>
      <c r="V7340" s="328">
        <f>VLOOKUP(C7340,METADATA!$A$5:$H$29,IF(E7340="HI",2,IF(E7340="LO",6,10))+IF(T7340=1,2,IF(D7340=7,1,(IF(WEEKDAY(B7340)=1,2,IF(WEEKDAY(B7340)=7,1,0))))))</f>
        <v>3</v>
      </c>
    </row>
    <row r="7341" spans="2:22">
      <c r="B7341" s="318">
        <f t="shared" si="459"/>
        <v>46418</v>
      </c>
      <c r="C7341" s="312">
        <v>17</v>
      </c>
      <c r="D7341" s="368">
        <f>IFERROR((INDEX(METADATA!$T$2:$T$20,MATCH(B7341,METADATA!$S$2:$S$20,0))),0)</f>
        <v>0</v>
      </c>
      <c r="E7341" s="312" t="str">
        <f t="shared" si="456"/>
        <v>HI</v>
      </c>
      <c r="F7341" s="369">
        <f>VLOOKUP(C7341,METADATA!$A$5:$H$29,IF(E7341="HI",2,IF(E7341="LO",6,10))+IF(D7341=1,2,IF(D7341=7,1,(IF(WEEKDAY(B7341)=1,2,IF(WEEKDAY(B7341)=7,1,0))))))</f>
        <v>2</v>
      </c>
      <c r="G7341" s="369">
        <f>VLOOKUP(C7341,METADATA!$J$5:$Q$29,IF(E7341="HI",2,IF(E7341="LO",6,10))+IF(D7341=1,2,IF(D7341=7,1,(IF(WEEKDAY(B7341)=1,2,IF(WEEKDAY(B7341)=7,1,0))))))</f>
        <v>2</v>
      </c>
      <c r="H7341" s="370">
        <v>3811.2725524902344</v>
      </c>
      <c r="I7341" s="370">
        <v>1610.4249572753906</v>
      </c>
      <c r="M7341" s="371">
        <f t="shared" si="457"/>
        <v>4137.5435964326552</v>
      </c>
      <c r="N7341" s="329">
        <f t="shared" si="458"/>
        <v>467.04319152832045</v>
      </c>
      <c r="T7341" s="331">
        <v>0</v>
      </c>
      <c r="U7341" s="328">
        <f>VLOOKUP(C7341,METADATA!$J$5:$Q$29,IF(E7341="HI",2,IF(E7341="LO",6,10))+IF(T7341=1,2,IF(D7341=7,1,(IF(WEEKDAY(B7341)=1,2,IF(WEEKDAY(B7341)=7,1,0))))))</f>
        <v>2</v>
      </c>
      <c r="V7341" s="328">
        <f>VLOOKUP(C7341,METADATA!$A$5:$H$29,IF(E7341="HI",2,IF(E7341="LO",6,10))+IF(T7341=1,2,IF(D7341=7,1,(IF(WEEKDAY(B7341)=1,2,IF(WEEKDAY(B7341)=7,1,0))))))</f>
        <v>2</v>
      </c>
    </row>
    <row r="7342" spans="2:22">
      <c r="B7342" s="318">
        <f t="shared" si="459"/>
        <v>46418</v>
      </c>
      <c r="C7342" s="312">
        <v>18</v>
      </c>
      <c r="D7342" s="368">
        <f>IFERROR((INDEX(METADATA!$T$2:$T$20,MATCH(B7342,METADATA!$S$2:$S$20,0))),0)</f>
        <v>0</v>
      </c>
      <c r="E7342" s="312" t="str">
        <f t="shared" si="456"/>
        <v>HI</v>
      </c>
      <c r="F7342" s="369">
        <f>VLOOKUP(C7342,METADATA!$A$5:$H$29,IF(E7342="HI",2,IF(E7342="LO",6,10))+IF(D7342=1,2,IF(D7342=7,1,(IF(WEEKDAY(B7342)=1,2,IF(WEEKDAY(B7342)=7,1,0))))))</f>
        <v>2</v>
      </c>
      <c r="G7342" s="369">
        <f>VLOOKUP(C7342,METADATA!$J$5:$Q$29,IF(E7342="HI",2,IF(E7342="LO",6,10))+IF(D7342=1,2,IF(D7342=7,1,(IF(WEEKDAY(B7342)=1,2,IF(WEEKDAY(B7342)=7,1,0))))))</f>
        <v>2</v>
      </c>
      <c r="H7342" s="370">
        <v>3663.9125061035156</v>
      </c>
      <c r="I7342" s="370">
        <v>1540.9450073242188</v>
      </c>
      <c r="M7342" s="371">
        <f t="shared" si="457"/>
        <v>3974.7662029330959</v>
      </c>
      <c r="N7342" s="329">
        <f t="shared" si="458"/>
        <v>441.77125549316406</v>
      </c>
      <c r="T7342" s="331">
        <v>0</v>
      </c>
      <c r="U7342" s="328">
        <f>VLOOKUP(C7342,METADATA!$J$5:$Q$29,IF(E7342="HI",2,IF(E7342="LO",6,10))+IF(T7342=1,2,IF(D7342=7,1,(IF(WEEKDAY(B7342)=1,2,IF(WEEKDAY(B7342)=7,1,0))))))</f>
        <v>2</v>
      </c>
      <c r="V7342" s="328">
        <f>VLOOKUP(C7342,METADATA!$A$5:$H$29,IF(E7342="HI",2,IF(E7342="LO",6,10))+IF(T7342=1,2,IF(D7342=7,1,(IF(WEEKDAY(B7342)=1,2,IF(WEEKDAY(B7342)=7,1,0))))))</f>
        <v>2</v>
      </c>
    </row>
    <row r="7343" spans="2:22">
      <c r="B7343" s="318">
        <f t="shared" si="459"/>
        <v>46418</v>
      </c>
      <c r="C7343" s="312">
        <v>19</v>
      </c>
      <c r="D7343" s="368">
        <f>IFERROR((INDEX(METADATA!$T$2:$T$20,MATCH(B7343,METADATA!$S$2:$S$20,0))),0)</f>
        <v>0</v>
      </c>
      <c r="E7343" s="312" t="str">
        <f t="shared" si="456"/>
        <v>HI</v>
      </c>
      <c r="F7343" s="369">
        <f>VLOOKUP(C7343,METADATA!$A$5:$H$29,IF(E7343="HI",2,IF(E7343="LO",6,10))+IF(D7343=1,2,IF(D7343=7,1,(IF(WEEKDAY(B7343)=1,2,IF(WEEKDAY(B7343)=7,1,0))))))</f>
        <v>3</v>
      </c>
      <c r="G7343" s="369">
        <f>VLOOKUP(C7343,METADATA!$J$5:$Q$29,IF(E7343="HI",2,IF(E7343="LO",6,10))+IF(D7343=1,2,IF(D7343=7,1,(IF(WEEKDAY(B7343)=1,2,IF(WEEKDAY(B7343)=7,1,0))))))</f>
        <v>3</v>
      </c>
      <c r="H7343" s="370">
        <v>3473.4449768066406</v>
      </c>
      <c r="I7343" s="370">
        <v>1460.5899963378906</v>
      </c>
      <c r="M7343" s="371">
        <f t="shared" si="457"/>
        <v>3768.042349059469</v>
      </c>
      <c r="N7343" s="329">
        <f t="shared" si="458"/>
        <v>418.55650329589844</v>
      </c>
      <c r="T7343" s="331">
        <v>0</v>
      </c>
      <c r="U7343" s="328">
        <f>VLOOKUP(C7343,METADATA!$J$5:$Q$29,IF(E7343="HI",2,IF(E7343="LO",6,10))+IF(T7343=1,2,IF(D7343=7,1,(IF(WEEKDAY(B7343)=1,2,IF(WEEKDAY(B7343)=7,1,0))))))</f>
        <v>3</v>
      </c>
      <c r="V7343" s="328">
        <f>VLOOKUP(C7343,METADATA!$A$5:$H$29,IF(E7343="HI",2,IF(E7343="LO",6,10))+IF(T7343=1,2,IF(D7343=7,1,(IF(WEEKDAY(B7343)=1,2,IF(WEEKDAY(B7343)=7,1,0))))))</f>
        <v>3</v>
      </c>
    </row>
    <row r="7344" spans="2:22">
      <c r="B7344" s="318">
        <f t="shared" si="459"/>
        <v>46418</v>
      </c>
      <c r="C7344" s="312">
        <v>20</v>
      </c>
      <c r="D7344" s="368">
        <f>IFERROR((INDEX(METADATA!$T$2:$T$20,MATCH(B7344,METADATA!$S$2:$S$20,0))),0)</f>
        <v>0</v>
      </c>
      <c r="E7344" s="312" t="str">
        <f t="shared" si="456"/>
        <v>HI</v>
      </c>
      <c r="F7344" s="369">
        <f>VLOOKUP(C7344,METADATA!$A$5:$H$29,IF(E7344="HI",2,IF(E7344="LO",6,10))+IF(D7344=1,2,IF(D7344=7,1,(IF(WEEKDAY(B7344)=1,2,IF(WEEKDAY(B7344)=7,1,0))))))</f>
        <v>3</v>
      </c>
      <c r="G7344" s="369">
        <f>VLOOKUP(C7344,METADATA!$J$5:$Q$29,IF(E7344="HI",2,IF(E7344="LO",6,10))+IF(D7344=1,2,IF(D7344=7,1,(IF(WEEKDAY(B7344)=1,2,IF(WEEKDAY(B7344)=7,1,0))))))</f>
        <v>3</v>
      </c>
      <c r="H7344" s="370">
        <v>3450.5100402832031</v>
      </c>
      <c r="I7344" s="370">
        <v>1465.9200134277344</v>
      </c>
      <c r="M7344" s="371">
        <f t="shared" si="457"/>
        <v>3748.9920010401675</v>
      </c>
      <c r="N7344" s="329">
        <f t="shared" si="458"/>
        <v>430.76700134277348</v>
      </c>
      <c r="T7344" s="331">
        <v>0</v>
      </c>
      <c r="U7344" s="328">
        <f>VLOOKUP(C7344,METADATA!$J$5:$Q$29,IF(E7344="HI",2,IF(E7344="LO",6,10))+IF(T7344=1,2,IF(D7344=7,1,(IF(WEEKDAY(B7344)=1,2,IF(WEEKDAY(B7344)=7,1,0))))))</f>
        <v>3</v>
      </c>
      <c r="V7344" s="328">
        <f>VLOOKUP(C7344,METADATA!$A$5:$H$29,IF(E7344="HI",2,IF(E7344="LO",6,10))+IF(T7344=1,2,IF(D7344=7,1,(IF(WEEKDAY(B7344)=1,2,IF(WEEKDAY(B7344)=7,1,0))))))</f>
        <v>3</v>
      </c>
    </row>
    <row r="7345" spans="2:22">
      <c r="B7345" s="318">
        <f t="shared" si="459"/>
        <v>46418</v>
      </c>
      <c r="C7345" s="312">
        <v>21</v>
      </c>
      <c r="D7345" s="368">
        <f>IFERROR((INDEX(METADATA!$T$2:$T$20,MATCH(B7345,METADATA!$S$2:$S$20,0))),0)</f>
        <v>0</v>
      </c>
      <c r="E7345" s="312" t="str">
        <f t="shared" si="456"/>
        <v>HI</v>
      </c>
      <c r="F7345" s="369">
        <f>VLOOKUP(C7345,METADATA!$A$5:$H$29,IF(E7345="HI",2,IF(E7345="LO",6,10))+IF(D7345=1,2,IF(D7345=7,1,(IF(WEEKDAY(B7345)=1,2,IF(WEEKDAY(B7345)=7,1,0))))))</f>
        <v>3</v>
      </c>
      <c r="G7345" s="369">
        <f>VLOOKUP(C7345,METADATA!$J$5:$Q$29,IF(E7345="HI",2,IF(E7345="LO",6,10))+IF(D7345=1,2,IF(D7345=7,1,(IF(WEEKDAY(B7345)=1,2,IF(WEEKDAY(B7345)=7,1,0))))))</f>
        <v>3</v>
      </c>
      <c r="H7345" s="370">
        <v>3447.9574584960938</v>
      </c>
      <c r="I7345" s="370">
        <v>1473.1924743652344</v>
      </c>
      <c r="M7345" s="371">
        <f t="shared" si="457"/>
        <v>3749.4941928379089</v>
      </c>
      <c r="N7345" s="329">
        <f t="shared" si="458"/>
        <v>438.80523681640625</v>
      </c>
      <c r="T7345" s="331">
        <v>0</v>
      </c>
      <c r="U7345" s="328">
        <f>VLOOKUP(C7345,METADATA!$J$5:$Q$29,IF(E7345="HI",2,IF(E7345="LO",6,10))+IF(T7345=1,2,IF(D7345=7,1,(IF(WEEKDAY(B7345)=1,2,IF(WEEKDAY(B7345)=7,1,0))))))</f>
        <v>3</v>
      </c>
      <c r="V7345" s="328">
        <f>VLOOKUP(C7345,METADATA!$A$5:$H$29,IF(E7345="HI",2,IF(E7345="LO",6,10))+IF(T7345=1,2,IF(D7345=7,1,(IF(WEEKDAY(B7345)=1,2,IF(WEEKDAY(B7345)=7,1,0))))))</f>
        <v>3</v>
      </c>
    </row>
    <row r="7346" spans="2:22">
      <c r="B7346" s="318">
        <f t="shared" si="459"/>
        <v>46418</v>
      </c>
      <c r="C7346" s="312">
        <v>22</v>
      </c>
      <c r="D7346" s="368">
        <f>IFERROR((INDEX(METADATA!$T$2:$T$20,MATCH(B7346,METADATA!$S$2:$S$20,0))),0)</f>
        <v>0</v>
      </c>
      <c r="E7346" s="312" t="str">
        <f t="shared" si="456"/>
        <v>HI</v>
      </c>
      <c r="F7346" s="369">
        <f>VLOOKUP(C7346,METADATA!$A$5:$H$29,IF(E7346="HI",2,IF(E7346="LO",6,10))+IF(D7346=1,2,IF(D7346=7,1,(IF(WEEKDAY(B7346)=1,2,IF(WEEKDAY(B7346)=7,1,0))))))</f>
        <v>3</v>
      </c>
      <c r="G7346" s="369">
        <f>VLOOKUP(C7346,METADATA!$J$5:$Q$29,IF(E7346="HI",2,IF(E7346="LO",6,10))+IF(D7346=1,2,IF(D7346=7,1,(IF(WEEKDAY(B7346)=1,2,IF(WEEKDAY(B7346)=7,1,0))))))</f>
        <v>3</v>
      </c>
      <c r="H7346" s="370">
        <v>3407.1600341796875</v>
      </c>
      <c r="I7346" s="370">
        <v>1482.1224975585938</v>
      </c>
      <c r="M7346" s="371">
        <f t="shared" si="457"/>
        <v>3715.5654477186449</v>
      </c>
      <c r="N7346" s="329">
        <f t="shared" si="458"/>
        <v>459.9744873046875</v>
      </c>
      <c r="T7346" s="331">
        <v>0</v>
      </c>
      <c r="U7346" s="328">
        <f>VLOOKUP(C7346,METADATA!$J$5:$Q$29,IF(E7346="HI",2,IF(E7346="LO",6,10))+IF(T7346=1,2,IF(D7346=7,1,(IF(WEEKDAY(B7346)=1,2,IF(WEEKDAY(B7346)=7,1,0))))))</f>
        <v>3</v>
      </c>
      <c r="V7346" s="328">
        <f>VLOOKUP(C7346,METADATA!$A$5:$H$29,IF(E7346="HI",2,IF(E7346="LO",6,10))+IF(T7346=1,2,IF(D7346=7,1,(IF(WEEKDAY(B7346)=1,2,IF(WEEKDAY(B7346)=7,1,0))))))</f>
        <v>3</v>
      </c>
    </row>
    <row r="7347" spans="2:22">
      <c r="B7347" s="318">
        <f t="shared" si="459"/>
        <v>46418</v>
      </c>
      <c r="C7347" s="312">
        <v>23</v>
      </c>
      <c r="D7347" s="368">
        <f>IFERROR((INDEX(METADATA!$T$2:$T$20,MATCH(B7347,METADATA!$S$2:$S$20,0))),0)</f>
        <v>0</v>
      </c>
      <c r="E7347" s="312" t="str">
        <f t="shared" si="456"/>
        <v>HI</v>
      </c>
      <c r="F7347" s="369">
        <f>VLOOKUP(C7347,METADATA!$A$5:$H$29,IF(E7347="HI",2,IF(E7347="LO",6,10))+IF(D7347=1,2,IF(D7347=7,1,(IF(WEEKDAY(B7347)=1,2,IF(WEEKDAY(B7347)=7,1,0))))))</f>
        <v>3</v>
      </c>
      <c r="G7347" s="369">
        <f>VLOOKUP(C7347,METADATA!$J$5:$Q$29,IF(E7347="HI",2,IF(E7347="LO",6,10))+IF(D7347=1,2,IF(D7347=7,1,(IF(WEEKDAY(B7347)=1,2,IF(WEEKDAY(B7347)=7,1,0))))))</f>
        <v>3</v>
      </c>
      <c r="H7347" s="370">
        <v>3220.2249755859375</v>
      </c>
      <c r="I7347" s="370">
        <v>1491.9099731445313</v>
      </c>
      <c r="M7347" s="371">
        <f t="shared" si="457"/>
        <v>3549.0342716513132</v>
      </c>
      <c r="N7347" s="329">
        <f t="shared" si="458"/>
        <v>525.84248046875007</v>
      </c>
      <c r="T7347" s="331">
        <v>0</v>
      </c>
      <c r="U7347" s="328">
        <f>VLOOKUP(C7347,METADATA!$J$5:$Q$29,IF(E7347="HI",2,IF(E7347="LO",6,10))+IF(T7347=1,2,IF(D7347=7,1,(IF(WEEKDAY(B7347)=1,2,IF(WEEKDAY(B7347)=7,1,0))))))</f>
        <v>3</v>
      </c>
      <c r="V7347" s="328">
        <f>VLOOKUP(C7347,METADATA!$A$5:$H$29,IF(E7347="HI",2,IF(E7347="LO",6,10))+IF(T7347=1,2,IF(D7347=7,1,(IF(WEEKDAY(B7347)=1,2,IF(WEEKDAY(B7347)=7,1,0))))))</f>
        <v>3</v>
      </c>
    </row>
    <row r="7348" spans="2:22">
      <c r="B7348" s="318">
        <f t="shared" si="459"/>
        <v>46419</v>
      </c>
      <c r="C7348" s="312">
        <v>0</v>
      </c>
      <c r="D7348" s="368">
        <f>IFERROR((INDEX(METADATA!$T$2:$T$20,MATCH(B7348,METADATA!$S$2:$S$20,0))),0)</f>
        <v>0</v>
      </c>
      <c r="E7348" s="312" t="str">
        <f t="shared" si="456"/>
        <v>LO</v>
      </c>
      <c r="F7348" s="369">
        <f>VLOOKUP(C7348,METADATA!$A$5:$H$29,IF(E7348="HI",2,IF(E7348="LO",6,10))+IF(D7348=1,2,IF(D7348=7,1,(IF(WEEKDAY(B7348)=1,2,IF(WEEKDAY(B7348)=7,1,0))))))</f>
        <v>3</v>
      </c>
      <c r="G7348" s="369">
        <f>VLOOKUP(C7348,METADATA!$J$5:$Q$29,IF(E7348="HI",2,IF(E7348="LO",6,10))+IF(D7348=1,2,IF(D7348=7,1,(IF(WEEKDAY(B7348)=1,2,IF(WEEKDAY(B7348)=7,1,0))))))</f>
        <v>3</v>
      </c>
      <c r="H7348" s="370">
        <v>3103.2250061035156</v>
      </c>
      <c r="I7348" s="370">
        <v>1411.5600280761719</v>
      </c>
      <c r="M7348" s="371">
        <f t="shared" si="457"/>
        <v>3409.1798355863489</v>
      </c>
      <c r="N7348" s="329">
        <f t="shared" si="458"/>
        <v>480.59252624511726</v>
      </c>
      <c r="T7348" s="331">
        <v>0</v>
      </c>
      <c r="U7348" s="328">
        <f>VLOOKUP(C7348,METADATA!$J$5:$Q$29,IF(E7348="HI",2,IF(E7348="LO",6,10))+IF(T7348=1,2,IF(D7348=7,1,(IF(WEEKDAY(B7348)=1,2,IF(WEEKDAY(B7348)=7,1,0))))))</f>
        <v>3</v>
      </c>
      <c r="V7348" s="328">
        <f>VLOOKUP(C7348,METADATA!$A$5:$H$29,IF(E7348="HI",2,IF(E7348="LO",6,10))+IF(T7348=1,2,IF(D7348=7,1,(IF(WEEKDAY(B7348)=1,2,IF(WEEKDAY(B7348)=7,1,0))))))</f>
        <v>3</v>
      </c>
    </row>
    <row r="7349" spans="2:22">
      <c r="B7349" s="318">
        <f t="shared" si="459"/>
        <v>46419</v>
      </c>
      <c r="C7349" s="312">
        <v>1</v>
      </c>
      <c r="D7349" s="368">
        <f>IFERROR((INDEX(METADATA!$T$2:$T$20,MATCH(B7349,METADATA!$S$2:$S$20,0))),0)</f>
        <v>0</v>
      </c>
      <c r="E7349" s="312" t="str">
        <f t="shared" si="456"/>
        <v>LO</v>
      </c>
      <c r="F7349" s="369">
        <f>VLOOKUP(C7349,METADATA!$A$5:$H$29,IF(E7349="HI",2,IF(E7349="LO",6,10))+IF(D7349=1,2,IF(D7349=7,1,(IF(WEEKDAY(B7349)=1,2,IF(WEEKDAY(B7349)=7,1,0))))))</f>
        <v>3</v>
      </c>
      <c r="G7349" s="369">
        <f>VLOOKUP(C7349,METADATA!$J$5:$Q$29,IF(E7349="HI",2,IF(E7349="LO",6,10))+IF(D7349=1,2,IF(D7349=7,1,(IF(WEEKDAY(B7349)=1,2,IF(WEEKDAY(B7349)=7,1,0))))))</f>
        <v>3</v>
      </c>
      <c r="H7349" s="370">
        <v>3050.1800231933594</v>
      </c>
      <c r="I7349" s="370">
        <v>1355.8974914550781</v>
      </c>
      <c r="M7349" s="371">
        <f t="shared" si="457"/>
        <v>3337.9718664515453</v>
      </c>
      <c r="N7349" s="329">
        <f t="shared" si="458"/>
        <v>440.84348449707034</v>
      </c>
      <c r="T7349" s="331">
        <v>0</v>
      </c>
      <c r="U7349" s="328">
        <f>VLOOKUP(C7349,METADATA!$J$5:$Q$29,IF(E7349="HI",2,IF(E7349="LO",6,10))+IF(T7349=1,2,IF(D7349=7,1,(IF(WEEKDAY(B7349)=1,2,IF(WEEKDAY(B7349)=7,1,0))))))</f>
        <v>3</v>
      </c>
      <c r="V7349" s="328">
        <f>VLOOKUP(C7349,METADATA!$A$5:$H$29,IF(E7349="HI",2,IF(E7349="LO",6,10))+IF(T7349=1,2,IF(D7349=7,1,(IF(WEEKDAY(B7349)=1,2,IF(WEEKDAY(B7349)=7,1,0))))))</f>
        <v>3</v>
      </c>
    </row>
    <row r="7350" spans="2:22">
      <c r="B7350" s="318">
        <f t="shared" si="459"/>
        <v>46419</v>
      </c>
      <c r="C7350" s="312">
        <v>2</v>
      </c>
      <c r="D7350" s="368">
        <f>IFERROR((INDEX(METADATA!$T$2:$T$20,MATCH(B7350,METADATA!$S$2:$S$20,0))),0)</f>
        <v>0</v>
      </c>
      <c r="E7350" s="312" t="str">
        <f t="shared" si="456"/>
        <v>LO</v>
      </c>
      <c r="F7350" s="369">
        <f>VLOOKUP(C7350,METADATA!$A$5:$H$29,IF(E7350="HI",2,IF(E7350="LO",6,10))+IF(D7350=1,2,IF(D7350=7,1,(IF(WEEKDAY(B7350)=1,2,IF(WEEKDAY(B7350)=7,1,0))))))</f>
        <v>3</v>
      </c>
      <c r="G7350" s="369">
        <f>VLOOKUP(C7350,METADATA!$J$5:$Q$29,IF(E7350="HI",2,IF(E7350="LO",6,10))+IF(D7350=1,2,IF(D7350=7,1,(IF(WEEKDAY(B7350)=1,2,IF(WEEKDAY(B7350)=7,1,0))))))</f>
        <v>3</v>
      </c>
      <c r="H7350" s="370">
        <v>3043.7049560546875</v>
      </c>
      <c r="I7350" s="370">
        <v>1344.5275268554688</v>
      </c>
      <c r="M7350" s="371">
        <f t="shared" si="457"/>
        <v>3327.445586329542</v>
      </c>
      <c r="N7350" s="329">
        <f t="shared" si="458"/>
        <v>431.41604003906252</v>
      </c>
      <c r="T7350" s="331">
        <v>0</v>
      </c>
      <c r="U7350" s="328">
        <f>VLOOKUP(C7350,METADATA!$J$5:$Q$29,IF(E7350="HI",2,IF(E7350="LO",6,10))+IF(T7350=1,2,IF(D7350=7,1,(IF(WEEKDAY(B7350)=1,2,IF(WEEKDAY(B7350)=7,1,0))))))</f>
        <v>3</v>
      </c>
      <c r="V7350" s="328">
        <f>VLOOKUP(C7350,METADATA!$A$5:$H$29,IF(E7350="HI",2,IF(E7350="LO",6,10))+IF(T7350=1,2,IF(D7350=7,1,(IF(WEEKDAY(B7350)=1,2,IF(WEEKDAY(B7350)=7,1,0))))))</f>
        <v>3</v>
      </c>
    </row>
    <row r="7351" spans="2:22">
      <c r="B7351" s="318">
        <f t="shared" si="459"/>
        <v>46419</v>
      </c>
      <c r="C7351" s="312">
        <v>3</v>
      </c>
      <c r="D7351" s="368">
        <f>IFERROR((INDEX(METADATA!$T$2:$T$20,MATCH(B7351,METADATA!$S$2:$S$20,0))),0)</f>
        <v>0</v>
      </c>
      <c r="E7351" s="312" t="str">
        <f t="shared" si="456"/>
        <v>LO</v>
      </c>
      <c r="F7351" s="369">
        <f>VLOOKUP(C7351,METADATA!$A$5:$H$29,IF(E7351="HI",2,IF(E7351="LO",6,10))+IF(D7351=1,2,IF(D7351=7,1,(IF(WEEKDAY(B7351)=1,2,IF(WEEKDAY(B7351)=7,1,0))))))</f>
        <v>3</v>
      </c>
      <c r="G7351" s="369">
        <f>VLOOKUP(C7351,METADATA!$J$5:$Q$29,IF(E7351="HI",2,IF(E7351="LO",6,10))+IF(D7351=1,2,IF(D7351=7,1,(IF(WEEKDAY(B7351)=1,2,IF(WEEKDAY(B7351)=7,1,0))))))</f>
        <v>3</v>
      </c>
      <c r="H7351" s="370">
        <v>2975.9025268554688</v>
      </c>
      <c r="I7351" s="370">
        <v>1365.1924743652344</v>
      </c>
      <c r="M7351" s="371">
        <f t="shared" si="457"/>
        <v>3274.1023718583133</v>
      </c>
      <c r="N7351" s="329">
        <f t="shared" si="458"/>
        <v>472.42171630859377</v>
      </c>
      <c r="T7351" s="331">
        <v>0</v>
      </c>
      <c r="U7351" s="328">
        <f>VLOOKUP(C7351,METADATA!$J$5:$Q$29,IF(E7351="HI",2,IF(E7351="LO",6,10))+IF(T7351=1,2,IF(D7351=7,1,(IF(WEEKDAY(B7351)=1,2,IF(WEEKDAY(B7351)=7,1,0))))))</f>
        <v>3</v>
      </c>
      <c r="V7351" s="328">
        <f>VLOOKUP(C7351,METADATA!$A$5:$H$29,IF(E7351="HI",2,IF(E7351="LO",6,10))+IF(T7351=1,2,IF(D7351=7,1,(IF(WEEKDAY(B7351)=1,2,IF(WEEKDAY(B7351)=7,1,0))))))</f>
        <v>3</v>
      </c>
    </row>
    <row r="7352" spans="2:22">
      <c r="B7352" s="318">
        <f t="shared" si="459"/>
        <v>46419</v>
      </c>
      <c r="C7352" s="312">
        <v>4</v>
      </c>
      <c r="D7352" s="368">
        <f>IFERROR((INDEX(METADATA!$T$2:$T$20,MATCH(B7352,METADATA!$S$2:$S$20,0))),0)</f>
        <v>0</v>
      </c>
      <c r="E7352" s="312" t="str">
        <f t="shared" si="456"/>
        <v>LO</v>
      </c>
      <c r="F7352" s="369">
        <f>VLOOKUP(C7352,METADATA!$A$5:$H$29,IF(E7352="HI",2,IF(E7352="LO",6,10))+IF(D7352=1,2,IF(D7352=7,1,(IF(WEEKDAY(B7352)=1,2,IF(WEEKDAY(B7352)=7,1,0))))))</f>
        <v>3</v>
      </c>
      <c r="G7352" s="369">
        <f>VLOOKUP(C7352,METADATA!$J$5:$Q$29,IF(E7352="HI",2,IF(E7352="LO",6,10))+IF(D7352=1,2,IF(D7352=7,1,(IF(WEEKDAY(B7352)=1,2,IF(WEEKDAY(B7352)=7,1,0))))))</f>
        <v>3</v>
      </c>
      <c r="H7352" s="370">
        <v>2818.1525268554688</v>
      </c>
      <c r="I7352" s="370">
        <v>1317.4550170898438</v>
      </c>
      <c r="M7352" s="371">
        <f t="shared" si="457"/>
        <v>3110.8955923780318</v>
      </c>
      <c r="N7352" s="329">
        <f t="shared" si="458"/>
        <v>472.00925903320319</v>
      </c>
      <c r="T7352" s="331">
        <v>0</v>
      </c>
      <c r="U7352" s="328">
        <f>VLOOKUP(C7352,METADATA!$J$5:$Q$29,IF(E7352="HI",2,IF(E7352="LO",6,10))+IF(T7352=1,2,IF(D7352=7,1,(IF(WEEKDAY(B7352)=1,2,IF(WEEKDAY(B7352)=7,1,0))))))</f>
        <v>3</v>
      </c>
      <c r="V7352" s="328">
        <f>VLOOKUP(C7352,METADATA!$A$5:$H$29,IF(E7352="HI",2,IF(E7352="LO",6,10))+IF(T7352=1,2,IF(D7352=7,1,(IF(WEEKDAY(B7352)=1,2,IF(WEEKDAY(B7352)=7,1,0))))))</f>
        <v>3</v>
      </c>
    </row>
    <row r="7353" spans="2:22">
      <c r="B7353" s="318">
        <f t="shared" si="459"/>
        <v>46419</v>
      </c>
      <c r="C7353" s="312">
        <v>5</v>
      </c>
      <c r="D7353" s="368">
        <f>IFERROR((INDEX(METADATA!$T$2:$T$20,MATCH(B7353,METADATA!$S$2:$S$20,0))),0)</f>
        <v>0</v>
      </c>
      <c r="E7353" s="312" t="str">
        <f t="shared" si="456"/>
        <v>LO</v>
      </c>
      <c r="F7353" s="369">
        <f>VLOOKUP(C7353,METADATA!$A$5:$H$29,IF(E7353="HI",2,IF(E7353="LO",6,10))+IF(D7353=1,2,IF(D7353=7,1,(IF(WEEKDAY(B7353)=1,2,IF(WEEKDAY(B7353)=7,1,0))))))</f>
        <v>3</v>
      </c>
      <c r="G7353" s="369">
        <f>VLOOKUP(C7353,METADATA!$J$5:$Q$29,IF(E7353="HI",2,IF(E7353="LO",6,10))+IF(D7353=1,2,IF(D7353=7,1,(IF(WEEKDAY(B7353)=1,2,IF(WEEKDAY(B7353)=7,1,0))))))</f>
        <v>3</v>
      </c>
      <c r="H7353" s="370">
        <v>2827.9450378417969</v>
      </c>
      <c r="I7353" s="370">
        <v>1318.8249816894531</v>
      </c>
      <c r="M7353" s="371">
        <f t="shared" si="457"/>
        <v>3120.3481327220893</v>
      </c>
      <c r="N7353" s="329">
        <f t="shared" si="458"/>
        <v>470.44147033691411</v>
      </c>
      <c r="T7353" s="331">
        <v>0</v>
      </c>
      <c r="U7353" s="328">
        <f>VLOOKUP(C7353,METADATA!$J$5:$Q$29,IF(E7353="HI",2,IF(E7353="LO",6,10))+IF(T7353=1,2,IF(D7353=7,1,(IF(WEEKDAY(B7353)=1,2,IF(WEEKDAY(B7353)=7,1,0))))))</f>
        <v>3</v>
      </c>
      <c r="V7353" s="328">
        <f>VLOOKUP(C7353,METADATA!$A$5:$H$29,IF(E7353="HI",2,IF(E7353="LO",6,10))+IF(T7353=1,2,IF(D7353=7,1,(IF(WEEKDAY(B7353)=1,2,IF(WEEKDAY(B7353)=7,1,0))))))</f>
        <v>3</v>
      </c>
    </row>
    <row r="7354" spans="2:22">
      <c r="B7354" s="318">
        <f t="shared" si="459"/>
        <v>46419</v>
      </c>
      <c r="C7354" s="312">
        <v>6</v>
      </c>
      <c r="D7354" s="368">
        <f>IFERROR((INDEX(METADATA!$T$2:$T$20,MATCH(B7354,METADATA!$S$2:$S$20,0))),0)</f>
        <v>0</v>
      </c>
      <c r="E7354" s="312" t="str">
        <f t="shared" si="456"/>
        <v>LO</v>
      </c>
      <c r="F7354" s="369">
        <f>VLOOKUP(C7354,METADATA!$A$5:$H$29,IF(E7354="HI",2,IF(E7354="LO",6,10))+IF(D7354=1,2,IF(D7354=7,1,(IF(WEEKDAY(B7354)=1,2,IF(WEEKDAY(B7354)=7,1,0))))))</f>
        <v>2</v>
      </c>
      <c r="G7354" s="369">
        <f>VLOOKUP(C7354,METADATA!$J$5:$Q$29,IF(E7354="HI",2,IF(E7354="LO",6,10))+IF(D7354=1,2,IF(D7354=7,1,(IF(WEEKDAY(B7354)=1,2,IF(WEEKDAY(B7354)=7,1,0))))))</f>
        <v>2</v>
      </c>
      <c r="H7354" s="370">
        <v>2841.7200012207031</v>
      </c>
      <c r="I7354" s="370">
        <v>1323.3624877929688</v>
      </c>
      <c r="M7354" s="371">
        <f t="shared" si="457"/>
        <v>3134.7505226788603</v>
      </c>
      <c r="N7354" s="329">
        <f t="shared" si="458"/>
        <v>470.84648742675779</v>
      </c>
      <c r="T7354" s="331">
        <v>0</v>
      </c>
      <c r="U7354" s="328">
        <f>VLOOKUP(C7354,METADATA!$J$5:$Q$29,IF(E7354="HI",2,IF(E7354="LO",6,10))+IF(T7354=1,2,IF(D7354=7,1,(IF(WEEKDAY(B7354)=1,2,IF(WEEKDAY(B7354)=7,1,0))))))</f>
        <v>2</v>
      </c>
      <c r="V7354" s="328">
        <f>VLOOKUP(C7354,METADATA!$A$5:$H$29,IF(E7354="HI",2,IF(E7354="LO",6,10))+IF(T7354=1,2,IF(D7354=7,1,(IF(WEEKDAY(B7354)=1,2,IF(WEEKDAY(B7354)=7,1,0))))))</f>
        <v>2</v>
      </c>
    </row>
    <row r="7355" spans="2:22">
      <c r="B7355" s="318">
        <f t="shared" si="459"/>
        <v>46419</v>
      </c>
      <c r="C7355" s="312">
        <v>7</v>
      </c>
      <c r="D7355" s="368">
        <f>IFERROR((INDEX(METADATA!$T$2:$T$20,MATCH(B7355,METADATA!$S$2:$S$20,0))),0)</f>
        <v>0</v>
      </c>
      <c r="E7355" s="312" t="str">
        <f t="shared" si="456"/>
        <v>LO</v>
      </c>
      <c r="F7355" s="369">
        <f>VLOOKUP(C7355,METADATA!$A$5:$H$29,IF(E7355="HI",2,IF(E7355="LO",6,10))+IF(D7355=1,2,IF(D7355=7,1,(IF(WEEKDAY(B7355)=1,2,IF(WEEKDAY(B7355)=7,1,0))))))</f>
        <v>1</v>
      </c>
      <c r="G7355" s="369">
        <f>VLOOKUP(C7355,METADATA!$J$5:$Q$29,IF(E7355="HI",2,IF(E7355="LO",6,10))+IF(D7355=1,2,IF(D7355=7,1,(IF(WEEKDAY(B7355)=1,2,IF(WEEKDAY(B7355)=7,1,0))))))</f>
        <v>1</v>
      </c>
      <c r="H7355" s="370">
        <v>2690.7349548339844</v>
      </c>
      <c r="I7355" s="370">
        <v>1269.7899780273438</v>
      </c>
      <c r="M7355" s="371">
        <f t="shared" si="457"/>
        <v>2975.3018645952757</v>
      </c>
      <c r="N7355" s="329">
        <f t="shared" si="458"/>
        <v>462.56949157714848</v>
      </c>
      <c r="T7355" s="331">
        <v>0</v>
      </c>
      <c r="U7355" s="328">
        <f>VLOOKUP(C7355,METADATA!$J$5:$Q$29,IF(E7355="HI",2,IF(E7355="LO",6,10))+IF(T7355=1,2,IF(D7355=7,1,(IF(WEEKDAY(B7355)=1,2,IF(WEEKDAY(B7355)=7,1,0))))))</f>
        <v>1</v>
      </c>
      <c r="V7355" s="328">
        <f>VLOOKUP(C7355,METADATA!$A$5:$H$29,IF(E7355="HI",2,IF(E7355="LO",6,10))+IF(T7355=1,2,IF(D7355=7,1,(IF(WEEKDAY(B7355)=1,2,IF(WEEKDAY(B7355)=7,1,0))))))</f>
        <v>1</v>
      </c>
    </row>
    <row r="7356" spans="2:22">
      <c r="B7356" s="318">
        <f t="shared" si="459"/>
        <v>46419</v>
      </c>
      <c r="C7356" s="312">
        <v>8</v>
      </c>
      <c r="D7356" s="368">
        <f>IFERROR((INDEX(METADATA!$T$2:$T$20,MATCH(B7356,METADATA!$S$2:$S$20,0))),0)</f>
        <v>0</v>
      </c>
      <c r="E7356" s="312" t="str">
        <f t="shared" si="456"/>
        <v>LO</v>
      </c>
      <c r="F7356" s="369">
        <f>VLOOKUP(C7356,METADATA!$A$5:$H$29,IF(E7356="HI",2,IF(E7356="LO",6,10))+IF(D7356=1,2,IF(D7356=7,1,(IF(WEEKDAY(B7356)=1,2,IF(WEEKDAY(B7356)=7,1,0))))))</f>
        <v>1</v>
      </c>
      <c r="G7356" s="369">
        <f>VLOOKUP(C7356,METADATA!$J$5:$Q$29,IF(E7356="HI",2,IF(E7356="LO",6,10))+IF(D7356=1,2,IF(D7356=7,1,(IF(WEEKDAY(B7356)=1,2,IF(WEEKDAY(B7356)=7,1,0))))))</f>
        <v>1</v>
      </c>
      <c r="H7356" s="370">
        <v>2641.2950134277344</v>
      </c>
      <c r="I7356" s="370">
        <v>1283.0400085449219</v>
      </c>
      <c r="M7356" s="371">
        <f t="shared" si="457"/>
        <v>2936.4316800302317</v>
      </c>
      <c r="N7356" s="329">
        <f t="shared" si="458"/>
        <v>490.65150451660156</v>
      </c>
      <c r="T7356" s="331">
        <v>0</v>
      </c>
      <c r="U7356" s="328">
        <f>VLOOKUP(C7356,METADATA!$J$5:$Q$29,IF(E7356="HI",2,IF(E7356="LO",6,10))+IF(T7356=1,2,IF(D7356=7,1,(IF(WEEKDAY(B7356)=1,2,IF(WEEKDAY(B7356)=7,1,0))))))</f>
        <v>1</v>
      </c>
      <c r="V7356" s="328">
        <f>VLOOKUP(C7356,METADATA!$A$5:$H$29,IF(E7356="HI",2,IF(E7356="LO",6,10))+IF(T7356=1,2,IF(D7356=7,1,(IF(WEEKDAY(B7356)=1,2,IF(WEEKDAY(B7356)=7,1,0))))))</f>
        <v>1</v>
      </c>
    </row>
    <row r="7357" spans="2:22">
      <c r="B7357" s="318">
        <f t="shared" si="459"/>
        <v>46419</v>
      </c>
      <c r="C7357" s="312">
        <v>9</v>
      </c>
      <c r="D7357" s="368">
        <f>IFERROR((INDEX(METADATA!$T$2:$T$20,MATCH(B7357,METADATA!$S$2:$S$20,0))),0)</f>
        <v>0</v>
      </c>
      <c r="E7357" s="312" t="str">
        <f t="shared" si="456"/>
        <v>LO</v>
      </c>
      <c r="F7357" s="369">
        <f>VLOOKUP(C7357,METADATA!$A$5:$H$29,IF(E7357="HI",2,IF(E7357="LO",6,10))+IF(D7357=1,2,IF(D7357=7,1,(IF(WEEKDAY(B7357)=1,2,IF(WEEKDAY(B7357)=7,1,0))))))</f>
        <v>2</v>
      </c>
      <c r="G7357" s="369">
        <f>VLOOKUP(C7357,METADATA!$J$5:$Q$29,IF(E7357="HI",2,IF(E7357="LO",6,10))+IF(D7357=1,2,IF(D7357=7,1,(IF(WEEKDAY(B7357)=1,2,IF(WEEKDAY(B7357)=7,1,0))))))</f>
        <v>2</v>
      </c>
      <c r="H7357" s="370">
        <v>2641.3450164794922</v>
      </c>
      <c r="I7357" s="370">
        <v>1269.9375</v>
      </c>
      <c r="M7357" s="371">
        <f t="shared" si="457"/>
        <v>2930.7754519900186</v>
      </c>
      <c r="N7357" s="329">
        <f t="shared" si="458"/>
        <v>477.53399505615232</v>
      </c>
      <c r="T7357" s="331">
        <v>0</v>
      </c>
      <c r="U7357" s="328">
        <f>VLOOKUP(C7357,METADATA!$J$5:$Q$29,IF(E7357="HI",2,IF(E7357="LO",6,10))+IF(T7357=1,2,IF(D7357=7,1,(IF(WEEKDAY(B7357)=1,2,IF(WEEKDAY(B7357)=7,1,0))))))</f>
        <v>2</v>
      </c>
      <c r="V7357" s="328">
        <f>VLOOKUP(C7357,METADATA!$A$5:$H$29,IF(E7357="HI",2,IF(E7357="LO",6,10))+IF(T7357=1,2,IF(D7357=7,1,(IF(WEEKDAY(B7357)=1,2,IF(WEEKDAY(B7357)=7,1,0))))))</f>
        <v>2</v>
      </c>
    </row>
    <row r="7358" spans="2:22">
      <c r="B7358" s="318">
        <f t="shared" si="459"/>
        <v>46419</v>
      </c>
      <c r="C7358" s="312">
        <v>10</v>
      </c>
      <c r="D7358" s="368">
        <f>IFERROR((INDEX(METADATA!$T$2:$T$20,MATCH(B7358,METADATA!$S$2:$S$20,0))),0)</f>
        <v>0</v>
      </c>
      <c r="E7358" s="312" t="str">
        <f t="shared" si="456"/>
        <v>LO</v>
      </c>
      <c r="F7358" s="369">
        <f>VLOOKUP(C7358,METADATA!$A$5:$H$29,IF(E7358="HI",2,IF(E7358="LO",6,10))+IF(D7358=1,2,IF(D7358=7,1,(IF(WEEKDAY(B7358)=1,2,IF(WEEKDAY(B7358)=7,1,0))))))</f>
        <v>2</v>
      </c>
      <c r="G7358" s="369">
        <f>VLOOKUP(C7358,METADATA!$J$5:$Q$29,IF(E7358="HI",2,IF(E7358="LO",6,10))+IF(D7358=1,2,IF(D7358=7,1,(IF(WEEKDAY(B7358)=1,2,IF(WEEKDAY(B7358)=7,1,0))))))</f>
        <v>2</v>
      </c>
      <c r="H7358" s="370">
        <v>2586.7675170898438</v>
      </c>
      <c r="I7358" s="370">
        <v>1279.0075073242188</v>
      </c>
      <c r="M7358" s="371">
        <f t="shared" si="457"/>
        <v>2885.6933986934346</v>
      </c>
      <c r="N7358" s="329">
        <f t="shared" si="458"/>
        <v>502.97725219726567</v>
      </c>
      <c r="T7358" s="331">
        <v>0</v>
      </c>
      <c r="U7358" s="328">
        <f>VLOOKUP(C7358,METADATA!$J$5:$Q$29,IF(E7358="HI",2,IF(E7358="LO",6,10))+IF(T7358=1,2,IF(D7358=7,1,(IF(WEEKDAY(B7358)=1,2,IF(WEEKDAY(B7358)=7,1,0))))))</f>
        <v>2</v>
      </c>
      <c r="V7358" s="328">
        <f>VLOOKUP(C7358,METADATA!$A$5:$H$29,IF(E7358="HI",2,IF(E7358="LO",6,10))+IF(T7358=1,2,IF(D7358=7,1,(IF(WEEKDAY(B7358)=1,2,IF(WEEKDAY(B7358)=7,1,0))))))</f>
        <v>2</v>
      </c>
    </row>
    <row r="7359" spans="2:22">
      <c r="B7359" s="318">
        <f t="shared" si="459"/>
        <v>46419</v>
      </c>
      <c r="C7359" s="312">
        <v>11</v>
      </c>
      <c r="D7359" s="368">
        <f>IFERROR((INDEX(METADATA!$T$2:$T$20,MATCH(B7359,METADATA!$S$2:$S$20,0))),0)</f>
        <v>0</v>
      </c>
      <c r="E7359" s="312" t="str">
        <f t="shared" si="456"/>
        <v>LO</v>
      </c>
      <c r="F7359" s="369">
        <f>VLOOKUP(C7359,METADATA!$A$5:$H$29,IF(E7359="HI",2,IF(E7359="LO",6,10))+IF(D7359=1,2,IF(D7359=7,1,(IF(WEEKDAY(B7359)=1,2,IF(WEEKDAY(B7359)=7,1,0))))))</f>
        <v>2</v>
      </c>
      <c r="G7359" s="369">
        <f>VLOOKUP(C7359,METADATA!$J$5:$Q$29,IF(E7359="HI",2,IF(E7359="LO",6,10))+IF(D7359=1,2,IF(D7359=7,1,(IF(WEEKDAY(B7359)=1,2,IF(WEEKDAY(B7359)=7,1,0))))))</f>
        <v>2</v>
      </c>
      <c r="H7359" s="370">
        <v>2617.1749420166016</v>
      </c>
      <c r="I7359" s="370">
        <v>1293.8374938964844</v>
      </c>
      <c r="M7359" s="371">
        <f t="shared" si="457"/>
        <v>2919.5239573827675</v>
      </c>
      <c r="N7359" s="329">
        <f t="shared" si="458"/>
        <v>508.68501129150388</v>
      </c>
      <c r="T7359" s="331">
        <v>0</v>
      </c>
      <c r="U7359" s="328">
        <f>VLOOKUP(C7359,METADATA!$J$5:$Q$29,IF(E7359="HI",2,IF(E7359="LO",6,10))+IF(T7359=1,2,IF(D7359=7,1,(IF(WEEKDAY(B7359)=1,2,IF(WEEKDAY(B7359)=7,1,0))))))</f>
        <v>2</v>
      </c>
      <c r="V7359" s="328">
        <f>VLOOKUP(C7359,METADATA!$A$5:$H$29,IF(E7359="HI",2,IF(E7359="LO",6,10))+IF(T7359=1,2,IF(D7359=7,1,(IF(WEEKDAY(B7359)=1,2,IF(WEEKDAY(B7359)=7,1,0))))))</f>
        <v>2</v>
      </c>
    </row>
    <row r="7360" spans="2:22">
      <c r="B7360" s="318">
        <f t="shared" si="459"/>
        <v>46419</v>
      </c>
      <c r="C7360" s="312">
        <v>12</v>
      </c>
      <c r="D7360" s="368">
        <f>IFERROR((INDEX(METADATA!$T$2:$T$20,MATCH(B7360,METADATA!$S$2:$S$20,0))),0)</f>
        <v>0</v>
      </c>
      <c r="E7360" s="312" t="str">
        <f t="shared" si="456"/>
        <v>LO</v>
      </c>
      <c r="F7360" s="369">
        <f>VLOOKUP(C7360,METADATA!$A$5:$H$29,IF(E7360="HI",2,IF(E7360="LO",6,10))+IF(D7360=1,2,IF(D7360=7,1,(IF(WEEKDAY(B7360)=1,2,IF(WEEKDAY(B7360)=7,1,0))))))</f>
        <v>2</v>
      </c>
      <c r="G7360" s="369">
        <f>VLOOKUP(C7360,METADATA!$J$5:$Q$29,IF(E7360="HI",2,IF(E7360="LO",6,10))+IF(D7360=1,2,IF(D7360=7,1,(IF(WEEKDAY(B7360)=1,2,IF(WEEKDAY(B7360)=7,1,0))))))</f>
        <v>2</v>
      </c>
      <c r="H7360" s="370">
        <v>2506.032470703125</v>
      </c>
      <c r="I7360" s="370">
        <v>1162.72998046875</v>
      </c>
      <c r="M7360" s="371">
        <f t="shared" si="457"/>
        <v>2762.6327572986006</v>
      </c>
      <c r="N7360" s="329">
        <f t="shared" si="458"/>
        <v>410.92023925781257</v>
      </c>
      <c r="T7360" s="331">
        <v>0</v>
      </c>
      <c r="U7360" s="328">
        <f>VLOOKUP(C7360,METADATA!$J$5:$Q$29,IF(E7360="HI",2,IF(E7360="LO",6,10))+IF(T7360=1,2,IF(D7360=7,1,(IF(WEEKDAY(B7360)=1,2,IF(WEEKDAY(B7360)=7,1,0))))))</f>
        <v>2</v>
      </c>
      <c r="V7360" s="328">
        <f>VLOOKUP(C7360,METADATA!$A$5:$H$29,IF(E7360="HI",2,IF(E7360="LO",6,10))+IF(T7360=1,2,IF(D7360=7,1,(IF(WEEKDAY(B7360)=1,2,IF(WEEKDAY(B7360)=7,1,0))))))</f>
        <v>2</v>
      </c>
    </row>
    <row r="7361" spans="2:22">
      <c r="B7361" s="318">
        <f t="shared" si="459"/>
        <v>46419</v>
      </c>
      <c r="C7361" s="312">
        <v>13</v>
      </c>
      <c r="D7361" s="368">
        <f>IFERROR((INDEX(METADATA!$T$2:$T$20,MATCH(B7361,METADATA!$S$2:$S$20,0))),0)</f>
        <v>0</v>
      </c>
      <c r="E7361" s="312" t="str">
        <f t="shared" si="456"/>
        <v>LO</v>
      </c>
      <c r="F7361" s="369">
        <f>VLOOKUP(C7361,METADATA!$A$5:$H$29,IF(E7361="HI",2,IF(E7361="LO",6,10))+IF(D7361=1,2,IF(D7361=7,1,(IF(WEEKDAY(B7361)=1,2,IF(WEEKDAY(B7361)=7,1,0))))))</f>
        <v>2</v>
      </c>
      <c r="G7361" s="369">
        <f>VLOOKUP(C7361,METADATA!$J$5:$Q$29,IF(E7361="HI",2,IF(E7361="LO",6,10))+IF(D7361=1,2,IF(D7361=7,1,(IF(WEEKDAY(B7361)=1,2,IF(WEEKDAY(B7361)=7,1,0))))))</f>
        <v>2</v>
      </c>
      <c r="H7361" s="370">
        <v>2384.5700073242188</v>
      </c>
      <c r="I7361" s="370">
        <v>968.11248779296875</v>
      </c>
      <c r="M7361" s="371">
        <f t="shared" si="457"/>
        <v>2573.5997957823424</v>
      </c>
      <c r="N7361" s="329">
        <f t="shared" si="458"/>
        <v>252.74148559570313</v>
      </c>
      <c r="T7361" s="331">
        <v>0</v>
      </c>
      <c r="U7361" s="328">
        <f>VLOOKUP(C7361,METADATA!$J$5:$Q$29,IF(E7361="HI",2,IF(E7361="LO",6,10))+IF(T7361=1,2,IF(D7361=7,1,(IF(WEEKDAY(B7361)=1,2,IF(WEEKDAY(B7361)=7,1,0))))))</f>
        <v>2</v>
      </c>
      <c r="V7361" s="328">
        <f>VLOOKUP(C7361,METADATA!$A$5:$H$29,IF(E7361="HI",2,IF(E7361="LO",6,10))+IF(T7361=1,2,IF(D7361=7,1,(IF(WEEKDAY(B7361)=1,2,IF(WEEKDAY(B7361)=7,1,0))))))</f>
        <v>2</v>
      </c>
    </row>
    <row r="7362" spans="2:22">
      <c r="B7362" s="318">
        <f t="shared" si="459"/>
        <v>46419</v>
      </c>
      <c r="C7362" s="312">
        <v>14</v>
      </c>
      <c r="D7362" s="368">
        <f>IFERROR((INDEX(METADATA!$T$2:$T$20,MATCH(B7362,METADATA!$S$2:$S$20,0))),0)</f>
        <v>0</v>
      </c>
      <c r="E7362" s="312" t="str">
        <f t="shared" si="456"/>
        <v>LO</v>
      </c>
      <c r="F7362" s="369">
        <f>VLOOKUP(C7362,METADATA!$A$5:$H$29,IF(E7362="HI",2,IF(E7362="LO",6,10))+IF(D7362=1,2,IF(D7362=7,1,(IF(WEEKDAY(B7362)=1,2,IF(WEEKDAY(B7362)=7,1,0))))))</f>
        <v>2</v>
      </c>
      <c r="G7362" s="369">
        <f>VLOOKUP(C7362,METADATA!$J$5:$Q$29,IF(E7362="HI",2,IF(E7362="LO",6,10))+IF(D7362=1,2,IF(D7362=7,1,(IF(WEEKDAY(B7362)=1,2,IF(WEEKDAY(B7362)=7,1,0))))))</f>
        <v>2</v>
      </c>
      <c r="H7362" s="370">
        <v>2368.7024536132813</v>
      </c>
      <c r="I7362" s="370">
        <v>951.55001831054688</v>
      </c>
      <c r="M7362" s="371">
        <f t="shared" si="457"/>
        <v>2552.6846164578146</v>
      </c>
      <c r="N7362" s="329">
        <f t="shared" si="458"/>
        <v>240.93928222656257</v>
      </c>
      <c r="T7362" s="331">
        <v>0</v>
      </c>
      <c r="U7362" s="328">
        <f>VLOOKUP(C7362,METADATA!$J$5:$Q$29,IF(E7362="HI",2,IF(E7362="LO",6,10))+IF(T7362=1,2,IF(D7362=7,1,(IF(WEEKDAY(B7362)=1,2,IF(WEEKDAY(B7362)=7,1,0))))))</f>
        <v>2</v>
      </c>
      <c r="V7362" s="328">
        <f>VLOOKUP(C7362,METADATA!$A$5:$H$29,IF(E7362="HI",2,IF(E7362="LO",6,10))+IF(T7362=1,2,IF(D7362=7,1,(IF(WEEKDAY(B7362)=1,2,IF(WEEKDAY(B7362)=7,1,0))))))</f>
        <v>2</v>
      </c>
    </row>
    <row r="7363" spans="2:22">
      <c r="B7363" s="318">
        <f t="shared" si="459"/>
        <v>46419</v>
      </c>
      <c r="C7363" s="312">
        <v>15</v>
      </c>
      <c r="D7363" s="368">
        <f>IFERROR((INDEX(METADATA!$T$2:$T$20,MATCH(B7363,METADATA!$S$2:$S$20,0))),0)</f>
        <v>0</v>
      </c>
      <c r="E7363" s="312" t="str">
        <f t="shared" si="456"/>
        <v>LO</v>
      </c>
      <c r="F7363" s="369">
        <f>VLOOKUP(C7363,METADATA!$A$5:$H$29,IF(E7363="HI",2,IF(E7363="LO",6,10))+IF(D7363=1,2,IF(D7363=7,1,(IF(WEEKDAY(B7363)=1,2,IF(WEEKDAY(B7363)=7,1,0))))))</f>
        <v>2</v>
      </c>
      <c r="G7363" s="369">
        <f>VLOOKUP(C7363,METADATA!$J$5:$Q$29,IF(E7363="HI",2,IF(E7363="LO",6,10))+IF(D7363=1,2,IF(D7363=7,1,(IF(WEEKDAY(B7363)=1,2,IF(WEEKDAY(B7363)=7,1,0))))))</f>
        <v>2</v>
      </c>
      <c r="H7363" s="370">
        <v>2519.2799377441406</v>
      </c>
      <c r="I7363" s="370">
        <v>954.14500427246094</v>
      </c>
      <c r="M7363" s="371">
        <f t="shared" si="457"/>
        <v>2693.9124139248133</v>
      </c>
      <c r="N7363" s="329">
        <f t="shared" si="458"/>
        <v>198.36102294921875</v>
      </c>
      <c r="T7363" s="331">
        <v>0</v>
      </c>
      <c r="U7363" s="328">
        <f>VLOOKUP(C7363,METADATA!$J$5:$Q$29,IF(E7363="HI",2,IF(E7363="LO",6,10))+IF(T7363=1,2,IF(D7363=7,1,(IF(WEEKDAY(B7363)=1,2,IF(WEEKDAY(B7363)=7,1,0))))))</f>
        <v>2</v>
      </c>
      <c r="V7363" s="328">
        <f>VLOOKUP(C7363,METADATA!$A$5:$H$29,IF(E7363="HI",2,IF(E7363="LO",6,10))+IF(T7363=1,2,IF(D7363=7,1,(IF(WEEKDAY(B7363)=1,2,IF(WEEKDAY(B7363)=7,1,0))))))</f>
        <v>2</v>
      </c>
    </row>
    <row r="7364" spans="2:22">
      <c r="B7364" s="318">
        <f t="shared" si="459"/>
        <v>46419</v>
      </c>
      <c r="C7364" s="312">
        <v>16</v>
      </c>
      <c r="D7364" s="368">
        <f>IFERROR((INDEX(METADATA!$T$2:$T$20,MATCH(B7364,METADATA!$S$2:$S$20,0))),0)</f>
        <v>0</v>
      </c>
      <c r="E7364" s="312" t="str">
        <f t="shared" ref="E7364:E7427" si="460">IF(B7364="","",IF(AND(MONTH(B7364)&gt;=MONTH($Z$9),MONTH(B7364)&lt;=MONTH($Z$11)),"HI","LO"))</f>
        <v>LO</v>
      </c>
      <c r="F7364" s="369">
        <f>VLOOKUP(C7364,METADATA!$A$5:$H$29,IF(E7364="HI",2,IF(E7364="LO",6,10))+IF(D7364=1,2,IF(D7364=7,1,(IF(WEEKDAY(B7364)=1,2,IF(WEEKDAY(B7364)=7,1,0))))))</f>
        <v>2</v>
      </c>
      <c r="G7364" s="369">
        <f>VLOOKUP(C7364,METADATA!$J$5:$Q$29,IF(E7364="HI",2,IF(E7364="LO",6,10))+IF(D7364=1,2,IF(D7364=7,1,(IF(WEEKDAY(B7364)=1,2,IF(WEEKDAY(B7364)=7,1,0))))))</f>
        <v>2</v>
      </c>
      <c r="H7364" s="370">
        <v>2553.4574890136719</v>
      </c>
      <c r="I7364" s="370">
        <v>966.09748840332031</v>
      </c>
      <c r="M7364" s="371">
        <f t="shared" ref="M7364:M7427" si="461">SQRT(H7364^2+I7364^2)</f>
        <v>2730.1079658686044</v>
      </c>
      <c r="N7364" s="329">
        <f t="shared" ref="N7364:N7427" si="462">IF(H7364=0,0,(IF(I7364-(0.3*H7364)&lt;0,0,(I7364-(0.3*H7364)))))</f>
        <v>200.06024169921875</v>
      </c>
      <c r="T7364" s="331">
        <v>0</v>
      </c>
      <c r="U7364" s="328">
        <f>VLOOKUP(C7364,METADATA!$J$5:$Q$29,IF(E7364="HI",2,IF(E7364="LO",6,10))+IF(T7364=1,2,IF(D7364=7,1,(IF(WEEKDAY(B7364)=1,2,IF(WEEKDAY(B7364)=7,1,0))))))</f>
        <v>2</v>
      </c>
      <c r="V7364" s="328">
        <f>VLOOKUP(C7364,METADATA!$A$5:$H$29,IF(E7364="HI",2,IF(E7364="LO",6,10))+IF(T7364=1,2,IF(D7364=7,1,(IF(WEEKDAY(B7364)=1,2,IF(WEEKDAY(B7364)=7,1,0))))))</f>
        <v>2</v>
      </c>
    </row>
    <row r="7365" spans="2:22">
      <c r="B7365" s="318">
        <f t="shared" si="459"/>
        <v>46419</v>
      </c>
      <c r="C7365" s="312">
        <v>17</v>
      </c>
      <c r="D7365" s="368">
        <f>IFERROR((INDEX(METADATA!$T$2:$T$20,MATCH(B7365,METADATA!$S$2:$S$20,0))),0)</f>
        <v>0</v>
      </c>
      <c r="E7365" s="312" t="str">
        <f t="shared" si="460"/>
        <v>LO</v>
      </c>
      <c r="F7365" s="369">
        <f>VLOOKUP(C7365,METADATA!$A$5:$H$29,IF(E7365="HI",2,IF(E7365="LO",6,10))+IF(D7365=1,2,IF(D7365=7,1,(IF(WEEKDAY(B7365)=1,2,IF(WEEKDAY(B7365)=7,1,0))))))</f>
        <v>2</v>
      </c>
      <c r="G7365" s="369">
        <f>VLOOKUP(C7365,METADATA!$J$5:$Q$29,IF(E7365="HI",2,IF(E7365="LO",6,10))+IF(D7365=1,2,IF(D7365=7,1,(IF(WEEKDAY(B7365)=1,2,IF(WEEKDAY(B7365)=7,1,0))))))</f>
        <v>2</v>
      </c>
      <c r="H7365" s="370">
        <v>2521.6825408935547</v>
      </c>
      <c r="I7365" s="370">
        <v>993.5999755859375</v>
      </c>
      <c r="M7365" s="371">
        <f t="shared" si="461"/>
        <v>2710.3733596188827</v>
      </c>
      <c r="N7365" s="329">
        <f t="shared" si="462"/>
        <v>237.09521331787107</v>
      </c>
      <c r="T7365" s="331">
        <v>0</v>
      </c>
      <c r="U7365" s="328">
        <f>VLOOKUP(C7365,METADATA!$J$5:$Q$29,IF(E7365="HI",2,IF(E7365="LO",6,10))+IF(T7365=1,2,IF(D7365=7,1,(IF(WEEKDAY(B7365)=1,2,IF(WEEKDAY(B7365)=7,1,0))))))</f>
        <v>2</v>
      </c>
      <c r="V7365" s="328">
        <f>VLOOKUP(C7365,METADATA!$A$5:$H$29,IF(E7365="HI",2,IF(E7365="LO",6,10))+IF(T7365=1,2,IF(D7365=7,1,(IF(WEEKDAY(B7365)=1,2,IF(WEEKDAY(B7365)=7,1,0))))))</f>
        <v>2</v>
      </c>
    </row>
    <row r="7366" spans="2:22">
      <c r="B7366" s="318">
        <f t="shared" si="459"/>
        <v>46419</v>
      </c>
      <c r="C7366" s="312">
        <v>18</v>
      </c>
      <c r="D7366" s="368">
        <f>IFERROR((INDEX(METADATA!$T$2:$T$20,MATCH(B7366,METADATA!$S$2:$S$20,0))),0)</f>
        <v>0</v>
      </c>
      <c r="E7366" s="312" t="str">
        <f t="shared" si="460"/>
        <v>LO</v>
      </c>
      <c r="F7366" s="369">
        <f>VLOOKUP(C7366,METADATA!$A$5:$H$29,IF(E7366="HI",2,IF(E7366="LO",6,10))+IF(D7366=1,2,IF(D7366=7,1,(IF(WEEKDAY(B7366)=1,2,IF(WEEKDAY(B7366)=7,1,0))))))</f>
        <v>1</v>
      </c>
      <c r="G7366" s="369">
        <f>VLOOKUP(C7366,METADATA!$J$5:$Q$29,IF(E7366="HI",2,IF(E7366="LO",6,10))+IF(D7366=1,2,IF(D7366=7,1,(IF(WEEKDAY(B7366)=1,2,IF(WEEKDAY(B7366)=7,1,0))))))</f>
        <v>1</v>
      </c>
      <c r="H7366" s="370">
        <v>2581.5549926757813</v>
      </c>
      <c r="I7366" s="370">
        <v>1193.1824645996094</v>
      </c>
      <c r="M7366" s="371">
        <f t="shared" si="461"/>
        <v>2843.9603678738654</v>
      </c>
      <c r="N7366" s="329">
        <f t="shared" si="462"/>
        <v>418.71596679687502</v>
      </c>
      <c r="T7366" s="331">
        <v>0</v>
      </c>
      <c r="U7366" s="328">
        <f>VLOOKUP(C7366,METADATA!$J$5:$Q$29,IF(E7366="HI",2,IF(E7366="LO",6,10))+IF(T7366=1,2,IF(D7366=7,1,(IF(WEEKDAY(B7366)=1,2,IF(WEEKDAY(B7366)=7,1,0))))))</f>
        <v>1</v>
      </c>
      <c r="V7366" s="328">
        <f>VLOOKUP(C7366,METADATA!$A$5:$H$29,IF(E7366="HI",2,IF(E7366="LO",6,10))+IF(T7366=1,2,IF(D7366=7,1,(IF(WEEKDAY(B7366)=1,2,IF(WEEKDAY(B7366)=7,1,0))))))</f>
        <v>1</v>
      </c>
    </row>
    <row r="7367" spans="2:22">
      <c r="B7367" s="318">
        <f t="shared" si="459"/>
        <v>46419</v>
      </c>
      <c r="C7367" s="312">
        <v>19</v>
      </c>
      <c r="D7367" s="368">
        <f>IFERROR((INDEX(METADATA!$T$2:$T$20,MATCH(B7367,METADATA!$S$2:$S$20,0))),0)</f>
        <v>0</v>
      </c>
      <c r="E7367" s="312" t="str">
        <f t="shared" si="460"/>
        <v>LO</v>
      </c>
      <c r="F7367" s="369">
        <f>VLOOKUP(C7367,METADATA!$A$5:$H$29,IF(E7367="HI",2,IF(E7367="LO",6,10))+IF(D7367=1,2,IF(D7367=7,1,(IF(WEEKDAY(B7367)=1,2,IF(WEEKDAY(B7367)=7,1,0))))))</f>
        <v>1</v>
      </c>
      <c r="G7367" s="369">
        <f>VLOOKUP(C7367,METADATA!$J$5:$Q$29,IF(E7367="HI",2,IF(E7367="LO",6,10))+IF(D7367=1,2,IF(D7367=7,1,(IF(WEEKDAY(B7367)=1,2,IF(WEEKDAY(B7367)=7,1,0))))))</f>
        <v>1</v>
      </c>
      <c r="H7367" s="370">
        <v>2622.2675476074219</v>
      </c>
      <c r="I7367" s="370">
        <v>1176.9850158691406</v>
      </c>
      <c r="M7367" s="371">
        <f t="shared" si="461"/>
        <v>2874.2965780892414</v>
      </c>
      <c r="N7367" s="329">
        <f t="shared" si="462"/>
        <v>390.30475158691411</v>
      </c>
      <c r="T7367" s="331">
        <v>0</v>
      </c>
      <c r="U7367" s="328">
        <f>VLOOKUP(C7367,METADATA!$J$5:$Q$29,IF(E7367="HI",2,IF(E7367="LO",6,10))+IF(T7367=1,2,IF(D7367=7,1,(IF(WEEKDAY(B7367)=1,2,IF(WEEKDAY(B7367)=7,1,0))))))</f>
        <v>1</v>
      </c>
      <c r="V7367" s="328">
        <f>VLOOKUP(C7367,METADATA!$A$5:$H$29,IF(E7367="HI",2,IF(E7367="LO",6,10))+IF(T7367=1,2,IF(D7367=7,1,(IF(WEEKDAY(B7367)=1,2,IF(WEEKDAY(B7367)=7,1,0))))))</f>
        <v>1</v>
      </c>
    </row>
    <row r="7368" spans="2:22">
      <c r="B7368" s="318">
        <f t="shared" si="459"/>
        <v>46419</v>
      </c>
      <c r="C7368" s="312">
        <v>20</v>
      </c>
      <c r="D7368" s="368">
        <f>IFERROR((INDEX(METADATA!$T$2:$T$20,MATCH(B7368,METADATA!$S$2:$S$20,0))),0)</f>
        <v>0</v>
      </c>
      <c r="E7368" s="312" t="str">
        <f t="shared" si="460"/>
        <v>LO</v>
      </c>
      <c r="F7368" s="369">
        <f>VLOOKUP(C7368,METADATA!$A$5:$H$29,IF(E7368="HI",2,IF(E7368="LO",6,10))+IF(D7368=1,2,IF(D7368=7,1,(IF(WEEKDAY(B7368)=1,2,IF(WEEKDAY(B7368)=7,1,0))))))</f>
        <v>1</v>
      </c>
      <c r="G7368" s="369">
        <f>VLOOKUP(C7368,METADATA!$J$5:$Q$29,IF(E7368="HI",2,IF(E7368="LO",6,10))+IF(D7368=1,2,IF(D7368=7,1,(IF(WEEKDAY(B7368)=1,2,IF(WEEKDAY(B7368)=7,1,0))))))</f>
        <v>1</v>
      </c>
      <c r="H7368" s="370">
        <v>2762.4949645996094</v>
      </c>
      <c r="I7368" s="370">
        <v>1247.2549743652344</v>
      </c>
      <c r="M7368" s="371">
        <f t="shared" si="461"/>
        <v>3031.0102937002735</v>
      </c>
      <c r="N7368" s="329">
        <f t="shared" si="462"/>
        <v>418.50648498535156</v>
      </c>
      <c r="T7368" s="331">
        <v>0</v>
      </c>
      <c r="U7368" s="328">
        <f>VLOOKUP(C7368,METADATA!$J$5:$Q$29,IF(E7368="HI",2,IF(E7368="LO",6,10))+IF(T7368=1,2,IF(D7368=7,1,(IF(WEEKDAY(B7368)=1,2,IF(WEEKDAY(B7368)=7,1,0))))))</f>
        <v>1</v>
      </c>
      <c r="V7368" s="328">
        <f>VLOOKUP(C7368,METADATA!$A$5:$H$29,IF(E7368="HI",2,IF(E7368="LO",6,10))+IF(T7368=1,2,IF(D7368=7,1,(IF(WEEKDAY(B7368)=1,2,IF(WEEKDAY(B7368)=7,1,0))))))</f>
        <v>1</v>
      </c>
    </row>
    <row r="7369" spans="2:22">
      <c r="B7369" s="318">
        <f t="shared" si="459"/>
        <v>46419</v>
      </c>
      <c r="C7369" s="312">
        <v>21</v>
      </c>
      <c r="D7369" s="368">
        <f>IFERROR((INDEX(METADATA!$T$2:$T$20,MATCH(B7369,METADATA!$S$2:$S$20,0))),0)</f>
        <v>0</v>
      </c>
      <c r="E7369" s="312" t="str">
        <f t="shared" si="460"/>
        <v>LO</v>
      </c>
      <c r="F7369" s="369">
        <f>VLOOKUP(C7369,METADATA!$A$5:$H$29,IF(E7369="HI",2,IF(E7369="LO",6,10))+IF(D7369=1,2,IF(D7369=7,1,(IF(WEEKDAY(B7369)=1,2,IF(WEEKDAY(B7369)=7,1,0))))))</f>
        <v>2</v>
      </c>
      <c r="G7369" s="369">
        <f>VLOOKUP(C7369,METADATA!$J$5:$Q$29,IF(E7369="HI",2,IF(E7369="LO",6,10))+IF(D7369=1,2,IF(D7369=7,1,(IF(WEEKDAY(B7369)=1,2,IF(WEEKDAY(B7369)=7,1,0))))))</f>
        <v>2</v>
      </c>
      <c r="H7369" s="370">
        <v>3628.9699096679688</v>
      </c>
      <c r="I7369" s="370">
        <v>1248.8400268554688</v>
      </c>
      <c r="M7369" s="371">
        <f t="shared" si="461"/>
        <v>3837.8410621014405</v>
      </c>
      <c r="N7369" s="329">
        <f t="shared" si="462"/>
        <v>160.14905395507822</v>
      </c>
      <c r="T7369" s="331">
        <v>0</v>
      </c>
      <c r="U7369" s="328">
        <f>VLOOKUP(C7369,METADATA!$J$5:$Q$29,IF(E7369="HI",2,IF(E7369="LO",6,10))+IF(T7369=1,2,IF(D7369=7,1,(IF(WEEKDAY(B7369)=1,2,IF(WEEKDAY(B7369)=7,1,0))))))</f>
        <v>2</v>
      </c>
      <c r="V7369" s="328">
        <f>VLOOKUP(C7369,METADATA!$A$5:$H$29,IF(E7369="HI",2,IF(E7369="LO",6,10))+IF(T7369=1,2,IF(D7369=7,1,(IF(WEEKDAY(B7369)=1,2,IF(WEEKDAY(B7369)=7,1,0))))))</f>
        <v>2</v>
      </c>
    </row>
    <row r="7370" spans="2:22">
      <c r="B7370" s="318">
        <f t="shared" si="459"/>
        <v>46419</v>
      </c>
      <c r="C7370" s="312">
        <v>22</v>
      </c>
      <c r="D7370" s="368">
        <f>IFERROR((INDEX(METADATA!$T$2:$T$20,MATCH(B7370,METADATA!$S$2:$S$20,0))),0)</f>
        <v>0</v>
      </c>
      <c r="E7370" s="312" t="str">
        <f t="shared" si="460"/>
        <v>LO</v>
      </c>
      <c r="F7370" s="369">
        <f>VLOOKUP(C7370,METADATA!$A$5:$H$29,IF(E7370="HI",2,IF(E7370="LO",6,10))+IF(D7370=1,2,IF(D7370=7,1,(IF(WEEKDAY(B7370)=1,2,IF(WEEKDAY(B7370)=7,1,0))))))</f>
        <v>3</v>
      </c>
      <c r="G7370" s="369">
        <f>VLOOKUP(C7370,METADATA!$J$5:$Q$29,IF(E7370="HI",2,IF(E7370="LO",6,10))+IF(D7370=1,2,IF(D7370=7,1,(IF(WEEKDAY(B7370)=1,2,IF(WEEKDAY(B7370)=7,1,0))))))</f>
        <v>3</v>
      </c>
      <c r="H7370" s="370">
        <v>4016.7374877929688</v>
      </c>
      <c r="I7370" s="370">
        <v>1274.3999633789063</v>
      </c>
      <c r="M7370" s="371">
        <f t="shared" si="461"/>
        <v>4214.0568710568596</v>
      </c>
      <c r="N7370" s="329">
        <f t="shared" si="462"/>
        <v>69.378717041015761</v>
      </c>
      <c r="T7370" s="331">
        <v>0</v>
      </c>
      <c r="U7370" s="328">
        <f>VLOOKUP(C7370,METADATA!$J$5:$Q$29,IF(E7370="HI",2,IF(E7370="LO",6,10))+IF(T7370=1,2,IF(D7370=7,1,(IF(WEEKDAY(B7370)=1,2,IF(WEEKDAY(B7370)=7,1,0))))))</f>
        <v>3</v>
      </c>
      <c r="V7370" s="328">
        <f>VLOOKUP(C7370,METADATA!$A$5:$H$29,IF(E7370="HI",2,IF(E7370="LO",6,10))+IF(T7370=1,2,IF(D7370=7,1,(IF(WEEKDAY(B7370)=1,2,IF(WEEKDAY(B7370)=7,1,0))))))</f>
        <v>3</v>
      </c>
    </row>
    <row r="7371" spans="2:22">
      <c r="B7371" s="318">
        <f t="shared" si="459"/>
        <v>46419</v>
      </c>
      <c r="C7371" s="312">
        <v>23</v>
      </c>
      <c r="D7371" s="368">
        <f>IFERROR((INDEX(METADATA!$T$2:$T$20,MATCH(B7371,METADATA!$S$2:$S$20,0))),0)</f>
        <v>0</v>
      </c>
      <c r="E7371" s="312" t="str">
        <f t="shared" si="460"/>
        <v>LO</v>
      </c>
      <c r="F7371" s="369">
        <f>VLOOKUP(C7371,METADATA!$A$5:$H$29,IF(E7371="HI",2,IF(E7371="LO",6,10))+IF(D7371=1,2,IF(D7371=7,1,(IF(WEEKDAY(B7371)=1,2,IF(WEEKDAY(B7371)=7,1,0))))))</f>
        <v>3</v>
      </c>
      <c r="G7371" s="369">
        <f>VLOOKUP(C7371,METADATA!$J$5:$Q$29,IF(E7371="HI",2,IF(E7371="LO",6,10))+IF(D7371=1,2,IF(D7371=7,1,(IF(WEEKDAY(B7371)=1,2,IF(WEEKDAY(B7371)=7,1,0))))))</f>
        <v>3</v>
      </c>
      <c r="H7371" s="370">
        <v>7624.7750854492188</v>
      </c>
      <c r="I7371" s="370">
        <v>1291.9900134205818</v>
      </c>
      <c r="M7371" s="371">
        <f t="shared" si="461"/>
        <v>7733.4619219639053</v>
      </c>
      <c r="N7371" s="329">
        <f t="shared" si="462"/>
        <v>0</v>
      </c>
      <c r="T7371" s="331">
        <v>0</v>
      </c>
      <c r="U7371" s="328">
        <f>VLOOKUP(C7371,METADATA!$J$5:$Q$29,IF(E7371="HI",2,IF(E7371="LO",6,10))+IF(T7371=1,2,IF(D7371=7,1,(IF(WEEKDAY(B7371)=1,2,IF(WEEKDAY(B7371)=7,1,0))))))</f>
        <v>3</v>
      </c>
      <c r="V7371" s="328">
        <f>VLOOKUP(C7371,METADATA!$A$5:$H$29,IF(E7371="HI",2,IF(E7371="LO",6,10))+IF(T7371=1,2,IF(D7371=7,1,(IF(WEEKDAY(B7371)=1,2,IF(WEEKDAY(B7371)=7,1,0))))))</f>
        <v>3</v>
      </c>
    </row>
    <row r="7372" spans="2:22">
      <c r="B7372" s="318">
        <f t="shared" si="459"/>
        <v>46420</v>
      </c>
      <c r="C7372" s="312">
        <v>0</v>
      </c>
      <c r="D7372" s="368">
        <f>IFERROR((INDEX(METADATA!$T$2:$T$20,MATCH(B7372,METADATA!$S$2:$S$20,0))),0)</f>
        <v>0</v>
      </c>
      <c r="E7372" s="312" t="str">
        <f t="shared" si="460"/>
        <v>LO</v>
      </c>
      <c r="F7372" s="369">
        <f>VLOOKUP(C7372,METADATA!$A$5:$H$29,IF(E7372="HI",2,IF(E7372="LO",6,10))+IF(D7372=1,2,IF(D7372=7,1,(IF(WEEKDAY(B7372)=1,2,IF(WEEKDAY(B7372)=7,1,0))))))</f>
        <v>3</v>
      </c>
      <c r="G7372" s="369">
        <f>VLOOKUP(C7372,METADATA!$J$5:$Q$29,IF(E7372="HI",2,IF(E7372="LO",6,10))+IF(D7372=1,2,IF(D7372=7,1,(IF(WEEKDAY(B7372)=1,2,IF(WEEKDAY(B7372)=7,1,0))))))</f>
        <v>3</v>
      </c>
      <c r="H7372" s="370">
        <v>9903.0974731445313</v>
      </c>
      <c r="I7372" s="370">
        <v>1601.2075031995773</v>
      </c>
      <c r="M7372" s="371">
        <f t="shared" si="461"/>
        <v>10031.70997541816</v>
      </c>
      <c r="N7372" s="329">
        <f t="shared" si="462"/>
        <v>0</v>
      </c>
      <c r="T7372" s="331">
        <v>0</v>
      </c>
      <c r="U7372" s="328">
        <f>VLOOKUP(C7372,METADATA!$J$5:$Q$29,IF(E7372="HI",2,IF(E7372="LO",6,10))+IF(T7372=1,2,IF(D7372=7,1,(IF(WEEKDAY(B7372)=1,2,IF(WEEKDAY(B7372)=7,1,0))))))</f>
        <v>3</v>
      </c>
      <c r="V7372" s="328">
        <f>VLOOKUP(C7372,METADATA!$A$5:$H$29,IF(E7372="HI",2,IF(E7372="LO",6,10))+IF(T7372=1,2,IF(D7372=7,1,(IF(WEEKDAY(B7372)=1,2,IF(WEEKDAY(B7372)=7,1,0))))))</f>
        <v>3</v>
      </c>
    </row>
    <row r="7373" spans="2:22">
      <c r="B7373" s="318">
        <f t="shared" si="459"/>
        <v>46420</v>
      </c>
      <c r="C7373" s="312">
        <v>1</v>
      </c>
      <c r="D7373" s="368">
        <f>IFERROR((INDEX(METADATA!$T$2:$T$20,MATCH(B7373,METADATA!$S$2:$S$20,0))),0)</f>
        <v>0</v>
      </c>
      <c r="E7373" s="312" t="str">
        <f t="shared" si="460"/>
        <v>LO</v>
      </c>
      <c r="F7373" s="369">
        <f>VLOOKUP(C7373,METADATA!$A$5:$H$29,IF(E7373="HI",2,IF(E7373="LO",6,10))+IF(D7373=1,2,IF(D7373=7,1,(IF(WEEKDAY(B7373)=1,2,IF(WEEKDAY(B7373)=7,1,0))))))</f>
        <v>3</v>
      </c>
      <c r="G7373" s="369">
        <f>VLOOKUP(C7373,METADATA!$J$5:$Q$29,IF(E7373="HI",2,IF(E7373="LO",6,10))+IF(D7373=1,2,IF(D7373=7,1,(IF(WEEKDAY(B7373)=1,2,IF(WEEKDAY(B7373)=7,1,0))))))</f>
        <v>3</v>
      </c>
      <c r="H7373" s="370">
        <v>11699.130004882813</v>
      </c>
      <c r="I7373" s="370">
        <v>2691.7649374008179</v>
      </c>
      <c r="M7373" s="371">
        <f t="shared" si="461"/>
        <v>12004.800762585348</v>
      </c>
      <c r="N7373" s="329">
        <f t="shared" si="462"/>
        <v>0</v>
      </c>
      <c r="T7373" s="331">
        <v>0</v>
      </c>
      <c r="U7373" s="328">
        <f>VLOOKUP(C7373,METADATA!$J$5:$Q$29,IF(E7373="HI",2,IF(E7373="LO",6,10))+IF(T7373=1,2,IF(D7373=7,1,(IF(WEEKDAY(B7373)=1,2,IF(WEEKDAY(B7373)=7,1,0))))))</f>
        <v>3</v>
      </c>
      <c r="V7373" s="328">
        <f>VLOOKUP(C7373,METADATA!$A$5:$H$29,IF(E7373="HI",2,IF(E7373="LO",6,10))+IF(T7373=1,2,IF(D7373=7,1,(IF(WEEKDAY(B7373)=1,2,IF(WEEKDAY(B7373)=7,1,0))))))</f>
        <v>3</v>
      </c>
    </row>
    <row r="7374" spans="2:22">
      <c r="B7374" s="318">
        <f t="shared" si="459"/>
        <v>46420</v>
      </c>
      <c r="C7374" s="312">
        <v>2</v>
      </c>
      <c r="D7374" s="368">
        <f>IFERROR((INDEX(METADATA!$T$2:$T$20,MATCH(B7374,METADATA!$S$2:$S$20,0))),0)</f>
        <v>0</v>
      </c>
      <c r="E7374" s="312" t="str">
        <f t="shared" si="460"/>
        <v>LO</v>
      </c>
      <c r="F7374" s="369">
        <f>VLOOKUP(C7374,METADATA!$A$5:$H$29,IF(E7374="HI",2,IF(E7374="LO",6,10))+IF(D7374=1,2,IF(D7374=7,1,(IF(WEEKDAY(B7374)=1,2,IF(WEEKDAY(B7374)=7,1,0))))))</f>
        <v>3</v>
      </c>
      <c r="G7374" s="369">
        <f>VLOOKUP(C7374,METADATA!$J$5:$Q$29,IF(E7374="HI",2,IF(E7374="LO",6,10))+IF(D7374=1,2,IF(D7374=7,1,(IF(WEEKDAY(B7374)=1,2,IF(WEEKDAY(B7374)=7,1,0))))))</f>
        <v>3</v>
      </c>
      <c r="H7374" s="370">
        <v>11757.649719238281</v>
      </c>
      <c r="I7374" s="370">
        <v>2669.7949879169464</v>
      </c>
      <c r="M7374" s="371">
        <f t="shared" si="461"/>
        <v>12056.953686475306</v>
      </c>
      <c r="N7374" s="329">
        <f t="shared" si="462"/>
        <v>0</v>
      </c>
      <c r="T7374" s="331">
        <v>0</v>
      </c>
      <c r="U7374" s="328">
        <f>VLOOKUP(C7374,METADATA!$J$5:$Q$29,IF(E7374="HI",2,IF(E7374="LO",6,10))+IF(T7374=1,2,IF(D7374=7,1,(IF(WEEKDAY(B7374)=1,2,IF(WEEKDAY(B7374)=7,1,0))))))</f>
        <v>3</v>
      </c>
      <c r="V7374" s="328">
        <f>VLOOKUP(C7374,METADATA!$A$5:$H$29,IF(E7374="HI",2,IF(E7374="LO",6,10))+IF(T7374=1,2,IF(D7374=7,1,(IF(WEEKDAY(B7374)=1,2,IF(WEEKDAY(B7374)=7,1,0))))))</f>
        <v>3</v>
      </c>
    </row>
    <row r="7375" spans="2:22">
      <c r="B7375" s="318">
        <f t="shared" si="459"/>
        <v>46420</v>
      </c>
      <c r="C7375" s="312">
        <v>3</v>
      </c>
      <c r="D7375" s="368">
        <f>IFERROR((INDEX(METADATA!$T$2:$T$20,MATCH(B7375,METADATA!$S$2:$S$20,0))),0)</f>
        <v>0</v>
      </c>
      <c r="E7375" s="312" t="str">
        <f t="shared" si="460"/>
        <v>LO</v>
      </c>
      <c r="F7375" s="369">
        <f>VLOOKUP(C7375,METADATA!$A$5:$H$29,IF(E7375="HI",2,IF(E7375="LO",6,10))+IF(D7375=1,2,IF(D7375=7,1,(IF(WEEKDAY(B7375)=1,2,IF(WEEKDAY(B7375)=7,1,0))))))</f>
        <v>3</v>
      </c>
      <c r="G7375" s="369">
        <f>VLOOKUP(C7375,METADATA!$J$5:$Q$29,IF(E7375="HI",2,IF(E7375="LO",6,10))+IF(D7375=1,2,IF(D7375=7,1,(IF(WEEKDAY(B7375)=1,2,IF(WEEKDAY(B7375)=7,1,0))))))</f>
        <v>3</v>
      </c>
      <c r="H7375" s="370">
        <v>11776.675109863281</v>
      </c>
      <c r="I7375" s="370">
        <v>2716.9949979782104</v>
      </c>
      <c r="M7375" s="371">
        <f t="shared" si="461"/>
        <v>12086.030715760735</v>
      </c>
      <c r="N7375" s="329">
        <f t="shared" si="462"/>
        <v>0</v>
      </c>
      <c r="T7375" s="331">
        <v>0</v>
      </c>
      <c r="U7375" s="328">
        <f>VLOOKUP(C7375,METADATA!$J$5:$Q$29,IF(E7375="HI",2,IF(E7375="LO",6,10))+IF(T7375=1,2,IF(D7375=7,1,(IF(WEEKDAY(B7375)=1,2,IF(WEEKDAY(B7375)=7,1,0))))))</f>
        <v>3</v>
      </c>
      <c r="V7375" s="328">
        <f>VLOOKUP(C7375,METADATA!$A$5:$H$29,IF(E7375="HI",2,IF(E7375="LO",6,10))+IF(T7375=1,2,IF(D7375=7,1,(IF(WEEKDAY(B7375)=1,2,IF(WEEKDAY(B7375)=7,1,0))))))</f>
        <v>3</v>
      </c>
    </row>
    <row r="7376" spans="2:22">
      <c r="B7376" s="318">
        <f t="shared" si="459"/>
        <v>46420</v>
      </c>
      <c r="C7376" s="312">
        <v>4</v>
      </c>
      <c r="D7376" s="368">
        <f>IFERROR((INDEX(METADATA!$T$2:$T$20,MATCH(B7376,METADATA!$S$2:$S$20,0))),0)</f>
        <v>0</v>
      </c>
      <c r="E7376" s="312" t="str">
        <f t="shared" si="460"/>
        <v>LO</v>
      </c>
      <c r="F7376" s="369">
        <f>VLOOKUP(C7376,METADATA!$A$5:$H$29,IF(E7376="HI",2,IF(E7376="LO",6,10))+IF(D7376=1,2,IF(D7376=7,1,(IF(WEEKDAY(B7376)=1,2,IF(WEEKDAY(B7376)=7,1,0))))))</f>
        <v>3</v>
      </c>
      <c r="G7376" s="369">
        <f>VLOOKUP(C7376,METADATA!$J$5:$Q$29,IF(E7376="HI",2,IF(E7376="LO",6,10))+IF(D7376=1,2,IF(D7376=7,1,(IF(WEEKDAY(B7376)=1,2,IF(WEEKDAY(B7376)=7,1,0))))))</f>
        <v>3</v>
      </c>
      <c r="H7376" s="370">
        <v>11622.224975585938</v>
      </c>
      <c r="I7376" s="370">
        <v>2679.7250118255615</v>
      </c>
      <c r="M7376" s="371">
        <f t="shared" si="461"/>
        <v>11927.155550345482</v>
      </c>
      <c r="N7376" s="329">
        <f t="shared" si="462"/>
        <v>0</v>
      </c>
      <c r="T7376" s="331">
        <v>0</v>
      </c>
      <c r="U7376" s="328">
        <f>VLOOKUP(C7376,METADATA!$J$5:$Q$29,IF(E7376="HI",2,IF(E7376="LO",6,10))+IF(T7376=1,2,IF(D7376=7,1,(IF(WEEKDAY(B7376)=1,2,IF(WEEKDAY(B7376)=7,1,0))))))</f>
        <v>3</v>
      </c>
      <c r="V7376" s="328">
        <f>VLOOKUP(C7376,METADATA!$A$5:$H$29,IF(E7376="HI",2,IF(E7376="LO",6,10))+IF(T7376=1,2,IF(D7376=7,1,(IF(WEEKDAY(B7376)=1,2,IF(WEEKDAY(B7376)=7,1,0))))))</f>
        <v>3</v>
      </c>
    </row>
    <row r="7377" spans="2:22">
      <c r="B7377" s="318">
        <f t="shared" si="459"/>
        <v>46420</v>
      </c>
      <c r="C7377" s="312">
        <v>5</v>
      </c>
      <c r="D7377" s="368">
        <f>IFERROR((INDEX(METADATA!$T$2:$T$20,MATCH(B7377,METADATA!$S$2:$S$20,0))),0)</f>
        <v>0</v>
      </c>
      <c r="E7377" s="312" t="str">
        <f t="shared" si="460"/>
        <v>LO</v>
      </c>
      <c r="F7377" s="369">
        <f>VLOOKUP(C7377,METADATA!$A$5:$H$29,IF(E7377="HI",2,IF(E7377="LO",6,10))+IF(D7377=1,2,IF(D7377=7,1,(IF(WEEKDAY(B7377)=1,2,IF(WEEKDAY(B7377)=7,1,0))))))</f>
        <v>3</v>
      </c>
      <c r="G7377" s="369">
        <f>VLOOKUP(C7377,METADATA!$J$5:$Q$29,IF(E7377="HI",2,IF(E7377="LO",6,10))+IF(D7377=1,2,IF(D7377=7,1,(IF(WEEKDAY(B7377)=1,2,IF(WEEKDAY(B7377)=7,1,0))))))</f>
        <v>3</v>
      </c>
      <c r="H7377" s="370">
        <v>11513.72509765625</v>
      </c>
      <c r="I7377" s="370">
        <v>2623.3500249087811</v>
      </c>
      <c r="M7377" s="371">
        <f t="shared" si="461"/>
        <v>11808.80311367703</v>
      </c>
      <c r="N7377" s="329">
        <f t="shared" si="462"/>
        <v>0</v>
      </c>
      <c r="T7377" s="331">
        <v>0</v>
      </c>
      <c r="U7377" s="328">
        <f>VLOOKUP(C7377,METADATA!$J$5:$Q$29,IF(E7377="HI",2,IF(E7377="LO",6,10))+IF(T7377=1,2,IF(D7377=7,1,(IF(WEEKDAY(B7377)=1,2,IF(WEEKDAY(B7377)=7,1,0))))))</f>
        <v>3</v>
      </c>
      <c r="V7377" s="328">
        <f>VLOOKUP(C7377,METADATA!$A$5:$H$29,IF(E7377="HI",2,IF(E7377="LO",6,10))+IF(T7377=1,2,IF(D7377=7,1,(IF(WEEKDAY(B7377)=1,2,IF(WEEKDAY(B7377)=7,1,0))))))</f>
        <v>3</v>
      </c>
    </row>
    <row r="7378" spans="2:22">
      <c r="B7378" s="318">
        <f t="shared" si="459"/>
        <v>46420</v>
      </c>
      <c r="C7378" s="312">
        <v>6</v>
      </c>
      <c r="D7378" s="368">
        <f>IFERROR((INDEX(METADATA!$T$2:$T$20,MATCH(B7378,METADATA!$S$2:$S$20,0))),0)</f>
        <v>0</v>
      </c>
      <c r="E7378" s="312" t="str">
        <f t="shared" si="460"/>
        <v>LO</v>
      </c>
      <c r="F7378" s="369">
        <f>VLOOKUP(C7378,METADATA!$A$5:$H$29,IF(E7378="HI",2,IF(E7378="LO",6,10))+IF(D7378=1,2,IF(D7378=7,1,(IF(WEEKDAY(B7378)=1,2,IF(WEEKDAY(B7378)=7,1,0))))))</f>
        <v>2</v>
      </c>
      <c r="G7378" s="369">
        <f>VLOOKUP(C7378,METADATA!$J$5:$Q$29,IF(E7378="HI",2,IF(E7378="LO",6,10))+IF(D7378=1,2,IF(D7378=7,1,(IF(WEEKDAY(B7378)=1,2,IF(WEEKDAY(B7378)=7,1,0))))))</f>
        <v>2</v>
      </c>
      <c r="H7378" s="370">
        <v>11509.5498046875</v>
      </c>
      <c r="I7378" s="370">
        <v>2668.8949023410678</v>
      </c>
      <c r="M7378" s="371">
        <f t="shared" si="461"/>
        <v>11814.937016604203</v>
      </c>
      <c r="N7378" s="329">
        <f t="shared" si="462"/>
        <v>0</v>
      </c>
      <c r="T7378" s="331">
        <v>0</v>
      </c>
      <c r="U7378" s="328">
        <f>VLOOKUP(C7378,METADATA!$J$5:$Q$29,IF(E7378="HI",2,IF(E7378="LO",6,10))+IF(T7378=1,2,IF(D7378=7,1,(IF(WEEKDAY(B7378)=1,2,IF(WEEKDAY(B7378)=7,1,0))))))</f>
        <v>2</v>
      </c>
      <c r="V7378" s="328">
        <f>VLOOKUP(C7378,METADATA!$A$5:$H$29,IF(E7378="HI",2,IF(E7378="LO",6,10))+IF(T7378=1,2,IF(D7378=7,1,(IF(WEEKDAY(B7378)=1,2,IF(WEEKDAY(B7378)=7,1,0))))))</f>
        <v>2</v>
      </c>
    </row>
    <row r="7379" spans="2:22">
      <c r="B7379" s="318">
        <f t="shared" si="459"/>
        <v>46420</v>
      </c>
      <c r="C7379" s="312">
        <v>7</v>
      </c>
      <c r="D7379" s="368">
        <f>IFERROR((INDEX(METADATA!$T$2:$T$20,MATCH(B7379,METADATA!$S$2:$S$20,0))),0)</f>
        <v>0</v>
      </c>
      <c r="E7379" s="312" t="str">
        <f t="shared" si="460"/>
        <v>LO</v>
      </c>
      <c r="F7379" s="369">
        <f>VLOOKUP(C7379,METADATA!$A$5:$H$29,IF(E7379="HI",2,IF(E7379="LO",6,10))+IF(D7379=1,2,IF(D7379=7,1,(IF(WEEKDAY(B7379)=1,2,IF(WEEKDAY(B7379)=7,1,0))))))</f>
        <v>1</v>
      </c>
      <c r="G7379" s="369">
        <f>VLOOKUP(C7379,METADATA!$J$5:$Q$29,IF(E7379="HI",2,IF(E7379="LO",6,10))+IF(D7379=1,2,IF(D7379=7,1,(IF(WEEKDAY(B7379)=1,2,IF(WEEKDAY(B7379)=7,1,0))))))</f>
        <v>1</v>
      </c>
      <c r="H7379" s="370">
        <v>11634.89990234375</v>
      </c>
      <c r="I7379" s="370">
        <v>2719.3499755859375</v>
      </c>
      <c r="M7379" s="371">
        <f t="shared" si="461"/>
        <v>11948.462663760465</v>
      </c>
      <c r="N7379" s="329">
        <f t="shared" si="462"/>
        <v>0</v>
      </c>
      <c r="T7379" s="331">
        <v>0</v>
      </c>
      <c r="U7379" s="328">
        <f>VLOOKUP(C7379,METADATA!$J$5:$Q$29,IF(E7379="HI",2,IF(E7379="LO",6,10))+IF(T7379=1,2,IF(D7379=7,1,(IF(WEEKDAY(B7379)=1,2,IF(WEEKDAY(B7379)=7,1,0))))))</f>
        <v>1</v>
      </c>
      <c r="V7379" s="328">
        <f>VLOOKUP(C7379,METADATA!$A$5:$H$29,IF(E7379="HI",2,IF(E7379="LO",6,10))+IF(T7379=1,2,IF(D7379=7,1,(IF(WEEKDAY(B7379)=1,2,IF(WEEKDAY(B7379)=7,1,0))))))</f>
        <v>1</v>
      </c>
    </row>
    <row r="7380" spans="2:22">
      <c r="B7380" s="318">
        <f t="shared" si="459"/>
        <v>46420</v>
      </c>
      <c r="C7380" s="312">
        <v>8</v>
      </c>
      <c r="D7380" s="368">
        <f>IFERROR((INDEX(METADATA!$T$2:$T$20,MATCH(B7380,METADATA!$S$2:$S$20,0))),0)</f>
        <v>0</v>
      </c>
      <c r="E7380" s="312" t="str">
        <f t="shared" si="460"/>
        <v>LO</v>
      </c>
      <c r="F7380" s="369">
        <f>VLOOKUP(C7380,METADATA!$A$5:$H$29,IF(E7380="HI",2,IF(E7380="LO",6,10))+IF(D7380=1,2,IF(D7380=7,1,(IF(WEEKDAY(B7380)=1,2,IF(WEEKDAY(B7380)=7,1,0))))))</f>
        <v>1</v>
      </c>
      <c r="G7380" s="369">
        <f>VLOOKUP(C7380,METADATA!$J$5:$Q$29,IF(E7380="HI",2,IF(E7380="LO",6,10))+IF(D7380=1,2,IF(D7380=7,1,(IF(WEEKDAY(B7380)=1,2,IF(WEEKDAY(B7380)=7,1,0))))))</f>
        <v>1</v>
      </c>
      <c r="H7380" s="370">
        <v>11434.899963378906</v>
      </c>
      <c r="I7380" s="370">
        <v>2785.6799756288528</v>
      </c>
      <c r="M7380" s="371">
        <f t="shared" si="461"/>
        <v>11769.322414612596</v>
      </c>
      <c r="N7380" s="329">
        <f t="shared" si="462"/>
        <v>0</v>
      </c>
      <c r="T7380" s="331">
        <v>0</v>
      </c>
      <c r="U7380" s="328">
        <f>VLOOKUP(C7380,METADATA!$J$5:$Q$29,IF(E7380="HI",2,IF(E7380="LO",6,10))+IF(T7380=1,2,IF(D7380=7,1,(IF(WEEKDAY(B7380)=1,2,IF(WEEKDAY(B7380)=7,1,0))))))</f>
        <v>1</v>
      </c>
      <c r="V7380" s="328">
        <f>VLOOKUP(C7380,METADATA!$A$5:$H$29,IF(E7380="HI",2,IF(E7380="LO",6,10))+IF(T7380=1,2,IF(D7380=7,1,(IF(WEEKDAY(B7380)=1,2,IF(WEEKDAY(B7380)=7,1,0))))))</f>
        <v>1</v>
      </c>
    </row>
    <row r="7381" spans="2:22">
      <c r="B7381" s="318">
        <f t="shared" si="459"/>
        <v>46420</v>
      </c>
      <c r="C7381" s="312">
        <v>9</v>
      </c>
      <c r="D7381" s="368">
        <f>IFERROR((INDEX(METADATA!$T$2:$T$20,MATCH(B7381,METADATA!$S$2:$S$20,0))),0)</f>
        <v>0</v>
      </c>
      <c r="E7381" s="312" t="str">
        <f t="shared" si="460"/>
        <v>LO</v>
      </c>
      <c r="F7381" s="369">
        <f>VLOOKUP(C7381,METADATA!$A$5:$H$29,IF(E7381="HI",2,IF(E7381="LO",6,10))+IF(D7381=1,2,IF(D7381=7,1,(IF(WEEKDAY(B7381)=1,2,IF(WEEKDAY(B7381)=7,1,0))))))</f>
        <v>2</v>
      </c>
      <c r="G7381" s="369">
        <f>VLOOKUP(C7381,METADATA!$J$5:$Q$29,IF(E7381="HI",2,IF(E7381="LO",6,10))+IF(D7381=1,2,IF(D7381=7,1,(IF(WEEKDAY(B7381)=1,2,IF(WEEKDAY(B7381)=7,1,0))))))</f>
        <v>2</v>
      </c>
      <c r="H7381" s="370">
        <v>11289.849670410156</v>
      </c>
      <c r="I7381" s="370">
        <v>2804.1050244569778</v>
      </c>
      <c r="M7381" s="371">
        <f t="shared" si="461"/>
        <v>11632.871982818568</v>
      </c>
      <c r="N7381" s="329">
        <f t="shared" si="462"/>
        <v>0</v>
      </c>
      <c r="T7381" s="331">
        <v>0</v>
      </c>
      <c r="U7381" s="328">
        <f>VLOOKUP(C7381,METADATA!$J$5:$Q$29,IF(E7381="HI",2,IF(E7381="LO",6,10))+IF(T7381=1,2,IF(D7381=7,1,(IF(WEEKDAY(B7381)=1,2,IF(WEEKDAY(B7381)=7,1,0))))))</f>
        <v>2</v>
      </c>
      <c r="V7381" s="328">
        <f>VLOOKUP(C7381,METADATA!$A$5:$H$29,IF(E7381="HI",2,IF(E7381="LO",6,10))+IF(T7381=1,2,IF(D7381=7,1,(IF(WEEKDAY(B7381)=1,2,IF(WEEKDAY(B7381)=7,1,0))))))</f>
        <v>2</v>
      </c>
    </row>
    <row r="7382" spans="2:22">
      <c r="B7382" s="318">
        <f t="shared" si="459"/>
        <v>46420</v>
      </c>
      <c r="C7382" s="312">
        <v>10</v>
      </c>
      <c r="D7382" s="368">
        <f>IFERROR((INDEX(METADATA!$T$2:$T$20,MATCH(B7382,METADATA!$S$2:$S$20,0))),0)</f>
        <v>0</v>
      </c>
      <c r="E7382" s="312" t="str">
        <f t="shared" si="460"/>
        <v>LO</v>
      </c>
      <c r="F7382" s="369">
        <f>VLOOKUP(C7382,METADATA!$A$5:$H$29,IF(E7382="HI",2,IF(E7382="LO",6,10))+IF(D7382=1,2,IF(D7382=7,1,(IF(WEEKDAY(B7382)=1,2,IF(WEEKDAY(B7382)=7,1,0))))))</f>
        <v>2</v>
      </c>
      <c r="G7382" s="369">
        <f>VLOOKUP(C7382,METADATA!$J$5:$Q$29,IF(E7382="HI",2,IF(E7382="LO",6,10))+IF(D7382=1,2,IF(D7382=7,1,(IF(WEEKDAY(B7382)=1,2,IF(WEEKDAY(B7382)=7,1,0))))))</f>
        <v>2</v>
      </c>
      <c r="H7382" s="370">
        <v>10865.300109863281</v>
      </c>
      <c r="I7382" s="370">
        <v>2540.5800366103649</v>
      </c>
      <c r="M7382" s="371">
        <f t="shared" si="461"/>
        <v>11158.373241643163</v>
      </c>
      <c r="N7382" s="329">
        <f t="shared" si="462"/>
        <v>0</v>
      </c>
      <c r="T7382" s="331">
        <v>0</v>
      </c>
      <c r="U7382" s="328">
        <f>VLOOKUP(C7382,METADATA!$J$5:$Q$29,IF(E7382="HI",2,IF(E7382="LO",6,10))+IF(T7382=1,2,IF(D7382=7,1,(IF(WEEKDAY(B7382)=1,2,IF(WEEKDAY(B7382)=7,1,0))))))</f>
        <v>2</v>
      </c>
      <c r="V7382" s="328">
        <f>VLOOKUP(C7382,METADATA!$A$5:$H$29,IF(E7382="HI",2,IF(E7382="LO",6,10))+IF(T7382=1,2,IF(D7382=7,1,(IF(WEEKDAY(B7382)=1,2,IF(WEEKDAY(B7382)=7,1,0))))))</f>
        <v>2</v>
      </c>
    </row>
    <row r="7383" spans="2:22">
      <c r="B7383" s="318">
        <f t="shared" si="459"/>
        <v>46420</v>
      </c>
      <c r="C7383" s="312">
        <v>11</v>
      </c>
      <c r="D7383" s="368">
        <f>IFERROR((INDEX(METADATA!$T$2:$T$20,MATCH(B7383,METADATA!$S$2:$S$20,0))),0)</f>
        <v>0</v>
      </c>
      <c r="E7383" s="312" t="str">
        <f t="shared" si="460"/>
        <v>LO</v>
      </c>
      <c r="F7383" s="369">
        <f>VLOOKUP(C7383,METADATA!$A$5:$H$29,IF(E7383="HI",2,IF(E7383="LO",6,10))+IF(D7383=1,2,IF(D7383=7,1,(IF(WEEKDAY(B7383)=1,2,IF(WEEKDAY(B7383)=7,1,0))))))</f>
        <v>2</v>
      </c>
      <c r="G7383" s="369">
        <f>VLOOKUP(C7383,METADATA!$J$5:$Q$29,IF(E7383="HI",2,IF(E7383="LO",6,10))+IF(D7383=1,2,IF(D7383=7,1,(IF(WEEKDAY(B7383)=1,2,IF(WEEKDAY(B7383)=7,1,0))))))</f>
        <v>2</v>
      </c>
      <c r="H7383" s="370">
        <v>9533.6001586914063</v>
      </c>
      <c r="I7383" s="370">
        <v>4795.904899597168</v>
      </c>
      <c r="M7383" s="371">
        <f t="shared" si="461"/>
        <v>10671.936834135635</v>
      </c>
      <c r="N7383" s="329">
        <f t="shared" si="462"/>
        <v>1935.8248519897461</v>
      </c>
      <c r="T7383" s="331">
        <v>0</v>
      </c>
      <c r="U7383" s="328">
        <f>VLOOKUP(C7383,METADATA!$J$5:$Q$29,IF(E7383="HI",2,IF(E7383="LO",6,10))+IF(T7383=1,2,IF(D7383=7,1,(IF(WEEKDAY(B7383)=1,2,IF(WEEKDAY(B7383)=7,1,0))))))</f>
        <v>2</v>
      </c>
      <c r="V7383" s="328">
        <f>VLOOKUP(C7383,METADATA!$A$5:$H$29,IF(E7383="HI",2,IF(E7383="LO",6,10))+IF(T7383=1,2,IF(D7383=7,1,(IF(WEEKDAY(B7383)=1,2,IF(WEEKDAY(B7383)=7,1,0))))))</f>
        <v>2</v>
      </c>
    </row>
    <row r="7384" spans="2:22">
      <c r="B7384" s="318">
        <f t="shared" si="459"/>
        <v>46420</v>
      </c>
      <c r="C7384" s="312">
        <v>12</v>
      </c>
      <c r="D7384" s="368">
        <f>IFERROR((INDEX(METADATA!$T$2:$T$20,MATCH(B7384,METADATA!$S$2:$S$20,0))),0)</f>
        <v>0</v>
      </c>
      <c r="E7384" s="312" t="str">
        <f t="shared" si="460"/>
        <v>LO</v>
      </c>
      <c r="F7384" s="369">
        <f>VLOOKUP(C7384,METADATA!$A$5:$H$29,IF(E7384="HI",2,IF(E7384="LO",6,10))+IF(D7384=1,2,IF(D7384=7,1,(IF(WEEKDAY(B7384)=1,2,IF(WEEKDAY(B7384)=7,1,0))))))</f>
        <v>2</v>
      </c>
      <c r="G7384" s="369">
        <f>VLOOKUP(C7384,METADATA!$J$5:$Q$29,IF(E7384="HI",2,IF(E7384="LO",6,10))+IF(D7384=1,2,IF(D7384=7,1,(IF(WEEKDAY(B7384)=1,2,IF(WEEKDAY(B7384)=7,1,0))))))</f>
        <v>2</v>
      </c>
      <c r="H7384" s="370">
        <v>9591.824951171875</v>
      </c>
      <c r="I7384" s="370">
        <v>7582.2174682617188</v>
      </c>
      <c r="M7384" s="371">
        <f t="shared" si="461"/>
        <v>12226.738225296904</v>
      </c>
      <c r="N7384" s="329">
        <f t="shared" si="462"/>
        <v>4704.6699829101563</v>
      </c>
      <c r="T7384" s="331">
        <v>0</v>
      </c>
      <c r="U7384" s="328">
        <f>VLOOKUP(C7384,METADATA!$J$5:$Q$29,IF(E7384="HI",2,IF(E7384="LO",6,10))+IF(T7384=1,2,IF(D7384=7,1,(IF(WEEKDAY(B7384)=1,2,IF(WEEKDAY(B7384)=7,1,0))))))</f>
        <v>2</v>
      </c>
      <c r="V7384" s="328">
        <f>VLOOKUP(C7384,METADATA!$A$5:$H$29,IF(E7384="HI",2,IF(E7384="LO",6,10))+IF(T7384=1,2,IF(D7384=7,1,(IF(WEEKDAY(B7384)=1,2,IF(WEEKDAY(B7384)=7,1,0))))))</f>
        <v>2</v>
      </c>
    </row>
    <row r="7385" spans="2:22">
      <c r="B7385" s="318">
        <f t="shared" si="459"/>
        <v>46420</v>
      </c>
      <c r="C7385" s="312">
        <v>13</v>
      </c>
      <c r="D7385" s="368">
        <f>IFERROR((INDEX(METADATA!$T$2:$T$20,MATCH(B7385,METADATA!$S$2:$S$20,0))),0)</f>
        <v>0</v>
      </c>
      <c r="E7385" s="312" t="str">
        <f t="shared" si="460"/>
        <v>LO</v>
      </c>
      <c r="F7385" s="369">
        <f>VLOOKUP(C7385,METADATA!$A$5:$H$29,IF(E7385="HI",2,IF(E7385="LO",6,10))+IF(D7385=1,2,IF(D7385=7,1,(IF(WEEKDAY(B7385)=1,2,IF(WEEKDAY(B7385)=7,1,0))))))</f>
        <v>2</v>
      </c>
      <c r="G7385" s="369">
        <f>VLOOKUP(C7385,METADATA!$J$5:$Q$29,IF(E7385="HI",2,IF(E7385="LO",6,10))+IF(D7385=1,2,IF(D7385=7,1,(IF(WEEKDAY(B7385)=1,2,IF(WEEKDAY(B7385)=7,1,0))))))</f>
        <v>2</v>
      </c>
      <c r="H7385" s="370">
        <v>9685.4248657226563</v>
      </c>
      <c r="I7385" s="370">
        <v>7517.4424743652344</v>
      </c>
      <c r="M7385" s="371">
        <f t="shared" si="461"/>
        <v>12260.481074776357</v>
      </c>
      <c r="N7385" s="329">
        <f t="shared" si="462"/>
        <v>4611.8150146484377</v>
      </c>
      <c r="T7385" s="331">
        <v>0</v>
      </c>
      <c r="U7385" s="328">
        <f>VLOOKUP(C7385,METADATA!$J$5:$Q$29,IF(E7385="HI",2,IF(E7385="LO",6,10))+IF(T7385=1,2,IF(D7385=7,1,(IF(WEEKDAY(B7385)=1,2,IF(WEEKDAY(B7385)=7,1,0))))))</f>
        <v>2</v>
      </c>
      <c r="V7385" s="328">
        <f>VLOOKUP(C7385,METADATA!$A$5:$H$29,IF(E7385="HI",2,IF(E7385="LO",6,10))+IF(T7385=1,2,IF(D7385=7,1,(IF(WEEKDAY(B7385)=1,2,IF(WEEKDAY(B7385)=7,1,0))))))</f>
        <v>2</v>
      </c>
    </row>
    <row r="7386" spans="2:22">
      <c r="B7386" s="318">
        <f t="shared" si="459"/>
        <v>46420</v>
      </c>
      <c r="C7386" s="312">
        <v>14</v>
      </c>
      <c r="D7386" s="368">
        <f>IFERROR((INDEX(METADATA!$T$2:$T$20,MATCH(B7386,METADATA!$S$2:$S$20,0))),0)</f>
        <v>0</v>
      </c>
      <c r="E7386" s="312" t="str">
        <f t="shared" si="460"/>
        <v>LO</v>
      </c>
      <c r="F7386" s="369">
        <f>VLOOKUP(C7386,METADATA!$A$5:$H$29,IF(E7386="HI",2,IF(E7386="LO",6,10))+IF(D7386=1,2,IF(D7386=7,1,(IF(WEEKDAY(B7386)=1,2,IF(WEEKDAY(B7386)=7,1,0))))))</f>
        <v>2</v>
      </c>
      <c r="G7386" s="369">
        <f>VLOOKUP(C7386,METADATA!$J$5:$Q$29,IF(E7386="HI",2,IF(E7386="LO",6,10))+IF(D7386=1,2,IF(D7386=7,1,(IF(WEEKDAY(B7386)=1,2,IF(WEEKDAY(B7386)=7,1,0))))))</f>
        <v>2</v>
      </c>
      <c r="H7386" s="370">
        <v>9762.2999267578125</v>
      </c>
      <c r="I7386" s="370">
        <v>7546.2702026367188</v>
      </c>
      <c r="M7386" s="371">
        <f t="shared" si="461"/>
        <v>12338.909750507879</v>
      </c>
      <c r="N7386" s="329">
        <f t="shared" si="462"/>
        <v>4617.5802246093754</v>
      </c>
      <c r="T7386" s="331">
        <v>0</v>
      </c>
      <c r="U7386" s="328">
        <f>VLOOKUP(C7386,METADATA!$J$5:$Q$29,IF(E7386="HI",2,IF(E7386="LO",6,10))+IF(T7386=1,2,IF(D7386=7,1,(IF(WEEKDAY(B7386)=1,2,IF(WEEKDAY(B7386)=7,1,0))))))</f>
        <v>2</v>
      </c>
      <c r="V7386" s="328">
        <f>VLOOKUP(C7386,METADATA!$A$5:$H$29,IF(E7386="HI",2,IF(E7386="LO",6,10))+IF(T7386=1,2,IF(D7386=7,1,(IF(WEEKDAY(B7386)=1,2,IF(WEEKDAY(B7386)=7,1,0))))))</f>
        <v>2</v>
      </c>
    </row>
    <row r="7387" spans="2:22">
      <c r="B7387" s="318">
        <f t="shared" si="459"/>
        <v>46420</v>
      </c>
      <c r="C7387" s="312">
        <v>15</v>
      </c>
      <c r="D7387" s="368">
        <f>IFERROR((INDEX(METADATA!$T$2:$T$20,MATCH(B7387,METADATA!$S$2:$S$20,0))),0)</f>
        <v>0</v>
      </c>
      <c r="E7387" s="312" t="str">
        <f t="shared" si="460"/>
        <v>LO</v>
      </c>
      <c r="F7387" s="369">
        <f>VLOOKUP(C7387,METADATA!$A$5:$H$29,IF(E7387="HI",2,IF(E7387="LO",6,10))+IF(D7387=1,2,IF(D7387=7,1,(IF(WEEKDAY(B7387)=1,2,IF(WEEKDAY(B7387)=7,1,0))))))</f>
        <v>2</v>
      </c>
      <c r="G7387" s="369">
        <f>VLOOKUP(C7387,METADATA!$J$5:$Q$29,IF(E7387="HI",2,IF(E7387="LO",6,10))+IF(D7387=1,2,IF(D7387=7,1,(IF(WEEKDAY(B7387)=1,2,IF(WEEKDAY(B7387)=7,1,0))))))</f>
        <v>2</v>
      </c>
      <c r="H7387" s="370">
        <v>10226.575012207031</v>
      </c>
      <c r="I7387" s="370">
        <v>7895.2999267578125</v>
      </c>
      <c r="M7387" s="371">
        <f t="shared" si="461"/>
        <v>12919.698038799481</v>
      </c>
      <c r="N7387" s="329">
        <f t="shared" si="462"/>
        <v>4827.3274230957031</v>
      </c>
      <c r="T7387" s="331">
        <v>0</v>
      </c>
      <c r="U7387" s="328">
        <f>VLOOKUP(C7387,METADATA!$J$5:$Q$29,IF(E7387="HI",2,IF(E7387="LO",6,10))+IF(T7387=1,2,IF(D7387=7,1,(IF(WEEKDAY(B7387)=1,2,IF(WEEKDAY(B7387)=7,1,0))))))</f>
        <v>2</v>
      </c>
      <c r="V7387" s="328">
        <f>VLOOKUP(C7387,METADATA!$A$5:$H$29,IF(E7387="HI",2,IF(E7387="LO",6,10))+IF(T7387=1,2,IF(D7387=7,1,(IF(WEEKDAY(B7387)=1,2,IF(WEEKDAY(B7387)=7,1,0))))))</f>
        <v>2</v>
      </c>
    </row>
    <row r="7388" spans="2:22">
      <c r="B7388" s="318">
        <f t="shared" ref="B7388:B7451" si="463">B7364+1</f>
        <v>46420</v>
      </c>
      <c r="C7388" s="312">
        <v>16</v>
      </c>
      <c r="D7388" s="368">
        <f>IFERROR((INDEX(METADATA!$T$2:$T$20,MATCH(B7388,METADATA!$S$2:$S$20,0))),0)</f>
        <v>0</v>
      </c>
      <c r="E7388" s="312" t="str">
        <f t="shared" si="460"/>
        <v>LO</v>
      </c>
      <c r="F7388" s="369">
        <f>VLOOKUP(C7388,METADATA!$A$5:$H$29,IF(E7388="HI",2,IF(E7388="LO",6,10))+IF(D7388=1,2,IF(D7388=7,1,(IF(WEEKDAY(B7388)=1,2,IF(WEEKDAY(B7388)=7,1,0))))))</f>
        <v>2</v>
      </c>
      <c r="G7388" s="369">
        <f>VLOOKUP(C7388,METADATA!$J$5:$Q$29,IF(E7388="HI",2,IF(E7388="LO",6,10))+IF(D7388=1,2,IF(D7388=7,1,(IF(WEEKDAY(B7388)=1,2,IF(WEEKDAY(B7388)=7,1,0))))))</f>
        <v>2</v>
      </c>
      <c r="H7388" s="370">
        <v>11390.049926757813</v>
      </c>
      <c r="I7388" s="370">
        <v>8303.1749877929688</v>
      </c>
      <c r="M7388" s="371">
        <f t="shared" si="461"/>
        <v>14095.245730811024</v>
      </c>
      <c r="N7388" s="329">
        <f t="shared" si="462"/>
        <v>4886.1600097656246</v>
      </c>
      <c r="T7388" s="331">
        <v>0</v>
      </c>
      <c r="U7388" s="328">
        <f>VLOOKUP(C7388,METADATA!$J$5:$Q$29,IF(E7388="HI",2,IF(E7388="LO",6,10))+IF(T7388=1,2,IF(D7388=7,1,(IF(WEEKDAY(B7388)=1,2,IF(WEEKDAY(B7388)=7,1,0))))))</f>
        <v>2</v>
      </c>
      <c r="V7388" s="328">
        <f>VLOOKUP(C7388,METADATA!$A$5:$H$29,IF(E7388="HI",2,IF(E7388="LO",6,10))+IF(T7388=1,2,IF(D7388=7,1,(IF(WEEKDAY(B7388)=1,2,IF(WEEKDAY(B7388)=7,1,0))))))</f>
        <v>2</v>
      </c>
    </row>
    <row r="7389" spans="2:22">
      <c r="B7389" s="318">
        <f t="shared" si="463"/>
        <v>46420</v>
      </c>
      <c r="C7389" s="312">
        <v>17</v>
      </c>
      <c r="D7389" s="368">
        <f>IFERROR((INDEX(METADATA!$T$2:$T$20,MATCH(B7389,METADATA!$S$2:$S$20,0))),0)</f>
        <v>0</v>
      </c>
      <c r="E7389" s="312" t="str">
        <f t="shared" si="460"/>
        <v>LO</v>
      </c>
      <c r="F7389" s="369">
        <f>VLOOKUP(C7389,METADATA!$A$5:$H$29,IF(E7389="HI",2,IF(E7389="LO",6,10))+IF(D7389=1,2,IF(D7389=7,1,(IF(WEEKDAY(B7389)=1,2,IF(WEEKDAY(B7389)=7,1,0))))))</f>
        <v>2</v>
      </c>
      <c r="G7389" s="369">
        <f>VLOOKUP(C7389,METADATA!$J$5:$Q$29,IF(E7389="HI",2,IF(E7389="LO",6,10))+IF(D7389=1,2,IF(D7389=7,1,(IF(WEEKDAY(B7389)=1,2,IF(WEEKDAY(B7389)=7,1,0))))))</f>
        <v>2</v>
      </c>
      <c r="H7389" s="370">
        <v>11475.449829101563</v>
      </c>
      <c r="I7389" s="370">
        <v>8341.4498901367188</v>
      </c>
      <c r="M7389" s="371">
        <f t="shared" si="461"/>
        <v>14186.815535908296</v>
      </c>
      <c r="N7389" s="329">
        <f t="shared" si="462"/>
        <v>4898.81494140625</v>
      </c>
      <c r="T7389" s="331">
        <v>0</v>
      </c>
      <c r="U7389" s="328">
        <f>VLOOKUP(C7389,METADATA!$J$5:$Q$29,IF(E7389="HI",2,IF(E7389="LO",6,10))+IF(T7389=1,2,IF(D7389=7,1,(IF(WEEKDAY(B7389)=1,2,IF(WEEKDAY(B7389)=7,1,0))))))</f>
        <v>2</v>
      </c>
      <c r="V7389" s="328">
        <f>VLOOKUP(C7389,METADATA!$A$5:$H$29,IF(E7389="HI",2,IF(E7389="LO",6,10))+IF(T7389=1,2,IF(D7389=7,1,(IF(WEEKDAY(B7389)=1,2,IF(WEEKDAY(B7389)=7,1,0))))))</f>
        <v>2</v>
      </c>
    </row>
    <row r="7390" spans="2:22">
      <c r="B7390" s="318">
        <f t="shared" si="463"/>
        <v>46420</v>
      </c>
      <c r="C7390" s="312">
        <v>18</v>
      </c>
      <c r="D7390" s="368">
        <f>IFERROR((INDEX(METADATA!$T$2:$T$20,MATCH(B7390,METADATA!$S$2:$S$20,0))),0)</f>
        <v>0</v>
      </c>
      <c r="E7390" s="312" t="str">
        <f t="shared" si="460"/>
        <v>LO</v>
      </c>
      <c r="F7390" s="369">
        <f>VLOOKUP(C7390,METADATA!$A$5:$H$29,IF(E7390="HI",2,IF(E7390="LO",6,10))+IF(D7390=1,2,IF(D7390=7,1,(IF(WEEKDAY(B7390)=1,2,IF(WEEKDAY(B7390)=7,1,0))))))</f>
        <v>1</v>
      </c>
      <c r="G7390" s="369">
        <f>VLOOKUP(C7390,METADATA!$J$5:$Q$29,IF(E7390="HI",2,IF(E7390="LO",6,10))+IF(D7390=1,2,IF(D7390=7,1,(IF(WEEKDAY(B7390)=1,2,IF(WEEKDAY(B7390)=7,1,0))))))</f>
        <v>1</v>
      </c>
      <c r="H7390" s="370">
        <v>11614.399963378906</v>
      </c>
      <c r="I7390" s="370">
        <v>8387.0496826171875</v>
      </c>
      <c r="M7390" s="371">
        <f t="shared" si="461"/>
        <v>14326.091193623786</v>
      </c>
      <c r="N7390" s="329">
        <f t="shared" si="462"/>
        <v>4902.7296936035164</v>
      </c>
      <c r="T7390" s="331">
        <v>0</v>
      </c>
      <c r="U7390" s="328">
        <f>VLOOKUP(C7390,METADATA!$J$5:$Q$29,IF(E7390="HI",2,IF(E7390="LO",6,10))+IF(T7390=1,2,IF(D7390=7,1,(IF(WEEKDAY(B7390)=1,2,IF(WEEKDAY(B7390)=7,1,0))))))</f>
        <v>1</v>
      </c>
      <c r="V7390" s="328">
        <f>VLOOKUP(C7390,METADATA!$A$5:$H$29,IF(E7390="HI",2,IF(E7390="LO",6,10))+IF(T7390=1,2,IF(D7390=7,1,(IF(WEEKDAY(B7390)=1,2,IF(WEEKDAY(B7390)=7,1,0))))))</f>
        <v>1</v>
      </c>
    </row>
    <row r="7391" spans="2:22">
      <c r="B7391" s="318">
        <f t="shared" si="463"/>
        <v>46420</v>
      </c>
      <c r="C7391" s="312">
        <v>19</v>
      </c>
      <c r="D7391" s="368">
        <f>IFERROR((INDEX(METADATA!$T$2:$T$20,MATCH(B7391,METADATA!$S$2:$S$20,0))),0)</f>
        <v>0</v>
      </c>
      <c r="E7391" s="312" t="str">
        <f t="shared" si="460"/>
        <v>LO</v>
      </c>
      <c r="F7391" s="369">
        <f>VLOOKUP(C7391,METADATA!$A$5:$H$29,IF(E7391="HI",2,IF(E7391="LO",6,10))+IF(D7391=1,2,IF(D7391=7,1,(IF(WEEKDAY(B7391)=1,2,IF(WEEKDAY(B7391)=7,1,0))))))</f>
        <v>1</v>
      </c>
      <c r="G7391" s="369">
        <f>VLOOKUP(C7391,METADATA!$J$5:$Q$29,IF(E7391="HI",2,IF(E7391="LO",6,10))+IF(D7391=1,2,IF(D7391=7,1,(IF(WEEKDAY(B7391)=1,2,IF(WEEKDAY(B7391)=7,1,0))))))</f>
        <v>1</v>
      </c>
      <c r="H7391" s="370">
        <v>11516.100036621094</v>
      </c>
      <c r="I7391" s="370">
        <v>8252.0250854492188</v>
      </c>
      <c r="M7391" s="371">
        <f t="shared" si="461"/>
        <v>14167.444302496748</v>
      </c>
      <c r="N7391" s="329">
        <f t="shared" si="462"/>
        <v>4797.1950744628903</v>
      </c>
      <c r="T7391" s="331">
        <v>0</v>
      </c>
      <c r="U7391" s="328">
        <f>VLOOKUP(C7391,METADATA!$J$5:$Q$29,IF(E7391="HI",2,IF(E7391="LO",6,10))+IF(T7391=1,2,IF(D7391=7,1,(IF(WEEKDAY(B7391)=1,2,IF(WEEKDAY(B7391)=7,1,0))))))</f>
        <v>1</v>
      </c>
      <c r="V7391" s="328">
        <f>VLOOKUP(C7391,METADATA!$A$5:$H$29,IF(E7391="HI",2,IF(E7391="LO",6,10))+IF(T7391=1,2,IF(D7391=7,1,(IF(WEEKDAY(B7391)=1,2,IF(WEEKDAY(B7391)=7,1,0))))))</f>
        <v>1</v>
      </c>
    </row>
    <row r="7392" spans="2:22">
      <c r="B7392" s="318">
        <f t="shared" si="463"/>
        <v>46420</v>
      </c>
      <c r="C7392" s="312">
        <v>20</v>
      </c>
      <c r="D7392" s="368">
        <f>IFERROR((INDEX(METADATA!$T$2:$T$20,MATCH(B7392,METADATA!$S$2:$S$20,0))),0)</f>
        <v>0</v>
      </c>
      <c r="E7392" s="312" t="str">
        <f t="shared" si="460"/>
        <v>LO</v>
      </c>
      <c r="F7392" s="369">
        <f>VLOOKUP(C7392,METADATA!$A$5:$H$29,IF(E7392="HI",2,IF(E7392="LO",6,10))+IF(D7392=1,2,IF(D7392=7,1,(IF(WEEKDAY(B7392)=1,2,IF(WEEKDAY(B7392)=7,1,0))))))</f>
        <v>1</v>
      </c>
      <c r="G7392" s="369">
        <f>VLOOKUP(C7392,METADATA!$J$5:$Q$29,IF(E7392="HI",2,IF(E7392="LO",6,10))+IF(D7392=1,2,IF(D7392=7,1,(IF(WEEKDAY(B7392)=1,2,IF(WEEKDAY(B7392)=7,1,0))))))</f>
        <v>1</v>
      </c>
      <c r="H7392" s="370">
        <v>11590.425048828125</v>
      </c>
      <c r="I7392" s="370">
        <v>8365.0999755859375</v>
      </c>
      <c r="M7392" s="371">
        <f t="shared" si="461"/>
        <v>14293.804616478088</v>
      </c>
      <c r="N7392" s="329">
        <f t="shared" si="462"/>
        <v>4887.9724609375007</v>
      </c>
      <c r="T7392" s="331">
        <v>0</v>
      </c>
      <c r="U7392" s="328">
        <f>VLOOKUP(C7392,METADATA!$J$5:$Q$29,IF(E7392="HI",2,IF(E7392="LO",6,10))+IF(T7392=1,2,IF(D7392=7,1,(IF(WEEKDAY(B7392)=1,2,IF(WEEKDAY(B7392)=7,1,0))))))</f>
        <v>1</v>
      </c>
      <c r="V7392" s="328">
        <f>VLOOKUP(C7392,METADATA!$A$5:$H$29,IF(E7392="HI",2,IF(E7392="LO",6,10))+IF(T7392=1,2,IF(D7392=7,1,(IF(WEEKDAY(B7392)=1,2,IF(WEEKDAY(B7392)=7,1,0))))))</f>
        <v>1</v>
      </c>
    </row>
    <row r="7393" spans="2:22">
      <c r="B7393" s="318">
        <f t="shared" si="463"/>
        <v>46420</v>
      </c>
      <c r="C7393" s="312">
        <v>21</v>
      </c>
      <c r="D7393" s="368">
        <f>IFERROR((INDEX(METADATA!$T$2:$T$20,MATCH(B7393,METADATA!$S$2:$S$20,0))),0)</f>
        <v>0</v>
      </c>
      <c r="E7393" s="312" t="str">
        <f t="shared" si="460"/>
        <v>LO</v>
      </c>
      <c r="F7393" s="369">
        <f>VLOOKUP(C7393,METADATA!$A$5:$H$29,IF(E7393="HI",2,IF(E7393="LO",6,10))+IF(D7393=1,2,IF(D7393=7,1,(IF(WEEKDAY(B7393)=1,2,IF(WEEKDAY(B7393)=7,1,0))))))</f>
        <v>2</v>
      </c>
      <c r="G7393" s="369">
        <f>VLOOKUP(C7393,METADATA!$J$5:$Q$29,IF(E7393="HI",2,IF(E7393="LO",6,10))+IF(D7393=1,2,IF(D7393=7,1,(IF(WEEKDAY(B7393)=1,2,IF(WEEKDAY(B7393)=7,1,0))))))</f>
        <v>2</v>
      </c>
      <c r="H7393" s="370">
        <v>11630.824951171875</v>
      </c>
      <c r="I7393" s="370">
        <v>8518.3998413085938</v>
      </c>
      <c r="M7393" s="371">
        <f t="shared" si="461"/>
        <v>14416.630150670042</v>
      </c>
      <c r="N7393" s="329">
        <f t="shared" si="462"/>
        <v>5029.1523559570314</v>
      </c>
      <c r="T7393" s="331">
        <v>0</v>
      </c>
      <c r="U7393" s="328">
        <f>VLOOKUP(C7393,METADATA!$J$5:$Q$29,IF(E7393="HI",2,IF(E7393="LO",6,10))+IF(T7393=1,2,IF(D7393=7,1,(IF(WEEKDAY(B7393)=1,2,IF(WEEKDAY(B7393)=7,1,0))))))</f>
        <v>2</v>
      </c>
      <c r="V7393" s="328">
        <f>VLOOKUP(C7393,METADATA!$A$5:$H$29,IF(E7393="HI",2,IF(E7393="LO",6,10))+IF(T7393=1,2,IF(D7393=7,1,(IF(WEEKDAY(B7393)=1,2,IF(WEEKDAY(B7393)=7,1,0))))))</f>
        <v>2</v>
      </c>
    </row>
    <row r="7394" spans="2:22">
      <c r="B7394" s="318">
        <f t="shared" si="463"/>
        <v>46420</v>
      </c>
      <c r="C7394" s="312">
        <v>22</v>
      </c>
      <c r="D7394" s="368">
        <f>IFERROR((INDEX(METADATA!$T$2:$T$20,MATCH(B7394,METADATA!$S$2:$S$20,0))),0)</f>
        <v>0</v>
      </c>
      <c r="E7394" s="312" t="str">
        <f t="shared" si="460"/>
        <v>LO</v>
      </c>
      <c r="F7394" s="369">
        <f>VLOOKUP(C7394,METADATA!$A$5:$H$29,IF(E7394="HI",2,IF(E7394="LO",6,10))+IF(D7394=1,2,IF(D7394=7,1,(IF(WEEKDAY(B7394)=1,2,IF(WEEKDAY(B7394)=7,1,0))))))</f>
        <v>3</v>
      </c>
      <c r="G7394" s="369">
        <f>VLOOKUP(C7394,METADATA!$J$5:$Q$29,IF(E7394="HI",2,IF(E7394="LO",6,10))+IF(D7394=1,2,IF(D7394=7,1,(IF(WEEKDAY(B7394)=1,2,IF(WEEKDAY(B7394)=7,1,0))))))</f>
        <v>3</v>
      </c>
      <c r="H7394" s="370">
        <v>11546.800109863281</v>
      </c>
      <c r="I7394" s="370">
        <v>8575.22509765625</v>
      </c>
      <c r="M7394" s="371">
        <f t="shared" si="461"/>
        <v>14382.735423159682</v>
      </c>
      <c r="N7394" s="329">
        <f t="shared" si="462"/>
        <v>5111.1850646972653</v>
      </c>
      <c r="T7394" s="331">
        <v>0</v>
      </c>
      <c r="U7394" s="328">
        <f>VLOOKUP(C7394,METADATA!$J$5:$Q$29,IF(E7394="HI",2,IF(E7394="LO",6,10))+IF(T7394=1,2,IF(D7394=7,1,(IF(WEEKDAY(B7394)=1,2,IF(WEEKDAY(B7394)=7,1,0))))))</f>
        <v>3</v>
      </c>
      <c r="V7394" s="328">
        <f>VLOOKUP(C7394,METADATA!$A$5:$H$29,IF(E7394="HI",2,IF(E7394="LO",6,10))+IF(T7394=1,2,IF(D7394=7,1,(IF(WEEKDAY(B7394)=1,2,IF(WEEKDAY(B7394)=7,1,0))))))</f>
        <v>3</v>
      </c>
    </row>
    <row r="7395" spans="2:22">
      <c r="B7395" s="318">
        <f t="shared" si="463"/>
        <v>46420</v>
      </c>
      <c r="C7395" s="312">
        <v>23</v>
      </c>
      <c r="D7395" s="368">
        <f>IFERROR((INDEX(METADATA!$T$2:$T$20,MATCH(B7395,METADATA!$S$2:$S$20,0))),0)</f>
        <v>0</v>
      </c>
      <c r="E7395" s="312" t="str">
        <f t="shared" si="460"/>
        <v>LO</v>
      </c>
      <c r="F7395" s="369">
        <f>VLOOKUP(C7395,METADATA!$A$5:$H$29,IF(E7395="HI",2,IF(E7395="LO",6,10))+IF(D7395=1,2,IF(D7395=7,1,(IF(WEEKDAY(B7395)=1,2,IF(WEEKDAY(B7395)=7,1,0))))))</f>
        <v>3</v>
      </c>
      <c r="G7395" s="369">
        <f>VLOOKUP(C7395,METADATA!$J$5:$Q$29,IF(E7395="HI",2,IF(E7395="LO",6,10))+IF(D7395=1,2,IF(D7395=7,1,(IF(WEEKDAY(B7395)=1,2,IF(WEEKDAY(B7395)=7,1,0))))))</f>
        <v>3</v>
      </c>
      <c r="H7395" s="370">
        <v>9935.9249877929688</v>
      </c>
      <c r="I7395" s="370">
        <v>7670.8226013183594</v>
      </c>
      <c r="M7395" s="371">
        <f t="shared" si="461"/>
        <v>12552.454928974861</v>
      </c>
      <c r="N7395" s="329">
        <f t="shared" si="462"/>
        <v>4690.0451049804688</v>
      </c>
      <c r="T7395" s="331">
        <v>0</v>
      </c>
      <c r="U7395" s="328">
        <f>VLOOKUP(C7395,METADATA!$J$5:$Q$29,IF(E7395="HI",2,IF(E7395="LO",6,10))+IF(T7395=1,2,IF(D7395=7,1,(IF(WEEKDAY(B7395)=1,2,IF(WEEKDAY(B7395)=7,1,0))))))</f>
        <v>3</v>
      </c>
      <c r="V7395" s="328">
        <f>VLOOKUP(C7395,METADATA!$A$5:$H$29,IF(E7395="HI",2,IF(E7395="LO",6,10))+IF(T7395=1,2,IF(D7395=7,1,(IF(WEEKDAY(B7395)=1,2,IF(WEEKDAY(B7395)=7,1,0))))))</f>
        <v>3</v>
      </c>
    </row>
    <row r="7396" spans="2:22">
      <c r="B7396" s="318">
        <f t="shared" si="463"/>
        <v>46421</v>
      </c>
      <c r="C7396" s="312">
        <v>0</v>
      </c>
      <c r="D7396" s="368">
        <f>IFERROR((INDEX(METADATA!$T$2:$T$20,MATCH(B7396,METADATA!$S$2:$S$20,0))),0)</f>
        <v>0</v>
      </c>
      <c r="E7396" s="312" t="str">
        <f t="shared" si="460"/>
        <v>LO</v>
      </c>
      <c r="F7396" s="369">
        <f>VLOOKUP(C7396,METADATA!$A$5:$H$29,IF(E7396="HI",2,IF(E7396="LO",6,10))+IF(D7396=1,2,IF(D7396=7,1,(IF(WEEKDAY(B7396)=1,2,IF(WEEKDAY(B7396)=7,1,0))))))</f>
        <v>3</v>
      </c>
      <c r="G7396" s="369">
        <f>VLOOKUP(C7396,METADATA!$J$5:$Q$29,IF(E7396="HI",2,IF(E7396="LO",6,10))+IF(D7396=1,2,IF(D7396=7,1,(IF(WEEKDAY(B7396)=1,2,IF(WEEKDAY(B7396)=7,1,0))))))</f>
        <v>3</v>
      </c>
      <c r="H7396" s="370">
        <v>9796.7502746582031</v>
      </c>
      <c r="I7396" s="370">
        <v>7344.0875244140625</v>
      </c>
      <c r="M7396" s="371">
        <f t="shared" si="461"/>
        <v>12243.853050011252</v>
      </c>
      <c r="N7396" s="329">
        <f t="shared" si="462"/>
        <v>4405.0624420166023</v>
      </c>
      <c r="T7396" s="331">
        <v>0</v>
      </c>
      <c r="U7396" s="328">
        <f>VLOOKUP(C7396,METADATA!$J$5:$Q$29,IF(E7396="HI",2,IF(E7396="LO",6,10))+IF(T7396=1,2,IF(D7396=7,1,(IF(WEEKDAY(B7396)=1,2,IF(WEEKDAY(B7396)=7,1,0))))))</f>
        <v>3</v>
      </c>
      <c r="V7396" s="328">
        <f>VLOOKUP(C7396,METADATA!$A$5:$H$29,IF(E7396="HI",2,IF(E7396="LO",6,10))+IF(T7396=1,2,IF(D7396=7,1,(IF(WEEKDAY(B7396)=1,2,IF(WEEKDAY(B7396)=7,1,0))))))</f>
        <v>3</v>
      </c>
    </row>
    <row r="7397" spans="2:22">
      <c r="B7397" s="318">
        <f t="shared" si="463"/>
        <v>46421</v>
      </c>
      <c r="C7397" s="312">
        <v>1</v>
      </c>
      <c r="D7397" s="368">
        <f>IFERROR((INDEX(METADATA!$T$2:$T$20,MATCH(B7397,METADATA!$S$2:$S$20,0))),0)</f>
        <v>0</v>
      </c>
      <c r="E7397" s="312" t="str">
        <f t="shared" si="460"/>
        <v>LO</v>
      </c>
      <c r="F7397" s="369">
        <f>VLOOKUP(C7397,METADATA!$A$5:$H$29,IF(E7397="HI",2,IF(E7397="LO",6,10))+IF(D7397=1,2,IF(D7397=7,1,(IF(WEEKDAY(B7397)=1,2,IF(WEEKDAY(B7397)=7,1,0))))))</f>
        <v>3</v>
      </c>
      <c r="G7397" s="369">
        <f>VLOOKUP(C7397,METADATA!$J$5:$Q$29,IF(E7397="HI",2,IF(E7397="LO",6,10))+IF(D7397=1,2,IF(D7397=7,1,(IF(WEEKDAY(B7397)=1,2,IF(WEEKDAY(B7397)=7,1,0))))))</f>
        <v>3</v>
      </c>
      <c r="H7397" s="370">
        <v>9812.2112121582031</v>
      </c>
      <c r="I7397" s="370">
        <v>7443.4359130859375</v>
      </c>
      <c r="M7397" s="371">
        <f t="shared" si="461"/>
        <v>12316.015064306337</v>
      </c>
      <c r="N7397" s="329">
        <f t="shared" si="462"/>
        <v>4499.7725494384767</v>
      </c>
      <c r="T7397" s="331">
        <v>0</v>
      </c>
      <c r="U7397" s="328">
        <f>VLOOKUP(C7397,METADATA!$J$5:$Q$29,IF(E7397="HI",2,IF(E7397="LO",6,10))+IF(T7397=1,2,IF(D7397=7,1,(IF(WEEKDAY(B7397)=1,2,IF(WEEKDAY(B7397)=7,1,0))))))</f>
        <v>3</v>
      </c>
      <c r="V7397" s="328">
        <f>VLOOKUP(C7397,METADATA!$A$5:$H$29,IF(E7397="HI",2,IF(E7397="LO",6,10))+IF(T7397=1,2,IF(D7397=7,1,(IF(WEEKDAY(B7397)=1,2,IF(WEEKDAY(B7397)=7,1,0))))))</f>
        <v>3</v>
      </c>
    </row>
    <row r="7398" spans="2:22">
      <c r="B7398" s="318">
        <f t="shared" si="463"/>
        <v>46421</v>
      </c>
      <c r="C7398" s="312">
        <v>2</v>
      </c>
      <c r="D7398" s="368">
        <f>IFERROR((INDEX(METADATA!$T$2:$T$20,MATCH(B7398,METADATA!$S$2:$S$20,0))),0)</f>
        <v>0</v>
      </c>
      <c r="E7398" s="312" t="str">
        <f t="shared" si="460"/>
        <v>LO</v>
      </c>
      <c r="F7398" s="369">
        <f>VLOOKUP(C7398,METADATA!$A$5:$H$29,IF(E7398="HI",2,IF(E7398="LO",6,10))+IF(D7398=1,2,IF(D7398=7,1,(IF(WEEKDAY(B7398)=1,2,IF(WEEKDAY(B7398)=7,1,0))))))</f>
        <v>3</v>
      </c>
      <c r="G7398" s="369">
        <f>VLOOKUP(C7398,METADATA!$J$5:$Q$29,IF(E7398="HI",2,IF(E7398="LO",6,10))+IF(D7398=1,2,IF(D7398=7,1,(IF(WEEKDAY(B7398)=1,2,IF(WEEKDAY(B7398)=7,1,0))))))</f>
        <v>3</v>
      </c>
      <c r="H7398" s="370">
        <v>9924.4251708984375</v>
      </c>
      <c r="I7398" s="370">
        <v>7532.215087890625</v>
      </c>
      <c r="M7398" s="371">
        <f t="shared" si="461"/>
        <v>12459.072160598864</v>
      </c>
      <c r="N7398" s="329">
        <f t="shared" si="462"/>
        <v>4554.8875366210941</v>
      </c>
      <c r="T7398" s="331">
        <v>0</v>
      </c>
      <c r="U7398" s="328">
        <f>VLOOKUP(C7398,METADATA!$J$5:$Q$29,IF(E7398="HI",2,IF(E7398="LO",6,10))+IF(T7398=1,2,IF(D7398=7,1,(IF(WEEKDAY(B7398)=1,2,IF(WEEKDAY(B7398)=7,1,0))))))</f>
        <v>3</v>
      </c>
      <c r="V7398" s="328">
        <f>VLOOKUP(C7398,METADATA!$A$5:$H$29,IF(E7398="HI",2,IF(E7398="LO",6,10))+IF(T7398=1,2,IF(D7398=7,1,(IF(WEEKDAY(B7398)=1,2,IF(WEEKDAY(B7398)=7,1,0))))))</f>
        <v>3</v>
      </c>
    </row>
    <row r="7399" spans="2:22">
      <c r="B7399" s="318">
        <f t="shared" si="463"/>
        <v>46421</v>
      </c>
      <c r="C7399" s="312">
        <v>3</v>
      </c>
      <c r="D7399" s="368">
        <f>IFERROR((INDEX(METADATA!$T$2:$T$20,MATCH(B7399,METADATA!$S$2:$S$20,0))),0)</f>
        <v>0</v>
      </c>
      <c r="E7399" s="312" t="str">
        <f t="shared" si="460"/>
        <v>LO</v>
      </c>
      <c r="F7399" s="369">
        <f>VLOOKUP(C7399,METADATA!$A$5:$H$29,IF(E7399="HI",2,IF(E7399="LO",6,10))+IF(D7399=1,2,IF(D7399=7,1,(IF(WEEKDAY(B7399)=1,2,IF(WEEKDAY(B7399)=7,1,0))))))</f>
        <v>3</v>
      </c>
      <c r="G7399" s="369">
        <f>VLOOKUP(C7399,METADATA!$J$5:$Q$29,IF(E7399="HI",2,IF(E7399="LO",6,10))+IF(D7399=1,2,IF(D7399=7,1,(IF(WEEKDAY(B7399)=1,2,IF(WEEKDAY(B7399)=7,1,0))))))</f>
        <v>3</v>
      </c>
      <c r="H7399" s="370">
        <v>9938.0250244140625</v>
      </c>
      <c r="I7399" s="370">
        <v>7535.1474609375</v>
      </c>
      <c r="M7399" s="371">
        <f t="shared" si="461"/>
        <v>12471.679463646946</v>
      </c>
      <c r="N7399" s="329">
        <f t="shared" si="462"/>
        <v>4553.7399536132816</v>
      </c>
      <c r="T7399" s="331">
        <v>0</v>
      </c>
      <c r="U7399" s="328">
        <f>VLOOKUP(C7399,METADATA!$J$5:$Q$29,IF(E7399="HI",2,IF(E7399="LO",6,10))+IF(T7399=1,2,IF(D7399=7,1,(IF(WEEKDAY(B7399)=1,2,IF(WEEKDAY(B7399)=7,1,0))))))</f>
        <v>3</v>
      </c>
      <c r="V7399" s="328">
        <f>VLOOKUP(C7399,METADATA!$A$5:$H$29,IF(E7399="HI",2,IF(E7399="LO",6,10))+IF(T7399=1,2,IF(D7399=7,1,(IF(WEEKDAY(B7399)=1,2,IF(WEEKDAY(B7399)=7,1,0))))))</f>
        <v>3</v>
      </c>
    </row>
    <row r="7400" spans="2:22">
      <c r="B7400" s="318">
        <f t="shared" si="463"/>
        <v>46421</v>
      </c>
      <c r="C7400" s="312">
        <v>4</v>
      </c>
      <c r="D7400" s="368">
        <f>IFERROR((INDEX(METADATA!$T$2:$T$20,MATCH(B7400,METADATA!$S$2:$S$20,0))),0)</f>
        <v>0</v>
      </c>
      <c r="E7400" s="312" t="str">
        <f t="shared" si="460"/>
        <v>LO</v>
      </c>
      <c r="F7400" s="369">
        <f>VLOOKUP(C7400,METADATA!$A$5:$H$29,IF(E7400="HI",2,IF(E7400="LO",6,10))+IF(D7400=1,2,IF(D7400=7,1,(IF(WEEKDAY(B7400)=1,2,IF(WEEKDAY(B7400)=7,1,0))))))</f>
        <v>3</v>
      </c>
      <c r="G7400" s="369">
        <f>VLOOKUP(C7400,METADATA!$J$5:$Q$29,IF(E7400="HI",2,IF(E7400="LO",6,10))+IF(D7400=1,2,IF(D7400=7,1,(IF(WEEKDAY(B7400)=1,2,IF(WEEKDAY(B7400)=7,1,0))))))</f>
        <v>3</v>
      </c>
      <c r="H7400" s="370">
        <v>11475.875</v>
      </c>
      <c r="I7400" s="370">
        <v>8390.074951171875</v>
      </c>
      <c r="M7400" s="371">
        <f t="shared" si="461"/>
        <v>14215.803343529578</v>
      </c>
      <c r="N7400" s="329">
        <f t="shared" si="462"/>
        <v>4947.3124511718752</v>
      </c>
      <c r="T7400" s="331">
        <v>0</v>
      </c>
      <c r="U7400" s="328">
        <f>VLOOKUP(C7400,METADATA!$J$5:$Q$29,IF(E7400="HI",2,IF(E7400="LO",6,10))+IF(T7400=1,2,IF(D7400=7,1,(IF(WEEKDAY(B7400)=1,2,IF(WEEKDAY(B7400)=7,1,0))))))</f>
        <v>3</v>
      </c>
      <c r="V7400" s="328">
        <f>VLOOKUP(C7400,METADATA!$A$5:$H$29,IF(E7400="HI",2,IF(E7400="LO",6,10))+IF(T7400=1,2,IF(D7400=7,1,(IF(WEEKDAY(B7400)=1,2,IF(WEEKDAY(B7400)=7,1,0))))))</f>
        <v>3</v>
      </c>
    </row>
    <row r="7401" spans="2:22">
      <c r="B7401" s="318">
        <f t="shared" si="463"/>
        <v>46421</v>
      </c>
      <c r="C7401" s="312">
        <v>5</v>
      </c>
      <c r="D7401" s="368">
        <f>IFERROR((INDEX(METADATA!$T$2:$T$20,MATCH(B7401,METADATA!$S$2:$S$20,0))),0)</f>
        <v>0</v>
      </c>
      <c r="E7401" s="312" t="str">
        <f t="shared" si="460"/>
        <v>LO</v>
      </c>
      <c r="F7401" s="369">
        <f>VLOOKUP(C7401,METADATA!$A$5:$H$29,IF(E7401="HI",2,IF(E7401="LO",6,10))+IF(D7401=1,2,IF(D7401=7,1,(IF(WEEKDAY(B7401)=1,2,IF(WEEKDAY(B7401)=7,1,0))))))</f>
        <v>3</v>
      </c>
      <c r="G7401" s="369">
        <f>VLOOKUP(C7401,METADATA!$J$5:$Q$29,IF(E7401="HI",2,IF(E7401="LO",6,10))+IF(D7401=1,2,IF(D7401=7,1,(IF(WEEKDAY(B7401)=1,2,IF(WEEKDAY(B7401)=7,1,0))))))</f>
        <v>3</v>
      </c>
      <c r="H7401" s="370">
        <v>11856.9501953125</v>
      </c>
      <c r="I7401" s="370">
        <v>8459.6250610351563</v>
      </c>
      <c r="M7401" s="371">
        <f t="shared" si="461"/>
        <v>14565.456536182282</v>
      </c>
      <c r="N7401" s="329">
        <f t="shared" si="462"/>
        <v>4902.5400024414066</v>
      </c>
      <c r="T7401" s="331">
        <v>0</v>
      </c>
      <c r="U7401" s="328">
        <f>VLOOKUP(C7401,METADATA!$J$5:$Q$29,IF(E7401="HI",2,IF(E7401="LO",6,10))+IF(T7401=1,2,IF(D7401=7,1,(IF(WEEKDAY(B7401)=1,2,IF(WEEKDAY(B7401)=7,1,0))))))</f>
        <v>3</v>
      </c>
      <c r="V7401" s="328">
        <f>VLOOKUP(C7401,METADATA!$A$5:$H$29,IF(E7401="HI",2,IF(E7401="LO",6,10))+IF(T7401=1,2,IF(D7401=7,1,(IF(WEEKDAY(B7401)=1,2,IF(WEEKDAY(B7401)=7,1,0))))))</f>
        <v>3</v>
      </c>
    </row>
    <row r="7402" spans="2:22">
      <c r="B7402" s="318">
        <f t="shared" si="463"/>
        <v>46421</v>
      </c>
      <c r="C7402" s="312">
        <v>6</v>
      </c>
      <c r="D7402" s="368">
        <f>IFERROR((INDEX(METADATA!$T$2:$T$20,MATCH(B7402,METADATA!$S$2:$S$20,0))),0)</f>
        <v>0</v>
      </c>
      <c r="E7402" s="312" t="str">
        <f t="shared" si="460"/>
        <v>LO</v>
      </c>
      <c r="F7402" s="369">
        <f>VLOOKUP(C7402,METADATA!$A$5:$H$29,IF(E7402="HI",2,IF(E7402="LO",6,10))+IF(D7402=1,2,IF(D7402=7,1,(IF(WEEKDAY(B7402)=1,2,IF(WEEKDAY(B7402)=7,1,0))))))</f>
        <v>2</v>
      </c>
      <c r="G7402" s="369">
        <f>VLOOKUP(C7402,METADATA!$J$5:$Q$29,IF(E7402="HI",2,IF(E7402="LO",6,10))+IF(D7402=1,2,IF(D7402=7,1,(IF(WEEKDAY(B7402)=1,2,IF(WEEKDAY(B7402)=7,1,0))))))</f>
        <v>2</v>
      </c>
      <c r="H7402" s="370">
        <v>11736.44970703125</v>
      </c>
      <c r="I7402" s="370">
        <v>8269.4000244140625</v>
      </c>
      <c r="M7402" s="371">
        <f t="shared" si="461"/>
        <v>14357.131624717145</v>
      </c>
      <c r="N7402" s="329">
        <f t="shared" si="462"/>
        <v>4748.4651123046879</v>
      </c>
      <c r="T7402" s="331">
        <v>0</v>
      </c>
      <c r="U7402" s="328">
        <f>VLOOKUP(C7402,METADATA!$J$5:$Q$29,IF(E7402="HI",2,IF(E7402="LO",6,10))+IF(T7402=1,2,IF(D7402=7,1,(IF(WEEKDAY(B7402)=1,2,IF(WEEKDAY(B7402)=7,1,0))))))</f>
        <v>2</v>
      </c>
      <c r="V7402" s="328">
        <f>VLOOKUP(C7402,METADATA!$A$5:$H$29,IF(E7402="HI",2,IF(E7402="LO",6,10))+IF(T7402=1,2,IF(D7402=7,1,(IF(WEEKDAY(B7402)=1,2,IF(WEEKDAY(B7402)=7,1,0))))))</f>
        <v>2</v>
      </c>
    </row>
    <row r="7403" spans="2:22">
      <c r="B7403" s="318">
        <f t="shared" si="463"/>
        <v>46421</v>
      </c>
      <c r="C7403" s="312">
        <v>7</v>
      </c>
      <c r="D7403" s="368">
        <f>IFERROR((INDEX(METADATA!$T$2:$T$20,MATCH(B7403,METADATA!$S$2:$S$20,0))),0)</f>
        <v>0</v>
      </c>
      <c r="E7403" s="312" t="str">
        <f t="shared" si="460"/>
        <v>LO</v>
      </c>
      <c r="F7403" s="369">
        <f>VLOOKUP(C7403,METADATA!$A$5:$H$29,IF(E7403="HI",2,IF(E7403="LO",6,10))+IF(D7403=1,2,IF(D7403=7,1,(IF(WEEKDAY(B7403)=1,2,IF(WEEKDAY(B7403)=7,1,0))))))</f>
        <v>1</v>
      </c>
      <c r="G7403" s="369">
        <f>VLOOKUP(C7403,METADATA!$J$5:$Q$29,IF(E7403="HI",2,IF(E7403="LO",6,10))+IF(D7403=1,2,IF(D7403=7,1,(IF(WEEKDAY(B7403)=1,2,IF(WEEKDAY(B7403)=7,1,0))))))</f>
        <v>1</v>
      </c>
      <c r="H7403" s="370">
        <v>11888.325073242188</v>
      </c>
      <c r="I7403" s="370">
        <v>8416.224853515625</v>
      </c>
      <c r="M7403" s="371">
        <f t="shared" si="461"/>
        <v>14565.888707250682</v>
      </c>
      <c r="N7403" s="329">
        <f t="shared" si="462"/>
        <v>4849.7273315429684</v>
      </c>
      <c r="T7403" s="331">
        <v>0</v>
      </c>
      <c r="U7403" s="328">
        <f>VLOOKUP(C7403,METADATA!$J$5:$Q$29,IF(E7403="HI",2,IF(E7403="LO",6,10))+IF(T7403=1,2,IF(D7403=7,1,(IF(WEEKDAY(B7403)=1,2,IF(WEEKDAY(B7403)=7,1,0))))))</f>
        <v>1</v>
      </c>
      <c r="V7403" s="328">
        <f>VLOOKUP(C7403,METADATA!$A$5:$H$29,IF(E7403="HI",2,IF(E7403="LO",6,10))+IF(T7403=1,2,IF(D7403=7,1,(IF(WEEKDAY(B7403)=1,2,IF(WEEKDAY(B7403)=7,1,0))))))</f>
        <v>1</v>
      </c>
    </row>
    <row r="7404" spans="2:22">
      <c r="B7404" s="318">
        <f t="shared" si="463"/>
        <v>46421</v>
      </c>
      <c r="C7404" s="312">
        <v>8</v>
      </c>
      <c r="D7404" s="368">
        <f>IFERROR((INDEX(METADATA!$T$2:$T$20,MATCH(B7404,METADATA!$S$2:$S$20,0))),0)</f>
        <v>0</v>
      </c>
      <c r="E7404" s="312" t="str">
        <f t="shared" si="460"/>
        <v>LO</v>
      </c>
      <c r="F7404" s="369">
        <f>VLOOKUP(C7404,METADATA!$A$5:$H$29,IF(E7404="HI",2,IF(E7404="LO",6,10))+IF(D7404=1,2,IF(D7404=7,1,(IF(WEEKDAY(B7404)=1,2,IF(WEEKDAY(B7404)=7,1,0))))))</f>
        <v>1</v>
      </c>
      <c r="G7404" s="369">
        <f>VLOOKUP(C7404,METADATA!$J$5:$Q$29,IF(E7404="HI",2,IF(E7404="LO",6,10))+IF(D7404=1,2,IF(D7404=7,1,(IF(WEEKDAY(B7404)=1,2,IF(WEEKDAY(B7404)=7,1,0))))))</f>
        <v>1</v>
      </c>
      <c r="H7404" s="370">
        <v>11998.375</v>
      </c>
      <c r="I7404" s="370">
        <v>8453.3250732421875</v>
      </c>
      <c r="M7404" s="371">
        <f t="shared" si="461"/>
        <v>14677.183225487444</v>
      </c>
      <c r="N7404" s="329">
        <f t="shared" si="462"/>
        <v>4853.8125732421877</v>
      </c>
      <c r="T7404" s="331">
        <v>0</v>
      </c>
      <c r="U7404" s="328">
        <f>VLOOKUP(C7404,METADATA!$J$5:$Q$29,IF(E7404="HI",2,IF(E7404="LO",6,10))+IF(T7404=1,2,IF(D7404=7,1,(IF(WEEKDAY(B7404)=1,2,IF(WEEKDAY(B7404)=7,1,0))))))</f>
        <v>1</v>
      </c>
      <c r="V7404" s="328">
        <f>VLOOKUP(C7404,METADATA!$A$5:$H$29,IF(E7404="HI",2,IF(E7404="LO",6,10))+IF(T7404=1,2,IF(D7404=7,1,(IF(WEEKDAY(B7404)=1,2,IF(WEEKDAY(B7404)=7,1,0))))))</f>
        <v>1</v>
      </c>
    </row>
    <row r="7405" spans="2:22">
      <c r="B7405" s="318">
        <f t="shared" si="463"/>
        <v>46421</v>
      </c>
      <c r="C7405" s="312">
        <v>9</v>
      </c>
      <c r="D7405" s="368">
        <f>IFERROR((INDEX(METADATA!$T$2:$T$20,MATCH(B7405,METADATA!$S$2:$S$20,0))),0)</f>
        <v>0</v>
      </c>
      <c r="E7405" s="312" t="str">
        <f t="shared" si="460"/>
        <v>LO</v>
      </c>
      <c r="F7405" s="369">
        <f>VLOOKUP(C7405,METADATA!$A$5:$H$29,IF(E7405="HI",2,IF(E7405="LO",6,10))+IF(D7405=1,2,IF(D7405=7,1,(IF(WEEKDAY(B7405)=1,2,IF(WEEKDAY(B7405)=7,1,0))))))</f>
        <v>2</v>
      </c>
      <c r="G7405" s="369">
        <f>VLOOKUP(C7405,METADATA!$J$5:$Q$29,IF(E7405="HI",2,IF(E7405="LO",6,10))+IF(D7405=1,2,IF(D7405=7,1,(IF(WEEKDAY(B7405)=1,2,IF(WEEKDAY(B7405)=7,1,0))))))</f>
        <v>2</v>
      </c>
      <c r="H7405" s="370">
        <v>12078.525085449219</v>
      </c>
      <c r="I7405" s="370">
        <v>8516.375</v>
      </c>
      <c r="M7405" s="371">
        <f t="shared" si="461"/>
        <v>14779.0192969781</v>
      </c>
      <c r="N7405" s="329">
        <f t="shared" si="462"/>
        <v>4892.8174743652344</v>
      </c>
      <c r="T7405" s="331">
        <v>0</v>
      </c>
      <c r="U7405" s="328">
        <f>VLOOKUP(C7405,METADATA!$J$5:$Q$29,IF(E7405="HI",2,IF(E7405="LO",6,10))+IF(T7405=1,2,IF(D7405=7,1,(IF(WEEKDAY(B7405)=1,2,IF(WEEKDAY(B7405)=7,1,0))))))</f>
        <v>2</v>
      </c>
      <c r="V7405" s="328">
        <f>VLOOKUP(C7405,METADATA!$A$5:$H$29,IF(E7405="HI",2,IF(E7405="LO",6,10))+IF(T7405=1,2,IF(D7405=7,1,(IF(WEEKDAY(B7405)=1,2,IF(WEEKDAY(B7405)=7,1,0))))))</f>
        <v>2</v>
      </c>
    </row>
    <row r="7406" spans="2:22">
      <c r="B7406" s="318">
        <f t="shared" si="463"/>
        <v>46421</v>
      </c>
      <c r="C7406" s="312">
        <v>10</v>
      </c>
      <c r="D7406" s="368">
        <f>IFERROR((INDEX(METADATA!$T$2:$T$20,MATCH(B7406,METADATA!$S$2:$S$20,0))),0)</f>
        <v>0</v>
      </c>
      <c r="E7406" s="312" t="str">
        <f t="shared" si="460"/>
        <v>LO</v>
      </c>
      <c r="F7406" s="369">
        <f>VLOOKUP(C7406,METADATA!$A$5:$H$29,IF(E7406="HI",2,IF(E7406="LO",6,10))+IF(D7406=1,2,IF(D7406=7,1,(IF(WEEKDAY(B7406)=1,2,IF(WEEKDAY(B7406)=7,1,0))))))</f>
        <v>2</v>
      </c>
      <c r="G7406" s="369">
        <f>VLOOKUP(C7406,METADATA!$J$5:$Q$29,IF(E7406="HI",2,IF(E7406="LO",6,10))+IF(D7406=1,2,IF(D7406=7,1,(IF(WEEKDAY(B7406)=1,2,IF(WEEKDAY(B7406)=7,1,0))))))</f>
        <v>2</v>
      </c>
      <c r="H7406" s="370">
        <v>12051.800048828125</v>
      </c>
      <c r="I7406" s="370">
        <v>8536.550048828125</v>
      </c>
      <c r="M7406" s="371">
        <f t="shared" si="461"/>
        <v>14768.837840300132</v>
      </c>
      <c r="N7406" s="329">
        <f t="shared" si="462"/>
        <v>4921.0100341796879</v>
      </c>
      <c r="T7406" s="331">
        <v>0</v>
      </c>
      <c r="U7406" s="328">
        <f>VLOOKUP(C7406,METADATA!$J$5:$Q$29,IF(E7406="HI",2,IF(E7406="LO",6,10))+IF(T7406=1,2,IF(D7406=7,1,(IF(WEEKDAY(B7406)=1,2,IF(WEEKDAY(B7406)=7,1,0))))))</f>
        <v>2</v>
      </c>
      <c r="V7406" s="328">
        <f>VLOOKUP(C7406,METADATA!$A$5:$H$29,IF(E7406="HI",2,IF(E7406="LO",6,10))+IF(T7406=1,2,IF(D7406=7,1,(IF(WEEKDAY(B7406)=1,2,IF(WEEKDAY(B7406)=7,1,0))))))</f>
        <v>2</v>
      </c>
    </row>
    <row r="7407" spans="2:22">
      <c r="B7407" s="318">
        <f t="shared" si="463"/>
        <v>46421</v>
      </c>
      <c r="C7407" s="312">
        <v>11</v>
      </c>
      <c r="D7407" s="368">
        <f>IFERROR((INDEX(METADATA!$T$2:$T$20,MATCH(B7407,METADATA!$S$2:$S$20,0))),0)</f>
        <v>0</v>
      </c>
      <c r="E7407" s="312" t="str">
        <f t="shared" si="460"/>
        <v>LO</v>
      </c>
      <c r="F7407" s="369">
        <f>VLOOKUP(C7407,METADATA!$A$5:$H$29,IF(E7407="HI",2,IF(E7407="LO",6,10))+IF(D7407=1,2,IF(D7407=7,1,(IF(WEEKDAY(B7407)=1,2,IF(WEEKDAY(B7407)=7,1,0))))))</f>
        <v>2</v>
      </c>
      <c r="G7407" s="369">
        <f>VLOOKUP(C7407,METADATA!$J$5:$Q$29,IF(E7407="HI",2,IF(E7407="LO",6,10))+IF(D7407=1,2,IF(D7407=7,1,(IF(WEEKDAY(B7407)=1,2,IF(WEEKDAY(B7407)=7,1,0))))))</f>
        <v>2</v>
      </c>
      <c r="H7407" s="370">
        <v>12271.39990234375</v>
      </c>
      <c r="I7407" s="370">
        <v>8611.4749755859375</v>
      </c>
      <c r="M7407" s="371">
        <f t="shared" si="461"/>
        <v>14991.489479647611</v>
      </c>
      <c r="N7407" s="329">
        <f t="shared" si="462"/>
        <v>4930.0550048828127</v>
      </c>
      <c r="T7407" s="331">
        <v>0</v>
      </c>
      <c r="U7407" s="328">
        <f>VLOOKUP(C7407,METADATA!$J$5:$Q$29,IF(E7407="HI",2,IF(E7407="LO",6,10))+IF(T7407=1,2,IF(D7407=7,1,(IF(WEEKDAY(B7407)=1,2,IF(WEEKDAY(B7407)=7,1,0))))))</f>
        <v>2</v>
      </c>
      <c r="V7407" s="328">
        <f>VLOOKUP(C7407,METADATA!$A$5:$H$29,IF(E7407="HI",2,IF(E7407="LO",6,10))+IF(T7407=1,2,IF(D7407=7,1,(IF(WEEKDAY(B7407)=1,2,IF(WEEKDAY(B7407)=7,1,0))))))</f>
        <v>2</v>
      </c>
    </row>
    <row r="7408" spans="2:22">
      <c r="B7408" s="318">
        <f t="shared" si="463"/>
        <v>46421</v>
      </c>
      <c r="C7408" s="312">
        <v>12</v>
      </c>
      <c r="D7408" s="368">
        <f>IFERROR((INDEX(METADATA!$T$2:$T$20,MATCH(B7408,METADATA!$S$2:$S$20,0))),0)</f>
        <v>0</v>
      </c>
      <c r="E7408" s="312" t="str">
        <f t="shared" si="460"/>
        <v>LO</v>
      </c>
      <c r="F7408" s="369">
        <f>VLOOKUP(C7408,METADATA!$A$5:$H$29,IF(E7408="HI",2,IF(E7408="LO",6,10))+IF(D7408=1,2,IF(D7408=7,1,(IF(WEEKDAY(B7408)=1,2,IF(WEEKDAY(B7408)=7,1,0))))))</f>
        <v>2</v>
      </c>
      <c r="G7408" s="369">
        <f>VLOOKUP(C7408,METADATA!$J$5:$Q$29,IF(E7408="HI",2,IF(E7408="LO",6,10))+IF(D7408=1,2,IF(D7408=7,1,(IF(WEEKDAY(B7408)=1,2,IF(WEEKDAY(B7408)=7,1,0))))))</f>
        <v>2</v>
      </c>
      <c r="H7408" s="370">
        <v>12349.724853515625</v>
      </c>
      <c r="I7408" s="370">
        <v>8731.6251831054688</v>
      </c>
      <c r="M7408" s="371">
        <f t="shared" si="461"/>
        <v>15124.714288071134</v>
      </c>
      <c r="N7408" s="329">
        <f t="shared" si="462"/>
        <v>5026.7077270507816</v>
      </c>
      <c r="T7408" s="331">
        <v>0</v>
      </c>
      <c r="U7408" s="328">
        <f>VLOOKUP(C7408,METADATA!$J$5:$Q$29,IF(E7408="HI",2,IF(E7408="LO",6,10))+IF(T7408=1,2,IF(D7408=7,1,(IF(WEEKDAY(B7408)=1,2,IF(WEEKDAY(B7408)=7,1,0))))))</f>
        <v>2</v>
      </c>
      <c r="V7408" s="328">
        <f>VLOOKUP(C7408,METADATA!$A$5:$H$29,IF(E7408="HI",2,IF(E7408="LO",6,10))+IF(T7408=1,2,IF(D7408=7,1,(IF(WEEKDAY(B7408)=1,2,IF(WEEKDAY(B7408)=7,1,0))))))</f>
        <v>2</v>
      </c>
    </row>
    <row r="7409" spans="2:22">
      <c r="B7409" s="318">
        <f t="shared" si="463"/>
        <v>46421</v>
      </c>
      <c r="C7409" s="312">
        <v>13</v>
      </c>
      <c r="D7409" s="368">
        <f>IFERROR((INDEX(METADATA!$T$2:$T$20,MATCH(B7409,METADATA!$S$2:$S$20,0))),0)</f>
        <v>0</v>
      </c>
      <c r="E7409" s="312" t="str">
        <f t="shared" si="460"/>
        <v>LO</v>
      </c>
      <c r="F7409" s="369">
        <f>VLOOKUP(C7409,METADATA!$A$5:$H$29,IF(E7409="HI",2,IF(E7409="LO",6,10))+IF(D7409=1,2,IF(D7409=7,1,(IF(WEEKDAY(B7409)=1,2,IF(WEEKDAY(B7409)=7,1,0))))))</f>
        <v>2</v>
      </c>
      <c r="G7409" s="369">
        <f>VLOOKUP(C7409,METADATA!$J$5:$Q$29,IF(E7409="HI",2,IF(E7409="LO",6,10))+IF(D7409=1,2,IF(D7409=7,1,(IF(WEEKDAY(B7409)=1,2,IF(WEEKDAY(B7409)=7,1,0))))))</f>
        <v>2</v>
      </c>
      <c r="H7409" s="370">
        <v>12239.8251953125</v>
      </c>
      <c r="I7409" s="370">
        <v>8641.300048828125</v>
      </c>
      <c r="M7409" s="371">
        <f t="shared" si="461"/>
        <v>14982.836425246176</v>
      </c>
      <c r="N7409" s="329">
        <f t="shared" si="462"/>
        <v>4969.3524902343752</v>
      </c>
      <c r="T7409" s="331">
        <v>0</v>
      </c>
      <c r="U7409" s="328">
        <f>VLOOKUP(C7409,METADATA!$J$5:$Q$29,IF(E7409="HI",2,IF(E7409="LO",6,10))+IF(T7409=1,2,IF(D7409=7,1,(IF(WEEKDAY(B7409)=1,2,IF(WEEKDAY(B7409)=7,1,0))))))</f>
        <v>2</v>
      </c>
      <c r="V7409" s="328">
        <f>VLOOKUP(C7409,METADATA!$A$5:$H$29,IF(E7409="HI",2,IF(E7409="LO",6,10))+IF(T7409=1,2,IF(D7409=7,1,(IF(WEEKDAY(B7409)=1,2,IF(WEEKDAY(B7409)=7,1,0))))))</f>
        <v>2</v>
      </c>
    </row>
    <row r="7410" spans="2:22">
      <c r="B7410" s="318">
        <f t="shared" si="463"/>
        <v>46421</v>
      </c>
      <c r="C7410" s="312">
        <v>14</v>
      </c>
      <c r="D7410" s="368">
        <f>IFERROR((INDEX(METADATA!$T$2:$T$20,MATCH(B7410,METADATA!$S$2:$S$20,0))),0)</f>
        <v>0</v>
      </c>
      <c r="E7410" s="312" t="str">
        <f t="shared" si="460"/>
        <v>LO</v>
      </c>
      <c r="F7410" s="369">
        <f>VLOOKUP(C7410,METADATA!$A$5:$H$29,IF(E7410="HI",2,IF(E7410="LO",6,10))+IF(D7410=1,2,IF(D7410=7,1,(IF(WEEKDAY(B7410)=1,2,IF(WEEKDAY(B7410)=7,1,0))))))</f>
        <v>2</v>
      </c>
      <c r="G7410" s="369">
        <f>VLOOKUP(C7410,METADATA!$J$5:$Q$29,IF(E7410="HI",2,IF(E7410="LO",6,10))+IF(D7410=1,2,IF(D7410=7,1,(IF(WEEKDAY(B7410)=1,2,IF(WEEKDAY(B7410)=7,1,0))))))</f>
        <v>2</v>
      </c>
      <c r="H7410" s="370">
        <v>12173.674926757813</v>
      </c>
      <c r="I7410" s="370">
        <v>8581.2249755859375</v>
      </c>
      <c r="M7410" s="371">
        <f t="shared" si="461"/>
        <v>14894.152654783409</v>
      </c>
      <c r="N7410" s="329">
        <f t="shared" si="462"/>
        <v>4929.1224975585938</v>
      </c>
      <c r="T7410" s="331">
        <v>0</v>
      </c>
      <c r="U7410" s="328">
        <f>VLOOKUP(C7410,METADATA!$J$5:$Q$29,IF(E7410="HI",2,IF(E7410="LO",6,10))+IF(T7410=1,2,IF(D7410=7,1,(IF(WEEKDAY(B7410)=1,2,IF(WEEKDAY(B7410)=7,1,0))))))</f>
        <v>2</v>
      </c>
      <c r="V7410" s="328">
        <f>VLOOKUP(C7410,METADATA!$A$5:$H$29,IF(E7410="HI",2,IF(E7410="LO",6,10))+IF(T7410=1,2,IF(D7410=7,1,(IF(WEEKDAY(B7410)=1,2,IF(WEEKDAY(B7410)=7,1,0))))))</f>
        <v>2</v>
      </c>
    </row>
    <row r="7411" spans="2:22">
      <c r="B7411" s="318">
        <f t="shared" si="463"/>
        <v>46421</v>
      </c>
      <c r="C7411" s="312">
        <v>15</v>
      </c>
      <c r="D7411" s="368">
        <f>IFERROR((INDEX(METADATA!$T$2:$T$20,MATCH(B7411,METADATA!$S$2:$S$20,0))),0)</f>
        <v>0</v>
      </c>
      <c r="E7411" s="312" t="str">
        <f t="shared" si="460"/>
        <v>LO</v>
      </c>
      <c r="F7411" s="369">
        <f>VLOOKUP(C7411,METADATA!$A$5:$H$29,IF(E7411="HI",2,IF(E7411="LO",6,10))+IF(D7411=1,2,IF(D7411=7,1,(IF(WEEKDAY(B7411)=1,2,IF(WEEKDAY(B7411)=7,1,0))))))</f>
        <v>2</v>
      </c>
      <c r="G7411" s="369">
        <f>VLOOKUP(C7411,METADATA!$J$5:$Q$29,IF(E7411="HI",2,IF(E7411="LO",6,10))+IF(D7411=1,2,IF(D7411=7,1,(IF(WEEKDAY(B7411)=1,2,IF(WEEKDAY(B7411)=7,1,0))))))</f>
        <v>2</v>
      </c>
      <c r="H7411" s="370">
        <v>12216.77490234375</v>
      </c>
      <c r="I7411" s="370">
        <v>8718.5501708984375</v>
      </c>
      <c r="M7411" s="371">
        <f t="shared" si="461"/>
        <v>15008.754315299098</v>
      </c>
      <c r="N7411" s="329">
        <f t="shared" si="462"/>
        <v>5053.5177001953125</v>
      </c>
      <c r="T7411" s="331">
        <v>0</v>
      </c>
      <c r="U7411" s="328">
        <f>VLOOKUP(C7411,METADATA!$J$5:$Q$29,IF(E7411="HI",2,IF(E7411="LO",6,10))+IF(T7411=1,2,IF(D7411=7,1,(IF(WEEKDAY(B7411)=1,2,IF(WEEKDAY(B7411)=7,1,0))))))</f>
        <v>2</v>
      </c>
      <c r="V7411" s="328">
        <f>VLOOKUP(C7411,METADATA!$A$5:$H$29,IF(E7411="HI",2,IF(E7411="LO",6,10))+IF(T7411=1,2,IF(D7411=7,1,(IF(WEEKDAY(B7411)=1,2,IF(WEEKDAY(B7411)=7,1,0))))))</f>
        <v>2</v>
      </c>
    </row>
    <row r="7412" spans="2:22">
      <c r="B7412" s="318">
        <f t="shared" si="463"/>
        <v>46421</v>
      </c>
      <c r="C7412" s="312">
        <v>16</v>
      </c>
      <c r="D7412" s="368">
        <f>IFERROR((INDEX(METADATA!$T$2:$T$20,MATCH(B7412,METADATA!$S$2:$S$20,0))),0)</f>
        <v>0</v>
      </c>
      <c r="E7412" s="312" t="str">
        <f t="shared" si="460"/>
        <v>LO</v>
      </c>
      <c r="F7412" s="369">
        <f>VLOOKUP(C7412,METADATA!$A$5:$H$29,IF(E7412="HI",2,IF(E7412="LO",6,10))+IF(D7412=1,2,IF(D7412=7,1,(IF(WEEKDAY(B7412)=1,2,IF(WEEKDAY(B7412)=7,1,0))))))</f>
        <v>2</v>
      </c>
      <c r="G7412" s="369">
        <f>VLOOKUP(C7412,METADATA!$J$5:$Q$29,IF(E7412="HI",2,IF(E7412="LO",6,10))+IF(D7412=1,2,IF(D7412=7,1,(IF(WEEKDAY(B7412)=1,2,IF(WEEKDAY(B7412)=7,1,0))))))</f>
        <v>2</v>
      </c>
      <c r="H7412" s="370">
        <v>10554.724975585938</v>
      </c>
      <c r="I7412" s="370">
        <v>7788.1222839355469</v>
      </c>
      <c r="M7412" s="371">
        <f t="shared" si="461"/>
        <v>13117.052566022254</v>
      </c>
      <c r="N7412" s="329">
        <f t="shared" si="462"/>
        <v>4621.7047912597664</v>
      </c>
      <c r="T7412" s="331">
        <v>0</v>
      </c>
      <c r="U7412" s="328">
        <f>VLOOKUP(C7412,METADATA!$J$5:$Q$29,IF(E7412="HI",2,IF(E7412="LO",6,10))+IF(T7412=1,2,IF(D7412=7,1,(IF(WEEKDAY(B7412)=1,2,IF(WEEKDAY(B7412)=7,1,0))))))</f>
        <v>2</v>
      </c>
      <c r="V7412" s="328">
        <f>VLOOKUP(C7412,METADATA!$A$5:$H$29,IF(E7412="HI",2,IF(E7412="LO",6,10))+IF(T7412=1,2,IF(D7412=7,1,(IF(WEEKDAY(B7412)=1,2,IF(WEEKDAY(B7412)=7,1,0))))))</f>
        <v>2</v>
      </c>
    </row>
    <row r="7413" spans="2:22">
      <c r="B7413" s="318">
        <f t="shared" si="463"/>
        <v>46421</v>
      </c>
      <c r="C7413" s="312">
        <v>17</v>
      </c>
      <c r="D7413" s="368">
        <f>IFERROR((INDEX(METADATA!$T$2:$T$20,MATCH(B7413,METADATA!$S$2:$S$20,0))),0)</f>
        <v>0</v>
      </c>
      <c r="E7413" s="312" t="str">
        <f t="shared" si="460"/>
        <v>LO</v>
      </c>
      <c r="F7413" s="369">
        <f>VLOOKUP(C7413,METADATA!$A$5:$H$29,IF(E7413="HI",2,IF(E7413="LO",6,10))+IF(D7413=1,2,IF(D7413=7,1,(IF(WEEKDAY(B7413)=1,2,IF(WEEKDAY(B7413)=7,1,0))))))</f>
        <v>2</v>
      </c>
      <c r="G7413" s="369">
        <f>VLOOKUP(C7413,METADATA!$J$5:$Q$29,IF(E7413="HI",2,IF(E7413="LO",6,10))+IF(D7413=1,2,IF(D7413=7,1,(IF(WEEKDAY(B7413)=1,2,IF(WEEKDAY(B7413)=7,1,0))))))</f>
        <v>2</v>
      </c>
      <c r="H7413" s="370">
        <v>10235.299926757813</v>
      </c>
      <c r="I7413" s="370">
        <v>7672.7901306152344</v>
      </c>
      <c r="M7413" s="371">
        <f t="shared" si="461"/>
        <v>12791.914359436394</v>
      </c>
      <c r="N7413" s="329">
        <f t="shared" si="462"/>
        <v>4602.2001525878914</v>
      </c>
      <c r="T7413" s="331">
        <v>0</v>
      </c>
      <c r="U7413" s="328">
        <f>VLOOKUP(C7413,METADATA!$J$5:$Q$29,IF(E7413="HI",2,IF(E7413="LO",6,10))+IF(T7413=1,2,IF(D7413=7,1,(IF(WEEKDAY(B7413)=1,2,IF(WEEKDAY(B7413)=7,1,0))))))</f>
        <v>2</v>
      </c>
      <c r="V7413" s="328">
        <f>VLOOKUP(C7413,METADATA!$A$5:$H$29,IF(E7413="HI",2,IF(E7413="LO",6,10))+IF(T7413=1,2,IF(D7413=7,1,(IF(WEEKDAY(B7413)=1,2,IF(WEEKDAY(B7413)=7,1,0))))))</f>
        <v>2</v>
      </c>
    </row>
    <row r="7414" spans="2:22">
      <c r="B7414" s="318">
        <f t="shared" si="463"/>
        <v>46421</v>
      </c>
      <c r="C7414" s="312">
        <v>18</v>
      </c>
      <c r="D7414" s="368">
        <f>IFERROR((INDEX(METADATA!$T$2:$T$20,MATCH(B7414,METADATA!$S$2:$S$20,0))),0)</f>
        <v>0</v>
      </c>
      <c r="E7414" s="312" t="str">
        <f t="shared" si="460"/>
        <v>LO</v>
      </c>
      <c r="F7414" s="369">
        <f>VLOOKUP(C7414,METADATA!$A$5:$H$29,IF(E7414="HI",2,IF(E7414="LO",6,10))+IF(D7414=1,2,IF(D7414=7,1,(IF(WEEKDAY(B7414)=1,2,IF(WEEKDAY(B7414)=7,1,0))))))</f>
        <v>1</v>
      </c>
      <c r="G7414" s="369">
        <f>VLOOKUP(C7414,METADATA!$J$5:$Q$29,IF(E7414="HI",2,IF(E7414="LO",6,10))+IF(D7414=1,2,IF(D7414=7,1,(IF(WEEKDAY(B7414)=1,2,IF(WEEKDAY(B7414)=7,1,0))))))</f>
        <v>1</v>
      </c>
      <c r="H7414" s="370">
        <v>10035.259948730469</v>
      </c>
      <c r="I7414" s="370">
        <v>7600.4201049804688</v>
      </c>
      <c r="M7414" s="371">
        <f t="shared" si="461"/>
        <v>12588.599128210619</v>
      </c>
      <c r="N7414" s="329">
        <f t="shared" si="462"/>
        <v>4589.8421203613289</v>
      </c>
      <c r="T7414" s="331">
        <v>0</v>
      </c>
      <c r="U7414" s="328">
        <f>VLOOKUP(C7414,METADATA!$J$5:$Q$29,IF(E7414="HI",2,IF(E7414="LO",6,10))+IF(T7414=1,2,IF(D7414=7,1,(IF(WEEKDAY(B7414)=1,2,IF(WEEKDAY(B7414)=7,1,0))))))</f>
        <v>1</v>
      </c>
      <c r="V7414" s="328">
        <f>VLOOKUP(C7414,METADATA!$A$5:$H$29,IF(E7414="HI",2,IF(E7414="LO",6,10))+IF(T7414=1,2,IF(D7414=7,1,(IF(WEEKDAY(B7414)=1,2,IF(WEEKDAY(B7414)=7,1,0))))))</f>
        <v>1</v>
      </c>
    </row>
    <row r="7415" spans="2:22">
      <c r="B7415" s="318">
        <f t="shared" si="463"/>
        <v>46421</v>
      </c>
      <c r="C7415" s="312">
        <v>19</v>
      </c>
      <c r="D7415" s="368">
        <f>IFERROR((INDEX(METADATA!$T$2:$T$20,MATCH(B7415,METADATA!$S$2:$S$20,0))),0)</f>
        <v>0</v>
      </c>
      <c r="E7415" s="312" t="str">
        <f t="shared" si="460"/>
        <v>LO</v>
      </c>
      <c r="F7415" s="369">
        <f>VLOOKUP(C7415,METADATA!$A$5:$H$29,IF(E7415="HI",2,IF(E7415="LO",6,10))+IF(D7415=1,2,IF(D7415=7,1,(IF(WEEKDAY(B7415)=1,2,IF(WEEKDAY(B7415)=7,1,0))))))</f>
        <v>1</v>
      </c>
      <c r="G7415" s="369">
        <f>VLOOKUP(C7415,METADATA!$J$5:$Q$29,IF(E7415="HI",2,IF(E7415="LO",6,10))+IF(D7415=1,2,IF(D7415=7,1,(IF(WEEKDAY(B7415)=1,2,IF(WEEKDAY(B7415)=7,1,0))))))</f>
        <v>1</v>
      </c>
      <c r="H7415" s="370">
        <v>10334.392456054688</v>
      </c>
      <c r="I7415" s="370">
        <v>7718.1476745605469</v>
      </c>
      <c r="M7415" s="371">
        <f t="shared" si="461"/>
        <v>12898.429011398419</v>
      </c>
      <c r="N7415" s="329">
        <f t="shared" si="462"/>
        <v>4617.8299377441408</v>
      </c>
      <c r="T7415" s="331">
        <v>0</v>
      </c>
      <c r="U7415" s="328">
        <f>VLOOKUP(C7415,METADATA!$J$5:$Q$29,IF(E7415="HI",2,IF(E7415="LO",6,10))+IF(T7415=1,2,IF(D7415=7,1,(IF(WEEKDAY(B7415)=1,2,IF(WEEKDAY(B7415)=7,1,0))))))</f>
        <v>1</v>
      </c>
      <c r="V7415" s="328">
        <f>VLOOKUP(C7415,METADATA!$A$5:$H$29,IF(E7415="HI",2,IF(E7415="LO",6,10))+IF(T7415=1,2,IF(D7415=7,1,(IF(WEEKDAY(B7415)=1,2,IF(WEEKDAY(B7415)=7,1,0))))))</f>
        <v>1</v>
      </c>
    </row>
    <row r="7416" spans="2:22">
      <c r="B7416" s="318">
        <f t="shared" si="463"/>
        <v>46421</v>
      </c>
      <c r="C7416" s="312">
        <v>20</v>
      </c>
      <c r="D7416" s="368">
        <f>IFERROR((INDEX(METADATA!$T$2:$T$20,MATCH(B7416,METADATA!$S$2:$S$20,0))),0)</f>
        <v>0</v>
      </c>
      <c r="E7416" s="312" t="str">
        <f t="shared" si="460"/>
        <v>LO</v>
      </c>
      <c r="F7416" s="369">
        <f>VLOOKUP(C7416,METADATA!$A$5:$H$29,IF(E7416="HI",2,IF(E7416="LO",6,10))+IF(D7416=1,2,IF(D7416=7,1,(IF(WEEKDAY(B7416)=1,2,IF(WEEKDAY(B7416)=7,1,0))))))</f>
        <v>1</v>
      </c>
      <c r="G7416" s="369">
        <f>VLOOKUP(C7416,METADATA!$J$5:$Q$29,IF(E7416="HI",2,IF(E7416="LO",6,10))+IF(D7416=1,2,IF(D7416=7,1,(IF(WEEKDAY(B7416)=1,2,IF(WEEKDAY(B7416)=7,1,0))))))</f>
        <v>1</v>
      </c>
      <c r="H7416" s="370">
        <v>11980.075012207031</v>
      </c>
      <c r="I7416" s="370">
        <v>8620.97509765625</v>
      </c>
      <c r="M7416" s="371">
        <f t="shared" si="461"/>
        <v>14759.519264952924</v>
      </c>
      <c r="N7416" s="329">
        <f t="shared" si="462"/>
        <v>5026.9525939941414</v>
      </c>
      <c r="T7416" s="331">
        <v>0</v>
      </c>
      <c r="U7416" s="328">
        <f>VLOOKUP(C7416,METADATA!$J$5:$Q$29,IF(E7416="HI",2,IF(E7416="LO",6,10))+IF(T7416=1,2,IF(D7416=7,1,(IF(WEEKDAY(B7416)=1,2,IF(WEEKDAY(B7416)=7,1,0))))))</f>
        <v>1</v>
      </c>
      <c r="V7416" s="328">
        <f>VLOOKUP(C7416,METADATA!$A$5:$H$29,IF(E7416="HI",2,IF(E7416="LO",6,10))+IF(T7416=1,2,IF(D7416=7,1,(IF(WEEKDAY(B7416)=1,2,IF(WEEKDAY(B7416)=7,1,0))))))</f>
        <v>1</v>
      </c>
    </row>
    <row r="7417" spans="2:22">
      <c r="B7417" s="318">
        <f t="shared" si="463"/>
        <v>46421</v>
      </c>
      <c r="C7417" s="312">
        <v>21</v>
      </c>
      <c r="D7417" s="368">
        <f>IFERROR((INDEX(METADATA!$T$2:$T$20,MATCH(B7417,METADATA!$S$2:$S$20,0))),0)</f>
        <v>0</v>
      </c>
      <c r="E7417" s="312" t="str">
        <f t="shared" si="460"/>
        <v>LO</v>
      </c>
      <c r="F7417" s="369">
        <f>VLOOKUP(C7417,METADATA!$A$5:$H$29,IF(E7417="HI",2,IF(E7417="LO",6,10))+IF(D7417=1,2,IF(D7417=7,1,(IF(WEEKDAY(B7417)=1,2,IF(WEEKDAY(B7417)=7,1,0))))))</f>
        <v>2</v>
      </c>
      <c r="G7417" s="369">
        <f>VLOOKUP(C7417,METADATA!$J$5:$Q$29,IF(E7417="HI",2,IF(E7417="LO",6,10))+IF(D7417=1,2,IF(D7417=7,1,(IF(WEEKDAY(B7417)=1,2,IF(WEEKDAY(B7417)=7,1,0))))))</f>
        <v>2</v>
      </c>
      <c r="H7417" s="370">
        <v>3755.8550415039063</v>
      </c>
      <c r="I7417" s="370">
        <v>2721.6875</v>
      </c>
      <c r="M7417" s="371">
        <f t="shared" si="461"/>
        <v>4638.3218884038824</v>
      </c>
      <c r="N7417" s="329">
        <f t="shared" si="462"/>
        <v>1594.9309875488282</v>
      </c>
      <c r="T7417" s="331">
        <v>0</v>
      </c>
      <c r="U7417" s="328">
        <f>VLOOKUP(C7417,METADATA!$J$5:$Q$29,IF(E7417="HI",2,IF(E7417="LO",6,10))+IF(T7417=1,2,IF(D7417=7,1,(IF(WEEKDAY(B7417)=1,2,IF(WEEKDAY(B7417)=7,1,0))))))</f>
        <v>2</v>
      </c>
      <c r="V7417" s="328">
        <f>VLOOKUP(C7417,METADATA!$A$5:$H$29,IF(E7417="HI",2,IF(E7417="LO",6,10))+IF(T7417=1,2,IF(D7417=7,1,(IF(WEEKDAY(B7417)=1,2,IF(WEEKDAY(B7417)=7,1,0))))))</f>
        <v>2</v>
      </c>
    </row>
    <row r="7418" spans="2:22">
      <c r="B7418" s="318">
        <f t="shared" si="463"/>
        <v>46421</v>
      </c>
      <c r="C7418" s="312">
        <v>22</v>
      </c>
      <c r="D7418" s="368">
        <f>IFERROR((INDEX(METADATA!$T$2:$T$20,MATCH(B7418,METADATA!$S$2:$S$20,0))),0)</f>
        <v>0</v>
      </c>
      <c r="E7418" s="312" t="str">
        <f t="shared" si="460"/>
        <v>LO</v>
      </c>
      <c r="F7418" s="369">
        <f>VLOOKUP(C7418,METADATA!$A$5:$H$29,IF(E7418="HI",2,IF(E7418="LO",6,10))+IF(D7418=1,2,IF(D7418=7,1,(IF(WEEKDAY(B7418)=1,2,IF(WEEKDAY(B7418)=7,1,0))))))</f>
        <v>3</v>
      </c>
      <c r="G7418" s="369">
        <f>VLOOKUP(C7418,METADATA!$J$5:$Q$29,IF(E7418="HI",2,IF(E7418="LO",6,10))+IF(D7418=1,2,IF(D7418=7,1,(IF(WEEKDAY(B7418)=1,2,IF(WEEKDAY(B7418)=7,1,0))))))</f>
        <v>3</v>
      </c>
      <c r="H7418" s="370">
        <v>1443.9599609375</v>
      </c>
      <c r="I7418" s="370">
        <v>1231.1974792480469</v>
      </c>
      <c r="M7418" s="371">
        <f t="shared" si="461"/>
        <v>1897.5952154496415</v>
      </c>
      <c r="N7418" s="329">
        <f t="shared" si="462"/>
        <v>798.00949096679688</v>
      </c>
      <c r="T7418" s="331">
        <v>0</v>
      </c>
      <c r="U7418" s="328">
        <f>VLOOKUP(C7418,METADATA!$J$5:$Q$29,IF(E7418="HI",2,IF(E7418="LO",6,10))+IF(T7418=1,2,IF(D7418=7,1,(IF(WEEKDAY(B7418)=1,2,IF(WEEKDAY(B7418)=7,1,0))))))</f>
        <v>3</v>
      </c>
      <c r="V7418" s="328">
        <f>VLOOKUP(C7418,METADATA!$A$5:$H$29,IF(E7418="HI",2,IF(E7418="LO",6,10))+IF(T7418=1,2,IF(D7418=7,1,(IF(WEEKDAY(B7418)=1,2,IF(WEEKDAY(B7418)=7,1,0))))))</f>
        <v>3</v>
      </c>
    </row>
    <row r="7419" spans="2:22">
      <c r="B7419" s="318">
        <f t="shared" si="463"/>
        <v>46421</v>
      </c>
      <c r="C7419" s="312">
        <v>23</v>
      </c>
      <c r="D7419" s="368">
        <f>IFERROR((INDEX(METADATA!$T$2:$T$20,MATCH(B7419,METADATA!$S$2:$S$20,0))),0)</f>
        <v>0</v>
      </c>
      <c r="E7419" s="312" t="str">
        <f t="shared" si="460"/>
        <v>LO</v>
      </c>
      <c r="F7419" s="369">
        <f>VLOOKUP(C7419,METADATA!$A$5:$H$29,IF(E7419="HI",2,IF(E7419="LO",6,10))+IF(D7419=1,2,IF(D7419=7,1,(IF(WEEKDAY(B7419)=1,2,IF(WEEKDAY(B7419)=7,1,0))))))</f>
        <v>3</v>
      </c>
      <c r="G7419" s="369">
        <f>VLOOKUP(C7419,METADATA!$J$5:$Q$29,IF(E7419="HI",2,IF(E7419="LO",6,10))+IF(D7419=1,2,IF(D7419=7,1,(IF(WEEKDAY(B7419)=1,2,IF(WEEKDAY(B7419)=7,1,0))))))</f>
        <v>3</v>
      </c>
      <c r="H7419" s="370">
        <v>1341.2174987792969</v>
      </c>
      <c r="I7419" s="370">
        <v>1150.344970703125</v>
      </c>
      <c r="M7419" s="371">
        <f t="shared" si="461"/>
        <v>1766.9629115105292</v>
      </c>
      <c r="N7419" s="329">
        <f t="shared" si="462"/>
        <v>747.97972106933594</v>
      </c>
      <c r="T7419" s="331">
        <v>0</v>
      </c>
      <c r="U7419" s="328">
        <f>VLOOKUP(C7419,METADATA!$J$5:$Q$29,IF(E7419="HI",2,IF(E7419="LO",6,10))+IF(T7419=1,2,IF(D7419=7,1,(IF(WEEKDAY(B7419)=1,2,IF(WEEKDAY(B7419)=7,1,0))))))</f>
        <v>3</v>
      </c>
      <c r="V7419" s="328">
        <f>VLOOKUP(C7419,METADATA!$A$5:$H$29,IF(E7419="HI",2,IF(E7419="LO",6,10))+IF(T7419=1,2,IF(D7419=7,1,(IF(WEEKDAY(B7419)=1,2,IF(WEEKDAY(B7419)=7,1,0))))))</f>
        <v>3</v>
      </c>
    </row>
    <row r="7420" spans="2:22">
      <c r="B7420" s="318">
        <f t="shared" si="463"/>
        <v>46422</v>
      </c>
      <c r="C7420" s="312">
        <v>0</v>
      </c>
      <c r="D7420" s="368">
        <f>IFERROR((INDEX(METADATA!$T$2:$T$20,MATCH(B7420,METADATA!$S$2:$S$20,0))),0)</f>
        <v>0</v>
      </c>
      <c r="E7420" s="312" t="str">
        <f t="shared" si="460"/>
        <v>LO</v>
      </c>
      <c r="F7420" s="369">
        <f>VLOOKUP(C7420,METADATA!$A$5:$H$29,IF(E7420="HI",2,IF(E7420="LO",6,10))+IF(D7420=1,2,IF(D7420=7,1,(IF(WEEKDAY(B7420)=1,2,IF(WEEKDAY(B7420)=7,1,0))))))</f>
        <v>3</v>
      </c>
      <c r="G7420" s="369">
        <f>VLOOKUP(C7420,METADATA!$J$5:$Q$29,IF(E7420="HI",2,IF(E7420="LO",6,10))+IF(D7420=1,2,IF(D7420=7,1,(IF(WEEKDAY(B7420)=1,2,IF(WEEKDAY(B7420)=7,1,0))))))</f>
        <v>3</v>
      </c>
      <c r="H7420" s="370">
        <v>1332.1424560546875</v>
      </c>
      <c r="I7420" s="370">
        <v>1138.4624938964844</v>
      </c>
      <c r="M7420" s="371">
        <f t="shared" si="461"/>
        <v>1752.3413974543937</v>
      </c>
      <c r="N7420" s="329">
        <f t="shared" si="462"/>
        <v>738.81975708007815</v>
      </c>
      <c r="T7420" s="331">
        <v>0</v>
      </c>
      <c r="U7420" s="328">
        <f>VLOOKUP(C7420,METADATA!$J$5:$Q$29,IF(E7420="HI",2,IF(E7420="LO",6,10))+IF(T7420=1,2,IF(D7420=7,1,(IF(WEEKDAY(B7420)=1,2,IF(WEEKDAY(B7420)=7,1,0))))))</f>
        <v>3</v>
      </c>
      <c r="V7420" s="328">
        <f>VLOOKUP(C7420,METADATA!$A$5:$H$29,IF(E7420="HI",2,IF(E7420="LO",6,10))+IF(T7420=1,2,IF(D7420=7,1,(IF(WEEKDAY(B7420)=1,2,IF(WEEKDAY(B7420)=7,1,0))))))</f>
        <v>3</v>
      </c>
    </row>
    <row r="7421" spans="2:22">
      <c r="B7421" s="318">
        <f t="shared" si="463"/>
        <v>46422</v>
      </c>
      <c r="C7421" s="312">
        <v>1</v>
      </c>
      <c r="D7421" s="368">
        <f>IFERROR((INDEX(METADATA!$T$2:$T$20,MATCH(B7421,METADATA!$S$2:$S$20,0))),0)</f>
        <v>0</v>
      </c>
      <c r="E7421" s="312" t="str">
        <f t="shared" si="460"/>
        <v>LO</v>
      </c>
      <c r="F7421" s="369">
        <f>VLOOKUP(C7421,METADATA!$A$5:$H$29,IF(E7421="HI",2,IF(E7421="LO",6,10))+IF(D7421=1,2,IF(D7421=7,1,(IF(WEEKDAY(B7421)=1,2,IF(WEEKDAY(B7421)=7,1,0))))))</f>
        <v>3</v>
      </c>
      <c r="G7421" s="369">
        <f>VLOOKUP(C7421,METADATA!$J$5:$Q$29,IF(E7421="HI",2,IF(E7421="LO",6,10))+IF(D7421=1,2,IF(D7421=7,1,(IF(WEEKDAY(B7421)=1,2,IF(WEEKDAY(B7421)=7,1,0))))))</f>
        <v>3</v>
      </c>
      <c r="H7421" s="370">
        <v>1310.7599487304688</v>
      </c>
      <c r="I7421" s="370">
        <v>1153.4350280761719</v>
      </c>
      <c r="M7421" s="371">
        <f t="shared" si="461"/>
        <v>1745.9965656292054</v>
      </c>
      <c r="N7421" s="329">
        <f t="shared" si="462"/>
        <v>760.2070434570312</v>
      </c>
      <c r="T7421" s="331">
        <v>0</v>
      </c>
      <c r="U7421" s="328">
        <f>VLOOKUP(C7421,METADATA!$J$5:$Q$29,IF(E7421="HI",2,IF(E7421="LO",6,10))+IF(T7421=1,2,IF(D7421=7,1,(IF(WEEKDAY(B7421)=1,2,IF(WEEKDAY(B7421)=7,1,0))))))</f>
        <v>3</v>
      </c>
      <c r="V7421" s="328">
        <f>VLOOKUP(C7421,METADATA!$A$5:$H$29,IF(E7421="HI",2,IF(E7421="LO",6,10))+IF(T7421=1,2,IF(D7421=7,1,(IF(WEEKDAY(B7421)=1,2,IF(WEEKDAY(B7421)=7,1,0))))))</f>
        <v>3</v>
      </c>
    </row>
    <row r="7422" spans="2:22">
      <c r="B7422" s="318">
        <f t="shared" si="463"/>
        <v>46422</v>
      </c>
      <c r="C7422" s="312">
        <v>2</v>
      </c>
      <c r="D7422" s="368">
        <f>IFERROR((INDEX(METADATA!$T$2:$T$20,MATCH(B7422,METADATA!$S$2:$S$20,0))),0)</f>
        <v>0</v>
      </c>
      <c r="E7422" s="312" t="str">
        <f t="shared" si="460"/>
        <v>LO</v>
      </c>
      <c r="F7422" s="369">
        <f>VLOOKUP(C7422,METADATA!$A$5:$H$29,IF(E7422="HI",2,IF(E7422="LO",6,10))+IF(D7422=1,2,IF(D7422=7,1,(IF(WEEKDAY(B7422)=1,2,IF(WEEKDAY(B7422)=7,1,0))))))</f>
        <v>3</v>
      </c>
      <c r="G7422" s="369">
        <f>VLOOKUP(C7422,METADATA!$J$5:$Q$29,IF(E7422="HI",2,IF(E7422="LO",6,10))+IF(D7422=1,2,IF(D7422=7,1,(IF(WEEKDAY(B7422)=1,2,IF(WEEKDAY(B7422)=7,1,0))))))</f>
        <v>3</v>
      </c>
      <c r="H7422" s="370">
        <v>1306.58251953125</v>
      </c>
      <c r="I7422" s="370">
        <v>1144.8000183105469</v>
      </c>
      <c r="M7422" s="371">
        <f t="shared" si="461"/>
        <v>1737.1600278237056</v>
      </c>
      <c r="N7422" s="329">
        <f t="shared" si="462"/>
        <v>752.82526245117197</v>
      </c>
      <c r="T7422" s="331">
        <v>0</v>
      </c>
      <c r="U7422" s="328">
        <f>VLOOKUP(C7422,METADATA!$J$5:$Q$29,IF(E7422="HI",2,IF(E7422="LO",6,10))+IF(T7422=1,2,IF(D7422=7,1,(IF(WEEKDAY(B7422)=1,2,IF(WEEKDAY(B7422)=7,1,0))))))</f>
        <v>3</v>
      </c>
      <c r="V7422" s="328">
        <f>VLOOKUP(C7422,METADATA!$A$5:$H$29,IF(E7422="HI",2,IF(E7422="LO",6,10))+IF(T7422=1,2,IF(D7422=7,1,(IF(WEEKDAY(B7422)=1,2,IF(WEEKDAY(B7422)=7,1,0))))))</f>
        <v>3</v>
      </c>
    </row>
    <row r="7423" spans="2:22">
      <c r="B7423" s="318">
        <f t="shared" si="463"/>
        <v>46422</v>
      </c>
      <c r="C7423" s="312">
        <v>3</v>
      </c>
      <c r="D7423" s="368">
        <f>IFERROR((INDEX(METADATA!$T$2:$T$20,MATCH(B7423,METADATA!$S$2:$S$20,0))),0)</f>
        <v>0</v>
      </c>
      <c r="E7423" s="312" t="str">
        <f t="shared" si="460"/>
        <v>LO</v>
      </c>
      <c r="F7423" s="369">
        <f>VLOOKUP(C7423,METADATA!$A$5:$H$29,IF(E7423="HI",2,IF(E7423="LO",6,10))+IF(D7423=1,2,IF(D7423=7,1,(IF(WEEKDAY(B7423)=1,2,IF(WEEKDAY(B7423)=7,1,0))))))</f>
        <v>3</v>
      </c>
      <c r="G7423" s="369">
        <f>VLOOKUP(C7423,METADATA!$J$5:$Q$29,IF(E7423="HI",2,IF(E7423="LO",6,10))+IF(D7423=1,2,IF(D7423=7,1,(IF(WEEKDAY(B7423)=1,2,IF(WEEKDAY(B7423)=7,1,0))))))</f>
        <v>3</v>
      </c>
      <c r="H7423" s="370">
        <v>1218.5999755859375</v>
      </c>
      <c r="I7423" s="370">
        <v>1073.1625061035156</v>
      </c>
      <c r="M7423" s="371">
        <f t="shared" si="461"/>
        <v>1623.7806702274866</v>
      </c>
      <c r="N7423" s="329">
        <f t="shared" si="462"/>
        <v>707.5825134277344</v>
      </c>
      <c r="T7423" s="331">
        <v>0</v>
      </c>
      <c r="U7423" s="328">
        <f>VLOOKUP(C7423,METADATA!$J$5:$Q$29,IF(E7423="HI",2,IF(E7423="LO",6,10))+IF(T7423=1,2,IF(D7423=7,1,(IF(WEEKDAY(B7423)=1,2,IF(WEEKDAY(B7423)=7,1,0))))))</f>
        <v>3</v>
      </c>
      <c r="V7423" s="328">
        <f>VLOOKUP(C7423,METADATA!$A$5:$H$29,IF(E7423="HI",2,IF(E7423="LO",6,10))+IF(T7423=1,2,IF(D7423=7,1,(IF(WEEKDAY(B7423)=1,2,IF(WEEKDAY(B7423)=7,1,0))))))</f>
        <v>3</v>
      </c>
    </row>
    <row r="7424" spans="2:22">
      <c r="B7424" s="318">
        <f t="shared" si="463"/>
        <v>46422</v>
      </c>
      <c r="C7424" s="312">
        <v>4</v>
      </c>
      <c r="D7424" s="368">
        <f>IFERROR((INDEX(METADATA!$T$2:$T$20,MATCH(B7424,METADATA!$S$2:$S$20,0))),0)</f>
        <v>0</v>
      </c>
      <c r="E7424" s="312" t="str">
        <f t="shared" si="460"/>
        <v>LO</v>
      </c>
      <c r="F7424" s="369">
        <f>VLOOKUP(C7424,METADATA!$A$5:$H$29,IF(E7424="HI",2,IF(E7424="LO",6,10))+IF(D7424=1,2,IF(D7424=7,1,(IF(WEEKDAY(B7424)=1,2,IF(WEEKDAY(B7424)=7,1,0))))))</f>
        <v>3</v>
      </c>
      <c r="G7424" s="369">
        <f>VLOOKUP(C7424,METADATA!$J$5:$Q$29,IF(E7424="HI",2,IF(E7424="LO",6,10))+IF(D7424=1,2,IF(D7424=7,1,(IF(WEEKDAY(B7424)=1,2,IF(WEEKDAY(B7424)=7,1,0))))))</f>
        <v>3</v>
      </c>
      <c r="H7424" s="370">
        <v>2247.0500297546387</v>
      </c>
      <c r="I7424" s="370">
        <v>2399.1725540161133</v>
      </c>
      <c r="M7424" s="371">
        <f t="shared" si="461"/>
        <v>3287.1359540129338</v>
      </c>
      <c r="N7424" s="329">
        <f t="shared" si="462"/>
        <v>1725.0575450897218</v>
      </c>
      <c r="T7424" s="331">
        <v>0</v>
      </c>
      <c r="U7424" s="328">
        <f>VLOOKUP(C7424,METADATA!$J$5:$Q$29,IF(E7424="HI",2,IF(E7424="LO",6,10))+IF(T7424=1,2,IF(D7424=7,1,(IF(WEEKDAY(B7424)=1,2,IF(WEEKDAY(B7424)=7,1,0))))))</f>
        <v>3</v>
      </c>
      <c r="V7424" s="328">
        <f>VLOOKUP(C7424,METADATA!$A$5:$H$29,IF(E7424="HI",2,IF(E7424="LO",6,10))+IF(T7424=1,2,IF(D7424=7,1,(IF(WEEKDAY(B7424)=1,2,IF(WEEKDAY(B7424)=7,1,0))))))</f>
        <v>3</v>
      </c>
    </row>
    <row r="7425" spans="2:22">
      <c r="B7425" s="318">
        <f t="shared" si="463"/>
        <v>46422</v>
      </c>
      <c r="C7425" s="312">
        <v>5</v>
      </c>
      <c r="D7425" s="368">
        <f>IFERROR((INDEX(METADATA!$T$2:$T$20,MATCH(B7425,METADATA!$S$2:$S$20,0))),0)</f>
        <v>0</v>
      </c>
      <c r="E7425" s="312" t="str">
        <f t="shared" si="460"/>
        <v>LO</v>
      </c>
      <c r="F7425" s="369">
        <f>VLOOKUP(C7425,METADATA!$A$5:$H$29,IF(E7425="HI",2,IF(E7425="LO",6,10))+IF(D7425=1,2,IF(D7425=7,1,(IF(WEEKDAY(B7425)=1,2,IF(WEEKDAY(B7425)=7,1,0))))))</f>
        <v>3</v>
      </c>
      <c r="G7425" s="369">
        <f>VLOOKUP(C7425,METADATA!$J$5:$Q$29,IF(E7425="HI",2,IF(E7425="LO",6,10))+IF(D7425=1,2,IF(D7425=7,1,(IF(WEEKDAY(B7425)=1,2,IF(WEEKDAY(B7425)=7,1,0))))))</f>
        <v>3</v>
      </c>
      <c r="H7425" s="370">
        <v>4832.4949645996094</v>
      </c>
      <c r="I7425" s="370">
        <v>4715.9849548339844</v>
      </c>
      <c r="M7425" s="371">
        <f t="shared" si="461"/>
        <v>6752.2975110032785</v>
      </c>
      <c r="N7425" s="329">
        <f t="shared" si="462"/>
        <v>3266.2364654541016</v>
      </c>
      <c r="T7425" s="331">
        <v>0</v>
      </c>
      <c r="U7425" s="328">
        <f>VLOOKUP(C7425,METADATA!$J$5:$Q$29,IF(E7425="HI",2,IF(E7425="LO",6,10))+IF(T7425=1,2,IF(D7425=7,1,(IF(WEEKDAY(B7425)=1,2,IF(WEEKDAY(B7425)=7,1,0))))))</f>
        <v>3</v>
      </c>
      <c r="V7425" s="328">
        <f>VLOOKUP(C7425,METADATA!$A$5:$H$29,IF(E7425="HI",2,IF(E7425="LO",6,10))+IF(T7425=1,2,IF(D7425=7,1,(IF(WEEKDAY(B7425)=1,2,IF(WEEKDAY(B7425)=7,1,0))))))</f>
        <v>3</v>
      </c>
    </row>
    <row r="7426" spans="2:22">
      <c r="B7426" s="318">
        <f t="shared" si="463"/>
        <v>46422</v>
      </c>
      <c r="C7426" s="312">
        <v>6</v>
      </c>
      <c r="D7426" s="368">
        <f>IFERROR((INDEX(METADATA!$T$2:$T$20,MATCH(B7426,METADATA!$S$2:$S$20,0))),0)</f>
        <v>0</v>
      </c>
      <c r="E7426" s="312" t="str">
        <f t="shared" si="460"/>
        <v>LO</v>
      </c>
      <c r="F7426" s="369">
        <f>VLOOKUP(C7426,METADATA!$A$5:$H$29,IF(E7426="HI",2,IF(E7426="LO",6,10))+IF(D7426=1,2,IF(D7426=7,1,(IF(WEEKDAY(B7426)=1,2,IF(WEEKDAY(B7426)=7,1,0))))))</f>
        <v>2</v>
      </c>
      <c r="G7426" s="369">
        <f>VLOOKUP(C7426,METADATA!$J$5:$Q$29,IF(E7426="HI",2,IF(E7426="LO",6,10))+IF(D7426=1,2,IF(D7426=7,1,(IF(WEEKDAY(B7426)=1,2,IF(WEEKDAY(B7426)=7,1,0))))))</f>
        <v>2</v>
      </c>
      <c r="H7426" s="370">
        <v>5618.699951171875</v>
      </c>
      <c r="I7426" s="370">
        <v>5149.68505859375</v>
      </c>
      <c r="M7426" s="371">
        <f t="shared" si="461"/>
        <v>7621.6169769939597</v>
      </c>
      <c r="N7426" s="329">
        <f t="shared" si="462"/>
        <v>3464.0750732421875</v>
      </c>
      <c r="T7426" s="331">
        <v>0</v>
      </c>
      <c r="U7426" s="328">
        <f>VLOOKUP(C7426,METADATA!$J$5:$Q$29,IF(E7426="HI",2,IF(E7426="LO",6,10))+IF(T7426=1,2,IF(D7426=7,1,(IF(WEEKDAY(B7426)=1,2,IF(WEEKDAY(B7426)=7,1,0))))))</f>
        <v>2</v>
      </c>
      <c r="V7426" s="328">
        <f>VLOOKUP(C7426,METADATA!$A$5:$H$29,IF(E7426="HI",2,IF(E7426="LO",6,10))+IF(T7426=1,2,IF(D7426=7,1,(IF(WEEKDAY(B7426)=1,2,IF(WEEKDAY(B7426)=7,1,0))))))</f>
        <v>2</v>
      </c>
    </row>
    <row r="7427" spans="2:22">
      <c r="B7427" s="318">
        <f t="shared" si="463"/>
        <v>46422</v>
      </c>
      <c r="C7427" s="312">
        <v>7</v>
      </c>
      <c r="D7427" s="368">
        <f>IFERROR((INDEX(METADATA!$T$2:$T$20,MATCH(B7427,METADATA!$S$2:$S$20,0))),0)</f>
        <v>0</v>
      </c>
      <c r="E7427" s="312" t="str">
        <f t="shared" si="460"/>
        <v>LO</v>
      </c>
      <c r="F7427" s="369">
        <f>VLOOKUP(C7427,METADATA!$A$5:$H$29,IF(E7427="HI",2,IF(E7427="LO",6,10))+IF(D7427=1,2,IF(D7427=7,1,(IF(WEEKDAY(B7427)=1,2,IF(WEEKDAY(B7427)=7,1,0))))))</f>
        <v>1</v>
      </c>
      <c r="G7427" s="369">
        <f>VLOOKUP(C7427,METADATA!$J$5:$Q$29,IF(E7427="HI",2,IF(E7427="LO",6,10))+IF(D7427=1,2,IF(D7427=7,1,(IF(WEEKDAY(B7427)=1,2,IF(WEEKDAY(B7427)=7,1,0))))))</f>
        <v>1</v>
      </c>
      <c r="H7427" s="370">
        <v>4344.4274597167969</v>
      </c>
      <c r="I7427" s="370">
        <v>4229.6249694824219</v>
      </c>
      <c r="M7427" s="371">
        <f t="shared" si="461"/>
        <v>6063.3140554659149</v>
      </c>
      <c r="N7427" s="329">
        <f t="shared" si="462"/>
        <v>2926.2967315673832</v>
      </c>
      <c r="T7427" s="331">
        <v>0</v>
      </c>
      <c r="U7427" s="328">
        <f>VLOOKUP(C7427,METADATA!$J$5:$Q$29,IF(E7427="HI",2,IF(E7427="LO",6,10))+IF(T7427=1,2,IF(D7427=7,1,(IF(WEEKDAY(B7427)=1,2,IF(WEEKDAY(B7427)=7,1,0))))))</f>
        <v>1</v>
      </c>
      <c r="V7427" s="328">
        <f>VLOOKUP(C7427,METADATA!$A$5:$H$29,IF(E7427="HI",2,IF(E7427="LO",6,10))+IF(T7427=1,2,IF(D7427=7,1,(IF(WEEKDAY(B7427)=1,2,IF(WEEKDAY(B7427)=7,1,0))))))</f>
        <v>1</v>
      </c>
    </row>
    <row r="7428" spans="2:22">
      <c r="B7428" s="318">
        <f t="shared" si="463"/>
        <v>46422</v>
      </c>
      <c r="C7428" s="312">
        <v>8</v>
      </c>
      <c r="D7428" s="368">
        <f>IFERROR((INDEX(METADATA!$T$2:$T$20,MATCH(B7428,METADATA!$S$2:$S$20,0))),0)</f>
        <v>0</v>
      </c>
      <c r="E7428" s="312" t="str">
        <f t="shared" ref="E7428:E7491" si="464">IF(B7428="","",IF(AND(MONTH(B7428)&gt;=MONTH($Z$9),MONTH(B7428)&lt;=MONTH($Z$11)),"HI","LO"))</f>
        <v>LO</v>
      </c>
      <c r="F7428" s="369">
        <f>VLOOKUP(C7428,METADATA!$A$5:$H$29,IF(E7428="HI",2,IF(E7428="LO",6,10))+IF(D7428=1,2,IF(D7428=7,1,(IF(WEEKDAY(B7428)=1,2,IF(WEEKDAY(B7428)=7,1,0))))))</f>
        <v>1</v>
      </c>
      <c r="G7428" s="369">
        <f>VLOOKUP(C7428,METADATA!$J$5:$Q$29,IF(E7428="HI",2,IF(E7428="LO",6,10))+IF(D7428=1,2,IF(D7428=7,1,(IF(WEEKDAY(B7428)=1,2,IF(WEEKDAY(B7428)=7,1,0))))))</f>
        <v>1</v>
      </c>
      <c r="H7428" s="370">
        <v>6529.9777221679688</v>
      </c>
      <c r="I7428" s="370">
        <v>5623.662353515625</v>
      </c>
      <c r="M7428" s="371">
        <f t="shared" ref="M7428:M7491" si="465">SQRT(H7428^2+I7428^2)</f>
        <v>8617.7832020977912</v>
      </c>
      <c r="N7428" s="329">
        <f t="shared" ref="N7428:N7491" si="466">IF(H7428=0,0,(IF(I7428-(0.3*H7428)&lt;0,0,(I7428-(0.3*H7428)))))</f>
        <v>3664.6690368652344</v>
      </c>
      <c r="T7428" s="331">
        <v>0</v>
      </c>
      <c r="U7428" s="328">
        <f>VLOOKUP(C7428,METADATA!$J$5:$Q$29,IF(E7428="HI",2,IF(E7428="LO",6,10))+IF(T7428=1,2,IF(D7428=7,1,(IF(WEEKDAY(B7428)=1,2,IF(WEEKDAY(B7428)=7,1,0))))))</f>
        <v>1</v>
      </c>
      <c r="V7428" s="328">
        <f>VLOOKUP(C7428,METADATA!$A$5:$H$29,IF(E7428="HI",2,IF(E7428="LO",6,10))+IF(T7428=1,2,IF(D7428=7,1,(IF(WEEKDAY(B7428)=1,2,IF(WEEKDAY(B7428)=7,1,0))))))</f>
        <v>1</v>
      </c>
    </row>
    <row r="7429" spans="2:22">
      <c r="B7429" s="318">
        <f t="shared" si="463"/>
        <v>46422</v>
      </c>
      <c r="C7429" s="312">
        <v>9</v>
      </c>
      <c r="D7429" s="368">
        <f>IFERROR((INDEX(METADATA!$T$2:$T$20,MATCH(B7429,METADATA!$S$2:$S$20,0))),0)</f>
        <v>0</v>
      </c>
      <c r="E7429" s="312" t="str">
        <f t="shared" si="464"/>
        <v>LO</v>
      </c>
      <c r="F7429" s="369">
        <f>VLOOKUP(C7429,METADATA!$A$5:$H$29,IF(E7429="HI",2,IF(E7429="LO",6,10))+IF(D7429=1,2,IF(D7429=7,1,(IF(WEEKDAY(B7429)=1,2,IF(WEEKDAY(B7429)=7,1,0))))))</f>
        <v>2</v>
      </c>
      <c r="G7429" s="369">
        <f>VLOOKUP(C7429,METADATA!$J$5:$Q$29,IF(E7429="HI",2,IF(E7429="LO",6,10))+IF(D7429=1,2,IF(D7429=7,1,(IF(WEEKDAY(B7429)=1,2,IF(WEEKDAY(B7429)=7,1,0))))))</f>
        <v>2</v>
      </c>
      <c r="H7429" s="370">
        <v>9740.2750244140625</v>
      </c>
      <c r="I7429" s="370">
        <v>7281.2923278808594</v>
      </c>
      <c r="M7429" s="371">
        <f t="shared" si="465"/>
        <v>12161.010464401428</v>
      </c>
      <c r="N7429" s="329">
        <f t="shared" si="466"/>
        <v>4359.2098205566408</v>
      </c>
      <c r="T7429" s="331">
        <v>0</v>
      </c>
      <c r="U7429" s="328">
        <f>VLOOKUP(C7429,METADATA!$J$5:$Q$29,IF(E7429="HI",2,IF(E7429="LO",6,10))+IF(T7429=1,2,IF(D7429=7,1,(IF(WEEKDAY(B7429)=1,2,IF(WEEKDAY(B7429)=7,1,0))))))</f>
        <v>2</v>
      </c>
      <c r="V7429" s="328">
        <f>VLOOKUP(C7429,METADATA!$A$5:$H$29,IF(E7429="HI",2,IF(E7429="LO",6,10))+IF(T7429=1,2,IF(D7429=7,1,(IF(WEEKDAY(B7429)=1,2,IF(WEEKDAY(B7429)=7,1,0))))))</f>
        <v>2</v>
      </c>
    </row>
    <row r="7430" spans="2:22">
      <c r="B7430" s="318">
        <f t="shared" si="463"/>
        <v>46422</v>
      </c>
      <c r="C7430" s="312">
        <v>10</v>
      </c>
      <c r="D7430" s="368">
        <f>IFERROR((INDEX(METADATA!$T$2:$T$20,MATCH(B7430,METADATA!$S$2:$S$20,0))),0)</f>
        <v>0</v>
      </c>
      <c r="E7430" s="312" t="str">
        <f t="shared" si="464"/>
        <v>LO</v>
      </c>
      <c r="F7430" s="369">
        <f>VLOOKUP(C7430,METADATA!$A$5:$H$29,IF(E7430="HI",2,IF(E7430="LO",6,10))+IF(D7430=1,2,IF(D7430=7,1,(IF(WEEKDAY(B7430)=1,2,IF(WEEKDAY(B7430)=7,1,0))))))</f>
        <v>2</v>
      </c>
      <c r="G7430" s="369">
        <f>VLOOKUP(C7430,METADATA!$J$5:$Q$29,IF(E7430="HI",2,IF(E7430="LO",6,10))+IF(D7430=1,2,IF(D7430=7,1,(IF(WEEKDAY(B7430)=1,2,IF(WEEKDAY(B7430)=7,1,0))))))</f>
        <v>2</v>
      </c>
      <c r="H7430" s="370">
        <v>10130.474975585938</v>
      </c>
      <c r="I7430" s="370">
        <v>7521.9451904296875</v>
      </c>
      <c r="M7430" s="371">
        <f t="shared" si="465"/>
        <v>12617.693239209821</v>
      </c>
      <c r="N7430" s="329">
        <f t="shared" si="466"/>
        <v>4482.8026977539066</v>
      </c>
      <c r="T7430" s="331">
        <v>0</v>
      </c>
      <c r="U7430" s="328">
        <f>VLOOKUP(C7430,METADATA!$J$5:$Q$29,IF(E7430="HI",2,IF(E7430="LO",6,10))+IF(T7430=1,2,IF(D7430=7,1,(IF(WEEKDAY(B7430)=1,2,IF(WEEKDAY(B7430)=7,1,0))))))</f>
        <v>2</v>
      </c>
      <c r="V7430" s="328">
        <f>VLOOKUP(C7430,METADATA!$A$5:$H$29,IF(E7430="HI",2,IF(E7430="LO",6,10))+IF(T7430=1,2,IF(D7430=7,1,(IF(WEEKDAY(B7430)=1,2,IF(WEEKDAY(B7430)=7,1,0))))))</f>
        <v>2</v>
      </c>
    </row>
    <row r="7431" spans="2:22">
      <c r="B7431" s="318">
        <f t="shared" si="463"/>
        <v>46422</v>
      </c>
      <c r="C7431" s="312">
        <v>11</v>
      </c>
      <c r="D7431" s="368">
        <f>IFERROR((INDEX(METADATA!$T$2:$T$20,MATCH(B7431,METADATA!$S$2:$S$20,0))),0)</f>
        <v>0</v>
      </c>
      <c r="E7431" s="312" t="str">
        <f t="shared" si="464"/>
        <v>LO</v>
      </c>
      <c r="F7431" s="369">
        <f>VLOOKUP(C7431,METADATA!$A$5:$H$29,IF(E7431="HI",2,IF(E7431="LO",6,10))+IF(D7431=1,2,IF(D7431=7,1,(IF(WEEKDAY(B7431)=1,2,IF(WEEKDAY(B7431)=7,1,0))))))</f>
        <v>2</v>
      </c>
      <c r="G7431" s="369">
        <f>VLOOKUP(C7431,METADATA!$J$5:$Q$29,IF(E7431="HI",2,IF(E7431="LO",6,10))+IF(D7431=1,2,IF(D7431=7,1,(IF(WEEKDAY(B7431)=1,2,IF(WEEKDAY(B7431)=7,1,0))))))</f>
        <v>2</v>
      </c>
      <c r="H7431" s="370">
        <v>10781.775085449219</v>
      </c>
      <c r="I7431" s="370">
        <v>7890.3926391601563</v>
      </c>
      <c r="M7431" s="371">
        <f t="shared" si="465"/>
        <v>13360.57521191832</v>
      </c>
      <c r="N7431" s="329">
        <f t="shared" si="466"/>
        <v>4655.8601135253903</v>
      </c>
      <c r="T7431" s="331">
        <v>0</v>
      </c>
      <c r="U7431" s="328">
        <f>VLOOKUP(C7431,METADATA!$J$5:$Q$29,IF(E7431="HI",2,IF(E7431="LO",6,10))+IF(T7431=1,2,IF(D7431=7,1,(IF(WEEKDAY(B7431)=1,2,IF(WEEKDAY(B7431)=7,1,0))))))</f>
        <v>2</v>
      </c>
      <c r="V7431" s="328">
        <f>VLOOKUP(C7431,METADATA!$A$5:$H$29,IF(E7431="HI",2,IF(E7431="LO",6,10))+IF(T7431=1,2,IF(D7431=7,1,(IF(WEEKDAY(B7431)=1,2,IF(WEEKDAY(B7431)=7,1,0))))))</f>
        <v>2</v>
      </c>
    </row>
    <row r="7432" spans="2:22">
      <c r="B7432" s="318">
        <f t="shared" si="463"/>
        <v>46422</v>
      </c>
      <c r="C7432" s="312">
        <v>12</v>
      </c>
      <c r="D7432" s="368">
        <f>IFERROR((INDEX(METADATA!$T$2:$T$20,MATCH(B7432,METADATA!$S$2:$S$20,0))),0)</f>
        <v>0</v>
      </c>
      <c r="E7432" s="312" t="str">
        <f t="shared" si="464"/>
        <v>LO</v>
      </c>
      <c r="F7432" s="369">
        <f>VLOOKUP(C7432,METADATA!$A$5:$H$29,IF(E7432="HI",2,IF(E7432="LO",6,10))+IF(D7432=1,2,IF(D7432=7,1,(IF(WEEKDAY(B7432)=1,2,IF(WEEKDAY(B7432)=7,1,0))))))</f>
        <v>2</v>
      </c>
      <c r="G7432" s="369">
        <f>VLOOKUP(C7432,METADATA!$J$5:$Q$29,IF(E7432="HI",2,IF(E7432="LO",6,10))+IF(D7432=1,2,IF(D7432=7,1,(IF(WEEKDAY(B7432)=1,2,IF(WEEKDAY(B7432)=7,1,0))))))</f>
        <v>2</v>
      </c>
      <c r="H7432" s="370">
        <v>11771.80029296875</v>
      </c>
      <c r="I7432" s="370">
        <v>8559.25</v>
      </c>
      <c r="M7432" s="371">
        <f t="shared" si="465"/>
        <v>14554.588372744834</v>
      </c>
      <c r="N7432" s="329">
        <f t="shared" si="466"/>
        <v>5027.7099121093752</v>
      </c>
      <c r="T7432" s="331">
        <v>0</v>
      </c>
      <c r="U7432" s="328">
        <f>VLOOKUP(C7432,METADATA!$J$5:$Q$29,IF(E7432="HI",2,IF(E7432="LO",6,10))+IF(T7432=1,2,IF(D7432=7,1,(IF(WEEKDAY(B7432)=1,2,IF(WEEKDAY(B7432)=7,1,0))))))</f>
        <v>2</v>
      </c>
      <c r="V7432" s="328">
        <f>VLOOKUP(C7432,METADATA!$A$5:$H$29,IF(E7432="HI",2,IF(E7432="LO",6,10))+IF(T7432=1,2,IF(D7432=7,1,(IF(WEEKDAY(B7432)=1,2,IF(WEEKDAY(B7432)=7,1,0))))))</f>
        <v>2</v>
      </c>
    </row>
    <row r="7433" spans="2:22">
      <c r="B7433" s="318">
        <f t="shared" si="463"/>
        <v>46422</v>
      </c>
      <c r="C7433" s="312">
        <v>13</v>
      </c>
      <c r="D7433" s="368">
        <f>IFERROR((INDEX(METADATA!$T$2:$T$20,MATCH(B7433,METADATA!$S$2:$S$20,0))),0)</f>
        <v>0</v>
      </c>
      <c r="E7433" s="312" t="str">
        <f t="shared" si="464"/>
        <v>LO</v>
      </c>
      <c r="F7433" s="369">
        <f>VLOOKUP(C7433,METADATA!$A$5:$H$29,IF(E7433="HI",2,IF(E7433="LO",6,10))+IF(D7433=1,2,IF(D7433=7,1,(IF(WEEKDAY(B7433)=1,2,IF(WEEKDAY(B7433)=7,1,0))))))</f>
        <v>2</v>
      </c>
      <c r="G7433" s="369">
        <f>VLOOKUP(C7433,METADATA!$J$5:$Q$29,IF(E7433="HI",2,IF(E7433="LO",6,10))+IF(D7433=1,2,IF(D7433=7,1,(IF(WEEKDAY(B7433)=1,2,IF(WEEKDAY(B7433)=7,1,0))))))</f>
        <v>2</v>
      </c>
      <c r="H7433" s="370">
        <v>11724.174926757813</v>
      </c>
      <c r="I7433" s="370">
        <v>8496.900146484375</v>
      </c>
      <c r="M7433" s="371">
        <f t="shared" si="465"/>
        <v>14479.419526090911</v>
      </c>
      <c r="N7433" s="329">
        <f t="shared" si="466"/>
        <v>4979.6476684570316</v>
      </c>
      <c r="T7433" s="331">
        <v>0</v>
      </c>
      <c r="U7433" s="328">
        <f>VLOOKUP(C7433,METADATA!$J$5:$Q$29,IF(E7433="HI",2,IF(E7433="LO",6,10))+IF(T7433=1,2,IF(D7433=7,1,(IF(WEEKDAY(B7433)=1,2,IF(WEEKDAY(B7433)=7,1,0))))))</f>
        <v>2</v>
      </c>
      <c r="V7433" s="328">
        <f>VLOOKUP(C7433,METADATA!$A$5:$H$29,IF(E7433="HI",2,IF(E7433="LO",6,10))+IF(T7433=1,2,IF(D7433=7,1,(IF(WEEKDAY(B7433)=1,2,IF(WEEKDAY(B7433)=7,1,0))))))</f>
        <v>2</v>
      </c>
    </row>
    <row r="7434" spans="2:22">
      <c r="B7434" s="318">
        <f t="shared" si="463"/>
        <v>46422</v>
      </c>
      <c r="C7434" s="312">
        <v>14</v>
      </c>
      <c r="D7434" s="368">
        <f>IFERROR((INDEX(METADATA!$T$2:$T$20,MATCH(B7434,METADATA!$S$2:$S$20,0))),0)</f>
        <v>0</v>
      </c>
      <c r="E7434" s="312" t="str">
        <f t="shared" si="464"/>
        <v>LO</v>
      </c>
      <c r="F7434" s="369">
        <f>VLOOKUP(C7434,METADATA!$A$5:$H$29,IF(E7434="HI",2,IF(E7434="LO",6,10))+IF(D7434=1,2,IF(D7434=7,1,(IF(WEEKDAY(B7434)=1,2,IF(WEEKDAY(B7434)=7,1,0))))))</f>
        <v>2</v>
      </c>
      <c r="G7434" s="369">
        <f>VLOOKUP(C7434,METADATA!$J$5:$Q$29,IF(E7434="HI",2,IF(E7434="LO",6,10))+IF(D7434=1,2,IF(D7434=7,1,(IF(WEEKDAY(B7434)=1,2,IF(WEEKDAY(B7434)=7,1,0))))))</f>
        <v>2</v>
      </c>
      <c r="H7434" s="370">
        <v>11810.924865722656</v>
      </c>
      <c r="I7434" s="370">
        <v>8503.3750610351563</v>
      </c>
      <c r="M7434" s="371">
        <f t="shared" si="465"/>
        <v>14553.533372084608</v>
      </c>
      <c r="N7434" s="329">
        <f t="shared" si="466"/>
        <v>4960.097601318359</v>
      </c>
      <c r="T7434" s="331">
        <v>0</v>
      </c>
      <c r="U7434" s="328">
        <f>VLOOKUP(C7434,METADATA!$J$5:$Q$29,IF(E7434="HI",2,IF(E7434="LO",6,10))+IF(T7434=1,2,IF(D7434=7,1,(IF(WEEKDAY(B7434)=1,2,IF(WEEKDAY(B7434)=7,1,0))))))</f>
        <v>2</v>
      </c>
      <c r="V7434" s="328">
        <f>VLOOKUP(C7434,METADATA!$A$5:$H$29,IF(E7434="HI",2,IF(E7434="LO",6,10))+IF(T7434=1,2,IF(D7434=7,1,(IF(WEEKDAY(B7434)=1,2,IF(WEEKDAY(B7434)=7,1,0))))))</f>
        <v>2</v>
      </c>
    </row>
    <row r="7435" spans="2:22">
      <c r="B7435" s="318">
        <f t="shared" si="463"/>
        <v>46422</v>
      </c>
      <c r="C7435" s="312">
        <v>15</v>
      </c>
      <c r="D7435" s="368">
        <f>IFERROR((INDEX(METADATA!$T$2:$T$20,MATCH(B7435,METADATA!$S$2:$S$20,0))),0)</f>
        <v>0</v>
      </c>
      <c r="E7435" s="312" t="str">
        <f t="shared" si="464"/>
        <v>LO</v>
      </c>
      <c r="F7435" s="369">
        <f>VLOOKUP(C7435,METADATA!$A$5:$H$29,IF(E7435="HI",2,IF(E7435="LO",6,10))+IF(D7435=1,2,IF(D7435=7,1,(IF(WEEKDAY(B7435)=1,2,IF(WEEKDAY(B7435)=7,1,0))))))</f>
        <v>2</v>
      </c>
      <c r="G7435" s="369">
        <f>VLOOKUP(C7435,METADATA!$J$5:$Q$29,IF(E7435="HI",2,IF(E7435="LO",6,10))+IF(D7435=1,2,IF(D7435=7,1,(IF(WEEKDAY(B7435)=1,2,IF(WEEKDAY(B7435)=7,1,0))))))</f>
        <v>2</v>
      </c>
      <c r="H7435" s="370">
        <v>11630.274963378906</v>
      </c>
      <c r="I7435" s="370">
        <v>8475.22509765625</v>
      </c>
      <c r="M7435" s="371">
        <f t="shared" si="465"/>
        <v>14390.717014094211</v>
      </c>
      <c r="N7435" s="329">
        <f t="shared" si="466"/>
        <v>4986.1426086425781</v>
      </c>
      <c r="T7435" s="331">
        <v>0</v>
      </c>
      <c r="U7435" s="328">
        <f>VLOOKUP(C7435,METADATA!$J$5:$Q$29,IF(E7435="HI",2,IF(E7435="LO",6,10))+IF(T7435=1,2,IF(D7435=7,1,(IF(WEEKDAY(B7435)=1,2,IF(WEEKDAY(B7435)=7,1,0))))))</f>
        <v>2</v>
      </c>
      <c r="V7435" s="328">
        <f>VLOOKUP(C7435,METADATA!$A$5:$H$29,IF(E7435="HI",2,IF(E7435="LO",6,10))+IF(T7435=1,2,IF(D7435=7,1,(IF(WEEKDAY(B7435)=1,2,IF(WEEKDAY(B7435)=7,1,0))))))</f>
        <v>2</v>
      </c>
    </row>
    <row r="7436" spans="2:22">
      <c r="B7436" s="318">
        <f t="shared" si="463"/>
        <v>46422</v>
      </c>
      <c r="C7436" s="312">
        <v>16</v>
      </c>
      <c r="D7436" s="368">
        <f>IFERROR((INDEX(METADATA!$T$2:$T$20,MATCH(B7436,METADATA!$S$2:$S$20,0))),0)</f>
        <v>0</v>
      </c>
      <c r="E7436" s="312" t="str">
        <f t="shared" si="464"/>
        <v>LO</v>
      </c>
      <c r="F7436" s="369">
        <f>VLOOKUP(C7436,METADATA!$A$5:$H$29,IF(E7436="HI",2,IF(E7436="LO",6,10))+IF(D7436=1,2,IF(D7436=7,1,(IF(WEEKDAY(B7436)=1,2,IF(WEEKDAY(B7436)=7,1,0))))))</f>
        <v>2</v>
      </c>
      <c r="G7436" s="369">
        <f>VLOOKUP(C7436,METADATA!$J$5:$Q$29,IF(E7436="HI",2,IF(E7436="LO",6,10))+IF(D7436=1,2,IF(D7436=7,1,(IF(WEEKDAY(B7436)=1,2,IF(WEEKDAY(B7436)=7,1,0))))))</f>
        <v>2</v>
      </c>
      <c r="H7436" s="370">
        <v>11683.349975585938</v>
      </c>
      <c r="I7436" s="370">
        <v>8482.8001708984375</v>
      </c>
      <c r="M7436" s="371">
        <f t="shared" si="465"/>
        <v>14438.0942437504</v>
      </c>
      <c r="N7436" s="329">
        <f t="shared" si="466"/>
        <v>4977.7951782226564</v>
      </c>
      <c r="T7436" s="331">
        <v>0</v>
      </c>
      <c r="U7436" s="328">
        <f>VLOOKUP(C7436,METADATA!$J$5:$Q$29,IF(E7436="HI",2,IF(E7436="LO",6,10))+IF(T7436=1,2,IF(D7436=7,1,(IF(WEEKDAY(B7436)=1,2,IF(WEEKDAY(B7436)=7,1,0))))))</f>
        <v>2</v>
      </c>
      <c r="V7436" s="328">
        <f>VLOOKUP(C7436,METADATA!$A$5:$H$29,IF(E7436="HI",2,IF(E7436="LO",6,10))+IF(T7436=1,2,IF(D7436=7,1,(IF(WEEKDAY(B7436)=1,2,IF(WEEKDAY(B7436)=7,1,0))))))</f>
        <v>2</v>
      </c>
    </row>
    <row r="7437" spans="2:22">
      <c r="B7437" s="318">
        <f t="shared" si="463"/>
        <v>46422</v>
      </c>
      <c r="C7437" s="312">
        <v>17</v>
      </c>
      <c r="D7437" s="368">
        <f>IFERROR((INDEX(METADATA!$T$2:$T$20,MATCH(B7437,METADATA!$S$2:$S$20,0))),0)</f>
        <v>0</v>
      </c>
      <c r="E7437" s="312" t="str">
        <f t="shared" si="464"/>
        <v>LO</v>
      </c>
      <c r="F7437" s="369">
        <f>VLOOKUP(C7437,METADATA!$A$5:$H$29,IF(E7437="HI",2,IF(E7437="LO",6,10))+IF(D7437=1,2,IF(D7437=7,1,(IF(WEEKDAY(B7437)=1,2,IF(WEEKDAY(B7437)=7,1,0))))))</f>
        <v>2</v>
      </c>
      <c r="G7437" s="369">
        <f>VLOOKUP(C7437,METADATA!$J$5:$Q$29,IF(E7437="HI",2,IF(E7437="LO",6,10))+IF(D7437=1,2,IF(D7437=7,1,(IF(WEEKDAY(B7437)=1,2,IF(WEEKDAY(B7437)=7,1,0))))))</f>
        <v>2</v>
      </c>
      <c r="H7437" s="370">
        <v>11837.099853515625</v>
      </c>
      <c r="I7437" s="370">
        <v>8608.9501953125</v>
      </c>
      <c r="M7437" s="371">
        <f t="shared" si="465"/>
        <v>14636.630637119692</v>
      </c>
      <c r="N7437" s="329">
        <f t="shared" si="466"/>
        <v>5057.8202392578132</v>
      </c>
      <c r="T7437" s="331">
        <v>0</v>
      </c>
      <c r="U7437" s="328">
        <f>VLOOKUP(C7437,METADATA!$J$5:$Q$29,IF(E7437="HI",2,IF(E7437="LO",6,10))+IF(T7437=1,2,IF(D7437=7,1,(IF(WEEKDAY(B7437)=1,2,IF(WEEKDAY(B7437)=7,1,0))))))</f>
        <v>2</v>
      </c>
      <c r="V7437" s="328">
        <f>VLOOKUP(C7437,METADATA!$A$5:$H$29,IF(E7437="HI",2,IF(E7437="LO",6,10))+IF(T7437=1,2,IF(D7437=7,1,(IF(WEEKDAY(B7437)=1,2,IF(WEEKDAY(B7437)=7,1,0))))))</f>
        <v>2</v>
      </c>
    </row>
    <row r="7438" spans="2:22">
      <c r="B7438" s="318">
        <f t="shared" si="463"/>
        <v>46422</v>
      </c>
      <c r="C7438" s="312">
        <v>18</v>
      </c>
      <c r="D7438" s="368">
        <f>IFERROR((INDEX(METADATA!$T$2:$T$20,MATCH(B7438,METADATA!$S$2:$S$20,0))),0)</f>
        <v>0</v>
      </c>
      <c r="E7438" s="312" t="str">
        <f t="shared" si="464"/>
        <v>LO</v>
      </c>
      <c r="F7438" s="369">
        <f>VLOOKUP(C7438,METADATA!$A$5:$H$29,IF(E7438="HI",2,IF(E7438="LO",6,10))+IF(D7438=1,2,IF(D7438=7,1,(IF(WEEKDAY(B7438)=1,2,IF(WEEKDAY(B7438)=7,1,0))))))</f>
        <v>1</v>
      </c>
      <c r="G7438" s="369">
        <f>VLOOKUP(C7438,METADATA!$J$5:$Q$29,IF(E7438="HI",2,IF(E7438="LO",6,10))+IF(D7438=1,2,IF(D7438=7,1,(IF(WEEKDAY(B7438)=1,2,IF(WEEKDAY(B7438)=7,1,0))))))</f>
        <v>1</v>
      </c>
      <c r="H7438" s="370">
        <v>11839.324951171875</v>
      </c>
      <c r="I7438" s="370">
        <v>8702.35009765625</v>
      </c>
      <c r="M7438" s="371">
        <f t="shared" si="465"/>
        <v>14693.553434129495</v>
      </c>
      <c r="N7438" s="329">
        <f t="shared" si="466"/>
        <v>5150.5526123046875</v>
      </c>
      <c r="T7438" s="331">
        <v>0</v>
      </c>
      <c r="U7438" s="328">
        <f>VLOOKUP(C7438,METADATA!$J$5:$Q$29,IF(E7438="HI",2,IF(E7438="LO",6,10))+IF(T7438=1,2,IF(D7438=7,1,(IF(WEEKDAY(B7438)=1,2,IF(WEEKDAY(B7438)=7,1,0))))))</f>
        <v>1</v>
      </c>
      <c r="V7438" s="328">
        <f>VLOOKUP(C7438,METADATA!$A$5:$H$29,IF(E7438="HI",2,IF(E7438="LO",6,10))+IF(T7438=1,2,IF(D7438=7,1,(IF(WEEKDAY(B7438)=1,2,IF(WEEKDAY(B7438)=7,1,0))))))</f>
        <v>1</v>
      </c>
    </row>
    <row r="7439" spans="2:22">
      <c r="B7439" s="318">
        <f t="shared" si="463"/>
        <v>46422</v>
      </c>
      <c r="C7439" s="312">
        <v>19</v>
      </c>
      <c r="D7439" s="368">
        <f>IFERROR((INDEX(METADATA!$T$2:$T$20,MATCH(B7439,METADATA!$S$2:$S$20,0))),0)</f>
        <v>0</v>
      </c>
      <c r="E7439" s="312" t="str">
        <f t="shared" si="464"/>
        <v>LO</v>
      </c>
      <c r="F7439" s="369">
        <f>VLOOKUP(C7439,METADATA!$A$5:$H$29,IF(E7439="HI",2,IF(E7439="LO",6,10))+IF(D7439=1,2,IF(D7439=7,1,(IF(WEEKDAY(B7439)=1,2,IF(WEEKDAY(B7439)=7,1,0))))))</f>
        <v>1</v>
      </c>
      <c r="G7439" s="369">
        <f>VLOOKUP(C7439,METADATA!$J$5:$Q$29,IF(E7439="HI",2,IF(E7439="LO",6,10))+IF(D7439=1,2,IF(D7439=7,1,(IF(WEEKDAY(B7439)=1,2,IF(WEEKDAY(B7439)=7,1,0))))))</f>
        <v>1</v>
      </c>
      <c r="H7439" s="370">
        <v>11721.475036621094</v>
      </c>
      <c r="I7439" s="370">
        <v>8607.1249389648438</v>
      </c>
      <c r="M7439" s="371">
        <f t="shared" si="465"/>
        <v>14542.199859343222</v>
      </c>
      <c r="N7439" s="329">
        <f t="shared" si="466"/>
        <v>5090.682427978516</v>
      </c>
      <c r="T7439" s="331">
        <v>0</v>
      </c>
      <c r="U7439" s="328">
        <f>VLOOKUP(C7439,METADATA!$J$5:$Q$29,IF(E7439="HI",2,IF(E7439="LO",6,10))+IF(T7439=1,2,IF(D7439=7,1,(IF(WEEKDAY(B7439)=1,2,IF(WEEKDAY(B7439)=7,1,0))))))</f>
        <v>1</v>
      </c>
      <c r="V7439" s="328">
        <f>VLOOKUP(C7439,METADATA!$A$5:$H$29,IF(E7439="HI",2,IF(E7439="LO",6,10))+IF(T7439=1,2,IF(D7439=7,1,(IF(WEEKDAY(B7439)=1,2,IF(WEEKDAY(B7439)=7,1,0))))))</f>
        <v>1</v>
      </c>
    </row>
    <row r="7440" spans="2:22">
      <c r="B7440" s="318">
        <f t="shared" si="463"/>
        <v>46422</v>
      </c>
      <c r="C7440" s="312">
        <v>20</v>
      </c>
      <c r="D7440" s="368">
        <f>IFERROR((INDEX(METADATA!$T$2:$T$20,MATCH(B7440,METADATA!$S$2:$S$20,0))),0)</f>
        <v>0</v>
      </c>
      <c r="E7440" s="312" t="str">
        <f t="shared" si="464"/>
        <v>LO</v>
      </c>
      <c r="F7440" s="369">
        <f>VLOOKUP(C7440,METADATA!$A$5:$H$29,IF(E7440="HI",2,IF(E7440="LO",6,10))+IF(D7440=1,2,IF(D7440=7,1,(IF(WEEKDAY(B7440)=1,2,IF(WEEKDAY(B7440)=7,1,0))))))</f>
        <v>1</v>
      </c>
      <c r="G7440" s="369">
        <f>VLOOKUP(C7440,METADATA!$J$5:$Q$29,IF(E7440="HI",2,IF(E7440="LO",6,10))+IF(D7440=1,2,IF(D7440=7,1,(IF(WEEKDAY(B7440)=1,2,IF(WEEKDAY(B7440)=7,1,0))))))</f>
        <v>1</v>
      </c>
      <c r="H7440" s="370">
        <v>11810.39990234375</v>
      </c>
      <c r="I7440" s="370">
        <v>8677.1000366210938</v>
      </c>
      <c r="M7440" s="371">
        <f t="shared" si="465"/>
        <v>14655.292931183976</v>
      </c>
      <c r="N7440" s="329">
        <f t="shared" si="466"/>
        <v>5133.9800659179691</v>
      </c>
      <c r="T7440" s="331">
        <v>0</v>
      </c>
      <c r="U7440" s="328">
        <f>VLOOKUP(C7440,METADATA!$J$5:$Q$29,IF(E7440="HI",2,IF(E7440="LO",6,10))+IF(T7440=1,2,IF(D7440=7,1,(IF(WEEKDAY(B7440)=1,2,IF(WEEKDAY(B7440)=7,1,0))))))</f>
        <v>1</v>
      </c>
      <c r="V7440" s="328">
        <f>VLOOKUP(C7440,METADATA!$A$5:$H$29,IF(E7440="HI",2,IF(E7440="LO",6,10))+IF(T7440=1,2,IF(D7440=7,1,(IF(WEEKDAY(B7440)=1,2,IF(WEEKDAY(B7440)=7,1,0))))))</f>
        <v>1</v>
      </c>
    </row>
    <row r="7441" spans="2:22">
      <c r="B7441" s="318">
        <f t="shared" si="463"/>
        <v>46422</v>
      </c>
      <c r="C7441" s="312">
        <v>21</v>
      </c>
      <c r="D7441" s="368">
        <f>IFERROR((INDEX(METADATA!$T$2:$T$20,MATCH(B7441,METADATA!$S$2:$S$20,0))),0)</f>
        <v>0</v>
      </c>
      <c r="E7441" s="312" t="str">
        <f t="shared" si="464"/>
        <v>LO</v>
      </c>
      <c r="F7441" s="369">
        <f>VLOOKUP(C7441,METADATA!$A$5:$H$29,IF(E7441="HI",2,IF(E7441="LO",6,10))+IF(D7441=1,2,IF(D7441=7,1,(IF(WEEKDAY(B7441)=1,2,IF(WEEKDAY(B7441)=7,1,0))))))</f>
        <v>2</v>
      </c>
      <c r="G7441" s="369">
        <f>VLOOKUP(C7441,METADATA!$J$5:$Q$29,IF(E7441="HI",2,IF(E7441="LO",6,10))+IF(D7441=1,2,IF(D7441=7,1,(IF(WEEKDAY(B7441)=1,2,IF(WEEKDAY(B7441)=7,1,0))))))</f>
        <v>2</v>
      </c>
      <c r="H7441" s="370">
        <v>11979.175170898438</v>
      </c>
      <c r="I7441" s="370">
        <v>8880.824951171875</v>
      </c>
      <c r="M7441" s="371">
        <f t="shared" si="465"/>
        <v>14912.065235520749</v>
      </c>
      <c r="N7441" s="329">
        <f t="shared" si="466"/>
        <v>5287.0723999023439</v>
      </c>
      <c r="T7441" s="331">
        <v>0</v>
      </c>
      <c r="U7441" s="328">
        <f>VLOOKUP(C7441,METADATA!$J$5:$Q$29,IF(E7441="HI",2,IF(E7441="LO",6,10))+IF(T7441=1,2,IF(D7441=7,1,(IF(WEEKDAY(B7441)=1,2,IF(WEEKDAY(B7441)=7,1,0))))))</f>
        <v>2</v>
      </c>
      <c r="V7441" s="328">
        <f>VLOOKUP(C7441,METADATA!$A$5:$H$29,IF(E7441="HI",2,IF(E7441="LO",6,10))+IF(T7441=1,2,IF(D7441=7,1,(IF(WEEKDAY(B7441)=1,2,IF(WEEKDAY(B7441)=7,1,0))))))</f>
        <v>2</v>
      </c>
    </row>
    <row r="7442" spans="2:22">
      <c r="B7442" s="318">
        <f t="shared" si="463"/>
        <v>46422</v>
      </c>
      <c r="C7442" s="312">
        <v>22</v>
      </c>
      <c r="D7442" s="368">
        <f>IFERROR((INDEX(METADATA!$T$2:$T$20,MATCH(B7442,METADATA!$S$2:$S$20,0))),0)</f>
        <v>0</v>
      </c>
      <c r="E7442" s="312" t="str">
        <f t="shared" si="464"/>
        <v>LO</v>
      </c>
      <c r="F7442" s="369">
        <f>VLOOKUP(C7442,METADATA!$A$5:$H$29,IF(E7442="HI",2,IF(E7442="LO",6,10))+IF(D7442=1,2,IF(D7442=7,1,(IF(WEEKDAY(B7442)=1,2,IF(WEEKDAY(B7442)=7,1,0))))))</f>
        <v>3</v>
      </c>
      <c r="G7442" s="369">
        <f>VLOOKUP(C7442,METADATA!$J$5:$Q$29,IF(E7442="HI",2,IF(E7442="LO",6,10))+IF(D7442=1,2,IF(D7442=7,1,(IF(WEEKDAY(B7442)=1,2,IF(WEEKDAY(B7442)=7,1,0))))))</f>
        <v>3</v>
      </c>
      <c r="H7442" s="370">
        <v>11927.299926757813</v>
      </c>
      <c r="I7442" s="370">
        <v>8861.625</v>
      </c>
      <c r="M7442" s="371">
        <f t="shared" si="465"/>
        <v>14858.96635649539</v>
      </c>
      <c r="N7442" s="329">
        <f t="shared" si="466"/>
        <v>5283.4350219726566</v>
      </c>
      <c r="T7442" s="331">
        <v>0</v>
      </c>
      <c r="U7442" s="328">
        <f>VLOOKUP(C7442,METADATA!$J$5:$Q$29,IF(E7442="HI",2,IF(E7442="LO",6,10))+IF(T7442=1,2,IF(D7442=7,1,(IF(WEEKDAY(B7442)=1,2,IF(WEEKDAY(B7442)=7,1,0))))))</f>
        <v>3</v>
      </c>
      <c r="V7442" s="328">
        <f>VLOOKUP(C7442,METADATA!$A$5:$H$29,IF(E7442="HI",2,IF(E7442="LO",6,10))+IF(T7442=1,2,IF(D7442=7,1,(IF(WEEKDAY(B7442)=1,2,IF(WEEKDAY(B7442)=7,1,0))))))</f>
        <v>3</v>
      </c>
    </row>
    <row r="7443" spans="2:22">
      <c r="B7443" s="318">
        <f t="shared" si="463"/>
        <v>46422</v>
      </c>
      <c r="C7443" s="312">
        <v>23</v>
      </c>
      <c r="D7443" s="368">
        <f>IFERROR((INDEX(METADATA!$T$2:$T$20,MATCH(B7443,METADATA!$S$2:$S$20,0))),0)</f>
        <v>0</v>
      </c>
      <c r="E7443" s="312" t="str">
        <f t="shared" si="464"/>
        <v>LO</v>
      </c>
      <c r="F7443" s="369">
        <f>VLOOKUP(C7443,METADATA!$A$5:$H$29,IF(E7443="HI",2,IF(E7443="LO",6,10))+IF(D7443=1,2,IF(D7443=7,1,(IF(WEEKDAY(B7443)=1,2,IF(WEEKDAY(B7443)=7,1,0))))))</f>
        <v>3</v>
      </c>
      <c r="G7443" s="369">
        <f>VLOOKUP(C7443,METADATA!$J$5:$Q$29,IF(E7443="HI",2,IF(E7443="LO",6,10))+IF(D7443=1,2,IF(D7443=7,1,(IF(WEEKDAY(B7443)=1,2,IF(WEEKDAY(B7443)=7,1,0))))))</f>
        <v>3</v>
      </c>
      <c r="H7443" s="370">
        <v>9534.2001953125</v>
      </c>
      <c r="I7443" s="370">
        <v>7595.875</v>
      </c>
      <c r="M7443" s="371">
        <f t="shared" si="465"/>
        <v>12190.089842979907</v>
      </c>
      <c r="N7443" s="329">
        <f t="shared" si="466"/>
        <v>4735.6149414062502</v>
      </c>
      <c r="T7443" s="331">
        <v>0</v>
      </c>
      <c r="U7443" s="328">
        <f>VLOOKUP(C7443,METADATA!$J$5:$Q$29,IF(E7443="HI",2,IF(E7443="LO",6,10))+IF(T7443=1,2,IF(D7443=7,1,(IF(WEEKDAY(B7443)=1,2,IF(WEEKDAY(B7443)=7,1,0))))))</f>
        <v>3</v>
      </c>
      <c r="V7443" s="328">
        <f>VLOOKUP(C7443,METADATA!$A$5:$H$29,IF(E7443="HI",2,IF(E7443="LO",6,10))+IF(T7443=1,2,IF(D7443=7,1,(IF(WEEKDAY(B7443)=1,2,IF(WEEKDAY(B7443)=7,1,0))))))</f>
        <v>3</v>
      </c>
    </row>
    <row r="7444" spans="2:22">
      <c r="B7444" s="318">
        <f t="shared" si="463"/>
        <v>46423</v>
      </c>
      <c r="C7444" s="312">
        <v>0</v>
      </c>
      <c r="D7444" s="368">
        <f>IFERROR((INDEX(METADATA!$T$2:$T$20,MATCH(B7444,METADATA!$S$2:$S$20,0))),0)</f>
        <v>0</v>
      </c>
      <c r="E7444" s="312" t="str">
        <f t="shared" si="464"/>
        <v>LO</v>
      </c>
      <c r="F7444" s="369">
        <f>VLOOKUP(C7444,METADATA!$A$5:$H$29,IF(E7444="HI",2,IF(E7444="LO",6,10))+IF(D7444=1,2,IF(D7444=7,1,(IF(WEEKDAY(B7444)=1,2,IF(WEEKDAY(B7444)=7,1,0))))))</f>
        <v>3</v>
      </c>
      <c r="G7444" s="369">
        <f>VLOOKUP(C7444,METADATA!$J$5:$Q$29,IF(E7444="HI",2,IF(E7444="LO",6,10))+IF(D7444=1,2,IF(D7444=7,1,(IF(WEEKDAY(B7444)=1,2,IF(WEEKDAY(B7444)=7,1,0))))))</f>
        <v>3</v>
      </c>
      <c r="H7444" s="370">
        <v>5981.9999389648438</v>
      </c>
      <c r="I7444" s="370">
        <v>5469.5999755859375</v>
      </c>
      <c r="M7444" s="371">
        <f t="shared" si="465"/>
        <v>8105.6059096593808</v>
      </c>
      <c r="N7444" s="329">
        <f t="shared" si="466"/>
        <v>3674.9999938964847</v>
      </c>
      <c r="T7444" s="331">
        <v>0</v>
      </c>
      <c r="U7444" s="328">
        <f>VLOOKUP(C7444,METADATA!$J$5:$Q$29,IF(E7444="HI",2,IF(E7444="LO",6,10))+IF(T7444=1,2,IF(D7444=7,1,(IF(WEEKDAY(B7444)=1,2,IF(WEEKDAY(B7444)=7,1,0))))))</f>
        <v>3</v>
      </c>
      <c r="V7444" s="328">
        <f>VLOOKUP(C7444,METADATA!$A$5:$H$29,IF(E7444="HI",2,IF(E7444="LO",6,10))+IF(T7444=1,2,IF(D7444=7,1,(IF(WEEKDAY(B7444)=1,2,IF(WEEKDAY(B7444)=7,1,0))))))</f>
        <v>3</v>
      </c>
    </row>
    <row r="7445" spans="2:22">
      <c r="B7445" s="318">
        <f t="shared" si="463"/>
        <v>46423</v>
      </c>
      <c r="C7445" s="312">
        <v>1</v>
      </c>
      <c r="D7445" s="368">
        <f>IFERROR((INDEX(METADATA!$T$2:$T$20,MATCH(B7445,METADATA!$S$2:$S$20,0))),0)</f>
        <v>0</v>
      </c>
      <c r="E7445" s="312" t="str">
        <f t="shared" si="464"/>
        <v>LO</v>
      </c>
      <c r="F7445" s="369">
        <f>VLOOKUP(C7445,METADATA!$A$5:$H$29,IF(E7445="HI",2,IF(E7445="LO",6,10))+IF(D7445=1,2,IF(D7445=7,1,(IF(WEEKDAY(B7445)=1,2,IF(WEEKDAY(B7445)=7,1,0))))))</f>
        <v>3</v>
      </c>
      <c r="G7445" s="369">
        <f>VLOOKUP(C7445,METADATA!$J$5:$Q$29,IF(E7445="HI",2,IF(E7445="LO",6,10))+IF(D7445=1,2,IF(D7445=7,1,(IF(WEEKDAY(B7445)=1,2,IF(WEEKDAY(B7445)=7,1,0))))))</f>
        <v>3</v>
      </c>
      <c r="H7445" s="370">
        <v>5915.4998168945313</v>
      </c>
      <c r="I7445" s="370">
        <v>5409.1249389648438</v>
      </c>
      <c r="M7445" s="371">
        <f t="shared" si="465"/>
        <v>8015.7202227255066</v>
      </c>
      <c r="N7445" s="329">
        <f t="shared" si="466"/>
        <v>3634.4749938964842</v>
      </c>
      <c r="T7445" s="331">
        <v>0</v>
      </c>
      <c r="U7445" s="328">
        <f>VLOOKUP(C7445,METADATA!$J$5:$Q$29,IF(E7445="HI",2,IF(E7445="LO",6,10))+IF(T7445=1,2,IF(D7445=7,1,(IF(WEEKDAY(B7445)=1,2,IF(WEEKDAY(B7445)=7,1,0))))))</f>
        <v>3</v>
      </c>
      <c r="V7445" s="328">
        <f>VLOOKUP(C7445,METADATA!$A$5:$H$29,IF(E7445="HI",2,IF(E7445="LO",6,10))+IF(T7445=1,2,IF(D7445=7,1,(IF(WEEKDAY(B7445)=1,2,IF(WEEKDAY(B7445)=7,1,0))))))</f>
        <v>3</v>
      </c>
    </row>
    <row r="7446" spans="2:22">
      <c r="B7446" s="318">
        <f t="shared" si="463"/>
        <v>46423</v>
      </c>
      <c r="C7446" s="312">
        <v>2</v>
      </c>
      <c r="D7446" s="368">
        <f>IFERROR((INDEX(METADATA!$T$2:$T$20,MATCH(B7446,METADATA!$S$2:$S$20,0))),0)</f>
        <v>0</v>
      </c>
      <c r="E7446" s="312" t="str">
        <f t="shared" si="464"/>
        <v>LO</v>
      </c>
      <c r="F7446" s="369">
        <f>VLOOKUP(C7446,METADATA!$A$5:$H$29,IF(E7446="HI",2,IF(E7446="LO",6,10))+IF(D7446=1,2,IF(D7446=7,1,(IF(WEEKDAY(B7446)=1,2,IF(WEEKDAY(B7446)=7,1,0))))))</f>
        <v>3</v>
      </c>
      <c r="G7446" s="369">
        <f>VLOOKUP(C7446,METADATA!$J$5:$Q$29,IF(E7446="HI",2,IF(E7446="LO",6,10))+IF(D7446=1,2,IF(D7446=7,1,(IF(WEEKDAY(B7446)=1,2,IF(WEEKDAY(B7446)=7,1,0))))))</f>
        <v>3</v>
      </c>
      <c r="H7446" s="370">
        <v>8446.6751708984375</v>
      </c>
      <c r="I7446" s="370">
        <v>6881.4749145507813</v>
      </c>
      <c r="M7446" s="371">
        <f t="shared" si="465"/>
        <v>10894.999699048358</v>
      </c>
      <c r="N7446" s="329">
        <f t="shared" si="466"/>
        <v>4347.4723632812502</v>
      </c>
      <c r="T7446" s="331">
        <v>0</v>
      </c>
      <c r="U7446" s="328">
        <f>VLOOKUP(C7446,METADATA!$J$5:$Q$29,IF(E7446="HI",2,IF(E7446="LO",6,10))+IF(T7446=1,2,IF(D7446=7,1,(IF(WEEKDAY(B7446)=1,2,IF(WEEKDAY(B7446)=7,1,0))))))</f>
        <v>3</v>
      </c>
      <c r="V7446" s="328">
        <f>VLOOKUP(C7446,METADATA!$A$5:$H$29,IF(E7446="HI",2,IF(E7446="LO",6,10))+IF(T7446=1,2,IF(D7446=7,1,(IF(WEEKDAY(B7446)=1,2,IF(WEEKDAY(B7446)=7,1,0))))))</f>
        <v>3</v>
      </c>
    </row>
    <row r="7447" spans="2:22">
      <c r="B7447" s="318">
        <f t="shared" si="463"/>
        <v>46423</v>
      </c>
      <c r="C7447" s="312">
        <v>3</v>
      </c>
      <c r="D7447" s="368">
        <f>IFERROR((INDEX(METADATA!$T$2:$T$20,MATCH(B7447,METADATA!$S$2:$S$20,0))),0)</f>
        <v>0</v>
      </c>
      <c r="E7447" s="312" t="str">
        <f t="shared" si="464"/>
        <v>LO</v>
      </c>
      <c r="F7447" s="369">
        <f>VLOOKUP(C7447,METADATA!$A$5:$H$29,IF(E7447="HI",2,IF(E7447="LO",6,10))+IF(D7447=1,2,IF(D7447=7,1,(IF(WEEKDAY(B7447)=1,2,IF(WEEKDAY(B7447)=7,1,0))))))</f>
        <v>3</v>
      </c>
      <c r="G7447" s="369">
        <f>VLOOKUP(C7447,METADATA!$J$5:$Q$29,IF(E7447="HI",2,IF(E7447="LO",6,10))+IF(D7447=1,2,IF(D7447=7,1,(IF(WEEKDAY(B7447)=1,2,IF(WEEKDAY(B7447)=7,1,0))))))</f>
        <v>3</v>
      </c>
      <c r="H7447" s="370">
        <v>11844.942504882813</v>
      </c>
      <c r="I7447" s="370">
        <v>8600.1700439453125</v>
      </c>
      <c r="M7447" s="371">
        <f t="shared" si="465"/>
        <v>14637.813625290964</v>
      </c>
      <c r="N7447" s="329">
        <f t="shared" si="466"/>
        <v>5046.6872924804684</v>
      </c>
      <c r="T7447" s="331">
        <v>0</v>
      </c>
      <c r="U7447" s="328">
        <f>VLOOKUP(C7447,METADATA!$J$5:$Q$29,IF(E7447="HI",2,IF(E7447="LO",6,10))+IF(T7447=1,2,IF(D7447=7,1,(IF(WEEKDAY(B7447)=1,2,IF(WEEKDAY(B7447)=7,1,0))))))</f>
        <v>3</v>
      </c>
      <c r="V7447" s="328">
        <f>VLOOKUP(C7447,METADATA!$A$5:$H$29,IF(E7447="HI",2,IF(E7447="LO",6,10))+IF(T7447=1,2,IF(D7447=7,1,(IF(WEEKDAY(B7447)=1,2,IF(WEEKDAY(B7447)=7,1,0))))))</f>
        <v>3</v>
      </c>
    </row>
    <row r="7448" spans="2:22">
      <c r="B7448" s="318">
        <f t="shared" si="463"/>
        <v>46423</v>
      </c>
      <c r="C7448" s="312">
        <v>4</v>
      </c>
      <c r="D7448" s="368">
        <f>IFERROR((INDEX(METADATA!$T$2:$T$20,MATCH(B7448,METADATA!$S$2:$S$20,0))),0)</f>
        <v>0</v>
      </c>
      <c r="E7448" s="312" t="str">
        <f t="shared" si="464"/>
        <v>LO</v>
      </c>
      <c r="F7448" s="369">
        <f>VLOOKUP(C7448,METADATA!$A$5:$H$29,IF(E7448="HI",2,IF(E7448="LO",6,10))+IF(D7448=1,2,IF(D7448=7,1,(IF(WEEKDAY(B7448)=1,2,IF(WEEKDAY(B7448)=7,1,0))))))</f>
        <v>3</v>
      </c>
      <c r="G7448" s="369">
        <f>VLOOKUP(C7448,METADATA!$J$5:$Q$29,IF(E7448="HI",2,IF(E7448="LO",6,10))+IF(D7448=1,2,IF(D7448=7,1,(IF(WEEKDAY(B7448)=1,2,IF(WEEKDAY(B7448)=7,1,0))))))</f>
        <v>3</v>
      </c>
      <c r="H7448" s="370">
        <v>11820.249938964844</v>
      </c>
      <c r="I7448" s="370">
        <v>8597.3501586914063</v>
      </c>
      <c r="M7448" s="371">
        <f t="shared" si="465"/>
        <v>14616.180703957842</v>
      </c>
      <c r="N7448" s="329">
        <f t="shared" si="466"/>
        <v>5051.2751770019531</v>
      </c>
      <c r="T7448" s="331">
        <v>0</v>
      </c>
      <c r="U7448" s="328">
        <f>VLOOKUP(C7448,METADATA!$J$5:$Q$29,IF(E7448="HI",2,IF(E7448="LO",6,10))+IF(T7448=1,2,IF(D7448=7,1,(IF(WEEKDAY(B7448)=1,2,IF(WEEKDAY(B7448)=7,1,0))))))</f>
        <v>3</v>
      </c>
      <c r="V7448" s="328">
        <f>VLOOKUP(C7448,METADATA!$A$5:$H$29,IF(E7448="HI",2,IF(E7448="LO",6,10))+IF(T7448=1,2,IF(D7448=7,1,(IF(WEEKDAY(B7448)=1,2,IF(WEEKDAY(B7448)=7,1,0))))))</f>
        <v>3</v>
      </c>
    </row>
    <row r="7449" spans="2:22">
      <c r="B7449" s="318">
        <f t="shared" si="463"/>
        <v>46423</v>
      </c>
      <c r="C7449" s="312">
        <v>5</v>
      </c>
      <c r="D7449" s="368">
        <f>IFERROR((INDEX(METADATA!$T$2:$T$20,MATCH(B7449,METADATA!$S$2:$S$20,0))),0)</f>
        <v>0</v>
      </c>
      <c r="E7449" s="312" t="str">
        <f t="shared" si="464"/>
        <v>LO</v>
      </c>
      <c r="F7449" s="369">
        <f>VLOOKUP(C7449,METADATA!$A$5:$H$29,IF(E7449="HI",2,IF(E7449="LO",6,10))+IF(D7449=1,2,IF(D7449=7,1,(IF(WEEKDAY(B7449)=1,2,IF(WEEKDAY(B7449)=7,1,0))))))</f>
        <v>3</v>
      </c>
      <c r="G7449" s="369">
        <f>VLOOKUP(C7449,METADATA!$J$5:$Q$29,IF(E7449="HI",2,IF(E7449="LO",6,10))+IF(D7449=1,2,IF(D7449=7,1,(IF(WEEKDAY(B7449)=1,2,IF(WEEKDAY(B7449)=7,1,0))))))</f>
        <v>3</v>
      </c>
      <c r="H7449" s="370">
        <v>11822.525024414063</v>
      </c>
      <c r="I7449" s="370">
        <v>8546.2999267578125</v>
      </c>
      <c r="M7449" s="371">
        <f t="shared" si="465"/>
        <v>14588.054715793922</v>
      </c>
      <c r="N7449" s="329">
        <f t="shared" si="466"/>
        <v>4999.5424194335938</v>
      </c>
      <c r="T7449" s="331">
        <v>0</v>
      </c>
      <c r="U7449" s="328">
        <f>VLOOKUP(C7449,METADATA!$J$5:$Q$29,IF(E7449="HI",2,IF(E7449="LO",6,10))+IF(T7449=1,2,IF(D7449=7,1,(IF(WEEKDAY(B7449)=1,2,IF(WEEKDAY(B7449)=7,1,0))))))</f>
        <v>3</v>
      </c>
      <c r="V7449" s="328">
        <f>VLOOKUP(C7449,METADATA!$A$5:$H$29,IF(E7449="HI",2,IF(E7449="LO",6,10))+IF(T7449=1,2,IF(D7449=7,1,(IF(WEEKDAY(B7449)=1,2,IF(WEEKDAY(B7449)=7,1,0))))))</f>
        <v>3</v>
      </c>
    </row>
    <row r="7450" spans="2:22">
      <c r="B7450" s="318">
        <f t="shared" si="463"/>
        <v>46423</v>
      </c>
      <c r="C7450" s="312">
        <v>6</v>
      </c>
      <c r="D7450" s="368">
        <f>IFERROR((INDEX(METADATA!$T$2:$T$20,MATCH(B7450,METADATA!$S$2:$S$20,0))),0)</f>
        <v>0</v>
      </c>
      <c r="E7450" s="312" t="str">
        <f t="shared" si="464"/>
        <v>LO</v>
      </c>
      <c r="F7450" s="369">
        <f>VLOOKUP(C7450,METADATA!$A$5:$H$29,IF(E7450="HI",2,IF(E7450="LO",6,10))+IF(D7450=1,2,IF(D7450=7,1,(IF(WEEKDAY(B7450)=1,2,IF(WEEKDAY(B7450)=7,1,0))))))</f>
        <v>2</v>
      </c>
      <c r="G7450" s="369">
        <f>VLOOKUP(C7450,METADATA!$J$5:$Q$29,IF(E7450="HI",2,IF(E7450="LO",6,10))+IF(D7450=1,2,IF(D7450=7,1,(IF(WEEKDAY(B7450)=1,2,IF(WEEKDAY(B7450)=7,1,0))))))</f>
        <v>2</v>
      </c>
      <c r="H7450" s="370">
        <v>11762.650146484375</v>
      </c>
      <c r="I7450" s="370">
        <v>8510.2000732421875</v>
      </c>
      <c r="M7450" s="371">
        <f t="shared" si="465"/>
        <v>14518.382959379471</v>
      </c>
      <c r="N7450" s="329">
        <f t="shared" si="466"/>
        <v>4981.405029296875</v>
      </c>
      <c r="T7450" s="331">
        <v>0</v>
      </c>
      <c r="U7450" s="328">
        <f>VLOOKUP(C7450,METADATA!$J$5:$Q$29,IF(E7450="HI",2,IF(E7450="LO",6,10))+IF(T7450=1,2,IF(D7450=7,1,(IF(WEEKDAY(B7450)=1,2,IF(WEEKDAY(B7450)=7,1,0))))))</f>
        <v>2</v>
      </c>
      <c r="V7450" s="328">
        <f>VLOOKUP(C7450,METADATA!$A$5:$H$29,IF(E7450="HI",2,IF(E7450="LO",6,10))+IF(T7450=1,2,IF(D7450=7,1,(IF(WEEKDAY(B7450)=1,2,IF(WEEKDAY(B7450)=7,1,0))))))</f>
        <v>2</v>
      </c>
    </row>
    <row r="7451" spans="2:22">
      <c r="B7451" s="318">
        <f t="shared" si="463"/>
        <v>46423</v>
      </c>
      <c r="C7451" s="312">
        <v>7</v>
      </c>
      <c r="D7451" s="368">
        <f>IFERROR((INDEX(METADATA!$T$2:$T$20,MATCH(B7451,METADATA!$S$2:$S$20,0))),0)</f>
        <v>0</v>
      </c>
      <c r="E7451" s="312" t="str">
        <f t="shared" si="464"/>
        <v>LO</v>
      </c>
      <c r="F7451" s="369">
        <f>VLOOKUP(C7451,METADATA!$A$5:$H$29,IF(E7451="HI",2,IF(E7451="LO",6,10))+IF(D7451=1,2,IF(D7451=7,1,(IF(WEEKDAY(B7451)=1,2,IF(WEEKDAY(B7451)=7,1,0))))))</f>
        <v>1</v>
      </c>
      <c r="G7451" s="369">
        <f>VLOOKUP(C7451,METADATA!$J$5:$Q$29,IF(E7451="HI",2,IF(E7451="LO",6,10))+IF(D7451=1,2,IF(D7451=7,1,(IF(WEEKDAY(B7451)=1,2,IF(WEEKDAY(B7451)=7,1,0))))))</f>
        <v>1</v>
      </c>
      <c r="H7451" s="370">
        <v>11841.649963378906</v>
      </c>
      <c r="I7451" s="370">
        <v>8503.7249145507813</v>
      </c>
      <c r="M7451" s="371">
        <f t="shared" si="465"/>
        <v>14578.683454878335</v>
      </c>
      <c r="N7451" s="329">
        <f t="shared" si="466"/>
        <v>4951.229925537109</v>
      </c>
      <c r="T7451" s="331">
        <v>0</v>
      </c>
      <c r="U7451" s="328">
        <f>VLOOKUP(C7451,METADATA!$J$5:$Q$29,IF(E7451="HI",2,IF(E7451="LO",6,10))+IF(T7451=1,2,IF(D7451=7,1,(IF(WEEKDAY(B7451)=1,2,IF(WEEKDAY(B7451)=7,1,0))))))</f>
        <v>1</v>
      </c>
      <c r="V7451" s="328">
        <f>VLOOKUP(C7451,METADATA!$A$5:$H$29,IF(E7451="HI",2,IF(E7451="LO",6,10))+IF(T7451=1,2,IF(D7451=7,1,(IF(WEEKDAY(B7451)=1,2,IF(WEEKDAY(B7451)=7,1,0))))))</f>
        <v>1</v>
      </c>
    </row>
    <row r="7452" spans="2:22">
      <c r="B7452" s="318">
        <f t="shared" ref="B7452:B7515" si="467">B7428+1</f>
        <v>46423</v>
      </c>
      <c r="C7452" s="312">
        <v>8</v>
      </c>
      <c r="D7452" s="368">
        <f>IFERROR((INDEX(METADATA!$T$2:$T$20,MATCH(B7452,METADATA!$S$2:$S$20,0))),0)</f>
        <v>0</v>
      </c>
      <c r="E7452" s="312" t="str">
        <f t="shared" si="464"/>
        <v>LO</v>
      </c>
      <c r="F7452" s="369">
        <f>VLOOKUP(C7452,METADATA!$A$5:$H$29,IF(E7452="HI",2,IF(E7452="LO",6,10))+IF(D7452=1,2,IF(D7452=7,1,(IF(WEEKDAY(B7452)=1,2,IF(WEEKDAY(B7452)=7,1,0))))))</f>
        <v>1</v>
      </c>
      <c r="G7452" s="369">
        <f>VLOOKUP(C7452,METADATA!$J$5:$Q$29,IF(E7452="HI",2,IF(E7452="LO",6,10))+IF(D7452=1,2,IF(D7452=7,1,(IF(WEEKDAY(B7452)=1,2,IF(WEEKDAY(B7452)=7,1,0))))))</f>
        <v>1</v>
      </c>
      <c r="H7452" s="370">
        <v>11599.125122070313</v>
      </c>
      <c r="I7452" s="370">
        <v>8492.7498168945313</v>
      </c>
      <c r="M7452" s="371">
        <f t="shared" si="465"/>
        <v>14375.900077901373</v>
      </c>
      <c r="N7452" s="329">
        <f t="shared" si="466"/>
        <v>5013.0122802734377</v>
      </c>
      <c r="T7452" s="331">
        <v>0</v>
      </c>
      <c r="U7452" s="328">
        <f>VLOOKUP(C7452,METADATA!$J$5:$Q$29,IF(E7452="HI",2,IF(E7452="LO",6,10))+IF(T7452=1,2,IF(D7452=7,1,(IF(WEEKDAY(B7452)=1,2,IF(WEEKDAY(B7452)=7,1,0))))))</f>
        <v>1</v>
      </c>
      <c r="V7452" s="328">
        <f>VLOOKUP(C7452,METADATA!$A$5:$H$29,IF(E7452="HI",2,IF(E7452="LO",6,10))+IF(T7452=1,2,IF(D7452=7,1,(IF(WEEKDAY(B7452)=1,2,IF(WEEKDAY(B7452)=7,1,0))))))</f>
        <v>1</v>
      </c>
    </row>
    <row r="7453" spans="2:22">
      <c r="B7453" s="318">
        <f t="shared" si="467"/>
        <v>46423</v>
      </c>
      <c r="C7453" s="312">
        <v>9</v>
      </c>
      <c r="D7453" s="368">
        <f>IFERROR((INDEX(METADATA!$T$2:$T$20,MATCH(B7453,METADATA!$S$2:$S$20,0))),0)</f>
        <v>0</v>
      </c>
      <c r="E7453" s="312" t="str">
        <f t="shared" si="464"/>
        <v>LO</v>
      </c>
      <c r="F7453" s="369">
        <f>VLOOKUP(C7453,METADATA!$A$5:$H$29,IF(E7453="HI",2,IF(E7453="LO",6,10))+IF(D7453=1,2,IF(D7453=7,1,(IF(WEEKDAY(B7453)=1,2,IF(WEEKDAY(B7453)=7,1,0))))))</f>
        <v>2</v>
      </c>
      <c r="G7453" s="369">
        <f>VLOOKUP(C7453,METADATA!$J$5:$Q$29,IF(E7453="HI",2,IF(E7453="LO",6,10))+IF(D7453=1,2,IF(D7453=7,1,(IF(WEEKDAY(B7453)=1,2,IF(WEEKDAY(B7453)=7,1,0))))))</f>
        <v>2</v>
      </c>
      <c r="H7453" s="370">
        <v>9173.2250366210938</v>
      </c>
      <c r="I7453" s="370">
        <v>7367.375</v>
      </c>
      <c r="M7453" s="371">
        <f t="shared" si="465"/>
        <v>11765.469474828324</v>
      </c>
      <c r="N7453" s="329">
        <f t="shared" si="466"/>
        <v>4615.4074890136726</v>
      </c>
      <c r="T7453" s="331">
        <v>0</v>
      </c>
      <c r="U7453" s="328">
        <f>VLOOKUP(C7453,METADATA!$J$5:$Q$29,IF(E7453="HI",2,IF(E7453="LO",6,10))+IF(T7453=1,2,IF(D7453=7,1,(IF(WEEKDAY(B7453)=1,2,IF(WEEKDAY(B7453)=7,1,0))))))</f>
        <v>2</v>
      </c>
      <c r="V7453" s="328">
        <f>VLOOKUP(C7453,METADATA!$A$5:$H$29,IF(E7453="HI",2,IF(E7453="LO",6,10))+IF(T7453=1,2,IF(D7453=7,1,(IF(WEEKDAY(B7453)=1,2,IF(WEEKDAY(B7453)=7,1,0))))))</f>
        <v>2</v>
      </c>
    </row>
    <row r="7454" spans="2:22">
      <c r="B7454" s="318">
        <f t="shared" si="467"/>
        <v>46423</v>
      </c>
      <c r="C7454" s="312">
        <v>10</v>
      </c>
      <c r="D7454" s="368">
        <f>IFERROR((INDEX(METADATA!$T$2:$T$20,MATCH(B7454,METADATA!$S$2:$S$20,0))),0)</f>
        <v>0</v>
      </c>
      <c r="E7454" s="312" t="str">
        <f t="shared" si="464"/>
        <v>LO</v>
      </c>
      <c r="F7454" s="369">
        <f>VLOOKUP(C7454,METADATA!$A$5:$H$29,IF(E7454="HI",2,IF(E7454="LO",6,10))+IF(D7454=1,2,IF(D7454=7,1,(IF(WEEKDAY(B7454)=1,2,IF(WEEKDAY(B7454)=7,1,0))))))</f>
        <v>2</v>
      </c>
      <c r="G7454" s="369">
        <f>VLOOKUP(C7454,METADATA!$J$5:$Q$29,IF(E7454="HI",2,IF(E7454="LO",6,10))+IF(D7454=1,2,IF(D7454=7,1,(IF(WEEKDAY(B7454)=1,2,IF(WEEKDAY(B7454)=7,1,0))))))</f>
        <v>2</v>
      </c>
      <c r="H7454" s="370">
        <v>5803.7249755859375</v>
      </c>
      <c r="I7454" s="370">
        <v>5477.3251037597656</v>
      </c>
      <c r="M7454" s="371">
        <f t="shared" si="465"/>
        <v>7980.2452270915155</v>
      </c>
      <c r="N7454" s="329">
        <f t="shared" si="466"/>
        <v>3736.2076110839844</v>
      </c>
      <c r="T7454" s="331">
        <v>0</v>
      </c>
      <c r="U7454" s="328">
        <f>VLOOKUP(C7454,METADATA!$J$5:$Q$29,IF(E7454="HI",2,IF(E7454="LO",6,10))+IF(T7454=1,2,IF(D7454=7,1,(IF(WEEKDAY(B7454)=1,2,IF(WEEKDAY(B7454)=7,1,0))))))</f>
        <v>2</v>
      </c>
      <c r="V7454" s="328">
        <f>VLOOKUP(C7454,METADATA!$A$5:$H$29,IF(E7454="HI",2,IF(E7454="LO",6,10))+IF(T7454=1,2,IF(D7454=7,1,(IF(WEEKDAY(B7454)=1,2,IF(WEEKDAY(B7454)=7,1,0))))))</f>
        <v>2</v>
      </c>
    </row>
    <row r="7455" spans="2:22">
      <c r="B7455" s="318">
        <f t="shared" si="467"/>
        <v>46423</v>
      </c>
      <c r="C7455" s="312">
        <v>11</v>
      </c>
      <c r="D7455" s="368">
        <f>IFERROR((INDEX(METADATA!$T$2:$T$20,MATCH(B7455,METADATA!$S$2:$S$20,0))),0)</f>
        <v>0</v>
      </c>
      <c r="E7455" s="312" t="str">
        <f t="shared" si="464"/>
        <v>LO</v>
      </c>
      <c r="F7455" s="369">
        <f>VLOOKUP(C7455,METADATA!$A$5:$H$29,IF(E7455="HI",2,IF(E7455="LO",6,10))+IF(D7455=1,2,IF(D7455=7,1,(IF(WEEKDAY(B7455)=1,2,IF(WEEKDAY(B7455)=7,1,0))))))</f>
        <v>2</v>
      </c>
      <c r="G7455" s="369">
        <f>VLOOKUP(C7455,METADATA!$J$5:$Q$29,IF(E7455="HI",2,IF(E7455="LO",6,10))+IF(D7455=1,2,IF(D7455=7,1,(IF(WEEKDAY(B7455)=1,2,IF(WEEKDAY(B7455)=7,1,0))))))</f>
        <v>2</v>
      </c>
      <c r="H7455" s="370">
        <v>5226.4301452636719</v>
      </c>
      <c r="I7455" s="370">
        <v>5092.0349426269531</v>
      </c>
      <c r="M7455" s="371">
        <f t="shared" si="465"/>
        <v>7296.8754902529836</v>
      </c>
      <c r="N7455" s="329">
        <f t="shared" si="466"/>
        <v>3524.1058990478514</v>
      </c>
      <c r="T7455" s="331">
        <v>0</v>
      </c>
      <c r="U7455" s="328">
        <f>VLOOKUP(C7455,METADATA!$J$5:$Q$29,IF(E7455="HI",2,IF(E7455="LO",6,10))+IF(T7455=1,2,IF(D7455=7,1,(IF(WEEKDAY(B7455)=1,2,IF(WEEKDAY(B7455)=7,1,0))))))</f>
        <v>2</v>
      </c>
      <c r="V7455" s="328">
        <f>VLOOKUP(C7455,METADATA!$A$5:$H$29,IF(E7455="HI",2,IF(E7455="LO",6,10))+IF(T7455=1,2,IF(D7455=7,1,(IF(WEEKDAY(B7455)=1,2,IF(WEEKDAY(B7455)=7,1,0))))))</f>
        <v>2</v>
      </c>
    </row>
    <row r="7456" spans="2:22">
      <c r="B7456" s="318">
        <f t="shared" si="467"/>
        <v>46423</v>
      </c>
      <c r="C7456" s="312">
        <v>12</v>
      </c>
      <c r="D7456" s="368">
        <f>IFERROR((INDEX(METADATA!$T$2:$T$20,MATCH(B7456,METADATA!$S$2:$S$20,0))),0)</f>
        <v>0</v>
      </c>
      <c r="E7456" s="312" t="str">
        <f t="shared" si="464"/>
        <v>LO</v>
      </c>
      <c r="F7456" s="369">
        <f>VLOOKUP(C7456,METADATA!$A$5:$H$29,IF(E7456="HI",2,IF(E7456="LO",6,10))+IF(D7456=1,2,IF(D7456=7,1,(IF(WEEKDAY(B7456)=1,2,IF(WEEKDAY(B7456)=7,1,0))))))</f>
        <v>2</v>
      </c>
      <c r="G7456" s="369">
        <f>VLOOKUP(C7456,METADATA!$J$5:$Q$29,IF(E7456="HI",2,IF(E7456="LO",6,10))+IF(D7456=1,2,IF(D7456=7,1,(IF(WEEKDAY(B7456)=1,2,IF(WEEKDAY(B7456)=7,1,0))))))</f>
        <v>2</v>
      </c>
      <c r="H7456" s="370">
        <v>9472.22998046875</v>
      </c>
      <c r="I7456" s="370">
        <v>7441.3598937988281</v>
      </c>
      <c r="M7456" s="371">
        <f t="shared" si="465"/>
        <v>12045.620692680337</v>
      </c>
      <c r="N7456" s="329">
        <f t="shared" si="466"/>
        <v>4599.6908996582033</v>
      </c>
      <c r="T7456" s="331">
        <v>0</v>
      </c>
      <c r="U7456" s="328">
        <f>VLOOKUP(C7456,METADATA!$J$5:$Q$29,IF(E7456="HI",2,IF(E7456="LO",6,10))+IF(T7456=1,2,IF(D7456=7,1,(IF(WEEKDAY(B7456)=1,2,IF(WEEKDAY(B7456)=7,1,0))))))</f>
        <v>2</v>
      </c>
      <c r="V7456" s="328">
        <f>VLOOKUP(C7456,METADATA!$A$5:$H$29,IF(E7456="HI",2,IF(E7456="LO",6,10))+IF(T7456=1,2,IF(D7456=7,1,(IF(WEEKDAY(B7456)=1,2,IF(WEEKDAY(B7456)=7,1,0))))))</f>
        <v>2</v>
      </c>
    </row>
    <row r="7457" spans="2:22">
      <c r="B7457" s="318">
        <f t="shared" si="467"/>
        <v>46423</v>
      </c>
      <c r="C7457" s="312">
        <v>13</v>
      </c>
      <c r="D7457" s="368">
        <f>IFERROR((INDEX(METADATA!$T$2:$T$20,MATCH(B7457,METADATA!$S$2:$S$20,0))),0)</f>
        <v>0</v>
      </c>
      <c r="E7457" s="312" t="str">
        <f t="shared" si="464"/>
        <v>LO</v>
      </c>
      <c r="F7457" s="369">
        <f>VLOOKUP(C7457,METADATA!$A$5:$H$29,IF(E7457="HI",2,IF(E7457="LO",6,10))+IF(D7457=1,2,IF(D7457=7,1,(IF(WEEKDAY(B7457)=1,2,IF(WEEKDAY(B7457)=7,1,0))))))</f>
        <v>2</v>
      </c>
      <c r="G7457" s="369">
        <f>VLOOKUP(C7457,METADATA!$J$5:$Q$29,IF(E7457="HI",2,IF(E7457="LO",6,10))+IF(D7457=1,2,IF(D7457=7,1,(IF(WEEKDAY(B7457)=1,2,IF(WEEKDAY(B7457)=7,1,0))))))</f>
        <v>2</v>
      </c>
      <c r="H7457" s="370">
        <v>11289.599853515625</v>
      </c>
      <c r="I7457" s="370">
        <v>8434.1248779296875</v>
      </c>
      <c r="M7457" s="371">
        <f t="shared" si="465"/>
        <v>14092.179650750002</v>
      </c>
      <c r="N7457" s="329">
        <f t="shared" si="466"/>
        <v>5047.2449218750007</v>
      </c>
      <c r="T7457" s="331">
        <v>0</v>
      </c>
      <c r="U7457" s="328">
        <f>VLOOKUP(C7457,METADATA!$J$5:$Q$29,IF(E7457="HI",2,IF(E7457="LO",6,10))+IF(T7457=1,2,IF(D7457=7,1,(IF(WEEKDAY(B7457)=1,2,IF(WEEKDAY(B7457)=7,1,0))))))</f>
        <v>2</v>
      </c>
      <c r="V7457" s="328">
        <f>VLOOKUP(C7457,METADATA!$A$5:$H$29,IF(E7457="HI",2,IF(E7457="LO",6,10))+IF(T7457=1,2,IF(D7457=7,1,(IF(WEEKDAY(B7457)=1,2,IF(WEEKDAY(B7457)=7,1,0))))))</f>
        <v>2</v>
      </c>
    </row>
    <row r="7458" spans="2:22">
      <c r="B7458" s="318">
        <f t="shared" si="467"/>
        <v>46423</v>
      </c>
      <c r="C7458" s="312">
        <v>14</v>
      </c>
      <c r="D7458" s="368">
        <f>IFERROR((INDEX(METADATA!$T$2:$T$20,MATCH(B7458,METADATA!$S$2:$S$20,0))),0)</f>
        <v>0</v>
      </c>
      <c r="E7458" s="312" t="str">
        <f t="shared" si="464"/>
        <v>LO</v>
      </c>
      <c r="F7458" s="369">
        <f>VLOOKUP(C7458,METADATA!$A$5:$H$29,IF(E7458="HI",2,IF(E7458="LO",6,10))+IF(D7458=1,2,IF(D7458=7,1,(IF(WEEKDAY(B7458)=1,2,IF(WEEKDAY(B7458)=7,1,0))))))</f>
        <v>2</v>
      </c>
      <c r="G7458" s="369">
        <f>VLOOKUP(C7458,METADATA!$J$5:$Q$29,IF(E7458="HI",2,IF(E7458="LO",6,10))+IF(D7458=1,2,IF(D7458=7,1,(IF(WEEKDAY(B7458)=1,2,IF(WEEKDAY(B7458)=7,1,0))))))</f>
        <v>2</v>
      </c>
      <c r="H7458" s="370">
        <v>11621.39990234375</v>
      </c>
      <c r="I7458" s="370">
        <v>8517.6751098632813</v>
      </c>
      <c r="M7458" s="371">
        <f t="shared" si="465"/>
        <v>14408.598993912621</v>
      </c>
      <c r="N7458" s="329">
        <f t="shared" si="466"/>
        <v>5031.2551391601564</v>
      </c>
      <c r="T7458" s="331">
        <v>0</v>
      </c>
      <c r="U7458" s="328">
        <f>VLOOKUP(C7458,METADATA!$J$5:$Q$29,IF(E7458="HI",2,IF(E7458="LO",6,10))+IF(T7458=1,2,IF(D7458=7,1,(IF(WEEKDAY(B7458)=1,2,IF(WEEKDAY(B7458)=7,1,0))))))</f>
        <v>2</v>
      </c>
      <c r="V7458" s="328">
        <f>VLOOKUP(C7458,METADATA!$A$5:$H$29,IF(E7458="HI",2,IF(E7458="LO",6,10))+IF(T7458=1,2,IF(D7458=7,1,(IF(WEEKDAY(B7458)=1,2,IF(WEEKDAY(B7458)=7,1,0))))))</f>
        <v>2</v>
      </c>
    </row>
    <row r="7459" spans="2:22">
      <c r="B7459" s="318">
        <f t="shared" si="467"/>
        <v>46423</v>
      </c>
      <c r="C7459" s="312">
        <v>15</v>
      </c>
      <c r="D7459" s="368">
        <f>IFERROR((INDEX(METADATA!$T$2:$T$20,MATCH(B7459,METADATA!$S$2:$S$20,0))),0)</f>
        <v>0</v>
      </c>
      <c r="E7459" s="312" t="str">
        <f t="shared" si="464"/>
        <v>LO</v>
      </c>
      <c r="F7459" s="369">
        <f>VLOOKUP(C7459,METADATA!$A$5:$H$29,IF(E7459="HI",2,IF(E7459="LO",6,10))+IF(D7459=1,2,IF(D7459=7,1,(IF(WEEKDAY(B7459)=1,2,IF(WEEKDAY(B7459)=7,1,0))))))</f>
        <v>2</v>
      </c>
      <c r="G7459" s="369">
        <f>VLOOKUP(C7459,METADATA!$J$5:$Q$29,IF(E7459="HI",2,IF(E7459="LO",6,10))+IF(D7459=1,2,IF(D7459=7,1,(IF(WEEKDAY(B7459)=1,2,IF(WEEKDAY(B7459)=7,1,0))))))</f>
        <v>2</v>
      </c>
      <c r="H7459" s="370">
        <v>11420.549987792969</v>
      </c>
      <c r="I7459" s="370">
        <v>8520.27490234375</v>
      </c>
      <c r="M7459" s="371">
        <f t="shared" si="465"/>
        <v>14248.650688229633</v>
      </c>
      <c r="N7459" s="329">
        <f t="shared" si="466"/>
        <v>5094.1099060058596</v>
      </c>
      <c r="T7459" s="331">
        <v>0</v>
      </c>
      <c r="U7459" s="328">
        <f>VLOOKUP(C7459,METADATA!$J$5:$Q$29,IF(E7459="HI",2,IF(E7459="LO",6,10))+IF(T7459=1,2,IF(D7459=7,1,(IF(WEEKDAY(B7459)=1,2,IF(WEEKDAY(B7459)=7,1,0))))))</f>
        <v>2</v>
      </c>
      <c r="V7459" s="328">
        <f>VLOOKUP(C7459,METADATA!$A$5:$H$29,IF(E7459="HI",2,IF(E7459="LO",6,10))+IF(T7459=1,2,IF(D7459=7,1,(IF(WEEKDAY(B7459)=1,2,IF(WEEKDAY(B7459)=7,1,0))))))</f>
        <v>2</v>
      </c>
    </row>
    <row r="7460" spans="2:22">
      <c r="B7460" s="318">
        <f t="shared" si="467"/>
        <v>46423</v>
      </c>
      <c r="C7460" s="312">
        <v>16</v>
      </c>
      <c r="D7460" s="368">
        <f>IFERROR((INDEX(METADATA!$T$2:$T$20,MATCH(B7460,METADATA!$S$2:$S$20,0))),0)</f>
        <v>0</v>
      </c>
      <c r="E7460" s="312" t="str">
        <f t="shared" si="464"/>
        <v>LO</v>
      </c>
      <c r="F7460" s="369">
        <f>VLOOKUP(C7460,METADATA!$A$5:$H$29,IF(E7460="HI",2,IF(E7460="LO",6,10))+IF(D7460=1,2,IF(D7460=7,1,(IF(WEEKDAY(B7460)=1,2,IF(WEEKDAY(B7460)=7,1,0))))))</f>
        <v>2</v>
      </c>
      <c r="G7460" s="369">
        <f>VLOOKUP(C7460,METADATA!$J$5:$Q$29,IF(E7460="HI",2,IF(E7460="LO",6,10))+IF(D7460=1,2,IF(D7460=7,1,(IF(WEEKDAY(B7460)=1,2,IF(WEEKDAY(B7460)=7,1,0))))))</f>
        <v>2</v>
      </c>
      <c r="H7460" s="370">
        <v>11610.325012207031</v>
      </c>
      <c r="I7460" s="370">
        <v>8599.474853515625</v>
      </c>
      <c r="M7460" s="371">
        <f t="shared" si="465"/>
        <v>14448.204547462905</v>
      </c>
      <c r="N7460" s="329">
        <f t="shared" si="466"/>
        <v>5116.3773498535156</v>
      </c>
      <c r="T7460" s="331">
        <v>0</v>
      </c>
      <c r="U7460" s="328">
        <f>VLOOKUP(C7460,METADATA!$J$5:$Q$29,IF(E7460="HI",2,IF(E7460="LO",6,10))+IF(T7460=1,2,IF(D7460=7,1,(IF(WEEKDAY(B7460)=1,2,IF(WEEKDAY(B7460)=7,1,0))))))</f>
        <v>2</v>
      </c>
      <c r="V7460" s="328">
        <f>VLOOKUP(C7460,METADATA!$A$5:$H$29,IF(E7460="HI",2,IF(E7460="LO",6,10))+IF(T7460=1,2,IF(D7460=7,1,(IF(WEEKDAY(B7460)=1,2,IF(WEEKDAY(B7460)=7,1,0))))))</f>
        <v>2</v>
      </c>
    </row>
    <row r="7461" spans="2:22">
      <c r="B7461" s="318">
        <f t="shared" si="467"/>
        <v>46423</v>
      </c>
      <c r="C7461" s="312">
        <v>17</v>
      </c>
      <c r="D7461" s="368">
        <f>IFERROR((INDEX(METADATA!$T$2:$T$20,MATCH(B7461,METADATA!$S$2:$S$20,0))),0)</f>
        <v>0</v>
      </c>
      <c r="E7461" s="312" t="str">
        <f t="shared" si="464"/>
        <v>LO</v>
      </c>
      <c r="F7461" s="369">
        <f>VLOOKUP(C7461,METADATA!$A$5:$H$29,IF(E7461="HI",2,IF(E7461="LO",6,10))+IF(D7461=1,2,IF(D7461=7,1,(IF(WEEKDAY(B7461)=1,2,IF(WEEKDAY(B7461)=7,1,0))))))</f>
        <v>2</v>
      </c>
      <c r="G7461" s="369">
        <f>VLOOKUP(C7461,METADATA!$J$5:$Q$29,IF(E7461="HI",2,IF(E7461="LO",6,10))+IF(D7461=1,2,IF(D7461=7,1,(IF(WEEKDAY(B7461)=1,2,IF(WEEKDAY(B7461)=7,1,0))))))</f>
        <v>2</v>
      </c>
      <c r="H7461" s="370">
        <v>11556.400146484375</v>
      </c>
      <c r="I7461" s="370">
        <v>8643.925048828125</v>
      </c>
      <c r="M7461" s="371">
        <f t="shared" si="465"/>
        <v>14431.487262074634</v>
      </c>
      <c r="N7461" s="329">
        <f t="shared" si="466"/>
        <v>5177.0050048828125</v>
      </c>
      <c r="T7461" s="331">
        <v>0</v>
      </c>
      <c r="U7461" s="328">
        <f>VLOOKUP(C7461,METADATA!$J$5:$Q$29,IF(E7461="HI",2,IF(E7461="LO",6,10))+IF(T7461=1,2,IF(D7461=7,1,(IF(WEEKDAY(B7461)=1,2,IF(WEEKDAY(B7461)=7,1,0))))))</f>
        <v>2</v>
      </c>
      <c r="V7461" s="328">
        <f>VLOOKUP(C7461,METADATA!$A$5:$H$29,IF(E7461="HI",2,IF(E7461="LO",6,10))+IF(T7461=1,2,IF(D7461=7,1,(IF(WEEKDAY(B7461)=1,2,IF(WEEKDAY(B7461)=7,1,0))))))</f>
        <v>2</v>
      </c>
    </row>
    <row r="7462" spans="2:22">
      <c r="B7462" s="318">
        <f t="shared" si="467"/>
        <v>46423</v>
      </c>
      <c r="C7462" s="312">
        <v>18</v>
      </c>
      <c r="D7462" s="368">
        <f>IFERROR((INDEX(METADATA!$T$2:$T$20,MATCH(B7462,METADATA!$S$2:$S$20,0))),0)</f>
        <v>0</v>
      </c>
      <c r="E7462" s="312" t="str">
        <f t="shared" si="464"/>
        <v>LO</v>
      </c>
      <c r="F7462" s="369">
        <f>VLOOKUP(C7462,METADATA!$A$5:$H$29,IF(E7462="HI",2,IF(E7462="LO",6,10))+IF(D7462=1,2,IF(D7462=7,1,(IF(WEEKDAY(B7462)=1,2,IF(WEEKDAY(B7462)=7,1,0))))))</f>
        <v>1</v>
      </c>
      <c r="G7462" s="369">
        <f>VLOOKUP(C7462,METADATA!$J$5:$Q$29,IF(E7462="HI",2,IF(E7462="LO",6,10))+IF(D7462=1,2,IF(D7462=7,1,(IF(WEEKDAY(B7462)=1,2,IF(WEEKDAY(B7462)=7,1,0))))))</f>
        <v>1</v>
      </c>
      <c r="H7462" s="370">
        <v>11536.450073242188</v>
      </c>
      <c r="I7462" s="370">
        <v>8607.824951171875</v>
      </c>
      <c r="M7462" s="371">
        <f t="shared" si="465"/>
        <v>14393.899078513325</v>
      </c>
      <c r="N7462" s="329">
        <f t="shared" si="466"/>
        <v>5146.8899291992184</v>
      </c>
      <c r="T7462" s="331">
        <v>0</v>
      </c>
      <c r="U7462" s="328">
        <f>VLOOKUP(C7462,METADATA!$J$5:$Q$29,IF(E7462="HI",2,IF(E7462="LO",6,10))+IF(T7462=1,2,IF(D7462=7,1,(IF(WEEKDAY(B7462)=1,2,IF(WEEKDAY(B7462)=7,1,0))))))</f>
        <v>1</v>
      </c>
      <c r="V7462" s="328">
        <f>VLOOKUP(C7462,METADATA!$A$5:$H$29,IF(E7462="HI",2,IF(E7462="LO",6,10))+IF(T7462=1,2,IF(D7462=7,1,(IF(WEEKDAY(B7462)=1,2,IF(WEEKDAY(B7462)=7,1,0))))))</f>
        <v>1</v>
      </c>
    </row>
    <row r="7463" spans="2:22">
      <c r="B7463" s="318">
        <f t="shared" si="467"/>
        <v>46423</v>
      </c>
      <c r="C7463" s="312">
        <v>19</v>
      </c>
      <c r="D7463" s="368">
        <f>IFERROR((INDEX(METADATA!$T$2:$T$20,MATCH(B7463,METADATA!$S$2:$S$20,0))),0)</f>
        <v>0</v>
      </c>
      <c r="E7463" s="312" t="str">
        <f t="shared" si="464"/>
        <v>LO</v>
      </c>
      <c r="F7463" s="369">
        <f>VLOOKUP(C7463,METADATA!$A$5:$H$29,IF(E7463="HI",2,IF(E7463="LO",6,10))+IF(D7463=1,2,IF(D7463=7,1,(IF(WEEKDAY(B7463)=1,2,IF(WEEKDAY(B7463)=7,1,0))))))</f>
        <v>1</v>
      </c>
      <c r="G7463" s="369">
        <f>VLOOKUP(C7463,METADATA!$J$5:$Q$29,IF(E7463="HI",2,IF(E7463="LO",6,10))+IF(D7463=1,2,IF(D7463=7,1,(IF(WEEKDAY(B7463)=1,2,IF(WEEKDAY(B7463)=7,1,0))))))</f>
        <v>1</v>
      </c>
      <c r="H7463" s="370">
        <v>11647.5498046875</v>
      </c>
      <c r="I7463" s="370">
        <v>8606.6751098632813</v>
      </c>
      <c r="M7463" s="371">
        <f t="shared" si="465"/>
        <v>14482.412537261047</v>
      </c>
      <c r="N7463" s="329">
        <f t="shared" si="466"/>
        <v>5112.4101684570314</v>
      </c>
      <c r="T7463" s="331">
        <v>0</v>
      </c>
      <c r="U7463" s="328">
        <f>VLOOKUP(C7463,METADATA!$J$5:$Q$29,IF(E7463="HI",2,IF(E7463="LO",6,10))+IF(T7463=1,2,IF(D7463=7,1,(IF(WEEKDAY(B7463)=1,2,IF(WEEKDAY(B7463)=7,1,0))))))</f>
        <v>1</v>
      </c>
      <c r="V7463" s="328">
        <f>VLOOKUP(C7463,METADATA!$A$5:$H$29,IF(E7463="HI",2,IF(E7463="LO",6,10))+IF(T7463=1,2,IF(D7463=7,1,(IF(WEEKDAY(B7463)=1,2,IF(WEEKDAY(B7463)=7,1,0))))))</f>
        <v>1</v>
      </c>
    </row>
    <row r="7464" spans="2:22">
      <c r="B7464" s="318">
        <f t="shared" si="467"/>
        <v>46423</v>
      </c>
      <c r="C7464" s="312">
        <v>20</v>
      </c>
      <c r="D7464" s="368">
        <f>IFERROR((INDEX(METADATA!$T$2:$T$20,MATCH(B7464,METADATA!$S$2:$S$20,0))),0)</f>
        <v>0</v>
      </c>
      <c r="E7464" s="312" t="str">
        <f t="shared" si="464"/>
        <v>LO</v>
      </c>
      <c r="F7464" s="369">
        <f>VLOOKUP(C7464,METADATA!$A$5:$H$29,IF(E7464="HI",2,IF(E7464="LO",6,10))+IF(D7464=1,2,IF(D7464=7,1,(IF(WEEKDAY(B7464)=1,2,IF(WEEKDAY(B7464)=7,1,0))))))</f>
        <v>1</v>
      </c>
      <c r="G7464" s="369">
        <f>VLOOKUP(C7464,METADATA!$J$5:$Q$29,IF(E7464="HI",2,IF(E7464="LO",6,10))+IF(D7464=1,2,IF(D7464=7,1,(IF(WEEKDAY(B7464)=1,2,IF(WEEKDAY(B7464)=7,1,0))))))</f>
        <v>1</v>
      </c>
      <c r="H7464" s="370">
        <v>11899.85009765625</v>
      </c>
      <c r="I7464" s="370">
        <v>8849.02490234375</v>
      </c>
      <c r="M7464" s="371">
        <f t="shared" si="465"/>
        <v>14829.419208754916</v>
      </c>
      <c r="N7464" s="329">
        <f t="shared" si="466"/>
        <v>5279.0698730468757</v>
      </c>
      <c r="T7464" s="331">
        <v>0</v>
      </c>
      <c r="U7464" s="328">
        <f>VLOOKUP(C7464,METADATA!$J$5:$Q$29,IF(E7464="HI",2,IF(E7464="LO",6,10))+IF(T7464=1,2,IF(D7464=7,1,(IF(WEEKDAY(B7464)=1,2,IF(WEEKDAY(B7464)=7,1,0))))))</f>
        <v>1</v>
      </c>
      <c r="V7464" s="328">
        <f>VLOOKUP(C7464,METADATA!$A$5:$H$29,IF(E7464="HI",2,IF(E7464="LO",6,10))+IF(T7464=1,2,IF(D7464=7,1,(IF(WEEKDAY(B7464)=1,2,IF(WEEKDAY(B7464)=7,1,0))))))</f>
        <v>1</v>
      </c>
    </row>
    <row r="7465" spans="2:22">
      <c r="B7465" s="318">
        <f t="shared" si="467"/>
        <v>46423</v>
      </c>
      <c r="C7465" s="312">
        <v>21</v>
      </c>
      <c r="D7465" s="368">
        <f>IFERROR((INDEX(METADATA!$T$2:$T$20,MATCH(B7465,METADATA!$S$2:$S$20,0))),0)</f>
        <v>0</v>
      </c>
      <c r="E7465" s="312" t="str">
        <f t="shared" si="464"/>
        <v>LO</v>
      </c>
      <c r="F7465" s="369">
        <f>VLOOKUP(C7465,METADATA!$A$5:$H$29,IF(E7465="HI",2,IF(E7465="LO",6,10))+IF(D7465=1,2,IF(D7465=7,1,(IF(WEEKDAY(B7465)=1,2,IF(WEEKDAY(B7465)=7,1,0))))))</f>
        <v>2</v>
      </c>
      <c r="G7465" s="369">
        <f>VLOOKUP(C7465,METADATA!$J$5:$Q$29,IF(E7465="HI",2,IF(E7465="LO",6,10))+IF(D7465=1,2,IF(D7465=7,1,(IF(WEEKDAY(B7465)=1,2,IF(WEEKDAY(B7465)=7,1,0))))))</f>
        <v>2</v>
      </c>
      <c r="H7465" s="370">
        <v>11901.499938964844</v>
      </c>
      <c r="I7465" s="370">
        <v>8923.2748413085938</v>
      </c>
      <c r="M7465" s="371">
        <f t="shared" si="465"/>
        <v>14875.165030705073</v>
      </c>
      <c r="N7465" s="329">
        <f t="shared" si="466"/>
        <v>5352.8248596191406</v>
      </c>
      <c r="T7465" s="331">
        <v>0</v>
      </c>
      <c r="U7465" s="328">
        <f>VLOOKUP(C7465,METADATA!$J$5:$Q$29,IF(E7465="HI",2,IF(E7465="LO",6,10))+IF(T7465=1,2,IF(D7465=7,1,(IF(WEEKDAY(B7465)=1,2,IF(WEEKDAY(B7465)=7,1,0))))))</f>
        <v>2</v>
      </c>
      <c r="V7465" s="328">
        <f>VLOOKUP(C7465,METADATA!$A$5:$H$29,IF(E7465="HI",2,IF(E7465="LO",6,10))+IF(T7465=1,2,IF(D7465=7,1,(IF(WEEKDAY(B7465)=1,2,IF(WEEKDAY(B7465)=7,1,0))))))</f>
        <v>2</v>
      </c>
    </row>
    <row r="7466" spans="2:22">
      <c r="B7466" s="318">
        <f t="shared" si="467"/>
        <v>46423</v>
      </c>
      <c r="C7466" s="312">
        <v>22</v>
      </c>
      <c r="D7466" s="368">
        <f>IFERROR((INDEX(METADATA!$T$2:$T$20,MATCH(B7466,METADATA!$S$2:$S$20,0))),0)</f>
        <v>0</v>
      </c>
      <c r="E7466" s="312" t="str">
        <f t="shared" si="464"/>
        <v>LO</v>
      </c>
      <c r="F7466" s="369">
        <f>VLOOKUP(C7466,METADATA!$A$5:$H$29,IF(E7466="HI",2,IF(E7466="LO",6,10))+IF(D7466=1,2,IF(D7466=7,1,(IF(WEEKDAY(B7466)=1,2,IF(WEEKDAY(B7466)=7,1,0))))))</f>
        <v>3</v>
      </c>
      <c r="G7466" s="369">
        <f>VLOOKUP(C7466,METADATA!$J$5:$Q$29,IF(E7466="HI",2,IF(E7466="LO",6,10))+IF(D7466=1,2,IF(D7466=7,1,(IF(WEEKDAY(B7466)=1,2,IF(WEEKDAY(B7466)=7,1,0))))))</f>
        <v>3</v>
      </c>
      <c r="H7466" s="370">
        <v>11730.5</v>
      </c>
      <c r="I7466" s="370">
        <v>8943.8499145507813</v>
      </c>
      <c r="M7466" s="371">
        <f t="shared" si="465"/>
        <v>14751.172209150363</v>
      </c>
      <c r="N7466" s="329">
        <f t="shared" si="466"/>
        <v>5424.6999145507816</v>
      </c>
      <c r="T7466" s="331">
        <v>0</v>
      </c>
      <c r="U7466" s="328">
        <f>VLOOKUP(C7466,METADATA!$J$5:$Q$29,IF(E7466="HI",2,IF(E7466="LO",6,10))+IF(T7466=1,2,IF(D7466=7,1,(IF(WEEKDAY(B7466)=1,2,IF(WEEKDAY(B7466)=7,1,0))))))</f>
        <v>3</v>
      </c>
      <c r="V7466" s="328">
        <f>VLOOKUP(C7466,METADATA!$A$5:$H$29,IF(E7466="HI",2,IF(E7466="LO",6,10))+IF(T7466=1,2,IF(D7466=7,1,(IF(WEEKDAY(B7466)=1,2,IF(WEEKDAY(B7466)=7,1,0))))))</f>
        <v>3</v>
      </c>
    </row>
    <row r="7467" spans="2:22">
      <c r="B7467" s="318">
        <f t="shared" si="467"/>
        <v>46423</v>
      </c>
      <c r="C7467" s="312">
        <v>23</v>
      </c>
      <c r="D7467" s="368">
        <f>IFERROR((INDEX(METADATA!$T$2:$T$20,MATCH(B7467,METADATA!$S$2:$S$20,0))),0)</f>
        <v>0</v>
      </c>
      <c r="E7467" s="312" t="str">
        <f t="shared" si="464"/>
        <v>LO</v>
      </c>
      <c r="F7467" s="369">
        <f>VLOOKUP(C7467,METADATA!$A$5:$H$29,IF(E7467="HI",2,IF(E7467="LO",6,10))+IF(D7467=1,2,IF(D7467=7,1,(IF(WEEKDAY(B7467)=1,2,IF(WEEKDAY(B7467)=7,1,0))))))</f>
        <v>3</v>
      </c>
      <c r="G7467" s="369">
        <f>VLOOKUP(C7467,METADATA!$J$5:$Q$29,IF(E7467="HI",2,IF(E7467="LO",6,10))+IF(D7467=1,2,IF(D7467=7,1,(IF(WEEKDAY(B7467)=1,2,IF(WEEKDAY(B7467)=7,1,0))))))</f>
        <v>3</v>
      </c>
      <c r="H7467" s="370">
        <v>12012.499816894531</v>
      </c>
      <c r="I7467" s="370">
        <v>9271.0250244140625</v>
      </c>
      <c r="M7467" s="371">
        <f t="shared" si="465"/>
        <v>15174.05868099247</v>
      </c>
      <c r="N7467" s="329">
        <f t="shared" si="466"/>
        <v>5667.2750793457035</v>
      </c>
      <c r="T7467" s="331">
        <v>0</v>
      </c>
      <c r="U7467" s="328">
        <f>VLOOKUP(C7467,METADATA!$J$5:$Q$29,IF(E7467="HI",2,IF(E7467="LO",6,10))+IF(T7467=1,2,IF(D7467=7,1,(IF(WEEKDAY(B7467)=1,2,IF(WEEKDAY(B7467)=7,1,0))))))</f>
        <v>3</v>
      </c>
      <c r="V7467" s="328">
        <f>VLOOKUP(C7467,METADATA!$A$5:$H$29,IF(E7467="HI",2,IF(E7467="LO",6,10))+IF(T7467=1,2,IF(D7467=7,1,(IF(WEEKDAY(B7467)=1,2,IF(WEEKDAY(B7467)=7,1,0))))))</f>
        <v>3</v>
      </c>
    </row>
    <row r="7468" spans="2:22">
      <c r="B7468" s="318">
        <f t="shared" si="467"/>
        <v>46424</v>
      </c>
      <c r="C7468" s="312">
        <v>0</v>
      </c>
      <c r="D7468" s="368">
        <f>IFERROR((INDEX(METADATA!$T$2:$T$20,MATCH(B7468,METADATA!$S$2:$S$20,0))),0)</f>
        <v>0</v>
      </c>
      <c r="E7468" s="312" t="str">
        <f t="shared" si="464"/>
        <v>LO</v>
      </c>
      <c r="F7468" s="369">
        <f>VLOOKUP(C7468,METADATA!$A$5:$H$29,IF(E7468="HI",2,IF(E7468="LO",6,10))+IF(D7468=1,2,IF(D7468=7,1,(IF(WEEKDAY(B7468)=1,2,IF(WEEKDAY(B7468)=7,1,0))))))</f>
        <v>3</v>
      </c>
      <c r="G7468" s="369">
        <f>VLOOKUP(C7468,METADATA!$J$5:$Q$29,IF(E7468="HI",2,IF(E7468="LO",6,10))+IF(D7468=1,2,IF(D7468=7,1,(IF(WEEKDAY(B7468)=1,2,IF(WEEKDAY(B7468)=7,1,0))))))</f>
        <v>3</v>
      </c>
      <c r="H7468" s="370">
        <v>12353.175109863281</v>
      </c>
      <c r="I7468" s="370">
        <v>9495.1749267578125</v>
      </c>
      <c r="M7468" s="371">
        <f t="shared" si="465"/>
        <v>15580.734327517299</v>
      </c>
      <c r="N7468" s="329">
        <f t="shared" si="466"/>
        <v>5789.2223937988283</v>
      </c>
      <c r="T7468" s="331">
        <v>0</v>
      </c>
      <c r="U7468" s="328">
        <f>VLOOKUP(C7468,METADATA!$J$5:$Q$29,IF(E7468="HI",2,IF(E7468="LO",6,10))+IF(T7468=1,2,IF(D7468=7,1,(IF(WEEKDAY(B7468)=1,2,IF(WEEKDAY(B7468)=7,1,0))))))</f>
        <v>3</v>
      </c>
      <c r="V7468" s="328">
        <f>VLOOKUP(C7468,METADATA!$A$5:$H$29,IF(E7468="HI",2,IF(E7468="LO",6,10))+IF(T7468=1,2,IF(D7468=7,1,(IF(WEEKDAY(B7468)=1,2,IF(WEEKDAY(B7468)=7,1,0))))))</f>
        <v>3</v>
      </c>
    </row>
    <row r="7469" spans="2:22">
      <c r="B7469" s="318">
        <f t="shared" si="467"/>
        <v>46424</v>
      </c>
      <c r="C7469" s="312">
        <v>1</v>
      </c>
      <c r="D7469" s="368">
        <f>IFERROR((INDEX(METADATA!$T$2:$T$20,MATCH(B7469,METADATA!$S$2:$S$20,0))),0)</f>
        <v>0</v>
      </c>
      <c r="E7469" s="312" t="str">
        <f t="shared" si="464"/>
        <v>LO</v>
      </c>
      <c r="F7469" s="369">
        <f>VLOOKUP(C7469,METADATA!$A$5:$H$29,IF(E7469="HI",2,IF(E7469="LO",6,10))+IF(D7469=1,2,IF(D7469=7,1,(IF(WEEKDAY(B7469)=1,2,IF(WEEKDAY(B7469)=7,1,0))))))</f>
        <v>3</v>
      </c>
      <c r="G7469" s="369">
        <f>VLOOKUP(C7469,METADATA!$J$5:$Q$29,IF(E7469="HI",2,IF(E7469="LO",6,10))+IF(D7469=1,2,IF(D7469=7,1,(IF(WEEKDAY(B7469)=1,2,IF(WEEKDAY(B7469)=7,1,0))))))</f>
        <v>3</v>
      </c>
      <c r="H7469" s="370">
        <v>12298.744995117188</v>
      </c>
      <c r="I7469" s="370">
        <v>9355.60009765625</v>
      </c>
      <c r="M7469" s="371">
        <f t="shared" si="465"/>
        <v>15452.714377810316</v>
      </c>
      <c r="N7469" s="329">
        <f t="shared" si="466"/>
        <v>5665.9765991210934</v>
      </c>
      <c r="T7469" s="331">
        <v>0</v>
      </c>
      <c r="U7469" s="328">
        <f>VLOOKUP(C7469,METADATA!$J$5:$Q$29,IF(E7469="HI",2,IF(E7469="LO",6,10))+IF(T7469=1,2,IF(D7469=7,1,(IF(WEEKDAY(B7469)=1,2,IF(WEEKDAY(B7469)=7,1,0))))))</f>
        <v>3</v>
      </c>
      <c r="V7469" s="328">
        <f>VLOOKUP(C7469,METADATA!$A$5:$H$29,IF(E7469="HI",2,IF(E7469="LO",6,10))+IF(T7469=1,2,IF(D7469=7,1,(IF(WEEKDAY(B7469)=1,2,IF(WEEKDAY(B7469)=7,1,0))))))</f>
        <v>3</v>
      </c>
    </row>
    <row r="7470" spans="2:22">
      <c r="B7470" s="318">
        <f t="shared" si="467"/>
        <v>46424</v>
      </c>
      <c r="C7470" s="312">
        <v>2</v>
      </c>
      <c r="D7470" s="368">
        <f>IFERROR((INDEX(METADATA!$T$2:$T$20,MATCH(B7470,METADATA!$S$2:$S$20,0))),0)</f>
        <v>0</v>
      </c>
      <c r="E7470" s="312" t="str">
        <f t="shared" si="464"/>
        <v>LO</v>
      </c>
      <c r="F7470" s="369">
        <f>VLOOKUP(C7470,METADATA!$A$5:$H$29,IF(E7470="HI",2,IF(E7470="LO",6,10))+IF(D7470=1,2,IF(D7470=7,1,(IF(WEEKDAY(B7470)=1,2,IF(WEEKDAY(B7470)=7,1,0))))))</f>
        <v>3</v>
      </c>
      <c r="G7470" s="369">
        <f>VLOOKUP(C7470,METADATA!$J$5:$Q$29,IF(E7470="HI",2,IF(E7470="LO",6,10))+IF(D7470=1,2,IF(D7470=7,1,(IF(WEEKDAY(B7470)=1,2,IF(WEEKDAY(B7470)=7,1,0))))))</f>
        <v>3</v>
      </c>
      <c r="H7470" s="370">
        <v>11857.324951171875</v>
      </c>
      <c r="I7470" s="370">
        <v>8892.925048828125</v>
      </c>
      <c r="M7470" s="371">
        <f t="shared" si="465"/>
        <v>14821.614990336169</v>
      </c>
      <c r="N7470" s="329">
        <f t="shared" si="466"/>
        <v>5335.7275634765629</v>
      </c>
      <c r="T7470" s="331">
        <v>0</v>
      </c>
      <c r="U7470" s="328">
        <f>VLOOKUP(C7470,METADATA!$J$5:$Q$29,IF(E7470="HI",2,IF(E7470="LO",6,10))+IF(T7470=1,2,IF(D7470=7,1,(IF(WEEKDAY(B7470)=1,2,IF(WEEKDAY(B7470)=7,1,0))))))</f>
        <v>3</v>
      </c>
      <c r="V7470" s="328">
        <f>VLOOKUP(C7470,METADATA!$A$5:$H$29,IF(E7470="HI",2,IF(E7470="LO",6,10))+IF(T7470=1,2,IF(D7470=7,1,(IF(WEEKDAY(B7470)=1,2,IF(WEEKDAY(B7470)=7,1,0))))))</f>
        <v>3</v>
      </c>
    </row>
    <row r="7471" spans="2:22">
      <c r="B7471" s="318">
        <f t="shared" si="467"/>
        <v>46424</v>
      </c>
      <c r="C7471" s="312">
        <v>3</v>
      </c>
      <c r="D7471" s="368">
        <f>IFERROR((INDEX(METADATA!$T$2:$T$20,MATCH(B7471,METADATA!$S$2:$S$20,0))),0)</f>
        <v>0</v>
      </c>
      <c r="E7471" s="312" t="str">
        <f t="shared" si="464"/>
        <v>LO</v>
      </c>
      <c r="F7471" s="369">
        <f>VLOOKUP(C7471,METADATA!$A$5:$H$29,IF(E7471="HI",2,IF(E7471="LO",6,10))+IF(D7471=1,2,IF(D7471=7,1,(IF(WEEKDAY(B7471)=1,2,IF(WEEKDAY(B7471)=7,1,0))))))</f>
        <v>3</v>
      </c>
      <c r="G7471" s="369">
        <f>VLOOKUP(C7471,METADATA!$J$5:$Q$29,IF(E7471="HI",2,IF(E7471="LO",6,10))+IF(D7471=1,2,IF(D7471=7,1,(IF(WEEKDAY(B7471)=1,2,IF(WEEKDAY(B7471)=7,1,0))))))</f>
        <v>3</v>
      </c>
      <c r="H7471" s="370">
        <v>11934.224975585938</v>
      </c>
      <c r="I7471" s="370">
        <v>9021.8499755859375</v>
      </c>
      <c r="M7471" s="371">
        <f t="shared" si="465"/>
        <v>14960.598341974131</v>
      </c>
      <c r="N7471" s="329">
        <f t="shared" si="466"/>
        <v>5441.5824829101566</v>
      </c>
      <c r="T7471" s="331">
        <v>0</v>
      </c>
      <c r="U7471" s="328">
        <f>VLOOKUP(C7471,METADATA!$J$5:$Q$29,IF(E7471="HI",2,IF(E7471="LO",6,10))+IF(T7471=1,2,IF(D7471=7,1,(IF(WEEKDAY(B7471)=1,2,IF(WEEKDAY(B7471)=7,1,0))))))</f>
        <v>3</v>
      </c>
      <c r="V7471" s="328">
        <f>VLOOKUP(C7471,METADATA!$A$5:$H$29,IF(E7471="HI",2,IF(E7471="LO",6,10))+IF(T7471=1,2,IF(D7471=7,1,(IF(WEEKDAY(B7471)=1,2,IF(WEEKDAY(B7471)=7,1,0))))))</f>
        <v>3</v>
      </c>
    </row>
    <row r="7472" spans="2:22">
      <c r="B7472" s="318">
        <f t="shared" si="467"/>
        <v>46424</v>
      </c>
      <c r="C7472" s="312">
        <v>4</v>
      </c>
      <c r="D7472" s="368">
        <f>IFERROR((INDEX(METADATA!$T$2:$T$20,MATCH(B7472,METADATA!$S$2:$S$20,0))),0)</f>
        <v>0</v>
      </c>
      <c r="E7472" s="312" t="str">
        <f t="shared" si="464"/>
        <v>LO</v>
      </c>
      <c r="F7472" s="369">
        <f>VLOOKUP(C7472,METADATA!$A$5:$H$29,IF(E7472="HI",2,IF(E7472="LO",6,10))+IF(D7472=1,2,IF(D7472=7,1,(IF(WEEKDAY(B7472)=1,2,IF(WEEKDAY(B7472)=7,1,0))))))</f>
        <v>3</v>
      </c>
      <c r="G7472" s="369">
        <f>VLOOKUP(C7472,METADATA!$J$5:$Q$29,IF(E7472="HI",2,IF(E7472="LO",6,10))+IF(D7472=1,2,IF(D7472=7,1,(IF(WEEKDAY(B7472)=1,2,IF(WEEKDAY(B7472)=7,1,0))))))</f>
        <v>3</v>
      </c>
      <c r="H7472" s="370">
        <v>12725.39990234375</v>
      </c>
      <c r="I7472" s="370">
        <v>9446.9000244140625</v>
      </c>
      <c r="M7472" s="371">
        <f t="shared" si="465"/>
        <v>15848.650502356493</v>
      </c>
      <c r="N7472" s="329">
        <f t="shared" si="466"/>
        <v>5629.2800537109379</v>
      </c>
      <c r="T7472" s="331">
        <v>0</v>
      </c>
      <c r="U7472" s="328">
        <f>VLOOKUP(C7472,METADATA!$J$5:$Q$29,IF(E7472="HI",2,IF(E7472="LO",6,10))+IF(T7472=1,2,IF(D7472=7,1,(IF(WEEKDAY(B7472)=1,2,IF(WEEKDAY(B7472)=7,1,0))))))</f>
        <v>3</v>
      </c>
      <c r="V7472" s="328">
        <f>VLOOKUP(C7472,METADATA!$A$5:$H$29,IF(E7472="HI",2,IF(E7472="LO",6,10))+IF(T7472=1,2,IF(D7472=7,1,(IF(WEEKDAY(B7472)=1,2,IF(WEEKDAY(B7472)=7,1,0))))))</f>
        <v>3</v>
      </c>
    </row>
    <row r="7473" spans="2:22">
      <c r="B7473" s="318">
        <f t="shared" si="467"/>
        <v>46424</v>
      </c>
      <c r="C7473" s="312">
        <v>5</v>
      </c>
      <c r="D7473" s="368">
        <f>IFERROR((INDEX(METADATA!$T$2:$T$20,MATCH(B7473,METADATA!$S$2:$S$20,0))),0)</f>
        <v>0</v>
      </c>
      <c r="E7473" s="312" t="str">
        <f t="shared" si="464"/>
        <v>LO</v>
      </c>
      <c r="F7473" s="369">
        <f>VLOOKUP(C7473,METADATA!$A$5:$H$29,IF(E7473="HI",2,IF(E7473="LO",6,10))+IF(D7473=1,2,IF(D7473=7,1,(IF(WEEKDAY(B7473)=1,2,IF(WEEKDAY(B7473)=7,1,0))))))</f>
        <v>3</v>
      </c>
      <c r="G7473" s="369">
        <f>VLOOKUP(C7473,METADATA!$J$5:$Q$29,IF(E7473="HI",2,IF(E7473="LO",6,10))+IF(D7473=1,2,IF(D7473=7,1,(IF(WEEKDAY(B7473)=1,2,IF(WEEKDAY(B7473)=7,1,0))))))</f>
        <v>3</v>
      </c>
      <c r="H7473" s="370">
        <v>12710.375366210938</v>
      </c>
      <c r="I7473" s="370">
        <v>9516.7748413085938</v>
      </c>
      <c r="M7473" s="371">
        <f t="shared" si="465"/>
        <v>15878.370361285381</v>
      </c>
      <c r="N7473" s="329">
        <f t="shared" si="466"/>
        <v>5703.6622314453125</v>
      </c>
      <c r="T7473" s="331">
        <v>0</v>
      </c>
      <c r="U7473" s="328">
        <f>VLOOKUP(C7473,METADATA!$J$5:$Q$29,IF(E7473="HI",2,IF(E7473="LO",6,10))+IF(T7473=1,2,IF(D7473=7,1,(IF(WEEKDAY(B7473)=1,2,IF(WEEKDAY(B7473)=7,1,0))))))</f>
        <v>3</v>
      </c>
      <c r="V7473" s="328">
        <f>VLOOKUP(C7473,METADATA!$A$5:$H$29,IF(E7473="HI",2,IF(E7473="LO",6,10))+IF(T7473=1,2,IF(D7473=7,1,(IF(WEEKDAY(B7473)=1,2,IF(WEEKDAY(B7473)=7,1,0))))))</f>
        <v>3</v>
      </c>
    </row>
    <row r="7474" spans="2:22">
      <c r="B7474" s="318">
        <f t="shared" si="467"/>
        <v>46424</v>
      </c>
      <c r="C7474" s="312">
        <v>6</v>
      </c>
      <c r="D7474" s="368">
        <f>IFERROR((INDEX(METADATA!$T$2:$T$20,MATCH(B7474,METADATA!$S$2:$S$20,0))),0)</f>
        <v>0</v>
      </c>
      <c r="E7474" s="312" t="str">
        <f t="shared" si="464"/>
        <v>LO</v>
      </c>
      <c r="F7474" s="369">
        <f>VLOOKUP(C7474,METADATA!$A$5:$H$29,IF(E7474="HI",2,IF(E7474="LO",6,10))+IF(D7474=1,2,IF(D7474=7,1,(IF(WEEKDAY(B7474)=1,2,IF(WEEKDAY(B7474)=7,1,0))))))</f>
        <v>3</v>
      </c>
      <c r="G7474" s="369">
        <f>VLOOKUP(C7474,METADATA!$J$5:$Q$29,IF(E7474="HI",2,IF(E7474="LO",6,10))+IF(D7474=1,2,IF(D7474=7,1,(IF(WEEKDAY(B7474)=1,2,IF(WEEKDAY(B7474)=7,1,0))))))</f>
        <v>3</v>
      </c>
      <c r="H7474" s="370">
        <v>12305.2001953125</v>
      </c>
      <c r="I7474" s="370">
        <v>9271.1250610351563</v>
      </c>
      <c r="M7474" s="371">
        <f t="shared" si="465"/>
        <v>15406.872224565015</v>
      </c>
      <c r="N7474" s="329">
        <f t="shared" si="466"/>
        <v>5579.5650024414063</v>
      </c>
      <c r="T7474" s="331">
        <v>0</v>
      </c>
      <c r="U7474" s="328">
        <f>VLOOKUP(C7474,METADATA!$J$5:$Q$29,IF(E7474="HI",2,IF(E7474="LO",6,10))+IF(T7474=1,2,IF(D7474=7,1,(IF(WEEKDAY(B7474)=1,2,IF(WEEKDAY(B7474)=7,1,0))))))</f>
        <v>3</v>
      </c>
      <c r="V7474" s="328">
        <f>VLOOKUP(C7474,METADATA!$A$5:$H$29,IF(E7474="HI",2,IF(E7474="LO",6,10))+IF(T7474=1,2,IF(D7474=7,1,(IF(WEEKDAY(B7474)=1,2,IF(WEEKDAY(B7474)=7,1,0))))))</f>
        <v>3</v>
      </c>
    </row>
    <row r="7475" spans="2:22">
      <c r="B7475" s="318">
        <f t="shared" si="467"/>
        <v>46424</v>
      </c>
      <c r="C7475" s="312">
        <v>7</v>
      </c>
      <c r="D7475" s="368">
        <f>IFERROR((INDEX(METADATA!$T$2:$T$20,MATCH(B7475,METADATA!$S$2:$S$20,0))),0)</f>
        <v>0</v>
      </c>
      <c r="E7475" s="312" t="str">
        <f t="shared" si="464"/>
        <v>LO</v>
      </c>
      <c r="F7475" s="369">
        <f>VLOOKUP(C7475,METADATA!$A$5:$H$29,IF(E7475="HI",2,IF(E7475="LO",6,10))+IF(D7475=1,2,IF(D7475=7,1,(IF(WEEKDAY(B7475)=1,2,IF(WEEKDAY(B7475)=7,1,0))))))</f>
        <v>2</v>
      </c>
      <c r="G7475" s="369">
        <f>VLOOKUP(C7475,METADATA!$J$5:$Q$29,IF(E7475="HI",2,IF(E7475="LO",6,10))+IF(D7475=1,2,IF(D7475=7,1,(IF(WEEKDAY(B7475)=1,2,IF(WEEKDAY(B7475)=7,1,0))))))</f>
        <v>2</v>
      </c>
      <c r="H7475" s="370">
        <v>12463.175109863281</v>
      </c>
      <c r="I7475" s="370">
        <v>9359.6997680664063</v>
      </c>
      <c r="M7475" s="371">
        <f t="shared" si="465"/>
        <v>15586.363064148671</v>
      </c>
      <c r="N7475" s="329">
        <f t="shared" si="466"/>
        <v>5620.7472351074221</v>
      </c>
      <c r="T7475" s="331">
        <v>0</v>
      </c>
      <c r="U7475" s="328">
        <f>VLOOKUP(C7475,METADATA!$J$5:$Q$29,IF(E7475="HI",2,IF(E7475="LO",6,10))+IF(T7475=1,2,IF(D7475=7,1,(IF(WEEKDAY(B7475)=1,2,IF(WEEKDAY(B7475)=7,1,0))))))</f>
        <v>2</v>
      </c>
      <c r="V7475" s="328">
        <f>VLOOKUP(C7475,METADATA!$A$5:$H$29,IF(E7475="HI",2,IF(E7475="LO",6,10))+IF(T7475=1,2,IF(D7475=7,1,(IF(WEEKDAY(B7475)=1,2,IF(WEEKDAY(B7475)=7,1,0))))))</f>
        <v>2</v>
      </c>
    </row>
    <row r="7476" spans="2:22">
      <c r="B7476" s="318">
        <f t="shared" si="467"/>
        <v>46424</v>
      </c>
      <c r="C7476" s="312">
        <v>8</v>
      </c>
      <c r="D7476" s="368">
        <f>IFERROR((INDEX(METADATA!$T$2:$T$20,MATCH(B7476,METADATA!$S$2:$S$20,0))),0)</f>
        <v>0</v>
      </c>
      <c r="E7476" s="312" t="str">
        <f t="shared" si="464"/>
        <v>LO</v>
      </c>
      <c r="F7476" s="369">
        <f>VLOOKUP(C7476,METADATA!$A$5:$H$29,IF(E7476="HI",2,IF(E7476="LO",6,10))+IF(D7476=1,2,IF(D7476=7,1,(IF(WEEKDAY(B7476)=1,2,IF(WEEKDAY(B7476)=7,1,0))))))</f>
        <v>2</v>
      </c>
      <c r="G7476" s="369">
        <f>VLOOKUP(C7476,METADATA!$J$5:$Q$29,IF(E7476="HI",2,IF(E7476="LO",6,10))+IF(D7476=1,2,IF(D7476=7,1,(IF(WEEKDAY(B7476)=1,2,IF(WEEKDAY(B7476)=7,1,0))))))</f>
        <v>2</v>
      </c>
      <c r="H7476" s="370">
        <v>12739.725341796875</v>
      </c>
      <c r="I7476" s="370">
        <v>9549.6998291015625</v>
      </c>
      <c r="M7476" s="371">
        <f t="shared" si="465"/>
        <v>15921.600692466945</v>
      </c>
      <c r="N7476" s="329">
        <f t="shared" si="466"/>
        <v>5727.7822265625</v>
      </c>
      <c r="T7476" s="331">
        <v>0</v>
      </c>
      <c r="U7476" s="328">
        <f>VLOOKUP(C7476,METADATA!$J$5:$Q$29,IF(E7476="HI",2,IF(E7476="LO",6,10))+IF(T7476=1,2,IF(D7476=7,1,(IF(WEEKDAY(B7476)=1,2,IF(WEEKDAY(B7476)=7,1,0))))))</f>
        <v>2</v>
      </c>
      <c r="V7476" s="328">
        <f>VLOOKUP(C7476,METADATA!$A$5:$H$29,IF(E7476="HI",2,IF(E7476="LO",6,10))+IF(T7476=1,2,IF(D7476=7,1,(IF(WEEKDAY(B7476)=1,2,IF(WEEKDAY(B7476)=7,1,0))))))</f>
        <v>2</v>
      </c>
    </row>
    <row r="7477" spans="2:22">
      <c r="B7477" s="318">
        <f t="shared" si="467"/>
        <v>46424</v>
      </c>
      <c r="C7477" s="312">
        <v>9</v>
      </c>
      <c r="D7477" s="368">
        <f>IFERROR((INDEX(METADATA!$T$2:$T$20,MATCH(B7477,METADATA!$S$2:$S$20,0))),0)</f>
        <v>0</v>
      </c>
      <c r="E7477" s="312" t="str">
        <f t="shared" si="464"/>
        <v>LO</v>
      </c>
      <c r="F7477" s="369">
        <f>VLOOKUP(C7477,METADATA!$A$5:$H$29,IF(E7477="HI",2,IF(E7477="LO",6,10))+IF(D7477=1,2,IF(D7477=7,1,(IF(WEEKDAY(B7477)=1,2,IF(WEEKDAY(B7477)=7,1,0))))))</f>
        <v>2</v>
      </c>
      <c r="G7477" s="369">
        <f>VLOOKUP(C7477,METADATA!$J$5:$Q$29,IF(E7477="HI",2,IF(E7477="LO",6,10))+IF(D7477=1,2,IF(D7477=7,1,(IF(WEEKDAY(B7477)=1,2,IF(WEEKDAY(B7477)=7,1,0))))))</f>
        <v>2</v>
      </c>
      <c r="H7477" s="370">
        <v>12770.800415039063</v>
      </c>
      <c r="I7477" s="370">
        <v>9540.6500854492188</v>
      </c>
      <c r="M7477" s="371">
        <f t="shared" si="465"/>
        <v>15941.05853742919</v>
      </c>
      <c r="N7477" s="329">
        <f t="shared" si="466"/>
        <v>5709.4099609375007</v>
      </c>
      <c r="T7477" s="331">
        <v>0</v>
      </c>
      <c r="U7477" s="328">
        <f>VLOOKUP(C7477,METADATA!$J$5:$Q$29,IF(E7477="HI",2,IF(E7477="LO",6,10))+IF(T7477=1,2,IF(D7477=7,1,(IF(WEEKDAY(B7477)=1,2,IF(WEEKDAY(B7477)=7,1,0))))))</f>
        <v>2</v>
      </c>
      <c r="V7477" s="328">
        <f>VLOOKUP(C7477,METADATA!$A$5:$H$29,IF(E7477="HI",2,IF(E7477="LO",6,10))+IF(T7477=1,2,IF(D7477=7,1,(IF(WEEKDAY(B7477)=1,2,IF(WEEKDAY(B7477)=7,1,0))))))</f>
        <v>2</v>
      </c>
    </row>
    <row r="7478" spans="2:22">
      <c r="B7478" s="318">
        <f t="shared" si="467"/>
        <v>46424</v>
      </c>
      <c r="C7478" s="312">
        <v>10</v>
      </c>
      <c r="D7478" s="368">
        <f>IFERROR((INDEX(METADATA!$T$2:$T$20,MATCH(B7478,METADATA!$S$2:$S$20,0))),0)</f>
        <v>0</v>
      </c>
      <c r="E7478" s="312" t="str">
        <f t="shared" si="464"/>
        <v>LO</v>
      </c>
      <c r="F7478" s="369">
        <f>VLOOKUP(C7478,METADATA!$A$5:$H$29,IF(E7478="HI",2,IF(E7478="LO",6,10))+IF(D7478=1,2,IF(D7478=7,1,(IF(WEEKDAY(B7478)=1,2,IF(WEEKDAY(B7478)=7,1,0))))))</f>
        <v>2</v>
      </c>
      <c r="G7478" s="369">
        <f>VLOOKUP(C7478,METADATA!$J$5:$Q$29,IF(E7478="HI",2,IF(E7478="LO",6,10))+IF(D7478=1,2,IF(D7478=7,1,(IF(WEEKDAY(B7478)=1,2,IF(WEEKDAY(B7478)=7,1,0))))))</f>
        <v>2</v>
      </c>
      <c r="H7478" s="370">
        <v>12891.349609375</v>
      </c>
      <c r="I7478" s="370">
        <v>9655.35009765625</v>
      </c>
      <c r="M7478" s="371">
        <f t="shared" si="465"/>
        <v>16106.293188050549</v>
      </c>
      <c r="N7478" s="329">
        <f t="shared" si="466"/>
        <v>5787.9452148437504</v>
      </c>
      <c r="T7478" s="331">
        <v>0</v>
      </c>
      <c r="U7478" s="328">
        <f>VLOOKUP(C7478,METADATA!$J$5:$Q$29,IF(E7478="HI",2,IF(E7478="LO",6,10))+IF(T7478=1,2,IF(D7478=7,1,(IF(WEEKDAY(B7478)=1,2,IF(WEEKDAY(B7478)=7,1,0))))))</f>
        <v>2</v>
      </c>
      <c r="V7478" s="328">
        <f>VLOOKUP(C7478,METADATA!$A$5:$H$29,IF(E7478="HI",2,IF(E7478="LO",6,10))+IF(T7478=1,2,IF(D7478=7,1,(IF(WEEKDAY(B7478)=1,2,IF(WEEKDAY(B7478)=7,1,0))))))</f>
        <v>2</v>
      </c>
    </row>
    <row r="7479" spans="2:22">
      <c r="B7479" s="318">
        <f t="shared" si="467"/>
        <v>46424</v>
      </c>
      <c r="C7479" s="312">
        <v>11</v>
      </c>
      <c r="D7479" s="368">
        <f>IFERROR((INDEX(METADATA!$T$2:$T$20,MATCH(B7479,METADATA!$S$2:$S$20,0))),0)</f>
        <v>0</v>
      </c>
      <c r="E7479" s="312" t="str">
        <f t="shared" si="464"/>
        <v>LO</v>
      </c>
      <c r="F7479" s="369">
        <f>VLOOKUP(C7479,METADATA!$A$5:$H$29,IF(E7479="HI",2,IF(E7479="LO",6,10))+IF(D7479=1,2,IF(D7479=7,1,(IF(WEEKDAY(B7479)=1,2,IF(WEEKDAY(B7479)=7,1,0))))))</f>
        <v>2</v>
      </c>
      <c r="G7479" s="369">
        <f>VLOOKUP(C7479,METADATA!$J$5:$Q$29,IF(E7479="HI",2,IF(E7479="LO",6,10))+IF(D7479=1,2,IF(D7479=7,1,(IF(WEEKDAY(B7479)=1,2,IF(WEEKDAY(B7479)=7,1,0))))))</f>
        <v>2</v>
      </c>
      <c r="H7479" s="370">
        <v>12769.599914550781</v>
      </c>
      <c r="I7479" s="370">
        <v>9553.824951171875</v>
      </c>
      <c r="M7479" s="371">
        <f t="shared" si="465"/>
        <v>15947.985865786613</v>
      </c>
      <c r="N7479" s="329">
        <f t="shared" si="466"/>
        <v>5722.9449768066406</v>
      </c>
      <c r="T7479" s="331">
        <v>0</v>
      </c>
      <c r="U7479" s="328">
        <f>VLOOKUP(C7479,METADATA!$J$5:$Q$29,IF(E7479="HI",2,IF(E7479="LO",6,10))+IF(T7479=1,2,IF(D7479=7,1,(IF(WEEKDAY(B7479)=1,2,IF(WEEKDAY(B7479)=7,1,0))))))</f>
        <v>2</v>
      </c>
      <c r="V7479" s="328">
        <f>VLOOKUP(C7479,METADATA!$A$5:$H$29,IF(E7479="HI",2,IF(E7479="LO",6,10))+IF(T7479=1,2,IF(D7479=7,1,(IF(WEEKDAY(B7479)=1,2,IF(WEEKDAY(B7479)=7,1,0))))))</f>
        <v>2</v>
      </c>
    </row>
    <row r="7480" spans="2:22">
      <c r="B7480" s="318">
        <f t="shared" si="467"/>
        <v>46424</v>
      </c>
      <c r="C7480" s="312">
        <v>12</v>
      </c>
      <c r="D7480" s="368">
        <f>IFERROR((INDEX(METADATA!$T$2:$T$20,MATCH(B7480,METADATA!$S$2:$S$20,0))),0)</f>
        <v>0</v>
      </c>
      <c r="E7480" s="312" t="str">
        <f t="shared" si="464"/>
        <v>LO</v>
      </c>
      <c r="F7480" s="369">
        <f>VLOOKUP(C7480,METADATA!$A$5:$H$29,IF(E7480="HI",2,IF(E7480="LO",6,10))+IF(D7480=1,2,IF(D7480=7,1,(IF(WEEKDAY(B7480)=1,2,IF(WEEKDAY(B7480)=7,1,0))))))</f>
        <v>3</v>
      </c>
      <c r="G7480" s="369">
        <f>VLOOKUP(C7480,METADATA!$J$5:$Q$29,IF(E7480="HI",2,IF(E7480="LO",6,10))+IF(D7480=1,2,IF(D7480=7,1,(IF(WEEKDAY(B7480)=1,2,IF(WEEKDAY(B7480)=7,1,0))))))</f>
        <v>3</v>
      </c>
      <c r="H7480" s="370">
        <v>12726.900085449219</v>
      </c>
      <c r="I7480" s="370">
        <v>9478.7249755859375</v>
      </c>
      <c r="M7480" s="371">
        <f t="shared" si="465"/>
        <v>15868.844096146511</v>
      </c>
      <c r="N7480" s="329">
        <f t="shared" si="466"/>
        <v>5660.6549499511721</v>
      </c>
      <c r="T7480" s="331">
        <v>0</v>
      </c>
      <c r="U7480" s="328">
        <f>VLOOKUP(C7480,METADATA!$J$5:$Q$29,IF(E7480="HI",2,IF(E7480="LO",6,10))+IF(T7480=1,2,IF(D7480=7,1,(IF(WEEKDAY(B7480)=1,2,IF(WEEKDAY(B7480)=7,1,0))))))</f>
        <v>3</v>
      </c>
      <c r="V7480" s="328">
        <f>VLOOKUP(C7480,METADATA!$A$5:$H$29,IF(E7480="HI",2,IF(E7480="LO",6,10))+IF(T7480=1,2,IF(D7480=7,1,(IF(WEEKDAY(B7480)=1,2,IF(WEEKDAY(B7480)=7,1,0))))))</f>
        <v>3</v>
      </c>
    </row>
    <row r="7481" spans="2:22">
      <c r="B7481" s="318">
        <f t="shared" si="467"/>
        <v>46424</v>
      </c>
      <c r="C7481" s="312">
        <v>13</v>
      </c>
      <c r="D7481" s="368">
        <f>IFERROR((INDEX(METADATA!$T$2:$T$20,MATCH(B7481,METADATA!$S$2:$S$20,0))),0)</f>
        <v>0</v>
      </c>
      <c r="E7481" s="312" t="str">
        <f t="shared" si="464"/>
        <v>LO</v>
      </c>
      <c r="F7481" s="369">
        <f>VLOOKUP(C7481,METADATA!$A$5:$H$29,IF(E7481="HI",2,IF(E7481="LO",6,10))+IF(D7481=1,2,IF(D7481=7,1,(IF(WEEKDAY(B7481)=1,2,IF(WEEKDAY(B7481)=7,1,0))))))</f>
        <v>3</v>
      </c>
      <c r="G7481" s="369">
        <f>VLOOKUP(C7481,METADATA!$J$5:$Q$29,IF(E7481="HI",2,IF(E7481="LO",6,10))+IF(D7481=1,2,IF(D7481=7,1,(IF(WEEKDAY(B7481)=1,2,IF(WEEKDAY(B7481)=7,1,0))))))</f>
        <v>3</v>
      </c>
      <c r="H7481" s="370">
        <v>12831.27490234375</v>
      </c>
      <c r="I7481" s="370">
        <v>9586.4502563476563</v>
      </c>
      <c r="M7481" s="371">
        <f t="shared" si="465"/>
        <v>16016.917435541231</v>
      </c>
      <c r="N7481" s="329">
        <f t="shared" si="466"/>
        <v>5737.0677856445309</v>
      </c>
      <c r="T7481" s="331">
        <v>0</v>
      </c>
      <c r="U7481" s="328">
        <f>VLOOKUP(C7481,METADATA!$J$5:$Q$29,IF(E7481="HI",2,IF(E7481="LO",6,10))+IF(T7481=1,2,IF(D7481=7,1,(IF(WEEKDAY(B7481)=1,2,IF(WEEKDAY(B7481)=7,1,0))))))</f>
        <v>3</v>
      </c>
      <c r="V7481" s="328">
        <f>VLOOKUP(C7481,METADATA!$A$5:$H$29,IF(E7481="HI",2,IF(E7481="LO",6,10))+IF(T7481=1,2,IF(D7481=7,1,(IF(WEEKDAY(B7481)=1,2,IF(WEEKDAY(B7481)=7,1,0))))))</f>
        <v>3</v>
      </c>
    </row>
    <row r="7482" spans="2:22">
      <c r="B7482" s="318">
        <f t="shared" si="467"/>
        <v>46424</v>
      </c>
      <c r="C7482" s="312">
        <v>14</v>
      </c>
      <c r="D7482" s="368">
        <f>IFERROR((INDEX(METADATA!$T$2:$T$20,MATCH(B7482,METADATA!$S$2:$S$20,0))),0)</f>
        <v>0</v>
      </c>
      <c r="E7482" s="312" t="str">
        <f t="shared" si="464"/>
        <v>LO</v>
      </c>
      <c r="F7482" s="369">
        <f>VLOOKUP(C7482,METADATA!$A$5:$H$29,IF(E7482="HI",2,IF(E7482="LO",6,10))+IF(D7482=1,2,IF(D7482=7,1,(IF(WEEKDAY(B7482)=1,2,IF(WEEKDAY(B7482)=7,1,0))))))</f>
        <v>3</v>
      </c>
      <c r="G7482" s="369">
        <f>VLOOKUP(C7482,METADATA!$J$5:$Q$29,IF(E7482="HI",2,IF(E7482="LO",6,10))+IF(D7482=1,2,IF(D7482=7,1,(IF(WEEKDAY(B7482)=1,2,IF(WEEKDAY(B7482)=7,1,0))))))</f>
        <v>3</v>
      </c>
      <c r="H7482" s="370">
        <v>12890.549926757813</v>
      </c>
      <c r="I7482" s="370">
        <v>9778.8499755859375</v>
      </c>
      <c r="M7482" s="371">
        <f t="shared" si="465"/>
        <v>16179.993333102857</v>
      </c>
      <c r="N7482" s="329">
        <f t="shared" si="466"/>
        <v>5911.6849975585938</v>
      </c>
      <c r="T7482" s="331">
        <v>0</v>
      </c>
      <c r="U7482" s="328">
        <f>VLOOKUP(C7482,METADATA!$J$5:$Q$29,IF(E7482="HI",2,IF(E7482="LO",6,10))+IF(T7482=1,2,IF(D7482=7,1,(IF(WEEKDAY(B7482)=1,2,IF(WEEKDAY(B7482)=7,1,0))))))</f>
        <v>3</v>
      </c>
      <c r="V7482" s="328">
        <f>VLOOKUP(C7482,METADATA!$A$5:$H$29,IF(E7482="HI",2,IF(E7482="LO",6,10))+IF(T7482=1,2,IF(D7482=7,1,(IF(WEEKDAY(B7482)=1,2,IF(WEEKDAY(B7482)=7,1,0))))))</f>
        <v>3</v>
      </c>
    </row>
    <row r="7483" spans="2:22">
      <c r="B7483" s="318">
        <f t="shared" si="467"/>
        <v>46424</v>
      </c>
      <c r="C7483" s="312">
        <v>15</v>
      </c>
      <c r="D7483" s="368">
        <f>IFERROR((INDEX(METADATA!$T$2:$T$20,MATCH(B7483,METADATA!$S$2:$S$20,0))),0)</f>
        <v>0</v>
      </c>
      <c r="E7483" s="312" t="str">
        <f t="shared" si="464"/>
        <v>LO</v>
      </c>
      <c r="F7483" s="369">
        <f>VLOOKUP(C7483,METADATA!$A$5:$H$29,IF(E7483="HI",2,IF(E7483="LO",6,10))+IF(D7483=1,2,IF(D7483=7,1,(IF(WEEKDAY(B7483)=1,2,IF(WEEKDAY(B7483)=7,1,0))))))</f>
        <v>3</v>
      </c>
      <c r="G7483" s="369">
        <f>VLOOKUP(C7483,METADATA!$J$5:$Q$29,IF(E7483="HI",2,IF(E7483="LO",6,10))+IF(D7483=1,2,IF(D7483=7,1,(IF(WEEKDAY(B7483)=1,2,IF(WEEKDAY(B7483)=7,1,0))))))</f>
        <v>3</v>
      </c>
      <c r="H7483" s="370">
        <v>12809.10009765625</v>
      </c>
      <c r="I7483" s="370">
        <v>9706.4002075195313</v>
      </c>
      <c r="M7483" s="371">
        <f t="shared" si="465"/>
        <v>16071.317628007746</v>
      </c>
      <c r="N7483" s="329">
        <f t="shared" si="466"/>
        <v>5863.6701782226564</v>
      </c>
      <c r="T7483" s="331">
        <v>0</v>
      </c>
      <c r="U7483" s="328">
        <f>VLOOKUP(C7483,METADATA!$J$5:$Q$29,IF(E7483="HI",2,IF(E7483="LO",6,10))+IF(T7483=1,2,IF(D7483=7,1,(IF(WEEKDAY(B7483)=1,2,IF(WEEKDAY(B7483)=7,1,0))))))</f>
        <v>3</v>
      </c>
      <c r="V7483" s="328">
        <f>VLOOKUP(C7483,METADATA!$A$5:$H$29,IF(E7483="HI",2,IF(E7483="LO",6,10))+IF(T7483=1,2,IF(D7483=7,1,(IF(WEEKDAY(B7483)=1,2,IF(WEEKDAY(B7483)=7,1,0))))))</f>
        <v>3</v>
      </c>
    </row>
    <row r="7484" spans="2:22">
      <c r="B7484" s="318">
        <f t="shared" si="467"/>
        <v>46424</v>
      </c>
      <c r="C7484" s="312">
        <v>16</v>
      </c>
      <c r="D7484" s="368">
        <f>IFERROR((INDEX(METADATA!$T$2:$T$20,MATCH(B7484,METADATA!$S$2:$S$20,0))),0)</f>
        <v>0</v>
      </c>
      <c r="E7484" s="312" t="str">
        <f t="shared" si="464"/>
        <v>LO</v>
      </c>
      <c r="F7484" s="369">
        <f>VLOOKUP(C7484,METADATA!$A$5:$H$29,IF(E7484="HI",2,IF(E7484="LO",6,10))+IF(D7484=1,2,IF(D7484=7,1,(IF(WEEKDAY(B7484)=1,2,IF(WEEKDAY(B7484)=7,1,0))))))</f>
        <v>3</v>
      </c>
      <c r="G7484" s="369">
        <f>VLOOKUP(C7484,METADATA!$J$5:$Q$29,IF(E7484="HI",2,IF(E7484="LO",6,10))+IF(D7484=1,2,IF(D7484=7,1,(IF(WEEKDAY(B7484)=1,2,IF(WEEKDAY(B7484)=7,1,0))))))</f>
        <v>3</v>
      </c>
      <c r="H7484" s="370">
        <v>12802.224609375</v>
      </c>
      <c r="I7484" s="370">
        <v>9664.425048828125</v>
      </c>
      <c r="M7484" s="371">
        <f t="shared" si="465"/>
        <v>16040.513285842924</v>
      </c>
      <c r="N7484" s="329">
        <f t="shared" si="466"/>
        <v>5823.7576660156246</v>
      </c>
      <c r="T7484" s="331">
        <v>0</v>
      </c>
      <c r="U7484" s="328">
        <f>VLOOKUP(C7484,METADATA!$J$5:$Q$29,IF(E7484="HI",2,IF(E7484="LO",6,10))+IF(T7484=1,2,IF(D7484=7,1,(IF(WEEKDAY(B7484)=1,2,IF(WEEKDAY(B7484)=7,1,0))))))</f>
        <v>3</v>
      </c>
      <c r="V7484" s="328">
        <f>VLOOKUP(C7484,METADATA!$A$5:$H$29,IF(E7484="HI",2,IF(E7484="LO",6,10))+IF(T7484=1,2,IF(D7484=7,1,(IF(WEEKDAY(B7484)=1,2,IF(WEEKDAY(B7484)=7,1,0))))))</f>
        <v>3</v>
      </c>
    </row>
    <row r="7485" spans="2:22">
      <c r="B7485" s="318">
        <f t="shared" si="467"/>
        <v>46424</v>
      </c>
      <c r="C7485" s="312">
        <v>17</v>
      </c>
      <c r="D7485" s="368">
        <f>IFERROR((INDEX(METADATA!$T$2:$T$20,MATCH(B7485,METADATA!$S$2:$S$20,0))),0)</f>
        <v>0</v>
      </c>
      <c r="E7485" s="312" t="str">
        <f t="shared" si="464"/>
        <v>LO</v>
      </c>
      <c r="F7485" s="369">
        <f>VLOOKUP(C7485,METADATA!$A$5:$H$29,IF(E7485="HI",2,IF(E7485="LO",6,10))+IF(D7485=1,2,IF(D7485=7,1,(IF(WEEKDAY(B7485)=1,2,IF(WEEKDAY(B7485)=7,1,0))))))</f>
        <v>3</v>
      </c>
      <c r="G7485" s="369">
        <f>VLOOKUP(C7485,METADATA!$J$5:$Q$29,IF(E7485="HI",2,IF(E7485="LO",6,10))+IF(D7485=1,2,IF(D7485=7,1,(IF(WEEKDAY(B7485)=1,2,IF(WEEKDAY(B7485)=7,1,0))))))</f>
        <v>3</v>
      </c>
      <c r="H7485" s="370">
        <v>12813.300415039063</v>
      </c>
      <c r="I7485" s="370">
        <v>9710.375</v>
      </c>
      <c r="M7485" s="371">
        <f t="shared" si="465"/>
        <v>16077.065968847213</v>
      </c>
      <c r="N7485" s="329">
        <f t="shared" si="466"/>
        <v>5866.384875488282</v>
      </c>
      <c r="T7485" s="331">
        <v>0</v>
      </c>
      <c r="U7485" s="328">
        <f>VLOOKUP(C7485,METADATA!$J$5:$Q$29,IF(E7485="HI",2,IF(E7485="LO",6,10))+IF(T7485=1,2,IF(D7485=7,1,(IF(WEEKDAY(B7485)=1,2,IF(WEEKDAY(B7485)=7,1,0))))))</f>
        <v>3</v>
      </c>
      <c r="V7485" s="328">
        <f>VLOOKUP(C7485,METADATA!$A$5:$H$29,IF(E7485="HI",2,IF(E7485="LO",6,10))+IF(T7485=1,2,IF(D7485=7,1,(IF(WEEKDAY(B7485)=1,2,IF(WEEKDAY(B7485)=7,1,0))))))</f>
        <v>3</v>
      </c>
    </row>
    <row r="7486" spans="2:22">
      <c r="B7486" s="318">
        <f t="shared" si="467"/>
        <v>46424</v>
      </c>
      <c r="C7486" s="312">
        <v>18</v>
      </c>
      <c r="D7486" s="368">
        <f>IFERROR((INDEX(METADATA!$T$2:$T$20,MATCH(B7486,METADATA!$S$2:$S$20,0))),0)</f>
        <v>0</v>
      </c>
      <c r="E7486" s="312" t="str">
        <f t="shared" si="464"/>
        <v>LO</v>
      </c>
      <c r="F7486" s="369">
        <f>VLOOKUP(C7486,METADATA!$A$5:$H$29,IF(E7486="HI",2,IF(E7486="LO",6,10))+IF(D7486=1,2,IF(D7486=7,1,(IF(WEEKDAY(B7486)=1,2,IF(WEEKDAY(B7486)=7,1,0))))))</f>
        <v>2</v>
      </c>
      <c r="G7486" s="369">
        <f>VLOOKUP(C7486,METADATA!$J$5:$Q$29,IF(E7486="HI",2,IF(E7486="LO",6,10))+IF(D7486=1,2,IF(D7486=7,1,(IF(WEEKDAY(B7486)=1,2,IF(WEEKDAY(B7486)=7,1,0))))))</f>
        <v>2</v>
      </c>
      <c r="H7486" s="370">
        <v>12800.150146484375</v>
      </c>
      <c r="I7486" s="370">
        <v>9703.6500244140625</v>
      </c>
      <c r="M7486" s="371">
        <f t="shared" si="465"/>
        <v>16062.523698623918</v>
      </c>
      <c r="N7486" s="329">
        <f t="shared" si="466"/>
        <v>5863.60498046875</v>
      </c>
      <c r="T7486" s="331">
        <v>0</v>
      </c>
      <c r="U7486" s="328">
        <f>VLOOKUP(C7486,METADATA!$J$5:$Q$29,IF(E7486="HI",2,IF(E7486="LO",6,10))+IF(T7486=1,2,IF(D7486=7,1,(IF(WEEKDAY(B7486)=1,2,IF(WEEKDAY(B7486)=7,1,0))))))</f>
        <v>2</v>
      </c>
      <c r="V7486" s="328">
        <f>VLOOKUP(C7486,METADATA!$A$5:$H$29,IF(E7486="HI",2,IF(E7486="LO",6,10))+IF(T7486=1,2,IF(D7486=7,1,(IF(WEEKDAY(B7486)=1,2,IF(WEEKDAY(B7486)=7,1,0))))))</f>
        <v>2</v>
      </c>
    </row>
    <row r="7487" spans="2:22">
      <c r="B7487" s="318">
        <f t="shared" si="467"/>
        <v>46424</v>
      </c>
      <c r="C7487" s="312">
        <v>19</v>
      </c>
      <c r="D7487" s="368">
        <f>IFERROR((INDEX(METADATA!$T$2:$T$20,MATCH(B7487,METADATA!$S$2:$S$20,0))),0)</f>
        <v>0</v>
      </c>
      <c r="E7487" s="312" t="str">
        <f t="shared" si="464"/>
        <v>LO</v>
      </c>
      <c r="F7487" s="369">
        <f>VLOOKUP(C7487,METADATA!$A$5:$H$29,IF(E7487="HI",2,IF(E7487="LO",6,10))+IF(D7487=1,2,IF(D7487=7,1,(IF(WEEKDAY(B7487)=1,2,IF(WEEKDAY(B7487)=7,1,0))))))</f>
        <v>2</v>
      </c>
      <c r="G7487" s="369">
        <f>VLOOKUP(C7487,METADATA!$J$5:$Q$29,IF(E7487="HI",2,IF(E7487="LO",6,10))+IF(D7487=1,2,IF(D7487=7,1,(IF(WEEKDAY(B7487)=1,2,IF(WEEKDAY(B7487)=7,1,0))))))</f>
        <v>2</v>
      </c>
      <c r="H7487" s="370">
        <v>12752.19970703125</v>
      </c>
      <c r="I7487" s="370">
        <v>9591.9749145507813</v>
      </c>
      <c r="M7487" s="371">
        <f t="shared" si="465"/>
        <v>15956.9602408911</v>
      </c>
      <c r="N7487" s="329">
        <f t="shared" si="466"/>
        <v>5766.3150024414063</v>
      </c>
      <c r="T7487" s="331">
        <v>0</v>
      </c>
      <c r="U7487" s="328">
        <f>VLOOKUP(C7487,METADATA!$J$5:$Q$29,IF(E7487="HI",2,IF(E7487="LO",6,10))+IF(T7487=1,2,IF(D7487=7,1,(IF(WEEKDAY(B7487)=1,2,IF(WEEKDAY(B7487)=7,1,0))))))</f>
        <v>2</v>
      </c>
      <c r="V7487" s="328">
        <f>VLOOKUP(C7487,METADATA!$A$5:$H$29,IF(E7487="HI",2,IF(E7487="LO",6,10))+IF(T7487=1,2,IF(D7487=7,1,(IF(WEEKDAY(B7487)=1,2,IF(WEEKDAY(B7487)=7,1,0))))))</f>
        <v>2</v>
      </c>
    </row>
    <row r="7488" spans="2:22">
      <c r="B7488" s="318">
        <f t="shared" si="467"/>
        <v>46424</v>
      </c>
      <c r="C7488" s="312">
        <v>20</v>
      </c>
      <c r="D7488" s="368">
        <f>IFERROR((INDEX(METADATA!$T$2:$T$20,MATCH(B7488,METADATA!$S$2:$S$20,0))),0)</f>
        <v>0</v>
      </c>
      <c r="E7488" s="312" t="str">
        <f t="shared" si="464"/>
        <v>LO</v>
      </c>
      <c r="F7488" s="369">
        <f>VLOOKUP(C7488,METADATA!$A$5:$H$29,IF(E7488="HI",2,IF(E7488="LO",6,10))+IF(D7488=1,2,IF(D7488=7,1,(IF(WEEKDAY(B7488)=1,2,IF(WEEKDAY(B7488)=7,1,0))))))</f>
        <v>3</v>
      </c>
      <c r="G7488" s="369">
        <f>VLOOKUP(C7488,METADATA!$J$5:$Q$29,IF(E7488="HI",2,IF(E7488="LO",6,10))+IF(D7488=1,2,IF(D7488=7,1,(IF(WEEKDAY(B7488)=1,2,IF(WEEKDAY(B7488)=7,1,0))))))</f>
        <v>3</v>
      </c>
      <c r="H7488" s="370">
        <v>12911.749694824219</v>
      </c>
      <c r="I7488" s="370">
        <v>9773.7750244140625</v>
      </c>
      <c r="M7488" s="371">
        <f t="shared" si="465"/>
        <v>16193.824699855604</v>
      </c>
      <c r="N7488" s="329">
        <f t="shared" si="466"/>
        <v>5900.2501159667972</v>
      </c>
      <c r="T7488" s="331">
        <v>0</v>
      </c>
      <c r="U7488" s="328">
        <f>VLOOKUP(C7488,METADATA!$J$5:$Q$29,IF(E7488="HI",2,IF(E7488="LO",6,10))+IF(T7488=1,2,IF(D7488=7,1,(IF(WEEKDAY(B7488)=1,2,IF(WEEKDAY(B7488)=7,1,0))))))</f>
        <v>3</v>
      </c>
      <c r="V7488" s="328">
        <f>VLOOKUP(C7488,METADATA!$A$5:$H$29,IF(E7488="HI",2,IF(E7488="LO",6,10))+IF(T7488=1,2,IF(D7488=7,1,(IF(WEEKDAY(B7488)=1,2,IF(WEEKDAY(B7488)=7,1,0))))))</f>
        <v>3</v>
      </c>
    </row>
    <row r="7489" spans="2:22">
      <c r="B7489" s="318">
        <f t="shared" si="467"/>
        <v>46424</v>
      </c>
      <c r="C7489" s="312">
        <v>21</v>
      </c>
      <c r="D7489" s="368">
        <f>IFERROR((INDEX(METADATA!$T$2:$T$20,MATCH(B7489,METADATA!$S$2:$S$20,0))),0)</f>
        <v>0</v>
      </c>
      <c r="E7489" s="312" t="str">
        <f t="shared" si="464"/>
        <v>LO</v>
      </c>
      <c r="F7489" s="369">
        <f>VLOOKUP(C7489,METADATA!$A$5:$H$29,IF(E7489="HI",2,IF(E7489="LO",6,10))+IF(D7489=1,2,IF(D7489=7,1,(IF(WEEKDAY(B7489)=1,2,IF(WEEKDAY(B7489)=7,1,0))))))</f>
        <v>3</v>
      </c>
      <c r="G7489" s="369">
        <f>VLOOKUP(C7489,METADATA!$J$5:$Q$29,IF(E7489="HI",2,IF(E7489="LO",6,10))+IF(D7489=1,2,IF(D7489=7,1,(IF(WEEKDAY(B7489)=1,2,IF(WEEKDAY(B7489)=7,1,0))))))</f>
        <v>3</v>
      </c>
      <c r="H7489" s="370">
        <v>12745.599975585938</v>
      </c>
      <c r="I7489" s="370">
        <v>9684.8750610351563</v>
      </c>
      <c r="M7489" s="371">
        <f t="shared" si="465"/>
        <v>16007.720752359373</v>
      </c>
      <c r="N7489" s="329">
        <f t="shared" si="466"/>
        <v>5861.195068359375</v>
      </c>
      <c r="T7489" s="331">
        <v>0</v>
      </c>
      <c r="U7489" s="328">
        <f>VLOOKUP(C7489,METADATA!$J$5:$Q$29,IF(E7489="HI",2,IF(E7489="LO",6,10))+IF(T7489=1,2,IF(D7489=7,1,(IF(WEEKDAY(B7489)=1,2,IF(WEEKDAY(B7489)=7,1,0))))))</f>
        <v>3</v>
      </c>
      <c r="V7489" s="328">
        <f>VLOOKUP(C7489,METADATA!$A$5:$H$29,IF(E7489="HI",2,IF(E7489="LO",6,10))+IF(T7489=1,2,IF(D7489=7,1,(IF(WEEKDAY(B7489)=1,2,IF(WEEKDAY(B7489)=7,1,0))))))</f>
        <v>3</v>
      </c>
    </row>
    <row r="7490" spans="2:22">
      <c r="B7490" s="318">
        <f t="shared" si="467"/>
        <v>46424</v>
      </c>
      <c r="C7490" s="312">
        <v>22</v>
      </c>
      <c r="D7490" s="368">
        <f>IFERROR((INDEX(METADATA!$T$2:$T$20,MATCH(B7490,METADATA!$S$2:$S$20,0))),0)</f>
        <v>0</v>
      </c>
      <c r="E7490" s="312" t="str">
        <f t="shared" si="464"/>
        <v>LO</v>
      </c>
      <c r="F7490" s="369">
        <f>VLOOKUP(C7490,METADATA!$A$5:$H$29,IF(E7490="HI",2,IF(E7490="LO",6,10))+IF(D7490=1,2,IF(D7490=7,1,(IF(WEEKDAY(B7490)=1,2,IF(WEEKDAY(B7490)=7,1,0))))))</f>
        <v>3</v>
      </c>
      <c r="G7490" s="369">
        <f>VLOOKUP(C7490,METADATA!$J$5:$Q$29,IF(E7490="HI",2,IF(E7490="LO",6,10))+IF(D7490=1,2,IF(D7490=7,1,(IF(WEEKDAY(B7490)=1,2,IF(WEEKDAY(B7490)=7,1,0))))))</f>
        <v>3</v>
      </c>
      <c r="H7490" s="370">
        <v>12811.374816894531</v>
      </c>
      <c r="I7490" s="370">
        <v>9725.5750732421875</v>
      </c>
      <c r="M7490" s="371">
        <f t="shared" si="465"/>
        <v>16084.717442474057</v>
      </c>
      <c r="N7490" s="329">
        <f t="shared" si="466"/>
        <v>5882.1626281738281</v>
      </c>
      <c r="T7490" s="331">
        <v>0</v>
      </c>
      <c r="U7490" s="328">
        <f>VLOOKUP(C7490,METADATA!$J$5:$Q$29,IF(E7490="HI",2,IF(E7490="LO",6,10))+IF(T7490=1,2,IF(D7490=7,1,(IF(WEEKDAY(B7490)=1,2,IF(WEEKDAY(B7490)=7,1,0))))))</f>
        <v>3</v>
      </c>
      <c r="V7490" s="328">
        <f>VLOOKUP(C7490,METADATA!$A$5:$H$29,IF(E7490="HI",2,IF(E7490="LO",6,10))+IF(T7490=1,2,IF(D7490=7,1,(IF(WEEKDAY(B7490)=1,2,IF(WEEKDAY(B7490)=7,1,0))))))</f>
        <v>3</v>
      </c>
    </row>
    <row r="7491" spans="2:22">
      <c r="B7491" s="318">
        <f t="shared" si="467"/>
        <v>46424</v>
      </c>
      <c r="C7491" s="312">
        <v>23</v>
      </c>
      <c r="D7491" s="368">
        <f>IFERROR((INDEX(METADATA!$T$2:$T$20,MATCH(B7491,METADATA!$S$2:$S$20,0))),0)</f>
        <v>0</v>
      </c>
      <c r="E7491" s="312" t="str">
        <f t="shared" si="464"/>
        <v>LO</v>
      </c>
      <c r="F7491" s="369">
        <f>VLOOKUP(C7491,METADATA!$A$5:$H$29,IF(E7491="HI",2,IF(E7491="LO",6,10))+IF(D7491=1,2,IF(D7491=7,1,(IF(WEEKDAY(B7491)=1,2,IF(WEEKDAY(B7491)=7,1,0))))))</f>
        <v>3</v>
      </c>
      <c r="G7491" s="369">
        <f>VLOOKUP(C7491,METADATA!$J$5:$Q$29,IF(E7491="HI",2,IF(E7491="LO",6,10))+IF(D7491=1,2,IF(D7491=7,1,(IF(WEEKDAY(B7491)=1,2,IF(WEEKDAY(B7491)=7,1,0))))))</f>
        <v>3</v>
      </c>
      <c r="H7491" s="370">
        <v>12746.89990234375</v>
      </c>
      <c r="I7491" s="370">
        <v>9760.4249267578125</v>
      </c>
      <c r="M7491" s="371">
        <f t="shared" si="465"/>
        <v>16054.574172840783</v>
      </c>
      <c r="N7491" s="329">
        <f t="shared" si="466"/>
        <v>5936.3549560546871</v>
      </c>
      <c r="T7491" s="331">
        <v>0</v>
      </c>
      <c r="U7491" s="328">
        <f>VLOOKUP(C7491,METADATA!$J$5:$Q$29,IF(E7491="HI",2,IF(E7491="LO",6,10))+IF(T7491=1,2,IF(D7491=7,1,(IF(WEEKDAY(B7491)=1,2,IF(WEEKDAY(B7491)=7,1,0))))))</f>
        <v>3</v>
      </c>
      <c r="V7491" s="328">
        <f>VLOOKUP(C7491,METADATA!$A$5:$H$29,IF(E7491="HI",2,IF(E7491="LO",6,10))+IF(T7491=1,2,IF(D7491=7,1,(IF(WEEKDAY(B7491)=1,2,IF(WEEKDAY(B7491)=7,1,0))))))</f>
        <v>3</v>
      </c>
    </row>
    <row r="7492" spans="2:22">
      <c r="B7492" s="318">
        <f t="shared" si="467"/>
        <v>46425</v>
      </c>
      <c r="C7492" s="312">
        <v>0</v>
      </c>
      <c r="D7492" s="368">
        <f>IFERROR((INDEX(METADATA!$T$2:$T$20,MATCH(B7492,METADATA!$S$2:$S$20,0))),0)</f>
        <v>0</v>
      </c>
      <c r="E7492" s="312" t="str">
        <f t="shared" ref="E7492:E7555" si="468">IF(B7492="","",IF(AND(MONTH(B7492)&gt;=MONTH($Z$9),MONTH(B7492)&lt;=MONTH($Z$11)),"HI","LO"))</f>
        <v>LO</v>
      </c>
      <c r="F7492" s="369">
        <f>VLOOKUP(C7492,METADATA!$A$5:$H$29,IF(E7492="HI",2,IF(E7492="LO",6,10))+IF(D7492=1,2,IF(D7492=7,1,(IF(WEEKDAY(B7492)=1,2,IF(WEEKDAY(B7492)=7,1,0))))))</f>
        <v>3</v>
      </c>
      <c r="G7492" s="369">
        <f>VLOOKUP(C7492,METADATA!$J$5:$Q$29,IF(E7492="HI",2,IF(E7492="LO",6,10))+IF(D7492=1,2,IF(D7492=7,1,(IF(WEEKDAY(B7492)=1,2,IF(WEEKDAY(B7492)=7,1,0))))))</f>
        <v>3</v>
      </c>
      <c r="H7492" s="370">
        <v>12733.4248046875</v>
      </c>
      <c r="I7492" s="370">
        <v>9866.9750366210938</v>
      </c>
      <c r="M7492" s="371">
        <f t="shared" ref="M7492:M7555" si="469">SQRT(H7492^2+I7492^2)</f>
        <v>16108.920001972036</v>
      </c>
      <c r="N7492" s="329">
        <f t="shared" ref="N7492:N7555" si="470">IF(H7492=0,0,(IF(I7492-(0.3*H7492)&lt;0,0,(I7492-(0.3*H7492)))))</f>
        <v>6046.9475952148441</v>
      </c>
      <c r="T7492" s="331">
        <v>0</v>
      </c>
      <c r="U7492" s="328">
        <f>VLOOKUP(C7492,METADATA!$J$5:$Q$29,IF(E7492="HI",2,IF(E7492="LO",6,10))+IF(T7492=1,2,IF(D7492=7,1,(IF(WEEKDAY(B7492)=1,2,IF(WEEKDAY(B7492)=7,1,0))))))</f>
        <v>3</v>
      </c>
      <c r="V7492" s="328">
        <f>VLOOKUP(C7492,METADATA!$A$5:$H$29,IF(E7492="HI",2,IF(E7492="LO",6,10))+IF(T7492=1,2,IF(D7492=7,1,(IF(WEEKDAY(B7492)=1,2,IF(WEEKDAY(B7492)=7,1,0))))))</f>
        <v>3</v>
      </c>
    </row>
    <row r="7493" spans="2:22">
      <c r="B7493" s="318">
        <f t="shared" si="467"/>
        <v>46425</v>
      </c>
      <c r="C7493" s="312">
        <v>1</v>
      </c>
      <c r="D7493" s="368">
        <f>IFERROR((INDEX(METADATA!$T$2:$T$20,MATCH(B7493,METADATA!$S$2:$S$20,0))),0)</f>
        <v>0</v>
      </c>
      <c r="E7493" s="312" t="str">
        <f t="shared" si="468"/>
        <v>LO</v>
      </c>
      <c r="F7493" s="369">
        <f>VLOOKUP(C7493,METADATA!$A$5:$H$29,IF(E7493="HI",2,IF(E7493="LO",6,10))+IF(D7493=1,2,IF(D7493=7,1,(IF(WEEKDAY(B7493)=1,2,IF(WEEKDAY(B7493)=7,1,0))))))</f>
        <v>3</v>
      </c>
      <c r="G7493" s="369">
        <f>VLOOKUP(C7493,METADATA!$J$5:$Q$29,IF(E7493="HI",2,IF(E7493="LO",6,10))+IF(D7493=1,2,IF(D7493=7,1,(IF(WEEKDAY(B7493)=1,2,IF(WEEKDAY(B7493)=7,1,0))))))</f>
        <v>3</v>
      </c>
      <c r="H7493" s="370">
        <v>12711.344482421875</v>
      </c>
      <c r="I7493" s="370">
        <v>9896.6749267578125</v>
      </c>
      <c r="M7493" s="371">
        <f t="shared" si="469"/>
        <v>16109.70059177742</v>
      </c>
      <c r="N7493" s="329">
        <f t="shared" si="470"/>
        <v>6083.2715820312496</v>
      </c>
      <c r="T7493" s="331">
        <v>0</v>
      </c>
      <c r="U7493" s="328">
        <f>VLOOKUP(C7493,METADATA!$J$5:$Q$29,IF(E7493="HI",2,IF(E7493="LO",6,10))+IF(T7493=1,2,IF(D7493=7,1,(IF(WEEKDAY(B7493)=1,2,IF(WEEKDAY(B7493)=7,1,0))))))</f>
        <v>3</v>
      </c>
      <c r="V7493" s="328">
        <f>VLOOKUP(C7493,METADATA!$A$5:$H$29,IF(E7493="HI",2,IF(E7493="LO",6,10))+IF(T7493=1,2,IF(D7493=7,1,(IF(WEEKDAY(B7493)=1,2,IF(WEEKDAY(B7493)=7,1,0))))))</f>
        <v>3</v>
      </c>
    </row>
    <row r="7494" spans="2:22">
      <c r="B7494" s="318">
        <f t="shared" si="467"/>
        <v>46425</v>
      </c>
      <c r="C7494" s="312">
        <v>2</v>
      </c>
      <c r="D7494" s="368">
        <f>IFERROR((INDEX(METADATA!$T$2:$T$20,MATCH(B7494,METADATA!$S$2:$S$20,0))),0)</f>
        <v>0</v>
      </c>
      <c r="E7494" s="312" t="str">
        <f t="shared" si="468"/>
        <v>LO</v>
      </c>
      <c r="F7494" s="369">
        <f>VLOOKUP(C7494,METADATA!$A$5:$H$29,IF(E7494="HI",2,IF(E7494="LO",6,10))+IF(D7494=1,2,IF(D7494=7,1,(IF(WEEKDAY(B7494)=1,2,IF(WEEKDAY(B7494)=7,1,0))))))</f>
        <v>3</v>
      </c>
      <c r="G7494" s="369">
        <f>VLOOKUP(C7494,METADATA!$J$5:$Q$29,IF(E7494="HI",2,IF(E7494="LO",6,10))+IF(D7494=1,2,IF(D7494=7,1,(IF(WEEKDAY(B7494)=1,2,IF(WEEKDAY(B7494)=7,1,0))))))</f>
        <v>3</v>
      </c>
      <c r="H7494" s="370">
        <v>12699.925048828125</v>
      </c>
      <c r="I7494" s="370">
        <v>9901.4248657226563</v>
      </c>
      <c r="M7494" s="371">
        <f t="shared" si="469"/>
        <v>16103.611725864574</v>
      </c>
      <c r="N7494" s="329">
        <f t="shared" si="470"/>
        <v>6091.4473510742191</v>
      </c>
      <c r="T7494" s="331">
        <v>0</v>
      </c>
      <c r="U7494" s="328">
        <f>VLOOKUP(C7494,METADATA!$J$5:$Q$29,IF(E7494="HI",2,IF(E7494="LO",6,10))+IF(T7494=1,2,IF(D7494=7,1,(IF(WEEKDAY(B7494)=1,2,IF(WEEKDAY(B7494)=7,1,0))))))</f>
        <v>3</v>
      </c>
      <c r="V7494" s="328">
        <f>VLOOKUP(C7494,METADATA!$A$5:$H$29,IF(E7494="HI",2,IF(E7494="LO",6,10))+IF(T7494=1,2,IF(D7494=7,1,(IF(WEEKDAY(B7494)=1,2,IF(WEEKDAY(B7494)=7,1,0))))))</f>
        <v>3</v>
      </c>
    </row>
    <row r="7495" spans="2:22">
      <c r="B7495" s="318">
        <f t="shared" si="467"/>
        <v>46425</v>
      </c>
      <c r="C7495" s="312">
        <v>3</v>
      </c>
      <c r="D7495" s="368">
        <f>IFERROR((INDEX(METADATA!$T$2:$T$20,MATCH(B7495,METADATA!$S$2:$S$20,0))),0)</f>
        <v>0</v>
      </c>
      <c r="E7495" s="312" t="str">
        <f t="shared" si="468"/>
        <v>LO</v>
      </c>
      <c r="F7495" s="369">
        <f>VLOOKUP(C7495,METADATA!$A$5:$H$29,IF(E7495="HI",2,IF(E7495="LO",6,10))+IF(D7495=1,2,IF(D7495=7,1,(IF(WEEKDAY(B7495)=1,2,IF(WEEKDAY(B7495)=7,1,0))))))</f>
        <v>3</v>
      </c>
      <c r="G7495" s="369">
        <f>VLOOKUP(C7495,METADATA!$J$5:$Q$29,IF(E7495="HI",2,IF(E7495="LO",6,10))+IF(D7495=1,2,IF(D7495=7,1,(IF(WEEKDAY(B7495)=1,2,IF(WEEKDAY(B7495)=7,1,0))))))</f>
        <v>3</v>
      </c>
      <c r="H7495" s="370">
        <v>12738.874694824219</v>
      </c>
      <c r="I7495" s="370">
        <v>9879.9750366210938</v>
      </c>
      <c r="M7495" s="371">
        <f t="shared" si="469"/>
        <v>16121.19211518456</v>
      </c>
      <c r="N7495" s="329">
        <f t="shared" si="470"/>
        <v>6058.3126281738278</v>
      </c>
      <c r="T7495" s="331">
        <v>0</v>
      </c>
      <c r="U7495" s="328">
        <f>VLOOKUP(C7495,METADATA!$J$5:$Q$29,IF(E7495="HI",2,IF(E7495="LO",6,10))+IF(T7495=1,2,IF(D7495=7,1,(IF(WEEKDAY(B7495)=1,2,IF(WEEKDAY(B7495)=7,1,0))))))</f>
        <v>3</v>
      </c>
      <c r="V7495" s="328">
        <f>VLOOKUP(C7495,METADATA!$A$5:$H$29,IF(E7495="HI",2,IF(E7495="LO",6,10))+IF(T7495=1,2,IF(D7495=7,1,(IF(WEEKDAY(B7495)=1,2,IF(WEEKDAY(B7495)=7,1,0))))))</f>
        <v>3</v>
      </c>
    </row>
    <row r="7496" spans="2:22">
      <c r="B7496" s="318">
        <f t="shared" si="467"/>
        <v>46425</v>
      </c>
      <c r="C7496" s="312">
        <v>4</v>
      </c>
      <c r="D7496" s="368">
        <f>IFERROR((INDEX(METADATA!$T$2:$T$20,MATCH(B7496,METADATA!$S$2:$S$20,0))),0)</f>
        <v>0</v>
      </c>
      <c r="E7496" s="312" t="str">
        <f t="shared" si="468"/>
        <v>LO</v>
      </c>
      <c r="F7496" s="369">
        <f>VLOOKUP(C7496,METADATA!$A$5:$H$29,IF(E7496="HI",2,IF(E7496="LO",6,10))+IF(D7496=1,2,IF(D7496=7,1,(IF(WEEKDAY(B7496)=1,2,IF(WEEKDAY(B7496)=7,1,0))))))</f>
        <v>3</v>
      </c>
      <c r="G7496" s="369">
        <f>VLOOKUP(C7496,METADATA!$J$5:$Q$29,IF(E7496="HI",2,IF(E7496="LO",6,10))+IF(D7496=1,2,IF(D7496=7,1,(IF(WEEKDAY(B7496)=1,2,IF(WEEKDAY(B7496)=7,1,0))))))</f>
        <v>3</v>
      </c>
      <c r="H7496" s="370">
        <v>12764.499816894531</v>
      </c>
      <c r="I7496" s="370">
        <v>9805.5750122070313</v>
      </c>
      <c r="M7496" s="371">
        <f t="shared" si="469"/>
        <v>16096.016802163182</v>
      </c>
      <c r="N7496" s="329">
        <f t="shared" si="470"/>
        <v>5976.2250671386719</v>
      </c>
      <c r="T7496" s="331">
        <v>0</v>
      </c>
      <c r="U7496" s="328">
        <f>VLOOKUP(C7496,METADATA!$J$5:$Q$29,IF(E7496="HI",2,IF(E7496="LO",6,10))+IF(T7496=1,2,IF(D7496=7,1,(IF(WEEKDAY(B7496)=1,2,IF(WEEKDAY(B7496)=7,1,0))))))</f>
        <v>3</v>
      </c>
      <c r="V7496" s="328">
        <f>VLOOKUP(C7496,METADATA!$A$5:$H$29,IF(E7496="HI",2,IF(E7496="LO",6,10))+IF(T7496=1,2,IF(D7496=7,1,(IF(WEEKDAY(B7496)=1,2,IF(WEEKDAY(B7496)=7,1,0))))))</f>
        <v>3</v>
      </c>
    </row>
    <row r="7497" spans="2:22">
      <c r="B7497" s="318">
        <f t="shared" si="467"/>
        <v>46425</v>
      </c>
      <c r="C7497" s="312">
        <v>5</v>
      </c>
      <c r="D7497" s="368">
        <f>IFERROR((INDEX(METADATA!$T$2:$T$20,MATCH(B7497,METADATA!$S$2:$S$20,0))),0)</f>
        <v>0</v>
      </c>
      <c r="E7497" s="312" t="str">
        <f t="shared" si="468"/>
        <v>LO</v>
      </c>
      <c r="F7497" s="369">
        <f>VLOOKUP(C7497,METADATA!$A$5:$H$29,IF(E7497="HI",2,IF(E7497="LO",6,10))+IF(D7497=1,2,IF(D7497=7,1,(IF(WEEKDAY(B7497)=1,2,IF(WEEKDAY(B7497)=7,1,0))))))</f>
        <v>3</v>
      </c>
      <c r="G7497" s="369">
        <f>VLOOKUP(C7497,METADATA!$J$5:$Q$29,IF(E7497="HI",2,IF(E7497="LO",6,10))+IF(D7497=1,2,IF(D7497=7,1,(IF(WEEKDAY(B7497)=1,2,IF(WEEKDAY(B7497)=7,1,0))))))</f>
        <v>3</v>
      </c>
      <c r="H7497" s="370">
        <v>12712.14990234375</v>
      </c>
      <c r="I7497" s="370">
        <v>9652.5</v>
      </c>
      <c r="M7497" s="371">
        <f t="shared" si="469"/>
        <v>15961.500912810743</v>
      </c>
      <c r="N7497" s="329">
        <f t="shared" si="470"/>
        <v>5838.8550292968757</v>
      </c>
      <c r="T7497" s="331">
        <v>0</v>
      </c>
      <c r="U7497" s="328">
        <f>VLOOKUP(C7497,METADATA!$J$5:$Q$29,IF(E7497="HI",2,IF(E7497="LO",6,10))+IF(T7497=1,2,IF(D7497=7,1,(IF(WEEKDAY(B7497)=1,2,IF(WEEKDAY(B7497)=7,1,0))))))</f>
        <v>3</v>
      </c>
      <c r="V7497" s="328">
        <f>VLOOKUP(C7497,METADATA!$A$5:$H$29,IF(E7497="HI",2,IF(E7497="LO",6,10))+IF(T7497=1,2,IF(D7497=7,1,(IF(WEEKDAY(B7497)=1,2,IF(WEEKDAY(B7497)=7,1,0))))))</f>
        <v>3</v>
      </c>
    </row>
    <row r="7498" spans="2:22">
      <c r="B7498" s="318">
        <f t="shared" si="467"/>
        <v>46425</v>
      </c>
      <c r="C7498" s="312">
        <v>6</v>
      </c>
      <c r="D7498" s="368">
        <f>IFERROR((INDEX(METADATA!$T$2:$T$20,MATCH(B7498,METADATA!$S$2:$S$20,0))),0)</f>
        <v>0</v>
      </c>
      <c r="E7498" s="312" t="str">
        <f t="shared" si="468"/>
        <v>LO</v>
      </c>
      <c r="F7498" s="369">
        <f>VLOOKUP(C7498,METADATA!$A$5:$H$29,IF(E7498="HI",2,IF(E7498="LO",6,10))+IF(D7498=1,2,IF(D7498=7,1,(IF(WEEKDAY(B7498)=1,2,IF(WEEKDAY(B7498)=7,1,0))))))</f>
        <v>3</v>
      </c>
      <c r="G7498" s="369">
        <f>VLOOKUP(C7498,METADATA!$J$5:$Q$29,IF(E7498="HI",2,IF(E7498="LO",6,10))+IF(D7498=1,2,IF(D7498=7,1,(IF(WEEKDAY(B7498)=1,2,IF(WEEKDAY(B7498)=7,1,0))))))</f>
        <v>3</v>
      </c>
      <c r="H7498" s="370">
        <v>12685.67529296875</v>
      </c>
      <c r="I7498" s="370">
        <v>9549.625</v>
      </c>
      <c r="M7498" s="371">
        <f t="shared" si="469"/>
        <v>15878.340444746194</v>
      </c>
      <c r="N7498" s="329">
        <f t="shared" si="470"/>
        <v>5743.9224121093757</v>
      </c>
      <c r="T7498" s="331">
        <v>0</v>
      </c>
      <c r="U7498" s="328">
        <f>VLOOKUP(C7498,METADATA!$J$5:$Q$29,IF(E7498="HI",2,IF(E7498="LO",6,10))+IF(T7498=1,2,IF(D7498=7,1,(IF(WEEKDAY(B7498)=1,2,IF(WEEKDAY(B7498)=7,1,0))))))</f>
        <v>3</v>
      </c>
      <c r="V7498" s="328">
        <f>VLOOKUP(C7498,METADATA!$A$5:$H$29,IF(E7498="HI",2,IF(E7498="LO",6,10))+IF(T7498=1,2,IF(D7498=7,1,(IF(WEEKDAY(B7498)=1,2,IF(WEEKDAY(B7498)=7,1,0))))))</f>
        <v>3</v>
      </c>
    </row>
    <row r="7499" spans="2:22">
      <c r="B7499" s="318">
        <f t="shared" si="467"/>
        <v>46425</v>
      </c>
      <c r="C7499" s="312">
        <v>7</v>
      </c>
      <c r="D7499" s="368">
        <f>IFERROR((INDEX(METADATA!$T$2:$T$20,MATCH(B7499,METADATA!$S$2:$S$20,0))),0)</f>
        <v>0</v>
      </c>
      <c r="E7499" s="312" t="str">
        <f t="shared" si="468"/>
        <v>LO</v>
      </c>
      <c r="F7499" s="369">
        <f>VLOOKUP(C7499,METADATA!$A$5:$H$29,IF(E7499="HI",2,IF(E7499="LO",6,10))+IF(D7499=1,2,IF(D7499=7,1,(IF(WEEKDAY(B7499)=1,2,IF(WEEKDAY(B7499)=7,1,0))))))</f>
        <v>3</v>
      </c>
      <c r="G7499" s="369">
        <f>VLOOKUP(C7499,METADATA!$J$5:$Q$29,IF(E7499="HI",2,IF(E7499="LO",6,10))+IF(D7499=1,2,IF(D7499=7,1,(IF(WEEKDAY(B7499)=1,2,IF(WEEKDAY(B7499)=7,1,0))))))</f>
        <v>3</v>
      </c>
      <c r="H7499" s="370">
        <v>12669.574645996094</v>
      </c>
      <c r="I7499" s="370">
        <v>9535.6000366210938</v>
      </c>
      <c r="M7499" s="371">
        <f t="shared" si="469"/>
        <v>15857.042276820581</v>
      </c>
      <c r="N7499" s="329">
        <f t="shared" si="470"/>
        <v>5734.7276428222658</v>
      </c>
      <c r="T7499" s="331">
        <v>0</v>
      </c>
      <c r="U7499" s="328">
        <f>VLOOKUP(C7499,METADATA!$J$5:$Q$29,IF(E7499="HI",2,IF(E7499="LO",6,10))+IF(T7499=1,2,IF(D7499=7,1,(IF(WEEKDAY(B7499)=1,2,IF(WEEKDAY(B7499)=7,1,0))))))</f>
        <v>3</v>
      </c>
      <c r="V7499" s="328">
        <f>VLOOKUP(C7499,METADATA!$A$5:$H$29,IF(E7499="HI",2,IF(E7499="LO",6,10))+IF(T7499=1,2,IF(D7499=7,1,(IF(WEEKDAY(B7499)=1,2,IF(WEEKDAY(B7499)=7,1,0))))))</f>
        <v>3</v>
      </c>
    </row>
    <row r="7500" spans="2:22">
      <c r="B7500" s="318">
        <f t="shared" si="467"/>
        <v>46425</v>
      </c>
      <c r="C7500" s="312">
        <v>8</v>
      </c>
      <c r="D7500" s="368">
        <f>IFERROR((INDEX(METADATA!$T$2:$T$20,MATCH(B7500,METADATA!$S$2:$S$20,0))),0)</f>
        <v>0</v>
      </c>
      <c r="E7500" s="312" t="str">
        <f t="shared" si="468"/>
        <v>LO</v>
      </c>
      <c r="F7500" s="369">
        <f>VLOOKUP(C7500,METADATA!$A$5:$H$29,IF(E7500="HI",2,IF(E7500="LO",6,10))+IF(D7500=1,2,IF(D7500=7,1,(IF(WEEKDAY(B7500)=1,2,IF(WEEKDAY(B7500)=7,1,0))))))</f>
        <v>3</v>
      </c>
      <c r="G7500" s="369">
        <f>VLOOKUP(C7500,METADATA!$J$5:$Q$29,IF(E7500="HI",2,IF(E7500="LO",6,10))+IF(D7500=1,2,IF(D7500=7,1,(IF(WEEKDAY(B7500)=1,2,IF(WEEKDAY(B7500)=7,1,0))))))</f>
        <v>3</v>
      </c>
      <c r="H7500" s="370">
        <v>12741.924743652344</v>
      </c>
      <c r="I7500" s="370">
        <v>9465.3748779296875</v>
      </c>
      <c r="M7500" s="371">
        <f t="shared" si="469"/>
        <v>15872.931920494155</v>
      </c>
      <c r="N7500" s="329">
        <f t="shared" si="470"/>
        <v>5642.7974548339844</v>
      </c>
      <c r="T7500" s="331">
        <v>0</v>
      </c>
      <c r="U7500" s="328">
        <f>VLOOKUP(C7500,METADATA!$J$5:$Q$29,IF(E7500="HI",2,IF(E7500="LO",6,10))+IF(T7500=1,2,IF(D7500=7,1,(IF(WEEKDAY(B7500)=1,2,IF(WEEKDAY(B7500)=7,1,0))))))</f>
        <v>3</v>
      </c>
      <c r="V7500" s="328">
        <f>VLOOKUP(C7500,METADATA!$A$5:$H$29,IF(E7500="HI",2,IF(E7500="LO",6,10))+IF(T7500=1,2,IF(D7500=7,1,(IF(WEEKDAY(B7500)=1,2,IF(WEEKDAY(B7500)=7,1,0))))))</f>
        <v>3</v>
      </c>
    </row>
    <row r="7501" spans="2:22">
      <c r="B7501" s="318">
        <f t="shared" si="467"/>
        <v>46425</v>
      </c>
      <c r="C7501" s="312">
        <v>9</v>
      </c>
      <c r="D7501" s="368">
        <f>IFERROR((INDEX(METADATA!$T$2:$T$20,MATCH(B7501,METADATA!$S$2:$S$20,0))),0)</f>
        <v>0</v>
      </c>
      <c r="E7501" s="312" t="str">
        <f t="shared" si="468"/>
        <v>LO</v>
      </c>
      <c r="F7501" s="369">
        <f>VLOOKUP(C7501,METADATA!$A$5:$H$29,IF(E7501="HI",2,IF(E7501="LO",6,10))+IF(D7501=1,2,IF(D7501=7,1,(IF(WEEKDAY(B7501)=1,2,IF(WEEKDAY(B7501)=7,1,0))))))</f>
        <v>3</v>
      </c>
      <c r="G7501" s="369">
        <f>VLOOKUP(C7501,METADATA!$J$5:$Q$29,IF(E7501="HI",2,IF(E7501="LO",6,10))+IF(D7501=1,2,IF(D7501=7,1,(IF(WEEKDAY(B7501)=1,2,IF(WEEKDAY(B7501)=7,1,0))))))</f>
        <v>3</v>
      </c>
      <c r="H7501" s="370">
        <v>12928.700073242188</v>
      </c>
      <c r="I7501" s="370">
        <v>9721.3750610351563</v>
      </c>
      <c r="M7501" s="371">
        <f t="shared" si="469"/>
        <v>16175.797311451724</v>
      </c>
      <c r="N7501" s="329">
        <f t="shared" si="470"/>
        <v>5842.7650390625004</v>
      </c>
      <c r="T7501" s="331">
        <v>0</v>
      </c>
      <c r="U7501" s="328">
        <f>VLOOKUP(C7501,METADATA!$J$5:$Q$29,IF(E7501="HI",2,IF(E7501="LO",6,10))+IF(T7501=1,2,IF(D7501=7,1,(IF(WEEKDAY(B7501)=1,2,IF(WEEKDAY(B7501)=7,1,0))))))</f>
        <v>3</v>
      </c>
      <c r="V7501" s="328">
        <f>VLOOKUP(C7501,METADATA!$A$5:$H$29,IF(E7501="HI",2,IF(E7501="LO",6,10))+IF(T7501=1,2,IF(D7501=7,1,(IF(WEEKDAY(B7501)=1,2,IF(WEEKDAY(B7501)=7,1,0))))))</f>
        <v>3</v>
      </c>
    </row>
    <row r="7502" spans="2:22">
      <c r="B7502" s="318">
        <f t="shared" si="467"/>
        <v>46425</v>
      </c>
      <c r="C7502" s="312">
        <v>10</v>
      </c>
      <c r="D7502" s="368">
        <f>IFERROR((INDEX(METADATA!$T$2:$T$20,MATCH(B7502,METADATA!$S$2:$S$20,0))),0)</f>
        <v>0</v>
      </c>
      <c r="E7502" s="312" t="str">
        <f t="shared" si="468"/>
        <v>LO</v>
      </c>
      <c r="F7502" s="369">
        <f>VLOOKUP(C7502,METADATA!$A$5:$H$29,IF(E7502="HI",2,IF(E7502="LO",6,10))+IF(D7502=1,2,IF(D7502=7,1,(IF(WEEKDAY(B7502)=1,2,IF(WEEKDAY(B7502)=7,1,0))))))</f>
        <v>3</v>
      </c>
      <c r="G7502" s="369">
        <f>VLOOKUP(C7502,METADATA!$J$5:$Q$29,IF(E7502="HI",2,IF(E7502="LO",6,10))+IF(D7502=1,2,IF(D7502=7,1,(IF(WEEKDAY(B7502)=1,2,IF(WEEKDAY(B7502)=7,1,0))))))</f>
        <v>3</v>
      </c>
      <c r="H7502" s="370">
        <v>12856.799865722656</v>
      </c>
      <c r="I7502" s="370">
        <v>9679.10009765625</v>
      </c>
      <c r="M7502" s="371">
        <f t="shared" si="469"/>
        <v>16092.926442623646</v>
      </c>
      <c r="N7502" s="329">
        <f t="shared" si="470"/>
        <v>5822.0601379394539</v>
      </c>
      <c r="T7502" s="331">
        <v>0</v>
      </c>
      <c r="U7502" s="328">
        <f>VLOOKUP(C7502,METADATA!$J$5:$Q$29,IF(E7502="HI",2,IF(E7502="LO",6,10))+IF(T7502=1,2,IF(D7502=7,1,(IF(WEEKDAY(B7502)=1,2,IF(WEEKDAY(B7502)=7,1,0))))))</f>
        <v>3</v>
      </c>
      <c r="V7502" s="328">
        <f>VLOOKUP(C7502,METADATA!$A$5:$H$29,IF(E7502="HI",2,IF(E7502="LO",6,10))+IF(T7502=1,2,IF(D7502=7,1,(IF(WEEKDAY(B7502)=1,2,IF(WEEKDAY(B7502)=7,1,0))))))</f>
        <v>3</v>
      </c>
    </row>
    <row r="7503" spans="2:22">
      <c r="B7503" s="318">
        <f t="shared" si="467"/>
        <v>46425</v>
      </c>
      <c r="C7503" s="312">
        <v>11</v>
      </c>
      <c r="D7503" s="368">
        <f>IFERROR((INDEX(METADATA!$T$2:$T$20,MATCH(B7503,METADATA!$S$2:$S$20,0))),0)</f>
        <v>0</v>
      </c>
      <c r="E7503" s="312" t="str">
        <f t="shared" si="468"/>
        <v>LO</v>
      </c>
      <c r="F7503" s="369">
        <f>VLOOKUP(C7503,METADATA!$A$5:$H$29,IF(E7503="HI",2,IF(E7503="LO",6,10))+IF(D7503=1,2,IF(D7503=7,1,(IF(WEEKDAY(B7503)=1,2,IF(WEEKDAY(B7503)=7,1,0))))))</f>
        <v>3</v>
      </c>
      <c r="G7503" s="369">
        <f>VLOOKUP(C7503,METADATA!$J$5:$Q$29,IF(E7503="HI",2,IF(E7503="LO",6,10))+IF(D7503=1,2,IF(D7503=7,1,(IF(WEEKDAY(B7503)=1,2,IF(WEEKDAY(B7503)=7,1,0))))))</f>
        <v>3</v>
      </c>
      <c r="H7503" s="370">
        <v>11900.849914550781</v>
      </c>
      <c r="I7503" s="370">
        <v>8852.0999755859375</v>
      </c>
      <c r="M7503" s="371">
        <f t="shared" si="469"/>
        <v>14832.056589240479</v>
      </c>
      <c r="N7503" s="329">
        <f t="shared" si="470"/>
        <v>5281.8450012207031</v>
      </c>
      <c r="T7503" s="331">
        <v>0</v>
      </c>
      <c r="U7503" s="328">
        <f>VLOOKUP(C7503,METADATA!$J$5:$Q$29,IF(E7503="HI",2,IF(E7503="LO",6,10))+IF(T7503=1,2,IF(D7503=7,1,(IF(WEEKDAY(B7503)=1,2,IF(WEEKDAY(B7503)=7,1,0))))))</f>
        <v>3</v>
      </c>
      <c r="V7503" s="328">
        <f>VLOOKUP(C7503,METADATA!$A$5:$H$29,IF(E7503="HI",2,IF(E7503="LO",6,10))+IF(T7503=1,2,IF(D7503=7,1,(IF(WEEKDAY(B7503)=1,2,IF(WEEKDAY(B7503)=7,1,0))))))</f>
        <v>3</v>
      </c>
    </row>
    <row r="7504" spans="2:22">
      <c r="B7504" s="318">
        <f t="shared" si="467"/>
        <v>46425</v>
      </c>
      <c r="C7504" s="312">
        <v>12</v>
      </c>
      <c r="D7504" s="368">
        <f>IFERROR((INDEX(METADATA!$T$2:$T$20,MATCH(B7504,METADATA!$S$2:$S$20,0))),0)</f>
        <v>0</v>
      </c>
      <c r="E7504" s="312" t="str">
        <f t="shared" si="468"/>
        <v>LO</v>
      </c>
      <c r="F7504" s="369">
        <f>VLOOKUP(C7504,METADATA!$A$5:$H$29,IF(E7504="HI",2,IF(E7504="LO",6,10))+IF(D7504=1,2,IF(D7504=7,1,(IF(WEEKDAY(B7504)=1,2,IF(WEEKDAY(B7504)=7,1,0))))))</f>
        <v>3</v>
      </c>
      <c r="G7504" s="369">
        <f>VLOOKUP(C7504,METADATA!$J$5:$Q$29,IF(E7504="HI",2,IF(E7504="LO",6,10))+IF(D7504=1,2,IF(D7504=7,1,(IF(WEEKDAY(B7504)=1,2,IF(WEEKDAY(B7504)=7,1,0))))))</f>
        <v>3</v>
      </c>
      <c r="H7504" s="370">
        <v>12152.625122070313</v>
      </c>
      <c r="I7504" s="370">
        <v>8890.324951171875</v>
      </c>
      <c r="M7504" s="371">
        <f t="shared" si="469"/>
        <v>15057.362820062604</v>
      </c>
      <c r="N7504" s="329">
        <f t="shared" si="470"/>
        <v>5244.5374145507813</v>
      </c>
      <c r="T7504" s="331">
        <v>0</v>
      </c>
      <c r="U7504" s="328">
        <f>VLOOKUP(C7504,METADATA!$J$5:$Q$29,IF(E7504="HI",2,IF(E7504="LO",6,10))+IF(T7504=1,2,IF(D7504=7,1,(IF(WEEKDAY(B7504)=1,2,IF(WEEKDAY(B7504)=7,1,0))))))</f>
        <v>3</v>
      </c>
      <c r="V7504" s="328">
        <f>VLOOKUP(C7504,METADATA!$A$5:$H$29,IF(E7504="HI",2,IF(E7504="LO",6,10))+IF(T7504=1,2,IF(D7504=7,1,(IF(WEEKDAY(B7504)=1,2,IF(WEEKDAY(B7504)=7,1,0))))))</f>
        <v>3</v>
      </c>
    </row>
    <row r="7505" spans="2:22">
      <c r="B7505" s="318">
        <f t="shared" si="467"/>
        <v>46425</v>
      </c>
      <c r="C7505" s="312">
        <v>13</v>
      </c>
      <c r="D7505" s="368">
        <f>IFERROR((INDEX(METADATA!$T$2:$T$20,MATCH(B7505,METADATA!$S$2:$S$20,0))),0)</f>
        <v>0</v>
      </c>
      <c r="E7505" s="312" t="str">
        <f t="shared" si="468"/>
        <v>LO</v>
      </c>
      <c r="F7505" s="369">
        <f>VLOOKUP(C7505,METADATA!$A$5:$H$29,IF(E7505="HI",2,IF(E7505="LO",6,10))+IF(D7505=1,2,IF(D7505=7,1,(IF(WEEKDAY(B7505)=1,2,IF(WEEKDAY(B7505)=7,1,0))))))</f>
        <v>3</v>
      </c>
      <c r="G7505" s="369">
        <f>VLOOKUP(C7505,METADATA!$J$5:$Q$29,IF(E7505="HI",2,IF(E7505="LO",6,10))+IF(D7505=1,2,IF(D7505=7,1,(IF(WEEKDAY(B7505)=1,2,IF(WEEKDAY(B7505)=7,1,0))))))</f>
        <v>3</v>
      </c>
      <c r="H7505" s="370">
        <v>12144.074890136719</v>
      </c>
      <c r="I7505" s="370">
        <v>8848.2252197265625</v>
      </c>
      <c r="M7505" s="371">
        <f t="shared" si="469"/>
        <v>15025.632914331907</v>
      </c>
      <c r="N7505" s="329">
        <f t="shared" si="470"/>
        <v>5205.0027526855465</v>
      </c>
      <c r="T7505" s="331">
        <v>0</v>
      </c>
      <c r="U7505" s="328">
        <f>VLOOKUP(C7505,METADATA!$J$5:$Q$29,IF(E7505="HI",2,IF(E7505="LO",6,10))+IF(T7505=1,2,IF(D7505=7,1,(IF(WEEKDAY(B7505)=1,2,IF(WEEKDAY(B7505)=7,1,0))))))</f>
        <v>3</v>
      </c>
      <c r="V7505" s="328">
        <f>VLOOKUP(C7505,METADATA!$A$5:$H$29,IF(E7505="HI",2,IF(E7505="LO",6,10))+IF(T7505=1,2,IF(D7505=7,1,(IF(WEEKDAY(B7505)=1,2,IF(WEEKDAY(B7505)=7,1,0))))))</f>
        <v>3</v>
      </c>
    </row>
    <row r="7506" spans="2:22">
      <c r="B7506" s="318">
        <f t="shared" si="467"/>
        <v>46425</v>
      </c>
      <c r="C7506" s="312">
        <v>14</v>
      </c>
      <c r="D7506" s="368">
        <f>IFERROR((INDEX(METADATA!$T$2:$T$20,MATCH(B7506,METADATA!$S$2:$S$20,0))),0)</f>
        <v>0</v>
      </c>
      <c r="E7506" s="312" t="str">
        <f t="shared" si="468"/>
        <v>LO</v>
      </c>
      <c r="F7506" s="369">
        <f>VLOOKUP(C7506,METADATA!$A$5:$H$29,IF(E7506="HI",2,IF(E7506="LO",6,10))+IF(D7506=1,2,IF(D7506=7,1,(IF(WEEKDAY(B7506)=1,2,IF(WEEKDAY(B7506)=7,1,0))))))</f>
        <v>3</v>
      </c>
      <c r="G7506" s="369">
        <f>VLOOKUP(C7506,METADATA!$J$5:$Q$29,IF(E7506="HI",2,IF(E7506="LO",6,10))+IF(D7506=1,2,IF(D7506=7,1,(IF(WEEKDAY(B7506)=1,2,IF(WEEKDAY(B7506)=7,1,0))))))</f>
        <v>3</v>
      </c>
      <c r="H7506" s="370">
        <v>12266.899658203125</v>
      </c>
      <c r="I7506" s="370">
        <v>9063.3001098632813</v>
      </c>
      <c r="M7506" s="371">
        <f t="shared" si="469"/>
        <v>15251.892869603815</v>
      </c>
      <c r="N7506" s="329">
        <f t="shared" si="470"/>
        <v>5383.2302124023445</v>
      </c>
      <c r="T7506" s="331">
        <v>0</v>
      </c>
      <c r="U7506" s="328">
        <f>VLOOKUP(C7506,METADATA!$J$5:$Q$29,IF(E7506="HI",2,IF(E7506="LO",6,10))+IF(T7506=1,2,IF(D7506=7,1,(IF(WEEKDAY(B7506)=1,2,IF(WEEKDAY(B7506)=7,1,0))))))</f>
        <v>3</v>
      </c>
      <c r="V7506" s="328">
        <f>VLOOKUP(C7506,METADATA!$A$5:$H$29,IF(E7506="HI",2,IF(E7506="LO",6,10))+IF(T7506=1,2,IF(D7506=7,1,(IF(WEEKDAY(B7506)=1,2,IF(WEEKDAY(B7506)=7,1,0))))))</f>
        <v>3</v>
      </c>
    </row>
    <row r="7507" spans="2:22">
      <c r="B7507" s="318">
        <f t="shared" si="467"/>
        <v>46425</v>
      </c>
      <c r="C7507" s="312">
        <v>15</v>
      </c>
      <c r="D7507" s="368">
        <f>IFERROR((INDEX(METADATA!$T$2:$T$20,MATCH(B7507,METADATA!$S$2:$S$20,0))),0)</f>
        <v>0</v>
      </c>
      <c r="E7507" s="312" t="str">
        <f t="shared" si="468"/>
        <v>LO</v>
      </c>
      <c r="F7507" s="369">
        <f>VLOOKUP(C7507,METADATA!$A$5:$H$29,IF(E7507="HI",2,IF(E7507="LO",6,10))+IF(D7507=1,2,IF(D7507=7,1,(IF(WEEKDAY(B7507)=1,2,IF(WEEKDAY(B7507)=7,1,0))))))</f>
        <v>3</v>
      </c>
      <c r="G7507" s="369">
        <f>VLOOKUP(C7507,METADATA!$J$5:$Q$29,IF(E7507="HI",2,IF(E7507="LO",6,10))+IF(D7507=1,2,IF(D7507=7,1,(IF(WEEKDAY(B7507)=1,2,IF(WEEKDAY(B7507)=7,1,0))))))</f>
        <v>3</v>
      </c>
      <c r="H7507" s="370">
        <v>13012.674743652344</v>
      </c>
      <c r="I7507" s="370">
        <v>9690.1000366210938</v>
      </c>
      <c r="M7507" s="371">
        <f t="shared" si="469"/>
        <v>16224.294829169363</v>
      </c>
      <c r="N7507" s="329">
        <f t="shared" si="470"/>
        <v>5786.2976135253903</v>
      </c>
      <c r="T7507" s="331">
        <v>0</v>
      </c>
      <c r="U7507" s="328">
        <f>VLOOKUP(C7507,METADATA!$J$5:$Q$29,IF(E7507="HI",2,IF(E7507="LO",6,10))+IF(T7507=1,2,IF(D7507=7,1,(IF(WEEKDAY(B7507)=1,2,IF(WEEKDAY(B7507)=7,1,0))))))</f>
        <v>3</v>
      </c>
      <c r="V7507" s="328">
        <f>VLOOKUP(C7507,METADATA!$A$5:$H$29,IF(E7507="HI",2,IF(E7507="LO",6,10))+IF(T7507=1,2,IF(D7507=7,1,(IF(WEEKDAY(B7507)=1,2,IF(WEEKDAY(B7507)=7,1,0))))))</f>
        <v>3</v>
      </c>
    </row>
    <row r="7508" spans="2:22">
      <c r="B7508" s="318">
        <f t="shared" si="467"/>
        <v>46425</v>
      </c>
      <c r="C7508" s="312">
        <v>16</v>
      </c>
      <c r="D7508" s="368">
        <f>IFERROR((INDEX(METADATA!$T$2:$T$20,MATCH(B7508,METADATA!$S$2:$S$20,0))),0)</f>
        <v>0</v>
      </c>
      <c r="E7508" s="312" t="str">
        <f t="shared" si="468"/>
        <v>LO</v>
      </c>
      <c r="F7508" s="369">
        <f>VLOOKUP(C7508,METADATA!$A$5:$H$29,IF(E7508="HI",2,IF(E7508="LO",6,10))+IF(D7508=1,2,IF(D7508=7,1,(IF(WEEKDAY(B7508)=1,2,IF(WEEKDAY(B7508)=7,1,0))))))</f>
        <v>3</v>
      </c>
      <c r="G7508" s="369">
        <f>VLOOKUP(C7508,METADATA!$J$5:$Q$29,IF(E7508="HI",2,IF(E7508="LO",6,10))+IF(D7508=1,2,IF(D7508=7,1,(IF(WEEKDAY(B7508)=1,2,IF(WEEKDAY(B7508)=7,1,0))))))</f>
        <v>3</v>
      </c>
      <c r="H7508" s="370">
        <v>13178.850219726563</v>
      </c>
      <c r="I7508" s="370">
        <v>9946.6749877929688</v>
      </c>
      <c r="M7508" s="371">
        <f t="shared" si="469"/>
        <v>16511.160965443134</v>
      </c>
      <c r="N7508" s="329">
        <f t="shared" si="470"/>
        <v>5993.0199218750004</v>
      </c>
      <c r="T7508" s="331">
        <v>0</v>
      </c>
      <c r="U7508" s="328">
        <f>VLOOKUP(C7508,METADATA!$J$5:$Q$29,IF(E7508="HI",2,IF(E7508="LO",6,10))+IF(T7508=1,2,IF(D7508=7,1,(IF(WEEKDAY(B7508)=1,2,IF(WEEKDAY(B7508)=7,1,0))))))</f>
        <v>3</v>
      </c>
      <c r="V7508" s="328">
        <f>VLOOKUP(C7508,METADATA!$A$5:$H$29,IF(E7508="HI",2,IF(E7508="LO",6,10))+IF(T7508=1,2,IF(D7508=7,1,(IF(WEEKDAY(B7508)=1,2,IF(WEEKDAY(B7508)=7,1,0))))))</f>
        <v>3</v>
      </c>
    </row>
    <row r="7509" spans="2:22">
      <c r="B7509" s="318">
        <f t="shared" si="467"/>
        <v>46425</v>
      </c>
      <c r="C7509" s="312">
        <v>17</v>
      </c>
      <c r="D7509" s="368">
        <f>IFERROR((INDEX(METADATA!$T$2:$T$20,MATCH(B7509,METADATA!$S$2:$S$20,0))),0)</f>
        <v>0</v>
      </c>
      <c r="E7509" s="312" t="str">
        <f t="shared" si="468"/>
        <v>LO</v>
      </c>
      <c r="F7509" s="369">
        <f>VLOOKUP(C7509,METADATA!$A$5:$H$29,IF(E7509="HI",2,IF(E7509="LO",6,10))+IF(D7509=1,2,IF(D7509=7,1,(IF(WEEKDAY(B7509)=1,2,IF(WEEKDAY(B7509)=7,1,0))))))</f>
        <v>3</v>
      </c>
      <c r="G7509" s="369">
        <f>VLOOKUP(C7509,METADATA!$J$5:$Q$29,IF(E7509="HI",2,IF(E7509="LO",6,10))+IF(D7509=1,2,IF(D7509=7,1,(IF(WEEKDAY(B7509)=1,2,IF(WEEKDAY(B7509)=7,1,0))))))</f>
        <v>3</v>
      </c>
      <c r="H7509" s="370">
        <v>13018.200073242188</v>
      </c>
      <c r="I7509" s="370">
        <v>9971.6752319335938</v>
      </c>
      <c r="M7509" s="371">
        <f t="shared" si="469"/>
        <v>16398.409681372177</v>
      </c>
      <c r="N7509" s="329">
        <f t="shared" si="470"/>
        <v>6066.2152099609375</v>
      </c>
      <c r="T7509" s="331">
        <v>0</v>
      </c>
      <c r="U7509" s="328">
        <f>VLOOKUP(C7509,METADATA!$J$5:$Q$29,IF(E7509="HI",2,IF(E7509="LO",6,10))+IF(T7509=1,2,IF(D7509=7,1,(IF(WEEKDAY(B7509)=1,2,IF(WEEKDAY(B7509)=7,1,0))))))</f>
        <v>3</v>
      </c>
      <c r="V7509" s="328">
        <f>VLOOKUP(C7509,METADATA!$A$5:$H$29,IF(E7509="HI",2,IF(E7509="LO",6,10))+IF(T7509=1,2,IF(D7509=7,1,(IF(WEEKDAY(B7509)=1,2,IF(WEEKDAY(B7509)=7,1,0))))))</f>
        <v>3</v>
      </c>
    </row>
    <row r="7510" spans="2:22">
      <c r="B7510" s="318">
        <f t="shared" si="467"/>
        <v>46425</v>
      </c>
      <c r="C7510" s="312">
        <v>18</v>
      </c>
      <c r="D7510" s="368">
        <f>IFERROR((INDEX(METADATA!$T$2:$T$20,MATCH(B7510,METADATA!$S$2:$S$20,0))),0)</f>
        <v>0</v>
      </c>
      <c r="E7510" s="312" t="str">
        <f t="shared" si="468"/>
        <v>LO</v>
      </c>
      <c r="F7510" s="369">
        <f>VLOOKUP(C7510,METADATA!$A$5:$H$29,IF(E7510="HI",2,IF(E7510="LO",6,10))+IF(D7510=1,2,IF(D7510=7,1,(IF(WEEKDAY(B7510)=1,2,IF(WEEKDAY(B7510)=7,1,0))))))</f>
        <v>2</v>
      </c>
      <c r="G7510" s="369">
        <f>VLOOKUP(C7510,METADATA!$J$5:$Q$29,IF(E7510="HI",2,IF(E7510="LO",6,10))+IF(D7510=1,2,IF(D7510=7,1,(IF(WEEKDAY(B7510)=1,2,IF(WEEKDAY(B7510)=7,1,0))))))</f>
        <v>2</v>
      </c>
      <c r="H7510" s="370">
        <v>13217.750244140625</v>
      </c>
      <c r="I7510" s="370">
        <v>9946.7250366210938</v>
      </c>
      <c r="M7510" s="371">
        <f t="shared" si="469"/>
        <v>16542.256813102147</v>
      </c>
      <c r="N7510" s="329">
        <f t="shared" si="470"/>
        <v>5981.3999633789063</v>
      </c>
      <c r="T7510" s="331">
        <v>0</v>
      </c>
      <c r="U7510" s="328">
        <f>VLOOKUP(C7510,METADATA!$J$5:$Q$29,IF(E7510="HI",2,IF(E7510="LO",6,10))+IF(T7510=1,2,IF(D7510=7,1,(IF(WEEKDAY(B7510)=1,2,IF(WEEKDAY(B7510)=7,1,0))))))</f>
        <v>2</v>
      </c>
      <c r="V7510" s="328">
        <f>VLOOKUP(C7510,METADATA!$A$5:$H$29,IF(E7510="HI",2,IF(E7510="LO",6,10))+IF(T7510=1,2,IF(D7510=7,1,(IF(WEEKDAY(B7510)=1,2,IF(WEEKDAY(B7510)=7,1,0))))))</f>
        <v>2</v>
      </c>
    </row>
    <row r="7511" spans="2:22">
      <c r="B7511" s="318">
        <f t="shared" si="467"/>
        <v>46425</v>
      </c>
      <c r="C7511" s="312">
        <v>19</v>
      </c>
      <c r="D7511" s="368">
        <f>IFERROR((INDEX(METADATA!$T$2:$T$20,MATCH(B7511,METADATA!$S$2:$S$20,0))),0)</f>
        <v>0</v>
      </c>
      <c r="E7511" s="312" t="str">
        <f t="shared" si="468"/>
        <v>LO</v>
      </c>
      <c r="F7511" s="369">
        <f>VLOOKUP(C7511,METADATA!$A$5:$H$29,IF(E7511="HI",2,IF(E7511="LO",6,10))+IF(D7511=1,2,IF(D7511=7,1,(IF(WEEKDAY(B7511)=1,2,IF(WEEKDAY(B7511)=7,1,0))))))</f>
        <v>2</v>
      </c>
      <c r="G7511" s="369">
        <f>VLOOKUP(C7511,METADATA!$J$5:$Q$29,IF(E7511="HI",2,IF(E7511="LO",6,10))+IF(D7511=1,2,IF(D7511=7,1,(IF(WEEKDAY(B7511)=1,2,IF(WEEKDAY(B7511)=7,1,0))))))</f>
        <v>2</v>
      </c>
      <c r="H7511" s="370">
        <v>12983.500244140625</v>
      </c>
      <c r="I7511" s="370">
        <v>9696.8001708984375</v>
      </c>
      <c r="M7511" s="371">
        <f t="shared" si="469"/>
        <v>16204.913210009352</v>
      </c>
      <c r="N7511" s="329">
        <f t="shared" si="470"/>
        <v>5801.7500976562496</v>
      </c>
      <c r="T7511" s="331">
        <v>0</v>
      </c>
      <c r="U7511" s="328">
        <f>VLOOKUP(C7511,METADATA!$J$5:$Q$29,IF(E7511="HI",2,IF(E7511="LO",6,10))+IF(T7511=1,2,IF(D7511=7,1,(IF(WEEKDAY(B7511)=1,2,IF(WEEKDAY(B7511)=7,1,0))))))</f>
        <v>2</v>
      </c>
      <c r="V7511" s="328">
        <f>VLOOKUP(C7511,METADATA!$A$5:$H$29,IF(E7511="HI",2,IF(E7511="LO",6,10))+IF(T7511=1,2,IF(D7511=7,1,(IF(WEEKDAY(B7511)=1,2,IF(WEEKDAY(B7511)=7,1,0))))))</f>
        <v>2</v>
      </c>
    </row>
    <row r="7512" spans="2:22">
      <c r="B7512" s="318">
        <f t="shared" si="467"/>
        <v>46425</v>
      </c>
      <c r="C7512" s="312">
        <v>20</v>
      </c>
      <c r="D7512" s="368">
        <f>IFERROR((INDEX(METADATA!$T$2:$T$20,MATCH(B7512,METADATA!$S$2:$S$20,0))),0)</f>
        <v>0</v>
      </c>
      <c r="E7512" s="312" t="str">
        <f t="shared" si="468"/>
        <v>LO</v>
      </c>
      <c r="F7512" s="369">
        <f>VLOOKUP(C7512,METADATA!$A$5:$H$29,IF(E7512="HI",2,IF(E7512="LO",6,10))+IF(D7512=1,2,IF(D7512=7,1,(IF(WEEKDAY(B7512)=1,2,IF(WEEKDAY(B7512)=7,1,0))))))</f>
        <v>3</v>
      </c>
      <c r="G7512" s="369">
        <f>VLOOKUP(C7512,METADATA!$J$5:$Q$29,IF(E7512="HI",2,IF(E7512="LO",6,10))+IF(D7512=1,2,IF(D7512=7,1,(IF(WEEKDAY(B7512)=1,2,IF(WEEKDAY(B7512)=7,1,0))))))</f>
        <v>3</v>
      </c>
      <c r="H7512" s="370">
        <v>12721.774963378906</v>
      </c>
      <c r="I7512" s="370">
        <v>9617.1998291015625</v>
      </c>
      <c r="M7512" s="371">
        <f t="shared" si="469"/>
        <v>15947.855365901883</v>
      </c>
      <c r="N7512" s="329">
        <f t="shared" si="470"/>
        <v>5800.6673400878908</v>
      </c>
      <c r="T7512" s="331">
        <v>0</v>
      </c>
      <c r="U7512" s="328">
        <f>VLOOKUP(C7512,METADATA!$J$5:$Q$29,IF(E7512="HI",2,IF(E7512="LO",6,10))+IF(T7512=1,2,IF(D7512=7,1,(IF(WEEKDAY(B7512)=1,2,IF(WEEKDAY(B7512)=7,1,0))))))</f>
        <v>3</v>
      </c>
      <c r="V7512" s="328">
        <f>VLOOKUP(C7512,METADATA!$A$5:$H$29,IF(E7512="HI",2,IF(E7512="LO",6,10))+IF(T7512=1,2,IF(D7512=7,1,(IF(WEEKDAY(B7512)=1,2,IF(WEEKDAY(B7512)=7,1,0))))))</f>
        <v>3</v>
      </c>
    </row>
    <row r="7513" spans="2:22">
      <c r="B7513" s="318">
        <f t="shared" si="467"/>
        <v>46425</v>
      </c>
      <c r="C7513" s="312">
        <v>21</v>
      </c>
      <c r="D7513" s="368">
        <f>IFERROR((INDEX(METADATA!$T$2:$T$20,MATCH(B7513,METADATA!$S$2:$S$20,0))),0)</f>
        <v>0</v>
      </c>
      <c r="E7513" s="312" t="str">
        <f t="shared" si="468"/>
        <v>LO</v>
      </c>
      <c r="F7513" s="369">
        <f>VLOOKUP(C7513,METADATA!$A$5:$H$29,IF(E7513="HI",2,IF(E7513="LO",6,10))+IF(D7513=1,2,IF(D7513=7,1,(IF(WEEKDAY(B7513)=1,2,IF(WEEKDAY(B7513)=7,1,0))))))</f>
        <v>3</v>
      </c>
      <c r="G7513" s="369">
        <f>VLOOKUP(C7513,METADATA!$J$5:$Q$29,IF(E7513="HI",2,IF(E7513="LO",6,10))+IF(D7513=1,2,IF(D7513=7,1,(IF(WEEKDAY(B7513)=1,2,IF(WEEKDAY(B7513)=7,1,0))))))</f>
        <v>3</v>
      </c>
      <c r="H7513" s="370">
        <v>12909.799743652344</v>
      </c>
      <c r="I7513" s="370">
        <v>9761.1500244140625</v>
      </c>
      <c r="M7513" s="371">
        <f t="shared" si="469"/>
        <v>16184.65258262669</v>
      </c>
      <c r="N7513" s="329">
        <f t="shared" si="470"/>
        <v>5888.2101013183601</v>
      </c>
      <c r="T7513" s="331">
        <v>0</v>
      </c>
      <c r="U7513" s="328">
        <f>VLOOKUP(C7513,METADATA!$J$5:$Q$29,IF(E7513="HI",2,IF(E7513="LO",6,10))+IF(T7513=1,2,IF(D7513=7,1,(IF(WEEKDAY(B7513)=1,2,IF(WEEKDAY(B7513)=7,1,0))))))</f>
        <v>3</v>
      </c>
      <c r="V7513" s="328">
        <f>VLOOKUP(C7513,METADATA!$A$5:$H$29,IF(E7513="HI",2,IF(E7513="LO",6,10))+IF(T7513=1,2,IF(D7513=7,1,(IF(WEEKDAY(B7513)=1,2,IF(WEEKDAY(B7513)=7,1,0))))))</f>
        <v>3</v>
      </c>
    </row>
    <row r="7514" spans="2:22">
      <c r="B7514" s="318">
        <f t="shared" si="467"/>
        <v>46425</v>
      </c>
      <c r="C7514" s="312">
        <v>22</v>
      </c>
      <c r="D7514" s="368">
        <f>IFERROR((INDEX(METADATA!$T$2:$T$20,MATCH(B7514,METADATA!$S$2:$S$20,0))),0)</f>
        <v>0</v>
      </c>
      <c r="E7514" s="312" t="str">
        <f t="shared" si="468"/>
        <v>LO</v>
      </c>
      <c r="F7514" s="369">
        <f>VLOOKUP(C7514,METADATA!$A$5:$H$29,IF(E7514="HI",2,IF(E7514="LO",6,10))+IF(D7514=1,2,IF(D7514=7,1,(IF(WEEKDAY(B7514)=1,2,IF(WEEKDAY(B7514)=7,1,0))))))</f>
        <v>3</v>
      </c>
      <c r="G7514" s="369">
        <f>VLOOKUP(C7514,METADATA!$J$5:$Q$29,IF(E7514="HI",2,IF(E7514="LO",6,10))+IF(D7514=1,2,IF(D7514=7,1,(IF(WEEKDAY(B7514)=1,2,IF(WEEKDAY(B7514)=7,1,0))))))</f>
        <v>3</v>
      </c>
      <c r="H7514" s="370">
        <v>12952.824829101563</v>
      </c>
      <c r="I7514" s="370">
        <v>9743.7249755859375</v>
      </c>
      <c r="M7514" s="371">
        <f t="shared" si="469"/>
        <v>16208.511574270078</v>
      </c>
      <c r="N7514" s="329">
        <f t="shared" si="470"/>
        <v>5857.8775268554691</v>
      </c>
      <c r="T7514" s="331">
        <v>0</v>
      </c>
      <c r="U7514" s="328">
        <f>VLOOKUP(C7514,METADATA!$J$5:$Q$29,IF(E7514="HI",2,IF(E7514="LO",6,10))+IF(T7514=1,2,IF(D7514=7,1,(IF(WEEKDAY(B7514)=1,2,IF(WEEKDAY(B7514)=7,1,0))))))</f>
        <v>3</v>
      </c>
      <c r="V7514" s="328">
        <f>VLOOKUP(C7514,METADATA!$A$5:$H$29,IF(E7514="HI",2,IF(E7514="LO",6,10))+IF(T7514=1,2,IF(D7514=7,1,(IF(WEEKDAY(B7514)=1,2,IF(WEEKDAY(B7514)=7,1,0))))))</f>
        <v>3</v>
      </c>
    </row>
    <row r="7515" spans="2:22">
      <c r="B7515" s="318">
        <f t="shared" si="467"/>
        <v>46425</v>
      </c>
      <c r="C7515" s="312">
        <v>23</v>
      </c>
      <c r="D7515" s="368">
        <f>IFERROR((INDEX(METADATA!$T$2:$T$20,MATCH(B7515,METADATA!$S$2:$S$20,0))),0)</f>
        <v>0</v>
      </c>
      <c r="E7515" s="312" t="str">
        <f t="shared" si="468"/>
        <v>LO</v>
      </c>
      <c r="F7515" s="369">
        <f>VLOOKUP(C7515,METADATA!$A$5:$H$29,IF(E7515="HI",2,IF(E7515="LO",6,10))+IF(D7515=1,2,IF(D7515=7,1,(IF(WEEKDAY(B7515)=1,2,IF(WEEKDAY(B7515)=7,1,0))))))</f>
        <v>3</v>
      </c>
      <c r="G7515" s="369">
        <f>VLOOKUP(C7515,METADATA!$J$5:$Q$29,IF(E7515="HI",2,IF(E7515="LO",6,10))+IF(D7515=1,2,IF(D7515=7,1,(IF(WEEKDAY(B7515)=1,2,IF(WEEKDAY(B7515)=7,1,0))))))</f>
        <v>3</v>
      </c>
      <c r="H7515" s="370">
        <v>13075.374877929688</v>
      </c>
      <c r="I7515" s="370">
        <v>9795.2001342773438</v>
      </c>
      <c r="M7515" s="371">
        <f t="shared" si="469"/>
        <v>16337.422497717982</v>
      </c>
      <c r="N7515" s="329">
        <f t="shared" si="470"/>
        <v>5872.5876708984379</v>
      </c>
      <c r="T7515" s="331">
        <v>0</v>
      </c>
      <c r="U7515" s="328">
        <f>VLOOKUP(C7515,METADATA!$J$5:$Q$29,IF(E7515="HI",2,IF(E7515="LO",6,10))+IF(T7515=1,2,IF(D7515=7,1,(IF(WEEKDAY(B7515)=1,2,IF(WEEKDAY(B7515)=7,1,0))))))</f>
        <v>3</v>
      </c>
      <c r="V7515" s="328">
        <f>VLOOKUP(C7515,METADATA!$A$5:$H$29,IF(E7515="HI",2,IF(E7515="LO",6,10))+IF(T7515=1,2,IF(D7515=7,1,(IF(WEEKDAY(B7515)=1,2,IF(WEEKDAY(B7515)=7,1,0))))))</f>
        <v>3</v>
      </c>
    </row>
    <row r="7516" spans="2:22">
      <c r="B7516" s="318">
        <f t="shared" ref="B7516:B7579" si="471">B7492+1</f>
        <v>46426</v>
      </c>
      <c r="C7516" s="312">
        <v>0</v>
      </c>
      <c r="D7516" s="368">
        <f>IFERROR((INDEX(METADATA!$T$2:$T$20,MATCH(B7516,METADATA!$S$2:$S$20,0))),0)</f>
        <v>0</v>
      </c>
      <c r="E7516" s="312" t="str">
        <f t="shared" si="468"/>
        <v>LO</v>
      </c>
      <c r="F7516" s="369">
        <f>VLOOKUP(C7516,METADATA!$A$5:$H$29,IF(E7516="HI",2,IF(E7516="LO",6,10))+IF(D7516=1,2,IF(D7516=7,1,(IF(WEEKDAY(B7516)=1,2,IF(WEEKDAY(B7516)=7,1,0))))))</f>
        <v>3</v>
      </c>
      <c r="G7516" s="369">
        <f>VLOOKUP(C7516,METADATA!$J$5:$Q$29,IF(E7516="HI",2,IF(E7516="LO",6,10))+IF(D7516=1,2,IF(D7516=7,1,(IF(WEEKDAY(B7516)=1,2,IF(WEEKDAY(B7516)=7,1,0))))))</f>
        <v>3</v>
      </c>
      <c r="H7516" s="370">
        <v>13010.374877929688</v>
      </c>
      <c r="I7516" s="370">
        <v>9806.6249389648438</v>
      </c>
      <c r="M7516" s="371">
        <f t="shared" si="469"/>
        <v>16292.321723983698</v>
      </c>
      <c r="N7516" s="329">
        <f t="shared" si="470"/>
        <v>5903.5124755859379</v>
      </c>
      <c r="T7516" s="331">
        <v>0</v>
      </c>
      <c r="U7516" s="328">
        <f>VLOOKUP(C7516,METADATA!$J$5:$Q$29,IF(E7516="HI",2,IF(E7516="LO",6,10))+IF(T7516=1,2,IF(D7516=7,1,(IF(WEEKDAY(B7516)=1,2,IF(WEEKDAY(B7516)=7,1,0))))))</f>
        <v>3</v>
      </c>
      <c r="V7516" s="328">
        <f>VLOOKUP(C7516,METADATA!$A$5:$H$29,IF(E7516="HI",2,IF(E7516="LO",6,10))+IF(T7516=1,2,IF(D7516=7,1,(IF(WEEKDAY(B7516)=1,2,IF(WEEKDAY(B7516)=7,1,0))))))</f>
        <v>3</v>
      </c>
    </row>
    <row r="7517" spans="2:22">
      <c r="B7517" s="318">
        <f t="shared" si="471"/>
        <v>46426</v>
      </c>
      <c r="C7517" s="312">
        <v>1</v>
      </c>
      <c r="D7517" s="368">
        <f>IFERROR((INDEX(METADATA!$T$2:$T$20,MATCH(B7517,METADATA!$S$2:$S$20,0))),0)</f>
        <v>0</v>
      </c>
      <c r="E7517" s="312" t="str">
        <f t="shared" si="468"/>
        <v>LO</v>
      </c>
      <c r="F7517" s="369">
        <f>VLOOKUP(C7517,METADATA!$A$5:$H$29,IF(E7517="HI",2,IF(E7517="LO",6,10))+IF(D7517=1,2,IF(D7517=7,1,(IF(WEEKDAY(B7517)=1,2,IF(WEEKDAY(B7517)=7,1,0))))))</f>
        <v>3</v>
      </c>
      <c r="G7517" s="369">
        <f>VLOOKUP(C7517,METADATA!$J$5:$Q$29,IF(E7517="HI",2,IF(E7517="LO",6,10))+IF(D7517=1,2,IF(D7517=7,1,(IF(WEEKDAY(B7517)=1,2,IF(WEEKDAY(B7517)=7,1,0))))))</f>
        <v>3</v>
      </c>
      <c r="H7517" s="370">
        <v>13158.700012207031</v>
      </c>
      <c r="I7517" s="370">
        <v>9845.525146484375</v>
      </c>
      <c r="M7517" s="371">
        <f t="shared" si="469"/>
        <v>16434.285850663349</v>
      </c>
      <c r="N7517" s="329">
        <f t="shared" si="470"/>
        <v>5897.9151428222658</v>
      </c>
      <c r="T7517" s="331">
        <v>0</v>
      </c>
      <c r="U7517" s="328">
        <f>VLOOKUP(C7517,METADATA!$J$5:$Q$29,IF(E7517="HI",2,IF(E7517="LO",6,10))+IF(T7517=1,2,IF(D7517=7,1,(IF(WEEKDAY(B7517)=1,2,IF(WEEKDAY(B7517)=7,1,0))))))</f>
        <v>3</v>
      </c>
      <c r="V7517" s="328">
        <f>VLOOKUP(C7517,METADATA!$A$5:$H$29,IF(E7517="HI",2,IF(E7517="LO",6,10))+IF(T7517=1,2,IF(D7517=7,1,(IF(WEEKDAY(B7517)=1,2,IF(WEEKDAY(B7517)=7,1,0))))))</f>
        <v>3</v>
      </c>
    </row>
    <row r="7518" spans="2:22">
      <c r="B7518" s="318">
        <f t="shared" si="471"/>
        <v>46426</v>
      </c>
      <c r="C7518" s="312">
        <v>2</v>
      </c>
      <c r="D7518" s="368">
        <f>IFERROR((INDEX(METADATA!$T$2:$T$20,MATCH(B7518,METADATA!$S$2:$S$20,0))),0)</f>
        <v>0</v>
      </c>
      <c r="E7518" s="312" t="str">
        <f t="shared" si="468"/>
        <v>LO</v>
      </c>
      <c r="F7518" s="369">
        <f>VLOOKUP(C7518,METADATA!$A$5:$H$29,IF(E7518="HI",2,IF(E7518="LO",6,10))+IF(D7518=1,2,IF(D7518=7,1,(IF(WEEKDAY(B7518)=1,2,IF(WEEKDAY(B7518)=7,1,0))))))</f>
        <v>3</v>
      </c>
      <c r="G7518" s="369">
        <f>VLOOKUP(C7518,METADATA!$J$5:$Q$29,IF(E7518="HI",2,IF(E7518="LO",6,10))+IF(D7518=1,2,IF(D7518=7,1,(IF(WEEKDAY(B7518)=1,2,IF(WEEKDAY(B7518)=7,1,0))))))</f>
        <v>3</v>
      </c>
      <c r="H7518" s="370">
        <v>12987.569519042969</v>
      </c>
      <c r="I7518" s="370">
        <v>9847.6038818359375</v>
      </c>
      <c r="M7518" s="371">
        <f t="shared" si="469"/>
        <v>16298.842419801606</v>
      </c>
      <c r="N7518" s="329">
        <f t="shared" si="470"/>
        <v>5951.3330261230476</v>
      </c>
      <c r="T7518" s="331">
        <v>0</v>
      </c>
      <c r="U7518" s="328">
        <f>VLOOKUP(C7518,METADATA!$J$5:$Q$29,IF(E7518="HI",2,IF(E7518="LO",6,10))+IF(T7518=1,2,IF(D7518=7,1,(IF(WEEKDAY(B7518)=1,2,IF(WEEKDAY(B7518)=7,1,0))))))</f>
        <v>3</v>
      </c>
      <c r="V7518" s="328">
        <f>VLOOKUP(C7518,METADATA!$A$5:$H$29,IF(E7518="HI",2,IF(E7518="LO",6,10))+IF(T7518=1,2,IF(D7518=7,1,(IF(WEEKDAY(B7518)=1,2,IF(WEEKDAY(B7518)=7,1,0))))))</f>
        <v>3</v>
      </c>
    </row>
    <row r="7519" spans="2:22">
      <c r="B7519" s="318">
        <f t="shared" si="471"/>
        <v>46426</v>
      </c>
      <c r="C7519" s="312">
        <v>3</v>
      </c>
      <c r="D7519" s="368">
        <f>IFERROR((INDEX(METADATA!$T$2:$T$20,MATCH(B7519,METADATA!$S$2:$S$20,0))),0)</f>
        <v>0</v>
      </c>
      <c r="E7519" s="312" t="str">
        <f t="shared" si="468"/>
        <v>LO</v>
      </c>
      <c r="F7519" s="369">
        <f>VLOOKUP(C7519,METADATA!$A$5:$H$29,IF(E7519="HI",2,IF(E7519="LO",6,10))+IF(D7519=1,2,IF(D7519=7,1,(IF(WEEKDAY(B7519)=1,2,IF(WEEKDAY(B7519)=7,1,0))))))</f>
        <v>3</v>
      </c>
      <c r="G7519" s="369">
        <f>VLOOKUP(C7519,METADATA!$J$5:$Q$29,IF(E7519="HI",2,IF(E7519="LO",6,10))+IF(D7519=1,2,IF(D7519=7,1,(IF(WEEKDAY(B7519)=1,2,IF(WEEKDAY(B7519)=7,1,0))))))</f>
        <v>3</v>
      </c>
      <c r="H7519" s="370">
        <v>12780.499877929688</v>
      </c>
      <c r="I7519" s="370">
        <v>9778.1248168945313</v>
      </c>
      <c r="M7519" s="371">
        <f t="shared" si="469"/>
        <v>16092.013611246091</v>
      </c>
      <c r="N7519" s="329">
        <f t="shared" si="470"/>
        <v>5943.974853515625</v>
      </c>
      <c r="T7519" s="331">
        <v>0</v>
      </c>
      <c r="U7519" s="328">
        <f>VLOOKUP(C7519,METADATA!$J$5:$Q$29,IF(E7519="HI",2,IF(E7519="LO",6,10))+IF(T7519=1,2,IF(D7519=7,1,(IF(WEEKDAY(B7519)=1,2,IF(WEEKDAY(B7519)=7,1,0))))))</f>
        <v>3</v>
      </c>
      <c r="V7519" s="328">
        <f>VLOOKUP(C7519,METADATA!$A$5:$H$29,IF(E7519="HI",2,IF(E7519="LO",6,10))+IF(T7519=1,2,IF(D7519=7,1,(IF(WEEKDAY(B7519)=1,2,IF(WEEKDAY(B7519)=7,1,0))))))</f>
        <v>3</v>
      </c>
    </row>
    <row r="7520" spans="2:22">
      <c r="B7520" s="318">
        <f t="shared" si="471"/>
        <v>46426</v>
      </c>
      <c r="C7520" s="312">
        <v>4</v>
      </c>
      <c r="D7520" s="368">
        <f>IFERROR((INDEX(METADATA!$T$2:$T$20,MATCH(B7520,METADATA!$S$2:$S$20,0))),0)</f>
        <v>0</v>
      </c>
      <c r="E7520" s="312" t="str">
        <f t="shared" si="468"/>
        <v>LO</v>
      </c>
      <c r="F7520" s="369">
        <f>VLOOKUP(C7520,METADATA!$A$5:$H$29,IF(E7520="HI",2,IF(E7520="LO",6,10))+IF(D7520=1,2,IF(D7520=7,1,(IF(WEEKDAY(B7520)=1,2,IF(WEEKDAY(B7520)=7,1,0))))))</f>
        <v>3</v>
      </c>
      <c r="G7520" s="369">
        <f>VLOOKUP(C7520,METADATA!$J$5:$Q$29,IF(E7520="HI",2,IF(E7520="LO",6,10))+IF(D7520=1,2,IF(D7520=7,1,(IF(WEEKDAY(B7520)=1,2,IF(WEEKDAY(B7520)=7,1,0))))))</f>
        <v>3</v>
      </c>
      <c r="H7520" s="370">
        <v>12761.875</v>
      </c>
      <c r="I7520" s="370">
        <v>9897.0499267578125</v>
      </c>
      <c r="M7520" s="371">
        <f t="shared" si="469"/>
        <v>16149.831292256951</v>
      </c>
      <c r="N7520" s="329">
        <f t="shared" si="470"/>
        <v>6068.4874267578125</v>
      </c>
      <c r="T7520" s="331">
        <v>0</v>
      </c>
      <c r="U7520" s="328">
        <f>VLOOKUP(C7520,METADATA!$J$5:$Q$29,IF(E7520="HI",2,IF(E7520="LO",6,10))+IF(T7520=1,2,IF(D7520=7,1,(IF(WEEKDAY(B7520)=1,2,IF(WEEKDAY(B7520)=7,1,0))))))</f>
        <v>3</v>
      </c>
      <c r="V7520" s="328">
        <f>VLOOKUP(C7520,METADATA!$A$5:$H$29,IF(E7520="HI",2,IF(E7520="LO",6,10))+IF(T7520=1,2,IF(D7520=7,1,(IF(WEEKDAY(B7520)=1,2,IF(WEEKDAY(B7520)=7,1,0))))))</f>
        <v>3</v>
      </c>
    </row>
    <row r="7521" spans="2:22">
      <c r="B7521" s="318">
        <f t="shared" si="471"/>
        <v>46426</v>
      </c>
      <c r="C7521" s="312">
        <v>5</v>
      </c>
      <c r="D7521" s="368">
        <f>IFERROR((INDEX(METADATA!$T$2:$T$20,MATCH(B7521,METADATA!$S$2:$S$20,0))),0)</f>
        <v>0</v>
      </c>
      <c r="E7521" s="312" t="str">
        <f t="shared" si="468"/>
        <v>LO</v>
      </c>
      <c r="F7521" s="369">
        <f>VLOOKUP(C7521,METADATA!$A$5:$H$29,IF(E7521="HI",2,IF(E7521="LO",6,10))+IF(D7521=1,2,IF(D7521=7,1,(IF(WEEKDAY(B7521)=1,2,IF(WEEKDAY(B7521)=7,1,0))))))</f>
        <v>3</v>
      </c>
      <c r="G7521" s="369">
        <f>VLOOKUP(C7521,METADATA!$J$5:$Q$29,IF(E7521="HI",2,IF(E7521="LO",6,10))+IF(D7521=1,2,IF(D7521=7,1,(IF(WEEKDAY(B7521)=1,2,IF(WEEKDAY(B7521)=7,1,0))))))</f>
        <v>3</v>
      </c>
      <c r="H7521" s="370">
        <v>12787.824645996094</v>
      </c>
      <c r="I7521" s="370">
        <v>9770.925048828125</v>
      </c>
      <c r="M7521" s="371">
        <f t="shared" si="469"/>
        <v>16093.459400842381</v>
      </c>
      <c r="N7521" s="329">
        <f t="shared" si="470"/>
        <v>5934.5776550292976</v>
      </c>
      <c r="T7521" s="331">
        <v>0</v>
      </c>
      <c r="U7521" s="328">
        <f>VLOOKUP(C7521,METADATA!$J$5:$Q$29,IF(E7521="HI",2,IF(E7521="LO",6,10))+IF(T7521=1,2,IF(D7521=7,1,(IF(WEEKDAY(B7521)=1,2,IF(WEEKDAY(B7521)=7,1,0))))))</f>
        <v>3</v>
      </c>
      <c r="V7521" s="328">
        <f>VLOOKUP(C7521,METADATA!$A$5:$H$29,IF(E7521="HI",2,IF(E7521="LO",6,10))+IF(T7521=1,2,IF(D7521=7,1,(IF(WEEKDAY(B7521)=1,2,IF(WEEKDAY(B7521)=7,1,0))))))</f>
        <v>3</v>
      </c>
    </row>
    <row r="7522" spans="2:22">
      <c r="B7522" s="318">
        <f t="shared" si="471"/>
        <v>46426</v>
      </c>
      <c r="C7522" s="312">
        <v>6</v>
      </c>
      <c r="D7522" s="368">
        <f>IFERROR((INDEX(METADATA!$T$2:$T$20,MATCH(B7522,METADATA!$S$2:$S$20,0))),0)</f>
        <v>0</v>
      </c>
      <c r="E7522" s="312" t="str">
        <f t="shared" si="468"/>
        <v>LO</v>
      </c>
      <c r="F7522" s="369">
        <f>VLOOKUP(C7522,METADATA!$A$5:$H$29,IF(E7522="HI",2,IF(E7522="LO",6,10))+IF(D7522=1,2,IF(D7522=7,1,(IF(WEEKDAY(B7522)=1,2,IF(WEEKDAY(B7522)=7,1,0))))))</f>
        <v>2</v>
      </c>
      <c r="G7522" s="369">
        <f>VLOOKUP(C7522,METADATA!$J$5:$Q$29,IF(E7522="HI",2,IF(E7522="LO",6,10))+IF(D7522=1,2,IF(D7522=7,1,(IF(WEEKDAY(B7522)=1,2,IF(WEEKDAY(B7522)=7,1,0))))))</f>
        <v>2</v>
      </c>
      <c r="H7522" s="370">
        <v>12775.724853515625</v>
      </c>
      <c r="I7522" s="370">
        <v>9668.1751098632813</v>
      </c>
      <c r="M7522" s="371">
        <f t="shared" si="469"/>
        <v>16021.633983077903</v>
      </c>
      <c r="N7522" s="329">
        <f t="shared" si="470"/>
        <v>5835.4576538085939</v>
      </c>
      <c r="T7522" s="331">
        <v>0</v>
      </c>
      <c r="U7522" s="328">
        <f>VLOOKUP(C7522,METADATA!$J$5:$Q$29,IF(E7522="HI",2,IF(E7522="LO",6,10))+IF(T7522=1,2,IF(D7522=7,1,(IF(WEEKDAY(B7522)=1,2,IF(WEEKDAY(B7522)=7,1,0))))))</f>
        <v>2</v>
      </c>
      <c r="V7522" s="328">
        <f>VLOOKUP(C7522,METADATA!$A$5:$H$29,IF(E7522="HI",2,IF(E7522="LO",6,10))+IF(T7522=1,2,IF(D7522=7,1,(IF(WEEKDAY(B7522)=1,2,IF(WEEKDAY(B7522)=7,1,0))))))</f>
        <v>2</v>
      </c>
    </row>
    <row r="7523" spans="2:22">
      <c r="B7523" s="318">
        <f t="shared" si="471"/>
        <v>46426</v>
      </c>
      <c r="C7523" s="312">
        <v>7</v>
      </c>
      <c r="D7523" s="368">
        <f>IFERROR((INDEX(METADATA!$T$2:$T$20,MATCH(B7523,METADATA!$S$2:$S$20,0))),0)</f>
        <v>0</v>
      </c>
      <c r="E7523" s="312" t="str">
        <f t="shared" si="468"/>
        <v>LO</v>
      </c>
      <c r="F7523" s="369">
        <f>VLOOKUP(C7523,METADATA!$A$5:$H$29,IF(E7523="HI",2,IF(E7523="LO",6,10))+IF(D7523=1,2,IF(D7523=7,1,(IF(WEEKDAY(B7523)=1,2,IF(WEEKDAY(B7523)=7,1,0))))))</f>
        <v>1</v>
      </c>
      <c r="G7523" s="369">
        <f>VLOOKUP(C7523,METADATA!$J$5:$Q$29,IF(E7523="HI",2,IF(E7523="LO",6,10))+IF(D7523=1,2,IF(D7523=7,1,(IF(WEEKDAY(B7523)=1,2,IF(WEEKDAY(B7523)=7,1,0))))))</f>
        <v>1</v>
      </c>
      <c r="H7523" s="370">
        <v>12902.599792480469</v>
      </c>
      <c r="I7523" s="370">
        <v>9621.6499633789063</v>
      </c>
      <c r="M7523" s="371">
        <f t="shared" si="469"/>
        <v>16095.130612166722</v>
      </c>
      <c r="N7523" s="329">
        <f t="shared" si="470"/>
        <v>5750.8700256347656</v>
      </c>
      <c r="T7523" s="331">
        <v>0</v>
      </c>
      <c r="U7523" s="328">
        <f>VLOOKUP(C7523,METADATA!$J$5:$Q$29,IF(E7523="HI",2,IF(E7523="LO",6,10))+IF(T7523=1,2,IF(D7523=7,1,(IF(WEEKDAY(B7523)=1,2,IF(WEEKDAY(B7523)=7,1,0))))))</f>
        <v>1</v>
      </c>
      <c r="V7523" s="328">
        <f>VLOOKUP(C7523,METADATA!$A$5:$H$29,IF(E7523="HI",2,IF(E7523="LO",6,10))+IF(T7523=1,2,IF(D7523=7,1,(IF(WEEKDAY(B7523)=1,2,IF(WEEKDAY(B7523)=7,1,0))))))</f>
        <v>1</v>
      </c>
    </row>
    <row r="7524" spans="2:22">
      <c r="B7524" s="318">
        <f t="shared" si="471"/>
        <v>46426</v>
      </c>
      <c r="C7524" s="312">
        <v>8</v>
      </c>
      <c r="D7524" s="368">
        <f>IFERROR((INDEX(METADATA!$T$2:$T$20,MATCH(B7524,METADATA!$S$2:$S$20,0))),0)</f>
        <v>0</v>
      </c>
      <c r="E7524" s="312" t="str">
        <f t="shared" si="468"/>
        <v>LO</v>
      </c>
      <c r="F7524" s="369">
        <f>VLOOKUP(C7524,METADATA!$A$5:$H$29,IF(E7524="HI",2,IF(E7524="LO",6,10))+IF(D7524=1,2,IF(D7524=7,1,(IF(WEEKDAY(B7524)=1,2,IF(WEEKDAY(B7524)=7,1,0))))))</f>
        <v>1</v>
      </c>
      <c r="G7524" s="369">
        <f>VLOOKUP(C7524,METADATA!$J$5:$Q$29,IF(E7524="HI",2,IF(E7524="LO",6,10))+IF(D7524=1,2,IF(D7524=7,1,(IF(WEEKDAY(B7524)=1,2,IF(WEEKDAY(B7524)=7,1,0))))))</f>
        <v>1</v>
      </c>
      <c r="H7524" s="370">
        <v>12149.225158691406</v>
      </c>
      <c r="I7524" s="370">
        <v>8775.425048828125</v>
      </c>
      <c r="M7524" s="371">
        <f t="shared" si="469"/>
        <v>14987.052970620352</v>
      </c>
      <c r="N7524" s="329">
        <f t="shared" si="470"/>
        <v>5130.6575012207031</v>
      </c>
      <c r="T7524" s="331">
        <v>0</v>
      </c>
      <c r="U7524" s="328">
        <f>VLOOKUP(C7524,METADATA!$J$5:$Q$29,IF(E7524="HI",2,IF(E7524="LO",6,10))+IF(T7524=1,2,IF(D7524=7,1,(IF(WEEKDAY(B7524)=1,2,IF(WEEKDAY(B7524)=7,1,0))))))</f>
        <v>1</v>
      </c>
      <c r="V7524" s="328">
        <f>VLOOKUP(C7524,METADATA!$A$5:$H$29,IF(E7524="HI",2,IF(E7524="LO",6,10))+IF(T7524=1,2,IF(D7524=7,1,(IF(WEEKDAY(B7524)=1,2,IF(WEEKDAY(B7524)=7,1,0))))))</f>
        <v>1</v>
      </c>
    </row>
    <row r="7525" spans="2:22">
      <c r="B7525" s="318">
        <f t="shared" si="471"/>
        <v>46426</v>
      </c>
      <c r="C7525" s="312">
        <v>9</v>
      </c>
      <c r="D7525" s="368">
        <f>IFERROR((INDEX(METADATA!$T$2:$T$20,MATCH(B7525,METADATA!$S$2:$S$20,0))),0)</f>
        <v>0</v>
      </c>
      <c r="E7525" s="312" t="str">
        <f t="shared" si="468"/>
        <v>LO</v>
      </c>
      <c r="F7525" s="369">
        <f>VLOOKUP(C7525,METADATA!$A$5:$H$29,IF(E7525="HI",2,IF(E7525="LO",6,10))+IF(D7525=1,2,IF(D7525=7,1,(IF(WEEKDAY(B7525)=1,2,IF(WEEKDAY(B7525)=7,1,0))))))</f>
        <v>2</v>
      </c>
      <c r="G7525" s="369">
        <f>VLOOKUP(C7525,METADATA!$J$5:$Q$29,IF(E7525="HI",2,IF(E7525="LO",6,10))+IF(D7525=1,2,IF(D7525=7,1,(IF(WEEKDAY(B7525)=1,2,IF(WEEKDAY(B7525)=7,1,0))))))</f>
        <v>2</v>
      </c>
      <c r="H7525" s="370">
        <v>12196.625</v>
      </c>
      <c r="I7525" s="370">
        <v>8598.2999267578125</v>
      </c>
      <c r="M7525" s="371">
        <f t="shared" si="469"/>
        <v>14922.748507601018</v>
      </c>
      <c r="N7525" s="329">
        <f t="shared" si="470"/>
        <v>4939.3124267578132</v>
      </c>
      <c r="T7525" s="331">
        <v>0</v>
      </c>
      <c r="U7525" s="328">
        <f>VLOOKUP(C7525,METADATA!$J$5:$Q$29,IF(E7525="HI",2,IF(E7525="LO",6,10))+IF(T7525=1,2,IF(D7525=7,1,(IF(WEEKDAY(B7525)=1,2,IF(WEEKDAY(B7525)=7,1,0))))))</f>
        <v>2</v>
      </c>
      <c r="V7525" s="328">
        <f>VLOOKUP(C7525,METADATA!$A$5:$H$29,IF(E7525="HI",2,IF(E7525="LO",6,10))+IF(T7525=1,2,IF(D7525=7,1,(IF(WEEKDAY(B7525)=1,2,IF(WEEKDAY(B7525)=7,1,0))))))</f>
        <v>2</v>
      </c>
    </row>
    <row r="7526" spans="2:22">
      <c r="B7526" s="318">
        <f t="shared" si="471"/>
        <v>46426</v>
      </c>
      <c r="C7526" s="312">
        <v>10</v>
      </c>
      <c r="D7526" s="368">
        <f>IFERROR((INDEX(METADATA!$T$2:$T$20,MATCH(B7526,METADATA!$S$2:$S$20,0))),0)</f>
        <v>0</v>
      </c>
      <c r="E7526" s="312" t="str">
        <f t="shared" si="468"/>
        <v>LO</v>
      </c>
      <c r="F7526" s="369">
        <f>VLOOKUP(C7526,METADATA!$A$5:$H$29,IF(E7526="HI",2,IF(E7526="LO",6,10))+IF(D7526=1,2,IF(D7526=7,1,(IF(WEEKDAY(B7526)=1,2,IF(WEEKDAY(B7526)=7,1,0))))))</f>
        <v>2</v>
      </c>
      <c r="G7526" s="369">
        <f>VLOOKUP(C7526,METADATA!$J$5:$Q$29,IF(E7526="HI",2,IF(E7526="LO",6,10))+IF(D7526=1,2,IF(D7526=7,1,(IF(WEEKDAY(B7526)=1,2,IF(WEEKDAY(B7526)=7,1,0))))))</f>
        <v>2</v>
      </c>
      <c r="H7526" s="370">
        <v>12008.400146484375</v>
      </c>
      <c r="I7526" s="370">
        <v>8707.8251953125</v>
      </c>
      <c r="M7526" s="371">
        <f t="shared" si="469"/>
        <v>14833.337241167448</v>
      </c>
      <c r="N7526" s="329">
        <f t="shared" si="470"/>
        <v>5105.3051513671871</v>
      </c>
      <c r="T7526" s="331">
        <v>0</v>
      </c>
      <c r="U7526" s="328">
        <f>VLOOKUP(C7526,METADATA!$J$5:$Q$29,IF(E7526="HI",2,IF(E7526="LO",6,10))+IF(T7526=1,2,IF(D7526=7,1,(IF(WEEKDAY(B7526)=1,2,IF(WEEKDAY(B7526)=7,1,0))))))</f>
        <v>2</v>
      </c>
      <c r="V7526" s="328">
        <f>VLOOKUP(C7526,METADATA!$A$5:$H$29,IF(E7526="HI",2,IF(E7526="LO",6,10))+IF(T7526=1,2,IF(D7526=7,1,(IF(WEEKDAY(B7526)=1,2,IF(WEEKDAY(B7526)=7,1,0))))))</f>
        <v>2</v>
      </c>
    </row>
    <row r="7527" spans="2:22">
      <c r="B7527" s="318">
        <f t="shared" si="471"/>
        <v>46426</v>
      </c>
      <c r="C7527" s="312">
        <v>11</v>
      </c>
      <c r="D7527" s="368">
        <f>IFERROR((INDEX(METADATA!$T$2:$T$20,MATCH(B7527,METADATA!$S$2:$S$20,0))),0)</f>
        <v>0</v>
      </c>
      <c r="E7527" s="312" t="str">
        <f t="shared" si="468"/>
        <v>LO</v>
      </c>
      <c r="F7527" s="369">
        <f>VLOOKUP(C7527,METADATA!$A$5:$H$29,IF(E7527="HI",2,IF(E7527="LO",6,10))+IF(D7527=1,2,IF(D7527=7,1,(IF(WEEKDAY(B7527)=1,2,IF(WEEKDAY(B7527)=7,1,0))))))</f>
        <v>2</v>
      </c>
      <c r="G7527" s="369">
        <f>VLOOKUP(C7527,METADATA!$J$5:$Q$29,IF(E7527="HI",2,IF(E7527="LO",6,10))+IF(D7527=1,2,IF(D7527=7,1,(IF(WEEKDAY(B7527)=1,2,IF(WEEKDAY(B7527)=7,1,0))))))</f>
        <v>2</v>
      </c>
      <c r="H7527" s="370">
        <v>12001.724975585938</v>
      </c>
      <c r="I7527" s="370">
        <v>8752.9750366210938</v>
      </c>
      <c r="M7527" s="371">
        <f t="shared" si="469"/>
        <v>14854.493407091179</v>
      </c>
      <c r="N7527" s="329">
        <f t="shared" si="470"/>
        <v>5152.4575439453129</v>
      </c>
      <c r="T7527" s="331">
        <v>0</v>
      </c>
      <c r="U7527" s="328">
        <f>VLOOKUP(C7527,METADATA!$J$5:$Q$29,IF(E7527="HI",2,IF(E7527="LO",6,10))+IF(T7527=1,2,IF(D7527=7,1,(IF(WEEKDAY(B7527)=1,2,IF(WEEKDAY(B7527)=7,1,0))))))</f>
        <v>2</v>
      </c>
      <c r="V7527" s="328">
        <f>VLOOKUP(C7527,METADATA!$A$5:$H$29,IF(E7527="HI",2,IF(E7527="LO",6,10))+IF(T7527=1,2,IF(D7527=7,1,(IF(WEEKDAY(B7527)=1,2,IF(WEEKDAY(B7527)=7,1,0))))))</f>
        <v>2</v>
      </c>
    </row>
    <row r="7528" spans="2:22">
      <c r="B7528" s="318">
        <f t="shared" si="471"/>
        <v>46426</v>
      </c>
      <c r="C7528" s="312">
        <v>12</v>
      </c>
      <c r="D7528" s="368">
        <f>IFERROR((INDEX(METADATA!$T$2:$T$20,MATCH(B7528,METADATA!$S$2:$S$20,0))),0)</f>
        <v>0</v>
      </c>
      <c r="E7528" s="312" t="str">
        <f t="shared" si="468"/>
        <v>LO</v>
      </c>
      <c r="F7528" s="369">
        <f>VLOOKUP(C7528,METADATA!$A$5:$H$29,IF(E7528="HI",2,IF(E7528="LO",6,10))+IF(D7528=1,2,IF(D7528=7,1,(IF(WEEKDAY(B7528)=1,2,IF(WEEKDAY(B7528)=7,1,0))))))</f>
        <v>2</v>
      </c>
      <c r="G7528" s="369">
        <f>VLOOKUP(C7528,METADATA!$J$5:$Q$29,IF(E7528="HI",2,IF(E7528="LO",6,10))+IF(D7528=1,2,IF(D7528=7,1,(IF(WEEKDAY(B7528)=1,2,IF(WEEKDAY(B7528)=7,1,0))))))</f>
        <v>2</v>
      </c>
      <c r="H7528" s="370">
        <v>12284.550231933594</v>
      </c>
      <c r="I7528" s="370">
        <v>9068.9500122070313</v>
      </c>
      <c r="M7528" s="371">
        <f t="shared" si="469"/>
        <v>15269.44755794425</v>
      </c>
      <c r="N7528" s="329">
        <f t="shared" si="470"/>
        <v>5383.5849426269533</v>
      </c>
      <c r="T7528" s="331">
        <v>0</v>
      </c>
      <c r="U7528" s="328">
        <f>VLOOKUP(C7528,METADATA!$J$5:$Q$29,IF(E7528="HI",2,IF(E7528="LO",6,10))+IF(T7528=1,2,IF(D7528=7,1,(IF(WEEKDAY(B7528)=1,2,IF(WEEKDAY(B7528)=7,1,0))))))</f>
        <v>2</v>
      </c>
      <c r="V7528" s="328">
        <f>VLOOKUP(C7528,METADATA!$A$5:$H$29,IF(E7528="HI",2,IF(E7528="LO",6,10))+IF(T7528=1,2,IF(D7528=7,1,(IF(WEEKDAY(B7528)=1,2,IF(WEEKDAY(B7528)=7,1,0))))))</f>
        <v>2</v>
      </c>
    </row>
    <row r="7529" spans="2:22">
      <c r="B7529" s="318">
        <f t="shared" si="471"/>
        <v>46426</v>
      </c>
      <c r="C7529" s="312">
        <v>13</v>
      </c>
      <c r="D7529" s="368">
        <f>IFERROR((INDEX(METADATA!$T$2:$T$20,MATCH(B7529,METADATA!$S$2:$S$20,0))),0)</f>
        <v>0</v>
      </c>
      <c r="E7529" s="312" t="str">
        <f t="shared" si="468"/>
        <v>LO</v>
      </c>
      <c r="F7529" s="369">
        <f>VLOOKUP(C7529,METADATA!$A$5:$H$29,IF(E7529="HI",2,IF(E7529="LO",6,10))+IF(D7529=1,2,IF(D7529=7,1,(IF(WEEKDAY(B7529)=1,2,IF(WEEKDAY(B7529)=7,1,0))))))</f>
        <v>2</v>
      </c>
      <c r="G7529" s="369">
        <f>VLOOKUP(C7529,METADATA!$J$5:$Q$29,IF(E7529="HI",2,IF(E7529="LO",6,10))+IF(D7529=1,2,IF(D7529=7,1,(IF(WEEKDAY(B7529)=1,2,IF(WEEKDAY(B7529)=7,1,0))))))</f>
        <v>2</v>
      </c>
      <c r="H7529" s="370">
        <v>13056.674987792969</v>
      </c>
      <c r="I7529" s="370">
        <v>9733.9251708984375</v>
      </c>
      <c r="M7529" s="371">
        <f t="shared" si="469"/>
        <v>16285.762523428515</v>
      </c>
      <c r="N7529" s="329">
        <f t="shared" si="470"/>
        <v>5816.9226745605465</v>
      </c>
      <c r="T7529" s="331">
        <v>0</v>
      </c>
      <c r="U7529" s="328">
        <f>VLOOKUP(C7529,METADATA!$J$5:$Q$29,IF(E7529="HI",2,IF(E7529="LO",6,10))+IF(T7529=1,2,IF(D7529=7,1,(IF(WEEKDAY(B7529)=1,2,IF(WEEKDAY(B7529)=7,1,0))))))</f>
        <v>2</v>
      </c>
      <c r="V7529" s="328">
        <f>VLOOKUP(C7529,METADATA!$A$5:$H$29,IF(E7529="HI",2,IF(E7529="LO",6,10))+IF(T7529=1,2,IF(D7529=7,1,(IF(WEEKDAY(B7529)=1,2,IF(WEEKDAY(B7529)=7,1,0))))))</f>
        <v>2</v>
      </c>
    </row>
    <row r="7530" spans="2:22">
      <c r="B7530" s="318">
        <f t="shared" si="471"/>
        <v>46426</v>
      </c>
      <c r="C7530" s="312">
        <v>14</v>
      </c>
      <c r="D7530" s="368">
        <f>IFERROR((INDEX(METADATA!$T$2:$T$20,MATCH(B7530,METADATA!$S$2:$S$20,0))),0)</f>
        <v>0</v>
      </c>
      <c r="E7530" s="312" t="str">
        <f t="shared" si="468"/>
        <v>LO</v>
      </c>
      <c r="F7530" s="369">
        <f>VLOOKUP(C7530,METADATA!$A$5:$H$29,IF(E7530="HI",2,IF(E7530="LO",6,10))+IF(D7530=1,2,IF(D7530=7,1,(IF(WEEKDAY(B7530)=1,2,IF(WEEKDAY(B7530)=7,1,0))))))</f>
        <v>2</v>
      </c>
      <c r="G7530" s="369">
        <f>VLOOKUP(C7530,METADATA!$J$5:$Q$29,IF(E7530="HI",2,IF(E7530="LO",6,10))+IF(D7530=1,2,IF(D7530=7,1,(IF(WEEKDAY(B7530)=1,2,IF(WEEKDAY(B7530)=7,1,0))))))</f>
        <v>2</v>
      </c>
      <c r="H7530" s="370">
        <v>10335.199951171875</v>
      </c>
      <c r="I7530" s="370">
        <v>8218.8500366210938</v>
      </c>
      <c r="M7530" s="371">
        <f t="shared" si="469"/>
        <v>13204.766334743288</v>
      </c>
      <c r="N7530" s="329">
        <f t="shared" si="470"/>
        <v>5118.2900512695314</v>
      </c>
      <c r="T7530" s="331">
        <v>0</v>
      </c>
      <c r="U7530" s="328">
        <f>VLOOKUP(C7530,METADATA!$J$5:$Q$29,IF(E7530="HI",2,IF(E7530="LO",6,10))+IF(T7530=1,2,IF(D7530=7,1,(IF(WEEKDAY(B7530)=1,2,IF(WEEKDAY(B7530)=7,1,0))))))</f>
        <v>2</v>
      </c>
      <c r="V7530" s="328">
        <f>VLOOKUP(C7530,METADATA!$A$5:$H$29,IF(E7530="HI",2,IF(E7530="LO",6,10))+IF(T7530=1,2,IF(D7530=7,1,(IF(WEEKDAY(B7530)=1,2,IF(WEEKDAY(B7530)=7,1,0))))))</f>
        <v>2</v>
      </c>
    </row>
    <row r="7531" spans="2:22">
      <c r="B7531" s="318">
        <f t="shared" si="471"/>
        <v>46426</v>
      </c>
      <c r="C7531" s="312">
        <v>15</v>
      </c>
      <c r="D7531" s="368">
        <f>IFERROR((INDEX(METADATA!$T$2:$T$20,MATCH(B7531,METADATA!$S$2:$S$20,0))),0)</f>
        <v>0</v>
      </c>
      <c r="E7531" s="312" t="str">
        <f t="shared" si="468"/>
        <v>LO</v>
      </c>
      <c r="F7531" s="369">
        <f>VLOOKUP(C7531,METADATA!$A$5:$H$29,IF(E7531="HI",2,IF(E7531="LO",6,10))+IF(D7531=1,2,IF(D7531=7,1,(IF(WEEKDAY(B7531)=1,2,IF(WEEKDAY(B7531)=7,1,0))))))</f>
        <v>2</v>
      </c>
      <c r="G7531" s="369">
        <f>VLOOKUP(C7531,METADATA!$J$5:$Q$29,IF(E7531="HI",2,IF(E7531="LO",6,10))+IF(D7531=1,2,IF(D7531=7,1,(IF(WEEKDAY(B7531)=1,2,IF(WEEKDAY(B7531)=7,1,0))))))</f>
        <v>2</v>
      </c>
      <c r="H7531" s="370">
        <v>7972.925048828125</v>
      </c>
      <c r="I7531" s="370">
        <v>7255.4248046875</v>
      </c>
      <c r="M7531" s="371">
        <f t="shared" si="469"/>
        <v>10780.014978222693</v>
      </c>
      <c r="N7531" s="329">
        <f t="shared" si="470"/>
        <v>4863.5472900390632</v>
      </c>
      <c r="T7531" s="331">
        <v>0</v>
      </c>
      <c r="U7531" s="328">
        <f>VLOOKUP(C7531,METADATA!$J$5:$Q$29,IF(E7531="HI",2,IF(E7531="LO",6,10))+IF(T7531=1,2,IF(D7531=7,1,(IF(WEEKDAY(B7531)=1,2,IF(WEEKDAY(B7531)=7,1,0))))))</f>
        <v>2</v>
      </c>
      <c r="V7531" s="328">
        <f>VLOOKUP(C7531,METADATA!$A$5:$H$29,IF(E7531="HI",2,IF(E7531="LO",6,10))+IF(T7531=1,2,IF(D7531=7,1,(IF(WEEKDAY(B7531)=1,2,IF(WEEKDAY(B7531)=7,1,0))))))</f>
        <v>2</v>
      </c>
    </row>
    <row r="7532" spans="2:22">
      <c r="B7532" s="318">
        <f t="shared" si="471"/>
        <v>46426</v>
      </c>
      <c r="C7532" s="312">
        <v>16</v>
      </c>
      <c r="D7532" s="368">
        <f>IFERROR((INDEX(METADATA!$T$2:$T$20,MATCH(B7532,METADATA!$S$2:$S$20,0))),0)</f>
        <v>0</v>
      </c>
      <c r="E7532" s="312" t="str">
        <f t="shared" si="468"/>
        <v>LO</v>
      </c>
      <c r="F7532" s="369">
        <f>VLOOKUP(C7532,METADATA!$A$5:$H$29,IF(E7532="HI",2,IF(E7532="LO",6,10))+IF(D7532=1,2,IF(D7532=7,1,(IF(WEEKDAY(B7532)=1,2,IF(WEEKDAY(B7532)=7,1,0))))))</f>
        <v>2</v>
      </c>
      <c r="G7532" s="369">
        <f>VLOOKUP(C7532,METADATA!$J$5:$Q$29,IF(E7532="HI",2,IF(E7532="LO",6,10))+IF(D7532=1,2,IF(D7532=7,1,(IF(WEEKDAY(B7532)=1,2,IF(WEEKDAY(B7532)=7,1,0))))))</f>
        <v>2</v>
      </c>
      <c r="H7532" s="370">
        <v>8820.4752197265625</v>
      </c>
      <c r="I7532" s="370">
        <v>7785.7498168945313</v>
      </c>
      <c r="M7532" s="371">
        <f t="shared" si="469"/>
        <v>11765.146973713656</v>
      </c>
      <c r="N7532" s="329">
        <f t="shared" si="470"/>
        <v>5139.6072509765627</v>
      </c>
      <c r="T7532" s="331">
        <v>0</v>
      </c>
      <c r="U7532" s="328">
        <f>VLOOKUP(C7532,METADATA!$J$5:$Q$29,IF(E7532="HI",2,IF(E7532="LO",6,10))+IF(T7532=1,2,IF(D7532=7,1,(IF(WEEKDAY(B7532)=1,2,IF(WEEKDAY(B7532)=7,1,0))))))</f>
        <v>2</v>
      </c>
      <c r="V7532" s="328">
        <f>VLOOKUP(C7532,METADATA!$A$5:$H$29,IF(E7532="HI",2,IF(E7532="LO",6,10))+IF(T7532=1,2,IF(D7532=7,1,(IF(WEEKDAY(B7532)=1,2,IF(WEEKDAY(B7532)=7,1,0))))))</f>
        <v>2</v>
      </c>
    </row>
    <row r="7533" spans="2:22">
      <c r="B7533" s="318">
        <f t="shared" si="471"/>
        <v>46426</v>
      </c>
      <c r="C7533" s="312">
        <v>17</v>
      </c>
      <c r="D7533" s="368">
        <f>IFERROR((INDEX(METADATA!$T$2:$T$20,MATCH(B7533,METADATA!$S$2:$S$20,0))),0)</f>
        <v>0</v>
      </c>
      <c r="E7533" s="312" t="str">
        <f t="shared" si="468"/>
        <v>LO</v>
      </c>
      <c r="F7533" s="369">
        <f>VLOOKUP(C7533,METADATA!$A$5:$H$29,IF(E7533="HI",2,IF(E7533="LO",6,10))+IF(D7533=1,2,IF(D7533=7,1,(IF(WEEKDAY(B7533)=1,2,IF(WEEKDAY(B7533)=7,1,0))))))</f>
        <v>2</v>
      </c>
      <c r="G7533" s="369">
        <f>VLOOKUP(C7533,METADATA!$J$5:$Q$29,IF(E7533="HI",2,IF(E7533="LO",6,10))+IF(D7533=1,2,IF(D7533=7,1,(IF(WEEKDAY(B7533)=1,2,IF(WEEKDAY(B7533)=7,1,0))))))</f>
        <v>2</v>
      </c>
      <c r="H7533" s="370">
        <v>6724.5</v>
      </c>
      <c r="I7533" s="370">
        <v>6627.0447998046875</v>
      </c>
      <c r="M7533" s="371">
        <f t="shared" si="469"/>
        <v>9441.2193613228974</v>
      </c>
      <c r="N7533" s="329">
        <f t="shared" si="470"/>
        <v>4609.6947998046871</v>
      </c>
      <c r="T7533" s="331">
        <v>0</v>
      </c>
      <c r="U7533" s="328">
        <f>VLOOKUP(C7533,METADATA!$J$5:$Q$29,IF(E7533="HI",2,IF(E7533="LO",6,10))+IF(T7533=1,2,IF(D7533=7,1,(IF(WEEKDAY(B7533)=1,2,IF(WEEKDAY(B7533)=7,1,0))))))</f>
        <v>2</v>
      </c>
      <c r="V7533" s="328">
        <f>VLOOKUP(C7533,METADATA!$A$5:$H$29,IF(E7533="HI",2,IF(E7533="LO",6,10))+IF(T7533=1,2,IF(D7533=7,1,(IF(WEEKDAY(B7533)=1,2,IF(WEEKDAY(B7533)=7,1,0))))))</f>
        <v>2</v>
      </c>
    </row>
    <row r="7534" spans="2:22">
      <c r="B7534" s="318">
        <f t="shared" si="471"/>
        <v>46426</v>
      </c>
      <c r="C7534" s="312">
        <v>18</v>
      </c>
      <c r="D7534" s="368">
        <f>IFERROR((INDEX(METADATA!$T$2:$T$20,MATCH(B7534,METADATA!$S$2:$S$20,0))),0)</f>
        <v>0</v>
      </c>
      <c r="E7534" s="312" t="str">
        <f t="shared" si="468"/>
        <v>LO</v>
      </c>
      <c r="F7534" s="369">
        <f>VLOOKUP(C7534,METADATA!$A$5:$H$29,IF(E7534="HI",2,IF(E7534="LO",6,10))+IF(D7534=1,2,IF(D7534=7,1,(IF(WEEKDAY(B7534)=1,2,IF(WEEKDAY(B7534)=7,1,0))))))</f>
        <v>1</v>
      </c>
      <c r="G7534" s="369">
        <f>VLOOKUP(C7534,METADATA!$J$5:$Q$29,IF(E7534="HI",2,IF(E7534="LO",6,10))+IF(D7534=1,2,IF(D7534=7,1,(IF(WEEKDAY(B7534)=1,2,IF(WEEKDAY(B7534)=7,1,0))))))</f>
        <v>1</v>
      </c>
      <c r="H7534" s="370">
        <v>5500.2650451660156</v>
      </c>
      <c r="I7534" s="370">
        <v>5819.1074523925781</v>
      </c>
      <c r="M7534" s="371">
        <f t="shared" si="469"/>
        <v>8007.1797225718592</v>
      </c>
      <c r="N7534" s="329">
        <f t="shared" si="470"/>
        <v>4169.0279388427734</v>
      </c>
      <c r="T7534" s="331">
        <v>0</v>
      </c>
      <c r="U7534" s="328">
        <f>VLOOKUP(C7534,METADATA!$J$5:$Q$29,IF(E7534="HI",2,IF(E7534="LO",6,10))+IF(T7534=1,2,IF(D7534=7,1,(IF(WEEKDAY(B7534)=1,2,IF(WEEKDAY(B7534)=7,1,0))))))</f>
        <v>1</v>
      </c>
      <c r="V7534" s="328">
        <f>VLOOKUP(C7534,METADATA!$A$5:$H$29,IF(E7534="HI",2,IF(E7534="LO",6,10))+IF(T7534=1,2,IF(D7534=7,1,(IF(WEEKDAY(B7534)=1,2,IF(WEEKDAY(B7534)=7,1,0))))))</f>
        <v>1</v>
      </c>
    </row>
    <row r="7535" spans="2:22">
      <c r="B7535" s="318">
        <f t="shared" si="471"/>
        <v>46426</v>
      </c>
      <c r="C7535" s="312">
        <v>19</v>
      </c>
      <c r="D7535" s="368">
        <f>IFERROR((INDEX(METADATA!$T$2:$T$20,MATCH(B7535,METADATA!$S$2:$S$20,0))),0)</f>
        <v>0</v>
      </c>
      <c r="E7535" s="312" t="str">
        <f t="shared" si="468"/>
        <v>LO</v>
      </c>
      <c r="F7535" s="369">
        <f>VLOOKUP(C7535,METADATA!$A$5:$H$29,IF(E7535="HI",2,IF(E7535="LO",6,10))+IF(D7535=1,2,IF(D7535=7,1,(IF(WEEKDAY(B7535)=1,2,IF(WEEKDAY(B7535)=7,1,0))))))</f>
        <v>1</v>
      </c>
      <c r="G7535" s="369">
        <f>VLOOKUP(C7535,METADATA!$J$5:$Q$29,IF(E7535="HI",2,IF(E7535="LO",6,10))+IF(D7535=1,2,IF(D7535=7,1,(IF(WEEKDAY(B7535)=1,2,IF(WEEKDAY(B7535)=7,1,0))))))</f>
        <v>1</v>
      </c>
      <c r="H7535" s="370">
        <v>7620.4175109863281</v>
      </c>
      <c r="I7535" s="370">
        <v>7109.5451354980469</v>
      </c>
      <c r="M7535" s="371">
        <f t="shared" si="469"/>
        <v>10421.91897279148</v>
      </c>
      <c r="N7535" s="329">
        <f t="shared" si="470"/>
        <v>4823.4198822021481</v>
      </c>
      <c r="T7535" s="331">
        <v>0</v>
      </c>
      <c r="U7535" s="328">
        <f>VLOOKUP(C7535,METADATA!$J$5:$Q$29,IF(E7535="HI",2,IF(E7535="LO",6,10))+IF(T7535=1,2,IF(D7535=7,1,(IF(WEEKDAY(B7535)=1,2,IF(WEEKDAY(B7535)=7,1,0))))))</f>
        <v>1</v>
      </c>
      <c r="V7535" s="328">
        <f>VLOOKUP(C7535,METADATA!$A$5:$H$29,IF(E7535="HI",2,IF(E7535="LO",6,10))+IF(T7535=1,2,IF(D7535=7,1,(IF(WEEKDAY(B7535)=1,2,IF(WEEKDAY(B7535)=7,1,0))))))</f>
        <v>1</v>
      </c>
    </row>
    <row r="7536" spans="2:22">
      <c r="B7536" s="318">
        <f t="shared" si="471"/>
        <v>46426</v>
      </c>
      <c r="C7536" s="312">
        <v>20</v>
      </c>
      <c r="D7536" s="368">
        <f>IFERROR((INDEX(METADATA!$T$2:$T$20,MATCH(B7536,METADATA!$S$2:$S$20,0))),0)</f>
        <v>0</v>
      </c>
      <c r="E7536" s="312" t="str">
        <f t="shared" si="468"/>
        <v>LO</v>
      </c>
      <c r="F7536" s="369">
        <f>VLOOKUP(C7536,METADATA!$A$5:$H$29,IF(E7536="HI",2,IF(E7536="LO",6,10))+IF(D7536=1,2,IF(D7536=7,1,(IF(WEEKDAY(B7536)=1,2,IF(WEEKDAY(B7536)=7,1,0))))))</f>
        <v>1</v>
      </c>
      <c r="G7536" s="369">
        <f>VLOOKUP(C7536,METADATA!$J$5:$Q$29,IF(E7536="HI",2,IF(E7536="LO",6,10))+IF(D7536=1,2,IF(D7536=7,1,(IF(WEEKDAY(B7536)=1,2,IF(WEEKDAY(B7536)=7,1,0))))))</f>
        <v>1</v>
      </c>
      <c r="H7536" s="370">
        <v>11407.475341796875</v>
      </c>
      <c r="I7536" s="370">
        <v>8898.0023803710938</v>
      </c>
      <c r="M7536" s="371">
        <f t="shared" si="469"/>
        <v>14467.375022262793</v>
      </c>
      <c r="N7536" s="329">
        <f t="shared" si="470"/>
        <v>5475.7597778320314</v>
      </c>
      <c r="T7536" s="331">
        <v>0</v>
      </c>
      <c r="U7536" s="328">
        <f>VLOOKUP(C7536,METADATA!$J$5:$Q$29,IF(E7536="HI",2,IF(E7536="LO",6,10))+IF(T7536=1,2,IF(D7536=7,1,(IF(WEEKDAY(B7536)=1,2,IF(WEEKDAY(B7536)=7,1,0))))))</f>
        <v>1</v>
      </c>
      <c r="V7536" s="328">
        <f>VLOOKUP(C7536,METADATA!$A$5:$H$29,IF(E7536="HI",2,IF(E7536="LO",6,10))+IF(T7536=1,2,IF(D7536=7,1,(IF(WEEKDAY(B7536)=1,2,IF(WEEKDAY(B7536)=7,1,0))))))</f>
        <v>1</v>
      </c>
    </row>
    <row r="7537" spans="2:22">
      <c r="B7537" s="318">
        <f t="shared" si="471"/>
        <v>46426</v>
      </c>
      <c r="C7537" s="312">
        <v>21</v>
      </c>
      <c r="D7537" s="368">
        <f>IFERROR((INDEX(METADATA!$T$2:$T$20,MATCH(B7537,METADATA!$S$2:$S$20,0))),0)</f>
        <v>0</v>
      </c>
      <c r="E7537" s="312" t="str">
        <f t="shared" si="468"/>
        <v>LO</v>
      </c>
      <c r="F7537" s="369">
        <f>VLOOKUP(C7537,METADATA!$A$5:$H$29,IF(E7537="HI",2,IF(E7537="LO",6,10))+IF(D7537=1,2,IF(D7537=7,1,(IF(WEEKDAY(B7537)=1,2,IF(WEEKDAY(B7537)=7,1,0))))))</f>
        <v>2</v>
      </c>
      <c r="G7537" s="369">
        <f>VLOOKUP(C7537,METADATA!$J$5:$Q$29,IF(E7537="HI",2,IF(E7537="LO",6,10))+IF(D7537=1,2,IF(D7537=7,1,(IF(WEEKDAY(B7537)=1,2,IF(WEEKDAY(B7537)=7,1,0))))))</f>
        <v>2</v>
      </c>
      <c r="H7537" s="370">
        <v>13190.450073242188</v>
      </c>
      <c r="I7537" s="370">
        <v>9913.050048828125</v>
      </c>
      <c r="M7537" s="371">
        <f t="shared" si="469"/>
        <v>16500.19801109266</v>
      </c>
      <c r="N7537" s="329">
        <f t="shared" si="470"/>
        <v>5955.9150268554695</v>
      </c>
      <c r="T7537" s="331">
        <v>0</v>
      </c>
      <c r="U7537" s="328">
        <f>VLOOKUP(C7537,METADATA!$J$5:$Q$29,IF(E7537="HI",2,IF(E7537="LO",6,10))+IF(T7537=1,2,IF(D7537=7,1,(IF(WEEKDAY(B7537)=1,2,IF(WEEKDAY(B7537)=7,1,0))))))</f>
        <v>2</v>
      </c>
      <c r="V7537" s="328">
        <f>VLOOKUP(C7537,METADATA!$A$5:$H$29,IF(E7537="HI",2,IF(E7537="LO",6,10))+IF(T7537=1,2,IF(D7537=7,1,(IF(WEEKDAY(B7537)=1,2,IF(WEEKDAY(B7537)=7,1,0))))))</f>
        <v>2</v>
      </c>
    </row>
    <row r="7538" spans="2:22">
      <c r="B7538" s="318">
        <f t="shared" si="471"/>
        <v>46426</v>
      </c>
      <c r="C7538" s="312">
        <v>22</v>
      </c>
      <c r="D7538" s="368">
        <f>IFERROR((INDEX(METADATA!$T$2:$T$20,MATCH(B7538,METADATA!$S$2:$S$20,0))),0)</f>
        <v>0</v>
      </c>
      <c r="E7538" s="312" t="str">
        <f t="shared" si="468"/>
        <v>LO</v>
      </c>
      <c r="F7538" s="369">
        <f>VLOOKUP(C7538,METADATA!$A$5:$H$29,IF(E7538="HI",2,IF(E7538="LO",6,10))+IF(D7538=1,2,IF(D7538=7,1,(IF(WEEKDAY(B7538)=1,2,IF(WEEKDAY(B7538)=7,1,0))))))</f>
        <v>3</v>
      </c>
      <c r="G7538" s="369">
        <f>VLOOKUP(C7538,METADATA!$J$5:$Q$29,IF(E7538="HI",2,IF(E7538="LO",6,10))+IF(D7538=1,2,IF(D7538=7,1,(IF(WEEKDAY(B7538)=1,2,IF(WEEKDAY(B7538)=7,1,0))))))</f>
        <v>3</v>
      </c>
      <c r="H7538" s="370">
        <v>13090.400146484375</v>
      </c>
      <c r="I7538" s="370">
        <v>9707.7001342773438</v>
      </c>
      <c r="M7538" s="371">
        <f t="shared" si="469"/>
        <v>16297.178218701743</v>
      </c>
      <c r="N7538" s="329">
        <f t="shared" si="470"/>
        <v>5780.5800903320314</v>
      </c>
      <c r="T7538" s="331">
        <v>0</v>
      </c>
      <c r="U7538" s="328">
        <f>VLOOKUP(C7538,METADATA!$J$5:$Q$29,IF(E7538="HI",2,IF(E7538="LO",6,10))+IF(T7538=1,2,IF(D7538=7,1,(IF(WEEKDAY(B7538)=1,2,IF(WEEKDAY(B7538)=7,1,0))))))</f>
        <v>3</v>
      </c>
      <c r="V7538" s="328">
        <f>VLOOKUP(C7538,METADATA!$A$5:$H$29,IF(E7538="HI",2,IF(E7538="LO",6,10))+IF(T7538=1,2,IF(D7538=7,1,(IF(WEEKDAY(B7538)=1,2,IF(WEEKDAY(B7538)=7,1,0))))))</f>
        <v>3</v>
      </c>
    </row>
    <row r="7539" spans="2:22">
      <c r="B7539" s="318">
        <f t="shared" si="471"/>
        <v>46426</v>
      </c>
      <c r="C7539" s="312">
        <v>23</v>
      </c>
      <c r="D7539" s="368">
        <f>IFERROR((INDEX(METADATA!$T$2:$T$20,MATCH(B7539,METADATA!$S$2:$S$20,0))),0)</f>
        <v>0</v>
      </c>
      <c r="E7539" s="312" t="str">
        <f t="shared" si="468"/>
        <v>LO</v>
      </c>
      <c r="F7539" s="369">
        <f>VLOOKUP(C7539,METADATA!$A$5:$H$29,IF(E7539="HI",2,IF(E7539="LO",6,10))+IF(D7539=1,2,IF(D7539=7,1,(IF(WEEKDAY(B7539)=1,2,IF(WEEKDAY(B7539)=7,1,0))))))</f>
        <v>3</v>
      </c>
      <c r="G7539" s="369">
        <f>VLOOKUP(C7539,METADATA!$J$5:$Q$29,IF(E7539="HI",2,IF(E7539="LO",6,10))+IF(D7539=1,2,IF(D7539=7,1,(IF(WEEKDAY(B7539)=1,2,IF(WEEKDAY(B7539)=7,1,0))))))</f>
        <v>3</v>
      </c>
      <c r="H7539" s="370">
        <v>11287.150146484375</v>
      </c>
      <c r="I7539" s="370">
        <v>8886.9251098632813</v>
      </c>
      <c r="M7539" s="371">
        <f t="shared" si="469"/>
        <v>14365.834341854314</v>
      </c>
      <c r="N7539" s="329">
        <f t="shared" si="470"/>
        <v>5500.7800659179684</v>
      </c>
      <c r="T7539" s="331">
        <v>0</v>
      </c>
      <c r="U7539" s="328">
        <f>VLOOKUP(C7539,METADATA!$J$5:$Q$29,IF(E7539="HI",2,IF(E7539="LO",6,10))+IF(T7539=1,2,IF(D7539=7,1,(IF(WEEKDAY(B7539)=1,2,IF(WEEKDAY(B7539)=7,1,0))))))</f>
        <v>3</v>
      </c>
      <c r="V7539" s="328">
        <f>VLOOKUP(C7539,METADATA!$A$5:$H$29,IF(E7539="HI",2,IF(E7539="LO",6,10))+IF(T7539=1,2,IF(D7539=7,1,(IF(WEEKDAY(B7539)=1,2,IF(WEEKDAY(B7539)=7,1,0))))))</f>
        <v>3</v>
      </c>
    </row>
    <row r="7540" spans="2:22">
      <c r="B7540" s="318">
        <f t="shared" si="471"/>
        <v>46427</v>
      </c>
      <c r="C7540" s="312">
        <v>0</v>
      </c>
      <c r="D7540" s="368">
        <f>IFERROR((INDEX(METADATA!$T$2:$T$20,MATCH(B7540,METADATA!$S$2:$S$20,0))),0)</f>
        <v>0</v>
      </c>
      <c r="E7540" s="312" t="str">
        <f t="shared" si="468"/>
        <v>LO</v>
      </c>
      <c r="F7540" s="369">
        <f>VLOOKUP(C7540,METADATA!$A$5:$H$29,IF(E7540="HI",2,IF(E7540="LO",6,10))+IF(D7540=1,2,IF(D7540=7,1,(IF(WEEKDAY(B7540)=1,2,IF(WEEKDAY(B7540)=7,1,0))))))</f>
        <v>3</v>
      </c>
      <c r="G7540" s="369">
        <f>VLOOKUP(C7540,METADATA!$J$5:$Q$29,IF(E7540="HI",2,IF(E7540="LO",6,10))+IF(D7540=1,2,IF(D7540=7,1,(IF(WEEKDAY(B7540)=1,2,IF(WEEKDAY(B7540)=7,1,0))))))</f>
        <v>3</v>
      </c>
      <c r="H7540" s="370">
        <v>7994.75</v>
      </c>
      <c r="I7540" s="370">
        <v>7406.6250610351563</v>
      </c>
      <c r="M7540" s="371">
        <f t="shared" si="469"/>
        <v>10898.354112307694</v>
      </c>
      <c r="N7540" s="329">
        <f t="shared" si="470"/>
        <v>5008.200061035157</v>
      </c>
      <c r="T7540" s="331">
        <v>0</v>
      </c>
      <c r="U7540" s="328">
        <f>VLOOKUP(C7540,METADATA!$J$5:$Q$29,IF(E7540="HI",2,IF(E7540="LO",6,10))+IF(T7540=1,2,IF(D7540=7,1,(IF(WEEKDAY(B7540)=1,2,IF(WEEKDAY(B7540)=7,1,0))))))</f>
        <v>3</v>
      </c>
      <c r="V7540" s="328">
        <f>VLOOKUP(C7540,METADATA!$A$5:$H$29,IF(E7540="HI",2,IF(E7540="LO",6,10))+IF(T7540=1,2,IF(D7540=7,1,(IF(WEEKDAY(B7540)=1,2,IF(WEEKDAY(B7540)=7,1,0))))))</f>
        <v>3</v>
      </c>
    </row>
    <row r="7541" spans="2:22">
      <c r="B7541" s="318">
        <f t="shared" si="471"/>
        <v>46427</v>
      </c>
      <c r="C7541" s="312">
        <v>1</v>
      </c>
      <c r="D7541" s="368">
        <f>IFERROR((INDEX(METADATA!$T$2:$T$20,MATCH(B7541,METADATA!$S$2:$S$20,0))),0)</f>
        <v>0</v>
      </c>
      <c r="E7541" s="312" t="str">
        <f t="shared" si="468"/>
        <v>LO</v>
      </c>
      <c r="F7541" s="369">
        <f>VLOOKUP(C7541,METADATA!$A$5:$H$29,IF(E7541="HI",2,IF(E7541="LO",6,10))+IF(D7541=1,2,IF(D7541=7,1,(IF(WEEKDAY(B7541)=1,2,IF(WEEKDAY(B7541)=7,1,0))))))</f>
        <v>3</v>
      </c>
      <c r="G7541" s="369">
        <f>VLOOKUP(C7541,METADATA!$J$5:$Q$29,IF(E7541="HI",2,IF(E7541="LO",6,10))+IF(D7541=1,2,IF(D7541=7,1,(IF(WEEKDAY(B7541)=1,2,IF(WEEKDAY(B7541)=7,1,0))))))</f>
        <v>3</v>
      </c>
      <c r="H7541" s="370">
        <v>6482.2174377441406</v>
      </c>
      <c r="I7541" s="370">
        <v>6476.3623352050781</v>
      </c>
      <c r="M7541" s="371">
        <f t="shared" si="469"/>
        <v>9163.1005673329364</v>
      </c>
      <c r="N7541" s="329">
        <f t="shared" si="470"/>
        <v>4531.6971038818356</v>
      </c>
      <c r="T7541" s="331">
        <v>0</v>
      </c>
      <c r="U7541" s="328">
        <f>VLOOKUP(C7541,METADATA!$J$5:$Q$29,IF(E7541="HI",2,IF(E7541="LO",6,10))+IF(T7541=1,2,IF(D7541=7,1,(IF(WEEKDAY(B7541)=1,2,IF(WEEKDAY(B7541)=7,1,0))))))</f>
        <v>3</v>
      </c>
      <c r="V7541" s="328">
        <f>VLOOKUP(C7541,METADATA!$A$5:$H$29,IF(E7541="HI",2,IF(E7541="LO",6,10))+IF(T7541=1,2,IF(D7541=7,1,(IF(WEEKDAY(B7541)=1,2,IF(WEEKDAY(B7541)=7,1,0))))))</f>
        <v>3</v>
      </c>
    </row>
    <row r="7542" spans="2:22">
      <c r="B7542" s="318">
        <f t="shared" si="471"/>
        <v>46427</v>
      </c>
      <c r="C7542" s="312">
        <v>2</v>
      </c>
      <c r="D7542" s="368">
        <f>IFERROR((INDEX(METADATA!$T$2:$T$20,MATCH(B7542,METADATA!$S$2:$S$20,0))),0)</f>
        <v>0</v>
      </c>
      <c r="E7542" s="312" t="str">
        <f t="shared" si="468"/>
        <v>LO</v>
      </c>
      <c r="F7542" s="369">
        <f>VLOOKUP(C7542,METADATA!$A$5:$H$29,IF(E7542="HI",2,IF(E7542="LO",6,10))+IF(D7542=1,2,IF(D7542=7,1,(IF(WEEKDAY(B7542)=1,2,IF(WEEKDAY(B7542)=7,1,0))))))</f>
        <v>3</v>
      </c>
      <c r="G7542" s="369">
        <f>VLOOKUP(C7542,METADATA!$J$5:$Q$29,IF(E7542="HI",2,IF(E7542="LO",6,10))+IF(D7542=1,2,IF(D7542=7,1,(IF(WEEKDAY(B7542)=1,2,IF(WEEKDAY(B7542)=7,1,0))))))</f>
        <v>3</v>
      </c>
      <c r="H7542" s="370">
        <v>5628.5624694824219</v>
      </c>
      <c r="I7542" s="370">
        <v>5903.5925598144531</v>
      </c>
      <c r="M7542" s="371">
        <f t="shared" si="469"/>
        <v>8156.7837157278254</v>
      </c>
      <c r="N7542" s="329">
        <f t="shared" si="470"/>
        <v>4215.0238189697266</v>
      </c>
      <c r="T7542" s="331">
        <v>0</v>
      </c>
      <c r="U7542" s="328">
        <f>VLOOKUP(C7542,METADATA!$J$5:$Q$29,IF(E7542="HI",2,IF(E7542="LO",6,10))+IF(T7542=1,2,IF(D7542=7,1,(IF(WEEKDAY(B7542)=1,2,IF(WEEKDAY(B7542)=7,1,0))))))</f>
        <v>3</v>
      </c>
      <c r="V7542" s="328">
        <f>VLOOKUP(C7542,METADATA!$A$5:$H$29,IF(E7542="HI",2,IF(E7542="LO",6,10))+IF(T7542=1,2,IF(D7542=7,1,(IF(WEEKDAY(B7542)=1,2,IF(WEEKDAY(B7542)=7,1,0))))))</f>
        <v>3</v>
      </c>
    </row>
    <row r="7543" spans="2:22">
      <c r="B7543" s="318">
        <f t="shared" si="471"/>
        <v>46427</v>
      </c>
      <c r="C7543" s="312">
        <v>3</v>
      </c>
      <c r="D7543" s="368">
        <f>IFERROR((INDEX(METADATA!$T$2:$T$20,MATCH(B7543,METADATA!$S$2:$S$20,0))),0)</f>
        <v>0</v>
      </c>
      <c r="E7543" s="312" t="str">
        <f t="shared" si="468"/>
        <v>LO</v>
      </c>
      <c r="F7543" s="369">
        <f>VLOOKUP(C7543,METADATA!$A$5:$H$29,IF(E7543="HI",2,IF(E7543="LO",6,10))+IF(D7543=1,2,IF(D7543=7,1,(IF(WEEKDAY(B7543)=1,2,IF(WEEKDAY(B7543)=7,1,0))))))</f>
        <v>3</v>
      </c>
      <c r="G7543" s="369">
        <f>VLOOKUP(C7543,METADATA!$J$5:$Q$29,IF(E7543="HI",2,IF(E7543="LO",6,10))+IF(D7543=1,2,IF(D7543=7,1,(IF(WEEKDAY(B7543)=1,2,IF(WEEKDAY(B7543)=7,1,0))))))</f>
        <v>3</v>
      </c>
      <c r="H7543" s="370">
        <v>5931.637451171875</v>
      </c>
      <c r="I7543" s="370">
        <v>6155.8273620605469</v>
      </c>
      <c r="M7543" s="371">
        <f t="shared" si="469"/>
        <v>8548.5983274240989</v>
      </c>
      <c r="N7543" s="329">
        <f t="shared" si="470"/>
        <v>4376.336126708984</v>
      </c>
      <c r="T7543" s="331">
        <v>0</v>
      </c>
      <c r="U7543" s="328">
        <f>VLOOKUP(C7543,METADATA!$J$5:$Q$29,IF(E7543="HI",2,IF(E7543="LO",6,10))+IF(T7543=1,2,IF(D7543=7,1,(IF(WEEKDAY(B7543)=1,2,IF(WEEKDAY(B7543)=7,1,0))))))</f>
        <v>3</v>
      </c>
      <c r="V7543" s="328">
        <f>VLOOKUP(C7543,METADATA!$A$5:$H$29,IF(E7543="HI",2,IF(E7543="LO",6,10))+IF(T7543=1,2,IF(D7543=7,1,(IF(WEEKDAY(B7543)=1,2,IF(WEEKDAY(B7543)=7,1,0))))))</f>
        <v>3</v>
      </c>
    </row>
    <row r="7544" spans="2:22">
      <c r="B7544" s="318">
        <f t="shared" si="471"/>
        <v>46427</v>
      </c>
      <c r="C7544" s="312">
        <v>4</v>
      </c>
      <c r="D7544" s="368">
        <f>IFERROR((INDEX(METADATA!$T$2:$T$20,MATCH(B7544,METADATA!$S$2:$S$20,0))),0)</f>
        <v>0</v>
      </c>
      <c r="E7544" s="312" t="str">
        <f t="shared" si="468"/>
        <v>LO</v>
      </c>
      <c r="F7544" s="369">
        <f>VLOOKUP(C7544,METADATA!$A$5:$H$29,IF(E7544="HI",2,IF(E7544="LO",6,10))+IF(D7544=1,2,IF(D7544=7,1,(IF(WEEKDAY(B7544)=1,2,IF(WEEKDAY(B7544)=7,1,0))))))</f>
        <v>3</v>
      </c>
      <c r="G7544" s="369">
        <f>VLOOKUP(C7544,METADATA!$J$5:$Q$29,IF(E7544="HI",2,IF(E7544="LO",6,10))+IF(D7544=1,2,IF(D7544=7,1,(IF(WEEKDAY(B7544)=1,2,IF(WEEKDAY(B7544)=7,1,0))))))</f>
        <v>3</v>
      </c>
      <c r="H7544" s="370">
        <v>6063.3701782226563</v>
      </c>
      <c r="I7544" s="370">
        <v>6252.0850524902344</v>
      </c>
      <c r="M7544" s="371">
        <f t="shared" si="469"/>
        <v>8709.3642375165164</v>
      </c>
      <c r="N7544" s="329">
        <f t="shared" si="470"/>
        <v>4433.0739990234379</v>
      </c>
      <c r="T7544" s="331">
        <v>0</v>
      </c>
      <c r="U7544" s="328">
        <f>VLOOKUP(C7544,METADATA!$J$5:$Q$29,IF(E7544="HI",2,IF(E7544="LO",6,10))+IF(T7544=1,2,IF(D7544=7,1,(IF(WEEKDAY(B7544)=1,2,IF(WEEKDAY(B7544)=7,1,0))))))</f>
        <v>3</v>
      </c>
      <c r="V7544" s="328">
        <f>VLOOKUP(C7544,METADATA!$A$5:$H$29,IF(E7544="HI",2,IF(E7544="LO",6,10))+IF(T7544=1,2,IF(D7544=7,1,(IF(WEEKDAY(B7544)=1,2,IF(WEEKDAY(B7544)=7,1,0))))))</f>
        <v>3</v>
      </c>
    </row>
    <row r="7545" spans="2:22">
      <c r="B7545" s="318">
        <f t="shared" si="471"/>
        <v>46427</v>
      </c>
      <c r="C7545" s="312">
        <v>5</v>
      </c>
      <c r="D7545" s="368">
        <f>IFERROR((INDEX(METADATA!$T$2:$T$20,MATCH(B7545,METADATA!$S$2:$S$20,0))),0)</f>
        <v>0</v>
      </c>
      <c r="E7545" s="312" t="str">
        <f t="shared" si="468"/>
        <v>LO</v>
      </c>
      <c r="F7545" s="369">
        <f>VLOOKUP(C7545,METADATA!$A$5:$H$29,IF(E7545="HI",2,IF(E7545="LO",6,10))+IF(D7545=1,2,IF(D7545=7,1,(IF(WEEKDAY(B7545)=1,2,IF(WEEKDAY(B7545)=7,1,0))))))</f>
        <v>3</v>
      </c>
      <c r="G7545" s="369">
        <f>VLOOKUP(C7545,METADATA!$J$5:$Q$29,IF(E7545="HI",2,IF(E7545="LO",6,10))+IF(D7545=1,2,IF(D7545=7,1,(IF(WEEKDAY(B7545)=1,2,IF(WEEKDAY(B7545)=7,1,0))))))</f>
        <v>3</v>
      </c>
      <c r="H7545" s="370">
        <v>7727.6473999023438</v>
      </c>
      <c r="I7545" s="370">
        <v>7088.7225036621094</v>
      </c>
      <c r="M7545" s="371">
        <f t="shared" si="469"/>
        <v>10486.492314932722</v>
      </c>
      <c r="N7545" s="329">
        <f t="shared" si="470"/>
        <v>4770.4282836914063</v>
      </c>
      <c r="T7545" s="331">
        <v>0</v>
      </c>
      <c r="U7545" s="328">
        <f>VLOOKUP(C7545,METADATA!$J$5:$Q$29,IF(E7545="HI",2,IF(E7545="LO",6,10))+IF(T7545=1,2,IF(D7545=7,1,(IF(WEEKDAY(B7545)=1,2,IF(WEEKDAY(B7545)=7,1,0))))))</f>
        <v>3</v>
      </c>
      <c r="V7545" s="328">
        <f>VLOOKUP(C7545,METADATA!$A$5:$H$29,IF(E7545="HI",2,IF(E7545="LO",6,10))+IF(T7545=1,2,IF(D7545=7,1,(IF(WEEKDAY(B7545)=1,2,IF(WEEKDAY(B7545)=7,1,0))))))</f>
        <v>3</v>
      </c>
    </row>
    <row r="7546" spans="2:22">
      <c r="B7546" s="318">
        <f t="shared" si="471"/>
        <v>46427</v>
      </c>
      <c r="C7546" s="312">
        <v>6</v>
      </c>
      <c r="D7546" s="368">
        <f>IFERROR((INDEX(METADATA!$T$2:$T$20,MATCH(B7546,METADATA!$S$2:$S$20,0))),0)</f>
        <v>0</v>
      </c>
      <c r="E7546" s="312" t="str">
        <f t="shared" si="468"/>
        <v>LO</v>
      </c>
      <c r="F7546" s="369">
        <f>VLOOKUP(C7546,METADATA!$A$5:$H$29,IF(E7546="HI",2,IF(E7546="LO",6,10))+IF(D7546=1,2,IF(D7546=7,1,(IF(WEEKDAY(B7546)=1,2,IF(WEEKDAY(B7546)=7,1,0))))))</f>
        <v>2</v>
      </c>
      <c r="G7546" s="369">
        <f>VLOOKUP(C7546,METADATA!$J$5:$Q$29,IF(E7546="HI",2,IF(E7546="LO",6,10))+IF(D7546=1,2,IF(D7546=7,1,(IF(WEEKDAY(B7546)=1,2,IF(WEEKDAY(B7546)=7,1,0))))))</f>
        <v>2</v>
      </c>
      <c r="H7546" s="370">
        <v>11542.825134277344</v>
      </c>
      <c r="I7546" s="370">
        <v>8659.4100341796875</v>
      </c>
      <c r="M7546" s="371">
        <f t="shared" si="469"/>
        <v>14429.906244343952</v>
      </c>
      <c r="N7546" s="329">
        <f t="shared" si="470"/>
        <v>5196.5624938964847</v>
      </c>
      <c r="T7546" s="331">
        <v>0</v>
      </c>
      <c r="U7546" s="328">
        <f>VLOOKUP(C7546,METADATA!$J$5:$Q$29,IF(E7546="HI",2,IF(E7546="LO",6,10))+IF(T7546=1,2,IF(D7546=7,1,(IF(WEEKDAY(B7546)=1,2,IF(WEEKDAY(B7546)=7,1,0))))))</f>
        <v>2</v>
      </c>
      <c r="V7546" s="328">
        <f>VLOOKUP(C7546,METADATA!$A$5:$H$29,IF(E7546="HI",2,IF(E7546="LO",6,10))+IF(T7546=1,2,IF(D7546=7,1,(IF(WEEKDAY(B7546)=1,2,IF(WEEKDAY(B7546)=7,1,0))))))</f>
        <v>2</v>
      </c>
    </row>
    <row r="7547" spans="2:22">
      <c r="B7547" s="318">
        <f t="shared" si="471"/>
        <v>46427</v>
      </c>
      <c r="C7547" s="312">
        <v>7</v>
      </c>
      <c r="D7547" s="368">
        <f>IFERROR((INDEX(METADATA!$T$2:$T$20,MATCH(B7547,METADATA!$S$2:$S$20,0))),0)</f>
        <v>0</v>
      </c>
      <c r="E7547" s="312" t="str">
        <f t="shared" si="468"/>
        <v>LO</v>
      </c>
      <c r="F7547" s="369">
        <f>VLOOKUP(C7547,METADATA!$A$5:$H$29,IF(E7547="HI",2,IF(E7547="LO",6,10))+IF(D7547=1,2,IF(D7547=7,1,(IF(WEEKDAY(B7547)=1,2,IF(WEEKDAY(B7547)=7,1,0))))))</f>
        <v>1</v>
      </c>
      <c r="G7547" s="369">
        <f>VLOOKUP(C7547,METADATA!$J$5:$Q$29,IF(E7547="HI",2,IF(E7547="LO",6,10))+IF(D7547=1,2,IF(D7547=7,1,(IF(WEEKDAY(B7547)=1,2,IF(WEEKDAY(B7547)=7,1,0))))))</f>
        <v>1</v>
      </c>
      <c r="H7547" s="370">
        <v>11452.599853515625</v>
      </c>
      <c r="I7547" s="370">
        <v>8461.0775756835938</v>
      </c>
      <c r="M7547" s="371">
        <f t="shared" si="469"/>
        <v>14239.0967812738</v>
      </c>
      <c r="N7547" s="329">
        <f t="shared" si="470"/>
        <v>5025.2976196289064</v>
      </c>
      <c r="T7547" s="331">
        <v>0</v>
      </c>
      <c r="U7547" s="328">
        <f>VLOOKUP(C7547,METADATA!$J$5:$Q$29,IF(E7547="HI",2,IF(E7547="LO",6,10))+IF(T7547=1,2,IF(D7547=7,1,(IF(WEEKDAY(B7547)=1,2,IF(WEEKDAY(B7547)=7,1,0))))))</f>
        <v>1</v>
      </c>
      <c r="V7547" s="328">
        <f>VLOOKUP(C7547,METADATA!$A$5:$H$29,IF(E7547="HI",2,IF(E7547="LO",6,10))+IF(T7547=1,2,IF(D7547=7,1,(IF(WEEKDAY(B7547)=1,2,IF(WEEKDAY(B7547)=7,1,0))))))</f>
        <v>1</v>
      </c>
    </row>
    <row r="7548" spans="2:22">
      <c r="B7548" s="318">
        <f t="shared" si="471"/>
        <v>46427</v>
      </c>
      <c r="C7548" s="312">
        <v>8</v>
      </c>
      <c r="D7548" s="368">
        <f>IFERROR((INDEX(METADATA!$T$2:$T$20,MATCH(B7548,METADATA!$S$2:$S$20,0))),0)</f>
        <v>0</v>
      </c>
      <c r="E7548" s="312" t="str">
        <f t="shared" si="468"/>
        <v>LO</v>
      </c>
      <c r="F7548" s="369">
        <f>VLOOKUP(C7548,METADATA!$A$5:$H$29,IF(E7548="HI",2,IF(E7548="LO",6,10))+IF(D7548=1,2,IF(D7548=7,1,(IF(WEEKDAY(B7548)=1,2,IF(WEEKDAY(B7548)=7,1,0))))))</f>
        <v>1</v>
      </c>
      <c r="G7548" s="369">
        <f>VLOOKUP(C7548,METADATA!$J$5:$Q$29,IF(E7548="HI",2,IF(E7548="LO",6,10))+IF(D7548=1,2,IF(D7548=7,1,(IF(WEEKDAY(B7548)=1,2,IF(WEEKDAY(B7548)=7,1,0))))))</f>
        <v>1</v>
      </c>
      <c r="H7548" s="370">
        <v>12050.37451171875</v>
      </c>
      <c r="I7548" s="370">
        <v>8704.4747924804688</v>
      </c>
      <c r="M7548" s="371">
        <f t="shared" si="469"/>
        <v>14865.376123247228</v>
      </c>
      <c r="N7548" s="329">
        <f t="shared" si="470"/>
        <v>5089.3624389648439</v>
      </c>
      <c r="T7548" s="331">
        <v>0</v>
      </c>
      <c r="U7548" s="328">
        <f>VLOOKUP(C7548,METADATA!$J$5:$Q$29,IF(E7548="HI",2,IF(E7548="LO",6,10))+IF(T7548=1,2,IF(D7548=7,1,(IF(WEEKDAY(B7548)=1,2,IF(WEEKDAY(B7548)=7,1,0))))))</f>
        <v>1</v>
      </c>
      <c r="V7548" s="328">
        <f>VLOOKUP(C7548,METADATA!$A$5:$H$29,IF(E7548="HI",2,IF(E7548="LO",6,10))+IF(T7548=1,2,IF(D7548=7,1,(IF(WEEKDAY(B7548)=1,2,IF(WEEKDAY(B7548)=7,1,0))))))</f>
        <v>1</v>
      </c>
    </row>
    <row r="7549" spans="2:22">
      <c r="B7549" s="318">
        <f t="shared" si="471"/>
        <v>46427</v>
      </c>
      <c r="C7549" s="312">
        <v>9</v>
      </c>
      <c r="D7549" s="368">
        <f>IFERROR((INDEX(METADATA!$T$2:$T$20,MATCH(B7549,METADATA!$S$2:$S$20,0))),0)</f>
        <v>0</v>
      </c>
      <c r="E7549" s="312" t="str">
        <f t="shared" si="468"/>
        <v>LO</v>
      </c>
      <c r="F7549" s="369">
        <f>VLOOKUP(C7549,METADATA!$A$5:$H$29,IF(E7549="HI",2,IF(E7549="LO",6,10))+IF(D7549=1,2,IF(D7549=7,1,(IF(WEEKDAY(B7549)=1,2,IF(WEEKDAY(B7549)=7,1,0))))))</f>
        <v>2</v>
      </c>
      <c r="G7549" s="369">
        <f>VLOOKUP(C7549,METADATA!$J$5:$Q$29,IF(E7549="HI",2,IF(E7549="LO",6,10))+IF(D7549=1,2,IF(D7549=7,1,(IF(WEEKDAY(B7549)=1,2,IF(WEEKDAY(B7549)=7,1,0))))))</f>
        <v>2</v>
      </c>
      <c r="H7549" s="370">
        <v>12567.825256347656</v>
      </c>
      <c r="I7549" s="370">
        <v>9054.77490234375</v>
      </c>
      <c r="M7549" s="371">
        <f t="shared" si="469"/>
        <v>15489.970310049155</v>
      </c>
      <c r="N7549" s="329">
        <f t="shared" si="470"/>
        <v>5284.4273254394539</v>
      </c>
      <c r="T7549" s="331">
        <v>0</v>
      </c>
      <c r="U7549" s="328">
        <f>VLOOKUP(C7549,METADATA!$J$5:$Q$29,IF(E7549="HI",2,IF(E7549="LO",6,10))+IF(T7549=1,2,IF(D7549=7,1,(IF(WEEKDAY(B7549)=1,2,IF(WEEKDAY(B7549)=7,1,0))))))</f>
        <v>2</v>
      </c>
      <c r="V7549" s="328">
        <f>VLOOKUP(C7549,METADATA!$A$5:$H$29,IF(E7549="HI",2,IF(E7549="LO",6,10))+IF(T7549=1,2,IF(D7549=7,1,(IF(WEEKDAY(B7549)=1,2,IF(WEEKDAY(B7549)=7,1,0))))))</f>
        <v>2</v>
      </c>
    </row>
    <row r="7550" spans="2:22">
      <c r="B7550" s="318">
        <f t="shared" si="471"/>
        <v>46427</v>
      </c>
      <c r="C7550" s="312">
        <v>10</v>
      </c>
      <c r="D7550" s="368">
        <f>IFERROR((INDEX(METADATA!$T$2:$T$20,MATCH(B7550,METADATA!$S$2:$S$20,0))),0)</f>
        <v>0</v>
      </c>
      <c r="E7550" s="312" t="str">
        <f t="shared" si="468"/>
        <v>LO</v>
      </c>
      <c r="F7550" s="369">
        <f>VLOOKUP(C7550,METADATA!$A$5:$H$29,IF(E7550="HI",2,IF(E7550="LO",6,10))+IF(D7550=1,2,IF(D7550=7,1,(IF(WEEKDAY(B7550)=1,2,IF(WEEKDAY(B7550)=7,1,0))))))</f>
        <v>2</v>
      </c>
      <c r="G7550" s="369">
        <f>VLOOKUP(C7550,METADATA!$J$5:$Q$29,IF(E7550="HI",2,IF(E7550="LO",6,10))+IF(D7550=1,2,IF(D7550=7,1,(IF(WEEKDAY(B7550)=1,2,IF(WEEKDAY(B7550)=7,1,0))))))</f>
        <v>2</v>
      </c>
      <c r="H7550" s="370">
        <v>12039.799987792969</v>
      </c>
      <c r="I7550" s="370">
        <v>8909.625</v>
      </c>
      <c r="M7550" s="371">
        <f t="shared" si="469"/>
        <v>14977.923800937317</v>
      </c>
      <c r="N7550" s="329">
        <f t="shared" si="470"/>
        <v>5297.685003662109</v>
      </c>
      <c r="T7550" s="331">
        <v>0</v>
      </c>
      <c r="U7550" s="328">
        <f>VLOOKUP(C7550,METADATA!$J$5:$Q$29,IF(E7550="HI",2,IF(E7550="LO",6,10))+IF(T7550=1,2,IF(D7550=7,1,(IF(WEEKDAY(B7550)=1,2,IF(WEEKDAY(B7550)=7,1,0))))))</f>
        <v>2</v>
      </c>
      <c r="V7550" s="328">
        <f>VLOOKUP(C7550,METADATA!$A$5:$H$29,IF(E7550="HI",2,IF(E7550="LO",6,10))+IF(T7550=1,2,IF(D7550=7,1,(IF(WEEKDAY(B7550)=1,2,IF(WEEKDAY(B7550)=7,1,0))))))</f>
        <v>2</v>
      </c>
    </row>
    <row r="7551" spans="2:22">
      <c r="B7551" s="318">
        <f t="shared" si="471"/>
        <v>46427</v>
      </c>
      <c r="C7551" s="312">
        <v>11</v>
      </c>
      <c r="D7551" s="368">
        <f>IFERROR((INDEX(METADATA!$T$2:$T$20,MATCH(B7551,METADATA!$S$2:$S$20,0))),0)</f>
        <v>0</v>
      </c>
      <c r="E7551" s="312" t="str">
        <f t="shared" si="468"/>
        <v>LO</v>
      </c>
      <c r="F7551" s="369">
        <f>VLOOKUP(C7551,METADATA!$A$5:$H$29,IF(E7551="HI",2,IF(E7551="LO",6,10))+IF(D7551=1,2,IF(D7551=7,1,(IF(WEEKDAY(B7551)=1,2,IF(WEEKDAY(B7551)=7,1,0))))))</f>
        <v>2</v>
      </c>
      <c r="G7551" s="369">
        <f>VLOOKUP(C7551,METADATA!$J$5:$Q$29,IF(E7551="HI",2,IF(E7551="LO",6,10))+IF(D7551=1,2,IF(D7551=7,1,(IF(WEEKDAY(B7551)=1,2,IF(WEEKDAY(B7551)=7,1,0))))))</f>
        <v>2</v>
      </c>
      <c r="H7551" s="370">
        <v>6899.925048828125</v>
      </c>
      <c r="I7551" s="370">
        <v>6297.6749877929688</v>
      </c>
      <c r="M7551" s="371">
        <f t="shared" si="469"/>
        <v>9341.8240152188137</v>
      </c>
      <c r="N7551" s="329">
        <f t="shared" si="470"/>
        <v>4227.6974731445316</v>
      </c>
      <c r="T7551" s="331">
        <v>0</v>
      </c>
      <c r="U7551" s="328">
        <f>VLOOKUP(C7551,METADATA!$J$5:$Q$29,IF(E7551="HI",2,IF(E7551="LO",6,10))+IF(T7551=1,2,IF(D7551=7,1,(IF(WEEKDAY(B7551)=1,2,IF(WEEKDAY(B7551)=7,1,0))))))</f>
        <v>2</v>
      </c>
      <c r="V7551" s="328">
        <f>VLOOKUP(C7551,METADATA!$A$5:$H$29,IF(E7551="HI",2,IF(E7551="LO",6,10))+IF(T7551=1,2,IF(D7551=7,1,(IF(WEEKDAY(B7551)=1,2,IF(WEEKDAY(B7551)=7,1,0))))))</f>
        <v>2</v>
      </c>
    </row>
    <row r="7552" spans="2:22">
      <c r="B7552" s="318">
        <f t="shared" si="471"/>
        <v>46427</v>
      </c>
      <c r="C7552" s="312">
        <v>12</v>
      </c>
      <c r="D7552" s="368">
        <f>IFERROR((INDEX(METADATA!$T$2:$T$20,MATCH(B7552,METADATA!$S$2:$S$20,0))),0)</f>
        <v>0</v>
      </c>
      <c r="E7552" s="312" t="str">
        <f t="shared" si="468"/>
        <v>LO</v>
      </c>
      <c r="F7552" s="369">
        <f>VLOOKUP(C7552,METADATA!$A$5:$H$29,IF(E7552="HI",2,IF(E7552="LO",6,10))+IF(D7552=1,2,IF(D7552=7,1,(IF(WEEKDAY(B7552)=1,2,IF(WEEKDAY(B7552)=7,1,0))))))</f>
        <v>2</v>
      </c>
      <c r="G7552" s="369">
        <f>VLOOKUP(C7552,METADATA!$J$5:$Q$29,IF(E7552="HI",2,IF(E7552="LO",6,10))+IF(D7552=1,2,IF(D7552=7,1,(IF(WEEKDAY(B7552)=1,2,IF(WEEKDAY(B7552)=7,1,0))))))</f>
        <v>2</v>
      </c>
      <c r="H7552" s="370">
        <v>6701.85009765625</v>
      </c>
      <c r="I7552" s="370">
        <v>6190.1749267578125</v>
      </c>
      <c r="M7552" s="371">
        <f t="shared" si="469"/>
        <v>9123.2154614103129</v>
      </c>
      <c r="N7552" s="329">
        <f t="shared" si="470"/>
        <v>4179.6198974609379</v>
      </c>
      <c r="T7552" s="331">
        <v>0</v>
      </c>
      <c r="U7552" s="328">
        <f>VLOOKUP(C7552,METADATA!$J$5:$Q$29,IF(E7552="HI",2,IF(E7552="LO",6,10))+IF(T7552=1,2,IF(D7552=7,1,(IF(WEEKDAY(B7552)=1,2,IF(WEEKDAY(B7552)=7,1,0))))))</f>
        <v>2</v>
      </c>
      <c r="V7552" s="328">
        <f>VLOOKUP(C7552,METADATA!$A$5:$H$29,IF(E7552="HI",2,IF(E7552="LO",6,10))+IF(T7552=1,2,IF(D7552=7,1,(IF(WEEKDAY(B7552)=1,2,IF(WEEKDAY(B7552)=7,1,0))))))</f>
        <v>2</v>
      </c>
    </row>
    <row r="7553" spans="2:22">
      <c r="B7553" s="318">
        <f t="shared" si="471"/>
        <v>46427</v>
      </c>
      <c r="C7553" s="312">
        <v>13</v>
      </c>
      <c r="D7553" s="368">
        <f>IFERROR((INDEX(METADATA!$T$2:$T$20,MATCH(B7553,METADATA!$S$2:$S$20,0))),0)</f>
        <v>0</v>
      </c>
      <c r="E7553" s="312" t="str">
        <f t="shared" si="468"/>
        <v>LO</v>
      </c>
      <c r="F7553" s="369">
        <f>VLOOKUP(C7553,METADATA!$A$5:$H$29,IF(E7553="HI",2,IF(E7553="LO",6,10))+IF(D7553=1,2,IF(D7553=7,1,(IF(WEEKDAY(B7553)=1,2,IF(WEEKDAY(B7553)=7,1,0))))))</f>
        <v>2</v>
      </c>
      <c r="G7553" s="369">
        <f>VLOOKUP(C7553,METADATA!$J$5:$Q$29,IF(E7553="HI",2,IF(E7553="LO",6,10))+IF(D7553=1,2,IF(D7553=7,1,(IF(WEEKDAY(B7553)=1,2,IF(WEEKDAY(B7553)=7,1,0))))))</f>
        <v>2</v>
      </c>
      <c r="H7553" s="370">
        <v>7060.0748291015625</v>
      </c>
      <c r="I7553" s="370">
        <v>6423.3999633789063</v>
      </c>
      <c r="M7553" s="371">
        <f t="shared" si="469"/>
        <v>9544.8794482722296</v>
      </c>
      <c r="N7553" s="329">
        <f t="shared" si="470"/>
        <v>4305.3775146484377</v>
      </c>
      <c r="T7553" s="331">
        <v>0</v>
      </c>
      <c r="U7553" s="328">
        <f>VLOOKUP(C7553,METADATA!$J$5:$Q$29,IF(E7553="HI",2,IF(E7553="LO",6,10))+IF(T7553=1,2,IF(D7553=7,1,(IF(WEEKDAY(B7553)=1,2,IF(WEEKDAY(B7553)=7,1,0))))))</f>
        <v>2</v>
      </c>
      <c r="V7553" s="328">
        <f>VLOOKUP(C7553,METADATA!$A$5:$H$29,IF(E7553="HI",2,IF(E7553="LO",6,10))+IF(T7553=1,2,IF(D7553=7,1,(IF(WEEKDAY(B7553)=1,2,IF(WEEKDAY(B7553)=7,1,0))))))</f>
        <v>2</v>
      </c>
    </row>
    <row r="7554" spans="2:22">
      <c r="B7554" s="318">
        <f t="shared" si="471"/>
        <v>46427</v>
      </c>
      <c r="C7554" s="312">
        <v>14</v>
      </c>
      <c r="D7554" s="368">
        <f>IFERROR((INDEX(METADATA!$T$2:$T$20,MATCH(B7554,METADATA!$S$2:$S$20,0))),0)</f>
        <v>0</v>
      </c>
      <c r="E7554" s="312" t="str">
        <f t="shared" si="468"/>
        <v>LO</v>
      </c>
      <c r="F7554" s="369">
        <f>VLOOKUP(C7554,METADATA!$A$5:$H$29,IF(E7554="HI",2,IF(E7554="LO",6,10))+IF(D7554=1,2,IF(D7554=7,1,(IF(WEEKDAY(B7554)=1,2,IF(WEEKDAY(B7554)=7,1,0))))))</f>
        <v>2</v>
      </c>
      <c r="G7554" s="369">
        <f>VLOOKUP(C7554,METADATA!$J$5:$Q$29,IF(E7554="HI",2,IF(E7554="LO",6,10))+IF(D7554=1,2,IF(D7554=7,1,(IF(WEEKDAY(B7554)=1,2,IF(WEEKDAY(B7554)=7,1,0))))))</f>
        <v>2</v>
      </c>
      <c r="H7554" s="370">
        <v>8231.3601684570313</v>
      </c>
      <c r="I7554" s="370">
        <v>7134.6749877929688</v>
      </c>
      <c r="M7554" s="371">
        <f t="shared" si="469"/>
        <v>10893.065565041807</v>
      </c>
      <c r="N7554" s="329">
        <f t="shared" si="470"/>
        <v>4665.2669372558594</v>
      </c>
      <c r="T7554" s="331">
        <v>0</v>
      </c>
      <c r="U7554" s="328">
        <f>VLOOKUP(C7554,METADATA!$J$5:$Q$29,IF(E7554="HI",2,IF(E7554="LO",6,10))+IF(T7554=1,2,IF(D7554=7,1,(IF(WEEKDAY(B7554)=1,2,IF(WEEKDAY(B7554)=7,1,0))))))</f>
        <v>2</v>
      </c>
      <c r="V7554" s="328">
        <f>VLOOKUP(C7554,METADATA!$A$5:$H$29,IF(E7554="HI",2,IF(E7554="LO",6,10))+IF(T7554=1,2,IF(D7554=7,1,(IF(WEEKDAY(B7554)=1,2,IF(WEEKDAY(B7554)=7,1,0))))))</f>
        <v>2</v>
      </c>
    </row>
    <row r="7555" spans="2:22">
      <c r="B7555" s="318">
        <f t="shared" si="471"/>
        <v>46427</v>
      </c>
      <c r="C7555" s="312">
        <v>15</v>
      </c>
      <c r="D7555" s="368">
        <f>IFERROR((INDEX(METADATA!$T$2:$T$20,MATCH(B7555,METADATA!$S$2:$S$20,0))),0)</f>
        <v>0</v>
      </c>
      <c r="E7555" s="312" t="str">
        <f t="shared" si="468"/>
        <v>LO</v>
      </c>
      <c r="F7555" s="369">
        <f>VLOOKUP(C7555,METADATA!$A$5:$H$29,IF(E7555="HI",2,IF(E7555="LO",6,10))+IF(D7555=1,2,IF(D7555=7,1,(IF(WEEKDAY(B7555)=1,2,IF(WEEKDAY(B7555)=7,1,0))))))</f>
        <v>2</v>
      </c>
      <c r="G7555" s="369">
        <f>VLOOKUP(C7555,METADATA!$J$5:$Q$29,IF(E7555="HI",2,IF(E7555="LO",6,10))+IF(D7555=1,2,IF(D7555=7,1,(IF(WEEKDAY(B7555)=1,2,IF(WEEKDAY(B7555)=7,1,0))))))</f>
        <v>2</v>
      </c>
      <c r="H7555" s="370">
        <v>10077.149810791016</v>
      </c>
      <c r="I7555" s="370">
        <v>7737.7273864746094</v>
      </c>
      <c r="M7555" s="371">
        <f t="shared" si="469"/>
        <v>12705.171128974398</v>
      </c>
      <c r="N7555" s="329">
        <f t="shared" si="470"/>
        <v>4714.5824432373047</v>
      </c>
      <c r="T7555" s="331">
        <v>0</v>
      </c>
      <c r="U7555" s="328">
        <f>VLOOKUP(C7555,METADATA!$J$5:$Q$29,IF(E7555="HI",2,IF(E7555="LO",6,10))+IF(T7555=1,2,IF(D7555=7,1,(IF(WEEKDAY(B7555)=1,2,IF(WEEKDAY(B7555)=7,1,0))))))</f>
        <v>2</v>
      </c>
      <c r="V7555" s="328">
        <f>VLOOKUP(C7555,METADATA!$A$5:$H$29,IF(E7555="HI",2,IF(E7555="LO",6,10))+IF(T7555=1,2,IF(D7555=7,1,(IF(WEEKDAY(B7555)=1,2,IF(WEEKDAY(B7555)=7,1,0))))))</f>
        <v>2</v>
      </c>
    </row>
    <row r="7556" spans="2:22">
      <c r="B7556" s="318">
        <f t="shared" si="471"/>
        <v>46427</v>
      </c>
      <c r="C7556" s="312">
        <v>16</v>
      </c>
      <c r="D7556" s="368">
        <f>IFERROR((INDEX(METADATA!$T$2:$T$20,MATCH(B7556,METADATA!$S$2:$S$20,0))),0)</f>
        <v>0</v>
      </c>
      <c r="E7556" s="312" t="str">
        <f t="shared" ref="E7556:E7619" si="472">IF(B7556="","",IF(AND(MONTH(B7556)&gt;=MONTH($Z$9),MONTH(B7556)&lt;=MONTH($Z$11)),"HI","LO"))</f>
        <v>LO</v>
      </c>
      <c r="F7556" s="369">
        <f>VLOOKUP(C7556,METADATA!$A$5:$H$29,IF(E7556="HI",2,IF(E7556="LO",6,10))+IF(D7556=1,2,IF(D7556=7,1,(IF(WEEKDAY(B7556)=1,2,IF(WEEKDAY(B7556)=7,1,0))))))</f>
        <v>2</v>
      </c>
      <c r="G7556" s="369">
        <f>VLOOKUP(C7556,METADATA!$J$5:$Q$29,IF(E7556="HI",2,IF(E7556="LO",6,10))+IF(D7556=1,2,IF(D7556=7,1,(IF(WEEKDAY(B7556)=1,2,IF(WEEKDAY(B7556)=7,1,0))))))</f>
        <v>2</v>
      </c>
      <c r="H7556" s="370">
        <v>10768.699951171875</v>
      </c>
      <c r="I7556" s="370">
        <v>8071.4324951171875</v>
      </c>
      <c r="M7556" s="371">
        <f t="shared" ref="M7556:M7619" si="473">SQRT(H7556^2+I7556^2)</f>
        <v>13457.820074648153</v>
      </c>
      <c r="N7556" s="329">
        <f t="shared" ref="N7556:N7619" si="474">IF(H7556=0,0,(IF(I7556-(0.3*H7556)&lt;0,0,(I7556-(0.3*H7556)))))</f>
        <v>4840.822509765625</v>
      </c>
      <c r="T7556" s="331">
        <v>0</v>
      </c>
      <c r="U7556" s="328">
        <f>VLOOKUP(C7556,METADATA!$J$5:$Q$29,IF(E7556="HI",2,IF(E7556="LO",6,10))+IF(T7556=1,2,IF(D7556=7,1,(IF(WEEKDAY(B7556)=1,2,IF(WEEKDAY(B7556)=7,1,0))))))</f>
        <v>2</v>
      </c>
      <c r="V7556" s="328">
        <f>VLOOKUP(C7556,METADATA!$A$5:$H$29,IF(E7556="HI",2,IF(E7556="LO",6,10))+IF(T7556=1,2,IF(D7556=7,1,(IF(WEEKDAY(B7556)=1,2,IF(WEEKDAY(B7556)=7,1,0))))))</f>
        <v>2</v>
      </c>
    </row>
    <row r="7557" spans="2:22">
      <c r="B7557" s="318">
        <f t="shared" si="471"/>
        <v>46427</v>
      </c>
      <c r="C7557" s="312">
        <v>17</v>
      </c>
      <c r="D7557" s="368">
        <f>IFERROR((INDEX(METADATA!$T$2:$T$20,MATCH(B7557,METADATA!$S$2:$S$20,0))),0)</f>
        <v>0</v>
      </c>
      <c r="E7557" s="312" t="str">
        <f t="shared" si="472"/>
        <v>LO</v>
      </c>
      <c r="F7557" s="369">
        <f>VLOOKUP(C7557,METADATA!$A$5:$H$29,IF(E7557="HI",2,IF(E7557="LO",6,10))+IF(D7557=1,2,IF(D7557=7,1,(IF(WEEKDAY(B7557)=1,2,IF(WEEKDAY(B7557)=7,1,0))))))</f>
        <v>2</v>
      </c>
      <c r="G7557" s="369">
        <f>VLOOKUP(C7557,METADATA!$J$5:$Q$29,IF(E7557="HI",2,IF(E7557="LO",6,10))+IF(D7557=1,2,IF(D7557=7,1,(IF(WEEKDAY(B7557)=1,2,IF(WEEKDAY(B7557)=7,1,0))))))</f>
        <v>2</v>
      </c>
      <c r="H7557" s="370">
        <v>12221.375061035156</v>
      </c>
      <c r="I7557" s="370">
        <v>8926.5747680664063</v>
      </c>
      <c r="M7557" s="371">
        <f t="shared" si="473"/>
        <v>15134.257347896919</v>
      </c>
      <c r="N7557" s="329">
        <f t="shared" si="474"/>
        <v>5260.1622497558601</v>
      </c>
      <c r="T7557" s="331">
        <v>0</v>
      </c>
      <c r="U7557" s="328">
        <f>VLOOKUP(C7557,METADATA!$J$5:$Q$29,IF(E7557="HI",2,IF(E7557="LO",6,10))+IF(T7557=1,2,IF(D7557=7,1,(IF(WEEKDAY(B7557)=1,2,IF(WEEKDAY(B7557)=7,1,0))))))</f>
        <v>2</v>
      </c>
      <c r="V7557" s="328">
        <f>VLOOKUP(C7557,METADATA!$A$5:$H$29,IF(E7557="HI",2,IF(E7557="LO",6,10))+IF(T7557=1,2,IF(D7557=7,1,(IF(WEEKDAY(B7557)=1,2,IF(WEEKDAY(B7557)=7,1,0))))))</f>
        <v>2</v>
      </c>
    </row>
    <row r="7558" spans="2:22">
      <c r="B7558" s="318">
        <f t="shared" si="471"/>
        <v>46427</v>
      </c>
      <c r="C7558" s="312">
        <v>18</v>
      </c>
      <c r="D7558" s="368">
        <f>IFERROR((INDEX(METADATA!$T$2:$T$20,MATCH(B7558,METADATA!$S$2:$S$20,0))),0)</f>
        <v>0</v>
      </c>
      <c r="E7558" s="312" t="str">
        <f t="shared" si="472"/>
        <v>LO</v>
      </c>
      <c r="F7558" s="369">
        <f>VLOOKUP(C7558,METADATA!$A$5:$H$29,IF(E7558="HI",2,IF(E7558="LO",6,10))+IF(D7558=1,2,IF(D7558=7,1,(IF(WEEKDAY(B7558)=1,2,IF(WEEKDAY(B7558)=7,1,0))))))</f>
        <v>1</v>
      </c>
      <c r="G7558" s="369">
        <f>VLOOKUP(C7558,METADATA!$J$5:$Q$29,IF(E7558="HI",2,IF(E7558="LO",6,10))+IF(D7558=1,2,IF(D7558=7,1,(IF(WEEKDAY(B7558)=1,2,IF(WEEKDAY(B7558)=7,1,0))))))</f>
        <v>1</v>
      </c>
      <c r="H7558" s="370">
        <v>12079.925048828125</v>
      </c>
      <c r="I7558" s="370">
        <v>8892.5499267578125</v>
      </c>
      <c r="M7558" s="371">
        <f t="shared" si="473"/>
        <v>15000.06777935305</v>
      </c>
      <c r="N7558" s="329">
        <f t="shared" si="474"/>
        <v>5268.5724121093754</v>
      </c>
      <c r="T7558" s="331">
        <v>0</v>
      </c>
      <c r="U7558" s="328">
        <f>VLOOKUP(C7558,METADATA!$J$5:$Q$29,IF(E7558="HI",2,IF(E7558="LO",6,10))+IF(T7558=1,2,IF(D7558=7,1,(IF(WEEKDAY(B7558)=1,2,IF(WEEKDAY(B7558)=7,1,0))))))</f>
        <v>1</v>
      </c>
      <c r="V7558" s="328">
        <f>VLOOKUP(C7558,METADATA!$A$5:$H$29,IF(E7558="HI",2,IF(E7558="LO",6,10))+IF(T7558=1,2,IF(D7558=7,1,(IF(WEEKDAY(B7558)=1,2,IF(WEEKDAY(B7558)=7,1,0))))))</f>
        <v>1</v>
      </c>
    </row>
    <row r="7559" spans="2:22">
      <c r="B7559" s="318">
        <f t="shared" si="471"/>
        <v>46427</v>
      </c>
      <c r="C7559" s="312">
        <v>19</v>
      </c>
      <c r="D7559" s="368">
        <f>IFERROR((INDEX(METADATA!$T$2:$T$20,MATCH(B7559,METADATA!$S$2:$S$20,0))),0)</f>
        <v>0</v>
      </c>
      <c r="E7559" s="312" t="str">
        <f t="shared" si="472"/>
        <v>LO</v>
      </c>
      <c r="F7559" s="369">
        <f>VLOOKUP(C7559,METADATA!$A$5:$H$29,IF(E7559="HI",2,IF(E7559="LO",6,10))+IF(D7559=1,2,IF(D7559=7,1,(IF(WEEKDAY(B7559)=1,2,IF(WEEKDAY(B7559)=7,1,0))))))</f>
        <v>1</v>
      </c>
      <c r="G7559" s="369">
        <f>VLOOKUP(C7559,METADATA!$J$5:$Q$29,IF(E7559="HI",2,IF(E7559="LO",6,10))+IF(D7559=1,2,IF(D7559=7,1,(IF(WEEKDAY(B7559)=1,2,IF(WEEKDAY(B7559)=7,1,0))))))</f>
        <v>1</v>
      </c>
      <c r="H7559" s="370">
        <v>12058.4501953125</v>
      </c>
      <c r="I7559" s="370">
        <v>8755.4749145507813</v>
      </c>
      <c r="M7559" s="371">
        <f t="shared" si="473"/>
        <v>14901.830830208752</v>
      </c>
      <c r="N7559" s="329">
        <f t="shared" si="474"/>
        <v>5137.9398559570309</v>
      </c>
      <c r="T7559" s="331">
        <v>0</v>
      </c>
      <c r="U7559" s="328">
        <f>VLOOKUP(C7559,METADATA!$J$5:$Q$29,IF(E7559="HI",2,IF(E7559="LO",6,10))+IF(T7559=1,2,IF(D7559=7,1,(IF(WEEKDAY(B7559)=1,2,IF(WEEKDAY(B7559)=7,1,0))))))</f>
        <v>1</v>
      </c>
      <c r="V7559" s="328">
        <f>VLOOKUP(C7559,METADATA!$A$5:$H$29,IF(E7559="HI",2,IF(E7559="LO",6,10))+IF(T7559=1,2,IF(D7559=7,1,(IF(WEEKDAY(B7559)=1,2,IF(WEEKDAY(B7559)=7,1,0))))))</f>
        <v>1</v>
      </c>
    </row>
    <row r="7560" spans="2:22">
      <c r="B7560" s="318">
        <f t="shared" si="471"/>
        <v>46427</v>
      </c>
      <c r="C7560" s="312">
        <v>20</v>
      </c>
      <c r="D7560" s="368">
        <f>IFERROR((INDEX(METADATA!$T$2:$T$20,MATCH(B7560,METADATA!$S$2:$S$20,0))),0)</f>
        <v>0</v>
      </c>
      <c r="E7560" s="312" t="str">
        <f t="shared" si="472"/>
        <v>LO</v>
      </c>
      <c r="F7560" s="369">
        <f>VLOOKUP(C7560,METADATA!$A$5:$H$29,IF(E7560="HI",2,IF(E7560="LO",6,10))+IF(D7560=1,2,IF(D7560=7,1,(IF(WEEKDAY(B7560)=1,2,IF(WEEKDAY(B7560)=7,1,0))))))</f>
        <v>1</v>
      </c>
      <c r="G7560" s="369">
        <f>VLOOKUP(C7560,METADATA!$J$5:$Q$29,IF(E7560="HI",2,IF(E7560="LO",6,10))+IF(D7560=1,2,IF(D7560=7,1,(IF(WEEKDAY(B7560)=1,2,IF(WEEKDAY(B7560)=7,1,0))))))</f>
        <v>1</v>
      </c>
      <c r="H7560" s="370">
        <v>12682.025085449219</v>
      </c>
      <c r="I7560" s="370">
        <v>9326.8251342773438</v>
      </c>
      <c r="M7560" s="371">
        <f t="shared" si="473"/>
        <v>15742.408562648565</v>
      </c>
      <c r="N7560" s="329">
        <f t="shared" si="474"/>
        <v>5522.2176086425789</v>
      </c>
      <c r="T7560" s="331">
        <v>0</v>
      </c>
      <c r="U7560" s="328">
        <f>VLOOKUP(C7560,METADATA!$J$5:$Q$29,IF(E7560="HI",2,IF(E7560="LO",6,10))+IF(T7560=1,2,IF(D7560=7,1,(IF(WEEKDAY(B7560)=1,2,IF(WEEKDAY(B7560)=7,1,0))))))</f>
        <v>1</v>
      </c>
      <c r="V7560" s="328">
        <f>VLOOKUP(C7560,METADATA!$A$5:$H$29,IF(E7560="HI",2,IF(E7560="LO",6,10))+IF(T7560=1,2,IF(D7560=7,1,(IF(WEEKDAY(B7560)=1,2,IF(WEEKDAY(B7560)=7,1,0))))))</f>
        <v>1</v>
      </c>
    </row>
    <row r="7561" spans="2:22">
      <c r="B7561" s="318">
        <f t="shared" si="471"/>
        <v>46427</v>
      </c>
      <c r="C7561" s="312">
        <v>21</v>
      </c>
      <c r="D7561" s="368">
        <f>IFERROR((INDEX(METADATA!$T$2:$T$20,MATCH(B7561,METADATA!$S$2:$S$20,0))),0)</f>
        <v>0</v>
      </c>
      <c r="E7561" s="312" t="str">
        <f t="shared" si="472"/>
        <v>LO</v>
      </c>
      <c r="F7561" s="369">
        <f>VLOOKUP(C7561,METADATA!$A$5:$H$29,IF(E7561="HI",2,IF(E7561="LO",6,10))+IF(D7561=1,2,IF(D7561=7,1,(IF(WEEKDAY(B7561)=1,2,IF(WEEKDAY(B7561)=7,1,0))))))</f>
        <v>2</v>
      </c>
      <c r="G7561" s="369">
        <f>VLOOKUP(C7561,METADATA!$J$5:$Q$29,IF(E7561="HI",2,IF(E7561="LO",6,10))+IF(D7561=1,2,IF(D7561=7,1,(IF(WEEKDAY(B7561)=1,2,IF(WEEKDAY(B7561)=7,1,0))))))</f>
        <v>2</v>
      </c>
      <c r="H7561" s="370">
        <v>13049.974731445313</v>
      </c>
      <c r="I7561" s="370">
        <v>9803.8750610351563</v>
      </c>
      <c r="M7561" s="371">
        <f t="shared" si="473"/>
        <v>16322.310090907727</v>
      </c>
      <c r="N7561" s="329">
        <f t="shared" si="474"/>
        <v>5888.8826416015627</v>
      </c>
      <c r="T7561" s="331">
        <v>0</v>
      </c>
      <c r="U7561" s="328">
        <f>VLOOKUP(C7561,METADATA!$J$5:$Q$29,IF(E7561="HI",2,IF(E7561="LO",6,10))+IF(T7561=1,2,IF(D7561=7,1,(IF(WEEKDAY(B7561)=1,2,IF(WEEKDAY(B7561)=7,1,0))))))</f>
        <v>2</v>
      </c>
      <c r="V7561" s="328">
        <f>VLOOKUP(C7561,METADATA!$A$5:$H$29,IF(E7561="HI",2,IF(E7561="LO",6,10))+IF(T7561=1,2,IF(D7561=7,1,(IF(WEEKDAY(B7561)=1,2,IF(WEEKDAY(B7561)=7,1,0))))))</f>
        <v>2</v>
      </c>
    </row>
    <row r="7562" spans="2:22">
      <c r="B7562" s="318">
        <f t="shared" si="471"/>
        <v>46427</v>
      </c>
      <c r="C7562" s="312">
        <v>22</v>
      </c>
      <c r="D7562" s="368">
        <f>IFERROR((INDEX(METADATA!$T$2:$T$20,MATCH(B7562,METADATA!$S$2:$S$20,0))),0)</f>
        <v>0</v>
      </c>
      <c r="E7562" s="312" t="str">
        <f t="shared" si="472"/>
        <v>LO</v>
      </c>
      <c r="F7562" s="369">
        <f>VLOOKUP(C7562,METADATA!$A$5:$H$29,IF(E7562="HI",2,IF(E7562="LO",6,10))+IF(D7562=1,2,IF(D7562=7,1,(IF(WEEKDAY(B7562)=1,2,IF(WEEKDAY(B7562)=7,1,0))))))</f>
        <v>3</v>
      </c>
      <c r="G7562" s="369">
        <f>VLOOKUP(C7562,METADATA!$J$5:$Q$29,IF(E7562="HI",2,IF(E7562="LO",6,10))+IF(D7562=1,2,IF(D7562=7,1,(IF(WEEKDAY(B7562)=1,2,IF(WEEKDAY(B7562)=7,1,0))))))</f>
        <v>3</v>
      </c>
      <c r="H7562" s="370">
        <v>12965.000305175781</v>
      </c>
      <c r="I7562" s="370">
        <v>9571.2999877929688</v>
      </c>
      <c r="M7562" s="371">
        <f t="shared" si="473"/>
        <v>16115.241740958581</v>
      </c>
      <c r="N7562" s="329">
        <f t="shared" si="474"/>
        <v>5681.7998962402344</v>
      </c>
      <c r="T7562" s="331">
        <v>0</v>
      </c>
      <c r="U7562" s="328">
        <f>VLOOKUP(C7562,METADATA!$J$5:$Q$29,IF(E7562="HI",2,IF(E7562="LO",6,10))+IF(T7562=1,2,IF(D7562=7,1,(IF(WEEKDAY(B7562)=1,2,IF(WEEKDAY(B7562)=7,1,0))))))</f>
        <v>3</v>
      </c>
      <c r="V7562" s="328">
        <f>VLOOKUP(C7562,METADATA!$A$5:$H$29,IF(E7562="HI",2,IF(E7562="LO",6,10))+IF(T7562=1,2,IF(D7562=7,1,(IF(WEEKDAY(B7562)=1,2,IF(WEEKDAY(B7562)=7,1,0))))))</f>
        <v>3</v>
      </c>
    </row>
    <row r="7563" spans="2:22">
      <c r="B7563" s="318">
        <f t="shared" si="471"/>
        <v>46427</v>
      </c>
      <c r="C7563" s="312">
        <v>23</v>
      </c>
      <c r="D7563" s="368">
        <f>IFERROR((INDEX(METADATA!$T$2:$T$20,MATCH(B7563,METADATA!$S$2:$S$20,0))),0)</f>
        <v>0</v>
      </c>
      <c r="E7563" s="312" t="str">
        <f t="shared" si="472"/>
        <v>LO</v>
      </c>
      <c r="F7563" s="369">
        <f>VLOOKUP(C7563,METADATA!$A$5:$H$29,IF(E7563="HI",2,IF(E7563="LO",6,10))+IF(D7563=1,2,IF(D7563=7,1,(IF(WEEKDAY(B7563)=1,2,IF(WEEKDAY(B7563)=7,1,0))))))</f>
        <v>3</v>
      </c>
      <c r="G7563" s="369">
        <f>VLOOKUP(C7563,METADATA!$J$5:$Q$29,IF(E7563="HI",2,IF(E7563="LO",6,10))+IF(D7563=1,2,IF(D7563=7,1,(IF(WEEKDAY(B7563)=1,2,IF(WEEKDAY(B7563)=7,1,0))))))</f>
        <v>3</v>
      </c>
      <c r="H7563" s="370">
        <v>13025.524780273438</v>
      </c>
      <c r="I7563" s="370">
        <v>9531.7250366210938</v>
      </c>
      <c r="M7563" s="371">
        <f t="shared" si="473"/>
        <v>16140.572417831616</v>
      </c>
      <c r="N7563" s="329">
        <f t="shared" si="474"/>
        <v>5624.0676025390621</v>
      </c>
      <c r="T7563" s="331">
        <v>0</v>
      </c>
      <c r="U7563" s="328">
        <f>VLOOKUP(C7563,METADATA!$J$5:$Q$29,IF(E7563="HI",2,IF(E7563="LO",6,10))+IF(T7563=1,2,IF(D7563=7,1,(IF(WEEKDAY(B7563)=1,2,IF(WEEKDAY(B7563)=7,1,0))))))</f>
        <v>3</v>
      </c>
      <c r="V7563" s="328">
        <f>VLOOKUP(C7563,METADATA!$A$5:$H$29,IF(E7563="HI",2,IF(E7563="LO",6,10))+IF(T7563=1,2,IF(D7563=7,1,(IF(WEEKDAY(B7563)=1,2,IF(WEEKDAY(B7563)=7,1,0))))))</f>
        <v>3</v>
      </c>
    </row>
    <row r="7564" spans="2:22">
      <c r="B7564" s="318">
        <f t="shared" si="471"/>
        <v>46428</v>
      </c>
      <c r="C7564" s="312">
        <v>0</v>
      </c>
      <c r="D7564" s="368">
        <f>IFERROR((INDEX(METADATA!$T$2:$T$20,MATCH(B7564,METADATA!$S$2:$S$20,0))),0)</f>
        <v>0</v>
      </c>
      <c r="E7564" s="312" t="str">
        <f t="shared" si="472"/>
        <v>LO</v>
      </c>
      <c r="F7564" s="369">
        <f>VLOOKUP(C7564,METADATA!$A$5:$H$29,IF(E7564="HI",2,IF(E7564="LO",6,10))+IF(D7564=1,2,IF(D7564=7,1,(IF(WEEKDAY(B7564)=1,2,IF(WEEKDAY(B7564)=7,1,0))))))</f>
        <v>3</v>
      </c>
      <c r="G7564" s="369">
        <f>VLOOKUP(C7564,METADATA!$J$5:$Q$29,IF(E7564="HI",2,IF(E7564="LO",6,10))+IF(D7564=1,2,IF(D7564=7,1,(IF(WEEKDAY(B7564)=1,2,IF(WEEKDAY(B7564)=7,1,0))))))</f>
        <v>3</v>
      </c>
      <c r="H7564" s="370">
        <v>13021.025268554688</v>
      </c>
      <c r="I7564" s="370">
        <v>9566.0752563476563</v>
      </c>
      <c r="M7564" s="371">
        <f t="shared" si="473"/>
        <v>16157.255176992363</v>
      </c>
      <c r="N7564" s="329">
        <f t="shared" si="474"/>
        <v>5659.7676757812496</v>
      </c>
      <c r="T7564" s="331">
        <v>0</v>
      </c>
      <c r="U7564" s="328">
        <f>VLOOKUP(C7564,METADATA!$J$5:$Q$29,IF(E7564="HI",2,IF(E7564="LO",6,10))+IF(T7564=1,2,IF(D7564=7,1,(IF(WEEKDAY(B7564)=1,2,IF(WEEKDAY(B7564)=7,1,0))))))</f>
        <v>3</v>
      </c>
      <c r="V7564" s="328">
        <f>VLOOKUP(C7564,METADATA!$A$5:$H$29,IF(E7564="HI",2,IF(E7564="LO",6,10))+IF(T7564=1,2,IF(D7564=7,1,(IF(WEEKDAY(B7564)=1,2,IF(WEEKDAY(B7564)=7,1,0))))))</f>
        <v>3</v>
      </c>
    </row>
    <row r="7565" spans="2:22">
      <c r="B7565" s="318">
        <f t="shared" si="471"/>
        <v>46428</v>
      </c>
      <c r="C7565" s="312">
        <v>1</v>
      </c>
      <c r="D7565" s="368">
        <f>IFERROR((INDEX(METADATA!$T$2:$T$20,MATCH(B7565,METADATA!$S$2:$S$20,0))),0)</f>
        <v>0</v>
      </c>
      <c r="E7565" s="312" t="str">
        <f t="shared" si="472"/>
        <v>LO</v>
      </c>
      <c r="F7565" s="369">
        <f>VLOOKUP(C7565,METADATA!$A$5:$H$29,IF(E7565="HI",2,IF(E7565="LO",6,10))+IF(D7565=1,2,IF(D7565=7,1,(IF(WEEKDAY(B7565)=1,2,IF(WEEKDAY(B7565)=7,1,0))))))</f>
        <v>3</v>
      </c>
      <c r="G7565" s="369">
        <f>VLOOKUP(C7565,METADATA!$J$5:$Q$29,IF(E7565="HI",2,IF(E7565="LO",6,10))+IF(D7565=1,2,IF(D7565=7,1,(IF(WEEKDAY(B7565)=1,2,IF(WEEKDAY(B7565)=7,1,0))))))</f>
        <v>3</v>
      </c>
      <c r="H7565" s="370">
        <v>12874.224914550781</v>
      </c>
      <c r="I7565" s="370">
        <v>9395.4750366210938</v>
      </c>
      <c r="M7565" s="371">
        <f t="shared" si="473"/>
        <v>15938.02429142992</v>
      </c>
      <c r="N7565" s="329">
        <f t="shared" si="474"/>
        <v>5533.2075622558596</v>
      </c>
      <c r="T7565" s="331">
        <v>0</v>
      </c>
      <c r="U7565" s="328">
        <f>VLOOKUP(C7565,METADATA!$J$5:$Q$29,IF(E7565="HI",2,IF(E7565="LO",6,10))+IF(T7565=1,2,IF(D7565=7,1,(IF(WEEKDAY(B7565)=1,2,IF(WEEKDAY(B7565)=7,1,0))))))</f>
        <v>3</v>
      </c>
      <c r="V7565" s="328">
        <f>VLOOKUP(C7565,METADATA!$A$5:$H$29,IF(E7565="HI",2,IF(E7565="LO",6,10))+IF(T7565=1,2,IF(D7565=7,1,(IF(WEEKDAY(B7565)=1,2,IF(WEEKDAY(B7565)=7,1,0))))))</f>
        <v>3</v>
      </c>
    </row>
    <row r="7566" spans="2:22">
      <c r="B7566" s="318">
        <f t="shared" si="471"/>
        <v>46428</v>
      </c>
      <c r="C7566" s="312">
        <v>2</v>
      </c>
      <c r="D7566" s="368">
        <f>IFERROR((INDEX(METADATA!$T$2:$T$20,MATCH(B7566,METADATA!$S$2:$S$20,0))),0)</f>
        <v>0</v>
      </c>
      <c r="E7566" s="312" t="str">
        <f t="shared" si="472"/>
        <v>LO</v>
      </c>
      <c r="F7566" s="369">
        <f>VLOOKUP(C7566,METADATA!$A$5:$H$29,IF(E7566="HI",2,IF(E7566="LO",6,10))+IF(D7566=1,2,IF(D7566=7,1,(IF(WEEKDAY(B7566)=1,2,IF(WEEKDAY(B7566)=7,1,0))))))</f>
        <v>3</v>
      </c>
      <c r="G7566" s="369">
        <f>VLOOKUP(C7566,METADATA!$J$5:$Q$29,IF(E7566="HI",2,IF(E7566="LO",6,10))+IF(D7566=1,2,IF(D7566=7,1,(IF(WEEKDAY(B7566)=1,2,IF(WEEKDAY(B7566)=7,1,0))))))</f>
        <v>3</v>
      </c>
      <c r="H7566" s="370">
        <v>12870.696411132813</v>
      </c>
      <c r="I7566" s="370">
        <v>9330.5260620117188</v>
      </c>
      <c r="M7566" s="371">
        <f t="shared" si="473"/>
        <v>15896.966462235081</v>
      </c>
      <c r="N7566" s="329">
        <f t="shared" si="474"/>
        <v>5469.317138671875</v>
      </c>
      <c r="T7566" s="331">
        <v>0</v>
      </c>
      <c r="U7566" s="328">
        <f>VLOOKUP(C7566,METADATA!$J$5:$Q$29,IF(E7566="HI",2,IF(E7566="LO",6,10))+IF(T7566=1,2,IF(D7566=7,1,(IF(WEEKDAY(B7566)=1,2,IF(WEEKDAY(B7566)=7,1,0))))))</f>
        <v>3</v>
      </c>
      <c r="V7566" s="328">
        <f>VLOOKUP(C7566,METADATA!$A$5:$H$29,IF(E7566="HI",2,IF(E7566="LO",6,10))+IF(T7566=1,2,IF(D7566=7,1,(IF(WEEKDAY(B7566)=1,2,IF(WEEKDAY(B7566)=7,1,0))))))</f>
        <v>3</v>
      </c>
    </row>
    <row r="7567" spans="2:22">
      <c r="B7567" s="318">
        <f t="shared" si="471"/>
        <v>46428</v>
      </c>
      <c r="C7567" s="312">
        <v>3</v>
      </c>
      <c r="D7567" s="368">
        <f>IFERROR((INDEX(METADATA!$T$2:$T$20,MATCH(B7567,METADATA!$S$2:$S$20,0))),0)</f>
        <v>0</v>
      </c>
      <c r="E7567" s="312" t="str">
        <f t="shared" si="472"/>
        <v>LO</v>
      </c>
      <c r="F7567" s="369">
        <f>VLOOKUP(C7567,METADATA!$A$5:$H$29,IF(E7567="HI",2,IF(E7567="LO",6,10))+IF(D7567=1,2,IF(D7567=7,1,(IF(WEEKDAY(B7567)=1,2,IF(WEEKDAY(B7567)=7,1,0))))))</f>
        <v>3</v>
      </c>
      <c r="G7567" s="369">
        <f>VLOOKUP(C7567,METADATA!$J$5:$Q$29,IF(E7567="HI",2,IF(E7567="LO",6,10))+IF(D7567=1,2,IF(D7567=7,1,(IF(WEEKDAY(B7567)=1,2,IF(WEEKDAY(B7567)=7,1,0))))))</f>
        <v>3</v>
      </c>
      <c r="H7567" s="370">
        <v>12772.94970703125</v>
      </c>
      <c r="I7567" s="370">
        <v>9294.6998291015625</v>
      </c>
      <c r="M7567" s="371">
        <f t="shared" si="473"/>
        <v>15796.825286476087</v>
      </c>
      <c r="N7567" s="329">
        <f t="shared" si="474"/>
        <v>5462.8149169921871</v>
      </c>
      <c r="T7567" s="331">
        <v>0</v>
      </c>
      <c r="U7567" s="328">
        <f>VLOOKUP(C7567,METADATA!$J$5:$Q$29,IF(E7567="HI",2,IF(E7567="LO",6,10))+IF(T7567=1,2,IF(D7567=7,1,(IF(WEEKDAY(B7567)=1,2,IF(WEEKDAY(B7567)=7,1,0))))))</f>
        <v>3</v>
      </c>
      <c r="V7567" s="328">
        <f>VLOOKUP(C7567,METADATA!$A$5:$H$29,IF(E7567="HI",2,IF(E7567="LO",6,10))+IF(T7567=1,2,IF(D7567=7,1,(IF(WEEKDAY(B7567)=1,2,IF(WEEKDAY(B7567)=7,1,0))))))</f>
        <v>3</v>
      </c>
    </row>
    <row r="7568" spans="2:22">
      <c r="B7568" s="318">
        <f t="shared" si="471"/>
        <v>46428</v>
      </c>
      <c r="C7568" s="312">
        <v>4</v>
      </c>
      <c r="D7568" s="368">
        <f>IFERROR((INDEX(METADATA!$T$2:$T$20,MATCH(B7568,METADATA!$S$2:$S$20,0))),0)</f>
        <v>0</v>
      </c>
      <c r="E7568" s="312" t="str">
        <f t="shared" si="472"/>
        <v>LO</v>
      </c>
      <c r="F7568" s="369">
        <f>VLOOKUP(C7568,METADATA!$A$5:$H$29,IF(E7568="HI",2,IF(E7568="LO",6,10))+IF(D7568=1,2,IF(D7568=7,1,(IF(WEEKDAY(B7568)=1,2,IF(WEEKDAY(B7568)=7,1,0))))))</f>
        <v>3</v>
      </c>
      <c r="G7568" s="369">
        <f>VLOOKUP(C7568,METADATA!$J$5:$Q$29,IF(E7568="HI",2,IF(E7568="LO",6,10))+IF(D7568=1,2,IF(D7568=7,1,(IF(WEEKDAY(B7568)=1,2,IF(WEEKDAY(B7568)=7,1,0))))))</f>
        <v>3</v>
      </c>
      <c r="H7568" s="370">
        <v>12718.924926757813</v>
      </c>
      <c r="I7568" s="370">
        <v>9374.275146484375</v>
      </c>
      <c r="M7568" s="371">
        <f t="shared" si="473"/>
        <v>15800.255878133616</v>
      </c>
      <c r="N7568" s="329">
        <f t="shared" si="474"/>
        <v>5558.5976684570314</v>
      </c>
      <c r="T7568" s="331">
        <v>0</v>
      </c>
      <c r="U7568" s="328">
        <f>VLOOKUP(C7568,METADATA!$J$5:$Q$29,IF(E7568="HI",2,IF(E7568="LO",6,10))+IF(T7568=1,2,IF(D7568=7,1,(IF(WEEKDAY(B7568)=1,2,IF(WEEKDAY(B7568)=7,1,0))))))</f>
        <v>3</v>
      </c>
      <c r="V7568" s="328">
        <f>VLOOKUP(C7568,METADATA!$A$5:$H$29,IF(E7568="HI",2,IF(E7568="LO",6,10))+IF(T7568=1,2,IF(D7568=7,1,(IF(WEEKDAY(B7568)=1,2,IF(WEEKDAY(B7568)=7,1,0))))))</f>
        <v>3</v>
      </c>
    </row>
    <row r="7569" spans="2:22">
      <c r="B7569" s="318">
        <f t="shared" si="471"/>
        <v>46428</v>
      </c>
      <c r="C7569" s="312">
        <v>5</v>
      </c>
      <c r="D7569" s="368">
        <f>IFERROR((INDEX(METADATA!$T$2:$T$20,MATCH(B7569,METADATA!$S$2:$S$20,0))),0)</f>
        <v>0</v>
      </c>
      <c r="E7569" s="312" t="str">
        <f t="shared" si="472"/>
        <v>LO</v>
      </c>
      <c r="F7569" s="369">
        <f>VLOOKUP(C7569,METADATA!$A$5:$H$29,IF(E7569="HI",2,IF(E7569="LO",6,10))+IF(D7569=1,2,IF(D7569=7,1,(IF(WEEKDAY(B7569)=1,2,IF(WEEKDAY(B7569)=7,1,0))))))</f>
        <v>3</v>
      </c>
      <c r="G7569" s="369">
        <f>VLOOKUP(C7569,METADATA!$J$5:$Q$29,IF(E7569="HI",2,IF(E7569="LO",6,10))+IF(D7569=1,2,IF(D7569=7,1,(IF(WEEKDAY(B7569)=1,2,IF(WEEKDAY(B7569)=7,1,0))))))</f>
        <v>3</v>
      </c>
      <c r="H7569" s="370">
        <v>12836.0498046875</v>
      </c>
      <c r="I7569" s="370">
        <v>9473.025146484375</v>
      </c>
      <c r="M7569" s="371">
        <f t="shared" si="473"/>
        <v>15953.130727676726</v>
      </c>
      <c r="N7569" s="329">
        <f t="shared" si="474"/>
        <v>5622.210205078125</v>
      </c>
      <c r="T7569" s="331">
        <v>0</v>
      </c>
      <c r="U7569" s="328">
        <f>VLOOKUP(C7569,METADATA!$J$5:$Q$29,IF(E7569="HI",2,IF(E7569="LO",6,10))+IF(T7569=1,2,IF(D7569=7,1,(IF(WEEKDAY(B7569)=1,2,IF(WEEKDAY(B7569)=7,1,0))))))</f>
        <v>3</v>
      </c>
      <c r="V7569" s="328">
        <f>VLOOKUP(C7569,METADATA!$A$5:$H$29,IF(E7569="HI",2,IF(E7569="LO",6,10))+IF(T7569=1,2,IF(D7569=7,1,(IF(WEEKDAY(B7569)=1,2,IF(WEEKDAY(B7569)=7,1,0))))))</f>
        <v>3</v>
      </c>
    </row>
    <row r="7570" spans="2:22">
      <c r="B7570" s="318">
        <f t="shared" si="471"/>
        <v>46428</v>
      </c>
      <c r="C7570" s="312">
        <v>6</v>
      </c>
      <c r="D7570" s="368">
        <f>IFERROR((INDEX(METADATA!$T$2:$T$20,MATCH(B7570,METADATA!$S$2:$S$20,0))),0)</f>
        <v>0</v>
      </c>
      <c r="E7570" s="312" t="str">
        <f t="shared" si="472"/>
        <v>LO</v>
      </c>
      <c r="F7570" s="369">
        <f>VLOOKUP(C7570,METADATA!$A$5:$H$29,IF(E7570="HI",2,IF(E7570="LO",6,10))+IF(D7570=1,2,IF(D7570=7,1,(IF(WEEKDAY(B7570)=1,2,IF(WEEKDAY(B7570)=7,1,0))))))</f>
        <v>2</v>
      </c>
      <c r="G7570" s="369">
        <f>VLOOKUP(C7570,METADATA!$J$5:$Q$29,IF(E7570="HI",2,IF(E7570="LO",6,10))+IF(D7570=1,2,IF(D7570=7,1,(IF(WEEKDAY(B7570)=1,2,IF(WEEKDAY(B7570)=7,1,0))))))</f>
        <v>2</v>
      </c>
      <c r="H7570" s="370">
        <v>10528.5</v>
      </c>
      <c r="I7570" s="370">
        <v>8304.1000671386719</v>
      </c>
      <c r="M7570" s="371">
        <f t="shared" si="473"/>
        <v>13409.227799357146</v>
      </c>
      <c r="N7570" s="329">
        <f t="shared" si="474"/>
        <v>5145.5500671386726</v>
      </c>
      <c r="T7570" s="331">
        <v>0</v>
      </c>
      <c r="U7570" s="328">
        <f>VLOOKUP(C7570,METADATA!$J$5:$Q$29,IF(E7570="HI",2,IF(E7570="LO",6,10))+IF(T7570=1,2,IF(D7570=7,1,(IF(WEEKDAY(B7570)=1,2,IF(WEEKDAY(B7570)=7,1,0))))))</f>
        <v>2</v>
      </c>
      <c r="V7570" s="328">
        <f>VLOOKUP(C7570,METADATA!$A$5:$H$29,IF(E7570="HI",2,IF(E7570="LO",6,10))+IF(T7570=1,2,IF(D7570=7,1,(IF(WEEKDAY(B7570)=1,2,IF(WEEKDAY(B7570)=7,1,0))))))</f>
        <v>2</v>
      </c>
    </row>
    <row r="7571" spans="2:22">
      <c r="B7571" s="318">
        <f t="shared" si="471"/>
        <v>46428</v>
      </c>
      <c r="C7571" s="312">
        <v>7</v>
      </c>
      <c r="D7571" s="368">
        <f>IFERROR((INDEX(METADATA!$T$2:$T$20,MATCH(B7571,METADATA!$S$2:$S$20,0))),0)</f>
        <v>0</v>
      </c>
      <c r="E7571" s="312" t="str">
        <f t="shared" si="472"/>
        <v>LO</v>
      </c>
      <c r="F7571" s="369">
        <f>VLOOKUP(C7571,METADATA!$A$5:$H$29,IF(E7571="HI",2,IF(E7571="LO",6,10))+IF(D7571=1,2,IF(D7571=7,1,(IF(WEEKDAY(B7571)=1,2,IF(WEEKDAY(B7571)=7,1,0))))))</f>
        <v>1</v>
      </c>
      <c r="G7571" s="369">
        <f>VLOOKUP(C7571,METADATA!$J$5:$Q$29,IF(E7571="HI",2,IF(E7571="LO",6,10))+IF(D7571=1,2,IF(D7571=7,1,(IF(WEEKDAY(B7571)=1,2,IF(WEEKDAY(B7571)=7,1,0))))))</f>
        <v>1</v>
      </c>
      <c r="H7571" s="370">
        <v>7147.97509765625</v>
      </c>
      <c r="I7571" s="370">
        <v>6610.2374877929688</v>
      </c>
      <c r="M7571" s="371">
        <f t="shared" si="473"/>
        <v>9735.9533504293959</v>
      </c>
      <c r="N7571" s="329">
        <f t="shared" si="474"/>
        <v>4465.8449584960945</v>
      </c>
      <c r="T7571" s="331">
        <v>0</v>
      </c>
      <c r="U7571" s="328">
        <f>VLOOKUP(C7571,METADATA!$J$5:$Q$29,IF(E7571="HI",2,IF(E7571="LO",6,10))+IF(T7571=1,2,IF(D7571=7,1,(IF(WEEKDAY(B7571)=1,2,IF(WEEKDAY(B7571)=7,1,0))))))</f>
        <v>1</v>
      </c>
      <c r="V7571" s="328">
        <f>VLOOKUP(C7571,METADATA!$A$5:$H$29,IF(E7571="HI",2,IF(E7571="LO",6,10))+IF(T7571=1,2,IF(D7571=7,1,(IF(WEEKDAY(B7571)=1,2,IF(WEEKDAY(B7571)=7,1,0))))))</f>
        <v>1</v>
      </c>
    </row>
    <row r="7572" spans="2:22">
      <c r="B7572" s="318">
        <f t="shared" si="471"/>
        <v>46428</v>
      </c>
      <c r="C7572" s="312">
        <v>8</v>
      </c>
      <c r="D7572" s="368">
        <f>IFERROR((INDEX(METADATA!$T$2:$T$20,MATCH(B7572,METADATA!$S$2:$S$20,0))),0)</f>
        <v>0</v>
      </c>
      <c r="E7572" s="312" t="str">
        <f t="shared" si="472"/>
        <v>LO</v>
      </c>
      <c r="F7572" s="369">
        <f>VLOOKUP(C7572,METADATA!$A$5:$H$29,IF(E7572="HI",2,IF(E7572="LO",6,10))+IF(D7572=1,2,IF(D7572=7,1,(IF(WEEKDAY(B7572)=1,2,IF(WEEKDAY(B7572)=7,1,0))))))</f>
        <v>1</v>
      </c>
      <c r="G7572" s="369">
        <f>VLOOKUP(C7572,METADATA!$J$5:$Q$29,IF(E7572="HI",2,IF(E7572="LO",6,10))+IF(D7572=1,2,IF(D7572=7,1,(IF(WEEKDAY(B7572)=1,2,IF(WEEKDAY(B7572)=7,1,0))))))</f>
        <v>1</v>
      </c>
      <c r="H7572" s="370">
        <v>11240.900085449219</v>
      </c>
      <c r="I7572" s="370">
        <v>8576.150146484375</v>
      </c>
      <c r="M7572" s="371">
        <f t="shared" si="473"/>
        <v>14138.889138333896</v>
      </c>
      <c r="N7572" s="329">
        <f t="shared" si="474"/>
        <v>5203.8801208496097</v>
      </c>
      <c r="T7572" s="331">
        <v>0</v>
      </c>
      <c r="U7572" s="328">
        <f>VLOOKUP(C7572,METADATA!$J$5:$Q$29,IF(E7572="HI",2,IF(E7572="LO",6,10))+IF(T7572=1,2,IF(D7572=7,1,(IF(WEEKDAY(B7572)=1,2,IF(WEEKDAY(B7572)=7,1,0))))))</f>
        <v>1</v>
      </c>
      <c r="V7572" s="328">
        <f>VLOOKUP(C7572,METADATA!$A$5:$H$29,IF(E7572="HI",2,IF(E7572="LO",6,10))+IF(T7572=1,2,IF(D7572=7,1,(IF(WEEKDAY(B7572)=1,2,IF(WEEKDAY(B7572)=7,1,0))))))</f>
        <v>1</v>
      </c>
    </row>
    <row r="7573" spans="2:22">
      <c r="B7573" s="318">
        <f t="shared" si="471"/>
        <v>46428</v>
      </c>
      <c r="C7573" s="312">
        <v>9</v>
      </c>
      <c r="D7573" s="368">
        <f>IFERROR((INDEX(METADATA!$T$2:$T$20,MATCH(B7573,METADATA!$S$2:$S$20,0))),0)</f>
        <v>0</v>
      </c>
      <c r="E7573" s="312" t="str">
        <f t="shared" si="472"/>
        <v>LO</v>
      </c>
      <c r="F7573" s="369">
        <f>VLOOKUP(C7573,METADATA!$A$5:$H$29,IF(E7573="HI",2,IF(E7573="LO",6,10))+IF(D7573=1,2,IF(D7573=7,1,(IF(WEEKDAY(B7573)=1,2,IF(WEEKDAY(B7573)=7,1,0))))))</f>
        <v>2</v>
      </c>
      <c r="G7573" s="369">
        <f>VLOOKUP(C7573,METADATA!$J$5:$Q$29,IF(E7573="HI",2,IF(E7573="LO",6,10))+IF(D7573=1,2,IF(D7573=7,1,(IF(WEEKDAY(B7573)=1,2,IF(WEEKDAY(B7573)=7,1,0))))))</f>
        <v>2</v>
      </c>
      <c r="H7573" s="370">
        <v>11942</v>
      </c>
      <c r="I7573" s="370">
        <v>8912.4001159667969</v>
      </c>
      <c r="M7573" s="371">
        <f t="shared" si="473"/>
        <v>14901.081834118117</v>
      </c>
      <c r="N7573" s="329">
        <f t="shared" si="474"/>
        <v>5329.8001159667965</v>
      </c>
      <c r="T7573" s="331">
        <v>0</v>
      </c>
      <c r="U7573" s="328">
        <f>VLOOKUP(C7573,METADATA!$J$5:$Q$29,IF(E7573="HI",2,IF(E7573="LO",6,10))+IF(T7573=1,2,IF(D7573=7,1,(IF(WEEKDAY(B7573)=1,2,IF(WEEKDAY(B7573)=7,1,0))))))</f>
        <v>2</v>
      </c>
      <c r="V7573" s="328">
        <f>VLOOKUP(C7573,METADATA!$A$5:$H$29,IF(E7573="HI",2,IF(E7573="LO",6,10))+IF(T7573=1,2,IF(D7573=7,1,(IF(WEEKDAY(B7573)=1,2,IF(WEEKDAY(B7573)=7,1,0))))))</f>
        <v>2</v>
      </c>
    </row>
    <row r="7574" spans="2:22">
      <c r="B7574" s="318">
        <f t="shared" si="471"/>
        <v>46428</v>
      </c>
      <c r="C7574" s="312">
        <v>10</v>
      </c>
      <c r="D7574" s="368">
        <f>IFERROR((INDEX(METADATA!$T$2:$T$20,MATCH(B7574,METADATA!$S$2:$S$20,0))),0)</f>
        <v>0</v>
      </c>
      <c r="E7574" s="312" t="str">
        <f t="shared" si="472"/>
        <v>LO</v>
      </c>
      <c r="F7574" s="369">
        <f>VLOOKUP(C7574,METADATA!$A$5:$H$29,IF(E7574="HI",2,IF(E7574="LO",6,10))+IF(D7574=1,2,IF(D7574=7,1,(IF(WEEKDAY(B7574)=1,2,IF(WEEKDAY(B7574)=7,1,0))))))</f>
        <v>2</v>
      </c>
      <c r="G7574" s="369">
        <f>VLOOKUP(C7574,METADATA!$J$5:$Q$29,IF(E7574="HI",2,IF(E7574="LO",6,10))+IF(D7574=1,2,IF(D7574=7,1,(IF(WEEKDAY(B7574)=1,2,IF(WEEKDAY(B7574)=7,1,0))))))</f>
        <v>2</v>
      </c>
      <c r="H7574" s="370">
        <v>12582.524841308594</v>
      </c>
      <c r="I7574" s="370">
        <v>9086.425048828125</v>
      </c>
      <c r="M7574" s="371">
        <f t="shared" si="473"/>
        <v>15520.407583247259</v>
      </c>
      <c r="N7574" s="329">
        <f t="shared" si="474"/>
        <v>5311.6675964355472</v>
      </c>
      <c r="T7574" s="331">
        <v>0</v>
      </c>
      <c r="U7574" s="328">
        <f>VLOOKUP(C7574,METADATA!$J$5:$Q$29,IF(E7574="HI",2,IF(E7574="LO",6,10))+IF(T7574=1,2,IF(D7574=7,1,(IF(WEEKDAY(B7574)=1,2,IF(WEEKDAY(B7574)=7,1,0))))))</f>
        <v>2</v>
      </c>
      <c r="V7574" s="328">
        <f>VLOOKUP(C7574,METADATA!$A$5:$H$29,IF(E7574="HI",2,IF(E7574="LO",6,10))+IF(T7574=1,2,IF(D7574=7,1,(IF(WEEKDAY(B7574)=1,2,IF(WEEKDAY(B7574)=7,1,0))))))</f>
        <v>2</v>
      </c>
    </row>
    <row r="7575" spans="2:22">
      <c r="B7575" s="318">
        <f t="shared" si="471"/>
        <v>46428</v>
      </c>
      <c r="C7575" s="312">
        <v>11</v>
      </c>
      <c r="D7575" s="368">
        <f>IFERROR((INDEX(METADATA!$T$2:$T$20,MATCH(B7575,METADATA!$S$2:$S$20,0))),0)</f>
        <v>0</v>
      </c>
      <c r="E7575" s="312" t="str">
        <f t="shared" si="472"/>
        <v>LO</v>
      </c>
      <c r="F7575" s="369">
        <f>VLOOKUP(C7575,METADATA!$A$5:$H$29,IF(E7575="HI",2,IF(E7575="LO",6,10))+IF(D7575=1,2,IF(D7575=7,1,(IF(WEEKDAY(B7575)=1,2,IF(WEEKDAY(B7575)=7,1,0))))))</f>
        <v>2</v>
      </c>
      <c r="G7575" s="369">
        <f>VLOOKUP(C7575,METADATA!$J$5:$Q$29,IF(E7575="HI",2,IF(E7575="LO",6,10))+IF(D7575=1,2,IF(D7575=7,1,(IF(WEEKDAY(B7575)=1,2,IF(WEEKDAY(B7575)=7,1,0))))))</f>
        <v>2</v>
      </c>
      <c r="H7575" s="370">
        <v>13023.599914550781</v>
      </c>
      <c r="I7575" s="370">
        <v>9286.7750244140625</v>
      </c>
      <c r="M7575" s="371">
        <f t="shared" si="473"/>
        <v>15995.572671472813</v>
      </c>
      <c r="N7575" s="329">
        <f t="shared" si="474"/>
        <v>5379.6950500488283</v>
      </c>
      <c r="T7575" s="331">
        <v>0</v>
      </c>
      <c r="U7575" s="328">
        <f>VLOOKUP(C7575,METADATA!$J$5:$Q$29,IF(E7575="HI",2,IF(E7575="LO",6,10))+IF(T7575=1,2,IF(D7575=7,1,(IF(WEEKDAY(B7575)=1,2,IF(WEEKDAY(B7575)=7,1,0))))))</f>
        <v>2</v>
      </c>
      <c r="V7575" s="328">
        <f>VLOOKUP(C7575,METADATA!$A$5:$H$29,IF(E7575="HI",2,IF(E7575="LO",6,10))+IF(T7575=1,2,IF(D7575=7,1,(IF(WEEKDAY(B7575)=1,2,IF(WEEKDAY(B7575)=7,1,0))))))</f>
        <v>2</v>
      </c>
    </row>
    <row r="7576" spans="2:22">
      <c r="B7576" s="318">
        <f t="shared" si="471"/>
        <v>46428</v>
      </c>
      <c r="C7576" s="312">
        <v>12</v>
      </c>
      <c r="D7576" s="368">
        <f>IFERROR((INDEX(METADATA!$T$2:$T$20,MATCH(B7576,METADATA!$S$2:$S$20,0))),0)</f>
        <v>0</v>
      </c>
      <c r="E7576" s="312" t="str">
        <f t="shared" si="472"/>
        <v>LO</v>
      </c>
      <c r="F7576" s="369">
        <f>VLOOKUP(C7576,METADATA!$A$5:$H$29,IF(E7576="HI",2,IF(E7576="LO",6,10))+IF(D7576=1,2,IF(D7576=7,1,(IF(WEEKDAY(B7576)=1,2,IF(WEEKDAY(B7576)=7,1,0))))))</f>
        <v>2</v>
      </c>
      <c r="G7576" s="369">
        <f>VLOOKUP(C7576,METADATA!$J$5:$Q$29,IF(E7576="HI",2,IF(E7576="LO",6,10))+IF(D7576=1,2,IF(D7576=7,1,(IF(WEEKDAY(B7576)=1,2,IF(WEEKDAY(B7576)=7,1,0))))))</f>
        <v>2</v>
      </c>
      <c r="H7576" s="370">
        <v>13165.524719238281</v>
      </c>
      <c r="I7576" s="370">
        <v>9534.2250366210938</v>
      </c>
      <c r="M7576" s="371">
        <f t="shared" si="473"/>
        <v>16255.229564106645</v>
      </c>
      <c r="N7576" s="329">
        <f t="shared" si="474"/>
        <v>5584.5676208496097</v>
      </c>
      <c r="T7576" s="331">
        <v>0</v>
      </c>
      <c r="U7576" s="328">
        <f>VLOOKUP(C7576,METADATA!$J$5:$Q$29,IF(E7576="HI",2,IF(E7576="LO",6,10))+IF(T7576=1,2,IF(D7576=7,1,(IF(WEEKDAY(B7576)=1,2,IF(WEEKDAY(B7576)=7,1,0))))))</f>
        <v>2</v>
      </c>
      <c r="V7576" s="328">
        <f>VLOOKUP(C7576,METADATA!$A$5:$H$29,IF(E7576="HI",2,IF(E7576="LO",6,10))+IF(T7576=1,2,IF(D7576=7,1,(IF(WEEKDAY(B7576)=1,2,IF(WEEKDAY(B7576)=7,1,0))))))</f>
        <v>2</v>
      </c>
    </row>
    <row r="7577" spans="2:22">
      <c r="B7577" s="318">
        <f t="shared" si="471"/>
        <v>46428</v>
      </c>
      <c r="C7577" s="312">
        <v>13</v>
      </c>
      <c r="D7577" s="368">
        <f>IFERROR((INDEX(METADATA!$T$2:$T$20,MATCH(B7577,METADATA!$S$2:$S$20,0))),0)</f>
        <v>0</v>
      </c>
      <c r="E7577" s="312" t="str">
        <f t="shared" si="472"/>
        <v>LO</v>
      </c>
      <c r="F7577" s="369">
        <f>VLOOKUP(C7577,METADATA!$A$5:$H$29,IF(E7577="HI",2,IF(E7577="LO",6,10))+IF(D7577=1,2,IF(D7577=7,1,(IF(WEEKDAY(B7577)=1,2,IF(WEEKDAY(B7577)=7,1,0))))))</f>
        <v>2</v>
      </c>
      <c r="G7577" s="369">
        <f>VLOOKUP(C7577,METADATA!$J$5:$Q$29,IF(E7577="HI",2,IF(E7577="LO",6,10))+IF(D7577=1,2,IF(D7577=7,1,(IF(WEEKDAY(B7577)=1,2,IF(WEEKDAY(B7577)=7,1,0))))))</f>
        <v>2</v>
      </c>
      <c r="H7577" s="370">
        <v>13076.350158691406</v>
      </c>
      <c r="I7577" s="370">
        <v>9546.0498046875</v>
      </c>
      <c r="M7577" s="371">
        <f t="shared" si="473"/>
        <v>16190.058688784393</v>
      </c>
      <c r="N7577" s="329">
        <f t="shared" si="474"/>
        <v>5623.1447570800783</v>
      </c>
      <c r="T7577" s="331">
        <v>0</v>
      </c>
      <c r="U7577" s="328">
        <f>VLOOKUP(C7577,METADATA!$J$5:$Q$29,IF(E7577="HI",2,IF(E7577="LO",6,10))+IF(T7577=1,2,IF(D7577=7,1,(IF(WEEKDAY(B7577)=1,2,IF(WEEKDAY(B7577)=7,1,0))))))</f>
        <v>2</v>
      </c>
      <c r="V7577" s="328">
        <f>VLOOKUP(C7577,METADATA!$A$5:$H$29,IF(E7577="HI",2,IF(E7577="LO",6,10))+IF(T7577=1,2,IF(D7577=7,1,(IF(WEEKDAY(B7577)=1,2,IF(WEEKDAY(B7577)=7,1,0))))))</f>
        <v>2</v>
      </c>
    </row>
    <row r="7578" spans="2:22">
      <c r="B7578" s="318">
        <f t="shared" si="471"/>
        <v>46428</v>
      </c>
      <c r="C7578" s="312">
        <v>14</v>
      </c>
      <c r="D7578" s="368">
        <f>IFERROR((INDEX(METADATA!$T$2:$T$20,MATCH(B7578,METADATA!$S$2:$S$20,0))),0)</f>
        <v>0</v>
      </c>
      <c r="E7578" s="312" t="str">
        <f t="shared" si="472"/>
        <v>LO</v>
      </c>
      <c r="F7578" s="369">
        <f>VLOOKUP(C7578,METADATA!$A$5:$H$29,IF(E7578="HI",2,IF(E7578="LO",6,10))+IF(D7578=1,2,IF(D7578=7,1,(IF(WEEKDAY(B7578)=1,2,IF(WEEKDAY(B7578)=7,1,0))))))</f>
        <v>2</v>
      </c>
      <c r="G7578" s="369">
        <f>VLOOKUP(C7578,METADATA!$J$5:$Q$29,IF(E7578="HI",2,IF(E7578="LO",6,10))+IF(D7578=1,2,IF(D7578=7,1,(IF(WEEKDAY(B7578)=1,2,IF(WEEKDAY(B7578)=7,1,0))))))</f>
        <v>2</v>
      </c>
      <c r="H7578" s="370">
        <v>13125.774780273438</v>
      </c>
      <c r="I7578" s="370">
        <v>9508.8250122070313</v>
      </c>
      <c r="M7578" s="371">
        <f t="shared" si="473"/>
        <v>16208.137360450652</v>
      </c>
      <c r="N7578" s="329">
        <f t="shared" si="474"/>
        <v>5571.0925781250007</v>
      </c>
      <c r="T7578" s="331">
        <v>0</v>
      </c>
      <c r="U7578" s="328">
        <f>VLOOKUP(C7578,METADATA!$J$5:$Q$29,IF(E7578="HI",2,IF(E7578="LO",6,10))+IF(T7578=1,2,IF(D7578=7,1,(IF(WEEKDAY(B7578)=1,2,IF(WEEKDAY(B7578)=7,1,0))))))</f>
        <v>2</v>
      </c>
      <c r="V7578" s="328">
        <f>VLOOKUP(C7578,METADATA!$A$5:$H$29,IF(E7578="HI",2,IF(E7578="LO",6,10))+IF(T7578=1,2,IF(D7578=7,1,(IF(WEEKDAY(B7578)=1,2,IF(WEEKDAY(B7578)=7,1,0))))))</f>
        <v>2</v>
      </c>
    </row>
    <row r="7579" spans="2:22">
      <c r="B7579" s="318">
        <f t="shared" si="471"/>
        <v>46428</v>
      </c>
      <c r="C7579" s="312">
        <v>15</v>
      </c>
      <c r="D7579" s="368">
        <f>IFERROR((INDEX(METADATA!$T$2:$T$20,MATCH(B7579,METADATA!$S$2:$S$20,0))),0)</f>
        <v>0</v>
      </c>
      <c r="E7579" s="312" t="str">
        <f t="shared" si="472"/>
        <v>LO</v>
      </c>
      <c r="F7579" s="369">
        <f>VLOOKUP(C7579,METADATA!$A$5:$H$29,IF(E7579="HI",2,IF(E7579="LO",6,10))+IF(D7579=1,2,IF(D7579=7,1,(IF(WEEKDAY(B7579)=1,2,IF(WEEKDAY(B7579)=7,1,0))))))</f>
        <v>2</v>
      </c>
      <c r="G7579" s="369">
        <f>VLOOKUP(C7579,METADATA!$J$5:$Q$29,IF(E7579="HI",2,IF(E7579="LO",6,10))+IF(D7579=1,2,IF(D7579=7,1,(IF(WEEKDAY(B7579)=1,2,IF(WEEKDAY(B7579)=7,1,0))))))</f>
        <v>2</v>
      </c>
      <c r="H7579" s="370">
        <v>13037.674560546875</v>
      </c>
      <c r="I7579" s="370">
        <v>9457.1001586914063</v>
      </c>
      <c r="M7579" s="371">
        <f t="shared" si="473"/>
        <v>16106.449061113755</v>
      </c>
      <c r="N7579" s="329">
        <f t="shared" si="474"/>
        <v>5545.7977905273438</v>
      </c>
      <c r="T7579" s="331">
        <v>0</v>
      </c>
      <c r="U7579" s="328">
        <f>VLOOKUP(C7579,METADATA!$J$5:$Q$29,IF(E7579="HI",2,IF(E7579="LO",6,10))+IF(T7579=1,2,IF(D7579=7,1,(IF(WEEKDAY(B7579)=1,2,IF(WEEKDAY(B7579)=7,1,0))))))</f>
        <v>2</v>
      </c>
      <c r="V7579" s="328">
        <f>VLOOKUP(C7579,METADATA!$A$5:$H$29,IF(E7579="HI",2,IF(E7579="LO",6,10))+IF(T7579=1,2,IF(D7579=7,1,(IF(WEEKDAY(B7579)=1,2,IF(WEEKDAY(B7579)=7,1,0))))))</f>
        <v>2</v>
      </c>
    </row>
    <row r="7580" spans="2:22">
      <c r="B7580" s="318">
        <f t="shared" ref="B7580:B7643" si="475">B7556+1</f>
        <v>46428</v>
      </c>
      <c r="C7580" s="312">
        <v>16</v>
      </c>
      <c r="D7580" s="368">
        <f>IFERROR((INDEX(METADATA!$T$2:$T$20,MATCH(B7580,METADATA!$S$2:$S$20,0))),0)</f>
        <v>0</v>
      </c>
      <c r="E7580" s="312" t="str">
        <f t="shared" si="472"/>
        <v>LO</v>
      </c>
      <c r="F7580" s="369">
        <f>VLOOKUP(C7580,METADATA!$A$5:$H$29,IF(E7580="HI",2,IF(E7580="LO",6,10))+IF(D7580=1,2,IF(D7580=7,1,(IF(WEEKDAY(B7580)=1,2,IF(WEEKDAY(B7580)=7,1,0))))))</f>
        <v>2</v>
      </c>
      <c r="G7580" s="369">
        <f>VLOOKUP(C7580,METADATA!$J$5:$Q$29,IF(E7580="HI",2,IF(E7580="LO",6,10))+IF(D7580=1,2,IF(D7580=7,1,(IF(WEEKDAY(B7580)=1,2,IF(WEEKDAY(B7580)=7,1,0))))))</f>
        <v>2</v>
      </c>
      <c r="H7580" s="370">
        <v>13003.575256347656</v>
      </c>
      <c r="I7580" s="370">
        <v>9546.39990234375</v>
      </c>
      <c r="M7580" s="371">
        <f t="shared" si="473"/>
        <v>16131.544270247836</v>
      </c>
      <c r="N7580" s="329">
        <f t="shared" si="474"/>
        <v>5645.3273254394535</v>
      </c>
      <c r="T7580" s="331">
        <v>0</v>
      </c>
      <c r="U7580" s="328">
        <f>VLOOKUP(C7580,METADATA!$J$5:$Q$29,IF(E7580="HI",2,IF(E7580="LO",6,10))+IF(T7580=1,2,IF(D7580=7,1,(IF(WEEKDAY(B7580)=1,2,IF(WEEKDAY(B7580)=7,1,0))))))</f>
        <v>2</v>
      </c>
      <c r="V7580" s="328">
        <f>VLOOKUP(C7580,METADATA!$A$5:$H$29,IF(E7580="HI",2,IF(E7580="LO",6,10))+IF(T7580=1,2,IF(D7580=7,1,(IF(WEEKDAY(B7580)=1,2,IF(WEEKDAY(B7580)=7,1,0))))))</f>
        <v>2</v>
      </c>
    </row>
    <row r="7581" spans="2:22">
      <c r="B7581" s="318">
        <f t="shared" si="475"/>
        <v>46428</v>
      </c>
      <c r="C7581" s="312">
        <v>17</v>
      </c>
      <c r="D7581" s="368">
        <f>IFERROR((INDEX(METADATA!$T$2:$T$20,MATCH(B7581,METADATA!$S$2:$S$20,0))),0)</f>
        <v>0</v>
      </c>
      <c r="E7581" s="312" t="str">
        <f t="shared" si="472"/>
        <v>LO</v>
      </c>
      <c r="F7581" s="369">
        <f>VLOOKUP(C7581,METADATA!$A$5:$H$29,IF(E7581="HI",2,IF(E7581="LO",6,10))+IF(D7581=1,2,IF(D7581=7,1,(IF(WEEKDAY(B7581)=1,2,IF(WEEKDAY(B7581)=7,1,0))))))</f>
        <v>2</v>
      </c>
      <c r="G7581" s="369">
        <f>VLOOKUP(C7581,METADATA!$J$5:$Q$29,IF(E7581="HI",2,IF(E7581="LO",6,10))+IF(D7581=1,2,IF(D7581=7,1,(IF(WEEKDAY(B7581)=1,2,IF(WEEKDAY(B7581)=7,1,0))))))</f>
        <v>2</v>
      </c>
      <c r="H7581" s="370">
        <v>13030.499633789063</v>
      </c>
      <c r="I7581" s="370">
        <v>9768.9000244140625</v>
      </c>
      <c r="M7581" s="371">
        <f t="shared" si="473"/>
        <v>16285.740032100903</v>
      </c>
      <c r="N7581" s="329">
        <f t="shared" si="474"/>
        <v>5859.7501342773439</v>
      </c>
      <c r="T7581" s="331">
        <v>0</v>
      </c>
      <c r="U7581" s="328">
        <f>VLOOKUP(C7581,METADATA!$J$5:$Q$29,IF(E7581="HI",2,IF(E7581="LO",6,10))+IF(T7581=1,2,IF(D7581=7,1,(IF(WEEKDAY(B7581)=1,2,IF(WEEKDAY(B7581)=7,1,0))))))</f>
        <v>2</v>
      </c>
      <c r="V7581" s="328">
        <f>VLOOKUP(C7581,METADATA!$A$5:$H$29,IF(E7581="HI",2,IF(E7581="LO",6,10))+IF(T7581=1,2,IF(D7581=7,1,(IF(WEEKDAY(B7581)=1,2,IF(WEEKDAY(B7581)=7,1,0))))))</f>
        <v>2</v>
      </c>
    </row>
    <row r="7582" spans="2:22">
      <c r="B7582" s="318">
        <f t="shared" si="475"/>
        <v>46428</v>
      </c>
      <c r="C7582" s="312">
        <v>18</v>
      </c>
      <c r="D7582" s="368">
        <f>IFERROR((INDEX(METADATA!$T$2:$T$20,MATCH(B7582,METADATA!$S$2:$S$20,0))),0)</f>
        <v>0</v>
      </c>
      <c r="E7582" s="312" t="str">
        <f t="shared" si="472"/>
        <v>LO</v>
      </c>
      <c r="F7582" s="369">
        <f>VLOOKUP(C7582,METADATA!$A$5:$H$29,IF(E7582="HI",2,IF(E7582="LO",6,10))+IF(D7582=1,2,IF(D7582=7,1,(IF(WEEKDAY(B7582)=1,2,IF(WEEKDAY(B7582)=7,1,0))))))</f>
        <v>1</v>
      </c>
      <c r="G7582" s="369">
        <f>VLOOKUP(C7582,METADATA!$J$5:$Q$29,IF(E7582="HI",2,IF(E7582="LO",6,10))+IF(D7582=1,2,IF(D7582=7,1,(IF(WEEKDAY(B7582)=1,2,IF(WEEKDAY(B7582)=7,1,0))))))</f>
        <v>1</v>
      </c>
      <c r="H7582" s="370">
        <v>12901.775268554688</v>
      </c>
      <c r="I7582" s="370">
        <v>9612.8499145507813</v>
      </c>
      <c r="M7582" s="371">
        <f t="shared" si="473"/>
        <v>16089.210314989617</v>
      </c>
      <c r="N7582" s="329">
        <f t="shared" si="474"/>
        <v>5742.3173339843752</v>
      </c>
      <c r="T7582" s="331">
        <v>0</v>
      </c>
      <c r="U7582" s="328">
        <f>VLOOKUP(C7582,METADATA!$J$5:$Q$29,IF(E7582="HI",2,IF(E7582="LO",6,10))+IF(T7582=1,2,IF(D7582=7,1,(IF(WEEKDAY(B7582)=1,2,IF(WEEKDAY(B7582)=7,1,0))))))</f>
        <v>1</v>
      </c>
      <c r="V7582" s="328">
        <f>VLOOKUP(C7582,METADATA!$A$5:$H$29,IF(E7582="HI",2,IF(E7582="LO",6,10))+IF(T7582=1,2,IF(D7582=7,1,(IF(WEEKDAY(B7582)=1,2,IF(WEEKDAY(B7582)=7,1,0))))))</f>
        <v>1</v>
      </c>
    </row>
    <row r="7583" spans="2:22">
      <c r="B7583" s="318">
        <f t="shared" si="475"/>
        <v>46428</v>
      </c>
      <c r="C7583" s="312">
        <v>19</v>
      </c>
      <c r="D7583" s="368">
        <f>IFERROR((INDEX(METADATA!$T$2:$T$20,MATCH(B7583,METADATA!$S$2:$S$20,0))),0)</f>
        <v>0</v>
      </c>
      <c r="E7583" s="312" t="str">
        <f t="shared" si="472"/>
        <v>LO</v>
      </c>
      <c r="F7583" s="369">
        <f>VLOOKUP(C7583,METADATA!$A$5:$H$29,IF(E7583="HI",2,IF(E7583="LO",6,10))+IF(D7583=1,2,IF(D7583=7,1,(IF(WEEKDAY(B7583)=1,2,IF(WEEKDAY(B7583)=7,1,0))))))</f>
        <v>1</v>
      </c>
      <c r="G7583" s="369">
        <f>VLOOKUP(C7583,METADATA!$J$5:$Q$29,IF(E7583="HI",2,IF(E7583="LO",6,10))+IF(D7583=1,2,IF(D7583=7,1,(IF(WEEKDAY(B7583)=1,2,IF(WEEKDAY(B7583)=7,1,0))))))</f>
        <v>1</v>
      </c>
      <c r="H7583" s="370">
        <v>12870.375427246094</v>
      </c>
      <c r="I7583" s="370">
        <v>9535.2750244140625</v>
      </c>
      <c r="M7583" s="371">
        <f t="shared" si="473"/>
        <v>16017.741208718371</v>
      </c>
      <c r="N7583" s="329">
        <f t="shared" si="474"/>
        <v>5674.1623962402346</v>
      </c>
      <c r="T7583" s="331">
        <v>0</v>
      </c>
      <c r="U7583" s="328">
        <f>VLOOKUP(C7583,METADATA!$J$5:$Q$29,IF(E7583="HI",2,IF(E7583="LO",6,10))+IF(T7583=1,2,IF(D7583=7,1,(IF(WEEKDAY(B7583)=1,2,IF(WEEKDAY(B7583)=7,1,0))))))</f>
        <v>1</v>
      </c>
      <c r="V7583" s="328">
        <f>VLOOKUP(C7583,METADATA!$A$5:$H$29,IF(E7583="HI",2,IF(E7583="LO",6,10))+IF(T7583=1,2,IF(D7583=7,1,(IF(WEEKDAY(B7583)=1,2,IF(WEEKDAY(B7583)=7,1,0))))))</f>
        <v>1</v>
      </c>
    </row>
    <row r="7584" spans="2:22">
      <c r="B7584" s="318">
        <f t="shared" si="475"/>
        <v>46428</v>
      </c>
      <c r="C7584" s="312">
        <v>20</v>
      </c>
      <c r="D7584" s="368">
        <f>IFERROR((INDEX(METADATA!$T$2:$T$20,MATCH(B7584,METADATA!$S$2:$S$20,0))),0)</f>
        <v>0</v>
      </c>
      <c r="E7584" s="312" t="str">
        <f t="shared" si="472"/>
        <v>LO</v>
      </c>
      <c r="F7584" s="369">
        <f>VLOOKUP(C7584,METADATA!$A$5:$H$29,IF(E7584="HI",2,IF(E7584="LO",6,10))+IF(D7584=1,2,IF(D7584=7,1,(IF(WEEKDAY(B7584)=1,2,IF(WEEKDAY(B7584)=7,1,0))))))</f>
        <v>1</v>
      </c>
      <c r="G7584" s="369">
        <f>VLOOKUP(C7584,METADATA!$J$5:$Q$29,IF(E7584="HI",2,IF(E7584="LO",6,10))+IF(D7584=1,2,IF(D7584=7,1,(IF(WEEKDAY(B7584)=1,2,IF(WEEKDAY(B7584)=7,1,0))))))</f>
        <v>1</v>
      </c>
      <c r="H7584" s="370">
        <v>12915.700012207031</v>
      </c>
      <c r="I7584" s="370">
        <v>9549.5999755859375</v>
      </c>
      <c r="M7584" s="371">
        <f t="shared" si="473"/>
        <v>16062.694870383228</v>
      </c>
      <c r="N7584" s="329">
        <f t="shared" si="474"/>
        <v>5674.8899719238289</v>
      </c>
      <c r="T7584" s="331">
        <v>0</v>
      </c>
      <c r="U7584" s="328">
        <f>VLOOKUP(C7584,METADATA!$J$5:$Q$29,IF(E7584="HI",2,IF(E7584="LO",6,10))+IF(T7584=1,2,IF(D7584=7,1,(IF(WEEKDAY(B7584)=1,2,IF(WEEKDAY(B7584)=7,1,0))))))</f>
        <v>1</v>
      </c>
      <c r="V7584" s="328">
        <f>VLOOKUP(C7584,METADATA!$A$5:$H$29,IF(E7584="HI",2,IF(E7584="LO",6,10))+IF(T7584=1,2,IF(D7584=7,1,(IF(WEEKDAY(B7584)=1,2,IF(WEEKDAY(B7584)=7,1,0))))))</f>
        <v>1</v>
      </c>
    </row>
    <row r="7585" spans="2:22">
      <c r="B7585" s="318">
        <f t="shared" si="475"/>
        <v>46428</v>
      </c>
      <c r="C7585" s="312">
        <v>21</v>
      </c>
      <c r="D7585" s="368">
        <f>IFERROR((INDEX(METADATA!$T$2:$T$20,MATCH(B7585,METADATA!$S$2:$S$20,0))),0)</f>
        <v>0</v>
      </c>
      <c r="E7585" s="312" t="str">
        <f t="shared" si="472"/>
        <v>LO</v>
      </c>
      <c r="F7585" s="369">
        <f>VLOOKUP(C7585,METADATA!$A$5:$H$29,IF(E7585="HI",2,IF(E7585="LO",6,10))+IF(D7585=1,2,IF(D7585=7,1,(IF(WEEKDAY(B7585)=1,2,IF(WEEKDAY(B7585)=7,1,0))))))</f>
        <v>2</v>
      </c>
      <c r="G7585" s="369">
        <f>VLOOKUP(C7585,METADATA!$J$5:$Q$29,IF(E7585="HI",2,IF(E7585="LO",6,10))+IF(D7585=1,2,IF(D7585=7,1,(IF(WEEKDAY(B7585)=1,2,IF(WEEKDAY(B7585)=7,1,0))))))</f>
        <v>2</v>
      </c>
      <c r="H7585" s="370">
        <v>13017.974548339844</v>
      </c>
      <c r="I7585" s="370">
        <v>9608.1500244140625</v>
      </c>
      <c r="M7585" s="371">
        <f t="shared" si="473"/>
        <v>16179.746853176408</v>
      </c>
      <c r="N7585" s="329">
        <f t="shared" si="474"/>
        <v>5702.7576599121094</v>
      </c>
      <c r="T7585" s="331">
        <v>0</v>
      </c>
      <c r="U7585" s="328">
        <f>VLOOKUP(C7585,METADATA!$J$5:$Q$29,IF(E7585="HI",2,IF(E7585="LO",6,10))+IF(T7585=1,2,IF(D7585=7,1,(IF(WEEKDAY(B7585)=1,2,IF(WEEKDAY(B7585)=7,1,0))))))</f>
        <v>2</v>
      </c>
      <c r="V7585" s="328">
        <f>VLOOKUP(C7585,METADATA!$A$5:$H$29,IF(E7585="HI",2,IF(E7585="LO",6,10))+IF(T7585=1,2,IF(D7585=7,1,(IF(WEEKDAY(B7585)=1,2,IF(WEEKDAY(B7585)=7,1,0))))))</f>
        <v>2</v>
      </c>
    </row>
    <row r="7586" spans="2:22">
      <c r="B7586" s="318">
        <f t="shared" si="475"/>
        <v>46428</v>
      </c>
      <c r="C7586" s="312">
        <v>22</v>
      </c>
      <c r="D7586" s="368">
        <f>IFERROR((INDEX(METADATA!$T$2:$T$20,MATCH(B7586,METADATA!$S$2:$S$20,0))),0)</f>
        <v>0</v>
      </c>
      <c r="E7586" s="312" t="str">
        <f t="shared" si="472"/>
        <v>LO</v>
      </c>
      <c r="F7586" s="369">
        <f>VLOOKUP(C7586,METADATA!$A$5:$H$29,IF(E7586="HI",2,IF(E7586="LO",6,10))+IF(D7586=1,2,IF(D7586=7,1,(IF(WEEKDAY(B7586)=1,2,IF(WEEKDAY(B7586)=7,1,0))))))</f>
        <v>3</v>
      </c>
      <c r="G7586" s="369">
        <f>VLOOKUP(C7586,METADATA!$J$5:$Q$29,IF(E7586="HI",2,IF(E7586="LO",6,10))+IF(D7586=1,2,IF(D7586=7,1,(IF(WEEKDAY(B7586)=1,2,IF(WEEKDAY(B7586)=7,1,0))))))</f>
        <v>3</v>
      </c>
      <c r="H7586" s="370">
        <v>12926.7998046875</v>
      </c>
      <c r="I7586" s="370">
        <v>9708.9251098632813</v>
      </c>
      <c r="M7586" s="371">
        <f t="shared" si="473"/>
        <v>16166.798692981938</v>
      </c>
      <c r="N7586" s="329">
        <f t="shared" si="474"/>
        <v>5830.8851684570309</v>
      </c>
      <c r="T7586" s="331">
        <v>0</v>
      </c>
      <c r="U7586" s="328">
        <f>VLOOKUP(C7586,METADATA!$J$5:$Q$29,IF(E7586="HI",2,IF(E7586="LO",6,10))+IF(T7586=1,2,IF(D7586=7,1,(IF(WEEKDAY(B7586)=1,2,IF(WEEKDAY(B7586)=7,1,0))))))</f>
        <v>3</v>
      </c>
      <c r="V7586" s="328">
        <f>VLOOKUP(C7586,METADATA!$A$5:$H$29,IF(E7586="HI",2,IF(E7586="LO",6,10))+IF(T7586=1,2,IF(D7586=7,1,(IF(WEEKDAY(B7586)=1,2,IF(WEEKDAY(B7586)=7,1,0))))))</f>
        <v>3</v>
      </c>
    </row>
    <row r="7587" spans="2:22">
      <c r="B7587" s="318">
        <f t="shared" si="475"/>
        <v>46428</v>
      </c>
      <c r="C7587" s="312">
        <v>23</v>
      </c>
      <c r="D7587" s="368">
        <f>IFERROR((INDEX(METADATA!$T$2:$T$20,MATCH(B7587,METADATA!$S$2:$S$20,0))),0)</f>
        <v>0</v>
      </c>
      <c r="E7587" s="312" t="str">
        <f t="shared" si="472"/>
        <v>LO</v>
      </c>
      <c r="F7587" s="369">
        <f>VLOOKUP(C7587,METADATA!$A$5:$H$29,IF(E7587="HI",2,IF(E7587="LO",6,10))+IF(D7587=1,2,IF(D7587=7,1,(IF(WEEKDAY(B7587)=1,2,IF(WEEKDAY(B7587)=7,1,0))))))</f>
        <v>3</v>
      </c>
      <c r="G7587" s="369">
        <f>VLOOKUP(C7587,METADATA!$J$5:$Q$29,IF(E7587="HI",2,IF(E7587="LO",6,10))+IF(D7587=1,2,IF(D7587=7,1,(IF(WEEKDAY(B7587)=1,2,IF(WEEKDAY(B7587)=7,1,0))))))</f>
        <v>3</v>
      </c>
      <c r="H7587" s="370">
        <v>12749.125</v>
      </c>
      <c r="I7587" s="370">
        <v>9677.050048828125</v>
      </c>
      <c r="M7587" s="371">
        <f t="shared" si="473"/>
        <v>16005.795385208115</v>
      </c>
      <c r="N7587" s="329">
        <f t="shared" si="474"/>
        <v>5852.3125488281257</v>
      </c>
      <c r="T7587" s="331">
        <v>0</v>
      </c>
      <c r="U7587" s="328">
        <f>VLOOKUP(C7587,METADATA!$J$5:$Q$29,IF(E7587="HI",2,IF(E7587="LO",6,10))+IF(T7587=1,2,IF(D7587=7,1,(IF(WEEKDAY(B7587)=1,2,IF(WEEKDAY(B7587)=7,1,0))))))</f>
        <v>3</v>
      </c>
      <c r="V7587" s="328">
        <f>VLOOKUP(C7587,METADATA!$A$5:$H$29,IF(E7587="HI",2,IF(E7587="LO",6,10))+IF(T7587=1,2,IF(D7587=7,1,(IF(WEEKDAY(B7587)=1,2,IF(WEEKDAY(B7587)=7,1,0))))))</f>
        <v>3</v>
      </c>
    </row>
    <row r="7588" spans="2:22">
      <c r="B7588" s="318">
        <f t="shared" si="475"/>
        <v>46429</v>
      </c>
      <c r="C7588" s="312">
        <v>0</v>
      </c>
      <c r="D7588" s="368">
        <f>IFERROR((INDEX(METADATA!$T$2:$T$20,MATCH(B7588,METADATA!$S$2:$S$20,0))),0)</f>
        <v>0</v>
      </c>
      <c r="E7588" s="312" t="str">
        <f t="shared" si="472"/>
        <v>LO</v>
      </c>
      <c r="F7588" s="369">
        <f>VLOOKUP(C7588,METADATA!$A$5:$H$29,IF(E7588="HI",2,IF(E7588="LO",6,10))+IF(D7588=1,2,IF(D7588=7,1,(IF(WEEKDAY(B7588)=1,2,IF(WEEKDAY(B7588)=7,1,0))))))</f>
        <v>3</v>
      </c>
      <c r="G7588" s="369">
        <f>VLOOKUP(C7588,METADATA!$J$5:$Q$29,IF(E7588="HI",2,IF(E7588="LO",6,10))+IF(D7588=1,2,IF(D7588=7,1,(IF(WEEKDAY(B7588)=1,2,IF(WEEKDAY(B7588)=7,1,0))))))</f>
        <v>3</v>
      </c>
      <c r="H7588" s="370">
        <v>12796.975463867188</v>
      </c>
      <c r="I7588" s="370">
        <v>9736.3749389648438</v>
      </c>
      <c r="M7588" s="371">
        <f t="shared" si="473"/>
        <v>16079.78787095531</v>
      </c>
      <c r="N7588" s="329">
        <f t="shared" si="474"/>
        <v>5897.2822998046877</v>
      </c>
      <c r="T7588" s="331">
        <v>0</v>
      </c>
      <c r="U7588" s="328">
        <f>VLOOKUP(C7588,METADATA!$J$5:$Q$29,IF(E7588="HI",2,IF(E7588="LO",6,10))+IF(T7588=1,2,IF(D7588=7,1,(IF(WEEKDAY(B7588)=1,2,IF(WEEKDAY(B7588)=7,1,0))))))</f>
        <v>3</v>
      </c>
      <c r="V7588" s="328">
        <f>VLOOKUP(C7588,METADATA!$A$5:$H$29,IF(E7588="HI",2,IF(E7588="LO",6,10))+IF(T7588=1,2,IF(D7588=7,1,(IF(WEEKDAY(B7588)=1,2,IF(WEEKDAY(B7588)=7,1,0))))))</f>
        <v>3</v>
      </c>
    </row>
    <row r="7589" spans="2:22">
      <c r="B7589" s="318">
        <f t="shared" si="475"/>
        <v>46429</v>
      </c>
      <c r="C7589" s="312">
        <v>1</v>
      </c>
      <c r="D7589" s="368">
        <f>IFERROR((INDEX(METADATA!$T$2:$T$20,MATCH(B7589,METADATA!$S$2:$S$20,0))),0)</f>
        <v>0</v>
      </c>
      <c r="E7589" s="312" t="str">
        <f t="shared" si="472"/>
        <v>LO</v>
      </c>
      <c r="F7589" s="369">
        <f>VLOOKUP(C7589,METADATA!$A$5:$H$29,IF(E7589="HI",2,IF(E7589="LO",6,10))+IF(D7589=1,2,IF(D7589=7,1,(IF(WEEKDAY(B7589)=1,2,IF(WEEKDAY(B7589)=7,1,0))))))</f>
        <v>3</v>
      </c>
      <c r="G7589" s="369">
        <f>VLOOKUP(C7589,METADATA!$J$5:$Q$29,IF(E7589="HI",2,IF(E7589="LO",6,10))+IF(D7589=1,2,IF(D7589=7,1,(IF(WEEKDAY(B7589)=1,2,IF(WEEKDAY(B7589)=7,1,0))))))</f>
        <v>3</v>
      </c>
      <c r="H7589" s="370">
        <v>12832.527465820313</v>
      </c>
      <c r="I7589" s="370">
        <v>9404.0350341796875</v>
      </c>
      <c r="M7589" s="371">
        <f t="shared" si="473"/>
        <v>15909.419728107987</v>
      </c>
      <c r="N7589" s="329">
        <f t="shared" si="474"/>
        <v>5554.2767944335938</v>
      </c>
      <c r="T7589" s="331">
        <v>0</v>
      </c>
      <c r="U7589" s="328">
        <f>VLOOKUP(C7589,METADATA!$J$5:$Q$29,IF(E7589="HI",2,IF(E7589="LO",6,10))+IF(T7589=1,2,IF(D7589=7,1,(IF(WEEKDAY(B7589)=1,2,IF(WEEKDAY(B7589)=7,1,0))))))</f>
        <v>3</v>
      </c>
      <c r="V7589" s="328">
        <f>VLOOKUP(C7589,METADATA!$A$5:$H$29,IF(E7589="HI",2,IF(E7589="LO",6,10))+IF(T7589=1,2,IF(D7589=7,1,(IF(WEEKDAY(B7589)=1,2,IF(WEEKDAY(B7589)=7,1,0))))))</f>
        <v>3</v>
      </c>
    </row>
    <row r="7590" spans="2:22">
      <c r="B7590" s="318">
        <f t="shared" si="475"/>
        <v>46429</v>
      </c>
      <c r="C7590" s="312">
        <v>2</v>
      </c>
      <c r="D7590" s="368">
        <f>IFERROR((INDEX(METADATA!$T$2:$T$20,MATCH(B7590,METADATA!$S$2:$S$20,0))),0)</f>
        <v>0</v>
      </c>
      <c r="E7590" s="312" t="str">
        <f t="shared" si="472"/>
        <v>LO</v>
      </c>
      <c r="F7590" s="369">
        <f>VLOOKUP(C7590,METADATA!$A$5:$H$29,IF(E7590="HI",2,IF(E7590="LO",6,10))+IF(D7590=1,2,IF(D7590=7,1,(IF(WEEKDAY(B7590)=1,2,IF(WEEKDAY(B7590)=7,1,0))))))</f>
        <v>3</v>
      </c>
      <c r="G7590" s="369">
        <f>VLOOKUP(C7590,METADATA!$J$5:$Q$29,IF(E7590="HI",2,IF(E7590="LO",6,10))+IF(D7590=1,2,IF(D7590=7,1,(IF(WEEKDAY(B7590)=1,2,IF(WEEKDAY(B7590)=7,1,0))))))</f>
        <v>3</v>
      </c>
      <c r="H7590" s="370">
        <v>12877.300109863281</v>
      </c>
      <c r="I7590" s="370">
        <v>9400.1499633789063</v>
      </c>
      <c r="M7590" s="371">
        <f t="shared" si="473"/>
        <v>15943.264328659214</v>
      </c>
      <c r="N7590" s="329">
        <f t="shared" si="474"/>
        <v>5536.9599304199219</v>
      </c>
      <c r="T7590" s="331">
        <v>0</v>
      </c>
      <c r="U7590" s="328">
        <f>VLOOKUP(C7590,METADATA!$J$5:$Q$29,IF(E7590="HI",2,IF(E7590="LO",6,10))+IF(T7590=1,2,IF(D7590=7,1,(IF(WEEKDAY(B7590)=1,2,IF(WEEKDAY(B7590)=7,1,0))))))</f>
        <v>3</v>
      </c>
      <c r="V7590" s="328">
        <f>VLOOKUP(C7590,METADATA!$A$5:$H$29,IF(E7590="HI",2,IF(E7590="LO",6,10))+IF(T7590=1,2,IF(D7590=7,1,(IF(WEEKDAY(B7590)=1,2,IF(WEEKDAY(B7590)=7,1,0))))))</f>
        <v>3</v>
      </c>
    </row>
    <row r="7591" spans="2:22">
      <c r="B7591" s="318">
        <f t="shared" si="475"/>
        <v>46429</v>
      </c>
      <c r="C7591" s="312">
        <v>3</v>
      </c>
      <c r="D7591" s="368">
        <f>IFERROR((INDEX(METADATA!$T$2:$T$20,MATCH(B7591,METADATA!$S$2:$S$20,0))),0)</f>
        <v>0</v>
      </c>
      <c r="E7591" s="312" t="str">
        <f t="shared" si="472"/>
        <v>LO</v>
      </c>
      <c r="F7591" s="369">
        <f>VLOOKUP(C7591,METADATA!$A$5:$H$29,IF(E7591="HI",2,IF(E7591="LO",6,10))+IF(D7591=1,2,IF(D7591=7,1,(IF(WEEKDAY(B7591)=1,2,IF(WEEKDAY(B7591)=7,1,0))))))</f>
        <v>3</v>
      </c>
      <c r="G7591" s="369">
        <f>VLOOKUP(C7591,METADATA!$J$5:$Q$29,IF(E7591="HI",2,IF(E7591="LO",6,10))+IF(D7591=1,2,IF(D7591=7,1,(IF(WEEKDAY(B7591)=1,2,IF(WEEKDAY(B7591)=7,1,0))))))</f>
        <v>3</v>
      </c>
      <c r="H7591" s="370">
        <v>12760.050415039063</v>
      </c>
      <c r="I7591" s="370">
        <v>9375.8750610351563</v>
      </c>
      <c r="M7591" s="371">
        <f t="shared" si="473"/>
        <v>15834.327259295847</v>
      </c>
      <c r="N7591" s="329">
        <f t="shared" si="474"/>
        <v>5547.8599365234377</v>
      </c>
      <c r="T7591" s="331">
        <v>0</v>
      </c>
      <c r="U7591" s="328">
        <f>VLOOKUP(C7591,METADATA!$J$5:$Q$29,IF(E7591="HI",2,IF(E7591="LO",6,10))+IF(T7591=1,2,IF(D7591=7,1,(IF(WEEKDAY(B7591)=1,2,IF(WEEKDAY(B7591)=7,1,0))))))</f>
        <v>3</v>
      </c>
      <c r="V7591" s="328">
        <f>VLOOKUP(C7591,METADATA!$A$5:$H$29,IF(E7591="HI",2,IF(E7591="LO",6,10))+IF(T7591=1,2,IF(D7591=7,1,(IF(WEEKDAY(B7591)=1,2,IF(WEEKDAY(B7591)=7,1,0))))))</f>
        <v>3</v>
      </c>
    </row>
    <row r="7592" spans="2:22">
      <c r="B7592" s="318">
        <f t="shared" si="475"/>
        <v>46429</v>
      </c>
      <c r="C7592" s="312">
        <v>4</v>
      </c>
      <c r="D7592" s="368">
        <f>IFERROR((INDEX(METADATA!$T$2:$T$20,MATCH(B7592,METADATA!$S$2:$S$20,0))),0)</f>
        <v>0</v>
      </c>
      <c r="E7592" s="312" t="str">
        <f t="shared" si="472"/>
        <v>LO</v>
      </c>
      <c r="F7592" s="369">
        <f>VLOOKUP(C7592,METADATA!$A$5:$H$29,IF(E7592="HI",2,IF(E7592="LO",6,10))+IF(D7592=1,2,IF(D7592=7,1,(IF(WEEKDAY(B7592)=1,2,IF(WEEKDAY(B7592)=7,1,0))))))</f>
        <v>3</v>
      </c>
      <c r="G7592" s="369">
        <f>VLOOKUP(C7592,METADATA!$J$5:$Q$29,IF(E7592="HI",2,IF(E7592="LO",6,10))+IF(D7592=1,2,IF(D7592=7,1,(IF(WEEKDAY(B7592)=1,2,IF(WEEKDAY(B7592)=7,1,0))))))</f>
        <v>3</v>
      </c>
      <c r="H7592" s="370">
        <v>12809.250122070313</v>
      </c>
      <c r="I7592" s="370">
        <v>9382.4498901367188</v>
      </c>
      <c r="M7592" s="371">
        <f t="shared" si="473"/>
        <v>15877.885710342067</v>
      </c>
      <c r="N7592" s="329">
        <f t="shared" si="474"/>
        <v>5539.6748535156257</v>
      </c>
      <c r="T7592" s="331">
        <v>0</v>
      </c>
      <c r="U7592" s="328">
        <f>VLOOKUP(C7592,METADATA!$J$5:$Q$29,IF(E7592="HI",2,IF(E7592="LO",6,10))+IF(T7592=1,2,IF(D7592=7,1,(IF(WEEKDAY(B7592)=1,2,IF(WEEKDAY(B7592)=7,1,0))))))</f>
        <v>3</v>
      </c>
      <c r="V7592" s="328">
        <f>VLOOKUP(C7592,METADATA!$A$5:$H$29,IF(E7592="HI",2,IF(E7592="LO",6,10))+IF(T7592=1,2,IF(D7592=7,1,(IF(WEEKDAY(B7592)=1,2,IF(WEEKDAY(B7592)=7,1,0))))))</f>
        <v>3</v>
      </c>
    </row>
    <row r="7593" spans="2:22">
      <c r="B7593" s="318">
        <f t="shared" si="475"/>
        <v>46429</v>
      </c>
      <c r="C7593" s="312">
        <v>5</v>
      </c>
      <c r="D7593" s="368">
        <f>IFERROR((INDEX(METADATA!$T$2:$T$20,MATCH(B7593,METADATA!$S$2:$S$20,0))),0)</f>
        <v>0</v>
      </c>
      <c r="E7593" s="312" t="str">
        <f t="shared" si="472"/>
        <v>LO</v>
      </c>
      <c r="F7593" s="369">
        <f>VLOOKUP(C7593,METADATA!$A$5:$H$29,IF(E7593="HI",2,IF(E7593="LO",6,10))+IF(D7593=1,2,IF(D7593=7,1,(IF(WEEKDAY(B7593)=1,2,IF(WEEKDAY(B7593)=7,1,0))))))</f>
        <v>3</v>
      </c>
      <c r="G7593" s="369">
        <f>VLOOKUP(C7593,METADATA!$J$5:$Q$29,IF(E7593="HI",2,IF(E7593="LO",6,10))+IF(D7593=1,2,IF(D7593=7,1,(IF(WEEKDAY(B7593)=1,2,IF(WEEKDAY(B7593)=7,1,0))))))</f>
        <v>3</v>
      </c>
      <c r="H7593" s="370">
        <v>12875.825439453125</v>
      </c>
      <c r="I7593" s="370">
        <v>9371.0250854492188</v>
      </c>
      <c r="M7593" s="371">
        <f t="shared" si="473"/>
        <v>15924.917327866628</v>
      </c>
      <c r="N7593" s="329">
        <f t="shared" si="474"/>
        <v>5508.277453613282</v>
      </c>
      <c r="T7593" s="331">
        <v>0</v>
      </c>
      <c r="U7593" s="328">
        <f>VLOOKUP(C7593,METADATA!$J$5:$Q$29,IF(E7593="HI",2,IF(E7593="LO",6,10))+IF(T7593=1,2,IF(D7593=7,1,(IF(WEEKDAY(B7593)=1,2,IF(WEEKDAY(B7593)=7,1,0))))))</f>
        <v>3</v>
      </c>
      <c r="V7593" s="328">
        <f>VLOOKUP(C7593,METADATA!$A$5:$H$29,IF(E7593="HI",2,IF(E7593="LO",6,10))+IF(T7593=1,2,IF(D7593=7,1,(IF(WEEKDAY(B7593)=1,2,IF(WEEKDAY(B7593)=7,1,0))))))</f>
        <v>3</v>
      </c>
    </row>
    <row r="7594" spans="2:22">
      <c r="B7594" s="318">
        <f t="shared" si="475"/>
        <v>46429</v>
      </c>
      <c r="C7594" s="312">
        <v>6</v>
      </c>
      <c r="D7594" s="368">
        <f>IFERROR((INDEX(METADATA!$T$2:$T$20,MATCH(B7594,METADATA!$S$2:$S$20,0))),0)</f>
        <v>0</v>
      </c>
      <c r="E7594" s="312" t="str">
        <f t="shared" si="472"/>
        <v>LO</v>
      </c>
      <c r="F7594" s="369">
        <f>VLOOKUP(C7594,METADATA!$A$5:$H$29,IF(E7594="HI",2,IF(E7594="LO",6,10))+IF(D7594=1,2,IF(D7594=7,1,(IF(WEEKDAY(B7594)=1,2,IF(WEEKDAY(B7594)=7,1,0))))))</f>
        <v>2</v>
      </c>
      <c r="G7594" s="369">
        <f>VLOOKUP(C7594,METADATA!$J$5:$Q$29,IF(E7594="HI",2,IF(E7594="LO",6,10))+IF(D7594=1,2,IF(D7594=7,1,(IF(WEEKDAY(B7594)=1,2,IF(WEEKDAY(B7594)=7,1,0))))))</f>
        <v>2</v>
      </c>
      <c r="H7594" s="370">
        <v>12901.4248046875</v>
      </c>
      <c r="I7594" s="370">
        <v>9420.39990234375</v>
      </c>
      <c r="M7594" s="371">
        <f t="shared" si="473"/>
        <v>15974.689239890835</v>
      </c>
      <c r="N7594" s="329">
        <f t="shared" si="474"/>
        <v>5549.9724609375007</v>
      </c>
      <c r="T7594" s="331">
        <v>0</v>
      </c>
      <c r="U7594" s="328">
        <f>VLOOKUP(C7594,METADATA!$J$5:$Q$29,IF(E7594="HI",2,IF(E7594="LO",6,10))+IF(T7594=1,2,IF(D7594=7,1,(IF(WEEKDAY(B7594)=1,2,IF(WEEKDAY(B7594)=7,1,0))))))</f>
        <v>2</v>
      </c>
      <c r="V7594" s="328">
        <f>VLOOKUP(C7594,METADATA!$A$5:$H$29,IF(E7594="HI",2,IF(E7594="LO",6,10))+IF(T7594=1,2,IF(D7594=7,1,(IF(WEEKDAY(B7594)=1,2,IF(WEEKDAY(B7594)=7,1,0))))))</f>
        <v>2</v>
      </c>
    </row>
    <row r="7595" spans="2:22">
      <c r="B7595" s="318">
        <f t="shared" si="475"/>
        <v>46429</v>
      </c>
      <c r="C7595" s="312">
        <v>7</v>
      </c>
      <c r="D7595" s="368">
        <f>IFERROR((INDEX(METADATA!$T$2:$T$20,MATCH(B7595,METADATA!$S$2:$S$20,0))),0)</f>
        <v>0</v>
      </c>
      <c r="E7595" s="312" t="str">
        <f t="shared" si="472"/>
        <v>LO</v>
      </c>
      <c r="F7595" s="369">
        <f>VLOOKUP(C7595,METADATA!$A$5:$H$29,IF(E7595="HI",2,IF(E7595="LO",6,10))+IF(D7595=1,2,IF(D7595=7,1,(IF(WEEKDAY(B7595)=1,2,IF(WEEKDAY(B7595)=7,1,0))))))</f>
        <v>1</v>
      </c>
      <c r="G7595" s="369">
        <f>VLOOKUP(C7595,METADATA!$J$5:$Q$29,IF(E7595="HI",2,IF(E7595="LO",6,10))+IF(D7595=1,2,IF(D7595=7,1,(IF(WEEKDAY(B7595)=1,2,IF(WEEKDAY(B7595)=7,1,0))))))</f>
        <v>1</v>
      </c>
      <c r="H7595" s="370">
        <v>13006.124877929688</v>
      </c>
      <c r="I7595" s="370">
        <v>9544.9749755859375</v>
      </c>
      <c r="M7595" s="371">
        <f t="shared" si="473"/>
        <v>16132.756479438449</v>
      </c>
      <c r="N7595" s="329">
        <f t="shared" si="474"/>
        <v>5643.1375122070313</v>
      </c>
      <c r="T7595" s="331">
        <v>0</v>
      </c>
      <c r="U7595" s="328">
        <f>VLOOKUP(C7595,METADATA!$J$5:$Q$29,IF(E7595="HI",2,IF(E7595="LO",6,10))+IF(T7595=1,2,IF(D7595=7,1,(IF(WEEKDAY(B7595)=1,2,IF(WEEKDAY(B7595)=7,1,0))))))</f>
        <v>1</v>
      </c>
      <c r="V7595" s="328">
        <f>VLOOKUP(C7595,METADATA!$A$5:$H$29,IF(E7595="HI",2,IF(E7595="LO",6,10))+IF(T7595=1,2,IF(D7595=7,1,(IF(WEEKDAY(B7595)=1,2,IF(WEEKDAY(B7595)=7,1,0))))))</f>
        <v>1</v>
      </c>
    </row>
    <row r="7596" spans="2:22">
      <c r="B7596" s="318">
        <f t="shared" si="475"/>
        <v>46429</v>
      </c>
      <c r="C7596" s="312">
        <v>8</v>
      </c>
      <c r="D7596" s="368">
        <f>IFERROR((INDEX(METADATA!$T$2:$T$20,MATCH(B7596,METADATA!$S$2:$S$20,0))),0)</f>
        <v>0</v>
      </c>
      <c r="E7596" s="312" t="str">
        <f t="shared" si="472"/>
        <v>LO</v>
      </c>
      <c r="F7596" s="369">
        <f>VLOOKUP(C7596,METADATA!$A$5:$H$29,IF(E7596="HI",2,IF(E7596="LO",6,10))+IF(D7596=1,2,IF(D7596=7,1,(IF(WEEKDAY(B7596)=1,2,IF(WEEKDAY(B7596)=7,1,0))))))</f>
        <v>1</v>
      </c>
      <c r="G7596" s="369">
        <f>VLOOKUP(C7596,METADATA!$J$5:$Q$29,IF(E7596="HI",2,IF(E7596="LO",6,10))+IF(D7596=1,2,IF(D7596=7,1,(IF(WEEKDAY(B7596)=1,2,IF(WEEKDAY(B7596)=7,1,0))))))</f>
        <v>1</v>
      </c>
      <c r="H7596" s="370">
        <v>13110.299926757813</v>
      </c>
      <c r="I7596" s="370">
        <v>9776.824951171875</v>
      </c>
      <c r="M7596" s="371">
        <f t="shared" si="473"/>
        <v>16354.396054131832</v>
      </c>
      <c r="N7596" s="329">
        <f t="shared" si="474"/>
        <v>5843.734973144532</v>
      </c>
      <c r="T7596" s="331">
        <v>0</v>
      </c>
      <c r="U7596" s="328">
        <f>VLOOKUP(C7596,METADATA!$J$5:$Q$29,IF(E7596="HI",2,IF(E7596="LO",6,10))+IF(T7596=1,2,IF(D7596=7,1,(IF(WEEKDAY(B7596)=1,2,IF(WEEKDAY(B7596)=7,1,0))))))</f>
        <v>1</v>
      </c>
      <c r="V7596" s="328">
        <f>VLOOKUP(C7596,METADATA!$A$5:$H$29,IF(E7596="HI",2,IF(E7596="LO",6,10))+IF(T7596=1,2,IF(D7596=7,1,(IF(WEEKDAY(B7596)=1,2,IF(WEEKDAY(B7596)=7,1,0))))))</f>
        <v>1</v>
      </c>
    </row>
    <row r="7597" spans="2:22">
      <c r="B7597" s="318">
        <f t="shared" si="475"/>
        <v>46429</v>
      </c>
      <c r="C7597" s="312">
        <v>9</v>
      </c>
      <c r="D7597" s="368">
        <f>IFERROR((INDEX(METADATA!$T$2:$T$20,MATCH(B7597,METADATA!$S$2:$S$20,0))),0)</f>
        <v>0</v>
      </c>
      <c r="E7597" s="312" t="str">
        <f t="shared" si="472"/>
        <v>LO</v>
      </c>
      <c r="F7597" s="369">
        <f>VLOOKUP(C7597,METADATA!$A$5:$H$29,IF(E7597="HI",2,IF(E7597="LO",6,10))+IF(D7597=1,2,IF(D7597=7,1,(IF(WEEKDAY(B7597)=1,2,IF(WEEKDAY(B7597)=7,1,0))))))</f>
        <v>2</v>
      </c>
      <c r="G7597" s="369">
        <f>VLOOKUP(C7597,METADATA!$J$5:$Q$29,IF(E7597="HI",2,IF(E7597="LO",6,10))+IF(D7597=1,2,IF(D7597=7,1,(IF(WEEKDAY(B7597)=1,2,IF(WEEKDAY(B7597)=7,1,0))))))</f>
        <v>2</v>
      </c>
      <c r="H7597" s="370">
        <v>13229.199584960938</v>
      </c>
      <c r="I7597" s="370">
        <v>9584.6248779296875</v>
      </c>
      <c r="M7597" s="371">
        <f t="shared" si="473"/>
        <v>16336.362989030309</v>
      </c>
      <c r="N7597" s="329">
        <f t="shared" si="474"/>
        <v>5615.8650024414064</v>
      </c>
      <c r="T7597" s="331">
        <v>0</v>
      </c>
      <c r="U7597" s="328">
        <f>VLOOKUP(C7597,METADATA!$J$5:$Q$29,IF(E7597="HI",2,IF(E7597="LO",6,10))+IF(T7597=1,2,IF(D7597=7,1,(IF(WEEKDAY(B7597)=1,2,IF(WEEKDAY(B7597)=7,1,0))))))</f>
        <v>2</v>
      </c>
      <c r="V7597" s="328">
        <f>VLOOKUP(C7597,METADATA!$A$5:$H$29,IF(E7597="HI",2,IF(E7597="LO",6,10))+IF(T7597=1,2,IF(D7597=7,1,(IF(WEEKDAY(B7597)=1,2,IF(WEEKDAY(B7597)=7,1,0))))))</f>
        <v>2</v>
      </c>
    </row>
    <row r="7598" spans="2:22">
      <c r="B7598" s="318">
        <f t="shared" si="475"/>
        <v>46429</v>
      </c>
      <c r="C7598" s="312">
        <v>10</v>
      </c>
      <c r="D7598" s="368">
        <f>IFERROR((INDEX(METADATA!$T$2:$T$20,MATCH(B7598,METADATA!$S$2:$S$20,0))),0)</f>
        <v>0</v>
      </c>
      <c r="E7598" s="312" t="str">
        <f t="shared" si="472"/>
        <v>LO</v>
      </c>
      <c r="F7598" s="369">
        <f>VLOOKUP(C7598,METADATA!$A$5:$H$29,IF(E7598="HI",2,IF(E7598="LO",6,10))+IF(D7598=1,2,IF(D7598=7,1,(IF(WEEKDAY(B7598)=1,2,IF(WEEKDAY(B7598)=7,1,0))))))</f>
        <v>2</v>
      </c>
      <c r="G7598" s="369">
        <f>VLOOKUP(C7598,METADATA!$J$5:$Q$29,IF(E7598="HI",2,IF(E7598="LO",6,10))+IF(D7598=1,2,IF(D7598=7,1,(IF(WEEKDAY(B7598)=1,2,IF(WEEKDAY(B7598)=7,1,0))))))</f>
        <v>2</v>
      </c>
      <c r="H7598" s="370">
        <v>11416.949890136719</v>
      </c>
      <c r="I7598" s="370">
        <v>8933.800048828125</v>
      </c>
      <c r="M7598" s="371">
        <f t="shared" si="473"/>
        <v>14496.879943847718</v>
      </c>
      <c r="N7598" s="329">
        <f t="shared" si="474"/>
        <v>5508.7150817871097</v>
      </c>
      <c r="T7598" s="331">
        <v>0</v>
      </c>
      <c r="U7598" s="328">
        <f>VLOOKUP(C7598,METADATA!$J$5:$Q$29,IF(E7598="HI",2,IF(E7598="LO",6,10))+IF(T7598=1,2,IF(D7598=7,1,(IF(WEEKDAY(B7598)=1,2,IF(WEEKDAY(B7598)=7,1,0))))))</f>
        <v>2</v>
      </c>
      <c r="V7598" s="328">
        <f>VLOOKUP(C7598,METADATA!$A$5:$H$29,IF(E7598="HI",2,IF(E7598="LO",6,10))+IF(T7598=1,2,IF(D7598=7,1,(IF(WEEKDAY(B7598)=1,2,IF(WEEKDAY(B7598)=7,1,0))))))</f>
        <v>2</v>
      </c>
    </row>
    <row r="7599" spans="2:22">
      <c r="B7599" s="318">
        <f t="shared" si="475"/>
        <v>46429</v>
      </c>
      <c r="C7599" s="312">
        <v>11</v>
      </c>
      <c r="D7599" s="368">
        <f>IFERROR((INDEX(METADATA!$T$2:$T$20,MATCH(B7599,METADATA!$S$2:$S$20,0))),0)</f>
        <v>0</v>
      </c>
      <c r="E7599" s="312" t="str">
        <f t="shared" si="472"/>
        <v>LO</v>
      </c>
      <c r="F7599" s="369">
        <f>VLOOKUP(C7599,METADATA!$A$5:$H$29,IF(E7599="HI",2,IF(E7599="LO",6,10))+IF(D7599=1,2,IF(D7599=7,1,(IF(WEEKDAY(B7599)=1,2,IF(WEEKDAY(B7599)=7,1,0))))))</f>
        <v>2</v>
      </c>
      <c r="G7599" s="369">
        <f>VLOOKUP(C7599,METADATA!$J$5:$Q$29,IF(E7599="HI",2,IF(E7599="LO",6,10))+IF(D7599=1,2,IF(D7599=7,1,(IF(WEEKDAY(B7599)=1,2,IF(WEEKDAY(B7599)=7,1,0))))))</f>
        <v>2</v>
      </c>
      <c r="H7599" s="370">
        <v>8001.675048828125</v>
      </c>
      <c r="I7599" s="370">
        <v>6972.5752563476563</v>
      </c>
      <c r="M7599" s="371">
        <f t="shared" si="473"/>
        <v>10613.369365685439</v>
      </c>
      <c r="N7599" s="329">
        <f t="shared" si="474"/>
        <v>4572.0727416992195</v>
      </c>
      <c r="T7599" s="331">
        <v>0</v>
      </c>
      <c r="U7599" s="328">
        <f>VLOOKUP(C7599,METADATA!$J$5:$Q$29,IF(E7599="HI",2,IF(E7599="LO",6,10))+IF(T7599=1,2,IF(D7599=7,1,(IF(WEEKDAY(B7599)=1,2,IF(WEEKDAY(B7599)=7,1,0))))))</f>
        <v>2</v>
      </c>
      <c r="V7599" s="328">
        <f>VLOOKUP(C7599,METADATA!$A$5:$H$29,IF(E7599="HI",2,IF(E7599="LO",6,10))+IF(T7599=1,2,IF(D7599=7,1,(IF(WEEKDAY(B7599)=1,2,IF(WEEKDAY(B7599)=7,1,0))))))</f>
        <v>2</v>
      </c>
    </row>
    <row r="7600" spans="2:22">
      <c r="B7600" s="318">
        <f t="shared" si="475"/>
        <v>46429</v>
      </c>
      <c r="C7600" s="312">
        <v>12</v>
      </c>
      <c r="D7600" s="368">
        <f>IFERROR((INDEX(METADATA!$T$2:$T$20,MATCH(B7600,METADATA!$S$2:$S$20,0))),0)</f>
        <v>0</v>
      </c>
      <c r="E7600" s="312" t="str">
        <f t="shared" si="472"/>
        <v>LO</v>
      </c>
      <c r="F7600" s="369">
        <f>VLOOKUP(C7600,METADATA!$A$5:$H$29,IF(E7600="HI",2,IF(E7600="LO",6,10))+IF(D7600=1,2,IF(D7600=7,1,(IF(WEEKDAY(B7600)=1,2,IF(WEEKDAY(B7600)=7,1,0))))))</f>
        <v>2</v>
      </c>
      <c r="G7600" s="369">
        <f>VLOOKUP(C7600,METADATA!$J$5:$Q$29,IF(E7600="HI",2,IF(E7600="LO",6,10))+IF(D7600=1,2,IF(D7600=7,1,(IF(WEEKDAY(B7600)=1,2,IF(WEEKDAY(B7600)=7,1,0))))))</f>
        <v>2</v>
      </c>
      <c r="H7600" s="370">
        <v>11309.375244140625</v>
      </c>
      <c r="I7600" s="370">
        <v>8852.6998291015625</v>
      </c>
      <c r="M7600" s="371">
        <f t="shared" si="473"/>
        <v>14362.181682354378</v>
      </c>
      <c r="N7600" s="329">
        <f t="shared" si="474"/>
        <v>5459.8872558593757</v>
      </c>
      <c r="T7600" s="331">
        <v>0</v>
      </c>
      <c r="U7600" s="328">
        <f>VLOOKUP(C7600,METADATA!$J$5:$Q$29,IF(E7600="HI",2,IF(E7600="LO",6,10))+IF(T7600=1,2,IF(D7600=7,1,(IF(WEEKDAY(B7600)=1,2,IF(WEEKDAY(B7600)=7,1,0))))))</f>
        <v>2</v>
      </c>
      <c r="V7600" s="328">
        <f>VLOOKUP(C7600,METADATA!$A$5:$H$29,IF(E7600="HI",2,IF(E7600="LO",6,10))+IF(T7600=1,2,IF(D7600=7,1,(IF(WEEKDAY(B7600)=1,2,IF(WEEKDAY(B7600)=7,1,0))))))</f>
        <v>2</v>
      </c>
    </row>
    <row r="7601" spans="2:22">
      <c r="B7601" s="318">
        <f t="shared" si="475"/>
        <v>46429</v>
      </c>
      <c r="C7601" s="312">
        <v>13</v>
      </c>
      <c r="D7601" s="368">
        <f>IFERROR((INDEX(METADATA!$T$2:$T$20,MATCH(B7601,METADATA!$S$2:$S$20,0))),0)</f>
        <v>0</v>
      </c>
      <c r="E7601" s="312" t="str">
        <f t="shared" si="472"/>
        <v>LO</v>
      </c>
      <c r="F7601" s="369">
        <f>VLOOKUP(C7601,METADATA!$A$5:$H$29,IF(E7601="HI",2,IF(E7601="LO",6,10))+IF(D7601=1,2,IF(D7601=7,1,(IF(WEEKDAY(B7601)=1,2,IF(WEEKDAY(B7601)=7,1,0))))))</f>
        <v>2</v>
      </c>
      <c r="G7601" s="369">
        <f>VLOOKUP(C7601,METADATA!$J$5:$Q$29,IF(E7601="HI",2,IF(E7601="LO",6,10))+IF(D7601=1,2,IF(D7601=7,1,(IF(WEEKDAY(B7601)=1,2,IF(WEEKDAY(B7601)=7,1,0))))))</f>
        <v>2</v>
      </c>
      <c r="H7601" s="370">
        <v>12613.299682617188</v>
      </c>
      <c r="I7601" s="370">
        <v>9626.300048828125</v>
      </c>
      <c r="M7601" s="371">
        <f t="shared" si="473"/>
        <v>15866.977705712552</v>
      </c>
      <c r="N7601" s="329">
        <f t="shared" si="474"/>
        <v>5842.3101440429691</v>
      </c>
      <c r="T7601" s="331">
        <v>0</v>
      </c>
      <c r="U7601" s="328">
        <f>VLOOKUP(C7601,METADATA!$J$5:$Q$29,IF(E7601="HI",2,IF(E7601="LO",6,10))+IF(T7601=1,2,IF(D7601=7,1,(IF(WEEKDAY(B7601)=1,2,IF(WEEKDAY(B7601)=7,1,0))))))</f>
        <v>2</v>
      </c>
      <c r="V7601" s="328">
        <f>VLOOKUP(C7601,METADATA!$A$5:$H$29,IF(E7601="HI",2,IF(E7601="LO",6,10))+IF(T7601=1,2,IF(D7601=7,1,(IF(WEEKDAY(B7601)=1,2,IF(WEEKDAY(B7601)=7,1,0))))))</f>
        <v>2</v>
      </c>
    </row>
    <row r="7602" spans="2:22">
      <c r="B7602" s="318">
        <f t="shared" si="475"/>
        <v>46429</v>
      </c>
      <c r="C7602" s="312">
        <v>14</v>
      </c>
      <c r="D7602" s="368">
        <f>IFERROR((INDEX(METADATA!$T$2:$T$20,MATCH(B7602,METADATA!$S$2:$S$20,0))),0)</f>
        <v>0</v>
      </c>
      <c r="E7602" s="312" t="str">
        <f t="shared" si="472"/>
        <v>LO</v>
      </c>
      <c r="F7602" s="369">
        <f>VLOOKUP(C7602,METADATA!$A$5:$H$29,IF(E7602="HI",2,IF(E7602="LO",6,10))+IF(D7602=1,2,IF(D7602=7,1,(IF(WEEKDAY(B7602)=1,2,IF(WEEKDAY(B7602)=7,1,0))))))</f>
        <v>2</v>
      </c>
      <c r="G7602" s="369">
        <f>VLOOKUP(C7602,METADATA!$J$5:$Q$29,IF(E7602="HI",2,IF(E7602="LO",6,10))+IF(D7602=1,2,IF(D7602=7,1,(IF(WEEKDAY(B7602)=1,2,IF(WEEKDAY(B7602)=7,1,0))))))</f>
        <v>2</v>
      </c>
      <c r="H7602" s="370">
        <v>9166.150146484375</v>
      </c>
      <c r="I7602" s="370">
        <v>8105.0999145507813</v>
      </c>
      <c r="M7602" s="371">
        <f t="shared" si="473"/>
        <v>12235.64273476251</v>
      </c>
      <c r="N7602" s="329">
        <f t="shared" si="474"/>
        <v>5355.2548706054695</v>
      </c>
      <c r="T7602" s="331">
        <v>0</v>
      </c>
      <c r="U7602" s="328">
        <f>VLOOKUP(C7602,METADATA!$J$5:$Q$29,IF(E7602="HI",2,IF(E7602="LO",6,10))+IF(T7602=1,2,IF(D7602=7,1,(IF(WEEKDAY(B7602)=1,2,IF(WEEKDAY(B7602)=7,1,0))))))</f>
        <v>2</v>
      </c>
      <c r="V7602" s="328">
        <f>VLOOKUP(C7602,METADATA!$A$5:$H$29,IF(E7602="HI",2,IF(E7602="LO",6,10))+IF(T7602=1,2,IF(D7602=7,1,(IF(WEEKDAY(B7602)=1,2,IF(WEEKDAY(B7602)=7,1,0))))))</f>
        <v>2</v>
      </c>
    </row>
    <row r="7603" spans="2:22">
      <c r="B7603" s="318">
        <f t="shared" si="475"/>
        <v>46429</v>
      </c>
      <c r="C7603" s="312">
        <v>15</v>
      </c>
      <c r="D7603" s="368">
        <f>IFERROR((INDEX(METADATA!$T$2:$T$20,MATCH(B7603,METADATA!$S$2:$S$20,0))),0)</f>
        <v>0</v>
      </c>
      <c r="E7603" s="312" t="str">
        <f t="shared" si="472"/>
        <v>LO</v>
      </c>
      <c r="F7603" s="369">
        <f>VLOOKUP(C7603,METADATA!$A$5:$H$29,IF(E7603="HI",2,IF(E7603="LO",6,10))+IF(D7603=1,2,IF(D7603=7,1,(IF(WEEKDAY(B7603)=1,2,IF(WEEKDAY(B7603)=7,1,0))))))</f>
        <v>2</v>
      </c>
      <c r="G7603" s="369">
        <f>VLOOKUP(C7603,METADATA!$J$5:$Q$29,IF(E7603="HI",2,IF(E7603="LO",6,10))+IF(D7603=1,2,IF(D7603=7,1,(IF(WEEKDAY(B7603)=1,2,IF(WEEKDAY(B7603)=7,1,0))))))</f>
        <v>2</v>
      </c>
      <c r="H7603" s="370">
        <v>5983.7000732421875</v>
      </c>
      <c r="I7603" s="370">
        <v>6157.4926147460938</v>
      </c>
      <c r="M7603" s="371">
        <f t="shared" si="473"/>
        <v>8585.9991769840763</v>
      </c>
      <c r="N7603" s="329">
        <f t="shared" si="474"/>
        <v>4362.3825927734379</v>
      </c>
      <c r="T7603" s="331">
        <v>0</v>
      </c>
      <c r="U7603" s="328">
        <f>VLOOKUP(C7603,METADATA!$J$5:$Q$29,IF(E7603="HI",2,IF(E7603="LO",6,10))+IF(T7603=1,2,IF(D7603=7,1,(IF(WEEKDAY(B7603)=1,2,IF(WEEKDAY(B7603)=7,1,0))))))</f>
        <v>2</v>
      </c>
      <c r="V7603" s="328">
        <f>VLOOKUP(C7603,METADATA!$A$5:$H$29,IF(E7603="HI",2,IF(E7603="LO",6,10))+IF(T7603=1,2,IF(D7603=7,1,(IF(WEEKDAY(B7603)=1,2,IF(WEEKDAY(B7603)=7,1,0))))))</f>
        <v>2</v>
      </c>
    </row>
    <row r="7604" spans="2:22">
      <c r="B7604" s="318">
        <f t="shared" si="475"/>
        <v>46429</v>
      </c>
      <c r="C7604" s="312">
        <v>16</v>
      </c>
      <c r="D7604" s="368">
        <f>IFERROR((INDEX(METADATA!$T$2:$T$20,MATCH(B7604,METADATA!$S$2:$S$20,0))),0)</f>
        <v>0</v>
      </c>
      <c r="E7604" s="312" t="str">
        <f t="shared" si="472"/>
        <v>LO</v>
      </c>
      <c r="F7604" s="369">
        <f>VLOOKUP(C7604,METADATA!$A$5:$H$29,IF(E7604="HI",2,IF(E7604="LO",6,10))+IF(D7604=1,2,IF(D7604=7,1,(IF(WEEKDAY(B7604)=1,2,IF(WEEKDAY(B7604)=7,1,0))))))</f>
        <v>2</v>
      </c>
      <c r="G7604" s="369">
        <f>VLOOKUP(C7604,METADATA!$J$5:$Q$29,IF(E7604="HI",2,IF(E7604="LO",6,10))+IF(D7604=1,2,IF(D7604=7,1,(IF(WEEKDAY(B7604)=1,2,IF(WEEKDAY(B7604)=7,1,0))))))</f>
        <v>2</v>
      </c>
      <c r="H7604" s="370">
        <v>8311.625244140625</v>
      </c>
      <c r="I7604" s="370">
        <v>7583.9872741699219</v>
      </c>
      <c r="M7604" s="371">
        <f t="shared" si="473"/>
        <v>11251.665528880914</v>
      </c>
      <c r="N7604" s="329">
        <f t="shared" si="474"/>
        <v>5090.499700927734</v>
      </c>
      <c r="T7604" s="331">
        <v>0</v>
      </c>
      <c r="U7604" s="328">
        <f>VLOOKUP(C7604,METADATA!$J$5:$Q$29,IF(E7604="HI",2,IF(E7604="LO",6,10))+IF(T7604=1,2,IF(D7604=7,1,(IF(WEEKDAY(B7604)=1,2,IF(WEEKDAY(B7604)=7,1,0))))))</f>
        <v>2</v>
      </c>
      <c r="V7604" s="328">
        <f>VLOOKUP(C7604,METADATA!$A$5:$H$29,IF(E7604="HI",2,IF(E7604="LO",6,10))+IF(T7604=1,2,IF(D7604=7,1,(IF(WEEKDAY(B7604)=1,2,IF(WEEKDAY(B7604)=7,1,0))))))</f>
        <v>2</v>
      </c>
    </row>
    <row r="7605" spans="2:22">
      <c r="B7605" s="318">
        <f t="shared" si="475"/>
        <v>46429</v>
      </c>
      <c r="C7605" s="312">
        <v>17</v>
      </c>
      <c r="D7605" s="368">
        <f>IFERROR((INDEX(METADATA!$T$2:$T$20,MATCH(B7605,METADATA!$S$2:$S$20,0))),0)</f>
        <v>0</v>
      </c>
      <c r="E7605" s="312" t="str">
        <f t="shared" si="472"/>
        <v>LO</v>
      </c>
      <c r="F7605" s="369">
        <f>VLOOKUP(C7605,METADATA!$A$5:$H$29,IF(E7605="HI",2,IF(E7605="LO",6,10))+IF(D7605=1,2,IF(D7605=7,1,(IF(WEEKDAY(B7605)=1,2,IF(WEEKDAY(B7605)=7,1,0))))))</f>
        <v>2</v>
      </c>
      <c r="G7605" s="369">
        <f>VLOOKUP(C7605,METADATA!$J$5:$Q$29,IF(E7605="HI",2,IF(E7605="LO",6,10))+IF(D7605=1,2,IF(D7605=7,1,(IF(WEEKDAY(B7605)=1,2,IF(WEEKDAY(B7605)=7,1,0))))))</f>
        <v>2</v>
      </c>
      <c r="H7605" s="370">
        <v>12082.624755859375</v>
      </c>
      <c r="I7605" s="370">
        <v>9306.1700439453125</v>
      </c>
      <c r="M7605" s="371">
        <f t="shared" si="473"/>
        <v>15251.053139954989</v>
      </c>
      <c r="N7605" s="329">
        <f t="shared" si="474"/>
        <v>5681.3826171875007</v>
      </c>
      <c r="T7605" s="331">
        <v>0</v>
      </c>
      <c r="U7605" s="328">
        <f>VLOOKUP(C7605,METADATA!$J$5:$Q$29,IF(E7605="HI",2,IF(E7605="LO",6,10))+IF(T7605=1,2,IF(D7605=7,1,(IF(WEEKDAY(B7605)=1,2,IF(WEEKDAY(B7605)=7,1,0))))))</f>
        <v>2</v>
      </c>
      <c r="V7605" s="328">
        <f>VLOOKUP(C7605,METADATA!$A$5:$H$29,IF(E7605="HI",2,IF(E7605="LO",6,10))+IF(T7605=1,2,IF(D7605=7,1,(IF(WEEKDAY(B7605)=1,2,IF(WEEKDAY(B7605)=7,1,0))))))</f>
        <v>2</v>
      </c>
    </row>
    <row r="7606" spans="2:22">
      <c r="B7606" s="318">
        <f t="shared" si="475"/>
        <v>46429</v>
      </c>
      <c r="C7606" s="312">
        <v>18</v>
      </c>
      <c r="D7606" s="368">
        <f>IFERROR((INDEX(METADATA!$T$2:$T$20,MATCH(B7606,METADATA!$S$2:$S$20,0))),0)</f>
        <v>0</v>
      </c>
      <c r="E7606" s="312" t="str">
        <f t="shared" si="472"/>
        <v>LO</v>
      </c>
      <c r="F7606" s="369">
        <f>VLOOKUP(C7606,METADATA!$A$5:$H$29,IF(E7606="HI",2,IF(E7606="LO",6,10))+IF(D7606=1,2,IF(D7606=7,1,(IF(WEEKDAY(B7606)=1,2,IF(WEEKDAY(B7606)=7,1,0))))))</f>
        <v>1</v>
      </c>
      <c r="G7606" s="369">
        <f>VLOOKUP(C7606,METADATA!$J$5:$Q$29,IF(E7606="HI",2,IF(E7606="LO",6,10))+IF(D7606=1,2,IF(D7606=7,1,(IF(WEEKDAY(B7606)=1,2,IF(WEEKDAY(B7606)=7,1,0))))))</f>
        <v>1</v>
      </c>
      <c r="H7606" s="370">
        <v>12796.824951171875</v>
      </c>
      <c r="I7606" s="370">
        <v>9682.374755859375</v>
      </c>
      <c r="M7606" s="371">
        <f t="shared" si="473"/>
        <v>16047.0280657771</v>
      </c>
      <c r="N7606" s="329">
        <f t="shared" si="474"/>
        <v>5843.3272705078125</v>
      </c>
      <c r="T7606" s="331">
        <v>0</v>
      </c>
      <c r="U7606" s="328">
        <f>VLOOKUP(C7606,METADATA!$J$5:$Q$29,IF(E7606="HI",2,IF(E7606="LO",6,10))+IF(T7606=1,2,IF(D7606=7,1,(IF(WEEKDAY(B7606)=1,2,IF(WEEKDAY(B7606)=7,1,0))))))</f>
        <v>1</v>
      </c>
      <c r="V7606" s="328">
        <f>VLOOKUP(C7606,METADATA!$A$5:$H$29,IF(E7606="HI",2,IF(E7606="LO",6,10))+IF(T7606=1,2,IF(D7606=7,1,(IF(WEEKDAY(B7606)=1,2,IF(WEEKDAY(B7606)=7,1,0))))))</f>
        <v>1</v>
      </c>
    </row>
    <row r="7607" spans="2:22">
      <c r="B7607" s="318">
        <f t="shared" si="475"/>
        <v>46429</v>
      </c>
      <c r="C7607" s="312">
        <v>19</v>
      </c>
      <c r="D7607" s="368">
        <f>IFERROR((INDEX(METADATA!$T$2:$T$20,MATCH(B7607,METADATA!$S$2:$S$20,0))),0)</f>
        <v>0</v>
      </c>
      <c r="E7607" s="312" t="str">
        <f t="shared" si="472"/>
        <v>LO</v>
      </c>
      <c r="F7607" s="369">
        <f>VLOOKUP(C7607,METADATA!$A$5:$H$29,IF(E7607="HI",2,IF(E7607="LO",6,10))+IF(D7607=1,2,IF(D7607=7,1,(IF(WEEKDAY(B7607)=1,2,IF(WEEKDAY(B7607)=7,1,0))))))</f>
        <v>1</v>
      </c>
      <c r="G7607" s="369">
        <f>VLOOKUP(C7607,METADATA!$J$5:$Q$29,IF(E7607="HI",2,IF(E7607="LO",6,10))+IF(D7607=1,2,IF(D7607=7,1,(IF(WEEKDAY(B7607)=1,2,IF(WEEKDAY(B7607)=7,1,0))))))</f>
        <v>1</v>
      </c>
      <c r="H7607" s="370">
        <v>12770.849731445313</v>
      </c>
      <c r="I7607" s="370">
        <v>9569.8748779296875</v>
      </c>
      <c r="M7607" s="371">
        <f t="shared" si="473"/>
        <v>15958.606080807513</v>
      </c>
      <c r="N7607" s="329">
        <f t="shared" si="474"/>
        <v>5738.6199584960941</v>
      </c>
      <c r="T7607" s="331">
        <v>0</v>
      </c>
      <c r="U7607" s="328">
        <f>VLOOKUP(C7607,METADATA!$J$5:$Q$29,IF(E7607="HI",2,IF(E7607="LO",6,10))+IF(T7607=1,2,IF(D7607=7,1,(IF(WEEKDAY(B7607)=1,2,IF(WEEKDAY(B7607)=7,1,0))))))</f>
        <v>1</v>
      </c>
      <c r="V7607" s="328">
        <f>VLOOKUP(C7607,METADATA!$A$5:$H$29,IF(E7607="HI",2,IF(E7607="LO",6,10))+IF(T7607=1,2,IF(D7607=7,1,(IF(WEEKDAY(B7607)=1,2,IF(WEEKDAY(B7607)=7,1,0))))))</f>
        <v>1</v>
      </c>
    </row>
    <row r="7608" spans="2:22">
      <c r="B7608" s="318">
        <f t="shared" si="475"/>
        <v>46429</v>
      </c>
      <c r="C7608" s="312">
        <v>20</v>
      </c>
      <c r="D7608" s="368">
        <f>IFERROR((INDEX(METADATA!$T$2:$T$20,MATCH(B7608,METADATA!$S$2:$S$20,0))),0)</f>
        <v>0</v>
      </c>
      <c r="E7608" s="312" t="str">
        <f t="shared" si="472"/>
        <v>LO</v>
      </c>
      <c r="F7608" s="369">
        <f>VLOOKUP(C7608,METADATA!$A$5:$H$29,IF(E7608="HI",2,IF(E7608="LO",6,10))+IF(D7608=1,2,IF(D7608=7,1,(IF(WEEKDAY(B7608)=1,2,IF(WEEKDAY(B7608)=7,1,0))))))</f>
        <v>1</v>
      </c>
      <c r="G7608" s="369">
        <f>VLOOKUP(C7608,METADATA!$J$5:$Q$29,IF(E7608="HI",2,IF(E7608="LO",6,10))+IF(D7608=1,2,IF(D7608=7,1,(IF(WEEKDAY(B7608)=1,2,IF(WEEKDAY(B7608)=7,1,0))))))</f>
        <v>1</v>
      </c>
      <c r="H7608" s="370">
        <v>12898.425048828125</v>
      </c>
      <c r="I7608" s="370">
        <v>9733.6248779296875</v>
      </c>
      <c r="M7608" s="371">
        <f t="shared" si="473"/>
        <v>16158.985797521098</v>
      </c>
      <c r="N7608" s="329">
        <f t="shared" si="474"/>
        <v>5864.0973632812502</v>
      </c>
      <c r="T7608" s="331">
        <v>0</v>
      </c>
      <c r="U7608" s="328">
        <f>VLOOKUP(C7608,METADATA!$J$5:$Q$29,IF(E7608="HI",2,IF(E7608="LO",6,10))+IF(T7608=1,2,IF(D7608=7,1,(IF(WEEKDAY(B7608)=1,2,IF(WEEKDAY(B7608)=7,1,0))))))</f>
        <v>1</v>
      </c>
      <c r="V7608" s="328">
        <f>VLOOKUP(C7608,METADATA!$A$5:$H$29,IF(E7608="HI",2,IF(E7608="LO",6,10))+IF(T7608=1,2,IF(D7608=7,1,(IF(WEEKDAY(B7608)=1,2,IF(WEEKDAY(B7608)=7,1,0))))))</f>
        <v>1</v>
      </c>
    </row>
    <row r="7609" spans="2:22">
      <c r="B7609" s="318">
        <f t="shared" si="475"/>
        <v>46429</v>
      </c>
      <c r="C7609" s="312">
        <v>21</v>
      </c>
      <c r="D7609" s="368">
        <f>IFERROR((INDEX(METADATA!$T$2:$T$20,MATCH(B7609,METADATA!$S$2:$S$20,0))),0)</f>
        <v>0</v>
      </c>
      <c r="E7609" s="312" t="str">
        <f t="shared" si="472"/>
        <v>LO</v>
      </c>
      <c r="F7609" s="369">
        <f>VLOOKUP(C7609,METADATA!$A$5:$H$29,IF(E7609="HI",2,IF(E7609="LO",6,10))+IF(D7609=1,2,IF(D7609=7,1,(IF(WEEKDAY(B7609)=1,2,IF(WEEKDAY(B7609)=7,1,0))))))</f>
        <v>2</v>
      </c>
      <c r="G7609" s="369">
        <f>VLOOKUP(C7609,METADATA!$J$5:$Q$29,IF(E7609="HI",2,IF(E7609="LO",6,10))+IF(D7609=1,2,IF(D7609=7,1,(IF(WEEKDAY(B7609)=1,2,IF(WEEKDAY(B7609)=7,1,0))))))</f>
        <v>2</v>
      </c>
      <c r="H7609" s="370">
        <v>12801.674987792969</v>
      </c>
      <c r="I7609" s="370">
        <v>9785.10009765625</v>
      </c>
      <c r="M7609" s="371">
        <f t="shared" si="473"/>
        <v>16113.071290546581</v>
      </c>
      <c r="N7609" s="329">
        <f t="shared" si="474"/>
        <v>5944.597601318359</v>
      </c>
      <c r="T7609" s="331">
        <v>0</v>
      </c>
      <c r="U7609" s="328">
        <f>VLOOKUP(C7609,METADATA!$J$5:$Q$29,IF(E7609="HI",2,IF(E7609="LO",6,10))+IF(T7609=1,2,IF(D7609=7,1,(IF(WEEKDAY(B7609)=1,2,IF(WEEKDAY(B7609)=7,1,0))))))</f>
        <v>2</v>
      </c>
      <c r="V7609" s="328">
        <f>VLOOKUP(C7609,METADATA!$A$5:$H$29,IF(E7609="HI",2,IF(E7609="LO",6,10))+IF(T7609=1,2,IF(D7609=7,1,(IF(WEEKDAY(B7609)=1,2,IF(WEEKDAY(B7609)=7,1,0))))))</f>
        <v>2</v>
      </c>
    </row>
    <row r="7610" spans="2:22">
      <c r="B7610" s="318">
        <f t="shared" si="475"/>
        <v>46429</v>
      </c>
      <c r="C7610" s="312">
        <v>22</v>
      </c>
      <c r="D7610" s="368">
        <f>IFERROR((INDEX(METADATA!$T$2:$T$20,MATCH(B7610,METADATA!$S$2:$S$20,0))),0)</f>
        <v>0</v>
      </c>
      <c r="E7610" s="312" t="str">
        <f t="shared" si="472"/>
        <v>LO</v>
      </c>
      <c r="F7610" s="369">
        <f>VLOOKUP(C7610,METADATA!$A$5:$H$29,IF(E7610="HI",2,IF(E7610="LO",6,10))+IF(D7610=1,2,IF(D7610=7,1,(IF(WEEKDAY(B7610)=1,2,IF(WEEKDAY(B7610)=7,1,0))))))</f>
        <v>3</v>
      </c>
      <c r="G7610" s="369">
        <f>VLOOKUP(C7610,METADATA!$J$5:$Q$29,IF(E7610="HI",2,IF(E7610="LO",6,10))+IF(D7610=1,2,IF(D7610=7,1,(IF(WEEKDAY(B7610)=1,2,IF(WEEKDAY(B7610)=7,1,0))))))</f>
        <v>3</v>
      </c>
      <c r="H7610" s="370">
        <v>12828.899841308594</v>
      </c>
      <c r="I7610" s="370">
        <v>9785.3500366210938</v>
      </c>
      <c r="M7610" s="371">
        <f t="shared" si="473"/>
        <v>16134.861216556159</v>
      </c>
      <c r="N7610" s="329">
        <f t="shared" si="474"/>
        <v>5936.6800842285156</v>
      </c>
      <c r="T7610" s="331">
        <v>0</v>
      </c>
      <c r="U7610" s="328">
        <f>VLOOKUP(C7610,METADATA!$J$5:$Q$29,IF(E7610="HI",2,IF(E7610="LO",6,10))+IF(T7610=1,2,IF(D7610=7,1,(IF(WEEKDAY(B7610)=1,2,IF(WEEKDAY(B7610)=7,1,0))))))</f>
        <v>3</v>
      </c>
      <c r="V7610" s="328">
        <f>VLOOKUP(C7610,METADATA!$A$5:$H$29,IF(E7610="HI",2,IF(E7610="LO",6,10))+IF(T7610=1,2,IF(D7610=7,1,(IF(WEEKDAY(B7610)=1,2,IF(WEEKDAY(B7610)=7,1,0))))))</f>
        <v>3</v>
      </c>
    </row>
    <row r="7611" spans="2:22">
      <c r="B7611" s="318">
        <f t="shared" si="475"/>
        <v>46429</v>
      </c>
      <c r="C7611" s="312">
        <v>23</v>
      </c>
      <c r="D7611" s="368">
        <f>IFERROR((INDEX(METADATA!$T$2:$T$20,MATCH(B7611,METADATA!$S$2:$S$20,0))),0)</f>
        <v>0</v>
      </c>
      <c r="E7611" s="312" t="str">
        <f t="shared" si="472"/>
        <v>LO</v>
      </c>
      <c r="F7611" s="369">
        <f>VLOOKUP(C7611,METADATA!$A$5:$H$29,IF(E7611="HI",2,IF(E7611="LO",6,10))+IF(D7611=1,2,IF(D7611=7,1,(IF(WEEKDAY(B7611)=1,2,IF(WEEKDAY(B7611)=7,1,0))))))</f>
        <v>3</v>
      </c>
      <c r="G7611" s="369">
        <f>VLOOKUP(C7611,METADATA!$J$5:$Q$29,IF(E7611="HI",2,IF(E7611="LO",6,10))+IF(D7611=1,2,IF(D7611=7,1,(IF(WEEKDAY(B7611)=1,2,IF(WEEKDAY(B7611)=7,1,0))))))</f>
        <v>3</v>
      </c>
      <c r="H7611" s="370">
        <v>12831.250183105469</v>
      </c>
      <c r="I7611" s="370">
        <v>9812.6500854492188</v>
      </c>
      <c r="M7611" s="371">
        <f t="shared" si="473"/>
        <v>16153.299445033224</v>
      </c>
      <c r="N7611" s="329">
        <f t="shared" si="474"/>
        <v>5963.2750305175778</v>
      </c>
      <c r="T7611" s="331">
        <v>0</v>
      </c>
      <c r="U7611" s="328">
        <f>VLOOKUP(C7611,METADATA!$J$5:$Q$29,IF(E7611="HI",2,IF(E7611="LO",6,10))+IF(T7611=1,2,IF(D7611=7,1,(IF(WEEKDAY(B7611)=1,2,IF(WEEKDAY(B7611)=7,1,0))))))</f>
        <v>3</v>
      </c>
      <c r="V7611" s="328">
        <f>VLOOKUP(C7611,METADATA!$A$5:$H$29,IF(E7611="HI",2,IF(E7611="LO",6,10))+IF(T7611=1,2,IF(D7611=7,1,(IF(WEEKDAY(B7611)=1,2,IF(WEEKDAY(B7611)=7,1,0))))))</f>
        <v>3</v>
      </c>
    </row>
    <row r="7612" spans="2:22">
      <c r="B7612" s="318">
        <f t="shared" si="475"/>
        <v>46430</v>
      </c>
      <c r="C7612" s="312">
        <v>0</v>
      </c>
      <c r="D7612" s="368">
        <f>IFERROR((INDEX(METADATA!$T$2:$T$20,MATCH(B7612,METADATA!$S$2:$S$20,0))),0)</f>
        <v>0</v>
      </c>
      <c r="E7612" s="312" t="str">
        <f t="shared" si="472"/>
        <v>LO</v>
      </c>
      <c r="F7612" s="369">
        <f>VLOOKUP(C7612,METADATA!$A$5:$H$29,IF(E7612="HI",2,IF(E7612="LO",6,10))+IF(D7612=1,2,IF(D7612=7,1,(IF(WEEKDAY(B7612)=1,2,IF(WEEKDAY(B7612)=7,1,0))))))</f>
        <v>3</v>
      </c>
      <c r="G7612" s="369">
        <f>VLOOKUP(C7612,METADATA!$J$5:$Q$29,IF(E7612="HI",2,IF(E7612="LO",6,10))+IF(D7612=1,2,IF(D7612=7,1,(IF(WEEKDAY(B7612)=1,2,IF(WEEKDAY(B7612)=7,1,0))))))</f>
        <v>3</v>
      </c>
      <c r="H7612" s="370">
        <v>12854.474853515625</v>
      </c>
      <c r="I7612" s="370">
        <v>9852.0999755859375</v>
      </c>
      <c r="M7612" s="371">
        <f t="shared" si="473"/>
        <v>16195.721585919102</v>
      </c>
      <c r="N7612" s="329">
        <f t="shared" si="474"/>
        <v>5995.7575195312502</v>
      </c>
      <c r="T7612" s="331">
        <v>0</v>
      </c>
      <c r="U7612" s="328">
        <f>VLOOKUP(C7612,METADATA!$J$5:$Q$29,IF(E7612="HI",2,IF(E7612="LO",6,10))+IF(T7612=1,2,IF(D7612=7,1,(IF(WEEKDAY(B7612)=1,2,IF(WEEKDAY(B7612)=7,1,0))))))</f>
        <v>3</v>
      </c>
      <c r="V7612" s="328">
        <f>VLOOKUP(C7612,METADATA!$A$5:$H$29,IF(E7612="HI",2,IF(E7612="LO",6,10))+IF(T7612=1,2,IF(D7612=7,1,(IF(WEEKDAY(B7612)=1,2,IF(WEEKDAY(B7612)=7,1,0))))))</f>
        <v>3</v>
      </c>
    </row>
    <row r="7613" spans="2:22">
      <c r="B7613" s="318">
        <f t="shared" si="475"/>
        <v>46430</v>
      </c>
      <c r="C7613" s="312">
        <v>1</v>
      </c>
      <c r="D7613" s="368">
        <f>IFERROR((INDEX(METADATA!$T$2:$T$20,MATCH(B7613,METADATA!$S$2:$S$20,0))),0)</f>
        <v>0</v>
      </c>
      <c r="E7613" s="312" t="str">
        <f t="shared" si="472"/>
        <v>LO</v>
      </c>
      <c r="F7613" s="369">
        <f>VLOOKUP(C7613,METADATA!$A$5:$H$29,IF(E7613="HI",2,IF(E7613="LO",6,10))+IF(D7613=1,2,IF(D7613=7,1,(IF(WEEKDAY(B7613)=1,2,IF(WEEKDAY(B7613)=7,1,0))))))</f>
        <v>3</v>
      </c>
      <c r="G7613" s="369">
        <f>VLOOKUP(C7613,METADATA!$J$5:$Q$29,IF(E7613="HI",2,IF(E7613="LO",6,10))+IF(D7613=1,2,IF(D7613=7,1,(IF(WEEKDAY(B7613)=1,2,IF(WEEKDAY(B7613)=7,1,0))))))</f>
        <v>3</v>
      </c>
      <c r="H7613" s="370">
        <v>12887.124938964844</v>
      </c>
      <c r="I7613" s="370">
        <v>9778.1100463867188</v>
      </c>
      <c r="M7613" s="371">
        <f t="shared" si="473"/>
        <v>16176.817526069164</v>
      </c>
      <c r="N7613" s="329">
        <f t="shared" si="474"/>
        <v>5911.9725646972656</v>
      </c>
      <c r="T7613" s="331">
        <v>0</v>
      </c>
      <c r="U7613" s="328">
        <f>VLOOKUP(C7613,METADATA!$J$5:$Q$29,IF(E7613="HI",2,IF(E7613="LO",6,10))+IF(T7613=1,2,IF(D7613=7,1,(IF(WEEKDAY(B7613)=1,2,IF(WEEKDAY(B7613)=7,1,0))))))</f>
        <v>3</v>
      </c>
      <c r="V7613" s="328">
        <f>VLOOKUP(C7613,METADATA!$A$5:$H$29,IF(E7613="HI",2,IF(E7613="LO",6,10))+IF(T7613=1,2,IF(D7613=7,1,(IF(WEEKDAY(B7613)=1,2,IF(WEEKDAY(B7613)=7,1,0))))))</f>
        <v>3</v>
      </c>
    </row>
    <row r="7614" spans="2:22">
      <c r="B7614" s="318">
        <f t="shared" si="475"/>
        <v>46430</v>
      </c>
      <c r="C7614" s="312">
        <v>2</v>
      </c>
      <c r="D7614" s="368">
        <f>IFERROR((INDEX(METADATA!$T$2:$T$20,MATCH(B7614,METADATA!$S$2:$S$20,0))),0)</f>
        <v>0</v>
      </c>
      <c r="E7614" s="312" t="str">
        <f t="shared" si="472"/>
        <v>LO</v>
      </c>
      <c r="F7614" s="369">
        <f>VLOOKUP(C7614,METADATA!$A$5:$H$29,IF(E7614="HI",2,IF(E7614="LO",6,10))+IF(D7614=1,2,IF(D7614=7,1,(IF(WEEKDAY(B7614)=1,2,IF(WEEKDAY(B7614)=7,1,0))))))</f>
        <v>3</v>
      </c>
      <c r="G7614" s="369">
        <f>VLOOKUP(C7614,METADATA!$J$5:$Q$29,IF(E7614="HI",2,IF(E7614="LO",6,10))+IF(D7614=1,2,IF(D7614=7,1,(IF(WEEKDAY(B7614)=1,2,IF(WEEKDAY(B7614)=7,1,0))))))</f>
        <v>3</v>
      </c>
      <c r="H7614" s="370">
        <v>12810.199890136719</v>
      </c>
      <c r="I7614" s="370">
        <v>9644.6251220703125</v>
      </c>
      <c r="M7614" s="371">
        <f t="shared" si="473"/>
        <v>16034.962269070938</v>
      </c>
      <c r="N7614" s="329">
        <f t="shared" si="474"/>
        <v>5801.5651550292969</v>
      </c>
      <c r="T7614" s="331">
        <v>0</v>
      </c>
      <c r="U7614" s="328">
        <f>VLOOKUP(C7614,METADATA!$J$5:$Q$29,IF(E7614="HI",2,IF(E7614="LO",6,10))+IF(T7614=1,2,IF(D7614=7,1,(IF(WEEKDAY(B7614)=1,2,IF(WEEKDAY(B7614)=7,1,0))))))</f>
        <v>3</v>
      </c>
      <c r="V7614" s="328">
        <f>VLOOKUP(C7614,METADATA!$A$5:$H$29,IF(E7614="HI",2,IF(E7614="LO",6,10))+IF(T7614=1,2,IF(D7614=7,1,(IF(WEEKDAY(B7614)=1,2,IF(WEEKDAY(B7614)=7,1,0))))))</f>
        <v>3</v>
      </c>
    </row>
    <row r="7615" spans="2:22">
      <c r="B7615" s="318">
        <f t="shared" si="475"/>
        <v>46430</v>
      </c>
      <c r="C7615" s="312">
        <v>3</v>
      </c>
      <c r="D7615" s="368">
        <f>IFERROR((INDEX(METADATA!$T$2:$T$20,MATCH(B7615,METADATA!$S$2:$S$20,0))),0)</f>
        <v>0</v>
      </c>
      <c r="E7615" s="312" t="str">
        <f t="shared" si="472"/>
        <v>LO</v>
      </c>
      <c r="F7615" s="369">
        <f>VLOOKUP(C7615,METADATA!$A$5:$H$29,IF(E7615="HI",2,IF(E7615="LO",6,10))+IF(D7615=1,2,IF(D7615=7,1,(IF(WEEKDAY(B7615)=1,2,IF(WEEKDAY(B7615)=7,1,0))))))</f>
        <v>3</v>
      </c>
      <c r="G7615" s="369">
        <f>VLOOKUP(C7615,METADATA!$J$5:$Q$29,IF(E7615="HI",2,IF(E7615="LO",6,10))+IF(D7615=1,2,IF(D7615=7,1,(IF(WEEKDAY(B7615)=1,2,IF(WEEKDAY(B7615)=7,1,0))))))</f>
        <v>3</v>
      </c>
      <c r="H7615" s="370">
        <v>12827.849914550781</v>
      </c>
      <c r="I7615" s="370">
        <v>9730.324951171875</v>
      </c>
      <c r="M7615" s="371">
        <f t="shared" si="473"/>
        <v>16100.712937185062</v>
      </c>
      <c r="N7615" s="329">
        <f t="shared" si="474"/>
        <v>5881.9699768066403</v>
      </c>
      <c r="T7615" s="331">
        <v>0</v>
      </c>
      <c r="U7615" s="328">
        <f>VLOOKUP(C7615,METADATA!$J$5:$Q$29,IF(E7615="HI",2,IF(E7615="LO",6,10))+IF(T7615=1,2,IF(D7615=7,1,(IF(WEEKDAY(B7615)=1,2,IF(WEEKDAY(B7615)=7,1,0))))))</f>
        <v>3</v>
      </c>
      <c r="V7615" s="328">
        <f>VLOOKUP(C7615,METADATA!$A$5:$H$29,IF(E7615="HI",2,IF(E7615="LO",6,10))+IF(T7615=1,2,IF(D7615=7,1,(IF(WEEKDAY(B7615)=1,2,IF(WEEKDAY(B7615)=7,1,0))))))</f>
        <v>3</v>
      </c>
    </row>
    <row r="7616" spans="2:22">
      <c r="B7616" s="318">
        <f t="shared" si="475"/>
        <v>46430</v>
      </c>
      <c r="C7616" s="312">
        <v>4</v>
      </c>
      <c r="D7616" s="368">
        <f>IFERROR((INDEX(METADATA!$T$2:$T$20,MATCH(B7616,METADATA!$S$2:$S$20,0))),0)</f>
        <v>0</v>
      </c>
      <c r="E7616" s="312" t="str">
        <f t="shared" si="472"/>
        <v>LO</v>
      </c>
      <c r="F7616" s="369">
        <f>VLOOKUP(C7616,METADATA!$A$5:$H$29,IF(E7616="HI",2,IF(E7616="LO",6,10))+IF(D7616=1,2,IF(D7616=7,1,(IF(WEEKDAY(B7616)=1,2,IF(WEEKDAY(B7616)=7,1,0))))))</f>
        <v>3</v>
      </c>
      <c r="G7616" s="369">
        <f>VLOOKUP(C7616,METADATA!$J$5:$Q$29,IF(E7616="HI",2,IF(E7616="LO",6,10))+IF(D7616=1,2,IF(D7616=7,1,(IF(WEEKDAY(B7616)=1,2,IF(WEEKDAY(B7616)=7,1,0))))))</f>
        <v>3</v>
      </c>
      <c r="H7616" s="370">
        <v>12825.575012207031</v>
      </c>
      <c r="I7616" s="370">
        <v>9738.1749877929688</v>
      </c>
      <c r="M7616" s="371">
        <f t="shared" si="473"/>
        <v>16103.646372378709</v>
      </c>
      <c r="N7616" s="329">
        <f t="shared" si="474"/>
        <v>5890.5024841308596</v>
      </c>
      <c r="T7616" s="331">
        <v>0</v>
      </c>
      <c r="U7616" s="328">
        <f>VLOOKUP(C7616,METADATA!$J$5:$Q$29,IF(E7616="HI",2,IF(E7616="LO",6,10))+IF(T7616=1,2,IF(D7616=7,1,(IF(WEEKDAY(B7616)=1,2,IF(WEEKDAY(B7616)=7,1,0))))))</f>
        <v>3</v>
      </c>
      <c r="V7616" s="328">
        <f>VLOOKUP(C7616,METADATA!$A$5:$H$29,IF(E7616="HI",2,IF(E7616="LO",6,10))+IF(T7616=1,2,IF(D7616=7,1,(IF(WEEKDAY(B7616)=1,2,IF(WEEKDAY(B7616)=7,1,0))))))</f>
        <v>3</v>
      </c>
    </row>
    <row r="7617" spans="2:22">
      <c r="B7617" s="318">
        <f t="shared" si="475"/>
        <v>46430</v>
      </c>
      <c r="C7617" s="312">
        <v>5</v>
      </c>
      <c r="D7617" s="368">
        <f>IFERROR((INDEX(METADATA!$T$2:$T$20,MATCH(B7617,METADATA!$S$2:$S$20,0))),0)</f>
        <v>0</v>
      </c>
      <c r="E7617" s="312" t="str">
        <f t="shared" si="472"/>
        <v>LO</v>
      </c>
      <c r="F7617" s="369">
        <f>VLOOKUP(C7617,METADATA!$A$5:$H$29,IF(E7617="HI",2,IF(E7617="LO",6,10))+IF(D7617=1,2,IF(D7617=7,1,(IF(WEEKDAY(B7617)=1,2,IF(WEEKDAY(B7617)=7,1,0))))))</f>
        <v>3</v>
      </c>
      <c r="G7617" s="369">
        <f>VLOOKUP(C7617,METADATA!$J$5:$Q$29,IF(E7617="HI",2,IF(E7617="LO",6,10))+IF(D7617=1,2,IF(D7617=7,1,(IF(WEEKDAY(B7617)=1,2,IF(WEEKDAY(B7617)=7,1,0))))))</f>
        <v>3</v>
      </c>
      <c r="H7617" s="370">
        <v>12790.275085449219</v>
      </c>
      <c r="I7617" s="370">
        <v>9678.4249267578125</v>
      </c>
      <c r="M7617" s="371">
        <f t="shared" si="473"/>
        <v>16039.421617513208</v>
      </c>
      <c r="N7617" s="329">
        <f t="shared" si="474"/>
        <v>5841.3424011230472</v>
      </c>
      <c r="T7617" s="331">
        <v>0</v>
      </c>
      <c r="U7617" s="328">
        <f>VLOOKUP(C7617,METADATA!$J$5:$Q$29,IF(E7617="HI",2,IF(E7617="LO",6,10))+IF(T7617=1,2,IF(D7617=7,1,(IF(WEEKDAY(B7617)=1,2,IF(WEEKDAY(B7617)=7,1,0))))))</f>
        <v>3</v>
      </c>
      <c r="V7617" s="328">
        <f>VLOOKUP(C7617,METADATA!$A$5:$H$29,IF(E7617="HI",2,IF(E7617="LO",6,10))+IF(T7617=1,2,IF(D7617=7,1,(IF(WEEKDAY(B7617)=1,2,IF(WEEKDAY(B7617)=7,1,0))))))</f>
        <v>3</v>
      </c>
    </row>
    <row r="7618" spans="2:22">
      <c r="B7618" s="318">
        <f t="shared" si="475"/>
        <v>46430</v>
      </c>
      <c r="C7618" s="312">
        <v>6</v>
      </c>
      <c r="D7618" s="368">
        <f>IFERROR((INDEX(METADATA!$T$2:$T$20,MATCH(B7618,METADATA!$S$2:$S$20,0))),0)</f>
        <v>0</v>
      </c>
      <c r="E7618" s="312" t="str">
        <f t="shared" si="472"/>
        <v>LO</v>
      </c>
      <c r="F7618" s="369">
        <f>VLOOKUP(C7618,METADATA!$A$5:$H$29,IF(E7618="HI",2,IF(E7618="LO",6,10))+IF(D7618=1,2,IF(D7618=7,1,(IF(WEEKDAY(B7618)=1,2,IF(WEEKDAY(B7618)=7,1,0))))))</f>
        <v>2</v>
      </c>
      <c r="G7618" s="369">
        <f>VLOOKUP(C7618,METADATA!$J$5:$Q$29,IF(E7618="HI",2,IF(E7618="LO",6,10))+IF(D7618=1,2,IF(D7618=7,1,(IF(WEEKDAY(B7618)=1,2,IF(WEEKDAY(B7618)=7,1,0))))))</f>
        <v>2</v>
      </c>
      <c r="H7618" s="370">
        <v>12795.099914550781</v>
      </c>
      <c r="I7618" s="370">
        <v>9739.175048828125</v>
      </c>
      <c r="M7618" s="371">
        <f t="shared" si="473"/>
        <v>16079.991058923313</v>
      </c>
      <c r="N7618" s="329">
        <f t="shared" si="474"/>
        <v>5900.645074462891</v>
      </c>
      <c r="T7618" s="331">
        <v>0</v>
      </c>
      <c r="U7618" s="328">
        <f>VLOOKUP(C7618,METADATA!$J$5:$Q$29,IF(E7618="HI",2,IF(E7618="LO",6,10))+IF(T7618=1,2,IF(D7618=7,1,(IF(WEEKDAY(B7618)=1,2,IF(WEEKDAY(B7618)=7,1,0))))))</f>
        <v>2</v>
      </c>
      <c r="V7618" s="328">
        <f>VLOOKUP(C7618,METADATA!$A$5:$H$29,IF(E7618="HI",2,IF(E7618="LO",6,10))+IF(T7618=1,2,IF(D7618=7,1,(IF(WEEKDAY(B7618)=1,2,IF(WEEKDAY(B7618)=7,1,0))))))</f>
        <v>2</v>
      </c>
    </row>
    <row r="7619" spans="2:22">
      <c r="B7619" s="318">
        <f t="shared" si="475"/>
        <v>46430</v>
      </c>
      <c r="C7619" s="312">
        <v>7</v>
      </c>
      <c r="D7619" s="368">
        <f>IFERROR((INDEX(METADATA!$T$2:$T$20,MATCH(B7619,METADATA!$S$2:$S$20,0))),0)</f>
        <v>0</v>
      </c>
      <c r="E7619" s="312" t="str">
        <f t="shared" si="472"/>
        <v>LO</v>
      </c>
      <c r="F7619" s="369">
        <f>VLOOKUP(C7619,METADATA!$A$5:$H$29,IF(E7619="HI",2,IF(E7619="LO",6,10))+IF(D7619=1,2,IF(D7619=7,1,(IF(WEEKDAY(B7619)=1,2,IF(WEEKDAY(B7619)=7,1,0))))))</f>
        <v>1</v>
      </c>
      <c r="G7619" s="369">
        <f>VLOOKUP(C7619,METADATA!$J$5:$Q$29,IF(E7619="HI",2,IF(E7619="LO",6,10))+IF(D7619=1,2,IF(D7619=7,1,(IF(WEEKDAY(B7619)=1,2,IF(WEEKDAY(B7619)=7,1,0))))))</f>
        <v>1</v>
      </c>
      <c r="H7619" s="370">
        <v>12833.874816894531</v>
      </c>
      <c r="I7619" s="370">
        <v>9669.074951171875</v>
      </c>
      <c r="M7619" s="371">
        <f t="shared" si="473"/>
        <v>16068.582800829046</v>
      </c>
      <c r="N7619" s="329">
        <f t="shared" si="474"/>
        <v>5818.9125061035156</v>
      </c>
      <c r="T7619" s="331">
        <v>0</v>
      </c>
      <c r="U7619" s="328">
        <f>VLOOKUP(C7619,METADATA!$J$5:$Q$29,IF(E7619="HI",2,IF(E7619="LO",6,10))+IF(T7619=1,2,IF(D7619=7,1,(IF(WEEKDAY(B7619)=1,2,IF(WEEKDAY(B7619)=7,1,0))))))</f>
        <v>1</v>
      </c>
      <c r="V7619" s="328">
        <f>VLOOKUP(C7619,METADATA!$A$5:$H$29,IF(E7619="HI",2,IF(E7619="LO",6,10))+IF(T7619=1,2,IF(D7619=7,1,(IF(WEEKDAY(B7619)=1,2,IF(WEEKDAY(B7619)=7,1,0))))))</f>
        <v>1</v>
      </c>
    </row>
    <row r="7620" spans="2:22">
      <c r="B7620" s="318">
        <f t="shared" si="475"/>
        <v>46430</v>
      </c>
      <c r="C7620" s="312">
        <v>8</v>
      </c>
      <c r="D7620" s="368">
        <f>IFERROR((INDEX(METADATA!$T$2:$T$20,MATCH(B7620,METADATA!$S$2:$S$20,0))),0)</f>
        <v>0</v>
      </c>
      <c r="E7620" s="312" t="str">
        <f t="shared" ref="E7620:E7683" si="476">IF(B7620="","",IF(AND(MONTH(B7620)&gt;=MONTH($Z$9),MONTH(B7620)&lt;=MONTH($Z$11)),"HI","LO"))</f>
        <v>LO</v>
      </c>
      <c r="F7620" s="369">
        <f>VLOOKUP(C7620,METADATA!$A$5:$H$29,IF(E7620="HI",2,IF(E7620="LO",6,10))+IF(D7620=1,2,IF(D7620=7,1,(IF(WEEKDAY(B7620)=1,2,IF(WEEKDAY(B7620)=7,1,0))))))</f>
        <v>1</v>
      </c>
      <c r="G7620" s="369">
        <f>VLOOKUP(C7620,METADATA!$J$5:$Q$29,IF(E7620="HI",2,IF(E7620="LO",6,10))+IF(D7620=1,2,IF(D7620=7,1,(IF(WEEKDAY(B7620)=1,2,IF(WEEKDAY(B7620)=7,1,0))))))</f>
        <v>1</v>
      </c>
      <c r="H7620" s="370">
        <v>12805.099731445313</v>
      </c>
      <c r="I7620" s="370">
        <v>9449.2249755859375</v>
      </c>
      <c r="M7620" s="371">
        <f t="shared" ref="M7620:M7683" si="477">SQRT(H7620^2+I7620^2)</f>
        <v>15914.095380243825</v>
      </c>
      <c r="N7620" s="329">
        <f t="shared" ref="N7620:N7683" si="478">IF(H7620=0,0,(IF(I7620-(0.3*H7620)&lt;0,0,(I7620-(0.3*H7620)))))</f>
        <v>5607.6950561523445</v>
      </c>
      <c r="T7620" s="331">
        <v>0</v>
      </c>
      <c r="U7620" s="328">
        <f>VLOOKUP(C7620,METADATA!$J$5:$Q$29,IF(E7620="HI",2,IF(E7620="LO",6,10))+IF(T7620=1,2,IF(D7620=7,1,(IF(WEEKDAY(B7620)=1,2,IF(WEEKDAY(B7620)=7,1,0))))))</f>
        <v>1</v>
      </c>
      <c r="V7620" s="328">
        <f>VLOOKUP(C7620,METADATA!$A$5:$H$29,IF(E7620="HI",2,IF(E7620="LO",6,10))+IF(T7620=1,2,IF(D7620=7,1,(IF(WEEKDAY(B7620)=1,2,IF(WEEKDAY(B7620)=7,1,0))))))</f>
        <v>1</v>
      </c>
    </row>
    <row r="7621" spans="2:22">
      <c r="B7621" s="318">
        <f t="shared" si="475"/>
        <v>46430</v>
      </c>
      <c r="C7621" s="312">
        <v>9</v>
      </c>
      <c r="D7621" s="368">
        <f>IFERROR((INDEX(METADATA!$T$2:$T$20,MATCH(B7621,METADATA!$S$2:$S$20,0))),0)</f>
        <v>0</v>
      </c>
      <c r="E7621" s="312" t="str">
        <f t="shared" si="476"/>
        <v>LO</v>
      </c>
      <c r="F7621" s="369">
        <f>VLOOKUP(C7621,METADATA!$A$5:$H$29,IF(E7621="HI",2,IF(E7621="LO",6,10))+IF(D7621=1,2,IF(D7621=7,1,(IF(WEEKDAY(B7621)=1,2,IF(WEEKDAY(B7621)=7,1,0))))))</f>
        <v>2</v>
      </c>
      <c r="G7621" s="369">
        <f>VLOOKUP(C7621,METADATA!$J$5:$Q$29,IF(E7621="HI",2,IF(E7621="LO",6,10))+IF(D7621=1,2,IF(D7621=7,1,(IF(WEEKDAY(B7621)=1,2,IF(WEEKDAY(B7621)=7,1,0))))))</f>
        <v>2</v>
      </c>
      <c r="H7621" s="370">
        <v>12792.024658203125</v>
      </c>
      <c r="I7621" s="370">
        <v>9466.8500366210938</v>
      </c>
      <c r="M7621" s="371">
        <f t="shared" si="477"/>
        <v>15914.054934929361</v>
      </c>
      <c r="N7621" s="329">
        <f t="shared" si="478"/>
        <v>5629.2426391601566</v>
      </c>
      <c r="T7621" s="331">
        <v>0</v>
      </c>
      <c r="U7621" s="328">
        <f>VLOOKUP(C7621,METADATA!$J$5:$Q$29,IF(E7621="HI",2,IF(E7621="LO",6,10))+IF(T7621=1,2,IF(D7621=7,1,(IF(WEEKDAY(B7621)=1,2,IF(WEEKDAY(B7621)=7,1,0))))))</f>
        <v>2</v>
      </c>
      <c r="V7621" s="328">
        <f>VLOOKUP(C7621,METADATA!$A$5:$H$29,IF(E7621="HI",2,IF(E7621="LO",6,10))+IF(T7621=1,2,IF(D7621=7,1,(IF(WEEKDAY(B7621)=1,2,IF(WEEKDAY(B7621)=7,1,0))))))</f>
        <v>2</v>
      </c>
    </row>
    <row r="7622" spans="2:22">
      <c r="B7622" s="318">
        <f t="shared" si="475"/>
        <v>46430</v>
      </c>
      <c r="C7622" s="312">
        <v>10</v>
      </c>
      <c r="D7622" s="368">
        <f>IFERROR((INDEX(METADATA!$T$2:$T$20,MATCH(B7622,METADATA!$S$2:$S$20,0))),0)</f>
        <v>0</v>
      </c>
      <c r="E7622" s="312" t="str">
        <f t="shared" si="476"/>
        <v>LO</v>
      </c>
      <c r="F7622" s="369">
        <f>VLOOKUP(C7622,METADATA!$A$5:$H$29,IF(E7622="HI",2,IF(E7622="LO",6,10))+IF(D7622=1,2,IF(D7622=7,1,(IF(WEEKDAY(B7622)=1,2,IF(WEEKDAY(B7622)=7,1,0))))))</f>
        <v>2</v>
      </c>
      <c r="G7622" s="369">
        <f>VLOOKUP(C7622,METADATA!$J$5:$Q$29,IF(E7622="HI",2,IF(E7622="LO",6,10))+IF(D7622=1,2,IF(D7622=7,1,(IF(WEEKDAY(B7622)=1,2,IF(WEEKDAY(B7622)=7,1,0))))))</f>
        <v>2</v>
      </c>
      <c r="H7622" s="370">
        <v>12808.874755859375</v>
      </c>
      <c r="I7622" s="370">
        <v>9404.5250244140625</v>
      </c>
      <c r="M7622" s="371">
        <f t="shared" si="477"/>
        <v>15890.637603511128</v>
      </c>
      <c r="N7622" s="329">
        <f t="shared" si="478"/>
        <v>5561.8625976562507</v>
      </c>
      <c r="T7622" s="331">
        <v>0</v>
      </c>
      <c r="U7622" s="328">
        <f>VLOOKUP(C7622,METADATA!$J$5:$Q$29,IF(E7622="HI",2,IF(E7622="LO",6,10))+IF(T7622=1,2,IF(D7622=7,1,(IF(WEEKDAY(B7622)=1,2,IF(WEEKDAY(B7622)=7,1,0))))))</f>
        <v>2</v>
      </c>
      <c r="V7622" s="328">
        <f>VLOOKUP(C7622,METADATA!$A$5:$H$29,IF(E7622="HI",2,IF(E7622="LO",6,10))+IF(T7622=1,2,IF(D7622=7,1,(IF(WEEKDAY(B7622)=1,2,IF(WEEKDAY(B7622)=7,1,0))))))</f>
        <v>2</v>
      </c>
    </row>
    <row r="7623" spans="2:22">
      <c r="B7623" s="318">
        <f t="shared" si="475"/>
        <v>46430</v>
      </c>
      <c r="C7623" s="312">
        <v>11</v>
      </c>
      <c r="D7623" s="368">
        <f>IFERROR((INDEX(METADATA!$T$2:$T$20,MATCH(B7623,METADATA!$S$2:$S$20,0))),0)</f>
        <v>0</v>
      </c>
      <c r="E7623" s="312" t="str">
        <f t="shared" si="476"/>
        <v>LO</v>
      </c>
      <c r="F7623" s="369">
        <f>VLOOKUP(C7623,METADATA!$A$5:$H$29,IF(E7623="HI",2,IF(E7623="LO",6,10))+IF(D7623=1,2,IF(D7623=7,1,(IF(WEEKDAY(B7623)=1,2,IF(WEEKDAY(B7623)=7,1,0))))))</f>
        <v>2</v>
      </c>
      <c r="G7623" s="369">
        <f>VLOOKUP(C7623,METADATA!$J$5:$Q$29,IF(E7623="HI",2,IF(E7623="LO",6,10))+IF(D7623=1,2,IF(D7623=7,1,(IF(WEEKDAY(B7623)=1,2,IF(WEEKDAY(B7623)=7,1,0))))))</f>
        <v>2</v>
      </c>
      <c r="H7623" s="370">
        <v>12737.024658203125</v>
      </c>
      <c r="I7623" s="370">
        <v>9406.7000732421875</v>
      </c>
      <c r="M7623" s="371">
        <f t="shared" si="477"/>
        <v>15834.070967745754</v>
      </c>
      <c r="N7623" s="329">
        <f t="shared" si="478"/>
        <v>5585.5926757812504</v>
      </c>
      <c r="T7623" s="331">
        <v>0</v>
      </c>
      <c r="U7623" s="328">
        <f>VLOOKUP(C7623,METADATA!$J$5:$Q$29,IF(E7623="HI",2,IF(E7623="LO",6,10))+IF(T7623=1,2,IF(D7623=7,1,(IF(WEEKDAY(B7623)=1,2,IF(WEEKDAY(B7623)=7,1,0))))))</f>
        <v>2</v>
      </c>
      <c r="V7623" s="328">
        <f>VLOOKUP(C7623,METADATA!$A$5:$H$29,IF(E7623="HI",2,IF(E7623="LO",6,10))+IF(T7623=1,2,IF(D7623=7,1,(IF(WEEKDAY(B7623)=1,2,IF(WEEKDAY(B7623)=7,1,0))))))</f>
        <v>2</v>
      </c>
    </row>
    <row r="7624" spans="2:22">
      <c r="B7624" s="318">
        <f t="shared" si="475"/>
        <v>46430</v>
      </c>
      <c r="C7624" s="312">
        <v>12</v>
      </c>
      <c r="D7624" s="368">
        <f>IFERROR((INDEX(METADATA!$T$2:$T$20,MATCH(B7624,METADATA!$S$2:$S$20,0))),0)</f>
        <v>0</v>
      </c>
      <c r="E7624" s="312" t="str">
        <f t="shared" si="476"/>
        <v>LO</v>
      </c>
      <c r="F7624" s="369">
        <f>VLOOKUP(C7624,METADATA!$A$5:$H$29,IF(E7624="HI",2,IF(E7624="LO",6,10))+IF(D7624=1,2,IF(D7624=7,1,(IF(WEEKDAY(B7624)=1,2,IF(WEEKDAY(B7624)=7,1,0))))))</f>
        <v>2</v>
      </c>
      <c r="G7624" s="369">
        <f>VLOOKUP(C7624,METADATA!$J$5:$Q$29,IF(E7624="HI",2,IF(E7624="LO",6,10))+IF(D7624=1,2,IF(D7624=7,1,(IF(WEEKDAY(B7624)=1,2,IF(WEEKDAY(B7624)=7,1,0))))))</f>
        <v>2</v>
      </c>
      <c r="H7624" s="370">
        <v>12694.125244140625</v>
      </c>
      <c r="I7624" s="370">
        <v>9439.3749389648438</v>
      </c>
      <c r="M7624" s="371">
        <f t="shared" si="477"/>
        <v>15819.058598800557</v>
      </c>
      <c r="N7624" s="329">
        <f t="shared" si="478"/>
        <v>5631.1373657226559</v>
      </c>
      <c r="T7624" s="331">
        <v>0</v>
      </c>
      <c r="U7624" s="328">
        <f>VLOOKUP(C7624,METADATA!$J$5:$Q$29,IF(E7624="HI",2,IF(E7624="LO",6,10))+IF(T7624=1,2,IF(D7624=7,1,(IF(WEEKDAY(B7624)=1,2,IF(WEEKDAY(B7624)=7,1,0))))))</f>
        <v>2</v>
      </c>
      <c r="V7624" s="328">
        <f>VLOOKUP(C7624,METADATA!$A$5:$H$29,IF(E7624="HI",2,IF(E7624="LO",6,10))+IF(T7624=1,2,IF(D7624=7,1,(IF(WEEKDAY(B7624)=1,2,IF(WEEKDAY(B7624)=7,1,0))))))</f>
        <v>2</v>
      </c>
    </row>
    <row r="7625" spans="2:22">
      <c r="B7625" s="318">
        <f t="shared" si="475"/>
        <v>46430</v>
      </c>
      <c r="C7625" s="312">
        <v>13</v>
      </c>
      <c r="D7625" s="368">
        <f>IFERROR((INDEX(METADATA!$T$2:$T$20,MATCH(B7625,METADATA!$S$2:$S$20,0))),0)</f>
        <v>0</v>
      </c>
      <c r="E7625" s="312" t="str">
        <f t="shared" si="476"/>
        <v>LO</v>
      </c>
      <c r="F7625" s="369">
        <f>VLOOKUP(C7625,METADATA!$A$5:$H$29,IF(E7625="HI",2,IF(E7625="LO",6,10))+IF(D7625=1,2,IF(D7625=7,1,(IF(WEEKDAY(B7625)=1,2,IF(WEEKDAY(B7625)=7,1,0))))))</f>
        <v>2</v>
      </c>
      <c r="G7625" s="369">
        <f>VLOOKUP(C7625,METADATA!$J$5:$Q$29,IF(E7625="HI",2,IF(E7625="LO",6,10))+IF(D7625=1,2,IF(D7625=7,1,(IF(WEEKDAY(B7625)=1,2,IF(WEEKDAY(B7625)=7,1,0))))))</f>
        <v>2</v>
      </c>
      <c r="H7625" s="370">
        <v>12728.550048828125</v>
      </c>
      <c r="I7625" s="370">
        <v>9455.2251586914063</v>
      </c>
      <c r="M7625" s="371">
        <f t="shared" si="477"/>
        <v>15856.142946728041</v>
      </c>
      <c r="N7625" s="329">
        <f t="shared" si="478"/>
        <v>5636.6601440429695</v>
      </c>
      <c r="T7625" s="331">
        <v>0</v>
      </c>
      <c r="U7625" s="328">
        <f>VLOOKUP(C7625,METADATA!$J$5:$Q$29,IF(E7625="HI",2,IF(E7625="LO",6,10))+IF(T7625=1,2,IF(D7625=7,1,(IF(WEEKDAY(B7625)=1,2,IF(WEEKDAY(B7625)=7,1,0))))))</f>
        <v>2</v>
      </c>
      <c r="V7625" s="328">
        <f>VLOOKUP(C7625,METADATA!$A$5:$H$29,IF(E7625="HI",2,IF(E7625="LO",6,10))+IF(T7625=1,2,IF(D7625=7,1,(IF(WEEKDAY(B7625)=1,2,IF(WEEKDAY(B7625)=7,1,0))))))</f>
        <v>2</v>
      </c>
    </row>
    <row r="7626" spans="2:22">
      <c r="B7626" s="318">
        <f t="shared" si="475"/>
        <v>46430</v>
      </c>
      <c r="C7626" s="312">
        <v>14</v>
      </c>
      <c r="D7626" s="368">
        <f>IFERROR((INDEX(METADATA!$T$2:$T$20,MATCH(B7626,METADATA!$S$2:$S$20,0))),0)</f>
        <v>0</v>
      </c>
      <c r="E7626" s="312" t="str">
        <f t="shared" si="476"/>
        <v>LO</v>
      </c>
      <c r="F7626" s="369">
        <f>VLOOKUP(C7626,METADATA!$A$5:$H$29,IF(E7626="HI",2,IF(E7626="LO",6,10))+IF(D7626=1,2,IF(D7626=7,1,(IF(WEEKDAY(B7626)=1,2,IF(WEEKDAY(B7626)=7,1,0))))))</f>
        <v>2</v>
      </c>
      <c r="G7626" s="369">
        <f>VLOOKUP(C7626,METADATA!$J$5:$Q$29,IF(E7626="HI",2,IF(E7626="LO",6,10))+IF(D7626=1,2,IF(D7626=7,1,(IF(WEEKDAY(B7626)=1,2,IF(WEEKDAY(B7626)=7,1,0))))))</f>
        <v>2</v>
      </c>
      <c r="H7626" s="370">
        <v>12756.075073242188</v>
      </c>
      <c r="I7626" s="370">
        <v>9519.7998657226563</v>
      </c>
      <c r="M7626" s="371">
        <f t="shared" si="477"/>
        <v>15916.784875018062</v>
      </c>
      <c r="N7626" s="329">
        <f t="shared" si="478"/>
        <v>5692.9773437500007</v>
      </c>
      <c r="T7626" s="331">
        <v>0</v>
      </c>
      <c r="U7626" s="328">
        <f>VLOOKUP(C7626,METADATA!$J$5:$Q$29,IF(E7626="HI",2,IF(E7626="LO",6,10))+IF(T7626=1,2,IF(D7626=7,1,(IF(WEEKDAY(B7626)=1,2,IF(WEEKDAY(B7626)=7,1,0))))))</f>
        <v>2</v>
      </c>
      <c r="V7626" s="328">
        <f>VLOOKUP(C7626,METADATA!$A$5:$H$29,IF(E7626="HI",2,IF(E7626="LO",6,10))+IF(T7626=1,2,IF(D7626=7,1,(IF(WEEKDAY(B7626)=1,2,IF(WEEKDAY(B7626)=7,1,0))))))</f>
        <v>2</v>
      </c>
    </row>
    <row r="7627" spans="2:22">
      <c r="B7627" s="318">
        <f t="shared" si="475"/>
        <v>46430</v>
      </c>
      <c r="C7627" s="312">
        <v>15</v>
      </c>
      <c r="D7627" s="368">
        <f>IFERROR((INDEX(METADATA!$T$2:$T$20,MATCH(B7627,METADATA!$S$2:$S$20,0))),0)</f>
        <v>0</v>
      </c>
      <c r="E7627" s="312" t="str">
        <f t="shared" si="476"/>
        <v>LO</v>
      </c>
      <c r="F7627" s="369">
        <f>VLOOKUP(C7627,METADATA!$A$5:$H$29,IF(E7627="HI",2,IF(E7627="LO",6,10))+IF(D7627=1,2,IF(D7627=7,1,(IF(WEEKDAY(B7627)=1,2,IF(WEEKDAY(B7627)=7,1,0))))))</f>
        <v>2</v>
      </c>
      <c r="G7627" s="369">
        <f>VLOOKUP(C7627,METADATA!$J$5:$Q$29,IF(E7627="HI",2,IF(E7627="LO",6,10))+IF(D7627=1,2,IF(D7627=7,1,(IF(WEEKDAY(B7627)=1,2,IF(WEEKDAY(B7627)=7,1,0))))))</f>
        <v>2</v>
      </c>
      <c r="H7627" s="370">
        <v>12728.025024414063</v>
      </c>
      <c r="I7627" s="370">
        <v>9663.574951171875</v>
      </c>
      <c r="M7627" s="371">
        <f t="shared" si="477"/>
        <v>15980.841713095937</v>
      </c>
      <c r="N7627" s="329">
        <f t="shared" si="478"/>
        <v>5845.1674438476566</v>
      </c>
      <c r="T7627" s="331">
        <v>0</v>
      </c>
      <c r="U7627" s="328">
        <f>VLOOKUP(C7627,METADATA!$J$5:$Q$29,IF(E7627="HI",2,IF(E7627="LO",6,10))+IF(T7627=1,2,IF(D7627=7,1,(IF(WEEKDAY(B7627)=1,2,IF(WEEKDAY(B7627)=7,1,0))))))</f>
        <v>2</v>
      </c>
      <c r="V7627" s="328">
        <f>VLOOKUP(C7627,METADATA!$A$5:$H$29,IF(E7627="HI",2,IF(E7627="LO",6,10))+IF(T7627=1,2,IF(D7627=7,1,(IF(WEEKDAY(B7627)=1,2,IF(WEEKDAY(B7627)=7,1,0))))))</f>
        <v>2</v>
      </c>
    </row>
    <row r="7628" spans="2:22">
      <c r="B7628" s="318">
        <f t="shared" si="475"/>
        <v>46430</v>
      </c>
      <c r="C7628" s="312">
        <v>16</v>
      </c>
      <c r="D7628" s="368">
        <f>IFERROR((INDEX(METADATA!$T$2:$T$20,MATCH(B7628,METADATA!$S$2:$S$20,0))),0)</f>
        <v>0</v>
      </c>
      <c r="E7628" s="312" t="str">
        <f t="shared" si="476"/>
        <v>LO</v>
      </c>
      <c r="F7628" s="369">
        <f>VLOOKUP(C7628,METADATA!$A$5:$H$29,IF(E7628="HI",2,IF(E7628="LO",6,10))+IF(D7628=1,2,IF(D7628=7,1,(IF(WEEKDAY(B7628)=1,2,IF(WEEKDAY(B7628)=7,1,0))))))</f>
        <v>2</v>
      </c>
      <c r="G7628" s="369">
        <f>VLOOKUP(C7628,METADATA!$J$5:$Q$29,IF(E7628="HI",2,IF(E7628="LO",6,10))+IF(D7628=1,2,IF(D7628=7,1,(IF(WEEKDAY(B7628)=1,2,IF(WEEKDAY(B7628)=7,1,0))))))</f>
        <v>2</v>
      </c>
      <c r="H7628" s="370">
        <v>12776.874755859375</v>
      </c>
      <c r="I7628" s="370">
        <v>9620.4749755859375</v>
      </c>
      <c r="M7628" s="371">
        <f t="shared" si="477"/>
        <v>15993.813406526657</v>
      </c>
      <c r="N7628" s="329">
        <f t="shared" si="478"/>
        <v>5787.4125488281252</v>
      </c>
      <c r="T7628" s="331">
        <v>0</v>
      </c>
      <c r="U7628" s="328">
        <f>VLOOKUP(C7628,METADATA!$J$5:$Q$29,IF(E7628="HI",2,IF(E7628="LO",6,10))+IF(T7628=1,2,IF(D7628=7,1,(IF(WEEKDAY(B7628)=1,2,IF(WEEKDAY(B7628)=7,1,0))))))</f>
        <v>2</v>
      </c>
      <c r="V7628" s="328">
        <f>VLOOKUP(C7628,METADATA!$A$5:$H$29,IF(E7628="HI",2,IF(E7628="LO",6,10))+IF(T7628=1,2,IF(D7628=7,1,(IF(WEEKDAY(B7628)=1,2,IF(WEEKDAY(B7628)=7,1,0))))))</f>
        <v>2</v>
      </c>
    </row>
    <row r="7629" spans="2:22">
      <c r="B7629" s="318">
        <f t="shared" si="475"/>
        <v>46430</v>
      </c>
      <c r="C7629" s="312">
        <v>17</v>
      </c>
      <c r="D7629" s="368">
        <f>IFERROR((INDEX(METADATA!$T$2:$T$20,MATCH(B7629,METADATA!$S$2:$S$20,0))),0)</f>
        <v>0</v>
      </c>
      <c r="E7629" s="312" t="str">
        <f t="shared" si="476"/>
        <v>LO</v>
      </c>
      <c r="F7629" s="369">
        <f>VLOOKUP(C7629,METADATA!$A$5:$H$29,IF(E7629="HI",2,IF(E7629="LO",6,10))+IF(D7629=1,2,IF(D7629=7,1,(IF(WEEKDAY(B7629)=1,2,IF(WEEKDAY(B7629)=7,1,0))))))</f>
        <v>2</v>
      </c>
      <c r="G7629" s="369">
        <f>VLOOKUP(C7629,METADATA!$J$5:$Q$29,IF(E7629="HI",2,IF(E7629="LO",6,10))+IF(D7629=1,2,IF(D7629=7,1,(IF(WEEKDAY(B7629)=1,2,IF(WEEKDAY(B7629)=7,1,0))))))</f>
        <v>2</v>
      </c>
      <c r="H7629" s="370">
        <v>12749.425048828125</v>
      </c>
      <c r="I7629" s="370">
        <v>9810.224853515625</v>
      </c>
      <c r="M7629" s="371">
        <f t="shared" si="477"/>
        <v>16086.89997333923</v>
      </c>
      <c r="N7629" s="329">
        <f t="shared" si="478"/>
        <v>5985.3973388671875</v>
      </c>
      <c r="T7629" s="331">
        <v>0</v>
      </c>
      <c r="U7629" s="328">
        <f>VLOOKUP(C7629,METADATA!$J$5:$Q$29,IF(E7629="HI",2,IF(E7629="LO",6,10))+IF(T7629=1,2,IF(D7629=7,1,(IF(WEEKDAY(B7629)=1,2,IF(WEEKDAY(B7629)=7,1,0))))))</f>
        <v>2</v>
      </c>
      <c r="V7629" s="328">
        <f>VLOOKUP(C7629,METADATA!$A$5:$H$29,IF(E7629="HI",2,IF(E7629="LO",6,10))+IF(T7629=1,2,IF(D7629=7,1,(IF(WEEKDAY(B7629)=1,2,IF(WEEKDAY(B7629)=7,1,0))))))</f>
        <v>2</v>
      </c>
    </row>
    <row r="7630" spans="2:22">
      <c r="B7630" s="318">
        <f t="shared" si="475"/>
        <v>46430</v>
      </c>
      <c r="C7630" s="312">
        <v>18</v>
      </c>
      <c r="D7630" s="368">
        <f>IFERROR((INDEX(METADATA!$T$2:$T$20,MATCH(B7630,METADATA!$S$2:$S$20,0))),0)</f>
        <v>0</v>
      </c>
      <c r="E7630" s="312" t="str">
        <f t="shared" si="476"/>
        <v>LO</v>
      </c>
      <c r="F7630" s="369">
        <f>VLOOKUP(C7630,METADATA!$A$5:$H$29,IF(E7630="HI",2,IF(E7630="LO",6,10))+IF(D7630=1,2,IF(D7630=7,1,(IF(WEEKDAY(B7630)=1,2,IF(WEEKDAY(B7630)=7,1,0))))))</f>
        <v>1</v>
      </c>
      <c r="G7630" s="369">
        <f>VLOOKUP(C7630,METADATA!$J$5:$Q$29,IF(E7630="HI",2,IF(E7630="LO",6,10))+IF(D7630=1,2,IF(D7630=7,1,(IF(WEEKDAY(B7630)=1,2,IF(WEEKDAY(B7630)=7,1,0))))))</f>
        <v>1</v>
      </c>
      <c r="H7630" s="370">
        <v>12668.800170898438</v>
      </c>
      <c r="I7630" s="370">
        <v>9782.5001220703125</v>
      </c>
      <c r="M7630" s="371">
        <f t="shared" si="477"/>
        <v>16006.117780663179</v>
      </c>
      <c r="N7630" s="329">
        <f t="shared" si="478"/>
        <v>5981.8600708007816</v>
      </c>
      <c r="T7630" s="331">
        <v>0</v>
      </c>
      <c r="U7630" s="328">
        <f>VLOOKUP(C7630,METADATA!$J$5:$Q$29,IF(E7630="HI",2,IF(E7630="LO",6,10))+IF(T7630=1,2,IF(D7630=7,1,(IF(WEEKDAY(B7630)=1,2,IF(WEEKDAY(B7630)=7,1,0))))))</f>
        <v>1</v>
      </c>
      <c r="V7630" s="328">
        <f>VLOOKUP(C7630,METADATA!$A$5:$H$29,IF(E7630="HI",2,IF(E7630="LO",6,10))+IF(T7630=1,2,IF(D7630=7,1,(IF(WEEKDAY(B7630)=1,2,IF(WEEKDAY(B7630)=7,1,0))))))</f>
        <v>1</v>
      </c>
    </row>
    <row r="7631" spans="2:22">
      <c r="B7631" s="318">
        <f t="shared" si="475"/>
        <v>46430</v>
      </c>
      <c r="C7631" s="312">
        <v>19</v>
      </c>
      <c r="D7631" s="368">
        <f>IFERROR((INDEX(METADATA!$T$2:$T$20,MATCH(B7631,METADATA!$S$2:$S$20,0))),0)</f>
        <v>0</v>
      </c>
      <c r="E7631" s="312" t="str">
        <f t="shared" si="476"/>
        <v>LO</v>
      </c>
      <c r="F7631" s="369">
        <f>VLOOKUP(C7631,METADATA!$A$5:$H$29,IF(E7631="HI",2,IF(E7631="LO",6,10))+IF(D7631=1,2,IF(D7631=7,1,(IF(WEEKDAY(B7631)=1,2,IF(WEEKDAY(B7631)=7,1,0))))))</f>
        <v>1</v>
      </c>
      <c r="G7631" s="369">
        <f>VLOOKUP(C7631,METADATA!$J$5:$Q$29,IF(E7631="HI",2,IF(E7631="LO",6,10))+IF(D7631=1,2,IF(D7631=7,1,(IF(WEEKDAY(B7631)=1,2,IF(WEEKDAY(B7631)=7,1,0))))))</f>
        <v>1</v>
      </c>
      <c r="H7631" s="370">
        <v>12751.650085449219</v>
      </c>
      <c r="I7631" s="370">
        <v>9732.02490234375</v>
      </c>
      <c r="M7631" s="371">
        <f t="shared" si="477"/>
        <v>16041.099981035462</v>
      </c>
      <c r="N7631" s="329">
        <f t="shared" si="478"/>
        <v>5906.5298767089844</v>
      </c>
      <c r="T7631" s="331">
        <v>0</v>
      </c>
      <c r="U7631" s="328">
        <f>VLOOKUP(C7631,METADATA!$J$5:$Q$29,IF(E7631="HI",2,IF(E7631="LO",6,10))+IF(T7631=1,2,IF(D7631=7,1,(IF(WEEKDAY(B7631)=1,2,IF(WEEKDAY(B7631)=7,1,0))))))</f>
        <v>1</v>
      </c>
      <c r="V7631" s="328">
        <f>VLOOKUP(C7631,METADATA!$A$5:$H$29,IF(E7631="HI",2,IF(E7631="LO",6,10))+IF(T7631=1,2,IF(D7631=7,1,(IF(WEEKDAY(B7631)=1,2,IF(WEEKDAY(B7631)=7,1,0))))))</f>
        <v>1</v>
      </c>
    </row>
    <row r="7632" spans="2:22">
      <c r="B7632" s="318">
        <f t="shared" si="475"/>
        <v>46430</v>
      </c>
      <c r="C7632" s="312">
        <v>20</v>
      </c>
      <c r="D7632" s="368">
        <f>IFERROR((INDEX(METADATA!$T$2:$T$20,MATCH(B7632,METADATA!$S$2:$S$20,0))),0)</f>
        <v>0</v>
      </c>
      <c r="E7632" s="312" t="str">
        <f t="shared" si="476"/>
        <v>LO</v>
      </c>
      <c r="F7632" s="369">
        <f>VLOOKUP(C7632,METADATA!$A$5:$H$29,IF(E7632="HI",2,IF(E7632="LO",6,10))+IF(D7632=1,2,IF(D7632=7,1,(IF(WEEKDAY(B7632)=1,2,IF(WEEKDAY(B7632)=7,1,0))))))</f>
        <v>1</v>
      </c>
      <c r="G7632" s="369">
        <f>VLOOKUP(C7632,METADATA!$J$5:$Q$29,IF(E7632="HI",2,IF(E7632="LO",6,10))+IF(D7632=1,2,IF(D7632=7,1,(IF(WEEKDAY(B7632)=1,2,IF(WEEKDAY(B7632)=7,1,0))))))</f>
        <v>1</v>
      </c>
      <c r="H7632" s="370">
        <v>12812.674865722656</v>
      </c>
      <c r="I7632" s="370">
        <v>9845.0250854492188</v>
      </c>
      <c r="M7632" s="371">
        <f t="shared" si="477"/>
        <v>16158.253499306336</v>
      </c>
      <c r="N7632" s="329">
        <f t="shared" si="478"/>
        <v>6001.2226257324219</v>
      </c>
      <c r="T7632" s="331">
        <v>0</v>
      </c>
      <c r="U7632" s="328">
        <f>VLOOKUP(C7632,METADATA!$J$5:$Q$29,IF(E7632="HI",2,IF(E7632="LO",6,10))+IF(T7632=1,2,IF(D7632=7,1,(IF(WEEKDAY(B7632)=1,2,IF(WEEKDAY(B7632)=7,1,0))))))</f>
        <v>1</v>
      </c>
      <c r="V7632" s="328">
        <f>VLOOKUP(C7632,METADATA!$A$5:$H$29,IF(E7632="HI",2,IF(E7632="LO",6,10))+IF(T7632=1,2,IF(D7632=7,1,(IF(WEEKDAY(B7632)=1,2,IF(WEEKDAY(B7632)=7,1,0))))))</f>
        <v>1</v>
      </c>
    </row>
    <row r="7633" spans="2:22">
      <c r="B7633" s="318">
        <f t="shared" si="475"/>
        <v>46430</v>
      </c>
      <c r="C7633" s="312">
        <v>21</v>
      </c>
      <c r="D7633" s="368">
        <f>IFERROR((INDEX(METADATA!$T$2:$T$20,MATCH(B7633,METADATA!$S$2:$S$20,0))),0)</f>
        <v>0</v>
      </c>
      <c r="E7633" s="312" t="str">
        <f t="shared" si="476"/>
        <v>LO</v>
      </c>
      <c r="F7633" s="369">
        <f>VLOOKUP(C7633,METADATA!$A$5:$H$29,IF(E7633="HI",2,IF(E7633="LO",6,10))+IF(D7633=1,2,IF(D7633=7,1,(IF(WEEKDAY(B7633)=1,2,IF(WEEKDAY(B7633)=7,1,0))))))</f>
        <v>2</v>
      </c>
      <c r="G7633" s="369">
        <f>VLOOKUP(C7633,METADATA!$J$5:$Q$29,IF(E7633="HI",2,IF(E7633="LO",6,10))+IF(D7633=1,2,IF(D7633=7,1,(IF(WEEKDAY(B7633)=1,2,IF(WEEKDAY(B7633)=7,1,0))))))</f>
        <v>2</v>
      </c>
      <c r="H7633" s="370">
        <v>12767.600036621094</v>
      </c>
      <c r="I7633" s="370">
        <v>9728.6498413085938</v>
      </c>
      <c r="M7633" s="371">
        <f t="shared" si="477"/>
        <v>16051.736305768316</v>
      </c>
      <c r="N7633" s="329">
        <f t="shared" si="478"/>
        <v>5898.3698303222664</v>
      </c>
      <c r="T7633" s="331">
        <v>0</v>
      </c>
      <c r="U7633" s="328">
        <f>VLOOKUP(C7633,METADATA!$J$5:$Q$29,IF(E7633="HI",2,IF(E7633="LO",6,10))+IF(T7633=1,2,IF(D7633=7,1,(IF(WEEKDAY(B7633)=1,2,IF(WEEKDAY(B7633)=7,1,0))))))</f>
        <v>2</v>
      </c>
      <c r="V7633" s="328">
        <f>VLOOKUP(C7633,METADATA!$A$5:$H$29,IF(E7633="HI",2,IF(E7633="LO",6,10))+IF(T7633=1,2,IF(D7633=7,1,(IF(WEEKDAY(B7633)=1,2,IF(WEEKDAY(B7633)=7,1,0))))))</f>
        <v>2</v>
      </c>
    </row>
    <row r="7634" spans="2:22">
      <c r="B7634" s="318">
        <f t="shared" si="475"/>
        <v>46430</v>
      </c>
      <c r="C7634" s="312">
        <v>22</v>
      </c>
      <c r="D7634" s="368">
        <f>IFERROR((INDEX(METADATA!$T$2:$T$20,MATCH(B7634,METADATA!$S$2:$S$20,0))),0)</f>
        <v>0</v>
      </c>
      <c r="E7634" s="312" t="str">
        <f t="shared" si="476"/>
        <v>LO</v>
      </c>
      <c r="F7634" s="369">
        <f>VLOOKUP(C7634,METADATA!$A$5:$H$29,IF(E7634="HI",2,IF(E7634="LO",6,10))+IF(D7634=1,2,IF(D7634=7,1,(IF(WEEKDAY(B7634)=1,2,IF(WEEKDAY(B7634)=7,1,0))))))</f>
        <v>3</v>
      </c>
      <c r="G7634" s="369">
        <f>VLOOKUP(C7634,METADATA!$J$5:$Q$29,IF(E7634="HI",2,IF(E7634="LO",6,10))+IF(D7634=1,2,IF(D7634=7,1,(IF(WEEKDAY(B7634)=1,2,IF(WEEKDAY(B7634)=7,1,0))))))</f>
        <v>3</v>
      </c>
      <c r="H7634" s="370">
        <v>12769.524963378906</v>
      </c>
      <c r="I7634" s="370">
        <v>9718.89990234375</v>
      </c>
      <c r="M7634" s="371">
        <f t="shared" si="477"/>
        <v>16047.360627284925</v>
      </c>
      <c r="N7634" s="329">
        <f t="shared" si="478"/>
        <v>5888.0424133300785</v>
      </c>
      <c r="T7634" s="331">
        <v>0</v>
      </c>
      <c r="U7634" s="328">
        <f>VLOOKUP(C7634,METADATA!$J$5:$Q$29,IF(E7634="HI",2,IF(E7634="LO",6,10))+IF(T7634=1,2,IF(D7634=7,1,(IF(WEEKDAY(B7634)=1,2,IF(WEEKDAY(B7634)=7,1,0))))))</f>
        <v>3</v>
      </c>
      <c r="V7634" s="328">
        <f>VLOOKUP(C7634,METADATA!$A$5:$H$29,IF(E7634="HI",2,IF(E7634="LO",6,10))+IF(T7634=1,2,IF(D7634=7,1,(IF(WEEKDAY(B7634)=1,2,IF(WEEKDAY(B7634)=7,1,0))))))</f>
        <v>3</v>
      </c>
    </row>
    <row r="7635" spans="2:22">
      <c r="B7635" s="318">
        <f t="shared" si="475"/>
        <v>46430</v>
      </c>
      <c r="C7635" s="312">
        <v>23</v>
      </c>
      <c r="D7635" s="368">
        <f>IFERROR((INDEX(METADATA!$T$2:$T$20,MATCH(B7635,METADATA!$S$2:$S$20,0))),0)</f>
        <v>0</v>
      </c>
      <c r="E7635" s="312" t="str">
        <f t="shared" si="476"/>
        <v>LO</v>
      </c>
      <c r="F7635" s="369">
        <f>VLOOKUP(C7635,METADATA!$A$5:$H$29,IF(E7635="HI",2,IF(E7635="LO",6,10))+IF(D7635=1,2,IF(D7635=7,1,(IF(WEEKDAY(B7635)=1,2,IF(WEEKDAY(B7635)=7,1,0))))))</f>
        <v>3</v>
      </c>
      <c r="G7635" s="369">
        <f>VLOOKUP(C7635,METADATA!$J$5:$Q$29,IF(E7635="HI",2,IF(E7635="LO",6,10))+IF(D7635=1,2,IF(D7635=7,1,(IF(WEEKDAY(B7635)=1,2,IF(WEEKDAY(B7635)=7,1,0))))))</f>
        <v>3</v>
      </c>
      <c r="H7635" s="370">
        <v>12789.224914550781</v>
      </c>
      <c r="I7635" s="370">
        <v>9786.6749877929688</v>
      </c>
      <c r="M7635" s="371">
        <f t="shared" si="477"/>
        <v>16104.138636749838</v>
      </c>
      <c r="N7635" s="329">
        <f t="shared" si="478"/>
        <v>5949.9075134277346</v>
      </c>
      <c r="T7635" s="331">
        <v>0</v>
      </c>
      <c r="U7635" s="328">
        <f>VLOOKUP(C7635,METADATA!$J$5:$Q$29,IF(E7635="HI",2,IF(E7635="LO",6,10))+IF(T7635=1,2,IF(D7635=7,1,(IF(WEEKDAY(B7635)=1,2,IF(WEEKDAY(B7635)=7,1,0))))))</f>
        <v>3</v>
      </c>
      <c r="V7635" s="328">
        <f>VLOOKUP(C7635,METADATA!$A$5:$H$29,IF(E7635="HI",2,IF(E7635="LO",6,10))+IF(T7635=1,2,IF(D7635=7,1,(IF(WEEKDAY(B7635)=1,2,IF(WEEKDAY(B7635)=7,1,0))))))</f>
        <v>3</v>
      </c>
    </row>
    <row r="7636" spans="2:22">
      <c r="B7636" s="318">
        <f t="shared" si="475"/>
        <v>46431</v>
      </c>
      <c r="C7636" s="312">
        <v>0</v>
      </c>
      <c r="D7636" s="368">
        <f>IFERROR((INDEX(METADATA!$T$2:$T$20,MATCH(B7636,METADATA!$S$2:$S$20,0))),0)</f>
        <v>0</v>
      </c>
      <c r="E7636" s="312" t="str">
        <f t="shared" si="476"/>
        <v>LO</v>
      </c>
      <c r="F7636" s="369">
        <f>VLOOKUP(C7636,METADATA!$A$5:$H$29,IF(E7636="HI",2,IF(E7636="LO",6,10))+IF(D7636=1,2,IF(D7636=7,1,(IF(WEEKDAY(B7636)=1,2,IF(WEEKDAY(B7636)=7,1,0))))))</f>
        <v>3</v>
      </c>
      <c r="G7636" s="369">
        <f>VLOOKUP(C7636,METADATA!$J$5:$Q$29,IF(E7636="HI",2,IF(E7636="LO",6,10))+IF(D7636=1,2,IF(D7636=7,1,(IF(WEEKDAY(B7636)=1,2,IF(WEEKDAY(B7636)=7,1,0))))))</f>
        <v>3</v>
      </c>
      <c r="H7636" s="370">
        <v>12802.349609375</v>
      </c>
      <c r="I7636" s="370">
        <v>9802.8999633789063</v>
      </c>
      <c r="M7636" s="371">
        <f t="shared" si="477"/>
        <v>16124.422569899314</v>
      </c>
      <c r="N7636" s="329">
        <f t="shared" si="478"/>
        <v>5962.1950805664064</v>
      </c>
      <c r="T7636" s="331">
        <v>0</v>
      </c>
      <c r="U7636" s="328">
        <f>VLOOKUP(C7636,METADATA!$J$5:$Q$29,IF(E7636="HI",2,IF(E7636="LO",6,10))+IF(T7636=1,2,IF(D7636=7,1,(IF(WEEKDAY(B7636)=1,2,IF(WEEKDAY(B7636)=7,1,0))))))</f>
        <v>3</v>
      </c>
      <c r="V7636" s="328">
        <f>VLOOKUP(C7636,METADATA!$A$5:$H$29,IF(E7636="HI",2,IF(E7636="LO",6,10))+IF(T7636=1,2,IF(D7636=7,1,(IF(WEEKDAY(B7636)=1,2,IF(WEEKDAY(B7636)=7,1,0))))))</f>
        <v>3</v>
      </c>
    </row>
    <row r="7637" spans="2:22">
      <c r="B7637" s="318">
        <f t="shared" si="475"/>
        <v>46431</v>
      </c>
      <c r="C7637" s="312">
        <v>1</v>
      </c>
      <c r="D7637" s="368">
        <f>IFERROR((INDEX(METADATA!$T$2:$T$20,MATCH(B7637,METADATA!$S$2:$S$20,0))),0)</f>
        <v>0</v>
      </c>
      <c r="E7637" s="312" t="str">
        <f t="shared" si="476"/>
        <v>LO</v>
      </c>
      <c r="F7637" s="369">
        <f>VLOOKUP(C7637,METADATA!$A$5:$H$29,IF(E7637="HI",2,IF(E7637="LO",6,10))+IF(D7637=1,2,IF(D7637=7,1,(IF(WEEKDAY(B7637)=1,2,IF(WEEKDAY(B7637)=7,1,0))))))</f>
        <v>3</v>
      </c>
      <c r="G7637" s="369">
        <f>VLOOKUP(C7637,METADATA!$J$5:$Q$29,IF(E7637="HI",2,IF(E7637="LO",6,10))+IF(D7637=1,2,IF(D7637=7,1,(IF(WEEKDAY(B7637)=1,2,IF(WEEKDAY(B7637)=7,1,0))))))</f>
        <v>3</v>
      </c>
      <c r="H7637" s="370">
        <v>12738.777221679688</v>
      </c>
      <c r="I7637" s="370">
        <v>9808.2299194335938</v>
      </c>
      <c r="M7637" s="371">
        <f t="shared" si="477"/>
        <v>16077.24538769181</v>
      </c>
      <c r="N7637" s="329">
        <f t="shared" si="478"/>
        <v>5986.5967529296877</v>
      </c>
      <c r="T7637" s="331">
        <v>0</v>
      </c>
      <c r="U7637" s="328">
        <f>VLOOKUP(C7637,METADATA!$J$5:$Q$29,IF(E7637="HI",2,IF(E7637="LO",6,10))+IF(T7637=1,2,IF(D7637=7,1,(IF(WEEKDAY(B7637)=1,2,IF(WEEKDAY(B7637)=7,1,0))))))</f>
        <v>3</v>
      </c>
      <c r="V7637" s="328">
        <f>VLOOKUP(C7637,METADATA!$A$5:$H$29,IF(E7637="HI",2,IF(E7637="LO",6,10))+IF(T7637=1,2,IF(D7637=7,1,(IF(WEEKDAY(B7637)=1,2,IF(WEEKDAY(B7637)=7,1,0))))))</f>
        <v>3</v>
      </c>
    </row>
    <row r="7638" spans="2:22">
      <c r="B7638" s="318">
        <f t="shared" si="475"/>
        <v>46431</v>
      </c>
      <c r="C7638" s="312">
        <v>2</v>
      </c>
      <c r="D7638" s="368">
        <f>IFERROR((INDEX(METADATA!$T$2:$T$20,MATCH(B7638,METADATA!$S$2:$S$20,0))),0)</f>
        <v>0</v>
      </c>
      <c r="E7638" s="312" t="str">
        <f t="shared" si="476"/>
        <v>LO</v>
      </c>
      <c r="F7638" s="369">
        <f>VLOOKUP(C7638,METADATA!$A$5:$H$29,IF(E7638="HI",2,IF(E7638="LO",6,10))+IF(D7638=1,2,IF(D7638=7,1,(IF(WEEKDAY(B7638)=1,2,IF(WEEKDAY(B7638)=7,1,0))))))</f>
        <v>3</v>
      </c>
      <c r="G7638" s="369">
        <f>VLOOKUP(C7638,METADATA!$J$5:$Q$29,IF(E7638="HI",2,IF(E7638="LO",6,10))+IF(D7638=1,2,IF(D7638=7,1,(IF(WEEKDAY(B7638)=1,2,IF(WEEKDAY(B7638)=7,1,0))))))</f>
        <v>3</v>
      </c>
      <c r="H7638" s="370">
        <v>12682.075134277344</v>
      </c>
      <c r="I7638" s="370">
        <v>9746.0001831054688</v>
      </c>
      <c r="M7638" s="371">
        <f t="shared" si="477"/>
        <v>15994.359920939241</v>
      </c>
      <c r="N7638" s="329">
        <f t="shared" si="478"/>
        <v>5941.3776428222664</v>
      </c>
      <c r="T7638" s="331">
        <v>0</v>
      </c>
      <c r="U7638" s="328">
        <f>VLOOKUP(C7638,METADATA!$J$5:$Q$29,IF(E7638="HI",2,IF(E7638="LO",6,10))+IF(T7638=1,2,IF(D7638=7,1,(IF(WEEKDAY(B7638)=1,2,IF(WEEKDAY(B7638)=7,1,0))))))</f>
        <v>3</v>
      </c>
      <c r="V7638" s="328">
        <f>VLOOKUP(C7638,METADATA!$A$5:$H$29,IF(E7638="HI",2,IF(E7638="LO",6,10))+IF(T7638=1,2,IF(D7638=7,1,(IF(WEEKDAY(B7638)=1,2,IF(WEEKDAY(B7638)=7,1,0))))))</f>
        <v>3</v>
      </c>
    </row>
    <row r="7639" spans="2:22">
      <c r="B7639" s="318">
        <f t="shared" si="475"/>
        <v>46431</v>
      </c>
      <c r="C7639" s="312">
        <v>3</v>
      </c>
      <c r="D7639" s="368">
        <f>IFERROR((INDEX(METADATA!$T$2:$T$20,MATCH(B7639,METADATA!$S$2:$S$20,0))),0)</f>
        <v>0</v>
      </c>
      <c r="E7639" s="312" t="str">
        <f t="shared" si="476"/>
        <v>LO</v>
      </c>
      <c r="F7639" s="369">
        <f>VLOOKUP(C7639,METADATA!$A$5:$H$29,IF(E7639="HI",2,IF(E7639="LO",6,10))+IF(D7639=1,2,IF(D7639=7,1,(IF(WEEKDAY(B7639)=1,2,IF(WEEKDAY(B7639)=7,1,0))))))</f>
        <v>3</v>
      </c>
      <c r="G7639" s="369">
        <f>VLOOKUP(C7639,METADATA!$J$5:$Q$29,IF(E7639="HI",2,IF(E7639="LO",6,10))+IF(D7639=1,2,IF(D7639=7,1,(IF(WEEKDAY(B7639)=1,2,IF(WEEKDAY(B7639)=7,1,0))))))</f>
        <v>3</v>
      </c>
      <c r="H7639" s="370">
        <v>12611.700256347656</v>
      </c>
      <c r="I7639" s="370">
        <v>9661.3251342773438</v>
      </c>
      <c r="M7639" s="371">
        <f t="shared" si="477"/>
        <v>15886.981673879362</v>
      </c>
      <c r="N7639" s="329">
        <f t="shared" si="478"/>
        <v>5877.8150573730472</v>
      </c>
      <c r="T7639" s="331">
        <v>0</v>
      </c>
      <c r="U7639" s="328">
        <f>VLOOKUP(C7639,METADATA!$J$5:$Q$29,IF(E7639="HI",2,IF(E7639="LO",6,10))+IF(T7639=1,2,IF(D7639=7,1,(IF(WEEKDAY(B7639)=1,2,IF(WEEKDAY(B7639)=7,1,0))))))</f>
        <v>3</v>
      </c>
      <c r="V7639" s="328">
        <f>VLOOKUP(C7639,METADATA!$A$5:$H$29,IF(E7639="HI",2,IF(E7639="LO",6,10))+IF(T7639=1,2,IF(D7639=7,1,(IF(WEEKDAY(B7639)=1,2,IF(WEEKDAY(B7639)=7,1,0))))))</f>
        <v>3</v>
      </c>
    </row>
    <row r="7640" spans="2:22">
      <c r="B7640" s="318">
        <f t="shared" si="475"/>
        <v>46431</v>
      </c>
      <c r="C7640" s="312">
        <v>4</v>
      </c>
      <c r="D7640" s="368">
        <f>IFERROR((INDEX(METADATA!$T$2:$T$20,MATCH(B7640,METADATA!$S$2:$S$20,0))),0)</f>
        <v>0</v>
      </c>
      <c r="E7640" s="312" t="str">
        <f t="shared" si="476"/>
        <v>LO</v>
      </c>
      <c r="F7640" s="369">
        <f>VLOOKUP(C7640,METADATA!$A$5:$H$29,IF(E7640="HI",2,IF(E7640="LO",6,10))+IF(D7640=1,2,IF(D7640=7,1,(IF(WEEKDAY(B7640)=1,2,IF(WEEKDAY(B7640)=7,1,0))))))</f>
        <v>3</v>
      </c>
      <c r="G7640" s="369">
        <f>VLOOKUP(C7640,METADATA!$J$5:$Q$29,IF(E7640="HI",2,IF(E7640="LO",6,10))+IF(D7640=1,2,IF(D7640=7,1,(IF(WEEKDAY(B7640)=1,2,IF(WEEKDAY(B7640)=7,1,0))))))</f>
        <v>3</v>
      </c>
      <c r="H7640" s="370">
        <v>12646.25</v>
      </c>
      <c r="I7640" s="370">
        <v>9658.2000122070313</v>
      </c>
      <c r="M7640" s="371">
        <f t="shared" si="477"/>
        <v>15912.525460727342</v>
      </c>
      <c r="N7640" s="329">
        <f t="shared" si="478"/>
        <v>5864.3250122070313</v>
      </c>
      <c r="T7640" s="331">
        <v>0</v>
      </c>
      <c r="U7640" s="328">
        <f>VLOOKUP(C7640,METADATA!$J$5:$Q$29,IF(E7640="HI",2,IF(E7640="LO",6,10))+IF(T7640=1,2,IF(D7640=7,1,(IF(WEEKDAY(B7640)=1,2,IF(WEEKDAY(B7640)=7,1,0))))))</f>
        <v>3</v>
      </c>
      <c r="V7640" s="328">
        <f>VLOOKUP(C7640,METADATA!$A$5:$H$29,IF(E7640="HI",2,IF(E7640="LO",6,10))+IF(T7640=1,2,IF(D7640=7,1,(IF(WEEKDAY(B7640)=1,2,IF(WEEKDAY(B7640)=7,1,0))))))</f>
        <v>3</v>
      </c>
    </row>
    <row r="7641" spans="2:22">
      <c r="B7641" s="318">
        <f t="shared" si="475"/>
        <v>46431</v>
      </c>
      <c r="C7641" s="312">
        <v>5</v>
      </c>
      <c r="D7641" s="368">
        <f>IFERROR((INDEX(METADATA!$T$2:$T$20,MATCH(B7641,METADATA!$S$2:$S$20,0))),0)</f>
        <v>0</v>
      </c>
      <c r="E7641" s="312" t="str">
        <f t="shared" si="476"/>
        <v>LO</v>
      </c>
      <c r="F7641" s="369">
        <f>VLOOKUP(C7641,METADATA!$A$5:$H$29,IF(E7641="HI",2,IF(E7641="LO",6,10))+IF(D7641=1,2,IF(D7641=7,1,(IF(WEEKDAY(B7641)=1,2,IF(WEEKDAY(B7641)=7,1,0))))))</f>
        <v>3</v>
      </c>
      <c r="G7641" s="369">
        <f>VLOOKUP(C7641,METADATA!$J$5:$Q$29,IF(E7641="HI",2,IF(E7641="LO",6,10))+IF(D7641=1,2,IF(D7641=7,1,(IF(WEEKDAY(B7641)=1,2,IF(WEEKDAY(B7641)=7,1,0))))))</f>
        <v>3</v>
      </c>
      <c r="H7641" s="370">
        <v>12659.900146484375</v>
      </c>
      <c r="I7641" s="370">
        <v>9632.724853515625</v>
      </c>
      <c r="M7641" s="371">
        <f t="shared" si="477"/>
        <v>15907.937007119834</v>
      </c>
      <c r="N7641" s="329">
        <f t="shared" si="478"/>
        <v>5834.7548095703132</v>
      </c>
      <c r="T7641" s="331">
        <v>0</v>
      </c>
      <c r="U7641" s="328">
        <f>VLOOKUP(C7641,METADATA!$J$5:$Q$29,IF(E7641="HI",2,IF(E7641="LO",6,10))+IF(T7641=1,2,IF(D7641=7,1,(IF(WEEKDAY(B7641)=1,2,IF(WEEKDAY(B7641)=7,1,0))))))</f>
        <v>3</v>
      </c>
      <c r="V7641" s="328">
        <f>VLOOKUP(C7641,METADATA!$A$5:$H$29,IF(E7641="HI",2,IF(E7641="LO",6,10))+IF(T7641=1,2,IF(D7641=7,1,(IF(WEEKDAY(B7641)=1,2,IF(WEEKDAY(B7641)=7,1,0))))))</f>
        <v>3</v>
      </c>
    </row>
    <row r="7642" spans="2:22">
      <c r="B7642" s="318">
        <f t="shared" si="475"/>
        <v>46431</v>
      </c>
      <c r="C7642" s="312">
        <v>6</v>
      </c>
      <c r="D7642" s="368">
        <f>IFERROR((INDEX(METADATA!$T$2:$T$20,MATCH(B7642,METADATA!$S$2:$S$20,0))),0)</f>
        <v>0</v>
      </c>
      <c r="E7642" s="312" t="str">
        <f t="shared" si="476"/>
        <v>LO</v>
      </c>
      <c r="F7642" s="369">
        <f>VLOOKUP(C7642,METADATA!$A$5:$H$29,IF(E7642="HI",2,IF(E7642="LO",6,10))+IF(D7642=1,2,IF(D7642=7,1,(IF(WEEKDAY(B7642)=1,2,IF(WEEKDAY(B7642)=7,1,0))))))</f>
        <v>3</v>
      </c>
      <c r="G7642" s="369">
        <f>VLOOKUP(C7642,METADATA!$J$5:$Q$29,IF(E7642="HI",2,IF(E7642="LO",6,10))+IF(D7642=1,2,IF(D7642=7,1,(IF(WEEKDAY(B7642)=1,2,IF(WEEKDAY(B7642)=7,1,0))))))</f>
        <v>3</v>
      </c>
      <c r="H7642" s="370">
        <v>12567.074829101563</v>
      </c>
      <c r="I7642" s="370">
        <v>9658.175048828125</v>
      </c>
      <c r="M7642" s="371">
        <f t="shared" si="477"/>
        <v>15849.659776602279</v>
      </c>
      <c r="N7642" s="329">
        <f t="shared" si="478"/>
        <v>5888.052600097657</v>
      </c>
      <c r="T7642" s="331">
        <v>0</v>
      </c>
      <c r="U7642" s="328">
        <f>VLOOKUP(C7642,METADATA!$J$5:$Q$29,IF(E7642="HI",2,IF(E7642="LO",6,10))+IF(T7642=1,2,IF(D7642=7,1,(IF(WEEKDAY(B7642)=1,2,IF(WEEKDAY(B7642)=7,1,0))))))</f>
        <v>3</v>
      </c>
      <c r="V7642" s="328">
        <f>VLOOKUP(C7642,METADATA!$A$5:$H$29,IF(E7642="HI",2,IF(E7642="LO",6,10))+IF(T7642=1,2,IF(D7642=7,1,(IF(WEEKDAY(B7642)=1,2,IF(WEEKDAY(B7642)=7,1,0))))))</f>
        <v>3</v>
      </c>
    </row>
    <row r="7643" spans="2:22">
      <c r="B7643" s="318">
        <f t="shared" si="475"/>
        <v>46431</v>
      </c>
      <c r="C7643" s="312">
        <v>7</v>
      </c>
      <c r="D7643" s="368">
        <f>IFERROR((INDEX(METADATA!$T$2:$T$20,MATCH(B7643,METADATA!$S$2:$S$20,0))),0)</f>
        <v>0</v>
      </c>
      <c r="E7643" s="312" t="str">
        <f t="shared" si="476"/>
        <v>LO</v>
      </c>
      <c r="F7643" s="369">
        <f>VLOOKUP(C7643,METADATA!$A$5:$H$29,IF(E7643="HI",2,IF(E7643="LO",6,10))+IF(D7643=1,2,IF(D7643=7,1,(IF(WEEKDAY(B7643)=1,2,IF(WEEKDAY(B7643)=7,1,0))))))</f>
        <v>2</v>
      </c>
      <c r="G7643" s="369">
        <f>VLOOKUP(C7643,METADATA!$J$5:$Q$29,IF(E7643="HI",2,IF(E7643="LO",6,10))+IF(D7643=1,2,IF(D7643=7,1,(IF(WEEKDAY(B7643)=1,2,IF(WEEKDAY(B7643)=7,1,0))))))</f>
        <v>2</v>
      </c>
      <c r="H7643" s="370">
        <v>12659.299743652344</v>
      </c>
      <c r="I7643" s="370">
        <v>9577.14990234375</v>
      </c>
      <c r="M7643" s="371">
        <f t="shared" si="477"/>
        <v>15873.867526585926</v>
      </c>
      <c r="N7643" s="329">
        <f t="shared" si="478"/>
        <v>5779.3599792480472</v>
      </c>
      <c r="T7643" s="331">
        <v>0</v>
      </c>
      <c r="U7643" s="328">
        <f>VLOOKUP(C7643,METADATA!$J$5:$Q$29,IF(E7643="HI",2,IF(E7643="LO",6,10))+IF(T7643=1,2,IF(D7643=7,1,(IF(WEEKDAY(B7643)=1,2,IF(WEEKDAY(B7643)=7,1,0))))))</f>
        <v>2</v>
      </c>
      <c r="V7643" s="328">
        <f>VLOOKUP(C7643,METADATA!$A$5:$H$29,IF(E7643="HI",2,IF(E7643="LO",6,10))+IF(T7643=1,2,IF(D7643=7,1,(IF(WEEKDAY(B7643)=1,2,IF(WEEKDAY(B7643)=7,1,0))))))</f>
        <v>2</v>
      </c>
    </row>
    <row r="7644" spans="2:22">
      <c r="B7644" s="318">
        <f t="shared" ref="B7644:B7707" si="479">B7620+1</f>
        <v>46431</v>
      </c>
      <c r="C7644" s="312">
        <v>8</v>
      </c>
      <c r="D7644" s="368">
        <f>IFERROR((INDEX(METADATA!$T$2:$T$20,MATCH(B7644,METADATA!$S$2:$S$20,0))),0)</f>
        <v>0</v>
      </c>
      <c r="E7644" s="312" t="str">
        <f t="shared" si="476"/>
        <v>LO</v>
      </c>
      <c r="F7644" s="369">
        <f>VLOOKUP(C7644,METADATA!$A$5:$H$29,IF(E7644="HI",2,IF(E7644="LO",6,10))+IF(D7644=1,2,IF(D7644=7,1,(IF(WEEKDAY(B7644)=1,2,IF(WEEKDAY(B7644)=7,1,0))))))</f>
        <v>2</v>
      </c>
      <c r="G7644" s="369">
        <f>VLOOKUP(C7644,METADATA!$J$5:$Q$29,IF(E7644="HI",2,IF(E7644="LO",6,10))+IF(D7644=1,2,IF(D7644=7,1,(IF(WEEKDAY(B7644)=1,2,IF(WEEKDAY(B7644)=7,1,0))))))</f>
        <v>2</v>
      </c>
      <c r="H7644" s="370">
        <v>12646.474853515625</v>
      </c>
      <c r="I7644" s="370">
        <v>9499</v>
      </c>
      <c r="M7644" s="371">
        <f t="shared" si="477"/>
        <v>15816.583930185527</v>
      </c>
      <c r="N7644" s="329">
        <f t="shared" si="478"/>
        <v>5705.0575439453132</v>
      </c>
      <c r="T7644" s="331">
        <v>0</v>
      </c>
      <c r="U7644" s="328">
        <f>VLOOKUP(C7644,METADATA!$J$5:$Q$29,IF(E7644="HI",2,IF(E7644="LO",6,10))+IF(T7644=1,2,IF(D7644=7,1,(IF(WEEKDAY(B7644)=1,2,IF(WEEKDAY(B7644)=7,1,0))))))</f>
        <v>2</v>
      </c>
      <c r="V7644" s="328">
        <f>VLOOKUP(C7644,METADATA!$A$5:$H$29,IF(E7644="HI",2,IF(E7644="LO",6,10))+IF(T7644=1,2,IF(D7644=7,1,(IF(WEEKDAY(B7644)=1,2,IF(WEEKDAY(B7644)=7,1,0))))))</f>
        <v>2</v>
      </c>
    </row>
    <row r="7645" spans="2:22">
      <c r="B7645" s="318">
        <f t="shared" si="479"/>
        <v>46431</v>
      </c>
      <c r="C7645" s="312">
        <v>9</v>
      </c>
      <c r="D7645" s="368">
        <f>IFERROR((INDEX(METADATA!$T$2:$T$20,MATCH(B7645,METADATA!$S$2:$S$20,0))),0)</f>
        <v>0</v>
      </c>
      <c r="E7645" s="312" t="str">
        <f t="shared" si="476"/>
        <v>LO</v>
      </c>
      <c r="F7645" s="369">
        <f>VLOOKUP(C7645,METADATA!$A$5:$H$29,IF(E7645="HI",2,IF(E7645="LO",6,10))+IF(D7645=1,2,IF(D7645=7,1,(IF(WEEKDAY(B7645)=1,2,IF(WEEKDAY(B7645)=7,1,0))))))</f>
        <v>2</v>
      </c>
      <c r="G7645" s="369">
        <f>VLOOKUP(C7645,METADATA!$J$5:$Q$29,IF(E7645="HI",2,IF(E7645="LO",6,10))+IF(D7645=1,2,IF(D7645=7,1,(IF(WEEKDAY(B7645)=1,2,IF(WEEKDAY(B7645)=7,1,0))))))</f>
        <v>2</v>
      </c>
      <c r="H7645" s="370">
        <v>12673.82470703125</v>
      </c>
      <c r="I7645" s="370">
        <v>9443.3751220703125</v>
      </c>
      <c r="M7645" s="371">
        <f t="shared" si="477"/>
        <v>15805.162650244769</v>
      </c>
      <c r="N7645" s="329">
        <f t="shared" si="478"/>
        <v>5641.2277099609382</v>
      </c>
      <c r="T7645" s="331">
        <v>0</v>
      </c>
      <c r="U7645" s="328">
        <f>VLOOKUP(C7645,METADATA!$J$5:$Q$29,IF(E7645="HI",2,IF(E7645="LO",6,10))+IF(T7645=1,2,IF(D7645=7,1,(IF(WEEKDAY(B7645)=1,2,IF(WEEKDAY(B7645)=7,1,0))))))</f>
        <v>2</v>
      </c>
      <c r="V7645" s="328">
        <f>VLOOKUP(C7645,METADATA!$A$5:$H$29,IF(E7645="HI",2,IF(E7645="LO",6,10))+IF(T7645=1,2,IF(D7645=7,1,(IF(WEEKDAY(B7645)=1,2,IF(WEEKDAY(B7645)=7,1,0))))))</f>
        <v>2</v>
      </c>
    </row>
    <row r="7646" spans="2:22">
      <c r="B7646" s="318">
        <f t="shared" si="479"/>
        <v>46431</v>
      </c>
      <c r="C7646" s="312">
        <v>10</v>
      </c>
      <c r="D7646" s="368">
        <f>IFERROR((INDEX(METADATA!$T$2:$T$20,MATCH(B7646,METADATA!$S$2:$S$20,0))),0)</f>
        <v>0</v>
      </c>
      <c r="E7646" s="312" t="str">
        <f t="shared" si="476"/>
        <v>LO</v>
      </c>
      <c r="F7646" s="369">
        <f>VLOOKUP(C7646,METADATA!$A$5:$H$29,IF(E7646="HI",2,IF(E7646="LO",6,10))+IF(D7646=1,2,IF(D7646=7,1,(IF(WEEKDAY(B7646)=1,2,IF(WEEKDAY(B7646)=7,1,0))))))</f>
        <v>2</v>
      </c>
      <c r="G7646" s="369">
        <f>VLOOKUP(C7646,METADATA!$J$5:$Q$29,IF(E7646="HI",2,IF(E7646="LO",6,10))+IF(D7646=1,2,IF(D7646=7,1,(IF(WEEKDAY(B7646)=1,2,IF(WEEKDAY(B7646)=7,1,0))))))</f>
        <v>2</v>
      </c>
      <c r="H7646" s="370">
        <v>12705.375061035156</v>
      </c>
      <c r="I7646" s="370">
        <v>9460.5248413085938</v>
      </c>
      <c r="M7646" s="371">
        <f t="shared" si="477"/>
        <v>15840.709760442904</v>
      </c>
      <c r="N7646" s="329">
        <f t="shared" si="478"/>
        <v>5648.9123229980469</v>
      </c>
      <c r="T7646" s="331">
        <v>0</v>
      </c>
      <c r="U7646" s="328">
        <f>VLOOKUP(C7646,METADATA!$J$5:$Q$29,IF(E7646="HI",2,IF(E7646="LO",6,10))+IF(T7646=1,2,IF(D7646=7,1,(IF(WEEKDAY(B7646)=1,2,IF(WEEKDAY(B7646)=7,1,0))))))</f>
        <v>2</v>
      </c>
      <c r="V7646" s="328">
        <f>VLOOKUP(C7646,METADATA!$A$5:$H$29,IF(E7646="HI",2,IF(E7646="LO",6,10))+IF(T7646=1,2,IF(D7646=7,1,(IF(WEEKDAY(B7646)=1,2,IF(WEEKDAY(B7646)=7,1,0))))))</f>
        <v>2</v>
      </c>
    </row>
    <row r="7647" spans="2:22">
      <c r="B7647" s="318">
        <f t="shared" si="479"/>
        <v>46431</v>
      </c>
      <c r="C7647" s="312">
        <v>11</v>
      </c>
      <c r="D7647" s="368">
        <f>IFERROR((INDEX(METADATA!$T$2:$T$20,MATCH(B7647,METADATA!$S$2:$S$20,0))),0)</f>
        <v>0</v>
      </c>
      <c r="E7647" s="312" t="str">
        <f t="shared" si="476"/>
        <v>LO</v>
      </c>
      <c r="F7647" s="369">
        <f>VLOOKUP(C7647,METADATA!$A$5:$H$29,IF(E7647="HI",2,IF(E7647="LO",6,10))+IF(D7647=1,2,IF(D7647=7,1,(IF(WEEKDAY(B7647)=1,2,IF(WEEKDAY(B7647)=7,1,0))))))</f>
        <v>2</v>
      </c>
      <c r="G7647" s="369">
        <f>VLOOKUP(C7647,METADATA!$J$5:$Q$29,IF(E7647="HI",2,IF(E7647="LO",6,10))+IF(D7647=1,2,IF(D7647=7,1,(IF(WEEKDAY(B7647)=1,2,IF(WEEKDAY(B7647)=7,1,0))))))</f>
        <v>2</v>
      </c>
      <c r="H7647" s="370">
        <v>12670.549438476563</v>
      </c>
      <c r="I7647" s="370">
        <v>9474.8501586914063</v>
      </c>
      <c r="M7647" s="371">
        <f t="shared" si="477"/>
        <v>15821.36557325357</v>
      </c>
      <c r="N7647" s="329">
        <f t="shared" si="478"/>
        <v>5673.6853271484379</v>
      </c>
      <c r="T7647" s="331">
        <v>0</v>
      </c>
      <c r="U7647" s="328">
        <f>VLOOKUP(C7647,METADATA!$J$5:$Q$29,IF(E7647="HI",2,IF(E7647="LO",6,10))+IF(T7647=1,2,IF(D7647=7,1,(IF(WEEKDAY(B7647)=1,2,IF(WEEKDAY(B7647)=7,1,0))))))</f>
        <v>2</v>
      </c>
      <c r="V7647" s="328">
        <f>VLOOKUP(C7647,METADATA!$A$5:$H$29,IF(E7647="HI",2,IF(E7647="LO",6,10))+IF(T7647=1,2,IF(D7647=7,1,(IF(WEEKDAY(B7647)=1,2,IF(WEEKDAY(B7647)=7,1,0))))))</f>
        <v>2</v>
      </c>
    </row>
    <row r="7648" spans="2:22">
      <c r="B7648" s="318">
        <f t="shared" si="479"/>
        <v>46431</v>
      </c>
      <c r="C7648" s="312">
        <v>12</v>
      </c>
      <c r="D7648" s="368">
        <f>IFERROR((INDEX(METADATA!$T$2:$T$20,MATCH(B7648,METADATA!$S$2:$S$20,0))),0)</f>
        <v>0</v>
      </c>
      <c r="E7648" s="312" t="str">
        <f t="shared" si="476"/>
        <v>LO</v>
      </c>
      <c r="F7648" s="369">
        <f>VLOOKUP(C7648,METADATA!$A$5:$H$29,IF(E7648="HI",2,IF(E7648="LO",6,10))+IF(D7648=1,2,IF(D7648=7,1,(IF(WEEKDAY(B7648)=1,2,IF(WEEKDAY(B7648)=7,1,0))))))</f>
        <v>3</v>
      </c>
      <c r="G7648" s="369">
        <f>VLOOKUP(C7648,METADATA!$J$5:$Q$29,IF(E7648="HI",2,IF(E7648="LO",6,10))+IF(D7648=1,2,IF(D7648=7,1,(IF(WEEKDAY(B7648)=1,2,IF(WEEKDAY(B7648)=7,1,0))))))</f>
        <v>3</v>
      </c>
      <c r="H7648" s="370">
        <v>12679.250183105469</v>
      </c>
      <c r="I7648" s="370">
        <v>9467.125</v>
      </c>
      <c r="M7648" s="371">
        <f t="shared" si="477"/>
        <v>15823.711352631692</v>
      </c>
      <c r="N7648" s="329">
        <f t="shared" si="478"/>
        <v>5663.3499450683594</v>
      </c>
      <c r="T7648" s="331">
        <v>0</v>
      </c>
      <c r="U7648" s="328">
        <f>VLOOKUP(C7648,METADATA!$J$5:$Q$29,IF(E7648="HI",2,IF(E7648="LO",6,10))+IF(T7648=1,2,IF(D7648=7,1,(IF(WEEKDAY(B7648)=1,2,IF(WEEKDAY(B7648)=7,1,0))))))</f>
        <v>3</v>
      </c>
      <c r="V7648" s="328">
        <f>VLOOKUP(C7648,METADATA!$A$5:$H$29,IF(E7648="HI",2,IF(E7648="LO",6,10))+IF(T7648=1,2,IF(D7648=7,1,(IF(WEEKDAY(B7648)=1,2,IF(WEEKDAY(B7648)=7,1,0))))))</f>
        <v>3</v>
      </c>
    </row>
    <row r="7649" spans="2:22">
      <c r="B7649" s="318">
        <f t="shared" si="479"/>
        <v>46431</v>
      </c>
      <c r="C7649" s="312">
        <v>13</v>
      </c>
      <c r="D7649" s="368">
        <f>IFERROR((INDEX(METADATA!$T$2:$T$20,MATCH(B7649,METADATA!$S$2:$S$20,0))),0)</f>
        <v>0</v>
      </c>
      <c r="E7649" s="312" t="str">
        <f t="shared" si="476"/>
        <v>LO</v>
      </c>
      <c r="F7649" s="369">
        <f>VLOOKUP(C7649,METADATA!$A$5:$H$29,IF(E7649="HI",2,IF(E7649="LO",6,10))+IF(D7649=1,2,IF(D7649=7,1,(IF(WEEKDAY(B7649)=1,2,IF(WEEKDAY(B7649)=7,1,0))))))</f>
        <v>3</v>
      </c>
      <c r="G7649" s="369">
        <f>VLOOKUP(C7649,METADATA!$J$5:$Q$29,IF(E7649="HI",2,IF(E7649="LO",6,10))+IF(D7649=1,2,IF(D7649=7,1,(IF(WEEKDAY(B7649)=1,2,IF(WEEKDAY(B7649)=7,1,0))))))</f>
        <v>3</v>
      </c>
      <c r="H7649" s="370">
        <v>12698.02490234375</v>
      </c>
      <c r="I7649" s="370">
        <v>9498.275146484375</v>
      </c>
      <c r="M7649" s="371">
        <f t="shared" si="477"/>
        <v>15857.397869097716</v>
      </c>
      <c r="N7649" s="329">
        <f t="shared" si="478"/>
        <v>5688.86767578125</v>
      </c>
      <c r="T7649" s="331">
        <v>0</v>
      </c>
      <c r="U7649" s="328">
        <f>VLOOKUP(C7649,METADATA!$J$5:$Q$29,IF(E7649="HI",2,IF(E7649="LO",6,10))+IF(T7649=1,2,IF(D7649=7,1,(IF(WEEKDAY(B7649)=1,2,IF(WEEKDAY(B7649)=7,1,0))))))</f>
        <v>3</v>
      </c>
      <c r="V7649" s="328">
        <f>VLOOKUP(C7649,METADATA!$A$5:$H$29,IF(E7649="HI",2,IF(E7649="LO",6,10))+IF(T7649=1,2,IF(D7649=7,1,(IF(WEEKDAY(B7649)=1,2,IF(WEEKDAY(B7649)=7,1,0))))))</f>
        <v>3</v>
      </c>
    </row>
    <row r="7650" spans="2:22">
      <c r="B7650" s="318">
        <f t="shared" si="479"/>
        <v>46431</v>
      </c>
      <c r="C7650" s="312">
        <v>14</v>
      </c>
      <c r="D7650" s="368">
        <f>IFERROR((INDEX(METADATA!$T$2:$T$20,MATCH(B7650,METADATA!$S$2:$S$20,0))),0)</f>
        <v>0</v>
      </c>
      <c r="E7650" s="312" t="str">
        <f t="shared" si="476"/>
        <v>LO</v>
      </c>
      <c r="F7650" s="369">
        <f>VLOOKUP(C7650,METADATA!$A$5:$H$29,IF(E7650="HI",2,IF(E7650="LO",6,10))+IF(D7650=1,2,IF(D7650=7,1,(IF(WEEKDAY(B7650)=1,2,IF(WEEKDAY(B7650)=7,1,0))))))</f>
        <v>3</v>
      </c>
      <c r="G7650" s="369">
        <f>VLOOKUP(C7650,METADATA!$J$5:$Q$29,IF(E7650="HI",2,IF(E7650="LO",6,10))+IF(D7650=1,2,IF(D7650=7,1,(IF(WEEKDAY(B7650)=1,2,IF(WEEKDAY(B7650)=7,1,0))))))</f>
        <v>3</v>
      </c>
      <c r="H7650" s="370">
        <v>12713.350219726563</v>
      </c>
      <c r="I7650" s="370">
        <v>9558.125</v>
      </c>
      <c r="M7650" s="371">
        <f t="shared" si="477"/>
        <v>15905.565922816026</v>
      </c>
      <c r="N7650" s="329">
        <f t="shared" si="478"/>
        <v>5744.1199340820313</v>
      </c>
      <c r="T7650" s="331">
        <v>0</v>
      </c>
      <c r="U7650" s="328">
        <f>VLOOKUP(C7650,METADATA!$J$5:$Q$29,IF(E7650="HI",2,IF(E7650="LO",6,10))+IF(T7650=1,2,IF(D7650=7,1,(IF(WEEKDAY(B7650)=1,2,IF(WEEKDAY(B7650)=7,1,0))))))</f>
        <v>3</v>
      </c>
      <c r="V7650" s="328">
        <f>VLOOKUP(C7650,METADATA!$A$5:$H$29,IF(E7650="HI",2,IF(E7650="LO",6,10))+IF(T7650=1,2,IF(D7650=7,1,(IF(WEEKDAY(B7650)=1,2,IF(WEEKDAY(B7650)=7,1,0))))))</f>
        <v>3</v>
      </c>
    </row>
    <row r="7651" spans="2:22">
      <c r="B7651" s="318">
        <f t="shared" si="479"/>
        <v>46431</v>
      </c>
      <c r="C7651" s="312">
        <v>15</v>
      </c>
      <c r="D7651" s="368">
        <f>IFERROR((INDEX(METADATA!$T$2:$T$20,MATCH(B7651,METADATA!$S$2:$S$20,0))),0)</f>
        <v>0</v>
      </c>
      <c r="E7651" s="312" t="str">
        <f t="shared" si="476"/>
        <v>LO</v>
      </c>
      <c r="F7651" s="369">
        <f>VLOOKUP(C7651,METADATA!$A$5:$H$29,IF(E7651="HI",2,IF(E7651="LO",6,10))+IF(D7651=1,2,IF(D7651=7,1,(IF(WEEKDAY(B7651)=1,2,IF(WEEKDAY(B7651)=7,1,0))))))</f>
        <v>3</v>
      </c>
      <c r="G7651" s="369">
        <f>VLOOKUP(C7651,METADATA!$J$5:$Q$29,IF(E7651="HI",2,IF(E7651="LO",6,10))+IF(D7651=1,2,IF(D7651=7,1,(IF(WEEKDAY(B7651)=1,2,IF(WEEKDAY(B7651)=7,1,0))))))</f>
        <v>3</v>
      </c>
      <c r="H7651" s="370">
        <v>12689.02490234375</v>
      </c>
      <c r="I7651" s="370">
        <v>9579.574951171875</v>
      </c>
      <c r="M7651" s="371">
        <f t="shared" si="477"/>
        <v>15899.044286290275</v>
      </c>
      <c r="N7651" s="329">
        <f t="shared" si="478"/>
        <v>5772.8674804687507</v>
      </c>
      <c r="T7651" s="331">
        <v>0</v>
      </c>
      <c r="U7651" s="328">
        <f>VLOOKUP(C7651,METADATA!$J$5:$Q$29,IF(E7651="HI",2,IF(E7651="LO",6,10))+IF(T7651=1,2,IF(D7651=7,1,(IF(WEEKDAY(B7651)=1,2,IF(WEEKDAY(B7651)=7,1,0))))))</f>
        <v>3</v>
      </c>
      <c r="V7651" s="328">
        <f>VLOOKUP(C7651,METADATA!$A$5:$H$29,IF(E7651="HI",2,IF(E7651="LO",6,10))+IF(T7651=1,2,IF(D7651=7,1,(IF(WEEKDAY(B7651)=1,2,IF(WEEKDAY(B7651)=7,1,0))))))</f>
        <v>3</v>
      </c>
    </row>
    <row r="7652" spans="2:22">
      <c r="B7652" s="318">
        <f t="shared" si="479"/>
        <v>46431</v>
      </c>
      <c r="C7652" s="312">
        <v>16</v>
      </c>
      <c r="D7652" s="368">
        <f>IFERROR((INDEX(METADATA!$T$2:$T$20,MATCH(B7652,METADATA!$S$2:$S$20,0))),0)</f>
        <v>0</v>
      </c>
      <c r="E7652" s="312" t="str">
        <f t="shared" si="476"/>
        <v>LO</v>
      </c>
      <c r="F7652" s="369">
        <f>VLOOKUP(C7652,METADATA!$A$5:$H$29,IF(E7652="HI",2,IF(E7652="LO",6,10))+IF(D7652=1,2,IF(D7652=7,1,(IF(WEEKDAY(B7652)=1,2,IF(WEEKDAY(B7652)=7,1,0))))))</f>
        <v>3</v>
      </c>
      <c r="G7652" s="369">
        <f>VLOOKUP(C7652,METADATA!$J$5:$Q$29,IF(E7652="HI",2,IF(E7652="LO",6,10))+IF(D7652=1,2,IF(D7652=7,1,(IF(WEEKDAY(B7652)=1,2,IF(WEEKDAY(B7652)=7,1,0))))))</f>
        <v>3</v>
      </c>
      <c r="H7652" s="370">
        <v>12649.200134277344</v>
      </c>
      <c r="I7652" s="370">
        <v>9511.6000366210938</v>
      </c>
      <c r="M7652" s="371">
        <f t="shared" si="477"/>
        <v>15826.332465029678</v>
      </c>
      <c r="N7652" s="329">
        <f t="shared" si="478"/>
        <v>5716.8399963378906</v>
      </c>
      <c r="T7652" s="331">
        <v>0</v>
      </c>
      <c r="U7652" s="328">
        <f>VLOOKUP(C7652,METADATA!$J$5:$Q$29,IF(E7652="HI",2,IF(E7652="LO",6,10))+IF(T7652=1,2,IF(D7652=7,1,(IF(WEEKDAY(B7652)=1,2,IF(WEEKDAY(B7652)=7,1,0))))))</f>
        <v>3</v>
      </c>
      <c r="V7652" s="328">
        <f>VLOOKUP(C7652,METADATA!$A$5:$H$29,IF(E7652="HI",2,IF(E7652="LO",6,10))+IF(T7652=1,2,IF(D7652=7,1,(IF(WEEKDAY(B7652)=1,2,IF(WEEKDAY(B7652)=7,1,0))))))</f>
        <v>3</v>
      </c>
    </row>
    <row r="7653" spans="2:22">
      <c r="B7653" s="318">
        <f t="shared" si="479"/>
        <v>46431</v>
      </c>
      <c r="C7653" s="312">
        <v>17</v>
      </c>
      <c r="D7653" s="368">
        <f>IFERROR((INDEX(METADATA!$T$2:$T$20,MATCH(B7653,METADATA!$S$2:$S$20,0))),0)</f>
        <v>0</v>
      </c>
      <c r="E7653" s="312" t="str">
        <f t="shared" si="476"/>
        <v>LO</v>
      </c>
      <c r="F7653" s="369">
        <f>VLOOKUP(C7653,METADATA!$A$5:$H$29,IF(E7653="HI",2,IF(E7653="LO",6,10))+IF(D7653=1,2,IF(D7653=7,1,(IF(WEEKDAY(B7653)=1,2,IF(WEEKDAY(B7653)=7,1,0))))))</f>
        <v>3</v>
      </c>
      <c r="G7653" s="369">
        <f>VLOOKUP(C7653,METADATA!$J$5:$Q$29,IF(E7653="HI",2,IF(E7653="LO",6,10))+IF(D7653=1,2,IF(D7653=7,1,(IF(WEEKDAY(B7653)=1,2,IF(WEEKDAY(B7653)=7,1,0))))))</f>
        <v>3</v>
      </c>
      <c r="H7653" s="370">
        <v>12652.650390625</v>
      </c>
      <c r="I7653" s="370">
        <v>9570.7000122070313</v>
      </c>
      <c r="M7653" s="371">
        <f t="shared" si="477"/>
        <v>15864.673354060669</v>
      </c>
      <c r="N7653" s="329">
        <f t="shared" si="478"/>
        <v>5774.904895019532</v>
      </c>
      <c r="T7653" s="331">
        <v>0</v>
      </c>
      <c r="U7653" s="328">
        <f>VLOOKUP(C7653,METADATA!$J$5:$Q$29,IF(E7653="HI",2,IF(E7653="LO",6,10))+IF(T7653=1,2,IF(D7653=7,1,(IF(WEEKDAY(B7653)=1,2,IF(WEEKDAY(B7653)=7,1,0))))))</f>
        <v>3</v>
      </c>
      <c r="V7653" s="328">
        <f>VLOOKUP(C7653,METADATA!$A$5:$H$29,IF(E7653="HI",2,IF(E7653="LO",6,10))+IF(T7653=1,2,IF(D7653=7,1,(IF(WEEKDAY(B7653)=1,2,IF(WEEKDAY(B7653)=7,1,0))))))</f>
        <v>3</v>
      </c>
    </row>
    <row r="7654" spans="2:22">
      <c r="B7654" s="318">
        <f t="shared" si="479"/>
        <v>46431</v>
      </c>
      <c r="C7654" s="312">
        <v>18</v>
      </c>
      <c r="D7654" s="368">
        <f>IFERROR((INDEX(METADATA!$T$2:$T$20,MATCH(B7654,METADATA!$S$2:$S$20,0))),0)</f>
        <v>0</v>
      </c>
      <c r="E7654" s="312" t="str">
        <f t="shared" si="476"/>
        <v>LO</v>
      </c>
      <c r="F7654" s="369">
        <f>VLOOKUP(C7654,METADATA!$A$5:$H$29,IF(E7654="HI",2,IF(E7654="LO",6,10))+IF(D7654=1,2,IF(D7654=7,1,(IF(WEEKDAY(B7654)=1,2,IF(WEEKDAY(B7654)=7,1,0))))))</f>
        <v>2</v>
      </c>
      <c r="G7654" s="369">
        <f>VLOOKUP(C7654,METADATA!$J$5:$Q$29,IF(E7654="HI",2,IF(E7654="LO",6,10))+IF(D7654=1,2,IF(D7654=7,1,(IF(WEEKDAY(B7654)=1,2,IF(WEEKDAY(B7654)=7,1,0))))))</f>
        <v>2</v>
      </c>
      <c r="H7654" s="370">
        <v>12854.974853515625</v>
      </c>
      <c r="I7654" s="370">
        <v>9753.3250122070313</v>
      </c>
      <c r="M7654" s="371">
        <f t="shared" si="477"/>
        <v>16136.224071270897</v>
      </c>
      <c r="N7654" s="329">
        <f t="shared" si="478"/>
        <v>5896.8325561523434</v>
      </c>
      <c r="T7654" s="331">
        <v>0</v>
      </c>
      <c r="U7654" s="328">
        <f>VLOOKUP(C7654,METADATA!$J$5:$Q$29,IF(E7654="HI",2,IF(E7654="LO",6,10))+IF(T7654=1,2,IF(D7654=7,1,(IF(WEEKDAY(B7654)=1,2,IF(WEEKDAY(B7654)=7,1,0))))))</f>
        <v>2</v>
      </c>
      <c r="V7654" s="328">
        <f>VLOOKUP(C7654,METADATA!$A$5:$H$29,IF(E7654="HI",2,IF(E7654="LO",6,10))+IF(T7654=1,2,IF(D7654=7,1,(IF(WEEKDAY(B7654)=1,2,IF(WEEKDAY(B7654)=7,1,0))))))</f>
        <v>2</v>
      </c>
    </row>
    <row r="7655" spans="2:22">
      <c r="B7655" s="318">
        <f t="shared" si="479"/>
        <v>46431</v>
      </c>
      <c r="C7655" s="312">
        <v>19</v>
      </c>
      <c r="D7655" s="368">
        <f>IFERROR((INDEX(METADATA!$T$2:$T$20,MATCH(B7655,METADATA!$S$2:$S$20,0))),0)</f>
        <v>0</v>
      </c>
      <c r="E7655" s="312" t="str">
        <f t="shared" si="476"/>
        <v>LO</v>
      </c>
      <c r="F7655" s="369">
        <f>VLOOKUP(C7655,METADATA!$A$5:$H$29,IF(E7655="HI",2,IF(E7655="LO",6,10))+IF(D7655=1,2,IF(D7655=7,1,(IF(WEEKDAY(B7655)=1,2,IF(WEEKDAY(B7655)=7,1,0))))))</f>
        <v>2</v>
      </c>
      <c r="G7655" s="369">
        <f>VLOOKUP(C7655,METADATA!$J$5:$Q$29,IF(E7655="HI",2,IF(E7655="LO",6,10))+IF(D7655=1,2,IF(D7655=7,1,(IF(WEEKDAY(B7655)=1,2,IF(WEEKDAY(B7655)=7,1,0))))))</f>
        <v>2</v>
      </c>
      <c r="H7655" s="370">
        <v>12925.875427246094</v>
      </c>
      <c r="I7655" s="370">
        <v>9787.849853515625</v>
      </c>
      <c r="M7655" s="371">
        <f t="shared" si="477"/>
        <v>16213.582587313953</v>
      </c>
      <c r="N7655" s="329">
        <f t="shared" si="478"/>
        <v>5910.0872253417965</v>
      </c>
      <c r="T7655" s="331">
        <v>0</v>
      </c>
      <c r="U7655" s="328">
        <f>VLOOKUP(C7655,METADATA!$J$5:$Q$29,IF(E7655="HI",2,IF(E7655="LO",6,10))+IF(T7655=1,2,IF(D7655=7,1,(IF(WEEKDAY(B7655)=1,2,IF(WEEKDAY(B7655)=7,1,0))))))</f>
        <v>2</v>
      </c>
      <c r="V7655" s="328">
        <f>VLOOKUP(C7655,METADATA!$A$5:$H$29,IF(E7655="HI",2,IF(E7655="LO",6,10))+IF(T7655=1,2,IF(D7655=7,1,(IF(WEEKDAY(B7655)=1,2,IF(WEEKDAY(B7655)=7,1,0))))))</f>
        <v>2</v>
      </c>
    </row>
    <row r="7656" spans="2:22">
      <c r="B7656" s="318">
        <f t="shared" si="479"/>
        <v>46431</v>
      </c>
      <c r="C7656" s="312">
        <v>20</v>
      </c>
      <c r="D7656" s="368">
        <f>IFERROR((INDEX(METADATA!$T$2:$T$20,MATCH(B7656,METADATA!$S$2:$S$20,0))),0)</f>
        <v>0</v>
      </c>
      <c r="E7656" s="312" t="str">
        <f t="shared" si="476"/>
        <v>LO</v>
      </c>
      <c r="F7656" s="369">
        <f>VLOOKUP(C7656,METADATA!$A$5:$H$29,IF(E7656="HI",2,IF(E7656="LO",6,10))+IF(D7656=1,2,IF(D7656=7,1,(IF(WEEKDAY(B7656)=1,2,IF(WEEKDAY(B7656)=7,1,0))))))</f>
        <v>3</v>
      </c>
      <c r="G7656" s="369">
        <f>VLOOKUP(C7656,METADATA!$J$5:$Q$29,IF(E7656="HI",2,IF(E7656="LO",6,10))+IF(D7656=1,2,IF(D7656=7,1,(IF(WEEKDAY(B7656)=1,2,IF(WEEKDAY(B7656)=7,1,0))))))</f>
        <v>3</v>
      </c>
      <c r="H7656" s="370">
        <v>12990.4501953125</v>
      </c>
      <c r="I7656" s="370">
        <v>9849.75</v>
      </c>
      <c r="M7656" s="371">
        <f t="shared" si="477"/>
        <v>16302.434521855765</v>
      </c>
      <c r="N7656" s="329">
        <f t="shared" si="478"/>
        <v>5952.6149414062502</v>
      </c>
      <c r="T7656" s="331">
        <v>0</v>
      </c>
      <c r="U7656" s="328">
        <f>VLOOKUP(C7656,METADATA!$J$5:$Q$29,IF(E7656="HI",2,IF(E7656="LO",6,10))+IF(T7656=1,2,IF(D7656=7,1,(IF(WEEKDAY(B7656)=1,2,IF(WEEKDAY(B7656)=7,1,0))))))</f>
        <v>3</v>
      </c>
      <c r="V7656" s="328">
        <f>VLOOKUP(C7656,METADATA!$A$5:$H$29,IF(E7656="HI",2,IF(E7656="LO",6,10))+IF(T7656=1,2,IF(D7656=7,1,(IF(WEEKDAY(B7656)=1,2,IF(WEEKDAY(B7656)=7,1,0))))))</f>
        <v>3</v>
      </c>
    </row>
    <row r="7657" spans="2:22">
      <c r="B7657" s="318">
        <f t="shared" si="479"/>
        <v>46431</v>
      </c>
      <c r="C7657" s="312">
        <v>21</v>
      </c>
      <c r="D7657" s="368">
        <f>IFERROR((INDEX(METADATA!$T$2:$T$20,MATCH(B7657,METADATA!$S$2:$S$20,0))),0)</f>
        <v>0</v>
      </c>
      <c r="E7657" s="312" t="str">
        <f t="shared" si="476"/>
        <v>LO</v>
      </c>
      <c r="F7657" s="369">
        <f>VLOOKUP(C7657,METADATA!$A$5:$H$29,IF(E7657="HI",2,IF(E7657="LO",6,10))+IF(D7657=1,2,IF(D7657=7,1,(IF(WEEKDAY(B7657)=1,2,IF(WEEKDAY(B7657)=7,1,0))))))</f>
        <v>3</v>
      </c>
      <c r="G7657" s="369">
        <f>VLOOKUP(C7657,METADATA!$J$5:$Q$29,IF(E7657="HI",2,IF(E7657="LO",6,10))+IF(D7657=1,2,IF(D7657=7,1,(IF(WEEKDAY(B7657)=1,2,IF(WEEKDAY(B7657)=7,1,0))))))</f>
        <v>3</v>
      </c>
      <c r="H7657" s="370">
        <v>12797.624877929688</v>
      </c>
      <c r="I7657" s="370">
        <v>9775.7501220703125</v>
      </c>
      <c r="M7657" s="371">
        <f t="shared" si="477"/>
        <v>16104.176258516378</v>
      </c>
      <c r="N7657" s="329">
        <f t="shared" si="478"/>
        <v>5936.4626586914064</v>
      </c>
      <c r="T7657" s="331">
        <v>0</v>
      </c>
      <c r="U7657" s="328">
        <f>VLOOKUP(C7657,METADATA!$J$5:$Q$29,IF(E7657="HI",2,IF(E7657="LO",6,10))+IF(T7657=1,2,IF(D7657=7,1,(IF(WEEKDAY(B7657)=1,2,IF(WEEKDAY(B7657)=7,1,0))))))</f>
        <v>3</v>
      </c>
      <c r="V7657" s="328">
        <f>VLOOKUP(C7657,METADATA!$A$5:$H$29,IF(E7657="HI",2,IF(E7657="LO",6,10))+IF(T7657=1,2,IF(D7657=7,1,(IF(WEEKDAY(B7657)=1,2,IF(WEEKDAY(B7657)=7,1,0))))))</f>
        <v>3</v>
      </c>
    </row>
    <row r="7658" spans="2:22">
      <c r="B7658" s="318">
        <f t="shared" si="479"/>
        <v>46431</v>
      </c>
      <c r="C7658" s="312">
        <v>22</v>
      </c>
      <c r="D7658" s="368">
        <f>IFERROR((INDEX(METADATA!$T$2:$T$20,MATCH(B7658,METADATA!$S$2:$S$20,0))),0)</f>
        <v>0</v>
      </c>
      <c r="E7658" s="312" t="str">
        <f t="shared" si="476"/>
        <v>LO</v>
      </c>
      <c r="F7658" s="369">
        <f>VLOOKUP(C7658,METADATA!$A$5:$H$29,IF(E7658="HI",2,IF(E7658="LO",6,10))+IF(D7658=1,2,IF(D7658=7,1,(IF(WEEKDAY(B7658)=1,2,IF(WEEKDAY(B7658)=7,1,0))))))</f>
        <v>3</v>
      </c>
      <c r="G7658" s="369">
        <f>VLOOKUP(C7658,METADATA!$J$5:$Q$29,IF(E7658="HI",2,IF(E7658="LO",6,10))+IF(D7658=1,2,IF(D7658=7,1,(IF(WEEKDAY(B7658)=1,2,IF(WEEKDAY(B7658)=7,1,0))))))</f>
        <v>3</v>
      </c>
      <c r="H7658" s="370">
        <v>12752.750122070313</v>
      </c>
      <c r="I7658" s="370">
        <v>9822.2748413085938</v>
      </c>
      <c r="M7658" s="371">
        <f t="shared" si="477"/>
        <v>16096.885373704074</v>
      </c>
      <c r="N7658" s="329">
        <f t="shared" si="478"/>
        <v>5996.4498046874996</v>
      </c>
      <c r="T7658" s="331">
        <v>0</v>
      </c>
      <c r="U7658" s="328">
        <f>VLOOKUP(C7658,METADATA!$J$5:$Q$29,IF(E7658="HI",2,IF(E7658="LO",6,10))+IF(T7658=1,2,IF(D7658=7,1,(IF(WEEKDAY(B7658)=1,2,IF(WEEKDAY(B7658)=7,1,0))))))</f>
        <v>3</v>
      </c>
      <c r="V7658" s="328">
        <f>VLOOKUP(C7658,METADATA!$A$5:$H$29,IF(E7658="HI",2,IF(E7658="LO",6,10))+IF(T7658=1,2,IF(D7658=7,1,(IF(WEEKDAY(B7658)=1,2,IF(WEEKDAY(B7658)=7,1,0))))))</f>
        <v>3</v>
      </c>
    </row>
    <row r="7659" spans="2:22">
      <c r="B7659" s="318">
        <f t="shared" si="479"/>
        <v>46431</v>
      </c>
      <c r="C7659" s="312">
        <v>23</v>
      </c>
      <c r="D7659" s="368">
        <f>IFERROR((INDEX(METADATA!$T$2:$T$20,MATCH(B7659,METADATA!$S$2:$S$20,0))),0)</f>
        <v>0</v>
      </c>
      <c r="E7659" s="312" t="str">
        <f t="shared" si="476"/>
        <v>LO</v>
      </c>
      <c r="F7659" s="369">
        <f>VLOOKUP(C7659,METADATA!$A$5:$H$29,IF(E7659="HI",2,IF(E7659="LO",6,10))+IF(D7659=1,2,IF(D7659=7,1,(IF(WEEKDAY(B7659)=1,2,IF(WEEKDAY(B7659)=7,1,0))))))</f>
        <v>3</v>
      </c>
      <c r="G7659" s="369">
        <f>VLOOKUP(C7659,METADATA!$J$5:$Q$29,IF(E7659="HI",2,IF(E7659="LO",6,10))+IF(D7659=1,2,IF(D7659=7,1,(IF(WEEKDAY(B7659)=1,2,IF(WEEKDAY(B7659)=7,1,0))))))</f>
        <v>3</v>
      </c>
      <c r="H7659" s="370">
        <v>12803.350158691406</v>
      </c>
      <c r="I7659" s="370">
        <v>9813.6751708984375</v>
      </c>
      <c r="M7659" s="371">
        <f t="shared" si="477"/>
        <v>16131.769761745663</v>
      </c>
      <c r="N7659" s="329">
        <f t="shared" si="478"/>
        <v>5972.6701232910164</v>
      </c>
      <c r="T7659" s="331">
        <v>0</v>
      </c>
      <c r="U7659" s="328">
        <f>VLOOKUP(C7659,METADATA!$J$5:$Q$29,IF(E7659="HI",2,IF(E7659="LO",6,10))+IF(T7659=1,2,IF(D7659=7,1,(IF(WEEKDAY(B7659)=1,2,IF(WEEKDAY(B7659)=7,1,0))))))</f>
        <v>3</v>
      </c>
      <c r="V7659" s="328">
        <f>VLOOKUP(C7659,METADATA!$A$5:$H$29,IF(E7659="HI",2,IF(E7659="LO",6,10))+IF(T7659=1,2,IF(D7659=7,1,(IF(WEEKDAY(B7659)=1,2,IF(WEEKDAY(B7659)=7,1,0))))))</f>
        <v>3</v>
      </c>
    </row>
    <row r="7660" spans="2:22">
      <c r="B7660" s="318">
        <f t="shared" si="479"/>
        <v>46432</v>
      </c>
      <c r="C7660" s="312">
        <v>0</v>
      </c>
      <c r="D7660" s="368">
        <f>IFERROR((INDEX(METADATA!$T$2:$T$20,MATCH(B7660,METADATA!$S$2:$S$20,0))),0)</f>
        <v>0</v>
      </c>
      <c r="E7660" s="312" t="str">
        <f t="shared" si="476"/>
        <v>LO</v>
      </c>
      <c r="F7660" s="369">
        <f>VLOOKUP(C7660,METADATA!$A$5:$H$29,IF(E7660="HI",2,IF(E7660="LO",6,10))+IF(D7660=1,2,IF(D7660=7,1,(IF(WEEKDAY(B7660)=1,2,IF(WEEKDAY(B7660)=7,1,0))))))</f>
        <v>3</v>
      </c>
      <c r="G7660" s="369">
        <f>VLOOKUP(C7660,METADATA!$J$5:$Q$29,IF(E7660="HI",2,IF(E7660="LO",6,10))+IF(D7660=1,2,IF(D7660=7,1,(IF(WEEKDAY(B7660)=1,2,IF(WEEKDAY(B7660)=7,1,0))))))</f>
        <v>3</v>
      </c>
      <c r="H7660" s="370">
        <v>11867.375183105469</v>
      </c>
      <c r="I7660" s="370">
        <v>9523.574951171875</v>
      </c>
      <c r="M7660" s="371">
        <f t="shared" si="477"/>
        <v>15216.210881398034</v>
      </c>
      <c r="N7660" s="329">
        <f t="shared" si="478"/>
        <v>5963.3623962402344</v>
      </c>
      <c r="T7660" s="331">
        <v>0</v>
      </c>
      <c r="U7660" s="328">
        <f>VLOOKUP(C7660,METADATA!$J$5:$Q$29,IF(E7660="HI",2,IF(E7660="LO",6,10))+IF(T7660=1,2,IF(D7660=7,1,(IF(WEEKDAY(B7660)=1,2,IF(WEEKDAY(B7660)=7,1,0))))))</f>
        <v>3</v>
      </c>
      <c r="V7660" s="328">
        <f>VLOOKUP(C7660,METADATA!$A$5:$H$29,IF(E7660="HI",2,IF(E7660="LO",6,10))+IF(T7660=1,2,IF(D7660=7,1,(IF(WEEKDAY(B7660)=1,2,IF(WEEKDAY(B7660)=7,1,0))))))</f>
        <v>3</v>
      </c>
    </row>
    <row r="7661" spans="2:22">
      <c r="B7661" s="318">
        <f t="shared" si="479"/>
        <v>46432</v>
      </c>
      <c r="C7661" s="312">
        <v>1</v>
      </c>
      <c r="D7661" s="368">
        <f>IFERROR((INDEX(METADATA!$T$2:$T$20,MATCH(B7661,METADATA!$S$2:$S$20,0))),0)</f>
        <v>0</v>
      </c>
      <c r="E7661" s="312" t="str">
        <f t="shared" si="476"/>
        <v>LO</v>
      </c>
      <c r="F7661" s="369">
        <f>VLOOKUP(C7661,METADATA!$A$5:$H$29,IF(E7661="HI",2,IF(E7661="LO",6,10))+IF(D7661=1,2,IF(D7661=7,1,(IF(WEEKDAY(B7661)=1,2,IF(WEEKDAY(B7661)=7,1,0))))))</f>
        <v>3</v>
      </c>
      <c r="G7661" s="369">
        <f>VLOOKUP(C7661,METADATA!$J$5:$Q$29,IF(E7661="HI",2,IF(E7661="LO",6,10))+IF(D7661=1,2,IF(D7661=7,1,(IF(WEEKDAY(B7661)=1,2,IF(WEEKDAY(B7661)=7,1,0))))))</f>
        <v>3</v>
      </c>
      <c r="H7661" s="370">
        <v>12450.154846191406</v>
      </c>
      <c r="I7661" s="370">
        <v>9809.7250366210938</v>
      </c>
      <c r="M7661" s="371">
        <f t="shared" si="477"/>
        <v>15850.459330513235</v>
      </c>
      <c r="N7661" s="329">
        <f t="shared" si="478"/>
        <v>6074.6785827636722</v>
      </c>
      <c r="T7661" s="331">
        <v>0</v>
      </c>
      <c r="U7661" s="328">
        <f>VLOOKUP(C7661,METADATA!$J$5:$Q$29,IF(E7661="HI",2,IF(E7661="LO",6,10))+IF(T7661=1,2,IF(D7661=7,1,(IF(WEEKDAY(B7661)=1,2,IF(WEEKDAY(B7661)=7,1,0))))))</f>
        <v>3</v>
      </c>
      <c r="V7661" s="328">
        <f>VLOOKUP(C7661,METADATA!$A$5:$H$29,IF(E7661="HI",2,IF(E7661="LO",6,10))+IF(T7661=1,2,IF(D7661=7,1,(IF(WEEKDAY(B7661)=1,2,IF(WEEKDAY(B7661)=7,1,0))))))</f>
        <v>3</v>
      </c>
    </row>
    <row r="7662" spans="2:22">
      <c r="B7662" s="318">
        <f t="shared" si="479"/>
        <v>46432</v>
      </c>
      <c r="C7662" s="312">
        <v>2</v>
      </c>
      <c r="D7662" s="368">
        <f>IFERROR((INDEX(METADATA!$T$2:$T$20,MATCH(B7662,METADATA!$S$2:$S$20,0))),0)</f>
        <v>0</v>
      </c>
      <c r="E7662" s="312" t="str">
        <f t="shared" si="476"/>
        <v>LO</v>
      </c>
      <c r="F7662" s="369">
        <f>VLOOKUP(C7662,METADATA!$A$5:$H$29,IF(E7662="HI",2,IF(E7662="LO",6,10))+IF(D7662=1,2,IF(D7662=7,1,(IF(WEEKDAY(B7662)=1,2,IF(WEEKDAY(B7662)=7,1,0))))))</f>
        <v>3</v>
      </c>
      <c r="G7662" s="369">
        <f>VLOOKUP(C7662,METADATA!$J$5:$Q$29,IF(E7662="HI",2,IF(E7662="LO",6,10))+IF(D7662=1,2,IF(D7662=7,1,(IF(WEEKDAY(B7662)=1,2,IF(WEEKDAY(B7662)=7,1,0))))))</f>
        <v>3</v>
      </c>
      <c r="H7662" s="370">
        <v>12686.075012207031</v>
      </c>
      <c r="I7662" s="370">
        <v>9760.974853515625</v>
      </c>
      <c r="M7662" s="371">
        <f t="shared" si="477"/>
        <v>16006.658905165312</v>
      </c>
      <c r="N7662" s="329">
        <f t="shared" si="478"/>
        <v>5955.1523498535153</v>
      </c>
      <c r="T7662" s="331">
        <v>0</v>
      </c>
      <c r="U7662" s="328">
        <f>VLOOKUP(C7662,METADATA!$J$5:$Q$29,IF(E7662="HI",2,IF(E7662="LO",6,10))+IF(T7662=1,2,IF(D7662=7,1,(IF(WEEKDAY(B7662)=1,2,IF(WEEKDAY(B7662)=7,1,0))))))</f>
        <v>3</v>
      </c>
      <c r="V7662" s="328">
        <f>VLOOKUP(C7662,METADATA!$A$5:$H$29,IF(E7662="HI",2,IF(E7662="LO",6,10))+IF(T7662=1,2,IF(D7662=7,1,(IF(WEEKDAY(B7662)=1,2,IF(WEEKDAY(B7662)=7,1,0))))))</f>
        <v>3</v>
      </c>
    </row>
    <row r="7663" spans="2:22">
      <c r="B7663" s="318">
        <f t="shared" si="479"/>
        <v>46432</v>
      </c>
      <c r="C7663" s="312">
        <v>3</v>
      </c>
      <c r="D7663" s="368">
        <f>IFERROR((INDEX(METADATA!$T$2:$T$20,MATCH(B7663,METADATA!$S$2:$S$20,0))),0)</f>
        <v>0</v>
      </c>
      <c r="E7663" s="312" t="str">
        <f t="shared" si="476"/>
        <v>LO</v>
      </c>
      <c r="F7663" s="369">
        <f>VLOOKUP(C7663,METADATA!$A$5:$H$29,IF(E7663="HI",2,IF(E7663="LO",6,10))+IF(D7663=1,2,IF(D7663=7,1,(IF(WEEKDAY(B7663)=1,2,IF(WEEKDAY(B7663)=7,1,0))))))</f>
        <v>3</v>
      </c>
      <c r="G7663" s="369">
        <f>VLOOKUP(C7663,METADATA!$J$5:$Q$29,IF(E7663="HI",2,IF(E7663="LO",6,10))+IF(D7663=1,2,IF(D7663=7,1,(IF(WEEKDAY(B7663)=1,2,IF(WEEKDAY(B7663)=7,1,0))))))</f>
        <v>3</v>
      </c>
      <c r="H7663" s="370">
        <v>12680.174682617188</v>
      </c>
      <c r="I7663" s="370">
        <v>9762.4248657226563</v>
      </c>
      <c r="M7663" s="371">
        <f t="shared" si="477"/>
        <v>16002.867531807102</v>
      </c>
      <c r="N7663" s="329">
        <f t="shared" si="478"/>
        <v>5958.3724609375004</v>
      </c>
      <c r="T7663" s="331">
        <v>0</v>
      </c>
      <c r="U7663" s="328">
        <f>VLOOKUP(C7663,METADATA!$J$5:$Q$29,IF(E7663="HI",2,IF(E7663="LO",6,10))+IF(T7663=1,2,IF(D7663=7,1,(IF(WEEKDAY(B7663)=1,2,IF(WEEKDAY(B7663)=7,1,0))))))</f>
        <v>3</v>
      </c>
      <c r="V7663" s="328">
        <f>VLOOKUP(C7663,METADATA!$A$5:$H$29,IF(E7663="HI",2,IF(E7663="LO",6,10))+IF(T7663=1,2,IF(D7663=7,1,(IF(WEEKDAY(B7663)=1,2,IF(WEEKDAY(B7663)=7,1,0))))))</f>
        <v>3</v>
      </c>
    </row>
    <row r="7664" spans="2:22">
      <c r="B7664" s="318">
        <f t="shared" si="479"/>
        <v>46432</v>
      </c>
      <c r="C7664" s="312">
        <v>4</v>
      </c>
      <c r="D7664" s="368">
        <f>IFERROR((INDEX(METADATA!$T$2:$T$20,MATCH(B7664,METADATA!$S$2:$S$20,0))),0)</f>
        <v>0</v>
      </c>
      <c r="E7664" s="312" t="str">
        <f t="shared" si="476"/>
        <v>LO</v>
      </c>
      <c r="F7664" s="369">
        <f>VLOOKUP(C7664,METADATA!$A$5:$H$29,IF(E7664="HI",2,IF(E7664="LO",6,10))+IF(D7664=1,2,IF(D7664=7,1,(IF(WEEKDAY(B7664)=1,2,IF(WEEKDAY(B7664)=7,1,0))))))</f>
        <v>3</v>
      </c>
      <c r="G7664" s="369">
        <f>VLOOKUP(C7664,METADATA!$J$5:$Q$29,IF(E7664="HI",2,IF(E7664="LO",6,10))+IF(D7664=1,2,IF(D7664=7,1,(IF(WEEKDAY(B7664)=1,2,IF(WEEKDAY(B7664)=7,1,0))))))</f>
        <v>3</v>
      </c>
      <c r="H7664" s="370">
        <v>12759.124938964844</v>
      </c>
      <c r="I7664" s="370">
        <v>9748.9750366210938</v>
      </c>
      <c r="M7664" s="371">
        <f t="shared" si="477"/>
        <v>16057.328030303668</v>
      </c>
      <c r="N7664" s="329">
        <f t="shared" si="478"/>
        <v>5921.2375549316403</v>
      </c>
      <c r="T7664" s="331">
        <v>0</v>
      </c>
      <c r="U7664" s="328">
        <f>VLOOKUP(C7664,METADATA!$J$5:$Q$29,IF(E7664="HI",2,IF(E7664="LO",6,10))+IF(T7664=1,2,IF(D7664=7,1,(IF(WEEKDAY(B7664)=1,2,IF(WEEKDAY(B7664)=7,1,0))))))</f>
        <v>3</v>
      </c>
      <c r="V7664" s="328">
        <f>VLOOKUP(C7664,METADATA!$A$5:$H$29,IF(E7664="HI",2,IF(E7664="LO",6,10))+IF(T7664=1,2,IF(D7664=7,1,(IF(WEEKDAY(B7664)=1,2,IF(WEEKDAY(B7664)=7,1,0))))))</f>
        <v>3</v>
      </c>
    </row>
    <row r="7665" spans="2:22">
      <c r="B7665" s="318">
        <f t="shared" si="479"/>
        <v>46432</v>
      </c>
      <c r="C7665" s="312">
        <v>5</v>
      </c>
      <c r="D7665" s="368">
        <f>IFERROR((INDEX(METADATA!$T$2:$T$20,MATCH(B7665,METADATA!$S$2:$S$20,0))),0)</f>
        <v>0</v>
      </c>
      <c r="E7665" s="312" t="str">
        <f t="shared" si="476"/>
        <v>LO</v>
      </c>
      <c r="F7665" s="369">
        <f>VLOOKUP(C7665,METADATA!$A$5:$H$29,IF(E7665="HI",2,IF(E7665="LO",6,10))+IF(D7665=1,2,IF(D7665=7,1,(IF(WEEKDAY(B7665)=1,2,IF(WEEKDAY(B7665)=7,1,0))))))</f>
        <v>3</v>
      </c>
      <c r="G7665" s="369">
        <f>VLOOKUP(C7665,METADATA!$J$5:$Q$29,IF(E7665="HI",2,IF(E7665="LO",6,10))+IF(D7665=1,2,IF(D7665=7,1,(IF(WEEKDAY(B7665)=1,2,IF(WEEKDAY(B7665)=7,1,0))))))</f>
        <v>3</v>
      </c>
      <c r="H7665" s="370">
        <v>12748.124938964844</v>
      </c>
      <c r="I7665" s="370">
        <v>9670.1000366210938</v>
      </c>
      <c r="M7665" s="371">
        <f t="shared" si="477"/>
        <v>16000.797610672935</v>
      </c>
      <c r="N7665" s="329">
        <f t="shared" si="478"/>
        <v>5845.6625549316414</v>
      </c>
      <c r="T7665" s="331">
        <v>0</v>
      </c>
      <c r="U7665" s="328">
        <f>VLOOKUP(C7665,METADATA!$J$5:$Q$29,IF(E7665="HI",2,IF(E7665="LO",6,10))+IF(T7665=1,2,IF(D7665=7,1,(IF(WEEKDAY(B7665)=1,2,IF(WEEKDAY(B7665)=7,1,0))))))</f>
        <v>3</v>
      </c>
      <c r="V7665" s="328">
        <f>VLOOKUP(C7665,METADATA!$A$5:$H$29,IF(E7665="HI",2,IF(E7665="LO",6,10))+IF(T7665=1,2,IF(D7665=7,1,(IF(WEEKDAY(B7665)=1,2,IF(WEEKDAY(B7665)=7,1,0))))))</f>
        <v>3</v>
      </c>
    </row>
    <row r="7666" spans="2:22">
      <c r="B7666" s="318">
        <f t="shared" si="479"/>
        <v>46432</v>
      </c>
      <c r="C7666" s="312">
        <v>6</v>
      </c>
      <c r="D7666" s="368">
        <f>IFERROR((INDEX(METADATA!$T$2:$T$20,MATCH(B7666,METADATA!$S$2:$S$20,0))),0)</f>
        <v>0</v>
      </c>
      <c r="E7666" s="312" t="str">
        <f t="shared" si="476"/>
        <v>LO</v>
      </c>
      <c r="F7666" s="369">
        <f>VLOOKUP(C7666,METADATA!$A$5:$H$29,IF(E7666="HI",2,IF(E7666="LO",6,10))+IF(D7666=1,2,IF(D7666=7,1,(IF(WEEKDAY(B7666)=1,2,IF(WEEKDAY(B7666)=7,1,0))))))</f>
        <v>3</v>
      </c>
      <c r="G7666" s="369">
        <f>VLOOKUP(C7666,METADATA!$J$5:$Q$29,IF(E7666="HI",2,IF(E7666="LO",6,10))+IF(D7666=1,2,IF(D7666=7,1,(IF(WEEKDAY(B7666)=1,2,IF(WEEKDAY(B7666)=7,1,0))))))</f>
        <v>3</v>
      </c>
      <c r="H7666" s="370">
        <v>12725.049682617188</v>
      </c>
      <c r="I7666" s="370">
        <v>9703.5499877929688</v>
      </c>
      <c r="M7666" s="371">
        <f t="shared" si="477"/>
        <v>16002.680143984404</v>
      </c>
      <c r="N7666" s="329">
        <f t="shared" si="478"/>
        <v>5886.0350830078132</v>
      </c>
      <c r="T7666" s="331">
        <v>0</v>
      </c>
      <c r="U7666" s="328">
        <f>VLOOKUP(C7666,METADATA!$J$5:$Q$29,IF(E7666="HI",2,IF(E7666="LO",6,10))+IF(T7666=1,2,IF(D7666=7,1,(IF(WEEKDAY(B7666)=1,2,IF(WEEKDAY(B7666)=7,1,0))))))</f>
        <v>3</v>
      </c>
      <c r="V7666" s="328">
        <f>VLOOKUP(C7666,METADATA!$A$5:$H$29,IF(E7666="HI",2,IF(E7666="LO",6,10))+IF(T7666=1,2,IF(D7666=7,1,(IF(WEEKDAY(B7666)=1,2,IF(WEEKDAY(B7666)=7,1,0))))))</f>
        <v>3</v>
      </c>
    </row>
    <row r="7667" spans="2:22">
      <c r="B7667" s="318">
        <f t="shared" si="479"/>
        <v>46432</v>
      </c>
      <c r="C7667" s="312">
        <v>7</v>
      </c>
      <c r="D7667" s="368">
        <f>IFERROR((INDEX(METADATA!$T$2:$T$20,MATCH(B7667,METADATA!$S$2:$S$20,0))),0)</f>
        <v>0</v>
      </c>
      <c r="E7667" s="312" t="str">
        <f t="shared" si="476"/>
        <v>LO</v>
      </c>
      <c r="F7667" s="369">
        <f>VLOOKUP(C7667,METADATA!$A$5:$H$29,IF(E7667="HI",2,IF(E7667="LO",6,10))+IF(D7667=1,2,IF(D7667=7,1,(IF(WEEKDAY(B7667)=1,2,IF(WEEKDAY(B7667)=7,1,0))))))</f>
        <v>3</v>
      </c>
      <c r="G7667" s="369">
        <f>VLOOKUP(C7667,METADATA!$J$5:$Q$29,IF(E7667="HI",2,IF(E7667="LO",6,10))+IF(D7667=1,2,IF(D7667=7,1,(IF(WEEKDAY(B7667)=1,2,IF(WEEKDAY(B7667)=7,1,0))))))</f>
        <v>3</v>
      </c>
      <c r="H7667" s="370">
        <v>12837.000244140625</v>
      </c>
      <c r="I7667" s="370">
        <v>9634.5751342773438</v>
      </c>
      <c r="M7667" s="371">
        <f t="shared" si="477"/>
        <v>16050.346204555894</v>
      </c>
      <c r="N7667" s="329">
        <f t="shared" si="478"/>
        <v>5783.4750610351566</v>
      </c>
      <c r="T7667" s="331">
        <v>0</v>
      </c>
      <c r="U7667" s="328">
        <f>VLOOKUP(C7667,METADATA!$J$5:$Q$29,IF(E7667="HI",2,IF(E7667="LO",6,10))+IF(T7667=1,2,IF(D7667=7,1,(IF(WEEKDAY(B7667)=1,2,IF(WEEKDAY(B7667)=7,1,0))))))</f>
        <v>3</v>
      </c>
      <c r="V7667" s="328">
        <f>VLOOKUP(C7667,METADATA!$A$5:$H$29,IF(E7667="HI",2,IF(E7667="LO",6,10))+IF(T7667=1,2,IF(D7667=7,1,(IF(WEEKDAY(B7667)=1,2,IF(WEEKDAY(B7667)=7,1,0))))))</f>
        <v>3</v>
      </c>
    </row>
    <row r="7668" spans="2:22">
      <c r="B7668" s="318">
        <f t="shared" si="479"/>
        <v>46432</v>
      </c>
      <c r="C7668" s="312">
        <v>8</v>
      </c>
      <c r="D7668" s="368">
        <f>IFERROR((INDEX(METADATA!$T$2:$T$20,MATCH(B7668,METADATA!$S$2:$S$20,0))),0)</f>
        <v>0</v>
      </c>
      <c r="E7668" s="312" t="str">
        <f t="shared" si="476"/>
        <v>LO</v>
      </c>
      <c r="F7668" s="369">
        <f>VLOOKUP(C7668,METADATA!$A$5:$H$29,IF(E7668="HI",2,IF(E7668="LO",6,10))+IF(D7668=1,2,IF(D7668=7,1,(IF(WEEKDAY(B7668)=1,2,IF(WEEKDAY(B7668)=7,1,0))))))</f>
        <v>3</v>
      </c>
      <c r="G7668" s="369">
        <f>VLOOKUP(C7668,METADATA!$J$5:$Q$29,IF(E7668="HI",2,IF(E7668="LO",6,10))+IF(D7668=1,2,IF(D7668=7,1,(IF(WEEKDAY(B7668)=1,2,IF(WEEKDAY(B7668)=7,1,0))))))</f>
        <v>3</v>
      </c>
      <c r="H7668" s="370">
        <v>12819.899963378906</v>
      </c>
      <c r="I7668" s="370">
        <v>9693.7998046875</v>
      </c>
      <c r="M7668" s="371">
        <f t="shared" si="477"/>
        <v>16072.323718877798</v>
      </c>
      <c r="N7668" s="329">
        <f t="shared" si="478"/>
        <v>5847.8298156738283</v>
      </c>
      <c r="T7668" s="331">
        <v>0</v>
      </c>
      <c r="U7668" s="328">
        <f>VLOOKUP(C7668,METADATA!$J$5:$Q$29,IF(E7668="HI",2,IF(E7668="LO",6,10))+IF(T7668=1,2,IF(D7668=7,1,(IF(WEEKDAY(B7668)=1,2,IF(WEEKDAY(B7668)=7,1,0))))))</f>
        <v>3</v>
      </c>
      <c r="V7668" s="328">
        <f>VLOOKUP(C7668,METADATA!$A$5:$H$29,IF(E7668="HI",2,IF(E7668="LO",6,10))+IF(T7668=1,2,IF(D7668=7,1,(IF(WEEKDAY(B7668)=1,2,IF(WEEKDAY(B7668)=7,1,0))))))</f>
        <v>3</v>
      </c>
    </row>
    <row r="7669" spans="2:22">
      <c r="B7669" s="318">
        <f t="shared" si="479"/>
        <v>46432</v>
      </c>
      <c r="C7669" s="312">
        <v>9</v>
      </c>
      <c r="D7669" s="368">
        <f>IFERROR((INDEX(METADATA!$T$2:$T$20,MATCH(B7669,METADATA!$S$2:$S$20,0))),0)</f>
        <v>0</v>
      </c>
      <c r="E7669" s="312" t="str">
        <f t="shared" si="476"/>
        <v>LO</v>
      </c>
      <c r="F7669" s="369">
        <f>VLOOKUP(C7669,METADATA!$A$5:$H$29,IF(E7669="HI",2,IF(E7669="LO",6,10))+IF(D7669=1,2,IF(D7669=7,1,(IF(WEEKDAY(B7669)=1,2,IF(WEEKDAY(B7669)=7,1,0))))))</f>
        <v>3</v>
      </c>
      <c r="G7669" s="369">
        <f>VLOOKUP(C7669,METADATA!$J$5:$Q$29,IF(E7669="HI",2,IF(E7669="LO",6,10))+IF(D7669=1,2,IF(D7669=7,1,(IF(WEEKDAY(B7669)=1,2,IF(WEEKDAY(B7669)=7,1,0))))))</f>
        <v>3</v>
      </c>
      <c r="H7669" s="370">
        <v>12640.300109863281</v>
      </c>
      <c r="I7669" s="370">
        <v>9578.4999389648438</v>
      </c>
      <c r="M7669" s="371">
        <f t="shared" si="477"/>
        <v>15859.534922189843</v>
      </c>
      <c r="N7669" s="329">
        <f t="shared" si="478"/>
        <v>5786.4099060058597</v>
      </c>
      <c r="T7669" s="331">
        <v>0</v>
      </c>
      <c r="U7669" s="328">
        <f>VLOOKUP(C7669,METADATA!$J$5:$Q$29,IF(E7669="HI",2,IF(E7669="LO",6,10))+IF(T7669=1,2,IF(D7669=7,1,(IF(WEEKDAY(B7669)=1,2,IF(WEEKDAY(B7669)=7,1,0))))))</f>
        <v>3</v>
      </c>
      <c r="V7669" s="328">
        <f>VLOOKUP(C7669,METADATA!$A$5:$H$29,IF(E7669="HI",2,IF(E7669="LO",6,10))+IF(T7669=1,2,IF(D7669=7,1,(IF(WEEKDAY(B7669)=1,2,IF(WEEKDAY(B7669)=7,1,0))))))</f>
        <v>3</v>
      </c>
    </row>
    <row r="7670" spans="2:22">
      <c r="B7670" s="318">
        <f t="shared" si="479"/>
        <v>46432</v>
      </c>
      <c r="C7670" s="312">
        <v>10</v>
      </c>
      <c r="D7670" s="368">
        <f>IFERROR((INDEX(METADATA!$T$2:$T$20,MATCH(B7670,METADATA!$S$2:$S$20,0))),0)</f>
        <v>0</v>
      </c>
      <c r="E7670" s="312" t="str">
        <f t="shared" si="476"/>
        <v>LO</v>
      </c>
      <c r="F7670" s="369">
        <f>VLOOKUP(C7670,METADATA!$A$5:$H$29,IF(E7670="HI",2,IF(E7670="LO",6,10))+IF(D7670=1,2,IF(D7670=7,1,(IF(WEEKDAY(B7670)=1,2,IF(WEEKDAY(B7670)=7,1,0))))))</f>
        <v>3</v>
      </c>
      <c r="G7670" s="369">
        <f>VLOOKUP(C7670,METADATA!$J$5:$Q$29,IF(E7670="HI",2,IF(E7670="LO",6,10))+IF(D7670=1,2,IF(D7670=7,1,(IF(WEEKDAY(B7670)=1,2,IF(WEEKDAY(B7670)=7,1,0))))))</f>
        <v>3</v>
      </c>
      <c r="H7670" s="370">
        <v>11291.949768066406</v>
      </c>
      <c r="I7670" s="370">
        <v>8811.3973693847656</v>
      </c>
      <c r="M7670" s="371">
        <f t="shared" si="477"/>
        <v>14323.018298031171</v>
      </c>
      <c r="N7670" s="329">
        <f t="shared" si="478"/>
        <v>5423.8124389648438</v>
      </c>
      <c r="T7670" s="331">
        <v>0</v>
      </c>
      <c r="U7670" s="328">
        <f>VLOOKUP(C7670,METADATA!$J$5:$Q$29,IF(E7670="HI",2,IF(E7670="LO",6,10))+IF(T7670=1,2,IF(D7670=7,1,(IF(WEEKDAY(B7670)=1,2,IF(WEEKDAY(B7670)=7,1,0))))))</f>
        <v>3</v>
      </c>
      <c r="V7670" s="328">
        <f>VLOOKUP(C7670,METADATA!$A$5:$H$29,IF(E7670="HI",2,IF(E7670="LO",6,10))+IF(T7670=1,2,IF(D7670=7,1,(IF(WEEKDAY(B7670)=1,2,IF(WEEKDAY(B7670)=7,1,0))))))</f>
        <v>3</v>
      </c>
    </row>
    <row r="7671" spans="2:22">
      <c r="B7671" s="318">
        <f t="shared" si="479"/>
        <v>46432</v>
      </c>
      <c r="C7671" s="312">
        <v>11</v>
      </c>
      <c r="D7671" s="368">
        <f>IFERROR((INDEX(METADATA!$T$2:$T$20,MATCH(B7671,METADATA!$S$2:$S$20,0))),0)</f>
        <v>0</v>
      </c>
      <c r="E7671" s="312" t="str">
        <f t="shared" si="476"/>
        <v>LO</v>
      </c>
      <c r="F7671" s="369">
        <f>VLOOKUP(C7671,METADATA!$A$5:$H$29,IF(E7671="HI",2,IF(E7671="LO",6,10))+IF(D7671=1,2,IF(D7671=7,1,(IF(WEEKDAY(B7671)=1,2,IF(WEEKDAY(B7671)=7,1,0))))))</f>
        <v>3</v>
      </c>
      <c r="G7671" s="369">
        <f>VLOOKUP(C7671,METADATA!$J$5:$Q$29,IF(E7671="HI",2,IF(E7671="LO",6,10))+IF(D7671=1,2,IF(D7671=7,1,(IF(WEEKDAY(B7671)=1,2,IF(WEEKDAY(B7671)=7,1,0))))))</f>
        <v>3</v>
      </c>
      <c r="H7671" s="370">
        <v>10707.974670410156</v>
      </c>
      <c r="I7671" s="370">
        <v>8359.8025512695313</v>
      </c>
      <c r="M7671" s="371">
        <f t="shared" si="477"/>
        <v>13584.808435835894</v>
      </c>
      <c r="N7671" s="329">
        <f t="shared" si="478"/>
        <v>5147.4101501464847</v>
      </c>
      <c r="T7671" s="331">
        <v>0</v>
      </c>
      <c r="U7671" s="328">
        <f>VLOOKUP(C7671,METADATA!$J$5:$Q$29,IF(E7671="HI",2,IF(E7671="LO",6,10))+IF(T7671=1,2,IF(D7671=7,1,(IF(WEEKDAY(B7671)=1,2,IF(WEEKDAY(B7671)=7,1,0))))))</f>
        <v>3</v>
      </c>
      <c r="V7671" s="328">
        <f>VLOOKUP(C7671,METADATA!$A$5:$H$29,IF(E7671="HI",2,IF(E7671="LO",6,10))+IF(T7671=1,2,IF(D7671=7,1,(IF(WEEKDAY(B7671)=1,2,IF(WEEKDAY(B7671)=7,1,0))))))</f>
        <v>3</v>
      </c>
    </row>
    <row r="7672" spans="2:22">
      <c r="B7672" s="318">
        <f t="shared" si="479"/>
        <v>46432</v>
      </c>
      <c r="C7672" s="312">
        <v>12</v>
      </c>
      <c r="D7672" s="368">
        <f>IFERROR((INDEX(METADATA!$T$2:$T$20,MATCH(B7672,METADATA!$S$2:$S$20,0))),0)</f>
        <v>0</v>
      </c>
      <c r="E7672" s="312" t="str">
        <f t="shared" si="476"/>
        <v>LO</v>
      </c>
      <c r="F7672" s="369">
        <f>VLOOKUP(C7672,METADATA!$A$5:$H$29,IF(E7672="HI",2,IF(E7672="LO",6,10))+IF(D7672=1,2,IF(D7672=7,1,(IF(WEEKDAY(B7672)=1,2,IF(WEEKDAY(B7672)=7,1,0))))))</f>
        <v>3</v>
      </c>
      <c r="G7672" s="369">
        <f>VLOOKUP(C7672,METADATA!$J$5:$Q$29,IF(E7672="HI",2,IF(E7672="LO",6,10))+IF(D7672=1,2,IF(D7672=7,1,(IF(WEEKDAY(B7672)=1,2,IF(WEEKDAY(B7672)=7,1,0))))))</f>
        <v>3</v>
      </c>
      <c r="H7672" s="370">
        <v>9259.7749633789063</v>
      </c>
      <c r="I7672" s="370">
        <v>7857.4501953125</v>
      </c>
      <c r="M7672" s="371">
        <f t="shared" si="477"/>
        <v>12144.256088548003</v>
      </c>
      <c r="N7672" s="329">
        <f t="shared" si="478"/>
        <v>5079.5177062988278</v>
      </c>
      <c r="T7672" s="331">
        <v>0</v>
      </c>
      <c r="U7672" s="328">
        <f>VLOOKUP(C7672,METADATA!$J$5:$Q$29,IF(E7672="HI",2,IF(E7672="LO",6,10))+IF(T7672=1,2,IF(D7672=7,1,(IF(WEEKDAY(B7672)=1,2,IF(WEEKDAY(B7672)=7,1,0))))))</f>
        <v>3</v>
      </c>
      <c r="V7672" s="328">
        <f>VLOOKUP(C7672,METADATA!$A$5:$H$29,IF(E7672="HI",2,IF(E7672="LO",6,10))+IF(T7672=1,2,IF(D7672=7,1,(IF(WEEKDAY(B7672)=1,2,IF(WEEKDAY(B7672)=7,1,0))))))</f>
        <v>3</v>
      </c>
    </row>
    <row r="7673" spans="2:22">
      <c r="B7673" s="318">
        <f t="shared" si="479"/>
        <v>46432</v>
      </c>
      <c r="C7673" s="312">
        <v>13</v>
      </c>
      <c r="D7673" s="368">
        <f>IFERROR((INDEX(METADATA!$T$2:$T$20,MATCH(B7673,METADATA!$S$2:$S$20,0))),0)</f>
        <v>0</v>
      </c>
      <c r="E7673" s="312" t="str">
        <f t="shared" si="476"/>
        <v>LO</v>
      </c>
      <c r="F7673" s="369">
        <f>VLOOKUP(C7673,METADATA!$A$5:$H$29,IF(E7673="HI",2,IF(E7673="LO",6,10))+IF(D7673=1,2,IF(D7673=7,1,(IF(WEEKDAY(B7673)=1,2,IF(WEEKDAY(B7673)=7,1,0))))))</f>
        <v>3</v>
      </c>
      <c r="G7673" s="369">
        <f>VLOOKUP(C7673,METADATA!$J$5:$Q$29,IF(E7673="HI",2,IF(E7673="LO",6,10))+IF(D7673=1,2,IF(D7673=7,1,(IF(WEEKDAY(B7673)=1,2,IF(WEEKDAY(B7673)=7,1,0))))))</f>
        <v>3</v>
      </c>
      <c r="H7673" s="370">
        <v>7734.574951171875</v>
      </c>
      <c r="I7673" s="370">
        <v>6956.9998779296875</v>
      </c>
      <c r="M7673" s="371">
        <f t="shared" si="477"/>
        <v>10403.052291361853</v>
      </c>
      <c r="N7673" s="329">
        <f t="shared" si="478"/>
        <v>4636.6273925781252</v>
      </c>
      <c r="T7673" s="331">
        <v>0</v>
      </c>
      <c r="U7673" s="328">
        <f>VLOOKUP(C7673,METADATA!$J$5:$Q$29,IF(E7673="HI",2,IF(E7673="LO",6,10))+IF(T7673=1,2,IF(D7673=7,1,(IF(WEEKDAY(B7673)=1,2,IF(WEEKDAY(B7673)=7,1,0))))))</f>
        <v>3</v>
      </c>
      <c r="V7673" s="328">
        <f>VLOOKUP(C7673,METADATA!$A$5:$H$29,IF(E7673="HI",2,IF(E7673="LO",6,10))+IF(T7673=1,2,IF(D7673=7,1,(IF(WEEKDAY(B7673)=1,2,IF(WEEKDAY(B7673)=7,1,0))))))</f>
        <v>3</v>
      </c>
    </row>
    <row r="7674" spans="2:22">
      <c r="B7674" s="318">
        <f t="shared" si="479"/>
        <v>46432</v>
      </c>
      <c r="C7674" s="312">
        <v>14</v>
      </c>
      <c r="D7674" s="368">
        <f>IFERROR((INDEX(METADATA!$T$2:$T$20,MATCH(B7674,METADATA!$S$2:$S$20,0))),0)</f>
        <v>0</v>
      </c>
      <c r="E7674" s="312" t="str">
        <f t="shared" si="476"/>
        <v>LO</v>
      </c>
      <c r="F7674" s="369">
        <f>VLOOKUP(C7674,METADATA!$A$5:$H$29,IF(E7674="HI",2,IF(E7674="LO",6,10))+IF(D7674=1,2,IF(D7674=7,1,(IF(WEEKDAY(B7674)=1,2,IF(WEEKDAY(B7674)=7,1,0))))))</f>
        <v>3</v>
      </c>
      <c r="G7674" s="369">
        <f>VLOOKUP(C7674,METADATA!$J$5:$Q$29,IF(E7674="HI",2,IF(E7674="LO",6,10))+IF(D7674=1,2,IF(D7674=7,1,(IF(WEEKDAY(B7674)=1,2,IF(WEEKDAY(B7674)=7,1,0))))))</f>
        <v>3</v>
      </c>
      <c r="H7674" s="370">
        <v>8323.5698852539063</v>
      </c>
      <c r="I7674" s="370">
        <v>7273.5825500488281</v>
      </c>
      <c r="M7674" s="371">
        <f t="shared" si="477"/>
        <v>11053.814669474088</v>
      </c>
      <c r="N7674" s="329">
        <f t="shared" si="478"/>
        <v>4776.511584472657</v>
      </c>
      <c r="T7674" s="331">
        <v>0</v>
      </c>
      <c r="U7674" s="328">
        <f>VLOOKUP(C7674,METADATA!$J$5:$Q$29,IF(E7674="HI",2,IF(E7674="LO",6,10))+IF(T7674=1,2,IF(D7674=7,1,(IF(WEEKDAY(B7674)=1,2,IF(WEEKDAY(B7674)=7,1,0))))))</f>
        <v>3</v>
      </c>
      <c r="V7674" s="328">
        <f>VLOOKUP(C7674,METADATA!$A$5:$H$29,IF(E7674="HI",2,IF(E7674="LO",6,10))+IF(T7674=1,2,IF(D7674=7,1,(IF(WEEKDAY(B7674)=1,2,IF(WEEKDAY(B7674)=7,1,0))))))</f>
        <v>3</v>
      </c>
    </row>
    <row r="7675" spans="2:22">
      <c r="B7675" s="318">
        <f t="shared" si="479"/>
        <v>46432</v>
      </c>
      <c r="C7675" s="312">
        <v>15</v>
      </c>
      <c r="D7675" s="368">
        <f>IFERROR((INDEX(METADATA!$T$2:$T$20,MATCH(B7675,METADATA!$S$2:$S$20,0))),0)</f>
        <v>0</v>
      </c>
      <c r="E7675" s="312" t="str">
        <f t="shared" si="476"/>
        <v>LO</v>
      </c>
      <c r="F7675" s="369">
        <f>VLOOKUP(C7675,METADATA!$A$5:$H$29,IF(E7675="HI",2,IF(E7675="LO",6,10))+IF(D7675=1,2,IF(D7675=7,1,(IF(WEEKDAY(B7675)=1,2,IF(WEEKDAY(B7675)=7,1,0))))))</f>
        <v>3</v>
      </c>
      <c r="G7675" s="369">
        <f>VLOOKUP(C7675,METADATA!$J$5:$Q$29,IF(E7675="HI",2,IF(E7675="LO",6,10))+IF(D7675=1,2,IF(D7675=7,1,(IF(WEEKDAY(B7675)=1,2,IF(WEEKDAY(B7675)=7,1,0))))))</f>
        <v>3</v>
      </c>
      <c r="H7675" s="370">
        <v>12737.699951171875</v>
      </c>
      <c r="I7675" s="370">
        <v>9624.5499267578125</v>
      </c>
      <c r="M7675" s="371">
        <f t="shared" si="477"/>
        <v>15964.991742520187</v>
      </c>
      <c r="N7675" s="329">
        <f t="shared" si="478"/>
        <v>5803.2399414062502</v>
      </c>
      <c r="T7675" s="331">
        <v>0</v>
      </c>
      <c r="U7675" s="328">
        <f>VLOOKUP(C7675,METADATA!$J$5:$Q$29,IF(E7675="HI",2,IF(E7675="LO",6,10))+IF(T7675=1,2,IF(D7675=7,1,(IF(WEEKDAY(B7675)=1,2,IF(WEEKDAY(B7675)=7,1,0))))))</f>
        <v>3</v>
      </c>
      <c r="V7675" s="328">
        <f>VLOOKUP(C7675,METADATA!$A$5:$H$29,IF(E7675="HI",2,IF(E7675="LO",6,10))+IF(T7675=1,2,IF(D7675=7,1,(IF(WEEKDAY(B7675)=1,2,IF(WEEKDAY(B7675)=7,1,0))))))</f>
        <v>3</v>
      </c>
    </row>
    <row r="7676" spans="2:22">
      <c r="B7676" s="318">
        <f t="shared" si="479"/>
        <v>46432</v>
      </c>
      <c r="C7676" s="312">
        <v>16</v>
      </c>
      <c r="D7676" s="368">
        <f>IFERROR((INDEX(METADATA!$T$2:$T$20,MATCH(B7676,METADATA!$S$2:$S$20,0))),0)</f>
        <v>0</v>
      </c>
      <c r="E7676" s="312" t="str">
        <f t="shared" si="476"/>
        <v>LO</v>
      </c>
      <c r="F7676" s="369">
        <f>VLOOKUP(C7676,METADATA!$A$5:$H$29,IF(E7676="HI",2,IF(E7676="LO",6,10))+IF(D7676=1,2,IF(D7676=7,1,(IF(WEEKDAY(B7676)=1,2,IF(WEEKDAY(B7676)=7,1,0))))))</f>
        <v>3</v>
      </c>
      <c r="G7676" s="369">
        <f>VLOOKUP(C7676,METADATA!$J$5:$Q$29,IF(E7676="HI",2,IF(E7676="LO",6,10))+IF(D7676=1,2,IF(D7676=7,1,(IF(WEEKDAY(B7676)=1,2,IF(WEEKDAY(B7676)=7,1,0))))))</f>
        <v>3</v>
      </c>
      <c r="H7676" s="370">
        <v>12820.649719238281</v>
      </c>
      <c r="I7676" s="370">
        <v>9548.574951171875</v>
      </c>
      <c r="M7676" s="371">
        <f t="shared" si="477"/>
        <v>15985.754371363011</v>
      </c>
      <c r="N7676" s="329">
        <f t="shared" si="478"/>
        <v>5702.3800354003906</v>
      </c>
      <c r="T7676" s="331">
        <v>0</v>
      </c>
      <c r="U7676" s="328">
        <f>VLOOKUP(C7676,METADATA!$J$5:$Q$29,IF(E7676="HI",2,IF(E7676="LO",6,10))+IF(T7676=1,2,IF(D7676=7,1,(IF(WEEKDAY(B7676)=1,2,IF(WEEKDAY(B7676)=7,1,0))))))</f>
        <v>3</v>
      </c>
      <c r="V7676" s="328">
        <f>VLOOKUP(C7676,METADATA!$A$5:$H$29,IF(E7676="HI",2,IF(E7676="LO",6,10))+IF(T7676=1,2,IF(D7676=7,1,(IF(WEEKDAY(B7676)=1,2,IF(WEEKDAY(B7676)=7,1,0))))))</f>
        <v>3</v>
      </c>
    </row>
    <row r="7677" spans="2:22">
      <c r="B7677" s="318">
        <f t="shared" si="479"/>
        <v>46432</v>
      </c>
      <c r="C7677" s="312">
        <v>17</v>
      </c>
      <c r="D7677" s="368">
        <f>IFERROR((INDEX(METADATA!$T$2:$T$20,MATCH(B7677,METADATA!$S$2:$S$20,0))),0)</f>
        <v>0</v>
      </c>
      <c r="E7677" s="312" t="str">
        <f t="shared" si="476"/>
        <v>LO</v>
      </c>
      <c r="F7677" s="369">
        <f>VLOOKUP(C7677,METADATA!$A$5:$H$29,IF(E7677="HI",2,IF(E7677="LO",6,10))+IF(D7677=1,2,IF(D7677=7,1,(IF(WEEKDAY(B7677)=1,2,IF(WEEKDAY(B7677)=7,1,0))))))</f>
        <v>3</v>
      </c>
      <c r="G7677" s="369">
        <f>VLOOKUP(C7677,METADATA!$J$5:$Q$29,IF(E7677="HI",2,IF(E7677="LO",6,10))+IF(D7677=1,2,IF(D7677=7,1,(IF(WEEKDAY(B7677)=1,2,IF(WEEKDAY(B7677)=7,1,0))))))</f>
        <v>3</v>
      </c>
      <c r="H7677" s="370">
        <v>11159.050048828125</v>
      </c>
      <c r="I7677" s="370">
        <v>8733.2750854492188</v>
      </c>
      <c r="M7677" s="371">
        <f t="shared" si="477"/>
        <v>14170.197306684866</v>
      </c>
      <c r="N7677" s="329">
        <f t="shared" si="478"/>
        <v>5385.5600708007814</v>
      </c>
      <c r="T7677" s="331">
        <v>0</v>
      </c>
      <c r="U7677" s="328">
        <f>VLOOKUP(C7677,METADATA!$J$5:$Q$29,IF(E7677="HI",2,IF(E7677="LO",6,10))+IF(T7677=1,2,IF(D7677=7,1,(IF(WEEKDAY(B7677)=1,2,IF(WEEKDAY(B7677)=7,1,0))))))</f>
        <v>3</v>
      </c>
      <c r="V7677" s="328">
        <f>VLOOKUP(C7677,METADATA!$A$5:$H$29,IF(E7677="HI",2,IF(E7677="LO",6,10))+IF(T7677=1,2,IF(D7677=7,1,(IF(WEEKDAY(B7677)=1,2,IF(WEEKDAY(B7677)=7,1,0))))))</f>
        <v>3</v>
      </c>
    </row>
    <row r="7678" spans="2:22">
      <c r="B7678" s="318">
        <f t="shared" si="479"/>
        <v>46432</v>
      </c>
      <c r="C7678" s="312">
        <v>18</v>
      </c>
      <c r="D7678" s="368">
        <f>IFERROR((INDEX(METADATA!$T$2:$T$20,MATCH(B7678,METADATA!$S$2:$S$20,0))),0)</f>
        <v>0</v>
      </c>
      <c r="E7678" s="312" t="str">
        <f t="shared" si="476"/>
        <v>LO</v>
      </c>
      <c r="F7678" s="369">
        <f>VLOOKUP(C7678,METADATA!$A$5:$H$29,IF(E7678="HI",2,IF(E7678="LO",6,10))+IF(D7678=1,2,IF(D7678=7,1,(IF(WEEKDAY(B7678)=1,2,IF(WEEKDAY(B7678)=7,1,0))))))</f>
        <v>2</v>
      </c>
      <c r="G7678" s="369">
        <f>VLOOKUP(C7678,METADATA!$J$5:$Q$29,IF(E7678="HI",2,IF(E7678="LO",6,10))+IF(D7678=1,2,IF(D7678=7,1,(IF(WEEKDAY(B7678)=1,2,IF(WEEKDAY(B7678)=7,1,0))))))</f>
        <v>2</v>
      </c>
      <c r="H7678" s="370">
        <v>11114.775085449219</v>
      </c>
      <c r="I7678" s="370">
        <v>8818.2749633789063</v>
      </c>
      <c r="M7678" s="371">
        <f t="shared" si="477"/>
        <v>14188.030114497147</v>
      </c>
      <c r="N7678" s="329">
        <f t="shared" si="478"/>
        <v>5483.8424377441406</v>
      </c>
      <c r="T7678" s="331">
        <v>0</v>
      </c>
      <c r="U7678" s="328">
        <f>VLOOKUP(C7678,METADATA!$J$5:$Q$29,IF(E7678="HI",2,IF(E7678="LO",6,10))+IF(T7678=1,2,IF(D7678=7,1,(IF(WEEKDAY(B7678)=1,2,IF(WEEKDAY(B7678)=7,1,0))))))</f>
        <v>2</v>
      </c>
      <c r="V7678" s="328">
        <f>VLOOKUP(C7678,METADATA!$A$5:$H$29,IF(E7678="HI",2,IF(E7678="LO",6,10))+IF(T7678=1,2,IF(D7678=7,1,(IF(WEEKDAY(B7678)=1,2,IF(WEEKDAY(B7678)=7,1,0))))))</f>
        <v>2</v>
      </c>
    </row>
    <row r="7679" spans="2:22">
      <c r="B7679" s="318">
        <f t="shared" si="479"/>
        <v>46432</v>
      </c>
      <c r="C7679" s="312">
        <v>19</v>
      </c>
      <c r="D7679" s="368">
        <f>IFERROR((INDEX(METADATA!$T$2:$T$20,MATCH(B7679,METADATA!$S$2:$S$20,0))),0)</f>
        <v>0</v>
      </c>
      <c r="E7679" s="312" t="str">
        <f t="shared" si="476"/>
        <v>LO</v>
      </c>
      <c r="F7679" s="369">
        <f>VLOOKUP(C7679,METADATA!$A$5:$H$29,IF(E7679="HI",2,IF(E7679="LO",6,10))+IF(D7679=1,2,IF(D7679=7,1,(IF(WEEKDAY(B7679)=1,2,IF(WEEKDAY(B7679)=7,1,0))))))</f>
        <v>2</v>
      </c>
      <c r="G7679" s="369">
        <f>VLOOKUP(C7679,METADATA!$J$5:$Q$29,IF(E7679="HI",2,IF(E7679="LO",6,10))+IF(D7679=1,2,IF(D7679=7,1,(IF(WEEKDAY(B7679)=1,2,IF(WEEKDAY(B7679)=7,1,0))))))</f>
        <v>2</v>
      </c>
      <c r="H7679" s="370">
        <v>11933.824768066406</v>
      </c>
      <c r="I7679" s="370">
        <v>9362.94970703125</v>
      </c>
      <c r="M7679" s="371">
        <f t="shared" si="477"/>
        <v>15168.421170685886</v>
      </c>
      <c r="N7679" s="329">
        <f t="shared" si="478"/>
        <v>5782.8022766113281</v>
      </c>
      <c r="T7679" s="331">
        <v>0</v>
      </c>
      <c r="U7679" s="328">
        <f>VLOOKUP(C7679,METADATA!$J$5:$Q$29,IF(E7679="HI",2,IF(E7679="LO",6,10))+IF(T7679=1,2,IF(D7679=7,1,(IF(WEEKDAY(B7679)=1,2,IF(WEEKDAY(B7679)=7,1,0))))))</f>
        <v>2</v>
      </c>
      <c r="V7679" s="328">
        <f>VLOOKUP(C7679,METADATA!$A$5:$H$29,IF(E7679="HI",2,IF(E7679="LO",6,10))+IF(T7679=1,2,IF(D7679=7,1,(IF(WEEKDAY(B7679)=1,2,IF(WEEKDAY(B7679)=7,1,0))))))</f>
        <v>2</v>
      </c>
    </row>
    <row r="7680" spans="2:22">
      <c r="B7680" s="318">
        <f t="shared" si="479"/>
        <v>46432</v>
      </c>
      <c r="C7680" s="312">
        <v>20</v>
      </c>
      <c r="D7680" s="368">
        <f>IFERROR((INDEX(METADATA!$T$2:$T$20,MATCH(B7680,METADATA!$S$2:$S$20,0))),0)</f>
        <v>0</v>
      </c>
      <c r="E7680" s="312" t="str">
        <f t="shared" si="476"/>
        <v>LO</v>
      </c>
      <c r="F7680" s="369">
        <f>VLOOKUP(C7680,METADATA!$A$5:$H$29,IF(E7680="HI",2,IF(E7680="LO",6,10))+IF(D7680=1,2,IF(D7680=7,1,(IF(WEEKDAY(B7680)=1,2,IF(WEEKDAY(B7680)=7,1,0))))))</f>
        <v>3</v>
      </c>
      <c r="G7680" s="369">
        <f>VLOOKUP(C7680,METADATA!$J$5:$Q$29,IF(E7680="HI",2,IF(E7680="LO",6,10))+IF(D7680=1,2,IF(D7680=7,1,(IF(WEEKDAY(B7680)=1,2,IF(WEEKDAY(B7680)=7,1,0))))))</f>
        <v>3</v>
      </c>
      <c r="H7680" s="370">
        <v>12907.299926757813</v>
      </c>
      <c r="I7680" s="370">
        <v>9800.5252075195313</v>
      </c>
      <c r="M7680" s="371">
        <f t="shared" si="477"/>
        <v>16206.43963807313</v>
      </c>
      <c r="N7680" s="329">
        <f t="shared" si="478"/>
        <v>5928.3352294921879</v>
      </c>
      <c r="T7680" s="331">
        <v>0</v>
      </c>
      <c r="U7680" s="328">
        <f>VLOOKUP(C7680,METADATA!$J$5:$Q$29,IF(E7680="HI",2,IF(E7680="LO",6,10))+IF(T7680=1,2,IF(D7680=7,1,(IF(WEEKDAY(B7680)=1,2,IF(WEEKDAY(B7680)=7,1,0))))))</f>
        <v>3</v>
      </c>
      <c r="V7680" s="328">
        <f>VLOOKUP(C7680,METADATA!$A$5:$H$29,IF(E7680="HI",2,IF(E7680="LO",6,10))+IF(T7680=1,2,IF(D7680=7,1,(IF(WEEKDAY(B7680)=1,2,IF(WEEKDAY(B7680)=7,1,0))))))</f>
        <v>3</v>
      </c>
    </row>
    <row r="7681" spans="2:22">
      <c r="B7681" s="318">
        <f t="shared" si="479"/>
        <v>46432</v>
      </c>
      <c r="C7681" s="312">
        <v>21</v>
      </c>
      <c r="D7681" s="368">
        <f>IFERROR((INDEX(METADATA!$T$2:$T$20,MATCH(B7681,METADATA!$S$2:$S$20,0))),0)</f>
        <v>0</v>
      </c>
      <c r="E7681" s="312" t="str">
        <f t="shared" si="476"/>
        <v>LO</v>
      </c>
      <c r="F7681" s="369">
        <f>VLOOKUP(C7681,METADATA!$A$5:$H$29,IF(E7681="HI",2,IF(E7681="LO",6,10))+IF(D7681=1,2,IF(D7681=7,1,(IF(WEEKDAY(B7681)=1,2,IF(WEEKDAY(B7681)=7,1,0))))))</f>
        <v>3</v>
      </c>
      <c r="G7681" s="369">
        <f>VLOOKUP(C7681,METADATA!$J$5:$Q$29,IF(E7681="HI",2,IF(E7681="LO",6,10))+IF(D7681=1,2,IF(D7681=7,1,(IF(WEEKDAY(B7681)=1,2,IF(WEEKDAY(B7681)=7,1,0))))))</f>
        <v>3</v>
      </c>
      <c r="H7681" s="370">
        <v>11889.275390625</v>
      </c>
      <c r="I7681" s="370">
        <v>9219.02490234375</v>
      </c>
      <c r="M7681" s="371">
        <f t="shared" si="477"/>
        <v>15044.776152012213</v>
      </c>
      <c r="N7681" s="329">
        <f t="shared" si="478"/>
        <v>5652.2422851562496</v>
      </c>
      <c r="T7681" s="331">
        <v>0</v>
      </c>
      <c r="U7681" s="328">
        <f>VLOOKUP(C7681,METADATA!$J$5:$Q$29,IF(E7681="HI",2,IF(E7681="LO",6,10))+IF(T7681=1,2,IF(D7681=7,1,(IF(WEEKDAY(B7681)=1,2,IF(WEEKDAY(B7681)=7,1,0))))))</f>
        <v>3</v>
      </c>
      <c r="V7681" s="328">
        <f>VLOOKUP(C7681,METADATA!$A$5:$H$29,IF(E7681="HI",2,IF(E7681="LO",6,10))+IF(T7681=1,2,IF(D7681=7,1,(IF(WEEKDAY(B7681)=1,2,IF(WEEKDAY(B7681)=7,1,0))))))</f>
        <v>3</v>
      </c>
    </row>
    <row r="7682" spans="2:22">
      <c r="B7682" s="318">
        <f t="shared" si="479"/>
        <v>46432</v>
      </c>
      <c r="C7682" s="312">
        <v>22</v>
      </c>
      <c r="D7682" s="368">
        <f>IFERROR((INDEX(METADATA!$T$2:$T$20,MATCH(B7682,METADATA!$S$2:$S$20,0))),0)</f>
        <v>0</v>
      </c>
      <c r="E7682" s="312" t="str">
        <f t="shared" si="476"/>
        <v>LO</v>
      </c>
      <c r="F7682" s="369">
        <f>VLOOKUP(C7682,METADATA!$A$5:$H$29,IF(E7682="HI",2,IF(E7682="LO",6,10))+IF(D7682=1,2,IF(D7682=7,1,(IF(WEEKDAY(B7682)=1,2,IF(WEEKDAY(B7682)=7,1,0))))))</f>
        <v>3</v>
      </c>
      <c r="G7682" s="369">
        <f>VLOOKUP(C7682,METADATA!$J$5:$Q$29,IF(E7682="HI",2,IF(E7682="LO",6,10))+IF(D7682=1,2,IF(D7682=7,1,(IF(WEEKDAY(B7682)=1,2,IF(WEEKDAY(B7682)=7,1,0))))))</f>
        <v>3</v>
      </c>
      <c r="H7682" s="370">
        <v>10104.10009765625</v>
      </c>
      <c r="I7682" s="370">
        <v>8224.2300109863281</v>
      </c>
      <c r="M7682" s="371">
        <f t="shared" si="477"/>
        <v>13028.077297017593</v>
      </c>
      <c r="N7682" s="329">
        <f t="shared" si="478"/>
        <v>5192.9999816894533</v>
      </c>
      <c r="T7682" s="331">
        <v>0</v>
      </c>
      <c r="U7682" s="328">
        <f>VLOOKUP(C7682,METADATA!$J$5:$Q$29,IF(E7682="HI",2,IF(E7682="LO",6,10))+IF(T7682=1,2,IF(D7682=7,1,(IF(WEEKDAY(B7682)=1,2,IF(WEEKDAY(B7682)=7,1,0))))))</f>
        <v>3</v>
      </c>
      <c r="V7682" s="328">
        <f>VLOOKUP(C7682,METADATA!$A$5:$H$29,IF(E7682="HI",2,IF(E7682="LO",6,10))+IF(T7682=1,2,IF(D7682=7,1,(IF(WEEKDAY(B7682)=1,2,IF(WEEKDAY(B7682)=7,1,0))))))</f>
        <v>3</v>
      </c>
    </row>
    <row r="7683" spans="2:22">
      <c r="B7683" s="318">
        <f t="shared" si="479"/>
        <v>46432</v>
      </c>
      <c r="C7683" s="312">
        <v>23</v>
      </c>
      <c r="D7683" s="368">
        <f>IFERROR((INDEX(METADATA!$T$2:$T$20,MATCH(B7683,METADATA!$S$2:$S$20,0))),0)</f>
        <v>0</v>
      </c>
      <c r="E7683" s="312" t="str">
        <f t="shared" si="476"/>
        <v>LO</v>
      </c>
      <c r="F7683" s="369">
        <f>VLOOKUP(C7683,METADATA!$A$5:$H$29,IF(E7683="HI",2,IF(E7683="LO",6,10))+IF(D7683=1,2,IF(D7683=7,1,(IF(WEEKDAY(B7683)=1,2,IF(WEEKDAY(B7683)=7,1,0))))))</f>
        <v>3</v>
      </c>
      <c r="G7683" s="369">
        <f>VLOOKUP(C7683,METADATA!$J$5:$Q$29,IF(E7683="HI",2,IF(E7683="LO",6,10))+IF(D7683=1,2,IF(D7683=7,1,(IF(WEEKDAY(B7683)=1,2,IF(WEEKDAY(B7683)=7,1,0))))))</f>
        <v>3</v>
      </c>
      <c r="H7683" s="370">
        <v>12254.62548828125</v>
      </c>
      <c r="I7683" s="370">
        <v>9459.25</v>
      </c>
      <c r="M7683" s="371">
        <f t="shared" si="477"/>
        <v>15480.738238873897</v>
      </c>
      <c r="N7683" s="329">
        <f t="shared" si="478"/>
        <v>5782.8623535156257</v>
      </c>
      <c r="T7683" s="331">
        <v>0</v>
      </c>
      <c r="U7683" s="328">
        <f>VLOOKUP(C7683,METADATA!$J$5:$Q$29,IF(E7683="HI",2,IF(E7683="LO",6,10))+IF(T7683=1,2,IF(D7683=7,1,(IF(WEEKDAY(B7683)=1,2,IF(WEEKDAY(B7683)=7,1,0))))))</f>
        <v>3</v>
      </c>
      <c r="V7683" s="328">
        <f>VLOOKUP(C7683,METADATA!$A$5:$H$29,IF(E7683="HI",2,IF(E7683="LO",6,10))+IF(T7683=1,2,IF(D7683=7,1,(IF(WEEKDAY(B7683)=1,2,IF(WEEKDAY(B7683)=7,1,0))))))</f>
        <v>3</v>
      </c>
    </row>
    <row r="7684" spans="2:22">
      <c r="B7684" s="318">
        <f t="shared" si="479"/>
        <v>46433</v>
      </c>
      <c r="C7684" s="312">
        <v>0</v>
      </c>
      <c r="D7684" s="368">
        <f>IFERROR((INDEX(METADATA!$T$2:$T$20,MATCH(B7684,METADATA!$S$2:$S$20,0))),0)</f>
        <v>0</v>
      </c>
      <c r="E7684" s="312" t="str">
        <f t="shared" ref="E7684:E7747" si="480">IF(B7684="","",IF(AND(MONTH(B7684)&gt;=MONTH($Z$9),MONTH(B7684)&lt;=MONTH($Z$11)),"HI","LO"))</f>
        <v>LO</v>
      </c>
      <c r="F7684" s="369">
        <f>VLOOKUP(C7684,METADATA!$A$5:$H$29,IF(E7684="HI",2,IF(E7684="LO",6,10))+IF(D7684=1,2,IF(D7684=7,1,(IF(WEEKDAY(B7684)=1,2,IF(WEEKDAY(B7684)=7,1,0))))))</f>
        <v>3</v>
      </c>
      <c r="G7684" s="369">
        <f>VLOOKUP(C7684,METADATA!$J$5:$Q$29,IF(E7684="HI",2,IF(E7684="LO",6,10))+IF(D7684=1,2,IF(D7684=7,1,(IF(WEEKDAY(B7684)=1,2,IF(WEEKDAY(B7684)=7,1,0))))))</f>
        <v>3</v>
      </c>
      <c r="H7684" s="370">
        <v>12785.699584960938</v>
      </c>
      <c r="I7684" s="370">
        <v>9727.8751831054688</v>
      </c>
      <c r="M7684" s="371">
        <f t="shared" ref="M7684:M7747" si="481">SQRT(H7684^2+I7684^2)</f>
        <v>16065.667413928048</v>
      </c>
      <c r="N7684" s="329">
        <f t="shared" ref="N7684:N7747" si="482">IF(H7684=0,0,(IF(I7684-(0.3*H7684)&lt;0,0,(I7684-(0.3*H7684)))))</f>
        <v>5892.1653076171879</v>
      </c>
      <c r="T7684" s="331">
        <v>0</v>
      </c>
      <c r="U7684" s="328">
        <f>VLOOKUP(C7684,METADATA!$J$5:$Q$29,IF(E7684="HI",2,IF(E7684="LO",6,10))+IF(T7684=1,2,IF(D7684=7,1,(IF(WEEKDAY(B7684)=1,2,IF(WEEKDAY(B7684)=7,1,0))))))</f>
        <v>3</v>
      </c>
      <c r="V7684" s="328">
        <f>VLOOKUP(C7684,METADATA!$A$5:$H$29,IF(E7684="HI",2,IF(E7684="LO",6,10))+IF(T7684=1,2,IF(D7684=7,1,(IF(WEEKDAY(B7684)=1,2,IF(WEEKDAY(B7684)=7,1,0))))))</f>
        <v>3</v>
      </c>
    </row>
    <row r="7685" spans="2:22">
      <c r="B7685" s="318">
        <f t="shared" si="479"/>
        <v>46433</v>
      </c>
      <c r="C7685" s="312">
        <v>1</v>
      </c>
      <c r="D7685" s="368">
        <f>IFERROR((INDEX(METADATA!$T$2:$T$20,MATCH(B7685,METADATA!$S$2:$S$20,0))),0)</f>
        <v>0</v>
      </c>
      <c r="E7685" s="312" t="str">
        <f t="shared" si="480"/>
        <v>LO</v>
      </c>
      <c r="F7685" s="369">
        <f>VLOOKUP(C7685,METADATA!$A$5:$H$29,IF(E7685="HI",2,IF(E7685="LO",6,10))+IF(D7685=1,2,IF(D7685=7,1,(IF(WEEKDAY(B7685)=1,2,IF(WEEKDAY(B7685)=7,1,0))))))</f>
        <v>3</v>
      </c>
      <c r="G7685" s="369">
        <f>VLOOKUP(C7685,METADATA!$J$5:$Q$29,IF(E7685="HI",2,IF(E7685="LO",6,10))+IF(D7685=1,2,IF(D7685=7,1,(IF(WEEKDAY(B7685)=1,2,IF(WEEKDAY(B7685)=7,1,0))))))</f>
        <v>3</v>
      </c>
      <c r="H7685" s="370">
        <v>12613.099853515625</v>
      </c>
      <c r="I7685" s="370">
        <v>9497.4549560546875</v>
      </c>
      <c r="M7685" s="371">
        <f t="shared" si="481"/>
        <v>15788.981555408936</v>
      </c>
      <c r="N7685" s="329">
        <f t="shared" si="482"/>
        <v>5713.5249999999996</v>
      </c>
      <c r="T7685" s="331">
        <v>0</v>
      </c>
      <c r="U7685" s="328">
        <f>VLOOKUP(C7685,METADATA!$J$5:$Q$29,IF(E7685="HI",2,IF(E7685="LO",6,10))+IF(T7685=1,2,IF(D7685=7,1,(IF(WEEKDAY(B7685)=1,2,IF(WEEKDAY(B7685)=7,1,0))))))</f>
        <v>3</v>
      </c>
      <c r="V7685" s="328">
        <f>VLOOKUP(C7685,METADATA!$A$5:$H$29,IF(E7685="HI",2,IF(E7685="LO",6,10))+IF(T7685=1,2,IF(D7685=7,1,(IF(WEEKDAY(B7685)=1,2,IF(WEEKDAY(B7685)=7,1,0))))))</f>
        <v>3</v>
      </c>
    </row>
    <row r="7686" spans="2:22">
      <c r="B7686" s="318">
        <f t="shared" si="479"/>
        <v>46433</v>
      </c>
      <c r="C7686" s="312">
        <v>2</v>
      </c>
      <c r="D7686" s="368">
        <f>IFERROR((INDEX(METADATA!$T$2:$T$20,MATCH(B7686,METADATA!$S$2:$S$20,0))),0)</f>
        <v>0</v>
      </c>
      <c r="E7686" s="312" t="str">
        <f t="shared" si="480"/>
        <v>LO</v>
      </c>
      <c r="F7686" s="369">
        <f>VLOOKUP(C7686,METADATA!$A$5:$H$29,IF(E7686="HI",2,IF(E7686="LO",6,10))+IF(D7686=1,2,IF(D7686=7,1,(IF(WEEKDAY(B7686)=1,2,IF(WEEKDAY(B7686)=7,1,0))))))</f>
        <v>3</v>
      </c>
      <c r="G7686" s="369">
        <f>VLOOKUP(C7686,METADATA!$J$5:$Q$29,IF(E7686="HI",2,IF(E7686="LO",6,10))+IF(D7686=1,2,IF(D7686=7,1,(IF(WEEKDAY(B7686)=1,2,IF(WEEKDAY(B7686)=7,1,0))))))</f>
        <v>3</v>
      </c>
      <c r="H7686" s="370">
        <v>11586.425048828125</v>
      </c>
      <c r="I7686" s="370">
        <v>9120.8925170898438</v>
      </c>
      <c r="M7686" s="371">
        <f t="shared" si="481"/>
        <v>14745.708722215331</v>
      </c>
      <c r="N7686" s="329">
        <f t="shared" si="482"/>
        <v>5644.9650024414059</v>
      </c>
      <c r="T7686" s="331">
        <v>0</v>
      </c>
      <c r="U7686" s="328">
        <f>VLOOKUP(C7686,METADATA!$J$5:$Q$29,IF(E7686="HI",2,IF(E7686="LO",6,10))+IF(T7686=1,2,IF(D7686=7,1,(IF(WEEKDAY(B7686)=1,2,IF(WEEKDAY(B7686)=7,1,0))))))</f>
        <v>3</v>
      </c>
      <c r="V7686" s="328">
        <f>VLOOKUP(C7686,METADATA!$A$5:$H$29,IF(E7686="HI",2,IF(E7686="LO",6,10))+IF(T7686=1,2,IF(D7686=7,1,(IF(WEEKDAY(B7686)=1,2,IF(WEEKDAY(B7686)=7,1,0))))))</f>
        <v>3</v>
      </c>
    </row>
    <row r="7687" spans="2:22">
      <c r="B7687" s="318">
        <f t="shared" si="479"/>
        <v>46433</v>
      </c>
      <c r="C7687" s="312">
        <v>3</v>
      </c>
      <c r="D7687" s="368">
        <f>IFERROR((INDEX(METADATA!$T$2:$T$20,MATCH(B7687,METADATA!$S$2:$S$20,0))),0)</f>
        <v>0</v>
      </c>
      <c r="E7687" s="312" t="str">
        <f t="shared" si="480"/>
        <v>LO</v>
      </c>
      <c r="F7687" s="369">
        <f>VLOOKUP(C7687,METADATA!$A$5:$H$29,IF(E7687="HI",2,IF(E7687="LO",6,10))+IF(D7687=1,2,IF(D7687=7,1,(IF(WEEKDAY(B7687)=1,2,IF(WEEKDAY(B7687)=7,1,0))))))</f>
        <v>3</v>
      </c>
      <c r="G7687" s="369">
        <f>VLOOKUP(C7687,METADATA!$J$5:$Q$29,IF(E7687="HI",2,IF(E7687="LO",6,10))+IF(D7687=1,2,IF(D7687=7,1,(IF(WEEKDAY(B7687)=1,2,IF(WEEKDAY(B7687)=7,1,0))))))</f>
        <v>3</v>
      </c>
      <c r="H7687" s="370">
        <v>10647.574951171875</v>
      </c>
      <c r="I7687" s="370">
        <v>8537.7724304199219</v>
      </c>
      <c r="M7687" s="371">
        <f t="shared" si="481"/>
        <v>13647.872010480654</v>
      </c>
      <c r="N7687" s="329">
        <f t="shared" si="482"/>
        <v>5343.499945068359</v>
      </c>
      <c r="T7687" s="331">
        <v>0</v>
      </c>
      <c r="U7687" s="328">
        <f>VLOOKUP(C7687,METADATA!$J$5:$Q$29,IF(E7687="HI",2,IF(E7687="LO",6,10))+IF(T7687=1,2,IF(D7687=7,1,(IF(WEEKDAY(B7687)=1,2,IF(WEEKDAY(B7687)=7,1,0))))))</f>
        <v>3</v>
      </c>
      <c r="V7687" s="328">
        <f>VLOOKUP(C7687,METADATA!$A$5:$H$29,IF(E7687="HI",2,IF(E7687="LO",6,10))+IF(T7687=1,2,IF(D7687=7,1,(IF(WEEKDAY(B7687)=1,2,IF(WEEKDAY(B7687)=7,1,0))))))</f>
        <v>3</v>
      </c>
    </row>
    <row r="7688" spans="2:22">
      <c r="B7688" s="318">
        <f t="shared" si="479"/>
        <v>46433</v>
      </c>
      <c r="C7688" s="312">
        <v>4</v>
      </c>
      <c r="D7688" s="368">
        <f>IFERROR((INDEX(METADATA!$T$2:$T$20,MATCH(B7688,METADATA!$S$2:$S$20,0))),0)</f>
        <v>0</v>
      </c>
      <c r="E7688" s="312" t="str">
        <f t="shared" si="480"/>
        <v>LO</v>
      </c>
      <c r="F7688" s="369">
        <f>VLOOKUP(C7688,METADATA!$A$5:$H$29,IF(E7688="HI",2,IF(E7688="LO",6,10))+IF(D7688=1,2,IF(D7688=7,1,(IF(WEEKDAY(B7688)=1,2,IF(WEEKDAY(B7688)=7,1,0))))))</f>
        <v>3</v>
      </c>
      <c r="G7688" s="369">
        <f>VLOOKUP(C7688,METADATA!$J$5:$Q$29,IF(E7688="HI",2,IF(E7688="LO",6,10))+IF(D7688=1,2,IF(D7688=7,1,(IF(WEEKDAY(B7688)=1,2,IF(WEEKDAY(B7688)=7,1,0))))))</f>
        <v>3</v>
      </c>
      <c r="H7688" s="370">
        <v>10938.5751953125</v>
      </c>
      <c r="I7688" s="370">
        <v>8675.8749694824219</v>
      </c>
      <c r="M7688" s="371">
        <f t="shared" si="481"/>
        <v>13961.491101941709</v>
      </c>
      <c r="N7688" s="329">
        <f t="shared" si="482"/>
        <v>5394.3024108886721</v>
      </c>
      <c r="T7688" s="331">
        <v>0</v>
      </c>
      <c r="U7688" s="328">
        <f>VLOOKUP(C7688,METADATA!$J$5:$Q$29,IF(E7688="HI",2,IF(E7688="LO",6,10))+IF(T7688=1,2,IF(D7688=7,1,(IF(WEEKDAY(B7688)=1,2,IF(WEEKDAY(B7688)=7,1,0))))))</f>
        <v>3</v>
      </c>
      <c r="V7688" s="328">
        <f>VLOOKUP(C7688,METADATA!$A$5:$H$29,IF(E7688="HI",2,IF(E7688="LO",6,10))+IF(T7688=1,2,IF(D7688=7,1,(IF(WEEKDAY(B7688)=1,2,IF(WEEKDAY(B7688)=7,1,0))))))</f>
        <v>3</v>
      </c>
    </row>
    <row r="7689" spans="2:22">
      <c r="B7689" s="318">
        <f t="shared" si="479"/>
        <v>46433</v>
      </c>
      <c r="C7689" s="312">
        <v>5</v>
      </c>
      <c r="D7689" s="368">
        <f>IFERROR((INDEX(METADATA!$T$2:$T$20,MATCH(B7689,METADATA!$S$2:$S$20,0))),0)</f>
        <v>0</v>
      </c>
      <c r="E7689" s="312" t="str">
        <f t="shared" si="480"/>
        <v>LO</v>
      </c>
      <c r="F7689" s="369">
        <f>VLOOKUP(C7689,METADATA!$A$5:$H$29,IF(E7689="HI",2,IF(E7689="LO",6,10))+IF(D7689=1,2,IF(D7689=7,1,(IF(WEEKDAY(B7689)=1,2,IF(WEEKDAY(B7689)=7,1,0))))))</f>
        <v>3</v>
      </c>
      <c r="G7689" s="369">
        <f>VLOOKUP(C7689,METADATA!$J$5:$Q$29,IF(E7689="HI",2,IF(E7689="LO",6,10))+IF(D7689=1,2,IF(D7689=7,1,(IF(WEEKDAY(B7689)=1,2,IF(WEEKDAY(B7689)=7,1,0))))))</f>
        <v>3</v>
      </c>
      <c r="H7689" s="370">
        <v>12572.175537109375</v>
      </c>
      <c r="I7689" s="370">
        <v>9465.7249755859375</v>
      </c>
      <c r="M7689" s="371">
        <f t="shared" si="481"/>
        <v>15737.202643714123</v>
      </c>
      <c r="N7689" s="329">
        <f t="shared" si="482"/>
        <v>5694.0723144531257</v>
      </c>
      <c r="T7689" s="331">
        <v>0</v>
      </c>
      <c r="U7689" s="328">
        <f>VLOOKUP(C7689,METADATA!$J$5:$Q$29,IF(E7689="HI",2,IF(E7689="LO",6,10))+IF(T7689=1,2,IF(D7689=7,1,(IF(WEEKDAY(B7689)=1,2,IF(WEEKDAY(B7689)=7,1,0))))))</f>
        <v>3</v>
      </c>
      <c r="V7689" s="328">
        <f>VLOOKUP(C7689,METADATA!$A$5:$H$29,IF(E7689="HI",2,IF(E7689="LO",6,10))+IF(T7689=1,2,IF(D7689=7,1,(IF(WEEKDAY(B7689)=1,2,IF(WEEKDAY(B7689)=7,1,0))))))</f>
        <v>3</v>
      </c>
    </row>
    <row r="7690" spans="2:22">
      <c r="B7690" s="318">
        <f t="shared" si="479"/>
        <v>46433</v>
      </c>
      <c r="C7690" s="312">
        <v>6</v>
      </c>
      <c r="D7690" s="368">
        <f>IFERROR((INDEX(METADATA!$T$2:$T$20,MATCH(B7690,METADATA!$S$2:$S$20,0))),0)</f>
        <v>0</v>
      </c>
      <c r="E7690" s="312" t="str">
        <f t="shared" si="480"/>
        <v>LO</v>
      </c>
      <c r="F7690" s="369">
        <f>VLOOKUP(C7690,METADATA!$A$5:$H$29,IF(E7690="HI",2,IF(E7690="LO",6,10))+IF(D7690=1,2,IF(D7690=7,1,(IF(WEEKDAY(B7690)=1,2,IF(WEEKDAY(B7690)=7,1,0))))))</f>
        <v>2</v>
      </c>
      <c r="G7690" s="369">
        <f>VLOOKUP(C7690,METADATA!$J$5:$Q$29,IF(E7690="HI",2,IF(E7690="LO",6,10))+IF(D7690=1,2,IF(D7690=7,1,(IF(WEEKDAY(B7690)=1,2,IF(WEEKDAY(B7690)=7,1,0))))))</f>
        <v>2</v>
      </c>
      <c r="H7690" s="370">
        <v>12586.625122070313</v>
      </c>
      <c r="I7690" s="370">
        <v>9539.2249145507813</v>
      </c>
      <c r="M7690" s="371">
        <f t="shared" si="481"/>
        <v>15793.034665127467</v>
      </c>
      <c r="N7690" s="329">
        <f t="shared" si="482"/>
        <v>5763.2373779296877</v>
      </c>
      <c r="T7690" s="331">
        <v>0</v>
      </c>
      <c r="U7690" s="328">
        <f>VLOOKUP(C7690,METADATA!$J$5:$Q$29,IF(E7690="HI",2,IF(E7690="LO",6,10))+IF(T7690=1,2,IF(D7690=7,1,(IF(WEEKDAY(B7690)=1,2,IF(WEEKDAY(B7690)=7,1,0))))))</f>
        <v>2</v>
      </c>
      <c r="V7690" s="328">
        <f>VLOOKUP(C7690,METADATA!$A$5:$H$29,IF(E7690="HI",2,IF(E7690="LO",6,10))+IF(T7690=1,2,IF(D7690=7,1,(IF(WEEKDAY(B7690)=1,2,IF(WEEKDAY(B7690)=7,1,0))))))</f>
        <v>2</v>
      </c>
    </row>
    <row r="7691" spans="2:22">
      <c r="B7691" s="318">
        <f t="shared" si="479"/>
        <v>46433</v>
      </c>
      <c r="C7691" s="312">
        <v>7</v>
      </c>
      <c r="D7691" s="368">
        <f>IFERROR((INDEX(METADATA!$T$2:$T$20,MATCH(B7691,METADATA!$S$2:$S$20,0))),0)</f>
        <v>0</v>
      </c>
      <c r="E7691" s="312" t="str">
        <f t="shared" si="480"/>
        <v>LO</v>
      </c>
      <c r="F7691" s="369">
        <f>VLOOKUP(C7691,METADATA!$A$5:$H$29,IF(E7691="HI",2,IF(E7691="LO",6,10))+IF(D7691=1,2,IF(D7691=7,1,(IF(WEEKDAY(B7691)=1,2,IF(WEEKDAY(B7691)=7,1,0))))))</f>
        <v>1</v>
      </c>
      <c r="G7691" s="369">
        <f>VLOOKUP(C7691,METADATA!$J$5:$Q$29,IF(E7691="HI",2,IF(E7691="LO",6,10))+IF(D7691=1,2,IF(D7691=7,1,(IF(WEEKDAY(B7691)=1,2,IF(WEEKDAY(B7691)=7,1,0))))))</f>
        <v>1</v>
      </c>
      <c r="H7691" s="370">
        <v>12591.675231933594</v>
      </c>
      <c r="I7691" s="370">
        <v>9508.2749633789063</v>
      </c>
      <c r="M7691" s="371">
        <f t="shared" si="481"/>
        <v>15778.38958594026</v>
      </c>
      <c r="N7691" s="329">
        <f t="shared" si="482"/>
        <v>5730.7723937988285</v>
      </c>
      <c r="T7691" s="331">
        <v>0</v>
      </c>
      <c r="U7691" s="328">
        <f>VLOOKUP(C7691,METADATA!$J$5:$Q$29,IF(E7691="HI",2,IF(E7691="LO",6,10))+IF(T7691=1,2,IF(D7691=7,1,(IF(WEEKDAY(B7691)=1,2,IF(WEEKDAY(B7691)=7,1,0))))))</f>
        <v>1</v>
      </c>
      <c r="V7691" s="328">
        <f>VLOOKUP(C7691,METADATA!$A$5:$H$29,IF(E7691="HI",2,IF(E7691="LO",6,10))+IF(T7691=1,2,IF(D7691=7,1,(IF(WEEKDAY(B7691)=1,2,IF(WEEKDAY(B7691)=7,1,0))))))</f>
        <v>1</v>
      </c>
    </row>
    <row r="7692" spans="2:22">
      <c r="B7692" s="318">
        <f t="shared" si="479"/>
        <v>46433</v>
      </c>
      <c r="C7692" s="312">
        <v>8</v>
      </c>
      <c r="D7692" s="368">
        <f>IFERROR((INDEX(METADATA!$T$2:$T$20,MATCH(B7692,METADATA!$S$2:$S$20,0))),0)</f>
        <v>0</v>
      </c>
      <c r="E7692" s="312" t="str">
        <f t="shared" si="480"/>
        <v>LO</v>
      </c>
      <c r="F7692" s="369">
        <f>VLOOKUP(C7692,METADATA!$A$5:$H$29,IF(E7692="HI",2,IF(E7692="LO",6,10))+IF(D7692=1,2,IF(D7692=7,1,(IF(WEEKDAY(B7692)=1,2,IF(WEEKDAY(B7692)=7,1,0))))))</f>
        <v>1</v>
      </c>
      <c r="G7692" s="369">
        <f>VLOOKUP(C7692,METADATA!$J$5:$Q$29,IF(E7692="HI",2,IF(E7692="LO",6,10))+IF(D7692=1,2,IF(D7692=7,1,(IF(WEEKDAY(B7692)=1,2,IF(WEEKDAY(B7692)=7,1,0))))))</f>
        <v>1</v>
      </c>
      <c r="H7692" s="370">
        <v>12852.400451660156</v>
      </c>
      <c r="I7692" s="370">
        <v>9658.7501220703125</v>
      </c>
      <c r="M7692" s="371">
        <f t="shared" si="481"/>
        <v>16077.177964133738</v>
      </c>
      <c r="N7692" s="329">
        <f t="shared" si="482"/>
        <v>5803.0299865722664</v>
      </c>
      <c r="T7692" s="331">
        <v>0</v>
      </c>
      <c r="U7692" s="328">
        <f>VLOOKUP(C7692,METADATA!$J$5:$Q$29,IF(E7692="HI",2,IF(E7692="LO",6,10))+IF(T7692=1,2,IF(D7692=7,1,(IF(WEEKDAY(B7692)=1,2,IF(WEEKDAY(B7692)=7,1,0))))))</f>
        <v>1</v>
      </c>
      <c r="V7692" s="328">
        <f>VLOOKUP(C7692,METADATA!$A$5:$H$29,IF(E7692="HI",2,IF(E7692="LO",6,10))+IF(T7692=1,2,IF(D7692=7,1,(IF(WEEKDAY(B7692)=1,2,IF(WEEKDAY(B7692)=7,1,0))))))</f>
        <v>1</v>
      </c>
    </row>
    <row r="7693" spans="2:22">
      <c r="B7693" s="318">
        <f t="shared" si="479"/>
        <v>46433</v>
      </c>
      <c r="C7693" s="312">
        <v>9</v>
      </c>
      <c r="D7693" s="368">
        <f>IFERROR((INDEX(METADATA!$T$2:$T$20,MATCH(B7693,METADATA!$S$2:$S$20,0))),0)</f>
        <v>0</v>
      </c>
      <c r="E7693" s="312" t="str">
        <f t="shared" si="480"/>
        <v>LO</v>
      </c>
      <c r="F7693" s="369">
        <f>VLOOKUP(C7693,METADATA!$A$5:$H$29,IF(E7693="HI",2,IF(E7693="LO",6,10))+IF(D7693=1,2,IF(D7693=7,1,(IF(WEEKDAY(B7693)=1,2,IF(WEEKDAY(B7693)=7,1,0))))))</f>
        <v>2</v>
      </c>
      <c r="G7693" s="369">
        <f>VLOOKUP(C7693,METADATA!$J$5:$Q$29,IF(E7693="HI",2,IF(E7693="LO",6,10))+IF(D7693=1,2,IF(D7693=7,1,(IF(WEEKDAY(B7693)=1,2,IF(WEEKDAY(B7693)=7,1,0))))))</f>
        <v>2</v>
      </c>
      <c r="H7693" s="370">
        <v>13089.800048828125</v>
      </c>
      <c r="I7693" s="370">
        <v>9704.1500244140625</v>
      </c>
      <c r="M7693" s="371">
        <f t="shared" si="481"/>
        <v>16294.581707261965</v>
      </c>
      <c r="N7693" s="329">
        <f t="shared" si="482"/>
        <v>5777.2100097656257</v>
      </c>
      <c r="T7693" s="331">
        <v>0</v>
      </c>
      <c r="U7693" s="328">
        <f>VLOOKUP(C7693,METADATA!$J$5:$Q$29,IF(E7693="HI",2,IF(E7693="LO",6,10))+IF(T7693=1,2,IF(D7693=7,1,(IF(WEEKDAY(B7693)=1,2,IF(WEEKDAY(B7693)=7,1,0))))))</f>
        <v>2</v>
      </c>
      <c r="V7693" s="328">
        <f>VLOOKUP(C7693,METADATA!$A$5:$H$29,IF(E7693="HI",2,IF(E7693="LO",6,10))+IF(T7693=1,2,IF(D7693=7,1,(IF(WEEKDAY(B7693)=1,2,IF(WEEKDAY(B7693)=7,1,0))))))</f>
        <v>2</v>
      </c>
    </row>
    <row r="7694" spans="2:22">
      <c r="B7694" s="318">
        <f t="shared" si="479"/>
        <v>46433</v>
      </c>
      <c r="C7694" s="312">
        <v>10</v>
      </c>
      <c r="D7694" s="368">
        <f>IFERROR((INDEX(METADATA!$T$2:$T$20,MATCH(B7694,METADATA!$S$2:$S$20,0))),0)</f>
        <v>0</v>
      </c>
      <c r="E7694" s="312" t="str">
        <f t="shared" si="480"/>
        <v>LO</v>
      </c>
      <c r="F7694" s="369">
        <f>VLOOKUP(C7694,METADATA!$A$5:$H$29,IF(E7694="HI",2,IF(E7694="LO",6,10))+IF(D7694=1,2,IF(D7694=7,1,(IF(WEEKDAY(B7694)=1,2,IF(WEEKDAY(B7694)=7,1,0))))))</f>
        <v>2</v>
      </c>
      <c r="G7694" s="369">
        <f>VLOOKUP(C7694,METADATA!$J$5:$Q$29,IF(E7694="HI",2,IF(E7694="LO",6,10))+IF(D7694=1,2,IF(D7694=7,1,(IF(WEEKDAY(B7694)=1,2,IF(WEEKDAY(B7694)=7,1,0))))))</f>
        <v>2</v>
      </c>
      <c r="H7694" s="370">
        <v>13023.825317382813</v>
      </c>
      <c r="I7694" s="370">
        <v>9749.4749755859375</v>
      </c>
      <c r="M7694" s="371">
        <f t="shared" si="481"/>
        <v>16268.7518942689</v>
      </c>
      <c r="N7694" s="329">
        <f t="shared" si="482"/>
        <v>5842.3273803710945</v>
      </c>
      <c r="T7694" s="331">
        <v>0</v>
      </c>
      <c r="U7694" s="328">
        <f>VLOOKUP(C7694,METADATA!$J$5:$Q$29,IF(E7694="HI",2,IF(E7694="LO",6,10))+IF(T7694=1,2,IF(D7694=7,1,(IF(WEEKDAY(B7694)=1,2,IF(WEEKDAY(B7694)=7,1,0))))))</f>
        <v>2</v>
      </c>
      <c r="V7694" s="328">
        <f>VLOOKUP(C7694,METADATA!$A$5:$H$29,IF(E7694="HI",2,IF(E7694="LO",6,10))+IF(T7694=1,2,IF(D7694=7,1,(IF(WEEKDAY(B7694)=1,2,IF(WEEKDAY(B7694)=7,1,0))))))</f>
        <v>2</v>
      </c>
    </row>
    <row r="7695" spans="2:22">
      <c r="B7695" s="318">
        <f t="shared" si="479"/>
        <v>46433</v>
      </c>
      <c r="C7695" s="312">
        <v>11</v>
      </c>
      <c r="D7695" s="368">
        <f>IFERROR((INDEX(METADATA!$T$2:$T$20,MATCH(B7695,METADATA!$S$2:$S$20,0))),0)</f>
        <v>0</v>
      </c>
      <c r="E7695" s="312" t="str">
        <f t="shared" si="480"/>
        <v>LO</v>
      </c>
      <c r="F7695" s="369">
        <f>VLOOKUP(C7695,METADATA!$A$5:$H$29,IF(E7695="HI",2,IF(E7695="LO",6,10))+IF(D7695=1,2,IF(D7695=7,1,(IF(WEEKDAY(B7695)=1,2,IF(WEEKDAY(B7695)=7,1,0))))))</f>
        <v>2</v>
      </c>
      <c r="G7695" s="369">
        <f>VLOOKUP(C7695,METADATA!$J$5:$Q$29,IF(E7695="HI",2,IF(E7695="LO",6,10))+IF(D7695=1,2,IF(D7695=7,1,(IF(WEEKDAY(B7695)=1,2,IF(WEEKDAY(B7695)=7,1,0))))))</f>
        <v>2</v>
      </c>
      <c r="H7695" s="370">
        <v>12041.77490234375</v>
      </c>
      <c r="I7695" s="370">
        <v>9209.8251953125</v>
      </c>
      <c r="M7695" s="371">
        <f t="shared" si="481"/>
        <v>15159.987563547958</v>
      </c>
      <c r="N7695" s="329">
        <f t="shared" si="482"/>
        <v>5597.292724609375</v>
      </c>
      <c r="T7695" s="331">
        <v>0</v>
      </c>
      <c r="U7695" s="328">
        <f>VLOOKUP(C7695,METADATA!$J$5:$Q$29,IF(E7695="HI",2,IF(E7695="LO",6,10))+IF(T7695=1,2,IF(D7695=7,1,(IF(WEEKDAY(B7695)=1,2,IF(WEEKDAY(B7695)=7,1,0))))))</f>
        <v>2</v>
      </c>
      <c r="V7695" s="328">
        <f>VLOOKUP(C7695,METADATA!$A$5:$H$29,IF(E7695="HI",2,IF(E7695="LO",6,10))+IF(T7695=1,2,IF(D7695=7,1,(IF(WEEKDAY(B7695)=1,2,IF(WEEKDAY(B7695)=7,1,0))))))</f>
        <v>2</v>
      </c>
    </row>
    <row r="7696" spans="2:22">
      <c r="B7696" s="318">
        <f t="shared" si="479"/>
        <v>46433</v>
      </c>
      <c r="C7696" s="312">
        <v>12</v>
      </c>
      <c r="D7696" s="368">
        <f>IFERROR((INDEX(METADATA!$T$2:$T$20,MATCH(B7696,METADATA!$S$2:$S$20,0))),0)</f>
        <v>0</v>
      </c>
      <c r="E7696" s="312" t="str">
        <f t="shared" si="480"/>
        <v>LO</v>
      </c>
      <c r="F7696" s="369">
        <f>VLOOKUP(C7696,METADATA!$A$5:$H$29,IF(E7696="HI",2,IF(E7696="LO",6,10))+IF(D7696=1,2,IF(D7696=7,1,(IF(WEEKDAY(B7696)=1,2,IF(WEEKDAY(B7696)=7,1,0))))))</f>
        <v>2</v>
      </c>
      <c r="G7696" s="369">
        <f>VLOOKUP(C7696,METADATA!$J$5:$Q$29,IF(E7696="HI",2,IF(E7696="LO",6,10))+IF(D7696=1,2,IF(D7696=7,1,(IF(WEEKDAY(B7696)=1,2,IF(WEEKDAY(B7696)=7,1,0))))))</f>
        <v>2</v>
      </c>
      <c r="H7696" s="370">
        <v>11199.999755859375</v>
      </c>
      <c r="I7696" s="370">
        <v>8779.2025451660156</v>
      </c>
      <c r="M7696" s="371">
        <f t="shared" si="481"/>
        <v>14230.755140198975</v>
      </c>
      <c r="N7696" s="329">
        <f t="shared" si="482"/>
        <v>5419.2026184082033</v>
      </c>
      <c r="T7696" s="331">
        <v>0</v>
      </c>
      <c r="U7696" s="328">
        <f>VLOOKUP(C7696,METADATA!$J$5:$Q$29,IF(E7696="HI",2,IF(E7696="LO",6,10))+IF(T7696=1,2,IF(D7696=7,1,(IF(WEEKDAY(B7696)=1,2,IF(WEEKDAY(B7696)=7,1,0))))))</f>
        <v>2</v>
      </c>
      <c r="V7696" s="328">
        <f>VLOOKUP(C7696,METADATA!$A$5:$H$29,IF(E7696="HI",2,IF(E7696="LO",6,10))+IF(T7696=1,2,IF(D7696=7,1,(IF(WEEKDAY(B7696)=1,2,IF(WEEKDAY(B7696)=7,1,0))))))</f>
        <v>2</v>
      </c>
    </row>
    <row r="7697" spans="2:22">
      <c r="B7697" s="318">
        <f t="shared" si="479"/>
        <v>46433</v>
      </c>
      <c r="C7697" s="312">
        <v>13</v>
      </c>
      <c r="D7697" s="368">
        <f>IFERROR((INDEX(METADATA!$T$2:$T$20,MATCH(B7697,METADATA!$S$2:$S$20,0))),0)</f>
        <v>0</v>
      </c>
      <c r="E7697" s="312" t="str">
        <f t="shared" si="480"/>
        <v>LO</v>
      </c>
      <c r="F7697" s="369">
        <f>VLOOKUP(C7697,METADATA!$A$5:$H$29,IF(E7697="HI",2,IF(E7697="LO",6,10))+IF(D7697=1,2,IF(D7697=7,1,(IF(WEEKDAY(B7697)=1,2,IF(WEEKDAY(B7697)=7,1,0))))))</f>
        <v>2</v>
      </c>
      <c r="G7697" s="369">
        <f>VLOOKUP(C7697,METADATA!$J$5:$Q$29,IF(E7697="HI",2,IF(E7697="LO",6,10))+IF(D7697=1,2,IF(D7697=7,1,(IF(WEEKDAY(B7697)=1,2,IF(WEEKDAY(B7697)=7,1,0))))))</f>
        <v>2</v>
      </c>
      <c r="H7697" s="370">
        <v>11184.425170898438</v>
      </c>
      <c r="I7697" s="370">
        <v>8659.1549377441406</v>
      </c>
      <c r="M7697" s="371">
        <f t="shared" si="481"/>
        <v>14144.692666837454</v>
      </c>
      <c r="N7697" s="329">
        <f t="shared" si="482"/>
        <v>5303.8273864746097</v>
      </c>
      <c r="T7697" s="331">
        <v>0</v>
      </c>
      <c r="U7697" s="328">
        <f>VLOOKUP(C7697,METADATA!$J$5:$Q$29,IF(E7697="HI",2,IF(E7697="LO",6,10))+IF(T7697=1,2,IF(D7697=7,1,(IF(WEEKDAY(B7697)=1,2,IF(WEEKDAY(B7697)=7,1,0))))))</f>
        <v>2</v>
      </c>
      <c r="V7697" s="328">
        <f>VLOOKUP(C7697,METADATA!$A$5:$H$29,IF(E7697="HI",2,IF(E7697="LO",6,10))+IF(T7697=1,2,IF(D7697=7,1,(IF(WEEKDAY(B7697)=1,2,IF(WEEKDAY(B7697)=7,1,0))))))</f>
        <v>2</v>
      </c>
    </row>
    <row r="7698" spans="2:22">
      <c r="B7698" s="318">
        <f t="shared" si="479"/>
        <v>46433</v>
      </c>
      <c r="C7698" s="312">
        <v>14</v>
      </c>
      <c r="D7698" s="368">
        <f>IFERROR((INDEX(METADATA!$T$2:$T$20,MATCH(B7698,METADATA!$S$2:$S$20,0))),0)</f>
        <v>0</v>
      </c>
      <c r="E7698" s="312" t="str">
        <f t="shared" si="480"/>
        <v>LO</v>
      </c>
      <c r="F7698" s="369">
        <f>VLOOKUP(C7698,METADATA!$A$5:$H$29,IF(E7698="HI",2,IF(E7698="LO",6,10))+IF(D7698=1,2,IF(D7698=7,1,(IF(WEEKDAY(B7698)=1,2,IF(WEEKDAY(B7698)=7,1,0))))))</f>
        <v>2</v>
      </c>
      <c r="G7698" s="369">
        <f>VLOOKUP(C7698,METADATA!$J$5:$Q$29,IF(E7698="HI",2,IF(E7698="LO",6,10))+IF(D7698=1,2,IF(D7698=7,1,(IF(WEEKDAY(B7698)=1,2,IF(WEEKDAY(B7698)=7,1,0))))))</f>
        <v>2</v>
      </c>
      <c r="H7698" s="370">
        <v>12683.47509765625</v>
      </c>
      <c r="I7698" s="370">
        <v>9520.5750732421875</v>
      </c>
      <c r="M7698" s="371">
        <f t="shared" si="481"/>
        <v>15859.126403371236</v>
      </c>
      <c r="N7698" s="329">
        <f t="shared" si="482"/>
        <v>5715.5325439453127</v>
      </c>
      <c r="T7698" s="331">
        <v>0</v>
      </c>
      <c r="U7698" s="328">
        <f>VLOOKUP(C7698,METADATA!$J$5:$Q$29,IF(E7698="HI",2,IF(E7698="LO",6,10))+IF(T7698=1,2,IF(D7698=7,1,(IF(WEEKDAY(B7698)=1,2,IF(WEEKDAY(B7698)=7,1,0))))))</f>
        <v>2</v>
      </c>
      <c r="V7698" s="328">
        <f>VLOOKUP(C7698,METADATA!$A$5:$H$29,IF(E7698="HI",2,IF(E7698="LO",6,10))+IF(T7698=1,2,IF(D7698=7,1,(IF(WEEKDAY(B7698)=1,2,IF(WEEKDAY(B7698)=7,1,0))))))</f>
        <v>2</v>
      </c>
    </row>
    <row r="7699" spans="2:22">
      <c r="B7699" s="318">
        <f t="shared" si="479"/>
        <v>46433</v>
      </c>
      <c r="C7699" s="312">
        <v>15</v>
      </c>
      <c r="D7699" s="368">
        <f>IFERROR((INDEX(METADATA!$T$2:$T$20,MATCH(B7699,METADATA!$S$2:$S$20,0))),0)</f>
        <v>0</v>
      </c>
      <c r="E7699" s="312" t="str">
        <f t="shared" si="480"/>
        <v>LO</v>
      </c>
      <c r="F7699" s="369">
        <f>VLOOKUP(C7699,METADATA!$A$5:$H$29,IF(E7699="HI",2,IF(E7699="LO",6,10))+IF(D7699=1,2,IF(D7699=7,1,(IF(WEEKDAY(B7699)=1,2,IF(WEEKDAY(B7699)=7,1,0))))))</f>
        <v>2</v>
      </c>
      <c r="G7699" s="369">
        <f>VLOOKUP(C7699,METADATA!$J$5:$Q$29,IF(E7699="HI",2,IF(E7699="LO",6,10))+IF(D7699=1,2,IF(D7699=7,1,(IF(WEEKDAY(B7699)=1,2,IF(WEEKDAY(B7699)=7,1,0))))))</f>
        <v>2</v>
      </c>
      <c r="H7699" s="370">
        <v>12870.424926757813</v>
      </c>
      <c r="I7699" s="370">
        <v>9574.7998046875</v>
      </c>
      <c r="M7699" s="371">
        <f t="shared" si="481"/>
        <v>16041.341249881589</v>
      </c>
      <c r="N7699" s="329">
        <f t="shared" si="482"/>
        <v>5713.6723266601566</v>
      </c>
      <c r="T7699" s="331">
        <v>0</v>
      </c>
      <c r="U7699" s="328">
        <f>VLOOKUP(C7699,METADATA!$J$5:$Q$29,IF(E7699="HI",2,IF(E7699="LO",6,10))+IF(T7699=1,2,IF(D7699=7,1,(IF(WEEKDAY(B7699)=1,2,IF(WEEKDAY(B7699)=7,1,0))))))</f>
        <v>2</v>
      </c>
      <c r="V7699" s="328">
        <f>VLOOKUP(C7699,METADATA!$A$5:$H$29,IF(E7699="HI",2,IF(E7699="LO",6,10))+IF(T7699=1,2,IF(D7699=7,1,(IF(WEEKDAY(B7699)=1,2,IF(WEEKDAY(B7699)=7,1,0))))))</f>
        <v>2</v>
      </c>
    </row>
    <row r="7700" spans="2:22">
      <c r="B7700" s="318">
        <f t="shared" si="479"/>
        <v>46433</v>
      </c>
      <c r="C7700" s="312">
        <v>16</v>
      </c>
      <c r="D7700" s="368">
        <f>IFERROR((INDEX(METADATA!$T$2:$T$20,MATCH(B7700,METADATA!$S$2:$S$20,0))),0)</f>
        <v>0</v>
      </c>
      <c r="E7700" s="312" t="str">
        <f t="shared" si="480"/>
        <v>LO</v>
      </c>
      <c r="F7700" s="369">
        <f>VLOOKUP(C7700,METADATA!$A$5:$H$29,IF(E7700="HI",2,IF(E7700="LO",6,10))+IF(D7700=1,2,IF(D7700=7,1,(IF(WEEKDAY(B7700)=1,2,IF(WEEKDAY(B7700)=7,1,0))))))</f>
        <v>2</v>
      </c>
      <c r="G7700" s="369">
        <f>VLOOKUP(C7700,METADATA!$J$5:$Q$29,IF(E7700="HI",2,IF(E7700="LO",6,10))+IF(D7700=1,2,IF(D7700=7,1,(IF(WEEKDAY(B7700)=1,2,IF(WEEKDAY(B7700)=7,1,0))))))</f>
        <v>2</v>
      </c>
      <c r="H7700" s="370">
        <v>12726.025268554688</v>
      </c>
      <c r="I7700" s="370">
        <v>9516.5001220703125</v>
      </c>
      <c r="M7700" s="371">
        <f t="shared" si="481"/>
        <v>15890.736097149706</v>
      </c>
      <c r="N7700" s="329">
        <f t="shared" si="482"/>
        <v>5698.6925415039059</v>
      </c>
      <c r="T7700" s="331">
        <v>0</v>
      </c>
      <c r="U7700" s="328">
        <f>VLOOKUP(C7700,METADATA!$J$5:$Q$29,IF(E7700="HI",2,IF(E7700="LO",6,10))+IF(T7700=1,2,IF(D7700=7,1,(IF(WEEKDAY(B7700)=1,2,IF(WEEKDAY(B7700)=7,1,0))))))</f>
        <v>2</v>
      </c>
      <c r="V7700" s="328">
        <f>VLOOKUP(C7700,METADATA!$A$5:$H$29,IF(E7700="HI",2,IF(E7700="LO",6,10))+IF(T7700=1,2,IF(D7700=7,1,(IF(WEEKDAY(B7700)=1,2,IF(WEEKDAY(B7700)=7,1,0))))))</f>
        <v>2</v>
      </c>
    </row>
    <row r="7701" spans="2:22">
      <c r="B7701" s="318">
        <f t="shared" si="479"/>
        <v>46433</v>
      </c>
      <c r="C7701" s="312">
        <v>17</v>
      </c>
      <c r="D7701" s="368">
        <f>IFERROR((INDEX(METADATA!$T$2:$T$20,MATCH(B7701,METADATA!$S$2:$S$20,0))),0)</f>
        <v>0</v>
      </c>
      <c r="E7701" s="312" t="str">
        <f t="shared" si="480"/>
        <v>LO</v>
      </c>
      <c r="F7701" s="369">
        <f>VLOOKUP(C7701,METADATA!$A$5:$H$29,IF(E7701="HI",2,IF(E7701="LO",6,10))+IF(D7701=1,2,IF(D7701=7,1,(IF(WEEKDAY(B7701)=1,2,IF(WEEKDAY(B7701)=7,1,0))))))</f>
        <v>2</v>
      </c>
      <c r="G7701" s="369">
        <f>VLOOKUP(C7701,METADATA!$J$5:$Q$29,IF(E7701="HI",2,IF(E7701="LO",6,10))+IF(D7701=1,2,IF(D7701=7,1,(IF(WEEKDAY(B7701)=1,2,IF(WEEKDAY(B7701)=7,1,0))))))</f>
        <v>2</v>
      </c>
      <c r="H7701" s="370">
        <v>12651.750183105469</v>
      </c>
      <c r="I7701" s="370">
        <v>9415.625</v>
      </c>
      <c r="M7701" s="371">
        <f t="shared" si="481"/>
        <v>15770.883831806455</v>
      </c>
      <c r="N7701" s="329">
        <f t="shared" si="482"/>
        <v>5620.0999450683594</v>
      </c>
      <c r="T7701" s="331">
        <v>0</v>
      </c>
      <c r="U7701" s="328">
        <f>VLOOKUP(C7701,METADATA!$J$5:$Q$29,IF(E7701="HI",2,IF(E7701="LO",6,10))+IF(T7701=1,2,IF(D7701=7,1,(IF(WEEKDAY(B7701)=1,2,IF(WEEKDAY(B7701)=7,1,0))))))</f>
        <v>2</v>
      </c>
      <c r="V7701" s="328">
        <f>VLOOKUP(C7701,METADATA!$A$5:$H$29,IF(E7701="HI",2,IF(E7701="LO",6,10))+IF(T7701=1,2,IF(D7701=7,1,(IF(WEEKDAY(B7701)=1,2,IF(WEEKDAY(B7701)=7,1,0))))))</f>
        <v>2</v>
      </c>
    </row>
    <row r="7702" spans="2:22">
      <c r="B7702" s="318">
        <f t="shared" si="479"/>
        <v>46433</v>
      </c>
      <c r="C7702" s="312">
        <v>18</v>
      </c>
      <c r="D7702" s="368">
        <f>IFERROR((INDEX(METADATA!$T$2:$T$20,MATCH(B7702,METADATA!$S$2:$S$20,0))),0)</f>
        <v>0</v>
      </c>
      <c r="E7702" s="312" t="str">
        <f t="shared" si="480"/>
        <v>LO</v>
      </c>
      <c r="F7702" s="369">
        <f>VLOOKUP(C7702,METADATA!$A$5:$H$29,IF(E7702="HI",2,IF(E7702="LO",6,10))+IF(D7702=1,2,IF(D7702=7,1,(IF(WEEKDAY(B7702)=1,2,IF(WEEKDAY(B7702)=7,1,0))))))</f>
        <v>1</v>
      </c>
      <c r="G7702" s="369">
        <f>VLOOKUP(C7702,METADATA!$J$5:$Q$29,IF(E7702="HI",2,IF(E7702="LO",6,10))+IF(D7702=1,2,IF(D7702=7,1,(IF(WEEKDAY(B7702)=1,2,IF(WEEKDAY(B7702)=7,1,0))))))</f>
        <v>1</v>
      </c>
      <c r="H7702" s="370">
        <v>12604.199951171875</v>
      </c>
      <c r="I7702" s="370">
        <v>9362.5999145507813</v>
      </c>
      <c r="M7702" s="371">
        <f t="shared" si="481"/>
        <v>15701.087018708844</v>
      </c>
      <c r="N7702" s="329">
        <f t="shared" si="482"/>
        <v>5581.3399291992191</v>
      </c>
      <c r="T7702" s="331">
        <v>0</v>
      </c>
      <c r="U7702" s="328">
        <f>VLOOKUP(C7702,METADATA!$J$5:$Q$29,IF(E7702="HI",2,IF(E7702="LO",6,10))+IF(T7702=1,2,IF(D7702=7,1,(IF(WEEKDAY(B7702)=1,2,IF(WEEKDAY(B7702)=7,1,0))))))</f>
        <v>1</v>
      </c>
      <c r="V7702" s="328">
        <f>VLOOKUP(C7702,METADATA!$A$5:$H$29,IF(E7702="HI",2,IF(E7702="LO",6,10))+IF(T7702=1,2,IF(D7702=7,1,(IF(WEEKDAY(B7702)=1,2,IF(WEEKDAY(B7702)=7,1,0))))))</f>
        <v>1</v>
      </c>
    </row>
    <row r="7703" spans="2:22">
      <c r="B7703" s="318">
        <f t="shared" si="479"/>
        <v>46433</v>
      </c>
      <c r="C7703" s="312">
        <v>19</v>
      </c>
      <c r="D7703" s="368">
        <f>IFERROR((INDEX(METADATA!$T$2:$T$20,MATCH(B7703,METADATA!$S$2:$S$20,0))),0)</f>
        <v>0</v>
      </c>
      <c r="E7703" s="312" t="str">
        <f t="shared" si="480"/>
        <v>LO</v>
      </c>
      <c r="F7703" s="369">
        <f>VLOOKUP(C7703,METADATA!$A$5:$H$29,IF(E7703="HI",2,IF(E7703="LO",6,10))+IF(D7703=1,2,IF(D7703=7,1,(IF(WEEKDAY(B7703)=1,2,IF(WEEKDAY(B7703)=7,1,0))))))</f>
        <v>1</v>
      </c>
      <c r="G7703" s="369">
        <f>VLOOKUP(C7703,METADATA!$J$5:$Q$29,IF(E7703="HI",2,IF(E7703="LO",6,10))+IF(D7703=1,2,IF(D7703=7,1,(IF(WEEKDAY(B7703)=1,2,IF(WEEKDAY(B7703)=7,1,0))))))</f>
        <v>1</v>
      </c>
      <c r="H7703" s="370">
        <v>12639.974792480469</v>
      </c>
      <c r="I7703" s="370">
        <v>9245.1749267578125</v>
      </c>
      <c r="M7703" s="371">
        <f t="shared" si="481"/>
        <v>15660.2114347442</v>
      </c>
      <c r="N7703" s="329">
        <f t="shared" si="482"/>
        <v>5453.1824890136722</v>
      </c>
      <c r="T7703" s="331">
        <v>0</v>
      </c>
      <c r="U7703" s="328">
        <f>VLOOKUP(C7703,METADATA!$J$5:$Q$29,IF(E7703="HI",2,IF(E7703="LO",6,10))+IF(T7703=1,2,IF(D7703=7,1,(IF(WEEKDAY(B7703)=1,2,IF(WEEKDAY(B7703)=7,1,0))))))</f>
        <v>1</v>
      </c>
      <c r="V7703" s="328">
        <f>VLOOKUP(C7703,METADATA!$A$5:$H$29,IF(E7703="HI",2,IF(E7703="LO",6,10))+IF(T7703=1,2,IF(D7703=7,1,(IF(WEEKDAY(B7703)=1,2,IF(WEEKDAY(B7703)=7,1,0))))))</f>
        <v>1</v>
      </c>
    </row>
    <row r="7704" spans="2:22">
      <c r="B7704" s="318">
        <f t="shared" si="479"/>
        <v>46433</v>
      </c>
      <c r="C7704" s="312">
        <v>20</v>
      </c>
      <c r="D7704" s="368">
        <f>IFERROR((INDEX(METADATA!$T$2:$T$20,MATCH(B7704,METADATA!$S$2:$S$20,0))),0)</f>
        <v>0</v>
      </c>
      <c r="E7704" s="312" t="str">
        <f t="shared" si="480"/>
        <v>LO</v>
      </c>
      <c r="F7704" s="369">
        <f>VLOOKUP(C7704,METADATA!$A$5:$H$29,IF(E7704="HI",2,IF(E7704="LO",6,10))+IF(D7704=1,2,IF(D7704=7,1,(IF(WEEKDAY(B7704)=1,2,IF(WEEKDAY(B7704)=7,1,0))))))</f>
        <v>1</v>
      </c>
      <c r="G7704" s="369">
        <f>VLOOKUP(C7704,METADATA!$J$5:$Q$29,IF(E7704="HI",2,IF(E7704="LO",6,10))+IF(D7704=1,2,IF(D7704=7,1,(IF(WEEKDAY(B7704)=1,2,IF(WEEKDAY(B7704)=7,1,0))))))</f>
        <v>1</v>
      </c>
      <c r="H7704" s="370">
        <v>12790.750305175781</v>
      </c>
      <c r="I7704" s="370">
        <v>9389.9498291015625</v>
      </c>
      <c r="M7704" s="371">
        <f t="shared" si="481"/>
        <v>15867.402155438011</v>
      </c>
      <c r="N7704" s="329">
        <f t="shared" si="482"/>
        <v>5552.7247375488278</v>
      </c>
      <c r="T7704" s="331">
        <v>0</v>
      </c>
      <c r="U7704" s="328">
        <f>VLOOKUP(C7704,METADATA!$J$5:$Q$29,IF(E7704="HI",2,IF(E7704="LO",6,10))+IF(T7704=1,2,IF(D7704=7,1,(IF(WEEKDAY(B7704)=1,2,IF(WEEKDAY(B7704)=7,1,0))))))</f>
        <v>1</v>
      </c>
      <c r="V7704" s="328">
        <f>VLOOKUP(C7704,METADATA!$A$5:$H$29,IF(E7704="HI",2,IF(E7704="LO",6,10))+IF(T7704=1,2,IF(D7704=7,1,(IF(WEEKDAY(B7704)=1,2,IF(WEEKDAY(B7704)=7,1,0))))))</f>
        <v>1</v>
      </c>
    </row>
    <row r="7705" spans="2:22">
      <c r="B7705" s="318">
        <f t="shared" si="479"/>
        <v>46433</v>
      </c>
      <c r="C7705" s="312">
        <v>21</v>
      </c>
      <c r="D7705" s="368">
        <f>IFERROR((INDEX(METADATA!$T$2:$T$20,MATCH(B7705,METADATA!$S$2:$S$20,0))),0)</f>
        <v>0</v>
      </c>
      <c r="E7705" s="312" t="str">
        <f t="shared" si="480"/>
        <v>LO</v>
      </c>
      <c r="F7705" s="369">
        <f>VLOOKUP(C7705,METADATA!$A$5:$H$29,IF(E7705="HI",2,IF(E7705="LO",6,10))+IF(D7705=1,2,IF(D7705=7,1,(IF(WEEKDAY(B7705)=1,2,IF(WEEKDAY(B7705)=7,1,0))))))</f>
        <v>2</v>
      </c>
      <c r="G7705" s="369">
        <f>VLOOKUP(C7705,METADATA!$J$5:$Q$29,IF(E7705="HI",2,IF(E7705="LO",6,10))+IF(D7705=1,2,IF(D7705=7,1,(IF(WEEKDAY(B7705)=1,2,IF(WEEKDAY(B7705)=7,1,0))))))</f>
        <v>2</v>
      </c>
      <c r="H7705" s="370">
        <v>12240.599914550781</v>
      </c>
      <c r="I7705" s="370">
        <v>9239.775146484375</v>
      </c>
      <c r="M7705" s="371">
        <f t="shared" si="481"/>
        <v>15336.418454961737</v>
      </c>
      <c r="N7705" s="329">
        <f t="shared" si="482"/>
        <v>5567.5951721191414</v>
      </c>
      <c r="T7705" s="331">
        <v>0</v>
      </c>
      <c r="U7705" s="328">
        <f>VLOOKUP(C7705,METADATA!$J$5:$Q$29,IF(E7705="HI",2,IF(E7705="LO",6,10))+IF(T7705=1,2,IF(D7705=7,1,(IF(WEEKDAY(B7705)=1,2,IF(WEEKDAY(B7705)=7,1,0))))))</f>
        <v>2</v>
      </c>
      <c r="V7705" s="328">
        <f>VLOOKUP(C7705,METADATA!$A$5:$H$29,IF(E7705="HI",2,IF(E7705="LO",6,10))+IF(T7705=1,2,IF(D7705=7,1,(IF(WEEKDAY(B7705)=1,2,IF(WEEKDAY(B7705)=7,1,0))))))</f>
        <v>2</v>
      </c>
    </row>
    <row r="7706" spans="2:22">
      <c r="B7706" s="318">
        <f t="shared" si="479"/>
        <v>46433</v>
      </c>
      <c r="C7706" s="312">
        <v>22</v>
      </c>
      <c r="D7706" s="368">
        <f>IFERROR((INDEX(METADATA!$T$2:$T$20,MATCH(B7706,METADATA!$S$2:$S$20,0))),0)</f>
        <v>0</v>
      </c>
      <c r="E7706" s="312" t="str">
        <f t="shared" si="480"/>
        <v>LO</v>
      </c>
      <c r="F7706" s="369">
        <f>VLOOKUP(C7706,METADATA!$A$5:$H$29,IF(E7706="HI",2,IF(E7706="LO",6,10))+IF(D7706=1,2,IF(D7706=7,1,(IF(WEEKDAY(B7706)=1,2,IF(WEEKDAY(B7706)=7,1,0))))))</f>
        <v>3</v>
      </c>
      <c r="G7706" s="369">
        <f>VLOOKUP(C7706,METADATA!$J$5:$Q$29,IF(E7706="HI",2,IF(E7706="LO",6,10))+IF(D7706=1,2,IF(D7706=7,1,(IF(WEEKDAY(B7706)=1,2,IF(WEEKDAY(B7706)=7,1,0))))))</f>
        <v>3</v>
      </c>
      <c r="H7706" s="370">
        <v>11308.97509765625</v>
      </c>
      <c r="I7706" s="370">
        <v>8913.5250244140625</v>
      </c>
      <c r="M7706" s="371">
        <f t="shared" si="481"/>
        <v>14399.439090473797</v>
      </c>
      <c r="N7706" s="329">
        <f t="shared" si="482"/>
        <v>5520.8324951171871</v>
      </c>
      <c r="T7706" s="331">
        <v>0</v>
      </c>
      <c r="U7706" s="328">
        <f>VLOOKUP(C7706,METADATA!$J$5:$Q$29,IF(E7706="HI",2,IF(E7706="LO",6,10))+IF(T7706=1,2,IF(D7706=7,1,(IF(WEEKDAY(B7706)=1,2,IF(WEEKDAY(B7706)=7,1,0))))))</f>
        <v>3</v>
      </c>
      <c r="V7706" s="328">
        <f>VLOOKUP(C7706,METADATA!$A$5:$H$29,IF(E7706="HI",2,IF(E7706="LO",6,10))+IF(T7706=1,2,IF(D7706=7,1,(IF(WEEKDAY(B7706)=1,2,IF(WEEKDAY(B7706)=7,1,0))))))</f>
        <v>3</v>
      </c>
    </row>
    <row r="7707" spans="2:22">
      <c r="B7707" s="318">
        <f t="shared" si="479"/>
        <v>46433</v>
      </c>
      <c r="C7707" s="312">
        <v>23</v>
      </c>
      <c r="D7707" s="368">
        <f>IFERROR((INDEX(METADATA!$T$2:$T$20,MATCH(B7707,METADATA!$S$2:$S$20,0))),0)</f>
        <v>0</v>
      </c>
      <c r="E7707" s="312" t="str">
        <f t="shared" si="480"/>
        <v>LO</v>
      </c>
      <c r="F7707" s="369">
        <f>VLOOKUP(C7707,METADATA!$A$5:$H$29,IF(E7707="HI",2,IF(E7707="LO",6,10))+IF(D7707=1,2,IF(D7707=7,1,(IF(WEEKDAY(B7707)=1,2,IF(WEEKDAY(B7707)=7,1,0))))))</f>
        <v>3</v>
      </c>
      <c r="G7707" s="369">
        <f>VLOOKUP(C7707,METADATA!$J$5:$Q$29,IF(E7707="HI",2,IF(E7707="LO",6,10))+IF(D7707=1,2,IF(D7707=7,1,(IF(WEEKDAY(B7707)=1,2,IF(WEEKDAY(B7707)=7,1,0))))))</f>
        <v>3</v>
      </c>
      <c r="H7707" s="370">
        <v>12959.399841308594</v>
      </c>
      <c r="I7707" s="370">
        <v>9670.9501342773438</v>
      </c>
      <c r="M7707" s="371">
        <f t="shared" si="481"/>
        <v>16170.136695358768</v>
      </c>
      <c r="N7707" s="329">
        <f t="shared" si="482"/>
        <v>5783.130181884766</v>
      </c>
      <c r="T7707" s="331">
        <v>0</v>
      </c>
      <c r="U7707" s="328">
        <f>VLOOKUP(C7707,METADATA!$J$5:$Q$29,IF(E7707="HI",2,IF(E7707="LO",6,10))+IF(T7707=1,2,IF(D7707=7,1,(IF(WEEKDAY(B7707)=1,2,IF(WEEKDAY(B7707)=7,1,0))))))</f>
        <v>3</v>
      </c>
      <c r="V7707" s="328">
        <f>VLOOKUP(C7707,METADATA!$A$5:$H$29,IF(E7707="HI",2,IF(E7707="LO",6,10))+IF(T7707=1,2,IF(D7707=7,1,(IF(WEEKDAY(B7707)=1,2,IF(WEEKDAY(B7707)=7,1,0))))))</f>
        <v>3</v>
      </c>
    </row>
    <row r="7708" spans="2:22">
      <c r="B7708" s="318">
        <f t="shared" ref="B7708:B7771" si="483">B7684+1</f>
        <v>46434</v>
      </c>
      <c r="C7708" s="312">
        <v>0</v>
      </c>
      <c r="D7708" s="368">
        <f>IFERROR((INDEX(METADATA!$T$2:$T$20,MATCH(B7708,METADATA!$S$2:$S$20,0))),0)</f>
        <v>0</v>
      </c>
      <c r="E7708" s="312" t="str">
        <f t="shared" si="480"/>
        <v>LO</v>
      </c>
      <c r="F7708" s="369">
        <f>VLOOKUP(C7708,METADATA!$A$5:$H$29,IF(E7708="HI",2,IF(E7708="LO",6,10))+IF(D7708=1,2,IF(D7708=7,1,(IF(WEEKDAY(B7708)=1,2,IF(WEEKDAY(B7708)=7,1,0))))))</f>
        <v>3</v>
      </c>
      <c r="G7708" s="369">
        <f>VLOOKUP(C7708,METADATA!$J$5:$Q$29,IF(E7708="HI",2,IF(E7708="LO",6,10))+IF(D7708=1,2,IF(D7708=7,1,(IF(WEEKDAY(B7708)=1,2,IF(WEEKDAY(B7708)=7,1,0))))))</f>
        <v>3</v>
      </c>
      <c r="H7708" s="370">
        <v>12856.000061035156</v>
      </c>
      <c r="I7708" s="370">
        <v>9804.25</v>
      </c>
      <c r="M7708" s="371">
        <f t="shared" si="481"/>
        <v>16167.871091514675</v>
      </c>
      <c r="N7708" s="329">
        <f t="shared" si="482"/>
        <v>5947.4499816894531</v>
      </c>
      <c r="T7708" s="331">
        <v>0</v>
      </c>
      <c r="U7708" s="328">
        <f>VLOOKUP(C7708,METADATA!$J$5:$Q$29,IF(E7708="HI",2,IF(E7708="LO",6,10))+IF(T7708=1,2,IF(D7708=7,1,(IF(WEEKDAY(B7708)=1,2,IF(WEEKDAY(B7708)=7,1,0))))))</f>
        <v>3</v>
      </c>
      <c r="V7708" s="328">
        <f>VLOOKUP(C7708,METADATA!$A$5:$H$29,IF(E7708="HI",2,IF(E7708="LO",6,10))+IF(T7708=1,2,IF(D7708=7,1,(IF(WEEKDAY(B7708)=1,2,IF(WEEKDAY(B7708)=7,1,0))))))</f>
        <v>3</v>
      </c>
    </row>
    <row r="7709" spans="2:22">
      <c r="B7709" s="318">
        <f t="shared" si="483"/>
        <v>46434</v>
      </c>
      <c r="C7709" s="312">
        <v>1</v>
      </c>
      <c r="D7709" s="368">
        <f>IFERROR((INDEX(METADATA!$T$2:$T$20,MATCH(B7709,METADATA!$S$2:$S$20,0))),0)</f>
        <v>0</v>
      </c>
      <c r="E7709" s="312" t="str">
        <f t="shared" si="480"/>
        <v>LO</v>
      </c>
      <c r="F7709" s="369">
        <f>VLOOKUP(C7709,METADATA!$A$5:$H$29,IF(E7709="HI",2,IF(E7709="LO",6,10))+IF(D7709=1,2,IF(D7709=7,1,(IF(WEEKDAY(B7709)=1,2,IF(WEEKDAY(B7709)=7,1,0))))))</f>
        <v>3</v>
      </c>
      <c r="G7709" s="369">
        <f>VLOOKUP(C7709,METADATA!$J$5:$Q$29,IF(E7709="HI",2,IF(E7709="LO",6,10))+IF(D7709=1,2,IF(D7709=7,1,(IF(WEEKDAY(B7709)=1,2,IF(WEEKDAY(B7709)=7,1,0))))))</f>
        <v>3</v>
      </c>
      <c r="H7709" s="370">
        <v>12827.877563476563</v>
      </c>
      <c r="I7709" s="370">
        <v>9743.6598510742188</v>
      </c>
      <c r="M7709" s="371">
        <f t="shared" si="481"/>
        <v>16108.797288344684</v>
      </c>
      <c r="N7709" s="329">
        <f t="shared" si="482"/>
        <v>5895.2965820312502</v>
      </c>
      <c r="T7709" s="331">
        <v>0</v>
      </c>
      <c r="U7709" s="328">
        <f>VLOOKUP(C7709,METADATA!$J$5:$Q$29,IF(E7709="HI",2,IF(E7709="LO",6,10))+IF(T7709=1,2,IF(D7709=7,1,(IF(WEEKDAY(B7709)=1,2,IF(WEEKDAY(B7709)=7,1,0))))))</f>
        <v>3</v>
      </c>
      <c r="V7709" s="328">
        <f>VLOOKUP(C7709,METADATA!$A$5:$H$29,IF(E7709="HI",2,IF(E7709="LO",6,10))+IF(T7709=1,2,IF(D7709=7,1,(IF(WEEKDAY(B7709)=1,2,IF(WEEKDAY(B7709)=7,1,0))))))</f>
        <v>3</v>
      </c>
    </row>
    <row r="7710" spans="2:22">
      <c r="B7710" s="318">
        <f t="shared" si="483"/>
        <v>46434</v>
      </c>
      <c r="C7710" s="312">
        <v>2</v>
      </c>
      <c r="D7710" s="368">
        <f>IFERROR((INDEX(METADATA!$T$2:$T$20,MATCH(B7710,METADATA!$S$2:$S$20,0))),0)</f>
        <v>0</v>
      </c>
      <c r="E7710" s="312" t="str">
        <f t="shared" si="480"/>
        <v>LO</v>
      </c>
      <c r="F7710" s="369">
        <f>VLOOKUP(C7710,METADATA!$A$5:$H$29,IF(E7710="HI",2,IF(E7710="LO",6,10))+IF(D7710=1,2,IF(D7710=7,1,(IF(WEEKDAY(B7710)=1,2,IF(WEEKDAY(B7710)=7,1,0))))))</f>
        <v>3</v>
      </c>
      <c r="G7710" s="369">
        <f>VLOOKUP(C7710,METADATA!$J$5:$Q$29,IF(E7710="HI",2,IF(E7710="LO",6,10))+IF(D7710=1,2,IF(D7710=7,1,(IF(WEEKDAY(B7710)=1,2,IF(WEEKDAY(B7710)=7,1,0))))))</f>
        <v>3</v>
      </c>
      <c r="H7710" s="370">
        <v>12840.574768066406</v>
      </c>
      <c r="I7710" s="370">
        <v>9837.5000610351563</v>
      </c>
      <c r="M7710" s="371">
        <f t="shared" si="481"/>
        <v>16175.808104239193</v>
      </c>
      <c r="N7710" s="329">
        <f t="shared" si="482"/>
        <v>5985.3276306152347</v>
      </c>
      <c r="T7710" s="331">
        <v>0</v>
      </c>
      <c r="U7710" s="328">
        <f>VLOOKUP(C7710,METADATA!$J$5:$Q$29,IF(E7710="HI",2,IF(E7710="LO",6,10))+IF(T7710=1,2,IF(D7710=7,1,(IF(WEEKDAY(B7710)=1,2,IF(WEEKDAY(B7710)=7,1,0))))))</f>
        <v>3</v>
      </c>
      <c r="V7710" s="328">
        <f>VLOOKUP(C7710,METADATA!$A$5:$H$29,IF(E7710="HI",2,IF(E7710="LO",6,10))+IF(T7710=1,2,IF(D7710=7,1,(IF(WEEKDAY(B7710)=1,2,IF(WEEKDAY(B7710)=7,1,0))))))</f>
        <v>3</v>
      </c>
    </row>
    <row r="7711" spans="2:22">
      <c r="B7711" s="318">
        <f t="shared" si="483"/>
        <v>46434</v>
      </c>
      <c r="C7711" s="312">
        <v>3</v>
      </c>
      <c r="D7711" s="368">
        <f>IFERROR((INDEX(METADATA!$T$2:$T$20,MATCH(B7711,METADATA!$S$2:$S$20,0))),0)</f>
        <v>0</v>
      </c>
      <c r="E7711" s="312" t="str">
        <f t="shared" si="480"/>
        <v>LO</v>
      </c>
      <c r="F7711" s="369">
        <f>VLOOKUP(C7711,METADATA!$A$5:$H$29,IF(E7711="HI",2,IF(E7711="LO",6,10))+IF(D7711=1,2,IF(D7711=7,1,(IF(WEEKDAY(B7711)=1,2,IF(WEEKDAY(B7711)=7,1,0))))))</f>
        <v>3</v>
      </c>
      <c r="G7711" s="369">
        <f>VLOOKUP(C7711,METADATA!$J$5:$Q$29,IF(E7711="HI",2,IF(E7711="LO",6,10))+IF(D7711=1,2,IF(D7711=7,1,(IF(WEEKDAY(B7711)=1,2,IF(WEEKDAY(B7711)=7,1,0))))))</f>
        <v>3</v>
      </c>
      <c r="H7711" s="370">
        <v>12870.575256347656</v>
      </c>
      <c r="I7711" s="370">
        <v>9768.8250122070313</v>
      </c>
      <c r="M7711" s="371">
        <f t="shared" si="481"/>
        <v>16158.021213887245</v>
      </c>
      <c r="N7711" s="329">
        <f t="shared" si="482"/>
        <v>5907.6524353027344</v>
      </c>
      <c r="T7711" s="331">
        <v>0</v>
      </c>
      <c r="U7711" s="328">
        <f>VLOOKUP(C7711,METADATA!$J$5:$Q$29,IF(E7711="HI",2,IF(E7711="LO",6,10))+IF(T7711=1,2,IF(D7711=7,1,(IF(WEEKDAY(B7711)=1,2,IF(WEEKDAY(B7711)=7,1,0))))))</f>
        <v>3</v>
      </c>
      <c r="V7711" s="328">
        <f>VLOOKUP(C7711,METADATA!$A$5:$H$29,IF(E7711="HI",2,IF(E7711="LO",6,10))+IF(T7711=1,2,IF(D7711=7,1,(IF(WEEKDAY(B7711)=1,2,IF(WEEKDAY(B7711)=7,1,0))))))</f>
        <v>3</v>
      </c>
    </row>
    <row r="7712" spans="2:22">
      <c r="B7712" s="318">
        <f t="shared" si="483"/>
        <v>46434</v>
      </c>
      <c r="C7712" s="312">
        <v>4</v>
      </c>
      <c r="D7712" s="368">
        <f>IFERROR((INDEX(METADATA!$T$2:$T$20,MATCH(B7712,METADATA!$S$2:$S$20,0))),0)</f>
        <v>0</v>
      </c>
      <c r="E7712" s="312" t="str">
        <f t="shared" si="480"/>
        <v>LO</v>
      </c>
      <c r="F7712" s="369">
        <f>VLOOKUP(C7712,METADATA!$A$5:$H$29,IF(E7712="HI",2,IF(E7712="LO",6,10))+IF(D7712=1,2,IF(D7712=7,1,(IF(WEEKDAY(B7712)=1,2,IF(WEEKDAY(B7712)=7,1,0))))))</f>
        <v>3</v>
      </c>
      <c r="G7712" s="369">
        <f>VLOOKUP(C7712,METADATA!$J$5:$Q$29,IF(E7712="HI",2,IF(E7712="LO",6,10))+IF(D7712=1,2,IF(D7712=7,1,(IF(WEEKDAY(B7712)=1,2,IF(WEEKDAY(B7712)=7,1,0))))))</f>
        <v>3</v>
      </c>
      <c r="H7712" s="370">
        <v>12879.625</v>
      </c>
      <c r="I7712" s="370">
        <v>9724.6499633789063</v>
      </c>
      <c r="M7712" s="371">
        <f t="shared" si="481"/>
        <v>16138.573575470366</v>
      </c>
      <c r="N7712" s="329">
        <f t="shared" si="482"/>
        <v>5860.7624633789064</v>
      </c>
      <c r="T7712" s="331">
        <v>0</v>
      </c>
      <c r="U7712" s="328">
        <f>VLOOKUP(C7712,METADATA!$J$5:$Q$29,IF(E7712="HI",2,IF(E7712="LO",6,10))+IF(T7712=1,2,IF(D7712=7,1,(IF(WEEKDAY(B7712)=1,2,IF(WEEKDAY(B7712)=7,1,0))))))</f>
        <v>3</v>
      </c>
      <c r="V7712" s="328">
        <f>VLOOKUP(C7712,METADATA!$A$5:$H$29,IF(E7712="HI",2,IF(E7712="LO",6,10))+IF(T7712=1,2,IF(D7712=7,1,(IF(WEEKDAY(B7712)=1,2,IF(WEEKDAY(B7712)=7,1,0))))))</f>
        <v>3</v>
      </c>
    </row>
    <row r="7713" spans="2:22">
      <c r="B7713" s="318">
        <f t="shared" si="483"/>
        <v>46434</v>
      </c>
      <c r="C7713" s="312">
        <v>5</v>
      </c>
      <c r="D7713" s="368">
        <f>IFERROR((INDEX(METADATA!$T$2:$T$20,MATCH(B7713,METADATA!$S$2:$S$20,0))),0)</f>
        <v>0</v>
      </c>
      <c r="E7713" s="312" t="str">
        <f t="shared" si="480"/>
        <v>LO</v>
      </c>
      <c r="F7713" s="369">
        <f>VLOOKUP(C7713,METADATA!$A$5:$H$29,IF(E7713="HI",2,IF(E7713="LO",6,10))+IF(D7713=1,2,IF(D7713=7,1,(IF(WEEKDAY(B7713)=1,2,IF(WEEKDAY(B7713)=7,1,0))))))</f>
        <v>3</v>
      </c>
      <c r="G7713" s="369">
        <f>VLOOKUP(C7713,METADATA!$J$5:$Q$29,IF(E7713="HI",2,IF(E7713="LO",6,10))+IF(D7713=1,2,IF(D7713=7,1,(IF(WEEKDAY(B7713)=1,2,IF(WEEKDAY(B7713)=7,1,0))))))</f>
        <v>3</v>
      </c>
      <c r="H7713" s="370">
        <v>11943.332275390625</v>
      </c>
      <c r="I7713" s="370">
        <v>9137.1650390625</v>
      </c>
      <c r="M7713" s="371">
        <f t="shared" si="481"/>
        <v>15037.651771186</v>
      </c>
      <c r="N7713" s="329">
        <f t="shared" si="482"/>
        <v>5554.1653564453127</v>
      </c>
      <c r="T7713" s="331">
        <v>0</v>
      </c>
      <c r="U7713" s="328">
        <f>VLOOKUP(C7713,METADATA!$J$5:$Q$29,IF(E7713="HI",2,IF(E7713="LO",6,10))+IF(T7713=1,2,IF(D7713=7,1,(IF(WEEKDAY(B7713)=1,2,IF(WEEKDAY(B7713)=7,1,0))))))</f>
        <v>3</v>
      </c>
      <c r="V7713" s="328">
        <f>VLOOKUP(C7713,METADATA!$A$5:$H$29,IF(E7713="HI",2,IF(E7713="LO",6,10))+IF(T7713=1,2,IF(D7713=7,1,(IF(WEEKDAY(B7713)=1,2,IF(WEEKDAY(B7713)=7,1,0))))))</f>
        <v>3</v>
      </c>
    </row>
    <row r="7714" spans="2:22">
      <c r="B7714" s="318">
        <f t="shared" si="483"/>
        <v>46434</v>
      </c>
      <c r="C7714" s="312">
        <v>6</v>
      </c>
      <c r="D7714" s="368">
        <f>IFERROR((INDEX(METADATA!$T$2:$T$20,MATCH(B7714,METADATA!$S$2:$S$20,0))),0)</f>
        <v>0</v>
      </c>
      <c r="E7714" s="312" t="str">
        <f t="shared" si="480"/>
        <v>LO</v>
      </c>
      <c r="F7714" s="369">
        <f>VLOOKUP(C7714,METADATA!$A$5:$H$29,IF(E7714="HI",2,IF(E7714="LO",6,10))+IF(D7714=1,2,IF(D7714=7,1,(IF(WEEKDAY(B7714)=1,2,IF(WEEKDAY(B7714)=7,1,0))))))</f>
        <v>2</v>
      </c>
      <c r="G7714" s="369">
        <f>VLOOKUP(C7714,METADATA!$J$5:$Q$29,IF(E7714="HI",2,IF(E7714="LO",6,10))+IF(D7714=1,2,IF(D7714=7,1,(IF(WEEKDAY(B7714)=1,2,IF(WEEKDAY(B7714)=7,1,0))))))</f>
        <v>2</v>
      </c>
      <c r="H7714" s="370">
        <v>11230.44287109375</v>
      </c>
      <c r="I7714" s="370">
        <v>8679.7724914550781</v>
      </c>
      <c r="M7714" s="371">
        <f t="shared" si="481"/>
        <v>14193.70626666343</v>
      </c>
      <c r="N7714" s="329">
        <f t="shared" si="482"/>
        <v>5310.6396301269533</v>
      </c>
      <c r="T7714" s="331">
        <v>0</v>
      </c>
      <c r="U7714" s="328">
        <f>VLOOKUP(C7714,METADATA!$J$5:$Q$29,IF(E7714="HI",2,IF(E7714="LO",6,10))+IF(T7714=1,2,IF(D7714=7,1,(IF(WEEKDAY(B7714)=1,2,IF(WEEKDAY(B7714)=7,1,0))))))</f>
        <v>2</v>
      </c>
      <c r="V7714" s="328">
        <f>VLOOKUP(C7714,METADATA!$A$5:$H$29,IF(E7714="HI",2,IF(E7714="LO",6,10))+IF(T7714=1,2,IF(D7714=7,1,(IF(WEEKDAY(B7714)=1,2,IF(WEEKDAY(B7714)=7,1,0))))))</f>
        <v>2</v>
      </c>
    </row>
    <row r="7715" spans="2:22">
      <c r="B7715" s="318">
        <f t="shared" si="483"/>
        <v>46434</v>
      </c>
      <c r="C7715" s="312">
        <v>7</v>
      </c>
      <c r="D7715" s="368">
        <f>IFERROR((INDEX(METADATA!$T$2:$T$20,MATCH(B7715,METADATA!$S$2:$S$20,0))),0)</f>
        <v>0</v>
      </c>
      <c r="E7715" s="312" t="str">
        <f t="shared" si="480"/>
        <v>LO</v>
      </c>
      <c r="F7715" s="369">
        <f>VLOOKUP(C7715,METADATA!$A$5:$H$29,IF(E7715="HI",2,IF(E7715="LO",6,10))+IF(D7715=1,2,IF(D7715=7,1,(IF(WEEKDAY(B7715)=1,2,IF(WEEKDAY(B7715)=7,1,0))))))</f>
        <v>1</v>
      </c>
      <c r="G7715" s="369">
        <f>VLOOKUP(C7715,METADATA!$J$5:$Q$29,IF(E7715="HI",2,IF(E7715="LO",6,10))+IF(D7715=1,2,IF(D7715=7,1,(IF(WEEKDAY(B7715)=1,2,IF(WEEKDAY(B7715)=7,1,0))))))</f>
        <v>1</v>
      </c>
      <c r="H7715" s="370">
        <v>13009.824951171875</v>
      </c>
      <c r="I7715" s="370">
        <v>9695.7750244140625</v>
      </c>
      <c r="M7715" s="371">
        <f t="shared" si="481"/>
        <v>16225.399797360489</v>
      </c>
      <c r="N7715" s="329">
        <f t="shared" si="482"/>
        <v>5792.8275390625004</v>
      </c>
      <c r="T7715" s="331">
        <v>0</v>
      </c>
      <c r="U7715" s="328">
        <f>VLOOKUP(C7715,METADATA!$J$5:$Q$29,IF(E7715="HI",2,IF(E7715="LO",6,10))+IF(T7715=1,2,IF(D7715=7,1,(IF(WEEKDAY(B7715)=1,2,IF(WEEKDAY(B7715)=7,1,0))))))</f>
        <v>1</v>
      </c>
      <c r="V7715" s="328">
        <f>VLOOKUP(C7715,METADATA!$A$5:$H$29,IF(E7715="HI",2,IF(E7715="LO",6,10))+IF(T7715=1,2,IF(D7715=7,1,(IF(WEEKDAY(B7715)=1,2,IF(WEEKDAY(B7715)=7,1,0))))))</f>
        <v>1</v>
      </c>
    </row>
    <row r="7716" spans="2:22">
      <c r="B7716" s="318">
        <f t="shared" si="483"/>
        <v>46434</v>
      </c>
      <c r="C7716" s="312">
        <v>8</v>
      </c>
      <c r="D7716" s="368">
        <f>IFERROR((INDEX(METADATA!$T$2:$T$20,MATCH(B7716,METADATA!$S$2:$S$20,0))),0)</f>
        <v>0</v>
      </c>
      <c r="E7716" s="312" t="str">
        <f t="shared" si="480"/>
        <v>LO</v>
      </c>
      <c r="F7716" s="369">
        <f>VLOOKUP(C7716,METADATA!$A$5:$H$29,IF(E7716="HI",2,IF(E7716="LO",6,10))+IF(D7716=1,2,IF(D7716=7,1,(IF(WEEKDAY(B7716)=1,2,IF(WEEKDAY(B7716)=7,1,0))))))</f>
        <v>1</v>
      </c>
      <c r="G7716" s="369">
        <f>VLOOKUP(C7716,METADATA!$J$5:$Q$29,IF(E7716="HI",2,IF(E7716="LO",6,10))+IF(D7716=1,2,IF(D7716=7,1,(IF(WEEKDAY(B7716)=1,2,IF(WEEKDAY(B7716)=7,1,0))))))</f>
        <v>1</v>
      </c>
      <c r="H7716" s="370">
        <v>13106.649841308594</v>
      </c>
      <c r="I7716" s="370">
        <v>9580.1748657226563</v>
      </c>
      <c r="M7716" s="371">
        <f t="shared" si="481"/>
        <v>16234.654924589518</v>
      </c>
      <c r="N7716" s="329">
        <f t="shared" si="482"/>
        <v>5648.1799133300783</v>
      </c>
      <c r="T7716" s="331">
        <v>0</v>
      </c>
      <c r="U7716" s="328">
        <f>VLOOKUP(C7716,METADATA!$J$5:$Q$29,IF(E7716="HI",2,IF(E7716="LO",6,10))+IF(T7716=1,2,IF(D7716=7,1,(IF(WEEKDAY(B7716)=1,2,IF(WEEKDAY(B7716)=7,1,0))))))</f>
        <v>1</v>
      </c>
      <c r="V7716" s="328">
        <f>VLOOKUP(C7716,METADATA!$A$5:$H$29,IF(E7716="HI",2,IF(E7716="LO",6,10))+IF(T7716=1,2,IF(D7716=7,1,(IF(WEEKDAY(B7716)=1,2,IF(WEEKDAY(B7716)=7,1,0))))))</f>
        <v>1</v>
      </c>
    </row>
    <row r="7717" spans="2:22">
      <c r="B7717" s="318">
        <f t="shared" si="483"/>
        <v>46434</v>
      </c>
      <c r="C7717" s="312">
        <v>9</v>
      </c>
      <c r="D7717" s="368">
        <f>IFERROR((INDEX(METADATA!$T$2:$T$20,MATCH(B7717,METADATA!$S$2:$S$20,0))),0)</f>
        <v>0</v>
      </c>
      <c r="E7717" s="312" t="str">
        <f t="shared" si="480"/>
        <v>LO</v>
      </c>
      <c r="F7717" s="369">
        <f>VLOOKUP(C7717,METADATA!$A$5:$H$29,IF(E7717="HI",2,IF(E7717="LO",6,10))+IF(D7717=1,2,IF(D7717=7,1,(IF(WEEKDAY(B7717)=1,2,IF(WEEKDAY(B7717)=7,1,0))))))</f>
        <v>2</v>
      </c>
      <c r="G7717" s="369">
        <f>VLOOKUP(C7717,METADATA!$J$5:$Q$29,IF(E7717="HI",2,IF(E7717="LO",6,10))+IF(D7717=1,2,IF(D7717=7,1,(IF(WEEKDAY(B7717)=1,2,IF(WEEKDAY(B7717)=7,1,0))))))</f>
        <v>2</v>
      </c>
      <c r="H7717" s="370">
        <v>13102.675354003906</v>
      </c>
      <c r="I7717" s="370">
        <v>9670.2249755859375</v>
      </c>
      <c r="M7717" s="371">
        <f t="shared" si="481"/>
        <v>16284.758288377123</v>
      </c>
      <c r="N7717" s="329">
        <f t="shared" si="482"/>
        <v>5739.4223693847653</v>
      </c>
      <c r="T7717" s="331">
        <v>0</v>
      </c>
      <c r="U7717" s="328">
        <f>VLOOKUP(C7717,METADATA!$J$5:$Q$29,IF(E7717="HI",2,IF(E7717="LO",6,10))+IF(T7717=1,2,IF(D7717=7,1,(IF(WEEKDAY(B7717)=1,2,IF(WEEKDAY(B7717)=7,1,0))))))</f>
        <v>2</v>
      </c>
      <c r="V7717" s="328">
        <f>VLOOKUP(C7717,METADATA!$A$5:$H$29,IF(E7717="HI",2,IF(E7717="LO",6,10))+IF(T7717=1,2,IF(D7717=7,1,(IF(WEEKDAY(B7717)=1,2,IF(WEEKDAY(B7717)=7,1,0))))))</f>
        <v>2</v>
      </c>
    </row>
    <row r="7718" spans="2:22">
      <c r="B7718" s="318">
        <f t="shared" si="483"/>
        <v>46434</v>
      </c>
      <c r="C7718" s="312">
        <v>10</v>
      </c>
      <c r="D7718" s="368">
        <f>IFERROR((INDEX(METADATA!$T$2:$T$20,MATCH(B7718,METADATA!$S$2:$S$20,0))),0)</f>
        <v>0</v>
      </c>
      <c r="E7718" s="312" t="str">
        <f t="shared" si="480"/>
        <v>LO</v>
      </c>
      <c r="F7718" s="369">
        <f>VLOOKUP(C7718,METADATA!$A$5:$H$29,IF(E7718="HI",2,IF(E7718="LO",6,10))+IF(D7718=1,2,IF(D7718=7,1,(IF(WEEKDAY(B7718)=1,2,IF(WEEKDAY(B7718)=7,1,0))))))</f>
        <v>2</v>
      </c>
      <c r="G7718" s="369">
        <f>VLOOKUP(C7718,METADATA!$J$5:$Q$29,IF(E7718="HI",2,IF(E7718="LO",6,10))+IF(D7718=1,2,IF(D7718=7,1,(IF(WEEKDAY(B7718)=1,2,IF(WEEKDAY(B7718)=7,1,0))))))</f>
        <v>2</v>
      </c>
      <c r="H7718" s="370">
        <v>13129.375183105469</v>
      </c>
      <c r="I7718" s="370">
        <v>9673.9249267578125</v>
      </c>
      <c r="M7718" s="371">
        <f t="shared" si="481"/>
        <v>16308.443095136086</v>
      </c>
      <c r="N7718" s="329">
        <f t="shared" si="482"/>
        <v>5735.1123718261715</v>
      </c>
      <c r="T7718" s="331">
        <v>0</v>
      </c>
      <c r="U7718" s="328">
        <f>VLOOKUP(C7718,METADATA!$J$5:$Q$29,IF(E7718="HI",2,IF(E7718="LO",6,10))+IF(T7718=1,2,IF(D7718=7,1,(IF(WEEKDAY(B7718)=1,2,IF(WEEKDAY(B7718)=7,1,0))))))</f>
        <v>2</v>
      </c>
      <c r="V7718" s="328">
        <f>VLOOKUP(C7718,METADATA!$A$5:$H$29,IF(E7718="HI",2,IF(E7718="LO",6,10))+IF(T7718=1,2,IF(D7718=7,1,(IF(WEEKDAY(B7718)=1,2,IF(WEEKDAY(B7718)=7,1,0))))))</f>
        <v>2</v>
      </c>
    </row>
    <row r="7719" spans="2:22">
      <c r="B7719" s="318">
        <f t="shared" si="483"/>
        <v>46434</v>
      </c>
      <c r="C7719" s="312">
        <v>11</v>
      </c>
      <c r="D7719" s="368">
        <f>IFERROR((INDEX(METADATA!$T$2:$T$20,MATCH(B7719,METADATA!$S$2:$S$20,0))),0)</f>
        <v>0</v>
      </c>
      <c r="E7719" s="312" t="str">
        <f t="shared" si="480"/>
        <v>LO</v>
      </c>
      <c r="F7719" s="369">
        <f>VLOOKUP(C7719,METADATA!$A$5:$H$29,IF(E7719="HI",2,IF(E7719="LO",6,10))+IF(D7719=1,2,IF(D7719=7,1,(IF(WEEKDAY(B7719)=1,2,IF(WEEKDAY(B7719)=7,1,0))))))</f>
        <v>2</v>
      </c>
      <c r="G7719" s="369">
        <f>VLOOKUP(C7719,METADATA!$J$5:$Q$29,IF(E7719="HI",2,IF(E7719="LO",6,10))+IF(D7719=1,2,IF(D7719=7,1,(IF(WEEKDAY(B7719)=1,2,IF(WEEKDAY(B7719)=7,1,0))))))</f>
        <v>2</v>
      </c>
      <c r="H7719" s="370">
        <v>12888.175109863281</v>
      </c>
      <c r="I7719" s="370">
        <v>9610</v>
      </c>
      <c r="M7719" s="371">
        <f t="shared" si="481"/>
        <v>16076.602802286912</v>
      </c>
      <c r="N7719" s="329">
        <f t="shared" si="482"/>
        <v>5743.5474670410158</v>
      </c>
      <c r="T7719" s="331">
        <v>0</v>
      </c>
      <c r="U7719" s="328">
        <f>VLOOKUP(C7719,METADATA!$J$5:$Q$29,IF(E7719="HI",2,IF(E7719="LO",6,10))+IF(T7719=1,2,IF(D7719=7,1,(IF(WEEKDAY(B7719)=1,2,IF(WEEKDAY(B7719)=7,1,0))))))</f>
        <v>2</v>
      </c>
      <c r="V7719" s="328">
        <f>VLOOKUP(C7719,METADATA!$A$5:$H$29,IF(E7719="HI",2,IF(E7719="LO",6,10))+IF(T7719=1,2,IF(D7719=7,1,(IF(WEEKDAY(B7719)=1,2,IF(WEEKDAY(B7719)=7,1,0))))))</f>
        <v>2</v>
      </c>
    </row>
    <row r="7720" spans="2:22">
      <c r="B7720" s="318">
        <f t="shared" si="483"/>
        <v>46434</v>
      </c>
      <c r="C7720" s="312">
        <v>12</v>
      </c>
      <c r="D7720" s="368">
        <f>IFERROR((INDEX(METADATA!$T$2:$T$20,MATCH(B7720,METADATA!$S$2:$S$20,0))),0)</f>
        <v>0</v>
      </c>
      <c r="E7720" s="312" t="str">
        <f t="shared" si="480"/>
        <v>LO</v>
      </c>
      <c r="F7720" s="369">
        <f>VLOOKUP(C7720,METADATA!$A$5:$H$29,IF(E7720="HI",2,IF(E7720="LO",6,10))+IF(D7720=1,2,IF(D7720=7,1,(IF(WEEKDAY(B7720)=1,2,IF(WEEKDAY(B7720)=7,1,0))))))</f>
        <v>2</v>
      </c>
      <c r="G7720" s="369">
        <f>VLOOKUP(C7720,METADATA!$J$5:$Q$29,IF(E7720="HI",2,IF(E7720="LO",6,10))+IF(D7720=1,2,IF(D7720=7,1,(IF(WEEKDAY(B7720)=1,2,IF(WEEKDAY(B7720)=7,1,0))))))</f>
        <v>2</v>
      </c>
      <c r="H7720" s="370">
        <v>13190.875</v>
      </c>
      <c r="I7720" s="370">
        <v>9769.0748901367188</v>
      </c>
      <c r="M7720" s="371">
        <f t="shared" si="481"/>
        <v>16414.44508579942</v>
      </c>
      <c r="N7720" s="329">
        <f t="shared" si="482"/>
        <v>5811.8123901367189</v>
      </c>
      <c r="T7720" s="331">
        <v>0</v>
      </c>
      <c r="U7720" s="328">
        <f>VLOOKUP(C7720,METADATA!$J$5:$Q$29,IF(E7720="HI",2,IF(E7720="LO",6,10))+IF(T7720=1,2,IF(D7720=7,1,(IF(WEEKDAY(B7720)=1,2,IF(WEEKDAY(B7720)=7,1,0))))))</f>
        <v>2</v>
      </c>
      <c r="V7720" s="328">
        <f>VLOOKUP(C7720,METADATA!$A$5:$H$29,IF(E7720="HI",2,IF(E7720="LO",6,10))+IF(T7720=1,2,IF(D7720=7,1,(IF(WEEKDAY(B7720)=1,2,IF(WEEKDAY(B7720)=7,1,0))))))</f>
        <v>2</v>
      </c>
    </row>
    <row r="7721" spans="2:22">
      <c r="B7721" s="318">
        <f t="shared" si="483"/>
        <v>46434</v>
      </c>
      <c r="C7721" s="312">
        <v>13</v>
      </c>
      <c r="D7721" s="368">
        <f>IFERROR((INDEX(METADATA!$T$2:$T$20,MATCH(B7721,METADATA!$S$2:$S$20,0))),0)</f>
        <v>0</v>
      </c>
      <c r="E7721" s="312" t="str">
        <f t="shared" si="480"/>
        <v>LO</v>
      </c>
      <c r="F7721" s="369">
        <f>VLOOKUP(C7721,METADATA!$A$5:$H$29,IF(E7721="HI",2,IF(E7721="LO",6,10))+IF(D7721=1,2,IF(D7721=7,1,(IF(WEEKDAY(B7721)=1,2,IF(WEEKDAY(B7721)=7,1,0))))))</f>
        <v>2</v>
      </c>
      <c r="G7721" s="369">
        <f>VLOOKUP(C7721,METADATA!$J$5:$Q$29,IF(E7721="HI",2,IF(E7721="LO",6,10))+IF(D7721=1,2,IF(D7721=7,1,(IF(WEEKDAY(B7721)=1,2,IF(WEEKDAY(B7721)=7,1,0))))))</f>
        <v>2</v>
      </c>
      <c r="H7721" s="370">
        <v>13248.150146484375</v>
      </c>
      <c r="I7721" s="370">
        <v>9613.52490234375</v>
      </c>
      <c r="M7721" s="371">
        <f t="shared" si="481"/>
        <v>16368.669565721502</v>
      </c>
      <c r="N7721" s="329">
        <f t="shared" si="482"/>
        <v>5639.0798583984379</v>
      </c>
      <c r="T7721" s="331">
        <v>0</v>
      </c>
      <c r="U7721" s="328">
        <f>VLOOKUP(C7721,METADATA!$J$5:$Q$29,IF(E7721="HI",2,IF(E7721="LO",6,10))+IF(T7721=1,2,IF(D7721=7,1,(IF(WEEKDAY(B7721)=1,2,IF(WEEKDAY(B7721)=7,1,0))))))</f>
        <v>2</v>
      </c>
      <c r="V7721" s="328">
        <f>VLOOKUP(C7721,METADATA!$A$5:$H$29,IF(E7721="HI",2,IF(E7721="LO",6,10))+IF(T7721=1,2,IF(D7721=7,1,(IF(WEEKDAY(B7721)=1,2,IF(WEEKDAY(B7721)=7,1,0))))))</f>
        <v>2</v>
      </c>
    </row>
    <row r="7722" spans="2:22">
      <c r="B7722" s="318">
        <f t="shared" si="483"/>
        <v>46434</v>
      </c>
      <c r="C7722" s="312">
        <v>14</v>
      </c>
      <c r="D7722" s="368">
        <f>IFERROR((INDEX(METADATA!$T$2:$T$20,MATCH(B7722,METADATA!$S$2:$S$20,0))),0)</f>
        <v>0</v>
      </c>
      <c r="E7722" s="312" t="str">
        <f t="shared" si="480"/>
        <v>LO</v>
      </c>
      <c r="F7722" s="369">
        <f>VLOOKUP(C7722,METADATA!$A$5:$H$29,IF(E7722="HI",2,IF(E7722="LO",6,10))+IF(D7722=1,2,IF(D7722=7,1,(IF(WEEKDAY(B7722)=1,2,IF(WEEKDAY(B7722)=7,1,0))))))</f>
        <v>2</v>
      </c>
      <c r="G7722" s="369">
        <f>VLOOKUP(C7722,METADATA!$J$5:$Q$29,IF(E7722="HI",2,IF(E7722="LO",6,10))+IF(D7722=1,2,IF(D7722=7,1,(IF(WEEKDAY(B7722)=1,2,IF(WEEKDAY(B7722)=7,1,0))))))</f>
        <v>2</v>
      </c>
      <c r="H7722" s="370">
        <v>13293.549621582031</v>
      </c>
      <c r="I7722" s="370">
        <v>9774.900146484375</v>
      </c>
      <c r="M7722" s="371">
        <f t="shared" si="481"/>
        <v>16500.519216533885</v>
      </c>
      <c r="N7722" s="329">
        <f t="shared" si="482"/>
        <v>5786.835260009766</v>
      </c>
      <c r="T7722" s="331">
        <v>0</v>
      </c>
      <c r="U7722" s="328">
        <f>VLOOKUP(C7722,METADATA!$J$5:$Q$29,IF(E7722="HI",2,IF(E7722="LO",6,10))+IF(T7722=1,2,IF(D7722=7,1,(IF(WEEKDAY(B7722)=1,2,IF(WEEKDAY(B7722)=7,1,0))))))</f>
        <v>2</v>
      </c>
      <c r="V7722" s="328">
        <f>VLOOKUP(C7722,METADATA!$A$5:$H$29,IF(E7722="HI",2,IF(E7722="LO",6,10))+IF(T7722=1,2,IF(D7722=7,1,(IF(WEEKDAY(B7722)=1,2,IF(WEEKDAY(B7722)=7,1,0))))))</f>
        <v>2</v>
      </c>
    </row>
    <row r="7723" spans="2:22">
      <c r="B7723" s="318">
        <f t="shared" si="483"/>
        <v>46434</v>
      </c>
      <c r="C7723" s="312">
        <v>15</v>
      </c>
      <c r="D7723" s="368">
        <f>IFERROR((INDEX(METADATA!$T$2:$T$20,MATCH(B7723,METADATA!$S$2:$S$20,0))),0)</f>
        <v>0</v>
      </c>
      <c r="E7723" s="312" t="str">
        <f t="shared" si="480"/>
        <v>LO</v>
      </c>
      <c r="F7723" s="369">
        <f>VLOOKUP(C7723,METADATA!$A$5:$H$29,IF(E7723="HI",2,IF(E7723="LO",6,10))+IF(D7723=1,2,IF(D7723=7,1,(IF(WEEKDAY(B7723)=1,2,IF(WEEKDAY(B7723)=7,1,0))))))</f>
        <v>2</v>
      </c>
      <c r="G7723" s="369">
        <f>VLOOKUP(C7723,METADATA!$J$5:$Q$29,IF(E7723="HI",2,IF(E7723="LO",6,10))+IF(D7723=1,2,IF(D7723=7,1,(IF(WEEKDAY(B7723)=1,2,IF(WEEKDAY(B7723)=7,1,0))))))</f>
        <v>2</v>
      </c>
      <c r="H7723" s="370">
        <v>13103.199951171875</v>
      </c>
      <c r="I7723" s="370">
        <v>9638.6749877929688</v>
      </c>
      <c r="M7723" s="371">
        <f t="shared" si="481"/>
        <v>16266.465641948666</v>
      </c>
      <c r="N7723" s="329">
        <f t="shared" si="482"/>
        <v>5707.7150024414059</v>
      </c>
      <c r="T7723" s="331">
        <v>0</v>
      </c>
      <c r="U7723" s="328">
        <f>VLOOKUP(C7723,METADATA!$J$5:$Q$29,IF(E7723="HI",2,IF(E7723="LO",6,10))+IF(T7723=1,2,IF(D7723=7,1,(IF(WEEKDAY(B7723)=1,2,IF(WEEKDAY(B7723)=7,1,0))))))</f>
        <v>2</v>
      </c>
      <c r="V7723" s="328">
        <f>VLOOKUP(C7723,METADATA!$A$5:$H$29,IF(E7723="HI",2,IF(E7723="LO",6,10))+IF(T7723=1,2,IF(D7723=7,1,(IF(WEEKDAY(B7723)=1,2,IF(WEEKDAY(B7723)=7,1,0))))))</f>
        <v>2</v>
      </c>
    </row>
    <row r="7724" spans="2:22">
      <c r="B7724" s="318">
        <f t="shared" si="483"/>
        <v>46434</v>
      </c>
      <c r="C7724" s="312">
        <v>16</v>
      </c>
      <c r="D7724" s="368">
        <f>IFERROR((INDEX(METADATA!$T$2:$T$20,MATCH(B7724,METADATA!$S$2:$S$20,0))),0)</f>
        <v>0</v>
      </c>
      <c r="E7724" s="312" t="str">
        <f t="shared" si="480"/>
        <v>LO</v>
      </c>
      <c r="F7724" s="369">
        <f>VLOOKUP(C7724,METADATA!$A$5:$H$29,IF(E7724="HI",2,IF(E7724="LO",6,10))+IF(D7724=1,2,IF(D7724=7,1,(IF(WEEKDAY(B7724)=1,2,IF(WEEKDAY(B7724)=7,1,0))))))</f>
        <v>2</v>
      </c>
      <c r="G7724" s="369">
        <f>VLOOKUP(C7724,METADATA!$J$5:$Q$29,IF(E7724="HI",2,IF(E7724="LO",6,10))+IF(D7724=1,2,IF(D7724=7,1,(IF(WEEKDAY(B7724)=1,2,IF(WEEKDAY(B7724)=7,1,0))))))</f>
        <v>2</v>
      </c>
      <c r="H7724" s="370">
        <v>12851.85009765625</v>
      </c>
      <c r="I7724" s="370">
        <v>9462.27490234375</v>
      </c>
      <c r="M7724" s="371">
        <f t="shared" si="481"/>
        <v>15959.470456758627</v>
      </c>
      <c r="N7724" s="329">
        <f t="shared" si="482"/>
        <v>5606.7198730468754</v>
      </c>
      <c r="T7724" s="331">
        <v>0</v>
      </c>
      <c r="U7724" s="328">
        <f>VLOOKUP(C7724,METADATA!$J$5:$Q$29,IF(E7724="HI",2,IF(E7724="LO",6,10))+IF(T7724=1,2,IF(D7724=7,1,(IF(WEEKDAY(B7724)=1,2,IF(WEEKDAY(B7724)=7,1,0))))))</f>
        <v>2</v>
      </c>
      <c r="V7724" s="328">
        <f>VLOOKUP(C7724,METADATA!$A$5:$H$29,IF(E7724="HI",2,IF(E7724="LO",6,10))+IF(T7724=1,2,IF(D7724=7,1,(IF(WEEKDAY(B7724)=1,2,IF(WEEKDAY(B7724)=7,1,0))))))</f>
        <v>2</v>
      </c>
    </row>
    <row r="7725" spans="2:22">
      <c r="B7725" s="318">
        <f t="shared" si="483"/>
        <v>46434</v>
      </c>
      <c r="C7725" s="312">
        <v>17</v>
      </c>
      <c r="D7725" s="368">
        <f>IFERROR((INDEX(METADATA!$T$2:$T$20,MATCH(B7725,METADATA!$S$2:$S$20,0))),0)</f>
        <v>0</v>
      </c>
      <c r="E7725" s="312" t="str">
        <f t="shared" si="480"/>
        <v>LO</v>
      </c>
      <c r="F7725" s="369">
        <f>VLOOKUP(C7725,METADATA!$A$5:$H$29,IF(E7725="HI",2,IF(E7725="LO",6,10))+IF(D7725=1,2,IF(D7725=7,1,(IF(WEEKDAY(B7725)=1,2,IF(WEEKDAY(B7725)=7,1,0))))))</f>
        <v>2</v>
      </c>
      <c r="G7725" s="369">
        <f>VLOOKUP(C7725,METADATA!$J$5:$Q$29,IF(E7725="HI",2,IF(E7725="LO",6,10))+IF(D7725=1,2,IF(D7725=7,1,(IF(WEEKDAY(B7725)=1,2,IF(WEEKDAY(B7725)=7,1,0))))))</f>
        <v>2</v>
      </c>
      <c r="H7725" s="370">
        <v>12894.750061035156</v>
      </c>
      <c r="I7725" s="370">
        <v>9547.9750366210938</v>
      </c>
      <c r="M7725" s="371">
        <f t="shared" si="481"/>
        <v>16044.887236640392</v>
      </c>
      <c r="N7725" s="329">
        <f t="shared" si="482"/>
        <v>5679.5500183105469</v>
      </c>
      <c r="T7725" s="331">
        <v>0</v>
      </c>
      <c r="U7725" s="328">
        <f>VLOOKUP(C7725,METADATA!$J$5:$Q$29,IF(E7725="HI",2,IF(E7725="LO",6,10))+IF(T7725=1,2,IF(D7725=7,1,(IF(WEEKDAY(B7725)=1,2,IF(WEEKDAY(B7725)=7,1,0))))))</f>
        <v>2</v>
      </c>
      <c r="V7725" s="328">
        <f>VLOOKUP(C7725,METADATA!$A$5:$H$29,IF(E7725="HI",2,IF(E7725="LO",6,10))+IF(T7725=1,2,IF(D7725=7,1,(IF(WEEKDAY(B7725)=1,2,IF(WEEKDAY(B7725)=7,1,0))))))</f>
        <v>2</v>
      </c>
    </row>
    <row r="7726" spans="2:22">
      <c r="B7726" s="318">
        <f t="shared" si="483"/>
        <v>46434</v>
      </c>
      <c r="C7726" s="312">
        <v>18</v>
      </c>
      <c r="D7726" s="368">
        <f>IFERROR((INDEX(METADATA!$T$2:$T$20,MATCH(B7726,METADATA!$S$2:$S$20,0))),0)</f>
        <v>0</v>
      </c>
      <c r="E7726" s="312" t="str">
        <f t="shared" si="480"/>
        <v>LO</v>
      </c>
      <c r="F7726" s="369">
        <f>VLOOKUP(C7726,METADATA!$A$5:$H$29,IF(E7726="HI",2,IF(E7726="LO",6,10))+IF(D7726=1,2,IF(D7726=7,1,(IF(WEEKDAY(B7726)=1,2,IF(WEEKDAY(B7726)=7,1,0))))))</f>
        <v>1</v>
      </c>
      <c r="G7726" s="369">
        <f>VLOOKUP(C7726,METADATA!$J$5:$Q$29,IF(E7726="HI",2,IF(E7726="LO",6,10))+IF(D7726=1,2,IF(D7726=7,1,(IF(WEEKDAY(B7726)=1,2,IF(WEEKDAY(B7726)=7,1,0))))))</f>
        <v>1</v>
      </c>
      <c r="H7726" s="370">
        <v>12742.125</v>
      </c>
      <c r="I7726" s="370">
        <v>9520.10009765625</v>
      </c>
      <c r="M7726" s="371">
        <f t="shared" si="481"/>
        <v>15905.786852118305</v>
      </c>
      <c r="N7726" s="329">
        <f t="shared" si="482"/>
        <v>5697.4625976562502</v>
      </c>
      <c r="T7726" s="331">
        <v>0</v>
      </c>
      <c r="U7726" s="328">
        <f>VLOOKUP(C7726,METADATA!$J$5:$Q$29,IF(E7726="HI",2,IF(E7726="LO",6,10))+IF(T7726=1,2,IF(D7726=7,1,(IF(WEEKDAY(B7726)=1,2,IF(WEEKDAY(B7726)=7,1,0))))))</f>
        <v>1</v>
      </c>
      <c r="V7726" s="328">
        <f>VLOOKUP(C7726,METADATA!$A$5:$H$29,IF(E7726="HI",2,IF(E7726="LO",6,10))+IF(T7726=1,2,IF(D7726=7,1,(IF(WEEKDAY(B7726)=1,2,IF(WEEKDAY(B7726)=7,1,0))))))</f>
        <v>1</v>
      </c>
    </row>
    <row r="7727" spans="2:22">
      <c r="B7727" s="318">
        <f t="shared" si="483"/>
        <v>46434</v>
      </c>
      <c r="C7727" s="312">
        <v>19</v>
      </c>
      <c r="D7727" s="368">
        <f>IFERROR((INDEX(METADATA!$T$2:$T$20,MATCH(B7727,METADATA!$S$2:$S$20,0))),0)</f>
        <v>0</v>
      </c>
      <c r="E7727" s="312" t="str">
        <f t="shared" si="480"/>
        <v>LO</v>
      </c>
      <c r="F7727" s="369">
        <f>VLOOKUP(C7727,METADATA!$A$5:$H$29,IF(E7727="HI",2,IF(E7727="LO",6,10))+IF(D7727=1,2,IF(D7727=7,1,(IF(WEEKDAY(B7727)=1,2,IF(WEEKDAY(B7727)=7,1,0))))))</f>
        <v>1</v>
      </c>
      <c r="G7727" s="369">
        <f>VLOOKUP(C7727,METADATA!$J$5:$Q$29,IF(E7727="HI",2,IF(E7727="LO",6,10))+IF(D7727=1,2,IF(D7727=7,1,(IF(WEEKDAY(B7727)=1,2,IF(WEEKDAY(B7727)=7,1,0))))))</f>
        <v>1</v>
      </c>
      <c r="H7727" s="370">
        <v>12879.850158691406</v>
      </c>
      <c r="I7727" s="370">
        <v>9528.675048828125</v>
      </c>
      <c r="M7727" s="371">
        <f t="shared" si="481"/>
        <v>16021.429034156183</v>
      </c>
      <c r="N7727" s="329">
        <f t="shared" si="482"/>
        <v>5664.7200012207031</v>
      </c>
      <c r="T7727" s="331">
        <v>0</v>
      </c>
      <c r="U7727" s="328">
        <f>VLOOKUP(C7727,METADATA!$J$5:$Q$29,IF(E7727="HI",2,IF(E7727="LO",6,10))+IF(T7727=1,2,IF(D7727=7,1,(IF(WEEKDAY(B7727)=1,2,IF(WEEKDAY(B7727)=7,1,0))))))</f>
        <v>1</v>
      </c>
      <c r="V7727" s="328">
        <f>VLOOKUP(C7727,METADATA!$A$5:$H$29,IF(E7727="HI",2,IF(E7727="LO",6,10))+IF(T7727=1,2,IF(D7727=7,1,(IF(WEEKDAY(B7727)=1,2,IF(WEEKDAY(B7727)=7,1,0))))))</f>
        <v>1</v>
      </c>
    </row>
    <row r="7728" spans="2:22">
      <c r="B7728" s="318">
        <f t="shared" si="483"/>
        <v>46434</v>
      </c>
      <c r="C7728" s="312">
        <v>20</v>
      </c>
      <c r="D7728" s="368">
        <f>IFERROR((INDEX(METADATA!$T$2:$T$20,MATCH(B7728,METADATA!$S$2:$S$20,0))),0)</f>
        <v>0</v>
      </c>
      <c r="E7728" s="312" t="str">
        <f t="shared" si="480"/>
        <v>LO</v>
      </c>
      <c r="F7728" s="369">
        <f>VLOOKUP(C7728,METADATA!$A$5:$H$29,IF(E7728="HI",2,IF(E7728="LO",6,10))+IF(D7728=1,2,IF(D7728=7,1,(IF(WEEKDAY(B7728)=1,2,IF(WEEKDAY(B7728)=7,1,0))))))</f>
        <v>1</v>
      </c>
      <c r="G7728" s="369">
        <f>VLOOKUP(C7728,METADATA!$J$5:$Q$29,IF(E7728="HI",2,IF(E7728="LO",6,10))+IF(D7728=1,2,IF(D7728=7,1,(IF(WEEKDAY(B7728)=1,2,IF(WEEKDAY(B7728)=7,1,0))))))</f>
        <v>1</v>
      </c>
      <c r="H7728" s="370">
        <v>12670.624816894531</v>
      </c>
      <c r="I7728" s="370">
        <v>9485.4000244140625</v>
      </c>
      <c r="M7728" s="371">
        <f t="shared" si="481"/>
        <v>15827.746108453279</v>
      </c>
      <c r="N7728" s="329">
        <f t="shared" si="482"/>
        <v>5684.2125793457035</v>
      </c>
      <c r="T7728" s="331">
        <v>0</v>
      </c>
      <c r="U7728" s="328">
        <f>VLOOKUP(C7728,METADATA!$J$5:$Q$29,IF(E7728="HI",2,IF(E7728="LO",6,10))+IF(T7728=1,2,IF(D7728=7,1,(IF(WEEKDAY(B7728)=1,2,IF(WEEKDAY(B7728)=7,1,0))))))</f>
        <v>1</v>
      </c>
      <c r="V7728" s="328">
        <f>VLOOKUP(C7728,METADATA!$A$5:$H$29,IF(E7728="HI",2,IF(E7728="LO",6,10))+IF(T7728=1,2,IF(D7728=7,1,(IF(WEEKDAY(B7728)=1,2,IF(WEEKDAY(B7728)=7,1,0))))))</f>
        <v>1</v>
      </c>
    </row>
    <row r="7729" spans="2:22">
      <c r="B7729" s="318">
        <f t="shared" si="483"/>
        <v>46434</v>
      </c>
      <c r="C7729" s="312">
        <v>21</v>
      </c>
      <c r="D7729" s="368">
        <f>IFERROR((INDEX(METADATA!$T$2:$T$20,MATCH(B7729,METADATA!$S$2:$S$20,0))),0)</f>
        <v>0</v>
      </c>
      <c r="E7729" s="312" t="str">
        <f t="shared" si="480"/>
        <v>LO</v>
      </c>
      <c r="F7729" s="369">
        <f>VLOOKUP(C7729,METADATA!$A$5:$H$29,IF(E7729="HI",2,IF(E7729="LO",6,10))+IF(D7729=1,2,IF(D7729=7,1,(IF(WEEKDAY(B7729)=1,2,IF(WEEKDAY(B7729)=7,1,0))))))</f>
        <v>2</v>
      </c>
      <c r="G7729" s="369">
        <f>VLOOKUP(C7729,METADATA!$J$5:$Q$29,IF(E7729="HI",2,IF(E7729="LO",6,10))+IF(D7729=1,2,IF(D7729=7,1,(IF(WEEKDAY(B7729)=1,2,IF(WEEKDAY(B7729)=7,1,0))))))</f>
        <v>2</v>
      </c>
      <c r="H7729" s="370">
        <v>12647.925109863281</v>
      </c>
      <c r="I7729" s="370">
        <v>9572.6000366210938</v>
      </c>
      <c r="M7729" s="371">
        <f t="shared" si="481"/>
        <v>15862.051602671965</v>
      </c>
      <c r="N7729" s="329">
        <f t="shared" si="482"/>
        <v>5778.2225036621094</v>
      </c>
      <c r="T7729" s="331">
        <v>0</v>
      </c>
      <c r="U7729" s="328">
        <f>VLOOKUP(C7729,METADATA!$J$5:$Q$29,IF(E7729="HI",2,IF(E7729="LO",6,10))+IF(T7729=1,2,IF(D7729=7,1,(IF(WEEKDAY(B7729)=1,2,IF(WEEKDAY(B7729)=7,1,0))))))</f>
        <v>2</v>
      </c>
      <c r="V7729" s="328">
        <f>VLOOKUP(C7729,METADATA!$A$5:$H$29,IF(E7729="HI",2,IF(E7729="LO",6,10))+IF(T7729=1,2,IF(D7729=7,1,(IF(WEEKDAY(B7729)=1,2,IF(WEEKDAY(B7729)=7,1,0))))))</f>
        <v>2</v>
      </c>
    </row>
    <row r="7730" spans="2:22">
      <c r="B7730" s="318">
        <f t="shared" si="483"/>
        <v>46434</v>
      </c>
      <c r="C7730" s="312">
        <v>22</v>
      </c>
      <c r="D7730" s="368">
        <f>IFERROR((INDEX(METADATA!$T$2:$T$20,MATCH(B7730,METADATA!$S$2:$S$20,0))),0)</f>
        <v>0</v>
      </c>
      <c r="E7730" s="312" t="str">
        <f t="shared" si="480"/>
        <v>LO</v>
      </c>
      <c r="F7730" s="369">
        <f>VLOOKUP(C7730,METADATA!$A$5:$H$29,IF(E7730="HI",2,IF(E7730="LO",6,10))+IF(D7730=1,2,IF(D7730=7,1,(IF(WEEKDAY(B7730)=1,2,IF(WEEKDAY(B7730)=7,1,0))))))</f>
        <v>3</v>
      </c>
      <c r="G7730" s="369">
        <f>VLOOKUP(C7730,METADATA!$J$5:$Q$29,IF(E7730="HI",2,IF(E7730="LO",6,10))+IF(D7730=1,2,IF(D7730=7,1,(IF(WEEKDAY(B7730)=1,2,IF(WEEKDAY(B7730)=7,1,0))))))</f>
        <v>3</v>
      </c>
      <c r="H7730" s="370">
        <v>12620.300048828125</v>
      </c>
      <c r="I7730" s="370">
        <v>9552.2250366210938</v>
      </c>
      <c r="M7730" s="371">
        <f t="shared" si="481"/>
        <v>15827.728089422753</v>
      </c>
      <c r="N7730" s="329">
        <f t="shared" si="482"/>
        <v>5766.1350219726564</v>
      </c>
      <c r="T7730" s="331">
        <v>0</v>
      </c>
      <c r="U7730" s="328">
        <f>VLOOKUP(C7730,METADATA!$J$5:$Q$29,IF(E7730="HI",2,IF(E7730="LO",6,10))+IF(T7730=1,2,IF(D7730=7,1,(IF(WEEKDAY(B7730)=1,2,IF(WEEKDAY(B7730)=7,1,0))))))</f>
        <v>3</v>
      </c>
      <c r="V7730" s="328">
        <f>VLOOKUP(C7730,METADATA!$A$5:$H$29,IF(E7730="HI",2,IF(E7730="LO",6,10))+IF(T7730=1,2,IF(D7730=7,1,(IF(WEEKDAY(B7730)=1,2,IF(WEEKDAY(B7730)=7,1,0))))))</f>
        <v>3</v>
      </c>
    </row>
    <row r="7731" spans="2:22">
      <c r="B7731" s="318">
        <f t="shared" si="483"/>
        <v>46434</v>
      </c>
      <c r="C7731" s="312">
        <v>23</v>
      </c>
      <c r="D7731" s="368">
        <f>IFERROR((INDEX(METADATA!$T$2:$T$20,MATCH(B7731,METADATA!$S$2:$S$20,0))),0)</f>
        <v>0</v>
      </c>
      <c r="E7731" s="312" t="str">
        <f t="shared" si="480"/>
        <v>LO</v>
      </c>
      <c r="F7731" s="369">
        <f>VLOOKUP(C7731,METADATA!$A$5:$H$29,IF(E7731="HI",2,IF(E7731="LO",6,10))+IF(D7731=1,2,IF(D7731=7,1,(IF(WEEKDAY(B7731)=1,2,IF(WEEKDAY(B7731)=7,1,0))))))</f>
        <v>3</v>
      </c>
      <c r="G7731" s="369">
        <f>VLOOKUP(C7731,METADATA!$J$5:$Q$29,IF(E7731="HI",2,IF(E7731="LO",6,10))+IF(D7731=1,2,IF(D7731=7,1,(IF(WEEKDAY(B7731)=1,2,IF(WEEKDAY(B7731)=7,1,0))))))</f>
        <v>3</v>
      </c>
      <c r="H7731" s="370">
        <v>12634.674865722656</v>
      </c>
      <c r="I7731" s="370">
        <v>9552.8248901367188</v>
      </c>
      <c r="M7731" s="371">
        <f t="shared" si="481"/>
        <v>15839.55404498938</v>
      </c>
      <c r="N7731" s="329">
        <f t="shared" si="482"/>
        <v>5762.4224304199215</v>
      </c>
      <c r="T7731" s="331">
        <v>0</v>
      </c>
      <c r="U7731" s="328">
        <f>VLOOKUP(C7731,METADATA!$J$5:$Q$29,IF(E7731="HI",2,IF(E7731="LO",6,10))+IF(T7731=1,2,IF(D7731=7,1,(IF(WEEKDAY(B7731)=1,2,IF(WEEKDAY(B7731)=7,1,0))))))</f>
        <v>3</v>
      </c>
      <c r="V7731" s="328">
        <f>VLOOKUP(C7731,METADATA!$A$5:$H$29,IF(E7731="HI",2,IF(E7731="LO",6,10))+IF(T7731=1,2,IF(D7731=7,1,(IF(WEEKDAY(B7731)=1,2,IF(WEEKDAY(B7731)=7,1,0))))))</f>
        <v>3</v>
      </c>
    </row>
    <row r="7732" spans="2:22">
      <c r="B7732" s="318">
        <f t="shared" si="483"/>
        <v>46435</v>
      </c>
      <c r="C7732" s="312">
        <v>0</v>
      </c>
      <c r="D7732" s="368">
        <f>IFERROR((INDEX(METADATA!$T$2:$T$20,MATCH(B7732,METADATA!$S$2:$S$20,0))),0)</f>
        <v>0</v>
      </c>
      <c r="E7732" s="312" t="str">
        <f t="shared" si="480"/>
        <v>LO</v>
      </c>
      <c r="F7732" s="369">
        <f>VLOOKUP(C7732,METADATA!$A$5:$H$29,IF(E7732="HI",2,IF(E7732="LO",6,10))+IF(D7732=1,2,IF(D7732=7,1,(IF(WEEKDAY(B7732)=1,2,IF(WEEKDAY(B7732)=7,1,0))))))</f>
        <v>3</v>
      </c>
      <c r="G7732" s="369">
        <f>VLOOKUP(C7732,METADATA!$J$5:$Q$29,IF(E7732="HI",2,IF(E7732="LO",6,10))+IF(D7732=1,2,IF(D7732=7,1,(IF(WEEKDAY(B7732)=1,2,IF(WEEKDAY(B7732)=7,1,0))))))</f>
        <v>3</v>
      </c>
      <c r="H7732" s="370">
        <v>12554.050048828125</v>
      </c>
      <c r="I7732" s="370">
        <v>9290.9249877929688</v>
      </c>
      <c r="M7732" s="371">
        <f t="shared" si="481"/>
        <v>15618.113194534006</v>
      </c>
      <c r="N7732" s="329">
        <f t="shared" si="482"/>
        <v>5524.7099731445314</v>
      </c>
      <c r="T7732" s="331">
        <v>0</v>
      </c>
      <c r="U7732" s="328">
        <f>VLOOKUP(C7732,METADATA!$J$5:$Q$29,IF(E7732="HI",2,IF(E7732="LO",6,10))+IF(T7732=1,2,IF(D7732=7,1,(IF(WEEKDAY(B7732)=1,2,IF(WEEKDAY(B7732)=7,1,0))))))</f>
        <v>3</v>
      </c>
      <c r="V7732" s="328">
        <f>VLOOKUP(C7732,METADATA!$A$5:$H$29,IF(E7732="HI",2,IF(E7732="LO",6,10))+IF(T7732=1,2,IF(D7732=7,1,(IF(WEEKDAY(B7732)=1,2,IF(WEEKDAY(B7732)=7,1,0))))))</f>
        <v>3</v>
      </c>
    </row>
    <row r="7733" spans="2:22">
      <c r="B7733" s="318">
        <f t="shared" si="483"/>
        <v>46435</v>
      </c>
      <c r="C7733" s="312">
        <v>1</v>
      </c>
      <c r="D7733" s="368">
        <f>IFERROR((INDEX(METADATA!$T$2:$T$20,MATCH(B7733,METADATA!$S$2:$S$20,0))),0)</f>
        <v>0</v>
      </c>
      <c r="E7733" s="312" t="str">
        <f t="shared" si="480"/>
        <v>LO</v>
      </c>
      <c r="F7733" s="369">
        <f>VLOOKUP(C7733,METADATA!$A$5:$H$29,IF(E7733="HI",2,IF(E7733="LO",6,10))+IF(D7733=1,2,IF(D7733=7,1,(IF(WEEKDAY(B7733)=1,2,IF(WEEKDAY(B7733)=7,1,0))))))</f>
        <v>3</v>
      </c>
      <c r="G7733" s="369">
        <f>VLOOKUP(C7733,METADATA!$J$5:$Q$29,IF(E7733="HI",2,IF(E7733="LO",6,10))+IF(D7733=1,2,IF(D7733=7,1,(IF(WEEKDAY(B7733)=1,2,IF(WEEKDAY(B7733)=7,1,0))))))</f>
        <v>3</v>
      </c>
      <c r="H7733" s="370">
        <v>12483.770324707031</v>
      </c>
      <c r="I7733" s="370">
        <v>9294.3875122070313</v>
      </c>
      <c r="M7733" s="371">
        <f t="shared" si="481"/>
        <v>15563.745074599041</v>
      </c>
      <c r="N7733" s="329">
        <f t="shared" si="482"/>
        <v>5549.2564147949215</v>
      </c>
      <c r="T7733" s="331">
        <v>0</v>
      </c>
      <c r="U7733" s="328">
        <f>VLOOKUP(C7733,METADATA!$J$5:$Q$29,IF(E7733="HI",2,IF(E7733="LO",6,10))+IF(T7733=1,2,IF(D7733=7,1,(IF(WEEKDAY(B7733)=1,2,IF(WEEKDAY(B7733)=7,1,0))))))</f>
        <v>3</v>
      </c>
      <c r="V7733" s="328">
        <f>VLOOKUP(C7733,METADATA!$A$5:$H$29,IF(E7733="HI",2,IF(E7733="LO",6,10))+IF(T7733=1,2,IF(D7733=7,1,(IF(WEEKDAY(B7733)=1,2,IF(WEEKDAY(B7733)=7,1,0))))))</f>
        <v>3</v>
      </c>
    </row>
    <row r="7734" spans="2:22">
      <c r="B7734" s="318">
        <f t="shared" si="483"/>
        <v>46435</v>
      </c>
      <c r="C7734" s="312">
        <v>2</v>
      </c>
      <c r="D7734" s="368">
        <f>IFERROR((INDEX(METADATA!$T$2:$T$20,MATCH(B7734,METADATA!$S$2:$S$20,0))),0)</f>
        <v>0</v>
      </c>
      <c r="E7734" s="312" t="str">
        <f t="shared" si="480"/>
        <v>LO</v>
      </c>
      <c r="F7734" s="369">
        <f>VLOOKUP(C7734,METADATA!$A$5:$H$29,IF(E7734="HI",2,IF(E7734="LO",6,10))+IF(D7734=1,2,IF(D7734=7,1,(IF(WEEKDAY(B7734)=1,2,IF(WEEKDAY(B7734)=7,1,0))))))</f>
        <v>3</v>
      </c>
      <c r="G7734" s="369">
        <f>VLOOKUP(C7734,METADATA!$J$5:$Q$29,IF(E7734="HI",2,IF(E7734="LO",6,10))+IF(D7734=1,2,IF(D7734=7,1,(IF(WEEKDAY(B7734)=1,2,IF(WEEKDAY(B7734)=7,1,0))))))</f>
        <v>3</v>
      </c>
      <c r="H7734" s="370">
        <v>12439.250305175781</v>
      </c>
      <c r="I7734" s="370">
        <v>9248.5</v>
      </c>
      <c r="M7734" s="371">
        <f t="shared" si="481"/>
        <v>15500.635483902452</v>
      </c>
      <c r="N7734" s="329">
        <f t="shared" si="482"/>
        <v>5516.724908447266</v>
      </c>
      <c r="T7734" s="331">
        <v>0</v>
      </c>
      <c r="U7734" s="328">
        <f>VLOOKUP(C7734,METADATA!$J$5:$Q$29,IF(E7734="HI",2,IF(E7734="LO",6,10))+IF(T7734=1,2,IF(D7734=7,1,(IF(WEEKDAY(B7734)=1,2,IF(WEEKDAY(B7734)=7,1,0))))))</f>
        <v>3</v>
      </c>
      <c r="V7734" s="328">
        <f>VLOOKUP(C7734,METADATA!$A$5:$H$29,IF(E7734="HI",2,IF(E7734="LO",6,10))+IF(T7734=1,2,IF(D7734=7,1,(IF(WEEKDAY(B7734)=1,2,IF(WEEKDAY(B7734)=7,1,0))))))</f>
        <v>3</v>
      </c>
    </row>
    <row r="7735" spans="2:22">
      <c r="B7735" s="318">
        <f t="shared" si="483"/>
        <v>46435</v>
      </c>
      <c r="C7735" s="312">
        <v>3</v>
      </c>
      <c r="D7735" s="368">
        <f>IFERROR((INDEX(METADATA!$T$2:$T$20,MATCH(B7735,METADATA!$S$2:$S$20,0))),0)</f>
        <v>0</v>
      </c>
      <c r="E7735" s="312" t="str">
        <f t="shared" si="480"/>
        <v>LO</v>
      </c>
      <c r="F7735" s="369">
        <f>VLOOKUP(C7735,METADATA!$A$5:$H$29,IF(E7735="HI",2,IF(E7735="LO",6,10))+IF(D7735=1,2,IF(D7735=7,1,(IF(WEEKDAY(B7735)=1,2,IF(WEEKDAY(B7735)=7,1,0))))))</f>
        <v>3</v>
      </c>
      <c r="G7735" s="369">
        <f>VLOOKUP(C7735,METADATA!$J$5:$Q$29,IF(E7735="HI",2,IF(E7735="LO",6,10))+IF(D7735=1,2,IF(D7735=7,1,(IF(WEEKDAY(B7735)=1,2,IF(WEEKDAY(B7735)=7,1,0))))))</f>
        <v>3</v>
      </c>
      <c r="H7735" s="370">
        <v>12439.075073242188</v>
      </c>
      <c r="I7735" s="370">
        <v>9236.8499145507813</v>
      </c>
      <c r="M7735" s="371">
        <f t="shared" si="481"/>
        <v>15493.546560477749</v>
      </c>
      <c r="N7735" s="329">
        <f t="shared" si="482"/>
        <v>5505.1273925781252</v>
      </c>
      <c r="T7735" s="331">
        <v>0</v>
      </c>
      <c r="U7735" s="328">
        <f>VLOOKUP(C7735,METADATA!$J$5:$Q$29,IF(E7735="HI",2,IF(E7735="LO",6,10))+IF(T7735=1,2,IF(D7735=7,1,(IF(WEEKDAY(B7735)=1,2,IF(WEEKDAY(B7735)=7,1,0))))))</f>
        <v>3</v>
      </c>
      <c r="V7735" s="328">
        <f>VLOOKUP(C7735,METADATA!$A$5:$H$29,IF(E7735="HI",2,IF(E7735="LO",6,10))+IF(T7735=1,2,IF(D7735=7,1,(IF(WEEKDAY(B7735)=1,2,IF(WEEKDAY(B7735)=7,1,0))))))</f>
        <v>3</v>
      </c>
    </row>
    <row r="7736" spans="2:22">
      <c r="B7736" s="318">
        <f t="shared" si="483"/>
        <v>46435</v>
      </c>
      <c r="C7736" s="312">
        <v>4</v>
      </c>
      <c r="D7736" s="368">
        <f>IFERROR((INDEX(METADATA!$T$2:$T$20,MATCH(B7736,METADATA!$S$2:$S$20,0))),0)</f>
        <v>0</v>
      </c>
      <c r="E7736" s="312" t="str">
        <f t="shared" si="480"/>
        <v>LO</v>
      </c>
      <c r="F7736" s="369">
        <f>VLOOKUP(C7736,METADATA!$A$5:$H$29,IF(E7736="HI",2,IF(E7736="LO",6,10))+IF(D7736=1,2,IF(D7736=7,1,(IF(WEEKDAY(B7736)=1,2,IF(WEEKDAY(B7736)=7,1,0))))))</f>
        <v>3</v>
      </c>
      <c r="G7736" s="369">
        <f>VLOOKUP(C7736,METADATA!$J$5:$Q$29,IF(E7736="HI",2,IF(E7736="LO",6,10))+IF(D7736=1,2,IF(D7736=7,1,(IF(WEEKDAY(B7736)=1,2,IF(WEEKDAY(B7736)=7,1,0))))))</f>
        <v>3</v>
      </c>
      <c r="H7736" s="370">
        <v>12483.500061035156</v>
      </c>
      <c r="I7736" s="370">
        <v>9254.97509765625</v>
      </c>
      <c r="M7736" s="371">
        <f t="shared" si="481"/>
        <v>15540.023739753491</v>
      </c>
      <c r="N7736" s="329">
        <f t="shared" si="482"/>
        <v>5509.9250793457031</v>
      </c>
      <c r="T7736" s="331">
        <v>0</v>
      </c>
      <c r="U7736" s="328">
        <f>VLOOKUP(C7736,METADATA!$J$5:$Q$29,IF(E7736="HI",2,IF(E7736="LO",6,10))+IF(T7736=1,2,IF(D7736=7,1,(IF(WEEKDAY(B7736)=1,2,IF(WEEKDAY(B7736)=7,1,0))))))</f>
        <v>3</v>
      </c>
      <c r="V7736" s="328">
        <f>VLOOKUP(C7736,METADATA!$A$5:$H$29,IF(E7736="HI",2,IF(E7736="LO",6,10))+IF(T7736=1,2,IF(D7736=7,1,(IF(WEEKDAY(B7736)=1,2,IF(WEEKDAY(B7736)=7,1,0))))))</f>
        <v>3</v>
      </c>
    </row>
    <row r="7737" spans="2:22">
      <c r="B7737" s="318">
        <f t="shared" si="483"/>
        <v>46435</v>
      </c>
      <c r="C7737" s="312">
        <v>5</v>
      </c>
      <c r="D7737" s="368">
        <f>IFERROR((INDEX(METADATA!$T$2:$T$20,MATCH(B7737,METADATA!$S$2:$S$20,0))),0)</f>
        <v>0</v>
      </c>
      <c r="E7737" s="312" t="str">
        <f t="shared" si="480"/>
        <v>LO</v>
      </c>
      <c r="F7737" s="369">
        <f>VLOOKUP(C7737,METADATA!$A$5:$H$29,IF(E7737="HI",2,IF(E7737="LO",6,10))+IF(D7737=1,2,IF(D7737=7,1,(IF(WEEKDAY(B7737)=1,2,IF(WEEKDAY(B7737)=7,1,0))))))</f>
        <v>3</v>
      </c>
      <c r="G7737" s="369">
        <f>VLOOKUP(C7737,METADATA!$J$5:$Q$29,IF(E7737="HI",2,IF(E7737="LO",6,10))+IF(D7737=1,2,IF(D7737=7,1,(IF(WEEKDAY(B7737)=1,2,IF(WEEKDAY(B7737)=7,1,0))))))</f>
        <v>3</v>
      </c>
      <c r="H7737" s="370">
        <v>12472.75</v>
      </c>
      <c r="I7737" s="370">
        <v>9090.4000854492188</v>
      </c>
      <c r="M7737" s="371">
        <f t="shared" si="481"/>
        <v>15433.886946457627</v>
      </c>
      <c r="N7737" s="329">
        <f t="shared" si="482"/>
        <v>5348.5750854492189</v>
      </c>
      <c r="T7737" s="331">
        <v>0</v>
      </c>
      <c r="U7737" s="328">
        <f>VLOOKUP(C7737,METADATA!$J$5:$Q$29,IF(E7737="HI",2,IF(E7737="LO",6,10))+IF(T7737=1,2,IF(D7737=7,1,(IF(WEEKDAY(B7737)=1,2,IF(WEEKDAY(B7737)=7,1,0))))))</f>
        <v>3</v>
      </c>
      <c r="V7737" s="328">
        <f>VLOOKUP(C7737,METADATA!$A$5:$H$29,IF(E7737="HI",2,IF(E7737="LO",6,10))+IF(T7737=1,2,IF(D7737=7,1,(IF(WEEKDAY(B7737)=1,2,IF(WEEKDAY(B7737)=7,1,0))))))</f>
        <v>3</v>
      </c>
    </row>
    <row r="7738" spans="2:22">
      <c r="B7738" s="318">
        <f t="shared" si="483"/>
        <v>46435</v>
      </c>
      <c r="C7738" s="312">
        <v>6</v>
      </c>
      <c r="D7738" s="368">
        <f>IFERROR((INDEX(METADATA!$T$2:$T$20,MATCH(B7738,METADATA!$S$2:$S$20,0))),0)</f>
        <v>0</v>
      </c>
      <c r="E7738" s="312" t="str">
        <f t="shared" si="480"/>
        <v>LO</v>
      </c>
      <c r="F7738" s="369">
        <f>VLOOKUP(C7738,METADATA!$A$5:$H$29,IF(E7738="HI",2,IF(E7738="LO",6,10))+IF(D7738=1,2,IF(D7738=7,1,(IF(WEEKDAY(B7738)=1,2,IF(WEEKDAY(B7738)=7,1,0))))))</f>
        <v>2</v>
      </c>
      <c r="G7738" s="369">
        <f>VLOOKUP(C7738,METADATA!$J$5:$Q$29,IF(E7738="HI",2,IF(E7738="LO",6,10))+IF(D7738=1,2,IF(D7738=7,1,(IF(WEEKDAY(B7738)=1,2,IF(WEEKDAY(B7738)=7,1,0))))))</f>
        <v>2</v>
      </c>
      <c r="H7738" s="370">
        <v>12527.349853515625</v>
      </c>
      <c r="I7738" s="370">
        <v>9112.2000732421875</v>
      </c>
      <c r="M7738" s="371">
        <f t="shared" si="481"/>
        <v>15490.858095250012</v>
      </c>
      <c r="N7738" s="329">
        <f t="shared" si="482"/>
        <v>5353.9951171875</v>
      </c>
      <c r="T7738" s="331">
        <v>0</v>
      </c>
      <c r="U7738" s="328">
        <f>VLOOKUP(C7738,METADATA!$J$5:$Q$29,IF(E7738="HI",2,IF(E7738="LO",6,10))+IF(T7738=1,2,IF(D7738=7,1,(IF(WEEKDAY(B7738)=1,2,IF(WEEKDAY(B7738)=7,1,0))))))</f>
        <v>2</v>
      </c>
      <c r="V7738" s="328">
        <f>VLOOKUP(C7738,METADATA!$A$5:$H$29,IF(E7738="HI",2,IF(E7738="LO",6,10))+IF(T7738=1,2,IF(D7738=7,1,(IF(WEEKDAY(B7738)=1,2,IF(WEEKDAY(B7738)=7,1,0))))))</f>
        <v>2</v>
      </c>
    </row>
    <row r="7739" spans="2:22">
      <c r="B7739" s="318">
        <f t="shared" si="483"/>
        <v>46435</v>
      </c>
      <c r="C7739" s="312">
        <v>7</v>
      </c>
      <c r="D7739" s="368">
        <f>IFERROR((INDEX(METADATA!$T$2:$T$20,MATCH(B7739,METADATA!$S$2:$S$20,0))),0)</f>
        <v>0</v>
      </c>
      <c r="E7739" s="312" t="str">
        <f t="shared" si="480"/>
        <v>LO</v>
      </c>
      <c r="F7739" s="369">
        <f>VLOOKUP(C7739,METADATA!$A$5:$H$29,IF(E7739="HI",2,IF(E7739="LO",6,10))+IF(D7739=1,2,IF(D7739=7,1,(IF(WEEKDAY(B7739)=1,2,IF(WEEKDAY(B7739)=7,1,0))))))</f>
        <v>1</v>
      </c>
      <c r="G7739" s="369">
        <f>VLOOKUP(C7739,METADATA!$J$5:$Q$29,IF(E7739="HI",2,IF(E7739="LO",6,10))+IF(D7739=1,2,IF(D7739=7,1,(IF(WEEKDAY(B7739)=1,2,IF(WEEKDAY(B7739)=7,1,0))))))</f>
        <v>1</v>
      </c>
      <c r="H7739" s="370">
        <v>12438.699768066406</v>
      </c>
      <c r="I7739" s="370">
        <v>9110.050048828125</v>
      </c>
      <c r="M7739" s="371">
        <f t="shared" si="481"/>
        <v>15417.985076275323</v>
      </c>
      <c r="N7739" s="329">
        <f t="shared" si="482"/>
        <v>5378.4401184082035</v>
      </c>
      <c r="T7739" s="331">
        <v>0</v>
      </c>
      <c r="U7739" s="328">
        <f>VLOOKUP(C7739,METADATA!$J$5:$Q$29,IF(E7739="HI",2,IF(E7739="LO",6,10))+IF(T7739=1,2,IF(D7739=7,1,(IF(WEEKDAY(B7739)=1,2,IF(WEEKDAY(B7739)=7,1,0))))))</f>
        <v>1</v>
      </c>
      <c r="V7739" s="328">
        <f>VLOOKUP(C7739,METADATA!$A$5:$H$29,IF(E7739="HI",2,IF(E7739="LO",6,10))+IF(T7739=1,2,IF(D7739=7,1,(IF(WEEKDAY(B7739)=1,2,IF(WEEKDAY(B7739)=7,1,0))))))</f>
        <v>1</v>
      </c>
    </row>
    <row r="7740" spans="2:22">
      <c r="B7740" s="318">
        <f t="shared" si="483"/>
        <v>46435</v>
      </c>
      <c r="C7740" s="312">
        <v>8</v>
      </c>
      <c r="D7740" s="368">
        <f>IFERROR((INDEX(METADATA!$T$2:$T$20,MATCH(B7740,METADATA!$S$2:$S$20,0))),0)</f>
        <v>0</v>
      </c>
      <c r="E7740" s="312" t="str">
        <f t="shared" si="480"/>
        <v>LO</v>
      </c>
      <c r="F7740" s="369">
        <f>VLOOKUP(C7740,METADATA!$A$5:$H$29,IF(E7740="HI",2,IF(E7740="LO",6,10))+IF(D7740=1,2,IF(D7740=7,1,(IF(WEEKDAY(B7740)=1,2,IF(WEEKDAY(B7740)=7,1,0))))))</f>
        <v>1</v>
      </c>
      <c r="G7740" s="369">
        <f>VLOOKUP(C7740,METADATA!$J$5:$Q$29,IF(E7740="HI",2,IF(E7740="LO",6,10))+IF(D7740=1,2,IF(D7740=7,1,(IF(WEEKDAY(B7740)=1,2,IF(WEEKDAY(B7740)=7,1,0))))))</f>
        <v>1</v>
      </c>
      <c r="H7740" s="370">
        <v>7982.3875732421875</v>
      </c>
      <c r="I7740" s="370">
        <v>6930.5999755859375</v>
      </c>
      <c r="M7740" s="371">
        <f t="shared" si="481"/>
        <v>10571.268958410012</v>
      </c>
      <c r="N7740" s="329">
        <f t="shared" si="482"/>
        <v>4535.8837036132809</v>
      </c>
      <c r="T7740" s="331">
        <v>0</v>
      </c>
      <c r="U7740" s="328">
        <f>VLOOKUP(C7740,METADATA!$J$5:$Q$29,IF(E7740="HI",2,IF(E7740="LO",6,10))+IF(T7740=1,2,IF(D7740=7,1,(IF(WEEKDAY(B7740)=1,2,IF(WEEKDAY(B7740)=7,1,0))))))</f>
        <v>1</v>
      </c>
      <c r="V7740" s="328">
        <f>VLOOKUP(C7740,METADATA!$A$5:$H$29,IF(E7740="HI",2,IF(E7740="LO",6,10))+IF(T7740=1,2,IF(D7740=7,1,(IF(WEEKDAY(B7740)=1,2,IF(WEEKDAY(B7740)=7,1,0))))))</f>
        <v>1</v>
      </c>
    </row>
    <row r="7741" spans="2:22">
      <c r="B7741" s="318">
        <f t="shared" si="483"/>
        <v>46435</v>
      </c>
      <c r="C7741" s="312">
        <v>9</v>
      </c>
      <c r="D7741" s="368">
        <f>IFERROR((INDEX(METADATA!$T$2:$T$20,MATCH(B7741,METADATA!$S$2:$S$20,0))),0)</f>
        <v>0</v>
      </c>
      <c r="E7741" s="312" t="str">
        <f t="shared" si="480"/>
        <v>LO</v>
      </c>
      <c r="F7741" s="369">
        <f>VLOOKUP(C7741,METADATA!$A$5:$H$29,IF(E7741="HI",2,IF(E7741="LO",6,10))+IF(D7741=1,2,IF(D7741=7,1,(IF(WEEKDAY(B7741)=1,2,IF(WEEKDAY(B7741)=7,1,0))))))</f>
        <v>2</v>
      </c>
      <c r="G7741" s="369">
        <f>VLOOKUP(C7741,METADATA!$J$5:$Q$29,IF(E7741="HI",2,IF(E7741="LO",6,10))+IF(D7741=1,2,IF(D7741=7,1,(IF(WEEKDAY(B7741)=1,2,IF(WEEKDAY(B7741)=7,1,0))))))</f>
        <v>2</v>
      </c>
      <c r="H7741" s="370">
        <v>5158.6974487304688</v>
      </c>
      <c r="I7741" s="370">
        <v>5220.3250427246094</v>
      </c>
      <c r="M7741" s="371">
        <f t="shared" si="481"/>
        <v>7339.2065592430317</v>
      </c>
      <c r="N7741" s="329">
        <f t="shared" si="482"/>
        <v>3672.7158081054686</v>
      </c>
      <c r="T7741" s="331">
        <v>0</v>
      </c>
      <c r="U7741" s="328">
        <f>VLOOKUP(C7741,METADATA!$J$5:$Q$29,IF(E7741="HI",2,IF(E7741="LO",6,10))+IF(T7741=1,2,IF(D7741=7,1,(IF(WEEKDAY(B7741)=1,2,IF(WEEKDAY(B7741)=7,1,0))))))</f>
        <v>2</v>
      </c>
      <c r="V7741" s="328">
        <f>VLOOKUP(C7741,METADATA!$A$5:$H$29,IF(E7741="HI",2,IF(E7741="LO",6,10))+IF(T7741=1,2,IF(D7741=7,1,(IF(WEEKDAY(B7741)=1,2,IF(WEEKDAY(B7741)=7,1,0))))))</f>
        <v>2</v>
      </c>
    </row>
    <row r="7742" spans="2:22">
      <c r="B7742" s="318">
        <f t="shared" si="483"/>
        <v>46435</v>
      </c>
      <c r="C7742" s="312">
        <v>10</v>
      </c>
      <c r="D7742" s="368">
        <f>IFERROR((INDEX(METADATA!$T$2:$T$20,MATCH(B7742,METADATA!$S$2:$S$20,0))),0)</f>
        <v>0</v>
      </c>
      <c r="E7742" s="312" t="str">
        <f t="shared" si="480"/>
        <v>LO</v>
      </c>
      <c r="F7742" s="369">
        <f>VLOOKUP(C7742,METADATA!$A$5:$H$29,IF(E7742="HI",2,IF(E7742="LO",6,10))+IF(D7742=1,2,IF(D7742=7,1,(IF(WEEKDAY(B7742)=1,2,IF(WEEKDAY(B7742)=7,1,0))))))</f>
        <v>2</v>
      </c>
      <c r="G7742" s="369">
        <f>VLOOKUP(C7742,METADATA!$J$5:$Q$29,IF(E7742="HI",2,IF(E7742="LO",6,10))+IF(D7742=1,2,IF(D7742=7,1,(IF(WEEKDAY(B7742)=1,2,IF(WEEKDAY(B7742)=7,1,0))))))</f>
        <v>2</v>
      </c>
      <c r="H7742" s="370">
        <v>4274.4400024414063</v>
      </c>
      <c r="I7742" s="370">
        <v>4287.6024169921875</v>
      </c>
      <c r="M7742" s="371">
        <f t="shared" si="481"/>
        <v>6054.2854095812609</v>
      </c>
      <c r="N7742" s="329">
        <f t="shared" si="482"/>
        <v>3005.2704162597656</v>
      </c>
      <c r="T7742" s="331">
        <v>0</v>
      </c>
      <c r="U7742" s="328">
        <f>VLOOKUP(C7742,METADATA!$J$5:$Q$29,IF(E7742="HI",2,IF(E7742="LO",6,10))+IF(T7742=1,2,IF(D7742=7,1,(IF(WEEKDAY(B7742)=1,2,IF(WEEKDAY(B7742)=7,1,0))))))</f>
        <v>2</v>
      </c>
      <c r="V7742" s="328">
        <f>VLOOKUP(C7742,METADATA!$A$5:$H$29,IF(E7742="HI",2,IF(E7742="LO",6,10))+IF(T7742=1,2,IF(D7742=7,1,(IF(WEEKDAY(B7742)=1,2,IF(WEEKDAY(B7742)=7,1,0))))))</f>
        <v>2</v>
      </c>
    </row>
    <row r="7743" spans="2:22">
      <c r="B7743" s="318">
        <f t="shared" si="483"/>
        <v>46435</v>
      </c>
      <c r="C7743" s="312">
        <v>11</v>
      </c>
      <c r="D7743" s="368">
        <f>IFERROR((INDEX(METADATA!$T$2:$T$20,MATCH(B7743,METADATA!$S$2:$S$20,0))),0)</f>
        <v>0</v>
      </c>
      <c r="E7743" s="312" t="str">
        <f t="shared" si="480"/>
        <v>LO</v>
      </c>
      <c r="F7743" s="369">
        <f>VLOOKUP(C7743,METADATA!$A$5:$H$29,IF(E7743="HI",2,IF(E7743="LO",6,10))+IF(D7743=1,2,IF(D7743=7,1,(IF(WEEKDAY(B7743)=1,2,IF(WEEKDAY(B7743)=7,1,0))))))</f>
        <v>2</v>
      </c>
      <c r="G7743" s="369">
        <f>VLOOKUP(C7743,METADATA!$J$5:$Q$29,IF(E7743="HI",2,IF(E7743="LO",6,10))+IF(D7743=1,2,IF(D7743=7,1,(IF(WEEKDAY(B7743)=1,2,IF(WEEKDAY(B7743)=7,1,0))))))</f>
        <v>2</v>
      </c>
      <c r="H7743" s="370">
        <v>5169.0075073242188</v>
      </c>
      <c r="I7743" s="370">
        <v>4795.0399169921875</v>
      </c>
      <c r="M7743" s="371">
        <f t="shared" si="481"/>
        <v>7050.6061027632632</v>
      </c>
      <c r="N7743" s="329">
        <f t="shared" si="482"/>
        <v>3244.3376647949217</v>
      </c>
      <c r="T7743" s="331">
        <v>0</v>
      </c>
      <c r="U7743" s="328">
        <f>VLOOKUP(C7743,METADATA!$J$5:$Q$29,IF(E7743="HI",2,IF(E7743="LO",6,10))+IF(T7743=1,2,IF(D7743=7,1,(IF(WEEKDAY(B7743)=1,2,IF(WEEKDAY(B7743)=7,1,0))))))</f>
        <v>2</v>
      </c>
      <c r="V7743" s="328">
        <f>VLOOKUP(C7743,METADATA!$A$5:$H$29,IF(E7743="HI",2,IF(E7743="LO",6,10))+IF(T7743=1,2,IF(D7743=7,1,(IF(WEEKDAY(B7743)=1,2,IF(WEEKDAY(B7743)=7,1,0))))))</f>
        <v>2</v>
      </c>
    </row>
    <row r="7744" spans="2:22">
      <c r="B7744" s="318">
        <f t="shared" si="483"/>
        <v>46435</v>
      </c>
      <c r="C7744" s="312">
        <v>12</v>
      </c>
      <c r="D7744" s="368">
        <f>IFERROR((INDEX(METADATA!$T$2:$T$20,MATCH(B7744,METADATA!$S$2:$S$20,0))),0)</f>
        <v>0</v>
      </c>
      <c r="E7744" s="312" t="str">
        <f t="shared" si="480"/>
        <v>LO</v>
      </c>
      <c r="F7744" s="369">
        <f>VLOOKUP(C7744,METADATA!$A$5:$H$29,IF(E7744="HI",2,IF(E7744="LO",6,10))+IF(D7744=1,2,IF(D7744=7,1,(IF(WEEKDAY(B7744)=1,2,IF(WEEKDAY(B7744)=7,1,0))))))</f>
        <v>2</v>
      </c>
      <c r="G7744" s="369">
        <f>VLOOKUP(C7744,METADATA!$J$5:$Q$29,IF(E7744="HI",2,IF(E7744="LO",6,10))+IF(D7744=1,2,IF(D7744=7,1,(IF(WEEKDAY(B7744)=1,2,IF(WEEKDAY(B7744)=7,1,0))))))</f>
        <v>2</v>
      </c>
      <c r="H7744" s="370">
        <v>4964.7075805664063</v>
      </c>
      <c r="I7744" s="370">
        <v>4789.4326477050781</v>
      </c>
      <c r="M7744" s="371">
        <f t="shared" si="481"/>
        <v>6898.3321496892859</v>
      </c>
      <c r="N7744" s="329">
        <f t="shared" si="482"/>
        <v>3300.0203735351561</v>
      </c>
      <c r="T7744" s="331">
        <v>0</v>
      </c>
      <c r="U7744" s="328">
        <f>VLOOKUP(C7744,METADATA!$J$5:$Q$29,IF(E7744="HI",2,IF(E7744="LO",6,10))+IF(T7744=1,2,IF(D7744=7,1,(IF(WEEKDAY(B7744)=1,2,IF(WEEKDAY(B7744)=7,1,0))))))</f>
        <v>2</v>
      </c>
      <c r="V7744" s="328">
        <f>VLOOKUP(C7744,METADATA!$A$5:$H$29,IF(E7744="HI",2,IF(E7744="LO",6,10))+IF(T7744=1,2,IF(D7744=7,1,(IF(WEEKDAY(B7744)=1,2,IF(WEEKDAY(B7744)=7,1,0))))))</f>
        <v>2</v>
      </c>
    </row>
    <row r="7745" spans="2:22">
      <c r="B7745" s="318">
        <f t="shared" si="483"/>
        <v>46435</v>
      </c>
      <c r="C7745" s="312">
        <v>13</v>
      </c>
      <c r="D7745" s="368">
        <f>IFERROR((INDEX(METADATA!$T$2:$T$20,MATCH(B7745,METADATA!$S$2:$S$20,0))),0)</f>
        <v>0</v>
      </c>
      <c r="E7745" s="312" t="str">
        <f t="shared" si="480"/>
        <v>LO</v>
      </c>
      <c r="F7745" s="369">
        <f>VLOOKUP(C7745,METADATA!$A$5:$H$29,IF(E7745="HI",2,IF(E7745="LO",6,10))+IF(D7745=1,2,IF(D7745=7,1,(IF(WEEKDAY(B7745)=1,2,IF(WEEKDAY(B7745)=7,1,0))))))</f>
        <v>2</v>
      </c>
      <c r="G7745" s="369">
        <f>VLOOKUP(C7745,METADATA!$J$5:$Q$29,IF(E7745="HI",2,IF(E7745="LO",6,10))+IF(D7745=1,2,IF(D7745=7,1,(IF(WEEKDAY(B7745)=1,2,IF(WEEKDAY(B7745)=7,1,0))))))</f>
        <v>2</v>
      </c>
      <c r="H7745" s="370">
        <v>6485.0249633789063</v>
      </c>
      <c r="I7745" s="370">
        <v>5659.7000732421875</v>
      </c>
      <c r="M7745" s="371">
        <f t="shared" si="481"/>
        <v>8607.4243356944589</v>
      </c>
      <c r="N7745" s="329">
        <f t="shared" si="482"/>
        <v>3714.1925842285154</v>
      </c>
      <c r="T7745" s="331">
        <v>0</v>
      </c>
      <c r="U7745" s="328">
        <f>VLOOKUP(C7745,METADATA!$J$5:$Q$29,IF(E7745="HI",2,IF(E7745="LO",6,10))+IF(T7745=1,2,IF(D7745=7,1,(IF(WEEKDAY(B7745)=1,2,IF(WEEKDAY(B7745)=7,1,0))))))</f>
        <v>2</v>
      </c>
      <c r="V7745" s="328">
        <f>VLOOKUP(C7745,METADATA!$A$5:$H$29,IF(E7745="HI",2,IF(E7745="LO",6,10))+IF(T7745=1,2,IF(D7745=7,1,(IF(WEEKDAY(B7745)=1,2,IF(WEEKDAY(B7745)=7,1,0))))))</f>
        <v>2</v>
      </c>
    </row>
    <row r="7746" spans="2:22">
      <c r="B7746" s="318">
        <f t="shared" si="483"/>
        <v>46435</v>
      </c>
      <c r="C7746" s="312">
        <v>14</v>
      </c>
      <c r="D7746" s="368">
        <f>IFERROR((INDEX(METADATA!$T$2:$T$20,MATCH(B7746,METADATA!$S$2:$S$20,0))),0)</f>
        <v>0</v>
      </c>
      <c r="E7746" s="312" t="str">
        <f t="shared" si="480"/>
        <v>LO</v>
      </c>
      <c r="F7746" s="369">
        <f>VLOOKUP(C7746,METADATA!$A$5:$H$29,IF(E7746="HI",2,IF(E7746="LO",6,10))+IF(D7746=1,2,IF(D7746=7,1,(IF(WEEKDAY(B7746)=1,2,IF(WEEKDAY(B7746)=7,1,0))))))</f>
        <v>2</v>
      </c>
      <c r="G7746" s="369">
        <f>VLOOKUP(C7746,METADATA!$J$5:$Q$29,IF(E7746="HI",2,IF(E7746="LO",6,10))+IF(D7746=1,2,IF(D7746=7,1,(IF(WEEKDAY(B7746)=1,2,IF(WEEKDAY(B7746)=7,1,0))))))</f>
        <v>2</v>
      </c>
      <c r="H7746" s="370">
        <v>9288.8499755859375</v>
      </c>
      <c r="I7746" s="370">
        <v>7534.1500854492188</v>
      </c>
      <c r="M7746" s="371">
        <f t="shared" si="481"/>
        <v>11960.190273528986</v>
      </c>
      <c r="N7746" s="329">
        <f t="shared" si="482"/>
        <v>4747.4950927734371</v>
      </c>
      <c r="T7746" s="331">
        <v>0</v>
      </c>
      <c r="U7746" s="328">
        <f>VLOOKUP(C7746,METADATA!$J$5:$Q$29,IF(E7746="HI",2,IF(E7746="LO",6,10))+IF(T7746=1,2,IF(D7746=7,1,(IF(WEEKDAY(B7746)=1,2,IF(WEEKDAY(B7746)=7,1,0))))))</f>
        <v>2</v>
      </c>
      <c r="V7746" s="328">
        <f>VLOOKUP(C7746,METADATA!$A$5:$H$29,IF(E7746="HI",2,IF(E7746="LO",6,10))+IF(T7746=1,2,IF(D7746=7,1,(IF(WEEKDAY(B7746)=1,2,IF(WEEKDAY(B7746)=7,1,0))))))</f>
        <v>2</v>
      </c>
    </row>
    <row r="7747" spans="2:22">
      <c r="B7747" s="318">
        <f t="shared" si="483"/>
        <v>46435</v>
      </c>
      <c r="C7747" s="312">
        <v>15</v>
      </c>
      <c r="D7747" s="368">
        <f>IFERROR((INDEX(METADATA!$T$2:$T$20,MATCH(B7747,METADATA!$S$2:$S$20,0))),0)</f>
        <v>0</v>
      </c>
      <c r="E7747" s="312" t="str">
        <f t="shared" si="480"/>
        <v>LO</v>
      </c>
      <c r="F7747" s="369">
        <f>VLOOKUP(C7747,METADATA!$A$5:$H$29,IF(E7747="HI",2,IF(E7747="LO",6,10))+IF(D7747=1,2,IF(D7747=7,1,(IF(WEEKDAY(B7747)=1,2,IF(WEEKDAY(B7747)=7,1,0))))))</f>
        <v>2</v>
      </c>
      <c r="G7747" s="369">
        <f>VLOOKUP(C7747,METADATA!$J$5:$Q$29,IF(E7747="HI",2,IF(E7747="LO",6,10))+IF(D7747=1,2,IF(D7747=7,1,(IF(WEEKDAY(B7747)=1,2,IF(WEEKDAY(B7747)=7,1,0))))))</f>
        <v>2</v>
      </c>
      <c r="H7747" s="370">
        <v>8558.8500366210938</v>
      </c>
      <c r="I7747" s="370">
        <v>7300.3499755859375</v>
      </c>
      <c r="M7747" s="371">
        <f t="shared" si="481"/>
        <v>11249.401038073382</v>
      </c>
      <c r="N7747" s="329">
        <f t="shared" si="482"/>
        <v>4732.6949645996101</v>
      </c>
      <c r="T7747" s="331">
        <v>0</v>
      </c>
      <c r="U7747" s="328">
        <f>VLOOKUP(C7747,METADATA!$J$5:$Q$29,IF(E7747="HI",2,IF(E7747="LO",6,10))+IF(T7747=1,2,IF(D7747=7,1,(IF(WEEKDAY(B7747)=1,2,IF(WEEKDAY(B7747)=7,1,0))))))</f>
        <v>2</v>
      </c>
      <c r="V7747" s="328">
        <f>VLOOKUP(C7747,METADATA!$A$5:$H$29,IF(E7747="HI",2,IF(E7747="LO",6,10))+IF(T7747=1,2,IF(D7747=7,1,(IF(WEEKDAY(B7747)=1,2,IF(WEEKDAY(B7747)=7,1,0))))))</f>
        <v>2</v>
      </c>
    </row>
    <row r="7748" spans="2:22">
      <c r="B7748" s="318">
        <f t="shared" si="483"/>
        <v>46435</v>
      </c>
      <c r="C7748" s="312">
        <v>16</v>
      </c>
      <c r="D7748" s="368">
        <f>IFERROR((INDEX(METADATA!$T$2:$T$20,MATCH(B7748,METADATA!$S$2:$S$20,0))),0)</f>
        <v>0</v>
      </c>
      <c r="E7748" s="312" t="str">
        <f t="shared" ref="E7748:E7811" si="484">IF(B7748="","",IF(AND(MONTH(B7748)&gt;=MONTH($Z$9),MONTH(B7748)&lt;=MONTH($Z$11)),"HI","LO"))</f>
        <v>LO</v>
      </c>
      <c r="F7748" s="369">
        <f>VLOOKUP(C7748,METADATA!$A$5:$H$29,IF(E7748="HI",2,IF(E7748="LO",6,10))+IF(D7748=1,2,IF(D7748=7,1,(IF(WEEKDAY(B7748)=1,2,IF(WEEKDAY(B7748)=7,1,0))))))</f>
        <v>2</v>
      </c>
      <c r="G7748" s="369">
        <f>VLOOKUP(C7748,METADATA!$J$5:$Q$29,IF(E7748="HI",2,IF(E7748="LO",6,10))+IF(D7748=1,2,IF(D7748=7,1,(IF(WEEKDAY(B7748)=1,2,IF(WEEKDAY(B7748)=7,1,0))))))</f>
        <v>2</v>
      </c>
      <c r="H7748" s="370">
        <v>8313.8750610351563</v>
      </c>
      <c r="I7748" s="370">
        <v>7237.97509765625</v>
      </c>
      <c r="M7748" s="371">
        <f t="shared" ref="M7748:M7811" si="485">SQRT(H7748^2+I7748^2)</f>
        <v>11023.10310415331</v>
      </c>
      <c r="N7748" s="329">
        <f t="shared" ref="N7748:N7811" si="486">IF(H7748=0,0,(IF(I7748-(0.3*H7748)&lt;0,0,(I7748-(0.3*H7748)))))</f>
        <v>4743.8125793457039</v>
      </c>
      <c r="T7748" s="331">
        <v>0</v>
      </c>
      <c r="U7748" s="328">
        <f>VLOOKUP(C7748,METADATA!$J$5:$Q$29,IF(E7748="HI",2,IF(E7748="LO",6,10))+IF(T7748=1,2,IF(D7748=7,1,(IF(WEEKDAY(B7748)=1,2,IF(WEEKDAY(B7748)=7,1,0))))))</f>
        <v>2</v>
      </c>
      <c r="V7748" s="328">
        <f>VLOOKUP(C7748,METADATA!$A$5:$H$29,IF(E7748="HI",2,IF(E7748="LO",6,10))+IF(T7748=1,2,IF(D7748=7,1,(IF(WEEKDAY(B7748)=1,2,IF(WEEKDAY(B7748)=7,1,0))))))</f>
        <v>2</v>
      </c>
    </row>
    <row r="7749" spans="2:22">
      <c r="B7749" s="318">
        <f t="shared" si="483"/>
        <v>46435</v>
      </c>
      <c r="C7749" s="312">
        <v>17</v>
      </c>
      <c r="D7749" s="368">
        <f>IFERROR((INDEX(METADATA!$T$2:$T$20,MATCH(B7749,METADATA!$S$2:$S$20,0))),0)</f>
        <v>0</v>
      </c>
      <c r="E7749" s="312" t="str">
        <f t="shared" si="484"/>
        <v>LO</v>
      </c>
      <c r="F7749" s="369">
        <f>VLOOKUP(C7749,METADATA!$A$5:$H$29,IF(E7749="HI",2,IF(E7749="LO",6,10))+IF(D7749=1,2,IF(D7749=7,1,(IF(WEEKDAY(B7749)=1,2,IF(WEEKDAY(B7749)=7,1,0))))))</f>
        <v>2</v>
      </c>
      <c r="G7749" s="369">
        <f>VLOOKUP(C7749,METADATA!$J$5:$Q$29,IF(E7749="HI",2,IF(E7749="LO",6,10))+IF(D7749=1,2,IF(D7749=7,1,(IF(WEEKDAY(B7749)=1,2,IF(WEEKDAY(B7749)=7,1,0))))))</f>
        <v>2</v>
      </c>
      <c r="H7749" s="370">
        <v>8726.175048828125</v>
      </c>
      <c r="I7749" s="370">
        <v>7575.4999389648438</v>
      </c>
      <c r="M7749" s="371">
        <f t="shared" si="485"/>
        <v>11555.705530518111</v>
      </c>
      <c r="N7749" s="329">
        <f t="shared" si="486"/>
        <v>4957.6474243164066</v>
      </c>
      <c r="T7749" s="331">
        <v>0</v>
      </c>
      <c r="U7749" s="328">
        <f>VLOOKUP(C7749,METADATA!$J$5:$Q$29,IF(E7749="HI",2,IF(E7749="LO",6,10))+IF(T7749=1,2,IF(D7749=7,1,(IF(WEEKDAY(B7749)=1,2,IF(WEEKDAY(B7749)=7,1,0))))))</f>
        <v>2</v>
      </c>
      <c r="V7749" s="328">
        <f>VLOOKUP(C7749,METADATA!$A$5:$H$29,IF(E7749="HI",2,IF(E7749="LO",6,10))+IF(T7749=1,2,IF(D7749=7,1,(IF(WEEKDAY(B7749)=1,2,IF(WEEKDAY(B7749)=7,1,0))))))</f>
        <v>2</v>
      </c>
    </row>
    <row r="7750" spans="2:22">
      <c r="B7750" s="318">
        <f t="shared" si="483"/>
        <v>46435</v>
      </c>
      <c r="C7750" s="312">
        <v>18</v>
      </c>
      <c r="D7750" s="368">
        <f>IFERROR((INDEX(METADATA!$T$2:$T$20,MATCH(B7750,METADATA!$S$2:$S$20,0))),0)</f>
        <v>0</v>
      </c>
      <c r="E7750" s="312" t="str">
        <f t="shared" si="484"/>
        <v>LO</v>
      </c>
      <c r="F7750" s="369">
        <f>VLOOKUP(C7750,METADATA!$A$5:$H$29,IF(E7750="HI",2,IF(E7750="LO",6,10))+IF(D7750=1,2,IF(D7750=7,1,(IF(WEEKDAY(B7750)=1,2,IF(WEEKDAY(B7750)=7,1,0))))))</f>
        <v>1</v>
      </c>
      <c r="G7750" s="369">
        <f>VLOOKUP(C7750,METADATA!$J$5:$Q$29,IF(E7750="HI",2,IF(E7750="LO",6,10))+IF(D7750=1,2,IF(D7750=7,1,(IF(WEEKDAY(B7750)=1,2,IF(WEEKDAY(B7750)=7,1,0))))))</f>
        <v>1</v>
      </c>
      <c r="H7750" s="370">
        <v>9762.425048828125</v>
      </c>
      <c r="I7750" s="370">
        <v>8254.8872680664063</v>
      </c>
      <c r="M7750" s="371">
        <f t="shared" si="485"/>
        <v>12784.682500651774</v>
      </c>
      <c r="N7750" s="329">
        <f t="shared" si="486"/>
        <v>5326.1597534179691</v>
      </c>
      <c r="T7750" s="331">
        <v>0</v>
      </c>
      <c r="U7750" s="328">
        <f>VLOOKUP(C7750,METADATA!$J$5:$Q$29,IF(E7750="HI",2,IF(E7750="LO",6,10))+IF(T7750=1,2,IF(D7750=7,1,(IF(WEEKDAY(B7750)=1,2,IF(WEEKDAY(B7750)=7,1,0))))))</f>
        <v>1</v>
      </c>
      <c r="V7750" s="328">
        <f>VLOOKUP(C7750,METADATA!$A$5:$H$29,IF(E7750="HI",2,IF(E7750="LO",6,10))+IF(T7750=1,2,IF(D7750=7,1,(IF(WEEKDAY(B7750)=1,2,IF(WEEKDAY(B7750)=7,1,0))))))</f>
        <v>1</v>
      </c>
    </row>
    <row r="7751" spans="2:22">
      <c r="B7751" s="318">
        <f t="shared" si="483"/>
        <v>46435</v>
      </c>
      <c r="C7751" s="312">
        <v>19</v>
      </c>
      <c r="D7751" s="368">
        <f>IFERROR((INDEX(METADATA!$T$2:$T$20,MATCH(B7751,METADATA!$S$2:$S$20,0))),0)</f>
        <v>0</v>
      </c>
      <c r="E7751" s="312" t="str">
        <f t="shared" si="484"/>
        <v>LO</v>
      </c>
      <c r="F7751" s="369">
        <f>VLOOKUP(C7751,METADATA!$A$5:$H$29,IF(E7751="HI",2,IF(E7751="LO",6,10))+IF(D7751=1,2,IF(D7751=7,1,(IF(WEEKDAY(B7751)=1,2,IF(WEEKDAY(B7751)=7,1,0))))))</f>
        <v>1</v>
      </c>
      <c r="G7751" s="369">
        <f>VLOOKUP(C7751,METADATA!$J$5:$Q$29,IF(E7751="HI",2,IF(E7751="LO",6,10))+IF(D7751=1,2,IF(D7751=7,1,(IF(WEEKDAY(B7751)=1,2,IF(WEEKDAY(B7751)=7,1,0))))))</f>
        <v>1</v>
      </c>
      <c r="H7751" s="370">
        <v>11128.025329589844</v>
      </c>
      <c r="I7751" s="370">
        <v>8520.3075561523438</v>
      </c>
      <c r="M7751" s="371">
        <f t="shared" si="485"/>
        <v>14015.298376681812</v>
      </c>
      <c r="N7751" s="329">
        <f t="shared" si="486"/>
        <v>5181.899957275391</v>
      </c>
      <c r="T7751" s="331">
        <v>0</v>
      </c>
      <c r="U7751" s="328">
        <f>VLOOKUP(C7751,METADATA!$J$5:$Q$29,IF(E7751="HI",2,IF(E7751="LO",6,10))+IF(T7751=1,2,IF(D7751=7,1,(IF(WEEKDAY(B7751)=1,2,IF(WEEKDAY(B7751)=7,1,0))))))</f>
        <v>1</v>
      </c>
      <c r="V7751" s="328">
        <f>VLOOKUP(C7751,METADATA!$A$5:$H$29,IF(E7751="HI",2,IF(E7751="LO",6,10))+IF(T7751=1,2,IF(D7751=7,1,(IF(WEEKDAY(B7751)=1,2,IF(WEEKDAY(B7751)=7,1,0))))))</f>
        <v>1</v>
      </c>
    </row>
    <row r="7752" spans="2:22">
      <c r="B7752" s="318">
        <f t="shared" si="483"/>
        <v>46435</v>
      </c>
      <c r="C7752" s="312">
        <v>20</v>
      </c>
      <c r="D7752" s="368">
        <f>IFERROR((INDEX(METADATA!$T$2:$T$20,MATCH(B7752,METADATA!$S$2:$S$20,0))),0)</f>
        <v>0</v>
      </c>
      <c r="E7752" s="312" t="str">
        <f t="shared" si="484"/>
        <v>LO</v>
      </c>
      <c r="F7752" s="369">
        <f>VLOOKUP(C7752,METADATA!$A$5:$H$29,IF(E7752="HI",2,IF(E7752="LO",6,10))+IF(D7752=1,2,IF(D7752=7,1,(IF(WEEKDAY(B7752)=1,2,IF(WEEKDAY(B7752)=7,1,0))))))</f>
        <v>1</v>
      </c>
      <c r="G7752" s="369">
        <f>VLOOKUP(C7752,METADATA!$J$5:$Q$29,IF(E7752="HI",2,IF(E7752="LO",6,10))+IF(D7752=1,2,IF(D7752=7,1,(IF(WEEKDAY(B7752)=1,2,IF(WEEKDAY(B7752)=7,1,0))))))</f>
        <v>1</v>
      </c>
      <c r="H7752" s="370">
        <v>11746.0498046875</v>
      </c>
      <c r="I7752" s="370">
        <v>8813.820068359375</v>
      </c>
      <c r="M7752" s="371">
        <f t="shared" si="485"/>
        <v>14685.132284443805</v>
      </c>
      <c r="N7752" s="329">
        <f t="shared" si="486"/>
        <v>5290.005126953125</v>
      </c>
      <c r="T7752" s="331">
        <v>0</v>
      </c>
      <c r="U7752" s="328">
        <f>VLOOKUP(C7752,METADATA!$J$5:$Q$29,IF(E7752="HI",2,IF(E7752="LO",6,10))+IF(T7752=1,2,IF(D7752=7,1,(IF(WEEKDAY(B7752)=1,2,IF(WEEKDAY(B7752)=7,1,0))))))</f>
        <v>1</v>
      </c>
      <c r="V7752" s="328">
        <f>VLOOKUP(C7752,METADATA!$A$5:$H$29,IF(E7752="HI",2,IF(E7752="LO",6,10))+IF(T7752=1,2,IF(D7752=7,1,(IF(WEEKDAY(B7752)=1,2,IF(WEEKDAY(B7752)=7,1,0))))))</f>
        <v>1</v>
      </c>
    </row>
    <row r="7753" spans="2:22">
      <c r="B7753" s="318">
        <f t="shared" si="483"/>
        <v>46435</v>
      </c>
      <c r="C7753" s="312">
        <v>21</v>
      </c>
      <c r="D7753" s="368">
        <f>IFERROR((INDEX(METADATA!$T$2:$T$20,MATCH(B7753,METADATA!$S$2:$S$20,0))),0)</f>
        <v>0</v>
      </c>
      <c r="E7753" s="312" t="str">
        <f t="shared" si="484"/>
        <v>LO</v>
      </c>
      <c r="F7753" s="369">
        <f>VLOOKUP(C7753,METADATA!$A$5:$H$29,IF(E7753="HI",2,IF(E7753="LO",6,10))+IF(D7753=1,2,IF(D7753=7,1,(IF(WEEKDAY(B7753)=1,2,IF(WEEKDAY(B7753)=7,1,0))))))</f>
        <v>2</v>
      </c>
      <c r="G7753" s="369">
        <f>VLOOKUP(C7753,METADATA!$J$5:$Q$29,IF(E7753="HI",2,IF(E7753="LO",6,10))+IF(D7753=1,2,IF(D7753=7,1,(IF(WEEKDAY(B7753)=1,2,IF(WEEKDAY(B7753)=7,1,0))))))</f>
        <v>2</v>
      </c>
      <c r="H7753" s="370">
        <v>13030.25</v>
      </c>
      <c r="I7753" s="370">
        <v>9600.2000732421875</v>
      </c>
      <c r="M7753" s="371">
        <f t="shared" si="485"/>
        <v>16184.908294728744</v>
      </c>
      <c r="N7753" s="329">
        <f t="shared" si="486"/>
        <v>5691.1250732421877</v>
      </c>
      <c r="T7753" s="331">
        <v>0</v>
      </c>
      <c r="U7753" s="328">
        <f>VLOOKUP(C7753,METADATA!$J$5:$Q$29,IF(E7753="HI",2,IF(E7753="LO",6,10))+IF(T7753=1,2,IF(D7753=7,1,(IF(WEEKDAY(B7753)=1,2,IF(WEEKDAY(B7753)=7,1,0))))))</f>
        <v>2</v>
      </c>
      <c r="V7753" s="328">
        <f>VLOOKUP(C7753,METADATA!$A$5:$H$29,IF(E7753="HI",2,IF(E7753="LO",6,10))+IF(T7753=1,2,IF(D7753=7,1,(IF(WEEKDAY(B7753)=1,2,IF(WEEKDAY(B7753)=7,1,0))))))</f>
        <v>2</v>
      </c>
    </row>
    <row r="7754" spans="2:22">
      <c r="B7754" s="318">
        <f t="shared" si="483"/>
        <v>46435</v>
      </c>
      <c r="C7754" s="312">
        <v>22</v>
      </c>
      <c r="D7754" s="368">
        <f>IFERROR((INDEX(METADATA!$T$2:$T$20,MATCH(B7754,METADATA!$S$2:$S$20,0))),0)</f>
        <v>0</v>
      </c>
      <c r="E7754" s="312" t="str">
        <f t="shared" si="484"/>
        <v>LO</v>
      </c>
      <c r="F7754" s="369">
        <f>VLOOKUP(C7754,METADATA!$A$5:$H$29,IF(E7754="HI",2,IF(E7754="LO",6,10))+IF(D7754=1,2,IF(D7754=7,1,(IF(WEEKDAY(B7754)=1,2,IF(WEEKDAY(B7754)=7,1,0))))))</f>
        <v>3</v>
      </c>
      <c r="G7754" s="369">
        <f>VLOOKUP(C7754,METADATA!$J$5:$Q$29,IF(E7754="HI",2,IF(E7754="LO",6,10))+IF(D7754=1,2,IF(D7754=7,1,(IF(WEEKDAY(B7754)=1,2,IF(WEEKDAY(B7754)=7,1,0))))))</f>
        <v>3</v>
      </c>
      <c r="H7754" s="370">
        <v>12868.14990234375</v>
      </c>
      <c r="I7754" s="370">
        <v>9667.6749877929688</v>
      </c>
      <c r="M7754" s="371">
        <f t="shared" si="485"/>
        <v>16095.13036849305</v>
      </c>
      <c r="N7754" s="329">
        <f t="shared" si="486"/>
        <v>5807.2300170898434</v>
      </c>
      <c r="T7754" s="331">
        <v>0</v>
      </c>
      <c r="U7754" s="328">
        <f>VLOOKUP(C7754,METADATA!$J$5:$Q$29,IF(E7754="HI",2,IF(E7754="LO",6,10))+IF(T7754=1,2,IF(D7754=7,1,(IF(WEEKDAY(B7754)=1,2,IF(WEEKDAY(B7754)=7,1,0))))))</f>
        <v>3</v>
      </c>
      <c r="V7754" s="328">
        <f>VLOOKUP(C7754,METADATA!$A$5:$H$29,IF(E7754="HI",2,IF(E7754="LO",6,10))+IF(T7754=1,2,IF(D7754=7,1,(IF(WEEKDAY(B7754)=1,2,IF(WEEKDAY(B7754)=7,1,0))))))</f>
        <v>3</v>
      </c>
    </row>
    <row r="7755" spans="2:22">
      <c r="B7755" s="318">
        <f t="shared" si="483"/>
        <v>46435</v>
      </c>
      <c r="C7755" s="312">
        <v>23</v>
      </c>
      <c r="D7755" s="368">
        <f>IFERROR((INDEX(METADATA!$T$2:$T$20,MATCH(B7755,METADATA!$S$2:$S$20,0))),0)</f>
        <v>0</v>
      </c>
      <c r="E7755" s="312" t="str">
        <f t="shared" si="484"/>
        <v>LO</v>
      </c>
      <c r="F7755" s="369">
        <f>VLOOKUP(C7755,METADATA!$A$5:$H$29,IF(E7755="HI",2,IF(E7755="LO",6,10))+IF(D7755=1,2,IF(D7755=7,1,(IF(WEEKDAY(B7755)=1,2,IF(WEEKDAY(B7755)=7,1,0))))))</f>
        <v>3</v>
      </c>
      <c r="G7755" s="369">
        <f>VLOOKUP(C7755,METADATA!$J$5:$Q$29,IF(E7755="HI",2,IF(E7755="LO",6,10))+IF(D7755=1,2,IF(D7755=7,1,(IF(WEEKDAY(B7755)=1,2,IF(WEEKDAY(B7755)=7,1,0))))))</f>
        <v>3</v>
      </c>
      <c r="H7755" s="370">
        <v>12800.224914550781</v>
      </c>
      <c r="I7755" s="370">
        <v>9699.199951171875</v>
      </c>
      <c r="M7755" s="371">
        <f t="shared" si="485"/>
        <v>16059.895315844966</v>
      </c>
      <c r="N7755" s="329">
        <f t="shared" si="486"/>
        <v>5859.1324768066406</v>
      </c>
      <c r="T7755" s="331">
        <v>0</v>
      </c>
      <c r="U7755" s="328">
        <f>VLOOKUP(C7755,METADATA!$J$5:$Q$29,IF(E7755="HI",2,IF(E7755="LO",6,10))+IF(T7755=1,2,IF(D7755=7,1,(IF(WEEKDAY(B7755)=1,2,IF(WEEKDAY(B7755)=7,1,0))))))</f>
        <v>3</v>
      </c>
      <c r="V7755" s="328">
        <f>VLOOKUP(C7755,METADATA!$A$5:$H$29,IF(E7755="HI",2,IF(E7755="LO",6,10))+IF(T7755=1,2,IF(D7755=7,1,(IF(WEEKDAY(B7755)=1,2,IF(WEEKDAY(B7755)=7,1,0))))))</f>
        <v>3</v>
      </c>
    </row>
    <row r="7756" spans="2:22">
      <c r="B7756" s="318">
        <f t="shared" si="483"/>
        <v>46436</v>
      </c>
      <c r="C7756" s="312">
        <v>0</v>
      </c>
      <c r="D7756" s="368">
        <f>IFERROR((INDEX(METADATA!$T$2:$T$20,MATCH(B7756,METADATA!$S$2:$S$20,0))),0)</f>
        <v>0</v>
      </c>
      <c r="E7756" s="312" t="str">
        <f t="shared" si="484"/>
        <v>LO</v>
      </c>
      <c r="F7756" s="369">
        <f>VLOOKUP(C7756,METADATA!$A$5:$H$29,IF(E7756="HI",2,IF(E7756="LO",6,10))+IF(D7756=1,2,IF(D7756=7,1,(IF(WEEKDAY(B7756)=1,2,IF(WEEKDAY(B7756)=7,1,0))))))</f>
        <v>3</v>
      </c>
      <c r="G7756" s="369">
        <f>VLOOKUP(C7756,METADATA!$J$5:$Q$29,IF(E7756="HI",2,IF(E7756="LO",6,10))+IF(D7756=1,2,IF(D7756=7,1,(IF(WEEKDAY(B7756)=1,2,IF(WEEKDAY(B7756)=7,1,0))))))</f>
        <v>3</v>
      </c>
      <c r="H7756" s="370">
        <v>12749.700073242188</v>
      </c>
      <c r="I7756" s="370">
        <v>9629.8750610351563</v>
      </c>
      <c r="M7756" s="371">
        <f t="shared" si="485"/>
        <v>15977.776617814467</v>
      </c>
      <c r="N7756" s="329">
        <f t="shared" si="486"/>
        <v>5804.9650390625002</v>
      </c>
      <c r="T7756" s="331">
        <v>0</v>
      </c>
      <c r="U7756" s="328">
        <f>VLOOKUP(C7756,METADATA!$J$5:$Q$29,IF(E7756="HI",2,IF(E7756="LO",6,10))+IF(T7756=1,2,IF(D7756=7,1,(IF(WEEKDAY(B7756)=1,2,IF(WEEKDAY(B7756)=7,1,0))))))</f>
        <v>3</v>
      </c>
      <c r="V7756" s="328">
        <f>VLOOKUP(C7756,METADATA!$A$5:$H$29,IF(E7756="HI",2,IF(E7756="LO",6,10))+IF(T7756=1,2,IF(D7756=7,1,(IF(WEEKDAY(B7756)=1,2,IF(WEEKDAY(B7756)=7,1,0))))))</f>
        <v>3</v>
      </c>
    </row>
    <row r="7757" spans="2:22">
      <c r="B7757" s="318">
        <f t="shared" si="483"/>
        <v>46436</v>
      </c>
      <c r="C7757" s="312">
        <v>1</v>
      </c>
      <c r="D7757" s="368">
        <f>IFERROR((INDEX(METADATA!$T$2:$T$20,MATCH(B7757,METADATA!$S$2:$S$20,0))),0)</f>
        <v>0</v>
      </c>
      <c r="E7757" s="312" t="str">
        <f t="shared" si="484"/>
        <v>LO</v>
      </c>
      <c r="F7757" s="369">
        <f>VLOOKUP(C7757,METADATA!$A$5:$H$29,IF(E7757="HI",2,IF(E7757="LO",6,10))+IF(D7757=1,2,IF(D7757=7,1,(IF(WEEKDAY(B7757)=1,2,IF(WEEKDAY(B7757)=7,1,0))))))</f>
        <v>3</v>
      </c>
      <c r="G7757" s="369">
        <f>VLOOKUP(C7757,METADATA!$J$5:$Q$29,IF(E7757="HI",2,IF(E7757="LO",6,10))+IF(D7757=1,2,IF(D7757=7,1,(IF(WEEKDAY(B7757)=1,2,IF(WEEKDAY(B7757)=7,1,0))))))</f>
        <v>3</v>
      </c>
      <c r="H7757" s="370">
        <v>12758.347595214844</v>
      </c>
      <c r="I7757" s="370">
        <v>9677.5100708007813</v>
      </c>
      <c r="M7757" s="371">
        <f t="shared" si="485"/>
        <v>16013.420450696189</v>
      </c>
      <c r="N7757" s="329">
        <f t="shared" si="486"/>
        <v>5850.0057922363285</v>
      </c>
      <c r="T7757" s="331">
        <v>0</v>
      </c>
      <c r="U7757" s="328">
        <f>VLOOKUP(C7757,METADATA!$J$5:$Q$29,IF(E7757="HI",2,IF(E7757="LO",6,10))+IF(T7757=1,2,IF(D7757=7,1,(IF(WEEKDAY(B7757)=1,2,IF(WEEKDAY(B7757)=7,1,0))))))</f>
        <v>3</v>
      </c>
      <c r="V7757" s="328">
        <f>VLOOKUP(C7757,METADATA!$A$5:$H$29,IF(E7757="HI",2,IF(E7757="LO",6,10))+IF(T7757=1,2,IF(D7757=7,1,(IF(WEEKDAY(B7757)=1,2,IF(WEEKDAY(B7757)=7,1,0))))))</f>
        <v>3</v>
      </c>
    </row>
    <row r="7758" spans="2:22">
      <c r="B7758" s="318">
        <f t="shared" si="483"/>
        <v>46436</v>
      </c>
      <c r="C7758" s="312">
        <v>2</v>
      </c>
      <c r="D7758" s="368">
        <f>IFERROR((INDEX(METADATA!$T$2:$T$20,MATCH(B7758,METADATA!$S$2:$S$20,0))),0)</f>
        <v>0</v>
      </c>
      <c r="E7758" s="312" t="str">
        <f t="shared" si="484"/>
        <v>LO</v>
      </c>
      <c r="F7758" s="369">
        <f>VLOOKUP(C7758,METADATA!$A$5:$H$29,IF(E7758="HI",2,IF(E7758="LO",6,10))+IF(D7758=1,2,IF(D7758=7,1,(IF(WEEKDAY(B7758)=1,2,IF(WEEKDAY(B7758)=7,1,0))))))</f>
        <v>3</v>
      </c>
      <c r="G7758" s="369">
        <f>VLOOKUP(C7758,METADATA!$J$5:$Q$29,IF(E7758="HI",2,IF(E7758="LO",6,10))+IF(D7758=1,2,IF(D7758=7,1,(IF(WEEKDAY(B7758)=1,2,IF(WEEKDAY(B7758)=7,1,0))))))</f>
        <v>3</v>
      </c>
      <c r="H7758" s="370">
        <v>12785.157592773438</v>
      </c>
      <c r="I7758" s="370">
        <v>9718.5151977539063</v>
      </c>
      <c r="M7758" s="371">
        <f t="shared" si="485"/>
        <v>16059.570116320858</v>
      </c>
      <c r="N7758" s="329">
        <f t="shared" si="486"/>
        <v>5882.9679199218754</v>
      </c>
      <c r="T7758" s="331">
        <v>0</v>
      </c>
      <c r="U7758" s="328">
        <f>VLOOKUP(C7758,METADATA!$J$5:$Q$29,IF(E7758="HI",2,IF(E7758="LO",6,10))+IF(T7758=1,2,IF(D7758=7,1,(IF(WEEKDAY(B7758)=1,2,IF(WEEKDAY(B7758)=7,1,0))))))</f>
        <v>3</v>
      </c>
      <c r="V7758" s="328">
        <f>VLOOKUP(C7758,METADATA!$A$5:$H$29,IF(E7758="HI",2,IF(E7758="LO",6,10))+IF(T7758=1,2,IF(D7758=7,1,(IF(WEEKDAY(B7758)=1,2,IF(WEEKDAY(B7758)=7,1,0))))))</f>
        <v>3</v>
      </c>
    </row>
    <row r="7759" spans="2:22">
      <c r="B7759" s="318">
        <f t="shared" si="483"/>
        <v>46436</v>
      </c>
      <c r="C7759" s="312">
        <v>3</v>
      </c>
      <c r="D7759" s="368">
        <f>IFERROR((INDEX(METADATA!$T$2:$T$20,MATCH(B7759,METADATA!$S$2:$S$20,0))),0)</f>
        <v>0</v>
      </c>
      <c r="E7759" s="312" t="str">
        <f t="shared" si="484"/>
        <v>LO</v>
      </c>
      <c r="F7759" s="369">
        <f>VLOOKUP(C7759,METADATA!$A$5:$H$29,IF(E7759="HI",2,IF(E7759="LO",6,10))+IF(D7759=1,2,IF(D7759=7,1,(IF(WEEKDAY(B7759)=1,2,IF(WEEKDAY(B7759)=7,1,0))))))</f>
        <v>3</v>
      </c>
      <c r="G7759" s="369">
        <f>VLOOKUP(C7759,METADATA!$J$5:$Q$29,IF(E7759="HI",2,IF(E7759="LO",6,10))+IF(D7759=1,2,IF(D7759=7,1,(IF(WEEKDAY(B7759)=1,2,IF(WEEKDAY(B7759)=7,1,0))))))</f>
        <v>3</v>
      </c>
      <c r="H7759" s="370">
        <v>12742.175231933594</v>
      </c>
      <c r="I7759" s="370">
        <v>9609.1250610351563</v>
      </c>
      <c r="M7759" s="371">
        <f t="shared" si="485"/>
        <v>15959.27047455227</v>
      </c>
      <c r="N7759" s="329">
        <f t="shared" si="486"/>
        <v>5786.4724914550789</v>
      </c>
      <c r="T7759" s="331">
        <v>0</v>
      </c>
      <c r="U7759" s="328">
        <f>VLOOKUP(C7759,METADATA!$J$5:$Q$29,IF(E7759="HI",2,IF(E7759="LO",6,10))+IF(T7759=1,2,IF(D7759=7,1,(IF(WEEKDAY(B7759)=1,2,IF(WEEKDAY(B7759)=7,1,0))))))</f>
        <v>3</v>
      </c>
      <c r="V7759" s="328">
        <f>VLOOKUP(C7759,METADATA!$A$5:$H$29,IF(E7759="HI",2,IF(E7759="LO",6,10))+IF(T7759=1,2,IF(D7759=7,1,(IF(WEEKDAY(B7759)=1,2,IF(WEEKDAY(B7759)=7,1,0))))))</f>
        <v>3</v>
      </c>
    </row>
    <row r="7760" spans="2:22">
      <c r="B7760" s="318">
        <f t="shared" si="483"/>
        <v>46436</v>
      </c>
      <c r="C7760" s="312">
        <v>4</v>
      </c>
      <c r="D7760" s="368">
        <f>IFERROR((INDEX(METADATA!$T$2:$T$20,MATCH(B7760,METADATA!$S$2:$S$20,0))),0)</f>
        <v>0</v>
      </c>
      <c r="E7760" s="312" t="str">
        <f t="shared" si="484"/>
        <v>LO</v>
      </c>
      <c r="F7760" s="369">
        <f>VLOOKUP(C7760,METADATA!$A$5:$H$29,IF(E7760="HI",2,IF(E7760="LO",6,10))+IF(D7760=1,2,IF(D7760=7,1,(IF(WEEKDAY(B7760)=1,2,IF(WEEKDAY(B7760)=7,1,0))))))</f>
        <v>3</v>
      </c>
      <c r="G7760" s="369">
        <f>VLOOKUP(C7760,METADATA!$J$5:$Q$29,IF(E7760="HI",2,IF(E7760="LO",6,10))+IF(D7760=1,2,IF(D7760=7,1,(IF(WEEKDAY(B7760)=1,2,IF(WEEKDAY(B7760)=7,1,0))))))</f>
        <v>3</v>
      </c>
      <c r="H7760" s="370">
        <v>12766.499694824219</v>
      </c>
      <c r="I7760" s="370">
        <v>9744.9249877929688</v>
      </c>
      <c r="M7760" s="371">
        <f t="shared" si="485"/>
        <v>16060.730913493902</v>
      </c>
      <c r="N7760" s="329">
        <f t="shared" si="486"/>
        <v>5914.9750793457033</v>
      </c>
      <c r="T7760" s="331">
        <v>0</v>
      </c>
      <c r="U7760" s="328">
        <f>VLOOKUP(C7760,METADATA!$J$5:$Q$29,IF(E7760="HI",2,IF(E7760="LO",6,10))+IF(T7760=1,2,IF(D7760=7,1,(IF(WEEKDAY(B7760)=1,2,IF(WEEKDAY(B7760)=7,1,0))))))</f>
        <v>3</v>
      </c>
      <c r="V7760" s="328">
        <f>VLOOKUP(C7760,METADATA!$A$5:$H$29,IF(E7760="HI",2,IF(E7760="LO",6,10))+IF(T7760=1,2,IF(D7760=7,1,(IF(WEEKDAY(B7760)=1,2,IF(WEEKDAY(B7760)=7,1,0))))))</f>
        <v>3</v>
      </c>
    </row>
    <row r="7761" spans="2:22">
      <c r="B7761" s="318">
        <f t="shared" si="483"/>
        <v>46436</v>
      </c>
      <c r="C7761" s="312">
        <v>5</v>
      </c>
      <c r="D7761" s="368">
        <f>IFERROR((INDEX(METADATA!$T$2:$T$20,MATCH(B7761,METADATA!$S$2:$S$20,0))),0)</f>
        <v>0</v>
      </c>
      <c r="E7761" s="312" t="str">
        <f t="shared" si="484"/>
        <v>LO</v>
      </c>
      <c r="F7761" s="369">
        <f>VLOOKUP(C7761,METADATA!$A$5:$H$29,IF(E7761="HI",2,IF(E7761="LO",6,10))+IF(D7761=1,2,IF(D7761=7,1,(IF(WEEKDAY(B7761)=1,2,IF(WEEKDAY(B7761)=7,1,0))))))</f>
        <v>3</v>
      </c>
      <c r="G7761" s="369">
        <f>VLOOKUP(C7761,METADATA!$J$5:$Q$29,IF(E7761="HI",2,IF(E7761="LO",6,10))+IF(D7761=1,2,IF(D7761=7,1,(IF(WEEKDAY(B7761)=1,2,IF(WEEKDAY(B7761)=7,1,0))))))</f>
        <v>3</v>
      </c>
      <c r="H7761" s="370">
        <v>12740.324523925781</v>
      </c>
      <c r="I7761" s="370">
        <v>9594.7001342773438</v>
      </c>
      <c r="M7761" s="371">
        <f t="shared" si="485"/>
        <v>15949.110935774645</v>
      </c>
      <c r="N7761" s="329">
        <f t="shared" si="486"/>
        <v>5772.6027770996097</v>
      </c>
      <c r="T7761" s="331">
        <v>0</v>
      </c>
      <c r="U7761" s="328">
        <f>VLOOKUP(C7761,METADATA!$J$5:$Q$29,IF(E7761="HI",2,IF(E7761="LO",6,10))+IF(T7761=1,2,IF(D7761=7,1,(IF(WEEKDAY(B7761)=1,2,IF(WEEKDAY(B7761)=7,1,0))))))</f>
        <v>3</v>
      </c>
      <c r="V7761" s="328">
        <f>VLOOKUP(C7761,METADATA!$A$5:$H$29,IF(E7761="HI",2,IF(E7761="LO",6,10))+IF(T7761=1,2,IF(D7761=7,1,(IF(WEEKDAY(B7761)=1,2,IF(WEEKDAY(B7761)=7,1,0))))))</f>
        <v>3</v>
      </c>
    </row>
    <row r="7762" spans="2:22">
      <c r="B7762" s="318">
        <f t="shared" si="483"/>
        <v>46436</v>
      </c>
      <c r="C7762" s="312">
        <v>6</v>
      </c>
      <c r="D7762" s="368">
        <f>IFERROR((INDEX(METADATA!$T$2:$T$20,MATCH(B7762,METADATA!$S$2:$S$20,0))),0)</f>
        <v>0</v>
      </c>
      <c r="E7762" s="312" t="str">
        <f t="shared" si="484"/>
        <v>LO</v>
      </c>
      <c r="F7762" s="369">
        <f>VLOOKUP(C7762,METADATA!$A$5:$H$29,IF(E7762="HI",2,IF(E7762="LO",6,10))+IF(D7762=1,2,IF(D7762=7,1,(IF(WEEKDAY(B7762)=1,2,IF(WEEKDAY(B7762)=7,1,0))))))</f>
        <v>2</v>
      </c>
      <c r="G7762" s="369">
        <f>VLOOKUP(C7762,METADATA!$J$5:$Q$29,IF(E7762="HI",2,IF(E7762="LO",6,10))+IF(D7762=1,2,IF(D7762=7,1,(IF(WEEKDAY(B7762)=1,2,IF(WEEKDAY(B7762)=7,1,0))))))</f>
        <v>2</v>
      </c>
      <c r="H7762" s="370">
        <v>12841.375061035156</v>
      </c>
      <c r="I7762" s="370">
        <v>9509.1500854492188</v>
      </c>
      <c r="M7762" s="371">
        <f t="shared" si="485"/>
        <v>15978.887596005379</v>
      </c>
      <c r="N7762" s="329">
        <f t="shared" si="486"/>
        <v>5656.7375671386726</v>
      </c>
      <c r="T7762" s="331">
        <v>0</v>
      </c>
      <c r="U7762" s="328">
        <f>VLOOKUP(C7762,METADATA!$J$5:$Q$29,IF(E7762="HI",2,IF(E7762="LO",6,10))+IF(T7762=1,2,IF(D7762=7,1,(IF(WEEKDAY(B7762)=1,2,IF(WEEKDAY(B7762)=7,1,0))))))</f>
        <v>2</v>
      </c>
      <c r="V7762" s="328">
        <f>VLOOKUP(C7762,METADATA!$A$5:$H$29,IF(E7762="HI",2,IF(E7762="LO",6,10))+IF(T7762=1,2,IF(D7762=7,1,(IF(WEEKDAY(B7762)=1,2,IF(WEEKDAY(B7762)=7,1,0))))))</f>
        <v>2</v>
      </c>
    </row>
    <row r="7763" spans="2:22">
      <c r="B7763" s="318">
        <f t="shared" si="483"/>
        <v>46436</v>
      </c>
      <c r="C7763" s="312">
        <v>7</v>
      </c>
      <c r="D7763" s="368">
        <f>IFERROR((INDEX(METADATA!$T$2:$T$20,MATCH(B7763,METADATA!$S$2:$S$20,0))),0)</f>
        <v>0</v>
      </c>
      <c r="E7763" s="312" t="str">
        <f t="shared" si="484"/>
        <v>LO</v>
      </c>
      <c r="F7763" s="369">
        <f>VLOOKUP(C7763,METADATA!$A$5:$H$29,IF(E7763="HI",2,IF(E7763="LO",6,10))+IF(D7763=1,2,IF(D7763=7,1,(IF(WEEKDAY(B7763)=1,2,IF(WEEKDAY(B7763)=7,1,0))))))</f>
        <v>1</v>
      </c>
      <c r="G7763" s="369">
        <f>VLOOKUP(C7763,METADATA!$J$5:$Q$29,IF(E7763="HI",2,IF(E7763="LO",6,10))+IF(D7763=1,2,IF(D7763=7,1,(IF(WEEKDAY(B7763)=1,2,IF(WEEKDAY(B7763)=7,1,0))))))</f>
        <v>1</v>
      </c>
      <c r="H7763" s="370">
        <v>12736.974792480469</v>
      </c>
      <c r="I7763" s="370">
        <v>9560.75</v>
      </c>
      <c r="M7763" s="371">
        <f t="shared" si="485"/>
        <v>15926.031126014506</v>
      </c>
      <c r="N7763" s="329">
        <f t="shared" si="486"/>
        <v>5739.6575622558594</v>
      </c>
      <c r="T7763" s="331">
        <v>0</v>
      </c>
      <c r="U7763" s="328">
        <f>VLOOKUP(C7763,METADATA!$J$5:$Q$29,IF(E7763="HI",2,IF(E7763="LO",6,10))+IF(T7763=1,2,IF(D7763=7,1,(IF(WEEKDAY(B7763)=1,2,IF(WEEKDAY(B7763)=7,1,0))))))</f>
        <v>1</v>
      </c>
      <c r="V7763" s="328">
        <f>VLOOKUP(C7763,METADATA!$A$5:$H$29,IF(E7763="HI",2,IF(E7763="LO",6,10))+IF(T7763=1,2,IF(D7763=7,1,(IF(WEEKDAY(B7763)=1,2,IF(WEEKDAY(B7763)=7,1,0))))))</f>
        <v>1</v>
      </c>
    </row>
    <row r="7764" spans="2:22">
      <c r="B7764" s="318">
        <f t="shared" si="483"/>
        <v>46436</v>
      </c>
      <c r="C7764" s="312">
        <v>8</v>
      </c>
      <c r="D7764" s="368">
        <f>IFERROR((INDEX(METADATA!$T$2:$T$20,MATCH(B7764,METADATA!$S$2:$S$20,0))),0)</f>
        <v>0</v>
      </c>
      <c r="E7764" s="312" t="str">
        <f t="shared" si="484"/>
        <v>LO</v>
      </c>
      <c r="F7764" s="369">
        <f>VLOOKUP(C7764,METADATA!$A$5:$H$29,IF(E7764="HI",2,IF(E7764="LO",6,10))+IF(D7764=1,2,IF(D7764=7,1,(IF(WEEKDAY(B7764)=1,2,IF(WEEKDAY(B7764)=7,1,0))))))</f>
        <v>1</v>
      </c>
      <c r="G7764" s="369">
        <f>VLOOKUP(C7764,METADATA!$J$5:$Q$29,IF(E7764="HI",2,IF(E7764="LO",6,10))+IF(D7764=1,2,IF(D7764=7,1,(IF(WEEKDAY(B7764)=1,2,IF(WEEKDAY(B7764)=7,1,0))))))</f>
        <v>1</v>
      </c>
      <c r="H7764" s="370">
        <v>12758.924926757813</v>
      </c>
      <c r="I7764" s="370">
        <v>9416.4998779296875</v>
      </c>
      <c r="M7764" s="371">
        <f t="shared" si="485"/>
        <v>15857.510373248748</v>
      </c>
      <c r="N7764" s="329">
        <f t="shared" si="486"/>
        <v>5588.8223999023439</v>
      </c>
      <c r="T7764" s="331">
        <v>0</v>
      </c>
      <c r="U7764" s="328">
        <f>VLOOKUP(C7764,METADATA!$J$5:$Q$29,IF(E7764="HI",2,IF(E7764="LO",6,10))+IF(T7764=1,2,IF(D7764=7,1,(IF(WEEKDAY(B7764)=1,2,IF(WEEKDAY(B7764)=7,1,0))))))</f>
        <v>1</v>
      </c>
      <c r="V7764" s="328">
        <f>VLOOKUP(C7764,METADATA!$A$5:$H$29,IF(E7764="HI",2,IF(E7764="LO",6,10))+IF(T7764=1,2,IF(D7764=7,1,(IF(WEEKDAY(B7764)=1,2,IF(WEEKDAY(B7764)=7,1,0))))))</f>
        <v>1</v>
      </c>
    </row>
    <row r="7765" spans="2:22">
      <c r="B7765" s="318">
        <f t="shared" si="483"/>
        <v>46436</v>
      </c>
      <c r="C7765" s="312">
        <v>9</v>
      </c>
      <c r="D7765" s="368">
        <f>IFERROR((INDEX(METADATA!$T$2:$T$20,MATCH(B7765,METADATA!$S$2:$S$20,0))),0)</f>
        <v>0</v>
      </c>
      <c r="E7765" s="312" t="str">
        <f t="shared" si="484"/>
        <v>LO</v>
      </c>
      <c r="F7765" s="369">
        <f>VLOOKUP(C7765,METADATA!$A$5:$H$29,IF(E7765="HI",2,IF(E7765="LO",6,10))+IF(D7765=1,2,IF(D7765=7,1,(IF(WEEKDAY(B7765)=1,2,IF(WEEKDAY(B7765)=7,1,0))))))</f>
        <v>2</v>
      </c>
      <c r="G7765" s="369">
        <f>VLOOKUP(C7765,METADATA!$J$5:$Q$29,IF(E7765="HI",2,IF(E7765="LO",6,10))+IF(D7765=1,2,IF(D7765=7,1,(IF(WEEKDAY(B7765)=1,2,IF(WEEKDAY(B7765)=7,1,0))))))</f>
        <v>2</v>
      </c>
      <c r="H7765" s="370">
        <v>7346.14990234375</v>
      </c>
      <c r="I7765" s="370">
        <v>6669.42529296875</v>
      </c>
      <c r="M7765" s="371">
        <f t="shared" si="485"/>
        <v>9922.0538260078174</v>
      </c>
      <c r="N7765" s="329">
        <f t="shared" si="486"/>
        <v>4465.580322265625</v>
      </c>
      <c r="T7765" s="331">
        <v>0</v>
      </c>
      <c r="U7765" s="328">
        <f>VLOOKUP(C7765,METADATA!$J$5:$Q$29,IF(E7765="HI",2,IF(E7765="LO",6,10))+IF(T7765=1,2,IF(D7765=7,1,(IF(WEEKDAY(B7765)=1,2,IF(WEEKDAY(B7765)=7,1,0))))))</f>
        <v>2</v>
      </c>
      <c r="V7765" s="328">
        <f>VLOOKUP(C7765,METADATA!$A$5:$H$29,IF(E7765="HI",2,IF(E7765="LO",6,10))+IF(T7765=1,2,IF(D7765=7,1,(IF(WEEKDAY(B7765)=1,2,IF(WEEKDAY(B7765)=7,1,0))))))</f>
        <v>2</v>
      </c>
    </row>
    <row r="7766" spans="2:22">
      <c r="B7766" s="318">
        <f t="shared" si="483"/>
        <v>46436</v>
      </c>
      <c r="C7766" s="312">
        <v>10</v>
      </c>
      <c r="D7766" s="368">
        <f>IFERROR((INDEX(METADATA!$T$2:$T$20,MATCH(B7766,METADATA!$S$2:$S$20,0))),0)</f>
        <v>0</v>
      </c>
      <c r="E7766" s="312" t="str">
        <f t="shared" si="484"/>
        <v>LO</v>
      </c>
      <c r="F7766" s="369">
        <f>VLOOKUP(C7766,METADATA!$A$5:$H$29,IF(E7766="HI",2,IF(E7766="LO",6,10))+IF(D7766=1,2,IF(D7766=7,1,(IF(WEEKDAY(B7766)=1,2,IF(WEEKDAY(B7766)=7,1,0))))))</f>
        <v>2</v>
      </c>
      <c r="G7766" s="369">
        <f>VLOOKUP(C7766,METADATA!$J$5:$Q$29,IF(E7766="HI",2,IF(E7766="LO",6,10))+IF(D7766=1,2,IF(D7766=7,1,(IF(WEEKDAY(B7766)=1,2,IF(WEEKDAY(B7766)=7,1,0))))))</f>
        <v>2</v>
      </c>
      <c r="H7766" s="370">
        <v>8862.275146484375</v>
      </c>
      <c r="I7766" s="370">
        <v>7513.2000732421875</v>
      </c>
      <c r="M7766" s="371">
        <f t="shared" si="485"/>
        <v>11618.437765575931</v>
      </c>
      <c r="N7766" s="329">
        <f t="shared" si="486"/>
        <v>4854.5175292968752</v>
      </c>
      <c r="T7766" s="331">
        <v>0</v>
      </c>
      <c r="U7766" s="328">
        <f>VLOOKUP(C7766,METADATA!$J$5:$Q$29,IF(E7766="HI",2,IF(E7766="LO",6,10))+IF(T7766=1,2,IF(D7766=7,1,(IF(WEEKDAY(B7766)=1,2,IF(WEEKDAY(B7766)=7,1,0))))))</f>
        <v>2</v>
      </c>
      <c r="V7766" s="328">
        <f>VLOOKUP(C7766,METADATA!$A$5:$H$29,IF(E7766="HI",2,IF(E7766="LO",6,10))+IF(T7766=1,2,IF(D7766=7,1,(IF(WEEKDAY(B7766)=1,2,IF(WEEKDAY(B7766)=7,1,0))))))</f>
        <v>2</v>
      </c>
    </row>
    <row r="7767" spans="2:22">
      <c r="B7767" s="318">
        <f t="shared" si="483"/>
        <v>46436</v>
      </c>
      <c r="C7767" s="312">
        <v>11</v>
      </c>
      <c r="D7767" s="368">
        <f>IFERROR((INDEX(METADATA!$T$2:$T$20,MATCH(B7767,METADATA!$S$2:$S$20,0))),0)</f>
        <v>0</v>
      </c>
      <c r="E7767" s="312" t="str">
        <f t="shared" si="484"/>
        <v>LO</v>
      </c>
      <c r="F7767" s="369">
        <f>VLOOKUP(C7767,METADATA!$A$5:$H$29,IF(E7767="HI",2,IF(E7767="LO",6,10))+IF(D7767=1,2,IF(D7767=7,1,(IF(WEEKDAY(B7767)=1,2,IF(WEEKDAY(B7767)=7,1,0))))))</f>
        <v>2</v>
      </c>
      <c r="G7767" s="369">
        <f>VLOOKUP(C7767,METADATA!$J$5:$Q$29,IF(E7767="HI",2,IF(E7767="LO",6,10))+IF(D7767=1,2,IF(D7767=7,1,(IF(WEEKDAY(B7767)=1,2,IF(WEEKDAY(B7767)=7,1,0))))))</f>
        <v>2</v>
      </c>
      <c r="H7767" s="370">
        <v>9942.874755859375</v>
      </c>
      <c r="I7767" s="370">
        <v>7862.0501098632813</v>
      </c>
      <c r="M7767" s="371">
        <f t="shared" si="485"/>
        <v>12675.669226542119</v>
      </c>
      <c r="N7767" s="329">
        <f t="shared" si="486"/>
        <v>4879.1876831054688</v>
      </c>
      <c r="T7767" s="331">
        <v>0</v>
      </c>
      <c r="U7767" s="328">
        <f>VLOOKUP(C7767,METADATA!$J$5:$Q$29,IF(E7767="HI",2,IF(E7767="LO",6,10))+IF(T7767=1,2,IF(D7767=7,1,(IF(WEEKDAY(B7767)=1,2,IF(WEEKDAY(B7767)=7,1,0))))))</f>
        <v>2</v>
      </c>
      <c r="V7767" s="328">
        <f>VLOOKUP(C7767,METADATA!$A$5:$H$29,IF(E7767="HI",2,IF(E7767="LO",6,10))+IF(T7767=1,2,IF(D7767=7,1,(IF(WEEKDAY(B7767)=1,2,IF(WEEKDAY(B7767)=7,1,0))))))</f>
        <v>2</v>
      </c>
    </row>
    <row r="7768" spans="2:22">
      <c r="B7768" s="318">
        <f t="shared" si="483"/>
        <v>46436</v>
      </c>
      <c r="C7768" s="312">
        <v>12</v>
      </c>
      <c r="D7768" s="368">
        <f>IFERROR((INDEX(METADATA!$T$2:$T$20,MATCH(B7768,METADATA!$S$2:$S$20,0))),0)</f>
        <v>0</v>
      </c>
      <c r="E7768" s="312" t="str">
        <f t="shared" si="484"/>
        <v>LO</v>
      </c>
      <c r="F7768" s="369">
        <f>VLOOKUP(C7768,METADATA!$A$5:$H$29,IF(E7768="HI",2,IF(E7768="LO",6,10))+IF(D7768=1,2,IF(D7768=7,1,(IF(WEEKDAY(B7768)=1,2,IF(WEEKDAY(B7768)=7,1,0))))))</f>
        <v>2</v>
      </c>
      <c r="G7768" s="369">
        <f>VLOOKUP(C7768,METADATA!$J$5:$Q$29,IF(E7768="HI",2,IF(E7768="LO",6,10))+IF(D7768=1,2,IF(D7768=7,1,(IF(WEEKDAY(B7768)=1,2,IF(WEEKDAY(B7768)=7,1,0))))))</f>
        <v>2</v>
      </c>
      <c r="H7768" s="370">
        <v>6075.3249816894531</v>
      </c>
      <c r="I7768" s="370">
        <v>5978.7774353027344</v>
      </c>
      <c r="M7768" s="371">
        <f t="shared" si="485"/>
        <v>8523.8109583698006</v>
      </c>
      <c r="N7768" s="329">
        <f t="shared" si="486"/>
        <v>4156.1799407958988</v>
      </c>
      <c r="T7768" s="331">
        <v>0</v>
      </c>
      <c r="U7768" s="328">
        <f>VLOOKUP(C7768,METADATA!$J$5:$Q$29,IF(E7768="HI",2,IF(E7768="LO",6,10))+IF(T7768=1,2,IF(D7768=7,1,(IF(WEEKDAY(B7768)=1,2,IF(WEEKDAY(B7768)=7,1,0))))))</f>
        <v>2</v>
      </c>
      <c r="V7768" s="328">
        <f>VLOOKUP(C7768,METADATA!$A$5:$H$29,IF(E7768="HI",2,IF(E7768="LO",6,10))+IF(T7768=1,2,IF(D7768=7,1,(IF(WEEKDAY(B7768)=1,2,IF(WEEKDAY(B7768)=7,1,0))))))</f>
        <v>2</v>
      </c>
    </row>
    <row r="7769" spans="2:22">
      <c r="B7769" s="318">
        <f t="shared" si="483"/>
        <v>46436</v>
      </c>
      <c r="C7769" s="312">
        <v>13</v>
      </c>
      <c r="D7769" s="368">
        <f>IFERROR((INDEX(METADATA!$T$2:$T$20,MATCH(B7769,METADATA!$S$2:$S$20,0))),0)</f>
        <v>0</v>
      </c>
      <c r="E7769" s="312" t="str">
        <f t="shared" si="484"/>
        <v>LO</v>
      </c>
      <c r="F7769" s="369">
        <f>VLOOKUP(C7769,METADATA!$A$5:$H$29,IF(E7769="HI",2,IF(E7769="LO",6,10))+IF(D7769=1,2,IF(D7769=7,1,(IF(WEEKDAY(B7769)=1,2,IF(WEEKDAY(B7769)=7,1,0))))))</f>
        <v>2</v>
      </c>
      <c r="G7769" s="369">
        <f>VLOOKUP(C7769,METADATA!$J$5:$Q$29,IF(E7769="HI",2,IF(E7769="LO",6,10))+IF(D7769=1,2,IF(D7769=7,1,(IF(WEEKDAY(B7769)=1,2,IF(WEEKDAY(B7769)=7,1,0))))))</f>
        <v>2</v>
      </c>
      <c r="H7769" s="370">
        <v>8222.4024353027344</v>
      </c>
      <c r="I7769" s="370">
        <v>7198.8626403808594</v>
      </c>
      <c r="M7769" s="371">
        <f t="shared" si="485"/>
        <v>10928.473137778379</v>
      </c>
      <c r="N7769" s="329">
        <f t="shared" si="486"/>
        <v>4732.1419097900398</v>
      </c>
      <c r="T7769" s="331">
        <v>0</v>
      </c>
      <c r="U7769" s="328">
        <f>VLOOKUP(C7769,METADATA!$J$5:$Q$29,IF(E7769="HI",2,IF(E7769="LO",6,10))+IF(T7769=1,2,IF(D7769=7,1,(IF(WEEKDAY(B7769)=1,2,IF(WEEKDAY(B7769)=7,1,0))))))</f>
        <v>2</v>
      </c>
      <c r="V7769" s="328">
        <f>VLOOKUP(C7769,METADATA!$A$5:$H$29,IF(E7769="HI",2,IF(E7769="LO",6,10))+IF(T7769=1,2,IF(D7769=7,1,(IF(WEEKDAY(B7769)=1,2,IF(WEEKDAY(B7769)=7,1,0))))))</f>
        <v>2</v>
      </c>
    </row>
    <row r="7770" spans="2:22">
      <c r="B7770" s="318">
        <f t="shared" si="483"/>
        <v>46436</v>
      </c>
      <c r="C7770" s="312">
        <v>14</v>
      </c>
      <c r="D7770" s="368">
        <f>IFERROR((INDEX(METADATA!$T$2:$T$20,MATCH(B7770,METADATA!$S$2:$S$20,0))),0)</f>
        <v>0</v>
      </c>
      <c r="E7770" s="312" t="str">
        <f t="shared" si="484"/>
        <v>LO</v>
      </c>
      <c r="F7770" s="369">
        <f>VLOOKUP(C7770,METADATA!$A$5:$H$29,IF(E7770="HI",2,IF(E7770="LO",6,10))+IF(D7770=1,2,IF(D7770=7,1,(IF(WEEKDAY(B7770)=1,2,IF(WEEKDAY(B7770)=7,1,0))))))</f>
        <v>2</v>
      </c>
      <c r="G7770" s="369">
        <f>VLOOKUP(C7770,METADATA!$J$5:$Q$29,IF(E7770="HI",2,IF(E7770="LO",6,10))+IF(D7770=1,2,IF(D7770=7,1,(IF(WEEKDAY(B7770)=1,2,IF(WEEKDAY(B7770)=7,1,0))))))</f>
        <v>2</v>
      </c>
      <c r="H7770" s="370">
        <v>11644.449768066406</v>
      </c>
      <c r="I7770" s="370">
        <v>9026.8201904296875</v>
      </c>
      <c r="M7770" s="371">
        <f t="shared" si="485"/>
        <v>14733.522767870922</v>
      </c>
      <c r="N7770" s="329">
        <f t="shared" si="486"/>
        <v>5533.4852600097656</v>
      </c>
      <c r="T7770" s="331">
        <v>0</v>
      </c>
      <c r="U7770" s="328">
        <f>VLOOKUP(C7770,METADATA!$J$5:$Q$29,IF(E7770="HI",2,IF(E7770="LO",6,10))+IF(T7770=1,2,IF(D7770=7,1,(IF(WEEKDAY(B7770)=1,2,IF(WEEKDAY(B7770)=7,1,0))))))</f>
        <v>2</v>
      </c>
      <c r="V7770" s="328">
        <f>VLOOKUP(C7770,METADATA!$A$5:$H$29,IF(E7770="HI",2,IF(E7770="LO",6,10))+IF(T7770=1,2,IF(D7770=7,1,(IF(WEEKDAY(B7770)=1,2,IF(WEEKDAY(B7770)=7,1,0))))))</f>
        <v>2</v>
      </c>
    </row>
    <row r="7771" spans="2:22">
      <c r="B7771" s="318">
        <f t="shared" si="483"/>
        <v>46436</v>
      </c>
      <c r="C7771" s="312">
        <v>15</v>
      </c>
      <c r="D7771" s="368">
        <f>IFERROR((INDEX(METADATA!$T$2:$T$20,MATCH(B7771,METADATA!$S$2:$S$20,0))),0)</f>
        <v>0</v>
      </c>
      <c r="E7771" s="312" t="str">
        <f t="shared" si="484"/>
        <v>LO</v>
      </c>
      <c r="F7771" s="369">
        <f>VLOOKUP(C7771,METADATA!$A$5:$H$29,IF(E7771="HI",2,IF(E7771="LO",6,10))+IF(D7771=1,2,IF(D7771=7,1,(IF(WEEKDAY(B7771)=1,2,IF(WEEKDAY(B7771)=7,1,0))))))</f>
        <v>2</v>
      </c>
      <c r="G7771" s="369">
        <f>VLOOKUP(C7771,METADATA!$J$5:$Q$29,IF(E7771="HI",2,IF(E7771="LO",6,10))+IF(D7771=1,2,IF(D7771=7,1,(IF(WEEKDAY(B7771)=1,2,IF(WEEKDAY(B7771)=7,1,0))))))</f>
        <v>2</v>
      </c>
      <c r="H7771" s="370">
        <v>12652.974609375</v>
      </c>
      <c r="I7771" s="370">
        <v>9620.400146484375</v>
      </c>
      <c r="M7771" s="371">
        <f t="shared" si="485"/>
        <v>15894.963524461609</v>
      </c>
      <c r="N7771" s="329">
        <f t="shared" si="486"/>
        <v>5824.5077636718752</v>
      </c>
      <c r="T7771" s="331">
        <v>0</v>
      </c>
      <c r="U7771" s="328">
        <f>VLOOKUP(C7771,METADATA!$J$5:$Q$29,IF(E7771="HI",2,IF(E7771="LO",6,10))+IF(T7771=1,2,IF(D7771=7,1,(IF(WEEKDAY(B7771)=1,2,IF(WEEKDAY(B7771)=7,1,0))))))</f>
        <v>2</v>
      </c>
      <c r="V7771" s="328">
        <f>VLOOKUP(C7771,METADATA!$A$5:$H$29,IF(E7771="HI",2,IF(E7771="LO",6,10))+IF(T7771=1,2,IF(D7771=7,1,(IF(WEEKDAY(B7771)=1,2,IF(WEEKDAY(B7771)=7,1,0))))))</f>
        <v>2</v>
      </c>
    </row>
    <row r="7772" spans="2:22">
      <c r="B7772" s="318">
        <f t="shared" ref="B7772:B7835" si="487">B7748+1</f>
        <v>46436</v>
      </c>
      <c r="C7772" s="312">
        <v>16</v>
      </c>
      <c r="D7772" s="368">
        <f>IFERROR((INDEX(METADATA!$T$2:$T$20,MATCH(B7772,METADATA!$S$2:$S$20,0))),0)</f>
        <v>0</v>
      </c>
      <c r="E7772" s="312" t="str">
        <f t="shared" si="484"/>
        <v>LO</v>
      </c>
      <c r="F7772" s="369">
        <f>VLOOKUP(C7772,METADATA!$A$5:$H$29,IF(E7772="HI",2,IF(E7772="LO",6,10))+IF(D7772=1,2,IF(D7772=7,1,(IF(WEEKDAY(B7772)=1,2,IF(WEEKDAY(B7772)=7,1,0))))))</f>
        <v>2</v>
      </c>
      <c r="G7772" s="369">
        <f>VLOOKUP(C7772,METADATA!$J$5:$Q$29,IF(E7772="HI",2,IF(E7772="LO",6,10))+IF(D7772=1,2,IF(D7772=7,1,(IF(WEEKDAY(B7772)=1,2,IF(WEEKDAY(B7772)=7,1,0))))))</f>
        <v>2</v>
      </c>
      <c r="H7772" s="370">
        <v>12579.474670410156</v>
      </c>
      <c r="I7772" s="370">
        <v>9547.2501220703125</v>
      </c>
      <c r="M7772" s="371">
        <f t="shared" si="485"/>
        <v>15792.18692508616</v>
      </c>
      <c r="N7772" s="329">
        <f t="shared" si="486"/>
        <v>5773.4077209472653</v>
      </c>
      <c r="T7772" s="331">
        <v>0</v>
      </c>
      <c r="U7772" s="328">
        <f>VLOOKUP(C7772,METADATA!$J$5:$Q$29,IF(E7772="HI",2,IF(E7772="LO",6,10))+IF(T7772=1,2,IF(D7772=7,1,(IF(WEEKDAY(B7772)=1,2,IF(WEEKDAY(B7772)=7,1,0))))))</f>
        <v>2</v>
      </c>
      <c r="V7772" s="328">
        <f>VLOOKUP(C7772,METADATA!$A$5:$H$29,IF(E7772="HI",2,IF(E7772="LO",6,10))+IF(T7772=1,2,IF(D7772=7,1,(IF(WEEKDAY(B7772)=1,2,IF(WEEKDAY(B7772)=7,1,0))))))</f>
        <v>2</v>
      </c>
    </row>
    <row r="7773" spans="2:22">
      <c r="B7773" s="318">
        <f t="shared" si="487"/>
        <v>46436</v>
      </c>
      <c r="C7773" s="312">
        <v>17</v>
      </c>
      <c r="D7773" s="368">
        <f>IFERROR((INDEX(METADATA!$T$2:$T$20,MATCH(B7773,METADATA!$S$2:$S$20,0))),0)</f>
        <v>0</v>
      </c>
      <c r="E7773" s="312" t="str">
        <f t="shared" si="484"/>
        <v>LO</v>
      </c>
      <c r="F7773" s="369">
        <f>VLOOKUP(C7773,METADATA!$A$5:$H$29,IF(E7773="HI",2,IF(E7773="LO",6,10))+IF(D7773=1,2,IF(D7773=7,1,(IF(WEEKDAY(B7773)=1,2,IF(WEEKDAY(B7773)=7,1,0))))))</f>
        <v>2</v>
      </c>
      <c r="G7773" s="369">
        <f>VLOOKUP(C7773,METADATA!$J$5:$Q$29,IF(E7773="HI",2,IF(E7773="LO",6,10))+IF(D7773=1,2,IF(D7773=7,1,(IF(WEEKDAY(B7773)=1,2,IF(WEEKDAY(B7773)=7,1,0))))))</f>
        <v>2</v>
      </c>
      <c r="H7773" s="370">
        <v>12680.800231933594</v>
      </c>
      <c r="I7773" s="370">
        <v>9649.650146484375</v>
      </c>
      <c r="M7773" s="371">
        <f t="shared" si="485"/>
        <v>15934.818557854776</v>
      </c>
      <c r="N7773" s="329">
        <f t="shared" si="486"/>
        <v>5845.4100769042971</v>
      </c>
      <c r="T7773" s="331">
        <v>0</v>
      </c>
      <c r="U7773" s="328">
        <f>VLOOKUP(C7773,METADATA!$J$5:$Q$29,IF(E7773="HI",2,IF(E7773="LO",6,10))+IF(T7773=1,2,IF(D7773=7,1,(IF(WEEKDAY(B7773)=1,2,IF(WEEKDAY(B7773)=7,1,0))))))</f>
        <v>2</v>
      </c>
      <c r="V7773" s="328">
        <f>VLOOKUP(C7773,METADATA!$A$5:$H$29,IF(E7773="HI",2,IF(E7773="LO",6,10))+IF(T7773=1,2,IF(D7773=7,1,(IF(WEEKDAY(B7773)=1,2,IF(WEEKDAY(B7773)=7,1,0))))))</f>
        <v>2</v>
      </c>
    </row>
    <row r="7774" spans="2:22">
      <c r="B7774" s="318">
        <f t="shared" si="487"/>
        <v>46436</v>
      </c>
      <c r="C7774" s="312">
        <v>18</v>
      </c>
      <c r="D7774" s="368">
        <f>IFERROR((INDEX(METADATA!$T$2:$T$20,MATCH(B7774,METADATA!$S$2:$S$20,0))),0)</f>
        <v>0</v>
      </c>
      <c r="E7774" s="312" t="str">
        <f t="shared" si="484"/>
        <v>LO</v>
      </c>
      <c r="F7774" s="369">
        <f>VLOOKUP(C7774,METADATA!$A$5:$H$29,IF(E7774="HI",2,IF(E7774="LO",6,10))+IF(D7774=1,2,IF(D7774=7,1,(IF(WEEKDAY(B7774)=1,2,IF(WEEKDAY(B7774)=7,1,0))))))</f>
        <v>1</v>
      </c>
      <c r="G7774" s="369">
        <f>VLOOKUP(C7774,METADATA!$J$5:$Q$29,IF(E7774="HI",2,IF(E7774="LO",6,10))+IF(D7774=1,2,IF(D7774=7,1,(IF(WEEKDAY(B7774)=1,2,IF(WEEKDAY(B7774)=7,1,0))))))</f>
        <v>1</v>
      </c>
      <c r="H7774" s="370">
        <v>12621.949645996094</v>
      </c>
      <c r="I7774" s="370">
        <v>9659.75</v>
      </c>
      <c r="M7774" s="371">
        <f t="shared" si="485"/>
        <v>15894.161913374386</v>
      </c>
      <c r="N7774" s="329">
        <f t="shared" si="486"/>
        <v>5873.1651062011715</v>
      </c>
      <c r="T7774" s="331">
        <v>0</v>
      </c>
      <c r="U7774" s="328">
        <f>VLOOKUP(C7774,METADATA!$J$5:$Q$29,IF(E7774="HI",2,IF(E7774="LO",6,10))+IF(T7774=1,2,IF(D7774=7,1,(IF(WEEKDAY(B7774)=1,2,IF(WEEKDAY(B7774)=7,1,0))))))</f>
        <v>1</v>
      </c>
      <c r="V7774" s="328">
        <f>VLOOKUP(C7774,METADATA!$A$5:$H$29,IF(E7774="HI",2,IF(E7774="LO",6,10))+IF(T7774=1,2,IF(D7774=7,1,(IF(WEEKDAY(B7774)=1,2,IF(WEEKDAY(B7774)=7,1,0))))))</f>
        <v>1</v>
      </c>
    </row>
    <row r="7775" spans="2:22">
      <c r="B7775" s="318">
        <f t="shared" si="487"/>
        <v>46436</v>
      </c>
      <c r="C7775" s="312">
        <v>19</v>
      </c>
      <c r="D7775" s="368">
        <f>IFERROR((INDEX(METADATA!$T$2:$T$20,MATCH(B7775,METADATA!$S$2:$S$20,0))),0)</f>
        <v>0</v>
      </c>
      <c r="E7775" s="312" t="str">
        <f t="shared" si="484"/>
        <v>LO</v>
      </c>
      <c r="F7775" s="369">
        <f>VLOOKUP(C7775,METADATA!$A$5:$H$29,IF(E7775="HI",2,IF(E7775="LO",6,10))+IF(D7775=1,2,IF(D7775=7,1,(IF(WEEKDAY(B7775)=1,2,IF(WEEKDAY(B7775)=7,1,0))))))</f>
        <v>1</v>
      </c>
      <c r="G7775" s="369">
        <f>VLOOKUP(C7775,METADATA!$J$5:$Q$29,IF(E7775="HI",2,IF(E7775="LO",6,10))+IF(D7775=1,2,IF(D7775=7,1,(IF(WEEKDAY(B7775)=1,2,IF(WEEKDAY(B7775)=7,1,0))))))</f>
        <v>1</v>
      </c>
      <c r="H7775" s="370">
        <v>12631.849548339844</v>
      </c>
      <c r="I7775" s="370">
        <v>9603.925048828125</v>
      </c>
      <c r="M7775" s="371">
        <f t="shared" si="485"/>
        <v>15868.175678237301</v>
      </c>
      <c r="N7775" s="329">
        <f t="shared" si="486"/>
        <v>5814.3701843261715</v>
      </c>
      <c r="T7775" s="331">
        <v>0</v>
      </c>
      <c r="U7775" s="328">
        <f>VLOOKUP(C7775,METADATA!$J$5:$Q$29,IF(E7775="HI",2,IF(E7775="LO",6,10))+IF(T7775=1,2,IF(D7775=7,1,(IF(WEEKDAY(B7775)=1,2,IF(WEEKDAY(B7775)=7,1,0))))))</f>
        <v>1</v>
      </c>
      <c r="V7775" s="328">
        <f>VLOOKUP(C7775,METADATA!$A$5:$H$29,IF(E7775="HI",2,IF(E7775="LO",6,10))+IF(T7775=1,2,IF(D7775=7,1,(IF(WEEKDAY(B7775)=1,2,IF(WEEKDAY(B7775)=7,1,0))))))</f>
        <v>1</v>
      </c>
    </row>
    <row r="7776" spans="2:22">
      <c r="B7776" s="318">
        <f t="shared" si="487"/>
        <v>46436</v>
      </c>
      <c r="C7776" s="312">
        <v>20</v>
      </c>
      <c r="D7776" s="368">
        <f>IFERROR((INDEX(METADATA!$T$2:$T$20,MATCH(B7776,METADATA!$S$2:$S$20,0))),0)</f>
        <v>0</v>
      </c>
      <c r="E7776" s="312" t="str">
        <f t="shared" si="484"/>
        <v>LO</v>
      </c>
      <c r="F7776" s="369">
        <f>VLOOKUP(C7776,METADATA!$A$5:$H$29,IF(E7776="HI",2,IF(E7776="LO",6,10))+IF(D7776=1,2,IF(D7776=7,1,(IF(WEEKDAY(B7776)=1,2,IF(WEEKDAY(B7776)=7,1,0))))))</f>
        <v>1</v>
      </c>
      <c r="G7776" s="369">
        <f>VLOOKUP(C7776,METADATA!$J$5:$Q$29,IF(E7776="HI",2,IF(E7776="LO",6,10))+IF(D7776=1,2,IF(D7776=7,1,(IF(WEEKDAY(B7776)=1,2,IF(WEEKDAY(B7776)=7,1,0))))))</f>
        <v>1</v>
      </c>
      <c r="H7776" s="370">
        <v>12295.375244140625</v>
      </c>
      <c r="I7776" s="370">
        <v>9490.599853515625</v>
      </c>
      <c r="M7776" s="371">
        <f t="shared" si="485"/>
        <v>15532.151749637811</v>
      </c>
      <c r="N7776" s="329">
        <f t="shared" si="486"/>
        <v>5801.9872802734371</v>
      </c>
      <c r="T7776" s="331">
        <v>0</v>
      </c>
      <c r="U7776" s="328">
        <f>VLOOKUP(C7776,METADATA!$J$5:$Q$29,IF(E7776="HI",2,IF(E7776="LO",6,10))+IF(T7776=1,2,IF(D7776=7,1,(IF(WEEKDAY(B7776)=1,2,IF(WEEKDAY(B7776)=7,1,0))))))</f>
        <v>1</v>
      </c>
      <c r="V7776" s="328">
        <f>VLOOKUP(C7776,METADATA!$A$5:$H$29,IF(E7776="HI",2,IF(E7776="LO",6,10))+IF(T7776=1,2,IF(D7776=7,1,(IF(WEEKDAY(B7776)=1,2,IF(WEEKDAY(B7776)=7,1,0))))))</f>
        <v>1</v>
      </c>
    </row>
    <row r="7777" spans="2:22">
      <c r="B7777" s="318">
        <f t="shared" si="487"/>
        <v>46436</v>
      </c>
      <c r="C7777" s="312">
        <v>21</v>
      </c>
      <c r="D7777" s="368">
        <f>IFERROR((INDEX(METADATA!$T$2:$T$20,MATCH(B7777,METADATA!$S$2:$S$20,0))),0)</f>
        <v>0</v>
      </c>
      <c r="E7777" s="312" t="str">
        <f t="shared" si="484"/>
        <v>LO</v>
      </c>
      <c r="F7777" s="369">
        <f>VLOOKUP(C7777,METADATA!$A$5:$H$29,IF(E7777="HI",2,IF(E7777="LO",6,10))+IF(D7777=1,2,IF(D7777=7,1,(IF(WEEKDAY(B7777)=1,2,IF(WEEKDAY(B7777)=7,1,0))))))</f>
        <v>2</v>
      </c>
      <c r="G7777" s="369">
        <f>VLOOKUP(C7777,METADATA!$J$5:$Q$29,IF(E7777="HI",2,IF(E7777="LO",6,10))+IF(D7777=1,2,IF(D7777=7,1,(IF(WEEKDAY(B7777)=1,2,IF(WEEKDAY(B7777)=7,1,0))))))</f>
        <v>2</v>
      </c>
      <c r="H7777" s="370">
        <v>11959.375305175781</v>
      </c>
      <c r="I7777" s="370">
        <v>9221.5750732421875</v>
      </c>
      <c r="M7777" s="371">
        <f t="shared" si="485"/>
        <v>15101.791434180581</v>
      </c>
      <c r="N7777" s="329">
        <f t="shared" si="486"/>
        <v>5633.7624816894531</v>
      </c>
      <c r="T7777" s="331">
        <v>0</v>
      </c>
      <c r="U7777" s="328">
        <f>VLOOKUP(C7777,METADATA!$J$5:$Q$29,IF(E7777="HI",2,IF(E7777="LO",6,10))+IF(T7777=1,2,IF(D7777=7,1,(IF(WEEKDAY(B7777)=1,2,IF(WEEKDAY(B7777)=7,1,0))))))</f>
        <v>2</v>
      </c>
      <c r="V7777" s="328">
        <f>VLOOKUP(C7777,METADATA!$A$5:$H$29,IF(E7777="HI",2,IF(E7777="LO",6,10))+IF(T7777=1,2,IF(D7777=7,1,(IF(WEEKDAY(B7777)=1,2,IF(WEEKDAY(B7777)=7,1,0))))))</f>
        <v>2</v>
      </c>
    </row>
    <row r="7778" spans="2:22">
      <c r="B7778" s="318">
        <f t="shared" si="487"/>
        <v>46436</v>
      </c>
      <c r="C7778" s="312">
        <v>22</v>
      </c>
      <c r="D7778" s="368">
        <f>IFERROR((INDEX(METADATA!$T$2:$T$20,MATCH(B7778,METADATA!$S$2:$S$20,0))),0)</f>
        <v>0</v>
      </c>
      <c r="E7778" s="312" t="str">
        <f t="shared" si="484"/>
        <v>LO</v>
      </c>
      <c r="F7778" s="369">
        <f>VLOOKUP(C7778,METADATA!$A$5:$H$29,IF(E7778="HI",2,IF(E7778="LO",6,10))+IF(D7778=1,2,IF(D7778=7,1,(IF(WEEKDAY(B7778)=1,2,IF(WEEKDAY(B7778)=7,1,0))))))</f>
        <v>3</v>
      </c>
      <c r="G7778" s="369">
        <f>VLOOKUP(C7778,METADATA!$J$5:$Q$29,IF(E7778="HI",2,IF(E7778="LO",6,10))+IF(D7778=1,2,IF(D7778=7,1,(IF(WEEKDAY(B7778)=1,2,IF(WEEKDAY(B7778)=7,1,0))))))</f>
        <v>3</v>
      </c>
      <c r="H7778" s="370">
        <v>12472.500244140625</v>
      </c>
      <c r="I7778" s="370">
        <v>9226.900146484375</v>
      </c>
      <c r="M7778" s="371">
        <f t="shared" si="485"/>
        <v>15514.475455305646</v>
      </c>
      <c r="N7778" s="329">
        <f t="shared" si="486"/>
        <v>5485.1500732421882</v>
      </c>
      <c r="T7778" s="331">
        <v>0</v>
      </c>
      <c r="U7778" s="328">
        <f>VLOOKUP(C7778,METADATA!$J$5:$Q$29,IF(E7778="HI",2,IF(E7778="LO",6,10))+IF(T7778=1,2,IF(D7778=7,1,(IF(WEEKDAY(B7778)=1,2,IF(WEEKDAY(B7778)=7,1,0))))))</f>
        <v>3</v>
      </c>
      <c r="V7778" s="328">
        <f>VLOOKUP(C7778,METADATA!$A$5:$H$29,IF(E7778="HI",2,IF(E7778="LO",6,10))+IF(T7778=1,2,IF(D7778=7,1,(IF(WEEKDAY(B7778)=1,2,IF(WEEKDAY(B7778)=7,1,0))))))</f>
        <v>3</v>
      </c>
    </row>
    <row r="7779" spans="2:22">
      <c r="B7779" s="318">
        <f t="shared" si="487"/>
        <v>46436</v>
      </c>
      <c r="C7779" s="312">
        <v>23</v>
      </c>
      <c r="D7779" s="368">
        <f>IFERROR((INDEX(METADATA!$T$2:$T$20,MATCH(B7779,METADATA!$S$2:$S$20,0))),0)</f>
        <v>0</v>
      </c>
      <c r="E7779" s="312" t="str">
        <f t="shared" si="484"/>
        <v>LO</v>
      </c>
      <c r="F7779" s="369">
        <f>VLOOKUP(C7779,METADATA!$A$5:$H$29,IF(E7779="HI",2,IF(E7779="LO",6,10))+IF(D7779=1,2,IF(D7779=7,1,(IF(WEEKDAY(B7779)=1,2,IF(WEEKDAY(B7779)=7,1,0))))))</f>
        <v>3</v>
      </c>
      <c r="G7779" s="369">
        <f>VLOOKUP(C7779,METADATA!$J$5:$Q$29,IF(E7779="HI",2,IF(E7779="LO",6,10))+IF(D7779=1,2,IF(D7779=7,1,(IF(WEEKDAY(B7779)=1,2,IF(WEEKDAY(B7779)=7,1,0))))))</f>
        <v>3</v>
      </c>
      <c r="H7779" s="370">
        <v>12653.125549316406</v>
      </c>
      <c r="I7779" s="370">
        <v>9257.4749755859375</v>
      </c>
      <c r="M7779" s="371">
        <f t="shared" si="485"/>
        <v>15678.087545691389</v>
      </c>
      <c r="N7779" s="329">
        <f t="shared" si="486"/>
        <v>5461.5373107910164</v>
      </c>
      <c r="T7779" s="331">
        <v>0</v>
      </c>
      <c r="U7779" s="328">
        <f>VLOOKUP(C7779,METADATA!$J$5:$Q$29,IF(E7779="HI",2,IF(E7779="LO",6,10))+IF(T7779=1,2,IF(D7779=7,1,(IF(WEEKDAY(B7779)=1,2,IF(WEEKDAY(B7779)=7,1,0))))))</f>
        <v>3</v>
      </c>
      <c r="V7779" s="328">
        <f>VLOOKUP(C7779,METADATA!$A$5:$H$29,IF(E7779="HI",2,IF(E7779="LO",6,10))+IF(T7779=1,2,IF(D7779=7,1,(IF(WEEKDAY(B7779)=1,2,IF(WEEKDAY(B7779)=7,1,0))))))</f>
        <v>3</v>
      </c>
    </row>
    <row r="7780" spans="2:22">
      <c r="B7780" s="318">
        <f t="shared" si="487"/>
        <v>46437</v>
      </c>
      <c r="C7780" s="312">
        <v>0</v>
      </c>
      <c r="D7780" s="368">
        <f>IFERROR((INDEX(METADATA!$T$2:$T$20,MATCH(B7780,METADATA!$S$2:$S$20,0))),0)</f>
        <v>0</v>
      </c>
      <c r="E7780" s="312" t="str">
        <f t="shared" si="484"/>
        <v>LO</v>
      </c>
      <c r="F7780" s="369">
        <f>VLOOKUP(C7780,METADATA!$A$5:$H$29,IF(E7780="HI",2,IF(E7780="LO",6,10))+IF(D7780=1,2,IF(D7780=7,1,(IF(WEEKDAY(B7780)=1,2,IF(WEEKDAY(B7780)=7,1,0))))))</f>
        <v>3</v>
      </c>
      <c r="G7780" s="369">
        <f>VLOOKUP(C7780,METADATA!$J$5:$Q$29,IF(E7780="HI",2,IF(E7780="LO",6,10))+IF(D7780=1,2,IF(D7780=7,1,(IF(WEEKDAY(B7780)=1,2,IF(WEEKDAY(B7780)=7,1,0))))))</f>
        <v>3</v>
      </c>
      <c r="H7780" s="370">
        <v>12693.94970703125</v>
      </c>
      <c r="I7780" s="370">
        <v>9329.8250732421875</v>
      </c>
      <c r="M7780" s="371">
        <f t="shared" si="485"/>
        <v>15753.793037295411</v>
      </c>
      <c r="N7780" s="329">
        <f t="shared" si="486"/>
        <v>5521.6401611328129</v>
      </c>
      <c r="T7780" s="331">
        <v>0</v>
      </c>
      <c r="U7780" s="328">
        <f>VLOOKUP(C7780,METADATA!$J$5:$Q$29,IF(E7780="HI",2,IF(E7780="LO",6,10))+IF(T7780=1,2,IF(D7780=7,1,(IF(WEEKDAY(B7780)=1,2,IF(WEEKDAY(B7780)=7,1,0))))))</f>
        <v>3</v>
      </c>
      <c r="V7780" s="328">
        <f>VLOOKUP(C7780,METADATA!$A$5:$H$29,IF(E7780="HI",2,IF(E7780="LO",6,10))+IF(T7780=1,2,IF(D7780=7,1,(IF(WEEKDAY(B7780)=1,2,IF(WEEKDAY(B7780)=7,1,0))))))</f>
        <v>3</v>
      </c>
    </row>
    <row r="7781" spans="2:22">
      <c r="B7781" s="318">
        <f t="shared" si="487"/>
        <v>46437</v>
      </c>
      <c r="C7781" s="312">
        <v>1</v>
      </c>
      <c r="D7781" s="368">
        <f>IFERROR((INDEX(METADATA!$T$2:$T$20,MATCH(B7781,METADATA!$S$2:$S$20,0))),0)</f>
        <v>0</v>
      </c>
      <c r="E7781" s="312" t="str">
        <f t="shared" si="484"/>
        <v>LO</v>
      </c>
      <c r="F7781" s="369">
        <f>VLOOKUP(C7781,METADATA!$A$5:$H$29,IF(E7781="HI",2,IF(E7781="LO",6,10))+IF(D7781=1,2,IF(D7781=7,1,(IF(WEEKDAY(B7781)=1,2,IF(WEEKDAY(B7781)=7,1,0))))))</f>
        <v>3</v>
      </c>
      <c r="G7781" s="369">
        <f>VLOOKUP(C7781,METADATA!$J$5:$Q$29,IF(E7781="HI",2,IF(E7781="LO",6,10))+IF(D7781=1,2,IF(D7781=7,1,(IF(WEEKDAY(B7781)=1,2,IF(WEEKDAY(B7781)=7,1,0))))))</f>
        <v>3</v>
      </c>
      <c r="H7781" s="370">
        <v>12779.017333984375</v>
      </c>
      <c r="I7781" s="370">
        <v>9426.3250122070313</v>
      </c>
      <c r="M7781" s="371">
        <f t="shared" si="485"/>
        <v>15879.511556028196</v>
      </c>
      <c r="N7781" s="329">
        <f t="shared" si="486"/>
        <v>5592.6198120117188</v>
      </c>
      <c r="T7781" s="331">
        <v>0</v>
      </c>
      <c r="U7781" s="328">
        <f>VLOOKUP(C7781,METADATA!$J$5:$Q$29,IF(E7781="HI",2,IF(E7781="LO",6,10))+IF(T7781=1,2,IF(D7781=7,1,(IF(WEEKDAY(B7781)=1,2,IF(WEEKDAY(B7781)=7,1,0))))))</f>
        <v>3</v>
      </c>
      <c r="V7781" s="328">
        <f>VLOOKUP(C7781,METADATA!$A$5:$H$29,IF(E7781="HI",2,IF(E7781="LO",6,10))+IF(T7781=1,2,IF(D7781=7,1,(IF(WEEKDAY(B7781)=1,2,IF(WEEKDAY(B7781)=7,1,0))))))</f>
        <v>3</v>
      </c>
    </row>
    <row r="7782" spans="2:22">
      <c r="B7782" s="318">
        <f t="shared" si="487"/>
        <v>46437</v>
      </c>
      <c r="C7782" s="312">
        <v>2</v>
      </c>
      <c r="D7782" s="368">
        <f>IFERROR((INDEX(METADATA!$T$2:$T$20,MATCH(B7782,METADATA!$S$2:$S$20,0))),0)</f>
        <v>0</v>
      </c>
      <c r="E7782" s="312" t="str">
        <f t="shared" si="484"/>
        <v>LO</v>
      </c>
      <c r="F7782" s="369">
        <f>VLOOKUP(C7782,METADATA!$A$5:$H$29,IF(E7782="HI",2,IF(E7782="LO",6,10))+IF(D7782=1,2,IF(D7782=7,1,(IF(WEEKDAY(B7782)=1,2,IF(WEEKDAY(B7782)=7,1,0))))))</f>
        <v>3</v>
      </c>
      <c r="G7782" s="369">
        <f>VLOOKUP(C7782,METADATA!$J$5:$Q$29,IF(E7782="HI",2,IF(E7782="LO",6,10))+IF(D7782=1,2,IF(D7782=7,1,(IF(WEEKDAY(B7782)=1,2,IF(WEEKDAY(B7782)=7,1,0))))))</f>
        <v>3</v>
      </c>
      <c r="H7782" s="370">
        <v>12772.674743652344</v>
      </c>
      <c r="I7782" s="370">
        <v>9425.474853515625</v>
      </c>
      <c r="M7782" s="371">
        <f t="shared" si="485"/>
        <v>15873.902995841629</v>
      </c>
      <c r="N7782" s="329">
        <f t="shared" si="486"/>
        <v>5593.6724304199215</v>
      </c>
      <c r="T7782" s="331">
        <v>0</v>
      </c>
      <c r="U7782" s="328">
        <f>VLOOKUP(C7782,METADATA!$J$5:$Q$29,IF(E7782="HI",2,IF(E7782="LO",6,10))+IF(T7782=1,2,IF(D7782=7,1,(IF(WEEKDAY(B7782)=1,2,IF(WEEKDAY(B7782)=7,1,0))))))</f>
        <v>3</v>
      </c>
      <c r="V7782" s="328">
        <f>VLOOKUP(C7782,METADATA!$A$5:$H$29,IF(E7782="HI",2,IF(E7782="LO",6,10))+IF(T7782=1,2,IF(D7782=7,1,(IF(WEEKDAY(B7782)=1,2,IF(WEEKDAY(B7782)=7,1,0))))))</f>
        <v>3</v>
      </c>
    </row>
    <row r="7783" spans="2:22">
      <c r="B7783" s="318">
        <f t="shared" si="487"/>
        <v>46437</v>
      </c>
      <c r="C7783" s="312">
        <v>3</v>
      </c>
      <c r="D7783" s="368">
        <f>IFERROR((INDEX(METADATA!$T$2:$T$20,MATCH(B7783,METADATA!$S$2:$S$20,0))),0)</f>
        <v>0</v>
      </c>
      <c r="E7783" s="312" t="str">
        <f t="shared" si="484"/>
        <v>LO</v>
      </c>
      <c r="F7783" s="369">
        <f>VLOOKUP(C7783,METADATA!$A$5:$H$29,IF(E7783="HI",2,IF(E7783="LO",6,10))+IF(D7783=1,2,IF(D7783=7,1,(IF(WEEKDAY(B7783)=1,2,IF(WEEKDAY(B7783)=7,1,0))))))</f>
        <v>3</v>
      </c>
      <c r="G7783" s="369">
        <f>VLOOKUP(C7783,METADATA!$J$5:$Q$29,IF(E7783="HI",2,IF(E7783="LO",6,10))+IF(D7783=1,2,IF(D7783=7,1,(IF(WEEKDAY(B7783)=1,2,IF(WEEKDAY(B7783)=7,1,0))))))</f>
        <v>3</v>
      </c>
      <c r="H7783" s="370">
        <v>12818.050109863281</v>
      </c>
      <c r="I7783" s="370">
        <v>9441.5248413085938</v>
      </c>
      <c r="M7783" s="371">
        <f t="shared" si="485"/>
        <v>15919.949747031658</v>
      </c>
      <c r="N7783" s="329">
        <f t="shared" si="486"/>
        <v>5596.109808349609</v>
      </c>
      <c r="T7783" s="331">
        <v>0</v>
      </c>
      <c r="U7783" s="328">
        <f>VLOOKUP(C7783,METADATA!$J$5:$Q$29,IF(E7783="HI",2,IF(E7783="LO",6,10))+IF(T7783=1,2,IF(D7783=7,1,(IF(WEEKDAY(B7783)=1,2,IF(WEEKDAY(B7783)=7,1,0))))))</f>
        <v>3</v>
      </c>
      <c r="V7783" s="328">
        <f>VLOOKUP(C7783,METADATA!$A$5:$H$29,IF(E7783="HI",2,IF(E7783="LO",6,10))+IF(T7783=1,2,IF(D7783=7,1,(IF(WEEKDAY(B7783)=1,2,IF(WEEKDAY(B7783)=7,1,0))))))</f>
        <v>3</v>
      </c>
    </row>
    <row r="7784" spans="2:22">
      <c r="B7784" s="318">
        <f t="shared" si="487"/>
        <v>46437</v>
      </c>
      <c r="C7784" s="312">
        <v>4</v>
      </c>
      <c r="D7784" s="368">
        <f>IFERROR((INDEX(METADATA!$T$2:$T$20,MATCH(B7784,METADATA!$S$2:$S$20,0))),0)</f>
        <v>0</v>
      </c>
      <c r="E7784" s="312" t="str">
        <f t="shared" si="484"/>
        <v>LO</v>
      </c>
      <c r="F7784" s="369">
        <f>VLOOKUP(C7784,METADATA!$A$5:$H$29,IF(E7784="HI",2,IF(E7784="LO",6,10))+IF(D7784=1,2,IF(D7784=7,1,(IF(WEEKDAY(B7784)=1,2,IF(WEEKDAY(B7784)=7,1,0))))))</f>
        <v>3</v>
      </c>
      <c r="G7784" s="369">
        <f>VLOOKUP(C7784,METADATA!$J$5:$Q$29,IF(E7784="HI",2,IF(E7784="LO",6,10))+IF(D7784=1,2,IF(D7784=7,1,(IF(WEEKDAY(B7784)=1,2,IF(WEEKDAY(B7784)=7,1,0))))))</f>
        <v>3</v>
      </c>
      <c r="H7784" s="370">
        <v>12784.625122070313</v>
      </c>
      <c r="I7784" s="370">
        <v>9429.324951171875</v>
      </c>
      <c r="M7784" s="371">
        <f t="shared" si="485"/>
        <v>15885.805253328012</v>
      </c>
      <c r="N7784" s="329">
        <f t="shared" si="486"/>
        <v>5593.9374145507809</v>
      </c>
      <c r="T7784" s="331">
        <v>0</v>
      </c>
      <c r="U7784" s="328">
        <f>VLOOKUP(C7784,METADATA!$J$5:$Q$29,IF(E7784="HI",2,IF(E7784="LO",6,10))+IF(T7784=1,2,IF(D7784=7,1,(IF(WEEKDAY(B7784)=1,2,IF(WEEKDAY(B7784)=7,1,0))))))</f>
        <v>3</v>
      </c>
      <c r="V7784" s="328">
        <f>VLOOKUP(C7784,METADATA!$A$5:$H$29,IF(E7784="HI",2,IF(E7784="LO",6,10))+IF(T7784=1,2,IF(D7784=7,1,(IF(WEEKDAY(B7784)=1,2,IF(WEEKDAY(B7784)=7,1,0))))))</f>
        <v>3</v>
      </c>
    </row>
    <row r="7785" spans="2:22">
      <c r="B7785" s="318">
        <f t="shared" si="487"/>
        <v>46437</v>
      </c>
      <c r="C7785" s="312">
        <v>5</v>
      </c>
      <c r="D7785" s="368">
        <f>IFERROR((INDEX(METADATA!$T$2:$T$20,MATCH(B7785,METADATA!$S$2:$S$20,0))),0)</f>
        <v>0</v>
      </c>
      <c r="E7785" s="312" t="str">
        <f t="shared" si="484"/>
        <v>LO</v>
      </c>
      <c r="F7785" s="369">
        <f>VLOOKUP(C7785,METADATA!$A$5:$H$29,IF(E7785="HI",2,IF(E7785="LO",6,10))+IF(D7785=1,2,IF(D7785=7,1,(IF(WEEKDAY(B7785)=1,2,IF(WEEKDAY(B7785)=7,1,0))))))</f>
        <v>3</v>
      </c>
      <c r="G7785" s="369">
        <f>VLOOKUP(C7785,METADATA!$J$5:$Q$29,IF(E7785="HI",2,IF(E7785="LO",6,10))+IF(D7785=1,2,IF(D7785=7,1,(IF(WEEKDAY(B7785)=1,2,IF(WEEKDAY(B7785)=7,1,0))))))</f>
        <v>3</v>
      </c>
      <c r="H7785" s="370">
        <v>12820.624816894531</v>
      </c>
      <c r="I7785" s="370">
        <v>9421.9000854492188</v>
      </c>
      <c r="M7785" s="371">
        <f t="shared" si="485"/>
        <v>15910.393518570178</v>
      </c>
      <c r="N7785" s="329">
        <f t="shared" si="486"/>
        <v>5575.7126403808597</v>
      </c>
      <c r="T7785" s="331">
        <v>0</v>
      </c>
      <c r="U7785" s="328">
        <f>VLOOKUP(C7785,METADATA!$J$5:$Q$29,IF(E7785="HI",2,IF(E7785="LO",6,10))+IF(T7785=1,2,IF(D7785=7,1,(IF(WEEKDAY(B7785)=1,2,IF(WEEKDAY(B7785)=7,1,0))))))</f>
        <v>3</v>
      </c>
      <c r="V7785" s="328">
        <f>VLOOKUP(C7785,METADATA!$A$5:$H$29,IF(E7785="HI",2,IF(E7785="LO",6,10))+IF(T7785=1,2,IF(D7785=7,1,(IF(WEEKDAY(B7785)=1,2,IF(WEEKDAY(B7785)=7,1,0))))))</f>
        <v>3</v>
      </c>
    </row>
    <row r="7786" spans="2:22">
      <c r="B7786" s="318">
        <f t="shared" si="487"/>
        <v>46437</v>
      </c>
      <c r="C7786" s="312">
        <v>6</v>
      </c>
      <c r="D7786" s="368">
        <f>IFERROR((INDEX(METADATA!$T$2:$T$20,MATCH(B7786,METADATA!$S$2:$S$20,0))),0)</f>
        <v>0</v>
      </c>
      <c r="E7786" s="312" t="str">
        <f t="shared" si="484"/>
        <v>LO</v>
      </c>
      <c r="F7786" s="369">
        <f>VLOOKUP(C7786,METADATA!$A$5:$H$29,IF(E7786="HI",2,IF(E7786="LO",6,10))+IF(D7786=1,2,IF(D7786=7,1,(IF(WEEKDAY(B7786)=1,2,IF(WEEKDAY(B7786)=7,1,0))))))</f>
        <v>2</v>
      </c>
      <c r="G7786" s="369">
        <f>VLOOKUP(C7786,METADATA!$J$5:$Q$29,IF(E7786="HI",2,IF(E7786="LO",6,10))+IF(D7786=1,2,IF(D7786=7,1,(IF(WEEKDAY(B7786)=1,2,IF(WEEKDAY(B7786)=7,1,0))))))</f>
        <v>2</v>
      </c>
      <c r="H7786" s="370">
        <v>12715.275085449219</v>
      </c>
      <c r="I7786" s="370">
        <v>9403.5250854492188</v>
      </c>
      <c r="M7786" s="371">
        <f t="shared" si="485"/>
        <v>15814.69267900323</v>
      </c>
      <c r="N7786" s="329">
        <f t="shared" si="486"/>
        <v>5588.9425598144535</v>
      </c>
      <c r="T7786" s="331">
        <v>0</v>
      </c>
      <c r="U7786" s="328">
        <f>VLOOKUP(C7786,METADATA!$J$5:$Q$29,IF(E7786="HI",2,IF(E7786="LO",6,10))+IF(T7786=1,2,IF(D7786=7,1,(IF(WEEKDAY(B7786)=1,2,IF(WEEKDAY(B7786)=7,1,0))))))</f>
        <v>2</v>
      </c>
      <c r="V7786" s="328">
        <f>VLOOKUP(C7786,METADATA!$A$5:$H$29,IF(E7786="HI",2,IF(E7786="LO",6,10))+IF(T7786=1,2,IF(D7786=7,1,(IF(WEEKDAY(B7786)=1,2,IF(WEEKDAY(B7786)=7,1,0))))))</f>
        <v>2</v>
      </c>
    </row>
    <row r="7787" spans="2:22">
      <c r="B7787" s="318">
        <f t="shared" si="487"/>
        <v>46437</v>
      </c>
      <c r="C7787" s="312">
        <v>7</v>
      </c>
      <c r="D7787" s="368">
        <f>IFERROR((INDEX(METADATA!$T$2:$T$20,MATCH(B7787,METADATA!$S$2:$S$20,0))),0)</f>
        <v>0</v>
      </c>
      <c r="E7787" s="312" t="str">
        <f t="shared" si="484"/>
        <v>LO</v>
      </c>
      <c r="F7787" s="369">
        <f>VLOOKUP(C7787,METADATA!$A$5:$H$29,IF(E7787="HI",2,IF(E7787="LO",6,10))+IF(D7787=1,2,IF(D7787=7,1,(IF(WEEKDAY(B7787)=1,2,IF(WEEKDAY(B7787)=7,1,0))))))</f>
        <v>1</v>
      </c>
      <c r="G7787" s="369">
        <f>VLOOKUP(C7787,METADATA!$J$5:$Q$29,IF(E7787="HI",2,IF(E7787="LO",6,10))+IF(D7787=1,2,IF(D7787=7,1,(IF(WEEKDAY(B7787)=1,2,IF(WEEKDAY(B7787)=7,1,0))))))</f>
        <v>1</v>
      </c>
      <c r="H7787" s="370">
        <v>12837.574951171875</v>
      </c>
      <c r="I7787" s="370">
        <v>9365.7999267578125</v>
      </c>
      <c r="M7787" s="371">
        <f t="shared" si="485"/>
        <v>15890.926307015969</v>
      </c>
      <c r="N7787" s="329">
        <f t="shared" si="486"/>
        <v>5514.5274414062496</v>
      </c>
      <c r="T7787" s="331">
        <v>0</v>
      </c>
      <c r="U7787" s="328">
        <f>VLOOKUP(C7787,METADATA!$J$5:$Q$29,IF(E7787="HI",2,IF(E7787="LO",6,10))+IF(T7787=1,2,IF(D7787=7,1,(IF(WEEKDAY(B7787)=1,2,IF(WEEKDAY(B7787)=7,1,0))))))</f>
        <v>1</v>
      </c>
      <c r="V7787" s="328">
        <f>VLOOKUP(C7787,METADATA!$A$5:$H$29,IF(E7787="HI",2,IF(E7787="LO",6,10))+IF(T7787=1,2,IF(D7787=7,1,(IF(WEEKDAY(B7787)=1,2,IF(WEEKDAY(B7787)=7,1,0))))))</f>
        <v>1</v>
      </c>
    </row>
    <row r="7788" spans="2:22">
      <c r="B7788" s="318">
        <f t="shared" si="487"/>
        <v>46437</v>
      </c>
      <c r="C7788" s="312">
        <v>8</v>
      </c>
      <c r="D7788" s="368">
        <f>IFERROR((INDEX(METADATA!$T$2:$T$20,MATCH(B7788,METADATA!$S$2:$S$20,0))),0)</f>
        <v>0</v>
      </c>
      <c r="E7788" s="312" t="str">
        <f t="shared" si="484"/>
        <v>LO</v>
      </c>
      <c r="F7788" s="369">
        <f>VLOOKUP(C7788,METADATA!$A$5:$H$29,IF(E7788="HI",2,IF(E7788="LO",6,10))+IF(D7788=1,2,IF(D7788=7,1,(IF(WEEKDAY(B7788)=1,2,IF(WEEKDAY(B7788)=7,1,0))))))</f>
        <v>1</v>
      </c>
      <c r="G7788" s="369">
        <f>VLOOKUP(C7788,METADATA!$J$5:$Q$29,IF(E7788="HI",2,IF(E7788="LO",6,10))+IF(D7788=1,2,IF(D7788=7,1,(IF(WEEKDAY(B7788)=1,2,IF(WEEKDAY(B7788)=7,1,0))))))</f>
        <v>1</v>
      </c>
      <c r="H7788" s="370">
        <v>12977.47509765625</v>
      </c>
      <c r="I7788" s="370">
        <v>9549.3999633789063</v>
      </c>
      <c r="M7788" s="371">
        <f t="shared" si="485"/>
        <v>16112.29032666893</v>
      </c>
      <c r="N7788" s="329">
        <f t="shared" si="486"/>
        <v>5656.1574340820316</v>
      </c>
      <c r="T7788" s="331">
        <v>0</v>
      </c>
      <c r="U7788" s="328">
        <f>VLOOKUP(C7788,METADATA!$J$5:$Q$29,IF(E7788="HI",2,IF(E7788="LO",6,10))+IF(T7788=1,2,IF(D7788=7,1,(IF(WEEKDAY(B7788)=1,2,IF(WEEKDAY(B7788)=7,1,0))))))</f>
        <v>1</v>
      </c>
      <c r="V7788" s="328">
        <f>VLOOKUP(C7788,METADATA!$A$5:$H$29,IF(E7788="HI",2,IF(E7788="LO",6,10))+IF(T7788=1,2,IF(D7788=7,1,(IF(WEEKDAY(B7788)=1,2,IF(WEEKDAY(B7788)=7,1,0))))))</f>
        <v>1</v>
      </c>
    </row>
    <row r="7789" spans="2:22">
      <c r="B7789" s="318">
        <f t="shared" si="487"/>
        <v>46437</v>
      </c>
      <c r="C7789" s="312">
        <v>9</v>
      </c>
      <c r="D7789" s="368">
        <f>IFERROR((INDEX(METADATA!$T$2:$T$20,MATCH(B7789,METADATA!$S$2:$S$20,0))),0)</f>
        <v>0</v>
      </c>
      <c r="E7789" s="312" t="str">
        <f t="shared" si="484"/>
        <v>LO</v>
      </c>
      <c r="F7789" s="369">
        <f>VLOOKUP(C7789,METADATA!$A$5:$H$29,IF(E7789="HI",2,IF(E7789="LO",6,10))+IF(D7789=1,2,IF(D7789=7,1,(IF(WEEKDAY(B7789)=1,2,IF(WEEKDAY(B7789)=7,1,0))))))</f>
        <v>2</v>
      </c>
      <c r="G7789" s="369">
        <f>VLOOKUP(C7789,METADATA!$J$5:$Q$29,IF(E7789="HI",2,IF(E7789="LO",6,10))+IF(D7789=1,2,IF(D7789=7,1,(IF(WEEKDAY(B7789)=1,2,IF(WEEKDAY(B7789)=7,1,0))))))</f>
        <v>2</v>
      </c>
      <c r="H7789" s="370">
        <v>12754.875</v>
      </c>
      <c r="I7789" s="370">
        <v>9463.0748291015625</v>
      </c>
      <c r="M7789" s="371">
        <f t="shared" si="485"/>
        <v>15881.958993990651</v>
      </c>
      <c r="N7789" s="329">
        <f t="shared" si="486"/>
        <v>5636.6123291015629</v>
      </c>
      <c r="T7789" s="331">
        <v>0</v>
      </c>
      <c r="U7789" s="328">
        <f>VLOOKUP(C7789,METADATA!$J$5:$Q$29,IF(E7789="HI",2,IF(E7789="LO",6,10))+IF(T7789=1,2,IF(D7789=7,1,(IF(WEEKDAY(B7789)=1,2,IF(WEEKDAY(B7789)=7,1,0))))))</f>
        <v>2</v>
      </c>
      <c r="V7789" s="328">
        <f>VLOOKUP(C7789,METADATA!$A$5:$H$29,IF(E7789="HI",2,IF(E7789="LO",6,10))+IF(T7789=1,2,IF(D7789=7,1,(IF(WEEKDAY(B7789)=1,2,IF(WEEKDAY(B7789)=7,1,0))))))</f>
        <v>2</v>
      </c>
    </row>
    <row r="7790" spans="2:22">
      <c r="B7790" s="318">
        <f t="shared" si="487"/>
        <v>46437</v>
      </c>
      <c r="C7790" s="312">
        <v>10</v>
      </c>
      <c r="D7790" s="368">
        <f>IFERROR((INDEX(METADATA!$T$2:$T$20,MATCH(B7790,METADATA!$S$2:$S$20,0))),0)</f>
        <v>0</v>
      </c>
      <c r="E7790" s="312" t="str">
        <f t="shared" si="484"/>
        <v>LO</v>
      </c>
      <c r="F7790" s="369">
        <f>VLOOKUP(C7790,METADATA!$A$5:$H$29,IF(E7790="HI",2,IF(E7790="LO",6,10))+IF(D7790=1,2,IF(D7790=7,1,(IF(WEEKDAY(B7790)=1,2,IF(WEEKDAY(B7790)=7,1,0))))))</f>
        <v>2</v>
      </c>
      <c r="G7790" s="369">
        <f>VLOOKUP(C7790,METADATA!$J$5:$Q$29,IF(E7790="HI",2,IF(E7790="LO",6,10))+IF(D7790=1,2,IF(D7790=7,1,(IF(WEEKDAY(B7790)=1,2,IF(WEEKDAY(B7790)=7,1,0))))))</f>
        <v>2</v>
      </c>
      <c r="H7790" s="370">
        <v>12805.099731445313</v>
      </c>
      <c r="I7790" s="370">
        <v>9473.5250854492188</v>
      </c>
      <c r="M7790" s="371">
        <f t="shared" si="485"/>
        <v>15928.535923834821</v>
      </c>
      <c r="N7790" s="329">
        <f t="shared" si="486"/>
        <v>5631.9951660156257</v>
      </c>
      <c r="T7790" s="331">
        <v>0</v>
      </c>
      <c r="U7790" s="328">
        <f>VLOOKUP(C7790,METADATA!$J$5:$Q$29,IF(E7790="HI",2,IF(E7790="LO",6,10))+IF(T7790=1,2,IF(D7790=7,1,(IF(WEEKDAY(B7790)=1,2,IF(WEEKDAY(B7790)=7,1,0))))))</f>
        <v>2</v>
      </c>
      <c r="V7790" s="328">
        <f>VLOOKUP(C7790,METADATA!$A$5:$H$29,IF(E7790="HI",2,IF(E7790="LO",6,10))+IF(T7790=1,2,IF(D7790=7,1,(IF(WEEKDAY(B7790)=1,2,IF(WEEKDAY(B7790)=7,1,0))))))</f>
        <v>2</v>
      </c>
    </row>
    <row r="7791" spans="2:22">
      <c r="B7791" s="318">
        <f t="shared" si="487"/>
        <v>46437</v>
      </c>
      <c r="C7791" s="312">
        <v>11</v>
      </c>
      <c r="D7791" s="368">
        <f>IFERROR((INDEX(METADATA!$T$2:$T$20,MATCH(B7791,METADATA!$S$2:$S$20,0))),0)</f>
        <v>0</v>
      </c>
      <c r="E7791" s="312" t="str">
        <f t="shared" si="484"/>
        <v>LO</v>
      </c>
      <c r="F7791" s="369">
        <f>VLOOKUP(C7791,METADATA!$A$5:$H$29,IF(E7791="HI",2,IF(E7791="LO",6,10))+IF(D7791=1,2,IF(D7791=7,1,(IF(WEEKDAY(B7791)=1,2,IF(WEEKDAY(B7791)=7,1,0))))))</f>
        <v>2</v>
      </c>
      <c r="G7791" s="369">
        <f>VLOOKUP(C7791,METADATA!$J$5:$Q$29,IF(E7791="HI",2,IF(E7791="LO",6,10))+IF(D7791=1,2,IF(D7791=7,1,(IF(WEEKDAY(B7791)=1,2,IF(WEEKDAY(B7791)=7,1,0))))))</f>
        <v>2</v>
      </c>
      <c r="H7791" s="370">
        <v>12838.074584960938</v>
      </c>
      <c r="I7791" s="370">
        <v>9463.39990234375</v>
      </c>
      <c r="M7791" s="371">
        <f t="shared" si="485"/>
        <v>15949.046891921147</v>
      </c>
      <c r="N7791" s="329">
        <f t="shared" si="486"/>
        <v>5611.9775268554695</v>
      </c>
      <c r="T7791" s="331">
        <v>0</v>
      </c>
      <c r="U7791" s="328">
        <f>VLOOKUP(C7791,METADATA!$J$5:$Q$29,IF(E7791="HI",2,IF(E7791="LO",6,10))+IF(T7791=1,2,IF(D7791=7,1,(IF(WEEKDAY(B7791)=1,2,IF(WEEKDAY(B7791)=7,1,0))))))</f>
        <v>2</v>
      </c>
      <c r="V7791" s="328">
        <f>VLOOKUP(C7791,METADATA!$A$5:$H$29,IF(E7791="HI",2,IF(E7791="LO",6,10))+IF(T7791=1,2,IF(D7791=7,1,(IF(WEEKDAY(B7791)=1,2,IF(WEEKDAY(B7791)=7,1,0))))))</f>
        <v>2</v>
      </c>
    </row>
    <row r="7792" spans="2:22">
      <c r="B7792" s="318">
        <f t="shared" si="487"/>
        <v>46437</v>
      </c>
      <c r="C7792" s="312">
        <v>12</v>
      </c>
      <c r="D7792" s="368">
        <f>IFERROR((INDEX(METADATA!$T$2:$T$20,MATCH(B7792,METADATA!$S$2:$S$20,0))),0)</f>
        <v>0</v>
      </c>
      <c r="E7792" s="312" t="str">
        <f t="shared" si="484"/>
        <v>LO</v>
      </c>
      <c r="F7792" s="369">
        <f>VLOOKUP(C7792,METADATA!$A$5:$H$29,IF(E7792="HI",2,IF(E7792="LO",6,10))+IF(D7792=1,2,IF(D7792=7,1,(IF(WEEKDAY(B7792)=1,2,IF(WEEKDAY(B7792)=7,1,0))))))</f>
        <v>2</v>
      </c>
      <c r="G7792" s="369">
        <f>VLOOKUP(C7792,METADATA!$J$5:$Q$29,IF(E7792="HI",2,IF(E7792="LO",6,10))+IF(D7792=1,2,IF(D7792=7,1,(IF(WEEKDAY(B7792)=1,2,IF(WEEKDAY(B7792)=7,1,0))))))</f>
        <v>2</v>
      </c>
      <c r="H7792" s="370">
        <v>12878.550415039063</v>
      </c>
      <c r="I7792" s="370">
        <v>9560.1251220703125</v>
      </c>
      <c r="M7792" s="371">
        <f t="shared" si="485"/>
        <v>16039.110110674554</v>
      </c>
      <c r="N7792" s="329">
        <f t="shared" si="486"/>
        <v>5696.5599975585938</v>
      </c>
      <c r="T7792" s="331">
        <v>0</v>
      </c>
      <c r="U7792" s="328">
        <f>VLOOKUP(C7792,METADATA!$J$5:$Q$29,IF(E7792="HI",2,IF(E7792="LO",6,10))+IF(T7792=1,2,IF(D7792=7,1,(IF(WEEKDAY(B7792)=1,2,IF(WEEKDAY(B7792)=7,1,0))))))</f>
        <v>2</v>
      </c>
      <c r="V7792" s="328">
        <f>VLOOKUP(C7792,METADATA!$A$5:$H$29,IF(E7792="HI",2,IF(E7792="LO",6,10))+IF(T7792=1,2,IF(D7792=7,1,(IF(WEEKDAY(B7792)=1,2,IF(WEEKDAY(B7792)=7,1,0))))))</f>
        <v>2</v>
      </c>
    </row>
    <row r="7793" spans="2:22">
      <c r="B7793" s="318">
        <f t="shared" si="487"/>
        <v>46437</v>
      </c>
      <c r="C7793" s="312">
        <v>13</v>
      </c>
      <c r="D7793" s="368">
        <f>IFERROR((INDEX(METADATA!$T$2:$T$20,MATCH(B7793,METADATA!$S$2:$S$20,0))),0)</f>
        <v>0</v>
      </c>
      <c r="E7793" s="312" t="str">
        <f t="shared" si="484"/>
        <v>LO</v>
      </c>
      <c r="F7793" s="369">
        <f>VLOOKUP(C7793,METADATA!$A$5:$H$29,IF(E7793="HI",2,IF(E7793="LO",6,10))+IF(D7793=1,2,IF(D7793=7,1,(IF(WEEKDAY(B7793)=1,2,IF(WEEKDAY(B7793)=7,1,0))))))</f>
        <v>2</v>
      </c>
      <c r="G7793" s="369">
        <f>VLOOKUP(C7793,METADATA!$J$5:$Q$29,IF(E7793="HI",2,IF(E7793="LO",6,10))+IF(D7793=1,2,IF(D7793=7,1,(IF(WEEKDAY(B7793)=1,2,IF(WEEKDAY(B7793)=7,1,0))))))</f>
        <v>2</v>
      </c>
      <c r="H7793" s="370">
        <v>12889.049865722656</v>
      </c>
      <c r="I7793" s="370">
        <v>9598.0501098632813</v>
      </c>
      <c r="M7793" s="371">
        <f t="shared" si="485"/>
        <v>16070.164042489789</v>
      </c>
      <c r="N7793" s="329">
        <f t="shared" si="486"/>
        <v>5731.335150146484</v>
      </c>
      <c r="T7793" s="331">
        <v>0</v>
      </c>
      <c r="U7793" s="328">
        <f>VLOOKUP(C7793,METADATA!$J$5:$Q$29,IF(E7793="HI",2,IF(E7793="LO",6,10))+IF(T7793=1,2,IF(D7793=7,1,(IF(WEEKDAY(B7793)=1,2,IF(WEEKDAY(B7793)=7,1,0))))))</f>
        <v>2</v>
      </c>
      <c r="V7793" s="328">
        <f>VLOOKUP(C7793,METADATA!$A$5:$H$29,IF(E7793="HI",2,IF(E7793="LO",6,10))+IF(T7793=1,2,IF(D7793=7,1,(IF(WEEKDAY(B7793)=1,2,IF(WEEKDAY(B7793)=7,1,0))))))</f>
        <v>2</v>
      </c>
    </row>
    <row r="7794" spans="2:22">
      <c r="B7794" s="318">
        <f t="shared" si="487"/>
        <v>46437</v>
      </c>
      <c r="C7794" s="312">
        <v>14</v>
      </c>
      <c r="D7794" s="368">
        <f>IFERROR((INDEX(METADATA!$T$2:$T$20,MATCH(B7794,METADATA!$S$2:$S$20,0))),0)</f>
        <v>0</v>
      </c>
      <c r="E7794" s="312" t="str">
        <f t="shared" si="484"/>
        <v>LO</v>
      </c>
      <c r="F7794" s="369">
        <f>VLOOKUP(C7794,METADATA!$A$5:$H$29,IF(E7794="HI",2,IF(E7794="LO",6,10))+IF(D7794=1,2,IF(D7794=7,1,(IF(WEEKDAY(B7794)=1,2,IF(WEEKDAY(B7794)=7,1,0))))))</f>
        <v>2</v>
      </c>
      <c r="G7794" s="369">
        <f>VLOOKUP(C7794,METADATA!$J$5:$Q$29,IF(E7794="HI",2,IF(E7794="LO",6,10))+IF(D7794=1,2,IF(D7794=7,1,(IF(WEEKDAY(B7794)=1,2,IF(WEEKDAY(B7794)=7,1,0))))))</f>
        <v>2</v>
      </c>
      <c r="H7794" s="370">
        <v>12853.124877929688</v>
      </c>
      <c r="I7794" s="370">
        <v>9631.2000122070313</v>
      </c>
      <c r="M7794" s="371">
        <f t="shared" si="485"/>
        <v>16061.221398224723</v>
      </c>
      <c r="N7794" s="329">
        <f t="shared" si="486"/>
        <v>5775.2625488281246</v>
      </c>
      <c r="T7794" s="331">
        <v>0</v>
      </c>
      <c r="U7794" s="328">
        <f>VLOOKUP(C7794,METADATA!$J$5:$Q$29,IF(E7794="HI",2,IF(E7794="LO",6,10))+IF(T7794=1,2,IF(D7794=7,1,(IF(WEEKDAY(B7794)=1,2,IF(WEEKDAY(B7794)=7,1,0))))))</f>
        <v>2</v>
      </c>
      <c r="V7794" s="328">
        <f>VLOOKUP(C7794,METADATA!$A$5:$H$29,IF(E7794="HI",2,IF(E7794="LO",6,10))+IF(T7794=1,2,IF(D7794=7,1,(IF(WEEKDAY(B7794)=1,2,IF(WEEKDAY(B7794)=7,1,0))))))</f>
        <v>2</v>
      </c>
    </row>
    <row r="7795" spans="2:22">
      <c r="B7795" s="318">
        <f t="shared" si="487"/>
        <v>46437</v>
      </c>
      <c r="C7795" s="312">
        <v>15</v>
      </c>
      <c r="D7795" s="368">
        <f>IFERROR((INDEX(METADATA!$T$2:$T$20,MATCH(B7795,METADATA!$S$2:$S$20,0))),0)</f>
        <v>0</v>
      </c>
      <c r="E7795" s="312" t="str">
        <f t="shared" si="484"/>
        <v>LO</v>
      </c>
      <c r="F7795" s="369">
        <f>VLOOKUP(C7795,METADATA!$A$5:$H$29,IF(E7795="HI",2,IF(E7795="LO",6,10))+IF(D7795=1,2,IF(D7795=7,1,(IF(WEEKDAY(B7795)=1,2,IF(WEEKDAY(B7795)=7,1,0))))))</f>
        <v>2</v>
      </c>
      <c r="G7795" s="369">
        <f>VLOOKUP(C7795,METADATA!$J$5:$Q$29,IF(E7795="HI",2,IF(E7795="LO",6,10))+IF(D7795=1,2,IF(D7795=7,1,(IF(WEEKDAY(B7795)=1,2,IF(WEEKDAY(B7795)=7,1,0))))))</f>
        <v>2</v>
      </c>
      <c r="H7795" s="370">
        <v>12880.150085449219</v>
      </c>
      <c r="I7795" s="370">
        <v>9660.0999755859375</v>
      </c>
      <c r="M7795" s="371">
        <f t="shared" si="485"/>
        <v>16100.180053714088</v>
      </c>
      <c r="N7795" s="329">
        <f t="shared" si="486"/>
        <v>5796.0549499511726</v>
      </c>
      <c r="T7795" s="331">
        <v>0</v>
      </c>
      <c r="U7795" s="328">
        <f>VLOOKUP(C7795,METADATA!$J$5:$Q$29,IF(E7795="HI",2,IF(E7795="LO",6,10))+IF(T7795=1,2,IF(D7795=7,1,(IF(WEEKDAY(B7795)=1,2,IF(WEEKDAY(B7795)=7,1,0))))))</f>
        <v>2</v>
      </c>
      <c r="V7795" s="328">
        <f>VLOOKUP(C7795,METADATA!$A$5:$H$29,IF(E7795="HI",2,IF(E7795="LO",6,10))+IF(T7795=1,2,IF(D7795=7,1,(IF(WEEKDAY(B7795)=1,2,IF(WEEKDAY(B7795)=7,1,0))))))</f>
        <v>2</v>
      </c>
    </row>
    <row r="7796" spans="2:22">
      <c r="B7796" s="318">
        <f t="shared" si="487"/>
        <v>46437</v>
      </c>
      <c r="C7796" s="312">
        <v>16</v>
      </c>
      <c r="D7796" s="368">
        <f>IFERROR((INDEX(METADATA!$T$2:$T$20,MATCH(B7796,METADATA!$S$2:$S$20,0))),0)</f>
        <v>0</v>
      </c>
      <c r="E7796" s="312" t="str">
        <f t="shared" si="484"/>
        <v>LO</v>
      </c>
      <c r="F7796" s="369">
        <f>VLOOKUP(C7796,METADATA!$A$5:$H$29,IF(E7796="HI",2,IF(E7796="LO",6,10))+IF(D7796=1,2,IF(D7796=7,1,(IF(WEEKDAY(B7796)=1,2,IF(WEEKDAY(B7796)=7,1,0))))))</f>
        <v>2</v>
      </c>
      <c r="G7796" s="369">
        <f>VLOOKUP(C7796,METADATA!$J$5:$Q$29,IF(E7796="HI",2,IF(E7796="LO",6,10))+IF(D7796=1,2,IF(D7796=7,1,(IF(WEEKDAY(B7796)=1,2,IF(WEEKDAY(B7796)=7,1,0))))))</f>
        <v>2</v>
      </c>
      <c r="H7796" s="370">
        <v>12894.975036621094</v>
      </c>
      <c r="I7796" s="370">
        <v>9657.7498779296875</v>
      </c>
      <c r="M7796" s="371">
        <f t="shared" si="485"/>
        <v>16110.633566056056</v>
      </c>
      <c r="N7796" s="329">
        <f t="shared" si="486"/>
        <v>5789.2573669433596</v>
      </c>
      <c r="T7796" s="331">
        <v>0</v>
      </c>
      <c r="U7796" s="328">
        <f>VLOOKUP(C7796,METADATA!$J$5:$Q$29,IF(E7796="HI",2,IF(E7796="LO",6,10))+IF(T7796=1,2,IF(D7796=7,1,(IF(WEEKDAY(B7796)=1,2,IF(WEEKDAY(B7796)=7,1,0))))))</f>
        <v>2</v>
      </c>
      <c r="V7796" s="328">
        <f>VLOOKUP(C7796,METADATA!$A$5:$H$29,IF(E7796="HI",2,IF(E7796="LO",6,10))+IF(T7796=1,2,IF(D7796=7,1,(IF(WEEKDAY(B7796)=1,2,IF(WEEKDAY(B7796)=7,1,0))))))</f>
        <v>2</v>
      </c>
    </row>
    <row r="7797" spans="2:22">
      <c r="B7797" s="318">
        <f t="shared" si="487"/>
        <v>46437</v>
      </c>
      <c r="C7797" s="312">
        <v>17</v>
      </c>
      <c r="D7797" s="368">
        <f>IFERROR((INDEX(METADATA!$T$2:$T$20,MATCH(B7797,METADATA!$S$2:$S$20,0))),0)</f>
        <v>0</v>
      </c>
      <c r="E7797" s="312" t="str">
        <f t="shared" si="484"/>
        <v>LO</v>
      </c>
      <c r="F7797" s="369">
        <f>VLOOKUP(C7797,METADATA!$A$5:$H$29,IF(E7797="HI",2,IF(E7797="LO",6,10))+IF(D7797=1,2,IF(D7797=7,1,(IF(WEEKDAY(B7797)=1,2,IF(WEEKDAY(B7797)=7,1,0))))))</f>
        <v>2</v>
      </c>
      <c r="G7797" s="369">
        <f>VLOOKUP(C7797,METADATA!$J$5:$Q$29,IF(E7797="HI",2,IF(E7797="LO",6,10))+IF(D7797=1,2,IF(D7797=7,1,(IF(WEEKDAY(B7797)=1,2,IF(WEEKDAY(B7797)=7,1,0))))))</f>
        <v>2</v>
      </c>
      <c r="H7797" s="370">
        <v>12852.25</v>
      </c>
      <c r="I7797" s="370">
        <v>9677.425048828125</v>
      </c>
      <c r="M7797" s="371">
        <f t="shared" si="485"/>
        <v>16088.284111060011</v>
      </c>
      <c r="N7797" s="329">
        <f t="shared" si="486"/>
        <v>5821.7500488281257</v>
      </c>
      <c r="T7797" s="331">
        <v>0</v>
      </c>
      <c r="U7797" s="328">
        <f>VLOOKUP(C7797,METADATA!$J$5:$Q$29,IF(E7797="HI",2,IF(E7797="LO",6,10))+IF(T7797=1,2,IF(D7797=7,1,(IF(WEEKDAY(B7797)=1,2,IF(WEEKDAY(B7797)=7,1,0))))))</f>
        <v>2</v>
      </c>
      <c r="V7797" s="328">
        <f>VLOOKUP(C7797,METADATA!$A$5:$H$29,IF(E7797="HI",2,IF(E7797="LO",6,10))+IF(T7797=1,2,IF(D7797=7,1,(IF(WEEKDAY(B7797)=1,2,IF(WEEKDAY(B7797)=7,1,0))))))</f>
        <v>2</v>
      </c>
    </row>
    <row r="7798" spans="2:22">
      <c r="B7798" s="318">
        <f t="shared" si="487"/>
        <v>46437</v>
      </c>
      <c r="C7798" s="312">
        <v>18</v>
      </c>
      <c r="D7798" s="368">
        <f>IFERROR((INDEX(METADATA!$T$2:$T$20,MATCH(B7798,METADATA!$S$2:$S$20,0))),0)</f>
        <v>0</v>
      </c>
      <c r="E7798" s="312" t="str">
        <f t="shared" si="484"/>
        <v>LO</v>
      </c>
      <c r="F7798" s="369">
        <f>VLOOKUP(C7798,METADATA!$A$5:$H$29,IF(E7798="HI",2,IF(E7798="LO",6,10))+IF(D7798=1,2,IF(D7798=7,1,(IF(WEEKDAY(B7798)=1,2,IF(WEEKDAY(B7798)=7,1,0))))))</f>
        <v>1</v>
      </c>
      <c r="G7798" s="369">
        <f>VLOOKUP(C7798,METADATA!$J$5:$Q$29,IF(E7798="HI",2,IF(E7798="LO",6,10))+IF(D7798=1,2,IF(D7798=7,1,(IF(WEEKDAY(B7798)=1,2,IF(WEEKDAY(B7798)=7,1,0))))))</f>
        <v>1</v>
      </c>
      <c r="H7798" s="370">
        <v>12858.050048828125</v>
      </c>
      <c r="I7798" s="370">
        <v>9674.3251342773438</v>
      </c>
      <c r="M7798" s="371">
        <f t="shared" si="485"/>
        <v>16091.053969888961</v>
      </c>
      <c r="N7798" s="329">
        <f t="shared" si="486"/>
        <v>5816.9101196289066</v>
      </c>
      <c r="T7798" s="331">
        <v>0</v>
      </c>
      <c r="U7798" s="328">
        <f>VLOOKUP(C7798,METADATA!$J$5:$Q$29,IF(E7798="HI",2,IF(E7798="LO",6,10))+IF(T7798=1,2,IF(D7798=7,1,(IF(WEEKDAY(B7798)=1,2,IF(WEEKDAY(B7798)=7,1,0))))))</f>
        <v>1</v>
      </c>
      <c r="V7798" s="328">
        <f>VLOOKUP(C7798,METADATA!$A$5:$H$29,IF(E7798="HI",2,IF(E7798="LO",6,10))+IF(T7798=1,2,IF(D7798=7,1,(IF(WEEKDAY(B7798)=1,2,IF(WEEKDAY(B7798)=7,1,0))))))</f>
        <v>1</v>
      </c>
    </row>
    <row r="7799" spans="2:22">
      <c r="B7799" s="318">
        <f t="shared" si="487"/>
        <v>46437</v>
      </c>
      <c r="C7799" s="312">
        <v>19</v>
      </c>
      <c r="D7799" s="368">
        <f>IFERROR((INDEX(METADATA!$T$2:$T$20,MATCH(B7799,METADATA!$S$2:$S$20,0))),0)</f>
        <v>0</v>
      </c>
      <c r="E7799" s="312" t="str">
        <f t="shared" si="484"/>
        <v>LO</v>
      </c>
      <c r="F7799" s="369">
        <f>VLOOKUP(C7799,METADATA!$A$5:$H$29,IF(E7799="HI",2,IF(E7799="LO",6,10))+IF(D7799=1,2,IF(D7799=7,1,(IF(WEEKDAY(B7799)=1,2,IF(WEEKDAY(B7799)=7,1,0))))))</f>
        <v>1</v>
      </c>
      <c r="G7799" s="369">
        <f>VLOOKUP(C7799,METADATA!$J$5:$Q$29,IF(E7799="HI",2,IF(E7799="LO",6,10))+IF(D7799=1,2,IF(D7799=7,1,(IF(WEEKDAY(B7799)=1,2,IF(WEEKDAY(B7799)=7,1,0))))))</f>
        <v>1</v>
      </c>
      <c r="H7799" s="370">
        <v>12797.924926757813</v>
      </c>
      <c r="I7799" s="370">
        <v>9562.7250366210938</v>
      </c>
      <c r="M7799" s="371">
        <f t="shared" si="485"/>
        <v>15976.000518181916</v>
      </c>
      <c r="N7799" s="329">
        <f t="shared" si="486"/>
        <v>5723.3475585937504</v>
      </c>
      <c r="T7799" s="331">
        <v>0</v>
      </c>
      <c r="U7799" s="328">
        <f>VLOOKUP(C7799,METADATA!$J$5:$Q$29,IF(E7799="HI",2,IF(E7799="LO",6,10))+IF(T7799=1,2,IF(D7799=7,1,(IF(WEEKDAY(B7799)=1,2,IF(WEEKDAY(B7799)=7,1,0))))))</f>
        <v>1</v>
      </c>
      <c r="V7799" s="328">
        <f>VLOOKUP(C7799,METADATA!$A$5:$H$29,IF(E7799="HI",2,IF(E7799="LO",6,10))+IF(T7799=1,2,IF(D7799=7,1,(IF(WEEKDAY(B7799)=1,2,IF(WEEKDAY(B7799)=7,1,0))))))</f>
        <v>1</v>
      </c>
    </row>
    <row r="7800" spans="2:22">
      <c r="B7800" s="318">
        <f t="shared" si="487"/>
        <v>46437</v>
      </c>
      <c r="C7800" s="312">
        <v>20</v>
      </c>
      <c r="D7800" s="368">
        <f>IFERROR((INDEX(METADATA!$T$2:$T$20,MATCH(B7800,METADATA!$S$2:$S$20,0))),0)</f>
        <v>0</v>
      </c>
      <c r="E7800" s="312" t="str">
        <f t="shared" si="484"/>
        <v>LO</v>
      </c>
      <c r="F7800" s="369">
        <f>VLOOKUP(C7800,METADATA!$A$5:$H$29,IF(E7800="HI",2,IF(E7800="LO",6,10))+IF(D7800=1,2,IF(D7800=7,1,(IF(WEEKDAY(B7800)=1,2,IF(WEEKDAY(B7800)=7,1,0))))))</f>
        <v>1</v>
      </c>
      <c r="G7800" s="369">
        <f>VLOOKUP(C7800,METADATA!$J$5:$Q$29,IF(E7800="HI",2,IF(E7800="LO",6,10))+IF(D7800=1,2,IF(D7800=7,1,(IF(WEEKDAY(B7800)=1,2,IF(WEEKDAY(B7800)=7,1,0))))))</f>
        <v>1</v>
      </c>
      <c r="H7800" s="370">
        <v>12877.074829101563</v>
      </c>
      <c r="I7800" s="370">
        <v>9674.14990234375</v>
      </c>
      <c r="M7800" s="371">
        <f t="shared" si="485"/>
        <v>16106.155111860142</v>
      </c>
      <c r="N7800" s="329">
        <f t="shared" si="486"/>
        <v>5811.027453613282</v>
      </c>
      <c r="T7800" s="331">
        <v>0</v>
      </c>
      <c r="U7800" s="328">
        <f>VLOOKUP(C7800,METADATA!$J$5:$Q$29,IF(E7800="HI",2,IF(E7800="LO",6,10))+IF(T7800=1,2,IF(D7800=7,1,(IF(WEEKDAY(B7800)=1,2,IF(WEEKDAY(B7800)=7,1,0))))))</f>
        <v>1</v>
      </c>
      <c r="V7800" s="328">
        <f>VLOOKUP(C7800,METADATA!$A$5:$H$29,IF(E7800="HI",2,IF(E7800="LO",6,10))+IF(T7800=1,2,IF(D7800=7,1,(IF(WEEKDAY(B7800)=1,2,IF(WEEKDAY(B7800)=7,1,0))))))</f>
        <v>1</v>
      </c>
    </row>
    <row r="7801" spans="2:22">
      <c r="B7801" s="318">
        <f t="shared" si="487"/>
        <v>46437</v>
      </c>
      <c r="C7801" s="312">
        <v>21</v>
      </c>
      <c r="D7801" s="368">
        <f>IFERROR((INDEX(METADATA!$T$2:$T$20,MATCH(B7801,METADATA!$S$2:$S$20,0))),0)</f>
        <v>0</v>
      </c>
      <c r="E7801" s="312" t="str">
        <f t="shared" si="484"/>
        <v>LO</v>
      </c>
      <c r="F7801" s="369">
        <f>VLOOKUP(C7801,METADATA!$A$5:$H$29,IF(E7801="HI",2,IF(E7801="LO",6,10))+IF(D7801=1,2,IF(D7801=7,1,(IF(WEEKDAY(B7801)=1,2,IF(WEEKDAY(B7801)=7,1,0))))))</f>
        <v>2</v>
      </c>
      <c r="G7801" s="369">
        <f>VLOOKUP(C7801,METADATA!$J$5:$Q$29,IF(E7801="HI",2,IF(E7801="LO",6,10))+IF(D7801=1,2,IF(D7801=7,1,(IF(WEEKDAY(B7801)=1,2,IF(WEEKDAY(B7801)=7,1,0))))))</f>
        <v>2</v>
      </c>
      <c r="H7801" s="370">
        <v>12783.9248046875</v>
      </c>
      <c r="I7801" s="370">
        <v>9642.8998413085938</v>
      </c>
      <c r="M7801" s="371">
        <f t="shared" si="485"/>
        <v>16012.940103597892</v>
      </c>
      <c r="N7801" s="329">
        <f t="shared" si="486"/>
        <v>5807.7223999023445</v>
      </c>
      <c r="T7801" s="331">
        <v>0</v>
      </c>
      <c r="U7801" s="328">
        <f>VLOOKUP(C7801,METADATA!$J$5:$Q$29,IF(E7801="HI",2,IF(E7801="LO",6,10))+IF(T7801=1,2,IF(D7801=7,1,(IF(WEEKDAY(B7801)=1,2,IF(WEEKDAY(B7801)=7,1,0))))))</f>
        <v>2</v>
      </c>
      <c r="V7801" s="328">
        <f>VLOOKUP(C7801,METADATA!$A$5:$H$29,IF(E7801="HI",2,IF(E7801="LO",6,10))+IF(T7801=1,2,IF(D7801=7,1,(IF(WEEKDAY(B7801)=1,2,IF(WEEKDAY(B7801)=7,1,0))))))</f>
        <v>2</v>
      </c>
    </row>
    <row r="7802" spans="2:22">
      <c r="B7802" s="318">
        <f t="shared" si="487"/>
        <v>46437</v>
      </c>
      <c r="C7802" s="312">
        <v>22</v>
      </c>
      <c r="D7802" s="368">
        <f>IFERROR((INDEX(METADATA!$T$2:$T$20,MATCH(B7802,METADATA!$S$2:$S$20,0))),0)</f>
        <v>0</v>
      </c>
      <c r="E7802" s="312" t="str">
        <f t="shared" si="484"/>
        <v>LO</v>
      </c>
      <c r="F7802" s="369">
        <f>VLOOKUP(C7802,METADATA!$A$5:$H$29,IF(E7802="HI",2,IF(E7802="LO",6,10))+IF(D7802=1,2,IF(D7802=7,1,(IF(WEEKDAY(B7802)=1,2,IF(WEEKDAY(B7802)=7,1,0))))))</f>
        <v>3</v>
      </c>
      <c r="G7802" s="369">
        <f>VLOOKUP(C7802,METADATA!$J$5:$Q$29,IF(E7802="HI",2,IF(E7802="LO",6,10))+IF(D7802=1,2,IF(D7802=7,1,(IF(WEEKDAY(B7802)=1,2,IF(WEEKDAY(B7802)=7,1,0))))))</f>
        <v>3</v>
      </c>
      <c r="H7802" s="370">
        <v>12711.374877929688</v>
      </c>
      <c r="I7802" s="370">
        <v>9707.9750366210938</v>
      </c>
      <c r="M7802" s="371">
        <f t="shared" si="485"/>
        <v>15994.493758757115</v>
      </c>
      <c r="N7802" s="329">
        <f t="shared" si="486"/>
        <v>5894.5625732421877</v>
      </c>
      <c r="T7802" s="331">
        <v>0</v>
      </c>
      <c r="U7802" s="328">
        <f>VLOOKUP(C7802,METADATA!$J$5:$Q$29,IF(E7802="HI",2,IF(E7802="LO",6,10))+IF(T7802=1,2,IF(D7802=7,1,(IF(WEEKDAY(B7802)=1,2,IF(WEEKDAY(B7802)=7,1,0))))))</f>
        <v>3</v>
      </c>
      <c r="V7802" s="328">
        <f>VLOOKUP(C7802,METADATA!$A$5:$H$29,IF(E7802="HI",2,IF(E7802="LO",6,10))+IF(T7802=1,2,IF(D7802=7,1,(IF(WEEKDAY(B7802)=1,2,IF(WEEKDAY(B7802)=7,1,0))))))</f>
        <v>3</v>
      </c>
    </row>
    <row r="7803" spans="2:22">
      <c r="B7803" s="318">
        <f t="shared" si="487"/>
        <v>46437</v>
      </c>
      <c r="C7803" s="312">
        <v>23</v>
      </c>
      <c r="D7803" s="368">
        <f>IFERROR((INDEX(METADATA!$T$2:$T$20,MATCH(B7803,METADATA!$S$2:$S$20,0))),0)</f>
        <v>0</v>
      </c>
      <c r="E7803" s="312" t="str">
        <f t="shared" si="484"/>
        <v>LO</v>
      </c>
      <c r="F7803" s="369">
        <f>VLOOKUP(C7803,METADATA!$A$5:$H$29,IF(E7803="HI",2,IF(E7803="LO",6,10))+IF(D7803=1,2,IF(D7803=7,1,(IF(WEEKDAY(B7803)=1,2,IF(WEEKDAY(B7803)=7,1,0))))))</f>
        <v>3</v>
      </c>
      <c r="G7803" s="369">
        <f>VLOOKUP(C7803,METADATA!$J$5:$Q$29,IF(E7803="HI",2,IF(E7803="LO",6,10))+IF(D7803=1,2,IF(D7803=7,1,(IF(WEEKDAY(B7803)=1,2,IF(WEEKDAY(B7803)=7,1,0))))))</f>
        <v>3</v>
      </c>
      <c r="H7803" s="370">
        <v>11961.049926757813</v>
      </c>
      <c r="I7803" s="370">
        <v>9208.8750610351563</v>
      </c>
      <c r="M7803" s="371">
        <f t="shared" si="485"/>
        <v>15095.366681208785</v>
      </c>
      <c r="N7803" s="329">
        <f t="shared" si="486"/>
        <v>5620.5600830078129</v>
      </c>
      <c r="T7803" s="331">
        <v>0</v>
      </c>
      <c r="U7803" s="328">
        <f>VLOOKUP(C7803,METADATA!$J$5:$Q$29,IF(E7803="HI",2,IF(E7803="LO",6,10))+IF(T7803=1,2,IF(D7803=7,1,(IF(WEEKDAY(B7803)=1,2,IF(WEEKDAY(B7803)=7,1,0))))))</f>
        <v>3</v>
      </c>
      <c r="V7803" s="328">
        <f>VLOOKUP(C7803,METADATA!$A$5:$H$29,IF(E7803="HI",2,IF(E7803="LO",6,10))+IF(T7803=1,2,IF(D7803=7,1,(IF(WEEKDAY(B7803)=1,2,IF(WEEKDAY(B7803)=7,1,0))))))</f>
        <v>3</v>
      </c>
    </row>
    <row r="7804" spans="2:22">
      <c r="B7804" s="318">
        <f t="shared" si="487"/>
        <v>46438</v>
      </c>
      <c r="C7804" s="312">
        <v>0</v>
      </c>
      <c r="D7804" s="368">
        <f>IFERROR((INDEX(METADATA!$T$2:$T$20,MATCH(B7804,METADATA!$S$2:$S$20,0))),0)</f>
        <v>0</v>
      </c>
      <c r="E7804" s="312" t="str">
        <f t="shared" si="484"/>
        <v>LO</v>
      </c>
      <c r="F7804" s="369">
        <f>VLOOKUP(C7804,METADATA!$A$5:$H$29,IF(E7804="HI",2,IF(E7804="LO",6,10))+IF(D7804=1,2,IF(D7804=7,1,(IF(WEEKDAY(B7804)=1,2,IF(WEEKDAY(B7804)=7,1,0))))))</f>
        <v>3</v>
      </c>
      <c r="G7804" s="369">
        <f>VLOOKUP(C7804,METADATA!$J$5:$Q$29,IF(E7804="HI",2,IF(E7804="LO",6,10))+IF(D7804=1,2,IF(D7804=7,1,(IF(WEEKDAY(B7804)=1,2,IF(WEEKDAY(B7804)=7,1,0))))))</f>
        <v>3</v>
      </c>
      <c r="H7804" s="370">
        <v>11601.900146484375</v>
      </c>
      <c r="I7804" s="370">
        <v>8959.1002197265625</v>
      </c>
      <c r="M7804" s="371">
        <f t="shared" si="485"/>
        <v>14658.429784806376</v>
      </c>
      <c r="N7804" s="329">
        <f t="shared" si="486"/>
        <v>5478.5301757812504</v>
      </c>
      <c r="T7804" s="331">
        <v>0</v>
      </c>
      <c r="U7804" s="328">
        <f>VLOOKUP(C7804,METADATA!$J$5:$Q$29,IF(E7804="HI",2,IF(E7804="LO",6,10))+IF(T7804=1,2,IF(D7804=7,1,(IF(WEEKDAY(B7804)=1,2,IF(WEEKDAY(B7804)=7,1,0))))))</f>
        <v>3</v>
      </c>
      <c r="V7804" s="328">
        <f>VLOOKUP(C7804,METADATA!$A$5:$H$29,IF(E7804="HI",2,IF(E7804="LO",6,10))+IF(T7804=1,2,IF(D7804=7,1,(IF(WEEKDAY(B7804)=1,2,IF(WEEKDAY(B7804)=7,1,0))))))</f>
        <v>3</v>
      </c>
    </row>
    <row r="7805" spans="2:22">
      <c r="B7805" s="318">
        <f t="shared" si="487"/>
        <v>46438</v>
      </c>
      <c r="C7805" s="312">
        <v>1</v>
      </c>
      <c r="D7805" s="368">
        <f>IFERROR((INDEX(METADATA!$T$2:$T$20,MATCH(B7805,METADATA!$S$2:$S$20,0))),0)</f>
        <v>0</v>
      </c>
      <c r="E7805" s="312" t="str">
        <f t="shared" si="484"/>
        <v>LO</v>
      </c>
      <c r="F7805" s="369">
        <f>VLOOKUP(C7805,METADATA!$A$5:$H$29,IF(E7805="HI",2,IF(E7805="LO",6,10))+IF(D7805=1,2,IF(D7805=7,1,(IF(WEEKDAY(B7805)=1,2,IF(WEEKDAY(B7805)=7,1,0))))))</f>
        <v>3</v>
      </c>
      <c r="G7805" s="369">
        <f>VLOOKUP(C7805,METADATA!$J$5:$Q$29,IF(E7805="HI",2,IF(E7805="LO",6,10))+IF(D7805=1,2,IF(D7805=7,1,(IF(WEEKDAY(B7805)=1,2,IF(WEEKDAY(B7805)=7,1,0))))))</f>
        <v>3</v>
      </c>
      <c r="H7805" s="370">
        <v>10149.267395019531</v>
      </c>
      <c r="I7805" s="370">
        <v>8318.21240234375</v>
      </c>
      <c r="M7805" s="371">
        <f t="shared" si="485"/>
        <v>13122.510667784269</v>
      </c>
      <c r="N7805" s="329">
        <f t="shared" si="486"/>
        <v>5273.432183837891</v>
      </c>
      <c r="T7805" s="331">
        <v>0</v>
      </c>
      <c r="U7805" s="328">
        <f>VLOOKUP(C7805,METADATA!$J$5:$Q$29,IF(E7805="HI",2,IF(E7805="LO",6,10))+IF(T7805=1,2,IF(D7805=7,1,(IF(WEEKDAY(B7805)=1,2,IF(WEEKDAY(B7805)=7,1,0))))))</f>
        <v>3</v>
      </c>
      <c r="V7805" s="328">
        <f>VLOOKUP(C7805,METADATA!$A$5:$H$29,IF(E7805="HI",2,IF(E7805="LO",6,10))+IF(T7805=1,2,IF(D7805=7,1,(IF(WEEKDAY(B7805)=1,2,IF(WEEKDAY(B7805)=7,1,0))))))</f>
        <v>3</v>
      </c>
    </row>
    <row r="7806" spans="2:22">
      <c r="B7806" s="318">
        <f t="shared" si="487"/>
        <v>46438</v>
      </c>
      <c r="C7806" s="312">
        <v>2</v>
      </c>
      <c r="D7806" s="368">
        <f>IFERROR((INDEX(METADATA!$T$2:$T$20,MATCH(B7806,METADATA!$S$2:$S$20,0))),0)</f>
        <v>0</v>
      </c>
      <c r="E7806" s="312" t="str">
        <f t="shared" si="484"/>
        <v>LO</v>
      </c>
      <c r="F7806" s="369">
        <f>VLOOKUP(C7806,METADATA!$A$5:$H$29,IF(E7806="HI",2,IF(E7806="LO",6,10))+IF(D7806=1,2,IF(D7806=7,1,(IF(WEEKDAY(B7806)=1,2,IF(WEEKDAY(B7806)=7,1,0))))))</f>
        <v>3</v>
      </c>
      <c r="G7806" s="369">
        <f>VLOOKUP(C7806,METADATA!$J$5:$Q$29,IF(E7806="HI",2,IF(E7806="LO",6,10))+IF(D7806=1,2,IF(D7806=7,1,(IF(WEEKDAY(B7806)=1,2,IF(WEEKDAY(B7806)=7,1,0))))))</f>
        <v>3</v>
      </c>
      <c r="H7806" s="370">
        <v>5226.1448974609375</v>
      </c>
      <c r="I7806" s="370">
        <v>5461.0700073242188</v>
      </c>
      <c r="M7806" s="371">
        <f t="shared" si="485"/>
        <v>7558.827694434709</v>
      </c>
      <c r="N7806" s="329">
        <f t="shared" si="486"/>
        <v>3893.2265380859376</v>
      </c>
      <c r="T7806" s="331">
        <v>0</v>
      </c>
      <c r="U7806" s="328">
        <f>VLOOKUP(C7806,METADATA!$J$5:$Q$29,IF(E7806="HI",2,IF(E7806="LO",6,10))+IF(T7806=1,2,IF(D7806=7,1,(IF(WEEKDAY(B7806)=1,2,IF(WEEKDAY(B7806)=7,1,0))))))</f>
        <v>3</v>
      </c>
      <c r="V7806" s="328">
        <f>VLOOKUP(C7806,METADATA!$A$5:$H$29,IF(E7806="HI",2,IF(E7806="LO",6,10))+IF(T7806=1,2,IF(D7806=7,1,(IF(WEEKDAY(B7806)=1,2,IF(WEEKDAY(B7806)=7,1,0))))))</f>
        <v>3</v>
      </c>
    </row>
    <row r="7807" spans="2:22">
      <c r="B7807" s="318">
        <f t="shared" si="487"/>
        <v>46438</v>
      </c>
      <c r="C7807" s="312">
        <v>3</v>
      </c>
      <c r="D7807" s="368">
        <f>IFERROR((INDEX(METADATA!$T$2:$T$20,MATCH(B7807,METADATA!$S$2:$S$20,0))),0)</f>
        <v>0</v>
      </c>
      <c r="E7807" s="312" t="str">
        <f t="shared" si="484"/>
        <v>LO</v>
      </c>
      <c r="F7807" s="369">
        <f>VLOOKUP(C7807,METADATA!$A$5:$H$29,IF(E7807="HI",2,IF(E7807="LO",6,10))+IF(D7807=1,2,IF(D7807=7,1,(IF(WEEKDAY(B7807)=1,2,IF(WEEKDAY(B7807)=7,1,0))))))</f>
        <v>3</v>
      </c>
      <c r="G7807" s="369">
        <f>VLOOKUP(C7807,METADATA!$J$5:$Q$29,IF(E7807="HI",2,IF(E7807="LO",6,10))+IF(D7807=1,2,IF(D7807=7,1,(IF(WEEKDAY(B7807)=1,2,IF(WEEKDAY(B7807)=7,1,0))))))</f>
        <v>3</v>
      </c>
      <c r="H7807" s="370">
        <v>4696.007568359375</v>
      </c>
      <c r="I7807" s="370">
        <v>5050.784912109375</v>
      </c>
      <c r="M7807" s="371">
        <f t="shared" si="485"/>
        <v>6896.5872219874254</v>
      </c>
      <c r="N7807" s="329">
        <f t="shared" si="486"/>
        <v>3641.9826416015626</v>
      </c>
      <c r="T7807" s="331">
        <v>0</v>
      </c>
      <c r="U7807" s="328">
        <f>VLOOKUP(C7807,METADATA!$J$5:$Q$29,IF(E7807="HI",2,IF(E7807="LO",6,10))+IF(T7807=1,2,IF(D7807=7,1,(IF(WEEKDAY(B7807)=1,2,IF(WEEKDAY(B7807)=7,1,0))))))</f>
        <v>3</v>
      </c>
      <c r="V7807" s="328">
        <f>VLOOKUP(C7807,METADATA!$A$5:$H$29,IF(E7807="HI",2,IF(E7807="LO",6,10))+IF(T7807=1,2,IF(D7807=7,1,(IF(WEEKDAY(B7807)=1,2,IF(WEEKDAY(B7807)=7,1,0))))))</f>
        <v>3</v>
      </c>
    </row>
    <row r="7808" spans="2:22">
      <c r="B7808" s="318">
        <f t="shared" si="487"/>
        <v>46438</v>
      </c>
      <c r="C7808" s="312">
        <v>4</v>
      </c>
      <c r="D7808" s="368">
        <f>IFERROR((INDEX(METADATA!$T$2:$T$20,MATCH(B7808,METADATA!$S$2:$S$20,0))),0)</f>
        <v>0</v>
      </c>
      <c r="E7808" s="312" t="str">
        <f t="shared" si="484"/>
        <v>LO</v>
      </c>
      <c r="F7808" s="369">
        <f>VLOOKUP(C7808,METADATA!$A$5:$H$29,IF(E7808="HI",2,IF(E7808="LO",6,10))+IF(D7808=1,2,IF(D7808=7,1,(IF(WEEKDAY(B7808)=1,2,IF(WEEKDAY(B7808)=7,1,0))))))</f>
        <v>3</v>
      </c>
      <c r="G7808" s="369">
        <f>VLOOKUP(C7808,METADATA!$J$5:$Q$29,IF(E7808="HI",2,IF(E7808="LO",6,10))+IF(D7808=1,2,IF(D7808=7,1,(IF(WEEKDAY(B7808)=1,2,IF(WEEKDAY(B7808)=7,1,0))))))</f>
        <v>3</v>
      </c>
      <c r="H7808" s="370">
        <v>5098.5550842285156</v>
      </c>
      <c r="I7808" s="370">
        <v>5288.2825012207031</v>
      </c>
      <c r="M7808" s="371">
        <f t="shared" si="485"/>
        <v>7345.8284597198117</v>
      </c>
      <c r="N7808" s="329">
        <f t="shared" si="486"/>
        <v>3758.7159759521483</v>
      </c>
      <c r="T7808" s="331">
        <v>0</v>
      </c>
      <c r="U7808" s="328">
        <f>VLOOKUP(C7808,METADATA!$J$5:$Q$29,IF(E7808="HI",2,IF(E7808="LO",6,10))+IF(T7808=1,2,IF(D7808=7,1,(IF(WEEKDAY(B7808)=1,2,IF(WEEKDAY(B7808)=7,1,0))))))</f>
        <v>3</v>
      </c>
      <c r="V7808" s="328">
        <f>VLOOKUP(C7808,METADATA!$A$5:$H$29,IF(E7808="HI",2,IF(E7808="LO",6,10))+IF(T7808=1,2,IF(D7808=7,1,(IF(WEEKDAY(B7808)=1,2,IF(WEEKDAY(B7808)=7,1,0))))))</f>
        <v>3</v>
      </c>
    </row>
    <row r="7809" spans="2:22">
      <c r="B7809" s="318">
        <f t="shared" si="487"/>
        <v>46438</v>
      </c>
      <c r="C7809" s="312">
        <v>5</v>
      </c>
      <c r="D7809" s="368">
        <f>IFERROR((INDEX(METADATA!$T$2:$T$20,MATCH(B7809,METADATA!$S$2:$S$20,0))),0)</f>
        <v>0</v>
      </c>
      <c r="E7809" s="312" t="str">
        <f t="shared" si="484"/>
        <v>LO</v>
      </c>
      <c r="F7809" s="369">
        <f>VLOOKUP(C7809,METADATA!$A$5:$H$29,IF(E7809="HI",2,IF(E7809="LO",6,10))+IF(D7809=1,2,IF(D7809=7,1,(IF(WEEKDAY(B7809)=1,2,IF(WEEKDAY(B7809)=7,1,0))))))</f>
        <v>3</v>
      </c>
      <c r="G7809" s="369">
        <f>VLOOKUP(C7809,METADATA!$J$5:$Q$29,IF(E7809="HI",2,IF(E7809="LO",6,10))+IF(D7809=1,2,IF(D7809=7,1,(IF(WEEKDAY(B7809)=1,2,IF(WEEKDAY(B7809)=7,1,0))))))</f>
        <v>3</v>
      </c>
      <c r="H7809" s="370">
        <v>5012.0325012207031</v>
      </c>
      <c r="I7809" s="370">
        <v>5256.9349975585938</v>
      </c>
      <c r="M7809" s="371">
        <f t="shared" si="485"/>
        <v>7263.321234934403</v>
      </c>
      <c r="N7809" s="329">
        <f t="shared" si="486"/>
        <v>3753.3252471923829</v>
      </c>
      <c r="T7809" s="331">
        <v>0</v>
      </c>
      <c r="U7809" s="328">
        <f>VLOOKUP(C7809,METADATA!$J$5:$Q$29,IF(E7809="HI",2,IF(E7809="LO",6,10))+IF(T7809=1,2,IF(D7809=7,1,(IF(WEEKDAY(B7809)=1,2,IF(WEEKDAY(B7809)=7,1,0))))))</f>
        <v>3</v>
      </c>
      <c r="V7809" s="328">
        <f>VLOOKUP(C7809,METADATA!$A$5:$H$29,IF(E7809="HI",2,IF(E7809="LO",6,10))+IF(T7809=1,2,IF(D7809=7,1,(IF(WEEKDAY(B7809)=1,2,IF(WEEKDAY(B7809)=7,1,0))))))</f>
        <v>3</v>
      </c>
    </row>
    <row r="7810" spans="2:22">
      <c r="B7810" s="318">
        <f t="shared" si="487"/>
        <v>46438</v>
      </c>
      <c r="C7810" s="312">
        <v>6</v>
      </c>
      <c r="D7810" s="368">
        <f>IFERROR((INDEX(METADATA!$T$2:$T$20,MATCH(B7810,METADATA!$S$2:$S$20,0))),0)</f>
        <v>0</v>
      </c>
      <c r="E7810" s="312" t="str">
        <f t="shared" si="484"/>
        <v>LO</v>
      </c>
      <c r="F7810" s="369">
        <f>VLOOKUP(C7810,METADATA!$A$5:$H$29,IF(E7810="HI",2,IF(E7810="LO",6,10))+IF(D7810=1,2,IF(D7810=7,1,(IF(WEEKDAY(B7810)=1,2,IF(WEEKDAY(B7810)=7,1,0))))))</f>
        <v>3</v>
      </c>
      <c r="G7810" s="369">
        <f>VLOOKUP(C7810,METADATA!$J$5:$Q$29,IF(E7810="HI",2,IF(E7810="LO",6,10))+IF(D7810=1,2,IF(D7810=7,1,(IF(WEEKDAY(B7810)=1,2,IF(WEEKDAY(B7810)=7,1,0))))))</f>
        <v>3</v>
      </c>
      <c r="H7810" s="370">
        <v>6119.300048828125</v>
      </c>
      <c r="I7810" s="370">
        <v>5912.4075317382813</v>
      </c>
      <c r="M7810" s="371">
        <f t="shared" si="485"/>
        <v>8508.9597430557533</v>
      </c>
      <c r="N7810" s="329">
        <f t="shared" si="486"/>
        <v>4076.6175170898441</v>
      </c>
      <c r="T7810" s="331">
        <v>0</v>
      </c>
      <c r="U7810" s="328">
        <f>VLOOKUP(C7810,METADATA!$J$5:$Q$29,IF(E7810="HI",2,IF(E7810="LO",6,10))+IF(T7810=1,2,IF(D7810=7,1,(IF(WEEKDAY(B7810)=1,2,IF(WEEKDAY(B7810)=7,1,0))))))</f>
        <v>3</v>
      </c>
      <c r="V7810" s="328">
        <f>VLOOKUP(C7810,METADATA!$A$5:$H$29,IF(E7810="HI",2,IF(E7810="LO",6,10))+IF(T7810=1,2,IF(D7810=7,1,(IF(WEEKDAY(B7810)=1,2,IF(WEEKDAY(B7810)=7,1,0))))))</f>
        <v>3</v>
      </c>
    </row>
    <row r="7811" spans="2:22">
      <c r="B7811" s="318">
        <f t="shared" si="487"/>
        <v>46438</v>
      </c>
      <c r="C7811" s="312">
        <v>7</v>
      </c>
      <c r="D7811" s="368">
        <f>IFERROR((INDEX(METADATA!$T$2:$T$20,MATCH(B7811,METADATA!$S$2:$S$20,0))),0)</f>
        <v>0</v>
      </c>
      <c r="E7811" s="312" t="str">
        <f t="shared" si="484"/>
        <v>LO</v>
      </c>
      <c r="F7811" s="369">
        <f>VLOOKUP(C7811,METADATA!$A$5:$H$29,IF(E7811="HI",2,IF(E7811="LO",6,10))+IF(D7811=1,2,IF(D7811=7,1,(IF(WEEKDAY(B7811)=1,2,IF(WEEKDAY(B7811)=7,1,0))))))</f>
        <v>2</v>
      </c>
      <c r="G7811" s="369">
        <f>VLOOKUP(C7811,METADATA!$J$5:$Q$29,IF(E7811="HI",2,IF(E7811="LO",6,10))+IF(D7811=1,2,IF(D7811=7,1,(IF(WEEKDAY(B7811)=1,2,IF(WEEKDAY(B7811)=7,1,0))))))</f>
        <v>2</v>
      </c>
      <c r="H7811" s="370">
        <v>5519.3124694824219</v>
      </c>
      <c r="I7811" s="370">
        <v>5475.072509765625</v>
      </c>
      <c r="M7811" s="371">
        <f t="shared" si="485"/>
        <v>7774.2671116302281</v>
      </c>
      <c r="N7811" s="329">
        <f t="shared" si="486"/>
        <v>3819.2787689208985</v>
      </c>
      <c r="T7811" s="331">
        <v>0</v>
      </c>
      <c r="U7811" s="328">
        <f>VLOOKUP(C7811,METADATA!$J$5:$Q$29,IF(E7811="HI",2,IF(E7811="LO",6,10))+IF(T7811=1,2,IF(D7811=7,1,(IF(WEEKDAY(B7811)=1,2,IF(WEEKDAY(B7811)=7,1,0))))))</f>
        <v>2</v>
      </c>
      <c r="V7811" s="328">
        <f>VLOOKUP(C7811,METADATA!$A$5:$H$29,IF(E7811="HI",2,IF(E7811="LO",6,10))+IF(T7811=1,2,IF(D7811=7,1,(IF(WEEKDAY(B7811)=1,2,IF(WEEKDAY(B7811)=7,1,0))))))</f>
        <v>2</v>
      </c>
    </row>
    <row r="7812" spans="2:22">
      <c r="B7812" s="318">
        <f t="shared" si="487"/>
        <v>46438</v>
      </c>
      <c r="C7812" s="312">
        <v>8</v>
      </c>
      <c r="D7812" s="368">
        <f>IFERROR((INDEX(METADATA!$T$2:$T$20,MATCH(B7812,METADATA!$S$2:$S$20,0))),0)</f>
        <v>0</v>
      </c>
      <c r="E7812" s="312" t="str">
        <f t="shared" ref="E7812:E7875" si="488">IF(B7812="","",IF(AND(MONTH(B7812)&gt;=MONTH($Z$9),MONTH(B7812)&lt;=MONTH($Z$11)),"HI","LO"))</f>
        <v>LO</v>
      </c>
      <c r="F7812" s="369">
        <f>VLOOKUP(C7812,METADATA!$A$5:$H$29,IF(E7812="HI",2,IF(E7812="LO",6,10))+IF(D7812=1,2,IF(D7812=7,1,(IF(WEEKDAY(B7812)=1,2,IF(WEEKDAY(B7812)=7,1,0))))))</f>
        <v>2</v>
      </c>
      <c r="G7812" s="369">
        <f>VLOOKUP(C7812,METADATA!$J$5:$Q$29,IF(E7812="HI",2,IF(E7812="LO",6,10))+IF(D7812=1,2,IF(D7812=7,1,(IF(WEEKDAY(B7812)=1,2,IF(WEEKDAY(B7812)=7,1,0))))))</f>
        <v>2</v>
      </c>
      <c r="H7812" s="370">
        <v>6245.3076171875</v>
      </c>
      <c r="I7812" s="370">
        <v>5889.1199035644531</v>
      </c>
      <c r="M7812" s="371">
        <f t="shared" ref="M7812:M7875" si="489">SQRT(H7812^2+I7812^2)</f>
        <v>8584.0317142854965</v>
      </c>
      <c r="N7812" s="329">
        <f t="shared" ref="N7812:N7875" si="490">IF(H7812=0,0,(IF(I7812-(0.3*H7812)&lt;0,0,(I7812-(0.3*H7812)))))</f>
        <v>4015.5276184082031</v>
      </c>
      <c r="T7812" s="331">
        <v>0</v>
      </c>
      <c r="U7812" s="328">
        <f>VLOOKUP(C7812,METADATA!$J$5:$Q$29,IF(E7812="HI",2,IF(E7812="LO",6,10))+IF(T7812=1,2,IF(D7812=7,1,(IF(WEEKDAY(B7812)=1,2,IF(WEEKDAY(B7812)=7,1,0))))))</f>
        <v>2</v>
      </c>
      <c r="V7812" s="328">
        <f>VLOOKUP(C7812,METADATA!$A$5:$H$29,IF(E7812="HI",2,IF(E7812="LO",6,10))+IF(T7812=1,2,IF(D7812=7,1,(IF(WEEKDAY(B7812)=1,2,IF(WEEKDAY(B7812)=7,1,0))))))</f>
        <v>2</v>
      </c>
    </row>
    <row r="7813" spans="2:22">
      <c r="B7813" s="318">
        <f t="shared" si="487"/>
        <v>46438</v>
      </c>
      <c r="C7813" s="312">
        <v>9</v>
      </c>
      <c r="D7813" s="368">
        <f>IFERROR((INDEX(METADATA!$T$2:$T$20,MATCH(B7813,METADATA!$S$2:$S$20,0))),0)</f>
        <v>0</v>
      </c>
      <c r="E7813" s="312" t="str">
        <f t="shared" si="488"/>
        <v>LO</v>
      </c>
      <c r="F7813" s="369">
        <f>VLOOKUP(C7813,METADATA!$A$5:$H$29,IF(E7813="HI",2,IF(E7813="LO",6,10))+IF(D7813=1,2,IF(D7813=7,1,(IF(WEEKDAY(B7813)=1,2,IF(WEEKDAY(B7813)=7,1,0))))))</f>
        <v>2</v>
      </c>
      <c r="G7813" s="369">
        <f>VLOOKUP(C7813,METADATA!$J$5:$Q$29,IF(E7813="HI",2,IF(E7813="LO",6,10))+IF(D7813=1,2,IF(D7813=7,1,(IF(WEEKDAY(B7813)=1,2,IF(WEEKDAY(B7813)=7,1,0))))))</f>
        <v>2</v>
      </c>
      <c r="H7813" s="370">
        <v>6721.3225402832031</v>
      </c>
      <c r="I7813" s="370">
        <v>6132.4026184082031</v>
      </c>
      <c r="M7813" s="371">
        <f t="shared" si="489"/>
        <v>9098.4910048193615</v>
      </c>
      <c r="N7813" s="329">
        <f t="shared" si="490"/>
        <v>4116.0058563232424</v>
      </c>
      <c r="T7813" s="331">
        <v>0</v>
      </c>
      <c r="U7813" s="328">
        <f>VLOOKUP(C7813,METADATA!$J$5:$Q$29,IF(E7813="HI",2,IF(E7813="LO",6,10))+IF(T7813=1,2,IF(D7813=7,1,(IF(WEEKDAY(B7813)=1,2,IF(WEEKDAY(B7813)=7,1,0))))))</f>
        <v>2</v>
      </c>
      <c r="V7813" s="328">
        <f>VLOOKUP(C7813,METADATA!$A$5:$H$29,IF(E7813="HI",2,IF(E7813="LO",6,10))+IF(T7813=1,2,IF(D7813=7,1,(IF(WEEKDAY(B7813)=1,2,IF(WEEKDAY(B7813)=7,1,0))))))</f>
        <v>2</v>
      </c>
    </row>
    <row r="7814" spans="2:22">
      <c r="B7814" s="318">
        <f t="shared" si="487"/>
        <v>46438</v>
      </c>
      <c r="C7814" s="312">
        <v>10</v>
      </c>
      <c r="D7814" s="368">
        <f>IFERROR((INDEX(METADATA!$T$2:$T$20,MATCH(B7814,METADATA!$S$2:$S$20,0))),0)</f>
        <v>0</v>
      </c>
      <c r="E7814" s="312" t="str">
        <f t="shared" si="488"/>
        <v>LO</v>
      </c>
      <c r="F7814" s="369">
        <f>VLOOKUP(C7814,METADATA!$A$5:$H$29,IF(E7814="HI",2,IF(E7814="LO",6,10))+IF(D7814=1,2,IF(D7814=7,1,(IF(WEEKDAY(B7814)=1,2,IF(WEEKDAY(B7814)=7,1,0))))))</f>
        <v>2</v>
      </c>
      <c r="G7814" s="369">
        <f>VLOOKUP(C7814,METADATA!$J$5:$Q$29,IF(E7814="HI",2,IF(E7814="LO",6,10))+IF(D7814=1,2,IF(D7814=7,1,(IF(WEEKDAY(B7814)=1,2,IF(WEEKDAY(B7814)=7,1,0))))))</f>
        <v>2</v>
      </c>
      <c r="H7814" s="370">
        <v>7424.9998474121094</v>
      </c>
      <c r="I7814" s="370">
        <v>6482.8072814941406</v>
      </c>
      <c r="M7814" s="371">
        <f t="shared" si="489"/>
        <v>9856.8459957058931</v>
      </c>
      <c r="N7814" s="329">
        <f t="shared" si="490"/>
        <v>4255.3073272705078</v>
      </c>
      <c r="T7814" s="331">
        <v>0</v>
      </c>
      <c r="U7814" s="328">
        <f>VLOOKUP(C7814,METADATA!$J$5:$Q$29,IF(E7814="HI",2,IF(E7814="LO",6,10))+IF(T7814=1,2,IF(D7814=7,1,(IF(WEEKDAY(B7814)=1,2,IF(WEEKDAY(B7814)=7,1,0))))))</f>
        <v>2</v>
      </c>
      <c r="V7814" s="328">
        <f>VLOOKUP(C7814,METADATA!$A$5:$H$29,IF(E7814="HI",2,IF(E7814="LO",6,10))+IF(T7814=1,2,IF(D7814=7,1,(IF(WEEKDAY(B7814)=1,2,IF(WEEKDAY(B7814)=7,1,0))))))</f>
        <v>2</v>
      </c>
    </row>
    <row r="7815" spans="2:22">
      <c r="B7815" s="318">
        <f t="shared" si="487"/>
        <v>46438</v>
      </c>
      <c r="C7815" s="312">
        <v>11</v>
      </c>
      <c r="D7815" s="368">
        <f>IFERROR((INDEX(METADATA!$T$2:$T$20,MATCH(B7815,METADATA!$S$2:$S$20,0))),0)</f>
        <v>0</v>
      </c>
      <c r="E7815" s="312" t="str">
        <f t="shared" si="488"/>
        <v>LO</v>
      </c>
      <c r="F7815" s="369">
        <f>VLOOKUP(C7815,METADATA!$A$5:$H$29,IF(E7815="HI",2,IF(E7815="LO",6,10))+IF(D7815=1,2,IF(D7815=7,1,(IF(WEEKDAY(B7815)=1,2,IF(WEEKDAY(B7815)=7,1,0))))))</f>
        <v>2</v>
      </c>
      <c r="G7815" s="369">
        <f>VLOOKUP(C7815,METADATA!$J$5:$Q$29,IF(E7815="HI",2,IF(E7815="LO",6,10))+IF(D7815=1,2,IF(D7815=7,1,(IF(WEEKDAY(B7815)=1,2,IF(WEEKDAY(B7815)=7,1,0))))))</f>
        <v>2</v>
      </c>
      <c r="H7815" s="370">
        <v>3891.2224426269531</v>
      </c>
      <c r="I7815" s="370">
        <v>4108.3548278808594</v>
      </c>
      <c r="M7815" s="371">
        <f t="shared" si="489"/>
        <v>5658.6386604708769</v>
      </c>
      <c r="N7815" s="329">
        <f t="shared" si="490"/>
        <v>2940.9880950927736</v>
      </c>
      <c r="T7815" s="331">
        <v>0</v>
      </c>
      <c r="U7815" s="328">
        <f>VLOOKUP(C7815,METADATA!$J$5:$Q$29,IF(E7815="HI",2,IF(E7815="LO",6,10))+IF(T7815=1,2,IF(D7815=7,1,(IF(WEEKDAY(B7815)=1,2,IF(WEEKDAY(B7815)=7,1,0))))))</f>
        <v>2</v>
      </c>
      <c r="V7815" s="328">
        <f>VLOOKUP(C7815,METADATA!$A$5:$H$29,IF(E7815="HI",2,IF(E7815="LO",6,10))+IF(T7815=1,2,IF(D7815=7,1,(IF(WEEKDAY(B7815)=1,2,IF(WEEKDAY(B7815)=7,1,0))))))</f>
        <v>2</v>
      </c>
    </row>
    <row r="7816" spans="2:22">
      <c r="B7816" s="318">
        <f t="shared" si="487"/>
        <v>46438</v>
      </c>
      <c r="C7816" s="312">
        <v>12</v>
      </c>
      <c r="D7816" s="368">
        <f>IFERROR((INDEX(METADATA!$T$2:$T$20,MATCH(B7816,METADATA!$S$2:$S$20,0))),0)</f>
        <v>0</v>
      </c>
      <c r="E7816" s="312" t="str">
        <f t="shared" si="488"/>
        <v>LO</v>
      </c>
      <c r="F7816" s="369">
        <f>VLOOKUP(C7816,METADATA!$A$5:$H$29,IF(E7816="HI",2,IF(E7816="LO",6,10))+IF(D7816=1,2,IF(D7816=7,1,(IF(WEEKDAY(B7816)=1,2,IF(WEEKDAY(B7816)=7,1,0))))))</f>
        <v>3</v>
      </c>
      <c r="G7816" s="369">
        <f>VLOOKUP(C7816,METADATA!$J$5:$Q$29,IF(E7816="HI",2,IF(E7816="LO",6,10))+IF(D7816=1,2,IF(D7816=7,1,(IF(WEEKDAY(B7816)=1,2,IF(WEEKDAY(B7816)=7,1,0))))))</f>
        <v>3</v>
      </c>
      <c r="H7816" s="370">
        <v>3257.782470703125</v>
      </c>
      <c r="I7816" s="370">
        <v>3616.6226501464844</v>
      </c>
      <c r="M7816" s="371">
        <f t="shared" si="489"/>
        <v>4867.5564732186867</v>
      </c>
      <c r="N7816" s="329">
        <f t="shared" si="490"/>
        <v>2639.287908935547</v>
      </c>
      <c r="T7816" s="331">
        <v>0</v>
      </c>
      <c r="U7816" s="328">
        <f>VLOOKUP(C7816,METADATA!$J$5:$Q$29,IF(E7816="HI",2,IF(E7816="LO",6,10))+IF(T7816=1,2,IF(D7816=7,1,(IF(WEEKDAY(B7816)=1,2,IF(WEEKDAY(B7816)=7,1,0))))))</f>
        <v>3</v>
      </c>
      <c r="V7816" s="328">
        <f>VLOOKUP(C7816,METADATA!$A$5:$H$29,IF(E7816="HI",2,IF(E7816="LO",6,10))+IF(T7816=1,2,IF(D7816=7,1,(IF(WEEKDAY(B7816)=1,2,IF(WEEKDAY(B7816)=7,1,0))))))</f>
        <v>3</v>
      </c>
    </row>
    <row r="7817" spans="2:22">
      <c r="B7817" s="318">
        <f t="shared" si="487"/>
        <v>46438</v>
      </c>
      <c r="C7817" s="312">
        <v>13</v>
      </c>
      <c r="D7817" s="368">
        <f>IFERROR((INDEX(METADATA!$T$2:$T$20,MATCH(B7817,METADATA!$S$2:$S$20,0))),0)</f>
        <v>0</v>
      </c>
      <c r="E7817" s="312" t="str">
        <f t="shared" si="488"/>
        <v>LO</v>
      </c>
      <c r="F7817" s="369">
        <f>VLOOKUP(C7817,METADATA!$A$5:$H$29,IF(E7817="HI",2,IF(E7817="LO",6,10))+IF(D7817=1,2,IF(D7817=7,1,(IF(WEEKDAY(B7817)=1,2,IF(WEEKDAY(B7817)=7,1,0))))))</f>
        <v>3</v>
      </c>
      <c r="G7817" s="369">
        <f>VLOOKUP(C7817,METADATA!$J$5:$Q$29,IF(E7817="HI",2,IF(E7817="LO",6,10))+IF(D7817=1,2,IF(D7817=7,1,(IF(WEEKDAY(B7817)=1,2,IF(WEEKDAY(B7817)=7,1,0))))))</f>
        <v>3</v>
      </c>
      <c r="H7817" s="370">
        <v>2945.2524719238281</v>
      </c>
      <c r="I7817" s="370">
        <v>3401.6348724365234</v>
      </c>
      <c r="M7817" s="371">
        <f t="shared" si="489"/>
        <v>4499.5146325742362</v>
      </c>
      <c r="N7817" s="329">
        <f t="shared" si="490"/>
        <v>2518.0591308593748</v>
      </c>
      <c r="T7817" s="331">
        <v>0</v>
      </c>
      <c r="U7817" s="328">
        <f>VLOOKUP(C7817,METADATA!$J$5:$Q$29,IF(E7817="HI",2,IF(E7817="LO",6,10))+IF(T7817=1,2,IF(D7817=7,1,(IF(WEEKDAY(B7817)=1,2,IF(WEEKDAY(B7817)=7,1,0))))))</f>
        <v>3</v>
      </c>
      <c r="V7817" s="328">
        <f>VLOOKUP(C7817,METADATA!$A$5:$H$29,IF(E7817="HI",2,IF(E7817="LO",6,10))+IF(T7817=1,2,IF(D7817=7,1,(IF(WEEKDAY(B7817)=1,2,IF(WEEKDAY(B7817)=7,1,0))))))</f>
        <v>3</v>
      </c>
    </row>
    <row r="7818" spans="2:22">
      <c r="B7818" s="318">
        <f t="shared" si="487"/>
        <v>46438</v>
      </c>
      <c r="C7818" s="312">
        <v>14</v>
      </c>
      <c r="D7818" s="368">
        <f>IFERROR((INDEX(METADATA!$T$2:$T$20,MATCH(B7818,METADATA!$S$2:$S$20,0))),0)</f>
        <v>0</v>
      </c>
      <c r="E7818" s="312" t="str">
        <f t="shared" si="488"/>
        <v>LO</v>
      </c>
      <c r="F7818" s="369">
        <f>VLOOKUP(C7818,METADATA!$A$5:$H$29,IF(E7818="HI",2,IF(E7818="LO",6,10))+IF(D7818=1,2,IF(D7818=7,1,(IF(WEEKDAY(B7818)=1,2,IF(WEEKDAY(B7818)=7,1,0))))))</f>
        <v>3</v>
      </c>
      <c r="G7818" s="369">
        <f>VLOOKUP(C7818,METADATA!$J$5:$Q$29,IF(E7818="HI",2,IF(E7818="LO",6,10))+IF(D7818=1,2,IF(D7818=7,1,(IF(WEEKDAY(B7818)=1,2,IF(WEEKDAY(B7818)=7,1,0))))))</f>
        <v>3</v>
      </c>
      <c r="H7818" s="370">
        <v>2703.8199615478516</v>
      </c>
      <c r="I7818" s="370">
        <v>3271.6199188232422</v>
      </c>
      <c r="M7818" s="371">
        <f t="shared" si="489"/>
        <v>4244.3066898735797</v>
      </c>
      <c r="N7818" s="329">
        <f t="shared" si="490"/>
        <v>2460.4739303588867</v>
      </c>
      <c r="T7818" s="331">
        <v>0</v>
      </c>
      <c r="U7818" s="328">
        <f>VLOOKUP(C7818,METADATA!$J$5:$Q$29,IF(E7818="HI",2,IF(E7818="LO",6,10))+IF(T7818=1,2,IF(D7818=7,1,(IF(WEEKDAY(B7818)=1,2,IF(WEEKDAY(B7818)=7,1,0))))))</f>
        <v>3</v>
      </c>
      <c r="V7818" s="328">
        <f>VLOOKUP(C7818,METADATA!$A$5:$H$29,IF(E7818="HI",2,IF(E7818="LO",6,10))+IF(T7818=1,2,IF(D7818=7,1,(IF(WEEKDAY(B7818)=1,2,IF(WEEKDAY(B7818)=7,1,0))))))</f>
        <v>3</v>
      </c>
    </row>
    <row r="7819" spans="2:22">
      <c r="B7819" s="318">
        <f t="shared" si="487"/>
        <v>46438</v>
      </c>
      <c r="C7819" s="312">
        <v>15</v>
      </c>
      <c r="D7819" s="368">
        <f>IFERROR((INDEX(METADATA!$T$2:$T$20,MATCH(B7819,METADATA!$S$2:$S$20,0))),0)</f>
        <v>0</v>
      </c>
      <c r="E7819" s="312" t="str">
        <f t="shared" si="488"/>
        <v>LO</v>
      </c>
      <c r="F7819" s="369">
        <f>VLOOKUP(C7819,METADATA!$A$5:$H$29,IF(E7819="HI",2,IF(E7819="LO",6,10))+IF(D7819=1,2,IF(D7819=7,1,(IF(WEEKDAY(B7819)=1,2,IF(WEEKDAY(B7819)=7,1,0))))))</f>
        <v>3</v>
      </c>
      <c r="G7819" s="369">
        <f>VLOOKUP(C7819,METADATA!$J$5:$Q$29,IF(E7819="HI",2,IF(E7819="LO",6,10))+IF(D7819=1,2,IF(D7819=7,1,(IF(WEEKDAY(B7819)=1,2,IF(WEEKDAY(B7819)=7,1,0))))))</f>
        <v>3</v>
      </c>
      <c r="H7819" s="370">
        <v>2635.9650268554688</v>
      </c>
      <c r="I7819" s="370">
        <v>3281.6175689697266</v>
      </c>
      <c r="M7819" s="371">
        <f t="shared" si="489"/>
        <v>4209.1953496809729</v>
      </c>
      <c r="N7819" s="329">
        <f t="shared" si="490"/>
        <v>2490.8280609130861</v>
      </c>
      <c r="T7819" s="331">
        <v>0</v>
      </c>
      <c r="U7819" s="328">
        <f>VLOOKUP(C7819,METADATA!$J$5:$Q$29,IF(E7819="HI",2,IF(E7819="LO",6,10))+IF(T7819=1,2,IF(D7819=7,1,(IF(WEEKDAY(B7819)=1,2,IF(WEEKDAY(B7819)=7,1,0))))))</f>
        <v>3</v>
      </c>
      <c r="V7819" s="328">
        <f>VLOOKUP(C7819,METADATA!$A$5:$H$29,IF(E7819="HI",2,IF(E7819="LO",6,10))+IF(T7819=1,2,IF(D7819=7,1,(IF(WEEKDAY(B7819)=1,2,IF(WEEKDAY(B7819)=7,1,0))))))</f>
        <v>3</v>
      </c>
    </row>
    <row r="7820" spans="2:22">
      <c r="B7820" s="318">
        <f t="shared" si="487"/>
        <v>46438</v>
      </c>
      <c r="C7820" s="312">
        <v>16</v>
      </c>
      <c r="D7820" s="368">
        <f>IFERROR((INDEX(METADATA!$T$2:$T$20,MATCH(B7820,METADATA!$S$2:$S$20,0))),0)</f>
        <v>0</v>
      </c>
      <c r="E7820" s="312" t="str">
        <f t="shared" si="488"/>
        <v>LO</v>
      </c>
      <c r="F7820" s="369">
        <f>VLOOKUP(C7820,METADATA!$A$5:$H$29,IF(E7820="HI",2,IF(E7820="LO",6,10))+IF(D7820=1,2,IF(D7820=7,1,(IF(WEEKDAY(B7820)=1,2,IF(WEEKDAY(B7820)=7,1,0))))))</f>
        <v>3</v>
      </c>
      <c r="G7820" s="369">
        <f>VLOOKUP(C7820,METADATA!$J$5:$Q$29,IF(E7820="HI",2,IF(E7820="LO",6,10))+IF(D7820=1,2,IF(D7820=7,1,(IF(WEEKDAY(B7820)=1,2,IF(WEEKDAY(B7820)=7,1,0))))))</f>
        <v>3</v>
      </c>
      <c r="H7820" s="370">
        <v>2261.0175476074219</v>
      </c>
      <c r="I7820" s="370">
        <v>2802.9425048828125</v>
      </c>
      <c r="M7820" s="371">
        <f t="shared" si="489"/>
        <v>3601.2063306991195</v>
      </c>
      <c r="N7820" s="329">
        <f t="shared" si="490"/>
        <v>2124.6372406005858</v>
      </c>
      <c r="T7820" s="331">
        <v>0</v>
      </c>
      <c r="U7820" s="328">
        <f>VLOOKUP(C7820,METADATA!$J$5:$Q$29,IF(E7820="HI",2,IF(E7820="LO",6,10))+IF(T7820=1,2,IF(D7820=7,1,(IF(WEEKDAY(B7820)=1,2,IF(WEEKDAY(B7820)=7,1,0))))))</f>
        <v>3</v>
      </c>
      <c r="V7820" s="328">
        <f>VLOOKUP(C7820,METADATA!$A$5:$H$29,IF(E7820="HI",2,IF(E7820="LO",6,10))+IF(T7820=1,2,IF(D7820=7,1,(IF(WEEKDAY(B7820)=1,2,IF(WEEKDAY(B7820)=7,1,0))))))</f>
        <v>3</v>
      </c>
    </row>
    <row r="7821" spans="2:22">
      <c r="B7821" s="318">
        <f t="shared" si="487"/>
        <v>46438</v>
      </c>
      <c r="C7821" s="312">
        <v>17</v>
      </c>
      <c r="D7821" s="368">
        <f>IFERROR((INDEX(METADATA!$T$2:$T$20,MATCH(B7821,METADATA!$S$2:$S$20,0))),0)</f>
        <v>0</v>
      </c>
      <c r="E7821" s="312" t="str">
        <f t="shared" si="488"/>
        <v>LO</v>
      </c>
      <c r="F7821" s="369">
        <f>VLOOKUP(C7821,METADATA!$A$5:$H$29,IF(E7821="HI",2,IF(E7821="LO",6,10))+IF(D7821=1,2,IF(D7821=7,1,(IF(WEEKDAY(B7821)=1,2,IF(WEEKDAY(B7821)=7,1,0))))))</f>
        <v>3</v>
      </c>
      <c r="G7821" s="369">
        <f>VLOOKUP(C7821,METADATA!$J$5:$Q$29,IF(E7821="HI",2,IF(E7821="LO",6,10))+IF(D7821=1,2,IF(D7821=7,1,(IF(WEEKDAY(B7821)=1,2,IF(WEEKDAY(B7821)=7,1,0))))))</f>
        <v>3</v>
      </c>
      <c r="H7821" s="370">
        <v>3058.2475280761719</v>
      </c>
      <c r="I7821" s="370">
        <v>3553.3998107910156</v>
      </c>
      <c r="M7821" s="371">
        <f t="shared" si="489"/>
        <v>4688.2329462510324</v>
      </c>
      <c r="N7821" s="329">
        <f t="shared" si="490"/>
        <v>2635.9255523681641</v>
      </c>
      <c r="T7821" s="331">
        <v>0</v>
      </c>
      <c r="U7821" s="328">
        <f>VLOOKUP(C7821,METADATA!$J$5:$Q$29,IF(E7821="HI",2,IF(E7821="LO",6,10))+IF(T7821=1,2,IF(D7821=7,1,(IF(WEEKDAY(B7821)=1,2,IF(WEEKDAY(B7821)=7,1,0))))))</f>
        <v>3</v>
      </c>
      <c r="V7821" s="328">
        <f>VLOOKUP(C7821,METADATA!$A$5:$H$29,IF(E7821="HI",2,IF(E7821="LO",6,10))+IF(T7821=1,2,IF(D7821=7,1,(IF(WEEKDAY(B7821)=1,2,IF(WEEKDAY(B7821)=7,1,0))))))</f>
        <v>3</v>
      </c>
    </row>
    <row r="7822" spans="2:22">
      <c r="B7822" s="318">
        <f t="shared" si="487"/>
        <v>46438</v>
      </c>
      <c r="C7822" s="312">
        <v>18</v>
      </c>
      <c r="D7822" s="368">
        <f>IFERROR((INDEX(METADATA!$T$2:$T$20,MATCH(B7822,METADATA!$S$2:$S$20,0))),0)</f>
        <v>0</v>
      </c>
      <c r="E7822" s="312" t="str">
        <f t="shared" si="488"/>
        <v>LO</v>
      </c>
      <c r="F7822" s="369">
        <f>VLOOKUP(C7822,METADATA!$A$5:$H$29,IF(E7822="HI",2,IF(E7822="LO",6,10))+IF(D7822=1,2,IF(D7822=7,1,(IF(WEEKDAY(B7822)=1,2,IF(WEEKDAY(B7822)=7,1,0))))))</f>
        <v>2</v>
      </c>
      <c r="G7822" s="369">
        <f>VLOOKUP(C7822,METADATA!$J$5:$Q$29,IF(E7822="HI",2,IF(E7822="LO",6,10))+IF(D7822=1,2,IF(D7822=7,1,(IF(WEEKDAY(B7822)=1,2,IF(WEEKDAY(B7822)=7,1,0))))))</f>
        <v>2</v>
      </c>
      <c r="H7822" s="370">
        <v>4292.9774780273438</v>
      </c>
      <c r="I7822" s="370">
        <v>4593.7750549316406</v>
      </c>
      <c r="M7822" s="371">
        <f t="shared" si="489"/>
        <v>6287.4816009402539</v>
      </c>
      <c r="N7822" s="329">
        <f t="shared" si="490"/>
        <v>3305.8818115234376</v>
      </c>
      <c r="T7822" s="331">
        <v>0</v>
      </c>
      <c r="U7822" s="328">
        <f>VLOOKUP(C7822,METADATA!$J$5:$Q$29,IF(E7822="HI",2,IF(E7822="LO",6,10))+IF(T7822=1,2,IF(D7822=7,1,(IF(WEEKDAY(B7822)=1,2,IF(WEEKDAY(B7822)=7,1,0))))))</f>
        <v>2</v>
      </c>
      <c r="V7822" s="328">
        <f>VLOOKUP(C7822,METADATA!$A$5:$H$29,IF(E7822="HI",2,IF(E7822="LO",6,10))+IF(T7822=1,2,IF(D7822=7,1,(IF(WEEKDAY(B7822)=1,2,IF(WEEKDAY(B7822)=7,1,0))))))</f>
        <v>2</v>
      </c>
    </row>
    <row r="7823" spans="2:22">
      <c r="B7823" s="318">
        <f t="shared" si="487"/>
        <v>46438</v>
      </c>
      <c r="C7823" s="312">
        <v>19</v>
      </c>
      <c r="D7823" s="368">
        <f>IFERROR((INDEX(METADATA!$T$2:$T$20,MATCH(B7823,METADATA!$S$2:$S$20,0))),0)</f>
        <v>0</v>
      </c>
      <c r="E7823" s="312" t="str">
        <f t="shared" si="488"/>
        <v>LO</v>
      </c>
      <c r="F7823" s="369">
        <f>VLOOKUP(C7823,METADATA!$A$5:$H$29,IF(E7823="HI",2,IF(E7823="LO",6,10))+IF(D7823=1,2,IF(D7823=7,1,(IF(WEEKDAY(B7823)=1,2,IF(WEEKDAY(B7823)=7,1,0))))))</f>
        <v>2</v>
      </c>
      <c r="G7823" s="369">
        <f>VLOOKUP(C7823,METADATA!$J$5:$Q$29,IF(E7823="HI",2,IF(E7823="LO",6,10))+IF(D7823=1,2,IF(D7823=7,1,(IF(WEEKDAY(B7823)=1,2,IF(WEEKDAY(B7823)=7,1,0))))))</f>
        <v>2</v>
      </c>
      <c r="H7823" s="370">
        <v>5810.7048950195313</v>
      </c>
      <c r="I7823" s="370">
        <v>5463.8274536132813</v>
      </c>
      <c r="M7823" s="371">
        <f t="shared" si="489"/>
        <v>7976.0705751555461</v>
      </c>
      <c r="N7823" s="329">
        <f t="shared" si="490"/>
        <v>3720.6159851074217</v>
      </c>
      <c r="T7823" s="331">
        <v>0</v>
      </c>
      <c r="U7823" s="328">
        <f>VLOOKUP(C7823,METADATA!$J$5:$Q$29,IF(E7823="HI",2,IF(E7823="LO",6,10))+IF(T7823=1,2,IF(D7823=7,1,(IF(WEEKDAY(B7823)=1,2,IF(WEEKDAY(B7823)=7,1,0))))))</f>
        <v>2</v>
      </c>
      <c r="V7823" s="328">
        <f>VLOOKUP(C7823,METADATA!$A$5:$H$29,IF(E7823="HI",2,IF(E7823="LO",6,10))+IF(T7823=1,2,IF(D7823=7,1,(IF(WEEKDAY(B7823)=1,2,IF(WEEKDAY(B7823)=7,1,0))))))</f>
        <v>2</v>
      </c>
    </row>
    <row r="7824" spans="2:22">
      <c r="B7824" s="318">
        <f t="shared" si="487"/>
        <v>46438</v>
      </c>
      <c r="C7824" s="312">
        <v>20</v>
      </c>
      <c r="D7824" s="368">
        <f>IFERROR((INDEX(METADATA!$T$2:$T$20,MATCH(B7824,METADATA!$S$2:$S$20,0))),0)</f>
        <v>0</v>
      </c>
      <c r="E7824" s="312" t="str">
        <f t="shared" si="488"/>
        <v>LO</v>
      </c>
      <c r="F7824" s="369">
        <f>VLOOKUP(C7824,METADATA!$A$5:$H$29,IF(E7824="HI",2,IF(E7824="LO",6,10))+IF(D7824=1,2,IF(D7824=7,1,(IF(WEEKDAY(B7824)=1,2,IF(WEEKDAY(B7824)=7,1,0))))))</f>
        <v>3</v>
      </c>
      <c r="G7824" s="369">
        <f>VLOOKUP(C7824,METADATA!$J$5:$Q$29,IF(E7824="HI",2,IF(E7824="LO",6,10))+IF(D7824=1,2,IF(D7824=7,1,(IF(WEEKDAY(B7824)=1,2,IF(WEEKDAY(B7824)=7,1,0))))))</f>
        <v>3</v>
      </c>
      <c r="H7824" s="370">
        <v>4699.0201110839844</v>
      </c>
      <c r="I7824" s="370">
        <v>4598.0000305175781</v>
      </c>
      <c r="M7824" s="371">
        <f t="shared" si="489"/>
        <v>6574.3740603202214</v>
      </c>
      <c r="N7824" s="329">
        <f t="shared" si="490"/>
        <v>3188.2939971923829</v>
      </c>
      <c r="T7824" s="331">
        <v>0</v>
      </c>
      <c r="U7824" s="328">
        <f>VLOOKUP(C7824,METADATA!$J$5:$Q$29,IF(E7824="HI",2,IF(E7824="LO",6,10))+IF(T7824=1,2,IF(D7824=7,1,(IF(WEEKDAY(B7824)=1,2,IF(WEEKDAY(B7824)=7,1,0))))))</f>
        <v>3</v>
      </c>
      <c r="V7824" s="328">
        <f>VLOOKUP(C7824,METADATA!$A$5:$H$29,IF(E7824="HI",2,IF(E7824="LO",6,10))+IF(T7824=1,2,IF(D7824=7,1,(IF(WEEKDAY(B7824)=1,2,IF(WEEKDAY(B7824)=7,1,0))))))</f>
        <v>3</v>
      </c>
    </row>
    <row r="7825" spans="2:22">
      <c r="B7825" s="318">
        <f t="shared" si="487"/>
        <v>46438</v>
      </c>
      <c r="C7825" s="312">
        <v>21</v>
      </c>
      <c r="D7825" s="368">
        <f>IFERROR((INDEX(METADATA!$T$2:$T$20,MATCH(B7825,METADATA!$S$2:$S$20,0))),0)</f>
        <v>0</v>
      </c>
      <c r="E7825" s="312" t="str">
        <f t="shared" si="488"/>
        <v>LO</v>
      </c>
      <c r="F7825" s="369">
        <f>VLOOKUP(C7825,METADATA!$A$5:$H$29,IF(E7825="HI",2,IF(E7825="LO",6,10))+IF(D7825=1,2,IF(D7825=7,1,(IF(WEEKDAY(B7825)=1,2,IF(WEEKDAY(B7825)=7,1,0))))))</f>
        <v>3</v>
      </c>
      <c r="G7825" s="369">
        <f>VLOOKUP(C7825,METADATA!$J$5:$Q$29,IF(E7825="HI",2,IF(E7825="LO",6,10))+IF(D7825=1,2,IF(D7825=7,1,(IF(WEEKDAY(B7825)=1,2,IF(WEEKDAY(B7825)=7,1,0))))))</f>
        <v>3</v>
      </c>
      <c r="H7825" s="370">
        <v>3325.5075378417969</v>
      </c>
      <c r="I7825" s="370">
        <v>3600.7723693847656</v>
      </c>
      <c r="M7825" s="371">
        <f t="shared" si="489"/>
        <v>4901.4856972521493</v>
      </c>
      <c r="N7825" s="329">
        <f t="shared" si="490"/>
        <v>2603.1201080322267</v>
      </c>
      <c r="T7825" s="331">
        <v>0</v>
      </c>
      <c r="U7825" s="328">
        <f>VLOOKUP(C7825,METADATA!$J$5:$Q$29,IF(E7825="HI",2,IF(E7825="LO",6,10))+IF(T7825=1,2,IF(D7825=7,1,(IF(WEEKDAY(B7825)=1,2,IF(WEEKDAY(B7825)=7,1,0))))))</f>
        <v>3</v>
      </c>
      <c r="V7825" s="328">
        <f>VLOOKUP(C7825,METADATA!$A$5:$H$29,IF(E7825="HI",2,IF(E7825="LO",6,10))+IF(T7825=1,2,IF(D7825=7,1,(IF(WEEKDAY(B7825)=1,2,IF(WEEKDAY(B7825)=7,1,0))))))</f>
        <v>3</v>
      </c>
    </row>
    <row r="7826" spans="2:22">
      <c r="B7826" s="318">
        <f t="shared" si="487"/>
        <v>46438</v>
      </c>
      <c r="C7826" s="312">
        <v>22</v>
      </c>
      <c r="D7826" s="368">
        <f>IFERROR((INDEX(METADATA!$T$2:$T$20,MATCH(B7826,METADATA!$S$2:$S$20,0))),0)</f>
        <v>0</v>
      </c>
      <c r="E7826" s="312" t="str">
        <f t="shared" si="488"/>
        <v>LO</v>
      </c>
      <c r="F7826" s="369">
        <f>VLOOKUP(C7826,METADATA!$A$5:$H$29,IF(E7826="HI",2,IF(E7826="LO",6,10))+IF(D7826=1,2,IF(D7826=7,1,(IF(WEEKDAY(B7826)=1,2,IF(WEEKDAY(B7826)=7,1,0))))))</f>
        <v>3</v>
      </c>
      <c r="G7826" s="369">
        <f>VLOOKUP(C7826,METADATA!$J$5:$Q$29,IF(E7826="HI",2,IF(E7826="LO",6,10))+IF(D7826=1,2,IF(D7826=7,1,(IF(WEEKDAY(B7826)=1,2,IF(WEEKDAY(B7826)=7,1,0))))))</f>
        <v>3</v>
      </c>
      <c r="H7826" s="370">
        <v>3453.4549560546875</v>
      </c>
      <c r="I7826" s="370">
        <v>3692.5849609375</v>
      </c>
      <c r="M7826" s="371">
        <f t="shared" si="489"/>
        <v>5055.8416536953055</v>
      </c>
      <c r="N7826" s="329">
        <f t="shared" si="490"/>
        <v>2656.5484741210939</v>
      </c>
      <c r="T7826" s="331">
        <v>0</v>
      </c>
      <c r="U7826" s="328">
        <f>VLOOKUP(C7826,METADATA!$J$5:$Q$29,IF(E7826="HI",2,IF(E7826="LO",6,10))+IF(T7826=1,2,IF(D7826=7,1,(IF(WEEKDAY(B7826)=1,2,IF(WEEKDAY(B7826)=7,1,0))))))</f>
        <v>3</v>
      </c>
      <c r="V7826" s="328">
        <f>VLOOKUP(C7826,METADATA!$A$5:$H$29,IF(E7826="HI",2,IF(E7826="LO",6,10))+IF(T7826=1,2,IF(D7826=7,1,(IF(WEEKDAY(B7826)=1,2,IF(WEEKDAY(B7826)=7,1,0))))))</f>
        <v>3</v>
      </c>
    </row>
    <row r="7827" spans="2:22">
      <c r="B7827" s="318">
        <f t="shared" si="487"/>
        <v>46438</v>
      </c>
      <c r="C7827" s="312">
        <v>23</v>
      </c>
      <c r="D7827" s="368">
        <f>IFERROR((INDEX(METADATA!$T$2:$T$20,MATCH(B7827,METADATA!$S$2:$S$20,0))),0)</f>
        <v>0</v>
      </c>
      <c r="E7827" s="312" t="str">
        <f t="shared" si="488"/>
        <v>LO</v>
      </c>
      <c r="F7827" s="369">
        <f>VLOOKUP(C7827,METADATA!$A$5:$H$29,IF(E7827="HI",2,IF(E7827="LO",6,10))+IF(D7827=1,2,IF(D7827=7,1,(IF(WEEKDAY(B7827)=1,2,IF(WEEKDAY(B7827)=7,1,0))))))</f>
        <v>3</v>
      </c>
      <c r="G7827" s="369">
        <f>VLOOKUP(C7827,METADATA!$J$5:$Q$29,IF(E7827="HI",2,IF(E7827="LO",6,10))+IF(D7827=1,2,IF(D7827=7,1,(IF(WEEKDAY(B7827)=1,2,IF(WEEKDAY(B7827)=7,1,0))))))</f>
        <v>3</v>
      </c>
      <c r="H7827" s="370">
        <v>9638.9749145507813</v>
      </c>
      <c r="I7827" s="370">
        <v>7726.7749328613281</v>
      </c>
      <c r="M7827" s="371">
        <f t="shared" si="489"/>
        <v>12353.658901978532</v>
      </c>
      <c r="N7827" s="329">
        <f t="shared" si="490"/>
        <v>4835.0824584960938</v>
      </c>
      <c r="T7827" s="331">
        <v>0</v>
      </c>
      <c r="U7827" s="328">
        <f>VLOOKUP(C7827,METADATA!$J$5:$Q$29,IF(E7827="HI",2,IF(E7827="LO",6,10))+IF(T7827=1,2,IF(D7827=7,1,(IF(WEEKDAY(B7827)=1,2,IF(WEEKDAY(B7827)=7,1,0))))))</f>
        <v>3</v>
      </c>
      <c r="V7827" s="328">
        <f>VLOOKUP(C7827,METADATA!$A$5:$H$29,IF(E7827="HI",2,IF(E7827="LO",6,10))+IF(T7827=1,2,IF(D7827=7,1,(IF(WEEKDAY(B7827)=1,2,IF(WEEKDAY(B7827)=7,1,0))))))</f>
        <v>3</v>
      </c>
    </row>
    <row r="7828" spans="2:22">
      <c r="B7828" s="318">
        <f t="shared" si="487"/>
        <v>46439</v>
      </c>
      <c r="C7828" s="312">
        <v>0</v>
      </c>
      <c r="D7828" s="368">
        <f>IFERROR((INDEX(METADATA!$T$2:$T$20,MATCH(B7828,METADATA!$S$2:$S$20,0))),0)</f>
        <v>0</v>
      </c>
      <c r="E7828" s="312" t="str">
        <f t="shared" si="488"/>
        <v>LO</v>
      </c>
      <c r="F7828" s="369">
        <f>VLOOKUP(C7828,METADATA!$A$5:$H$29,IF(E7828="HI",2,IF(E7828="LO",6,10))+IF(D7828=1,2,IF(D7828=7,1,(IF(WEEKDAY(B7828)=1,2,IF(WEEKDAY(B7828)=7,1,0))))))</f>
        <v>3</v>
      </c>
      <c r="G7828" s="369">
        <f>VLOOKUP(C7828,METADATA!$J$5:$Q$29,IF(E7828="HI",2,IF(E7828="LO",6,10))+IF(D7828=1,2,IF(D7828=7,1,(IF(WEEKDAY(B7828)=1,2,IF(WEEKDAY(B7828)=7,1,0))))))</f>
        <v>3</v>
      </c>
      <c r="H7828" s="370">
        <v>12391.94970703125</v>
      </c>
      <c r="I7828" s="370">
        <v>9227.1749267578125</v>
      </c>
      <c r="M7828" s="371">
        <f t="shared" si="489"/>
        <v>15449.957109020721</v>
      </c>
      <c r="N7828" s="329">
        <f t="shared" si="490"/>
        <v>5509.5900146484382</v>
      </c>
      <c r="T7828" s="331">
        <v>0</v>
      </c>
      <c r="U7828" s="328">
        <f>VLOOKUP(C7828,METADATA!$J$5:$Q$29,IF(E7828="HI",2,IF(E7828="LO",6,10))+IF(T7828=1,2,IF(D7828=7,1,(IF(WEEKDAY(B7828)=1,2,IF(WEEKDAY(B7828)=7,1,0))))))</f>
        <v>3</v>
      </c>
      <c r="V7828" s="328">
        <f>VLOOKUP(C7828,METADATA!$A$5:$H$29,IF(E7828="HI",2,IF(E7828="LO",6,10))+IF(T7828=1,2,IF(D7828=7,1,(IF(WEEKDAY(B7828)=1,2,IF(WEEKDAY(B7828)=7,1,0))))))</f>
        <v>3</v>
      </c>
    </row>
    <row r="7829" spans="2:22">
      <c r="B7829" s="318">
        <f t="shared" si="487"/>
        <v>46439</v>
      </c>
      <c r="C7829" s="312">
        <v>1</v>
      </c>
      <c r="D7829" s="368">
        <f>IFERROR((INDEX(METADATA!$T$2:$T$20,MATCH(B7829,METADATA!$S$2:$S$20,0))),0)</f>
        <v>0</v>
      </c>
      <c r="E7829" s="312" t="str">
        <f t="shared" si="488"/>
        <v>LO</v>
      </c>
      <c r="F7829" s="369">
        <f>VLOOKUP(C7829,METADATA!$A$5:$H$29,IF(E7829="HI",2,IF(E7829="LO",6,10))+IF(D7829=1,2,IF(D7829=7,1,(IF(WEEKDAY(B7829)=1,2,IF(WEEKDAY(B7829)=7,1,0))))))</f>
        <v>3</v>
      </c>
      <c r="G7829" s="369">
        <f>VLOOKUP(C7829,METADATA!$J$5:$Q$29,IF(E7829="HI",2,IF(E7829="LO",6,10))+IF(D7829=1,2,IF(D7829=7,1,(IF(WEEKDAY(B7829)=1,2,IF(WEEKDAY(B7829)=7,1,0))))))</f>
        <v>3</v>
      </c>
      <c r="H7829" s="370">
        <v>12548.115173339844</v>
      </c>
      <c r="I7829" s="370">
        <v>9271.6923828125</v>
      </c>
      <c r="M7829" s="371">
        <f t="shared" si="489"/>
        <v>15601.90610293835</v>
      </c>
      <c r="N7829" s="329">
        <f t="shared" si="490"/>
        <v>5507.2578308105476</v>
      </c>
      <c r="T7829" s="331">
        <v>0</v>
      </c>
      <c r="U7829" s="328">
        <f>VLOOKUP(C7829,METADATA!$J$5:$Q$29,IF(E7829="HI",2,IF(E7829="LO",6,10))+IF(T7829=1,2,IF(D7829=7,1,(IF(WEEKDAY(B7829)=1,2,IF(WEEKDAY(B7829)=7,1,0))))))</f>
        <v>3</v>
      </c>
      <c r="V7829" s="328">
        <f>VLOOKUP(C7829,METADATA!$A$5:$H$29,IF(E7829="HI",2,IF(E7829="LO",6,10))+IF(T7829=1,2,IF(D7829=7,1,(IF(WEEKDAY(B7829)=1,2,IF(WEEKDAY(B7829)=7,1,0))))))</f>
        <v>3</v>
      </c>
    </row>
    <row r="7830" spans="2:22">
      <c r="B7830" s="318">
        <f t="shared" si="487"/>
        <v>46439</v>
      </c>
      <c r="C7830" s="312">
        <v>2</v>
      </c>
      <c r="D7830" s="368">
        <f>IFERROR((INDEX(METADATA!$T$2:$T$20,MATCH(B7830,METADATA!$S$2:$S$20,0))),0)</f>
        <v>0</v>
      </c>
      <c r="E7830" s="312" t="str">
        <f t="shared" si="488"/>
        <v>LO</v>
      </c>
      <c r="F7830" s="369">
        <f>VLOOKUP(C7830,METADATA!$A$5:$H$29,IF(E7830="HI",2,IF(E7830="LO",6,10))+IF(D7830=1,2,IF(D7830=7,1,(IF(WEEKDAY(B7830)=1,2,IF(WEEKDAY(B7830)=7,1,0))))))</f>
        <v>3</v>
      </c>
      <c r="G7830" s="369">
        <f>VLOOKUP(C7830,METADATA!$J$5:$Q$29,IF(E7830="HI",2,IF(E7830="LO",6,10))+IF(D7830=1,2,IF(D7830=7,1,(IF(WEEKDAY(B7830)=1,2,IF(WEEKDAY(B7830)=7,1,0))))))</f>
        <v>3</v>
      </c>
      <c r="H7830" s="370">
        <v>12106.275024414063</v>
      </c>
      <c r="I7830" s="370">
        <v>9224.2998657226563</v>
      </c>
      <c r="M7830" s="371">
        <f t="shared" si="489"/>
        <v>15220.039519643919</v>
      </c>
      <c r="N7830" s="329">
        <f t="shared" si="490"/>
        <v>5592.4173583984375</v>
      </c>
      <c r="T7830" s="331">
        <v>0</v>
      </c>
      <c r="U7830" s="328">
        <f>VLOOKUP(C7830,METADATA!$J$5:$Q$29,IF(E7830="HI",2,IF(E7830="LO",6,10))+IF(T7830=1,2,IF(D7830=7,1,(IF(WEEKDAY(B7830)=1,2,IF(WEEKDAY(B7830)=7,1,0))))))</f>
        <v>3</v>
      </c>
      <c r="V7830" s="328">
        <f>VLOOKUP(C7830,METADATA!$A$5:$H$29,IF(E7830="HI",2,IF(E7830="LO",6,10))+IF(T7830=1,2,IF(D7830=7,1,(IF(WEEKDAY(B7830)=1,2,IF(WEEKDAY(B7830)=7,1,0))))))</f>
        <v>3</v>
      </c>
    </row>
    <row r="7831" spans="2:22">
      <c r="B7831" s="318">
        <f t="shared" si="487"/>
        <v>46439</v>
      </c>
      <c r="C7831" s="312">
        <v>3</v>
      </c>
      <c r="D7831" s="368">
        <f>IFERROR((INDEX(METADATA!$T$2:$T$20,MATCH(B7831,METADATA!$S$2:$S$20,0))),0)</f>
        <v>0</v>
      </c>
      <c r="E7831" s="312" t="str">
        <f t="shared" si="488"/>
        <v>LO</v>
      </c>
      <c r="F7831" s="369">
        <f>VLOOKUP(C7831,METADATA!$A$5:$H$29,IF(E7831="HI",2,IF(E7831="LO",6,10))+IF(D7831=1,2,IF(D7831=7,1,(IF(WEEKDAY(B7831)=1,2,IF(WEEKDAY(B7831)=7,1,0))))))</f>
        <v>3</v>
      </c>
      <c r="G7831" s="369">
        <f>VLOOKUP(C7831,METADATA!$J$5:$Q$29,IF(E7831="HI",2,IF(E7831="LO",6,10))+IF(D7831=1,2,IF(D7831=7,1,(IF(WEEKDAY(B7831)=1,2,IF(WEEKDAY(B7831)=7,1,0))))))</f>
        <v>3</v>
      </c>
      <c r="H7831" s="370">
        <v>7179.7498779296875</v>
      </c>
      <c r="I7831" s="370">
        <v>6466.4749145507813</v>
      </c>
      <c r="M7831" s="371">
        <f t="shared" si="489"/>
        <v>9662.5103430809268</v>
      </c>
      <c r="N7831" s="329">
        <f t="shared" si="490"/>
        <v>4312.5499511718754</v>
      </c>
      <c r="T7831" s="331">
        <v>0</v>
      </c>
      <c r="U7831" s="328">
        <f>VLOOKUP(C7831,METADATA!$J$5:$Q$29,IF(E7831="HI",2,IF(E7831="LO",6,10))+IF(T7831=1,2,IF(D7831=7,1,(IF(WEEKDAY(B7831)=1,2,IF(WEEKDAY(B7831)=7,1,0))))))</f>
        <v>3</v>
      </c>
      <c r="V7831" s="328">
        <f>VLOOKUP(C7831,METADATA!$A$5:$H$29,IF(E7831="HI",2,IF(E7831="LO",6,10))+IF(T7831=1,2,IF(D7831=7,1,(IF(WEEKDAY(B7831)=1,2,IF(WEEKDAY(B7831)=7,1,0))))))</f>
        <v>3</v>
      </c>
    </row>
    <row r="7832" spans="2:22">
      <c r="B7832" s="318">
        <f t="shared" si="487"/>
        <v>46439</v>
      </c>
      <c r="C7832" s="312">
        <v>4</v>
      </c>
      <c r="D7832" s="368">
        <f>IFERROR((INDEX(METADATA!$T$2:$T$20,MATCH(B7832,METADATA!$S$2:$S$20,0))),0)</f>
        <v>0</v>
      </c>
      <c r="E7832" s="312" t="str">
        <f t="shared" si="488"/>
        <v>LO</v>
      </c>
      <c r="F7832" s="369">
        <f>VLOOKUP(C7832,METADATA!$A$5:$H$29,IF(E7832="HI",2,IF(E7832="LO",6,10))+IF(D7832=1,2,IF(D7832=7,1,(IF(WEEKDAY(B7832)=1,2,IF(WEEKDAY(B7832)=7,1,0))))))</f>
        <v>3</v>
      </c>
      <c r="G7832" s="369">
        <f>VLOOKUP(C7832,METADATA!$J$5:$Q$29,IF(E7832="HI",2,IF(E7832="LO",6,10))+IF(D7832=1,2,IF(D7832=7,1,(IF(WEEKDAY(B7832)=1,2,IF(WEEKDAY(B7832)=7,1,0))))))</f>
        <v>3</v>
      </c>
      <c r="H7832" s="370">
        <v>4995.6474609375</v>
      </c>
      <c r="I7832" s="370">
        <v>5128.8650207519531</v>
      </c>
      <c r="M7832" s="371">
        <f t="shared" si="489"/>
        <v>7159.7311370654288</v>
      </c>
      <c r="N7832" s="329">
        <f t="shared" si="490"/>
        <v>3630.1707824707032</v>
      </c>
      <c r="T7832" s="331">
        <v>0</v>
      </c>
      <c r="U7832" s="328">
        <f>VLOOKUP(C7832,METADATA!$J$5:$Q$29,IF(E7832="HI",2,IF(E7832="LO",6,10))+IF(T7832=1,2,IF(D7832=7,1,(IF(WEEKDAY(B7832)=1,2,IF(WEEKDAY(B7832)=7,1,0))))))</f>
        <v>3</v>
      </c>
      <c r="V7832" s="328">
        <f>VLOOKUP(C7832,METADATA!$A$5:$H$29,IF(E7832="HI",2,IF(E7832="LO",6,10))+IF(T7832=1,2,IF(D7832=7,1,(IF(WEEKDAY(B7832)=1,2,IF(WEEKDAY(B7832)=7,1,0))))))</f>
        <v>3</v>
      </c>
    </row>
    <row r="7833" spans="2:22">
      <c r="B7833" s="318">
        <f t="shared" si="487"/>
        <v>46439</v>
      </c>
      <c r="C7833" s="312">
        <v>5</v>
      </c>
      <c r="D7833" s="368">
        <f>IFERROR((INDEX(METADATA!$T$2:$T$20,MATCH(B7833,METADATA!$S$2:$S$20,0))),0)</f>
        <v>0</v>
      </c>
      <c r="E7833" s="312" t="str">
        <f t="shared" si="488"/>
        <v>LO</v>
      </c>
      <c r="F7833" s="369">
        <f>VLOOKUP(C7833,METADATA!$A$5:$H$29,IF(E7833="HI",2,IF(E7833="LO",6,10))+IF(D7833=1,2,IF(D7833=7,1,(IF(WEEKDAY(B7833)=1,2,IF(WEEKDAY(B7833)=7,1,0))))))</f>
        <v>3</v>
      </c>
      <c r="G7833" s="369">
        <f>VLOOKUP(C7833,METADATA!$J$5:$Q$29,IF(E7833="HI",2,IF(E7833="LO",6,10))+IF(D7833=1,2,IF(D7833=7,1,(IF(WEEKDAY(B7833)=1,2,IF(WEEKDAY(B7833)=7,1,0))))))</f>
        <v>3</v>
      </c>
      <c r="H7833" s="370">
        <v>4786.3350219726563</v>
      </c>
      <c r="I7833" s="370">
        <v>4921.1299743652344</v>
      </c>
      <c r="M7833" s="371">
        <f t="shared" si="489"/>
        <v>6864.8760489289216</v>
      </c>
      <c r="N7833" s="329">
        <f t="shared" si="490"/>
        <v>3485.2294677734376</v>
      </c>
      <c r="T7833" s="331">
        <v>0</v>
      </c>
      <c r="U7833" s="328">
        <f>VLOOKUP(C7833,METADATA!$J$5:$Q$29,IF(E7833="HI",2,IF(E7833="LO",6,10))+IF(T7833=1,2,IF(D7833=7,1,(IF(WEEKDAY(B7833)=1,2,IF(WEEKDAY(B7833)=7,1,0))))))</f>
        <v>3</v>
      </c>
      <c r="V7833" s="328">
        <f>VLOOKUP(C7833,METADATA!$A$5:$H$29,IF(E7833="HI",2,IF(E7833="LO",6,10))+IF(T7833=1,2,IF(D7833=7,1,(IF(WEEKDAY(B7833)=1,2,IF(WEEKDAY(B7833)=7,1,0))))))</f>
        <v>3</v>
      </c>
    </row>
    <row r="7834" spans="2:22">
      <c r="B7834" s="318">
        <f t="shared" si="487"/>
        <v>46439</v>
      </c>
      <c r="C7834" s="312">
        <v>6</v>
      </c>
      <c r="D7834" s="368">
        <f>IFERROR((INDEX(METADATA!$T$2:$T$20,MATCH(B7834,METADATA!$S$2:$S$20,0))),0)</f>
        <v>0</v>
      </c>
      <c r="E7834" s="312" t="str">
        <f t="shared" si="488"/>
        <v>LO</v>
      </c>
      <c r="F7834" s="369">
        <f>VLOOKUP(C7834,METADATA!$A$5:$H$29,IF(E7834="HI",2,IF(E7834="LO",6,10))+IF(D7834=1,2,IF(D7834=7,1,(IF(WEEKDAY(B7834)=1,2,IF(WEEKDAY(B7834)=7,1,0))))))</f>
        <v>3</v>
      </c>
      <c r="G7834" s="369">
        <f>VLOOKUP(C7834,METADATA!$J$5:$Q$29,IF(E7834="HI",2,IF(E7834="LO",6,10))+IF(D7834=1,2,IF(D7834=7,1,(IF(WEEKDAY(B7834)=1,2,IF(WEEKDAY(B7834)=7,1,0))))))</f>
        <v>3</v>
      </c>
      <c r="H7834" s="370">
        <v>7655.3574523925781</v>
      </c>
      <c r="I7834" s="370">
        <v>6752.8876342773438</v>
      </c>
      <c r="M7834" s="371">
        <f t="shared" si="489"/>
        <v>10208.133478999893</v>
      </c>
      <c r="N7834" s="329">
        <f t="shared" si="490"/>
        <v>4456.280398559571</v>
      </c>
      <c r="T7834" s="331">
        <v>0</v>
      </c>
      <c r="U7834" s="328">
        <f>VLOOKUP(C7834,METADATA!$J$5:$Q$29,IF(E7834="HI",2,IF(E7834="LO",6,10))+IF(T7834=1,2,IF(D7834=7,1,(IF(WEEKDAY(B7834)=1,2,IF(WEEKDAY(B7834)=7,1,0))))))</f>
        <v>3</v>
      </c>
      <c r="V7834" s="328">
        <f>VLOOKUP(C7834,METADATA!$A$5:$H$29,IF(E7834="HI",2,IF(E7834="LO",6,10))+IF(T7834=1,2,IF(D7834=7,1,(IF(WEEKDAY(B7834)=1,2,IF(WEEKDAY(B7834)=7,1,0))))))</f>
        <v>3</v>
      </c>
    </row>
    <row r="7835" spans="2:22">
      <c r="B7835" s="318">
        <f t="shared" si="487"/>
        <v>46439</v>
      </c>
      <c r="C7835" s="312">
        <v>7</v>
      </c>
      <c r="D7835" s="368">
        <f>IFERROR((INDEX(METADATA!$T$2:$T$20,MATCH(B7835,METADATA!$S$2:$S$20,0))),0)</f>
        <v>0</v>
      </c>
      <c r="E7835" s="312" t="str">
        <f t="shared" si="488"/>
        <v>LO</v>
      </c>
      <c r="F7835" s="369">
        <f>VLOOKUP(C7835,METADATA!$A$5:$H$29,IF(E7835="HI",2,IF(E7835="LO",6,10))+IF(D7835=1,2,IF(D7835=7,1,(IF(WEEKDAY(B7835)=1,2,IF(WEEKDAY(B7835)=7,1,0))))))</f>
        <v>3</v>
      </c>
      <c r="G7835" s="369">
        <f>VLOOKUP(C7835,METADATA!$J$5:$Q$29,IF(E7835="HI",2,IF(E7835="LO",6,10))+IF(D7835=1,2,IF(D7835=7,1,(IF(WEEKDAY(B7835)=1,2,IF(WEEKDAY(B7835)=7,1,0))))))</f>
        <v>3</v>
      </c>
      <c r="H7835" s="370">
        <v>6820.0424499511719</v>
      </c>
      <c r="I7835" s="370">
        <v>6286.1651306152344</v>
      </c>
      <c r="M7835" s="371">
        <f t="shared" si="489"/>
        <v>9275.1739104180051</v>
      </c>
      <c r="N7835" s="329">
        <f t="shared" si="490"/>
        <v>4240.1523956298824</v>
      </c>
      <c r="T7835" s="331">
        <v>0</v>
      </c>
      <c r="U7835" s="328">
        <f>VLOOKUP(C7835,METADATA!$J$5:$Q$29,IF(E7835="HI",2,IF(E7835="LO",6,10))+IF(T7835=1,2,IF(D7835=7,1,(IF(WEEKDAY(B7835)=1,2,IF(WEEKDAY(B7835)=7,1,0))))))</f>
        <v>3</v>
      </c>
      <c r="V7835" s="328">
        <f>VLOOKUP(C7835,METADATA!$A$5:$H$29,IF(E7835="HI",2,IF(E7835="LO",6,10))+IF(T7835=1,2,IF(D7835=7,1,(IF(WEEKDAY(B7835)=1,2,IF(WEEKDAY(B7835)=7,1,0))))))</f>
        <v>3</v>
      </c>
    </row>
    <row r="7836" spans="2:22">
      <c r="B7836" s="318">
        <f t="shared" ref="B7836:B7899" si="491">B7812+1</f>
        <v>46439</v>
      </c>
      <c r="C7836" s="312">
        <v>8</v>
      </c>
      <c r="D7836" s="368">
        <f>IFERROR((INDEX(METADATA!$T$2:$T$20,MATCH(B7836,METADATA!$S$2:$S$20,0))),0)</f>
        <v>0</v>
      </c>
      <c r="E7836" s="312" t="str">
        <f t="shared" si="488"/>
        <v>LO</v>
      </c>
      <c r="F7836" s="369">
        <f>VLOOKUP(C7836,METADATA!$A$5:$H$29,IF(E7836="HI",2,IF(E7836="LO",6,10))+IF(D7836=1,2,IF(D7836=7,1,(IF(WEEKDAY(B7836)=1,2,IF(WEEKDAY(B7836)=7,1,0))))))</f>
        <v>3</v>
      </c>
      <c r="G7836" s="369">
        <f>VLOOKUP(C7836,METADATA!$J$5:$Q$29,IF(E7836="HI",2,IF(E7836="LO",6,10))+IF(D7836=1,2,IF(D7836=7,1,(IF(WEEKDAY(B7836)=1,2,IF(WEEKDAY(B7836)=7,1,0))))))</f>
        <v>3</v>
      </c>
      <c r="H7836" s="370">
        <v>5480.5050048828125</v>
      </c>
      <c r="I7836" s="370">
        <v>5587.1050109863281</v>
      </c>
      <c r="M7836" s="371">
        <f t="shared" si="489"/>
        <v>7826.3450928472412</v>
      </c>
      <c r="N7836" s="329">
        <f t="shared" si="490"/>
        <v>3942.9535095214842</v>
      </c>
      <c r="T7836" s="331">
        <v>0</v>
      </c>
      <c r="U7836" s="328">
        <f>VLOOKUP(C7836,METADATA!$J$5:$Q$29,IF(E7836="HI",2,IF(E7836="LO",6,10))+IF(T7836=1,2,IF(D7836=7,1,(IF(WEEKDAY(B7836)=1,2,IF(WEEKDAY(B7836)=7,1,0))))))</f>
        <v>3</v>
      </c>
      <c r="V7836" s="328">
        <f>VLOOKUP(C7836,METADATA!$A$5:$H$29,IF(E7836="HI",2,IF(E7836="LO",6,10))+IF(T7836=1,2,IF(D7836=7,1,(IF(WEEKDAY(B7836)=1,2,IF(WEEKDAY(B7836)=7,1,0))))))</f>
        <v>3</v>
      </c>
    </row>
    <row r="7837" spans="2:22">
      <c r="B7837" s="318">
        <f t="shared" si="491"/>
        <v>46439</v>
      </c>
      <c r="C7837" s="312">
        <v>9</v>
      </c>
      <c r="D7837" s="368">
        <f>IFERROR((INDEX(METADATA!$T$2:$T$20,MATCH(B7837,METADATA!$S$2:$S$20,0))),0)</f>
        <v>0</v>
      </c>
      <c r="E7837" s="312" t="str">
        <f t="shared" si="488"/>
        <v>LO</v>
      </c>
      <c r="F7837" s="369">
        <f>VLOOKUP(C7837,METADATA!$A$5:$H$29,IF(E7837="HI",2,IF(E7837="LO",6,10))+IF(D7837=1,2,IF(D7837=7,1,(IF(WEEKDAY(B7837)=1,2,IF(WEEKDAY(B7837)=7,1,0))))))</f>
        <v>3</v>
      </c>
      <c r="G7837" s="369">
        <f>VLOOKUP(C7837,METADATA!$J$5:$Q$29,IF(E7837="HI",2,IF(E7837="LO",6,10))+IF(D7837=1,2,IF(D7837=7,1,(IF(WEEKDAY(B7837)=1,2,IF(WEEKDAY(B7837)=7,1,0))))))</f>
        <v>3</v>
      </c>
      <c r="H7837" s="370">
        <v>8706.2400207519531</v>
      </c>
      <c r="I7837" s="370">
        <v>7332.47998046875</v>
      </c>
      <c r="M7837" s="371">
        <f t="shared" si="489"/>
        <v>11382.612967281193</v>
      </c>
      <c r="N7837" s="329">
        <f t="shared" si="490"/>
        <v>4720.6079742431648</v>
      </c>
      <c r="T7837" s="331">
        <v>0</v>
      </c>
      <c r="U7837" s="328">
        <f>VLOOKUP(C7837,METADATA!$J$5:$Q$29,IF(E7837="HI",2,IF(E7837="LO",6,10))+IF(T7837=1,2,IF(D7837=7,1,(IF(WEEKDAY(B7837)=1,2,IF(WEEKDAY(B7837)=7,1,0))))))</f>
        <v>3</v>
      </c>
      <c r="V7837" s="328">
        <f>VLOOKUP(C7837,METADATA!$A$5:$H$29,IF(E7837="HI",2,IF(E7837="LO",6,10))+IF(T7837=1,2,IF(D7837=7,1,(IF(WEEKDAY(B7837)=1,2,IF(WEEKDAY(B7837)=7,1,0))))))</f>
        <v>3</v>
      </c>
    </row>
    <row r="7838" spans="2:22">
      <c r="B7838" s="318">
        <f t="shared" si="491"/>
        <v>46439</v>
      </c>
      <c r="C7838" s="312">
        <v>10</v>
      </c>
      <c r="D7838" s="368">
        <f>IFERROR((INDEX(METADATA!$T$2:$T$20,MATCH(B7838,METADATA!$S$2:$S$20,0))),0)</f>
        <v>0</v>
      </c>
      <c r="E7838" s="312" t="str">
        <f t="shared" si="488"/>
        <v>LO</v>
      </c>
      <c r="F7838" s="369">
        <f>VLOOKUP(C7838,METADATA!$A$5:$H$29,IF(E7838="HI",2,IF(E7838="LO",6,10))+IF(D7838=1,2,IF(D7838=7,1,(IF(WEEKDAY(B7838)=1,2,IF(WEEKDAY(B7838)=7,1,0))))))</f>
        <v>3</v>
      </c>
      <c r="G7838" s="369">
        <f>VLOOKUP(C7838,METADATA!$J$5:$Q$29,IF(E7838="HI",2,IF(E7838="LO",6,10))+IF(D7838=1,2,IF(D7838=7,1,(IF(WEEKDAY(B7838)=1,2,IF(WEEKDAY(B7838)=7,1,0))))))</f>
        <v>3</v>
      </c>
      <c r="H7838" s="370">
        <v>10534.002197265625</v>
      </c>
      <c r="I7838" s="370">
        <v>8182.2675476074219</v>
      </c>
      <c r="M7838" s="371">
        <f t="shared" si="489"/>
        <v>13338.467097557597</v>
      </c>
      <c r="N7838" s="329">
        <f t="shared" si="490"/>
        <v>5022.0668884277347</v>
      </c>
      <c r="T7838" s="331">
        <v>0</v>
      </c>
      <c r="U7838" s="328">
        <f>VLOOKUP(C7838,METADATA!$J$5:$Q$29,IF(E7838="HI",2,IF(E7838="LO",6,10))+IF(T7838=1,2,IF(D7838=7,1,(IF(WEEKDAY(B7838)=1,2,IF(WEEKDAY(B7838)=7,1,0))))))</f>
        <v>3</v>
      </c>
      <c r="V7838" s="328">
        <f>VLOOKUP(C7838,METADATA!$A$5:$H$29,IF(E7838="HI",2,IF(E7838="LO",6,10))+IF(T7838=1,2,IF(D7838=7,1,(IF(WEEKDAY(B7838)=1,2,IF(WEEKDAY(B7838)=7,1,0))))))</f>
        <v>3</v>
      </c>
    </row>
    <row r="7839" spans="2:22">
      <c r="B7839" s="318">
        <f t="shared" si="491"/>
        <v>46439</v>
      </c>
      <c r="C7839" s="312">
        <v>11</v>
      </c>
      <c r="D7839" s="368">
        <f>IFERROR((INDEX(METADATA!$T$2:$T$20,MATCH(B7839,METADATA!$S$2:$S$20,0))),0)</f>
        <v>0</v>
      </c>
      <c r="E7839" s="312" t="str">
        <f t="shared" si="488"/>
        <v>LO</v>
      </c>
      <c r="F7839" s="369">
        <f>VLOOKUP(C7839,METADATA!$A$5:$H$29,IF(E7839="HI",2,IF(E7839="LO",6,10))+IF(D7839=1,2,IF(D7839=7,1,(IF(WEEKDAY(B7839)=1,2,IF(WEEKDAY(B7839)=7,1,0))))))</f>
        <v>3</v>
      </c>
      <c r="G7839" s="369">
        <f>VLOOKUP(C7839,METADATA!$J$5:$Q$29,IF(E7839="HI",2,IF(E7839="LO",6,10))+IF(D7839=1,2,IF(D7839=7,1,(IF(WEEKDAY(B7839)=1,2,IF(WEEKDAY(B7839)=7,1,0))))))</f>
        <v>3</v>
      </c>
      <c r="H7839" s="370">
        <v>12327.5498046875</v>
      </c>
      <c r="I7839" s="370">
        <v>9211.6751098632813</v>
      </c>
      <c r="M7839" s="371">
        <f t="shared" si="489"/>
        <v>15389.068929494257</v>
      </c>
      <c r="N7839" s="329">
        <f t="shared" si="490"/>
        <v>5513.4101684570314</v>
      </c>
      <c r="T7839" s="331">
        <v>0</v>
      </c>
      <c r="U7839" s="328">
        <f>VLOOKUP(C7839,METADATA!$J$5:$Q$29,IF(E7839="HI",2,IF(E7839="LO",6,10))+IF(T7839=1,2,IF(D7839=7,1,(IF(WEEKDAY(B7839)=1,2,IF(WEEKDAY(B7839)=7,1,0))))))</f>
        <v>3</v>
      </c>
      <c r="V7839" s="328">
        <f>VLOOKUP(C7839,METADATA!$A$5:$H$29,IF(E7839="HI",2,IF(E7839="LO",6,10))+IF(T7839=1,2,IF(D7839=7,1,(IF(WEEKDAY(B7839)=1,2,IF(WEEKDAY(B7839)=7,1,0))))))</f>
        <v>3</v>
      </c>
    </row>
    <row r="7840" spans="2:22">
      <c r="B7840" s="318">
        <f t="shared" si="491"/>
        <v>46439</v>
      </c>
      <c r="C7840" s="312">
        <v>12</v>
      </c>
      <c r="D7840" s="368">
        <f>IFERROR((INDEX(METADATA!$T$2:$T$20,MATCH(B7840,METADATA!$S$2:$S$20,0))),0)</f>
        <v>0</v>
      </c>
      <c r="E7840" s="312" t="str">
        <f t="shared" si="488"/>
        <v>LO</v>
      </c>
      <c r="F7840" s="369">
        <f>VLOOKUP(C7840,METADATA!$A$5:$H$29,IF(E7840="HI",2,IF(E7840="LO",6,10))+IF(D7840=1,2,IF(D7840=7,1,(IF(WEEKDAY(B7840)=1,2,IF(WEEKDAY(B7840)=7,1,0))))))</f>
        <v>3</v>
      </c>
      <c r="G7840" s="369">
        <f>VLOOKUP(C7840,METADATA!$J$5:$Q$29,IF(E7840="HI",2,IF(E7840="LO",6,10))+IF(D7840=1,2,IF(D7840=7,1,(IF(WEEKDAY(B7840)=1,2,IF(WEEKDAY(B7840)=7,1,0))))))</f>
        <v>3</v>
      </c>
      <c r="H7840" s="370">
        <v>12303.500061035156</v>
      </c>
      <c r="I7840" s="370">
        <v>9254.0250854492188</v>
      </c>
      <c r="M7840" s="371">
        <f t="shared" si="489"/>
        <v>15395.229586921252</v>
      </c>
      <c r="N7840" s="329">
        <f t="shared" si="490"/>
        <v>5562.9750671386719</v>
      </c>
      <c r="T7840" s="331">
        <v>0</v>
      </c>
      <c r="U7840" s="328">
        <f>VLOOKUP(C7840,METADATA!$J$5:$Q$29,IF(E7840="HI",2,IF(E7840="LO",6,10))+IF(T7840=1,2,IF(D7840=7,1,(IF(WEEKDAY(B7840)=1,2,IF(WEEKDAY(B7840)=7,1,0))))))</f>
        <v>3</v>
      </c>
      <c r="V7840" s="328">
        <f>VLOOKUP(C7840,METADATA!$A$5:$H$29,IF(E7840="HI",2,IF(E7840="LO",6,10))+IF(T7840=1,2,IF(D7840=7,1,(IF(WEEKDAY(B7840)=1,2,IF(WEEKDAY(B7840)=7,1,0))))))</f>
        <v>3</v>
      </c>
    </row>
    <row r="7841" spans="2:22">
      <c r="B7841" s="318">
        <f t="shared" si="491"/>
        <v>46439</v>
      </c>
      <c r="C7841" s="312">
        <v>13</v>
      </c>
      <c r="D7841" s="368">
        <f>IFERROR((INDEX(METADATA!$T$2:$T$20,MATCH(B7841,METADATA!$S$2:$S$20,0))),0)</f>
        <v>0</v>
      </c>
      <c r="E7841" s="312" t="str">
        <f t="shared" si="488"/>
        <v>LO</v>
      </c>
      <c r="F7841" s="369">
        <f>VLOOKUP(C7841,METADATA!$A$5:$H$29,IF(E7841="HI",2,IF(E7841="LO",6,10))+IF(D7841=1,2,IF(D7841=7,1,(IF(WEEKDAY(B7841)=1,2,IF(WEEKDAY(B7841)=7,1,0))))))</f>
        <v>3</v>
      </c>
      <c r="G7841" s="369">
        <f>VLOOKUP(C7841,METADATA!$J$5:$Q$29,IF(E7841="HI",2,IF(E7841="LO",6,10))+IF(D7841=1,2,IF(D7841=7,1,(IF(WEEKDAY(B7841)=1,2,IF(WEEKDAY(B7841)=7,1,0))))))</f>
        <v>3</v>
      </c>
      <c r="H7841" s="370">
        <v>12376.025207519531</v>
      </c>
      <c r="I7841" s="370">
        <v>9155.47509765625</v>
      </c>
      <c r="M7841" s="371">
        <f t="shared" si="489"/>
        <v>15394.438093056939</v>
      </c>
      <c r="N7841" s="329">
        <f t="shared" si="490"/>
        <v>5442.667535400391</v>
      </c>
      <c r="T7841" s="331">
        <v>0</v>
      </c>
      <c r="U7841" s="328">
        <f>VLOOKUP(C7841,METADATA!$J$5:$Q$29,IF(E7841="HI",2,IF(E7841="LO",6,10))+IF(T7841=1,2,IF(D7841=7,1,(IF(WEEKDAY(B7841)=1,2,IF(WEEKDAY(B7841)=7,1,0))))))</f>
        <v>3</v>
      </c>
      <c r="V7841" s="328">
        <f>VLOOKUP(C7841,METADATA!$A$5:$H$29,IF(E7841="HI",2,IF(E7841="LO",6,10))+IF(T7841=1,2,IF(D7841=7,1,(IF(WEEKDAY(B7841)=1,2,IF(WEEKDAY(B7841)=7,1,0))))))</f>
        <v>3</v>
      </c>
    </row>
    <row r="7842" spans="2:22">
      <c r="B7842" s="318">
        <f t="shared" si="491"/>
        <v>46439</v>
      </c>
      <c r="C7842" s="312">
        <v>14</v>
      </c>
      <c r="D7842" s="368">
        <f>IFERROR((INDEX(METADATA!$T$2:$T$20,MATCH(B7842,METADATA!$S$2:$S$20,0))),0)</f>
        <v>0</v>
      </c>
      <c r="E7842" s="312" t="str">
        <f t="shared" si="488"/>
        <v>LO</v>
      </c>
      <c r="F7842" s="369">
        <f>VLOOKUP(C7842,METADATA!$A$5:$H$29,IF(E7842="HI",2,IF(E7842="LO",6,10))+IF(D7842=1,2,IF(D7842=7,1,(IF(WEEKDAY(B7842)=1,2,IF(WEEKDAY(B7842)=7,1,0))))))</f>
        <v>3</v>
      </c>
      <c r="G7842" s="369">
        <f>VLOOKUP(C7842,METADATA!$J$5:$Q$29,IF(E7842="HI",2,IF(E7842="LO",6,10))+IF(D7842=1,2,IF(D7842=7,1,(IF(WEEKDAY(B7842)=1,2,IF(WEEKDAY(B7842)=7,1,0))))))</f>
        <v>3</v>
      </c>
      <c r="H7842" s="370">
        <v>12430.324890136719</v>
      </c>
      <c r="I7842" s="370">
        <v>9249.1248779296875</v>
      </c>
      <c r="M7842" s="371">
        <f t="shared" si="489"/>
        <v>15493.846774829364</v>
      </c>
      <c r="N7842" s="329">
        <f t="shared" si="490"/>
        <v>5520.0274108886715</v>
      </c>
      <c r="T7842" s="331">
        <v>0</v>
      </c>
      <c r="U7842" s="328">
        <f>VLOOKUP(C7842,METADATA!$J$5:$Q$29,IF(E7842="HI",2,IF(E7842="LO",6,10))+IF(T7842=1,2,IF(D7842=7,1,(IF(WEEKDAY(B7842)=1,2,IF(WEEKDAY(B7842)=7,1,0))))))</f>
        <v>3</v>
      </c>
      <c r="V7842" s="328">
        <f>VLOOKUP(C7842,METADATA!$A$5:$H$29,IF(E7842="HI",2,IF(E7842="LO",6,10))+IF(T7842=1,2,IF(D7842=7,1,(IF(WEEKDAY(B7842)=1,2,IF(WEEKDAY(B7842)=7,1,0))))))</f>
        <v>3</v>
      </c>
    </row>
    <row r="7843" spans="2:22">
      <c r="B7843" s="318">
        <f t="shared" si="491"/>
        <v>46439</v>
      </c>
      <c r="C7843" s="312">
        <v>15</v>
      </c>
      <c r="D7843" s="368">
        <f>IFERROR((INDEX(METADATA!$T$2:$T$20,MATCH(B7843,METADATA!$S$2:$S$20,0))),0)</f>
        <v>0</v>
      </c>
      <c r="E7843" s="312" t="str">
        <f t="shared" si="488"/>
        <v>LO</v>
      </c>
      <c r="F7843" s="369">
        <f>VLOOKUP(C7843,METADATA!$A$5:$H$29,IF(E7843="HI",2,IF(E7843="LO",6,10))+IF(D7843=1,2,IF(D7843=7,1,(IF(WEEKDAY(B7843)=1,2,IF(WEEKDAY(B7843)=7,1,0))))))</f>
        <v>3</v>
      </c>
      <c r="G7843" s="369">
        <f>VLOOKUP(C7843,METADATA!$J$5:$Q$29,IF(E7843="HI",2,IF(E7843="LO",6,10))+IF(D7843=1,2,IF(D7843=7,1,(IF(WEEKDAY(B7843)=1,2,IF(WEEKDAY(B7843)=7,1,0))))))</f>
        <v>3</v>
      </c>
      <c r="H7843" s="370">
        <v>12240.075012207031</v>
      </c>
      <c r="I7843" s="370">
        <v>9138.800048828125</v>
      </c>
      <c r="M7843" s="371">
        <f t="shared" si="489"/>
        <v>15275.375695442515</v>
      </c>
      <c r="N7843" s="329">
        <f t="shared" si="490"/>
        <v>5466.7775451660164</v>
      </c>
      <c r="T7843" s="331">
        <v>0</v>
      </c>
      <c r="U7843" s="328">
        <f>VLOOKUP(C7843,METADATA!$J$5:$Q$29,IF(E7843="HI",2,IF(E7843="LO",6,10))+IF(T7843=1,2,IF(D7843=7,1,(IF(WEEKDAY(B7843)=1,2,IF(WEEKDAY(B7843)=7,1,0))))))</f>
        <v>3</v>
      </c>
      <c r="V7843" s="328">
        <f>VLOOKUP(C7843,METADATA!$A$5:$H$29,IF(E7843="HI",2,IF(E7843="LO",6,10))+IF(T7843=1,2,IF(D7843=7,1,(IF(WEEKDAY(B7843)=1,2,IF(WEEKDAY(B7843)=7,1,0))))))</f>
        <v>3</v>
      </c>
    </row>
    <row r="7844" spans="2:22">
      <c r="B7844" s="318">
        <f t="shared" si="491"/>
        <v>46439</v>
      </c>
      <c r="C7844" s="312">
        <v>16</v>
      </c>
      <c r="D7844" s="368">
        <f>IFERROR((INDEX(METADATA!$T$2:$T$20,MATCH(B7844,METADATA!$S$2:$S$20,0))),0)</f>
        <v>0</v>
      </c>
      <c r="E7844" s="312" t="str">
        <f t="shared" si="488"/>
        <v>LO</v>
      </c>
      <c r="F7844" s="369">
        <f>VLOOKUP(C7844,METADATA!$A$5:$H$29,IF(E7844="HI",2,IF(E7844="LO",6,10))+IF(D7844=1,2,IF(D7844=7,1,(IF(WEEKDAY(B7844)=1,2,IF(WEEKDAY(B7844)=7,1,0))))))</f>
        <v>3</v>
      </c>
      <c r="G7844" s="369">
        <f>VLOOKUP(C7844,METADATA!$J$5:$Q$29,IF(E7844="HI",2,IF(E7844="LO",6,10))+IF(D7844=1,2,IF(D7844=7,1,(IF(WEEKDAY(B7844)=1,2,IF(WEEKDAY(B7844)=7,1,0))))))</f>
        <v>3</v>
      </c>
      <c r="H7844" s="370">
        <v>12265.7001953125</v>
      </c>
      <c r="I7844" s="370">
        <v>9219.650146484375</v>
      </c>
      <c r="M7844" s="371">
        <f t="shared" si="489"/>
        <v>15344.358901722107</v>
      </c>
      <c r="N7844" s="329">
        <f t="shared" si="490"/>
        <v>5539.9400878906254</v>
      </c>
      <c r="T7844" s="331">
        <v>0</v>
      </c>
      <c r="U7844" s="328">
        <f>VLOOKUP(C7844,METADATA!$J$5:$Q$29,IF(E7844="HI",2,IF(E7844="LO",6,10))+IF(T7844=1,2,IF(D7844=7,1,(IF(WEEKDAY(B7844)=1,2,IF(WEEKDAY(B7844)=7,1,0))))))</f>
        <v>3</v>
      </c>
      <c r="V7844" s="328">
        <f>VLOOKUP(C7844,METADATA!$A$5:$H$29,IF(E7844="HI",2,IF(E7844="LO",6,10))+IF(T7844=1,2,IF(D7844=7,1,(IF(WEEKDAY(B7844)=1,2,IF(WEEKDAY(B7844)=7,1,0))))))</f>
        <v>3</v>
      </c>
    </row>
    <row r="7845" spans="2:22">
      <c r="B7845" s="318">
        <f t="shared" si="491"/>
        <v>46439</v>
      </c>
      <c r="C7845" s="312">
        <v>17</v>
      </c>
      <c r="D7845" s="368">
        <f>IFERROR((INDEX(METADATA!$T$2:$T$20,MATCH(B7845,METADATA!$S$2:$S$20,0))),0)</f>
        <v>0</v>
      </c>
      <c r="E7845" s="312" t="str">
        <f t="shared" si="488"/>
        <v>LO</v>
      </c>
      <c r="F7845" s="369">
        <f>VLOOKUP(C7845,METADATA!$A$5:$H$29,IF(E7845="HI",2,IF(E7845="LO",6,10))+IF(D7845=1,2,IF(D7845=7,1,(IF(WEEKDAY(B7845)=1,2,IF(WEEKDAY(B7845)=7,1,0))))))</f>
        <v>3</v>
      </c>
      <c r="G7845" s="369">
        <f>VLOOKUP(C7845,METADATA!$J$5:$Q$29,IF(E7845="HI",2,IF(E7845="LO",6,10))+IF(D7845=1,2,IF(D7845=7,1,(IF(WEEKDAY(B7845)=1,2,IF(WEEKDAY(B7845)=7,1,0))))))</f>
        <v>3</v>
      </c>
      <c r="H7845" s="370">
        <v>12096.225341796875</v>
      </c>
      <c r="I7845" s="370">
        <v>9273.8248291015625</v>
      </c>
      <c r="M7845" s="371">
        <f t="shared" si="489"/>
        <v>15242.128935302626</v>
      </c>
      <c r="N7845" s="329">
        <f t="shared" si="490"/>
        <v>5644.9572265625002</v>
      </c>
      <c r="T7845" s="331">
        <v>0</v>
      </c>
      <c r="U7845" s="328">
        <f>VLOOKUP(C7845,METADATA!$J$5:$Q$29,IF(E7845="HI",2,IF(E7845="LO",6,10))+IF(T7845=1,2,IF(D7845=7,1,(IF(WEEKDAY(B7845)=1,2,IF(WEEKDAY(B7845)=7,1,0))))))</f>
        <v>3</v>
      </c>
      <c r="V7845" s="328">
        <f>VLOOKUP(C7845,METADATA!$A$5:$H$29,IF(E7845="HI",2,IF(E7845="LO",6,10))+IF(T7845=1,2,IF(D7845=7,1,(IF(WEEKDAY(B7845)=1,2,IF(WEEKDAY(B7845)=7,1,0))))))</f>
        <v>3</v>
      </c>
    </row>
    <row r="7846" spans="2:22">
      <c r="B7846" s="318">
        <f t="shared" si="491"/>
        <v>46439</v>
      </c>
      <c r="C7846" s="312">
        <v>18</v>
      </c>
      <c r="D7846" s="368">
        <f>IFERROR((INDEX(METADATA!$T$2:$T$20,MATCH(B7846,METADATA!$S$2:$S$20,0))),0)</f>
        <v>0</v>
      </c>
      <c r="E7846" s="312" t="str">
        <f t="shared" si="488"/>
        <v>LO</v>
      </c>
      <c r="F7846" s="369">
        <f>VLOOKUP(C7846,METADATA!$A$5:$H$29,IF(E7846="HI",2,IF(E7846="LO",6,10))+IF(D7846=1,2,IF(D7846=7,1,(IF(WEEKDAY(B7846)=1,2,IF(WEEKDAY(B7846)=7,1,0))))))</f>
        <v>2</v>
      </c>
      <c r="G7846" s="369">
        <f>VLOOKUP(C7846,METADATA!$J$5:$Q$29,IF(E7846="HI",2,IF(E7846="LO",6,10))+IF(D7846=1,2,IF(D7846=7,1,(IF(WEEKDAY(B7846)=1,2,IF(WEEKDAY(B7846)=7,1,0))))))</f>
        <v>2</v>
      </c>
      <c r="H7846" s="370">
        <v>12171.499877929688</v>
      </c>
      <c r="I7846" s="370">
        <v>9287.9501342773438</v>
      </c>
      <c r="M7846" s="371">
        <f t="shared" si="489"/>
        <v>15310.500546202429</v>
      </c>
      <c r="N7846" s="329">
        <f t="shared" si="490"/>
        <v>5636.5001708984382</v>
      </c>
      <c r="T7846" s="331">
        <v>0</v>
      </c>
      <c r="U7846" s="328">
        <f>VLOOKUP(C7846,METADATA!$J$5:$Q$29,IF(E7846="HI",2,IF(E7846="LO",6,10))+IF(T7846=1,2,IF(D7846=7,1,(IF(WEEKDAY(B7846)=1,2,IF(WEEKDAY(B7846)=7,1,0))))))</f>
        <v>2</v>
      </c>
      <c r="V7846" s="328">
        <f>VLOOKUP(C7846,METADATA!$A$5:$H$29,IF(E7846="HI",2,IF(E7846="LO",6,10))+IF(T7846=1,2,IF(D7846=7,1,(IF(WEEKDAY(B7846)=1,2,IF(WEEKDAY(B7846)=7,1,0))))))</f>
        <v>2</v>
      </c>
    </row>
    <row r="7847" spans="2:22">
      <c r="B7847" s="318">
        <f t="shared" si="491"/>
        <v>46439</v>
      </c>
      <c r="C7847" s="312">
        <v>19</v>
      </c>
      <c r="D7847" s="368">
        <f>IFERROR((INDEX(METADATA!$T$2:$T$20,MATCH(B7847,METADATA!$S$2:$S$20,0))),0)</f>
        <v>0</v>
      </c>
      <c r="E7847" s="312" t="str">
        <f t="shared" si="488"/>
        <v>LO</v>
      </c>
      <c r="F7847" s="369">
        <f>VLOOKUP(C7847,METADATA!$A$5:$H$29,IF(E7847="HI",2,IF(E7847="LO",6,10))+IF(D7847=1,2,IF(D7847=7,1,(IF(WEEKDAY(B7847)=1,2,IF(WEEKDAY(B7847)=7,1,0))))))</f>
        <v>2</v>
      </c>
      <c r="G7847" s="369">
        <f>VLOOKUP(C7847,METADATA!$J$5:$Q$29,IF(E7847="HI",2,IF(E7847="LO",6,10))+IF(D7847=1,2,IF(D7847=7,1,(IF(WEEKDAY(B7847)=1,2,IF(WEEKDAY(B7847)=7,1,0))))))</f>
        <v>2</v>
      </c>
      <c r="H7847" s="370">
        <v>12287.599670410156</v>
      </c>
      <c r="I7847" s="370">
        <v>9246.7001953125</v>
      </c>
      <c r="M7847" s="371">
        <f t="shared" si="489"/>
        <v>15378.119851342557</v>
      </c>
      <c r="N7847" s="329">
        <f t="shared" si="490"/>
        <v>5560.4202941894528</v>
      </c>
      <c r="T7847" s="331">
        <v>0</v>
      </c>
      <c r="U7847" s="328">
        <f>VLOOKUP(C7847,METADATA!$J$5:$Q$29,IF(E7847="HI",2,IF(E7847="LO",6,10))+IF(T7847=1,2,IF(D7847=7,1,(IF(WEEKDAY(B7847)=1,2,IF(WEEKDAY(B7847)=7,1,0))))))</f>
        <v>2</v>
      </c>
      <c r="V7847" s="328">
        <f>VLOOKUP(C7847,METADATA!$A$5:$H$29,IF(E7847="HI",2,IF(E7847="LO",6,10))+IF(T7847=1,2,IF(D7847=7,1,(IF(WEEKDAY(B7847)=1,2,IF(WEEKDAY(B7847)=7,1,0))))))</f>
        <v>2</v>
      </c>
    </row>
    <row r="7848" spans="2:22">
      <c r="B7848" s="318">
        <f t="shared" si="491"/>
        <v>46439</v>
      </c>
      <c r="C7848" s="312">
        <v>20</v>
      </c>
      <c r="D7848" s="368">
        <f>IFERROR((INDEX(METADATA!$T$2:$T$20,MATCH(B7848,METADATA!$S$2:$S$20,0))),0)</f>
        <v>0</v>
      </c>
      <c r="E7848" s="312" t="str">
        <f t="shared" si="488"/>
        <v>LO</v>
      </c>
      <c r="F7848" s="369">
        <f>VLOOKUP(C7848,METADATA!$A$5:$H$29,IF(E7848="HI",2,IF(E7848="LO",6,10))+IF(D7848=1,2,IF(D7848=7,1,(IF(WEEKDAY(B7848)=1,2,IF(WEEKDAY(B7848)=7,1,0))))))</f>
        <v>3</v>
      </c>
      <c r="G7848" s="369">
        <f>VLOOKUP(C7848,METADATA!$J$5:$Q$29,IF(E7848="HI",2,IF(E7848="LO",6,10))+IF(D7848=1,2,IF(D7848=7,1,(IF(WEEKDAY(B7848)=1,2,IF(WEEKDAY(B7848)=7,1,0))))))</f>
        <v>3</v>
      </c>
      <c r="H7848" s="370">
        <v>12281.224853515625</v>
      </c>
      <c r="I7848" s="370">
        <v>9312.7999877929688</v>
      </c>
      <c r="M7848" s="371">
        <f t="shared" si="489"/>
        <v>15412.87538116255</v>
      </c>
      <c r="N7848" s="329">
        <f t="shared" si="490"/>
        <v>5628.4325317382809</v>
      </c>
      <c r="T7848" s="331">
        <v>0</v>
      </c>
      <c r="U7848" s="328">
        <f>VLOOKUP(C7848,METADATA!$J$5:$Q$29,IF(E7848="HI",2,IF(E7848="LO",6,10))+IF(T7848=1,2,IF(D7848=7,1,(IF(WEEKDAY(B7848)=1,2,IF(WEEKDAY(B7848)=7,1,0))))))</f>
        <v>3</v>
      </c>
      <c r="V7848" s="328">
        <f>VLOOKUP(C7848,METADATA!$A$5:$H$29,IF(E7848="HI",2,IF(E7848="LO",6,10))+IF(T7848=1,2,IF(D7848=7,1,(IF(WEEKDAY(B7848)=1,2,IF(WEEKDAY(B7848)=7,1,0))))))</f>
        <v>3</v>
      </c>
    </row>
    <row r="7849" spans="2:22">
      <c r="B7849" s="318">
        <f t="shared" si="491"/>
        <v>46439</v>
      </c>
      <c r="C7849" s="312">
        <v>21</v>
      </c>
      <c r="D7849" s="368">
        <f>IFERROR((INDEX(METADATA!$T$2:$T$20,MATCH(B7849,METADATA!$S$2:$S$20,0))),0)</f>
        <v>0</v>
      </c>
      <c r="E7849" s="312" t="str">
        <f t="shared" si="488"/>
        <v>LO</v>
      </c>
      <c r="F7849" s="369">
        <f>VLOOKUP(C7849,METADATA!$A$5:$H$29,IF(E7849="HI",2,IF(E7849="LO",6,10))+IF(D7849=1,2,IF(D7849=7,1,(IF(WEEKDAY(B7849)=1,2,IF(WEEKDAY(B7849)=7,1,0))))))</f>
        <v>3</v>
      </c>
      <c r="G7849" s="369">
        <f>VLOOKUP(C7849,METADATA!$J$5:$Q$29,IF(E7849="HI",2,IF(E7849="LO",6,10))+IF(D7849=1,2,IF(D7849=7,1,(IF(WEEKDAY(B7849)=1,2,IF(WEEKDAY(B7849)=7,1,0))))))</f>
        <v>3</v>
      </c>
      <c r="H7849" s="370">
        <v>12310.774963378906</v>
      </c>
      <c r="I7849" s="370">
        <v>9432.7750854492188</v>
      </c>
      <c r="M7849" s="371">
        <f t="shared" si="489"/>
        <v>15509.107840608642</v>
      </c>
      <c r="N7849" s="329">
        <f t="shared" si="490"/>
        <v>5739.5425964355472</v>
      </c>
      <c r="T7849" s="331">
        <v>0</v>
      </c>
      <c r="U7849" s="328">
        <f>VLOOKUP(C7849,METADATA!$J$5:$Q$29,IF(E7849="HI",2,IF(E7849="LO",6,10))+IF(T7849=1,2,IF(D7849=7,1,(IF(WEEKDAY(B7849)=1,2,IF(WEEKDAY(B7849)=7,1,0))))))</f>
        <v>3</v>
      </c>
      <c r="V7849" s="328">
        <f>VLOOKUP(C7849,METADATA!$A$5:$H$29,IF(E7849="HI",2,IF(E7849="LO",6,10))+IF(T7849=1,2,IF(D7849=7,1,(IF(WEEKDAY(B7849)=1,2,IF(WEEKDAY(B7849)=7,1,0))))))</f>
        <v>3</v>
      </c>
    </row>
    <row r="7850" spans="2:22">
      <c r="B7850" s="318">
        <f t="shared" si="491"/>
        <v>46439</v>
      </c>
      <c r="C7850" s="312">
        <v>22</v>
      </c>
      <c r="D7850" s="368">
        <f>IFERROR((INDEX(METADATA!$T$2:$T$20,MATCH(B7850,METADATA!$S$2:$S$20,0))),0)</f>
        <v>0</v>
      </c>
      <c r="E7850" s="312" t="str">
        <f t="shared" si="488"/>
        <v>LO</v>
      </c>
      <c r="F7850" s="369">
        <f>VLOOKUP(C7850,METADATA!$A$5:$H$29,IF(E7850="HI",2,IF(E7850="LO",6,10))+IF(D7850=1,2,IF(D7850=7,1,(IF(WEEKDAY(B7850)=1,2,IF(WEEKDAY(B7850)=7,1,0))))))</f>
        <v>3</v>
      </c>
      <c r="G7850" s="369">
        <f>VLOOKUP(C7850,METADATA!$J$5:$Q$29,IF(E7850="HI",2,IF(E7850="LO",6,10))+IF(D7850=1,2,IF(D7850=7,1,(IF(WEEKDAY(B7850)=1,2,IF(WEEKDAY(B7850)=7,1,0))))))</f>
        <v>3</v>
      </c>
      <c r="H7850" s="370">
        <v>12414.8251953125</v>
      </c>
      <c r="I7850" s="370">
        <v>9450.550048828125</v>
      </c>
      <c r="M7850" s="371">
        <f t="shared" si="489"/>
        <v>15602.588915163129</v>
      </c>
      <c r="N7850" s="329">
        <f t="shared" si="490"/>
        <v>5726.1024902343752</v>
      </c>
      <c r="T7850" s="331">
        <v>0</v>
      </c>
      <c r="U7850" s="328">
        <f>VLOOKUP(C7850,METADATA!$J$5:$Q$29,IF(E7850="HI",2,IF(E7850="LO",6,10))+IF(T7850=1,2,IF(D7850=7,1,(IF(WEEKDAY(B7850)=1,2,IF(WEEKDAY(B7850)=7,1,0))))))</f>
        <v>3</v>
      </c>
      <c r="V7850" s="328">
        <f>VLOOKUP(C7850,METADATA!$A$5:$H$29,IF(E7850="HI",2,IF(E7850="LO",6,10))+IF(T7850=1,2,IF(D7850=7,1,(IF(WEEKDAY(B7850)=1,2,IF(WEEKDAY(B7850)=7,1,0))))))</f>
        <v>3</v>
      </c>
    </row>
    <row r="7851" spans="2:22">
      <c r="B7851" s="318">
        <f t="shared" si="491"/>
        <v>46439</v>
      </c>
      <c r="C7851" s="312">
        <v>23</v>
      </c>
      <c r="D7851" s="368">
        <f>IFERROR((INDEX(METADATA!$T$2:$T$20,MATCH(B7851,METADATA!$S$2:$S$20,0))),0)</f>
        <v>0</v>
      </c>
      <c r="E7851" s="312" t="str">
        <f t="shared" si="488"/>
        <v>LO</v>
      </c>
      <c r="F7851" s="369">
        <f>VLOOKUP(C7851,METADATA!$A$5:$H$29,IF(E7851="HI",2,IF(E7851="LO",6,10))+IF(D7851=1,2,IF(D7851=7,1,(IF(WEEKDAY(B7851)=1,2,IF(WEEKDAY(B7851)=7,1,0))))))</f>
        <v>3</v>
      </c>
      <c r="G7851" s="369">
        <f>VLOOKUP(C7851,METADATA!$J$5:$Q$29,IF(E7851="HI",2,IF(E7851="LO",6,10))+IF(D7851=1,2,IF(D7851=7,1,(IF(WEEKDAY(B7851)=1,2,IF(WEEKDAY(B7851)=7,1,0))))))</f>
        <v>3</v>
      </c>
      <c r="H7851" s="370">
        <v>12204.124755859375</v>
      </c>
      <c r="I7851" s="370">
        <v>9343.9750366210938</v>
      </c>
      <c r="M7851" s="371">
        <f t="shared" si="489"/>
        <v>15370.443407448525</v>
      </c>
      <c r="N7851" s="329">
        <f t="shared" si="490"/>
        <v>5682.7376098632813</v>
      </c>
      <c r="T7851" s="331">
        <v>0</v>
      </c>
      <c r="U7851" s="328">
        <f>VLOOKUP(C7851,METADATA!$J$5:$Q$29,IF(E7851="HI",2,IF(E7851="LO",6,10))+IF(T7851=1,2,IF(D7851=7,1,(IF(WEEKDAY(B7851)=1,2,IF(WEEKDAY(B7851)=7,1,0))))))</f>
        <v>3</v>
      </c>
      <c r="V7851" s="328">
        <f>VLOOKUP(C7851,METADATA!$A$5:$H$29,IF(E7851="HI",2,IF(E7851="LO",6,10))+IF(T7851=1,2,IF(D7851=7,1,(IF(WEEKDAY(B7851)=1,2,IF(WEEKDAY(B7851)=7,1,0))))))</f>
        <v>3</v>
      </c>
    </row>
    <row r="7852" spans="2:22">
      <c r="B7852" s="318">
        <f t="shared" si="491"/>
        <v>46440</v>
      </c>
      <c r="C7852" s="312">
        <v>0</v>
      </c>
      <c r="D7852" s="368">
        <f>IFERROR((INDEX(METADATA!$T$2:$T$20,MATCH(B7852,METADATA!$S$2:$S$20,0))),0)</f>
        <v>0</v>
      </c>
      <c r="E7852" s="312" t="str">
        <f t="shared" si="488"/>
        <v>LO</v>
      </c>
      <c r="F7852" s="369">
        <f>VLOOKUP(C7852,METADATA!$A$5:$H$29,IF(E7852="HI",2,IF(E7852="LO",6,10))+IF(D7852=1,2,IF(D7852=7,1,(IF(WEEKDAY(B7852)=1,2,IF(WEEKDAY(B7852)=7,1,0))))))</f>
        <v>3</v>
      </c>
      <c r="G7852" s="369">
        <f>VLOOKUP(C7852,METADATA!$J$5:$Q$29,IF(E7852="HI",2,IF(E7852="LO",6,10))+IF(D7852=1,2,IF(D7852=7,1,(IF(WEEKDAY(B7852)=1,2,IF(WEEKDAY(B7852)=7,1,0))))))</f>
        <v>3</v>
      </c>
      <c r="H7852" s="370">
        <v>11579.400146484375</v>
      </c>
      <c r="I7852" s="370">
        <v>9179.8500366210938</v>
      </c>
      <c r="M7852" s="371">
        <f t="shared" si="489"/>
        <v>14776.743702428308</v>
      </c>
      <c r="N7852" s="329">
        <f t="shared" si="490"/>
        <v>5706.0299926757816</v>
      </c>
      <c r="T7852" s="331">
        <v>0</v>
      </c>
      <c r="U7852" s="328">
        <f>VLOOKUP(C7852,METADATA!$J$5:$Q$29,IF(E7852="HI",2,IF(E7852="LO",6,10))+IF(T7852=1,2,IF(D7852=7,1,(IF(WEEKDAY(B7852)=1,2,IF(WEEKDAY(B7852)=7,1,0))))))</f>
        <v>3</v>
      </c>
      <c r="V7852" s="328">
        <f>VLOOKUP(C7852,METADATA!$A$5:$H$29,IF(E7852="HI",2,IF(E7852="LO",6,10))+IF(T7852=1,2,IF(D7852=7,1,(IF(WEEKDAY(B7852)=1,2,IF(WEEKDAY(B7852)=7,1,0))))))</f>
        <v>3</v>
      </c>
    </row>
    <row r="7853" spans="2:22">
      <c r="B7853" s="318">
        <f t="shared" si="491"/>
        <v>46440</v>
      </c>
      <c r="C7853" s="312">
        <v>1</v>
      </c>
      <c r="D7853" s="368">
        <f>IFERROR((INDEX(METADATA!$T$2:$T$20,MATCH(B7853,METADATA!$S$2:$S$20,0))),0)</f>
        <v>0</v>
      </c>
      <c r="E7853" s="312" t="str">
        <f t="shared" si="488"/>
        <v>LO</v>
      </c>
      <c r="F7853" s="369">
        <f>VLOOKUP(C7853,METADATA!$A$5:$H$29,IF(E7853="HI",2,IF(E7853="LO",6,10))+IF(D7853=1,2,IF(D7853=7,1,(IF(WEEKDAY(B7853)=1,2,IF(WEEKDAY(B7853)=7,1,0))))))</f>
        <v>3</v>
      </c>
      <c r="G7853" s="369">
        <f>VLOOKUP(C7853,METADATA!$J$5:$Q$29,IF(E7853="HI",2,IF(E7853="LO",6,10))+IF(D7853=1,2,IF(D7853=7,1,(IF(WEEKDAY(B7853)=1,2,IF(WEEKDAY(B7853)=7,1,0))))))</f>
        <v>3</v>
      </c>
      <c r="H7853" s="370">
        <v>11980.89013671875</v>
      </c>
      <c r="I7853" s="370">
        <v>9460.6101684570313</v>
      </c>
      <c r="M7853" s="371">
        <f t="shared" si="489"/>
        <v>15265.807323153178</v>
      </c>
      <c r="N7853" s="329">
        <f t="shared" si="490"/>
        <v>5866.343127441407</v>
      </c>
      <c r="T7853" s="331">
        <v>0</v>
      </c>
      <c r="U7853" s="328">
        <f>VLOOKUP(C7853,METADATA!$J$5:$Q$29,IF(E7853="HI",2,IF(E7853="LO",6,10))+IF(T7853=1,2,IF(D7853=7,1,(IF(WEEKDAY(B7853)=1,2,IF(WEEKDAY(B7853)=7,1,0))))))</f>
        <v>3</v>
      </c>
      <c r="V7853" s="328">
        <f>VLOOKUP(C7853,METADATA!$A$5:$H$29,IF(E7853="HI",2,IF(E7853="LO",6,10))+IF(T7853=1,2,IF(D7853=7,1,(IF(WEEKDAY(B7853)=1,2,IF(WEEKDAY(B7853)=7,1,0))))))</f>
        <v>3</v>
      </c>
    </row>
    <row r="7854" spans="2:22">
      <c r="B7854" s="318">
        <f t="shared" si="491"/>
        <v>46440</v>
      </c>
      <c r="C7854" s="312">
        <v>2</v>
      </c>
      <c r="D7854" s="368">
        <f>IFERROR((INDEX(METADATA!$T$2:$T$20,MATCH(B7854,METADATA!$S$2:$S$20,0))),0)</f>
        <v>0</v>
      </c>
      <c r="E7854" s="312" t="str">
        <f t="shared" si="488"/>
        <v>LO</v>
      </c>
      <c r="F7854" s="369">
        <f>VLOOKUP(C7854,METADATA!$A$5:$H$29,IF(E7854="HI",2,IF(E7854="LO",6,10))+IF(D7854=1,2,IF(D7854=7,1,(IF(WEEKDAY(B7854)=1,2,IF(WEEKDAY(B7854)=7,1,0))))))</f>
        <v>3</v>
      </c>
      <c r="G7854" s="369">
        <f>VLOOKUP(C7854,METADATA!$J$5:$Q$29,IF(E7854="HI",2,IF(E7854="LO",6,10))+IF(D7854=1,2,IF(D7854=7,1,(IF(WEEKDAY(B7854)=1,2,IF(WEEKDAY(B7854)=7,1,0))))))</f>
        <v>3</v>
      </c>
      <c r="H7854" s="370">
        <v>11972.925048828125</v>
      </c>
      <c r="I7854" s="370">
        <v>9501.1250610351563</v>
      </c>
      <c r="M7854" s="371">
        <f t="shared" si="489"/>
        <v>15284.708425425924</v>
      </c>
      <c r="N7854" s="329">
        <f t="shared" si="490"/>
        <v>5909.2475463867195</v>
      </c>
      <c r="T7854" s="331">
        <v>0</v>
      </c>
      <c r="U7854" s="328">
        <f>VLOOKUP(C7854,METADATA!$J$5:$Q$29,IF(E7854="HI",2,IF(E7854="LO",6,10))+IF(T7854=1,2,IF(D7854=7,1,(IF(WEEKDAY(B7854)=1,2,IF(WEEKDAY(B7854)=7,1,0))))))</f>
        <v>3</v>
      </c>
      <c r="V7854" s="328">
        <f>VLOOKUP(C7854,METADATA!$A$5:$H$29,IF(E7854="HI",2,IF(E7854="LO",6,10))+IF(T7854=1,2,IF(D7854=7,1,(IF(WEEKDAY(B7854)=1,2,IF(WEEKDAY(B7854)=7,1,0))))))</f>
        <v>3</v>
      </c>
    </row>
    <row r="7855" spans="2:22">
      <c r="B7855" s="318">
        <f t="shared" si="491"/>
        <v>46440</v>
      </c>
      <c r="C7855" s="312">
        <v>3</v>
      </c>
      <c r="D7855" s="368">
        <f>IFERROR((INDEX(METADATA!$T$2:$T$20,MATCH(B7855,METADATA!$S$2:$S$20,0))),0)</f>
        <v>0</v>
      </c>
      <c r="E7855" s="312" t="str">
        <f t="shared" si="488"/>
        <v>LO</v>
      </c>
      <c r="F7855" s="369">
        <f>VLOOKUP(C7855,METADATA!$A$5:$H$29,IF(E7855="HI",2,IF(E7855="LO",6,10))+IF(D7855=1,2,IF(D7855=7,1,(IF(WEEKDAY(B7855)=1,2,IF(WEEKDAY(B7855)=7,1,0))))))</f>
        <v>3</v>
      </c>
      <c r="G7855" s="369">
        <f>VLOOKUP(C7855,METADATA!$J$5:$Q$29,IF(E7855="HI",2,IF(E7855="LO",6,10))+IF(D7855=1,2,IF(D7855=7,1,(IF(WEEKDAY(B7855)=1,2,IF(WEEKDAY(B7855)=7,1,0))))))</f>
        <v>3</v>
      </c>
      <c r="H7855" s="370">
        <v>11970.300048828125</v>
      </c>
      <c r="I7855" s="370">
        <v>9410.25</v>
      </c>
      <c r="M7855" s="371">
        <f t="shared" si="489"/>
        <v>15226.322219153075</v>
      </c>
      <c r="N7855" s="329">
        <f t="shared" si="490"/>
        <v>5819.1599853515627</v>
      </c>
      <c r="T7855" s="331">
        <v>0</v>
      </c>
      <c r="U7855" s="328">
        <f>VLOOKUP(C7855,METADATA!$J$5:$Q$29,IF(E7855="HI",2,IF(E7855="LO",6,10))+IF(T7855=1,2,IF(D7855=7,1,(IF(WEEKDAY(B7855)=1,2,IF(WEEKDAY(B7855)=7,1,0))))))</f>
        <v>3</v>
      </c>
      <c r="V7855" s="328">
        <f>VLOOKUP(C7855,METADATA!$A$5:$H$29,IF(E7855="HI",2,IF(E7855="LO",6,10))+IF(T7855=1,2,IF(D7855=7,1,(IF(WEEKDAY(B7855)=1,2,IF(WEEKDAY(B7855)=7,1,0))))))</f>
        <v>3</v>
      </c>
    </row>
    <row r="7856" spans="2:22">
      <c r="B7856" s="318">
        <f t="shared" si="491"/>
        <v>46440</v>
      </c>
      <c r="C7856" s="312">
        <v>4</v>
      </c>
      <c r="D7856" s="368">
        <f>IFERROR((INDEX(METADATA!$T$2:$T$20,MATCH(B7856,METADATA!$S$2:$S$20,0))),0)</f>
        <v>0</v>
      </c>
      <c r="E7856" s="312" t="str">
        <f t="shared" si="488"/>
        <v>LO</v>
      </c>
      <c r="F7856" s="369">
        <f>VLOOKUP(C7856,METADATA!$A$5:$H$29,IF(E7856="HI",2,IF(E7856="LO",6,10))+IF(D7856=1,2,IF(D7856=7,1,(IF(WEEKDAY(B7856)=1,2,IF(WEEKDAY(B7856)=7,1,0))))))</f>
        <v>3</v>
      </c>
      <c r="G7856" s="369">
        <f>VLOOKUP(C7856,METADATA!$J$5:$Q$29,IF(E7856="HI",2,IF(E7856="LO",6,10))+IF(D7856=1,2,IF(D7856=7,1,(IF(WEEKDAY(B7856)=1,2,IF(WEEKDAY(B7856)=7,1,0))))))</f>
        <v>3</v>
      </c>
      <c r="H7856" s="370">
        <v>12090.525024414063</v>
      </c>
      <c r="I7856" s="370">
        <v>9462.0250244140625</v>
      </c>
      <c r="M7856" s="371">
        <f t="shared" si="489"/>
        <v>15352.873116411161</v>
      </c>
      <c r="N7856" s="329">
        <f t="shared" si="490"/>
        <v>5834.8675170898441</v>
      </c>
      <c r="T7856" s="331">
        <v>0</v>
      </c>
      <c r="U7856" s="328">
        <f>VLOOKUP(C7856,METADATA!$J$5:$Q$29,IF(E7856="HI",2,IF(E7856="LO",6,10))+IF(T7856=1,2,IF(D7856=7,1,(IF(WEEKDAY(B7856)=1,2,IF(WEEKDAY(B7856)=7,1,0))))))</f>
        <v>3</v>
      </c>
      <c r="V7856" s="328">
        <f>VLOOKUP(C7856,METADATA!$A$5:$H$29,IF(E7856="HI",2,IF(E7856="LO",6,10))+IF(T7856=1,2,IF(D7856=7,1,(IF(WEEKDAY(B7856)=1,2,IF(WEEKDAY(B7856)=7,1,0))))))</f>
        <v>3</v>
      </c>
    </row>
    <row r="7857" spans="2:22">
      <c r="B7857" s="318">
        <f t="shared" si="491"/>
        <v>46440</v>
      </c>
      <c r="C7857" s="312">
        <v>5</v>
      </c>
      <c r="D7857" s="368">
        <f>IFERROR((INDEX(METADATA!$T$2:$T$20,MATCH(B7857,METADATA!$S$2:$S$20,0))),0)</f>
        <v>0</v>
      </c>
      <c r="E7857" s="312" t="str">
        <f t="shared" si="488"/>
        <v>LO</v>
      </c>
      <c r="F7857" s="369">
        <f>VLOOKUP(C7857,METADATA!$A$5:$H$29,IF(E7857="HI",2,IF(E7857="LO",6,10))+IF(D7857=1,2,IF(D7857=7,1,(IF(WEEKDAY(B7857)=1,2,IF(WEEKDAY(B7857)=7,1,0))))))</f>
        <v>3</v>
      </c>
      <c r="G7857" s="369">
        <f>VLOOKUP(C7857,METADATA!$J$5:$Q$29,IF(E7857="HI",2,IF(E7857="LO",6,10))+IF(D7857=1,2,IF(D7857=7,1,(IF(WEEKDAY(B7857)=1,2,IF(WEEKDAY(B7857)=7,1,0))))))</f>
        <v>3</v>
      </c>
      <c r="H7857" s="370">
        <v>10944.249633789063</v>
      </c>
      <c r="I7857" s="370">
        <v>8774.9674987792969</v>
      </c>
      <c r="M7857" s="371">
        <f t="shared" si="489"/>
        <v>14027.710242634934</v>
      </c>
      <c r="N7857" s="329">
        <f t="shared" si="490"/>
        <v>5491.6926086425783</v>
      </c>
      <c r="T7857" s="331">
        <v>0</v>
      </c>
      <c r="U7857" s="328">
        <f>VLOOKUP(C7857,METADATA!$J$5:$Q$29,IF(E7857="HI",2,IF(E7857="LO",6,10))+IF(T7857=1,2,IF(D7857=7,1,(IF(WEEKDAY(B7857)=1,2,IF(WEEKDAY(B7857)=7,1,0))))))</f>
        <v>3</v>
      </c>
      <c r="V7857" s="328">
        <f>VLOOKUP(C7857,METADATA!$A$5:$H$29,IF(E7857="HI",2,IF(E7857="LO",6,10))+IF(T7857=1,2,IF(D7857=7,1,(IF(WEEKDAY(B7857)=1,2,IF(WEEKDAY(B7857)=7,1,0))))))</f>
        <v>3</v>
      </c>
    </row>
    <row r="7858" spans="2:22">
      <c r="B7858" s="318">
        <f t="shared" si="491"/>
        <v>46440</v>
      </c>
      <c r="C7858" s="312">
        <v>6</v>
      </c>
      <c r="D7858" s="368">
        <f>IFERROR((INDEX(METADATA!$T$2:$T$20,MATCH(B7858,METADATA!$S$2:$S$20,0))),0)</f>
        <v>0</v>
      </c>
      <c r="E7858" s="312" t="str">
        <f t="shared" si="488"/>
        <v>LO</v>
      </c>
      <c r="F7858" s="369">
        <f>VLOOKUP(C7858,METADATA!$A$5:$H$29,IF(E7858="HI",2,IF(E7858="LO",6,10))+IF(D7858=1,2,IF(D7858=7,1,(IF(WEEKDAY(B7858)=1,2,IF(WEEKDAY(B7858)=7,1,0))))))</f>
        <v>2</v>
      </c>
      <c r="G7858" s="369">
        <f>VLOOKUP(C7858,METADATA!$J$5:$Q$29,IF(E7858="HI",2,IF(E7858="LO",6,10))+IF(D7858=1,2,IF(D7858=7,1,(IF(WEEKDAY(B7858)=1,2,IF(WEEKDAY(B7858)=7,1,0))))))</f>
        <v>2</v>
      </c>
      <c r="H7858" s="370">
        <v>5597.8474731445313</v>
      </c>
      <c r="I7858" s="370">
        <v>5618.9999084472656</v>
      </c>
      <c r="M7858" s="371">
        <f t="shared" si="489"/>
        <v>7931.5229498325853</v>
      </c>
      <c r="N7858" s="329">
        <f t="shared" si="490"/>
        <v>3939.6456665039063</v>
      </c>
      <c r="T7858" s="331">
        <v>0</v>
      </c>
      <c r="U7858" s="328">
        <f>VLOOKUP(C7858,METADATA!$J$5:$Q$29,IF(E7858="HI",2,IF(E7858="LO",6,10))+IF(T7858=1,2,IF(D7858=7,1,(IF(WEEKDAY(B7858)=1,2,IF(WEEKDAY(B7858)=7,1,0))))))</f>
        <v>2</v>
      </c>
      <c r="V7858" s="328">
        <f>VLOOKUP(C7858,METADATA!$A$5:$H$29,IF(E7858="HI",2,IF(E7858="LO",6,10))+IF(T7858=1,2,IF(D7858=7,1,(IF(WEEKDAY(B7858)=1,2,IF(WEEKDAY(B7858)=7,1,0))))))</f>
        <v>2</v>
      </c>
    </row>
    <row r="7859" spans="2:22">
      <c r="B7859" s="318">
        <f t="shared" si="491"/>
        <v>46440</v>
      </c>
      <c r="C7859" s="312">
        <v>7</v>
      </c>
      <c r="D7859" s="368">
        <f>IFERROR((INDEX(METADATA!$T$2:$T$20,MATCH(B7859,METADATA!$S$2:$S$20,0))),0)</f>
        <v>0</v>
      </c>
      <c r="E7859" s="312" t="str">
        <f t="shared" si="488"/>
        <v>LO</v>
      </c>
      <c r="F7859" s="369">
        <f>VLOOKUP(C7859,METADATA!$A$5:$H$29,IF(E7859="HI",2,IF(E7859="LO",6,10))+IF(D7859=1,2,IF(D7859=7,1,(IF(WEEKDAY(B7859)=1,2,IF(WEEKDAY(B7859)=7,1,0))))))</f>
        <v>1</v>
      </c>
      <c r="G7859" s="369">
        <f>VLOOKUP(C7859,METADATA!$J$5:$Q$29,IF(E7859="HI",2,IF(E7859="LO",6,10))+IF(D7859=1,2,IF(D7859=7,1,(IF(WEEKDAY(B7859)=1,2,IF(WEEKDAY(B7859)=7,1,0))))))</f>
        <v>1</v>
      </c>
      <c r="H7859" s="370">
        <v>5100.5149536132813</v>
      </c>
      <c r="I7859" s="370">
        <v>5006.75</v>
      </c>
      <c r="M7859" s="371">
        <f t="shared" si="489"/>
        <v>7147.2231219217365</v>
      </c>
      <c r="N7859" s="329">
        <f t="shared" si="490"/>
        <v>3476.595513916016</v>
      </c>
      <c r="T7859" s="331">
        <v>0</v>
      </c>
      <c r="U7859" s="328">
        <f>VLOOKUP(C7859,METADATA!$J$5:$Q$29,IF(E7859="HI",2,IF(E7859="LO",6,10))+IF(T7859=1,2,IF(D7859=7,1,(IF(WEEKDAY(B7859)=1,2,IF(WEEKDAY(B7859)=7,1,0))))))</f>
        <v>1</v>
      </c>
      <c r="V7859" s="328">
        <f>VLOOKUP(C7859,METADATA!$A$5:$H$29,IF(E7859="HI",2,IF(E7859="LO",6,10))+IF(T7859=1,2,IF(D7859=7,1,(IF(WEEKDAY(B7859)=1,2,IF(WEEKDAY(B7859)=7,1,0))))))</f>
        <v>1</v>
      </c>
    </row>
    <row r="7860" spans="2:22">
      <c r="B7860" s="318">
        <f t="shared" si="491"/>
        <v>46440</v>
      </c>
      <c r="C7860" s="312">
        <v>8</v>
      </c>
      <c r="D7860" s="368">
        <f>IFERROR((INDEX(METADATA!$T$2:$T$20,MATCH(B7860,METADATA!$S$2:$S$20,0))),0)</f>
        <v>0</v>
      </c>
      <c r="E7860" s="312" t="str">
        <f t="shared" si="488"/>
        <v>LO</v>
      </c>
      <c r="F7860" s="369">
        <f>VLOOKUP(C7860,METADATA!$A$5:$H$29,IF(E7860="HI",2,IF(E7860="LO",6,10))+IF(D7860=1,2,IF(D7860=7,1,(IF(WEEKDAY(B7860)=1,2,IF(WEEKDAY(B7860)=7,1,0))))))</f>
        <v>1</v>
      </c>
      <c r="G7860" s="369">
        <f>VLOOKUP(C7860,METADATA!$J$5:$Q$29,IF(E7860="HI",2,IF(E7860="LO",6,10))+IF(D7860=1,2,IF(D7860=7,1,(IF(WEEKDAY(B7860)=1,2,IF(WEEKDAY(B7860)=7,1,0))))))</f>
        <v>1</v>
      </c>
      <c r="H7860" s="370">
        <v>4277.5223388671875</v>
      </c>
      <c r="I7860" s="370">
        <v>4206.5899658203125</v>
      </c>
      <c r="M7860" s="371">
        <f t="shared" si="489"/>
        <v>5999.3830099476027</v>
      </c>
      <c r="N7860" s="329">
        <f t="shared" si="490"/>
        <v>2923.3332641601564</v>
      </c>
      <c r="T7860" s="331">
        <v>0</v>
      </c>
      <c r="U7860" s="328">
        <f>VLOOKUP(C7860,METADATA!$J$5:$Q$29,IF(E7860="HI",2,IF(E7860="LO",6,10))+IF(T7860=1,2,IF(D7860=7,1,(IF(WEEKDAY(B7860)=1,2,IF(WEEKDAY(B7860)=7,1,0))))))</f>
        <v>1</v>
      </c>
      <c r="V7860" s="328">
        <f>VLOOKUP(C7860,METADATA!$A$5:$H$29,IF(E7860="HI",2,IF(E7860="LO",6,10))+IF(T7860=1,2,IF(D7860=7,1,(IF(WEEKDAY(B7860)=1,2,IF(WEEKDAY(B7860)=7,1,0))))))</f>
        <v>1</v>
      </c>
    </row>
    <row r="7861" spans="2:22">
      <c r="B7861" s="318">
        <f t="shared" si="491"/>
        <v>46440</v>
      </c>
      <c r="C7861" s="312">
        <v>9</v>
      </c>
      <c r="D7861" s="368">
        <f>IFERROR((INDEX(METADATA!$T$2:$T$20,MATCH(B7861,METADATA!$S$2:$S$20,0))),0)</f>
        <v>0</v>
      </c>
      <c r="E7861" s="312" t="str">
        <f t="shared" si="488"/>
        <v>LO</v>
      </c>
      <c r="F7861" s="369">
        <f>VLOOKUP(C7861,METADATA!$A$5:$H$29,IF(E7861="HI",2,IF(E7861="LO",6,10))+IF(D7861=1,2,IF(D7861=7,1,(IF(WEEKDAY(B7861)=1,2,IF(WEEKDAY(B7861)=7,1,0))))))</f>
        <v>2</v>
      </c>
      <c r="G7861" s="369">
        <f>VLOOKUP(C7861,METADATA!$J$5:$Q$29,IF(E7861="HI",2,IF(E7861="LO",6,10))+IF(D7861=1,2,IF(D7861=7,1,(IF(WEEKDAY(B7861)=1,2,IF(WEEKDAY(B7861)=7,1,0))))))</f>
        <v>2</v>
      </c>
      <c r="H7861" s="370">
        <v>4113.927490234375</v>
      </c>
      <c r="I7861" s="370">
        <v>4111.887451171875</v>
      </c>
      <c r="M7861" s="371">
        <f t="shared" si="489"/>
        <v>5816.5297047303766</v>
      </c>
      <c r="N7861" s="329">
        <f t="shared" si="490"/>
        <v>2877.7092041015626</v>
      </c>
      <c r="T7861" s="331">
        <v>0</v>
      </c>
      <c r="U7861" s="328">
        <f>VLOOKUP(C7861,METADATA!$J$5:$Q$29,IF(E7861="HI",2,IF(E7861="LO",6,10))+IF(T7861=1,2,IF(D7861=7,1,(IF(WEEKDAY(B7861)=1,2,IF(WEEKDAY(B7861)=7,1,0))))))</f>
        <v>2</v>
      </c>
      <c r="V7861" s="328">
        <f>VLOOKUP(C7861,METADATA!$A$5:$H$29,IF(E7861="HI",2,IF(E7861="LO",6,10))+IF(T7861=1,2,IF(D7861=7,1,(IF(WEEKDAY(B7861)=1,2,IF(WEEKDAY(B7861)=7,1,0))))))</f>
        <v>2</v>
      </c>
    </row>
    <row r="7862" spans="2:22">
      <c r="B7862" s="318">
        <f t="shared" si="491"/>
        <v>46440</v>
      </c>
      <c r="C7862" s="312">
        <v>10</v>
      </c>
      <c r="D7862" s="368">
        <f>IFERROR((INDEX(METADATA!$T$2:$T$20,MATCH(B7862,METADATA!$S$2:$S$20,0))),0)</f>
        <v>0</v>
      </c>
      <c r="E7862" s="312" t="str">
        <f t="shared" si="488"/>
        <v>LO</v>
      </c>
      <c r="F7862" s="369">
        <f>VLOOKUP(C7862,METADATA!$A$5:$H$29,IF(E7862="HI",2,IF(E7862="LO",6,10))+IF(D7862=1,2,IF(D7862=7,1,(IF(WEEKDAY(B7862)=1,2,IF(WEEKDAY(B7862)=7,1,0))))))</f>
        <v>2</v>
      </c>
      <c r="G7862" s="369">
        <f>VLOOKUP(C7862,METADATA!$J$5:$Q$29,IF(E7862="HI",2,IF(E7862="LO",6,10))+IF(D7862=1,2,IF(D7862=7,1,(IF(WEEKDAY(B7862)=1,2,IF(WEEKDAY(B7862)=7,1,0))))))</f>
        <v>2</v>
      </c>
      <c r="H7862" s="370">
        <v>3408.8500366210938</v>
      </c>
      <c r="I7862" s="370">
        <v>3465.4024658203125</v>
      </c>
      <c r="M7862" s="371">
        <f t="shared" si="489"/>
        <v>4860.9950444621045</v>
      </c>
      <c r="N7862" s="329">
        <f t="shared" si="490"/>
        <v>2442.7474548339842</v>
      </c>
      <c r="T7862" s="331">
        <v>0</v>
      </c>
      <c r="U7862" s="328">
        <f>VLOOKUP(C7862,METADATA!$J$5:$Q$29,IF(E7862="HI",2,IF(E7862="LO",6,10))+IF(T7862=1,2,IF(D7862=7,1,(IF(WEEKDAY(B7862)=1,2,IF(WEEKDAY(B7862)=7,1,0))))))</f>
        <v>2</v>
      </c>
      <c r="V7862" s="328">
        <f>VLOOKUP(C7862,METADATA!$A$5:$H$29,IF(E7862="HI",2,IF(E7862="LO",6,10))+IF(T7862=1,2,IF(D7862=7,1,(IF(WEEKDAY(B7862)=1,2,IF(WEEKDAY(B7862)=7,1,0))))))</f>
        <v>2</v>
      </c>
    </row>
    <row r="7863" spans="2:22">
      <c r="B7863" s="318">
        <f t="shared" si="491"/>
        <v>46440</v>
      </c>
      <c r="C7863" s="312">
        <v>11</v>
      </c>
      <c r="D7863" s="368">
        <f>IFERROR((INDEX(METADATA!$T$2:$T$20,MATCH(B7863,METADATA!$S$2:$S$20,0))),0)</f>
        <v>0</v>
      </c>
      <c r="E7863" s="312" t="str">
        <f t="shared" si="488"/>
        <v>LO</v>
      </c>
      <c r="F7863" s="369">
        <f>VLOOKUP(C7863,METADATA!$A$5:$H$29,IF(E7863="HI",2,IF(E7863="LO",6,10))+IF(D7863=1,2,IF(D7863=7,1,(IF(WEEKDAY(B7863)=1,2,IF(WEEKDAY(B7863)=7,1,0))))))</f>
        <v>2</v>
      </c>
      <c r="G7863" s="369">
        <f>VLOOKUP(C7863,METADATA!$J$5:$Q$29,IF(E7863="HI",2,IF(E7863="LO",6,10))+IF(D7863=1,2,IF(D7863=7,1,(IF(WEEKDAY(B7863)=1,2,IF(WEEKDAY(B7863)=7,1,0))))))</f>
        <v>2</v>
      </c>
      <c r="H7863" s="370">
        <v>2955.9599914550781</v>
      </c>
      <c r="I7863" s="370">
        <v>2984.3299865722656</v>
      </c>
      <c r="M7863" s="371">
        <f t="shared" si="489"/>
        <v>4200.4672287541443</v>
      </c>
      <c r="N7863" s="329">
        <f t="shared" si="490"/>
        <v>2097.5419891357424</v>
      </c>
      <c r="T7863" s="331">
        <v>0</v>
      </c>
      <c r="U7863" s="328">
        <f>VLOOKUP(C7863,METADATA!$J$5:$Q$29,IF(E7863="HI",2,IF(E7863="LO",6,10))+IF(T7863=1,2,IF(D7863=7,1,(IF(WEEKDAY(B7863)=1,2,IF(WEEKDAY(B7863)=7,1,0))))))</f>
        <v>2</v>
      </c>
      <c r="V7863" s="328">
        <f>VLOOKUP(C7863,METADATA!$A$5:$H$29,IF(E7863="HI",2,IF(E7863="LO",6,10))+IF(T7863=1,2,IF(D7863=7,1,(IF(WEEKDAY(B7863)=1,2,IF(WEEKDAY(B7863)=7,1,0))))))</f>
        <v>2</v>
      </c>
    </row>
    <row r="7864" spans="2:22">
      <c r="B7864" s="318">
        <f t="shared" si="491"/>
        <v>46440</v>
      </c>
      <c r="C7864" s="312">
        <v>12</v>
      </c>
      <c r="D7864" s="368">
        <f>IFERROR((INDEX(METADATA!$T$2:$T$20,MATCH(B7864,METADATA!$S$2:$S$20,0))),0)</f>
        <v>0</v>
      </c>
      <c r="E7864" s="312" t="str">
        <f t="shared" si="488"/>
        <v>LO</v>
      </c>
      <c r="F7864" s="369">
        <f>VLOOKUP(C7864,METADATA!$A$5:$H$29,IF(E7864="HI",2,IF(E7864="LO",6,10))+IF(D7864=1,2,IF(D7864=7,1,(IF(WEEKDAY(B7864)=1,2,IF(WEEKDAY(B7864)=7,1,0))))))</f>
        <v>2</v>
      </c>
      <c r="G7864" s="369">
        <f>VLOOKUP(C7864,METADATA!$J$5:$Q$29,IF(E7864="HI",2,IF(E7864="LO",6,10))+IF(D7864=1,2,IF(D7864=7,1,(IF(WEEKDAY(B7864)=1,2,IF(WEEKDAY(B7864)=7,1,0))))))</f>
        <v>2</v>
      </c>
      <c r="H7864" s="370">
        <v>3378.2825012207031</v>
      </c>
      <c r="I7864" s="370">
        <v>3332.6049194335938</v>
      </c>
      <c r="M7864" s="371">
        <f t="shared" si="489"/>
        <v>4745.4239228004699</v>
      </c>
      <c r="N7864" s="329">
        <f t="shared" si="490"/>
        <v>2319.1201690673829</v>
      </c>
      <c r="T7864" s="331">
        <v>0</v>
      </c>
      <c r="U7864" s="328">
        <f>VLOOKUP(C7864,METADATA!$J$5:$Q$29,IF(E7864="HI",2,IF(E7864="LO",6,10))+IF(T7864=1,2,IF(D7864=7,1,(IF(WEEKDAY(B7864)=1,2,IF(WEEKDAY(B7864)=7,1,0))))))</f>
        <v>2</v>
      </c>
      <c r="V7864" s="328">
        <f>VLOOKUP(C7864,METADATA!$A$5:$H$29,IF(E7864="HI",2,IF(E7864="LO",6,10))+IF(T7864=1,2,IF(D7864=7,1,(IF(WEEKDAY(B7864)=1,2,IF(WEEKDAY(B7864)=7,1,0))))))</f>
        <v>2</v>
      </c>
    </row>
    <row r="7865" spans="2:22">
      <c r="B7865" s="318">
        <f t="shared" si="491"/>
        <v>46440</v>
      </c>
      <c r="C7865" s="312">
        <v>13</v>
      </c>
      <c r="D7865" s="368">
        <f>IFERROR((INDEX(METADATA!$T$2:$T$20,MATCH(B7865,METADATA!$S$2:$S$20,0))),0)</f>
        <v>0</v>
      </c>
      <c r="E7865" s="312" t="str">
        <f t="shared" si="488"/>
        <v>LO</v>
      </c>
      <c r="F7865" s="369">
        <f>VLOOKUP(C7865,METADATA!$A$5:$H$29,IF(E7865="HI",2,IF(E7865="LO",6,10))+IF(D7865=1,2,IF(D7865=7,1,(IF(WEEKDAY(B7865)=1,2,IF(WEEKDAY(B7865)=7,1,0))))))</f>
        <v>2</v>
      </c>
      <c r="G7865" s="369">
        <f>VLOOKUP(C7865,METADATA!$J$5:$Q$29,IF(E7865="HI",2,IF(E7865="LO",6,10))+IF(D7865=1,2,IF(D7865=7,1,(IF(WEEKDAY(B7865)=1,2,IF(WEEKDAY(B7865)=7,1,0))))))</f>
        <v>2</v>
      </c>
      <c r="H7865" s="370">
        <v>3719.2700805664063</v>
      </c>
      <c r="I7865" s="370">
        <v>3645.5149841308594</v>
      </c>
      <c r="M7865" s="371">
        <f t="shared" si="489"/>
        <v>5207.9505980490121</v>
      </c>
      <c r="N7865" s="329">
        <f t="shared" si="490"/>
        <v>2529.7339599609377</v>
      </c>
      <c r="T7865" s="331">
        <v>0</v>
      </c>
      <c r="U7865" s="328">
        <f>VLOOKUP(C7865,METADATA!$J$5:$Q$29,IF(E7865="HI",2,IF(E7865="LO",6,10))+IF(T7865=1,2,IF(D7865=7,1,(IF(WEEKDAY(B7865)=1,2,IF(WEEKDAY(B7865)=7,1,0))))))</f>
        <v>2</v>
      </c>
      <c r="V7865" s="328">
        <f>VLOOKUP(C7865,METADATA!$A$5:$H$29,IF(E7865="HI",2,IF(E7865="LO",6,10))+IF(T7865=1,2,IF(D7865=7,1,(IF(WEEKDAY(B7865)=1,2,IF(WEEKDAY(B7865)=7,1,0))))))</f>
        <v>2</v>
      </c>
    </row>
    <row r="7866" spans="2:22">
      <c r="B7866" s="318">
        <f t="shared" si="491"/>
        <v>46440</v>
      </c>
      <c r="C7866" s="312">
        <v>14</v>
      </c>
      <c r="D7866" s="368">
        <f>IFERROR((INDEX(METADATA!$T$2:$T$20,MATCH(B7866,METADATA!$S$2:$S$20,0))),0)</f>
        <v>0</v>
      </c>
      <c r="E7866" s="312" t="str">
        <f t="shared" si="488"/>
        <v>LO</v>
      </c>
      <c r="F7866" s="369">
        <f>VLOOKUP(C7866,METADATA!$A$5:$H$29,IF(E7866="HI",2,IF(E7866="LO",6,10))+IF(D7866=1,2,IF(D7866=7,1,(IF(WEEKDAY(B7866)=1,2,IF(WEEKDAY(B7866)=7,1,0))))))</f>
        <v>2</v>
      </c>
      <c r="G7866" s="369">
        <f>VLOOKUP(C7866,METADATA!$J$5:$Q$29,IF(E7866="HI",2,IF(E7866="LO",6,10))+IF(D7866=1,2,IF(D7866=7,1,(IF(WEEKDAY(B7866)=1,2,IF(WEEKDAY(B7866)=7,1,0))))))</f>
        <v>2</v>
      </c>
      <c r="H7866" s="370">
        <v>3754.9100341796875</v>
      </c>
      <c r="I7866" s="370">
        <v>3585.8399658203125</v>
      </c>
      <c r="M7866" s="371">
        <f t="shared" si="489"/>
        <v>5192.0706491011388</v>
      </c>
      <c r="N7866" s="329">
        <f t="shared" si="490"/>
        <v>2459.3669555664064</v>
      </c>
      <c r="T7866" s="331">
        <v>0</v>
      </c>
      <c r="U7866" s="328">
        <f>VLOOKUP(C7866,METADATA!$J$5:$Q$29,IF(E7866="HI",2,IF(E7866="LO",6,10))+IF(T7866=1,2,IF(D7866=7,1,(IF(WEEKDAY(B7866)=1,2,IF(WEEKDAY(B7866)=7,1,0))))))</f>
        <v>2</v>
      </c>
      <c r="V7866" s="328">
        <f>VLOOKUP(C7866,METADATA!$A$5:$H$29,IF(E7866="HI",2,IF(E7866="LO",6,10))+IF(T7866=1,2,IF(D7866=7,1,(IF(WEEKDAY(B7866)=1,2,IF(WEEKDAY(B7866)=7,1,0))))))</f>
        <v>2</v>
      </c>
    </row>
    <row r="7867" spans="2:22">
      <c r="B7867" s="318">
        <f t="shared" si="491"/>
        <v>46440</v>
      </c>
      <c r="C7867" s="312">
        <v>15</v>
      </c>
      <c r="D7867" s="368">
        <f>IFERROR((INDEX(METADATA!$T$2:$T$20,MATCH(B7867,METADATA!$S$2:$S$20,0))),0)</f>
        <v>0</v>
      </c>
      <c r="E7867" s="312" t="str">
        <f t="shared" si="488"/>
        <v>LO</v>
      </c>
      <c r="F7867" s="369">
        <f>VLOOKUP(C7867,METADATA!$A$5:$H$29,IF(E7867="HI",2,IF(E7867="LO",6,10))+IF(D7867=1,2,IF(D7867=7,1,(IF(WEEKDAY(B7867)=1,2,IF(WEEKDAY(B7867)=7,1,0))))))</f>
        <v>2</v>
      </c>
      <c r="G7867" s="369">
        <f>VLOOKUP(C7867,METADATA!$J$5:$Q$29,IF(E7867="HI",2,IF(E7867="LO",6,10))+IF(D7867=1,2,IF(D7867=7,1,(IF(WEEKDAY(B7867)=1,2,IF(WEEKDAY(B7867)=7,1,0))))))</f>
        <v>2</v>
      </c>
      <c r="H7867" s="370">
        <v>2885.1600036621094</v>
      </c>
      <c r="I7867" s="370">
        <v>3065.760009765625</v>
      </c>
      <c r="M7867" s="371">
        <f t="shared" si="489"/>
        <v>4209.8732384965779</v>
      </c>
      <c r="N7867" s="329">
        <f t="shared" si="490"/>
        <v>2200.212008666992</v>
      </c>
      <c r="T7867" s="331">
        <v>0</v>
      </c>
      <c r="U7867" s="328">
        <f>VLOOKUP(C7867,METADATA!$J$5:$Q$29,IF(E7867="HI",2,IF(E7867="LO",6,10))+IF(T7867=1,2,IF(D7867=7,1,(IF(WEEKDAY(B7867)=1,2,IF(WEEKDAY(B7867)=7,1,0))))))</f>
        <v>2</v>
      </c>
      <c r="V7867" s="328">
        <f>VLOOKUP(C7867,METADATA!$A$5:$H$29,IF(E7867="HI",2,IF(E7867="LO",6,10))+IF(T7867=1,2,IF(D7867=7,1,(IF(WEEKDAY(B7867)=1,2,IF(WEEKDAY(B7867)=7,1,0))))))</f>
        <v>2</v>
      </c>
    </row>
    <row r="7868" spans="2:22">
      <c r="B7868" s="318">
        <f t="shared" si="491"/>
        <v>46440</v>
      </c>
      <c r="C7868" s="312">
        <v>16</v>
      </c>
      <c r="D7868" s="368">
        <f>IFERROR((INDEX(METADATA!$T$2:$T$20,MATCH(B7868,METADATA!$S$2:$S$20,0))),0)</f>
        <v>0</v>
      </c>
      <c r="E7868" s="312" t="str">
        <f t="shared" si="488"/>
        <v>LO</v>
      </c>
      <c r="F7868" s="369">
        <f>VLOOKUP(C7868,METADATA!$A$5:$H$29,IF(E7868="HI",2,IF(E7868="LO",6,10))+IF(D7868=1,2,IF(D7868=7,1,(IF(WEEKDAY(B7868)=1,2,IF(WEEKDAY(B7868)=7,1,0))))))</f>
        <v>2</v>
      </c>
      <c r="G7868" s="369">
        <f>VLOOKUP(C7868,METADATA!$J$5:$Q$29,IF(E7868="HI",2,IF(E7868="LO",6,10))+IF(D7868=1,2,IF(D7868=7,1,(IF(WEEKDAY(B7868)=1,2,IF(WEEKDAY(B7868)=7,1,0))))))</f>
        <v>2</v>
      </c>
      <c r="H7868" s="370">
        <v>2828.6874694824219</v>
      </c>
      <c r="I7868" s="370">
        <v>2988.4550170898438</v>
      </c>
      <c r="M7868" s="371">
        <f t="shared" si="489"/>
        <v>4114.89200212792</v>
      </c>
      <c r="N7868" s="329">
        <f t="shared" si="490"/>
        <v>2139.8487762451173</v>
      </c>
      <c r="T7868" s="331">
        <v>0</v>
      </c>
      <c r="U7868" s="328">
        <f>VLOOKUP(C7868,METADATA!$J$5:$Q$29,IF(E7868="HI",2,IF(E7868="LO",6,10))+IF(T7868=1,2,IF(D7868=7,1,(IF(WEEKDAY(B7868)=1,2,IF(WEEKDAY(B7868)=7,1,0))))))</f>
        <v>2</v>
      </c>
      <c r="V7868" s="328">
        <f>VLOOKUP(C7868,METADATA!$A$5:$H$29,IF(E7868="HI",2,IF(E7868="LO",6,10))+IF(T7868=1,2,IF(D7868=7,1,(IF(WEEKDAY(B7868)=1,2,IF(WEEKDAY(B7868)=7,1,0))))))</f>
        <v>2</v>
      </c>
    </row>
    <row r="7869" spans="2:22">
      <c r="B7869" s="318">
        <f t="shared" si="491"/>
        <v>46440</v>
      </c>
      <c r="C7869" s="312">
        <v>17</v>
      </c>
      <c r="D7869" s="368">
        <f>IFERROR((INDEX(METADATA!$T$2:$T$20,MATCH(B7869,METADATA!$S$2:$S$20,0))),0)</f>
        <v>0</v>
      </c>
      <c r="E7869" s="312" t="str">
        <f t="shared" si="488"/>
        <v>LO</v>
      </c>
      <c r="F7869" s="369">
        <f>VLOOKUP(C7869,METADATA!$A$5:$H$29,IF(E7869="HI",2,IF(E7869="LO",6,10))+IF(D7869=1,2,IF(D7869=7,1,(IF(WEEKDAY(B7869)=1,2,IF(WEEKDAY(B7869)=7,1,0))))))</f>
        <v>2</v>
      </c>
      <c r="G7869" s="369">
        <f>VLOOKUP(C7869,METADATA!$J$5:$Q$29,IF(E7869="HI",2,IF(E7869="LO",6,10))+IF(D7869=1,2,IF(D7869=7,1,(IF(WEEKDAY(B7869)=1,2,IF(WEEKDAY(B7869)=7,1,0))))))</f>
        <v>2</v>
      </c>
      <c r="H7869" s="370">
        <v>4644.6150207519531</v>
      </c>
      <c r="I7869" s="370">
        <v>4062.0800476074219</v>
      </c>
      <c r="M7869" s="371">
        <f t="shared" si="489"/>
        <v>6170.3276253506165</v>
      </c>
      <c r="N7869" s="329">
        <f t="shared" si="490"/>
        <v>2668.6955413818359</v>
      </c>
      <c r="T7869" s="331">
        <v>0</v>
      </c>
      <c r="U7869" s="328">
        <f>VLOOKUP(C7869,METADATA!$J$5:$Q$29,IF(E7869="HI",2,IF(E7869="LO",6,10))+IF(T7869=1,2,IF(D7869=7,1,(IF(WEEKDAY(B7869)=1,2,IF(WEEKDAY(B7869)=7,1,0))))))</f>
        <v>2</v>
      </c>
      <c r="V7869" s="328">
        <f>VLOOKUP(C7869,METADATA!$A$5:$H$29,IF(E7869="HI",2,IF(E7869="LO",6,10))+IF(T7869=1,2,IF(D7869=7,1,(IF(WEEKDAY(B7869)=1,2,IF(WEEKDAY(B7869)=7,1,0))))))</f>
        <v>2</v>
      </c>
    </row>
    <row r="7870" spans="2:22">
      <c r="B7870" s="318">
        <f t="shared" si="491"/>
        <v>46440</v>
      </c>
      <c r="C7870" s="312">
        <v>18</v>
      </c>
      <c r="D7870" s="368">
        <f>IFERROR((INDEX(METADATA!$T$2:$T$20,MATCH(B7870,METADATA!$S$2:$S$20,0))),0)</f>
        <v>0</v>
      </c>
      <c r="E7870" s="312" t="str">
        <f t="shared" si="488"/>
        <v>LO</v>
      </c>
      <c r="F7870" s="369">
        <f>VLOOKUP(C7870,METADATA!$A$5:$H$29,IF(E7870="HI",2,IF(E7870="LO",6,10))+IF(D7870=1,2,IF(D7870=7,1,(IF(WEEKDAY(B7870)=1,2,IF(WEEKDAY(B7870)=7,1,0))))))</f>
        <v>1</v>
      </c>
      <c r="G7870" s="369">
        <f>VLOOKUP(C7870,METADATA!$J$5:$Q$29,IF(E7870="HI",2,IF(E7870="LO",6,10))+IF(D7870=1,2,IF(D7870=7,1,(IF(WEEKDAY(B7870)=1,2,IF(WEEKDAY(B7870)=7,1,0))))))</f>
        <v>1</v>
      </c>
      <c r="H7870" s="370">
        <v>7491.0252685546875</v>
      </c>
      <c r="I7870" s="370">
        <v>6177.9749145507813</v>
      </c>
      <c r="M7870" s="371">
        <f t="shared" si="489"/>
        <v>9709.9347896339423</v>
      </c>
      <c r="N7870" s="329">
        <f t="shared" si="490"/>
        <v>3930.6673339843751</v>
      </c>
      <c r="T7870" s="331">
        <v>0</v>
      </c>
      <c r="U7870" s="328">
        <f>VLOOKUP(C7870,METADATA!$J$5:$Q$29,IF(E7870="HI",2,IF(E7870="LO",6,10))+IF(T7870=1,2,IF(D7870=7,1,(IF(WEEKDAY(B7870)=1,2,IF(WEEKDAY(B7870)=7,1,0))))))</f>
        <v>1</v>
      </c>
      <c r="V7870" s="328">
        <f>VLOOKUP(C7870,METADATA!$A$5:$H$29,IF(E7870="HI",2,IF(E7870="LO",6,10))+IF(T7870=1,2,IF(D7870=7,1,(IF(WEEKDAY(B7870)=1,2,IF(WEEKDAY(B7870)=7,1,0))))))</f>
        <v>1</v>
      </c>
    </row>
    <row r="7871" spans="2:22">
      <c r="B7871" s="318">
        <f t="shared" si="491"/>
        <v>46440</v>
      </c>
      <c r="C7871" s="312">
        <v>19</v>
      </c>
      <c r="D7871" s="368">
        <f>IFERROR((INDEX(METADATA!$T$2:$T$20,MATCH(B7871,METADATA!$S$2:$S$20,0))),0)</f>
        <v>0</v>
      </c>
      <c r="E7871" s="312" t="str">
        <f t="shared" si="488"/>
        <v>LO</v>
      </c>
      <c r="F7871" s="369">
        <f>VLOOKUP(C7871,METADATA!$A$5:$H$29,IF(E7871="HI",2,IF(E7871="LO",6,10))+IF(D7871=1,2,IF(D7871=7,1,(IF(WEEKDAY(B7871)=1,2,IF(WEEKDAY(B7871)=7,1,0))))))</f>
        <v>1</v>
      </c>
      <c r="G7871" s="369">
        <f>VLOOKUP(C7871,METADATA!$J$5:$Q$29,IF(E7871="HI",2,IF(E7871="LO",6,10))+IF(D7871=1,2,IF(D7871=7,1,(IF(WEEKDAY(B7871)=1,2,IF(WEEKDAY(B7871)=7,1,0))))))</f>
        <v>1</v>
      </c>
      <c r="H7871" s="370">
        <v>11857.475036621094</v>
      </c>
      <c r="I7871" s="370">
        <v>9003.0250244140625</v>
      </c>
      <c r="M7871" s="371">
        <f t="shared" si="489"/>
        <v>14888.05473640926</v>
      </c>
      <c r="N7871" s="329">
        <f t="shared" si="490"/>
        <v>5445.7825134277346</v>
      </c>
      <c r="T7871" s="331">
        <v>0</v>
      </c>
      <c r="U7871" s="328">
        <f>VLOOKUP(C7871,METADATA!$J$5:$Q$29,IF(E7871="HI",2,IF(E7871="LO",6,10))+IF(T7871=1,2,IF(D7871=7,1,(IF(WEEKDAY(B7871)=1,2,IF(WEEKDAY(B7871)=7,1,0))))))</f>
        <v>1</v>
      </c>
      <c r="V7871" s="328">
        <f>VLOOKUP(C7871,METADATA!$A$5:$H$29,IF(E7871="HI",2,IF(E7871="LO",6,10))+IF(T7871=1,2,IF(D7871=7,1,(IF(WEEKDAY(B7871)=1,2,IF(WEEKDAY(B7871)=7,1,0))))))</f>
        <v>1</v>
      </c>
    </row>
    <row r="7872" spans="2:22">
      <c r="B7872" s="318">
        <f t="shared" si="491"/>
        <v>46440</v>
      </c>
      <c r="C7872" s="312">
        <v>20</v>
      </c>
      <c r="D7872" s="368">
        <f>IFERROR((INDEX(METADATA!$T$2:$T$20,MATCH(B7872,METADATA!$S$2:$S$20,0))),0)</f>
        <v>0</v>
      </c>
      <c r="E7872" s="312" t="str">
        <f t="shared" si="488"/>
        <v>LO</v>
      </c>
      <c r="F7872" s="369">
        <f>VLOOKUP(C7872,METADATA!$A$5:$H$29,IF(E7872="HI",2,IF(E7872="LO",6,10))+IF(D7872=1,2,IF(D7872=7,1,(IF(WEEKDAY(B7872)=1,2,IF(WEEKDAY(B7872)=7,1,0))))))</f>
        <v>1</v>
      </c>
      <c r="G7872" s="369">
        <f>VLOOKUP(C7872,METADATA!$J$5:$Q$29,IF(E7872="HI",2,IF(E7872="LO",6,10))+IF(D7872=1,2,IF(D7872=7,1,(IF(WEEKDAY(B7872)=1,2,IF(WEEKDAY(B7872)=7,1,0))))))</f>
        <v>1</v>
      </c>
      <c r="H7872" s="370">
        <v>12655.250305175781</v>
      </c>
      <c r="I7872" s="370">
        <v>9298.7999267578125</v>
      </c>
      <c r="M7872" s="371">
        <f t="shared" si="489"/>
        <v>15704.236382725612</v>
      </c>
      <c r="N7872" s="329">
        <f t="shared" si="490"/>
        <v>5502.2248352050783</v>
      </c>
      <c r="T7872" s="331">
        <v>0</v>
      </c>
      <c r="U7872" s="328">
        <f>VLOOKUP(C7872,METADATA!$J$5:$Q$29,IF(E7872="HI",2,IF(E7872="LO",6,10))+IF(T7872=1,2,IF(D7872=7,1,(IF(WEEKDAY(B7872)=1,2,IF(WEEKDAY(B7872)=7,1,0))))))</f>
        <v>1</v>
      </c>
      <c r="V7872" s="328">
        <f>VLOOKUP(C7872,METADATA!$A$5:$H$29,IF(E7872="HI",2,IF(E7872="LO",6,10))+IF(T7872=1,2,IF(D7872=7,1,(IF(WEEKDAY(B7872)=1,2,IF(WEEKDAY(B7872)=7,1,0))))))</f>
        <v>1</v>
      </c>
    </row>
    <row r="7873" spans="2:22">
      <c r="B7873" s="318">
        <f t="shared" si="491"/>
        <v>46440</v>
      </c>
      <c r="C7873" s="312">
        <v>21</v>
      </c>
      <c r="D7873" s="368">
        <f>IFERROR((INDEX(METADATA!$T$2:$T$20,MATCH(B7873,METADATA!$S$2:$S$20,0))),0)</f>
        <v>0</v>
      </c>
      <c r="E7873" s="312" t="str">
        <f t="shared" si="488"/>
        <v>LO</v>
      </c>
      <c r="F7873" s="369">
        <f>VLOOKUP(C7873,METADATA!$A$5:$H$29,IF(E7873="HI",2,IF(E7873="LO",6,10))+IF(D7873=1,2,IF(D7873=7,1,(IF(WEEKDAY(B7873)=1,2,IF(WEEKDAY(B7873)=7,1,0))))))</f>
        <v>2</v>
      </c>
      <c r="G7873" s="369">
        <f>VLOOKUP(C7873,METADATA!$J$5:$Q$29,IF(E7873="HI",2,IF(E7873="LO",6,10))+IF(D7873=1,2,IF(D7873=7,1,(IF(WEEKDAY(B7873)=1,2,IF(WEEKDAY(B7873)=7,1,0))))))</f>
        <v>2</v>
      </c>
      <c r="H7873" s="370">
        <v>12645.150085449219</v>
      </c>
      <c r="I7873" s="370">
        <v>9338.0499877929688</v>
      </c>
      <c r="M7873" s="371">
        <f t="shared" si="489"/>
        <v>15719.382884135644</v>
      </c>
      <c r="N7873" s="329">
        <f t="shared" si="490"/>
        <v>5544.5049621582039</v>
      </c>
      <c r="T7873" s="331">
        <v>0</v>
      </c>
      <c r="U7873" s="328">
        <f>VLOOKUP(C7873,METADATA!$J$5:$Q$29,IF(E7873="HI",2,IF(E7873="LO",6,10))+IF(T7873=1,2,IF(D7873=7,1,(IF(WEEKDAY(B7873)=1,2,IF(WEEKDAY(B7873)=7,1,0))))))</f>
        <v>2</v>
      </c>
      <c r="V7873" s="328">
        <f>VLOOKUP(C7873,METADATA!$A$5:$H$29,IF(E7873="HI",2,IF(E7873="LO",6,10))+IF(T7873=1,2,IF(D7873=7,1,(IF(WEEKDAY(B7873)=1,2,IF(WEEKDAY(B7873)=7,1,0))))))</f>
        <v>2</v>
      </c>
    </row>
    <row r="7874" spans="2:22">
      <c r="B7874" s="318">
        <f t="shared" si="491"/>
        <v>46440</v>
      </c>
      <c r="C7874" s="312">
        <v>22</v>
      </c>
      <c r="D7874" s="368">
        <f>IFERROR((INDEX(METADATA!$T$2:$T$20,MATCH(B7874,METADATA!$S$2:$S$20,0))),0)</f>
        <v>0</v>
      </c>
      <c r="E7874" s="312" t="str">
        <f t="shared" si="488"/>
        <v>LO</v>
      </c>
      <c r="F7874" s="369">
        <f>VLOOKUP(C7874,METADATA!$A$5:$H$29,IF(E7874="HI",2,IF(E7874="LO",6,10))+IF(D7874=1,2,IF(D7874=7,1,(IF(WEEKDAY(B7874)=1,2,IF(WEEKDAY(B7874)=7,1,0))))))</f>
        <v>3</v>
      </c>
      <c r="G7874" s="369">
        <f>VLOOKUP(C7874,METADATA!$J$5:$Q$29,IF(E7874="HI",2,IF(E7874="LO",6,10))+IF(D7874=1,2,IF(D7874=7,1,(IF(WEEKDAY(B7874)=1,2,IF(WEEKDAY(B7874)=7,1,0))))))</f>
        <v>3</v>
      </c>
      <c r="H7874" s="370">
        <v>10930.299499511719</v>
      </c>
      <c r="I7874" s="370">
        <v>8490.2073669433594</v>
      </c>
      <c r="M7874" s="371">
        <f t="shared" si="489"/>
        <v>13840.342058010179</v>
      </c>
      <c r="N7874" s="329">
        <f t="shared" si="490"/>
        <v>5211.1175170898441</v>
      </c>
      <c r="T7874" s="331">
        <v>0</v>
      </c>
      <c r="U7874" s="328">
        <f>VLOOKUP(C7874,METADATA!$J$5:$Q$29,IF(E7874="HI",2,IF(E7874="LO",6,10))+IF(T7874=1,2,IF(D7874=7,1,(IF(WEEKDAY(B7874)=1,2,IF(WEEKDAY(B7874)=7,1,0))))))</f>
        <v>3</v>
      </c>
      <c r="V7874" s="328">
        <f>VLOOKUP(C7874,METADATA!$A$5:$H$29,IF(E7874="HI",2,IF(E7874="LO",6,10))+IF(T7874=1,2,IF(D7874=7,1,(IF(WEEKDAY(B7874)=1,2,IF(WEEKDAY(B7874)=7,1,0))))))</f>
        <v>3</v>
      </c>
    </row>
    <row r="7875" spans="2:22">
      <c r="B7875" s="318">
        <f t="shared" si="491"/>
        <v>46440</v>
      </c>
      <c r="C7875" s="312">
        <v>23</v>
      </c>
      <c r="D7875" s="368">
        <f>IFERROR((INDEX(METADATA!$T$2:$T$20,MATCH(B7875,METADATA!$S$2:$S$20,0))),0)</f>
        <v>0</v>
      </c>
      <c r="E7875" s="312" t="str">
        <f t="shared" si="488"/>
        <v>LO</v>
      </c>
      <c r="F7875" s="369">
        <f>VLOOKUP(C7875,METADATA!$A$5:$H$29,IF(E7875="HI",2,IF(E7875="LO",6,10))+IF(D7875=1,2,IF(D7875=7,1,(IF(WEEKDAY(B7875)=1,2,IF(WEEKDAY(B7875)=7,1,0))))))</f>
        <v>3</v>
      </c>
      <c r="G7875" s="369">
        <f>VLOOKUP(C7875,METADATA!$J$5:$Q$29,IF(E7875="HI",2,IF(E7875="LO",6,10))+IF(D7875=1,2,IF(D7875=7,1,(IF(WEEKDAY(B7875)=1,2,IF(WEEKDAY(B7875)=7,1,0))))))</f>
        <v>3</v>
      </c>
      <c r="H7875" s="370">
        <v>11246.549926757813</v>
      </c>
      <c r="I7875" s="370">
        <v>8678.0999450683594</v>
      </c>
      <c r="M7875" s="371">
        <f t="shared" si="489"/>
        <v>14205.432197284657</v>
      </c>
      <c r="N7875" s="329">
        <f t="shared" si="490"/>
        <v>5304.1349670410164</v>
      </c>
      <c r="T7875" s="331">
        <v>0</v>
      </c>
      <c r="U7875" s="328">
        <f>VLOOKUP(C7875,METADATA!$J$5:$Q$29,IF(E7875="HI",2,IF(E7875="LO",6,10))+IF(T7875=1,2,IF(D7875=7,1,(IF(WEEKDAY(B7875)=1,2,IF(WEEKDAY(B7875)=7,1,0))))))</f>
        <v>3</v>
      </c>
      <c r="V7875" s="328">
        <f>VLOOKUP(C7875,METADATA!$A$5:$H$29,IF(E7875="HI",2,IF(E7875="LO",6,10))+IF(T7875=1,2,IF(D7875=7,1,(IF(WEEKDAY(B7875)=1,2,IF(WEEKDAY(B7875)=7,1,0))))))</f>
        <v>3</v>
      </c>
    </row>
    <row r="7876" spans="2:22">
      <c r="B7876" s="318">
        <f t="shared" si="491"/>
        <v>46441</v>
      </c>
      <c r="C7876" s="312">
        <v>0</v>
      </c>
      <c r="D7876" s="368">
        <f>IFERROR((INDEX(METADATA!$T$2:$T$20,MATCH(B7876,METADATA!$S$2:$S$20,0))),0)</f>
        <v>0</v>
      </c>
      <c r="E7876" s="312" t="str">
        <f t="shared" ref="E7876:E7939" si="492">IF(B7876="","",IF(AND(MONTH(B7876)&gt;=MONTH($Z$9),MONTH(B7876)&lt;=MONTH($Z$11)),"HI","LO"))</f>
        <v>LO</v>
      </c>
      <c r="F7876" s="369">
        <f>VLOOKUP(C7876,METADATA!$A$5:$H$29,IF(E7876="HI",2,IF(E7876="LO",6,10))+IF(D7876=1,2,IF(D7876=7,1,(IF(WEEKDAY(B7876)=1,2,IF(WEEKDAY(B7876)=7,1,0))))))</f>
        <v>3</v>
      </c>
      <c r="G7876" s="369">
        <f>VLOOKUP(C7876,METADATA!$J$5:$Q$29,IF(E7876="HI",2,IF(E7876="LO",6,10))+IF(D7876=1,2,IF(D7876=7,1,(IF(WEEKDAY(B7876)=1,2,IF(WEEKDAY(B7876)=7,1,0))))))</f>
        <v>3</v>
      </c>
      <c r="H7876" s="370">
        <v>12505.274841308594</v>
      </c>
      <c r="I7876" s="370">
        <v>9372.1749267578125</v>
      </c>
      <c r="M7876" s="371">
        <f t="shared" ref="M7876:M7939" si="493">SQRT(H7876^2+I7876^2)</f>
        <v>15627.525770716664</v>
      </c>
      <c r="N7876" s="329">
        <f t="shared" ref="N7876:N7939" si="494">IF(H7876=0,0,(IF(I7876-(0.3*H7876)&lt;0,0,(I7876-(0.3*H7876)))))</f>
        <v>5620.592474365234</v>
      </c>
      <c r="T7876" s="331">
        <v>0</v>
      </c>
      <c r="U7876" s="328">
        <f>VLOOKUP(C7876,METADATA!$J$5:$Q$29,IF(E7876="HI",2,IF(E7876="LO",6,10))+IF(T7876=1,2,IF(D7876=7,1,(IF(WEEKDAY(B7876)=1,2,IF(WEEKDAY(B7876)=7,1,0))))))</f>
        <v>3</v>
      </c>
      <c r="V7876" s="328">
        <f>VLOOKUP(C7876,METADATA!$A$5:$H$29,IF(E7876="HI",2,IF(E7876="LO",6,10))+IF(T7876=1,2,IF(D7876=7,1,(IF(WEEKDAY(B7876)=1,2,IF(WEEKDAY(B7876)=7,1,0))))))</f>
        <v>3</v>
      </c>
    </row>
    <row r="7877" spans="2:22">
      <c r="B7877" s="318">
        <f t="shared" si="491"/>
        <v>46441</v>
      </c>
      <c r="C7877" s="312">
        <v>1</v>
      </c>
      <c r="D7877" s="368">
        <f>IFERROR((INDEX(METADATA!$T$2:$T$20,MATCH(B7877,METADATA!$S$2:$S$20,0))),0)</f>
        <v>0</v>
      </c>
      <c r="E7877" s="312" t="str">
        <f t="shared" si="492"/>
        <v>LO</v>
      </c>
      <c r="F7877" s="369">
        <f>VLOOKUP(C7877,METADATA!$A$5:$H$29,IF(E7877="HI",2,IF(E7877="LO",6,10))+IF(D7877=1,2,IF(D7877=7,1,(IF(WEEKDAY(B7877)=1,2,IF(WEEKDAY(B7877)=7,1,0))))))</f>
        <v>3</v>
      </c>
      <c r="G7877" s="369">
        <f>VLOOKUP(C7877,METADATA!$J$5:$Q$29,IF(E7877="HI",2,IF(E7877="LO",6,10))+IF(D7877=1,2,IF(D7877=7,1,(IF(WEEKDAY(B7877)=1,2,IF(WEEKDAY(B7877)=7,1,0))))))</f>
        <v>3</v>
      </c>
      <c r="H7877" s="370">
        <v>12576.155517578125</v>
      </c>
      <c r="I7877" s="370">
        <v>9373.0148315429688</v>
      </c>
      <c r="M7877" s="371">
        <f t="shared" si="493"/>
        <v>15684.804577508614</v>
      </c>
      <c r="N7877" s="329">
        <f t="shared" si="494"/>
        <v>5600.1681762695316</v>
      </c>
      <c r="T7877" s="331">
        <v>0</v>
      </c>
      <c r="U7877" s="328">
        <f>VLOOKUP(C7877,METADATA!$J$5:$Q$29,IF(E7877="HI",2,IF(E7877="LO",6,10))+IF(T7877=1,2,IF(D7877=7,1,(IF(WEEKDAY(B7877)=1,2,IF(WEEKDAY(B7877)=7,1,0))))))</f>
        <v>3</v>
      </c>
      <c r="V7877" s="328">
        <f>VLOOKUP(C7877,METADATA!$A$5:$H$29,IF(E7877="HI",2,IF(E7877="LO",6,10))+IF(T7877=1,2,IF(D7877=7,1,(IF(WEEKDAY(B7877)=1,2,IF(WEEKDAY(B7877)=7,1,0))))))</f>
        <v>3</v>
      </c>
    </row>
    <row r="7878" spans="2:22">
      <c r="B7878" s="318">
        <f t="shared" si="491"/>
        <v>46441</v>
      </c>
      <c r="C7878" s="312">
        <v>2</v>
      </c>
      <c r="D7878" s="368">
        <f>IFERROR((INDEX(METADATA!$T$2:$T$20,MATCH(B7878,METADATA!$S$2:$S$20,0))),0)</f>
        <v>0</v>
      </c>
      <c r="E7878" s="312" t="str">
        <f t="shared" si="492"/>
        <v>LO</v>
      </c>
      <c r="F7878" s="369">
        <f>VLOOKUP(C7878,METADATA!$A$5:$H$29,IF(E7878="HI",2,IF(E7878="LO",6,10))+IF(D7878=1,2,IF(D7878=7,1,(IF(WEEKDAY(B7878)=1,2,IF(WEEKDAY(B7878)=7,1,0))))))</f>
        <v>3</v>
      </c>
      <c r="G7878" s="369">
        <f>VLOOKUP(C7878,METADATA!$J$5:$Q$29,IF(E7878="HI",2,IF(E7878="LO",6,10))+IF(D7878=1,2,IF(D7878=7,1,(IF(WEEKDAY(B7878)=1,2,IF(WEEKDAY(B7878)=7,1,0))))))</f>
        <v>3</v>
      </c>
      <c r="H7878" s="370">
        <v>12558.500061035156</v>
      </c>
      <c r="I7878" s="370">
        <v>9466.6998901367188</v>
      </c>
      <c r="M7878" s="371">
        <f t="shared" si="493"/>
        <v>15726.866521749798</v>
      </c>
      <c r="N7878" s="329">
        <f t="shared" si="494"/>
        <v>5699.1498718261719</v>
      </c>
      <c r="T7878" s="331">
        <v>0</v>
      </c>
      <c r="U7878" s="328">
        <f>VLOOKUP(C7878,METADATA!$J$5:$Q$29,IF(E7878="HI",2,IF(E7878="LO",6,10))+IF(T7878=1,2,IF(D7878=7,1,(IF(WEEKDAY(B7878)=1,2,IF(WEEKDAY(B7878)=7,1,0))))))</f>
        <v>3</v>
      </c>
      <c r="V7878" s="328">
        <f>VLOOKUP(C7878,METADATA!$A$5:$H$29,IF(E7878="HI",2,IF(E7878="LO",6,10))+IF(T7878=1,2,IF(D7878=7,1,(IF(WEEKDAY(B7878)=1,2,IF(WEEKDAY(B7878)=7,1,0))))))</f>
        <v>3</v>
      </c>
    </row>
    <row r="7879" spans="2:22">
      <c r="B7879" s="318">
        <f t="shared" si="491"/>
        <v>46441</v>
      </c>
      <c r="C7879" s="312">
        <v>3</v>
      </c>
      <c r="D7879" s="368">
        <f>IFERROR((INDEX(METADATA!$T$2:$T$20,MATCH(B7879,METADATA!$S$2:$S$20,0))),0)</f>
        <v>0</v>
      </c>
      <c r="E7879" s="312" t="str">
        <f t="shared" si="492"/>
        <v>LO</v>
      </c>
      <c r="F7879" s="369">
        <f>VLOOKUP(C7879,METADATA!$A$5:$H$29,IF(E7879="HI",2,IF(E7879="LO",6,10))+IF(D7879=1,2,IF(D7879=7,1,(IF(WEEKDAY(B7879)=1,2,IF(WEEKDAY(B7879)=7,1,0))))))</f>
        <v>3</v>
      </c>
      <c r="G7879" s="369">
        <f>VLOOKUP(C7879,METADATA!$J$5:$Q$29,IF(E7879="HI",2,IF(E7879="LO",6,10))+IF(D7879=1,2,IF(D7879=7,1,(IF(WEEKDAY(B7879)=1,2,IF(WEEKDAY(B7879)=7,1,0))))))</f>
        <v>3</v>
      </c>
      <c r="H7879" s="370">
        <v>12577.100219726563</v>
      </c>
      <c r="I7879" s="370">
        <v>9461.0750732421875</v>
      </c>
      <c r="M7879" s="371">
        <f t="shared" si="493"/>
        <v>15738.341446244283</v>
      </c>
      <c r="N7879" s="329">
        <f t="shared" si="494"/>
        <v>5687.9450073242188</v>
      </c>
      <c r="T7879" s="331">
        <v>0</v>
      </c>
      <c r="U7879" s="328">
        <f>VLOOKUP(C7879,METADATA!$J$5:$Q$29,IF(E7879="HI",2,IF(E7879="LO",6,10))+IF(T7879=1,2,IF(D7879=7,1,(IF(WEEKDAY(B7879)=1,2,IF(WEEKDAY(B7879)=7,1,0))))))</f>
        <v>3</v>
      </c>
      <c r="V7879" s="328">
        <f>VLOOKUP(C7879,METADATA!$A$5:$H$29,IF(E7879="HI",2,IF(E7879="LO",6,10))+IF(T7879=1,2,IF(D7879=7,1,(IF(WEEKDAY(B7879)=1,2,IF(WEEKDAY(B7879)=7,1,0))))))</f>
        <v>3</v>
      </c>
    </row>
    <row r="7880" spans="2:22">
      <c r="B7880" s="318">
        <f t="shared" si="491"/>
        <v>46441</v>
      </c>
      <c r="C7880" s="312">
        <v>4</v>
      </c>
      <c r="D7880" s="368">
        <f>IFERROR((INDEX(METADATA!$T$2:$T$20,MATCH(B7880,METADATA!$S$2:$S$20,0))),0)</f>
        <v>0</v>
      </c>
      <c r="E7880" s="312" t="str">
        <f t="shared" si="492"/>
        <v>LO</v>
      </c>
      <c r="F7880" s="369">
        <f>VLOOKUP(C7880,METADATA!$A$5:$H$29,IF(E7880="HI",2,IF(E7880="LO",6,10))+IF(D7880=1,2,IF(D7880=7,1,(IF(WEEKDAY(B7880)=1,2,IF(WEEKDAY(B7880)=7,1,0))))))</f>
        <v>3</v>
      </c>
      <c r="G7880" s="369">
        <f>VLOOKUP(C7880,METADATA!$J$5:$Q$29,IF(E7880="HI",2,IF(E7880="LO",6,10))+IF(D7880=1,2,IF(D7880=7,1,(IF(WEEKDAY(B7880)=1,2,IF(WEEKDAY(B7880)=7,1,0))))))</f>
        <v>3</v>
      </c>
      <c r="H7880" s="370">
        <v>12566.350158691406</v>
      </c>
      <c r="I7880" s="370">
        <v>9422.3501586914063</v>
      </c>
      <c r="M7880" s="371">
        <f t="shared" si="493"/>
        <v>15706.490340742437</v>
      </c>
      <c r="N7880" s="329">
        <f t="shared" si="494"/>
        <v>5652.4451110839846</v>
      </c>
      <c r="T7880" s="331">
        <v>0</v>
      </c>
      <c r="U7880" s="328">
        <f>VLOOKUP(C7880,METADATA!$J$5:$Q$29,IF(E7880="HI",2,IF(E7880="LO",6,10))+IF(T7880=1,2,IF(D7880=7,1,(IF(WEEKDAY(B7880)=1,2,IF(WEEKDAY(B7880)=7,1,0))))))</f>
        <v>3</v>
      </c>
      <c r="V7880" s="328">
        <f>VLOOKUP(C7880,METADATA!$A$5:$H$29,IF(E7880="HI",2,IF(E7880="LO",6,10))+IF(T7880=1,2,IF(D7880=7,1,(IF(WEEKDAY(B7880)=1,2,IF(WEEKDAY(B7880)=7,1,0))))))</f>
        <v>3</v>
      </c>
    </row>
    <row r="7881" spans="2:22">
      <c r="B7881" s="318">
        <f t="shared" si="491"/>
        <v>46441</v>
      </c>
      <c r="C7881" s="312">
        <v>5</v>
      </c>
      <c r="D7881" s="368">
        <f>IFERROR((INDEX(METADATA!$T$2:$T$20,MATCH(B7881,METADATA!$S$2:$S$20,0))),0)</f>
        <v>0</v>
      </c>
      <c r="E7881" s="312" t="str">
        <f t="shared" si="492"/>
        <v>LO</v>
      </c>
      <c r="F7881" s="369">
        <f>VLOOKUP(C7881,METADATA!$A$5:$H$29,IF(E7881="HI",2,IF(E7881="LO",6,10))+IF(D7881=1,2,IF(D7881=7,1,(IF(WEEKDAY(B7881)=1,2,IF(WEEKDAY(B7881)=7,1,0))))))</f>
        <v>3</v>
      </c>
      <c r="G7881" s="369">
        <f>VLOOKUP(C7881,METADATA!$J$5:$Q$29,IF(E7881="HI",2,IF(E7881="LO",6,10))+IF(D7881=1,2,IF(D7881=7,1,(IF(WEEKDAY(B7881)=1,2,IF(WEEKDAY(B7881)=7,1,0))))))</f>
        <v>3</v>
      </c>
      <c r="H7881" s="370">
        <v>12562.700073242188</v>
      </c>
      <c r="I7881" s="370">
        <v>9317.0999755859375</v>
      </c>
      <c r="M7881" s="371">
        <f t="shared" si="493"/>
        <v>15640.645289926586</v>
      </c>
      <c r="N7881" s="329">
        <f t="shared" si="494"/>
        <v>5548.2899536132809</v>
      </c>
      <c r="T7881" s="331">
        <v>0</v>
      </c>
      <c r="U7881" s="328">
        <f>VLOOKUP(C7881,METADATA!$J$5:$Q$29,IF(E7881="HI",2,IF(E7881="LO",6,10))+IF(T7881=1,2,IF(D7881=7,1,(IF(WEEKDAY(B7881)=1,2,IF(WEEKDAY(B7881)=7,1,0))))))</f>
        <v>3</v>
      </c>
      <c r="V7881" s="328">
        <f>VLOOKUP(C7881,METADATA!$A$5:$H$29,IF(E7881="HI",2,IF(E7881="LO",6,10))+IF(T7881=1,2,IF(D7881=7,1,(IF(WEEKDAY(B7881)=1,2,IF(WEEKDAY(B7881)=7,1,0))))))</f>
        <v>3</v>
      </c>
    </row>
    <row r="7882" spans="2:22">
      <c r="B7882" s="318">
        <f t="shared" si="491"/>
        <v>46441</v>
      </c>
      <c r="C7882" s="312">
        <v>6</v>
      </c>
      <c r="D7882" s="368">
        <f>IFERROR((INDEX(METADATA!$T$2:$T$20,MATCH(B7882,METADATA!$S$2:$S$20,0))),0)</f>
        <v>0</v>
      </c>
      <c r="E7882" s="312" t="str">
        <f t="shared" si="492"/>
        <v>LO</v>
      </c>
      <c r="F7882" s="369">
        <f>VLOOKUP(C7882,METADATA!$A$5:$H$29,IF(E7882="HI",2,IF(E7882="LO",6,10))+IF(D7882=1,2,IF(D7882=7,1,(IF(WEEKDAY(B7882)=1,2,IF(WEEKDAY(B7882)=7,1,0))))))</f>
        <v>2</v>
      </c>
      <c r="G7882" s="369">
        <f>VLOOKUP(C7882,METADATA!$J$5:$Q$29,IF(E7882="HI",2,IF(E7882="LO",6,10))+IF(D7882=1,2,IF(D7882=7,1,(IF(WEEKDAY(B7882)=1,2,IF(WEEKDAY(B7882)=7,1,0))))))</f>
        <v>2</v>
      </c>
      <c r="H7882" s="370">
        <v>11758.525146484375</v>
      </c>
      <c r="I7882" s="370">
        <v>8883.8049926757813</v>
      </c>
      <c r="M7882" s="371">
        <f t="shared" si="493"/>
        <v>14737.19460305782</v>
      </c>
      <c r="N7882" s="329">
        <f t="shared" si="494"/>
        <v>5356.2474487304689</v>
      </c>
      <c r="T7882" s="331">
        <v>0</v>
      </c>
      <c r="U7882" s="328">
        <f>VLOOKUP(C7882,METADATA!$J$5:$Q$29,IF(E7882="HI",2,IF(E7882="LO",6,10))+IF(T7882=1,2,IF(D7882=7,1,(IF(WEEKDAY(B7882)=1,2,IF(WEEKDAY(B7882)=7,1,0))))))</f>
        <v>2</v>
      </c>
      <c r="V7882" s="328">
        <f>VLOOKUP(C7882,METADATA!$A$5:$H$29,IF(E7882="HI",2,IF(E7882="LO",6,10))+IF(T7882=1,2,IF(D7882=7,1,(IF(WEEKDAY(B7882)=1,2,IF(WEEKDAY(B7882)=7,1,0))))))</f>
        <v>2</v>
      </c>
    </row>
    <row r="7883" spans="2:22">
      <c r="B7883" s="318">
        <f t="shared" si="491"/>
        <v>46441</v>
      </c>
      <c r="C7883" s="312">
        <v>7</v>
      </c>
      <c r="D7883" s="368">
        <f>IFERROR((INDEX(METADATA!$T$2:$T$20,MATCH(B7883,METADATA!$S$2:$S$20,0))),0)</f>
        <v>0</v>
      </c>
      <c r="E7883" s="312" t="str">
        <f t="shared" si="492"/>
        <v>LO</v>
      </c>
      <c r="F7883" s="369">
        <f>VLOOKUP(C7883,METADATA!$A$5:$H$29,IF(E7883="HI",2,IF(E7883="LO",6,10))+IF(D7883=1,2,IF(D7883=7,1,(IF(WEEKDAY(B7883)=1,2,IF(WEEKDAY(B7883)=7,1,0))))))</f>
        <v>1</v>
      </c>
      <c r="G7883" s="369">
        <f>VLOOKUP(C7883,METADATA!$J$5:$Q$29,IF(E7883="HI",2,IF(E7883="LO",6,10))+IF(D7883=1,2,IF(D7883=7,1,(IF(WEEKDAY(B7883)=1,2,IF(WEEKDAY(B7883)=7,1,0))))))</f>
        <v>1</v>
      </c>
      <c r="H7883" s="370">
        <v>10684.650207519531</v>
      </c>
      <c r="I7883" s="370">
        <v>8267.2151184082031</v>
      </c>
      <c r="M7883" s="371">
        <f t="shared" si="493"/>
        <v>13509.574229822505</v>
      </c>
      <c r="N7883" s="329">
        <f t="shared" si="494"/>
        <v>5061.8200561523445</v>
      </c>
      <c r="T7883" s="331">
        <v>0</v>
      </c>
      <c r="U7883" s="328">
        <f>VLOOKUP(C7883,METADATA!$J$5:$Q$29,IF(E7883="HI",2,IF(E7883="LO",6,10))+IF(T7883=1,2,IF(D7883=7,1,(IF(WEEKDAY(B7883)=1,2,IF(WEEKDAY(B7883)=7,1,0))))))</f>
        <v>1</v>
      </c>
      <c r="V7883" s="328">
        <f>VLOOKUP(C7883,METADATA!$A$5:$H$29,IF(E7883="HI",2,IF(E7883="LO",6,10))+IF(T7883=1,2,IF(D7883=7,1,(IF(WEEKDAY(B7883)=1,2,IF(WEEKDAY(B7883)=7,1,0))))))</f>
        <v>1</v>
      </c>
    </row>
    <row r="7884" spans="2:22">
      <c r="B7884" s="318">
        <f t="shared" si="491"/>
        <v>46441</v>
      </c>
      <c r="C7884" s="312">
        <v>8</v>
      </c>
      <c r="D7884" s="368">
        <f>IFERROR((INDEX(METADATA!$T$2:$T$20,MATCH(B7884,METADATA!$S$2:$S$20,0))),0)</f>
        <v>0</v>
      </c>
      <c r="E7884" s="312" t="str">
        <f t="shared" si="492"/>
        <v>LO</v>
      </c>
      <c r="F7884" s="369">
        <f>VLOOKUP(C7884,METADATA!$A$5:$H$29,IF(E7884="HI",2,IF(E7884="LO",6,10))+IF(D7884=1,2,IF(D7884=7,1,(IF(WEEKDAY(B7884)=1,2,IF(WEEKDAY(B7884)=7,1,0))))))</f>
        <v>1</v>
      </c>
      <c r="G7884" s="369">
        <f>VLOOKUP(C7884,METADATA!$J$5:$Q$29,IF(E7884="HI",2,IF(E7884="LO",6,10))+IF(D7884=1,2,IF(D7884=7,1,(IF(WEEKDAY(B7884)=1,2,IF(WEEKDAY(B7884)=7,1,0))))))</f>
        <v>1</v>
      </c>
      <c r="H7884" s="370">
        <v>11692.024719238281</v>
      </c>
      <c r="I7884" s="370">
        <v>8745.2373657226563</v>
      </c>
      <c r="M7884" s="371">
        <f t="shared" si="493"/>
        <v>14600.774589661698</v>
      </c>
      <c r="N7884" s="329">
        <f t="shared" si="494"/>
        <v>5237.6299499511715</v>
      </c>
      <c r="T7884" s="331">
        <v>0</v>
      </c>
      <c r="U7884" s="328">
        <f>VLOOKUP(C7884,METADATA!$J$5:$Q$29,IF(E7884="HI",2,IF(E7884="LO",6,10))+IF(T7884=1,2,IF(D7884=7,1,(IF(WEEKDAY(B7884)=1,2,IF(WEEKDAY(B7884)=7,1,0))))))</f>
        <v>1</v>
      </c>
      <c r="V7884" s="328">
        <f>VLOOKUP(C7884,METADATA!$A$5:$H$29,IF(E7884="HI",2,IF(E7884="LO",6,10))+IF(T7884=1,2,IF(D7884=7,1,(IF(WEEKDAY(B7884)=1,2,IF(WEEKDAY(B7884)=7,1,0))))))</f>
        <v>1</v>
      </c>
    </row>
    <row r="7885" spans="2:22">
      <c r="B7885" s="318">
        <f t="shared" si="491"/>
        <v>46441</v>
      </c>
      <c r="C7885" s="312">
        <v>9</v>
      </c>
      <c r="D7885" s="368">
        <f>IFERROR((INDEX(METADATA!$T$2:$T$20,MATCH(B7885,METADATA!$S$2:$S$20,0))),0)</f>
        <v>0</v>
      </c>
      <c r="E7885" s="312" t="str">
        <f t="shared" si="492"/>
        <v>LO</v>
      </c>
      <c r="F7885" s="369">
        <f>VLOOKUP(C7885,METADATA!$A$5:$H$29,IF(E7885="HI",2,IF(E7885="LO",6,10))+IF(D7885=1,2,IF(D7885=7,1,(IF(WEEKDAY(B7885)=1,2,IF(WEEKDAY(B7885)=7,1,0))))))</f>
        <v>2</v>
      </c>
      <c r="G7885" s="369">
        <f>VLOOKUP(C7885,METADATA!$J$5:$Q$29,IF(E7885="HI",2,IF(E7885="LO",6,10))+IF(D7885=1,2,IF(D7885=7,1,(IF(WEEKDAY(B7885)=1,2,IF(WEEKDAY(B7885)=7,1,0))))))</f>
        <v>2</v>
      </c>
      <c r="H7885" s="370">
        <v>12672.7001953125</v>
      </c>
      <c r="I7885" s="370">
        <v>9188.8500366210938</v>
      </c>
      <c r="M7885" s="371">
        <f t="shared" si="493"/>
        <v>15653.507441969194</v>
      </c>
      <c r="N7885" s="329">
        <f t="shared" si="494"/>
        <v>5387.0399780273438</v>
      </c>
      <c r="T7885" s="331">
        <v>0</v>
      </c>
      <c r="U7885" s="328">
        <f>VLOOKUP(C7885,METADATA!$J$5:$Q$29,IF(E7885="HI",2,IF(E7885="LO",6,10))+IF(T7885=1,2,IF(D7885=7,1,(IF(WEEKDAY(B7885)=1,2,IF(WEEKDAY(B7885)=7,1,0))))))</f>
        <v>2</v>
      </c>
      <c r="V7885" s="328">
        <f>VLOOKUP(C7885,METADATA!$A$5:$H$29,IF(E7885="HI",2,IF(E7885="LO",6,10))+IF(T7885=1,2,IF(D7885=7,1,(IF(WEEKDAY(B7885)=1,2,IF(WEEKDAY(B7885)=7,1,0))))))</f>
        <v>2</v>
      </c>
    </row>
    <row r="7886" spans="2:22">
      <c r="B7886" s="318">
        <f t="shared" si="491"/>
        <v>46441</v>
      </c>
      <c r="C7886" s="312">
        <v>10</v>
      </c>
      <c r="D7886" s="368">
        <f>IFERROR((INDEX(METADATA!$T$2:$T$20,MATCH(B7886,METADATA!$S$2:$S$20,0))),0)</f>
        <v>0</v>
      </c>
      <c r="E7886" s="312" t="str">
        <f t="shared" si="492"/>
        <v>LO</v>
      </c>
      <c r="F7886" s="369">
        <f>VLOOKUP(C7886,METADATA!$A$5:$H$29,IF(E7886="HI",2,IF(E7886="LO",6,10))+IF(D7886=1,2,IF(D7886=7,1,(IF(WEEKDAY(B7886)=1,2,IF(WEEKDAY(B7886)=7,1,0))))))</f>
        <v>2</v>
      </c>
      <c r="G7886" s="369">
        <f>VLOOKUP(C7886,METADATA!$J$5:$Q$29,IF(E7886="HI",2,IF(E7886="LO",6,10))+IF(D7886=1,2,IF(D7886=7,1,(IF(WEEKDAY(B7886)=1,2,IF(WEEKDAY(B7886)=7,1,0))))))</f>
        <v>2</v>
      </c>
      <c r="H7886" s="370">
        <v>12564.89990234375</v>
      </c>
      <c r="I7886" s="370">
        <v>9355.1249389648438</v>
      </c>
      <c r="M7886" s="371">
        <f t="shared" si="493"/>
        <v>15665.090876836941</v>
      </c>
      <c r="N7886" s="329">
        <f t="shared" si="494"/>
        <v>5585.6549682617188</v>
      </c>
      <c r="T7886" s="331">
        <v>0</v>
      </c>
      <c r="U7886" s="328">
        <f>VLOOKUP(C7886,METADATA!$J$5:$Q$29,IF(E7886="HI",2,IF(E7886="LO",6,10))+IF(T7886=1,2,IF(D7886=7,1,(IF(WEEKDAY(B7886)=1,2,IF(WEEKDAY(B7886)=7,1,0))))))</f>
        <v>2</v>
      </c>
      <c r="V7886" s="328">
        <f>VLOOKUP(C7886,METADATA!$A$5:$H$29,IF(E7886="HI",2,IF(E7886="LO",6,10))+IF(T7886=1,2,IF(D7886=7,1,(IF(WEEKDAY(B7886)=1,2,IF(WEEKDAY(B7886)=7,1,0))))))</f>
        <v>2</v>
      </c>
    </row>
    <row r="7887" spans="2:22">
      <c r="B7887" s="318">
        <f t="shared" si="491"/>
        <v>46441</v>
      </c>
      <c r="C7887" s="312">
        <v>11</v>
      </c>
      <c r="D7887" s="368">
        <f>IFERROR((INDEX(METADATA!$T$2:$T$20,MATCH(B7887,METADATA!$S$2:$S$20,0))),0)</f>
        <v>0</v>
      </c>
      <c r="E7887" s="312" t="str">
        <f t="shared" si="492"/>
        <v>LO</v>
      </c>
      <c r="F7887" s="369">
        <f>VLOOKUP(C7887,METADATA!$A$5:$H$29,IF(E7887="HI",2,IF(E7887="LO",6,10))+IF(D7887=1,2,IF(D7887=7,1,(IF(WEEKDAY(B7887)=1,2,IF(WEEKDAY(B7887)=7,1,0))))))</f>
        <v>2</v>
      </c>
      <c r="G7887" s="369">
        <f>VLOOKUP(C7887,METADATA!$J$5:$Q$29,IF(E7887="HI",2,IF(E7887="LO",6,10))+IF(D7887=1,2,IF(D7887=7,1,(IF(WEEKDAY(B7887)=1,2,IF(WEEKDAY(B7887)=7,1,0))))))</f>
        <v>2</v>
      </c>
      <c r="H7887" s="370">
        <v>12473.225280761719</v>
      </c>
      <c r="I7887" s="370">
        <v>9248.3499755859375</v>
      </c>
      <c r="M7887" s="371">
        <f t="shared" si="493"/>
        <v>15527.824257620694</v>
      </c>
      <c r="N7887" s="329">
        <f t="shared" si="494"/>
        <v>5506.3823913574215</v>
      </c>
      <c r="T7887" s="331">
        <v>0</v>
      </c>
      <c r="U7887" s="328">
        <f>VLOOKUP(C7887,METADATA!$J$5:$Q$29,IF(E7887="HI",2,IF(E7887="LO",6,10))+IF(T7887=1,2,IF(D7887=7,1,(IF(WEEKDAY(B7887)=1,2,IF(WEEKDAY(B7887)=7,1,0))))))</f>
        <v>2</v>
      </c>
      <c r="V7887" s="328">
        <f>VLOOKUP(C7887,METADATA!$A$5:$H$29,IF(E7887="HI",2,IF(E7887="LO",6,10))+IF(T7887=1,2,IF(D7887=7,1,(IF(WEEKDAY(B7887)=1,2,IF(WEEKDAY(B7887)=7,1,0))))))</f>
        <v>2</v>
      </c>
    </row>
    <row r="7888" spans="2:22">
      <c r="B7888" s="318">
        <f t="shared" si="491"/>
        <v>46441</v>
      </c>
      <c r="C7888" s="312">
        <v>12</v>
      </c>
      <c r="D7888" s="368">
        <f>IFERROR((INDEX(METADATA!$T$2:$T$20,MATCH(B7888,METADATA!$S$2:$S$20,0))),0)</f>
        <v>0</v>
      </c>
      <c r="E7888" s="312" t="str">
        <f t="shared" si="492"/>
        <v>LO</v>
      </c>
      <c r="F7888" s="369">
        <f>VLOOKUP(C7888,METADATA!$A$5:$H$29,IF(E7888="HI",2,IF(E7888="LO",6,10))+IF(D7888=1,2,IF(D7888=7,1,(IF(WEEKDAY(B7888)=1,2,IF(WEEKDAY(B7888)=7,1,0))))))</f>
        <v>2</v>
      </c>
      <c r="G7888" s="369">
        <f>VLOOKUP(C7888,METADATA!$J$5:$Q$29,IF(E7888="HI",2,IF(E7888="LO",6,10))+IF(D7888=1,2,IF(D7888=7,1,(IF(WEEKDAY(B7888)=1,2,IF(WEEKDAY(B7888)=7,1,0))))))</f>
        <v>2</v>
      </c>
      <c r="H7888" s="370">
        <v>12471.500427246094</v>
      </c>
      <c r="I7888" s="370">
        <v>9201.9000854492188</v>
      </c>
      <c r="M7888" s="371">
        <f t="shared" si="493"/>
        <v>15498.815699574914</v>
      </c>
      <c r="N7888" s="329">
        <f t="shared" si="494"/>
        <v>5460.4499572753903</v>
      </c>
      <c r="T7888" s="331">
        <v>0</v>
      </c>
      <c r="U7888" s="328">
        <f>VLOOKUP(C7888,METADATA!$J$5:$Q$29,IF(E7888="HI",2,IF(E7888="LO",6,10))+IF(T7888=1,2,IF(D7888=7,1,(IF(WEEKDAY(B7888)=1,2,IF(WEEKDAY(B7888)=7,1,0))))))</f>
        <v>2</v>
      </c>
      <c r="V7888" s="328">
        <f>VLOOKUP(C7888,METADATA!$A$5:$H$29,IF(E7888="HI",2,IF(E7888="LO",6,10))+IF(T7888=1,2,IF(D7888=7,1,(IF(WEEKDAY(B7888)=1,2,IF(WEEKDAY(B7888)=7,1,0))))))</f>
        <v>2</v>
      </c>
    </row>
    <row r="7889" spans="2:22">
      <c r="B7889" s="318">
        <f t="shared" si="491"/>
        <v>46441</v>
      </c>
      <c r="C7889" s="312">
        <v>13</v>
      </c>
      <c r="D7889" s="368">
        <f>IFERROR((INDEX(METADATA!$T$2:$T$20,MATCH(B7889,METADATA!$S$2:$S$20,0))),0)</f>
        <v>0</v>
      </c>
      <c r="E7889" s="312" t="str">
        <f t="shared" si="492"/>
        <v>LO</v>
      </c>
      <c r="F7889" s="369">
        <f>VLOOKUP(C7889,METADATA!$A$5:$H$29,IF(E7889="HI",2,IF(E7889="LO",6,10))+IF(D7889=1,2,IF(D7889=7,1,(IF(WEEKDAY(B7889)=1,2,IF(WEEKDAY(B7889)=7,1,0))))))</f>
        <v>2</v>
      </c>
      <c r="G7889" s="369">
        <f>VLOOKUP(C7889,METADATA!$J$5:$Q$29,IF(E7889="HI",2,IF(E7889="LO",6,10))+IF(D7889=1,2,IF(D7889=7,1,(IF(WEEKDAY(B7889)=1,2,IF(WEEKDAY(B7889)=7,1,0))))))</f>
        <v>2</v>
      </c>
      <c r="H7889" s="370">
        <v>12425.750244140625</v>
      </c>
      <c r="I7889" s="370">
        <v>9227.27490234375</v>
      </c>
      <c r="M7889" s="371">
        <f t="shared" si="493"/>
        <v>15477.140280206278</v>
      </c>
      <c r="N7889" s="329">
        <f t="shared" si="494"/>
        <v>5499.5498291015629</v>
      </c>
      <c r="T7889" s="331">
        <v>0</v>
      </c>
      <c r="U7889" s="328">
        <f>VLOOKUP(C7889,METADATA!$J$5:$Q$29,IF(E7889="HI",2,IF(E7889="LO",6,10))+IF(T7889=1,2,IF(D7889=7,1,(IF(WEEKDAY(B7889)=1,2,IF(WEEKDAY(B7889)=7,1,0))))))</f>
        <v>2</v>
      </c>
      <c r="V7889" s="328">
        <f>VLOOKUP(C7889,METADATA!$A$5:$H$29,IF(E7889="HI",2,IF(E7889="LO",6,10))+IF(T7889=1,2,IF(D7889=7,1,(IF(WEEKDAY(B7889)=1,2,IF(WEEKDAY(B7889)=7,1,0))))))</f>
        <v>2</v>
      </c>
    </row>
    <row r="7890" spans="2:22">
      <c r="B7890" s="318">
        <f t="shared" si="491"/>
        <v>46441</v>
      </c>
      <c r="C7890" s="312">
        <v>14</v>
      </c>
      <c r="D7890" s="368">
        <f>IFERROR((INDEX(METADATA!$T$2:$T$20,MATCH(B7890,METADATA!$S$2:$S$20,0))),0)</f>
        <v>0</v>
      </c>
      <c r="E7890" s="312" t="str">
        <f t="shared" si="492"/>
        <v>LO</v>
      </c>
      <c r="F7890" s="369">
        <f>VLOOKUP(C7890,METADATA!$A$5:$H$29,IF(E7890="HI",2,IF(E7890="LO",6,10))+IF(D7890=1,2,IF(D7890=7,1,(IF(WEEKDAY(B7890)=1,2,IF(WEEKDAY(B7890)=7,1,0))))))</f>
        <v>2</v>
      </c>
      <c r="G7890" s="369">
        <f>VLOOKUP(C7890,METADATA!$J$5:$Q$29,IF(E7890="HI",2,IF(E7890="LO",6,10))+IF(D7890=1,2,IF(D7890=7,1,(IF(WEEKDAY(B7890)=1,2,IF(WEEKDAY(B7890)=7,1,0))))))</f>
        <v>2</v>
      </c>
      <c r="H7890" s="370">
        <v>12347.2001953125</v>
      </c>
      <c r="I7890" s="370">
        <v>9190.9752197265625</v>
      </c>
      <c r="M7890" s="371">
        <f t="shared" si="493"/>
        <v>15392.445489679434</v>
      </c>
      <c r="N7890" s="329">
        <f t="shared" si="494"/>
        <v>5486.8151611328121</v>
      </c>
      <c r="T7890" s="331">
        <v>0</v>
      </c>
      <c r="U7890" s="328">
        <f>VLOOKUP(C7890,METADATA!$J$5:$Q$29,IF(E7890="HI",2,IF(E7890="LO",6,10))+IF(T7890=1,2,IF(D7890=7,1,(IF(WEEKDAY(B7890)=1,2,IF(WEEKDAY(B7890)=7,1,0))))))</f>
        <v>2</v>
      </c>
      <c r="V7890" s="328">
        <f>VLOOKUP(C7890,METADATA!$A$5:$H$29,IF(E7890="HI",2,IF(E7890="LO",6,10))+IF(T7890=1,2,IF(D7890=7,1,(IF(WEEKDAY(B7890)=1,2,IF(WEEKDAY(B7890)=7,1,0))))))</f>
        <v>2</v>
      </c>
    </row>
    <row r="7891" spans="2:22">
      <c r="B7891" s="318">
        <f t="shared" si="491"/>
        <v>46441</v>
      </c>
      <c r="C7891" s="312">
        <v>15</v>
      </c>
      <c r="D7891" s="368">
        <f>IFERROR((INDEX(METADATA!$T$2:$T$20,MATCH(B7891,METADATA!$S$2:$S$20,0))),0)</f>
        <v>0</v>
      </c>
      <c r="E7891" s="312" t="str">
        <f t="shared" si="492"/>
        <v>LO</v>
      </c>
      <c r="F7891" s="369">
        <f>VLOOKUP(C7891,METADATA!$A$5:$H$29,IF(E7891="HI",2,IF(E7891="LO",6,10))+IF(D7891=1,2,IF(D7891=7,1,(IF(WEEKDAY(B7891)=1,2,IF(WEEKDAY(B7891)=7,1,0))))))</f>
        <v>2</v>
      </c>
      <c r="G7891" s="369">
        <f>VLOOKUP(C7891,METADATA!$J$5:$Q$29,IF(E7891="HI",2,IF(E7891="LO",6,10))+IF(D7891=1,2,IF(D7891=7,1,(IF(WEEKDAY(B7891)=1,2,IF(WEEKDAY(B7891)=7,1,0))))))</f>
        <v>2</v>
      </c>
      <c r="H7891" s="370">
        <v>12218.074645996094</v>
      </c>
      <c r="I7891" s="370">
        <v>9188.6500854492188</v>
      </c>
      <c r="M7891" s="371">
        <f t="shared" si="493"/>
        <v>15287.662949187443</v>
      </c>
      <c r="N7891" s="329">
        <f t="shared" si="494"/>
        <v>5523.2276916503906</v>
      </c>
      <c r="T7891" s="331">
        <v>0</v>
      </c>
      <c r="U7891" s="328">
        <f>VLOOKUP(C7891,METADATA!$J$5:$Q$29,IF(E7891="HI",2,IF(E7891="LO",6,10))+IF(T7891=1,2,IF(D7891=7,1,(IF(WEEKDAY(B7891)=1,2,IF(WEEKDAY(B7891)=7,1,0))))))</f>
        <v>2</v>
      </c>
      <c r="V7891" s="328">
        <f>VLOOKUP(C7891,METADATA!$A$5:$H$29,IF(E7891="HI",2,IF(E7891="LO",6,10))+IF(T7891=1,2,IF(D7891=7,1,(IF(WEEKDAY(B7891)=1,2,IF(WEEKDAY(B7891)=7,1,0))))))</f>
        <v>2</v>
      </c>
    </row>
    <row r="7892" spans="2:22">
      <c r="B7892" s="318">
        <f t="shared" si="491"/>
        <v>46441</v>
      </c>
      <c r="C7892" s="312">
        <v>16</v>
      </c>
      <c r="D7892" s="368">
        <f>IFERROR((INDEX(METADATA!$T$2:$T$20,MATCH(B7892,METADATA!$S$2:$S$20,0))),0)</f>
        <v>0</v>
      </c>
      <c r="E7892" s="312" t="str">
        <f t="shared" si="492"/>
        <v>LO</v>
      </c>
      <c r="F7892" s="369">
        <f>VLOOKUP(C7892,METADATA!$A$5:$H$29,IF(E7892="HI",2,IF(E7892="LO",6,10))+IF(D7892=1,2,IF(D7892=7,1,(IF(WEEKDAY(B7892)=1,2,IF(WEEKDAY(B7892)=7,1,0))))))</f>
        <v>2</v>
      </c>
      <c r="G7892" s="369">
        <f>VLOOKUP(C7892,METADATA!$J$5:$Q$29,IF(E7892="HI",2,IF(E7892="LO",6,10))+IF(D7892=1,2,IF(D7892=7,1,(IF(WEEKDAY(B7892)=1,2,IF(WEEKDAY(B7892)=7,1,0))))))</f>
        <v>2</v>
      </c>
      <c r="H7892" s="370">
        <v>12250.175415039063</v>
      </c>
      <c r="I7892" s="370">
        <v>9204.0750732421875</v>
      </c>
      <c r="M7892" s="371">
        <f t="shared" si="493"/>
        <v>15322.591022836366</v>
      </c>
      <c r="N7892" s="329">
        <f t="shared" si="494"/>
        <v>5529.0224487304695</v>
      </c>
      <c r="T7892" s="331">
        <v>0</v>
      </c>
      <c r="U7892" s="328">
        <f>VLOOKUP(C7892,METADATA!$J$5:$Q$29,IF(E7892="HI",2,IF(E7892="LO",6,10))+IF(T7892=1,2,IF(D7892=7,1,(IF(WEEKDAY(B7892)=1,2,IF(WEEKDAY(B7892)=7,1,0))))))</f>
        <v>2</v>
      </c>
      <c r="V7892" s="328">
        <f>VLOOKUP(C7892,METADATA!$A$5:$H$29,IF(E7892="HI",2,IF(E7892="LO",6,10))+IF(T7892=1,2,IF(D7892=7,1,(IF(WEEKDAY(B7892)=1,2,IF(WEEKDAY(B7892)=7,1,0))))))</f>
        <v>2</v>
      </c>
    </row>
    <row r="7893" spans="2:22">
      <c r="B7893" s="318">
        <f t="shared" si="491"/>
        <v>46441</v>
      </c>
      <c r="C7893" s="312">
        <v>17</v>
      </c>
      <c r="D7893" s="368">
        <f>IFERROR((INDEX(METADATA!$T$2:$T$20,MATCH(B7893,METADATA!$S$2:$S$20,0))),0)</f>
        <v>0</v>
      </c>
      <c r="E7893" s="312" t="str">
        <f t="shared" si="492"/>
        <v>LO</v>
      </c>
      <c r="F7893" s="369">
        <f>VLOOKUP(C7893,METADATA!$A$5:$H$29,IF(E7893="HI",2,IF(E7893="LO",6,10))+IF(D7893=1,2,IF(D7893=7,1,(IF(WEEKDAY(B7893)=1,2,IF(WEEKDAY(B7893)=7,1,0))))))</f>
        <v>2</v>
      </c>
      <c r="G7893" s="369">
        <f>VLOOKUP(C7893,METADATA!$J$5:$Q$29,IF(E7893="HI",2,IF(E7893="LO",6,10))+IF(D7893=1,2,IF(D7893=7,1,(IF(WEEKDAY(B7893)=1,2,IF(WEEKDAY(B7893)=7,1,0))))))</f>
        <v>2</v>
      </c>
      <c r="H7893" s="370">
        <v>12203.749938964844</v>
      </c>
      <c r="I7893" s="370">
        <v>9332.77490234375</v>
      </c>
      <c r="M7893" s="371">
        <f t="shared" si="493"/>
        <v>15363.339479117221</v>
      </c>
      <c r="N7893" s="329">
        <f t="shared" si="494"/>
        <v>5671.6499206542976</v>
      </c>
      <c r="T7893" s="331">
        <v>0</v>
      </c>
      <c r="U7893" s="328">
        <f>VLOOKUP(C7893,METADATA!$J$5:$Q$29,IF(E7893="HI",2,IF(E7893="LO",6,10))+IF(T7893=1,2,IF(D7893=7,1,(IF(WEEKDAY(B7893)=1,2,IF(WEEKDAY(B7893)=7,1,0))))))</f>
        <v>2</v>
      </c>
      <c r="V7893" s="328">
        <f>VLOOKUP(C7893,METADATA!$A$5:$H$29,IF(E7893="HI",2,IF(E7893="LO",6,10))+IF(T7893=1,2,IF(D7893=7,1,(IF(WEEKDAY(B7893)=1,2,IF(WEEKDAY(B7893)=7,1,0))))))</f>
        <v>2</v>
      </c>
    </row>
    <row r="7894" spans="2:22">
      <c r="B7894" s="318">
        <f t="shared" si="491"/>
        <v>46441</v>
      </c>
      <c r="C7894" s="312">
        <v>18</v>
      </c>
      <c r="D7894" s="368">
        <f>IFERROR((INDEX(METADATA!$T$2:$T$20,MATCH(B7894,METADATA!$S$2:$S$20,0))),0)</f>
        <v>0</v>
      </c>
      <c r="E7894" s="312" t="str">
        <f t="shared" si="492"/>
        <v>LO</v>
      </c>
      <c r="F7894" s="369">
        <f>VLOOKUP(C7894,METADATA!$A$5:$H$29,IF(E7894="HI",2,IF(E7894="LO",6,10))+IF(D7894=1,2,IF(D7894=7,1,(IF(WEEKDAY(B7894)=1,2,IF(WEEKDAY(B7894)=7,1,0))))))</f>
        <v>1</v>
      </c>
      <c r="G7894" s="369">
        <f>VLOOKUP(C7894,METADATA!$J$5:$Q$29,IF(E7894="HI",2,IF(E7894="LO",6,10))+IF(D7894=1,2,IF(D7894=7,1,(IF(WEEKDAY(B7894)=1,2,IF(WEEKDAY(B7894)=7,1,0))))))</f>
        <v>1</v>
      </c>
      <c r="H7894" s="370">
        <v>12170.500122070313</v>
      </c>
      <c r="I7894" s="370">
        <v>9428.3501586914063</v>
      </c>
      <c r="M7894" s="371">
        <f t="shared" si="493"/>
        <v>15395.286939067089</v>
      </c>
      <c r="N7894" s="329">
        <f t="shared" si="494"/>
        <v>5777.2001220703132</v>
      </c>
      <c r="T7894" s="331">
        <v>0</v>
      </c>
      <c r="U7894" s="328">
        <f>VLOOKUP(C7894,METADATA!$J$5:$Q$29,IF(E7894="HI",2,IF(E7894="LO",6,10))+IF(T7894=1,2,IF(D7894=7,1,(IF(WEEKDAY(B7894)=1,2,IF(WEEKDAY(B7894)=7,1,0))))))</f>
        <v>1</v>
      </c>
      <c r="V7894" s="328">
        <f>VLOOKUP(C7894,METADATA!$A$5:$H$29,IF(E7894="HI",2,IF(E7894="LO",6,10))+IF(T7894=1,2,IF(D7894=7,1,(IF(WEEKDAY(B7894)=1,2,IF(WEEKDAY(B7894)=7,1,0))))))</f>
        <v>1</v>
      </c>
    </row>
    <row r="7895" spans="2:22">
      <c r="B7895" s="318">
        <f t="shared" si="491"/>
        <v>46441</v>
      </c>
      <c r="C7895" s="312">
        <v>19</v>
      </c>
      <c r="D7895" s="368">
        <f>IFERROR((INDEX(METADATA!$T$2:$T$20,MATCH(B7895,METADATA!$S$2:$S$20,0))),0)</f>
        <v>0</v>
      </c>
      <c r="E7895" s="312" t="str">
        <f t="shared" si="492"/>
        <v>LO</v>
      </c>
      <c r="F7895" s="369">
        <f>VLOOKUP(C7895,METADATA!$A$5:$H$29,IF(E7895="HI",2,IF(E7895="LO",6,10))+IF(D7895=1,2,IF(D7895=7,1,(IF(WEEKDAY(B7895)=1,2,IF(WEEKDAY(B7895)=7,1,0))))))</f>
        <v>1</v>
      </c>
      <c r="G7895" s="369">
        <f>VLOOKUP(C7895,METADATA!$J$5:$Q$29,IF(E7895="HI",2,IF(E7895="LO",6,10))+IF(D7895=1,2,IF(D7895=7,1,(IF(WEEKDAY(B7895)=1,2,IF(WEEKDAY(B7895)=7,1,0))))))</f>
        <v>1</v>
      </c>
      <c r="H7895" s="370">
        <v>12219.749694824219</v>
      </c>
      <c r="I7895" s="370">
        <v>9209.3749389648438</v>
      </c>
      <c r="M7895" s="371">
        <f t="shared" si="493"/>
        <v>15301.466249042616</v>
      </c>
      <c r="N7895" s="329">
        <f t="shared" si="494"/>
        <v>5543.4500305175789</v>
      </c>
      <c r="T7895" s="331">
        <v>0</v>
      </c>
      <c r="U7895" s="328">
        <f>VLOOKUP(C7895,METADATA!$J$5:$Q$29,IF(E7895="HI",2,IF(E7895="LO",6,10))+IF(T7895=1,2,IF(D7895=7,1,(IF(WEEKDAY(B7895)=1,2,IF(WEEKDAY(B7895)=7,1,0))))))</f>
        <v>1</v>
      </c>
      <c r="V7895" s="328">
        <f>VLOOKUP(C7895,METADATA!$A$5:$H$29,IF(E7895="HI",2,IF(E7895="LO",6,10))+IF(T7895=1,2,IF(D7895=7,1,(IF(WEEKDAY(B7895)=1,2,IF(WEEKDAY(B7895)=7,1,0))))))</f>
        <v>1</v>
      </c>
    </row>
    <row r="7896" spans="2:22">
      <c r="B7896" s="318">
        <f t="shared" si="491"/>
        <v>46441</v>
      </c>
      <c r="C7896" s="312">
        <v>20</v>
      </c>
      <c r="D7896" s="368">
        <f>IFERROR((INDEX(METADATA!$T$2:$T$20,MATCH(B7896,METADATA!$S$2:$S$20,0))),0)</f>
        <v>0</v>
      </c>
      <c r="E7896" s="312" t="str">
        <f t="shared" si="492"/>
        <v>LO</v>
      </c>
      <c r="F7896" s="369">
        <f>VLOOKUP(C7896,METADATA!$A$5:$H$29,IF(E7896="HI",2,IF(E7896="LO",6,10))+IF(D7896=1,2,IF(D7896=7,1,(IF(WEEKDAY(B7896)=1,2,IF(WEEKDAY(B7896)=7,1,0))))))</f>
        <v>1</v>
      </c>
      <c r="G7896" s="369">
        <f>VLOOKUP(C7896,METADATA!$J$5:$Q$29,IF(E7896="HI",2,IF(E7896="LO",6,10))+IF(D7896=1,2,IF(D7896=7,1,(IF(WEEKDAY(B7896)=1,2,IF(WEEKDAY(B7896)=7,1,0))))))</f>
        <v>1</v>
      </c>
      <c r="H7896" s="370">
        <v>12277.325134277344</v>
      </c>
      <c r="I7896" s="370">
        <v>9275.449951171875</v>
      </c>
      <c r="M7896" s="371">
        <f t="shared" si="493"/>
        <v>15387.22470913623</v>
      </c>
      <c r="N7896" s="329">
        <f t="shared" si="494"/>
        <v>5592.2524108886719</v>
      </c>
      <c r="T7896" s="331">
        <v>0</v>
      </c>
      <c r="U7896" s="328">
        <f>VLOOKUP(C7896,METADATA!$J$5:$Q$29,IF(E7896="HI",2,IF(E7896="LO",6,10))+IF(T7896=1,2,IF(D7896=7,1,(IF(WEEKDAY(B7896)=1,2,IF(WEEKDAY(B7896)=7,1,0))))))</f>
        <v>1</v>
      </c>
      <c r="V7896" s="328">
        <f>VLOOKUP(C7896,METADATA!$A$5:$H$29,IF(E7896="HI",2,IF(E7896="LO",6,10))+IF(T7896=1,2,IF(D7896=7,1,(IF(WEEKDAY(B7896)=1,2,IF(WEEKDAY(B7896)=7,1,0))))))</f>
        <v>1</v>
      </c>
    </row>
    <row r="7897" spans="2:22">
      <c r="B7897" s="318">
        <f t="shared" si="491"/>
        <v>46441</v>
      </c>
      <c r="C7897" s="312">
        <v>21</v>
      </c>
      <c r="D7897" s="368">
        <f>IFERROR((INDEX(METADATA!$T$2:$T$20,MATCH(B7897,METADATA!$S$2:$S$20,0))),0)</f>
        <v>0</v>
      </c>
      <c r="E7897" s="312" t="str">
        <f t="shared" si="492"/>
        <v>LO</v>
      </c>
      <c r="F7897" s="369">
        <f>VLOOKUP(C7897,METADATA!$A$5:$H$29,IF(E7897="HI",2,IF(E7897="LO",6,10))+IF(D7897=1,2,IF(D7897=7,1,(IF(WEEKDAY(B7897)=1,2,IF(WEEKDAY(B7897)=7,1,0))))))</f>
        <v>2</v>
      </c>
      <c r="G7897" s="369">
        <f>VLOOKUP(C7897,METADATA!$J$5:$Q$29,IF(E7897="HI",2,IF(E7897="LO",6,10))+IF(D7897=1,2,IF(D7897=7,1,(IF(WEEKDAY(B7897)=1,2,IF(WEEKDAY(B7897)=7,1,0))))))</f>
        <v>2</v>
      </c>
      <c r="H7897" s="370">
        <v>12277.200256347656</v>
      </c>
      <c r="I7897" s="370">
        <v>9368.35009765625</v>
      </c>
      <c r="M7897" s="371">
        <f t="shared" si="493"/>
        <v>15443.303716715502</v>
      </c>
      <c r="N7897" s="329">
        <f t="shared" si="494"/>
        <v>5685.1900207519539</v>
      </c>
      <c r="T7897" s="331">
        <v>0</v>
      </c>
      <c r="U7897" s="328">
        <f>VLOOKUP(C7897,METADATA!$J$5:$Q$29,IF(E7897="HI",2,IF(E7897="LO",6,10))+IF(T7897=1,2,IF(D7897=7,1,(IF(WEEKDAY(B7897)=1,2,IF(WEEKDAY(B7897)=7,1,0))))))</f>
        <v>2</v>
      </c>
      <c r="V7897" s="328">
        <f>VLOOKUP(C7897,METADATA!$A$5:$H$29,IF(E7897="HI",2,IF(E7897="LO",6,10))+IF(T7897=1,2,IF(D7897=7,1,(IF(WEEKDAY(B7897)=1,2,IF(WEEKDAY(B7897)=7,1,0))))))</f>
        <v>2</v>
      </c>
    </row>
    <row r="7898" spans="2:22">
      <c r="B7898" s="318">
        <f t="shared" si="491"/>
        <v>46441</v>
      </c>
      <c r="C7898" s="312">
        <v>22</v>
      </c>
      <c r="D7898" s="368">
        <f>IFERROR((INDEX(METADATA!$T$2:$T$20,MATCH(B7898,METADATA!$S$2:$S$20,0))),0)</f>
        <v>0</v>
      </c>
      <c r="E7898" s="312" t="str">
        <f t="shared" si="492"/>
        <v>LO</v>
      </c>
      <c r="F7898" s="369">
        <f>VLOOKUP(C7898,METADATA!$A$5:$H$29,IF(E7898="HI",2,IF(E7898="LO",6,10))+IF(D7898=1,2,IF(D7898=7,1,(IF(WEEKDAY(B7898)=1,2,IF(WEEKDAY(B7898)=7,1,0))))))</f>
        <v>3</v>
      </c>
      <c r="G7898" s="369">
        <f>VLOOKUP(C7898,METADATA!$J$5:$Q$29,IF(E7898="HI",2,IF(E7898="LO",6,10))+IF(D7898=1,2,IF(D7898=7,1,(IF(WEEKDAY(B7898)=1,2,IF(WEEKDAY(B7898)=7,1,0))))))</f>
        <v>3</v>
      </c>
      <c r="H7898" s="370">
        <v>12289.975219726563</v>
      </c>
      <c r="I7898" s="370">
        <v>9440.699951171875</v>
      </c>
      <c r="M7898" s="371">
        <f t="shared" si="493"/>
        <v>15497.429027730683</v>
      </c>
      <c r="N7898" s="329">
        <f t="shared" si="494"/>
        <v>5753.707385253907</v>
      </c>
      <c r="T7898" s="331">
        <v>0</v>
      </c>
      <c r="U7898" s="328">
        <f>VLOOKUP(C7898,METADATA!$J$5:$Q$29,IF(E7898="HI",2,IF(E7898="LO",6,10))+IF(T7898=1,2,IF(D7898=7,1,(IF(WEEKDAY(B7898)=1,2,IF(WEEKDAY(B7898)=7,1,0))))))</f>
        <v>3</v>
      </c>
      <c r="V7898" s="328">
        <f>VLOOKUP(C7898,METADATA!$A$5:$H$29,IF(E7898="HI",2,IF(E7898="LO",6,10))+IF(T7898=1,2,IF(D7898=7,1,(IF(WEEKDAY(B7898)=1,2,IF(WEEKDAY(B7898)=7,1,0))))))</f>
        <v>3</v>
      </c>
    </row>
    <row r="7899" spans="2:22">
      <c r="B7899" s="318">
        <f t="shared" si="491"/>
        <v>46441</v>
      </c>
      <c r="C7899" s="312">
        <v>23</v>
      </c>
      <c r="D7899" s="368">
        <f>IFERROR((INDEX(METADATA!$T$2:$T$20,MATCH(B7899,METADATA!$S$2:$S$20,0))),0)</f>
        <v>0</v>
      </c>
      <c r="E7899" s="312" t="str">
        <f t="shared" si="492"/>
        <v>LO</v>
      </c>
      <c r="F7899" s="369">
        <f>VLOOKUP(C7899,METADATA!$A$5:$H$29,IF(E7899="HI",2,IF(E7899="LO",6,10))+IF(D7899=1,2,IF(D7899=7,1,(IF(WEEKDAY(B7899)=1,2,IF(WEEKDAY(B7899)=7,1,0))))))</f>
        <v>3</v>
      </c>
      <c r="G7899" s="369">
        <f>VLOOKUP(C7899,METADATA!$J$5:$Q$29,IF(E7899="HI",2,IF(E7899="LO",6,10))+IF(D7899=1,2,IF(D7899=7,1,(IF(WEEKDAY(B7899)=1,2,IF(WEEKDAY(B7899)=7,1,0))))))</f>
        <v>3</v>
      </c>
      <c r="H7899" s="370">
        <v>12295.300354003906</v>
      </c>
      <c r="I7899" s="370">
        <v>9522.425048828125</v>
      </c>
      <c r="M7899" s="371">
        <f t="shared" si="493"/>
        <v>15551.559073151409</v>
      </c>
      <c r="N7899" s="329">
        <f t="shared" si="494"/>
        <v>5833.8349426269533</v>
      </c>
      <c r="T7899" s="331">
        <v>0</v>
      </c>
      <c r="U7899" s="328">
        <f>VLOOKUP(C7899,METADATA!$J$5:$Q$29,IF(E7899="HI",2,IF(E7899="LO",6,10))+IF(T7899=1,2,IF(D7899=7,1,(IF(WEEKDAY(B7899)=1,2,IF(WEEKDAY(B7899)=7,1,0))))))</f>
        <v>3</v>
      </c>
      <c r="V7899" s="328">
        <f>VLOOKUP(C7899,METADATA!$A$5:$H$29,IF(E7899="HI",2,IF(E7899="LO",6,10))+IF(T7899=1,2,IF(D7899=7,1,(IF(WEEKDAY(B7899)=1,2,IF(WEEKDAY(B7899)=7,1,0))))))</f>
        <v>3</v>
      </c>
    </row>
    <row r="7900" spans="2:22">
      <c r="B7900" s="318">
        <f t="shared" ref="B7900:B7963" si="495">B7876+1</f>
        <v>46442</v>
      </c>
      <c r="C7900" s="312">
        <v>0</v>
      </c>
      <c r="D7900" s="368">
        <f>IFERROR((INDEX(METADATA!$T$2:$T$20,MATCH(B7900,METADATA!$S$2:$S$20,0))),0)</f>
        <v>0</v>
      </c>
      <c r="E7900" s="312" t="str">
        <f t="shared" si="492"/>
        <v>LO</v>
      </c>
      <c r="F7900" s="369">
        <f>VLOOKUP(C7900,METADATA!$A$5:$H$29,IF(E7900="HI",2,IF(E7900="LO",6,10))+IF(D7900=1,2,IF(D7900=7,1,(IF(WEEKDAY(B7900)=1,2,IF(WEEKDAY(B7900)=7,1,0))))))</f>
        <v>3</v>
      </c>
      <c r="G7900" s="369">
        <f>VLOOKUP(C7900,METADATA!$J$5:$Q$29,IF(E7900="HI",2,IF(E7900="LO",6,10))+IF(D7900=1,2,IF(D7900=7,1,(IF(WEEKDAY(B7900)=1,2,IF(WEEKDAY(B7900)=7,1,0))))))</f>
        <v>3</v>
      </c>
      <c r="H7900" s="370">
        <v>12316.150268554688</v>
      </c>
      <c r="I7900" s="370">
        <v>9621.1250610351563</v>
      </c>
      <c r="M7900" s="371">
        <f t="shared" si="493"/>
        <v>15628.614937917513</v>
      </c>
      <c r="N7900" s="329">
        <f t="shared" si="494"/>
        <v>5926.2799804687502</v>
      </c>
      <c r="T7900" s="331">
        <v>0</v>
      </c>
      <c r="U7900" s="328">
        <f>VLOOKUP(C7900,METADATA!$J$5:$Q$29,IF(E7900="HI",2,IF(E7900="LO",6,10))+IF(T7900=1,2,IF(D7900=7,1,(IF(WEEKDAY(B7900)=1,2,IF(WEEKDAY(B7900)=7,1,0))))))</f>
        <v>3</v>
      </c>
      <c r="V7900" s="328">
        <f>VLOOKUP(C7900,METADATA!$A$5:$H$29,IF(E7900="HI",2,IF(E7900="LO",6,10))+IF(T7900=1,2,IF(D7900=7,1,(IF(WEEKDAY(B7900)=1,2,IF(WEEKDAY(B7900)=7,1,0))))))</f>
        <v>3</v>
      </c>
    </row>
    <row r="7901" spans="2:22">
      <c r="B7901" s="318">
        <f t="shared" si="495"/>
        <v>46442</v>
      </c>
      <c r="C7901" s="312">
        <v>1</v>
      </c>
      <c r="D7901" s="368">
        <f>IFERROR((INDEX(METADATA!$T$2:$T$20,MATCH(B7901,METADATA!$S$2:$S$20,0))),0)</f>
        <v>0</v>
      </c>
      <c r="E7901" s="312" t="str">
        <f t="shared" si="492"/>
        <v>LO</v>
      </c>
      <c r="F7901" s="369">
        <f>VLOOKUP(C7901,METADATA!$A$5:$H$29,IF(E7901="HI",2,IF(E7901="LO",6,10))+IF(D7901=1,2,IF(D7901=7,1,(IF(WEEKDAY(B7901)=1,2,IF(WEEKDAY(B7901)=7,1,0))))))</f>
        <v>3</v>
      </c>
      <c r="G7901" s="369">
        <f>VLOOKUP(C7901,METADATA!$J$5:$Q$29,IF(E7901="HI",2,IF(E7901="LO",6,10))+IF(D7901=1,2,IF(D7901=7,1,(IF(WEEKDAY(B7901)=1,2,IF(WEEKDAY(B7901)=7,1,0))))))</f>
        <v>3</v>
      </c>
      <c r="H7901" s="370">
        <v>12277.624816894531</v>
      </c>
      <c r="I7901" s="370">
        <v>9542.0250244140625</v>
      </c>
      <c r="M7901" s="371">
        <f t="shared" si="493"/>
        <v>15549.6081208167</v>
      </c>
      <c r="N7901" s="329">
        <f t="shared" si="494"/>
        <v>5858.7375793457031</v>
      </c>
      <c r="T7901" s="331">
        <v>0</v>
      </c>
      <c r="U7901" s="328">
        <f>VLOOKUP(C7901,METADATA!$J$5:$Q$29,IF(E7901="HI",2,IF(E7901="LO",6,10))+IF(T7901=1,2,IF(D7901=7,1,(IF(WEEKDAY(B7901)=1,2,IF(WEEKDAY(B7901)=7,1,0))))))</f>
        <v>3</v>
      </c>
      <c r="V7901" s="328">
        <f>VLOOKUP(C7901,METADATA!$A$5:$H$29,IF(E7901="HI",2,IF(E7901="LO",6,10))+IF(T7901=1,2,IF(D7901=7,1,(IF(WEEKDAY(B7901)=1,2,IF(WEEKDAY(B7901)=7,1,0))))))</f>
        <v>3</v>
      </c>
    </row>
    <row r="7902" spans="2:22">
      <c r="B7902" s="318">
        <f t="shared" si="495"/>
        <v>46442</v>
      </c>
      <c r="C7902" s="312">
        <v>2</v>
      </c>
      <c r="D7902" s="368">
        <f>IFERROR((INDEX(METADATA!$T$2:$T$20,MATCH(B7902,METADATA!$S$2:$S$20,0))),0)</f>
        <v>0</v>
      </c>
      <c r="E7902" s="312" t="str">
        <f t="shared" si="492"/>
        <v>LO</v>
      </c>
      <c r="F7902" s="369">
        <f>VLOOKUP(C7902,METADATA!$A$5:$H$29,IF(E7902="HI",2,IF(E7902="LO",6,10))+IF(D7902=1,2,IF(D7902=7,1,(IF(WEEKDAY(B7902)=1,2,IF(WEEKDAY(B7902)=7,1,0))))))</f>
        <v>3</v>
      </c>
      <c r="G7902" s="369">
        <f>VLOOKUP(C7902,METADATA!$J$5:$Q$29,IF(E7902="HI",2,IF(E7902="LO",6,10))+IF(D7902=1,2,IF(D7902=7,1,(IF(WEEKDAY(B7902)=1,2,IF(WEEKDAY(B7902)=7,1,0))))))</f>
        <v>3</v>
      </c>
      <c r="H7902" s="370">
        <v>12304.770141601563</v>
      </c>
      <c r="I7902" s="370">
        <v>9557.8626708984375</v>
      </c>
      <c r="M7902" s="371">
        <f t="shared" si="493"/>
        <v>15580.760798927731</v>
      </c>
      <c r="N7902" s="329">
        <f t="shared" si="494"/>
        <v>5866.4316284179695</v>
      </c>
      <c r="T7902" s="331">
        <v>0</v>
      </c>
      <c r="U7902" s="328">
        <f>VLOOKUP(C7902,METADATA!$J$5:$Q$29,IF(E7902="HI",2,IF(E7902="LO",6,10))+IF(T7902=1,2,IF(D7902=7,1,(IF(WEEKDAY(B7902)=1,2,IF(WEEKDAY(B7902)=7,1,0))))))</f>
        <v>3</v>
      </c>
      <c r="V7902" s="328">
        <f>VLOOKUP(C7902,METADATA!$A$5:$H$29,IF(E7902="HI",2,IF(E7902="LO",6,10))+IF(T7902=1,2,IF(D7902=7,1,(IF(WEEKDAY(B7902)=1,2,IF(WEEKDAY(B7902)=7,1,0))))))</f>
        <v>3</v>
      </c>
    </row>
    <row r="7903" spans="2:22">
      <c r="B7903" s="318">
        <f t="shared" si="495"/>
        <v>46442</v>
      </c>
      <c r="C7903" s="312">
        <v>3</v>
      </c>
      <c r="D7903" s="368">
        <f>IFERROR((INDEX(METADATA!$T$2:$T$20,MATCH(B7903,METADATA!$S$2:$S$20,0))),0)</f>
        <v>0</v>
      </c>
      <c r="E7903" s="312" t="str">
        <f t="shared" si="492"/>
        <v>LO</v>
      </c>
      <c r="F7903" s="369">
        <f>VLOOKUP(C7903,METADATA!$A$5:$H$29,IF(E7903="HI",2,IF(E7903="LO",6,10))+IF(D7903=1,2,IF(D7903=7,1,(IF(WEEKDAY(B7903)=1,2,IF(WEEKDAY(B7903)=7,1,0))))))</f>
        <v>3</v>
      </c>
      <c r="G7903" s="369">
        <f>VLOOKUP(C7903,METADATA!$J$5:$Q$29,IF(E7903="HI",2,IF(E7903="LO",6,10))+IF(D7903=1,2,IF(D7903=7,1,(IF(WEEKDAY(B7903)=1,2,IF(WEEKDAY(B7903)=7,1,0))))))</f>
        <v>3</v>
      </c>
      <c r="H7903" s="370">
        <v>12248.750183105469</v>
      </c>
      <c r="I7903" s="370">
        <v>9511.4000244140625</v>
      </c>
      <c r="M7903" s="371">
        <f t="shared" si="493"/>
        <v>15508.01765128445</v>
      </c>
      <c r="N7903" s="329">
        <f t="shared" si="494"/>
        <v>5836.7749694824215</v>
      </c>
      <c r="T7903" s="331">
        <v>0</v>
      </c>
      <c r="U7903" s="328">
        <f>VLOOKUP(C7903,METADATA!$J$5:$Q$29,IF(E7903="HI",2,IF(E7903="LO",6,10))+IF(T7903=1,2,IF(D7903=7,1,(IF(WEEKDAY(B7903)=1,2,IF(WEEKDAY(B7903)=7,1,0))))))</f>
        <v>3</v>
      </c>
      <c r="V7903" s="328">
        <f>VLOOKUP(C7903,METADATA!$A$5:$H$29,IF(E7903="HI",2,IF(E7903="LO",6,10))+IF(T7903=1,2,IF(D7903=7,1,(IF(WEEKDAY(B7903)=1,2,IF(WEEKDAY(B7903)=7,1,0))))))</f>
        <v>3</v>
      </c>
    </row>
    <row r="7904" spans="2:22">
      <c r="B7904" s="318">
        <f t="shared" si="495"/>
        <v>46442</v>
      </c>
      <c r="C7904" s="312">
        <v>4</v>
      </c>
      <c r="D7904" s="368">
        <f>IFERROR((INDEX(METADATA!$T$2:$T$20,MATCH(B7904,METADATA!$S$2:$S$20,0))),0)</f>
        <v>0</v>
      </c>
      <c r="E7904" s="312" t="str">
        <f t="shared" si="492"/>
        <v>LO</v>
      </c>
      <c r="F7904" s="369">
        <f>VLOOKUP(C7904,METADATA!$A$5:$H$29,IF(E7904="HI",2,IF(E7904="LO",6,10))+IF(D7904=1,2,IF(D7904=7,1,(IF(WEEKDAY(B7904)=1,2,IF(WEEKDAY(B7904)=7,1,0))))))</f>
        <v>3</v>
      </c>
      <c r="G7904" s="369">
        <f>VLOOKUP(C7904,METADATA!$J$5:$Q$29,IF(E7904="HI",2,IF(E7904="LO",6,10))+IF(D7904=1,2,IF(D7904=7,1,(IF(WEEKDAY(B7904)=1,2,IF(WEEKDAY(B7904)=7,1,0))))))</f>
        <v>3</v>
      </c>
      <c r="H7904" s="370">
        <v>12270.624755859375</v>
      </c>
      <c r="I7904" s="370">
        <v>9485.574951171875</v>
      </c>
      <c r="M7904" s="371">
        <f t="shared" si="493"/>
        <v>15509.492707803445</v>
      </c>
      <c r="N7904" s="329">
        <f t="shared" si="494"/>
        <v>5804.3875244140627</v>
      </c>
      <c r="T7904" s="331">
        <v>0</v>
      </c>
      <c r="U7904" s="328">
        <f>VLOOKUP(C7904,METADATA!$J$5:$Q$29,IF(E7904="HI",2,IF(E7904="LO",6,10))+IF(T7904=1,2,IF(D7904=7,1,(IF(WEEKDAY(B7904)=1,2,IF(WEEKDAY(B7904)=7,1,0))))))</f>
        <v>3</v>
      </c>
      <c r="V7904" s="328">
        <f>VLOOKUP(C7904,METADATA!$A$5:$H$29,IF(E7904="HI",2,IF(E7904="LO",6,10))+IF(T7904=1,2,IF(D7904=7,1,(IF(WEEKDAY(B7904)=1,2,IF(WEEKDAY(B7904)=7,1,0))))))</f>
        <v>3</v>
      </c>
    </row>
    <row r="7905" spans="2:22">
      <c r="B7905" s="318">
        <f t="shared" si="495"/>
        <v>46442</v>
      </c>
      <c r="C7905" s="312">
        <v>5</v>
      </c>
      <c r="D7905" s="368">
        <f>IFERROR((INDEX(METADATA!$T$2:$T$20,MATCH(B7905,METADATA!$S$2:$S$20,0))),0)</f>
        <v>0</v>
      </c>
      <c r="E7905" s="312" t="str">
        <f t="shared" si="492"/>
        <v>LO</v>
      </c>
      <c r="F7905" s="369">
        <f>VLOOKUP(C7905,METADATA!$A$5:$H$29,IF(E7905="HI",2,IF(E7905="LO",6,10))+IF(D7905=1,2,IF(D7905=7,1,(IF(WEEKDAY(B7905)=1,2,IF(WEEKDAY(B7905)=7,1,0))))))</f>
        <v>3</v>
      </c>
      <c r="G7905" s="369">
        <f>VLOOKUP(C7905,METADATA!$J$5:$Q$29,IF(E7905="HI",2,IF(E7905="LO",6,10))+IF(D7905=1,2,IF(D7905=7,1,(IF(WEEKDAY(B7905)=1,2,IF(WEEKDAY(B7905)=7,1,0))))))</f>
        <v>3</v>
      </c>
      <c r="H7905" s="370">
        <v>12005.2998046875</v>
      </c>
      <c r="I7905" s="370">
        <v>9282.2999267578125</v>
      </c>
      <c r="M7905" s="371">
        <f t="shared" si="493"/>
        <v>15175.253386046566</v>
      </c>
      <c r="N7905" s="329">
        <f t="shared" si="494"/>
        <v>5680.7099853515629</v>
      </c>
      <c r="T7905" s="331">
        <v>0</v>
      </c>
      <c r="U7905" s="328">
        <f>VLOOKUP(C7905,METADATA!$J$5:$Q$29,IF(E7905="HI",2,IF(E7905="LO",6,10))+IF(T7905=1,2,IF(D7905=7,1,(IF(WEEKDAY(B7905)=1,2,IF(WEEKDAY(B7905)=7,1,0))))))</f>
        <v>3</v>
      </c>
      <c r="V7905" s="328">
        <f>VLOOKUP(C7905,METADATA!$A$5:$H$29,IF(E7905="HI",2,IF(E7905="LO",6,10))+IF(T7905=1,2,IF(D7905=7,1,(IF(WEEKDAY(B7905)=1,2,IF(WEEKDAY(B7905)=7,1,0))))))</f>
        <v>3</v>
      </c>
    </row>
    <row r="7906" spans="2:22">
      <c r="B7906" s="318">
        <f t="shared" si="495"/>
        <v>46442</v>
      </c>
      <c r="C7906" s="312">
        <v>6</v>
      </c>
      <c r="D7906" s="368">
        <f>IFERROR((INDEX(METADATA!$T$2:$T$20,MATCH(B7906,METADATA!$S$2:$S$20,0))),0)</f>
        <v>0</v>
      </c>
      <c r="E7906" s="312" t="str">
        <f t="shared" si="492"/>
        <v>LO</v>
      </c>
      <c r="F7906" s="369">
        <f>VLOOKUP(C7906,METADATA!$A$5:$H$29,IF(E7906="HI",2,IF(E7906="LO",6,10))+IF(D7906=1,2,IF(D7906=7,1,(IF(WEEKDAY(B7906)=1,2,IF(WEEKDAY(B7906)=7,1,0))))))</f>
        <v>2</v>
      </c>
      <c r="G7906" s="369">
        <f>VLOOKUP(C7906,METADATA!$J$5:$Q$29,IF(E7906="HI",2,IF(E7906="LO",6,10))+IF(D7906=1,2,IF(D7906=7,1,(IF(WEEKDAY(B7906)=1,2,IF(WEEKDAY(B7906)=7,1,0))))))</f>
        <v>2</v>
      </c>
      <c r="H7906" s="370">
        <v>11913.324951171875</v>
      </c>
      <c r="I7906" s="370">
        <v>9221.7997436523438</v>
      </c>
      <c r="M7906" s="371">
        <f t="shared" si="493"/>
        <v>15065.487111415972</v>
      </c>
      <c r="N7906" s="329">
        <f t="shared" si="494"/>
        <v>5647.8022583007814</v>
      </c>
      <c r="T7906" s="331">
        <v>0</v>
      </c>
      <c r="U7906" s="328">
        <f>VLOOKUP(C7906,METADATA!$J$5:$Q$29,IF(E7906="HI",2,IF(E7906="LO",6,10))+IF(T7906=1,2,IF(D7906=7,1,(IF(WEEKDAY(B7906)=1,2,IF(WEEKDAY(B7906)=7,1,0))))))</f>
        <v>2</v>
      </c>
      <c r="V7906" s="328">
        <f>VLOOKUP(C7906,METADATA!$A$5:$H$29,IF(E7906="HI",2,IF(E7906="LO",6,10))+IF(T7906=1,2,IF(D7906=7,1,(IF(WEEKDAY(B7906)=1,2,IF(WEEKDAY(B7906)=7,1,0))))))</f>
        <v>2</v>
      </c>
    </row>
    <row r="7907" spans="2:22">
      <c r="B7907" s="318">
        <f t="shared" si="495"/>
        <v>46442</v>
      </c>
      <c r="C7907" s="312">
        <v>7</v>
      </c>
      <c r="D7907" s="368">
        <f>IFERROR((INDEX(METADATA!$T$2:$T$20,MATCH(B7907,METADATA!$S$2:$S$20,0))),0)</f>
        <v>0</v>
      </c>
      <c r="E7907" s="312" t="str">
        <f t="shared" si="492"/>
        <v>LO</v>
      </c>
      <c r="F7907" s="369">
        <f>VLOOKUP(C7907,METADATA!$A$5:$H$29,IF(E7907="HI",2,IF(E7907="LO",6,10))+IF(D7907=1,2,IF(D7907=7,1,(IF(WEEKDAY(B7907)=1,2,IF(WEEKDAY(B7907)=7,1,0))))))</f>
        <v>1</v>
      </c>
      <c r="G7907" s="369">
        <f>VLOOKUP(C7907,METADATA!$J$5:$Q$29,IF(E7907="HI",2,IF(E7907="LO",6,10))+IF(D7907=1,2,IF(D7907=7,1,(IF(WEEKDAY(B7907)=1,2,IF(WEEKDAY(B7907)=7,1,0))))))</f>
        <v>1</v>
      </c>
      <c r="H7907" s="370">
        <v>12259.749938964844</v>
      </c>
      <c r="I7907" s="370">
        <v>9336.1000366210938</v>
      </c>
      <c r="M7907" s="371">
        <f t="shared" si="493"/>
        <v>15409.874511485967</v>
      </c>
      <c r="N7907" s="329">
        <f t="shared" si="494"/>
        <v>5658.1750549316403</v>
      </c>
      <c r="T7907" s="331">
        <v>0</v>
      </c>
      <c r="U7907" s="328">
        <f>VLOOKUP(C7907,METADATA!$J$5:$Q$29,IF(E7907="HI",2,IF(E7907="LO",6,10))+IF(T7907=1,2,IF(D7907=7,1,(IF(WEEKDAY(B7907)=1,2,IF(WEEKDAY(B7907)=7,1,0))))))</f>
        <v>1</v>
      </c>
      <c r="V7907" s="328">
        <f>VLOOKUP(C7907,METADATA!$A$5:$H$29,IF(E7907="HI",2,IF(E7907="LO",6,10))+IF(T7907=1,2,IF(D7907=7,1,(IF(WEEKDAY(B7907)=1,2,IF(WEEKDAY(B7907)=7,1,0))))))</f>
        <v>1</v>
      </c>
    </row>
    <row r="7908" spans="2:22">
      <c r="B7908" s="318">
        <f t="shared" si="495"/>
        <v>46442</v>
      </c>
      <c r="C7908" s="312">
        <v>8</v>
      </c>
      <c r="D7908" s="368">
        <f>IFERROR((INDEX(METADATA!$T$2:$T$20,MATCH(B7908,METADATA!$S$2:$S$20,0))),0)</f>
        <v>0</v>
      </c>
      <c r="E7908" s="312" t="str">
        <f t="shared" si="492"/>
        <v>LO</v>
      </c>
      <c r="F7908" s="369">
        <f>VLOOKUP(C7908,METADATA!$A$5:$H$29,IF(E7908="HI",2,IF(E7908="LO",6,10))+IF(D7908=1,2,IF(D7908=7,1,(IF(WEEKDAY(B7908)=1,2,IF(WEEKDAY(B7908)=7,1,0))))))</f>
        <v>1</v>
      </c>
      <c r="G7908" s="369">
        <f>VLOOKUP(C7908,METADATA!$J$5:$Q$29,IF(E7908="HI",2,IF(E7908="LO",6,10))+IF(D7908=1,2,IF(D7908=7,1,(IF(WEEKDAY(B7908)=1,2,IF(WEEKDAY(B7908)=7,1,0))))))</f>
        <v>1</v>
      </c>
      <c r="H7908" s="370">
        <v>12380.4501953125</v>
      </c>
      <c r="I7908" s="370">
        <v>9275.6500854492188</v>
      </c>
      <c r="M7908" s="371">
        <f t="shared" si="493"/>
        <v>15469.752148832489</v>
      </c>
      <c r="N7908" s="329">
        <f t="shared" si="494"/>
        <v>5561.5150268554689</v>
      </c>
      <c r="T7908" s="331">
        <v>0</v>
      </c>
      <c r="U7908" s="328">
        <f>VLOOKUP(C7908,METADATA!$J$5:$Q$29,IF(E7908="HI",2,IF(E7908="LO",6,10))+IF(T7908=1,2,IF(D7908=7,1,(IF(WEEKDAY(B7908)=1,2,IF(WEEKDAY(B7908)=7,1,0))))))</f>
        <v>1</v>
      </c>
      <c r="V7908" s="328">
        <f>VLOOKUP(C7908,METADATA!$A$5:$H$29,IF(E7908="HI",2,IF(E7908="LO",6,10))+IF(T7908=1,2,IF(D7908=7,1,(IF(WEEKDAY(B7908)=1,2,IF(WEEKDAY(B7908)=7,1,0))))))</f>
        <v>1</v>
      </c>
    </row>
    <row r="7909" spans="2:22">
      <c r="B7909" s="318">
        <f t="shared" si="495"/>
        <v>46442</v>
      </c>
      <c r="C7909" s="312">
        <v>9</v>
      </c>
      <c r="D7909" s="368">
        <f>IFERROR((INDEX(METADATA!$T$2:$T$20,MATCH(B7909,METADATA!$S$2:$S$20,0))),0)</f>
        <v>0</v>
      </c>
      <c r="E7909" s="312" t="str">
        <f t="shared" si="492"/>
        <v>LO</v>
      </c>
      <c r="F7909" s="369">
        <f>VLOOKUP(C7909,METADATA!$A$5:$H$29,IF(E7909="HI",2,IF(E7909="LO",6,10))+IF(D7909=1,2,IF(D7909=7,1,(IF(WEEKDAY(B7909)=1,2,IF(WEEKDAY(B7909)=7,1,0))))))</f>
        <v>2</v>
      </c>
      <c r="G7909" s="369">
        <f>VLOOKUP(C7909,METADATA!$J$5:$Q$29,IF(E7909="HI",2,IF(E7909="LO",6,10))+IF(D7909=1,2,IF(D7909=7,1,(IF(WEEKDAY(B7909)=1,2,IF(WEEKDAY(B7909)=7,1,0))))))</f>
        <v>2</v>
      </c>
      <c r="H7909" s="370">
        <v>12436.475402832031</v>
      </c>
      <c r="I7909" s="370">
        <v>9307.0748901367188</v>
      </c>
      <c r="M7909" s="371">
        <f t="shared" si="493"/>
        <v>15533.433730372031</v>
      </c>
      <c r="N7909" s="329">
        <f t="shared" si="494"/>
        <v>5576.132269287109</v>
      </c>
      <c r="T7909" s="331">
        <v>0</v>
      </c>
      <c r="U7909" s="328">
        <f>VLOOKUP(C7909,METADATA!$J$5:$Q$29,IF(E7909="HI",2,IF(E7909="LO",6,10))+IF(T7909=1,2,IF(D7909=7,1,(IF(WEEKDAY(B7909)=1,2,IF(WEEKDAY(B7909)=7,1,0))))))</f>
        <v>2</v>
      </c>
      <c r="V7909" s="328">
        <f>VLOOKUP(C7909,METADATA!$A$5:$H$29,IF(E7909="HI",2,IF(E7909="LO",6,10))+IF(T7909=1,2,IF(D7909=7,1,(IF(WEEKDAY(B7909)=1,2,IF(WEEKDAY(B7909)=7,1,0))))))</f>
        <v>2</v>
      </c>
    </row>
    <row r="7910" spans="2:22">
      <c r="B7910" s="318">
        <f t="shared" si="495"/>
        <v>46442</v>
      </c>
      <c r="C7910" s="312">
        <v>10</v>
      </c>
      <c r="D7910" s="368">
        <f>IFERROR((INDEX(METADATA!$T$2:$T$20,MATCH(B7910,METADATA!$S$2:$S$20,0))),0)</f>
        <v>0</v>
      </c>
      <c r="E7910" s="312" t="str">
        <f t="shared" si="492"/>
        <v>LO</v>
      </c>
      <c r="F7910" s="369">
        <f>VLOOKUP(C7910,METADATA!$A$5:$H$29,IF(E7910="HI",2,IF(E7910="LO",6,10))+IF(D7910=1,2,IF(D7910=7,1,(IF(WEEKDAY(B7910)=1,2,IF(WEEKDAY(B7910)=7,1,0))))))</f>
        <v>2</v>
      </c>
      <c r="G7910" s="369">
        <f>VLOOKUP(C7910,METADATA!$J$5:$Q$29,IF(E7910="HI",2,IF(E7910="LO",6,10))+IF(D7910=1,2,IF(D7910=7,1,(IF(WEEKDAY(B7910)=1,2,IF(WEEKDAY(B7910)=7,1,0))))))</f>
        <v>2</v>
      </c>
      <c r="H7910" s="370">
        <v>11852.799926757813</v>
      </c>
      <c r="I7910" s="370">
        <v>8809.3251342773438</v>
      </c>
      <c r="M7910" s="371">
        <f t="shared" si="493"/>
        <v>14767.974655488833</v>
      </c>
      <c r="N7910" s="329">
        <f t="shared" si="494"/>
        <v>5253.4851562500007</v>
      </c>
      <c r="T7910" s="331">
        <v>0</v>
      </c>
      <c r="U7910" s="328">
        <f>VLOOKUP(C7910,METADATA!$J$5:$Q$29,IF(E7910="HI",2,IF(E7910="LO",6,10))+IF(T7910=1,2,IF(D7910=7,1,(IF(WEEKDAY(B7910)=1,2,IF(WEEKDAY(B7910)=7,1,0))))))</f>
        <v>2</v>
      </c>
      <c r="V7910" s="328">
        <f>VLOOKUP(C7910,METADATA!$A$5:$H$29,IF(E7910="HI",2,IF(E7910="LO",6,10))+IF(T7910=1,2,IF(D7910=7,1,(IF(WEEKDAY(B7910)=1,2,IF(WEEKDAY(B7910)=7,1,0))))))</f>
        <v>2</v>
      </c>
    </row>
    <row r="7911" spans="2:22">
      <c r="B7911" s="318">
        <f t="shared" si="495"/>
        <v>46442</v>
      </c>
      <c r="C7911" s="312">
        <v>11</v>
      </c>
      <c r="D7911" s="368">
        <f>IFERROR((INDEX(METADATA!$T$2:$T$20,MATCH(B7911,METADATA!$S$2:$S$20,0))),0)</f>
        <v>0</v>
      </c>
      <c r="E7911" s="312" t="str">
        <f t="shared" si="492"/>
        <v>LO</v>
      </c>
      <c r="F7911" s="369">
        <f>VLOOKUP(C7911,METADATA!$A$5:$H$29,IF(E7911="HI",2,IF(E7911="LO",6,10))+IF(D7911=1,2,IF(D7911=7,1,(IF(WEEKDAY(B7911)=1,2,IF(WEEKDAY(B7911)=7,1,0))))))</f>
        <v>2</v>
      </c>
      <c r="G7911" s="369">
        <f>VLOOKUP(C7911,METADATA!$J$5:$Q$29,IF(E7911="HI",2,IF(E7911="LO",6,10))+IF(D7911=1,2,IF(D7911=7,1,(IF(WEEKDAY(B7911)=1,2,IF(WEEKDAY(B7911)=7,1,0))))))</f>
        <v>2</v>
      </c>
      <c r="H7911" s="370">
        <v>12154.500061035156</v>
      </c>
      <c r="I7911" s="370">
        <v>9092.47509765625</v>
      </c>
      <c r="M7911" s="371">
        <f t="shared" si="493"/>
        <v>15179.096650828818</v>
      </c>
      <c r="N7911" s="329">
        <f t="shared" si="494"/>
        <v>5446.1250793457039</v>
      </c>
      <c r="T7911" s="331">
        <v>0</v>
      </c>
      <c r="U7911" s="328">
        <f>VLOOKUP(C7911,METADATA!$J$5:$Q$29,IF(E7911="HI",2,IF(E7911="LO",6,10))+IF(T7911=1,2,IF(D7911=7,1,(IF(WEEKDAY(B7911)=1,2,IF(WEEKDAY(B7911)=7,1,0))))))</f>
        <v>2</v>
      </c>
      <c r="V7911" s="328">
        <f>VLOOKUP(C7911,METADATA!$A$5:$H$29,IF(E7911="HI",2,IF(E7911="LO",6,10))+IF(T7911=1,2,IF(D7911=7,1,(IF(WEEKDAY(B7911)=1,2,IF(WEEKDAY(B7911)=7,1,0))))))</f>
        <v>2</v>
      </c>
    </row>
    <row r="7912" spans="2:22">
      <c r="B7912" s="318">
        <f t="shared" si="495"/>
        <v>46442</v>
      </c>
      <c r="C7912" s="312">
        <v>12</v>
      </c>
      <c r="D7912" s="368">
        <f>IFERROR((INDEX(METADATA!$T$2:$T$20,MATCH(B7912,METADATA!$S$2:$S$20,0))),0)</f>
        <v>0</v>
      </c>
      <c r="E7912" s="312" t="str">
        <f t="shared" si="492"/>
        <v>LO</v>
      </c>
      <c r="F7912" s="369">
        <f>VLOOKUP(C7912,METADATA!$A$5:$H$29,IF(E7912="HI",2,IF(E7912="LO",6,10))+IF(D7912=1,2,IF(D7912=7,1,(IF(WEEKDAY(B7912)=1,2,IF(WEEKDAY(B7912)=7,1,0))))))</f>
        <v>2</v>
      </c>
      <c r="G7912" s="369">
        <f>VLOOKUP(C7912,METADATA!$J$5:$Q$29,IF(E7912="HI",2,IF(E7912="LO",6,10))+IF(D7912=1,2,IF(D7912=7,1,(IF(WEEKDAY(B7912)=1,2,IF(WEEKDAY(B7912)=7,1,0))))))</f>
        <v>2</v>
      </c>
      <c r="H7912" s="370">
        <v>12510.600280761719</v>
      </c>
      <c r="I7912" s="370">
        <v>9474.25</v>
      </c>
      <c r="M7912" s="371">
        <f t="shared" si="493"/>
        <v>15693.20019777659</v>
      </c>
      <c r="N7912" s="329">
        <f t="shared" si="494"/>
        <v>5721.0699157714844</v>
      </c>
      <c r="T7912" s="331">
        <v>0</v>
      </c>
      <c r="U7912" s="328">
        <f>VLOOKUP(C7912,METADATA!$J$5:$Q$29,IF(E7912="HI",2,IF(E7912="LO",6,10))+IF(T7912=1,2,IF(D7912=7,1,(IF(WEEKDAY(B7912)=1,2,IF(WEEKDAY(B7912)=7,1,0))))))</f>
        <v>2</v>
      </c>
      <c r="V7912" s="328">
        <f>VLOOKUP(C7912,METADATA!$A$5:$H$29,IF(E7912="HI",2,IF(E7912="LO",6,10))+IF(T7912=1,2,IF(D7912=7,1,(IF(WEEKDAY(B7912)=1,2,IF(WEEKDAY(B7912)=7,1,0))))))</f>
        <v>2</v>
      </c>
    </row>
    <row r="7913" spans="2:22">
      <c r="B7913" s="318">
        <f t="shared" si="495"/>
        <v>46442</v>
      </c>
      <c r="C7913" s="312">
        <v>13</v>
      </c>
      <c r="D7913" s="368">
        <f>IFERROR((INDEX(METADATA!$T$2:$T$20,MATCH(B7913,METADATA!$S$2:$S$20,0))),0)</f>
        <v>0</v>
      </c>
      <c r="E7913" s="312" t="str">
        <f t="shared" si="492"/>
        <v>LO</v>
      </c>
      <c r="F7913" s="369">
        <f>VLOOKUP(C7913,METADATA!$A$5:$H$29,IF(E7913="HI",2,IF(E7913="LO",6,10))+IF(D7913=1,2,IF(D7913=7,1,(IF(WEEKDAY(B7913)=1,2,IF(WEEKDAY(B7913)=7,1,0))))))</f>
        <v>2</v>
      </c>
      <c r="G7913" s="369">
        <f>VLOOKUP(C7913,METADATA!$J$5:$Q$29,IF(E7913="HI",2,IF(E7913="LO",6,10))+IF(D7913=1,2,IF(D7913=7,1,(IF(WEEKDAY(B7913)=1,2,IF(WEEKDAY(B7913)=7,1,0))))))</f>
        <v>2</v>
      </c>
      <c r="H7913" s="370">
        <v>12475.299987792969</v>
      </c>
      <c r="I7913" s="370">
        <v>9422.425048828125</v>
      </c>
      <c r="M7913" s="371">
        <f t="shared" si="493"/>
        <v>15633.784045656092</v>
      </c>
      <c r="N7913" s="329">
        <f t="shared" si="494"/>
        <v>5679.8350524902344</v>
      </c>
      <c r="T7913" s="331">
        <v>0</v>
      </c>
      <c r="U7913" s="328">
        <f>VLOOKUP(C7913,METADATA!$J$5:$Q$29,IF(E7913="HI",2,IF(E7913="LO",6,10))+IF(T7913=1,2,IF(D7913=7,1,(IF(WEEKDAY(B7913)=1,2,IF(WEEKDAY(B7913)=7,1,0))))))</f>
        <v>2</v>
      </c>
      <c r="V7913" s="328">
        <f>VLOOKUP(C7913,METADATA!$A$5:$H$29,IF(E7913="HI",2,IF(E7913="LO",6,10))+IF(T7913=1,2,IF(D7913=7,1,(IF(WEEKDAY(B7913)=1,2,IF(WEEKDAY(B7913)=7,1,0))))))</f>
        <v>2</v>
      </c>
    </row>
    <row r="7914" spans="2:22">
      <c r="B7914" s="318">
        <f t="shared" si="495"/>
        <v>46442</v>
      </c>
      <c r="C7914" s="312">
        <v>14</v>
      </c>
      <c r="D7914" s="368">
        <f>IFERROR((INDEX(METADATA!$T$2:$T$20,MATCH(B7914,METADATA!$S$2:$S$20,0))),0)</f>
        <v>0</v>
      </c>
      <c r="E7914" s="312" t="str">
        <f t="shared" si="492"/>
        <v>LO</v>
      </c>
      <c r="F7914" s="369">
        <f>VLOOKUP(C7914,METADATA!$A$5:$H$29,IF(E7914="HI",2,IF(E7914="LO",6,10))+IF(D7914=1,2,IF(D7914=7,1,(IF(WEEKDAY(B7914)=1,2,IF(WEEKDAY(B7914)=7,1,0))))))</f>
        <v>2</v>
      </c>
      <c r="G7914" s="369">
        <f>VLOOKUP(C7914,METADATA!$J$5:$Q$29,IF(E7914="HI",2,IF(E7914="LO",6,10))+IF(D7914=1,2,IF(D7914=7,1,(IF(WEEKDAY(B7914)=1,2,IF(WEEKDAY(B7914)=7,1,0))))))</f>
        <v>2</v>
      </c>
      <c r="H7914" s="370">
        <v>12399.8251953125</v>
      </c>
      <c r="I7914" s="370">
        <v>9434.050048828125</v>
      </c>
      <c r="M7914" s="371">
        <f t="shared" si="493"/>
        <v>15580.659973123751</v>
      </c>
      <c r="N7914" s="329">
        <f t="shared" si="494"/>
        <v>5714.1024902343752</v>
      </c>
      <c r="T7914" s="331">
        <v>0</v>
      </c>
      <c r="U7914" s="328">
        <f>VLOOKUP(C7914,METADATA!$J$5:$Q$29,IF(E7914="HI",2,IF(E7914="LO",6,10))+IF(T7914=1,2,IF(D7914=7,1,(IF(WEEKDAY(B7914)=1,2,IF(WEEKDAY(B7914)=7,1,0))))))</f>
        <v>2</v>
      </c>
      <c r="V7914" s="328">
        <f>VLOOKUP(C7914,METADATA!$A$5:$H$29,IF(E7914="HI",2,IF(E7914="LO",6,10))+IF(T7914=1,2,IF(D7914=7,1,(IF(WEEKDAY(B7914)=1,2,IF(WEEKDAY(B7914)=7,1,0))))))</f>
        <v>2</v>
      </c>
    </row>
    <row r="7915" spans="2:22">
      <c r="B7915" s="318">
        <f t="shared" si="495"/>
        <v>46442</v>
      </c>
      <c r="C7915" s="312">
        <v>15</v>
      </c>
      <c r="D7915" s="368">
        <f>IFERROR((INDEX(METADATA!$T$2:$T$20,MATCH(B7915,METADATA!$S$2:$S$20,0))),0)</f>
        <v>0</v>
      </c>
      <c r="E7915" s="312" t="str">
        <f t="shared" si="492"/>
        <v>LO</v>
      </c>
      <c r="F7915" s="369">
        <f>VLOOKUP(C7915,METADATA!$A$5:$H$29,IF(E7915="HI",2,IF(E7915="LO",6,10))+IF(D7915=1,2,IF(D7915=7,1,(IF(WEEKDAY(B7915)=1,2,IF(WEEKDAY(B7915)=7,1,0))))))</f>
        <v>2</v>
      </c>
      <c r="G7915" s="369">
        <f>VLOOKUP(C7915,METADATA!$J$5:$Q$29,IF(E7915="HI",2,IF(E7915="LO",6,10))+IF(D7915=1,2,IF(D7915=7,1,(IF(WEEKDAY(B7915)=1,2,IF(WEEKDAY(B7915)=7,1,0))))))</f>
        <v>2</v>
      </c>
      <c r="H7915" s="370">
        <v>12580.674926757813</v>
      </c>
      <c r="I7915" s="370">
        <v>9686.8500366210938</v>
      </c>
      <c r="M7915" s="371">
        <f t="shared" si="493"/>
        <v>15877.923203137707</v>
      </c>
      <c r="N7915" s="329">
        <f t="shared" si="494"/>
        <v>5912.6475585937496</v>
      </c>
      <c r="T7915" s="331">
        <v>0</v>
      </c>
      <c r="U7915" s="328">
        <f>VLOOKUP(C7915,METADATA!$J$5:$Q$29,IF(E7915="HI",2,IF(E7915="LO",6,10))+IF(T7915=1,2,IF(D7915=7,1,(IF(WEEKDAY(B7915)=1,2,IF(WEEKDAY(B7915)=7,1,0))))))</f>
        <v>2</v>
      </c>
      <c r="V7915" s="328">
        <f>VLOOKUP(C7915,METADATA!$A$5:$H$29,IF(E7915="HI",2,IF(E7915="LO",6,10))+IF(T7915=1,2,IF(D7915=7,1,(IF(WEEKDAY(B7915)=1,2,IF(WEEKDAY(B7915)=7,1,0))))))</f>
        <v>2</v>
      </c>
    </row>
    <row r="7916" spans="2:22">
      <c r="B7916" s="318">
        <f t="shared" si="495"/>
        <v>46442</v>
      </c>
      <c r="C7916" s="312">
        <v>16</v>
      </c>
      <c r="D7916" s="368">
        <f>IFERROR((INDEX(METADATA!$T$2:$T$20,MATCH(B7916,METADATA!$S$2:$S$20,0))),0)</f>
        <v>0</v>
      </c>
      <c r="E7916" s="312" t="str">
        <f t="shared" si="492"/>
        <v>LO</v>
      </c>
      <c r="F7916" s="369">
        <f>VLOOKUP(C7916,METADATA!$A$5:$H$29,IF(E7916="HI",2,IF(E7916="LO",6,10))+IF(D7916=1,2,IF(D7916=7,1,(IF(WEEKDAY(B7916)=1,2,IF(WEEKDAY(B7916)=7,1,0))))))</f>
        <v>2</v>
      </c>
      <c r="G7916" s="369">
        <f>VLOOKUP(C7916,METADATA!$J$5:$Q$29,IF(E7916="HI",2,IF(E7916="LO",6,10))+IF(D7916=1,2,IF(D7916=7,1,(IF(WEEKDAY(B7916)=1,2,IF(WEEKDAY(B7916)=7,1,0))))))</f>
        <v>2</v>
      </c>
      <c r="H7916" s="370">
        <v>12596.924621582031</v>
      </c>
      <c r="I7916" s="370">
        <v>9893.125</v>
      </c>
      <c r="M7916" s="371">
        <f t="shared" si="493"/>
        <v>16017.379067358199</v>
      </c>
      <c r="N7916" s="329">
        <f t="shared" si="494"/>
        <v>6114.0476135253903</v>
      </c>
      <c r="T7916" s="331">
        <v>0</v>
      </c>
      <c r="U7916" s="328">
        <f>VLOOKUP(C7916,METADATA!$J$5:$Q$29,IF(E7916="HI",2,IF(E7916="LO",6,10))+IF(T7916=1,2,IF(D7916=7,1,(IF(WEEKDAY(B7916)=1,2,IF(WEEKDAY(B7916)=7,1,0))))))</f>
        <v>2</v>
      </c>
      <c r="V7916" s="328">
        <f>VLOOKUP(C7916,METADATA!$A$5:$H$29,IF(E7916="HI",2,IF(E7916="LO",6,10))+IF(T7916=1,2,IF(D7916=7,1,(IF(WEEKDAY(B7916)=1,2,IF(WEEKDAY(B7916)=7,1,0))))))</f>
        <v>2</v>
      </c>
    </row>
    <row r="7917" spans="2:22">
      <c r="B7917" s="318">
        <f t="shared" si="495"/>
        <v>46442</v>
      </c>
      <c r="C7917" s="312">
        <v>17</v>
      </c>
      <c r="D7917" s="368">
        <f>IFERROR((INDEX(METADATA!$T$2:$T$20,MATCH(B7917,METADATA!$S$2:$S$20,0))),0)</f>
        <v>0</v>
      </c>
      <c r="E7917" s="312" t="str">
        <f t="shared" si="492"/>
        <v>LO</v>
      </c>
      <c r="F7917" s="369">
        <f>VLOOKUP(C7917,METADATA!$A$5:$H$29,IF(E7917="HI",2,IF(E7917="LO",6,10))+IF(D7917=1,2,IF(D7917=7,1,(IF(WEEKDAY(B7917)=1,2,IF(WEEKDAY(B7917)=7,1,0))))))</f>
        <v>2</v>
      </c>
      <c r="G7917" s="369">
        <f>VLOOKUP(C7917,METADATA!$J$5:$Q$29,IF(E7917="HI",2,IF(E7917="LO",6,10))+IF(D7917=1,2,IF(D7917=7,1,(IF(WEEKDAY(B7917)=1,2,IF(WEEKDAY(B7917)=7,1,0))))))</f>
        <v>2</v>
      </c>
      <c r="H7917" s="370">
        <v>12496.824584960938</v>
      </c>
      <c r="I7917" s="370">
        <v>9499</v>
      </c>
      <c r="M7917" s="371">
        <f t="shared" si="493"/>
        <v>15697.185279765417</v>
      </c>
      <c r="N7917" s="329">
        <f t="shared" si="494"/>
        <v>5749.9526245117195</v>
      </c>
      <c r="T7917" s="331">
        <v>0</v>
      </c>
      <c r="U7917" s="328">
        <f>VLOOKUP(C7917,METADATA!$J$5:$Q$29,IF(E7917="HI",2,IF(E7917="LO",6,10))+IF(T7917=1,2,IF(D7917=7,1,(IF(WEEKDAY(B7917)=1,2,IF(WEEKDAY(B7917)=7,1,0))))))</f>
        <v>2</v>
      </c>
      <c r="V7917" s="328">
        <f>VLOOKUP(C7917,METADATA!$A$5:$H$29,IF(E7917="HI",2,IF(E7917="LO",6,10))+IF(T7917=1,2,IF(D7917=7,1,(IF(WEEKDAY(B7917)=1,2,IF(WEEKDAY(B7917)=7,1,0))))))</f>
        <v>2</v>
      </c>
    </row>
    <row r="7918" spans="2:22">
      <c r="B7918" s="318">
        <f t="shared" si="495"/>
        <v>46442</v>
      </c>
      <c r="C7918" s="312">
        <v>18</v>
      </c>
      <c r="D7918" s="368">
        <f>IFERROR((INDEX(METADATA!$T$2:$T$20,MATCH(B7918,METADATA!$S$2:$S$20,0))),0)</f>
        <v>0</v>
      </c>
      <c r="E7918" s="312" t="str">
        <f t="shared" si="492"/>
        <v>LO</v>
      </c>
      <c r="F7918" s="369">
        <f>VLOOKUP(C7918,METADATA!$A$5:$H$29,IF(E7918="HI",2,IF(E7918="LO",6,10))+IF(D7918=1,2,IF(D7918=7,1,(IF(WEEKDAY(B7918)=1,2,IF(WEEKDAY(B7918)=7,1,0))))))</f>
        <v>1</v>
      </c>
      <c r="G7918" s="369">
        <f>VLOOKUP(C7918,METADATA!$J$5:$Q$29,IF(E7918="HI",2,IF(E7918="LO",6,10))+IF(D7918=1,2,IF(D7918=7,1,(IF(WEEKDAY(B7918)=1,2,IF(WEEKDAY(B7918)=7,1,0))))))</f>
        <v>1</v>
      </c>
      <c r="H7918" s="370">
        <v>12413.450134277344</v>
      </c>
      <c r="I7918" s="370">
        <v>9520.3250732421875</v>
      </c>
      <c r="M7918" s="371">
        <f t="shared" si="493"/>
        <v>15643.859298024707</v>
      </c>
      <c r="N7918" s="329">
        <f t="shared" si="494"/>
        <v>5796.2900329589847</v>
      </c>
      <c r="T7918" s="331">
        <v>0</v>
      </c>
      <c r="U7918" s="328">
        <f>VLOOKUP(C7918,METADATA!$J$5:$Q$29,IF(E7918="HI",2,IF(E7918="LO",6,10))+IF(T7918=1,2,IF(D7918=7,1,(IF(WEEKDAY(B7918)=1,2,IF(WEEKDAY(B7918)=7,1,0))))))</f>
        <v>1</v>
      </c>
      <c r="V7918" s="328">
        <f>VLOOKUP(C7918,METADATA!$A$5:$H$29,IF(E7918="HI",2,IF(E7918="LO",6,10))+IF(T7918=1,2,IF(D7918=7,1,(IF(WEEKDAY(B7918)=1,2,IF(WEEKDAY(B7918)=7,1,0))))))</f>
        <v>1</v>
      </c>
    </row>
    <row r="7919" spans="2:22">
      <c r="B7919" s="318">
        <f t="shared" si="495"/>
        <v>46442</v>
      </c>
      <c r="C7919" s="312">
        <v>19</v>
      </c>
      <c r="D7919" s="368">
        <f>IFERROR((INDEX(METADATA!$T$2:$T$20,MATCH(B7919,METADATA!$S$2:$S$20,0))),0)</f>
        <v>0</v>
      </c>
      <c r="E7919" s="312" t="str">
        <f t="shared" si="492"/>
        <v>LO</v>
      </c>
      <c r="F7919" s="369">
        <f>VLOOKUP(C7919,METADATA!$A$5:$H$29,IF(E7919="HI",2,IF(E7919="LO",6,10))+IF(D7919=1,2,IF(D7919=7,1,(IF(WEEKDAY(B7919)=1,2,IF(WEEKDAY(B7919)=7,1,0))))))</f>
        <v>1</v>
      </c>
      <c r="G7919" s="369">
        <f>VLOOKUP(C7919,METADATA!$J$5:$Q$29,IF(E7919="HI",2,IF(E7919="LO",6,10))+IF(D7919=1,2,IF(D7919=7,1,(IF(WEEKDAY(B7919)=1,2,IF(WEEKDAY(B7919)=7,1,0))))))</f>
        <v>1</v>
      </c>
      <c r="H7919" s="370">
        <v>12429.199768066406</v>
      </c>
      <c r="I7919" s="370">
        <v>9358.8250732421875</v>
      </c>
      <c r="M7919" s="371">
        <f t="shared" si="493"/>
        <v>15558.682901391385</v>
      </c>
      <c r="N7919" s="329">
        <f t="shared" si="494"/>
        <v>5630.0651428222664</v>
      </c>
      <c r="T7919" s="331">
        <v>0</v>
      </c>
      <c r="U7919" s="328">
        <f>VLOOKUP(C7919,METADATA!$J$5:$Q$29,IF(E7919="HI",2,IF(E7919="LO",6,10))+IF(T7919=1,2,IF(D7919=7,1,(IF(WEEKDAY(B7919)=1,2,IF(WEEKDAY(B7919)=7,1,0))))))</f>
        <v>1</v>
      </c>
      <c r="V7919" s="328">
        <f>VLOOKUP(C7919,METADATA!$A$5:$H$29,IF(E7919="HI",2,IF(E7919="LO",6,10))+IF(T7919=1,2,IF(D7919=7,1,(IF(WEEKDAY(B7919)=1,2,IF(WEEKDAY(B7919)=7,1,0))))))</f>
        <v>1</v>
      </c>
    </row>
    <row r="7920" spans="2:22">
      <c r="B7920" s="318">
        <f t="shared" si="495"/>
        <v>46442</v>
      </c>
      <c r="C7920" s="312">
        <v>20</v>
      </c>
      <c r="D7920" s="368">
        <f>IFERROR((INDEX(METADATA!$T$2:$T$20,MATCH(B7920,METADATA!$S$2:$S$20,0))),0)</f>
        <v>0</v>
      </c>
      <c r="E7920" s="312" t="str">
        <f t="shared" si="492"/>
        <v>LO</v>
      </c>
      <c r="F7920" s="369">
        <f>VLOOKUP(C7920,METADATA!$A$5:$H$29,IF(E7920="HI",2,IF(E7920="LO",6,10))+IF(D7920=1,2,IF(D7920=7,1,(IF(WEEKDAY(B7920)=1,2,IF(WEEKDAY(B7920)=7,1,0))))))</f>
        <v>1</v>
      </c>
      <c r="G7920" s="369">
        <f>VLOOKUP(C7920,METADATA!$J$5:$Q$29,IF(E7920="HI",2,IF(E7920="LO",6,10))+IF(D7920=1,2,IF(D7920=7,1,(IF(WEEKDAY(B7920)=1,2,IF(WEEKDAY(B7920)=7,1,0))))))</f>
        <v>1</v>
      </c>
      <c r="H7920" s="370">
        <v>12359.025085449219</v>
      </c>
      <c r="I7920" s="370">
        <v>9194.72509765625</v>
      </c>
      <c r="M7920" s="371">
        <f t="shared" si="493"/>
        <v>15404.170561384757</v>
      </c>
      <c r="N7920" s="329">
        <f t="shared" si="494"/>
        <v>5487.0175720214847</v>
      </c>
      <c r="T7920" s="331">
        <v>0</v>
      </c>
      <c r="U7920" s="328">
        <f>VLOOKUP(C7920,METADATA!$J$5:$Q$29,IF(E7920="HI",2,IF(E7920="LO",6,10))+IF(T7920=1,2,IF(D7920=7,1,(IF(WEEKDAY(B7920)=1,2,IF(WEEKDAY(B7920)=7,1,0))))))</f>
        <v>1</v>
      </c>
      <c r="V7920" s="328">
        <f>VLOOKUP(C7920,METADATA!$A$5:$H$29,IF(E7920="HI",2,IF(E7920="LO",6,10))+IF(T7920=1,2,IF(D7920=7,1,(IF(WEEKDAY(B7920)=1,2,IF(WEEKDAY(B7920)=7,1,0))))))</f>
        <v>1</v>
      </c>
    </row>
    <row r="7921" spans="2:22">
      <c r="B7921" s="318">
        <f t="shared" si="495"/>
        <v>46442</v>
      </c>
      <c r="C7921" s="312">
        <v>21</v>
      </c>
      <c r="D7921" s="368">
        <f>IFERROR((INDEX(METADATA!$T$2:$T$20,MATCH(B7921,METADATA!$S$2:$S$20,0))),0)</f>
        <v>0</v>
      </c>
      <c r="E7921" s="312" t="str">
        <f t="shared" si="492"/>
        <v>LO</v>
      </c>
      <c r="F7921" s="369">
        <f>VLOOKUP(C7921,METADATA!$A$5:$H$29,IF(E7921="HI",2,IF(E7921="LO",6,10))+IF(D7921=1,2,IF(D7921=7,1,(IF(WEEKDAY(B7921)=1,2,IF(WEEKDAY(B7921)=7,1,0))))))</f>
        <v>2</v>
      </c>
      <c r="G7921" s="369">
        <f>VLOOKUP(C7921,METADATA!$J$5:$Q$29,IF(E7921="HI",2,IF(E7921="LO",6,10))+IF(D7921=1,2,IF(D7921=7,1,(IF(WEEKDAY(B7921)=1,2,IF(WEEKDAY(B7921)=7,1,0))))))</f>
        <v>2</v>
      </c>
      <c r="H7921" s="370">
        <v>11655.424682617188</v>
      </c>
      <c r="I7921" s="370">
        <v>8892.5098266601563</v>
      </c>
      <c r="M7921" s="371">
        <f t="shared" si="493"/>
        <v>14660.342954699572</v>
      </c>
      <c r="N7921" s="329">
        <f t="shared" si="494"/>
        <v>5395.8824218749996</v>
      </c>
      <c r="T7921" s="331">
        <v>0</v>
      </c>
      <c r="U7921" s="328">
        <f>VLOOKUP(C7921,METADATA!$J$5:$Q$29,IF(E7921="HI",2,IF(E7921="LO",6,10))+IF(T7921=1,2,IF(D7921=7,1,(IF(WEEKDAY(B7921)=1,2,IF(WEEKDAY(B7921)=7,1,0))))))</f>
        <v>2</v>
      </c>
      <c r="V7921" s="328">
        <f>VLOOKUP(C7921,METADATA!$A$5:$H$29,IF(E7921="HI",2,IF(E7921="LO",6,10))+IF(T7921=1,2,IF(D7921=7,1,(IF(WEEKDAY(B7921)=1,2,IF(WEEKDAY(B7921)=7,1,0))))))</f>
        <v>2</v>
      </c>
    </row>
    <row r="7922" spans="2:22">
      <c r="B7922" s="318">
        <f t="shared" si="495"/>
        <v>46442</v>
      </c>
      <c r="C7922" s="312">
        <v>22</v>
      </c>
      <c r="D7922" s="368">
        <f>IFERROR((INDEX(METADATA!$T$2:$T$20,MATCH(B7922,METADATA!$S$2:$S$20,0))),0)</f>
        <v>0</v>
      </c>
      <c r="E7922" s="312" t="str">
        <f t="shared" si="492"/>
        <v>LO</v>
      </c>
      <c r="F7922" s="369">
        <f>VLOOKUP(C7922,METADATA!$A$5:$H$29,IF(E7922="HI",2,IF(E7922="LO",6,10))+IF(D7922=1,2,IF(D7922=7,1,(IF(WEEKDAY(B7922)=1,2,IF(WEEKDAY(B7922)=7,1,0))))))</f>
        <v>3</v>
      </c>
      <c r="G7922" s="369">
        <f>VLOOKUP(C7922,METADATA!$J$5:$Q$29,IF(E7922="HI",2,IF(E7922="LO",6,10))+IF(D7922=1,2,IF(D7922=7,1,(IF(WEEKDAY(B7922)=1,2,IF(WEEKDAY(B7922)=7,1,0))))))</f>
        <v>3</v>
      </c>
      <c r="H7922" s="370">
        <v>12465.500427246094</v>
      </c>
      <c r="I7922" s="370">
        <v>9523.0250854492188</v>
      </c>
      <c r="M7922" s="371">
        <f t="shared" si="493"/>
        <v>15686.832302277207</v>
      </c>
      <c r="N7922" s="329">
        <f t="shared" si="494"/>
        <v>5783.3749572753914</v>
      </c>
      <c r="T7922" s="331">
        <v>0</v>
      </c>
      <c r="U7922" s="328">
        <f>VLOOKUP(C7922,METADATA!$J$5:$Q$29,IF(E7922="HI",2,IF(E7922="LO",6,10))+IF(T7922=1,2,IF(D7922=7,1,(IF(WEEKDAY(B7922)=1,2,IF(WEEKDAY(B7922)=7,1,0))))))</f>
        <v>3</v>
      </c>
      <c r="V7922" s="328">
        <f>VLOOKUP(C7922,METADATA!$A$5:$H$29,IF(E7922="HI",2,IF(E7922="LO",6,10))+IF(T7922=1,2,IF(D7922=7,1,(IF(WEEKDAY(B7922)=1,2,IF(WEEKDAY(B7922)=7,1,0))))))</f>
        <v>3</v>
      </c>
    </row>
    <row r="7923" spans="2:22">
      <c r="B7923" s="318">
        <f t="shared" si="495"/>
        <v>46442</v>
      </c>
      <c r="C7923" s="312">
        <v>23</v>
      </c>
      <c r="D7923" s="368">
        <f>IFERROR((INDEX(METADATA!$T$2:$T$20,MATCH(B7923,METADATA!$S$2:$S$20,0))),0)</f>
        <v>0</v>
      </c>
      <c r="E7923" s="312" t="str">
        <f t="shared" si="492"/>
        <v>LO</v>
      </c>
      <c r="F7923" s="369">
        <f>VLOOKUP(C7923,METADATA!$A$5:$H$29,IF(E7923="HI",2,IF(E7923="LO",6,10))+IF(D7923=1,2,IF(D7923=7,1,(IF(WEEKDAY(B7923)=1,2,IF(WEEKDAY(B7923)=7,1,0))))))</f>
        <v>3</v>
      </c>
      <c r="G7923" s="369">
        <f>VLOOKUP(C7923,METADATA!$J$5:$Q$29,IF(E7923="HI",2,IF(E7923="LO",6,10))+IF(D7923=1,2,IF(D7923=7,1,(IF(WEEKDAY(B7923)=1,2,IF(WEEKDAY(B7923)=7,1,0))))))</f>
        <v>3</v>
      </c>
      <c r="H7923" s="370">
        <v>12532.549987792969</v>
      </c>
      <c r="I7923" s="370">
        <v>9591.9498901367188</v>
      </c>
      <c r="M7923" s="371">
        <f t="shared" si="493"/>
        <v>15781.961598338254</v>
      </c>
      <c r="N7923" s="329">
        <f t="shared" si="494"/>
        <v>5832.1848937988289</v>
      </c>
      <c r="T7923" s="331">
        <v>0</v>
      </c>
      <c r="U7923" s="328">
        <f>VLOOKUP(C7923,METADATA!$J$5:$Q$29,IF(E7923="HI",2,IF(E7923="LO",6,10))+IF(T7923=1,2,IF(D7923=7,1,(IF(WEEKDAY(B7923)=1,2,IF(WEEKDAY(B7923)=7,1,0))))))</f>
        <v>3</v>
      </c>
      <c r="V7923" s="328">
        <f>VLOOKUP(C7923,METADATA!$A$5:$H$29,IF(E7923="HI",2,IF(E7923="LO",6,10))+IF(T7923=1,2,IF(D7923=7,1,(IF(WEEKDAY(B7923)=1,2,IF(WEEKDAY(B7923)=7,1,0))))))</f>
        <v>3</v>
      </c>
    </row>
    <row r="7924" spans="2:22">
      <c r="B7924" s="318">
        <f t="shared" si="495"/>
        <v>46443</v>
      </c>
      <c r="C7924" s="312">
        <v>0</v>
      </c>
      <c r="D7924" s="368">
        <f>IFERROR((INDEX(METADATA!$T$2:$T$20,MATCH(B7924,METADATA!$S$2:$S$20,0))),0)</f>
        <v>0</v>
      </c>
      <c r="E7924" s="312" t="str">
        <f t="shared" si="492"/>
        <v>LO</v>
      </c>
      <c r="F7924" s="369">
        <f>VLOOKUP(C7924,METADATA!$A$5:$H$29,IF(E7924="HI",2,IF(E7924="LO",6,10))+IF(D7924=1,2,IF(D7924=7,1,(IF(WEEKDAY(B7924)=1,2,IF(WEEKDAY(B7924)=7,1,0))))))</f>
        <v>3</v>
      </c>
      <c r="G7924" s="369">
        <f>VLOOKUP(C7924,METADATA!$J$5:$Q$29,IF(E7924="HI",2,IF(E7924="LO",6,10))+IF(D7924=1,2,IF(D7924=7,1,(IF(WEEKDAY(B7924)=1,2,IF(WEEKDAY(B7924)=7,1,0))))))</f>
        <v>3</v>
      </c>
      <c r="H7924" s="370">
        <v>12411.849975585938</v>
      </c>
      <c r="I7924" s="370">
        <v>9580.650146484375</v>
      </c>
      <c r="M7924" s="371">
        <f t="shared" si="493"/>
        <v>15679.377444458172</v>
      </c>
      <c r="N7924" s="329">
        <f t="shared" si="494"/>
        <v>5857.0951538085938</v>
      </c>
      <c r="T7924" s="331">
        <v>0</v>
      </c>
      <c r="U7924" s="328">
        <f>VLOOKUP(C7924,METADATA!$J$5:$Q$29,IF(E7924="HI",2,IF(E7924="LO",6,10))+IF(T7924=1,2,IF(D7924=7,1,(IF(WEEKDAY(B7924)=1,2,IF(WEEKDAY(B7924)=7,1,0))))))</f>
        <v>3</v>
      </c>
      <c r="V7924" s="328">
        <f>VLOOKUP(C7924,METADATA!$A$5:$H$29,IF(E7924="HI",2,IF(E7924="LO",6,10))+IF(T7924=1,2,IF(D7924=7,1,(IF(WEEKDAY(B7924)=1,2,IF(WEEKDAY(B7924)=7,1,0))))))</f>
        <v>3</v>
      </c>
    </row>
    <row r="7925" spans="2:22">
      <c r="B7925" s="318">
        <f t="shared" si="495"/>
        <v>46443</v>
      </c>
      <c r="C7925" s="312">
        <v>1</v>
      </c>
      <c r="D7925" s="368">
        <f>IFERROR((INDEX(METADATA!$T$2:$T$20,MATCH(B7925,METADATA!$S$2:$S$20,0))),0)</f>
        <v>0</v>
      </c>
      <c r="E7925" s="312" t="str">
        <f t="shared" si="492"/>
        <v>LO</v>
      </c>
      <c r="F7925" s="369">
        <f>VLOOKUP(C7925,METADATA!$A$5:$H$29,IF(E7925="HI",2,IF(E7925="LO",6,10))+IF(D7925=1,2,IF(D7925=7,1,(IF(WEEKDAY(B7925)=1,2,IF(WEEKDAY(B7925)=7,1,0))))))</f>
        <v>3</v>
      </c>
      <c r="G7925" s="369">
        <f>VLOOKUP(C7925,METADATA!$J$5:$Q$29,IF(E7925="HI",2,IF(E7925="LO",6,10))+IF(D7925=1,2,IF(D7925=7,1,(IF(WEEKDAY(B7925)=1,2,IF(WEEKDAY(B7925)=7,1,0))))))</f>
        <v>3</v>
      </c>
      <c r="H7925" s="370">
        <v>12328.73779296875</v>
      </c>
      <c r="I7925" s="370">
        <v>9598.9149780273438</v>
      </c>
      <c r="M7925" s="371">
        <f t="shared" si="493"/>
        <v>15624.882217897633</v>
      </c>
      <c r="N7925" s="329">
        <f t="shared" si="494"/>
        <v>5900.2936401367188</v>
      </c>
      <c r="T7925" s="331">
        <v>0</v>
      </c>
      <c r="U7925" s="328">
        <f>VLOOKUP(C7925,METADATA!$J$5:$Q$29,IF(E7925="HI",2,IF(E7925="LO",6,10))+IF(T7925=1,2,IF(D7925=7,1,(IF(WEEKDAY(B7925)=1,2,IF(WEEKDAY(B7925)=7,1,0))))))</f>
        <v>3</v>
      </c>
      <c r="V7925" s="328">
        <f>VLOOKUP(C7925,METADATA!$A$5:$H$29,IF(E7925="HI",2,IF(E7925="LO",6,10))+IF(T7925=1,2,IF(D7925=7,1,(IF(WEEKDAY(B7925)=1,2,IF(WEEKDAY(B7925)=7,1,0))))))</f>
        <v>3</v>
      </c>
    </row>
    <row r="7926" spans="2:22">
      <c r="B7926" s="318">
        <f t="shared" si="495"/>
        <v>46443</v>
      </c>
      <c r="C7926" s="312">
        <v>2</v>
      </c>
      <c r="D7926" s="368">
        <f>IFERROR((INDEX(METADATA!$T$2:$T$20,MATCH(B7926,METADATA!$S$2:$S$20,0))),0)</f>
        <v>0</v>
      </c>
      <c r="E7926" s="312" t="str">
        <f t="shared" si="492"/>
        <v>LO</v>
      </c>
      <c r="F7926" s="369">
        <f>VLOOKUP(C7926,METADATA!$A$5:$H$29,IF(E7926="HI",2,IF(E7926="LO",6,10))+IF(D7926=1,2,IF(D7926=7,1,(IF(WEEKDAY(B7926)=1,2,IF(WEEKDAY(B7926)=7,1,0))))))</f>
        <v>3</v>
      </c>
      <c r="G7926" s="369">
        <f>VLOOKUP(C7926,METADATA!$J$5:$Q$29,IF(E7926="HI",2,IF(E7926="LO",6,10))+IF(D7926=1,2,IF(D7926=7,1,(IF(WEEKDAY(B7926)=1,2,IF(WEEKDAY(B7926)=7,1,0))))))</f>
        <v>3</v>
      </c>
      <c r="H7926" s="370">
        <v>12340.775085449219</v>
      </c>
      <c r="I7926" s="370">
        <v>9677.0499267578125</v>
      </c>
      <c r="M7926" s="371">
        <f t="shared" si="493"/>
        <v>15682.475091470975</v>
      </c>
      <c r="N7926" s="329">
        <f t="shared" si="494"/>
        <v>5974.8174011230476</v>
      </c>
      <c r="T7926" s="331">
        <v>0</v>
      </c>
      <c r="U7926" s="328">
        <f>VLOOKUP(C7926,METADATA!$J$5:$Q$29,IF(E7926="HI",2,IF(E7926="LO",6,10))+IF(T7926=1,2,IF(D7926=7,1,(IF(WEEKDAY(B7926)=1,2,IF(WEEKDAY(B7926)=7,1,0))))))</f>
        <v>3</v>
      </c>
      <c r="V7926" s="328">
        <f>VLOOKUP(C7926,METADATA!$A$5:$H$29,IF(E7926="HI",2,IF(E7926="LO",6,10))+IF(T7926=1,2,IF(D7926=7,1,(IF(WEEKDAY(B7926)=1,2,IF(WEEKDAY(B7926)=7,1,0))))))</f>
        <v>3</v>
      </c>
    </row>
    <row r="7927" spans="2:22">
      <c r="B7927" s="318">
        <f t="shared" si="495"/>
        <v>46443</v>
      </c>
      <c r="C7927" s="312">
        <v>3</v>
      </c>
      <c r="D7927" s="368">
        <f>IFERROR((INDEX(METADATA!$T$2:$T$20,MATCH(B7927,METADATA!$S$2:$S$20,0))),0)</f>
        <v>0</v>
      </c>
      <c r="E7927" s="312" t="str">
        <f t="shared" si="492"/>
        <v>LO</v>
      </c>
      <c r="F7927" s="369">
        <f>VLOOKUP(C7927,METADATA!$A$5:$H$29,IF(E7927="HI",2,IF(E7927="LO",6,10))+IF(D7927=1,2,IF(D7927=7,1,(IF(WEEKDAY(B7927)=1,2,IF(WEEKDAY(B7927)=7,1,0))))))</f>
        <v>3</v>
      </c>
      <c r="G7927" s="369">
        <f>VLOOKUP(C7927,METADATA!$J$5:$Q$29,IF(E7927="HI",2,IF(E7927="LO",6,10))+IF(D7927=1,2,IF(D7927=7,1,(IF(WEEKDAY(B7927)=1,2,IF(WEEKDAY(B7927)=7,1,0))))))</f>
        <v>3</v>
      </c>
      <c r="H7927" s="370">
        <v>12330.625244140625</v>
      </c>
      <c r="I7927" s="370">
        <v>9550.7749633789063</v>
      </c>
      <c r="M7927" s="371">
        <f t="shared" si="493"/>
        <v>15596.846518208204</v>
      </c>
      <c r="N7927" s="329">
        <f t="shared" si="494"/>
        <v>5851.5873901367195</v>
      </c>
      <c r="T7927" s="331">
        <v>0</v>
      </c>
      <c r="U7927" s="328">
        <f>VLOOKUP(C7927,METADATA!$J$5:$Q$29,IF(E7927="HI",2,IF(E7927="LO",6,10))+IF(T7927=1,2,IF(D7927=7,1,(IF(WEEKDAY(B7927)=1,2,IF(WEEKDAY(B7927)=7,1,0))))))</f>
        <v>3</v>
      </c>
      <c r="V7927" s="328">
        <f>VLOOKUP(C7927,METADATA!$A$5:$H$29,IF(E7927="HI",2,IF(E7927="LO",6,10))+IF(T7927=1,2,IF(D7927=7,1,(IF(WEEKDAY(B7927)=1,2,IF(WEEKDAY(B7927)=7,1,0))))))</f>
        <v>3</v>
      </c>
    </row>
    <row r="7928" spans="2:22">
      <c r="B7928" s="318">
        <f t="shared" si="495"/>
        <v>46443</v>
      </c>
      <c r="C7928" s="312">
        <v>4</v>
      </c>
      <c r="D7928" s="368">
        <f>IFERROR((INDEX(METADATA!$T$2:$T$20,MATCH(B7928,METADATA!$S$2:$S$20,0))),0)</f>
        <v>0</v>
      </c>
      <c r="E7928" s="312" t="str">
        <f t="shared" si="492"/>
        <v>LO</v>
      </c>
      <c r="F7928" s="369">
        <f>VLOOKUP(C7928,METADATA!$A$5:$H$29,IF(E7928="HI",2,IF(E7928="LO",6,10))+IF(D7928=1,2,IF(D7928=7,1,(IF(WEEKDAY(B7928)=1,2,IF(WEEKDAY(B7928)=7,1,0))))))</f>
        <v>3</v>
      </c>
      <c r="G7928" s="369">
        <f>VLOOKUP(C7928,METADATA!$J$5:$Q$29,IF(E7928="HI",2,IF(E7928="LO",6,10))+IF(D7928=1,2,IF(D7928=7,1,(IF(WEEKDAY(B7928)=1,2,IF(WEEKDAY(B7928)=7,1,0))))))</f>
        <v>3</v>
      </c>
      <c r="H7928" s="370">
        <v>12430.874938964844</v>
      </c>
      <c r="I7928" s="370">
        <v>9533.199951171875</v>
      </c>
      <c r="M7928" s="371">
        <f t="shared" si="493"/>
        <v>15665.521154982609</v>
      </c>
      <c r="N7928" s="329">
        <f t="shared" si="494"/>
        <v>5803.9374694824219</v>
      </c>
      <c r="T7928" s="331">
        <v>0</v>
      </c>
      <c r="U7928" s="328">
        <f>VLOOKUP(C7928,METADATA!$J$5:$Q$29,IF(E7928="HI",2,IF(E7928="LO",6,10))+IF(T7928=1,2,IF(D7928=7,1,(IF(WEEKDAY(B7928)=1,2,IF(WEEKDAY(B7928)=7,1,0))))))</f>
        <v>3</v>
      </c>
      <c r="V7928" s="328">
        <f>VLOOKUP(C7928,METADATA!$A$5:$H$29,IF(E7928="HI",2,IF(E7928="LO",6,10))+IF(T7928=1,2,IF(D7928=7,1,(IF(WEEKDAY(B7928)=1,2,IF(WEEKDAY(B7928)=7,1,0))))))</f>
        <v>3</v>
      </c>
    </row>
    <row r="7929" spans="2:22">
      <c r="B7929" s="318">
        <f t="shared" si="495"/>
        <v>46443</v>
      </c>
      <c r="C7929" s="312">
        <v>5</v>
      </c>
      <c r="D7929" s="368">
        <f>IFERROR((INDEX(METADATA!$T$2:$T$20,MATCH(B7929,METADATA!$S$2:$S$20,0))),0)</f>
        <v>0</v>
      </c>
      <c r="E7929" s="312" t="str">
        <f t="shared" si="492"/>
        <v>LO</v>
      </c>
      <c r="F7929" s="369">
        <f>VLOOKUP(C7929,METADATA!$A$5:$H$29,IF(E7929="HI",2,IF(E7929="LO",6,10))+IF(D7929=1,2,IF(D7929=7,1,(IF(WEEKDAY(B7929)=1,2,IF(WEEKDAY(B7929)=7,1,0))))))</f>
        <v>3</v>
      </c>
      <c r="G7929" s="369">
        <f>VLOOKUP(C7929,METADATA!$J$5:$Q$29,IF(E7929="HI",2,IF(E7929="LO",6,10))+IF(D7929=1,2,IF(D7929=7,1,(IF(WEEKDAY(B7929)=1,2,IF(WEEKDAY(B7929)=7,1,0))))))</f>
        <v>3</v>
      </c>
      <c r="H7929" s="370">
        <v>12238.374755859375</v>
      </c>
      <c r="I7929" s="370">
        <v>9371.375</v>
      </c>
      <c r="M7929" s="371">
        <f t="shared" si="493"/>
        <v>15414.294860793374</v>
      </c>
      <c r="N7929" s="329">
        <f t="shared" si="494"/>
        <v>5699.8625732421879</v>
      </c>
      <c r="T7929" s="331">
        <v>0</v>
      </c>
      <c r="U7929" s="328">
        <f>VLOOKUP(C7929,METADATA!$J$5:$Q$29,IF(E7929="HI",2,IF(E7929="LO",6,10))+IF(T7929=1,2,IF(D7929=7,1,(IF(WEEKDAY(B7929)=1,2,IF(WEEKDAY(B7929)=7,1,0))))))</f>
        <v>3</v>
      </c>
      <c r="V7929" s="328">
        <f>VLOOKUP(C7929,METADATA!$A$5:$H$29,IF(E7929="HI",2,IF(E7929="LO",6,10))+IF(T7929=1,2,IF(D7929=7,1,(IF(WEEKDAY(B7929)=1,2,IF(WEEKDAY(B7929)=7,1,0))))))</f>
        <v>3</v>
      </c>
    </row>
    <row r="7930" spans="2:22">
      <c r="B7930" s="318">
        <f t="shared" si="495"/>
        <v>46443</v>
      </c>
      <c r="C7930" s="312">
        <v>6</v>
      </c>
      <c r="D7930" s="368">
        <f>IFERROR((INDEX(METADATA!$T$2:$T$20,MATCH(B7930,METADATA!$S$2:$S$20,0))),0)</f>
        <v>0</v>
      </c>
      <c r="E7930" s="312" t="str">
        <f t="shared" si="492"/>
        <v>LO</v>
      </c>
      <c r="F7930" s="369">
        <f>VLOOKUP(C7930,METADATA!$A$5:$H$29,IF(E7930="HI",2,IF(E7930="LO",6,10))+IF(D7930=1,2,IF(D7930=7,1,(IF(WEEKDAY(B7930)=1,2,IF(WEEKDAY(B7930)=7,1,0))))))</f>
        <v>2</v>
      </c>
      <c r="G7930" s="369">
        <f>VLOOKUP(C7930,METADATA!$J$5:$Q$29,IF(E7930="HI",2,IF(E7930="LO",6,10))+IF(D7930=1,2,IF(D7930=7,1,(IF(WEEKDAY(B7930)=1,2,IF(WEEKDAY(B7930)=7,1,0))))))</f>
        <v>2</v>
      </c>
      <c r="H7930" s="370">
        <v>12296.900146484375</v>
      </c>
      <c r="I7930" s="370">
        <v>9440.7000122070313</v>
      </c>
      <c r="M7930" s="371">
        <f t="shared" si="493"/>
        <v>15502.921335448145</v>
      </c>
      <c r="N7930" s="329">
        <f t="shared" si="494"/>
        <v>5751.6299682617191</v>
      </c>
      <c r="T7930" s="331">
        <v>0</v>
      </c>
      <c r="U7930" s="328">
        <f>VLOOKUP(C7930,METADATA!$J$5:$Q$29,IF(E7930="HI",2,IF(E7930="LO",6,10))+IF(T7930=1,2,IF(D7930=7,1,(IF(WEEKDAY(B7930)=1,2,IF(WEEKDAY(B7930)=7,1,0))))))</f>
        <v>2</v>
      </c>
      <c r="V7930" s="328">
        <f>VLOOKUP(C7930,METADATA!$A$5:$H$29,IF(E7930="HI",2,IF(E7930="LO",6,10))+IF(T7930=1,2,IF(D7930=7,1,(IF(WEEKDAY(B7930)=1,2,IF(WEEKDAY(B7930)=7,1,0))))))</f>
        <v>2</v>
      </c>
    </row>
    <row r="7931" spans="2:22">
      <c r="B7931" s="318">
        <f t="shared" si="495"/>
        <v>46443</v>
      </c>
      <c r="C7931" s="312">
        <v>7</v>
      </c>
      <c r="D7931" s="368">
        <f>IFERROR((INDEX(METADATA!$T$2:$T$20,MATCH(B7931,METADATA!$S$2:$S$20,0))),0)</f>
        <v>0</v>
      </c>
      <c r="E7931" s="312" t="str">
        <f t="shared" si="492"/>
        <v>LO</v>
      </c>
      <c r="F7931" s="369">
        <f>VLOOKUP(C7931,METADATA!$A$5:$H$29,IF(E7931="HI",2,IF(E7931="LO",6,10))+IF(D7931=1,2,IF(D7931=7,1,(IF(WEEKDAY(B7931)=1,2,IF(WEEKDAY(B7931)=7,1,0))))))</f>
        <v>1</v>
      </c>
      <c r="G7931" s="369">
        <f>VLOOKUP(C7931,METADATA!$J$5:$Q$29,IF(E7931="HI",2,IF(E7931="LO",6,10))+IF(D7931=1,2,IF(D7931=7,1,(IF(WEEKDAY(B7931)=1,2,IF(WEEKDAY(B7931)=7,1,0))))))</f>
        <v>1</v>
      </c>
      <c r="H7931" s="370">
        <v>12262.500122070313</v>
      </c>
      <c r="I7931" s="370">
        <v>9493.074951171875</v>
      </c>
      <c r="M7931" s="371">
        <f t="shared" si="493"/>
        <v>15507.655569825547</v>
      </c>
      <c r="N7931" s="329">
        <f t="shared" si="494"/>
        <v>5814.3249145507816</v>
      </c>
      <c r="T7931" s="331">
        <v>0</v>
      </c>
      <c r="U7931" s="328">
        <f>VLOOKUP(C7931,METADATA!$J$5:$Q$29,IF(E7931="HI",2,IF(E7931="LO",6,10))+IF(T7931=1,2,IF(D7931=7,1,(IF(WEEKDAY(B7931)=1,2,IF(WEEKDAY(B7931)=7,1,0))))))</f>
        <v>1</v>
      </c>
      <c r="V7931" s="328">
        <f>VLOOKUP(C7931,METADATA!$A$5:$H$29,IF(E7931="HI",2,IF(E7931="LO",6,10))+IF(T7931=1,2,IF(D7931=7,1,(IF(WEEKDAY(B7931)=1,2,IF(WEEKDAY(B7931)=7,1,0))))))</f>
        <v>1</v>
      </c>
    </row>
    <row r="7932" spans="2:22">
      <c r="B7932" s="318">
        <f t="shared" si="495"/>
        <v>46443</v>
      </c>
      <c r="C7932" s="312">
        <v>8</v>
      </c>
      <c r="D7932" s="368">
        <f>IFERROR((INDEX(METADATA!$T$2:$T$20,MATCH(B7932,METADATA!$S$2:$S$20,0))),0)</f>
        <v>0</v>
      </c>
      <c r="E7932" s="312" t="str">
        <f t="shared" si="492"/>
        <v>LO</v>
      </c>
      <c r="F7932" s="369">
        <f>VLOOKUP(C7932,METADATA!$A$5:$H$29,IF(E7932="HI",2,IF(E7932="LO",6,10))+IF(D7932=1,2,IF(D7932=7,1,(IF(WEEKDAY(B7932)=1,2,IF(WEEKDAY(B7932)=7,1,0))))))</f>
        <v>1</v>
      </c>
      <c r="G7932" s="369">
        <f>VLOOKUP(C7932,METADATA!$J$5:$Q$29,IF(E7932="HI",2,IF(E7932="LO",6,10))+IF(D7932=1,2,IF(D7932=7,1,(IF(WEEKDAY(B7932)=1,2,IF(WEEKDAY(B7932)=7,1,0))))))</f>
        <v>1</v>
      </c>
      <c r="H7932" s="370">
        <v>12176.375061035156</v>
      </c>
      <c r="I7932" s="370">
        <v>9361.2251586914063</v>
      </c>
      <c r="M7932" s="371">
        <f t="shared" si="493"/>
        <v>15358.927244398154</v>
      </c>
      <c r="N7932" s="329">
        <f t="shared" si="494"/>
        <v>5708.3126403808601</v>
      </c>
      <c r="T7932" s="331">
        <v>0</v>
      </c>
      <c r="U7932" s="328">
        <f>VLOOKUP(C7932,METADATA!$J$5:$Q$29,IF(E7932="HI",2,IF(E7932="LO",6,10))+IF(T7932=1,2,IF(D7932=7,1,(IF(WEEKDAY(B7932)=1,2,IF(WEEKDAY(B7932)=7,1,0))))))</f>
        <v>1</v>
      </c>
      <c r="V7932" s="328">
        <f>VLOOKUP(C7932,METADATA!$A$5:$H$29,IF(E7932="HI",2,IF(E7932="LO",6,10))+IF(T7932=1,2,IF(D7932=7,1,(IF(WEEKDAY(B7932)=1,2,IF(WEEKDAY(B7932)=7,1,0))))))</f>
        <v>1</v>
      </c>
    </row>
    <row r="7933" spans="2:22">
      <c r="B7933" s="318">
        <f t="shared" si="495"/>
        <v>46443</v>
      </c>
      <c r="C7933" s="312">
        <v>9</v>
      </c>
      <c r="D7933" s="368">
        <f>IFERROR((INDEX(METADATA!$T$2:$T$20,MATCH(B7933,METADATA!$S$2:$S$20,0))),0)</f>
        <v>0</v>
      </c>
      <c r="E7933" s="312" t="str">
        <f t="shared" si="492"/>
        <v>LO</v>
      </c>
      <c r="F7933" s="369">
        <f>VLOOKUP(C7933,METADATA!$A$5:$H$29,IF(E7933="HI",2,IF(E7933="LO",6,10))+IF(D7933=1,2,IF(D7933=7,1,(IF(WEEKDAY(B7933)=1,2,IF(WEEKDAY(B7933)=7,1,0))))))</f>
        <v>2</v>
      </c>
      <c r="G7933" s="369">
        <f>VLOOKUP(C7933,METADATA!$J$5:$Q$29,IF(E7933="HI",2,IF(E7933="LO",6,10))+IF(D7933=1,2,IF(D7933=7,1,(IF(WEEKDAY(B7933)=1,2,IF(WEEKDAY(B7933)=7,1,0))))))</f>
        <v>2</v>
      </c>
      <c r="H7933" s="370">
        <v>11750.375122070313</v>
      </c>
      <c r="I7933" s="370">
        <v>9024.9498901367188</v>
      </c>
      <c r="M7933" s="371">
        <f t="shared" si="493"/>
        <v>14816.242304607726</v>
      </c>
      <c r="N7933" s="329">
        <f t="shared" si="494"/>
        <v>5499.8373535156252</v>
      </c>
      <c r="T7933" s="331">
        <v>0</v>
      </c>
      <c r="U7933" s="328">
        <f>VLOOKUP(C7933,METADATA!$J$5:$Q$29,IF(E7933="HI",2,IF(E7933="LO",6,10))+IF(T7933=1,2,IF(D7933=7,1,(IF(WEEKDAY(B7933)=1,2,IF(WEEKDAY(B7933)=7,1,0))))))</f>
        <v>2</v>
      </c>
      <c r="V7933" s="328">
        <f>VLOOKUP(C7933,METADATA!$A$5:$H$29,IF(E7933="HI",2,IF(E7933="LO",6,10))+IF(T7933=1,2,IF(D7933=7,1,(IF(WEEKDAY(B7933)=1,2,IF(WEEKDAY(B7933)=7,1,0))))))</f>
        <v>2</v>
      </c>
    </row>
    <row r="7934" spans="2:22">
      <c r="B7934" s="318">
        <f t="shared" si="495"/>
        <v>46443</v>
      </c>
      <c r="C7934" s="312">
        <v>10</v>
      </c>
      <c r="D7934" s="368">
        <f>IFERROR((INDEX(METADATA!$T$2:$T$20,MATCH(B7934,METADATA!$S$2:$S$20,0))),0)</f>
        <v>0</v>
      </c>
      <c r="E7934" s="312" t="str">
        <f t="shared" si="492"/>
        <v>LO</v>
      </c>
      <c r="F7934" s="369">
        <f>VLOOKUP(C7934,METADATA!$A$5:$H$29,IF(E7934="HI",2,IF(E7934="LO",6,10))+IF(D7934=1,2,IF(D7934=7,1,(IF(WEEKDAY(B7934)=1,2,IF(WEEKDAY(B7934)=7,1,0))))))</f>
        <v>2</v>
      </c>
      <c r="G7934" s="369">
        <f>VLOOKUP(C7934,METADATA!$J$5:$Q$29,IF(E7934="HI",2,IF(E7934="LO",6,10))+IF(D7934=1,2,IF(D7934=7,1,(IF(WEEKDAY(B7934)=1,2,IF(WEEKDAY(B7934)=7,1,0))))))</f>
        <v>2</v>
      </c>
      <c r="H7934" s="370">
        <v>11711.875061035156</v>
      </c>
      <c r="I7934" s="370">
        <v>8915.9501342773438</v>
      </c>
      <c r="M7934" s="371">
        <f t="shared" si="493"/>
        <v>14719.449182704406</v>
      </c>
      <c r="N7934" s="329">
        <f t="shared" si="494"/>
        <v>5402.3876159667971</v>
      </c>
      <c r="T7934" s="331">
        <v>0</v>
      </c>
      <c r="U7934" s="328">
        <f>VLOOKUP(C7934,METADATA!$J$5:$Q$29,IF(E7934="HI",2,IF(E7934="LO",6,10))+IF(T7934=1,2,IF(D7934=7,1,(IF(WEEKDAY(B7934)=1,2,IF(WEEKDAY(B7934)=7,1,0))))))</f>
        <v>2</v>
      </c>
      <c r="V7934" s="328">
        <f>VLOOKUP(C7934,METADATA!$A$5:$H$29,IF(E7934="HI",2,IF(E7934="LO",6,10))+IF(T7934=1,2,IF(D7934=7,1,(IF(WEEKDAY(B7934)=1,2,IF(WEEKDAY(B7934)=7,1,0))))))</f>
        <v>2</v>
      </c>
    </row>
    <row r="7935" spans="2:22">
      <c r="B7935" s="318">
        <f t="shared" si="495"/>
        <v>46443</v>
      </c>
      <c r="C7935" s="312">
        <v>11</v>
      </c>
      <c r="D7935" s="368">
        <f>IFERROR((INDEX(METADATA!$T$2:$T$20,MATCH(B7935,METADATA!$S$2:$S$20,0))),0)</f>
        <v>0</v>
      </c>
      <c r="E7935" s="312" t="str">
        <f t="shared" si="492"/>
        <v>LO</v>
      </c>
      <c r="F7935" s="369">
        <f>VLOOKUP(C7935,METADATA!$A$5:$H$29,IF(E7935="HI",2,IF(E7935="LO",6,10))+IF(D7935=1,2,IF(D7935=7,1,(IF(WEEKDAY(B7935)=1,2,IF(WEEKDAY(B7935)=7,1,0))))))</f>
        <v>2</v>
      </c>
      <c r="G7935" s="369">
        <f>VLOOKUP(C7935,METADATA!$J$5:$Q$29,IF(E7935="HI",2,IF(E7935="LO",6,10))+IF(D7935=1,2,IF(D7935=7,1,(IF(WEEKDAY(B7935)=1,2,IF(WEEKDAY(B7935)=7,1,0))))))</f>
        <v>2</v>
      </c>
      <c r="H7935" s="370">
        <v>12104.324890136719</v>
      </c>
      <c r="I7935" s="370">
        <v>9132.25</v>
      </c>
      <c r="M7935" s="371">
        <f t="shared" si="493"/>
        <v>15162.871466463181</v>
      </c>
      <c r="N7935" s="329">
        <f t="shared" si="494"/>
        <v>5500.9525329589851</v>
      </c>
      <c r="T7935" s="331">
        <v>0</v>
      </c>
      <c r="U7935" s="328">
        <f>VLOOKUP(C7935,METADATA!$J$5:$Q$29,IF(E7935="HI",2,IF(E7935="LO",6,10))+IF(T7935=1,2,IF(D7935=7,1,(IF(WEEKDAY(B7935)=1,2,IF(WEEKDAY(B7935)=7,1,0))))))</f>
        <v>2</v>
      </c>
      <c r="V7935" s="328">
        <f>VLOOKUP(C7935,METADATA!$A$5:$H$29,IF(E7935="HI",2,IF(E7935="LO",6,10))+IF(T7935=1,2,IF(D7935=7,1,(IF(WEEKDAY(B7935)=1,2,IF(WEEKDAY(B7935)=7,1,0))))))</f>
        <v>2</v>
      </c>
    </row>
    <row r="7936" spans="2:22">
      <c r="B7936" s="318">
        <f t="shared" si="495"/>
        <v>46443</v>
      </c>
      <c r="C7936" s="312">
        <v>12</v>
      </c>
      <c r="D7936" s="368">
        <f>IFERROR((INDEX(METADATA!$T$2:$T$20,MATCH(B7936,METADATA!$S$2:$S$20,0))),0)</f>
        <v>0</v>
      </c>
      <c r="E7936" s="312" t="str">
        <f t="shared" si="492"/>
        <v>LO</v>
      </c>
      <c r="F7936" s="369">
        <f>VLOOKUP(C7936,METADATA!$A$5:$H$29,IF(E7936="HI",2,IF(E7936="LO",6,10))+IF(D7936=1,2,IF(D7936=7,1,(IF(WEEKDAY(B7936)=1,2,IF(WEEKDAY(B7936)=7,1,0))))))</f>
        <v>2</v>
      </c>
      <c r="G7936" s="369">
        <f>VLOOKUP(C7936,METADATA!$J$5:$Q$29,IF(E7936="HI",2,IF(E7936="LO",6,10))+IF(D7936=1,2,IF(D7936=7,1,(IF(WEEKDAY(B7936)=1,2,IF(WEEKDAY(B7936)=7,1,0))))))</f>
        <v>2</v>
      </c>
      <c r="H7936" s="370">
        <v>12292.174987792969</v>
      </c>
      <c r="I7936" s="370">
        <v>9302.5750122070313</v>
      </c>
      <c r="M7936" s="371">
        <f t="shared" si="493"/>
        <v>15415.42953628804</v>
      </c>
      <c r="N7936" s="329">
        <f t="shared" si="494"/>
        <v>5614.9225158691406</v>
      </c>
      <c r="T7936" s="331">
        <v>0</v>
      </c>
      <c r="U7936" s="328">
        <f>VLOOKUP(C7936,METADATA!$J$5:$Q$29,IF(E7936="HI",2,IF(E7936="LO",6,10))+IF(T7936=1,2,IF(D7936=7,1,(IF(WEEKDAY(B7936)=1,2,IF(WEEKDAY(B7936)=7,1,0))))))</f>
        <v>2</v>
      </c>
      <c r="V7936" s="328">
        <f>VLOOKUP(C7936,METADATA!$A$5:$H$29,IF(E7936="HI",2,IF(E7936="LO",6,10))+IF(T7936=1,2,IF(D7936=7,1,(IF(WEEKDAY(B7936)=1,2,IF(WEEKDAY(B7936)=7,1,0))))))</f>
        <v>2</v>
      </c>
    </row>
    <row r="7937" spans="2:22">
      <c r="B7937" s="318">
        <f t="shared" si="495"/>
        <v>46443</v>
      </c>
      <c r="C7937" s="312">
        <v>13</v>
      </c>
      <c r="D7937" s="368">
        <f>IFERROR((INDEX(METADATA!$T$2:$T$20,MATCH(B7937,METADATA!$S$2:$S$20,0))),0)</f>
        <v>0</v>
      </c>
      <c r="E7937" s="312" t="str">
        <f t="shared" si="492"/>
        <v>LO</v>
      </c>
      <c r="F7937" s="369">
        <f>VLOOKUP(C7937,METADATA!$A$5:$H$29,IF(E7937="HI",2,IF(E7937="LO",6,10))+IF(D7937=1,2,IF(D7937=7,1,(IF(WEEKDAY(B7937)=1,2,IF(WEEKDAY(B7937)=7,1,0))))))</f>
        <v>2</v>
      </c>
      <c r="G7937" s="369">
        <f>VLOOKUP(C7937,METADATA!$J$5:$Q$29,IF(E7937="HI",2,IF(E7937="LO",6,10))+IF(D7937=1,2,IF(D7937=7,1,(IF(WEEKDAY(B7937)=1,2,IF(WEEKDAY(B7937)=7,1,0))))))</f>
        <v>2</v>
      </c>
      <c r="H7937" s="370">
        <v>12292.200073242188</v>
      </c>
      <c r="I7937" s="370">
        <v>9292.2252197265625</v>
      </c>
      <c r="M7937" s="371">
        <f t="shared" si="493"/>
        <v>15409.206085153692</v>
      </c>
      <c r="N7937" s="329">
        <f t="shared" si="494"/>
        <v>5604.5651977539064</v>
      </c>
      <c r="T7937" s="331">
        <v>0</v>
      </c>
      <c r="U7937" s="328">
        <f>VLOOKUP(C7937,METADATA!$J$5:$Q$29,IF(E7937="HI",2,IF(E7937="LO",6,10))+IF(T7937=1,2,IF(D7937=7,1,(IF(WEEKDAY(B7937)=1,2,IF(WEEKDAY(B7937)=7,1,0))))))</f>
        <v>2</v>
      </c>
      <c r="V7937" s="328">
        <f>VLOOKUP(C7937,METADATA!$A$5:$H$29,IF(E7937="HI",2,IF(E7937="LO",6,10))+IF(T7937=1,2,IF(D7937=7,1,(IF(WEEKDAY(B7937)=1,2,IF(WEEKDAY(B7937)=7,1,0))))))</f>
        <v>2</v>
      </c>
    </row>
    <row r="7938" spans="2:22">
      <c r="B7938" s="318">
        <f t="shared" si="495"/>
        <v>46443</v>
      </c>
      <c r="C7938" s="312">
        <v>14</v>
      </c>
      <c r="D7938" s="368">
        <f>IFERROR((INDEX(METADATA!$T$2:$T$20,MATCH(B7938,METADATA!$S$2:$S$20,0))),0)</f>
        <v>0</v>
      </c>
      <c r="E7938" s="312" t="str">
        <f t="shared" si="492"/>
        <v>LO</v>
      </c>
      <c r="F7938" s="369">
        <f>VLOOKUP(C7938,METADATA!$A$5:$H$29,IF(E7938="HI",2,IF(E7938="LO",6,10))+IF(D7938=1,2,IF(D7938=7,1,(IF(WEEKDAY(B7938)=1,2,IF(WEEKDAY(B7938)=7,1,0))))))</f>
        <v>2</v>
      </c>
      <c r="G7938" s="369">
        <f>VLOOKUP(C7938,METADATA!$J$5:$Q$29,IF(E7938="HI",2,IF(E7938="LO",6,10))+IF(D7938=1,2,IF(D7938=7,1,(IF(WEEKDAY(B7938)=1,2,IF(WEEKDAY(B7938)=7,1,0))))))</f>
        <v>2</v>
      </c>
      <c r="H7938" s="370">
        <v>12234.425170898438</v>
      </c>
      <c r="I7938" s="370">
        <v>9309.35009765625</v>
      </c>
      <c r="M7938" s="371">
        <f t="shared" si="493"/>
        <v>15373.521343629951</v>
      </c>
      <c r="N7938" s="329">
        <f t="shared" si="494"/>
        <v>5639.0225463867191</v>
      </c>
      <c r="T7938" s="331">
        <v>0</v>
      </c>
      <c r="U7938" s="328">
        <f>VLOOKUP(C7938,METADATA!$J$5:$Q$29,IF(E7938="HI",2,IF(E7938="LO",6,10))+IF(T7938=1,2,IF(D7938=7,1,(IF(WEEKDAY(B7938)=1,2,IF(WEEKDAY(B7938)=7,1,0))))))</f>
        <v>2</v>
      </c>
      <c r="V7938" s="328">
        <f>VLOOKUP(C7938,METADATA!$A$5:$H$29,IF(E7938="HI",2,IF(E7938="LO",6,10))+IF(T7938=1,2,IF(D7938=7,1,(IF(WEEKDAY(B7938)=1,2,IF(WEEKDAY(B7938)=7,1,0))))))</f>
        <v>2</v>
      </c>
    </row>
    <row r="7939" spans="2:22">
      <c r="B7939" s="318">
        <f t="shared" si="495"/>
        <v>46443</v>
      </c>
      <c r="C7939" s="312">
        <v>15</v>
      </c>
      <c r="D7939" s="368">
        <f>IFERROR((INDEX(METADATA!$T$2:$T$20,MATCH(B7939,METADATA!$S$2:$S$20,0))),0)</f>
        <v>0</v>
      </c>
      <c r="E7939" s="312" t="str">
        <f t="shared" si="492"/>
        <v>LO</v>
      </c>
      <c r="F7939" s="369">
        <f>VLOOKUP(C7939,METADATA!$A$5:$H$29,IF(E7939="HI",2,IF(E7939="LO",6,10))+IF(D7939=1,2,IF(D7939=7,1,(IF(WEEKDAY(B7939)=1,2,IF(WEEKDAY(B7939)=7,1,0))))))</f>
        <v>2</v>
      </c>
      <c r="G7939" s="369">
        <f>VLOOKUP(C7939,METADATA!$J$5:$Q$29,IF(E7939="HI",2,IF(E7939="LO",6,10))+IF(D7939=1,2,IF(D7939=7,1,(IF(WEEKDAY(B7939)=1,2,IF(WEEKDAY(B7939)=7,1,0))))))</f>
        <v>2</v>
      </c>
      <c r="H7939" s="370">
        <v>12165.19970703125</v>
      </c>
      <c r="I7939" s="370">
        <v>9248.2251586914063</v>
      </c>
      <c r="M7939" s="371">
        <f t="shared" si="493"/>
        <v>15281.418536831125</v>
      </c>
      <c r="N7939" s="329">
        <f t="shared" si="494"/>
        <v>5598.6652465820316</v>
      </c>
      <c r="T7939" s="331">
        <v>0</v>
      </c>
      <c r="U7939" s="328">
        <f>VLOOKUP(C7939,METADATA!$J$5:$Q$29,IF(E7939="HI",2,IF(E7939="LO",6,10))+IF(T7939=1,2,IF(D7939=7,1,(IF(WEEKDAY(B7939)=1,2,IF(WEEKDAY(B7939)=7,1,0))))))</f>
        <v>2</v>
      </c>
      <c r="V7939" s="328">
        <f>VLOOKUP(C7939,METADATA!$A$5:$H$29,IF(E7939="HI",2,IF(E7939="LO",6,10))+IF(T7939=1,2,IF(D7939=7,1,(IF(WEEKDAY(B7939)=1,2,IF(WEEKDAY(B7939)=7,1,0))))))</f>
        <v>2</v>
      </c>
    </row>
    <row r="7940" spans="2:22">
      <c r="B7940" s="318">
        <f t="shared" si="495"/>
        <v>46443</v>
      </c>
      <c r="C7940" s="312">
        <v>16</v>
      </c>
      <c r="D7940" s="368">
        <f>IFERROR((INDEX(METADATA!$T$2:$T$20,MATCH(B7940,METADATA!$S$2:$S$20,0))),0)</f>
        <v>0</v>
      </c>
      <c r="E7940" s="312" t="str">
        <f t="shared" ref="E7940:E8003" si="496">IF(B7940="","",IF(AND(MONTH(B7940)&gt;=MONTH($Z$9),MONTH(B7940)&lt;=MONTH($Z$11)),"HI","LO"))</f>
        <v>LO</v>
      </c>
      <c r="F7940" s="369">
        <f>VLOOKUP(C7940,METADATA!$A$5:$H$29,IF(E7940="HI",2,IF(E7940="LO",6,10))+IF(D7940=1,2,IF(D7940=7,1,(IF(WEEKDAY(B7940)=1,2,IF(WEEKDAY(B7940)=7,1,0))))))</f>
        <v>2</v>
      </c>
      <c r="G7940" s="369">
        <f>VLOOKUP(C7940,METADATA!$J$5:$Q$29,IF(E7940="HI",2,IF(E7940="LO",6,10))+IF(D7940=1,2,IF(D7940=7,1,(IF(WEEKDAY(B7940)=1,2,IF(WEEKDAY(B7940)=7,1,0))))))</f>
        <v>2</v>
      </c>
      <c r="H7940" s="370">
        <v>12107.500061035156</v>
      </c>
      <c r="I7940" s="370">
        <v>9167.9249267578125</v>
      </c>
      <c r="M7940" s="371">
        <f t="shared" ref="M7940:M8003" si="497">SQRT(H7940^2+I7940^2)</f>
        <v>15186.915591739935</v>
      </c>
      <c r="N7940" s="329">
        <f t="shared" ref="N7940:N8003" si="498">IF(H7940=0,0,(IF(I7940-(0.3*H7940)&lt;0,0,(I7940-(0.3*H7940)))))</f>
        <v>5535.6749084472658</v>
      </c>
      <c r="T7940" s="331">
        <v>0</v>
      </c>
      <c r="U7940" s="328">
        <f>VLOOKUP(C7940,METADATA!$J$5:$Q$29,IF(E7940="HI",2,IF(E7940="LO",6,10))+IF(T7940=1,2,IF(D7940=7,1,(IF(WEEKDAY(B7940)=1,2,IF(WEEKDAY(B7940)=7,1,0))))))</f>
        <v>2</v>
      </c>
      <c r="V7940" s="328">
        <f>VLOOKUP(C7940,METADATA!$A$5:$H$29,IF(E7940="HI",2,IF(E7940="LO",6,10))+IF(T7940=1,2,IF(D7940=7,1,(IF(WEEKDAY(B7940)=1,2,IF(WEEKDAY(B7940)=7,1,0))))))</f>
        <v>2</v>
      </c>
    </row>
    <row r="7941" spans="2:22">
      <c r="B7941" s="318">
        <f t="shared" si="495"/>
        <v>46443</v>
      </c>
      <c r="C7941" s="312">
        <v>17</v>
      </c>
      <c r="D7941" s="368">
        <f>IFERROR((INDEX(METADATA!$T$2:$T$20,MATCH(B7941,METADATA!$S$2:$S$20,0))),0)</f>
        <v>0</v>
      </c>
      <c r="E7941" s="312" t="str">
        <f t="shared" si="496"/>
        <v>LO</v>
      </c>
      <c r="F7941" s="369">
        <f>VLOOKUP(C7941,METADATA!$A$5:$H$29,IF(E7941="HI",2,IF(E7941="LO",6,10))+IF(D7941=1,2,IF(D7941=7,1,(IF(WEEKDAY(B7941)=1,2,IF(WEEKDAY(B7941)=7,1,0))))))</f>
        <v>2</v>
      </c>
      <c r="G7941" s="369">
        <f>VLOOKUP(C7941,METADATA!$J$5:$Q$29,IF(E7941="HI",2,IF(E7941="LO",6,10))+IF(D7941=1,2,IF(D7941=7,1,(IF(WEEKDAY(B7941)=1,2,IF(WEEKDAY(B7941)=7,1,0))))))</f>
        <v>2</v>
      </c>
      <c r="H7941" s="370">
        <v>12058.699890136719</v>
      </c>
      <c r="I7941" s="370">
        <v>9298.2498168945313</v>
      </c>
      <c r="M7941" s="371">
        <f t="shared" si="497"/>
        <v>15227.268064159194</v>
      </c>
      <c r="N7941" s="329">
        <f t="shared" si="498"/>
        <v>5680.6398498535164</v>
      </c>
      <c r="T7941" s="331">
        <v>0</v>
      </c>
      <c r="U7941" s="328">
        <f>VLOOKUP(C7941,METADATA!$J$5:$Q$29,IF(E7941="HI",2,IF(E7941="LO",6,10))+IF(T7941=1,2,IF(D7941=7,1,(IF(WEEKDAY(B7941)=1,2,IF(WEEKDAY(B7941)=7,1,0))))))</f>
        <v>2</v>
      </c>
      <c r="V7941" s="328">
        <f>VLOOKUP(C7941,METADATA!$A$5:$H$29,IF(E7941="HI",2,IF(E7941="LO",6,10))+IF(T7941=1,2,IF(D7941=7,1,(IF(WEEKDAY(B7941)=1,2,IF(WEEKDAY(B7941)=7,1,0))))))</f>
        <v>2</v>
      </c>
    </row>
    <row r="7942" spans="2:22">
      <c r="B7942" s="318">
        <f t="shared" si="495"/>
        <v>46443</v>
      </c>
      <c r="C7942" s="312">
        <v>18</v>
      </c>
      <c r="D7942" s="368">
        <f>IFERROR((INDEX(METADATA!$T$2:$T$20,MATCH(B7942,METADATA!$S$2:$S$20,0))),0)</f>
        <v>0</v>
      </c>
      <c r="E7942" s="312" t="str">
        <f t="shared" si="496"/>
        <v>LO</v>
      </c>
      <c r="F7942" s="369">
        <f>VLOOKUP(C7942,METADATA!$A$5:$H$29,IF(E7942="HI",2,IF(E7942="LO",6,10))+IF(D7942=1,2,IF(D7942=7,1,(IF(WEEKDAY(B7942)=1,2,IF(WEEKDAY(B7942)=7,1,0))))))</f>
        <v>1</v>
      </c>
      <c r="G7942" s="369">
        <f>VLOOKUP(C7942,METADATA!$J$5:$Q$29,IF(E7942="HI",2,IF(E7942="LO",6,10))+IF(D7942=1,2,IF(D7942=7,1,(IF(WEEKDAY(B7942)=1,2,IF(WEEKDAY(B7942)=7,1,0))))))</f>
        <v>1</v>
      </c>
      <c r="H7942" s="370">
        <v>11989.824951171875</v>
      </c>
      <c r="I7942" s="370">
        <v>9116.2249755859375</v>
      </c>
      <c r="M7942" s="371">
        <f t="shared" si="497"/>
        <v>15061.920865720962</v>
      </c>
      <c r="N7942" s="329">
        <f t="shared" si="498"/>
        <v>5519.2774902343754</v>
      </c>
      <c r="T7942" s="331">
        <v>0</v>
      </c>
      <c r="U7942" s="328">
        <f>VLOOKUP(C7942,METADATA!$J$5:$Q$29,IF(E7942="HI",2,IF(E7942="LO",6,10))+IF(T7942=1,2,IF(D7942=7,1,(IF(WEEKDAY(B7942)=1,2,IF(WEEKDAY(B7942)=7,1,0))))))</f>
        <v>1</v>
      </c>
      <c r="V7942" s="328">
        <f>VLOOKUP(C7942,METADATA!$A$5:$H$29,IF(E7942="HI",2,IF(E7942="LO",6,10))+IF(T7942=1,2,IF(D7942=7,1,(IF(WEEKDAY(B7942)=1,2,IF(WEEKDAY(B7942)=7,1,0))))))</f>
        <v>1</v>
      </c>
    </row>
    <row r="7943" spans="2:22">
      <c r="B7943" s="318">
        <f t="shared" si="495"/>
        <v>46443</v>
      </c>
      <c r="C7943" s="312">
        <v>19</v>
      </c>
      <c r="D7943" s="368">
        <f>IFERROR((INDEX(METADATA!$T$2:$T$20,MATCH(B7943,METADATA!$S$2:$S$20,0))),0)</f>
        <v>0</v>
      </c>
      <c r="E7943" s="312" t="str">
        <f t="shared" si="496"/>
        <v>LO</v>
      </c>
      <c r="F7943" s="369">
        <f>VLOOKUP(C7943,METADATA!$A$5:$H$29,IF(E7943="HI",2,IF(E7943="LO",6,10))+IF(D7943=1,2,IF(D7943=7,1,(IF(WEEKDAY(B7943)=1,2,IF(WEEKDAY(B7943)=7,1,0))))))</f>
        <v>1</v>
      </c>
      <c r="G7943" s="369">
        <f>VLOOKUP(C7943,METADATA!$J$5:$Q$29,IF(E7943="HI",2,IF(E7943="LO",6,10))+IF(D7943=1,2,IF(D7943=7,1,(IF(WEEKDAY(B7943)=1,2,IF(WEEKDAY(B7943)=7,1,0))))))</f>
        <v>1</v>
      </c>
      <c r="H7943" s="370">
        <v>12098.575012207031</v>
      </c>
      <c r="I7943" s="370">
        <v>8929.550048828125</v>
      </c>
      <c r="M7943" s="371">
        <f t="shared" si="497"/>
        <v>15037.033663609547</v>
      </c>
      <c r="N7943" s="329">
        <f t="shared" si="498"/>
        <v>5299.9775451660153</v>
      </c>
      <c r="T7943" s="331">
        <v>0</v>
      </c>
      <c r="U7943" s="328">
        <f>VLOOKUP(C7943,METADATA!$J$5:$Q$29,IF(E7943="HI",2,IF(E7943="LO",6,10))+IF(T7943=1,2,IF(D7943=7,1,(IF(WEEKDAY(B7943)=1,2,IF(WEEKDAY(B7943)=7,1,0))))))</f>
        <v>1</v>
      </c>
      <c r="V7943" s="328">
        <f>VLOOKUP(C7943,METADATA!$A$5:$H$29,IF(E7943="HI",2,IF(E7943="LO",6,10))+IF(T7943=1,2,IF(D7943=7,1,(IF(WEEKDAY(B7943)=1,2,IF(WEEKDAY(B7943)=7,1,0))))))</f>
        <v>1</v>
      </c>
    </row>
    <row r="7944" spans="2:22">
      <c r="B7944" s="318">
        <f t="shared" si="495"/>
        <v>46443</v>
      </c>
      <c r="C7944" s="312">
        <v>20</v>
      </c>
      <c r="D7944" s="368">
        <f>IFERROR((INDEX(METADATA!$T$2:$T$20,MATCH(B7944,METADATA!$S$2:$S$20,0))),0)</f>
        <v>0</v>
      </c>
      <c r="E7944" s="312" t="str">
        <f t="shared" si="496"/>
        <v>LO</v>
      </c>
      <c r="F7944" s="369">
        <f>VLOOKUP(C7944,METADATA!$A$5:$H$29,IF(E7944="HI",2,IF(E7944="LO",6,10))+IF(D7944=1,2,IF(D7944=7,1,(IF(WEEKDAY(B7944)=1,2,IF(WEEKDAY(B7944)=7,1,0))))))</f>
        <v>1</v>
      </c>
      <c r="G7944" s="369">
        <f>VLOOKUP(C7944,METADATA!$J$5:$Q$29,IF(E7944="HI",2,IF(E7944="LO",6,10))+IF(D7944=1,2,IF(D7944=7,1,(IF(WEEKDAY(B7944)=1,2,IF(WEEKDAY(B7944)=7,1,0))))))</f>
        <v>1</v>
      </c>
      <c r="H7944" s="370">
        <v>12166.599914550781</v>
      </c>
      <c r="I7944" s="370">
        <v>9081.2750244140625</v>
      </c>
      <c r="M7944" s="371">
        <f t="shared" si="497"/>
        <v>15182.08515157894</v>
      </c>
      <c r="N7944" s="329">
        <f t="shared" si="498"/>
        <v>5431.2950500488278</v>
      </c>
      <c r="T7944" s="331">
        <v>0</v>
      </c>
      <c r="U7944" s="328">
        <f>VLOOKUP(C7944,METADATA!$J$5:$Q$29,IF(E7944="HI",2,IF(E7944="LO",6,10))+IF(T7944=1,2,IF(D7944=7,1,(IF(WEEKDAY(B7944)=1,2,IF(WEEKDAY(B7944)=7,1,0))))))</f>
        <v>1</v>
      </c>
      <c r="V7944" s="328">
        <f>VLOOKUP(C7944,METADATA!$A$5:$H$29,IF(E7944="HI",2,IF(E7944="LO",6,10))+IF(T7944=1,2,IF(D7944=7,1,(IF(WEEKDAY(B7944)=1,2,IF(WEEKDAY(B7944)=7,1,0))))))</f>
        <v>1</v>
      </c>
    </row>
    <row r="7945" spans="2:22">
      <c r="B7945" s="318">
        <f t="shared" si="495"/>
        <v>46443</v>
      </c>
      <c r="C7945" s="312">
        <v>21</v>
      </c>
      <c r="D7945" s="368">
        <f>IFERROR((INDEX(METADATA!$T$2:$T$20,MATCH(B7945,METADATA!$S$2:$S$20,0))),0)</f>
        <v>0</v>
      </c>
      <c r="E7945" s="312" t="str">
        <f t="shared" si="496"/>
        <v>LO</v>
      </c>
      <c r="F7945" s="369">
        <f>VLOOKUP(C7945,METADATA!$A$5:$H$29,IF(E7945="HI",2,IF(E7945="LO",6,10))+IF(D7945=1,2,IF(D7945=7,1,(IF(WEEKDAY(B7945)=1,2,IF(WEEKDAY(B7945)=7,1,0))))))</f>
        <v>2</v>
      </c>
      <c r="G7945" s="369">
        <f>VLOOKUP(C7945,METADATA!$J$5:$Q$29,IF(E7945="HI",2,IF(E7945="LO",6,10))+IF(D7945=1,2,IF(D7945=7,1,(IF(WEEKDAY(B7945)=1,2,IF(WEEKDAY(B7945)=7,1,0))))))</f>
        <v>2</v>
      </c>
      <c r="H7945" s="370">
        <v>12129.075256347656</v>
      </c>
      <c r="I7945" s="370">
        <v>9100.999755859375</v>
      </c>
      <c r="M7945" s="371">
        <f t="shared" si="497"/>
        <v>15163.860429662935</v>
      </c>
      <c r="N7945" s="329">
        <f t="shared" si="498"/>
        <v>5462.2771789550789</v>
      </c>
      <c r="T7945" s="331">
        <v>0</v>
      </c>
      <c r="U7945" s="328">
        <f>VLOOKUP(C7945,METADATA!$J$5:$Q$29,IF(E7945="HI",2,IF(E7945="LO",6,10))+IF(T7945=1,2,IF(D7945=7,1,(IF(WEEKDAY(B7945)=1,2,IF(WEEKDAY(B7945)=7,1,0))))))</f>
        <v>2</v>
      </c>
      <c r="V7945" s="328">
        <f>VLOOKUP(C7945,METADATA!$A$5:$H$29,IF(E7945="HI",2,IF(E7945="LO",6,10))+IF(T7945=1,2,IF(D7945=7,1,(IF(WEEKDAY(B7945)=1,2,IF(WEEKDAY(B7945)=7,1,0))))))</f>
        <v>2</v>
      </c>
    </row>
    <row r="7946" spans="2:22">
      <c r="B7946" s="318">
        <f t="shared" si="495"/>
        <v>46443</v>
      </c>
      <c r="C7946" s="312">
        <v>22</v>
      </c>
      <c r="D7946" s="368">
        <f>IFERROR((INDEX(METADATA!$T$2:$T$20,MATCH(B7946,METADATA!$S$2:$S$20,0))),0)</f>
        <v>0</v>
      </c>
      <c r="E7946" s="312" t="str">
        <f t="shared" si="496"/>
        <v>LO</v>
      </c>
      <c r="F7946" s="369">
        <f>VLOOKUP(C7946,METADATA!$A$5:$H$29,IF(E7946="HI",2,IF(E7946="LO",6,10))+IF(D7946=1,2,IF(D7946=7,1,(IF(WEEKDAY(B7946)=1,2,IF(WEEKDAY(B7946)=7,1,0))))))</f>
        <v>3</v>
      </c>
      <c r="G7946" s="369">
        <f>VLOOKUP(C7946,METADATA!$J$5:$Q$29,IF(E7946="HI",2,IF(E7946="LO",6,10))+IF(D7946=1,2,IF(D7946=7,1,(IF(WEEKDAY(B7946)=1,2,IF(WEEKDAY(B7946)=7,1,0))))))</f>
        <v>3</v>
      </c>
      <c r="H7946" s="370">
        <v>12288.400024414063</v>
      </c>
      <c r="I7946" s="370">
        <v>9291.7750854492188</v>
      </c>
      <c r="M7946" s="371">
        <f t="shared" si="497"/>
        <v>15405.903394432744</v>
      </c>
      <c r="N7946" s="329">
        <f t="shared" si="498"/>
        <v>5605.2550781250002</v>
      </c>
      <c r="T7946" s="331">
        <v>0</v>
      </c>
      <c r="U7946" s="328">
        <f>VLOOKUP(C7946,METADATA!$J$5:$Q$29,IF(E7946="HI",2,IF(E7946="LO",6,10))+IF(T7946=1,2,IF(D7946=7,1,(IF(WEEKDAY(B7946)=1,2,IF(WEEKDAY(B7946)=7,1,0))))))</f>
        <v>3</v>
      </c>
      <c r="V7946" s="328">
        <f>VLOOKUP(C7946,METADATA!$A$5:$H$29,IF(E7946="HI",2,IF(E7946="LO",6,10))+IF(T7946=1,2,IF(D7946=7,1,(IF(WEEKDAY(B7946)=1,2,IF(WEEKDAY(B7946)=7,1,0))))))</f>
        <v>3</v>
      </c>
    </row>
    <row r="7947" spans="2:22">
      <c r="B7947" s="318">
        <f t="shared" si="495"/>
        <v>46443</v>
      </c>
      <c r="C7947" s="312">
        <v>23</v>
      </c>
      <c r="D7947" s="368">
        <f>IFERROR((INDEX(METADATA!$T$2:$T$20,MATCH(B7947,METADATA!$S$2:$S$20,0))),0)</f>
        <v>0</v>
      </c>
      <c r="E7947" s="312" t="str">
        <f t="shared" si="496"/>
        <v>LO</v>
      </c>
      <c r="F7947" s="369">
        <f>VLOOKUP(C7947,METADATA!$A$5:$H$29,IF(E7947="HI",2,IF(E7947="LO",6,10))+IF(D7947=1,2,IF(D7947=7,1,(IF(WEEKDAY(B7947)=1,2,IF(WEEKDAY(B7947)=7,1,0))))))</f>
        <v>3</v>
      </c>
      <c r="G7947" s="369">
        <f>VLOOKUP(C7947,METADATA!$J$5:$Q$29,IF(E7947="HI",2,IF(E7947="LO",6,10))+IF(D7947=1,2,IF(D7947=7,1,(IF(WEEKDAY(B7947)=1,2,IF(WEEKDAY(B7947)=7,1,0))))))</f>
        <v>3</v>
      </c>
      <c r="H7947" s="370">
        <v>12181.799743652344</v>
      </c>
      <c r="I7947" s="370">
        <v>9222.4000854492188</v>
      </c>
      <c r="M7947" s="371">
        <f t="shared" si="497"/>
        <v>15279.034927983575</v>
      </c>
      <c r="N7947" s="329">
        <f t="shared" si="498"/>
        <v>5567.860162353516</v>
      </c>
      <c r="T7947" s="331">
        <v>0</v>
      </c>
      <c r="U7947" s="328">
        <f>VLOOKUP(C7947,METADATA!$J$5:$Q$29,IF(E7947="HI",2,IF(E7947="LO",6,10))+IF(T7947=1,2,IF(D7947=7,1,(IF(WEEKDAY(B7947)=1,2,IF(WEEKDAY(B7947)=7,1,0))))))</f>
        <v>3</v>
      </c>
      <c r="V7947" s="328">
        <f>VLOOKUP(C7947,METADATA!$A$5:$H$29,IF(E7947="HI",2,IF(E7947="LO",6,10))+IF(T7947=1,2,IF(D7947=7,1,(IF(WEEKDAY(B7947)=1,2,IF(WEEKDAY(B7947)=7,1,0))))))</f>
        <v>3</v>
      </c>
    </row>
    <row r="7948" spans="2:22">
      <c r="B7948" s="318">
        <f t="shared" si="495"/>
        <v>46444</v>
      </c>
      <c r="C7948" s="312">
        <v>0</v>
      </c>
      <c r="D7948" s="368">
        <f>IFERROR((INDEX(METADATA!$T$2:$T$20,MATCH(B7948,METADATA!$S$2:$S$20,0))),0)</f>
        <v>0</v>
      </c>
      <c r="E7948" s="312" t="str">
        <f t="shared" si="496"/>
        <v>LO</v>
      </c>
      <c r="F7948" s="369">
        <f>VLOOKUP(C7948,METADATA!$A$5:$H$29,IF(E7948="HI",2,IF(E7948="LO",6,10))+IF(D7948=1,2,IF(D7948=7,1,(IF(WEEKDAY(B7948)=1,2,IF(WEEKDAY(B7948)=7,1,0))))))</f>
        <v>3</v>
      </c>
      <c r="G7948" s="369">
        <f>VLOOKUP(C7948,METADATA!$J$5:$Q$29,IF(E7948="HI",2,IF(E7948="LO",6,10))+IF(D7948=1,2,IF(D7948=7,1,(IF(WEEKDAY(B7948)=1,2,IF(WEEKDAY(B7948)=7,1,0))))))</f>
        <v>3</v>
      </c>
      <c r="H7948" s="370">
        <v>12138.424743652344</v>
      </c>
      <c r="I7948" s="370">
        <v>9161.9998779296875</v>
      </c>
      <c r="M7948" s="371">
        <f t="shared" si="497"/>
        <v>15208.01094885505</v>
      </c>
      <c r="N7948" s="329">
        <f t="shared" si="498"/>
        <v>5520.4724548339846</v>
      </c>
      <c r="T7948" s="331">
        <v>0</v>
      </c>
      <c r="U7948" s="328">
        <f>VLOOKUP(C7948,METADATA!$J$5:$Q$29,IF(E7948="HI",2,IF(E7948="LO",6,10))+IF(T7948=1,2,IF(D7948=7,1,(IF(WEEKDAY(B7948)=1,2,IF(WEEKDAY(B7948)=7,1,0))))))</f>
        <v>3</v>
      </c>
      <c r="V7948" s="328">
        <f>VLOOKUP(C7948,METADATA!$A$5:$H$29,IF(E7948="HI",2,IF(E7948="LO",6,10))+IF(T7948=1,2,IF(D7948=7,1,(IF(WEEKDAY(B7948)=1,2,IF(WEEKDAY(B7948)=7,1,0))))))</f>
        <v>3</v>
      </c>
    </row>
    <row r="7949" spans="2:22">
      <c r="B7949" s="318">
        <f t="shared" si="495"/>
        <v>46444</v>
      </c>
      <c r="C7949" s="312">
        <v>1</v>
      </c>
      <c r="D7949" s="368">
        <f>IFERROR((INDEX(METADATA!$T$2:$T$20,MATCH(B7949,METADATA!$S$2:$S$20,0))),0)</f>
        <v>0</v>
      </c>
      <c r="E7949" s="312" t="str">
        <f t="shared" si="496"/>
        <v>LO</v>
      </c>
      <c r="F7949" s="369">
        <f>VLOOKUP(C7949,METADATA!$A$5:$H$29,IF(E7949="HI",2,IF(E7949="LO",6,10))+IF(D7949=1,2,IF(D7949=7,1,(IF(WEEKDAY(B7949)=1,2,IF(WEEKDAY(B7949)=7,1,0))))))</f>
        <v>3</v>
      </c>
      <c r="G7949" s="369">
        <f>VLOOKUP(C7949,METADATA!$J$5:$Q$29,IF(E7949="HI",2,IF(E7949="LO",6,10))+IF(D7949=1,2,IF(D7949=7,1,(IF(WEEKDAY(B7949)=1,2,IF(WEEKDAY(B7949)=7,1,0))))))</f>
        <v>3</v>
      </c>
      <c r="H7949" s="370">
        <v>12149.842590332031</v>
      </c>
      <c r="I7949" s="370">
        <v>9143.9598999023438</v>
      </c>
      <c r="M7949" s="371">
        <f t="shared" si="497"/>
        <v>15206.270996561525</v>
      </c>
      <c r="N7949" s="329">
        <f t="shared" si="498"/>
        <v>5499.0071228027346</v>
      </c>
      <c r="T7949" s="331">
        <v>0</v>
      </c>
      <c r="U7949" s="328">
        <f>VLOOKUP(C7949,METADATA!$J$5:$Q$29,IF(E7949="HI",2,IF(E7949="LO",6,10))+IF(T7949=1,2,IF(D7949=7,1,(IF(WEEKDAY(B7949)=1,2,IF(WEEKDAY(B7949)=7,1,0))))))</f>
        <v>3</v>
      </c>
      <c r="V7949" s="328">
        <f>VLOOKUP(C7949,METADATA!$A$5:$H$29,IF(E7949="HI",2,IF(E7949="LO",6,10))+IF(T7949=1,2,IF(D7949=7,1,(IF(WEEKDAY(B7949)=1,2,IF(WEEKDAY(B7949)=7,1,0))))))</f>
        <v>3</v>
      </c>
    </row>
    <row r="7950" spans="2:22">
      <c r="B7950" s="318">
        <f t="shared" si="495"/>
        <v>46444</v>
      </c>
      <c r="C7950" s="312">
        <v>2</v>
      </c>
      <c r="D7950" s="368">
        <f>IFERROR((INDEX(METADATA!$T$2:$T$20,MATCH(B7950,METADATA!$S$2:$S$20,0))),0)</f>
        <v>0</v>
      </c>
      <c r="E7950" s="312" t="str">
        <f t="shared" si="496"/>
        <v>LO</v>
      </c>
      <c r="F7950" s="369">
        <f>VLOOKUP(C7950,METADATA!$A$5:$H$29,IF(E7950="HI",2,IF(E7950="LO",6,10))+IF(D7950=1,2,IF(D7950=7,1,(IF(WEEKDAY(B7950)=1,2,IF(WEEKDAY(B7950)=7,1,0))))))</f>
        <v>3</v>
      </c>
      <c r="G7950" s="369">
        <f>VLOOKUP(C7950,METADATA!$J$5:$Q$29,IF(E7950="HI",2,IF(E7950="LO",6,10))+IF(D7950=1,2,IF(D7950=7,1,(IF(WEEKDAY(B7950)=1,2,IF(WEEKDAY(B7950)=7,1,0))))))</f>
        <v>3</v>
      </c>
      <c r="H7950" s="370">
        <v>12230.800109863281</v>
      </c>
      <c r="I7950" s="370">
        <v>9214.3001098632813</v>
      </c>
      <c r="M7950" s="371">
        <f t="shared" si="497"/>
        <v>15313.255625178406</v>
      </c>
      <c r="N7950" s="329">
        <f t="shared" si="498"/>
        <v>5545.0600769042976</v>
      </c>
      <c r="T7950" s="331">
        <v>0</v>
      </c>
      <c r="U7950" s="328">
        <f>VLOOKUP(C7950,METADATA!$J$5:$Q$29,IF(E7950="HI",2,IF(E7950="LO",6,10))+IF(T7950=1,2,IF(D7950=7,1,(IF(WEEKDAY(B7950)=1,2,IF(WEEKDAY(B7950)=7,1,0))))))</f>
        <v>3</v>
      </c>
      <c r="V7950" s="328">
        <f>VLOOKUP(C7950,METADATA!$A$5:$H$29,IF(E7950="HI",2,IF(E7950="LO",6,10))+IF(T7950=1,2,IF(D7950=7,1,(IF(WEEKDAY(B7950)=1,2,IF(WEEKDAY(B7950)=7,1,0))))))</f>
        <v>3</v>
      </c>
    </row>
    <row r="7951" spans="2:22">
      <c r="B7951" s="318">
        <f t="shared" si="495"/>
        <v>46444</v>
      </c>
      <c r="C7951" s="312">
        <v>3</v>
      </c>
      <c r="D7951" s="368">
        <f>IFERROR((INDEX(METADATA!$T$2:$T$20,MATCH(B7951,METADATA!$S$2:$S$20,0))),0)</f>
        <v>0</v>
      </c>
      <c r="E7951" s="312" t="str">
        <f t="shared" si="496"/>
        <v>LO</v>
      </c>
      <c r="F7951" s="369">
        <f>VLOOKUP(C7951,METADATA!$A$5:$H$29,IF(E7951="HI",2,IF(E7951="LO",6,10))+IF(D7951=1,2,IF(D7951=7,1,(IF(WEEKDAY(B7951)=1,2,IF(WEEKDAY(B7951)=7,1,0))))))</f>
        <v>3</v>
      </c>
      <c r="G7951" s="369">
        <f>VLOOKUP(C7951,METADATA!$J$5:$Q$29,IF(E7951="HI",2,IF(E7951="LO",6,10))+IF(D7951=1,2,IF(D7951=7,1,(IF(WEEKDAY(B7951)=1,2,IF(WEEKDAY(B7951)=7,1,0))))))</f>
        <v>3</v>
      </c>
      <c r="H7951" s="370">
        <v>12096.749877929688</v>
      </c>
      <c r="I7951" s="370">
        <v>9198.099853515625</v>
      </c>
      <c r="M7951" s="371">
        <f t="shared" si="497"/>
        <v>15196.591674597172</v>
      </c>
      <c r="N7951" s="329">
        <f t="shared" si="498"/>
        <v>5569.0748901367188</v>
      </c>
      <c r="T7951" s="331">
        <v>0</v>
      </c>
      <c r="U7951" s="328">
        <f>VLOOKUP(C7951,METADATA!$J$5:$Q$29,IF(E7951="HI",2,IF(E7951="LO",6,10))+IF(T7951=1,2,IF(D7951=7,1,(IF(WEEKDAY(B7951)=1,2,IF(WEEKDAY(B7951)=7,1,0))))))</f>
        <v>3</v>
      </c>
      <c r="V7951" s="328">
        <f>VLOOKUP(C7951,METADATA!$A$5:$H$29,IF(E7951="HI",2,IF(E7951="LO",6,10))+IF(T7951=1,2,IF(D7951=7,1,(IF(WEEKDAY(B7951)=1,2,IF(WEEKDAY(B7951)=7,1,0))))))</f>
        <v>3</v>
      </c>
    </row>
    <row r="7952" spans="2:22">
      <c r="B7952" s="318">
        <f t="shared" si="495"/>
        <v>46444</v>
      </c>
      <c r="C7952" s="312">
        <v>4</v>
      </c>
      <c r="D7952" s="368">
        <f>IFERROR((INDEX(METADATA!$T$2:$T$20,MATCH(B7952,METADATA!$S$2:$S$20,0))),0)</f>
        <v>0</v>
      </c>
      <c r="E7952" s="312" t="str">
        <f t="shared" si="496"/>
        <v>LO</v>
      </c>
      <c r="F7952" s="369">
        <f>VLOOKUP(C7952,METADATA!$A$5:$H$29,IF(E7952="HI",2,IF(E7952="LO",6,10))+IF(D7952=1,2,IF(D7952=7,1,(IF(WEEKDAY(B7952)=1,2,IF(WEEKDAY(B7952)=7,1,0))))))</f>
        <v>3</v>
      </c>
      <c r="G7952" s="369">
        <f>VLOOKUP(C7952,METADATA!$J$5:$Q$29,IF(E7952="HI",2,IF(E7952="LO",6,10))+IF(D7952=1,2,IF(D7952=7,1,(IF(WEEKDAY(B7952)=1,2,IF(WEEKDAY(B7952)=7,1,0))))))</f>
        <v>3</v>
      </c>
      <c r="H7952" s="370">
        <v>12169.47509765625</v>
      </c>
      <c r="I7952" s="370">
        <v>9284.4749145507813</v>
      </c>
      <c r="M7952" s="371">
        <f t="shared" si="497"/>
        <v>15306.782764232277</v>
      </c>
      <c r="N7952" s="329">
        <f t="shared" si="498"/>
        <v>5633.6323852539063</v>
      </c>
      <c r="T7952" s="331">
        <v>0</v>
      </c>
      <c r="U7952" s="328">
        <f>VLOOKUP(C7952,METADATA!$J$5:$Q$29,IF(E7952="HI",2,IF(E7952="LO",6,10))+IF(T7952=1,2,IF(D7952=7,1,(IF(WEEKDAY(B7952)=1,2,IF(WEEKDAY(B7952)=7,1,0))))))</f>
        <v>3</v>
      </c>
      <c r="V7952" s="328">
        <f>VLOOKUP(C7952,METADATA!$A$5:$H$29,IF(E7952="HI",2,IF(E7952="LO",6,10))+IF(T7952=1,2,IF(D7952=7,1,(IF(WEEKDAY(B7952)=1,2,IF(WEEKDAY(B7952)=7,1,0))))))</f>
        <v>3</v>
      </c>
    </row>
    <row r="7953" spans="2:22">
      <c r="B7953" s="318">
        <f t="shared" si="495"/>
        <v>46444</v>
      </c>
      <c r="C7953" s="312">
        <v>5</v>
      </c>
      <c r="D7953" s="368">
        <f>IFERROR((INDEX(METADATA!$T$2:$T$20,MATCH(B7953,METADATA!$S$2:$S$20,0))),0)</f>
        <v>0</v>
      </c>
      <c r="E7953" s="312" t="str">
        <f t="shared" si="496"/>
        <v>LO</v>
      </c>
      <c r="F7953" s="369">
        <f>VLOOKUP(C7953,METADATA!$A$5:$H$29,IF(E7953="HI",2,IF(E7953="LO",6,10))+IF(D7953=1,2,IF(D7953=7,1,(IF(WEEKDAY(B7953)=1,2,IF(WEEKDAY(B7953)=7,1,0))))))</f>
        <v>3</v>
      </c>
      <c r="G7953" s="369">
        <f>VLOOKUP(C7953,METADATA!$J$5:$Q$29,IF(E7953="HI",2,IF(E7953="LO",6,10))+IF(D7953=1,2,IF(D7953=7,1,(IF(WEEKDAY(B7953)=1,2,IF(WEEKDAY(B7953)=7,1,0))))))</f>
        <v>3</v>
      </c>
      <c r="H7953" s="370">
        <v>12310.950134277344</v>
      </c>
      <c r="I7953" s="370">
        <v>9380.6499633789063</v>
      </c>
      <c r="M7953" s="371">
        <f t="shared" si="497"/>
        <v>15477.599521376176</v>
      </c>
      <c r="N7953" s="329">
        <f t="shared" si="498"/>
        <v>5687.3649230957035</v>
      </c>
      <c r="T7953" s="331">
        <v>0</v>
      </c>
      <c r="U7953" s="328">
        <f>VLOOKUP(C7953,METADATA!$J$5:$Q$29,IF(E7953="HI",2,IF(E7953="LO",6,10))+IF(T7953=1,2,IF(D7953=7,1,(IF(WEEKDAY(B7953)=1,2,IF(WEEKDAY(B7953)=7,1,0))))))</f>
        <v>3</v>
      </c>
      <c r="V7953" s="328">
        <f>VLOOKUP(C7953,METADATA!$A$5:$H$29,IF(E7953="HI",2,IF(E7953="LO",6,10))+IF(T7953=1,2,IF(D7953=7,1,(IF(WEEKDAY(B7953)=1,2,IF(WEEKDAY(B7953)=7,1,0))))))</f>
        <v>3</v>
      </c>
    </row>
    <row r="7954" spans="2:22">
      <c r="B7954" s="318">
        <f t="shared" si="495"/>
        <v>46444</v>
      </c>
      <c r="C7954" s="312">
        <v>6</v>
      </c>
      <c r="D7954" s="368">
        <f>IFERROR((INDEX(METADATA!$T$2:$T$20,MATCH(B7954,METADATA!$S$2:$S$20,0))),0)</f>
        <v>0</v>
      </c>
      <c r="E7954" s="312" t="str">
        <f t="shared" si="496"/>
        <v>LO</v>
      </c>
      <c r="F7954" s="369">
        <f>VLOOKUP(C7954,METADATA!$A$5:$H$29,IF(E7954="HI",2,IF(E7954="LO",6,10))+IF(D7954=1,2,IF(D7954=7,1,(IF(WEEKDAY(B7954)=1,2,IF(WEEKDAY(B7954)=7,1,0))))))</f>
        <v>2</v>
      </c>
      <c r="G7954" s="369">
        <f>VLOOKUP(C7954,METADATA!$J$5:$Q$29,IF(E7954="HI",2,IF(E7954="LO",6,10))+IF(D7954=1,2,IF(D7954=7,1,(IF(WEEKDAY(B7954)=1,2,IF(WEEKDAY(B7954)=7,1,0))))))</f>
        <v>2</v>
      </c>
      <c r="H7954" s="370">
        <v>12166.049865722656</v>
      </c>
      <c r="I7954" s="370">
        <v>9254.0249633789063</v>
      </c>
      <c r="M7954" s="371">
        <f t="shared" si="497"/>
        <v>15285.605887830885</v>
      </c>
      <c r="N7954" s="329">
        <f t="shared" si="498"/>
        <v>5604.2100036621096</v>
      </c>
      <c r="T7954" s="331">
        <v>0</v>
      </c>
      <c r="U7954" s="328">
        <f>VLOOKUP(C7954,METADATA!$J$5:$Q$29,IF(E7954="HI",2,IF(E7954="LO",6,10))+IF(T7954=1,2,IF(D7954=7,1,(IF(WEEKDAY(B7954)=1,2,IF(WEEKDAY(B7954)=7,1,0))))))</f>
        <v>2</v>
      </c>
      <c r="V7954" s="328">
        <f>VLOOKUP(C7954,METADATA!$A$5:$H$29,IF(E7954="HI",2,IF(E7954="LO",6,10))+IF(T7954=1,2,IF(D7954=7,1,(IF(WEEKDAY(B7954)=1,2,IF(WEEKDAY(B7954)=7,1,0))))))</f>
        <v>2</v>
      </c>
    </row>
    <row r="7955" spans="2:22">
      <c r="B7955" s="318">
        <f t="shared" si="495"/>
        <v>46444</v>
      </c>
      <c r="C7955" s="312">
        <v>7</v>
      </c>
      <c r="D7955" s="368">
        <f>IFERROR((INDEX(METADATA!$T$2:$T$20,MATCH(B7955,METADATA!$S$2:$S$20,0))),0)</f>
        <v>0</v>
      </c>
      <c r="E7955" s="312" t="str">
        <f t="shared" si="496"/>
        <v>LO</v>
      </c>
      <c r="F7955" s="369">
        <f>VLOOKUP(C7955,METADATA!$A$5:$H$29,IF(E7955="HI",2,IF(E7955="LO",6,10))+IF(D7955=1,2,IF(D7955=7,1,(IF(WEEKDAY(B7955)=1,2,IF(WEEKDAY(B7955)=7,1,0))))))</f>
        <v>1</v>
      </c>
      <c r="G7955" s="369">
        <f>VLOOKUP(C7955,METADATA!$J$5:$Q$29,IF(E7955="HI",2,IF(E7955="LO",6,10))+IF(D7955=1,2,IF(D7955=7,1,(IF(WEEKDAY(B7955)=1,2,IF(WEEKDAY(B7955)=7,1,0))))))</f>
        <v>1</v>
      </c>
      <c r="H7955" s="370">
        <v>12128.05029296875</v>
      </c>
      <c r="I7955" s="370">
        <v>9170.9000854492188</v>
      </c>
      <c r="M7955" s="371">
        <f t="shared" si="497"/>
        <v>15205.098233358174</v>
      </c>
      <c r="N7955" s="329">
        <f t="shared" si="498"/>
        <v>5532.4849975585939</v>
      </c>
      <c r="T7955" s="331">
        <v>0</v>
      </c>
      <c r="U7955" s="328">
        <f>VLOOKUP(C7955,METADATA!$J$5:$Q$29,IF(E7955="HI",2,IF(E7955="LO",6,10))+IF(T7955=1,2,IF(D7955=7,1,(IF(WEEKDAY(B7955)=1,2,IF(WEEKDAY(B7955)=7,1,0))))))</f>
        <v>1</v>
      </c>
      <c r="V7955" s="328">
        <f>VLOOKUP(C7955,METADATA!$A$5:$H$29,IF(E7955="HI",2,IF(E7955="LO",6,10))+IF(T7955=1,2,IF(D7955=7,1,(IF(WEEKDAY(B7955)=1,2,IF(WEEKDAY(B7955)=7,1,0))))))</f>
        <v>1</v>
      </c>
    </row>
    <row r="7956" spans="2:22">
      <c r="B7956" s="318">
        <f t="shared" si="495"/>
        <v>46444</v>
      </c>
      <c r="C7956" s="312">
        <v>8</v>
      </c>
      <c r="D7956" s="368">
        <f>IFERROR((INDEX(METADATA!$T$2:$T$20,MATCH(B7956,METADATA!$S$2:$S$20,0))),0)</f>
        <v>0</v>
      </c>
      <c r="E7956" s="312" t="str">
        <f t="shared" si="496"/>
        <v>LO</v>
      </c>
      <c r="F7956" s="369">
        <f>VLOOKUP(C7956,METADATA!$A$5:$H$29,IF(E7956="HI",2,IF(E7956="LO",6,10))+IF(D7956=1,2,IF(D7956=7,1,(IF(WEEKDAY(B7956)=1,2,IF(WEEKDAY(B7956)=7,1,0))))))</f>
        <v>1</v>
      </c>
      <c r="G7956" s="369">
        <f>VLOOKUP(C7956,METADATA!$J$5:$Q$29,IF(E7956="HI",2,IF(E7956="LO",6,10))+IF(D7956=1,2,IF(D7956=7,1,(IF(WEEKDAY(B7956)=1,2,IF(WEEKDAY(B7956)=7,1,0))))))</f>
        <v>1</v>
      </c>
      <c r="H7956" s="370">
        <v>12024.550048828125</v>
      </c>
      <c r="I7956" s="370">
        <v>9032.85009765625</v>
      </c>
      <c r="M7956" s="371">
        <f t="shared" si="497"/>
        <v>15039.354532808282</v>
      </c>
      <c r="N7956" s="329">
        <f t="shared" si="498"/>
        <v>5425.4850830078121</v>
      </c>
      <c r="T7956" s="331">
        <v>0</v>
      </c>
      <c r="U7956" s="328">
        <f>VLOOKUP(C7956,METADATA!$J$5:$Q$29,IF(E7956="HI",2,IF(E7956="LO",6,10))+IF(T7956=1,2,IF(D7956=7,1,(IF(WEEKDAY(B7956)=1,2,IF(WEEKDAY(B7956)=7,1,0))))))</f>
        <v>1</v>
      </c>
      <c r="V7956" s="328">
        <f>VLOOKUP(C7956,METADATA!$A$5:$H$29,IF(E7956="HI",2,IF(E7956="LO",6,10))+IF(T7956=1,2,IF(D7956=7,1,(IF(WEEKDAY(B7956)=1,2,IF(WEEKDAY(B7956)=7,1,0))))))</f>
        <v>1</v>
      </c>
    </row>
    <row r="7957" spans="2:22">
      <c r="B7957" s="318">
        <f t="shared" si="495"/>
        <v>46444</v>
      </c>
      <c r="C7957" s="312">
        <v>9</v>
      </c>
      <c r="D7957" s="368">
        <f>IFERROR((INDEX(METADATA!$T$2:$T$20,MATCH(B7957,METADATA!$S$2:$S$20,0))),0)</f>
        <v>0</v>
      </c>
      <c r="E7957" s="312" t="str">
        <f t="shared" si="496"/>
        <v>LO</v>
      </c>
      <c r="F7957" s="369">
        <f>VLOOKUP(C7957,METADATA!$A$5:$H$29,IF(E7957="HI",2,IF(E7957="LO",6,10))+IF(D7957=1,2,IF(D7957=7,1,(IF(WEEKDAY(B7957)=1,2,IF(WEEKDAY(B7957)=7,1,0))))))</f>
        <v>2</v>
      </c>
      <c r="G7957" s="369">
        <f>VLOOKUP(C7957,METADATA!$J$5:$Q$29,IF(E7957="HI",2,IF(E7957="LO",6,10))+IF(D7957=1,2,IF(D7957=7,1,(IF(WEEKDAY(B7957)=1,2,IF(WEEKDAY(B7957)=7,1,0))))))</f>
        <v>2</v>
      </c>
      <c r="H7957" s="370">
        <v>11998.275451660156</v>
      </c>
      <c r="I7957" s="370">
        <v>8885.7748413085938</v>
      </c>
      <c r="M7957" s="371">
        <f t="shared" si="497"/>
        <v>14930.358614056913</v>
      </c>
      <c r="N7957" s="329">
        <f t="shared" si="498"/>
        <v>5286.2922058105469</v>
      </c>
      <c r="T7957" s="331">
        <v>0</v>
      </c>
      <c r="U7957" s="328">
        <f>VLOOKUP(C7957,METADATA!$J$5:$Q$29,IF(E7957="HI",2,IF(E7957="LO",6,10))+IF(T7957=1,2,IF(D7957=7,1,(IF(WEEKDAY(B7957)=1,2,IF(WEEKDAY(B7957)=7,1,0))))))</f>
        <v>2</v>
      </c>
      <c r="V7957" s="328">
        <f>VLOOKUP(C7957,METADATA!$A$5:$H$29,IF(E7957="HI",2,IF(E7957="LO",6,10))+IF(T7957=1,2,IF(D7957=7,1,(IF(WEEKDAY(B7957)=1,2,IF(WEEKDAY(B7957)=7,1,0))))))</f>
        <v>2</v>
      </c>
    </row>
    <row r="7958" spans="2:22">
      <c r="B7958" s="318">
        <f t="shared" si="495"/>
        <v>46444</v>
      </c>
      <c r="C7958" s="312">
        <v>10</v>
      </c>
      <c r="D7958" s="368">
        <f>IFERROR((INDEX(METADATA!$T$2:$T$20,MATCH(B7958,METADATA!$S$2:$S$20,0))),0)</f>
        <v>0</v>
      </c>
      <c r="E7958" s="312" t="str">
        <f t="shared" si="496"/>
        <v>LO</v>
      </c>
      <c r="F7958" s="369">
        <f>VLOOKUP(C7958,METADATA!$A$5:$H$29,IF(E7958="HI",2,IF(E7958="LO",6,10))+IF(D7958=1,2,IF(D7958=7,1,(IF(WEEKDAY(B7958)=1,2,IF(WEEKDAY(B7958)=7,1,0))))))</f>
        <v>2</v>
      </c>
      <c r="G7958" s="369">
        <f>VLOOKUP(C7958,METADATA!$J$5:$Q$29,IF(E7958="HI",2,IF(E7958="LO",6,10))+IF(D7958=1,2,IF(D7958=7,1,(IF(WEEKDAY(B7958)=1,2,IF(WEEKDAY(B7958)=7,1,0))))))</f>
        <v>2</v>
      </c>
      <c r="H7958" s="370">
        <v>12091.300170898438</v>
      </c>
      <c r="I7958" s="370">
        <v>8867.3751220703125</v>
      </c>
      <c r="M7958" s="371">
        <f t="shared" si="497"/>
        <v>14994.328307005953</v>
      </c>
      <c r="N7958" s="329">
        <f t="shared" si="498"/>
        <v>5239.9850708007816</v>
      </c>
      <c r="T7958" s="331">
        <v>0</v>
      </c>
      <c r="U7958" s="328">
        <f>VLOOKUP(C7958,METADATA!$J$5:$Q$29,IF(E7958="HI",2,IF(E7958="LO",6,10))+IF(T7958=1,2,IF(D7958=7,1,(IF(WEEKDAY(B7958)=1,2,IF(WEEKDAY(B7958)=7,1,0))))))</f>
        <v>2</v>
      </c>
      <c r="V7958" s="328">
        <f>VLOOKUP(C7958,METADATA!$A$5:$H$29,IF(E7958="HI",2,IF(E7958="LO",6,10))+IF(T7958=1,2,IF(D7958=7,1,(IF(WEEKDAY(B7958)=1,2,IF(WEEKDAY(B7958)=7,1,0))))))</f>
        <v>2</v>
      </c>
    </row>
    <row r="7959" spans="2:22">
      <c r="B7959" s="318">
        <f t="shared" si="495"/>
        <v>46444</v>
      </c>
      <c r="C7959" s="312">
        <v>11</v>
      </c>
      <c r="D7959" s="368">
        <f>IFERROR((INDEX(METADATA!$T$2:$T$20,MATCH(B7959,METADATA!$S$2:$S$20,0))),0)</f>
        <v>0</v>
      </c>
      <c r="E7959" s="312" t="str">
        <f t="shared" si="496"/>
        <v>LO</v>
      </c>
      <c r="F7959" s="369">
        <f>VLOOKUP(C7959,METADATA!$A$5:$H$29,IF(E7959="HI",2,IF(E7959="LO",6,10))+IF(D7959=1,2,IF(D7959=7,1,(IF(WEEKDAY(B7959)=1,2,IF(WEEKDAY(B7959)=7,1,0))))))</f>
        <v>2</v>
      </c>
      <c r="G7959" s="369">
        <f>VLOOKUP(C7959,METADATA!$J$5:$Q$29,IF(E7959="HI",2,IF(E7959="LO",6,10))+IF(D7959=1,2,IF(D7959=7,1,(IF(WEEKDAY(B7959)=1,2,IF(WEEKDAY(B7959)=7,1,0))))))</f>
        <v>2</v>
      </c>
      <c r="H7959" s="370">
        <v>12080.700134277344</v>
      </c>
      <c r="I7959" s="370">
        <v>8878.5499877929688</v>
      </c>
      <c r="M7959" s="371">
        <f t="shared" si="497"/>
        <v>14992.39692711166</v>
      </c>
      <c r="N7959" s="329">
        <f t="shared" si="498"/>
        <v>5254.3399475097658</v>
      </c>
      <c r="T7959" s="331">
        <v>0</v>
      </c>
      <c r="U7959" s="328">
        <f>VLOOKUP(C7959,METADATA!$J$5:$Q$29,IF(E7959="HI",2,IF(E7959="LO",6,10))+IF(T7959=1,2,IF(D7959=7,1,(IF(WEEKDAY(B7959)=1,2,IF(WEEKDAY(B7959)=7,1,0))))))</f>
        <v>2</v>
      </c>
      <c r="V7959" s="328">
        <f>VLOOKUP(C7959,METADATA!$A$5:$H$29,IF(E7959="HI",2,IF(E7959="LO",6,10))+IF(T7959=1,2,IF(D7959=7,1,(IF(WEEKDAY(B7959)=1,2,IF(WEEKDAY(B7959)=7,1,0))))))</f>
        <v>2</v>
      </c>
    </row>
    <row r="7960" spans="2:22">
      <c r="B7960" s="318">
        <f t="shared" si="495"/>
        <v>46444</v>
      </c>
      <c r="C7960" s="312">
        <v>12</v>
      </c>
      <c r="D7960" s="368">
        <f>IFERROR((INDEX(METADATA!$T$2:$T$20,MATCH(B7960,METADATA!$S$2:$S$20,0))),0)</f>
        <v>0</v>
      </c>
      <c r="E7960" s="312" t="str">
        <f t="shared" si="496"/>
        <v>LO</v>
      </c>
      <c r="F7960" s="369">
        <f>VLOOKUP(C7960,METADATA!$A$5:$H$29,IF(E7960="HI",2,IF(E7960="LO",6,10))+IF(D7960=1,2,IF(D7960=7,1,(IF(WEEKDAY(B7960)=1,2,IF(WEEKDAY(B7960)=7,1,0))))))</f>
        <v>2</v>
      </c>
      <c r="G7960" s="369">
        <f>VLOOKUP(C7960,METADATA!$J$5:$Q$29,IF(E7960="HI",2,IF(E7960="LO",6,10))+IF(D7960=1,2,IF(D7960=7,1,(IF(WEEKDAY(B7960)=1,2,IF(WEEKDAY(B7960)=7,1,0))))))</f>
        <v>2</v>
      </c>
      <c r="H7960" s="370">
        <v>11936.424926757813</v>
      </c>
      <c r="I7960" s="370">
        <v>8858.074951171875</v>
      </c>
      <c r="M7960" s="371">
        <f t="shared" si="497"/>
        <v>14864.176124922089</v>
      </c>
      <c r="N7960" s="329">
        <f t="shared" si="498"/>
        <v>5277.1474731445314</v>
      </c>
      <c r="T7960" s="331">
        <v>0</v>
      </c>
      <c r="U7960" s="328">
        <f>VLOOKUP(C7960,METADATA!$J$5:$Q$29,IF(E7960="HI",2,IF(E7960="LO",6,10))+IF(T7960=1,2,IF(D7960=7,1,(IF(WEEKDAY(B7960)=1,2,IF(WEEKDAY(B7960)=7,1,0))))))</f>
        <v>2</v>
      </c>
      <c r="V7960" s="328">
        <f>VLOOKUP(C7960,METADATA!$A$5:$H$29,IF(E7960="HI",2,IF(E7960="LO",6,10))+IF(T7960=1,2,IF(D7960=7,1,(IF(WEEKDAY(B7960)=1,2,IF(WEEKDAY(B7960)=7,1,0))))))</f>
        <v>2</v>
      </c>
    </row>
    <row r="7961" spans="2:22">
      <c r="B7961" s="318">
        <f t="shared" si="495"/>
        <v>46444</v>
      </c>
      <c r="C7961" s="312">
        <v>13</v>
      </c>
      <c r="D7961" s="368">
        <f>IFERROR((INDEX(METADATA!$T$2:$T$20,MATCH(B7961,METADATA!$S$2:$S$20,0))),0)</f>
        <v>0</v>
      </c>
      <c r="E7961" s="312" t="str">
        <f t="shared" si="496"/>
        <v>LO</v>
      </c>
      <c r="F7961" s="369">
        <f>VLOOKUP(C7961,METADATA!$A$5:$H$29,IF(E7961="HI",2,IF(E7961="LO",6,10))+IF(D7961=1,2,IF(D7961=7,1,(IF(WEEKDAY(B7961)=1,2,IF(WEEKDAY(B7961)=7,1,0))))))</f>
        <v>2</v>
      </c>
      <c r="G7961" s="369">
        <f>VLOOKUP(C7961,METADATA!$J$5:$Q$29,IF(E7961="HI",2,IF(E7961="LO",6,10))+IF(D7961=1,2,IF(D7961=7,1,(IF(WEEKDAY(B7961)=1,2,IF(WEEKDAY(B7961)=7,1,0))))))</f>
        <v>2</v>
      </c>
      <c r="H7961" s="370">
        <v>11903.225158691406</v>
      </c>
      <c r="I7961" s="370">
        <v>8854.3998413085938</v>
      </c>
      <c r="M7961" s="371">
        <f t="shared" si="497"/>
        <v>14835.335039299574</v>
      </c>
      <c r="N7961" s="329">
        <f t="shared" si="498"/>
        <v>5283.4322937011721</v>
      </c>
      <c r="T7961" s="331">
        <v>0</v>
      </c>
      <c r="U7961" s="328">
        <f>VLOOKUP(C7961,METADATA!$J$5:$Q$29,IF(E7961="HI",2,IF(E7961="LO",6,10))+IF(T7961=1,2,IF(D7961=7,1,(IF(WEEKDAY(B7961)=1,2,IF(WEEKDAY(B7961)=7,1,0))))))</f>
        <v>2</v>
      </c>
      <c r="V7961" s="328">
        <f>VLOOKUP(C7961,METADATA!$A$5:$H$29,IF(E7961="HI",2,IF(E7961="LO",6,10))+IF(T7961=1,2,IF(D7961=7,1,(IF(WEEKDAY(B7961)=1,2,IF(WEEKDAY(B7961)=7,1,0))))))</f>
        <v>2</v>
      </c>
    </row>
    <row r="7962" spans="2:22">
      <c r="B7962" s="318">
        <f t="shared" si="495"/>
        <v>46444</v>
      </c>
      <c r="C7962" s="312">
        <v>14</v>
      </c>
      <c r="D7962" s="368">
        <f>IFERROR((INDEX(METADATA!$T$2:$T$20,MATCH(B7962,METADATA!$S$2:$S$20,0))),0)</f>
        <v>0</v>
      </c>
      <c r="E7962" s="312" t="str">
        <f t="shared" si="496"/>
        <v>LO</v>
      </c>
      <c r="F7962" s="369">
        <f>VLOOKUP(C7962,METADATA!$A$5:$H$29,IF(E7962="HI",2,IF(E7962="LO",6,10))+IF(D7962=1,2,IF(D7962=7,1,(IF(WEEKDAY(B7962)=1,2,IF(WEEKDAY(B7962)=7,1,0))))))</f>
        <v>2</v>
      </c>
      <c r="G7962" s="369">
        <f>VLOOKUP(C7962,METADATA!$J$5:$Q$29,IF(E7962="HI",2,IF(E7962="LO",6,10))+IF(D7962=1,2,IF(D7962=7,1,(IF(WEEKDAY(B7962)=1,2,IF(WEEKDAY(B7962)=7,1,0))))))</f>
        <v>2</v>
      </c>
      <c r="H7962" s="370">
        <v>6485.9250183105469</v>
      </c>
      <c r="I7962" s="370">
        <v>6233.6849670410156</v>
      </c>
      <c r="M7962" s="371">
        <f t="shared" si="497"/>
        <v>8995.8908181157822</v>
      </c>
      <c r="N7962" s="329">
        <f t="shared" si="498"/>
        <v>4287.9074615478512</v>
      </c>
      <c r="T7962" s="331">
        <v>0</v>
      </c>
      <c r="U7962" s="328">
        <f>VLOOKUP(C7962,METADATA!$J$5:$Q$29,IF(E7962="HI",2,IF(E7962="LO",6,10))+IF(T7962=1,2,IF(D7962=7,1,(IF(WEEKDAY(B7962)=1,2,IF(WEEKDAY(B7962)=7,1,0))))))</f>
        <v>2</v>
      </c>
      <c r="V7962" s="328">
        <f>VLOOKUP(C7962,METADATA!$A$5:$H$29,IF(E7962="HI",2,IF(E7962="LO",6,10))+IF(T7962=1,2,IF(D7962=7,1,(IF(WEEKDAY(B7962)=1,2,IF(WEEKDAY(B7962)=7,1,0))))))</f>
        <v>2</v>
      </c>
    </row>
    <row r="7963" spans="2:22">
      <c r="B7963" s="318">
        <f t="shared" si="495"/>
        <v>46444</v>
      </c>
      <c r="C7963" s="312">
        <v>15</v>
      </c>
      <c r="D7963" s="368">
        <f>IFERROR((INDEX(METADATA!$T$2:$T$20,MATCH(B7963,METADATA!$S$2:$S$20,0))),0)</f>
        <v>0</v>
      </c>
      <c r="E7963" s="312" t="str">
        <f t="shared" si="496"/>
        <v>LO</v>
      </c>
      <c r="F7963" s="369">
        <f>VLOOKUP(C7963,METADATA!$A$5:$H$29,IF(E7963="HI",2,IF(E7963="LO",6,10))+IF(D7963=1,2,IF(D7963=7,1,(IF(WEEKDAY(B7963)=1,2,IF(WEEKDAY(B7963)=7,1,0))))))</f>
        <v>2</v>
      </c>
      <c r="G7963" s="369">
        <f>VLOOKUP(C7963,METADATA!$J$5:$Q$29,IF(E7963="HI",2,IF(E7963="LO",6,10))+IF(D7963=1,2,IF(D7963=7,1,(IF(WEEKDAY(B7963)=1,2,IF(WEEKDAY(B7963)=7,1,0))))))</f>
        <v>2</v>
      </c>
      <c r="H7963" s="370">
        <v>7271.2399291992188</v>
      </c>
      <c r="I7963" s="370">
        <v>6680.1999816894531</v>
      </c>
      <c r="M7963" s="371">
        <f t="shared" si="497"/>
        <v>9874.0063754964649</v>
      </c>
      <c r="N7963" s="329">
        <f t="shared" si="498"/>
        <v>4498.8280029296875</v>
      </c>
      <c r="T7963" s="331">
        <v>0</v>
      </c>
      <c r="U7963" s="328">
        <f>VLOOKUP(C7963,METADATA!$J$5:$Q$29,IF(E7963="HI",2,IF(E7963="LO",6,10))+IF(T7963=1,2,IF(D7963=7,1,(IF(WEEKDAY(B7963)=1,2,IF(WEEKDAY(B7963)=7,1,0))))))</f>
        <v>2</v>
      </c>
      <c r="V7963" s="328">
        <f>VLOOKUP(C7963,METADATA!$A$5:$H$29,IF(E7963="HI",2,IF(E7963="LO",6,10))+IF(T7963=1,2,IF(D7963=7,1,(IF(WEEKDAY(B7963)=1,2,IF(WEEKDAY(B7963)=7,1,0))))))</f>
        <v>2</v>
      </c>
    </row>
    <row r="7964" spans="2:22">
      <c r="B7964" s="318">
        <f t="shared" ref="B7964:B8027" si="499">B7940+1</f>
        <v>46444</v>
      </c>
      <c r="C7964" s="312">
        <v>16</v>
      </c>
      <c r="D7964" s="368">
        <f>IFERROR((INDEX(METADATA!$T$2:$T$20,MATCH(B7964,METADATA!$S$2:$S$20,0))),0)</f>
        <v>0</v>
      </c>
      <c r="E7964" s="312" t="str">
        <f t="shared" si="496"/>
        <v>LO</v>
      </c>
      <c r="F7964" s="369">
        <f>VLOOKUP(C7964,METADATA!$A$5:$H$29,IF(E7964="HI",2,IF(E7964="LO",6,10))+IF(D7964=1,2,IF(D7964=7,1,(IF(WEEKDAY(B7964)=1,2,IF(WEEKDAY(B7964)=7,1,0))))))</f>
        <v>2</v>
      </c>
      <c r="G7964" s="369">
        <f>VLOOKUP(C7964,METADATA!$J$5:$Q$29,IF(E7964="HI",2,IF(E7964="LO",6,10))+IF(D7964=1,2,IF(D7964=7,1,(IF(WEEKDAY(B7964)=1,2,IF(WEEKDAY(B7964)=7,1,0))))))</f>
        <v>2</v>
      </c>
      <c r="H7964" s="370">
        <v>10682.660095214844</v>
      </c>
      <c r="I7964" s="370">
        <v>8273.9824829101563</v>
      </c>
      <c r="M7964" s="371">
        <f t="shared" si="497"/>
        <v>13512.143162259632</v>
      </c>
      <c r="N7964" s="329">
        <f t="shared" si="498"/>
        <v>5069.1844543457028</v>
      </c>
      <c r="T7964" s="331">
        <v>0</v>
      </c>
      <c r="U7964" s="328">
        <f>VLOOKUP(C7964,METADATA!$J$5:$Q$29,IF(E7964="HI",2,IF(E7964="LO",6,10))+IF(T7964=1,2,IF(D7964=7,1,(IF(WEEKDAY(B7964)=1,2,IF(WEEKDAY(B7964)=7,1,0))))))</f>
        <v>2</v>
      </c>
      <c r="V7964" s="328">
        <f>VLOOKUP(C7964,METADATA!$A$5:$H$29,IF(E7964="HI",2,IF(E7964="LO",6,10))+IF(T7964=1,2,IF(D7964=7,1,(IF(WEEKDAY(B7964)=1,2,IF(WEEKDAY(B7964)=7,1,0))))))</f>
        <v>2</v>
      </c>
    </row>
    <row r="7965" spans="2:22">
      <c r="B7965" s="318">
        <f t="shared" si="499"/>
        <v>46444</v>
      </c>
      <c r="C7965" s="312">
        <v>17</v>
      </c>
      <c r="D7965" s="368">
        <f>IFERROR((INDEX(METADATA!$T$2:$T$20,MATCH(B7965,METADATA!$S$2:$S$20,0))),0)</f>
        <v>0</v>
      </c>
      <c r="E7965" s="312" t="str">
        <f t="shared" si="496"/>
        <v>LO</v>
      </c>
      <c r="F7965" s="369">
        <f>VLOOKUP(C7965,METADATA!$A$5:$H$29,IF(E7965="HI",2,IF(E7965="LO",6,10))+IF(D7965=1,2,IF(D7965=7,1,(IF(WEEKDAY(B7965)=1,2,IF(WEEKDAY(B7965)=7,1,0))))))</f>
        <v>2</v>
      </c>
      <c r="G7965" s="369">
        <f>VLOOKUP(C7965,METADATA!$J$5:$Q$29,IF(E7965="HI",2,IF(E7965="LO",6,10))+IF(D7965=1,2,IF(D7965=7,1,(IF(WEEKDAY(B7965)=1,2,IF(WEEKDAY(B7965)=7,1,0))))))</f>
        <v>2</v>
      </c>
      <c r="H7965" s="370">
        <v>12103.325134277344</v>
      </c>
      <c r="I7965" s="370">
        <v>9287.2000122070313</v>
      </c>
      <c r="M7965" s="371">
        <f t="shared" si="497"/>
        <v>15255.902574832076</v>
      </c>
      <c r="N7965" s="329">
        <f t="shared" si="498"/>
        <v>5656.2024719238289</v>
      </c>
      <c r="T7965" s="331">
        <v>0</v>
      </c>
      <c r="U7965" s="328">
        <f>VLOOKUP(C7965,METADATA!$J$5:$Q$29,IF(E7965="HI",2,IF(E7965="LO",6,10))+IF(T7965=1,2,IF(D7965=7,1,(IF(WEEKDAY(B7965)=1,2,IF(WEEKDAY(B7965)=7,1,0))))))</f>
        <v>2</v>
      </c>
      <c r="V7965" s="328">
        <f>VLOOKUP(C7965,METADATA!$A$5:$H$29,IF(E7965="HI",2,IF(E7965="LO",6,10))+IF(T7965=1,2,IF(D7965=7,1,(IF(WEEKDAY(B7965)=1,2,IF(WEEKDAY(B7965)=7,1,0))))))</f>
        <v>2</v>
      </c>
    </row>
    <row r="7966" spans="2:22">
      <c r="B7966" s="318">
        <f t="shared" si="499"/>
        <v>46444</v>
      </c>
      <c r="C7966" s="312">
        <v>18</v>
      </c>
      <c r="D7966" s="368">
        <f>IFERROR((INDEX(METADATA!$T$2:$T$20,MATCH(B7966,METADATA!$S$2:$S$20,0))),0)</f>
        <v>0</v>
      </c>
      <c r="E7966" s="312" t="str">
        <f t="shared" si="496"/>
        <v>LO</v>
      </c>
      <c r="F7966" s="369">
        <f>VLOOKUP(C7966,METADATA!$A$5:$H$29,IF(E7966="HI",2,IF(E7966="LO",6,10))+IF(D7966=1,2,IF(D7966=7,1,(IF(WEEKDAY(B7966)=1,2,IF(WEEKDAY(B7966)=7,1,0))))))</f>
        <v>1</v>
      </c>
      <c r="G7966" s="369">
        <f>VLOOKUP(C7966,METADATA!$J$5:$Q$29,IF(E7966="HI",2,IF(E7966="LO",6,10))+IF(D7966=1,2,IF(D7966=7,1,(IF(WEEKDAY(B7966)=1,2,IF(WEEKDAY(B7966)=7,1,0))))))</f>
        <v>1</v>
      </c>
      <c r="H7966" s="370">
        <v>12014.974975585938</v>
      </c>
      <c r="I7966" s="370">
        <v>9164.4000244140625</v>
      </c>
      <c r="M7966" s="371">
        <f t="shared" si="497"/>
        <v>15111.116817477017</v>
      </c>
      <c r="N7966" s="329">
        <f t="shared" si="498"/>
        <v>5559.9075317382813</v>
      </c>
      <c r="T7966" s="331">
        <v>0</v>
      </c>
      <c r="U7966" s="328">
        <f>VLOOKUP(C7966,METADATA!$J$5:$Q$29,IF(E7966="HI",2,IF(E7966="LO",6,10))+IF(T7966=1,2,IF(D7966=7,1,(IF(WEEKDAY(B7966)=1,2,IF(WEEKDAY(B7966)=7,1,0))))))</f>
        <v>1</v>
      </c>
      <c r="V7966" s="328">
        <f>VLOOKUP(C7966,METADATA!$A$5:$H$29,IF(E7966="HI",2,IF(E7966="LO",6,10))+IF(T7966=1,2,IF(D7966=7,1,(IF(WEEKDAY(B7966)=1,2,IF(WEEKDAY(B7966)=7,1,0))))))</f>
        <v>1</v>
      </c>
    </row>
    <row r="7967" spans="2:22">
      <c r="B7967" s="318">
        <f t="shared" si="499"/>
        <v>46444</v>
      </c>
      <c r="C7967" s="312">
        <v>19</v>
      </c>
      <c r="D7967" s="368">
        <f>IFERROR((INDEX(METADATA!$T$2:$T$20,MATCH(B7967,METADATA!$S$2:$S$20,0))),0)</f>
        <v>0</v>
      </c>
      <c r="E7967" s="312" t="str">
        <f t="shared" si="496"/>
        <v>LO</v>
      </c>
      <c r="F7967" s="369">
        <f>VLOOKUP(C7967,METADATA!$A$5:$H$29,IF(E7967="HI",2,IF(E7967="LO",6,10))+IF(D7967=1,2,IF(D7967=7,1,(IF(WEEKDAY(B7967)=1,2,IF(WEEKDAY(B7967)=7,1,0))))))</f>
        <v>1</v>
      </c>
      <c r="G7967" s="369">
        <f>VLOOKUP(C7967,METADATA!$J$5:$Q$29,IF(E7967="HI",2,IF(E7967="LO",6,10))+IF(D7967=1,2,IF(D7967=7,1,(IF(WEEKDAY(B7967)=1,2,IF(WEEKDAY(B7967)=7,1,0))))))</f>
        <v>1</v>
      </c>
      <c r="H7967" s="370">
        <v>12085.899841308594</v>
      </c>
      <c r="I7967" s="370">
        <v>9138.2001953125</v>
      </c>
      <c r="M7967" s="371">
        <f t="shared" si="497"/>
        <v>15151.754940723946</v>
      </c>
      <c r="N7967" s="329">
        <f t="shared" si="498"/>
        <v>5512.4302429199215</v>
      </c>
      <c r="T7967" s="331">
        <v>0</v>
      </c>
      <c r="U7967" s="328">
        <f>VLOOKUP(C7967,METADATA!$J$5:$Q$29,IF(E7967="HI",2,IF(E7967="LO",6,10))+IF(T7967=1,2,IF(D7967=7,1,(IF(WEEKDAY(B7967)=1,2,IF(WEEKDAY(B7967)=7,1,0))))))</f>
        <v>1</v>
      </c>
      <c r="V7967" s="328">
        <f>VLOOKUP(C7967,METADATA!$A$5:$H$29,IF(E7967="HI",2,IF(E7967="LO",6,10))+IF(T7967=1,2,IF(D7967=7,1,(IF(WEEKDAY(B7967)=1,2,IF(WEEKDAY(B7967)=7,1,0))))))</f>
        <v>1</v>
      </c>
    </row>
    <row r="7968" spans="2:22">
      <c r="B7968" s="318">
        <f t="shared" si="499"/>
        <v>46444</v>
      </c>
      <c r="C7968" s="312">
        <v>20</v>
      </c>
      <c r="D7968" s="368">
        <f>IFERROR((INDEX(METADATA!$T$2:$T$20,MATCH(B7968,METADATA!$S$2:$S$20,0))),0)</f>
        <v>0</v>
      </c>
      <c r="E7968" s="312" t="str">
        <f t="shared" si="496"/>
        <v>LO</v>
      </c>
      <c r="F7968" s="369">
        <f>VLOOKUP(C7968,METADATA!$A$5:$H$29,IF(E7968="HI",2,IF(E7968="LO",6,10))+IF(D7968=1,2,IF(D7968=7,1,(IF(WEEKDAY(B7968)=1,2,IF(WEEKDAY(B7968)=7,1,0))))))</f>
        <v>1</v>
      </c>
      <c r="G7968" s="369">
        <f>VLOOKUP(C7968,METADATA!$J$5:$Q$29,IF(E7968="HI",2,IF(E7968="LO",6,10))+IF(D7968=1,2,IF(D7968=7,1,(IF(WEEKDAY(B7968)=1,2,IF(WEEKDAY(B7968)=7,1,0))))))</f>
        <v>1</v>
      </c>
      <c r="H7968" s="370">
        <v>12081.300170898438</v>
      </c>
      <c r="I7968" s="370">
        <v>9253.4998779296875</v>
      </c>
      <c r="M7968" s="371">
        <f t="shared" si="497"/>
        <v>15217.91949677075</v>
      </c>
      <c r="N7968" s="329">
        <f t="shared" si="498"/>
        <v>5629.1098266601566</v>
      </c>
      <c r="T7968" s="331">
        <v>0</v>
      </c>
      <c r="U7968" s="328">
        <f>VLOOKUP(C7968,METADATA!$J$5:$Q$29,IF(E7968="HI",2,IF(E7968="LO",6,10))+IF(T7968=1,2,IF(D7968=7,1,(IF(WEEKDAY(B7968)=1,2,IF(WEEKDAY(B7968)=7,1,0))))))</f>
        <v>1</v>
      </c>
      <c r="V7968" s="328">
        <f>VLOOKUP(C7968,METADATA!$A$5:$H$29,IF(E7968="HI",2,IF(E7968="LO",6,10))+IF(T7968=1,2,IF(D7968=7,1,(IF(WEEKDAY(B7968)=1,2,IF(WEEKDAY(B7968)=7,1,0))))))</f>
        <v>1</v>
      </c>
    </row>
    <row r="7969" spans="2:22">
      <c r="B7969" s="318">
        <f t="shared" si="499"/>
        <v>46444</v>
      </c>
      <c r="C7969" s="312">
        <v>21</v>
      </c>
      <c r="D7969" s="368">
        <f>IFERROR((INDEX(METADATA!$T$2:$T$20,MATCH(B7969,METADATA!$S$2:$S$20,0))),0)</f>
        <v>0</v>
      </c>
      <c r="E7969" s="312" t="str">
        <f t="shared" si="496"/>
        <v>LO</v>
      </c>
      <c r="F7969" s="369">
        <f>VLOOKUP(C7969,METADATA!$A$5:$H$29,IF(E7969="HI",2,IF(E7969="LO",6,10))+IF(D7969=1,2,IF(D7969=7,1,(IF(WEEKDAY(B7969)=1,2,IF(WEEKDAY(B7969)=7,1,0))))))</f>
        <v>2</v>
      </c>
      <c r="G7969" s="369">
        <f>VLOOKUP(C7969,METADATA!$J$5:$Q$29,IF(E7969="HI",2,IF(E7969="LO",6,10))+IF(D7969=1,2,IF(D7969=7,1,(IF(WEEKDAY(B7969)=1,2,IF(WEEKDAY(B7969)=7,1,0))))))</f>
        <v>2</v>
      </c>
      <c r="H7969" s="370">
        <v>10485.624816894531</v>
      </c>
      <c r="I7969" s="370">
        <v>8605.7998657226563</v>
      </c>
      <c r="M7969" s="371">
        <f t="shared" si="497"/>
        <v>13564.959238034833</v>
      </c>
      <c r="N7969" s="329">
        <f t="shared" si="498"/>
        <v>5460.1124206542972</v>
      </c>
      <c r="T7969" s="331">
        <v>0</v>
      </c>
      <c r="U7969" s="328">
        <f>VLOOKUP(C7969,METADATA!$J$5:$Q$29,IF(E7969="HI",2,IF(E7969="LO",6,10))+IF(T7969=1,2,IF(D7969=7,1,(IF(WEEKDAY(B7969)=1,2,IF(WEEKDAY(B7969)=7,1,0))))))</f>
        <v>2</v>
      </c>
      <c r="V7969" s="328">
        <f>VLOOKUP(C7969,METADATA!$A$5:$H$29,IF(E7969="HI",2,IF(E7969="LO",6,10))+IF(T7969=1,2,IF(D7969=7,1,(IF(WEEKDAY(B7969)=1,2,IF(WEEKDAY(B7969)=7,1,0))))))</f>
        <v>2</v>
      </c>
    </row>
    <row r="7970" spans="2:22">
      <c r="B7970" s="318">
        <f t="shared" si="499"/>
        <v>46444</v>
      </c>
      <c r="C7970" s="312">
        <v>22</v>
      </c>
      <c r="D7970" s="368">
        <f>IFERROR((INDEX(METADATA!$T$2:$T$20,MATCH(B7970,METADATA!$S$2:$S$20,0))),0)</f>
        <v>0</v>
      </c>
      <c r="E7970" s="312" t="str">
        <f t="shared" si="496"/>
        <v>LO</v>
      </c>
      <c r="F7970" s="369">
        <f>VLOOKUP(C7970,METADATA!$A$5:$H$29,IF(E7970="HI",2,IF(E7970="LO",6,10))+IF(D7970=1,2,IF(D7970=7,1,(IF(WEEKDAY(B7970)=1,2,IF(WEEKDAY(B7970)=7,1,0))))))</f>
        <v>3</v>
      </c>
      <c r="G7970" s="369">
        <f>VLOOKUP(C7970,METADATA!$J$5:$Q$29,IF(E7970="HI",2,IF(E7970="LO",6,10))+IF(D7970=1,2,IF(D7970=7,1,(IF(WEEKDAY(B7970)=1,2,IF(WEEKDAY(B7970)=7,1,0))))))</f>
        <v>3</v>
      </c>
      <c r="H7970" s="370">
        <v>11575.349975585938</v>
      </c>
      <c r="I7970" s="370">
        <v>9155.7999267578125</v>
      </c>
      <c r="M7970" s="371">
        <f t="shared" si="497"/>
        <v>14758.638126741767</v>
      </c>
      <c r="N7970" s="329">
        <f t="shared" si="498"/>
        <v>5683.194934082032</v>
      </c>
      <c r="T7970" s="331">
        <v>0</v>
      </c>
      <c r="U7970" s="328">
        <f>VLOOKUP(C7970,METADATA!$J$5:$Q$29,IF(E7970="HI",2,IF(E7970="LO",6,10))+IF(T7970=1,2,IF(D7970=7,1,(IF(WEEKDAY(B7970)=1,2,IF(WEEKDAY(B7970)=7,1,0))))))</f>
        <v>3</v>
      </c>
      <c r="V7970" s="328">
        <f>VLOOKUP(C7970,METADATA!$A$5:$H$29,IF(E7970="HI",2,IF(E7970="LO",6,10))+IF(T7970=1,2,IF(D7970=7,1,(IF(WEEKDAY(B7970)=1,2,IF(WEEKDAY(B7970)=7,1,0))))))</f>
        <v>3</v>
      </c>
    </row>
    <row r="7971" spans="2:22">
      <c r="B7971" s="318">
        <f t="shared" si="499"/>
        <v>46444</v>
      </c>
      <c r="C7971" s="312">
        <v>23</v>
      </c>
      <c r="D7971" s="368">
        <f>IFERROR((INDEX(METADATA!$T$2:$T$20,MATCH(B7971,METADATA!$S$2:$S$20,0))),0)</f>
        <v>0</v>
      </c>
      <c r="E7971" s="312" t="str">
        <f t="shared" si="496"/>
        <v>LO</v>
      </c>
      <c r="F7971" s="369">
        <f>VLOOKUP(C7971,METADATA!$A$5:$H$29,IF(E7971="HI",2,IF(E7971="LO",6,10))+IF(D7971=1,2,IF(D7971=7,1,(IF(WEEKDAY(B7971)=1,2,IF(WEEKDAY(B7971)=7,1,0))))))</f>
        <v>3</v>
      </c>
      <c r="G7971" s="369">
        <f>VLOOKUP(C7971,METADATA!$J$5:$Q$29,IF(E7971="HI",2,IF(E7971="LO",6,10))+IF(D7971=1,2,IF(D7971=7,1,(IF(WEEKDAY(B7971)=1,2,IF(WEEKDAY(B7971)=7,1,0))))))</f>
        <v>3</v>
      </c>
      <c r="H7971" s="370">
        <v>11976.574829101563</v>
      </c>
      <c r="I7971" s="370">
        <v>9237.1249389648438</v>
      </c>
      <c r="M7971" s="371">
        <f t="shared" si="497"/>
        <v>15124.907331124889</v>
      </c>
      <c r="N7971" s="329">
        <f t="shared" si="498"/>
        <v>5644.1524902343754</v>
      </c>
      <c r="T7971" s="331">
        <v>0</v>
      </c>
      <c r="U7971" s="328">
        <f>VLOOKUP(C7971,METADATA!$J$5:$Q$29,IF(E7971="HI",2,IF(E7971="LO",6,10))+IF(T7971=1,2,IF(D7971=7,1,(IF(WEEKDAY(B7971)=1,2,IF(WEEKDAY(B7971)=7,1,0))))))</f>
        <v>3</v>
      </c>
      <c r="V7971" s="328">
        <f>VLOOKUP(C7971,METADATA!$A$5:$H$29,IF(E7971="HI",2,IF(E7971="LO",6,10))+IF(T7971=1,2,IF(D7971=7,1,(IF(WEEKDAY(B7971)=1,2,IF(WEEKDAY(B7971)=7,1,0))))))</f>
        <v>3</v>
      </c>
    </row>
    <row r="7972" spans="2:22">
      <c r="B7972" s="318">
        <f t="shared" si="499"/>
        <v>46445</v>
      </c>
      <c r="C7972" s="312">
        <v>0</v>
      </c>
      <c r="D7972" s="368">
        <f>IFERROR((INDEX(METADATA!$T$2:$T$20,MATCH(B7972,METADATA!$S$2:$S$20,0))),0)</f>
        <v>0</v>
      </c>
      <c r="E7972" s="312" t="str">
        <f t="shared" si="496"/>
        <v>LO</v>
      </c>
      <c r="F7972" s="369">
        <f>VLOOKUP(C7972,METADATA!$A$5:$H$29,IF(E7972="HI",2,IF(E7972="LO",6,10))+IF(D7972=1,2,IF(D7972=7,1,(IF(WEEKDAY(B7972)=1,2,IF(WEEKDAY(B7972)=7,1,0))))))</f>
        <v>3</v>
      </c>
      <c r="G7972" s="369">
        <f>VLOOKUP(C7972,METADATA!$J$5:$Q$29,IF(E7972="HI",2,IF(E7972="LO",6,10))+IF(D7972=1,2,IF(D7972=7,1,(IF(WEEKDAY(B7972)=1,2,IF(WEEKDAY(B7972)=7,1,0))))))</f>
        <v>3</v>
      </c>
      <c r="H7972" s="370">
        <v>11610.624938964844</v>
      </c>
      <c r="I7972" s="370">
        <v>8809.4750366210938</v>
      </c>
      <c r="M7972" s="371">
        <f t="shared" si="497"/>
        <v>14574.411202314919</v>
      </c>
      <c r="N7972" s="329">
        <f t="shared" si="498"/>
        <v>5326.2875549316414</v>
      </c>
      <c r="T7972" s="331">
        <v>0</v>
      </c>
      <c r="U7972" s="328">
        <f>VLOOKUP(C7972,METADATA!$J$5:$Q$29,IF(E7972="HI",2,IF(E7972="LO",6,10))+IF(T7972=1,2,IF(D7972=7,1,(IF(WEEKDAY(B7972)=1,2,IF(WEEKDAY(B7972)=7,1,0))))))</f>
        <v>3</v>
      </c>
      <c r="V7972" s="328">
        <f>VLOOKUP(C7972,METADATA!$A$5:$H$29,IF(E7972="HI",2,IF(E7972="LO",6,10))+IF(T7972=1,2,IF(D7972=7,1,(IF(WEEKDAY(B7972)=1,2,IF(WEEKDAY(B7972)=7,1,0))))))</f>
        <v>3</v>
      </c>
    </row>
    <row r="7973" spans="2:22">
      <c r="B7973" s="318">
        <f t="shared" si="499"/>
        <v>46445</v>
      </c>
      <c r="C7973" s="312">
        <v>1</v>
      </c>
      <c r="D7973" s="368">
        <f>IFERROR((INDEX(METADATA!$T$2:$T$20,MATCH(B7973,METADATA!$S$2:$S$20,0))),0)</f>
        <v>0</v>
      </c>
      <c r="E7973" s="312" t="str">
        <f t="shared" si="496"/>
        <v>LO</v>
      </c>
      <c r="F7973" s="369">
        <f>VLOOKUP(C7973,METADATA!$A$5:$H$29,IF(E7973="HI",2,IF(E7973="LO",6,10))+IF(D7973=1,2,IF(D7973=7,1,(IF(WEEKDAY(B7973)=1,2,IF(WEEKDAY(B7973)=7,1,0))))))</f>
        <v>3</v>
      </c>
      <c r="G7973" s="369">
        <f>VLOOKUP(C7973,METADATA!$J$5:$Q$29,IF(E7973="HI",2,IF(E7973="LO",6,10))+IF(D7973=1,2,IF(D7973=7,1,(IF(WEEKDAY(B7973)=1,2,IF(WEEKDAY(B7973)=7,1,0))))))</f>
        <v>3</v>
      </c>
      <c r="H7973" s="370">
        <v>10701.85498046875</v>
      </c>
      <c r="I7973" s="370">
        <v>8278.2424621582031</v>
      </c>
      <c r="M7973" s="371">
        <f t="shared" si="497"/>
        <v>13529.929722111008</v>
      </c>
      <c r="N7973" s="329">
        <f t="shared" si="498"/>
        <v>5067.6859680175785</v>
      </c>
      <c r="T7973" s="331">
        <v>0</v>
      </c>
      <c r="U7973" s="328">
        <f>VLOOKUP(C7973,METADATA!$J$5:$Q$29,IF(E7973="HI",2,IF(E7973="LO",6,10))+IF(T7973=1,2,IF(D7973=7,1,(IF(WEEKDAY(B7973)=1,2,IF(WEEKDAY(B7973)=7,1,0))))))</f>
        <v>3</v>
      </c>
      <c r="V7973" s="328">
        <f>VLOOKUP(C7973,METADATA!$A$5:$H$29,IF(E7973="HI",2,IF(E7973="LO",6,10))+IF(T7973=1,2,IF(D7973=7,1,(IF(WEEKDAY(B7973)=1,2,IF(WEEKDAY(B7973)=7,1,0))))))</f>
        <v>3</v>
      </c>
    </row>
    <row r="7974" spans="2:22">
      <c r="B7974" s="318">
        <f t="shared" si="499"/>
        <v>46445</v>
      </c>
      <c r="C7974" s="312">
        <v>2</v>
      </c>
      <c r="D7974" s="368">
        <f>IFERROR((INDEX(METADATA!$T$2:$T$20,MATCH(B7974,METADATA!$S$2:$S$20,0))),0)</f>
        <v>0</v>
      </c>
      <c r="E7974" s="312" t="str">
        <f t="shared" si="496"/>
        <v>LO</v>
      </c>
      <c r="F7974" s="369">
        <f>VLOOKUP(C7974,METADATA!$A$5:$H$29,IF(E7974="HI",2,IF(E7974="LO",6,10))+IF(D7974=1,2,IF(D7974=7,1,(IF(WEEKDAY(B7974)=1,2,IF(WEEKDAY(B7974)=7,1,0))))))</f>
        <v>3</v>
      </c>
      <c r="G7974" s="369">
        <f>VLOOKUP(C7974,METADATA!$J$5:$Q$29,IF(E7974="HI",2,IF(E7974="LO",6,10))+IF(D7974=1,2,IF(D7974=7,1,(IF(WEEKDAY(B7974)=1,2,IF(WEEKDAY(B7974)=7,1,0))))))</f>
        <v>3</v>
      </c>
      <c r="H7974" s="370">
        <v>9964.8376159667969</v>
      </c>
      <c r="I7974" s="370">
        <v>7742.0599975585938</v>
      </c>
      <c r="M7974" s="371">
        <f t="shared" si="497"/>
        <v>12618.933462000019</v>
      </c>
      <c r="N7974" s="329">
        <f t="shared" si="498"/>
        <v>4752.6087127685551</v>
      </c>
      <c r="T7974" s="331">
        <v>0</v>
      </c>
      <c r="U7974" s="328">
        <f>VLOOKUP(C7974,METADATA!$J$5:$Q$29,IF(E7974="HI",2,IF(E7974="LO",6,10))+IF(T7974=1,2,IF(D7974=7,1,(IF(WEEKDAY(B7974)=1,2,IF(WEEKDAY(B7974)=7,1,0))))))</f>
        <v>3</v>
      </c>
      <c r="V7974" s="328">
        <f>VLOOKUP(C7974,METADATA!$A$5:$H$29,IF(E7974="HI",2,IF(E7974="LO",6,10))+IF(T7974=1,2,IF(D7974=7,1,(IF(WEEKDAY(B7974)=1,2,IF(WEEKDAY(B7974)=7,1,0))))))</f>
        <v>3</v>
      </c>
    </row>
    <row r="7975" spans="2:22">
      <c r="B7975" s="318">
        <f t="shared" si="499"/>
        <v>46445</v>
      </c>
      <c r="C7975" s="312">
        <v>3</v>
      </c>
      <c r="D7975" s="368">
        <f>IFERROR((INDEX(METADATA!$T$2:$T$20,MATCH(B7975,METADATA!$S$2:$S$20,0))),0)</f>
        <v>0</v>
      </c>
      <c r="E7975" s="312" t="str">
        <f t="shared" si="496"/>
        <v>LO</v>
      </c>
      <c r="F7975" s="369">
        <f>VLOOKUP(C7975,METADATA!$A$5:$H$29,IF(E7975="HI",2,IF(E7975="LO",6,10))+IF(D7975=1,2,IF(D7975=7,1,(IF(WEEKDAY(B7975)=1,2,IF(WEEKDAY(B7975)=7,1,0))))))</f>
        <v>3</v>
      </c>
      <c r="G7975" s="369">
        <f>VLOOKUP(C7975,METADATA!$J$5:$Q$29,IF(E7975="HI",2,IF(E7975="LO",6,10))+IF(D7975=1,2,IF(D7975=7,1,(IF(WEEKDAY(B7975)=1,2,IF(WEEKDAY(B7975)=7,1,0))))))</f>
        <v>3</v>
      </c>
      <c r="H7975" s="370">
        <v>11298.475036621094</v>
      </c>
      <c r="I7975" s="370">
        <v>8551.5075988769531</v>
      </c>
      <c r="M7975" s="371">
        <f t="shared" si="497"/>
        <v>14169.8207598685</v>
      </c>
      <c r="N7975" s="329">
        <f t="shared" si="498"/>
        <v>5161.965087890625</v>
      </c>
      <c r="T7975" s="331">
        <v>0</v>
      </c>
      <c r="U7975" s="328">
        <f>VLOOKUP(C7975,METADATA!$J$5:$Q$29,IF(E7975="HI",2,IF(E7975="LO",6,10))+IF(T7975=1,2,IF(D7975=7,1,(IF(WEEKDAY(B7975)=1,2,IF(WEEKDAY(B7975)=7,1,0))))))</f>
        <v>3</v>
      </c>
      <c r="V7975" s="328">
        <f>VLOOKUP(C7975,METADATA!$A$5:$H$29,IF(E7975="HI",2,IF(E7975="LO",6,10))+IF(T7975=1,2,IF(D7975=7,1,(IF(WEEKDAY(B7975)=1,2,IF(WEEKDAY(B7975)=7,1,0))))))</f>
        <v>3</v>
      </c>
    </row>
    <row r="7976" spans="2:22">
      <c r="B7976" s="318">
        <f t="shared" si="499"/>
        <v>46445</v>
      </c>
      <c r="C7976" s="312">
        <v>4</v>
      </c>
      <c r="D7976" s="368">
        <f>IFERROR((INDEX(METADATA!$T$2:$T$20,MATCH(B7976,METADATA!$S$2:$S$20,0))),0)</f>
        <v>0</v>
      </c>
      <c r="E7976" s="312" t="str">
        <f t="shared" si="496"/>
        <v>LO</v>
      </c>
      <c r="F7976" s="369">
        <f>VLOOKUP(C7976,METADATA!$A$5:$H$29,IF(E7976="HI",2,IF(E7976="LO",6,10))+IF(D7976=1,2,IF(D7976=7,1,(IF(WEEKDAY(B7976)=1,2,IF(WEEKDAY(B7976)=7,1,0))))))</f>
        <v>3</v>
      </c>
      <c r="G7976" s="369">
        <f>VLOOKUP(C7976,METADATA!$J$5:$Q$29,IF(E7976="HI",2,IF(E7976="LO",6,10))+IF(D7976=1,2,IF(D7976=7,1,(IF(WEEKDAY(B7976)=1,2,IF(WEEKDAY(B7976)=7,1,0))))))</f>
        <v>3</v>
      </c>
      <c r="H7976" s="370">
        <v>12077.924865722656</v>
      </c>
      <c r="I7976" s="370">
        <v>9022.1749877929688</v>
      </c>
      <c r="M7976" s="371">
        <f t="shared" si="497"/>
        <v>15075.672806624541</v>
      </c>
      <c r="N7976" s="329">
        <f t="shared" si="498"/>
        <v>5398.7975280761721</v>
      </c>
      <c r="T7976" s="331">
        <v>0</v>
      </c>
      <c r="U7976" s="328">
        <f>VLOOKUP(C7976,METADATA!$J$5:$Q$29,IF(E7976="HI",2,IF(E7976="LO",6,10))+IF(T7976=1,2,IF(D7976=7,1,(IF(WEEKDAY(B7976)=1,2,IF(WEEKDAY(B7976)=7,1,0))))))</f>
        <v>3</v>
      </c>
      <c r="V7976" s="328">
        <f>VLOOKUP(C7976,METADATA!$A$5:$H$29,IF(E7976="HI",2,IF(E7976="LO",6,10))+IF(T7976=1,2,IF(D7976=7,1,(IF(WEEKDAY(B7976)=1,2,IF(WEEKDAY(B7976)=7,1,0))))))</f>
        <v>3</v>
      </c>
    </row>
    <row r="7977" spans="2:22">
      <c r="B7977" s="318">
        <f t="shared" si="499"/>
        <v>46445</v>
      </c>
      <c r="C7977" s="312">
        <v>5</v>
      </c>
      <c r="D7977" s="368">
        <f>IFERROR((INDEX(METADATA!$T$2:$T$20,MATCH(B7977,METADATA!$S$2:$S$20,0))),0)</f>
        <v>0</v>
      </c>
      <c r="E7977" s="312" t="str">
        <f t="shared" si="496"/>
        <v>LO</v>
      </c>
      <c r="F7977" s="369">
        <f>VLOOKUP(C7977,METADATA!$A$5:$H$29,IF(E7977="HI",2,IF(E7977="LO",6,10))+IF(D7977=1,2,IF(D7977=7,1,(IF(WEEKDAY(B7977)=1,2,IF(WEEKDAY(B7977)=7,1,0))))))</f>
        <v>3</v>
      </c>
      <c r="G7977" s="369">
        <f>VLOOKUP(C7977,METADATA!$J$5:$Q$29,IF(E7977="HI",2,IF(E7977="LO",6,10))+IF(D7977=1,2,IF(D7977=7,1,(IF(WEEKDAY(B7977)=1,2,IF(WEEKDAY(B7977)=7,1,0))))))</f>
        <v>3</v>
      </c>
      <c r="H7977" s="370">
        <v>11901.625061035156</v>
      </c>
      <c r="I7977" s="370">
        <v>9003.4249267578125</v>
      </c>
      <c r="M7977" s="371">
        <f t="shared" si="497"/>
        <v>14923.482820884137</v>
      </c>
      <c r="N7977" s="329">
        <f t="shared" si="498"/>
        <v>5432.9374084472656</v>
      </c>
      <c r="T7977" s="331">
        <v>0</v>
      </c>
      <c r="U7977" s="328">
        <f>VLOOKUP(C7977,METADATA!$J$5:$Q$29,IF(E7977="HI",2,IF(E7977="LO",6,10))+IF(T7977=1,2,IF(D7977=7,1,(IF(WEEKDAY(B7977)=1,2,IF(WEEKDAY(B7977)=7,1,0))))))</f>
        <v>3</v>
      </c>
      <c r="V7977" s="328">
        <f>VLOOKUP(C7977,METADATA!$A$5:$H$29,IF(E7977="HI",2,IF(E7977="LO",6,10))+IF(T7977=1,2,IF(D7977=7,1,(IF(WEEKDAY(B7977)=1,2,IF(WEEKDAY(B7977)=7,1,0))))))</f>
        <v>3</v>
      </c>
    </row>
    <row r="7978" spans="2:22">
      <c r="B7978" s="318">
        <f t="shared" si="499"/>
        <v>46445</v>
      </c>
      <c r="C7978" s="312">
        <v>6</v>
      </c>
      <c r="D7978" s="368">
        <f>IFERROR((INDEX(METADATA!$T$2:$T$20,MATCH(B7978,METADATA!$S$2:$S$20,0))),0)</f>
        <v>0</v>
      </c>
      <c r="E7978" s="312" t="str">
        <f t="shared" si="496"/>
        <v>LO</v>
      </c>
      <c r="F7978" s="369">
        <f>VLOOKUP(C7978,METADATA!$A$5:$H$29,IF(E7978="HI",2,IF(E7978="LO",6,10))+IF(D7978=1,2,IF(D7978=7,1,(IF(WEEKDAY(B7978)=1,2,IF(WEEKDAY(B7978)=7,1,0))))))</f>
        <v>3</v>
      </c>
      <c r="G7978" s="369">
        <f>VLOOKUP(C7978,METADATA!$J$5:$Q$29,IF(E7978="HI",2,IF(E7978="LO",6,10))+IF(D7978=1,2,IF(D7978=7,1,(IF(WEEKDAY(B7978)=1,2,IF(WEEKDAY(B7978)=7,1,0))))))</f>
        <v>3</v>
      </c>
      <c r="H7978" s="370">
        <v>11941.674987792969</v>
      </c>
      <c r="I7978" s="370">
        <v>9025.300048828125</v>
      </c>
      <c r="M7978" s="371">
        <f t="shared" si="497"/>
        <v>14968.621930072826</v>
      </c>
      <c r="N7978" s="329">
        <f t="shared" si="498"/>
        <v>5442.797552490234</v>
      </c>
      <c r="T7978" s="331">
        <v>0</v>
      </c>
      <c r="U7978" s="328">
        <f>VLOOKUP(C7978,METADATA!$J$5:$Q$29,IF(E7978="HI",2,IF(E7978="LO",6,10))+IF(T7978=1,2,IF(D7978=7,1,(IF(WEEKDAY(B7978)=1,2,IF(WEEKDAY(B7978)=7,1,0))))))</f>
        <v>3</v>
      </c>
      <c r="V7978" s="328">
        <f>VLOOKUP(C7978,METADATA!$A$5:$H$29,IF(E7978="HI",2,IF(E7978="LO",6,10))+IF(T7978=1,2,IF(D7978=7,1,(IF(WEEKDAY(B7978)=1,2,IF(WEEKDAY(B7978)=7,1,0))))))</f>
        <v>3</v>
      </c>
    </row>
    <row r="7979" spans="2:22">
      <c r="B7979" s="318">
        <f t="shared" si="499"/>
        <v>46445</v>
      </c>
      <c r="C7979" s="312">
        <v>7</v>
      </c>
      <c r="D7979" s="368">
        <f>IFERROR((INDEX(METADATA!$T$2:$T$20,MATCH(B7979,METADATA!$S$2:$S$20,0))),0)</f>
        <v>0</v>
      </c>
      <c r="E7979" s="312" t="str">
        <f t="shared" si="496"/>
        <v>LO</v>
      </c>
      <c r="F7979" s="369">
        <f>VLOOKUP(C7979,METADATA!$A$5:$H$29,IF(E7979="HI",2,IF(E7979="LO",6,10))+IF(D7979=1,2,IF(D7979=7,1,(IF(WEEKDAY(B7979)=1,2,IF(WEEKDAY(B7979)=7,1,0))))))</f>
        <v>2</v>
      </c>
      <c r="G7979" s="369">
        <f>VLOOKUP(C7979,METADATA!$J$5:$Q$29,IF(E7979="HI",2,IF(E7979="LO",6,10))+IF(D7979=1,2,IF(D7979=7,1,(IF(WEEKDAY(B7979)=1,2,IF(WEEKDAY(B7979)=7,1,0))))))</f>
        <v>2</v>
      </c>
      <c r="H7979" s="370">
        <v>12049.250061035156</v>
      </c>
      <c r="I7979" s="370">
        <v>8995.02490234375</v>
      </c>
      <c r="M7979" s="371">
        <f t="shared" si="497"/>
        <v>15036.452375049772</v>
      </c>
      <c r="N7979" s="329">
        <f t="shared" si="498"/>
        <v>5380.2498840332028</v>
      </c>
      <c r="T7979" s="331">
        <v>0</v>
      </c>
      <c r="U7979" s="328">
        <f>VLOOKUP(C7979,METADATA!$J$5:$Q$29,IF(E7979="HI",2,IF(E7979="LO",6,10))+IF(T7979=1,2,IF(D7979=7,1,(IF(WEEKDAY(B7979)=1,2,IF(WEEKDAY(B7979)=7,1,0))))))</f>
        <v>2</v>
      </c>
      <c r="V7979" s="328">
        <f>VLOOKUP(C7979,METADATA!$A$5:$H$29,IF(E7979="HI",2,IF(E7979="LO",6,10))+IF(T7979=1,2,IF(D7979=7,1,(IF(WEEKDAY(B7979)=1,2,IF(WEEKDAY(B7979)=7,1,0))))))</f>
        <v>2</v>
      </c>
    </row>
    <row r="7980" spans="2:22">
      <c r="B7980" s="318">
        <f t="shared" si="499"/>
        <v>46445</v>
      </c>
      <c r="C7980" s="312">
        <v>8</v>
      </c>
      <c r="D7980" s="368">
        <f>IFERROR((INDEX(METADATA!$T$2:$T$20,MATCH(B7980,METADATA!$S$2:$S$20,0))),0)</f>
        <v>0</v>
      </c>
      <c r="E7980" s="312" t="str">
        <f t="shared" si="496"/>
        <v>LO</v>
      </c>
      <c r="F7980" s="369">
        <f>VLOOKUP(C7980,METADATA!$A$5:$H$29,IF(E7980="HI",2,IF(E7980="LO",6,10))+IF(D7980=1,2,IF(D7980=7,1,(IF(WEEKDAY(B7980)=1,2,IF(WEEKDAY(B7980)=7,1,0))))))</f>
        <v>2</v>
      </c>
      <c r="G7980" s="369">
        <f>VLOOKUP(C7980,METADATA!$J$5:$Q$29,IF(E7980="HI",2,IF(E7980="LO",6,10))+IF(D7980=1,2,IF(D7980=7,1,(IF(WEEKDAY(B7980)=1,2,IF(WEEKDAY(B7980)=7,1,0))))))</f>
        <v>2</v>
      </c>
      <c r="H7980" s="370">
        <v>11948.424926757813</v>
      </c>
      <c r="I7980" s="370">
        <v>8870.4501342773438</v>
      </c>
      <c r="M7980" s="371">
        <f t="shared" si="497"/>
        <v>14881.187580803769</v>
      </c>
      <c r="N7980" s="329">
        <f t="shared" si="498"/>
        <v>5285.9226562500007</v>
      </c>
      <c r="T7980" s="331">
        <v>0</v>
      </c>
      <c r="U7980" s="328">
        <f>VLOOKUP(C7980,METADATA!$J$5:$Q$29,IF(E7980="HI",2,IF(E7980="LO",6,10))+IF(T7980=1,2,IF(D7980=7,1,(IF(WEEKDAY(B7980)=1,2,IF(WEEKDAY(B7980)=7,1,0))))))</f>
        <v>2</v>
      </c>
      <c r="V7980" s="328">
        <f>VLOOKUP(C7980,METADATA!$A$5:$H$29,IF(E7980="HI",2,IF(E7980="LO",6,10))+IF(T7980=1,2,IF(D7980=7,1,(IF(WEEKDAY(B7980)=1,2,IF(WEEKDAY(B7980)=7,1,0))))))</f>
        <v>2</v>
      </c>
    </row>
    <row r="7981" spans="2:22">
      <c r="B7981" s="318">
        <f t="shared" si="499"/>
        <v>46445</v>
      </c>
      <c r="C7981" s="312">
        <v>9</v>
      </c>
      <c r="D7981" s="368">
        <f>IFERROR((INDEX(METADATA!$T$2:$T$20,MATCH(B7981,METADATA!$S$2:$S$20,0))),0)</f>
        <v>0</v>
      </c>
      <c r="E7981" s="312" t="str">
        <f t="shared" si="496"/>
        <v>LO</v>
      </c>
      <c r="F7981" s="369">
        <f>VLOOKUP(C7981,METADATA!$A$5:$H$29,IF(E7981="HI",2,IF(E7981="LO",6,10))+IF(D7981=1,2,IF(D7981=7,1,(IF(WEEKDAY(B7981)=1,2,IF(WEEKDAY(B7981)=7,1,0))))))</f>
        <v>2</v>
      </c>
      <c r="G7981" s="369">
        <f>VLOOKUP(C7981,METADATA!$J$5:$Q$29,IF(E7981="HI",2,IF(E7981="LO",6,10))+IF(D7981=1,2,IF(D7981=7,1,(IF(WEEKDAY(B7981)=1,2,IF(WEEKDAY(B7981)=7,1,0))))))</f>
        <v>2</v>
      </c>
      <c r="H7981" s="370">
        <v>11999.424926757813</v>
      </c>
      <c r="I7981" s="370">
        <v>9005.8499755859375</v>
      </c>
      <c r="M7981" s="371">
        <f t="shared" si="497"/>
        <v>15003.050768282361</v>
      </c>
      <c r="N7981" s="329">
        <f t="shared" si="498"/>
        <v>5406.0224975585934</v>
      </c>
      <c r="T7981" s="331">
        <v>0</v>
      </c>
      <c r="U7981" s="328">
        <f>VLOOKUP(C7981,METADATA!$J$5:$Q$29,IF(E7981="HI",2,IF(E7981="LO",6,10))+IF(T7981=1,2,IF(D7981=7,1,(IF(WEEKDAY(B7981)=1,2,IF(WEEKDAY(B7981)=7,1,0))))))</f>
        <v>2</v>
      </c>
      <c r="V7981" s="328">
        <f>VLOOKUP(C7981,METADATA!$A$5:$H$29,IF(E7981="HI",2,IF(E7981="LO",6,10))+IF(T7981=1,2,IF(D7981=7,1,(IF(WEEKDAY(B7981)=1,2,IF(WEEKDAY(B7981)=7,1,0))))))</f>
        <v>2</v>
      </c>
    </row>
    <row r="7982" spans="2:22">
      <c r="B7982" s="318">
        <f t="shared" si="499"/>
        <v>46445</v>
      </c>
      <c r="C7982" s="312">
        <v>10</v>
      </c>
      <c r="D7982" s="368">
        <f>IFERROR((INDEX(METADATA!$T$2:$T$20,MATCH(B7982,METADATA!$S$2:$S$20,0))),0)</f>
        <v>0</v>
      </c>
      <c r="E7982" s="312" t="str">
        <f t="shared" si="496"/>
        <v>LO</v>
      </c>
      <c r="F7982" s="369">
        <f>VLOOKUP(C7982,METADATA!$A$5:$H$29,IF(E7982="HI",2,IF(E7982="LO",6,10))+IF(D7982=1,2,IF(D7982=7,1,(IF(WEEKDAY(B7982)=1,2,IF(WEEKDAY(B7982)=7,1,0))))))</f>
        <v>2</v>
      </c>
      <c r="G7982" s="369">
        <f>VLOOKUP(C7982,METADATA!$J$5:$Q$29,IF(E7982="HI",2,IF(E7982="LO",6,10))+IF(D7982=1,2,IF(D7982=7,1,(IF(WEEKDAY(B7982)=1,2,IF(WEEKDAY(B7982)=7,1,0))))))</f>
        <v>2</v>
      </c>
      <c r="H7982" s="370">
        <v>11644.97509765625</v>
      </c>
      <c r="I7982" s="370">
        <v>8834.375</v>
      </c>
      <c r="M7982" s="371">
        <f t="shared" si="497"/>
        <v>14616.826832991461</v>
      </c>
      <c r="N7982" s="329">
        <f t="shared" si="498"/>
        <v>5340.8824707031254</v>
      </c>
      <c r="T7982" s="331">
        <v>0</v>
      </c>
      <c r="U7982" s="328">
        <f>VLOOKUP(C7982,METADATA!$J$5:$Q$29,IF(E7982="HI",2,IF(E7982="LO",6,10))+IF(T7982=1,2,IF(D7982=7,1,(IF(WEEKDAY(B7982)=1,2,IF(WEEKDAY(B7982)=7,1,0))))))</f>
        <v>2</v>
      </c>
      <c r="V7982" s="328">
        <f>VLOOKUP(C7982,METADATA!$A$5:$H$29,IF(E7982="HI",2,IF(E7982="LO",6,10))+IF(T7982=1,2,IF(D7982=7,1,(IF(WEEKDAY(B7982)=1,2,IF(WEEKDAY(B7982)=7,1,0))))))</f>
        <v>2</v>
      </c>
    </row>
    <row r="7983" spans="2:22">
      <c r="B7983" s="318">
        <f t="shared" si="499"/>
        <v>46445</v>
      </c>
      <c r="C7983" s="312">
        <v>11</v>
      </c>
      <c r="D7983" s="368">
        <f>IFERROR((INDEX(METADATA!$T$2:$T$20,MATCH(B7983,METADATA!$S$2:$S$20,0))),0)</f>
        <v>0</v>
      </c>
      <c r="E7983" s="312" t="str">
        <f t="shared" si="496"/>
        <v>LO</v>
      </c>
      <c r="F7983" s="369">
        <f>VLOOKUP(C7983,METADATA!$A$5:$H$29,IF(E7983="HI",2,IF(E7983="LO",6,10))+IF(D7983=1,2,IF(D7983=7,1,(IF(WEEKDAY(B7983)=1,2,IF(WEEKDAY(B7983)=7,1,0))))))</f>
        <v>2</v>
      </c>
      <c r="G7983" s="369">
        <f>VLOOKUP(C7983,METADATA!$J$5:$Q$29,IF(E7983="HI",2,IF(E7983="LO",6,10))+IF(D7983=1,2,IF(D7983=7,1,(IF(WEEKDAY(B7983)=1,2,IF(WEEKDAY(B7983)=7,1,0))))))</f>
        <v>2</v>
      </c>
      <c r="H7983" s="370">
        <v>12061.549926757813</v>
      </c>
      <c r="I7983" s="370">
        <v>9008.5999145507813</v>
      </c>
      <c r="M7983" s="371">
        <f t="shared" si="497"/>
        <v>15054.429881470627</v>
      </c>
      <c r="N7983" s="329">
        <f t="shared" si="498"/>
        <v>5390.1349365234382</v>
      </c>
      <c r="T7983" s="331">
        <v>0</v>
      </c>
      <c r="U7983" s="328">
        <f>VLOOKUP(C7983,METADATA!$J$5:$Q$29,IF(E7983="HI",2,IF(E7983="LO",6,10))+IF(T7983=1,2,IF(D7983=7,1,(IF(WEEKDAY(B7983)=1,2,IF(WEEKDAY(B7983)=7,1,0))))))</f>
        <v>2</v>
      </c>
      <c r="V7983" s="328">
        <f>VLOOKUP(C7983,METADATA!$A$5:$H$29,IF(E7983="HI",2,IF(E7983="LO",6,10))+IF(T7983=1,2,IF(D7983=7,1,(IF(WEEKDAY(B7983)=1,2,IF(WEEKDAY(B7983)=7,1,0))))))</f>
        <v>2</v>
      </c>
    </row>
    <row r="7984" spans="2:22">
      <c r="B7984" s="318">
        <f t="shared" si="499"/>
        <v>46445</v>
      </c>
      <c r="C7984" s="312">
        <v>12</v>
      </c>
      <c r="D7984" s="368">
        <f>IFERROR((INDEX(METADATA!$T$2:$T$20,MATCH(B7984,METADATA!$S$2:$S$20,0))),0)</f>
        <v>0</v>
      </c>
      <c r="E7984" s="312" t="str">
        <f t="shared" si="496"/>
        <v>LO</v>
      </c>
      <c r="F7984" s="369">
        <f>VLOOKUP(C7984,METADATA!$A$5:$H$29,IF(E7984="HI",2,IF(E7984="LO",6,10))+IF(D7984=1,2,IF(D7984=7,1,(IF(WEEKDAY(B7984)=1,2,IF(WEEKDAY(B7984)=7,1,0))))))</f>
        <v>3</v>
      </c>
      <c r="G7984" s="369">
        <f>VLOOKUP(C7984,METADATA!$J$5:$Q$29,IF(E7984="HI",2,IF(E7984="LO",6,10))+IF(D7984=1,2,IF(D7984=7,1,(IF(WEEKDAY(B7984)=1,2,IF(WEEKDAY(B7984)=7,1,0))))))</f>
        <v>3</v>
      </c>
      <c r="H7984" s="370">
        <v>12096.500122070313</v>
      </c>
      <c r="I7984" s="370">
        <v>9039.449951171875</v>
      </c>
      <c r="M7984" s="371">
        <f t="shared" si="497"/>
        <v>15100.89304057837</v>
      </c>
      <c r="N7984" s="329">
        <f t="shared" si="498"/>
        <v>5410.4999145507809</v>
      </c>
      <c r="T7984" s="331">
        <v>0</v>
      </c>
      <c r="U7984" s="328">
        <f>VLOOKUP(C7984,METADATA!$J$5:$Q$29,IF(E7984="HI",2,IF(E7984="LO",6,10))+IF(T7984=1,2,IF(D7984=7,1,(IF(WEEKDAY(B7984)=1,2,IF(WEEKDAY(B7984)=7,1,0))))))</f>
        <v>3</v>
      </c>
      <c r="V7984" s="328">
        <f>VLOOKUP(C7984,METADATA!$A$5:$H$29,IF(E7984="HI",2,IF(E7984="LO",6,10))+IF(T7984=1,2,IF(D7984=7,1,(IF(WEEKDAY(B7984)=1,2,IF(WEEKDAY(B7984)=7,1,0))))))</f>
        <v>3</v>
      </c>
    </row>
    <row r="7985" spans="2:22">
      <c r="B7985" s="318">
        <f t="shared" si="499"/>
        <v>46445</v>
      </c>
      <c r="C7985" s="312">
        <v>13</v>
      </c>
      <c r="D7985" s="368">
        <f>IFERROR((INDEX(METADATA!$T$2:$T$20,MATCH(B7985,METADATA!$S$2:$S$20,0))),0)</f>
        <v>0</v>
      </c>
      <c r="E7985" s="312" t="str">
        <f t="shared" si="496"/>
        <v>LO</v>
      </c>
      <c r="F7985" s="369">
        <f>VLOOKUP(C7985,METADATA!$A$5:$H$29,IF(E7985="HI",2,IF(E7985="LO",6,10))+IF(D7985=1,2,IF(D7985=7,1,(IF(WEEKDAY(B7985)=1,2,IF(WEEKDAY(B7985)=7,1,0))))))</f>
        <v>3</v>
      </c>
      <c r="G7985" s="369">
        <f>VLOOKUP(C7985,METADATA!$J$5:$Q$29,IF(E7985="HI",2,IF(E7985="LO",6,10))+IF(D7985=1,2,IF(D7985=7,1,(IF(WEEKDAY(B7985)=1,2,IF(WEEKDAY(B7985)=7,1,0))))))</f>
        <v>3</v>
      </c>
      <c r="H7985" s="370">
        <v>12165.599975585938</v>
      </c>
      <c r="I7985" s="370">
        <v>9098.400146484375</v>
      </c>
      <c r="M7985" s="371">
        <f t="shared" si="497"/>
        <v>15191.534089469813</v>
      </c>
      <c r="N7985" s="329">
        <f t="shared" si="498"/>
        <v>5448.7201538085938</v>
      </c>
      <c r="T7985" s="331">
        <v>0</v>
      </c>
      <c r="U7985" s="328">
        <f>VLOOKUP(C7985,METADATA!$J$5:$Q$29,IF(E7985="HI",2,IF(E7985="LO",6,10))+IF(T7985=1,2,IF(D7985=7,1,(IF(WEEKDAY(B7985)=1,2,IF(WEEKDAY(B7985)=7,1,0))))))</f>
        <v>3</v>
      </c>
      <c r="V7985" s="328">
        <f>VLOOKUP(C7985,METADATA!$A$5:$H$29,IF(E7985="HI",2,IF(E7985="LO",6,10))+IF(T7985=1,2,IF(D7985=7,1,(IF(WEEKDAY(B7985)=1,2,IF(WEEKDAY(B7985)=7,1,0))))))</f>
        <v>3</v>
      </c>
    </row>
    <row r="7986" spans="2:22">
      <c r="B7986" s="318">
        <f t="shared" si="499"/>
        <v>46445</v>
      </c>
      <c r="C7986" s="312">
        <v>14</v>
      </c>
      <c r="D7986" s="368">
        <f>IFERROR((INDEX(METADATA!$T$2:$T$20,MATCH(B7986,METADATA!$S$2:$S$20,0))),0)</f>
        <v>0</v>
      </c>
      <c r="E7986" s="312" t="str">
        <f t="shared" si="496"/>
        <v>LO</v>
      </c>
      <c r="F7986" s="369">
        <f>VLOOKUP(C7986,METADATA!$A$5:$H$29,IF(E7986="HI",2,IF(E7986="LO",6,10))+IF(D7986=1,2,IF(D7986=7,1,(IF(WEEKDAY(B7986)=1,2,IF(WEEKDAY(B7986)=7,1,0))))))</f>
        <v>3</v>
      </c>
      <c r="G7986" s="369">
        <f>VLOOKUP(C7986,METADATA!$J$5:$Q$29,IF(E7986="HI",2,IF(E7986="LO",6,10))+IF(D7986=1,2,IF(D7986=7,1,(IF(WEEKDAY(B7986)=1,2,IF(WEEKDAY(B7986)=7,1,0))))))</f>
        <v>3</v>
      </c>
      <c r="H7986" s="370">
        <v>12014.074951171875</v>
      </c>
      <c r="I7986" s="370">
        <v>9128.2501220703125</v>
      </c>
      <c r="M7986" s="371">
        <f t="shared" si="497"/>
        <v>15088.503809969103</v>
      </c>
      <c r="N7986" s="329">
        <f t="shared" si="498"/>
        <v>5524.0276367187507</v>
      </c>
      <c r="T7986" s="331">
        <v>0</v>
      </c>
      <c r="U7986" s="328">
        <f>VLOOKUP(C7986,METADATA!$J$5:$Q$29,IF(E7986="HI",2,IF(E7986="LO",6,10))+IF(T7986=1,2,IF(D7986=7,1,(IF(WEEKDAY(B7986)=1,2,IF(WEEKDAY(B7986)=7,1,0))))))</f>
        <v>3</v>
      </c>
      <c r="V7986" s="328">
        <f>VLOOKUP(C7986,METADATA!$A$5:$H$29,IF(E7986="HI",2,IF(E7986="LO",6,10))+IF(T7986=1,2,IF(D7986=7,1,(IF(WEEKDAY(B7986)=1,2,IF(WEEKDAY(B7986)=7,1,0))))))</f>
        <v>3</v>
      </c>
    </row>
    <row r="7987" spans="2:22">
      <c r="B7987" s="318">
        <f t="shared" si="499"/>
        <v>46445</v>
      </c>
      <c r="C7987" s="312">
        <v>15</v>
      </c>
      <c r="D7987" s="368">
        <f>IFERROR((INDEX(METADATA!$T$2:$T$20,MATCH(B7987,METADATA!$S$2:$S$20,0))),0)</f>
        <v>0</v>
      </c>
      <c r="E7987" s="312" t="str">
        <f t="shared" si="496"/>
        <v>LO</v>
      </c>
      <c r="F7987" s="369">
        <f>VLOOKUP(C7987,METADATA!$A$5:$H$29,IF(E7987="HI",2,IF(E7987="LO",6,10))+IF(D7987=1,2,IF(D7987=7,1,(IF(WEEKDAY(B7987)=1,2,IF(WEEKDAY(B7987)=7,1,0))))))</f>
        <v>3</v>
      </c>
      <c r="G7987" s="369">
        <f>VLOOKUP(C7987,METADATA!$J$5:$Q$29,IF(E7987="HI",2,IF(E7987="LO",6,10))+IF(D7987=1,2,IF(D7987=7,1,(IF(WEEKDAY(B7987)=1,2,IF(WEEKDAY(B7987)=7,1,0))))))</f>
        <v>3</v>
      </c>
      <c r="H7987" s="370">
        <v>12146.550109863281</v>
      </c>
      <c r="I7987" s="370">
        <v>9342.4251098632813</v>
      </c>
      <c r="M7987" s="371">
        <f t="shared" si="497"/>
        <v>15323.824147543055</v>
      </c>
      <c r="N7987" s="329">
        <f t="shared" si="498"/>
        <v>5698.4600769042972</v>
      </c>
      <c r="T7987" s="331">
        <v>0</v>
      </c>
      <c r="U7987" s="328">
        <f>VLOOKUP(C7987,METADATA!$J$5:$Q$29,IF(E7987="HI",2,IF(E7987="LO",6,10))+IF(T7987=1,2,IF(D7987=7,1,(IF(WEEKDAY(B7987)=1,2,IF(WEEKDAY(B7987)=7,1,0))))))</f>
        <v>3</v>
      </c>
      <c r="V7987" s="328">
        <f>VLOOKUP(C7987,METADATA!$A$5:$H$29,IF(E7987="HI",2,IF(E7987="LO",6,10))+IF(T7987=1,2,IF(D7987=7,1,(IF(WEEKDAY(B7987)=1,2,IF(WEEKDAY(B7987)=7,1,0))))))</f>
        <v>3</v>
      </c>
    </row>
    <row r="7988" spans="2:22">
      <c r="B7988" s="318">
        <f t="shared" si="499"/>
        <v>46445</v>
      </c>
      <c r="C7988" s="312">
        <v>16</v>
      </c>
      <c r="D7988" s="368">
        <f>IFERROR((INDEX(METADATA!$T$2:$T$20,MATCH(B7988,METADATA!$S$2:$S$20,0))),0)</f>
        <v>0</v>
      </c>
      <c r="E7988" s="312" t="str">
        <f t="shared" si="496"/>
        <v>LO</v>
      </c>
      <c r="F7988" s="369">
        <f>VLOOKUP(C7988,METADATA!$A$5:$H$29,IF(E7988="HI",2,IF(E7988="LO",6,10))+IF(D7988=1,2,IF(D7988=7,1,(IF(WEEKDAY(B7988)=1,2,IF(WEEKDAY(B7988)=7,1,0))))))</f>
        <v>3</v>
      </c>
      <c r="G7988" s="369">
        <f>VLOOKUP(C7988,METADATA!$J$5:$Q$29,IF(E7988="HI",2,IF(E7988="LO",6,10))+IF(D7988=1,2,IF(D7988=7,1,(IF(WEEKDAY(B7988)=1,2,IF(WEEKDAY(B7988)=7,1,0))))))</f>
        <v>3</v>
      </c>
      <c r="H7988" s="370">
        <v>12184.549865722656</v>
      </c>
      <c r="I7988" s="370">
        <v>9218.8248901367188</v>
      </c>
      <c r="M7988" s="371">
        <f t="shared" si="497"/>
        <v>15279.070252645815</v>
      </c>
      <c r="N7988" s="329">
        <f t="shared" si="498"/>
        <v>5563.4599304199219</v>
      </c>
      <c r="T7988" s="331">
        <v>0</v>
      </c>
      <c r="U7988" s="328">
        <f>VLOOKUP(C7988,METADATA!$J$5:$Q$29,IF(E7988="HI",2,IF(E7988="LO",6,10))+IF(T7988=1,2,IF(D7988=7,1,(IF(WEEKDAY(B7988)=1,2,IF(WEEKDAY(B7988)=7,1,0))))))</f>
        <v>3</v>
      </c>
      <c r="V7988" s="328">
        <f>VLOOKUP(C7988,METADATA!$A$5:$H$29,IF(E7988="HI",2,IF(E7988="LO",6,10))+IF(T7988=1,2,IF(D7988=7,1,(IF(WEEKDAY(B7988)=1,2,IF(WEEKDAY(B7988)=7,1,0))))))</f>
        <v>3</v>
      </c>
    </row>
    <row r="7989" spans="2:22">
      <c r="B7989" s="318">
        <f t="shared" si="499"/>
        <v>46445</v>
      </c>
      <c r="C7989" s="312">
        <v>17</v>
      </c>
      <c r="D7989" s="368">
        <f>IFERROR((INDEX(METADATA!$T$2:$T$20,MATCH(B7989,METADATA!$S$2:$S$20,0))),0)</f>
        <v>0</v>
      </c>
      <c r="E7989" s="312" t="str">
        <f t="shared" si="496"/>
        <v>LO</v>
      </c>
      <c r="F7989" s="369">
        <f>VLOOKUP(C7989,METADATA!$A$5:$H$29,IF(E7989="HI",2,IF(E7989="LO",6,10))+IF(D7989=1,2,IF(D7989=7,1,(IF(WEEKDAY(B7989)=1,2,IF(WEEKDAY(B7989)=7,1,0))))))</f>
        <v>3</v>
      </c>
      <c r="G7989" s="369">
        <f>VLOOKUP(C7989,METADATA!$J$5:$Q$29,IF(E7989="HI",2,IF(E7989="LO",6,10))+IF(D7989=1,2,IF(D7989=7,1,(IF(WEEKDAY(B7989)=1,2,IF(WEEKDAY(B7989)=7,1,0))))))</f>
        <v>3</v>
      </c>
      <c r="H7989" s="370">
        <v>12103.800048828125</v>
      </c>
      <c r="I7989" s="370">
        <v>9039.89990234375</v>
      </c>
      <c r="M7989" s="371">
        <f t="shared" si="497"/>
        <v>15107.010487399757</v>
      </c>
      <c r="N7989" s="329">
        <f t="shared" si="498"/>
        <v>5408.7598876953125</v>
      </c>
      <c r="T7989" s="331">
        <v>0</v>
      </c>
      <c r="U7989" s="328">
        <f>VLOOKUP(C7989,METADATA!$J$5:$Q$29,IF(E7989="HI",2,IF(E7989="LO",6,10))+IF(T7989=1,2,IF(D7989=7,1,(IF(WEEKDAY(B7989)=1,2,IF(WEEKDAY(B7989)=7,1,0))))))</f>
        <v>3</v>
      </c>
      <c r="V7989" s="328">
        <f>VLOOKUP(C7989,METADATA!$A$5:$H$29,IF(E7989="HI",2,IF(E7989="LO",6,10))+IF(T7989=1,2,IF(D7989=7,1,(IF(WEEKDAY(B7989)=1,2,IF(WEEKDAY(B7989)=7,1,0))))))</f>
        <v>3</v>
      </c>
    </row>
    <row r="7990" spans="2:22">
      <c r="B7990" s="318">
        <f t="shared" si="499"/>
        <v>46445</v>
      </c>
      <c r="C7990" s="312">
        <v>18</v>
      </c>
      <c r="D7990" s="368">
        <f>IFERROR((INDEX(METADATA!$T$2:$T$20,MATCH(B7990,METADATA!$S$2:$S$20,0))),0)</f>
        <v>0</v>
      </c>
      <c r="E7990" s="312" t="str">
        <f t="shared" si="496"/>
        <v>LO</v>
      </c>
      <c r="F7990" s="369">
        <f>VLOOKUP(C7990,METADATA!$A$5:$H$29,IF(E7990="HI",2,IF(E7990="LO",6,10))+IF(D7990=1,2,IF(D7990=7,1,(IF(WEEKDAY(B7990)=1,2,IF(WEEKDAY(B7990)=7,1,0))))))</f>
        <v>2</v>
      </c>
      <c r="G7990" s="369">
        <f>VLOOKUP(C7990,METADATA!$J$5:$Q$29,IF(E7990="HI",2,IF(E7990="LO",6,10))+IF(D7990=1,2,IF(D7990=7,1,(IF(WEEKDAY(B7990)=1,2,IF(WEEKDAY(B7990)=7,1,0))))))</f>
        <v>2</v>
      </c>
      <c r="H7990" s="370">
        <v>12155.074951171875</v>
      </c>
      <c r="I7990" s="370">
        <v>8943.8001708984375</v>
      </c>
      <c r="M7990" s="371">
        <f t="shared" si="497"/>
        <v>15090.97109418638</v>
      </c>
      <c r="N7990" s="329">
        <f t="shared" si="498"/>
        <v>5297.2776855468746</v>
      </c>
      <c r="T7990" s="331">
        <v>0</v>
      </c>
      <c r="U7990" s="328">
        <f>VLOOKUP(C7990,METADATA!$J$5:$Q$29,IF(E7990="HI",2,IF(E7990="LO",6,10))+IF(T7990=1,2,IF(D7990=7,1,(IF(WEEKDAY(B7990)=1,2,IF(WEEKDAY(B7990)=7,1,0))))))</f>
        <v>2</v>
      </c>
      <c r="V7990" s="328">
        <f>VLOOKUP(C7990,METADATA!$A$5:$H$29,IF(E7990="HI",2,IF(E7990="LO",6,10))+IF(T7990=1,2,IF(D7990=7,1,(IF(WEEKDAY(B7990)=1,2,IF(WEEKDAY(B7990)=7,1,0))))))</f>
        <v>2</v>
      </c>
    </row>
    <row r="7991" spans="2:22">
      <c r="B7991" s="318">
        <f t="shared" si="499"/>
        <v>46445</v>
      </c>
      <c r="C7991" s="312">
        <v>19</v>
      </c>
      <c r="D7991" s="368">
        <f>IFERROR((INDEX(METADATA!$T$2:$T$20,MATCH(B7991,METADATA!$S$2:$S$20,0))),0)</f>
        <v>0</v>
      </c>
      <c r="E7991" s="312" t="str">
        <f t="shared" si="496"/>
        <v>LO</v>
      </c>
      <c r="F7991" s="369">
        <f>VLOOKUP(C7991,METADATA!$A$5:$H$29,IF(E7991="HI",2,IF(E7991="LO",6,10))+IF(D7991=1,2,IF(D7991=7,1,(IF(WEEKDAY(B7991)=1,2,IF(WEEKDAY(B7991)=7,1,0))))))</f>
        <v>2</v>
      </c>
      <c r="G7991" s="369">
        <f>VLOOKUP(C7991,METADATA!$J$5:$Q$29,IF(E7991="HI",2,IF(E7991="LO",6,10))+IF(D7991=1,2,IF(D7991=7,1,(IF(WEEKDAY(B7991)=1,2,IF(WEEKDAY(B7991)=7,1,0))))))</f>
        <v>2</v>
      </c>
      <c r="H7991" s="370">
        <v>12063.900085449219</v>
      </c>
      <c r="I7991" s="370">
        <v>8904.2999267578125</v>
      </c>
      <c r="M7991" s="371">
        <f t="shared" si="497"/>
        <v>14994.140270697779</v>
      </c>
      <c r="N7991" s="329">
        <f t="shared" si="498"/>
        <v>5285.1299011230476</v>
      </c>
      <c r="T7991" s="331">
        <v>0</v>
      </c>
      <c r="U7991" s="328">
        <f>VLOOKUP(C7991,METADATA!$J$5:$Q$29,IF(E7991="HI",2,IF(E7991="LO",6,10))+IF(T7991=1,2,IF(D7991=7,1,(IF(WEEKDAY(B7991)=1,2,IF(WEEKDAY(B7991)=7,1,0))))))</f>
        <v>2</v>
      </c>
      <c r="V7991" s="328">
        <f>VLOOKUP(C7991,METADATA!$A$5:$H$29,IF(E7991="HI",2,IF(E7991="LO",6,10))+IF(T7991=1,2,IF(D7991=7,1,(IF(WEEKDAY(B7991)=1,2,IF(WEEKDAY(B7991)=7,1,0))))))</f>
        <v>2</v>
      </c>
    </row>
    <row r="7992" spans="2:22">
      <c r="B7992" s="318">
        <f t="shared" si="499"/>
        <v>46445</v>
      </c>
      <c r="C7992" s="312">
        <v>20</v>
      </c>
      <c r="D7992" s="368">
        <f>IFERROR((INDEX(METADATA!$T$2:$T$20,MATCH(B7992,METADATA!$S$2:$S$20,0))),0)</f>
        <v>0</v>
      </c>
      <c r="E7992" s="312" t="str">
        <f t="shared" si="496"/>
        <v>LO</v>
      </c>
      <c r="F7992" s="369">
        <f>VLOOKUP(C7992,METADATA!$A$5:$H$29,IF(E7992="HI",2,IF(E7992="LO",6,10))+IF(D7992=1,2,IF(D7992=7,1,(IF(WEEKDAY(B7992)=1,2,IF(WEEKDAY(B7992)=7,1,0))))))</f>
        <v>3</v>
      </c>
      <c r="G7992" s="369">
        <f>VLOOKUP(C7992,METADATA!$J$5:$Q$29,IF(E7992="HI",2,IF(E7992="LO",6,10))+IF(D7992=1,2,IF(D7992=7,1,(IF(WEEKDAY(B7992)=1,2,IF(WEEKDAY(B7992)=7,1,0))))))</f>
        <v>3</v>
      </c>
      <c r="H7992" s="370">
        <v>12112.324829101563</v>
      </c>
      <c r="I7992" s="370">
        <v>9033.425048828125</v>
      </c>
      <c r="M7992" s="371">
        <f t="shared" si="497"/>
        <v>15109.969585623447</v>
      </c>
      <c r="N7992" s="329">
        <f t="shared" si="498"/>
        <v>5399.7276000976563</v>
      </c>
      <c r="T7992" s="331">
        <v>0</v>
      </c>
      <c r="U7992" s="328">
        <f>VLOOKUP(C7992,METADATA!$J$5:$Q$29,IF(E7992="HI",2,IF(E7992="LO",6,10))+IF(T7992=1,2,IF(D7992=7,1,(IF(WEEKDAY(B7992)=1,2,IF(WEEKDAY(B7992)=7,1,0))))))</f>
        <v>3</v>
      </c>
      <c r="V7992" s="328">
        <f>VLOOKUP(C7992,METADATA!$A$5:$H$29,IF(E7992="HI",2,IF(E7992="LO",6,10))+IF(T7992=1,2,IF(D7992=7,1,(IF(WEEKDAY(B7992)=1,2,IF(WEEKDAY(B7992)=7,1,0))))))</f>
        <v>3</v>
      </c>
    </row>
    <row r="7993" spans="2:22">
      <c r="B7993" s="318">
        <f t="shared" si="499"/>
        <v>46445</v>
      </c>
      <c r="C7993" s="312">
        <v>21</v>
      </c>
      <c r="D7993" s="368">
        <f>IFERROR((INDEX(METADATA!$T$2:$T$20,MATCH(B7993,METADATA!$S$2:$S$20,0))),0)</f>
        <v>0</v>
      </c>
      <c r="E7993" s="312" t="str">
        <f t="shared" si="496"/>
        <v>LO</v>
      </c>
      <c r="F7993" s="369">
        <f>VLOOKUP(C7993,METADATA!$A$5:$H$29,IF(E7993="HI",2,IF(E7993="LO",6,10))+IF(D7993=1,2,IF(D7993=7,1,(IF(WEEKDAY(B7993)=1,2,IF(WEEKDAY(B7993)=7,1,0))))))</f>
        <v>3</v>
      </c>
      <c r="G7993" s="369">
        <f>VLOOKUP(C7993,METADATA!$J$5:$Q$29,IF(E7993="HI",2,IF(E7993="LO",6,10))+IF(D7993=1,2,IF(D7993=7,1,(IF(WEEKDAY(B7993)=1,2,IF(WEEKDAY(B7993)=7,1,0))))))</f>
        <v>3</v>
      </c>
      <c r="H7993" s="370">
        <v>12158.350280761719</v>
      </c>
      <c r="I7993" s="370">
        <v>8963.4999389648438</v>
      </c>
      <c r="M7993" s="371">
        <f t="shared" si="497"/>
        <v>15105.290884505379</v>
      </c>
      <c r="N7993" s="329">
        <f t="shared" si="498"/>
        <v>5315.9948547363283</v>
      </c>
      <c r="T7993" s="331">
        <v>0</v>
      </c>
      <c r="U7993" s="328">
        <f>VLOOKUP(C7993,METADATA!$J$5:$Q$29,IF(E7993="HI",2,IF(E7993="LO",6,10))+IF(T7993=1,2,IF(D7993=7,1,(IF(WEEKDAY(B7993)=1,2,IF(WEEKDAY(B7993)=7,1,0))))))</f>
        <v>3</v>
      </c>
      <c r="V7993" s="328">
        <f>VLOOKUP(C7993,METADATA!$A$5:$H$29,IF(E7993="HI",2,IF(E7993="LO",6,10))+IF(T7993=1,2,IF(D7993=7,1,(IF(WEEKDAY(B7993)=1,2,IF(WEEKDAY(B7993)=7,1,0))))))</f>
        <v>3</v>
      </c>
    </row>
    <row r="7994" spans="2:22">
      <c r="B7994" s="318">
        <f t="shared" si="499"/>
        <v>46445</v>
      </c>
      <c r="C7994" s="312">
        <v>22</v>
      </c>
      <c r="D7994" s="368">
        <f>IFERROR((INDEX(METADATA!$T$2:$T$20,MATCH(B7994,METADATA!$S$2:$S$20,0))),0)</f>
        <v>0</v>
      </c>
      <c r="E7994" s="312" t="str">
        <f t="shared" si="496"/>
        <v>LO</v>
      </c>
      <c r="F7994" s="369">
        <f>VLOOKUP(C7994,METADATA!$A$5:$H$29,IF(E7994="HI",2,IF(E7994="LO",6,10))+IF(D7994=1,2,IF(D7994=7,1,(IF(WEEKDAY(B7994)=1,2,IF(WEEKDAY(B7994)=7,1,0))))))</f>
        <v>3</v>
      </c>
      <c r="G7994" s="369">
        <f>VLOOKUP(C7994,METADATA!$J$5:$Q$29,IF(E7994="HI",2,IF(E7994="LO",6,10))+IF(D7994=1,2,IF(D7994=7,1,(IF(WEEKDAY(B7994)=1,2,IF(WEEKDAY(B7994)=7,1,0))))))</f>
        <v>3</v>
      </c>
      <c r="H7994" s="370">
        <v>12045.525085449219</v>
      </c>
      <c r="I7994" s="370">
        <v>9064.3001708984375</v>
      </c>
      <c r="M7994" s="371">
        <f t="shared" si="497"/>
        <v>15075.019475023435</v>
      </c>
      <c r="N7994" s="329">
        <f t="shared" si="498"/>
        <v>5450.6426452636715</v>
      </c>
      <c r="T7994" s="331">
        <v>0</v>
      </c>
      <c r="U7994" s="328">
        <f>VLOOKUP(C7994,METADATA!$J$5:$Q$29,IF(E7994="HI",2,IF(E7994="LO",6,10))+IF(T7994=1,2,IF(D7994=7,1,(IF(WEEKDAY(B7994)=1,2,IF(WEEKDAY(B7994)=7,1,0))))))</f>
        <v>3</v>
      </c>
      <c r="V7994" s="328">
        <f>VLOOKUP(C7994,METADATA!$A$5:$H$29,IF(E7994="HI",2,IF(E7994="LO",6,10))+IF(T7994=1,2,IF(D7994=7,1,(IF(WEEKDAY(B7994)=1,2,IF(WEEKDAY(B7994)=7,1,0))))))</f>
        <v>3</v>
      </c>
    </row>
    <row r="7995" spans="2:22">
      <c r="B7995" s="318">
        <f t="shared" si="499"/>
        <v>46445</v>
      </c>
      <c r="C7995" s="312">
        <v>23</v>
      </c>
      <c r="D7995" s="368">
        <f>IFERROR((INDEX(METADATA!$T$2:$T$20,MATCH(B7995,METADATA!$S$2:$S$20,0))),0)</f>
        <v>0</v>
      </c>
      <c r="E7995" s="312" t="str">
        <f t="shared" si="496"/>
        <v>LO</v>
      </c>
      <c r="F7995" s="369">
        <f>VLOOKUP(C7995,METADATA!$A$5:$H$29,IF(E7995="HI",2,IF(E7995="LO",6,10))+IF(D7995=1,2,IF(D7995=7,1,(IF(WEEKDAY(B7995)=1,2,IF(WEEKDAY(B7995)=7,1,0))))))</f>
        <v>3</v>
      </c>
      <c r="G7995" s="369">
        <f>VLOOKUP(C7995,METADATA!$J$5:$Q$29,IF(E7995="HI",2,IF(E7995="LO",6,10))+IF(D7995=1,2,IF(D7995=7,1,(IF(WEEKDAY(B7995)=1,2,IF(WEEKDAY(B7995)=7,1,0))))))</f>
        <v>3</v>
      </c>
      <c r="H7995" s="370">
        <v>12040.849914550781</v>
      </c>
      <c r="I7995" s="370">
        <v>9190.4000854492188</v>
      </c>
      <c r="M7995" s="371">
        <f t="shared" si="497"/>
        <v>15147.459205931618</v>
      </c>
      <c r="N7995" s="329">
        <f t="shared" si="498"/>
        <v>5578.1451110839844</v>
      </c>
      <c r="T7995" s="331">
        <v>0</v>
      </c>
      <c r="U7995" s="328">
        <f>VLOOKUP(C7995,METADATA!$J$5:$Q$29,IF(E7995="HI",2,IF(E7995="LO",6,10))+IF(T7995=1,2,IF(D7995=7,1,(IF(WEEKDAY(B7995)=1,2,IF(WEEKDAY(B7995)=7,1,0))))))</f>
        <v>3</v>
      </c>
      <c r="V7995" s="328">
        <f>VLOOKUP(C7995,METADATA!$A$5:$H$29,IF(E7995="HI",2,IF(E7995="LO",6,10))+IF(T7995=1,2,IF(D7995=7,1,(IF(WEEKDAY(B7995)=1,2,IF(WEEKDAY(B7995)=7,1,0))))))</f>
        <v>3</v>
      </c>
    </row>
    <row r="7996" spans="2:22">
      <c r="B7996" s="318">
        <f t="shared" si="499"/>
        <v>46446</v>
      </c>
      <c r="C7996" s="312">
        <v>0</v>
      </c>
      <c r="D7996" s="368">
        <f>IFERROR((INDEX(METADATA!$T$2:$T$20,MATCH(B7996,METADATA!$S$2:$S$20,0))),0)</f>
        <v>0</v>
      </c>
      <c r="E7996" s="312" t="str">
        <f t="shared" si="496"/>
        <v>LO</v>
      </c>
      <c r="F7996" s="369">
        <f>VLOOKUP(C7996,METADATA!$A$5:$H$29,IF(E7996="HI",2,IF(E7996="LO",6,10))+IF(D7996=1,2,IF(D7996=7,1,(IF(WEEKDAY(B7996)=1,2,IF(WEEKDAY(B7996)=7,1,0))))))</f>
        <v>3</v>
      </c>
      <c r="G7996" s="369">
        <f>VLOOKUP(C7996,METADATA!$J$5:$Q$29,IF(E7996="HI",2,IF(E7996="LO",6,10))+IF(D7996=1,2,IF(D7996=7,1,(IF(WEEKDAY(B7996)=1,2,IF(WEEKDAY(B7996)=7,1,0))))))</f>
        <v>3</v>
      </c>
      <c r="H7996" s="370">
        <v>12035.124755859375</v>
      </c>
      <c r="I7996" s="370">
        <v>9206.52490234375</v>
      </c>
      <c r="M7996" s="371">
        <f t="shared" si="497"/>
        <v>15152.700375397606</v>
      </c>
      <c r="N7996" s="329">
        <f t="shared" si="498"/>
        <v>5595.9874755859382</v>
      </c>
      <c r="T7996" s="331">
        <v>0</v>
      </c>
      <c r="U7996" s="328">
        <f>VLOOKUP(C7996,METADATA!$J$5:$Q$29,IF(E7996="HI",2,IF(E7996="LO",6,10))+IF(T7996=1,2,IF(D7996=7,1,(IF(WEEKDAY(B7996)=1,2,IF(WEEKDAY(B7996)=7,1,0))))))</f>
        <v>3</v>
      </c>
      <c r="V7996" s="328">
        <f>VLOOKUP(C7996,METADATA!$A$5:$H$29,IF(E7996="HI",2,IF(E7996="LO",6,10))+IF(T7996=1,2,IF(D7996=7,1,(IF(WEEKDAY(B7996)=1,2,IF(WEEKDAY(B7996)=7,1,0))))))</f>
        <v>3</v>
      </c>
    </row>
    <row r="7997" spans="2:22">
      <c r="B7997" s="318">
        <f t="shared" si="499"/>
        <v>46446</v>
      </c>
      <c r="C7997" s="312">
        <v>1</v>
      </c>
      <c r="D7997" s="368">
        <f>IFERROR((INDEX(METADATA!$T$2:$T$20,MATCH(B7997,METADATA!$S$2:$S$20,0))),0)</f>
        <v>0</v>
      </c>
      <c r="E7997" s="312" t="str">
        <f t="shared" si="496"/>
        <v>LO</v>
      </c>
      <c r="F7997" s="369">
        <f>VLOOKUP(C7997,METADATA!$A$5:$H$29,IF(E7997="HI",2,IF(E7997="LO",6,10))+IF(D7997=1,2,IF(D7997=7,1,(IF(WEEKDAY(B7997)=1,2,IF(WEEKDAY(B7997)=7,1,0))))))</f>
        <v>3</v>
      </c>
      <c r="G7997" s="369">
        <f>VLOOKUP(C7997,METADATA!$J$5:$Q$29,IF(E7997="HI",2,IF(E7997="LO",6,10))+IF(D7997=1,2,IF(D7997=7,1,(IF(WEEKDAY(B7997)=1,2,IF(WEEKDAY(B7997)=7,1,0))))))</f>
        <v>3</v>
      </c>
      <c r="H7997" s="370">
        <v>12173.052612304688</v>
      </c>
      <c r="I7997" s="370">
        <v>9310.2575073242188</v>
      </c>
      <c r="M7997" s="371">
        <f t="shared" si="497"/>
        <v>15325.276661601412</v>
      </c>
      <c r="N7997" s="329">
        <f t="shared" si="498"/>
        <v>5658.3417236328132</v>
      </c>
      <c r="T7997" s="331">
        <v>0</v>
      </c>
      <c r="U7997" s="328">
        <f>VLOOKUP(C7997,METADATA!$J$5:$Q$29,IF(E7997="HI",2,IF(E7997="LO",6,10))+IF(T7997=1,2,IF(D7997=7,1,(IF(WEEKDAY(B7997)=1,2,IF(WEEKDAY(B7997)=7,1,0))))))</f>
        <v>3</v>
      </c>
      <c r="V7997" s="328">
        <f>VLOOKUP(C7997,METADATA!$A$5:$H$29,IF(E7997="HI",2,IF(E7997="LO",6,10))+IF(T7997=1,2,IF(D7997=7,1,(IF(WEEKDAY(B7997)=1,2,IF(WEEKDAY(B7997)=7,1,0))))))</f>
        <v>3</v>
      </c>
    </row>
    <row r="7998" spans="2:22">
      <c r="B7998" s="318">
        <f t="shared" si="499"/>
        <v>46446</v>
      </c>
      <c r="C7998" s="312">
        <v>2</v>
      </c>
      <c r="D7998" s="368">
        <f>IFERROR((INDEX(METADATA!$T$2:$T$20,MATCH(B7998,METADATA!$S$2:$S$20,0))),0)</f>
        <v>0</v>
      </c>
      <c r="E7998" s="312" t="str">
        <f t="shared" si="496"/>
        <v>LO</v>
      </c>
      <c r="F7998" s="369">
        <f>VLOOKUP(C7998,METADATA!$A$5:$H$29,IF(E7998="HI",2,IF(E7998="LO",6,10))+IF(D7998=1,2,IF(D7998=7,1,(IF(WEEKDAY(B7998)=1,2,IF(WEEKDAY(B7998)=7,1,0))))))</f>
        <v>3</v>
      </c>
      <c r="G7998" s="369">
        <f>VLOOKUP(C7998,METADATA!$J$5:$Q$29,IF(E7998="HI",2,IF(E7998="LO",6,10))+IF(D7998=1,2,IF(D7998=7,1,(IF(WEEKDAY(B7998)=1,2,IF(WEEKDAY(B7998)=7,1,0))))))</f>
        <v>3</v>
      </c>
      <c r="H7998" s="370">
        <v>12196.575012207031</v>
      </c>
      <c r="I7998" s="370">
        <v>9288.974853515625</v>
      </c>
      <c r="M7998" s="371">
        <f t="shared" si="497"/>
        <v>15331.063102656599</v>
      </c>
      <c r="N7998" s="329">
        <f t="shared" si="498"/>
        <v>5630.0023498535156</v>
      </c>
      <c r="T7998" s="331">
        <v>0</v>
      </c>
      <c r="U7998" s="328">
        <f>VLOOKUP(C7998,METADATA!$J$5:$Q$29,IF(E7998="HI",2,IF(E7998="LO",6,10))+IF(T7998=1,2,IF(D7998=7,1,(IF(WEEKDAY(B7998)=1,2,IF(WEEKDAY(B7998)=7,1,0))))))</f>
        <v>3</v>
      </c>
      <c r="V7998" s="328">
        <f>VLOOKUP(C7998,METADATA!$A$5:$H$29,IF(E7998="HI",2,IF(E7998="LO",6,10))+IF(T7998=1,2,IF(D7998=7,1,(IF(WEEKDAY(B7998)=1,2,IF(WEEKDAY(B7998)=7,1,0))))))</f>
        <v>3</v>
      </c>
    </row>
    <row r="7999" spans="2:22">
      <c r="B7999" s="318">
        <f t="shared" si="499"/>
        <v>46446</v>
      </c>
      <c r="C7999" s="312">
        <v>3</v>
      </c>
      <c r="D7999" s="368">
        <f>IFERROR((INDEX(METADATA!$T$2:$T$20,MATCH(B7999,METADATA!$S$2:$S$20,0))),0)</f>
        <v>0</v>
      </c>
      <c r="E7999" s="312" t="str">
        <f t="shared" si="496"/>
        <v>LO</v>
      </c>
      <c r="F7999" s="369">
        <f>VLOOKUP(C7999,METADATA!$A$5:$H$29,IF(E7999="HI",2,IF(E7999="LO",6,10))+IF(D7999=1,2,IF(D7999=7,1,(IF(WEEKDAY(B7999)=1,2,IF(WEEKDAY(B7999)=7,1,0))))))</f>
        <v>3</v>
      </c>
      <c r="G7999" s="369">
        <f>VLOOKUP(C7999,METADATA!$J$5:$Q$29,IF(E7999="HI",2,IF(E7999="LO",6,10))+IF(D7999=1,2,IF(D7999=7,1,(IF(WEEKDAY(B7999)=1,2,IF(WEEKDAY(B7999)=7,1,0))))))</f>
        <v>3</v>
      </c>
      <c r="H7999" s="370">
        <v>12268.675231933594</v>
      </c>
      <c r="I7999" s="370">
        <v>9327.2998046875</v>
      </c>
      <c r="M7999" s="371">
        <f t="shared" si="497"/>
        <v>15411.648633198989</v>
      </c>
      <c r="N7999" s="329">
        <f t="shared" si="498"/>
        <v>5646.6972351074219</v>
      </c>
      <c r="T7999" s="331">
        <v>0</v>
      </c>
      <c r="U7999" s="328">
        <f>VLOOKUP(C7999,METADATA!$J$5:$Q$29,IF(E7999="HI",2,IF(E7999="LO",6,10))+IF(T7999=1,2,IF(D7999=7,1,(IF(WEEKDAY(B7999)=1,2,IF(WEEKDAY(B7999)=7,1,0))))))</f>
        <v>3</v>
      </c>
      <c r="V7999" s="328">
        <f>VLOOKUP(C7999,METADATA!$A$5:$H$29,IF(E7999="HI",2,IF(E7999="LO",6,10))+IF(T7999=1,2,IF(D7999=7,1,(IF(WEEKDAY(B7999)=1,2,IF(WEEKDAY(B7999)=7,1,0))))))</f>
        <v>3</v>
      </c>
    </row>
    <row r="8000" spans="2:22">
      <c r="B8000" s="318">
        <f t="shared" si="499"/>
        <v>46446</v>
      </c>
      <c r="C8000" s="312">
        <v>4</v>
      </c>
      <c r="D8000" s="368">
        <f>IFERROR((INDEX(METADATA!$T$2:$T$20,MATCH(B8000,METADATA!$S$2:$S$20,0))),0)</f>
        <v>0</v>
      </c>
      <c r="E8000" s="312" t="str">
        <f t="shared" si="496"/>
        <v>LO</v>
      </c>
      <c r="F8000" s="369">
        <f>VLOOKUP(C8000,METADATA!$A$5:$H$29,IF(E8000="HI",2,IF(E8000="LO",6,10))+IF(D8000=1,2,IF(D8000=7,1,(IF(WEEKDAY(B8000)=1,2,IF(WEEKDAY(B8000)=7,1,0))))))</f>
        <v>3</v>
      </c>
      <c r="G8000" s="369">
        <f>VLOOKUP(C8000,METADATA!$J$5:$Q$29,IF(E8000="HI",2,IF(E8000="LO",6,10))+IF(D8000=1,2,IF(D8000=7,1,(IF(WEEKDAY(B8000)=1,2,IF(WEEKDAY(B8000)=7,1,0))))))</f>
        <v>3</v>
      </c>
      <c r="H8000" s="370">
        <v>12188.599914550781</v>
      </c>
      <c r="I8000" s="370">
        <v>9152.5000610351563</v>
      </c>
      <c r="M8000" s="371">
        <f t="shared" si="497"/>
        <v>15242.382531751256</v>
      </c>
      <c r="N8000" s="329">
        <f t="shared" si="498"/>
        <v>5495.9200866699221</v>
      </c>
      <c r="T8000" s="331">
        <v>0</v>
      </c>
      <c r="U8000" s="328">
        <f>VLOOKUP(C8000,METADATA!$J$5:$Q$29,IF(E8000="HI",2,IF(E8000="LO",6,10))+IF(T8000=1,2,IF(D8000=7,1,(IF(WEEKDAY(B8000)=1,2,IF(WEEKDAY(B8000)=7,1,0))))))</f>
        <v>3</v>
      </c>
      <c r="V8000" s="328">
        <f>VLOOKUP(C8000,METADATA!$A$5:$H$29,IF(E8000="HI",2,IF(E8000="LO",6,10))+IF(T8000=1,2,IF(D8000=7,1,(IF(WEEKDAY(B8000)=1,2,IF(WEEKDAY(B8000)=7,1,0))))))</f>
        <v>3</v>
      </c>
    </row>
    <row r="8001" spans="2:22">
      <c r="B8001" s="318">
        <f t="shared" si="499"/>
        <v>46446</v>
      </c>
      <c r="C8001" s="312">
        <v>5</v>
      </c>
      <c r="D8001" s="368">
        <f>IFERROR((INDEX(METADATA!$T$2:$T$20,MATCH(B8001,METADATA!$S$2:$S$20,0))),0)</f>
        <v>0</v>
      </c>
      <c r="E8001" s="312" t="str">
        <f t="shared" si="496"/>
        <v>LO</v>
      </c>
      <c r="F8001" s="369">
        <f>VLOOKUP(C8001,METADATA!$A$5:$H$29,IF(E8001="HI",2,IF(E8001="LO",6,10))+IF(D8001=1,2,IF(D8001=7,1,(IF(WEEKDAY(B8001)=1,2,IF(WEEKDAY(B8001)=7,1,0))))))</f>
        <v>3</v>
      </c>
      <c r="G8001" s="369">
        <f>VLOOKUP(C8001,METADATA!$J$5:$Q$29,IF(E8001="HI",2,IF(E8001="LO",6,10))+IF(D8001=1,2,IF(D8001=7,1,(IF(WEEKDAY(B8001)=1,2,IF(WEEKDAY(B8001)=7,1,0))))))</f>
        <v>3</v>
      </c>
      <c r="H8001" s="370">
        <v>12239.47509765625</v>
      </c>
      <c r="I8001" s="370">
        <v>9076.8001098632813</v>
      </c>
      <c r="M8001" s="371">
        <f t="shared" si="497"/>
        <v>15237.882100231696</v>
      </c>
      <c r="N8001" s="329">
        <f t="shared" si="498"/>
        <v>5404.9575805664063</v>
      </c>
      <c r="T8001" s="331">
        <v>0</v>
      </c>
      <c r="U8001" s="328">
        <f>VLOOKUP(C8001,METADATA!$J$5:$Q$29,IF(E8001="HI",2,IF(E8001="LO",6,10))+IF(T8001=1,2,IF(D8001=7,1,(IF(WEEKDAY(B8001)=1,2,IF(WEEKDAY(B8001)=7,1,0))))))</f>
        <v>3</v>
      </c>
      <c r="V8001" s="328">
        <f>VLOOKUP(C8001,METADATA!$A$5:$H$29,IF(E8001="HI",2,IF(E8001="LO",6,10))+IF(T8001=1,2,IF(D8001=7,1,(IF(WEEKDAY(B8001)=1,2,IF(WEEKDAY(B8001)=7,1,0))))))</f>
        <v>3</v>
      </c>
    </row>
    <row r="8002" spans="2:22">
      <c r="B8002" s="318">
        <f t="shared" si="499"/>
        <v>46446</v>
      </c>
      <c r="C8002" s="312">
        <v>6</v>
      </c>
      <c r="D8002" s="368">
        <f>IFERROR((INDEX(METADATA!$T$2:$T$20,MATCH(B8002,METADATA!$S$2:$S$20,0))),0)</f>
        <v>0</v>
      </c>
      <c r="E8002" s="312" t="str">
        <f t="shared" si="496"/>
        <v>LO</v>
      </c>
      <c r="F8002" s="369">
        <f>VLOOKUP(C8002,METADATA!$A$5:$H$29,IF(E8002="HI",2,IF(E8002="LO",6,10))+IF(D8002=1,2,IF(D8002=7,1,(IF(WEEKDAY(B8002)=1,2,IF(WEEKDAY(B8002)=7,1,0))))))</f>
        <v>3</v>
      </c>
      <c r="G8002" s="369">
        <f>VLOOKUP(C8002,METADATA!$J$5:$Q$29,IF(E8002="HI",2,IF(E8002="LO",6,10))+IF(D8002=1,2,IF(D8002=7,1,(IF(WEEKDAY(B8002)=1,2,IF(WEEKDAY(B8002)=7,1,0))))))</f>
        <v>3</v>
      </c>
      <c r="H8002" s="370">
        <v>12349.350524902344</v>
      </c>
      <c r="I8002" s="370">
        <v>9028.8001098632813</v>
      </c>
      <c r="M8002" s="371">
        <f t="shared" si="497"/>
        <v>15297.898215466495</v>
      </c>
      <c r="N8002" s="329">
        <f t="shared" si="498"/>
        <v>5323.9949523925789</v>
      </c>
      <c r="T8002" s="331">
        <v>0</v>
      </c>
      <c r="U8002" s="328">
        <f>VLOOKUP(C8002,METADATA!$J$5:$Q$29,IF(E8002="HI",2,IF(E8002="LO",6,10))+IF(T8002=1,2,IF(D8002=7,1,(IF(WEEKDAY(B8002)=1,2,IF(WEEKDAY(B8002)=7,1,0))))))</f>
        <v>3</v>
      </c>
      <c r="V8002" s="328">
        <f>VLOOKUP(C8002,METADATA!$A$5:$H$29,IF(E8002="HI",2,IF(E8002="LO",6,10))+IF(T8002=1,2,IF(D8002=7,1,(IF(WEEKDAY(B8002)=1,2,IF(WEEKDAY(B8002)=7,1,0))))))</f>
        <v>3</v>
      </c>
    </row>
    <row r="8003" spans="2:22">
      <c r="B8003" s="318">
        <f t="shared" si="499"/>
        <v>46446</v>
      </c>
      <c r="C8003" s="312">
        <v>7</v>
      </c>
      <c r="D8003" s="368">
        <f>IFERROR((INDEX(METADATA!$T$2:$T$20,MATCH(B8003,METADATA!$S$2:$S$20,0))),0)</f>
        <v>0</v>
      </c>
      <c r="E8003" s="312" t="str">
        <f t="shared" si="496"/>
        <v>LO</v>
      </c>
      <c r="F8003" s="369">
        <f>VLOOKUP(C8003,METADATA!$A$5:$H$29,IF(E8003="HI",2,IF(E8003="LO",6,10))+IF(D8003=1,2,IF(D8003=7,1,(IF(WEEKDAY(B8003)=1,2,IF(WEEKDAY(B8003)=7,1,0))))))</f>
        <v>3</v>
      </c>
      <c r="G8003" s="369">
        <f>VLOOKUP(C8003,METADATA!$J$5:$Q$29,IF(E8003="HI",2,IF(E8003="LO",6,10))+IF(D8003=1,2,IF(D8003=7,1,(IF(WEEKDAY(B8003)=1,2,IF(WEEKDAY(B8003)=7,1,0))))))</f>
        <v>3</v>
      </c>
      <c r="H8003" s="370">
        <v>12239.375366210938</v>
      </c>
      <c r="I8003" s="370">
        <v>8893.5501098632813</v>
      </c>
      <c r="M8003" s="371">
        <f t="shared" si="497"/>
        <v>15129.360294198175</v>
      </c>
      <c r="N8003" s="329">
        <f t="shared" si="498"/>
        <v>5221.7375000000002</v>
      </c>
      <c r="T8003" s="331">
        <v>0</v>
      </c>
      <c r="U8003" s="328">
        <f>VLOOKUP(C8003,METADATA!$J$5:$Q$29,IF(E8003="HI",2,IF(E8003="LO",6,10))+IF(T8003=1,2,IF(D8003=7,1,(IF(WEEKDAY(B8003)=1,2,IF(WEEKDAY(B8003)=7,1,0))))))</f>
        <v>3</v>
      </c>
      <c r="V8003" s="328">
        <f>VLOOKUP(C8003,METADATA!$A$5:$H$29,IF(E8003="HI",2,IF(E8003="LO",6,10))+IF(T8003=1,2,IF(D8003=7,1,(IF(WEEKDAY(B8003)=1,2,IF(WEEKDAY(B8003)=7,1,0))))))</f>
        <v>3</v>
      </c>
    </row>
    <row r="8004" spans="2:22">
      <c r="B8004" s="318">
        <f t="shared" si="499"/>
        <v>46446</v>
      </c>
      <c r="C8004" s="312">
        <v>8</v>
      </c>
      <c r="D8004" s="368">
        <f>IFERROR((INDEX(METADATA!$T$2:$T$20,MATCH(B8004,METADATA!$S$2:$S$20,0))),0)</f>
        <v>0</v>
      </c>
      <c r="E8004" s="312" t="str">
        <f t="shared" ref="E8004:E8067" si="500">IF(B8004="","",IF(AND(MONTH(B8004)&gt;=MONTH($Z$9),MONTH(B8004)&lt;=MONTH($Z$11)),"HI","LO"))</f>
        <v>LO</v>
      </c>
      <c r="F8004" s="369">
        <f>VLOOKUP(C8004,METADATA!$A$5:$H$29,IF(E8004="HI",2,IF(E8004="LO",6,10))+IF(D8004=1,2,IF(D8004=7,1,(IF(WEEKDAY(B8004)=1,2,IF(WEEKDAY(B8004)=7,1,0))))))</f>
        <v>3</v>
      </c>
      <c r="G8004" s="369">
        <f>VLOOKUP(C8004,METADATA!$J$5:$Q$29,IF(E8004="HI",2,IF(E8004="LO",6,10))+IF(D8004=1,2,IF(D8004=7,1,(IF(WEEKDAY(B8004)=1,2,IF(WEEKDAY(B8004)=7,1,0))))))</f>
        <v>3</v>
      </c>
      <c r="H8004" s="370">
        <v>12440.700256347656</v>
      </c>
      <c r="I8004" s="370">
        <v>9132.64990234375</v>
      </c>
      <c r="M8004" s="371">
        <f t="shared" ref="M8004:M8067" si="501">SQRT(H8004^2+I8004^2)</f>
        <v>15432.962032839579</v>
      </c>
      <c r="N8004" s="329">
        <f t="shared" ref="N8004:N8067" si="502">IF(H8004=0,0,(IF(I8004-(0.3*H8004)&lt;0,0,(I8004-(0.3*H8004)))))</f>
        <v>5400.4398254394528</v>
      </c>
      <c r="T8004" s="331">
        <v>0</v>
      </c>
      <c r="U8004" s="328">
        <f>VLOOKUP(C8004,METADATA!$J$5:$Q$29,IF(E8004="HI",2,IF(E8004="LO",6,10))+IF(T8004=1,2,IF(D8004=7,1,(IF(WEEKDAY(B8004)=1,2,IF(WEEKDAY(B8004)=7,1,0))))))</f>
        <v>3</v>
      </c>
      <c r="V8004" s="328">
        <f>VLOOKUP(C8004,METADATA!$A$5:$H$29,IF(E8004="HI",2,IF(E8004="LO",6,10))+IF(T8004=1,2,IF(D8004=7,1,(IF(WEEKDAY(B8004)=1,2,IF(WEEKDAY(B8004)=7,1,0))))))</f>
        <v>3</v>
      </c>
    </row>
    <row r="8005" spans="2:22">
      <c r="B8005" s="318">
        <f t="shared" si="499"/>
        <v>46446</v>
      </c>
      <c r="C8005" s="312">
        <v>9</v>
      </c>
      <c r="D8005" s="368">
        <f>IFERROR((INDEX(METADATA!$T$2:$T$20,MATCH(B8005,METADATA!$S$2:$S$20,0))),0)</f>
        <v>0</v>
      </c>
      <c r="E8005" s="312" t="str">
        <f t="shared" si="500"/>
        <v>LO</v>
      </c>
      <c r="F8005" s="369">
        <f>VLOOKUP(C8005,METADATA!$A$5:$H$29,IF(E8005="HI",2,IF(E8005="LO",6,10))+IF(D8005=1,2,IF(D8005=7,1,(IF(WEEKDAY(B8005)=1,2,IF(WEEKDAY(B8005)=7,1,0))))))</f>
        <v>3</v>
      </c>
      <c r="G8005" s="369">
        <f>VLOOKUP(C8005,METADATA!$J$5:$Q$29,IF(E8005="HI",2,IF(E8005="LO",6,10))+IF(D8005=1,2,IF(D8005=7,1,(IF(WEEKDAY(B8005)=1,2,IF(WEEKDAY(B8005)=7,1,0))))))</f>
        <v>3</v>
      </c>
      <c r="H8005" s="370">
        <v>11331.727508544922</v>
      </c>
      <c r="I8005" s="370">
        <v>8640.3999633789063</v>
      </c>
      <c r="M8005" s="371">
        <f t="shared" si="501"/>
        <v>14250.072275433269</v>
      </c>
      <c r="N8005" s="329">
        <f t="shared" si="502"/>
        <v>5240.8817108154299</v>
      </c>
      <c r="T8005" s="331">
        <v>0</v>
      </c>
      <c r="U8005" s="328">
        <f>VLOOKUP(C8005,METADATA!$J$5:$Q$29,IF(E8005="HI",2,IF(E8005="LO",6,10))+IF(T8005=1,2,IF(D8005=7,1,(IF(WEEKDAY(B8005)=1,2,IF(WEEKDAY(B8005)=7,1,0))))))</f>
        <v>3</v>
      </c>
      <c r="V8005" s="328">
        <f>VLOOKUP(C8005,METADATA!$A$5:$H$29,IF(E8005="HI",2,IF(E8005="LO",6,10))+IF(T8005=1,2,IF(D8005=7,1,(IF(WEEKDAY(B8005)=1,2,IF(WEEKDAY(B8005)=7,1,0))))))</f>
        <v>3</v>
      </c>
    </row>
    <row r="8006" spans="2:22">
      <c r="B8006" s="318">
        <f t="shared" si="499"/>
        <v>46446</v>
      </c>
      <c r="C8006" s="312">
        <v>10</v>
      </c>
      <c r="D8006" s="368">
        <f>IFERROR((INDEX(METADATA!$T$2:$T$20,MATCH(B8006,METADATA!$S$2:$S$20,0))),0)</f>
        <v>0</v>
      </c>
      <c r="E8006" s="312" t="str">
        <f t="shared" si="500"/>
        <v>LO</v>
      </c>
      <c r="F8006" s="369">
        <f>VLOOKUP(C8006,METADATA!$A$5:$H$29,IF(E8006="HI",2,IF(E8006="LO",6,10))+IF(D8006=1,2,IF(D8006=7,1,(IF(WEEKDAY(B8006)=1,2,IF(WEEKDAY(B8006)=7,1,0))))))</f>
        <v>3</v>
      </c>
      <c r="G8006" s="369">
        <f>VLOOKUP(C8006,METADATA!$J$5:$Q$29,IF(E8006="HI",2,IF(E8006="LO",6,10))+IF(D8006=1,2,IF(D8006=7,1,(IF(WEEKDAY(B8006)=1,2,IF(WEEKDAY(B8006)=7,1,0))))))</f>
        <v>3</v>
      </c>
      <c r="H8006" s="370">
        <v>10024.34521484375</v>
      </c>
      <c r="I8006" s="370">
        <v>7910.5001220703125</v>
      </c>
      <c r="M8006" s="371">
        <f t="shared" si="501"/>
        <v>12769.632303540897</v>
      </c>
      <c r="N8006" s="329">
        <f t="shared" si="502"/>
        <v>4903.1965576171879</v>
      </c>
      <c r="T8006" s="331">
        <v>0</v>
      </c>
      <c r="U8006" s="328">
        <f>VLOOKUP(C8006,METADATA!$J$5:$Q$29,IF(E8006="HI",2,IF(E8006="LO",6,10))+IF(T8006=1,2,IF(D8006=7,1,(IF(WEEKDAY(B8006)=1,2,IF(WEEKDAY(B8006)=7,1,0))))))</f>
        <v>3</v>
      </c>
      <c r="V8006" s="328">
        <f>VLOOKUP(C8006,METADATA!$A$5:$H$29,IF(E8006="HI",2,IF(E8006="LO",6,10))+IF(T8006=1,2,IF(D8006=7,1,(IF(WEEKDAY(B8006)=1,2,IF(WEEKDAY(B8006)=7,1,0))))))</f>
        <v>3</v>
      </c>
    </row>
    <row r="8007" spans="2:22">
      <c r="B8007" s="318">
        <f t="shared" si="499"/>
        <v>46446</v>
      </c>
      <c r="C8007" s="312">
        <v>11</v>
      </c>
      <c r="D8007" s="368">
        <f>IFERROR((INDEX(METADATA!$T$2:$T$20,MATCH(B8007,METADATA!$S$2:$S$20,0))),0)</f>
        <v>0</v>
      </c>
      <c r="E8007" s="312" t="str">
        <f t="shared" si="500"/>
        <v>LO</v>
      </c>
      <c r="F8007" s="369">
        <f>VLOOKUP(C8007,METADATA!$A$5:$H$29,IF(E8007="HI",2,IF(E8007="LO",6,10))+IF(D8007=1,2,IF(D8007=7,1,(IF(WEEKDAY(B8007)=1,2,IF(WEEKDAY(B8007)=7,1,0))))))</f>
        <v>3</v>
      </c>
      <c r="G8007" s="369">
        <f>VLOOKUP(C8007,METADATA!$J$5:$Q$29,IF(E8007="HI",2,IF(E8007="LO",6,10))+IF(D8007=1,2,IF(D8007=7,1,(IF(WEEKDAY(B8007)=1,2,IF(WEEKDAY(B8007)=7,1,0))))))</f>
        <v>3</v>
      </c>
      <c r="H8007" s="370">
        <v>6850.782470703125</v>
      </c>
      <c r="I8007" s="370">
        <v>6261.7650451660156</v>
      </c>
      <c r="M8007" s="371">
        <f t="shared" si="501"/>
        <v>9281.3211312698459</v>
      </c>
      <c r="N8007" s="329">
        <f t="shared" si="502"/>
        <v>4206.5303039550781</v>
      </c>
      <c r="T8007" s="331">
        <v>0</v>
      </c>
      <c r="U8007" s="328">
        <f>VLOOKUP(C8007,METADATA!$J$5:$Q$29,IF(E8007="HI",2,IF(E8007="LO",6,10))+IF(T8007=1,2,IF(D8007=7,1,(IF(WEEKDAY(B8007)=1,2,IF(WEEKDAY(B8007)=7,1,0))))))</f>
        <v>3</v>
      </c>
      <c r="V8007" s="328">
        <f>VLOOKUP(C8007,METADATA!$A$5:$H$29,IF(E8007="HI",2,IF(E8007="LO",6,10))+IF(T8007=1,2,IF(D8007=7,1,(IF(WEEKDAY(B8007)=1,2,IF(WEEKDAY(B8007)=7,1,0))))))</f>
        <v>3</v>
      </c>
    </row>
    <row r="8008" spans="2:22">
      <c r="B8008" s="318">
        <f t="shared" si="499"/>
        <v>46446</v>
      </c>
      <c r="C8008" s="312">
        <v>12</v>
      </c>
      <c r="D8008" s="368">
        <f>IFERROR((INDEX(METADATA!$T$2:$T$20,MATCH(B8008,METADATA!$S$2:$S$20,0))),0)</f>
        <v>0</v>
      </c>
      <c r="E8008" s="312" t="str">
        <f t="shared" si="500"/>
        <v>LO</v>
      </c>
      <c r="F8008" s="369">
        <f>VLOOKUP(C8008,METADATA!$A$5:$H$29,IF(E8008="HI",2,IF(E8008="LO",6,10))+IF(D8008=1,2,IF(D8008=7,1,(IF(WEEKDAY(B8008)=1,2,IF(WEEKDAY(B8008)=7,1,0))))))</f>
        <v>3</v>
      </c>
      <c r="G8008" s="369">
        <f>VLOOKUP(C8008,METADATA!$J$5:$Q$29,IF(E8008="HI",2,IF(E8008="LO",6,10))+IF(D8008=1,2,IF(D8008=7,1,(IF(WEEKDAY(B8008)=1,2,IF(WEEKDAY(B8008)=7,1,0))))))</f>
        <v>3</v>
      </c>
      <c r="H8008" s="370">
        <v>6340.9676208496094</v>
      </c>
      <c r="I8008" s="370">
        <v>5981.1400756835938</v>
      </c>
      <c r="M8008" s="371">
        <f t="shared" si="501"/>
        <v>8716.7601190816022</v>
      </c>
      <c r="N8008" s="329">
        <f t="shared" si="502"/>
        <v>4078.8497894287111</v>
      </c>
      <c r="T8008" s="331">
        <v>0</v>
      </c>
      <c r="U8008" s="328">
        <f>VLOOKUP(C8008,METADATA!$J$5:$Q$29,IF(E8008="HI",2,IF(E8008="LO",6,10))+IF(T8008=1,2,IF(D8008=7,1,(IF(WEEKDAY(B8008)=1,2,IF(WEEKDAY(B8008)=7,1,0))))))</f>
        <v>3</v>
      </c>
      <c r="V8008" s="328">
        <f>VLOOKUP(C8008,METADATA!$A$5:$H$29,IF(E8008="HI",2,IF(E8008="LO",6,10))+IF(T8008=1,2,IF(D8008=7,1,(IF(WEEKDAY(B8008)=1,2,IF(WEEKDAY(B8008)=7,1,0))))))</f>
        <v>3</v>
      </c>
    </row>
    <row r="8009" spans="2:22">
      <c r="B8009" s="318">
        <f t="shared" si="499"/>
        <v>46446</v>
      </c>
      <c r="C8009" s="312">
        <v>13</v>
      </c>
      <c r="D8009" s="368">
        <f>IFERROR((INDEX(METADATA!$T$2:$T$20,MATCH(B8009,METADATA!$S$2:$S$20,0))),0)</f>
        <v>0</v>
      </c>
      <c r="E8009" s="312" t="str">
        <f t="shared" si="500"/>
        <v>LO</v>
      </c>
      <c r="F8009" s="369">
        <f>VLOOKUP(C8009,METADATA!$A$5:$H$29,IF(E8009="HI",2,IF(E8009="LO",6,10))+IF(D8009=1,2,IF(D8009=7,1,(IF(WEEKDAY(B8009)=1,2,IF(WEEKDAY(B8009)=7,1,0))))))</f>
        <v>3</v>
      </c>
      <c r="G8009" s="369">
        <f>VLOOKUP(C8009,METADATA!$J$5:$Q$29,IF(E8009="HI",2,IF(E8009="LO",6,10))+IF(D8009=1,2,IF(D8009=7,1,(IF(WEEKDAY(B8009)=1,2,IF(WEEKDAY(B8009)=7,1,0))))))</f>
        <v>3</v>
      </c>
      <c r="H8009" s="370">
        <v>5791.4601745605469</v>
      </c>
      <c r="I8009" s="370">
        <v>5659.9574584960938</v>
      </c>
      <c r="M8009" s="371">
        <f t="shared" si="501"/>
        <v>8097.9089514211282</v>
      </c>
      <c r="N8009" s="329">
        <f t="shared" si="502"/>
        <v>3922.5194061279299</v>
      </c>
      <c r="T8009" s="331">
        <v>0</v>
      </c>
      <c r="U8009" s="328">
        <f>VLOOKUP(C8009,METADATA!$J$5:$Q$29,IF(E8009="HI",2,IF(E8009="LO",6,10))+IF(T8009=1,2,IF(D8009=7,1,(IF(WEEKDAY(B8009)=1,2,IF(WEEKDAY(B8009)=7,1,0))))))</f>
        <v>3</v>
      </c>
      <c r="V8009" s="328">
        <f>VLOOKUP(C8009,METADATA!$A$5:$H$29,IF(E8009="HI",2,IF(E8009="LO",6,10))+IF(T8009=1,2,IF(D8009=7,1,(IF(WEEKDAY(B8009)=1,2,IF(WEEKDAY(B8009)=7,1,0))))))</f>
        <v>3</v>
      </c>
    </row>
    <row r="8010" spans="2:22">
      <c r="B8010" s="318">
        <f t="shared" si="499"/>
        <v>46446</v>
      </c>
      <c r="C8010" s="312">
        <v>14</v>
      </c>
      <c r="D8010" s="368">
        <f>IFERROR((INDEX(METADATA!$T$2:$T$20,MATCH(B8010,METADATA!$S$2:$S$20,0))),0)</f>
        <v>0</v>
      </c>
      <c r="E8010" s="312" t="str">
        <f t="shared" si="500"/>
        <v>LO</v>
      </c>
      <c r="F8010" s="369">
        <f>VLOOKUP(C8010,METADATA!$A$5:$H$29,IF(E8010="HI",2,IF(E8010="LO",6,10))+IF(D8010=1,2,IF(D8010=7,1,(IF(WEEKDAY(B8010)=1,2,IF(WEEKDAY(B8010)=7,1,0))))))</f>
        <v>3</v>
      </c>
      <c r="G8010" s="369">
        <f>VLOOKUP(C8010,METADATA!$J$5:$Q$29,IF(E8010="HI",2,IF(E8010="LO",6,10))+IF(D8010=1,2,IF(D8010=7,1,(IF(WEEKDAY(B8010)=1,2,IF(WEEKDAY(B8010)=7,1,0))))))</f>
        <v>3</v>
      </c>
      <c r="H8010" s="370">
        <v>4913.3125610351563</v>
      </c>
      <c r="I8010" s="370">
        <v>4857.3550109863281</v>
      </c>
      <c r="M8010" s="371">
        <f t="shared" si="501"/>
        <v>6909.0186007261427</v>
      </c>
      <c r="N8010" s="329">
        <f t="shared" si="502"/>
        <v>3383.3612426757813</v>
      </c>
      <c r="T8010" s="331">
        <v>0</v>
      </c>
      <c r="U8010" s="328">
        <f>VLOOKUP(C8010,METADATA!$J$5:$Q$29,IF(E8010="HI",2,IF(E8010="LO",6,10))+IF(T8010=1,2,IF(D8010=7,1,(IF(WEEKDAY(B8010)=1,2,IF(WEEKDAY(B8010)=7,1,0))))))</f>
        <v>3</v>
      </c>
      <c r="V8010" s="328">
        <f>VLOOKUP(C8010,METADATA!$A$5:$H$29,IF(E8010="HI",2,IF(E8010="LO",6,10))+IF(T8010=1,2,IF(D8010=7,1,(IF(WEEKDAY(B8010)=1,2,IF(WEEKDAY(B8010)=7,1,0))))))</f>
        <v>3</v>
      </c>
    </row>
    <row r="8011" spans="2:22">
      <c r="B8011" s="318">
        <f t="shared" si="499"/>
        <v>46446</v>
      </c>
      <c r="C8011" s="312">
        <v>15</v>
      </c>
      <c r="D8011" s="368">
        <f>IFERROR((INDEX(METADATA!$T$2:$T$20,MATCH(B8011,METADATA!$S$2:$S$20,0))),0)</f>
        <v>0</v>
      </c>
      <c r="E8011" s="312" t="str">
        <f t="shared" si="500"/>
        <v>LO</v>
      </c>
      <c r="F8011" s="369">
        <f>VLOOKUP(C8011,METADATA!$A$5:$H$29,IF(E8011="HI",2,IF(E8011="LO",6,10))+IF(D8011=1,2,IF(D8011=7,1,(IF(WEEKDAY(B8011)=1,2,IF(WEEKDAY(B8011)=7,1,0))))))</f>
        <v>3</v>
      </c>
      <c r="G8011" s="369">
        <f>VLOOKUP(C8011,METADATA!$J$5:$Q$29,IF(E8011="HI",2,IF(E8011="LO",6,10))+IF(D8011=1,2,IF(D8011=7,1,(IF(WEEKDAY(B8011)=1,2,IF(WEEKDAY(B8011)=7,1,0))))))</f>
        <v>3</v>
      </c>
      <c r="H8011" s="370">
        <v>5804.0999755859375</v>
      </c>
      <c r="I8011" s="370">
        <v>5448.1724243164063</v>
      </c>
      <c r="M8011" s="371">
        <f t="shared" si="501"/>
        <v>7960.5376257937742</v>
      </c>
      <c r="N8011" s="329">
        <f t="shared" si="502"/>
        <v>3706.9424316406248</v>
      </c>
      <c r="T8011" s="331">
        <v>0</v>
      </c>
      <c r="U8011" s="328">
        <f>VLOOKUP(C8011,METADATA!$J$5:$Q$29,IF(E8011="HI",2,IF(E8011="LO",6,10))+IF(T8011=1,2,IF(D8011=7,1,(IF(WEEKDAY(B8011)=1,2,IF(WEEKDAY(B8011)=7,1,0))))))</f>
        <v>3</v>
      </c>
      <c r="V8011" s="328">
        <f>VLOOKUP(C8011,METADATA!$A$5:$H$29,IF(E8011="HI",2,IF(E8011="LO",6,10))+IF(T8011=1,2,IF(D8011=7,1,(IF(WEEKDAY(B8011)=1,2,IF(WEEKDAY(B8011)=7,1,0))))))</f>
        <v>3</v>
      </c>
    </row>
    <row r="8012" spans="2:22">
      <c r="B8012" s="318">
        <f t="shared" si="499"/>
        <v>46446</v>
      </c>
      <c r="C8012" s="312">
        <v>16</v>
      </c>
      <c r="D8012" s="368">
        <f>IFERROR((INDEX(METADATA!$T$2:$T$20,MATCH(B8012,METADATA!$S$2:$S$20,0))),0)</f>
        <v>0</v>
      </c>
      <c r="E8012" s="312" t="str">
        <f t="shared" si="500"/>
        <v>LO</v>
      </c>
      <c r="F8012" s="369">
        <f>VLOOKUP(C8012,METADATA!$A$5:$H$29,IF(E8012="HI",2,IF(E8012="LO",6,10))+IF(D8012=1,2,IF(D8012=7,1,(IF(WEEKDAY(B8012)=1,2,IF(WEEKDAY(B8012)=7,1,0))))))</f>
        <v>3</v>
      </c>
      <c r="G8012" s="369">
        <f>VLOOKUP(C8012,METADATA!$J$5:$Q$29,IF(E8012="HI",2,IF(E8012="LO",6,10))+IF(D8012=1,2,IF(D8012=7,1,(IF(WEEKDAY(B8012)=1,2,IF(WEEKDAY(B8012)=7,1,0))))))</f>
        <v>3</v>
      </c>
      <c r="H8012" s="370">
        <v>7659.1497802734375</v>
      </c>
      <c r="I8012" s="370">
        <v>6666.3750610351563</v>
      </c>
      <c r="M8012" s="371">
        <f t="shared" si="501"/>
        <v>10153.971233515196</v>
      </c>
      <c r="N8012" s="329">
        <f t="shared" si="502"/>
        <v>4368.630126953125</v>
      </c>
      <c r="T8012" s="331">
        <v>0</v>
      </c>
      <c r="U8012" s="328">
        <f>VLOOKUP(C8012,METADATA!$J$5:$Q$29,IF(E8012="HI",2,IF(E8012="LO",6,10))+IF(T8012=1,2,IF(D8012=7,1,(IF(WEEKDAY(B8012)=1,2,IF(WEEKDAY(B8012)=7,1,0))))))</f>
        <v>3</v>
      </c>
      <c r="V8012" s="328">
        <f>VLOOKUP(C8012,METADATA!$A$5:$H$29,IF(E8012="HI",2,IF(E8012="LO",6,10))+IF(T8012=1,2,IF(D8012=7,1,(IF(WEEKDAY(B8012)=1,2,IF(WEEKDAY(B8012)=7,1,0))))))</f>
        <v>3</v>
      </c>
    </row>
    <row r="8013" spans="2:22">
      <c r="B8013" s="318">
        <f t="shared" si="499"/>
        <v>46446</v>
      </c>
      <c r="C8013" s="312">
        <v>17</v>
      </c>
      <c r="D8013" s="368">
        <f>IFERROR((INDEX(METADATA!$T$2:$T$20,MATCH(B8013,METADATA!$S$2:$S$20,0))),0)</f>
        <v>0</v>
      </c>
      <c r="E8013" s="312" t="str">
        <f t="shared" si="500"/>
        <v>LO</v>
      </c>
      <c r="F8013" s="369">
        <f>VLOOKUP(C8013,METADATA!$A$5:$H$29,IF(E8013="HI",2,IF(E8013="LO",6,10))+IF(D8013=1,2,IF(D8013=7,1,(IF(WEEKDAY(B8013)=1,2,IF(WEEKDAY(B8013)=7,1,0))))))</f>
        <v>3</v>
      </c>
      <c r="G8013" s="369">
        <f>VLOOKUP(C8013,METADATA!$J$5:$Q$29,IF(E8013="HI",2,IF(E8013="LO",6,10))+IF(D8013=1,2,IF(D8013=7,1,(IF(WEEKDAY(B8013)=1,2,IF(WEEKDAY(B8013)=7,1,0))))))</f>
        <v>3</v>
      </c>
      <c r="H8013" s="370">
        <v>12263.249633789063</v>
      </c>
      <c r="I8013" s="370">
        <v>9270.10009765625</v>
      </c>
      <c r="M8013" s="371">
        <f t="shared" si="501"/>
        <v>15372.769672417329</v>
      </c>
      <c r="N8013" s="329">
        <f t="shared" si="502"/>
        <v>5591.1252075195316</v>
      </c>
      <c r="T8013" s="331">
        <v>0</v>
      </c>
      <c r="U8013" s="328">
        <f>VLOOKUP(C8013,METADATA!$J$5:$Q$29,IF(E8013="HI",2,IF(E8013="LO",6,10))+IF(T8013=1,2,IF(D8013=7,1,(IF(WEEKDAY(B8013)=1,2,IF(WEEKDAY(B8013)=7,1,0))))))</f>
        <v>3</v>
      </c>
      <c r="V8013" s="328">
        <f>VLOOKUP(C8013,METADATA!$A$5:$H$29,IF(E8013="HI",2,IF(E8013="LO",6,10))+IF(T8013=1,2,IF(D8013=7,1,(IF(WEEKDAY(B8013)=1,2,IF(WEEKDAY(B8013)=7,1,0))))))</f>
        <v>3</v>
      </c>
    </row>
    <row r="8014" spans="2:22">
      <c r="B8014" s="318">
        <f t="shared" si="499"/>
        <v>46446</v>
      </c>
      <c r="C8014" s="312">
        <v>18</v>
      </c>
      <c r="D8014" s="368">
        <f>IFERROR((INDEX(METADATA!$T$2:$T$20,MATCH(B8014,METADATA!$S$2:$S$20,0))),0)</f>
        <v>0</v>
      </c>
      <c r="E8014" s="312" t="str">
        <f t="shared" si="500"/>
        <v>LO</v>
      </c>
      <c r="F8014" s="369">
        <f>VLOOKUP(C8014,METADATA!$A$5:$H$29,IF(E8014="HI",2,IF(E8014="LO",6,10))+IF(D8014=1,2,IF(D8014=7,1,(IF(WEEKDAY(B8014)=1,2,IF(WEEKDAY(B8014)=7,1,0))))))</f>
        <v>2</v>
      </c>
      <c r="G8014" s="369">
        <f>VLOOKUP(C8014,METADATA!$J$5:$Q$29,IF(E8014="HI",2,IF(E8014="LO",6,10))+IF(D8014=1,2,IF(D8014=7,1,(IF(WEEKDAY(B8014)=1,2,IF(WEEKDAY(B8014)=7,1,0))))))</f>
        <v>2</v>
      </c>
      <c r="H8014" s="370">
        <v>12596.850219726563</v>
      </c>
      <c r="I8014" s="370">
        <v>9307.550048828125</v>
      </c>
      <c r="M8014" s="371">
        <f t="shared" si="501"/>
        <v>15662.411160790843</v>
      </c>
      <c r="N8014" s="329">
        <f t="shared" si="502"/>
        <v>5528.494982910157</v>
      </c>
      <c r="T8014" s="331">
        <v>0</v>
      </c>
      <c r="U8014" s="328">
        <f>VLOOKUP(C8014,METADATA!$J$5:$Q$29,IF(E8014="HI",2,IF(E8014="LO",6,10))+IF(T8014=1,2,IF(D8014=7,1,(IF(WEEKDAY(B8014)=1,2,IF(WEEKDAY(B8014)=7,1,0))))))</f>
        <v>2</v>
      </c>
      <c r="V8014" s="328">
        <f>VLOOKUP(C8014,METADATA!$A$5:$H$29,IF(E8014="HI",2,IF(E8014="LO",6,10))+IF(T8014=1,2,IF(D8014=7,1,(IF(WEEKDAY(B8014)=1,2,IF(WEEKDAY(B8014)=7,1,0))))))</f>
        <v>2</v>
      </c>
    </row>
    <row r="8015" spans="2:22">
      <c r="B8015" s="318">
        <f t="shared" si="499"/>
        <v>46446</v>
      </c>
      <c r="C8015" s="312">
        <v>19</v>
      </c>
      <c r="D8015" s="368">
        <f>IFERROR((INDEX(METADATA!$T$2:$T$20,MATCH(B8015,METADATA!$S$2:$S$20,0))),0)</f>
        <v>0</v>
      </c>
      <c r="E8015" s="312" t="str">
        <f t="shared" si="500"/>
        <v>LO</v>
      </c>
      <c r="F8015" s="369">
        <f>VLOOKUP(C8015,METADATA!$A$5:$H$29,IF(E8015="HI",2,IF(E8015="LO",6,10))+IF(D8015=1,2,IF(D8015=7,1,(IF(WEEKDAY(B8015)=1,2,IF(WEEKDAY(B8015)=7,1,0))))))</f>
        <v>2</v>
      </c>
      <c r="G8015" s="369">
        <f>VLOOKUP(C8015,METADATA!$J$5:$Q$29,IF(E8015="HI",2,IF(E8015="LO",6,10))+IF(D8015=1,2,IF(D8015=7,1,(IF(WEEKDAY(B8015)=1,2,IF(WEEKDAY(B8015)=7,1,0))))))</f>
        <v>2</v>
      </c>
      <c r="H8015" s="370">
        <v>12529.350036621094</v>
      </c>
      <c r="I8015" s="370">
        <v>9256.14990234375</v>
      </c>
      <c r="M8015" s="371">
        <f t="shared" si="501"/>
        <v>15577.577583014479</v>
      </c>
      <c r="N8015" s="329">
        <f t="shared" si="502"/>
        <v>5497.3448913574221</v>
      </c>
      <c r="T8015" s="331">
        <v>0</v>
      </c>
      <c r="U8015" s="328">
        <f>VLOOKUP(C8015,METADATA!$J$5:$Q$29,IF(E8015="HI",2,IF(E8015="LO",6,10))+IF(T8015=1,2,IF(D8015=7,1,(IF(WEEKDAY(B8015)=1,2,IF(WEEKDAY(B8015)=7,1,0))))))</f>
        <v>2</v>
      </c>
      <c r="V8015" s="328">
        <f>VLOOKUP(C8015,METADATA!$A$5:$H$29,IF(E8015="HI",2,IF(E8015="LO",6,10))+IF(T8015=1,2,IF(D8015=7,1,(IF(WEEKDAY(B8015)=1,2,IF(WEEKDAY(B8015)=7,1,0))))))</f>
        <v>2</v>
      </c>
    </row>
    <row r="8016" spans="2:22">
      <c r="B8016" s="318">
        <f t="shared" si="499"/>
        <v>46446</v>
      </c>
      <c r="C8016" s="312">
        <v>20</v>
      </c>
      <c r="D8016" s="368">
        <f>IFERROR((INDEX(METADATA!$T$2:$T$20,MATCH(B8016,METADATA!$S$2:$S$20,0))),0)</f>
        <v>0</v>
      </c>
      <c r="E8016" s="312" t="str">
        <f t="shared" si="500"/>
        <v>LO</v>
      </c>
      <c r="F8016" s="369">
        <f>VLOOKUP(C8016,METADATA!$A$5:$H$29,IF(E8016="HI",2,IF(E8016="LO",6,10))+IF(D8016=1,2,IF(D8016=7,1,(IF(WEEKDAY(B8016)=1,2,IF(WEEKDAY(B8016)=7,1,0))))))</f>
        <v>3</v>
      </c>
      <c r="G8016" s="369">
        <f>VLOOKUP(C8016,METADATA!$J$5:$Q$29,IF(E8016="HI",2,IF(E8016="LO",6,10))+IF(D8016=1,2,IF(D8016=7,1,(IF(WEEKDAY(B8016)=1,2,IF(WEEKDAY(B8016)=7,1,0))))))</f>
        <v>3</v>
      </c>
      <c r="H8016" s="370">
        <v>12549.049865722656</v>
      </c>
      <c r="I8016" s="370">
        <v>9380.9501342773438</v>
      </c>
      <c r="M8016" s="371">
        <f t="shared" si="501"/>
        <v>15667.829395107414</v>
      </c>
      <c r="N8016" s="329">
        <f t="shared" si="502"/>
        <v>5616.2351745605465</v>
      </c>
      <c r="T8016" s="331">
        <v>0</v>
      </c>
      <c r="U8016" s="328">
        <f>VLOOKUP(C8016,METADATA!$J$5:$Q$29,IF(E8016="HI",2,IF(E8016="LO",6,10))+IF(T8016=1,2,IF(D8016=7,1,(IF(WEEKDAY(B8016)=1,2,IF(WEEKDAY(B8016)=7,1,0))))))</f>
        <v>3</v>
      </c>
      <c r="V8016" s="328">
        <f>VLOOKUP(C8016,METADATA!$A$5:$H$29,IF(E8016="HI",2,IF(E8016="LO",6,10))+IF(T8016=1,2,IF(D8016=7,1,(IF(WEEKDAY(B8016)=1,2,IF(WEEKDAY(B8016)=7,1,0))))))</f>
        <v>3</v>
      </c>
    </row>
    <row r="8017" spans="2:22">
      <c r="B8017" s="318">
        <f t="shared" si="499"/>
        <v>46446</v>
      </c>
      <c r="C8017" s="312">
        <v>21</v>
      </c>
      <c r="D8017" s="368">
        <f>IFERROR((INDEX(METADATA!$T$2:$T$20,MATCH(B8017,METADATA!$S$2:$S$20,0))),0)</f>
        <v>0</v>
      </c>
      <c r="E8017" s="312" t="str">
        <f t="shared" si="500"/>
        <v>LO</v>
      </c>
      <c r="F8017" s="369">
        <f>VLOOKUP(C8017,METADATA!$A$5:$H$29,IF(E8017="HI",2,IF(E8017="LO",6,10))+IF(D8017=1,2,IF(D8017=7,1,(IF(WEEKDAY(B8017)=1,2,IF(WEEKDAY(B8017)=7,1,0))))))</f>
        <v>3</v>
      </c>
      <c r="G8017" s="369">
        <f>VLOOKUP(C8017,METADATA!$J$5:$Q$29,IF(E8017="HI",2,IF(E8017="LO",6,10))+IF(D8017=1,2,IF(D8017=7,1,(IF(WEEKDAY(B8017)=1,2,IF(WEEKDAY(B8017)=7,1,0))))))</f>
        <v>3</v>
      </c>
      <c r="H8017" s="370">
        <v>12402.82470703125</v>
      </c>
      <c r="I8017" s="370">
        <v>9218.9749755859375</v>
      </c>
      <c r="M8017" s="371">
        <f t="shared" si="501"/>
        <v>15453.78789532924</v>
      </c>
      <c r="N8017" s="329">
        <f t="shared" si="502"/>
        <v>5498.1275634765625</v>
      </c>
      <c r="T8017" s="331">
        <v>0</v>
      </c>
      <c r="U8017" s="328">
        <f>VLOOKUP(C8017,METADATA!$J$5:$Q$29,IF(E8017="HI",2,IF(E8017="LO",6,10))+IF(T8017=1,2,IF(D8017=7,1,(IF(WEEKDAY(B8017)=1,2,IF(WEEKDAY(B8017)=7,1,0))))))</f>
        <v>3</v>
      </c>
      <c r="V8017" s="328">
        <f>VLOOKUP(C8017,METADATA!$A$5:$H$29,IF(E8017="HI",2,IF(E8017="LO",6,10))+IF(T8017=1,2,IF(D8017=7,1,(IF(WEEKDAY(B8017)=1,2,IF(WEEKDAY(B8017)=7,1,0))))))</f>
        <v>3</v>
      </c>
    </row>
    <row r="8018" spans="2:22">
      <c r="B8018" s="318">
        <f t="shared" si="499"/>
        <v>46446</v>
      </c>
      <c r="C8018" s="312">
        <v>22</v>
      </c>
      <c r="D8018" s="368">
        <f>IFERROR((INDEX(METADATA!$T$2:$T$20,MATCH(B8018,METADATA!$S$2:$S$20,0))),0)</f>
        <v>0</v>
      </c>
      <c r="E8018" s="312" t="str">
        <f t="shared" si="500"/>
        <v>LO</v>
      </c>
      <c r="F8018" s="369">
        <f>VLOOKUP(C8018,METADATA!$A$5:$H$29,IF(E8018="HI",2,IF(E8018="LO",6,10))+IF(D8018=1,2,IF(D8018=7,1,(IF(WEEKDAY(B8018)=1,2,IF(WEEKDAY(B8018)=7,1,0))))))</f>
        <v>3</v>
      </c>
      <c r="G8018" s="369">
        <f>VLOOKUP(C8018,METADATA!$J$5:$Q$29,IF(E8018="HI",2,IF(E8018="LO",6,10))+IF(D8018=1,2,IF(D8018=7,1,(IF(WEEKDAY(B8018)=1,2,IF(WEEKDAY(B8018)=7,1,0))))))</f>
        <v>3</v>
      </c>
      <c r="H8018" s="370">
        <v>12449.500305175781</v>
      </c>
      <c r="I8018" s="370">
        <v>9407</v>
      </c>
      <c r="M8018" s="371">
        <f t="shared" si="501"/>
        <v>15603.900372937911</v>
      </c>
      <c r="N8018" s="329">
        <f t="shared" si="502"/>
        <v>5672.1499084472653</v>
      </c>
      <c r="T8018" s="331">
        <v>0</v>
      </c>
      <c r="U8018" s="328">
        <f>VLOOKUP(C8018,METADATA!$J$5:$Q$29,IF(E8018="HI",2,IF(E8018="LO",6,10))+IF(T8018=1,2,IF(D8018=7,1,(IF(WEEKDAY(B8018)=1,2,IF(WEEKDAY(B8018)=7,1,0))))))</f>
        <v>3</v>
      </c>
      <c r="V8018" s="328">
        <f>VLOOKUP(C8018,METADATA!$A$5:$H$29,IF(E8018="HI",2,IF(E8018="LO",6,10))+IF(T8018=1,2,IF(D8018=7,1,(IF(WEEKDAY(B8018)=1,2,IF(WEEKDAY(B8018)=7,1,0))))))</f>
        <v>3</v>
      </c>
    </row>
    <row r="8019" spans="2:22">
      <c r="B8019" s="318">
        <f t="shared" si="499"/>
        <v>46446</v>
      </c>
      <c r="C8019" s="312">
        <v>23</v>
      </c>
      <c r="D8019" s="368">
        <f>IFERROR((INDEX(METADATA!$T$2:$T$20,MATCH(B8019,METADATA!$S$2:$S$20,0))),0)</f>
        <v>0</v>
      </c>
      <c r="E8019" s="312" t="str">
        <f t="shared" si="500"/>
        <v>LO</v>
      </c>
      <c r="F8019" s="369">
        <f>VLOOKUP(C8019,METADATA!$A$5:$H$29,IF(E8019="HI",2,IF(E8019="LO",6,10))+IF(D8019=1,2,IF(D8019=7,1,(IF(WEEKDAY(B8019)=1,2,IF(WEEKDAY(B8019)=7,1,0))))))</f>
        <v>3</v>
      </c>
      <c r="G8019" s="369">
        <f>VLOOKUP(C8019,METADATA!$J$5:$Q$29,IF(E8019="HI",2,IF(E8019="LO",6,10))+IF(D8019=1,2,IF(D8019=7,1,(IF(WEEKDAY(B8019)=1,2,IF(WEEKDAY(B8019)=7,1,0))))))</f>
        <v>3</v>
      </c>
      <c r="H8019" s="370">
        <v>12474.400207519531</v>
      </c>
      <c r="I8019" s="370">
        <v>9417.8248291015625</v>
      </c>
      <c r="M8019" s="371">
        <f t="shared" si="501"/>
        <v>15630.29382478158</v>
      </c>
      <c r="N8019" s="329">
        <f t="shared" si="502"/>
        <v>5675.5047668457028</v>
      </c>
      <c r="T8019" s="331">
        <v>0</v>
      </c>
      <c r="U8019" s="328">
        <f>VLOOKUP(C8019,METADATA!$J$5:$Q$29,IF(E8019="HI",2,IF(E8019="LO",6,10))+IF(T8019=1,2,IF(D8019=7,1,(IF(WEEKDAY(B8019)=1,2,IF(WEEKDAY(B8019)=7,1,0))))))</f>
        <v>3</v>
      </c>
      <c r="V8019" s="328">
        <f>VLOOKUP(C8019,METADATA!$A$5:$H$29,IF(E8019="HI",2,IF(E8019="LO",6,10))+IF(T8019=1,2,IF(D8019=7,1,(IF(WEEKDAY(B8019)=1,2,IF(WEEKDAY(B8019)=7,1,0))))))</f>
        <v>3</v>
      </c>
    </row>
    <row r="8020" spans="2:22">
      <c r="B8020" s="318">
        <f t="shared" si="499"/>
        <v>46447</v>
      </c>
      <c r="C8020" s="312">
        <v>0</v>
      </c>
      <c r="D8020" s="368">
        <f>IFERROR((INDEX(METADATA!$T$2:$T$20,MATCH(B8020,METADATA!$S$2:$S$20,0))),0)</f>
        <v>0</v>
      </c>
      <c r="E8020" s="312" t="str">
        <f t="shared" si="500"/>
        <v>LO</v>
      </c>
      <c r="F8020" s="369">
        <f>VLOOKUP(C8020,METADATA!$A$5:$H$29,IF(E8020="HI",2,IF(E8020="LO",6,10))+IF(D8020=1,2,IF(D8020=7,1,(IF(WEEKDAY(B8020)=1,2,IF(WEEKDAY(B8020)=7,1,0))))))</f>
        <v>3</v>
      </c>
      <c r="G8020" s="369">
        <f>VLOOKUP(C8020,METADATA!$J$5:$Q$29,IF(E8020="HI",2,IF(E8020="LO",6,10))+IF(D8020=1,2,IF(D8020=7,1,(IF(WEEKDAY(B8020)=1,2,IF(WEEKDAY(B8020)=7,1,0))))))</f>
        <v>3</v>
      </c>
      <c r="H8020" s="370">
        <v>12368.274841308594</v>
      </c>
      <c r="I8020" s="370">
        <v>9387.2748413085938</v>
      </c>
      <c r="M8020" s="371">
        <f t="shared" si="501"/>
        <v>15527.239017172769</v>
      </c>
      <c r="N8020" s="329">
        <f t="shared" si="502"/>
        <v>5676.7923889160156</v>
      </c>
      <c r="T8020" s="331">
        <v>0</v>
      </c>
      <c r="U8020" s="328">
        <f>VLOOKUP(C8020,METADATA!$J$5:$Q$29,IF(E8020="HI",2,IF(E8020="LO",6,10))+IF(T8020=1,2,IF(D8020=7,1,(IF(WEEKDAY(B8020)=1,2,IF(WEEKDAY(B8020)=7,1,0))))))</f>
        <v>3</v>
      </c>
      <c r="V8020" s="328">
        <f>VLOOKUP(C8020,METADATA!$A$5:$H$29,IF(E8020="HI",2,IF(E8020="LO",6,10))+IF(T8020=1,2,IF(D8020=7,1,(IF(WEEKDAY(B8020)=1,2,IF(WEEKDAY(B8020)=7,1,0))))))</f>
        <v>3</v>
      </c>
    </row>
    <row r="8021" spans="2:22">
      <c r="B8021" s="318">
        <f t="shared" si="499"/>
        <v>46447</v>
      </c>
      <c r="C8021" s="312">
        <v>1</v>
      </c>
      <c r="D8021" s="368">
        <f>IFERROR((INDEX(METADATA!$T$2:$T$20,MATCH(B8021,METADATA!$S$2:$S$20,0))),0)</f>
        <v>0</v>
      </c>
      <c r="E8021" s="312" t="str">
        <f t="shared" si="500"/>
        <v>LO</v>
      </c>
      <c r="F8021" s="369">
        <f>VLOOKUP(C8021,METADATA!$A$5:$H$29,IF(E8021="HI",2,IF(E8021="LO",6,10))+IF(D8021=1,2,IF(D8021=7,1,(IF(WEEKDAY(B8021)=1,2,IF(WEEKDAY(B8021)=7,1,0))))))</f>
        <v>3</v>
      </c>
      <c r="G8021" s="369">
        <f>VLOOKUP(C8021,METADATA!$J$5:$Q$29,IF(E8021="HI",2,IF(E8021="LO",6,10))+IF(D8021=1,2,IF(D8021=7,1,(IF(WEEKDAY(B8021)=1,2,IF(WEEKDAY(B8021)=7,1,0))))))</f>
        <v>3</v>
      </c>
      <c r="H8021" s="370">
        <v>12329.167175292969</v>
      </c>
      <c r="I8021" s="370">
        <v>9512.5623779296875</v>
      </c>
      <c r="M8021" s="371">
        <f t="shared" si="501"/>
        <v>15572.321799600884</v>
      </c>
      <c r="N8021" s="329">
        <f t="shared" si="502"/>
        <v>5813.8122253417969</v>
      </c>
      <c r="T8021" s="331">
        <v>0</v>
      </c>
      <c r="U8021" s="328">
        <f>VLOOKUP(C8021,METADATA!$J$5:$Q$29,IF(E8021="HI",2,IF(E8021="LO",6,10))+IF(T8021=1,2,IF(D8021=7,1,(IF(WEEKDAY(B8021)=1,2,IF(WEEKDAY(B8021)=7,1,0))))))</f>
        <v>3</v>
      </c>
      <c r="V8021" s="328">
        <f>VLOOKUP(C8021,METADATA!$A$5:$H$29,IF(E8021="HI",2,IF(E8021="LO",6,10))+IF(T8021=1,2,IF(D8021=7,1,(IF(WEEKDAY(B8021)=1,2,IF(WEEKDAY(B8021)=7,1,0))))))</f>
        <v>3</v>
      </c>
    </row>
    <row r="8022" spans="2:22">
      <c r="B8022" s="318">
        <f t="shared" si="499"/>
        <v>46447</v>
      </c>
      <c r="C8022" s="312">
        <v>2</v>
      </c>
      <c r="D8022" s="368">
        <f>IFERROR((INDEX(METADATA!$T$2:$T$20,MATCH(B8022,METADATA!$S$2:$S$20,0))),0)</f>
        <v>0</v>
      </c>
      <c r="E8022" s="312" t="str">
        <f t="shared" si="500"/>
        <v>LO</v>
      </c>
      <c r="F8022" s="369">
        <f>VLOOKUP(C8022,METADATA!$A$5:$H$29,IF(E8022="HI",2,IF(E8022="LO",6,10))+IF(D8022=1,2,IF(D8022=7,1,(IF(WEEKDAY(B8022)=1,2,IF(WEEKDAY(B8022)=7,1,0))))))</f>
        <v>3</v>
      </c>
      <c r="G8022" s="369">
        <f>VLOOKUP(C8022,METADATA!$J$5:$Q$29,IF(E8022="HI",2,IF(E8022="LO",6,10))+IF(D8022=1,2,IF(D8022=7,1,(IF(WEEKDAY(B8022)=1,2,IF(WEEKDAY(B8022)=7,1,0))))))</f>
        <v>3</v>
      </c>
      <c r="H8022" s="370">
        <v>12184.650146484375</v>
      </c>
      <c r="I8022" s="370">
        <v>9474.5999755859375</v>
      </c>
      <c r="M8022" s="371">
        <f t="shared" si="501"/>
        <v>15434.822444381884</v>
      </c>
      <c r="N8022" s="329">
        <f t="shared" si="502"/>
        <v>5819.2049316406246</v>
      </c>
      <c r="T8022" s="331">
        <v>0</v>
      </c>
      <c r="U8022" s="328">
        <f>VLOOKUP(C8022,METADATA!$J$5:$Q$29,IF(E8022="HI",2,IF(E8022="LO",6,10))+IF(T8022=1,2,IF(D8022=7,1,(IF(WEEKDAY(B8022)=1,2,IF(WEEKDAY(B8022)=7,1,0))))))</f>
        <v>3</v>
      </c>
      <c r="V8022" s="328">
        <f>VLOOKUP(C8022,METADATA!$A$5:$H$29,IF(E8022="HI",2,IF(E8022="LO",6,10))+IF(T8022=1,2,IF(D8022=7,1,(IF(WEEKDAY(B8022)=1,2,IF(WEEKDAY(B8022)=7,1,0))))))</f>
        <v>3</v>
      </c>
    </row>
    <row r="8023" spans="2:22">
      <c r="B8023" s="318">
        <f t="shared" si="499"/>
        <v>46447</v>
      </c>
      <c r="C8023" s="312">
        <v>3</v>
      </c>
      <c r="D8023" s="368">
        <f>IFERROR((INDEX(METADATA!$T$2:$T$20,MATCH(B8023,METADATA!$S$2:$S$20,0))),0)</f>
        <v>0</v>
      </c>
      <c r="E8023" s="312" t="str">
        <f t="shared" si="500"/>
        <v>LO</v>
      </c>
      <c r="F8023" s="369">
        <f>VLOOKUP(C8023,METADATA!$A$5:$H$29,IF(E8023="HI",2,IF(E8023="LO",6,10))+IF(D8023=1,2,IF(D8023=7,1,(IF(WEEKDAY(B8023)=1,2,IF(WEEKDAY(B8023)=7,1,0))))))</f>
        <v>3</v>
      </c>
      <c r="G8023" s="369">
        <f>VLOOKUP(C8023,METADATA!$J$5:$Q$29,IF(E8023="HI",2,IF(E8023="LO",6,10))+IF(D8023=1,2,IF(D8023=7,1,(IF(WEEKDAY(B8023)=1,2,IF(WEEKDAY(B8023)=7,1,0))))))</f>
        <v>3</v>
      </c>
      <c r="H8023" s="370">
        <v>12111.200073242188</v>
      </c>
      <c r="I8023" s="370">
        <v>9391.9750366210938</v>
      </c>
      <c r="M8023" s="371">
        <f t="shared" si="501"/>
        <v>15326.133312176798</v>
      </c>
      <c r="N8023" s="329">
        <f t="shared" si="502"/>
        <v>5758.6150146484379</v>
      </c>
      <c r="T8023" s="331">
        <v>0</v>
      </c>
      <c r="U8023" s="328">
        <f>VLOOKUP(C8023,METADATA!$J$5:$Q$29,IF(E8023="HI",2,IF(E8023="LO",6,10))+IF(T8023=1,2,IF(D8023=7,1,(IF(WEEKDAY(B8023)=1,2,IF(WEEKDAY(B8023)=7,1,0))))))</f>
        <v>3</v>
      </c>
      <c r="V8023" s="328">
        <f>VLOOKUP(C8023,METADATA!$A$5:$H$29,IF(E8023="HI",2,IF(E8023="LO",6,10))+IF(T8023=1,2,IF(D8023=7,1,(IF(WEEKDAY(B8023)=1,2,IF(WEEKDAY(B8023)=7,1,0))))))</f>
        <v>3</v>
      </c>
    </row>
    <row r="8024" spans="2:22">
      <c r="B8024" s="318">
        <f t="shared" si="499"/>
        <v>46447</v>
      </c>
      <c r="C8024" s="312">
        <v>4</v>
      </c>
      <c r="D8024" s="368">
        <f>IFERROR((INDEX(METADATA!$T$2:$T$20,MATCH(B8024,METADATA!$S$2:$S$20,0))),0)</f>
        <v>0</v>
      </c>
      <c r="E8024" s="312" t="str">
        <f t="shared" si="500"/>
        <v>LO</v>
      </c>
      <c r="F8024" s="369">
        <f>VLOOKUP(C8024,METADATA!$A$5:$H$29,IF(E8024="HI",2,IF(E8024="LO",6,10))+IF(D8024=1,2,IF(D8024=7,1,(IF(WEEKDAY(B8024)=1,2,IF(WEEKDAY(B8024)=7,1,0))))))</f>
        <v>3</v>
      </c>
      <c r="G8024" s="369">
        <f>VLOOKUP(C8024,METADATA!$J$5:$Q$29,IF(E8024="HI",2,IF(E8024="LO",6,10))+IF(D8024=1,2,IF(D8024=7,1,(IF(WEEKDAY(B8024)=1,2,IF(WEEKDAY(B8024)=7,1,0))))))</f>
        <v>3</v>
      </c>
      <c r="H8024" s="370">
        <v>12218.524780273438</v>
      </c>
      <c r="I8024" s="370">
        <v>9346.1748046875</v>
      </c>
      <c r="M8024" s="371">
        <f t="shared" si="501"/>
        <v>15383.215895446941</v>
      </c>
      <c r="N8024" s="329">
        <f t="shared" si="502"/>
        <v>5680.6173706054688</v>
      </c>
      <c r="T8024" s="331">
        <v>0</v>
      </c>
      <c r="U8024" s="328">
        <f>VLOOKUP(C8024,METADATA!$J$5:$Q$29,IF(E8024="HI",2,IF(E8024="LO",6,10))+IF(T8024=1,2,IF(D8024=7,1,(IF(WEEKDAY(B8024)=1,2,IF(WEEKDAY(B8024)=7,1,0))))))</f>
        <v>3</v>
      </c>
      <c r="V8024" s="328">
        <f>VLOOKUP(C8024,METADATA!$A$5:$H$29,IF(E8024="HI",2,IF(E8024="LO",6,10))+IF(T8024=1,2,IF(D8024=7,1,(IF(WEEKDAY(B8024)=1,2,IF(WEEKDAY(B8024)=7,1,0))))))</f>
        <v>3</v>
      </c>
    </row>
    <row r="8025" spans="2:22">
      <c r="B8025" s="318">
        <f t="shared" si="499"/>
        <v>46447</v>
      </c>
      <c r="C8025" s="312">
        <v>5</v>
      </c>
      <c r="D8025" s="368">
        <f>IFERROR((INDEX(METADATA!$T$2:$T$20,MATCH(B8025,METADATA!$S$2:$S$20,0))),0)</f>
        <v>0</v>
      </c>
      <c r="E8025" s="312" t="str">
        <f t="shared" si="500"/>
        <v>LO</v>
      </c>
      <c r="F8025" s="369">
        <f>VLOOKUP(C8025,METADATA!$A$5:$H$29,IF(E8025="HI",2,IF(E8025="LO",6,10))+IF(D8025=1,2,IF(D8025=7,1,(IF(WEEKDAY(B8025)=1,2,IF(WEEKDAY(B8025)=7,1,0))))))</f>
        <v>3</v>
      </c>
      <c r="G8025" s="369">
        <f>VLOOKUP(C8025,METADATA!$J$5:$Q$29,IF(E8025="HI",2,IF(E8025="LO",6,10))+IF(D8025=1,2,IF(D8025=7,1,(IF(WEEKDAY(B8025)=1,2,IF(WEEKDAY(B8025)=7,1,0))))))</f>
        <v>3</v>
      </c>
      <c r="H8025" s="370">
        <v>12256.625366210938</v>
      </c>
      <c r="I8025" s="370">
        <v>9281.7750854492188</v>
      </c>
      <c r="M8025" s="371">
        <f t="shared" si="501"/>
        <v>15374.531345849578</v>
      </c>
      <c r="N8025" s="329">
        <f t="shared" si="502"/>
        <v>5604.7874755859375</v>
      </c>
      <c r="T8025" s="331">
        <v>0</v>
      </c>
      <c r="U8025" s="328">
        <f>VLOOKUP(C8025,METADATA!$J$5:$Q$29,IF(E8025="HI",2,IF(E8025="LO",6,10))+IF(T8025=1,2,IF(D8025=7,1,(IF(WEEKDAY(B8025)=1,2,IF(WEEKDAY(B8025)=7,1,0))))))</f>
        <v>3</v>
      </c>
      <c r="V8025" s="328">
        <f>VLOOKUP(C8025,METADATA!$A$5:$H$29,IF(E8025="HI",2,IF(E8025="LO",6,10))+IF(T8025=1,2,IF(D8025=7,1,(IF(WEEKDAY(B8025)=1,2,IF(WEEKDAY(B8025)=7,1,0))))))</f>
        <v>3</v>
      </c>
    </row>
    <row r="8026" spans="2:22">
      <c r="B8026" s="318">
        <f t="shared" si="499"/>
        <v>46447</v>
      </c>
      <c r="C8026" s="312">
        <v>6</v>
      </c>
      <c r="D8026" s="368">
        <f>IFERROR((INDEX(METADATA!$T$2:$T$20,MATCH(B8026,METADATA!$S$2:$S$20,0))),0)</f>
        <v>0</v>
      </c>
      <c r="E8026" s="312" t="str">
        <f t="shared" si="500"/>
        <v>LO</v>
      </c>
      <c r="F8026" s="369">
        <f>VLOOKUP(C8026,METADATA!$A$5:$H$29,IF(E8026="HI",2,IF(E8026="LO",6,10))+IF(D8026=1,2,IF(D8026=7,1,(IF(WEEKDAY(B8026)=1,2,IF(WEEKDAY(B8026)=7,1,0))))))</f>
        <v>2</v>
      </c>
      <c r="G8026" s="369">
        <f>VLOOKUP(C8026,METADATA!$J$5:$Q$29,IF(E8026="HI",2,IF(E8026="LO",6,10))+IF(D8026=1,2,IF(D8026=7,1,(IF(WEEKDAY(B8026)=1,2,IF(WEEKDAY(B8026)=7,1,0))))))</f>
        <v>2</v>
      </c>
      <c r="H8026" s="370">
        <v>12352.199951171875</v>
      </c>
      <c r="I8026" s="370">
        <v>9219.47509765625</v>
      </c>
      <c r="M8026" s="371">
        <f t="shared" si="501"/>
        <v>15413.486455375181</v>
      </c>
      <c r="N8026" s="329">
        <f t="shared" si="502"/>
        <v>5513.8151123046882</v>
      </c>
      <c r="T8026" s="331">
        <v>0</v>
      </c>
      <c r="U8026" s="328">
        <f>VLOOKUP(C8026,METADATA!$J$5:$Q$29,IF(E8026="HI",2,IF(E8026="LO",6,10))+IF(T8026=1,2,IF(D8026=7,1,(IF(WEEKDAY(B8026)=1,2,IF(WEEKDAY(B8026)=7,1,0))))))</f>
        <v>2</v>
      </c>
      <c r="V8026" s="328">
        <f>VLOOKUP(C8026,METADATA!$A$5:$H$29,IF(E8026="HI",2,IF(E8026="LO",6,10))+IF(T8026=1,2,IF(D8026=7,1,(IF(WEEKDAY(B8026)=1,2,IF(WEEKDAY(B8026)=7,1,0))))))</f>
        <v>2</v>
      </c>
    </row>
    <row r="8027" spans="2:22">
      <c r="B8027" s="318">
        <f t="shared" si="499"/>
        <v>46447</v>
      </c>
      <c r="C8027" s="312">
        <v>7</v>
      </c>
      <c r="D8027" s="368">
        <f>IFERROR((INDEX(METADATA!$T$2:$T$20,MATCH(B8027,METADATA!$S$2:$S$20,0))),0)</f>
        <v>0</v>
      </c>
      <c r="E8027" s="312" t="str">
        <f t="shared" si="500"/>
        <v>LO</v>
      </c>
      <c r="F8027" s="369">
        <f>VLOOKUP(C8027,METADATA!$A$5:$H$29,IF(E8027="HI",2,IF(E8027="LO",6,10))+IF(D8027=1,2,IF(D8027=7,1,(IF(WEEKDAY(B8027)=1,2,IF(WEEKDAY(B8027)=7,1,0))))))</f>
        <v>1</v>
      </c>
      <c r="G8027" s="369">
        <f>VLOOKUP(C8027,METADATA!$J$5:$Q$29,IF(E8027="HI",2,IF(E8027="LO",6,10))+IF(D8027=1,2,IF(D8027=7,1,(IF(WEEKDAY(B8027)=1,2,IF(WEEKDAY(B8027)=7,1,0))))))</f>
        <v>1</v>
      </c>
      <c r="H8027" s="370">
        <v>12213.699829101563</v>
      </c>
      <c r="I8027" s="370">
        <v>9070.3500366210938</v>
      </c>
      <c r="M8027" s="371">
        <f t="shared" si="501"/>
        <v>15213.339978526339</v>
      </c>
      <c r="N8027" s="329">
        <f t="shared" si="502"/>
        <v>5406.2400878906246</v>
      </c>
      <c r="T8027" s="331">
        <v>0</v>
      </c>
      <c r="U8027" s="328">
        <f>VLOOKUP(C8027,METADATA!$J$5:$Q$29,IF(E8027="HI",2,IF(E8027="LO",6,10))+IF(T8027=1,2,IF(D8027=7,1,(IF(WEEKDAY(B8027)=1,2,IF(WEEKDAY(B8027)=7,1,0))))))</f>
        <v>1</v>
      </c>
      <c r="V8027" s="328">
        <f>VLOOKUP(C8027,METADATA!$A$5:$H$29,IF(E8027="HI",2,IF(E8027="LO",6,10))+IF(T8027=1,2,IF(D8027=7,1,(IF(WEEKDAY(B8027)=1,2,IF(WEEKDAY(B8027)=7,1,0))))))</f>
        <v>1</v>
      </c>
    </row>
    <row r="8028" spans="2:22">
      <c r="B8028" s="318">
        <f t="shared" ref="B8028:B8091" si="503">B8004+1</f>
        <v>46447</v>
      </c>
      <c r="C8028" s="312">
        <v>8</v>
      </c>
      <c r="D8028" s="368">
        <f>IFERROR((INDEX(METADATA!$T$2:$T$20,MATCH(B8028,METADATA!$S$2:$S$20,0))),0)</f>
        <v>0</v>
      </c>
      <c r="E8028" s="312" t="str">
        <f t="shared" si="500"/>
        <v>LO</v>
      </c>
      <c r="F8028" s="369">
        <f>VLOOKUP(C8028,METADATA!$A$5:$H$29,IF(E8028="HI",2,IF(E8028="LO",6,10))+IF(D8028=1,2,IF(D8028=7,1,(IF(WEEKDAY(B8028)=1,2,IF(WEEKDAY(B8028)=7,1,0))))))</f>
        <v>1</v>
      </c>
      <c r="G8028" s="369">
        <f>VLOOKUP(C8028,METADATA!$J$5:$Q$29,IF(E8028="HI",2,IF(E8028="LO",6,10))+IF(D8028=1,2,IF(D8028=7,1,(IF(WEEKDAY(B8028)=1,2,IF(WEEKDAY(B8028)=7,1,0))))))</f>
        <v>1</v>
      </c>
      <c r="H8028" s="370">
        <v>12323.924987792969</v>
      </c>
      <c r="I8028" s="370">
        <v>9323.7750244140625</v>
      </c>
      <c r="M8028" s="371">
        <f t="shared" si="501"/>
        <v>15453.540300223616</v>
      </c>
      <c r="N8028" s="329">
        <f t="shared" si="502"/>
        <v>5626.5975280761722</v>
      </c>
      <c r="T8028" s="331">
        <v>0</v>
      </c>
      <c r="U8028" s="328">
        <f>VLOOKUP(C8028,METADATA!$J$5:$Q$29,IF(E8028="HI",2,IF(E8028="LO",6,10))+IF(T8028=1,2,IF(D8028=7,1,(IF(WEEKDAY(B8028)=1,2,IF(WEEKDAY(B8028)=7,1,0))))))</f>
        <v>1</v>
      </c>
      <c r="V8028" s="328">
        <f>VLOOKUP(C8028,METADATA!$A$5:$H$29,IF(E8028="HI",2,IF(E8028="LO",6,10))+IF(T8028=1,2,IF(D8028=7,1,(IF(WEEKDAY(B8028)=1,2,IF(WEEKDAY(B8028)=7,1,0))))))</f>
        <v>1</v>
      </c>
    </row>
    <row r="8029" spans="2:22">
      <c r="B8029" s="318">
        <f t="shared" si="503"/>
        <v>46447</v>
      </c>
      <c r="C8029" s="312">
        <v>9</v>
      </c>
      <c r="D8029" s="368">
        <f>IFERROR((INDEX(METADATA!$T$2:$T$20,MATCH(B8029,METADATA!$S$2:$S$20,0))),0)</f>
        <v>0</v>
      </c>
      <c r="E8029" s="312" t="str">
        <f t="shared" si="500"/>
        <v>LO</v>
      </c>
      <c r="F8029" s="369">
        <f>VLOOKUP(C8029,METADATA!$A$5:$H$29,IF(E8029="HI",2,IF(E8029="LO",6,10))+IF(D8029=1,2,IF(D8029=7,1,(IF(WEEKDAY(B8029)=1,2,IF(WEEKDAY(B8029)=7,1,0))))))</f>
        <v>2</v>
      </c>
      <c r="G8029" s="369">
        <f>VLOOKUP(C8029,METADATA!$J$5:$Q$29,IF(E8029="HI",2,IF(E8029="LO",6,10))+IF(D8029=1,2,IF(D8029=7,1,(IF(WEEKDAY(B8029)=1,2,IF(WEEKDAY(B8029)=7,1,0))))))</f>
        <v>2</v>
      </c>
      <c r="H8029" s="370">
        <v>12364.225158691406</v>
      </c>
      <c r="I8029" s="370">
        <v>9320.0499267578125</v>
      </c>
      <c r="M8029" s="371">
        <f t="shared" si="501"/>
        <v>15483.455506187107</v>
      </c>
      <c r="N8029" s="329">
        <f t="shared" si="502"/>
        <v>5610.7823791503906</v>
      </c>
      <c r="T8029" s="331">
        <v>0</v>
      </c>
      <c r="U8029" s="328">
        <f>VLOOKUP(C8029,METADATA!$J$5:$Q$29,IF(E8029="HI",2,IF(E8029="LO",6,10))+IF(T8029=1,2,IF(D8029=7,1,(IF(WEEKDAY(B8029)=1,2,IF(WEEKDAY(B8029)=7,1,0))))))</f>
        <v>2</v>
      </c>
      <c r="V8029" s="328">
        <f>VLOOKUP(C8029,METADATA!$A$5:$H$29,IF(E8029="HI",2,IF(E8029="LO",6,10))+IF(T8029=1,2,IF(D8029=7,1,(IF(WEEKDAY(B8029)=1,2,IF(WEEKDAY(B8029)=7,1,0))))))</f>
        <v>2</v>
      </c>
    </row>
    <row r="8030" spans="2:22">
      <c r="B8030" s="318">
        <f t="shared" si="503"/>
        <v>46447</v>
      </c>
      <c r="C8030" s="312">
        <v>10</v>
      </c>
      <c r="D8030" s="368">
        <f>IFERROR((INDEX(METADATA!$T$2:$T$20,MATCH(B8030,METADATA!$S$2:$S$20,0))),0)</f>
        <v>0</v>
      </c>
      <c r="E8030" s="312" t="str">
        <f t="shared" si="500"/>
        <v>LO</v>
      </c>
      <c r="F8030" s="369">
        <f>VLOOKUP(C8030,METADATA!$A$5:$H$29,IF(E8030="HI",2,IF(E8030="LO",6,10))+IF(D8030=1,2,IF(D8030=7,1,(IF(WEEKDAY(B8030)=1,2,IF(WEEKDAY(B8030)=7,1,0))))))</f>
        <v>2</v>
      </c>
      <c r="G8030" s="369">
        <f>VLOOKUP(C8030,METADATA!$J$5:$Q$29,IF(E8030="HI",2,IF(E8030="LO",6,10))+IF(D8030=1,2,IF(D8030=7,1,(IF(WEEKDAY(B8030)=1,2,IF(WEEKDAY(B8030)=7,1,0))))))</f>
        <v>2</v>
      </c>
      <c r="H8030" s="370">
        <v>12420.050354003906</v>
      </c>
      <c r="I8030" s="370">
        <v>9202.7999877929688</v>
      </c>
      <c r="M8030" s="371">
        <f t="shared" si="501"/>
        <v>15457.981058706044</v>
      </c>
      <c r="N8030" s="329">
        <f t="shared" si="502"/>
        <v>5476.7848815917969</v>
      </c>
      <c r="T8030" s="331">
        <v>0</v>
      </c>
      <c r="U8030" s="328">
        <f>VLOOKUP(C8030,METADATA!$J$5:$Q$29,IF(E8030="HI",2,IF(E8030="LO",6,10))+IF(T8030=1,2,IF(D8030=7,1,(IF(WEEKDAY(B8030)=1,2,IF(WEEKDAY(B8030)=7,1,0))))))</f>
        <v>2</v>
      </c>
      <c r="V8030" s="328">
        <f>VLOOKUP(C8030,METADATA!$A$5:$H$29,IF(E8030="HI",2,IF(E8030="LO",6,10))+IF(T8030=1,2,IF(D8030=7,1,(IF(WEEKDAY(B8030)=1,2,IF(WEEKDAY(B8030)=7,1,0))))))</f>
        <v>2</v>
      </c>
    </row>
    <row r="8031" spans="2:22">
      <c r="B8031" s="318">
        <f t="shared" si="503"/>
        <v>46447</v>
      </c>
      <c r="C8031" s="312">
        <v>11</v>
      </c>
      <c r="D8031" s="368">
        <f>IFERROR((INDEX(METADATA!$T$2:$T$20,MATCH(B8031,METADATA!$S$2:$S$20,0))),0)</f>
        <v>0</v>
      </c>
      <c r="E8031" s="312" t="str">
        <f t="shared" si="500"/>
        <v>LO</v>
      </c>
      <c r="F8031" s="369">
        <f>VLOOKUP(C8031,METADATA!$A$5:$H$29,IF(E8031="HI",2,IF(E8031="LO",6,10))+IF(D8031=1,2,IF(D8031=7,1,(IF(WEEKDAY(B8031)=1,2,IF(WEEKDAY(B8031)=7,1,0))))))</f>
        <v>2</v>
      </c>
      <c r="G8031" s="369">
        <f>VLOOKUP(C8031,METADATA!$J$5:$Q$29,IF(E8031="HI",2,IF(E8031="LO",6,10))+IF(D8031=1,2,IF(D8031=7,1,(IF(WEEKDAY(B8031)=1,2,IF(WEEKDAY(B8031)=7,1,0))))))</f>
        <v>2</v>
      </c>
      <c r="H8031" s="370">
        <v>12502.250122070313</v>
      </c>
      <c r="I8031" s="370">
        <v>9149.5499267578125</v>
      </c>
      <c r="M8031" s="371">
        <f t="shared" si="501"/>
        <v>15492.595714632233</v>
      </c>
      <c r="N8031" s="329">
        <f t="shared" si="502"/>
        <v>5398.8748901367189</v>
      </c>
      <c r="T8031" s="331">
        <v>0</v>
      </c>
      <c r="U8031" s="328">
        <f>VLOOKUP(C8031,METADATA!$J$5:$Q$29,IF(E8031="HI",2,IF(E8031="LO",6,10))+IF(T8031=1,2,IF(D8031=7,1,(IF(WEEKDAY(B8031)=1,2,IF(WEEKDAY(B8031)=7,1,0))))))</f>
        <v>2</v>
      </c>
      <c r="V8031" s="328">
        <f>VLOOKUP(C8031,METADATA!$A$5:$H$29,IF(E8031="HI",2,IF(E8031="LO",6,10))+IF(T8031=1,2,IF(D8031=7,1,(IF(WEEKDAY(B8031)=1,2,IF(WEEKDAY(B8031)=7,1,0))))))</f>
        <v>2</v>
      </c>
    </row>
    <row r="8032" spans="2:22">
      <c r="B8032" s="318">
        <f t="shared" si="503"/>
        <v>46447</v>
      </c>
      <c r="C8032" s="312">
        <v>12</v>
      </c>
      <c r="D8032" s="368">
        <f>IFERROR((INDEX(METADATA!$T$2:$T$20,MATCH(B8032,METADATA!$S$2:$S$20,0))),0)</f>
        <v>0</v>
      </c>
      <c r="E8032" s="312" t="str">
        <f t="shared" si="500"/>
        <v>LO</v>
      </c>
      <c r="F8032" s="369">
        <f>VLOOKUP(C8032,METADATA!$A$5:$H$29,IF(E8032="HI",2,IF(E8032="LO",6,10))+IF(D8032=1,2,IF(D8032=7,1,(IF(WEEKDAY(B8032)=1,2,IF(WEEKDAY(B8032)=7,1,0))))))</f>
        <v>2</v>
      </c>
      <c r="G8032" s="369">
        <f>VLOOKUP(C8032,METADATA!$J$5:$Q$29,IF(E8032="HI",2,IF(E8032="LO",6,10))+IF(D8032=1,2,IF(D8032=7,1,(IF(WEEKDAY(B8032)=1,2,IF(WEEKDAY(B8032)=7,1,0))))))</f>
        <v>2</v>
      </c>
      <c r="H8032" s="370">
        <v>12636.299743652344</v>
      </c>
      <c r="I8032" s="370">
        <v>9353.4500122070313</v>
      </c>
      <c r="M8032" s="371">
        <f t="shared" si="501"/>
        <v>15721.421638715883</v>
      </c>
      <c r="N8032" s="329">
        <f t="shared" si="502"/>
        <v>5562.5600891113281</v>
      </c>
      <c r="T8032" s="331">
        <v>0</v>
      </c>
      <c r="U8032" s="328">
        <f>VLOOKUP(C8032,METADATA!$J$5:$Q$29,IF(E8032="HI",2,IF(E8032="LO",6,10))+IF(T8032=1,2,IF(D8032=7,1,(IF(WEEKDAY(B8032)=1,2,IF(WEEKDAY(B8032)=7,1,0))))))</f>
        <v>2</v>
      </c>
      <c r="V8032" s="328">
        <f>VLOOKUP(C8032,METADATA!$A$5:$H$29,IF(E8032="HI",2,IF(E8032="LO",6,10))+IF(T8032=1,2,IF(D8032=7,1,(IF(WEEKDAY(B8032)=1,2,IF(WEEKDAY(B8032)=7,1,0))))))</f>
        <v>2</v>
      </c>
    </row>
    <row r="8033" spans="2:22">
      <c r="B8033" s="318">
        <f t="shared" si="503"/>
        <v>46447</v>
      </c>
      <c r="C8033" s="312">
        <v>13</v>
      </c>
      <c r="D8033" s="368">
        <f>IFERROR((INDEX(METADATA!$T$2:$T$20,MATCH(B8033,METADATA!$S$2:$S$20,0))),0)</f>
        <v>0</v>
      </c>
      <c r="E8033" s="312" t="str">
        <f t="shared" si="500"/>
        <v>LO</v>
      </c>
      <c r="F8033" s="369">
        <f>VLOOKUP(C8033,METADATA!$A$5:$H$29,IF(E8033="HI",2,IF(E8033="LO",6,10))+IF(D8033=1,2,IF(D8033=7,1,(IF(WEEKDAY(B8033)=1,2,IF(WEEKDAY(B8033)=7,1,0))))))</f>
        <v>2</v>
      </c>
      <c r="G8033" s="369">
        <f>VLOOKUP(C8033,METADATA!$J$5:$Q$29,IF(E8033="HI",2,IF(E8033="LO",6,10))+IF(D8033=1,2,IF(D8033=7,1,(IF(WEEKDAY(B8033)=1,2,IF(WEEKDAY(B8033)=7,1,0))))))</f>
        <v>2</v>
      </c>
      <c r="H8033" s="370">
        <v>12744.849975585938</v>
      </c>
      <c r="I8033" s="370">
        <v>9299.3501586914063</v>
      </c>
      <c r="M8033" s="371">
        <f t="shared" si="501"/>
        <v>15776.853750800467</v>
      </c>
      <c r="N8033" s="329">
        <f t="shared" si="502"/>
        <v>5475.8951660156254</v>
      </c>
      <c r="T8033" s="331">
        <v>0</v>
      </c>
      <c r="U8033" s="328">
        <f>VLOOKUP(C8033,METADATA!$J$5:$Q$29,IF(E8033="HI",2,IF(E8033="LO",6,10))+IF(T8033=1,2,IF(D8033=7,1,(IF(WEEKDAY(B8033)=1,2,IF(WEEKDAY(B8033)=7,1,0))))))</f>
        <v>2</v>
      </c>
      <c r="V8033" s="328">
        <f>VLOOKUP(C8033,METADATA!$A$5:$H$29,IF(E8033="HI",2,IF(E8033="LO",6,10))+IF(T8033=1,2,IF(D8033=7,1,(IF(WEEKDAY(B8033)=1,2,IF(WEEKDAY(B8033)=7,1,0))))))</f>
        <v>2</v>
      </c>
    </row>
    <row r="8034" spans="2:22">
      <c r="B8034" s="318">
        <f t="shared" si="503"/>
        <v>46447</v>
      </c>
      <c r="C8034" s="312">
        <v>14</v>
      </c>
      <c r="D8034" s="368">
        <f>IFERROR((INDEX(METADATA!$T$2:$T$20,MATCH(B8034,METADATA!$S$2:$S$20,0))),0)</f>
        <v>0</v>
      </c>
      <c r="E8034" s="312" t="str">
        <f t="shared" si="500"/>
        <v>LO</v>
      </c>
      <c r="F8034" s="369">
        <f>VLOOKUP(C8034,METADATA!$A$5:$H$29,IF(E8034="HI",2,IF(E8034="LO",6,10))+IF(D8034=1,2,IF(D8034=7,1,(IF(WEEKDAY(B8034)=1,2,IF(WEEKDAY(B8034)=7,1,0))))))</f>
        <v>2</v>
      </c>
      <c r="G8034" s="369">
        <f>VLOOKUP(C8034,METADATA!$J$5:$Q$29,IF(E8034="HI",2,IF(E8034="LO",6,10))+IF(D8034=1,2,IF(D8034=7,1,(IF(WEEKDAY(B8034)=1,2,IF(WEEKDAY(B8034)=7,1,0))))))</f>
        <v>2</v>
      </c>
      <c r="H8034" s="370">
        <v>11943.699768066406</v>
      </c>
      <c r="I8034" s="370">
        <v>8766.2276611328125</v>
      </c>
      <c r="M8034" s="371">
        <f t="shared" si="501"/>
        <v>14815.488907103929</v>
      </c>
      <c r="N8034" s="329">
        <f t="shared" si="502"/>
        <v>5183.117730712891</v>
      </c>
      <c r="T8034" s="331">
        <v>0</v>
      </c>
      <c r="U8034" s="328">
        <f>VLOOKUP(C8034,METADATA!$J$5:$Q$29,IF(E8034="HI",2,IF(E8034="LO",6,10))+IF(T8034=1,2,IF(D8034=7,1,(IF(WEEKDAY(B8034)=1,2,IF(WEEKDAY(B8034)=7,1,0))))))</f>
        <v>2</v>
      </c>
      <c r="V8034" s="328">
        <f>VLOOKUP(C8034,METADATA!$A$5:$H$29,IF(E8034="HI",2,IF(E8034="LO",6,10))+IF(T8034=1,2,IF(D8034=7,1,(IF(WEEKDAY(B8034)=1,2,IF(WEEKDAY(B8034)=7,1,0))))))</f>
        <v>2</v>
      </c>
    </row>
    <row r="8035" spans="2:22">
      <c r="B8035" s="318">
        <f t="shared" si="503"/>
        <v>46447</v>
      </c>
      <c r="C8035" s="312">
        <v>15</v>
      </c>
      <c r="D8035" s="368">
        <f>IFERROR((INDEX(METADATA!$T$2:$T$20,MATCH(B8035,METADATA!$S$2:$S$20,0))),0)</f>
        <v>0</v>
      </c>
      <c r="E8035" s="312" t="str">
        <f t="shared" si="500"/>
        <v>LO</v>
      </c>
      <c r="F8035" s="369">
        <f>VLOOKUP(C8035,METADATA!$A$5:$H$29,IF(E8035="HI",2,IF(E8035="LO",6,10))+IF(D8035=1,2,IF(D8035=7,1,(IF(WEEKDAY(B8035)=1,2,IF(WEEKDAY(B8035)=7,1,0))))))</f>
        <v>2</v>
      </c>
      <c r="G8035" s="369">
        <f>VLOOKUP(C8035,METADATA!$J$5:$Q$29,IF(E8035="HI",2,IF(E8035="LO",6,10))+IF(D8035=1,2,IF(D8035=7,1,(IF(WEEKDAY(B8035)=1,2,IF(WEEKDAY(B8035)=7,1,0))))))</f>
        <v>2</v>
      </c>
      <c r="H8035" s="370">
        <v>10737.482604980469</v>
      </c>
      <c r="I8035" s="370">
        <v>8103.0924987792969</v>
      </c>
      <c r="M8035" s="371">
        <f t="shared" si="501"/>
        <v>13451.901008260189</v>
      </c>
      <c r="N8035" s="329">
        <f t="shared" si="502"/>
        <v>4881.8477172851563</v>
      </c>
      <c r="T8035" s="331">
        <v>0</v>
      </c>
      <c r="U8035" s="328">
        <f>VLOOKUP(C8035,METADATA!$J$5:$Q$29,IF(E8035="HI",2,IF(E8035="LO",6,10))+IF(T8035=1,2,IF(D8035=7,1,(IF(WEEKDAY(B8035)=1,2,IF(WEEKDAY(B8035)=7,1,0))))))</f>
        <v>2</v>
      </c>
      <c r="V8035" s="328">
        <f>VLOOKUP(C8035,METADATA!$A$5:$H$29,IF(E8035="HI",2,IF(E8035="LO",6,10))+IF(T8035=1,2,IF(D8035=7,1,(IF(WEEKDAY(B8035)=1,2,IF(WEEKDAY(B8035)=7,1,0))))))</f>
        <v>2</v>
      </c>
    </row>
    <row r="8036" spans="2:22">
      <c r="B8036" s="318">
        <f t="shared" si="503"/>
        <v>46447</v>
      </c>
      <c r="C8036" s="312">
        <v>16</v>
      </c>
      <c r="D8036" s="368">
        <f>IFERROR((INDEX(METADATA!$T$2:$T$20,MATCH(B8036,METADATA!$S$2:$S$20,0))),0)</f>
        <v>0</v>
      </c>
      <c r="E8036" s="312" t="str">
        <f t="shared" si="500"/>
        <v>LO</v>
      </c>
      <c r="F8036" s="369">
        <f>VLOOKUP(C8036,METADATA!$A$5:$H$29,IF(E8036="HI",2,IF(E8036="LO",6,10))+IF(D8036=1,2,IF(D8036=7,1,(IF(WEEKDAY(B8036)=1,2,IF(WEEKDAY(B8036)=7,1,0))))))</f>
        <v>2</v>
      </c>
      <c r="G8036" s="369">
        <f>VLOOKUP(C8036,METADATA!$J$5:$Q$29,IF(E8036="HI",2,IF(E8036="LO",6,10))+IF(D8036=1,2,IF(D8036=7,1,(IF(WEEKDAY(B8036)=1,2,IF(WEEKDAY(B8036)=7,1,0))))))</f>
        <v>2</v>
      </c>
      <c r="H8036" s="370">
        <v>11581.099853515625</v>
      </c>
      <c r="I8036" s="370">
        <v>8772.8248291015625</v>
      </c>
      <c r="M8036" s="371">
        <f t="shared" si="501"/>
        <v>14528.741490549017</v>
      </c>
      <c r="N8036" s="329">
        <f t="shared" si="502"/>
        <v>5298.494873046875</v>
      </c>
      <c r="T8036" s="331">
        <v>0</v>
      </c>
      <c r="U8036" s="328">
        <f>VLOOKUP(C8036,METADATA!$J$5:$Q$29,IF(E8036="HI",2,IF(E8036="LO",6,10))+IF(T8036=1,2,IF(D8036=7,1,(IF(WEEKDAY(B8036)=1,2,IF(WEEKDAY(B8036)=7,1,0))))))</f>
        <v>2</v>
      </c>
      <c r="V8036" s="328">
        <f>VLOOKUP(C8036,METADATA!$A$5:$H$29,IF(E8036="HI",2,IF(E8036="LO",6,10))+IF(T8036=1,2,IF(D8036=7,1,(IF(WEEKDAY(B8036)=1,2,IF(WEEKDAY(B8036)=7,1,0))))))</f>
        <v>2</v>
      </c>
    </row>
    <row r="8037" spans="2:22">
      <c r="B8037" s="318">
        <f t="shared" si="503"/>
        <v>46447</v>
      </c>
      <c r="C8037" s="312">
        <v>17</v>
      </c>
      <c r="D8037" s="368">
        <f>IFERROR((INDEX(METADATA!$T$2:$T$20,MATCH(B8037,METADATA!$S$2:$S$20,0))),0)</f>
        <v>0</v>
      </c>
      <c r="E8037" s="312" t="str">
        <f t="shared" si="500"/>
        <v>LO</v>
      </c>
      <c r="F8037" s="369">
        <f>VLOOKUP(C8037,METADATA!$A$5:$H$29,IF(E8037="HI",2,IF(E8037="LO",6,10))+IF(D8037=1,2,IF(D8037=7,1,(IF(WEEKDAY(B8037)=1,2,IF(WEEKDAY(B8037)=7,1,0))))))</f>
        <v>2</v>
      </c>
      <c r="G8037" s="369">
        <f>VLOOKUP(C8037,METADATA!$J$5:$Q$29,IF(E8037="HI",2,IF(E8037="LO",6,10))+IF(D8037=1,2,IF(D8037=7,1,(IF(WEEKDAY(B8037)=1,2,IF(WEEKDAY(B8037)=7,1,0))))))</f>
        <v>2</v>
      </c>
      <c r="H8037" s="370">
        <v>5981.9924926757813</v>
      </c>
      <c r="I8037" s="370">
        <v>5887.9774475097656</v>
      </c>
      <c r="M8037" s="371">
        <f t="shared" si="501"/>
        <v>8393.599502288218</v>
      </c>
      <c r="N8037" s="329">
        <f t="shared" si="502"/>
        <v>4093.3796997070313</v>
      </c>
      <c r="T8037" s="331">
        <v>0</v>
      </c>
      <c r="U8037" s="328">
        <f>VLOOKUP(C8037,METADATA!$J$5:$Q$29,IF(E8037="HI",2,IF(E8037="LO",6,10))+IF(T8037=1,2,IF(D8037=7,1,(IF(WEEKDAY(B8037)=1,2,IF(WEEKDAY(B8037)=7,1,0))))))</f>
        <v>2</v>
      </c>
      <c r="V8037" s="328">
        <f>VLOOKUP(C8037,METADATA!$A$5:$H$29,IF(E8037="HI",2,IF(E8037="LO",6,10))+IF(T8037=1,2,IF(D8037=7,1,(IF(WEEKDAY(B8037)=1,2,IF(WEEKDAY(B8037)=7,1,0))))))</f>
        <v>2</v>
      </c>
    </row>
    <row r="8038" spans="2:22">
      <c r="B8038" s="318">
        <f t="shared" si="503"/>
        <v>46447</v>
      </c>
      <c r="C8038" s="312">
        <v>18</v>
      </c>
      <c r="D8038" s="368">
        <f>IFERROR((INDEX(METADATA!$T$2:$T$20,MATCH(B8038,METADATA!$S$2:$S$20,0))),0)</f>
        <v>0</v>
      </c>
      <c r="E8038" s="312" t="str">
        <f t="shared" si="500"/>
        <v>LO</v>
      </c>
      <c r="F8038" s="369">
        <f>VLOOKUP(C8038,METADATA!$A$5:$H$29,IF(E8038="HI",2,IF(E8038="LO",6,10))+IF(D8038=1,2,IF(D8038=7,1,(IF(WEEKDAY(B8038)=1,2,IF(WEEKDAY(B8038)=7,1,0))))))</f>
        <v>1</v>
      </c>
      <c r="G8038" s="369">
        <f>VLOOKUP(C8038,METADATA!$J$5:$Q$29,IF(E8038="HI",2,IF(E8038="LO",6,10))+IF(D8038=1,2,IF(D8038=7,1,(IF(WEEKDAY(B8038)=1,2,IF(WEEKDAY(B8038)=7,1,0))))))</f>
        <v>1</v>
      </c>
      <c r="H8038" s="370">
        <v>5226.7376403808594</v>
      </c>
      <c r="I8038" s="370">
        <v>5384.9349060058594</v>
      </c>
      <c r="M8038" s="371">
        <f t="shared" si="501"/>
        <v>7504.4193848221466</v>
      </c>
      <c r="N8038" s="329">
        <f t="shared" si="502"/>
        <v>3816.9136138916019</v>
      </c>
      <c r="T8038" s="331">
        <v>0</v>
      </c>
      <c r="U8038" s="328">
        <f>VLOOKUP(C8038,METADATA!$J$5:$Q$29,IF(E8038="HI",2,IF(E8038="LO",6,10))+IF(T8038=1,2,IF(D8038=7,1,(IF(WEEKDAY(B8038)=1,2,IF(WEEKDAY(B8038)=7,1,0))))))</f>
        <v>1</v>
      </c>
      <c r="V8038" s="328">
        <f>VLOOKUP(C8038,METADATA!$A$5:$H$29,IF(E8038="HI",2,IF(E8038="LO",6,10))+IF(T8038=1,2,IF(D8038=7,1,(IF(WEEKDAY(B8038)=1,2,IF(WEEKDAY(B8038)=7,1,0))))))</f>
        <v>1</v>
      </c>
    </row>
    <row r="8039" spans="2:22">
      <c r="B8039" s="318">
        <f t="shared" si="503"/>
        <v>46447</v>
      </c>
      <c r="C8039" s="312">
        <v>19</v>
      </c>
      <c r="D8039" s="368">
        <f>IFERROR((INDEX(METADATA!$T$2:$T$20,MATCH(B8039,METADATA!$S$2:$S$20,0))),0)</f>
        <v>0</v>
      </c>
      <c r="E8039" s="312" t="str">
        <f t="shared" si="500"/>
        <v>LO</v>
      </c>
      <c r="F8039" s="369">
        <f>VLOOKUP(C8039,METADATA!$A$5:$H$29,IF(E8039="HI",2,IF(E8039="LO",6,10))+IF(D8039=1,2,IF(D8039=7,1,(IF(WEEKDAY(B8039)=1,2,IF(WEEKDAY(B8039)=7,1,0))))))</f>
        <v>1</v>
      </c>
      <c r="G8039" s="369">
        <f>VLOOKUP(C8039,METADATA!$J$5:$Q$29,IF(E8039="HI",2,IF(E8039="LO",6,10))+IF(D8039=1,2,IF(D8039=7,1,(IF(WEEKDAY(B8039)=1,2,IF(WEEKDAY(B8039)=7,1,0))))))</f>
        <v>1</v>
      </c>
      <c r="H8039" s="370">
        <v>5233.7450866699219</v>
      </c>
      <c r="I8039" s="370">
        <v>5237.9100952148438</v>
      </c>
      <c r="M8039" s="371">
        <f t="shared" si="501"/>
        <v>7404.5789750528775</v>
      </c>
      <c r="N8039" s="329">
        <f t="shared" si="502"/>
        <v>3667.7865692138676</v>
      </c>
      <c r="T8039" s="331">
        <v>0</v>
      </c>
      <c r="U8039" s="328">
        <f>VLOOKUP(C8039,METADATA!$J$5:$Q$29,IF(E8039="HI",2,IF(E8039="LO",6,10))+IF(T8039=1,2,IF(D8039=7,1,(IF(WEEKDAY(B8039)=1,2,IF(WEEKDAY(B8039)=7,1,0))))))</f>
        <v>1</v>
      </c>
      <c r="V8039" s="328">
        <f>VLOOKUP(C8039,METADATA!$A$5:$H$29,IF(E8039="HI",2,IF(E8039="LO",6,10))+IF(T8039=1,2,IF(D8039=7,1,(IF(WEEKDAY(B8039)=1,2,IF(WEEKDAY(B8039)=7,1,0))))))</f>
        <v>1</v>
      </c>
    </row>
    <row r="8040" spans="2:22">
      <c r="B8040" s="318">
        <f t="shared" si="503"/>
        <v>46447</v>
      </c>
      <c r="C8040" s="312">
        <v>20</v>
      </c>
      <c r="D8040" s="368">
        <f>IFERROR((INDEX(METADATA!$T$2:$T$20,MATCH(B8040,METADATA!$S$2:$S$20,0))),0)</f>
        <v>0</v>
      </c>
      <c r="E8040" s="312" t="str">
        <f t="shared" si="500"/>
        <v>LO</v>
      </c>
      <c r="F8040" s="369">
        <f>VLOOKUP(C8040,METADATA!$A$5:$H$29,IF(E8040="HI",2,IF(E8040="LO",6,10))+IF(D8040=1,2,IF(D8040=7,1,(IF(WEEKDAY(B8040)=1,2,IF(WEEKDAY(B8040)=7,1,0))))))</f>
        <v>1</v>
      </c>
      <c r="G8040" s="369">
        <f>VLOOKUP(C8040,METADATA!$J$5:$Q$29,IF(E8040="HI",2,IF(E8040="LO",6,10))+IF(D8040=1,2,IF(D8040=7,1,(IF(WEEKDAY(B8040)=1,2,IF(WEEKDAY(B8040)=7,1,0))))))</f>
        <v>1</v>
      </c>
      <c r="H8040" s="370">
        <v>5111.9225158691406</v>
      </c>
      <c r="I8040" s="370">
        <v>5255.0550842285156</v>
      </c>
      <c r="M8040" s="371">
        <f t="shared" si="501"/>
        <v>7331.2588104994529</v>
      </c>
      <c r="N8040" s="329">
        <f t="shared" si="502"/>
        <v>3721.4783294677736</v>
      </c>
      <c r="T8040" s="331">
        <v>0</v>
      </c>
      <c r="U8040" s="328">
        <f>VLOOKUP(C8040,METADATA!$J$5:$Q$29,IF(E8040="HI",2,IF(E8040="LO",6,10))+IF(T8040=1,2,IF(D8040=7,1,(IF(WEEKDAY(B8040)=1,2,IF(WEEKDAY(B8040)=7,1,0))))))</f>
        <v>1</v>
      </c>
      <c r="V8040" s="328">
        <f>VLOOKUP(C8040,METADATA!$A$5:$H$29,IF(E8040="HI",2,IF(E8040="LO",6,10))+IF(T8040=1,2,IF(D8040=7,1,(IF(WEEKDAY(B8040)=1,2,IF(WEEKDAY(B8040)=7,1,0))))))</f>
        <v>1</v>
      </c>
    </row>
    <row r="8041" spans="2:22">
      <c r="B8041" s="318">
        <f t="shared" si="503"/>
        <v>46447</v>
      </c>
      <c r="C8041" s="312">
        <v>21</v>
      </c>
      <c r="D8041" s="368">
        <f>IFERROR((INDEX(METADATA!$T$2:$T$20,MATCH(B8041,METADATA!$S$2:$S$20,0))),0)</f>
        <v>0</v>
      </c>
      <c r="E8041" s="312" t="str">
        <f t="shared" si="500"/>
        <v>LO</v>
      </c>
      <c r="F8041" s="369">
        <f>VLOOKUP(C8041,METADATA!$A$5:$H$29,IF(E8041="HI",2,IF(E8041="LO",6,10))+IF(D8041=1,2,IF(D8041=7,1,(IF(WEEKDAY(B8041)=1,2,IF(WEEKDAY(B8041)=7,1,0))))))</f>
        <v>2</v>
      </c>
      <c r="G8041" s="369">
        <f>VLOOKUP(C8041,METADATA!$J$5:$Q$29,IF(E8041="HI",2,IF(E8041="LO",6,10))+IF(D8041=1,2,IF(D8041=7,1,(IF(WEEKDAY(B8041)=1,2,IF(WEEKDAY(B8041)=7,1,0))))))</f>
        <v>2</v>
      </c>
      <c r="H8041" s="370">
        <v>5567.0625</v>
      </c>
      <c r="I8041" s="370">
        <v>5606.8774108886719</v>
      </c>
      <c r="M8041" s="371">
        <f t="shared" si="501"/>
        <v>7901.2188413965541</v>
      </c>
      <c r="N8041" s="329">
        <f t="shared" si="502"/>
        <v>3936.7586608886722</v>
      </c>
      <c r="T8041" s="331">
        <v>0</v>
      </c>
      <c r="U8041" s="328">
        <f>VLOOKUP(C8041,METADATA!$J$5:$Q$29,IF(E8041="HI",2,IF(E8041="LO",6,10))+IF(T8041=1,2,IF(D8041=7,1,(IF(WEEKDAY(B8041)=1,2,IF(WEEKDAY(B8041)=7,1,0))))))</f>
        <v>2</v>
      </c>
      <c r="V8041" s="328">
        <f>VLOOKUP(C8041,METADATA!$A$5:$H$29,IF(E8041="HI",2,IF(E8041="LO",6,10))+IF(T8041=1,2,IF(D8041=7,1,(IF(WEEKDAY(B8041)=1,2,IF(WEEKDAY(B8041)=7,1,0))))))</f>
        <v>2</v>
      </c>
    </row>
    <row r="8042" spans="2:22">
      <c r="B8042" s="318">
        <f t="shared" si="503"/>
        <v>46447</v>
      </c>
      <c r="C8042" s="312">
        <v>22</v>
      </c>
      <c r="D8042" s="368">
        <f>IFERROR((INDEX(METADATA!$T$2:$T$20,MATCH(B8042,METADATA!$S$2:$S$20,0))),0)</f>
        <v>0</v>
      </c>
      <c r="E8042" s="312" t="str">
        <f t="shared" si="500"/>
        <v>LO</v>
      </c>
      <c r="F8042" s="369">
        <f>VLOOKUP(C8042,METADATA!$A$5:$H$29,IF(E8042="HI",2,IF(E8042="LO",6,10))+IF(D8042=1,2,IF(D8042=7,1,(IF(WEEKDAY(B8042)=1,2,IF(WEEKDAY(B8042)=7,1,0))))))</f>
        <v>3</v>
      </c>
      <c r="G8042" s="369">
        <f>VLOOKUP(C8042,METADATA!$J$5:$Q$29,IF(E8042="HI",2,IF(E8042="LO",6,10))+IF(D8042=1,2,IF(D8042=7,1,(IF(WEEKDAY(B8042)=1,2,IF(WEEKDAY(B8042)=7,1,0))))))</f>
        <v>3</v>
      </c>
      <c r="H8042" s="370">
        <v>10820.749816894531</v>
      </c>
      <c r="I8042" s="370">
        <v>8597.5250854492188</v>
      </c>
      <c r="M8042" s="371">
        <f t="shared" si="501"/>
        <v>13820.494354210041</v>
      </c>
      <c r="N8042" s="329">
        <f t="shared" si="502"/>
        <v>5351.3001403808594</v>
      </c>
      <c r="T8042" s="331">
        <v>0</v>
      </c>
      <c r="U8042" s="328">
        <f>VLOOKUP(C8042,METADATA!$J$5:$Q$29,IF(E8042="HI",2,IF(E8042="LO",6,10))+IF(T8042=1,2,IF(D8042=7,1,(IF(WEEKDAY(B8042)=1,2,IF(WEEKDAY(B8042)=7,1,0))))))</f>
        <v>3</v>
      </c>
      <c r="V8042" s="328">
        <f>VLOOKUP(C8042,METADATA!$A$5:$H$29,IF(E8042="HI",2,IF(E8042="LO",6,10))+IF(T8042=1,2,IF(D8042=7,1,(IF(WEEKDAY(B8042)=1,2,IF(WEEKDAY(B8042)=7,1,0))))))</f>
        <v>3</v>
      </c>
    </row>
    <row r="8043" spans="2:22">
      <c r="B8043" s="318">
        <f t="shared" si="503"/>
        <v>46447</v>
      </c>
      <c r="C8043" s="312">
        <v>23</v>
      </c>
      <c r="D8043" s="368">
        <f>IFERROR((INDEX(METADATA!$T$2:$T$20,MATCH(B8043,METADATA!$S$2:$S$20,0))),0)</f>
        <v>0</v>
      </c>
      <c r="E8043" s="312" t="str">
        <f t="shared" si="500"/>
        <v>LO</v>
      </c>
      <c r="F8043" s="369">
        <f>VLOOKUP(C8043,METADATA!$A$5:$H$29,IF(E8043="HI",2,IF(E8043="LO",6,10))+IF(D8043=1,2,IF(D8043=7,1,(IF(WEEKDAY(B8043)=1,2,IF(WEEKDAY(B8043)=7,1,0))))))</f>
        <v>3</v>
      </c>
      <c r="G8043" s="369">
        <f>VLOOKUP(C8043,METADATA!$J$5:$Q$29,IF(E8043="HI",2,IF(E8043="LO",6,10))+IF(D8043=1,2,IF(D8043=7,1,(IF(WEEKDAY(B8043)=1,2,IF(WEEKDAY(B8043)=7,1,0))))))</f>
        <v>3</v>
      </c>
      <c r="H8043" s="370">
        <v>12428.200256347656</v>
      </c>
      <c r="I8043" s="370">
        <v>9386.3748168945313</v>
      </c>
      <c r="M8043" s="371">
        <f t="shared" si="501"/>
        <v>15574.47250519618</v>
      </c>
      <c r="N8043" s="329">
        <f t="shared" si="502"/>
        <v>5657.914739990234</v>
      </c>
      <c r="T8043" s="331">
        <v>0</v>
      </c>
      <c r="U8043" s="328">
        <f>VLOOKUP(C8043,METADATA!$J$5:$Q$29,IF(E8043="HI",2,IF(E8043="LO",6,10))+IF(T8043=1,2,IF(D8043=7,1,(IF(WEEKDAY(B8043)=1,2,IF(WEEKDAY(B8043)=7,1,0))))))</f>
        <v>3</v>
      </c>
      <c r="V8043" s="328">
        <f>VLOOKUP(C8043,METADATA!$A$5:$H$29,IF(E8043="HI",2,IF(E8043="LO",6,10))+IF(T8043=1,2,IF(D8043=7,1,(IF(WEEKDAY(B8043)=1,2,IF(WEEKDAY(B8043)=7,1,0))))))</f>
        <v>3</v>
      </c>
    </row>
    <row r="8044" spans="2:22">
      <c r="B8044" s="318">
        <f t="shared" si="503"/>
        <v>46448</v>
      </c>
      <c r="C8044" s="312">
        <v>0</v>
      </c>
      <c r="D8044" s="368">
        <f>IFERROR((INDEX(METADATA!$T$2:$T$20,MATCH(B8044,METADATA!$S$2:$S$20,0))),0)</f>
        <v>0</v>
      </c>
      <c r="E8044" s="312" t="str">
        <f t="shared" si="500"/>
        <v>LO</v>
      </c>
      <c r="F8044" s="369">
        <f>VLOOKUP(C8044,METADATA!$A$5:$H$29,IF(E8044="HI",2,IF(E8044="LO",6,10))+IF(D8044=1,2,IF(D8044=7,1,(IF(WEEKDAY(B8044)=1,2,IF(WEEKDAY(B8044)=7,1,0))))))</f>
        <v>3</v>
      </c>
      <c r="G8044" s="369">
        <f>VLOOKUP(C8044,METADATA!$J$5:$Q$29,IF(E8044="HI",2,IF(E8044="LO",6,10))+IF(D8044=1,2,IF(D8044=7,1,(IF(WEEKDAY(B8044)=1,2,IF(WEEKDAY(B8044)=7,1,0))))))</f>
        <v>3</v>
      </c>
      <c r="H8044" s="370">
        <v>12341.099853515625</v>
      </c>
      <c r="I8044" s="370">
        <v>9172.5750732421875</v>
      </c>
      <c r="M8044" s="371">
        <f t="shared" si="501"/>
        <v>15376.569157933354</v>
      </c>
      <c r="N8044" s="329">
        <f t="shared" si="502"/>
        <v>5470.2451171875</v>
      </c>
      <c r="T8044" s="331">
        <v>0</v>
      </c>
      <c r="U8044" s="328">
        <f>VLOOKUP(C8044,METADATA!$J$5:$Q$29,IF(E8044="HI",2,IF(E8044="LO",6,10))+IF(T8044=1,2,IF(D8044=7,1,(IF(WEEKDAY(B8044)=1,2,IF(WEEKDAY(B8044)=7,1,0))))))</f>
        <v>3</v>
      </c>
      <c r="V8044" s="328">
        <f>VLOOKUP(C8044,METADATA!$A$5:$H$29,IF(E8044="HI",2,IF(E8044="LO",6,10))+IF(T8044=1,2,IF(D8044=7,1,(IF(WEEKDAY(B8044)=1,2,IF(WEEKDAY(B8044)=7,1,0))))))</f>
        <v>3</v>
      </c>
    </row>
    <row r="8045" spans="2:22">
      <c r="B8045" s="318">
        <f t="shared" si="503"/>
        <v>46448</v>
      </c>
      <c r="C8045" s="312">
        <v>1</v>
      </c>
      <c r="D8045" s="368">
        <f>IFERROR((INDEX(METADATA!$T$2:$T$20,MATCH(B8045,METADATA!$S$2:$S$20,0))),0)</f>
        <v>0</v>
      </c>
      <c r="E8045" s="312" t="str">
        <f t="shared" si="500"/>
        <v>LO</v>
      </c>
      <c r="F8045" s="369">
        <f>VLOOKUP(C8045,METADATA!$A$5:$H$29,IF(E8045="HI",2,IF(E8045="LO",6,10))+IF(D8045=1,2,IF(D8045=7,1,(IF(WEEKDAY(B8045)=1,2,IF(WEEKDAY(B8045)=7,1,0))))))</f>
        <v>3</v>
      </c>
      <c r="G8045" s="369">
        <f>VLOOKUP(C8045,METADATA!$J$5:$Q$29,IF(E8045="HI",2,IF(E8045="LO",6,10))+IF(D8045=1,2,IF(D8045=7,1,(IF(WEEKDAY(B8045)=1,2,IF(WEEKDAY(B8045)=7,1,0))))))</f>
        <v>3</v>
      </c>
      <c r="H8045" s="370">
        <v>12364.069946289063</v>
      </c>
      <c r="I8045" s="370">
        <v>9095.0275268554688</v>
      </c>
      <c r="M8045" s="371">
        <f t="shared" si="501"/>
        <v>15348.933231693567</v>
      </c>
      <c r="N8045" s="329">
        <f t="shared" si="502"/>
        <v>5385.8065429687504</v>
      </c>
      <c r="T8045" s="331">
        <v>0</v>
      </c>
      <c r="U8045" s="328">
        <f>VLOOKUP(C8045,METADATA!$J$5:$Q$29,IF(E8045="HI",2,IF(E8045="LO",6,10))+IF(T8045=1,2,IF(D8045=7,1,(IF(WEEKDAY(B8045)=1,2,IF(WEEKDAY(B8045)=7,1,0))))))</f>
        <v>3</v>
      </c>
      <c r="V8045" s="328">
        <f>VLOOKUP(C8045,METADATA!$A$5:$H$29,IF(E8045="HI",2,IF(E8045="LO",6,10))+IF(T8045=1,2,IF(D8045=7,1,(IF(WEEKDAY(B8045)=1,2,IF(WEEKDAY(B8045)=7,1,0))))))</f>
        <v>3</v>
      </c>
    </row>
    <row r="8046" spans="2:22">
      <c r="B8046" s="318">
        <f t="shared" si="503"/>
        <v>46448</v>
      </c>
      <c r="C8046" s="312">
        <v>2</v>
      </c>
      <c r="D8046" s="368">
        <f>IFERROR((INDEX(METADATA!$T$2:$T$20,MATCH(B8046,METADATA!$S$2:$S$20,0))),0)</f>
        <v>0</v>
      </c>
      <c r="E8046" s="312" t="str">
        <f t="shared" si="500"/>
        <v>LO</v>
      </c>
      <c r="F8046" s="369">
        <f>VLOOKUP(C8046,METADATA!$A$5:$H$29,IF(E8046="HI",2,IF(E8046="LO",6,10))+IF(D8046=1,2,IF(D8046=7,1,(IF(WEEKDAY(B8046)=1,2,IF(WEEKDAY(B8046)=7,1,0))))))</f>
        <v>3</v>
      </c>
      <c r="G8046" s="369">
        <f>VLOOKUP(C8046,METADATA!$J$5:$Q$29,IF(E8046="HI",2,IF(E8046="LO",6,10))+IF(D8046=1,2,IF(D8046=7,1,(IF(WEEKDAY(B8046)=1,2,IF(WEEKDAY(B8046)=7,1,0))))))</f>
        <v>3</v>
      </c>
      <c r="H8046" s="370">
        <v>12401.424926757813</v>
      </c>
      <c r="I8046" s="370">
        <v>9115.300048828125</v>
      </c>
      <c r="M8046" s="371">
        <f t="shared" si="501"/>
        <v>15391.037495704311</v>
      </c>
      <c r="N8046" s="329">
        <f t="shared" si="502"/>
        <v>5394.8725708007814</v>
      </c>
      <c r="T8046" s="331">
        <v>0</v>
      </c>
      <c r="U8046" s="328">
        <f>VLOOKUP(C8046,METADATA!$J$5:$Q$29,IF(E8046="HI",2,IF(E8046="LO",6,10))+IF(T8046=1,2,IF(D8046=7,1,(IF(WEEKDAY(B8046)=1,2,IF(WEEKDAY(B8046)=7,1,0))))))</f>
        <v>3</v>
      </c>
      <c r="V8046" s="328">
        <f>VLOOKUP(C8046,METADATA!$A$5:$H$29,IF(E8046="HI",2,IF(E8046="LO",6,10))+IF(T8046=1,2,IF(D8046=7,1,(IF(WEEKDAY(B8046)=1,2,IF(WEEKDAY(B8046)=7,1,0))))))</f>
        <v>3</v>
      </c>
    </row>
    <row r="8047" spans="2:22">
      <c r="B8047" s="318">
        <f t="shared" si="503"/>
        <v>46448</v>
      </c>
      <c r="C8047" s="312">
        <v>3</v>
      </c>
      <c r="D8047" s="368">
        <f>IFERROR((INDEX(METADATA!$T$2:$T$20,MATCH(B8047,METADATA!$S$2:$S$20,0))),0)</f>
        <v>0</v>
      </c>
      <c r="E8047" s="312" t="str">
        <f t="shared" si="500"/>
        <v>LO</v>
      </c>
      <c r="F8047" s="369">
        <f>VLOOKUP(C8047,METADATA!$A$5:$H$29,IF(E8047="HI",2,IF(E8047="LO",6,10))+IF(D8047=1,2,IF(D8047=7,1,(IF(WEEKDAY(B8047)=1,2,IF(WEEKDAY(B8047)=7,1,0))))))</f>
        <v>3</v>
      </c>
      <c r="G8047" s="369">
        <f>VLOOKUP(C8047,METADATA!$J$5:$Q$29,IF(E8047="HI",2,IF(E8047="LO",6,10))+IF(D8047=1,2,IF(D8047=7,1,(IF(WEEKDAY(B8047)=1,2,IF(WEEKDAY(B8047)=7,1,0))))))</f>
        <v>3</v>
      </c>
      <c r="H8047" s="370">
        <v>12314.049987792969</v>
      </c>
      <c r="I8047" s="370">
        <v>9153.7250366210938</v>
      </c>
      <c r="M8047" s="371">
        <f t="shared" si="501"/>
        <v>15343.614605037754</v>
      </c>
      <c r="N8047" s="329">
        <f t="shared" si="502"/>
        <v>5459.5100402832031</v>
      </c>
      <c r="T8047" s="331">
        <v>0</v>
      </c>
      <c r="U8047" s="328">
        <f>VLOOKUP(C8047,METADATA!$J$5:$Q$29,IF(E8047="HI",2,IF(E8047="LO",6,10))+IF(T8047=1,2,IF(D8047=7,1,(IF(WEEKDAY(B8047)=1,2,IF(WEEKDAY(B8047)=7,1,0))))))</f>
        <v>3</v>
      </c>
      <c r="V8047" s="328">
        <f>VLOOKUP(C8047,METADATA!$A$5:$H$29,IF(E8047="HI",2,IF(E8047="LO",6,10))+IF(T8047=1,2,IF(D8047=7,1,(IF(WEEKDAY(B8047)=1,2,IF(WEEKDAY(B8047)=7,1,0))))))</f>
        <v>3</v>
      </c>
    </row>
    <row r="8048" spans="2:22">
      <c r="B8048" s="318">
        <f t="shared" si="503"/>
        <v>46448</v>
      </c>
      <c r="C8048" s="312">
        <v>4</v>
      </c>
      <c r="D8048" s="368">
        <f>IFERROR((INDEX(METADATA!$T$2:$T$20,MATCH(B8048,METADATA!$S$2:$S$20,0))),0)</f>
        <v>0</v>
      </c>
      <c r="E8048" s="312" t="str">
        <f t="shared" si="500"/>
        <v>LO</v>
      </c>
      <c r="F8048" s="369">
        <f>VLOOKUP(C8048,METADATA!$A$5:$H$29,IF(E8048="HI",2,IF(E8048="LO",6,10))+IF(D8048=1,2,IF(D8048=7,1,(IF(WEEKDAY(B8048)=1,2,IF(WEEKDAY(B8048)=7,1,0))))))</f>
        <v>3</v>
      </c>
      <c r="G8048" s="369">
        <f>VLOOKUP(C8048,METADATA!$J$5:$Q$29,IF(E8048="HI",2,IF(E8048="LO",6,10))+IF(D8048=1,2,IF(D8048=7,1,(IF(WEEKDAY(B8048)=1,2,IF(WEEKDAY(B8048)=7,1,0))))))</f>
        <v>3</v>
      </c>
      <c r="H8048" s="370">
        <v>12288.674926757813</v>
      </c>
      <c r="I8048" s="370">
        <v>9062.5000610351563</v>
      </c>
      <c r="M8048" s="371">
        <f t="shared" si="501"/>
        <v>15268.937055728153</v>
      </c>
      <c r="N8048" s="329">
        <f t="shared" si="502"/>
        <v>5375.8975830078125</v>
      </c>
      <c r="T8048" s="331">
        <v>0</v>
      </c>
      <c r="U8048" s="328">
        <f>VLOOKUP(C8048,METADATA!$J$5:$Q$29,IF(E8048="HI",2,IF(E8048="LO",6,10))+IF(T8048=1,2,IF(D8048=7,1,(IF(WEEKDAY(B8048)=1,2,IF(WEEKDAY(B8048)=7,1,0))))))</f>
        <v>3</v>
      </c>
      <c r="V8048" s="328">
        <f>VLOOKUP(C8048,METADATA!$A$5:$H$29,IF(E8048="HI",2,IF(E8048="LO",6,10))+IF(T8048=1,2,IF(D8048=7,1,(IF(WEEKDAY(B8048)=1,2,IF(WEEKDAY(B8048)=7,1,0))))))</f>
        <v>3</v>
      </c>
    </row>
    <row r="8049" spans="2:22">
      <c r="B8049" s="318">
        <f t="shared" si="503"/>
        <v>46448</v>
      </c>
      <c r="C8049" s="312">
        <v>5</v>
      </c>
      <c r="D8049" s="368">
        <f>IFERROR((INDEX(METADATA!$T$2:$T$20,MATCH(B8049,METADATA!$S$2:$S$20,0))),0)</f>
        <v>0</v>
      </c>
      <c r="E8049" s="312" t="str">
        <f t="shared" si="500"/>
        <v>LO</v>
      </c>
      <c r="F8049" s="369">
        <f>VLOOKUP(C8049,METADATA!$A$5:$H$29,IF(E8049="HI",2,IF(E8049="LO",6,10))+IF(D8049=1,2,IF(D8049=7,1,(IF(WEEKDAY(B8049)=1,2,IF(WEEKDAY(B8049)=7,1,0))))))</f>
        <v>3</v>
      </c>
      <c r="G8049" s="369">
        <f>VLOOKUP(C8049,METADATA!$J$5:$Q$29,IF(E8049="HI",2,IF(E8049="LO",6,10))+IF(D8049=1,2,IF(D8049=7,1,(IF(WEEKDAY(B8049)=1,2,IF(WEEKDAY(B8049)=7,1,0))))))</f>
        <v>3</v>
      </c>
      <c r="H8049" s="370">
        <v>12182.100219726563</v>
      </c>
      <c r="I8049" s="370">
        <v>8919.4749145507813</v>
      </c>
      <c r="M8049" s="371">
        <f t="shared" si="501"/>
        <v>15098.364100615756</v>
      </c>
      <c r="N8049" s="329">
        <f t="shared" si="502"/>
        <v>5264.8448486328125</v>
      </c>
      <c r="T8049" s="331">
        <v>0</v>
      </c>
      <c r="U8049" s="328">
        <f>VLOOKUP(C8049,METADATA!$J$5:$Q$29,IF(E8049="HI",2,IF(E8049="LO",6,10))+IF(T8049=1,2,IF(D8049=7,1,(IF(WEEKDAY(B8049)=1,2,IF(WEEKDAY(B8049)=7,1,0))))))</f>
        <v>3</v>
      </c>
      <c r="V8049" s="328">
        <f>VLOOKUP(C8049,METADATA!$A$5:$H$29,IF(E8049="HI",2,IF(E8049="LO",6,10))+IF(T8049=1,2,IF(D8049=7,1,(IF(WEEKDAY(B8049)=1,2,IF(WEEKDAY(B8049)=7,1,0))))))</f>
        <v>3</v>
      </c>
    </row>
    <row r="8050" spans="2:22">
      <c r="B8050" s="318">
        <f t="shared" si="503"/>
        <v>46448</v>
      </c>
      <c r="C8050" s="312">
        <v>6</v>
      </c>
      <c r="D8050" s="368">
        <f>IFERROR((INDEX(METADATA!$T$2:$T$20,MATCH(B8050,METADATA!$S$2:$S$20,0))),0)</f>
        <v>0</v>
      </c>
      <c r="E8050" s="312" t="str">
        <f t="shared" si="500"/>
        <v>LO</v>
      </c>
      <c r="F8050" s="369">
        <f>VLOOKUP(C8050,METADATA!$A$5:$H$29,IF(E8050="HI",2,IF(E8050="LO",6,10))+IF(D8050=1,2,IF(D8050=7,1,(IF(WEEKDAY(B8050)=1,2,IF(WEEKDAY(B8050)=7,1,0))))))</f>
        <v>2</v>
      </c>
      <c r="G8050" s="369">
        <f>VLOOKUP(C8050,METADATA!$J$5:$Q$29,IF(E8050="HI",2,IF(E8050="LO",6,10))+IF(D8050=1,2,IF(D8050=7,1,(IF(WEEKDAY(B8050)=1,2,IF(WEEKDAY(B8050)=7,1,0))))))</f>
        <v>2</v>
      </c>
      <c r="H8050" s="370">
        <v>11937.374938964844</v>
      </c>
      <c r="I8050" s="370">
        <v>8772.47509765625</v>
      </c>
      <c r="M8050" s="371">
        <f t="shared" si="501"/>
        <v>14814.089231958371</v>
      </c>
      <c r="N8050" s="329">
        <f t="shared" si="502"/>
        <v>5191.2626159667971</v>
      </c>
      <c r="T8050" s="331">
        <v>0</v>
      </c>
      <c r="U8050" s="328">
        <f>VLOOKUP(C8050,METADATA!$J$5:$Q$29,IF(E8050="HI",2,IF(E8050="LO",6,10))+IF(T8050=1,2,IF(D8050=7,1,(IF(WEEKDAY(B8050)=1,2,IF(WEEKDAY(B8050)=7,1,0))))))</f>
        <v>2</v>
      </c>
      <c r="V8050" s="328">
        <f>VLOOKUP(C8050,METADATA!$A$5:$H$29,IF(E8050="HI",2,IF(E8050="LO",6,10))+IF(T8050=1,2,IF(D8050=7,1,(IF(WEEKDAY(B8050)=1,2,IF(WEEKDAY(B8050)=7,1,0))))))</f>
        <v>2</v>
      </c>
    </row>
    <row r="8051" spans="2:22">
      <c r="B8051" s="318">
        <f t="shared" si="503"/>
        <v>46448</v>
      </c>
      <c r="C8051" s="312">
        <v>7</v>
      </c>
      <c r="D8051" s="368">
        <f>IFERROR((INDEX(METADATA!$T$2:$T$20,MATCH(B8051,METADATA!$S$2:$S$20,0))),0)</f>
        <v>0</v>
      </c>
      <c r="E8051" s="312" t="str">
        <f t="shared" si="500"/>
        <v>LO</v>
      </c>
      <c r="F8051" s="369">
        <f>VLOOKUP(C8051,METADATA!$A$5:$H$29,IF(E8051="HI",2,IF(E8051="LO",6,10))+IF(D8051=1,2,IF(D8051=7,1,(IF(WEEKDAY(B8051)=1,2,IF(WEEKDAY(B8051)=7,1,0))))))</f>
        <v>1</v>
      </c>
      <c r="G8051" s="369">
        <f>VLOOKUP(C8051,METADATA!$J$5:$Q$29,IF(E8051="HI",2,IF(E8051="LO",6,10))+IF(D8051=1,2,IF(D8051=7,1,(IF(WEEKDAY(B8051)=1,2,IF(WEEKDAY(B8051)=7,1,0))))))</f>
        <v>1</v>
      </c>
      <c r="H8051" s="370">
        <v>12160.27490234375</v>
      </c>
      <c r="I8051" s="370">
        <v>8869.14990234375</v>
      </c>
      <c r="M8051" s="371">
        <f t="shared" si="501"/>
        <v>15051.049986323727</v>
      </c>
      <c r="N8051" s="329">
        <f t="shared" si="502"/>
        <v>5221.0674316406257</v>
      </c>
      <c r="T8051" s="331">
        <v>0</v>
      </c>
      <c r="U8051" s="328">
        <f>VLOOKUP(C8051,METADATA!$J$5:$Q$29,IF(E8051="HI",2,IF(E8051="LO",6,10))+IF(T8051=1,2,IF(D8051=7,1,(IF(WEEKDAY(B8051)=1,2,IF(WEEKDAY(B8051)=7,1,0))))))</f>
        <v>1</v>
      </c>
      <c r="V8051" s="328">
        <f>VLOOKUP(C8051,METADATA!$A$5:$H$29,IF(E8051="HI",2,IF(E8051="LO",6,10))+IF(T8051=1,2,IF(D8051=7,1,(IF(WEEKDAY(B8051)=1,2,IF(WEEKDAY(B8051)=7,1,0))))))</f>
        <v>1</v>
      </c>
    </row>
    <row r="8052" spans="2:22">
      <c r="B8052" s="318">
        <f t="shared" si="503"/>
        <v>46448</v>
      </c>
      <c r="C8052" s="312">
        <v>8</v>
      </c>
      <c r="D8052" s="368">
        <f>IFERROR((INDEX(METADATA!$T$2:$T$20,MATCH(B8052,METADATA!$S$2:$S$20,0))),0)</f>
        <v>0</v>
      </c>
      <c r="E8052" s="312" t="str">
        <f t="shared" si="500"/>
        <v>LO</v>
      </c>
      <c r="F8052" s="369">
        <f>VLOOKUP(C8052,METADATA!$A$5:$H$29,IF(E8052="HI",2,IF(E8052="LO",6,10))+IF(D8052=1,2,IF(D8052=7,1,(IF(WEEKDAY(B8052)=1,2,IF(WEEKDAY(B8052)=7,1,0))))))</f>
        <v>1</v>
      </c>
      <c r="G8052" s="369">
        <f>VLOOKUP(C8052,METADATA!$J$5:$Q$29,IF(E8052="HI",2,IF(E8052="LO",6,10))+IF(D8052=1,2,IF(D8052=7,1,(IF(WEEKDAY(B8052)=1,2,IF(WEEKDAY(B8052)=7,1,0))))))</f>
        <v>1</v>
      </c>
      <c r="H8052" s="370">
        <v>12222.349731445313</v>
      </c>
      <c r="I8052" s="370">
        <v>8955.8248291015625</v>
      </c>
      <c r="M8052" s="371">
        <f t="shared" si="501"/>
        <v>15152.314388479184</v>
      </c>
      <c r="N8052" s="329">
        <f t="shared" si="502"/>
        <v>5289.1199096679684</v>
      </c>
      <c r="T8052" s="331">
        <v>0</v>
      </c>
      <c r="U8052" s="328">
        <f>VLOOKUP(C8052,METADATA!$J$5:$Q$29,IF(E8052="HI",2,IF(E8052="LO",6,10))+IF(T8052=1,2,IF(D8052=7,1,(IF(WEEKDAY(B8052)=1,2,IF(WEEKDAY(B8052)=7,1,0))))))</f>
        <v>1</v>
      </c>
      <c r="V8052" s="328">
        <f>VLOOKUP(C8052,METADATA!$A$5:$H$29,IF(E8052="HI",2,IF(E8052="LO",6,10))+IF(T8052=1,2,IF(D8052=7,1,(IF(WEEKDAY(B8052)=1,2,IF(WEEKDAY(B8052)=7,1,0))))))</f>
        <v>1</v>
      </c>
    </row>
    <row r="8053" spans="2:22">
      <c r="B8053" s="318">
        <f t="shared" si="503"/>
        <v>46448</v>
      </c>
      <c r="C8053" s="312">
        <v>9</v>
      </c>
      <c r="D8053" s="368">
        <f>IFERROR((INDEX(METADATA!$T$2:$T$20,MATCH(B8053,METADATA!$S$2:$S$20,0))),0)</f>
        <v>0</v>
      </c>
      <c r="E8053" s="312" t="str">
        <f t="shared" si="500"/>
        <v>LO</v>
      </c>
      <c r="F8053" s="369">
        <f>VLOOKUP(C8053,METADATA!$A$5:$H$29,IF(E8053="HI",2,IF(E8053="LO",6,10))+IF(D8053=1,2,IF(D8053=7,1,(IF(WEEKDAY(B8053)=1,2,IF(WEEKDAY(B8053)=7,1,0))))))</f>
        <v>2</v>
      </c>
      <c r="G8053" s="369">
        <f>VLOOKUP(C8053,METADATA!$J$5:$Q$29,IF(E8053="HI",2,IF(E8053="LO",6,10))+IF(D8053=1,2,IF(D8053=7,1,(IF(WEEKDAY(B8053)=1,2,IF(WEEKDAY(B8053)=7,1,0))))))</f>
        <v>2</v>
      </c>
      <c r="H8053" s="370">
        <v>12525.600341796875</v>
      </c>
      <c r="I8053" s="370">
        <v>9295.6749877929688</v>
      </c>
      <c r="M8053" s="371">
        <f t="shared" si="501"/>
        <v>15598.084414475445</v>
      </c>
      <c r="N8053" s="329">
        <f t="shared" si="502"/>
        <v>5537.9948852539064</v>
      </c>
      <c r="T8053" s="331">
        <v>0</v>
      </c>
      <c r="U8053" s="328">
        <f>VLOOKUP(C8053,METADATA!$J$5:$Q$29,IF(E8053="HI",2,IF(E8053="LO",6,10))+IF(T8053=1,2,IF(D8053=7,1,(IF(WEEKDAY(B8053)=1,2,IF(WEEKDAY(B8053)=7,1,0))))))</f>
        <v>2</v>
      </c>
      <c r="V8053" s="328">
        <f>VLOOKUP(C8053,METADATA!$A$5:$H$29,IF(E8053="HI",2,IF(E8053="LO",6,10))+IF(T8053=1,2,IF(D8053=7,1,(IF(WEEKDAY(B8053)=1,2,IF(WEEKDAY(B8053)=7,1,0))))))</f>
        <v>2</v>
      </c>
    </row>
    <row r="8054" spans="2:22">
      <c r="B8054" s="318">
        <f t="shared" si="503"/>
        <v>46448</v>
      </c>
      <c r="C8054" s="312">
        <v>10</v>
      </c>
      <c r="D8054" s="368">
        <f>IFERROR((INDEX(METADATA!$T$2:$T$20,MATCH(B8054,METADATA!$S$2:$S$20,0))),0)</f>
        <v>0</v>
      </c>
      <c r="E8054" s="312" t="str">
        <f t="shared" si="500"/>
        <v>LO</v>
      </c>
      <c r="F8054" s="369">
        <f>VLOOKUP(C8054,METADATA!$A$5:$H$29,IF(E8054="HI",2,IF(E8054="LO",6,10))+IF(D8054=1,2,IF(D8054=7,1,(IF(WEEKDAY(B8054)=1,2,IF(WEEKDAY(B8054)=7,1,0))))))</f>
        <v>2</v>
      </c>
      <c r="G8054" s="369">
        <f>VLOOKUP(C8054,METADATA!$J$5:$Q$29,IF(E8054="HI",2,IF(E8054="LO",6,10))+IF(D8054=1,2,IF(D8054=7,1,(IF(WEEKDAY(B8054)=1,2,IF(WEEKDAY(B8054)=7,1,0))))))</f>
        <v>2</v>
      </c>
      <c r="H8054" s="370">
        <v>12502.150024414063</v>
      </c>
      <c r="I8054" s="370">
        <v>9241.0250244140625</v>
      </c>
      <c r="M8054" s="371">
        <f t="shared" si="501"/>
        <v>15546.713438370292</v>
      </c>
      <c r="N8054" s="329">
        <f t="shared" si="502"/>
        <v>5490.3800170898439</v>
      </c>
      <c r="T8054" s="331">
        <v>0</v>
      </c>
      <c r="U8054" s="328">
        <f>VLOOKUP(C8054,METADATA!$J$5:$Q$29,IF(E8054="HI",2,IF(E8054="LO",6,10))+IF(T8054=1,2,IF(D8054=7,1,(IF(WEEKDAY(B8054)=1,2,IF(WEEKDAY(B8054)=7,1,0))))))</f>
        <v>2</v>
      </c>
      <c r="V8054" s="328">
        <f>VLOOKUP(C8054,METADATA!$A$5:$H$29,IF(E8054="HI",2,IF(E8054="LO",6,10))+IF(T8054=1,2,IF(D8054=7,1,(IF(WEEKDAY(B8054)=1,2,IF(WEEKDAY(B8054)=7,1,0))))))</f>
        <v>2</v>
      </c>
    </row>
    <row r="8055" spans="2:22">
      <c r="B8055" s="318">
        <f t="shared" si="503"/>
        <v>46448</v>
      </c>
      <c r="C8055" s="312">
        <v>11</v>
      </c>
      <c r="D8055" s="368">
        <f>IFERROR((INDEX(METADATA!$T$2:$T$20,MATCH(B8055,METADATA!$S$2:$S$20,0))),0)</f>
        <v>0</v>
      </c>
      <c r="E8055" s="312" t="str">
        <f t="shared" si="500"/>
        <v>LO</v>
      </c>
      <c r="F8055" s="369">
        <f>VLOOKUP(C8055,METADATA!$A$5:$H$29,IF(E8055="HI",2,IF(E8055="LO",6,10))+IF(D8055=1,2,IF(D8055=7,1,(IF(WEEKDAY(B8055)=1,2,IF(WEEKDAY(B8055)=7,1,0))))))</f>
        <v>2</v>
      </c>
      <c r="G8055" s="369">
        <f>VLOOKUP(C8055,METADATA!$J$5:$Q$29,IF(E8055="HI",2,IF(E8055="LO",6,10))+IF(D8055=1,2,IF(D8055=7,1,(IF(WEEKDAY(B8055)=1,2,IF(WEEKDAY(B8055)=7,1,0))))))</f>
        <v>2</v>
      </c>
      <c r="H8055" s="370">
        <v>12568.25</v>
      </c>
      <c r="I8055" s="370">
        <v>9140.5250854492188</v>
      </c>
      <c r="M8055" s="371">
        <f t="shared" si="501"/>
        <v>15540.595448702294</v>
      </c>
      <c r="N8055" s="329">
        <f t="shared" si="502"/>
        <v>5370.0500854492184</v>
      </c>
      <c r="T8055" s="331">
        <v>0</v>
      </c>
      <c r="U8055" s="328">
        <f>VLOOKUP(C8055,METADATA!$J$5:$Q$29,IF(E8055="HI",2,IF(E8055="LO",6,10))+IF(T8055=1,2,IF(D8055=7,1,(IF(WEEKDAY(B8055)=1,2,IF(WEEKDAY(B8055)=7,1,0))))))</f>
        <v>2</v>
      </c>
      <c r="V8055" s="328">
        <f>VLOOKUP(C8055,METADATA!$A$5:$H$29,IF(E8055="HI",2,IF(E8055="LO",6,10))+IF(T8055=1,2,IF(D8055=7,1,(IF(WEEKDAY(B8055)=1,2,IF(WEEKDAY(B8055)=7,1,0))))))</f>
        <v>2</v>
      </c>
    </row>
    <row r="8056" spans="2:22">
      <c r="B8056" s="318">
        <f t="shared" si="503"/>
        <v>46448</v>
      </c>
      <c r="C8056" s="312">
        <v>12</v>
      </c>
      <c r="D8056" s="368">
        <f>IFERROR((INDEX(METADATA!$T$2:$T$20,MATCH(B8056,METADATA!$S$2:$S$20,0))),0)</f>
        <v>0</v>
      </c>
      <c r="E8056" s="312" t="str">
        <f t="shared" si="500"/>
        <v>LO</v>
      </c>
      <c r="F8056" s="369">
        <f>VLOOKUP(C8056,METADATA!$A$5:$H$29,IF(E8056="HI",2,IF(E8056="LO",6,10))+IF(D8056=1,2,IF(D8056=7,1,(IF(WEEKDAY(B8056)=1,2,IF(WEEKDAY(B8056)=7,1,0))))))</f>
        <v>2</v>
      </c>
      <c r="G8056" s="369">
        <f>VLOOKUP(C8056,METADATA!$J$5:$Q$29,IF(E8056="HI",2,IF(E8056="LO",6,10))+IF(D8056=1,2,IF(D8056=7,1,(IF(WEEKDAY(B8056)=1,2,IF(WEEKDAY(B8056)=7,1,0))))))</f>
        <v>2</v>
      </c>
      <c r="H8056" s="370">
        <v>12562.775268554688</v>
      </c>
      <c r="I8056" s="370">
        <v>9265.4749145507813</v>
      </c>
      <c r="M8056" s="371">
        <f t="shared" si="501"/>
        <v>15610.007938511086</v>
      </c>
      <c r="N8056" s="329">
        <f t="shared" si="502"/>
        <v>5496.642333984375</v>
      </c>
      <c r="T8056" s="331">
        <v>0</v>
      </c>
      <c r="U8056" s="328">
        <f>VLOOKUP(C8056,METADATA!$J$5:$Q$29,IF(E8056="HI",2,IF(E8056="LO",6,10))+IF(T8056=1,2,IF(D8056=7,1,(IF(WEEKDAY(B8056)=1,2,IF(WEEKDAY(B8056)=7,1,0))))))</f>
        <v>2</v>
      </c>
      <c r="V8056" s="328">
        <f>VLOOKUP(C8056,METADATA!$A$5:$H$29,IF(E8056="HI",2,IF(E8056="LO",6,10))+IF(T8056=1,2,IF(D8056=7,1,(IF(WEEKDAY(B8056)=1,2,IF(WEEKDAY(B8056)=7,1,0))))))</f>
        <v>2</v>
      </c>
    </row>
    <row r="8057" spans="2:22">
      <c r="B8057" s="318">
        <f t="shared" si="503"/>
        <v>46448</v>
      </c>
      <c r="C8057" s="312">
        <v>13</v>
      </c>
      <c r="D8057" s="368">
        <f>IFERROR((INDEX(METADATA!$T$2:$T$20,MATCH(B8057,METADATA!$S$2:$S$20,0))),0)</f>
        <v>0</v>
      </c>
      <c r="E8057" s="312" t="str">
        <f t="shared" si="500"/>
        <v>LO</v>
      </c>
      <c r="F8057" s="369">
        <f>VLOOKUP(C8057,METADATA!$A$5:$H$29,IF(E8057="HI",2,IF(E8057="LO",6,10))+IF(D8057=1,2,IF(D8057=7,1,(IF(WEEKDAY(B8057)=1,2,IF(WEEKDAY(B8057)=7,1,0))))))</f>
        <v>2</v>
      </c>
      <c r="G8057" s="369">
        <f>VLOOKUP(C8057,METADATA!$J$5:$Q$29,IF(E8057="HI",2,IF(E8057="LO",6,10))+IF(D8057=1,2,IF(D8057=7,1,(IF(WEEKDAY(B8057)=1,2,IF(WEEKDAY(B8057)=7,1,0))))))</f>
        <v>2</v>
      </c>
      <c r="H8057" s="370">
        <v>12736.749877929688</v>
      </c>
      <c r="I8057" s="370">
        <v>9355.1250610351563</v>
      </c>
      <c r="M8057" s="371">
        <f t="shared" si="501"/>
        <v>15803.264294459861</v>
      </c>
      <c r="N8057" s="329">
        <f t="shared" si="502"/>
        <v>5534.10009765625</v>
      </c>
      <c r="T8057" s="331">
        <v>0</v>
      </c>
      <c r="U8057" s="328">
        <f>VLOOKUP(C8057,METADATA!$J$5:$Q$29,IF(E8057="HI",2,IF(E8057="LO",6,10))+IF(T8057=1,2,IF(D8057=7,1,(IF(WEEKDAY(B8057)=1,2,IF(WEEKDAY(B8057)=7,1,0))))))</f>
        <v>2</v>
      </c>
      <c r="V8057" s="328">
        <f>VLOOKUP(C8057,METADATA!$A$5:$H$29,IF(E8057="HI",2,IF(E8057="LO",6,10))+IF(T8057=1,2,IF(D8057=7,1,(IF(WEEKDAY(B8057)=1,2,IF(WEEKDAY(B8057)=7,1,0))))))</f>
        <v>2</v>
      </c>
    </row>
    <row r="8058" spans="2:22">
      <c r="B8058" s="318">
        <f t="shared" si="503"/>
        <v>46448</v>
      </c>
      <c r="C8058" s="312">
        <v>14</v>
      </c>
      <c r="D8058" s="368">
        <f>IFERROR((INDEX(METADATA!$T$2:$T$20,MATCH(B8058,METADATA!$S$2:$S$20,0))),0)</f>
        <v>0</v>
      </c>
      <c r="E8058" s="312" t="str">
        <f t="shared" si="500"/>
        <v>LO</v>
      </c>
      <c r="F8058" s="369">
        <f>VLOOKUP(C8058,METADATA!$A$5:$H$29,IF(E8058="HI",2,IF(E8058="LO",6,10))+IF(D8058=1,2,IF(D8058=7,1,(IF(WEEKDAY(B8058)=1,2,IF(WEEKDAY(B8058)=7,1,0))))))</f>
        <v>2</v>
      </c>
      <c r="G8058" s="369">
        <f>VLOOKUP(C8058,METADATA!$J$5:$Q$29,IF(E8058="HI",2,IF(E8058="LO",6,10))+IF(D8058=1,2,IF(D8058=7,1,(IF(WEEKDAY(B8058)=1,2,IF(WEEKDAY(B8058)=7,1,0))))))</f>
        <v>2</v>
      </c>
      <c r="H8058" s="370">
        <v>12577.474731445313</v>
      </c>
      <c r="I8058" s="370">
        <v>9268.4500122070313</v>
      </c>
      <c r="M8058" s="371">
        <f t="shared" si="501"/>
        <v>15623.605097701549</v>
      </c>
      <c r="N8058" s="329">
        <f t="shared" si="502"/>
        <v>5495.2075927734377</v>
      </c>
      <c r="T8058" s="331">
        <v>0</v>
      </c>
      <c r="U8058" s="328">
        <f>VLOOKUP(C8058,METADATA!$J$5:$Q$29,IF(E8058="HI",2,IF(E8058="LO",6,10))+IF(T8058=1,2,IF(D8058=7,1,(IF(WEEKDAY(B8058)=1,2,IF(WEEKDAY(B8058)=7,1,0))))))</f>
        <v>2</v>
      </c>
      <c r="V8058" s="328">
        <f>VLOOKUP(C8058,METADATA!$A$5:$H$29,IF(E8058="HI",2,IF(E8058="LO",6,10))+IF(T8058=1,2,IF(D8058=7,1,(IF(WEEKDAY(B8058)=1,2,IF(WEEKDAY(B8058)=7,1,0))))))</f>
        <v>2</v>
      </c>
    </row>
    <row r="8059" spans="2:22">
      <c r="B8059" s="318">
        <f t="shared" si="503"/>
        <v>46448</v>
      </c>
      <c r="C8059" s="312">
        <v>15</v>
      </c>
      <c r="D8059" s="368">
        <f>IFERROR((INDEX(METADATA!$T$2:$T$20,MATCH(B8059,METADATA!$S$2:$S$20,0))),0)</f>
        <v>0</v>
      </c>
      <c r="E8059" s="312" t="str">
        <f t="shared" si="500"/>
        <v>LO</v>
      </c>
      <c r="F8059" s="369">
        <f>VLOOKUP(C8059,METADATA!$A$5:$H$29,IF(E8059="HI",2,IF(E8059="LO",6,10))+IF(D8059=1,2,IF(D8059=7,1,(IF(WEEKDAY(B8059)=1,2,IF(WEEKDAY(B8059)=7,1,0))))))</f>
        <v>2</v>
      </c>
      <c r="G8059" s="369">
        <f>VLOOKUP(C8059,METADATA!$J$5:$Q$29,IF(E8059="HI",2,IF(E8059="LO",6,10))+IF(D8059=1,2,IF(D8059=7,1,(IF(WEEKDAY(B8059)=1,2,IF(WEEKDAY(B8059)=7,1,0))))))</f>
        <v>2</v>
      </c>
      <c r="H8059" s="370">
        <v>11886.775207519531</v>
      </c>
      <c r="I8059" s="370">
        <v>8891.18994140625</v>
      </c>
      <c r="M8059" s="371">
        <f t="shared" si="501"/>
        <v>14844.146435826637</v>
      </c>
      <c r="N8059" s="329">
        <f t="shared" si="502"/>
        <v>5325.1573791503906</v>
      </c>
      <c r="T8059" s="331">
        <v>0</v>
      </c>
      <c r="U8059" s="328">
        <f>VLOOKUP(C8059,METADATA!$J$5:$Q$29,IF(E8059="HI",2,IF(E8059="LO",6,10))+IF(T8059=1,2,IF(D8059=7,1,(IF(WEEKDAY(B8059)=1,2,IF(WEEKDAY(B8059)=7,1,0))))))</f>
        <v>2</v>
      </c>
      <c r="V8059" s="328">
        <f>VLOOKUP(C8059,METADATA!$A$5:$H$29,IF(E8059="HI",2,IF(E8059="LO",6,10))+IF(T8059=1,2,IF(D8059=7,1,(IF(WEEKDAY(B8059)=1,2,IF(WEEKDAY(B8059)=7,1,0))))))</f>
        <v>2</v>
      </c>
    </row>
    <row r="8060" spans="2:22">
      <c r="B8060" s="318">
        <f t="shared" si="503"/>
        <v>46448</v>
      </c>
      <c r="C8060" s="312">
        <v>16</v>
      </c>
      <c r="D8060" s="368">
        <f>IFERROR((INDEX(METADATA!$T$2:$T$20,MATCH(B8060,METADATA!$S$2:$S$20,0))),0)</f>
        <v>0</v>
      </c>
      <c r="E8060" s="312" t="str">
        <f t="shared" si="500"/>
        <v>LO</v>
      </c>
      <c r="F8060" s="369">
        <f>VLOOKUP(C8060,METADATA!$A$5:$H$29,IF(E8060="HI",2,IF(E8060="LO",6,10))+IF(D8060=1,2,IF(D8060=7,1,(IF(WEEKDAY(B8060)=1,2,IF(WEEKDAY(B8060)=7,1,0))))))</f>
        <v>2</v>
      </c>
      <c r="G8060" s="369">
        <f>VLOOKUP(C8060,METADATA!$J$5:$Q$29,IF(E8060="HI",2,IF(E8060="LO",6,10))+IF(D8060=1,2,IF(D8060=7,1,(IF(WEEKDAY(B8060)=1,2,IF(WEEKDAY(B8060)=7,1,0))))))</f>
        <v>2</v>
      </c>
      <c r="H8060" s="370">
        <v>10755.1220703125</v>
      </c>
      <c r="I8060" s="370">
        <v>8294.5924072265625</v>
      </c>
      <c r="M8060" s="371">
        <f t="shared" si="501"/>
        <v>13582.080619306586</v>
      </c>
      <c r="N8060" s="329">
        <f t="shared" si="502"/>
        <v>5068.0557861328125</v>
      </c>
      <c r="T8060" s="331">
        <v>0</v>
      </c>
      <c r="U8060" s="328">
        <f>VLOOKUP(C8060,METADATA!$J$5:$Q$29,IF(E8060="HI",2,IF(E8060="LO",6,10))+IF(T8060=1,2,IF(D8060=7,1,(IF(WEEKDAY(B8060)=1,2,IF(WEEKDAY(B8060)=7,1,0))))))</f>
        <v>2</v>
      </c>
      <c r="V8060" s="328">
        <f>VLOOKUP(C8060,METADATA!$A$5:$H$29,IF(E8060="HI",2,IF(E8060="LO",6,10))+IF(T8060=1,2,IF(D8060=7,1,(IF(WEEKDAY(B8060)=1,2,IF(WEEKDAY(B8060)=7,1,0))))))</f>
        <v>2</v>
      </c>
    </row>
    <row r="8061" spans="2:22">
      <c r="B8061" s="318">
        <f t="shared" si="503"/>
        <v>46448</v>
      </c>
      <c r="C8061" s="312">
        <v>17</v>
      </c>
      <c r="D8061" s="368">
        <f>IFERROR((INDEX(METADATA!$T$2:$T$20,MATCH(B8061,METADATA!$S$2:$S$20,0))),0)</f>
        <v>0</v>
      </c>
      <c r="E8061" s="312" t="str">
        <f t="shared" si="500"/>
        <v>LO</v>
      </c>
      <c r="F8061" s="369">
        <f>VLOOKUP(C8061,METADATA!$A$5:$H$29,IF(E8061="HI",2,IF(E8061="LO",6,10))+IF(D8061=1,2,IF(D8061=7,1,(IF(WEEKDAY(B8061)=1,2,IF(WEEKDAY(B8061)=7,1,0))))))</f>
        <v>2</v>
      </c>
      <c r="G8061" s="369">
        <f>VLOOKUP(C8061,METADATA!$J$5:$Q$29,IF(E8061="HI",2,IF(E8061="LO",6,10))+IF(D8061=1,2,IF(D8061=7,1,(IF(WEEKDAY(B8061)=1,2,IF(WEEKDAY(B8061)=7,1,0))))))</f>
        <v>2</v>
      </c>
      <c r="H8061" s="370">
        <v>12289.075134277344</v>
      </c>
      <c r="I8061" s="370">
        <v>9252.1251220703125</v>
      </c>
      <c r="M8061" s="371">
        <f t="shared" si="501"/>
        <v>15382.561130395623</v>
      </c>
      <c r="N8061" s="329">
        <f t="shared" si="502"/>
        <v>5565.4025817871097</v>
      </c>
      <c r="T8061" s="331">
        <v>0</v>
      </c>
      <c r="U8061" s="328">
        <f>VLOOKUP(C8061,METADATA!$J$5:$Q$29,IF(E8061="HI",2,IF(E8061="LO",6,10))+IF(T8061=1,2,IF(D8061=7,1,(IF(WEEKDAY(B8061)=1,2,IF(WEEKDAY(B8061)=7,1,0))))))</f>
        <v>2</v>
      </c>
      <c r="V8061" s="328">
        <f>VLOOKUP(C8061,METADATA!$A$5:$H$29,IF(E8061="HI",2,IF(E8061="LO",6,10))+IF(T8061=1,2,IF(D8061=7,1,(IF(WEEKDAY(B8061)=1,2,IF(WEEKDAY(B8061)=7,1,0))))))</f>
        <v>2</v>
      </c>
    </row>
    <row r="8062" spans="2:22">
      <c r="B8062" s="318">
        <f t="shared" si="503"/>
        <v>46448</v>
      </c>
      <c r="C8062" s="312">
        <v>18</v>
      </c>
      <c r="D8062" s="368">
        <f>IFERROR((INDEX(METADATA!$T$2:$T$20,MATCH(B8062,METADATA!$S$2:$S$20,0))),0)</f>
        <v>0</v>
      </c>
      <c r="E8062" s="312" t="str">
        <f t="shared" si="500"/>
        <v>LO</v>
      </c>
      <c r="F8062" s="369">
        <f>VLOOKUP(C8062,METADATA!$A$5:$H$29,IF(E8062="HI",2,IF(E8062="LO",6,10))+IF(D8062=1,2,IF(D8062=7,1,(IF(WEEKDAY(B8062)=1,2,IF(WEEKDAY(B8062)=7,1,0))))))</f>
        <v>1</v>
      </c>
      <c r="G8062" s="369">
        <f>VLOOKUP(C8062,METADATA!$J$5:$Q$29,IF(E8062="HI",2,IF(E8062="LO",6,10))+IF(D8062=1,2,IF(D8062=7,1,(IF(WEEKDAY(B8062)=1,2,IF(WEEKDAY(B8062)=7,1,0))))))</f>
        <v>1</v>
      </c>
      <c r="H8062" s="370">
        <v>12370.049987792969</v>
      </c>
      <c r="I8062" s="370">
        <v>9331.64990234375</v>
      </c>
      <c r="M8062" s="371">
        <f t="shared" si="501"/>
        <v>15495.090403105396</v>
      </c>
      <c r="N8062" s="329">
        <f t="shared" si="502"/>
        <v>5620.6349060058601</v>
      </c>
      <c r="T8062" s="331">
        <v>0</v>
      </c>
      <c r="U8062" s="328">
        <f>VLOOKUP(C8062,METADATA!$J$5:$Q$29,IF(E8062="HI",2,IF(E8062="LO",6,10))+IF(T8062=1,2,IF(D8062=7,1,(IF(WEEKDAY(B8062)=1,2,IF(WEEKDAY(B8062)=7,1,0))))))</f>
        <v>1</v>
      </c>
      <c r="V8062" s="328">
        <f>VLOOKUP(C8062,METADATA!$A$5:$H$29,IF(E8062="HI",2,IF(E8062="LO",6,10))+IF(T8062=1,2,IF(D8062=7,1,(IF(WEEKDAY(B8062)=1,2,IF(WEEKDAY(B8062)=7,1,0))))))</f>
        <v>1</v>
      </c>
    </row>
    <row r="8063" spans="2:22">
      <c r="B8063" s="318">
        <f t="shared" si="503"/>
        <v>46448</v>
      </c>
      <c r="C8063" s="312">
        <v>19</v>
      </c>
      <c r="D8063" s="368">
        <f>IFERROR((INDEX(METADATA!$T$2:$T$20,MATCH(B8063,METADATA!$S$2:$S$20,0))),0)</f>
        <v>0</v>
      </c>
      <c r="E8063" s="312" t="str">
        <f t="shared" si="500"/>
        <v>LO</v>
      </c>
      <c r="F8063" s="369">
        <f>VLOOKUP(C8063,METADATA!$A$5:$H$29,IF(E8063="HI",2,IF(E8063="LO",6,10))+IF(D8063=1,2,IF(D8063=7,1,(IF(WEEKDAY(B8063)=1,2,IF(WEEKDAY(B8063)=7,1,0))))))</f>
        <v>1</v>
      </c>
      <c r="G8063" s="369">
        <f>VLOOKUP(C8063,METADATA!$J$5:$Q$29,IF(E8063="HI",2,IF(E8063="LO",6,10))+IF(D8063=1,2,IF(D8063=7,1,(IF(WEEKDAY(B8063)=1,2,IF(WEEKDAY(B8063)=7,1,0))))))</f>
        <v>1</v>
      </c>
      <c r="H8063" s="370">
        <v>12297.075378417969</v>
      </c>
      <c r="I8063" s="370">
        <v>9161.72509765625</v>
      </c>
      <c r="M8063" s="371">
        <f t="shared" si="501"/>
        <v>15334.773217348793</v>
      </c>
      <c r="N8063" s="329">
        <f t="shared" si="502"/>
        <v>5472.602484130859</v>
      </c>
      <c r="T8063" s="331">
        <v>0</v>
      </c>
      <c r="U8063" s="328">
        <f>VLOOKUP(C8063,METADATA!$J$5:$Q$29,IF(E8063="HI",2,IF(E8063="LO",6,10))+IF(T8063=1,2,IF(D8063=7,1,(IF(WEEKDAY(B8063)=1,2,IF(WEEKDAY(B8063)=7,1,0))))))</f>
        <v>1</v>
      </c>
      <c r="V8063" s="328">
        <f>VLOOKUP(C8063,METADATA!$A$5:$H$29,IF(E8063="HI",2,IF(E8063="LO",6,10))+IF(T8063=1,2,IF(D8063=7,1,(IF(WEEKDAY(B8063)=1,2,IF(WEEKDAY(B8063)=7,1,0))))))</f>
        <v>1</v>
      </c>
    </row>
    <row r="8064" spans="2:22">
      <c r="B8064" s="318">
        <f t="shared" si="503"/>
        <v>46448</v>
      </c>
      <c r="C8064" s="312">
        <v>20</v>
      </c>
      <c r="D8064" s="368">
        <f>IFERROR((INDEX(METADATA!$T$2:$T$20,MATCH(B8064,METADATA!$S$2:$S$20,0))),0)</f>
        <v>0</v>
      </c>
      <c r="E8064" s="312" t="str">
        <f t="shared" si="500"/>
        <v>LO</v>
      </c>
      <c r="F8064" s="369">
        <f>VLOOKUP(C8064,METADATA!$A$5:$H$29,IF(E8064="HI",2,IF(E8064="LO",6,10))+IF(D8064=1,2,IF(D8064=7,1,(IF(WEEKDAY(B8064)=1,2,IF(WEEKDAY(B8064)=7,1,0))))))</f>
        <v>1</v>
      </c>
      <c r="G8064" s="369">
        <f>VLOOKUP(C8064,METADATA!$J$5:$Q$29,IF(E8064="HI",2,IF(E8064="LO",6,10))+IF(D8064=1,2,IF(D8064=7,1,(IF(WEEKDAY(B8064)=1,2,IF(WEEKDAY(B8064)=7,1,0))))))</f>
        <v>1</v>
      </c>
      <c r="H8064" s="370">
        <v>12310.350280761719</v>
      </c>
      <c r="I8064" s="370">
        <v>9239.9248657226563</v>
      </c>
      <c r="M8064" s="371">
        <f t="shared" si="501"/>
        <v>15392.236210481242</v>
      </c>
      <c r="N8064" s="329">
        <f t="shared" si="502"/>
        <v>5546.8197814941414</v>
      </c>
      <c r="T8064" s="331">
        <v>0</v>
      </c>
      <c r="U8064" s="328">
        <f>VLOOKUP(C8064,METADATA!$J$5:$Q$29,IF(E8064="HI",2,IF(E8064="LO",6,10))+IF(T8064=1,2,IF(D8064=7,1,(IF(WEEKDAY(B8064)=1,2,IF(WEEKDAY(B8064)=7,1,0))))))</f>
        <v>1</v>
      </c>
      <c r="V8064" s="328">
        <f>VLOOKUP(C8064,METADATA!$A$5:$H$29,IF(E8064="HI",2,IF(E8064="LO",6,10))+IF(T8064=1,2,IF(D8064=7,1,(IF(WEEKDAY(B8064)=1,2,IF(WEEKDAY(B8064)=7,1,0))))))</f>
        <v>1</v>
      </c>
    </row>
    <row r="8065" spans="2:22">
      <c r="B8065" s="318">
        <f t="shared" si="503"/>
        <v>46448</v>
      </c>
      <c r="C8065" s="312">
        <v>21</v>
      </c>
      <c r="D8065" s="368">
        <f>IFERROR((INDEX(METADATA!$T$2:$T$20,MATCH(B8065,METADATA!$S$2:$S$20,0))),0)</f>
        <v>0</v>
      </c>
      <c r="E8065" s="312" t="str">
        <f t="shared" si="500"/>
        <v>LO</v>
      </c>
      <c r="F8065" s="369">
        <f>VLOOKUP(C8065,METADATA!$A$5:$H$29,IF(E8065="HI",2,IF(E8065="LO",6,10))+IF(D8065=1,2,IF(D8065=7,1,(IF(WEEKDAY(B8065)=1,2,IF(WEEKDAY(B8065)=7,1,0))))))</f>
        <v>2</v>
      </c>
      <c r="G8065" s="369">
        <f>VLOOKUP(C8065,METADATA!$J$5:$Q$29,IF(E8065="HI",2,IF(E8065="LO",6,10))+IF(D8065=1,2,IF(D8065=7,1,(IF(WEEKDAY(B8065)=1,2,IF(WEEKDAY(B8065)=7,1,0))))))</f>
        <v>2</v>
      </c>
      <c r="H8065" s="370">
        <v>12219.899963378906</v>
      </c>
      <c r="I8065" s="370">
        <v>9349.0499877929688</v>
      </c>
      <c r="M8065" s="371">
        <f t="shared" si="501"/>
        <v>15386.055075594897</v>
      </c>
      <c r="N8065" s="329">
        <f t="shared" si="502"/>
        <v>5683.0799987792971</v>
      </c>
      <c r="T8065" s="331">
        <v>0</v>
      </c>
      <c r="U8065" s="328">
        <f>VLOOKUP(C8065,METADATA!$J$5:$Q$29,IF(E8065="HI",2,IF(E8065="LO",6,10))+IF(T8065=1,2,IF(D8065=7,1,(IF(WEEKDAY(B8065)=1,2,IF(WEEKDAY(B8065)=7,1,0))))))</f>
        <v>2</v>
      </c>
      <c r="V8065" s="328">
        <f>VLOOKUP(C8065,METADATA!$A$5:$H$29,IF(E8065="HI",2,IF(E8065="LO",6,10))+IF(T8065=1,2,IF(D8065=7,1,(IF(WEEKDAY(B8065)=1,2,IF(WEEKDAY(B8065)=7,1,0))))))</f>
        <v>2</v>
      </c>
    </row>
    <row r="8066" spans="2:22">
      <c r="B8066" s="318">
        <f t="shared" si="503"/>
        <v>46448</v>
      </c>
      <c r="C8066" s="312">
        <v>22</v>
      </c>
      <c r="D8066" s="368">
        <f>IFERROR((INDEX(METADATA!$T$2:$T$20,MATCH(B8066,METADATA!$S$2:$S$20,0))),0)</f>
        <v>0</v>
      </c>
      <c r="E8066" s="312" t="str">
        <f t="shared" si="500"/>
        <v>LO</v>
      </c>
      <c r="F8066" s="369">
        <f>VLOOKUP(C8066,METADATA!$A$5:$H$29,IF(E8066="HI",2,IF(E8066="LO",6,10))+IF(D8066=1,2,IF(D8066=7,1,(IF(WEEKDAY(B8066)=1,2,IF(WEEKDAY(B8066)=7,1,0))))))</f>
        <v>3</v>
      </c>
      <c r="G8066" s="369">
        <f>VLOOKUP(C8066,METADATA!$J$5:$Q$29,IF(E8066="HI",2,IF(E8066="LO",6,10))+IF(D8066=1,2,IF(D8066=7,1,(IF(WEEKDAY(B8066)=1,2,IF(WEEKDAY(B8066)=7,1,0))))))</f>
        <v>3</v>
      </c>
      <c r="H8066" s="370">
        <v>12451.300354003906</v>
      </c>
      <c r="I8066" s="370">
        <v>9530.8248901367188</v>
      </c>
      <c r="M8066" s="371">
        <f t="shared" si="501"/>
        <v>15680.29029042726</v>
      </c>
      <c r="N8066" s="329">
        <f t="shared" si="502"/>
        <v>5795.4347839355469</v>
      </c>
      <c r="T8066" s="331">
        <v>0</v>
      </c>
      <c r="U8066" s="328">
        <f>VLOOKUP(C8066,METADATA!$J$5:$Q$29,IF(E8066="HI",2,IF(E8066="LO",6,10))+IF(T8066=1,2,IF(D8066=7,1,(IF(WEEKDAY(B8066)=1,2,IF(WEEKDAY(B8066)=7,1,0))))))</f>
        <v>3</v>
      </c>
      <c r="V8066" s="328">
        <f>VLOOKUP(C8066,METADATA!$A$5:$H$29,IF(E8066="HI",2,IF(E8066="LO",6,10))+IF(T8066=1,2,IF(D8066=7,1,(IF(WEEKDAY(B8066)=1,2,IF(WEEKDAY(B8066)=7,1,0))))))</f>
        <v>3</v>
      </c>
    </row>
    <row r="8067" spans="2:22">
      <c r="B8067" s="318">
        <f t="shared" si="503"/>
        <v>46448</v>
      </c>
      <c r="C8067" s="312">
        <v>23</v>
      </c>
      <c r="D8067" s="368">
        <f>IFERROR((INDEX(METADATA!$T$2:$T$20,MATCH(B8067,METADATA!$S$2:$S$20,0))),0)</f>
        <v>0</v>
      </c>
      <c r="E8067" s="312" t="str">
        <f t="shared" si="500"/>
        <v>LO</v>
      </c>
      <c r="F8067" s="369">
        <f>VLOOKUP(C8067,METADATA!$A$5:$H$29,IF(E8067="HI",2,IF(E8067="LO",6,10))+IF(D8067=1,2,IF(D8067=7,1,(IF(WEEKDAY(B8067)=1,2,IF(WEEKDAY(B8067)=7,1,0))))))</f>
        <v>3</v>
      </c>
      <c r="G8067" s="369">
        <f>VLOOKUP(C8067,METADATA!$J$5:$Q$29,IF(E8067="HI",2,IF(E8067="LO",6,10))+IF(D8067=1,2,IF(D8067=7,1,(IF(WEEKDAY(B8067)=1,2,IF(WEEKDAY(B8067)=7,1,0))))))</f>
        <v>3</v>
      </c>
      <c r="H8067" s="370">
        <v>12491.449951171875</v>
      </c>
      <c r="I8067" s="370">
        <v>9444.85009765625</v>
      </c>
      <c r="M8067" s="371">
        <f t="shared" si="501"/>
        <v>15660.188863798199</v>
      </c>
      <c r="N8067" s="329">
        <f t="shared" si="502"/>
        <v>5697.4151123046877</v>
      </c>
      <c r="T8067" s="331">
        <v>0</v>
      </c>
      <c r="U8067" s="328">
        <f>VLOOKUP(C8067,METADATA!$J$5:$Q$29,IF(E8067="HI",2,IF(E8067="LO",6,10))+IF(T8067=1,2,IF(D8067=7,1,(IF(WEEKDAY(B8067)=1,2,IF(WEEKDAY(B8067)=7,1,0))))))</f>
        <v>3</v>
      </c>
      <c r="V8067" s="328">
        <f>VLOOKUP(C8067,METADATA!$A$5:$H$29,IF(E8067="HI",2,IF(E8067="LO",6,10))+IF(T8067=1,2,IF(D8067=7,1,(IF(WEEKDAY(B8067)=1,2,IF(WEEKDAY(B8067)=7,1,0))))))</f>
        <v>3</v>
      </c>
    </row>
    <row r="8068" spans="2:22">
      <c r="B8068" s="318">
        <f t="shared" si="503"/>
        <v>46449</v>
      </c>
      <c r="C8068" s="312">
        <v>0</v>
      </c>
      <c r="D8068" s="368">
        <f>IFERROR((INDEX(METADATA!$T$2:$T$20,MATCH(B8068,METADATA!$S$2:$S$20,0))),0)</f>
        <v>0</v>
      </c>
      <c r="E8068" s="312" t="str">
        <f t="shared" ref="E8068:E8131" si="504">IF(B8068="","",IF(AND(MONTH(B8068)&gt;=MONTH($Z$9),MONTH(B8068)&lt;=MONTH($Z$11)),"HI","LO"))</f>
        <v>LO</v>
      </c>
      <c r="F8068" s="369">
        <f>VLOOKUP(C8068,METADATA!$A$5:$H$29,IF(E8068="HI",2,IF(E8068="LO",6,10))+IF(D8068=1,2,IF(D8068=7,1,(IF(WEEKDAY(B8068)=1,2,IF(WEEKDAY(B8068)=7,1,0))))))</f>
        <v>3</v>
      </c>
      <c r="G8068" s="369">
        <f>VLOOKUP(C8068,METADATA!$J$5:$Q$29,IF(E8068="HI",2,IF(E8068="LO",6,10))+IF(D8068=1,2,IF(D8068=7,1,(IF(WEEKDAY(B8068)=1,2,IF(WEEKDAY(B8068)=7,1,0))))))</f>
        <v>3</v>
      </c>
      <c r="H8068" s="370">
        <v>12251.599914550781</v>
      </c>
      <c r="I8068" s="370">
        <v>9365.650146484375</v>
      </c>
      <c r="M8068" s="371">
        <f t="shared" ref="M8068:M8131" si="505">SQRT(H8068^2+I8068^2)</f>
        <v>15421.319759753493</v>
      </c>
      <c r="N8068" s="329">
        <f t="shared" ref="N8068:N8131" si="506">IF(H8068=0,0,(IF(I8068-(0.3*H8068)&lt;0,0,(I8068-(0.3*H8068)))))</f>
        <v>5690.1701721191403</v>
      </c>
      <c r="T8068" s="331">
        <v>0</v>
      </c>
      <c r="U8068" s="328">
        <f>VLOOKUP(C8068,METADATA!$J$5:$Q$29,IF(E8068="HI",2,IF(E8068="LO",6,10))+IF(T8068=1,2,IF(D8068=7,1,(IF(WEEKDAY(B8068)=1,2,IF(WEEKDAY(B8068)=7,1,0))))))</f>
        <v>3</v>
      </c>
      <c r="V8068" s="328">
        <f>VLOOKUP(C8068,METADATA!$A$5:$H$29,IF(E8068="HI",2,IF(E8068="LO",6,10))+IF(T8068=1,2,IF(D8068=7,1,(IF(WEEKDAY(B8068)=1,2,IF(WEEKDAY(B8068)=7,1,0))))))</f>
        <v>3</v>
      </c>
    </row>
    <row r="8069" spans="2:22">
      <c r="B8069" s="318">
        <f t="shared" si="503"/>
        <v>46449</v>
      </c>
      <c r="C8069" s="312">
        <v>1</v>
      </c>
      <c r="D8069" s="368">
        <f>IFERROR((INDEX(METADATA!$T$2:$T$20,MATCH(B8069,METADATA!$S$2:$S$20,0))),0)</f>
        <v>0</v>
      </c>
      <c r="E8069" s="312" t="str">
        <f t="shared" si="504"/>
        <v>LO</v>
      </c>
      <c r="F8069" s="369">
        <f>VLOOKUP(C8069,METADATA!$A$5:$H$29,IF(E8069="HI",2,IF(E8069="LO",6,10))+IF(D8069=1,2,IF(D8069=7,1,(IF(WEEKDAY(B8069)=1,2,IF(WEEKDAY(B8069)=7,1,0))))))</f>
        <v>3</v>
      </c>
      <c r="G8069" s="369">
        <f>VLOOKUP(C8069,METADATA!$J$5:$Q$29,IF(E8069="HI",2,IF(E8069="LO",6,10))+IF(D8069=1,2,IF(D8069=7,1,(IF(WEEKDAY(B8069)=1,2,IF(WEEKDAY(B8069)=7,1,0))))))</f>
        <v>3</v>
      </c>
      <c r="H8069" s="370">
        <v>12220.769775390625</v>
      </c>
      <c r="I8069" s="370">
        <v>9378.9749755859375</v>
      </c>
      <c r="M8069" s="371">
        <f t="shared" si="505"/>
        <v>15404.94678652829</v>
      </c>
      <c r="N8069" s="329">
        <f t="shared" si="506"/>
        <v>5712.7440429687504</v>
      </c>
      <c r="T8069" s="331">
        <v>0</v>
      </c>
      <c r="U8069" s="328">
        <f>VLOOKUP(C8069,METADATA!$J$5:$Q$29,IF(E8069="HI",2,IF(E8069="LO",6,10))+IF(T8069=1,2,IF(D8069=7,1,(IF(WEEKDAY(B8069)=1,2,IF(WEEKDAY(B8069)=7,1,0))))))</f>
        <v>3</v>
      </c>
      <c r="V8069" s="328">
        <f>VLOOKUP(C8069,METADATA!$A$5:$H$29,IF(E8069="HI",2,IF(E8069="LO",6,10))+IF(T8069=1,2,IF(D8069=7,1,(IF(WEEKDAY(B8069)=1,2,IF(WEEKDAY(B8069)=7,1,0))))))</f>
        <v>3</v>
      </c>
    </row>
    <row r="8070" spans="2:22">
      <c r="B8070" s="318">
        <f t="shared" si="503"/>
        <v>46449</v>
      </c>
      <c r="C8070" s="312">
        <v>2</v>
      </c>
      <c r="D8070" s="368">
        <f>IFERROR((INDEX(METADATA!$T$2:$T$20,MATCH(B8070,METADATA!$S$2:$S$20,0))),0)</f>
        <v>0</v>
      </c>
      <c r="E8070" s="312" t="str">
        <f t="shared" si="504"/>
        <v>LO</v>
      </c>
      <c r="F8070" s="369">
        <f>VLOOKUP(C8070,METADATA!$A$5:$H$29,IF(E8070="HI",2,IF(E8070="LO",6,10))+IF(D8070=1,2,IF(D8070=7,1,(IF(WEEKDAY(B8070)=1,2,IF(WEEKDAY(B8070)=7,1,0))))))</f>
        <v>3</v>
      </c>
      <c r="G8070" s="369">
        <f>VLOOKUP(C8070,METADATA!$J$5:$Q$29,IF(E8070="HI",2,IF(E8070="LO",6,10))+IF(D8070=1,2,IF(D8070=7,1,(IF(WEEKDAY(B8070)=1,2,IF(WEEKDAY(B8070)=7,1,0))))))</f>
        <v>3</v>
      </c>
      <c r="H8070" s="370">
        <v>12401.925048828125</v>
      </c>
      <c r="I8070" s="370">
        <v>9195.4999389648438</v>
      </c>
      <c r="M8070" s="371">
        <f t="shared" si="505"/>
        <v>15439.072641977333</v>
      </c>
      <c r="N8070" s="329">
        <f t="shared" si="506"/>
        <v>5474.9224243164063</v>
      </c>
      <c r="T8070" s="331">
        <v>0</v>
      </c>
      <c r="U8070" s="328">
        <f>VLOOKUP(C8070,METADATA!$J$5:$Q$29,IF(E8070="HI",2,IF(E8070="LO",6,10))+IF(T8070=1,2,IF(D8070=7,1,(IF(WEEKDAY(B8070)=1,2,IF(WEEKDAY(B8070)=7,1,0))))))</f>
        <v>3</v>
      </c>
      <c r="V8070" s="328">
        <f>VLOOKUP(C8070,METADATA!$A$5:$H$29,IF(E8070="HI",2,IF(E8070="LO",6,10))+IF(T8070=1,2,IF(D8070=7,1,(IF(WEEKDAY(B8070)=1,2,IF(WEEKDAY(B8070)=7,1,0))))))</f>
        <v>3</v>
      </c>
    </row>
    <row r="8071" spans="2:22">
      <c r="B8071" s="318">
        <f t="shared" si="503"/>
        <v>46449</v>
      </c>
      <c r="C8071" s="312">
        <v>3</v>
      </c>
      <c r="D8071" s="368">
        <f>IFERROR((INDEX(METADATA!$T$2:$T$20,MATCH(B8071,METADATA!$S$2:$S$20,0))),0)</f>
        <v>0</v>
      </c>
      <c r="E8071" s="312" t="str">
        <f t="shared" si="504"/>
        <v>LO</v>
      </c>
      <c r="F8071" s="369">
        <f>VLOOKUP(C8071,METADATA!$A$5:$H$29,IF(E8071="HI",2,IF(E8071="LO",6,10))+IF(D8071=1,2,IF(D8071=7,1,(IF(WEEKDAY(B8071)=1,2,IF(WEEKDAY(B8071)=7,1,0))))))</f>
        <v>3</v>
      </c>
      <c r="G8071" s="369">
        <f>VLOOKUP(C8071,METADATA!$J$5:$Q$29,IF(E8071="HI",2,IF(E8071="LO",6,10))+IF(D8071=1,2,IF(D8071=7,1,(IF(WEEKDAY(B8071)=1,2,IF(WEEKDAY(B8071)=7,1,0))))))</f>
        <v>3</v>
      </c>
      <c r="H8071" s="370">
        <v>12373.124877929688</v>
      </c>
      <c r="I8071" s="370">
        <v>9097.72509765625</v>
      </c>
      <c r="M8071" s="371">
        <f t="shared" si="505"/>
        <v>15357.826057009728</v>
      </c>
      <c r="N8071" s="329">
        <f t="shared" si="506"/>
        <v>5385.7876342773434</v>
      </c>
      <c r="T8071" s="331">
        <v>0</v>
      </c>
      <c r="U8071" s="328">
        <f>VLOOKUP(C8071,METADATA!$J$5:$Q$29,IF(E8071="HI",2,IF(E8071="LO",6,10))+IF(T8071=1,2,IF(D8071=7,1,(IF(WEEKDAY(B8071)=1,2,IF(WEEKDAY(B8071)=7,1,0))))))</f>
        <v>3</v>
      </c>
      <c r="V8071" s="328">
        <f>VLOOKUP(C8071,METADATA!$A$5:$H$29,IF(E8071="HI",2,IF(E8071="LO",6,10))+IF(T8071=1,2,IF(D8071=7,1,(IF(WEEKDAY(B8071)=1,2,IF(WEEKDAY(B8071)=7,1,0))))))</f>
        <v>3</v>
      </c>
    </row>
    <row r="8072" spans="2:22">
      <c r="B8072" s="318">
        <f t="shared" si="503"/>
        <v>46449</v>
      </c>
      <c r="C8072" s="312">
        <v>4</v>
      </c>
      <c r="D8072" s="368">
        <f>IFERROR((INDEX(METADATA!$T$2:$T$20,MATCH(B8072,METADATA!$S$2:$S$20,0))),0)</f>
        <v>0</v>
      </c>
      <c r="E8072" s="312" t="str">
        <f t="shared" si="504"/>
        <v>LO</v>
      </c>
      <c r="F8072" s="369">
        <f>VLOOKUP(C8072,METADATA!$A$5:$H$29,IF(E8072="HI",2,IF(E8072="LO",6,10))+IF(D8072=1,2,IF(D8072=7,1,(IF(WEEKDAY(B8072)=1,2,IF(WEEKDAY(B8072)=7,1,0))))))</f>
        <v>3</v>
      </c>
      <c r="G8072" s="369">
        <f>VLOOKUP(C8072,METADATA!$J$5:$Q$29,IF(E8072="HI",2,IF(E8072="LO",6,10))+IF(D8072=1,2,IF(D8072=7,1,(IF(WEEKDAY(B8072)=1,2,IF(WEEKDAY(B8072)=7,1,0))))))</f>
        <v>3</v>
      </c>
      <c r="H8072" s="370">
        <v>11549.099792480469</v>
      </c>
      <c r="I8072" s="370">
        <v>8648.824951171875</v>
      </c>
      <c r="M8072" s="371">
        <f t="shared" si="505"/>
        <v>14428.578552743356</v>
      </c>
      <c r="N8072" s="329">
        <f t="shared" si="506"/>
        <v>5184.0950134277346</v>
      </c>
      <c r="T8072" s="331">
        <v>0</v>
      </c>
      <c r="U8072" s="328">
        <f>VLOOKUP(C8072,METADATA!$J$5:$Q$29,IF(E8072="HI",2,IF(E8072="LO",6,10))+IF(T8072=1,2,IF(D8072=7,1,(IF(WEEKDAY(B8072)=1,2,IF(WEEKDAY(B8072)=7,1,0))))))</f>
        <v>3</v>
      </c>
      <c r="V8072" s="328">
        <f>VLOOKUP(C8072,METADATA!$A$5:$H$29,IF(E8072="HI",2,IF(E8072="LO",6,10))+IF(T8072=1,2,IF(D8072=7,1,(IF(WEEKDAY(B8072)=1,2,IF(WEEKDAY(B8072)=7,1,0))))))</f>
        <v>3</v>
      </c>
    </row>
    <row r="8073" spans="2:22">
      <c r="B8073" s="318">
        <f t="shared" si="503"/>
        <v>46449</v>
      </c>
      <c r="C8073" s="312">
        <v>5</v>
      </c>
      <c r="D8073" s="368">
        <f>IFERROR((INDEX(METADATA!$T$2:$T$20,MATCH(B8073,METADATA!$S$2:$S$20,0))),0)</f>
        <v>0</v>
      </c>
      <c r="E8073" s="312" t="str">
        <f t="shared" si="504"/>
        <v>LO</v>
      </c>
      <c r="F8073" s="369">
        <f>VLOOKUP(C8073,METADATA!$A$5:$H$29,IF(E8073="HI",2,IF(E8073="LO",6,10))+IF(D8073=1,2,IF(D8073=7,1,(IF(WEEKDAY(B8073)=1,2,IF(WEEKDAY(B8073)=7,1,0))))))</f>
        <v>3</v>
      </c>
      <c r="G8073" s="369">
        <f>VLOOKUP(C8073,METADATA!$J$5:$Q$29,IF(E8073="HI",2,IF(E8073="LO",6,10))+IF(D8073=1,2,IF(D8073=7,1,(IF(WEEKDAY(B8073)=1,2,IF(WEEKDAY(B8073)=7,1,0))))))</f>
        <v>3</v>
      </c>
      <c r="H8073" s="370">
        <v>10360.204772949219</v>
      </c>
      <c r="I8073" s="370">
        <v>7888.9473571777344</v>
      </c>
      <c r="M8073" s="371">
        <f t="shared" si="505"/>
        <v>13021.879025001013</v>
      </c>
      <c r="N8073" s="329">
        <f t="shared" si="506"/>
        <v>4780.8859252929688</v>
      </c>
      <c r="T8073" s="331">
        <v>0</v>
      </c>
      <c r="U8073" s="328">
        <f>VLOOKUP(C8073,METADATA!$J$5:$Q$29,IF(E8073="HI",2,IF(E8073="LO",6,10))+IF(T8073=1,2,IF(D8073=7,1,(IF(WEEKDAY(B8073)=1,2,IF(WEEKDAY(B8073)=7,1,0))))))</f>
        <v>3</v>
      </c>
      <c r="V8073" s="328">
        <f>VLOOKUP(C8073,METADATA!$A$5:$H$29,IF(E8073="HI",2,IF(E8073="LO",6,10))+IF(T8073=1,2,IF(D8073=7,1,(IF(WEEKDAY(B8073)=1,2,IF(WEEKDAY(B8073)=7,1,0))))))</f>
        <v>3</v>
      </c>
    </row>
    <row r="8074" spans="2:22">
      <c r="B8074" s="318">
        <f t="shared" si="503"/>
        <v>46449</v>
      </c>
      <c r="C8074" s="312">
        <v>6</v>
      </c>
      <c r="D8074" s="368">
        <f>IFERROR((INDEX(METADATA!$T$2:$T$20,MATCH(B8074,METADATA!$S$2:$S$20,0))),0)</f>
        <v>0</v>
      </c>
      <c r="E8074" s="312" t="str">
        <f t="shared" si="504"/>
        <v>LO</v>
      </c>
      <c r="F8074" s="369">
        <f>VLOOKUP(C8074,METADATA!$A$5:$H$29,IF(E8074="HI",2,IF(E8074="LO",6,10))+IF(D8074=1,2,IF(D8074=7,1,(IF(WEEKDAY(B8074)=1,2,IF(WEEKDAY(B8074)=7,1,0))))))</f>
        <v>2</v>
      </c>
      <c r="G8074" s="369">
        <f>VLOOKUP(C8074,METADATA!$J$5:$Q$29,IF(E8074="HI",2,IF(E8074="LO",6,10))+IF(D8074=1,2,IF(D8074=7,1,(IF(WEEKDAY(B8074)=1,2,IF(WEEKDAY(B8074)=7,1,0))))))</f>
        <v>2</v>
      </c>
      <c r="H8074" s="370">
        <v>11680.549865722656</v>
      </c>
      <c r="I8074" s="370">
        <v>8609.14501953125</v>
      </c>
      <c r="M8074" s="371">
        <f t="shared" si="505"/>
        <v>14510.431528143927</v>
      </c>
      <c r="N8074" s="329">
        <f t="shared" si="506"/>
        <v>5104.9800598144539</v>
      </c>
      <c r="T8074" s="331">
        <v>0</v>
      </c>
      <c r="U8074" s="328">
        <f>VLOOKUP(C8074,METADATA!$J$5:$Q$29,IF(E8074="HI",2,IF(E8074="LO",6,10))+IF(T8074=1,2,IF(D8074=7,1,(IF(WEEKDAY(B8074)=1,2,IF(WEEKDAY(B8074)=7,1,0))))))</f>
        <v>2</v>
      </c>
      <c r="V8074" s="328">
        <f>VLOOKUP(C8074,METADATA!$A$5:$H$29,IF(E8074="HI",2,IF(E8074="LO",6,10))+IF(T8074=1,2,IF(D8074=7,1,(IF(WEEKDAY(B8074)=1,2,IF(WEEKDAY(B8074)=7,1,0))))))</f>
        <v>2</v>
      </c>
    </row>
    <row r="8075" spans="2:22">
      <c r="B8075" s="318">
        <f t="shared" si="503"/>
        <v>46449</v>
      </c>
      <c r="C8075" s="312">
        <v>7</v>
      </c>
      <c r="D8075" s="368">
        <f>IFERROR((INDEX(METADATA!$T$2:$T$20,MATCH(B8075,METADATA!$S$2:$S$20,0))),0)</f>
        <v>0</v>
      </c>
      <c r="E8075" s="312" t="str">
        <f t="shared" si="504"/>
        <v>LO</v>
      </c>
      <c r="F8075" s="369">
        <f>VLOOKUP(C8075,METADATA!$A$5:$H$29,IF(E8075="HI",2,IF(E8075="LO",6,10))+IF(D8075=1,2,IF(D8075=7,1,(IF(WEEKDAY(B8075)=1,2,IF(WEEKDAY(B8075)=7,1,0))))))</f>
        <v>1</v>
      </c>
      <c r="G8075" s="369">
        <f>VLOOKUP(C8075,METADATA!$J$5:$Q$29,IF(E8075="HI",2,IF(E8075="LO",6,10))+IF(D8075=1,2,IF(D8075=7,1,(IF(WEEKDAY(B8075)=1,2,IF(WEEKDAY(B8075)=7,1,0))))))</f>
        <v>1</v>
      </c>
      <c r="H8075" s="370">
        <v>12425.4248046875</v>
      </c>
      <c r="I8075" s="370">
        <v>9079.72509765625</v>
      </c>
      <c r="M8075" s="371">
        <f t="shared" si="505"/>
        <v>15389.366115144321</v>
      </c>
      <c r="N8075" s="329">
        <f t="shared" si="506"/>
        <v>5352.09765625</v>
      </c>
      <c r="T8075" s="331">
        <v>0</v>
      </c>
      <c r="U8075" s="328">
        <f>VLOOKUP(C8075,METADATA!$J$5:$Q$29,IF(E8075="HI",2,IF(E8075="LO",6,10))+IF(T8075=1,2,IF(D8075=7,1,(IF(WEEKDAY(B8075)=1,2,IF(WEEKDAY(B8075)=7,1,0))))))</f>
        <v>1</v>
      </c>
      <c r="V8075" s="328">
        <f>VLOOKUP(C8075,METADATA!$A$5:$H$29,IF(E8075="HI",2,IF(E8075="LO",6,10))+IF(T8075=1,2,IF(D8075=7,1,(IF(WEEKDAY(B8075)=1,2,IF(WEEKDAY(B8075)=7,1,0))))))</f>
        <v>1</v>
      </c>
    </row>
    <row r="8076" spans="2:22">
      <c r="B8076" s="318">
        <f t="shared" si="503"/>
        <v>46449</v>
      </c>
      <c r="C8076" s="312">
        <v>8</v>
      </c>
      <c r="D8076" s="368">
        <f>IFERROR((INDEX(METADATA!$T$2:$T$20,MATCH(B8076,METADATA!$S$2:$S$20,0))),0)</f>
        <v>0</v>
      </c>
      <c r="E8076" s="312" t="str">
        <f t="shared" si="504"/>
        <v>LO</v>
      </c>
      <c r="F8076" s="369">
        <f>VLOOKUP(C8076,METADATA!$A$5:$H$29,IF(E8076="HI",2,IF(E8076="LO",6,10))+IF(D8076=1,2,IF(D8076=7,1,(IF(WEEKDAY(B8076)=1,2,IF(WEEKDAY(B8076)=7,1,0))))))</f>
        <v>1</v>
      </c>
      <c r="G8076" s="369">
        <f>VLOOKUP(C8076,METADATA!$J$5:$Q$29,IF(E8076="HI",2,IF(E8076="LO",6,10))+IF(D8076=1,2,IF(D8076=7,1,(IF(WEEKDAY(B8076)=1,2,IF(WEEKDAY(B8076)=7,1,0))))))</f>
        <v>1</v>
      </c>
      <c r="H8076" s="370">
        <v>12294.550048828125</v>
      </c>
      <c r="I8076" s="370">
        <v>5169.1699676513672</v>
      </c>
      <c r="M8076" s="371">
        <f t="shared" si="505"/>
        <v>13337.026619813296</v>
      </c>
      <c r="N8076" s="329">
        <f t="shared" si="506"/>
        <v>1480.8049530029298</v>
      </c>
      <c r="T8076" s="331">
        <v>0</v>
      </c>
      <c r="U8076" s="328">
        <f>VLOOKUP(C8076,METADATA!$J$5:$Q$29,IF(E8076="HI",2,IF(E8076="LO",6,10))+IF(T8076=1,2,IF(D8076=7,1,(IF(WEEKDAY(B8076)=1,2,IF(WEEKDAY(B8076)=7,1,0))))))</f>
        <v>1</v>
      </c>
      <c r="V8076" s="328">
        <f>VLOOKUP(C8076,METADATA!$A$5:$H$29,IF(E8076="HI",2,IF(E8076="LO",6,10))+IF(T8076=1,2,IF(D8076=7,1,(IF(WEEKDAY(B8076)=1,2,IF(WEEKDAY(B8076)=7,1,0))))))</f>
        <v>1</v>
      </c>
    </row>
    <row r="8077" spans="2:22">
      <c r="B8077" s="318">
        <f t="shared" si="503"/>
        <v>46449</v>
      </c>
      <c r="C8077" s="312">
        <v>9</v>
      </c>
      <c r="D8077" s="368">
        <f>IFERROR((INDEX(METADATA!$T$2:$T$20,MATCH(B8077,METADATA!$S$2:$S$20,0))),0)</f>
        <v>0</v>
      </c>
      <c r="E8077" s="312" t="str">
        <f t="shared" si="504"/>
        <v>LO</v>
      </c>
      <c r="F8077" s="369">
        <f>VLOOKUP(C8077,METADATA!$A$5:$H$29,IF(E8077="HI",2,IF(E8077="LO",6,10))+IF(D8077=1,2,IF(D8077=7,1,(IF(WEEKDAY(B8077)=1,2,IF(WEEKDAY(B8077)=7,1,0))))))</f>
        <v>2</v>
      </c>
      <c r="G8077" s="369">
        <f>VLOOKUP(C8077,METADATA!$J$5:$Q$29,IF(E8077="HI",2,IF(E8077="LO",6,10))+IF(D8077=1,2,IF(D8077=7,1,(IF(WEEKDAY(B8077)=1,2,IF(WEEKDAY(B8077)=7,1,0))))))</f>
        <v>2</v>
      </c>
      <c r="H8077" s="370">
        <v>12022.025207519531</v>
      </c>
      <c r="I8077" s="370">
        <v>3116.7050018310547</v>
      </c>
      <c r="M8077" s="371">
        <f t="shared" si="505"/>
        <v>12419.458126612197</v>
      </c>
      <c r="N8077" s="329">
        <f t="shared" si="506"/>
        <v>0</v>
      </c>
      <c r="T8077" s="331">
        <v>0</v>
      </c>
      <c r="U8077" s="328">
        <f>VLOOKUP(C8077,METADATA!$J$5:$Q$29,IF(E8077="HI",2,IF(E8077="LO",6,10))+IF(T8077=1,2,IF(D8077=7,1,(IF(WEEKDAY(B8077)=1,2,IF(WEEKDAY(B8077)=7,1,0))))))</f>
        <v>2</v>
      </c>
      <c r="V8077" s="328">
        <f>VLOOKUP(C8077,METADATA!$A$5:$H$29,IF(E8077="HI",2,IF(E8077="LO",6,10))+IF(T8077=1,2,IF(D8077=7,1,(IF(WEEKDAY(B8077)=1,2,IF(WEEKDAY(B8077)=7,1,0))))))</f>
        <v>2</v>
      </c>
    </row>
    <row r="8078" spans="2:22">
      <c r="B8078" s="318">
        <f t="shared" si="503"/>
        <v>46449</v>
      </c>
      <c r="C8078" s="312">
        <v>10</v>
      </c>
      <c r="D8078" s="368">
        <f>IFERROR((INDEX(METADATA!$T$2:$T$20,MATCH(B8078,METADATA!$S$2:$S$20,0))),0)</f>
        <v>0</v>
      </c>
      <c r="E8078" s="312" t="str">
        <f t="shared" si="504"/>
        <v>LO</v>
      </c>
      <c r="F8078" s="369">
        <f>VLOOKUP(C8078,METADATA!$A$5:$H$29,IF(E8078="HI",2,IF(E8078="LO",6,10))+IF(D8078=1,2,IF(D8078=7,1,(IF(WEEKDAY(B8078)=1,2,IF(WEEKDAY(B8078)=7,1,0))))))</f>
        <v>2</v>
      </c>
      <c r="G8078" s="369">
        <f>VLOOKUP(C8078,METADATA!$J$5:$Q$29,IF(E8078="HI",2,IF(E8078="LO",6,10))+IF(D8078=1,2,IF(D8078=7,1,(IF(WEEKDAY(B8078)=1,2,IF(WEEKDAY(B8078)=7,1,0))))))</f>
        <v>2</v>
      </c>
      <c r="H8078" s="370">
        <v>12054.075134277344</v>
      </c>
      <c r="I8078" s="370">
        <v>3169.4750518798828</v>
      </c>
      <c r="M8078" s="371">
        <f t="shared" si="505"/>
        <v>12463.799559014593</v>
      </c>
      <c r="N8078" s="329">
        <f t="shared" si="506"/>
        <v>0</v>
      </c>
      <c r="T8078" s="331">
        <v>0</v>
      </c>
      <c r="U8078" s="328">
        <f>VLOOKUP(C8078,METADATA!$J$5:$Q$29,IF(E8078="HI",2,IF(E8078="LO",6,10))+IF(T8078=1,2,IF(D8078=7,1,(IF(WEEKDAY(B8078)=1,2,IF(WEEKDAY(B8078)=7,1,0))))))</f>
        <v>2</v>
      </c>
      <c r="V8078" s="328">
        <f>VLOOKUP(C8078,METADATA!$A$5:$H$29,IF(E8078="HI",2,IF(E8078="LO",6,10))+IF(T8078=1,2,IF(D8078=7,1,(IF(WEEKDAY(B8078)=1,2,IF(WEEKDAY(B8078)=7,1,0))))))</f>
        <v>2</v>
      </c>
    </row>
    <row r="8079" spans="2:22">
      <c r="B8079" s="318">
        <f t="shared" si="503"/>
        <v>46449</v>
      </c>
      <c r="C8079" s="312">
        <v>11</v>
      </c>
      <c r="D8079" s="368">
        <f>IFERROR((INDEX(METADATA!$T$2:$T$20,MATCH(B8079,METADATA!$S$2:$S$20,0))),0)</f>
        <v>0</v>
      </c>
      <c r="E8079" s="312" t="str">
        <f t="shared" si="504"/>
        <v>LO</v>
      </c>
      <c r="F8079" s="369">
        <f>VLOOKUP(C8079,METADATA!$A$5:$H$29,IF(E8079="HI",2,IF(E8079="LO",6,10))+IF(D8079=1,2,IF(D8079=7,1,(IF(WEEKDAY(B8079)=1,2,IF(WEEKDAY(B8079)=7,1,0))))))</f>
        <v>2</v>
      </c>
      <c r="G8079" s="369">
        <f>VLOOKUP(C8079,METADATA!$J$5:$Q$29,IF(E8079="HI",2,IF(E8079="LO",6,10))+IF(D8079=1,2,IF(D8079=7,1,(IF(WEEKDAY(B8079)=1,2,IF(WEEKDAY(B8079)=7,1,0))))))</f>
        <v>2</v>
      </c>
      <c r="H8079" s="370">
        <v>8176.1749877929688</v>
      </c>
      <c r="I8079" s="370">
        <v>2532.7800445556641</v>
      </c>
      <c r="M8079" s="371">
        <f t="shared" si="505"/>
        <v>8559.4866776641902</v>
      </c>
      <c r="N8079" s="329">
        <f t="shared" si="506"/>
        <v>79.927548217773619</v>
      </c>
      <c r="T8079" s="331">
        <v>0</v>
      </c>
      <c r="U8079" s="328">
        <f>VLOOKUP(C8079,METADATA!$J$5:$Q$29,IF(E8079="HI",2,IF(E8079="LO",6,10))+IF(T8079=1,2,IF(D8079=7,1,(IF(WEEKDAY(B8079)=1,2,IF(WEEKDAY(B8079)=7,1,0))))))</f>
        <v>2</v>
      </c>
      <c r="V8079" s="328">
        <f>VLOOKUP(C8079,METADATA!$A$5:$H$29,IF(E8079="HI",2,IF(E8079="LO",6,10))+IF(T8079=1,2,IF(D8079=7,1,(IF(WEEKDAY(B8079)=1,2,IF(WEEKDAY(B8079)=7,1,0))))))</f>
        <v>2</v>
      </c>
    </row>
    <row r="8080" spans="2:22">
      <c r="B8080" s="318">
        <f t="shared" si="503"/>
        <v>46449</v>
      </c>
      <c r="C8080" s="312">
        <v>12</v>
      </c>
      <c r="D8080" s="368">
        <f>IFERROR((INDEX(METADATA!$T$2:$T$20,MATCH(B8080,METADATA!$S$2:$S$20,0))),0)</f>
        <v>0</v>
      </c>
      <c r="E8080" s="312" t="str">
        <f t="shared" si="504"/>
        <v>LO</v>
      </c>
      <c r="F8080" s="369">
        <f>VLOOKUP(C8080,METADATA!$A$5:$H$29,IF(E8080="HI",2,IF(E8080="LO",6,10))+IF(D8080=1,2,IF(D8080=7,1,(IF(WEEKDAY(B8080)=1,2,IF(WEEKDAY(B8080)=7,1,0))))))</f>
        <v>2</v>
      </c>
      <c r="G8080" s="369">
        <f>VLOOKUP(C8080,METADATA!$J$5:$Q$29,IF(E8080="HI",2,IF(E8080="LO",6,10))+IF(D8080=1,2,IF(D8080=7,1,(IF(WEEKDAY(B8080)=1,2,IF(WEEKDAY(B8080)=7,1,0))))))</f>
        <v>2</v>
      </c>
      <c r="H8080" s="370">
        <v>6383.4999389648438</v>
      </c>
      <c r="I8080" s="370">
        <v>2131.2750854492188</v>
      </c>
      <c r="M8080" s="371">
        <f t="shared" si="505"/>
        <v>6729.8889263212013</v>
      </c>
      <c r="N8080" s="329">
        <f t="shared" si="506"/>
        <v>216.22510375976572</v>
      </c>
      <c r="T8080" s="331">
        <v>0</v>
      </c>
      <c r="U8080" s="328">
        <f>VLOOKUP(C8080,METADATA!$J$5:$Q$29,IF(E8080="HI",2,IF(E8080="LO",6,10))+IF(T8080=1,2,IF(D8080=7,1,(IF(WEEKDAY(B8080)=1,2,IF(WEEKDAY(B8080)=7,1,0))))))</f>
        <v>2</v>
      </c>
      <c r="V8080" s="328">
        <f>VLOOKUP(C8080,METADATA!$A$5:$H$29,IF(E8080="HI",2,IF(E8080="LO",6,10))+IF(T8080=1,2,IF(D8080=7,1,(IF(WEEKDAY(B8080)=1,2,IF(WEEKDAY(B8080)=7,1,0))))))</f>
        <v>2</v>
      </c>
    </row>
    <row r="8081" spans="2:22">
      <c r="B8081" s="318">
        <f t="shared" si="503"/>
        <v>46449</v>
      </c>
      <c r="C8081" s="312">
        <v>13</v>
      </c>
      <c r="D8081" s="368">
        <f>IFERROR((INDEX(METADATA!$T$2:$T$20,MATCH(B8081,METADATA!$S$2:$S$20,0))),0)</f>
        <v>0</v>
      </c>
      <c r="E8081" s="312" t="str">
        <f t="shared" si="504"/>
        <v>LO</v>
      </c>
      <c r="F8081" s="369">
        <f>VLOOKUP(C8081,METADATA!$A$5:$H$29,IF(E8081="HI",2,IF(E8081="LO",6,10))+IF(D8081=1,2,IF(D8081=7,1,(IF(WEEKDAY(B8081)=1,2,IF(WEEKDAY(B8081)=7,1,0))))))</f>
        <v>2</v>
      </c>
      <c r="G8081" s="369">
        <f>VLOOKUP(C8081,METADATA!$J$5:$Q$29,IF(E8081="HI",2,IF(E8081="LO",6,10))+IF(D8081=1,2,IF(D8081=7,1,(IF(WEEKDAY(B8081)=1,2,IF(WEEKDAY(B8081)=7,1,0))))))</f>
        <v>2</v>
      </c>
      <c r="H8081" s="370">
        <v>9014.1751708984375</v>
      </c>
      <c r="I8081" s="370">
        <v>2641.3800021335483</v>
      </c>
      <c r="M8081" s="371">
        <f t="shared" si="505"/>
        <v>9393.2019209273312</v>
      </c>
      <c r="N8081" s="329">
        <f t="shared" si="506"/>
        <v>0</v>
      </c>
      <c r="T8081" s="331">
        <v>0</v>
      </c>
      <c r="U8081" s="328">
        <f>VLOOKUP(C8081,METADATA!$J$5:$Q$29,IF(E8081="HI",2,IF(E8081="LO",6,10))+IF(T8081=1,2,IF(D8081=7,1,(IF(WEEKDAY(B8081)=1,2,IF(WEEKDAY(B8081)=7,1,0))))))</f>
        <v>2</v>
      </c>
      <c r="V8081" s="328">
        <f>VLOOKUP(C8081,METADATA!$A$5:$H$29,IF(E8081="HI",2,IF(E8081="LO",6,10))+IF(T8081=1,2,IF(D8081=7,1,(IF(WEEKDAY(B8081)=1,2,IF(WEEKDAY(B8081)=7,1,0))))))</f>
        <v>2</v>
      </c>
    </row>
    <row r="8082" spans="2:22">
      <c r="B8082" s="318">
        <f t="shared" si="503"/>
        <v>46449</v>
      </c>
      <c r="C8082" s="312">
        <v>14</v>
      </c>
      <c r="D8082" s="368">
        <f>IFERROR((INDEX(METADATA!$T$2:$T$20,MATCH(B8082,METADATA!$S$2:$S$20,0))),0)</f>
        <v>0</v>
      </c>
      <c r="E8082" s="312" t="str">
        <f t="shared" si="504"/>
        <v>LO</v>
      </c>
      <c r="F8082" s="369">
        <f>VLOOKUP(C8082,METADATA!$A$5:$H$29,IF(E8082="HI",2,IF(E8082="LO",6,10))+IF(D8082=1,2,IF(D8082=7,1,(IF(WEEKDAY(B8082)=1,2,IF(WEEKDAY(B8082)=7,1,0))))))</f>
        <v>2</v>
      </c>
      <c r="G8082" s="369">
        <f>VLOOKUP(C8082,METADATA!$J$5:$Q$29,IF(E8082="HI",2,IF(E8082="LO",6,10))+IF(D8082=1,2,IF(D8082=7,1,(IF(WEEKDAY(B8082)=1,2,IF(WEEKDAY(B8082)=7,1,0))))))</f>
        <v>2</v>
      </c>
      <c r="H8082" s="370">
        <v>11663.024658203125</v>
      </c>
      <c r="I8082" s="370">
        <v>3329.8500518798828</v>
      </c>
      <c r="M8082" s="371">
        <f t="shared" si="505"/>
        <v>12129.057900177515</v>
      </c>
      <c r="N8082" s="329">
        <f t="shared" si="506"/>
        <v>0</v>
      </c>
      <c r="T8082" s="331">
        <v>0</v>
      </c>
      <c r="U8082" s="328">
        <f>VLOOKUP(C8082,METADATA!$J$5:$Q$29,IF(E8082="HI",2,IF(E8082="LO",6,10))+IF(T8082=1,2,IF(D8082=7,1,(IF(WEEKDAY(B8082)=1,2,IF(WEEKDAY(B8082)=7,1,0))))))</f>
        <v>2</v>
      </c>
      <c r="V8082" s="328">
        <f>VLOOKUP(C8082,METADATA!$A$5:$H$29,IF(E8082="HI",2,IF(E8082="LO",6,10))+IF(T8082=1,2,IF(D8082=7,1,(IF(WEEKDAY(B8082)=1,2,IF(WEEKDAY(B8082)=7,1,0))))))</f>
        <v>2</v>
      </c>
    </row>
    <row r="8083" spans="2:22">
      <c r="B8083" s="318">
        <f t="shared" si="503"/>
        <v>46449</v>
      </c>
      <c r="C8083" s="312">
        <v>15</v>
      </c>
      <c r="D8083" s="368">
        <f>IFERROR((INDEX(METADATA!$T$2:$T$20,MATCH(B8083,METADATA!$S$2:$S$20,0))),0)</f>
        <v>0</v>
      </c>
      <c r="E8083" s="312" t="str">
        <f t="shared" si="504"/>
        <v>LO</v>
      </c>
      <c r="F8083" s="369">
        <f>VLOOKUP(C8083,METADATA!$A$5:$H$29,IF(E8083="HI",2,IF(E8083="LO",6,10))+IF(D8083=1,2,IF(D8083=7,1,(IF(WEEKDAY(B8083)=1,2,IF(WEEKDAY(B8083)=7,1,0))))))</f>
        <v>2</v>
      </c>
      <c r="G8083" s="369">
        <f>VLOOKUP(C8083,METADATA!$J$5:$Q$29,IF(E8083="HI",2,IF(E8083="LO",6,10))+IF(D8083=1,2,IF(D8083=7,1,(IF(WEEKDAY(B8083)=1,2,IF(WEEKDAY(B8083)=7,1,0))))))</f>
        <v>2</v>
      </c>
      <c r="H8083" s="370">
        <v>12268.199768066406</v>
      </c>
      <c r="I8083" s="370">
        <v>3439.9800415039063</v>
      </c>
      <c r="M8083" s="371">
        <f t="shared" si="505"/>
        <v>12741.357393744585</v>
      </c>
      <c r="N8083" s="329">
        <f t="shared" si="506"/>
        <v>0</v>
      </c>
      <c r="T8083" s="331">
        <v>0</v>
      </c>
      <c r="U8083" s="328">
        <f>VLOOKUP(C8083,METADATA!$J$5:$Q$29,IF(E8083="HI",2,IF(E8083="LO",6,10))+IF(T8083=1,2,IF(D8083=7,1,(IF(WEEKDAY(B8083)=1,2,IF(WEEKDAY(B8083)=7,1,0))))))</f>
        <v>2</v>
      </c>
      <c r="V8083" s="328">
        <f>VLOOKUP(C8083,METADATA!$A$5:$H$29,IF(E8083="HI",2,IF(E8083="LO",6,10))+IF(T8083=1,2,IF(D8083=7,1,(IF(WEEKDAY(B8083)=1,2,IF(WEEKDAY(B8083)=7,1,0))))))</f>
        <v>2</v>
      </c>
    </row>
    <row r="8084" spans="2:22">
      <c r="B8084" s="318">
        <f t="shared" si="503"/>
        <v>46449</v>
      </c>
      <c r="C8084" s="312">
        <v>16</v>
      </c>
      <c r="D8084" s="368">
        <f>IFERROR((INDEX(METADATA!$T$2:$T$20,MATCH(B8084,METADATA!$S$2:$S$20,0))),0)</f>
        <v>0</v>
      </c>
      <c r="E8084" s="312" t="str">
        <f t="shared" si="504"/>
        <v>LO</v>
      </c>
      <c r="F8084" s="369">
        <f>VLOOKUP(C8084,METADATA!$A$5:$H$29,IF(E8084="HI",2,IF(E8084="LO",6,10))+IF(D8084=1,2,IF(D8084=7,1,(IF(WEEKDAY(B8084)=1,2,IF(WEEKDAY(B8084)=7,1,0))))))</f>
        <v>2</v>
      </c>
      <c r="G8084" s="369">
        <f>VLOOKUP(C8084,METADATA!$J$5:$Q$29,IF(E8084="HI",2,IF(E8084="LO",6,10))+IF(D8084=1,2,IF(D8084=7,1,(IF(WEEKDAY(B8084)=1,2,IF(WEEKDAY(B8084)=7,1,0))))))</f>
        <v>2</v>
      </c>
      <c r="H8084" s="370">
        <v>12278.275085449219</v>
      </c>
      <c r="I8084" s="370">
        <v>3459.1100311279297</v>
      </c>
      <c r="M8084" s="371">
        <f t="shared" si="505"/>
        <v>12756.23303649682</v>
      </c>
      <c r="N8084" s="329">
        <f t="shared" si="506"/>
        <v>0</v>
      </c>
      <c r="T8084" s="331">
        <v>0</v>
      </c>
      <c r="U8084" s="328">
        <f>VLOOKUP(C8084,METADATA!$J$5:$Q$29,IF(E8084="HI",2,IF(E8084="LO",6,10))+IF(T8084=1,2,IF(D8084=7,1,(IF(WEEKDAY(B8084)=1,2,IF(WEEKDAY(B8084)=7,1,0))))))</f>
        <v>2</v>
      </c>
      <c r="V8084" s="328">
        <f>VLOOKUP(C8084,METADATA!$A$5:$H$29,IF(E8084="HI",2,IF(E8084="LO",6,10))+IF(T8084=1,2,IF(D8084=7,1,(IF(WEEKDAY(B8084)=1,2,IF(WEEKDAY(B8084)=7,1,0))))))</f>
        <v>2</v>
      </c>
    </row>
    <row r="8085" spans="2:22">
      <c r="B8085" s="318">
        <f t="shared" si="503"/>
        <v>46449</v>
      </c>
      <c r="C8085" s="312">
        <v>17</v>
      </c>
      <c r="D8085" s="368">
        <f>IFERROR((INDEX(METADATA!$T$2:$T$20,MATCH(B8085,METADATA!$S$2:$S$20,0))),0)</f>
        <v>0</v>
      </c>
      <c r="E8085" s="312" t="str">
        <f t="shared" si="504"/>
        <v>LO</v>
      </c>
      <c r="F8085" s="369">
        <f>VLOOKUP(C8085,METADATA!$A$5:$H$29,IF(E8085="HI",2,IF(E8085="LO",6,10))+IF(D8085=1,2,IF(D8085=7,1,(IF(WEEKDAY(B8085)=1,2,IF(WEEKDAY(B8085)=7,1,0))))))</f>
        <v>2</v>
      </c>
      <c r="G8085" s="369">
        <f>VLOOKUP(C8085,METADATA!$J$5:$Q$29,IF(E8085="HI",2,IF(E8085="LO",6,10))+IF(D8085=1,2,IF(D8085=7,1,(IF(WEEKDAY(B8085)=1,2,IF(WEEKDAY(B8085)=7,1,0))))))</f>
        <v>2</v>
      </c>
      <c r="H8085" s="370">
        <v>12151.525024414063</v>
      </c>
      <c r="I8085" s="370">
        <v>3490.3949584960938</v>
      </c>
      <c r="M8085" s="371">
        <f t="shared" si="505"/>
        <v>12642.880106417846</v>
      </c>
      <c r="N8085" s="329">
        <f t="shared" si="506"/>
        <v>0</v>
      </c>
      <c r="T8085" s="331">
        <v>0</v>
      </c>
      <c r="U8085" s="328">
        <f>VLOOKUP(C8085,METADATA!$J$5:$Q$29,IF(E8085="HI",2,IF(E8085="LO",6,10))+IF(T8085=1,2,IF(D8085=7,1,(IF(WEEKDAY(B8085)=1,2,IF(WEEKDAY(B8085)=7,1,0))))))</f>
        <v>2</v>
      </c>
      <c r="V8085" s="328">
        <f>VLOOKUP(C8085,METADATA!$A$5:$H$29,IF(E8085="HI",2,IF(E8085="LO",6,10))+IF(T8085=1,2,IF(D8085=7,1,(IF(WEEKDAY(B8085)=1,2,IF(WEEKDAY(B8085)=7,1,0))))))</f>
        <v>2</v>
      </c>
    </row>
    <row r="8086" spans="2:22">
      <c r="B8086" s="318">
        <f t="shared" si="503"/>
        <v>46449</v>
      </c>
      <c r="C8086" s="312">
        <v>18</v>
      </c>
      <c r="D8086" s="368">
        <f>IFERROR((INDEX(METADATA!$T$2:$T$20,MATCH(B8086,METADATA!$S$2:$S$20,0))),0)</f>
        <v>0</v>
      </c>
      <c r="E8086" s="312" t="str">
        <f t="shared" si="504"/>
        <v>LO</v>
      </c>
      <c r="F8086" s="369">
        <f>VLOOKUP(C8086,METADATA!$A$5:$H$29,IF(E8086="HI",2,IF(E8086="LO",6,10))+IF(D8086=1,2,IF(D8086=7,1,(IF(WEEKDAY(B8086)=1,2,IF(WEEKDAY(B8086)=7,1,0))))))</f>
        <v>1</v>
      </c>
      <c r="G8086" s="369">
        <f>VLOOKUP(C8086,METADATA!$J$5:$Q$29,IF(E8086="HI",2,IF(E8086="LO",6,10))+IF(D8086=1,2,IF(D8086=7,1,(IF(WEEKDAY(B8086)=1,2,IF(WEEKDAY(B8086)=7,1,0))))))</f>
        <v>1</v>
      </c>
      <c r="H8086" s="370">
        <v>12148.724731445313</v>
      </c>
      <c r="I8086" s="370">
        <v>3489.1099548339844</v>
      </c>
      <c r="M8086" s="371">
        <f t="shared" si="505"/>
        <v>12639.833894373476</v>
      </c>
      <c r="N8086" s="329">
        <f t="shared" si="506"/>
        <v>0</v>
      </c>
      <c r="T8086" s="331">
        <v>0</v>
      </c>
      <c r="U8086" s="328">
        <f>VLOOKUP(C8086,METADATA!$J$5:$Q$29,IF(E8086="HI",2,IF(E8086="LO",6,10))+IF(T8086=1,2,IF(D8086=7,1,(IF(WEEKDAY(B8086)=1,2,IF(WEEKDAY(B8086)=7,1,0))))))</f>
        <v>1</v>
      </c>
      <c r="V8086" s="328">
        <f>VLOOKUP(C8086,METADATA!$A$5:$H$29,IF(E8086="HI",2,IF(E8086="LO",6,10))+IF(T8086=1,2,IF(D8086=7,1,(IF(WEEKDAY(B8086)=1,2,IF(WEEKDAY(B8086)=7,1,0))))))</f>
        <v>1</v>
      </c>
    </row>
    <row r="8087" spans="2:22">
      <c r="B8087" s="318">
        <f t="shared" si="503"/>
        <v>46449</v>
      </c>
      <c r="C8087" s="312">
        <v>19</v>
      </c>
      <c r="D8087" s="368">
        <f>IFERROR((INDEX(METADATA!$T$2:$T$20,MATCH(B8087,METADATA!$S$2:$S$20,0))),0)</f>
        <v>0</v>
      </c>
      <c r="E8087" s="312" t="str">
        <f t="shared" si="504"/>
        <v>LO</v>
      </c>
      <c r="F8087" s="369">
        <f>VLOOKUP(C8087,METADATA!$A$5:$H$29,IF(E8087="HI",2,IF(E8087="LO",6,10))+IF(D8087=1,2,IF(D8087=7,1,(IF(WEEKDAY(B8087)=1,2,IF(WEEKDAY(B8087)=7,1,0))))))</f>
        <v>1</v>
      </c>
      <c r="G8087" s="369">
        <f>VLOOKUP(C8087,METADATA!$J$5:$Q$29,IF(E8087="HI",2,IF(E8087="LO",6,10))+IF(D8087=1,2,IF(D8087=7,1,(IF(WEEKDAY(B8087)=1,2,IF(WEEKDAY(B8087)=7,1,0))))))</f>
        <v>1</v>
      </c>
      <c r="H8087" s="370">
        <v>12377.549926757813</v>
      </c>
      <c r="I8087" s="370">
        <v>3553.9850006103516</v>
      </c>
      <c r="M8087" s="371">
        <f t="shared" si="505"/>
        <v>12877.676481956893</v>
      </c>
      <c r="N8087" s="329">
        <f t="shared" si="506"/>
        <v>0</v>
      </c>
      <c r="T8087" s="331">
        <v>0</v>
      </c>
      <c r="U8087" s="328">
        <f>VLOOKUP(C8087,METADATA!$J$5:$Q$29,IF(E8087="HI",2,IF(E8087="LO",6,10))+IF(T8087=1,2,IF(D8087=7,1,(IF(WEEKDAY(B8087)=1,2,IF(WEEKDAY(B8087)=7,1,0))))))</f>
        <v>1</v>
      </c>
      <c r="V8087" s="328">
        <f>VLOOKUP(C8087,METADATA!$A$5:$H$29,IF(E8087="HI",2,IF(E8087="LO",6,10))+IF(T8087=1,2,IF(D8087=7,1,(IF(WEEKDAY(B8087)=1,2,IF(WEEKDAY(B8087)=7,1,0))))))</f>
        <v>1</v>
      </c>
    </row>
    <row r="8088" spans="2:22">
      <c r="B8088" s="318">
        <f t="shared" si="503"/>
        <v>46449</v>
      </c>
      <c r="C8088" s="312">
        <v>20</v>
      </c>
      <c r="D8088" s="368">
        <f>IFERROR((INDEX(METADATA!$T$2:$T$20,MATCH(B8088,METADATA!$S$2:$S$20,0))),0)</f>
        <v>0</v>
      </c>
      <c r="E8088" s="312" t="str">
        <f t="shared" si="504"/>
        <v>LO</v>
      </c>
      <c r="F8088" s="369">
        <f>VLOOKUP(C8088,METADATA!$A$5:$H$29,IF(E8088="HI",2,IF(E8088="LO",6,10))+IF(D8088=1,2,IF(D8088=7,1,(IF(WEEKDAY(B8088)=1,2,IF(WEEKDAY(B8088)=7,1,0))))))</f>
        <v>1</v>
      </c>
      <c r="G8088" s="369">
        <f>VLOOKUP(C8088,METADATA!$J$5:$Q$29,IF(E8088="HI",2,IF(E8088="LO",6,10))+IF(D8088=1,2,IF(D8088=7,1,(IF(WEEKDAY(B8088)=1,2,IF(WEEKDAY(B8088)=7,1,0))))))</f>
        <v>1</v>
      </c>
      <c r="H8088" s="370">
        <v>12342.550048828125</v>
      </c>
      <c r="I8088" s="370">
        <v>3451.9299926757813</v>
      </c>
      <c r="M8088" s="371">
        <f t="shared" si="505"/>
        <v>12816.17580958383</v>
      </c>
      <c r="N8088" s="329">
        <f t="shared" si="506"/>
        <v>0</v>
      </c>
      <c r="T8088" s="331">
        <v>0</v>
      </c>
      <c r="U8088" s="328">
        <f>VLOOKUP(C8088,METADATA!$J$5:$Q$29,IF(E8088="HI",2,IF(E8088="LO",6,10))+IF(T8088=1,2,IF(D8088=7,1,(IF(WEEKDAY(B8088)=1,2,IF(WEEKDAY(B8088)=7,1,0))))))</f>
        <v>1</v>
      </c>
      <c r="V8088" s="328">
        <f>VLOOKUP(C8088,METADATA!$A$5:$H$29,IF(E8088="HI",2,IF(E8088="LO",6,10))+IF(T8088=1,2,IF(D8088=7,1,(IF(WEEKDAY(B8088)=1,2,IF(WEEKDAY(B8088)=7,1,0))))))</f>
        <v>1</v>
      </c>
    </row>
    <row r="8089" spans="2:22">
      <c r="B8089" s="318">
        <f t="shared" si="503"/>
        <v>46449</v>
      </c>
      <c r="C8089" s="312">
        <v>21</v>
      </c>
      <c r="D8089" s="368">
        <f>IFERROR((INDEX(METADATA!$T$2:$T$20,MATCH(B8089,METADATA!$S$2:$S$20,0))),0)</f>
        <v>0</v>
      </c>
      <c r="E8089" s="312" t="str">
        <f t="shared" si="504"/>
        <v>LO</v>
      </c>
      <c r="F8089" s="369">
        <f>VLOOKUP(C8089,METADATA!$A$5:$H$29,IF(E8089="HI",2,IF(E8089="LO",6,10))+IF(D8089=1,2,IF(D8089=7,1,(IF(WEEKDAY(B8089)=1,2,IF(WEEKDAY(B8089)=7,1,0))))))</f>
        <v>2</v>
      </c>
      <c r="G8089" s="369">
        <f>VLOOKUP(C8089,METADATA!$J$5:$Q$29,IF(E8089="HI",2,IF(E8089="LO",6,10))+IF(D8089=1,2,IF(D8089=7,1,(IF(WEEKDAY(B8089)=1,2,IF(WEEKDAY(B8089)=7,1,0))))))</f>
        <v>2</v>
      </c>
      <c r="H8089" s="370">
        <v>12466.075134277344</v>
      </c>
      <c r="I8089" s="370">
        <v>3420.6200256347656</v>
      </c>
      <c r="M8089" s="371">
        <f t="shared" si="505"/>
        <v>12926.858497454881</v>
      </c>
      <c r="N8089" s="329">
        <f t="shared" si="506"/>
        <v>0</v>
      </c>
      <c r="T8089" s="331">
        <v>0</v>
      </c>
      <c r="U8089" s="328">
        <f>VLOOKUP(C8089,METADATA!$J$5:$Q$29,IF(E8089="HI",2,IF(E8089="LO",6,10))+IF(T8089=1,2,IF(D8089=7,1,(IF(WEEKDAY(B8089)=1,2,IF(WEEKDAY(B8089)=7,1,0))))))</f>
        <v>2</v>
      </c>
      <c r="V8089" s="328">
        <f>VLOOKUP(C8089,METADATA!$A$5:$H$29,IF(E8089="HI",2,IF(E8089="LO",6,10))+IF(T8089=1,2,IF(D8089=7,1,(IF(WEEKDAY(B8089)=1,2,IF(WEEKDAY(B8089)=7,1,0))))))</f>
        <v>2</v>
      </c>
    </row>
    <row r="8090" spans="2:22">
      <c r="B8090" s="318">
        <f t="shared" si="503"/>
        <v>46449</v>
      </c>
      <c r="C8090" s="312">
        <v>22</v>
      </c>
      <c r="D8090" s="368">
        <f>IFERROR((INDEX(METADATA!$T$2:$T$20,MATCH(B8090,METADATA!$S$2:$S$20,0))),0)</f>
        <v>0</v>
      </c>
      <c r="E8090" s="312" t="str">
        <f t="shared" si="504"/>
        <v>LO</v>
      </c>
      <c r="F8090" s="369">
        <f>VLOOKUP(C8090,METADATA!$A$5:$H$29,IF(E8090="HI",2,IF(E8090="LO",6,10))+IF(D8090=1,2,IF(D8090=7,1,(IF(WEEKDAY(B8090)=1,2,IF(WEEKDAY(B8090)=7,1,0))))))</f>
        <v>3</v>
      </c>
      <c r="G8090" s="369">
        <f>VLOOKUP(C8090,METADATA!$J$5:$Q$29,IF(E8090="HI",2,IF(E8090="LO",6,10))+IF(D8090=1,2,IF(D8090=7,1,(IF(WEEKDAY(B8090)=1,2,IF(WEEKDAY(B8090)=7,1,0))))))</f>
        <v>3</v>
      </c>
      <c r="H8090" s="370">
        <v>12465.550231933594</v>
      </c>
      <c r="I8090" s="370">
        <v>3383.9000854492188</v>
      </c>
      <c r="M8090" s="371">
        <f t="shared" si="505"/>
        <v>12916.683876799141</v>
      </c>
      <c r="N8090" s="329">
        <f t="shared" si="506"/>
        <v>0</v>
      </c>
      <c r="T8090" s="331">
        <v>0</v>
      </c>
      <c r="U8090" s="328">
        <f>VLOOKUP(C8090,METADATA!$J$5:$Q$29,IF(E8090="HI",2,IF(E8090="LO",6,10))+IF(T8090=1,2,IF(D8090=7,1,(IF(WEEKDAY(B8090)=1,2,IF(WEEKDAY(B8090)=7,1,0))))))</f>
        <v>3</v>
      </c>
      <c r="V8090" s="328">
        <f>VLOOKUP(C8090,METADATA!$A$5:$H$29,IF(E8090="HI",2,IF(E8090="LO",6,10))+IF(T8090=1,2,IF(D8090=7,1,(IF(WEEKDAY(B8090)=1,2,IF(WEEKDAY(B8090)=7,1,0))))))</f>
        <v>3</v>
      </c>
    </row>
    <row r="8091" spans="2:22">
      <c r="B8091" s="318">
        <f t="shared" si="503"/>
        <v>46449</v>
      </c>
      <c r="C8091" s="312">
        <v>23</v>
      </c>
      <c r="D8091" s="368">
        <f>IFERROR((INDEX(METADATA!$T$2:$T$20,MATCH(B8091,METADATA!$S$2:$S$20,0))),0)</f>
        <v>0</v>
      </c>
      <c r="E8091" s="312" t="str">
        <f t="shared" si="504"/>
        <v>LO</v>
      </c>
      <c r="F8091" s="369">
        <f>VLOOKUP(C8091,METADATA!$A$5:$H$29,IF(E8091="HI",2,IF(E8091="LO",6,10))+IF(D8091=1,2,IF(D8091=7,1,(IF(WEEKDAY(B8091)=1,2,IF(WEEKDAY(B8091)=7,1,0))))))</f>
        <v>3</v>
      </c>
      <c r="G8091" s="369">
        <f>VLOOKUP(C8091,METADATA!$J$5:$Q$29,IF(E8091="HI",2,IF(E8091="LO",6,10))+IF(D8091=1,2,IF(D8091=7,1,(IF(WEEKDAY(B8091)=1,2,IF(WEEKDAY(B8091)=7,1,0))))))</f>
        <v>3</v>
      </c>
      <c r="H8091" s="370">
        <v>12686.57470703125</v>
      </c>
      <c r="I8091" s="370">
        <v>3505.1350250244141</v>
      </c>
      <c r="M8091" s="371">
        <f t="shared" si="505"/>
        <v>13161.882439101861</v>
      </c>
      <c r="N8091" s="329">
        <f t="shared" si="506"/>
        <v>0</v>
      </c>
      <c r="T8091" s="331">
        <v>0</v>
      </c>
      <c r="U8091" s="328">
        <f>VLOOKUP(C8091,METADATA!$J$5:$Q$29,IF(E8091="HI",2,IF(E8091="LO",6,10))+IF(T8091=1,2,IF(D8091=7,1,(IF(WEEKDAY(B8091)=1,2,IF(WEEKDAY(B8091)=7,1,0))))))</f>
        <v>3</v>
      </c>
      <c r="V8091" s="328">
        <f>VLOOKUP(C8091,METADATA!$A$5:$H$29,IF(E8091="HI",2,IF(E8091="LO",6,10))+IF(T8091=1,2,IF(D8091=7,1,(IF(WEEKDAY(B8091)=1,2,IF(WEEKDAY(B8091)=7,1,0))))))</f>
        <v>3</v>
      </c>
    </row>
    <row r="8092" spans="2:22">
      <c r="B8092" s="318">
        <f t="shared" ref="B8092:B8155" si="507">B8068+1</f>
        <v>46450</v>
      </c>
      <c r="C8092" s="312">
        <v>0</v>
      </c>
      <c r="D8092" s="368">
        <f>IFERROR((INDEX(METADATA!$T$2:$T$20,MATCH(B8092,METADATA!$S$2:$S$20,0))),0)</f>
        <v>0</v>
      </c>
      <c r="E8092" s="312" t="str">
        <f t="shared" si="504"/>
        <v>LO</v>
      </c>
      <c r="F8092" s="369">
        <f>VLOOKUP(C8092,METADATA!$A$5:$H$29,IF(E8092="HI",2,IF(E8092="LO",6,10))+IF(D8092=1,2,IF(D8092=7,1,(IF(WEEKDAY(B8092)=1,2,IF(WEEKDAY(B8092)=7,1,0))))))</f>
        <v>3</v>
      </c>
      <c r="G8092" s="369">
        <f>VLOOKUP(C8092,METADATA!$J$5:$Q$29,IF(E8092="HI",2,IF(E8092="LO",6,10))+IF(D8092=1,2,IF(D8092=7,1,(IF(WEEKDAY(B8092)=1,2,IF(WEEKDAY(B8092)=7,1,0))))))</f>
        <v>3</v>
      </c>
      <c r="H8092" s="370">
        <v>12569.725036621094</v>
      </c>
      <c r="I8092" s="370">
        <v>3597.2099609375</v>
      </c>
      <c r="M8092" s="371">
        <f t="shared" si="505"/>
        <v>13074.322429836551</v>
      </c>
      <c r="N8092" s="329">
        <f t="shared" si="506"/>
        <v>0</v>
      </c>
      <c r="T8092" s="331">
        <v>0</v>
      </c>
      <c r="U8092" s="328">
        <f>VLOOKUP(C8092,METADATA!$J$5:$Q$29,IF(E8092="HI",2,IF(E8092="LO",6,10))+IF(T8092=1,2,IF(D8092=7,1,(IF(WEEKDAY(B8092)=1,2,IF(WEEKDAY(B8092)=7,1,0))))))</f>
        <v>3</v>
      </c>
      <c r="V8092" s="328">
        <f>VLOOKUP(C8092,METADATA!$A$5:$H$29,IF(E8092="HI",2,IF(E8092="LO",6,10))+IF(T8092=1,2,IF(D8092=7,1,(IF(WEEKDAY(B8092)=1,2,IF(WEEKDAY(B8092)=7,1,0))))))</f>
        <v>3</v>
      </c>
    </row>
    <row r="8093" spans="2:22">
      <c r="B8093" s="318">
        <f t="shared" si="507"/>
        <v>46450</v>
      </c>
      <c r="C8093" s="312">
        <v>1</v>
      </c>
      <c r="D8093" s="368">
        <f>IFERROR((INDEX(METADATA!$T$2:$T$20,MATCH(B8093,METADATA!$S$2:$S$20,0))),0)</f>
        <v>0</v>
      </c>
      <c r="E8093" s="312" t="str">
        <f t="shared" si="504"/>
        <v>LO</v>
      </c>
      <c r="F8093" s="369">
        <f>VLOOKUP(C8093,METADATA!$A$5:$H$29,IF(E8093="HI",2,IF(E8093="LO",6,10))+IF(D8093=1,2,IF(D8093=7,1,(IF(WEEKDAY(B8093)=1,2,IF(WEEKDAY(B8093)=7,1,0))))))</f>
        <v>3</v>
      </c>
      <c r="G8093" s="369">
        <f>VLOOKUP(C8093,METADATA!$J$5:$Q$29,IF(E8093="HI",2,IF(E8093="LO",6,10))+IF(D8093=1,2,IF(D8093=7,1,(IF(WEEKDAY(B8093)=1,2,IF(WEEKDAY(B8093)=7,1,0))))))</f>
        <v>3</v>
      </c>
      <c r="H8093" s="370">
        <v>12617.465209960938</v>
      </c>
      <c r="I8093" s="370">
        <v>3579.1700286865234</v>
      </c>
      <c r="M8093" s="371">
        <f t="shared" si="505"/>
        <v>13115.292082863518</v>
      </c>
      <c r="N8093" s="329">
        <f t="shared" si="506"/>
        <v>0</v>
      </c>
      <c r="T8093" s="331">
        <v>0</v>
      </c>
      <c r="U8093" s="328">
        <f>VLOOKUP(C8093,METADATA!$J$5:$Q$29,IF(E8093="HI",2,IF(E8093="LO",6,10))+IF(T8093=1,2,IF(D8093=7,1,(IF(WEEKDAY(B8093)=1,2,IF(WEEKDAY(B8093)=7,1,0))))))</f>
        <v>3</v>
      </c>
      <c r="V8093" s="328">
        <f>VLOOKUP(C8093,METADATA!$A$5:$H$29,IF(E8093="HI",2,IF(E8093="LO",6,10))+IF(T8093=1,2,IF(D8093=7,1,(IF(WEEKDAY(B8093)=1,2,IF(WEEKDAY(B8093)=7,1,0))))))</f>
        <v>3</v>
      </c>
    </row>
    <row r="8094" spans="2:22">
      <c r="B8094" s="318">
        <f t="shared" si="507"/>
        <v>46450</v>
      </c>
      <c r="C8094" s="312">
        <v>2</v>
      </c>
      <c r="D8094" s="368">
        <f>IFERROR((INDEX(METADATA!$T$2:$T$20,MATCH(B8094,METADATA!$S$2:$S$20,0))),0)</f>
        <v>0</v>
      </c>
      <c r="E8094" s="312" t="str">
        <f t="shared" si="504"/>
        <v>LO</v>
      </c>
      <c r="F8094" s="369">
        <f>VLOOKUP(C8094,METADATA!$A$5:$H$29,IF(E8094="HI",2,IF(E8094="LO",6,10))+IF(D8094=1,2,IF(D8094=7,1,(IF(WEEKDAY(B8094)=1,2,IF(WEEKDAY(B8094)=7,1,0))))))</f>
        <v>3</v>
      </c>
      <c r="G8094" s="369">
        <f>VLOOKUP(C8094,METADATA!$J$5:$Q$29,IF(E8094="HI",2,IF(E8094="LO",6,10))+IF(D8094=1,2,IF(D8094=7,1,(IF(WEEKDAY(B8094)=1,2,IF(WEEKDAY(B8094)=7,1,0))))))</f>
        <v>3</v>
      </c>
      <c r="H8094" s="370">
        <v>12593.375</v>
      </c>
      <c r="I8094" s="370">
        <v>3619.5950927734375</v>
      </c>
      <c r="M8094" s="371">
        <f t="shared" si="505"/>
        <v>13103.227179830721</v>
      </c>
      <c r="N8094" s="329">
        <f t="shared" si="506"/>
        <v>0</v>
      </c>
      <c r="T8094" s="331">
        <v>0</v>
      </c>
      <c r="U8094" s="328">
        <f>VLOOKUP(C8094,METADATA!$J$5:$Q$29,IF(E8094="HI",2,IF(E8094="LO",6,10))+IF(T8094=1,2,IF(D8094=7,1,(IF(WEEKDAY(B8094)=1,2,IF(WEEKDAY(B8094)=7,1,0))))))</f>
        <v>3</v>
      </c>
      <c r="V8094" s="328">
        <f>VLOOKUP(C8094,METADATA!$A$5:$H$29,IF(E8094="HI",2,IF(E8094="LO",6,10))+IF(T8094=1,2,IF(D8094=7,1,(IF(WEEKDAY(B8094)=1,2,IF(WEEKDAY(B8094)=7,1,0))))))</f>
        <v>3</v>
      </c>
    </row>
    <row r="8095" spans="2:22">
      <c r="B8095" s="318">
        <f t="shared" si="507"/>
        <v>46450</v>
      </c>
      <c r="C8095" s="312">
        <v>3</v>
      </c>
      <c r="D8095" s="368">
        <f>IFERROR((INDEX(METADATA!$T$2:$T$20,MATCH(B8095,METADATA!$S$2:$S$20,0))),0)</f>
        <v>0</v>
      </c>
      <c r="E8095" s="312" t="str">
        <f t="shared" si="504"/>
        <v>LO</v>
      </c>
      <c r="F8095" s="369">
        <f>VLOOKUP(C8095,METADATA!$A$5:$H$29,IF(E8095="HI",2,IF(E8095="LO",6,10))+IF(D8095=1,2,IF(D8095=7,1,(IF(WEEKDAY(B8095)=1,2,IF(WEEKDAY(B8095)=7,1,0))))))</f>
        <v>3</v>
      </c>
      <c r="G8095" s="369">
        <f>VLOOKUP(C8095,METADATA!$J$5:$Q$29,IF(E8095="HI",2,IF(E8095="LO",6,10))+IF(D8095=1,2,IF(D8095=7,1,(IF(WEEKDAY(B8095)=1,2,IF(WEEKDAY(B8095)=7,1,0))))))</f>
        <v>3</v>
      </c>
      <c r="H8095" s="370">
        <v>12738.049987792969</v>
      </c>
      <c r="I8095" s="370">
        <v>3686.9349975585938</v>
      </c>
      <c r="M8095" s="371">
        <f t="shared" si="505"/>
        <v>13260.897675788576</v>
      </c>
      <c r="N8095" s="329">
        <f t="shared" si="506"/>
        <v>0</v>
      </c>
      <c r="T8095" s="331">
        <v>0</v>
      </c>
      <c r="U8095" s="328">
        <f>VLOOKUP(C8095,METADATA!$J$5:$Q$29,IF(E8095="HI",2,IF(E8095="LO",6,10))+IF(T8095=1,2,IF(D8095=7,1,(IF(WEEKDAY(B8095)=1,2,IF(WEEKDAY(B8095)=7,1,0))))))</f>
        <v>3</v>
      </c>
      <c r="V8095" s="328">
        <f>VLOOKUP(C8095,METADATA!$A$5:$H$29,IF(E8095="HI",2,IF(E8095="LO",6,10))+IF(T8095=1,2,IF(D8095=7,1,(IF(WEEKDAY(B8095)=1,2,IF(WEEKDAY(B8095)=7,1,0))))))</f>
        <v>3</v>
      </c>
    </row>
    <row r="8096" spans="2:22">
      <c r="B8096" s="318">
        <f t="shared" si="507"/>
        <v>46450</v>
      </c>
      <c r="C8096" s="312">
        <v>4</v>
      </c>
      <c r="D8096" s="368">
        <f>IFERROR((INDEX(METADATA!$T$2:$T$20,MATCH(B8096,METADATA!$S$2:$S$20,0))),0)</f>
        <v>0</v>
      </c>
      <c r="E8096" s="312" t="str">
        <f t="shared" si="504"/>
        <v>LO</v>
      </c>
      <c r="F8096" s="369">
        <f>VLOOKUP(C8096,METADATA!$A$5:$H$29,IF(E8096="HI",2,IF(E8096="LO",6,10))+IF(D8096=1,2,IF(D8096=7,1,(IF(WEEKDAY(B8096)=1,2,IF(WEEKDAY(B8096)=7,1,0))))))</f>
        <v>3</v>
      </c>
      <c r="G8096" s="369">
        <f>VLOOKUP(C8096,METADATA!$J$5:$Q$29,IF(E8096="HI",2,IF(E8096="LO",6,10))+IF(D8096=1,2,IF(D8096=7,1,(IF(WEEKDAY(B8096)=1,2,IF(WEEKDAY(B8096)=7,1,0))))))</f>
        <v>3</v>
      </c>
      <c r="H8096" s="370">
        <v>12569.900085449219</v>
      </c>
      <c r="I8096" s="370">
        <v>3448.1050567626953</v>
      </c>
      <c r="M8096" s="371">
        <f t="shared" si="505"/>
        <v>13034.255507724587</v>
      </c>
      <c r="N8096" s="329">
        <f t="shared" si="506"/>
        <v>0</v>
      </c>
      <c r="T8096" s="331">
        <v>0</v>
      </c>
      <c r="U8096" s="328">
        <f>VLOOKUP(C8096,METADATA!$J$5:$Q$29,IF(E8096="HI",2,IF(E8096="LO",6,10))+IF(T8096=1,2,IF(D8096=7,1,(IF(WEEKDAY(B8096)=1,2,IF(WEEKDAY(B8096)=7,1,0))))))</f>
        <v>3</v>
      </c>
      <c r="V8096" s="328">
        <f>VLOOKUP(C8096,METADATA!$A$5:$H$29,IF(E8096="HI",2,IF(E8096="LO",6,10))+IF(T8096=1,2,IF(D8096=7,1,(IF(WEEKDAY(B8096)=1,2,IF(WEEKDAY(B8096)=7,1,0))))))</f>
        <v>3</v>
      </c>
    </row>
    <row r="8097" spans="2:22">
      <c r="B8097" s="318">
        <f t="shared" si="507"/>
        <v>46450</v>
      </c>
      <c r="C8097" s="312">
        <v>5</v>
      </c>
      <c r="D8097" s="368">
        <f>IFERROR((INDEX(METADATA!$T$2:$T$20,MATCH(B8097,METADATA!$S$2:$S$20,0))),0)</f>
        <v>0</v>
      </c>
      <c r="E8097" s="312" t="str">
        <f t="shared" si="504"/>
        <v>LO</v>
      </c>
      <c r="F8097" s="369">
        <f>VLOOKUP(C8097,METADATA!$A$5:$H$29,IF(E8097="HI",2,IF(E8097="LO",6,10))+IF(D8097=1,2,IF(D8097=7,1,(IF(WEEKDAY(B8097)=1,2,IF(WEEKDAY(B8097)=7,1,0))))))</f>
        <v>3</v>
      </c>
      <c r="G8097" s="369">
        <f>VLOOKUP(C8097,METADATA!$J$5:$Q$29,IF(E8097="HI",2,IF(E8097="LO",6,10))+IF(D8097=1,2,IF(D8097=7,1,(IF(WEEKDAY(B8097)=1,2,IF(WEEKDAY(B8097)=7,1,0))))))</f>
        <v>3</v>
      </c>
      <c r="H8097" s="370">
        <v>12522.275085449219</v>
      </c>
      <c r="I8097" s="370">
        <v>3321.1349945068359</v>
      </c>
      <c r="M8097" s="371">
        <f t="shared" si="505"/>
        <v>12955.204011029706</v>
      </c>
      <c r="N8097" s="329">
        <f t="shared" si="506"/>
        <v>0</v>
      </c>
      <c r="T8097" s="331">
        <v>0</v>
      </c>
      <c r="U8097" s="328">
        <f>VLOOKUP(C8097,METADATA!$J$5:$Q$29,IF(E8097="HI",2,IF(E8097="LO",6,10))+IF(T8097=1,2,IF(D8097=7,1,(IF(WEEKDAY(B8097)=1,2,IF(WEEKDAY(B8097)=7,1,0))))))</f>
        <v>3</v>
      </c>
      <c r="V8097" s="328">
        <f>VLOOKUP(C8097,METADATA!$A$5:$H$29,IF(E8097="HI",2,IF(E8097="LO",6,10))+IF(T8097=1,2,IF(D8097=7,1,(IF(WEEKDAY(B8097)=1,2,IF(WEEKDAY(B8097)=7,1,0))))))</f>
        <v>3</v>
      </c>
    </row>
    <row r="8098" spans="2:22">
      <c r="B8098" s="318">
        <f t="shared" si="507"/>
        <v>46450</v>
      </c>
      <c r="C8098" s="312">
        <v>6</v>
      </c>
      <c r="D8098" s="368">
        <f>IFERROR((INDEX(METADATA!$T$2:$T$20,MATCH(B8098,METADATA!$S$2:$S$20,0))),0)</f>
        <v>0</v>
      </c>
      <c r="E8098" s="312" t="str">
        <f t="shared" si="504"/>
        <v>LO</v>
      </c>
      <c r="F8098" s="369">
        <f>VLOOKUP(C8098,METADATA!$A$5:$H$29,IF(E8098="HI",2,IF(E8098="LO",6,10))+IF(D8098=1,2,IF(D8098=7,1,(IF(WEEKDAY(B8098)=1,2,IF(WEEKDAY(B8098)=7,1,0))))))</f>
        <v>2</v>
      </c>
      <c r="G8098" s="369">
        <f>VLOOKUP(C8098,METADATA!$J$5:$Q$29,IF(E8098="HI",2,IF(E8098="LO",6,10))+IF(D8098=1,2,IF(D8098=7,1,(IF(WEEKDAY(B8098)=1,2,IF(WEEKDAY(B8098)=7,1,0))))))</f>
        <v>2</v>
      </c>
      <c r="H8098" s="370">
        <v>12454.599975585938</v>
      </c>
      <c r="I8098" s="370">
        <v>3226.3249664306641</v>
      </c>
      <c r="M8098" s="371">
        <f t="shared" si="505"/>
        <v>12865.699877615638</v>
      </c>
      <c r="N8098" s="329">
        <f t="shared" si="506"/>
        <v>0</v>
      </c>
      <c r="T8098" s="331">
        <v>0</v>
      </c>
      <c r="U8098" s="328">
        <f>VLOOKUP(C8098,METADATA!$J$5:$Q$29,IF(E8098="HI",2,IF(E8098="LO",6,10))+IF(T8098=1,2,IF(D8098=7,1,(IF(WEEKDAY(B8098)=1,2,IF(WEEKDAY(B8098)=7,1,0))))))</f>
        <v>2</v>
      </c>
      <c r="V8098" s="328">
        <f>VLOOKUP(C8098,METADATA!$A$5:$H$29,IF(E8098="HI",2,IF(E8098="LO",6,10))+IF(T8098=1,2,IF(D8098=7,1,(IF(WEEKDAY(B8098)=1,2,IF(WEEKDAY(B8098)=7,1,0))))))</f>
        <v>2</v>
      </c>
    </row>
    <row r="8099" spans="2:22">
      <c r="B8099" s="318">
        <f t="shared" si="507"/>
        <v>46450</v>
      </c>
      <c r="C8099" s="312">
        <v>7</v>
      </c>
      <c r="D8099" s="368">
        <f>IFERROR((INDEX(METADATA!$T$2:$T$20,MATCH(B8099,METADATA!$S$2:$S$20,0))),0)</f>
        <v>0</v>
      </c>
      <c r="E8099" s="312" t="str">
        <f t="shared" si="504"/>
        <v>LO</v>
      </c>
      <c r="F8099" s="369">
        <f>VLOOKUP(C8099,METADATA!$A$5:$H$29,IF(E8099="HI",2,IF(E8099="LO",6,10))+IF(D8099=1,2,IF(D8099=7,1,(IF(WEEKDAY(B8099)=1,2,IF(WEEKDAY(B8099)=7,1,0))))))</f>
        <v>1</v>
      </c>
      <c r="G8099" s="369">
        <f>VLOOKUP(C8099,METADATA!$J$5:$Q$29,IF(E8099="HI",2,IF(E8099="LO",6,10))+IF(D8099=1,2,IF(D8099=7,1,(IF(WEEKDAY(B8099)=1,2,IF(WEEKDAY(B8099)=7,1,0))))))</f>
        <v>1</v>
      </c>
      <c r="H8099" s="370">
        <v>12485.400329589844</v>
      </c>
      <c r="I8099" s="370">
        <v>3383.8401031494141</v>
      </c>
      <c r="M8099" s="371">
        <f t="shared" si="505"/>
        <v>12935.826036005756</v>
      </c>
      <c r="N8099" s="329">
        <f t="shared" si="506"/>
        <v>0</v>
      </c>
      <c r="T8099" s="331">
        <v>0</v>
      </c>
      <c r="U8099" s="328">
        <f>VLOOKUP(C8099,METADATA!$J$5:$Q$29,IF(E8099="HI",2,IF(E8099="LO",6,10))+IF(T8099=1,2,IF(D8099=7,1,(IF(WEEKDAY(B8099)=1,2,IF(WEEKDAY(B8099)=7,1,0))))))</f>
        <v>1</v>
      </c>
      <c r="V8099" s="328">
        <f>VLOOKUP(C8099,METADATA!$A$5:$H$29,IF(E8099="HI",2,IF(E8099="LO",6,10))+IF(T8099=1,2,IF(D8099=7,1,(IF(WEEKDAY(B8099)=1,2,IF(WEEKDAY(B8099)=7,1,0))))))</f>
        <v>1</v>
      </c>
    </row>
    <row r="8100" spans="2:22">
      <c r="B8100" s="318">
        <f t="shared" si="507"/>
        <v>46450</v>
      </c>
      <c r="C8100" s="312">
        <v>8</v>
      </c>
      <c r="D8100" s="368">
        <f>IFERROR((INDEX(METADATA!$T$2:$T$20,MATCH(B8100,METADATA!$S$2:$S$20,0))),0)</f>
        <v>0</v>
      </c>
      <c r="E8100" s="312" t="str">
        <f t="shared" si="504"/>
        <v>LO</v>
      </c>
      <c r="F8100" s="369">
        <f>VLOOKUP(C8100,METADATA!$A$5:$H$29,IF(E8100="HI",2,IF(E8100="LO",6,10))+IF(D8100=1,2,IF(D8100=7,1,(IF(WEEKDAY(B8100)=1,2,IF(WEEKDAY(B8100)=7,1,0))))))</f>
        <v>1</v>
      </c>
      <c r="G8100" s="369">
        <f>VLOOKUP(C8100,METADATA!$J$5:$Q$29,IF(E8100="HI",2,IF(E8100="LO",6,10))+IF(D8100=1,2,IF(D8100=7,1,(IF(WEEKDAY(B8100)=1,2,IF(WEEKDAY(B8100)=7,1,0))))))</f>
        <v>1</v>
      </c>
      <c r="H8100" s="370">
        <v>12431.499816894531</v>
      </c>
      <c r="I8100" s="370">
        <v>3499.6351013183594</v>
      </c>
      <c r="M8100" s="371">
        <f t="shared" si="505"/>
        <v>12914.706095758755</v>
      </c>
      <c r="N8100" s="329">
        <f t="shared" si="506"/>
        <v>0</v>
      </c>
      <c r="T8100" s="331">
        <v>0</v>
      </c>
      <c r="U8100" s="328">
        <f>VLOOKUP(C8100,METADATA!$J$5:$Q$29,IF(E8100="HI",2,IF(E8100="LO",6,10))+IF(T8100=1,2,IF(D8100=7,1,(IF(WEEKDAY(B8100)=1,2,IF(WEEKDAY(B8100)=7,1,0))))))</f>
        <v>1</v>
      </c>
      <c r="V8100" s="328">
        <f>VLOOKUP(C8100,METADATA!$A$5:$H$29,IF(E8100="HI",2,IF(E8100="LO",6,10))+IF(T8100=1,2,IF(D8100=7,1,(IF(WEEKDAY(B8100)=1,2,IF(WEEKDAY(B8100)=7,1,0))))))</f>
        <v>1</v>
      </c>
    </row>
    <row r="8101" spans="2:22">
      <c r="B8101" s="318">
        <f t="shared" si="507"/>
        <v>46450</v>
      </c>
      <c r="C8101" s="312">
        <v>9</v>
      </c>
      <c r="D8101" s="368">
        <f>IFERROR((INDEX(METADATA!$T$2:$T$20,MATCH(B8101,METADATA!$S$2:$S$20,0))),0)</f>
        <v>0</v>
      </c>
      <c r="E8101" s="312" t="str">
        <f t="shared" si="504"/>
        <v>LO</v>
      </c>
      <c r="F8101" s="369">
        <f>VLOOKUP(C8101,METADATA!$A$5:$H$29,IF(E8101="HI",2,IF(E8101="LO",6,10))+IF(D8101=1,2,IF(D8101=7,1,(IF(WEEKDAY(B8101)=1,2,IF(WEEKDAY(B8101)=7,1,0))))))</f>
        <v>2</v>
      </c>
      <c r="G8101" s="369">
        <f>VLOOKUP(C8101,METADATA!$J$5:$Q$29,IF(E8101="HI",2,IF(E8101="LO",6,10))+IF(D8101=1,2,IF(D8101=7,1,(IF(WEEKDAY(B8101)=1,2,IF(WEEKDAY(B8101)=7,1,0))))))</f>
        <v>2</v>
      </c>
      <c r="H8101" s="370">
        <v>12411.925109863281</v>
      </c>
      <c r="I8101" s="370">
        <v>3472.6400146484375</v>
      </c>
      <c r="M8101" s="371">
        <f t="shared" si="505"/>
        <v>12888.56522675011</v>
      </c>
      <c r="N8101" s="329">
        <f t="shared" si="506"/>
        <v>0</v>
      </c>
      <c r="T8101" s="331">
        <v>0</v>
      </c>
      <c r="U8101" s="328">
        <f>VLOOKUP(C8101,METADATA!$J$5:$Q$29,IF(E8101="HI",2,IF(E8101="LO",6,10))+IF(T8101=1,2,IF(D8101=7,1,(IF(WEEKDAY(B8101)=1,2,IF(WEEKDAY(B8101)=7,1,0))))))</f>
        <v>2</v>
      </c>
      <c r="V8101" s="328">
        <f>VLOOKUP(C8101,METADATA!$A$5:$H$29,IF(E8101="HI",2,IF(E8101="LO",6,10))+IF(T8101=1,2,IF(D8101=7,1,(IF(WEEKDAY(B8101)=1,2,IF(WEEKDAY(B8101)=7,1,0))))))</f>
        <v>2</v>
      </c>
    </row>
    <row r="8102" spans="2:22">
      <c r="B8102" s="318">
        <f t="shared" si="507"/>
        <v>46450</v>
      </c>
      <c r="C8102" s="312">
        <v>10</v>
      </c>
      <c r="D8102" s="368">
        <f>IFERROR((INDEX(METADATA!$T$2:$T$20,MATCH(B8102,METADATA!$S$2:$S$20,0))),0)</f>
        <v>0</v>
      </c>
      <c r="E8102" s="312" t="str">
        <f t="shared" si="504"/>
        <v>LO</v>
      </c>
      <c r="F8102" s="369">
        <f>VLOOKUP(C8102,METADATA!$A$5:$H$29,IF(E8102="HI",2,IF(E8102="LO",6,10))+IF(D8102=1,2,IF(D8102=7,1,(IF(WEEKDAY(B8102)=1,2,IF(WEEKDAY(B8102)=7,1,0))))))</f>
        <v>2</v>
      </c>
      <c r="G8102" s="369">
        <f>VLOOKUP(C8102,METADATA!$J$5:$Q$29,IF(E8102="HI",2,IF(E8102="LO",6,10))+IF(D8102=1,2,IF(D8102=7,1,(IF(WEEKDAY(B8102)=1,2,IF(WEEKDAY(B8102)=7,1,0))))))</f>
        <v>2</v>
      </c>
      <c r="H8102" s="370">
        <v>12394.549682617188</v>
      </c>
      <c r="I8102" s="370">
        <v>3476.5000457763672</v>
      </c>
      <c r="M8102" s="371">
        <f t="shared" si="505"/>
        <v>12872.875141286382</v>
      </c>
      <c r="N8102" s="329">
        <f t="shared" si="506"/>
        <v>0</v>
      </c>
      <c r="T8102" s="331">
        <v>0</v>
      </c>
      <c r="U8102" s="328">
        <f>VLOOKUP(C8102,METADATA!$J$5:$Q$29,IF(E8102="HI",2,IF(E8102="LO",6,10))+IF(T8102=1,2,IF(D8102=7,1,(IF(WEEKDAY(B8102)=1,2,IF(WEEKDAY(B8102)=7,1,0))))))</f>
        <v>2</v>
      </c>
      <c r="V8102" s="328">
        <f>VLOOKUP(C8102,METADATA!$A$5:$H$29,IF(E8102="HI",2,IF(E8102="LO",6,10))+IF(T8102=1,2,IF(D8102=7,1,(IF(WEEKDAY(B8102)=1,2,IF(WEEKDAY(B8102)=7,1,0))))))</f>
        <v>2</v>
      </c>
    </row>
    <row r="8103" spans="2:22">
      <c r="B8103" s="318">
        <f t="shared" si="507"/>
        <v>46450</v>
      </c>
      <c r="C8103" s="312">
        <v>11</v>
      </c>
      <c r="D8103" s="368">
        <f>IFERROR((INDEX(METADATA!$T$2:$T$20,MATCH(B8103,METADATA!$S$2:$S$20,0))),0)</f>
        <v>0</v>
      </c>
      <c r="E8103" s="312" t="str">
        <f t="shared" si="504"/>
        <v>LO</v>
      </c>
      <c r="F8103" s="369">
        <f>VLOOKUP(C8103,METADATA!$A$5:$H$29,IF(E8103="HI",2,IF(E8103="LO",6,10))+IF(D8103=1,2,IF(D8103=7,1,(IF(WEEKDAY(B8103)=1,2,IF(WEEKDAY(B8103)=7,1,0))))))</f>
        <v>2</v>
      </c>
      <c r="G8103" s="369">
        <f>VLOOKUP(C8103,METADATA!$J$5:$Q$29,IF(E8103="HI",2,IF(E8103="LO",6,10))+IF(D8103=1,2,IF(D8103=7,1,(IF(WEEKDAY(B8103)=1,2,IF(WEEKDAY(B8103)=7,1,0))))))</f>
        <v>2</v>
      </c>
      <c r="H8103" s="370">
        <v>12498.174499511719</v>
      </c>
      <c r="I8103" s="370">
        <v>3434.4300384521484</v>
      </c>
      <c r="M8103" s="371">
        <f t="shared" si="505"/>
        <v>12961.468879307909</v>
      </c>
      <c r="N8103" s="329">
        <f t="shared" si="506"/>
        <v>0</v>
      </c>
      <c r="T8103" s="331">
        <v>0</v>
      </c>
      <c r="U8103" s="328">
        <f>VLOOKUP(C8103,METADATA!$J$5:$Q$29,IF(E8103="HI",2,IF(E8103="LO",6,10))+IF(T8103=1,2,IF(D8103=7,1,(IF(WEEKDAY(B8103)=1,2,IF(WEEKDAY(B8103)=7,1,0))))))</f>
        <v>2</v>
      </c>
      <c r="V8103" s="328">
        <f>VLOOKUP(C8103,METADATA!$A$5:$H$29,IF(E8103="HI",2,IF(E8103="LO",6,10))+IF(T8103=1,2,IF(D8103=7,1,(IF(WEEKDAY(B8103)=1,2,IF(WEEKDAY(B8103)=7,1,0))))))</f>
        <v>2</v>
      </c>
    </row>
    <row r="8104" spans="2:22">
      <c r="B8104" s="318">
        <f t="shared" si="507"/>
        <v>46450</v>
      </c>
      <c r="C8104" s="312">
        <v>12</v>
      </c>
      <c r="D8104" s="368">
        <f>IFERROR((INDEX(METADATA!$T$2:$T$20,MATCH(B8104,METADATA!$S$2:$S$20,0))),0)</f>
        <v>0</v>
      </c>
      <c r="E8104" s="312" t="str">
        <f t="shared" si="504"/>
        <v>LO</v>
      </c>
      <c r="F8104" s="369">
        <f>VLOOKUP(C8104,METADATA!$A$5:$H$29,IF(E8104="HI",2,IF(E8104="LO",6,10))+IF(D8104=1,2,IF(D8104=7,1,(IF(WEEKDAY(B8104)=1,2,IF(WEEKDAY(B8104)=7,1,0))))))</f>
        <v>2</v>
      </c>
      <c r="G8104" s="369">
        <f>VLOOKUP(C8104,METADATA!$J$5:$Q$29,IF(E8104="HI",2,IF(E8104="LO",6,10))+IF(D8104=1,2,IF(D8104=7,1,(IF(WEEKDAY(B8104)=1,2,IF(WEEKDAY(B8104)=7,1,0))))))</f>
        <v>2</v>
      </c>
      <c r="H8104" s="370">
        <v>12652.899780273438</v>
      </c>
      <c r="I8104" s="370">
        <v>3528.4649353027344</v>
      </c>
      <c r="M8104" s="371">
        <f t="shared" si="505"/>
        <v>13135.674236570596</v>
      </c>
      <c r="N8104" s="329">
        <f t="shared" si="506"/>
        <v>0</v>
      </c>
      <c r="T8104" s="331">
        <v>0</v>
      </c>
      <c r="U8104" s="328">
        <f>VLOOKUP(C8104,METADATA!$J$5:$Q$29,IF(E8104="HI",2,IF(E8104="LO",6,10))+IF(T8104=1,2,IF(D8104=7,1,(IF(WEEKDAY(B8104)=1,2,IF(WEEKDAY(B8104)=7,1,0))))))</f>
        <v>2</v>
      </c>
      <c r="V8104" s="328">
        <f>VLOOKUP(C8104,METADATA!$A$5:$H$29,IF(E8104="HI",2,IF(E8104="LO",6,10))+IF(T8104=1,2,IF(D8104=7,1,(IF(WEEKDAY(B8104)=1,2,IF(WEEKDAY(B8104)=7,1,0))))))</f>
        <v>2</v>
      </c>
    </row>
    <row r="8105" spans="2:22">
      <c r="B8105" s="318">
        <f t="shared" si="507"/>
        <v>46450</v>
      </c>
      <c r="C8105" s="312">
        <v>13</v>
      </c>
      <c r="D8105" s="368">
        <f>IFERROR((INDEX(METADATA!$T$2:$T$20,MATCH(B8105,METADATA!$S$2:$S$20,0))),0)</f>
        <v>0</v>
      </c>
      <c r="E8105" s="312" t="str">
        <f t="shared" si="504"/>
        <v>LO</v>
      </c>
      <c r="F8105" s="369">
        <f>VLOOKUP(C8105,METADATA!$A$5:$H$29,IF(E8105="HI",2,IF(E8105="LO",6,10))+IF(D8105=1,2,IF(D8105=7,1,(IF(WEEKDAY(B8105)=1,2,IF(WEEKDAY(B8105)=7,1,0))))))</f>
        <v>2</v>
      </c>
      <c r="G8105" s="369">
        <f>VLOOKUP(C8105,METADATA!$J$5:$Q$29,IF(E8105="HI",2,IF(E8105="LO",6,10))+IF(D8105=1,2,IF(D8105=7,1,(IF(WEEKDAY(B8105)=1,2,IF(WEEKDAY(B8105)=7,1,0))))))</f>
        <v>2</v>
      </c>
      <c r="H8105" s="370">
        <v>12372.550170898438</v>
      </c>
      <c r="I8105" s="370">
        <v>3409.6899719238281</v>
      </c>
      <c r="M8105" s="371">
        <f t="shared" si="505"/>
        <v>12833.782896560035</v>
      </c>
      <c r="N8105" s="329">
        <f t="shared" si="506"/>
        <v>0</v>
      </c>
      <c r="T8105" s="331">
        <v>0</v>
      </c>
      <c r="U8105" s="328">
        <f>VLOOKUP(C8105,METADATA!$J$5:$Q$29,IF(E8105="HI",2,IF(E8105="LO",6,10))+IF(T8105=1,2,IF(D8105=7,1,(IF(WEEKDAY(B8105)=1,2,IF(WEEKDAY(B8105)=7,1,0))))))</f>
        <v>2</v>
      </c>
      <c r="V8105" s="328">
        <f>VLOOKUP(C8105,METADATA!$A$5:$H$29,IF(E8105="HI",2,IF(E8105="LO",6,10))+IF(T8105=1,2,IF(D8105=7,1,(IF(WEEKDAY(B8105)=1,2,IF(WEEKDAY(B8105)=7,1,0))))))</f>
        <v>2</v>
      </c>
    </row>
    <row r="8106" spans="2:22">
      <c r="B8106" s="318">
        <f t="shared" si="507"/>
        <v>46450</v>
      </c>
      <c r="C8106" s="312">
        <v>14</v>
      </c>
      <c r="D8106" s="368">
        <f>IFERROR((INDEX(METADATA!$T$2:$T$20,MATCH(B8106,METADATA!$S$2:$S$20,0))),0)</f>
        <v>0</v>
      </c>
      <c r="E8106" s="312" t="str">
        <f t="shared" si="504"/>
        <v>LO</v>
      </c>
      <c r="F8106" s="369">
        <f>VLOOKUP(C8106,METADATA!$A$5:$H$29,IF(E8106="HI",2,IF(E8106="LO",6,10))+IF(D8106=1,2,IF(D8106=7,1,(IF(WEEKDAY(B8106)=1,2,IF(WEEKDAY(B8106)=7,1,0))))))</f>
        <v>2</v>
      </c>
      <c r="G8106" s="369">
        <f>VLOOKUP(C8106,METADATA!$J$5:$Q$29,IF(E8106="HI",2,IF(E8106="LO",6,10))+IF(D8106=1,2,IF(D8106=7,1,(IF(WEEKDAY(B8106)=1,2,IF(WEEKDAY(B8106)=7,1,0))))))</f>
        <v>2</v>
      </c>
      <c r="H8106" s="370">
        <v>12566.549926757813</v>
      </c>
      <c r="I8106" s="370">
        <v>3570.7400970458984</v>
      </c>
      <c r="M8106" s="371">
        <f t="shared" si="505"/>
        <v>13064.010176907706</v>
      </c>
      <c r="N8106" s="329">
        <f t="shared" si="506"/>
        <v>0</v>
      </c>
      <c r="T8106" s="331">
        <v>0</v>
      </c>
      <c r="U8106" s="328">
        <f>VLOOKUP(C8106,METADATA!$J$5:$Q$29,IF(E8106="HI",2,IF(E8106="LO",6,10))+IF(T8106=1,2,IF(D8106=7,1,(IF(WEEKDAY(B8106)=1,2,IF(WEEKDAY(B8106)=7,1,0))))))</f>
        <v>2</v>
      </c>
      <c r="V8106" s="328">
        <f>VLOOKUP(C8106,METADATA!$A$5:$H$29,IF(E8106="HI",2,IF(E8106="LO",6,10))+IF(T8106=1,2,IF(D8106=7,1,(IF(WEEKDAY(B8106)=1,2,IF(WEEKDAY(B8106)=7,1,0))))))</f>
        <v>2</v>
      </c>
    </row>
    <row r="8107" spans="2:22">
      <c r="B8107" s="318">
        <f t="shared" si="507"/>
        <v>46450</v>
      </c>
      <c r="C8107" s="312">
        <v>15</v>
      </c>
      <c r="D8107" s="368">
        <f>IFERROR((INDEX(METADATA!$T$2:$T$20,MATCH(B8107,METADATA!$S$2:$S$20,0))),0)</f>
        <v>0</v>
      </c>
      <c r="E8107" s="312" t="str">
        <f t="shared" si="504"/>
        <v>LO</v>
      </c>
      <c r="F8107" s="369">
        <f>VLOOKUP(C8107,METADATA!$A$5:$H$29,IF(E8107="HI",2,IF(E8107="LO",6,10))+IF(D8107=1,2,IF(D8107=7,1,(IF(WEEKDAY(B8107)=1,2,IF(WEEKDAY(B8107)=7,1,0))))))</f>
        <v>2</v>
      </c>
      <c r="G8107" s="369">
        <f>VLOOKUP(C8107,METADATA!$J$5:$Q$29,IF(E8107="HI",2,IF(E8107="LO",6,10))+IF(D8107=1,2,IF(D8107=7,1,(IF(WEEKDAY(B8107)=1,2,IF(WEEKDAY(B8107)=7,1,0))))))</f>
        <v>2</v>
      </c>
      <c r="H8107" s="370">
        <v>12562.699951171875</v>
      </c>
      <c r="I8107" s="370">
        <v>3632.4849700927734</v>
      </c>
      <c r="M8107" s="371">
        <f t="shared" si="505"/>
        <v>13077.323010506536</v>
      </c>
      <c r="N8107" s="329">
        <f t="shared" si="506"/>
        <v>0</v>
      </c>
      <c r="T8107" s="331">
        <v>0</v>
      </c>
      <c r="U8107" s="328">
        <f>VLOOKUP(C8107,METADATA!$J$5:$Q$29,IF(E8107="HI",2,IF(E8107="LO",6,10))+IF(T8107=1,2,IF(D8107=7,1,(IF(WEEKDAY(B8107)=1,2,IF(WEEKDAY(B8107)=7,1,0))))))</f>
        <v>2</v>
      </c>
      <c r="V8107" s="328">
        <f>VLOOKUP(C8107,METADATA!$A$5:$H$29,IF(E8107="HI",2,IF(E8107="LO",6,10))+IF(T8107=1,2,IF(D8107=7,1,(IF(WEEKDAY(B8107)=1,2,IF(WEEKDAY(B8107)=7,1,0))))))</f>
        <v>2</v>
      </c>
    </row>
    <row r="8108" spans="2:22">
      <c r="B8108" s="318">
        <f t="shared" si="507"/>
        <v>46450</v>
      </c>
      <c r="C8108" s="312">
        <v>16</v>
      </c>
      <c r="D8108" s="368">
        <f>IFERROR((INDEX(METADATA!$T$2:$T$20,MATCH(B8108,METADATA!$S$2:$S$20,0))),0)</f>
        <v>0</v>
      </c>
      <c r="E8108" s="312" t="str">
        <f t="shared" si="504"/>
        <v>LO</v>
      </c>
      <c r="F8108" s="369">
        <f>VLOOKUP(C8108,METADATA!$A$5:$H$29,IF(E8108="HI",2,IF(E8108="LO",6,10))+IF(D8108=1,2,IF(D8108=7,1,(IF(WEEKDAY(B8108)=1,2,IF(WEEKDAY(B8108)=7,1,0))))))</f>
        <v>2</v>
      </c>
      <c r="G8108" s="369">
        <f>VLOOKUP(C8108,METADATA!$J$5:$Q$29,IF(E8108="HI",2,IF(E8108="LO",6,10))+IF(D8108=1,2,IF(D8108=7,1,(IF(WEEKDAY(B8108)=1,2,IF(WEEKDAY(B8108)=7,1,0))))))</f>
        <v>2</v>
      </c>
      <c r="H8108" s="370">
        <v>12603.750122070313</v>
      </c>
      <c r="I8108" s="370">
        <v>3649.3599548339844</v>
      </c>
      <c r="M8108" s="371">
        <f t="shared" si="505"/>
        <v>13121.446003376812</v>
      </c>
      <c r="N8108" s="329">
        <f t="shared" si="506"/>
        <v>0</v>
      </c>
      <c r="T8108" s="331">
        <v>0</v>
      </c>
      <c r="U8108" s="328">
        <f>VLOOKUP(C8108,METADATA!$J$5:$Q$29,IF(E8108="HI",2,IF(E8108="LO",6,10))+IF(T8108=1,2,IF(D8108=7,1,(IF(WEEKDAY(B8108)=1,2,IF(WEEKDAY(B8108)=7,1,0))))))</f>
        <v>2</v>
      </c>
      <c r="V8108" s="328">
        <f>VLOOKUP(C8108,METADATA!$A$5:$H$29,IF(E8108="HI",2,IF(E8108="LO",6,10))+IF(T8108=1,2,IF(D8108=7,1,(IF(WEEKDAY(B8108)=1,2,IF(WEEKDAY(B8108)=7,1,0))))))</f>
        <v>2</v>
      </c>
    </row>
    <row r="8109" spans="2:22">
      <c r="B8109" s="318">
        <f t="shared" si="507"/>
        <v>46450</v>
      </c>
      <c r="C8109" s="312">
        <v>17</v>
      </c>
      <c r="D8109" s="368">
        <f>IFERROR((INDEX(METADATA!$T$2:$T$20,MATCH(B8109,METADATA!$S$2:$S$20,0))),0)</f>
        <v>0</v>
      </c>
      <c r="E8109" s="312" t="str">
        <f t="shared" si="504"/>
        <v>LO</v>
      </c>
      <c r="F8109" s="369">
        <f>VLOOKUP(C8109,METADATA!$A$5:$H$29,IF(E8109="HI",2,IF(E8109="LO",6,10))+IF(D8109=1,2,IF(D8109=7,1,(IF(WEEKDAY(B8109)=1,2,IF(WEEKDAY(B8109)=7,1,0))))))</f>
        <v>2</v>
      </c>
      <c r="G8109" s="369">
        <f>VLOOKUP(C8109,METADATA!$J$5:$Q$29,IF(E8109="HI",2,IF(E8109="LO",6,10))+IF(D8109=1,2,IF(D8109=7,1,(IF(WEEKDAY(B8109)=1,2,IF(WEEKDAY(B8109)=7,1,0))))))</f>
        <v>2</v>
      </c>
      <c r="H8109" s="370">
        <v>12615.025146484375</v>
      </c>
      <c r="I8109" s="370">
        <v>3683.7299652099609</v>
      </c>
      <c r="M8109" s="371">
        <f t="shared" si="505"/>
        <v>13141.869193650457</v>
      </c>
      <c r="N8109" s="329">
        <f t="shared" si="506"/>
        <v>0</v>
      </c>
      <c r="T8109" s="331">
        <v>0</v>
      </c>
      <c r="U8109" s="328">
        <f>VLOOKUP(C8109,METADATA!$J$5:$Q$29,IF(E8109="HI",2,IF(E8109="LO",6,10))+IF(T8109=1,2,IF(D8109=7,1,(IF(WEEKDAY(B8109)=1,2,IF(WEEKDAY(B8109)=7,1,0))))))</f>
        <v>2</v>
      </c>
      <c r="V8109" s="328">
        <f>VLOOKUP(C8109,METADATA!$A$5:$H$29,IF(E8109="HI",2,IF(E8109="LO",6,10))+IF(T8109=1,2,IF(D8109=7,1,(IF(WEEKDAY(B8109)=1,2,IF(WEEKDAY(B8109)=7,1,0))))))</f>
        <v>2</v>
      </c>
    </row>
    <row r="8110" spans="2:22">
      <c r="B8110" s="318">
        <f t="shared" si="507"/>
        <v>46450</v>
      </c>
      <c r="C8110" s="312">
        <v>18</v>
      </c>
      <c r="D8110" s="368">
        <f>IFERROR((INDEX(METADATA!$T$2:$T$20,MATCH(B8110,METADATA!$S$2:$S$20,0))),0)</f>
        <v>0</v>
      </c>
      <c r="E8110" s="312" t="str">
        <f t="shared" si="504"/>
        <v>LO</v>
      </c>
      <c r="F8110" s="369">
        <f>VLOOKUP(C8110,METADATA!$A$5:$H$29,IF(E8110="HI",2,IF(E8110="LO",6,10))+IF(D8110=1,2,IF(D8110=7,1,(IF(WEEKDAY(B8110)=1,2,IF(WEEKDAY(B8110)=7,1,0))))))</f>
        <v>1</v>
      </c>
      <c r="G8110" s="369">
        <f>VLOOKUP(C8110,METADATA!$J$5:$Q$29,IF(E8110="HI",2,IF(E8110="LO",6,10))+IF(D8110=1,2,IF(D8110=7,1,(IF(WEEKDAY(B8110)=1,2,IF(WEEKDAY(B8110)=7,1,0))))))</f>
        <v>1</v>
      </c>
      <c r="H8110" s="370">
        <v>12597.349731445313</v>
      </c>
      <c r="I8110" s="370">
        <v>3701.679931640625</v>
      </c>
      <c r="M8110" s="371">
        <f t="shared" si="505"/>
        <v>13129.952573130498</v>
      </c>
      <c r="N8110" s="329">
        <f t="shared" si="506"/>
        <v>0</v>
      </c>
      <c r="T8110" s="331">
        <v>0</v>
      </c>
      <c r="U8110" s="328">
        <f>VLOOKUP(C8110,METADATA!$J$5:$Q$29,IF(E8110="HI",2,IF(E8110="LO",6,10))+IF(T8110=1,2,IF(D8110=7,1,(IF(WEEKDAY(B8110)=1,2,IF(WEEKDAY(B8110)=7,1,0))))))</f>
        <v>1</v>
      </c>
      <c r="V8110" s="328">
        <f>VLOOKUP(C8110,METADATA!$A$5:$H$29,IF(E8110="HI",2,IF(E8110="LO",6,10))+IF(T8110=1,2,IF(D8110=7,1,(IF(WEEKDAY(B8110)=1,2,IF(WEEKDAY(B8110)=7,1,0))))))</f>
        <v>1</v>
      </c>
    </row>
    <row r="8111" spans="2:22">
      <c r="B8111" s="318">
        <f t="shared" si="507"/>
        <v>46450</v>
      </c>
      <c r="C8111" s="312">
        <v>19</v>
      </c>
      <c r="D8111" s="368">
        <f>IFERROR((INDEX(METADATA!$T$2:$T$20,MATCH(B8111,METADATA!$S$2:$S$20,0))),0)</f>
        <v>0</v>
      </c>
      <c r="E8111" s="312" t="str">
        <f t="shared" si="504"/>
        <v>LO</v>
      </c>
      <c r="F8111" s="369">
        <f>VLOOKUP(C8111,METADATA!$A$5:$H$29,IF(E8111="HI",2,IF(E8111="LO",6,10))+IF(D8111=1,2,IF(D8111=7,1,(IF(WEEKDAY(B8111)=1,2,IF(WEEKDAY(B8111)=7,1,0))))))</f>
        <v>1</v>
      </c>
      <c r="G8111" s="369">
        <f>VLOOKUP(C8111,METADATA!$J$5:$Q$29,IF(E8111="HI",2,IF(E8111="LO",6,10))+IF(D8111=1,2,IF(D8111=7,1,(IF(WEEKDAY(B8111)=1,2,IF(WEEKDAY(B8111)=7,1,0))))))</f>
        <v>1</v>
      </c>
      <c r="H8111" s="370">
        <v>12697.299926757813</v>
      </c>
      <c r="I8111" s="370">
        <v>3641.2399749755859</v>
      </c>
      <c r="M8111" s="371">
        <f t="shared" si="505"/>
        <v>13209.089824261328</v>
      </c>
      <c r="N8111" s="329">
        <f t="shared" si="506"/>
        <v>0</v>
      </c>
      <c r="T8111" s="331">
        <v>0</v>
      </c>
      <c r="U8111" s="328">
        <f>VLOOKUP(C8111,METADATA!$J$5:$Q$29,IF(E8111="HI",2,IF(E8111="LO",6,10))+IF(T8111=1,2,IF(D8111=7,1,(IF(WEEKDAY(B8111)=1,2,IF(WEEKDAY(B8111)=7,1,0))))))</f>
        <v>1</v>
      </c>
      <c r="V8111" s="328">
        <f>VLOOKUP(C8111,METADATA!$A$5:$H$29,IF(E8111="HI",2,IF(E8111="LO",6,10))+IF(T8111=1,2,IF(D8111=7,1,(IF(WEEKDAY(B8111)=1,2,IF(WEEKDAY(B8111)=7,1,0))))))</f>
        <v>1</v>
      </c>
    </row>
    <row r="8112" spans="2:22">
      <c r="B8112" s="318">
        <f t="shared" si="507"/>
        <v>46450</v>
      </c>
      <c r="C8112" s="312">
        <v>20</v>
      </c>
      <c r="D8112" s="368">
        <f>IFERROR((INDEX(METADATA!$T$2:$T$20,MATCH(B8112,METADATA!$S$2:$S$20,0))),0)</f>
        <v>0</v>
      </c>
      <c r="E8112" s="312" t="str">
        <f t="shared" si="504"/>
        <v>LO</v>
      </c>
      <c r="F8112" s="369">
        <f>VLOOKUP(C8112,METADATA!$A$5:$H$29,IF(E8112="HI",2,IF(E8112="LO",6,10))+IF(D8112=1,2,IF(D8112=7,1,(IF(WEEKDAY(B8112)=1,2,IF(WEEKDAY(B8112)=7,1,0))))))</f>
        <v>1</v>
      </c>
      <c r="G8112" s="369">
        <f>VLOOKUP(C8112,METADATA!$J$5:$Q$29,IF(E8112="HI",2,IF(E8112="LO",6,10))+IF(D8112=1,2,IF(D8112=7,1,(IF(WEEKDAY(B8112)=1,2,IF(WEEKDAY(B8112)=7,1,0))))))</f>
        <v>1</v>
      </c>
      <c r="H8112" s="370">
        <v>12607.100219726563</v>
      </c>
      <c r="I8112" s="370">
        <v>3616.2349395751953</v>
      </c>
      <c r="M8112" s="371">
        <f t="shared" si="505"/>
        <v>13115.492026166383</v>
      </c>
      <c r="N8112" s="329">
        <f t="shared" si="506"/>
        <v>0</v>
      </c>
      <c r="T8112" s="331">
        <v>0</v>
      </c>
      <c r="U8112" s="328">
        <f>VLOOKUP(C8112,METADATA!$J$5:$Q$29,IF(E8112="HI",2,IF(E8112="LO",6,10))+IF(T8112=1,2,IF(D8112=7,1,(IF(WEEKDAY(B8112)=1,2,IF(WEEKDAY(B8112)=7,1,0))))))</f>
        <v>1</v>
      </c>
      <c r="V8112" s="328">
        <f>VLOOKUP(C8112,METADATA!$A$5:$H$29,IF(E8112="HI",2,IF(E8112="LO",6,10))+IF(T8112=1,2,IF(D8112=7,1,(IF(WEEKDAY(B8112)=1,2,IF(WEEKDAY(B8112)=7,1,0))))))</f>
        <v>1</v>
      </c>
    </row>
    <row r="8113" spans="2:22">
      <c r="B8113" s="318">
        <f t="shared" si="507"/>
        <v>46450</v>
      </c>
      <c r="C8113" s="312">
        <v>21</v>
      </c>
      <c r="D8113" s="368">
        <f>IFERROR((INDEX(METADATA!$T$2:$T$20,MATCH(B8113,METADATA!$S$2:$S$20,0))),0)</f>
        <v>0</v>
      </c>
      <c r="E8113" s="312" t="str">
        <f t="shared" si="504"/>
        <v>LO</v>
      </c>
      <c r="F8113" s="369">
        <f>VLOOKUP(C8113,METADATA!$A$5:$H$29,IF(E8113="HI",2,IF(E8113="LO",6,10))+IF(D8113=1,2,IF(D8113=7,1,(IF(WEEKDAY(B8113)=1,2,IF(WEEKDAY(B8113)=7,1,0))))))</f>
        <v>2</v>
      </c>
      <c r="G8113" s="369">
        <f>VLOOKUP(C8113,METADATA!$J$5:$Q$29,IF(E8113="HI",2,IF(E8113="LO",6,10))+IF(D8113=1,2,IF(D8113=7,1,(IF(WEEKDAY(B8113)=1,2,IF(WEEKDAY(B8113)=7,1,0))))))</f>
        <v>2</v>
      </c>
      <c r="H8113" s="370">
        <v>12593.325012207031</v>
      </c>
      <c r="I8113" s="370">
        <v>3608.5299530029297</v>
      </c>
      <c r="M8113" s="371">
        <f t="shared" si="505"/>
        <v>13100.126842317159</v>
      </c>
      <c r="N8113" s="329">
        <f t="shared" si="506"/>
        <v>0</v>
      </c>
      <c r="T8113" s="331">
        <v>0</v>
      </c>
      <c r="U8113" s="328">
        <f>VLOOKUP(C8113,METADATA!$J$5:$Q$29,IF(E8113="HI",2,IF(E8113="LO",6,10))+IF(T8113=1,2,IF(D8113=7,1,(IF(WEEKDAY(B8113)=1,2,IF(WEEKDAY(B8113)=7,1,0))))))</f>
        <v>2</v>
      </c>
      <c r="V8113" s="328">
        <f>VLOOKUP(C8113,METADATA!$A$5:$H$29,IF(E8113="HI",2,IF(E8113="LO",6,10))+IF(T8113=1,2,IF(D8113=7,1,(IF(WEEKDAY(B8113)=1,2,IF(WEEKDAY(B8113)=7,1,0))))))</f>
        <v>2</v>
      </c>
    </row>
    <row r="8114" spans="2:22">
      <c r="B8114" s="318">
        <f t="shared" si="507"/>
        <v>46450</v>
      </c>
      <c r="C8114" s="312">
        <v>22</v>
      </c>
      <c r="D8114" s="368">
        <f>IFERROR((INDEX(METADATA!$T$2:$T$20,MATCH(B8114,METADATA!$S$2:$S$20,0))),0)</f>
        <v>0</v>
      </c>
      <c r="E8114" s="312" t="str">
        <f t="shared" si="504"/>
        <v>LO</v>
      </c>
      <c r="F8114" s="369">
        <f>VLOOKUP(C8114,METADATA!$A$5:$H$29,IF(E8114="HI",2,IF(E8114="LO",6,10))+IF(D8114=1,2,IF(D8114=7,1,(IF(WEEKDAY(B8114)=1,2,IF(WEEKDAY(B8114)=7,1,0))))))</f>
        <v>3</v>
      </c>
      <c r="G8114" s="369">
        <f>VLOOKUP(C8114,METADATA!$J$5:$Q$29,IF(E8114="HI",2,IF(E8114="LO",6,10))+IF(D8114=1,2,IF(D8114=7,1,(IF(WEEKDAY(B8114)=1,2,IF(WEEKDAY(B8114)=7,1,0))))))</f>
        <v>3</v>
      </c>
      <c r="H8114" s="370">
        <v>12658.549865722656</v>
      </c>
      <c r="I8114" s="370">
        <v>3635.5349273681641</v>
      </c>
      <c r="M8114" s="371">
        <f t="shared" si="505"/>
        <v>13170.269507914441</v>
      </c>
      <c r="N8114" s="329">
        <f t="shared" si="506"/>
        <v>0</v>
      </c>
      <c r="T8114" s="331">
        <v>0</v>
      </c>
      <c r="U8114" s="328">
        <f>VLOOKUP(C8114,METADATA!$J$5:$Q$29,IF(E8114="HI",2,IF(E8114="LO",6,10))+IF(T8114=1,2,IF(D8114=7,1,(IF(WEEKDAY(B8114)=1,2,IF(WEEKDAY(B8114)=7,1,0))))))</f>
        <v>3</v>
      </c>
      <c r="V8114" s="328">
        <f>VLOOKUP(C8114,METADATA!$A$5:$H$29,IF(E8114="HI",2,IF(E8114="LO",6,10))+IF(T8114=1,2,IF(D8114=7,1,(IF(WEEKDAY(B8114)=1,2,IF(WEEKDAY(B8114)=7,1,0))))))</f>
        <v>3</v>
      </c>
    </row>
    <row r="8115" spans="2:22">
      <c r="B8115" s="318">
        <f t="shared" si="507"/>
        <v>46450</v>
      </c>
      <c r="C8115" s="312">
        <v>23</v>
      </c>
      <c r="D8115" s="368">
        <f>IFERROR((INDEX(METADATA!$T$2:$T$20,MATCH(B8115,METADATA!$S$2:$S$20,0))),0)</f>
        <v>0</v>
      </c>
      <c r="E8115" s="312" t="str">
        <f t="shared" si="504"/>
        <v>LO</v>
      </c>
      <c r="F8115" s="369">
        <f>VLOOKUP(C8115,METADATA!$A$5:$H$29,IF(E8115="HI",2,IF(E8115="LO",6,10))+IF(D8115=1,2,IF(D8115=7,1,(IF(WEEKDAY(B8115)=1,2,IF(WEEKDAY(B8115)=7,1,0))))))</f>
        <v>3</v>
      </c>
      <c r="G8115" s="369">
        <f>VLOOKUP(C8115,METADATA!$J$5:$Q$29,IF(E8115="HI",2,IF(E8115="LO",6,10))+IF(D8115=1,2,IF(D8115=7,1,(IF(WEEKDAY(B8115)=1,2,IF(WEEKDAY(B8115)=7,1,0))))))</f>
        <v>3</v>
      </c>
      <c r="H8115" s="370">
        <v>12552.125</v>
      </c>
      <c r="I8115" s="370">
        <v>3634.4100036621094</v>
      </c>
      <c r="M8115" s="371">
        <f t="shared" si="505"/>
        <v>13067.699801049312</v>
      </c>
      <c r="N8115" s="329">
        <f t="shared" si="506"/>
        <v>0</v>
      </c>
      <c r="T8115" s="331">
        <v>0</v>
      </c>
      <c r="U8115" s="328">
        <f>VLOOKUP(C8115,METADATA!$J$5:$Q$29,IF(E8115="HI",2,IF(E8115="LO",6,10))+IF(T8115=1,2,IF(D8115=7,1,(IF(WEEKDAY(B8115)=1,2,IF(WEEKDAY(B8115)=7,1,0))))))</f>
        <v>3</v>
      </c>
      <c r="V8115" s="328">
        <f>VLOOKUP(C8115,METADATA!$A$5:$H$29,IF(E8115="HI",2,IF(E8115="LO",6,10))+IF(T8115=1,2,IF(D8115=7,1,(IF(WEEKDAY(B8115)=1,2,IF(WEEKDAY(B8115)=7,1,0))))))</f>
        <v>3</v>
      </c>
    </row>
    <row r="8116" spans="2:22">
      <c r="B8116" s="318">
        <f t="shared" si="507"/>
        <v>46451</v>
      </c>
      <c r="C8116" s="312">
        <v>0</v>
      </c>
      <c r="D8116" s="368">
        <f>IFERROR((INDEX(METADATA!$T$2:$T$20,MATCH(B8116,METADATA!$S$2:$S$20,0))),0)</f>
        <v>0</v>
      </c>
      <c r="E8116" s="312" t="str">
        <f t="shared" si="504"/>
        <v>LO</v>
      </c>
      <c r="F8116" s="369">
        <f>VLOOKUP(C8116,METADATA!$A$5:$H$29,IF(E8116="HI",2,IF(E8116="LO",6,10))+IF(D8116=1,2,IF(D8116=7,1,(IF(WEEKDAY(B8116)=1,2,IF(WEEKDAY(B8116)=7,1,0))))))</f>
        <v>3</v>
      </c>
      <c r="G8116" s="369">
        <f>VLOOKUP(C8116,METADATA!$J$5:$Q$29,IF(E8116="HI",2,IF(E8116="LO",6,10))+IF(D8116=1,2,IF(D8116=7,1,(IF(WEEKDAY(B8116)=1,2,IF(WEEKDAY(B8116)=7,1,0))))))</f>
        <v>3</v>
      </c>
      <c r="H8116" s="370">
        <v>10614.849731445313</v>
      </c>
      <c r="I8116" s="370">
        <v>3068.125053755939</v>
      </c>
      <c r="M8116" s="371">
        <f t="shared" si="505"/>
        <v>11049.363156609956</v>
      </c>
      <c r="N8116" s="329">
        <f t="shared" si="506"/>
        <v>0</v>
      </c>
      <c r="T8116" s="331">
        <v>0</v>
      </c>
      <c r="U8116" s="328">
        <f>VLOOKUP(C8116,METADATA!$J$5:$Q$29,IF(E8116="HI",2,IF(E8116="LO",6,10))+IF(T8116=1,2,IF(D8116=7,1,(IF(WEEKDAY(B8116)=1,2,IF(WEEKDAY(B8116)=7,1,0))))))</f>
        <v>3</v>
      </c>
      <c r="V8116" s="328">
        <f>VLOOKUP(C8116,METADATA!$A$5:$H$29,IF(E8116="HI",2,IF(E8116="LO",6,10))+IF(T8116=1,2,IF(D8116=7,1,(IF(WEEKDAY(B8116)=1,2,IF(WEEKDAY(B8116)=7,1,0))))))</f>
        <v>3</v>
      </c>
    </row>
    <row r="8117" spans="2:22">
      <c r="B8117" s="318">
        <f t="shared" si="507"/>
        <v>46451</v>
      </c>
      <c r="C8117" s="312">
        <v>1</v>
      </c>
      <c r="D8117" s="368">
        <f>IFERROR((INDEX(METADATA!$T$2:$T$20,MATCH(B8117,METADATA!$S$2:$S$20,0))),0)</f>
        <v>0</v>
      </c>
      <c r="E8117" s="312" t="str">
        <f t="shared" si="504"/>
        <v>LO</v>
      </c>
      <c r="F8117" s="369">
        <f>VLOOKUP(C8117,METADATA!$A$5:$H$29,IF(E8117="HI",2,IF(E8117="LO",6,10))+IF(D8117=1,2,IF(D8117=7,1,(IF(WEEKDAY(B8117)=1,2,IF(WEEKDAY(B8117)=7,1,0))))))</f>
        <v>3</v>
      </c>
      <c r="G8117" s="369">
        <f>VLOOKUP(C8117,METADATA!$J$5:$Q$29,IF(E8117="HI",2,IF(E8117="LO",6,10))+IF(D8117=1,2,IF(D8117=7,1,(IF(WEEKDAY(B8117)=1,2,IF(WEEKDAY(B8117)=7,1,0))))))</f>
        <v>3</v>
      </c>
      <c r="H8117" s="370">
        <v>10445.179809570313</v>
      </c>
      <c r="I8117" s="370">
        <v>2536.6500701904297</v>
      </c>
      <c r="M8117" s="371">
        <f t="shared" si="505"/>
        <v>10748.784807263211</v>
      </c>
      <c r="N8117" s="329">
        <f t="shared" si="506"/>
        <v>0</v>
      </c>
      <c r="T8117" s="331">
        <v>0</v>
      </c>
      <c r="U8117" s="328">
        <f>VLOOKUP(C8117,METADATA!$J$5:$Q$29,IF(E8117="HI",2,IF(E8117="LO",6,10))+IF(T8117=1,2,IF(D8117=7,1,(IF(WEEKDAY(B8117)=1,2,IF(WEEKDAY(B8117)=7,1,0))))))</f>
        <v>3</v>
      </c>
      <c r="V8117" s="328">
        <f>VLOOKUP(C8117,METADATA!$A$5:$H$29,IF(E8117="HI",2,IF(E8117="LO",6,10))+IF(T8117=1,2,IF(D8117=7,1,(IF(WEEKDAY(B8117)=1,2,IF(WEEKDAY(B8117)=7,1,0))))))</f>
        <v>3</v>
      </c>
    </row>
    <row r="8118" spans="2:22">
      <c r="B8118" s="318">
        <f t="shared" si="507"/>
        <v>46451</v>
      </c>
      <c r="C8118" s="312">
        <v>2</v>
      </c>
      <c r="D8118" s="368">
        <f>IFERROR((INDEX(METADATA!$T$2:$T$20,MATCH(B8118,METADATA!$S$2:$S$20,0))),0)</f>
        <v>0</v>
      </c>
      <c r="E8118" s="312" t="str">
        <f t="shared" si="504"/>
        <v>LO</v>
      </c>
      <c r="F8118" s="369">
        <f>VLOOKUP(C8118,METADATA!$A$5:$H$29,IF(E8118="HI",2,IF(E8118="LO",6,10))+IF(D8118=1,2,IF(D8118=7,1,(IF(WEEKDAY(B8118)=1,2,IF(WEEKDAY(B8118)=7,1,0))))))</f>
        <v>3</v>
      </c>
      <c r="G8118" s="369">
        <f>VLOOKUP(C8118,METADATA!$J$5:$Q$29,IF(E8118="HI",2,IF(E8118="LO",6,10))+IF(D8118=1,2,IF(D8118=7,1,(IF(WEEKDAY(B8118)=1,2,IF(WEEKDAY(B8118)=7,1,0))))))</f>
        <v>3</v>
      </c>
      <c r="H8118" s="370">
        <v>10884.800170898438</v>
      </c>
      <c r="I8118" s="370">
        <v>2612.1850280761719</v>
      </c>
      <c r="M8118" s="371">
        <f t="shared" si="505"/>
        <v>11193.854804369046</v>
      </c>
      <c r="N8118" s="329">
        <f t="shared" si="506"/>
        <v>0</v>
      </c>
      <c r="T8118" s="331">
        <v>0</v>
      </c>
      <c r="U8118" s="328">
        <f>VLOOKUP(C8118,METADATA!$J$5:$Q$29,IF(E8118="HI",2,IF(E8118="LO",6,10))+IF(T8118=1,2,IF(D8118=7,1,(IF(WEEKDAY(B8118)=1,2,IF(WEEKDAY(B8118)=7,1,0))))))</f>
        <v>3</v>
      </c>
      <c r="V8118" s="328">
        <f>VLOOKUP(C8118,METADATA!$A$5:$H$29,IF(E8118="HI",2,IF(E8118="LO",6,10))+IF(T8118=1,2,IF(D8118=7,1,(IF(WEEKDAY(B8118)=1,2,IF(WEEKDAY(B8118)=7,1,0))))))</f>
        <v>3</v>
      </c>
    </row>
    <row r="8119" spans="2:22">
      <c r="B8119" s="318">
        <f t="shared" si="507"/>
        <v>46451</v>
      </c>
      <c r="C8119" s="312">
        <v>3</v>
      </c>
      <c r="D8119" s="368">
        <f>IFERROR((INDEX(METADATA!$T$2:$T$20,MATCH(B8119,METADATA!$S$2:$S$20,0))),0)</f>
        <v>0</v>
      </c>
      <c r="E8119" s="312" t="str">
        <f t="shared" si="504"/>
        <v>LO</v>
      </c>
      <c r="F8119" s="369">
        <f>VLOOKUP(C8119,METADATA!$A$5:$H$29,IF(E8119="HI",2,IF(E8119="LO",6,10))+IF(D8119=1,2,IF(D8119=7,1,(IF(WEEKDAY(B8119)=1,2,IF(WEEKDAY(B8119)=7,1,0))))))</f>
        <v>3</v>
      </c>
      <c r="G8119" s="369">
        <f>VLOOKUP(C8119,METADATA!$J$5:$Q$29,IF(E8119="HI",2,IF(E8119="LO",6,10))+IF(D8119=1,2,IF(D8119=7,1,(IF(WEEKDAY(B8119)=1,2,IF(WEEKDAY(B8119)=7,1,0))))))</f>
        <v>3</v>
      </c>
      <c r="H8119" s="370">
        <v>12828.325012207031</v>
      </c>
      <c r="I8119" s="370">
        <v>3669.800048828125</v>
      </c>
      <c r="M8119" s="371">
        <f t="shared" si="505"/>
        <v>13342.914037690396</v>
      </c>
      <c r="N8119" s="329">
        <f t="shared" si="506"/>
        <v>0</v>
      </c>
      <c r="T8119" s="331">
        <v>0</v>
      </c>
      <c r="U8119" s="328">
        <f>VLOOKUP(C8119,METADATA!$J$5:$Q$29,IF(E8119="HI",2,IF(E8119="LO",6,10))+IF(T8119=1,2,IF(D8119=7,1,(IF(WEEKDAY(B8119)=1,2,IF(WEEKDAY(B8119)=7,1,0))))))</f>
        <v>3</v>
      </c>
      <c r="V8119" s="328">
        <f>VLOOKUP(C8119,METADATA!$A$5:$H$29,IF(E8119="HI",2,IF(E8119="LO",6,10))+IF(T8119=1,2,IF(D8119=7,1,(IF(WEEKDAY(B8119)=1,2,IF(WEEKDAY(B8119)=7,1,0))))))</f>
        <v>3</v>
      </c>
    </row>
    <row r="8120" spans="2:22">
      <c r="B8120" s="318">
        <f t="shared" si="507"/>
        <v>46451</v>
      </c>
      <c r="C8120" s="312">
        <v>4</v>
      </c>
      <c r="D8120" s="368">
        <f>IFERROR((INDEX(METADATA!$T$2:$T$20,MATCH(B8120,METADATA!$S$2:$S$20,0))),0)</f>
        <v>0</v>
      </c>
      <c r="E8120" s="312" t="str">
        <f t="shared" si="504"/>
        <v>LO</v>
      </c>
      <c r="F8120" s="369">
        <f>VLOOKUP(C8120,METADATA!$A$5:$H$29,IF(E8120="HI",2,IF(E8120="LO",6,10))+IF(D8120=1,2,IF(D8120=7,1,(IF(WEEKDAY(B8120)=1,2,IF(WEEKDAY(B8120)=7,1,0))))))</f>
        <v>3</v>
      </c>
      <c r="G8120" s="369">
        <f>VLOOKUP(C8120,METADATA!$J$5:$Q$29,IF(E8120="HI",2,IF(E8120="LO",6,10))+IF(D8120=1,2,IF(D8120=7,1,(IF(WEEKDAY(B8120)=1,2,IF(WEEKDAY(B8120)=7,1,0))))))</f>
        <v>3</v>
      </c>
      <c r="H8120" s="370">
        <v>12714.599914550781</v>
      </c>
      <c r="I8120" s="370">
        <v>3533.6900024414063</v>
      </c>
      <c r="M8120" s="371">
        <f t="shared" si="505"/>
        <v>13196.515298382716</v>
      </c>
      <c r="N8120" s="329">
        <f t="shared" si="506"/>
        <v>0</v>
      </c>
      <c r="T8120" s="331">
        <v>0</v>
      </c>
      <c r="U8120" s="328">
        <f>VLOOKUP(C8120,METADATA!$J$5:$Q$29,IF(E8120="HI",2,IF(E8120="LO",6,10))+IF(T8120=1,2,IF(D8120=7,1,(IF(WEEKDAY(B8120)=1,2,IF(WEEKDAY(B8120)=7,1,0))))))</f>
        <v>3</v>
      </c>
      <c r="V8120" s="328">
        <f>VLOOKUP(C8120,METADATA!$A$5:$H$29,IF(E8120="HI",2,IF(E8120="LO",6,10))+IF(T8120=1,2,IF(D8120=7,1,(IF(WEEKDAY(B8120)=1,2,IF(WEEKDAY(B8120)=7,1,0))))))</f>
        <v>3</v>
      </c>
    </row>
    <row r="8121" spans="2:22">
      <c r="B8121" s="318">
        <f t="shared" si="507"/>
        <v>46451</v>
      </c>
      <c r="C8121" s="312">
        <v>5</v>
      </c>
      <c r="D8121" s="368">
        <f>IFERROR((INDEX(METADATA!$T$2:$T$20,MATCH(B8121,METADATA!$S$2:$S$20,0))),0)</f>
        <v>0</v>
      </c>
      <c r="E8121" s="312" t="str">
        <f t="shared" si="504"/>
        <v>LO</v>
      </c>
      <c r="F8121" s="369">
        <f>VLOOKUP(C8121,METADATA!$A$5:$H$29,IF(E8121="HI",2,IF(E8121="LO",6,10))+IF(D8121=1,2,IF(D8121=7,1,(IF(WEEKDAY(B8121)=1,2,IF(WEEKDAY(B8121)=7,1,0))))))</f>
        <v>3</v>
      </c>
      <c r="G8121" s="369">
        <f>VLOOKUP(C8121,METADATA!$J$5:$Q$29,IF(E8121="HI",2,IF(E8121="LO",6,10))+IF(D8121=1,2,IF(D8121=7,1,(IF(WEEKDAY(B8121)=1,2,IF(WEEKDAY(B8121)=7,1,0))))))</f>
        <v>3</v>
      </c>
      <c r="H8121" s="370">
        <v>12690.825073242188</v>
      </c>
      <c r="I8121" s="370">
        <v>3428.1900024414063</v>
      </c>
      <c r="M8121" s="371">
        <f t="shared" si="505"/>
        <v>13145.703774711788</v>
      </c>
      <c r="N8121" s="329">
        <f t="shared" si="506"/>
        <v>0</v>
      </c>
      <c r="T8121" s="331">
        <v>0</v>
      </c>
      <c r="U8121" s="328">
        <f>VLOOKUP(C8121,METADATA!$J$5:$Q$29,IF(E8121="HI",2,IF(E8121="LO",6,10))+IF(T8121=1,2,IF(D8121=7,1,(IF(WEEKDAY(B8121)=1,2,IF(WEEKDAY(B8121)=7,1,0))))))</f>
        <v>3</v>
      </c>
      <c r="V8121" s="328">
        <f>VLOOKUP(C8121,METADATA!$A$5:$H$29,IF(E8121="HI",2,IF(E8121="LO",6,10))+IF(T8121=1,2,IF(D8121=7,1,(IF(WEEKDAY(B8121)=1,2,IF(WEEKDAY(B8121)=7,1,0))))))</f>
        <v>3</v>
      </c>
    </row>
    <row r="8122" spans="2:22">
      <c r="B8122" s="318">
        <f t="shared" si="507"/>
        <v>46451</v>
      </c>
      <c r="C8122" s="312">
        <v>6</v>
      </c>
      <c r="D8122" s="368">
        <f>IFERROR((INDEX(METADATA!$T$2:$T$20,MATCH(B8122,METADATA!$S$2:$S$20,0))),0)</f>
        <v>0</v>
      </c>
      <c r="E8122" s="312" t="str">
        <f t="shared" si="504"/>
        <v>LO</v>
      </c>
      <c r="F8122" s="369">
        <f>VLOOKUP(C8122,METADATA!$A$5:$H$29,IF(E8122="HI",2,IF(E8122="LO",6,10))+IF(D8122=1,2,IF(D8122=7,1,(IF(WEEKDAY(B8122)=1,2,IF(WEEKDAY(B8122)=7,1,0))))))</f>
        <v>2</v>
      </c>
      <c r="G8122" s="369">
        <f>VLOOKUP(C8122,METADATA!$J$5:$Q$29,IF(E8122="HI",2,IF(E8122="LO",6,10))+IF(D8122=1,2,IF(D8122=7,1,(IF(WEEKDAY(B8122)=1,2,IF(WEEKDAY(B8122)=7,1,0))))))</f>
        <v>2</v>
      </c>
      <c r="H8122" s="370">
        <v>12584.299682617188</v>
      </c>
      <c r="I8122" s="370">
        <v>3486.3650360107422</v>
      </c>
      <c r="M8122" s="371">
        <f t="shared" si="505"/>
        <v>13058.30539029614</v>
      </c>
      <c r="N8122" s="329">
        <f t="shared" si="506"/>
        <v>0</v>
      </c>
      <c r="T8122" s="331">
        <v>0</v>
      </c>
      <c r="U8122" s="328">
        <f>VLOOKUP(C8122,METADATA!$J$5:$Q$29,IF(E8122="HI",2,IF(E8122="LO",6,10))+IF(T8122=1,2,IF(D8122=7,1,(IF(WEEKDAY(B8122)=1,2,IF(WEEKDAY(B8122)=7,1,0))))))</f>
        <v>2</v>
      </c>
      <c r="V8122" s="328">
        <f>VLOOKUP(C8122,METADATA!$A$5:$H$29,IF(E8122="HI",2,IF(E8122="LO",6,10))+IF(T8122=1,2,IF(D8122=7,1,(IF(WEEKDAY(B8122)=1,2,IF(WEEKDAY(B8122)=7,1,0))))))</f>
        <v>2</v>
      </c>
    </row>
    <row r="8123" spans="2:22">
      <c r="B8123" s="318">
        <f t="shared" si="507"/>
        <v>46451</v>
      </c>
      <c r="C8123" s="312">
        <v>7</v>
      </c>
      <c r="D8123" s="368">
        <f>IFERROR((INDEX(METADATA!$T$2:$T$20,MATCH(B8123,METADATA!$S$2:$S$20,0))),0)</f>
        <v>0</v>
      </c>
      <c r="E8123" s="312" t="str">
        <f t="shared" si="504"/>
        <v>LO</v>
      </c>
      <c r="F8123" s="369">
        <f>VLOOKUP(C8123,METADATA!$A$5:$H$29,IF(E8123="HI",2,IF(E8123="LO",6,10))+IF(D8123=1,2,IF(D8123=7,1,(IF(WEEKDAY(B8123)=1,2,IF(WEEKDAY(B8123)=7,1,0))))))</f>
        <v>1</v>
      </c>
      <c r="G8123" s="369">
        <f>VLOOKUP(C8123,METADATA!$J$5:$Q$29,IF(E8123="HI",2,IF(E8123="LO",6,10))+IF(D8123=1,2,IF(D8123=7,1,(IF(WEEKDAY(B8123)=1,2,IF(WEEKDAY(B8123)=7,1,0))))))</f>
        <v>1</v>
      </c>
      <c r="H8123" s="370">
        <v>12674.725158691406</v>
      </c>
      <c r="I8123" s="370">
        <v>3576.0950012207031</v>
      </c>
      <c r="M8123" s="371">
        <f t="shared" si="505"/>
        <v>13169.552509714238</v>
      </c>
      <c r="N8123" s="329">
        <f t="shared" si="506"/>
        <v>0</v>
      </c>
      <c r="T8123" s="331">
        <v>0</v>
      </c>
      <c r="U8123" s="328">
        <f>VLOOKUP(C8123,METADATA!$J$5:$Q$29,IF(E8123="HI",2,IF(E8123="LO",6,10))+IF(T8123=1,2,IF(D8123=7,1,(IF(WEEKDAY(B8123)=1,2,IF(WEEKDAY(B8123)=7,1,0))))))</f>
        <v>1</v>
      </c>
      <c r="V8123" s="328">
        <f>VLOOKUP(C8123,METADATA!$A$5:$H$29,IF(E8123="HI",2,IF(E8123="LO",6,10))+IF(T8123=1,2,IF(D8123=7,1,(IF(WEEKDAY(B8123)=1,2,IF(WEEKDAY(B8123)=7,1,0))))))</f>
        <v>1</v>
      </c>
    </row>
    <row r="8124" spans="2:22">
      <c r="B8124" s="318">
        <f t="shared" si="507"/>
        <v>46451</v>
      </c>
      <c r="C8124" s="312">
        <v>8</v>
      </c>
      <c r="D8124" s="368">
        <f>IFERROR((INDEX(METADATA!$T$2:$T$20,MATCH(B8124,METADATA!$S$2:$S$20,0))),0)</f>
        <v>0</v>
      </c>
      <c r="E8124" s="312" t="str">
        <f t="shared" si="504"/>
        <v>LO</v>
      </c>
      <c r="F8124" s="369">
        <f>VLOOKUP(C8124,METADATA!$A$5:$H$29,IF(E8124="HI",2,IF(E8124="LO",6,10))+IF(D8124=1,2,IF(D8124=7,1,(IF(WEEKDAY(B8124)=1,2,IF(WEEKDAY(B8124)=7,1,0))))))</f>
        <v>1</v>
      </c>
      <c r="G8124" s="369">
        <f>VLOOKUP(C8124,METADATA!$J$5:$Q$29,IF(E8124="HI",2,IF(E8124="LO",6,10))+IF(D8124=1,2,IF(D8124=7,1,(IF(WEEKDAY(B8124)=1,2,IF(WEEKDAY(B8124)=7,1,0))))))</f>
        <v>1</v>
      </c>
      <c r="H8124" s="370">
        <v>12219.549743652344</v>
      </c>
      <c r="I8124" s="370">
        <v>3278.9450836181641</v>
      </c>
      <c r="M8124" s="371">
        <f t="shared" si="505"/>
        <v>12651.83294226484</v>
      </c>
      <c r="N8124" s="329">
        <f t="shared" si="506"/>
        <v>0</v>
      </c>
      <c r="T8124" s="331">
        <v>0</v>
      </c>
      <c r="U8124" s="328">
        <f>VLOOKUP(C8124,METADATA!$J$5:$Q$29,IF(E8124="HI",2,IF(E8124="LO",6,10))+IF(T8124=1,2,IF(D8124=7,1,(IF(WEEKDAY(B8124)=1,2,IF(WEEKDAY(B8124)=7,1,0))))))</f>
        <v>1</v>
      </c>
      <c r="V8124" s="328">
        <f>VLOOKUP(C8124,METADATA!$A$5:$H$29,IF(E8124="HI",2,IF(E8124="LO",6,10))+IF(T8124=1,2,IF(D8124=7,1,(IF(WEEKDAY(B8124)=1,2,IF(WEEKDAY(B8124)=7,1,0))))))</f>
        <v>1</v>
      </c>
    </row>
    <row r="8125" spans="2:22">
      <c r="B8125" s="318">
        <f t="shared" si="507"/>
        <v>46451</v>
      </c>
      <c r="C8125" s="312">
        <v>9</v>
      </c>
      <c r="D8125" s="368">
        <f>IFERROR((INDEX(METADATA!$T$2:$T$20,MATCH(B8125,METADATA!$S$2:$S$20,0))),0)</f>
        <v>0</v>
      </c>
      <c r="E8125" s="312" t="str">
        <f t="shared" si="504"/>
        <v>LO</v>
      </c>
      <c r="F8125" s="369">
        <f>VLOOKUP(C8125,METADATA!$A$5:$H$29,IF(E8125="HI",2,IF(E8125="LO",6,10))+IF(D8125=1,2,IF(D8125=7,1,(IF(WEEKDAY(B8125)=1,2,IF(WEEKDAY(B8125)=7,1,0))))))</f>
        <v>2</v>
      </c>
      <c r="G8125" s="369">
        <f>VLOOKUP(C8125,METADATA!$J$5:$Q$29,IF(E8125="HI",2,IF(E8125="LO",6,10))+IF(D8125=1,2,IF(D8125=7,1,(IF(WEEKDAY(B8125)=1,2,IF(WEEKDAY(B8125)=7,1,0))))))</f>
        <v>2</v>
      </c>
      <c r="H8125" s="370">
        <v>10784.350341796875</v>
      </c>
      <c r="I8125" s="370">
        <v>2446.0625</v>
      </c>
      <c r="M8125" s="371">
        <f t="shared" si="505"/>
        <v>11058.274460715858</v>
      </c>
      <c r="N8125" s="329">
        <f t="shared" si="506"/>
        <v>0</v>
      </c>
      <c r="T8125" s="331">
        <v>0</v>
      </c>
      <c r="U8125" s="328">
        <f>VLOOKUP(C8125,METADATA!$J$5:$Q$29,IF(E8125="HI",2,IF(E8125="LO",6,10))+IF(T8125=1,2,IF(D8125=7,1,(IF(WEEKDAY(B8125)=1,2,IF(WEEKDAY(B8125)=7,1,0))))))</f>
        <v>2</v>
      </c>
      <c r="V8125" s="328">
        <f>VLOOKUP(C8125,METADATA!$A$5:$H$29,IF(E8125="HI",2,IF(E8125="LO",6,10))+IF(T8125=1,2,IF(D8125=7,1,(IF(WEEKDAY(B8125)=1,2,IF(WEEKDAY(B8125)=7,1,0))))))</f>
        <v>2</v>
      </c>
    </row>
    <row r="8126" spans="2:22">
      <c r="B8126" s="318">
        <f t="shared" si="507"/>
        <v>46451</v>
      </c>
      <c r="C8126" s="312">
        <v>10</v>
      </c>
      <c r="D8126" s="368">
        <f>IFERROR((INDEX(METADATA!$T$2:$T$20,MATCH(B8126,METADATA!$S$2:$S$20,0))),0)</f>
        <v>0</v>
      </c>
      <c r="E8126" s="312" t="str">
        <f t="shared" si="504"/>
        <v>LO</v>
      </c>
      <c r="F8126" s="369">
        <f>VLOOKUP(C8126,METADATA!$A$5:$H$29,IF(E8126="HI",2,IF(E8126="LO",6,10))+IF(D8126=1,2,IF(D8126=7,1,(IF(WEEKDAY(B8126)=1,2,IF(WEEKDAY(B8126)=7,1,0))))))</f>
        <v>2</v>
      </c>
      <c r="G8126" s="369">
        <f>VLOOKUP(C8126,METADATA!$J$5:$Q$29,IF(E8126="HI",2,IF(E8126="LO",6,10))+IF(D8126=1,2,IF(D8126=7,1,(IF(WEEKDAY(B8126)=1,2,IF(WEEKDAY(B8126)=7,1,0))))))</f>
        <v>2</v>
      </c>
      <c r="H8126" s="370">
        <v>11965.674987792969</v>
      </c>
      <c r="I8126" s="370">
        <v>3092.3400115966797</v>
      </c>
      <c r="M8126" s="371">
        <f t="shared" si="505"/>
        <v>12358.800292132566</v>
      </c>
      <c r="N8126" s="329">
        <f t="shared" si="506"/>
        <v>0</v>
      </c>
      <c r="T8126" s="331">
        <v>0</v>
      </c>
      <c r="U8126" s="328">
        <f>VLOOKUP(C8126,METADATA!$J$5:$Q$29,IF(E8126="HI",2,IF(E8126="LO",6,10))+IF(T8126=1,2,IF(D8126=7,1,(IF(WEEKDAY(B8126)=1,2,IF(WEEKDAY(B8126)=7,1,0))))))</f>
        <v>2</v>
      </c>
      <c r="V8126" s="328">
        <f>VLOOKUP(C8126,METADATA!$A$5:$H$29,IF(E8126="HI",2,IF(E8126="LO",6,10))+IF(T8126=1,2,IF(D8126=7,1,(IF(WEEKDAY(B8126)=1,2,IF(WEEKDAY(B8126)=7,1,0))))))</f>
        <v>2</v>
      </c>
    </row>
    <row r="8127" spans="2:22">
      <c r="B8127" s="318">
        <f t="shared" si="507"/>
        <v>46451</v>
      </c>
      <c r="C8127" s="312">
        <v>11</v>
      </c>
      <c r="D8127" s="368">
        <f>IFERROR((INDEX(METADATA!$T$2:$T$20,MATCH(B8127,METADATA!$S$2:$S$20,0))),0)</f>
        <v>0</v>
      </c>
      <c r="E8127" s="312" t="str">
        <f t="shared" si="504"/>
        <v>LO</v>
      </c>
      <c r="F8127" s="369">
        <f>VLOOKUP(C8127,METADATA!$A$5:$H$29,IF(E8127="HI",2,IF(E8127="LO",6,10))+IF(D8127=1,2,IF(D8127=7,1,(IF(WEEKDAY(B8127)=1,2,IF(WEEKDAY(B8127)=7,1,0))))))</f>
        <v>2</v>
      </c>
      <c r="G8127" s="369">
        <f>VLOOKUP(C8127,METADATA!$J$5:$Q$29,IF(E8127="HI",2,IF(E8127="LO",6,10))+IF(D8127=1,2,IF(D8127=7,1,(IF(WEEKDAY(B8127)=1,2,IF(WEEKDAY(B8127)=7,1,0))))))</f>
        <v>2</v>
      </c>
      <c r="H8127" s="370">
        <v>12584.025268554688</v>
      </c>
      <c r="I8127" s="370">
        <v>3399.5700531005859</v>
      </c>
      <c r="M8127" s="371">
        <f t="shared" si="505"/>
        <v>13035.135922020958</v>
      </c>
      <c r="N8127" s="329">
        <f t="shared" si="506"/>
        <v>0</v>
      </c>
      <c r="T8127" s="331">
        <v>0</v>
      </c>
      <c r="U8127" s="328">
        <f>VLOOKUP(C8127,METADATA!$J$5:$Q$29,IF(E8127="HI",2,IF(E8127="LO",6,10))+IF(T8127=1,2,IF(D8127=7,1,(IF(WEEKDAY(B8127)=1,2,IF(WEEKDAY(B8127)=7,1,0))))))</f>
        <v>2</v>
      </c>
      <c r="V8127" s="328">
        <f>VLOOKUP(C8127,METADATA!$A$5:$H$29,IF(E8127="HI",2,IF(E8127="LO",6,10))+IF(T8127=1,2,IF(D8127=7,1,(IF(WEEKDAY(B8127)=1,2,IF(WEEKDAY(B8127)=7,1,0))))))</f>
        <v>2</v>
      </c>
    </row>
    <row r="8128" spans="2:22">
      <c r="B8128" s="318">
        <f t="shared" si="507"/>
        <v>46451</v>
      </c>
      <c r="C8128" s="312">
        <v>12</v>
      </c>
      <c r="D8128" s="368">
        <f>IFERROR((INDEX(METADATA!$T$2:$T$20,MATCH(B8128,METADATA!$S$2:$S$20,0))),0)</f>
        <v>0</v>
      </c>
      <c r="E8128" s="312" t="str">
        <f t="shared" si="504"/>
        <v>LO</v>
      </c>
      <c r="F8128" s="369">
        <f>VLOOKUP(C8128,METADATA!$A$5:$H$29,IF(E8128="HI",2,IF(E8128="LO",6,10))+IF(D8128=1,2,IF(D8128=7,1,(IF(WEEKDAY(B8128)=1,2,IF(WEEKDAY(B8128)=7,1,0))))))</f>
        <v>2</v>
      </c>
      <c r="G8128" s="369">
        <f>VLOOKUP(C8128,METADATA!$J$5:$Q$29,IF(E8128="HI",2,IF(E8128="LO",6,10))+IF(D8128=1,2,IF(D8128=7,1,(IF(WEEKDAY(B8128)=1,2,IF(WEEKDAY(B8128)=7,1,0))))))</f>
        <v>2</v>
      </c>
      <c r="H8128" s="370">
        <v>12345.450012207031</v>
      </c>
      <c r="I8128" s="370">
        <v>3471.3599243164063</v>
      </c>
      <c r="M8128" s="371">
        <f t="shared" si="505"/>
        <v>12824.214429276071</v>
      </c>
      <c r="N8128" s="329">
        <f t="shared" si="506"/>
        <v>0</v>
      </c>
      <c r="T8128" s="331">
        <v>0</v>
      </c>
      <c r="U8128" s="328">
        <f>VLOOKUP(C8128,METADATA!$J$5:$Q$29,IF(E8128="HI",2,IF(E8128="LO",6,10))+IF(T8128=1,2,IF(D8128=7,1,(IF(WEEKDAY(B8128)=1,2,IF(WEEKDAY(B8128)=7,1,0))))))</f>
        <v>2</v>
      </c>
      <c r="V8128" s="328">
        <f>VLOOKUP(C8128,METADATA!$A$5:$H$29,IF(E8128="HI",2,IF(E8128="LO",6,10))+IF(T8128=1,2,IF(D8128=7,1,(IF(WEEKDAY(B8128)=1,2,IF(WEEKDAY(B8128)=7,1,0))))))</f>
        <v>2</v>
      </c>
    </row>
    <row r="8129" spans="2:22">
      <c r="B8129" s="318">
        <f t="shared" si="507"/>
        <v>46451</v>
      </c>
      <c r="C8129" s="312">
        <v>13</v>
      </c>
      <c r="D8129" s="368">
        <f>IFERROR((INDEX(METADATA!$T$2:$T$20,MATCH(B8129,METADATA!$S$2:$S$20,0))),0)</f>
        <v>0</v>
      </c>
      <c r="E8129" s="312" t="str">
        <f t="shared" si="504"/>
        <v>LO</v>
      </c>
      <c r="F8129" s="369">
        <f>VLOOKUP(C8129,METADATA!$A$5:$H$29,IF(E8129="HI",2,IF(E8129="LO",6,10))+IF(D8129=1,2,IF(D8129=7,1,(IF(WEEKDAY(B8129)=1,2,IF(WEEKDAY(B8129)=7,1,0))))))</f>
        <v>2</v>
      </c>
      <c r="G8129" s="369">
        <f>VLOOKUP(C8129,METADATA!$J$5:$Q$29,IF(E8129="HI",2,IF(E8129="LO",6,10))+IF(D8129=1,2,IF(D8129=7,1,(IF(WEEKDAY(B8129)=1,2,IF(WEEKDAY(B8129)=7,1,0))))))</f>
        <v>2</v>
      </c>
      <c r="H8129" s="370">
        <v>7732.7999267578125</v>
      </c>
      <c r="I8129" s="370">
        <v>2631.7499389648438</v>
      </c>
      <c r="M8129" s="371">
        <f t="shared" si="505"/>
        <v>8168.3720806845649</v>
      </c>
      <c r="N8129" s="329">
        <f t="shared" si="506"/>
        <v>311.90996093750027</v>
      </c>
      <c r="T8129" s="331">
        <v>0</v>
      </c>
      <c r="U8129" s="328">
        <f>VLOOKUP(C8129,METADATA!$J$5:$Q$29,IF(E8129="HI",2,IF(E8129="LO",6,10))+IF(T8129=1,2,IF(D8129=7,1,(IF(WEEKDAY(B8129)=1,2,IF(WEEKDAY(B8129)=7,1,0))))))</f>
        <v>2</v>
      </c>
      <c r="V8129" s="328">
        <f>VLOOKUP(C8129,METADATA!$A$5:$H$29,IF(E8129="HI",2,IF(E8129="LO",6,10))+IF(T8129=1,2,IF(D8129=7,1,(IF(WEEKDAY(B8129)=1,2,IF(WEEKDAY(B8129)=7,1,0))))))</f>
        <v>2</v>
      </c>
    </row>
    <row r="8130" spans="2:22">
      <c r="B8130" s="318">
        <f t="shared" si="507"/>
        <v>46451</v>
      </c>
      <c r="C8130" s="312">
        <v>14</v>
      </c>
      <c r="D8130" s="368">
        <f>IFERROR((INDEX(METADATA!$T$2:$T$20,MATCH(B8130,METADATA!$S$2:$S$20,0))),0)</f>
        <v>0</v>
      </c>
      <c r="E8130" s="312" t="str">
        <f t="shared" si="504"/>
        <v>LO</v>
      </c>
      <c r="F8130" s="369">
        <f>VLOOKUP(C8130,METADATA!$A$5:$H$29,IF(E8130="HI",2,IF(E8130="LO",6,10))+IF(D8130=1,2,IF(D8130=7,1,(IF(WEEKDAY(B8130)=1,2,IF(WEEKDAY(B8130)=7,1,0))))))</f>
        <v>2</v>
      </c>
      <c r="G8130" s="369">
        <f>VLOOKUP(C8130,METADATA!$J$5:$Q$29,IF(E8130="HI",2,IF(E8130="LO",6,10))+IF(D8130=1,2,IF(D8130=7,1,(IF(WEEKDAY(B8130)=1,2,IF(WEEKDAY(B8130)=7,1,0))))))</f>
        <v>2</v>
      </c>
      <c r="H8130" s="370">
        <v>6194.0625610351563</v>
      </c>
      <c r="I8130" s="370">
        <v>1867.7900085449219</v>
      </c>
      <c r="M8130" s="371">
        <f t="shared" si="505"/>
        <v>6469.5479383058619</v>
      </c>
      <c r="N8130" s="329">
        <f t="shared" si="506"/>
        <v>9.5712402343751819</v>
      </c>
      <c r="T8130" s="331">
        <v>0</v>
      </c>
      <c r="U8130" s="328">
        <f>VLOOKUP(C8130,METADATA!$J$5:$Q$29,IF(E8130="HI",2,IF(E8130="LO",6,10))+IF(T8130=1,2,IF(D8130=7,1,(IF(WEEKDAY(B8130)=1,2,IF(WEEKDAY(B8130)=7,1,0))))))</f>
        <v>2</v>
      </c>
      <c r="V8130" s="328">
        <f>VLOOKUP(C8130,METADATA!$A$5:$H$29,IF(E8130="HI",2,IF(E8130="LO",6,10))+IF(T8130=1,2,IF(D8130=7,1,(IF(WEEKDAY(B8130)=1,2,IF(WEEKDAY(B8130)=7,1,0))))))</f>
        <v>2</v>
      </c>
    </row>
    <row r="8131" spans="2:22">
      <c r="B8131" s="318">
        <f t="shared" si="507"/>
        <v>46451</v>
      </c>
      <c r="C8131" s="312">
        <v>15</v>
      </c>
      <c r="D8131" s="368">
        <f>IFERROR((INDEX(METADATA!$T$2:$T$20,MATCH(B8131,METADATA!$S$2:$S$20,0))),0)</f>
        <v>0</v>
      </c>
      <c r="E8131" s="312" t="str">
        <f t="shared" si="504"/>
        <v>LO</v>
      </c>
      <c r="F8131" s="369">
        <f>VLOOKUP(C8131,METADATA!$A$5:$H$29,IF(E8131="HI",2,IF(E8131="LO",6,10))+IF(D8131=1,2,IF(D8131=7,1,(IF(WEEKDAY(B8131)=1,2,IF(WEEKDAY(B8131)=7,1,0))))))</f>
        <v>2</v>
      </c>
      <c r="G8131" s="369">
        <f>VLOOKUP(C8131,METADATA!$J$5:$Q$29,IF(E8131="HI",2,IF(E8131="LO",6,10))+IF(D8131=1,2,IF(D8131=7,1,(IF(WEEKDAY(B8131)=1,2,IF(WEEKDAY(B8131)=7,1,0))))))</f>
        <v>2</v>
      </c>
      <c r="H8131" s="370">
        <v>5432.7349548339844</v>
      </c>
      <c r="I8131" s="370">
        <v>1489.824951171875</v>
      </c>
      <c r="M8131" s="371">
        <f t="shared" si="505"/>
        <v>5633.3105253136273</v>
      </c>
      <c r="N8131" s="329">
        <f t="shared" si="506"/>
        <v>0</v>
      </c>
      <c r="T8131" s="331">
        <v>0</v>
      </c>
      <c r="U8131" s="328">
        <f>VLOOKUP(C8131,METADATA!$J$5:$Q$29,IF(E8131="HI",2,IF(E8131="LO",6,10))+IF(T8131=1,2,IF(D8131=7,1,(IF(WEEKDAY(B8131)=1,2,IF(WEEKDAY(B8131)=7,1,0))))))</f>
        <v>2</v>
      </c>
      <c r="V8131" s="328">
        <f>VLOOKUP(C8131,METADATA!$A$5:$H$29,IF(E8131="HI",2,IF(E8131="LO",6,10))+IF(T8131=1,2,IF(D8131=7,1,(IF(WEEKDAY(B8131)=1,2,IF(WEEKDAY(B8131)=7,1,0))))))</f>
        <v>2</v>
      </c>
    </row>
    <row r="8132" spans="2:22">
      <c r="B8132" s="318">
        <f t="shared" si="507"/>
        <v>46451</v>
      </c>
      <c r="C8132" s="312">
        <v>16</v>
      </c>
      <c r="D8132" s="368">
        <f>IFERROR((INDEX(METADATA!$T$2:$T$20,MATCH(B8132,METADATA!$S$2:$S$20,0))),0)</f>
        <v>0</v>
      </c>
      <c r="E8132" s="312" t="str">
        <f t="shared" ref="E8132:E8195" si="508">IF(B8132="","",IF(AND(MONTH(B8132)&gt;=MONTH($Z$9),MONTH(B8132)&lt;=MONTH($Z$11)),"HI","LO"))</f>
        <v>LO</v>
      </c>
      <c r="F8132" s="369">
        <f>VLOOKUP(C8132,METADATA!$A$5:$H$29,IF(E8132="HI",2,IF(E8132="LO",6,10))+IF(D8132=1,2,IF(D8132=7,1,(IF(WEEKDAY(B8132)=1,2,IF(WEEKDAY(B8132)=7,1,0))))))</f>
        <v>2</v>
      </c>
      <c r="G8132" s="369">
        <f>VLOOKUP(C8132,METADATA!$J$5:$Q$29,IF(E8132="HI",2,IF(E8132="LO",6,10))+IF(D8132=1,2,IF(D8132=7,1,(IF(WEEKDAY(B8132)=1,2,IF(WEEKDAY(B8132)=7,1,0))))))</f>
        <v>2</v>
      </c>
      <c r="H8132" s="370">
        <v>7779.6799926757813</v>
      </c>
      <c r="I8132" s="370">
        <v>1589.2749714851379</v>
      </c>
      <c r="M8132" s="371">
        <f t="shared" ref="M8132:M8195" si="509">SQRT(H8132^2+I8132^2)</f>
        <v>7940.3536271018138</v>
      </c>
      <c r="N8132" s="329">
        <f t="shared" ref="N8132:N8195" si="510">IF(H8132=0,0,(IF(I8132-(0.3*H8132)&lt;0,0,(I8132-(0.3*H8132)))))</f>
        <v>0</v>
      </c>
      <c r="T8132" s="331">
        <v>0</v>
      </c>
      <c r="U8132" s="328">
        <f>VLOOKUP(C8132,METADATA!$J$5:$Q$29,IF(E8132="HI",2,IF(E8132="LO",6,10))+IF(T8132=1,2,IF(D8132=7,1,(IF(WEEKDAY(B8132)=1,2,IF(WEEKDAY(B8132)=7,1,0))))))</f>
        <v>2</v>
      </c>
      <c r="V8132" s="328">
        <f>VLOOKUP(C8132,METADATA!$A$5:$H$29,IF(E8132="HI",2,IF(E8132="LO",6,10))+IF(T8132=1,2,IF(D8132=7,1,(IF(WEEKDAY(B8132)=1,2,IF(WEEKDAY(B8132)=7,1,0))))))</f>
        <v>2</v>
      </c>
    </row>
    <row r="8133" spans="2:22">
      <c r="B8133" s="318">
        <f t="shared" si="507"/>
        <v>46451</v>
      </c>
      <c r="C8133" s="312">
        <v>17</v>
      </c>
      <c r="D8133" s="368">
        <f>IFERROR((INDEX(METADATA!$T$2:$T$20,MATCH(B8133,METADATA!$S$2:$S$20,0))),0)</f>
        <v>0</v>
      </c>
      <c r="E8133" s="312" t="str">
        <f t="shared" si="508"/>
        <v>LO</v>
      </c>
      <c r="F8133" s="369">
        <f>VLOOKUP(C8133,METADATA!$A$5:$H$29,IF(E8133="HI",2,IF(E8133="LO",6,10))+IF(D8133=1,2,IF(D8133=7,1,(IF(WEEKDAY(B8133)=1,2,IF(WEEKDAY(B8133)=7,1,0))))))</f>
        <v>2</v>
      </c>
      <c r="G8133" s="369">
        <f>VLOOKUP(C8133,METADATA!$J$5:$Q$29,IF(E8133="HI",2,IF(E8133="LO",6,10))+IF(D8133=1,2,IF(D8133=7,1,(IF(WEEKDAY(B8133)=1,2,IF(WEEKDAY(B8133)=7,1,0))))))</f>
        <v>2</v>
      </c>
      <c r="H8133" s="370">
        <v>10742.4599609375</v>
      </c>
      <c r="I8133" s="370">
        <v>2566.2749786376953</v>
      </c>
      <c r="M8133" s="371">
        <f t="shared" si="509"/>
        <v>11044.736903988578</v>
      </c>
      <c r="N8133" s="329">
        <f t="shared" si="510"/>
        <v>0</v>
      </c>
      <c r="T8133" s="331">
        <v>0</v>
      </c>
      <c r="U8133" s="328">
        <f>VLOOKUP(C8133,METADATA!$J$5:$Q$29,IF(E8133="HI",2,IF(E8133="LO",6,10))+IF(T8133=1,2,IF(D8133=7,1,(IF(WEEKDAY(B8133)=1,2,IF(WEEKDAY(B8133)=7,1,0))))))</f>
        <v>2</v>
      </c>
      <c r="V8133" s="328">
        <f>VLOOKUP(C8133,METADATA!$A$5:$H$29,IF(E8133="HI",2,IF(E8133="LO",6,10))+IF(T8133=1,2,IF(D8133=7,1,(IF(WEEKDAY(B8133)=1,2,IF(WEEKDAY(B8133)=7,1,0))))))</f>
        <v>2</v>
      </c>
    </row>
    <row r="8134" spans="2:22">
      <c r="B8134" s="318">
        <f t="shared" si="507"/>
        <v>46451</v>
      </c>
      <c r="C8134" s="312">
        <v>18</v>
      </c>
      <c r="D8134" s="368">
        <f>IFERROR((INDEX(METADATA!$T$2:$T$20,MATCH(B8134,METADATA!$S$2:$S$20,0))),0)</f>
        <v>0</v>
      </c>
      <c r="E8134" s="312" t="str">
        <f t="shared" si="508"/>
        <v>LO</v>
      </c>
      <c r="F8134" s="369">
        <f>VLOOKUP(C8134,METADATA!$A$5:$H$29,IF(E8134="HI",2,IF(E8134="LO",6,10))+IF(D8134=1,2,IF(D8134=7,1,(IF(WEEKDAY(B8134)=1,2,IF(WEEKDAY(B8134)=7,1,0))))))</f>
        <v>1</v>
      </c>
      <c r="G8134" s="369">
        <f>VLOOKUP(C8134,METADATA!$J$5:$Q$29,IF(E8134="HI",2,IF(E8134="LO",6,10))+IF(D8134=1,2,IF(D8134=7,1,(IF(WEEKDAY(B8134)=1,2,IF(WEEKDAY(B8134)=7,1,0))))))</f>
        <v>1</v>
      </c>
      <c r="H8134" s="370">
        <v>11288.60009765625</v>
      </c>
      <c r="I8134" s="370">
        <v>2833.4125061035156</v>
      </c>
      <c r="M8134" s="371">
        <f t="shared" si="509"/>
        <v>11638.759323680015</v>
      </c>
      <c r="N8134" s="329">
        <f t="shared" si="510"/>
        <v>0</v>
      </c>
      <c r="T8134" s="331">
        <v>0</v>
      </c>
      <c r="U8134" s="328">
        <f>VLOOKUP(C8134,METADATA!$J$5:$Q$29,IF(E8134="HI",2,IF(E8134="LO",6,10))+IF(T8134=1,2,IF(D8134=7,1,(IF(WEEKDAY(B8134)=1,2,IF(WEEKDAY(B8134)=7,1,0))))))</f>
        <v>1</v>
      </c>
      <c r="V8134" s="328">
        <f>VLOOKUP(C8134,METADATA!$A$5:$H$29,IF(E8134="HI",2,IF(E8134="LO",6,10))+IF(T8134=1,2,IF(D8134=7,1,(IF(WEEKDAY(B8134)=1,2,IF(WEEKDAY(B8134)=7,1,0))))))</f>
        <v>1</v>
      </c>
    </row>
    <row r="8135" spans="2:22">
      <c r="B8135" s="318">
        <f t="shared" si="507"/>
        <v>46451</v>
      </c>
      <c r="C8135" s="312">
        <v>19</v>
      </c>
      <c r="D8135" s="368">
        <f>IFERROR((INDEX(METADATA!$T$2:$T$20,MATCH(B8135,METADATA!$S$2:$S$20,0))),0)</f>
        <v>0</v>
      </c>
      <c r="E8135" s="312" t="str">
        <f t="shared" si="508"/>
        <v>LO</v>
      </c>
      <c r="F8135" s="369">
        <f>VLOOKUP(C8135,METADATA!$A$5:$H$29,IF(E8135="HI",2,IF(E8135="LO",6,10))+IF(D8135=1,2,IF(D8135=7,1,(IF(WEEKDAY(B8135)=1,2,IF(WEEKDAY(B8135)=7,1,0))))))</f>
        <v>1</v>
      </c>
      <c r="G8135" s="369">
        <f>VLOOKUP(C8135,METADATA!$J$5:$Q$29,IF(E8135="HI",2,IF(E8135="LO",6,10))+IF(D8135=1,2,IF(D8135=7,1,(IF(WEEKDAY(B8135)=1,2,IF(WEEKDAY(B8135)=7,1,0))))))</f>
        <v>1</v>
      </c>
      <c r="H8135" s="370">
        <v>12719.950134277344</v>
      </c>
      <c r="I8135" s="370">
        <v>3556.2150573730469</v>
      </c>
      <c r="M8135" s="371">
        <f t="shared" si="509"/>
        <v>13207.717325593738</v>
      </c>
      <c r="N8135" s="329">
        <f t="shared" si="510"/>
        <v>0</v>
      </c>
      <c r="T8135" s="331">
        <v>0</v>
      </c>
      <c r="U8135" s="328">
        <f>VLOOKUP(C8135,METADATA!$J$5:$Q$29,IF(E8135="HI",2,IF(E8135="LO",6,10))+IF(T8135=1,2,IF(D8135=7,1,(IF(WEEKDAY(B8135)=1,2,IF(WEEKDAY(B8135)=7,1,0))))))</f>
        <v>1</v>
      </c>
      <c r="V8135" s="328">
        <f>VLOOKUP(C8135,METADATA!$A$5:$H$29,IF(E8135="HI",2,IF(E8135="LO",6,10))+IF(T8135=1,2,IF(D8135=7,1,(IF(WEEKDAY(B8135)=1,2,IF(WEEKDAY(B8135)=7,1,0))))))</f>
        <v>1</v>
      </c>
    </row>
    <row r="8136" spans="2:22">
      <c r="B8136" s="318">
        <f t="shared" si="507"/>
        <v>46451</v>
      </c>
      <c r="C8136" s="312">
        <v>20</v>
      </c>
      <c r="D8136" s="368">
        <f>IFERROR((INDEX(METADATA!$T$2:$T$20,MATCH(B8136,METADATA!$S$2:$S$20,0))),0)</f>
        <v>0</v>
      </c>
      <c r="E8136" s="312" t="str">
        <f t="shared" si="508"/>
        <v>LO</v>
      </c>
      <c r="F8136" s="369">
        <f>VLOOKUP(C8136,METADATA!$A$5:$H$29,IF(E8136="HI",2,IF(E8136="LO",6,10))+IF(D8136=1,2,IF(D8136=7,1,(IF(WEEKDAY(B8136)=1,2,IF(WEEKDAY(B8136)=7,1,0))))))</f>
        <v>1</v>
      </c>
      <c r="G8136" s="369">
        <f>VLOOKUP(C8136,METADATA!$J$5:$Q$29,IF(E8136="HI",2,IF(E8136="LO",6,10))+IF(D8136=1,2,IF(D8136=7,1,(IF(WEEKDAY(B8136)=1,2,IF(WEEKDAY(B8136)=7,1,0))))))</f>
        <v>1</v>
      </c>
      <c r="H8136" s="370">
        <v>12711.475036621094</v>
      </c>
      <c r="I8136" s="370">
        <v>3548.4400482177734</v>
      </c>
      <c r="M8136" s="371">
        <f t="shared" si="509"/>
        <v>13197.462800949166</v>
      </c>
      <c r="N8136" s="329">
        <f t="shared" si="510"/>
        <v>0</v>
      </c>
      <c r="T8136" s="331">
        <v>0</v>
      </c>
      <c r="U8136" s="328">
        <f>VLOOKUP(C8136,METADATA!$J$5:$Q$29,IF(E8136="HI",2,IF(E8136="LO",6,10))+IF(T8136=1,2,IF(D8136=7,1,(IF(WEEKDAY(B8136)=1,2,IF(WEEKDAY(B8136)=7,1,0))))))</f>
        <v>1</v>
      </c>
      <c r="V8136" s="328">
        <f>VLOOKUP(C8136,METADATA!$A$5:$H$29,IF(E8136="HI",2,IF(E8136="LO",6,10))+IF(T8136=1,2,IF(D8136=7,1,(IF(WEEKDAY(B8136)=1,2,IF(WEEKDAY(B8136)=7,1,0))))))</f>
        <v>1</v>
      </c>
    </row>
    <row r="8137" spans="2:22">
      <c r="B8137" s="318">
        <f t="shared" si="507"/>
        <v>46451</v>
      </c>
      <c r="C8137" s="312">
        <v>21</v>
      </c>
      <c r="D8137" s="368">
        <f>IFERROR((INDEX(METADATA!$T$2:$T$20,MATCH(B8137,METADATA!$S$2:$S$20,0))),0)</f>
        <v>0</v>
      </c>
      <c r="E8137" s="312" t="str">
        <f t="shared" si="508"/>
        <v>LO</v>
      </c>
      <c r="F8137" s="369">
        <f>VLOOKUP(C8137,METADATA!$A$5:$H$29,IF(E8137="HI",2,IF(E8137="LO",6,10))+IF(D8137=1,2,IF(D8137=7,1,(IF(WEEKDAY(B8137)=1,2,IF(WEEKDAY(B8137)=7,1,0))))))</f>
        <v>2</v>
      </c>
      <c r="G8137" s="369">
        <f>VLOOKUP(C8137,METADATA!$J$5:$Q$29,IF(E8137="HI",2,IF(E8137="LO",6,10))+IF(D8137=1,2,IF(D8137=7,1,(IF(WEEKDAY(B8137)=1,2,IF(WEEKDAY(B8137)=7,1,0))))))</f>
        <v>2</v>
      </c>
      <c r="H8137" s="370">
        <v>12708.775146484375</v>
      </c>
      <c r="I8137" s="370">
        <v>3555.0750274658203</v>
      </c>
      <c r="M8137" s="371">
        <f t="shared" si="509"/>
        <v>13196.64821743802</v>
      </c>
      <c r="N8137" s="329">
        <f t="shared" si="510"/>
        <v>0</v>
      </c>
      <c r="T8137" s="331">
        <v>0</v>
      </c>
      <c r="U8137" s="328">
        <f>VLOOKUP(C8137,METADATA!$J$5:$Q$29,IF(E8137="HI",2,IF(E8137="LO",6,10))+IF(T8137=1,2,IF(D8137=7,1,(IF(WEEKDAY(B8137)=1,2,IF(WEEKDAY(B8137)=7,1,0))))))</f>
        <v>2</v>
      </c>
      <c r="V8137" s="328">
        <f>VLOOKUP(C8137,METADATA!$A$5:$H$29,IF(E8137="HI",2,IF(E8137="LO",6,10))+IF(T8137=1,2,IF(D8137=7,1,(IF(WEEKDAY(B8137)=1,2,IF(WEEKDAY(B8137)=7,1,0))))))</f>
        <v>2</v>
      </c>
    </row>
    <row r="8138" spans="2:22">
      <c r="B8138" s="318">
        <f t="shared" si="507"/>
        <v>46451</v>
      </c>
      <c r="C8138" s="312">
        <v>22</v>
      </c>
      <c r="D8138" s="368">
        <f>IFERROR((INDEX(METADATA!$T$2:$T$20,MATCH(B8138,METADATA!$S$2:$S$20,0))),0)</f>
        <v>0</v>
      </c>
      <c r="E8138" s="312" t="str">
        <f t="shared" si="508"/>
        <v>LO</v>
      </c>
      <c r="F8138" s="369">
        <f>VLOOKUP(C8138,METADATA!$A$5:$H$29,IF(E8138="HI",2,IF(E8138="LO",6,10))+IF(D8138=1,2,IF(D8138=7,1,(IF(WEEKDAY(B8138)=1,2,IF(WEEKDAY(B8138)=7,1,0))))))</f>
        <v>3</v>
      </c>
      <c r="G8138" s="369">
        <f>VLOOKUP(C8138,METADATA!$J$5:$Q$29,IF(E8138="HI",2,IF(E8138="LO",6,10))+IF(D8138=1,2,IF(D8138=7,1,(IF(WEEKDAY(B8138)=1,2,IF(WEEKDAY(B8138)=7,1,0))))))</f>
        <v>3</v>
      </c>
      <c r="H8138" s="370">
        <v>12597.175170898438</v>
      </c>
      <c r="I8138" s="370">
        <v>3637.5649719238281</v>
      </c>
      <c r="M8138" s="371">
        <f t="shared" si="509"/>
        <v>13111.853462087931</v>
      </c>
      <c r="N8138" s="329">
        <f t="shared" si="510"/>
        <v>0</v>
      </c>
      <c r="T8138" s="331">
        <v>0</v>
      </c>
      <c r="U8138" s="328">
        <f>VLOOKUP(C8138,METADATA!$J$5:$Q$29,IF(E8138="HI",2,IF(E8138="LO",6,10))+IF(T8138=1,2,IF(D8138=7,1,(IF(WEEKDAY(B8138)=1,2,IF(WEEKDAY(B8138)=7,1,0))))))</f>
        <v>3</v>
      </c>
      <c r="V8138" s="328">
        <f>VLOOKUP(C8138,METADATA!$A$5:$H$29,IF(E8138="HI",2,IF(E8138="LO",6,10))+IF(T8138=1,2,IF(D8138=7,1,(IF(WEEKDAY(B8138)=1,2,IF(WEEKDAY(B8138)=7,1,0))))))</f>
        <v>3</v>
      </c>
    </row>
    <row r="8139" spans="2:22">
      <c r="B8139" s="318">
        <f t="shared" si="507"/>
        <v>46451</v>
      </c>
      <c r="C8139" s="312">
        <v>23</v>
      </c>
      <c r="D8139" s="368">
        <f>IFERROR((INDEX(METADATA!$T$2:$T$20,MATCH(B8139,METADATA!$S$2:$S$20,0))),0)</f>
        <v>0</v>
      </c>
      <c r="E8139" s="312" t="str">
        <f t="shared" si="508"/>
        <v>LO</v>
      </c>
      <c r="F8139" s="369">
        <f>VLOOKUP(C8139,METADATA!$A$5:$H$29,IF(E8139="HI",2,IF(E8139="LO",6,10))+IF(D8139=1,2,IF(D8139=7,1,(IF(WEEKDAY(B8139)=1,2,IF(WEEKDAY(B8139)=7,1,0))))))</f>
        <v>3</v>
      </c>
      <c r="G8139" s="369">
        <f>VLOOKUP(C8139,METADATA!$J$5:$Q$29,IF(E8139="HI",2,IF(E8139="LO",6,10))+IF(D8139=1,2,IF(D8139=7,1,(IF(WEEKDAY(B8139)=1,2,IF(WEEKDAY(B8139)=7,1,0))))))</f>
        <v>3</v>
      </c>
      <c r="H8139" s="370">
        <v>12550.650146484375</v>
      </c>
      <c r="I8139" s="370">
        <v>3574.794921875</v>
      </c>
      <c r="M8139" s="371">
        <f t="shared" si="509"/>
        <v>13049.826735742952</v>
      </c>
      <c r="N8139" s="329">
        <f t="shared" si="510"/>
        <v>0</v>
      </c>
      <c r="T8139" s="331">
        <v>0</v>
      </c>
      <c r="U8139" s="328">
        <f>VLOOKUP(C8139,METADATA!$J$5:$Q$29,IF(E8139="HI",2,IF(E8139="LO",6,10))+IF(T8139=1,2,IF(D8139=7,1,(IF(WEEKDAY(B8139)=1,2,IF(WEEKDAY(B8139)=7,1,0))))))</f>
        <v>3</v>
      </c>
      <c r="V8139" s="328">
        <f>VLOOKUP(C8139,METADATA!$A$5:$H$29,IF(E8139="HI",2,IF(E8139="LO",6,10))+IF(T8139=1,2,IF(D8139=7,1,(IF(WEEKDAY(B8139)=1,2,IF(WEEKDAY(B8139)=7,1,0))))))</f>
        <v>3</v>
      </c>
    </row>
    <row r="8140" spans="2:22">
      <c r="B8140" s="318">
        <f t="shared" si="507"/>
        <v>46452</v>
      </c>
      <c r="C8140" s="312">
        <v>0</v>
      </c>
      <c r="D8140" s="368">
        <f>IFERROR((INDEX(METADATA!$T$2:$T$20,MATCH(B8140,METADATA!$S$2:$S$20,0))),0)</f>
        <v>0</v>
      </c>
      <c r="E8140" s="312" t="str">
        <f t="shared" si="508"/>
        <v>LO</v>
      </c>
      <c r="F8140" s="369">
        <f>VLOOKUP(C8140,METADATA!$A$5:$H$29,IF(E8140="HI",2,IF(E8140="LO",6,10))+IF(D8140=1,2,IF(D8140=7,1,(IF(WEEKDAY(B8140)=1,2,IF(WEEKDAY(B8140)=7,1,0))))))</f>
        <v>3</v>
      </c>
      <c r="G8140" s="369">
        <f>VLOOKUP(C8140,METADATA!$J$5:$Q$29,IF(E8140="HI",2,IF(E8140="LO",6,10))+IF(D8140=1,2,IF(D8140=7,1,(IF(WEEKDAY(B8140)=1,2,IF(WEEKDAY(B8140)=7,1,0))))))</f>
        <v>3</v>
      </c>
      <c r="H8140" s="370">
        <v>12550.125305175781</v>
      </c>
      <c r="I8140" s="370">
        <v>3679.3299713134766</v>
      </c>
      <c r="M8140" s="371">
        <f t="shared" si="509"/>
        <v>13078.345239877219</v>
      </c>
      <c r="N8140" s="329">
        <f t="shared" si="510"/>
        <v>0</v>
      </c>
      <c r="T8140" s="331">
        <v>0</v>
      </c>
      <c r="U8140" s="328">
        <f>VLOOKUP(C8140,METADATA!$J$5:$Q$29,IF(E8140="HI",2,IF(E8140="LO",6,10))+IF(T8140=1,2,IF(D8140=7,1,(IF(WEEKDAY(B8140)=1,2,IF(WEEKDAY(B8140)=7,1,0))))))</f>
        <v>3</v>
      </c>
      <c r="V8140" s="328">
        <f>VLOOKUP(C8140,METADATA!$A$5:$H$29,IF(E8140="HI",2,IF(E8140="LO",6,10))+IF(T8140=1,2,IF(D8140=7,1,(IF(WEEKDAY(B8140)=1,2,IF(WEEKDAY(B8140)=7,1,0))))))</f>
        <v>3</v>
      </c>
    </row>
    <row r="8141" spans="2:22">
      <c r="B8141" s="318">
        <f t="shared" si="507"/>
        <v>46452</v>
      </c>
      <c r="C8141" s="312">
        <v>1</v>
      </c>
      <c r="D8141" s="368">
        <f>IFERROR((INDEX(METADATA!$T$2:$T$20,MATCH(B8141,METADATA!$S$2:$S$20,0))),0)</f>
        <v>0</v>
      </c>
      <c r="E8141" s="312" t="str">
        <f t="shared" si="508"/>
        <v>LO</v>
      </c>
      <c r="F8141" s="369">
        <f>VLOOKUP(C8141,METADATA!$A$5:$H$29,IF(E8141="HI",2,IF(E8141="LO",6,10))+IF(D8141=1,2,IF(D8141=7,1,(IF(WEEKDAY(B8141)=1,2,IF(WEEKDAY(B8141)=7,1,0))))))</f>
        <v>3</v>
      </c>
      <c r="G8141" s="369">
        <f>VLOOKUP(C8141,METADATA!$J$5:$Q$29,IF(E8141="HI",2,IF(E8141="LO",6,10))+IF(D8141=1,2,IF(D8141=7,1,(IF(WEEKDAY(B8141)=1,2,IF(WEEKDAY(B8141)=7,1,0))))))</f>
        <v>3</v>
      </c>
      <c r="H8141" s="370">
        <v>12425.0947265625</v>
      </c>
      <c r="I8141" s="370">
        <v>3653.9974670410156</v>
      </c>
      <c r="M8141" s="371">
        <f t="shared" si="509"/>
        <v>12951.242274515345</v>
      </c>
      <c r="N8141" s="329">
        <f t="shared" si="510"/>
        <v>0</v>
      </c>
      <c r="T8141" s="331">
        <v>0</v>
      </c>
      <c r="U8141" s="328">
        <f>VLOOKUP(C8141,METADATA!$J$5:$Q$29,IF(E8141="HI",2,IF(E8141="LO",6,10))+IF(T8141=1,2,IF(D8141=7,1,(IF(WEEKDAY(B8141)=1,2,IF(WEEKDAY(B8141)=7,1,0))))))</f>
        <v>3</v>
      </c>
      <c r="V8141" s="328">
        <f>VLOOKUP(C8141,METADATA!$A$5:$H$29,IF(E8141="HI",2,IF(E8141="LO",6,10))+IF(T8141=1,2,IF(D8141=7,1,(IF(WEEKDAY(B8141)=1,2,IF(WEEKDAY(B8141)=7,1,0))))))</f>
        <v>3</v>
      </c>
    </row>
    <row r="8142" spans="2:22">
      <c r="B8142" s="318">
        <f t="shared" si="507"/>
        <v>46452</v>
      </c>
      <c r="C8142" s="312">
        <v>2</v>
      </c>
      <c r="D8142" s="368">
        <f>IFERROR((INDEX(METADATA!$T$2:$T$20,MATCH(B8142,METADATA!$S$2:$S$20,0))),0)</f>
        <v>0</v>
      </c>
      <c r="E8142" s="312" t="str">
        <f t="shared" si="508"/>
        <v>LO</v>
      </c>
      <c r="F8142" s="369">
        <f>VLOOKUP(C8142,METADATA!$A$5:$H$29,IF(E8142="HI",2,IF(E8142="LO",6,10))+IF(D8142=1,2,IF(D8142=7,1,(IF(WEEKDAY(B8142)=1,2,IF(WEEKDAY(B8142)=7,1,0))))))</f>
        <v>3</v>
      </c>
      <c r="G8142" s="369">
        <f>VLOOKUP(C8142,METADATA!$J$5:$Q$29,IF(E8142="HI",2,IF(E8142="LO",6,10))+IF(D8142=1,2,IF(D8142=7,1,(IF(WEEKDAY(B8142)=1,2,IF(WEEKDAY(B8142)=7,1,0))))))</f>
        <v>3</v>
      </c>
      <c r="H8142" s="370">
        <v>12630.100158691406</v>
      </c>
      <c r="I8142" s="370">
        <v>3724.4750366210938</v>
      </c>
      <c r="M8142" s="371">
        <f t="shared" si="509"/>
        <v>13167.807118764702</v>
      </c>
      <c r="N8142" s="329">
        <f t="shared" si="510"/>
        <v>0</v>
      </c>
      <c r="T8142" s="331">
        <v>0</v>
      </c>
      <c r="U8142" s="328">
        <f>VLOOKUP(C8142,METADATA!$J$5:$Q$29,IF(E8142="HI",2,IF(E8142="LO",6,10))+IF(T8142=1,2,IF(D8142=7,1,(IF(WEEKDAY(B8142)=1,2,IF(WEEKDAY(B8142)=7,1,0))))))</f>
        <v>3</v>
      </c>
      <c r="V8142" s="328">
        <f>VLOOKUP(C8142,METADATA!$A$5:$H$29,IF(E8142="HI",2,IF(E8142="LO",6,10))+IF(T8142=1,2,IF(D8142=7,1,(IF(WEEKDAY(B8142)=1,2,IF(WEEKDAY(B8142)=7,1,0))))))</f>
        <v>3</v>
      </c>
    </row>
    <row r="8143" spans="2:22">
      <c r="B8143" s="318">
        <f t="shared" si="507"/>
        <v>46452</v>
      </c>
      <c r="C8143" s="312">
        <v>3</v>
      </c>
      <c r="D8143" s="368">
        <f>IFERROR((INDEX(METADATA!$T$2:$T$20,MATCH(B8143,METADATA!$S$2:$S$20,0))),0)</f>
        <v>0</v>
      </c>
      <c r="E8143" s="312" t="str">
        <f t="shared" si="508"/>
        <v>LO</v>
      </c>
      <c r="F8143" s="369">
        <f>VLOOKUP(C8143,METADATA!$A$5:$H$29,IF(E8143="HI",2,IF(E8143="LO",6,10))+IF(D8143=1,2,IF(D8143=7,1,(IF(WEEKDAY(B8143)=1,2,IF(WEEKDAY(B8143)=7,1,0))))))</f>
        <v>3</v>
      </c>
      <c r="G8143" s="369">
        <f>VLOOKUP(C8143,METADATA!$J$5:$Q$29,IF(E8143="HI",2,IF(E8143="LO",6,10))+IF(D8143=1,2,IF(D8143=7,1,(IF(WEEKDAY(B8143)=1,2,IF(WEEKDAY(B8143)=7,1,0))))))</f>
        <v>3</v>
      </c>
      <c r="H8143" s="370">
        <v>12504.900390625</v>
      </c>
      <c r="I8143" s="370">
        <v>3570.6349182128906</v>
      </c>
      <c r="M8143" s="371">
        <f t="shared" si="509"/>
        <v>13004.690211558845</v>
      </c>
      <c r="N8143" s="329">
        <f t="shared" si="510"/>
        <v>0</v>
      </c>
      <c r="T8143" s="331">
        <v>0</v>
      </c>
      <c r="U8143" s="328">
        <f>VLOOKUP(C8143,METADATA!$J$5:$Q$29,IF(E8143="HI",2,IF(E8143="LO",6,10))+IF(T8143=1,2,IF(D8143=7,1,(IF(WEEKDAY(B8143)=1,2,IF(WEEKDAY(B8143)=7,1,0))))))</f>
        <v>3</v>
      </c>
      <c r="V8143" s="328">
        <f>VLOOKUP(C8143,METADATA!$A$5:$H$29,IF(E8143="HI",2,IF(E8143="LO",6,10))+IF(T8143=1,2,IF(D8143=7,1,(IF(WEEKDAY(B8143)=1,2,IF(WEEKDAY(B8143)=7,1,0))))))</f>
        <v>3</v>
      </c>
    </row>
    <row r="8144" spans="2:22">
      <c r="B8144" s="318">
        <f t="shared" si="507"/>
        <v>46452</v>
      </c>
      <c r="C8144" s="312">
        <v>4</v>
      </c>
      <c r="D8144" s="368">
        <f>IFERROR((INDEX(METADATA!$T$2:$T$20,MATCH(B8144,METADATA!$S$2:$S$20,0))),0)</f>
        <v>0</v>
      </c>
      <c r="E8144" s="312" t="str">
        <f t="shared" si="508"/>
        <v>LO</v>
      </c>
      <c r="F8144" s="369">
        <f>VLOOKUP(C8144,METADATA!$A$5:$H$29,IF(E8144="HI",2,IF(E8144="LO",6,10))+IF(D8144=1,2,IF(D8144=7,1,(IF(WEEKDAY(B8144)=1,2,IF(WEEKDAY(B8144)=7,1,0))))))</f>
        <v>3</v>
      </c>
      <c r="G8144" s="369">
        <f>VLOOKUP(C8144,METADATA!$J$5:$Q$29,IF(E8144="HI",2,IF(E8144="LO",6,10))+IF(D8144=1,2,IF(D8144=7,1,(IF(WEEKDAY(B8144)=1,2,IF(WEEKDAY(B8144)=7,1,0))))))</f>
        <v>3</v>
      </c>
      <c r="H8144" s="370">
        <v>12578.874633789063</v>
      </c>
      <c r="I8144" s="370">
        <v>3720.3350219726563</v>
      </c>
      <c r="M8144" s="371">
        <f t="shared" si="509"/>
        <v>13117.506612473964</v>
      </c>
      <c r="N8144" s="329">
        <f t="shared" si="510"/>
        <v>0</v>
      </c>
      <c r="T8144" s="331">
        <v>0</v>
      </c>
      <c r="U8144" s="328">
        <f>VLOOKUP(C8144,METADATA!$J$5:$Q$29,IF(E8144="HI",2,IF(E8144="LO",6,10))+IF(T8144=1,2,IF(D8144=7,1,(IF(WEEKDAY(B8144)=1,2,IF(WEEKDAY(B8144)=7,1,0))))))</f>
        <v>3</v>
      </c>
      <c r="V8144" s="328">
        <f>VLOOKUP(C8144,METADATA!$A$5:$H$29,IF(E8144="HI",2,IF(E8144="LO",6,10))+IF(T8144=1,2,IF(D8144=7,1,(IF(WEEKDAY(B8144)=1,2,IF(WEEKDAY(B8144)=7,1,0))))))</f>
        <v>3</v>
      </c>
    </row>
    <row r="8145" spans="2:22">
      <c r="B8145" s="318">
        <f t="shared" si="507"/>
        <v>46452</v>
      </c>
      <c r="C8145" s="312">
        <v>5</v>
      </c>
      <c r="D8145" s="368">
        <f>IFERROR((INDEX(METADATA!$T$2:$T$20,MATCH(B8145,METADATA!$S$2:$S$20,0))),0)</f>
        <v>0</v>
      </c>
      <c r="E8145" s="312" t="str">
        <f t="shared" si="508"/>
        <v>LO</v>
      </c>
      <c r="F8145" s="369">
        <f>VLOOKUP(C8145,METADATA!$A$5:$H$29,IF(E8145="HI",2,IF(E8145="LO",6,10))+IF(D8145=1,2,IF(D8145=7,1,(IF(WEEKDAY(B8145)=1,2,IF(WEEKDAY(B8145)=7,1,0))))))</f>
        <v>3</v>
      </c>
      <c r="G8145" s="369">
        <f>VLOOKUP(C8145,METADATA!$J$5:$Q$29,IF(E8145="HI",2,IF(E8145="LO",6,10))+IF(D8145=1,2,IF(D8145=7,1,(IF(WEEKDAY(B8145)=1,2,IF(WEEKDAY(B8145)=7,1,0))))))</f>
        <v>3</v>
      </c>
      <c r="H8145" s="370">
        <v>12920.300048828125</v>
      </c>
      <c r="I8145" s="370">
        <v>3866.1900024414063</v>
      </c>
      <c r="M8145" s="371">
        <f t="shared" si="509"/>
        <v>13486.347855766064</v>
      </c>
      <c r="N8145" s="329">
        <f t="shared" si="510"/>
        <v>0</v>
      </c>
      <c r="T8145" s="331">
        <v>0</v>
      </c>
      <c r="U8145" s="328">
        <f>VLOOKUP(C8145,METADATA!$J$5:$Q$29,IF(E8145="HI",2,IF(E8145="LO",6,10))+IF(T8145=1,2,IF(D8145=7,1,(IF(WEEKDAY(B8145)=1,2,IF(WEEKDAY(B8145)=7,1,0))))))</f>
        <v>3</v>
      </c>
      <c r="V8145" s="328">
        <f>VLOOKUP(C8145,METADATA!$A$5:$H$29,IF(E8145="HI",2,IF(E8145="LO",6,10))+IF(T8145=1,2,IF(D8145=7,1,(IF(WEEKDAY(B8145)=1,2,IF(WEEKDAY(B8145)=7,1,0))))))</f>
        <v>3</v>
      </c>
    </row>
    <row r="8146" spans="2:22">
      <c r="B8146" s="318">
        <f t="shared" si="507"/>
        <v>46452</v>
      </c>
      <c r="C8146" s="312">
        <v>6</v>
      </c>
      <c r="D8146" s="368">
        <f>IFERROR((INDEX(METADATA!$T$2:$T$20,MATCH(B8146,METADATA!$S$2:$S$20,0))),0)</f>
        <v>0</v>
      </c>
      <c r="E8146" s="312" t="str">
        <f t="shared" si="508"/>
        <v>LO</v>
      </c>
      <c r="F8146" s="369">
        <f>VLOOKUP(C8146,METADATA!$A$5:$H$29,IF(E8146="HI",2,IF(E8146="LO",6,10))+IF(D8146=1,2,IF(D8146=7,1,(IF(WEEKDAY(B8146)=1,2,IF(WEEKDAY(B8146)=7,1,0))))))</f>
        <v>3</v>
      </c>
      <c r="G8146" s="369">
        <f>VLOOKUP(C8146,METADATA!$J$5:$Q$29,IF(E8146="HI",2,IF(E8146="LO",6,10))+IF(D8146=1,2,IF(D8146=7,1,(IF(WEEKDAY(B8146)=1,2,IF(WEEKDAY(B8146)=7,1,0))))))</f>
        <v>3</v>
      </c>
      <c r="H8146" s="370">
        <v>12685.675109863281</v>
      </c>
      <c r="I8146" s="370">
        <v>3726.7950134277344</v>
      </c>
      <c r="M8146" s="371">
        <f t="shared" si="509"/>
        <v>13221.775753094385</v>
      </c>
      <c r="N8146" s="329">
        <f t="shared" si="510"/>
        <v>0</v>
      </c>
      <c r="T8146" s="331">
        <v>0</v>
      </c>
      <c r="U8146" s="328">
        <f>VLOOKUP(C8146,METADATA!$J$5:$Q$29,IF(E8146="HI",2,IF(E8146="LO",6,10))+IF(T8146=1,2,IF(D8146=7,1,(IF(WEEKDAY(B8146)=1,2,IF(WEEKDAY(B8146)=7,1,0))))))</f>
        <v>3</v>
      </c>
      <c r="V8146" s="328">
        <f>VLOOKUP(C8146,METADATA!$A$5:$H$29,IF(E8146="HI",2,IF(E8146="LO",6,10))+IF(T8146=1,2,IF(D8146=7,1,(IF(WEEKDAY(B8146)=1,2,IF(WEEKDAY(B8146)=7,1,0))))))</f>
        <v>3</v>
      </c>
    </row>
    <row r="8147" spans="2:22">
      <c r="B8147" s="318">
        <f t="shared" si="507"/>
        <v>46452</v>
      </c>
      <c r="C8147" s="312">
        <v>7</v>
      </c>
      <c r="D8147" s="368">
        <f>IFERROR((INDEX(METADATA!$T$2:$T$20,MATCH(B8147,METADATA!$S$2:$S$20,0))),0)</f>
        <v>0</v>
      </c>
      <c r="E8147" s="312" t="str">
        <f t="shared" si="508"/>
        <v>LO</v>
      </c>
      <c r="F8147" s="369">
        <f>VLOOKUP(C8147,METADATA!$A$5:$H$29,IF(E8147="HI",2,IF(E8147="LO",6,10))+IF(D8147=1,2,IF(D8147=7,1,(IF(WEEKDAY(B8147)=1,2,IF(WEEKDAY(B8147)=7,1,0))))))</f>
        <v>2</v>
      </c>
      <c r="G8147" s="369">
        <f>VLOOKUP(C8147,METADATA!$J$5:$Q$29,IF(E8147="HI",2,IF(E8147="LO",6,10))+IF(D8147=1,2,IF(D8147=7,1,(IF(WEEKDAY(B8147)=1,2,IF(WEEKDAY(B8147)=7,1,0))))))</f>
        <v>2</v>
      </c>
      <c r="H8147" s="370">
        <v>12825.650146484375</v>
      </c>
      <c r="I8147" s="370">
        <v>3938.9849548339844</v>
      </c>
      <c r="M8147" s="371">
        <f t="shared" si="509"/>
        <v>13416.88876582135</v>
      </c>
      <c r="N8147" s="329">
        <f t="shared" si="510"/>
        <v>91.289910888672239</v>
      </c>
      <c r="T8147" s="331">
        <v>0</v>
      </c>
      <c r="U8147" s="328">
        <f>VLOOKUP(C8147,METADATA!$J$5:$Q$29,IF(E8147="HI",2,IF(E8147="LO",6,10))+IF(T8147=1,2,IF(D8147=7,1,(IF(WEEKDAY(B8147)=1,2,IF(WEEKDAY(B8147)=7,1,0))))))</f>
        <v>2</v>
      </c>
      <c r="V8147" s="328">
        <f>VLOOKUP(C8147,METADATA!$A$5:$H$29,IF(E8147="HI",2,IF(E8147="LO",6,10))+IF(T8147=1,2,IF(D8147=7,1,(IF(WEEKDAY(B8147)=1,2,IF(WEEKDAY(B8147)=7,1,0))))))</f>
        <v>2</v>
      </c>
    </row>
    <row r="8148" spans="2:22">
      <c r="B8148" s="318">
        <f t="shared" si="507"/>
        <v>46452</v>
      </c>
      <c r="C8148" s="312">
        <v>8</v>
      </c>
      <c r="D8148" s="368">
        <f>IFERROR((INDEX(METADATA!$T$2:$T$20,MATCH(B8148,METADATA!$S$2:$S$20,0))),0)</f>
        <v>0</v>
      </c>
      <c r="E8148" s="312" t="str">
        <f t="shared" si="508"/>
        <v>LO</v>
      </c>
      <c r="F8148" s="369">
        <f>VLOOKUP(C8148,METADATA!$A$5:$H$29,IF(E8148="HI",2,IF(E8148="LO",6,10))+IF(D8148=1,2,IF(D8148=7,1,(IF(WEEKDAY(B8148)=1,2,IF(WEEKDAY(B8148)=7,1,0))))))</f>
        <v>2</v>
      </c>
      <c r="G8148" s="369">
        <f>VLOOKUP(C8148,METADATA!$J$5:$Q$29,IF(E8148="HI",2,IF(E8148="LO",6,10))+IF(D8148=1,2,IF(D8148=7,1,(IF(WEEKDAY(B8148)=1,2,IF(WEEKDAY(B8148)=7,1,0))))))</f>
        <v>2</v>
      </c>
      <c r="H8148" s="370">
        <v>12824.250061035156</v>
      </c>
      <c r="I8148" s="370">
        <v>3919.7750549316406</v>
      </c>
      <c r="M8148" s="371">
        <f t="shared" si="509"/>
        <v>13409.922673499073</v>
      </c>
      <c r="N8148" s="329">
        <f t="shared" si="510"/>
        <v>72.500036621093841</v>
      </c>
      <c r="T8148" s="331">
        <v>0</v>
      </c>
      <c r="U8148" s="328">
        <f>VLOOKUP(C8148,METADATA!$J$5:$Q$29,IF(E8148="HI",2,IF(E8148="LO",6,10))+IF(T8148=1,2,IF(D8148=7,1,(IF(WEEKDAY(B8148)=1,2,IF(WEEKDAY(B8148)=7,1,0))))))</f>
        <v>2</v>
      </c>
      <c r="V8148" s="328">
        <f>VLOOKUP(C8148,METADATA!$A$5:$H$29,IF(E8148="HI",2,IF(E8148="LO",6,10))+IF(T8148=1,2,IF(D8148=7,1,(IF(WEEKDAY(B8148)=1,2,IF(WEEKDAY(B8148)=7,1,0))))))</f>
        <v>2</v>
      </c>
    </row>
    <row r="8149" spans="2:22">
      <c r="B8149" s="318">
        <f t="shared" si="507"/>
        <v>46452</v>
      </c>
      <c r="C8149" s="312">
        <v>9</v>
      </c>
      <c r="D8149" s="368">
        <f>IFERROR((INDEX(METADATA!$T$2:$T$20,MATCH(B8149,METADATA!$S$2:$S$20,0))),0)</f>
        <v>0</v>
      </c>
      <c r="E8149" s="312" t="str">
        <f t="shared" si="508"/>
        <v>LO</v>
      </c>
      <c r="F8149" s="369">
        <f>VLOOKUP(C8149,METADATA!$A$5:$H$29,IF(E8149="HI",2,IF(E8149="LO",6,10))+IF(D8149=1,2,IF(D8149=7,1,(IF(WEEKDAY(B8149)=1,2,IF(WEEKDAY(B8149)=7,1,0))))))</f>
        <v>2</v>
      </c>
      <c r="G8149" s="369">
        <f>VLOOKUP(C8149,METADATA!$J$5:$Q$29,IF(E8149="HI",2,IF(E8149="LO",6,10))+IF(D8149=1,2,IF(D8149=7,1,(IF(WEEKDAY(B8149)=1,2,IF(WEEKDAY(B8149)=7,1,0))))))</f>
        <v>2</v>
      </c>
      <c r="H8149" s="370">
        <v>12572.075378417969</v>
      </c>
      <c r="I8149" s="370">
        <v>3631.6949920654297</v>
      </c>
      <c r="M8149" s="371">
        <f t="shared" si="509"/>
        <v>13086.110493038655</v>
      </c>
      <c r="N8149" s="329">
        <f t="shared" si="510"/>
        <v>0</v>
      </c>
      <c r="T8149" s="331">
        <v>0</v>
      </c>
      <c r="U8149" s="328">
        <f>VLOOKUP(C8149,METADATA!$J$5:$Q$29,IF(E8149="HI",2,IF(E8149="LO",6,10))+IF(T8149=1,2,IF(D8149=7,1,(IF(WEEKDAY(B8149)=1,2,IF(WEEKDAY(B8149)=7,1,0))))))</f>
        <v>2</v>
      </c>
      <c r="V8149" s="328">
        <f>VLOOKUP(C8149,METADATA!$A$5:$H$29,IF(E8149="HI",2,IF(E8149="LO",6,10))+IF(T8149=1,2,IF(D8149=7,1,(IF(WEEKDAY(B8149)=1,2,IF(WEEKDAY(B8149)=7,1,0))))))</f>
        <v>2</v>
      </c>
    </row>
    <row r="8150" spans="2:22">
      <c r="B8150" s="318">
        <f t="shared" si="507"/>
        <v>46452</v>
      </c>
      <c r="C8150" s="312">
        <v>10</v>
      </c>
      <c r="D8150" s="368">
        <f>IFERROR((INDEX(METADATA!$T$2:$T$20,MATCH(B8150,METADATA!$S$2:$S$20,0))),0)</f>
        <v>0</v>
      </c>
      <c r="E8150" s="312" t="str">
        <f t="shared" si="508"/>
        <v>LO</v>
      </c>
      <c r="F8150" s="369">
        <f>VLOOKUP(C8150,METADATA!$A$5:$H$29,IF(E8150="HI",2,IF(E8150="LO",6,10))+IF(D8150=1,2,IF(D8150=7,1,(IF(WEEKDAY(B8150)=1,2,IF(WEEKDAY(B8150)=7,1,0))))))</f>
        <v>2</v>
      </c>
      <c r="G8150" s="369">
        <f>VLOOKUP(C8150,METADATA!$J$5:$Q$29,IF(E8150="HI",2,IF(E8150="LO",6,10))+IF(D8150=1,2,IF(D8150=7,1,(IF(WEEKDAY(B8150)=1,2,IF(WEEKDAY(B8150)=7,1,0))))))</f>
        <v>2</v>
      </c>
      <c r="H8150" s="370">
        <v>11198.890075683594</v>
      </c>
      <c r="I8150" s="370">
        <v>2826.6450042724609</v>
      </c>
      <c r="M8150" s="371">
        <f t="shared" si="509"/>
        <v>11550.110861261157</v>
      </c>
      <c r="N8150" s="329">
        <f t="shared" si="510"/>
        <v>0</v>
      </c>
      <c r="T8150" s="331">
        <v>0</v>
      </c>
      <c r="U8150" s="328">
        <f>VLOOKUP(C8150,METADATA!$J$5:$Q$29,IF(E8150="HI",2,IF(E8150="LO",6,10))+IF(T8150=1,2,IF(D8150=7,1,(IF(WEEKDAY(B8150)=1,2,IF(WEEKDAY(B8150)=7,1,0))))))</f>
        <v>2</v>
      </c>
      <c r="V8150" s="328">
        <f>VLOOKUP(C8150,METADATA!$A$5:$H$29,IF(E8150="HI",2,IF(E8150="LO",6,10))+IF(T8150=1,2,IF(D8150=7,1,(IF(WEEKDAY(B8150)=1,2,IF(WEEKDAY(B8150)=7,1,0))))))</f>
        <v>2</v>
      </c>
    </row>
    <row r="8151" spans="2:22">
      <c r="B8151" s="318">
        <f t="shared" si="507"/>
        <v>46452</v>
      </c>
      <c r="C8151" s="312">
        <v>11</v>
      </c>
      <c r="D8151" s="368">
        <f>IFERROR((INDEX(METADATA!$T$2:$T$20,MATCH(B8151,METADATA!$S$2:$S$20,0))),0)</f>
        <v>0</v>
      </c>
      <c r="E8151" s="312" t="str">
        <f t="shared" si="508"/>
        <v>LO</v>
      </c>
      <c r="F8151" s="369">
        <f>VLOOKUP(C8151,METADATA!$A$5:$H$29,IF(E8151="HI",2,IF(E8151="LO",6,10))+IF(D8151=1,2,IF(D8151=7,1,(IF(WEEKDAY(B8151)=1,2,IF(WEEKDAY(B8151)=7,1,0))))))</f>
        <v>2</v>
      </c>
      <c r="G8151" s="369">
        <f>VLOOKUP(C8151,METADATA!$J$5:$Q$29,IF(E8151="HI",2,IF(E8151="LO",6,10))+IF(D8151=1,2,IF(D8151=7,1,(IF(WEEKDAY(B8151)=1,2,IF(WEEKDAY(B8151)=7,1,0))))))</f>
        <v>2</v>
      </c>
      <c r="H8151" s="370">
        <v>10765.594879150391</v>
      </c>
      <c r="I8151" s="370">
        <v>2609.2100067138672</v>
      </c>
      <c r="M8151" s="371">
        <f t="shared" si="509"/>
        <v>11077.274482521632</v>
      </c>
      <c r="N8151" s="329">
        <f t="shared" si="510"/>
        <v>0</v>
      </c>
      <c r="T8151" s="331">
        <v>0</v>
      </c>
      <c r="U8151" s="328">
        <f>VLOOKUP(C8151,METADATA!$J$5:$Q$29,IF(E8151="HI",2,IF(E8151="LO",6,10))+IF(T8151=1,2,IF(D8151=7,1,(IF(WEEKDAY(B8151)=1,2,IF(WEEKDAY(B8151)=7,1,0))))))</f>
        <v>2</v>
      </c>
      <c r="V8151" s="328">
        <f>VLOOKUP(C8151,METADATA!$A$5:$H$29,IF(E8151="HI",2,IF(E8151="LO",6,10))+IF(T8151=1,2,IF(D8151=7,1,(IF(WEEKDAY(B8151)=1,2,IF(WEEKDAY(B8151)=7,1,0))))))</f>
        <v>2</v>
      </c>
    </row>
    <row r="8152" spans="2:22">
      <c r="B8152" s="318">
        <f t="shared" si="507"/>
        <v>46452</v>
      </c>
      <c r="C8152" s="312">
        <v>12</v>
      </c>
      <c r="D8152" s="368">
        <f>IFERROR((INDEX(METADATA!$T$2:$T$20,MATCH(B8152,METADATA!$S$2:$S$20,0))),0)</f>
        <v>0</v>
      </c>
      <c r="E8152" s="312" t="str">
        <f t="shared" si="508"/>
        <v>LO</v>
      </c>
      <c r="F8152" s="369">
        <f>VLOOKUP(C8152,METADATA!$A$5:$H$29,IF(E8152="HI",2,IF(E8152="LO",6,10))+IF(D8152=1,2,IF(D8152=7,1,(IF(WEEKDAY(B8152)=1,2,IF(WEEKDAY(B8152)=7,1,0))))))</f>
        <v>3</v>
      </c>
      <c r="G8152" s="369">
        <f>VLOOKUP(C8152,METADATA!$J$5:$Q$29,IF(E8152="HI",2,IF(E8152="LO",6,10))+IF(D8152=1,2,IF(D8152=7,1,(IF(WEEKDAY(B8152)=1,2,IF(WEEKDAY(B8152)=7,1,0))))))</f>
        <v>3</v>
      </c>
      <c r="H8152" s="370">
        <v>12309.399597167969</v>
      </c>
      <c r="I8152" s="370">
        <v>3446.2349700927734</v>
      </c>
      <c r="M8152" s="371">
        <f t="shared" si="509"/>
        <v>12782.717000381777</v>
      </c>
      <c r="N8152" s="329">
        <f t="shared" si="510"/>
        <v>0</v>
      </c>
      <c r="T8152" s="331">
        <v>0</v>
      </c>
      <c r="U8152" s="328">
        <f>VLOOKUP(C8152,METADATA!$J$5:$Q$29,IF(E8152="HI",2,IF(E8152="LO",6,10))+IF(T8152=1,2,IF(D8152=7,1,(IF(WEEKDAY(B8152)=1,2,IF(WEEKDAY(B8152)=7,1,0))))))</f>
        <v>3</v>
      </c>
      <c r="V8152" s="328">
        <f>VLOOKUP(C8152,METADATA!$A$5:$H$29,IF(E8152="HI",2,IF(E8152="LO",6,10))+IF(T8152=1,2,IF(D8152=7,1,(IF(WEEKDAY(B8152)=1,2,IF(WEEKDAY(B8152)=7,1,0))))))</f>
        <v>3</v>
      </c>
    </row>
    <row r="8153" spans="2:22">
      <c r="B8153" s="318">
        <f t="shared" si="507"/>
        <v>46452</v>
      </c>
      <c r="C8153" s="312">
        <v>13</v>
      </c>
      <c r="D8153" s="368">
        <f>IFERROR((INDEX(METADATA!$T$2:$T$20,MATCH(B8153,METADATA!$S$2:$S$20,0))),0)</f>
        <v>0</v>
      </c>
      <c r="E8153" s="312" t="str">
        <f t="shared" si="508"/>
        <v>LO</v>
      </c>
      <c r="F8153" s="369">
        <f>VLOOKUP(C8153,METADATA!$A$5:$H$29,IF(E8153="HI",2,IF(E8153="LO",6,10))+IF(D8153=1,2,IF(D8153=7,1,(IF(WEEKDAY(B8153)=1,2,IF(WEEKDAY(B8153)=7,1,0))))))</f>
        <v>3</v>
      </c>
      <c r="G8153" s="369">
        <f>VLOOKUP(C8153,METADATA!$J$5:$Q$29,IF(E8153="HI",2,IF(E8153="LO",6,10))+IF(D8153=1,2,IF(D8153=7,1,(IF(WEEKDAY(B8153)=1,2,IF(WEEKDAY(B8153)=7,1,0))))))</f>
        <v>3</v>
      </c>
      <c r="H8153" s="370">
        <v>12406.375</v>
      </c>
      <c r="I8153" s="370">
        <v>3502.0050048828125</v>
      </c>
      <c r="M8153" s="371">
        <f t="shared" si="509"/>
        <v>12891.166731326115</v>
      </c>
      <c r="N8153" s="329">
        <f t="shared" si="510"/>
        <v>0</v>
      </c>
      <c r="T8153" s="331">
        <v>0</v>
      </c>
      <c r="U8153" s="328">
        <f>VLOOKUP(C8153,METADATA!$J$5:$Q$29,IF(E8153="HI",2,IF(E8153="LO",6,10))+IF(T8153=1,2,IF(D8153=7,1,(IF(WEEKDAY(B8153)=1,2,IF(WEEKDAY(B8153)=7,1,0))))))</f>
        <v>3</v>
      </c>
      <c r="V8153" s="328">
        <f>VLOOKUP(C8153,METADATA!$A$5:$H$29,IF(E8153="HI",2,IF(E8153="LO",6,10))+IF(T8153=1,2,IF(D8153=7,1,(IF(WEEKDAY(B8153)=1,2,IF(WEEKDAY(B8153)=7,1,0))))))</f>
        <v>3</v>
      </c>
    </row>
    <row r="8154" spans="2:22">
      <c r="B8154" s="318">
        <f t="shared" si="507"/>
        <v>46452</v>
      </c>
      <c r="C8154" s="312">
        <v>14</v>
      </c>
      <c r="D8154" s="368">
        <f>IFERROR((INDEX(METADATA!$T$2:$T$20,MATCH(B8154,METADATA!$S$2:$S$20,0))),0)</f>
        <v>0</v>
      </c>
      <c r="E8154" s="312" t="str">
        <f t="shared" si="508"/>
        <v>LO</v>
      </c>
      <c r="F8154" s="369">
        <f>VLOOKUP(C8154,METADATA!$A$5:$H$29,IF(E8154="HI",2,IF(E8154="LO",6,10))+IF(D8154=1,2,IF(D8154=7,1,(IF(WEEKDAY(B8154)=1,2,IF(WEEKDAY(B8154)=7,1,0))))))</f>
        <v>3</v>
      </c>
      <c r="G8154" s="369">
        <f>VLOOKUP(C8154,METADATA!$J$5:$Q$29,IF(E8154="HI",2,IF(E8154="LO",6,10))+IF(D8154=1,2,IF(D8154=7,1,(IF(WEEKDAY(B8154)=1,2,IF(WEEKDAY(B8154)=7,1,0))))))</f>
        <v>3</v>
      </c>
      <c r="H8154" s="370">
        <v>12426.549987792969</v>
      </c>
      <c r="I8154" s="370">
        <v>3496.864990234375</v>
      </c>
      <c r="M8154" s="371">
        <f t="shared" si="509"/>
        <v>12909.19088707903</v>
      </c>
      <c r="N8154" s="329">
        <f t="shared" si="510"/>
        <v>0</v>
      </c>
      <c r="T8154" s="331">
        <v>0</v>
      </c>
      <c r="U8154" s="328">
        <f>VLOOKUP(C8154,METADATA!$J$5:$Q$29,IF(E8154="HI",2,IF(E8154="LO",6,10))+IF(T8154=1,2,IF(D8154=7,1,(IF(WEEKDAY(B8154)=1,2,IF(WEEKDAY(B8154)=7,1,0))))))</f>
        <v>3</v>
      </c>
      <c r="V8154" s="328">
        <f>VLOOKUP(C8154,METADATA!$A$5:$H$29,IF(E8154="HI",2,IF(E8154="LO",6,10))+IF(T8154=1,2,IF(D8154=7,1,(IF(WEEKDAY(B8154)=1,2,IF(WEEKDAY(B8154)=7,1,0))))))</f>
        <v>3</v>
      </c>
    </row>
    <row r="8155" spans="2:22">
      <c r="B8155" s="318">
        <f t="shared" si="507"/>
        <v>46452</v>
      </c>
      <c r="C8155" s="312">
        <v>15</v>
      </c>
      <c r="D8155" s="368">
        <f>IFERROR((INDEX(METADATA!$T$2:$T$20,MATCH(B8155,METADATA!$S$2:$S$20,0))),0)</f>
        <v>0</v>
      </c>
      <c r="E8155" s="312" t="str">
        <f t="shared" si="508"/>
        <v>LO</v>
      </c>
      <c r="F8155" s="369">
        <f>VLOOKUP(C8155,METADATA!$A$5:$H$29,IF(E8155="HI",2,IF(E8155="LO",6,10))+IF(D8155=1,2,IF(D8155=7,1,(IF(WEEKDAY(B8155)=1,2,IF(WEEKDAY(B8155)=7,1,0))))))</f>
        <v>3</v>
      </c>
      <c r="G8155" s="369">
        <f>VLOOKUP(C8155,METADATA!$J$5:$Q$29,IF(E8155="HI",2,IF(E8155="LO",6,10))+IF(D8155=1,2,IF(D8155=7,1,(IF(WEEKDAY(B8155)=1,2,IF(WEEKDAY(B8155)=7,1,0))))))</f>
        <v>3</v>
      </c>
      <c r="H8155" s="370">
        <v>12508.900085449219</v>
      </c>
      <c r="I8155" s="370">
        <v>3639.4549560546875</v>
      </c>
      <c r="M8155" s="371">
        <f t="shared" si="509"/>
        <v>13027.59431840363</v>
      </c>
      <c r="N8155" s="329">
        <f t="shared" si="510"/>
        <v>0</v>
      </c>
      <c r="T8155" s="331">
        <v>0</v>
      </c>
      <c r="U8155" s="328">
        <f>VLOOKUP(C8155,METADATA!$J$5:$Q$29,IF(E8155="HI",2,IF(E8155="LO",6,10))+IF(T8155=1,2,IF(D8155=7,1,(IF(WEEKDAY(B8155)=1,2,IF(WEEKDAY(B8155)=7,1,0))))))</f>
        <v>3</v>
      </c>
      <c r="V8155" s="328">
        <f>VLOOKUP(C8155,METADATA!$A$5:$H$29,IF(E8155="HI",2,IF(E8155="LO",6,10))+IF(T8155=1,2,IF(D8155=7,1,(IF(WEEKDAY(B8155)=1,2,IF(WEEKDAY(B8155)=7,1,0))))))</f>
        <v>3</v>
      </c>
    </row>
    <row r="8156" spans="2:22">
      <c r="B8156" s="318">
        <f t="shared" ref="B8156:B8219" si="511">B8132+1</f>
        <v>46452</v>
      </c>
      <c r="C8156" s="312">
        <v>16</v>
      </c>
      <c r="D8156" s="368">
        <f>IFERROR((INDEX(METADATA!$T$2:$T$20,MATCH(B8156,METADATA!$S$2:$S$20,0))),0)</f>
        <v>0</v>
      </c>
      <c r="E8156" s="312" t="str">
        <f t="shared" si="508"/>
        <v>LO</v>
      </c>
      <c r="F8156" s="369">
        <f>VLOOKUP(C8156,METADATA!$A$5:$H$29,IF(E8156="HI",2,IF(E8156="LO",6,10))+IF(D8156=1,2,IF(D8156=7,1,(IF(WEEKDAY(B8156)=1,2,IF(WEEKDAY(B8156)=7,1,0))))))</f>
        <v>3</v>
      </c>
      <c r="G8156" s="369">
        <f>VLOOKUP(C8156,METADATA!$J$5:$Q$29,IF(E8156="HI",2,IF(E8156="LO",6,10))+IF(D8156=1,2,IF(D8156=7,1,(IF(WEEKDAY(B8156)=1,2,IF(WEEKDAY(B8156)=7,1,0))))))</f>
        <v>3</v>
      </c>
      <c r="H8156" s="370">
        <v>12410.724670410156</v>
      </c>
      <c r="I8156" s="370">
        <v>3630.8250122070313</v>
      </c>
      <c r="M8156" s="371">
        <f t="shared" si="509"/>
        <v>12930.931022706582</v>
      </c>
      <c r="N8156" s="329">
        <f t="shared" si="510"/>
        <v>0</v>
      </c>
      <c r="T8156" s="331">
        <v>0</v>
      </c>
      <c r="U8156" s="328">
        <f>VLOOKUP(C8156,METADATA!$J$5:$Q$29,IF(E8156="HI",2,IF(E8156="LO",6,10))+IF(T8156=1,2,IF(D8156=7,1,(IF(WEEKDAY(B8156)=1,2,IF(WEEKDAY(B8156)=7,1,0))))))</f>
        <v>3</v>
      </c>
      <c r="V8156" s="328">
        <f>VLOOKUP(C8156,METADATA!$A$5:$H$29,IF(E8156="HI",2,IF(E8156="LO",6,10))+IF(T8156=1,2,IF(D8156=7,1,(IF(WEEKDAY(B8156)=1,2,IF(WEEKDAY(B8156)=7,1,0))))))</f>
        <v>3</v>
      </c>
    </row>
    <row r="8157" spans="2:22">
      <c r="B8157" s="318">
        <f t="shared" si="511"/>
        <v>46452</v>
      </c>
      <c r="C8157" s="312">
        <v>17</v>
      </c>
      <c r="D8157" s="368">
        <f>IFERROR((INDEX(METADATA!$T$2:$T$20,MATCH(B8157,METADATA!$S$2:$S$20,0))),0)</f>
        <v>0</v>
      </c>
      <c r="E8157" s="312" t="str">
        <f t="shared" si="508"/>
        <v>LO</v>
      </c>
      <c r="F8157" s="369">
        <f>VLOOKUP(C8157,METADATA!$A$5:$H$29,IF(E8157="HI",2,IF(E8157="LO",6,10))+IF(D8157=1,2,IF(D8157=7,1,(IF(WEEKDAY(B8157)=1,2,IF(WEEKDAY(B8157)=7,1,0))))))</f>
        <v>3</v>
      </c>
      <c r="G8157" s="369">
        <f>VLOOKUP(C8157,METADATA!$J$5:$Q$29,IF(E8157="HI",2,IF(E8157="LO",6,10))+IF(D8157=1,2,IF(D8157=7,1,(IF(WEEKDAY(B8157)=1,2,IF(WEEKDAY(B8157)=7,1,0))))))</f>
        <v>3</v>
      </c>
      <c r="H8157" s="370">
        <v>12506.499755859375</v>
      </c>
      <c r="I8157" s="370">
        <v>3607.0099945068359</v>
      </c>
      <c r="M8157" s="371">
        <f t="shared" si="509"/>
        <v>13016.261262120655</v>
      </c>
      <c r="N8157" s="329">
        <f t="shared" si="510"/>
        <v>0</v>
      </c>
      <c r="T8157" s="331">
        <v>0</v>
      </c>
      <c r="U8157" s="328">
        <f>VLOOKUP(C8157,METADATA!$J$5:$Q$29,IF(E8157="HI",2,IF(E8157="LO",6,10))+IF(T8157=1,2,IF(D8157=7,1,(IF(WEEKDAY(B8157)=1,2,IF(WEEKDAY(B8157)=7,1,0))))))</f>
        <v>3</v>
      </c>
      <c r="V8157" s="328">
        <f>VLOOKUP(C8157,METADATA!$A$5:$H$29,IF(E8157="HI",2,IF(E8157="LO",6,10))+IF(T8157=1,2,IF(D8157=7,1,(IF(WEEKDAY(B8157)=1,2,IF(WEEKDAY(B8157)=7,1,0))))))</f>
        <v>3</v>
      </c>
    </row>
    <row r="8158" spans="2:22">
      <c r="B8158" s="318">
        <f t="shared" si="511"/>
        <v>46452</v>
      </c>
      <c r="C8158" s="312">
        <v>18</v>
      </c>
      <c r="D8158" s="368">
        <f>IFERROR((INDEX(METADATA!$T$2:$T$20,MATCH(B8158,METADATA!$S$2:$S$20,0))),0)</f>
        <v>0</v>
      </c>
      <c r="E8158" s="312" t="str">
        <f t="shared" si="508"/>
        <v>LO</v>
      </c>
      <c r="F8158" s="369">
        <f>VLOOKUP(C8158,METADATA!$A$5:$H$29,IF(E8158="HI",2,IF(E8158="LO",6,10))+IF(D8158=1,2,IF(D8158=7,1,(IF(WEEKDAY(B8158)=1,2,IF(WEEKDAY(B8158)=7,1,0))))))</f>
        <v>2</v>
      </c>
      <c r="G8158" s="369">
        <f>VLOOKUP(C8158,METADATA!$J$5:$Q$29,IF(E8158="HI",2,IF(E8158="LO",6,10))+IF(D8158=1,2,IF(D8158=7,1,(IF(WEEKDAY(B8158)=1,2,IF(WEEKDAY(B8158)=7,1,0))))))</f>
        <v>2</v>
      </c>
      <c r="H8158" s="370">
        <v>12343.499694824219</v>
      </c>
      <c r="I8158" s="370">
        <v>3674.054931640625</v>
      </c>
      <c r="M8158" s="371">
        <f t="shared" si="509"/>
        <v>12878.690319936975</v>
      </c>
      <c r="N8158" s="329">
        <f t="shared" si="510"/>
        <v>0</v>
      </c>
      <c r="T8158" s="331">
        <v>0</v>
      </c>
      <c r="U8158" s="328">
        <f>VLOOKUP(C8158,METADATA!$J$5:$Q$29,IF(E8158="HI",2,IF(E8158="LO",6,10))+IF(T8158=1,2,IF(D8158=7,1,(IF(WEEKDAY(B8158)=1,2,IF(WEEKDAY(B8158)=7,1,0))))))</f>
        <v>2</v>
      </c>
      <c r="V8158" s="328">
        <f>VLOOKUP(C8158,METADATA!$A$5:$H$29,IF(E8158="HI",2,IF(E8158="LO",6,10))+IF(T8158=1,2,IF(D8158=7,1,(IF(WEEKDAY(B8158)=1,2,IF(WEEKDAY(B8158)=7,1,0))))))</f>
        <v>2</v>
      </c>
    </row>
    <row r="8159" spans="2:22">
      <c r="B8159" s="318">
        <f t="shared" si="511"/>
        <v>46452</v>
      </c>
      <c r="C8159" s="312">
        <v>19</v>
      </c>
      <c r="D8159" s="368">
        <f>IFERROR((INDEX(METADATA!$T$2:$T$20,MATCH(B8159,METADATA!$S$2:$S$20,0))),0)</f>
        <v>0</v>
      </c>
      <c r="E8159" s="312" t="str">
        <f t="shared" si="508"/>
        <v>LO</v>
      </c>
      <c r="F8159" s="369">
        <f>VLOOKUP(C8159,METADATA!$A$5:$H$29,IF(E8159="HI",2,IF(E8159="LO",6,10))+IF(D8159=1,2,IF(D8159=7,1,(IF(WEEKDAY(B8159)=1,2,IF(WEEKDAY(B8159)=7,1,0))))))</f>
        <v>2</v>
      </c>
      <c r="G8159" s="369">
        <f>VLOOKUP(C8159,METADATA!$J$5:$Q$29,IF(E8159="HI",2,IF(E8159="LO",6,10))+IF(D8159=1,2,IF(D8159=7,1,(IF(WEEKDAY(B8159)=1,2,IF(WEEKDAY(B8159)=7,1,0))))))</f>
        <v>2</v>
      </c>
      <c r="H8159" s="370">
        <v>12352.125</v>
      </c>
      <c r="I8159" s="370">
        <v>3527.5299835205078</v>
      </c>
      <c r="M8159" s="371">
        <f t="shared" si="509"/>
        <v>12845.951105319575</v>
      </c>
      <c r="N8159" s="329">
        <f t="shared" si="510"/>
        <v>0</v>
      </c>
      <c r="T8159" s="331">
        <v>0</v>
      </c>
      <c r="U8159" s="328">
        <f>VLOOKUP(C8159,METADATA!$J$5:$Q$29,IF(E8159="HI",2,IF(E8159="LO",6,10))+IF(T8159=1,2,IF(D8159=7,1,(IF(WEEKDAY(B8159)=1,2,IF(WEEKDAY(B8159)=7,1,0))))))</f>
        <v>2</v>
      </c>
      <c r="V8159" s="328">
        <f>VLOOKUP(C8159,METADATA!$A$5:$H$29,IF(E8159="HI",2,IF(E8159="LO",6,10))+IF(T8159=1,2,IF(D8159=7,1,(IF(WEEKDAY(B8159)=1,2,IF(WEEKDAY(B8159)=7,1,0))))))</f>
        <v>2</v>
      </c>
    </row>
    <row r="8160" spans="2:22">
      <c r="B8160" s="318">
        <f t="shared" si="511"/>
        <v>46452</v>
      </c>
      <c r="C8160" s="312">
        <v>20</v>
      </c>
      <c r="D8160" s="368">
        <f>IFERROR((INDEX(METADATA!$T$2:$T$20,MATCH(B8160,METADATA!$S$2:$S$20,0))),0)</f>
        <v>0</v>
      </c>
      <c r="E8160" s="312" t="str">
        <f t="shared" si="508"/>
        <v>LO</v>
      </c>
      <c r="F8160" s="369">
        <f>VLOOKUP(C8160,METADATA!$A$5:$H$29,IF(E8160="HI",2,IF(E8160="LO",6,10))+IF(D8160=1,2,IF(D8160=7,1,(IF(WEEKDAY(B8160)=1,2,IF(WEEKDAY(B8160)=7,1,0))))))</f>
        <v>3</v>
      </c>
      <c r="G8160" s="369">
        <f>VLOOKUP(C8160,METADATA!$J$5:$Q$29,IF(E8160="HI",2,IF(E8160="LO",6,10))+IF(D8160=1,2,IF(D8160=7,1,(IF(WEEKDAY(B8160)=1,2,IF(WEEKDAY(B8160)=7,1,0))))))</f>
        <v>3</v>
      </c>
      <c r="H8160" s="370">
        <v>12423.125</v>
      </c>
      <c r="I8160" s="370">
        <v>3522.9400787353516</v>
      </c>
      <c r="M8160" s="371">
        <f t="shared" si="509"/>
        <v>12912.983449380892</v>
      </c>
      <c r="N8160" s="329">
        <f t="shared" si="510"/>
        <v>0</v>
      </c>
      <c r="T8160" s="331">
        <v>0</v>
      </c>
      <c r="U8160" s="328">
        <f>VLOOKUP(C8160,METADATA!$J$5:$Q$29,IF(E8160="HI",2,IF(E8160="LO",6,10))+IF(T8160=1,2,IF(D8160=7,1,(IF(WEEKDAY(B8160)=1,2,IF(WEEKDAY(B8160)=7,1,0))))))</f>
        <v>3</v>
      </c>
      <c r="V8160" s="328">
        <f>VLOOKUP(C8160,METADATA!$A$5:$H$29,IF(E8160="HI",2,IF(E8160="LO",6,10))+IF(T8160=1,2,IF(D8160=7,1,(IF(WEEKDAY(B8160)=1,2,IF(WEEKDAY(B8160)=7,1,0))))))</f>
        <v>3</v>
      </c>
    </row>
    <row r="8161" spans="2:22">
      <c r="B8161" s="318">
        <f t="shared" si="511"/>
        <v>46452</v>
      </c>
      <c r="C8161" s="312">
        <v>21</v>
      </c>
      <c r="D8161" s="368">
        <f>IFERROR((INDEX(METADATA!$T$2:$T$20,MATCH(B8161,METADATA!$S$2:$S$20,0))),0)</f>
        <v>0</v>
      </c>
      <c r="E8161" s="312" t="str">
        <f t="shared" si="508"/>
        <v>LO</v>
      </c>
      <c r="F8161" s="369">
        <f>VLOOKUP(C8161,METADATA!$A$5:$H$29,IF(E8161="HI",2,IF(E8161="LO",6,10))+IF(D8161=1,2,IF(D8161=7,1,(IF(WEEKDAY(B8161)=1,2,IF(WEEKDAY(B8161)=7,1,0))))))</f>
        <v>3</v>
      </c>
      <c r="G8161" s="369">
        <f>VLOOKUP(C8161,METADATA!$J$5:$Q$29,IF(E8161="HI",2,IF(E8161="LO",6,10))+IF(D8161=1,2,IF(D8161=7,1,(IF(WEEKDAY(B8161)=1,2,IF(WEEKDAY(B8161)=7,1,0))))))</f>
        <v>3</v>
      </c>
      <c r="H8161" s="370">
        <v>12493.249877929688</v>
      </c>
      <c r="I8161" s="370">
        <v>3540.6200714111328</v>
      </c>
      <c r="M8161" s="371">
        <f t="shared" si="509"/>
        <v>12985.271772376176</v>
      </c>
      <c r="N8161" s="329">
        <f t="shared" si="510"/>
        <v>0</v>
      </c>
      <c r="T8161" s="331">
        <v>0</v>
      </c>
      <c r="U8161" s="328">
        <f>VLOOKUP(C8161,METADATA!$J$5:$Q$29,IF(E8161="HI",2,IF(E8161="LO",6,10))+IF(T8161=1,2,IF(D8161=7,1,(IF(WEEKDAY(B8161)=1,2,IF(WEEKDAY(B8161)=7,1,0))))))</f>
        <v>3</v>
      </c>
      <c r="V8161" s="328">
        <f>VLOOKUP(C8161,METADATA!$A$5:$H$29,IF(E8161="HI",2,IF(E8161="LO",6,10))+IF(T8161=1,2,IF(D8161=7,1,(IF(WEEKDAY(B8161)=1,2,IF(WEEKDAY(B8161)=7,1,0))))))</f>
        <v>3</v>
      </c>
    </row>
    <row r="8162" spans="2:22">
      <c r="B8162" s="318">
        <f t="shared" si="511"/>
        <v>46452</v>
      </c>
      <c r="C8162" s="312">
        <v>22</v>
      </c>
      <c r="D8162" s="368">
        <f>IFERROR((INDEX(METADATA!$T$2:$T$20,MATCH(B8162,METADATA!$S$2:$S$20,0))),0)</f>
        <v>0</v>
      </c>
      <c r="E8162" s="312" t="str">
        <f t="shared" si="508"/>
        <v>LO</v>
      </c>
      <c r="F8162" s="369">
        <f>VLOOKUP(C8162,METADATA!$A$5:$H$29,IF(E8162="HI",2,IF(E8162="LO",6,10))+IF(D8162=1,2,IF(D8162=7,1,(IF(WEEKDAY(B8162)=1,2,IF(WEEKDAY(B8162)=7,1,0))))))</f>
        <v>3</v>
      </c>
      <c r="G8162" s="369">
        <f>VLOOKUP(C8162,METADATA!$J$5:$Q$29,IF(E8162="HI",2,IF(E8162="LO",6,10))+IF(D8162=1,2,IF(D8162=7,1,(IF(WEEKDAY(B8162)=1,2,IF(WEEKDAY(B8162)=7,1,0))))))</f>
        <v>3</v>
      </c>
      <c r="H8162" s="370">
        <v>12651.199645996094</v>
      </c>
      <c r="I8162" s="370">
        <v>3791.81494140625</v>
      </c>
      <c r="M8162" s="371">
        <f t="shared" si="509"/>
        <v>13207.22200285599</v>
      </c>
      <c r="N8162" s="329">
        <f t="shared" si="510"/>
        <v>0</v>
      </c>
      <c r="T8162" s="331">
        <v>0</v>
      </c>
      <c r="U8162" s="328">
        <f>VLOOKUP(C8162,METADATA!$J$5:$Q$29,IF(E8162="HI",2,IF(E8162="LO",6,10))+IF(T8162=1,2,IF(D8162=7,1,(IF(WEEKDAY(B8162)=1,2,IF(WEEKDAY(B8162)=7,1,0))))))</f>
        <v>3</v>
      </c>
      <c r="V8162" s="328">
        <f>VLOOKUP(C8162,METADATA!$A$5:$H$29,IF(E8162="HI",2,IF(E8162="LO",6,10))+IF(T8162=1,2,IF(D8162=7,1,(IF(WEEKDAY(B8162)=1,2,IF(WEEKDAY(B8162)=7,1,0))))))</f>
        <v>3</v>
      </c>
    </row>
    <row r="8163" spans="2:22">
      <c r="B8163" s="318">
        <f t="shared" si="511"/>
        <v>46452</v>
      </c>
      <c r="C8163" s="312">
        <v>23</v>
      </c>
      <c r="D8163" s="368">
        <f>IFERROR((INDEX(METADATA!$T$2:$T$20,MATCH(B8163,METADATA!$S$2:$S$20,0))),0)</f>
        <v>0</v>
      </c>
      <c r="E8163" s="312" t="str">
        <f t="shared" si="508"/>
        <v>LO</v>
      </c>
      <c r="F8163" s="369">
        <f>VLOOKUP(C8163,METADATA!$A$5:$H$29,IF(E8163="HI",2,IF(E8163="LO",6,10))+IF(D8163=1,2,IF(D8163=7,1,(IF(WEEKDAY(B8163)=1,2,IF(WEEKDAY(B8163)=7,1,0))))))</f>
        <v>3</v>
      </c>
      <c r="G8163" s="369">
        <f>VLOOKUP(C8163,METADATA!$J$5:$Q$29,IF(E8163="HI",2,IF(E8163="LO",6,10))+IF(D8163=1,2,IF(D8163=7,1,(IF(WEEKDAY(B8163)=1,2,IF(WEEKDAY(B8163)=7,1,0))))))</f>
        <v>3</v>
      </c>
      <c r="H8163" s="370">
        <v>12716.525146484375</v>
      </c>
      <c r="I8163" s="370">
        <v>3860.4049987792969</v>
      </c>
      <c r="M8163" s="371">
        <f t="shared" si="509"/>
        <v>13289.572549776371</v>
      </c>
      <c r="N8163" s="329">
        <f t="shared" si="510"/>
        <v>45.447454833984466</v>
      </c>
      <c r="T8163" s="331">
        <v>0</v>
      </c>
      <c r="U8163" s="328">
        <f>VLOOKUP(C8163,METADATA!$J$5:$Q$29,IF(E8163="HI",2,IF(E8163="LO",6,10))+IF(T8163=1,2,IF(D8163=7,1,(IF(WEEKDAY(B8163)=1,2,IF(WEEKDAY(B8163)=7,1,0))))))</f>
        <v>3</v>
      </c>
      <c r="V8163" s="328">
        <f>VLOOKUP(C8163,METADATA!$A$5:$H$29,IF(E8163="HI",2,IF(E8163="LO",6,10))+IF(T8163=1,2,IF(D8163=7,1,(IF(WEEKDAY(B8163)=1,2,IF(WEEKDAY(B8163)=7,1,0))))))</f>
        <v>3</v>
      </c>
    </row>
    <row r="8164" spans="2:22">
      <c r="B8164" s="318">
        <f t="shared" si="511"/>
        <v>46453</v>
      </c>
      <c r="C8164" s="312">
        <v>0</v>
      </c>
      <c r="D8164" s="368">
        <f>IFERROR((INDEX(METADATA!$T$2:$T$20,MATCH(B8164,METADATA!$S$2:$S$20,0))),0)</f>
        <v>0</v>
      </c>
      <c r="E8164" s="312" t="str">
        <f t="shared" si="508"/>
        <v>LO</v>
      </c>
      <c r="F8164" s="369">
        <f>VLOOKUP(C8164,METADATA!$A$5:$H$29,IF(E8164="HI",2,IF(E8164="LO",6,10))+IF(D8164=1,2,IF(D8164=7,1,(IF(WEEKDAY(B8164)=1,2,IF(WEEKDAY(B8164)=7,1,0))))))</f>
        <v>3</v>
      </c>
      <c r="G8164" s="369">
        <f>VLOOKUP(C8164,METADATA!$J$5:$Q$29,IF(E8164="HI",2,IF(E8164="LO",6,10))+IF(D8164=1,2,IF(D8164=7,1,(IF(WEEKDAY(B8164)=1,2,IF(WEEKDAY(B8164)=7,1,0))))))</f>
        <v>3</v>
      </c>
      <c r="H8164" s="370">
        <v>12694.850158691406</v>
      </c>
      <c r="I8164" s="370">
        <v>3862.0950012207031</v>
      </c>
      <c r="M8164" s="371">
        <f t="shared" si="509"/>
        <v>13269.325467034154</v>
      </c>
      <c r="N8164" s="329">
        <f t="shared" si="510"/>
        <v>53.63995361328125</v>
      </c>
      <c r="T8164" s="331">
        <v>0</v>
      </c>
      <c r="U8164" s="328">
        <f>VLOOKUP(C8164,METADATA!$J$5:$Q$29,IF(E8164="HI",2,IF(E8164="LO",6,10))+IF(T8164=1,2,IF(D8164=7,1,(IF(WEEKDAY(B8164)=1,2,IF(WEEKDAY(B8164)=7,1,0))))))</f>
        <v>3</v>
      </c>
      <c r="V8164" s="328">
        <f>VLOOKUP(C8164,METADATA!$A$5:$H$29,IF(E8164="HI",2,IF(E8164="LO",6,10))+IF(T8164=1,2,IF(D8164=7,1,(IF(WEEKDAY(B8164)=1,2,IF(WEEKDAY(B8164)=7,1,0))))))</f>
        <v>3</v>
      </c>
    </row>
    <row r="8165" spans="2:22">
      <c r="B8165" s="318">
        <f t="shared" si="511"/>
        <v>46453</v>
      </c>
      <c r="C8165" s="312">
        <v>1</v>
      </c>
      <c r="D8165" s="368">
        <f>IFERROR((INDEX(METADATA!$T$2:$T$20,MATCH(B8165,METADATA!$S$2:$S$20,0))),0)</f>
        <v>0</v>
      </c>
      <c r="E8165" s="312" t="str">
        <f t="shared" si="508"/>
        <v>LO</v>
      </c>
      <c r="F8165" s="369">
        <f>VLOOKUP(C8165,METADATA!$A$5:$H$29,IF(E8165="HI",2,IF(E8165="LO",6,10))+IF(D8165=1,2,IF(D8165=7,1,(IF(WEEKDAY(B8165)=1,2,IF(WEEKDAY(B8165)=7,1,0))))))</f>
        <v>3</v>
      </c>
      <c r="G8165" s="369">
        <f>VLOOKUP(C8165,METADATA!$J$5:$Q$29,IF(E8165="HI",2,IF(E8165="LO",6,10))+IF(D8165=1,2,IF(D8165=7,1,(IF(WEEKDAY(B8165)=1,2,IF(WEEKDAY(B8165)=7,1,0))))))</f>
        <v>3</v>
      </c>
      <c r="H8165" s="370">
        <v>12630.370300292969</v>
      </c>
      <c r="I8165" s="370">
        <v>3659.2774810791016</v>
      </c>
      <c r="M8165" s="371">
        <f t="shared" si="509"/>
        <v>13149.774355708745</v>
      </c>
      <c r="N8165" s="329">
        <f t="shared" si="510"/>
        <v>0</v>
      </c>
      <c r="T8165" s="331">
        <v>0</v>
      </c>
      <c r="U8165" s="328">
        <f>VLOOKUP(C8165,METADATA!$J$5:$Q$29,IF(E8165="HI",2,IF(E8165="LO",6,10))+IF(T8165=1,2,IF(D8165=7,1,(IF(WEEKDAY(B8165)=1,2,IF(WEEKDAY(B8165)=7,1,0))))))</f>
        <v>3</v>
      </c>
      <c r="V8165" s="328">
        <f>VLOOKUP(C8165,METADATA!$A$5:$H$29,IF(E8165="HI",2,IF(E8165="LO",6,10))+IF(T8165=1,2,IF(D8165=7,1,(IF(WEEKDAY(B8165)=1,2,IF(WEEKDAY(B8165)=7,1,0))))))</f>
        <v>3</v>
      </c>
    </row>
    <row r="8166" spans="2:22">
      <c r="B8166" s="318">
        <f t="shared" si="511"/>
        <v>46453</v>
      </c>
      <c r="C8166" s="312">
        <v>2</v>
      </c>
      <c r="D8166" s="368">
        <f>IFERROR((INDEX(METADATA!$T$2:$T$20,MATCH(B8166,METADATA!$S$2:$S$20,0))),0)</f>
        <v>0</v>
      </c>
      <c r="E8166" s="312" t="str">
        <f t="shared" si="508"/>
        <v>LO</v>
      </c>
      <c r="F8166" s="369">
        <f>VLOOKUP(C8166,METADATA!$A$5:$H$29,IF(E8166="HI",2,IF(E8166="LO",6,10))+IF(D8166=1,2,IF(D8166=7,1,(IF(WEEKDAY(B8166)=1,2,IF(WEEKDAY(B8166)=7,1,0))))))</f>
        <v>3</v>
      </c>
      <c r="G8166" s="369">
        <f>VLOOKUP(C8166,METADATA!$J$5:$Q$29,IF(E8166="HI",2,IF(E8166="LO",6,10))+IF(D8166=1,2,IF(D8166=7,1,(IF(WEEKDAY(B8166)=1,2,IF(WEEKDAY(B8166)=7,1,0))))))</f>
        <v>3</v>
      </c>
      <c r="H8166" s="370">
        <v>12739.100280761719</v>
      </c>
      <c r="I8166" s="370">
        <v>3707.6450500488281</v>
      </c>
      <c r="M8166" s="371">
        <f t="shared" si="509"/>
        <v>13267.679065324684</v>
      </c>
      <c r="N8166" s="329">
        <f t="shared" si="510"/>
        <v>0</v>
      </c>
      <c r="T8166" s="331">
        <v>0</v>
      </c>
      <c r="U8166" s="328">
        <f>VLOOKUP(C8166,METADATA!$J$5:$Q$29,IF(E8166="HI",2,IF(E8166="LO",6,10))+IF(T8166=1,2,IF(D8166=7,1,(IF(WEEKDAY(B8166)=1,2,IF(WEEKDAY(B8166)=7,1,0))))))</f>
        <v>3</v>
      </c>
      <c r="V8166" s="328">
        <f>VLOOKUP(C8166,METADATA!$A$5:$H$29,IF(E8166="HI",2,IF(E8166="LO",6,10))+IF(T8166=1,2,IF(D8166=7,1,(IF(WEEKDAY(B8166)=1,2,IF(WEEKDAY(B8166)=7,1,0))))))</f>
        <v>3</v>
      </c>
    </row>
    <row r="8167" spans="2:22">
      <c r="B8167" s="318">
        <f t="shared" si="511"/>
        <v>46453</v>
      </c>
      <c r="C8167" s="312">
        <v>3</v>
      </c>
      <c r="D8167" s="368">
        <f>IFERROR((INDEX(METADATA!$T$2:$T$20,MATCH(B8167,METADATA!$S$2:$S$20,0))),0)</f>
        <v>0</v>
      </c>
      <c r="E8167" s="312" t="str">
        <f t="shared" si="508"/>
        <v>LO</v>
      </c>
      <c r="F8167" s="369">
        <f>VLOOKUP(C8167,METADATA!$A$5:$H$29,IF(E8167="HI",2,IF(E8167="LO",6,10))+IF(D8167=1,2,IF(D8167=7,1,(IF(WEEKDAY(B8167)=1,2,IF(WEEKDAY(B8167)=7,1,0))))))</f>
        <v>3</v>
      </c>
      <c r="G8167" s="369">
        <f>VLOOKUP(C8167,METADATA!$J$5:$Q$29,IF(E8167="HI",2,IF(E8167="LO",6,10))+IF(D8167=1,2,IF(D8167=7,1,(IF(WEEKDAY(B8167)=1,2,IF(WEEKDAY(B8167)=7,1,0))))))</f>
        <v>3</v>
      </c>
      <c r="H8167" s="370">
        <v>12279.100341796875</v>
      </c>
      <c r="I8167" s="370">
        <v>3327.2700576782227</v>
      </c>
      <c r="M8167" s="371">
        <f t="shared" si="509"/>
        <v>12721.911461751264</v>
      </c>
      <c r="N8167" s="329">
        <f t="shared" si="510"/>
        <v>0</v>
      </c>
      <c r="T8167" s="331">
        <v>0</v>
      </c>
      <c r="U8167" s="328">
        <f>VLOOKUP(C8167,METADATA!$J$5:$Q$29,IF(E8167="HI",2,IF(E8167="LO",6,10))+IF(T8167=1,2,IF(D8167=7,1,(IF(WEEKDAY(B8167)=1,2,IF(WEEKDAY(B8167)=7,1,0))))))</f>
        <v>3</v>
      </c>
      <c r="V8167" s="328">
        <f>VLOOKUP(C8167,METADATA!$A$5:$H$29,IF(E8167="HI",2,IF(E8167="LO",6,10))+IF(T8167=1,2,IF(D8167=7,1,(IF(WEEKDAY(B8167)=1,2,IF(WEEKDAY(B8167)=7,1,0))))))</f>
        <v>3</v>
      </c>
    </row>
    <row r="8168" spans="2:22">
      <c r="B8168" s="318">
        <f t="shared" si="511"/>
        <v>46453</v>
      </c>
      <c r="C8168" s="312">
        <v>4</v>
      </c>
      <c r="D8168" s="368">
        <f>IFERROR((INDEX(METADATA!$T$2:$T$20,MATCH(B8168,METADATA!$S$2:$S$20,0))),0)</f>
        <v>0</v>
      </c>
      <c r="E8168" s="312" t="str">
        <f t="shared" si="508"/>
        <v>LO</v>
      </c>
      <c r="F8168" s="369">
        <f>VLOOKUP(C8168,METADATA!$A$5:$H$29,IF(E8168="HI",2,IF(E8168="LO",6,10))+IF(D8168=1,2,IF(D8168=7,1,(IF(WEEKDAY(B8168)=1,2,IF(WEEKDAY(B8168)=7,1,0))))))</f>
        <v>3</v>
      </c>
      <c r="G8168" s="369">
        <f>VLOOKUP(C8168,METADATA!$J$5:$Q$29,IF(E8168="HI",2,IF(E8168="LO",6,10))+IF(D8168=1,2,IF(D8168=7,1,(IF(WEEKDAY(B8168)=1,2,IF(WEEKDAY(B8168)=7,1,0))))))</f>
        <v>3</v>
      </c>
      <c r="H8168" s="370">
        <v>12104.300048828125</v>
      </c>
      <c r="I8168" s="370">
        <v>3197.4549560546875</v>
      </c>
      <c r="M8168" s="371">
        <f t="shared" si="509"/>
        <v>12519.496709854562</v>
      </c>
      <c r="N8168" s="329">
        <f t="shared" si="510"/>
        <v>0</v>
      </c>
      <c r="T8168" s="331">
        <v>0</v>
      </c>
      <c r="U8168" s="328">
        <f>VLOOKUP(C8168,METADATA!$J$5:$Q$29,IF(E8168="HI",2,IF(E8168="LO",6,10))+IF(T8168=1,2,IF(D8168=7,1,(IF(WEEKDAY(B8168)=1,2,IF(WEEKDAY(B8168)=7,1,0))))))</f>
        <v>3</v>
      </c>
      <c r="V8168" s="328">
        <f>VLOOKUP(C8168,METADATA!$A$5:$H$29,IF(E8168="HI",2,IF(E8168="LO",6,10))+IF(T8168=1,2,IF(D8168=7,1,(IF(WEEKDAY(B8168)=1,2,IF(WEEKDAY(B8168)=7,1,0))))))</f>
        <v>3</v>
      </c>
    </row>
    <row r="8169" spans="2:22">
      <c r="B8169" s="318">
        <f t="shared" si="511"/>
        <v>46453</v>
      </c>
      <c r="C8169" s="312">
        <v>5</v>
      </c>
      <c r="D8169" s="368">
        <f>IFERROR((INDEX(METADATA!$T$2:$T$20,MATCH(B8169,METADATA!$S$2:$S$20,0))),0)</f>
        <v>0</v>
      </c>
      <c r="E8169" s="312" t="str">
        <f t="shared" si="508"/>
        <v>LO</v>
      </c>
      <c r="F8169" s="369">
        <f>VLOOKUP(C8169,METADATA!$A$5:$H$29,IF(E8169="HI",2,IF(E8169="LO",6,10))+IF(D8169=1,2,IF(D8169=7,1,(IF(WEEKDAY(B8169)=1,2,IF(WEEKDAY(B8169)=7,1,0))))))</f>
        <v>3</v>
      </c>
      <c r="G8169" s="369">
        <f>VLOOKUP(C8169,METADATA!$J$5:$Q$29,IF(E8169="HI",2,IF(E8169="LO",6,10))+IF(D8169=1,2,IF(D8169=7,1,(IF(WEEKDAY(B8169)=1,2,IF(WEEKDAY(B8169)=7,1,0))))))</f>
        <v>3</v>
      </c>
      <c r="H8169" s="370">
        <v>12340.924743652344</v>
      </c>
      <c r="I8169" s="370">
        <v>3334.2900543212891</v>
      </c>
      <c r="M8169" s="371">
        <f t="shared" si="509"/>
        <v>12783.423394961012</v>
      </c>
      <c r="N8169" s="329">
        <f t="shared" si="510"/>
        <v>0</v>
      </c>
      <c r="T8169" s="331">
        <v>0</v>
      </c>
      <c r="U8169" s="328">
        <f>VLOOKUP(C8169,METADATA!$J$5:$Q$29,IF(E8169="HI",2,IF(E8169="LO",6,10))+IF(T8169=1,2,IF(D8169=7,1,(IF(WEEKDAY(B8169)=1,2,IF(WEEKDAY(B8169)=7,1,0))))))</f>
        <v>3</v>
      </c>
      <c r="V8169" s="328">
        <f>VLOOKUP(C8169,METADATA!$A$5:$H$29,IF(E8169="HI",2,IF(E8169="LO",6,10))+IF(T8169=1,2,IF(D8169=7,1,(IF(WEEKDAY(B8169)=1,2,IF(WEEKDAY(B8169)=7,1,0))))))</f>
        <v>3</v>
      </c>
    </row>
    <row r="8170" spans="2:22">
      <c r="B8170" s="318">
        <f t="shared" si="511"/>
        <v>46453</v>
      </c>
      <c r="C8170" s="312">
        <v>6</v>
      </c>
      <c r="D8170" s="368">
        <f>IFERROR((INDEX(METADATA!$T$2:$T$20,MATCH(B8170,METADATA!$S$2:$S$20,0))),0)</f>
        <v>0</v>
      </c>
      <c r="E8170" s="312" t="str">
        <f t="shared" si="508"/>
        <v>LO</v>
      </c>
      <c r="F8170" s="369">
        <f>VLOOKUP(C8170,METADATA!$A$5:$H$29,IF(E8170="HI",2,IF(E8170="LO",6,10))+IF(D8170=1,2,IF(D8170=7,1,(IF(WEEKDAY(B8170)=1,2,IF(WEEKDAY(B8170)=7,1,0))))))</f>
        <v>3</v>
      </c>
      <c r="G8170" s="369">
        <f>VLOOKUP(C8170,METADATA!$J$5:$Q$29,IF(E8170="HI",2,IF(E8170="LO",6,10))+IF(D8170=1,2,IF(D8170=7,1,(IF(WEEKDAY(B8170)=1,2,IF(WEEKDAY(B8170)=7,1,0))))))</f>
        <v>3</v>
      </c>
      <c r="H8170" s="370">
        <v>12518.500122070313</v>
      </c>
      <c r="I8170" s="370">
        <v>3391.6249389648438</v>
      </c>
      <c r="M8170" s="371">
        <f t="shared" si="509"/>
        <v>12969.809753149146</v>
      </c>
      <c r="N8170" s="329">
        <f t="shared" si="510"/>
        <v>0</v>
      </c>
      <c r="T8170" s="331">
        <v>0</v>
      </c>
      <c r="U8170" s="328">
        <f>VLOOKUP(C8170,METADATA!$J$5:$Q$29,IF(E8170="HI",2,IF(E8170="LO",6,10))+IF(T8170=1,2,IF(D8170=7,1,(IF(WEEKDAY(B8170)=1,2,IF(WEEKDAY(B8170)=7,1,0))))))</f>
        <v>3</v>
      </c>
      <c r="V8170" s="328">
        <f>VLOOKUP(C8170,METADATA!$A$5:$H$29,IF(E8170="HI",2,IF(E8170="LO",6,10))+IF(T8170=1,2,IF(D8170=7,1,(IF(WEEKDAY(B8170)=1,2,IF(WEEKDAY(B8170)=7,1,0))))))</f>
        <v>3</v>
      </c>
    </row>
    <row r="8171" spans="2:22">
      <c r="B8171" s="318">
        <f t="shared" si="511"/>
        <v>46453</v>
      </c>
      <c r="C8171" s="312">
        <v>7</v>
      </c>
      <c r="D8171" s="368">
        <f>IFERROR((INDEX(METADATA!$T$2:$T$20,MATCH(B8171,METADATA!$S$2:$S$20,0))),0)</f>
        <v>0</v>
      </c>
      <c r="E8171" s="312" t="str">
        <f t="shared" si="508"/>
        <v>LO</v>
      </c>
      <c r="F8171" s="369">
        <f>VLOOKUP(C8171,METADATA!$A$5:$H$29,IF(E8171="HI",2,IF(E8171="LO",6,10))+IF(D8171=1,2,IF(D8171=7,1,(IF(WEEKDAY(B8171)=1,2,IF(WEEKDAY(B8171)=7,1,0))))))</f>
        <v>3</v>
      </c>
      <c r="G8171" s="369">
        <f>VLOOKUP(C8171,METADATA!$J$5:$Q$29,IF(E8171="HI",2,IF(E8171="LO",6,10))+IF(D8171=1,2,IF(D8171=7,1,(IF(WEEKDAY(B8171)=1,2,IF(WEEKDAY(B8171)=7,1,0))))))</f>
        <v>3</v>
      </c>
      <c r="H8171" s="370">
        <v>12525.000183105469</v>
      </c>
      <c r="I8171" s="370">
        <v>3569.7200622558594</v>
      </c>
      <c r="M8171" s="371">
        <f t="shared" si="509"/>
        <v>13023.767922904031</v>
      </c>
      <c r="N8171" s="329">
        <f t="shared" si="510"/>
        <v>0</v>
      </c>
      <c r="T8171" s="331">
        <v>0</v>
      </c>
      <c r="U8171" s="328">
        <f>VLOOKUP(C8171,METADATA!$J$5:$Q$29,IF(E8171="HI",2,IF(E8171="LO",6,10))+IF(T8171=1,2,IF(D8171=7,1,(IF(WEEKDAY(B8171)=1,2,IF(WEEKDAY(B8171)=7,1,0))))))</f>
        <v>3</v>
      </c>
      <c r="V8171" s="328">
        <f>VLOOKUP(C8171,METADATA!$A$5:$H$29,IF(E8171="HI",2,IF(E8171="LO",6,10))+IF(T8171=1,2,IF(D8171=7,1,(IF(WEEKDAY(B8171)=1,2,IF(WEEKDAY(B8171)=7,1,0))))))</f>
        <v>3</v>
      </c>
    </row>
    <row r="8172" spans="2:22">
      <c r="B8172" s="318">
        <f t="shared" si="511"/>
        <v>46453</v>
      </c>
      <c r="C8172" s="312">
        <v>8</v>
      </c>
      <c r="D8172" s="368">
        <f>IFERROR((INDEX(METADATA!$T$2:$T$20,MATCH(B8172,METADATA!$S$2:$S$20,0))),0)</f>
        <v>0</v>
      </c>
      <c r="E8172" s="312" t="str">
        <f t="shared" si="508"/>
        <v>LO</v>
      </c>
      <c r="F8172" s="369">
        <f>VLOOKUP(C8172,METADATA!$A$5:$H$29,IF(E8172="HI",2,IF(E8172="LO",6,10))+IF(D8172=1,2,IF(D8172=7,1,(IF(WEEKDAY(B8172)=1,2,IF(WEEKDAY(B8172)=7,1,0))))))</f>
        <v>3</v>
      </c>
      <c r="G8172" s="369">
        <f>VLOOKUP(C8172,METADATA!$J$5:$Q$29,IF(E8172="HI",2,IF(E8172="LO",6,10))+IF(D8172=1,2,IF(D8172=7,1,(IF(WEEKDAY(B8172)=1,2,IF(WEEKDAY(B8172)=7,1,0))))))</f>
        <v>3</v>
      </c>
      <c r="H8172" s="370">
        <v>12506.024719238281</v>
      </c>
      <c r="I8172" s="370">
        <v>3434.6399841308594</v>
      </c>
      <c r="M8172" s="371">
        <f t="shared" si="509"/>
        <v>12969.094266709197</v>
      </c>
      <c r="N8172" s="329">
        <f t="shared" si="510"/>
        <v>0</v>
      </c>
      <c r="T8172" s="331">
        <v>0</v>
      </c>
      <c r="U8172" s="328">
        <f>VLOOKUP(C8172,METADATA!$J$5:$Q$29,IF(E8172="HI",2,IF(E8172="LO",6,10))+IF(T8172=1,2,IF(D8172=7,1,(IF(WEEKDAY(B8172)=1,2,IF(WEEKDAY(B8172)=7,1,0))))))</f>
        <v>3</v>
      </c>
      <c r="V8172" s="328">
        <f>VLOOKUP(C8172,METADATA!$A$5:$H$29,IF(E8172="HI",2,IF(E8172="LO",6,10))+IF(T8172=1,2,IF(D8172=7,1,(IF(WEEKDAY(B8172)=1,2,IF(WEEKDAY(B8172)=7,1,0))))))</f>
        <v>3</v>
      </c>
    </row>
    <row r="8173" spans="2:22">
      <c r="B8173" s="318">
        <f t="shared" si="511"/>
        <v>46453</v>
      </c>
      <c r="C8173" s="312">
        <v>9</v>
      </c>
      <c r="D8173" s="368">
        <f>IFERROR((INDEX(METADATA!$T$2:$T$20,MATCH(B8173,METADATA!$S$2:$S$20,0))),0)</f>
        <v>0</v>
      </c>
      <c r="E8173" s="312" t="str">
        <f t="shared" si="508"/>
        <v>LO</v>
      </c>
      <c r="F8173" s="369">
        <f>VLOOKUP(C8173,METADATA!$A$5:$H$29,IF(E8173="HI",2,IF(E8173="LO",6,10))+IF(D8173=1,2,IF(D8173=7,1,(IF(WEEKDAY(B8173)=1,2,IF(WEEKDAY(B8173)=7,1,0))))))</f>
        <v>3</v>
      </c>
      <c r="G8173" s="369">
        <f>VLOOKUP(C8173,METADATA!$J$5:$Q$29,IF(E8173="HI",2,IF(E8173="LO",6,10))+IF(D8173=1,2,IF(D8173=7,1,(IF(WEEKDAY(B8173)=1,2,IF(WEEKDAY(B8173)=7,1,0))))))</f>
        <v>3</v>
      </c>
      <c r="H8173" s="370">
        <v>12128.150024414063</v>
      </c>
      <c r="I8173" s="370">
        <v>3366.8699798583984</v>
      </c>
      <c r="M8173" s="371">
        <f t="shared" si="509"/>
        <v>12586.812006062795</v>
      </c>
      <c r="N8173" s="329">
        <f t="shared" si="510"/>
        <v>0</v>
      </c>
      <c r="T8173" s="331">
        <v>0</v>
      </c>
      <c r="U8173" s="328">
        <f>VLOOKUP(C8173,METADATA!$J$5:$Q$29,IF(E8173="HI",2,IF(E8173="LO",6,10))+IF(T8173=1,2,IF(D8173=7,1,(IF(WEEKDAY(B8173)=1,2,IF(WEEKDAY(B8173)=7,1,0))))))</f>
        <v>3</v>
      </c>
      <c r="V8173" s="328">
        <f>VLOOKUP(C8173,METADATA!$A$5:$H$29,IF(E8173="HI",2,IF(E8173="LO",6,10))+IF(T8173=1,2,IF(D8173=7,1,(IF(WEEKDAY(B8173)=1,2,IF(WEEKDAY(B8173)=7,1,0))))))</f>
        <v>3</v>
      </c>
    </row>
    <row r="8174" spans="2:22">
      <c r="B8174" s="318">
        <f t="shared" si="511"/>
        <v>46453</v>
      </c>
      <c r="C8174" s="312">
        <v>10</v>
      </c>
      <c r="D8174" s="368">
        <f>IFERROR((INDEX(METADATA!$T$2:$T$20,MATCH(B8174,METADATA!$S$2:$S$20,0))),0)</f>
        <v>0</v>
      </c>
      <c r="E8174" s="312" t="str">
        <f t="shared" si="508"/>
        <v>LO</v>
      </c>
      <c r="F8174" s="369">
        <f>VLOOKUP(C8174,METADATA!$A$5:$H$29,IF(E8174="HI",2,IF(E8174="LO",6,10))+IF(D8174=1,2,IF(D8174=7,1,(IF(WEEKDAY(B8174)=1,2,IF(WEEKDAY(B8174)=7,1,0))))))</f>
        <v>3</v>
      </c>
      <c r="G8174" s="369">
        <f>VLOOKUP(C8174,METADATA!$J$5:$Q$29,IF(E8174="HI",2,IF(E8174="LO",6,10))+IF(D8174=1,2,IF(D8174=7,1,(IF(WEEKDAY(B8174)=1,2,IF(WEEKDAY(B8174)=7,1,0))))))</f>
        <v>3</v>
      </c>
      <c r="H8174" s="370">
        <v>7230.8749389648438</v>
      </c>
      <c r="I8174" s="370">
        <v>2479.0750122070313</v>
      </c>
      <c r="M8174" s="371">
        <f t="shared" si="509"/>
        <v>7644.0411628339052</v>
      </c>
      <c r="N8174" s="329">
        <f t="shared" si="510"/>
        <v>309.81253051757813</v>
      </c>
      <c r="T8174" s="331">
        <v>0</v>
      </c>
      <c r="U8174" s="328">
        <f>VLOOKUP(C8174,METADATA!$J$5:$Q$29,IF(E8174="HI",2,IF(E8174="LO",6,10))+IF(T8174=1,2,IF(D8174=7,1,(IF(WEEKDAY(B8174)=1,2,IF(WEEKDAY(B8174)=7,1,0))))))</f>
        <v>3</v>
      </c>
      <c r="V8174" s="328">
        <f>VLOOKUP(C8174,METADATA!$A$5:$H$29,IF(E8174="HI",2,IF(E8174="LO",6,10))+IF(T8174=1,2,IF(D8174=7,1,(IF(WEEKDAY(B8174)=1,2,IF(WEEKDAY(B8174)=7,1,0))))))</f>
        <v>3</v>
      </c>
    </row>
    <row r="8175" spans="2:22">
      <c r="B8175" s="318">
        <f t="shared" si="511"/>
        <v>46453</v>
      </c>
      <c r="C8175" s="312">
        <v>11</v>
      </c>
      <c r="D8175" s="368">
        <f>IFERROR((INDEX(METADATA!$T$2:$T$20,MATCH(B8175,METADATA!$S$2:$S$20,0))),0)</f>
        <v>0</v>
      </c>
      <c r="E8175" s="312" t="str">
        <f t="shared" si="508"/>
        <v>LO</v>
      </c>
      <c r="F8175" s="369">
        <f>VLOOKUP(C8175,METADATA!$A$5:$H$29,IF(E8175="HI",2,IF(E8175="LO",6,10))+IF(D8175=1,2,IF(D8175=7,1,(IF(WEEKDAY(B8175)=1,2,IF(WEEKDAY(B8175)=7,1,0))))))</f>
        <v>3</v>
      </c>
      <c r="G8175" s="369">
        <f>VLOOKUP(C8175,METADATA!$J$5:$Q$29,IF(E8175="HI",2,IF(E8175="LO",6,10))+IF(D8175=1,2,IF(D8175=7,1,(IF(WEEKDAY(B8175)=1,2,IF(WEEKDAY(B8175)=7,1,0))))))</f>
        <v>3</v>
      </c>
      <c r="H8175" s="370">
        <v>7917.7974548339844</v>
      </c>
      <c r="I8175" s="370">
        <v>1797.5399720668793</v>
      </c>
      <c r="M8175" s="371">
        <f t="shared" si="509"/>
        <v>8119.2774608923</v>
      </c>
      <c r="N8175" s="329">
        <f t="shared" si="510"/>
        <v>0</v>
      </c>
      <c r="T8175" s="331">
        <v>0</v>
      </c>
      <c r="U8175" s="328">
        <f>VLOOKUP(C8175,METADATA!$J$5:$Q$29,IF(E8175="HI",2,IF(E8175="LO",6,10))+IF(T8175=1,2,IF(D8175=7,1,(IF(WEEKDAY(B8175)=1,2,IF(WEEKDAY(B8175)=7,1,0))))))</f>
        <v>3</v>
      </c>
      <c r="V8175" s="328">
        <f>VLOOKUP(C8175,METADATA!$A$5:$H$29,IF(E8175="HI",2,IF(E8175="LO",6,10))+IF(T8175=1,2,IF(D8175=7,1,(IF(WEEKDAY(B8175)=1,2,IF(WEEKDAY(B8175)=7,1,0))))))</f>
        <v>3</v>
      </c>
    </row>
    <row r="8176" spans="2:22">
      <c r="B8176" s="318">
        <f t="shared" si="511"/>
        <v>46453</v>
      </c>
      <c r="C8176" s="312">
        <v>12</v>
      </c>
      <c r="D8176" s="368">
        <f>IFERROR((INDEX(METADATA!$T$2:$T$20,MATCH(B8176,METADATA!$S$2:$S$20,0))),0)</f>
        <v>0</v>
      </c>
      <c r="E8176" s="312" t="str">
        <f t="shared" si="508"/>
        <v>LO</v>
      </c>
      <c r="F8176" s="369">
        <f>VLOOKUP(C8176,METADATA!$A$5:$H$29,IF(E8176="HI",2,IF(E8176="LO",6,10))+IF(D8176=1,2,IF(D8176=7,1,(IF(WEEKDAY(B8176)=1,2,IF(WEEKDAY(B8176)=7,1,0))))))</f>
        <v>3</v>
      </c>
      <c r="G8176" s="369">
        <f>VLOOKUP(C8176,METADATA!$J$5:$Q$29,IF(E8176="HI",2,IF(E8176="LO",6,10))+IF(D8176=1,2,IF(D8176=7,1,(IF(WEEKDAY(B8176)=1,2,IF(WEEKDAY(B8176)=7,1,0))))))</f>
        <v>3</v>
      </c>
      <c r="H8176" s="370">
        <v>10988.925018310547</v>
      </c>
      <c r="I8176" s="370">
        <v>2563.969970703125</v>
      </c>
      <c r="M8176" s="371">
        <f t="shared" si="509"/>
        <v>11284.077944994833</v>
      </c>
      <c r="N8176" s="329">
        <f t="shared" si="510"/>
        <v>0</v>
      </c>
      <c r="T8176" s="331">
        <v>0</v>
      </c>
      <c r="U8176" s="328">
        <f>VLOOKUP(C8176,METADATA!$J$5:$Q$29,IF(E8176="HI",2,IF(E8176="LO",6,10))+IF(T8176=1,2,IF(D8176=7,1,(IF(WEEKDAY(B8176)=1,2,IF(WEEKDAY(B8176)=7,1,0))))))</f>
        <v>3</v>
      </c>
      <c r="V8176" s="328">
        <f>VLOOKUP(C8176,METADATA!$A$5:$H$29,IF(E8176="HI",2,IF(E8176="LO",6,10))+IF(T8176=1,2,IF(D8176=7,1,(IF(WEEKDAY(B8176)=1,2,IF(WEEKDAY(B8176)=7,1,0))))))</f>
        <v>3</v>
      </c>
    </row>
    <row r="8177" spans="2:22">
      <c r="B8177" s="318">
        <f t="shared" si="511"/>
        <v>46453</v>
      </c>
      <c r="C8177" s="312">
        <v>13</v>
      </c>
      <c r="D8177" s="368">
        <f>IFERROR((INDEX(METADATA!$T$2:$T$20,MATCH(B8177,METADATA!$S$2:$S$20,0))),0)</f>
        <v>0</v>
      </c>
      <c r="E8177" s="312" t="str">
        <f t="shared" si="508"/>
        <v>LO</v>
      </c>
      <c r="F8177" s="369">
        <f>VLOOKUP(C8177,METADATA!$A$5:$H$29,IF(E8177="HI",2,IF(E8177="LO",6,10))+IF(D8177=1,2,IF(D8177=7,1,(IF(WEEKDAY(B8177)=1,2,IF(WEEKDAY(B8177)=7,1,0))))))</f>
        <v>3</v>
      </c>
      <c r="G8177" s="369">
        <f>VLOOKUP(C8177,METADATA!$J$5:$Q$29,IF(E8177="HI",2,IF(E8177="LO",6,10))+IF(D8177=1,2,IF(D8177=7,1,(IF(WEEKDAY(B8177)=1,2,IF(WEEKDAY(B8177)=7,1,0))))))</f>
        <v>3</v>
      </c>
      <c r="H8177" s="370">
        <v>12450.900024414063</v>
      </c>
      <c r="I8177" s="370">
        <v>3250.3099975585938</v>
      </c>
      <c r="M8177" s="371">
        <f t="shared" si="509"/>
        <v>12868.155520438173</v>
      </c>
      <c r="N8177" s="329">
        <f t="shared" si="510"/>
        <v>0</v>
      </c>
      <c r="T8177" s="331">
        <v>0</v>
      </c>
      <c r="U8177" s="328">
        <f>VLOOKUP(C8177,METADATA!$J$5:$Q$29,IF(E8177="HI",2,IF(E8177="LO",6,10))+IF(T8177=1,2,IF(D8177=7,1,(IF(WEEKDAY(B8177)=1,2,IF(WEEKDAY(B8177)=7,1,0))))))</f>
        <v>3</v>
      </c>
      <c r="V8177" s="328">
        <f>VLOOKUP(C8177,METADATA!$A$5:$H$29,IF(E8177="HI",2,IF(E8177="LO",6,10))+IF(T8177=1,2,IF(D8177=7,1,(IF(WEEKDAY(B8177)=1,2,IF(WEEKDAY(B8177)=7,1,0))))))</f>
        <v>3</v>
      </c>
    </row>
    <row r="8178" spans="2:22">
      <c r="B8178" s="318">
        <f t="shared" si="511"/>
        <v>46453</v>
      </c>
      <c r="C8178" s="312">
        <v>14</v>
      </c>
      <c r="D8178" s="368">
        <f>IFERROR((INDEX(METADATA!$T$2:$T$20,MATCH(B8178,METADATA!$S$2:$S$20,0))),0)</f>
        <v>0</v>
      </c>
      <c r="E8178" s="312" t="str">
        <f t="shared" si="508"/>
        <v>LO</v>
      </c>
      <c r="F8178" s="369">
        <f>VLOOKUP(C8178,METADATA!$A$5:$H$29,IF(E8178="HI",2,IF(E8178="LO",6,10))+IF(D8178=1,2,IF(D8178=7,1,(IF(WEEKDAY(B8178)=1,2,IF(WEEKDAY(B8178)=7,1,0))))))</f>
        <v>3</v>
      </c>
      <c r="G8178" s="369">
        <f>VLOOKUP(C8178,METADATA!$J$5:$Q$29,IF(E8178="HI",2,IF(E8178="LO",6,10))+IF(D8178=1,2,IF(D8178=7,1,(IF(WEEKDAY(B8178)=1,2,IF(WEEKDAY(B8178)=7,1,0))))))</f>
        <v>3</v>
      </c>
      <c r="H8178" s="370">
        <v>12812.675048828125</v>
      </c>
      <c r="I8178" s="370">
        <v>3611.4649658203125</v>
      </c>
      <c r="M8178" s="371">
        <f t="shared" si="509"/>
        <v>13311.924019697915</v>
      </c>
      <c r="N8178" s="329">
        <f t="shared" si="510"/>
        <v>0</v>
      </c>
      <c r="T8178" s="331">
        <v>0</v>
      </c>
      <c r="U8178" s="328">
        <f>VLOOKUP(C8178,METADATA!$J$5:$Q$29,IF(E8178="HI",2,IF(E8178="LO",6,10))+IF(T8178=1,2,IF(D8178=7,1,(IF(WEEKDAY(B8178)=1,2,IF(WEEKDAY(B8178)=7,1,0))))))</f>
        <v>3</v>
      </c>
      <c r="V8178" s="328">
        <f>VLOOKUP(C8178,METADATA!$A$5:$H$29,IF(E8178="HI",2,IF(E8178="LO",6,10))+IF(T8178=1,2,IF(D8178=7,1,(IF(WEEKDAY(B8178)=1,2,IF(WEEKDAY(B8178)=7,1,0))))))</f>
        <v>3</v>
      </c>
    </row>
    <row r="8179" spans="2:22">
      <c r="B8179" s="318">
        <f t="shared" si="511"/>
        <v>46453</v>
      </c>
      <c r="C8179" s="312">
        <v>15</v>
      </c>
      <c r="D8179" s="368">
        <f>IFERROR((INDEX(METADATA!$T$2:$T$20,MATCH(B8179,METADATA!$S$2:$S$20,0))),0)</f>
        <v>0</v>
      </c>
      <c r="E8179" s="312" t="str">
        <f t="shared" si="508"/>
        <v>LO</v>
      </c>
      <c r="F8179" s="369">
        <f>VLOOKUP(C8179,METADATA!$A$5:$H$29,IF(E8179="HI",2,IF(E8179="LO",6,10))+IF(D8179=1,2,IF(D8179=7,1,(IF(WEEKDAY(B8179)=1,2,IF(WEEKDAY(B8179)=7,1,0))))))</f>
        <v>3</v>
      </c>
      <c r="G8179" s="369">
        <f>VLOOKUP(C8179,METADATA!$J$5:$Q$29,IF(E8179="HI",2,IF(E8179="LO",6,10))+IF(D8179=1,2,IF(D8179=7,1,(IF(WEEKDAY(B8179)=1,2,IF(WEEKDAY(B8179)=7,1,0))))))</f>
        <v>3</v>
      </c>
      <c r="H8179" s="370">
        <v>12667.274658203125</v>
      </c>
      <c r="I8179" s="370">
        <v>3625.6700439453125</v>
      </c>
      <c r="M8179" s="371">
        <f t="shared" si="509"/>
        <v>13175.93755806081</v>
      </c>
      <c r="N8179" s="329">
        <f t="shared" si="510"/>
        <v>0</v>
      </c>
      <c r="T8179" s="331">
        <v>0</v>
      </c>
      <c r="U8179" s="328">
        <f>VLOOKUP(C8179,METADATA!$J$5:$Q$29,IF(E8179="HI",2,IF(E8179="LO",6,10))+IF(T8179=1,2,IF(D8179=7,1,(IF(WEEKDAY(B8179)=1,2,IF(WEEKDAY(B8179)=7,1,0))))))</f>
        <v>3</v>
      </c>
      <c r="V8179" s="328">
        <f>VLOOKUP(C8179,METADATA!$A$5:$H$29,IF(E8179="HI",2,IF(E8179="LO",6,10))+IF(T8179=1,2,IF(D8179=7,1,(IF(WEEKDAY(B8179)=1,2,IF(WEEKDAY(B8179)=7,1,0))))))</f>
        <v>3</v>
      </c>
    </row>
    <row r="8180" spans="2:22">
      <c r="B8180" s="318">
        <f t="shared" si="511"/>
        <v>46453</v>
      </c>
      <c r="C8180" s="312">
        <v>16</v>
      </c>
      <c r="D8180" s="368">
        <f>IFERROR((INDEX(METADATA!$T$2:$T$20,MATCH(B8180,METADATA!$S$2:$S$20,0))),0)</f>
        <v>0</v>
      </c>
      <c r="E8180" s="312" t="str">
        <f t="shared" si="508"/>
        <v>LO</v>
      </c>
      <c r="F8180" s="369">
        <f>VLOOKUP(C8180,METADATA!$A$5:$H$29,IF(E8180="HI",2,IF(E8180="LO",6,10))+IF(D8180=1,2,IF(D8180=7,1,(IF(WEEKDAY(B8180)=1,2,IF(WEEKDAY(B8180)=7,1,0))))))</f>
        <v>3</v>
      </c>
      <c r="G8180" s="369">
        <f>VLOOKUP(C8180,METADATA!$J$5:$Q$29,IF(E8180="HI",2,IF(E8180="LO",6,10))+IF(D8180=1,2,IF(D8180=7,1,(IF(WEEKDAY(B8180)=1,2,IF(WEEKDAY(B8180)=7,1,0))))))</f>
        <v>3</v>
      </c>
      <c r="H8180" s="370">
        <v>12571.175048828125</v>
      </c>
      <c r="I8180" s="370">
        <v>3513.6000518798828</v>
      </c>
      <c r="M8180" s="371">
        <f t="shared" si="509"/>
        <v>13052.962400652548</v>
      </c>
      <c r="N8180" s="329">
        <f t="shared" si="510"/>
        <v>0</v>
      </c>
      <c r="T8180" s="331">
        <v>0</v>
      </c>
      <c r="U8180" s="328">
        <f>VLOOKUP(C8180,METADATA!$J$5:$Q$29,IF(E8180="HI",2,IF(E8180="LO",6,10))+IF(T8180=1,2,IF(D8180=7,1,(IF(WEEKDAY(B8180)=1,2,IF(WEEKDAY(B8180)=7,1,0))))))</f>
        <v>3</v>
      </c>
      <c r="V8180" s="328">
        <f>VLOOKUP(C8180,METADATA!$A$5:$H$29,IF(E8180="HI",2,IF(E8180="LO",6,10))+IF(T8180=1,2,IF(D8180=7,1,(IF(WEEKDAY(B8180)=1,2,IF(WEEKDAY(B8180)=7,1,0))))))</f>
        <v>3</v>
      </c>
    </row>
    <row r="8181" spans="2:22">
      <c r="B8181" s="318">
        <f t="shared" si="511"/>
        <v>46453</v>
      </c>
      <c r="C8181" s="312">
        <v>17</v>
      </c>
      <c r="D8181" s="368">
        <f>IFERROR((INDEX(METADATA!$T$2:$T$20,MATCH(B8181,METADATA!$S$2:$S$20,0))),0)</f>
        <v>0</v>
      </c>
      <c r="E8181" s="312" t="str">
        <f t="shared" si="508"/>
        <v>LO</v>
      </c>
      <c r="F8181" s="369">
        <f>VLOOKUP(C8181,METADATA!$A$5:$H$29,IF(E8181="HI",2,IF(E8181="LO",6,10))+IF(D8181=1,2,IF(D8181=7,1,(IF(WEEKDAY(B8181)=1,2,IF(WEEKDAY(B8181)=7,1,0))))))</f>
        <v>3</v>
      </c>
      <c r="G8181" s="369">
        <f>VLOOKUP(C8181,METADATA!$J$5:$Q$29,IF(E8181="HI",2,IF(E8181="LO",6,10))+IF(D8181=1,2,IF(D8181=7,1,(IF(WEEKDAY(B8181)=1,2,IF(WEEKDAY(B8181)=7,1,0))))))</f>
        <v>3</v>
      </c>
      <c r="H8181" s="370">
        <v>12472.200073242188</v>
      </c>
      <c r="I8181" s="370">
        <v>3612.9700012207031</v>
      </c>
      <c r="M8181" s="371">
        <f t="shared" si="509"/>
        <v>12984.965417616757</v>
      </c>
      <c r="N8181" s="329">
        <f t="shared" si="510"/>
        <v>0</v>
      </c>
      <c r="T8181" s="331">
        <v>0</v>
      </c>
      <c r="U8181" s="328">
        <f>VLOOKUP(C8181,METADATA!$J$5:$Q$29,IF(E8181="HI",2,IF(E8181="LO",6,10))+IF(T8181=1,2,IF(D8181=7,1,(IF(WEEKDAY(B8181)=1,2,IF(WEEKDAY(B8181)=7,1,0))))))</f>
        <v>3</v>
      </c>
      <c r="V8181" s="328">
        <f>VLOOKUP(C8181,METADATA!$A$5:$H$29,IF(E8181="HI",2,IF(E8181="LO",6,10))+IF(T8181=1,2,IF(D8181=7,1,(IF(WEEKDAY(B8181)=1,2,IF(WEEKDAY(B8181)=7,1,0))))))</f>
        <v>3</v>
      </c>
    </row>
    <row r="8182" spans="2:22">
      <c r="B8182" s="318">
        <f t="shared" si="511"/>
        <v>46453</v>
      </c>
      <c r="C8182" s="312">
        <v>18</v>
      </c>
      <c r="D8182" s="368">
        <f>IFERROR((INDEX(METADATA!$T$2:$T$20,MATCH(B8182,METADATA!$S$2:$S$20,0))),0)</f>
        <v>0</v>
      </c>
      <c r="E8182" s="312" t="str">
        <f t="shared" si="508"/>
        <v>LO</v>
      </c>
      <c r="F8182" s="369">
        <f>VLOOKUP(C8182,METADATA!$A$5:$H$29,IF(E8182="HI",2,IF(E8182="LO",6,10))+IF(D8182=1,2,IF(D8182=7,1,(IF(WEEKDAY(B8182)=1,2,IF(WEEKDAY(B8182)=7,1,0))))))</f>
        <v>2</v>
      </c>
      <c r="G8182" s="369">
        <f>VLOOKUP(C8182,METADATA!$J$5:$Q$29,IF(E8182="HI",2,IF(E8182="LO",6,10))+IF(D8182=1,2,IF(D8182=7,1,(IF(WEEKDAY(B8182)=1,2,IF(WEEKDAY(B8182)=7,1,0))))))</f>
        <v>2</v>
      </c>
      <c r="H8182" s="370">
        <v>12238.824890136719</v>
      </c>
      <c r="I8182" s="370">
        <v>3497.0399475097656</v>
      </c>
      <c r="M8182" s="371">
        <f t="shared" si="509"/>
        <v>12728.633983499925</v>
      </c>
      <c r="N8182" s="329">
        <f t="shared" si="510"/>
        <v>0</v>
      </c>
      <c r="T8182" s="331">
        <v>0</v>
      </c>
      <c r="U8182" s="328">
        <f>VLOOKUP(C8182,METADATA!$J$5:$Q$29,IF(E8182="HI",2,IF(E8182="LO",6,10))+IF(T8182=1,2,IF(D8182=7,1,(IF(WEEKDAY(B8182)=1,2,IF(WEEKDAY(B8182)=7,1,0))))))</f>
        <v>2</v>
      </c>
      <c r="V8182" s="328">
        <f>VLOOKUP(C8182,METADATA!$A$5:$H$29,IF(E8182="HI",2,IF(E8182="LO",6,10))+IF(T8182=1,2,IF(D8182=7,1,(IF(WEEKDAY(B8182)=1,2,IF(WEEKDAY(B8182)=7,1,0))))))</f>
        <v>2</v>
      </c>
    </row>
    <row r="8183" spans="2:22">
      <c r="B8183" s="318">
        <f t="shared" si="511"/>
        <v>46453</v>
      </c>
      <c r="C8183" s="312">
        <v>19</v>
      </c>
      <c r="D8183" s="368">
        <f>IFERROR((INDEX(METADATA!$T$2:$T$20,MATCH(B8183,METADATA!$S$2:$S$20,0))),0)</f>
        <v>0</v>
      </c>
      <c r="E8183" s="312" t="str">
        <f t="shared" si="508"/>
        <v>LO</v>
      </c>
      <c r="F8183" s="369">
        <f>VLOOKUP(C8183,METADATA!$A$5:$H$29,IF(E8183="HI",2,IF(E8183="LO",6,10))+IF(D8183=1,2,IF(D8183=7,1,(IF(WEEKDAY(B8183)=1,2,IF(WEEKDAY(B8183)=7,1,0))))))</f>
        <v>2</v>
      </c>
      <c r="G8183" s="369">
        <f>VLOOKUP(C8183,METADATA!$J$5:$Q$29,IF(E8183="HI",2,IF(E8183="LO",6,10))+IF(D8183=1,2,IF(D8183=7,1,(IF(WEEKDAY(B8183)=1,2,IF(WEEKDAY(B8183)=7,1,0))))))</f>
        <v>2</v>
      </c>
      <c r="H8183" s="370">
        <v>11345.175048828125</v>
      </c>
      <c r="I8183" s="370">
        <v>2635.5251098498702</v>
      </c>
      <c r="M8183" s="371">
        <f t="shared" si="509"/>
        <v>11647.27390822425</v>
      </c>
      <c r="N8183" s="329">
        <f t="shared" si="510"/>
        <v>0</v>
      </c>
      <c r="T8183" s="331">
        <v>0</v>
      </c>
      <c r="U8183" s="328">
        <f>VLOOKUP(C8183,METADATA!$J$5:$Q$29,IF(E8183="HI",2,IF(E8183="LO",6,10))+IF(T8183=1,2,IF(D8183=7,1,(IF(WEEKDAY(B8183)=1,2,IF(WEEKDAY(B8183)=7,1,0))))))</f>
        <v>2</v>
      </c>
      <c r="V8183" s="328">
        <f>VLOOKUP(C8183,METADATA!$A$5:$H$29,IF(E8183="HI",2,IF(E8183="LO",6,10))+IF(T8183=1,2,IF(D8183=7,1,(IF(WEEKDAY(B8183)=1,2,IF(WEEKDAY(B8183)=7,1,0))))))</f>
        <v>2</v>
      </c>
    </row>
    <row r="8184" spans="2:22">
      <c r="B8184" s="318">
        <f t="shared" si="511"/>
        <v>46453</v>
      </c>
      <c r="C8184" s="312">
        <v>20</v>
      </c>
      <c r="D8184" s="368">
        <f>IFERROR((INDEX(METADATA!$T$2:$T$20,MATCH(B8184,METADATA!$S$2:$S$20,0))),0)</f>
        <v>0</v>
      </c>
      <c r="E8184" s="312" t="str">
        <f t="shared" si="508"/>
        <v>LO</v>
      </c>
      <c r="F8184" s="369">
        <f>VLOOKUP(C8184,METADATA!$A$5:$H$29,IF(E8184="HI",2,IF(E8184="LO",6,10))+IF(D8184=1,2,IF(D8184=7,1,(IF(WEEKDAY(B8184)=1,2,IF(WEEKDAY(B8184)=7,1,0))))))</f>
        <v>3</v>
      </c>
      <c r="G8184" s="369">
        <f>VLOOKUP(C8184,METADATA!$J$5:$Q$29,IF(E8184="HI",2,IF(E8184="LO",6,10))+IF(D8184=1,2,IF(D8184=7,1,(IF(WEEKDAY(B8184)=1,2,IF(WEEKDAY(B8184)=7,1,0))))))</f>
        <v>3</v>
      </c>
      <c r="H8184" s="370">
        <v>11422.874938964844</v>
      </c>
      <c r="I8184" s="370">
        <v>2603.7300610244274</v>
      </c>
      <c r="M8184" s="371">
        <f t="shared" si="509"/>
        <v>11715.864547779363</v>
      </c>
      <c r="N8184" s="329">
        <f t="shared" si="510"/>
        <v>0</v>
      </c>
      <c r="T8184" s="331">
        <v>0</v>
      </c>
      <c r="U8184" s="328">
        <f>VLOOKUP(C8184,METADATA!$J$5:$Q$29,IF(E8184="HI",2,IF(E8184="LO",6,10))+IF(T8184=1,2,IF(D8184=7,1,(IF(WEEKDAY(B8184)=1,2,IF(WEEKDAY(B8184)=7,1,0))))))</f>
        <v>3</v>
      </c>
      <c r="V8184" s="328">
        <f>VLOOKUP(C8184,METADATA!$A$5:$H$29,IF(E8184="HI",2,IF(E8184="LO",6,10))+IF(T8184=1,2,IF(D8184=7,1,(IF(WEEKDAY(B8184)=1,2,IF(WEEKDAY(B8184)=7,1,0))))))</f>
        <v>3</v>
      </c>
    </row>
    <row r="8185" spans="2:22">
      <c r="B8185" s="318">
        <f t="shared" si="511"/>
        <v>46453</v>
      </c>
      <c r="C8185" s="312">
        <v>21</v>
      </c>
      <c r="D8185" s="368">
        <f>IFERROR((INDEX(METADATA!$T$2:$T$20,MATCH(B8185,METADATA!$S$2:$S$20,0))),0)</f>
        <v>0</v>
      </c>
      <c r="E8185" s="312" t="str">
        <f t="shared" si="508"/>
        <v>LO</v>
      </c>
      <c r="F8185" s="369">
        <f>VLOOKUP(C8185,METADATA!$A$5:$H$29,IF(E8185="HI",2,IF(E8185="LO",6,10))+IF(D8185=1,2,IF(D8185=7,1,(IF(WEEKDAY(B8185)=1,2,IF(WEEKDAY(B8185)=7,1,0))))))</f>
        <v>3</v>
      </c>
      <c r="G8185" s="369">
        <f>VLOOKUP(C8185,METADATA!$J$5:$Q$29,IF(E8185="HI",2,IF(E8185="LO",6,10))+IF(D8185=1,2,IF(D8185=7,1,(IF(WEEKDAY(B8185)=1,2,IF(WEEKDAY(B8185)=7,1,0))))))</f>
        <v>3</v>
      </c>
      <c r="H8185" s="370">
        <v>11316.450256347656</v>
      </c>
      <c r="I8185" s="370">
        <v>2582.39990234375</v>
      </c>
      <c r="M8185" s="371">
        <f t="shared" si="509"/>
        <v>11607.361270332545</v>
      </c>
      <c r="N8185" s="329">
        <f t="shared" si="510"/>
        <v>0</v>
      </c>
      <c r="T8185" s="331">
        <v>0</v>
      </c>
      <c r="U8185" s="328">
        <f>VLOOKUP(C8185,METADATA!$J$5:$Q$29,IF(E8185="HI",2,IF(E8185="LO",6,10))+IF(T8185=1,2,IF(D8185=7,1,(IF(WEEKDAY(B8185)=1,2,IF(WEEKDAY(B8185)=7,1,0))))))</f>
        <v>3</v>
      </c>
      <c r="V8185" s="328">
        <f>VLOOKUP(C8185,METADATA!$A$5:$H$29,IF(E8185="HI",2,IF(E8185="LO",6,10))+IF(T8185=1,2,IF(D8185=7,1,(IF(WEEKDAY(B8185)=1,2,IF(WEEKDAY(B8185)=7,1,0))))))</f>
        <v>3</v>
      </c>
    </row>
    <row r="8186" spans="2:22">
      <c r="B8186" s="318">
        <f t="shared" si="511"/>
        <v>46453</v>
      </c>
      <c r="C8186" s="312">
        <v>22</v>
      </c>
      <c r="D8186" s="368">
        <f>IFERROR((INDEX(METADATA!$T$2:$T$20,MATCH(B8186,METADATA!$S$2:$S$20,0))),0)</f>
        <v>0</v>
      </c>
      <c r="E8186" s="312" t="str">
        <f t="shared" si="508"/>
        <v>LO</v>
      </c>
      <c r="F8186" s="369">
        <f>VLOOKUP(C8186,METADATA!$A$5:$H$29,IF(E8186="HI",2,IF(E8186="LO",6,10))+IF(D8186=1,2,IF(D8186=7,1,(IF(WEEKDAY(B8186)=1,2,IF(WEEKDAY(B8186)=7,1,0))))))</f>
        <v>3</v>
      </c>
      <c r="G8186" s="369">
        <f>VLOOKUP(C8186,METADATA!$J$5:$Q$29,IF(E8186="HI",2,IF(E8186="LO",6,10))+IF(D8186=1,2,IF(D8186=7,1,(IF(WEEKDAY(B8186)=1,2,IF(WEEKDAY(B8186)=7,1,0))))))</f>
        <v>3</v>
      </c>
      <c r="H8186" s="370">
        <v>11154.27490234375</v>
      </c>
      <c r="I8186" s="370">
        <v>2525.9500732421875</v>
      </c>
      <c r="M8186" s="371">
        <f t="shared" si="509"/>
        <v>11436.707234583208</v>
      </c>
      <c r="N8186" s="329">
        <f t="shared" si="510"/>
        <v>0</v>
      </c>
      <c r="T8186" s="331">
        <v>0</v>
      </c>
      <c r="U8186" s="328">
        <f>VLOOKUP(C8186,METADATA!$J$5:$Q$29,IF(E8186="HI",2,IF(E8186="LO",6,10))+IF(T8186=1,2,IF(D8186=7,1,(IF(WEEKDAY(B8186)=1,2,IF(WEEKDAY(B8186)=7,1,0))))))</f>
        <v>3</v>
      </c>
      <c r="V8186" s="328">
        <f>VLOOKUP(C8186,METADATA!$A$5:$H$29,IF(E8186="HI",2,IF(E8186="LO",6,10))+IF(T8186=1,2,IF(D8186=7,1,(IF(WEEKDAY(B8186)=1,2,IF(WEEKDAY(B8186)=7,1,0))))))</f>
        <v>3</v>
      </c>
    </row>
    <row r="8187" spans="2:22">
      <c r="B8187" s="318">
        <f t="shared" si="511"/>
        <v>46453</v>
      </c>
      <c r="C8187" s="312">
        <v>23</v>
      </c>
      <c r="D8187" s="368">
        <f>IFERROR((INDEX(METADATA!$T$2:$T$20,MATCH(B8187,METADATA!$S$2:$S$20,0))),0)</f>
        <v>0</v>
      </c>
      <c r="E8187" s="312" t="str">
        <f t="shared" si="508"/>
        <v>LO</v>
      </c>
      <c r="F8187" s="369">
        <f>VLOOKUP(C8187,METADATA!$A$5:$H$29,IF(E8187="HI",2,IF(E8187="LO",6,10))+IF(D8187=1,2,IF(D8187=7,1,(IF(WEEKDAY(B8187)=1,2,IF(WEEKDAY(B8187)=7,1,0))))))</f>
        <v>3</v>
      </c>
      <c r="G8187" s="369">
        <f>VLOOKUP(C8187,METADATA!$J$5:$Q$29,IF(E8187="HI",2,IF(E8187="LO",6,10))+IF(D8187=1,2,IF(D8187=7,1,(IF(WEEKDAY(B8187)=1,2,IF(WEEKDAY(B8187)=7,1,0))))))</f>
        <v>3</v>
      </c>
      <c r="H8187" s="370">
        <v>11119.875061035156</v>
      </c>
      <c r="I8187" s="370">
        <v>2547.125</v>
      </c>
      <c r="M8187" s="371">
        <f t="shared" si="509"/>
        <v>11407.868650131655</v>
      </c>
      <c r="N8187" s="329">
        <f t="shared" si="510"/>
        <v>0</v>
      </c>
      <c r="T8187" s="331">
        <v>0</v>
      </c>
      <c r="U8187" s="328">
        <f>VLOOKUP(C8187,METADATA!$J$5:$Q$29,IF(E8187="HI",2,IF(E8187="LO",6,10))+IF(T8187=1,2,IF(D8187=7,1,(IF(WEEKDAY(B8187)=1,2,IF(WEEKDAY(B8187)=7,1,0))))))</f>
        <v>3</v>
      </c>
      <c r="V8187" s="328">
        <f>VLOOKUP(C8187,METADATA!$A$5:$H$29,IF(E8187="HI",2,IF(E8187="LO",6,10))+IF(T8187=1,2,IF(D8187=7,1,(IF(WEEKDAY(B8187)=1,2,IF(WEEKDAY(B8187)=7,1,0))))))</f>
        <v>3</v>
      </c>
    </row>
    <row r="8188" spans="2:22">
      <c r="B8188" s="318">
        <f t="shared" si="511"/>
        <v>46454</v>
      </c>
      <c r="C8188" s="312">
        <v>0</v>
      </c>
      <c r="D8188" s="368">
        <f>IFERROR((INDEX(METADATA!$T$2:$T$20,MATCH(B8188,METADATA!$S$2:$S$20,0))),0)</f>
        <v>0</v>
      </c>
      <c r="E8188" s="312" t="str">
        <f t="shared" si="508"/>
        <v>LO</v>
      </c>
      <c r="F8188" s="369">
        <f>VLOOKUP(C8188,METADATA!$A$5:$H$29,IF(E8188="HI",2,IF(E8188="LO",6,10))+IF(D8188=1,2,IF(D8188=7,1,(IF(WEEKDAY(B8188)=1,2,IF(WEEKDAY(B8188)=7,1,0))))))</f>
        <v>3</v>
      </c>
      <c r="G8188" s="369">
        <f>VLOOKUP(C8188,METADATA!$J$5:$Q$29,IF(E8188="HI",2,IF(E8188="LO",6,10))+IF(D8188=1,2,IF(D8188=7,1,(IF(WEEKDAY(B8188)=1,2,IF(WEEKDAY(B8188)=7,1,0))))))</f>
        <v>3</v>
      </c>
      <c r="H8188" s="370">
        <v>10184.062469482422</v>
      </c>
      <c r="I8188" s="370">
        <v>1998.7475280761719</v>
      </c>
      <c r="M8188" s="371">
        <f t="shared" si="509"/>
        <v>10378.348619279997</v>
      </c>
      <c r="N8188" s="329">
        <f t="shared" si="510"/>
        <v>0</v>
      </c>
      <c r="T8188" s="331">
        <v>0</v>
      </c>
      <c r="U8188" s="328">
        <f>VLOOKUP(C8188,METADATA!$J$5:$Q$29,IF(E8188="HI",2,IF(E8188="LO",6,10))+IF(T8188=1,2,IF(D8188=7,1,(IF(WEEKDAY(B8188)=1,2,IF(WEEKDAY(B8188)=7,1,0))))))</f>
        <v>3</v>
      </c>
      <c r="V8188" s="328">
        <f>VLOOKUP(C8188,METADATA!$A$5:$H$29,IF(E8188="HI",2,IF(E8188="LO",6,10))+IF(T8188=1,2,IF(D8188=7,1,(IF(WEEKDAY(B8188)=1,2,IF(WEEKDAY(B8188)=7,1,0))))))</f>
        <v>3</v>
      </c>
    </row>
    <row r="8189" spans="2:22">
      <c r="B8189" s="318">
        <f t="shared" si="511"/>
        <v>46454</v>
      </c>
      <c r="C8189" s="312">
        <v>1</v>
      </c>
      <c r="D8189" s="368">
        <f>IFERROR((INDEX(METADATA!$T$2:$T$20,MATCH(B8189,METADATA!$S$2:$S$20,0))),0)</f>
        <v>0</v>
      </c>
      <c r="E8189" s="312" t="str">
        <f t="shared" si="508"/>
        <v>LO</v>
      </c>
      <c r="F8189" s="369">
        <f>VLOOKUP(C8189,METADATA!$A$5:$H$29,IF(E8189="HI",2,IF(E8189="LO",6,10))+IF(D8189=1,2,IF(D8189=7,1,(IF(WEEKDAY(B8189)=1,2,IF(WEEKDAY(B8189)=7,1,0))))))</f>
        <v>3</v>
      </c>
      <c r="G8189" s="369">
        <f>VLOOKUP(C8189,METADATA!$J$5:$Q$29,IF(E8189="HI",2,IF(E8189="LO",6,10))+IF(D8189=1,2,IF(D8189=7,1,(IF(WEEKDAY(B8189)=1,2,IF(WEEKDAY(B8189)=7,1,0))))))</f>
        <v>3</v>
      </c>
      <c r="H8189" s="370">
        <v>9377.6325378417969</v>
      </c>
      <c r="I8189" s="370">
        <v>1483.1974792480469</v>
      </c>
      <c r="M8189" s="371">
        <f t="shared" si="509"/>
        <v>9494.2017451303891</v>
      </c>
      <c r="N8189" s="329">
        <f t="shared" si="510"/>
        <v>0</v>
      </c>
      <c r="T8189" s="331">
        <v>0</v>
      </c>
      <c r="U8189" s="328">
        <f>VLOOKUP(C8189,METADATA!$J$5:$Q$29,IF(E8189="HI",2,IF(E8189="LO",6,10))+IF(T8189=1,2,IF(D8189=7,1,(IF(WEEKDAY(B8189)=1,2,IF(WEEKDAY(B8189)=7,1,0))))))</f>
        <v>3</v>
      </c>
      <c r="V8189" s="328">
        <f>VLOOKUP(C8189,METADATA!$A$5:$H$29,IF(E8189="HI",2,IF(E8189="LO",6,10))+IF(T8189=1,2,IF(D8189=7,1,(IF(WEEKDAY(B8189)=1,2,IF(WEEKDAY(B8189)=7,1,0))))))</f>
        <v>3</v>
      </c>
    </row>
    <row r="8190" spans="2:22">
      <c r="B8190" s="318">
        <f t="shared" si="511"/>
        <v>46454</v>
      </c>
      <c r="C8190" s="312">
        <v>2</v>
      </c>
      <c r="D8190" s="368">
        <f>IFERROR((INDEX(METADATA!$T$2:$T$20,MATCH(B8190,METADATA!$S$2:$S$20,0))),0)</f>
        <v>0</v>
      </c>
      <c r="E8190" s="312" t="str">
        <f t="shared" si="508"/>
        <v>LO</v>
      </c>
      <c r="F8190" s="369">
        <f>VLOOKUP(C8190,METADATA!$A$5:$H$29,IF(E8190="HI",2,IF(E8190="LO",6,10))+IF(D8190=1,2,IF(D8190=7,1,(IF(WEEKDAY(B8190)=1,2,IF(WEEKDAY(B8190)=7,1,0))))))</f>
        <v>3</v>
      </c>
      <c r="G8190" s="369">
        <f>VLOOKUP(C8190,METADATA!$J$5:$Q$29,IF(E8190="HI",2,IF(E8190="LO",6,10))+IF(D8190=1,2,IF(D8190=7,1,(IF(WEEKDAY(B8190)=1,2,IF(WEEKDAY(B8190)=7,1,0))))))</f>
        <v>3</v>
      </c>
      <c r="H8190" s="370">
        <v>10487.2900390625</v>
      </c>
      <c r="I8190" s="370">
        <v>2172.2724914550781</v>
      </c>
      <c r="M8190" s="371">
        <f t="shared" si="509"/>
        <v>10709.902900612684</v>
      </c>
      <c r="N8190" s="329">
        <f t="shared" si="510"/>
        <v>0</v>
      </c>
      <c r="T8190" s="331">
        <v>0</v>
      </c>
      <c r="U8190" s="328">
        <f>VLOOKUP(C8190,METADATA!$J$5:$Q$29,IF(E8190="HI",2,IF(E8190="LO",6,10))+IF(T8190=1,2,IF(D8190=7,1,(IF(WEEKDAY(B8190)=1,2,IF(WEEKDAY(B8190)=7,1,0))))))</f>
        <v>3</v>
      </c>
      <c r="V8190" s="328">
        <f>VLOOKUP(C8190,METADATA!$A$5:$H$29,IF(E8190="HI",2,IF(E8190="LO",6,10))+IF(T8190=1,2,IF(D8190=7,1,(IF(WEEKDAY(B8190)=1,2,IF(WEEKDAY(B8190)=7,1,0))))))</f>
        <v>3</v>
      </c>
    </row>
    <row r="8191" spans="2:22">
      <c r="B8191" s="318">
        <f t="shared" si="511"/>
        <v>46454</v>
      </c>
      <c r="C8191" s="312">
        <v>3</v>
      </c>
      <c r="D8191" s="368">
        <f>IFERROR((INDEX(METADATA!$T$2:$T$20,MATCH(B8191,METADATA!$S$2:$S$20,0))),0)</f>
        <v>0</v>
      </c>
      <c r="E8191" s="312" t="str">
        <f t="shared" si="508"/>
        <v>LO</v>
      </c>
      <c r="F8191" s="369">
        <f>VLOOKUP(C8191,METADATA!$A$5:$H$29,IF(E8191="HI",2,IF(E8191="LO",6,10))+IF(D8191=1,2,IF(D8191=7,1,(IF(WEEKDAY(B8191)=1,2,IF(WEEKDAY(B8191)=7,1,0))))))</f>
        <v>3</v>
      </c>
      <c r="G8191" s="369">
        <f>VLOOKUP(C8191,METADATA!$J$5:$Q$29,IF(E8191="HI",2,IF(E8191="LO",6,10))+IF(D8191=1,2,IF(D8191=7,1,(IF(WEEKDAY(B8191)=1,2,IF(WEEKDAY(B8191)=7,1,0))))))</f>
        <v>3</v>
      </c>
      <c r="H8191" s="370">
        <v>11381.800170898438</v>
      </c>
      <c r="I8191" s="370">
        <v>2613.5250244140625</v>
      </c>
      <c r="M8191" s="371">
        <f t="shared" si="509"/>
        <v>11678.0087422258</v>
      </c>
      <c r="N8191" s="329">
        <f t="shared" si="510"/>
        <v>0</v>
      </c>
      <c r="T8191" s="331">
        <v>0</v>
      </c>
      <c r="U8191" s="328">
        <f>VLOOKUP(C8191,METADATA!$J$5:$Q$29,IF(E8191="HI",2,IF(E8191="LO",6,10))+IF(T8191=1,2,IF(D8191=7,1,(IF(WEEKDAY(B8191)=1,2,IF(WEEKDAY(B8191)=7,1,0))))))</f>
        <v>3</v>
      </c>
      <c r="V8191" s="328">
        <f>VLOOKUP(C8191,METADATA!$A$5:$H$29,IF(E8191="HI",2,IF(E8191="LO",6,10))+IF(T8191=1,2,IF(D8191=7,1,(IF(WEEKDAY(B8191)=1,2,IF(WEEKDAY(B8191)=7,1,0))))))</f>
        <v>3</v>
      </c>
    </row>
    <row r="8192" spans="2:22">
      <c r="B8192" s="318">
        <f t="shared" si="511"/>
        <v>46454</v>
      </c>
      <c r="C8192" s="312">
        <v>4</v>
      </c>
      <c r="D8192" s="368">
        <f>IFERROR((INDEX(METADATA!$T$2:$T$20,MATCH(B8192,METADATA!$S$2:$S$20,0))),0)</f>
        <v>0</v>
      </c>
      <c r="E8192" s="312" t="str">
        <f t="shared" si="508"/>
        <v>LO</v>
      </c>
      <c r="F8192" s="369">
        <f>VLOOKUP(C8192,METADATA!$A$5:$H$29,IF(E8192="HI",2,IF(E8192="LO",6,10))+IF(D8192=1,2,IF(D8192=7,1,(IF(WEEKDAY(B8192)=1,2,IF(WEEKDAY(B8192)=7,1,0))))))</f>
        <v>3</v>
      </c>
      <c r="G8192" s="369">
        <f>VLOOKUP(C8192,METADATA!$J$5:$Q$29,IF(E8192="HI",2,IF(E8192="LO",6,10))+IF(D8192=1,2,IF(D8192=7,1,(IF(WEEKDAY(B8192)=1,2,IF(WEEKDAY(B8192)=7,1,0))))))</f>
        <v>3</v>
      </c>
      <c r="H8192" s="370">
        <v>11374.049987792969</v>
      </c>
      <c r="I8192" s="370">
        <v>2629.0099880620837</v>
      </c>
      <c r="M8192" s="371">
        <f t="shared" si="509"/>
        <v>11673.932783862661</v>
      </c>
      <c r="N8192" s="329">
        <f t="shared" si="510"/>
        <v>0</v>
      </c>
      <c r="T8192" s="331">
        <v>0</v>
      </c>
      <c r="U8192" s="328">
        <f>VLOOKUP(C8192,METADATA!$J$5:$Q$29,IF(E8192="HI",2,IF(E8192="LO",6,10))+IF(T8192=1,2,IF(D8192=7,1,(IF(WEEKDAY(B8192)=1,2,IF(WEEKDAY(B8192)=7,1,0))))))</f>
        <v>3</v>
      </c>
      <c r="V8192" s="328">
        <f>VLOOKUP(C8192,METADATA!$A$5:$H$29,IF(E8192="HI",2,IF(E8192="LO",6,10))+IF(T8192=1,2,IF(D8192=7,1,(IF(WEEKDAY(B8192)=1,2,IF(WEEKDAY(B8192)=7,1,0))))))</f>
        <v>3</v>
      </c>
    </row>
    <row r="8193" spans="2:22">
      <c r="B8193" s="318">
        <f t="shared" si="511"/>
        <v>46454</v>
      </c>
      <c r="C8193" s="312">
        <v>5</v>
      </c>
      <c r="D8193" s="368">
        <f>IFERROR((INDEX(METADATA!$T$2:$T$20,MATCH(B8193,METADATA!$S$2:$S$20,0))),0)</f>
        <v>0</v>
      </c>
      <c r="E8193" s="312" t="str">
        <f t="shared" si="508"/>
        <v>LO</v>
      </c>
      <c r="F8193" s="369">
        <f>VLOOKUP(C8193,METADATA!$A$5:$H$29,IF(E8193="HI",2,IF(E8193="LO",6,10))+IF(D8193=1,2,IF(D8193=7,1,(IF(WEEKDAY(B8193)=1,2,IF(WEEKDAY(B8193)=7,1,0))))))</f>
        <v>3</v>
      </c>
      <c r="G8193" s="369">
        <f>VLOOKUP(C8193,METADATA!$J$5:$Q$29,IF(E8193="HI",2,IF(E8193="LO",6,10))+IF(D8193=1,2,IF(D8193=7,1,(IF(WEEKDAY(B8193)=1,2,IF(WEEKDAY(B8193)=7,1,0))))))</f>
        <v>3</v>
      </c>
      <c r="H8193" s="370">
        <v>11393.700073242188</v>
      </c>
      <c r="I8193" s="370">
        <v>2577.6999636813998</v>
      </c>
      <c r="M8193" s="371">
        <f t="shared" si="509"/>
        <v>11681.649646422466</v>
      </c>
      <c r="N8193" s="329">
        <f t="shared" si="510"/>
        <v>0</v>
      </c>
      <c r="T8193" s="331">
        <v>0</v>
      </c>
      <c r="U8193" s="328">
        <f>VLOOKUP(C8193,METADATA!$J$5:$Q$29,IF(E8193="HI",2,IF(E8193="LO",6,10))+IF(T8193=1,2,IF(D8193=7,1,(IF(WEEKDAY(B8193)=1,2,IF(WEEKDAY(B8193)=7,1,0))))))</f>
        <v>3</v>
      </c>
      <c r="V8193" s="328">
        <f>VLOOKUP(C8193,METADATA!$A$5:$H$29,IF(E8193="HI",2,IF(E8193="LO",6,10))+IF(T8193=1,2,IF(D8193=7,1,(IF(WEEKDAY(B8193)=1,2,IF(WEEKDAY(B8193)=7,1,0))))))</f>
        <v>3</v>
      </c>
    </row>
    <row r="8194" spans="2:22">
      <c r="B8194" s="318">
        <f t="shared" si="511"/>
        <v>46454</v>
      </c>
      <c r="C8194" s="312">
        <v>6</v>
      </c>
      <c r="D8194" s="368">
        <f>IFERROR((INDEX(METADATA!$T$2:$T$20,MATCH(B8194,METADATA!$S$2:$S$20,0))),0)</f>
        <v>0</v>
      </c>
      <c r="E8194" s="312" t="str">
        <f t="shared" si="508"/>
        <v>LO</v>
      </c>
      <c r="F8194" s="369">
        <f>VLOOKUP(C8194,METADATA!$A$5:$H$29,IF(E8194="HI",2,IF(E8194="LO",6,10))+IF(D8194=1,2,IF(D8194=7,1,(IF(WEEKDAY(B8194)=1,2,IF(WEEKDAY(B8194)=7,1,0))))))</f>
        <v>2</v>
      </c>
      <c r="G8194" s="369">
        <f>VLOOKUP(C8194,METADATA!$J$5:$Q$29,IF(E8194="HI",2,IF(E8194="LO",6,10))+IF(D8194=1,2,IF(D8194=7,1,(IF(WEEKDAY(B8194)=1,2,IF(WEEKDAY(B8194)=7,1,0))))))</f>
        <v>2</v>
      </c>
      <c r="H8194" s="370">
        <v>11396.474914550781</v>
      </c>
      <c r="I8194" s="370">
        <v>2551.2749633789063</v>
      </c>
      <c r="M8194" s="371">
        <f t="shared" si="509"/>
        <v>11678.554894195997</v>
      </c>
      <c r="N8194" s="329">
        <f t="shared" si="510"/>
        <v>0</v>
      </c>
      <c r="T8194" s="331">
        <v>0</v>
      </c>
      <c r="U8194" s="328">
        <f>VLOOKUP(C8194,METADATA!$J$5:$Q$29,IF(E8194="HI",2,IF(E8194="LO",6,10))+IF(T8194=1,2,IF(D8194=7,1,(IF(WEEKDAY(B8194)=1,2,IF(WEEKDAY(B8194)=7,1,0))))))</f>
        <v>2</v>
      </c>
      <c r="V8194" s="328">
        <f>VLOOKUP(C8194,METADATA!$A$5:$H$29,IF(E8194="HI",2,IF(E8194="LO",6,10))+IF(T8194=1,2,IF(D8194=7,1,(IF(WEEKDAY(B8194)=1,2,IF(WEEKDAY(B8194)=7,1,0))))))</f>
        <v>2</v>
      </c>
    </row>
    <row r="8195" spans="2:22">
      <c r="B8195" s="318">
        <f t="shared" si="511"/>
        <v>46454</v>
      </c>
      <c r="C8195" s="312">
        <v>7</v>
      </c>
      <c r="D8195" s="368">
        <f>IFERROR((INDEX(METADATA!$T$2:$T$20,MATCH(B8195,METADATA!$S$2:$S$20,0))),0)</f>
        <v>0</v>
      </c>
      <c r="E8195" s="312" t="str">
        <f t="shared" si="508"/>
        <v>LO</v>
      </c>
      <c r="F8195" s="369">
        <f>VLOOKUP(C8195,METADATA!$A$5:$H$29,IF(E8195="HI",2,IF(E8195="LO",6,10))+IF(D8195=1,2,IF(D8195=7,1,(IF(WEEKDAY(B8195)=1,2,IF(WEEKDAY(B8195)=7,1,0))))))</f>
        <v>1</v>
      </c>
      <c r="G8195" s="369">
        <f>VLOOKUP(C8195,METADATA!$J$5:$Q$29,IF(E8195="HI",2,IF(E8195="LO",6,10))+IF(D8195=1,2,IF(D8195=7,1,(IF(WEEKDAY(B8195)=1,2,IF(WEEKDAY(B8195)=7,1,0))))))</f>
        <v>1</v>
      </c>
      <c r="H8195" s="370">
        <v>11529.350036621094</v>
      </c>
      <c r="I8195" s="370">
        <v>2660.9000244140625</v>
      </c>
      <c r="M8195" s="371">
        <f t="shared" si="509"/>
        <v>11832.425837792585</v>
      </c>
      <c r="N8195" s="329">
        <f t="shared" si="510"/>
        <v>0</v>
      </c>
      <c r="T8195" s="331">
        <v>0</v>
      </c>
      <c r="U8195" s="328">
        <f>VLOOKUP(C8195,METADATA!$J$5:$Q$29,IF(E8195="HI",2,IF(E8195="LO",6,10))+IF(T8195=1,2,IF(D8195=7,1,(IF(WEEKDAY(B8195)=1,2,IF(WEEKDAY(B8195)=7,1,0))))))</f>
        <v>1</v>
      </c>
      <c r="V8195" s="328">
        <f>VLOOKUP(C8195,METADATA!$A$5:$H$29,IF(E8195="HI",2,IF(E8195="LO",6,10))+IF(T8195=1,2,IF(D8195=7,1,(IF(WEEKDAY(B8195)=1,2,IF(WEEKDAY(B8195)=7,1,0))))))</f>
        <v>1</v>
      </c>
    </row>
    <row r="8196" spans="2:22">
      <c r="B8196" s="318">
        <f t="shared" si="511"/>
        <v>46454</v>
      </c>
      <c r="C8196" s="312">
        <v>8</v>
      </c>
      <c r="D8196" s="368">
        <f>IFERROR((INDEX(METADATA!$T$2:$T$20,MATCH(B8196,METADATA!$S$2:$S$20,0))),0)</f>
        <v>0</v>
      </c>
      <c r="E8196" s="312" t="str">
        <f t="shared" ref="E8196:E8259" si="512">IF(B8196="","",IF(AND(MONTH(B8196)&gt;=MONTH($Z$9),MONTH(B8196)&lt;=MONTH($Z$11)),"HI","LO"))</f>
        <v>LO</v>
      </c>
      <c r="F8196" s="369">
        <f>VLOOKUP(C8196,METADATA!$A$5:$H$29,IF(E8196="HI",2,IF(E8196="LO",6,10))+IF(D8196=1,2,IF(D8196=7,1,(IF(WEEKDAY(B8196)=1,2,IF(WEEKDAY(B8196)=7,1,0))))))</f>
        <v>1</v>
      </c>
      <c r="G8196" s="369">
        <f>VLOOKUP(C8196,METADATA!$J$5:$Q$29,IF(E8196="HI",2,IF(E8196="LO",6,10))+IF(D8196=1,2,IF(D8196=7,1,(IF(WEEKDAY(B8196)=1,2,IF(WEEKDAY(B8196)=7,1,0))))))</f>
        <v>1</v>
      </c>
      <c r="H8196" s="370">
        <v>11507.150207519531</v>
      </c>
      <c r="I8196" s="370">
        <v>2673.0750122070313</v>
      </c>
      <c r="M8196" s="371">
        <f t="shared" ref="M8196:M8259" si="513">SQRT(H8196^2+I8196^2)</f>
        <v>11813.544595899335</v>
      </c>
      <c r="N8196" s="329">
        <f t="shared" ref="N8196:N8259" si="514">IF(H8196=0,0,(IF(I8196-(0.3*H8196)&lt;0,0,(I8196-(0.3*H8196)))))</f>
        <v>0</v>
      </c>
      <c r="T8196" s="331">
        <v>0</v>
      </c>
      <c r="U8196" s="328">
        <f>VLOOKUP(C8196,METADATA!$J$5:$Q$29,IF(E8196="HI",2,IF(E8196="LO",6,10))+IF(T8196=1,2,IF(D8196=7,1,(IF(WEEKDAY(B8196)=1,2,IF(WEEKDAY(B8196)=7,1,0))))))</f>
        <v>1</v>
      </c>
      <c r="V8196" s="328">
        <f>VLOOKUP(C8196,METADATA!$A$5:$H$29,IF(E8196="HI",2,IF(E8196="LO",6,10))+IF(T8196=1,2,IF(D8196=7,1,(IF(WEEKDAY(B8196)=1,2,IF(WEEKDAY(B8196)=7,1,0))))))</f>
        <v>1</v>
      </c>
    </row>
    <row r="8197" spans="2:22">
      <c r="B8197" s="318">
        <f t="shared" si="511"/>
        <v>46454</v>
      </c>
      <c r="C8197" s="312">
        <v>9</v>
      </c>
      <c r="D8197" s="368">
        <f>IFERROR((INDEX(METADATA!$T$2:$T$20,MATCH(B8197,METADATA!$S$2:$S$20,0))),0)</f>
        <v>0</v>
      </c>
      <c r="E8197" s="312" t="str">
        <f t="shared" si="512"/>
        <v>LO</v>
      </c>
      <c r="F8197" s="369">
        <f>VLOOKUP(C8197,METADATA!$A$5:$H$29,IF(E8197="HI",2,IF(E8197="LO",6,10))+IF(D8197=1,2,IF(D8197=7,1,(IF(WEEKDAY(B8197)=1,2,IF(WEEKDAY(B8197)=7,1,0))))))</f>
        <v>2</v>
      </c>
      <c r="G8197" s="369">
        <f>VLOOKUP(C8197,METADATA!$J$5:$Q$29,IF(E8197="HI",2,IF(E8197="LO",6,10))+IF(D8197=1,2,IF(D8197=7,1,(IF(WEEKDAY(B8197)=1,2,IF(WEEKDAY(B8197)=7,1,0))))))</f>
        <v>2</v>
      </c>
      <c r="H8197" s="370">
        <v>11589.875122070313</v>
      </c>
      <c r="I8197" s="370">
        <v>2788.8999633789063</v>
      </c>
      <c r="M8197" s="371">
        <f t="shared" si="513"/>
        <v>11920.703349673591</v>
      </c>
      <c r="N8197" s="329">
        <f t="shared" si="514"/>
        <v>0</v>
      </c>
      <c r="T8197" s="331">
        <v>0</v>
      </c>
      <c r="U8197" s="328">
        <f>VLOOKUP(C8197,METADATA!$J$5:$Q$29,IF(E8197="HI",2,IF(E8197="LO",6,10))+IF(T8197=1,2,IF(D8197=7,1,(IF(WEEKDAY(B8197)=1,2,IF(WEEKDAY(B8197)=7,1,0))))))</f>
        <v>2</v>
      </c>
      <c r="V8197" s="328">
        <f>VLOOKUP(C8197,METADATA!$A$5:$H$29,IF(E8197="HI",2,IF(E8197="LO",6,10))+IF(T8197=1,2,IF(D8197=7,1,(IF(WEEKDAY(B8197)=1,2,IF(WEEKDAY(B8197)=7,1,0))))))</f>
        <v>2</v>
      </c>
    </row>
    <row r="8198" spans="2:22">
      <c r="B8198" s="318">
        <f t="shared" si="511"/>
        <v>46454</v>
      </c>
      <c r="C8198" s="312">
        <v>10</v>
      </c>
      <c r="D8198" s="368">
        <f>IFERROR((INDEX(METADATA!$T$2:$T$20,MATCH(B8198,METADATA!$S$2:$S$20,0))),0)</f>
        <v>0</v>
      </c>
      <c r="E8198" s="312" t="str">
        <f t="shared" si="512"/>
        <v>LO</v>
      </c>
      <c r="F8198" s="369">
        <f>VLOOKUP(C8198,METADATA!$A$5:$H$29,IF(E8198="HI",2,IF(E8198="LO",6,10))+IF(D8198=1,2,IF(D8198=7,1,(IF(WEEKDAY(B8198)=1,2,IF(WEEKDAY(B8198)=7,1,0))))))</f>
        <v>2</v>
      </c>
      <c r="G8198" s="369">
        <f>VLOOKUP(C8198,METADATA!$J$5:$Q$29,IF(E8198="HI",2,IF(E8198="LO",6,10))+IF(D8198=1,2,IF(D8198=7,1,(IF(WEEKDAY(B8198)=1,2,IF(WEEKDAY(B8198)=7,1,0))))))</f>
        <v>2</v>
      </c>
      <c r="H8198" s="370">
        <v>11549.925048828125</v>
      </c>
      <c r="I8198" s="370">
        <v>2741.9249877929688</v>
      </c>
      <c r="M8198" s="371">
        <f t="shared" si="513"/>
        <v>11870.927565789912</v>
      </c>
      <c r="N8198" s="329">
        <f t="shared" si="514"/>
        <v>0</v>
      </c>
      <c r="T8198" s="331">
        <v>0</v>
      </c>
      <c r="U8198" s="328">
        <f>VLOOKUP(C8198,METADATA!$J$5:$Q$29,IF(E8198="HI",2,IF(E8198="LO",6,10))+IF(T8198=1,2,IF(D8198=7,1,(IF(WEEKDAY(B8198)=1,2,IF(WEEKDAY(B8198)=7,1,0))))))</f>
        <v>2</v>
      </c>
      <c r="V8198" s="328">
        <f>VLOOKUP(C8198,METADATA!$A$5:$H$29,IF(E8198="HI",2,IF(E8198="LO",6,10))+IF(T8198=1,2,IF(D8198=7,1,(IF(WEEKDAY(B8198)=1,2,IF(WEEKDAY(B8198)=7,1,0))))))</f>
        <v>2</v>
      </c>
    </row>
    <row r="8199" spans="2:22">
      <c r="B8199" s="318">
        <f t="shared" si="511"/>
        <v>46454</v>
      </c>
      <c r="C8199" s="312">
        <v>11</v>
      </c>
      <c r="D8199" s="368">
        <f>IFERROR((INDEX(METADATA!$T$2:$T$20,MATCH(B8199,METADATA!$S$2:$S$20,0))),0)</f>
        <v>0</v>
      </c>
      <c r="E8199" s="312" t="str">
        <f t="shared" si="512"/>
        <v>LO</v>
      </c>
      <c r="F8199" s="369">
        <f>VLOOKUP(C8199,METADATA!$A$5:$H$29,IF(E8199="HI",2,IF(E8199="LO",6,10))+IF(D8199=1,2,IF(D8199=7,1,(IF(WEEKDAY(B8199)=1,2,IF(WEEKDAY(B8199)=7,1,0))))))</f>
        <v>2</v>
      </c>
      <c r="G8199" s="369">
        <f>VLOOKUP(C8199,METADATA!$J$5:$Q$29,IF(E8199="HI",2,IF(E8199="LO",6,10))+IF(D8199=1,2,IF(D8199=7,1,(IF(WEEKDAY(B8199)=1,2,IF(WEEKDAY(B8199)=7,1,0))))))</f>
        <v>2</v>
      </c>
      <c r="H8199" s="370">
        <v>11572.500122070313</v>
      </c>
      <c r="I8199" s="370">
        <v>2702.7499389648438</v>
      </c>
      <c r="M8199" s="371">
        <f t="shared" si="513"/>
        <v>11883.922597690203</v>
      </c>
      <c r="N8199" s="329">
        <f t="shared" si="514"/>
        <v>0</v>
      </c>
      <c r="T8199" s="331">
        <v>0</v>
      </c>
      <c r="U8199" s="328">
        <f>VLOOKUP(C8199,METADATA!$J$5:$Q$29,IF(E8199="HI",2,IF(E8199="LO",6,10))+IF(T8199=1,2,IF(D8199=7,1,(IF(WEEKDAY(B8199)=1,2,IF(WEEKDAY(B8199)=7,1,0))))))</f>
        <v>2</v>
      </c>
      <c r="V8199" s="328">
        <f>VLOOKUP(C8199,METADATA!$A$5:$H$29,IF(E8199="HI",2,IF(E8199="LO",6,10))+IF(T8199=1,2,IF(D8199=7,1,(IF(WEEKDAY(B8199)=1,2,IF(WEEKDAY(B8199)=7,1,0))))))</f>
        <v>2</v>
      </c>
    </row>
    <row r="8200" spans="2:22">
      <c r="B8200" s="318">
        <f t="shared" si="511"/>
        <v>46454</v>
      </c>
      <c r="C8200" s="312">
        <v>12</v>
      </c>
      <c r="D8200" s="368">
        <f>IFERROR((INDEX(METADATA!$T$2:$T$20,MATCH(B8200,METADATA!$S$2:$S$20,0))),0)</f>
        <v>0</v>
      </c>
      <c r="E8200" s="312" t="str">
        <f t="shared" si="512"/>
        <v>LO</v>
      </c>
      <c r="F8200" s="369">
        <f>VLOOKUP(C8200,METADATA!$A$5:$H$29,IF(E8200="HI",2,IF(E8200="LO",6,10))+IF(D8200=1,2,IF(D8200=7,1,(IF(WEEKDAY(B8200)=1,2,IF(WEEKDAY(B8200)=7,1,0))))))</f>
        <v>2</v>
      </c>
      <c r="G8200" s="369">
        <f>VLOOKUP(C8200,METADATA!$J$5:$Q$29,IF(E8200="HI",2,IF(E8200="LO",6,10))+IF(D8200=1,2,IF(D8200=7,1,(IF(WEEKDAY(B8200)=1,2,IF(WEEKDAY(B8200)=7,1,0))))))</f>
        <v>2</v>
      </c>
      <c r="H8200" s="370">
        <v>11595.775085449219</v>
      </c>
      <c r="I8200" s="370">
        <v>2680.5249633789063</v>
      </c>
      <c r="M8200" s="371">
        <f t="shared" si="513"/>
        <v>11901.563507019669</v>
      </c>
      <c r="N8200" s="329">
        <f t="shared" si="514"/>
        <v>0</v>
      </c>
      <c r="T8200" s="331">
        <v>0</v>
      </c>
      <c r="U8200" s="328">
        <f>VLOOKUP(C8200,METADATA!$J$5:$Q$29,IF(E8200="HI",2,IF(E8200="LO",6,10))+IF(T8200=1,2,IF(D8200=7,1,(IF(WEEKDAY(B8200)=1,2,IF(WEEKDAY(B8200)=7,1,0))))))</f>
        <v>2</v>
      </c>
      <c r="V8200" s="328">
        <f>VLOOKUP(C8200,METADATA!$A$5:$H$29,IF(E8200="HI",2,IF(E8200="LO",6,10))+IF(T8200=1,2,IF(D8200=7,1,(IF(WEEKDAY(B8200)=1,2,IF(WEEKDAY(B8200)=7,1,0))))))</f>
        <v>2</v>
      </c>
    </row>
    <row r="8201" spans="2:22">
      <c r="B8201" s="318">
        <f t="shared" si="511"/>
        <v>46454</v>
      </c>
      <c r="C8201" s="312">
        <v>13</v>
      </c>
      <c r="D8201" s="368">
        <f>IFERROR((INDEX(METADATA!$T$2:$T$20,MATCH(B8201,METADATA!$S$2:$S$20,0))),0)</f>
        <v>0</v>
      </c>
      <c r="E8201" s="312" t="str">
        <f t="shared" si="512"/>
        <v>LO</v>
      </c>
      <c r="F8201" s="369">
        <f>VLOOKUP(C8201,METADATA!$A$5:$H$29,IF(E8201="HI",2,IF(E8201="LO",6,10))+IF(D8201=1,2,IF(D8201=7,1,(IF(WEEKDAY(B8201)=1,2,IF(WEEKDAY(B8201)=7,1,0))))))</f>
        <v>2</v>
      </c>
      <c r="G8201" s="369">
        <f>VLOOKUP(C8201,METADATA!$J$5:$Q$29,IF(E8201="HI",2,IF(E8201="LO",6,10))+IF(D8201=1,2,IF(D8201=7,1,(IF(WEEKDAY(B8201)=1,2,IF(WEEKDAY(B8201)=7,1,0))))))</f>
        <v>2</v>
      </c>
      <c r="H8201" s="370">
        <v>11179.549865722656</v>
      </c>
      <c r="I8201" s="370">
        <v>2512.0999755859375</v>
      </c>
      <c r="M8201" s="371">
        <f t="shared" si="513"/>
        <v>11458.314949743628</v>
      </c>
      <c r="N8201" s="329">
        <f t="shared" si="514"/>
        <v>0</v>
      </c>
      <c r="T8201" s="331">
        <v>0</v>
      </c>
      <c r="U8201" s="328">
        <f>VLOOKUP(C8201,METADATA!$J$5:$Q$29,IF(E8201="HI",2,IF(E8201="LO",6,10))+IF(T8201=1,2,IF(D8201=7,1,(IF(WEEKDAY(B8201)=1,2,IF(WEEKDAY(B8201)=7,1,0))))))</f>
        <v>2</v>
      </c>
      <c r="V8201" s="328">
        <f>VLOOKUP(C8201,METADATA!$A$5:$H$29,IF(E8201="HI",2,IF(E8201="LO",6,10))+IF(T8201=1,2,IF(D8201=7,1,(IF(WEEKDAY(B8201)=1,2,IF(WEEKDAY(B8201)=7,1,0))))))</f>
        <v>2</v>
      </c>
    </row>
    <row r="8202" spans="2:22">
      <c r="B8202" s="318">
        <f t="shared" si="511"/>
        <v>46454</v>
      </c>
      <c r="C8202" s="312">
        <v>14</v>
      </c>
      <c r="D8202" s="368">
        <f>IFERROR((INDEX(METADATA!$T$2:$T$20,MATCH(B8202,METADATA!$S$2:$S$20,0))),0)</f>
        <v>0</v>
      </c>
      <c r="E8202" s="312" t="str">
        <f t="shared" si="512"/>
        <v>LO</v>
      </c>
      <c r="F8202" s="369">
        <f>VLOOKUP(C8202,METADATA!$A$5:$H$29,IF(E8202="HI",2,IF(E8202="LO",6,10))+IF(D8202=1,2,IF(D8202=7,1,(IF(WEEKDAY(B8202)=1,2,IF(WEEKDAY(B8202)=7,1,0))))))</f>
        <v>2</v>
      </c>
      <c r="G8202" s="369">
        <f>VLOOKUP(C8202,METADATA!$J$5:$Q$29,IF(E8202="HI",2,IF(E8202="LO",6,10))+IF(D8202=1,2,IF(D8202=7,1,(IF(WEEKDAY(B8202)=1,2,IF(WEEKDAY(B8202)=7,1,0))))))</f>
        <v>2</v>
      </c>
      <c r="H8202" s="370">
        <v>9660.2850646972656</v>
      </c>
      <c r="I8202" s="370">
        <v>1654.66748046875</v>
      </c>
      <c r="M8202" s="371">
        <f t="shared" si="513"/>
        <v>9800.9709724156346</v>
      </c>
      <c r="N8202" s="329">
        <f t="shared" si="514"/>
        <v>0</v>
      </c>
      <c r="T8202" s="331">
        <v>0</v>
      </c>
      <c r="U8202" s="328">
        <f>VLOOKUP(C8202,METADATA!$J$5:$Q$29,IF(E8202="HI",2,IF(E8202="LO",6,10))+IF(T8202=1,2,IF(D8202=7,1,(IF(WEEKDAY(B8202)=1,2,IF(WEEKDAY(B8202)=7,1,0))))))</f>
        <v>2</v>
      </c>
      <c r="V8202" s="328">
        <f>VLOOKUP(C8202,METADATA!$A$5:$H$29,IF(E8202="HI",2,IF(E8202="LO",6,10))+IF(T8202=1,2,IF(D8202=7,1,(IF(WEEKDAY(B8202)=1,2,IF(WEEKDAY(B8202)=7,1,0))))))</f>
        <v>2</v>
      </c>
    </row>
    <row r="8203" spans="2:22">
      <c r="B8203" s="318">
        <f t="shared" si="511"/>
        <v>46454</v>
      </c>
      <c r="C8203" s="312">
        <v>15</v>
      </c>
      <c r="D8203" s="368">
        <f>IFERROR((INDEX(METADATA!$T$2:$T$20,MATCH(B8203,METADATA!$S$2:$S$20,0))),0)</f>
        <v>0</v>
      </c>
      <c r="E8203" s="312" t="str">
        <f t="shared" si="512"/>
        <v>LO</v>
      </c>
      <c r="F8203" s="369">
        <f>VLOOKUP(C8203,METADATA!$A$5:$H$29,IF(E8203="HI",2,IF(E8203="LO",6,10))+IF(D8203=1,2,IF(D8203=7,1,(IF(WEEKDAY(B8203)=1,2,IF(WEEKDAY(B8203)=7,1,0))))))</f>
        <v>2</v>
      </c>
      <c r="G8203" s="369">
        <f>VLOOKUP(C8203,METADATA!$J$5:$Q$29,IF(E8203="HI",2,IF(E8203="LO",6,10))+IF(D8203=1,2,IF(D8203=7,1,(IF(WEEKDAY(B8203)=1,2,IF(WEEKDAY(B8203)=7,1,0))))))</f>
        <v>2</v>
      </c>
      <c r="H8203" s="370">
        <v>9516.1649169921875</v>
      </c>
      <c r="I8203" s="370">
        <v>1659.4550476074219</v>
      </c>
      <c r="M8203" s="371">
        <f t="shared" si="513"/>
        <v>9659.7715181272633</v>
      </c>
      <c r="N8203" s="329">
        <f t="shared" si="514"/>
        <v>0</v>
      </c>
      <c r="T8203" s="331">
        <v>0</v>
      </c>
      <c r="U8203" s="328">
        <f>VLOOKUP(C8203,METADATA!$J$5:$Q$29,IF(E8203="HI",2,IF(E8203="LO",6,10))+IF(T8203=1,2,IF(D8203=7,1,(IF(WEEKDAY(B8203)=1,2,IF(WEEKDAY(B8203)=7,1,0))))))</f>
        <v>2</v>
      </c>
      <c r="V8203" s="328">
        <f>VLOOKUP(C8203,METADATA!$A$5:$H$29,IF(E8203="HI",2,IF(E8203="LO",6,10))+IF(T8203=1,2,IF(D8203=7,1,(IF(WEEKDAY(B8203)=1,2,IF(WEEKDAY(B8203)=7,1,0))))))</f>
        <v>2</v>
      </c>
    </row>
    <row r="8204" spans="2:22">
      <c r="B8204" s="318">
        <f t="shared" si="511"/>
        <v>46454</v>
      </c>
      <c r="C8204" s="312">
        <v>16</v>
      </c>
      <c r="D8204" s="368">
        <f>IFERROR((INDEX(METADATA!$T$2:$T$20,MATCH(B8204,METADATA!$S$2:$S$20,0))),0)</f>
        <v>0</v>
      </c>
      <c r="E8204" s="312" t="str">
        <f t="shared" si="512"/>
        <v>LO</v>
      </c>
      <c r="F8204" s="369">
        <f>VLOOKUP(C8204,METADATA!$A$5:$H$29,IF(E8204="HI",2,IF(E8204="LO",6,10))+IF(D8204=1,2,IF(D8204=7,1,(IF(WEEKDAY(B8204)=1,2,IF(WEEKDAY(B8204)=7,1,0))))))</f>
        <v>2</v>
      </c>
      <c r="G8204" s="369">
        <f>VLOOKUP(C8204,METADATA!$J$5:$Q$29,IF(E8204="HI",2,IF(E8204="LO",6,10))+IF(D8204=1,2,IF(D8204=7,1,(IF(WEEKDAY(B8204)=1,2,IF(WEEKDAY(B8204)=7,1,0))))))</f>
        <v>2</v>
      </c>
      <c r="H8204" s="370">
        <v>11231.699951171875</v>
      </c>
      <c r="I8204" s="370">
        <v>2650.0949755832553</v>
      </c>
      <c r="M8204" s="371">
        <f t="shared" si="513"/>
        <v>11540.107762614954</v>
      </c>
      <c r="N8204" s="329">
        <f t="shared" si="514"/>
        <v>0</v>
      </c>
      <c r="T8204" s="331">
        <v>0</v>
      </c>
      <c r="U8204" s="328">
        <f>VLOOKUP(C8204,METADATA!$J$5:$Q$29,IF(E8204="HI",2,IF(E8204="LO",6,10))+IF(T8204=1,2,IF(D8204=7,1,(IF(WEEKDAY(B8204)=1,2,IF(WEEKDAY(B8204)=7,1,0))))))</f>
        <v>2</v>
      </c>
      <c r="V8204" s="328">
        <f>VLOOKUP(C8204,METADATA!$A$5:$H$29,IF(E8204="HI",2,IF(E8204="LO",6,10))+IF(T8204=1,2,IF(D8204=7,1,(IF(WEEKDAY(B8204)=1,2,IF(WEEKDAY(B8204)=7,1,0))))))</f>
        <v>2</v>
      </c>
    </row>
    <row r="8205" spans="2:22">
      <c r="B8205" s="318">
        <f t="shared" si="511"/>
        <v>46454</v>
      </c>
      <c r="C8205" s="312">
        <v>17</v>
      </c>
      <c r="D8205" s="368">
        <f>IFERROR((INDEX(METADATA!$T$2:$T$20,MATCH(B8205,METADATA!$S$2:$S$20,0))),0)</f>
        <v>0</v>
      </c>
      <c r="E8205" s="312" t="str">
        <f t="shared" si="512"/>
        <v>LO</v>
      </c>
      <c r="F8205" s="369">
        <f>VLOOKUP(C8205,METADATA!$A$5:$H$29,IF(E8205="HI",2,IF(E8205="LO",6,10))+IF(D8205=1,2,IF(D8205=7,1,(IF(WEEKDAY(B8205)=1,2,IF(WEEKDAY(B8205)=7,1,0))))))</f>
        <v>2</v>
      </c>
      <c r="G8205" s="369">
        <f>VLOOKUP(C8205,METADATA!$J$5:$Q$29,IF(E8205="HI",2,IF(E8205="LO",6,10))+IF(D8205=1,2,IF(D8205=7,1,(IF(WEEKDAY(B8205)=1,2,IF(WEEKDAY(B8205)=7,1,0))))))</f>
        <v>2</v>
      </c>
      <c r="H8205" s="370">
        <v>11424.575073242188</v>
      </c>
      <c r="I8205" s="370">
        <v>2698.6399513483047</v>
      </c>
      <c r="M8205" s="371">
        <f t="shared" si="513"/>
        <v>11738.976667118812</v>
      </c>
      <c r="N8205" s="329">
        <f t="shared" si="514"/>
        <v>0</v>
      </c>
      <c r="T8205" s="331">
        <v>0</v>
      </c>
      <c r="U8205" s="328">
        <f>VLOOKUP(C8205,METADATA!$J$5:$Q$29,IF(E8205="HI",2,IF(E8205="LO",6,10))+IF(T8205=1,2,IF(D8205=7,1,(IF(WEEKDAY(B8205)=1,2,IF(WEEKDAY(B8205)=7,1,0))))))</f>
        <v>2</v>
      </c>
      <c r="V8205" s="328">
        <f>VLOOKUP(C8205,METADATA!$A$5:$H$29,IF(E8205="HI",2,IF(E8205="LO",6,10))+IF(T8205=1,2,IF(D8205=7,1,(IF(WEEKDAY(B8205)=1,2,IF(WEEKDAY(B8205)=7,1,0))))))</f>
        <v>2</v>
      </c>
    </row>
    <row r="8206" spans="2:22">
      <c r="B8206" s="318">
        <f t="shared" si="511"/>
        <v>46454</v>
      </c>
      <c r="C8206" s="312">
        <v>18</v>
      </c>
      <c r="D8206" s="368">
        <f>IFERROR((INDEX(METADATA!$T$2:$T$20,MATCH(B8206,METADATA!$S$2:$S$20,0))),0)</f>
        <v>0</v>
      </c>
      <c r="E8206" s="312" t="str">
        <f t="shared" si="512"/>
        <v>LO</v>
      </c>
      <c r="F8206" s="369">
        <f>VLOOKUP(C8206,METADATA!$A$5:$H$29,IF(E8206="HI",2,IF(E8206="LO",6,10))+IF(D8206=1,2,IF(D8206=7,1,(IF(WEEKDAY(B8206)=1,2,IF(WEEKDAY(B8206)=7,1,0))))))</f>
        <v>1</v>
      </c>
      <c r="G8206" s="369">
        <f>VLOOKUP(C8206,METADATA!$J$5:$Q$29,IF(E8206="HI",2,IF(E8206="LO",6,10))+IF(D8206=1,2,IF(D8206=7,1,(IF(WEEKDAY(B8206)=1,2,IF(WEEKDAY(B8206)=7,1,0))))))</f>
        <v>1</v>
      </c>
      <c r="H8206" s="370">
        <v>11309.724853515625</v>
      </c>
      <c r="I8206" s="370">
        <v>2578.625</v>
      </c>
      <c r="M8206" s="371">
        <f t="shared" si="513"/>
        <v>11599.964791017859</v>
      </c>
      <c r="N8206" s="329">
        <f t="shared" si="514"/>
        <v>0</v>
      </c>
      <c r="T8206" s="331">
        <v>0</v>
      </c>
      <c r="U8206" s="328">
        <f>VLOOKUP(C8206,METADATA!$J$5:$Q$29,IF(E8206="HI",2,IF(E8206="LO",6,10))+IF(T8206=1,2,IF(D8206=7,1,(IF(WEEKDAY(B8206)=1,2,IF(WEEKDAY(B8206)=7,1,0))))))</f>
        <v>1</v>
      </c>
      <c r="V8206" s="328">
        <f>VLOOKUP(C8206,METADATA!$A$5:$H$29,IF(E8206="HI",2,IF(E8206="LO",6,10))+IF(T8206=1,2,IF(D8206=7,1,(IF(WEEKDAY(B8206)=1,2,IF(WEEKDAY(B8206)=7,1,0))))))</f>
        <v>1</v>
      </c>
    </row>
    <row r="8207" spans="2:22">
      <c r="B8207" s="318">
        <f t="shared" si="511"/>
        <v>46454</v>
      </c>
      <c r="C8207" s="312">
        <v>19</v>
      </c>
      <c r="D8207" s="368">
        <f>IFERROR((INDEX(METADATA!$T$2:$T$20,MATCH(B8207,METADATA!$S$2:$S$20,0))),0)</f>
        <v>0</v>
      </c>
      <c r="E8207" s="312" t="str">
        <f t="shared" si="512"/>
        <v>LO</v>
      </c>
      <c r="F8207" s="369">
        <f>VLOOKUP(C8207,METADATA!$A$5:$H$29,IF(E8207="HI",2,IF(E8207="LO",6,10))+IF(D8207=1,2,IF(D8207=7,1,(IF(WEEKDAY(B8207)=1,2,IF(WEEKDAY(B8207)=7,1,0))))))</f>
        <v>1</v>
      </c>
      <c r="G8207" s="369">
        <f>VLOOKUP(C8207,METADATA!$J$5:$Q$29,IF(E8207="HI",2,IF(E8207="LO",6,10))+IF(D8207=1,2,IF(D8207=7,1,(IF(WEEKDAY(B8207)=1,2,IF(WEEKDAY(B8207)=7,1,0))))))</f>
        <v>1</v>
      </c>
      <c r="H8207" s="370">
        <v>11322.150207519531</v>
      </c>
      <c r="I8207" s="370">
        <v>2611.2750244140625</v>
      </c>
      <c r="M8207" s="371">
        <f t="shared" si="513"/>
        <v>11619.373587881717</v>
      </c>
      <c r="N8207" s="329">
        <f t="shared" si="514"/>
        <v>0</v>
      </c>
      <c r="T8207" s="331">
        <v>0</v>
      </c>
      <c r="U8207" s="328">
        <f>VLOOKUP(C8207,METADATA!$J$5:$Q$29,IF(E8207="HI",2,IF(E8207="LO",6,10))+IF(T8207=1,2,IF(D8207=7,1,(IF(WEEKDAY(B8207)=1,2,IF(WEEKDAY(B8207)=7,1,0))))))</f>
        <v>1</v>
      </c>
      <c r="V8207" s="328">
        <f>VLOOKUP(C8207,METADATA!$A$5:$H$29,IF(E8207="HI",2,IF(E8207="LO",6,10))+IF(T8207=1,2,IF(D8207=7,1,(IF(WEEKDAY(B8207)=1,2,IF(WEEKDAY(B8207)=7,1,0))))))</f>
        <v>1</v>
      </c>
    </row>
    <row r="8208" spans="2:22">
      <c r="B8208" s="318">
        <f t="shared" si="511"/>
        <v>46454</v>
      </c>
      <c r="C8208" s="312">
        <v>20</v>
      </c>
      <c r="D8208" s="368">
        <f>IFERROR((INDEX(METADATA!$T$2:$T$20,MATCH(B8208,METADATA!$S$2:$S$20,0))),0)</f>
        <v>0</v>
      </c>
      <c r="E8208" s="312" t="str">
        <f t="shared" si="512"/>
        <v>LO</v>
      </c>
      <c r="F8208" s="369">
        <f>VLOOKUP(C8208,METADATA!$A$5:$H$29,IF(E8208="HI",2,IF(E8208="LO",6,10))+IF(D8208=1,2,IF(D8208=7,1,(IF(WEEKDAY(B8208)=1,2,IF(WEEKDAY(B8208)=7,1,0))))))</f>
        <v>1</v>
      </c>
      <c r="G8208" s="369">
        <f>VLOOKUP(C8208,METADATA!$J$5:$Q$29,IF(E8208="HI",2,IF(E8208="LO",6,10))+IF(D8208=1,2,IF(D8208=7,1,(IF(WEEKDAY(B8208)=1,2,IF(WEEKDAY(B8208)=7,1,0))))))</f>
        <v>1</v>
      </c>
      <c r="H8208" s="370">
        <v>11401.824951171875</v>
      </c>
      <c r="I8208" s="370">
        <v>2678.4649389982224</v>
      </c>
      <c r="M8208" s="371">
        <f t="shared" si="513"/>
        <v>11712.206736845465</v>
      </c>
      <c r="N8208" s="329">
        <f t="shared" si="514"/>
        <v>0</v>
      </c>
      <c r="T8208" s="331">
        <v>0</v>
      </c>
      <c r="U8208" s="328">
        <f>VLOOKUP(C8208,METADATA!$J$5:$Q$29,IF(E8208="HI",2,IF(E8208="LO",6,10))+IF(T8208=1,2,IF(D8208=7,1,(IF(WEEKDAY(B8208)=1,2,IF(WEEKDAY(B8208)=7,1,0))))))</f>
        <v>1</v>
      </c>
      <c r="V8208" s="328">
        <f>VLOOKUP(C8208,METADATA!$A$5:$H$29,IF(E8208="HI",2,IF(E8208="LO",6,10))+IF(T8208=1,2,IF(D8208=7,1,(IF(WEEKDAY(B8208)=1,2,IF(WEEKDAY(B8208)=7,1,0))))))</f>
        <v>1</v>
      </c>
    </row>
    <row r="8209" spans="2:22">
      <c r="B8209" s="318">
        <f t="shared" si="511"/>
        <v>46454</v>
      </c>
      <c r="C8209" s="312">
        <v>21</v>
      </c>
      <c r="D8209" s="368">
        <f>IFERROR((INDEX(METADATA!$T$2:$T$20,MATCH(B8209,METADATA!$S$2:$S$20,0))),0)</f>
        <v>0</v>
      </c>
      <c r="E8209" s="312" t="str">
        <f t="shared" si="512"/>
        <v>LO</v>
      </c>
      <c r="F8209" s="369">
        <f>VLOOKUP(C8209,METADATA!$A$5:$H$29,IF(E8209="HI",2,IF(E8209="LO",6,10))+IF(D8209=1,2,IF(D8209=7,1,(IF(WEEKDAY(B8209)=1,2,IF(WEEKDAY(B8209)=7,1,0))))))</f>
        <v>2</v>
      </c>
      <c r="G8209" s="369">
        <f>VLOOKUP(C8209,METADATA!$J$5:$Q$29,IF(E8209="HI",2,IF(E8209="LO",6,10))+IF(D8209=1,2,IF(D8209=7,1,(IF(WEEKDAY(B8209)=1,2,IF(WEEKDAY(B8209)=7,1,0))))))</f>
        <v>2</v>
      </c>
      <c r="H8209" s="370">
        <v>11433.474914550781</v>
      </c>
      <c r="I8209" s="370">
        <v>2685.4200000762939</v>
      </c>
      <c r="M8209" s="371">
        <f t="shared" si="513"/>
        <v>11744.60851618613</v>
      </c>
      <c r="N8209" s="329">
        <f t="shared" si="514"/>
        <v>0</v>
      </c>
      <c r="T8209" s="331">
        <v>0</v>
      </c>
      <c r="U8209" s="328">
        <f>VLOOKUP(C8209,METADATA!$J$5:$Q$29,IF(E8209="HI",2,IF(E8209="LO",6,10))+IF(T8209=1,2,IF(D8209=7,1,(IF(WEEKDAY(B8209)=1,2,IF(WEEKDAY(B8209)=7,1,0))))))</f>
        <v>2</v>
      </c>
      <c r="V8209" s="328">
        <f>VLOOKUP(C8209,METADATA!$A$5:$H$29,IF(E8209="HI",2,IF(E8209="LO",6,10))+IF(T8209=1,2,IF(D8209=7,1,(IF(WEEKDAY(B8209)=1,2,IF(WEEKDAY(B8209)=7,1,0))))))</f>
        <v>2</v>
      </c>
    </row>
    <row r="8210" spans="2:22">
      <c r="B8210" s="318">
        <f t="shared" si="511"/>
        <v>46454</v>
      </c>
      <c r="C8210" s="312">
        <v>22</v>
      </c>
      <c r="D8210" s="368">
        <f>IFERROR((INDEX(METADATA!$T$2:$T$20,MATCH(B8210,METADATA!$S$2:$S$20,0))),0)</f>
        <v>0</v>
      </c>
      <c r="E8210" s="312" t="str">
        <f t="shared" si="512"/>
        <v>LO</v>
      </c>
      <c r="F8210" s="369">
        <f>VLOOKUP(C8210,METADATA!$A$5:$H$29,IF(E8210="HI",2,IF(E8210="LO",6,10))+IF(D8210=1,2,IF(D8210=7,1,(IF(WEEKDAY(B8210)=1,2,IF(WEEKDAY(B8210)=7,1,0))))))</f>
        <v>3</v>
      </c>
      <c r="G8210" s="369">
        <f>VLOOKUP(C8210,METADATA!$J$5:$Q$29,IF(E8210="HI",2,IF(E8210="LO",6,10))+IF(D8210=1,2,IF(D8210=7,1,(IF(WEEKDAY(B8210)=1,2,IF(WEEKDAY(B8210)=7,1,0))))))</f>
        <v>3</v>
      </c>
      <c r="H8210" s="370">
        <v>11342.825012207031</v>
      </c>
      <c r="I8210" s="370">
        <v>2680.6900121867657</v>
      </c>
      <c r="M8210" s="371">
        <f t="shared" si="513"/>
        <v>11655.289708925613</v>
      </c>
      <c r="N8210" s="329">
        <f t="shared" si="514"/>
        <v>0</v>
      </c>
      <c r="T8210" s="331">
        <v>0</v>
      </c>
      <c r="U8210" s="328">
        <f>VLOOKUP(C8210,METADATA!$J$5:$Q$29,IF(E8210="HI",2,IF(E8210="LO",6,10))+IF(T8210=1,2,IF(D8210=7,1,(IF(WEEKDAY(B8210)=1,2,IF(WEEKDAY(B8210)=7,1,0))))))</f>
        <v>3</v>
      </c>
      <c r="V8210" s="328">
        <f>VLOOKUP(C8210,METADATA!$A$5:$H$29,IF(E8210="HI",2,IF(E8210="LO",6,10))+IF(T8210=1,2,IF(D8210=7,1,(IF(WEEKDAY(B8210)=1,2,IF(WEEKDAY(B8210)=7,1,0))))))</f>
        <v>3</v>
      </c>
    </row>
    <row r="8211" spans="2:22">
      <c r="B8211" s="318">
        <f t="shared" si="511"/>
        <v>46454</v>
      </c>
      <c r="C8211" s="312">
        <v>23</v>
      </c>
      <c r="D8211" s="368">
        <f>IFERROR((INDEX(METADATA!$T$2:$T$20,MATCH(B8211,METADATA!$S$2:$S$20,0))),0)</f>
        <v>0</v>
      </c>
      <c r="E8211" s="312" t="str">
        <f t="shared" si="512"/>
        <v>LO</v>
      </c>
      <c r="F8211" s="369">
        <f>VLOOKUP(C8211,METADATA!$A$5:$H$29,IF(E8211="HI",2,IF(E8211="LO",6,10))+IF(D8211=1,2,IF(D8211=7,1,(IF(WEEKDAY(B8211)=1,2,IF(WEEKDAY(B8211)=7,1,0))))))</f>
        <v>3</v>
      </c>
      <c r="G8211" s="369">
        <f>VLOOKUP(C8211,METADATA!$J$5:$Q$29,IF(E8211="HI",2,IF(E8211="LO",6,10))+IF(D8211=1,2,IF(D8211=7,1,(IF(WEEKDAY(B8211)=1,2,IF(WEEKDAY(B8211)=7,1,0))))))</f>
        <v>3</v>
      </c>
      <c r="H8211" s="370">
        <v>11293.600036621094</v>
      </c>
      <c r="I8211" s="370">
        <v>2655.8150119781494</v>
      </c>
      <c r="M8211" s="371">
        <f t="shared" si="513"/>
        <v>11601.670360987528</v>
      </c>
      <c r="N8211" s="329">
        <f t="shared" si="514"/>
        <v>0</v>
      </c>
      <c r="T8211" s="331">
        <v>0</v>
      </c>
      <c r="U8211" s="328">
        <f>VLOOKUP(C8211,METADATA!$J$5:$Q$29,IF(E8211="HI",2,IF(E8211="LO",6,10))+IF(T8211=1,2,IF(D8211=7,1,(IF(WEEKDAY(B8211)=1,2,IF(WEEKDAY(B8211)=7,1,0))))))</f>
        <v>3</v>
      </c>
      <c r="V8211" s="328">
        <f>VLOOKUP(C8211,METADATA!$A$5:$H$29,IF(E8211="HI",2,IF(E8211="LO",6,10))+IF(T8211=1,2,IF(D8211=7,1,(IF(WEEKDAY(B8211)=1,2,IF(WEEKDAY(B8211)=7,1,0))))))</f>
        <v>3</v>
      </c>
    </row>
    <row r="8212" spans="2:22">
      <c r="B8212" s="318">
        <f t="shared" si="511"/>
        <v>46455</v>
      </c>
      <c r="C8212" s="312">
        <v>0</v>
      </c>
      <c r="D8212" s="368">
        <f>IFERROR((INDEX(METADATA!$T$2:$T$20,MATCH(B8212,METADATA!$S$2:$S$20,0))),0)</f>
        <v>0</v>
      </c>
      <c r="E8212" s="312" t="str">
        <f t="shared" si="512"/>
        <v>LO</v>
      </c>
      <c r="F8212" s="369">
        <f>VLOOKUP(C8212,METADATA!$A$5:$H$29,IF(E8212="HI",2,IF(E8212="LO",6,10))+IF(D8212=1,2,IF(D8212=7,1,(IF(WEEKDAY(B8212)=1,2,IF(WEEKDAY(B8212)=7,1,0))))))</f>
        <v>3</v>
      </c>
      <c r="G8212" s="369">
        <f>VLOOKUP(C8212,METADATA!$J$5:$Q$29,IF(E8212="HI",2,IF(E8212="LO",6,10))+IF(D8212=1,2,IF(D8212=7,1,(IF(WEEKDAY(B8212)=1,2,IF(WEEKDAY(B8212)=7,1,0))))))</f>
        <v>3</v>
      </c>
      <c r="H8212" s="370">
        <v>11254.450012207031</v>
      </c>
      <c r="I8212" s="370">
        <v>2581.7150976508856</v>
      </c>
      <c r="M8212" s="371">
        <f t="shared" si="513"/>
        <v>11546.770021209626</v>
      </c>
      <c r="N8212" s="329">
        <f t="shared" si="514"/>
        <v>0</v>
      </c>
      <c r="T8212" s="331">
        <v>0</v>
      </c>
      <c r="U8212" s="328">
        <f>VLOOKUP(C8212,METADATA!$J$5:$Q$29,IF(E8212="HI",2,IF(E8212="LO",6,10))+IF(T8212=1,2,IF(D8212=7,1,(IF(WEEKDAY(B8212)=1,2,IF(WEEKDAY(B8212)=7,1,0))))))</f>
        <v>3</v>
      </c>
      <c r="V8212" s="328">
        <f>VLOOKUP(C8212,METADATA!$A$5:$H$29,IF(E8212="HI",2,IF(E8212="LO",6,10))+IF(T8212=1,2,IF(D8212=7,1,(IF(WEEKDAY(B8212)=1,2,IF(WEEKDAY(B8212)=7,1,0))))))</f>
        <v>3</v>
      </c>
    </row>
    <row r="8213" spans="2:22">
      <c r="B8213" s="318">
        <f t="shared" si="511"/>
        <v>46455</v>
      </c>
      <c r="C8213" s="312">
        <v>1</v>
      </c>
      <c r="D8213" s="368">
        <f>IFERROR((INDEX(METADATA!$T$2:$T$20,MATCH(B8213,METADATA!$S$2:$S$20,0))),0)</f>
        <v>0</v>
      </c>
      <c r="E8213" s="312" t="str">
        <f t="shared" si="512"/>
        <v>LO</v>
      </c>
      <c r="F8213" s="369">
        <f>VLOOKUP(C8213,METADATA!$A$5:$H$29,IF(E8213="HI",2,IF(E8213="LO",6,10))+IF(D8213=1,2,IF(D8213=7,1,(IF(WEEKDAY(B8213)=1,2,IF(WEEKDAY(B8213)=7,1,0))))))</f>
        <v>3</v>
      </c>
      <c r="G8213" s="369">
        <f>VLOOKUP(C8213,METADATA!$J$5:$Q$29,IF(E8213="HI",2,IF(E8213="LO",6,10))+IF(D8213=1,2,IF(D8213=7,1,(IF(WEEKDAY(B8213)=1,2,IF(WEEKDAY(B8213)=7,1,0))))))</f>
        <v>3</v>
      </c>
      <c r="H8213" s="370">
        <v>11392.152587890625</v>
      </c>
      <c r="I8213" s="370">
        <v>2610.6949801370502</v>
      </c>
      <c r="M8213" s="371">
        <f t="shared" si="513"/>
        <v>11687.466315035772</v>
      </c>
      <c r="N8213" s="329">
        <f t="shared" si="514"/>
        <v>0</v>
      </c>
      <c r="T8213" s="331">
        <v>0</v>
      </c>
      <c r="U8213" s="328">
        <f>VLOOKUP(C8213,METADATA!$J$5:$Q$29,IF(E8213="HI",2,IF(E8213="LO",6,10))+IF(T8213=1,2,IF(D8213=7,1,(IF(WEEKDAY(B8213)=1,2,IF(WEEKDAY(B8213)=7,1,0))))))</f>
        <v>3</v>
      </c>
      <c r="V8213" s="328">
        <f>VLOOKUP(C8213,METADATA!$A$5:$H$29,IF(E8213="HI",2,IF(E8213="LO",6,10))+IF(T8213=1,2,IF(D8213=7,1,(IF(WEEKDAY(B8213)=1,2,IF(WEEKDAY(B8213)=7,1,0))))))</f>
        <v>3</v>
      </c>
    </row>
    <row r="8214" spans="2:22">
      <c r="B8214" s="318">
        <f t="shared" si="511"/>
        <v>46455</v>
      </c>
      <c r="C8214" s="312">
        <v>2</v>
      </c>
      <c r="D8214" s="368">
        <f>IFERROR((INDEX(METADATA!$T$2:$T$20,MATCH(B8214,METADATA!$S$2:$S$20,0))),0)</f>
        <v>0</v>
      </c>
      <c r="E8214" s="312" t="str">
        <f t="shared" si="512"/>
        <v>LO</v>
      </c>
      <c r="F8214" s="369">
        <f>VLOOKUP(C8214,METADATA!$A$5:$H$29,IF(E8214="HI",2,IF(E8214="LO",6,10))+IF(D8214=1,2,IF(D8214=7,1,(IF(WEEKDAY(B8214)=1,2,IF(WEEKDAY(B8214)=7,1,0))))))</f>
        <v>3</v>
      </c>
      <c r="G8214" s="369">
        <f>VLOOKUP(C8214,METADATA!$J$5:$Q$29,IF(E8214="HI",2,IF(E8214="LO",6,10))+IF(D8214=1,2,IF(D8214=7,1,(IF(WEEKDAY(B8214)=1,2,IF(WEEKDAY(B8214)=7,1,0))))))</f>
        <v>3</v>
      </c>
      <c r="H8214" s="370">
        <v>11435.024963378906</v>
      </c>
      <c r="I8214" s="370">
        <v>2738.9800357818604</v>
      </c>
      <c r="M8214" s="371">
        <f t="shared" si="513"/>
        <v>11758.47811366379</v>
      </c>
      <c r="N8214" s="329">
        <f t="shared" si="514"/>
        <v>0</v>
      </c>
      <c r="T8214" s="331">
        <v>0</v>
      </c>
      <c r="U8214" s="328">
        <f>VLOOKUP(C8214,METADATA!$J$5:$Q$29,IF(E8214="HI",2,IF(E8214="LO",6,10))+IF(T8214=1,2,IF(D8214=7,1,(IF(WEEKDAY(B8214)=1,2,IF(WEEKDAY(B8214)=7,1,0))))))</f>
        <v>3</v>
      </c>
      <c r="V8214" s="328">
        <f>VLOOKUP(C8214,METADATA!$A$5:$H$29,IF(E8214="HI",2,IF(E8214="LO",6,10))+IF(T8214=1,2,IF(D8214=7,1,(IF(WEEKDAY(B8214)=1,2,IF(WEEKDAY(B8214)=7,1,0))))))</f>
        <v>3</v>
      </c>
    </row>
    <row r="8215" spans="2:22">
      <c r="B8215" s="318">
        <f t="shared" si="511"/>
        <v>46455</v>
      </c>
      <c r="C8215" s="312">
        <v>3</v>
      </c>
      <c r="D8215" s="368">
        <f>IFERROR((INDEX(METADATA!$T$2:$T$20,MATCH(B8215,METADATA!$S$2:$S$20,0))),0)</f>
        <v>0</v>
      </c>
      <c r="E8215" s="312" t="str">
        <f t="shared" si="512"/>
        <v>LO</v>
      </c>
      <c r="F8215" s="369">
        <f>VLOOKUP(C8215,METADATA!$A$5:$H$29,IF(E8215="HI",2,IF(E8215="LO",6,10))+IF(D8215=1,2,IF(D8215=7,1,(IF(WEEKDAY(B8215)=1,2,IF(WEEKDAY(B8215)=7,1,0))))))</f>
        <v>3</v>
      </c>
      <c r="G8215" s="369">
        <f>VLOOKUP(C8215,METADATA!$J$5:$Q$29,IF(E8215="HI",2,IF(E8215="LO",6,10))+IF(D8215=1,2,IF(D8215=7,1,(IF(WEEKDAY(B8215)=1,2,IF(WEEKDAY(B8215)=7,1,0))))))</f>
        <v>3</v>
      </c>
      <c r="H8215" s="370">
        <v>11420.3251953125</v>
      </c>
      <c r="I8215" s="370">
        <v>2675.4799737930298</v>
      </c>
      <c r="M8215" s="371">
        <f t="shared" si="513"/>
        <v>11729.536250715842</v>
      </c>
      <c r="N8215" s="329">
        <f t="shared" si="514"/>
        <v>0</v>
      </c>
      <c r="T8215" s="331">
        <v>0</v>
      </c>
      <c r="U8215" s="328">
        <f>VLOOKUP(C8215,METADATA!$J$5:$Q$29,IF(E8215="HI",2,IF(E8215="LO",6,10))+IF(T8215=1,2,IF(D8215=7,1,(IF(WEEKDAY(B8215)=1,2,IF(WEEKDAY(B8215)=7,1,0))))))</f>
        <v>3</v>
      </c>
      <c r="V8215" s="328">
        <f>VLOOKUP(C8215,METADATA!$A$5:$H$29,IF(E8215="HI",2,IF(E8215="LO",6,10))+IF(T8215=1,2,IF(D8215=7,1,(IF(WEEKDAY(B8215)=1,2,IF(WEEKDAY(B8215)=7,1,0))))))</f>
        <v>3</v>
      </c>
    </row>
    <row r="8216" spans="2:22">
      <c r="B8216" s="318">
        <f t="shared" si="511"/>
        <v>46455</v>
      </c>
      <c r="C8216" s="312">
        <v>4</v>
      </c>
      <c r="D8216" s="368">
        <f>IFERROR((INDEX(METADATA!$T$2:$T$20,MATCH(B8216,METADATA!$S$2:$S$20,0))),0)</f>
        <v>0</v>
      </c>
      <c r="E8216" s="312" t="str">
        <f t="shared" si="512"/>
        <v>LO</v>
      </c>
      <c r="F8216" s="369">
        <f>VLOOKUP(C8216,METADATA!$A$5:$H$29,IF(E8216="HI",2,IF(E8216="LO",6,10))+IF(D8216=1,2,IF(D8216=7,1,(IF(WEEKDAY(B8216)=1,2,IF(WEEKDAY(B8216)=7,1,0))))))</f>
        <v>3</v>
      </c>
      <c r="G8216" s="369">
        <f>VLOOKUP(C8216,METADATA!$J$5:$Q$29,IF(E8216="HI",2,IF(E8216="LO",6,10))+IF(D8216=1,2,IF(D8216=7,1,(IF(WEEKDAY(B8216)=1,2,IF(WEEKDAY(B8216)=7,1,0))))))</f>
        <v>3</v>
      </c>
      <c r="H8216" s="370">
        <v>11404.874938964844</v>
      </c>
      <c r="I8216" s="370">
        <v>2598.4199862480164</v>
      </c>
      <c r="M8216" s="371">
        <f t="shared" si="513"/>
        <v>11697.134640516089</v>
      </c>
      <c r="N8216" s="329">
        <f t="shared" si="514"/>
        <v>0</v>
      </c>
      <c r="T8216" s="331">
        <v>0</v>
      </c>
      <c r="U8216" s="328">
        <f>VLOOKUP(C8216,METADATA!$J$5:$Q$29,IF(E8216="HI",2,IF(E8216="LO",6,10))+IF(T8216=1,2,IF(D8216=7,1,(IF(WEEKDAY(B8216)=1,2,IF(WEEKDAY(B8216)=7,1,0))))))</f>
        <v>3</v>
      </c>
      <c r="V8216" s="328">
        <f>VLOOKUP(C8216,METADATA!$A$5:$H$29,IF(E8216="HI",2,IF(E8216="LO",6,10))+IF(T8216=1,2,IF(D8216=7,1,(IF(WEEKDAY(B8216)=1,2,IF(WEEKDAY(B8216)=7,1,0))))))</f>
        <v>3</v>
      </c>
    </row>
    <row r="8217" spans="2:22">
      <c r="B8217" s="318">
        <f t="shared" si="511"/>
        <v>46455</v>
      </c>
      <c r="C8217" s="312">
        <v>5</v>
      </c>
      <c r="D8217" s="368">
        <f>IFERROR((INDEX(METADATA!$T$2:$T$20,MATCH(B8217,METADATA!$S$2:$S$20,0))),0)</f>
        <v>0</v>
      </c>
      <c r="E8217" s="312" t="str">
        <f t="shared" si="512"/>
        <v>LO</v>
      </c>
      <c r="F8217" s="369">
        <f>VLOOKUP(C8217,METADATA!$A$5:$H$29,IF(E8217="HI",2,IF(E8217="LO",6,10))+IF(D8217=1,2,IF(D8217=7,1,(IF(WEEKDAY(B8217)=1,2,IF(WEEKDAY(B8217)=7,1,0))))))</f>
        <v>3</v>
      </c>
      <c r="G8217" s="369">
        <f>VLOOKUP(C8217,METADATA!$J$5:$Q$29,IF(E8217="HI",2,IF(E8217="LO",6,10))+IF(D8217=1,2,IF(D8217=7,1,(IF(WEEKDAY(B8217)=1,2,IF(WEEKDAY(B8217)=7,1,0))))))</f>
        <v>3</v>
      </c>
      <c r="H8217" s="370">
        <v>11316.900024414063</v>
      </c>
      <c r="I8217" s="370">
        <v>2554.9350976347923</v>
      </c>
      <c r="M8217" s="371">
        <f t="shared" si="513"/>
        <v>11601.720541183066</v>
      </c>
      <c r="N8217" s="329">
        <f t="shared" si="514"/>
        <v>0</v>
      </c>
      <c r="T8217" s="331">
        <v>0</v>
      </c>
      <c r="U8217" s="328">
        <f>VLOOKUP(C8217,METADATA!$J$5:$Q$29,IF(E8217="HI",2,IF(E8217="LO",6,10))+IF(T8217=1,2,IF(D8217=7,1,(IF(WEEKDAY(B8217)=1,2,IF(WEEKDAY(B8217)=7,1,0))))))</f>
        <v>3</v>
      </c>
      <c r="V8217" s="328">
        <f>VLOOKUP(C8217,METADATA!$A$5:$H$29,IF(E8217="HI",2,IF(E8217="LO",6,10))+IF(T8217=1,2,IF(D8217=7,1,(IF(WEEKDAY(B8217)=1,2,IF(WEEKDAY(B8217)=7,1,0))))))</f>
        <v>3</v>
      </c>
    </row>
    <row r="8218" spans="2:22">
      <c r="B8218" s="318">
        <f t="shared" si="511"/>
        <v>46455</v>
      </c>
      <c r="C8218" s="312">
        <v>6</v>
      </c>
      <c r="D8218" s="368">
        <f>IFERROR((INDEX(METADATA!$T$2:$T$20,MATCH(B8218,METADATA!$S$2:$S$20,0))),0)</f>
        <v>0</v>
      </c>
      <c r="E8218" s="312" t="str">
        <f t="shared" si="512"/>
        <v>LO</v>
      </c>
      <c r="F8218" s="369">
        <f>VLOOKUP(C8218,METADATA!$A$5:$H$29,IF(E8218="HI",2,IF(E8218="LO",6,10))+IF(D8218=1,2,IF(D8218=7,1,(IF(WEEKDAY(B8218)=1,2,IF(WEEKDAY(B8218)=7,1,0))))))</f>
        <v>2</v>
      </c>
      <c r="G8218" s="369">
        <f>VLOOKUP(C8218,METADATA!$J$5:$Q$29,IF(E8218="HI",2,IF(E8218="LO",6,10))+IF(D8218=1,2,IF(D8218=7,1,(IF(WEEKDAY(B8218)=1,2,IF(WEEKDAY(B8218)=7,1,0))))))</f>
        <v>2</v>
      </c>
      <c r="H8218" s="370">
        <v>11346.774963378906</v>
      </c>
      <c r="I8218" s="370">
        <v>2580.5349877849221</v>
      </c>
      <c r="M8218" s="371">
        <f t="shared" si="513"/>
        <v>11636.514207130265</v>
      </c>
      <c r="N8218" s="329">
        <f t="shared" si="514"/>
        <v>0</v>
      </c>
      <c r="T8218" s="331">
        <v>0</v>
      </c>
      <c r="U8218" s="328">
        <f>VLOOKUP(C8218,METADATA!$J$5:$Q$29,IF(E8218="HI",2,IF(E8218="LO",6,10))+IF(T8218=1,2,IF(D8218=7,1,(IF(WEEKDAY(B8218)=1,2,IF(WEEKDAY(B8218)=7,1,0))))))</f>
        <v>2</v>
      </c>
      <c r="V8218" s="328">
        <f>VLOOKUP(C8218,METADATA!$A$5:$H$29,IF(E8218="HI",2,IF(E8218="LO",6,10))+IF(T8218=1,2,IF(D8218=7,1,(IF(WEEKDAY(B8218)=1,2,IF(WEEKDAY(B8218)=7,1,0))))))</f>
        <v>2</v>
      </c>
    </row>
    <row r="8219" spans="2:22">
      <c r="B8219" s="318">
        <f t="shared" si="511"/>
        <v>46455</v>
      </c>
      <c r="C8219" s="312">
        <v>7</v>
      </c>
      <c r="D8219" s="368">
        <f>IFERROR((INDEX(METADATA!$T$2:$T$20,MATCH(B8219,METADATA!$S$2:$S$20,0))),0)</f>
        <v>0</v>
      </c>
      <c r="E8219" s="312" t="str">
        <f t="shared" si="512"/>
        <v>LO</v>
      </c>
      <c r="F8219" s="369">
        <f>VLOOKUP(C8219,METADATA!$A$5:$H$29,IF(E8219="HI",2,IF(E8219="LO",6,10))+IF(D8219=1,2,IF(D8219=7,1,(IF(WEEKDAY(B8219)=1,2,IF(WEEKDAY(B8219)=7,1,0))))))</f>
        <v>1</v>
      </c>
      <c r="G8219" s="369">
        <f>VLOOKUP(C8219,METADATA!$J$5:$Q$29,IF(E8219="HI",2,IF(E8219="LO",6,10))+IF(D8219=1,2,IF(D8219=7,1,(IF(WEEKDAY(B8219)=1,2,IF(WEEKDAY(B8219)=7,1,0))))))</f>
        <v>1</v>
      </c>
      <c r="H8219" s="370">
        <v>11450.874755859375</v>
      </c>
      <c r="I8219" s="370">
        <v>2637.1499633789063</v>
      </c>
      <c r="M8219" s="371">
        <f t="shared" si="513"/>
        <v>11750.620945453345</v>
      </c>
      <c r="N8219" s="329">
        <f t="shared" si="514"/>
        <v>0</v>
      </c>
      <c r="T8219" s="331">
        <v>0</v>
      </c>
      <c r="U8219" s="328">
        <f>VLOOKUP(C8219,METADATA!$J$5:$Q$29,IF(E8219="HI",2,IF(E8219="LO",6,10))+IF(T8219=1,2,IF(D8219=7,1,(IF(WEEKDAY(B8219)=1,2,IF(WEEKDAY(B8219)=7,1,0))))))</f>
        <v>1</v>
      </c>
      <c r="V8219" s="328">
        <f>VLOOKUP(C8219,METADATA!$A$5:$H$29,IF(E8219="HI",2,IF(E8219="LO",6,10))+IF(T8219=1,2,IF(D8219=7,1,(IF(WEEKDAY(B8219)=1,2,IF(WEEKDAY(B8219)=7,1,0))))))</f>
        <v>1</v>
      </c>
    </row>
    <row r="8220" spans="2:22">
      <c r="B8220" s="318">
        <f t="shared" ref="B8220:B8283" si="515">B8196+1</f>
        <v>46455</v>
      </c>
      <c r="C8220" s="312">
        <v>8</v>
      </c>
      <c r="D8220" s="368">
        <f>IFERROR((INDEX(METADATA!$T$2:$T$20,MATCH(B8220,METADATA!$S$2:$S$20,0))),0)</f>
        <v>0</v>
      </c>
      <c r="E8220" s="312" t="str">
        <f t="shared" si="512"/>
        <v>LO</v>
      </c>
      <c r="F8220" s="369">
        <f>VLOOKUP(C8220,METADATA!$A$5:$H$29,IF(E8220="HI",2,IF(E8220="LO",6,10))+IF(D8220=1,2,IF(D8220=7,1,(IF(WEEKDAY(B8220)=1,2,IF(WEEKDAY(B8220)=7,1,0))))))</f>
        <v>1</v>
      </c>
      <c r="G8220" s="369">
        <f>VLOOKUP(C8220,METADATA!$J$5:$Q$29,IF(E8220="HI",2,IF(E8220="LO",6,10))+IF(D8220=1,2,IF(D8220=7,1,(IF(WEEKDAY(B8220)=1,2,IF(WEEKDAY(B8220)=7,1,0))))))</f>
        <v>1</v>
      </c>
      <c r="H8220" s="370">
        <v>11427.499816894531</v>
      </c>
      <c r="I8220" s="370">
        <v>2795.0850366055965</v>
      </c>
      <c r="M8220" s="371">
        <f t="shared" si="513"/>
        <v>11764.363664345856</v>
      </c>
      <c r="N8220" s="329">
        <f t="shared" si="514"/>
        <v>0</v>
      </c>
      <c r="T8220" s="331">
        <v>0</v>
      </c>
      <c r="U8220" s="328">
        <f>VLOOKUP(C8220,METADATA!$J$5:$Q$29,IF(E8220="HI",2,IF(E8220="LO",6,10))+IF(T8220=1,2,IF(D8220=7,1,(IF(WEEKDAY(B8220)=1,2,IF(WEEKDAY(B8220)=7,1,0))))))</f>
        <v>1</v>
      </c>
      <c r="V8220" s="328">
        <f>VLOOKUP(C8220,METADATA!$A$5:$H$29,IF(E8220="HI",2,IF(E8220="LO",6,10))+IF(T8220=1,2,IF(D8220=7,1,(IF(WEEKDAY(B8220)=1,2,IF(WEEKDAY(B8220)=7,1,0))))))</f>
        <v>1</v>
      </c>
    </row>
    <row r="8221" spans="2:22">
      <c r="B8221" s="318">
        <f t="shared" si="515"/>
        <v>46455</v>
      </c>
      <c r="C8221" s="312">
        <v>9</v>
      </c>
      <c r="D8221" s="368">
        <f>IFERROR((INDEX(METADATA!$T$2:$T$20,MATCH(B8221,METADATA!$S$2:$S$20,0))),0)</f>
        <v>0</v>
      </c>
      <c r="E8221" s="312" t="str">
        <f t="shared" si="512"/>
        <v>LO</v>
      </c>
      <c r="F8221" s="369">
        <f>VLOOKUP(C8221,METADATA!$A$5:$H$29,IF(E8221="HI",2,IF(E8221="LO",6,10))+IF(D8221=1,2,IF(D8221=7,1,(IF(WEEKDAY(B8221)=1,2,IF(WEEKDAY(B8221)=7,1,0))))))</f>
        <v>2</v>
      </c>
      <c r="G8221" s="369">
        <f>VLOOKUP(C8221,METADATA!$J$5:$Q$29,IF(E8221="HI",2,IF(E8221="LO",6,10))+IF(D8221=1,2,IF(D8221=7,1,(IF(WEEKDAY(B8221)=1,2,IF(WEEKDAY(B8221)=7,1,0))))))</f>
        <v>2</v>
      </c>
      <c r="H8221" s="370">
        <v>11338.525024414063</v>
      </c>
      <c r="I8221" s="370">
        <v>2707.4750366210938</v>
      </c>
      <c r="M8221" s="371">
        <f t="shared" si="513"/>
        <v>11657.296890925885</v>
      </c>
      <c r="N8221" s="329">
        <f t="shared" si="514"/>
        <v>0</v>
      </c>
      <c r="T8221" s="331">
        <v>0</v>
      </c>
      <c r="U8221" s="328">
        <f>VLOOKUP(C8221,METADATA!$J$5:$Q$29,IF(E8221="HI",2,IF(E8221="LO",6,10))+IF(T8221=1,2,IF(D8221=7,1,(IF(WEEKDAY(B8221)=1,2,IF(WEEKDAY(B8221)=7,1,0))))))</f>
        <v>2</v>
      </c>
      <c r="V8221" s="328">
        <f>VLOOKUP(C8221,METADATA!$A$5:$H$29,IF(E8221="HI",2,IF(E8221="LO",6,10))+IF(T8221=1,2,IF(D8221=7,1,(IF(WEEKDAY(B8221)=1,2,IF(WEEKDAY(B8221)=7,1,0))))))</f>
        <v>2</v>
      </c>
    </row>
    <row r="8222" spans="2:22">
      <c r="B8222" s="318">
        <f t="shared" si="515"/>
        <v>46455</v>
      </c>
      <c r="C8222" s="312">
        <v>10</v>
      </c>
      <c r="D8222" s="368">
        <f>IFERROR((INDEX(METADATA!$T$2:$T$20,MATCH(B8222,METADATA!$S$2:$S$20,0))),0)</f>
        <v>0</v>
      </c>
      <c r="E8222" s="312" t="str">
        <f t="shared" si="512"/>
        <v>LO</v>
      </c>
      <c r="F8222" s="369">
        <f>VLOOKUP(C8222,METADATA!$A$5:$H$29,IF(E8222="HI",2,IF(E8222="LO",6,10))+IF(D8222=1,2,IF(D8222=7,1,(IF(WEEKDAY(B8222)=1,2,IF(WEEKDAY(B8222)=7,1,0))))))</f>
        <v>2</v>
      </c>
      <c r="G8222" s="369">
        <f>VLOOKUP(C8222,METADATA!$J$5:$Q$29,IF(E8222="HI",2,IF(E8222="LO",6,10))+IF(D8222=1,2,IF(D8222=7,1,(IF(WEEKDAY(B8222)=1,2,IF(WEEKDAY(B8222)=7,1,0))))))</f>
        <v>2</v>
      </c>
      <c r="H8222" s="370">
        <v>11289.724914550781</v>
      </c>
      <c r="I8222" s="370">
        <v>2698.0499877929688</v>
      </c>
      <c r="M8222" s="371">
        <f t="shared" si="513"/>
        <v>11607.642412775227</v>
      </c>
      <c r="N8222" s="329">
        <f t="shared" si="514"/>
        <v>0</v>
      </c>
      <c r="T8222" s="331">
        <v>0</v>
      </c>
      <c r="U8222" s="328">
        <f>VLOOKUP(C8222,METADATA!$J$5:$Q$29,IF(E8222="HI",2,IF(E8222="LO",6,10))+IF(T8222=1,2,IF(D8222=7,1,(IF(WEEKDAY(B8222)=1,2,IF(WEEKDAY(B8222)=7,1,0))))))</f>
        <v>2</v>
      </c>
      <c r="V8222" s="328">
        <f>VLOOKUP(C8222,METADATA!$A$5:$H$29,IF(E8222="HI",2,IF(E8222="LO",6,10))+IF(T8222=1,2,IF(D8222=7,1,(IF(WEEKDAY(B8222)=1,2,IF(WEEKDAY(B8222)=7,1,0))))))</f>
        <v>2</v>
      </c>
    </row>
    <row r="8223" spans="2:22">
      <c r="B8223" s="318">
        <f t="shared" si="515"/>
        <v>46455</v>
      </c>
      <c r="C8223" s="312">
        <v>11</v>
      </c>
      <c r="D8223" s="368">
        <f>IFERROR((INDEX(METADATA!$T$2:$T$20,MATCH(B8223,METADATA!$S$2:$S$20,0))),0)</f>
        <v>0</v>
      </c>
      <c r="E8223" s="312" t="str">
        <f t="shared" si="512"/>
        <v>LO</v>
      </c>
      <c r="F8223" s="369">
        <f>VLOOKUP(C8223,METADATA!$A$5:$H$29,IF(E8223="HI",2,IF(E8223="LO",6,10))+IF(D8223=1,2,IF(D8223=7,1,(IF(WEEKDAY(B8223)=1,2,IF(WEEKDAY(B8223)=7,1,0))))))</f>
        <v>2</v>
      </c>
      <c r="G8223" s="369">
        <f>VLOOKUP(C8223,METADATA!$J$5:$Q$29,IF(E8223="HI",2,IF(E8223="LO",6,10))+IF(D8223=1,2,IF(D8223=7,1,(IF(WEEKDAY(B8223)=1,2,IF(WEEKDAY(B8223)=7,1,0))))))</f>
        <v>2</v>
      </c>
      <c r="H8223" s="370">
        <v>11291.125122070313</v>
      </c>
      <c r="I8223" s="370">
        <v>2606.8250122070313</v>
      </c>
      <c r="M8223" s="371">
        <f t="shared" si="513"/>
        <v>11588.14235184033</v>
      </c>
      <c r="N8223" s="329">
        <f t="shared" si="514"/>
        <v>0</v>
      </c>
      <c r="T8223" s="331">
        <v>0</v>
      </c>
      <c r="U8223" s="328">
        <f>VLOOKUP(C8223,METADATA!$J$5:$Q$29,IF(E8223="HI",2,IF(E8223="LO",6,10))+IF(T8223=1,2,IF(D8223=7,1,(IF(WEEKDAY(B8223)=1,2,IF(WEEKDAY(B8223)=7,1,0))))))</f>
        <v>2</v>
      </c>
      <c r="V8223" s="328">
        <f>VLOOKUP(C8223,METADATA!$A$5:$H$29,IF(E8223="HI",2,IF(E8223="LO",6,10))+IF(T8223=1,2,IF(D8223=7,1,(IF(WEEKDAY(B8223)=1,2,IF(WEEKDAY(B8223)=7,1,0))))))</f>
        <v>2</v>
      </c>
    </row>
    <row r="8224" spans="2:22">
      <c r="B8224" s="318">
        <f t="shared" si="515"/>
        <v>46455</v>
      </c>
      <c r="C8224" s="312">
        <v>12</v>
      </c>
      <c r="D8224" s="368">
        <f>IFERROR((INDEX(METADATA!$T$2:$T$20,MATCH(B8224,METADATA!$S$2:$S$20,0))),0)</f>
        <v>0</v>
      </c>
      <c r="E8224" s="312" t="str">
        <f t="shared" si="512"/>
        <v>LO</v>
      </c>
      <c r="F8224" s="369">
        <f>VLOOKUP(C8224,METADATA!$A$5:$H$29,IF(E8224="HI",2,IF(E8224="LO",6,10))+IF(D8224=1,2,IF(D8224=7,1,(IF(WEEKDAY(B8224)=1,2,IF(WEEKDAY(B8224)=7,1,0))))))</f>
        <v>2</v>
      </c>
      <c r="G8224" s="369">
        <f>VLOOKUP(C8224,METADATA!$J$5:$Q$29,IF(E8224="HI",2,IF(E8224="LO",6,10))+IF(D8224=1,2,IF(D8224=7,1,(IF(WEEKDAY(B8224)=1,2,IF(WEEKDAY(B8224)=7,1,0))))))</f>
        <v>2</v>
      </c>
      <c r="H8224" s="370">
        <v>11207.425048828125</v>
      </c>
      <c r="I8224" s="370">
        <v>2684.949951171875</v>
      </c>
      <c r="M8224" s="371">
        <f t="shared" si="513"/>
        <v>11524.553460564013</v>
      </c>
      <c r="N8224" s="329">
        <f t="shared" si="514"/>
        <v>0</v>
      </c>
      <c r="T8224" s="331">
        <v>0</v>
      </c>
      <c r="U8224" s="328">
        <f>VLOOKUP(C8224,METADATA!$J$5:$Q$29,IF(E8224="HI",2,IF(E8224="LO",6,10))+IF(T8224=1,2,IF(D8224=7,1,(IF(WEEKDAY(B8224)=1,2,IF(WEEKDAY(B8224)=7,1,0))))))</f>
        <v>2</v>
      </c>
      <c r="V8224" s="328">
        <f>VLOOKUP(C8224,METADATA!$A$5:$H$29,IF(E8224="HI",2,IF(E8224="LO",6,10))+IF(T8224=1,2,IF(D8224=7,1,(IF(WEEKDAY(B8224)=1,2,IF(WEEKDAY(B8224)=7,1,0))))))</f>
        <v>2</v>
      </c>
    </row>
    <row r="8225" spans="2:22">
      <c r="B8225" s="318">
        <f t="shared" si="515"/>
        <v>46455</v>
      </c>
      <c r="C8225" s="312">
        <v>13</v>
      </c>
      <c r="D8225" s="368">
        <f>IFERROR((INDEX(METADATA!$T$2:$T$20,MATCH(B8225,METADATA!$S$2:$S$20,0))),0)</f>
        <v>0</v>
      </c>
      <c r="E8225" s="312" t="str">
        <f t="shared" si="512"/>
        <v>LO</v>
      </c>
      <c r="F8225" s="369">
        <f>VLOOKUP(C8225,METADATA!$A$5:$H$29,IF(E8225="HI",2,IF(E8225="LO",6,10))+IF(D8225=1,2,IF(D8225=7,1,(IF(WEEKDAY(B8225)=1,2,IF(WEEKDAY(B8225)=7,1,0))))))</f>
        <v>2</v>
      </c>
      <c r="G8225" s="369">
        <f>VLOOKUP(C8225,METADATA!$J$5:$Q$29,IF(E8225="HI",2,IF(E8225="LO",6,10))+IF(D8225=1,2,IF(D8225=7,1,(IF(WEEKDAY(B8225)=1,2,IF(WEEKDAY(B8225)=7,1,0))))))</f>
        <v>2</v>
      </c>
      <c r="H8225" s="370">
        <v>11388.000122070313</v>
      </c>
      <c r="I8225" s="370">
        <v>2700</v>
      </c>
      <c r="M8225" s="371">
        <f t="shared" si="513"/>
        <v>11703.69799594442</v>
      </c>
      <c r="N8225" s="329">
        <f t="shared" si="514"/>
        <v>0</v>
      </c>
      <c r="T8225" s="331">
        <v>0</v>
      </c>
      <c r="U8225" s="328">
        <f>VLOOKUP(C8225,METADATA!$J$5:$Q$29,IF(E8225="HI",2,IF(E8225="LO",6,10))+IF(T8225=1,2,IF(D8225=7,1,(IF(WEEKDAY(B8225)=1,2,IF(WEEKDAY(B8225)=7,1,0))))))</f>
        <v>2</v>
      </c>
      <c r="V8225" s="328">
        <f>VLOOKUP(C8225,METADATA!$A$5:$H$29,IF(E8225="HI",2,IF(E8225="LO",6,10))+IF(T8225=1,2,IF(D8225=7,1,(IF(WEEKDAY(B8225)=1,2,IF(WEEKDAY(B8225)=7,1,0))))))</f>
        <v>2</v>
      </c>
    </row>
    <row r="8226" spans="2:22">
      <c r="B8226" s="318">
        <f t="shared" si="515"/>
        <v>46455</v>
      </c>
      <c r="C8226" s="312">
        <v>14</v>
      </c>
      <c r="D8226" s="368">
        <f>IFERROR((INDEX(METADATA!$T$2:$T$20,MATCH(B8226,METADATA!$S$2:$S$20,0))),0)</f>
        <v>0</v>
      </c>
      <c r="E8226" s="312" t="str">
        <f t="shared" si="512"/>
        <v>LO</v>
      </c>
      <c r="F8226" s="369">
        <f>VLOOKUP(C8226,METADATA!$A$5:$H$29,IF(E8226="HI",2,IF(E8226="LO",6,10))+IF(D8226=1,2,IF(D8226=7,1,(IF(WEEKDAY(B8226)=1,2,IF(WEEKDAY(B8226)=7,1,0))))))</f>
        <v>2</v>
      </c>
      <c r="G8226" s="369">
        <f>VLOOKUP(C8226,METADATA!$J$5:$Q$29,IF(E8226="HI",2,IF(E8226="LO",6,10))+IF(D8226=1,2,IF(D8226=7,1,(IF(WEEKDAY(B8226)=1,2,IF(WEEKDAY(B8226)=7,1,0))))))</f>
        <v>2</v>
      </c>
      <c r="H8226" s="370">
        <v>11329.875</v>
      </c>
      <c r="I8226" s="370">
        <v>2738.8550122380257</v>
      </c>
      <c r="M8226" s="371">
        <f t="shared" si="513"/>
        <v>11656.216980379455</v>
      </c>
      <c r="N8226" s="329">
        <f t="shared" si="514"/>
        <v>0</v>
      </c>
      <c r="T8226" s="331">
        <v>0</v>
      </c>
      <c r="U8226" s="328">
        <f>VLOOKUP(C8226,METADATA!$J$5:$Q$29,IF(E8226="HI",2,IF(E8226="LO",6,10))+IF(T8226=1,2,IF(D8226=7,1,(IF(WEEKDAY(B8226)=1,2,IF(WEEKDAY(B8226)=7,1,0))))))</f>
        <v>2</v>
      </c>
      <c r="V8226" s="328">
        <f>VLOOKUP(C8226,METADATA!$A$5:$H$29,IF(E8226="HI",2,IF(E8226="LO",6,10))+IF(T8226=1,2,IF(D8226=7,1,(IF(WEEKDAY(B8226)=1,2,IF(WEEKDAY(B8226)=7,1,0))))))</f>
        <v>2</v>
      </c>
    </row>
    <row r="8227" spans="2:22">
      <c r="B8227" s="318">
        <f t="shared" si="515"/>
        <v>46455</v>
      </c>
      <c r="C8227" s="312">
        <v>15</v>
      </c>
      <c r="D8227" s="368">
        <f>IFERROR((INDEX(METADATA!$T$2:$T$20,MATCH(B8227,METADATA!$S$2:$S$20,0))),0)</f>
        <v>0</v>
      </c>
      <c r="E8227" s="312" t="str">
        <f t="shared" si="512"/>
        <v>LO</v>
      </c>
      <c r="F8227" s="369">
        <f>VLOOKUP(C8227,METADATA!$A$5:$H$29,IF(E8227="HI",2,IF(E8227="LO",6,10))+IF(D8227=1,2,IF(D8227=7,1,(IF(WEEKDAY(B8227)=1,2,IF(WEEKDAY(B8227)=7,1,0))))))</f>
        <v>2</v>
      </c>
      <c r="G8227" s="369">
        <f>VLOOKUP(C8227,METADATA!$J$5:$Q$29,IF(E8227="HI",2,IF(E8227="LO",6,10))+IF(D8227=1,2,IF(D8227=7,1,(IF(WEEKDAY(B8227)=1,2,IF(WEEKDAY(B8227)=7,1,0))))))</f>
        <v>2</v>
      </c>
      <c r="H8227" s="370">
        <v>11528.949951171875</v>
      </c>
      <c r="I8227" s="370">
        <v>2723.260097682476</v>
      </c>
      <c r="M8227" s="371">
        <f t="shared" si="513"/>
        <v>11846.215958535264</v>
      </c>
      <c r="N8227" s="329">
        <f t="shared" si="514"/>
        <v>0</v>
      </c>
      <c r="T8227" s="331">
        <v>0</v>
      </c>
      <c r="U8227" s="328">
        <f>VLOOKUP(C8227,METADATA!$J$5:$Q$29,IF(E8227="HI",2,IF(E8227="LO",6,10))+IF(T8227=1,2,IF(D8227=7,1,(IF(WEEKDAY(B8227)=1,2,IF(WEEKDAY(B8227)=7,1,0))))))</f>
        <v>2</v>
      </c>
      <c r="V8227" s="328">
        <f>VLOOKUP(C8227,METADATA!$A$5:$H$29,IF(E8227="HI",2,IF(E8227="LO",6,10))+IF(T8227=1,2,IF(D8227=7,1,(IF(WEEKDAY(B8227)=1,2,IF(WEEKDAY(B8227)=7,1,0))))))</f>
        <v>2</v>
      </c>
    </row>
    <row r="8228" spans="2:22">
      <c r="B8228" s="318">
        <f t="shared" si="515"/>
        <v>46455</v>
      </c>
      <c r="C8228" s="312">
        <v>16</v>
      </c>
      <c r="D8228" s="368">
        <f>IFERROR((INDEX(METADATA!$T$2:$T$20,MATCH(B8228,METADATA!$S$2:$S$20,0))),0)</f>
        <v>0</v>
      </c>
      <c r="E8228" s="312" t="str">
        <f t="shared" si="512"/>
        <v>LO</v>
      </c>
      <c r="F8228" s="369">
        <f>VLOOKUP(C8228,METADATA!$A$5:$H$29,IF(E8228="HI",2,IF(E8228="LO",6,10))+IF(D8228=1,2,IF(D8228=7,1,(IF(WEEKDAY(B8228)=1,2,IF(WEEKDAY(B8228)=7,1,0))))))</f>
        <v>2</v>
      </c>
      <c r="G8228" s="369">
        <f>VLOOKUP(C8228,METADATA!$J$5:$Q$29,IF(E8228="HI",2,IF(E8228="LO",6,10))+IF(D8228=1,2,IF(D8228=7,1,(IF(WEEKDAY(B8228)=1,2,IF(WEEKDAY(B8228)=7,1,0))))))</f>
        <v>2</v>
      </c>
      <c r="H8228" s="370">
        <v>11535.324951171875</v>
      </c>
      <c r="I8228" s="370">
        <v>2773.8749756813049</v>
      </c>
      <c r="M8228" s="371">
        <f t="shared" si="513"/>
        <v>11864.152060296572</v>
      </c>
      <c r="N8228" s="329">
        <f t="shared" si="514"/>
        <v>0</v>
      </c>
      <c r="T8228" s="331">
        <v>0</v>
      </c>
      <c r="U8228" s="328">
        <f>VLOOKUP(C8228,METADATA!$J$5:$Q$29,IF(E8228="HI",2,IF(E8228="LO",6,10))+IF(T8228=1,2,IF(D8228=7,1,(IF(WEEKDAY(B8228)=1,2,IF(WEEKDAY(B8228)=7,1,0))))))</f>
        <v>2</v>
      </c>
      <c r="V8228" s="328">
        <f>VLOOKUP(C8228,METADATA!$A$5:$H$29,IF(E8228="HI",2,IF(E8228="LO",6,10))+IF(T8228=1,2,IF(D8228=7,1,(IF(WEEKDAY(B8228)=1,2,IF(WEEKDAY(B8228)=7,1,0))))))</f>
        <v>2</v>
      </c>
    </row>
    <row r="8229" spans="2:22">
      <c r="B8229" s="318">
        <f t="shared" si="515"/>
        <v>46455</v>
      </c>
      <c r="C8229" s="312">
        <v>17</v>
      </c>
      <c r="D8229" s="368">
        <f>IFERROR((INDEX(METADATA!$T$2:$T$20,MATCH(B8229,METADATA!$S$2:$S$20,0))),0)</f>
        <v>0</v>
      </c>
      <c r="E8229" s="312" t="str">
        <f t="shared" si="512"/>
        <v>LO</v>
      </c>
      <c r="F8229" s="369">
        <f>VLOOKUP(C8229,METADATA!$A$5:$H$29,IF(E8229="HI",2,IF(E8229="LO",6,10))+IF(D8229=1,2,IF(D8229=7,1,(IF(WEEKDAY(B8229)=1,2,IF(WEEKDAY(B8229)=7,1,0))))))</f>
        <v>2</v>
      </c>
      <c r="G8229" s="369">
        <f>VLOOKUP(C8229,METADATA!$J$5:$Q$29,IF(E8229="HI",2,IF(E8229="LO",6,10))+IF(D8229=1,2,IF(D8229=7,1,(IF(WEEKDAY(B8229)=1,2,IF(WEEKDAY(B8229)=7,1,0))))))</f>
        <v>2</v>
      </c>
      <c r="H8229" s="370">
        <v>11572.474609375</v>
      </c>
      <c r="I8229" s="370">
        <v>2861.7499771118164</v>
      </c>
      <c r="M8229" s="371">
        <f t="shared" si="513"/>
        <v>11921.064613369417</v>
      </c>
      <c r="N8229" s="329">
        <f t="shared" si="514"/>
        <v>0</v>
      </c>
      <c r="T8229" s="331">
        <v>0</v>
      </c>
      <c r="U8229" s="328">
        <f>VLOOKUP(C8229,METADATA!$J$5:$Q$29,IF(E8229="HI",2,IF(E8229="LO",6,10))+IF(T8229=1,2,IF(D8229=7,1,(IF(WEEKDAY(B8229)=1,2,IF(WEEKDAY(B8229)=7,1,0))))))</f>
        <v>2</v>
      </c>
      <c r="V8229" s="328">
        <f>VLOOKUP(C8229,METADATA!$A$5:$H$29,IF(E8229="HI",2,IF(E8229="LO",6,10))+IF(T8229=1,2,IF(D8229=7,1,(IF(WEEKDAY(B8229)=1,2,IF(WEEKDAY(B8229)=7,1,0))))))</f>
        <v>2</v>
      </c>
    </row>
    <row r="8230" spans="2:22">
      <c r="B8230" s="318">
        <f t="shared" si="515"/>
        <v>46455</v>
      </c>
      <c r="C8230" s="312">
        <v>18</v>
      </c>
      <c r="D8230" s="368">
        <f>IFERROR((INDEX(METADATA!$T$2:$T$20,MATCH(B8230,METADATA!$S$2:$S$20,0))),0)</f>
        <v>0</v>
      </c>
      <c r="E8230" s="312" t="str">
        <f t="shared" si="512"/>
        <v>LO</v>
      </c>
      <c r="F8230" s="369">
        <f>VLOOKUP(C8230,METADATA!$A$5:$H$29,IF(E8230="HI",2,IF(E8230="LO",6,10))+IF(D8230=1,2,IF(D8230=7,1,(IF(WEEKDAY(B8230)=1,2,IF(WEEKDAY(B8230)=7,1,0))))))</f>
        <v>1</v>
      </c>
      <c r="G8230" s="369">
        <f>VLOOKUP(C8230,METADATA!$J$5:$Q$29,IF(E8230="HI",2,IF(E8230="LO",6,10))+IF(D8230=1,2,IF(D8230=7,1,(IF(WEEKDAY(B8230)=1,2,IF(WEEKDAY(B8230)=7,1,0))))))</f>
        <v>1</v>
      </c>
      <c r="H8230" s="370">
        <v>11350.000122070313</v>
      </c>
      <c r="I8230" s="370">
        <v>2624.4300363957882</v>
      </c>
      <c r="M8230" s="371">
        <f t="shared" si="513"/>
        <v>11649.469334992582</v>
      </c>
      <c r="N8230" s="329">
        <f t="shared" si="514"/>
        <v>0</v>
      </c>
      <c r="T8230" s="331">
        <v>0</v>
      </c>
      <c r="U8230" s="328">
        <f>VLOOKUP(C8230,METADATA!$J$5:$Q$29,IF(E8230="HI",2,IF(E8230="LO",6,10))+IF(T8230=1,2,IF(D8230=7,1,(IF(WEEKDAY(B8230)=1,2,IF(WEEKDAY(B8230)=7,1,0))))))</f>
        <v>1</v>
      </c>
      <c r="V8230" s="328">
        <f>VLOOKUP(C8230,METADATA!$A$5:$H$29,IF(E8230="HI",2,IF(E8230="LO",6,10))+IF(T8230=1,2,IF(D8230=7,1,(IF(WEEKDAY(B8230)=1,2,IF(WEEKDAY(B8230)=7,1,0))))))</f>
        <v>1</v>
      </c>
    </row>
    <row r="8231" spans="2:22">
      <c r="B8231" s="318">
        <f t="shared" si="515"/>
        <v>46455</v>
      </c>
      <c r="C8231" s="312">
        <v>19</v>
      </c>
      <c r="D8231" s="368">
        <f>IFERROR((INDEX(METADATA!$T$2:$T$20,MATCH(B8231,METADATA!$S$2:$S$20,0))),0)</f>
        <v>0</v>
      </c>
      <c r="E8231" s="312" t="str">
        <f t="shared" si="512"/>
        <v>LO</v>
      </c>
      <c r="F8231" s="369">
        <f>VLOOKUP(C8231,METADATA!$A$5:$H$29,IF(E8231="HI",2,IF(E8231="LO",6,10))+IF(D8231=1,2,IF(D8231=7,1,(IF(WEEKDAY(B8231)=1,2,IF(WEEKDAY(B8231)=7,1,0))))))</f>
        <v>1</v>
      </c>
      <c r="G8231" s="369">
        <f>VLOOKUP(C8231,METADATA!$J$5:$Q$29,IF(E8231="HI",2,IF(E8231="LO",6,10))+IF(D8231=1,2,IF(D8231=7,1,(IF(WEEKDAY(B8231)=1,2,IF(WEEKDAY(B8231)=7,1,0))))))</f>
        <v>1</v>
      </c>
      <c r="H8231" s="370">
        <v>11378.949951171875</v>
      </c>
      <c r="I8231" s="370">
        <v>2622.2299147769809</v>
      </c>
      <c r="M8231" s="371">
        <f t="shared" si="513"/>
        <v>11677.18252478849</v>
      </c>
      <c r="N8231" s="329">
        <f t="shared" si="514"/>
        <v>0</v>
      </c>
      <c r="T8231" s="331">
        <v>0</v>
      </c>
      <c r="U8231" s="328">
        <f>VLOOKUP(C8231,METADATA!$J$5:$Q$29,IF(E8231="HI",2,IF(E8231="LO",6,10))+IF(T8231=1,2,IF(D8231=7,1,(IF(WEEKDAY(B8231)=1,2,IF(WEEKDAY(B8231)=7,1,0))))))</f>
        <v>1</v>
      </c>
      <c r="V8231" s="328">
        <f>VLOOKUP(C8231,METADATA!$A$5:$H$29,IF(E8231="HI",2,IF(E8231="LO",6,10))+IF(T8231=1,2,IF(D8231=7,1,(IF(WEEKDAY(B8231)=1,2,IF(WEEKDAY(B8231)=7,1,0))))))</f>
        <v>1</v>
      </c>
    </row>
    <row r="8232" spans="2:22">
      <c r="B8232" s="318">
        <f t="shared" si="515"/>
        <v>46455</v>
      </c>
      <c r="C8232" s="312">
        <v>20</v>
      </c>
      <c r="D8232" s="368">
        <f>IFERROR((INDEX(METADATA!$T$2:$T$20,MATCH(B8232,METADATA!$S$2:$S$20,0))),0)</f>
        <v>0</v>
      </c>
      <c r="E8232" s="312" t="str">
        <f t="shared" si="512"/>
        <v>LO</v>
      </c>
      <c r="F8232" s="369">
        <f>VLOOKUP(C8232,METADATA!$A$5:$H$29,IF(E8232="HI",2,IF(E8232="LO",6,10))+IF(D8232=1,2,IF(D8232=7,1,(IF(WEEKDAY(B8232)=1,2,IF(WEEKDAY(B8232)=7,1,0))))))</f>
        <v>1</v>
      </c>
      <c r="G8232" s="369">
        <f>VLOOKUP(C8232,METADATA!$J$5:$Q$29,IF(E8232="HI",2,IF(E8232="LO",6,10))+IF(D8232=1,2,IF(D8232=7,1,(IF(WEEKDAY(B8232)=1,2,IF(WEEKDAY(B8232)=7,1,0))))))</f>
        <v>1</v>
      </c>
      <c r="H8232" s="370">
        <v>11362.499877929688</v>
      </c>
      <c r="I8232" s="370">
        <v>2616.0499873757362</v>
      </c>
      <c r="M8232" s="371">
        <f t="shared" si="513"/>
        <v>11659.765049622602</v>
      </c>
      <c r="N8232" s="329">
        <f t="shared" si="514"/>
        <v>0</v>
      </c>
      <c r="T8232" s="331">
        <v>0</v>
      </c>
      <c r="U8232" s="328">
        <f>VLOOKUP(C8232,METADATA!$J$5:$Q$29,IF(E8232="HI",2,IF(E8232="LO",6,10))+IF(T8232=1,2,IF(D8232=7,1,(IF(WEEKDAY(B8232)=1,2,IF(WEEKDAY(B8232)=7,1,0))))))</f>
        <v>1</v>
      </c>
      <c r="V8232" s="328">
        <f>VLOOKUP(C8232,METADATA!$A$5:$H$29,IF(E8232="HI",2,IF(E8232="LO",6,10))+IF(T8232=1,2,IF(D8232=7,1,(IF(WEEKDAY(B8232)=1,2,IF(WEEKDAY(B8232)=7,1,0))))))</f>
        <v>1</v>
      </c>
    </row>
    <row r="8233" spans="2:22">
      <c r="B8233" s="318">
        <f t="shared" si="515"/>
        <v>46455</v>
      </c>
      <c r="C8233" s="312">
        <v>21</v>
      </c>
      <c r="D8233" s="368">
        <f>IFERROR((INDEX(METADATA!$T$2:$T$20,MATCH(B8233,METADATA!$S$2:$S$20,0))),0)</f>
        <v>0</v>
      </c>
      <c r="E8233" s="312" t="str">
        <f t="shared" si="512"/>
        <v>LO</v>
      </c>
      <c r="F8233" s="369">
        <f>VLOOKUP(C8233,METADATA!$A$5:$H$29,IF(E8233="HI",2,IF(E8233="LO",6,10))+IF(D8233=1,2,IF(D8233=7,1,(IF(WEEKDAY(B8233)=1,2,IF(WEEKDAY(B8233)=7,1,0))))))</f>
        <v>2</v>
      </c>
      <c r="G8233" s="369">
        <f>VLOOKUP(C8233,METADATA!$J$5:$Q$29,IF(E8233="HI",2,IF(E8233="LO",6,10))+IF(D8233=1,2,IF(D8233=7,1,(IF(WEEKDAY(B8233)=1,2,IF(WEEKDAY(B8233)=7,1,0))))))</f>
        <v>2</v>
      </c>
      <c r="H8233" s="370">
        <v>11358.350158691406</v>
      </c>
      <c r="I8233" s="370">
        <v>2582.4600243121386</v>
      </c>
      <c r="M8233" s="371">
        <f t="shared" si="513"/>
        <v>11648.228110086759</v>
      </c>
      <c r="N8233" s="329">
        <f t="shared" si="514"/>
        <v>0</v>
      </c>
      <c r="T8233" s="331">
        <v>0</v>
      </c>
      <c r="U8233" s="328">
        <f>VLOOKUP(C8233,METADATA!$J$5:$Q$29,IF(E8233="HI",2,IF(E8233="LO",6,10))+IF(T8233=1,2,IF(D8233=7,1,(IF(WEEKDAY(B8233)=1,2,IF(WEEKDAY(B8233)=7,1,0))))))</f>
        <v>2</v>
      </c>
      <c r="V8233" s="328">
        <f>VLOOKUP(C8233,METADATA!$A$5:$H$29,IF(E8233="HI",2,IF(E8233="LO",6,10))+IF(T8233=1,2,IF(D8233=7,1,(IF(WEEKDAY(B8233)=1,2,IF(WEEKDAY(B8233)=7,1,0))))))</f>
        <v>2</v>
      </c>
    </row>
    <row r="8234" spans="2:22">
      <c r="B8234" s="318">
        <f t="shared" si="515"/>
        <v>46455</v>
      </c>
      <c r="C8234" s="312">
        <v>22</v>
      </c>
      <c r="D8234" s="368">
        <f>IFERROR((INDEX(METADATA!$T$2:$T$20,MATCH(B8234,METADATA!$S$2:$S$20,0))),0)</f>
        <v>0</v>
      </c>
      <c r="E8234" s="312" t="str">
        <f t="shared" si="512"/>
        <v>LO</v>
      </c>
      <c r="F8234" s="369">
        <f>VLOOKUP(C8234,METADATA!$A$5:$H$29,IF(E8234="HI",2,IF(E8234="LO",6,10))+IF(D8234=1,2,IF(D8234=7,1,(IF(WEEKDAY(B8234)=1,2,IF(WEEKDAY(B8234)=7,1,0))))))</f>
        <v>3</v>
      </c>
      <c r="G8234" s="369">
        <f>VLOOKUP(C8234,METADATA!$J$5:$Q$29,IF(E8234="HI",2,IF(E8234="LO",6,10))+IF(D8234=1,2,IF(D8234=7,1,(IF(WEEKDAY(B8234)=1,2,IF(WEEKDAY(B8234)=7,1,0))))))</f>
        <v>3</v>
      </c>
      <c r="H8234" s="370">
        <v>10761.399963378906</v>
      </c>
      <c r="I8234" s="370">
        <v>2388.1500358581543</v>
      </c>
      <c r="M8234" s="371">
        <f t="shared" si="513"/>
        <v>11023.202337142362</v>
      </c>
      <c r="N8234" s="329">
        <f t="shared" si="514"/>
        <v>0</v>
      </c>
      <c r="T8234" s="331">
        <v>0</v>
      </c>
      <c r="U8234" s="328">
        <f>VLOOKUP(C8234,METADATA!$J$5:$Q$29,IF(E8234="HI",2,IF(E8234="LO",6,10))+IF(T8234=1,2,IF(D8234=7,1,(IF(WEEKDAY(B8234)=1,2,IF(WEEKDAY(B8234)=7,1,0))))))</f>
        <v>3</v>
      </c>
      <c r="V8234" s="328">
        <f>VLOOKUP(C8234,METADATA!$A$5:$H$29,IF(E8234="HI",2,IF(E8234="LO",6,10))+IF(T8234=1,2,IF(D8234=7,1,(IF(WEEKDAY(B8234)=1,2,IF(WEEKDAY(B8234)=7,1,0))))))</f>
        <v>3</v>
      </c>
    </row>
    <row r="8235" spans="2:22">
      <c r="B8235" s="318">
        <f t="shared" si="515"/>
        <v>46455</v>
      </c>
      <c r="C8235" s="312">
        <v>23</v>
      </c>
      <c r="D8235" s="368">
        <f>IFERROR((INDEX(METADATA!$T$2:$T$20,MATCH(B8235,METADATA!$S$2:$S$20,0))),0)</f>
        <v>0</v>
      </c>
      <c r="E8235" s="312" t="str">
        <f t="shared" si="512"/>
        <v>LO</v>
      </c>
      <c r="F8235" s="369">
        <f>VLOOKUP(C8235,METADATA!$A$5:$H$29,IF(E8235="HI",2,IF(E8235="LO",6,10))+IF(D8235=1,2,IF(D8235=7,1,(IF(WEEKDAY(B8235)=1,2,IF(WEEKDAY(B8235)=7,1,0))))))</f>
        <v>3</v>
      </c>
      <c r="G8235" s="369">
        <f>VLOOKUP(C8235,METADATA!$J$5:$Q$29,IF(E8235="HI",2,IF(E8235="LO",6,10))+IF(D8235=1,2,IF(D8235=7,1,(IF(WEEKDAY(B8235)=1,2,IF(WEEKDAY(B8235)=7,1,0))))))</f>
        <v>3</v>
      </c>
      <c r="H8235" s="370">
        <v>10771.675048828125</v>
      </c>
      <c r="I8235" s="370">
        <v>2360.7850000411272</v>
      </c>
      <c r="M8235" s="371">
        <f t="shared" si="513"/>
        <v>11027.342797517704</v>
      </c>
      <c r="N8235" s="329">
        <f t="shared" si="514"/>
        <v>0</v>
      </c>
      <c r="T8235" s="331">
        <v>0</v>
      </c>
      <c r="U8235" s="328">
        <f>VLOOKUP(C8235,METADATA!$J$5:$Q$29,IF(E8235="HI",2,IF(E8235="LO",6,10))+IF(T8235=1,2,IF(D8235=7,1,(IF(WEEKDAY(B8235)=1,2,IF(WEEKDAY(B8235)=7,1,0))))))</f>
        <v>3</v>
      </c>
      <c r="V8235" s="328">
        <f>VLOOKUP(C8235,METADATA!$A$5:$H$29,IF(E8235="HI",2,IF(E8235="LO",6,10))+IF(T8235=1,2,IF(D8235=7,1,(IF(WEEKDAY(B8235)=1,2,IF(WEEKDAY(B8235)=7,1,0))))))</f>
        <v>3</v>
      </c>
    </row>
    <row r="8236" spans="2:22">
      <c r="B8236" s="318">
        <f t="shared" si="515"/>
        <v>46456</v>
      </c>
      <c r="C8236" s="312">
        <v>0</v>
      </c>
      <c r="D8236" s="368">
        <f>IFERROR((INDEX(METADATA!$T$2:$T$20,MATCH(B8236,METADATA!$S$2:$S$20,0))),0)</f>
        <v>0</v>
      </c>
      <c r="E8236" s="312" t="str">
        <f t="shared" si="512"/>
        <v>LO</v>
      </c>
      <c r="F8236" s="369">
        <f>VLOOKUP(C8236,METADATA!$A$5:$H$29,IF(E8236="HI",2,IF(E8236="LO",6,10))+IF(D8236=1,2,IF(D8236=7,1,(IF(WEEKDAY(B8236)=1,2,IF(WEEKDAY(B8236)=7,1,0))))))</f>
        <v>3</v>
      </c>
      <c r="G8236" s="369">
        <f>VLOOKUP(C8236,METADATA!$J$5:$Q$29,IF(E8236="HI",2,IF(E8236="LO",6,10))+IF(D8236=1,2,IF(D8236=7,1,(IF(WEEKDAY(B8236)=1,2,IF(WEEKDAY(B8236)=7,1,0))))))</f>
        <v>3</v>
      </c>
      <c r="H8236" s="370">
        <v>10760.000061035156</v>
      </c>
      <c r="I8236" s="370">
        <v>2383.8849883079529</v>
      </c>
      <c r="M8236" s="371">
        <f t="shared" si="513"/>
        <v>11020.912346578052</v>
      </c>
      <c r="N8236" s="329">
        <f t="shared" si="514"/>
        <v>0</v>
      </c>
      <c r="T8236" s="331">
        <v>0</v>
      </c>
      <c r="U8236" s="328">
        <f>VLOOKUP(C8236,METADATA!$J$5:$Q$29,IF(E8236="HI",2,IF(E8236="LO",6,10))+IF(T8236=1,2,IF(D8236=7,1,(IF(WEEKDAY(B8236)=1,2,IF(WEEKDAY(B8236)=7,1,0))))))</f>
        <v>3</v>
      </c>
      <c r="V8236" s="328">
        <f>VLOOKUP(C8236,METADATA!$A$5:$H$29,IF(E8236="HI",2,IF(E8236="LO",6,10))+IF(T8236=1,2,IF(D8236=7,1,(IF(WEEKDAY(B8236)=1,2,IF(WEEKDAY(B8236)=7,1,0))))))</f>
        <v>3</v>
      </c>
    </row>
    <row r="8237" spans="2:22">
      <c r="B8237" s="318">
        <f t="shared" si="515"/>
        <v>46456</v>
      </c>
      <c r="C8237" s="312">
        <v>1</v>
      </c>
      <c r="D8237" s="368">
        <f>IFERROR((INDEX(METADATA!$T$2:$T$20,MATCH(B8237,METADATA!$S$2:$S$20,0))),0)</f>
        <v>0</v>
      </c>
      <c r="E8237" s="312" t="str">
        <f t="shared" si="512"/>
        <v>LO</v>
      </c>
      <c r="F8237" s="369">
        <f>VLOOKUP(C8237,METADATA!$A$5:$H$29,IF(E8237="HI",2,IF(E8237="LO",6,10))+IF(D8237=1,2,IF(D8237=7,1,(IF(WEEKDAY(B8237)=1,2,IF(WEEKDAY(B8237)=7,1,0))))))</f>
        <v>3</v>
      </c>
      <c r="G8237" s="369">
        <f>VLOOKUP(C8237,METADATA!$J$5:$Q$29,IF(E8237="HI",2,IF(E8237="LO",6,10))+IF(D8237=1,2,IF(D8237=7,1,(IF(WEEKDAY(B8237)=1,2,IF(WEEKDAY(B8237)=7,1,0))))))</f>
        <v>3</v>
      </c>
      <c r="H8237" s="370">
        <v>11137.380126953125</v>
      </c>
      <c r="I8237" s="370">
        <v>2612.3975415751338</v>
      </c>
      <c r="M8237" s="371">
        <f t="shared" si="513"/>
        <v>11439.661577489003</v>
      </c>
      <c r="N8237" s="329">
        <f t="shared" si="514"/>
        <v>0</v>
      </c>
      <c r="T8237" s="331">
        <v>0</v>
      </c>
      <c r="U8237" s="328">
        <f>VLOOKUP(C8237,METADATA!$J$5:$Q$29,IF(E8237="HI",2,IF(E8237="LO",6,10))+IF(T8237=1,2,IF(D8237=7,1,(IF(WEEKDAY(B8237)=1,2,IF(WEEKDAY(B8237)=7,1,0))))))</f>
        <v>3</v>
      </c>
      <c r="V8237" s="328">
        <f>VLOOKUP(C8237,METADATA!$A$5:$H$29,IF(E8237="HI",2,IF(E8237="LO",6,10))+IF(T8237=1,2,IF(D8237=7,1,(IF(WEEKDAY(B8237)=1,2,IF(WEEKDAY(B8237)=7,1,0))))))</f>
        <v>3</v>
      </c>
    </row>
    <row r="8238" spans="2:22">
      <c r="B8238" s="318">
        <f t="shared" si="515"/>
        <v>46456</v>
      </c>
      <c r="C8238" s="312">
        <v>2</v>
      </c>
      <c r="D8238" s="368">
        <f>IFERROR((INDEX(METADATA!$T$2:$T$20,MATCH(B8238,METADATA!$S$2:$S$20,0))),0)</f>
        <v>0</v>
      </c>
      <c r="E8238" s="312" t="str">
        <f t="shared" si="512"/>
        <v>LO</v>
      </c>
      <c r="F8238" s="369">
        <f>VLOOKUP(C8238,METADATA!$A$5:$H$29,IF(E8238="HI",2,IF(E8238="LO",6,10))+IF(D8238=1,2,IF(D8238=7,1,(IF(WEEKDAY(B8238)=1,2,IF(WEEKDAY(B8238)=7,1,0))))))</f>
        <v>3</v>
      </c>
      <c r="G8238" s="369">
        <f>VLOOKUP(C8238,METADATA!$J$5:$Q$29,IF(E8238="HI",2,IF(E8238="LO",6,10))+IF(D8238=1,2,IF(D8238=7,1,(IF(WEEKDAY(B8238)=1,2,IF(WEEKDAY(B8238)=7,1,0))))))</f>
        <v>3</v>
      </c>
      <c r="H8238" s="370">
        <v>11258.050048828125</v>
      </c>
      <c r="I8238" s="370">
        <v>2591.1999757289886</v>
      </c>
      <c r="M8238" s="371">
        <f t="shared" si="513"/>
        <v>11552.402703166856</v>
      </c>
      <c r="N8238" s="329">
        <f t="shared" si="514"/>
        <v>0</v>
      </c>
      <c r="T8238" s="331">
        <v>0</v>
      </c>
      <c r="U8238" s="328">
        <f>VLOOKUP(C8238,METADATA!$J$5:$Q$29,IF(E8238="HI",2,IF(E8238="LO",6,10))+IF(T8238=1,2,IF(D8238=7,1,(IF(WEEKDAY(B8238)=1,2,IF(WEEKDAY(B8238)=7,1,0))))))</f>
        <v>3</v>
      </c>
      <c r="V8238" s="328">
        <f>VLOOKUP(C8238,METADATA!$A$5:$H$29,IF(E8238="HI",2,IF(E8238="LO",6,10))+IF(T8238=1,2,IF(D8238=7,1,(IF(WEEKDAY(B8238)=1,2,IF(WEEKDAY(B8238)=7,1,0))))))</f>
        <v>3</v>
      </c>
    </row>
    <row r="8239" spans="2:22">
      <c r="B8239" s="318">
        <f t="shared" si="515"/>
        <v>46456</v>
      </c>
      <c r="C8239" s="312">
        <v>3</v>
      </c>
      <c r="D8239" s="368">
        <f>IFERROR((INDEX(METADATA!$T$2:$T$20,MATCH(B8239,METADATA!$S$2:$S$20,0))),0)</f>
        <v>0</v>
      </c>
      <c r="E8239" s="312" t="str">
        <f t="shared" si="512"/>
        <v>LO</v>
      </c>
      <c r="F8239" s="369">
        <f>VLOOKUP(C8239,METADATA!$A$5:$H$29,IF(E8239="HI",2,IF(E8239="LO",6,10))+IF(D8239=1,2,IF(D8239=7,1,(IF(WEEKDAY(B8239)=1,2,IF(WEEKDAY(B8239)=7,1,0))))))</f>
        <v>3</v>
      </c>
      <c r="G8239" s="369">
        <f>VLOOKUP(C8239,METADATA!$J$5:$Q$29,IF(E8239="HI",2,IF(E8239="LO",6,10))+IF(D8239=1,2,IF(D8239=7,1,(IF(WEEKDAY(B8239)=1,2,IF(WEEKDAY(B8239)=7,1,0))))))</f>
        <v>3</v>
      </c>
      <c r="H8239" s="370">
        <v>11317.549865722656</v>
      </c>
      <c r="I8239" s="370">
        <v>2614.1049637794495</v>
      </c>
      <c r="M8239" s="371">
        <f t="shared" si="513"/>
        <v>11615.5275267538</v>
      </c>
      <c r="N8239" s="329">
        <f t="shared" si="514"/>
        <v>0</v>
      </c>
      <c r="T8239" s="331">
        <v>0</v>
      </c>
      <c r="U8239" s="328">
        <f>VLOOKUP(C8239,METADATA!$J$5:$Q$29,IF(E8239="HI",2,IF(E8239="LO",6,10))+IF(T8239=1,2,IF(D8239=7,1,(IF(WEEKDAY(B8239)=1,2,IF(WEEKDAY(B8239)=7,1,0))))))</f>
        <v>3</v>
      </c>
      <c r="V8239" s="328">
        <f>VLOOKUP(C8239,METADATA!$A$5:$H$29,IF(E8239="HI",2,IF(E8239="LO",6,10))+IF(T8239=1,2,IF(D8239=7,1,(IF(WEEKDAY(B8239)=1,2,IF(WEEKDAY(B8239)=7,1,0))))))</f>
        <v>3</v>
      </c>
    </row>
    <row r="8240" spans="2:22">
      <c r="B8240" s="318">
        <f t="shared" si="515"/>
        <v>46456</v>
      </c>
      <c r="C8240" s="312">
        <v>4</v>
      </c>
      <c r="D8240" s="368">
        <f>IFERROR((INDEX(METADATA!$T$2:$T$20,MATCH(B8240,METADATA!$S$2:$S$20,0))),0)</f>
        <v>0</v>
      </c>
      <c r="E8240" s="312" t="str">
        <f t="shared" si="512"/>
        <v>LO</v>
      </c>
      <c r="F8240" s="369">
        <f>VLOOKUP(C8240,METADATA!$A$5:$H$29,IF(E8240="HI",2,IF(E8240="LO",6,10))+IF(D8240=1,2,IF(D8240=7,1,(IF(WEEKDAY(B8240)=1,2,IF(WEEKDAY(B8240)=7,1,0))))))</f>
        <v>3</v>
      </c>
      <c r="G8240" s="369">
        <f>VLOOKUP(C8240,METADATA!$J$5:$Q$29,IF(E8240="HI",2,IF(E8240="LO",6,10))+IF(D8240=1,2,IF(D8240=7,1,(IF(WEEKDAY(B8240)=1,2,IF(WEEKDAY(B8240)=7,1,0))))))</f>
        <v>3</v>
      </c>
      <c r="H8240" s="370">
        <v>11127.624877929688</v>
      </c>
      <c r="I8240" s="370">
        <v>2551.0250244140625</v>
      </c>
      <c r="M8240" s="371">
        <f t="shared" si="513"/>
        <v>11416.293798738121</v>
      </c>
      <c r="N8240" s="329">
        <f t="shared" si="514"/>
        <v>0</v>
      </c>
      <c r="T8240" s="331">
        <v>0</v>
      </c>
      <c r="U8240" s="328">
        <f>VLOOKUP(C8240,METADATA!$J$5:$Q$29,IF(E8240="HI",2,IF(E8240="LO",6,10))+IF(T8240=1,2,IF(D8240=7,1,(IF(WEEKDAY(B8240)=1,2,IF(WEEKDAY(B8240)=7,1,0))))))</f>
        <v>3</v>
      </c>
      <c r="V8240" s="328">
        <f>VLOOKUP(C8240,METADATA!$A$5:$H$29,IF(E8240="HI",2,IF(E8240="LO",6,10))+IF(T8240=1,2,IF(D8240=7,1,(IF(WEEKDAY(B8240)=1,2,IF(WEEKDAY(B8240)=7,1,0))))))</f>
        <v>3</v>
      </c>
    </row>
    <row r="8241" spans="2:22">
      <c r="B8241" s="318">
        <f t="shared" si="515"/>
        <v>46456</v>
      </c>
      <c r="C8241" s="312">
        <v>5</v>
      </c>
      <c r="D8241" s="368">
        <f>IFERROR((INDEX(METADATA!$T$2:$T$20,MATCH(B8241,METADATA!$S$2:$S$20,0))),0)</f>
        <v>0</v>
      </c>
      <c r="E8241" s="312" t="str">
        <f t="shared" si="512"/>
        <v>LO</v>
      </c>
      <c r="F8241" s="369">
        <f>VLOOKUP(C8241,METADATA!$A$5:$H$29,IF(E8241="HI",2,IF(E8241="LO",6,10))+IF(D8241=1,2,IF(D8241=7,1,(IF(WEEKDAY(B8241)=1,2,IF(WEEKDAY(B8241)=7,1,0))))))</f>
        <v>3</v>
      </c>
      <c r="G8241" s="369">
        <f>VLOOKUP(C8241,METADATA!$J$5:$Q$29,IF(E8241="HI",2,IF(E8241="LO",6,10))+IF(D8241=1,2,IF(D8241=7,1,(IF(WEEKDAY(B8241)=1,2,IF(WEEKDAY(B8241)=7,1,0))))))</f>
        <v>3</v>
      </c>
      <c r="H8241" s="370">
        <v>11152.52490234375</v>
      </c>
      <c r="I8241" s="370">
        <v>2545.7000732421875</v>
      </c>
      <c r="M8241" s="371">
        <f t="shared" si="513"/>
        <v>11439.379378283717</v>
      </c>
      <c r="N8241" s="329">
        <f t="shared" si="514"/>
        <v>0</v>
      </c>
      <c r="T8241" s="331">
        <v>0</v>
      </c>
      <c r="U8241" s="328">
        <f>VLOOKUP(C8241,METADATA!$J$5:$Q$29,IF(E8241="HI",2,IF(E8241="LO",6,10))+IF(T8241=1,2,IF(D8241=7,1,(IF(WEEKDAY(B8241)=1,2,IF(WEEKDAY(B8241)=7,1,0))))))</f>
        <v>3</v>
      </c>
      <c r="V8241" s="328">
        <f>VLOOKUP(C8241,METADATA!$A$5:$H$29,IF(E8241="HI",2,IF(E8241="LO",6,10))+IF(T8241=1,2,IF(D8241=7,1,(IF(WEEKDAY(B8241)=1,2,IF(WEEKDAY(B8241)=7,1,0))))))</f>
        <v>3</v>
      </c>
    </row>
    <row r="8242" spans="2:22">
      <c r="B8242" s="318">
        <f t="shared" si="515"/>
        <v>46456</v>
      </c>
      <c r="C8242" s="312">
        <v>6</v>
      </c>
      <c r="D8242" s="368">
        <f>IFERROR((INDEX(METADATA!$T$2:$T$20,MATCH(B8242,METADATA!$S$2:$S$20,0))),0)</f>
        <v>0</v>
      </c>
      <c r="E8242" s="312" t="str">
        <f t="shared" si="512"/>
        <v>LO</v>
      </c>
      <c r="F8242" s="369">
        <f>VLOOKUP(C8242,METADATA!$A$5:$H$29,IF(E8242="HI",2,IF(E8242="LO",6,10))+IF(D8242=1,2,IF(D8242=7,1,(IF(WEEKDAY(B8242)=1,2,IF(WEEKDAY(B8242)=7,1,0))))))</f>
        <v>2</v>
      </c>
      <c r="G8242" s="369">
        <f>VLOOKUP(C8242,METADATA!$J$5:$Q$29,IF(E8242="HI",2,IF(E8242="LO",6,10))+IF(D8242=1,2,IF(D8242=7,1,(IF(WEEKDAY(B8242)=1,2,IF(WEEKDAY(B8242)=7,1,0))))))</f>
        <v>2</v>
      </c>
      <c r="H8242" s="370">
        <v>11200.325073242188</v>
      </c>
      <c r="I8242" s="370">
        <v>2641.4750366210938</v>
      </c>
      <c r="M8242" s="371">
        <f t="shared" si="513"/>
        <v>11507.59193382308</v>
      </c>
      <c r="N8242" s="329">
        <f t="shared" si="514"/>
        <v>0</v>
      </c>
      <c r="T8242" s="331">
        <v>0</v>
      </c>
      <c r="U8242" s="328">
        <f>VLOOKUP(C8242,METADATA!$J$5:$Q$29,IF(E8242="HI",2,IF(E8242="LO",6,10))+IF(T8242=1,2,IF(D8242=7,1,(IF(WEEKDAY(B8242)=1,2,IF(WEEKDAY(B8242)=7,1,0))))))</f>
        <v>2</v>
      </c>
      <c r="V8242" s="328">
        <f>VLOOKUP(C8242,METADATA!$A$5:$H$29,IF(E8242="HI",2,IF(E8242="LO",6,10))+IF(T8242=1,2,IF(D8242=7,1,(IF(WEEKDAY(B8242)=1,2,IF(WEEKDAY(B8242)=7,1,0))))))</f>
        <v>2</v>
      </c>
    </row>
    <row r="8243" spans="2:22">
      <c r="B8243" s="318">
        <f t="shared" si="515"/>
        <v>46456</v>
      </c>
      <c r="C8243" s="312">
        <v>7</v>
      </c>
      <c r="D8243" s="368">
        <f>IFERROR((INDEX(METADATA!$T$2:$T$20,MATCH(B8243,METADATA!$S$2:$S$20,0))),0)</f>
        <v>0</v>
      </c>
      <c r="E8243" s="312" t="str">
        <f t="shared" si="512"/>
        <v>LO</v>
      </c>
      <c r="F8243" s="369">
        <f>VLOOKUP(C8243,METADATA!$A$5:$H$29,IF(E8243="HI",2,IF(E8243="LO",6,10))+IF(D8243=1,2,IF(D8243=7,1,(IF(WEEKDAY(B8243)=1,2,IF(WEEKDAY(B8243)=7,1,0))))))</f>
        <v>1</v>
      </c>
      <c r="G8243" s="369">
        <f>VLOOKUP(C8243,METADATA!$J$5:$Q$29,IF(E8243="HI",2,IF(E8243="LO",6,10))+IF(D8243=1,2,IF(D8243=7,1,(IF(WEEKDAY(B8243)=1,2,IF(WEEKDAY(B8243)=7,1,0))))))</f>
        <v>1</v>
      </c>
      <c r="H8243" s="370">
        <v>11298.100219726563</v>
      </c>
      <c r="I8243" s="370">
        <v>2729</v>
      </c>
      <c r="M8243" s="371">
        <f t="shared" si="513"/>
        <v>11623.01637162167</v>
      </c>
      <c r="N8243" s="329">
        <f t="shared" si="514"/>
        <v>0</v>
      </c>
      <c r="T8243" s="331">
        <v>0</v>
      </c>
      <c r="U8243" s="328">
        <f>VLOOKUP(C8243,METADATA!$J$5:$Q$29,IF(E8243="HI",2,IF(E8243="LO",6,10))+IF(T8243=1,2,IF(D8243=7,1,(IF(WEEKDAY(B8243)=1,2,IF(WEEKDAY(B8243)=7,1,0))))))</f>
        <v>1</v>
      </c>
      <c r="V8243" s="328">
        <f>VLOOKUP(C8243,METADATA!$A$5:$H$29,IF(E8243="HI",2,IF(E8243="LO",6,10))+IF(T8243=1,2,IF(D8243=7,1,(IF(WEEKDAY(B8243)=1,2,IF(WEEKDAY(B8243)=7,1,0))))))</f>
        <v>1</v>
      </c>
    </row>
    <row r="8244" spans="2:22">
      <c r="B8244" s="318">
        <f t="shared" si="515"/>
        <v>46456</v>
      </c>
      <c r="C8244" s="312">
        <v>8</v>
      </c>
      <c r="D8244" s="368">
        <f>IFERROR((INDEX(METADATA!$T$2:$T$20,MATCH(B8244,METADATA!$S$2:$S$20,0))),0)</f>
        <v>0</v>
      </c>
      <c r="E8244" s="312" t="str">
        <f t="shared" si="512"/>
        <v>LO</v>
      </c>
      <c r="F8244" s="369">
        <f>VLOOKUP(C8244,METADATA!$A$5:$H$29,IF(E8244="HI",2,IF(E8244="LO",6,10))+IF(D8244=1,2,IF(D8244=7,1,(IF(WEEKDAY(B8244)=1,2,IF(WEEKDAY(B8244)=7,1,0))))))</f>
        <v>1</v>
      </c>
      <c r="G8244" s="369">
        <f>VLOOKUP(C8244,METADATA!$J$5:$Q$29,IF(E8244="HI",2,IF(E8244="LO",6,10))+IF(D8244=1,2,IF(D8244=7,1,(IF(WEEKDAY(B8244)=1,2,IF(WEEKDAY(B8244)=7,1,0))))))</f>
        <v>1</v>
      </c>
      <c r="H8244" s="370">
        <v>11263.124816894531</v>
      </c>
      <c r="I8244" s="370">
        <v>2762.3500366210938</v>
      </c>
      <c r="M8244" s="371">
        <f t="shared" si="513"/>
        <v>11596.920210373357</v>
      </c>
      <c r="N8244" s="329">
        <f t="shared" si="514"/>
        <v>0</v>
      </c>
      <c r="T8244" s="331">
        <v>0</v>
      </c>
      <c r="U8244" s="328">
        <f>VLOOKUP(C8244,METADATA!$J$5:$Q$29,IF(E8244="HI",2,IF(E8244="LO",6,10))+IF(T8244=1,2,IF(D8244=7,1,(IF(WEEKDAY(B8244)=1,2,IF(WEEKDAY(B8244)=7,1,0))))))</f>
        <v>1</v>
      </c>
      <c r="V8244" s="328">
        <f>VLOOKUP(C8244,METADATA!$A$5:$H$29,IF(E8244="HI",2,IF(E8244="LO",6,10))+IF(T8244=1,2,IF(D8244=7,1,(IF(WEEKDAY(B8244)=1,2,IF(WEEKDAY(B8244)=7,1,0))))))</f>
        <v>1</v>
      </c>
    </row>
    <row r="8245" spans="2:22">
      <c r="B8245" s="318">
        <f t="shared" si="515"/>
        <v>46456</v>
      </c>
      <c r="C8245" s="312">
        <v>9</v>
      </c>
      <c r="D8245" s="368">
        <f>IFERROR((INDEX(METADATA!$T$2:$T$20,MATCH(B8245,METADATA!$S$2:$S$20,0))),0)</f>
        <v>0</v>
      </c>
      <c r="E8245" s="312" t="str">
        <f t="shared" si="512"/>
        <v>LO</v>
      </c>
      <c r="F8245" s="369">
        <f>VLOOKUP(C8245,METADATA!$A$5:$H$29,IF(E8245="HI",2,IF(E8245="LO",6,10))+IF(D8245=1,2,IF(D8245=7,1,(IF(WEEKDAY(B8245)=1,2,IF(WEEKDAY(B8245)=7,1,0))))))</f>
        <v>2</v>
      </c>
      <c r="G8245" s="369">
        <f>VLOOKUP(C8245,METADATA!$J$5:$Q$29,IF(E8245="HI",2,IF(E8245="LO",6,10))+IF(D8245=1,2,IF(D8245=7,1,(IF(WEEKDAY(B8245)=1,2,IF(WEEKDAY(B8245)=7,1,0))))))</f>
        <v>2</v>
      </c>
      <c r="H8245" s="370">
        <v>11071.724914550781</v>
      </c>
      <c r="I8245" s="370">
        <v>2751.4749755859375</v>
      </c>
      <c r="M8245" s="371">
        <f t="shared" si="513"/>
        <v>11408.492763058586</v>
      </c>
      <c r="N8245" s="329">
        <f t="shared" si="514"/>
        <v>0</v>
      </c>
      <c r="T8245" s="331">
        <v>0</v>
      </c>
      <c r="U8245" s="328">
        <f>VLOOKUP(C8245,METADATA!$J$5:$Q$29,IF(E8245="HI",2,IF(E8245="LO",6,10))+IF(T8245=1,2,IF(D8245=7,1,(IF(WEEKDAY(B8245)=1,2,IF(WEEKDAY(B8245)=7,1,0))))))</f>
        <v>2</v>
      </c>
      <c r="V8245" s="328">
        <f>VLOOKUP(C8245,METADATA!$A$5:$H$29,IF(E8245="HI",2,IF(E8245="LO",6,10))+IF(T8245=1,2,IF(D8245=7,1,(IF(WEEKDAY(B8245)=1,2,IF(WEEKDAY(B8245)=7,1,0))))))</f>
        <v>2</v>
      </c>
    </row>
    <row r="8246" spans="2:22">
      <c r="B8246" s="318">
        <f t="shared" si="515"/>
        <v>46456</v>
      </c>
      <c r="C8246" s="312">
        <v>10</v>
      </c>
      <c r="D8246" s="368">
        <f>IFERROR((INDEX(METADATA!$T$2:$T$20,MATCH(B8246,METADATA!$S$2:$S$20,0))),0)</f>
        <v>0</v>
      </c>
      <c r="E8246" s="312" t="str">
        <f t="shared" si="512"/>
        <v>LO</v>
      </c>
      <c r="F8246" s="369">
        <f>VLOOKUP(C8246,METADATA!$A$5:$H$29,IF(E8246="HI",2,IF(E8246="LO",6,10))+IF(D8246=1,2,IF(D8246=7,1,(IF(WEEKDAY(B8246)=1,2,IF(WEEKDAY(B8246)=7,1,0))))))</f>
        <v>2</v>
      </c>
      <c r="G8246" s="369">
        <f>VLOOKUP(C8246,METADATA!$J$5:$Q$29,IF(E8246="HI",2,IF(E8246="LO",6,10))+IF(D8246=1,2,IF(D8246=7,1,(IF(WEEKDAY(B8246)=1,2,IF(WEEKDAY(B8246)=7,1,0))))))</f>
        <v>2</v>
      </c>
      <c r="H8246" s="370">
        <v>11109.949951171875</v>
      </c>
      <c r="I8246" s="370">
        <v>2743.0250488072634</v>
      </c>
      <c r="M8246" s="371">
        <f t="shared" si="513"/>
        <v>11443.564756487729</v>
      </c>
      <c r="N8246" s="329">
        <f t="shared" si="514"/>
        <v>0</v>
      </c>
      <c r="T8246" s="331">
        <v>0</v>
      </c>
      <c r="U8246" s="328">
        <f>VLOOKUP(C8246,METADATA!$J$5:$Q$29,IF(E8246="HI",2,IF(E8246="LO",6,10))+IF(T8246=1,2,IF(D8246=7,1,(IF(WEEKDAY(B8246)=1,2,IF(WEEKDAY(B8246)=7,1,0))))))</f>
        <v>2</v>
      </c>
      <c r="V8246" s="328">
        <f>VLOOKUP(C8246,METADATA!$A$5:$H$29,IF(E8246="HI",2,IF(E8246="LO",6,10))+IF(T8246=1,2,IF(D8246=7,1,(IF(WEEKDAY(B8246)=1,2,IF(WEEKDAY(B8246)=7,1,0))))))</f>
        <v>2</v>
      </c>
    </row>
    <row r="8247" spans="2:22">
      <c r="B8247" s="318">
        <f t="shared" si="515"/>
        <v>46456</v>
      </c>
      <c r="C8247" s="312">
        <v>11</v>
      </c>
      <c r="D8247" s="368">
        <f>IFERROR((INDEX(METADATA!$T$2:$T$20,MATCH(B8247,METADATA!$S$2:$S$20,0))),0)</f>
        <v>0</v>
      </c>
      <c r="E8247" s="312" t="str">
        <f t="shared" si="512"/>
        <v>LO</v>
      </c>
      <c r="F8247" s="369">
        <f>VLOOKUP(C8247,METADATA!$A$5:$H$29,IF(E8247="HI",2,IF(E8247="LO",6,10))+IF(D8247=1,2,IF(D8247=7,1,(IF(WEEKDAY(B8247)=1,2,IF(WEEKDAY(B8247)=7,1,0))))))</f>
        <v>2</v>
      </c>
      <c r="G8247" s="369">
        <f>VLOOKUP(C8247,METADATA!$J$5:$Q$29,IF(E8247="HI",2,IF(E8247="LO",6,10))+IF(D8247=1,2,IF(D8247=7,1,(IF(WEEKDAY(B8247)=1,2,IF(WEEKDAY(B8247)=7,1,0))))))</f>
        <v>2</v>
      </c>
      <c r="H8247" s="370">
        <v>11274.474975585938</v>
      </c>
      <c r="I8247" s="370">
        <v>2754.9350121989846</v>
      </c>
      <c r="M8247" s="371">
        <f t="shared" si="513"/>
        <v>11606.181667394034</v>
      </c>
      <c r="N8247" s="329">
        <f t="shared" si="514"/>
        <v>0</v>
      </c>
      <c r="T8247" s="331">
        <v>0</v>
      </c>
      <c r="U8247" s="328">
        <f>VLOOKUP(C8247,METADATA!$J$5:$Q$29,IF(E8247="HI",2,IF(E8247="LO",6,10))+IF(T8247=1,2,IF(D8247=7,1,(IF(WEEKDAY(B8247)=1,2,IF(WEEKDAY(B8247)=7,1,0))))))</f>
        <v>2</v>
      </c>
      <c r="V8247" s="328">
        <f>VLOOKUP(C8247,METADATA!$A$5:$H$29,IF(E8247="HI",2,IF(E8247="LO",6,10))+IF(T8247=1,2,IF(D8247=7,1,(IF(WEEKDAY(B8247)=1,2,IF(WEEKDAY(B8247)=7,1,0))))))</f>
        <v>2</v>
      </c>
    </row>
    <row r="8248" spans="2:22">
      <c r="B8248" s="318">
        <f t="shared" si="515"/>
        <v>46456</v>
      </c>
      <c r="C8248" s="312">
        <v>12</v>
      </c>
      <c r="D8248" s="368">
        <f>IFERROR((INDEX(METADATA!$T$2:$T$20,MATCH(B8248,METADATA!$S$2:$S$20,0))),0)</f>
        <v>0</v>
      </c>
      <c r="E8248" s="312" t="str">
        <f t="shared" si="512"/>
        <v>LO</v>
      </c>
      <c r="F8248" s="369">
        <f>VLOOKUP(C8248,METADATA!$A$5:$H$29,IF(E8248="HI",2,IF(E8248="LO",6,10))+IF(D8248=1,2,IF(D8248=7,1,(IF(WEEKDAY(B8248)=1,2,IF(WEEKDAY(B8248)=7,1,0))))))</f>
        <v>2</v>
      </c>
      <c r="G8248" s="369">
        <f>VLOOKUP(C8248,METADATA!$J$5:$Q$29,IF(E8248="HI",2,IF(E8248="LO",6,10))+IF(D8248=1,2,IF(D8248=7,1,(IF(WEEKDAY(B8248)=1,2,IF(WEEKDAY(B8248)=7,1,0))))))</f>
        <v>2</v>
      </c>
      <c r="H8248" s="370">
        <v>11414.400085449219</v>
      </c>
      <c r="I8248" s="370">
        <v>2709.425048828125</v>
      </c>
      <c r="M8248" s="371">
        <f t="shared" si="513"/>
        <v>11731.560569929323</v>
      </c>
      <c r="N8248" s="329">
        <f t="shared" si="514"/>
        <v>0</v>
      </c>
      <c r="T8248" s="331">
        <v>0</v>
      </c>
      <c r="U8248" s="328">
        <f>VLOOKUP(C8248,METADATA!$J$5:$Q$29,IF(E8248="HI",2,IF(E8248="LO",6,10))+IF(T8248=1,2,IF(D8248=7,1,(IF(WEEKDAY(B8248)=1,2,IF(WEEKDAY(B8248)=7,1,0))))))</f>
        <v>2</v>
      </c>
      <c r="V8248" s="328">
        <f>VLOOKUP(C8248,METADATA!$A$5:$H$29,IF(E8248="HI",2,IF(E8248="LO",6,10))+IF(T8248=1,2,IF(D8248=7,1,(IF(WEEKDAY(B8248)=1,2,IF(WEEKDAY(B8248)=7,1,0))))))</f>
        <v>2</v>
      </c>
    </row>
    <row r="8249" spans="2:22">
      <c r="B8249" s="318">
        <f t="shared" si="515"/>
        <v>46456</v>
      </c>
      <c r="C8249" s="312">
        <v>13</v>
      </c>
      <c r="D8249" s="368">
        <f>IFERROR((INDEX(METADATA!$T$2:$T$20,MATCH(B8249,METADATA!$S$2:$S$20,0))),0)</f>
        <v>0</v>
      </c>
      <c r="E8249" s="312" t="str">
        <f t="shared" si="512"/>
        <v>LO</v>
      </c>
      <c r="F8249" s="369">
        <f>VLOOKUP(C8249,METADATA!$A$5:$H$29,IF(E8249="HI",2,IF(E8249="LO",6,10))+IF(D8249=1,2,IF(D8249=7,1,(IF(WEEKDAY(B8249)=1,2,IF(WEEKDAY(B8249)=7,1,0))))))</f>
        <v>2</v>
      </c>
      <c r="G8249" s="369">
        <f>VLOOKUP(C8249,METADATA!$J$5:$Q$29,IF(E8249="HI",2,IF(E8249="LO",6,10))+IF(D8249=1,2,IF(D8249=7,1,(IF(WEEKDAY(B8249)=1,2,IF(WEEKDAY(B8249)=7,1,0))))))</f>
        <v>2</v>
      </c>
      <c r="H8249" s="370">
        <v>11439.074768066406</v>
      </c>
      <c r="I8249" s="370">
        <v>2773.5451100990176</v>
      </c>
      <c r="M8249" s="371">
        <f t="shared" si="513"/>
        <v>11770.513328957564</v>
      </c>
      <c r="N8249" s="329">
        <f t="shared" si="514"/>
        <v>0</v>
      </c>
      <c r="T8249" s="331">
        <v>0</v>
      </c>
      <c r="U8249" s="328">
        <f>VLOOKUP(C8249,METADATA!$J$5:$Q$29,IF(E8249="HI",2,IF(E8249="LO",6,10))+IF(T8249=1,2,IF(D8249=7,1,(IF(WEEKDAY(B8249)=1,2,IF(WEEKDAY(B8249)=7,1,0))))))</f>
        <v>2</v>
      </c>
      <c r="V8249" s="328">
        <f>VLOOKUP(C8249,METADATA!$A$5:$H$29,IF(E8249="HI",2,IF(E8249="LO",6,10))+IF(T8249=1,2,IF(D8249=7,1,(IF(WEEKDAY(B8249)=1,2,IF(WEEKDAY(B8249)=7,1,0))))))</f>
        <v>2</v>
      </c>
    </row>
    <row r="8250" spans="2:22">
      <c r="B8250" s="318">
        <f t="shared" si="515"/>
        <v>46456</v>
      </c>
      <c r="C8250" s="312">
        <v>14</v>
      </c>
      <c r="D8250" s="368">
        <f>IFERROR((INDEX(METADATA!$T$2:$T$20,MATCH(B8250,METADATA!$S$2:$S$20,0))),0)</f>
        <v>0</v>
      </c>
      <c r="E8250" s="312" t="str">
        <f t="shared" si="512"/>
        <v>LO</v>
      </c>
      <c r="F8250" s="369">
        <f>VLOOKUP(C8250,METADATA!$A$5:$H$29,IF(E8250="HI",2,IF(E8250="LO",6,10))+IF(D8250=1,2,IF(D8250=7,1,(IF(WEEKDAY(B8250)=1,2,IF(WEEKDAY(B8250)=7,1,0))))))</f>
        <v>2</v>
      </c>
      <c r="G8250" s="369">
        <f>VLOOKUP(C8250,METADATA!$J$5:$Q$29,IF(E8250="HI",2,IF(E8250="LO",6,10))+IF(D8250=1,2,IF(D8250=7,1,(IF(WEEKDAY(B8250)=1,2,IF(WEEKDAY(B8250)=7,1,0))))))</f>
        <v>2</v>
      </c>
      <c r="H8250" s="370">
        <v>11628.200073242188</v>
      </c>
      <c r="I8250" s="370">
        <v>2800.9250245094299</v>
      </c>
      <c r="M8250" s="371">
        <f t="shared" si="513"/>
        <v>11960.778316492315</v>
      </c>
      <c r="N8250" s="329">
        <f t="shared" si="514"/>
        <v>0</v>
      </c>
      <c r="T8250" s="331">
        <v>0</v>
      </c>
      <c r="U8250" s="328">
        <f>VLOOKUP(C8250,METADATA!$J$5:$Q$29,IF(E8250="HI",2,IF(E8250="LO",6,10))+IF(T8250=1,2,IF(D8250=7,1,(IF(WEEKDAY(B8250)=1,2,IF(WEEKDAY(B8250)=7,1,0))))))</f>
        <v>2</v>
      </c>
      <c r="V8250" s="328">
        <f>VLOOKUP(C8250,METADATA!$A$5:$H$29,IF(E8250="HI",2,IF(E8250="LO",6,10))+IF(T8250=1,2,IF(D8250=7,1,(IF(WEEKDAY(B8250)=1,2,IF(WEEKDAY(B8250)=7,1,0))))))</f>
        <v>2</v>
      </c>
    </row>
    <row r="8251" spans="2:22">
      <c r="B8251" s="318">
        <f t="shared" si="515"/>
        <v>46456</v>
      </c>
      <c r="C8251" s="312">
        <v>15</v>
      </c>
      <c r="D8251" s="368">
        <f>IFERROR((INDEX(METADATA!$T$2:$T$20,MATCH(B8251,METADATA!$S$2:$S$20,0))),0)</f>
        <v>0</v>
      </c>
      <c r="E8251" s="312" t="str">
        <f t="shared" si="512"/>
        <v>LO</v>
      </c>
      <c r="F8251" s="369">
        <f>VLOOKUP(C8251,METADATA!$A$5:$H$29,IF(E8251="HI",2,IF(E8251="LO",6,10))+IF(D8251=1,2,IF(D8251=7,1,(IF(WEEKDAY(B8251)=1,2,IF(WEEKDAY(B8251)=7,1,0))))))</f>
        <v>2</v>
      </c>
      <c r="G8251" s="369">
        <f>VLOOKUP(C8251,METADATA!$J$5:$Q$29,IF(E8251="HI",2,IF(E8251="LO",6,10))+IF(D8251=1,2,IF(D8251=7,1,(IF(WEEKDAY(B8251)=1,2,IF(WEEKDAY(B8251)=7,1,0))))))</f>
        <v>2</v>
      </c>
      <c r="H8251" s="370">
        <v>11337.849914550781</v>
      </c>
      <c r="I8251" s="370">
        <v>2798.6950731277466</v>
      </c>
      <c r="M8251" s="371">
        <f t="shared" si="513"/>
        <v>11678.164872839767</v>
      </c>
      <c r="N8251" s="329">
        <f t="shared" si="514"/>
        <v>0</v>
      </c>
      <c r="T8251" s="331">
        <v>0</v>
      </c>
      <c r="U8251" s="328">
        <f>VLOOKUP(C8251,METADATA!$J$5:$Q$29,IF(E8251="HI",2,IF(E8251="LO",6,10))+IF(T8251=1,2,IF(D8251=7,1,(IF(WEEKDAY(B8251)=1,2,IF(WEEKDAY(B8251)=7,1,0))))))</f>
        <v>2</v>
      </c>
      <c r="V8251" s="328">
        <f>VLOOKUP(C8251,METADATA!$A$5:$H$29,IF(E8251="HI",2,IF(E8251="LO",6,10))+IF(T8251=1,2,IF(D8251=7,1,(IF(WEEKDAY(B8251)=1,2,IF(WEEKDAY(B8251)=7,1,0))))))</f>
        <v>2</v>
      </c>
    </row>
    <row r="8252" spans="2:22">
      <c r="B8252" s="318">
        <f t="shared" si="515"/>
        <v>46456</v>
      </c>
      <c r="C8252" s="312">
        <v>16</v>
      </c>
      <c r="D8252" s="368">
        <f>IFERROR((INDEX(METADATA!$T$2:$T$20,MATCH(B8252,METADATA!$S$2:$S$20,0))),0)</f>
        <v>0</v>
      </c>
      <c r="E8252" s="312" t="str">
        <f t="shared" si="512"/>
        <v>LO</v>
      </c>
      <c r="F8252" s="369">
        <f>VLOOKUP(C8252,METADATA!$A$5:$H$29,IF(E8252="HI",2,IF(E8252="LO",6,10))+IF(D8252=1,2,IF(D8252=7,1,(IF(WEEKDAY(B8252)=1,2,IF(WEEKDAY(B8252)=7,1,0))))))</f>
        <v>2</v>
      </c>
      <c r="G8252" s="369">
        <f>VLOOKUP(C8252,METADATA!$J$5:$Q$29,IF(E8252="HI",2,IF(E8252="LO",6,10))+IF(D8252=1,2,IF(D8252=7,1,(IF(WEEKDAY(B8252)=1,2,IF(WEEKDAY(B8252)=7,1,0))))))</f>
        <v>2</v>
      </c>
      <c r="H8252" s="370">
        <v>11249.525146484375</v>
      </c>
      <c r="I8252" s="370">
        <v>2656.7399880886078</v>
      </c>
      <c r="M8252" s="371">
        <f t="shared" si="513"/>
        <v>11558.982800648739</v>
      </c>
      <c r="N8252" s="329">
        <f t="shared" si="514"/>
        <v>0</v>
      </c>
      <c r="T8252" s="331">
        <v>0</v>
      </c>
      <c r="U8252" s="328">
        <f>VLOOKUP(C8252,METADATA!$J$5:$Q$29,IF(E8252="HI",2,IF(E8252="LO",6,10))+IF(T8252=1,2,IF(D8252=7,1,(IF(WEEKDAY(B8252)=1,2,IF(WEEKDAY(B8252)=7,1,0))))))</f>
        <v>2</v>
      </c>
      <c r="V8252" s="328">
        <f>VLOOKUP(C8252,METADATA!$A$5:$H$29,IF(E8252="HI",2,IF(E8252="LO",6,10))+IF(T8252=1,2,IF(D8252=7,1,(IF(WEEKDAY(B8252)=1,2,IF(WEEKDAY(B8252)=7,1,0))))))</f>
        <v>2</v>
      </c>
    </row>
    <row r="8253" spans="2:22">
      <c r="B8253" s="318">
        <f t="shared" si="515"/>
        <v>46456</v>
      </c>
      <c r="C8253" s="312">
        <v>17</v>
      </c>
      <c r="D8253" s="368">
        <f>IFERROR((INDEX(METADATA!$T$2:$T$20,MATCH(B8253,METADATA!$S$2:$S$20,0))),0)</f>
        <v>0</v>
      </c>
      <c r="E8253" s="312" t="str">
        <f t="shared" si="512"/>
        <v>LO</v>
      </c>
      <c r="F8253" s="369">
        <f>VLOOKUP(C8253,METADATA!$A$5:$H$29,IF(E8253="HI",2,IF(E8253="LO",6,10))+IF(D8253=1,2,IF(D8253=7,1,(IF(WEEKDAY(B8253)=1,2,IF(WEEKDAY(B8253)=7,1,0))))))</f>
        <v>2</v>
      </c>
      <c r="G8253" s="369">
        <f>VLOOKUP(C8253,METADATA!$J$5:$Q$29,IF(E8253="HI",2,IF(E8253="LO",6,10))+IF(D8253=1,2,IF(D8253=7,1,(IF(WEEKDAY(B8253)=1,2,IF(WEEKDAY(B8253)=7,1,0))))))</f>
        <v>2</v>
      </c>
      <c r="H8253" s="370">
        <v>11118.099975585938</v>
      </c>
      <c r="I8253" s="370">
        <v>2606.4100123494864</v>
      </c>
      <c r="M8253" s="371">
        <f t="shared" si="513"/>
        <v>11419.523642411696</v>
      </c>
      <c r="N8253" s="329">
        <f t="shared" si="514"/>
        <v>0</v>
      </c>
      <c r="T8253" s="331">
        <v>0</v>
      </c>
      <c r="U8253" s="328">
        <f>VLOOKUP(C8253,METADATA!$J$5:$Q$29,IF(E8253="HI",2,IF(E8253="LO",6,10))+IF(T8253=1,2,IF(D8253=7,1,(IF(WEEKDAY(B8253)=1,2,IF(WEEKDAY(B8253)=7,1,0))))))</f>
        <v>2</v>
      </c>
      <c r="V8253" s="328">
        <f>VLOOKUP(C8253,METADATA!$A$5:$H$29,IF(E8253="HI",2,IF(E8253="LO",6,10))+IF(T8253=1,2,IF(D8253=7,1,(IF(WEEKDAY(B8253)=1,2,IF(WEEKDAY(B8253)=7,1,0))))))</f>
        <v>2</v>
      </c>
    </row>
    <row r="8254" spans="2:22">
      <c r="B8254" s="318">
        <f t="shared" si="515"/>
        <v>46456</v>
      </c>
      <c r="C8254" s="312">
        <v>18</v>
      </c>
      <c r="D8254" s="368">
        <f>IFERROR((INDEX(METADATA!$T$2:$T$20,MATCH(B8254,METADATA!$S$2:$S$20,0))),0)</f>
        <v>0</v>
      </c>
      <c r="E8254" s="312" t="str">
        <f t="shared" si="512"/>
        <v>LO</v>
      </c>
      <c r="F8254" s="369">
        <f>VLOOKUP(C8254,METADATA!$A$5:$H$29,IF(E8254="HI",2,IF(E8254="LO",6,10))+IF(D8254=1,2,IF(D8254=7,1,(IF(WEEKDAY(B8254)=1,2,IF(WEEKDAY(B8254)=7,1,0))))))</f>
        <v>1</v>
      </c>
      <c r="G8254" s="369">
        <f>VLOOKUP(C8254,METADATA!$J$5:$Q$29,IF(E8254="HI",2,IF(E8254="LO",6,10))+IF(D8254=1,2,IF(D8254=7,1,(IF(WEEKDAY(B8254)=1,2,IF(WEEKDAY(B8254)=7,1,0))))))</f>
        <v>1</v>
      </c>
      <c r="H8254" s="370">
        <v>10952.949951171875</v>
      </c>
      <c r="I8254" s="370">
        <v>2554.02490234375</v>
      </c>
      <c r="M8254" s="371">
        <f t="shared" si="513"/>
        <v>11246.784244159217</v>
      </c>
      <c r="N8254" s="329">
        <f t="shared" si="514"/>
        <v>0</v>
      </c>
      <c r="T8254" s="331">
        <v>0</v>
      </c>
      <c r="U8254" s="328">
        <f>VLOOKUP(C8254,METADATA!$J$5:$Q$29,IF(E8254="HI",2,IF(E8254="LO",6,10))+IF(T8254=1,2,IF(D8254=7,1,(IF(WEEKDAY(B8254)=1,2,IF(WEEKDAY(B8254)=7,1,0))))))</f>
        <v>1</v>
      </c>
      <c r="V8254" s="328">
        <f>VLOOKUP(C8254,METADATA!$A$5:$H$29,IF(E8254="HI",2,IF(E8254="LO",6,10))+IF(T8254=1,2,IF(D8254=7,1,(IF(WEEKDAY(B8254)=1,2,IF(WEEKDAY(B8254)=7,1,0))))))</f>
        <v>1</v>
      </c>
    </row>
    <row r="8255" spans="2:22">
      <c r="B8255" s="318">
        <f t="shared" si="515"/>
        <v>46456</v>
      </c>
      <c r="C8255" s="312">
        <v>19</v>
      </c>
      <c r="D8255" s="368">
        <f>IFERROR((INDEX(METADATA!$T$2:$T$20,MATCH(B8255,METADATA!$S$2:$S$20,0))),0)</f>
        <v>0</v>
      </c>
      <c r="E8255" s="312" t="str">
        <f t="shared" si="512"/>
        <v>LO</v>
      </c>
      <c r="F8255" s="369">
        <f>VLOOKUP(C8255,METADATA!$A$5:$H$29,IF(E8255="HI",2,IF(E8255="LO",6,10))+IF(D8255=1,2,IF(D8255=7,1,(IF(WEEKDAY(B8255)=1,2,IF(WEEKDAY(B8255)=7,1,0))))))</f>
        <v>1</v>
      </c>
      <c r="G8255" s="369">
        <f>VLOOKUP(C8255,METADATA!$J$5:$Q$29,IF(E8255="HI",2,IF(E8255="LO",6,10))+IF(D8255=1,2,IF(D8255=7,1,(IF(WEEKDAY(B8255)=1,2,IF(WEEKDAY(B8255)=7,1,0))))))</f>
        <v>1</v>
      </c>
      <c r="H8255" s="370">
        <v>10944.025024414063</v>
      </c>
      <c r="I8255" s="370">
        <v>2492.2000732421875</v>
      </c>
      <c r="M8255" s="371">
        <f t="shared" si="513"/>
        <v>11224.203532548294</v>
      </c>
      <c r="N8255" s="329">
        <f t="shared" si="514"/>
        <v>0</v>
      </c>
      <c r="T8255" s="331">
        <v>0</v>
      </c>
      <c r="U8255" s="328">
        <f>VLOOKUP(C8255,METADATA!$J$5:$Q$29,IF(E8255="HI",2,IF(E8255="LO",6,10))+IF(T8255=1,2,IF(D8255=7,1,(IF(WEEKDAY(B8255)=1,2,IF(WEEKDAY(B8255)=7,1,0))))))</f>
        <v>1</v>
      </c>
      <c r="V8255" s="328">
        <f>VLOOKUP(C8255,METADATA!$A$5:$H$29,IF(E8255="HI",2,IF(E8255="LO",6,10))+IF(T8255=1,2,IF(D8255=7,1,(IF(WEEKDAY(B8255)=1,2,IF(WEEKDAY(B8255)=7,1,0))))))</f>
        <v>1</v>
      </c>
    </row>
    <row r="8256" spans="2:22">
      <c r="B8256" s="318">
        <f t="shared" si="515"/>
        <v>46456</v>
      </c>
      <c r="C8256" s="312">
        <v>20</v>
      </c>
      <c r="D8256" s="368">
        <f>IFERROR((INDEX(METADATA!$T$2:$T$20,MATCH(B8256,METADATA!$S$2:$S$20,0))),0)</f>
        <v>0</v>
      </c>
      <c r="E8256" s="312" t="str">
        <f t="shared" si="512"/>
        <v>LO</v>
      </c>
      <c r="F8256" s="369">
        <f>VLOOKUP(C8256,METADATA!$A$5:$H$29,IF(E8256="HI",2,IF(E8256="LO",6,10))+IF(D8256=1,2,IF(D8256=7,1,(IF(WEEKDAY(B8256)=1,2,IF(WEEKDAY(B8256)=7,1,0))))))</f>
        <v>1</v>
      </c>
      <c r="G8256" s="369">
        <f>VLOOKUP(C8256,METADATA!$J$5:$Q$29,IF(E8256="HI",2,IF(E8256="LO",6,10))+IF(D8256=1,2,IF(D8256=7,1,(IF(WEEKDAY(B8256)=1,2,IF(WEEKDAY(B8256)=7,1,0))))))</f>
        <v>1</v>
      </c>
      <c r="H8256" s="370">
        <v>11052.700317382813</v>
      </c>
      <c r="I8256" s="370">
        <v>2528.8748779296875</v>
      </c>
      <c r="M8256" s="371">
        <f t="shared" si="513"/>
        <v>11338.315238786494</v>
      </c>
      <c r="N8256" s="329">
        <f t="shared" si="514"/>
        <v>0</v>
      </c>
      <c r="T8256" s="331">
        <v>0</v>
      </c>
      <c r="U8256" s="328">
        <f>VLOOKUP(C8256,METADATA!$J$5:$Q$29,IF(E8256="HI",2,IF(E8256="LO",6,10))+IF(T8256=1,2,IF(D8256=7,1,(IF(WEEKDAY(B8256)=1,2,IF(WEEKDAY(B8256)=7,1,0))))))</f>
        <v>1</v>
      </c>
      <c r="V8256" s="328">
        <f>VLOOKUP(C8256,METADATA!$A$5:$H$29,IF(E8256="HI",2,IF(E8256="LO",6,10))+IF(T8256=1,2,IF(D8256=7,1,(IF(WEEKDAY(B8256)=1,2,IF(WEEKDAY(B8256)=7,1,0))))))</f>
        <v>1</v>
      </c>
    </row>
    <row r="8257" spans="2:22">
      <c r="B8257" s="318">
        <f t="shared" si="515"/>
        <v>46456</v>
      </c>
      <c r="C8257" s="312">
        <v>21</v>
      </c>
      <c r="D8257" s="368">
        <f>IFERROR((INDEX(METADATA!$T$2:$T$20,MATCH(B8257,METADATA!$S$2:$S$20,0))),0)</f>
        <v>0</v>
      </c>
      <c r="E8257" s="312" t="str">
        <f t="shared" si="512"/>
        <v>LO</v>
      </c>
      <c r="F8257" s="369">
        <f>VLOOKUP(C8257,METADATA!$A$5:$H$29,IF(E8257="HI",2,IF(E8257="LO",6,10))+IF(D8257=1,2,IF(D8257=7,1,(IF(WEEKDAY(B8257)=1,2,IF(WEEKDAY(B8257)=7,1,0))))))</f>
        <v>2</v>
      </c>
      <c r="G8257" s="369">
        <f>VLOOKUP(C8257,METADATA!$J$5:$Q$29,IF(E8257="HI",2,IF(E8257="LO",6,10))+IF(D8257=1,2,IF(D8257=7,1,(IF(WEEKDAY(B8257)=1,2,IF(WEEKDAY(B8257)=7,1,0))))))</f>
        <v>2</v>
      </c>
      <c r="H8257" s="370">
        <v>11222.599975585938</v>
      </c>
      <c r="I8257" s="370">
        <v>2562.9199511557817</v>
      </c>
      <c r="M8257" s="371">
        <f t="shared" si="513"/>
        <v>11511.529389618647</v>
      </c>
      <c r="N8257" s="329">
        <f t="shared" si="514"/>
        <v>0</v>
      </c>
      <c r="T8257" s="331">
        <v>0</v>
      </c>
      <c r="U8257" s="328">
        <f>VLOOKUP(C8257,METADATA!$J$5:$Q$29,IF(E8257="HI",2,IF(E8257="LO",6,10))+IF(T8257=1,2,IF(D8257=7,1,(IF(WEEKDAY(B8257)=1,2,IF(WEEKDAY(B8257)=7,1,0))))))</f>
        <v>2</v>
      </c>
      <c r="V8257" s="328">
        <f>VLOOKUP(C8257,METADATA!$A$5:$H$29,IF(E8257="HI",2,IF(E8257="LO",6,10))+IF(T8257=1,2,IF(D8257=7,1,(IF(WEEKDAY(B8257)=1,2,IF(WEEKDAY(B8257)=7,1,0))))))</f>
        <v>2</v>
      </c>
    </row>
    <row r="8258" spans="2:22">
      <c r="B8258" s="318">
        <f t="shared" si="515"/>
        <v>46456</v>
      </c>
      <c r="C8258" s="312">
        <v>22</v>
      </c>
      <c r="D8258" s="368">
        <f>IFERROR((INDEX(METADATA!$T$2:$T$20,MATCH(B8258,METADATA!$S$2:$S$20,0))),0)</f>
        <v>0</v>
      </c>
      <c r="E8258" s="312" t="str">
        <f t="shared" si="512"/>
        <v>LO</v>
      </c>
      <c r="F8258" s="369">
        <f>VLOOKUP(C8258,METADATA!$A$5:$H$29,IF(E8258="HI",2,IF(E8258="LO",6,10))+IF(D8258=1,2,IF(D8258=7,1,(IF(WEEKDAY(B8258)=1,2,IF(WEEKDAY(B8258)=7,1,0))))))</f>
        <v>3</v>
      </c>
      <c r="G8258" s="369">
        <f>VLOOKUP(C8258,METADATA!$J$5:$Q$29,IF(E8258="HI",2,IF(E8258="LO",6,10))+IF(D8258=1,2,IF(D8258=7,1,(IF(WEEKDAY(B8258)=1,2,IF(WEEKDAY(B8258)=7,1,0))))))</f>
        <v>3</v>
      </c>
      <c r="H8258" s="370">
        <v>11388.050109863281</v>
      </c>
      <c r="I8258" s="370">
        <v>2630.320024728775</v>
      </c>
      <c r="M8258" s="371">
        <f t="shared" si="513"/>
        <v>11687.868442844754</v>
      </c>
      <c r="N8258" s="329">
        <f t="shared" si="514"/>
        <v>0</v>
      </c>
      <c r="T8258" s="331">
        <v>0</v>
      </c>
      <c r="U8258" s="328">
        <f>VLOOKUP(C8258,METADATA!$J$5:$Q$29,IF(E8258="HI",2,IF(E8258="LO",6,10))+IF(T8258=1,2,IF(D8258=7,1,(IF(WEEKDAY(B8258)=1,2,IF(WEEKDAY(B8258)=7,1,0))))))</f>
        <v>3</v>
      </c>
      <c r="V8258" s="328">
        <f>VLOOKUP(C8258,METADATA!$A$5:$H$29,IF(E8258="HI",2,IF(E8258="LO",6,10))+IF(T8258=1,2,IF(D8258=7,1,(IF(WEEKDAY(B8258)=1,2,IF(WEEKDAY(B8258)=7,1,0))))))</f>
        <v>3</v>
      </c>
    </row>
    <row r="8259" spans="2:22">
      <c r="B8259" s="318">
        <f t="shared" si="515"/>
        <v>46456</v>
      </c>
      <c r="C8259" s="312">
        <v>23</v>
      </c>
      <c r="D8259" s="368">
        <f>IFERROR((INDEX(METADATA!$T$2:$T$20,MATCH(B8259,METADATA!$S$2:$S$20,0))),0)</f>
        <v>0</v>
      </c>
      <c r="E8259" s="312" t="str">
        <f t="shared" si="512"/>
        <v>LO</v>
      </c>
      <c r="F8259" s="369">
        <f>VLOOKUP(C8259,METADATA!$A$5:$H$29,IF(E8259="HI",2,IF(E8259="LO",6,10))+IF(D8259=1,2,IF(D8259=7,1,(IF(WEEKDAY(B8259)=1,2,IF(WEEKDAY(B8259)=7,1,0))))))</f>
        <v>3</v>
      </c>
      <c r="G8259" s="369">
        <f>VLOOKUP(C8259,METADATA!$J$5:$Q$29,IF(E8259="HI",2,IF(E8259="LO",6,10))+IF(D8259=1,2,IF(D8259=7,1,(IF(WEEKDAY(B8259)=1,2,IF(WEEKDAY(B8259)=7,1,0))))))</f>
        <v>3</v>
      </c>
      <c r="H8259" s="370">
        <v>11515.39990234375</v>
      </c>
      <c r="I8259" s="370">
        <v>2806.2799758911133</v>
      </c>
      <c r="M8259" s="371">
        <f t="shared" si="513"/>
        <v>11852.410818647228</v>
      </c>
      <c r="N8259" s="329">
        <f t="shared" si="514"/>
        <v>0</v>
      </c>
      <c r="T8259" s="331">
        <v>0</v>
      </c>
      <c r="U8259" s="328">
        <f>VLOOKUP(C8259,METADATA!$J$5:$Q$29,IF(E8259="HI",2,IF(E8259="LO",6,10))+IF(T8259=1,2,IF(D8259=7,1,(IF(WEEKDAY(B8259)=1,2,IF(WEEKDAY(B8259)=7,1,0))))))</f>
        <v>3</v>
      </c>
      <c r="V8259" s="328">
        <f>VLOOKUP(C8259,METADATA!$A$5:$H$29,IF(E8259="HI",2,IF(E8259="LO",6,10))+IF(T8259=1,2,IF(D8259=7,1,(IF(WEEKDAY(B8259)=1,2,IF(WEEKDAY(B8259)=7,1,0))))))</f>
        <v>3</v>
      </c>
    </row>
    <row r="8260" spans="2:22">
      <c r="B8260" s="318">
        <f t="shared" si="515"/>
        <v>46457</v>
      </c>
      <c r="C8260" s="312">
        <v>0</v>
      </c>
      <c r="D8260" s="368">
        <f>IFERROR((INDEX(METADATA!$T$2:$T$20,MATCH(B8260,METADATA!$S$2:$S$20,0))),0)</f>
        <v>0</v>
      </c>
      <c r="E8260" s="312" t="str">
        <f t="shared" ref="E8260:E8323" si="516">IF(B8260="","",IF(AND(MONTH(B8260)&gt;=MONTH($Z$9),MONTH(B8260)&lt;=MONTH($Z$11)),"HI","LO"))</f>
        <v>LO</v>
      </c>
      <c r="F8260" s="369">
        <f>VLOOKUP(C8260,METADATA!$A$5:$H$29,IF(E8260="HI",2,IF(E8260="LO",6,10))+IF(D8260=1,2,IF(D8260=7,1,(IF(WEEKDAY(B8260)=1,2,IF(WEEKDAY(B8260)=7,1,0))))))</f>
        <v>3</v>
      </c>
      <c r="G8260" s="369">
        <f>VLOOKUP(C8260,METADATA!$J$5:$Q$29,IF(E8260="HI",2,IF(E8260="LO",6,10))+IF(D8260=1,2,IF(D8260=7,1,(IF(WEEKDAY(B8260)=1,2,IF(WEEKDAY(B8260)=7,1,0))))))</f>
        <v>3</v>
      </c>
      <c r="H8260" s="370">
        <v>11422.124877929688</v>
      </c>
      <c r="I8260" s="370">
        <v>2873.4649963378906</v>
      </c>
      <c r="M8260" s="371">
        <f t="shared" ref="M8260:M8323" si="517">SQRT(H8260^2+I8260^2)</f>
        <v>11778.019265232986</v>
      </c>
      <c r="N8260" s="329">
        <f t="shared" ref="N8260:N8323" si="518">IF(H8260=0,0,(IF(I8260-(0.3*H8260)&lt;0,0,(I8260-(0.3*H8260)))))</f>
        <v>0</v>
      </c>
      <c r="T8260" s="331">
        <v>0</v>
      </c>
      <c r="U8260" s="328">
        <f>VLOOKUP(C8260,METADATA!$J$5:$Q$29,IF(E8260="HI",2,IF(E8260="LO",6,10))+IF(T8260=1,2,IF(D8260=7,1,(IF(WEEKDAY(B8260)=1,2,IF(WEEKDAY(B8260)=7,1,0))))))</f>
        <v>3</v>
      </c>
      <c r="V8260" s="328">
        <f>VLOOKUP(C8260,METADATA!$A$5:$H$29,IF(E8260="HI",2,IF(E8260="LO",6,10))+IF(T8260=1,2,IF(D8260=7,1,(IF(WEEKDAY(B8260)=1,2,IF(WEEKDAY(B8260)=7,1,0))))))</f>
        <v>3</v>
      </c>
    </row>
    <row r="8261" spans="2:22">
      <c r="B8261" s="318">
        <f t="shared" si="515"/>
        <v>46457</v>
      </c>
      <c r="C8261" s="312">
        <v>1</v>
      </c>
      <c r="D8261" s="368">
        <f>IFERROR((INDEX(METADATA!$T$2:$T$20,MATCH(B8261,METADATA!$S$2:$S$20,0))),0)</f>
        <v>0</v>
      </c>
      <c r="E8261" s="312" t="str">
        <f t="shared" si="516"/>
        <v>LO</v>
      </c>
      <c r="F8261" s="369">
        <f>VLOOKUP(C8261,METADATA!$A$5:$H$29,IF(E8261="HI",2,IF(E8261="LO",6,10))+IF(D8261=1,2,IF(D8261=7,1,(IF(WEEKDAY(B8261)=1,2,IF(WEEKDAY(B8261)=7,1,0))))))</f>
        <v>3</v>
      </c>
      <c r="G8261" s="369">
        <f>VLOOKUP(C8261,METADATA!$J$5:$Q$29,IF(E8261="HI",2,IF(E8261="LO",6,10))+IF(D8261=1,2,IF(D8261=7,1,(IF(WEEKDAY(B8261)=1,2,IF(WEEKDAY(B8261)=7,1,0))))))</f>
        <v>3</v>
      </c>
      <c r="H8261" s="370">
        <v>11503.225158691406</v>
      </c>
      <c r="I8261" s="370">
        <v>2838.1450729370117</v>
      </c>
      <c r="M8261" s="371">
        <f t="shared" si="517"/>
        <v>11848.175239528979</v>
      </c>
      <c r="N8261" s="329">
        <f t="shared" si="518"/>
        <v>0</v>
      </c>
      <c r="T8261" s="331">
        <v>0</v>
      </c>
      <c r="U8261" s="328">
        <f>VLOOKUP(C8261,METADATA!$J$5:$Q$29,IF(E8261="HI",2,IF(E8261="LO",6,10))+IF(T8261=1,2,IF(D8261=7,1,(IF(WEEKDAY(B8261)=1,2,IF(WEEKDAY(B8261)=7,1,0))))))</f>
        <v>3</v>
      </c>
      <c r="V8261" s="328">
        <f>VLOOKUP(C8261,METADATA!$A$5:$H$29,IF(E8261="HI",2,IF(E8261="LO",6,10))+IF(T8261=1,2,IF(D8261=7,1,(IF(WEEKDAY(B8261)=1,2,IF(WEEKDAY(B8261)=7,1,0))))))</f>
        <v>3</v>
      </c>
    </row>
    <row r="8262" spans="2:22">
      <c r="B8262" s="318">
        <f t="shared" si="515"/>
        <v>46457</v>
      </c>
      <c r="C8262" s="312">
        <v>2</v>
      </c>
      <c r="D8262" s="368">
        <f>IFERROR((INDEX(METADATA!$T$2:$T$20,MATCH(B8262,METADATA!$S$2:$S$20,0))),0)</f>
        <v>0</v>
      </c>
      <c r="E8262" s="312" t="str">
        <f t="shared" si="516"/>
        <v>LO</v>
      </c>
      <c r="F8262" s="369">
        <f>VLOOKUP(C8262,METADATA!$A$5:$H$29,IF(E8262="HI",2,IF(E8262="LO",6,10))+IF(D8262=1,2,IF(D8262=7,1,(IF(WEEKDAY(B8262)=1,2,IF(WEEKDAY(B8262)=7,1,0))))))</f>
        <v>3</v>
      </c>
      <c r="G8262" s="369">
        <f>VLOOKUP(C8262,METADATA!$J$5:$Q$29,IF(E8262="HI",2,IF(E8262="LO",6,10))+IF(D8262=1,2,IF(D8262=7,1,(IF(WEEKDAY(B8262)=1,2,IF(WEEKDAY(B8262)=7,1,0))))))</f>
        <v>3</v>
      </c>
      <c r="H8262" s="370">
        <v>11213.099853515625</v>
      </c>
      <c r="I8262" s="370">
        <v>2705.269889831543</v>
      </c>
      <c r="M8262" s="371">
        <f t="shared" si="517"/>
        <v>11534.82091329299</v>
      </c>
      <c r="N8262" s="329">
        <f t="shared" si="518"/>
        <v>0</v>
      </c>
      <c r="T8262" s="331">
        <v>0</v>
      </c>
      <c r="U8262" s="328">
        <f>VLOOKUP(C8262,METADATA!$J$5:$Q$29,IF(E8262="HI",2,IF(E8262="LO",6,10))+IF(T8262=1,2,IF(D8262=7,1,(IF(WEEKDAY(B8262)=1,2,IF(WEEKDAY(B8262)=7,1,0))))))</f>
        <v>3</v>
      </c>
      <c r="V8262" s="328">
        <f>VLOOKUP(C8262,METADATA!$A$5:$H$29,IF(E8262="HI",2,IF(E8262="LO",6,10))+IF(T8262=1,2,IF(D8262=7,1,(IF(WEEKDAY(B8262)=1,2,IF(WEEKDAY(B8262)=7,1,0))))))</f>
        <v>3</v>
      </c>
    </row>
    <row r="8263" spans="2:22">
      <c r="B8263" s="318">
        <f t="shared" si="515"/>
        <v>46457</v>
      </c>
      <c r="C8263" s="312">
        <v>3</v>
      </c>
      <c r="D8263" s="368">
        <f>IFERROR((INDEX(METADATA!$T$2:$T$20,MATCH(B8263,METADATA!$S$2:$S$20,0))),0)</f>
        <v>0</v>
      </c>
      <c r="E8263" s="312" t="str">
        <f t="shared" si="516"/>
        <v>LO</v>
      </c>
      <c r="F8263" s="369">
        <f>VLOOKUP(C8263,METADATA!$A$5:$H$29,IF(E8263="HI",2,IF(E8263="LO",6,10))+IF(D8263=1,2,IF(D8263=7,1,(IF(WEEKDAY(B8263)=1,2,IF(WEEKDAY(B8263)=7,1,0))))))</f>
        <v>3</v>
      </c>
      <c r="G8263" s="369">
        <f>VLOOKUP(C8263,METADATA!$J$5:$Q$29,IF(E8263="HI",2,IF(E8263="LO",6,10))+IF(D8263=1,2,IF(D8263=7,1,(IF(WEEKDAY(B8263)=1,2,IF(WEEKDAY(B8263)=7,1,0))))))</f>
        <v>3</v>
      </c>
      <c r="H8263" s="370">
        <v>11342.125061035156</v>
      </c>
      <c r="I8263" s="370">
        <v>2615.2999390363693</v>
      </c>
      <c r="M8263" s="371">
        <f t="shared" si="517"/>
        <v>11639.742036286087</v>
      </c>
      <c r="N8263" s="329">
        <f t="shared" si="518"/>
        <v>0</v>
      </c>
      <c r="T8263" s="331">
        <v>0</v>
      </c>
      <c r="U8263" s="328">
        <f>VLOOKUP(C8263,METADATA!$J$5:$Q$29,IF(E8263="HI",2,IF(E8263="LO",6,10))+IF(T8263=1,2,IF(D8263=7,1,(IF(WEEKDAY(B8263)=1,2,IF(WEEKDAY(B8263)=7,1,0))))))</f>
        <v>3</v>
      </c>
      <c r="V8263" s="328">
        <f>VLOOKUP(C8263,METADATA!$A$5:$H$29,IF(E8263="HI",2,IF(E8263="LO",6,10))+IF(T8263=1,2,IF(D8263=7,1,(IF(WEEKDAY(B8263)=1,2,IF(WEEKDAY(B8263)=7,1,0))))))</f>
        <v>3</v>
      </c>
    </row>
    <row r="8264" spans="2:22">
      <c r="B8264" s="318">
        <f t="shared" si="515"/>
        <v>46457</v>
      </c>
      <c r="C8264" s="312">
        <v>4</v>
      </c>
      <c r="D8264" s="368">
        <f>IFERROR((INDEX(METADATA!$T$2:$T$20,MATCH(B8264,METADATA!$S$2:$S$20,0))),0)</f>
        <v>0</v>
      </c>
      <c r="E8264" s="312" t="str">
        <f t="shared" si="516"/>
        <v>LO</v>
      </c>
      <c r="F8264" s="369">
        <f>VLOOKUP(C8264,METADATA!$A$5:$H$29,IF(E8264="HI",2,IF(E8264="LO",6,10))+IF(D8264=1,2,IF(D8264=7,1,(IF(WEEKDAY(B8264)=1,2,IF(WEEKDAY(B8264)=7,1,0))))))</f>
        <v>3</v>
      </c>
      <c r="G8264" s="369">
        <f>VLOOKUP(C8264,METADATA!$J$5:$Q$29,IF(E8264="HI",2,IF(E8264="LO",6,10))+IF(D8264=1,2,IF(D8264=7,1,(IF(WEEKDAY(B8264)=1,2,IF(WEEKDAY(B8264)=7,1,0))))))</f>
        <v>3</v>
      </c>
      <c r="H8264" s="370">
        <v>11343.400146484375</v>
      </c>
      <c r="I8264" s="370">
        <v>2648.6150245666504</v>
      </c>
      <c r="M8264" s="371">
        <f t="shared" si="517"/>
        <v>11648.514430244826</v>
      </c>
      <c r="N8264" s="329">
        <f t="shared" si="518"/>
        <v>0</v>
      </c>
      <c r="T8264" s="331">
        <v>0</v>
      </c>
      <c r="U8264" s="328">
        <f>VLOOKUP(C8264,METADATA!$J$5:$Q$29,IF(E8264="HI",2,IF(E8264="LO",6,10))+IF(T8264=1,2,IF(D8264=7,1,(IF(WEEKDAY(B8264)=1,2,IF(WEEKDAY(B8264)=7,1,0))))))</f>
        <v>3</v>
      </c>
      <c r="V8264" s="328">
        <f>VLOOKUP(C8264,METADATA!$A$5:$H$29,IF(E8264="HI",2,IF(E8264="LO",6,10))+IF(T8264=1,2,IF(D8264=7,1,(IF(WEEKDAY(B8264)=1,2,IF(WEEKDAY(B8264)=7,1,0))))))</f>
        <v>3</v>
      </c>
    </row>
    <row r="8265" spans="2:22">
      <c r="B8265" s="318">
        <f t="shared" si="515"/>
        <v>46457</v>
      </c>
      <c r="C8265" s="312">
        <v>5</v>
      </c>
      <c r="D8265" s="368">
        <f>IFERROR((INDEX(METADATA!$T$2:$T$20,MATCH(B8265,METADATA!$S$2:$S$20,0))),0)</f>
        <v>0</v>
      </c>
      <c r="E8265" s="312" t="str">
        <f t="shared" si="516"/>
        <v>LO</v>
      </c>
      <c r="F8265" s="369">
        <f>VLOOKUP(C8265,METADATA!$A$5:$H$29,IF(E8265="HI",2,IF(E8265="LO",6,10))+IF(D8265=1,2,IF(D8265=7,1,(IF(WEEKDAY(B8265)=1,2,IF(WEEKDAY(B8265)=7,1,0))))))</f>
        <v>3</v>
      </c>
      <c r="G8265" s="369">
        <f>VLOOKUP(C8265,METADATA!$J$5:$Q$29,IF(E8265="HI",2,IF(E8265="LO",6,10))+IF(D8265=1,2,IF(D8265=7,1,(IF(WEEKDAY(B8265)=1,2,IF(WEEKDAY(B8265)=7,1,0))))))</f>
        <v>3</v>
      </c>
      <c r="H8265" s="370">
        <v>11269.725219726563</v>
      </c>
      <c r="I8265" s="370">
        <v>2574.7449388504028</v>
      </c>
      <c r="M8265" s="371">
        <f t="shared" si="517"/>
        <v>11560.104585525023</v>
      </c>
      <c r="N8265" s="329">
        <f t="shared" si="518"/>
        <v>0</v>
      </c>
      <c r="T8265" s="331">
        <v>0</v>
      </c>
      <c r="U8265" s="328">
        <f>VLOOKUP(C8265,METADATA!$J$5:$Q$29,IF(E8265="HI",2,IF(E8265="LO",6,10))+IF(T8265=1,2,IF(D8265=7,1,(IF(WEEKDAY(B8265)=1,2,IF(WEEKDAY(B8265)=7,1,0))))))</f>
        <v>3</v>
      </c>
      <c r="V8265" s="328">
        <f>VLOOKUP(C8265,METADATA!$A$5:$H$29,IF(E8265="HI",2,IF(E8265="LO",6,10))+IF(T8265=1,2,IF(D8265=7,1,(IF(WEEKDAY(B8265)=1,2,IF(WEEKDAY(B8265)=7,1,0))))))</f>
        <v>3</v>
      </c>
    </row>
    <row r="8266" spans="2:22">
      <c r="B8266" s="318">
        <f t="shared" si="515"/>
        <v>46457</v>
      </c>
      <c r="C8266" s="312">
        <v>6</v>
      </c>
      <c r="D8266" s="368">
        <f>IFERROR((INDEX(METADATA!$T$2:$T$20,MATCH(B8266,METADATA!$S$2:$S$20,0))),0)</f>
        <v>0</v>
      </c>
      <c r="E8266" s="312" t="str">
        <f t="shared" si="516"/>
        <v>LO</v>
      </c>
      <c r="F8266" s="369">
        <f>VLOOKUP(C8266,METADATA!$A$5:$H$29,IF(E8266="HI",2,IF(E8266="LO",6,10))+IF(D8266=1,2,IF(D8266=7,1,(IF(WEEKDAY(B8266)=1,2,IF(WEEKDAY(B8266)=7,1,0))))))</f>
        <v>2</v>
      </c>
      <c r="G8266" s="369">
        <f>VLOOKUP(C8266,METADATA!$J$5:$Q$29,IF(E8266="HI",2,IF(E8266="LO",6,10))+IF(D8266=1,2,IF(D8266=7,1,(IF(WEEKDAY(B8266)=1,2,IF(WEEKDAY(B8266)=7,1,0))))))</f>
        <v>2</v>
      </c>
      <c r="H8266" s="370">
        <v>11277.087524414063</v>
      </c>
      <c r="I8266" s="370">
        <v>2590.2274439930916</v>
      </c>
      <c r="M8266" s="371">
        <f t="shared" si="517"/>
        <v>11570.738146069605</v>
      </c>
      <c r="N8266" s="329">
        <f t="shared" si="518"/>
        <v>0</v>
      </c>
      <c r="T8266" s="331">
        <v>0</v>
      </c>
      <c r="U8266" s="328">
        <f>VLOOKUP(C8266,METADATA!$J$5:$Q$29,IF(E8266="HI",2,IF(E8266="LO",6,10))+IF(T8266=1,2,IF(D8266=7,1,(IF(WEEKDAY(B8266)=1,2,IF(WEEKDAY(B8266)=7,1,0))))))</f>
        <v>2</v>
      </c>
      <c r="V8266" s="328">
        <f>VLOOKUP(C8266,METADATA!$A$5:$H$29,IF(E8266="HI",2,IF(E8266="LO",6,10))+IF(T8266=1,2,IF(D8266=7,1,(IF(WEEKDAY(B8266)=1,2,IF(WEEKDAY(B8266)=7,1,0))))))</f>
        <v>2</v>
      </c>
    </row>
    <row r="8267" spans="2:22">
      <c r="B8267" s="318">
        <f t="shared" si="515"/>
        <v>46457</v>
      </c>
      <c r="C8267" s="312">
        <v>7</v>
      </c>
      <c r="D8267" s="368">
        <f>IFERROR((INDEX(METADATA!$T$2:$T$20,MATCH(B8267,METADATA!$S$2:$S$20,0))),0)</f>
        <v>0</v>
      </c>
      <c r="E8267" s="312" t="str">
        <f t="shared" si="516"/>
        <v>LO</v>
      </c>
      <c r="F8267" s="369">
        <f>VLOOKUP(C8267,METADATA!$A$5:$H$29,IF(E8267="HI",2,IF(E8267="LO",6,10))+IF(D8267=1,2,IF(D8267=7,1,(IF(WEEKDAY(B8267)=1,2,IF(WEEKDAY(B8267)=7,1,0))))))</f>
        <v>1</v>
      </c>
      <c r="G8267" s="369">
        <f>VLOOKUP(C8267,METADATA!$J$5:$Q$29,IF(E8267="HI",2,IF(E8267="LO",6,10))+IF(D8267=1,2,IF(D8267=7,1,(IF(WEEKDAY(B8267)=1,2,IF(WEEKDAY(B8267)=7,1,0))))))</f>
        <v>1</v>
      </c>
      <c r="H8267" s="370">
        <v>11712.77490234375</v>
      </c>
      <c r="I8267" s="370">
        <v>2987.8650894165039</v>
      </c>
      <c r="M8267" s="371">
        <f t="shared" si="517"/>
        <v>12087.863074403496</v>
      </c>
      <c r="N8267" s="329">
        <f t="shared" si="518"/>
        <v>0</v>
      </c>
      <c r="T8267" s="331">
        <v>0</v>
      </c>
      <c r="U8267" s="328">
        <f>VLOOKUP(C8267,METADATA!$J$5:$Q$29,IF(E8267="HI",2,IF(E8267="LO",6,10))+IF(T8267=1,2,IF(D8267=7,1,(IF(WEEKDAY(B8267)=1,2,IF(WEEKDAY(B8267)=7,1,0))))))</f>
        <v>1</v>
      </c>
      <c r="V8267" s="328">
        <f>VLOOKUP(C8267,METADATA!$A$5:$H$29,IF(E8267="HI",2,IF(E8267="LO",6,10))+IF(T8267=1,2,IF(D8267=7,1,(IF(WEEKDAY(B8267)=1,2,IF(WEEKDAY(B8267)=7,1,0))))))</f>
        <v>1</v>
      </c>
    </row>
    <row r="8268" spans="2:22">
      <c r="B8268" s="318">
        <f t="shared" si="515"/>
        <v>46457</v>
      </c>
      <c r="C8268" s="312">
        <v>8</v>
      </c>
      <c r="D8268" s="368">
        <f>IFERROR((INDEX(METADATA!$T$2:$T$20,MATCH(B8268,METADATA!$S$2:$S$20,0))),0)</f>
        <v>0</v>
      </c>
      <c r="E8268" s="312" t="str">
        <f t="shared" si="516"/>
        <v>LO</v>
      </c>
      <c r="F8268" s="369">
        <f>VLOOKUP(C8268,METADATA!$A$5:$H$29,IF(E8268="HI",2,IF(E8268="LO",6,10))+IF(D8268=1,2,IF(D8268=7,1,(IF(WEEKDAY(B8268)=1,2,IF(WEEKDAY(B8268)=7,1,0))))))</f>
        <v>1</v>
      </c>
      <c r="G8268" s="369">
        <f>VLOOKUP(C8268,METADATA!$J$5:$Q$29,IF(E8268="HI",2,IF(E8268="LO",6,10))+IF(D8268=1,2,IF(D8268=7,1,(IF(WEEKDAY(B8268)=1,2,IF(WEEKDAY(B8268)=7,1,0))))))</f>
        <v>1</v>
      </c>
      <c r="H8268" s="370">
        <v>11804.050048828125</v>
      </c>
      <c r="I8268" s="370">
        <v>3124.905029296875</v>
      </c>
      <c r="M8268" s="371">
        <f t="shared" si="517"/>
        <v>12210.676844358963</v>
      </c>
      <c r="N8268" s="329">
        <f t="shared" si="518"/>
        <v>0</v>
      </c>
      <c r="T8268" s="331">
        <v>0</v>
      </c>
      <c r="U8268" s="328">
        <f>VLOOKUP(C8268,METADATA!$J$5:$Q$29,IF(E8268="HI",2,IF(E8268="LO",6,10))+IF(T8268=1,2,IF(D8268=7,1,(IF(WEEKDAY(B8268)=1,2,IF(WEEKDAY(B8268)=7,1,0))))))</f>
        <v>1</v>
      </c>
      <c r="V8268" s="328">
        <f>VLOOKUP(C8268,METADATA!$A$5:$H$29,IF(E8268="HI",2,IF(E8268="LO",6,10))+IF(T8268=1,2,IF(D8268=7,1,(IF(WEEKDAY(B8268)=1,2,IF(WEEKDAY(B8268)=7,1,0))))))</f>
        <v>1</v>
      </c>
    </row>
    <row r="8269" spans="2:22">
      <c r="B8269" s="318">
        <f t="shared" si="515"/>
        <v>46457</v>
      </c>
      <c r="C8269" s="312">
        <v>9</v>
      </c>
      <c r="D8269" s="368">
        <f>IFERROR((INDEX(METADATA!$T$2:$T$20,MATCH(B8269,METADATA!$S$2:$S$20,0))),0)</f>
        <v>0</v>
      </c>
      <c r="E8269" s="312" t="str">
        <f t="shared" si="516"/>
        <v>LO</v>
      </c>
      <c r="F8269" s="369">
        <f>VLOOKUP(C8269,METADATA!$A$5:$H$29,IF(E8269="HI",2,IF(E8269="LO",6,10))+IF(D8269=1,2,IF(D8269=7,1,(IF(WEEKDAY(B8269)=1,2,IF(WEEKDAY(B8269)=7,1,0))))))</f>
        <v>2</v>
      </c>
      <c r="G8269" s="369">
        <f>VLOOKUP(C8269,METADATA!$J$5:$Q$29,IF(E8269="HI",2,IF(E8269="LO",6,10))+IF(D8269=1,2,IF(D8269=7,1,(IF(WEEKDAY(B8269)=1,2,IF(WEEKDAY(B8269)=7,1,0))))))</f>
        <v>2</v>
      </c>
      <c r="H8269" s="370">
        <v>12111.474670410156</v>
      </c>
      <c r="I8269" s="370">
        <v>3432.264892578125</v>
      </c>
      <c r="M8269" s="371">
        <f t="shared" si="517"/>
        <v>12588.41773158212</v>
      </c>
      <c r="N8269" s="329">
        <f t="shared" si="518"/>
        <v>0</v>
      </c>
      <c r="T8269" s="331">
        <v>0</v>
      </c>
      <c r="U8269" s="328">
        <f>VLOOKUP(C8269,METADATA!$J$5:$Q$29,IF(E8269="HI",2,IF(E8269="LO",6,10))+IF(T8269=1,2,IF(D8269=7,1,(IF(WEEKDAY(B8269)=1,2,IF(WEEKDAY(B8269)=7,1,0))))))</f>
        <v>2</v>
      </c>
      <c r="V8269" s="328">
        <f>VLOOKUP(C8269,METADATA!$A$5:$H$29,IF(E8269="HI",2,IF(E8269="LO",6,10))+IF(T8269=1,2,IF(D8269=7,1,(IF(WEEKDAY(B8269)=1,2,IF(WEEKDAY(B8269)=7,1,0))))))</f>
        <v>2</v>
      </c>
    </row>
    <row r="8270" spans="2:22">
      <c r="B8270" s="318">
        <f t="shared" si="515"/>
        <v>46457</v>
      </c>
      <c r="C8270" s="312">
        <v>10</v>
      </c>
      <c r="D8270" s="368">
        <f>IFERROR((INDEX(METADATA!$T$2:$T$20,MATCH(B8270,METADATA!$S$2:$S$20,0))),0)</f>
        <v>0</v>
      </c>
      <c r="E8270" s="312" t="str">
        <f t="shared" si="516"/>
        <v>LO</v>
      </c>
      <c r="F8270" s="369">
        <f>VLOOKUP(C8270,METADATA!$A$5:$H$29,IF(E8270="HI",2,IF(E8270="LO",6,10))+IF(D8270=1,2,IF(D8270=7,1,(IF(WEEKDAY(B8270)=1,2,IF(WEEKDAY(B8270)=7,1,0))))))</f>
        <v>2</v>
      </c>
      <c r="G8270" s="369">
        <f>VLOOKUP(C8270,METADATA!$J$5:$Q$29,IF(E8270="HI",2,IF(E8270="LO",6,10))+IF(D8270=1,2,IF(D8270=7,1,(IF(WEEKDAY(B8270)=1,2,IF(WEEKDAY(B8270)=7,1,0))))))</f>
        <v>2</v>
      </c>
      <c r="H8270" s="370">
        <v>12132.925048828125</v>
      </c>
      <c r="I8270" s="370">
        <v>3409.780029296875</v>
      </c>
      <c r="M8270" s="371">
        <f t="shared" si="517"/>
        <v>12602.954815783192</v>
      </c>
      <c r="N8270" s="329">
        <f t="shared" si="518"/>
        <v>0</v>
      </c>
      <c r="T8270" s="331">
        <v>0</v>
      </c>
      <c r="U8270" s="328">
        <f>VLOOKUP(C8270,METADATA!$J$5:$Q$29,IF(E8270="HI",2,IF(E8270="LO",6,10))+IF(T8270=1,2,IF(D8270=7,1,(IF(WEEKDAY(B8270)=1,2,IF(WEEKDAY(B8270)=7,1,0))))))</f>
        <v>2</v>
      </c>
      <c r="V8270" s="328">
        <f>VLOOKUP(C8270,METADATA!$A$5:$H$29,IF(E8270="HI",2,IF(E8270="LO",6,10))+IF(T8270=1,2,IF(D8270=7,1,(IF(WEEKDAY(B8270)=1,2,IF(WEEKDAY(B8270)=7,1,0))))))</f>
        <v>2</v>
      </c>
    </row>
    <row r="8271" spans="2:22">
      <c r="B8271" s="318">
        <f t="shared" si="515"/>
        <v>46457</v>
      </c>
      <c r="C8271" s="312">
        <v>11</v>
      </c>
      <c r="D8271" s="368">
        <f>IFERROR((INDEX(METADATA!$T$2:$T$20,MATCH(B8271,METADATA!$S$2:$S$20,0))),0)</f>
        <v>0</v>
      </c>
      <c r="E8271" s="312" t="str">
        <f t="shared" si="516"/>
        <v>LO</v>
      </c>
      <c r="F8271" s="369">
        <f>VLOOKUP(C8271,METADATA!$A$5:$H$29,IF(E8271="HI",2,IF(E8271="LO",6,10))+IF(D8271=1,2,IF(D8271=7,1,(IF(WEEKDAY(B8271)=1,2,IF(WEEKDAY(B8271)=7,1,0))))))</f>
        <v>2</v>
      </c>
      <c r="G8271" s="369">
        <f>VLOOKUP(C8271,METADATA!$J$5:$Q$29,IF(E8271="HI",2,IF(E8271="LO",6,10))+IF(D8271=1,2,IF(D8271=7,1,(IF(WEEKDAY(B8271)=1,2,IF(WEEKDAY(B8271)=7,1,0))))))</f>
        <v>2</v>
      </c>
      <c r="H8271" s="370">
        <v>12248.499877929688</v>
      </c>
      <c r="I8271" s="370">
        <v>3407.2749633789063</v>
      </c>
      <c r="M8271" s="371">
        <f t="shared" si="517"/>
        <v>12713.586116266028</v>
      </c>
      <c r="N8271" s="329">
        <f t="shared" si="518"/>
        <v>0</v>
      </c>
      <c r="T8271" s="331">
        <v>0</v>
      </c>
      <c r="U8271" s="328">
        <f>VLOOKUP(C8271,METADATA!$J$5:$Q$29,IF(E8271="HI",2,IF(E8271="LO",6,10))+IF(T8271=1,2,IF(D8271=7,1,(IF(WEEKDAY(B8271)=1,2,IF(WEEKDAY(B8271)=7,1,0))))))</f>
        <v>2</v>
      </c>
      <c r="V8271" s="328">
        <f>VLOOKUP(C8271,METADATA!$A$5:$H$29,IF(E8271="HI",2,IF(E8271="LO",6,10))+IF(T8271=1,2,IF(D8271=7,1,(IF(WEEKDAY(B8271)=1,2,IF(WEEKDAY(B8271)=7,1,0))))))</f>
        <v>2</v>
      </c>
    </row>
    <row r="8272" spans="2:22">
      <c r="B8272" s="318">
        <f t="shared" si="515"/>
        <v>46457</v>
      </c>
      <c r="C8272" s="312">
        <v>12</v>
      </c>
      <c r="D8272" s="368">
        <f>IFERROR((INDEX(METADATA!$T$2:$T$20,MATCH(B8272,METADATA!$S$2:$S$20,0))),0)</f>
        <v>0</v>
      </c>
      <c r="E8272" s="312" t="str">
        <f t="shared" si="516"/>
        <v>LO</v>
      </c>
      <c r="F8272" s="369">
        <f>VLOOKUP(C8272,METADATA!$A$5:$H$29,IF(E8272="HI",2,IF(E8272="LO",6,10))+IF(D8272=1,2,IF(D8272=7,1,(IF(WEEKDAY(B8272)=1,2,IF(WEEKDAY(B8272)=7,1,0))))))</f>
        <v>2</v>
      </c>
      <c r="G8272" s="369">
        <f>VLOOKUP(C8272,METADATA!$J$5:$Q$29,IF(E8272="HI",2,IF(E8272="LO",6,10))+IF(D8272=1,2,IF(D8272=7,1,(IF(WEEKDAY(B8272)=1,2,IF(WEEKDAY(B8272)=7,1,0))))))</f>
        <v>2</v>
      </c>
      <c r="H8272" s="370">
        <v>12421.875</v>
      </c>
      <c r="I8272" s="370">
        <v>3554.4899749755859</v>
      </c>
      <c r="M8272" s="371">
        <f t="shared" si="517"/>
        <v>12920.424818783124</v>
      </c>
      <c r="N8272" s="329">
        <f t="shared" si="518"/>
        <v>0</v>
      </c>
      <c r="T8272" s="331">
        <v>0</v>
      </c>
      <c r="U8272" s="328">
        <f>VLOOKUP(C8272,METADATA!$J$5:$Q$29,IF(E8272="HI",2,IF(E8272="LO",6,10))+IF(T8272=1,2,IF(D8272=7,1,(IF(WEEKDAY(B8272)=1,2,IF(WEEKDAY(B8272)=7,1,0))))))</f>
        <v>2</v>
      </c>
      <c r="V8272" s="328">
        <f>VLOOKUP(C8272,METADATA!$A$5:$H$29,IF(E8272="HI",2,IF(E8272="LO",6,10))+IF(T8272=1,2,IF(D8272=7,1,(IF(WEEKDAY(B8272)=1,2,IF(WEEKDAY(B8272)=7,1,0))))))</f>
        <v>2</v>
      </c>
    </row>
    <row r="8273" spans="2:22">
      <c r="B8273" s="318">
        <f t="shared" si="515"/>
        <v>46457</v>
      </c>
      <c r="C8273" s="312">
        <v>13</v>
      </c>
      <c r="D8273" s="368">
        <f>IFERROR((INDEX(METADATA!$T$2:$T$20,MATCH(B8273,METADATA!$S$2:$S$20,0))),0)</f>
        <v>0</v>
      </c>
      <c r="E8273" s="312" t="str">
        <f t="shared" si="516"/>
        <v>LO</v>
      </c>
      <c r="F8273" s="369">
        <f>VLOOKUP(C8273,METADATA!$A$5:$H$29,IF(E8273="HI",2,IF(E8273="LO",6,10))+IF(D8273=1,2,IF(D8273=7,1,(IF(WEEKDAY(B8273)=1,2,IF(WEEKDAY(B8273)=7,1,0))))))</f>
        <v>2</v>
      </c>
      <c r="G8273" s="369">
        <f>VLOOKUP(C8273,METADATA!$J$5:$Q$29,IF(E8273="HI",2,IF(E8273="LO",6,10))+IF(D8273=1,2,IF(D8273=7,1,(IF(WEEKDAY(B8273)=1,2,IF(WEEKDAY(B8273)=7,1,0))))))</f>
        <v>2</v>
      </c>
      <c r="H8273" s="370">
        <v>12575.137023925781</v>
      </c>
      <c r="I8273" s="370">
        <v>3701.3534851074219</v>
      </c>
      <c r="M8273" s="371">
        <f t="shared" si="517"/>
        <v>13108.550217023459</v>
      </c>
      <c r="N8273" s="329">
        <f t="shared" si="518"/>
        <v>0</v>
      </c>
      <c r="T8273" s="331">
        <v>0</v>
      </c>
      <c r="U8273" s="328">
        <f>VLOOKUP(C8273,METADATA!$J$5:$Q$29,IF(E8273="HI",2,IF(E8273="LO",6,10))+IF(T8273=1,2,IF(D8273=7,1,(IF(WEEKDAY(B8273)=1,2,IF(WEEKDAY(B8273)=7,1,0))))))</f>
        <v>2</v>
      </c>
      <c r="V8273" s="328">
        <f>VLOOKUP(C8273,METADATA!$A$5:$H$29,IF(E8273="HI",2,IF(E8273="LO",6,10))+IF(T8273=1,2,IF(D8273=7,1,(IF(WEEKDAY(B8273)=1,2,IF(WEEKDAY(B8273)=7,1,0))))))</f>
        <v>2</v>
      </c>
    </row>
    <row r="8274" spans="2:22">
      <c r="B8274" s="318">
        <f t="shared" si="515"/>
        <v>46457</v>
      </c>
      <c r="C8274" s="312">
        <v>14</v>
      </c>
      <c r="D8274" s="368">
        <f>IFERROR((INDEX(METADATA!$T$2:$T$20,MATCH(B8274,METADATA!$S$2:$S$20,0))),0)</f>
        <v>0</v>
      </c>
      <c r="E8274" s="312" t="str">
        <f t="shared" si="516"/>
        <v>LO</v>
      </c>
      <c r="F8274" s="369">
        <f>VLOOKUP(C8274,METADATA!$A$5:$H$29,IF(E8274="HI",2,IF(E8274="LO",6,10))+IF(D8274=1,2,IF(D8274=7,1,(IF(WEEKDAY(B8274)=1,2,IF(WEEKDAY(B8274)=7,1,0))))))</f>
        <v>2</v>
      </c>
      <c r="G8274" s="369">
        <f>VLOOKUP(C8274,METADATA!$J$5:$Q$29,IF(E8274="HI",2,IF(E8274="LO",6,10))+IF(D8274=1,2,IF(D8274=7,1,(IF(WEEKDAY(B8274)=1,2,IF(WEEKDAY(B8274)=7,1,0))))))</f>
        <v>2</v>
      </c>
      <c r="H8274" s="370">
        <v>12527.374938964844</v>
      </c>
      <c r="I8274" s="370">
        <v>3780.8599548339844</v>
      </c>
      <c r="M8274" s="371">
        <f t="shared" si="517"/>
        <v>13085.489095156958</v>
      </c>
      <c r="N8274" s="329">
        <f t="shared" si="518"/>
        <v>22.647473144531432</v>
      </c>
      <c r="T8274" s="331">
        <v>0</v>
      </c>
      <c r="U8274" s="328">
        <f>VLOOKUP(C8274,METADATA!$J$5:$Q$29,IF(E8274="HI",2,IF(E8274="LO",6,10))+IF(T8274=1,2,IF(D8274=7,1,(IF(WEEKDAY(B8274)=1,2,IF(WEEKDAY(B8274)=7,1,0))))))</f>
        <v>2</v>
      </c>
      <c r="V8274" s="328">
        <f>VLOOKUP(C8274,METADATA!$A$5:$H$29,IF(E8274="HI",2,IF(E8274="LO",6,10))+IF(T8274=1,2,IF(D8274=7,1,(IF(WEEKDAY(B8274)=1,2,IF(WEEKDAY(B8274)=7,1,0))))))</f>
        <v>2</v>
      </c>
    </row>
    <row r="8275" spans="2:22">
      <c r="B8275" s="318">
        <f t="shared" si="515"/>
        <v>46457</v>
      </c>
      <c r="C8275" s="312">
        <v>15</v>
      </c>
      <c r="D8275" s="368">
        <f>IFERROR((INDEX(METADATA!$T$2:$T$20,MATCH(B8275,METADATA!$S$2:$S$20,0))),0)</f>
        <v>0</v>
      </c>
      <c r="E8275" s="312" t="str">
        <f t="shared" si="516"/>
        <v>LO</v>
      </c>
      <c r="F8275" s="369">
        <f>VLOOKUP(C8275,METADATA!$A$5:$H$29,IF(E8275="HI",2,IF(E8275="LO",6,10))+IF(D8275=1,2,IF(D8275=7,1,(IF(WEEKDAY(B8275)=1,2,IF(WEEKDAY(B8275)=7,1,0))))))</f>
        <v>2</v>
      </c>
      <c r="G8275" s="369">
        <f>VLOOKUP(C8275,METADATA!$J$5:$Q$29,IF(E8275="HI",2,IF(E8275="LO",6,10))+IF(D8275=1,2,IF(D8275=7,1,(IF(WEEKDAY(B8275)=1,2,IF(WEEKDAY(B8275)=7,1,0))))))</f>
        <v>2</v>
      </c>
      <c r="H8275" s="370">
        <v>12555.199584960938</v>
      </c>
      <c r="I8275" s="370">
        <v>4045.3799438476563</v>
      </c>
      <c r="M8275" s="371">
        <f t="shared" si="517"/>
        <v>13190.835284707642</v>
      </c>
      <c r="N8275" s="329">
        <f t="shared" si="518"/>
        <v>278.820068359375</v>
      </c>
      <c r="T8275" s="331">
        <v>0</v>
      </c>
      <c r="U8275" s="328">
        <f>VLOOKUP(C8275,METADATA!$J$5:$Q$29,IF(E8275="HI",2,IF(E8275="LO",6,10))+IF(T8275=1,2,IF(D8275=7,1,(IF(WEEKDAY(B8275)=1,2,IF(WEEKDAY(B8275)=7,1,0))))))</f>
        <v>2</v>
      </c>
      <c r="V8275" s="328">
        <f>VLOOKUP(C8275,METADATA!$A$5:$H$29,IF(E8275="HI",2,IF(E8275="LO",6,10))+IF(T8275=1,2,IF(D8275=7,1,(IF(WEEKDAY(B8275)=1,2,IF(WEEKDAY(B8275)=7,1,0))))))</f>
        <v>2</v>
      </c>
    </row>
    <row r="8276" spans="2:22">
      <c r="B8276" s="318">
        <f t="shared" si="515"/>
        <v>46457</v>
      </c>
      <c r="C8276" s="312">
        <v>16</v>
      </c>
      <c r="D8276" s="368">
        <f>IFERROR((INDEX(METADATA!$T$2:$T$20,MATCH(B8276,METADATA!$S$2:$S$20,0))),0)</f>
        <v>0</v>
      </c>
      <c r="E8276" s="312" t="str">
        <f t="shared" si="516"/>
        <v>LO</v>
      </c>
      <c r="F8276" s="369">
        <f>VLOOKUP(C8276,METADATA!$A$5:$H$29,IF(E8276="HI",2,IF(E8276="LO",6,10))+IF(D8276=1,2,IF(D8276=7,1,(IF(WEEKDAY(B8276)=1,2,IF(WEEKDAY(B8276)=7,1,0))))))</f>
        <v>2</v>
      </c>
      <c r="G8276" s="369">
        <f>VLOOKUP(C8276,METADATA!$J$5:$Q$29,IF(E8276="HI",2,IF(E8276="LO",6,10))+IF(D8276=1,2,IF(D8276=7,1,(IF(WEEKDAY(B8276)=1,2,IF(WEEKDAY(B8276)=7,1,0))))))</f>
        <v>2</v>
      </c>
      <c r="H8276" s="370">
        <v>12535.149963378906</v>
      </c>
      <c r="I8276" s="370">
        <v>4025.22998046875</v>
      </c>
      <c r="M8276" s="371">
        <f t="shared" si="517"/>
        <v>13165.578642811817</v>
      </c>
      <c r="N8276" s="329">
        <f t="shared" si="518"/>
        <v>264.68499145507849</v>
      </c>
      <c r="T8276" s="331">
        <v>0</v>
      </c>
      <c r="U8276" s="328">
        <f>VLOOKUP(C8276,METADATA!$J$5:$Q$29,IF(E8276="HI",2,IF(E8276="LO",6,10))+IF(T8276=1,2,IF(D8276=7,1,(IF(WEEKDAY(B8276)=1,2,IF(WEEKDAY(B8276)=7,1,0))))))</f>
        <v>2</v>
      </c>
      <c r="V8276" s="328">
        <f>VLOOKUP(C8276,METADATA!$A$5:$H$29,IF(E8276="HI",2,IF(E8276="LO",6,10))+IF(T8276=1,2,IF(D8276=7,1,(IF(WEEKDAY(B8276)=1,2,IF(WEEKDAY(B8276)=7,1,0))))))</f>
        <v>2</v>
      </c>
    </row>
    <row r="8277" spans="2:22">
      <c r="B8277" s="318">
        <f t="shared" si="515"/>
        <v>46457</v>
      </c>
      <c r="C8277" s="312">
        <v>17</v>
      </c>
      <c r="D8277" s="368">
        <f>IFERROR((INDEX(METADATA!$T$2:$T$20,MATCH(B8277,METADATA!$S$2:$S$20,0))),0)</f>
        <v>0</v>
      </c>
      <c r="E8277" s="312" t="str">
        <f t="shared" si="516"/>
        <v>LO</v>
      </c>
      <c r="F8277" s="369">
        <f>VLOOKUP(C8277,METADATA!$A$5:$H$29,IF(E8277="HI",2,IF(E8277="LO",6,10))+IF(D8277=1,2,IF(D8277=7,1,(IF(WEEKDAY(B8277)=1,2,IF(WEEKDAY(B8277)=7,1,0))))))</f>
        <v>2</v>
      </c>
      <c r="G8277" s="369">
        <f>VLOOKUP(C8277,METADATA!$J$5:$Q$29,IF(E8277="HI",2,IF(E8277="LO",6,10))+IF(D8277=1,2,IF(D8277=7,1,(IF(WEEKDAY(B8277)=1,2,IF(WEEKDAY(B8277)=7,1,0))))))</f>
        <v>2</v>
      </c>
      <c r="H8277" s="370">
        <v>12237.574829101563</v>
      </c>
      <c r="I8277" s="370">
        <v>3709.7199859619141</v>
      </c>
      <c r="M8277" s="371">
        <f t="shared" si="517"/>
        <v>12787.504059514717</v>
      </c>
      <c r="N8277" s="329">
        <f t="shared" si="518"/>
        <v>38.447537231445494</v>
      </c>
      <c r="T8277" s="331">
        <v>0</v>
      </c>
      <c r="U8277" s="328">
        <f>VLOOKUP(C8277,METADATA!$J$5:$Q$29,IF(E8277="HI",2,IF(E8277="LO",6,10))+IF(T8277=1,2,IF(D8277=7,1,(IF(WEEKDAY(B8277)=1,2,IF(WEEKDAY(B8277)=7,1,0))))))</f>
        <v>2</v>
      </c>
      <c r="V8277" s="328">
        <f>VLOOKUP(C8277,METADATA!$A$5:$H$29,IF(E8277="HI",2,IF(E8277="LO",6,10))+IF(T8277=1,2,IF(D8277=7,1,(IF(WEEKDAY(B8277)=1,2,IF(WEEKDAY(B8277)=7,1,0))))))</f>
        <v>2</v>
      </c>
    </row>
    <row r="8278" spans="2:22">
      <c r="B8278" s="318">
        <f t="shared" si="515"/>
        <v>46457</v>
      </c>
      <c r="C8278" s="312">
        <v>18</v>
      </c>
      <c r="D8278" s="368">
        <f>IFERROR((INDEX(METADATA!$T$2:$T$20,MATCH(B8278,METADATA!$S$2:$S$20,0))),0)</f>
        <v>0</v>
      </c>
      <c r="E8278" s="312" t="str">
        <f t="shared" si="516"/>
        <v>LO</v>
      </c>
      <c r="F8278" s="369">
        <f>VLOOKUP(C8278,METADATA!$A$5:$H$29,IF(E8278="HI",2,IF(E8278="LO",6,10))+IF(D8278=1,2,IF(D8278=7,1,(IF(WEEKDAY(B8278)=1,2,IF(WEEKDAY(B8278)=7,1,0))))))</f>
        <v>1</v>
      </c>
      <c r="G8278" s="369">
        <f>VLOOKUP(C8278,METADATA!$J$5:$Q$29,IF(E8278="HI",2,IF(E8278="LO",6,10))+IF(D8278=1,2,IF(D8278=7,1,(IF(WEEKDAY(B8278)=1,2,IF(WEEKDAY(B8278)=7,1,0))))))</f>
        <v>1</v>
      </c>
      <c r="H8278" s="370">
        <v>12306.099853515625</v>
      </c>
      <c r="I8278" s="370">
        <v>3769.2699279785156</v>
      </c>
      <c r="M8278" s="371">
        <f t="shared" si="517"/>
        <v>12870.41139181885</v>
      </c>
      <c r="N8278" s="329">
        <f t="shared" si="518"/>
        <v>77.439971923828125</v>
      </c>
      <c r="T8278" s="331">
        <v>0</v>
      </c>
      <c r="U8278" s="328">
        <f>VLOOKUP(C8278,METADATA!$J$5:$Q$29,IF(E8278="HI",2,IF(E8278="LO",6,10))+IF(T8278=1,2,IF(D8278=7,1,(IF(WEEKDAY(B8278)=1,2,IF(WEEKDAY(B8278)=7,1,0))))))</f>
        <v>1</v>
      </c>
      <c r="V8278" s="328">
        <f>VLOOKUP(C8278,METADATA!$A$5:$H$29,IF(E8278="HI",2,IF(E8278="LO",6,10))+IF(T8278=1,2,IF(D8278=7,1,(IF(WEEKDAY(B8278)=1,2,IF(WEEKDAY(B8278)=7,1,0))))))</f>
        <v>1</v>
      </c>
    </row>
    <row r="8279" spans="2:22">
      <c r="B8279" s="318">
        <f t="shared" si="515"/>
        <v>46457</v>
      </c>
      <c r="C8279" s="312">
        <v>19</v>
      </c>
      <c r="D8279" s="368">
        <f>IFERROR((INDEX(METADATA!$T$2:$T$20,MATCH(B8279,METADATA!$S$2:$S$20,0))),0)</f>
        <v>0</v>
      </c>
      <c r="E8279" s="312" t="str">
        <f t="shared" si="516"/>
        <v>LO</v>
      </c>
      <c r="F8279" s="369">
        <f>VLOOKUP(C8279,METADATA!$A$5:$H$29,IF(E8279="HI",2,IF(E8279="LO",6,10))+IF(D8279=1,2,IF(D8279=7,1,(IF(WEEKDAY(B8279)=1,2,IF(WEEKDAY(B8279)=7,1,0))))))</f>
        <v>1</v>
      </c>
      <c r="G8279" s="369">
        <f>VLOOKUP(C8279,METADATA!$J$5:$Q$29,IF(E8279="HI",2,IF(E8279="LO",6,10))+IF(D8279=1,2,IF(D8279=7,1,(IF(WEEKDAY(B8279)=1,2,IF(WEEKDAY(B8279)=7,1,0))))))</f>
        <v>1</v>
      </c>
      <c r="H8279" s="370">
        <v>12517.97509765625</v>
      </c>
      <c r="I8279" s="370">
        <v>3801.1299743652344</v>
      </c>
      <c r="M8279" s="371">
        <f t="shared" si="517"/>
        <v>13082.365597534716</v>
      </c>
      <c r="N8279" s="329">
        <f t="shared" si="518"/>
        <v>45.737445068359648</v>
      </c>
      <c r="T8279" s="331">
        <v>0</v>
      </c>
      <c r="U8279" s="328">
        <f>VLOOKUP(C8279,METADATA!$J$5:$Q$29,IF(E8279="HI",2,IF(E8279="LO",6,10))+IF(T8279=1,2,IF(D8279=7,1,(IF(WEEKDAY(B8279)=1,2,IF(WEEKDAY(B8279)=7,1,0))))))</f>
        <v>1</v>
      </c>
      <c r="V8279" s="328">
        <f>VLOOKUP(C8279,METADATA!$A$5:$H$29,IF(E8279="HI",2,IF(E8279="LO",6,10))+IF(T8279=1,2,IF(D8279=7,1,(IF(WEEKDAY(B8279)=1,2,IF(WEEKDAY(B8279)=7,1,0))))))</f>
        <v>1</v>
      </c>
    </row>
    <row r="8280" spans="2:22">
      <c r="B8280" s="318">
        <f t="shared" si="515"/>
        <v>46457</v>
      </c>
      <c r="C8280" s="312">
        <v>20</v>
      </c>
      <c r="D8280" s="368">
        <f>IFERROR((INDEX(METADATA!$T$2:$T$20,MATCH(B8280,METADATA!$S$2:$S$20,0))),0)</f>
        <v>0</v>
      </c>
      <c r="E8280" s="312" t="str">
        <f t="shared" si="516"/>
        <v>LO</v>
      </c>
      <c r="F8280" s="369">
        <f>VLOOKUP(C8280,METADATA!$A$5:$H$29,IF(E8280="HI",2,IF(E8280="LO",6,10))+IF(D8280=1,2,IF(D8280=7,1,(IF(WEEKDAY(B8280)=1,2,IF(WEEKDAY(B8280)=7,1,0))))))</f>
        <v>1</v>
      </c>
      <c r="G8280" s="369">
        <f>VLOOKUP(C8280,METADATA!$J$5:$Q$29,IF(E8280="HI",2,IF(E8280="LO",6,10))+IF(D8280=1,2,IF(D8280=7,1,(IF(WEEKDAY(B8280)=1,2,IF(WEEKDAY(B8280)=7,1,0))))))</f>
        <v>1</v>
      </c>
      <c r="H8280" s="370">
        <v>12597.575073242188</v>
      </c>
      <c r="I8280" s="370">
        <v>3756.3750610351563</v>
      </c>
      <c r="M8280" s="371">
        <f t="shared" si="517"/>
        <v>13145.693261488334</v>
      </c>
      <c r="N8280" s="329">
        <f t="shared" si="518"/>
        <v>0</v>
      </c>
      <c r="T8280" s="331">
        <v>0</v>
      </c>
      <c r="U8280" s="328">
        <f>VLOOKUP(C8280,METADATA!$J$5:$Q$29,IF(E8280="HI",2,IF(E8280="LO",6,10))+IF(T8280=1,2,IF(D8280=7,1,(IF(WEEKDAY(B8280)=1,2,IF(WEEKDAY(B8280)=7,1,0))))))</f>
        <v>1</v>
      </c>
      <c r="V8280" s="328">
        <f>VLOOKUP(C8280,METADATA!$A$5:$H$29,IF(E8280="HI",2,IF(E8280="LO",6,10))+IF(T8280=1,2,IF(D8280=7,1,(IF(WEEKDAY(B8280)=1,2,IF(WEEKDAY(B8280)=7,1,0))))))</f>
        <v>1</v>
      </c>
    </row>
    <row r="8281" spans="2:22">
      <c r="B8281" s="318">
        <f t="shared" si="515"/>
        <v>46457</v>
      </c>
      <c r="C8281" s="312">
        <v>21</v>
      </c>
      <c r="D8281" s="368">
        <f>IFERROR((INDEX(METADATA!$T$2:$T$20,MATCH(B8281,METADATA!$S$2:$S$20,0))),0)</f>
        <v>0</v>
      </c>
      <c r="E8281" s="312" t="str">
        <f t="shared" si="516"/>
        <v>LO</v>
      </c>
      <c r="F8281" s="369">
        <f>VLOOKUP(C8281,METADATA!$A$5:$H$29,IF(E8281="HI",2,IF(E8281="LO",6,10))+IF(D8281=1,2,IF(D8281=7,1,(IF(WEEKDAY(B8281)=1,2,IF(WEEKDAY(B8281)=7,1,0))))))</f>
        <v>2</v>
      </c>
      <c r="G8281" s="369">
        <f>VLOOKUP(C8281,METADATA!$J$5:$Q$29,IF(E8281="HI",2,IF(E8281="LO",6,10))+IF(D8281=1,2,IF(D8281=7,1,(IF(WEEKDAY(B8281)=1,2,IF(WEEKDAY(B8281)=7,1,0))))))</f>
        <v>2</v>
      </c>
      <c r="H8281" s="370">
        <v>12468.375</v>
      </c>
      <c r="I8281" s="370">
        <v>3646.1900024414063</v>
      </c>
      <c r="M8281" s="371">
        <f t="shared" si="517"/>
        <v>12990.576456590703</v>
      </c>
      <c r="N8281" s="329">
        <f t="shared" si="518"/>
        <v>0</v>
      </c>
      <c r="T8281" s="331">
        <v>0</v>
      </c>
      <c r="U8281" s="328">
        <f>VLOOKUP(C8281,METADATA!$J$5:$Q$29,IF(E8281="HI",2,IF(E8281="LO",6,10))+IF(T8281=1,2,IF(D8281=7,1,(IF(WEEKDAY(B8281)=1,2,IF(WEEKDAY(B8281)=7,1,0))))))</f>
        <v>2</v>
      </c>
      <c r="V8281" s="328">
        <f>VLOOKUP(C8281,METADATA!$A$5:$H$29,IF(E8281="HI",2,IF(E8281="LO",6,10))+IF(T8281=1,2,IF(D8281=7,1,(IF(WEEKDAY(B8281)=1,2,IF(WEEKDAY(B8281)=7,1,0))))))</f>
        <v>2</v>
      </c>
    </row>
    <row r="8282" spans="2:22">
      <c r="B8282" s="318">
        <f t="shared" si="515"/>
        <v>46457</v>
      </c>
      <c r="C8282" s="312">
        <v>22</v>
      </c>
      <c r="D8282" s="368">
        <f>IFERROR((INDEX(METADATA!$T$2:$T$20,MATCH(B8282,METADATA!$S$2:$S$20,0))),0)</f>
        <v>0</v>
      </c>
      <c r="E8282" s="312" t="str">
        <f t="shared" si="516"/>
        <v>LO</v>
      </c>
      <c r="F8282" s="369">
        <f>VLOOKUP(C8282,METADATA!$A$5:$H$29,IF(E8282="HI",2,IF(E8282="LO",6,10))+IF(D8282=1,2,IF(D8282=7,1,(IF(WEEKDAY(B8282)=1,2,IF(WEEKDAY(B8282)=7,1,0))))))</f>
        <v>3</v>
      </c>
      <c r="G8282" s="369">
        <f>VLOOKUP(C8282,METADATA!$J$5:$Q$29,IF(E8282="HI",2,IF(E8282="LO",6,10))+IF(D8282=1,2,IF(D8282=7,1,(IF(WEEKDAY(B8282)=1,2,IF(WEEKDAY(B8282)=7,1,0))))))</f>
        <v>3</v>
      </c>
      <c r="H8282" s="370">
        <v>12234.225280761719</v>
      </c>
      <c r="I8282" s="370">
        <v>3602.3400268554688</v>
      </c>
      <c r="M8282" s="371">
        <f t="shared" si="517"/>
        <v>12753.553304452615</v>
      </c>
      <c r="N8282" s="329">
        <f t="shared" si="518"/>
        <v>0</v>
      </c>
      <c r="T8282" s="331">
        <v>0</v>
      </c>
      <c r="U8282" s="328">
        <f>VLOOKUP(C8282,METADATA!$J$5:$Q$29,IF(E8282="HI",2,IF(E8282="LO",6,10))+IF(T8282=1,2,IF(D8282=7,1,(IF(WEEKDAY(B8282)=1,2,IF(WEEKDAY(B8282)=7,1,0))))))</f>
        <v>3</v>
      </c>
      <c r="V8282" s="328">
        <f>VLOOKUP(C8282,METADATA!$A$5:$H$29,IF(E8282="HI",2,IF(E8282="LO",6,10))+IF(T8282=1,2,IF(D8282=7,1,(IF(WEEKDAY(B8282)=1,2,IF(WEEKDAY(B8282)=7,1,0))))))</f>
        <v>3</v>
      </c>
    </row>
    <row r="8283" spans="2:22">
      <c r="B8283" s="318">
        <f t="shared" si="515"/>
        <v>46457</v>
      </c>
      <c r="C8283" s="312">
        <v>23</v>
      </c>
      <c r="D8283" s="368">
        <f>IFERROR((INDEX(METADATA!$T$2:$T$20,MATCH(B8283,METADATA!$S$2:$S$20,0))),0)</f>
        <v>0</v>
      </c>
      <c r="E8283" s="312" t="str">
        <f t="shared" si="516"/>
        <v>LO</v>
      </c>
      <c r="F8283" s="369">
        <f>VLOOKUP(C8283,METADATA!$A$5:$H$29,IF(E8283="HI",2,IF(E8283="LO",6,10))+IF(D8283=1,2,IF(D8283=7,1,(IF(WEEKDAY(B8283)=1,2,IF(WEEKDAY(B8283)=7,1,0))))))</f>
        <v>3</v>
      </c>
      <c r="G8283" s="369">
        <f>VLOOKUP(C8283,METADATA!$J$5:$Q$29,IF(E8283="HI",2,IF(E8283="LO",6,10))+IF(D8283=1,2,IF(D8283=7,1,(IF(WEEKDAY(B8283)=1,2,IF(WEEKDAY(B8283)=7,1,0))))))</f>
        <v>3</v>
      </c>
      <c r="H8283" s="370">
        <v>12269.575012207031</v>
      </c>
      <c r="I8283" s="370">
        <v>3665.4099426269531</v>
      </c>
      <c r="M8283" s="371">
        <f t="shared" si="517"/>
        <v>12805.377816670763</v>
      </c>
      <c r="N8283" s="329">
        <f t="shared" si="518"/>
        <v>0</v>
      </c>
      <c r="T8283" s="331">
        <v>0</v>
      </c>
      <c r="U8283" s="328">
        <f>VLOOKUP(C8283,METADATA!$J$5:$Q$29,IF(E8283="HI",2,IF(E8283="LO",6,10))+IF(T8283=1,2,IF(D8283=7,1,(IF(WEEKDAY(B8283)=1,2,IF(WEEKDAY(B8283)=7,1,0))))))</f>
        <v>3</v>
      </c>
      <c r="V8283" s="328">
        <f>VLOOKUP(C8283,METADATA!$A$5:$H$29,IF(E8283="HI",2,IF(E8283="LO",6,10))+IF(T8283=1,2,IF(D8283=7,1,(IF(WEEKDAY(B8283)=1,2,IF(WEEKDAY(B8283)=7,1,0))))))</f>
        <v>3</v>
      </c>
    </row>
    <row r="8284" spans="2:22">
      <c r="B8284" s="318">
        <f t="shared" ref="B8284:B8347" si="519">B8260+1</f>
        <v>46458</v>
      </c>
      <c r="C8284" s="312">
        <v>0</v>
      </c>
      <c r="D8284" s="368">
        <f>IFERROR((INDEX(METADATA!$T$2:$T$20,MATCH(B8284,METADATA!$S$2:$S$20,0))),0)</f>
        <v>0</v>
      </c>
      <c r="E8284" s="312" t="str">
        <f t="shared" si="516"/>
        <v>LO</v>
      </c>
      <c r="F8284" s="369">
        <f>VLOOKUP(C8284,METADATA!$A$5:$H$29,IF(E8284="HI",2,IF(E8284="LO",6,10))+IF(D8284=1,2,IF(D8284=7,1,(IF(WEEKDAY(B8284)=1,2,IF(WEEKDAY(B8284)=7,1,0))))))</f>
        <v>3</v>
      </c>
      <c r="G8284" s="369">
        <f>VLOOKUP(C8284,METADATA!$J$5:$Q$29,IF(E8284="HI",2,IF(E8284="LO",6,10))+IF(D8284=1,2,IF(D8284=7,1,(IF(WEEKDAY(B8284)=1,2,IF(WEEKDAY(B8284)=7,1,0))))))</f>
        <v>3</v>
      </c>
      <c r="H8284" s="370">
        <v>12247.425476074219</v>
      </c>
      <c r="I8284" s="370">
        <v>3782.6048889160156</v>
      </c>
      <c r="M8284" s="371">
        <f t="shared" si="517"/>
        <v>12818.2499015132</v>
      </c>
      <c r="N8284" s="329">
        <f t="shared" si="518"/>
        <v>108.37724609375027</v>
      </c>
      <c r="T8284" s="331">
        <v>0</v>
      </c>
      <c r="U8284" s="328">
        <f>VLOOKUP(C8284,METADATA!$J$5:$Q$29,IF(E8284="HI",2,IF(E8284="LO",6,10))+IF(T8284=1,2,IF(D8284=7,1,(IF(WEEKDAY(B8284)=1,2,IF(WEEKDAY(B8284)=7,1,0))))))</f>
        <v>3</v>
      </c>
      <c r="V8284" s="328">
        <f>VLOOKUP(C8284,METADATA!$A$5:$H$29,IF(E8284="HI",2,IF(E8284="LO",6,10))+IF(T8284=1,2,IF(D8284=7,1,(IF(WEEKDAY(B8284)=1,2,IF(WEEKDAY(B8284)=7,1,0))))))</f>
        <v>3</v>
      </c>
    </row>
    <row r="8285" spans="2:22">
      <c r="B8285" s="318">
        <f t="shared" si="519"/>
        <v>46458</v>
      </c>
      <c r="C8285" s="312">
        <v>1</v>
      </c>
      <c r="D8285" s="368">
        <f>IFERROR((INDEX(METADATA!$T$2:$T$20,MATCH(B8285,METADATA!$S$2:$S$20,0))),0)</f>
        <v>0</v>
      </c>
      <c r="E8285" s="312" t="str">
        <f t="shared" si="516"/>
        <v>LO</v>
      </c>
      <c r="F8285" s="369">
        <f>VLOOKUP(C8285,METADATA!$A$5:$H$29,IF(E8285="HI",2,IF(E8285="LO",6,10))+IF(D8285=1,2,IF(D8285=7,1,(IF(WEEKDAY(B8285)=1,2,IF(WEEKDAY(B8285)=7,1,0))))))</f>
        <v>3</v>
      </c>
      <c r="G8285" s="369">
        <f>VLOOKUP(C8285,METADATA!$J$5:$Q$29,IF(E8285="HI",2,IF(E8285="LO",6,10))+IF(D8285=1,2,IF(D8285=7,1,(IF(WEEKDAY(B8285)=1,2,IF(WEEKDAY(B8285)=7,1,0))))))</f>
        <v>3</v>
      </c>
      <c r="H8285" s="370">
        <v>12576.885314941406</v>
      </c>
      <c r="I8285" s="370">
        <v>3950.0650329589844</v>
      </c>
      <c r="M8285" s="371">
        <f t="shared" si="517"/>
        <v>13182.604370525349</v>
      </c>
      <c r="N8285" s="329">
        <f t="shared" si="518"/>
        <v>176.99943847656277</v>
      </c>
      <c r="T8285" s="331">
        <v>0</v>
      </c>
      <c r="U8285" s="328">
        <f>VLOOKUP(C8285,METADATA!$J$5:$Q$29,IF(E8285="HI",2,IF(E8285="LO",6,10))+IF(T8285=1,2,IF(D8285=7,1,(IF(WEEKDAY(B8285)=1,2,IF(WEEKDAY(B8285)=7,1,0))))))</f>
        <v>3</v>
      </c>
      <c r="V8285" s="328">
        <f>VLOOKUP(C8285,METADATA!$A$5:$H$29,IF(E8285="HI",2,IF(E8285="LO",6,10))+IF(T8285=1,2,IF(D8285=7,1,(IF(WEEKDAY(B8285)=1,2,IF(WEEKDAY(B8285)=7,1,0))))))</f>
        <v>3</v>
      </c>
    </row>
    <row r="8286" spans="2:22">
      <c r="B8286" s="318">
        <f t="shared" si="519"/>
        <v>46458</v>
      </c>
      <c r="C8286" s="312">
        <v>2</v>
      </c>
      <c r="D8286" s="368">
        <f>IFERROR((INDEX(METADATA!$T$2:$T$20,MATCH(B8286,METADATA!$S$2:$S$20,0))),0)</f>
        <v>0</v>
      </c>
      <c r="E8286" s="312" t="str">
        <f t="shared" si="516"/>
        <v>LO</v>
      </c>
      <c r="F8286" s="369">
        <f>VLOOKUP(C8286,METADATA!$A$5:$H$29,IF(E8286="HI",2,IF(E8286="LO",6,10))+IF(D8286=1,2,IF(D8286=7,1,(IF(WEEKDAY(B8286)=1,2,IF(WEEKDAY(B8286)=7,1,0))))))</f>
        <v>3</v>
      </c>
      <c r="G8286" s="369">
        <f>VLOOKUP(C8286,METADATA!$J$5:$Q$29,IF(E8286="HI",2,IF(E8286="LO",6,10))+IF(D8286=1,2,IF(D8286=7,1,(IF(WEEKDAY(B8286)=1,2,IF(WEEKDAY(B8286)=7,1,0))))))</f>
        <v>3</v>
      </c>
      <c r="H8286" s="370">
        <v>12257.25</v>
      </c>
      <c r="I8286" s="370">
        <v>3627.2750854492188</v>
      </c>
      <c r="M8286" s="371">
        <f t="shared" si="517"/>
        <v>12782.695416383065</v>
      </c>
      <c r="N8286" s="329">
        <f t="shared" si="518"/>
        <v>0</v>
      </c>
      <c r="T8286" s="331">
        <v>0</v>
      </c>
      <c r="U8286" s="328">
        <f>VLOOKUP(C8286,METADATA!$J$5:$Q$29,IF(E8286="HI",2,IF(E8286="LO",6,10))+IF(T8286=1,2,IF(D8286=7,1,(IF(WEEKDAY(B8286)=1,2,IF(WEEKDAY(B8286)=7,1,0))))))</f>
        <v>3</v>
      </c>
      <c r="V8286" s="328">
        <f>VLOOKUP(C8286,METADATA!$A$5:$H$29,IF(E8286="HI",2,IF(E8286="LO",6,10))+IF(T8286=1,2,IF(D8286=7,1,(IF(WEEKDAY(B8286)=1,2,IF(WEEKDAY(B8286)=7,1,0))))))</f>
        <v>3</v>
      </c>
    </row>
    <row r="8287" spans="2:22">
      <c r="B8287" s="318">
        <f t="shared" si="519"/>
        <v>46458</v>
      </c>
      <c r="C8287" s="312">
        <v>3</v>
      </c>
      <c r="D8287" s="368">
        <f>IFERROR((INDEX(METADATA!$T$2:$T$20,MATCH(B8287,METADATA!$S$2:$S$20,0))),0)</f>
        <v>0</v>
      </c>
      <c r="E8287" s="312" t="str">
        <f t="shared" si="516"/>
        <v>LO</v>
      </c>
      <c r="F8287" s="369">
        <f>VLOOKUP(C8287,METADATA!$A$5:$H$29,IF(E8287="HI",2,IF(E8287="LO",6,10))+IF(D8287=1,2,IF(D8287=7,1,(IF(WEEKDAY(B8287)=1,2,IF(WEEKDAY(B8287)=7,1,0))))))</f>
        <v>3</v>
      </c>
      <c r="G8287" s="369">
        <f>VLOOKUP(C8287,METADATA!$J$5:$Q$29,IF(E8287="HI",2,IF(E8287="LO",6,10))+IF(D8287=1,2,IF(D8287=7,1,(IF(WEEKDAY(B8287)=1,2,IF(WEEKDAY(B8287)=7,1,0))))))</f>
        <v>3</v>
      </c>
      <c r="H8287" s="370">
        <v>12240.17529296875</v>
      </c>
      <c r="I8287" s="370">
        <v>3477.9550476074219</v>
      </c>
      <c r="M8287" s="371">
        <f t="shared" si="517"/>
        <v>12724.702845873477</v>
      </c>
      <c r="N8287" s="329">
        <f t="shared" si="518"/>
        <v>0</v>
      </c>
      <c r="T8287" s="331">
        <v>0</v>
      </c>
      <c r="U8287" s="328">
        <f>VLOOKUP(C8287,METADATA!$J$5:$Q$29,IF(E8287="HI",2,IF(E8287="LO",6,10))+IF(T8287=1,2,IF(D8287=7,1,(IF(WEEKDAY(B8287)=1,2,IF(WEEKDAY(B8287)=7,1,0))))))</f>
        <v>3</v>
      </c>
      <c r="V8287" s="328">
        <f>VLOOKUP(C8287,METADATA!$A$5:$H$29,IF(E8287="HI",2,IF(E8287="LO",6,10))+IF(T8287=1,2,IF(D8287=7,1,(IF(WEEKDAY(B8287)=1,2,IF(WEEKDAY(B8287)=7,1,0))))))</f>
        <v>3</v>
      </c>
    </row>
    <row r="8288" spans="2:22">
      <c r="B8288" s="318">
        <f t="shared" si="519"/>
        <v>46458</v>
      </c>
      <c r="C8288" s="312">
        <v>4</v>
      </c>
      <c r="D8288" s="368">
        <f>IFERROR((INDEX(METADATA!$T$2:$T$20,MATCH(B8288,METADATA!$S$2:$S$20,0))),0)</f>
        <v>0</v>
      </c>
      <c r="E8288" s="312" t="str">
        <f t="shared" si="516"/>
        <v>LO</v>
      </c>
      <c r="F8288" s="369">
        <f>VLOOKUP(C8288,METADATA!$A$5:$H$29,IF(E8288="HI",2,IF(E8288="LO",6,10))+IF(D8288=1,2,IF(D8288=7,1,(IF(WEEKDAY(B8288)=1,2,IF(WEEKDAY(B8288)=7,1,0))))))</f>
        <v>3</v>
      </c>
      <c r="G8288" s="369">
        <f>VLOOKUP(C8288,METADATA!$J$5:$Q$29,IF(E8288="HI",2,IF(E8288="LO",6,10))+IF(D8288=1,2,IF(D8288=7,1,(IF(WEEKDAY(B8288)=1,2,IF(WEEKDAY(B8288)=7,1,0))))))</f>
        <v>3</v>
      </c>
      <c r="H8288" s="370">
        <v>12489.175048828125</v>
      </c>
      <c r="I8288" s="370">
        <v>3544.2799682617188</v>
      </c>
      <c r="M8288" s="371">
        <f t="shared" si="517"/>
        <v>12982.350091323693</v>
      </c>
      <c r="N8288" s="329">
        <f t="shared" si="518"/>
        <v>0</v>
      </c>
      <c r="T8288" s="331">
        <v>0</v>
      </c>
      <c r="U8288" s="328">
        <f>VLOOKUP(C8288,METADATA!$J$5:$Q$29,IF(E8288="HI",2,IF(E8288="LO",6,10))+IF(T8288=1,2,IF(D8288=7,1,(IF(WEEKDAY(B8288)=1,2,IF(WEEKDAY(B8288)=7,1,0))))))</f>
        <v>3</v>
      </c>
      <c r="V8288" s="328">
        <f>VLOOKUP(C8288,METADATA!$A$5:$H$29,IF(E8288="HI",2,IF(E8288="LO",6,10))+IF(T8288=1,2,IF(D8288=7,1,(IF(WEEKDAY(B8288)=1,2,IF(WEEKDAY(B8288)=7,1,0))))))</f>
        <v>3</v>
      </c>
    </row>
    <row r="8289" spans="2:22">
      <c r="B8289" s="318">
        <f t="shared" si="519"/>
        <v>46458</v>
      </c>
      <c r="C8289" s="312">
        <v>5</v>
      </c>
      <c r="D8289" s="368">
        <f>IFERROR((INDEX(METADATA!$T$2:$T$20,MATCH(B8289,METADATA!$S$2:$S$20,0))),0)</f>
        <v>0</v>
      </c>
      <c r="E8289" s="312" t="str">
        <f t="shared" si="516"/>
        <v>LO</v>
      </c>
      <c r="F8289" s="369">
        <f>VLOOKUP(C8289,METADATA!$A$5:$H$29,IF(E8289="HI",2,IF(E8289="LO",6,10))+IF(D8289=1,2,IF(D8289=7,1,(IF(WEEKDAY(B8289)=1,2,IF(WEEKDAY(B8289)=7,1,0))))))</f>
        <v>3</v>
      </c>
      <c r="G8289" s="369">
        <f>VLOOKUP(C8289,METADATA!$J$5:$Q$29,IF(E8289="HI",2,IF(E8289="LO",6,10))+IF(D8289=1,2,IF(D8289=7,1,(IF(WEEKDAY(B8289)=1,2,IF(WEEKDAY(B8289)=7,1,0))))))</f>
        <v>3</v>
      </c>
      <c r="H8289" s="370">
        <v>12286.300415039063</v>
      </c>
      <c r="I8289" s="370">
        <v>3438.7450256347656</v>
      </c>
      <c r="M8289" s="371">
        <f t="shared" si="517"/>
        <v>12758.45387340946</v>
      </c>
      <c r="N8289" s="329">
        <f t="shared" si="518"/>
        <v>0</v>
      </c>
      <c r="T8289" s="331">
        <v>0</v>
      </c>
      <c r="U8289" s="328">
        <f>VLOOKUP(C8289,METADATA!$J$5:$Q$29,IF(E8289="HI",2,IF(E8289="LO",6,10))+IF(T8289=1,2,IF(D8289=7,1,(IF(WEEKDAY(B8289)=1,2,IF(WEEKDAY(B8289)=7,1,0))))))</f>
        <v>3</v>
      </c>
      <c r="V8289" s="328">
        <f>VLOOKUP(C8289,METADATA!$A$5:$H$29,IF(E8289="HI",2,IF(E8289="LO",6,10))+IF(T8289=1,2,IF(D8289=7,1,(IF(WEEKDAY(B8289)=1,2,IF(WEEKDAY(B8289)=7,1,0))))))</f>
        <v>3</v>
      </c>
    </row>
    <row r="8290" spans="2:22">
      <c r="B8290" s="318">
        <f t="shared" si="519"/>
        <v>46458</v>
      </c>
      <c r="C8290" s="312">
        <v>6</v>
      </c>
      <c r="D8290" s="368">
        <f>IFERROR((INDEX(METADATA!$T$2:$T$20,MATCH(B8290,METADATA!$S$2:$S$20,0))),0)</f>
        <v>0</v>
      </c>
      <c r="E8290" s="312" t="str">
        <f t="shared" si="516"/>
        <v>LO</v>
      </c>
      <c r="F8290" s="369">
        <f>VLOOKUP(C8290,METADATA!$A$5:$H$29,IF(E8290="HI",2,IF(E8290="LO",6,10))+IF(D8290=1,2,IF(D8290=7,1,(IF(WEEKDAY(B8290)=1,2,IF(WEEKDAY(B8290)=7,1,0))))))</f>
        <v>2</v>
      </c>
      <c r="G8290" s="369">
        <f>VLOOKUP(C8290,METADATA!$J$5:$Q$29,IF(E8290="HI",2,IF(E8290="LO",6,10))+IF(D8290=1,2,IF(D8290=7,1,(IF(WEEKDAY(B8290)=1,2,IF(WEEKDAY(B8290)=7,1,0))))))</f>
        <v>2</v>
      </c>
      <c r="H8290" s="370">
        <v>12004.400085449219</v>
      </c>
      <c r="I8290" s="370">
        <v>3425.14990234375</v>
      </c>
      <c r="M8290" s="371">
        <f t="shared" si="517"/>
        <v>12483.480014205117</v>
      </c>
      <c r="N8290" s="329">
        <f t="shared" si="518"/>
        <v>0</v>
      </c>
      <c r="T8290" s="331">
        <v>0</v>
      </c>
      <c r="U8290" s="328">
        <f>VLOOKUP(C8290,METADATA!$J$5:$Q$29,IF(E8290="HI",2,IF(E8290="LO",6,10))+IF(T8290=1,2,IF(D8290=7,1,(IF(WEEKDAY(B8290)=1,2,IF(WEEKDAY(B8290)=7,1,0))))))</f>
        <v>2</v>
      </c>
      <c r="V8290" s="328">
        <f>VLOOKUP(C8290,METADATA!$A$5:$H$29,IF(E8290="HI",2,IF(E8290="LO",6,10))+IF(T8290=1,2,IF(D8290=7,1,(IF(WEEKDAY(B8290)=1,2,IF(WEEKDAY(B8290)=7,1,0))))))</f>
        <v>2</v>
      </c>
    </row>
    <row r="8291" spans="2:22">
      <c r="B8291" s="318">
        <f t="shared" si="519"/>
        <v>46458</v>
      </c>
      <c r="C8291" s="312">
        <v>7</v>
      </c>
      <c r="D8291" s="368">
        <f>IFERROR((INDEX(METADATA!$T$2:$T$20,MATCH(B8291,METADATA!$S$2:$S$20,0))),0)</f>
        <v>0</v>
      </c>
      <c r="E8291" s="312" t="str">
        <f t="shared" si="516"/>
        <v>LO</v>
      </c>
      <c r="F8291" s="369">
        <f>VLOOKUP(C8291,METADATA!$A$5:$H$29,IF(E8291="HI",2,IF(E8291="LO",6,10))+IF(D8291=1,2,IF(D8291=7,1,(IF(WEEKDAY(B8291)=1,2,IF(WEEKDAY(B8291)=7,1,0))))))</f>
        <v>1</v>
      </c>
      <c r="G8291" s="369">
        <f>VLOOKUP(C8291,METADATA!$J$5:$Q$29,IF(E8291="HI",2,IF(E8291="LO",6,10))+IF(D8291=1,2,IF(D8291=7,1,(IF(WEEKDAY(B8291)=1,2,IF(WEEKDAY(B8291)=7,1,0))))))</f>
        <v>1</v>
      </c>
      <c r="H8291" s="370">
        <v>12186.449829101563</v>
      </c>
      <c r="I8291" s="370">
        <v>3507.4400024414063</v>
      </c>
      <c r="M8291" s="371">
        <f t="shared" si="517"/>
        <v>12681.155105428514</v>
      </c>
      <c r="N8291" s="329">
        <f t="shared" si="518"/>
        <v>0</v>
      </c>
      <c r="T8291" s="331">
        <v>0</v>
      </c>
      <c r="U8291" s="328">
        <f>VLOOKUP(C8291,METADATA!$J$5:$Q$29,IF(E8291="HI",2,IF(E8291="LO",6,10))+IF(T8291=1,2,IF(D8291=7,1,(IF(WEEKDAY(B8291)=1,2,IF(WEEKDAY(B8291)=7,1,0))))))</f>
        <v>1</v>
      </c>
      <c r="V8291" s="328">
        <f>VLOOKUP(C8291,METADATA!$A$5:$H$29,IF(E8291="HI",2,IF(E8291="LO",6,10))+IF(T8291=1,2,IF(D8291=7,1,(IF(WEEKDAY(B8291)=1,2,IF(WEEKDAY(B8291)=7,1,0))))))</f>
        <v>1</v>
      </c>
    </row>
    <row r="8292" spans="2:22">
      <c r="B8292" s="318">
        <f t="shared" si="519"/>
        <v>46458</v>
      </c>
      <c r="C8292" s="312">
        <v>8</v>
      </c>
      <c r="D8292" s="368">
        <f>IFERROR((INDEX(METADATA!$T$2:$T$20,MATCH(B8292,METADATA!$S$2:$S$20,0))),0)</f>
        <v>0</v>
      </c>
      <c r="E8292" s="312" t="str">
        <f t="shared" si="516"/>
        <v>LO</v>
      </c>
      <c r="F8292" s="369">
        <f>VLOOKUP(C8292,METADATA!$A$5:$H$29,IF(E8292="HI",2,IF(E8292="LO",6,10))+IF(D8292=1,2,IF(D8292=7,1,(IF(WEEKDAY(B8292)=1,2,IF(WEEKDAY(B8292)=7,1,0))))))</f>
        <v>1</v>
      </c>
      <c r="G8292" s="369">
        <f>VLOOKUP(C8292,METADATA!$J$5:$Q$29,IF(E8292="HI",2,IF(E8292="LO",6,10))+IF(D8292=1,2,IF(D8292=7,1,(IF(WEEKDAY(B8292)=1,2,IF(WEEKDAY(B8292)=7,1,0))))))</f>
        <v>1</v>
      </c>
      <c r="H8292" s="370">
        <v>12419.974914550781</v>
      </c>
      <c r="I8292" s="370">
        <v>3730.7148742675781</v>
      </c>
      <c r="M8292" s="371">
        <f t="shared" si="517"/>
        <v>12968.192254556994</v>
      </c>
      <c r="N8292" s="329">
        <f t="shared" si="518"/>
        <v>4.7223999023440228</v>
      </c>
      <c r="T8292" s="331">
        <v>0</v>
      </c>
      <c r="U8292" s="328">
        <f>VLOOKUP(C8292,METADATA!$J$5:$Q$29,IF(E8292="HI",2,IF(E8292="LO",6,10))+IF(T8292=1,2,IF(D8292=7,1,(IF(WEEKDAY(B8292)=1,2,IF(WEEKDAY(B8292)=7,1,0))))))</f>
        <v>1</v>
      </c>
      <c r="V8292" s="328">
        <f>VLOOKUP(C8292,METADATA!$A$5:$H$29,IF(E8292="HI",2,IF(E8292="LO",6,10))+IF(T8292=1,2,IF(D8292=7,1,(IF(WEEKDAY(B8292)=1,2,IF(WEEKDAY(B8292)=7,1,0))))))</f>
        <v>1</v>
      </c>
    </row>
    <row r="8293" spans="2:22">
      <c r="B8293" s="318">
        <f t="shared" si="519"/>
        <v>46458</v>
      </c>
      <c r="C8293" s="312">
        <v>9</v>
      </c>
      <c r="D8293" s="368">
        <f>IFERROR((INDEX(METADATA!$T$2:$T$20,MATCH(B8293,METADATA!$S$2:$S$20,0))),0)</f>
        <v>0</v>
      </c>
      <c r="E8293" s="312" t="str">
        <f t="shared" si="516"/>
        <v>LO</v>
      </c>
      <c r="F8293" s="369">
        <f>VLOOKUP(C8293,METADATA!$A$5:$H$29,IF(E8293="HI",2,IF(E8293="LO",6,10))+IF(D8293=1,2,IF(D8293=7,1,(IF(WEEKDAY(B8293)=1,2,IF(WEEKDAY(B8293)=7,1,0))))))</f>
        <v>2</v>
      </c>
      <c r="G8293" s="369">
        <f>VLOOKUP(C8293,METADATA!$J$5:$Q$29,IF(E8293="HI",2,IF(E8293="LO",6,10))+IF(D8293=1,2,IF(D8293=7,1,(IF(WEEKDAY(B8293)=1,2,IF(WEEKDAY(B8293)=7,1,0))))))</f>
        <v>2</v>
      </c>
      <c r="H8293" s="370">
        <v>12635.77490234375</v>
      </c>
      <c r="I8293" s="370">
        <v>3835.2600708007813</v>
      </c>
      <c r="M8293" s="371">
        <f t="shared" si="517"/>
        <v>13205.00008305108</v>
      </c>
      <c r="N8293" s="329">
        <f t="shared" si="518"/>
        <v>44.527600097656432</v>
      </c>
      <c r="T8293" s="331">
        <v>0</v>
      </c>
      <c r="U8293" s="328">
        <f>VLOOKUP(C8293,METADATA!$J$5:$Q$29,IF(E8293="HI",2,IF(E8293="LO",6,10))+IF(T8293=1,2,IF(D8293=7,1,(IF(WEEKDAY(B8293)=1,2,IF(WEEKDAY(B8293)=7,1,0))))))</f>
        <v>2</v>
      </c>
      <c r="V8293" s="328">
        <f>VLOOKUP(C8293,METADATA!$A$5:$H$29,IF(E8293="HI",2,IF(E8293="LO",6,10))+IF(T8293=1,2,IF(D8293=7,1,(IF(WEEKDAY(B8293)=1,2,IF(WEEKDAY(B8293)=7,1,0))))))</f>
        <v>2</v>
      </c>
    </row>
    <row r="8294" spans="2:22">
      <c r="B8294" s="318">
        <f t="shared" si="519"/>
        <v>46458</v>
      </c>
      <c r="C8294" s="312">
        <v>10</v>
      </c>
      <c r="D8294" s="368">
        <f>IFERROR((INDEX(METADATA!$T$2:$T$20,MATCH(B8294,METADATA!$S$2:$S$20,0))),0)</f>
        <v>0</v>
      </c>
      <c r="E8294" s="312" t="str">
        <f t="shared" si="516"/>
        <v>LO</v>
      </c>
      <c r="F8294" s="369">
        <f>VLOOKUP(C8294,METADATA!$A$5:$H$29,IF(E8294="HI",2,IF(E8294="LO",6,10))+IF(D8294=1,2,IF(D8294=7,1,(IF(WEEKDAY(B8294)=1,2,IF(WEEKDAY(B8294)=7,1,0))))))</f>
        <v>2</v>
      </c>
      <c r="G8294" s="369">
        <f>VLOOKUP(C8294,METADATA!$J$5:$Q$29,IF(E8294="HI",2,IF(E8294="LO",6,10))+IF(D8294=1,2,IF(D8294=7,1,(IF(WEEKDAY(B8294)=1,2,IF(WEEKDAY(B8294)=7,1,0))))))</f>
        <v>2</v>
      </c>
      <c r="H8294" s="370">
        <v>12379.174743652344</v>
      </c>
      <c r="I8294" s="370">
        <v>3584.4599914550781</v>
      </c>
      <c r="M8294" s="371">
        <f t="shared" si="517"/>
        <v>12887.680969213283</v>
      </c>
      <c r="N8294" s="329">
        <f t="shared" si="518"/>
        <v>0</v>
      </c>
      <c r="T8294" s="331">
        <v>0</v>
      </c>
      <c r="U8294" s="328">
        <f>VLOOKUP(C8294,METADATA!$J$5:$Q$29,IF(E8294="HI",2,IF(E8294="LO",6,10))+IF(T8294=1,2,IF(D8294=7,1,(IF(WEEKDAY(B8294)=1,2,IF(WEEKDAY(B8294)=7,1,0))))))</f>
        <v>2</v>
      </c>
      <c r="V8294" s="328">
        <f>VLOOKUP(C8294,METADATA!$A$5:$H$29,IF(E8294="HI",2,IF(E8294="LO",6,10))+IF(T8294=1,2,IF(D8294=7,1,(IF(WEEKDAY(B8294)=1,2,IF(WEEKDAY(B8294)=7,1,0))))))</f>
        <v>2</v>
      </c>
    </row>
    <row r="8295" spans="2:22">
      <c r="B8295" s="318">
        <f t="shared" si="519"/>
        <v>46458</v>
      </c>
      <c r="C8295" s="312">
        <v>11</v>
      </c>
      <c r="D8295" s="368">
        <f>IFERROR((INDEX(METADATA!$T$2:$T$20,MATCH(B8295,METADATA!$S$2:$S$20,0))),0)</f>
        <v>0</v>
      </c>
      <c r="E8295" s="312" t="str">
        <f t="shared" si="516"/>
        <v>LO</v>
      </c>
      <c r="F8295" s="369">
        <f>VLOOKUP(C8295,METADATA!$A$5:$H$29,IF(E8295="HI",2,IF(E8295="LO",6,10))+IF(D8295=1,2,IF(D8295=7,1,(IF(WEEKDAY(B8295)=1,2,IF(WEEKDAY(B8295)=7,1,0))))))</f>
        <v>2</v>
      </c>
      <c r="G8295" s="369">
        <f>VLOOKUP(C8295,METADATA!$J$5:$Q$29,IF(E8295="HI",2,IF(E8295="LO",6,10))+IF(D8295=1,2,IF(D8295=7,1,(IF(WEEKDAY(B8295)=1,2,IF(WEEKDAY(B8295)=7,1,0))))))</f>
        <v>2</v>
      </c>
      <c r="H8295" s="370">
        <v>12222.225219726563</v>
      </c>
      <c r="I8295" s="370">
        <v>3362.0749359130859</v>
      </c>
      <c r="M8295" s="371">
        <f t="shared" si="517"/>
        <v>12676.211468590092</v>
      </c>
      <c r="N8295" s="329">
        <f t="shared" si="518"/>
        <v>0</v>
      </c>
      <c r="T8295" s="331">
        <v>0</v>
      </c>
      <c r="U8295" s="328">
        <f>VLOOKUP(C8295,METADATA!$J$5:$Q$29,IF(E8295="HI",2,IF(E8295="LO",6,10))+IF(T8295=1,2,IF(D8295=7,1,(IF(WEEKDAY(B8295)=1,2,IF(WEEKDAY(B8295)=7,1,0))))))</f>
        <v>2</v>
      </c>
      <c r="V8295" s="328">
        <f>VLOOKUP(C8295,METADATA!$A$5:$H$29,IF(E8295="HI",2,IF(E8295="LO",6,10))+IF(T8295=1,2,IF(D8295=7,1,(IF(WEEKDAY(B8295)=1,2,IF(WEEKDAY(B8295)=7,1,0))))))</f>
        <v>2</v>
      </c>
    </row>
    <row r="8296" spans="2:22">
      <c r="B8296" s="318">
        <f t="shared" si="519"/>
        <v>46458</v>
      </c>
      <c r="C8296" s="312">
        <v>12</v>
      </c>
      <c r="D8296" s="368">
        <f>IFERROR((INDEX(METADATA!$T$2:$T$20,MATCH(B8296,METADATA!$S$2:$S$20,0))),0)</f>
        <v>0</v>
      </c>
      <c r="E8296" s="312" t="str">
        <f t="shared" si="516"/>
        <v>LO</v>
      </c>
      <c r="F8296" s="369">
        <f>VLOOKUP(C8296,METADATA!$A$5:$H$29,IF(E8296="HI",2,IF(E8296="LO",6,10))+IF(D8296=1,2,IF(D8296=7,1,(IF(WEEKDAY(B8296)=1,2,IF(WEEKDAY(B8296)=7,1,0))))))</f>
        <v>2</v>
      </c>
      <c r="G8296" s="369">
        <f>VLOOKUP(C8296,METADATA!$J$5:$Q$29,IF(E8296="HI",2,IF(E8296="LO",6,10))+IF(D8296=1,2,IF(D8296=7,1,(IF(WEEKDAY(B8296)=1,2,IF(WEEKDAY(B8296)=7,1,0))))))</f>
        <v>2</v>
      </c>
      <c r="H8296" s="370">
        <v>11855.974975585938</v>
      </c>
      <c r="I8296" s="370">
        <v>3183.1749572753906</v>
      </c>
      <c r="M8296" s="371">
        <f t="shared" si="517"/>
        <v>12275.860272516347</v>
      </c>
      <c r="N8296" s="329">
        <f t="shared" si="518"/>
        <v>0</v>
      </c>
      <c r="T8296" s="331">
        <v>0</v>
      </c>
      <c r="U8296" s="328">
        <f>VLOOKUP(C8296,METADATA!$J$5:$Q$29,IF(E8296="HI",2,IF(E8296="LO",6,10))+IF(T8296=1,2,IF(D8296=7,1,(IF(WEEKDAY(B8296)=1,2,IF(WEEKDAY(B8296)=7,1,0))))))</f>
        <v>2</v>
      </c>
      <c r="V8296" s="328">
        <f>VLOOKUP(C8296,METADATA!$A$5:$H$29,IF(E8296="HI",2,IF(E8296="LO",6,10))+IF(T8296=1,2,IF(D8296=7,1,(IF(WEEKDAY(B8296)=1,2,IF(WEEKDAY(B8296)=7,1,0))))))</f>
        <v>2</v>
      </c>
    </row>
    <row r="8297" spans="2:22">
      <c r="B8297" s="318">
        <f t="shared" si="519"/>
        <v>46458</v>
      </c>
      <c r="C8297" s="312">
        <v>13</v>
      </c>
      <c r="D8297" s="368">
        <f>IFERROR((INDEX(METADATA!$T$2:$T$20,MATCH(B8297,METADATA!$S$2:$S$20,0))),0)</f>
        <v>0</v>
      </c>
      <c r="E8297" s="312" t="str">
        <f t="shared" si="516"/>
        <v>LO</v>
      </c>
      <c r="F8297" s="369">
        <f>VLOOKUP(C8297,METADATA!$A$5:$H$29,IF(E8297="HI",2,IF(E8297="LO",6,10))+IF(D8297=1,2,IF(D8297=7,1,(IF(WEEKDAY(B8297)=1,2,IF(WEEKDAY(B8297)=7,1,0))))))</f>
        <v>2</v>
      </c>
      <c r="G8297" s="369">
        <f>VLOOKUP(C8297,METADATA!$J$5:$Q$29,IF(E8297="HI",2,IF(E8297="LO",6,10))+IF(D8297=1,2,IF(D8297=7,1,(IF(WEEKDAY(B8297)=1,2,IF(WEEKDAY(B8297)=7,1,0))))))</f>
        <v>2</v>
      </c>
      <c r="H8297" s="370">
        <v>12252.774780273438</v>
      </c>
      <c r="I8297" s="370">
        <v>3483.050048828125</v>
      </c>
      <c r="M8297" s="371">
        <f t="shared" si="517"/>
        <v>12738.215238358409</v>
      </c>
      <c r="N8297" s="329">
        <f t="shared" si="518"/>
        <v>0</v>
      </c>
      <c r="T8297" s="331">
        <v>0</v>
      </c>
      <c r="U8297" s="328">
        <f>VLOOKUP(C8297,METADATA!$J$5:$Q$29,IF(E8297="HI",2,IF(E8297="LO",6,10))+IF(T8297=1,2,IF(D8297=7,1,(IF(WEEKDAY(B8297)=1,2,IF(WEEKDAY(B8297)=7,1,0))))))</f>
        <v>2</v>
      </c>
      <c r="V8297" s="328">
        <f>VLOOKUP(C8297,METADATA!$A$5:$H$29,IF(E8297="HI",2,IF(E8297="LO",6,10))+IF(T8297=1,2,IF(D8297=7,1,(IF(WEEKDAY(B8297)=1,2,IF(WEEKDAY(B8297)=7,1,0))))))</f>
        <v>2</v>
      </c>
    </row>
    <row r="8298" spans="2:22">
      <c r="B8298" s="318">
        <f t="shared" si="519"/>
        <v>46458</v>
      </c>
      <c r="C8298" s="312">
        <v>14</v>
      </c>
      <c r="D8298" s="368">
        <f>IFERROR((INDEX(METADATA!$T$2:$T$20,MATCH(B8298,METADATA!$S$2:$S$20,0))),0)</f>
        <v>0</v>
      </c>
      <c r="E8298" s="312" t="str">
        <f t="shared" si="516"/>
        <v>LO</v>
      </c>
      <c r="F8298" s="369">
        <f>VLOOKUP(C8298,METADATA!$A$5:$H$29,IF(E8298="HI",2,IF(E8298="LO",6,10))+IF(D8298=1,2,IF(D8298=7,1,(IF(WEEKDAY(B8298)=1,2,IF(WEEKDAY(B8298)=7,1,0))))))</f>
        <v>2</v>
      </c>
      <c r="G8298" s="369">
        <f>VLOOKUP(C8298,METADATA!$J$5:$Q$29,IF(E8298="HI",2,IF(E8298="LO",6,10))+IF(D8298=1,2,IF(D8298=7,1,(IF(WEEKDAY(B8298)=1,2,IF(WEEKDAY(B8298)=7,1,0))))))</f>
        <v>2</v>
      </c>
      <c r="H8298" s="370">
        <v>12225.700317382813</v>
      </c>
      <c r="I8298" s="370">
        <v>3588.5600280761719</v>
      </c>
      <c r="M8298" s="371">
        <f t="shared" si="517"/>
        <v>12741.487798744707</v>
      </c>
      <c r="N8298" s="329">
        <f t="shared" si="518"/>
        <v>0</v>
      </c>
      <c r="T8298" s="331">
        <v>0</v>
      </c>
      <c r="U8298" s="328">
        <f>VLOOKUP(C8298,METADATA!$J$5:$Q$29,IF(E8298="HI",2,IF(E8298="LO",6,10))+IF(T8298=1,2,IF(D8298=7,1,(IF(WEEKDAY(B8298)=1,2,IF(WEEKDAY(B8298)=7,1,0))))))</f>
        <v>2</v>
      </c>
      <c r="V8298" s="328">
        <f>VLOOKUP(C8298,METADATA!$A$5:$H$29,IF(E8298="HI",2,IF(E8298="LO",6,10))+IF(T8298=1,2,IF(D8298=7,1,(IF(WEEKDAY(B8298)=1,2,IF(WEEKDAY(B8298)=7,1,0))))))</f>
        <v>2</v>
      </c>
    </row>
    <row r="8299" spans="2:22">
      <c r="B8299" s="318">
        <f t="shared" si="519"/>
        <v>46458</v>
      </c>
      <c r="C8299" s="312">
        <v>15</v>
      </c>
      <c r="D8299" s="368">
        <f>IFERROR((INDEX(METADATA!$T$2:$T$20,MATCH(B8299,METADATA!$S$2:$S$20,0))),0)</f>
        <v>0</v>
      </c>
      <c r="E8299" s="312" t="str">
        <f t="shared" si="516"/>
        <v>LO</v>
      </c>
      <c r="F8299" s="369">
        <f>VLOOKUP(C8299,METADATA!$A$5:$H$29,IF(E8299="HI",2,IF(E8299="LO",6,10))+IF(D8299=1,2,IF(D8299=7,1,(IF(WEEKDAY(B8299)=1,2,IF(WEEKDAY(B8299)=7,1,0))))))</f>
        <v>2</v>
      </c>
      <c r="G8299" s="369">
        <f>VLOOKUP(C8299,METADATA!$J$5:$Q$29,IF(E8299="HI",2,IF(E8299="LO",6,10))+IF(D8299=1,2,IF(D8299=7,1,(IF(WEEKDAY(B8299)=1,2,IF(WEEKDAY(B8299)=7,1,0))))))</f>
        <v>2</v>
      </c>
      <c r="H8299" s="370">
        <v>12215.749816894531</v>
      </c>
      <c r="I8299" s="370">
        <v>3639.9749908447266</v>
      </c>
      <c r="M8299" s="371">
        <f t="shared" si="517"/>
        <v>12746.527429968282</v>
      </c>
      <c r="N8299" s="329">
        <f t="shared" si="518"/>
        <v>0</v>
      </c>
      <c r="T8299" s="331">
        <v>0</v>
      </c>
      <c r="U8299" s="328">
        <f>VLOOKUP(C8299,METADATA!$J$5:$Q$29,IF(E8299="HI",2,IF(E8299="LO",6,10))+IF(T8299=1,2,IF(D8299=7,1,(IF(WEEKDAY(B8299)=1,2,IF(WEEKDAY(B8299)=7,1,0))))))</f>
        <v>2</v>
      </c>
      <c r="V8299" s="328">
        <f>VLOOKUP(C8299,METADATA!$A$5:$H$29,IF(E8299="HI",2,IF(E8299="LO",6,10))+IF(T8299=1,2,IF(D8299=7,1,(IF(WEEKDAY(B8299)=1,2,IF(WEEKDAY(B8299)=7,1,0))))))</f>
        <v>2</v>
      </c>
    </row>
    <row r="8300" spans="2:22">
      <c r="B8300" s="318">
        <f t="shared" si="519"/>
        <v>46458</v>
      </c>
      <c r="C8300" s="312">
        <v>16</v>
      </c>
      <c r="D8300" s="368">
        <f>IFERROR((INDEX(METADATA!$T$2:$T$20,MATCH(B8300,METADATA!$S$2:$S$20,0))),0)</f>
        <v>0</v>
      </c>
      <c r="E8300" s="312" t="str">
        <f t="shared" si="516"/>
        <v>LO</v>
      </c>
      <c r="F8300" s="369">
        <f>VLOOKUP(C8300,METADATA!$A$5:$H$29,IF(E8300="HI",2,IF(E8300="LO",6,10))+IF(D8300=1,2,IF(D8300=7,1,(IF(WEEKDAY(B8300)=1,2,IF(WEEKDAY(B8300)=7,1,0))))))</f>
        <v>2</v>
      </c>
      <c r="G8300" s="369">
        <f>VLOOKUP(C8300,METADATA!$J$5:$Q$29,IF(E8300="HI",2,IF(E8300="LO",6,10))+IF(D8300=1,2,IF(D8300=7,1,(IF(WEEKDAY(B8300)=1,2,IF(WEEKDAY(B8300)=7,1,0))))))</f>
        <v>2</v>
      </c>
      <c r="H8300" s="370">
        <v>12251.124877929688</v>
      </c>
      <c r="I8300" s="370">
        <v>3691.89501953125</v>
      </c>
      <c r="M8300" s="371">
        <f t="shared" si="517"/>
        <v>12795.31748765412</v>
      </c>
      <c r="N8300" s="329">
        <f t="shared" si="518"/>
        <v>16.55755615234375</v>
      </c>
      <c r="T8300" s="331">
        <v>0</v>
      </c>
      <c r="U8300" s="328">
        <f>VLOOKUP(C8300,METADATA!$J$5:$Q$29,IF(E8300="HI",2,IF(E8300="LO",6,10))+IF(T8300=1,2,IF(D8300=7,1,(IF(WEEKDAY(B8300)=1,2,IF(WEEKDAY(B8300)=7,1,0))))))</f>
        <v>2</v>
      </c>
      <c r="V8300" s="328">
        <f>VLOOKUP(C8300,METADATA!$A$5:$H$29,IF(E8300="HI",2,IF(E8300="LO",6,10))+IF(T8300=1,2,IF(D8300=7,1,(IF(WEEKDAY(B8300)=1,2,IF(WEEKDAY(B8300)=7,1,0))))))</f>
        <v>2</v>
      </c>
    </row>
    <row r="8301" spans="2:22">
      <c r="B8301" s="318">
        <f t="shared" si="519"/>
        <v>46458</v>
      </c>
      <c r="C8301" s="312">
        <v>17</v>
      </c>
      <c r="D8301" s="368">
        <f>IFERROR((INDEX(METADATA!$T$2:$T$20,MATCH(B8301,METADATA!$S$2:$S$20,0))),0)</f>
        <v>0</v>
      </c>
      <c r="E8301" s="312" t="str">
        <f t="shared" si="516"/>
        <v>LO</v>
      </c>
      <c r="F8301" s="369">
        <f>VLOOKUP(C8301,METADATA!$A$5:$H$29,IF(E8301="HI",2,IF(E8301="LO",6,10))+IF(D8301=1,2,IF(D8301=7,1,(IF(WEEKDAY(B8301)=1,2,IF(WEEKDAY(B8301)=7,1,0))))))</f>
        <v>2</v>
      </c>
      <c r="G8301" s="369">
        <f>VLOOKUP(C8301,METADATA!$J$5:$Q$29,IF(E8301="HI",2,IF(E8301="LO",6,10))+IF(D8301=1,2,IF(D8301=7,1,(IF(WEEKDAY(B8301)=1,2,IF(WEEKDAY(B8301)=7,1,0))))))</f>
        <v>2</v>
      </c>
      <c r="H8301" s="370">
        <v>12332.950256347656</v>
      </c>
      <c r="I8301" s="370">
        <v>3780.9649658203125</v>
      </c>
      <c r="M8301" s="371">
        <f t="shared" si="517"/>
        <v>12899.509994503911</v>
      </c>
      <c r="N8301" s="329">
        <f t="shared" si="518"/>
        <v>81.079888916015989</v>
      </c>
      <c r="T8301" s="331">
        <v>0</v>
      </c>
      <c r="U8301" s="328">
        <f>VLOOKUP(C8301,METADATA!$J$5:$Q$29,IF(E8301="HI",2,IF(E8301="LO",6,10))+IF(T8301=1,2,IF(D8301=7,1,(IF(WEEKDAY(B8301)=1,2,IF(WEEKDAY(B8301)=7,1,0))))))</f>
        <v>2</v>
      </c>
      <c r="V8301" s="328">
        <f>VLOOKUP(C8301,METADATA!$A$5:$H$29,IF(E8301="HI",2,IF(E8301="LO",6,10))+IF(T8301=1,2,IF(D8301=7,1,(IF(WEEKDAY(B8301)=1,2,IF(WEEKDAY(B8301)=7,1,0))))))</f>
        <v>2</v>
      </c>
    </row>
    <row r="8302" spans="2:22">
      <c r="B8302" s="318">
        <f t="shared" si="519"/>
        <v>46458</v>
      </c>
      <c r="C8302" s="312">
        <v>18</v>
      </c>
      <c r="D8302" s="368">
        <f>IFERROR((INDEX(METADATA!$T$2:$T$20,MATCH(B8302,METADATA!$S$2:$S$20,0))),0)</f>
        <v>0</v>
      </c>
      <c r="E8302" s="312" t="str">
        <f t="shared" si="516"/>
        <v>LO</v>
      </c>
      <c r="F8302" s="369">
        <f>VLOOKUP(C8302,METADATA!$A$5:$H$29,IF(E8302="HI",2,IF(E8302="LO",6,10))+IF(D8302=1,2,IF(D8302=7,1,(IF(WEEKDAY(B8302)=1,2,IF(WEEKDAY(B8302)=7,1,0))))))</f>
        <v>1</v>
      </c>
      <c r="G8302" s="369">
        <f>VLOOKUP(C8302,METADATA!$J$5:$Q$29,IF(E8302="HI",2,IF(E8302="LO",6,10))+IF(D8302=1,2,IF(D8302=7,1,(IF(WEEKDAY(B8302)=1,2,IF(WEEKDAY(B8302)=7,1,0))))))</f>
        <v>1</v>
      </c>
      <c r="H8302" s="370">
        <v>12253.499877929688</v>
      </c>
      <c r="I8302" s="370">
        <v>3663.1400451660156</v>
      </c>
      <c r="M8302" s="371">
        <f t="shared" si="517"/>
        <v>12789.325793368536</v>
      </c>
      <c r="N8302" s="329">
        <f t="shared" si="518"/>
        <v>0</v>
      </c>
      <c r="T8302" s="331">
        <v>0</v>
      </c>
      <c r="U8302" s="328">
        <f>VLOOKUP(C8302,METADATA!$J$5:$Q$29,IF(E8302="HI",2,IF(E8302="LO",6,10))+IF(T8302=1,2,IF(D8302=7,1,(IF(WEEKDAY(B8302)=1,2,IF(WEEKDAY(B8302)=7,1,0))))))</f>
        <v>1</v>
      </c>
      <c r="V8302" s="328">
        <f>VLOOKUP(C8302,METADATA!$A$5:$H$29,IF(E8302="HI",2,IF(E8302="LO",6,10))+IF(T8302=1,2,IF(D8302=7,1,(IF(WEEKDAY(B8302)=1,2,IF(WEEKDAY(B8302)=7,1,0))))))</f>
        <v>1</v>
      </c>
    </row>
    <row r="8303" spans="2:22">
      <c r="B8303" s="318">
        <f t="shared" si="519"/>
        <v>46458</v>
      </c>
      <c r="C8303" s="312">
        <v>19</v>
      </c>
      <c r="D8303" s="368">
        <f>IFERROR((INDEX(METADATA!$T$2:$T$20,MATCH(B8303,METADATA!$S$2:$S$20,0))),0)</f>
        <v>0</v>
      </c>
      <c r="E8303" s="312" t="str">
        <f t="shared" si="516"/>
        <v>LO</v>
      </c>
      <c r="F8303" s="369">
        <f>VLOOKUP(C8303,METADATA!$A$5:$H$29,IF(E8303="HI",2,IF(E8303="LO",6,10))+IF(D8303=1,2,IF(D8303=7,1,(IF(WEEKDAY(B8303)=1,2,IF(WEEKDAY(B8303)=7,1,0))))))</f>
        <v>1</v>
      </c>
      <c r="G8303" s="369">
        <f>VLOOKUP(C8303,METADATA!$J$5:$Q$29,IF(E8303="HI",2,IF(E8303="LO",6,10))+IF(D8303=1,2,IF(D8303=7,1,(IF(WEEKDAY(B8303)=1,2,IF(WEEKDAY(B8303)=7,1,0))))))</f>
        <v>1</v>
      </c>
      <c r="H8303" s="370">
        <v>12253.675476074219</v>
      </c>
      <c r="I8303" s="370">
        <v>3535.6750183105469</v>
      </c>
      <c r="M8303" s="371">
        <f t="shared" si="517"/>
        <v>12753.570500375492</v>
      </c>
      <c r="N8303" s="329">
        <f t="shared" si="518"/>
        <v>0</v>
      </c>
      <c r="T8303" s="331">
        <v>0</v>
      </c>
      <c r="U8303" s="328">
        <f>VLOOKUP(C8303,METADATA!$J$5:$Q$29,IF(E8303="HI",2,IF(E8303="LO",6,10))+IF(T8303=1,2,IF(D8303=7,1,(IF(WEEKDAY(B8303)=1,2,IF(WEEKDAY(B8303)=7,1,0))))))</f>
        <v>1</v>
      </c>
      <c r="V8303" s="328">
        <f>VLOOKUP(C8303,METADATA!$A$5:$H$29,IF(E8303="HI",2,IF(E8303="LO",6,10))+IF(T8303=1,2,IF(D8303=7,1,(IF(WEEKDAY(B8303)=1,2,IF(WEEKDAY(B8303)=7,1,0))))))</f>
        <v>1</v>
      </c>
    </row>
    <row r="8304" spans="2:22">
      <c r="B8304" s="318">
        <f t="shared" si="519"/>
        <v>46458</v>
      </c>
      <c r="C8304" s="312">
        <v>20</v>
      </c>
      <c r="D8304" s="368">
        <f>IFERROR((INDEX(METADATA!$T$2:$T$20,MATCH(B8304,METADATA!$S$2:$S$20,0))),0)</f>
        <v>0</v>
      </c>
      <c r="E8304" s="312" t="str">
        <f t="shared" si="516"/>
        <v>LO</v>
      </c>
      <c r="F8304" s="369">
        <f>VLOOKUP(C8304,METADATA!$A$5:$H$29,IF(E8304="HI",2,IF(E8304="LO",6,10))+IF(D8304=1,2,IF(D8304=7,1,(IF(WEEKDAY(B8304)=1,2,IF(WEEKDAY(B8304)=7,1,0))))))</f>
        <v>1</v>
      </c>
      <c r="G8304" s="369">
        <f>VLOOKUP(C8304,METADATA!$J$5:$Q$29,IF(E8304="HI",2,IF(E8304="LO",6,10))+IF(D8304=1,2,IF(D8304=7,1,(IF(WEEKDAY(B8304)=1,2,IF(WEEKDAY(B8304)=7,1,0))))))</f>
        <v>1</v>
      </c>
      <c r="H8304" s="370">
        <v>12043.874694824219</v>
      </c>
      <c r="I8304" s="370">
        <v>3407.8449096679688</v>
      </c>
      <c r="M8304" s="371">
        <f t="shared" si="517"/>
        <v>12516.721798976641</v>
      </c>
      <c r="N8304" s="329">
        <f t="shared" si="518"/>
        <v>0</v>
      </c>
      <c r="T8304" s="331">
        <v>0</v>
      </c>
      <c r="U8304" s="328">
        <f>VLOOKUP(C8304,METADATA!$J$5:$Q$29,IF(E8304="HI",2,IF(E8304="LO",6,10))+IF(T8304=1,2,IF(D8304=7,1,(IF(WEEKDAY(B8304)=1,2,IF(WEEKDAY(B8304)=7,1,0))))))</f>
        <v>1</v>
      </c>
      <c r="V8304" s="328">
        <f>VLOOKUP(C8304,METADATA!$A$5:$H$29,IF(E8304="HI",2,IF(E8304="LO",6,10))+IF(T8304=1,2,IF(D8304=7,1,(IF(WEEKDAY(B8304)=1,2,IF(WEEKDAY(B8304)=7,1,0))))))</f>
        <v>1</v>
      </c>
    </row>
    <row r="8305" spans="2:22">
      <c r="B8305" s="318">
        <f t="shared" si="519"/>
        <v>46458</v>
      </c>
      <c r="C8305" s="312">
        <v>21</v>
      </c>
      <c r="D8305" s="368">
        <f>IFERROR((INDEX(METADATA!$T$2:$T$20,MATCH(B8305,METADATA!$S$2:$S$20,0))),0)</f>
        <v>0</v>
      </c>
      <c r="E8305" s="312" t="str">
        <f t="shared" si="516"/>
        <v>LO</v>
      </c>
      <c r="F8305" s="369">
        <f>VLOOKUP(C8305,METADATA!$A$5:$H$29,IF(E8305="HI",2,IF(E8305="LO",6,10))+IF(D8305=1,2,IF(D8305=7,1,(IF(WEEKDAY(B8305)=1,2,IF(WEEKDAY(B8305)=7,1,0))))))</f>
        <v>2</v>
      </c>
      <c r="G8305" s="369">
        <f>VLOOKUP(C8305,METADATA!$J$5:$Q$29,IF(E8305="HI",2,IF(E8305="LO",6,10))+IF(D8305=1,2,IF(D8305=7,1,(IF(WEEKDAY(B8305)=1,2,IF(WEEKDAY(B8305)=7,1,0))))))</f>
        <v>2</v>
      </c>
      <c r="H8305" s="370">
        <v>11706.6748046875</v>
      </c>
      <c r="I8305" s="370">
        <v>3141.2349319458008</v>
      </c>
      <c r="M8305" s="371">
        <f t="shared" si="517"/>
        <v>12120.791718381339</v>
      </c>
      <c r="N8305" s="329">
        <f t="shared" si="518"/>
        <v>0</v>
      </c>
      <c r="T8305" s="331">
        <v>0</v>
      </c>
      <c r="U8305" s="328">
        <f>VLOOKUP(C8305,METADATA!$J$5:$Q$29,IF(E8305="HI",2,IF(E8305="LO",6,10))+IF(T8305=1,2,IF(D8305=7,1,(IF(WEEKDAY(B8305)=1,2,IF(WEEKDAY(B8305)=7,1,0))))))</f>
        <v>2</v>
      </c>
      <c r="V8305" s="328">
        <f>VLOOKUP(C8305,METADATA!$A$5:$H$29,IF(E8305="HI",2,IF(E8305="LO",6,10))+IF(T8305=1,2,IF(D8305=7,1,(IF(WEEKDAY(B8305)=1,2,IF(WEEKDAY(B8305)=7,1,0))))))</f>
        <v>2</v>
      </c>
    </row>
    <row r="8306" spans="2:22">
      <c r="B8306" s="318">
        <f t="shared" si="519"/>
        <v>46458</v>
      </c>
      <c r="C8306" s="312">
        <v>22</v>
      </c>
      <c r="D8306" s="368">
        <f>IFERROR((INDEX(METADATA!$T$2:$T$20,MATCH(B8306,METADATA!$S$2:$S$20,0))),0)</f>
        <v>0</v>
      </c>
      <c r="E8306" s="312" t="str">
        <f t="shared" si="516"/>
        <v>LO</v>
      </c>
      <c r="F8306" s="369">
        <f>VLOOKUP(C8306,METADATA!$A$5:$H$29,IF(E8306="HI",2,IF(E8306="LO",6,10))+IF(D8306=1,2,IF(D8306=7,1,(IF(WEEKDAY(B8306)=1,2,IF(WEEKDAY(B8306)=7,1,0))))))</f>
        <v>3</v>
      </c>
      <c r="G8306" s="369">
        <f>VLOOKUP(C8306,METADATA!$J$5:$Q$29,IF(E8306="HI",2,IF(E8306="LO",6,10))+IF(D8306=1,2,IF(D8306=7,1,(IF(WEEKDAY(B8306)=1,2,IF(WEEKDAY(B8306)=7,1,0))))))</f>
        <v>3</v>
      </c>
      <c r="H8306" s="370">
        <v>12099.750244140625</v>
      </c>
      <c r="I8306" s="370">
        <v>3562.6849517822266</v>
      </c>
      <c r="M8306" s="371">
        <f t="shared" si="517"/>
        <v>12613.353243140249</v>
      </c>
      <c r="N8306" s="329">
        <f t="shared" si="518"/>
        <v>0</v>
      </c>
      <c r="T8306" s="331">
        <v>0</v>
      </c>
      <c r="U8306" s="328">
        <f>VLOOKUP(C8306,METADATA!$J$5:$Q$29,IF(E8306="HI",2,IF(E8306="LO",6,10))+IF(T8306=1,2,IF(D8306=7,1,(IF(WEEKDAY(B8306)=1,2,IF(WEEKDAY(B8306)=7,1,0))))))</f>
        <v>3</v>
      </c>
      <c r="V8306" s="328">
        <f>VLOOKUP(C8306,METADATA!$A$5:$H$29,IF(E8306="HI",2,IF(E8306="LO",6,10))+IF(T8306=1,2,IF(D8306=7,1,(IF(WEEKDAY(B8306)=1,2,IF(WEEKDAY(B8306)=7,1,0))))))</f>
        <v>3</v>
      </c>
    </row>
    <row r="8307" spans="2:22">
      <c r="B8307" s="318">
        <f t="shared" si="519"/>
        <v>46458</v>
      </c>
      <c r="C8307" s="312">
        <v>23</v>
      </c>
      <c r="D8307" s="368">
        <f>IFERROR((INDEX(METADATA!$T$2:$T$20,MATCH(B8307,METADATA!$S$2:$S$20,0))),0)</f>
        <v>0</v>
      </c>
      <c r="E8307" s="312" t="str">
        <f t="shared" si="516"/>
        <v>LO</v>
      </c>
      <c r="F8307" s="369">
        <f>VLOOKUP(C8307,METADATA!$A$5:$H$29,IF(E8307="HI",2,IF(E8307="LO",6,10))+IF(D8307=1,2,IF(D8307=7,1,(IF(WEEKDAY(B8307)=1,2,IF(WEEKDAY(B8307)=7,1,0))))))</f>
        <v>3</v>
      </c>
      <c r="G8307" s="369">
        <f>VLOOKUP(C8307,METADATA!$J$5:$Q$29,IF(E8307="HI",2,IF(E8307="LO",6,10))+IF(D8307=1,2,IF(D8307=7,1,(IF(WEEKDAY(B8307)=1,2,IF(WEEKDAY(B8307)=7,1,0))))))</f>
        <v>3</v>
      </c>
      <c r="H8307" s="370">
        <v>12193.349975585938</v>
      </c>
      <c r="I8307" s="370">
        <v>3675.3300170898438</v>
      </c>
      <c r="M8307" s="371">
        <f t="shared" si="517"/>
        <v>12735.220232161013</v>
      </c>
      <c r="N8307" s="329">
        <f t="shared" si="518"/>
        <v>17.325024414062682</v>
      </c>
      <c r="T8307" s="331">
        <v>0</v>
      </c>
      <c r="U8307" s="328">
        <f>VLOOKUP(C8307,METADATA!$J$5:$Q$29,IF(E8307="HI",2,IF(E8307="LO",6,10))+IF(T8307=1,2,IF(D8307=7,1,(IF(WEEKDAY(B8307)=1,2,IF(WEEKDAY(B8307)=7,1,0))))))</f>
        <v>3</v>
      </c>
      <c r="V8307" s="328">
        <f>VLOOKUP(C8307,METADATA!$A$5:$H$29,IF(E8307="HI",2,IF(E8307="LO",6,10))+IF(T8307=1,2,IF(D8307=7,1,(IF(WEEKDAY(B8307)=1,2,IF(WEEKDAY(B8307)=7,1,0))))))</f>
        <v>3</v>
      </c>
    </row>
    <row r="8308" spans="2:22">
      <c r="B8308" s="318">
        <f t="shared" si="519"/>
        <v>46459</v>
      </c>
      <c r="C8308" s="312">
        <v>0</v>
      </c>
      <c r="D8308" s="368">
        <f>IFERROR((INDEX(METADATA!$T$2:$T$20,MATCH(B8308,METADATA!$S$2:$S$20,0))),0)</f>
        <v>0</v>
      </c>
      <c r="E8308" s="312" t="str">
        <f t="shared" si="516"/>
        <v>LO</v>
      </c>
      <c r="F8308" s="369">
        <f>VLOOKUP(C8308,METADATA!$A$5:$H$29,IF(E8308="HI",2,IF(E8308="LO",6,10))+IF(D8308=1,2,IF(D8308=7,1,(IF(WEEKDAY(B8308)=1,2,IF(WEEKDAY(B8308)=7,1,0))))))</f>
        <v>3</v>
      </c>
      <c r="G8308" s="369">
        <f>VLOOKUP(C8308,METADATA!$J$5:$Q$29,IF(E8308="HI",2,IF(E8308="LO",6,10))+IF(D8308=1,2,IF(D8308=7,1,(IF(WEEKDAY(B8308)=1,2,IF(WEEKDAY(B8308)=7,1,0))))))</f>
        <v>3</v>
      </c>
      <c r="H8308" s="370">
        <v>12220.450012207031</v>
      </c>
      <c r="I8308" s="370">
        <v>3641.6799926757813</v>
      </c>
      <c r="M8308" s="371">
        <f t="shared" si="517"/>
        <v>12751.518798555171</v>
      </c>
      <c r="N8308" s="329">
        <f t="shared" si="518"/>
        <v>0</v>
      </c>
      <c r="T8308" s="331">
        <v>0</v>
      </c>
      <c r="U8308" s="328">
        <f>VLOOKUP(C8308,METADATA!$J$5:$Q$29,IF(E8308="HI",2,IF(E8308="LO",6,10))+IF(T8308=1,2,IF(D8308=7,1,(IF(WEEKDAY(B8308)=1,2,IF(WEEKDAY(B8308)=7,1,0))))))</f>
        <v>3</v>
      </c>
      <c r="V8308" s="328">
        <f>VLOOKUP(C8308,METADATA!$A$5:$H$29,IF(E8308="HI",2,IF(E8308="LO",6,10))+IF(T8308=1,2,IF(D8308=7,1,(IF(WEEKDAY(B8308)=1,2,IF(WEEKDAY(B8308)=7,1,0))))))</f>
        <v>3</v>
      </c>
    </row>
    <row r="8309" spans="2:22">
      <c r="B8309" s="318">
        <f t="shared" si="519"/>
        <v>46459</v>
      </c>
      <c r="C8309" s="312">
        <v>1</v>
      </c>
      <c r="D8309" s="368">
        <f>IFERROR((INDEX(METADATA!$T$2:$T$20,MATCH(B8309,METADATA!$S$2:$S$20,0))),0)</f>
        <v>0</v>
      </c>
      <c r="E8309" s="312" t="str">
        <f t="shared" si="516"/>
        <v>LO</v>
      </c>
      <c r="F8309" s="369">
        <f>VLOOKUP(C8309,METADATA!$A$5:$H$29,IF(E8309="HI",2,IF(E8309="LO",6,10))+IF(D8309=1,2,IF(D8309=7,1,(IF(WEEKDAY(B8309)=1,2,IF(WEEKDAY(B8309)=7,1,0))))))</f>
        <v>3</v>
      </c>
      <c r="G8309" s="369">
        <f>VLOOKUP(C8309,METADATA!$J$5:$Q$29,IF(E8309="HI",2,IF(E8309="LO",6,10))+IF(D8309=1,2,IF(D8309=7,1,(IF(WEEKDAY(B8309)=1,2,IF(WEEKDAY(B8309)=7,1,0))))))</f>
        <v>3</v>
      </c>
      <c r="H8309" s="370">
        <v>12261.452514648438</v>
      </c>
      <c r="I8309" s="370">
        <v>3658.5799560546875</v>
      </c>
      <c r="M8309" s="371">
        <f t="shared" si="517"/>
        <v>12795.640861786625</v>
      </c>
      <c r="N8309" s="329">
        <f t="shared" si="518"/>
        <v>0</v>
      </c>
      <c r="T8309" s="331">
        <v>0</v>
      </c>
      <c r="U8309" s="328">
        <f>VLOOKUP(C8309,METADATA!$J$5:$Q$29,IF(E8309="HI",2,IF(E8309="LO",6,10))+IF(T8309=1,2,IF(D8309=7,1,(IF(WEEKDAY(B8309)=1,2,IF(WEEKDAY(B8309)=7,1,0))))))</f>
        <v>3</v>
      </c>
      <c r="V8309" s="328">
        <f>VLOOKUP(C8309,METADATA!$A$5:$H$29,IF(E8309="HI",2,IF(E8309="LO",6,10))+IF(T8309=1,2,IF(D8309=7,1,(IF(WEEKDAY(B8309)=1,2,IF(WEEKDAY(B8309)=7,1,0))))))</f>
        <v>3</v>
      </c>
    </row>
    <row r="8310" spans="2:22">
      <c r="B8310" s="318">
        <f t="shared" si="519"/>
        <v>46459</v>
      </c>
      <c r="C8310" s="312">
        <v>2</v>
      </c>
      <c r="D8310" s="368">
        <f>IFERROR((INDEX(METADATA!$T$2:$T$20,MATCH(B8310,METADATA!$S$2:$S$20,0))),0)</f>
        <v>0</v>
      </c>
      <c r="E8310" s="312" t="str">
        <f t="shared" si="516"/>
        <v>LO</v>
      </c>
      <c r="F8310" s="369">
        <f>VLOOKUP(C8310,METADATA!$A$5:$H$29,IF(E8310="HI",2,IF(E8310="LO",6,10))+IF(D8310=1,2,IF(D8310=7,1,(IF(WEEKDAY(B8310)=1,2,IF(WEEKDAY(B8310)=7,1,0))))))</f>
        <v>3</v>
      </c>
      <c r="G8310" s="369">
        <f>VLOOKUP(C8310,METADATA!$J$5:$Q$29,IF(E8310="HI",2,IF(E8310="LO",6,10))+IF(D8310=1,2,IF(D8310=7,1,(IF(WEEKDAY(B8310)=1,2,IF(WEEKDAY(B8310)=7,1,0))))))</f>
        <v>3</v>
      </c>
      <c r="H8310" s="370">
        <v>12167.69970703125</v>
      </c>
      <c r="I8310" s="370">
        <v>3512.5349273681641</v>
      </c>
      <c r="M8310" s="371">
        <f t="shared" si="517"/>
        <v>12664.549647597803</v>
      </c>
      <c r="N8310" s="329">
        <f t="shared" si="518"/>
        <v>0</v>
      </c>
      <c r="T8310" s="331">
        <v>0</v>
      </c>
      <c r="U8310" s="328">
        <f>VLOOKUP(C8310,METADATA!$J$5:$Q$29,IF(E8310="HI",2,IF(E8310="LO",6,10))+IF(T8310=1,2,IF(D8310=7,1,(IF(WEEKDAY(B8310)=1,2,IF(WEEKDAY(B8310)=7,1,0))))))</f>
        <v>3</v>
      </c>
      <c r="V8310" s="328">
        <f>VLOOKUP(C8310,METADATA!$A$5:$H$29,IF(E8310="HI",2,IF(E8310="LO",6,10))+IF(T8310=1,2,IF(D8310=7,1,(IF(WEEKDAY(B8310)=1,2,IF(WEEKDAY(B8310)=7,1,0))))))</f>
        <v>3</v>
      </c>
    </row>
    <row r="8311" spans="2:22">
      <c r="B8311" s="318">
        <f t="shared" si="519"/>
        <v>46459</v>
      </c>
      <c r="C8311" s="312">
        <v>3</v>
      </c>
      <c r="D8311" s="368">
        <f>IFERROR((INDEX(METADATA!$T$2:$T$20,MATCH(B8311,METADATA!$S$2:$S$20,0))),0)</f>
        <v>0</v>
      </c>
      <c r="E8311" s="312" t="str">
        <f t="shared" si="516"/>
        <v>LO</v>
      </c>
      <c r="F8311" s="369">
        <f>VLOOKUP(C8311,METADATA!$A$5:$H$29,IF(E8311="HI",2,IF(E8311="LO",6,10))+IF(D8311=1,2,IF(D8311=7,1,(IF(WEEKDAY(B8311)=1,2,IF(WEEKDAY(B8311)=7,1,0))))))</f>
        <v>3</v>
      </c>
      <c r="G8311" s="369">
        <f>VLOOKUP(C8311,METADATA!$J$5:$Q$29,IF(E8311="HI",2,IF(E8311="LO",6,10))+IF(D8311=1,2,IF(D8311=7,1,(IF(WEEKDAY(B8311)=1,2,IF(WEEKDAY(B8311)=7,1,0))))))</f>
        <v>3</v>
      </c>
      <c r="H8311" s="370">
        <v>12169.924926757813</v>
      </c>
      <c r="I8311" s="370">
        <v>3497.1499938964844</v>
      </c>
      <c r="M8311" s="371">
        <f t="shared" si="517"/>
        <v>12662.429893299757</v>
      </c>
      <c r="N8311" s="329">
        <f t="shared" si="518"/>
        <v>0</v>
      </c>
      <c r="T8311" s="331">
        <v>0</v>
      </c>
      <c r="U8311" s="328">
        <f>VLOOKUP(C8311,METADATA!$J$5:$Q$29,IF(E8311="HI",2,IF(E8311="LO",6,10))+IF(T8311=1,2,IF(D8311=7,1,(IF(WEEKDAY(B8311)=1,2,IF(WEEKDAY(B8311)=7,1,0))))))</f>
        <v>3</v>
      </c>
      <c r="V8311" s="328">
        <f>VLOOKUP(C8311,METADATA!$A$5:$H$29,IF(E8311="HI",2,IF(E8311="LO",6,10))+IF(T8311=1,2,IF(D8311=7,1,(IF(WEEKDAY(B8311)=1,2,IF(WEEKDAY(B8311)=7,1,0))))))</f>
        <v>3</v>
      </c>
    </row>
    <row r="8312" spans="2:22">
      <c r="B8312" s="318">
        <f t="shared" si="519"/>
        <v>46459</v>
      </c>
      <c r="C8312" s="312">
        <v>4</v>
      </c>
      <c r="D8312" s="368">
        <f>IFERROR((INDEX(METADATA!$T$2:$T$20,MATCH(B8312,METADATA!$S$2:$S$20,0))),0)</f>
        <v>0</v>
      </c>
      <c r="E8312" s="312" t="str">
        <f t="shared" si="516"/>
        <v>LO</v>
      </c>
      <c r="F8312" s="369">
        <f>VLOOKUP(C8312,METADATA!$A$5:$H$29,IF(E8312="HI",2,IF(E8312="LO",6,10))+IF(D8312=1,2,IF(D8312=7,1,(IF(WEEKDAY(B8312)=1,2,IF(WEEKDAY(B8312)=7,1,0))))))</f>
        <v>3</v>
      </c>
      <c r="G8312" s="369">
        <f>VLOOKUP(C8312,METADATA!$J$5:$Q$29,IF(E8312="HI",2,IF(E8312="LO",6,10))+IF(D8312=1,2,IF(D8312=7,1,(IF(WEEKDAY(B8312)=1,2,IF(WEEKDAY(B8312)=7,1,0))))))</f>
        <v>3</v>
      </c>
      <c r="H8312" s="370">
        <v>12131.100036621094</v>
      </c>
      <c r="I8312" s="370">
        <v>3506.4249725341797</v>
      </c>
      <c r="M8312" s="371">
        <f t="shared" si="517"/>
        <v>12627.691958015115</v>
      </c>
      <c r="N8312" s="329">
        <f t="shared" si="518"/>
        <v>0</v>
      </c>
      <c r="T8312" s="331">
        <v>0</v>
      </c>
      <c r="U8312" s="328">
        <f>VLOOKUP(C8312,METADATA!$J$5:$Q$29,IF(E8312="HI",2,IF(E8312="LO",6,10))+IF(T8312=1,2,IF(D8312=7,1,(IF(WEEKDAY(B8312)=1,2,IF(WEEKDAY(B8312)=7,1,0))))))</f>
        <v>3</v>
      </c>
      <c r="V8312" s="328">
        <f>VLOOKUP(C8312,METADATA!$A$5:$H$29,IF(E8312="HI",2,IF(E8312="LO",6,10))+IF(T8312=1,2,IF(D8312=7,1,(IF(WEEKDAY(B8312)=1,2,IF(WEEKDAY(B8312)=7,1,0))))))</f>
        <v>3</v>
      </c>
    </row>
    <row r="8313" spans="2:22">
      <c r="B8313" s="318">
        <f t="shared" si="519"/>
        <v>46459</v>
      </c>
      <c r="C8313" s="312">
        <v>5</v>
      </c>
      <c r="D8313" s="368">
        <f>IFERROR((INDEX(METADATA!$T$2:$T$20,MATCH(B8313,METADATA!$S$2:$S$20,0))),0)</f>
        <v>0</v>
      </c>
      <c r="E8313" s="312" t="str">
        <f t="shared" si="516"/>
        <v>LO</v>
      </c>
      <c r="F8313" s="369">
        <f>VLOOKUP(C8313,METADATA!$A$5:$H$29,IF(E8313="HI",2,IF(E8313="LO",6,10))+IF(D8313=1,2,IF(D8313=7,1,(IF(WEEKDAY(B8313)=1,2,IF(WEEKDAY(B8313)=7,1,0))))))</f>
        <v>3</v>
      </c>
      <c r="G8313" s="369">
        <f>VLOOKUP(C8313,METADATA!$J$5:$Q$29,IF(E8313="HI",2,IF(E8313="LO",6,10))+IF(D8313=1,2,IF(D8313=7,1,(IF(WEEKDAY(B8313)=1,2,IF(WEEKDAY(B8313)=7,1,0))))))</f>
        <v>3</v>
      </c>
      <c r="H8313" s="370">
        <v>12336.549987792969</v>
      </c>
      <c r="I8313" s="370">
        <v>3619.8799285888672</v>
      </c>
      <c r="M8313" s="371">
        <f t="shared" si="517"/>
        <v>12856.671275984123</v>
      </c>
      <c r="N8313" s="329">
        <f t="shared" si="518"/>
        <v>0</v>
      </c>
      <c r="T8313" s="331">
        <v>0</v>
      </c>
      <c r="U8313" s="328">
        <f>VLOOKUP(C8313,METADATA!$J$5:$Q$29,IF(E8313="HI",2,IF(E8313="LO",6,10))+IF(T8313=1,2,IF(D8313=7,1,(IF(WEEKDAY(B8313)=1,2,IF(WEEKDAY(B8313)=7,1,0))))))</f>
        <v>3</v>
      </c>
      <c r="V8313" s="328">
        <f>VLOOKUP(C8313,METADATA!$A$5:$H$29,IF(E8313="HI",2,IF(E8313="LO",6,10))+IF(T8313=1,2,IF(D8313=7,1,(IF(WEEKDAY(B8313)=1,2,IF(WEEKDAY(B8313)=7,1,0))))))</f>
        <v>3</v>
      </c>
    </row>
    <row r="8314" spans="2:22">
      <c r="B8314" s="318">
        <f t="shared" si="519"/>
        <v>46459</v>
      </c>
      <c r="C8314" s="312">
        <v>6</v>
      </c>
      <c r="D8314" s="368">
        <f>IFERROR((INDEX(METADATA!$T$2:$T$20,MATCH(B8314,METADATA!$S$2:$S$20,0))),0)</f>
        <v>0</v>
      </c>
      <c r="E8314" s="312" t="str">
        <f t="shared" si="516"/>
        <v>LO</v>
      </c>
      <c r="F8314" s="369">
        <f>VLOOKUP(C8314,METADATA!$A$5:$H$29,IF(E8314="HI",2,IF(E8314="LO",6,10))+IF(D8314=1,2,IF(D8314=7,1,(IF(WEEKDAY(B8314)=1,2,IF(WEEKDAY(B8314)=7,1,0))))))</f>
        <v>3</v>
      </c>
      <c r="G8314" s="369">
        <f>VLOOKUP(C8314,METADATA!$J$5:$Q$29,IF(E8314="HI",2,IF(E8314="LO",6,10))+IF(D8314=1,2,IF(D8314=7,1,(IF(WEEKDAY(B8314)=1,2,IF(WEEKDAY(B8314)=7,1,0))))))</f>
        <v>3</v>
      </c>
      <c r="H8314" s="370">
        <v>12191.749877929688</v>
      </c>
      <c r="I8314" s="370">
        <v>3624.4800415039063</v>
      </c>
      <c r="M8314" s="371">
        <f t="shared" si="517"/>
        <v>12719.104554065852</v>
      </c>
      <c r="N8314" s="329">
        <f t="shared" si="518"/>
        <v>0</v>
      </c>
      <c r="T8314" s="331">
        <v>0</v>
      </c>
      <c r="U8314" s="328">
        <f>VLOOKUP(C8314,METADATA!$J$5:$Q$29,IF(E8314="HI",2,IF(E8314="LO",6,10))+IF(T8314=1,2,IF(D8314=7,1,(IF(WEEKDAY(B8314)=1,2,IF(WEEKDAY(B8314)=7,1,0))))))</f>
        <v>3</v>
      </c>
      <c r="V8314" s="328">
        <f>VLOOKUP(C8314,METADATA!$A$5:$H$29,IF(E8314="HI",2,IF(E8314="LO",6,10))+IF(T8314=1,2,IF(D8314=7,1,(IF(WEEKDAY(B8314)=1,2,IF(WEEKDAY(B8314)=7,1,0))))))</f>
        <v>3</v>
      </c>
    </row>
    <row r="8315" spans="2:22">
      <c r="B8315" s="318">
        <f t="shared" si="519"/>
        <v>46459</v>
      </c>
      <c r="C8315" s="312">
        <v>7</v>
      </c>
      <c r="D8315" s="368">
        <f>IFERROR((INDEX(METADATA!$T$2:$T$20,MATCH(B8315,METADATA!$S$2:$S$20,0))),0)</f>
        <v>0</v>
      </c>
      <c r="E8315" s="312" t="str">
        <f t="shared" si="516"/>
        <v>LO</v>
      </c>
      <c r="F8315" s="369">
        <f>VLOOKUP(C8315,METADATA!$A$5:$H$29,IF(E8315="HI",2,IF(E8315="LO",6,10))+IF(D8315=1,2,IF(D8315=7,1,(IF(WEEKDAY(B8315)=1,2,IF(WEEKDAY(B8315)=7,1,0))))))</f>
        <v>2</v>
      </c>
      <c r="G8315" s="369">
        <f>VLOOKUP(C8315,METADATA!$J$5:$Q$29,IF(E8315="HI",2,IF(E8315="LO",6,10))+IF(D8315=1,2,IF(D8315=7,1,(IF(WEEKDAY(B8315)=1,2,IF(WEEKDAY(B8315)=7,1,0))))))</f>
        <v>2</v>
      </c>
      <c r="H8315" s="370">
        <v>12332.250122070313</v>
      </c>
      <c r="I8315" s="370">
        <v>3656.9249877929688</v>
      </c>
      <c r="M8315" s="371">
        <f t="shared" si="517"/>
        <v>12863.028159793783</v>
      </c>
      <c r="N8315" s="329">
        <f t="shared" si="518"/>
        <v>0</v>
      </c>
      <c r="T8315" s="331">
        <v>0</v>
      </c>
      <c r="U8315" s="328">
        <f>VLOOKUP(C8315,METADATA!$J$5:$Q$29,IF(E8315="HI",2,IF(E8315="LO",6,10))+IF(T8315=1,2,IF(D8315=7,1,(IF(WEEKDAY(B8315)=1,2,IF(WEEKDAY(B8315)=7,1,0))))))</f>
        <v>2</v>
      </c>
      <c r="V8315" s="328">
        <f>VLOOKUP(C8315,METADATA!$A$5:$H$29,IF(E8315="HI",2,IF(E8315="LO",6,10))+IF(T8315=1,2,IF(D8315=7,1,(IF(WEEKDAY(B8315)=1,2,IF(WEEKDAY(B8315)=7,1,0))))))</f>
        <v>2</v>
      </c>
    </row>
    <row r="8316" spans="2:22">
      <c r="B8316" s="318">
        <f t="shared" si="519"/>
        <v>46459</v>
      </c>
      <c r="C8316" s="312">
        <v>8</v>
      </c>
      <c r="D8316" s="368">
        <f>IFERROR((INDEX(METADATA!$T$2:$T$20,MATCH(B8316,METADATA!$S$2:$S$20,0))),0)</f>
        <v>0</v>
      </c>
      <c r="E8316" s="312" t="str">
        <f t="shared" si="516"/>
        <v>LO</v>
      </c>
      <c r="F8316" s="369">
        <f>VLOOKUP(C8316,METADATA!$A$5:$H$29,IF(E8316="HI",2,IF(E8316="LO",6,10))+IF(D8316=1,2,IF(D8316=7,1,(IF(WEEKDAY(B8316)=1,2,IF(WEEKDAY(B8316)=7,1,0))))))</f>
        <v>2</v>
      </c>
      <c r="G8316" s="369">
        <f>VLOOKUP(C8316,METADATA!$J$5:$Q$29,IF(E8316="HI",2,IF(E8316="LO",6,10))+IF(D8316=1,2,IF(D8316=7,1,(IF(WEEKDAY(B8316)=1,2,IF(WEEKDAY(B8316)=7,1,0))))))</f>
        <v>2</v>
      </c>
      <c r="H8316" s="370">
        <v>12434.82470703125</v>
      </c>
      <c r="I8316" s="370">
        <v>3669.5049438476563</v>
      </c>
      <c r="M8316" s="371">
        <f t="shared" si="517"/>
        <v>12964.95784904514</v>
      </c>
      <c r="N8316" s="329">
        <f t="shared" si="518"/>
        <v>0</v>
      </c>
      <c r="T8316" s="331">
        <v>0</v>
      </c>
      <c r="U8316" s="328">
        <f>VLOOKUP(C8316,METADATA!$J$5:$Q$29,IF(E8316="HI",2,IF(E8316="LO",6,10))+IF(T8316=1,2,IF(D8316=7,1,(IF(WEEKDAY(B8316)=1,2,IF(WEEKDAY(B8316)=7,1,0))))))</f>
        <v>2</v>
      </c>
      <c r="V8316" s="328">
        <f>VLOOKUP(C8316,METADATA!$A$5:$H$29,IF(E8316="HI",2,IF(E8316="LO",6,10))+IF(T8316=1,2,IF(D8316=7,1,(IF(WEEKDAY(B8316)=1,2,IF(WEEKDAY(B8316)=7,1,0))))))</f>
        <v>2</v>
      </c>
    </row>
    <row r="8317" spans="2:22">
      <c r="B8317" s="318">
        <f t="shared" si="519"/>
        <v>46459</v>
      </c>
      <c r="C8317" s="312">
        <v>9</v>
      </c>
      <c r="D8317" s="368">
        <f>IFERROR((INDEX(METADATA!$T$2:$T$20,MATCH(B8317,METADATA!$S$2:$S$20,0))),0)</f>
        <v>0</v>
      </c>
      <c r="E8317" s="312" t="str">
        <f t="shared" si="516"/>
        <v>LO</v>
      </c>
      <c r="F8317" s="369">
        <f>VLOOKUP(C8317,METADATA!$A$5:$H$29,IF(E8317="HI",2,IF(E8317="LO",6,10))+IF(D8317=1,2,IF(D8317=7,1,(IF(WEEKDAY(B8317)=1,2,IF(WEEKDAY(B8317)=7,1,0))))))</f>
        <v>2</v>
      </c>
      <c r="G8317" s="369">
        <f>VLOOKUP(C8317,METADATA!$J$5:$Q$29,IF(E8317="HI",2,IF(E8317="LO",6,10))+IF(D8317=1,2,IF(D8317=7,1,(IF(WEEKDAY(B8317)=1,2,IF(WEEKDAY(B8317)=7,1,0))))))</f>
        <v>2</v>
      </c>
      <c r="H8317" s="370">
        <v>12363.525085449219</v>
      </c>
      <c r="I8317" s="370">
        <v>3600.4549865722656</v>
      </c>
      <c r="M8317" s="371">
        <f t="shared" si="517"/>
        <v>12877.112589740962</v>
      </c>
      <c r="N8317" s="329">
        <f t="shared" si="518"/>
        <v>0</v>
      </c>
      <c r="T8317" s="331">
        <v>0</v>
      </c>
      <c r="U8317" s="328">
        <f>VLOOKUP(C8317,METADATA!$J$5:$Q$29,IF(E8317="HI",2,IF(E8317="LO",6,10))+IF(T8317=1,2,IF(D8317=7,1,(IF(WEEKDAY(B8317)=1,2,IF(WEEKDAY(B8317)=7,1,0))))))</f>
        <v>2</v>
      </c>
      <c r="V8317" s="328">
        <f>VLOOKUP(C8317,METADATA!$A$5:$H$29,IF(E8317="HI",2,IF(E8317="LO",6,10))+IF(T8317=1,2,IF(D8317=7,1,(IF(WEEKDAY(B8317)=1,2,IF(WEEKDAY(B8317)=7,1,0))))))</f>
        <v>2</v>
      </c>
    </row>
    <row r="8318" spans="2:22">
      <c r="B8318" s="318">
        <f t="shared" si="519"/>
        <v>46459</v>
      </c>
      <c r="C8318" s="312">
        <v>10</v>
      </c>
      <c r="D8318" s="368">
        <f>IFERROR((INDEX(METADATA!$T$2:$T$20,MATCH(B8318,METADATA!$S$2:$S$20,0))),0)</f>
        <v>0</v>
      </c>
      <c r="E8318" s="312" t="str">
        <f t="shared" si="516"/>
        <v>LO</v>
      </c>
      <c r="F8318" s="369">
        <f>VLOOKUP(C8318,METADATA!$A$5:$H$29,IF(E8318="HI",2,IF(E8318="LO",6,10))+IF(D8318=1,2,IF(D8318=7,1,(IF(WEEKDAY(B8318)=1,2,IF(WEEKDAY(B8318)=7,1,0))))))</f>
        <v>2</v>
      </c>
      <c r="G8318" s="369">
        <f>VLOOKUP(C8318,METADATA!$J$5:$Q$29,IF(E8318="HI",2,IF(E8318="LO",6,10))+IF(D8318=1,2,IF(D8318=7,1,(IF(WEEKDAY(B8318)=1,2,IF(WEEKDAY(B8318)=7,1,0))))))</f>
        <v>2</v>
      </c>
      <c r="H8318" s="370">
        <v>12349.775146484375</v>
      </c>
      <c r="I8318" s="370">
        <v>3492.9449462890625</v>
      </c>
      <c r="M8318" s="371">
        <f t="shared" si="517"/>
        <v>12834.235877781328</v>
      </c>
      <c r="N8318" s="329">
        <f t="shared" si="518"/>
        <v>0</v>
      </c>
      <c r="T8318" s="331">
        <v>0</v>
      </c>
      <c r="U8318" s="328">
        <f>VLOOKUP(C8318,METADATA!$J$5:$Q$29,IF(E8318="HI",2,IF(E8318="LO",6,10))+IF(T8318=1,2,IF(D8318=7,1,(IF(WEEKDAY(B8318)=1,2,IF(WEEKDAY(B8318)=7,1,0))))))</f>
        <v>2</v>
      </c>
      <c r="V8318" s="328">
        <f>VLOOKUP(C8318,METADATA!$A$5:$H$29,IF(E8318="HI",2,IF(E8318="LO",6,10))+IF(T8318=1,2,IF(D8318=7,1,(IF(WEEKDAY(B8318)=1,2,IF(WEEKDAY(B8318)=7,1,0))))))</f>
        <v>2</v>
      </c>
    </row>
    <row r="8319" spans="2:22">
      <c r="B8319" s="318">
        <f t="shared" si="519"/>
        <v>46459</v>
      </c>
      <c r="C8319" s="312">
        <v>11</v>
      </c>
      <c r="D8319" s="368">
        <f>IFERROR((INDEX(METADATA!$T$2:$T$20,MATCH(B8319,METADATA!$S$2:$S$20,0))),0)</f>
        <v>0</v>
      </c>
      <c r="E8319" s="312" t="str">
        <f t="shared" si="516"/>
        <v>LO</v>
      </c>
      <c r="F8319" s="369">
        <f>VLOOKUP(C8319,METADATA!$A$5:$H$29,IF(E8319="HI",2,IF(E8319="LO",6,10))+IF(D8319=1,2,IF(D8319=7,1,(IF(WEEKDAY(B8319)=1,2,IF(WEEKDAY(B8319)=7,1,0))))))</f>
        <v>2</v>
      </c>
      <c r="G8319" s="369">
        <f>VLOOKUP(C8319,METADATA!$J$5:$Q$29,IF(E8319="HI",2,IF(E8319="LO",6,10))+IF(D8319=1,2,IF(D8319=7,1,(IF(WEEKDAY(B8319)=1,2,IF(WEEKDAY(B8319)=7,1,0))))))</f>
        <v>2</v>
      </c>
      <c r="H8319" s="370">
        <v>12362.224792480469</v>
      </c>
      <c r="I8319" s="370">
        <v>3450.4050140380859</v>
      </c>
      <c r="M8319" s="371">
        <f t="shared" si="517"/>
        <v>12834.714511071834</v>
      </c>
      <c r="N8319" s="329">
        <f t="shared" si="518"/>
        <v>0</v>
      </c>
      <c r="T8319" s="331">
        <v>0</v>
      </c>
      <c r="U8319" s="328">
        <f>VLOOKUP(C8319,METADATA!$J$5:$Q$29,IF(E8319="HI",2,IF(E8319="LO",6,10))+IF(T8319=1,2,IF(D8319=7,1,(IF(WEEKDAY(B8319)=1,2,IF(WEEKDAY(B8319)=7,1,0))))))</f>
        <v>2</v>
      </c>
      <c r="V8319" s="328">
        <f>VLOOKUP(C8319,METADATA!$A$5:$H$29,IF(E8319="HI",2,IF(E8319="LO",6,10))+IF(T8319=1,2,IF(D8319=7,1,(IF(WEEKDAY(B8319)=1,2,IF(WEEKDAY(B8319)=7,1,0))))))</f>
        <v>2</v>
      </c>
    </row>
    <row r="8320" spans="2:22">
      <c r="B8320" s="318">
        <f t="shared" si="519"/>
        <v>46459</v>
      </c>
      <c r="C8320" s="312">
        <v>12</v>
      </c>
      <c r="D8320" s="368">
        <f>IFERROR((INDEX(METADATA!$T$2:$T$20,MATCH(B8320,METADATA!$S$2:$S$20,0))),0)</f>
        <v>0</v>
      </c>
      <c r="E8320" s="312" t="str">
        <f t="shared" si="516"/>
        <v>LO</v>
      </c>
      <c r="F8320" s="369">
        <f>VLOOKUP(C8320,METADATA!$A$5:$H$29,IF(E8320="HI",2,IF(E8320="LO",6,10))+IF(D8320=1,2,IF(D8320=7,1,(IF(WEEKDAY(B8320)=1,2,IF(WEEKDAY(B8320)=7,1,0))))))</f>
        <v>3</v>
      </c>
      <c r="G8320" s="369">
        <f>VLOOKUP(C8320,METADATA!$J$5:$Q$29,IF(E8320="HI",2,IF(E8320="LO",6,10))+IF(D8320=1,2,IF(D8320=7,1,(IF(WEEKDAY(B8320)=1,2,IF(WEEKDAY(B8320)=7,1,0))))))</f>
        <v>3</v>
      </c>
      <c r="H8320" s="370">
        <v>12591.724914550781</v>
      </c>
      <c r="I8320" s="370">
        <v>3627.1799621582031</v>
      </c>
      <c r="M8320" s="371">
        <f t="shared" si="517"/>
        <v>13103.738810034367</v>
      </c>
      <c r="N8320" s="329">
        <f t="shared" si="518"/>
        <v>0</v>
      </c>
      <c r="T8320" s="331">
        <v>0</v>
      </c>
      <c r="U8320" s="328">
        <f>VLOOKUP(C8320,METADATA!$J$5:$Q$29,IF(E8320="HI",2,IF(E8320="LO",6,10))+IF(T8320=1,2,IF(D8320=7,1,(IF(WEEKDAY(B8320)=1,2,IF(WEEKDAY(B8320)=7,1,0))))))</f>
        <v>3</v>
      </c>
      <c r="V8320" s="328">
        <f>VLOOKUP(C8320,METADATA!$A$5:$H$29,IF(E8320="HI",2,IF(E8320="LO",6,10))+IF(T8320=1,2,IF(D8320=7,1,(IF(WEEKDAY(B8320)=1,2,IF(WEEKDAY(B8320)=7,1,0))))))</f>
        <v>3</v>
      </c>
    </row>
    <row r="8321" spans="2:22">
      <c r="B8321" s="318">
        <f t="shared" si="519"/>
        <v>46459</v>
      </c>
      <c r="C8321" s="312">
        <v>13</v>
      </c>
      <c r="D8321" s="368">
        <f>IFERROR((INDEX(METADATA!$T$2:$T$20,MATCH(B8321,METADATA!$S$2:$S$20,0))),0)</f>
        <v>0</v>
      </c>
      <c r="E8321" s="312" t="str">
        <f t="shared" si="516"/>
        <v>LO</v>
      </c>
      <c r="F8321" s="369">
        <f>VLOOKUP(C8321,METADATA!$A$5:$H$29,IF(E8321="HI",2,IF(E8321="LO",6,10))+IF(D8321=1,2,IF(D8321=7,1,(IF(WEEKDAY(B8321)=1,2,IF(WEEKDAY(B8321)=7,1,0))))))</f>
        <v>3</v>
      </c>
      <c r="G8321" s="369">
        <f>VLOOKUP(C8321,METADATA!$J$5:$Q$29,IF(E8321="HI",2,IF(E8321="LO",6,10))+IF(D8321=1,2,IF(D8321=7,1,(IF(WEEKDAY(B8321)=1,2,IF(WEEKDAY(B8321)=7,1,0))))))</f>
        <v>3</v>
      </c>
      <c r="H8321" s="370">
        <v>12630.924865722656</v>
      </c>
      <c r="I8321" s="370">
        <v>3760.5099487304688</v>
      </c>
      <c r="M8321" s="371">
        <f t="shared" si="517"/>
        <v>13178.835230703498</v>
      </c>
      <c r="N8321" s="329">
        <f t="shared" si="518"/>
        <v>0</v>
      </c>
      <c r="T8321" s="331">
        <v>0</v>
      </c>
      <c r="U8321" s="328">
        <f>VLOOKUP(C8321,METADATA!$J$5:$Q$29,IF(E8321="HI",2,IF(E8321="LO",6,10))+IF(T8321=1,2,IF(D8321=7,1,(IF(WEEKDAY(B8321)=1,2,IF(WEEKDAY(B8321)=7,1,0))))))</f>
        <v>3</v>
      </c>
      <c r="V8321" s="328">
        <f>VLOOKUP(C8321,METADATA!$A$5:$H$29,IF(E8321="HI",2,IF(E8321="LO",6,10))+IF(T8321=1,2,IF(D8321=7,1,(IF(WEEKDAY(B8321)=1,2,IF(WEEKDAY(B8321)=7,1,0))))))</f>
        <v>3</v>
      </c>
    </row>
    <row r="8322" spans="2:22">
      <c r="B8322" s="318">
        <f t="shared" si="519"/>
        <v>46459</v>
      </c>
      <c r="C8322" s="312">
        <v>14</v>
      </c>
      <c r="D8322" s="368">
        <f>IFERROR((INDEX(METADATA!$T$2:$T$20,MATCH(B8322,METADATA!$S$2:$S$20,0))),0)</f>
        <v>0</v>
      </c>
      <c r="E8322" s="312" t="str">
        <f t="shared" si="516"/>
        <v>LO</v>
      </c>
      <c r="F8322" s="369">
        <f>VLOOKUP(C8322,METADATA!$A$5:$H$29,IF(E8322="HI",2,IF(E8322="LO",6,10))+IF(D8322=1,2,IF(D8322=7,1,(IF(WEEKDAY(B8322)=1,2,IF(WEEKDAY(B8322)=7,1,0))))))</f>
        <v>3</v>
      </c>
      <c r="G8322" s="369">
        <f>VLOOKUP(C8322,METADATA!$J$5:$Q$29,IF(E8322="HI",2,IF(E8322="LO",6,10))+IF(D8322=1,2,IF(D8322=7,1,(IF(WEEKDAY(B8322)=1,2,IF(WEEKDAY(B8322)=7,1,0))))))</f>
        <v>3</v>
      </c>
      <c r="H8322" s="370">
        <v>12473.550048828125</v>
      </c>
      <c r="I8322" s="370">
        <v>3707.4799652099609</v>
      </c>
      <c r="M8322" s="371">
        <f t="shared" si="517"/>
        <v>13012.87280015652</v>
      </c>
      <c r="N8322" s="329">
        <f t="shared" si="518"/>
        <v>0</v>
      </c>
      <c r="T8322" s="331">
        <v>0</v>
      </c>
      <c r="U8322" s="328">
        <f>VLOOKUP(C8322,METADATA!$J$5:$Q$29,IF(E8322="HI",2,IF(E8322="LO",6,10))+IF(T8322=1,2,IF(D8322=7,1,(IF(WEEKDAY(B8322)=1,2,IF(WEEKDAY(B8322)=7,1,0))))))</f>
        <v>3</v>
      </c>
      <c r="V8322" s="328">
        <f>VLOOKUP(C8322,METADATA!$A$5:$H$29,IF(E8322="HI",2,IF(E8322="LO",6,10))+IF(T8322=1,2,IF(D8322=7,1,(IF(WEEKDAY(B8322)=1,2,IF(WEEKDAY(B8322)=7,1,0))))))</f>
        <v>3</v>
      </c>
    </row>
    <row r="8323" spans="2:22">
      <c r="B8323" s="318">
        <f t="shared" si="519"/>
        <v>46459</v>
      </c>
      <c r="C8323" s="312">
        <v>15</v>
      </c>
      <c r="D8323" s="368">
        <f>IFERROR((INDEX(METADATA!$T$2:$T$20,MATCH(B8323,METADATA!$S$2:$S$20,0))),0)</f>
        <v>0</v>
      </c>
      <c r="E8323" s="312" t="str">
        <f t="shared" si="516"/>
        <v>LO</v>
      </c>
      <c r="F8323" s="369">
        <f>VLOOKUP(C8323,METADATA!$A$5:$H$29,IF(E8323="HI",2,IF(E8323="LO",6,10))+IF(D8323=1,2,IF(D8323=7,1,(IF(WEEKDAY(B8323)=1,2,IF(WEEKDAY(B8323)=7,1,0))))))</f>
        <v>3</v>
      </c>
      <c r="G8323" s="369">
        <f>VLOOKUP(C8323,METADATA!$J$5:$Q$29,IF(E8323="HI",2,IF(E8323="LO",6,10))+IF(D8323=1,2,IF(D8323=7,1,(IF(WEEKDAY(B8323)=1,2,IF(WEEKDAY(B8323)=7,1,0))))))</f>
        <v>3</v>
      </c>
      <c r="H8323" s="370">
        <v>12457.549987792969</v>
      </c>
      <c r="I8323" s="370">
        <v>3722.3050537109375</v>
      </c>
      <c r="M8323" s="371">
        <f t="shared" si="517"/>
        <v>13001.773210267998</v>
      </c>
      <c r="N8323" s="329">
        <f t="shared" si="518"/>
        <v>0</v>
      </c>
      <c r="T8323" s="331">
        <v>0</v>
      </c>
      <c r="U8323" s="328">
        <f>VLOOKUP(C8323,METADATA!$J$5:$Q$29,IF(E8323="HI",2,IF(E8323="LO",6,10))+IF(T8323=1,2,IF(D8323=7,1,(IF(WEEKDAY(B8323)=1,2,IF(WEEKDAY(B8323)=7,1,0))))))</f>
        <v>3</v>
      </c>
      <c r="V8323" s="328">
        <f>VLOOKUP(C8323,METADATA!$A$5:$H$29,IF(E8323="HI",2,IF(E8323="LO",6,10))+IF(T8323=1,2,IF(D8323=7,1,(IF(WEEKDAY(B8323)=1,2,IF(WEEKDAY(B8323)=7,1,0))))))</f>
        <v>3</v>
      </c>
    </row>
    <row r="8324" spans="2:22">
      <c r="B8324" s="318">
        <f t="shared" si="519"/>
        <v>46459</v>
      </c>
      <c r="C8324" s="312">
        <v>16</v>
      </c>
      <c r="D8324" s="368">
        <f>IFERROR((INDEX(METADATA!$T$2:$T$20,MATCH(B8324,METADATA!$S$2:$S$20,0))),0)</f>
        <v>0</v>
      </c>
      <c r="E8324" s="312" t="str">
        <f t="shared" ref="E8324:E8387" si="520">IF(B8324="","",IF(AND(MONTH(B8324)&gt;=MONTH($Z$9),MONTH(B8324)&lt;=MONTH($Z$11)),"HI","LO"))</f>
        <v>LO</v>
      </c>
      <c r="F8324" s="369">
        <f>VLOOKUP(C8324,METADATA!$A$5:$H$29,IF(E8324="HI",2,IF(E8324="LO",6,10))+IF(D8324=1,2,IF(D8324=7,1,(IF(WEEKDAY(B8324)=1,2,IF(WEEKDAY(B8324)=7,1,0))))))</f>
        <v>3</v>
      </c>
      <c r="G8324" s="369">
        <f>VLOOKUP(C8324,METADATA!$J$5:$Q$29,IF(E8324="HI",2,IF(E8324="LO",6,10))+IF(D8324=1,2,IF(D8324=7,1,(IF(WEEKDAY(B8324)=1,2,IF(WEEKDAY(B8324)=7,1,0))))))</f>
        <v>3</v>
      </c>
      <c r="H8324" s="370">
        <v>12315.000305175781</v>
      </c>
      <c r="I8324" s="370">
        <v>3680.4100341796875</v>
      </c>
      <c r="M8324" s="371">
        <f t="shared" ref="M8324:M8387" si="521">SQRT(H8324^2+I8324^2)</f>
        <v>12853.196121438828</v>
      </c>
      <c r="N8324" s="329">
        <f t="shared" ref="N8324:N8387" si="522">IF(H8324=0,0,(IF(I8324-(0.3*H8324)&lt;0,0,(I8324-(0.3*H8324)))))</f>
        <v>0</v>
      </c>
      <c r="T8324" s="331">
        <v>0</v>
      </c>
      <c r="U8324" s="328">
        <f>VLOOKUP(C8324,METADATA!$J$5:$Q$29,IF(E8324="HI",2,IF(E8324="LO",6,10))+IF(T8324=1,2,IF(D8324=7,1,(IF(WEEKDAY(B8324)=1,2,IF(WEEKDAY(B8324)=7,1,0))))))</f>
        <v>3</v>
      </c>
      <c r="V8324" s="328">
        <f>VLOOKUP(C8324,METADATA!$A$5:$H$29,IF(E8324="HI",2,IF(E8324="LO",6,10))+IF(T8324=1,2,IF(D8324=7,1,(IF(WEEKDAY(B8324)=1,2,IF(WEEKDAY(B8324)=7,1,0))))))</f>
        <v>3</v>
      </c>
    </row>
    <row r="8325" spans="2:22">
      <c r="B8325" s="318">
        <f t="shared" si="519"/>
        <v>46459</v>
      </c>
      <c r="C8325" s="312">
        <v>17</v>
      </c>
      <c r="D8325" s="368">
        <f>IFERROR((INDEX(METADATA!$T$2:$T$20,MATCH(B8325,METADATA!$S$2:$S$20,0))),0)</f>
        <v>0</v>
      </c>
      <c r="E8325" s="312" t="str">
        <f t="shared" si="520"/>
        <v>LO</v>
      </c>
      <c r="F8325" s="369">
        <f>VLOOKUP(C8325,METADATA!$A$5:$H$29,IF(E8325="HI",2,IF(E8325="LO",6,10))+IF(D8325=1,2,IF(D8325=7,1,(IF(WEEKDAY(B8325)=1,2,IF(WEEKDAY(B8325)=7,1,0))))))</f>
        <v>3</v>
      </c>
      <c r="G8325" s="369">
        <f>VLOOKUP(C8325,METADATA!$J$5:$Q$29,IF(E8325="HI",2,IF(E8325="LO",6,10))+IF(D8325=1,2,IF(D8325=7,1,(IF(WEEKDAY(B8325)=1,2,IF(WEEKDAY(B8325)=7,1,0))))))</f>
        <v>3</v>
      </c>
      <c r="H8325" s="370">
        <v>12316.049865722656</v>
      </c>
      <c r="I8325" s="370">
        <v>3640.2950439453125</v>
      </c>
      <c r="M8325" s="371">
        <f t="shared" si="521"/>
        <v>12842.773543979503</v>
      </c>
      <c r="N8325" s="329">
        <f t="shared" si="522"/>
        <v>0</v>
      </c>
      <c r="T8325" s="331">
        <v>0</v>
      </c>
      <c r="U8325" s="328">
        <f>VLOOKUP(C8325,METADATA!$J$5:$Q$29,IF(E8325="HI",2,IF(E8325="LO",6,10))+IF(T8325=1,2,IF(D8325=7,1,(IF(WEEKDAY(B8325)=1,2,IF(WEEKDAY(B8325)=7,1,0))))))</f>
        <v>3</v>
      </c>
      <c r="V8325" s="328">
        <f>VLOOKUP(C8325,METADATA!$A$5:$H$29,IF(E8325="HI",2,IF(E8325="LO",6,10))+IF(T8325=1,2,IF(D8325=7,1,(IF(WEEKDAY(B8325)=1,2,IF(WEEKDAY(B8325)=7,1,0))))))</f>
        <v>3</v>
      </c>
    </row>
    <row r="8326" spans="2:22">
      <c r="B8326" s="318">
        <f t="shared" si="519"/>
        <v>46459</v>
      </c>
      <c r="C8326" s="312">
        <v>18</v>
      </c>
      <c r="D8326" s="368">
        <f>IFERROR((INDEX(METADATA!$T$2:$T$20,MATCH(B8326,METADATA!$S$2:$S$20,0))),0)</f>
        <v>0</v>
      </c>
      <c r="E8326" s="312" t="str">
        <f t="shared" si="520"/>
        <v>LO</v>
      </c>
      <c r="F8326" s="369">
        <f>VLOOKUP(C8326,METADATA!$A$5:$H$29,IF(E8326="HI",2,IF(E8326="LO",6,10))+IF(D8326=1,2,IF(D8326=7,1,(IF(WEEKDAY(B8326)=1,2,IF(WEEKDAY(B8326)=7,1,0))))))</f>
        <v>2</v>
      </c>
      <c r="G8326" s="369">
        <f>VLOOKUP(C8326,METADATA!$J$5:$Q$29,IF(E8326="HI",2,IF(E8326="LO",6,10))+IF(D8326=1,2,IF(D8326=7,1,(IF(WEEKDAY(B8326)=1,2,IF(WEEKDAY(B8326)=7,1,0))))))</f>
        <v>2</v>
      </c>
      <c r="H8326" s="370">
        <v>12188.150146484375</v>
      </c>
      <c r="I8326" s="370">
        <v>3599.0700225830078</v>
      </c>
      <c r="M8326" s="371">
        <f t="shared" si="521"/>
        <v>12708.434562159997</v>
      </c>
      <c r="N8326" s="329">
        <f t="shared" si="522"/>
        <v>0</v>
      </c>
      <c r="T8326" s="331">
        <v>0</v>
      </c>
      <c r="U8326" s="328">
        <f>VLOOKUP(C8326,METADATA!$J$5:$Q$29,IF(E8326="HI",2,IF(E8326="LO",6,10))+IF(T8326=1,2,IF(D8326=7,1,(IF(WEEKDAY(B8326)=1,2,IF(WEEKDAY(B8326)=7,1,0))))))</f>
        <v>2</v>
      </c>
      <c r="V8326" s="328">
        <f>VLOOKUP(C8326,METADATA!$A$5:$H$29,IF(E8326="HI",2,IF(E8326="LO",6,10))+IF(T8326=1,2,IF(D8326=7,1,(IF(WEEKDAY(B8326)=1,2,IF(WEEKDAY(B8326)=7,1,0))))))</f>
        <v>2</v>
      </c>
    </row>
    <row r="8327" spans="2:22">
      <c r="B8327" s="318">
        <f t="shared" si="519"/>
        <v>46459</v>
      </c>
      <c r="C8327" s="312">
        <v>19</v>
      </c>
      <c r="D8327" s="368">
        <f>IFERROR((INDEX(METADATA!$T$2:$T$20,MATCH(B8327,METADATA!$S$2:$S$20,0))),0)</f>
        <v>0</v>
      </c>
      <c r="E8327" s="312" t="str">
        <f t="shared" si="520"/>
        <v>LO</v>
      </c>
      <c r="F8327" s="369">
        <f>VLOOKUP(C8327,METADATA!$A$5:$H$29,IF(E8327="HI",2,IF(E8327="LO",6,10))+IF(D8327=1,2,IF(D8327=7,1,(IF(WEEKDAY(B8327)=1,2,IF(WEEKDAY(B8327)=7,1,0))))))</f>
        <v>2</v>
      </c>
      <c r="G8327" s="369">
        <f>VLOOKUP(C8327,METADATA!$J$5:$Q$29,IF(E8327="HI",2,IF(E8327="LO",6,10))+IF(D8327=1,2,IF(D8327=7,1,(IF(WEEKDAY(B8327)=1,2,IF(WEEKDAY(B8327)=7,1,0))))))</f>
        <v>2</v>
      </c>
      <c r="H8327" s="370">
        <v>12374.699829101563</v>
      </c>
      <c r="I8327" s="370">
        <v>3661.8101043701172</v>
      </c>
      <c r="M8327" s="371">
        <f t="shared" si="521"/>
        <v>12905.117167264825</v>
      </c>
      <c r="N8327" s="329">
        <f t="shared" si="522"/>
        <v>0</v>
      </c>
      <c r="T8327" s="331">
        <v>0</v>
      </c>
      <c r="U8327" s="328">
        <f>VLOOKUP(C8327,METADATA!$J$5:$Q$29,IF(E8327="HI",2,IF(E8327="LO",6,10))+IF(T8327=1,2,IF(D8327=7,1,(IF(WEEKDAY(B8327)=1,2,IF(WEEKDAY(B8327)=7,1,0))))))</f>
        <v>2</v>
      </c>
      <c r="V8327" s="328">
        <f>VLOOKUP(C8327,METADATA!$A$5:$H$29,IF(E8327="HI",2,IF(E8327="LO",6,10))+IF(T8327=1,2,IF(D8327=7,1,(IF(WEEKDAY(B8327)=1,2,IF(WEEKDAY(B8327)=7,1,0))))))</f>
        <v>2</v>
      </c>
    </row>
    <row r="8328" spans="2:22">
      <c r="B8328" s="318">
        <f t="shared" si="519"/>
        <v>46459</v>
      </c>
      <c r="C8328" s="312">
        <v>20</v>
      </c>
      <c r="D8328" s="368">
        <f>IFERROR((INDEX(METADATA!$T$2:$T$20,MATCH(B8328,METADATA!$S$2:$S$20,0))),0)</f>
        <v>0</v>
      </c>
      <c r="E8328" s="312" t="str">
        <f t="shared" si="520"/>
        <v>LO</v>
      </c>
      <c r="F8328" s="369">
        <f>VLOOKUP(C8328,METADATA!$A$5:$H$29,IF(E8328="HI",2,IF(E8328="LO",6,10))+IF(D8328=1,2,IF(D8328=7,1,(IF(WEEKDAY(B8328)=1,2,IF(WEEKDAY(B8328)=7,1,0))))))</f>
        <v>3</v>
      </c>
      <c r="G8328" s="369">
        <f>VLOOKUP(C8328,METADATA!$J$5:$Q$29,IF(E8328="HI",2,IF(E8328="LO",6,10))+IF(D8328=1,2,IF(D8328=7,1,(IF(WEEKDAY(B8328)=1,2,IF(WEEKDAY(B8328)=7,1,0))))))</f>
        <v>3</v>
      </c>
      <c r="H8328" s="370">
        <v>12372.3251953125</v>
      </c>
      <c r="I8328" s="370">
        <v>3691.0949401855469</v>
      </c>
      <c r="M8328" s="371">
        <f t="shared" si="521"/>
        <v>12911.181688599532</v>
      </c>
      <c r="N8328" s="329">
        <f t="shared" si="522"/>
        <v>0</v>
      </c>
      <c r="T8328" s="331">
        <v>0</v>
      </c>
      <c r="U8328" s="328">
        <f>VLOOKUP(C8328,METADATA!$J$5:$Q$29,IF(E8328="HI",2,IF(E8328="LO",6,10))+IF(T8328=1,2,IF(D8328=7,1,(IF(WEEKDAY(B8328)=1,2,IF(WEEKDAY(B8328)=7,1,0))))))</f>
        <v>3</v>
      </c>
      <c r="V8328" s="328">
        <f>VLOOKUP(C8328,METADATA!$A$5:$H$29,IF(E8328="HI",2,IF(E8328="LO",6,10))+IF(T8328=1,2,IF(D8328=7,1,(IF(WEEKDAY(B8328)=1,2,IF(WEEKDAY(B8328)=7,1,0))))))</f>
        <v>3</v>
      </c>
    </row>
    <row r="8329" spans="2:22">
      <c r="B8329" s="318">
        <f t="shared" si="519"/>
        <v>46459</v>
      </c>
      <c r="C8329" s="312">
        <v>21</v>
      </c>
      <c r="D8329" s="368">
        <f>IFERROR((INDEX(METADATA!$T$2:$T$20,MATCH(B8329,METADATA!$S$2:$S$20,0))),0)</f>
        <v>0</v>
      </c>
      <c r="E8329" s="312" t="str">
        <f t="shared" si="520"/>
        <v>LO</v>
      </c>
      <c r="F8329" s="369">
        <f>VLOOKUP(C8329,METADATA!$A$5:$H$29,IF(E8329="HI",2,IF(E8329="LO",6,10))+IF(D8329=1,2,IF(D8329=7,1,(IF(WEEKDAY(B8329)=1,2,IF(WEEKDAY(B8329)=7,1,0))))))</f>
        <v>3</v>
      </c>
      <c r="G8329" s="369">
        <f>VLOOKUP(C8329,METADATA!$J$5:$Q$29,IF(E8329="HI",2,IF(E8329="LO",6,10))+IF(D8329=1,2,IF(D8329=7,1,(IF(WEEKDAY(B8329)=1,2,IF(WEEKDAY(B8329)=7,1,0))))))</f>
        <v>3</v>
      </c>
      <c r="H8329" s="370">
        <v>12214.249755859375</v>
      </c>
      <c r="I8329" s="370">
        <v>3562.3550109863281</v>
      </c>
      <c r="M8329" s="371">
        <f t="shared" si="521"/>
        <v>12723.139169356366</v>
      </c>
      <c r="N8329" s="329">
        <f t="shared" si="522"/>
        <v>0</v>
      </c>
      <c r="T8329" s="331">
        <v>0</v>
      </c>
      <c r="U8329" s="328">
        <f>VLOOKUP(C8329,METADATA!$J$5:$Q$29,IF(E8329="HI",2,IF(E8329="LO",6,10))+IF(T8329=1,2,IF(D8329=7,1,(IF(WEEKDAY(B8329)=1,2,IF(WEEKDAY(B8329)=7,1,0))))))</f>
        <v>3</v>
      </c>
      <c r="V8329" s="328">
        <f>VLOOKUP(C8329,METADATA!$A$5:$H$29,IF(E8329="HI",2,IF(E8329="LO",6,10))+IF(T8329=1,2,IF(D8329=7,1,(IF(WEEKDAY(B8329)=1,2,IF(WEEKDAY(B8329)=7,1,0))))))</f>
        <v>3</v>
      </c>
    </row>
    <row r="8330" spans="2:22">
      <c r="B8330" s="318">
        <f t="shared" si="519"/>
        <v>46459</v>
      </c>
      <c r="C8330" s="312">
        <v>22</v>
      </c>
      <c r="D8330" s="368">
        <f>IFERROR((INDEX(METADATA!$T$2:$T$20,MATCH(B8330,METADATA!$S$2:$S$20,0))),0)</f>
        <v>0</v>
      </c>
      <c r="E8330" s="312" t="str">
        <f t="shared" si="520"/>
        <v>LO</v>
      </c>
      <c r="F8330" s="369">
        <f>VLOOKUP(C8330,METADATA!$A$5:$H$29,IF(E8330="HI",2,IF(E8330="LO",6,10))+IF(D8330=1,2,IF(D8330=7,1,(IF(WEEKDAY(B8330)=1,2,IF(WEEKDAY(B8330)=7,1,0))))))</f>
        <v>3</v>
      </c>
      <c r="G8330" s="369">
        <f>VLOOKUP(C8330,METADATA!$J$5:$Q$29,IF(E8330="HI",2,IF(E8330="LO",6,10))+IF(D8330=1,2,IF(D8330=7,1,(IF(WEEKDAY(B8330)=1,2,IF(WEEKDAY(B8330)=7,1,0))))))</f>
        <v>3</v>
      </c>
      <c r="H8330" s="370">
        <v>12148.449829101563</v>
      </c>
      <c r="I8330" s="370">
        <v>3532.7551116943359</v>
      </c>
      <c r="M8330" s="371">
        <f t="shared" si="521"/>
        <v>12651.687315508561</v>
      </c>
      <c r="N8330" s="329">
        <f t="shared" si="522"/>
        <v>0</v>
      </c>
      <c r="T8330" s="331">
        <v>0</v>
      </c>
      <c r="U8330" s="328">
        <f>VLOOKUP(C8330,METADATA!$J$5:$Q$29,IF(E8330="HI",2,IF(E8330="LO",6,10))+IF(T8330=1,2,IF(D8330=7,1,(IF(WEEKDAY(B8330)=1,2,IF(WEEKDAY(B8330)=7,1,0))))))</f>
        <v>3</v>
      </c>
      <c r="V8330" s="328">
        <f>VLOOKUP(C8330,METADATA!$A$5:$H$29,IF(E8330="HI",2,IF(E8330="LO",6,10))+IF(T8330=1,2,IF(D8330=7,1,(IF(WEEKDAY(B8330)=1,2,IF(WEEKDAY(B8330)=7,1,0))))))</f>
        <v>3</v>
      </c>
    </row>
    <row r="8331" spans="2:22">
      <c r="B8331" s="318">
        <f t="shared" si="519"/>
        <v>46459</v>
      </c>
      <c r="C8331" s="312">
        <v>23</v>
      </c>
      <c r="D8331" s="368">
        <f>IFERROR((INDEX(METADATA!$T$2:$T$20,MATCH(B8331,METADATA!$S$2:$S$20,0))),0)</f>
        <v>0</v>
      </c>
      <c r="E8331" s="312" t="str">
        <f t="shared" si="520"/>
        <v>LO</v>
      </c>
      <c r="F8331" s="369">
        <f>VLOOKUP(C8331,METADATA!$A$5:$H$29,IF(E8331="HI",2,IF(E8331="LO",6,10))+IF(D8331=1,2,IF(D8331=7,1,(IF(WEEKDAY(B8331)=1,2,IF(WEEKDAY(B8331)=7,1,0))))))</f>
        <v>3</v>
      </c>
      <c r="G8331" s="369">
        <f>VLOOKUP(C8331,METADATA!$J$5:$Q$29,IF(E8331="HI",2,IF(E8331="LO",6,10))+IF(D8331=1,2,IF(D8331=7,1,(IF(WEEKDAY(B8331)=1,2,IF(WEEKDAY(B8331)=7,1,0))))))</f>
        <v>3</v>
      </c>
      <c r="H8331" s="370">
        <v>12127.875122070313</v>
      </c>
      <c r="I8331" s="370">
        <v>3583.9849548339844</v>
      </c>
      <c r="M8331" s="371">
        <f t="shared" si="521"/>
        <v>12646.355330015376</v>
      </c>
      <c r="N8331" s="329">
        <f t="shared" si="522"/>
        <v>0</v>
      </c>
      <c r="T8331" s="331">
        <v>0</v>
      </c>
      <c r="U8331" s="328">
        <f>VLOOKUP(C8331,METADATA!$J$5:$Q$29,IF(E8331="HI",2,IF(E8331="LO",6,10))+IF(T8331=1,2,IF(D8331=7,1,(IF(WEEKDAY(B8331)=1,2,IF(WEEKDAY(B8331)=7,1,0))))))</f>
        <v>3</v>
      </c>
      <c r="V8331" s="328">
        <f>VLOOKUP(C8331,METADATA!$A$5:$H$29,IF(E8331="HI",2,IF(E8331="LO",6,10))+IF(T8331=1,2,IF(D8331=7,1,(IF(WEEKDAY(B8331)=1,2,IF(WEEKDAY(B8331)=7,1,0))))))</f>
        <v>3</v>
      </c>
    </row>
    <row r="8332" spans="2:22">
      <c r="B8332" s="318">
        <f t="shared" si="519"/>
        <v>46460</v>
      </c>
      <c r="C8332" s="312">
        <v>0</v>
      </c>
      <c r="D8332" s="368">
        <f>IFERROR((INDEX(METADATA!$T$2:$T$20,MATCH(B8332,METADATA!$S$2:$S$20,0))),0)</f>
        <v>0</v>
      </c>
      <c r="E8332" s="312" t="str">
        <f t="shared" si="520"/>
        <v>LO</v>
      </c>
      <c r="F8332" s="369">
        <f>VLOOKUP(C8332,METADATA!$A$5:$H$29,IF(E8332="HI",2,IF(E8332="LO",6,10))+IF(D8332=1,2,IF(D8332=7,1,(IF(WEEKDAY(B8332)=1,2,IF(WEEKDAY(B8332)=7,1,0))))))</f>
        <v>3</v>
      </c>
      <c r="G8332" s="369">
        <f>VLOOKUP(C8332,METADATA!$J$5:$Q$29,IF(E8332="HI",2,IF(E8332="LO",6,10))+IF(D8332=1,2,IF(D8332=7,1,(IF(WEEKDAY(B8332)=1,2,IF(WEEKDAY(B8332)=7,1,0))))))</f>
        <v>3</v>
      </c>
      <c r="H8332" s="370">
        <v>12191.775268554688</v>
      </c>
      <c r="I8332" s="370">
        <v>3438.8599853515625</v>
      </c>
      <c r="M8332" s="371">
        <f t="shared" si="521"/>
        <v>12667.483656898628</v>
      </c>
      <c r="N8332" s="329">
        <f t="shared" si="522"/>
        <v>0</v>
      </c>
      <c r="T8332" s="331">
        <v>0</v>
      </c>
      <c r="U8332" s="328">
        <f>VLOOKUP(C8332,METADATA!$J$5:$Q$29,IF(E8332="HI",2,IF(E8332="LO",6,10))+IF(T8332=1,2,IF(D8332=7,1,(IF(WEEKDAY(B8332)=1,2,IF(WEEKDAY(B8332)=7,1,0))))))</f>
        <v>3</v>
      </c>
      <c r="V8332" s="328">
        <f>VLOOKUP(C8332,METADATA!$A$5:$H$29,IF(E8332="HI",2,IF(E8332="LO",6,10))+IF(T8332=1,2,IF(D8332=7,1,(IF(WEEKDAY(B8332)=1,2,IF(WEEKDAY(B8332)=7,1,0))))))</f>
        <v>3</v>
      </c>
    </row>
    <row r="8333" spans="2:22">
      <c r="B8333" s="318">
        <f t="shared" si="519"/>
        <v>46460</v>
      </c>
      <c r="C8333" s="312">
        <v>1</v>
      </c>
      <c r="D8333" s="368">
        <f>IFERROR((INDEX(METADATA!$T$2:$T$20,MATCH(B8333,METADATA!$S$2:$S$20,0))),0)</f>
        <v>0</v>
      </c>
      <c r="E8333" s="312" t="str">
        <f t="shared" si="520"/>
        <v>LO</v>
      </c>
      <c r="F8333" s="369">
        <f>VLOOKUP(C8333,METADATA!$A$5:$H$29,IF(E8333="HI",2,IF(E8333="LO",6,10))+IF(D8333=1,2,IF(D8333=7,1,(IF(WEEKDAY(B8333)=1,2,IF(WEEKDAY(B8333)=7,1,0))))))</f>
        <v>3</v>
      </c>
      <c r="G8333" s="369">
        <f>VLOOKUP(C8333,METADATA!$J$5:$Q$29,IF(E8333="HI",2,IF(E8333="LO",6,10))+IF(D8333=1,2,IF(D8333=7,1,(IF(WEEKDAY(B8333)=1,2,IF(WEEKDAY(B8333)=7,1,0))))))</f>
        <v>3</v>
      </c>
      <c r="H8333" s="370">
        <v>12449.382507324219</v>
      </c>
      <c r="I8333" s="370">
        <v>3698.5075378417969</v>
      </c>
      <c r="M8333" s="371">
        <f t="shared" si="521"/>
        <v>12987.150681390543</v>
      </c>
      <c r="N8333" s="329">
        <f t="shared" si="522"/>
        <v>0</v>
      </c>
      <c r="T8333" s="331">
        <v>0</v>
      </c>
      <c r="U8333" s="328">
        <f>VLOOKUP(C8333,METADATA!$J$5:$Q$29,IF(E8333="HI",2,IF(E8333="LO",6,10))+IF(T8333=1,2,IF(D8333=7,1,(IF(WEEKDAY(B8333)=1,2,IF(WEEKDAY(B8333)=7,1,0))))))</f>
        <v>3</v>
      </c>
      <c r="V8333" s="328">
        <f>VLOOKUP(C8333,METADATA!$A$5:$H$29,IF(E8333="HI",2,IF(E8333="LO",6,10))+IF(T8333=1,2,IF(D8333=7,1,(IF(WEEKDAY(B8333)=1,2,IF(WEEKDAY(B8333)=7,1,0))))))</f>
        <v>3</v>
      </c>
    </row>
    <row r="8334" spans="2:22">
      <c r="B8334" s="318">
        <f t="shared" si="519"/>
        <v>46460</v>
      </c>
      <c r="C8334" s="312">
        <v>2</v>
      </c>
      <c r="D8334" s="368">
        <f>IFERROR((INDEX(METADATA!$T$2:$T$20,MATCH(B8334,METADATA!$S$2:$S$20,0))),0)</f>
        <v>0</v>
      </c>
      <c r="E8334" s="312" t="str">
        <f t="shared" si="520"/>
        <v>LO</v>
      </c>
      <c r="F8334" s="369">
        <f>VLOOKUP(C8334,METADATA!$A$5:$H$29,IF(E8334="HI",2,IF(E8334="LO",6,10))+IF(D8334=1,2,IF(D8334=7,1,(IF(WEEKDAY(B8334)=1,2,IF(WEEKDAY(B8334)=7,1,0))))))</f>
        <v>3</v>
      </c>
      <c r="G8334" s="369">
        <f>VLOOKUP(C8334,METADATA!$J$5:$Q$29,IF(E8334="HI",2,IF(E8334="LO",6,10))+IF(D8334=1,2,IF(D8334=7,1,(IF(WEEKDAY(B8334)=1,2,IF(WEEKDAY(B8334)=7,1,0))))))</f>
        <v>3</v>
      </c>
      <c r="H8334" s="370">
        <v>12399.200012207031</v>
      </c>
      <c r="I8334" s="370">
        <v>3593.7749328613281</v>
      </c>
      <c r="M8334" s="371">
        <f t="shared" si="521"/>
        <v>12909.507318669341</v>
      </c>
      <c r="N8334" s="329">
        <f t="shared" si="522"/>
        <v>0</v>
      </c>
      <c r="T8334" s="331">
        <v>0</v>
      </c>
      <c r="U8334" s="328">
        <f>VLOOKUP(C8334,METADATA!$J$5:$Q$29,IF(E8334="HI",2,IF(E8334="LO",6,10))+IF(T8334=1,2,IF(D8334=7,1,(IF(WEEKDAY(B8334)=1,2,IF(WEEKDAY(B8334)=7,1,0))))))</f>
        <v>3</v>
      </c>
      <c r="V8334" s="328">
        <f>VLOOKUP(C8334,METADATA!$A$5:$H$29,IF(E8334="HI",2,IF(E8334="LO",6,10))+IF(T8334=1,2,IF(D8334=7,1,(IF(WEEKDAY(B8334)=1,2,IF(WEEKDAY(B8334)=7,1,0))))))</f>
        <v>3</v>
      </c>
    </row>
    <row r="8335" spans="2:22">
      <c r="B8335" s="318">
        <f t="shared" si="519"/>
        <v>46460</v>
      </c>
      <c r="C8335" s="312">
        <v>3</v>
      </c>
      <c r="D8335" s="368">
        <f>IFERROR((INDEX(METADATA!$T$2:$T$20,MATCH(B8335,METADATA!$S$2:$S$20,0))),0)</f>
        <v>0</v>
      </c>
      <c r="E8335" s="312" t="str">
        <f t="shared" si="520"/>
        <v>LO</v>
      </c>
      <c r="F8335" s="369">
        <f>VLOOKUP(C8335,METADATA!$A$5:$H$29,IF(E8335="HI",2,IF(E8335="LO",6,10))+IF(D8335=1,2,IF(D8335=7,1,(IF(WEEKDAY(B8335)=1,2,IF(WEEKDAY(B8335)=7,1,0))))))</f>
        <v>3</v>
      </c>
      <c r="G8335" s="369">
        <f>VLOOKUP(C8335,METADATA!$J$5:$Q$29,IF(E8335="HI",2,IF(E8335="LO",6,10))+IF(D8335=1,2,IF(D8335=7,1,(IF(WEEKDAY(B8335)=1,2,IF(WEEKDAY(B8335)=7,1,0))))))</f>
        <v>3</v>
      </c>
      <c r="H8335" s="370">
        <v>12353.024841308594</v>
      </c>
      <c r="I8335" s="370">
        <v>3652.5900268554688</v>
      </c>
      <c r="M8335" s="371">
        <f t="shared" si="521"/>
        <v>12881.717146183239</v>
      </c>
      <c r="N8335" s="329">
        <f t="shared" si="522"/>
        <v>0</v>
      </c>
      <c r="T8335" s="331">
        <v>0</v>
      </c>
      <c r="U8335" s="328">
        <f>VLOOKUP(C8335,METADATA!$J$5:$Q$29,IF(E8335="HI",2,IF(E8335="LO",6,10))+IF(T8335=1,2,IF(D8335=7,1,(IF(WEEKDAY(B8335)=1,2,IF(WEEKDAY(B8335)=7,1,0))))))</f>
        <v>3</v>
      </c>
      <c r="V8335" s="328">
        <f>VLOOKUP(C8335,METADATA!$A$5:$H$29,IF(E8335="HI",2,IF(E8335="LO",6,10))+IF(T8335=1,2,IF(D8335=7,1,(IF(WEEKDAY(B8335)=1,2,IF(WEEKDAY(B8335)=7,1,0))))))</f>
        <v>3</v>
      </c>
    </row>
    <row r="8336" spans="2:22">
      <c r="B8336" s="318">
        <f t="shared" si="519"/>
        <v>46460</v>
      </c>
      <c r="C8336" s="312">
        <v>4</v>
      </c>
      <c r="D8336" s="368">
        <f>IFERROR((INDEX(METADATA!$T$2:$T$20,MATCH(B8336,METADATA!$S$2:$S$20,0))),0)</f>
        <v>0</v>
      </c>
      <c r="E8336" s="312" t="str">
        <f t="shared" si="520"/>
        <v>LO</v>
      </c>
      <c r="F8336" s="369">
        <f>VLOOKUP(C8336,METADATA!$A$5:$H$29,IF(E8336="HI",2,IF(E8336="LO",6,10))+IF(D8336=1,2,IF(D8336=7,1,(IF(WEEKDAY(B8336)=1,2,IF(WEEKDAY(B8336)=7,1,0))))))</f>
        <v>3</v>
      </c>
      <c r="G8336" s="369">
        <f>VLOOKUP(C8336,METADATA!$J$5:$Q$29,IF(E8336="HI",2,IF(E8336="LO",6,10))+IF(D8336=1,2,IF(D8336=7,1,(IF(WEEKDAY(B8336)=1,2,IF(WEEKDAY(B8336)=7,1,0))))))</f>
        <v>3</v>
      </c>
      <c r="H8336" s="370">
        <v>12258.875244140625</v>
      </c>
      <c r="I8336" s="370">
        <v>3613.5000457763672</v>
      </c>
      <c r="M8336" s="371">
        <f t="shared" si="521"/>
        <v>12780.352296874671</v>
      </c>
      <c r="N8336" s="329">
        <f t="shared" si="522"/>
        <v>0</v>
      </c>
      <c r="T8336" s="331">
        <v>0</v>
      </c>
      <c r="U8336" s="328">
        <f>VLOOKUP(C8336,METADATA!$J$5:$Q$29,IF(E8336="HI",2,IF(E8336="LO",6,10))+IF(T8336=1,2,IF(D8336=7,1,(IF(WEEKDAY(B8336)=1,2,IF(WEEKDAY(B8336)=7,1,0))))))</f>
        <v>3</v>
      </c>
      <c r="V8336" s="328">
        <f>VLOOKUP(C8336,METADATA!$A$5:$H$29,IF(E8336="HI",2,IF(E8336="LO",6,10))+IF(T8336=1,2,IF(D8336=7,1,(IF(WEEKDAY(B8336)=1,2,IF(WEEKDAY(B8336)=7,1,0))))))</f>
        <v>3</v>
      </c>
    </row>
    <row r="8337" spans="2:22">
      <c r="B8337" s="318">
        <f t="shared" si="519"/>
        <v>46460</v>
      </c>
      <c r="C8337" s="312">
        <v>5</v>
      </c>
      <c r="D8337" s="368">
        <f>IFERROR((INDEX(METADATA!$T$2:$T$20,MATCH(B8337,METADATA!$S$2:$S$20,0))),0)</f>
        <v>0</v>
      </c>
      <c r="E8337" s="312" t="str">
        <f t="shared" si="520"/>
        <v>LO</v>
      </c>
      <c r="F8337" s="369">
        <f>VLOOKUP(C8337,METADATA!$A$5:$H$29,IF(E8337="HI",2,IF(E8337="LO",6,10))+IF(D8337=1,2,IF(D8337=7,1,(IF(WEEKDAY(B8337)=1,2,IF(WEEKDAY(B8337)=7,1,0))))))</f>
        <v>3</v>
      </c>
      <c r="G8337" s="369">
        <f>VLOOKUP(C8337,METADATA!$J$5:$Q$29,IF(E8337="HI",2,IF(E8337="LO",6,10))+IF(D8337=1,2,IF(D8337=7,1,(IF(WEEKDAY(B8337)=1,2,IF(WEEKDAY(B8337)=7,1,0))))))</f>
        <v>3</v>
      </c>
      <c r="H8337" s="370">
        <v>12117.575012207031</v>
      </c>
      <c r="I8337" s="370">
        <v>3261.7699890136719</v>
      </c>
      <c r="M8337" s="371">
        <f t="shared" si="521"/>
        <v>12548.895076368057</v>
      </c>
      <c r="N8337" s="329">
        <f t="shared" si="522"/>
        <v>0</v>
      </c>
      <c r="T8337" s="331">
        <v>0</v>
      </c>
      <c r="U8337" s="328">
        <f>VLOOKUP(C8337,METADATA!$J$5:$Q$29,IF(E8337="HI",2,IF(E8337="LO",6,10))+IF(T8337=1,2,IF(D8337=7,1,(IF(WEEKDAY(B8337)=1,2,IF(WEEKDAY(B8337)=7,1,0))))))</f>
        <v>3</v>
      </c>
      <c r="V8337" s="328">
        <f>VLOOKUP(C8337,METADATA!$A$5:$H$29,IF(E8337="HI",2,IF(E8337="LO",6,10))+IF(T8337=1,2,IF(D8337=7,1,(IF(WEEKDAY(B8337)=1,2,IF(WEEKDAY(B8337)=7,1,0))))))</f>
        <v>3</v>
      </c>
    </row>
    <row r="8338" spans="2:22">
      <c r="B8338" s="318">
        <f t="shared" si="519"/>
        <v>46460</v>
      </c>
      <c r="C8338" s="312">
        <v>6</v>
      </c>
      <c r="D8338" s="368">
        <f>IFERROR((INDEX(METADATA!$T$2:$T$20,MATCH(B8338,METADATA!$S$2:$S$20,0))),0)</f>
        <v>0</v>
      </c>
      <c r="E8338" s="312" t="str">
        <f t="shared" si="520"/>
        <v>LO</v>
      </c>
      <c r="F8338" s="369">
        <f>VLOOKUP(C8338,METADATA!$A$5:$H$29,IF(E8338="HI",2,IF(E8338="LO",6,10))+IF(D8338=1,2,IF(D8338=7,1,(IF(WEEKDAY(B8338)=1,2,IF(WEEKDAY(B8338)=7,1,0))))))</f>
        <v>3</v>
      </c>
      <c r="G8338" s="369">
        <f>VLOOKUP(C8338,METADATA!$J$5:$Q$29,IF(E8338="HI",2,IF(E8338="LO",6,10))+IF(D8338=1,2,IF(D8338=7,1,(IF(WEEKDAY(B8338)=1,2,IF(WEEKDAY(B8338)=7,1,0))))))</f>
        <v>3</v>
      </c>
      <c r="H8338" s="370">
        <v>12362.400207519531</v>
      </c>
      <c r="I8338" s="370">
        <v>3434.6100769042969</v>
      </c>
      <c r="M8338" s="371">
        <f t="shared" si="521"/>
        <v>12830.646331001861</v>
      </c>
      <c r="N8338" s="329">
        <f t="shared" si="522"/>
        <v>0</v>
      </c>
      <c r="T8338" s="331">
        <v>0</v>
      </c>
      <c r="U8338" s="328">
        <f>VLOOKUP(C8338,METADATA!$J$5:$Q$29,IF(E8338="HI",2,IF(E8338="LO",6,10))+IF(T8338=1,2,IF(D8338=7,1,(IF(WEEKDAY(B8338)=1,2,IF(WEEKDAY(B8338)=7,1,0))))))</f>
        <v>3</v>
      </c>
      <c r="V8338" s="328">
        <f>VLOOKUP(C8338,METADATA!$A$5:$H$29,IF(E8338="HI",2,IF(E8338="LO",6,10))+IF(T8338=1,2,IF(D8338=7,1,(IF(WEEKDAY(B8338)=1,2,IF(WEEKDAY(B8338)=7,1,0))))))</f>
        <v>3</v>
      </c>
    </row>
    <row r="8339" spans="2:22">
      <c r="B8339" s="318">
        <f t="shared" si="519"/>
        <v>46460</v>
      </c>
      <c r="C8339" s="312">
        <v>7</v>
      </c>
      <c r="D8339" s="368">
        <f>IFERROR((INDEX(METADATA!$T$2:$T$20,MATCH(B8339,METADATA!$S$2:$S$20,0))),0)</f>
        <v>0</v>
      </c>
      <c r="E8339" s="312" t="str">
        <f t="shared" si="520"/>
        <v>LO</v>
      </c>
      <c r="F8339" s="369">
        <f>VLOOKUP(C8339,METADATA!$A$5:$H$29,IF(E8339="HI",2,IF(E8339="LO",6,10))+IF(D8339=1,2,IF(D8339=7,1,(IF(WEEKDAY(B8339)=1,2,IF(WEEKDAY(B8339)=7,1,0))))))</f>
        <v>3</v>
      </c>
      <c r="G8339" s="369">
        <f>VLOOKUP(C8339,METADATA!$J$5:$Q$29,IF(E8339="HI",2,IF(E8339="LO",6,10))+IF(D8339=1,2,IF(D8339=7,1,(IF(WEEKDAY(B8339)=1,2,IF(WEEKDAY(B8339)=7,1,0))))))</f>
        <v>3</v>
      </c>
      <c r="H8339" s="370">
        <v>12687.60009765625</v>
      </c>
      <c r="I8339" s="370">
        <v>3754.47998046875</v>
      </c>
      <c r="M8339" s="371">
        <f t="shared" si="521"/>
        <v>13231.451778311688</v>
      </c>
      <c r="N8339" s="329">
        <f t="shared" si="522"/>
        <v>0</v>
      </c>
      <c r="T8339" s="331">
        <v>0</v>
      </c>
      <c r="U8339" s="328">
        <f>VLOOKUP(C8339,METADATA!$J$5:$Q$29,IF(E8339="HI",2,IF(E8339="LO",6,10))+IF(T8339=1,2,IF(D8339=7,1,(IF(WEEKDAY(B8339)=1,2,IF(WEEKDAY(B8339)=7,1,0))))))</f>
        <v>3</v>
      </c>
      <c r="V8339" s="328">
        <f>VLOOKUP(C8339,METADATA!$A$5:$H$29,IF(E8339="HI",2,IF(E8339="LO",6,10))+IF(T8339=1,2,IF(D8339=7,1,(IF(WEEKDAY(B8339)=1,2,IF(WEEKDAY(B8339)=7,1,0))))))</f>
        <v>3</v>
      </c>
    </row>
    <row r="8340" spans="2:22">
      <c r="B8340" s="318">
        <f t="shared" si="519"/>
        <v>46460</v>
      </c>
      <c r="C8340" s="312">
        <v>8</v>
      </c>
      <c r="D8340" s="368">
        <f>IFERROR((INDEX(METADATA!$T$2:$T$20,MATCH(B8340,METADATA!$S$2:$S$20,0))),0)</f>
        <v>0</v>
      </c>
      <c r="E8340" s="312" t="str">
        <f t="shared" si="520"/>
        <v>LO</v>
      </c>
      <c r="F8340" s="369">
        <f>VLOOKUP(C8340,METADATA!$A$5:$H$29,IF(E8340="HI",2,IF(E8340="LO",6,10))+IF(D8340=1,2,IF(D8340=7,1,(IF(WEEKDAY(B8340)=1,2,IF(WEEKDAY(B8340)=7,1,0))))))</f>
        <v>3</v>
      </c>
      <c r="G8340" s="369">
        <f>VLOOKUP(C8340,METADATA!$J$5:$Q$29,IF(E8340="HI",2,IF(E8340="LO",6,10))+IF(D8340=1,2,IF(D8340=7,1,(IF(WEEKDAY(B8340)=1,2,IF(WEEKDAY(B8340)=7,1,0))))))</f>
        <v>3</v>
      </c>
      <c r="H8340" s="370">
        <v>12469.924865722656</v>
      </c>
      <c r="I8340" s="370">
        <v>3613.3300323486328</v>
      </c>
      <c r="M8340" s="371">
        <f t="shared" si="521"/>
        <v>12982.880269009676</v>
      </c>
      <c r="N8340" s="329">
        <f t="shared" si="522"/>
        <v>0</v>
      </c>
      <c r="T8340" s="331">
        <v>0</v>
      </c>
      <c r="U8340" s="328">
        <f>VLOOKUP(C8340,METADATA!$J$5:$Q$29,IF(E8340="HI",2,IF(E8340="LO",6,10))+IF(T8340=1,2,IF(D8340=7,1,(IF(WEEKDAY(B8340)=1,2,IF(WEEKDAY(B8340)=7,1,0))))))</f>
        <v>3</v>
      </c>
      <c r="V8340" s="328">
        <f>VLOOKUP(C8340,METADATA!$A$5:$H$29,IF(E8340="HI",2,IF(E8340="LO",6,10))+IF(T8340=1,2,IF(D8340=7,1,(IF(WEEKDAY(B8340)=1,2,IF(WEEKDAY(B8340)=7,1,0))))))</f>
        <v>3</v>
      </c>
    </row>
    <row r="8341" spans="2:22">
      <c r="B8341" s="318">
        <f t="shared" si="519"/>
        <v>46460</v>
      </c>
      <c r="C8341" s="312">
        <v>9</v>
      </c>
      <c r="D8341" s="368">
        <f>IFERROR((INDEX(METADATA!$T$2:$T$20,MATCH(B8341,METADATA!$S$2:$S$20,0))),0)</f>
        <v>0</v>
      </c>
      <c r="E8341" s="312" t="str">
        <f t="shared" si="520"/>
        <v>LO</v>
      </c>
      <c r="F8341" s="369">
        <f>VLOOKUP(C8341,METADATA!$A$5:$H$29,IF(E8341="HI",2,IF(E8341="LO",6,10))+IF(D8341=1,2,IF(D8341=7,1,(IF(WEEKDAY(B8341)=1,2,IF(WEEKDAY(B8341)=7,1,0))))))</f>
        <v>3</v>
      </c>
      <c r="G8341" s="369">
        <f>VLOOKUP(C8341,METADATA!$J$5:$Q$29,IF(E8341="HI",2,IF(E8341="LO",6,10))+IF(D8341=1,2,IF(D8341=7,1,(IF(WEEKDAY(B8341)=1,2,IF(WEEKDAY(B8341)=7,1,0))))))</f>
        <v>3</v>
      </c>
      <c r="H8341" s="370">
        <v>12671.374877929688</v>
      </c>
      <c r="I8341" s="370">
        <v>3776.9399261474609</v>
      </c>
      <c r="M8341" s="371">
        <f t="shared" si="521"/>
        <v>13222.292407247482</v>
      </c>
      <c r="N8341" s="329">
        <f t="shared" si="522"/>
        <v>0</v>
      </c>
      <c r="T8341" s="331">
        <v>0</v>
      </c>
      <c r="U8341" s="328">
        <f>VLOOKUP(C8341,METADATA!$J$5:$Q$29,IF(E8341="HI",2,IF(E8341="LO",6,10))+IF(T8341=1,2,IF(D8341=7,1,(IF(WEEKDAY(B8341)=1,2,IF(WEEKDAY(B8341)=7,1,0))))))</f>
        <v>3</v>
      </c>
      <c r="V8341" s="328">
        <f>VLOOKUP(C8341,METADATA!$A$5:$H$29,IF(E8341="HI",2,IF(E8341="LO",6,10))+IF(T8341=1,2,IF(D8341=7,1,(IF(WEEKDAY(B8341)=1,2,IF(WEEKDAY(B8341)=7,1,0))))))</f>
        <v>3</v>
      </c>
    </row>
    <row r="8342" spans="2:22">
      <c r="B8342" s="318">
        <f t="shared" si="519"/>
        <v>46460</v>
      </c>
      <c r="C8342" s="312">
        <v>10</v>
      </c>
      <c r="D8342" s="368">
        <f>IFERROR((INDEX(METADATA!$T$2:$T$20,MATCH(B8342,METADATA!$S$2:$S$20,0))),0)</f>
        <v>0</v>
      </c>
      <c r="E8342" s="312" t="str">
        <f t="shared" si="520"/>
        <v>LO</v>
      </c>
      <c r="F8342" s="369">
        <f>VLOOKUP(C8342,METADATA!$A$5:$H$29,IF(E8342="HI",2,IF(E8342="LO",6,10))+IF(D8342=1,2,IF(D8342=7,1,(IF(WEEKDAY(B8342)=1,2,IF(WEEKDAY(B8342)=7,1,0))))))</f>
        <v>3</v>
      </c>
      <c r="G8342" s="369">
        <f>VLOOKUP(C8342,METADATA!$J$5:$Q$29,IF(E8342="HI",2,IF(E8342="LO",6,10))+IF(D8342=1,2,IF(D8342=7,1,(IF(WEEKDAY(B8342)=1,2,IF(WEEKDAY(B8342)=7,1,0))))))</f>
        <v>3</v>
      </c>
      <c r="H8342" s="370">
        <v>12913.675476074219</v>
      </c>
      <c r="I8342" s="370">
        <v>3839.35498046875</v>
      </c>
      <c r="M8342" s="371">
        <f t="shared" si="521"/>
        <v>13472.329455866602</v>
      </c>
      <c r="N8342" s="329">
        <f t="shared" si="522"/>
        <v>0</v>
      </c>
      <c r="T8342" s="331">
        <v>0</v>
      </c>
      <c r="U8342" s="328">
        <f>VLOOKUP(C8342,METADATA!$J$5:$Q$29,IF(E8342="HI",2,IF(E8342="LO",6,10))+IF(T8342=1,2,IF(D8342=7,1,(IF(WEEKDAY(B8342)=1,2,IF(WEEKDAY(B8342)=7,1,0))))))</f>
        <v>3</v>
      </c>
      <c r="V8342" s="328">
        <f>VLOOKUP(C8342,METADATA!$A$5:$H$29,IF(E8342="HI",2,IF(E8342="LO",6,10))+IF(T8342=1,2,IF(D8342=7,1,(IF(WEEKDAY(B8342)=1,2,IF(WEEKDAY(B8342)=7,1,0))))))</f>
        <v>3</v>
      </c>
    </row>
    <row r="8343" spans="2:22">
      <c r="B8343" s="318">
        <f t="shared" si="519"/>
        <v>46460</v>
      </c>
      <c r="C8343" s="312">
        <v>11</v>
      </c>
      <c r="D8343" s="368">
        <f>IFERROR((INDEX(METADATA!$T$2:$T$20,MATCH(B8343,METADATA!$S$2:$S$20,0))),0)</f>
        <v>0</v>
      </c>
      <c r="E8343" s="312" t="str">
        <f t="shared" si="520"/>
        <v>LO</v>
      </c>
      <c r="F8343" s="369">
        <f>VLOOKUP(C8343,METADATA!$A$5:$H$29,IF(E8343="HI",2,IF(E8343="LO",6,10))+IF(D8343=1,2,IF(D8343=7,1,(IF(WEEKDAY(B8343)=1,2,IF(WEEKDAY(B8343)=7,1,0))))))</f>
        <v>3</v>
      </c>
      <c r="G8343" s="369">
        <f>VLOOKUP(C8343,METADATA!$J$5:$Q$29,IF(E8343="HI",2,IF(E8343="LO",6,10))+IF(D8343=1,2,IF(D8343=7,1,(IF(WEEKDAY(B8343)=1,2,IF(WEEKDAY(B8343)=7,1,0))))))</f>
        <v>3</v>
      </c>
      <c r="H8343" s="370">
        <v>12638.549621582031</v>
      </c>
      <c r="I8343" s="370">
        <v>3675.8300476074219</v>
      </c>
      <c r="M8343" s="371">
        <f t="shared" si="521"/>
        <v>13162.243846551579</v>
      </c>
      <c r="N8343" s="329">
        <f t="shared" si="522"/>
        <v>0</v>
      </c>
      <c r="T8343" s="331">
        <v>0</v>
      </c>
      <c r="U8343" s="328">
        <f>VLOOKUP(C8343,METADATA!$J$5:$Q$29,IF(E8343="HI",2,IF(E8343="LO",6,10))+IF(T8343=1,2,IF(D8343=7,1,(IF(WEEKDAY(B8343)=1,2,IF(WEEKDAY(B8343)=7,1,0))))))</f>
        <v>3</v>
      </c>
      <c r="V8343" s="328">
        <f>VLOOKUP(C8343,METADATA!$A$5:$H$29,IF(E8343="HI",2,IF(E8343="LO",6,10))+IF(T8343=1,2,IF(D8343=7,1,(IF(WEEKDAY(B8343)=1,2,IF(WEEKDAY(B8343)=7,1,0))))))</f>
        <v>3</v>
      </c>
    </row>
    <row r="8344" spans="2:22">
      <c r="B8344" s="318">
        <f t="shared" si="519"/>
        <v>46460</v>
      </c>
      <c r="C8344" s="312">
        <v>12</v>
      </c>
      <c r="D8344" s="368">
        <f>IFERROR((INDEX(METADATA!$T$2:$T$20,MATCH(B8344,METADATA!$S$2:$S$20,0))),0)</f>
        <v>0</v>
      </c>
      <c r="E8344" s="312" t="str">
        <f t="shared" si="520"/>
        <v>LO</v>
      </c>
      <c r="F8344" s="369">
        <f>VLOOKUP(C8344,METADATA!$A$5:$H$29,IF(E8344="HI",2,IF(E8344="LO",6,10))+IF(D8344=1,2,IF(D8344=7,1,(IF(WEEKDAY(B8344)=1,2,IF(WEEKDAY(B8344)=7,1,0))))))</f>
        <v>3</v>
      </c>
      <c r="G8344" s="369">
        <f>VLOOKUP(C8344,METADATA!$J$5:$Q$29,IF(E8344="HI",2,IF(E8344="LO",6,10))+IF(D8344=1,2,IF(D8344=7,1,(IF(WEEKDAY(B8344)=1,2,IF(WEEKDAY(B8344)=7,1,0))))))</f>
        <v>3</v>
      </c>
      <c r="H8344" s="370">
        <v>12523.599792480469</v>
      </c>
      <c r="I8344" s="370">
        <v>3646.4799957275391</v>
      </c>
      <c r="M8344" s="371">
        <f t="shared" si="521"/>
        <v>13043.671573658159</v>
      </c>
      <c r="N8344" s="329">
        <f t="shared" si="522"/>
        <v>0</v>
      </c>
      <c r="T8344" s="331">
        <v>0</v>
      </c>
      <c r="U8344" s="328">
        <f>VLOOKUP(C8344,METADATA!$J$5:$Q$29,IF(E8344="HI",2,IF(E8344="LO",6,10))+IF(T8344=1,2,IF(D8344=7,1,(IF(WEEKDAY(B8344)=1,2,IF(WEEKDAY(B8344)=7,1,0))))))</f>
        <v>3</v>
      </c>
      <c r="V8344" s="328">
        <f>VLOOKUP(C8344,METADATA!$A$5:$H$29,IF(E8344="HI",2,IF(E8344="LO",6,10))+IF(T8344=1,2,IF(D8344=7,1,(IF(WEEKDAY(B8344)=1,2,IF(WEEKDAY(B8344)=7,1,0))))))</f>
        <v>3</v>
      </c>
    </row>
    <row r="8345" spans="2:22">
      <c r="B8345" s="318">
        <f t="shared" si="519"/>
        <v>46460</v>
      </c>
      <c r="C8345" s="312">
        <v>13</v>
      </c>
      <c r="D8345" s="368">
        <f>IFERROR((INDEX(METADATA!$T$2:$T$20,MATCH(B8345,METADATA!$S$2:$S$20,0))),0)</f>
        <v>0</v>
      </c>
      <c r="E8345" s="312" t="str">
        <f t="shared" si="520"/>
        <v>LO</v>
      </c>
      <c r="F8345" s="369">
        <f>VLOOKUP(C8345,METADATA!$A$5:$H$29,IF(E8345="HI",2,IF(E8345="LO",6,10))+IF(D8345=1,2,IF(D8345=7,1,(IF(WEEKDAY(B8345)=1,2,IF(WEEKDAY(B8345)=7,1,0))))))</f>
        <v>3</v>
      </c>
      <c r="G8345" s="369">
        <f>VLOOKUP(C8345,METADATA!$J$5:$Q$29,IF(E8345="HI",2,IF(E8345="LO",6,10))+IF(D8345=1,2,IF(D8345=7,1,(IF(WEEKDAY(B8345)=1,2,IF(WEEKDAY(B8345)=7,1,0))))))</f>
        <v>3</v>
      </c>
      <c r="H8345" s="370">
        <v>12474.075134277344</v>
      </c>
      <c r="I8345" s="370">
        <v>3469.4749755859375</v>
      </c>
      <c r="M8345" s="371">
        <f t="shared" si="521"/>
        <v>12947.579196970117</v>
      </c>
      <c r="N8345" s="329">
        <f t="shared" si="522"/>
        <v>0</v>
      </c>
      <c r="T8345" s="331">
        <v>0</v>
      </c>
      <c r="U8345" s="328">
        <f>VLOOKUP(C8345,METADATA!$J$5:$Q$29,IF(E8345="HI",2,IF(E8345="LO",6,10))+IF(T8345=1,2,IF(D8345=7,1,(IF(WEEKDAY(B8345)=1,2,IF(WEEKDAY(B8345)=7,1,0))))))</f>
        <v>3</v>
      </c>
      <c r="V8345" s="328">
        <f>VLOOKUP(C8345,METADATA!$A$5:$H$29,IF(E8345="HI",2,IF(E8345="LO",6,10))+IF(T8345=1,2,IF(D8345=7,1,(IF(WEEKDAY(B8345)=1,2,IF(WEEKDAY(B8345)=7,1,0))))))</f>
        <v>3</v>
      </c>
    </row>
    <row r="8346" spans="2:22">
      <c r="B8346" s="318">
        <f t="shared" si="519"/>
        <v>46460</v>
      </c>
      <c r="C8346" s="312">
        <v>14</v>
      </c>
      <c r="D8346" s="368">
        <f>IFERROR((INDEX(METADATA!$T$2:$T$20,MATCH(B8346,METADATA!$S$2:$S$20,0))),0)</f>
        <v>0</v>
      </c>
      <c r="E8346" s="312" t="str">
        <f t="shared" si="520"/>
        <v>LO</v>
      </c>
      <c r="F8346" s="369">
        <f>VLOOKUP(C8346,METADATA!$A$5:$H$29,IF(E8346="HI",2,IF(E8346="LO",6,10))+IF(D8346=1,2,IF(D8346=7,1,(IF(WEEKDAY(B8346)=1,2,IF(WEEKDAY(B8346)=7,1,0))))))</f>
        <v>3</v>
      </c>
      <c r="G8346" s="369">
        <f>VLOOKUP(C8346,METADATA!$J$5:$Q$29,IF(E8346="HI",2,IF(E8346="LO",6,10))+IF(D8346=1,2,IF(D8346=7,1,(IF(WEEKDAY(B8346)=1,2,IF(WEEKDAY(B8346)=7,1,0))))))</f>
        <v>3</v>
      </c>
      <c r="H8346" s="370">
        <v>12440.849670410156</v>
      </c>
      <c r="I8346" s="370">
        <v>3605.7650451660156</v>
      </c>
      <c r="M8346" s="371">
        <f t="shared" si="521"/>
        <v>12952.84841579973</v>
      </c>
      <c r="N8346" s="329">
        <f t="shared" si="522"/>
        <v>0</v>
      </c>
      <c r="T8346" s="331">
        <v>0</v>
      </c>
      <c r="U8346" s="328">
        <f>VLOOKUP(C8346,METADATA!$J$5:$Q$29,IF(E8346="HI",2,IF(E8346="LO",6,10))+IF(T8346=1,2,IF(D8346=7,1,(IF(WEEKDAY(B8346)=1,2,IF(WEEKDAY(B8346)=7,1,0))))))</f>
        <v>3</v>
      </c>
      <c r="V8346" s="328">
        <f>VLOOKUP(C8346,METADATA!$A$5:$H$29,IF(E8346="HI",2,IF(E8346="LO",6,10))+IF(T8346=1,2,IF(D8346=7,1,(IF(WEEKDAY(B8346)=1,2,IF(WEEKDAY(B8346)=7,1,0))))))</f>
        <v>3</v>
      </c>
    </row>
    <row r="8347" spans="2:22">
      <c r="B8347" s="318">
        <f t="shared" si="519"/>
        <v>46460</v>
      </c>
      <c r="C8347" s="312">
        <v>15</v>
      </c>
      <c r="D8347" s="368">
        <f>IFERROR((INDEX(METADATA!$T$2:$T$20,MATCH(B8347,METADATA!$S$2:$S$20,0))),0)</f>
        <v>0</v>
      </c>
      <c r="E8347" s="312" t="str">
        <f t="shared" si="520"/>
        <v>LO</v>
      </c>
      <c r="F8347" s="369">
        <f>VLOOKUP(C8347,METADATA!$A$5:$H$29,IF(E8347="HI",2,IF(E8347="LO",6,10))+IF(D8347=1,2,IF(D8347=7,1,(IF(WEEKDAY(B8347)=1,2,IF(WEEKDAY(B8347)=7,1,0))))))</f>
        <v>3</v>
      </c>
      <c r="G8347" s="369">
        <f>VLOOKUP(C8347,METADATA!$J$5:$Q$29,IF(E8347="HI",2,IF(E8347="LO",6,10))+IF(D8347=1,2,IF(D8347=7,1,(IF(WEEKDAY(B8347)=1,2,IF(WEEKDAY(B8347)=7,1,0))))))</f>
        <v>3</v>
      </c>
      <c r="H8347" s="370">
        <v>12638.549865722656</v>
      </c>
      <c r="I8347" s="370">
        <v>3759.6900024414063</v>
      </c>
      <c r="M8347" s="371">
        <f t="shared" si="521"/>
        <v>13185.909586479653</v>
      </c>
      <c r="N8347" s="329">
        <f t="shared" si="522"/>
        <v>0</v>
      </c>
      <c r="T8347" s="331">
        <v>0</v>
      </c>
      <c r="U8347" s="328">
        <f>VLOOKUP(C8347,METADATA!$J$5:$Q$29,IF(E8347="HI",2,IF(E8347="LO",6,10))+IF(T8347=1,2,IF(D8347=7,1,(IF(WEEKDAY(B8347)=1,2,IF(WEEKDAY(B8347)=7,1,0))))))</f>
        <v>3</v>
      </c>
      <c r="V8347" s="328">
        <f>VLOOKUP(C8347,METADATA!$A$5:$H$29,IF(E8347="HI",2,IF(E8347="LO",6,10))+IF(T8347=1,2,IF(D8347=7,1,(IF(WEEKDAY(B8347)=1,2,IF(WEEKDAY(B8347)=7,1,0))))))</f>
        <v>3</v>
      </c>
    </row>
    <row r="8348" spans="2:22">
      <c r="B8348" s="318">
        <f t="shared" ref="B8348:B8411" si="523">B8324+1</f>
        <v>46460</v>
      </c>
      <c r="C8348" s="312">
        <v>16</v>
      </c>
      <c r="D8348" s="368">
        <f>IFERROR((INDEX(METADATA!$T$2:$T$20,MATCH(B8348,METADATA!$S$2:$S$20,0))),0)</f>
        <v>0</v>
      </c>
      <c r="E8348" s="312" t="str">
        <f t="shared" si="520"/>
        <v>LO</v>
      </c>
      <c r="F8348" s="369">
        <f>VLOOKUP(C8348,METADATA!$A$5:$H$29,IF(E8348="HI",2,IF(E8348="LO",6,10))+IF(D8348=1,2,IF(D8348=7,1,(IF(WEEKDAY(B8348)=1,2,IF(WEEKDAY(B8348)=7,1,0))))))</f>
        <v>3</v>
      </c>
      <c r="G8348" s="369">
        <f>VLOOKUP(C8348,METADATA!$J$5:$Q$29,IF(E8348="HI",2,IF(E8348="LO",6,10))+IF(D8348=1,2,IF(D8348=7,1,(IF(WEEKDAY(B8348)=1,2,IF(WEEKDAY(B8348)=7,1,0))))))</f>
        <v>3</v>
      </c>
      <c r="H8348" s="370">
        <v>12122.6748046875</v>
      </c>
      <c r="I8348" s="370">
        <v>3521.1350402832031</v>
      </c>
      <c r="M8348" s="371">
        <f t="shared" si="521"/>
        <v>12623.693452873264</v>
      </c>
      <c r="N8348" s="329">
        <f t="shared" si="522"/>
        <v>0</v>
      </c>
      <c r="T8348" s="331">
        <v>0</v>
      </c>
      <c r="U8348" s="328">
        <f>VLOOKUP(C8348,METADATA!$J$5:$Q$29,IF(E8348="HI",2,IF(E8348="LO",6,10))+IF(T8348=1,2,IF(D8348=7,1,(IF(WEEKDAY(B8348)=1,2,IF(WEEKDAY(B8348)=7,1,0))))))</f>
        <v>3</v>
      </c>
      <c r="V8348" s="328">
        <f>VLOOKUP(C8348,METADATA!$A$5:$H$29,IF(E8348="HI",2,IF(E8348="LO",6,10))+IF(T8348=1,2,IF(D8348=7,1,(IF(WEEKDAY(B8348)=1,2,IF(WEEKDAY(B8348)=7,1,0))))))</f>
        <v>3</v>
      </c>
    </row>
    <row r="8349" spans="2:22">
      <c r="B8349" s="318">
        <f t="shared" si="523"/>
        <v>46460</v>
      </c>
      <c r="C8349" s="312">
        <v>17</v>
      </c>
      <c r="D8349" s="368">
        <f>IFERROR((INDEX(METADATA!$T$2:$T$20,MATCH(B8349,METADATA!$S$2:$S$20,0))),0)</f>
        <v>0</v>
      </c>
      <c r="E8349" s="312" t="str">
        <f t="shared" si="520"/>
        <v>LO</v>
      </c>
      <c r="F8349" s="369">
        <f>VLOOKUP(C8349,METADATA!$A$5:$H$29,IF(E8349="HI",2,IF(E8349="LO",6,10))+IF(D8349=1,2,IF(D8349=7,1,(IF(WEEKDAY(B8349)=1,2,IF(WEEKDAY(B8349)=7,1,0))))))</f>
        <v>3</v>
      </c>
      <c r="G8349" s="369">
        <f>VLOOKUP(C8349,METADATA!$J$5:$Q$29,IF(E8349="HI",2,IF(E8349="LO",6,10))+IF(D8349=1,2,IF(D8349=7,1,(IF(WEEKDAY(B8349)=1,2,IF(WEEKDAY(B8349)=7,1,0))))))</f>
        <v>3</v>
      </c>
      <c r="H8349" s="370">
        <v>12182.824829101563</v>
      </c>
      <c r="I8349" s="370">
        <v>3452.0349884033203</v>
      </c>
      <c r="M8349" s="371">
        <f t="shared" si="521"/>
        <v>12662.4549901563</v>
      </c>
      <c r="N8349" s="329">
        <f t="shared" si="522"/>
        <v>0</v>
      </c>
      <c r="T8349" s="331">
        <v>0</v>
      </c>
      <c r="U8349" s="328">
        <f>VLOOKUP(C8349,METADATA!$J$5:$Q$29,IF(E8349="HI",2,IF(E8349="LO",6,10))+IF(T8349=1,2,IF(D8349=7,1,(IF(WEEKDAY(B8349)=1,2,IF(WEEKDAY(B8349)=7,1,0))))))</f>
        <v>3</v>
      </c>
      <c r="V8349" s="328">
        <f>VLOOKUP(C8349,METADATA!$A$5:$H$29,IF(E8349="HI",2,IF(E8349="LO",6,10))+IF(T8349=1,2,IF(D8349=7,1,(IF(WEEKDAY(B8349)=1,2,IF(WEEKDAY(B8349)=7,1,0))))))</f>
        <v>3</v>
      </c>
    </row>
    <row r="8350" spans="2:22">
      <c r="B8350" s="318">
        <f t="shared" si="523"/>
        <v>46460</v>
      </c>
      <c r="C8350" s="312">
        <v>18</v>
      </c>
      <c r="D8350" s="368">
        <f>IFERROR((INDEX(METADATA!$T$2:$T$20,MATCH(B8350,METADATA!$S$2:$S$20,0))),0)</f>
        <v>0</v>
      </c>
      <c r="E8350" s="312" t="str">
        <f t="shared" si="520"/>
        <v>LO</v>
      </c>
      <c r="F8350" s="369">
        <f>VLOOKUP(C8350,METADATA!$A$5:$H$29,IF(E8350="HI",2,IF(E8350="LO",6,10))+IF(D8350=1,2,IF(D8350=7,1,(IF(WEEKDAY(B8350)=1,2,IF(WEEKDAY(B8350)=7,1,0))))))</f>
        <v>2</v>
      </c>
      <c r="G8350" s="369">
        <f>VLOOKUP(C8350,METADATA!$J$5:$Q$29,IF(E8350="HI",2,IF(E8350="LO",6,10))+IF(D8350=1,2,IF(D8350=7,1,(IF(WEEKDAY(B8350)=1,2,IF(WEEKDAY(B8350)=7,1,0))))))</f>
        <v>2</v>
      </c>
      <c r="H8350" s="370">
        <v>12480.325500488281</v>
      </c>
      <c r="I8350" s="370">
        <v>3610.7648773193359</v>
      </c>
      <c r="M8350" s="371">
        <f t="shared" si="521"/>
        <v>12992.157157201455</v>
      </c>
      <c r="N8350" s="329">
        <f t="shared" si="522"/>
        <v>0</v>
      </c>
      <c r="T8350" s="331">
        <v>0</v>
      </c>
      <c r="U8350" s="328">
        <f>VLOOKUP(C8350,METADATA!$J$5:$Q$29,IF(E8350="HI",2,IF(E8350="LO",6,10))+IF(T8350=1,2,IF(D8350=7,1,(IF(WEEKDAY(B8350)=1,2,IF(WEEKDAY(B8350)=7,1,0))))))</f>
        <v>2</v>
      </c>
      <c r="V8350" s="328">
        <f>VLOOKUP(C8350,METADATA!$A$5:$H$29,IF(E8350="HI",2,IF(E8350="LO",6,10))+IF(T8350=1,2,IF(D8350=7,1,(IF(WEEKDAY(B8350)=1,2,IF(WEEKDAY(B8350)=7,1,0))))))</f>
        <v>2</v>
      </c>
    </row>
    <row r="8351" spans="2:22">
      <c r="B8351" s="318">
        <f t="shared" si="523"/>
        <v>46460</v>
      </c>
      <c r="C8351" s="312">
        <v>19</v>
      </c>
      <c r="D8351" s="368">
        <f>IFERROR((INDEX(METADATA!$T$2:$T$20,MATCH(B8351,METADATA!$S$2:$S$20,0))),0)</f>
        <v>0</v>
      </c>
      <c r="E8351" s="312" t="str">
        <f t="shared" si="520"/>
        <v>LO</v>
      </c>
      <c r="F8351" s="369">
        <f>VLOOKUP(C8351,METADATA!$A$5:$H$29,IF(E8351="HI",2,IF(E8351="LO",6,10))+IF(D8351=1,2,IF(D8351=7,1,(IF(WEEKDAY(B8351)=1,2,IF(WEEKDAY(B8351)=7,1,0))))))</f>
        <v>2</v>
      </c>
      <c r="G8351" s="369">
        <f>VLOOKUP(C8351,METADATA!$J$5:$Q$29,IF(E8351="HI",2,IF(E8351="LO",6,10))+IF(D8351=1,2,IF(D8351=7,1,(IF(WEEKDAY(B8351)=1,2,IF(WEEKDAY(B8351)=7,1,0))))))</f>
        <v>2</v>
      </c>
      <c r="H8351" s="370">
        <v>12394.750183105469</v>
      </c>
      <c r="I8351" s="370">
        <v>3624.0450439453125</v>
      </c>
      <c r="M8351" s="371">
        <f t="shared" si="521"/>
        <v>12913.695620624549</v>
      </c>
      <c r="N8351" s="329">
        <f t="shared" si="522"/>
        <v>0</v>
      </c>
      <c r="T8351" s="331">
        <v>0</v>
      </c>
      <c r="U8351" s="328">
        <f>VLOOKUP(C8351,METADATA!$J$5:$Q$29,IF(E8351="HI",2,IF(E8351="LO",6,10))+IF(T8351=1,2,IF(D8351=7,1,(IF(WEEKDAY(B8351)=1,2,IF(WEEKDAY(B8351)=7,1,0))))))</f>
        <v>2</v>
      </c>
      <c r="V8351" s="328">
        <f>VLOOKUP(C8351,METADATA!$A$5:$H$29,IF(E8351="HI",2,IF(E8351="LO",6,10))+IF(T8351=1,2,IF(D8351=7,1,(IF(WEEKDAY(B8351)=1,2,IF(WEEKDAY(B8351)=7,1,0))))))</f>
        <v>2</v>
      </c>
    </row>
    <row r="8352" spans="2:22">
      <c r="B8352" s="318">
        <f t="shared" si="523"/>
        <v>46460</v>
      </c>
      <c r="C8352" s="312">
        <v>20</v>
      </c>
      <c r="D8352" s="368">
        <f>IFERROR((INDEX(METADATA!$T$2:$T$20,MATCH(B8352,METADATA!$S$2:$S$20,0))),0)</f>
        <v>0</v>
      </c>
      <c r="E8352" s="312" t="str">
        <f t="shared" si="520"/>
        <v>LO</v>
      </c>
      <c r="F8352" s="369">
        <f>VLOOKUP(C8352,METADATA!$A$5:$H$29,IF(E8352="HI",2,IF(E8352="LO",6,10))+IF(D8352=1,2,IF(D8352=7,1,(IF(WEEKDAY(B8352)=1,2,IF(WEEKDAY(B8352)=7,1,0))))))</f>
        <v>3</v>
      </c>
      <c r="G8352" s="369">
        <f>VLOOKUP(C8352,METADATA!$J$5:$Q$29,IF(E8352="HI",2,IF(E8352="LO",6,10))+IF(D8352=1,2,IF(D8352=7,1,(IF(WEEKDAY(B8352)=1,2,IF(WEEKDAY(B8352)=7,1,0))))))</f>
        <v>3</v>
      </c>
      <c r="H8352" s="370">
        <v>12316.174926757813</v>
      </c>
      <c r="I8352" s="370">
        <v>3534.1000366210938</v>
      </c>
      <c r="M8352" s="371">
        <f t="shared" si="521"/>
        <v>12813.197411081397</v>
      </c>
      <c r="N8352" s="329">
        <f t="shared" si="522"/>
        <v>0</v>
      </c>
      <c r="T8352" s="331">
        <v>0</v>
      </c>
      <c r="U8352" s="328">
        <f>VLOOKUP(C8352,METADATA!$J$5:$Q$29,IF(E8352="HI",2,IF(E8352="LO",6,10))+IF(T8352=1,2,IF(D8352=7,1,(IF(WEEKDAY(B8352)=1,2,IF(WEEKDAY(B8352)=7,1,0))))))</f>
        <v>3</v>
      </c>
      <c r="V8352" s="328">
        <f>VLOOKUP(C8352,METADATA!$A$5:$H$29,IF(E8352="HI",2,IF(E8352="LO",6,10))+IF(T8352=1,2,IF(D8352=7,1,(IF(WEEKDAY(B8352)=1,2,IF(WEEKDAY(B8352)=7,1,0))))))</f>
        <v>3</v>
      </c>
    </row>
    <row r="8353" spans="2:22">
      <c r="B8353" s="318">
        <f t="shared" si="523"/>
        <v>46460</v>
      </c>
      <c r="C8353" s="312">
        <v>21</v>
      </c>
      <c r="D8353" s="368">
        <f>IFERROR((INDEX(METADATA!$T$2:$T$20,MATCH(B8353,METADATA!$S$2:$S$20,0))),0)</f>
        <v>0</v>
      </c>
      <c r="E8353" s="312" t="str">
        <f t="shared" si="520"/>
        <v>LO</v>
      </c>
      <c r="F8353" s="369">
        <f>VLOOKUP(C8353,METADATA!$A$5:$H$29,IF(E8353="HI",2,IF(E8353="LO",6,10))+IF(D8353=1,2,IF(D8353=7,1,(IF(WEEKDAY(B8353)=1,2,IF(WEEKDAY(B8353)=7,1,0))))))</f>
        <v>3</v>
      </c>
      <c r="G8353" s="369">
        <f>VLOOKUP(C8353,METADATA!$J$5:$Q$29,IF(E8353="HI",2,IF(E8353="LO",6,10))+IF(D8353=1,2,IF(D8353=7,1,(IF(WEEKDAY(B8353)=1,2,IF(WEEKDAY(B8353)=7,1,0))))))</f>
        <v>3</v>
      </c>
      <c r="H8353" s="370">
        <v>11778.250183105469</v>
      </c>
      <c r="I8353" s="370">
        <v>3064.9950256347656</v>
      </c>
      <c r="M8353" s="371">
        <f t="shared" si="521"/>
        <v>12170.512391965667</v>
      </c>
      <c r="N8353" s="329">
        <f t="shared" si="522"/>
        <v>0</v>
      </c>
      <c r="T8353" s="331">
        <v>0</v>
      </c>
      <c r="U8353" s="328">
        <f>VLOOKUP(C8353,METADATA!$J$5:$Q$29,IF(E8353="HI",2,IF(E8353="LO",6,10))+IF(T8353=1,2,IF(D8353=7,1,(IF(WEEKDAY(B8353)=1,2,IF(WEEKDAY(B8353)=7,1,0))))))</f>
        <v>3</v>
      </c>
      <c r="V8353" s="328">
        <f>VLOOKUP(C8353,METADATA!$A$5:$H$29,IF(E8353="HI",2,IF(E8353="LO",6,10))+IF(T8353=1,2,IF(D8353=7,1,(IF(WEEKDAY(B8353)=1,2,IF(WEEKDAY(B8353)=7,1,0))))))</f>
        <v>3</v>
      </c>
    </row>
    <row r="8354" spans="2:22">
      <c r="B8354" s="318">
        <f t="shared" si="523"/>
        <v>46460</v>
      </c>
      <c r="C8354" s="312">
        <v>22</v>
      </c>
      <c r="D8354" s="368">
        <f>IFERROR((INDEX(METADATA!$T$2:$T$20,MATCH(B8354,METADATA!$S$2:$S$20,0))),0)</f>
        <v>0</v>
      </c>
      <c r="E8354" s="312" t="str">
        <f t="shared" si="520"/>
        <v>LO</v>
      </c>
      <c r="F8354" s="369">
        <f>VLOOKUP(C8354,METADATA!$A$5:$H$29,IF(E8354="HI",2,IF(E8354="LO",6,10))+IF(D8354=1,2,IF(D8354=7,1,(IF(WEEKDAY(B8354)=1,2,IF(WEEKDAY(B8354)=7,1,0))))))</f>
        <v>3</v>
      </c>
      <c r="G8354" s="369">
        <f>VLOOKUP(C8354,METADATA!$J$5:$Q$29,IF(E8354="HI",2,IF(E8354="LO",6,10))+IF(D8354=1,2,IF(D8354=7,1,(IF(WEEKDAY(B8354)=1,2,IF(WEEKDAY(B8354)=7,1,0))))))</f>
        <v>3</v>
      </c>
      <c r="H8354" s="370">
        <v>12288.025085449219</v>
      </c>
      <c r="I8354" s="370">
        <v>3642.7300415039063</v>
      </c>
      <c r="M8354" s="371">
        <f t="shared" si="521"/>
        <v>12816.592474441259</v>
      </c>
      <c r="N8354" s="329">
        <f t="shared" si="522"/>
        <v>0</v>
      </c>
      <c r="T8354" s="331">
        <v>0</v>
      </c>
      <c r="U8354" s="328">
        <f>VLOOKUP(C8354,METADATA!$J$5:$Q$29,IF(E8354="HI",2,IF(E8354="LO",6,10))+IF(T8354=1,2,IF(D8354=7,1,(IF(WEEKDAY(B8354)=1,2,IF(WEEKDAY(B8354)=7,1,0))))))</f>
        <v>3</v>
      </c>
      <c r="V8354" s="328">
        <f>VLOOKUP(C8354,METADATA!$A$5:$H$29,IF(E8354="HI",2,IF(E8354="LO",6,10))+IF(T8354=1,2,IF(D8354=7,1,(IF(WEEKDAY(B8354)=1,2,IF(WEEKDAY(B8354)=7,1,0))))))</f>
        <v>3</v>
      </c>
    </row>
    <row r="8355" spans="2:22">
      <c r="B8355" s="318">
        <f t="shared" si="523"/>
        <v>46460</v>
      </c>
      <c r="C8355" s="312">
        <v>23</v>
      </c>
      <c r="D8355" s="368">
        <f>IFERROR((INDEX(METADATA!$T$2:$T$20,MATCH(B8355,METADATA!$S$2:$S$20,0))),0)</f>
        <v>0</v>
      </c>
      <c r="E8355" s="312" t="str">
        <f t="shared" si="520"/>
        <v>LO</v>
      </c>
      <c r="F8355" s="369">
        <f>VLOOKUP(C8355,METADATA!$A$5:$H$29,IF(E8355="HI",2,IF(E8355="LO",6,10))+IF(D8355=1,2,IF(D8355=7,1,(IF(WEEKDAY(B8355)=1,2,IF(WEEKDAY(B8355)=7,1,0))))))</f>
        <v>3</v>
      </c>
      <c r="G8355" s="369">
        <f>VLOOKUP(C8355,METADATA!$J$5:$Q$29,IF(E8355="HI",2,IF(E8355="LO",6,10))+IF(D8355=1,2,IF(D8355=7,1,(IF(WEEKDAY(B8355)=1,2,IF(WEEKDAY(B8355)=7,1,0))))))</f>
        <v>3</v>
      </c>
      <c r="H8355" s="370">
        <v>12273.924926757813</v>
      </c>
      <c r="I8355" s="370">
        <v>3628.5049896240234</v>
      </c>
      <c r="M8355" s="371">
        <f t="shared" si="521"/>
        <v>12799.034399805838</v>
      </c>
      <c r="N8355" s="329">
        <f t="shared" si="522"/>
        <v>0</v>
      </c>
      <c r="T8355" s="331">
        <v>0</v>
      </c>
      <c r="U8355" s="328">
        <f>VLOOKUP(C8355,METADATA!$J$5:$Q$29,IF(E8355="HI",2,IF(E8355="LO",6,10))+IF(T8355=1,2,IF(D8355=7,1,(IF(WEEKDAY(B8355)=1,2,IF(WEEKDAY(B8355)=7,1,0))))))</f>
        <v>3</v>
      </c>
      <c r="V8355" s="328">
        <f>VLOOKUP(C8355,METADATA!$A$5:$H$29,IF(E8355="HI",2,IF(E8355="LO",6,10))+IF(T8355=1,2,IF(D8355=7,1,(IF(WEEKDAY(B8355)=1,2,IF(WEEKDAY(B8355)=7,1,0))))))</f>
        <v>3</v>
      </c>
    </row>
    <row r="8356" spans="2:22">
      <c r="B8356" s="318">
        <f t="shared" si="523"/>
        <v>46461</v>
      </c>
      <c r="C8356" s="312">
        <v>0</v>
      </c>
      <c r="D8356" s="368">
        <f>IFERROR((INDEX(METADATA!$T$2:$T$20,MATCH(B8356,METADATA!$S$2:$S$20,0))),0)</f>
        <v>0</v>
      </c>
      <c r="E8356" s="312" t="str">
        <f t="shared" si="520"/>
        <v>LO</v>
      </c>
      <c r="F8356" s="369">
        <f>VLOOKUP(C8356,METADATA!$A$5:$H$29,IF(E8356="HI",2,IF(E8356="LO",6,10))+IF(D8356=1,2,IF(D8356=7,1,(IF(WEEKDAY(B8356)=1,2,IF(WEEKDAY(B8356)=7,1,0))))))</f>
        <v>3</v>
      </c>
      <c r="G8356" s="369">
        <f>VLOOKUP(C8356,METADATA!$J$5:$Q$29,IF(E8356="HI",2,IF(E8356="LO",6,10))+IF(D8356=1,2,IF(D8356=7,1,(IF(WEEKDAY(B8356)=1,2,IF(WEEKDAY(B8356)=7,1,0))))))</f>
        <v>3</v>
      </c>
      <c r="H8356" s="370">
        <v>12252.499755859375</v>
      </c>
      <c r="I8356" s="370">
        <v>3741.8149719238281</v>
      </c>
      <c r="M8356" s="371">
        <f t="shared" si="521"/>
        <v>12811.12522581242</v>
      </c>
      <c r="N8356" s="329">
        <f t="shared" si="522"/>
        <v>66.065045166015807</v>
      </c>
      <c r="T8356" s="331">
        <v>0</v>
      </c>
      <c r="U8356" s="328">
        <f>VLOOKUP(C8356,METADATA!$J$5:$Q$29,IF(E8356="HI",2,IF(E8356="LO",6,10))+IF(T8356=1,2,IF(D8356=7,1,(IF(WEEKDAY(B8356)=1,2,IF(WEEKDAY(B8356)=7,1,0))))))</f>
        <v>3</v>
      </c>
      <c r="V8356" s="328">
        <f>VLOOKUP(C8356,METADATA!$A$5:$H$29,IF(E8356="HI",2,IF(E8356="LO",6,10))+IF(T8356=1,2,IF(D8356=7,1,(IF(WEEKDAY(B8356)=1,2,IF(WEEKDAY(B8356)=7,1,0))))))</f>
        <v>3</v>
      </c>
    </row>
    <row r="8357" spans="2:22">
      <c r="B8357" s="318">
        <f t="shared" si="523"/>
        <v>46461</v>
      </c>
      <c r="C8357" s="312">
        <v>1</v>
      </c>
      <c r="D8357" s="368">
        <f>IFERROR((INDEX(METADATA!$T$2:$T$20,MATCH(B8357,METADATA!$S$2:$S$20,0))),0)</f>
        <v>0</v>
      </c>
      <c r="E8357" s="312" t="str">
        <f t="shared" si="520"/>
        <v>LO</v>
      </c>
      <c r="F8357" s="369">
        <f>VLOOKUP(C8357,METADATA!$A$5:$H$29,IF(E8357="HI",2,IF(E8357="LO",6,10))+IF(D8357=1,2,IF(D8357=7,1,(IF(WEEKDAY(B8357)=1,2,IF(WEEKDAY(B8357)=7,1,0))))))</f>
        <v>3</v>
      </c>
      <c r="G8357" s="369">
        <f>VLOOKUP(C8357,METADATA!$J$5:$Q$29,IF(E8357="HI",2,IF(E8357="LO",6,10))+IF(D8357=1,2,IF(D8357=7,1,(IF(WEEKDAY(B8357)=1,2,IF(WEEKDAY(B8357)=7,1,0))))))</f>
        <v>3</v>
      </c>
      <c r="H8357" s="370">
        <v>12344.222778320313</v>
      </c>
      <c r="I8357" s="370">
        <v>3598.2200164794922</v>
      </c>
      <c r="M8357" s="371">
        <f t="shared" si="521"/>
        <v>12857.955641850524</v>
      </c>
      <c r="N8357" s="329">
        <f t="shared" si="522"/>
        <v>0</v>
      </c>
      <c r="T8357" s="331">
        <v>0</v>
      </c>
      <c r="U8357" s="328">
        <f>VLOOKUP(C8357,METADATA!$J$5:$Q$29,IF(E8357="HI",2,IF(E8357="LO",6,10))+IF(T8357=1,2,IF(D8357=7,1,(IF(WEEKDAY(B8357)=1,2,IF(WEEKDAY(B8357)=7,1,0))))))</f>
        <v>3</v>
      </c>
      <c r="V8357" s="328">
        <f>VLOOKUP(C8357,METADATA!$A$5:$H$29,IF(E8357="HI",2,IF(E8357="LO",6,10))+IF(T8357=1,2,IF(D8357=7,1,(IF(WEEKDAY(B8357)=1,2,IF(WEEKDAY(B8357)=7,1,0))))))</f>
        <v>3</v>
      </c>
    </row>
    <row r="8358" spans="2:22">
      <c r="B8358" s="318">
        <f t="shared" si="523"/>
        <v>46461</v>
      </c>
      <c r="C8358" s="312">
        <v>2</v>
      </c>
      <c r="D8358" s="368">
        <f>IFERROR((INDEX(METADATA!$T$2:$T$20,MATCH(B8358,METADATA!$S$2:$S$20,0))),0)</f>
        <v>0</v>
      </c>
      <c r="E8358" s="312" t="str">
        <f t="shared" si="520"/>
        <v>LO</v>
      </c>
      <c r="F8358" s="369">
        <f>VLOOKUP(C8358,METADATA!$A$5:$H$29,IF(E8358="HI",2,IF(E8358="LO",6,10))+IF(D8358=1,2,IF(D8358=7,1,(IF(WEEKDAY(B8358)=1,2,IF(WEEKDAY(B8358)=7,1,0))))))</f>
        <v>3</v>
      </c>
      <c r="G8358" s="369">
        <f>VLOOKUP(C8358,METADATA!$J$5:$Q$29,IF(E8358="HI",2,IF(E8358="LO",6,10))+IF(D8358=1,2,IF(D8358=7,1,(IF(WEEKDAY(B8358)=1,2,IF(WEEKDAY(B8358)=7,1,0))))))</f>
        <v>3</v>
      </c>
      <c r="H8358" s="370">
        <v>12215.174926757813</v>
      </c>
      <c r="I8358" s="370">
        <v>3550.8849334716797</v>
      </c>
      <c r="M8358" s="371">
        <f t="shared" si="521"/>
        <v>12720.820818722701</v>
      </c>
      <c r="N8358" s="329">
        <f t="shared" si="522"/>
        <v>0</v>
      </c>
      <c r="T8358" s="331">
        <v>0</v>
      </c>
      <c r="U8358" s="328">
        <f>VLOOKUP(C8358,METADATA!$J$5:$Q$29,IF(E8358="HI",2,IF(E8358="LO",6,10))+IF(T8358=1,2,IF(D8358=7,1,(IF(WEEKDAY(B8358)=1,2,IF(WEEKDAY(B8358)=7,1,0))))))</f>
        <v>3</v>
      </c>
      <c r="V8358" s="328">
        <f>VLOOKUP(C8358,METADATA!$A$5:$H$29,IF(E8358="HI",2,IF(E8358="LO",6,10))+IF(T8358=1,2,IF(D8358=7,1,(IF(WEEKDAY(B8358)=1,2,IF(WEEKDAY(B8358)=7,1,0))))))</f>
        <v>3</v>
      </c>
    </row>
    <row r="8359" spans="2:22">
      <c r="B8359" s="318">
        <f t="shared" si="523"/>
        <v>46461</v>
      </c>
      <c r="C8359" s="312">
        <v>3</v>
      </c>
      <c r="D8359" s="368">
        <f>IFERROR((INDEX(METADATA!$T$2:$T$20,MATCH(B8359,METADATA!$S$2:$S$20,0))),0)</f>
        <v>0</v>
      </c>
      <c r="E8359" s="312" t="str">
        <f t="shared" si="520"/>
        <v>LO</v>
      </c>
      <c r="F8359" s="369">
        <f>VLOOKUP(C8359,METADATA!$A$5:$H$29,IF(E8359="HI",2,IF(E8359="LO",6,10))+IF(D8359=1,2,IF(D8359=7,1,(IF(WEEKDAY(B8359)=1,2,IF(WEEKDAY(B8359)=7,1,0))))))</f>
        <v>3</v>
      </c>
      <c r="G8359" s="369">
        <f>VLOOKUP(C8359,METADATA!$J$5:$Q$29,IF(E8359="HI",2,IF(E8359="LO",6,10))+IF(D8359=1,2,IF(D8359=7,1,(IF(WEEKDAY(B8359)=1,2,IF(WEEKDAY(B8359)=7,1,0))))))</f>
        <v>3</v>
      </c>
      <c r="H8359" s="370">
        <v>12168.200073242188</v>
      </c>
      <c r="I8359" s="370">
        <v>3262.8599395751953</v>
      </c>
      <c r="M8359" s="371">
        <f t="shared" si="521"/>
        <v>12598.069217452959</v>
      </c>
      <c r="N8359" s="329">
        <f t="shared" si="522"/>
        <v>0</v>
      </c>
      <c r="T8359" s="331">
        <v>0</v>
      </c>
      <c r="U8359" s="328">
        <f>VLOOKUP(C8359,METADATA!$J$5:$Q$29,IF(E8359="HI",2,IF(E8359="LO",6,10))+IF(T8359=1,2,IF(D8359=7,1,(IF(WEEKDAY(B8359)=1,2,IF(WEEKDAY(B8359)=7,1,0))))))</f>
        <v>3</v>
      </c>
      <c r="V8359" s="328">
        <f>VLOOKUP(C8359,METADATA!$A$5:$H$29,IF(E8359="HI",2,IF(E8359="LO",6,10))+IF(T8359=1,2,IF(D8359=7,1,(IF(WEEKDAY(B8359)=1,2,IF(WEEKDAY(B8359)=7,1,0))))))</f>
        <v>3</v>
      </c>
    </row>
    <row r="8360" spans="2:22">
      <c r="B8360" s="318">
        <f t="shared" si="523"/>
        <v>46461</v>
      </c>
      <c r="C8360" s="312">
        <v>4</v>
      </c>
      <c r="D8360" s="368">
        <f>IFERROR((INDEX(METADATA!$T$2:$T$20,MATCH(B8360,METADATA!$S$2:$S$20,0))),0)</f>
        <v>0</v>
      </c>
      <c r="E8360" s="312" t="str">
        <f t="shared" si="520"/>
        <v>LO</v>
      </c>
      <c r="F8360" s="369">
        <f>VLOOKUP(C8360,METADATA!$A$5:$H$29,IF(E8360="HI",2,IF(E8360="LO",6,10))+IF(D8360=1,2,IF(D8360=7,1,(IF(WEEKDAY(B8360)=1,2,IF(WEEKDAY(B8360)=7,1,0))))))</f>
        <v>3</v>
      </c>
      <c r="G8360" s="369">
        <f>VLOOKUP(C8360,METADATA!$J$5:$Q$29,IF(E8360="HI",2,IF(E8360="LO",6,10))+IF(D8360=1,2,IF(D8360=7,1,(IF(WEEKDAY(B8360)=1,2,IF(WEEKDAY(B8360)=7,1,0))))))</f>
        <v>3</v>
      </c>
      <c r="H8360" s="370">
        <v>12263.625</v>
      </c>
      <c r="I8360" s="370">
        <v>3351.6500396728516</v>
      </c>
      <c r="M8360" s="371">
        <f t="shared" si="521"/>
        <v>12713.380987332364</v>
      </c>
      <c r="N8360" s="329">
        <f t="shared" si="522"/>
        <v>0</v>
      </c>
      <c r="T8360" s="331">
        <v>0</v>
      </c>
      <c r="U8360" s="328">
        <f>VLOOKUP(C8360,METADATA!$J$5:$Q$29,IF(E8360="HI",2,IF(E8360="LO",6,10))+IF(T8360=1,2,IF(D8360=7,1,(IF(WEEKDAY(B8360)=1,2,IF(WEEKDAY(B8360)=7,1,0))))))</f>
        <v>3</v>
      </c>
      <c r="V8360" s="328">
        <f>VLOOKUP(C8360,METADATA!$A$5:$H$29,IF(E8360="HI",2,IF(E8360="LO",6,10))+IF(T8360=1,2,IF(D8360=7,1,(IF(WEEKDAY(B8360)=1,2,IF(WEEKDAY(B8360)=7,1,0))))))</f>
        <v>3</v>
      </c>
    </row>
    <row r="8361" spans="2:22">
      <c r="B8361" s="318">
        <f t="shared" si="523"/>
        <v>46461</v>
      </c>
      <c r="C8361" s="312">
        <v>5</v>
      </c>
      <c r="D8361" s="368">
        <f>IFERROR((INDEX(METADATA!$T$2:$T$20,MATCH(B8361,METADATA!$S$2:$S$20,0))),0)</f>
        <v>0</v>
      </c>
      <c r="E8361" s="312" t="str">
        <f t="shared" si="520"/>
        <v>LO</v>
      </c>
      <c r="F8361" s="369">
        <f>VLOOKUP(C8361,METADATA!$A$5:$H$29,IF(E8361="HI",2,IF(E8361="LO",6,10))+IF(D8361=1,2,IF(D8361=7,1,(IF(WEEKDAY(B8361)=1,2,IF(WEEKDAY(B8361)=7,1,0))))))</f>
        <v>3</v>
      </c>
      <c r="G8361" s="369">
        <f>VLOOKUP(C8361,METADATA!$J$5:$Q$29,IF(E8361="HI",2,IF(E8361="LO",6,10))+IF(D8361=1,2,IF(D8361=7,1,(IF(WEEKDAY(B8361)=1,2,IF(WEEKDAY(B8361)=7,1,0))))))</f>
        <v>3</v>
      </c>
      <c r="H8361" s="370">
        <v>12245.875</v>
      </c>
      <c r="I8361" s="370">
        <v>3282.0299682617188</v>
      </c>
      <c r="M8361" s="371">
        <f t="shared" si="521"/>
        <v>12678.058811513418</v>
      </c>
      <c r="N8361" s="329">
        <f t="shared" si="522"/>
        <v>0</v>
      </c>
      <c r="T8361" s="331">
        <v>0</v>
      </c>
      <c r="U8361" s="328">
        <f>VLOOKUP(C8361,METADATA!$J$5:$Q$29,IF(E8361="HI",2,IF(E8361="LO",6,10))+IF(T8361=1,2,IF(D8361=7,1,(IF(WEEKDAY(B8361)=1,2,IF(WEEKDAY(B8361)=7,1,0))))))</f>
        <v>3</v>
      </c>
      <c r="V8361" s="328">
        <f>VLOOKUP(C8361,METADATA!$A$5:$H$29,IF(E8361="HI",2,IF(E8361="LO",6,10))+IF(T8361=1,2,IF(D8361=7,1,(IF(WEEKDAY(B8361)=1,2,IF(WEEKDAY(B8361)=7,1,0))))))</f>
        <v>3</v>
      </c>
    </row>
    <row r="8362" spans="2:22">
      <c r="B8362" s="318">
        <f t="shared" si="523"/>
        <v>46461</v>
      </c>
      <c r="C8362" s="312">
        <v>6</v>
      </c>
      <c r="D8362" s="368">
        <f>IFERROR((INDEX(METADATA!$T$2:$T$20,MATCH(B8362,METADATA!$S$2:$S$20,0))),0)</f>
        <v>0</v>
      </c>
      <c r="E8362" s="312" t="str">
        <f t="shared" si="520"/>
        <v>LO</v>
      </c>
      <c r="F8362" s="369">
        <f>VLOOKUP(C8362,METADATA!$A$5:$H$29,IF(E8362="HI",2,IF(E8362="LO",6,10))+IF(D8362=1,2,IF(D8362=7,1,(IF(WEEKDAY(B8362)=1,2,IF(WEEKDAY(B8362)=7,1,0))))))</f>
        <v>2</v>
      </c>
      <c r="G8362" s="369">
        <f>VLOOKUP(C8362,METADATA!$J$5:$Q$29,IF(E8362="HI",2,IF(E8362="LO",6,10))+IF(D8362=1,2,IF(D8362=7,1,(IF(WEEKDAY(B8362)=1,2,IF(WEEKDAY(B8362)=7,1,0))))))</f>
        <v>2</v>
      </c>
      <c r="H8362" s="370">
        <v>8067.9052124023438</v>
      </c>
      <c r="I8362" s="370">
        <v>2137.9100303649902</v>
      </c>
      <c r="M8362" s="371">
        <f t="shared" si="521"/>
        <v>8346.361711203519</v>
      </c>
      <c r="N8362" s="329">
        <f t="shared" si="522"/>
        <v>0</v>
      </c>
      <c r="T8362" s="331">
        <v>0</v>
      </c>
      <c r="U8362" s="328">
        <f>VLOOKUP(C8362,METADATA!$J$5:$Q$29,IF(E8362="HI",2,IF(E8362="LO",6,10))+IF(T8362=1,2,IF(D8362=7,1,(IF(WEEKDAY(B8362)=1,2,IF(WEEKDAY(B8362)=7,1,0))))))</f>
        <v>2</v>
      </c>
      <c r="V8362" s="328">
        <f>VLOOKUP(C8362,METADATA!$A$5:$H$29,IF(E8362="HI",2,IF(E8362="LO",6,10))+IF(T8362=1,2,IF(D8362=7,1,(IF(WEEKDAY(B8362)=1,2,IF(WEEKDAY(B8362)=7,1,0))))))</f>
        <v>2</v>
      </c>
    </row>
    <row r="8363" spans="2:22">
      <c r="B8363" s="318">
        <f t="shared" si="523"/>
        <v>46461</v>
      </c>
      <c r="C8363" s="312">
        <v>7</v>
      </c>
      <c r="D8363" s="368">
        <f>IFERROR((INDEX(METADATA!$T$2:$T$20,MATCH(B8363,METADATA!$S$2:$S$20,0))),0)</f>
        <v>0</v>
      </c>
      <c r="E8363" s="312" t="str">
        <f t="shared" si="520"/>
        <v>LO</v>
      </c>
      <c r="F8363" s="369">
        <f>VLOOKUP(C8363,METADATA!$A$5:$H$29,IF(E8363="HI",2,IF(E8363="LO",6,10))+IF(D8363=1,2,IF(D8363=7,1,(IF(WEEKDAY(B8363)=1,2,IF(WEEKDAY(B8363)=7,1,0))))))</f>
        <v>1</v>
      </c>
      <c r="G8363" s="369">
        <f>VLOOKUP(C8363,METADATA!$J$5:$Q$29,IF(E8363="HI",2,IF(E8363="LO",6,10))+IF(D8363=1,2,IF(D8363=7,1,(IF(WEEKDAY(B8363)=1,2,IF(WEEKDAY(B8363)=7,1,0))))))</f>
        <v>1</v>
      </c>
      <c r="H8363" s="370">
        <v>5951.762451171875</v>
      </c>
      <c r="I8363" s="370">
        <v>1587.2400512695313</v>
      </c>
      <c r="M8363" s="371">
        <f t="shared" si="521"/>
        <v>6159.7733120248467</v>
      </c>
      <c r="N8363" s="329">
        <f t="shared" si="522"/>
        <v>0</v>
      </c>
      <c r="T8363" s="331">
        <v>0</v>
      </c>
      <c r="U8363" s="328">
        <f>VLOOKUP(C8363,METADATA!$J$5:$Q$29,IF(E8363="HI",2,IF(E8363="LO",6,10))+IF(T8363=1,2,IF(D8363=7,1,(IF(WEEKDAY(B8363)=1,2,IF(WEEKDAY(B8363)=7,1,0))))))</f>
        <v>1</v>
      </c>
      <c r="V8363" s="328">
        <f>VLOOKUP(C8363,METADATA!$A$5:$H$29,IF(E8363="HI",2,IF(E8363="LO",6,10))+IF(T8363=1,2,IF(D8363=7,1,(IF(WEEKDAY(B8363)=1,2,IF(WEEKDAY(B8363)=7,1,0))))))</f>
        <v>1</v>
      </c>
    </row>
    <row r="8364" spans="2:22">
      <c r="B8364" s="318">
        <f t="shared" si="523"/>
        <v>46461</v>
      </c>
      <c r="C8364" s="312">
        <v>8</v>
      </c>
      <c r="D8364" s="368">
        <f>IFERROR((INDEX(METADATA!$T$2:$T$20,MATCH(B8364,METADATA!$S$2:$S$20,0))),0)</f>
        <v>0</v>
      </c>
      <c r="E8364" s="312" t="str">
        <f t="shared" si="520"/>
        <v>LO</v>
      </c>
      <c r="F8364" s="369">
        <f>VLOOKUP(C8364,METADATA!$A$5:$H$29,IF(E8364="HI",2,IF(E8364="LO",6,10))+IF(D8364=1,2,IF(D8364=7,1,(IF(WEEKDAY(B8364)=1,2,IF(WEEKDAY(B8364)=7,1,0))))))</f>
        <v>1</v>
      </c>
      <c r="G8364" s="369">
        <f>VLOOKUP(C8364,METADATA!$J$5:$Q$29,IF(E8364="HI",2,IF(E8364="LO",6,10))+IF(D8364=1,2,IF(D8364=7,1,(IF(WEEKDAY(B8364)=1,2,IF(WEEKDAY(B8364)=7,1,0))))))</f>
        <v>1</v>
      </c>
      <c r="H8364" s="370">
        <v>4597.9849853515625</v>
      </c>
      <c r="I8364" s="370">
        <v>1299.8150329589844</v>
      </c>
      <c r="M8364" s="371">
        <f t="shared" si="521"/>
        <v>4778.1780047864031</v>
      </c>
      <c r="N8364" s="329">
        <f t="shared" si="522"/>
        <v>0</v>
      </c>
      <c r="T8364" s="331">
        <v>0</v>
      </c>
      <c r="U8364" s="328">
        <f>VLOOKUP(C8364,METADATA!$J$5:$Q$29,IF(E8364="HI",2,IF(E8364="LO",6,10))+IF(T8364=1,2,IF(D8364=7,1,(IF(WEEKDAY(B8364)=1,2,IF(WEEKDAY(B8364)=7,1,0))))))</f>
        <v>1</v>
      </c>
      <c r="V8364" s="328">
        <f>VLOOKUP(C8364,METADATA!$A$5:$H$29,IF(E8364="HI",2,IF(E8364="LO",6,10))+IF(T8364=1,2,IF(D8364=7,1,(IF(WEEKDAY(B8364)=1,2,IF(WEEKDAY(B8364)=7,1,0))))))</f>
        <v>1</v>
      </c>
    </row>
    <row r="8365" spans="2:22">
      <c r="B8365" s="318">
        <f t="shared" si="523"/>
        <v>46461</v>
      </c>
      <c r="C8365" s="312">
        <v>9</v>
      </c>
      <c r="D8365" s="368">
        <f>IFERROR((INDEX(METADATA!$T$2:$T$20,MATCH(B8365,METADATA!$S$2:$S$20,0))),0)</f>
        <v>0</v>
      </c>
      <c r="E8365" s="312" t="str">
        <f t="shared" si="520"/>
        <v>LO</v>
      </c>
      <c r="F8365" s="369">
        <f>VLOOKUP(C8365,METADATA!$A$5:$H$29,IF(E8365="HI",2,IF(E8365="LO",6,10))+IF(D8365=1,2,IF(D8365=7,1,(IF(WEEKDAY(B8365)=1,2,IF(WEEKDAY(B8365)=7,1,0))))))</f>
        <v>2</v>
      </c>
      <c r="G8365" s="369">
        <f>VLOOKUP(C8365,METADATA!$J$5:$Q$29,IF(E8365="HI",2,IF(E8365="LO",6,10))+IF(D8365=1,2,IF(D8365=7,1,(IF(WEEKDAY(B8365)=1,2,IF(WEEKDAY(B8365)=7,1,0))))))</f>
        <v>2</v>
      </c>
      <c r="H8365" s="370">
        <v>3989.4024963378906</v>
      </c>
      <c r="I8365" s="370">
        <v>1468.0824890136719</v>
      </c>
      <c r="M8365" s="371">
        <f t="shared" si="521"/>
        <v>4250.9526546805446</v>
      </c>
      <c r="N8365" s="329">
        <f t="shared" si="522"/>
        <v>271.26174011230478</v>
      </c>
      <c r="T8365" s="331">
        <v>0</v>
      </c>
      <c r="U8365" s="328">
        <f>VLOOKUP(C8365,METADATA!$J$5:$Q$29,IF(E8365="HI",2,IF(E8365="LO",6,10))+IF(T8365=1,2,IF(D8365=7,1,(IF(WEEKDAY(B8365)=1,2,IF(WEEKDAY(B8365)=7,1,0))))))</f>
        <v>2</v>
      </c>
      <c r="V8365" s="328">
        <f>VLOOKUP(C8365,METADATA!$A$5:$H$29,IF(E8365="HI",2,IF(E8365="LO",6,10))+IF(T8365=1,2,IF(D8365=7,1,(IF(WEEKDAY(B8365)=1,2,IF(WEEKDAY(B8365)=7,1,0))))))</f>
        <v>2</v>
      </c>
    </row>
    <row r="8366" spans="2:22">
      <c r="B8366" s="318">
        <f t="shared" si="523"/>
        <v>46461</v>
      </c>
      <c r="C8366" s="312">
        <v>10</v>
      </c>
      <c r="D8366" s="368">
        <f>IFERROR((INDEX(METADATA!$T$2:$T$20,MATCH(B8366,METADATA!$S$2:$S$20,0))),0)</f>
        <v>0</v>
      </c>
      <c r="E8366" s="312" t="str">
        <f t="shared" si="520"/>
        <v>LO</v>
      </c>
      <c r="F8366" s="369">
        <f>VLOOKUP(C8366,METADATA!$A$5:$H$29,IF(E8366="HI",2,IF(E8366="LO",6,10))+IF(D8366=1,2,IF(D8366=7,1,(IF(WEEKDAY(B8366)=1,2,IF(WEEKDAY(B8366)=7,1,0))))))</f>
        <v>2</v>
      </c>
      <c r="G8366" s="369">
        <f>VLOOKUP(C8366,METADATA!$J$5:$Q$29,IF(E8366="HI",2,IF(E8366="LO",6,10))+IF(D8366=1,2,IF(D8366=7,1,(IF(WEEKDAY(B8366)=1,2,IF(WEEKDAY(B8366)=7,1,0))))))</f>
        <v>2</v>
      </c>
      <c r="H8366" s="370">
        <v>3939.3976135253906</v>
      </c>
      <c r="I8366" s="370">
        <v>1453.3175354003906</v>
      </c>
      <c r="M8366" s="371">
        <f t="shared" si="521"/>
        <v>4198.9266981160563</v>
      </c>
      <c r="N8366" s="329">
        <f t="shared" si="522"/>
        <v>271.49825134277353</v>
      </c>
      <c r="T8366" s="331">
        <v>0</v>
      </c>
      <c r="U8366" s="328">
        <f>VLOOKUP(C8366,METADATA!$J$5:$Q$29,IF(E8366="HI",2,IF(E8366="LO",6,10))+IF(T8366=1,2,IF(D8366=7,1,(IF(WEEKDAY(B8366)=1,2,IF(WEEKDAY(B8366)=7,1,0))))))</f>
        <v>2</v>
      </c>
      <c r="V8366" s="328">
        <f>VLOOKUP(C8366,METADATA!$A$5:$H$29,IF(E8366="HI",2,IF(E8366="LO",6,10))+IF(T8366=1,2,IF(D8366=7,1,(IF(WEEKDAY(B8366)=1,2,IF(WEEKDAY(B8366)=7,1,0))))))</f>
        <v>2</v>
      </c>
    </row>
    <row r="8367" spans="2:22">
      <c r="B8367" s="318">
        <f t="shared" si="523"/>
        <v>46461</v>
      </c>
      <c r="C8367" s="312">
        <v>11</v>
      </c>
      <c r="D8367" s="368">
        <f>IFERROR((INDEX(METADATA!$T$2:$T$20,MATCH(B8367,METADATA!$S$2:$S$20,0))),0)</f>
        <v>0</v>
      </c>
      <c r="E8367" s="312" t="str">
        <f t="shared" si="520"/>
        <v>LO</v>
      </c>
      <c r="F8367" s="369">
        <f>VLOOKUP(C8367,METADATA!$A$5:$H$29,IF(E8367="HI",2,IF(E8367="LO",6,10))+IF(D8367=1,2,IF(D8367=7,1,(IF(WEEKDAY(B8367)=1,2,IF(WEEKDAY(B8367)=7,1,0))))))</f>
        <v>2</v>
      </c>
      <c r="G8367" s="369">
        <f>VLOOKUP(C8367,METADATA!$J$5:$Q$29,IF(E8367="HI",2,IF(E8367="LO",6,10))+IF(D8367=1,2,IF(D8367=7,1,(IF(WEEKDAY(B8367)=1,2,IF(WEEKDAY(B8367)=7,1,0))))))</f>
        <v>2</v>
      </c>
      <c r="H8367" s="370">
        <v>3924.7625427246094</v>
      </c>
      <c r="I8367" s="370">
        <v>1456.4175109863281</v>
      </c>
      <c r="M8367" s="371">
        <f t="shared" si="521"/>
        <v>4186.2767446839616</v>
      </c>
      <c r="N8367" s="329">
        <f t="shared" si="522"/>
        <v>278.98874816894545</v>
      </c>
      <c r="T8367" s="331">
        <v>0</v>
      </c>
      <c r="U8367" s="328">
        <f>VLOOKUP(C8367,METADATA!$J$5:$Q$29,IF(E8367="HI",2,IF(E8367="LO",6,10))+IF(T8367=1,2,IF(D8367=7,1,(IF(WEEKDAY(B8367)=1,2,IF(WEEKDAY(B8367)=7,1,0))))))</f>
        <v>2</v>
      </c>
      <c r="V8367" s="328">
        <f>VLOOKUP(C8367,METADATA!$A$5:$H$29,IF(E8367="HI",2,IF(E8367="LO",6,10))+IF(T8367=1,2,IF(D8367=7,1,(IF(WEEKDAY(B8367)=1,2,IF(WEEKDAY(B8367)=7,1,0))))))</f>
        <v>2</v>
      </c>
    </row>
    <row r="8368" spans="2:22">
      <c r="B8368" s="318">
        <f t="shared" si="523"/>
        <v>46461</v>
      </c>
      <c r="C8368" s="312">
        <v>12</v>
      </c>
      <c r="D8368" s="368">
        <f>IFERROR((INDEX(METADATA!$T$2:$T$20,MATCH(B8368,METADATA!$S$2:$S$20,0))),0)</f>
        <v>0</v>
      </c>
      <c r="E8368" s="312" t="str">
        <f t="shared" si="520"/>
        <v>LO</v>
      </c>
      <c r="F8368" s="369">
        <f>VLOOKUP(C8368,METADATA!$A$5:$H$29,IF(E8368="HI",2,IF(E8368="LO",6,10))+IF(D8368=1,2,IF(D8368=7,1,(IF(WEEKDAY(B8368)=1,2,IF(WEEKDAY(B8368)=7,1,0))))))</f>
        <v>2</v>
      </c>
      <c r="G8368" s="369">
        <f>VLOOKUP(C8368,METADATA!$J$5:$Q$29,IF(E8368="HI",2,IF(E8368="LO",6,10))+IF(D8368=1,2,IF(D8368=7,1,(IF(WEEKDAY(B8368)=1,2,IF(WEEKDAY(B8368)=7,1,0))))))</f>
        <v>2</v>
      </c>
      <c r="H8368" s="370">
        <v>3911.280029296875</v>
      </c>
      <c r="I8368" s="370">
        <v>1432.1525268554688</v>
      </c>
      <c r="M8368" s="371">
        <f t="shared" si="521"/>
        <v>4165.2337662795189</v>
      </c>
      <c r="N8368" s="329">
        <f t="shared" si="522"/>
        <v>258.76851806640639</v>
      </c>
      <c r="T8368" s="331">
        <v>0</v>
      </c>
      <c r="U8368" s="328">
        <f>VLOOKUP(C8368,METADATA!$J$5:$Q$29,IF(E8368="HI",2,IF(E8368="LO",6,10))+IF(T8368=1,2,IF(D8368=7,1,(IF(WEEKDAY(B8368)=1,2,IF(WEEKDAY(B8368)=7,1,0))))))</f>
        <v>2</v>
      </c>
      <c r="V8368" s="328">
        <f>VLOOKUP(C8368,METADATA!$A$5:$H$29,IF(E8368="HI",2,IF(E8368="LO",6,10))+IF(T8368=1,2,IF(D8368=7,1,(IF(WEEKDAY(B8368)=1,2,IF(WEEKDAY(B8368)=7,1,0))))))</f>
        <v>2</v>
      </c>
    </row>
    <row r="8369" spans="2:22">
      <c r="B8369" s="318">
        <f t="shared" si="523"/>
        <v>46461</v>
      </c>
      <c r="C8369" s="312">
        <v>13</v>
      </c>
      <c r="D8369" s="368">
        <f>IFERROR((INDEX(METADATA!$T$2:$T$20,MATCH(B8369,METADATA!$S$2:$S$20,0))),0)</f>
        <v>0</v>
      </c>
      <c r="E8369" s="312" t="str">
        <f t="shared" si="520"/>
        <v>LO</v>
      </c>
      <c r="F8369" s="369">
        <f>VLOOKUP(C8369,METADATA!$A$5:$H$29,IF(E8369="HI",2,IF(E8369="LO",6,10))+IF(D8369=1,2,IF(D8369=7,1,(IF(WEEKDAY(B8369)=1,2,IF(WEEKDAY(B8369)=7,1,0))))))</f>
        <v>2</v>
      </c>
      <c r="G8369" s="369">
        <f>VLOOKUP(C8369,METADATA!$J$5:$Q$29,IF(E8369="HI",2,IF(E8369="LO",6,10))+IF(D8369=1,2,IF(D8369=7,1,(IF(WEEKDAY(B8369)=1,2,IF(WEEKDAY(B8369)=7,1,0))))))</f>
        <v>2</v>
      </c>
      <c r="H8369" s="370">
        <v>4084.5250244140625</v>
      </c>
      <c r="I8369" s="370">
        <v>1424.7349853515625</v>
      </c>
      <c r="M8369" s="371">
        <f t="shared" si="521"/>
        <v>4325.8773044955187</v>
      </c>
      <c r="N8369" s="329">
        <f t="shared" si="522"/>
        <v>199.37747802734384</v>
      </c>
      <c r="T8369" s="331">
        <v>0</v>
      </c>
      <c r="U8369" s="328">
        <f>VLOOKUP(C8369,METADATA!$J$5:$Q$29,IF(E8369="HI",2,IF(E8369="LO",6,10))+IF(T8369=1,2,IF(D8369=7,1,(IF(WEEKDAY(B8369)=1,2,IF(WEEKDAY(B8369)=7,1,0))))))</f>
        <v>2</v>
      </c>
      <c r="V8369" s="328">
        <f>VLOOKUP(C8369,METADATA!$A$5:$H$29,IF(E8369="HI",2,IF(E8369="LO",6,10))+IF(T8369=1,2,IF(D8369=7,1,(IF(WEEKDAY(B8369)=1,2,IF(WEEKDAY(B8369)=7,1,0))))))</f>
        <v>2</v>
      </c>
    </row>
    <row r="8370" spans="2:22">
      <c r="B8370" s="318">
        <f t="shared" si="523"/>
        <v>46461</v>
      </c>
      <c r="C8370" s="312">
        <v>14</v>
      </c>
      <c r="D8370" s="368">
        <f>IFERROR((INDEX(METADATA!$T$2:$T$20,MATCH(B8370,METADATA!$S$2:$S$20,0))),0)</f>
        <v>0</v>
      </c>
      <c r="E8370" s="312" t="str">
        <f t="shared" si="520"/>
        <v>LO</v>
      </c>
      <c r="F8370" s="369">
        <f>VLOOKUP(C8370,METADATA!$A$5:$H$29,IF(E8370="HI",2,IF(E8370="LO",6,10))+IF(D8370=1,2,IF(D8370=7,1,(IF(WEEKDAY(B8370)=1,2,IF(WEEKDAY(B8370)=7,1,0))))))</f>
        <v>2</v>
      </c>
      <c r="G8370" s="369">
        <f>VLOOKUP(C8370,METADATA!$J$5:$Q$29,IF(E8370="HI",2,IF(E8370="LO",6,10))+IF(D8370=1,2,IF(D8370=7,1,(IF(WEEKDAY(B8370)=1,2,IF(WEEKDAY(B8370)=7,1,0))))))</f>
        <v>2</v>
      </c>
      <c r="H8370" s="370">
        <v>4150.7599487304688</v>
      </c>
      <c r="I8370" s="370">
        <v>1463.0400390625</v>
      </c>
      <c r="M8370" s="371">
        <f t="shared" si="521"/>
        <v>4401.0560446198551</v>
      </c>
      <c r="N8370" s="329">
        <f t="shared" si="522"/>
        <v>217.81205444335933</v>
      </c>
      <c r="T8370" s="331">
        <v>0</v>
      </c>
      <c r="U8370" s="328">
        <f>VLOOKUP(C8370,METADATA!$J$5:$Q$29,IF(E8370="HI",2,IF(E8370="LO",6,10))+IF(T8370=1,2,IF(D8370=7,1,(IF(WEEKDAY(B8370)=1,2,IF(WEEKDAY(B8370)=7,1,0))))))</f>
        <v>2</v>
      </c>
      <c r="V8370" s="328">
        <f>VLOOKUP(C8370,METADATA!$A$5:$H$29,IF(E8370="HI",2,IF(E8370="LO",6,10))+IF(T8370=1,2,IF(D8370=7,1,(IF(WEEKDAY(B8370)=1,2,IF(WEEKDAY(B8370)=7,1,0))))))</f>
        <v>2</v>
      </c>
    </row>
    <row r="8371" spans="2:22">
      <c r="B8371" s="318">
        <f t="shared" si="523"/>
        <v>46461</v>
      </c>
      <c r="C8371" s="312">
        <v>15</v>
      </c>
      <c r="D8371" s="368">
        <f>IFERROR((INDEX(METADATA!$T$2:$T$20,MATCH(B8371,METADATA!$S$2:$S$20,0))),0)</f>
        <v>0</v>
      </c>
      <c r="E8371" s="312" t="str">
        <f t="shared" si="520"/>
        <v>LO</v>
      </c>
      <c r="F8371" s="369">
        <f>VLOOKUP(C8371,METADATA!$A$5:$H$29,IF(E8371="HI",2,IF(E8371="LO",6,10))+IF(D8371=1,2,IF(D8371=7,1,(IF(WEEKDAY(B8371)=1,2,IF(WEEKDAY(B8371)=7,1,0))))))</f>
        <v>2</v>
      </c>
      <c r="G8371" s="369">
        <f>VLOOKUP(C8371,METADATA!$J$5:$Q$29,IF(E8371="HI",2,IF(E8371="LO",6,10))+IF(D8371=1,2,IF(D8371=7,1,(IF(WEEKDAY(B8371)=1,2,IF(WEEKDAY(B8371)=7,1,0))))))</f>
        <v>2</v>
      </c>
      <c r="H8371" s="370">
        <v>8226.0450744628906</v>
      </c>
      <c r="I8371" s="370">
        <v>1811.8800115585327</v>
      </c>
      <c r="M8371" s="371">
        <f t="shared" si="521"/>
        <v>8423.2254358636601</v>
      </c>
      <c r="N8371" s="329">
        <f t="shared" si="522"/>
        <v>0</v>
      </c>
      <c r="T8371" s="331">
        <v>0</v>
      </c>
      <c r="U8371" s="328">
        <f>VLOOKUP(C8371,METADATA!$J$5:$Q$29,IF(E8371="HI",2,IF(E8371="LO",6,10))+IF(T8371=1,2,IF(D8371=7,1,(IF(WEEKDAY(B8371)=1,2,IF(WEEKDAY(B8371)=7,1,0))))))</f>
        <v>2</v>
      </c>
      <c r="V8371" s="328">
        <f>VLOOKUP(C8371,METADATA!$A$5:$H$29,IF(E8371="HI",2,IF(E8371="LO",6,10))+IF(T8371=1,2,IF(D8371=7,1,(IF(WEEKDAY(B8371)=1,2,IF(WEEKDAY(B8371)=7,1,0))))))</f>
        <v>2</v>
      </c>
    </row>
    <row r="8372" spans="2:22">
      <c r="B8372" s="318">
        <f t="shared" si="523"/>
        <v>46461</v>
      </c>
      <c r="C8372" s="312">
        <v>16</v>
      </c>
      <c r="D8372" s="368">
        <f>IFERROR((INDEX(METADATA!$T$2:$T$20,MATCH(B8372,METADATA!$S$2:$S$20,0))),0)</f>
        <v>0</v>
      </c>
      <c r="E8372" s="312" t="str">
        <f t="shared" si="520"/>
        <v>LO</v>
      </c>
      <c r="F8372" s="369">
        <f>VLOOKUP(C8372,METADATA!$A$5:$H$29,IF(E8372="HI",2,IF(E8372="LO",6,10))+IF(D8372=1,2,IF(D8372=7,1,(IF(WEEKDAY(B8372)=1,2,IF(WEEKDAY(B8372)=7,1,0))))))</f>
        <v>2</v>
      </c>
      <c r="G8372" s="369">
        <f>VLOOKUP(C8372,METADATA!$J$5:$Q$29,IF(E8372="HI",2,IF(E8372="LO",6,10))+IF(D8372=1,2,IF(D8372=7,1,(IF(WEEKDAY(B8372)=1,2,IF(WEEKDAY(B8372)=7,1,0))))))</f>
        <v>2</v>
      </c>
      <c r="H8372" s="370">
        <v>11138.554809570313</v>
      </c>
      <c r="I8372" s="370">
        <v>2691.9599761962891</v>
      </c>
      <c r="M8372" s="371">
        <f t="shared" si="521"/>
        <v>11459.234344372431</v>
      </c>
      <c r="N8372" s="329">
        <f t="shared" si="522"/>
        <v>0</v>
      </c>
      <c r="T8372" s="331">
        <v>0</v>
      </c>
      <c r="U8372" s="328">
        <f>VLOOKUP(C8372,METADATA!$J$5:$Q$29,IF(E8372="HI",2,IF(E8372="LO",6,10))+IF(T8372=1,2,IF(D8372=7,1,(IF(WEEKDAY(B8372)=1,2,IF(WEEKDAY(B8372)=7,1,0))))))</f>
        <v>2</v>
      </c>
      <c r="V8372" s="328">
        <f>VLOOKUP(C8372,METADATA!$A$5:$H$29,IF(E8372="HI",2,IF(E8372="LO",6,10))+IF(T8372=1,2,IF(D8372=7,1,(IF(WEEKDAY(B8372)=1,2,IF(WEEKDAY(B8372)=7,1,0))))))</f>
        <v>2</v>
      </c>
    </row>
    <row r="8373" spans="2:22">
      <c r="B8373" s="318">
        <f t="shared" si="523"/>
        <v>46461</v>
      </c>
      <c r="C8373" s="312">
        <v>17</v>
      </c>
      <c r="D8373" s="368">
        <f>IFERROR((INDEX(METADATA!$T$2:$T$20,MATCH(B8373,METADATA!$S$2:$S$20,0))),0)</f>
        <v>0</v>
      </c>
      <c r="E8373" s="312" t="str">
        <f t="shared" si="520"/>
        <v>LO</v>
      </c>
      <c r="F8373" s="369">
        <f>VLOOKUP(C8373,METADATA!$A$5:$H$29,IF(E8373="HI",2,IF(E8373="LO",6,10))+IF(D8373=1,2,IF(D8373=7,1,(IF(WEEKDAY(B8373)=1,2,IF(WEEKDAY(B8373)=7,1,0))))))</f>
        <v>2</v>
      </c>
      <c r="G8373" s="369">
        <f>VLOOKUP(C8373,METADATA!$J$5:$Q$29,IF(E8373="HI",2,IF(E8373="LO",6,10))+IF(D8373=1,2,IF(D8373=7,1,(IF(WEEKDAY(B8373)=1,2,IF(WEEKDAY(B8373)=7,1,0))))))</f>
        <v>2</v>
      </c>
      <c r="H8373" s="370">
        <v>12131.749938964844</v>
      </c>
      <c r="I8373" s="370">
        <v>3325.0949401855469</v>
      </c>
      <c r="M8373" s="371">
        <f t="shared" si="521"/>
        <v>12579.173778226495</v>
      </c>
      <c r="N8373" s="329">
        <f t="shared" si="522"/>
        <v>0</v>
      </c>
      <c r="T8373" s="331">
        <v>0</v>
      </c>
      <c r="U8373" s="328">
        <f>VLOOKUP(C8373,METADATA!$J$5:$Q$29,IF(E8373="HI",2,IF(E8373="LO",6,10))+IF(T8373=1,2,IF(D8373=7,1,(IF(WEEKDAY(B8373)=1,2,IF(WEEKDAY(B8373)=7,1,0))))))</f>
        <v>2</v>
      </c>
      <c r="V8373" s="328">
        <f>VLOOKUP(C8373,METADATA!$A$5:$H$29,IF(E8373="HI",2,IF(E8373="LO",6,10))+IF(T8373=1,2,IF(D8373=7,1,(IF(WEEKDAY(B8373)=1,2,IF(WEEKDAY(B8373)=7,1,0))))))</f>
        <v>2</v>
      </c>
    </row>
    <row r="8374" spans="2:22">
      <c r="B8374" s="318">
        <f t="shared" si="523"/>
        <v>46461</v>
      </c>
      <c r="C8374" s="312">
        <v>18</v>
      </c>
      <c r="D8374" s="368">
        <f>IFERROR((INDEX(METADATA!$T$2:$T$20,MATCH(B8374,METADATA!$S$2:$S$20,0))),0)</f>
        <v>0</v>
      </c>
      <c r="E8374" s="312" t="str">
        <f t="shared" si="520"/>
        <v>LO</v>
      </c>
      <c r="F8374" s="369">
        <f>VLOOKUP(C8374,METADATA!$A$5:$H$29,IF(E8374="HI",2,IF(E8374="LO",6,10))+IF(D8374=1,2,IF(D8374=7,1,(IF(WEEKDAY(B8374)=1,2,IF(WEEKDAY(B8374)=7,1,0))))))</f>
        <v>1</v>
      </c>
      <c r="G8374" s="369">
        <f>VLOOKUP(C8374,METADATA!$J$5:$Q$29,IF(E8374="HI",2,IF(E8374="LO",6,10))+IF(D8374=1,2,IF(D8374=7,1,(IF(WEEKDAY(B8374)=1,2,IF(WEEKDAY(B8374)=7,1,0))))))</f>
        <v>1</v>
      </c>
      <c r="H8374" s="370">
        <v>12162.599914550781</v>
      </c>
      <c r="I8374" s="370">
        <v>3333.0748901367188</v>
      </c>
      <c r="M8374" s="371">
        <f t="shared" si="521"/>
        <v>12611.035837895733</v>
      </c>
      <c r="N8374" s="329">
        <f t="shared" si="522"/>
        <v>0</v>
      </c>
      <c r="T8374" s="331">
        <v>0</v>
      </c>
      <c r="U8374" s="328">
        <f>VLOOKUP(C8374,METADATA!$J$5:$Q$29,IF(E8374="HI",2,IF(E8374="LO",6,10))+IF(T8374=1,2,IF(D8374=7,1,(IF(WEEKDAY(B8374)=1,2,IF(WEEKDAY(B8374)=7,1,0))))))</f>
        <v>1</v>
      </c>
      <c r="V8374" s="328">
        <f>VLOOKUP(C8374,METADATA!$A$5:$H$29,IF(E8374="HI",2,IF(E8374="LO",6,10))+IF(T8374=1,2,IF(D8374=7,1,(IF(WEEKDAY(B8374)=1,2,IF(WEEKDAY(B8374)=7,1,0))))))</f>
        <v>1</v>
      </c>
    </row>
    <row r="8375" spans="2:22">
      <c r="B8375" s="318">
        <f t="shared" si="523"/>
        <v>46461</v>
      </c>
      <c r="C8375" s="312">
        <v>19</v>
      </c>
      <c r="D8375" s="368">
        <f>IFERROR((INDEX(METADATA!$T$2:$T$20,MATCH(B8375,METADATA!$S$2:$S$20,0))),0)</f>
        <v>0</v>
      </c>
      <c r="E8375" s="312" t="str">
        <f t="shared" si="520"/>
        <v>LO</v>
      </c>
      <c r="F8375" s="369">
        <f>VLOOKUP(C8375,METADATA!$A$5:$H$29,IF(E8375="HI",2,IF(E8375="LO",6,10))+IF(D8375=1,2,IF(D8375=7,1,(IF(WEEKDAY(B8375)=1,2,IF(WEEKDAY(B8375)=7,1,0))))))</f>
        <v>1</v>
      </c>
      <c r="G8375" s="369">
        <f>VLOOKUP(C8375,METADATA!$J$5:$Q$29,IF(E8375="HI",2,IF(E8375="LO",6,10))+IF(D8375=1,2,IF(D8375=7,1,(IF(WEEKDAY(B8375)=1,2,IF(WEEKDAY(B8375)=7,1,0))))))</f>
        <v>1</v>
      </c>
      <c r="H8375" s="370">
        <v>12427.124816894531</v>
      </c>
      <c r="I8375" s="370">
        <v>3405.6099548339844</v>
      </c>
      <c r="M8375" s="371">
        <f t="shared" si="521"/>
        <v>12885.325388950807</v>
      </c>
      <c r="N8375" s="329">
        <f t="shared" si="522"/>
        <v>0</v>
      </c>
      <c r="T8375" s="331">
        <v>0</v>
      </c>
      <c r="U8375" s="328">
        <f>VLOOKUP(C8375,METADATA!$J$5:$Q$29,IF(E8375="HI",2,IF(E8375="LO",6,10))+IF(T8375=1,2,IF(D8375=7,1,(IF(WEEKDAY(B8375)=1,2,IF(WEEKDAY(B8375)=7,1,0))))))</f>
        <v>1</v>
      </c>
      <c r="V8375" s="328">
        <f>VLOOKUP(C8375,METADATA!$A$5:$H$29,IF(E8375="HI",2,IF(E8375="LO",6,10))+IF(T8375=1,2,IF(D8375=7,1,(IF(WEEKDAY(B8375)=1,2,IF(WEEKDAY(B8375)=7,1,0))))))</f>
        <v>1</v>
      </c>
    </row>
    <row r="8376" spans="2:22">
      <c r="B8376" s="318">
        <f t="shared" si="523"/>
        <v>46461</v>
      </c>
      <c r="C8376" s="312">
        <v>20</v>
      </c>
      <c r="D8376" s="368">
        <f>IFERROR((INDEX(METADATA!$T$2:$T$20,MATCH(B8376,METADATA!$S$2:$S$20,0))),0)</f>
        <v>0</v>
      </c>
      <c r="E8376" s="312" t="str">
        <f t="shared" si="520"/>
        <v>LO</v>
      </c>
      <c r="F8376" s="369">
        <f>VLOOKUP(C8376,METADATA!$A$5:$H$29,IF(E8376="HI",2,IF(E8376="LO",6,10))+IF(D8376=1,2,IF(D8376=7,1,(IF(WEEKDAY(B8376)=1,2,IF(WEEKDAY(B8376)=7,1,0))))))</f>
        <v>1</v>
      </c>
      <c r="G8376" s="369">
        <f>VLOOKUP(C8376,METADATA!$J$5:$Q$29,IF(E8376="HI",2,IF(E8376="LO",6,10))+IF(D8376=1,2,IF(D8376=7,1,(IF(WEEKDAY(B8376)=1,2,IF(WEEKDAY(B8376)=7,1,0))))))</f>
        <v>1</v>
      </c>
      <c r="H8376" s="370">
        <v>12409.425170898438</v>
      </c>
      <c r="I8376" s="370">
        <v>3302.1650085449219</v>
      </c>
      <c r="M8376" s="371">
        <f t="shared" si="521"/>
        <v>12841.266558084766</v>
      </c>
      <c r="N8376" s="329">
        <f t="shared" si="522"/>
        <v>0</v>
      </c>
      <c r="T8376" s="331">
        <v>0</v>
      </c>
      <c r="U8376" s="328">
        <f>VLOOKUP(C8376,METADATA!$J$5:$Q$29,IF(E8376="HI",2,IF(E8376="LO",6,10))+IF(T8376=1,2,IF(D8376=7,1,(IF(WEEKDAY(B8376)=1,2,IF(WEEKDAY(B8376)=7,1,0))))))</f>
        <v>1</v>
      </c>
      <c r="V8376" s="328">
        <f>VLOOKUP(C8376,METADATA!$A$5:$H$29,IF(E8376="HI",2,IF(E8376="LO",6,10))+IF(T8376=1,2,IF(D8376=7,1,(IF(WEEKDAY(B8376)=1,2,IF(WEEKDAY(B8376)=7,1,0))))))</f>
        <v>1</v>
      </c>
    </row>
    <row r="8377" spans="2:22">
      <c r="B8377" s="318">
        <f t="shared" si="523"/>
        <v>46461</v>
      </c>
      <c r="C8377" s="312">
        <v>21</v>
      </c>
      <c r="D8377" s="368">
        <f>IFERROR((INDEX(METADATA!$T$2:$T$20,MATCH(B8377,METADATA!$S$2:$S$20,0))),0)</f>
        <v>0</v>
      </c>
      <c r="E8377" s="312" t="str">
        <f t="shared" si="520"/>
        <v>LO</v>
      </c>
      <c r="F8377" s="369">
        <f>VLOOKUP(C8377,METADATA!$A$5:$H$29,IF(E8377="HI",2,IF(E8377="LO",6,10))+IF(D8377=1,2,IF(D8377=7,1,(IF(WEEKDAY(B8377)=1,2,IF(WEEKDAY(B8377)=7,1,0))))))</f>
        <v>2</v>
      </c>
      <c r="G8377" s="369">
        <f>VLOOKUP(C8377,METADATA!$J$5:$Q$29,IF(E8377="HI",2,IF(E8377="LO",6,10))+IF(D8377=1,2,IF(D8377=7,1,(IF(WEEKDAY(B8377)=1,2,IF(WEEKDAY(B8377)=7,1,0))))))</f>
        <v>2</v>
      </c>
      <c r="H8377" s="370">
        <v>12670.425048828125</v>
      </c>
      <c r="I8377" s="370">
        <v>3594.2100067138672</v>
      </c>
      <c r="M8377" s="371">
        <f t="shared" si="521"/>
        <v>13170.346103665359</v>
      </c>
      <c r="N8377" s="329">
        <f t="shared" si="522"/>
        <v>0</v>
      </c>
      <c r="T8377" s="331">
        <v>0</v>
      </c>
      <c r="U8377" s="328">
        <f>VLOOKUP(C8377,METADATA!$J$5:$Q$29,IF(E8377="HI",2,IF(E8377="LO",6,10))+IF(T8377=1,2,IF(D8377=7,1,(IF(WEEKDAY(B8377)=1,2,IF(WEEKDAY(B8377)=7,1,0))))))</f>
        <v>2</v>
      </c>
      <c r="V8377" s="328">
        <f>VLOOKUP(C8377,METADATA!$A$5:$H$29,IF(E8377="HI",2,IF(E8377="LO",6,10))+IF(T8377=1,2,IF(D8377=7,1,(IF(WEEKDAY(B8377)=1,2,IF(WEEKDAY(B8377)=7,1,0))))))</f>
        <v>2</v>
      </c>
    </row>
    <row r="8378" spans="2:22">
      <c r="B8378" s="318">
        <f t="shared" si="523"/>
        <v>46461</v>
      </c>
      <c r="C8378" s="312">
        <v>22</v>
      </c>
      <c r="D8378" s="368">
        <f>IFERROR((INDEX(METADATA!$T$2:$T$20,MATCH(B8378,METADATA!$S$2:$S$20,0))),0)</f>
        <v>0</v>
      </c>
      <c r="E8378" s="312" t="str">
        <f t="shared" si="520"/>
        <v>LO</v>
      </c>
      <c r="F8378" s="369">
        <f>VLOOKUP(C8378,METADATA!$A$5:$H$29,IF(E8378="HI",2,IF(E8378="LO",6,10))+IF(D8378=1,2,IF(D8378=7,1,(IF(WEEKDAY(B8378)=1,2,IF(WEEKDAY(B8378)=7,1,0))))))</f>
        <v>3</v>
      </c>
      <c r="G8378" s="369">
        <f>VLOOKUP(C8378,METADATA!$J$5:$Q$29,IF(E8378="HI",2,IF(E8378="LO",6,10))+IF(D8378=1,2,IF(D8378=7,1,(IF(WEEKDAY(B8378)=1,2,IF(WEEKDAY(B8378)=7,1,0))))))</f>
        <v>3</v>
      </c>
      <c r="H8378" s="370">
        <v>12609.399597167969</v>
      </c>
      <c r="I8378" s="370">
        <v>3699.1799926757813</v>
      </c>
      <c r="M8378" s="371">
        <f t="shared" si="521"/>
        <v>13140.810127966712</v>
      </c>
      <c r="N8378" s="329">
        <f t="shared" si="522"/>
        <v>0</v>
      </c>
      <c r="T8378" s="331">
        <v>0</v>
      </c>
      <c r="U8378" s="328">
        <f>VLOOKUP(C8378,METADATA!$J$5:$Q$29,IF(E8378="HI",2,IF(E8378="LO",6,10))+IF(T8378=1,2,IF(D8378=7,1,(IF(WEEKDAY(B8378)=1,2,IF(WEEKDAY(B8378)=7,1,0))))))</f>
        <v>3</v>
      </c>
      <c r="V8378" s="328">
        <f>VLOOKUP(C8378,METADATA!$A$5:$H$29,IF(E8378="HI",2,IF(E8378="LO",6,10))+IF(T8378=1,2,IF(D8378=7,1,(IF(WEEKDAY(B8378)=1,2,IF(WEEKDAY(B8378)=7,1,0))))))</f>
        <v>3</v>
      </c>
    </row>
    <row r="8379" spans="2:22">
      <c r="B8379" s="318">
        <f t="shared" si="523"/>
        <v>46461</v>
      </c>
      <c r="C8379" s="312">
        <v>23</v>
      </c>
      <c r="D8379" s="368">
        <f>IFERROR((INDEX(METADATA!$T$2:$T$20,MATCH(B8379,METADATA!$S$2:$S$20,0))),0)</f>
        <v>0</v>
      </c>
      <c r="E8379" s="312" t="str">
        <f t="shared" si="520"/>
        <v>LO</v>
      </c>
      <c r="F8379" s="369">
        <f>VLOOKUP(C8379,METADATA!$A$5:$H$29,IF(E8379="HI",2,IF(E8379="LO",6,10))+IF(D8379=1,2,IF(D8379=7,1,(IF(WEEKDAY(B8379)=1,2,IF(WEEKDAY(B8379)=7,1,0))))))</f>
        <v>3</v>
      </c>
      <c r="G8379" s="369">
        <f>VLOOKUP(C8379,METADATA!$J$5:$Q$29,IF(E8379="HI",2,IF(E8379="LO",6,10))+IF(D8379=1,2,IF(D8379=7,1,(IF(WEEKDAY(B8379)=1,2,IF(WEEKDAY(B8379)=7,1,0))))))</f>
        <v>3</v>
      </c>
      <c r="H8379" s="370">
        <v>12566.875366210938</v>
      </c>
      <c r="I8379" s="370">
        <v>3680.6749572753906</v>
      </c>
      <c r="M8379" s="371">
        <f t="shared" si="521"/>
        <v>13094.79761626706</v>
      </c>
      <c r="N8379" s="329">
        <f t="shared" si="522"/>
        <v>0</v>
      </c>
      <c r="T8379" s="331">
        <v>0</v>
      </c>
      <c r="U8379" s="328">
        <f>VLOOKUP(C8379,METADATA!$J$5:$Q$29,IF(E8379="HI",2,IF(E8379="LO",6,10))+IF(T8379=1,2,IF(D8379=7,1,(IF(WEEKDAY(B8379)=1,2,IF(WEEKDAY(B8379)=7,1,0))))))</f>
        <v>3</v>
      </c>
      <c r="V8379" s="328">
        <f>VLOOKUP(C8379,METADATA!$A$5:$H$29,IF(E8379="HI",2,IF(E8379="LO",6,10))+IF(T8379=1,2,IF(D8379=7,1,(IF(WEEKDAY(B8379)=1,2,IF(WEEKDAY(B8379)=7,1,0))))))</f>
        <v>3</v>
      </c>
    </row>
    <row r="8380" spans="2:22">
      <c r="B8380" s="318">
        <f t="shared" si="523"/>
        <v>46462</v>
      </c>
      <c r="C8380" s="312">
        <v>0</v>
      </c>
      <c r="D8380" s="368">
        <f>IFERROR((INDEX(METADATA!$T$2:$T$20,MATCH(B8380,METADATA!$S$2:$S$20,0))),0)</f>
        <v>0</v>
      </c>
      <c r="E8380" s="312" t="str">
        <f t="shared" si="520"/>
        <v>LO</v>
      </c>
      <c r="F8380" s="369">
        <f>VLOOKUP(C8380,METADATA!$A$5:$H$29,IF(E8380="HI",2,IF(E8380="LO",6,10))+IF(D8380=1,2,IF(D8380=7,1,(IF(WEEKDAY(B8380)=1,2,IF(WEEKDAY(B8380)=7,1,0))))))</f>
        <v>3</v>
      </c>
      <c r="G8380" s="369">
        <f>VLOOKUP(C8380,METADATA!$J$5:$Q$29,IF(E8380="HI",2,IF(E8380="LO",6,10))+IF(D8380=1,2,IF(D8380=7,1,(IF(WEEKDAY(B8380)=1,2,IF(WEEKDAY(B8380)=7,1,0))))))</f>
        <v>3</v>
      </c>
      <c r="H8380" s="370">
        <v>12640.675354003906</v>
      </c>
      <c r="I8380" s="370">
        <v>3610.6549835205078</v>
      </c>
      <c r="M8380" s="371">
        <f t="shared" si="521"/>
        <v>13146.235309598838</v>
      </c>
      <c r="N8380" s="329">
        <f t="shared" si="522"/>
        <v>0</v>
      </c>
      <c r="T8380" s="331">
        <v>0</v>
      </c>
      <c r="U8380" s="328">
        <f>VLOOKUP(C8380,METADATA!$J$5:$Q$29,IF(E8380="HI",2,IF(E8380="LO",6,10))+IF(T8380=1,2,IF(D8380=7,1,(IF(WEEKDAY(B8380)=1,2,IF(WEEKDAY(B8380)=7,1,0))))))</f>
        <v>3</v>
      </c>
      <c r="V8380" s="328">
        <f>VLOOKUP(C8380,METADATA!$A$5:$H$29,IF(E8380="HI",2,IF(E8380="LO",6,10))+IF(T8380=1,2,IF(D8380=7,1,(IF(WEEKDAY(B8380)=1,2,IF(WEEKDAY(B8380)=7,1,0))))))</f>
        <v>3</v>
      </c>
    </row>
    <row r="8381" spans="2:22">
      <c r="B8381" s="318">
        <f t="shared" si="523"/>
        <v>46462</v>
      </c>
      <c r="C8381" s="312">
        <v>1</v>
      </c>
      <c r="D8381" s="368">
        <f>IFERROR((INDEX(METADATA!$T$2:$T$20,MATCH(B8381,METADATA!$S$2:$S$20,0))),0)</f>
        <v>0</v>
      </c>
      <c r="E8381" s="312" t="str">
        <f t="shared" si="520"/>
        <v>LO</v>
      </c>
      <c r="F8381" s="369">
        <f>VLOOKUP(C8381,METADATA!$A$5:$H$29,IF(E8381="HI",2,IF(E8381="LO",6,10))+IF(D8381=1,2,IF(D8381=7,1,(IF(WEEKDAY(B8381)=1,2,IF(WEEKDAY(B8381)=7,1,0))))))</f>
        <v>3</v>
      </c>
      <c r="G8381" s="369">
        <f>VLOOKUP(C8381,METADATA!$J$5:$Q$29,IF(E8381="HI",2,IF(E8381="LO",6,10))+IF(D8381=1,2,IF(D8381=7,1,(IF(WEEKDAY(B8381)=1,2,IF(WEEKDAY(B8381)=7,1,0))))))</f>
        <v>3</v>
      </c>
      <c r="H8381" s="370">
        <v>12558.225341796875</v>
      </c>
      <c r="I8381" s="370">
        <v>3447.3650360107422</v>
      </c>
      <c r="M8381" s="371">
        <f t="shared" si="521"/>
        <v>13022.801135963744</v>
      </c>
      <c r="N8381" s="329">
        <f t="shared" si="522"/>
        <v>0</v>
      </c>
      <c r="T8381" s="331">
        <v>0</v>
      </c>
      <c r="U8381" s="328">
        <f>VLOOKUP(C8381,METADATA!$J$5:$Q$29,IF(E8381="HI",2,IF(E8381="LO",6,10))+IF(T8381=1,2,IF(D8381=7,1,(IF(WEEKDAY(B8381)=1,2,IF(WEEKDAY(B8381)=7,1,0))))))</f>
        <v>3</v>
      </c>
      <c r="V8381" s="328">
        <f>VLOOKUP(C8381,METADATA!$A$5:$H$29,IF(E8381="HI",2,IF(E8381="LO",6,10))+IF(T8381=1,2,IF(D8381=7,1,(IF(WEEKDAY(B8381)=1,2,IF(WEEKDAY(B8381)=7,1,0))))))</f>
        <v>3</v>
      </c>
    </row>
    <row r="8382" spans="2:22">
      <c r="B8382" s="318">
        <f t="shared" si="523"/>
        <v>46462</v>
      </c>
      <c r="C8382" s="312">
        <v>2</v>
      </c>
      <c r="D8382" s="368">
        <f>IFERROR((INDEX(METADATA!$T$2:$T$20,MATCH(B8382,METADATA!$S$2:$S$20,0))),0)</f>
        <v>0</v>
      </c>
      <c r="E8382" s="312" t="str">
        <f t="shared" si="520"/>
        <v>LO</v>
      </c>
      <c r="F8382" s="369">
        <f>VLOOKUP(C8382,METADATA!$A$5:$H$29,IF(E8382="HI",2,IF(E8382="LO",6,10))+IF(D8382=1,2,IF(D8382=7,1,(IF(WEEKDAY(B8382)=1,2,IF(WEEKDAY(B8382)=7,1,0))))))</f>
        <v>3</v>
      </c>
      <c r="G8382" s="369">
        <f>VLOOKUP(C8382,METADATA!$J$5:$Q$29,IF(E8382="HI",2,IF(E8382="LO",6,10))+IF(D8382=1,2,IF(D8382=7,1,(IF(WEEKDAY(B8382)=1,2,IF(WEEKDAY(B8382)=7,1,0))))))</f>
        <v>3</v>
      </c>
      <c r="H8382" s="370">
        <v>12577.954956054688</v>
      </c>
      <c r="I8382" s="370">
        <v>3641.4351043701172</v>
      </c>
      <c r="M8382" s="371">
        <f t="shared" si="521"/>
        <v>13094.464498248093</v>
      </c>
      <c r="N8382" s="329">
        <f t="shared" si="522"/>
        <v>0</v>
      </c>
      <c r="T8382" s="331">
        <v>0</v>
      </c>
      <c r="U8382" s="328">
        <f>VLOOKUP(C8382,METADATA!$J$5:$Q$29,IF(E8382="HI",2,IF(E8382="LO",6,10))+IF(T8382=1,2,IF(D8382=7,1,(IF(WEEKDAY(B8382)=1,2,IF(WEEKDAY(B8382)=7,1,0))))))</f>
        <v>3</v>
      </c>
      <c r="V8382" s="328">
        <f>VLOOKUP(C8382,METADATA!$A$5:$H$29,IF(E8382="HI",2,IF(E8382="LO",6,10))+IF(T8382=1,2,IF(D8382=7,1,(IF(WEEKDAY(B8382)=1,2,IF(WEEKDAY(B8382)=7,1,0))))))</f>
        <v>3</v>
      </c>
    </row>
    <row r="8383" spans="2:22">
      <c r="B8383" s="318">
        <f t="shared" si="523"/>
        <v>46462</v>
      </c>
      <c r="C8383" s="312">
        <v>3</v>
      </c>
      <c r="D8383" s="368">
        <f>IFERROR((INDEX(METADATA!$T$2:$T$20,MATCH(B8383,METADATA!$S$2:$S$20,0))),0)</f>
        <v>0</v>
      </c>
      <c r="E8383" s="312" t="str">
        <f t="shared" si="520"/>
        <v>LO</v>
      </c>
      <c r="F8383" s="369">
        <f>VLOOKUP(C8383,METADATA!$A$5:$H$29,IF(E8383="HI",2,IF(E8383="LO",6,10))+IF(D8383=1,2,IF(D8383=7,1,(IF(WEEKDAY(B8383)=1,2,IF(WEEKDAY(B8383)=7,1,0))))))</f>
        <v>3</v>
      </c>
      <c r="G8383" s="369">
        <f>VLOOKUP(C8383,METADATA!$J$5:$Q$29,IF(E8383="HI",2,IF(E8383="LO",6,10))+IF(D8383=1,2,IF(D8383=7,1,(IF(WEEKDAY(B8383)=1,2,IF(WEEKDAY(B8383)=7,1,0))))))</f>
        <v>3</v>
      </c>
      <c r="H8383" s="370">
        <v>12630.550354003906</v>
      </c>
      <c r="I8383" s="370">
        <v>3735.5048980712891</v>
      </c>
      <c r="M8383" s="371">
        <f t="shared" si="521"/>
        <v>13171.362840972182</v>
      </c>
      <c r="N8383" s="329">
        <f t="shared" si="522"/>
        <v>0</v>
      </c>
      <c r="T8383" s="331">
        <v>0</v>
      </c>
      <c r="U8383" s="328">
        <f>VLOOKUP(C8383,METADATA!$J$5:$Q$29,IF(E8383="HI",2,IF(E8383="LO",6,10))+IF(T8383=1,2,IF(D8383=7,1,(IF(WEEKDAY(B8383)=1,2,IF(WEEKDAY(B8383)=7,1,0))))))</f>
        <v>3</v>
      </c>
      <c r="V8383" s="328">
        <f>VLOOKUP(C8383,METADATA!$A$5:$H$29,IF(E8383="HI",2,IF(E8383="LO",6,10))+IF(T8383=1,2,IF(D8383=7,1,(IF(WEEKDAY(B8383)=1,2,IF(WEEKDAY(B8383)=7,1,0))))))</f>
        <v>3</v>
      </c>
    </row>
    <row r="8384" spans="2:22">
      <c r="B8384" s="318">
        <f t="shared" si="523"/>
        <v>46462</v>
      </c>
      <c r="C8384" s="312">
        <v>4</v>
      </c>
      <c r="D8384" s="368">
        <f>IFERROR((INDEX(METADATA!$T$2:$T$20,MATCH(B8384,METADATA!$S$2:$S$20,0))),0)</f>
        <v>0</v>
      </c>
      <c r="E8384" s="312" t="str">
        <f t="shared" si="520"/>
        <v>LO</v>
      </c>
      <c r="F8384" s="369">
        <f>VLOOKUP(C8384,METADATA!$A$5:$H$29,IF(E8384="HI",2,IF(E8384="LO",6,10))+IF(D8384=1,2,IF(D8384=7,1,(IF(WEEKDAY(B8384)=1,2,IF(WEEKDAY(B8384)=7,1,0))))))</f>
        <v>3</v>
      </c>
      <c r="G8384" s="369">
        <f>VLOOKUP(C8384,METADATA!$J$5:$Q$29,IF(E8384="HI",2,IF(E8384="LO",6,10))+IF(D8384=1,2,IF(D8384=7,1,(IF(WEEKDAY(B8384)=1,2,IF(WEEKDAY(B8384)=7,1,0))))))</f>
        <v>3</v>
      </c>
      <c r="H8384" s="370">
        <v>12709.274658203125</v>
      </c>
      <c r="I8384" s="370">
        <v>3754.8799285888672</v>
      </c>
      <c r="M8384" s="371">
        <f t="shared" si="521"/>
        <v>13252.350192164546</v>
      </c>
      <c r="N8384" s="329">
        <f t="shared" si="522"/>
        <v>0</v>
      </c>
      <c r="T8384" s="331">
        <v>0</v>
      </c>
      <c r="U8384" s="328">
        <f>VLOOKUP(C8384,METADATA!$J$5:$Q$29,IF(E8384="HI",2,IF(E8384="LO",6,10))+IF(T8384=1,2,IF(D8384=7,1,(IF(WEEKDAY(B8384)=1,2,IF(WEEKDAY(B8384)=7,1,0))))))</f>
        <v>3</v>
      </c>
      <c r="V8384" s="328">
        <f>VLOOKUP(C8384,METADATA!$A$5:$H$29,IF(E8384="HI",2,IF(E8384="LO",6,10))+IF(T8384=1,2,IF(D8384=7,1,(IF(WEEKDAY(B8384)=1,2,IF(WEEKDAY(B8384)=7,1,0))))))</f>
        <v>3</v>
      </c>
    </row>
    <row r="8385" spans="2:22">
      <c r="B8385" s="318">
        <f t="shared" si="523"/>
        <v>46462</v>
      </c>
      <c r="C8385" s="312">
        <v>5</v>
      </c>
      <c r="D8385" s="368">
        <f>IFERROR((INDEX(METADATA!$T$2:$T$20,MATCH(B8385,METADATA!$S$2:$S$20,0))),0)</f>
        <v>0</v>
      </c>
      <c r="E8385" s="312" t="str">
        <f t="shared" si="520"/>
        <v>LO</v>
      </c>
      <c r="F8385" s="369">
        <f>VLOOKUP(C8385,METADATA!$A$5:$H$29,IF(E8385="HI",2,IF(E8385="LO",6,10))+IF(D8385=1,2,IF(D8385=7,1,(IF(WEEKDAY(B8385)=1,2,IF(WEEKDAY(B8385)=7,1,0))))))</f>
        <v>3</v>
      </c>
      <c r="G8385" s="369">
        <f>VLOOKUP(C8385,METADATA!$J$5:$Q$29,IF(E8385="HI",2,IF(E8385="LO",6,10))+IF(D8385=1,2,IF(D8385=7,1,(IF(WEEKDAY(B8385)=1,2,IF(WEEKDAY(B8385)=7,1,0))))))</f>
        <v>3</v>
      </c>
      <c r="H8385" s="370">
        <v>12472.200256347656</v>
      </c>
      <c r="I8385" s="370">
        <v>3510.8950653076172</v>
      </c>
      <c r="M8385" s="371">
        <f t="shared" si="521"/>
        <v>12956.93495368561</v>
      </c>
      <c r="N8385" s="329">
        <f t="shared" si="522"/>
        <v>0</v>
      </c>
      <c r="T8385" s="331">
        <v>0</v>
      </c>
      <c r="U8385" s="328">
        <f>VLOOKUP(C8385,METADATA!$J$5:$Q$29,IF(E8385="HI",2,IF(E8385="LO",6,10))+IF(T8385=1,2,IF(D8385=7,1,(IF(WEEKDAY(B8385)=1,2,IF(WEEKDAY(B8385)=7,1,0))))))</f>
        <v>3</v>
      </c>
      <c r="V8385" s="328">
        <f>VLOOKUP(C8385,METADATA!$A$5:$H$29,IF(E8385="HI",2,IF(E8385="LO",6,10))+IF(T8385=1,2,IF(D8385=7,1,(IF(WEEKDAY(B8385)=1,2,IF(WEEKDAY(B8385)=7,1,0))))))</f>
        <v>3</v>
      </c>
    </row>
    <row r="8386" spans="2:22">
      <c r="B8386" s="318">
        <f t="shared" si="523"/>
        <v>46462</v>
      </c>
      <c r="C8386" s="312">
        <v>6</v>
      </c>
      <c r="D8386" s="368">
        <f>IFERROR((INDEX(METADATA!$T$2:$T$20,MATCH(B8386,METADATA!$S$2:$S$20,0))),0)</f>
        <v>0</v>
      </c>
      <c r="E8386" s="312" t="str">
        <f t="shared" si="520"/>
        <v>LO</v>
      </c>
      <c r="F8386" s="369">
        <f>VLOOKUP(C8386,METADATA!$A$5:$H$29,IF(E8386="HI",2,IF(E8386="LO",6,10))+IF(D8386=1,2,IF(D8386=7,1,(IF(WEEKDAY(B8386)=1,2,IF(WEEKDAY(B8386)=7,1,0))))))</f>
        <v>2</v>
      </c>
      <c r="G8386" s="369">
        <f>VLOOKUP(C8386,METADATA!$J$5:$Q$29,IF(E8386="HI",2,IF(E8386="LO",6,10))+IF(D8386=1,2,IF(D8386=7,1,(IF(WEEKDAY(B8386)=1,2,IF(WEEKDAY(B8386)=7,1,0))))))</f>
        <v>2</v>
      </c>
      <c r="H8386" s="370">
        <v>12439.075317382813</v>
      </c>
      <c r="I8386" s="370">
        <v>3614.3899536132813</v>
      </c>
      <c r="M8386" s="371">
        <f t="shared" si="521"/>
        <v>12953.548142817972</v>
      </c>
      <c r="N8386" s="329">
        <f t="shared" si="522"/>
        <v>0</v>
      </c>
      <c r="T8386" s="331">
        <v>0</v>
      </c>
      <c r="U8386" s="328">
        <f>VLOOKUP(C8386,METADATA!$J$5:$Q$29,IF(E8386="HI",2,IF(E8386="LO",6,10))+IF(T8386=1,2,IF(D8386=7,1,(IF(WEEKDAY(B8386)=1,2,IF(WEEKDAY(B8386)=7,1,0))))))</f>
        <v>2</v>
      </c>
      <c r="V8386" s="328">
        <f>VLOOKUP(C8386,METADATA!$A$5:$H$29,IF(E8386="HI",2,IF(E8386="LO",6,10))+IF(T8386=1,2,IF(D8386=7,1,(IF(WEEKDAY(B8386)=1,2,IF(WEEKDAY(B8386)=7,1,0))))))</f>
        <v>2</v>
      </c>
    </row>
    <row r="8387" spans="2:22">
      <c r="B8387" s="318">
        <f t="shared" si="523"/>
        <v>46462</v>
      </c>
      <c r="C8387" s="312">
        <v>7</v>
      </c>
      <c r="D8387" s="368">
        <f>IFERROR((INDEX(METADATA!$T$2:$T$20,MATCH(B8387,METADATA!$S$2:$S$20,0))),0)</f>
        <v>0</v>
      </c>
      <c r="E8387" s="312" t="str">
        <f t="shared" si="520"/>
        <v>LO</v>
      </c>
      <c r="F8387" s="369">
        <f>VLOOKUP(C8387,METADATA!$A$5:$H$29,IF(E8387="HI",2,IF(E8387="LO",6,10))+IF(D8387=1,2,IF(D8387=7,1,(IF(WEEKDAY(B8387)=1,2,IF(WEEKDAY(B8387)=7,1,0))))))</f>
        <v>1</v>
      </c>
      <c r="G8387" s="369">
        <f>VLOOKUP(C8387,METADATA!$J$5:$Q$29,IF(E8387="HI",2,IF(E8387="LO",6,10))+IF(D8387=1,2,IF(D8387=7,1,(IF(WEEKDAY(B8387)=1,2,IF(WEEKDAY(B8387)=7,1,0))))))</f>
        <v>1</v>
      </c>
      <c r="H8387" s="370">
        <v>12564.974548339844</v>
      </c>
      <c r="I8387" s="370">
        <v>3769.3899536132813</v>
      </c>
      <c r="M8387" s="371">
        <f t="shared" si="521"/>
        <v>13118.189128947211</v>
      </c>
      <c r="N8387" s="329">
        <f t="shared" si="522"/>
        <v>0</v>
      </c>
      <c r="T8387" s="331">
        <v>0</v>
      </c>
      <c r="U8387" s="328">
        <f>VLOOKUP(C8387,METADATA!$J$5:$Q$29,IF(E8387="HI",2,IF(E8387="LO",6,10))+IF(T8387=1,2,IF(D8387=7,1,(IF(WEEKDAY(B8387)=1,2,IF(WEEKDAY(B8387)=7,1,0))))))</f>
        <v>1</v>
      </c>
      <c r="V8387" s="328">
        <f>VLOOKUP(C8387,METADATA!$A$5:$H$29,IF(E8387="HI",2,IF(E8387="LO",6,10))+IF(T8387=1,2,IF(D8387=7,1,(IF(WEEKDAY(B8387)=1,2,IF(WEEKDAY(B8387)=7,1,0))))))</f>
        <v>1</v>
      </c>
    </row>
    <row r="8388" spans="2:22">
      <c r="B8388" s="318">
        <f t="shared" si="523"/>
        <v>46462</v>
      </c>
      <c r="C8388" s="312">
        <v>8</v>
      </c>
      <c r="D8388" s="368">
        <f>IFERROR((INDEX(METADATA!$T$2:$T$20,MATCH(B8388,METADATA!$S$2:$S$20,0))),0)</f>
        <v>0</v>
      </c>
      <c r="E8388" s="312" t="str">
        <f t="shared" ref="E8388:E8451" si="524">IF(B8388="","",IF(AND(MONTH(B8388)&gt;=MONTH($Z$9),MONTH(B8388)&lt;=MONTH($Z$11)),"HI","LO"))</f>
        <v>LO</v>
      </c>
      <c r="F8388" s="369">
        <f>VLOOKUP(C8388,METADATA!$A$5:$H$29,IF(E8388="HI",2,IF(E8388="LO",6,10))+IF(D8388=1,2,IF(D8388=7,1,(IF(WEEKDAY(B8388)=1,2,IF(WEEKDAY(B8388)=7,1,0))))))</f>
        <v>1</v>
      </c>
      <c r="G8388" s="369">
        <f>VLOOKUP(C8388,METADATA!$J$5:$Q$29,IF(E8388="HI",2,IF(E8388="LO",6,10))+IF(D8388=1,2,IF(D8388=7,1,(IF(WEEKDAY(B8388)=1,2,IF(WEEKDAY(B8388)=7,1,0))))))</f>
        <v>1</v>
      </c>
      <c r="H8388" s="370">
        <v>12407.700012207031</v>
      </c>
      <c r="I8388" s="370">
        <v>3600.8749694824219</v>
      </c>
      <c r="M8388" s="371">
        <f t="shared" ref="M8388:M8451" si="525">SQRT(H8388^2+I8388^2)</f>
        <v>12919.648607402889</v>
      </c>
      <c r="N8388" s="329">
        <f t="shared" ref="N8388:N8451" si="526">IF(H8388=0,0,(IF(I8388-(0.3*H8388)&lt;0,0,(I8388-(0.3*H8388)))))</f>
        <v>0</v>
      </c>
      <c r="T8388" s="331">
        <v>0</v>
      </c>
      <c r="U8388" s="328">
        <f>VLOOKUP(C8388,METADATA!$J$5:$Q$29,IF(E8388="HI",2,IF(E8388="LO",6,10))+IF(T8388=1,2,IF(D8388=7,1,(IF(WEEKDAY(B8388)=1,2,IF(WEEKDAY(B8388)=7,1,0))))))</f>
        <v>1</v>
      </c>
      <c r="V8388" s="328">
        <f>VLOOKUP(C8388,METADATA!$A$5:$H$29,IF(E8388="HI",2,IF(E8388="LO",6,10))+IF(T8388=1,2,IF(D8388=7,1,(IF(WEEKDAY(B8388)=1,2,IF(WEEKDAY(B8388)=7,1,0))))))</f>
        <v>1</v>
      </c>
    </row>
    <row r="8389" spans="2:22">
      <c r="B8389" s="318">
        <f t="shared" si="523"/>
        <v>46462</v>
      </c>
      <c r="C8389" s="312">
        <v>9</v>
      </c>
      <c r="D8389" s="368">
        <f>IFERROR((INDEX(METADATA!$T$2:$T$20,MATCH(B8389,METADATA!$S$2:$S$20,0))),0)</f>
        <v>0</v>
      </c>
      <c r="E8389" s="312" t="str">
        <f t="shared" si="524"/>
        <v>LO</v>
      </c>
      <c r="F8389" s="369">
        <f>VLOOKUP(C8389,METADATA!$A$5:$H$29,IF(E8389="HI",2,IF(E8389="LO",6,10))+IF(D8389=1,2,IF(D8389=7,1,(IF(WEEKDAY(B8389)=1,2,IF(WEEKDAY(B8389)=7,1,0))))))</f>
        <v>2</v>
      </c>
      <c r="G8389" s="369">
        <f>VLOOKUP(C8389,METADATA!$J$5:$Q$29,IF(E8389="HI",2,IF(E8389="LO",6,10))+IF(D8389=1,2,IF(D8389=7,1,(IF(WEEKDAY(B8389)=1,2,IF(WEEKDAY(B8389)=7,1,0))))))</f>
        <v>2</v>
      </c>
      <c r="H8389" s="370">
        <v>12351.300231933594</v>
      </c>
      <c r="I8389" s="370">
        <v>3605.7899475097656</v>
      </c>
      <c r="M8389" s="371">
        <f t="shared" si="525"/>
        <v>12866.869804460031</v>
      </c>
      <c r="N8389" s="329">
        <f t="shared" si="526"/>
        <v>0</v>
      </c>
      <c r="T8389" s="331">
        <v>0</v>
      </c>
      <c r="U8389" s="328">
        <f>VLOOKUP(C8389,METADATA!$J$5:$Q$29,IF(E8389="HI",2,IF(E8389="LO",6,10))+IF(T8389=1,2,IF(D8389=7,1,(IF(WEEKDAY(B8389)=1,2,IF(WEEKDAY(B8389)=7,1,0))))))</f>
        <v>2</v>
      </c>
      <c r="V8389" s="328">
        <f>VLOOKUP(C8389,METADATA!$A$5:$H$29,IF(E8389="HI",2,IF(E8389="LO",6,10))+IF(T8389=1,2,IF(D8389=7,1,(IF(WEEKDAY(B8389)=1,2,IF(WEEKDAY(B8389)=7,1,0))))))</f>
        <v>2</v>
      </c>
    </row>
    <row r="8390" spans="2:22">
      <c r="B8390" s="318">
        <f t="shared" si="523"/>
        <v>46462</v>
      </c>
      <c r="C8390" s="312">
        <v>10</v>
      </c>
      <c r="D8390" s="368">
        <f>IFERROR((INDEX(METADATA!$T$2:$T$20,MATCH(B8390,METADATA!$S$2:$S$20,0))),0)</f>
        <v>0</v>
      </c>
      <c r="E8390" s="312" t="str">
        <f t="shared" si="524"/>
        <v>LO</v>
      </c>
      <c r="F8390" s="369">
        <f>VLOOKUP(C8390,METADATA!$A$5:$H$29,IF(E8390="HI",2,IF(E8390="LO",6,10))+IF(D8390=1,2,IF(D8390=7,1,(IF(WEEKDAY(B8390)=1,2,IF(WEEKDAY(B8390)=7,1,0))))))</f>
        <v>2</v>
      </c>
      <c r="G8390" s="369">
        <f>VLOOKUP(C8390,METADATA!$J$5:$Q$29,IF(E8390="HI",2,IF(E8390="LO",6,10))+IF(D8390=1,2,IF(D8390=7,1,(IF(WEEKDAY(B8390)=1,2,IF(WEEKDAY(B8390)=7,1,0))))))</f>
        <v>2</v>
      </c>
      <c r="H8390" s="370">
        <v>10807.009948730469</v>
      </c>
      <c r="I8390" s="370">
        <v>2548.3250122070313</v>
      </c>
      <c r="M8390" s="371">
        <f t="shared" si="525"/>
        <v>11103.396975691687</v>
      </c>
      <c r="N8390" s="329">
        <f t="shared" si="526"/>
        <v>0</v>
      </c>
      <c r="T8390" s="331">
        <v>0</v>
      </c>
      <c r="U8390" s="328">
        <f>VLOOKUP(C8390,METADATA!$J$5:$Q$29,IF(E8390="HI",2,IF(E8390="LO",6,10))+IF(T8390=1,2,IF(D8390=7,1,(IF(WEEKDAY(B8390)=1,2,IF(WEEKDAY(B8390)=7,1,0))))))</f>
        <v>2</v>
      </c>
      <c r="V8390" s="328">
        <f>VLOOKUP(C8390,METADATA!$A$5:$H$29,IF(E8390="HI",2,IF(E8390="LO",6,10))+IF(T8390=1,2,IF(D8390=7,1,(IF(WEEKDAY(B8390)=1,2,IF(WEEKDAY(B8390)=7,1,0))))))</f>
        <v>2</v>
      </c>
    </row>
    <row r="8391" spans="2:22">
      <c r="B8391" s="318">
        <f t="shared" si="523"/>
        <v>46462</v>
      </c>
      <c r="C8391" s="312">
        <v>11</v>
      </c>
      <c r="D8391" s="368">
        <f>IFERROR((INDEX(METADATA!$T$2:$T$20,MATCH(B8391,METADATA!$S$2:$S$20,0))),0)</f>
        <v>0</v>
      </c>
      <c r="E8391" s="312" t="str">
        <f t="shared" si="524"/>
        <v>LO</v>
      </c>
      <c r="F8391" s="369">
        <f>VLOOKUP(C8391,METADATA!$A$5:$H$29,IF(E8391="HI",2,IF(E8391="LO",6,10))+IF(D8391=1,2,IF(D8391=7,1,(IF(WEEKDAY(B8391)=1,2,IF(WEEKDAY(B8391)=7,1,0))))))</f>
        <v>2</v>
      </c>
      <c r="G8391" s="369">
        <f>VLOOKUP(C8391,METADATA!$J$5:$Q$29,IF(E8391="HI",2,IF(E8391="LO",6,10))+IF(D8391=1,2,IF(D8391=7,1,(IF(WEEKDAY(B8391)=1,2,IF(WEEKDAY(B8391)=7,1,0))))))</f>
        <v>2</v>
      </c>
      <c r="H8391" s="370">
        <v>11568.237762451172</v>
      </c>
      <c r="I8391" s="370">
        <v>2881.1274871826172</v>
      </c>
      <c r="M8391" s="371">
        <f t="shared" si="525"/>
        <v>11921.619878439362</v>
      </c>
      <c r="N8391" s="329">
        <f t="shared" si="526"/>
        <v>0</v>
      </c>
      <c r="T8391" s="331">
        <v>0</v>
      </c>
      <c r="U8391" s="328">
        <f>VLOOKUP(C8391,METADATA!$J$5:$Q$29,IF(E8391="HI",2,IF(E8391="LO",6,10))+IF(T8391=1,2,IF(D8391=7,1,(IF(WEEKDAY(B8391)=1,2,IF(WEEKDAY(B8391)=7,1,0))))))</f>
        <v>2</v>
      </c>
      <c r="V8391" s="328">
        <f>VLOOKUP(C8391,METADATA!$A$5:$H$29,IF(E8391="HI",2,IF(E8391="LO",6,10))+IF(T8391=1,2,IF(D8391=7,1,(IF(WEEKDAY(B8391)=1,2,IF(WEEKDAY(B8391)=7,1,0))))))</f>
        <v>2</v>
      </c>
    </row>
    <row r="8392" spans="2:22">
      <c r="B8392" s="318">
        <f t="shared" si="523"/>
        <v>46462</v>
      </c>
      <c r="C8392" s="312">
        <v>12</v>
      </c>
      <c r="D8392" s="368">
        <f>IFERROR((INDEX(METADATA!$T$2:$T$20,MATCH(B8392,METADATA!$S$2:$S$20,0))),0)</f>
        <v>0</v>
      </c>
      <c r="E8392" s="312" t="str">
        <f t="shared" si="524"/>
        <v>LO</v>
      </c>
      <c r="F8392" s="369">
        <f>VLOOKUP(C8392,METADATA!$A$5:$H$29,IF(E8392="HI",2,IF(E8392="LO",6,10))+IF(D8392=1,2,IF(D8392=7,1,(IF(WEEKDAY(B8392)=1,2,IF(WEEKDAY(B8392)=7,1,0))))))</f>
        <v>2</v>
      </c>
      <c r="G8392" s="369">
        <f>VLOOKUP(C8392,METADATA!$J$5:$Q$29,IF(E8392="HI",2,IF(E8392="LO",6,10))+IF(D8392=1,2,IF(D8392=7,1,(IF(WEEKDAY(B8392)=1,2,IF(WEEKDAY(B8392)=7,1,0))))))</f>
        <v>2</v>
      </c>
      <c r="H8392" s="370">
        <v>12379.274719238281</v>
      </c>
      <c r="I8392" s="370">
        <v>3469.5299377441406</v>
      </c>
      <c r="M8392" s="371">
        <f t="shared" si="525"/>
        <v>12856.28564412268</v>
      </c>
      <c r="N8392" s="329">
        <f t="shared" si="526"/>
        <v>0</v>
      </c>
      <c r="T8392" s="331">
        <v>0</v>
      </c>
      <c r="U8392" s="328">
        <f>VLOOKUP(C8392,METADATA!$J$5:$Q$29,IF(E8392="HI",2,IF(E8392="LO",6,10))+IF(T8392=1,2,IF(D8392=7,1,(IF(WEEKDAY(B8392)=1,2,IF(WEEKDAY(B8392)=7,1,0))))))</f>
        <v>2</v>
      </c>
      <c r="V8392" s="328">
        <f>VLOOKUP(C8392,METADATA!$A$5:$H$29,IF(E8392="HI",2,IF(E8392="LO",6,10))+IF(T8392=1,2,IF(D8392=7,1,(IF(WEEKDAY(B8392)=1,2,IF(WEEKDAY(B8392)=7,1,0))))))</f>
        <v>2</v>
      </c>
    </row>
    <row r="8393" spans="2:22">
      <c r="B8393" s="318">
        <f t="shared" si="523"/>
        <v>46462</v>
      </c>
      <c r="C8393" s="312">
        <v>13</v>
      </c>
      <c r="D8393" s="368">
        <f>IFERROR((INDEX(METADATA!$T$2:$T$20,MATCH(B8393,METADATA!$S$2:$S$20,0))),0)</f>
        <v>0</v>
      </c>
      <c r="E8393" s="312" t="str">
        <f t="shared" si="524"/>
        <v>LO</v>
      </c>
      <c r="F8393" s="369">
        <f>VLOOKUP(C8393,METADATA!$A$5:$H$29,IF(E8393="HI",2,IF(E8393="LO",6,10))+IF(D8393=1,2,IF(D8393=7,1,(IF(WEEKDAY(B8393)=1,2,IF(WEEKDAY(B8393)=7,1,0))))))</f>
        <v>2</v>
      </c>
      <c r="G8393" s="369">
        <f>VLOOKUP(C8393,METADATA!$J$5:$Q$29,IF(E8393="HI",2,IF(E8393="LO",6,10))+IF(D8393=1,2,IF(D8393=7,1,(IF(WEEKDAY(B8393)=1,2,IF(WEEKDAY(B8393)=7,1,0))))))</f>
        <v>2</v>
      </c>
      <c r="H8393" s="370">
        <v>12515.175048828125</v>
      </c>
      <c r="I8393" s="370">
        <v>3679.2550048828125</v>
      </c>
      <c r="M8393" s="371">
        <f t="shared" si="525"/>
        <v>13044.789147156242</v>
      </c>
      <c r="N8393" s="329">
        <f t="shared" si="526"/>
        <v>0</v>
      </c>
      <c r="T8393" s="331">
        <v>0</v>
      </c>
      <c r="U8393" s="328">
        <f>VLOOKUP(C8393,METADATA!$J$5:$Q$29,IF(E8393="HI",2,IF(E8393="LO",6,10))+IF(T8393=1,2,IF(D8393=7,1,(IF(WEEKDAY(B8393)=1,2,IF(WEEKDAY(B8393)=7,1,0))))))</f>
        <v>2</v>
      </c>
      <c r="V8393" s="328">
        <f>VLOOKUP(C8393,METADATA!$A$5:$H$29,IF(E8393="HI",2,IF(E8393="LO",6,10))+IF(T8393=1,2,IF(D8393=7,1,(IF(WEEKDAY(B8393)=1,2,IF(WEEKDAY(B8393)=7,1,0))))))</f>
        <v>2</v>
      </c>
    </row>
    <row r="8394" spans="2:22">
      <c r="B8394" s="318">
        <f t="shared" si="523"/>
        <v>46462</v>
      </c>
      <c r="C8394" s="312">
        <v>14</v>
      </c>
      <c r="D8394" s="368">
        <f>IFERROR((INDEX(METADATA!$T$2:$T$20,MATCH(B8394,METADATA!$S$2:$S$20,0))),0)</f>
        <v>0</v>
      </c>
      <c r="E8394" s="312" t="str">
        <f t="shared" si="524"/>
        <v>LO</v>
      </c>
      <c r="F8394" s="369">
        <f>VLOOKUP(C8394,METADATA!$A$5:$H$29,IF(E8394="HI",2,IF(E8394="LO",6,10))+IF(D8394=1,2,IF(D8394=7,1,(IF(WEEKDAY(B8394)=1,2,IF(WEEKDAY(B8394)=7,1,0))))))</f>
        <v>2</v>
      </c>
      <c r="G8394" s="369">
        <f>VLOOKUP(C8394,METADATA!$J$5:$Q$29,IF(E8394="HI",2,IF(E8394="LO",6,10))+IF(D8394=1,2,IF(D8394=7,1,(IF(WEEKDAY(B8394)=1,2,IF(WEEKDAY(B8394)=7,1,0))))))</f>
        <v>2</v>
      </c>
      <c r="H8394" s="370">
        <v>12573.025390625</v>
      </c>
      <c r="I8394" s="370">
        <v>3713.3900756835938</v>
      </c>
      <c r="M8394" s="371">
        <f t="shared" si="525"/>
        <v>13109.92880710976</v>
      </c>
      <c r="N8394" s="329">
        <f t="shared" si="526"/>
        <v>0</v>
      </c>
      <c r="T8394" s="331">
        <v>0</v>
      </c>
      <c r="U8394" s="328">
        <f>VLOOKUP(C8394,METADATA!$J$5:$Q$29,IF(E8394="HI",2,IF(E8394="LO",6,10))+IF(T8394=1,2,IF(D8394=7,1,(IF(WEEKDAY(B8394)=1,2,IF(WEEKDAY(B8394)=7,1,0))))))</f>
        <v>2</v>
      </c>
      <c r="V8394" s="328">
        <f>VLOOKUP(C8394,METADATA!$A$5:$H$29,IF(E8394="HI",2,IF(E8394="LO",6,10))+IF(T8394=1,2,IF(D8394=7,1,(IF(WEEKDAY(B8394)=1,2,IF(WEEKDAY(B8394)=7,1,0))))))</f>
        <v>2</v>
      </c>
    </row>
    <row r="8395" spans="2:22">
      <c r="B8395" s="318">
        <f t="shared" si="523"/>
        <v>46462</v>
      </c>
      <c r="C8395" s="312">
        <v>15</v>
      </c>
      <c r="D8395" s="368">
        <f>IFERROR((INDEX(METADATA!$T$2:$T$20,MATCH(B8395,METADATA!$S$2:$S$20,0))),0)</f>
        <v>0</v>
      </c>
      <c r="E8395" s="312" t="str">
        <f t="shared" si="524"/>
        <v>LO</v>
      </c>
      <c r="F8395" s="369">
        <f>VLOOKUP(C8395,METADATA!$A$5:$H$29,IF(E8395="HI",2,IF(E8395="LO",6,10))+IF(D8395=1,2,IF(D8395=7,1,(IF(WEEKDAY(B8395)=1,2,IF(WEEKDAY(B8395)=7,1,0))))))</f>
        <v>2</v>
      </c>
      <c r="G8395" s="369">
        <f>VLOOKUP(C8395,METADATA!$J$5:$Q$29,IF(E8395="HI",2,IF(E8395="LO",6,10))+IF(D8395=1,2,IF(D8395=7,1,(IF(WEEKDAY(B8395)=1,2,IF(WEEKDAY(B8395)=7,1,0))))))</f>
        <v>2</v>
      </c>
      <c r="H8395" s="370">
        <v>12547.024780273438</v>
      </c>
      <c r="I8395" s="370">
        <v>3657.7099609375</v>
      </c>
      <c r="M8395" s="371">
        <f t="shared" si="525"/>
        <v>13069.302697356776</v>
      </c>
      <c r="N8395" s="329">
        <f t="shared" si="526"/>
        <v>0</v>
      </c>
      <c r="T8395" s="331">
        <v>0</v>
      </c>
      <c r="U8395" s="328">
        <f>VLOOKUP(C8395,METADATA!$J$5:$Q$29,IF(E8395="HI",2,IF(E8395="LO",6,10))+IF(T8395=1,2,IF(D8395=7,1,(IF(WEEKDAY(B8395)=1,2,IF(WEEKDAY(B8395)=7,1,0))))))</f>
        <v>2</v>
      </c>
      <c r="V8395" s="328">
        <f>VLOOKUP(C8395,METADATA!$A$5:$H$29,IF(E8395="HI",2,IF(E8395="LO",6,10))+IF(T8395=1,2,IF(D8395=7,1,(IF(WEEKDAY(B8395)=1,2,IF(WEEKDAY(B8395)=7,1,0))))))</f>
        <v>2</v>
      </c>
    </row>
    <row r="8396" spans="2:22">
      <c r="B8396" s="318">
        <f t="shared" si="523"/>
        <v>46462</v>
      </c>
      <c r="C8396" s="312">
        <v>16</v>
      </c>
      <c r="D8396" s="368">
        <f>IFERROR((INDEX(METADATA!$T$2:$T$20,MATCH(B8396,METADATA!$S$2:$S$20,0))),0)</f>
        <v>0</v>
      </c>
      <c r="E8396" s="312" t="str">
        <f t="shared" si="524"/>
        <v>LO</v>
      </c>
      <c r="F8396" s="369">
        <f>VLOOKUP(C8396,METADATA!$A$5:$H$29,IF(E8396="HI",2,IF(E8396="LO",6,10))+IF(D8396=1,2,IF(D8396=7,1,(IF(WEEKDAY(B8396)=1,2,IF(WEEKDAY(B8396)=7,1,0))))))</f>
        <v>2</v>
      </c>
      <c r="G8396" s="369">
        <f>VLOOKUP(C8396,METADATA!$J$5:$Q$29,IF(E8396="HI",2,IF(E8396="LO",6,10))+IF(D8396=1,2,IF(D8396=7,1,(IF(WEEKDAY(B8396)=1,2,IF(WEEKDAY(B8396)=7,1,0))))))</f>
        <v>2</v>
      </c>
      <c r="H8396" s="370">
        <v>12495.874755859375</v>
      </c>
      <c r="I8396" s="370">
        <v>3593.1800231933594</v>
      </c>
      <c r="M8396" s="371">
        <f t="shared" si="525"/>
        <v>13002.223986426301</v>
      </c>
      <c r="N8396" s="329">
        <f t="shared" si="526"/>
        <v>0</v>
      </c>
      <c r="T8396" s="331">
        <v>0</v>
      </c>
      <c r="U8396" s="328">
        <f>VLOOKUP(C8396,METADATA!$J$5:$Q$29,IF(E8396="HI",2,IF(E8396="LO",6,10))+IF(T8396=1,2,IF(D8396=7,1,(IF(WEEKDAY(B8396)=1,2,IF(WEEKDAY(B8396)=7,1,0))))))</f>
        <v>2</v>
      </c>
      <c r="V8396" s="328">
        <f>VLOOKUP(C8396,METADATA!$A$5:$H$29,IF(E8396="HI",2,IF(E8396="LO",6,10))+IF(T8396=1,2,IF(D8396=7,1,(IF(WEEKDAY(B8396)=1,2,IF(WEEKDAY(B8396)=7,1,0))))))</f>
        <v>2</v>
      </c>
    </row>
    <row r="8397" spans="2:22">
      <c r="B8397" s="318">
        <f t="shared" si="523"/>
        <v>46462</v>
      </c>
      <c r="C8397" s="312">
        <v>17</v>
      </c>
      <c r="D8397" s="368">
        <f>IFERROR((INDEX(METADATA!$T$2:$T$20,MATCH(B8397,METADATA!$S$2:$S$20,0))),0)</f>
        <v>0</v>
      </c>
      <c r="E8397" s="312" t="str">
        <f t="shared" si="524"/>
        <v>LO</v>
      </c>
      <c r="F8397" s="369">
        <f>VLOOKUP(C8397,METADATA!$A$5:$H$29,IF(E8397="HI",2,IF(E8397="LO",6,10))+IF(D8397=1,2,IF(D8397=7,1,(IF(WEEKDAY(B8397)=1,2,IF(WEEKDAY(B8397)=7,1,0))))))</f>
        <v>2</v>
      </c>
      <c r="G8397" s="369">
        <f>VLOOKUP(C8397,METADATA!$J$5:$Q$29,IF(E8397="HI",2,IF(E8397="LO",6,10))+IF(D8397=1,2,IF(D8397=7,1,(IF(WEEKDAY(B8397)=1,2,IF(WEEKDAY(B8397)=7,1,0))))))</f>
        <v>2</v>
      </c>
      <c r="H8397" s="370">
        <v>12454.899963378906</v>
      </c>
      <c r="I8397" s="370">
        <v>3562.2499084472656</v>
      </c>
      <c r="M8397" s="371">
        <f t="shared" si="525"/>
        <v>12954.310383343778</v>
      </c>
      <c r="N8397" s="329">
        <f t="shared" si="526"/>
        <v>0</v>
      </c>
      <c r="T8397" s="331">
        <v>0</v>
      </c>
      <c r="U8397" s="328">
        <f>VLOOKUP(C8397,METADATA!$J$5:$Q$29,IF(E8397="HI",2,IF(E8397="LO",6,10))+IF(T8397=1,2,IF(D8397=7,1,(IF(WEEKDAY(B8397)=1,2,IF(WEEKDAY(B8397)=7,1,0))))))</f>
        <v>2</v>
      </c>
      <c r="V8397" s="328">
        <f>VLOOKUP(C8397,METADATA!$A$5:$H$29,IF(E8397="HI",2,IF(E8397="LO",6,10))+IF(T8397=1,2,IF(D8397=7,1,(IF(WEEKDAY(B8397)=1,2,IF(WEEKDAY(B8397)=7,1,0))))))</f>
        <v>2</v>
      </c>
    </row>
    <row r="8398" spans="2:22">
      <c r="B8398" s="318">
        <f t="shared" si="523"/>
        <v>46462</v>
      </c>
      <c r="C8398" s="312">
        <v>18</v>
      </c>
      <c r="D8398" s="368">
        <f>IFERROR((INDEX(METADATA!$T$2:$T$20,MATCH(B8398,METADATA!$S$2:$S$20,0))),0)</f>
        <v>0</v>
      </c>
      <c r="E8398" s="312" t="str">
        <f t="shared" si="524"/>
        <v>LO</v>
      </c>
      <c r="F8398" s="369">
        <f>VLOOKUP(C8398,METADATA!$A$5:$H$29,IF(E8398="HI",2,IF(E8398="LO",6,10))+IF(D8398=1,2,IF(D8398=7,1,(IF(WEEKDAY(B8398)=1,2,IF(WEEKDAY(B8398)=7,1,0))))))</f>
        <v>1</v>
      </c>
      <c r="G8398" s="369">
        <f>VLOOKUP(C8398,METADATA!$J$5:$Q$29,IF(E8398="HI",2,IF(E8398="LO",6,10))+IF(D8398=1,2,IF(D8398=7,1,(IF(WEEKDAY(B8398)=1,2,IF(WEEKDAY(B8398)=7,1,0))))))</f>
        <v>1</v>
      </c>
      <c r="H8398" s="370">
        <v>12516.099975585938</v>
      </c>
      <c r="I8398" s="370">
        <v>3600.2450256347656</v>
      </c>
      <c r="M8398" s="371">
        <f t="shared" si="525"/>
        <v>13023.614046932984</v>
      </c>
      <c r="N8398" s="329">
        <f t="shared" si="526"/>
        <v>0</v>
      </c>
      <c r="T8398" s="331">
        <v>0</v>
      </c>
      <c r="U8398" s="328">
        <f>VLOOKUP(C8398,METADATA!$J$5:$Q$29,IF(E8398="HI",2,IF(E8398="LO",6,10))+IF(T8398=1,2,IF(D8398=7,1,(IF(WEEKDAY(B8398)=1,2,IF(WEEKDAY(B8398)=7,1,0))))))</f>
        <v>1</v>
      </c>
      <c r="V8398" s="328">
        <f>VLOOKUP(C8398,METADATA!$A$5:$H$29,IF(E8398="HI",2,IF(E8398="LO",6,10))+IF(T8398=1,2,IF(D8398=7,1,(IF(WEEKDAY(B8398)=1,2,IF(WEEKDAY(B8398)=7,1,0))))))</f>
        <v>1</v>
      </c>
    </row>
    <row r="8399" spans="2:22">
      <c r="B8399" s="318">
        <f t="shared" si="523"/>
        <v>46462</v>
      </c>
      <c r="C8399" s="312">
        <v>19</v>
      </c>
      <c r="D8399" s="368">
        <f>IFERROR((INDEX(METADATA!$T$2:$T$20,MATCH(B8399,METADATA!$S$2:$S$20,0))),0)</f>
        <v>0</v>
      </c>
      <c r="E8399" s="312" t="str">
        <f t="shared" si="524"/>
        <v>LO</v>
      </c>
      <c r="F8399" s="369">
        <f>VLOOKUP(C8399,METADATA!$A$5:$H$29,IF(E8399="HI",2,IF(E8399="LO",6,10))+IF(D8399=1,2,IF(D8399=7,1,(IF(WEEKDAY(B8399)=1,2,IF(WEEKDAY(B8399)=7,1,0))))))</f>
        <v>1</v>
      </c>
      <c r="G8399" s="369">
        <f>VLOOKUP(C8399,METADATA!$J$5:$Q$29,IF(E8399="HI",2,IF(E8399="LO",6,10))+IF(D8399=1,2,IF(D8399=7,1,(IF(WEEKDAY(B8399)=1,2,IF(WEEKDAY(B8399)=7,1,0))))))</f>
        <v>1</v>
      </c>
      <c r="H8399" s="370">
        <v>11902.500122070313</v>
      </c>
      <c r="I8399" s="370">
        <v>3294.6099700927734</v>
      </c>
      <c r="M8399" s="371">
        <f t="shared" si="525"/>
        <v>12350.059271554874</v>
      </c>
      <c r="N8399" s="329">
        <f t="shared" si="526"/>
        <v>0</v>
      </c>
      <c r="T8399" s="331">
        <v>0</v>
      </c>
      <c r="U8399" s="328">
        <f>VLOOKUP(C8399,METADATA!$J$5:$Q$29,IF(E8399="HI",2,IF(E8399="LO",6,10))+IF(T8399=1,2,IF(D8399=7,1,(IF(WEEKDAY(B8399)=1,2,IF(WEEKDAY(B8399)=7,1,0))))))</f>
        <v>1</v>
      </c>
      <c r="V8399" s="328">
        <f>VLOOKUP(C8399,METADATA!$A$5:$H$29,IF(E8399="HI",2,IF(E8399="LO",6,10))+IF(T8399=1,2,IF(D8399=7,1,(IF(WEEKDAY(B8399)=1,2,IF(WEEKDAY(B8399)=7,1,0))))))</f>
        <v>1</v>
      </c>
    </row>
    <row r="8400" spans="2:22">
      <c r="B8400" s="318">
        <f t="shared" si="523"/>
        <v>46462</v>
      </c>
      <c r="C8400" s="312">
        <v>20</v>
      </c>
      <c r="D8400" s="368">
        <f>IFERROR((INDEX(METADATA!$T$2:$T$20,MATCH(B8400,METADATA!$S$2:$S$20,0))),0)</f>
        <v>0</v>
      </c>
      <c r="E8400" s="312" t="str">
        <f t="shared" si="524"/>
        <v>LO</v>
      </c>
      <c r="F8400" s="369">
        <f>VLOOKUP(C8400,METADATA!$A$5:$H$29,IF(E8400="HI",2,IF(E8400="LO",6,10))+IF(D8400=1,2,IF(D8400=7,1,(IF(WEEKDAY(B8400)=1,2,IF(WEEKDAY(B8400)=7,1,0))))))</f>
        <v>1</v>
      </c>
      <c r="G8400" s="369">
        <f>VLOOKUP(C8400,METADATA!$J$5:$Q$29,IF(E8400="HI",2,IF(E8400="LO",6,10))+IF(D8400=1,2,IF(D8400=7,1,(IF(WEEKDAY(B8400)=1,2,IF(WEEKDAY(B8400)=7,1,0))))))</f>
        <v>1</v>
      </c>
      <c r="H8400" s="370">
        <v>12729.275268554688</v>
      </c>
      <c r="I8400" s="370">
        <v>3770.2949829101563</v>
      </c>
      <c r="M8400" s="371">
        <f t="shared" si="525"/>
        <v>13275.901970141067</v>
      </c>
      <c r="N8400" s="329">
        <f t="shared" si="526"/>
        <v>0</v>
      </c>
      <c r="T8400" s="331">
        <v>0</v>
      </c>
      <c r="U8400" s="328">
        <f>VLOOKUP(C8400,METADATA!$J$5:$Q$29,IF(E8400="HI",2,IF(E8400="LO",6,10))+IF(T8400=1,2,IF(D8400=7,1,(IF(WEEKDAY(B8400)=1,2,IF(WEEKDAY(B8400)=7,1,0))))))</f>
        <v>1</v>
      </c>
      <c r="V8400" s="328">
        <f>VLOOKUP(C8400,METADATA!$A$5:$H$29,IF(E8400="HI",2,IF(E8400="LO",6,10))+IF(T8400=1,2,IF(D8400=7,1,(IF(WEEKDAY(B8400)=1,2,IF(WEEKDAY(B8400)=7,1,0))))))</f>
        <v>1</v>
      </c>
    </row>
    <row r="8401" spans="2:22">
      <c r="B8401" s="318">
        <f t="shared" si="523"/>
        <v>46462</v>
      </c>
      <c r="C8401" s="312">
        <v>21</v>
      </c>
      <c r="D8401" s="368">
        <f>IFERROR((INDEX(METADATA!$T$2:$T$20,MATCH(B8401,METADATA!$S$2:$S$20,0))),0)</f>
        <v>0</v>
      </c>
      <c r="E8401" s="312" t="str">
        <f t="shared" si="524"/>
        <v>LO</v>
      </c>
      <c r="F8401" s="369">
        <f>VLOOKUP(C8401,METADATA!$A$5:$H$29,IF(E8401="HI",2,IF(E8401="LO",6,10))+IF(D8401=1,2,IF(D8401=7,1,(IF(WEEKDAY(B8401)=1,2,IF(WEEKDAY(B8401)=7,1,0))))))</f>
        <v>2</v>
      </c>
      <c r="G8401" s="369">
        <f>VLOOKUP(C8401,METADATA!$J$5:$Q$29,IF(E8401="HI",2,IF(E8401="LO",6,10))+IF(D8401=1,2,IF(D8401=7,1,(IF(WEEKDAY(B8401)=1,2,IF(WEEKDAY(B8401)=7,1,0))))))</f>
        <v>2</v>
      </c>
      <c r="H8401" s="370">
        <v>12489.749938964844</v>
      </c>
      <c r="I8401" s="370">
        <v>3618.7000122070313</v>
      </c>
      <c r="M8401" s="371">
        <f t="shared" si="525"/>
        <v>13003.41660165587</v>
      </c>
      <c r="N8401" s="329">
        <f t="shared" si="526"/>
        <v>0</v>
      </c>
      <c r="T8401" s="331">
        <v>0</v>
      </c>
      <c r="U8401" s="328">
        <f>VLOOKUP(C8401,METADATA!$J$5:$Q$29,IF(E8401="HI",2,IF(E8401="LO",6,10))+IF(T8401=1,2,IF(D8401=7,1,(IF(WEEKDAY(B8401)=1,2,IF(WEEKDAY(B8401)=7,1,0))))))</f>
        <v>2</v>
      </c>
      <c r="V8401" s="328">
        <f>VLOOKUP(C8401,METADATA!$A$5:$H$29,IF(E8401="HI",2,IF(E8401="LO",6,10))+IF(T8401=1,2,IF(D8401=7,1,(IF(WEEKDAY(B8401)=1,2,IF(WEEKDAY(B8401)=7,1,0))))))</f>
        <v>2</v>
      </c>
    </row>
    <row r="8402" spans="2:22">
      <c r="B8402" s="318">
        <f t="shared" si="523"/>
        <v>46462</v>
      </c>
      <c r="C8402" s="312">
        <v>22</v>
      </c>
      <c r="D8402" s="368">
        <f>IFERROR((INDEX(METADATA!$T$2:$T$20,MATCH(B8402,METADATA!$S$2:$S$20,0))),0)</f>
        <v>0</v>
      </c>
      <c r="E8402" s="312" t="str">
        <f t="shared" si="524"/>
        <v>LO</v>
      </c>
      <c r="F8402" s="369">
        <f>VLOOKUP(C8402,METADATA!$A$5:$H$29,IF(E8402="HI",2,IF(E8402="LO",6,10))+IF(D8402=1,2,IF(D8402=7,1,(IF(WEEKDAY(B8402)=1,2,IF(WEEKDAY(B8402)=7,1,0))))))</f>
        <v>3</v>
      </c>
      <c r="G8402" s="369">
        <f>VLOOKUP(C8402,METADATA!$J$5:$Q$29,IF(E8402="HI",2,IF(E8402="LO",6,10))+IF(D8402=1,2,IF(D8402=7,1,(IF(WEEKDAY(B8402)=1,2,IF(WEEKDAY(B8402)=7,1,0))))))</f>
        <v>3</v>
      </c>
      <c r="H8402" s="370">
        <v>12428.874938964844</v>
      </c>
      <c r="I8402" s="370">
        <v>3526.8950347900391</v>
      </c>
      <c r="M8402" s="371">
        <f t="shared" si="525"/>
        <v>12919.594453188342</v>
      </c>
      <c r="N8402" s="329">
        <f t="shared" si="526"/>
        <v>0</v>
      </c>
      <c r="T8402" s="331">
        <v>0</v>
      </c>
      <c r="U8402" s="328">
        <f>VLOOKUP(C8402,METADATA!$J$5:$Q$29,IF(E8402="HI",2,IF(E8402="LO",6,10))+IF(T8402=1,2,IF(D8402=7,1,(IF(WEEKDAY(B8402)=1,2,IF(WEEKDAY(B8402)=7,1,0))))))</f>
        <v>3</v>
      </c>
      <c r="V8402" s="328">
        <f>VLOOKUP(C8402,METADATA!$A$5:$H$29,IF(E8402="HI",2,IF(E8402="LO",6,10))+IF(T8402=1,2,IF(D8402=7,1,(IF(WEEKDAY(B8402)=1,2,IF(WEEKDAY(B8402)=7,1,0))))))</f>
        <v>3</v>
      </c>
    </row>
    <row r="8403" spans="2:22">
      <c r="B8403" s="318">
        <f t="shared" si="523"/>
        <v>46462</v>
      </c>
      <c r="C8403" s="312">
        <v>23</v>
      </c>
      <c r="D8403" s="368">
        <f>IFERROR((INDEX(METADATA!$T$2:$T$20,MATCH(B8403,METADATA!$S$2:$S$20,0))),0)</f>
        <v>0</v>
      </c>
      <c r="E8403" s="312" t="str">
        <f t="shared" si="524"/>
        <v>LO</v>
      </c>
      <c r="F8403" s="369">
        <f>VLOOKUP(C8403,METADATA!$A$5:$H$29,IF(E8403="HI",2,IF(E8403="LO",6,10))+IF(D8403=1,2,IF(D8403=7,1,(IF(WEEKDAY(B8403)=1,2,IF(WEEKDAY(B8403)=7,1,0))))))</f>
        <v>3</v>
      </c>
      <c r="G8403" s="369">
        <f>VLOOKUP(C8403,METADATA!$J$5:$Q$29,IF(E8403="HI",2,IF(E8403="LO",6,10))+IF(D8403=1,2,IF(D8403=7,1,(IF(WEEKDAY(B8403)=1,2,IF(WEEKDAY(B8403)=7,1,0))))))</f>
        <v>3</v>
      </c>
      <c r="H8403" s="370">
        <v>12513.25</v>
      </c>
      <c r="I8403" s="370">
        <v>3614.2249603271484</v>
      </c>
      <c r="M8403" s="371">
        <f t="shared" si="525"/>
        <v>13024.747507201504</v>
      </c>
      <c r="N8403" s="329">
        <f t="shared" si="526"/>
        <v>0</v>
      </c>
      <c r="T8403" s="331">
        <v>0</v>
      </c>
      <c r="U8403" s="328">
        <f>VLOOKUP(C8403,METADATA!$J$5:$Q$29,IF(E8403="HI",2,IF(E8403="LO",6,10))+IF(T8403=1,2,IF(D8403=7,1,(IF(WEEKDAY(B8403)=1,2,IF(WEEKDAY(B8403)=7,1,0))))))</f>
        <v>3</v>
      </c>
      <c r="V8403" s="328">
        <f>VLOOKUP(C8403,METADATA!$A$5:$H$29,IF(E8403="HI",2,IF(E8403="LO",6,10))+IF(T8403=1,2,IF(D8403=7,1,(IF(WEEKDAY(B8403)=1,2,IF(WEEKDAY(B8403)=7,1,0))))))</f>
        <v>3</v>
      </c>
    </row>
    <row r="8404" spans="2:22">
      <c r="B8404" s="318">
        <f t="shared" si="523"/>
        <v>46463</v>
      </c>
      <c r="C8404" s="312">
        <v>0</v>
      </c>
      <c r="D8404" s="368">
        <f>IFERROR((INDEX(METADATA!$T$2:$T$20,MATCH(B8404,METADATA!$S$2:$S$20,0))),0)</f>
        <v>0</v>
      </c>
      <c r="E8404" s="312" t="str">
        <f t="shared" si="524"/>
        <v>LO</v>
      </c>
      <c r="F8404" s="369">
        <f>VLOOKUP(C8404,METADATA!$A$5:$H$29,IF(E8404="HI",2,IF(E8404="LO",6,10))+IF(D8404=1,2,IF(D8404=7,1,(IF(WEEKDAY(B8404)=1,2,IF(WEEKDAY(B8404)=7,1,0))))))</f>
        <v>3</v>
      </c>
      <c r="G8404" s="369">
        <f>VLOOKUP(C8404,METADATA!$J$5:$Q$29,IF(E8404="HI",2,IF(E8404="LO",6,10))+IF(D8404=1,2,IF(D8404=7,1,(IF(WEEKDAY(B8404)=1,2,IF(WEEKDAY(B8404)=7,1,0))))))</f>
        <v>3</v>
      </c>
      <c r="H8404" s="370">
        <v>12389.799926757813</v>
      </c>
      <c r="I8404" s="370">
        <v>3421.4800567626953</v>
      </c>
      <c r="M8404" s="371">
        <f t="shared" si="525"/>
        <v>12853.546903633749</v>
      </c>
      <c r="N8404" s="329">
        <f t="shared" si="526"/>
        <v>0</v>
      </c>
      <c r="T8404" s="331">
        <v>0</v>
      </c>
      <c r="U8404" s="328">
        <f>VLOOKUP(C8404,METADATA!$J$5:$Q$29,IF(E8404="HI",2,IF(E8404="LO",6,10))+IF(T8404=1,2,IF(D8404=7,1,(IF(WEEKDAY(B8404)=1,2,IF(WEEKDAY(B8404)=7,1,0))))))</f>
        <v>3</v>
      </c>
      <c r="V8404" s="328">
        <f>VLOOKUP(C8404,METADATA!$A$5:$H$29,IF(E8404="HI",2,IF(E8404="LO",6,10))+IF(T8404=1,2,IF(D8404=7,1,(IF(WEEKDAY(B8404)=1,2,IF(WEEKDAY(B8404)=7,1,0))))))</f>
        <v>3</v>
      </c>
    </row>
    <row r="8405" spans="2:22">
      <c r="B8405" s="318">
        <f t="shared" si="523"/>
        <v>46463</v>
      </c>
      <c r="C8405" s="312">
        <v>1</v>
      </c>
      <c r="D8405" s="368">
        <f>IFERROR((INDEX(METADATA!$T$2:$T$20,MATCH(B8405,METADATA!$S$2:$S$20,0))),0)</f>
        <v>0</v>
      </c>
      <c r="E8405" s="312" t="str">
        <f t="shared" si="524"/>
        <v>LO</v>
      </c>
      <c r="F8405" s="369">
        <f>VLOOKUP(C8405,METADATA!$A$5:$H$29,IF(E8405="HI",2,IF(E8405="LO",6,10))+IF(D8405=1,2,IF(D8405=7,1,(IF(WEEKDAY(B8405)=1,2,IF(WEEKDAY(B8405)=7,1,0))))))</f>
        <v>3</v>
      </c>
      <c r="G8405" s="369">
        <f>VLOOKUP(C8405,METADATA!$J$5:$Q$29,IF(E8405="HI",2,IF(E8405="LO",6,10))+IF(D8405=1,2,IF(D8405=7,1,(IF(WEEKDAY(B8405)=1,2,IF(WEEKDAY(B8405)=7,1,0))))))</f>
        <v>3</v>
      </c>
      <c r="H8405" s="370">
        <v>12382.23974609375</v>
      </c>
      <c r="I8405" s="370">
        <v>3499.1050109863281</v>
      </c>
      <c r="M8405" s="371">
        <f t="shared" si="525"/>
        <v>12867.151860751992</v>
      </c>
      <c r="N8405" s="329">
        <f t="shared" si="526"/>
        <v>0</v>
      </c>
      <c r="T8405" s="331">
        <v>0</v>
      </c>
      <c r="U8405" s="328">
        <f>VLOOKUP(C8405,METADATA!$J$5:$Q$29,IF(E8405="HI",2,IF(E8405="LO",6,10))+IF(T8405=1,2,IF(D8405=7,1,(IF(WEEKDAY(B8405)=1,2,IF(WEEKDAY(B8405)=7,1,0))))))</f>
        <v>3</v>
      </c>
      <c r="V8405" s="328">
        <f>VLOOKUP(C8405,METADATA!$A$5:$H$29,IF(E8405="HI",2,IF(E8405="LO",6,10))+IF(T8405=1,2,IF(D8405=7,1,(IF(WEEKDAY(B8405)=1,2,IF(WEEKDAY(B8405)=7,1,0))))))</f>
        <v>3</v>
      </c>
    </row>
    <row r="8406" spans="2:22">
      <c r="B8406" s="318">
        <f t="shared" si="523"/>
        <v>46463</v>
      </c>
      <c r="C8406" s="312">
        <v>2</v>
      </c>
      <c r="D8406" s="368">
        <f>IFERROR((INDEX(METADATA!$T$2:$T$20,MATCH(B8406,METADATA!$S$2:$S$20,0))),0)</f>
        <v>0</v>
      </c>
      <c r="E8406" s="312" t="str">
        <f t="shared" si="524"/>
        <v>LO</v>
      </c>
      <c r="F8406" s="369">
        <f>VLOOKUP(C8406,METADATA!$A$5:$H$29,IF(E8406="HI",2,IF(E8406="LO",6,10))+IF(D8406=1,2,IF(D8406=7,1,(IF(WEEKDAY(B8406)=1,2,IF(WEEKDAY(B8406)=7,1,0))))))</f>
        <v>3</v>
      </c>
      <c r="G8406" s="369">
        <f>VLOOKUP(C8406,METADATA!$J$5:$Q$29,IF(E8406="HI",2,IF(E8406="LO",6,10))+IF(D8406=1,2,IF(D8406=7,1,(IF(WEEKDAY(B8406)=1,2,IF(WEEKDAY(B8406)=7,1,0))))))</f>
        <v>3</v>
      </c>
      <c r="H8406" s="370">
        <v>12359.775085449219</v>
      </c>
      <c r="I8406" s="370">
        <v>3562.0249176025391</v>
      </c>
      <c r="M8406" s="371">
        <f t="shared" si="525"/>
        <v>12862.817019475657</v>
      </c>
      <c r="N8406" s="329">
        <f t="shared" si="526"/>
        <v>0</v>
      </c>
      <c r="T8406" s="331">
        <v>0</v>
      </c>
      <c r="U8406" s="328">
        <f>VLOOKUP(C8406,METADATA!$J$5:$Q$29,IF(E8406="HI",2,IF(E8406="LO",6,10))+IF(T8406=1,2,IF(D8406=7,1,(IF(WEEKDAY(B8406)=1,2,IF(WEEKDAY(B8406)=7,1,0))))))</f>
        <v>3</v>
      </c>
      <c r="V8406" s="328">
        <f>VLOOKUP(C8406,METADATA!$A$5:$H$29,IF(E8406="HI",2,IF(E8406="LO",6,10))+IF(T8406=1,2,IF(D8406=7,1,(IF(WEEKDAY(B8406)=1,2,IF(WEEKDAY(B8406)=7,1,0))))))</f>
        <v>3</v>
      </c>
    </row>
    <row r="8407" spans="2:22">
      <c r="B8407" s="318">
        <f t="shared" si="523"/>
        <v>46463</v>
      </c>
      <c r="C8407" s="312">
        <v>3</v>
      </c>
      <c r="D8407" s="368">
        <f>IFERROR((INDEX(METADATA!$T$2:$T$20,MATCH(B8407,METADATA!$S$2:$S$20,0))),0)</f>
        <v>0</v>
      </c>
      <c r="E8407" s="312" t="str">
        <f t="shared" si="524"/>
        <v>LO</v>
      </c>
      <c r="F8407" s="369">
        <f>VLOOKUP(C8407,METADATA!$A$5:$H$29,IF(E8407="HI",2,IF(E8407="LO",6,10))+IF(D8407=1,2,IF(D8407=7,1,(IF(WEEKDAY(B8407)=1,2,IF(WEEKDAY(B8407)=7,1,0))))))</f>
        <v>3</v>
      </c>
      <c r="G8407" s="369">
        <f>VLOOKUP(C8407,METADATA!$J$5:$Q$29,IF(E8407="HI",2,IF(E8407="LO",6,10))+IF(D8407=1,2,IF(D8407=7,1,(IF(WEEKDAY(B8407)=1,2,IF(WEEKDAY(B8407)=7,1,0))))))</f>
        <v>3</v>
      </c>
      <c r="H8407" s="370">
        <v>12343.199890136719</v>
      </c>
      <c r="I8407" s="370">
        <v>3459.0099029541016</v>
      </c>
      <c r="M8407" s="371">
        <f t="shared" si="525"/>
        <v>12818.710271965962</v>
      </c>
      <c r="N8407" s="329">
        <f t="shared" si="526"/>
        <v>0</v>
      </c>
      <c r="T8407" s="331">
        <v>0</v>
      </c>
      <c r="U8407" s="328">
        <f>VLOOKUP(C8407,METADATA!$J$5:$Q$29,IF(E8407="HI",2,IF(E8407="LO",6,10))+IF(T8407=1,2,IF(D8407=7,1,(IF(WEEKDAY(B8407)=1,2,IF(WEEKDAY(B8407)=7,1,0))))))</f>
        <v>3</v>
      </c>
      <c r="V8407" s="328">
        <f>VLOOKUP(C8407,METADATA!$A$5:$H$29,IF(E8407="HI",2,IF(E8407="LO",6,10))+IF(T8407=1,2,IF(D8407=7,1,(IF(WEEKDAY(B8407)=1,2,IF(WEEKDAY(B8407)=7,1,0))))))</f>
        <v>3</v>
      </c>
    </row>
    <row r="8408" spans="2:22">
      <c r="B8408" s="318">
        <f t="shared" si="523"/>
        <v>46463</v>
      </c>
      <c r="C8408" s="312">
        <v>4</v>
      </c>
      <c r="D8408" s="368">
        <f>IFERROR((INDEX(METADATA!$T$2:$T$20,MATCH(B8408,METADATA!$S$2:$S$20,0))),0)</f>
        <v>0</v>
      </c>
      <c r="E8408" s="312" t="str">
        <f t="shared" si="524"/>
        <v>LO</v>
      </c>
      <c r="F8408" s="369">
        <f>VLOOKUP(C8408,METADATA!$A$5:$H$29,IF(E8408="HI",2,IF(E8408="LO",6,10))+IF(D8408=1,2,IF(D8408=7,1,(IF(WEEKDAY(B8408)=1,2,IF(WEEKDAY(B8408)=7,1,0))))))</f>
        <v>3</v>
      </c>
      <c r="G8408" s="369">
        <f>VLOOKUP(C8408,METADATA!$J$5:$Q$29,IF(E8408="HI",2,IF(E8408="LO",6,10))+IF(D8408=1,2,IF(D8408=7,1,(IF(WEEKDAY(B8408)=1,2,IF(WEEKDAY(B8408)=7,1,0))))))</f>
        <v>3</v>
      </c>
      <c r="H8408" s="370">
        <v>12465.125061035156</v>
      </c>
      <c r="I8408" s="370">
        <v>3451.9400329589844</v>
      </c>
      <c r="M8408" s="371">
        <f t="shared" si="525"/>
        <v>12934.265838399626</v>
      </c>
      <c r="N8408" s="329">
        <f t="shared" si="526"/>
        <v>0</v>
      </c>
      <c r="T8408" s="331">
        <v>0</v>
      </c>
      <c r="U8408" s="328">
        <f>VLOOKUP(C8408,METADATA!$J$5:$Q$29,IF(E8408="HI",2,IF(E8408="LO",6,10))+IF(T8408=1,2,IF(D8408=7,1,(IF(WEEKDAY(B8408)=1,2,IF(WEEKDAY(B8408)=7,1,0))))))</f>
        <v>3</v>
      </c>
      <c r="V8408" s="328">
        <f>VLOOKUP(C8408,METADATA!$A$5:$H$29,IF(E8408="HI",2,IF(E8408="LO",6,10))+IF(T8408=1,2,IF(D8408=7,1,(IF(WEEKDAY(B8408)=1,2,IF(WEEKDAY(B8408)=7,1,0))))))</f>
        <v>3</v>
      </c>
    </row>
    <row r="8409" spans="2:22">
      <c r="B8409" s="318">
        <f t="shared" si="523"/>
        <v>46463</v>
      </c>
      <c r="C8409" s="312">
        <v>5</v>
      </c>
      <c r="D8409" s="368">
        <f>IFERROR((INDEX(METADATA!$T$2:$T$20,MATCH(B8409,METADATA!$S$2:$S$20,0))),0)</f>
        <v>0</v>
      </c>
      <c r="E8409" s="312" t="str">
        <f t="shared" si="524"/>
        <v>LO</v>
      </c>
      <c r="F8409" s="369">
        <f>VLOOKUP(C8409,METADATA!$A$5:$H$29,IF(E8409="HI",2,IF(E8409="LO",6,10))+IF(D8409=1,2,IF(D8409=7,1,(IF(WEEKDAY(B8409)=1,2,IF(WEEKDAY(B8409)=7,1,0))))))</f>
        <v>3</v>
      </c>
      <c r="G8409" s="369">
        <f>VLOOKUP(C8409,METADATA!$J$5:$Q$29,IF(E8409="HI",2,IF(E8409="LO",6,10))+IF(D8409=1,2,IF(D8409=7,1,(IF(WEEKDAY(B8409)=1,2,IF(WEEKDAY(B8409)=7,1,0))))))</f>
        <v>3</v>
      </c>
      <c r="H8409" s="370">
        <v>12372.674682617188</v>
      </c>
      <c r="I8409" s="370">
        <v>3347.794921875</v>
      </c>
      <c r="M8409" s="371">
        <f t="shared" si="525"/>
        <v>12817.597654818486</v>
      </c>
      <c r="N8409" s="329">
        <f t="shared" si="526"/>
        <v>0</v>
      </c>
      <c r="T8409" s="331">
        <v>0</v>
      </c>
      <c r="U8409" s="328">
        <f>VLOOKUP(C8409,METADATA!$J$5:$Q$29,IF(E8409="HI",2,IF(E8409="LO",6,10))+IF(T8409=1,2,IF(D8409=7,1,(IF(WEEKDAY(B8409)=1,2,IF(WEEKDAY(B8409)=7,1,0))))))</f>
        <v>3</v>
      </c>
      <c r="V8409" s="328">
        <f>VLOOKUP(C8409,METADATA!$A$5:$H$29,IF(E8409="HI",2,IF(E8409="LO",6,10))+IF(T8409=1,2,IF(D8409=7,1,(IF(WEEKDAY(B8409)=1,2,IF(WEEKDAY(B8409)=7,1,0))))))</f>
        <v>3</v>
      </c>
    </row>
    <row r="8410" spans="2:22">
      <c r="B8410" s="318">
        <f t="shared" si="523"/>
        <v>46463</v>
      </c>
      <c r="C8410" s="312">
        <v>6</v>
      </c>
      <c r="D8410" s="368">
        <f>IFERROR((INDEX(METADATA!$T$2:$T$20,MATCH(B8410,METADATA!$S$2:$S$20,0))),0)</f>
        <v>0</v>
      </c>
      <c r="E8410" s="312" t="str">
        <f t="shared" si="524"/>
        <v>LO</v>
      </c>
      <c r="F8410" s="369">
        <f>VLOOKUP(C8410,METADATA!$A$5:$H$29,IF(E8410="HI",2,IF(E8410="LO",6,10))+IF(D8410=1,2,IF(D8410=7,1,(IF(WEEKDAY(B8410)=1,2,IF(WEEKDAY(B8410)=7,1,0))))))</f>
        <v>2</v>
      </c>
      <c r="G8410" s="369">
        <f>VLOOKUP(C8410,METADATA!$J$5:$Q$29,IF(E8410="HI",2,IF(E8410="LO",6,10))+IF(D8410=1,2,IF(D8410=7,1,(IF(WEEKDAY(B8410)=1,2,IF(WEEKDAY(B8410)=7,1,0))))))</f>
        <v>2</v>
      </c>
      <c r="H8410" s="370">
        <v>12433.575073242188</v>
      </c>
      <c r="I8410" s="370">
        <v>3396.6400146484375</v>
      </c>
      <c r="M8410" s="371">
        <f t="shared" si="525"/>
        <v>12889.179667110719</v>
      </c>
      <c r="N8410" s="329">
        <f t="shared" si="526"/>
        <v>0</v>
      </c>
      <c r="T8410" s="331">
        <v>0</v>
      </c>
      <c r="U8410" s="328">
        <f>VLOOKUP(C8410,METADATA!$J$5:$Q$29,IF(E8410="HI",2,IF(E8410="LO",6,10))+IF(T8410=1,2,IF(D8410=7,1,(IF(WEEKDAY(B8410)=1,2,IF(WEEKDAY(B8410)=7,1,0))))))</f>
        <v>2</v>
      </c>
      <c r="V8410" s="328">
        <f>VLOOKUP(C8410,METADATA!$A$5:$H$29,IF(E8410="HI",2,IF(E8410="LO",6,10))+IF(T8410=1,2,IF(D8410=7,1,(IF(WEEKDAY(B8410)=1,2,IF(WEEKDAY(B8410)=7,1,0))))))</f>
        <v>2</v>
      </c>
    </row>
    <row r="8411" spans="2:22">
      <c r="B8411" s="318">
        <f t="shared" si="523"/>
        <v>46463</v>
      </c>
      <c r="C8411" s="312">
        <v>7</v>
      </c>
      <c r="D8411" s="368">
        <f>IFERROR((INDEX(METADATA!$T$2:$T$20,MATCH(B8411,METADATA!$S$2:$S$20,0))),0)</f>
        <v>0</v>
      </c>
      <c r="E8411" s="312" t="str">
        <f t="shared" si="524"/>
        <v>LO</v>
      </c>
      <c r="F8411" s="369">
        <f>VLOOKUP(C8411,METADATA!$A$5:$H$29,IF(E8411="HI",2,IF(E8411="LO",6,10))+IF(D8411=1,2,IF(D8411=7,1,(IF(WEEKDAY(B8411)=1,2,IF(WEEKDAY(B8411)=7,1,0))))))</f>
        <v>1</v>
      </c>
      <c r="G8411" s="369">
        <f>VLOOKUP(C8411,METADATA!$J$5:$Q$29,IF(E8411="HI",2,IF(E8411="LO",6,10))+IF(D8411=1,2,IF(D8411=7,1,(IF(WEEKDAY(B8411)=1,2,IF(WEEKDAY(B8411)=7,1,0))))))</f>
        <v>1</v>
      </c>
      <c r="H8411" s="370">
        <v>12402.500061035156</v>
      </c>
      <c r="I8411" s="370">
        <v>3505.7100067138672</v>
      </c>
      <c r="M8411" s="371">
        <f t="shared" si="525"/>
        <v>12888.444840831293</v>
      </c>
      <c r="N8411" s="329">
        <f t="shared" si="526"/>
        <v>0</v>
      </c>
      <c r="T8411" s="331">
        <v>0</v>
      </c>
      <c r="U8411" s="328">
        <f>VLOOKUP(C8411,METADATA!$J$5:$Q$29,IF(E8411="HI",2,IF(E8411="LO",6,10))+IF(T8411=1,2,IF(D8411=7,1,(IF(WEEKDAY(B8411)=1,2,IF(WEEKDAY(B8411)=7,1,0))))))</f>
        <v>1</v>
      </c>
      <c r="V8411" s="328">
        <f>VLOOKUP(C8411,METADATA!$A$5:$H$29,IF(E8411="HI",2,IF(E8411="LO",6,10))+IF(T8411=1,2,IF(D8411=7,1,(IF(WEEKDAY(B8411)=1,2,IF(WEEKDAY(B8411)=7,1,0))))))</f>
        <v>1</v>
      </c>
    </row>
    <row r="8412" spans="2:22">
      <c r="B8412" s="318">
        <f t="shared" ref="B8412:B8475" si="527">B8388+1</f>
        <v>46463</v>
      </c>
      <c r="C8412" s="312">
        <v>8</v>
      </c>
      <c r="D8412" s="368">
        <f>IFERROR((INDEX(METADATA!$T$2:$T$20,MATCH(B8412,METADATA!$S$2:$S$20,0))),0)</f>
        <v>0</v>
      </c>
      <c r="E8412" s="312" t="str">
        <f t="shared" si="524"/>
        <v>LO</v>
      </c>
      <c r="F8412" s="369">
        <f>VLOOKUP(C8412,METADATA!$A$5:$H$29,IF(E8412="HI",2,IF(E8412="LO",6,10))+IF(D8412=1,2,IF(D8412=7,1,(IF(WEEKDAY(B8412)=1,2,IF(WEEKDAY(B8412)=7,1,0))))))</f>
        <v>1</v>
      </c>
      <c r="G8412" s="369">
        <f>VLOOKUP(C8412,METADATA!$J$5:$Q$29,IF(E8412="HI",2,IF(E8412="LO",6,10))+IF(D8412=1,2,IF(D8412=7,1,(IF(WEEKDAY(B8412)=1,2,IF(WEEKDAY(B8412)=7,1,0))))))</f>
        <v>1</v>
      </c>
      <c r="H8412" s="370">
        <v>12181.749755859375</v>
      </c>
      <c r="I8412" s="370">
        <v>3467.3550720214844</v>
      </c>
      <c r="M8412" s="371">
        <f t="shared" si="525"/>
        <v>12665.606116955203</v>
      </c>
      <c r="N8412" s="329">
        <f t="shared" si="526"/>
        <v>0</v>
      </c>
      <c r="T8412" s="331">
        <v>0</v>
      </c>
      <c r="U8412" s="328">
        <f>VLOOKUP(C8412,METADATA!$J$5:$Q$29,IF(E8412="HI",2,IF(E8412="LO",6,10))+IF(T8412=1,2,IF(D8412=7,1,(IF(WEEKDAY(B8412)=1,2,IF(WEEKDAY(B8412)=7,1,0))))))</f>
        <v>1</v>
      </c>
      <c r="V8412" s="328">
        <f>VLOOKUP(C8412,METADATA!$A$5:$H$29,IF(E8412="HI",2,IF(E8412="LO",6,10))+IF(T8412=1,2,IF(D8412=7,1,(IF(WEEKDAY(B8412)=1,2,IF(WEEKDAY(B8412)=7,1,0))))))</f>
        <v>1</v>
      </c>
    </row>
    <row r="8413" spans="2:22">
      <c r="B8413" s="318">
        <f t="shared" si="527"/>
        <v>46463</v>
      </c>
      <c r="C8413" s="312">
        <v>9</v>
      </c>
      <c r="D8413" s="368">
        <f>IFERROR((INDEX(METADATA!$T$2:$T$20,MATCH(B8413,METADATA!$S$2:$S$20,0))),0)</f>
        <v>0</v>
      </c>
      <c r="E8413" s="312" t="str">
        <f t="shared" si="524"/>
        <v>LO</v>
      </c>
      <c r="F8413" s="369">
        <f>VLOOKUP(C8413,METADATA!$A$5:$H$29,IF(E8413="HI",2,IF(E8413="LO",6,10))+IF(D8413=1,2,IF(D8413=7,1,(IF(WEEKDAY(B8413)=1,2,IF(WEEKDAY(B8413)=7,1,0))))))</f>
        <v>2</v>
      </c>
      <c r="G8413" s="369">
        <f>VLOOKUP(C8413,METADATA!$J$5:$Q$29,IF(E8413="HI",2,IF(E8413="LO",6,10))+IF(D8413=1,2,IF(D8413=7,1,(IF(WEEKDAY(B8413)=1,2,IF(WEEKDAY(B8413)=7,1,0))))))</f>
        <v>2</v>
      </c>
      <c r="H8413" s="370">
        <v>11936.39024414029</v>
      </c>
      <c r="I8413" s="370">
        <v>3251.6600036621094</v>
      </c>
      <c r="M8413" s="371">
        <f t="shared" si="525"/>
        <v>12371.366328737637</v>
      </c>
      <c r="N8413" s="329">
        <f t="shared" si="526"/>
        <v>0</v>
      </c>
      <c r="T8413" s="331">
        <v>0</v>
      </c>
      <c r="U8413" s="328">
        <f>VLOOKUP(C8413,METADATA!$J$5:$Q$29,IF(E8413="HI",2,IF(E8413="LO",6,10))+IF(T8413=1,2,IF(D8413=7,1,(IF(WEEKDAY(B8413)=1,2,IF(WEEKDAY(B8413)=7,1,0))))))</f>
        <v>2</v>
      </c>
      <c r="V8413" s="328">
        <f>VLOOKUP(C8413,METADATA!$A$5:$H$29,IF(E8413="HI",2,IF(E8413="LO",6,10))+IF(T8413=1,2,IF(D8413=7,1,(IF(WEEKDAY(B8413)=1,2,IF(WEEKDAY(B8413)=7,1,0))))))</f>
        <v>2</v>
      </c>
    </row>
    <row r="8414" spans="2:22">
      <c r="B8414" s="318">
        <f t="shared" si="527"/>
        <v>46463</v>
      </c>
      <c r="C8414" s="312">
        <v>10</v>
      </c>
      <c r="D8414" s="368">
        <f>IFERROR((INDEX(METADATA!$T$2:$T$20,MATCH(B8414,METADATA!$S$2:$S$20,0))),0)</f>
        <v>0</v>
      </c>
      <c r="E8414" s="312" t="str">
        <f t="shared" si="524"/>
        <v>LO</v>
      </c>
      <c r="F8414" s="369">
        <f>VLOOKUP(C8414,METADATA!$A$5:$H$29,IF(E8414="HI",2,IF(E8414="LO",6,10))+IF(D8414=1,2,IF(D8414=7,1,(IF(WEEKDAY(B8414)=1,2,IF(WEEKDAY(B8414)=7,1,0))))))</f>
        <v>2</v>
      </c>
      <c r="G8414" s="369">
        <f>VLOOKUP(C8414,METADATA!$J$5:$Q$29,IF(E8414="HI",2,IF(E8414="LO",6,10))+IF(D8414=1,2,IF(D8414=7,1,(IF(WEEKDAY(B8414)=1,2,IF(WEEKDAY(B8414)=7,1,0))))))</f>
        <v>2</v>
      </c>
      <c r="H8414" s="370">
        <v>10756.072540283203</v>
      </c>
      <c r="I8414" s="370">
        <v>2455.8674926757813</v>
      </c>
      <c r="M8414" s="371">
        <f t="shared" si="525"/>
        <v>11032.877305282425</v>
      </c>
      <c r="N8414" s="329">
        <f t="shared" si="526"/>
        <v>0</v>
      </c>
      <c r="T8414" s="331">
        <v>0</v>
      </c>
      <c r="U8414" s="328">
        <f>VLOOKUP(C8414,METADATA!$J$5:$Q$29,IF(E8414="HI",2,IF(E8414="LO",6,10))+IF(T8414=1,2,IF(D8414=7,1,(IF(WEEKDAY(B8414)=1,2,IF(WEEKDAY(B8414)=7,1,0))))))</f>
        <v>2</v>
      </c>
      <c r="V8414" s="328">
        <f>VLOOKUP(C8414,METADATA!$A$5:$H$29,IF(E8414="HI",2,IF(E8414="LO",6,10))+IF(T8414=1,2,IF(D8414=7,1,(IF(WEEKDAY(B8414)=1,2,IF(WEEKDAY(B8414)=7,1,0))))))</f>
        <v>2</v>
      </c>
    </row>
    <row r="8415" spans="2:22">
      <c r="B8415" s="318">
        <f t="shared" si="527"/>
        <v>46463</v>
      </c>
      <c r="C8415" s="312">
        <v>11</v>
      </c>
      <c r="D8415" s="368">
        <f>IFERROR((INDEX(METADATA!$T$2:$T$20,MATCH(B8415,METADATA!$S$2:$S$20,0))),0)</f>
        <v>0</v>
      </c>
      <c r="E8415" s="312" t="str">
        <f t="shared" si="524"/>
        <v>LO</v>
      </c>
      <c r="F8415" s="369">
        <f>VLOOKUP(C8415,METADATA!$A$5:$H$29,IF(E8415="HI",2,IF(E8415="LO",6,10))+IF(D8415=1,2,IF(D8415=7,1,(IF(WEEKDAY(B8415)=1,2,IF(WEEKDAY(B8415)=7,1,0))))))</f>
        <v>2</v>
      </c>
      <c r="G8415" s="369">
        <f>VLOOKUP(C8415,METADATA!$J$5:$Q$29,IF(E8415="HI",2,IF(E8415="LO",6,10))+IF(D8415=1,2,IF(D8415=7,1,(IF(WEEKDAY(B8415)=1,2,IF(WEEKDAY(B8415)=7,1,0))))))</f>
        <v>2</v>
      </c>
      <c r="H8415" s="370">
        <v>10827.970275878906</v>
      </c>
      <c r="I8415" s="370">
        <v>2364.5725250244141</v>
      </c>
      <c r="M8415" s="371">
        <f t="shared" si="525"/>
        <v>11083.146823958323</v>
      </c>
      <c r="N8415" s="329">
        <f t="shared" si="526"/>
        <v>0</v>
      </c>
      <c r="T8415" s="331">
        <v>0</v>
      </c>
      <c r="U8415" s="328">
        <f>VLOOKUP(C8415,METADATA!$J$5:$Q$29,IF(E8415="HI",2,IF(E8415="LO",6,10))+IF(T8415=1,2,IF(D8415=7,1,(IF(WEEKDAY(B8415)=1,2,IF(WEEKDAY(B8415)=7,1,0))))))</f>
        <v>2</v>
      </c>
      <c r="V8415" s="328">
        <f>VLOOKUP(C8415,METADATA!$A$5:$H$29,IF(E8415="HI",2,IF(E8415="LO",6,10))+IF(T8415=1,2,IF(D8415=7,1,(IF(WEEKDAY(B8415)=1,2,IF(WEEKDAY(B8415)=7,1,0))))))</f>
        <v>2</v>
      </c>
    </row>
    <row r="8416" spans="2:22">
      <c r="B8416" s="318">
        <f t="shared" si="527"/>
        <v>46463</v>
      </c>
      <c r="C8416" s="312">
        <v>12</v>
      </c>
      <c r="D8416" s="368">
        <f>IFERROR((INDEX(METADATA!$T$2:$T$20,MATCH(B8416,METADATA!$S$2:$S$20,0))),0)</f>
        <v>0</v>
      </c>
      <c r="E8416" s="312" t="str">
        <f t="shared" si="524"/>
        <v>LO</v>
      </c>
      <c r="F8416" s="369">
        <f>VLOOKUP(C8416,METADATA!$A$5:$H$29,IF(E8416="HI",2,IF(E8416="LO",6,10))+IF(D8416=1,2,IF(D8416=7,1,(IF(WEEKDAY(B8416)=1,2,IF(WEEKDAY(B8416)=7,1,0))))))</f>
        <v>2</v>
      </c>
      <c r="G8416" s="369">
        <f>VLOOKUP(C8416,METADATA!$J$5:$Q$29,IF(E8416="HI",2,IF(E8416="LO",6,10))+IF(D8416=1,2,IF(D8416=7,1,(IF(WEEKDAY(B8416)=1,2,IF(WEEKDAY(B8416)=7,1,0))))))</f>
        <v>2</v>
      </c>
      <c r="H8416" s="370">
        <v>10843.312469482422</v>
      </c>
      <c r="I8416" s="370">
        <v>2609.8074951171875</v>
      </c>
      <c r="M8416" s="371">
        <f t="shared" si="525"/>
        <v>11152.960166359549</v>
      </c>
      <c r="N8416" s="329">
        <f t="shared" si="526"/>
        <v>0</v>
      </c>
      <c r="T8416" s="331">
        <v>0</v>
      </c>
      <c r="U8416" s="328">
        <f>VLOOKUP(C8416,METADATA!$J$5:$Q$29,IF(E8416="HI",2,IF(E8416="LO",6,10))+IF(T8416=1,2,IF(D8416=7,1,(IF(WEEKDAY(B8416)=1,2,IF(WEEKDAY(B8416)=7,1,0))))))</f>
        <v>2</v>
      </c>
      <c r="V8416" s="328">
        <f>VLOOKUP(C8416,METADATA!$A$5:$H$29,IF(E8416="HI",2,IF(E8416="LO",6,10))+IF(T8416=1,2,IF(D8416=7,1,(IF(WEEKDAY(B8416)=1,2,IF(WEEKDAY(B8416)=7,1,0))))))</f>
        <v>2</v>
      </c>
    </row>
    <row r="8417" spans="2:22">
      <c r="B8417" s="318">
        <f t="shared" si="527"/>
        <v>46463</v>
      </c>
      <c r="C8417" s="312">
        <v>13</v>
      </c>
      <c r="D8417" s="368">
        <f>IFERROR((INDEX(METADATA!$T$2:$T$20,MATCH(B8417,METADATA!$S$2:$S$20,0))),0)</f>
        <v>0</v>
      </c>
      <c r="E8417" s="312" t="str">
        <f t="shared" si="524"/>
        <v>LO</v>
      </c>
      <c r="F8417" s="369">
        <f>VLOOKUP(C8417,METADATA!$A$5:$H$29,IF(E8417="HI",2,IF(E8417="LO",6,10))+IF(D8417=1,2,IF(D8417=7,1,(IF(WEEKDAY(B8417)=1,2,IF(WEEKDAY(B8417)=7,1,0))))))</f>
        <v>2</v>
      </c>
      <c r="G8417" s="369">
        <f>VLOOKUP(C8417,METADATA!$J$5:$Q$29,IF(E8417="HI",2,IF(E8417="LO",6,10))+IF(D8417=1,2,IF(D8417=7,1,(IF(WEEKDAY(B8417)=1,2,IF(WEEKDAY(B8417)=7,1,0))))))</f>
        <v>2</v>
      </c>
      <c r="H8417" s="370">
        <v>12611.424682617188</v>
      </c>
      <c r="I8417" s="370">
        <v>3570.8000335693359</v>
      </c>
      <c r="M8417" s="371">
        <f t="shared" si="525"/>
        <v>13107.198228647676</v>
      </c>
      <c r="N8417" s="329">
        <f t="shared" si="526"/>
        <v>0</v>
      </c>
      <c r="T8417" s="331">
        <v>0</v>
      </c>
      <c r="U8417" s="328">
        <f>VLOOKUP(C8417,METADATA!$J$5:$Q$29,IF(E8417="HI",2,IF(E8417="LO",6,10))+IF(T8417=1,2,IF(D8417=7,1,(IF(WEEKDAY(B8417)=1,2,IF(WEEKDAY(B8417)=7,1,0))))))</f>
        <v>2</v>
      </c>
      <c r="V8417" s="328">
        <f>VLOOKUP(C8417,METADATA!$A$5:$H$29,IF(E8417="HI",2,IF(E8417="LO",6,10))+IF(T8417=1,2,IF(D8417=7,1,(IF(WEEKDAY(B8417)=1,2,IF(WEEKDAY(B8417)=7,1,0))))))</f>
        <v>2</v>
      </c>
    </row>
    <row r="8418" spans="2:22">
      <c r="B8418" s="318">
        <f t="shared" si="527"/>
        <v>46463</v>
      </c>
      <c r="C8418" s="312">
        <v>14</v>
      </c>
      <c r="D8418" s="368">
        <f>IFERROR((INDEX(METADATA!$T$2:$T$20,MATCH(B8418,METADATA!$S$2:$S$20,0))),0)</f>
        <v>0</v>
      </c>
      <c r="E8418" s="312" t="str">
        <f t="shared" si="524"/>
        <v>LO</v>
      </c>
      <c r="F8418" s="369">
        <f>VLOOKUP(C8418,METADATA!$A$5:$H$29,IF(E8418="HI",2,IF(E8418="LO",6,10))+IF(D8418=1,2,IF(D8418=7,1,(IF(WEEKDAY(B8418)=1,2,IF(WEEKDAY(B8418)=7,1,0))))))</f>
        <v>2</v>
      </c>
      <c r="G8418" s="369">
        <f>VLOOKUP(C8418,METADATA!$J$5:$Q$29,IF(E8418="HI",2,IF(E8418="LO",6,10))+IF(D8418=1,2,IF(D8418=7,1,(IF(WEEKDAY(B8418)=1,2,IF(WEEKDAY(B8418)=7,1,0))))))</f>
        <v>2</v>
      </c>
      <c r="H8418" s="370">
        <v>13037.825073242188</v>
      </c>
      <c r="I8418" s="370">
        <v>3792.1799621582031</v>
      </c>
      <c r="M8418" s="371">
        <f t="shared" si="525"/>
        <v>13578.126214830116</v>
      </c>
      <c r="N8418" s="329">
        <f t="shared" si="526"/>
        <v>0</v>
      </c>
      <c r="T8418" s="331">
        <v>0</v>
      </c>
      <c r="U8418" s="328">
        <f>VLOOKUP(C8418,METADATA!$J$5:$Q$29,IF(E8418="HI",2,IF(E8418="LO",6,10))+IF(T8418=1,2,IF(D8418=7,1,(IF(WEEKDAY(B8418)=1,2,IF(WEEKDAY(B8418)=7,1,0))))))</f>
        <v>2</v>
      </c>
      <c r="V8418" s="328">
        <f>VLOOKUP(C8418,METADATA!$A$5:$H$29,IF(E8418="HI",2,IF(E8418="LO",6,10))+IF(T8418=1,2,IF(D8418=7,1,(IF(WEEKDAY(B8418)=1,2,IF(WEEKDAY(B8418)=7,1,0))))))</f>
        <v>2</v>
      </c>
    </row>
    <row r="8419" spans="2:22">
      <c r="B8419" s="318">
        <f t="shared" si="527"/>
        <v>46463</v>
      </c>
      <c r="C8419" s="312">
        <v>15</v>
      </c>
      <c r="D8419" s="368">
        <f>IFERROR((INDEX(METADATA!$T$2:$T$20,MATCH(B8419,METADATA!$S$2:$S$20,0))),0)</f>
        <v>0</v>
      </c>
      <c r="E8419" s="312" t="str">
        <f t="shared" si="524"/>
        <v>LO</v>
      </c>
      <c r="F8419" s="369">
        <f>VLOOKUP(C8419,METADATA!$A$5:$H$29,IF(E8419="HI",2,IF(E8419="LO",6,10))+IF(D8419=1,2,IF(D8419=7,1,(IF(WEEKDAY(B8419)=1,2,IF(WEEKDAY(B8419)=7,1,0))))))</f>
        <v>2</v>
      </c>
      <c r="G8419" s="369">
        <f>VLOOKUP(C8419,METADATA!$J$5:$Q$29,IF(E8419="HI",2,IF(E8419="LO",6,10))+IF(D8419=1,2,IF(D8419=7,1,(IF(WEEKDAY(B8419)=1,2,IF(WEEKDAY(B8419)=7,1,0))))))</f>
        <v>2</v>
      </c>
      <c r="H8419" s="370">
        <v>12973.425170898438</v>
      </c>
      <c r="I8419" s="370">
        <v>3976.2249450683594</v>
      </c>
      <c r="M8419" s="371">
        <f t="shared" si="525"/>
        <v>13569.087127684199</v>
      </c>
      <c r="N8419" s="329">
        <f t="shared" si="526"/>
        <v>84.197393798828216</v>
      </c>
      <c r="T8419" s="331">
        <v>0</v>
      </c>
      <c r="U8419" s="328">
        <f>VLOOKUP(C8419,METADATA!$J$5:$Q$29,IF(E8419="HI",2,IF(E8419="LO",6,10))+IF(T8419=1,2,IF(D8419=7,1,(IF(WEEKDAY(B8419)=1,2,IF(WEEKDAY(B8419)=7,1,0))))))</f>
        <v>2</v>
      </c>
      <c r="V8419" s="328">
        <f>VLOOKUP(C8419,METADATA!$A$5:$H$29,IF(E8419="HI",2,IF(E8419="LO",6,10))+IF(T8419=1,2,IF(D8419=7,1,(IF(WEEKDAY(B8419)=1,2,IF(WEEKDAY(B8419)=7,1,0))))))</f>
        <v>2</v>
      </c>
    </row>
    <row r="8420" spans="2:22">
      <c r="B8420" s="318">
        <f t="shared" si="527"/>
        <v>46463</v>
      </c>
      <c r="C8420" s="312">
        <v>16</v>
      </c>
      <c r="D8420" s="368">
        <f>IFERROR((INDEX(METADATA!$T$2:$T$20,MATCH(B8420,METADATA!$S$2:$S$20,0))),0)</f>
        <v>0</v>
      </c>
      <c r="E8420" s="312" t="str">
        <f t="shared" si="524"/>
        <v>LO</v>
      </c>
      <c r="F8420" s="369">
        <f>VLOOKUP(C8420,METADATA!$A$5:$H$29,IF(E8420="HI",2,IF(E8420="LO",6,10))+IF(D8420=1,2,IF(D8420=7,1,(IF(WEEKDAY(B8420)=1,2,IF(WEEKDAY(B8420)=7,1,0))))))</f>
        <v>2</v>
      </c>
      <c r="G8420" s="369">
        <f>VLOOKUP(C8420,METADATA!$J$5:$Q$29,IF(E8420="HI",2,IF(E8420="LO",6,10))+IF(D8420=1,2,IF(D8420=7,1,(IF(WEEKDAY(B8420)=1,2,IF(WEEKDAY(B8420)=7,1,0))))))</f>
        <v>2</v>
      </c>
      <c r="H8420" s="370">
        <v>12877.075012207031</v>
      </c>
      <c r="I8420" s="370">
        <v>3773.8200225830078</v>
      </c>
      <c r="M8420" s="371">
        <f t="shared" si="525"/>
        <v>13418.672752282735</v>
      </c>
      <c r="N8420" s="329">
        <f t="shared" si="526"/>
        <v>0</v>
      </c>
      <c r="T8420" s="331">
        <v>0</v>
      </c>
      <c r="U8420" s="328">
        <f>VLOOKUP(C8420,METADATA!$J$5:$Q$29,IF(E8420="HI",2,IF(E8420="LO",6,10))+IF(T8420=1,2,IF(D8420=7,1,(IF(WEEKDAY(B8420)=1,2,IF(WEEKDAY(B8420)=7,1,0))))))</f>
        <v>2</v>
      </c>
      <c r="V8420" s="328">
        <f>VLOOKUP(C8420,METADATA!$A$5:$H$29,IF(E8420="HI",2,IF(E8420="LO",6,10))+IF(T8420=1,2,IF(D8420=7,1,(IF(WEEKDAY(B8420)=1,2,IF(WEEKDAY(B8420)=7,1,0))))))</f>
        <v>2</v>
      </c>
    </row>
    <row r="8421" spans="2:22">
      <c r="B8421" s="318">
        <f t="shared" si="527"/>
        <v>46463</v>
      </c>
      <c r="C8421" s="312">
        <v>17</v>
      </c>
      <c r="D8421" s="368">
        <f>IFERROR((INDEX(METADATA!$T$2:$T$20,MATCH(B8421,METADATA!$S$2:$S$20,0))),0)</f>
        <v>0</v>
      </c>
      <c r="E8421" s="312" t="str">
        <f t="shared" si="524"/>
        <v>LO</v>
      </c>
      <c r="F8421" s="369">
        <f>VLOOKUP(C8421,METADATA!$A$5:$H$29,IF(E8421="HI",2,IF(E8421="LO",6,10))+IF(D8421=1,2,IF(D8421=7,1,(IF(WEEKDAY(B8421)=1,2,IF(WEEKDAY(B8421)=7,1,0))))))</f>
        <v>2</v>
      </c>
      <c r="G8421" s="369">
        <f>VLOOKUP(C8421,METADATA!$J$5:$Q$29,IF(E8421="HI",2,IF(E8421="LO",6,10))+IF(D8421=1,2,IF(D8421=7,1,(IF(WEEKDAY(B8421)=1,2,IF(WEEKDAY(B8421)=7,1,0))))))</f>
        <v>2</v>
      </c>
      <c r="H8421" s="370">
        <v>12805.950073242188</v>
      </c>
      <c r="I8421" s="370">
        <v>3780.2249755859375</v>
      </c>
      <c r="M8421" s="371">
        <f t="shared" si="525"/>
        <v>13352.245434548275</v>
      </c>
      <c r="N8421" s="329">
        <f t="shared" si="526"/>
        <v>0</v>
      </c>
      <c r="T8421" s="331">
        <v>0</v>
      </c>
      <c r="U8421" s="328">
        <f>VLOOKUP(C8421,METADATA!$J$5:$Q$29,IF(E8421="HI",2,IF(E8421="LO",6,10))+IF(T8421=1,2,IF(D8421=7,1,(IF(WEEKDAY(B8421)=1,2,IF(WEEKDAY(B8421)=7,1,0))))))</f>
        <v>2</v>
      </c>
      <c r="V8421" s="328">
        <f>VLOOKUP(C8421,METADATA!$A$5:$H$29,IF(E8421="HI",2,IF(E8421="LO",6,10))+IF(T8421=1,2,IF(D8421=7,1,(IF(WEEKDAY(B8421)=1,2,IF(WEEKDAY(B8421)=7,1,0))))))</f>
        <v>2</v>
      </c>
    </row>
    <row r="8422" spans="2:22">
      <c r="B8422" s="318">
        <f t="shared" si="527"/>
        <v>46463</v>
      </c>
      <c r="C8422" s="312">
        <v>18</v>
      </c>
      <c r="D8422" s="368">
        <f>IFERROR((INDEX(METADATA!$T$2:$T$20,MATCH(B8422,METADATA!$S$2:$S$20,0))),0)</f>
        <v>0</v>
      </c>
      <c r="E8422" s="312" t="str">
        <f t="shared" si="524"/>
        <v>LO</v>
      </c>
      <c r="F8422" s="369">
        <f>VLOOKUP(C8422,METADATA!$A$5:$H$29,IF(E8422="HI",2,IF(E8422="LO",6,10))+IF(D8422=1,2,IF(D8422=7,1,(IF(WEEKDAY(B8422)=1,2,IF(WEEKDAY(B8422)=7,1,0))))))</f>
        <v>1</v>
      </c>
      <c r="G8422" s="369">
        <f>VLOOKUP(C8422,METADATA!$J$5:$Q$29,IF(E8422="HI",2,IF(E8422="LO",6,10))+IF(D8422=1,2,IF(D8422=7,1,(IF(WEEKDAY(B8422)=1,2,IF(WEEKDAY(B8422)=7,1,0))))))</f>
        <v>1</v>
      </c>
      <c r="H8422" s="370">
        <v>12751.375061035156</v>
      </c>
      <c r="I8422" s="370">
        <v>3795.3849792480469</v>
      </c>
      <c r="M8422" s="371">
        <f t="shared" si="525"/>
        <v>13304.229142941393</v>
      </c>
      <c r="N8422" s="329">
        <f t="shared" si="526"/>
        <v>0</v>
      </c>
      <c r="T8422" s="331">
        <v>0</v>
      </c>
      <c r="U8422" s="328">
        <f>VLOOKUP(C8422,METADATA!$J$5:$Q$29,IF(E8422="HI",2,IF(E8422="LO",6,10))+IF(T8422=1,2,IF(D8422=7,1,(IF(WEEKDAY(B8422)=1,2,IF(WEEKDAY(B8422)=7,1,0))))))</f>
        <v>1</v>
      </c>
      <c r="V8422" s="328">
        <f>VLOOKUP(C8422,METADATA!$A$5:$H$29,IF(E8422="HI",2,IF(E8422="LO",6,10))+IF(T8422=1,2,IF(D8422=7,1,(IF(WEEKDAY(B8422)=1,2,IF(WEEKDAY(B8422)=7,1,0))))))</f>
        <v>1</v>
      </c>
    </row>
    <row r="8423" spans="2:22">
      <c r="B8423" s="318">
        <f t="shared" si="527"/>
        <v>46463</v>
      </c>
      <c r="C8423" s="312">
        <v>19</v>
      </c>
      <c r="D8423" s="368">
        <f>IFERROR((INDEX(METADATA!$T$2:$T$20,MATCH(B8423,METADATA!$S$2:$S$20,0))),0)</f>
        <v>0</v>
      </c>
      <c r="E8423" s="312" t="str">
        <f t="shared" si="524"/>
        <v>LO</v>
      </c>
      <c r="F8423" s="369">
        <f>VLOOKUP(C8423,METADATA!$A$5:$H$29,IF(E8423="HI",2,IF(E8423="LO",6,10))+IF(D8423=1,2,IF(D8423=7,1,(IF(WEEKDAY(B8423)=1,2,IF(WEEKDAY(B8423)=7,1,0))))))</f>
        <v>1</v>
      </c>
      <c r="G8423" s="369">
        <f>VLOOKUP(C8423,METADATA!$J$5:$Q$29,IF(E8423="HI",2,IF(E8423="LO",6,10))+IF(D8423=1,2,IF(D8423=7,1,(IF(WEEKDAY(B8423)=1,2,IF(WEEKDAY(B8423)=7,1,0))))))</f>
        <v>1</v>
      </c>
      <c r="H8423" s="370">
        <v>12843.824951171875</v>
      </c>
      <c r="I8423" s="370">
        <v>3788.5750122070313</v>
      </c>
      <c r="M8423" s="371">
        <f t="shared" si="525"/>
        <v>13390.934993474681</v>
      </c>
      <c r="N8423" s="329">
        <f t="shared" si="526"/>
        <v>0</v>
      </c>
      <c r="T8423" s="331">
        <v>0</v>
      </c>
      <c r="U8423" s="328">
        <f>VLOOKUP(C8423,METADATA!$J$5:$Q$29,IF(E8423="HI",2,IF(E8423="LO",6,10))+IF(T8423=1,2,IF(D8423=7,1,(IF(WEEKDAY(B8423)=1,2,IF(WEEKDAY(B8423)=7,1,0))))))</f>
        <v>1</v>
      </c>
      <c r="V8423" s="328">
        <f>VLOOKUP(C8423,METADATA!$A$5:$H$29,IF(E8423="HI",2,IF(E8423="LO",6,10))+IF(T8423=1,2,IF(D8423=7,1,(IF(WEEKDAY(B8423)=1,2,IF(WEEKDAY(B8423)=7,1,0))))))</f>
        <v>1</v>
      </c>
    </row>
    <row r="8424" spans="2:22">
      <c r="B8424" s="318">
        <f t="shared" si="527"/>
        <v>46463</v>
      </c>
      <c r="C8424" s="312">
        <v>20</v>
      </c>
      <c r="D8424" s="368">
        <f>IFERROR((INDEX(METADATA!$T$2:$T$20,MATCH(B8424,METADATA!$S$2:$S$20,0))),0)</f>
        <v>0</v>
      </c>
      <c r="E8424" s="312" t="str">
        <f t="shared" si="524"/>
        <v>LO</v>
      </c>
      <c r="F8424" s="369">
        <f>VLOOKUP(C8424,METADATA!$A$5:$H$29,IF(E8424="HI",2,IF(E8424="LO",6,10))+IF(D8424=1,2,IF(D8424=7,1,(IF(WEEKDAY(B8424)=1,2,IF(WEEKDAY(B8424)=7,1,0))))))</f>
        <v>1</v>
      </c>
      <c r="G8424" s="369">
        <f>VLOOKUP(C8424,METADATA!$J$5:$Q$29,IF(E8424="HI",2,IF(E8424="LO",6,10))+IF(D8424=1,2,IF(D8424=7,1,(IF(WEEKDAY(B8424)=1,2,IF(WEEKDAY(B8424)=7,1,0))))))</f>
        <v>1</v>
      </c>
      <c r="H8424" s="370">
        <v>12072.575317382813</v>
      </c>
      <c r="I8424" s="370">
        <v>3267.1700439453125</v>
      </c>
      <c r="M8424" s="371">
        <f t="shared" si="525"/>
        <v>12506.857114796439</v>
      </c>
      <c r="N8424" s="329">
        <f t="shared" si="526"/>
        <v>0</v>
      </c>
      <c r="T8424" s="331">
        <v>0</v>
      </c>
      <c r="U8424" s="328">
        <f>VLOOKUP(C8424,METADATA!$J$5:$Q$29,IF(E8424="HI",2,IF(E8424="LO",6,10))+IF(T8424=1,2,IF(D8424=7,1,(IF(WEEKDAY(B8424)=1,2,IF(WEEKDAY(B8424)=7,1,0))))))</f>
        <v>1</v>
      </c>
      <c r="V8424" s="328">
        <f>VLOOKUP(C8424,METADATA!$A$5:$H$29,IF(E8424="HI",2,IF(E8424="LO",6,10))+IF(T8424=1,2,IF(D8424=7,1,(IF(WEEKDAY(B8424)=1,2,IF(WEEKDAY(B8424)=7,1,0))))))</f>
        <v>1</v>
      </c>
    </row>
    <row r="8425" spans="2:22">
      <c r="B8425" s="318">
        <f t="shared" si="527"/>
        <v>46463</v>
      </c>
      <c r="C8425" s="312">
        <v>21</v>
      </c>
      <c r="D8425" s="368">
        <f>IFERROR((INDEX(METADATA!$T$2:$T$20,MATCH(B8425,METADATA!$S$2:$S$20,0))),0)</f>
        <v>0</v>
      </c>
      <c r="E8425" s="312" t="str">
        <f t="shared" si="524"/>
        <v>LO</v>
      </c>
      <c r="F8425" s="369">
        <f>VLOOKUP(C8425,METADATA!$A$5:$H$29,IF(E8425="HI",2,IF(E8425="LO",6,10))+IF(D8425=1,2,IF(D8425=7,1,(IF(WEEKDAY(B8425)=1,2,IF(WEEKDAY(B8425)=7,1,0))))))</f>
        <v>2</v>
      </c>
      <c r="G8425" s="369">
        <f>VLOOKUP(C8425,METADATA!$J$5:$Q$29,IF(E8425="HI",2,IF(E8425="LO",6,10))+IF(D8425=1,2,IF(D8425=7,1,(IF(WEEKDAY(B8425)=1,2,IF(WEEKDAY(B8425)=7,1,0))))))</f>
        <v>2</v>
      </c>
      <c r="H8425" s="370">
        <v>10944.025268554688</v>
      </c>
      <c r="I8425" s="370">
        <v>2635.27001953125</v>
      </c>
      <c r="M8425" s="371">
        <f t="shared" si="525"/>
        <v>11256.835130470898</v>
      </c>
      <c r="N8425" s="329">
        <f t="shared" si="526"/>
        <v>0</v>
      </c>
      <c r="T8425" s="331">
        <v>0</v>
      </c>
      <c r="U8425" s="328">
        <f>VLOOKUP(C8425,METADATA!$J$5:$Q$29,IF(E8425="HI",2,IF(E8425="LO",6,10))+IF(T8425=1,2,IF(D8425=7,1,(IF(WEEKDAY(B8425)=1,2,IF(WEEKDAY(B8425)=7,1,0))))))</f>
        <v>2</v>
      </c>
      <c r="V8425" s="328">
        <f>VLOOKUP(C8425,METADATA!$A$5:$H$29,IF(E8425="HI",2,IF(E8425="LO",6,10))+IF(T8425=1,2,IF(D8425=7,1,(IF(WEEKDAY(B8425)=1,2,IF(WEEKDAY(B8425)=7,1,0))))))</f>
        <v>2</v>
      </c>
    </row>
    <row r="8426" spans="2:22">
      <c r="B8426" s="318">
        <f t="shared" si="527"/>
        <v>46463</v>
      </c>
      <c r="C8426" s="312">
        <v>22</v>
      </c>
      <c r="D8426" s="368">
        <f>IFERROR((INDEX(METADATA!$T$2:$T$20,MATCH(B8426,METADATA!$S$2:$S$20,0))),0)</f>
        <v>0</v>
      </c>
      <c r="E8426" s="312" t="str">
        <f t="shared" si="524"/>
        <v>LO</v>
      </c>
      <c r="F8426" s="369">
        <f>VLOOKUP(C8426,METADATA!$A$5:$H$29,IF(E8426="HI",2,IF(E8426="LO",6,10))+IF(D8426=1,2,IF(D8426=7,1,(IF(WEEKDAY(B8426)=1,2,IF(WEEKDAY(B8426)=7,1,0))))))</f>
        <v>3</v>
      </c>
      <c r="G8426" s="369">
        <f>VLOOKUP(C8426,METADATA!$J$5:$Q$29,IF(E8426="HI",2,IF(E8426="LO",6,10))+IF(D8426=1,2,IF(D8426=7,1,(IF(WEEKDAY(B8426)=1,2,IF(WEEKDAY(B8426)=7,1,0))))))</f>
        <v>3</v>
      </c>
      <c r="H8426" s="370">
        <v>10907.325012207031</v>
      </c>
      <c r="I8426" s="370">
        <v>2644.2725067138672</v>
      </c>
      <c r="M8426" s="371">
        <f t="shared" si="525"/>
        <v>11223.275636447674</v>
      </c>
      <c r="N8426" s="329">
        <f t="shared" si="526"/>
        <v>0</v>
      </c>
      <c r="T8426" s="331">
        <v>0</v>
      </c>
      <c r="U8426" s="328">
        <f>VLOOKUP(C8426,METADATA!$J$5:$Q$29,IF(E8426="HI",2,IF(E8426="LO",6,10))+IF(T8426=1,2,IF(D8426=7,1,(IF(WEEKDAY(B8426)=1,2,IF(WEEKDAY(B8426)=7,1,0))))))</f>
        <v>3</v>
      </c>
      <c r="V8426" s="328">
        <f>VLOOKUP(C8426,METADATA!$A$5:$H$29,IF(E8426="HI",2,IF(E8426="LO",6,10))+IF(T8426=1,2,IF(D8426=7,1,(IF(WEEKDAY(B8426)=1,2,IF(WEEKDAY(B8426)=7,1,0))))))</f>
        <v>3</v>
      </c>
    </row>
    <row r="8427" spans="2:22">
      <c r="B8427" s="318">
        <f t="shared" si="527"/>
        <v>46463</v>
      </c>
      <c r="C8427" s="312">
        <v>23</v>
      </c>
      <c r="D8427" s="368">
        <f>IFERROR((INDEX(METADATA!$T$2:$T$20,MATCH(B8427,METADATA!$S$2:$S$20,0))),0)</f>
        <v>0</v>
      </c>
      <c r="E8427" s="312" t="str">
        <f t="shared" si="524"/>
        <v>LO</v>
      </c>
      <c r="F8427" s="369">
        <f>VLOOKUP(C8427,METADATA!$A$5:$H$29,IF(E8427="HI",2,IF(E8427="LO",6,10))+IF(D8427=1,2,IF(D8427=7,1,(IF(WEEKDAY(B8427)=1,2,IF(WEEKDAY(B8427)=7,1,0))))))</f>
        <v>3</v>
      </c>
      <c r="G8427" s="369">
        <f>VLOOKUP(C8427,METADATA!$J$5:$Q$29,IF(E8427="HI",2,IF(E8427="LO",6,10))+IF(D8427=1,2,IF(D8427=7,1,(IF(WEEKDAY(B8427)=1,2,IF(WEEKDAY(B8427)=7,1,0))))))</f>
        <v>3</v>
      </c>
      <c r="H8427" s="370">
        <v>12626.524963378906</v>
      </c>
      <c r="I8427" s="370">
        <v>3629.7099456787109</v>
      </c>
      <c r="M8427" s="371">
        <f t="shared" si="525"/>
        <v>13137.881371841871</v>
      </c>
      <c r="N8427" s="329">
        <f t="shared" si="526"/>
        <v>0</v>
      </c>
      <c r="T8427" s="331">
        <v>0</v>
      </c>
      <c r="U8427" s="328">
        <f>VLOOKUP(C8427,METADATA!$J$5:$Q$29,IF(E8427="HI",2,IF(E8427="LO",6,10))+IF(T8427=1,2,IF(D8427=7,1,(IF(WEEKDAY(B8427)=1,2,IF(WEEKDAY(B8427)=7,1,0))))))</f>
        <v>3</v>
      </c>
      <c r="V8427" s="328">
        <f>VLOOKUP(C8427,METADATA!$A$5:$H$29,IF(E8427="HI",2,IF(E8427="LO",6,10))+IF(T8427=1,2,IF(D8427=7,1,(IF(WEEKDAY(B8427)=1,2,IF(WEEKDAY(B8427)=7,1,0))))))</f>
        <v>3</v>
      </c>
    </row>
    <row r="8428" spans="2:22">
      <c r="B8428" s="318">
        <f t="shared" si="527"/>
        <v>46464</v>
      </c>
      <c r="C8428" s="312">
        <v>0</v>
      </c>
      <c r="D8428" s="368">
        <f>IFERROR((INDEX(METADATA!$T$2:$T$20,MATCH(B8428,METADATA!$S$2:$S$20,0))),0)</f>
        <v>0</v>
      </c>
      <c r="E8428" s="312" t="str">
        <f t="shared" si="524"/>
        <v>LO</v>
      </c>
      <c r="F8428" s="369">
        <f>VLOOKUP(C8428,METADATA!$A$5:$H$29,IF(E8428="HI",2,IF(E8428="LO",6,10))+IF(D8428=1,2,IF(D8428=7,1,(IF(WEEKDAY(B8428)=1,2,IF(WEEKDAY(B8428)=7,1,0))))))</f>
        <v>3</v>
      </c>
      <c r="G8428" s="369">
        <f>VLOOKUP(C8428,METADATA!$J$5:$Q$29,IF(E8428="HI",2,IF(E8428="LO",6,10))+IF(D8428=1,2,IF(D8428=7,1,(IF(WEEKDAY(B8428)=1,2,IF(WEEKDAY(B8428)=7,1,0))))))</f>
        <v>3</v>
      </c>
      <c r="H8428" s="370">
        <v>12768.574768066406</v>
      </c>
      <c r="I8428" s="370">
        <v>3727.3099670410156</v>
      </c>
      <c r="M8428" s="371">
        <f t="shared" si="525"/>
        <v>13301.47891018534</v>
      </c>
      <c r="N8428" s="329">
        <f t="shared" si="526"/>
        <v>0</v>
      </c>
      <c r="T8428" s="331">
        <v>0</v>
      </c>
      <c r="U8428" s="328">
        <f>VLOOKUP(C8428,METADATA!$J$5:$Q$29,IF(E8428="HI",2,IF(E8428="LO",6,10))+IF(T8428=1,2,IF(D8428=7,1,(IF(WEEKDAY(B8428)=1,2,IF(WEEKDAY(B8428)=7,1,0))))))</f>
        <v>3</v>
      </c>
      <c r="V8428" s="328">
        <f>VLOOKUP(C8428,METADATA!$A$5:$H$29,IF(E8428="HI",2,IF(E8428="LO",6,10))+IF(T8428=1,2,IF(D8428=7,1,(IF(WEEKDAY(B8428)=1,2,IF(WEEKDAY(B8428)=7,1,0))))))</f>
        <v>3</v>
      </c>
    </row>
    <row r="8429" spans="2:22">
      <c r="B8429" s="318">
        <f t="shared" si="527"/>
        <v>46464</v>
      </c>
      <c r="C8429" s="312">
        <v>1</v>
      </c>
      <c r="D8429" s="368">
        <f>IFERROR((INDEX(METADATA!$T$2:$T$20,MATCH(B8429,METADATA!$S$2:$S$20,0))),0)</f>
        <v>0</v>
      </c>
      <c r="E8429" s="312" t="str">
        <f t="shared" si="524"/>
        <v>LO</v>
      </c>
      <c r="F8429" s="369">
        <f>VLOOKUP(C8429,METADATA!$A$5:$H$29,IF(E8429="HI",2,IF(E8429="LO",6,10))+IF(D8429=1,2,IF(D8429=7,1,(IF(WEEKDAY(B8429)=1,2,IF(WEEKDAY(B8429)=7,1,0))))))</f>
        <v>3</v>
      </c>
      <c r="G8429" s="369">
        <f>VLOOKUP(C8429,METADATA!$J$5:$Q$29,IF(E8429="HI",2,IF(E8429="LO",6,10))+IF(D8429=1,2,IF(D8429=7,1,(IF(WEEKDAY(B8429)=1,2,IF(WEEKDAY(B8429)=7,1,0))))))</f>
        <v>3</v>
      </c>
      <c r="H8429" s="370">
        <v>12880.882141113281</v>
      </c>
      <c r="I8429" s="370">
        <v>3772.1324768066406</v>
      </c>
      <c r="M8429" s="371">
        <f t="shared" si="525"/>
        <v>13421.851889952834</v>
      </c>
      <c r="N8429" s="329">
        <f t="shared" si="526"/>
        <v>0</v>
      </c>
      <c r="T8429" s="331">
        <v>0</v>
      </c>
      <c r="U8429" s="328">
        <f>VLOOKUP(C8429,METADATA!$J$5:$Q$29,IF(E8429="HI",2,IF(E8429="LO",6,10))+IF(T8429=1,2,IF(D8429=7,1,(IF(WEEKDAY(B8429)=1,2,IF(WEEKDAY(B8429)=7,1,0))))))</f>
        <v>3</v>
      </c>
      <c r="V8429" s="328">
        <f>VLOOKUP(C8429,METADATA!$A$5:$H$29,IF(E8429="HI",2,IF(E8429="LO",6,10))+IF(T8429=1,2,IF(D8429=7,1,(IF(WEEKDAY(B8429)=1,2,IF(WEEKDAY(B8429)=7,1,0))))))</f>
        <v>3</v>
      </c>
    </row>
    <row r="8430" spans="2:22">
      <c r="B8430" s="318">
        <f t="shared" si="527"/>
        <v>46464</v>
      </c>
      <c r="C8430" s="312">
        <v>2</v>
      </c>
      <c r="D8430" s="368">
        <f>IFERROR((INDEX(METADATA!$T$2:$T$20,MATCH(B8430,METADATA!$S$2:$S$20,0))),0)</f>
        <v>0</v>
      </c>
      <c r="E8430" s="312" t="str">
        <f t="shared" si="524"/>
        <v>LO</v>
      </c>
      <c r="F8430" s="369">
        <f>VLOOKUP(C8430,METADATA!$A$5:$H$29,IF(E8430="HI",2,IF(E8430="LO",6,10))+IF(D8430=1,2,IF(D8430=7,1,(IF(WEEKDAY(B8430)=1,2,IF(WEEKDAY(B8430)=7,1,0))))))</f>
        <v>3</v>
      </c>
      <c r="G8430" s="369">
        <f>VLOOKUP(C8430,METADATA!$J$5:$Q$29,IF(E8430="HI",2,IF(E8430="LO",6,10))+IF(D8430=1,2,IF(D8430=7,1,(IF(WEEKDAY(B8430)=1,2,IF(WEEKDAY(B8430)=7,1,0))))))</f>
        <v>3</v>
      </c>
      <c r="H8430" s="370">
        <v>12824.224731445313</v>
      </c>
      <c r="I8430" s="370">
        <v>3757.1749267578125</v>
      </c>
      <c r="M8430" s="371">
        <f t="shared" si="525"/>
        <v>13363.27442631001</v>
      </c>
      <c r="N8430" s="329">
        <f t="shared" si="526"/>
        <v>0</v>
      </c>
      <c r="T8430" s="331">
        <v>0</v>
      </c>
      <c r="U8430" s="328">
        <f>VLOOKUP(C8430,METADATA!$J$5:$Q$29,IF(E8430="HI",2,IF(E8430="LO",6,10))+IF(T8430=1,2,IF(D8430=7,1,(IF(WEEKDAY(B8430)=1,2,IF(WEEKDAY(B8430)=7,1,0))))))</f>
        <v>3</v>
      </c>
      <c r="V8430" s="328">
        <f>VLOOKUP(C8430,METADATA!$A$5:$H$29,IF(E8430="HI",2,IF(E8430="LO",6,10))+IF(T8430=1,2,IF(D8430=7,1,(IF(WEEKDAY(B8430)=1,2,IF(WEEKDAY(B8430)=7,1,0))))))</f>
        <v>3</v>
      </c>
    </row>
    <row r="8431" spans="2:22">
      <c r="B8431" s="318">
        <f t="shared" si="527"/>
        <v>46464</v>
      </c>
      <c r="C8431" s="312">
        <v>3</v>
      </c>
      <c r="D8431" s="368">
        <f>IFERROR((INDEX(METADATA!$T$2:$T$20,MATCH(B8431,METADATA!$S$2:$S$20,0))),0)</f>
        <v>0</v>
      </c>
      <c r="E8431" s="312" t="str">
        <f t="shared" si="524"/>
        <v>LO</v>
      </c>
      <c r="F8431" s="369">
        <f>VLOOKUP(C8431,METADATA!$A$5:$H$29,IF(E8431="HI",2,IF(E8431="LO",6,10))+IF(D8431=1,2,IF(D8431=7,1,(IF(WEEKDAY(B8431)=1,2,IF(WEEKDAY(B8431)=7,1,0))))))</f>
        <v>3</v>
      </c>
      <c r="G8431" s="369">
        <f>VLOOKUP(C8431,METADATA!$J$5:$Q$29,IF(E8431="HI",2,IF(E8431="LO",6,10))+IF(D8431=1,2,IF(D8431=7,1,(IF(WEEKDAY(B8431)=1,2,IF(WEEKDAY(B8431)=7,1,0))))))</f>
        <v>3</v>
      </c>
      <c r="H8431" s="370">
        <v>12854.524963378906</v>
      </c>
      <c r="I8431" s="370">
        <v>3718.3150329589844</v>
      </c>
      <c r="M8431" s="371">
        <f t="shared" si="525"/>
        <v>13381.505099145621</v>
      </c>
      <c r="N8431" s="329">
        <f t="shared" si="526"/>
        <v>0</v>
      </c>
      <c r="T8431" s="331">
        <v>0</v>
      </c>
      <c r="U8431" s="328">
        <f>VLOOKUP(C8431,METADATA!$J$5:$Q$29,IF(E8431="HI",2,IF(E8431="LO",6,10))+IF(T8431=1,2,IF(D8431=7,1,(IF(WEEKDAY(B8431)=1,2,IF(WEEKDAY(B8431)=7,1,0))))))</f>
        <v>3</v>
      </c>
      <c r="V8431" s="328">
        <f>VLOOKUP(C8431,METADATA!$A$5:$H$29,IF(E8431="HI",2,IF(E8431="LO",6,10))+IF(T8431=1,2,IF(D8431=7,1,(IF(WEEKDAY(B8431)=1,2,IF(WEEKDAY(B8431)=7,1,0))))))</f>
        <v>3</v>
      </c>
    </row>
    <row r="8432" spans="2:22">
      <c r="B8432" s="318">
        <f t="shared" si="527"/>
        <v>46464</v>
      </c>
      <c r="C8432" s="312">
        <v>4</v>
      </c>
      <c r="D8432" s="368">
        <f>IFERROR((INDEX(METADATA!$T$2:$T$20,MATCH(B8432,METADATA!$S$2:$S$20,0))),0)</f>
        <v>0</v>
      </c>
      <c r="E8432" s="312" t="str">
        <f t="shared" si="524"/>
        <v>LO</v>
      </c>
      <c r="F8432" s="369">
        <f>VLOOKUP(C8432,METADATA!$A$5:$H$29,IF(E8432="HI",2,IF(E8432="LO",6,10))+IF(D8432=1,2,IF(D8432=7,1,(IF(WEEKDAY(B8432)=1,2,IF(WEEKDAY(B8432)=7,1,0))))))</f>
        <v>3</v>
      </c>
      <c r="G8432" s="369">
        <f>VLOOKUP(C8432,METADATA!$J$5:$Q$29,IF(E8432="HI",2,IF(E8432="LO",6,10))+IF(D8432=1,2,IF(D8432=7,1,(IF(WEEKDAY(B8432)=1,2,IF(WEEKDAY(B8432)=7,1,0))))))</f>
        <v>3</v>
      </c>
      <c r="H8432" s="370">
        <v>12943.649780273438</v>
      </c>
      <c r="I8432" s="370">
        <v>3546.1099700927734</v>
      </c>
      <c r="M8432" s="371">
        <f t="shared" si="525"/>
        <v>13420.617182319298</v>
      </c>
      <c r="N8432" s="329">
        <f t="shared" si="526"/>
        <v>0</v>
      </c>
      <c r="T8432" s="331">
        <v>0</v>
      </c>
      <c r="U8432" s="328">
        <f>VLOOKUP(C8432,METADATA!$J$5:$Q$29,IF(E8432="HI",2,IF(E8432="LO",6,10))+IF(T8432=1,2,IF(D8432=7,1,(IF(WEEKDAY(B8432)=1,2,IF(WEEKDAY(B8432)=7,1,0))))))</f>
        <v>3</v>
      </c>
      <c r="V8432" s="328">
        <f>VLOOKUP(C8432,METADATA!$A$5:$H$29,IF(E8432="HI",2,IF(E8432="LO",6,10))+IF(T8432=1,2,IF(D8432=7,1,(IF(WEEKDAY(B8432)=1,2,IF(WEEKDAY(B8432)=7,1,0))))))</f>
        <v>3</v>
      </c>
    </row>
    <row r="8433" spans="2:22">
      <c r="B8433" s="318">
        <f t="shared" si="527"/>
        <v>46464</v>
      </c>
      <c r="C8433" s="312">
        <v>5</v>
      </c>
      <c r="D8433" s="368">
        <f>IFERROR((INDEX(METADATA!$T$2:$T$20,MATCH(B8433,METADATA!$S$2:$S$20,0))),0)</f>
        <v>0</v>
      </c>
      <c r="E8433" s="312" t="str">
        <f t="shared" si="524"/>
        <v>LO</v>
      </c>
      <c r="F8433" s="369">
        <f>VLOOKUP(C8433,METADATA!$A$5:$H$29,IF(E8433="HI",2,IF(E8433="LO",6,10))+IF(D8433=1,2,IF(D8433=7,1,(IF(WEEKDAY(B8433)=1,2,IF(WEEKDAY(B8433)=7,1,0))))))</f>
        <v>3</v>
      </c>
      <c r="G8433" s="369">
        <f>VLOOKUP(C8433,METADATA!$J$5:$Q$29,IF(E8433="HI",2,IF(E8433="LO",6,10))+IF(D8433=1,2,IF(D8433=7,1,(IF(WEEKDAY(B8433)=1,2,IF(WEEKDAY(B8433)=7,1,0))))))</f>
        <v>3</v>
      </c>
      <c r="H8433" s="370">
        <v>12902.32470703125</v>
      </c>
      <c r="I8433" s="370">
        <v>3550.6499328613281</v>
      </c>
      <c r="M8433" s="371">
        <f t="shared" si="525"/>
        <v>13381.969129817822</v>
      </c>
      <c r="N8433" s="329">
        <f t="shared" si="526"/>
        <v>0</v>
      </c>
      <c r="T8433" s="331">
        <v>0</v>
      </c>
      <c r="U8433" s="328">
        <f>VLOOKUP(C8433,METADATA!$J$5:$Q$29,IF(E8433="HI",2,IF(E8433="LO",6,10))+IF(T8433=1,2,IF(D8433=7,1,(IF(WEEKDAY(B8433)=1,2,IF(WEEKDAY(B8433)=7,1,0))))))</f>
        <v>3</v>
      </c>
      <c r="V8433" s="328">
        <f>VLOOKUP(C8433,METADATA!$A$5:$H$29,IF(E8433="HI",2,IF(E8433="LO",6,10))+IF(T8433=1,2,IF(D8433=7,1,(IF(WEEKDAY(B8433)=1,2,IF(WEEKDAY(B8433)=7,1,0))))))</f>
        <v>3</v>
      </c>
    </row>
    <row r="8434" spans="2:22">
      <c r="B8434" s="318">
        <f t="shared" si="527"/>
        <v>46464</v>
      </c>
      <c r="C8434" s="312">
        <v>6</v>
      </c>
      <c r="D8434" s="368">
        <f>IFERROR((INDEX(METADATA!$T$2:$T$20,MATCH(B8434,METADATA!$S$2:$S$20,0))),0)</f>
        <v>0</v>
      </c>
      <c r="E8434" s="312" t="str">
        <f t="shared" si="524"/>
        <v>LO</v>
      </c>
      <c r="F8434" s="369">
        <f>VLOOKUP(C8434,METADATA!$A$5:$H$29,IF(E8434="HI",2,IF(E8434="LO",6,10))+IF(D8434=1,2,IF(D8434=7,1,(IF(WEEKDAY(B8434)=1,2,IF(WEEKDAY(B8434)=7,1,0))))))</f>
        <v>2</v>
      </c>
      <c r="G8434" s="369">
        <f>VLOOKUP(C8434,METADATA!$J$5:$Q$29,IF(E8434="HI",2,IF(E8434="LO",6,10))+IF(D8434=1,2,IF(D8434=7,1,(IF(WEEKDAY(B8434)=1,2,IF(WEEKDAY(B8434)=7,1,0))))))</f>
        <v>2</v>
      </c>
      <c r="H8434" s="370">
        <v>12854.400024414063</v>
      </c>
      <c r="I8434" s="370">
        <v>3508.8150024414063</v>
      </c>
      <c r="M8434" s="371">
        <f t="shared" si="525"/>
        <v>13324.690717199184</v>
      </c>
      <c r="N8434" s="329">
        <f t="shared" si="526"/>
        <v>0</v>
      </c>
      <c r="T8434" s="331">
        <v>0</v>
      </c>
      <c r="U8434" s="328">
        <f>VLOOKUP(C8434,METADATA!$J$5:$Q$29,IF(E8434="HI",2,IF(E8434="LO",6,10))+IF(T8434=1,2,IF(D8434=7,1,(IF(WEEKDAY(B8434)=1,2,IF(WEEKDAY(B8434)=7,1,0))))))</f>
        <v>2</v>
      </c>
      <c r="V8434" s="328">
        <f>VLOOKUP(C8434,METADATA!$A$5:$H$29,IF(E8434="HI",2,IF(E8434="LO",6,10))+IF(T8434=1,2,IF(D8434=7,1,(IF(WEEKDAY(B8434)=1,2,IF(WEEKDAY(B8434)=7,1,0))))))</f>
        <v>2</v>
      </c>
    </row>
    <row r="8435" spans="2:22">
      <c r="B8435" s="318">
        <f t="shared" si="527"/>
        <v>46464</v>
      </c>
      <c r="C8435" s="312">
        <v>7</v>
      </c>
      <c r="D8435" s="368">
        <f>IFERROR((INDEX(METADATA!$T$2:$T$20,MATCH(B8435,METADATA!$S$2:$S$20,0))),0)</f>
        <v>0</v>
      </c>
      <c r="E8435" s="312" t="str">
        <f t="shared" si="524"/>
        <v>LO</v>
      </c>
      <c r="F8435" s="369">
        <f>VLOOKUP(C8435,METADATA!$A$5:$H$29,IF(E8435="HI",2,IF(E8435="LO",6,10))+IF(D8435=1,2,IF(D8435=7,1,(IF(WEEKDAY(B8435)=1,2,IF(WEEKDAY(B8435)=7,1,0))))))</f>
        <v>1</v>
      </c>
      <c r="G8435" s="369">
        <f>VLOOKUP(C8435,METADATA!$J$5:$Q$29,IF(E8435="HI",2,IF(E8435="LO",6,10))+IF(D8435=1,2,IF(D8435=7,1,(IF(WEEKDAY(B8435)=1,2,IF(WEEKDAY(B8435)=7,1,0))))))</f>
        <v>1</v>
      </c>
      <c r="H8435" s="370">
        <v>12913.575317382813</v>
      </c>
      <c r="I8435" s="370">
        <v>3613.1849365234375</v>
      </c>
      <c r="M8435" s="371">
        <f t="shared" si="525"/>
        <v>13409.531418481351</v>
      </c>
      <c r="N8435" s="329">
        <f t="shared" si="526"/>
        <v>0</v>
      </c>
      <c r="T8435" s="331">
        <v>0</v>
      </c>
      <c r="U8435" s="328">
        <f>VLOOKUP(C8435,METADATA!$J$5:$Q$29,IF(E8435="HI",2,IF(E8435="LO",6,10))+IF(T8435=1,2,IF(D8435=7,1,(IF(WEEKDAY(B8435)=1,2,IF(WEEKDAY(B8435)=7,1,0))))))</f>
        <v>1</v>
      </c>
      <c r="V8435" s="328">
        <f>VLOOKUP(C8435,METADATA!$A$5:$H$29,IF(E8435="HI",2,IF(E8435="LO",6,10))+IF(T8435=1,2,IF(D8435=7,1,(IF(WEEKDAY(B8435)=1,2,IF(WEEKDAY(B8435)=7,1,0))))))</f>
        <v>1</v>
      </c>
    </row>
    <row r="8436" spans="2:22">
      <c r="B8436" s="318">
        <f t="shared" si="527"/>
        <v>46464</v>
      </c>
      <c r="C8436" s="312">
        <v>8</v>
      </c>
      <c r="D8436" s="368">
        <f>IFERROR((INDEX(METADATA!$T$2:$T$20,MATCH(B8436,METADATA!$S$2:$S$20,0))),0)</f>
        <v>0</v>
      </c>
      <c r="E8436" s="312" t="str">
        <f t="shared" si="524"/>
        <v>LO</v>
      </c>
      <c r="F8436" s="369">
        <f>VLOOKUP(C8436,METADATA!$A$5:$H$29,IF(E8436="HI",2,IF(E8436="LO",6,10))+IF(D8436=1,2,IF(D8436=7,1,(IF(WEEKDAY(B8436)=1,2,IF(WEEKDAY(B8436)=7,1,0))))))</f>
        <v>1</v>
      </c>
      <c r="G8436" s="369">
        <f>VLOOKUP(C8436,METADATA!$J$5:$Q$29,IF(E8436="HI",2,IF(E8436="LO",6,10))+IF(D8436=1,2,IF(D8436=7,1,(IF(WEEKDAY(B8436)=1,2,IF(WEEKDAY(B8436)=7,1,0))))))</f>
        <v>1</v>
      </c>
      <c r="H8436" s="370">
        <v>12687.499877929688</v>
      </c>
      <c r="I8436" s="370">
        <v>3544.9149627685547</v>
      </c>
      <c r="M8436" s="371">
        <f t="shared" si="525"/>
        <v>13173.423064857752</v>
      </c>
      <c r="N8436" s="329">
        <f t="shared" si="526"/>
        <v>0</v>
      </c>
      <c r="T8436" s="331">
        <v>0</v>
      </c>
      <c r="U8436" s="328">
        <f>VLOOKUP(C8436,METADATA!$J$5:$Q$29,IF(E8436="HI",2,IF(E8436="LO",6,10))+IF(T8436=1,2,IF(D8436=7,1,(IF(WEEKDAY(B8436)=1,2,IF(WEEKDAY(B8436)=7,1,0))))))</f>
        <v>1</v>
      </c>
      <c r="V8436" s="328">
        <f>VLOOKUP(C8436,METADATA!$A$5:$H$29,IF(E8436="HI",2,IF(E8436="LO",6,10))+IF(T8436=1,2,IF(D8436=7,1,(IF(WEEKDAY(B8436)=1,2,IF(WEEKDAY(B8436)=7,1,0))))))</f>
        <v>1</v>
      </c>
    </row>
    <row r="8437" spans="2:22">
      <c r="B8437" s="318">
        <f t="shared" si="527"/>
        <v>46464</v>
      </c>
      <c r="C8437" s="312">
        <v>9</v>
      </c>
      <c r="D8437" s="368">
        <f>IFERROR((INDEX(METADATA!$T$2:$T$20,MATCH(B8437,METADATA!$S$2:$S$20,0))),0)</f>
        <v>0</v>
      </c>
      <c r="E8437" s="312" t="str">
        <f t="shared" si="524"/>
        <v>LO</v>
      </c>
      <c r="F8437" s="369">
        <f>VLOOKUP(C8437,METADATA!$A$5:$H$29,IF(E8437="HI",2,IF(E8437="LO",6,10))+IF(D8437=1,2,IF(D8437=7,1,(IF(WEEKDAY(B8437)=1,2,IF(WEEKDAY(B8437)=7,1,0))))))</f>
        <v>2</v>
      </c>
      <c r="G8437" s="369">
        <f>VLOOKUP(C8437,METADATA!$J$5:$Q$29,IF(E8437="HI",2,IF(E8437="LO",6,10))+IF(D8437=1,2,IF(D8437=7,1,(IF(WEEKDAY(B8437)=1,2,IF(WEEKDAY(B8437)=7,1,0))))))</f>
        <v>2</v>
      </c>
      <c r="H8437" s="370">
        <v>12740.099853515625</v>
      </c>
      <c r="I8437" s="370">
        <v>3620.7450561523438</v>
      </c>
      <c r="M8437" s="371">
        <f t="shared" si="525"/>
        <v>13244.61924855526</v>
      </c>
      <c r="N8437" s="329">
        <f t="shared" si="526"/>
        <v>0</v>
      </c>
      <c r="T8437" s="331">
        <v>0</v>
      </c>
      <c r="U8437" s="328">
        <f>VLOOKUP(C8437,METADATA!$J$5:$Q$29,IF(E8437="HI",2,IF(E8437="LO",6,10))+IF(T8437=1,2,IF(D8437=7,1,(IF(WEEKDAY(B8437)=1,2,IF(WEEKDAY(B8437)=7,1,0))))))</f>
        <v>2</v>
      </c>
      <c r="V8437" s="328">
        <f>VLOOKUP(C8437,METADATA!$A$5:$H$29,IF(E8437="HI",2,IF(E8437="LO",6,10))+IF(T8437=1,2,IF(D8437=7,1,(IF(WEEKDAY(B8437)=1,2,IF(WEEKDAY(B8437)=7,1,0))))))</f>
        <v>2</v>
      </c>
    </row>
    <row r="8438" spans="2:22">
      <c r="B8438" s="318">
        <f t="shared" si="527"/>
        <v>46464</v>
      </c>
      <c r="C8438" s="312">
        <v>10</v>
      </c>
      <c r="D8438" s="368">
        <f>IFERROR((INDEX(METADATA!$T$2:$T$20,MATCH(B8438,METADATA!$S$2:$S$20,0))),0)</f>
        <v>0</v>
      </c>
      <c r="E8438" s="312" t="str">
        <f t="shared" si="524"/>
        <v>LO</v>
      </c>
      <c r="F8438" s="369">
        <f>VLOOKUP(C8438,METADATA!$A$5:$H$29,IF(E8438="HI",2,IF(E8438="LO",6,10))+IF(D8438=1,2,IF(D8438=7,1,(IF(WEEKDAY(B8438)=1,2,IF(WEEKDAY(B8438)=7,1,0))))))</f>
        <v>2</v>
      </c>
      <c r="G8438" s="369">
        <f>VLOOKUP(C8438,METADATA!$J$5:$Q$29,IF(E8438="HI",2,IF(E8438="LO",6,10))+IF(D8438=1,2,IF(D8438=7,1,(IF(WEEKDAY(B8438)=1,2,IF(WEEKDAY(B8438)=7,1,0))))))</f>
        <v>2</v>
      </c>
      <c r="H8438" s="370">
        <v>12722.250183105469</v>
      </c>
      <c r="I8438" s="370">
        <v>3541.6899871826172</v>
      </c>
      <c r="M8438" s="371">
        <f t="shared" si="525"/>
        <v>13206.029595864033</v>
      </c>
      <c r="N8438" s="329">
        <f t="shared" si="526"/>
        <v>0</v>
      </c>
      <c r="T8438" s="331">
        <v>0</v>
      </c>
      <c r="U8438" s="328">
        <f>VLOOKUP(C8438,METADATA!$J$5:$Q$29,IF(E8438="HI",2,IF(E8438="LO",6,10))+IF(T8438=1,2,IF(D8438=7,1,(IF(WEEKDAY(B8438)=1,2,IF(WEEKDAY(B8438)=7,1,0))))))</f>
        <v>2</v>
      </c>
      <c r="V8438" s="328">
        <f>VLOOKUP(C8438,METADATA!$A$5:$H$29,IF(E8438="HI",2,IF(E8438="LO",6,10))+IF(T8438=1,2,IF(D8438=7,1,(IF(WEEKDAY(B8438)=1,2,IF(WEEKDAY(B8438)=7,1,0))))))</f>
        <v>2</v>
      </c>
    </row>
    <row r="8439" spans="2:22">
      <c r="B8439" s="318">
        <f t="shared" si="527"/>
        <v>46464</v>
      </c>
      <c r="C8439" s="312">
        <v>11</v>
      </c>
      <c r="D8439" s="368">
        <f>IFERROR((INDEX(METADATA!$T$2:$T$20,MATCH(B8439,METADATA!$S$2:$S$20,0))),0)</f>
        <v>0</v>
      </c>
      <c r="E8439" s="312" t="str">
        <f t="shared" si="524"/>
        <v>LO</v>
      </c>
      <c r="F8439" s="369">
        <f>VLOOKUP(C8439,METADATA!$A$5:$H$29,IF(E8439="HI",2,IF(E8439="LO",6,10))+IF(D8439=1,2,IF(D8439=7,1,(IF(WEEKDAY(B8439)=1,2,IF(WEEKDAY(B8439)=7,1,0))))))</f>
        <v>2</v>
      </c>
      <c r="G8439" s="369">
        <f>VLOOKUP(C8439,METADATA!$J$5:$Q$29,IF(E8439="HI",2,IF(E8439="LO",6,10))+IF(D8439=1,2,IF(D8439=7,1,(IF(WEEKDAY(B8439)=1,2,IF(WEEKDAY(B8439)=7,1,0))))))</f>
        <v>2</v>
      </c>
      <c r="H8439" s="370">
        <v>12726.6748046875</v>
      </c>
      <c r="I8439" s="370">
        <v>3518.2999725341797</v>
      </c>
      <c r="M8439" s="371">
        <f t="shared" si="525"/>
        <v>13204.040528603418</v>
      </c>
      <c r="N8439" s="329">
        <f t="shared" si="526"/>
        <v>0</v>
      </c>
      <c r="T8439" s="331">
        <v>0</v>
      </c>
      <c r="U8439" s="328">
        <f>VLOOKUP(C8439,METADATA!$J$5:$Q$29,IF(E8439="HI",2,IF(E8439="LO",6,10))+IF(T8439=1,2,IF(D8439=7,1,(IF(WEEKDAY(B8439)=1,2,IF(WEEKDAY(B8439)=7,1,0))))))</f>
        <v>2</v>
      </c>
      <c r="V8439" s="328">
        <f>VLOOKUP(C8439,METADATA!$A$5:$H$29,IF(E8439="HI",2,IF(E8439="LO",6,10))+IF(T8439=1,2,IF(D8439=7,1,(IF(WEEKDAY(B8439)=1,2,IF(WEEKDAY(B8439)=7,1,0))))))</f>
        <v>2</v>
      </c>
    </row>
    <row r="8440" spans="2:22">
      <c r="B8440" s="318">
        <f t="shared" si="527"/>
        <v>46464</v>
      </c>
      <c r="C8440" s="312">
        <v>12</v>
      </c>
      <c r="D8440" s="368">
        <f>IFERROR((INDEX(METADATA!$T$2:$T$20,MATCH(B8440,METADATA!$S$2:$S$20,0))),0)</f>
        <v>0</v>
      </c>
      <c r="E8440" s="312" t="str">
        <f t="shared" si="524"/>
        <v>LO</v>
      </c>
      <c r="F8440" s="369">
        <f>VLOOKUP(C8440,METADATA!$A$5:$H$29,IF(E8440="HI",2,IF(E8440="LO",6,10))+IF(D8440=1,2,IF(D8440=7,1,(IF(WEEKDAY(B8440)=1,2,IF(WEEKDAY(B8440)=7,1,0))))))</f>
        <v>2</v>
      </c>
      <c r="G8440" s="369">
        <f>VLOOKUP(C8440,METADATA!$J$5:$Q$29,IF(E8440="HI",2,IF(E8440="LO",6,10))+IF(D8440=1,2,IF(D8440=7,1,(IF(WEEKDAY(B8440)=1,2,IF(WEEKDAY(B8440)=7,1,0))))))</f>
        <v>2</v>
      </c>
      <c r="H8440" s="370">
        <v>12554.224731445313</v>
      </c>
      <c r="I8440" s="370">
        <v>3578.3149566650391</v>
      </c>
      <c r="M8440" s="371">
        <f t="shared" si="525"/>
        <v>13054.229067115599</v>
      </c>
      <c r="N8440" s="329">
        <f t="shared" si="526"/>
        <v>0</v>
      </c>
      <c r="T8440" s="331">
        <v>0</v>
      </c>
      <c r="U8440" s="328">
        <f>VLOOKUP(C8440,METADATA!$J$5:$Q$29,IF(E8440="HI",2,IF(E8440="LO",6,10))+IF(T8440=1,2,IF(D8440=7,1,(IF(WEEKDAY(B8440)=1,2,IF(WEEKDAY(B8440)=7,1,0))))))</f>
        <v>2</v>
      </c>
      <c r="V8440" s="328">
        <f>VLOOKUP(C8440,METADATA!$A$5:$H$29,IF(E8440="HI",2,IF(E8440="LO",6,10))+IF(T8440=1,2,IF(D8440=7,1,(IF(WEEKDAY(B8440)=1,2,IF(WEEKDAY(B8440)=7,1,0))))))</f>
        <v>2</v>
      </c>
    </row>
    <row r="8441" spans="2:22">
      <c r="B8441" s="318">
        <f t="shared" si="527"/>
        <v>46464</v>
      </c>
      <c r="C8441" s="312">
        <v>13</v>
      </c>
      <c r="D8441" s="368">
        <f>IFERROR((INDEX(METADATA!$T$2:$T$20,MATCH(B8441,METADATA!$S$2:$S$20,0))),0)</f>
        <v>0</v>
      </c>
      <c r="E8441" s="312" t="str">
        <f t="shared" si="524"/>
        <v>LO</v>
      </c>
      <c r="F8441" s="369">
        <f>VLOOKUP(C8441,METADATA!$A$5:$H$29,IF(E8441="HI",2,IF(E8441="LO",6,10))+IF(D8441=1,2,IF(D8441=7,1,(IF(WEEKDAY(B8441)=1,2,IF(WEEKDAY(B8441)=7,1,0))))))</f>
        <v>2</v>
      </c>
      <c r="G8441" s="369">
        <f>VLOOKUP(C8441,METADATA!$J$5:$Q$29,IF(E8441="HI",2,IF(E8441="LO",6,10))+IF(D8441=1,2,IF(D8441=7,1,(IF(WEEKDAY(B8441)=1,2,IF(WEEKDAY(B8441)=7,1,0))))))</f>
        <v>2</v>
      </c>
      <c r="H8441" s="370">
        <v>12858.149841308594</v>
      </c>
      <c r="I8441" s="370">
        <v>3847.4050598144531</v>
      </c>
      <c r="M8441" s="371">
        <f t="shared" si="525"/>
        <v>13421.421051283283</v>
      </c>
      <c r="N8441" s="329">
        <f t="shared" si="526"/>
        <v>0</v>
      </c>
      <c r="T8441" s="331">
        <v>0</v>
      </c>
      <c r="U8441" s="328">
        <f>VLOOKUP(C8441,METADATA!$J$5:$Q$29,IF(E8441="HI",2,IF(E8441="LO",6,10))+IF(T8441=1,2,IF(D8441=7,1,(IF(WEEKDAY(B8441)=1,2,IF(WEEKDAY(B8441)=7,1,0))))))</f>
        <v>2</v>
      </c>
      <c r="V8441" s="328">
        <f>VLOOKUP(C8441,METADATA!$A$5:$H$29,IF(E8441="HI",2,IF(E8441="LO",6,10))+IF(T8441=1,2,IF(D8441=7,1,(IF(WEEKDAY(B8441)=1,2,IF(WEEKDAY(B8441)=7,1,0))))))</f>
        <v>2</v>
      </c>
    </row>
    <row r="8442" spans="2:22">
      <c r="B8442" s="318">
        <f t="shared" si="527"/>
        <v>46464</v>
      </c>
      <c r="C8442" s="312">
        <v>14</v>
      </c>
      <c r="D8442" s="368">
        <f>IFERROR((INDEX(METADATA!$T$2:$T$20,MATCH(B8442,METADATA!$S$2:$S$20,0))),0)</f>
        <v>0</v>
      </c>
      <c r="E8442" s="312" t="str">
        <f t="shared" si="524"/>
        <v>LO</v>
      </c>
      <c r="F8442" s="369">
        <f>VLOOKUP(C8442,METADATA!$A$5:$H$29,IF(E8442="HI",2,IF(E8442="LO",6,10))+IF(D8442=1,2,IF(D8442=7,1,(IF(WEEKDAY(B8442)=1,2,IF(WEEKDAY(B8442)=7,1,0))))))</f>
        <v>2</v>
      </c>
      <c r="G8442" s="369">
        <f>VLOOKUP(C8442,METADATA!$J$5:$Q$29,IF(E8442="HI",2,IF(E8442="LO",6,10))+IF(D8442=1,2,IF(D8442=7,1,(IF(WEEKDAY(B8442)=1,2,IF(WEEKDAY(B8442)=7,1,0))))))</f>
        <v>2</v>
      </c>
      <c r="H8442" s="370">
        <v>12616.14990234375</v>
      </c>
      <c r="I8442" s="370">
        <v>3702.8650054931641</v>
      </c>
      <c r="M8442" s="371">
        <f t="shared" si="525"/>
        <v>13148.324897389557</v>
      </c>
      <c r="N8442" s="329">
        <f t="shared" si="526"/>
        <v>0</v>
      </c>
      <c r="T8442" s="331">
        <v>0</v>
      </c>
      <c r="U8442" s="328">
        <f>VLOOKUP(C8442,METADATA!$J$5:$Q$29,IF(E8442="HI",2,IF(E8442="LO",6,10))+IF(T8442=1,2,IF(D8442=7,1,(IF(WEEKDAY(B8442)=1,2,IF(WEEKDAY(B8442)=7,1,0))))))</f>
        <v>2</v>
      </c>
      <c r="V8442" s="328">
        <f>VLOOKUP(C8442,METADATA!$A$5:$H$29,IF(E8442="HI",2,IF(E8442="LO",6,10))+IF(T8442=1,2,IF(D8442=7,1,(IF(WEEKDAY(B8442)=1,2,IF(WEEKDAY(B8442)=7,1,0))))))</f>
        <v>2</v>
      </c>
    </row>
    <row r="8443" spans="2:22">
      <c r="B8443" s="318">
        <f t="shared" si="527"/>
        <v>46464</v>
      </c>
      <c r="C8443" s="312">
        <v>15</v>
      </c>
      <c r="D8443" s="368">
        <f>IFERROR((INDEX(METADATA!$T$2:$T$20,MATCH(B8443,METADATA!$S$2:$S$20,0))),0)</f>
        <v>0</v>
      </c>
      <c r="E8443" s="312" t="str">
        <f t="shared" si="524"/>
        <v>LO</v>
      </c>
      <c r="F8443" s="369">
        <f>VLOOKUP(C8443,METADATA!$A$5:$H$29,IF(E8443="HI",2,IF(E8443="LO",6,10))+IF(D8443=1,2,IF(D8443=7,1,(IF(WEEKDAY(B8443)=1,2,IF(WEEKDAY(B8443)=7,1,0))))))</f>
        <v>2</v>
      </c>
      <c r="G8443" s="369">
        <f>VLOOKUP(C8443,METADATA!$J$5:$Q$29,IF(E8443="HI",2,IF(E8443="LO",6,10))+IF(D8443=1,2,IF(D8443=7,1,(IF(WEEKDAY(B8443)=1,2,IF(WEEKDAY(B8443)=7,1,0))))))</f>
        <v>2</v>
      </c>
      <c r="H8443" s="370">
        <v>12634.824768066406</v>
      </c>
      <c r="I8443" s="370">
        <v>3773.5850219726563</v>
      </c>
      <c r="M8443" s="371">
        <f t="shared" si="525"/>
        <v>13186.308840528523</v>
      </c>
      <c r="N8443" s="329">
        <f t="shared" si="526"/>
        <v>0</v>
      </c>
      <c r="T8443" s="331">
        <v>0</v>
      </c>
      <c r="U8443" s="328">
        <f>VLOOKUP(C8443,METADATA!$J$5:$Q$29,IF(E8443="HI",2,IF(E8443="LO",6,10))+IF(T8443=1,2,IF(D8443=7,1,(IF(WEEKDAY(B8443)=1,2,IF(WEEKDAY(B8443)=7,1,0))))))</f>
        <v>2</v>
      </c>
      <c r="V8443" s="328">
        <f>VLOOKUP(C8443,METADATA!$A$5:$H$29,IF(E8443="HI",2,IF(E8443="LO",6,10))+IF(T8443=1,2,IF(D8443=7,1,(IF(WEEKDAY(B8443)=1,2,IF(WEEKDAY(B8443)=7,1,0))))))</f>
        <v>2</v>
      </c>
    </row>
    <row r="8444" spans="2:22">
      <c r="B8444" s="318">
        <f t="shared" si="527"/>
        <v>46464</v>
      </c>
      <c r="C8444" s="312">
        <v>16</v>
      </c>
      <c r="D8444" s="368">
        <f>IFERROR((INDEX(METADATA!$T$2:$T$20,MATCH(B8444,METADATA!$S$2:$S$20,0))),0)</f>
        <v>0</v>
      </c>
      <c r="E8444" s="312" t="str">
        <f t="shared" si="524"/>
        <v>LO</v>
      </c>
      <c r="F8444" s="369">
        <f>VLOOKUP(C8444,METADATA!$A$5:$H$29,IF(E8444="HI",2,IF(E8444="LO",6,10))+IF(D8444=1,2,IF(D8444=7,1,(IF(WEEKDAY(B8444)=1,2,IF(WEEKDAY(B8444)=7,1,0))))))</f>
        <v>2</v>
      </c>
      <c r="G8444" s="369">
        <f>VLOOKUP(C8444,METADATA!$J$5:$Q$29,IF(E8444="HI",2,IF(E8444="LO",6,10))+IF(D8444=1,2,IF(D8444=7,1,(IF(WEEKDAY(B8444)=1,2,IF(WEEKDAY(B8444)=7,1,0))))))</f>
        <v>2</v>
      </c>
      <c r="H8444" s="370">
        <v>12732.425170898438</v>
      </c>
      <c r="I8444" s="370">
        <v>3902.6451110839844</v>
      </c>
      <c r="M8444" s="371">
        <f t="shared" si="525"/>
        <v>13317.105150729862</v>
      </c>
      <c r="N8444" s="329">
        <f t="shared" si="526"/>
        <v>82.917559814453398</v>
      </c>
      <c r="T8444" s="331">
        <v>0</v>
      </c>
      <c r="U8444" s="328">
        <f>VLOOKUP(C8444,METADATA!$J$5:$Q$29,IF(E8444="HI",2,IF(E8444="LO",6,10))+IF(T8444=1,2,IF(D8444=7,1,(IF(WEEKDAY(B8444)=1,2,IF(WEEKDAY(B8444)=7,1,0))))))</f>
        <v>2</v>
      </c>
      <c r="V8444" s="328">
        <f>VLOOKUP(C8444,METADATA!$A$5:$H$29,IF(E8444="HI",2,IF(E8444="LO",6,10))+IF(T8444=1,2,IF(D8444=7,1,(IF(WEEKDAY(B8444)=1,2,IF(WEEKDAY(B8444)=7,1,0))))))</f>
        <v>2</v>
      </c>
    </row>
    <row r="8445" spans="2:22">
      <c r="B8445" s="318">
        <f t="shared" si="527"/>
        <v>46464</v>
      </c>
      <c r="C8445" s="312">
        <v>17</v>
      </c>
      <c r="D8445" s="368">
        <f>IFERROR((INDEX(METADATA!$T$2:$T$20,MATCH(B8445,METADATA!$S$2:$S$20,0))),0)</f>
        <v>0</v>
      </c>
      <c r="E8445" s="312" t="str">
        <f t="shared" si="524"/>
        <v>LO</v>
      </c>
      <c r="F8445" s="369">
        <f>VLOOKUP(C8445,METADATA!$A$5:$H$29,IF(E8445="HI",2,IF(E8445="LO",6,10))+IF(D8445=1,2,IF(D8445=7,1,(IF(WEEKDAY(B8445)=1,2,IF(WEEKDAY(B8445)=7,1,0))))))</f>
        <v>2</v>
      </c>
      <c r="G8445" s="369">
        <f>VLOOKUP(C8445,METADATA!$J$5:$Q$29,IF(E8445="HI",2,IF(E8445="LO",6,10))+IF(D8445=1,2,IF(D8445=7,1,(IF(WEEKDAY(B8445)=1,2,IF(WEEKDAY(B8445)=7,1,0))))))</f>
        <v>2</v>
      </c>
      <c r="H8445" s="370">
        <v>12734.099731445313</v>
      </c>
      <c r="I8445" s="370">
        <v>3792.3700256347656</v>
      </c>
      <c r="M8445" s="371">
        <f t="shared" si="525"/>
        <v>13286.811746304249</v>
      </c>
      <c r="N8445" s="329">
        <f t="shared" si="526"/>
        <v>0</v>
      </c>
      <c r="T8445" s="331">
        <v>0</v>
      </c>
      <c r="U8445" s="328">
        <f>VLOOKUP(C8445,METADATA!$J$5:$Q$29,IF(E8445="HI",2,IF(E8445="LO",6,10))+IF(T8445=1,2,IF(D8445=7,1,(IF(WEEKDAY(B8445)=1,2,IF(WEEKDAY(B8445)=7,1,0))))))</f>
        <v>2</v>
      </c>
      <c r="V8445" s="328">
        <f>VLOOKUP(C8445,METADATA!$A$5:$H$29,IF(E8445="HI",2,IF(E8445="LO",6,10))+IF(T8445=1,2,IF(D8445=7,1,(IF(WEEKDAY(B8445)=1,2,IF(WEEKDAY(B8445)=7,1,0))))))</f>
        <v>2</v>
      </c>
    </row>
    <row r="8446" spans="2:22">
      <c r="B8446" s="318">
        <f t="shared" si="527"/>
        <v>46464</v>
      </c>
      <c r="C8446" s="312">
        <v>18</v>
      </c>
      <c r="D8446" s="368">
        <f>IFERROR((INDEX(METADATA!$T$2:$T$20,MATCH(B8446,METADATA!$S$2:$S$20,0))),0)</f>
        <v>0</v>
      </c>
      <c r="E8446" s="312" t="str">
        <f t="shared" si="524"/>
        <v>LO</v>
      </c>
      <c r="F8446" s="369">
        <f>VLOOKUP(C8446,METADATA!$A$5:$H$29,IF(E8446="HI",2,IF(E8446="LO",6,10))+IF(D8446=1,2,IF(D8446=7,1,(IF(WEEKDAY(B8446)=1,2,IF(WEEKDAY(B8446)=7,1,0))))))</f>
        <v>1</v>
      </c>
      <c r="G8446" s="369">
        <f>VLOOKUP(C8446,METADATA!$J$5:$Q$29,IF(E8446="HI",2,IF(E8446="LO",6,10))+IF(D8446=1,2,IF(D8446=7,1,(IF(WEEKDAY(B8446)=1,2,IF(WEEKDAY(B8446)=7,1,0))))))</f>
        <v>1</v>
      </c>
      <c r="H8446" s="370">
        <v>12773.425109863281</v>
      </c>
      <c r="I8446" s="370">
        <v>3648.4450531005859</v>
      </c>
      <c r="M8446" s="371">
        <f t="shared" si="525"/>
        <v>13284.25911907698</v>
      </c>
      <c r="N8446" s="329">
        <f t="shared" si="526"/>
        <v>0</v>
      </c>
      <c r="T8446" s="331">
        <v>0</v>
      </c>
      <c r="U8446" s="328">
        <f>VLOOKUP(C8446,METADATA!$J$5:$Q$29,IF(E8446="HI",2,IF(E8446="LO",6,10))+IF(T8446=1,2,IF(D8446=7,1,(IF(WEEKDAY(B8446)=1,2,IF(WEEKDAY(B8446)=7,1,0))))))</f>
        <v>1</v>
      </c>
      <c r="V8446" s="328">
        <f>VLOOKUP(C8446,METADATA!$A$5:$H$29,IF(E8446="HI",2,IF(E8446="LO",6,10))+IF(T8446=1,2,IF(D8446=7,1,(IF(WEEKDAY(B8446)=1,2,IF(WEEKDAY(B8446)=7,1,0))))))</f>
        <v>1</v>
      </c>
    </row>
    <row r="8447" spans="2:22">
      <c r="B8447" s="318">
        <f t="shared" si="527"/>
        <v>46464</v>
      </c>
      <c r="C8447" s="312">
        <v>19</v>
      </c>
      <c r="D8447" s="368">
        <f>IFERROR((INDEX(METADATA!$T$2:$T$20,MATCH(B8447,METADATA!$S$2:$S$20,0))),0)</f>
        <v>0</v>
      </c>
      <c r="E8447" s="312" t="str">
        <f t="shared" si="524"/>
        <v>LO</v>
      </c>
      <c r="F8447" s="369">
        <f>VLOOKUP(C8447,METADATA!$A$5:$H$29,IF(E8447="HI",2,IF(E8447="LO",6,10))+IF(D8447=1,2,IF(D8447=7,1,(IF(WEEKDAY(B8447)=1,2,IF(WEEKDAY(B8447)=7,1,0))))))</f>
        <v>1</v>
      </c>
      <c r="G8447" s="369">
        <f>VLOOKUP(C8447,METADATA!$J$5:$Q$29,IF(E8447="HI",2,IF(E8447="LO",6,10))+IF(D8447=1,2,IF(D8447=7,1,(IF(WEEKDAY(B8447)=1,2,IF(WEEKDAY(B8447)=7,1,0))))))</f>
        <v>1</v>
      </c>
      <c r="H8447" s="370">
        <v>12866.449829101563</v>
      </c>
      <c r="I8447" s="370">
        <v>3667.1349334716797</v>
      </c>
      <c r="M8447" s="371">
        <f t="shared" si="525"/>
        <v>13378.841871592473</v>
      </c>
      <c r="N8447" s="329">
        <f t="shared" si="526"/>
        <v>0</v>
      </c>
      <c r="T8447" s="331">
        <v>0</v>
      </c>
      <c r="U8447" s="328">
        <f>VLOOKUP(C8447,METADATA!$J$5:$Q$29,IF(E8447="HI",2,IF(E8447="LO",6,10))+IF(T8447=1,2,IF(D8447=7,1,(IF(WEEKDAY(B8447)=1,2,IF(WEEKDAY(B8447)=7,1,0))))))</f>
        <v>1</v>
      </c>
      <c r="V8447" s="328">
        <f>VLOOKUP(C8447,METADATA!$A$5:$H$29,IF(E8447="HI",2,IF(E8447="LO",6,10))+IF(T8447=1,2,IF(D8447=7,1,(IF(WEEKDAY(B8447)=1,2,IF(WEEKDAY(B8447)=7,1,0))))))</f>
        <v>1</v>
      </c>
    </row>
    <row r="8448" spans="2:22">
      <c r="B8448" s="318">
        <f t="shared" si="527"/>
        <v>46464</v>
      </c>
      <c r="C8448" s="312">
        <v>20</v>
      </c>
      <c r="D8448" s="368">
        <f>IFERROR((INDEX(METADATA!$T$2:$T$20,MATCH(B8448,METADATA!$S$2:$S$20,0))),0)</f>
        <v>0</v>
      </c>
      <c r="E8448" s="312" t="str">
        <f t="shared" si="524"/>
        <v>LO</v>
      </c>
      <c r="F8448" s="369">
        <f>VLOOKUP(C8448,METADATA!$A$5:$H$29,IF(E8448="HI",2,IF(E8448="LO",6,10))+IF(D8448=1,2,IF(D8448=7,1,(IF(WEEKDAY(B8448)=1,2,IF(WEEKDAY(B8448)=7,1,0))))))</f>
        <v>1</v>
      </c>
      <c r="G8448" s="369">
        <f>VLOOKUP(C8448,METADATA!$J$5:$Q$29,IF(E8448="HI",2,IF(E8448="LO",6,10))+IF(D8448=1,2,IF(D8448=7,1,(IF(WEEKDAY(B8448)=1,2,IF(WEEKDAY(B8448)=7,1,0))))))</f>
        <v>1</v>
      </c>
      <c r="H8448" s="370">
        <v>12698.099609375</v>
      </c>
      <c r="I8448" s="370">
        <v>3572.3799438476563</v>
      </c>
      <c r="M8448" s="371">
        <f t="shared" si="525"/>
        <v>13191.04363395158</v>
      </c>
      <c r="N8448" s="329">
        <f t="shared" si="526"/>
        <v>0</v>
      </c>
      <c r="T8448" s="331">
        <v>0</v>
      </c>
      <c r="U8448" s="328">
        <f>VLOOKUP(C8448,METADATA!$J$5:$Q$29,IF(E8448="HI",2,IF(E8448="LO",6,10))+IF(T8448=1,2,IF(D8448=7,1,(IF(WEEKDAY(B8448)=1,2,IF(WEEKDAY(B8448)=7,1,0))))))</f>
        <v>1</v>
      </c>
      <c r="V8448" s="328">
        <f>VLOOKUP(C8448,METADATA!$A$5:$H$29,IF(E8448="HI",2,IF(E8448="LO",6,10))+IF(T8448=1,2,IF(D8448=7,1,(IF(WEEKDAY(B8448)=1,2,IF(WEEKDAY(B8448)=7,1,0))))))</f>
        <v>1</v>
      </c>
    </row>
    <row r="8449" spans="2:22">
      <c r="B8449" s="318">
        <f t="shared" si="527"/>
        <v>46464</v>
      </c>
      <c r="C8449" s="312">
        <v>21</v>
      </c>
      <c r="D8449" s="368">
        <f>IFERROR((INDEX(METADATA!$T$2:$T$20,MATCH(B8449,METADATA!$S$2:$S$20,0))),0)</f>
        <v>0</v>
      </c>
      <c r="E8449" s="312" t="str">
        <f t="shared" si="524"/>
        <v>LO</v>
      </c>
      <c r="F8449" s="369">
        <f>VLOOKUP(C8449,METADATA!$A$5:$H$29,IF(E8449="HI",2,IF(E8449="LO",6,10))+IF(D8449=1,2,IF(D8449=7,1,(IF(WEEKDAY(B8449)=1,2,IF(WEEKDAY(B8449)=7,1,0))))))</f>
        <v>2</v>
      </c>
      <c r="G8449" s="369">
        <f>VLOOKUP(C8449,METADATA!$J$5:$Q$29,IF(E8449="HI",2,IF(E8449="LO",6,10))+IF(D8449=1,2,IF(D8449=7,1,(IF(WEEKDAY(B8449)=1,2,IF(WEEKDAY(B8449)=7,1,0))))))</f>
        <v>2</v>
      </c>
      <c r="H8449" s="370">
        <v>12638.625</v>
      </c>
      <c r="I8449" s="370">
        <v>3564.4800567626953</v>
      </c>
      <c r="M8449" s="371">
        <f t="shared" si="525"/>
        <v>13131.654882979677</v>
      </c>
      <c r="N8449" s="329">
        <f t="shared" si="526"/>
        <v>0</v>
      </c>
      <c r="T8449" s="331">
        <v>0</v>
      </c>
      <c r="U8449" s="328">
        <f>VLOOKUP(C8449,METADATA!$J$5:$Q$29,IF(E8449="HI",2,IF(E8449="LO",6,10))+IF(T8449=1,2,IF(D8449=7,1,(IF(WEEKDAY(B8449)=1,2,IF(WEEKDAY(B8449)=7,1,0))))))</f>
        <v>2</v>
      </c>
      <c r="V8449" s="328">
        <f>VLOOKUP(C8449,METADATA!$A$5:$H$29,IF(E8449="HI",2,IF(E8449="LO",6,10))+IF(T8449=1,2,IF(D8449=7,1,(IF(WEEKDAY(B8449)=1,2,IF(WEEKDAY(B8449)=7,1,0))))))</f>
        <v>2</v>
      </c>
    </row>
    <row r="8450" spans="2:22">
      <c r="B8450" s="318">
        <f t="shared" si="527"/>
        <v>46464</v>
      </c>
      <c r="C8450" s="312">
        <v>22</v>
      </c>
      <c r="D8450" s="368">
        <f>IFERROR((INDEX(METADATA!$T$2:$T$20,MATCH(B8450,METADATA!$S$2:$S$20,0))),0)</f>
        <v>0</v>
      </c>
      <c r="E8450" s="312" t="str">
        <f t="shared" si="524"/>
        <v>LO</v>
      </c>
      <c r="F8450" s="369">
        <f>VLOOKUP(C8450,METADATA!$A$5:$H$29,IF(E8450="HI",2,IF(E8450="LO",6,10))+IF(D8450=1,2,IF(D8450=7,1,(IF(WEEKDAY(B8450)=1,2,IF(WEEKDAY(B8450)=7,1,0))))))</f>
        <v>3</v>
      </c>
      <c r="G8450" s="369">
        <f>VLOOKUP(C8450,METADATA!$J$5:$Q$29,IF(E8450="HI",2,IF(E8450="LO",6,10))+IF(D8450=1,2,IF(D8450=7,1,(IF(WEEKDAY(B8450)=1,2,IF(WEEKDAY(B8450)=7,1,0))))))</f>
        <v>3</v>
      </c>
      <c r="H8450" s="370">
        <v>12553.975280761719</v>
      </c>
      <c r="I8450" s="370">
        <v>3674.4398803710938</v>
      </c>
      <c r="M8450" s="371">
        <f t="shared" si="525"/>
        <v>13080.665265361613</v>
      </c>
      <c r="N8450" s="329">
        <f t="shared" si="526"/>
        <v>0</v>
      </c>
      <c r="T8450" s="331">
        <v>0</v>
      </c>
      <c r="U8450" s="328">
        <f>VLOOKUP(C8450,METADATA!$J$5:$Q$29,IF(E8450="HI",2,IF(E8450="LO",6,10))+IF(T8450=1,2,IF(D8450=7,1,(IF(WEEKDAY(B8450)=1,2,IF(WEEKDAY(B8450)=7,1,0))))))</f>
        <v>3</v>
      </c>
      <c r="V8450" s="328">
        <f>VLOOKUP(C8450,METADATA!$A$5:$H$29,IF(E8450="HI",2,IF(E8450="LO",6,10))+IF(T8450=1,2,IF(D8450=7,1,(IF(WEEKDAY(B8450)=1,2,IF(WEEKDAY(B8450)=7,1,0))))))</f>
        <v>3</v>
      </c>
    </row>
    <row r="8451" spans="2:22">
      <c r="B8451" s="318">
        <f t="shared" si="527"/>
        <v>46464</v>
      </c>
      <c r="C8451" s="312">
        <v>23</v>
      </c>
      <c r="D8451" s="368">
        <f>IFERROR((INDEX(METADATA!$T$2:$T$20,MATCH(B8451,METADATA!$S$2:$S$20,0))),0)</f>
        <v>0</v>
      </c>
      <c r="E8451" s="312" t="str">
        <f t="shared" si="524"/>
        <v>LO</v>
      </c>
      <c r="F8451" s="369">
        <f>VLOOKUP(C8451,METADATA!$A$5:$H$29,IF(E8451="HI",2,IF(E8451="LO",6,10))+IF(D8451=1,2,IF(D8451=7,1,(IF(WEEKDAY(B8451)=1,2,IF(WEEKDAY(B8451)=7,1,0))))))</f>
        <v>3</v>
      </c>
      <c r="G8451" s="369">
        <f>VLOOKUP(C8451,METADATA!$J$5:$Q$29,IF(E8451="HI",2,IF(E8451="LO",6,10))+IF(D8451=1,2,IF(D8451=7,1,(IF(WEEKDAY(B8451)=1,2,IF(WEEKDAY(B8451)=7,1,0))))))</f>
        <v>3</v>
      </c>
      <c r="H8451" s="370">
        <v>12605.150024414063</v>
      </c>
      <c r="I8451" s="370">
        <v>3594.6850891113281</v>
      </c>
      <c r="M8451" s="371">
        <f t="shared" si="525"/>
        <v>13107.691178383215</v>
      </c>
      <c r="N8451" s="329">
        <f t="shared" si="526"/>
        <v>0</v>
      </c>
      <c r="T8451" s="331">
        <v>0</v>
      </c>
      <c r="U8451" s="328">
        <f>VLOOKUP(C8451,METADATA!$J$5:$Q$29,IF(E8451="HI",2,IF(E8451="LO",6,10))+IF(T8451=1,2,IF(D8451=7,1,(IF(WEEKDAY(B8451)=1,2,IF(WEEKDAY(B8451)=7,1,0))))))</f>
        <v>3</v>
      </c>
      <c r="V8451" s="328">
        <f>VLOOKUP(C8451,METADATA!$A$5:$H$29,IF(E8451="HI",2,IF(E8451="LO",6,10))+IF(T8451=1,2,IF(D8451=7,1,(IF(WEEKDAY(B8451)=1,2,IF(WEEKDAY(B8451)=7,1,0))))))</f>
        <v>3</v>
      </c>
    </row>
    <row r="8452" spans="2:22">
      <c r="B8452" s="318">
        <f t="shared" si="527"/>
        <v>46465</v>
      </c>
      <c r="C8452" s="312">
        <v>0</v>
      </c>
      <c r="D8452" s="368">
        <f>IFERROR((INDEX(METADATA!$T$2:$T$20,MATCH(B8452,METADATA!$S$2:$S$20,0))),0)</f>
        <v>0</v>
      </c>
      <c r="E8452" s="312" t="str">
        <f t="shared" ref="E8452:E8515" si="528">IF(B8452="","",IF(AND(MONTH(B8452)&gt;=MONTH($Z$9),MONTH(B8452)&lt;=MONTH($Z$11)),"HI","LO"))</f>
        <v>LO</v>
      </c>
      <c r="F8452" s="369">
        <f>VLOOKUP(C8452,METADATA!$A$5:$H$29,IF(E8452="HI",2,IF(E8452="LO",6,10))+IF(D8452=1,2,IF(D8452=7,1,(IF(WEEKDAY(B8452)=1,2,IF(WEEKDAY(B8452)=7,1,0))))))</f>
        <v>3</v>
      </c>
      <c r="G8452" s="369">
        <f>VLOOKUP(C8452,METADATA!$J$5:$Q$29,IF(E8452="HI",2,IF(E8452="LO",6,10))+IF(D8452=1,2,IF(D8452=7,1,(IF(WEEKDAY(B8452)=1,2,IF(WEEKDAY(B8452)=7,1,0))))))</f>
        <v>3</v>
      </c>
      <c r="H8452" s="370">
        <v>12505.650390625</v>
      </c>
      <c r="I8452" s="370">
        <v>3662.60498046875</v>
      </c>
      <c r="M8452" s="371">
        <f t="shared" ref="M8452:M8515" si="529">SQRT(H8452^2+I8452^2)</f>
        <v>13030.961857648641</v>
      </c>
      <c r="N8452" s="329">
        <f t="shared" ref="N8452:N8515" si="530">IF(H8452=0,0,(IF(I8452-(0.3*H8452)&lt;0,0,(I8452-(0.3*H8452)))))</f>
        <v>0</v>
      </c>
      <c r="T8452" s="331">
        <v>0</v>
      </c>
      <c r="U8452" s="328">
        <f>VLOOKUP(C8452,METADATA!$J$5:$Q$29,IF(E8452="HI",2,IF(E8452="LO",6,10))+IF(T8452=1,2,IF(D8452=7,1,(IF(WEEKDAY(B8452)=1,2,IF(WEEKDAY(B8452)=7,1,0))))))</f>
        <v>3</v>
      </c>
      <c r="V8452" s="328">
        <f>VLOOKUP(C8452,METADATA!$A$5:$H$29,IF(E8452="HI",2,IF(E8452="LO",6,10))+IF(T8452=1,2,IF(D8452=7,1,(IF(WEEKDAY(B8452)=1,2,IF(WEEKDAY(B8452)=7,1,0))))))</f>
        <v>3</v>
      </c>
    </row>
    <row r="8453" spans="2:22">
      <c r="B8453" s="318">
        <f t="shared" si="527"/>
        <v>46465</v>
      </c>
      <c r="C8453" s="312">
        <v>1</v>
      </c>
      <c r="D8453" s="368">
        <f>IFERROR((INDEX(METADATA!$T$2:$T$20,MATCH(B8453,METADATA!$S$2:$S$20,0))),0)</f>
        <v>0</v>
      </c>
      <c r="E8453" s="312" t="str">
        <f t="shared" si="528"/>
        <v>LO</v>
      </c>
      <c r="F8453" s="369">
        <f>VLOOKUP(C8453,METADATA!$A$5:$H$29,IF(E8453="HI",2,IF(E8453="LO",6,10))+IF(D8453=1,2,IF(D8453=7,1,(IF(WEEKDAY(B8453)=1,2,IF(WEEKDAY(B8453)=7,1,0))))))</f>
        <v>3</v>
      </c>
      <c r="G8453" s="369">
        <f>VLOOKUP(C8453,METADATA!$J$5:$Q$29,IF(E8453="HI",2,IF(E8453="LO",6,10))+IF(D8453=1,2,IF(D8453=7,1,(IF(WEEKDAY(B8453)=1,2,IF(WEEKDAY(B8453)=7,1,0))))))</f>
        <v>3</v>
      </c>
      <c r="H8453" s="370">
        <v>12567.457153320313</v>
      </c>
      <c r="I8453" s="370">
        <v>3720.4650573730469</v>
      </c>
      <c r="M8453" s="371">
        <f t="shared" si="529"/>
        <v>13106.595268935243</v>
      </c>
      <c r="N8453" s="329">
        <f t="shared" si="530"/>
        <v>0</v>
      </c>
      <c r="T8453" s="331">
        <v>0</v>
      </c>
      <c r="U8453" s="328">
        <f>VLOOKUP(C8453,METADATA!$J$5:$Q$29,IF(E8453="HI",2,IF(E8453="LO",6,10))+IF(T8453=1,2,IF(D8453=7,1,(IF(WEEKDAY(B8453)=1,2,IF(WEEKDAY(B8453)=7,1,0))))))</f>
        <v>3</v>
      </c>
      <c r="V8453" s="328">
        <f>VLOOKUP(C8453,METADATA!$A$5:$H$29,IF(E8453="HI",2,IF(E8453="LO",6,10))+IF(T8453=1,2,IF(D8453=7,1,(IF(WEEKDAY(B8453)=1,2,IF(WEEKDAY(B8453)=7,1,0))))))</f>
        <v>3</v>
      </c>
    </row>
    <row r="8454" spans="2:22">
      <c r="B8454" s="318">
        <f t="shared" si="527"/>
        <v>46465</v>
      </c>
      <c r="C8454" s="312">
        <v>2</v>
      </c>
      <c r="D8454" s="368">
        <f>IFERROR((INDEX(METADATA!$T$2:$T$20,MATCH(B8454,METADATA!$S$2:$S$20,0))),0)</f>
        <v>0</v>
      </c>
      <c r="E8454" s="312" t="str">
        <f t="shared" si="528"/>
        <v>LO</v>
      </c>
      <c r="F8454" s="369">
        <f>VLOOKUP(C8454,METADATA!$A$5:$H$29,IF(E8454="HI",2,IF(E8454="LO",6,10))+IF(D8454=1,2,IF(D8454=7,1,(IF(WEEKDAY(B8454)=1,2,IF(WEEKDAY(B8454)=7,1,0))))))</f>
        <v>3</v>
      </c>
      <c r="G8454" s="369">
        <f>VLOOKUP(C8454,METADATA!$J$5:$Q$29,IF(E8454="HI",2,IF(E8454="LO",6,10))+IF(D8454=1,2,IF(D8454=7,1,(IF(WEEKDAY(B8454)=1,2,IF(WEEKDAY(B8454)=7,1,0))))))</f>
        <v>3</v>
      </c>
      <c r="H8454" s="370">
        <v>12694.300048828125</v>
      </c>
      <c r="I8454" s="370">
        <v>3657.8449859619141</v>
      </c>
      <c r="M8454" s="371">
        <f t="shared" si="529"/>
        <v>13210.794210455495</v>
      </c>
      <c r="N8454" s="329">
        <f t="shared" si="530"/>
        <v>0</v>
      </c>
      <c r="T8454" s="331">
        <v>0</v>
      </c>
      <c r="U8454" s="328">
        <f>VLOOKUP(C8454,METADATA!$J$5:$Q$29,IF(E8454="HI",2,IF(E8454="LO",6,10))+IF(T8454=1,2,IF(D8454=7,1,(IF(WEEKDAY(B8454)=1,2,IF(WEEKDAY(B8454)=7,1,0))))))</f>
        <v>3</v>
      </c>
      <c r="V8454" s="328">
        <f>VLOOKUP(C8454,METADATA!$A$5:$H$29,IF(E8454="HI",2,IF(E8454="LO",6,10))+IF(T8454=1,2,IF(D8454=7,1,(IF(WEEKDAY(B8454)=1,2,IF(WEEKDAY(B8454)=7,1,0))))))</f>
        <v>3</v>
      </c>
    </row>
    <row r="8455" spans="2:22">
      <c r="B8455" s="318">
        <f t="shared" si="527"/>
        <v>46465</v>
      </c>
      <c r="C8455" s="312">
        <v>3</v>
      </c>
      <c r="D8455" s="368">
        <f>IFERROR((INDEX(METADATA!$T$2:$T$20,MATCH(B8455,METADATA!$S$2:$S$20,0))),0)</f>
        <v>0</v>
      </c>
      <c r="E8455" s="312" t="str">
        <f t="shared" si="528"/>
        <v>LO</v>
      </c>
      <c r="F8455" s="369">
        <f>VLOOKUP(C8455,METADATA!$A$5:$H$29,IF(E8455="HI",2,IF(E8455="LO",6,10))+IF(D8455=1,2,IF(D8455=7,1,(IF(WEEKDAY(B8455)=1,2,IF(WEEKDAY(B8455)=7,1,0))))))</f>
        <v>3</v>
      </c>
      <c r="G8455" s="369">
        <f>VLOOKUP(C8455,METADATA!$J$5:$Q$29,IF(E8455="HI",2,IF(E8455="LO",6,10))+IF(D8455=1,2,IF(D8455=7,1,(IF(WEEKDAY(B8455)=1,2,IF(WEEKDAY(B8455)=7,1,0))))))</f>
        <v>3</v>
      </c>
      <c r="H8455" s="370">
        <v>10365.224609375</v>
      </c>
      <c r="I8455" s="370">
        <v>2179.625</v>
      </c>
      <c r="M8455" s="371">
        <f t="shared" si="529"/>
        <v>10591.91419637726</v>
      </c>
      <c r="N8455" s="329">
        <f t="shared" si="530"/>
        <v>0</v>
      </c>
      <c r="T8455" s="331">
        <v>0</v>
      </c>
      <c r="U8455" s="328">
        <f>VLOOKUP(C8455,METADATA!$J$5:$Q$29,IF(E8455="HI",2,IF(E8455="LO",6,10))+IF(T8455=1,2,IF(D8455=7,1,(IF(WEEKDAY(B8455)=1,2,IF(WEEKDAY(B8455)=7,1,0))))))</f>
        <v>3</v>
      </c>
      <c r="V8455" s="328">
        <f>VLOOKUP(C8455,METADATA!$A$5:$H$29,IF(E8455="HI",2,IF(E8455="LO",6,10))+IF(T8455=1,2,IF(D8455=7,1,(IF(WEEKDAY(B8455)=1,2,IF(WEEKDAY(B8455)=7,1,0))))))</f>
        <v>3</v>
      </c>
    </row>
    <row r="8456" spans="2:22">
      <c r="B8456" s="318">
        <f t="shared" si="527"/>
        <v>46465</v>
      </c>
      <c r="C8456" s="312">
        <v>4</v>
      </c>
      <c r="D8456" s="368">
        <f>IFERROR((INDEX(METADATA!$T$2:$T$20,MATCH(B8456,METADATA!$S$2:$S$20,0))),0)</f>
        <v>0</v>
      </c>
      <c r="E8456" s="312" t="str">
        <f t="shared" si="528"/>
        <v>LO</v>
      </c>
      <c r="F8456" s="369">
        <f>VLOOKUP(C8456,METADATA!$A$5:$H$29,IF(E8456="HI",2,IF(E8456="LO",6,10))+IF(D8456=1,2,IF(D8456=7,1,(IF(WEEKDAY(B8456)=1,2,IF(WEEKDAY(B8456)=7,1,0))))))</f>
        <v>3</v>
      </c>
      <c r="G8456" s="369">
        <f>VLOOKUP(C8456,METADATA!$J$5:$Q$29,IF(E8456="HI",2,IF(E8456="LO",6,10))+IF(D8456=1,2,IF(D8456=7,1,(IF(WEEKDAY(B8456)=1,2,IF(WEEKDAY(B8456)=7,1,0))))))</f>
        <v>3</v>
      </c>
      <c r="H8456" s="370">
        <v>10322.892333984375</v>
      </c>
      <c r="I8456" s="370">
        <v>2206.7274932861328</v>
      </c>
      <c r="M8456" s="371">
        <f t="shared" si="529"/>
        <v>10556.123927306759</v>
      </c>
      <c r="N8456" s="329">
        <f t="shared" si="530"/>
        <v>0</v>
      </c>
      <c r="T8456" s="331">
        <v>0</v>
      </c>
      <c r="U8456" s="328">
        <f>VLOOKUP(C8456,METADATA!$J$5:$Q$29,IF(E8456="HI",2,IF(E8456="LO",6,10))+IF(T8456=1,2,IF(D8456=7,1,(IF(WEEKDAY(B8456)=1,2,IF(WEEKDAY(B8456)=7,1,0))))))</f>
        <v>3</v>
      </c>
      <c r="V8456" s="328">
        <f>VLOOKUP(C8456,METADATA!$A$5:$H$29,IF(E8456="HI",2,IF(E8456="LO",6,10))+IF(T8456=1,2,IF(D8456=7,1,(IF(WEEKDAY(B8456)=1,2,IF(WEEKDAY(B8456)=7,1,0))))))</f>
        <v>3</v>
      </c>
    </row>
    <row r="8457" spans="2:22">
      <c r="B8457" s="318">
        <f t="shared" si="527"/>
        <v>46465</v>
      </c>
      <c r="C8457" s="312">
        <v>5</v>
      </c>
      <c r="D8457" s="368">
        <f>IFERROR((INDEX(METADATA!$T$2:$T$20,MATCH(B8457,METADATA!$S$2:$S$20,0))),0)</f>
        <v>0</v>
      </c>
      <c r="E8457" s="312" t="str">
        <f t="shared" si="528"/>
        <v>LO</v>
      </c>
      <c r="F8457" s="369">
        <f>VLOOKUP(C8457,METADATA!$A$5:$H$29,IF(E8457="HI",2,IF(E8457="LO",6,10))+IF(D8457=1,2,IF(D8457=7,1,(IF(WEEKDAY(B8457)=1,2,IF(WEEKDAY(B8457)=7,1,0))))))</f>
        <v>3</v>
      </c>
      <c r="G8457" s="369">
        <f>VLOOKUP(C8457,METADATA!$J$5:$Q$29,IF(E8457="HI",2,IF(E8457="LO",6,10))+IF(D8457=1,2,IF(D8457=7,1,(IF(WEEKDAY(B8457)=1,2,IF(WEEKDAY(B8457)=7,1,0))))))</f>
        <v>3</v>
      </c>
      <c r="H8457" s="370">
        <v>12616.649780273438</v>
      </c>
      <c r="I8457" s="370">
        <v>3639.4550170898438</v>
      </c>
      <c r="M8457" s="371">
        <f t="shared" si="529"/>
        <v>13131.088473523214</v>
      </c>
      <c r="N8457" s="329">
        <f t="shared" si="530"/>
        <v>0</v>
      </c>
      <c r="T8457" s="331">
        <v>0</v>
      </c>
      <c r="U8457" s="328">
        <f>VLOOKUP(C8457,METADATA!$J$5:$Q$29,IF(E8457="HI",2,IF(E8457="LO",6,10))+IF(T8457=1,2,IF(D8457=7,1,(IF(WEEKDAY(B8457)=1,2,IF(WEEKDAY(B8457)=7,1,0))))))</f>
        <v>3</v>
      </c>
      <c r="V8457" s="328">
        <f>VLOOKUP(C8457,METADATA!$A$5:$H$29,IF(E8457="HI",2,IF(E8457="LO",6,10))+IF(T8457=1,2,IF(D8457=7,1,(IF(WEEKDAY(B8457)=1,2,IF(WEEKDAY(B8457)=7,1,0))))))</f>
        <v>3</v>
      </c>
    </row>
    <row r="8458" spans="2:22">
      <c r="B8458" s="318">
        <f t="shared" si="527"/>
        <v>46465</v>
      </c>
      <c r="C8458" s="312">
        <v>6</v>
      </c>
      <c r="D8458" s="368">
        <f>IFERROR((INDEX(METADATA!$T$2:$T$20,MATCH(B8458,METADATA!$S$2:$S$20,0))),0)</f>
        <v>0</v>
      </c>
      <c r="E8458" s="312" t="str">
        <f t="shared" si="528"/>
        <v>LO</v>
      </c>
      <c r="F8458" s="369">
        <f>VLOOKUP(C8458,METADATA!$A$5:$H$29,IF(E8458="HI",2,IF(E8458="LO",6,10))+IF(D8458=1,2,IF(D8458=7,1,(IF(WEEKDAY(B8458)=1,2,IF(WEEKDAY(B8458)=7,1,0))))))</f>
        <v>2</v>
      </c>
      <c r="G8458" s="369">
        <f>VLOOKUP(C8458,METADATA!$J$5:$Q$29,IF(E8458="HI",2,IF(E8458="LO",6,10))+IF(D8458=1,2,IF(D8458=7,1,(IF(WEEKDAY(B8458)=1,2,IF(WEEKDAY(B8458)=7,1,0))))))</f>
        <v>2</v>
      </c>
      <c r="H8458" s="370">
        <v>12586.774719238281</v>
      </c>
      <c r="I8458" s="370">
        <v>3597.8049926757813</v>
      </c>
      <c r="M8458" s="371">
        <f t="shared" si="529"/>
        <v>13090.878450210233</v>
      </c>
      <c r="N8458" s="329">
        <f t="shared" si="530"/>
        <v>0</v>
      </c>
      <c r="T8458" s="331">
        <v>0</v>
      </c>
      <c r="U8458" s="328">
        <f>VLOOKUP(C8458,METADATA!$J$5:$Q$29,IF(E8458="HI",2,IF(E8458="LO",6,10))+IF(T8458=1,2,IF(D8458=7,1,(IF(WEEKDAY(B8458)=1,2,IF(WEEKDAY(B8458)=7,1,0))))))</f>
        <v>2</v>
      </c>
      <c r="V8458" s="328">
        <f>VLOOKUP(C8458,METADATA!$A$5:$H$29,IF(E8458="HI",2,IF(E8458="LO",6,10))+IF(T8458=1,2,IF(D8458=7,1,(IF(WEEKDAY(B8458)=1,2,IF(WEEKDAY(B8458)=7,1,0))))))</f>
        <v>2</v>
      </c>
    </row>
    <row r="8459" spans="2:22">
      <c r="B8459" s="318">
        <f t="shared" si="527"/>
        <v>46465</v>
      </c>
      <c r="C8459" s="312">
        <v>7</v>
      </c>
      <c r="D8459" s="368">
        <f>IFERROR((INDEX(METADATA!$T$2:$T$20,MATCH(B8459,METADATA!$S$2:$S$20,0))),0)</f>
        <v>0</v>
      </c>
      <c r="E8459" s="312" t="str">
        <f t="shared" si="528"/>
        <v>LO</v>
      </c>
      <c r="F8459" s="369">
        <f>VLOOKUP(C8459,METADATA!$A$5:$H$29,IF(E8459="HI",2,IF(E8459="LO",6,10))+IF(D8459=1,2,IF(D8459=7,1,(IF(WEEKDAY(B8459)=1,2,IF(WEEKDAY(B8459)=7,1,0))))))</f>
        <v>1</v>
      </c>
      <c r="G8459" s="369">
        <f>VLOOKUP(C8459,METADATA!$J$5:$Q$29,IF(E8459="HI",2,IF(E8459="LO",6,10))+IF(D8459=1,2,IF(D8459=7,1,(IF(WEEKDAY(B8459)=1,2,IF(WEEKDAY(B8459)=7,1,0))))))</f>
        <v>1</v>
      </c>
      <c r="H8459" s="370">
        <v>12635.874938964844</v>
      </c>
      <c r="I8459" s="370">
        <v>3571.9500427246094</v>
      </c>
      <c r="M8459" s="371">
        <f t="shared" si="529"/>
        <v>13131.038137972189</v>
      </c>
      <c r="N8459" s="329">
        <f t="shared" si="530"/>
        <v>0</v>
      </c>
      <c r="T8459" s="331">
        <v>0</v>
      </c>
      <c r="U8459" s="328">
        <f>VLOOKUP(C8459,METADATA!$J$5:$Q$29,IF(E8459="HI",2,IF(E8459="LO",6,10))+IF(T8459=1,2,IF(D8459=7,1,(IF(WEEKDAY(B8459)=1,2,IF(WEEKDAY(B8459)=7,1,0))))))</f>
        <v>1</v>
      </c>
      <c r="V8459" s="328">
        <f>VLOOKUP(C8459,METADATA!$A$5:$H$29,IF(E8459="HI",2,IF(E8459="LO",6,10))+IF(T8459=1,2,IF(D8459=7,1,(IF(WEEKDAY(B8459)=1,2,IF(WEEKDAY(B8459)=7,1,0))))))</f>
        <v>1</v>
      </c>
    </row>
    <row r="8460" spans="2:22">
      <c r="B8460" s="318">
        <f t="shared" si="527"/>
        <v>46465</v>
      </c>
      <c r="C8460" s="312">
        <v>8</v>
      </c>
      <c r="D8460" s="368">
        <f>IFERROR((INDEX(METADATA!$T$2:$T$20,MATCH(B8460,METADATA!$S$2:$S$20,0))),0)</f>
        <v>0</v>
      </c>
      <c r="E8460" s="312" t="str">
        <f t="shared" si="528"/>
        <v>LO</v>
      </c>
      <c r="F8460" s="369">
        <f>VLOOKUP(C8460,METADATA!$A$5:$H$29,IF(E8460="HI",2,IF(E8460="LO",6,10))+IF(D8460=1,2,IF(D8460=7,1,(IF(WEEKDAY(B8460)=1,2,IF(WEEKDAY(B8460)=7,1,0))))))</f>
        <v>1</v>
      </c>
      <c r="G8460" s="369">
        <f>VLOOKUP(C8460,METADATA!$J$5:$Q$29,IF(E8460="HI",2,IF(E8460="LO",6,10))+IF(D8460=1,2,IF(D8460=7,1,(IF(WEEKDAY(B8460)=1,2,IF(WEEKDAY(B8460)=7,1,0))))))</f>
        <v>1</v>
      </c>
      <c r="H8460" s="370">
        <v>12571.14990234375</v>
      </c>
      <c r="I8460" s="370">
        <v>3447.1250305175781</v>
      </c>
      <c r="M8460" s="371">
        <f t="shared" si="529"/>
        <v>13035.201603474266</v>
      </c>
      <c r="N8460" s="329">
        <f t="shared" si="530"/>
        <v>0</v>
      </c>
      <c r="T8460" s="331">
        <v>0</v>
      </c>
      <c r="U8460" s="328">
        <f>VLOOKUP(C8460,METADATA!$J$5:$Q$29,IF(E8460="HI",2,IF(E8460="LO",6,10))+IF(T8460=1,2,IF(D8460=7,1,(IF(WEEKDAY(B8460)=1,2,IF(WEEKDAY(B8460)=7,1,0))))))</f>
        <v>1</v>
      </c>
      <c r="V8460" s="328">
        <f>VLOOKUP(C8460,METADATA!$A$5:$H$29,IF(E8460="HI",2,IF(E8460="LO",6,10))+IF(T8460=1,2,IF(D8460=7,1,(IF(WEEKDAY(B8460)=1,2,IF(WEEKDAY(B8460)=7,1,0))))))</f>
        <v>1</v>
      </c>
    </row>
    <row r="8461" spans="2:22">
      <c r="B8461" s="318">
        <f t="shared" si="527"/>
        <v>46465</v>
      </c>
      <c r="C8461" s="312">
        <v>9</v>
      </c>
      <c r="D8461" s="368">
        <f>IFERROR((INDEX(METADATA!$T$2:$T$20,MATCH(B8461,METADATA!$S$2:$S$20,0))),0)</f>
        <v>0</v>
      </c>
      <c r="E8461" s="312" t="str">
        <f t="shared" si="528"/>
        <v>LO</v>
      </c>
      <c r="F8461" s="369">
        <f>VLOOKUP(C8461,METADATA!$A$5:$H$29,IF(E8461="HI",2,IF(E8461="LO",6,10))+IF(D8461=1,2,IF(D8461=7,1,(IF(WEEKDAY(B8461)=1,2,IF(WEEKDAY(B8461)=7,1,0))))))</f>
        <v>2</v>
      </c>
      <c r="G8461" s="369">
        <f>VLOOKUP(C8461,METADATA!$J$5:$Q$29,IF(E8461="HI",2,IF(E8461="LO",6,10))+IF(D8461=1,2,IF(D8461=7,1,(IF(WEEKDAY(B8461)=1,2,IF(WEEKDAY(B8461)=7,1,0))))))</f>
        <v>2</v>
      </c>
      <c r="H8461" s="370">
        <v>12539.549865722656</v>
      </c>
      <c r="I8461" s="370">
        <v>3488.2300415039063</v>
      </c>
      <c r="M8461" s="371">
        <f t="shared" si="529"/>
        <v>13015.685139761004</v>
      </c>
      <c r="N8461" s="329">
        <f t="shared" si="530"/>
        <v>0</v>
      </c>
      <c r="T8461" s="331">
        <v>0</v>
      </c>
      <c r="U8461" s="328">
        <f>VLOOKUP(C8461,METADATA!$J$5:$Q$29,IF(E8461="HI",2,IF(E8461="LO",6,10))+IF(T8461=1,2,IF(D8461=7,1,(IF(WEEKDAY(B8461)=1,2,IF(WEEKDAY(B8461)=7,1,0))))))</f>
        <v>2</v>
      </c>
      <c r="V8461" s="328">
        <f>VLOOKUP(C8461,METADATA!$A$5:$H$29,IF(E8461="HI",2,IF(E8461="LO",6,10))+IF(T8461=1,2,IF(D8461=7,1,(IF(WEEKDAY(B8461)=1,2,IF(WEEKDAY(B8461)=7,1,0))))))</f>
        <v>2</v>
      </c>
    </row>
    <row r="8462" spans="2:22">
      <c r="B8462" s="318">
        <f t="shared" si="527"/>
        <v>46465</v>
      </c>
      <c r="C8462" s="312">
        <v>10</v>
      </c>
      <c r="D8462" s="368">
        <f>IFERROR((INDEX(METADATA!$T$2:$T$20,MATCH(B8462,METADATA!$S$2:$S$20,0))),0)</f>
        <v>0</v>
      </c>
      <c r="E8462" s="312" t="str">
        <f t="shared" si="528"/>
        <v>LO</v>
      </c>
      <c r="F8462" s="369">
        <f>VLOOKUP(C8462,METADATA!$A$5:$H$29,IF(E8462="HI",2,IF(E8462="LO",6,10))+IF(D8462=1,2,IF(D8462=7,1,(IF(WEEKDAY(B8462)=1,2,IF(WEEKDAY(B8462)=7,1,0))))))</f>
        <v>2</v>
      </c>
      <c r="G8462" s="369">
        <f>VLOOKUP(C8462,METADATA!$J$5:$Q$29,IF(E8462="HI",2,IF(E8462="LO",6,10))+IF(D8462=1,2,IF(D8462=7,1,(IF(WEEKDAY(B8462)=1,2,IF(WEEKDAY(B8462)=7,1,0))))))</f>
        <v>2</v>
      </c>
      <c r="H8462" s="370">
        <v>12747.099914550781</v>
      </c>
      <c r="I8462" s="370">
        <v>3701.550048828125</v>
      </c>
      <c r="M8462" s="371">
        <f t="shared" si="529"/>
        <v>13273.659216490381</v>
      </c>
      <c r="N8462" s="329">
        <f t="shared" si="530"/>
        <v>0</v>
      </c>
      <c r="T8462" s="331">
        <v>0</v>
      </c>
      <c r="U8462" s="328">
        <f>VLOOKUP(C8462,METADATA!$J$5:$Q$29,IF(E8462="HI",2,IF(E8462="LO",6,10))+IF(T8462=1,2,IF(D8462=7,1,(IF(WEEKDAY(B8462)=1,2,IF(WEEKDAY(B8462)=7,1,0))))))</f>
        <v>2</v>
      </c>
      <c r="V8462" s="328">
        <f>VLOOKUP(C8462,METADATA!$A$5:$H$29,IF(E8462="HI",2,IF(E8462="LO",6,10))+IF(T8462=1,2,IF(D8462=7,1,(IF(WEEKDAY(B8462)=1,2,IF(WEEKDAY(B8462)=7,1,0))))))</f>
        <v>2</v>
      </c>
    </row>
    <row r="8463" spans="2:22">
      <c r="B8463" s="318">
        <f t="shared" si="527"/>
        <v>46465</v>
      </c>
      <c r="C8463" s="312">
        <v>11</v>
      </c>
      <c r="D8463" s="368">
        <f>IFERROR((INDEX(METADATA!$T$2:$T$20,MATCH(B8463,METADATA!$S$2:$S$20,0))),0)</f>
        <v>0</v>
      </c>
      <c r="E8463" s="312" t="str">
        <f t="shared" si="528"/>
        <v>LO</v>
      </c>
      <c r="F8463" s="369">
        <f>VLOOKUP(C8463,METADATA!$A$5:$H$29,IF(E8463="HI",2,IF(E8463="LO",6,10))+IF(D8463=1,2,IF(D8463=7,1,(IF(WEEKDAY(B8463)=1,2,IF(WEEKDAY(B8463)=7,1,0))))))</f>
        <v>2</v>
      </c>
      <c r="G8463" s="369">
        <f>VLOOKUP(C8463,METADATA!$J$5:$Q$29,IF(E8463="HI",2,IF(E8463="LO",6,10))+IF(D8463=1,2,IF(D8463=7,1,(IF(WEEKDAY(B8463)=1,2,IF(WEEKDAY(B8463)=7,1,0))))))</f>
        <v>2</v>
      </c>
      <c r="H8463" s="370">
        <v>12856.425109863281</v>
      </c>
      <c r="I8463" s="370">
        <v>3807.56494140625</v>
      </c>
      <c r="M8463" s="371">
        <f t="shared" si="529"/>
        <v>13408.401000438085</v>
      </c>
      <c r="N8463" s="329">
        <f t="shared" si="530"/>
        <v>0</v>
      </c>
      <c r="T8463" s="331">
        <v>0</v>
      </c>
      <c r="U8463" s="328">
        <f>VLOOKUP(C8463,METADATA!$J$5:$Q$29,IF(E8463="HI",2,IF(E8463="LO",6,10))+IF(T8463=1,2,IF(D8463=7,1,(IF(WEEKDAY(B8463)=1,2,IF(WEEKDAY(B8463)=7,1,0))))))</f>
        <v>2</v>
      </c>
      <c r="V8463" s="328">
        <f>VLOOKUP(C8463,METADATA!$A$5:$H$29,IF(E8463="HI",2,IF(E8463="LO",6,10))+IF(T8463=1,2,IF(D8463=7,1,(IF(WEEKDAY(B8463)=1,2,IF(WEEKDAY(B8463)=7,1,0))))))</f>
        <v>2</v>
      </c>
    </row>
    <row r="8464" spans="2:22">
      <c r="B8464" s="318">
        <f t="shared" si="527"/>
        <v>46465</v>
      </c>
      <c r="C8464" s="312">
        <v>12</v>
      </c>
      <c r="D8464" s="368">
        <f>IFERROR((INDEX(METADATA!$T$2:$T$20,MATCH(B8464,METADATA!$S$2:$S$20,0))),0)</f>
        <v>0</v>
      </c>
      <c r="E8464" s="312" t="str">
        <f t="shared" si="528"/>
        <v>LO</v>
      </c>
      <c r="F8464" s="369">
        <f>VLOOKUP(C8464,METADATA!$A$5:$H$29,IF(E8464="HI",2,IF(E8464="LO",6,10))+IF(D8464=1,2,IF(D8464=7,1,(IF(WEEKDAY(B8464)=1,2,IF(WEEKDAY(B8464)=7,1,0))))))</f>
        <v>2</v>
      </c>
      <c r="G8464" s="369">
        <f>VLOOKUP(C8464,METADATA!$J$5:$Q$29,IF(E8464="HI",2,IF(E8464="LO",6,10))+IF(D8464=1,2,IF(D8464=7,1,(IF(WEEKDAY(B8464)=1,2,IF(WEEKDAY(B8464)=7,1,0))))))</f>
        <v>2</v>
      </c>
      <c r="H8464" s="370">
        <v>12724.974731445313</v>
      </c>
      <c r="I8464" s="370">
        <v>3716.8099517822266</v>
      </c>
      <c r="M8464" s="371">
        <f t="shared" si="529"/>
        <v>13256.683526945535</v>
      </c>
      <c r="N8464" s="329">
        <f t="shared" si="530"/>
        <v>0</v>
      </c>
      <c r="T8464" s="331">
        <v>0</v>
      </c>
      <c r="U8464" s="328">
        <f>VLOOKUP(C8464,METADATA!$J$5:$Q$29,IF(E8464="HI",2,IF(E8464="LO",6,10))+IF(T8464=1,2,IF(D8464=7,1,(IF(WEEKDAY(B8464)=1,2,IF(WEEKDAY(B8464)=7,1,0))))))</f>
        <v>2</v>
      </c>
      <c r="V8464" s="328">
        <f>VLOOKUP(C8464,METADATA!$A$5:$H$29,IF(E8464="HI",2,IF(E8464="LO",6,10))+IF(T8464=1,2,IF(D8464=7,1,(IF(WEEKDAY(B8464)=1,2,IF(WEEKDAY(B8464)=7,1,0))))))</f>
        <v>2</v>
      </c>
    </row>
    <row r="8465" spans="2:22">
      <c r="B8465" s="318">
        <f t="shared" si="527"/>
        <v>46465</v>
      </c>
      <c r="C8465" s="312">
        <v>13</v>
      </c>
      <c r="D8465" s="368">
        <f>IFERROR((INDEX(METADATA!$T$2:$T$20,MATCH(B8465,METADATA!$S$2:$S$20,0))),0)</f>
        <v>0</v>
      </c>
      <c r="E8465" s="312" t="str">
        <f t="shared" si="528"/>
        <v>LO</v>
      </c>
      <c r="F8465" s="369">
        <f>VLOOKUP(C8465,METADATA!$A$5:$H$29,IF(E8465="HI",2,IF(E8465="LO",6,10))+IF(D8465=1,2,IF(D8465=7,1,(IF(WEEKDAY(B8465)=1,2,IF(WEEKDAY(B8465)=7,1,0))))))</f>
        <v>2</v>
      </c>
      <c r="G8465" s="369">
        <f>VLOOKUP(C8465,METADATA!$J$5:$Q$29,IF(E8465="HI",2,IF(E8465="LO",6,10))+IF(D8465=1,2,IF(D8465=7,1,(IF(WEEKDAY(B8465)=1,2,IF(WEEKDAY(B8465)=7,1,0))))))</f>
        <v>2</v>
      </c>
      <c r="H8465" s="370">
        <v>12769.850036621094</v>
      </c>
      <c r="I8465" s="370">
        <v>3754.6651000976563</v>
      </c>
      <c r="M8465" s="371">
        <f t="shared" si="529"/>
        <v>13310.393682069778</v>
      </c>
      <c r="N8465" s="329">
        <f t="shared" si="530"/>
        <v>0</v>
      </c>
      <c r="T8465" s="331">
        <v>0</v>
      </c>
      <c r="U8465" s="328">
        <f>VLOOKUP(C8465,METADATA!$J$5:$Q$29,IF(E8465="HI",2,IF(E8465="LO",6,10))+IF(T8465=1,2,IF(D8465=7,1,(IF(WEEKDAY(B8465)=1,2,IF(WEEKDAY(B8465)=7,1,0))))))</f>
        <v>2</v>
      </c>
      <c r="V8465" s="328">
        <f>VLOOKUP(C8465,METADATA!$A$5:$H$29,IF(E8465="HI",2,IF(E8465="LO",6,10))+IF(T8465=1,2,IF(D8465=7,1,(IF(WEEKDAY(B8465)=1,2,IF(WEEKDAY(B8465)=7,1,0))))))</f>
        <v>2</v>
      </c>
    </row>
    <row r="8466" spans="2:22">
      <c r="B8466" s="318">
        <f t="shared" si="527"/>
        <v>46465</v>
      </c>
      <c r="C8466" s="312">
        <v>14</v>
      </c>
      <c r="D8466" s="368">
        <f>IFERROR((INDEX(METADATA!$T$2:$T$20,MATCH(B8466,METADATA!$S$2:$S$20,0))),0)</f>
        <v>0</v>
      </c>
      <c r="E8466" s="312" t="str">
        <f t="shared" si="528"/>
        <v>LO</v>
      </c>
      <c r="F8466" s="369">
        <f>VLOOKUP(C8466,METADATA!$A$5:$H$29,IF(E8466="HI",2,IF(E8466="LO",6,10))+IF(D8466=1,2,IF(D8466=7,1,(IF(WEEKDAY(B8466)=1,2,IF(WEEKDAY(B8466)=7,1,0))))))</f>
        <v>2</v>
      </c>
      <c r="G8466" s="369">
        <f>VLOOKUP(C8466,METADATA!$J$5:$Q$29,IF(E8466="HI",2,IF(E8466="LO",6,10))+IF(D8466=1,2,IF(D8466=7,1,(IF(WEEKDAY(B8466)=1,2,IF(WEEKDAY(B8466)=7,1,0))))))</f>
        <v>2</v>
      </c>
      <c r="H8466" s="370">
        <v>12766.324768066406</v>
      </c>
      <c r="I8466" s="370">
        <v>3862.8150329589844</v>
      </c>
      <c r="M8466" s="371">
        <f t="shared" si="529"/>
        <v>13337.93042651669</v>
      </c>
      <c r="N8466" s="329">
        <f t="shared" si="530"/>
        <v>32.9176025390625</v>
      </c>
      <c r="T8466" s="331">
        <v>0</v>
      </c>
      <c r="U8466" s="328">
        <f>VLOOKUP(C8466,METADATA!$J$5:$Q$29,IF(E8466="HI",2,IF(E8466="LO",6,10))+IF(T8466=1,2,IF(D8466=7,1,(IF(WEEKDAY(B8466)=1,2,IF(WEEKDAY(B8466)=7,1,0))))))</f>
        <v>2</v>
      </c>
      <c r="V8466" s="328">
        <f>VLOOKUP(C8466,METADATA!$A$5:$H$29,IF(E8466="HI",2,IF(E8466="LO",6,10))+IF(T8466=1,2,IF(D8466=7,1,(IF(WEEKDAY(B8466)=1,2,IF(WEEKDAY(B8466)=7,1,0))))))</f>
        <v>2</v>
      </c>
    </row>
    <row r="8467" spans="2:22">
      <c r="B8467" s="318">
        <f t="shared" si="527"/>
        <v>46465</v>
      </c>
      <c r="C8467" s="312">
        <v>15</v>
      </c>
      <c r="D8467" s="368">
        <f>IFERROR((INDEX(METADATA!$T$2:$T$20,MATCH(B8467,METADATA!$S$2:$S$20,0))),0)</f>
        <v>0</v>
      </c>
      <c r="E8467" s="312" t="str">
        <f t="shared" si="528"/>
        <v>LO</v>
      </c>
      <c r="F8467" s="369">
        <f>VLOOKUP(C8467,METADATA!$A$5:$H$29,IF(E8467="HI",2,IF(E8467="LO",6,10))+IF(D8467=1,2,IF(D8467=7,1,(IF(WEEKDAY(B8467)=1,2,IF(WEEKDAY(B8467)=7,1,0))))))</f>
        <v>2</v>
      </c>
      <c r="G8467" s="369">
        <f>VLOOKUP(C8467,METADATA!$J$5:$Q$29,IF(E8467="HI",2,IF(E8467="LO",6,10))+IF(D8467=1,2,IF(D8467=7,1,(IF(WEEKDAY(B8467)=1,2,IF(WEEKDAY(B8467)=7,1,0))))))</f>
        <v>2</v>
      </c>
      <c r="H8467" s="370">
        <v>12845.099853515625</v>
      </c>
      <c r="I8467" s="370">
        <v>3894.6799926757813</v>
      </c>
      <c r="M8467" s="371">
        <f t="shared" si="529"/>
        <v>13422.560206314447</v>
      </c>
      <c r="N8467" s="329">
        <f t="shared" si="530"/>
        <v>41.150036621093932</v>
      </c>
      <c r="T8467" s="331">
        <v>0</v>
      </c>
      <c r="U8467" s="328">
        <f>VLOOKUP(C8467,METADATA!$J$5:$Q$29,IF(E8467="HI",2,IF(E8467="LO",6,10))+IF(T8467=1,2,IF(D8467=7,1,(IF(WEEKDAY(B8467)=1,2,IF(WEEKDAY(B8467)=7,1,0))))))</f>
        <v>2</v>
      </c>
      <c r="V8467" s="328">
        <f>VLOOKUP(C8467,METADATA!$A$5:$H$29,IF(E8467="HI",2,IF(E8467="LO",6,10))+IF(T8467=1,2,IF(D8467=7,1,(IF(WEEKDAY(B8467)=1,2,IF(WEEKDAY(B8467)=7,1,0))))))</f>
        <v>2</v>
      </c>
    </row>
    <row r="8468" spans="2:22">
      <c r="B8468" s="318">
        <f t="shared" si="527"/>
        <v>46465</v>
      </c>
      <c r="C8468" s="312">
        <v>16</v>
      </c>
      <c r="D8468" s="368">
        <f>IFERROR((INDEX(METADATA!$T$2:$T$20,MATCH(B8468,METADATA!$S$2:$S$20,0))),0)</f>
        <v>0</v>
      </c>
      <c r="E8468" s="312" t="str">
        <f t="shared" si="528"/>
        <v>LO</v>
      </c>
      <c r="F8468" s="369">
        <f>VLOOKUP(C8468,METADATA!$A$5:$H$29,IF(E8468="HI",2,IF(E8468="LO",6,10))+IF(D8468=1,2,IF(D8468=7,1,(IF(WEEKDAY(B8468)=1,2,IF(WEEKDAY(B8468)=7,1,0))))))</f>
        <v>2</v>
      </c>
      <c r="G8468" s="369">
        <f>VLOOKUP(C8468,METADATA!$J$5:$Q$29,IF(E8468="HI",2,IF(E8468="LO",6,10))+IF(D8468=1,2,IF(D8468=7,1,(IF(WEEKDAY(B8468)=1,2,IF(WEEKDAY(B8468)=7,1,0))))))</f>
        <v>2</v>
      </c>
      <c r="H8468" s="370">
        <v>12855.199829101563</v>
      </c>
      <c r="I8468" s="370">
        <v>3842.6799621582031</v>
      </c>
      <c r="M8468" s="371">
        <f t="shared" si="529"/>
        <v>13417.240846675779</v>
      </c>
      <c r="N8468" s="329">
        <f t="shared" si="530"/>
        <v>0</v>
      </c>
      <c r="T8468" s="331">
        <v>0</v>
      </c>
      <c r="U8468" s="328">
        <f>VLOOKUP(C8468,METADATA!$J$5:$Q$29,IF(E8468="HI",2,IF(E8468="LO",6,10))+IF(T8468=1,2,IF(D8468=7,1,(IF(WEEKDAY(B8468)=1,2,IF(WEEKDAY(B8468)=7,1,0))))))</f>
        <v>2</v>
      </c>
      <c r="V8468" s="328">
        <f>VLOOKUP(C8468,METADATA!$A$5:$H$29,IF(E8468="HI",2,IF(E8468="LO",6,10))+IF(T8468=1,2,IF(D8468=7,1,(IF(WEEKDAY(B8468)=1,2,IF(WEEKDAY(B8468)=7,1,0))))))</f>
        <v>2</v>
      </c>
    </row>
    <row r="8469" spans="2:22">
      <c r="B8469" s="318">
        <f t="shared" si="527"/>
        <v>46465</v>
      </c>
      <c r="C8469" s="312">
        <v>17</v>
      </c>
      <c r="D8469" s="368">
        <f>IFERROR((INDEX(METADATA!$T$2:$T$20,MATCH(B8469,METADATA!$S$2:$S$20,0))),0)</f>
        <v>0</v>
      </c>
      <c r="E8469" s="312" t="str">
        <f t="shared" si="528"/>
        <v>LO</v>
      </c>
      <c r="F8469" s="369">
        <f>VLOOKUP(C8469,METADATA!$A$5:$H$29,IF(E8469="HI",2,IF(E8469="LO",6,10))+IF(D8469=1,2,IF(D8469=7,1,(IF(WEEKDAY(B8469)=1,2,IF(WEEKDAY(B8469)=7,1,0))))))</f>
        <v>2</v>
      </c>
      <c r="G8469" s="369">
        <f>VLOOKUP(C8469,METADATA!$J$5:$Q$29,IF(E8469="HI",2,IF(E8469="LO",6,10))+IF(D8469=1,2,IF(D8469=7,1,(IF(WEEKDAY(B8469)=1,2,IF(WEEKDAY(B8469)=7,1,0))))))</f>
        <v>2</v>
      </c>
      <c r="H8469" s="370">
        <v>12813.22509765625</v>
      </c>
      <c r="I8469" s="370">
        <v>3853.6250305175781</v>
      </c>
      <c r="M8469" s="371">
        <f t="shared" si="529"/>
        <v>13380.177998780122</v>
      </c>
      <c r="N8469" s="329">
        <f t="shared" si="530"/>
        <v>9.657501220703125</v>
      </c>
      <c r="T8469" s="331">
        <v>0</v>
      </c>
      <c r="U8469" s="328">
        <f>VLOOKUP(C8469,METADATA!$J$5:$Q$29,IF(E8469="HI",2,IF(E8469="LO",6,10))+IF(T8469=1,2,IF(D8469=7,1,(IF(WEEKDAY(B8469)=1,2,IF(WEEKDAY(B8469)=7,1,0))))))</f>
        <v>2</v>
      </c>
      <c r="V8469" s="328">
        <f>VLOOKUP(C8469,METADATA!$A$5:$H$29,IF(E8469="HI",2,IF(E8469="LO",6,10))+IF(T8469=1,2,IF(D8469=7,1,(IF(WEEKDAY(B8469)=1,2,IF(WEEKDAY(B8469)=7,1,0))))))</f>
        <v>2</v>
      </c>
    </row>
    <row r="8470" spans="2:22">
      <c r="B8470" s="318">
        <f t="shared" si="527"/>
        <v>46465</v>
      </c>
      <c r="C8470" s="312">
        <v>18</v>
      </c>
      <c r="D8470" s="368">
        <f>IFERROR((INDEX(METADATA!$T$2:$T$20,MATCH(B8470,METADATA!$S$2:$S$20,0))),0)</f>
        <v>0</v>
      </c>
      <c r="E8470" s="312" t="str">
        <f t="shared" si="528"/>
        <v>LO</v>
      </c>
      <c r="F8470" s="369">
        <f>VLOOKUP(C8470,METADATA!$A$5:$H$29,IF(E8470="HI",2,IF(E8470="LO",6,10))+IF(D8470=1,2,IF(D8470=7,1,(IF(WEEKDAY(B8470)=1,2,IF(WEEKDAY(B8470)=7,1,0))))))</f>
        <v>1</v>
      </c>
      <c r="G8470" s="369">
        <f>VLOOKUP(C8470,METADATA!$J$5:$Q$29,IF(E8470="HI",2,IF(E8470="LO",6,10))+IF(D8470=1,2,IF(D8470=7,1,(IF(WEEKDAY(B8470)=1,2,IF(WEEKDAY(B8470)=7,1,0))))))</f>
        <v>1</v>
      </c>
      <c r="H8470" s="370">
        <v>12997.225280761719</v>
      </c>
      <c r="I8470" s="370">
        <v>3976.2099609375</v>
      </c>
      <c r="M8470" s="371">
        <f t="shared" si="529"/>
        <v>13591.839855307673</v>
      </c>
      <c r="N8470" s="329">
        <f t="shared" si="530"/>
        <v>77.042376708984648</v>
      </c>
      <c r="T8470" s="331">
        <v>0</v>
      </c>
      <c r="U8470" s="328">
        <f>VLOOKUP(C8470,METADATA!$J$5:$Q$29,IF(E8470="HI",2,IF(E8470="LO",6,10))+IF(T8470=1,2,IF(D8470=7,1,(IF(WEEKDAY(B8470)=1,2,IF(WEEKDAY(B8470)=7,1,0))))))</f>
        <v>1</v>
      </c>
      <c r="V8470" s="328">
        <f>VLOOKUP(C8470,METADATA!$A$5:$H$29,IF(E8470="HI",2,IF(E8470="LO",6,10))+IF(T8470=1,2,IF(D8470=7,1,(IF(WEEKDAY(B8470)=1,2,IF(WEEKDAY(B8470)=7,1,0))))))</f>
        <v>1</v>
      </c>
    </row>
    <row r="8471" spans="2:22">
      <c r="B8471" s="318">
        <f t="shared" si="527"/>
        <v>46465</v>
      </c>
      <c r="C8471" s="312">
        <v>19</v>
      </c>
      <c r="D8471" s="368">
        <f>IFERROR((INDEX(METADATA!$T$2:$T$20,MATCH(B8471,METADATA!$S$2:$S$20,0))),0)</f>
        <v>0</v>
      </c>
      <c r="E8471" s="312" t="str">
        <f t="shared" si="528"/>
        <v>LO</v>
      </c>
      <c r="F8471" s="369">
        <f>VLOOKUP(C8471,METADATA!$A$5:$H$29,IF(E8471="HI",2,IF(E8471="LO",6,10))+IF(D8471=1,2,IF(D8471=7,1,(IF(WEEKDAY(B8471)=1,2,IF(WEEKDAY(B8471)=7,1,0))))))</f>
        <v>1</v>
      </c>
      <c r="G8471" s="369">
        <f>VLOOKUP(C8471,METADATA!$J$5:$Q$29,IF(E8471="HI",2,IF(E8471="LO",6,10))+IF(D8471=1,2,IF(D8471=7,1,(IF(WEEKDAY(B8471)=1,2,IF(WEEKDAY(B8471)=7,1,0))))))</f>
        <v>1</v>
      </c>
      <c r="H8471" s="370">
        <v>13149.349731445313</v>
      </c>
      <c r="I8471" s="370">
        <v>3997.0749816894531</v>
      </c>
      <c r="M8471" s="371">
        <f t="shared" si="529"/>
        <v>13743.435042561545</v>
      </c>
      <c r="N8471" s="329">
        <f t="shared" si="530"/>
        <v>52.270062255859557</v>
      </c>
      <c r="T8471" s="331">
        <v>0</v>
      </c>
      <c r="U8471" s="328">
        <f>VLOOKUP(C8471,METADATA!$J$5:$Q$29,IF(E8471="HI",2,IF(E8471="LO",6,10))+IF(T8471=1,2,IF(D8471=7,1,(IF(WEEKDAY(B8471)=1,2,IF(WEEKDAY(B8471)=7,1,0))))))</f>
        <v>1</v>
      </c>
      <c r="V8471" s="328">
        <f>VLOOKUP(C8471,METADATA!$A$5:$H$29,IF(E8471="HI",2,IF(E8471="LO",6,10))+IF(T8471=1,2,IF(D8471=7,1,(IF(WEEKDAY(B8471)=1,2,IF(WEEKDAY(B8471)=7,1,0))))))</f>
        <v>1</v>
      </c>
    </row>
    <row r="8472" spans="2:22">
      <c r="B8472" s="318">
        <f t="shared" si="527"/>
        <v>46465</v>
      </c>
      <c r="C8472" s="312">
        <v>20</v>
      </c>
      <c r="D8472" s="368">
        <f>IFERROR((INDEX(METADATA!$T$2:$T$20,MATCH(B8472,METADATA!$S$2:$S$20,0))),0)</f>
        <v>0</v>
      </c>
      <c r="E8472" s="312" t="str">
        <f t="shared" si="528"/>
        <v>LO</v>
      </c>
      <c r="F8472" s="369">
        <f>VLOOKUP(C8472,METADATA!$A$5:$H$29,IF(E8472="HI",2,IF(E8472="LO",6,10))+IF(D8472=1,2,IF(D8472=7,1,(IF(WEEKDAY(B8472)=1,2,IF(WEEKDAY(B8472)=7,1,0))))))</f>
        <v>1</v>
      </c>
      <c r="G8472" s="369">
        <f>VLOOKUP(C8472,METADATA!$J$5:$Q$29,IF(E8472="HI",2,IF(E8472="LO",6,10))+IF(D8472=1,2,IF(D8472=7,1,(IF(WEEKDAY(B8472)=1,2,IF(WEEKDAY(B8472)=7,1,0))))))</f>
        <v>1</v>
      </c>
      <c r="H8472" s="370">
        <v>13223.949584960938</v>
      </c>
      <c r="I8472" s="370">
        <v>4090.7549438476563</v>
      </c>
      <c r="M8472" s="371">
        <f t="shared" si="529"/>
        <v>13842.222315661693</v>
      </c>
      <c r="N8472" s="329">
        <f t="shared" si="530"/>
        <v>123.570068359375</v>
      </c>
      <c r="T8472" s="331">
        <v>0</v>
      </c>
      <c r="U8472" s="328">
        <f>VLOOKUP(C8472,METADATA!$J$5:$Q$29,IF(E8472="HI",2,IF(E8472="LO",6,10))+IF(T8472=1,2,IF(D8472=7,1,(IF(WEEKDAY(B8472)=1,2,IF(WEEKDAY(B8472)=7,1,0))))))</f>
        <v>1</v>
      </c>
      <c r="V8472" s="328">
        <f>VLOOKUP(C8472,METADATA!$A$5:$H$29,IF(E8472="HI",2,IF(E8472="LO",6,10))+IF(T8472=1,2,IF(D8472=7,1,(IF(WEEKDAY(B8472)=1,2,IF(WEEKDAY(B8472)=7,1,0))))))</f>
        <v>1</v>
      </c>
    </row>
    <row r="8473" spans="2:22">
      <c r="B8473" s="318">
        <f t="shared" si="527"/>
        <v>46465</v>
      </c>
      <c r="C8473" s="312">
        <v>21</v>
      </c>
      <c r="D8473" s="368">
        <f>IFERROR((INDEX(METADATA!$T$2:$T$20,MATCH(B8473,METADATA!$S$2:$S$20,0))),0)</f>
        <v>0</v>
      </c>
      <c r="E8473" s="312" t="str">
        <f t="shared" si="528"/>
        <v>LO</v>
      </c>
      <c r="F8473" s="369">
        <f>VLOOKUP(C8473,METADATA!$A$5:$H$29,IF(E8473="HI",2,IF(E8473="LO",6,10))+IF(D8473=1,2,IF(D8473=7,1,(IF(WEEKDAY(B8473)=1,2,IF(WEEKDAY(B8473)=7,1,0))))))</f>
        <v>2</v>
      </c>
      <c r="G8473" s="369">
        <f>VLOOKUP(C8473,METADATA!$J$5:$Q$29,IF(E8473="HI",2,IF(E8473="LO",6,10))+IF(D8473=1,2,IF(D8473=7,1,(IF(WEEKDAY(B8473)=1,2,IF(WEEKDAY(B8473)=7,1,0))))))</f>
        <v>2</v>
      </c>
      <c r="H8473" s="370">
        <v>13032.050170898438</v>
      </c>
      <c r="I8473" s="370">
        <v>3961.1800537109375</v>
      </c>
      <c r="M8473" s="371">
        <f t="shared" si="529"/>
        <v>13620.766464290156</v>
      </c>
      <c r="N8473" s="329">
        <f t="shared" si="530"/>
        <v>51.56500244140625</v>
      </c>
      <c r="T8473" s="331">
        <v>0</v>
      </c>
      <c r="U8473" s="328">
        <f>VLOOKUP(C8473,METADATA!$J$5:$Q$29,IF(E8473="HI",2,IF(E8473="LO",6,10))+IF(T8473=1,2,IF(D8473=7,1,(IF(WEEKDAY(B8473)=1,2,IF(WEEKDAY(B8473)=7,1,0))))))</f>
        <v>2</v>
      </c>
      <c r="V8473" s="328">
        <f>VLOOKUP(C8473,METADATA!$A$5:$H$29,IF(E8473="HI",2,IF(E8473="LO",6,10))+IF(T8473=1,2,IF(D8473=7,1,(IF(WEEKDAY(B8473)=1,2,IF(WEEKDAY(B8473)=7,1,0))))))</f>
        <v>2</v>
      </c>
    </row>
    <row r="8474" spans="2:22">
      <c r="B8474" s="318">
        <f t="shared" si="527"/>
        <v>46465</v>
      </c>
      <c r="C8474" s="312">
        <v>22</v>
      </c>
      <c r="D8474" s="368">
        <f>IFERROR((INDEX(METADATA!$T$2:$T$20,MATCH(B8474,METADATA!$S$2:$S$20,0))),0)</f>
        <v>0</v>
      </c>
      <c r="E8474" s="312" t="str">
        <f t="shared" si="528"/>
        <v>LO</v>
      </c>
      <c r="F8474" s="369">
        <f>VLOOKUP(C8474,METADATA!$A$5:$H$29,IF(E8474="HI",2,IF(E8474="LO",6,10))+IF(D8474=1,2,IF(D8474=7,1,(IF(WEEKDAY(B8474)=1,2,IF(WEEKDAY(B8474)=7,1,0))))))</f>
        <v>3</v>
      </c>
      <c r="G8474" s="369">
        <f>VLOOKUP(C8474,METADATA!$J$5:$Q$29,IF(E8474="HI",2,IF(E8474="LO",6,10))+IF(D8474=1,2,IF(D8474=7,1,(IF(WEEKDAY(B8474)=1,2,IF(WEEKDAY(B8474)=7,1,0))))))</f>
        <v>3</v>
      </c>
      <c r="H8474" s="370">
        <v>13040.550415039063</v>
      </c>
      <c r="I8474" s="370">
        <v>3925.844970703125</v>
      </c>
      <c r="M8474" s="371">
        <f t="shared" si="529"/>
        <v>13618.671516016915</v>
      </c>
      <c r="N8474" s="329">
        <f t="shared" si="530"/>
        <v>13.679846191406341</v>
      </c>
      <c r="T8474" s="331">
        <v>0</v>
      </c>
      <c r="U8474" s="328">
        <f>VLOOKUP(C8474,METADATA!$J$5:$Q$29,IF(E8474="HI",2,IF(E8474="LO",6,10))+IF(T8474=1,2,IF(D8474=7,1,(IF(WEEKDAY(B8474)=1,2,IF(WEEKDAY(B8474)=7,1,0))))))</f>
        <v>3</v>
      </c>
      <c r="V8474" s="328">
        <f>VLOOKUP(C8474,METADATA!$A$5:$H$29,IF(E8474="HI",2,IF(E8474="LO",6,10))+IF(T8474=1,2,IF(D8474=7,1,(IF(WEEKDAY(B8474)=1,2,IF(WEEKDAY(B8474)=7,1,0))))))</f>
        <v>3</v>
      </c>
    </row>
    <row r="8475" spans="2:22">
      <c r="B8475" s="318">
        <f t="shared" si="527"/>
        <v>46465</v>
      </c>
      <c r="C8475" s="312">
        <v>23</v>
      </c>
      <c r="D8475" s="368">
        <f>IFERROR((INDEX(METADATA!$T$2:$T$20,MATCH(B8475,METADATA!$S$2:$S$20,0))),0)</f>
        <v>0</v>
      </c>
      <c r="E8475" s="312" t="str">
        <f t="shared" si="528"/>
        <v>LO</v>
      </c>
      <c r="F8475" s="369">
        <f>VLOOKUP(C8475,METADATA!$A$5:$H$29,IF(E8475="HI",2,IF(E8475="LO",6,10))+IF(D8475=1,2,IF(D8475=7,1,(IF(WEEKDAY(B8475)=1,2,IF(WEEKDAY(B8475)=7,1,0))))))</f>
        <v>3</v>
      </c>
      <c r="G8475" s="369">
        <f>VLOOKUP(C8475,METADATA!$J$5:$Q$29,IF(E8475="HI",2,IF(E8475="LO",6,10))+IF(D8475=1,2,IF(D8475=7,1,(IF(WEEKDAY(B8475)=1,2,IF(WEEKDAY(B8475)=7,1,0))))))</f>
        <v>3</v>
      </c>
      <c r="H8475" s="370">
        <v>13041.72509765625</v>
      </c>
      <c r="I8475" s="370">
        <v>3931.7650756835938</v>
      </c>
      <c r="M8475" s="371">
        <f t="shared" si="529"/>
        <v>13621.503960033273</v>
      </c>
      <c r="N8475" s="329">
        <f t="shared" si="530"/>
        <v>19.247546386719023</v>
      </c>
      <c r="T8475" s="331">
        <v>0</v>
      </c>
      <c r="U8475" s="328">
        <f>VLOOKUP(C8475,METADATA!$J$5:$Q$29,IF(E8475="HI",2,IF(E8475="LO",6,10))+IF(T8475=1,2,IF(D8475=7,1,(IF(WEEKDAY(B8475)=1,2,IF(WEEKDAY(B8475)=7,1,0))))))</f>
        <v>3</v>
      </c>
      <c r="V8475" s="328">
        <f>VLOOKUP(C8475,METADATA!$A$5:$H$29,IF(E8475="HI",2,IF(E8475="LO",6,10))+IF(T8475=1,2,IF(D8475=7,1,(IF(WEEKDAY(B8475)=1,2,IF(WEEKDAY(B8475)=7,1,0))))))</f>
        <v>3</v>
      </c>
    </row>
    <row r="8476" spans="2:22">
      <c r="B8476" s="318">
        <f t="shared" ref="B8476:B8539" si="531">B8452+1</f>
        <v>46466</v>
      </c>
      <c r="C8476" s="312">
        <v>0</v>
      </c>
      <c r="D8476" s="368">
        <f>IFERROR((INDEX(METADATA!$T$2:$T$20,MATCH(B8476,METADATA!$S$2:$S$20,0))),0)</f>
        <v>0</v>
      </c>
      <c r="E8476" s="312" t="str">
        <f t="shared" si="528"/>
        <v>LO</v>
      </c>
      <c r="F8476" s="369">
        <f>VLOOKUP(C8476,METADATA!$A$5:$H$29,IF(E8476="HI",2,IF(E8476="LO",6,10))+IF(D8476=1,2,IF(D8476=7,1,(IF(WEEKDAY(B8476)=1,2,IF(WEEKDAY(B8476)=7,1,0))))))</f>
        <v>3</v>
      </c>
      <c r="G8476" s="369">
        <f>VLOOKUP(C8476,METADATA!$J$5:$Q$29,IF(E8476="HI",2,IF(E8476="LO",6,10))+IF(D8476=1,2,IF(D8476=7,1,(IF(WEEKDAY(B8476)=1,2,IF(WEEKDAY(B8476)=7,1,0))))))</f>
        <v>3</v>
      </c>
      <c r="H8476" s="370">
        <v>12869.025024414063</v>
      </c>
      <c r="I8476" s="370">
        <v>3976.2049560546875</v>
      </c>
      <c r="M8476" s="371">
        <f t="shared" si="529"/>
        <v>13469.29882850437</v>
      </c>
      <c r="N8476" s="329">
        <f t="shared" si="530"/>
        <v>115.49744873046893</v>
      </c>
      <c r="T8476" s="331">
        <v>0</v>
      </c>
      <c r="U8476" s="328">
        <f>VLOOKUP(C8476,METADATA!$J$5:$Q$29,IF(E8476="HI",2,IF(E8476="LO",6,10))+IF(T8476=1,2,IF(D8476=7,1,(IF(WEEKDAY(B8476)=1,2,IF(WEEKDAY(B8476)=7,1,0))))))</f>
        <v>3</v>
      </c>
      <c r="V8476" s="328">
        <f>VLOOKUP(C8476,METADATA!$A$5:$H$29,IF(E8476="HI",2,IF(E8476="LO",6,10))+IF(T8476=1,2,IF(D8476=7,1,(IF(WEEKDAY(B8476)=1,2,IF(WEEKDAY(B8476)=7,1,0))))))</f>
        <v>3</v>
      </c>
    </row>
    <row r="8477" spans="2:22">
      <c r="B8477" s="318">
        <f t="shared" si="531"/>
        <v>46466</v>
      </c>
      <c r="C8477" s="312">
        <v>1</v>
      </c>
      <c r="D8477" s="368">
        <f>IFERROR((INDEX(METADATA!$T$2:$T$20,MATCH(B8477,METADATA!$S$2:$S$20,0))),0)</f>
        <v>0</v>
      </c>
      <c r="E8477" s="312" t="str">
        <f t="shared" si="528"/>
        <v>LO</v>
      </c>
      <c r="F8477" s="369">
        <f>VLOOKUP(C8477,METADATA!$A$5:$H$29,IF(E8477="HI",2,IF(E8477="LO",6,10))+IF(D8477=1,2,IF(D8477=7,1,(IF(WEEKDAY(B8477)=1,2,IF(WEEKDAY(B8477)=7,1,0))))))</f>
        <v>3</v>
      </c>
      <c r="G8477" s="369">
        <f>VLOOKUP(C8477,METADATA!$J$5:$Q$29,IF(E8477="HI",2,IF(E8477="LO",6,10))+IF(D8477=1,2,IF(D8477=7,1,(IF(WEEKDAY(B8477)=1,2,IF(WEEKDAY(B8477)=7,1,0))))))</f>
        <v>3</v>
      </c>
      <c r="H8477" s="370">
        <v>11383.539916992188</v>
      </c>
      <c r="I8477" s="370">
        <v>3194.8849487304688</v>
      </c>
      <c r="M8477" s="371">
        <f t="shared" si="529"/>
        <v>11823.378149978076</v>
      </c>
      <c r="N8477" s="329">
        <f t="shared" si="530"/>
        <v>0</v>
      </c>
      <c r="T8477" s="331">
        <v>0</v>
      </c>
      <c r="U8477" s="328">
        <f>VLOOKUP(C8477,METADATA!$J$5:$Q$29,IF(E8477="HI",2,IF(E8477="LO",6,10))+IF(T8477=1,2,IF(D8477=7,1,(IF(WEEKDAY(B8477)=1,2,IF(WEEKDAY(B8477)=7,1,0))))))</f>
        <v>3</v>
      </c>
      <c r="V8477" s="328">
        <f>VLOOKUP(C8477,METADATA!$A$5:$H$29,IF(E8477="HI",2,IF(E8477="LO",6,10))+IF(T8477=1,2,IF(D8477=7,1,(IF(WEEKDAY(B8477)=1,2,IF(WEEKDAY(B8477)=7,1,0))))))</f>
        <v>3</v>
      </c>
    </row>
    <row r="8478" spans="2:22">
      <c r="B8478" s="318">
        <f t="shared" si="531"/>
        <v>46466</v>
      </c>
      <c r="C8478" s="312">
        <v>2</v>
      </c>
      <c r="D8478" s="368">
        <f>IFERROR((INDEX(METADATA!$T$2:$T$20,MATCH(B8478,METADATA!$S$2:$S$20,0))),0)</f>
        <v>0</v>
      </c>
      <c r="E8478" s="312" t="str">
        <f t="shared" si="528"/>
        <v>LO</v>
      </c>
      <c r="F8478" s="369">
        <f>VLOOKUP(C8478,METADATA!$A$5:$H$29,IF(E8478="HI",2,IF(E8478="LO",6,10))+IF(D8478=1,2,IF(D8478=7,1,(IF(WEEKDAY(B8478)=1,2,IF(WEEKDAY(B8478)=7,1,0))))))</f>
        <v>3</v>
      </c>
      <c r="G8478" s="369">
        <f>VLOOKUP(C8478,METADATA!$J$5:$Q$29,IF(E8478="HI",2,IF(E8478="LO",6,10))+IF(D8478=1,2,IF(D8478=7,1,(IF(WEEKDAY(B8478)=1,2,IF(WEEKDAY(B8478)=7,1,0))))))</f>
        <v>3</v>
      </c>
      <c r="H8478" s="370">
        <v>12762.750244140625</v>
      </c>
      <c r="I8478" s="370">
        <v>4046.6949157714844</v>
      </c>
      <c r="M8478" s="371">
        <f t="shared" si="529"/>
        <v>13388.933248606565</v>
      </c>
      <c r="N8478" s="329">
        <f t="shared" si="530"/>
        <v>217.86984252929688</v>
      </c>
      <c r="T8478" s="331">
        <v>0</v>
      </c>
      <c r="U8478" s="328">
        <f>VLOOKUP(C8478,METADATA!$J$5:$Q$29,IF(E8478="HI",2,IF(E8478="LO",6,10))+IF(T8478=1,2,IF(D8478=7,1,(IF(WEEKDAY(B8478)=1,2,IF(WEEKDAY(B8478)=7,1,0))))))</f>
        <v>3</v>
      </c>
      <c r="V8478" s="328">
        <f>VLOOKUP(C8478,METADATA!$A$5:$H$29,IF(E8478="HI",2,IF(E8478="LO",6,10))+IF(T8478=1,2,IF(D8478=7,1,(IF(WEEKDAY(B8478)=1,2,IF(WEEKDAY(B8478)=7,1,0))))))</f>
        <v>3</v>
      </c>
    </row>
    <row r="8479" spans="2:22">
      <c r="B8479" s="318">
        <f t="shared" si="531"/>
        <v>46466</v>
      </c>
      <c r="C8479" s="312">
        <v>3</v>
      </c>
      <c r="D8479" s="368">
        <f>IFERROR((INDEX(METADATA!$T$2:$T$20,MATCH(B8479,METADATA!$S$2:$S$20,0))),0)</f>
        <v>0</v>
      </c>
      <c r="E8479" s="312" t="str">
        <f t="shared" si="528"/>
        <v>LO</v>
      </c>
      <c r="F8479" s="369">
        <f>VLOOKUP(C8479,METADATA!$A$5:$H$29,IF(E8479="HI",2,IF(E8479="LO",6,10))+IF(D8479=1,2,IF(D8479=7,1,(IF(WEEKDAY(B8479)=1,2,IF(WEEKDAY(B8479)=7,1,0))))))</f>
        <v>3</v>
      </c>
      <c r="G8479" s="369">
        <f>VLOOKUP(C8479,METADATA!$J$5:$Q$29,IF(E8479="HI",2,IF(E8479="LO",6,10))+IF(D8479=1,2,IF(D8479=7,1,(IF(WEEKDAY(B8479)=1,2,IF(WEEKDAY(B8479)=7,1,0))))))</f>
        <v>3</v>
      </c>
      <c r="H8479" s="370">
        <v>13085.675170898438</v>
      </c>
      <c r="I8479" s="370">
        <v>4095.0250854492188</v>
      </c>
      <c r="M8479" s="371">
        <f t="shared" si="529"/>
        <v>13711.459627943563</v>
      </c>
      <c r="N8479" s="329">
        <f t="shared" si="530"/>
        <v>169.32253417968786</v>
      </c>
      <c r="T8479" s="331">
        <v>0</v>
      </c>
      <c r="U8479" s="328">
        <f>VLOOKUP(C8479,METADATA!$J$5:$Q$29,IF(E8479="HI",2,IF(E8479="LO",6,10))+IF(T8479=1,2,IF(D8479=7,1,(IF(WEEKDAY(B8479)=1,2,IF(WEEKDAY(B8479)=7,1,0))))))</f>
        <v>3</v>
      </c>
      <c r="V8479" s="328">
        <f>VLOOKUP(C8479,METADATA!$A$5:$H$29,IF(E8479="HI",2,IF(E8479="LO",6,10))+IF(T8479=1,2,IF(D8479=7,1,(IF(WEEKDAY(B8479)=1,2,IF(WEEKDAY(B8479)=7,1,0))))))</f>
        <v>3</v>
      </c>
    </row>
    <row r="8480" spans="2:22">
      <c r="B8480" s="318">
        <f t="shared" si="531"/>
        <v>46466</v>
      </c>
      <c r="C8480" s="312">
        <v>4</v>
      </c>
      <c r="D8480" s="368">
        <f>IFERROR((INDEX(METADATA!$T$2:$T$20,MATCH(B8480,METADATA!$S$2:$S$20,0))),0)</f>
        <v>0</v>
      </c>
      <c r="E8480" s="312" t="str">
        <f t="shared" si="528"/>
        <v>LO</v>
      </c>
      <c r="F8480" s="369">
        <f>VLOOKUP(C8480,METADATA!$A$5:$H$29,IF(E8480="HI",2,IF(E8480="LO",6,10))+IF(D8480=1,2,IF(D8480=7,1,(IF(WEEKDAY(B8480)=1,2,IF(WEEKDAY(B8480)=7,1,0))))))</f>
        <v>3</v>
      </c>
      <c r="G8480" s="369">
        <f>VLOOKUP(C8480,METADATA!$J$5:$Q$29,IF(E8480="HI",2,IF(E8480="LO",6,10))+IF(D8480=1,2,IF(D8480=7,1,(IF(WEEKDAY(B8480)=1,2,IF(WEEKDAY(B8480)=7,1,0))))))</f>
        <v>3</v>
      </c>
      <c r="H8480" s="370">
        <v>13107.60009765625</v>
      </c>
      <c r="I8480" s="370">
        <v>4151.2450256347656</v>
      </c>
      <c r="M8480" s="371">
        <f t="shared" si="529"/>
        <v>13749.255091928999</v>
      </c>
      <c r="N8480" s="329">
        <f t="shared" si="530"/>
        <v>218.96499633789063</v>
      </c>
      <c r="T8480" s="331">
        <v>0</v>
      </c>
      <c r="U8480" s="328">
        <f>VLOOKUP(C8480,METADATA!$J$5:$Q$29,IF(E8480="HI",2,IF(E8480="LO",6,10))+IF(T8480=1,2,IF(D8480=7,1,(IF(WEEKDAY(B8480)=1,2,IF(WEEKDAY(B8480)=7,1,0))))))</f>
        <v>3</v>
      </c>
      <c r="V8480" s="328">
        <f>VLOOKUP(C8480,METADATA!$A$5:$H$29,IF(E8480="HI",2,IF(E8480="LO",6,10))+IF(T8480=1,2,IF(D8480=7,1,(IF(WEEKDAY(B8480)=1,2,IF(WEEKDAY(B8480)=7,1,0))))))</f>
        <v>3</v>
      </c>
    </row>
    <row r="8481" spans="2:22">
      <c r="B8481" s="318">
        <f t="shared" si="531"/>
        <v>46466</v>
      </c>
      <c r="C8481" s="312">
        <v>5</v>
      </c>
      <c r="D8481" s="368">
        <f>IFERROR((INDEX(METADATA!$T$2:$T$20,MATCH(B8481,METADATA!$S$2:$S$20,0))),0)</f>
        <v>0</v>
      </c>
      <c r="E8481" s="312" t="str">
        <f t="shared" si="528"/>
        <v>LO</v>
      </c>
      <c r="F8481" s="369">
        <f>VLOOKUP(C8481,METADATA!$A$5:$H$29,IF(E8481="HI",2,IF(E8481="LO",6,10))+IF(D8481=1,2,IF(D8481=7,1,(IF(WEEKDAY(B8481)=1,2,IF(WEEKDAY(B8481)=7,1,0))))))</f>
        <v>3</v>
      </c>
      <c r="G8481" s="369">
        <f>VLOOKUP(C8481,METADATA!$J$5:$Q$29,IF(E8481="HI",2,IF(E8481="LO",6,10))+IF(D8481=1,2,IF(D8481=7,1,(IF(WEEKDAY(B8481)=1,2,IF(WEEKDAY(B8481)=7,1,0))))))</f>
        <v>3</v>
      </c>
      <c r="H8481" s="370">
        <v>13176.225341796875</v>
      </c>
      <c r="I8481" s="370">
        <v>4081.699951171875</v>
      </c>
      <c r="M8481" s="371">
        <f t="shared" si="529"/>
        <v>13793.954790023297</v>
      </c>
      <c r="N8481" s="329">
        <f t="shared" si="530"/>
        <v>128.83234863281268</v>
      </c>
      <c r="T8481" s="331">
        <v>0</v>
      </c>
      <c r="U8481" s="328">
        <f>VLOOKUP(C8481,METADATA!$J$5:$Q$29,IF(E8481="HI",2,IF(E8481="LO",6,10))+IF(T8481=1,2,IF(D8481=7,1,(IF(WEEKDAY(B8481)=1,2,IF(WEEKDAY(B8481)=7,1,0))))))</f>
        <v>3</v>
      </c>
      <c r="V8481" s="328">
        <f>VLOOKUP(C8481,METADATA!$A$5:$H$29,IF(E8481="HI",2,IF(E8481="LO",6,10))+IF(T8481=1,2,IF(D8481=7,1,(IF(WEEKDAY(B8481)=1,2,IF(WEEKDAY(B8481)=7,1,0))))))</f>
        <v>3</v>
      </c>
    </row>
    <row r="8482" spans="2:22">
      <c r="B8482" s="318">
        <f t="shared" si="531"/>
        <v>46466</v>
      </c>
      <c r="C8482" s="312">
        <v>6</v>
      </c>
      <c r="D8482" s="368">
        <f>IFERROR((INDEX(METADATA!$T$2:$T$20,MATCH(B8482,METADATA!$S$2:$S$20,0))),0)</f>
        <v>0</v>
      </c>
      <c r="E8482" s="312" t="str">
        <f t="shared" si="528"/>
        <v>LO</v>
      </c>
      <c r="F8482" s="369">
        <f>VLOOKUP(C8482,METADATA!$A$5:$H$29,IF(E8482="HI",2,IF(E8482="LO",6,10))+IF(D8482=1,2,IF(D8482=7,1,(IF(WEEKDAY(B8482)=1,2,IF(WEEKDAY(B8482)=7,1,0))))))</f>
        <v>3</v>
      </c>
      <c r="G8482" s="369">
        <f>VLOOKUP(C8482,METADATA!$J$5:$Q$29,IF(E8482="HI",2,IF(E8482="LO",6,10))+IF(D8482=1,2,IF(D8482=7,1,(IF(WEEKDAY(B8482)=1,2,IF(WEEKDAY(B8482)=7,1,0))))))</f>
        <v>3</v>
      </c>
      <c r="H8482" s="370">
        <v>13154.05029296875</v>
      </c>
      <c r="I8482" s="370">
        <v>3933.0649719238281</v>
      </c>
      <c r="M8482" s="371">
        <f t="shared" si="529"/>
        <v>13729.458808828753</v>
      </c>
      <c r="N8482" s="329">
        <f t="shared" si="530"/>
        <v>0</v>
      </c>
      <c r="T8482" s="331">
        <v>0</v>
      </c>
      <c r="U8482" s="328">
        <f>VLOOKUP(C8482,METADATA!$J$5:$Q$29,IF(E8482="HI",2,IF(E8482="LO",6,10))+IF(T8482=1,2,IF(D8482=7,1,(IF(WEEKDAY(B8482)=1,2,IF(WEEKDAY(B8482)=7,1,0))))))</f>
        <v>3</v>
      </c>
      <c r="V8482" s="328">
        <f>VLOOKUP(C8482,METADATA!$A$5:$H$29,IF(E8482="HI",2,IF(E8482="LO",6,10))+IF(T8482=1,2,IF(D8482=7,1,(IF(WEEKDAY(B8482)=1,2,IF(WEEKDAY(B8482)=7,1,0))))))</f>
        <v>3</v>
      </c>
    </row>
    <row r="8483" spans="2:22">
      <c r="B8483" s="318">
        <f t="shared" si="531"/>
        <v>46466</v>
      </c>
      <c r="C8483" s="312">
        <v>7</v>
      </c>
      <c r="D8483" s="368">
        <f>IFERROR((INDEX(METADATA!$T$2:$T$20,MATCH(B8483,METADATA!$S$2:$S$20,0))),0)</f>
        <v>0</v>
      </c>
      <c r="E8483" s="312" t="str">
        <f t="shared" si="528"/>
        <v>LO</v>
      </c>
      <c r="F8483" s="369">
        <f>VLOOKUP(C8483,METADATA!$A$5:$H$29,IF(E8483="HI",2,IF(E8483="LO",6,10))+IF(D8483=1,2,IF(D8483=7,1,(IF(WEEKDAY(B8483)=1,2,IF(WEEKDAY(B8483)=7,1,0))))))</f>
        <v>2</v>
      </c>
      <c r="G8483" s="369">
        <f>VLOOKUP(C8483,METADATA!$J$5:$Q$29,IF(E8483="HI",2,IF(E8483="LO",6,10))+IF(D8483=1,2,IF(D8483=7,1,(IF(WEEKDAY(B8483)=1,2,IF(WEEKDAY(B8483)=7,1,0))))))</f>
        <v>2</v>
      </c>
      <c r="H8483" s="370">
        <v>13115.849853515625</v>
      </c>
      <c r="I8483" s="370">
        <v>3848.0300903320313</v>
      </c>
      <c r="M8483" s="371">
        <f t="shared" si="529"/>
        <v>13668.681463698924</v>
      </c>
      <c r="N8483" s="329">
        <f t="shared" si="530"/>
        <v>0</v>
      </c>
      <c r="T8483" s="331">
        <v>0</v>
      </c>
      <c r="U8483" s="328">
        <f>VLOOKUP(C8483,METADATA!$J$5:$Q$29,IF(E8483="HI",2,IF(E8483="LO",6,10))+IF(T8483=1,2,IF(D8483=7,1,(IF(WEEKDAY(B8483)=1,2,IF(WEEKDAY(B8483)=7,1,0))))))</f>
        <v>2</v>
      </c>
      <c r="V8483" s="328">
        <f>VLOOKUP(C8483,METADATA!$A$5:$H$29,IF(E8483="HI",2,IF(E8483="LO",6,10))+IF(T8483=1,2,IF(D8483=7,1,(IF(WEEKDAY(B8483)=1,2,IF(WEEKDAY(B8483)=7,1,0))))))</f>
        <v>2</v>
      </c>
    </row>
    <row r="8484" spans="2:22">
      <c r="B8484" s="318">
        <f t="shared" si="531"/>
        <v>46466</v>
      </c>
      <c r="C8484" s="312">
        <v>8</v>
      </c>
      <c r="D8484" s="368">
        <f>IFERROR((INDEX(METADATA!$T$2:$T$20,MATCH(B8484,METADATA!$S$2:$S$20,0))),0)</f>
        <v>0</v>
      </c>
      <c r="E8484" s="312" t="str">
        <f t="shared" si="528"/>
        <v>LO</v>
      </c>
      <c r="F8484" s="369">
        <f>VLOOKUP(C8484,METADATA!$A$5:$H$29,IF(E8484="HI",2,IF(E8484="LO",6,10))+IF(D8484=1,2,IF(D8484=7,1,(IF(WEEKDAY(B8484)=1,2,IF(WEEKDAY(B8484)=7,1,0))))))</f>
        <v>2</v>
      </c>
      <c r="G8484" s="369">
        <f>VLOOKUP(C8484,METADATA!$J$5:$Q$29,IF(E8484="HI",2,IF(E8484="LO",6,10))+IF(D8484=1,2,IF(D8484=7,1,(IF(WEEKDAY(B8484)=1,2,IF(WEEKDAY(B8484)=7,1,0))))))</f>
        <v>2</v>
      </c>
      <c r="H8484" s="370">
        <v>13218.874816894531</v>
      </c>
      <c r="I8484" s="370">
        <v>3964.7550354003906</v>
      </c>
      <c r="M8484" s="371">
        <f t="shared" si="529"/>
        <v>13800.649764248827</v>
      </c>
      <c r="N8484" s="329">
        <f t="shared" si="530"/>
        <v>0</v>
      </c>
      <c r="T8484" s="331">
        <v>0</v>
      </c>
      <c r="U8484" s="328">
        <f>VLOOKUP(C8484,METADATA!$J$5:$Q$29,IF(E8484="HI",2,IF(E8484="LO",6,10))+IF(T8484=1,2,IF(D8484=7,1,(IF(WEEKDAY(B8484)=1,2,IF(WEEKDAY(B8484)=7,1,0))))))</f>
        <v>2</v>
      </c>
      <c r="V8484" s="328">
        <f>VLOOKUP(C8484,METADATA!$A$5:$H$29,IF(E8484="HI",2,IF(E8484="LO",6,10))+IF(T8484=1,2,IF(D8484=7,1,(IF(WEEKDAY(B8484)=1,2,IF(WEEKDAY(B8484)=7,1,0))))))</f>
        <v>2</v>
      </c>
    </row>
    <row r="8485" spans="2:22">
      <c r="B8485" s="318">
        <f t="shared" si="531"/>
        <v>46466</v>
      </c>
      <c r="C8485" s="312">
        <v>9</v>
      </c>
      <c r="D8485" s="368">
        <f>IFERROR((INDEX(METADATA!$T$2:$T$20,MATCH(B8485,METADATA!$S$2:$S$20,0))),0)</f>
        <v>0</v>
      </c>
      <c r="E8485" s="312" t="str">
        <f t="shared" si="528"/>
        <v>LO</v>
      </c>
      <c r="F8485" s="369">
        <f>VLOOKUP(C8485,METADATA!$A$5:$H$29,IF(E8485="HI",2,IF(E8485="LO",6,10))+IF(D8485=1,2,IF(D8485=7,1,(IF(WEEKDAY(B8485)=1,2,IF(WEEKDAY(B8485)=7,1,0))))))</f>
        <v>2</v>
      </c>
      <c r="G8485" s="369">
        <f>VLOOKUP(C8485,METADATA!$J$5:$Q$29,IF(E8485="HI",2,IF(E8485="LO",6,10))+IF(D8485=1,2,IF(D8485=7,1,(IF(WEEKDAY(B8485)=1,2,IF(WEEKDAY(B8485)=7,1,0))))))</f>
        <v>2</v>
      </c>
      <c r="H8485" s="370">
        <v>13193.600219726563</v>
      </c>
      <c r="I8485" s="370">
        <v>4032.9700927734375</v>
      </c>
      <c r="M8485" s="371">
        <f t="shared" si="529"/>
        <v>13796.228996619828</v>
      </c>
      <c r="N8485" s="329">
        <f t="shared" si="530"/>
        <v>74.890026855468932</v>
      </c>
      <c r="T8485" s="331">
        <v>0</v>
      </c>
      <c r="U8485" s="328">
        <f>VLOOKUP(C8485,METADATA!$J$5:$Q$29,IF(E8485="HI",2,IF(E8485="LO",6,10))+IF(T8485=1,2,IF(D8485=7,1,(IF(WEEKDAY(B8485)=1,2,IF(WEEKDAY(B8485)=7,1,0))))))</f>
        <v>2</v>
      </c>
      <c r="V8485" s="328">
        <f>VLOOKUP(C8485,METADATA!$A$5:$H$29,IF(E8485="HI",2,IF(E8485="LO",6,10))+IF(T8485=1,2,IF(D8485=7,1,(IF(WEEKDAY(B8485)=1,2,IF(WEEKDAY(B8485)=7,1,0))))))</f>
        <v>2</v>
      </c>
    </row>
    <row r="8486" spans="2:22">
      <c r="B8486" s="318">
        <f t="shared" si="531"/>
        <v>46466</v>
      </c>
      <c r="C8486" s="312">
        <v>10</v>
      </c>
      <c r="D8486" s="368">
        <f>IFERROR((INDEX(METADATA!$T$2:$T$20,MATCH(B8486,METADATA!$S$2:$S$20,0))),0)</f>
        <v>0</v>
      </c>
      <c r="E8486" s="312" t="str">
        <f t="shared" si="528"/>
        <v>LO</v>
      </c>
      <c r="F8486" s="369">
        <f>VLOOKUP(C8486,METADATA!$A$5:$H$29,IF(E8486="HI",2,IF(E8486="LO",6,10))+IF(D8486=1,2,IF(D8486=7,1,(IF(WEEKDAY(B8486)=1,2,IF(WEEKDAY(B8486)=7,1,0))))))</f>
        <v>2</v>
      </c>
      <c r="G8486" s="369">
        <f>VLOOKUP(C8486,METADATA!$J$5:$Q$29,IF(E8486="HI",2,IF(E8486="LO",6,10))+IF(D8486=1,2,IF(D8486=7,1,(IF(WEEKDAY(B8486)=1,2,IF(WEEKDAY(B8486)=7,1,0))))))</f>
        <v>2</v>
      </c>
      <c r="H8486" s="370">
        <v>12639.675109863281</v>
      </c>
      <c r="I8486" s="370">
        <v>3709.6749877929688</v>
      </c>
      <c r="M8486" s="371">
        <f t="shared" si="529"/>
        <v>13172.815773324779</v>
      </c>
      <c r="N8486" s="329">
        <f t="shared" si="530"/>
        <v>0</v>
      </c>
      <c r="T8486" s="331">
        <v>0</v>
      </c>
      <c r="U8486" s="328">
        <f>VLOOKUP(C8486,METADATA!$J$5:$Q$29,IF(E8486="HI",2,IF(E8486="LO",6,10))+IF(T8486=1,2,IF(D8486=7,1,(IF(WEEKDAY(B8486)=1,2,IF(WEEKDAY(B8486)=7,1,0))))))</f>
        <v>2</v>
      </c>
      <c r="V8486" s="328">
        <f>VLOOKUP(C8486,METADATA!$A$5:$H$29,IF(E8486="HI",2,IF(E8486="LO",6,10))+IF(T8486=1,2,IF(D8486=7,1,(IF(WEEKDAY(B8486)=1,2,IF(WEEKDAY(B8486)=7,1,0))))))</f>
        <v>2</v>
      </c>
    </row>
    <row r="8487" spans="2:22">
      <c r="B8487" s="318">
        <f t="shared" si="531"/>
        <v>46466</v>
      </c>
      <c r="C8487" s="312">
        <v>11</v>
      </c>
      <c r="D8487" s="368">
        <f>IFERROR((INDEX(METADATA!$T$2:$T$20,MATCH(B8487,METADATA!$S$2:$S$20,0))),0)</f>
        <v>0</v>
      </c>
      <c r="E8487" s="312" t="str">
        <f t="shared" si="528"/>
        <v>LO</v>
      </c>
      <c r="F8487" s="369">
        <f>VLOOKUP(C8487,METADATA!$A$5:$H$29,IF(E8487="HI",2,IF(E8487="LO",6,10))+IF(D8487=1,2,IF(D8487=7,1,(IF(WEEKDAY(B8487)=1,2,IF(WEEKDAY(B8487)=7,1,0))))))</f>
        <v>2</v>
      </c>
      <c r="G8487" s="369">
        <f>VLOOKUP(C8487,METADATA!$J$5:$Q$29,IF(E8487="HI",2,IF(E8487="LO",6,10))+IF(D8487=1,2,IF(D8487=7,1,(IF(WEEKDAY(B8487)=1,2,IF(WEEKDAY(B8487)=7,1,0))))))</f>
        <v>2</v>
      </c>
      <c r="H8487" s="370">
        <v>11309.774841308594</v>
      </c>
      <c r="I8487" s="370">
        <v>2923.7925415039063</v>
      </c>
      <c r="M8487" s="371">
        <f t="shared" si="529"/>
        <v>11681.591064013955</v>
      </c>
      <c r="N8487" s="329">
        <f t="shared" si="530"/>
        <v>0</v>
      </c>
      <c r="T8487" s="331">
        <v>0</v>
      </c>
      <c r="U8487" s="328">
        <f>VLOOKUP(C8487,METADATA!$J$5:$Q$29,IF(E8487="HI",2,IF(E8487="LO",6,10))+IF(T8487=1,2,IF(D8487=7,1,(IF(WEEKDAY(B8487)=1,2,IF(WEEKDAY(B8487)=7,1,0))))))</f>
        <v>2</v>
      </c>
      <c r="V8487" s="328">
        <f>VLOOKUP(C8487,METADATA!$A$5:$H$29,IF(E8487="HI",2,IF(E8487="LO",6,10))+IF(T8487=1,2,IF(D8487=7,1,(IF(WEEKDAY(B8487)=1,2,IF(WEEKDAY(B8487)=7,1,0))))))</f>
        <v>2</v>
      </c>
    </row>
    <row r="8488" spans="2:22">
      <c r="B8488" s="318">
        <f t="shared" si="531"/>
        <v>46466</v>
      </c>
      <c r="C8488" s="312">
        <v>12</v>
      </c>
      <c r="D8488" s="368">
        <f>IFERROR((INDEX(METADATA!$T$2:$T$20,MATCH(B8488,METADATA!$S$2:$S$20,0))),0)</f>
        <v>0</v>
      </c>
      <c r="E8488" s="312" t="str">
        <f t="shared" si="528"/>
        <v>LO</v>
      </c>
      <c r="F8488" s="369">
        <f>VLOOKUP(C8488,METADATA!$A$5:$H$29,IF(E8488="HI",2,IF(E8488="LO",6,10))+IF(D8488=1,2,IF(D8488=7,1,(IF(WEEKDAY(B8488)=1,2,IF(WEEKDAY(B8488)=7,1,0))))))</f>
        <v>3</v>
      </c>
      <c r="G8488" s="369">
        <f>VLOOKUP(C8488,METADATA!$J$5:$Q$29,IF(E8488="HI",2,IF(E8488="LO",6,10))+IF(D8488=1,2,IF(D8488=7,1,(IF(WEEKDAY(B8488)=1,2,IF(WEEKDAY(B8488)=7,1,0))))))</f>
        <v>3</v>
      </c>
      <c r="H8488" s="370">
        <v>11268.125122070313</v>
      </c>
      <c r="I8488" s="370">
        <v>2957.7149963378906</v>
      </c>
      <c r="M8488" s="371">
        <f t="shared" si="529"/>
        <v>11649.837842914128</v>
      </c>
      <c r="N8488" s="329">
        <f t="shared" si="530"/>
        <v>0</v>
      </c>
      <c r="T8488" s="331">
        <v>0</v>
      </c>
      <c r="U8488" s="328">
        <f>VLOOKUP(C8488,METADATA!$J$5:$Q$29,IF(E8488="HI",2,IF(E8488="LO",6,10))+IF(T8488=1,2,IF(D8488=7,1,(IF(WEEKDAY(B8488)=1,2,IF(WEEKDAY(B8488)=7,1,0))))))</f>
        <v>3</v>
      </c>
      <c r="V8488" s="328">
        <f>VLOOKUP(C8488,METADATA!$A$5:$H$29,IF(E8488="HI",2,IF(E8488="LO",6,10))+IF(T8488=1,2,IF(D8488=7,1,(IF(WEEKDAY(B8488)=1,2,IF(WEEKDAY(B8488)=7,1,0))))))</f>
        <v>3</v>
      </c>
    </row>
    <row r="8489" spans="2:22">
      <c r="B8489" s="318">
        <f t="shared" si="531"/>
        <v>46466</v>
      </c>
      <c r="C8489" s="312">
        <v>13</v>
      </c>
      <c r="D8489" s="368">
        <f>IFERROR((INDEX(METADATA!$T$2:$T$20,MATCH(B8489,METADATA!$S$2:$S$20,0))),0)</f>
        <v>0</v>
      </c>
      <c r="E8489" s="312" t="str">
        <f t="shared" si="528"/>
        <v>LO</v>
      </c>
      <c r="F8489" s="369">
        <f>VLOOKUP(C8489,METADATA!$A$5:$H$29,IF(E8489="HI",2,IF(E8489="LO",6,10))+IF(D8489=1,2,IF(D8489=7,1,(IF(WEEKDAY(B8489)=1,2,IF(WEEKDAY(B8489)=7,1,0))))))</f>
        <v>3</v>
      </c>
      <c r="G8489" s="369">
        <f>VLOOKUP(C8489,METADATA!$J$5:$Q$29,IF(E8489="HI",2,IF(E8489="LO",6,10))+IF(D8489=1,2,IF(D8489=7,1,(IF(WEEKDAY(B8489)=1,2,IF(WEEKDAY(B8489)=7,1,0))))))</f>
        <v>3</v>
      </c>
      <c r="H8489" s="370">
        <v>11820.550109863281</v>
      </c>
      <c r="I8489" s="370">
        <v>3334.0000915527344</v>
      </c>
      <c r="M8489" s="371">
        <f t="shared" si="529"/>
        <v>12281.732838254644</v>
      </c>
      <c r="N8489" s="329">
        <f t="shared" si="530"/>
        <v>0</v>
      </c>
      <c r="T8489" s="331">
        <v>0</v>
      </c>
      <c r="U8489" s="328">
        <f>VLOOKUP(C8489,METADATA!$J$5:$Q$29,IF(E8489="HI",2,IF(E8489="LO",6,10))+IF(T8489=1,2,IF(D8489=7,1,(IF(WEEKDAY(B8489)=1,2,IF(WEEKDAY(B8489)=7,1,0))))))</f>
        <v>3</v>
      </c>
      <c r="V8489" s="328">
        <f>VLOOKUP(C8489,METADATA!$A$5:$H$29,IF(E8489="HI",2,IF(E8489="LO",6,10))+IF(T8489=1,2,IF(D8489=7,1,(IF(WEEKDAY(B8489)=1,2,IF(WEEKDAY(B8489)=7,1,0))))))</f>
        <v>3</v>
      </c>
    </row>
    <row r="8490" spans="2:22">
      <c r="B8490" s="318">
        <f t="shared" si="531"/>
        <v>46466</v>
      </c>
      <c r="C8490" s="312">
        <v>14</v>
      </c>
      <c r="D8490" s="368">
        <f>IFERROR((INDEX(METADATA!$T$2:$T$20,MATCH(B8490,METADATA!$S$2:$S$20,0))),0)</f>
        <v>0</v>
      </c>
      <c r="E8490" s="312" t="str">
        <f t="shared" si="528"/>
        <v>LO</v>
      </c>
      <c r="F8490" s="369">
        <f>VLOOKUP(C8490,METADATA!$A$5:$H$29,IF(E8490="HI",2,IF(E8490="LO",6,10))+IF(D8490=1,2,IF(D8490=7,1,(IF(WEEKDAY(B8490)=1,2,IF(WEEKDAY(B8490)=7,1,0))))))</f>
        <v>3</v>
      </c>
      <c r="G8490" s="369">
        <f>VLOOKUP(C8490,METADATA!$J$5:$Q$29,IF(E8490="HI",2,IF(E8490="LO",6,10))+IF(D8490=1,2,IF(D8490=7,1,(IF(WEEKDAY(B8490)=1,2,IF(WEEKDAY(B8490)=7,1,0))))))</f>
        <v>3</v>
      </c>
      <c r="H8490" s="370">
        <v>13063.675231933594</v>
      </c>
      <c r="I8490" s="370">
        <v>4101.9450073242188</v>
      </c>
      <c r="M8490" s="371">
        <f t="shared" si="529"/>
        <v>13692.536777695626</v>
      </c>
      <c r="N8490" s="329">
        <f t="shared" si="530"/>
        <v>182.84243774414063</v>
      </c>
      <c r="T8490" s="331">
        <v>0</v>
      </c>
      <c r="U8490" s="328">
        <f>VLOOKUP(C8490,METADATA!$J$5:$Q$29,IF(E8490="HI",2,IF(E8490="LO",6,10))+IF(T8490=1,2,IF(D8490=7,1,(IF(WEEKDAY(B8490)=1,2,IF(WEEKDAY(B8490)=7,1,0))))))</f>
        <v>3</v>
      </c>
      <c r="V8490" s="328">
        <f>VLOOKUP(C8490,METADATA!$A$5:$H$29,IF(E8490="HI",2,IF(E8490="LO",6,10))+IF(T8490=1,2,IF(D8490=7,1,(IF(WEEKDAY(B8490)=1,2,IF(WEEKDAY(B8490)=7,1,0))))))</f>
        <v>3</v>
      </c>
    </row>
    <row r="8491" spans="2:22">
      <c r="B8491" s="318">
        <f t="shared" si="531"/>
        <v>46466</v>
      </c>
      <c r="C8491" s="312">
        <v>15</v>
      </c>
      <c r="D8491" s="368">
        <f>IFERROR((INDEX(METADATA!$T$2:$T$20,MATCH(B8491,METADATA!$S$2:$S$20,0))),0)</f>
        <v>0</v>
      </c>
      <c r="E8491" s="312" t="str">
        <f t="shared" si="528"/>
        <v>LO</v>
      </c>
      <c r="F8491" s="369">
        <f>VLOOKUP(C8491,METADATA!$A$5:$H$29,IF(E8491="HI",2,IF(E8491="LO",6,10))+IF(D8491=1,2,IF(D8491=7,1,(IF(WEEKDAY(B8491)=1,2,IF(WEEKDAY(B8491)=7,1,0))))))</f>
        <v>3</v>
      </c>
      <c r="G8491" s="369">
        <f>VLOOKUP(C8491,METADATA!$J$5:$Q$29,IF(E8491="HI",2,IF(E8491="LO",6,10))+IF(D8491=1,2,IF(D8491=7,1,(IF(WEEKDAY(B8491)=1,2,IF(WEEKDAY(B8491)=7,1,0))))))</f>
        <v>3</v>
      </c>
      <c r="H8491" s="370">
        <v>12898.124877929688</v>
      </c>
      <c r="I8491" s="370">
        <v>4018.14501953125</v>
      </c>
      <c r="M8491" s="371">
        <f t="shared" si="529"/>
        <v>13509.519412793798</v>
      </c>
      <c r="N8491" s="329">
        <f t="shared" si="530"/>
        <v>148.70755615234384</v>
      </c>
      <c r="T8491" s="331">
        <v>0</v>
      </c>
      <c r="U8491" s="328">
        <f>VLOOKUP(C8491,METADATA!$J$5:$Q$29,IF(E8491="HI",2,IF(E8491="LO",6,10))+IF(T8491=1,2,IF(D8491=7,1,(IF(WEEKDAY(B8491)=1,2,IF(WEEKDAY(B8491)=7,1,0))))))</f>
        <v>3</v>
      </c>
      <c r="V8491" s="328">
        <f>VLOOKUP(C8491,METADATA!$A$5:$H$29,IF(E8491="HI",2,IF(E8491="LO",6,10))+IF(T8491=1,2,IF(D8491=7,1,(IF(WEEKDAY(B8491)=1,2,IF(WEEKDAY(B8491)=7,1,0))))))</f>
        <v>3</v>
      </c>
    </row>
    <row r="8492" spans="2:22">
      <c r="B8492" s="318">
        <f t="shared" si="531"/>
        <v>46466</v>
      </c>
      <c r="C8492" s="312">
        <v>16</v>
      </c>
      <c r="D8492" s="368">
        <f>IFERROR((INDEX(METADATA!$T$2:$T$20,MATCH(B8492,METADATA!$S$2:$S$20,0))),0)</f>
        <v>0</v>
      </c>
      <c r="E8492" s="312" t="str">
        <f t="shared" si="528"/>
        <v>LO</v>
      </c>
      <c r="F8492" s="369">
        <f>VLOOKUP(C8492,METADATA!$A$5:$H$29,IF(E8492="HI",2,IF(E8492="LO",6,10))+IF(D8492=1,2,IF(D8492=7,1,(IF(WEEKDAY(B8492)=1,2,IF(WEEKDAY(B8492)=7,1,0))))))</f>
        <v>3</v>
      </c>
      <c r="G8492" s="369">
        <f>VLOOKUP(C8492,METADATA!$J$5:$Q$29,IF(E8492="HI",2,IF(E8492="LO",6,10))+IF(D8492=1,2,IF(D8492=7,1,(IF(WEEKDAY(B8492)=1,2,IF(WEEKDAY(B8492)=7,1,0))))))</f>
        <v>3</v>
      </c>
      <c r="H8492" s="370">
        <v>13065.949951171875</v>
      </c>
      <c r="I8492" s="370">
        <v>4017.3500366210938</v>
      </c>
      <c r="M8492" s="371">
        <f t="shared" si="529"/>
        <v>13669.606777199841</v>
      </c>
      <c r="N8492" s="329">
        <f t="shared" si="530"/>
        <v>97.565051269531523</v>
      </c>
      <c r="T8492" s="331">
        <v>0</v>
      </c>
      <c r="U8492" s="328">
        <f>VLOOKUP(C8492,METADATA!$J$5:$Q$29,IF(E8492="HI",2,IF(E8492="LO",6,10))+IF(T8492=1,2,IF(D8492=7,1,(IF(WEEKDAY(B8492)=1,2,IF(WEEKDAY(B8492)=7,1,0))))))</f>
        <v>3</v>
      </c>
      <c r="V8492" s="328">
        <f>VLOOKUP(C8492,METADATA!$A$5:$H$29,IF(E8492="HI",2,IF(E8492="LO",6,10))+IF(T8492=1,2,IF(D8492=7,1,(IF(WEEKDAY(B8492)=1,2,IF(WEEKDAY(B8492)=7,1,0))))))</f>
        <v>3</v>
      </c>
    </row>
    <row r="8493" spans="2:22">
      <c r="B8493" s="318">
        <f t="shared" si="531"/>
        <v>46466</v>
      </c>
      <c r="C8493" s="312">
        <v>17</v>
      </c>
      <c r="D8493" s="368">
        <f>IFERROR((INDEX(METADATA!$T$2:$T$20,MATCH(B8493,METADATA!$S$2:$S$20,0))),0)</f>
        <v>0</v>
      </c>
      <c r="E8493" s="312" t="str">
        <f t="shared" si="528"/>
        <v>LO</v>
      </c>
      <c r="F8493" s="369">
        <f>VLOOKUP(C8493,METADATA!$A$5:$H$29,IF(E8493="HI",2,IF(E8493="LO",6,10))+IF(D8493=1,2,IF(D8493=7,1,(IF(WEEKDAY(B8493)=1,2,IF(WEEKDAY(B8493)=7,1,0))))))</f>
        <v>3</v>
      </c>
      <c r="G8493" s="369">
        <f>VLOOKUP(C8493,METADATA!$J$5:$Q$29,IF(E8493="HI",2,IF(E8493="LO",6,10))+IF(D8493=1,2,IF(D8493=7,1,(IF(WEEKDAY(B8493)=1,2,IF(WEEKDAY(B8493)=7,1,0))))))</f>
        <v>3</v>
      </c>
      <c r="H8493" s="370">
        <v>12871.249694824219</v>
      </c>
      <c r="I8493" s="370">
        <v>3873.2349853515625</v>
      </c>
      <c r="M8493" s="371">
        <f t="shared" si="529"/>
        <v>13441.391965055698</v>
      </c>
      <c r="N8493" s="329">
        <f t="shared" si="530"/>
        <v>11.860076904296875</v>
      </c>
      <c r="T8493" s="331">
        <v>0</v>
      </c>
      <c r="U8493" s="328">
        <f>VLOOKUP(C8493,METADATA!$J$5:$Q$29,IF(E8493="HI",2,IF(E8493="LO",6,10))+IF(T8493=1,2,IF(D8493=7,1,(IF(WEEKDAY(B8493)=1,2,IF(WEEKDAY(B8493)=7,1,0))))))</f>
        <v>3</v>
      </c>
      <c r="V8493" s="328">
        <f>VLOOKUP(C8493,METADATA!$A$5:$H$29,IF(E8493="HI",2,IF(E8493="LO",6,10))+IF(T8493=1,2,IF(D8493=7,1,(IF(WEEKDAY(B8493)=1,2,IF(WEEKDAY(B8493)=7,1,0))))))</f>
        <v>3</v>
      </c>
    </row>
    <row r="8494" spans="2:22">
      <c r="B8494" s="318">
        <f t="shared" si="531"/>
        <v>46466</v>
      </c>
      <c r="C8494" s="312">
        <v>18</v>
      </c>
      <c r="D8494" s="368">
        <f>IFERROR((INDEX(METADATA!$T$2:$T$20,MATCH(B8494,METADATA!$S$2:$S$20,0))),0)</f>
        <v>0</v>
      </c>
      <c r="E8494" s="312" t="str">
        <f t="shared" si="528"/>
        <v>LO</v>
      </c>
      <c r="F8494" s="369">
        <f>VLOOKUP(C8494,METADATA!$A$5:$H$29,IF(E8494="HI",2,IF(E8494="LO",6,10))+IF(D8494=1,2,IF(D8494=7,1,(IF(WEEKDAY(B8494)=1,2,IF(WEEKDAY(B8494)=7,1,0))))))</f>
        <v>2</v>
      </c>
      <c r="G8494" s="369">
        <f>VLOOKUP(C8494,METADATA!$J$5:$Q$29,IF(E8494="HI",2,IF(E8494="LO",6,10))+IF(D8494=1,2,IF(D8494=7,1,(IF(WEEKDAY(B8494)=1,2,IF(WEEKDAY(B8494)=7,1,0))))))</f>
        <v>2</v>
      </c>
      <c r="H8494" s="370">
        <v>12136.449829101563</v>
      </c>
      <c r="I8494" s="370">
        <v>3318.1049728393555</v>
      </c>
      <c r="M8494" s="371">
        <f t="shared" si="529"/>
        <v>12581.861351369304</v>
      </c>
      <c r="N8494" s="329">
        <f t="shared" si="530"/>
        <v>0</v>
      </c>
      <c r="T8494" s="331">
        <v>0</v>
      </c>
      <c r="U8494" s="328">
        <f>VLOOKUP(C8494,METADATA!$J$5:$Q$29,IF(E8494="HI",2,IF(E8494="LO",6,10))+IF(T8494=1,2,IF(D8494=7,1,(IF(WEEKDAY(B8494)=1,2,IF(WEEKDAY(B8494)=7,1,0))))))</f>
        <v>2</v>
      </c>
      <c r="V8494" s="328">
        <f>VLOOKUP(C8494,METADATA!$A$5:$H$29,IF(E8494="HI",2,IF(E8494="LO",6,10))+IF(T8494=1,2,IF(D8494=7,1,(IF(WEEKDAY(B8494)=1,2,IF(WEEKDAY(B8494)=7,1,0))))))</f>
        <v>2</v>
      </c>
    </row>
    <row r="8495" spans="2:22">
      <c r="B8495" s="318">
        <f t="shared" si="531"/>
        <v>46466</v>
      </c>
      <c r="C8495" s="312">
        <v>19</v>
      </c>
      <c r="D8495" s="368">
        <f>IFERROR((INDEX(METADATA!$T$2:$T$20,MATCH(B8495,METADATA!$S$2:$S$20,0))),0)</f>
        <v>0</v>
      </c>
      <c r="E8495" s="312" t="str">
        <f t="shared" si="528"/>
        <v>LO</v>
      </c>
      <c r="F8495" s="369">
        <f>VLOOKUP(C8495,METADATA!$A$5:$H$29,IF(E8495="HI",2,IF(E8495="LO",6,10))+IF(D8495=1,2,IF(D8495=7,1,(IF(WEEKDAY(B8495)=1,2,IF(WEEKDAY(B8495)=7,1,0))))))</f>
        <v>2</v>
      </c>
      <c r="G8495" s="369">
        <f>VLOOKUP(C8495,METADATA!$J$5:$Q$29,IF(E8495="HI",2,IF(E8495="LO",6,10))+IF(D8495=1,2,IF(D8495=7,1,(IF(WEEKDAY(B8495)=1,2,IF(WEEKDAY(B8495)=7,1,0))))))</f>
        <v>2</v>
      </c>
      <c r="H8495" s="370">
        <v>12386.824523925781</v>
      </c>
      <c r="I8495" s="370">
        <v>3628.2649078369141</v>
      </c>
      <c r="M8495" s="371">
        <f t="shared" si="529"/>
        <v>12907.274229207729</v>
      </c>
      <c r="N8495" s="329">
        <f t="shared" si="530"/>
        <v>0</v>
      </c>
      <c r="T8495" s="331">
        <v>0</v>
      </c>
      <c r="U8495" s="328">
        <f>VLOOKUP(C8495,METADATA!$J$5:$Q$29,IF(E8495="HI",2,IF(E8495="LO",6,10))+IF(T8495=1,2,IF(D8495=7,1,(IF(WEEKDAY(B8495)=1,2,IF(WEEKDAY(B8495)=7,1,0))))))</f>
        <v>2</v>
      </c>
      <c r="V8495" s="328">
        <f>VLOOKUP(C8495,METADATA!$A$5:$H$29,IF(E8495="HI",2,IF(E8495="LO",6,10))+IF(T8495=1,2,IF(D8495=7,1,(IF(WEEKDAY(B8495)=1,2,IF(WEEKDAY(B8495)=7,1,0))))))</f>
        <v>2</v>
      </c>
    </row>
    <row r="8496" spans="2:22">
      <c r="B8496" s="318">
        <f t="shared" si="531"/>
        <v>46466</v>
      </c>
      <c r="C8496" s="312">
        <v>20</v>
      </c>
      <c r="D8496" s="368">
        <f>IFERROR((INDEX(METADATA!$T$2:$T$20,MATCH(B8496,METADATA!$S$2:$S$20,0))),0)</f>
        <v>0</v>
      </c>
      <c r="E8496" s="312" t="str">
        <f t="shared" si="528"/>
        <v>LO</v>
      </c>
      <c r="F8496" s="369">
        <f>VLOOKUP(C8496,METADATA!$A$5:$H$29,IF(E8496="HI",2,IF(E8496="LO",6,10))+IF(D8496=1,2,IF(D8496=7,1,(IF(WEEKDAY(B8496)=1,2,IF(WEEKDAY(B8496)=7,1,0))))))</f>
        <v>3</v>
      </c>
      <c r="G8496" s="369">
        <f>VLOOKUP(C8496,METADATA!$J$5:$Q$29,IF(E8496="HI",2,IF(E8496="LO",6,10))+IF(D8496=1,2,IF(D8496=7,1,(IF(WEEKDAY(B8496)=1,2,IF(WEEKDAY(B8496)=7,1,0))))))</f>
        <v>3</v>
      </c>
      <c r="H8496" s="370">
        <v>12520.374877929688</v>
      </c>
      <c r="I8496" s="370">
        <v>3906.3799743652344</v>
      </c>
      <c r="M8496" s="371">
        <f t="shared" si="529"/>
        <v>13115.623949626435</v>
      </c>
      <c r="N8496" s="329">
        <f t="shared" si="530"/>
        <v>150.26751098632849</v>
      </c>
      <c r="T8496" s="331">
        <v>0</v>
      </c>
      <c r="U8496" s="328">
        <f>VLOOKUP(C8496,METADATA!$J$5:$Q$29,IF(E8496="HI",2,IF(E8496="LO",6,10))+IF(T8496=1,2,IF(D8496=7,1,(IF(WEEKDAY(B8496)=1,2,IF(WEEKDAY(B8496)=7,1,0))))))</f>
        <v>3</v>
      </c>
      <c r="V8496" s="328">
        <f>VLOOKUP(C8496,METADATA!$A$5:$H$29,IF(E8496="HI",2,IF(E8496="LO",6,10))+IF(T8496=1,2,IF(D8496=7,1,(IF(WEEKDAY(B8496)=1,2,IF(WEEKDAY(B8496)=7,1,0))))))</f>
        <v>3</v>
      </c>
    </row>
    <row r="8497" spans="2:22">
      <c r="B8497" s="318">
        <f t="shared" si="531"/>
        <v>46466</v>
      </c>
      <c r="C8497" s="312">
        <v>21</v>
      </c>
      <c r="D8497" s="368">
        <f>IFERROR((INDEX(METADATA!$T$2:$T$20,MATCH(B8497,METADATA!$S$2:$S$20,0))),0)</f>
        <v>0</v>
      </c>
      <c r="E8497" s="312" t="str">
        <f t="shared" si="528"/>
        <v>LO</v>
      </c>
      <c r="F8497" s="369">
        <f>VLOOKUP(C8497,METADATA!$A$5:$H$29,IF(E8497="HI",2,IF(E8497="LO",6,10))+IF(D8497=1,2,IF(D8497=7,1,(IF(WEEKDAY(B8497)=1,2,IF(WEEKDAY(B8497)=7,1,0))))))</f>
        <v>3</v>
      </c>
      <c r="G8497" s="369">
        <f>VLOOKUP(C8497,METADATA!$J$5:$Q$29,IF(E8497="HI",2,IF(E8497="LO",6,10))+IF(D8497=1,2,IF(D8497=7,1,(IF(WEEKDAY(B8497)=1,2,IF(WEEKDAY(B8497)=7,1,0))))))</f>
        <v>3</v>
      </c>
      <c r="H8497" s="370">
        <v>12537.499816894531</v>
      </c>
      <c r="I8497" s="370">
        <v>4029.8749694824219</v>
      </c>
      <c r="M8497" s="371">
        <f t="shared" si="529"/>
        <v>13169.236649414854</v>
      </c>
      <c r="N8497" s="329">
        <f t="shared" si="530"/>
        <v>268.62502441406286</v>
      </c>
      <c r="T8497" s="331">
        <v>0</v>
      </c>
      <c r="U8497" s="328">
        <f>VLOOKUP(C8497,METADATA!$J$5:$Q$29,IF(E8497="HI",2,IF(E8497="LO",6,10))+IF(T8497=1,2,IF(D8497=7,1,(IF(WEEKDAY(B8497)=1,2,IF(WEEKDAY(B8497)=7,1,0))))))</f>
        <v>3</v>
      </c>
      <c r="V8497" s="328">
        <f>VLOOKUP(C8497,METADATA!$A$5:$H$29,IF(E8497="HI",2,IF(E8497="LO",6,10))+IF(T8497=1,2,IF(D8497=7,1,(IF(WEEKDAY(B8497)=1,2,IF(WEEKDAY(B8497)=7,1,0))))))</f>
        <v>3</v>
      </c>
    </row>
    <row r="8498" spans="2:22">
      <c r="B8498" s="318">
        <f t="shared" si="531"/>
        <v>46466</v>
      </c>
      <c r="C8498" s="312">
        <v>22</v>
      </c>
      <c r="D8498" s="368">
        <f>IFERROR((INDEX(METADATA!$T$2:$T$20,MATCH(B8498,METADATA!$S$2:$S$20,0))),0)</f>
        <v>0</v>
      </c>
      <c r="E8498" s="312" t="str">
        <f t="shared" si="528"/>
        <v>LO</v>
      </c>
      <c r="F8498" s="369">
        <f>VLOOKUP(C8498,METADATA!$A$5:$H$29,IF(E8498="HI",2,IF(E8498="LO",6,10))+IF(D8498=1,2,IF(D8498=7,1,(IF(WEEKDAY(B8498)=1,2,IF(WEEKDAY(B8498)=7,1,0))))))</f>
        <v>3</v>
      </c>
      <c r="G8498" s="369">
        <f>VLOOKUP(C8498,METADATA!$J$5:$Q$29,IF(E8498="HI",2,IF(E8498="LO",6,10))+IF(D8498=1,2,IF(D8498=7,1,(IF(WEEKDAY(B8498)=1,2,IF(WEEKDAY(B8498)=7,1,0))))))</f>
        <v>3</v>
      </c>
      <c r="H8498" s="370">
        <v>12362.775207519531</v>
      </c>
      <c r="I8498" s="370">
        <v>3871.4249572753906</v>
      </c>
      <c r="M8498" s="371">
        <f t="shared" si="529"/>
        <v>12954.772944033961</v>
      </c>
      <c r="N8498" s="329">
        <f t="shared" si="530"/>
        <v>162.59239501953152</v>
      </c>
      <c r="T8498" s="331">
        <v>0</v>
      </c>
      <c r="U8498" s="328">
        <f>VLOOKUP(C8498,METADATA!$J$5:$Q$29,IF(E8498="HI",2,IF(E8498="LO",6,10))+IF(T8498=1,2,IF(D8498=7,1,(IF(WEEKDAY(B8498)=1,2,IF(WEEKDAY(B8498)=7,1,0))))))</f>
        <v>3</v>
      </c>
      <c r="V8498" s="328">
        <f>VLOOKUP(C8498,METADATA!$A$5:$H$29,IF(E8498="HI",2,IF(E8498="LO",6,10))+IF(T8498=1,2,IF(D8498=7,1,(IF(WEEKDAY(B8498)=1,2,IF(WEEKDAY(B8498)=7,1,0))))))</f>
        <v>3</v>
      </c>
    </row>
    <row r="8499" spans="2:22">
      <c r="B8499" s="318">
        <f t="shared" si="531"/>
        <v>46466</v>
      </c>
      <c r="C8499" s="312">
        <v>23</v>
      </c>
      <c r="D8499" s="368">
        <f>IFERROR((INDEX(METADATA!$T$2:$T$20,MATCH(B8499,METADATA!$S$2:$S$20,0))),0)</f>
        <v>0</v>
      </c>
      <c r="E8499" s="312" t="str">
        <f t="shared" si="528"/>
        <v>LO</v>
      </c>
      <c r="F8499" s="369">
        <f>VLOOKUP(C8499,METADATA!$A$5:$H$29,IF(E8499="HI",2,IF(E8499="LO",6,10))+IF(D8499=1,2,IF(D8499=7,1,(IF(WEEKDAY(B8499)=1,2,IF(WEEKDAY(B8499)=7,1,0))))))</f>
        <v>3</v>
      </c>
      <c r="G8499" s="369">
        <f>VLOOKUP(C8499,METADATA!$J$5:$Q$29,IF(E8499="HI",2,IF(E8499="LO",6,10))+IF(D8499=1,2,IF(D8499=7,1,(IF(WEEKDAY(B8499)=1,2,IF(WEEKDAY(B8499)=7,1,0))))))</f>
        <v>3</v>
      </c>
      <c r="H8499" s="370">
        <v>12365.275268554688</v>
      </c>
      <c r="I8499" s="370">
        <v>3726.7449951171875</v>
      </c>
      <c r="M8499" s="371">
        <f t="shared" si="529"/>
        <v>12914.668432668381</v>
      </c>
      <c r="N8499" s="329">
        <f t="shared" si="530"/>
        <v>17.16241455078125</v>
      </c>
      <c r="T8499" s="331">
        <v>0</v>
      </c>
      <c r="U8499" s="328">
        <f>VLOOKUP(C8499,METADATA!$J$5:$Q$29,IF(E8499="HI",2,IF(E8499="LO",6,10))+IF(T8499=1,2,IF(D8499=7,1,(IF(WEEKDAY(B8499)=1,2,IF(WEEKDAY(B8499)=7,1,0))))))</f>
        <v>3</v>
      </c>
      <c r="V8499" s="328">
        <f>VLOOKUP(C8499,METADATA!$A$5:$H$29,IF(E8499="HI",2,IF(E8499="LO",6,10))+IF(T8499=1,2,IF(D8499=7,1,(IF(WEEKDAY(B8499)=1,2,IF(WEEKDAY(B8499)=7,1,0))))))</f>
        <v>3</v>
      </c>
    </row>
    <row r="8500" spans="2:22">
      <c r="B8500" s="318">
        <f t="shared" si="531"/>
        <v>46467</v>
      </c>
      <c r="C8500" s="312">
        <v>0</v>
      </c>
      <c r="D8500" s="368">
        <f>IFERROR((INDEX(METADATA!$T$2:$T$20,MATCH(B8500,METADATA!$S$2:$S$20,0))),0)</f>
        <v>1</v>
      </c>
      <c r="E8500" s="312" t="str">
        <f t="shared" si="528"/>
        <v>LO</v>
      </c>
      <c r="F8500" s="369">
        <f>VLOOKUP(C8500,METADATA!$A$5:$H$29,IF(E8500="HI",2,IF(E8500="LO",6,10))+IF(D8500=1,2,IF(D8500=7,1,(IF(WEEKDAY(B8500)=1,2,IF(WEEKDAY(B8500)=7,1,0))))))</f>
        <v>3</v>
      </c>
      <c r="G8500" s="369">
        <f>VLOOKUP(C8500,METADATA!$J$5:$Q$29,IF(E8500="HI",2,IF(E8500="LO",6,10))+IF(D8500=1,2,IF(D8500=7,1,(IF(WEEKDAY(B8500)=1,2,IF(WEEKDAY(B8500)=7,1,0))))))</f>
        <v>3</v>
      </c>
      <c r="H8500" s="370">
        <v>11208.67529296875</v>
      </c>
      <c r="I8500" s="370">
        <v>2967.2625122070313</v>
      </c>
      <c r="M8500" s="371">
        <f t="shared" si="529"/>
        <v>11594.785407223251</v>
      </c>
      <c r="N8500" s="329">
        <f t="shared" si="530"/>
        <v>0</v>
      </c>
      <c r="T8500" s="331">
        <v>0</v>
      </c>
      <c r="U8500" s="328">
        <f>VLOOKUP(C8500,METADATA!$J$5:$Q$29,IF(E8500="HI",2,IF(E8500="LO",6,10))+IF(T8500=1,2,IF(D8500=7,1,(IF(WEEKDAY(B8500)=1,2,IF(WEEKDAY(B8500)=7,1,0))))))</f>
        <v>3</v>
      </c>
      <c r="V8500" s="328">
        <f>VLOOKUP(C8500,METADATA!$A$5:$H$29,IF(E8500="HI",2,IF(E8500="LO",6,10))+IF(T8500=1,2,IF(D8500=7,1,(IF(WEEKDAY(B8500)=1,2,IF(WEEKDAY(B8500)=7,1,0))))))</f>
        <v>3</v>
      </c>
    </row>
    <row r="8501" spans="2:22">
      <c r="B8501" s="318">
        <f t="shared" si="531"/>
        <v>46467</v>
      </c>
      <c r="C8501" s="312">
        <v>1</v>
      </c>
      <c r="D8501" s="368">
        <f>IFERROR((INDEX(METADATA!$T$2:$T$20,MATCH(B8501,METADATA!$S$2:$S$20,0))),0)</f>
        <v>1</v>
      </c>
      <c r="E8501" s="312" t="str">
        <f t="shared" si="528"/>
        <v>LO</v>
      </c>
      <c r="F8501" s="369">
        <f>VLOOKUP(C8501,METADATA!$A$5:$H$29,IF(E8501="HI",2,IF(E8501="LO",6,10))+IF(D8501=1,2,IF(D8501=7,1,(IF(WEEKDAY(B8501)=1,2,IF(WEEKDAY(B8501)=7,1,0))))))</f>
        <v>3</v>
      </c>
      <c r="G8501" s="369">
        <f>VLOOKUP(C8501,METADATA!$J$5:$Q$29,IF(E8501="HI",2,IF(E8501="LO",6,10))+IF(D8501=1,2,IF(D8501=7,1,(IF(WEEKDAY(B8501)=1,2,IF(WEEKDAY(B8501)=7,1,0))))))</f>
        <v>3</v>
      </c>
      <c r="H8501" s="370">
        <v>12720.887451171875</v>
      </c>
      <c r="I8501" s="370">
        <v>3863.7150573730469</v>
      </c>
      <c r="M8501" s="371">
        <f t="shared" si="529"/>
        <v>13294.708405600828</v>
      </c>
      <c r="N8501" s="329">
        <f t="shared" si="530"/>
        <v>47.448822021484375</v>
      </c>
      <c r="T8501" s="331">
        <v>0</v>
      </c>
      <c r="U8501" s="328">
        <f>VLOOKUP(C8501,METADATA!$J$5:$Q$29,IF(E8501="HI",2,IF(E8501="LO",6,10))+IF(T8501=1,2,IF(D8501=7,1,(IF(WEEKDAY(B8501)=1,2,IF(WEEKDAY(B8501)=7,1,0))))))</f>
        <v>3</v>
      </c>
      <c r="V8501" s="328">
        <f>VLOOKUP(C8501,METADATA!$A$5:$H$29,IF(E8501="HI",2,IF(E8501="LO",6,10))+IF(T8501=1,2,IF(D8501=7,1,(IF(WEEKDAY(B8501)=1,2,IF(WEEKDAY(B8501)=7,1,0))))))</f>
        <v>3</v>
      </c>
    </row>
    <row r="8502" spans="2:22">
      <c r="B8502" s="318">
        <f t="shared" si="531"/>
        <v>46467</v>
      </c>
      <c r="C8502" s="312">
        <v>2</v>
      </c>
      <c r="D8502" s="368">
        <f>IFERROR((INDEX(METADATA!$T$2:$T$20,MATCH(B8502,METADATA!$S$2:$S$20,0))),0)</f>
        <v>1</v>
      </c>
      <c r="E8502" s="312" t="str">
        <f t="shared" si="528"/>
        <v>LO</v>
      </c>
      <c r="F8502" s="369">
        <f>VLOOKUP(C8502,METADATA!$A$5:$H$29,IF(E8502="HI",2,IF(E8502="LO",6,10))+IF(D8502=1,2,IF(D8502=7,1,(IF(WEEKDAY(B8502)=1,2,IF(WEEKDAY(B8502)=7,1,0))))))</f>
        <v>3</v>
      </c>
      <c r="G8502" s="369">
        <f>VLOOKUP(C8502,METADATA!$J$5:$Q$29,IF(E8502="HI",2,IF(E8502="LO",6,10))+IF(D8502=1,2,IF(D8502=7,1,(IF(WEEKDAY(B8502)=1,2,IF(WEEKDAY(B8502)=7,1,0))))))</f>
        <v>3</v>
      </c>
      <c r="H8502" s="370">
        <v>13012.949951171875</v>
      </c>
      <c r="I8502" s="370">
        <v>4020.760009765625</v>
      </c>
      <c r="M8502" s="371">
        <f t="shared" si="529"/>
        <v>13619.962462790952</v>
      </c>
      <c r="N8502" s="329">
        <f t="shared" si="530"/>
        <v>116.87502441406286</v>
      </c>
      <c r="T8502" s="331">
        <v>0</v>
      </c>
      <c r="U8502" s="328">
        <f>VLOOKUP(C8502,METADATA!$J$5:$Q$29,IF(E8502="HI",2,IF(E8502="LO",6,10))+IF(T8502=1,2,IF(D8502=7,1,(IF(WEEKDAY(B8502)=1,2,IF(WEEKDAY(B8502)=7,1,0))))))</f>
        <v>3</v>
      </c>
      <c r="V8502" s="328">
        <f>VLOOKUP(C8502,METADATA!$A$5:$H$29,IF(E8502="HI",2,IF(E8502="LO",6,10))+IF(T8502=1,2,IF(D8502=7,1,(IF(WEEKDAY(B8502)=1,2,IF(WEEKDAY(B8502)=7,1,0))))))</f>
        <v>3</v>
      </c>
    </row>
    <row r="8503" spans="2:22">
      <c r="B8503" s="318">
        <f t="shared" si="531"/>
        <v>46467</v>
      </c>
      <c r="C8503" s="312">
        <v>3</v>
      </c>
      <c r="D8503" s="368">
        <f>IFERROR((INDEX(METADATA!$T$2:$T$20,MATCH(B8503,METADATA!$S$2:$S$20,0))),0)</f>
        <v>1</v>
      </c>
      <c r="E8503" s="312" t="str">
        <f t="shared" si="528"/>
        <v>LO</v>
      </c>
      <c r="F8503" s="369">
        <f>VLOOKUP(C8503,METADATA!$A$5:$H$29,IF(E8503="HI",2,IF(E8503="LO",6,10))+IF(D8503=1,2,IF(D8503=7,1,(IF(WEEKDAY(B8503)=1,2,IF(WEEKDAY(B8503)=7,1,0))))))</f>
        <v>3</v>
      </c>
      <c r="G8503" s="369">
        <f>VLOOKUP(C8503,METADATA!$J$5:$Q$29,IF(E8503="HI",2,IF(E8503="LO",6,10))+IF(D8503=1,2,IF(D8503=7,1,(IF(WEEKDAY(B8503)=1,2,IF(WEEKDAY(B8503)=7,1,0))))))</f>
        <v>3</v>
      </c>
      <c r="H8503" s="370">
        <v>13035.2001953125</v>
      </c>
      <c r="I8503" s="370">
        <v>3940.6700439453125</v>
      </c>
      <c r="M8503" s="371">
        <f t="shared" si="529"/>
        <v>13617.831124196062</v>
      </c>
      <c r="N8503" s="329">
        <f t="shared" si="530"/>
        <v>30.1099853515625</v>
      </c>
      <c r="T8503" s="331">
        <v>0</v>
      </c>
      <c r="U8503" s="328">
        <f>VLOOKUP(C8503,METADATA!$J$5:$Q$29,IF(E8503="HI",2,IF(E8503="LO",6,10))+IF(T8503=1,2,IF(D8503=7,1,(IF(WEEKDAY(B8503)=1,2,IF(WEEKDAY(B8503)=7,1,0))))))</f>
        <v>3</v>
      </c>
      <c r="V8503" s="328">
        <f>VLOOKUP(C8503,METADATA!$A$5:$H$29,IF(E8503="HI",2,IF(E8503="LO",6,10))+IF(T8503=1,2,IF(D8503=7,1,(IF(WEEKDAY(B8503)=1,2,IF(WEEKDAY(B8503)=7,1,0))))))</f>
        <v>3</v>
      </c>
    </row>
    <row r="8504" spans="2:22">
      <c r="B8504" s="318">
        <f t="shared" si="531"/>
        <v>46467</v>
      </c>
      <c r="C8504" s="312">
        <v>4</v>
      </c>
      <c r="D8504" s="368">
        <f>IFERROR((INDEX(METADATA!$T$2:$T$20,MATCH(B8504,METADATA!$S$2:$S$20,0))),0)</f>
        <v>1</v>
      </c>
      <c r="E8504" s="312" t="str">
        <f t="shared" si="528"/>
        <v>LO</v>
      </c>
      <c r="F8504" s="369">
        <f>VLOOKUP(C8504,METADATA!$A$5:$H$29,IF(E8504="HI",2,IF(E8504="LO",6,10))+IF(D8504=1,2,IF(D8504=7,1,(IF(WEEKDAY(B8504)=1,2,IF(WEEKDAY(B8504)=7,1,0))))))</f>
        <v>3</v>
      </c>
      <c r="G8504" s="369">
        <f>VLOOKUP(C8504,METADATA!$J$5:$Q$29,IF(E8504="HI",2,IF(E8504="LO",6,10))+IF(D8504=1,2,IF(D8504=7,1,(IF(WEEKDAY(B8504)=1,2,IF(WEEKDAY(B8504)=7,1,0))))))</f>
        <v>3</v>
      </c>
      <c r="H8504" s="370">
        <v>13056.399658203125</v>
      </c>
      <c r="I8504" s="370">
        <v>3969.9500427246094</v>
      </c>
      <c r="M8504" s="371">
        <f t="shared" si="529"/>
        <v>13646.614062706391</v>
      </c>
      <c r="N8504" s="329">
        <f t="shared" si="530"/>
        <v>53.030145263672239</v>
      </c>
      <c r="T8504" s="331">
        <v>0</v>
      </c>
      <c r="U8504" s="328">
        <f>VLOOKUP(C8504,METADATA!$J$5:$Q$29,IF(E8504="HI",2,IF(E8504="LO",6,10))+IF(T8504=1,2,IF(D8504=7,1,(IF(WEEKDAY(B8504)=1,2,IF(WEEKDAY(B8504)=7,1,0))))))</f>
        <v>3</v>
      </c>
      <c r="V8504" s="328">
        <f>VLOOKUP(C8504,METADATA!$A$5:$H$29,IF(E8504="HI",2,IF(E8504="LO",6,10))+IF(T8504=1,2,IF(D8504=7,1,(IF(WEEKDAY(B8504)=1,2,IF(WEEKDAY(B8504)=7,1,0))))))</f>
        <v>3</v>
      </c>
    </row>
    <row r="8505" spans="2:22">
      <c r="B8505" s="318">
        <f t="shared" si="531"/>
        <v>46467</v>
      </c>
      <c r="C8505" s="312">
        <v>5</v>
      </c>
      <c r="D8505" s="368">
        <f>IFERROR((INDEX(METADATA!$T$2:$T$20,MATCH(B8505,METADATA!$S$2:$S$20,0))),0)</f>
        <v>1</v>
      </c>
      <c r="E8505" s="312" t="str">
        <f t="shared" si="528"/>
        <v>LO</v>
      </c>
      <c r="F8505" s="369">
        <f>VLOOKUP(C8505,METADATA!$A$5:$H$29,IF(E8505="HI",2,IF(E8505="LO",6,10))+IF(D8505=1,2,IF(D8505=7,1,(IF(WEEKDAY(B8505)=1,2,IF(WEEKDAY(B8505)=7,1,0))))))</f>
        <v>3</v>
      </c>
      <c r="G8505" s="369">
        <f>VLOOKUP(C8505,METADATA!$J$5:$Q$29,IF(E8505="HI",2,IF(E8505="LO",6,10))+IF(D8505=1,2,IF(D8505=7,1,(IF(WEEKDAY(B8505)=1,2,IF(WEEKDAY(B8505)=7,1,0))))))</f>
        <v>3</v>
      </c>
      <c r="H8505" s="370">
        <v>12366.950256347656</v>
      </c>
      <c r="I8505" s="370">
        <v>3576.5499572753906</v>
      </c>
      <c r="M8505" s="371">
        <f t="shared" si="529"/>
        <v>12873.739481590575</v>
      </c>
      <c r="N8505" s="329">
        <f t="shared" si="530"/>
        <v>0</v>
      </c>
      <c r="T8505" s="331">
        <v>0</v>
      </c>
      <c r="U8505" s="328">
        <f>VLOOKUP(C8505,METADATA!$J$5:$Q$29,IF(E8505="HI",2,IF(E8505="LO",6,10))+IF(T8505=1,2,IF(D8505=7,1,(IF(WEEKDAY(B8505)=1,2,IF(WEEKDAY(B8505)=7,1,0))))))</f>
        <v>3</v>
      </c>
      <c r="V8505" s="328">
        <f>VLOOKUP(C8505,METADATA!$A$5:$H$29,IF(E8505="HI",2,IF(E8505="LO",6,10))+IF(T8505=1,2,IF(D8505=7,1,(IF(WEEKDAY(B8505)=1,2,IF(WEEKDAY(B8505)=7,1,0))))))</f>
        <v>3</v>
      </c>
    </row>
    <row r="8506" spans="2:22">
      <c r="B8506" s="318">
        <f t="shared" si="531"/>
        <v>46467</v>
      </c>
      <c r="C8506" s="312">
        <v>6</v>
      </c>
      <c r="D8506" s="368">
        <f>IFERROR((INDEX(METADATA!$T$2:$T$20,MATCH(B8506,METADATA!$S$2:$S$20,0))),0)</f>
        <v>1</v>
      </c>
      <c r="E8506" s="312" t="str">
        <f t="shared" si="528"/>
        <v>LO</v>
      </c>
      <c r="F8506" s="369">
        <f>VLOOKUP(C8506,METADATA!$A$5:$H$29,IF(E8506="HI",2,IF(E8506="LO",6,10))+IF(D8506=1,2,IF(D8506=7,1,(IF(WEEKDAY(B8506)=1,2,IF(WEEKDAY(B8506)=7,1,0))))))</f>
        <v>3</v>
      </c>
      <c r="G8506" s="369">
        <f>VLOOKUP(C8506,METADATA!$J$5:$Q$29,IF(E8506="HI",2,IF(E8506="LO",6,10))+IF(D8506=1,2,IF(D8506=7,1,(IF(WEEKDAY(B8506)=1,2,IF(WEEKDAY(B8506)=7,1,0))))))</f>
        <v>3</v>
      </c>
      <c r="H8506" s="370">
        <v>11059.750122070313</v>
      </c>
      <c r="I8506" s="370">
        <v>2811.6298828125</v>
      </c>
      <c r="M8506" s="371">
        <f t="shared" si="529"/>
        <v>11411.543951655207</v>
      </c>
      <c r="N8506" s="329">
        <f t="shared" si="530"/>
        <v>0</v>
      </c>
      <c r="T8506" s="331">
        <v>0</v>
      </c>
      <c r="U8506" s="328">
        <f>VLOOKUP(C8506,METADATA!$J$5:$Q$29,IF(E8506="HI",2,IF(E8506="LO",6,10))+IF(T8506=1,2,IF(D8506=7,1,(IF(WEEKDAY(B8506)=1,2,IF(WEEKDAY(B8506)=7,1,0))))))</f>
        <v>3</v>
      </c>
      <c r="V8506" s="328">
        <f>VLOOKUP(C8506,METADATA!$A$5:$H$29,IF(E8506="HI",2,IF(E8506="LO",6,10))+IF(T8506=1,2,IF(D8506=7,1,(IF(WEEKDAY(B8506)=1,2,IF(WEEKDAY(B8506)=7,1,0))))))</f>
        <v>3</v>
      </c>
    </row>
    <row r="8507" spans="2:22">
      <c r="B8507" s="318">
        <f t="shared" si="531"/>
        <v>46467</v>
      </c>
      <c r="C8507" s="312">
        <v>7</v>
      </c>
      <c r="D8507" s="368">
        <f>IFERROR((INDEX(METADATA!$T$2:$T$20,MATCH(B8507,METADATA!$S$2:$S$20,0))),0)</f>
        <v>1</v>
      </c>
      <c r="E8507" s="312" t="str">
        <f t="shared" si="528"/>
        <v>LO</v>
      </c>
      <c r="F8507" s="369">
        <f>VLOOKUP(C8507,METADATA!$A$5:$H$29,IF(E8507="HI",2,IF(E8507="LO",6,10))+IF(D8507=1,2,IF(D8507=7,1,(IF(WEEKDAY(B8507)=1,2,IF(WEEKDAY(B8507)=7,1,0))))))</f>
        <v>3</v>
      </c>
      <c r="G8507" s="369">
        <f>VLOOKUP(C8507,METADATA!$J$5:$Q$29,IF(E8507="HI",2,IF(E8507="LO",6,10))+IF(D8507=1,2,IF(D8507=7,1,(IF(WEEKDAY(B8507)=1,2,IF(WEEKDAY(B8507)=7,1,0))))))</f>
        <v>3</v>
      </c>
      <c r="H8507" s="370">
        <v>11512.174743652344</v>
      </c>
      <c r="I8507" s="370">
        <v>3047.3174133300781</v>
      </c>
      <c r="M8507" s="371">
        <f t="shared" si="529"/>
        <v>11908.665363758091</v>
      </c>
      <c r="N8507" s="329">
        <f t="shared" si="530"/>
        <v>0</v>
      </c>
      <c r="T8507" s="331">
        <v>0</v>
      </c>
      <c r="U8507" s="328">
        <f>VLOOKUP(C8507,METADATA!$J$5:$Q$29,IF(E8507="HI",2,IF(E8507="LO",6,10))+IF(T8507=1,2,IF(D8507=7,1,(IF(WEEKDAY(B8507)=1,2,IF(WEEKDAY(B8507)=7,1,0))))))</f>
        <v>3</v>
      </c>
      <c r="V8507" s="328">
        <f>VLOOKUP(C8507,METADATA!$A$5:$H$29,IF(E8507="HI",2,IF(E8507="LO",6,10))+IF(T8507=1,2,IF(D8507=7,1,(IF(WEEKDAY(B8507)=1,2,IF(WEEKDAY(B8507)=7,1,0))))))</f>
        <v>3</v>
      </c>
    </row>
    <row r="8508" spans="2:22">
      <c r="B8508" s="318">
        <f t="shared" si="531"/>
        <v>46467</v>
      </c>
      <c r="C8508" s="312">
        <v>8</v>
      </c>
      <c r="D8508" s="368">
        <f>IFERROR((INDEX(METADATA!$T$2:$T$20,MATCH(B8508,METADATA!$S$2:$S$20,0))),0)</f>
        <v>1</v>
      </c>
      <c r="E8508" s="312" t="str">
        <f t="shared" si="528"/>
        <v>LO</v>
      </c>
      <c r="F8508" s="369">
        <f>VLOOKUP(C8508,METADATA!$A$5:$H$29,IF(E8508="HI",2,IF(E8508="LO",6,10))+IF(D8508=1,2,IF(D8508=7,1,(IF(WEEKDAY(B8508)=1,2,IF(WEEKDAY(B8508)=7,1,0))))))</f>
        <v>3</v>
      </c>
      <c r="G8508" s="369">
        <f>VLOOKUP(C8508,METADATA!$J$5:$Q$29,IF(E8508="HI",2,IF(E8508="LO",6,10))+IF(D8508=1,2,IF(D8508=7,1,(IF(WEEKDAY(B8508)=1,2,IF(WEEKDAY(B8508)=7,1,0))))))</f>
        <v>3</v>
      </c>
      <c r="H8508" s="370">
        <v>12793.2001953125</v>
      </c>
      <c r="I8508" s="370">
        <v>3966.2999877929688</v>
      </c>
      <c r="M8508" s="371">
        <f t="shared" si="529"/>
        <v>13393.935449691786</v>
      </c>
      <c r="N8508" s="329">
        <f t="shared" si="530"/>
        <v>128.33992919921911</v>
      </c>
      <c r="T8508" s="331">
        <v>0</v>
      </c>
      <c r="U8508" s="328">
        <f>VLOOKUP(C8508,METADATA!$J$5:$Q$29,IF(E8508="HI",2,IF(E8508="LO",6,10))+IF(T8508=1,2,IF(D8508=7,1,(IF(WEEKDAY(B8508)=1,2,IF(WEEKDAY(B8508)=7,1,0))))))</f>
        <v>3</v>
      </c>
      <c r="V8508" s="328">
        <f>VLOOKUP(C8508,METADATA!$A$5:$H$29,IF(E8508="HI",2,IF(E8508="LO",6,10))+IF(T8508=1,2,IF(D8508=7,1,(IF(WEEKDAY(B8508)=1,2,IF(WEEKDAY(B8508)=7,1,0))))))</f>
        <v>3</v>
      </c>
    </row>
    <row r="8509" spans="2:22">
      <c r="B8509" s="318">
        <f t="shared" si="531"/>
        <v>46467</v>
      </c>
      <c r="C8509" s="312">
        <v>9</v>
      </c>
      <c r="D8509" s="368">
        <f>IFERROR((INDEX(METADATA!$T$2:$T$20,MATCH(B8509,METADATA!$S$2:$S$20,0))),0)</f>
        <v>1</v>
      </c>
      <c r="E8509" s="312" t="str">
        <f t="shared" si="528"/>
        <v>LO</v>
      </c>
      <c r="F8509" s="369">
        <f>VLOOKUP(C8509,METADATA!$A$5:$H$29,IF(E8509="HI",2,IF(E8509="LO",6,10))+IF(D8509=1,2,IF(D8509=7,1,(IF(WEEKDAY(B8509)=1,2,IF(WEEKDAY(B8509)=7,1,0))))))</f>
        <v>3</v>
      </c>
      <c r="G8509" s="369">
        <f>VLOOKUP(C8509,METADATA!$J$5:$Q$29,IF(E8509="HI",2,IF(E8509="LO",6,10))+IF(D8509=1,2,IF(D8509=7,1,(IF(WEEKDAY(B8509)=1,2,IF(WEEKDAY(B8509)=7,1,0))))))</f>
        <v>3</v>
      </c>
      <c r="H8509" s="370">
        <v>12847.875549316406</v>
      </c>
      <c r="I8509" s="370">
        <v>3823.2200317382813</v>
      </c>
      <c r="M8509" s="371">
        <f t="shared" si="529"/>
        <v>13404.660291921135</v>
      </c>
      <c r="N8509" s="329">
        <f t="shared" si="530"/>
        <v>0</v>
      </c>
      <c r="T8509" s="331">
        <v>0</v>
      </c>
      <c r="U8509" s="328">
        <f>VLOOKUP(C8509,METADATA!$J$5:$Q$29,IF(E8509="HI",2,IF(E8509="LO",6,10))+IF(T8509=1,2,IF(D8509=7,1,(IF(WEEKDAY(B8509)=1,2,IF(WEEKDAY(B8509)=7,1,0))))))</f>
        <v>3</v>
      </c>
      <c r="V8509" s="328">
        <f>VLOOKUP(C8509,METADATA!$A$5:$H$29,IF(E8509="HI",2,IF(E8509="LO",6,10))+IF(T8509=1,2,IF(D8509=7,1,(IF(WEEKDAY(B8509)=1,2,IF(WEEKDAY(B8509)=7,1,0))))))</f>
        <v>3</v>
      </c>
    </row>
    <row r="8510" spans="2:22">
      <c r="B8510" s="318">
        <f t="shared" si="531"/>
        <v>46467</v>
      </c>
      <c r="C8510" s="312">
        <v>10</v>
      </c>
      <c r="D8510" s="368">
        <f>IFERROR((INDEX(METADATA!$T$2:$T$20,MATCH(B8510,METADATA!$S$2:$S$20,0))),0)</f>
        <v>1</v>
      </c>
      <c r="E8510" s="312" t="str">
        <f t="shared" si="528"/>
        <v>LO</v>
      </c>
      <c r="F8510" s="369">
        <f>VLOOKUP(C8510,METADATA!$A$5:$H$29,IF(E8510="HI",2,IF(E8510="LO",6,10))+IF(D8510=1,2,IF(D8510=7,1,(IF(WEEKDAY(B8510)=1,2,IF(WEEKDAY(B8510)=7,1,0))))))</f>
        <v>3</v>
      </c>
      <c r="G8510" s="369">
        <f>VLOOKUP(C8510,METADATA!$J$5:$Q$29,IF(E8510="HI",2,IF(E8510="LO",6,10))+IF(D8510=1,2,IF(D8510=7,1,(IF(WEEKDAY(B8510)=1,2,IF(WEEKDAY(B8510)=7,1,0))))))</f>
        <v>3</v>
      </c>
      <c r="H8510" s="370">
        <v>12838.825134277344</v>
      </c>
      <c r="I8510" s="370">
        <v>3979.2299194335938</v>
      </c>
      <c r="M8510" s="371">
        <f t="shared" si="529"/>
        <v>13441.342997642279</v>
      </c>
      <c r="N8510" s="329">
        <f t="shared" si="530"/>
        <v>127.58237915039081</v>
      </c>
      <c r="T8510" s="331">
        <v>0</v>
      </c>
      <c r="U8510" s="328">
        <f>VLOOKUP(C8510,METADATA!$J$5:$Q$29,IF(E8510="HI",2,IF(E8510="LO",6,10))+IF(T8510=1,2,IF(D8510=7,1,(IF(WEEKDAY(B8510)=1,2,IF(WEEKDAY(B8510)=7,1,0))))))</f>
        <v>3</v>
      </c>
      <c r="V8510" s="328">
        <f>VLOOKUP(C8510,METADATA!$A$5:$H$29,IF(E8510="HI",2,IF(E8510="LO",6,10))+IF(T8510=1,2,IF(D8510=7,1,(IF(WEEKDAY(B8510)=1,2,IF(WEEKDAY(B8510)=7,1,0))))))</f>
        <v>3</v>
      </c>
    </row>
    <row r="8511" spans="2:22">
      <c r="B8511" s="318">
        <f t="shared" si="531"/>
        <v>46467</v>
      </c>
      <c r="C8511" s="312">
        <v>11</v>
      </c>
      <c r="D8511" s="368">
        <f>IFERROR((INDEX(METADATA!$T$2:$T$20,MATCH(B8511,METADATA!$S$2:$S$20,0))),0)</f>
        <v>1</v>
      </c>
      <c r="E8511" s="312" t="str">
        <f t="shared" si="528"/>
        <v>LO</v>
      </c>
      <c r="F8511" s="369">
        <f>VLOOKUP(C8511,METADATA!$A$5:$H$29,IF(E8511="HI",2,IF(E8511="LO",6,10))+IF(D8511=1,2,IF(D8511=7,1,(IF(WEEKDAY(B8511)=1,2,IF(WEEKDAY(B8511)=7,1,0))))))</f>
        <v>3</v>
      </c>
      <c r="G8511" s="369">
        <f>VLOOKUP(C8511,METADATA!$J$5:$Q$29,IF(E8511="HI",2,IF(E8511="LO",6,10))+IF(D8511=1,2,IF(D8511=7,1,(IF(WEEKDAY(B8511)=1,2,IF(WEEKDAY(B8511)=7,1,0))))))</f>
        <v>3</v>
      </c>
      <c r="H8511" s="370">
        <v>13012.824584960938</v>
      </c>
      <c r="I8511" s="370">
        <v>4026.5450134277344</v>
      </c>
      <c r="M8511" s="371">
        <f t="shared" si="529"/>
        <v>13621.551615881486</v>
      </c>
      <c r="N8511" s="329">
        <f t="shared" si="530"/>
        <v>122.69763793945322</v>
      </c>
      <c r="T8511" s="331">
        <v>0</v>
      </c>
      <c r="U8511" s="328">
        <f>VLOOKUP(C8511,METADATA!$J$5:$Q$29,IF(E8511="HI",2,IF(E8511="LO",6,10))+IF(T8511=1,2,IF(D8511=7,1,(IF(WEEKDAY(B8511)=1,2,IF(WEEKDAY(B8511)=7,1,0))))))</f>
        <v>3</v>
      </c>
      <c r="V8511" s="328">
        <f>VLOOKUP(C8511,METADATA!$A$5:$H$29,IF(E8511="HI",2,IF(E8511="LO",6,10))+IF(T8511=1,2,IF(D8511=7,1,(IF(WEEKDAY(B8511)=1,2,IF(WEEKDAY(B8511)=7,1,0))))))</f>
        <v>3</v>
      </c>
    </row>
    <row r="8512" spans="2:22">
      <c r="B8512" s="318">
        <f t="shared" si="531"/>
        <v>46467</v>
      </c>
      <c r="C8512" s="312">
        <v>12</v>
      </c>
      <c r="D8512" s="368">
        <f>IFERROR((INDEX(METADATA!$T$2:$T$20,MATCH(B8512,METADATA!$S$2:$S$20,0))),0)</f>
        <v>1</v>
      </c>
      <c r="E8512" s="312" t="str">
        <f t="shared" si="528"/>
        <v>LO</v>
      </c>
      <c r="F8512" s="369">
        <f>VLOOKUP(C8512,METADATA!$A$5:$H$29,IF(E8512="HI",2,IF(E8512="LO",6,10))+IF(D8512=1,2,IF(D8512=7,1,(IF(WEEKDAY(B8512)=1,2,IF(WEEKDAY(B8512)=7,1,0))))))</f>
        <v>3</v>
      </c>
      <c r="G8512" s="369">
        <f>VLOOKUP(C8512,METADATA!$J$5:$Q$29,IF(E8512="HI",2,IF(E8512="LO",6,10))+IF(D8512=1,2,IF(D8512=7,1,(IF(WEEKDAY(B8512)=1,2,IF(WEEKDAY(B8512)=7,1,0))))))</f>
        <v>3</v>
      </c>
      <c r="H8512" s="370">
        <v>13011.124694824219</v>
      </c>
      <c r="I8512" s="370">
        <v>4127.7049560546875</v>
      </c>
      <c r="M8512" s="371">
        <f t="shared" si="529"/>
        <v>13650.176336901404</v>
      </c>
      <c r="N8512" s="329">
        <f t="shared" si="530"/>
        <v>224.36754760742224</v>
      </c>
      <c r="T8512" s="331">
        <v>0</v>
      </c>
      <c r="U8512" s="328">
        <f>VLOOKUP(C8512,METADATA!$J$5:$Q$29,IF(E8512="HI",2,IF(E8512="LO",6,10))+IF(T8512=1,2,IF(D8512=7,1,(IF(WEEKDAY(B8512)=1,2,IF(WEEKDAY(B8512)=7,1,0))))))</f>
        <v>3</v>
      </c>
      <c r="V8512" s="328">
        <f>VLOOKUP(C8512,METADATA!$A$5:$H$29,IF(E8512="HI",2,IF(E8512="LO",6,10))+IF(T8512=1,2,IF(D8512=7,1,(IF(WEEKDAY(B8512)=1,2,IF(WEEKDAY(B8512)=7,1,0))))))</f>
        <v>3</v>
      </c>
    </row>
    <row r="8513" spans="2:22">
      <c r="B8513" s="318">
        <f t="shared" si="531"/>
        <v>46467</v>
      </c>
      <c r="C8513" s="312">
        <v>13</v>
      </c>
      <c r="D8513" s="368">
        <f>IFERROR((INDEX(METADATA!$T$2:$T$20,MATCH(B8513,METADATA!$S$2:$S$20,0))),0)</f>
        <v>1</v>
      </c>
      <c r="E8513" s="312" t="str">
        <f t="shared" si="528"/>
        <v>LO</v>
      </c>
      <c r="F8513" s="369">
        <f>VLOOKUP(C8513,METADATA!$A$5:$H$29,IF(E8513="HI",2,IF(E8513="LO",6,10))+IF(D8513=1,2,IF(D8513=7,1,(IF(WEEKDAY(B8513)=1,2,IF(WEEKDAY(B8513)=7,1,0))))))</f>
        <v>3</v>
      </c>
      <c r="G8513" s="369">
        <f>VLOOKUP(C8513,METADATA!$J$5:$Q$29,IF(E8513="HI",2,IF(E8513="LO",6,10))+IF(D8513=1,2,IF(D8513=7,1,(IF(WEEKDAY(B8513)=1,2,IF(WEEKDAY(B8513)=7,1,0))))))</f>
        <v>3</v>
      </c>
      <c r="H8513" s="370">
        <v>12963.925048828125</v>
      </c>
      <c r="I8513" s="370">
        <v>4034.6950073242188</v>
      </c>
      <c r="M8513" s="371">
        <f t="shared" si="529"/>
        <v>13577.264690421274</v>
      </c>
      <c r="N8513" s="329">
        <f t="shared" si="530"/>
        <v>145.51749267578134</v>
      </c>
      <c r="T8513" s="331">
        <v>0</v>
      </c>
      <c r="U8513" s="328">
        <f>VLOOKUP(C8513,METADATA!$J$5:$Q$29,IF(E8513="HI",2,IF(E8513="LO",6,10))+IF(T8513=1,2,IF(D8513=7,1,(IF(WEEKDAY(B8513)=1,2,IF(WEEKDAY(B8513)=7,1,0))))))</f>
        <v>3</v>
      </c>
      <c r="V8513" s="328">
        <f>VLOOKUP(C8513,METADATA!$A$5:$H$29,IF(E8513="HI",2,IF(E8513="LO",6,10))+IF(T8513=1,2,IF(D8513=7,1,(IF(WEEKDAY(B8513)=1,2,IF(WEEKDAY(B8513)=7,1,0))))))</f>
        <v>3</v>
      </c>
    </row>
    <row r="8514" spans="2:22">
      <c r="B8514" s="318">
        <f t="shared" si="531"/>
        <v>46467</v>
      </c>
      <c r="C8514" s="312">
        <v>14</v>
      </c>
      <c r="D8514" s="368">
        <f>IFERROR((INDEX(METADATA!$T$2:$T$20,MATCH(B8514,METADATA!$S$2:$S$20,0))),0)</f>
        <v>1</v>
      </c>
      <c r="E8514" s="312" t="str">
        <f t="shared" si="528"/>
        <v>LO</v>
      </c>
      <c r="F8514" s="369">
        <f>VLOOKUP(C8514,METADATA!$A$5:$H$29,IF(E8514="HI",2,IF(E8514="LO",6,10))+IF(D8514=1,2,IF(D8514=7,1,(IF(WEEKDAY(B8514)=1,2,IF(WEEKDAY(B8514)=7,1,0))))))</f>
        <v>3</v>
      </c>
      <c r="G8514" s="369">
        <f>VLOOKUP(C8514,METADATA!$J$5:$Q$29,IF(E8514="HI",2,IF(E8514="LO",6,10))+IF(D8514=1,2,IF(D8514=7,1,(IF(WEEKDAY(B8514)=1,2,IF(WEEKDAY(B8514)=7,1,0))))))</f>
        <v>3</v>
      </c>
      <c r="H8514" s="370">
        <v>11746.249877929688</v>
      </c>
      <c r="I8514" s="370">
        <v>3392.7649688720703</v>
      </c>
      <c r="M8514" s="371">
        <f t="shared" si="529"/>
        <v>12226.415677898764</v>
      </c>
      <c r="N8514" s="329">
        <f t="shared" si="530"/>
        <v>0</v>
      </c>
      <c r="T8514" s="331">
        <v>0</v>
      </c>
      <c r="U8514" s="328">
        <f>VLOOKUP(C8514,METADATA!$J$5:$Q$29,IF(E8514="HI",2,IF(E8514="LO",6,10))+IF(T8514=1,2,IF(D8514=7,1,(IF(WEEKDAY(B8514)=1,2,IF(WEEKDAY(B8514)=7,1,0))))))</f>
        <v>3</v>
      </c>
      <c r="V8514" s="328">
        <f>VLOOKUP(C8514,METADATA!$A$5:$H$29,IF(E8514="HI",2,IF(E8514="LO",6,10))+IF(T8514=1,2,IF(D8514=7,1,(IF(WEEKDAY(B8514)=1,2,IF(WEEKDAY(B8514)=7,1,0))))))</f>
        <v>3</v>
      </c>
    </row>
    <row r="8515" spans="2:22">
      <c r="B8515" s="318">
        <f t="shared" si="531"/>
        <v>46467</v>
      </c>
      <c r="C8515" s="312">
        <v>15</v>
      </c>
      <c r="D8515" s="368">
        <f>IFERROR((INDEX(METADATA!$T$2:$T$20,MATCH(B8515,METADATA!$S$2:$S$20,0))),0)</f>
        <v>1</v>
      </c>
      <c r="E8515" s="312" t="str">
        <f t="shared" si="528"/>
        <v>LO</v>
      </c>
      <c r="F8515" s="369">
        <f>VLOOKUP(C8515,METADATA!$A$5:$H$29,IF(E8515="HI",2,IF(E8515="LO",6,10))+IF(D8515=1,2,IF(D8515=7,1,(IF(WEEKDAY(B8515)=1,2,IF(WEEKDAY(B8515)=7,1,0))))))</f>
        <v>3</v>
      </c>
      <c r="G8515" s="369">
        <f>VLOOKUP(C8515,METADATA!$J$5:$Q$29,IF(E8515="HI",2,IF(E8515="LO",6,10))+IF(D8515=1,2,IF(D8515=7,1,(IF(WEEKDAY(B8515)=1,2,IF(WEEKDAY(B8515)=7,1,0))))))</f>
        <v>3</v>
      </c>
      <c r="H8515" s="370">
        <v>12809.224914550781</v>
      </c>
      <c r="I8515" s="370">
        <v>4183.3699951171875</v>
      </c>
      <c r="M8515" s="371">
        <f t="shared" si="529"/>
        <v>13475.04461690555</v>
      </c>
      <c r="N8515" s="329">
        <f t="shared" si="530"/>
        <v>340.60252075195331</v>
      </c>
      <c r="T8515" s="331">
        <v>0</v>
      </c>
      <c r="U8515" s="328">
        <f>VLOOKUP(C8515,METADATA!$J$5:$Q$29,IF(E8515="HI",2,IF(E8515="LO",6,10))+IF(T8515=1,2,IF(D8515=7,1,(IF(WEEKDAY(B8515)=1,2,IF(WEEKDAY(B8515)=7,1,0))))))</f>
        <v>3</v>
      </c>
      <c r="V8515" s="328">
        <f>VLOOKUP(C8515,METADATA!$A$5:$H$29,IF(E8515="HI",2,IF(E8515="LO",6,10))+IF(T8515=1,2,IF(D8515=7,1,(IF(WEEKDAY(B8515)=1,2,IF(WEEKDAY(B8515)=7,1,0))))))</f>
        <v>3</v>
      </c>
    </row>
    <row r="8516" spans="2:22">
      <c r="B8516" s="318">
        <f t="shared" si="531"/>
        <v>46467</v>
      </c>
      <c r="C8516" s="312">
        <v>16</v>
      </c>
      <c r="D8516" s="368">
        <f>IFERROR((INDEX(METADATA!$T$2:$T$20,MATCH(B8516,METADATA!$S$2:$S$20,0))),0)</f>
        <v>1</v>
      </c>
      <c r="E8516" s="312" t="str">
        <f t="shared" ref="E8516:E8579" si="532">IF(B8516="","",IF(AND(MONTH(B8516)&gt;=MONTH($Z$9),MONTH(B8516)&lt;=MONTH($Z$11)),"HI","LO"))</f>
        <v>LO</v>
      </c>
      <c r="F8516" s="369">
        <f>VLOOKUP(C8516,METADATA!$A$5:$H$29,IF(E8516="HI",2,IF(E8516="LO",6,10))+IF(D8516=1,2,IF(D8516=7,1,(IF(WEEKDAY(B8516)=1,2,IF(WEEKDAY(B8516)=7,1,0))))))</f>
        <v>3</v>
      </c>
      <c r="G8516" s="369">
        <f>VLOOKUP(C8516,METADATA!$J$5:$Q$29,IF(E8516="HI",2,IF(E8516="LO",6,10))+IF(D8516=1,2,IF(D8516=7,1,(IF(WEEKDAY(B8516)=1,2,IF(WEEKDAY(B8516)=7,1,0))))))</f>
        <v>3</v>
      </c>
      <c r="H8516" s="370">
        <v>13074.975463867188</v>
      </c>
      <c r="I8516" s="370">
        <v>4238.7650756835938</v>
      </c>
      <c r="M8516" s="371">
        <f t="shared" ref="M8516:M8579" si="533">SQRT(H8516^2+I8516^2)</f>
        <v>13744.894060980023</v>
      </c>
      <c r="N8516" s="329">
        <f t="shared" ref="N8516:N8579" si="534">IF(H8516=0,0,(IF(I8516-(0.3*H8516)&lt;0,0,(I8516-(0.3*H8516)))))</f>
        <v>316.27243652343759</v>
      </c>
      <c r="T8516" s="331">
        <v>0</v>
      </c>
      <c r="U8516" s="328">
        <f>VLOOKUP(C8516,METADATA!$J$5:$Q$29,IF(E8516="HI",2,IF(E8516="LO",6,10))+IF(T8516=1,2,IF(D8516=7,1,(IF(WEEKDAY(B8516)=1,2,IF(WEEKDAY(B8516)=7,1,0))))))</f>
        <v>3</v>
      </c>
      <c r="V8516" s="328">
        <f>VLOOKUP(C8516,METADATA!$A$5:$H$29,IF(E8516="HI",2,IF(E8516="LO",6,10))+IF(T8516=1,2,IF(D8516=7,1,(IF(WEEKDAY(B8516)=1,2,IF(WEEKDAY(B8516)=7,1,0))))))</f>
        <v>3</v>
      </c>
    </row>
    <row r="8517" spans="2:22">
      <c r="B8517" s="318">
        <f t="shared" si="531"/>
        <v>46467</v>
      </c>
      <c r="C8517" s="312">
        <v>17</v>
      </c>
      <c r="D8517" s="368">
        <f>IFERROR((INDEX(METADATA!$T$2:$T$20,MATCH(B8517,METADATA!$S$2:$S$20,0))),0)</f>
        <v>1</v>
      </c>
      <c r="E8517" s="312" t="str">
        <f t="shared" si="532"/>
        <v>LO</v>
      </c>
      <c r="F8517" s="369">
        <f>VLOOKUP(C8517,METADATA!$A$5:$H$29,IF(E8517="HI",2,IF(E8517="LO",6,10))+IF(D8517=1,2,IF(D8517=7,1,(IF(WEEKDAY(B8517)=1,2,IF(WEEKDAY(B8517)=7,1,0))))))</f>
        <v>3</v>
      </c>
      <c r="G8517" s="369">
        <f>VLOOKUP(C8517,METADATA!$J$5:$Q$29,IF(E8517="HI",2,IF(E8517="LO",6,10))+IF(D8517=1,2,IF(D8517=7,1,(IF(WEEKDAY(B8517)=1,2,IF(WEEKDAY(B8517)=7,1,0))))))</f>
        <v>3</v>
      </c>
      <c r="H8517" s="370">
        <v>13046.699768066406</v>
      </c>
      <c r="I8517" s="370">
        <v>4174.35498046875</v>
      </c>
      <c r="M8517" s="371">
        <f t="shared" si="533"/>
        <v>13698.233986212539</v>
      </c>
      <c r="N8517" s="329">
        <f t="shared" si="534"/>
        <v>260.3450500488284</v>
      </c>
      <c r="T8517" s="331">
        <v>0</v>
      </c>
      <c r="U8517" s="328">
        <f>VLOOKUP(C8517,METADATA!$J$5:$Q$29,IF(E8517="HI",2,IF(E8517="LO",6,10))+IF(T8517=1,2,IF(D8517=7,1,(IF(WEEKDAY(B8517)=1,2,IF(WEEKDAY(B8517)=7,1,0))))))</f>
        <v>3</v>
      </c>
      <c r="V8517" s="328">
        <f>VLOOKUP(C8517,METADATA!$A$5:$H$29,IF(E8517="HI",2,IF(E8517="LO",6,10))+IF(T8517=1,2,IF(D8517=7,1,(IF(WEEKDAY(B8517)=1,2,IF(WEEKDAY(B8517)=7,1,0))))))</f>
        <v>3</v>
      </c>
    </row>
    <row r="8518" spans="2:22">
      <c r="B8518" s="318">
        <f t="shared" si="531"/>
        <v>46467</v>
      </c>
      <c r="C8518" s="312">
        <v>18</v>
      </c>
      <c r="D8518" s="368">
        <f>IFERROR((INDEX(METADATA!$T$2:$T$20,MATCH(B8518,METADATA!$S$2:$S$20,0))),0)</f>
        <v>1</v>
      </c>
      <c r="E8518" s="312" t="str">
        <f t="shared" si="532"/>
        <v>LO</v>
      </c>
      <c r="F8518" s="369">
        <f>VLOOKUP(C8518,METADATA!$A$5:$H$29,IF(E8518="HI",2,IF(E8518="LO",6,10))+IF(D8518=1,2,IF(D8518=7,1,(IF(WEEKDAY(B8518)=1,2,IF(WEEKDAY(B8518)=7,1,0))))))</f>
        <v>2</v>
      </c>
      <c r="G8518" s="369">
        <f>VLOOKUP(C8518,METADATA!$J$5:$Q$29,IF(E8518="HI",2,IF(E8518="LO",6,10))+IF(D8518=1,2,IF(D8518=7,1,(IF(WEEKDAY(B8518)=1,2,IF(WEEKDAY(B8518)=7,1,0))))))</f>
        <v>2</v>
      </c>
      <c r="H8518" s="370">
        <v>13011.874877929688</v>
      </c>
      <c r="I8518" s="370">
        <v>4062.2949829101563</v>
      </c>
      <c r="M8518" s="371">
        <f t="shared" si="533"/>
        <v>13631.255568254699</v>
      </c>
      <c r="N8518" s="329">
        <f t="shared" si="534"/>
        <v>158.73251953125009</v>
      </c>
      <c r="T8518" s="331">
        <v>0</v>
      </c>
      <c r="U8518" s="328">
        <f>VLOOKUP(C8518,METADATA!$J$5:$Q$29,IF(E8518="HI",2,IF(E8518="LO",6,10))+IF(T8518=1,2,IF(D8518=7,1,(IF(WEEKDAY(B8518)=1,2,IF(WEEKDAY(B8518)=7,1,0))))))</f>
        <v>2</v>
      </c>
      <c r="V8518" s="328">
        <f>VLOOKUP(C8518,METADATA!$A$5:$H$29,IF(E8518="HI",2,IF(E8518="LO",6,10))+IF(T8518=1,2,IF(D8518=7,1,(IF(WEEKDAY(B8518)=1,2,IF(WEEKDAY(B8518)=7,1,0))))))</f>
        <v>2</v>
      </c>
    </row>
    <row r="8519" spans="2:22">
      <c r="B8519" s="318">
        <f t="shared" si="531"/>
        <v>46467</v>
      </c>
      <c r="C8519" s="312">
        <v>19</v>
      </c>
      <c r="D8519" s="368">
        <f>IFERROR((INDEX(METADATA!$T$2:$T$20,MATCH(B8519,METADATA!$S$2:$S$20,0))),0)</f>
        <v>1</v>
      </c>
      <c r="E8519" s="312" t="str">
        <f t="shared" si="532"/>
        <v>LO</v>
      </c>
      <c r="F8519" s="369">
        <f>VLOOKUP(C8519,METADATA!$A$5:$H$29,IF(E8519="HI",2,IF(E8519="LO",6,10))+IF(D8519=1,2,IF(D8519=7,1,(IF(WEEKDAY(B8519)=1,2,IF(WEEKDAY(B8519)=7,1,0))))))</f>
        <v>2</v>
      </c>
      <c r="G8519" s="369">
        <f>VLOOKUP(C8519,METADATA!$J$5:$Q$29,IF(E8519="HI",2,IF(E8519="LO",6,10))+IF(D8519=1,2,IF(D8519=7,1,(IF(WEEKDAY(B8519)=1,2,IF(WEEKDAY(B8519)=7,1,0))))))</f>
        <v>2</v>
      </c>
      <c r="H8519" s="370">
        <v>13079.150268554688</v>
      </c>
      <c r="I8519" s="370">
        <v>4002.2049255371094</v>
      </c>
      <c r="M8519" s="371">
        <f t="shared" si="533"/>
        <v>13677.785493764246</v>
      </c>
      <c r="N8519" s="329">
        <f t="shared" si="534"/>
        <v>78.459844970703216</v>
      </c>
      <c r="T8519" s="331">
        <v>0</v>
      </c>
      <c r="U8519" s="328">
        <f>VLOOKUP(C8519,METADATA!$J$5:$Q$29,IF(E8519="HI",2,IF(E8519="LO",6,10))+IF(T8519=1,2,IF(D8519=7,1,(IF(WEEKDAY(B8519)=1,2,IF(WEEKDAY(B8519)=7,1,0))))))</f>
        <v>2</v>
      </c>
      <c r="V8519" s="328">
        <f>VLOOKUP(C8519,METADATA!$A$5:$H$29,IF(E8519="HI",2,IF(E8519="LO",6,10))+IF(T8519=1,2,IF(D8519=7,1,(IF(WEEKDAY(B8519)=1,2,IF(WEEKDAY(B8519)=7,1,0))))))</f>
        <v>2</v>
      </c>
    </row>
    <row r="8520" spans="2:22">
      <c r="B8520" s="318">
        <f t="shared" si="531"/>
        <v>46467</v>
      </c>
      <c r="C8520" s="312">
        <v>20</v>
      </c>
      <c r="D8520" s="368">
        <f>IFERROR((INDEX(METADATA!$T$2:$T$20,MATCH(B8520,METADATA!$S$2:$S$20,0))),0)</f>
        <v>1</v>
      </c>
      <c r="E8520" s="312" t="str">
        <f t="shared" si="532"/>
        <v>LO</v>
      </c>
      <c r="F8520" s="369">
        <f>VLOOKUP(C8520,METADATA!$A$5:$H$29,IF(E8520="HI",2,IF(E8520="LO",6,10))+IF(D8520=1,2,IF(D8520=7,1,(IF(WEEKDAY(B8520)=1,2,IF(WEEKDAY(B8520)=7,1,0))))))</f>
        <v>3</v>
      </c>
      <c r="G8520" s="369">
        <f>VLOOKUP(C8520,METADATA!$J$5:$Q$29,IF(E8520="HI",2,IF(E8520="LO",6,10))+IF(D8520=1,2,IF(D8520=7,1,(IF(WEEKDAY(B8520)=1,2,IF(WEEKDAY(B8520)=7,1,0))))))</f>
        <v>3</v>
      </c>
      <c r="H8520" s="370">
        <v>13107.199768066406</v>
      </c>
      <c r="I8520" s="370">
        <v>4097.8250427246094</v>
      </c>
      <c r="M8520" s="371">
        <f t="shared" si="533"/>
        <v>13732.838593706001</v>
      </c>
      <c r="N8520" s="329">
        <f t="shared" si="534"/>
        <v>165.66511230468768</v>
      </c>
      <c r="T8520" s="331">
        <v>0</v>
      </c>
      <c r="U8520" s="328">
        <f>VLOOKUP(C8520,METADATA!$J$5:$Q$29,IF(E8520="HI",2,IF(E8520="LO",6,10))+IF(T8520=1,2,IF(D8520=7,1,(IF(WEEKDAY(B8520)=1,2,IF(WEEKDAY(B8520)=7,1,0))))))</f>
        <v>3</v>
      </c>
      <c r="V8520" s="328">
        <f>VLOOKUP(C8520,METADATA!$A$5:$H$29,IF(E8520="HI",2,IF(E8520="LO",6,10))+IF(T8520=1,2,IF(D8520=7,1,(IF(WEEKDAY(B8520)=1,2,IF(WEEKDAY(B8520)=7,1,0))))))</f>
        <v>3</v>
      </c>
    </row>
    <row r="8521" spans="2:22">
      <c r="B8521" s="318">
        <f t="shared" si="531"/>
        <v>46467</v>
      </c>
      <c r="C8521" s="312">
        <v>21</v>
      </c>
      <c r="D8521" s="368">
        <f>IFERROR((INDEX(METADATA!$T$2:$T$20,MATCH(B8521,METADATA!$S$2:$S$20,0))),0)</f>
        <v>1</v>
      </c>
      <c r="E8521" s="312" t="str">
        <f t="shared" si="532"/>
        <v>LO</v>
      </c>
      <c r="F8521" s="369">
        <f>VLOOKUP(C8521,METADATA!$A$5:$H$29,IF(E8521="HI",2,IF(E8521="LO",6,10))+IF(D8521=1,2,IF(D8521=7,1,(IF(WEEKDAY(B8521)=1,2,IF(WEEKDAY(B8521)=7,1,0))))))</f>
        <v>3</v>
      </c>
      <c r="G8521" s="369">
        <f>VLOOKUP(C8521,METADATA!$J$5:$Q$29,IF(E8521="HI",2,IF(E8521="LO",6,10))+IF(D8521=1,2,IF(D8521=7,1,(IF(WEEKDAY(B8521)=1,2,IF(WEEKDAY(B8521)=7,1,0))))))</f>
        <v>3</v>
      </c>
      <c r="H8521" s="370">
        <v>13137.524780273438</v>
      </c>
      <c r="I8521" s="370">
        <v>4101.0800476074219</v>
      </c>
      <c r="M8521" s="371">
        <f t="shared" si="533"/>
        <v>13762.754626497644</v>
      </c>
      <c r="N8521" s="329">
        <f t="shared" si="534"/>
        <v>159.82261352539081</v>
      </c>
      <c r="T8521" s="331">
        <v>0</v>
      </c>
      <c r="U8521" s="328">
        <f>VLOOKUP(C8521,METADATA!$J$5:$Q$29,IF(E8521="HI",2,IF(E8521="LO",6,10))+IF(T8521=1,2,IF(D8521=7,1,(IF(WEEKDAY(B8521)=1,2,IF(WEEKDAY(B8521)=7,1,0))))))</f>
        <v>3</v>
      </c>
      <c r="V8521" s="328">
        <f>VLOOKUP(C8521,METADATA!$A$5:$H$29,IF(E8521="HI",2,IF(E8521="LO",6,10))+IF(T8521=1,2,IF(D8521=7,1,(IF(WEEKDAY(B8521)=1,2,IF(WEEKDAY(B8521)=7,1,0))))))</f>
        <v>3</v>
      </c>
    </row>
    <row r="8522" spans="2:22">
      <c r="B8522" s="318">
        <f t="shared" si="531"/>
        <v>46467</v>
      </c>
      <c r="C8522" s="312">
        <v>22</v>
      </c>
      <c r="D8522" s="368">
        <f>IFERROR((INDEX(METADATA!$T$2:$T$20,MATCH(B8522,METADATA!$S$2:$S$20,0))),0)</f>
        <v>1</v>
      </c>
      <c r="E8522" s="312" t="str">
        <f t="shared" si="532"/>
        <v>LO</v>
      </c>
      <c r="F8522" s="369">
        <f>VLOOKUP(C8522,METADATA!$A$5:$H$29,IF(E8522="HI",2,IF(E8522="LO",6,10))+IF(D8522=1,2,IF(D8522=7,1,(IF(WEEKDAY(B8522)=1,2,IF(WEEKDAY(B8522)=7,1,0))))))</f>
        <v>3</v>
      </c>
      <c r="G8522" s="369">
        <f>VLOOKUP(C8522,METADATA!$J$5:$Q$29,IF(E8522="HI",2,IF(E8522="LO",6,10))+IF(D8522=1,2,IF(D8522=7,1,(IF(WEEKDAY(B8522)=1,2,IF(WEEKDAY(B8522)=7,1,0))))))</f>
        <v>3</v>
      </c>
      <c r="H8522" s="370">
        <v>12976.449951171875</v>
      </c>
      <c r="I8522" s="370">
        <v>4057.4999389648438</v>
      </c>
      <c r="M8522" s="371">
        <f t="shared" si="533"/>
        <v>13596.012617306895</v>
      </c>
      <c r="N8522" s="329">
        <f t="shared" si="534"/>
        <v>164.56495361328143</v>
      </c>
      <c r="T8522" s="331">
        <v>0</v>
      </c>
      <c r="U8522" s="328">
        <f>VLOOKUP(C8522,METADATA!$J$5:$Q$29,IF(E8522="HI",2,IF(E8522="LO",6,10))+IF(T8522=1,2,IF(D8522=7,1,(IF(WEEKDAY(B8522)=1,2,IF(WEEKDAY(B8522)=7,1,0))))))</f>
        <v>3</v>
      </c>
      <c r="V8522" s="328">
        <f>VLOOKUP(C8522,METADATA!$A$5:$H$29,IF(E8522="HI",2,IF(E8522="LO",6,10))+IF(T8522=1,2,IF(D8522=7,1,(IF(WEEKDAY(B8522)=1,2,IF(WEEKDAY(B8522)=7,1,0))))))</f>
        <v>3</v>
      </c>
    </row>
    <row r="8523" spans="2:22">
      <c r="B8523" s="318">
        <f t="shared" si="531"/>
        <v>46467</v>
      </c>
      <c r="C8523" s="312">
        <v>23</v>
      </c>
      <c r="D8523" s="368">
        <f>IFERROR((INDEX(METADATA!$T$2:$T$20,MATCH(B8523,METADATA!$S$2:$S$20,0))),0)</f>
        <v>1</v>
      </c>
      <c r="E8523" s="312" t="str">
        <f t="shared" si="532"/>
        <v>LO</v>
      </c>
      <c r="F8523" s="369">
        <f>VLOOKUP(C8523,METADATA!$A$5:$H$29,IF(E8523="HI",2,IF(E8523="LO",6,10))+IF(D8523=1,2,IF(D8523=7,1,(IF(WEEKDAY(B8523)=1,2,IF(WEEKDAY(B8523)=7,1,0))))))</f>
        <v>3</v>
      </c>
      <c r="G8523" s="369">
        <f>VLOOKUP(C8523,METADATA!$J$5:$Q$29,IF(E8523="HI",2,IF(E8523="LO",6,10))+IF(D8523=1,2,IF(D8523=7,1,(IF(WEEKDAY(B8523)=1,2,IF(WEEKDAY(B8523)=7,1,0))))))</f>
        <v>3</v>
      </c>
      <c r="H8523" s="370">
        <v>12860.599731445313</v>
      </c>
      <c r="I8523" s="370">
        <v>4005.0550231933594</v>
      </c>
      <c r="M8523" s="371">
        <f t="shared" si="533"/>
        <v>13469.799226093075</v>
      </c>
      <c r="N8523" s="329">
        <f t="shared" si="534"/>
        <v>146.87510375976581</v>
      </c>
      <c r="T8523" s="331">
        <v>0</v>
      </c>
      <c r="U8523" s="328">
        <f>VLOOKUP(C8523,METADATA!$J$5:$Q$29,IF(E8523="HI",2,IF(E8523="LO",6,10))+IF(T8523=1,2,IF(D8523=7,1,(IF(WEEKDAY(B8523)=1,2,IF(WEEKDAY(B8523)=7,1,0))))))</f>
        <v>3</v>
      </c>
      <c r="V8523" s="328">
        <f>VLOOKUP(C8523,METADATA!$A$5:$H$29,IF(E8523="HI",2,IF(E8523="LO",6,10))+IF(T8523=1,2,IF(D8523=7,1,(IF(WEEKDAY(B8523)=1,2,IF(WEEKDAY(B8523)=7,1,0))))))</f>
        <v>3</v>
      </c>
    </row>
    <row r="8524" spans="2:22">
      <c r="B8524" s="318">
        <f t="shared" si="531"/>
        <v>46468</v>
      </c>
      <c r="C8524" s="312">
        <v>0</v>
      </c>
      <c r="D8524" s="368">
        <f>IFERROR((INDEX(METADATA!$T$2:$T$20,MATCH(B8524,METADATA!$S$2:$S$20,0))),0)</f>
        <v>7</v>
      </c>
      <c r="E8524" s="312" t="str">
        <f t="shared" si="532"/>
        <v>LO</v>
      </c>
      <c r="F8524" s="369">
        <f>VLOOKUP(C8524,METADATA!$A$5:$H$29,IF(E8524="HI",2,IF(E8524="LO",6,10))+IF(D8524=1,2,IF(D8524=7,1,(IF(WEEKDAY(B8524)=1,2,IF(WEEKDAY(B8524)=7,1,0))))))</f>
        <v>3</v>
      </c>
      <c r="G8524" s="369">
        <f>VLOOKUP(C8524,METADATA!$J$5:$Q$29,IF(E8524="HI",2,IF(E8524="LO",6,10))+IF(D8524=1,2,IF(D8524=7,1,(IF(WEEKDAY(B8524)=1,2,IF(WEEKDAY(B8524)=7,1,0))))))</f>
        <v>3</v>
      </c>
      <c r="H8524" s="370">
        <v>12772.725280761719</v>
      </c>
      <c r="I8524" s="370">
        <v>4043.6799621582031</v>
      </c>
      <c r="M8524" s="371">
        <f t="shared" si="533"/>
        <v>13397.531815008662</v>
      </c>
      <c r="N8524" s="329">
        <f t="shared" si="534"/>
        <v>211.86237792968768</v>
      </c>
      <c r="T8524" s="331">
        <v>0</v>
      </c>
      <c r="U8524" s="328">
        <f>VLOOKUP(C8524,METADATA!$J$5:$Q$29,IF(E8524="HI",2,IF(E8524="LO",6,10))+IF(T8524=1,2,IF(D8524=7,1,(IF(WEEKDAY(B8524)=1,2,IF(WEEKDAY(B8524)=7,1,0))))))</f>
        <v>3</v>
      </c>
      <c r="V8524" s="328">
        <f>VLOOKUP(C8524,METADATA!$A$5:$H$29,IF(E8524="HI",2,IF(E8524="LO",6,10))+IF(T8524=1,2,IF(D8524=7,1,(IF(WEEKDAY(B8524)=1,2,IF(WEEKDAY(B8524)=7,1,0))))))</f>
        <v>3</v>
      </c>
    </row>
    <row r="8525" spans="2:22">
      <c r="B8525" s="318">
        <f t="shared" si="531"/>
        <v>46468</v>
      </c>
      <c r="C8525" s="312">
        <v>1</v>
      </c>
      <c r="D8525" s="368">
        <f>IFERROR((INDEX(METADATA!$T$2:$T$20,MATCH(B8525,METADATA!$S$2:$S$20,0))),0)</f>
        <v>7</v>
      </c>
      <c r="E8525" s="312" t="str">
        <f t="shared" si="532"/>
        <v>LO</v>
      </c>
      <c r="F8525" s="369">
        <f>VLOOKUP(C8525,METADATA!$A$5:$H$29,IF(E8525="HI",2,IF(E8525="LO",6,10))+IF(D8525=1,2,IF(D8525=7,1,(IF(WEEKDAY(B8525)=1,2,IF(WEEKDAY(B8525)=7,1,0))))))</f>
        <v>3</v>
      </c>
      <c r="G8525" s="369">
        <f>VLOOKUP(C8525,METADATA!$J$5:$Q$29,IF(E8525="HI",2,IF(E8525="LO",6,10))+IF(D8525=1,2,IF(D8525=7,1,(IF(WEEKDAY(B8525)=1,2,IF(WEEKDAY(B8525)=7,1,0))))))</f>
        <v>3</v>
      </c>
      <c r="H8525" s="370">
        <v>12857.975158691406</v>
      </c>
      <c r="I8525" s="370">
        <v>4073.142578125</v>
      </c>
      <c r="M8525" s="371">
        <f t="shared" si="533"/>
        <v>13487.698678546318</v>
      </c>
      <c r="N8525" s="329">
        <f t="shared" si="534"/>
        <v>215.75003051757813</v>
      </c>
      <c r="T8525" s="331">
        <v>0</v>
      </c>
      <c r="U8525" s="328">
        <f>VLOOKUP(C8525,METADATA!$J$5:$Q$29,IF(E8525="HI",2,IF(E8525="LO",6,10))+IF(T8525=1,2,IF(D8525=7,1,(IF(WEEKDAY(B8525)=1,2,IF(WEEKDAY(B8525)=7,1,0))))))</f>
        <v>3</v>
      </c>
      <c r="V8525" s="328">
        <f>VLOOKUP(C8525,METADATA!$A$5:$H$29,IF(E8525="HI",2,IF(E8525="LO",6,10))+IF(T8525=1,2,IF(D8525=7,1,(IF(WEEKDAY(B8525)=1,2,IF(WEEKDAY(B8525)=7,1,0))))))</f>
        <v>3</v>
      </c>
    </row>
    <row r="8526" spans="2:22">
      <c r="B8526" s="318">
        <f t="shared" si="531"/>
        <v>46468</v>
      </c>
      <c r="C8526" s="312">
        <v>2</v>
      </c>
      <c r="D8526" s="368">
        <f>IFERROR((INDEX(METADATA!$T$2:$T$20,MATCH(B8526,METADATA!$S$2:$S$20,0))),0)</f>
        <v>7</v>
      </c>
      <c r="E8526" s="312" t="str">
        <f t="shared" si="532"/>
        <v>LO</v>
      </c>
      <c r="F8526" s="369">
        <f>VLOOKUP(C8526,METADATA!$A$5:$H$29,IF(E8526="HI",2,IF(E8526="LO",6,10))+IF(D8526=1,2,IF(D8526=7,1,(IF(WEEKDAY(B8526)=1,2,IF(WEEKDAY(B8526)=7,1,0))))))</f>
        <v>3</v>
      </c>
      <c r="G8526" s="369">
        <f>VLOOKUP(C8526,METADATA!$J$5:$Q$29,IF(E8526="HI",2,IF(E8526="LO",6,10))+IF(D8526=1,2,IF(D8526=7,1,(IF(WEEKDAY(B8526)=1,2,IF(WEEKDAY(B8526)=7,1,0))))))</f>
        <v>3</v>
      </c>
      <c r="H8526" s="370">
        <v>12830.375244140625</v>
      </c>
      <c r="I8526" s="370">
        <v>3984.4500122070313</v>
      </c>
      <c r="M8526" s="371">
        <f t="shared" si="533"/>
        <v>13434.819343974566</v>
      </c>
      <c r="N8526" s="329">
        <f t="shared" si="534"/>
        <v>135.33743896484384</v>
      </c>
      <c r="T8526" s="331">
        <v>0</v>
      </c>
      <c r="U8526" s="328">
        <f>VLOOKUP(C8526,METADATA!$J$5:$Q$29,IF(E8526="HI",2,IF(E8526="LO",6,10))+IF(T8526=1,2,IF(D8526=7,1,(IF(WEEKDAY(B8526)=1,2,IF(WEEKDAY(B8526)=7,1,0))))))</f>
        <v>3</v>
      </c>
      <c r="V8526" s="328">
        <f>VLOOKUP(C8526,METADATA!$A$5:$H$29,IF(E8526="HI",2,IF(E8526="LO",6,10))+IF(T8526=1,2,IF(D8526=7,1,(IF(WEEKDAY(B8526)=1,2,IF(WEEKDAY(B8526)=7,1,0))))))</f>
        <v>3</v>
      </c>
    </row>
    <row r="8527" spans="2:22">
      <c r="B8527" s="318">
        <f t="shared" si="531"/>
        <v>46468</v>
      </c>
      <c r="C8527" s="312">
        <v>3</v>
      </c>
      <c r="D8527" s="368">
        <f>IFERROR((INDEX(METADATA!$T$2:$T$20,MATCH(B8527,METADATA!$S$2:$S$20,0))),0)</f>
        <v>7</v>
      </c>
      <c r="E8527" s="312" t="str">
        <f t="shared" si="532"/>
        <v>LO</v>
      </c>
      <c r="F8527" s="369">
        <f>VLOOKUP(C8527,METADATA!$A$5:$H$29,IF(E8527="HI",2,IF(E8527="LO",6,10))+IF(D8527=1,2,IF(D8527=7,1,(IF(WEEKDAY(B8527)=1,2,IF(WEEKDAY(B8527)=7,1,0))))))</f>
        <v>3</v>
      </c>
      <c r="G8527" s="369">
        <f>VLOOKUP(C8527,METADATA!$J$5:$Q$29,IF(E8527="HI",2,IF(E8527="LO",6,10))+IF(D8527=1,2,IF(D8527=7,1,(IF(WEEKDAY(B8527)=1,2,IF(WEEKDAY(B8527)=7,1,0))))))</f>
        <v>3</v>
      </c>
      <c r="H8527" s="370">
        <v>12778.650146484375</v>
      </c>
      <c r="I8527" s="370">
        <v>4024.1699523925781</v>
      </c>
      <c r="M8527" s="371">
        <f t="shared" si="533"/>
        <v>13397.307317964473</v>
      </c>
      <c r="N8527" s="329">
        <f t="shared" si="534"/>
        <v>190.5749084472659</v>
      </c>
      <c r="T8527" s="331">
        <v>0</v>
      </c>
      <c r="U8527" s="328">
        <f>VLOOKUP(C8527,METADATA!$J$5:$Q$29,IF(E8527="HI",2,IF(E8527="LO",6,10))+IF(T8527=1,2,IF(D8527=7,1,(IF(WEEKDAY(B8527)=1,2,IF(WEEKDAY(B8527)=7,1,0))))))</f>
        <v>3</v>
      </c>
      <c r="V8527" s="328">
        <f>VLOOKUP(C8527,METADATA!$A$5:$H$29,IF(E8527="HI",2,IF(E8527="LO",6,10))+IF(T8527=1,2,IF(D8527=7,1,(IF(WEEKDAY(B8527)=1,2,IF(WEEKDAY(B8527)=7,1,0))))))</f>
        <v>3</v>
      </c>
    </row>
    <row r="8528" spans="2:22">
      <c r="B8528" s="318">
        <f t="shared" si="531"/>
        <v>46468</v>
      </c>
      <c r="C8528" s="312">
        <v>4</v>
      </c>
      <c r="D8528" s="368">
        <f>IFERROR((INDEX(METADATA!$T$2:$T$20,MATCH(B8528,METADATA!$S$2:$S$20,0))),0)</f>
        <v>7</v>
      </c>
      <c r="E8528" s="312" t="str">
        <f t="shared" si="532"/>
        <v>LO</v>
      </c>
      <c r="F8528" s="369">
        <f>VLOOKUP(C8528,METADATA!$A$5:$H$29,IF(E8528="HI",2,IF(E8528="LO",6,10))+IF(D8528=1,2,IF(D8528=7,1,(IF(WEEKDAY(B8528)=1,2,IF(WEEKDAY(B8528)=7,1,0))))))</f>
        <v>3</v>
      </c>
      <c r="G8528" s="369">
        <f>VLOOKUP(C8528,METADATA!$J$5:$Q$29,IF(E8528="HI",2,IF(E8528="LO",6,10))+IF(D8528=1,2,IF(D8528=7,1,(IF(WEEKDAY(B8528)=1,2,IF(WEEKDAY(B8528)=7,1,0))))))</f>
        <v>3</v>
      </c>
      <c r="H8528" s="370">
        <v>12738.799926757813</v>
      </c>
      <c r="I8528" s="370">
        <v>4038.8248901367188</v>
      </c>
      <c r="M8528" s="371">
        <f t="shared" si="533"/>
        <v>13363.724408530457</v>
      </c>
      <c r="N8528" s="329">
        <f t="shared" si="534"/>
        <v>217.18491210937509</v>
      </c>
      <c r="T8528" s="331">
        <v>0</v>
      </c>
      <c r="U8528" s="328">
        <f>VLOOKUP(C8528,METADATA!$J$5:$Q$29,IF(E8528="HI",2,IF(E8528="LO",6,10))+IF(T8528=1,2,IF(D8528=7,1,(IF(WEEKDAY(B8528)=1,2,IF(WEEKDAY(B8528)=7,1,0))))))</f>
        <v>3</v>
      </c>
      <c r="V8528" s="328">
        <f>VLOOKUP(C8528,METADATA!$A$5:$H$29,IF(E8528="HI",2,IF(E8528="LO",6,10))+IF(T8528=1,2,IF(D8528=7,1,(IF(WEEKDAY(B8528)=1,2,IF(WEEKDAY(B8528)=7,1,0))))))</f>
        <v>3</v>
      </c>
    </row>
    <row r="8529" spans="2:22">
      <c r="B8529" s="318">
        <f t="shared" si="531"/>
        <v>46468</v>
      </c>
      <c r="C8529" s="312">
        <v>5</v>
      </c>
      <c r="D8529" s="368">
        <f>IFERROR((INDEX(METADATA!$T$2:$T$20,MATCH(B8529,METADATA!$S$2:$S$20,0))),0)</f>
        <v>7</v>
      </c>
      <c r="E8529" s="312" t="str">
        <f t="shared" si="532"/>
        <v>LO</v>
      </c>
      <c r="F8529" s="369">
        <f>VLOOKUP(C8529,METADATA!$A$5:$H$29,IF(E8529="HI",2,IF(E8529="LO",6,10))+IF(D8529=1,2,IF(D8529=7,1,(IF(WEEKDAY(B8529)=1,2,IF(WEEKDAY(B8529)=7,1,0))))))</f>
        <v>3</v>
      </c>
      <c r="G8529" s="369">
        <f>VLOOKUP(C8529,METADATA!$J$5:$Q$29,IF(E8529="HI",2,IF(E8529="LO",6,10))+IF(D8529=1,2,IF(D8529=7,1,(IF(WEEKDAY(B8529)=1,2,IF(WEEKDAY(B8529)=7,1,0))))))</f>
        <v>3</v>
      </c>
      <c r="H8529" s="370">
        <v>12812.149963378906</v>
      </c>
      <c r="I8529" s="370">
        <v>3923.8250122070313</v>
      </c>
      <c r="M8529" s="371">
        <f t="shared" si="533"/>
        <v>13399.536910301475</v>
      </c>
      <c r="N8529" s="329">
        <f t="shared" si="534"/>
        <v>80.180023193359375</v>
      </c>
      <c r="T8529" s="331">
        <v>0</v>
      </c>
      <c r="U8529" s="328">
        <f>VLOOKUP(C8529,METADATA!$J$5:$Q$29,IF(E8529="HI",2,IF(E8529="LO",6,10))+IF(T8529=1,2,IF(D8529=7,1,(IF(WEEKDAY(B8529)=1,2,IF(WEEKDAY(B8529)=7,1,0))))))</f>
        <v>3</v>
      </c>
      <c r="V8529" s="328">
        <f>VLOOKUP(C8529,METADATA!$A$5:$H$29,IF(E8529="HI",2,IF(E8529="LO",6,10))+IF(T8529=1,2,IF(D8529=7,1,(IF(WEEKDAY(B8529)=1,2,IF(WEEKDAY(B8529)=7,1,0))))))</f>
        <v>3</v>
      </c>
    </row>
    <row r="8530" spans="2:22">
      <c r="B8530" s="318">
        <f t="shared" si="531"/>
        <v>46468</v>
      </c>
      <c r="C8530" s="312">
        <v>6</v>
      </c>
      <c r="D8530" s="368">
        <f>IFERROR((INDEX(METADATA!$T$2:$T$20,MATCH(B8530,METADATA!$S$2:$S$20,0))),0)</f>
        <v>7</v>
      </c>
      <c r="E8530" s="312" t="str">
        <f t="shared" si="532"/>
        <v>LO</v>
      </c>
      <c r="F8530" s="369">
        <f>VLOOKUP(C8530,METADATA!$A$5:$H$29,IF(E8530="HI",2,IF(E8530="LO",6,10))+IF(D8530=1,2,IF(D8530=7,1,(IF(WEEKDAY(B8530)=1,2,IF(WEEKDAY(B8530)=7,1,0))))))</f>
        <v>3</v>
      </c>
      <c r="G8530" s="369">
        <f>VLOOKUP(C8530,METADATA!$J$5:$Q$29,IF(E8530="HI",2,IF(E8530="LO",6,10))+IF(D8530=1,2,IF(D8530=7,1,(IF(WEEKDAY(B8530)=1,2,IF(WEEKDAY(B8530)=7,1,0))))))</f>
        <v>3</v>
      </c>
      <c r="H8530" s="370">
        <v>12720.899963378906</v>
      </c>
      <c r="I8530" s="370">
        <v>3717.5199584960938</v>
      </c>
      <c r="M8530" s="371">
        <f t="shared" si="533"/>
        <v>13252.971384565435</v>
      </c>
      <c r="N8530" s="329">
        <f t="shared" si="534"/>
        <v>0</v>
      </c>
      <c r="T8530" s="331">
        <v>0</v>
      </c>
      <c r="U8530" s="328">
        <f>VLOOKUP(C8530,METADATA!$J$5:$Q$29,IF(E8530="HI",2,IF(E8530="LO",6,10))+IF(T8530=1,2,IF(D8530=7,1,(IF(WEEKDAY(B8530)=1,2,IF(WEEKDAY(B8530)=7,1,0))))))</f>
        <v>3</v>
      </c>
      <c r="V8530" s="328">
        <f>VLOOKUP(C8530,METADATA!$A$5:$H$29,IF(E8530="HI",2,IF(E8530="LO",6,10))+IF(T8530=1,2,IF(D8530=7,1,(IF(WEEKDAY(B8530)=1,2,IF(WEEKDAY(B8530)=7,1,0))))))</f>
        <v>3</v>
      </c>
    </row>
    <row r="8531" spans="2:22">
      <c r="B8531" s="318">
        <f t="shared" si="531"/>
        <v>46468</v>
      </c>
      <c r="C8531" s="312">
        <v>7</v>
      </c>
      <c r="D8531" s="368">
        <f>IFERROR((INDEX(METADATA!$T$2:$T$20,MATCH(B8531,METADATA!$S$2:$S$20,0))),0)</f>
        <v>7</v>
      </c>
      <c r="E8531" s="312" t="str">
        <f t="shared" si="532"/>
        <v>LO</v>
      </c>
      <c r="F8531" s="369">
        <f>VLOOKUP(C8531,METADATA!$A$5:$H$29,IF(E8531="HI",2,IF(E8531="LO",6,10))+IF(D8531=1,2,IF(D8531=7,1,(IF(WEEKDAY(B8531)=1,2,IF(WEEKDAY(B8531)=7,1,0))))))</f>
        <v>2</v>
      </c>
      <c r="G8531" s="369">
        <f>VLOOKUP(C8531,METADATA!$J$5:$Q$29,IF(E8531="HI",2,IF(E8531="LO",6,10))+IF(D8531=1,2,IF(D8531=7,1,(IF(WEEKDAY(B8531)=1,2,IF(WEEKDAY(B8531)=7,1,0))))))</f>
        <v>2</v>
      </c>
      <c r="H8531" s="370">
        <v>12754.625061035156</v>
      </c>
      <c r="I8531" s="370">
        <v>3778.9651184082031</v>
      </c>
      <c r="M8531" s="371">
        <f t="shared" si="533"/>
        <v>13302.670326431906</v>
      </c>
      <c r="N8531" s="329">
        <f t="shared" si="534"/>
        <v>0</v>
      </c>
      <c r="T8531" s="331">
        <v>0</v>
      </c>
      <c r="U8531" s="328">
        <f>VLOOKUP(C8531,METADATA!$J$5:$Q$29,IF(E8531="HI",2,IF(E8531="LO",6,10))+IF(T8531=1,2,IF(D8531=7,1,(IF(WEEKDAY(B8531)=1,2,IF(WEEKDAY(B8531)=7,1,0))))))</f>
        <v>2</v>
      </c>
      <c r="V8531" s="328">
        <f>VLOOKUP(C8531,METADATA!$A$5:$H$29,IF(E8531="HI",2,IF(E8531="LO",6,10))+IF(T8531=1,2,IF(D8531=7,1,(IF(WEEKDAY(B8531)=1,2,IF(WEEKDAY(B8531)=7,1,0))))))</f>
        <v>2</v>
      </c>
    </row>
    <row r="8532" spans="2:22">
      <c r="B8532" s="318">
        <f t="shared" si="531"/>
        <v>46468</v>
      </c>
      <c r="C8532" s="312">
        <v>8</v>
      </c>
      <c r="D8532" s="368">
        <f>IFERROR((INDEX(METADATA!$T$2:$T$20,MATCH(B8532,METADATA!$S$2:$S$20,0))),0)</f>
        <v>7</v>
      </c>
      <c r="E8532" s="312" t="str">
        <f t="shared" si="532"/>
        <v>LO</v>
      </c>
      <c r="F8532" s="369">
        <f>VLOOKUP(C8532,METADATA!$A$5:$H$29,IF(E8532="HI",2,IF(E8532="LO",6,10))+IF(D8532=1,2,IF(D8532=7,1,(IF(WEEKDAY(B8532)=1,2,IF(WEEKDAY(B8532)=7,1,0))))))</f>
        <v>2</v>
      </c>
      <c r="G8532" s="369">
        <f>VLOOKUP(C8532,METADATA!$J$5:$Q$29,IF(E8532="HI",2,IF(E8532="LO",6,10))+IF(D8532=1,2,IF(D8532=7,1,(IF(WEEKDAY(B8532)=1,2,IF(WEEKDAY(B8532)=7,1,0))))))</f>
        <v>2</v>
      </c>
      <c r="H8532" s="370">
        <v>12801.075317382813</v>
      </c>
      <c r="I8532" s="370">
        <v>3957.199951171875</v>
      </c>
      <c r="M8532" s="371">
        <f t="shared" si="533"/>
        <v>13398.767134884543</v>
      </c>
      <c r="N8532" s="329">
        <f t="shared" si="534"/>
        <v>116.87735595703134</v>
      </c>
      <c r="T8532" s="331">
        <v>0</v>
      </c>
      <c r="U8532" s="328">
        <f>VLOOKUP(C8532,METADATA!$J$5:$Q$29,IF(E8532="HI",2,IF(E8532="LO",6,10))+IF(T8532=1,2,IF(D8532=7,1,(IF(WEEKDAY(B8532)=1,2,IF(WEEKDAY(B8532)=7,1,0))))))</f>
        <v>2</v>
      </c>
      <c r="V8532" s="328">
        <f>VLOOKUP(C8532,METADATA!$A$5:$H$29,IF(E8532="HI",2,IF(E8532="LO",6,10))+IF(T8532=1,2,IF(D8532=7,1,(IF(WEEKDAY(B8532)=1,2,IF(WEEKDAY(B8532)=7,1,0))))))</f>
        <v>2</v>
      </c>
    </row>
    <row r="8533" spans="2:22">
      <c r="B8533" s="318">
        <f t="shared" si="531"/>
        <v>46468</v>
      </c>
      <c r="C8533" s="312">
        <v>9</v>
      </c>
      <c r="D8533" s="368">
        <f>IFERROR((INDEX(METADATA!$T$2:$T$20,MATCH(B8533,METADATA!$S$2:$S$20,0))),0)</f>
        <v>7</v>
      </c>
      <c r="E8533" s="312" t="str">
        <f t="shared" si="532"/>
        <v>LO</v>
      </c>
      <c r="F8533" s="369">
        <f>VLOOKUP(C8533,METADATA!$A$5:$H$29,IF(E8533="HI",2,IF(E8533="LO",6,10))+IF(D8533=1,2,IF(D8533=7,1,(IF(WEEKDAY(B8533)=1,2,IF(WEEKDAY(B8533)=7,1,0))))))</f>
        <v>2</v>
      </c>
      <c r="G8533" s="369">
        <f>VLOOKUP(C8533,METADATA!$J$5:$Q$29,IF(E8533="HI",2,IF(E8533="LO",6,10))+IF(D8533=1,2,IF(D8533=7,1,(IF(WEEKDAY(B8533)=1,2,IF(WEEKDAY(B8533)=7,1,0))))))</f>
        <v>2</v>
      </c>
      <c r="H8533" s="370">
        <v>12833.800048828125</v>
      </c>
      <c r="I8533" s="370">
        <v>3839.8299865722656</v>
      </c>
      <c r="M8533" s="371">
        <f t="shared" si="533"/>
        <v>13395.921693525994</v>
      </c>
      <c r="N8533" s="329">
        <f t="shared" si="534"/>
        <v>0</v>
      </c>
      <c r="T8533" s="331">
        <v>0</v>
      </c>
      <c r="U8533" s="328">
        <f>VLOOKUP(C8533,METADATA!$J$5:$Q$29,IF(E8533="HI",2,IF(E8533="LO",6,10))+IF(T8533=1,2,IF(D8533=7,1,(IF(WEEKDAY(B8533)=1,2,IF(WEEKDAY(B8533)=7,1,0))))))</f>
        <v>2</v>
      </c>
      <c r="V8533" s="328">
        <f>VLOOKUP(C8533,METADATA!$A$5:$H$29,IF(E8533="HI",2,IF(E8533="LO",6,10))+IF(T8533=1,2,IF(D8533=7,1,(IF(WEEKDAY(B8533)=1,2,IF(WEEKDAY(B8533)=7,1,0))))))</f>
        <v>2</v>
      </c>
    </row>
    <row r="8534" spans="2:22">
      <c r="B8534" s="318">
        <f t="shared" si="531"/>
        <v>46468</v>
      </c>
      <c r="C8534" s="312">
        <v>10</v>
      </c>
      <c r="D8534" s="368">
        <f>IFERROR((INDEX(METADATA!$T$2:$T$20,MATCH(B8534,METADATA!$S$2:$S$20,0))),0)</f>
        <v>7</v>
      </c>
      <c r="E8534" s="312" t="str">
        <f t="shared" si="532"/>
        <v>LO</v>
      </c>
      <c r="F8534" s="369">
        <f>VLOOKUP(C8534,METADATA!$A$5:$H$29,IF(E8534="HI",2,IF(E8534="LO",6,10))+IF(D8534=1,2,IF(D8534=7,1,(IF(WEEKDAY(B8534)=1,2,IF(WEEKDAY(B8534)=7,1,0))))))</f>
        <v>2</v>
      </c>
      <c r="G8534" s="369">
        <f>VLOOKUP(C8534,METADATA!$J$5:$Q$29,IF(E8534="HI",2,IF(E8534="LO",6,10))+IF(D8534=1,2,IF(D8534=7,1,(IF(WEEKDAY(B8534)=1,2,IF(WEEKDAY(B8534)=7,1,0))))))</f>
        <v>2</v>
      </c>
      <c r="H8534" s="370">
        <v>10037.744995117188</v>
      </c>
      <c r="I8534" s="370">
        <v>2788.6475448608398</v>
      </c>
      <c r="M8534" s="371">
        <f t="shared" si="533"/>
        <v>10417.911485343813</v>
      </c>
      <c r="N8534" s="329">
        <f t="shared" si="534"/>
        <v>0</v>
      </c>
      <c r="T8534" s="331">
        <v>0</v>
      </c>
      <c r="U8534" s="328">
        <f>VLOOKUP(C8534,METADATA!$J$5:$Q$29,IF(E8534="HI",2,IF(E8534="LO",6,10))+IF(T8534=1,2,IF(D8534=7,1,(IF(WEEKDAY(B8534)=1,2,IF(WEEKDAY(B8534)=7,1,0))))))</f>
        <v>2</v>
      </c>
      <c r="V8534" s="328">
        <f>VLOOKUP(C8534,METADATA!$A$5:$H$29,IF(E8534="HI",2,IF(E8534="LO",6,10))+IF(T8534=1,2,IF(D8534=7,1,(IF(WEEKDAY(B8534)=1,2,IF(WEEKDAY(B8534)=7,1,0))))))</f>
        <v>2</v>
      </c>
    </row>
    <row r="8535" spans="2:22">
      <c r="B8535" s="318">
        <f t="shared" si="531"/>
        <v>46468</v>
      </c>
      <c r="C8535" s="312">
        <v>11</v>
      </c>
      <c r="D8535" s="368">
        <f>IFERROR((INDEX(METADATA!$T$2:$T$20,MATCH(B8535,METADATA!$S$2:$S$20,0))),0)</f>
        <v>7</v>
      </c>
      <c r="E8535" s="312" t="str">
        <f t="shared" si="532"/>
        <v>LO</v>
      </c>
      <c r="F8535" s="369">
        <f>VLOOKUP(C8535,METADATA!$A$5:$H$29,IF(E8535="HI",2,IF(E8535="LO",6,10))+IF(D8535=1,2,IF(D8535=7,1,(IF(WEEKDAY(B8535)=1,2,IF(WEEKDAY(B8535)=7,1,0))))))</f>
        <v>2</v>
      </c>
      <c r="G8535" s="369">
        <f>VLOOKUP(C8535,METADATA!$J$5:$Q$29,IF(E8535="HI",2,IF(E8535="LO",6,10))+IF(D8535=1,2,IF(D8535=7,1,(IF(WEEKDAY(B8535)=1,2,IF(WEEKDAY(B8535)=7,1,0))))))</f>
        <v>2</v>
      </c>
      <c r="H8535" s="370">
        <v>5200.5100708007813</v>
      </c>
      <c r="I8535" s="370">
        <v>1430.7824401855469</v>
      </c>
      <c r="M8535" s="371">
        <f t="shared" si="533"/>
        <v>5393.7411309446115</v>
      </c>
      <c r="N8535" s="329">
        <f t="shared" si="534"/>
        <v>0</v>
      </c>
      <c r="T8535" s="331">
        <v>0</v>
      </c>
      <c r="U8535" s="328">
        <f>VLOOKUP(C8535,METADATA!$J$5:$Q$29,IF(E8535="HI",2,IF(E8535="LO",6,10))+IF(T8535=1,2,IF(D8535=7,1,(IF(WEEKDAY(B8535)=1,2,IF(WEEKDAY(B8535)=7,1,0))))))</f>
        <v>2</v>
      </c>
      <c r="V8535" s="328">
        <f>VLOOKUP(C8535,METADATA!$A$5:$H$29,IF(E8535="HI",2,IF(E8535="LO",6,10))+IF(T8535=1,2,IF(D8535=7,1,(IF(WEEKDAY(B8535)=1,2,IF(WEEKDAY(B8535)=7,1,0))))))</f>
        <v>2</v>
      </c>
    </row>
    <row r="8536" spans="2:22">
      <c r="B8536" s="318">
        <f t="shared" si="531"/>
        <v>46468</v>
      </c>
      <c r="C8536" s="312">
        <v>12</v>
      </c>
      <c r="D8536" s="368">
        <f>IFERROR((INDEX(METADATA!$T$2:$T$20,MATCH(B8536,METADATA!$S$2:$S$20,0))),0)</f>
        <v>7</v>
      </c>
      <c r="E8536" s="312" t="str">
        <f t="shared" si="532"/>
        <v>LO</v>
      </c>
      <c r="F8536" s="369">
        <f>VLOOKUP(C8536,METADATA!$A$5:$H$29,IF(E8536="HI",2,IF(E8536="LO",6,10))+IF(D8536=1,2,IF(D8536=7,1,(IF(WEEKDAY(B8536)=1,2,IF(WEEKDAY(B8536)=7,1,0))))))</f>
        <v>3</v>
      </c>
      <c r="G8536" s="369">
        <f>VLOOKUP(C8536,METADATA!$J$5:$Q$29,IF(E8536="HI",2,IF(E8536="LO",6,10))+IF(D8536=1,2,IF(D8536=7,1,(IF(WEEKDAY(B8536)=1,2,IF(WEEKDAY(B8536)=7,1,0))))))</f>
        <v>3</v>
      </c>
      <c r="H8536" s="370">
        <v>5108.0799865722656</v>
      </c>
      <c r="I8536" s="370">
        <v>1557.14501953125</v>
      </c>
      <c r="M8536" s="371">
        <f t="shared" si="533"/>
        <v>5340.1481029154138</v>
      </c>
      <c r="N8536" s="329">
        <f t="shared" si="534"/>
        <v>24.721023559570313</v>
      </c>
      <c r="T8536" s="331">
        <v>0</v>
      </c>
      <c r="U8536" s="328">
        <f>VLOOKUP(C8536,METADATA!$J$5:$Q$29,IF(E8536="HI",2,IF(E8536="LO",6,10))+IF(T8536=1,2,IF(D8536=7,1,(IF(WEEKDAY(B8536)=1,2,IF(WEEKDAY(B8536)=7,1,0))))))</f>
        <v>3</v>
      </c>
      <c r="V8536" s="328">
        <f>VLOOKUP(C8536,METADATA!$A$5:$H$29,IF(E8536="HI",2,IF(E8536="LO",6,10))+IF(T8536=1,2,IF(D8536=7,1,(IF(WEEKDAY(B8536)=1,2,IF(WEEKDAY(B8536)=7,1,0))))))</f>
        <v>3</v>
      </c>
    </row>
    <row r="8537" spans="2:22">
      <c r="B8537" s="318">
        <f t="shared" si="531"/>
        <v>46468</v>
      </c>
      <c r="C8537" s="312">
        <v>13</v>
      </c>
      <c r="D8537" s="368">
        <f>IFERROR((INDEX(METADATA!$T$2:$T$20,MATCH(B8537,METADATA!$S$2:$S$20,0))),0)</f>
        <v>7</v>
      </c>
      <c r="E8537" s="312" t="str">
        <f t="shared" si="532"/>
        <v>LO</v>
      </c>
      <c r="F8537" s="369">
        <f>VLOOKUP(C8537,METADATA!$A$5:$H$29,IF(E8537="HI",2,IF(E8537="LO",6,10))+IF(D8537=1,2,IF(D8537=7,1,(IF(WEEKDAY(B8537)=1,2,IF(WEEKDAY(B8537)=7,1,0))))))</f>
        <v>3</v>
      </c>
      <c r="G8537" s="369">
        <f>VLOOKUP(C8537,METADATA!$J$5:$Q$29,IF(E8537="HI",2,IF(E8537="LO",6,10))+IF(D8537=1,2,IF(D8537=7,1,(IF(WEEKDAY(B8537)=1,2,IF(WEEKDAY(B8537)=7,1,0))))))</f>
        <v>3</v>
      </c>
      <c r="H8537" s="370">
        <v>8804.6598510742188</v>
      </c>
      <c r="I8537" s="370">
        <v>2094.4550170898438</v>
      </c>
      <c r="M8537" s="371">
        <f t="shared" si="533"/>
        <v>9050.346784059222</v>
      </c>
      <c r="N8537" s="329">
        <f t="shared" si="534"/>
        <v>0</v>
      </c>
      <c r="T8537" s="331">
        <v>0</v>
      </c>
      <c r="U8537" s="328">
        <f>VLOOKUP(C8537,METADATA!$J$5:$Q$29,IF(E8537="HI",2,IF(E8537="LO",6,10))+IF(T8537=1,2,IF(D8537=7,1,(IF(WEEKDAY(B8537)=1,2,IF(WEEKDAY(B8537)=7,1,0))))))</f>
        <v>3</v>
      </c>
      <c r="V8537" s="328">
        <f>VLOOKUP(C8537,METADATA!$A$5:$H$29,IF(E8537="HI",2,IF(E8537="LO",6,10))+IF(T8537=1,2,IF(D8537=7,1,(IF(WEEKDAY(B8537)=1,2,IF(WEEKDAY(B8537)=7,1,0))))))</f>
        <v>3</v>
      </c>
    </row>
    <row r="8538" spans="2:22">
      <c r="B8538" s="318">
        <f t="shared" si="531"/>
        <v>46468</v>
      </c>
      <c r="C8538" s="312">
        <v>14</v>
      </c>
      <c r="D8538" s="368">
        <f>IFERROR((INDEX(METADATA!$T$2:$T$20,MATCH(B8538,METADATA!$S$2:$S$20,0))),0)</f>
        <v>7</v>
      </c>
      <c r="E8538" s="312" t="str">
        <f t="shared" si="532"/>
        <v>LO</v>
      </c>
      <c r="F8538" s="369">
        <f>VLOOKUP(C8538,METADATA!$A$5:$H$29,IF(E8538="HI",2,IF(E8538="LO",6,10))+IF(D8538=1,2,IF(D8538=7,1,(IF(WEEKDAY(B8538)=1,2,IF(WEEKDAY(B8538)=7,1,0))))))</f>
        <v>3</v>
      </c>
      <c r="G8538" s="369">
        <f>VLOOKUP(C8538,METADATA!$J$5:$Q$29,IF(E8538="HI",2,IF(E8538="LO",6,10))+IF(D8538=1,2,IF(D8538=7,1,(IF(WEEKDAY(B8538)=1,2,IF(WEEKDAY(B8538)=7,1,0))))))</f>
        <v>3</v>
      </c>
      <c r="H8538" s="370">
        <v>11420.10009765625</v>
      </c>
      <c r="I8538" s="370">
        <v>2898.4775390625</v>
      </c>
      <c r="M8538" s="371">
        <f t="shared" si="533"/>
        <v>11782.183935287128</v>
      </c>
      <c r="N8538" s="329">
        <f t="shared" si="534"/>
        <v>0</v>
      </c>
      <c r="T8538" s="331">
        <v>0</v>
      </c>
      <c r="U8538" s="328">
        <f>VLOOKUP(C8538,METADATA!$J$5:$Q$29,IF(E8538="HI",2,IF(E8538="LO",6,10))+IF(T8538=1,2,IF(D8538=7,1,(IF(WEEKDAY(B8538)=1,2,IF(WEEKDAY(B8538)=7,1,0))))))</f>
        <v>3</v>
      </c>
      <c r="V8538" s="328">
        <f>VLOOKUP(C8538,METADATA!$A$5:$H$29,IF(E8538="HI",2,IF(E8538="LO",6,10))+IF(T8538=1,2,IF(D8538=7,1,(IF(WEEKDAY(B8538)=1,2,IF(WEEKDAY(B8538)=7,1,0))))))</f>
        <v>3</v>
      </c>
    </row>
    <row r="8539" spans="2:22">
      <c r="B8539" s="318">
        <f t="shared" si="531"/>
        <v>46468</v>
      </c>
      <c r="C8539" s="312">
        <v>15</v>
      </c>
      <c r="D8539" s="368">
        <f>IFERROR((INDEX(METADATA!$T$2:$T$20,MATCH(B8539,METADATA!$S$2:$S$20,0))),0)</f>
        <v>7</v>
      </c>
      <c r="E8539" s="312" t="str">
        <f t="shared" si="532"/>
        <v>LO</v>
      </c>
      <c r="F8539" s="369">
        <f>VLOOKUP(C8539,METADATA!$A$5:$H$29,IF(E8539="HI",2,IF(E8539="LO",6,10))+IF(D8539=1,2,IF(D8539=7,1,(IF(WEEKDAY(B8539)=1,2,IF(WEEKDAY(B8539)=7,1,0))))))</f>
        <v>3</v>
      </c>
      <c r="G8539" s="369">
        <f>VLOOKUP(C8539,METADATA!$J$5:$Q$29,IF(E8539="HI",2,IF(E8539="LO",6,10))+IF(D8539=1,2,IF(D8539=7,1,(IF(WEEKDAY(B8539)=1,2,IF(WEEKDAY(B8539)=7,1,0))))))</f>
        <v>3</v>
      </c>
      <c r="H8539" s="370">
        <v>12189.550231933594</v>
      </c>
      <c r="I8539" s="370">
        <v>3581.2774963378906</v>
      </c>
      <c r="M8539" s="371">
        <f t="shared" si="533"/>
        <v>12704.750425042143</v>
      </c>
      <c r="N8539" s="329">
        <f t="shared" si="534"/>
        <v>0</v>
      </c>
      <c r="T8539" s="331">
        <v>0</v>
      </c>
      <c r="U8539" s="328">
        <f>VLOOKUP(C8539,METADATA!$J$5:$Q$29,IF(E8539="HI",2,IF(E8539="LO",6,10))+IF(T8539=1,2,IF(D8539=7,1,(IF(WEEKDAY(B8539)=1,2,IF(WEEKDAY(B8539)=7,1,0))))))</f>
        <v>3</v>
      </c>
      <c r="V8539" s="328">
        <f>VLOOKUP(C8539,METADATA!$A$5:$H$29,IF(E8539="HI",2,IF(E8539="LO",6,10))+IF(T8539=1,2,IF(D8539=7,1,(IF(WEEKDAY(B8539)=1,2,IF(WEEKDAY(B8539)=7,1,0))))))</f>
        <v>3</v>
      </c>
    </row>
    <row r="8540" spans="2:22">
      <c r="B8540" s="318">
        <f t="shared" ref="B8540:B8603" si="535">B8516+1</f>
        <v>46468</v>
      </c>
      <c r="C8540" s="312">
        <v>16</v>
      </c>
      <c r="D8540" s="368">
        <f>IFERROR((INDEX(METADATA!$T$2:$T$20,MATCH(B8540,METADATA!$S$2:$S$20,0))),0)</f>
        <v>7</v>
      </c>
      <c r="E8540" s="312" t="str">
        <f t="shared" si="532"/>
        <v>LO</v>
      </c>
      <c r="F8540" s="369">
        <f>VLOOKUP(C8540,METADATA!$A$5:$H$29,IF(E8540="HI",2,IF(E8540="LO",6,10))+IF(D8540=1,2,IF(D8540=7,1,(IF(WEEKDAY(B8540)=1,2,IF(WEEKDAY(B8540)=7,1,0))))))</f>
        <v>3</v>
      </c>
      <c r="G8540" s="369">
        <f>VLOOKUP(C8540,METADATA!$J$5:$Q$29,IF(E8540="HI",2,IF(E8540="LO",6,10))+IF(D8540=1,2,IF(D8540=7,1,(IF(WEEKDAY(B8540)=1,2,IF(WEEKDAY(B8540)=7,1,0))))))</f>
        <v>3</v>
      </c>
      <c r="H8540" s="370">
        <v>13257.099731445313</v>
      </c>
      <c r="I8540" s="370">
        <v>4133.2150268554688</v>
      </c>
      <c r="M8540" s="371">
        <f t="shared" si="533"/>
        <v>13886.473985418732</v>
      </c>
      <c r="N8540" s="329">
        <f t="shared" si="534"/>
        <v>156.08510742187536</v>
      </c>
      <c r="T8540" s="331">
        <v>0</v>
      </c>
      <c r="U8540" s="328">
        <f>VLOOKUP(C8540,METADATA!$J$5:$Q$29,IF(E8540="HI",2,IF(E8540="LO",6,10))+IF(T8540=1,2,IF(D8540=7,1,(IF(WEEKDAY(B8540)=1,2,IF(WEEKDAY(B8540)=7,1,0))))))</f>
        <v>3</v>
      </c>
      <c r="V8540" s="328">
        <f>VLOOKUP(C8540,METADATA!$A$5:$H$29,IF(E8540="HI",2,IF(E8540="LO",6,10))+IF(T8540=1,2,IF(D8540=7,1,(IF(WEEKDAY(B8540)=1,2,IF(WEEKDAY(B8540)=7,1,0))))))</f>
        <v>3</v>
      </c>
    </row>
    <row r="8541" spans="2:22">
      <c r="B8541" s="318">
        <f t="shared" si="535"/>
        <v>46468</v>
      </c>
      <c r="C8541" s="312">
        <v>17</v>
      </c>
      <c r="D8541" s="368">
        <f>IFERROR((INDEX(METADATA!$T$2:$T$20,MATCH(B8541,METADATA!$S$2:$S$20,0))),0)</f>
        <v>7</v>
      </c>
      <c r="E8541" s="312" t="str">
        <f t="shared" si="532"/>
        <v>LO</v>
      </c>
      <c r="F8541" s="369">
        <f>VLOOKUP(C8541,METADATA!$A$5:$H$29,IF(E8541="HI",2,IF(E8541="LO",6,10))+IF(D8541=1,2,IF(D8541=7,1,(IF(WEEKDAY(B8541)=1,2,IF(WEEKDAY(B8541)=7,1,0))))))</f>
        <v>3</v>
      </c>
      <c r="G8541" s="369">
        <f>VLOOKUP(C8541,METADATA!$J$5:$Q$29,IF(E8541="HI",2,IF(E8541="LO",6,10))+IF(D8541=1,2,IF(D8541=7,1,(IF(WEEKDAY(B8541)=1,2,IF(WEEKDAY(B8541)=7,1,0))))))</f>
        <v>3</v>
      </c>
      <c r="H8541" s="370">
        <v>13224.400085449219</v>
      </c>
      <c r="I8541" s="370">
        <v>4233.1449890136719</v>
      </c>
      <c r="M8541" s="371">
        <f t="shared" si="533"/>
        <v>13885.397873955246</v>
      </c>
      <c r="N8541" s="329">
        <f t="shared" si="534"/>
        <v>265.82496337890643</v>
      </c>
      <c r="T8541" s="331">
        <v>0</v>
      </c>
      <c r="U8541" s="328">
        <f>VLOOKUP(C8541,METADATA!$J$5:$Q$29,IF(E8541="HI",2,IF(E8541="LO",6,10))+IF(T8541=1,2,IF(D8541=7,1,(IF(WEEKDAY(B8541)=1,2,IF(WEEKDAY(B8541)=7,1,0))))))</f>
        <v>3</v>
      </c>
      <c r="V8541" s="328">
        <f>VLOOKUP(C8541,METADATA!$A$5:$H$29,IF(E8541="HI",2,IF(E8541="LO",6,10))+IF(T8541=1,2,IF(D8541=7,1,(IF(WEEKDAY(B8541)=1,2,IF(WEEKDAY(B8541)=7,1,0))))))</f>
        <v>3</v>
      </c>
    </row>
    <row r="8542" spans="2:22">
      <c r="B8542" s="318">
        <f t="shared" si="535"/>
        <v>46468</v>
      </c>
      <c r="C8542" s="312">
        <v>18</v>
      </c>
      <c r="D8542" s="368">
        <f>IFERROR((INDEX(METADATA!$T$2:$T$20,MATCH(B8542,METADATA!$S$2:$S$20,0))),0)</f>
        <v>7</v>
      </c>
      <c r="E8542" s="312" t="str">
        <f t="shared" si="532"/>
        <v>LO</v>
      </c>
      <c r="F8542" s="369">
        <f>VLOOKUP(C8542,METADATA!$A$5:$H$29,IF(E8542="HI",2,IF(E8542="LO",6,10))+IF(D8542=1,2,IF(D8542=7,1,(IF(WEEKDAY(B8542)=1,2,IF(WEEKDAY(B8542)=7,1,0))))))</f>
        <v>2</v>
      </c>
      <c r="G8542" s="369">
        <f>VLOOKUP(C8542,METADATA!$J$5:$Q$29,IF(E8542="HI",2,IF(E8542="LO",6,10))+IF(D8542=1,2,IF(D8542=7,1,(IF(WEEKDAY(B8542)=1,2,IF(WEEKDAY(B8542)=7,1,0))))))</f>
        <v>2</v>
      </c>
      <c r="H8542" s="370">
        <v>13332.749816894531</v>
      </c>
      <c r="I8542" s="370">
        <v>4226.7350158691406</v>
      </c>
      <c r="M8542" s="371">
        <f t="shared" si="533"/>
        <v>13986.690336683496</v>
      </c>
      <c r="N8542" s="329">
        <f t="shared" si="534"/>
        <v>226.91007080078134</v>
      </c>
      <c r="T8542" s="331">
        <v>0</v>
      </c>
      <c r="U8542" s="328">
        <f>VLOOKUP(C8542,METADATA!$J$5:$Q$29,IF(E8542="HI",2,IF(E8542="LO",6,10))+IF(T8542=1,2,IF(D8542=7,1,(IF(WEEKDAY(B8542)=1,2,IF(WEEKDAY(B8542)=7,1,0))))))</f>
        <v>2</v>
      </c>
      <c r="V8542" s="328">
        <f>VLOOKUP(C8542,METADATA!$A$5:$H$29,IF(E8542="HI",2,IF(E8542="LO",6,10))+IF(T8542=1,2,IF(D8542=7,1,(IF(WEEKDAY(B8542)=1,2,IF(WEEKDAY(B8542)=7,1,0))))))</f>
        <v>2</v>
      </c>
    </row>
    <row r="8543" spans="2:22">
      <c r="B8543" s="318">
        <f t="shared" si="535"/>
        <v>46468</v>
      </c>
      <c r="C8543" s="312">
        <v>19</v>
      </c>
      <c r="D8543" s="368">
        <f>IFERROR((INDEX(METADATA!$T$2:$T$20,MATCH(B8543,METADATA!$S$2:$S$20,0))),0)</f>
        <v>7</v>
      </c>
      <c r="E8543" s="312" t="str">
        <f t="shared" si="532"/>
        <v>LO</v>
      </c>
      <c r="F8543" s="369">
        <f>VLOOKUP(C8543,METADATA!$A$5:$H$29,IF(E8543="HI",2,IF(E8543="LO",6,10))+IF(D8543=1,2,IF(D8543=7,1,(IF(WEEKDAY(B8543)=1,2,IF(WEEKDAY(B8543)=7,1,0))))))</f>
        <v>2</v>
      </c>
      <c r="G8543" s="369">
        <f>VLOOKUP(C8543,METADATA!$J$5:$Q$29,IF(E8543="HI",2,IF(E8543="LO",6,10))+IF(D8543=1,2,IF(D8543=7,1,(IF(WEEKDAY(B8543)=1,2,IF(WEEKDAY(B8543)=7,1,0))))))</f>
        <v>2</v>
      </c>
      <c r="H8543" s="370">
        <v>13406.025268554688</v>
      </c>
      <c r="I8543" s="370">
        <v>4178.8399658203125</v>
      </c>
      <c r="M8543" s="371">
        <f t="shared" si="533"/>
        <v>14042.229771694518</v>
      </c>
      <c r="N8543" s="329">
        <f t="shared" si="534"/>
        <v>157.03238525390634</v>
      </c>
      <c r="T8543" s="331">
        <v>0</v>
      </c>
      <c r="U8543" s="328">
        <f>VLOOKUP(C8543,METADATA!$J$5:$Q$29,IF(E8543="HI",2,IF(E8543="LO",6,10))+IF(T8543=1,2,IF(D8543=7,1,(IF(WEEKDAY(B8543)=1,2,IF(WEEKDAY(B8543)=7,1,0))))))</f>
        <v>2</v>
      </c>
      <c r="V8543" s="328">
        <f>VLOOKUP(C8543,METADATA!$A$5:$H$29,IF(E8543="HI",2,IF(E8543="LO",6,10))+IF(T8543=1,2,IF(D8543=7,1,(IF(WEEKDAY(B8543)=1,2,IF(WEEKDAY(B8543)=7,1,0))))))</f>
        <v>2</v>
      </c>
    </row>
    <row r="8544" spans="2:22">
      <c r="B8544" s="318">
        <f t="shared" si="535"/>
        <v>46468</v>
      </c>
      <c r="C8544" s="312">
        <v>20</v>
      </c>
      <c r="D8544" s="368">
        <f>IFERROR((INDEX(METADATA!$T$2:$T$20,MATCH(B8544,METADATA!$S$2:$S$20,0))),0)</f>
        <v>7</v>
      </c>
      <c r="E8544" s="312" t="str">
        <f t="shared" si="532"/>
        <v>LO</v>
      </c>
      <c r="F8544" s="369">
        <f>VLOOKUP(C8544,METADATA!$A$5:$H$29,IF(E8544="HI",2,IF(E8544="LO",6,10))+IF(D8544=1,2,IF(D8544=7,1,(IF(WEEKDAY(B8544)=1,2,IF(WEEKDAY(B8544)=7,1,0))))))</f>
        <v>3</v>
      </c>
      <c r="G8544" s="369">
        <f>VLOOKUP(C8544,METADATA!$J$5:$Q$29,IF(E8544="HI",2,IF(E8544="LO",6,10))+IF(D8544=1,2,IF(D8544=7,1,(IF(WEEKDAY(B8544)=1,2,IF(WEEKDAY(B8544)=7,1,0))))))</f>
        <v>3</v>
      </c>
      <c r="H8544" s="370">
        <v>13341.825134277344</v>
      </c>
      <c r="I8544" s="370">
        <v>4099.3100280761719</v>
      </c>
      <c r="M8544" s="371">
        <f t="shared" si="533"/>
        <v>13957.386597064671</v>
      </c>
      <c r="N8544" s="329">
        <f t="shared" si="534"/>
        <v>96.762487792968841</v>
      </c>
      <c r="T8544" s="331">
        <v>0</v>
      </c>
      <c r="U8544" s="328">
        <f>VLOOKUP(C8544,METADATA!$J$5:$Q$29,IF(E8544="HI",2,IF(E8544="LO",6,10))+IF(T8544=1,2,IF(D8544=7,1,(IF(WEEKDAY(B8544)=1,2,IF(WEEKDAY(B8544)=7,1,0))))))</f>
        <v>3</v>
      </c>
      <c r="V8544" s="328">
        <f>VLOOKUP(C8544,METADATA!$A$5:$H$29,IF(E8544="HI",2,IF(E8544="LO",6,10))+IF(T8544=1,2,IF(D8544=7,1,(IF(WEEKDAY(B8544)=1,2,IF(WEEKDAY(B8544)=7,1,0))))))</f>
        <v>3</v>
      </c>
    </row>
    <row r="8545" spans="2:22">
      <c r="B8545" s="318">
        <f t="shared" si="535"/>
        <v>46468</v>
      </c>
      <c r="C8545" s="312">
        <v>21</v>
      </c>
      <c r="D8545" s="368">
        <f>IFERROR((INDEX(METADATA!$T$2:$T$20,MATCH(B8545,METADATA!$S$2:$S$20,0))),0)</f>
        <v>7</v>
      </c>
      <c r="E8545" s="312" t="str">
        <f t="shared" si="532"/>
        <v>LO</v>
      </c>
      <c r="F8545" s="369">
        <f>VLOOKUP(C8545,METADATA!$A$5:$H$29,IF(E8545="HI",2,IF(E8545="LO",6,10))+IF(D8545=1,2,IF(D8545=7,1,(IF(WEEKDAY(B8545)=1,2,IF(WEEKDAY(B8545)=7,1,0))))))</f>
        <v>3</v>
      </c>
      <c r="G8545" s="369">
        <f>VLOOKUP(C8545,METADATA!$J$5:$Q$29,IF(E8545="HI",2,IF(E8545="LO",6,10))+IF(D8545=1,2,IF(D8545=7,1,(IF(WEEKDAY(B8545)=1,2,IF(WEEKDAY(B8545)=7,1,0))))))</f>
        <v>3</v>
      </c>
      <c r="H8545" s="370">
        <v>13176.750122070313</v>
      </c>
      <c r="I8545" s="370">
        <v>3949.7850036621094</v>
      </c>
      <c r="M8545" s="371">
        <f t="shared" si="533"/>
        <v>13756.000340020135</v>
      </c>
      <c r="N8545" s="329">
        <f t="shared" si="534"/>
        <v>0</v>
      </c>
      <c r="T8545" s="331">
        <v>0</v>
      </c>
      <c r="U8545" s="328">
        <f>VLOOKUP(C8545,METADATA!$J$5:$Q$29,IF(E8545="HI",2,IF(E8545="LO",6,10))+IF(T8545=1,2,IF(D8545=7,1,(IF(WEEKDAY(B8545)=1,2,IF(WEEKDAY(B8545)=7,1,0))))))</f>
        <v>3</v>
      </c>
      <c r="V8545" s="328">
        <f>VLOOKUP(C8545,METADATA!$A$5:$H$29,IF(E8545="HI",2,IF(E8545="LO",6,10))+IF(T8545=1,2,IF(D8545=7,1,(IF(WEEKDAY(B8545)=1,2,IF(WEEKDAY(B8545)=7,1,0))))))</f>
        <v>3</v>
      </c>
    </row>
    <row r="8546" spans="2:22">
      <c r="B8546" s="318">
        <f t="shared" si="535"/>
        <v>46468</v>
      </c>
      <c r="C8546" s="312">
        <v>22</v>
      </c>
      <c r="D8546" s="368">
        <f>IFERROR((INDEX(METADATA!$T$2:$T$20,MATCH(B8546,METADATA!$S$2:$S$20,0))),0)</f>
        <v>7</v>
      </c>
      <c r="E8546" s="312" t="str">
        <f t="shared" si="532"/>
        <v>LO</v>
      </c>
      <c r="F8546" s="369">
        <f>VLOOKUP(C8546,METADATA!$A$5:$H$29,IF(E8546="HI",2,IF(E8546="LO",6,10))+IF(D8546=1,2,IF(D8546=7,1,(IF(WEEKDAY(B8546)=1,2,IF(WEEKDAY(B8546)=7,1,0))))))</f>
        <v>3</v>
      </c>
      <c r="G8546" s="369">
        <f>VLOOKUP(C8546,METADATA!$J$5:$Q$29,IF(E8546="HI",2,IF(E8546="LO",6,10))+IF(D8546=1,2,IF(D8546=7,1,(IF(WEEKDAY(B8546)=1,2,IF(WEEKDAY(B8546)=7,1,0))))))</f>
        <v>3</v>
      </c>
      <c r="H8546" s="370">
        <v>13170.049438476563</v>
      </c>
      <c r="I8546" s="370">
        <v>3927.8899841308594</v>
      </c>
      <c r="M8546" s="371">
        <f t="shared" si="533"/>
        <v>13743.308260362654</v>
      </c>
      <c r="N8546" s="329">
        <f t="shared" si="534"/>
        <v>0</v>
      </c>
      <c r="T8546" s="331">
        <v>0</v>
      </c>
      <c r="U8546" s="328">
        <f>VLOOKUP(C8546,METADATA!$J$5:$Q$29,IF(E8546="HI",2,IF(E8546="LO",6,10))+IF(T8546=1,2,IF(D8546=7,1,(IF(WEEKDAY(B8546)=1,2,IF(WEEKDAY(B8546)=7,1,0))))))</f>
        <v>3</v>
      </c>
      <c r="V8546" s="328">
        <f>VLOOKUP(C8546,METADATA!$A$5:$H$29,IF(E8546="HI",2,IF(E8546="LO",6,10))+IF(T8546=1,2,IF(D8546=7,1,(IF(WEEKDAY(B8546)=1,2,IF(WEEKDAY(B8546)=7,1,0))))))</f>
        <v>3</v>
      </c>
    </row>
    <row r="8547" spans="2:22">
      <c r="B8547" s="318">
        <f t="shared" si="535"/>
        <v>46468</v>
      </c>
      <c r="C8547" s="312">
        <v>23</v>
      </c>
      <c r="D8547" s="368">
        <f>IFERROR((INDEX(METADATA!$T$2:$T$20,MATCH(B8547,METADATA!$S$2:$S$20,0))),0)</f>
        <v>7</v>
      </c>
      <c r="E8547" s="312" t="str">
        <f t="shared" si="532"/>
        <v>LO</v>
      </c>
      <c r="F8547" s="369">
        <f>VLOOKUP(C8547,METADATA!$A$5:$H$29,IF(E8547="HI",2,IF(E8547="LO",6,10))+IF(D8547=1,2,IF(D8547=7,1,(IF(WEEKDAY(B8547)=1,2,IF(WEEKDAY(B8547)=7,1,0))))))</f>
        <v>3</v>
      </c>
      <c r="G8547" s="369">
        <f>VLOOKUP(C8547,METADATA!$J$5:$Q$29,IF(E8547="HI",2,IF(E8547="LO",6,10))+IF(D8547=1,2,IF(D8547=7,1,(IF(WEEKDAY(B8547)=1,2,IF(WEEKDAY(B8547)=7,1,0))))))</f>
        <v>3</v>
      </c>
      <c r="H8547" s="370">
        <v>12846.474365234375</v>
      </c>
      <c r="I8547" s="370">
        <v>3912.0850524902344</v>
      </c>
      <c r="M8547" s="371">
        <f t="shared" si="533"/>
        <v>13428.935664249102</v>
      </c>
      <c r="N8547" s="329">
        <f t="shared" si="534"/>
        <v>58.142742919922057</v>
      </c>
      <c r="T8547" s="331">
        <v>0</v>
      </c>
      <c r="U8547" s="328">
        <f>VLOOKUP(C8547,METADATA!$J$5:$Q$29,IF(E8547="HI",2,IF(E8547="LO",6,10))+IF(T8547=1,2,IF(D8547=7,1,(IF(WEEKDAY(B8547)=1,2,IF(WEEKDAY(B8547)=7,1,0))))))</f>
        <v>3</v>
      </c>
      <c r="V8547" s="328">
        <f>VLOOKUP(C8547,METADATA!$A$5:$H$29,IF(E8547="HI",2,IF(E8547="LO",6,10))+IF(T8547=1,2,IF(D8547=7,1,(IF(WEEKDAY(B8547)=1,2,IF(WEEKDAY(B8547)=7,1,0))))))</f>
        <v>3</v>
      </c>
    </row>
    <row r="8548" spans="2:22">
      <c r="B8548" s="318">
        <f t="shared" si="535"/>
        <v>46469</v>
      </c>
      <c r="C8548" s="312">
        <v>0</v>
      </c>
      <c r="D8548" s="368">
        <f>IFERROR((INDEX(METADATA!$T$2:$T$20,MATCH(B8548,METADATA!$S$2:$S$20,0))),0)</f>
        <v>0</v>
      </c>
      <c r="E8548" s="312" t="str">
        <f t="shared" si="532"/>
        <v>LO</v>
      </c>
      <c r="F8548" s="369">
        <f>VLOOKUP(C8548,METADATA!$A$5:$H$29,IF(E8548="HI",2,IF(E8548="LO",6,10))+IF(D8548=1,2,IF(D8548=7,1,(IF(WEEKDAY(B8548)=1,2,IF(WEEKDAY(B8548)=7,1,0))))))</f>
        <v>3</v>
      </c>
      <c r="G8548" s="369">
        <f>VLOOKUP(C8548,METADATA!$J$5:$Q$29,IF(E8548="HI",2,IF(E8548="LO",6,10))+IF(D8548=1,2,IF(D8548=7,1,(IF(WEEKDAY(B8548)=1,2,IF(WEEKDAY(B8548)=7,1,0))))))</f>
        <v>3</v>
      </c>
      <c r="H8548" s="370">
        <v>12787.97509765625</v>
      </c>
      <c r="I8548" s="370">
        <v>3961.4049377441406</v>
      </c>
      <c r="M8548" s="371">
        <f t="shared" si="533"/>
        <v>13387.495515557048</v>
      </c>
      <c r="N8548" s="329">
        <f t="shared" si="534"/>
        <v>125.0124084472659</v>
      </c>
      <c r="T8548" s="331">
        <v>0</v>
      </c>
      <c r="U8548" s="328">
        <f>VLOOKUP(C8548,METADATA!$J$5:$Q$29,IF(E8548="HI",2,IF(E8548="LO",6,10))+IF(T8548=1,2,IF(D8548=7,1,(IF(WEEKDAY(B8548)=1,2,IF(WEEKDAY(B8548)=7,1,0))))))</f>
        <v>3</v>
      </c>
      <c r="V8548" s="328">
        <f>VLOOKUP(C8548,METADATA!$A$5:$H$29,IF(E8548="HI",2,IF(E8548="LO",6,10))+IF(T8548=1,2,IF(D8548=7,1,(IF(WEEKDAY(B8548)=1,2,IF(WEEKDAY(B8548)=7,1,0))))))</f>
        <v>3</v>
      </c>
    </row>
    <row r="8549" spans="2:22">
      <c r="B8549" s="318">
        <f t="shared" si="535"/>
        <v>46469</v>
      </c>
      <c r="C8549" s="312">
        <v>1</v>
      </c>
      <c r="D8549" s="368">
        <f>IFERROR((INDEX(METADATA!$T$2:$T$20,MATCH(B8549,METADATA!$S$2:$S$20,0))),0)</f>
        <v>0</v>
      </c>
      <c r="E8549" s="312" t="str">
        <f t="shared" si="532"/>
        <v>LO</v>
      </c>
      <c r="F8549" s="369">
        <f>VLOOKUP(C8549,METADATA!$A$5:$H$29,IF(E8549="HI",2,IF(E8549="LO",6,10))+IF(D8549=1,2,IF(D8549=7,1,(IF(WEEKDAY(B8549)=1,2,IF(WEEKDAY(B8549)=7,1,0))))))</f>
        <v>3</v>
      </c>
      <c r="G8549" s="369">
        <f>VLOOKUP(C8549,METADATA!$J$5:$Q$29,IF(E8549="HI",2,IF(E8549="LO",6,10))+IF(D8549=1,2,IF(D8549=7,1,(IF(WEEKDAY(B8549)=1,2,IF(WEEKDAY(B8549)=7,1,0))))))</f>
        <v>3</v>
      </c>
      <c r="H8549" s="370">
        <v>12667.982421875</v>
      </c>
      <c r="I8549" s="370">
        <v>3898.9800720214844</v>
      </c>
      <c r="M8549" s="371">
        <f t="shared" si="533"/>
        <v>13254.426590500045</v>
      </c>
      <c r="N8549" s="329">
        <f t="shared" si="534"/>
        <v>98.585345458984648</v>
      </c>
      <c r="T8549" s="331">
        <v>0</v>
      </c>
      <c r="U8549" s="328">
        <f>VLOOKUP(C8549,METADATA!$J$5:$Q$29,IF(E8549="HI",2,IF(E8549="LO",6,10))+IF(T8549=1,2,IF(D8549=7,1,(IF(WEEKDAY(B8549)=1,2,IF(WEEKDAY(B8549)=7,1,0))))))</f>
        <v>3</v>
      </c>
      <c r="V8549" s="328">
        <f>VLOOKUP(C8549,METADATA!$A$5:$H$29,IF(E8549="HI",2,IF(E8549="LO",6,10))+IF(T8549=1,2,IF(D8549=7,1,(IF(WEEKDAY(B8549)=1,2,IF(WEEKDAY(B8549)=7,1,0))))))</f>
        <v>3</v>
      </c>
    </row>
    <row r="8550" spans="2:22">
      <c r="B8550" s="318">
        <f t="shared" si="535"/>
        <v>46469</v>
      </c>
      <c r="C8550" s="312">
        <v>2</v>
      </c>
      <c r="D8550" s="368">
        <f>IFERROR((INDEX(METADATA!$T$2:$T$20,MATCH(B8550,METADATA!$S$2:$S$20,0))),0)</f>
        <v>0</v>
      </c>
      <c r="E8550" s="312" t="str">
        <f t="shared" si="532"/>
        <v>LO</v>
      </c>
      <c r="F8550" s="369">
        <f>VLOOKUP(C8550,METADATA!$A$5:$H$29,IF(E8550="HI",2,IF(E8550="LO",6,10))+IF(D8550=1,2,IF(D8550=7,1,(IF(WEEKDAY(B8550)=1,2,IF(WEEKDAY(B8550)=7,1,0))))))</f>
        <v>3</v>
      </c>
      <c r="G8550" s="369">
        <f>VLOOKUP(C8550,METADATA!$J$5:$Q$29,IF(E8550="HI",2,IF(E8550="LO",6,10))+IF(D8550=1,2,IF(D8550=7,1,(IF(WEEKDAY(B8550)=1,2,IF(WEEKDAY(B8550)=7,1,0))))))</f>
        <v>3</v>
      </c>
      <c r="H8550" s="370">
        <v>12705.925231933594</v>
      </c>
      <c r="I8550" s="370">
        <v>3968.8250732421875</v>
      </c>
      <c r="M8550" s="371">
        <f t="shared" si="533"/>
        <v>13311.352615774349</v>
      </c>
      <c r="N8550" s="329">
        <f t="shared" si="534"/>
        <v>157.04750366210965</v>
      </c>
      <c r="T8550" s="331">
        <v>0</v>
      </c>
      <c r="U8550" s="328">
        <f>VLOOKUP(C8550,METADATA!$J$5:$Q$29,IF(E8550="HI",2,IF(E8550="LO",6,10))+IF(T8550=1,2,IF(D8550=7,1,(IF(WEEKDAY(B8550)=1,2,IF(WEEKDAY(B8550)=7,1,0))))))</f>
        <v>3</v>
      </c>
      <c r="V8550" s="328">
        <f>VLOOKUP(C8550,METADATA!$A$5:$H$29,IF(E8550="HI",2,IF(E8550="LO",6,10))+IF(T8550=1,2,IF(D8550=7,1,(IF(WEEKDAY(B8550)=1,2,IF(WEEKDAY(B8550)=7,1,0))))))</f>
        <v>3</v>
      </c>
    </row>
    <row r="8551" spans="2:22">
      <c r="B8551" s="318">
        <f t="shared" si="535"/>
        <v>46469</v>
      </c>
      <c r="C8551" s="312">
        <v>3</v>
      </c>
      <c r="D8551" s="368">
        <f>IFERROR((INDEX(METADATA!$T$2:$T$20,MATCH(B8551,METADATA!$S$2:$S$20,0))),0)</f>
        <v>0</v>
      </c>
      <c r="E8551" s="312" t="str">
        <f t="shared" si="532"/>
        <v>LO</v>
      </c>
      <c r="F8551" s="369">
        <f>VLOOKUP(C8551,METADATA!$A$5:$H$29,IF(E8551="HI",2,IF(E8551="LO",6,10))+IF(D8551=1,2,IF(D8551=7,1,(IF(WEEKDAY(B8551)=1,2,IF(WEEKDAY(B8551)=7,1,0))))))</f>
        <v>3</v>
      </c>
      <c r="G8551" s="369">
        <f>VLOOKUP(C8551,METADATA!$J$5:$Q$29,IF(E8551="HI",2,IF(E8551="LO",6,10))+IF(D8551=1,2,IF(D8551=7,1,(IF(WEEKDAY(B8551)=1,2,IF(WEEKDAY(B8551)=7,1,0))))))</f>
        <v>3</v>
      </c>
      <c r="H8551" s="370">
        <v>12544.399780273438</v>
      </c>
      <c r="I8551" s="370">
        <v>3945.034912109375</v>
      </c>
      <c r="M8551" s="371">
        <f t="shared" si="533"/>
        <v>13150.105182282234</v>
      </c>
      <c r="N8551" s="329">
        <f t="shared" si="534"/>
        <v>181.71497802734393</v>
      </c>
      <c r="T8551" s="331">
        <v>0</v>
      </c>
      <c r="U8551" s="328">
        <f>VLOOKUP(C8551,METADATA!$J$5:$Q$29,IF(E8551="HI",2,IF(E8551="LO",6,10))+IF(T8551=1,2,IF(D8551=7,1,(IF(WEEKDAY(B8551)=1,2,IF(WEEKDAY(B8551)=7,1,0))))))</f>
        <v>3</v>
      </c>
      <c r="V8551" s="328">
        <f>VLOOKUP(C8551,METADATA!$A$5:$H$29,IF(E8551="HI",2,IF(E8551="LO",6,10))+IF(T8551=1,2,IF(D8551=7,1,(IF(WEEKDAY(B8551)=1,2,IF(WEEKDAY(B8551)=7,1,0))))))</f>
        <v>3</v>
      </c>
    </row>
    <row r="8552" spans="2:22">
      <c r="B8552" s="318">
        <f t="shared" si="535"/>
        <v>46469</v>
      </c>
      <c r="C8552" s="312">
        <v>4</v>
      </c>
      <c r="D8552" s="368">
        <f>IFERROR((INDEX(METADATA!$T$2:$T$20,MATCH(B8552,METADATA!$S$2:$S$20,0))),0)</f>
        <v>0</v>
      </c>
      <c r="E8552" s="312" t="str">
        <f t="shared" si="532"/>
        <v>LO</v>
      </c>
      <c r="F8552" s="369">
        <f>VLOOKUP(C8552,METADATA!$A$5:$H$29,IF(E8552="HI",2,IF(E8552="LO",6,10))+IF(D8552=1,2,IF(D8552=7,1,(IF(WEEKDAY(B8552)=1,2,IF(WEEKDAY(B8552)=7,1,0))))))</f>
        <v>3</v>
      </c>
      <c r="G8552" s="369">
        <f>VLOOKUP(C8552,METADATA!$J$5:$Q$29,IF(E8552="HI",2,IF(E8552="LO",6,10))+IF(D8552=1,2,IF(D8552=7,1,(IF(WEEKDAY(B8552)=1,2,IF(WEEKDAY(B8552)=7,1,0))))))</f>
        <v>3</v>
      </c>
      <c r="H8552" s="370">
        <v>12479.674682617188</v>
      </c>
      <c r="I8552" s="370">
        <v>3960.6150512695313</v>
      </c>
      <c r="M8552" s="371">
        <f t="shared" si="533"/>
        <v>13093.080300994839</v>
      </c>
      <c r="N8552" s="329">
        <f t="shared" si="534"/>
        <v>216.712646484375</v>
      </c>
      <c r="T8552" s="331">
        <v>0</v>
      </c>
      <c r="U8552" s="328">
        <f>VLOOKUP(C8552,METADATA!$J$5:$Q$29,IF(E8552="HI",2,IF(E8552="LO",6,10))+IF(T8552=1,2,IF(D8552=7,1,(IF(WEEKDAY(B8552)=1,2,IF(WEEKDAY(B8552)=7,1,0))))))</f>
        <v>3</v>
      </c>
      <c r="V8552" s="328">
        <f>VLOOKUP(C8552,METADATA!$A$5:$H$29,IF(E8552="HI",2,IF(E8552="LO",6,10))+IF(T8552=1,2,IF(D8552=7,1,(IF(WEEKDAY(B8552)=1,2,IF(WEEKDAY(B8552)=7,1,0))))))</f>
        <v>3</v>
      </c>
    </row>
    <row r="8553" spans="2:22">
      <c r="B8553" s="318">
        <f t="shared" si="535"/>
        <v>46469</v>
      </c>
      <c r="C8553" s="312">
        <v>5</v>
      </c>
      <c r="D8553" s="368">
        <f>IFERROR((INDEX(METADATA!$T$2:$T$20,MATCH(B8553,METADATA!$S$2:$S$20,0))),0)</f>
        <v>0</v>
      </c>
      <c r="E8553" s="312" t="str">
        <f t="shared" si="532"/>
        <v>LO</v>
      </c>
      <c r="F8553" s="369">
        <f>VLOOKUP(C8553,METADATA!$A$5:$H$29,IF(E8553="HI",2,IF(E8553="LO",6,10))+IF(D8553=1,2,IF(D8553=7,1,(IF(WEEKDAY(B8553)=1,2,IF(WEEKDAY(B8553)=7,1,0))))))</f>
        <v>3</v>
      </c>
      <c r="G8553" s="369">
        <f>VLOOKUP(C8553,METADATA!$J$5:$Q$29,IF(E8553="HI",2,IF(E8553="LO",6,10))+IF(D8553=1,2,IF(D8553=7,1,(IF(WEEKDAY(B8553)=1,2,IF(WEEKDAY(B8553)=7,1,0))))))</f>
        <v>3</v>
      </c>
      <c r="H8553" s="370">
        <v>12515.175048828125</v>
      </c>
      <c r="I8553" s="370">
        <v>3902.7000427246094</v>
      </c>
      <c r="M8553" s="371">
        <f t="shared" si="533"/>
        <v>13109.56422335589</v>
      </c>
      <c r="N8553" s="329">
        <f t="shared" si="534"/>
        <v>148.14752807617197</v>
      </c>
      <c r="T8553" s="331">
        <v>0</v>
      </c>
      <c r="U8553" s="328">
        <f>VLOOKUP(C8553,METADATA!$J$5:$Q$29,IF(E8553="HI",2,IF(E8553="LO",6,10))+IF(T8553=1,2,IF(D8553=7,1,(IF(WEEKDAY(B8553)=1,2,IF(WEEKDAY(B8553)=7,1,0))))))</f>
        <v>3</v>
      </c>
      <c r="V8553" s="328">
        <f>VLOOKUP(C8553,METADATA!$A$5:$H$29,IF(E8553="HI",2,IF(E8553="LO",6,10))+IF(T8553=1,2,IF(D8553=7,1,(IF(WEEKDAY(B8553)=1,2,IF(WEEKDAY(B8553)=7,1,0))))))</f>
        <v>3</v>
      </c>
    </row>
    <row r="8554" spans="2:22">
      <c r="B8554" s="318">
        <f t="shared" si="535"/>
        <v>46469</v>
      </c>
      <c r="C8554" s="312">
        <v>6</v>
      </c>
      <c r="D8554" s="368">
        <f>IFERROR((INDEX(METADATA!$T$2:$T$20,MATCH(B8554,METADATA!$S$2:$S$20,0))),0)</f>
        <v>0</v>
      </c>
      <c r="E8554" s="312" t="str">
        <f t="shared" si="532"/>
        <v>LO</v>
      </c>
      <c r="F8554" s="369">
        <f>VLOOKUP(C8554,METADATA!$A$5:$H$29,IF(E8554="HI",2,IF(E8554="LO",6,10))+IF(D8554=1,2,IF(D8554=7,1,(IF(WEEKDAY(B8554)=1,2,IF(WEEKDAY(B8554)=7,1,0))))))</f>
        <v>2</v>
      </c>
      <c r="G8554" s="369">
        <f>VLOOKUP(C8554,METADATA!$J$5:$Q$29,IF(E8554="HI",2,IF(E8554="LO",6,10))+IF(D8554=1,2,IF(D8554=7,1,(IF(WEEKDAY(B8554)=1,2,IF(WEEKDAY(B8554)=7,1,0))))))</f>
        <v>2</v>
      </c>
      <c r="H8554" s="370">
        <v>12495.750305175781</v>
      </c>
      <c r="I8554" s="370">
        <v>3795.6548767089844</v>
      </c>
      <c r="M8554" s="371">
        <f t="shared" si="533"/>
        <v>13059.508858773568</v>
      </c>
      <c r="N8554" s="329">
        <f t="shared" si="534"/>
        <v>46.929785156250091</v>
      </c>
      <c r="T8554" s="331">
        <v>0</v>
      </c>
      <c r="U8554" s="328">
        <f>VLOOKUP(C8554,METADATA!$J$5:$Q$29,IF(E8554="HI",2,IF(E8554="LO",6,10))+IF(T8554=1,2,IF(D8554=7,1,(IF(WEEKDAY(B8554)=1,2,IF(WEEKDAY(B8554)=7,1,0))))))</f>
        <v>2</v>
      </c>
      <c r="V8554" s="328">
        <f>VLOOKUP(C8554,METADATA!$A$5:$H$29,IF(E8554="HI",2,IF(E8554="LO",6,10))+IF(T8554=1,2,IF(D8554=7,1,(IF(WEEKDAY(B8554)=1,2,IF(WEEKDAY(B8554)=7,1,0))))))</f>
        <v>2</v>
      </c>
    </row>
    <row r="8555" spans="2:22">
      <c r="B8555" s="318">
        <f t="shared" si="535"/>
        <v>46469</v>
      </c>
      <c r="C8555" s="312">
        <v>7</v>
      </c>
      <c r="D8555" s="368">
        <f>IFERROR((INDEX(METADATA!$T$2:$T$20,MATCH(B8555,METADATA!$S$2:$S$20,0))),0)</f>
        <v>0</v>
      </c>
      <c r="E8555" s="312" t="str">
        <f t="shared" si="532"/>
        <v>LO</v>
      </c>
      <c r="F8555" s="369">
        <f>VLOOKUP(C8555,METADATA!$A$5:$H$29,IF(E8555="HI",2,IF(E8555="LO",6,10))+IF(D8555=1,2,IF(D8555=7,1,(IF(WEEKDAY(B8555)=1,2,IF(WEEKDAY(B8555)=7,1,0))))))</f>
        <v>1</v>
      </c>
      <c r="G8555" s="369">
        <f>VLOOKUP(C8555,METADATA!$J$5:$Q$29,IF(E8555="HI",2,IF(E8555="LO",6,10))+IF(D8555=1,2,IF(D8555=7,1,(IF(WEEKDAY(B8555)=1,2,IF(WEEKDAY(B8555)=7,1,0))))))</f>
        <v>1</v>
      </c>
      <c r="H8555" s="370">
        <v>12466.424987792969</v>
      </c>
      <c r="I8555" s="370">
        <v>3765.1699523925781</v>
      </c>
      <c r="M8555" s="371">
        <f t="shared" si="533"/>
        <v>13022.605605126373</v>
      </c>
      <c r="N8555" s="329">
        <f t="shared" si="534"/>
        <v>25.242456054687864</v>
      </c>
      <c r="T8555" s="331">
        <v>0</v>
      </c>
      <c r="U8555" s="328">
        <f>VLOOKUP(C8555,METADATA!$J$5:$Q$29,IF(E8555="HI",2,IF(E8555="LO",6,10))+IF(T8555=1,2,IF(D8555=7,1,(IF(WEEKDAY(B8555)=1,2,IF(WEEKDAY(B8555)=7,1,0))))))</f>
        <v>1</v>
      </c>
      <c r="V8555" s="328">
        <f>VLOOKUP(C8555,METADATA!$A$5:$H$29,IF(E8555="HI",2,IF(E8555="LO",6,10))+IF(T8555=1,2,IF(D8555=7,1,(IF(WEEKDAY(B8555)=1,2,IF(WEEKDAY(B8555)=7,1,0))))))</f>
        <v>1</v>
      </c>
    </row>
    <row r="8556" spans="2:22">
      <c r="B8556" s="318">
        <f t="shared" si="535"/>
        <v>46469</v>
      </c>
      <c r="C8556" s="312">
        <v>8</v>
      </c>
      <c r="D8556" s="368">
        <f>IFERROR((INDEX(METADATA!$T$2:$T$20,MATCH(B8556,METADATA!$S$2:$S$20,0))),0)</f>
        <v>0</v>
      </c>
      <c r="E8556" s="312" t="str">
        <f t="shared" si="532"/>
        <v>LO</v>
      </c>
      <c r="F8556" s="369">
        <f>VLOOKUP(C8556,METADATA!$A$5:$H$29,IF(E8556="HI",2,IF(E8556="LO",6,10))+IF(D8556=1,2,IF(D8556=7,1,(IF(WEEKDAY(B8556)=1,2,IF(WEEKDAY(B8556)=7,1,0))))))</f>
        <v>1</v>
      </c>
      <c r="G8556" s="369">
        <f>VLOOKUP(C8556,METADATA!$J$5:$Q$29,IF(E8556="HI",2,IF(E8556="LO",6,10))+IF(D8556=1,2,IF(D8556=7,1,(IF(WEEKDAY(B8556)=1,2,IF(WEEKDAY(B8556)=7,1,0))))))</f>
        <v>1</v>
      </c>
      <c r="H8556" s="370">
        <v>12413.275329589844</v>
      </c>
      <c r="I8556" s="370">
        <v>3781.1949615478516</v>
      </c>
      <c r="M8556" s="371">
        <f t="shared" si="533"/>
        <v>12976.39548354776</v>
      </c>
      <c r="N8556" s="329">
        <f t="shared" si="534"/>
        <v>57.212362670898528</v>
      </c>
      <c r="T8556" s="331">
        <v>0</v>
      </c>
      <c r="U8556" s="328">
        <f>VLOOKUP(C8556,METADATA!$J$5:$Q$29,IF(E8556="HI",2,IF(E8556="LO",6,10))+IF(T8556=1,2,IF(D8556=7,1,(IF(WEEKDAY(B8556)=1,2,IF(WEEKDAY(B8556)=7,1,0))))))</f>
        <v>1</v>
      </c>
      <c r="V8556" s="328">
        <f>VLOOKUP(C8556,METADATA!$A$5:$H$29,IF(E8556="HI",2,IF(E8556="LO",6,10))+IF(T8556=1,2,IF(D8556=7,1,(IF(WEEKDAY(B8556)=1,2,IF(WEEKDAY(B8556)=7,1,0))))))</f>
        <v>1</v>
      </c>
    </row>
    <row r="8557" spans="2:22">
      <c r="B8557" s="318">
        <f t="shared" si="535"/>
        <v>46469</v>
      </c>
      <c r="C8557" s="312">
        <v>9</v>
      </c>
      <c r="D8557" s="368">
        <f>IFERROR((INDEX(METADATA!$T$2:$T$20,MATCH(B8557,METADATA!$S$2:$S$20,0))),0)</f>
        <v>0</v>
      </c>
      <c r="E8557" s="312" t="str">
        <f t="shared" si="532"/>
        <v>LO</v>
      </c>
      <c r="F8557" s="369">
        <f>VLOOKUP(C8557,METADATA!$A$5:$H$29,IF(E8557="HI",2,IF(E8557="LO",6,10))+IF(D8557=1,2,IF(D8557=7,1,(IF(WEEKDAY(B8557)=1,2,IF(WEEKDAY(B8557)=7,1,0))))))</f>
        <v>2</v>
      </c>
      <c r="G8557" s="369">
        <f>VLOOKUP(C8557,METADATA!$J$5:$Q$29,IF(E8557="HI",2,IF(E8557="LO",6,10))+IF(D8557=1,2,IF(D8557=7,1,(IF(WEEKDAY(B8557)=1,2,IF(WEEKDAY(B8557)=7,1,0))))))</f>
        <v>2</v>
      </c>
      <c r="H8557" s="370">
        <v>12185.02490234375</v>
      </c>
      <c r="I8557" s="370">
        <v>3580.2399673461914</v>
      </c>
      <c r="M8557" s="371">
        <f t="shared" si="533"/>
        <v>12700.116144922469</v>
      </c>
      <c r="N8557" s="329">
        <f t="shared" si="534"/>
        <v>0</v>
      </c>
      <c r="T8557" s="331">
        <v>0</v>
      </c>
      <c r="U8557" s="328">
        <f>VLOOKUP(C8557,METADATA!$J$5:$Q$29,IF(E8557="HI",2,IF(E8557="LO",6,10))+IF(T8557=1,2,IF(D8557=7,1,(IF(WEEKDAY(B8557)=1,2,IF(WEEKDAY(B8557)=7,1,0))))))</f>
        <v>2</v>
      </c>
      <c r="V8557" s="328">
        <f>VLOOKUP(C8557,METADATA!$A$5:$H$29,IF(E8557="HI",2,IF(E8557="LO",6,10))+IF(T8557=1,2,IF(D8557=7,1,(IF(WEEKDAY(B8557)=1,2,IF(WEEKDAY(B8557)=7,1,0))))))</f>
        <v>2</v>
      </c>
    </row>
    <row r="8558" spans="2:22">
      <c r="B8558" s="318">
        <f t="shared" si="535"/>
        <v>46469</v>
      </c>
      <c r="C8558" s="312">
        <v>10</v>
      </c>
      <c r="D8558" s="368">
        <f>IFERROR((INDEX(METADATA!$T$2:$T$20,MATCH(B8558,METADATA!$S$2:$S$20,0))),0)</f>
        <v>0</v>
      </c>
      <c r="E8558" s="312" t="str">
        <f t="shared" si="532"/>
        <v>LO</v>
      </c>
      <c r="F8558" s="369">
        <f>VLOOKUP(C8558,METADATA!$A$5:$H$29,IF(E8558="HI",2,IF(E8558="LO",6,10))+IF(D8558=1,2,IF(D8558=7,1,(IF(WEEKDAY(B8558)=1,2,IF(WEEKDAY(B8558)=7,1,0))))))</f>
        <v>2</v>
      </c>
      <c r="G8558" s="369">
        <f>VLOOKUP(C8558,METADATA!$J$5:$Q$29,IF(E8558="HI",2,IF(E8558="LO",6,10))+IF(D8558=1,2,IF(D8558=7,1,(IF(WEEKDAY(B8558)=1,2,IF(WEEKDAY(B8558)=7,1,0))))))</f>
        <v>2</v>
      </c>
      <c r="H8558" s="370">
        <v>11481.574829101563</v>
      </c>
      <c r="I8558" s="370">
        <v>2834.5599498748779</v>
      </c>
      <c r="M8558" s="371">
        <f t="shared" si="533"/>
        <v>11826.296574401187</v>
      </c>
      <c r="N8558" s="329">
        <f t="shared" si="534"/>
        <v>0</v>
      </c>
      <c r="T8558" s="331">
        <v>0</v>
      </c>
      <c r="U8558" s="328">
        <f>VLOOKUP(C8558,METADATA!$J$5:$Q$29,IF(E8558="HI",2,IF(E8558="LO",6,10))+IF(T8558=1,2,IF(D8558=7,1,(IF(WEEKDAY(B8558)=1,2,IF(WEEKDAY(B8558)=7,1,0))))))</f>
        <v>2</v>
      </c>
      <c r="V8558" s="328">
        <f>VLOOKUP(C8558,METADATA!$A$5:$H$29,IF(E8558="HI",2,IF(E8558="LO",6,10))+IF(T8558=1,2,IF(D8558=7,1,(IF(WEEKDAY(B8558)=1,2,IF(WEEKDAY(B8558)=7,1,0))))))</f>
        <v>2</v>
      </c>
    </row>
    <row r="8559" spans="2:22">
      <c r="B8559" s="318">
        <f t="shared" si="535"/>
        <v>46469</v>
      </c>
      <c r="C8559" s="312">
        <v>11</v>
      </c>
      <c r="D8559" s="368">
        <f>IFERROR((INDEX(METADATA!$T$2:$T$20,MATCH(B8559,METADATA!$S$2:$S$20,0))),0)</f>
        <v>0</v>
      </c>
      <c r="E8559" s="312" t="str">
        <f t="shared" si="532"/>
        <v>LO</v>
      </c>
      <c r="F8559" s="369">
        <f>VLOOKUP(C8559,METADATA!$A$5:$H$29,IF(E8559="HI",2,IF(E8559="LO",6,10))+IF(D8559=1,2,IF(D8559=7,1,(IF(WEEKDAY(B8559)=1,2,IF(WEEKDAY(B8559)=7,1,0))))))</f>
        <v>2</v>
      </c>
      <c r="G8559" s="369">
        <f>VLOOKUP(C8559,METADATA!$J$5:$Q$29,IF(E8559="HI",2,IF(E8559="LO",6,10))+IF(D8559=1,2,IF(D8559=7,1,(IF(WEEKDAY(B8559)=1,2,IF(WEEKDAY(B8559)=7,1,0))))))</f>
        <v>2</v>
      </c>
      <c r="H8559" s="370">
        <v>11314.149841308594</v>
      </c>
      <c r="I8559" s="370">
        <v>2778.9400734901428</v>
      </c>
      <c r="M8559" s="371">
        <f t="shared" si="533"/>
        <v>11650.428943332201</v>
      </c>
      <c r="N8559" s="329">
        <f t="shared" si="534"/>
        <v>0</v>
      </c>
      <c r="T8559" s="331">
        <v>0</v>
      </c>
      <c r="U8559" s="328">
        <f>VLOOKUP(C8559,METADATA!$J$5:$Q$29,IF(E8559="HI",2,IF(E8559="LO",6,10))+IF(T8559=1,2,IF(D8559=7,1,(IF(WEEKDAY(B8559)=1,2,IF(WEEKDAY(B8559)=7,1,0))))))</f>
        <v>2</v>
      </c>
      <c r="V8559" s="328">
        <f>VLOOKUP(C8559,METADATA!$A$5:$H$29,IF(E8559="HI",2,IF(E8559="LO",6,10))+IF(T8559=1,2,IF(D8559=7,1,(IF(WEEKDAY(B8559)=1,2,IF(WEEKDAY(B8559)=7,1,0))))))</f>
        <v>2</v>
      </c>
    </row>
    <row r="8560" spans="2:22">
      <c r="B8560" s="318">
        <f t="shared" si="535"/>
        <v>46469</v>
      </c>
      <c r="C8560" s="312">
        <v>12</v>
      </c>
      <c r="D8560" s="368">
        <f>IFERROR((INDEX(METADATA!$T$2:$T$20,MATCH(B8560,METADATA!$S$2:$S$20,0))),0)</f>
        <v>0</v>
      </c>
      <c r="E8560" s="312" t="str">
        <f t="shared" si="532"/>
        <v>LO</v>
      </c>
      <c r="F8560" s="369">
        <f>VLOOKUP(C8560,METADATA!$A$5:$H$29,IF(E8560="HI",2,IF(E8560="LO",6,10))+IF(D8560=1,2,IF(D8560=7,1,(IF(WEEKDAY(B8560)=1,2,IF(WEEKDAY(B8560)=7,1,0))))))</f>
        <v>2</v>
      </c>
      <c r="G8560" s="369">
        <f>VLOOKUP(C8560,METADATA!$J$5:$Q$29,IF(E8560="HI",2,IF(E8560="LO",6,10))+IF(D8560=1,2,IF(D8560=7,1,(IF(WEEKDAY(B8560)=1,2,IF(WEEKDAY(B8560)=7,1,0))))))</f>
        <v>2</v>
      </c>
      <c r="H8560" s="370">
        <v>11172.600219726563</v>
      </c>
      <c r="I8560" s="370">
        <v>2916.5750370025635</v>
      </c>
      <c r="M8560" s="371">
        <f t="shared" si="533"/>
        <v>11547.008513736384</v>
      </c>
      <c r="N8560" s="329">
        <f t="shared" si="534"/>
        <v>0</v>
      </c>
      <c r="T8560" s="331">
        <v>0</v>
      </c>
      <c r="U8560" s="328">
        <f>VLOOKUP(C8560,METADATA!$J$5:$Q$29,IF(E8560="HI",2,IF(E8560="LO",6,10))+IF(T8560=1,2,IF(D8560=7,1,(IF(WEEKDAY(B8560)=1,2,IF(WEEKDAY(B8560)=7,1,0))))))</f>
        <v>2</v>
      </c>
      <c r="V8560" s="328">
        <f>VLOOKUP(C8560,METADATA!$A$5:$H$29,IF(E8560="HI",2,IF(E8560="LO",6,10))+IF(T8560=1,2,IF(D8560=7,1,(IF(WEEKDAY(B8560)=1,2,IF(WEEKDAY(B8560)=7,1,0))))))</f>
        <v>2</v>
      </c>
    </row>
    <row r="8561" spans="2:22">
      <c r="B8561" s="318">
        <f t="shared" si="535"/>
        <v>46469</v>
      </c>
      <c r="C8561" s="312">
        <v>13</v>
      </c>
      <c r="D8561" s="368">
        <f>IFERROR((INDEX(METADATA!$T$2:$T$20,MATCH(B8561,METADATA!$S$2:$S$20,0))),0)</f>
        <v>0</v>
      </c>
      <c r="E8561" s="312" t="str">
        <f t="shared" si="532"/>
        <v>LO</v>
      </c>
      <c r="F8561" s="369">
        <f>VLOOKUP(C8561,METADATA!$A$5:$H$29,IF(E8561="HI",2,IF(E8561="LO",6,10))+IF(D8561=1,2,IF(D8561=7,1,(IF(WEEKDAY(B8561)=1,2,IF(WEEKDAY(B8561)=7,1,0))))))</f>
        <v>2</v>
      </c>
      <c r="G8561" s="369">
        <f>VLOOKUP(C8561,METADATA!$J$5:$Q$29,IF(E8561="HI",2,IF(E8561="LO",6,10))+IF(D8561=1,2,IF(D8561=7,1,(IF(WEEKDAY(B8561)=1,2,IF(WEEKDAY(B8561)=7,1,0))))))</f>
        <v>2</v>
      </c>
      <c r="H8561" s="370">
        <v>11461.549926757813</v>
      </c>
      <c r="I8561" s="370">
        <v>2924.8450717926025</v>
      </c>
      <c r="M8561" s="371">
        <f t="shared" si="533"/>
        <v>11828.856471255009</v>
      </c>
      <c r="N8561" s="329">
        <f t="shared" si="534"/>
        <v>0</v>
      </c>
      <c r="T8561" s="331">
        <v>0</v>
      </c>
      <c r="U8561" s="328">
        <f>VLOOKUP(C8561,METADATA!$J$5:$Q$29,IF(E8561="HI",2,IF(E8561="LO",6,10))+IF(T8561=1,2,IF(D8561=7,1,(IF(WEEKDAY(B8561)=1,2,IF(WEEKDAY(B8561)=7,1,0))))))</f>
        <v>2</v>
      </c>
      <c r="V8561" s="328">
        <f>VLOOKUP(C8561,METADATA!$A$5:$H$29,IF(E8561="HI",2,IF(E8561="LO",6,10))+IF(T8561=1,2,IF(D8561=7,1,(IF(WEEKDAY(B8561)=1,2,IF(WEEKDAY(B8561)=7,1,0))))))</f>
        <v>2</v>
      </c>
    </row>
    <row r="8562" spans="2:22">
      <c r="B8562" s="318">
        <f t="shared" si="535"/>
        <v>46469</v>
      </c>
      <c r="C8562" s="312">
        <v>14</v>
      </c>
      <c r="D8562" s="368">
        <f>IFERROR((INDEX(METADATA!$T$2:$T$20,MATCH(B8562,METADATA!$S$2:$S$20,0))),0)</f>
        <v>0</v>
      </c>
      <c r="E8562" s="312" t="str">
        <f t="shared" si="532"/>
        <v>LO</v>
      </c>
      <c r="F8562" s="369">
        <f>VLOOKUP(C8562,METADATA!$A$5:$H$29,IF(E8562="HI",2,IF(E8562="LO",6,10))+IF(D8562=1,2,IF(D8562=7,1,(IF(WEEKDAY(B8562)=1,2,IF(WEEKDAY(B8562)=7,1,0))))))</f>
        <v>2</v>
      </c>
      <c r="G8562" s="369">
        <f>VLOOKUP(C8562,METADATA!$J$5:$Q$29,IF(E8562="HI",2,IF(E8562="LO",6,10))+IF(D8562=1,2,IF(D8562=7,1,(IF(WEEKDAY(B8562)=1,2,IF(WEEKDAY(B8562)=7,1,0))))))</f>
        <v>2</v>
      </c>
      <c r="H8562" s="370">
        <v>11505.474975585938</v>
      </c>
      <c r="I8562" s="370">
        <v>3023.9100341796875</v>
      </c>
      <c r="M8562" s="371">
        <f t="shared" si="533"/>
        <v>11896.217310920594</v>
      </c>
      <c r="N8562" s="329">
        <f t="shared" si="534"/>
        <v>0</v>
      </c>
      <c r="T8562" s="331">
        <v>0</v>
      </c>
      <c r="U8562" s="328">
        <f>VLOOKUP(C8562,METADATA!$J$5:$Q$29,IF(E8562="HI",2,IF(E8562="LO",6,10))+IF(T8562=1,2,IF(D8562=7,1,(IF(WEEKDAY(B8562)=1,2,IF(WEEKDAY(B8562)=7,1,0))))))</f>
        <v>2</v>
      </c>
      <c r="V8562" s="328">
        <f>VLOOKUP(C8562,METADATA!$A$5:$H$29,IF(E8562="HI",2,IF(E8562="LO",6,10))+IF(T8562=1,2,IF(D8562=7,1,(IF(WEEKDAY(B8562)=1,2,IF(WEEKDAY(B8562)=7,1,0))))))</f>
        <v>2</v>
      </c>
    </row>
    <row r="8563" spans="2:22">
      <c r="B8563" s="318">
        <f t="shared" si="535"/>
        <v>46469</v>
      </c>
      <c r="C8563" s="312">
        <v>15</v>
      </c>
      <c r="D8563" s="368">
        <f>IFERROR((INDEX(METADATA!$T$2:$T$20,MATCH(B8563,METADATA!$S$2:$S$20,0))),0)</f>
        <v>0</v>
      </c>
      <c r="E8563" s="312" t="str">
        <f t="shared" si="532"/>
        <v>LO</v>
      </c>
      <c r="F8563" s="369">
        <f>VLOOKUP(C8563,METADATA!$A$5:$H$29,IF(E8563="HI",2,IF(E8563="LO",6,10))+IF(D8563=1,2,IF(D8563=7,1,(IF(WEEKDAY(B8563)=1,2,IF(WEEKDAY(B8563)=7,1,0))))))</f>
        <v>2</v>
      </c>
      <c r="G8563" s="369">
        <f>VLOOKUP(C8563,METADATA!$J$5:$Q$29,IF(E8563="HI",2,IF(E8563="LO",6,10))+IF(D8563=1,2,IF(D8563=7,1,(IF(WEEKDAY(B8563)=1,2,IF(WEEKDAY(B8563)=7,1,0))))))</f>
        <v>2</v>
      </c>
      <c r="H8563" s="370">
        <v>11821.849731445313</v>
      </c>
      <c r="I8563" s="370">
        <v>3303.9749908447266</v>
      </c>
      <c r="M8563" s="371">
        <f t="shared" si="533"/>
        <v>12274.867893912382</v>
      </c>
      <c r="N8563" s="329">
        <f t="shared" si="534"/>
        <v>0</v>
      </c>
      <c r="T8563" s="331">
        <v>0</v>
      </c>
      <c r="U8563" s="328">
        <f>VLOOKUP(C8563,METADATA!$J$5:$Q$29,IF(E8563="HI",2,IF(E8563="LO",6,10))+IF(T8563=1,2,IF(D8563=7,1,(IF(WEEKDAY(B8563)=1,2,IF(WEEKDAY(B8563)=7,1,0))))))</f>
        <v>2</v>
      </c>
      <c r="V8563" s="328">
        <f>VLOOKUP(C8563,METADATA!$A$5:$H$29,IF(E8563="HI",2,IF(E8563="LO",6,10))+IF(T8563=1,2,IF(D8563=7,1,(IF(WEEKDAY(B8563)=1,2,IF(WEEKDAY(B8563)=7,1,0))))))</f>
        <v>2</v>
      </c>
    </row>
    <row r="8564" spans="2:22">
      <c r="B8564" s="318">
        <f t="shared" si="535"/>
        <v>46469</v>
      </c>
      <c r="C8564" s="312">
        <v>16</v>
      </c>
      <c r="D8564" s="368">
        <f>IFERROR((INDEX(METADATA!$T$2:$T$20,MATCH(B8564,METADATA!$S$2:$S$20,0))),0)</f>
        <v>0</v>
      </c>
      <c r="E8564" s="312" t="str">
        <f t="shared" si="532"/>
        <v>LO</v>
      </c>
      <c r="F8564" s="369">
        <f>VLOOKUP(C8564,METADATA!$A$5:$H$29,IF(E8564="HI",2,IF(E8564="LO",6,10))+IF(D8564=1,2,IF(D8564=7,1,(IF(WEEKDAY(B8564)=1,2,IF(WEEKDAY(B8564)=7,1,0))))))</f>
        <v>2</v>
      </c>
      <c r="G8564" s="369">
        <f>VLOOKUP(C8564,METADATA!$J$5:$Q$29,IF(E8564="HI",2,IF(E8564="LO",6,10))+IF(D8564=1,2,IF(D8564=7,1,(IF(WEEKDAY(B8564)=1,2,IF(WEEKDAY(B8564)=7,1,0))))))</f>
        <v>2</v>
      </c>
      <c r="H8564" s="370">
        <v>12738.300048828125</v>
      </c>
      <c r="I8564" s="370">
        <v>3979.1050720214844</v>
      </c>
      <c r="M8564" s="371">
        <f t="shared" si="533"/>
        <v>13345.319977736079</v>
      </c>
      <c r="N8564" s="329">
        <f t="shared" si="534"/>
        <v>157.61505737304697</v>
      </c>
      <c r="T8564" s="331">
        <v>0</v>
      </c>
      <c r="U8564" s="328">
        <f>VLOOKUP(C8564,METADATA!$J$5:$Q$29,IF(E8564="HI",2,IF(E8564="LO",6,10))+IF(T8564=1,2,IF(D8564=7,1,(IF(WEEKDAY(B8564)=1,2,IF(WEEKDAY(B8564)=7,1,0))))))</f>
        <v>2</v>
      </c>
      <c r="V8564" s="328">
        <f>VLOOKUP(C8564,METADATA!$A$5:$H$29,IF(E8564="HI",2,IF(E8564="LO",6,10))+IF(T8564=1,2,IF(D8564=7,1,(IF(WEEKDAY(B8564)=1,2,IF(WEEKDAY(B8564)=7,1,0))))))</f>
        <v>2</v>
      </c>
    </row>
    <row r="8565" spans="2:22">
      <c r="B8565" s="318">
        <f t="shared" si="535"/>
        <v>46469</v>
      </c>
      <c r="C8565" s="312">
        <v>17</v>
      </c>
      <c r="D8565" s="368">
        <f>IFERROR((INDEX(METADATA!$T$2:$T$20,MATCH(B8565,METADATA!$S$2:$S$20,0))),0)</f>
        <v>0</v>
      </c>
      <c r="E8565" s="312" t="str">
        <f t="shared" si="532"/>
        <v>LO</v>
      </c>
      <c r="F8565" s="369">
        <f>VLOOKUP(C8565,METADATA!$A$5:$H$29,IF(E8565="HI",2,IF(E8565="LO",6,10))+IF(D8565=1,2,IF(D8565=7,1,(IF(WEEKDAY(B8565)=1,2,IF(WEEKDAY(B8565)=7,1,0))))))</f>
        <v>2</v>
      </c>
      <c r="G8565" s="369">
        <f>VLOOKUP(C8565,METADATA!$J$5:$Q$29,IF(E8565="HI",2,IF(E8565="LO",6,10))+IF(D8565=1,2,IF(D8565=7,1,(IF(WEEKDAY(B8565)=1,2,IF(WEEKDAY(B8565)=7,1,0))))))</f>
        <v>2</v>
      </c>
      <c r="H8565" s="370">
        <v>12745.374816894531</v>
      </c>
      <c r="I8565" s="370">
        <v>4210.1450500488281</v>
      </c>
      <c r="M8565" s="371">
        <f t="shared" si="533"/>
        <v>13422.738191799017</v>
      </c>
      <c r="N8565" s="329">
        <f t="shared" si="534"/>
        <v>386.53260498046893</v>
      </c>
      <c r="T8565" s="331">
        <v>0</v>
      </c>
      <c r="U8565" s="328">
        <f>VLOOKUP(C8565,METADATA!$J$5:$Q$29,IF(E8565="HI",2,IF(E8565="LO",6,10))+IF(T8565=1,2,IF(D8565=7,1,(IF(WEEKDAY(B8565)=1,2,IF(WEEKDAY(B8565)=7,1,0))))))</f>
        <v>2</v>
      </c>
      <c r="V8565" s="328">
        <f>VLOOKUP(C8565,METADATA!$A$5:$H$29,IF(E8565="HI",2,IF(E8565="LO",6,10))+IF(T8565=1,2,IF(D8565=7,1,(IF(WEEKDAY(B8565)=1,2,IF(WEEKDAY(B8565)=7,1,0))))))</f>
        <v>2</v>
      </c>
    </row>
    <row r="8566" spans="2:22">
      <c r="B8566" s="318">
        <f t="shared" si="535"/>
        <v>46469</v>
      </c>
      <c r="C8566" s="312">
        <v>18</v>
      </c>
      <c r="D8566" s="368">
        <f>IFERROR((INDEX(METADATA!$T$2:$T$20,MATCH(B8566,METADATA!$S$2:$S$20,0))),0)</f>
        <v>0</v>
      </c>
      <c r="E8566" s="312" t="str">
        <f t="shared" si="532"/>
        <v>LO</v>
      </c>
      <c r="F8566" s="369">
        <f>VLOOKUP(C8566,METADATA!$A$5:$H$29,IF(E8566="HI",2,IF(E8566="LO",6,10))+IF(D8566=1,2,IF(D8566=7,1,(IF(WEEKDAY(B8566)=1,2,IF(WEEKDAY(B8566)=7,1,0))))))</f>
        <v>1</v>
      </c>
      <c r="G8566" s="369">
        <f>VLOOKUP(C8566,METADATA!$J$5:$Q$29,IF(E8566="HI",2,IF(E8566="LO",6,10))+IF(D8566=1,2,IF(D8566=7,1,(IF(WEEKDAY(B8566)=1,2,IF(WEEKDAY(B8566)=7,1,0))))))</f>
        <v>1</v>
      </c>
      <c r="H8566" s="370">
        <v>12743.024841308594</v>
      </c>
      <c r="I8566" s="370">
        <v>4149.304931640625</v>
      </c>
      <c r="M8566" s="371">
        <f t="shared" si="533"/>
        <v>13401.545191579407</v>
      </c>
      <c r="N8566" s="329">
        <f t="shared" si="534"/>
        <v>326.39747924804715</v>
      </c>
      <c r="T8566" s="331">
        <v>0</v>
      </c>
      <c r="U8566" s="328">
        <f>VLOOKUP(C8566,METADATA!$J$5:$Q$29,IF(E8566="HI",2,IF(E8566="LO",6,10))+IF(T8566=1,2,IF(D8566=7,1,(IF(WEEKDAY(B8566)=1,2,IF(WEEKDAY(B8566)=7,1,0))))))</f>
        <v>1</v>
      </c>
      <c r="V8566" s="328">
        <f>VLOOKUP(C8566,METADATA!$A$5:$H$29,IF(E8566="HI",2,IF(E8566="LO",6,10))+IF(T8566=1,2,IF(D8566=7,1,(IF(WEEKDAY(B8566)=1,2,IF(WEEKDAY(B8566)=7,1,0))))))</f>
        <v>1</v>
      </c>
    </row>
    <row r="8567" spans="2:22">
      <c r="B8567" s="318">
        <f t="shared" si="535"/>
        <v>46469</v>
      </c>
      <c r="C8567" s="312">
        <v>19</v>
      </c>
      <c r="D8567" s="368">
        <f>IFERROR((INDEX(METADATA!$T$2:$T$20,MATCH(B8567,METADATA!$S$2:$S$20,0))),0)</f>
        <v>0</v>
      </c>
      <c r="E8567" s="312" t="str">
        <f t="shared" si="532"/>
        <v>LO</v>
      </c>
      <c r="F8567" s="369">
        <f>VLOOKUP(C8567,METADATA!$A$5:$H$29,IF(E8567="HI",2,IF(E8567="LO",6,10))+IF(D8567=1,2,IF(D8567=7,1,(IF(WEEKDAY(B8567)=1,2,IF(WEEKDAY(B8567)=7,1,0))))))</f>
        <v>1</v>
      </c>
      <c r="G8567" s="369">
        <f>VLOOKUP(C8567,METADATA!$J$5:$Q$29,IF(E8567="HI",2,IF(E8567="LO",6,10))+IF(D8567=1,2,IF(D8567=7,1,(IF(WEEKDAY(B8567)=1,2,IF(WEEKDAY(B8567)=7,1,0))))))</f>
        <v>1</v>
      </c>
      <c r="H8567" s="370">
        <v>12713.599853515625</v>
      </c>
      <c r="I8567" s="370">
        <v>4124.3799438476563</v>
      </c>
      <c r="M8567" s="371">
        <f t="shared" si="533"/>
        <v>13365.856918152511</v>
      </c>
      <c r="N8567" s="329">
        <f t="shared" si="534"/>
        <v>310.29998779296875</v>
      </c>
      <c r="T8567" s="331">
        <v>0</v>
      </c>
      <c r="U8567" s="328">
        <f>VLOOKUP(C8567,METADATA!$J$5:$Q$29,IF(E8567="HI",2,IF(E8567="LO",6,10))+IF(T8567=1,2,IF(D8567=7,1,(IF(WEEKDAY(B8567)=1,2,IF(WEEKDAY(B8567)=7,1,0))))))</f>
        <v>1</v>
      </c>
      <c r="V8567" s="328">
        <f>VLOOKUP(C8567,METADATA!$A$5:$H$29,IF(E8567="HI",2,IF(E8567="LO",6,10))+IF(T8567=1,2,IF(D8567=7,1,(IF(WEEKDAY(B8567)=1,2,IF(WEEKDAY(B8567)=7,1,0))))))</f>
        <v>1</v>
      </c>
    </row>
    <row r="8568" spans="2:22">
      <c r="B8568" s="318">
        <f t="shared" si="535"/>
        <v>46469</v>
      </c>
      <c r="C8568" s="312">
        <v>20</v>
      </c>
      <c r="D8568" s="368">
        <f>IFERROR((INDEX(METADATA!$T$2:$T$20,MATCH(B8568,METADATA!$S$2:$S$20,0))),0)</f>
        <v>0</v>
      </c>
      <c r="E8568" s="312" t="str">
        <f t="shared" si="532"/>
        <v>LO</v>
      </c>
      <c r="F8568" s="369">
        <f>VLOOKUP(C8568,METADATA!$A$5:$H$29,IF(E8568="HI",2,IF(E8568="LO",6,10))+IF(D8568=1,2,IF(D8568=7,1,(IF(WEEKDAY(B8568)=1,2,IF(WEEKDAY(B8568)=7,1,0))))))</f>
        <v>1</v>
      </c>
      <c r="G8568" s="369">
        <f>VLOOKUP(C8568,METADATA!$J$5:$Q$29,IF(E8568="HI",2,IF(E8568="LO",6,10))+IF(D8568=1,2,IF(D8568=7,1,(IF(WEEKDAY(B8568)=1,2,IF(WEEKDAY(B8568)=7,1,0))))))</f>
        <v>1</v>
      </c>
      <c r="H8568" s="370">
        <v>12648.150085449219</v>
      </c>
      <c r="I8568" s="370">
        <v>4066.7200317382813</v>
      </c>
      <c r="M8568" s="371">
        <f t="shared" si="533"/>
        <v>13285.85384537217</v>
      </c>
      <c r="N8568" s="329">
        <f t="shared" si="534"/>
        <v>272.27500610351581</v>
      </c>
      <c r="T8568" s="331">
        <v>0</v>
      </c>
      <c r="U8568" s="328">
        <f>VLOOKUP(C8568,METADATA!$J$5:$Q$29,IF(E8568="HI",2,IF(E8568="LO",6,10))+IF(T8568=1,2,IF(D8568=7,1,(IF(WEEKDAY(B8568)=1,2,IF(WEEKDAY(B8568)=7,1,0))))))</f>
        <v>1</v>
      </c>
      <c r="V8568" s="328">
        <f>VLOOKUP(C8568,METADATA!$A$5:$H$29,IF(E8568="HI",2,IF(E8568="LO",6,10))+IF(T8568=1,2,IF(D8568=7,1,(IF(WEEKDAY(B8568)=1,2,IF(WEEKDAY(B8568)=7,1,0))))))</f>
        <v>1</v>
      </c>
    </row>
    <row r="8569" spans="2:22">
      <c r="B8569" s="318">
        <f t="shared" si="535"/>
        <v>46469</v>
      </c>
      <c r="C8569" s="312">
        <v>21</v>
      </c>
      <c r="D8569" s="368">
        <f>IFERROR((INDEX(METADATA!$T$2:$T$20,MATCH(B8569,METADATA!$S$2:$S$20,0))),0)</f>
        <v>0</v>
      </c>
      <c r="E8569" s="312" t="str">
        <f t="shared" si="532"/>
        <v>LO</v>
      </c>
      <c r="F8569" s="369">
        <f>VLOOKUP(C8569,METADATA!$A$5:$H$29,IF(E8569="HI",2,IF(E8569="LO",6,10))+IF(D8569=1,2,IF(D8569=7,1,(IF(WEEKDAY(B8569)=1,2,IF(WEEKDAY(B8569)=7,1,0))))))</f>
        <v>2</v>
      </c>
      <c r="G8569" s="369">
        <f>VLOOKUP(C8569,METADATA!$J$5:$Q$29,IF(E8569="HI",2,IF(E8569="LO",6,10))+IF(D8569=1,2,IF(D8569=7,1,(IF(WEEKDAY(B8569)=1,2,IF(WEEKDAY(B8569)=7,1,0))))))</f>
        <v>2</v>
      </c>
      <c r="H8569" s="370">
        <v>12677.949951171875</v>
      </c>
      <c r="I8569" s="370">
        <v>3912.4200134277344</v>
      </c>
      <c r="M8569" s="371">
        <f t="shared" si="533"/>
        <v>13267.910360184411</v>
      </c>
      <c r="N8569" s="329">
        <f t="shared" si="534"/>
        <v>109.03502807617224</v>
      </c>
      <c r="T8569" s="331">
        <v>0</v>
      </c>
      <c r="U8569" s="328">
        <f>VLOOKUP(C8569,METADATA!$J$5:$Q$29,IF(E8569="HI",2,IF(E8569="LO",6,10))+IF(T8569=1,2,IF(D8569=7,1,(IF(WEEKDAY(B8569)=1,2,IF(WEEKDAY(B8569)=7,1,0))))))</f>
        <v>2</v>
      </c>
      <c r="V8569" s="328">
        <f>VLOOKUP(C8569,METADATA!$A$5:$H$29,IF(E8569="HI",2,IF(E8569="LO",6,10))+IF(T8569=1,2,IF(D8569=7,1,(IF(WEEKDAY(B8569)=1,2,IF(WEEKDAY(B8569)=7,1,0))))))</f>
        <v>2</v>
      </c>
    </row>
    <row r="8570" spans="2:22">
      <c r="B8570" s="318">
        <f t="shared" si="535"/>
        <v>46469</v>
      </c>
      <c r="C8570" s="312">
        <v>22</v>
      </c>
      <c r="D8570" s="368">
        <f>IFERROR((INDEX(METADATA!$T$2:$T$20,MATCH(B8570,METADATA!$S$2:$S$20,0))),0)</f>
        <v>0</v>
      </c>
      <c r="E8570" s="312" t="str">
        <f t="shared" si="532"/>
        <v>LO</v>
      </c>
      <c r="F8570" s="369">
        <f>VLOOKUP(C8570,METADATA!$A$5:$H$29,IF(E8570="HI",2,IF(E8570="LO",6,10))+IF(D8570=1,2,IF(D8570=7,1,(IF(WEEKDAY(B8570)=1,2,IF(WEEKDAY(B8570)=7,1,0))))))</f>
        <v>3</v>
      </c>
      <c r="G8570" s="369">
        <f>VLOOKUP(C8570,METADATA!$J$5:$Q$29,IF(E8570="HI",2,IF(E8570="LO",6,10))+IF(D8570=1,2,IF(D8570=7,1,(IF(WEEKDAY(B8570)=1,2,IF(WEEKDAY(B8570)=7,1,0))))))</f>
        <v>3</v>
      </c>
      <c r="H8570" s="370">
        <v>12544.399963378906</v>
      </c>
      <c r="I8570" s="370">
        <v>3905.1201171875</v>
      </c>
      <c r="M8570" s="371">
        <f t="shared" si="533"/>
        <v>13138.18608373634</v>
      </c>
      <c r="N8570" s="329">
        <f t="shared" si="534"/>
        <v>141.8001281738284</v>
      </c>
      <c r="T8570" s="331">
        <v>0</v>
      </c>
      <c r="U8570" s="328">
        <f>VLOOKUP(C8570,METADATA!$J$5:$Q$29,IF(E8570="HI",2,IF(E8570="LO",6,10))+IF(T8570=1,2,IF(D8570=7,1,(IF(WEEKDAY(B8570)=1,2,IF(WEEKDAY(B8570)=7,1,0))))))</f>
        <v>3</v>
      </c>
      <c r="V8570" s="328">
        <f>VLOOKUP(C8570,METADATA!$A$5:$H$29,IF(E8570="HI",2,IF(E8570="LO",6,10))+IF(T8570=1,2,IF(D8570=7,1,(IF(WEEKDAY(B8570)=1,2,IF(WEEKDAY(B8570)=7,1,0))))))</f>
        <v>3</v>
      </c>
    </row>
    <row r="8571" spans="2:22">
      <c r="B8571" s="318">
        <f t="shared" si="535"/>
        <v>46469</v>
      </c>
      <c r="C8571" s="312">
        <v>23</v>
      </c>
      <c r="D8571" s="368">
        <f>IFERROR((INDEX(METADATA!$T$2:$T$20,MATCH(B8571,METADATA!$S$2:$S$20,0))),0)</f>
        <v>0</v>
      </c>
      <c r="E8571" s="312" t="str">
        <f t="shared" si="532"/>
        <v>LO</v>
      </c>
      <c r="F8571" s="369">
        <f>VLOOKUP(C8571,METADATA!$A$5:$H$29,IF(E8571="HI",2,IF(E8571="LO",6,10))+IF(D8571=1,2,IF(D8571=7,1,(IF(WEEKDAY(B8571)=1,2,IF(WEEKDAY(B8571)=7,1,0))))))</f>
        <v>3</v>
      </c>
      <c r="G8571" s="369">
        <f>VLOOKUP(C8571,METADATA!$J$5:$Q$29,IF(E8571="HI",2,IF(E8571="LO",6,10))+IF(D8571=1,2,IF(D8571=7,1,(IF(WEEKDAY(B8571)=1,2,IF(WEEKDAY(B8571)=7,1,0))))))</f>
        <v>3</v>
      </c>
      <c r="H8571" s="370">
        <v>12590.274658203125</v>
      </c>
      <c r="I8571" s="370">
        <v>3989.6249694824219</v>
      </c>
      <c r="M8571" s="371">
        <f t="shared" si="533"/>
        <v>13207.27539525505</v>
      </c>
      <c r="N8571" s="329">
        <f t="shared" si="534"/>
        <v>212.54257202148438</v>
      </c>
      <c r="T8571" s="331">
        <v>0</v>
      </c>
      <c r="U8571" s="328">
        <f>VLOOKUP(C8571,METADATA!$J$5:$Q$29,IF(E8571="HI",2,IF(E8571="LO",6,10))+IF(T8571=1,2,IF(D8571=7,1,(IF(WEEKDAY(B8571)=1,2,IF(WEEKDAY(B8571)=7,1,0))))))</f>
        <v>3</v>
      </c>
      <c r="V8571" s="328">
        <f>VLOOKUP(C8571,METADATA!$A$5:$H$29,IF(E8571="HI",2,IF(E8571="LO",6,10))+IF(T8571=1,2,IF(D8571=7,1,(IF(WEEKDAY(B8571)=1,2,IF(WEEKDAY(B8571)=7,1,0))))))</f>
        <v>3</v>
      </c>
    </row>
    <row r="8572" spans="2:22">
      <c r="B8572" s="318">
        <f t="shared" si="535"/>
        <v>46470</v>
      </c>
      <c r="C8572" s="312">
        <v>0</v>
      </c>
      <c r="D8572" s="368">
        <f>IFERROR((INDEX(METADATA!$T$2:$T$20,MATCH(B8572,METADATA!$S$2:$S$20,0))),0)</f>
        <v>0</v>
      </c>
      <c r="E8572" s="312" t="str">
        <f t="shared" si="532"/>
        <v>LO</v>
      </c>
      <c r="F8572" s="369">
        <f>VLOOKUP(C8572,METADATA!$A$5:$H$29,IF(E8572="HI",2,IF(E8572="LO",6,10))+IF(D8572=1,2,IF(D8572=7,1,(IF(WEEKDAY(B8572)=1,2,IF(WEEKDAY(B8572)=7,1,0))))))</f>
        <v>3</v>
      </c>
      <c r="G8572" s="369">
        <f>VLOOKUP(C8572,METADATA!$J$5:$Q$29,IF(E8572="HI",2,IF(E8572="LO",6,10))+IF(D8572=1,2,IF(D8572=7,1,(IF(WEEKDAY(B8572)=1,2,IF(WEEKDAY(B8572)=7,1,0))))))</f>
        <v>3</v>
      </c>
      <c r="H8572" s="370">
        <v>12650.250122070313</v>
      </c>
      <c r="I8572" s="370">
        <v>4159.2049560546875</v>
      </c>
      <c r="M8572" s="371">
        <f t="shared" si="533"/>
        <v>13316.449001795103</v>
      </c>
      <c r="N8572" s="329">
        <f t="shared" si="534"/>
        <v>364.12991943359384</v>
      </c>
      <c r="T8572" s="331">
        <v>0</v>
      </c>
      <c r="U8572" s="328">
        <f>VLOOKUP(C8572,METADATA!$J$5:$Q$29,IF(E8572="HI",2,IF(E8572="LO",6,10))+IF(T8572=1,2,IF(D8572=7,1,(IF(WEEKDAY(B8572)=1,2,IF(WEEKDAY(B8572)=7,1,0))))))</f>
        <v>3</v>
      </c>
      <c r="V8572" s="328">
        <f>VLOOKUP(C8572,METADATA!$A$5:$H$29,IF(E8572="HI",2,IF(E8572="LO",6,10))+IF(T8572=1,2,IF(D8572=7,1,(IF(WEEKDAY(B8572)=1,2,IF(WEEKDAY(B8572)=7,1,0))))))</f>
        <v>3</v>
      </c>
    </row>
    <row r="8573" spans="2:22">
      <c r="B8573" s="318">
        <f t="shared" si="535"/>
        <v>46470</v>
      </c>
      <c r="C8573" s="312">
        <v>1</v>
      </c>
      <c r="D8573" s="368">
        <f>IFERROR((INDEX(METADATA!$T$2:$T$20,MATCH(B8573,METADATA!$S$2:$S$20,0))),0)</f>
        <v>0</v>
      </c>
      <c r="E8573" s="312" t="str">
        <f t="shared" si="532"/>
        <v>LO</v>
      </c>
      <c r="F8573" s="369">
        <f>VLOOKUP(C8573,METADATA!$A$5:$H$29,IF(E8573="HI",2,IF(E8573="LO",6,10))+IF(D8573=1,2,IF(D8573=7,1,(IF(WEEKDAY(B8573)=1,2,IF(WEEKDAY(B8573)=7,1,0))))))</f>
        <v>3</v>
      </c>
      <c r="G8573" s="369">
        <f>VLOOKUP(C8573,METADATA!$J$5:$Q$29,IF(E8573="HI",2,IF(E8573="LO",6,10))+IF(D8573=1,2,IF(D8573=7,1,(IF(WEEKDAY(B8573)=1,2,IF(WEEKDAY(B8573)=7,1,0))))))</f>
        <v>3</v>
      </c>
      <c r="H8573" s="370">
        <v>12671.52490234375</v>
      </c>
      <c r="I8573" s="370">
        <v>4181.9600219726563</v>
      </c>
      <c r="M8573" s="371">
        <f t="shared" si="533"/>
        <v>13343.775064654505</v>
      </c>
      <c r="N8573" s="329">
        <f t="shared" si="534"/>
        <v>380.50255126953152</v>
      </c>
      <c r="T8573" s="331">
        <v>0</v>
      </c>
      <c r="U8573" s="328">
        <f>VLOOKUP(C8573,METADATA!$J$5:$Q$29,IF(E8573="HI",2,IF(E8573="LO",6,10))+IF(T8573=1,2,IF(D8573=7,1,(IF(WEEKDAY(B8573)=1,2,IF(WEEKDAY(B8573)=7,1,0))))))</f>
        <v>3</v>
      </c>
      <c r="V8573" s="328">
        <f>VLOOKUP(C8573,METADATA!$A$5:$H$29,IF(E8573="HI",2,IF(E8573="LO",6,10))+IF(T8573=1,2,IF(D8573=7,1,(IF(WEEKDAY(B8573)=1,2,IF(WEEKDAY(B8573)=7,1,0))))))</f>
        <v>3</v>
      </c>
    </row>
    <row r="8574" spans="2:22">
      <c r="B8574" s="318">
        <f t="shared" si="535"/>
        <v>46470</v>
      </c>
      <c r="C8574" s="312">
        <v>2</v>
      </c>
      <c r="D8574" s="368">
        <f>IFERROR((INDEX(METADATA!$T$2:$T$20,MATCH(B8574,METADATA!$S$2:$S$20,0))),0)</f>
        <v>0</v>
      </c>
      <c r="E8574" s="312" t="str">
        <f t="shared" si="532"/>
        <v>LO</v>
      </c>
      <c r="F8574" s="369">
        <f>VLOOKUP(C8574,METADATA!$A$5:$H$29,IF(E8574="HI",2,IF(E8574="LO",6,10))+IF(D8574=1,2,IF(D8574=7,1,(IF(WEEKDAY(B8574)=1,2,IF(WEEKDAY(B8574)=7,1,0))))))</f>
        <v>3</v>
      </c>
      <c r="G8574" s="369">
        <f>VLOOKUP(C8574,METADATA!$J$5:$Q$29,IF(E8574="HI",2,IF(E8574="LO",6,10))+IF(D8574=1,2,IF(D8574=7,1,(IF(WEEKDAY(B8574)=1,2,IF(WEEKDAY(B8574)=7,1,0))))))</f>
        <v>3</v>
      </c>
      <c r="H8574" s="370">
        <v>12637.499938964844</v>
      </c>
      <c r="I8574" s="370">
        <v>4212.9099731445313</v>
      </c>
      <c r="M8574" s="371">
        <f t="shared" si="533"/>
        <v>13321.224236126238</v>
      </c>
      <c r="N8574" s="329">
        <f t="shared" si="534"/>
        <v>421.6599914550784</v>
      </c>
      <c r="T8574" s="331">
        <v>0</v>
      </c>
      <c r="U8574" s="328">
        <f>VLOOKUP(C8574,METADATA!$J$5:$Q$29,IF(E8574="HI",2,IF(E8574="LO",6,10))+IF(T8574=1,2,IF(D8574=7,1,(IF(WEEKDAY(B8574)=1,2,IF(WEEKDAY(B8574)=7,1,0))))))</f>
        <v>3</v>
      </c>
      <c r="V8574" s="328">
        <f>VLOOKUP(C8574,METADATA!$A$5:$H$29,IF(E8574="HI",2,IF(E8574="LO",6,10))+IF(T8574=1,2,IF(D8574=7,1,(IF(WEEKDAY(B8574)=1,2,IF(WEEKDAY(B8574)=7,1,0))))))</f>
        <v>3</v>
      </c>
    </row>
    <row r="8575" spans="2:22">
      <c r="B8575" s="318">
        <f t="shared" si="535"/>
        <v>46470</v>
      </c>
      <c r="C8575" s="312">
        <v>3</v>
      </c>
      <c r="D8575" s="368">
        <f>IFERROR((INDEX(METADATA!$T$2:$T$20,MATCH(B8575,METADATA!$S$2:$S$20,0))),0)</f>
        <v>0</v>
      </c>
      <c r="E8575" s="312" t="str">
        <f t="shared" si="532"/>
        <v>LO</v>
      </c>
      <c r="F8575" s="369">
        <f>VLOOKUP(C8575,METADATA!$A$5:$H$29,IF(E8575="HI",2,IF(E8575="LO",6,10))+IF(D8575=1,2,IF(D8575=7,1,(IF(WEEKDAY(B8575)=1,2,IF(WEEKDAY(B8575)=7,1,0))))))</f>
        <v>3</v>
      </c>
      <c r="G8575" s="369">
        <f>VLOOKUP(C8575,METADATA!$J$5:$Q$29,IF(E8575="HI",2,IF(E8575="LO",6,10))+IF(D8575=1,2,IF(D8575=7,1,(IF(WEEKDAY(B8575)=1,2,IF(WEEKDAY(B8575)=7,1,0))))))</f>
        <v>3</v>
      </c>
      <c r="H8575" s="370">
        <v>12652.474731445313</v>
      </c>
      <c r="I8575" s="370">
        <v>4105.4150695800781</v>
      </c>
      <c r="M8575" s="371">
        <f t="shared" si="533"/>
        <v>13301.862641126518</v>
      </c>
      <c r="N8575" s="329">
        <f t="shared" si="534"/>
        <v>309.67265014648456</v>
      </c>
      <c r="T8575" s="331">
        <v>0</v>
      </c>
      <c r="U8575" s="328">
        <f>VLOOKUP(C8575,METADATA!$J$5:$Q$29,IF(E8575="HI",2,IF(E8575="LO",6,10))+IF(T8575=1,2,IF(D8575=7,1,(IF(WEEKDAY(B8575)=1,2,IF(WEEKDAY(B8575)=7,1,0))))))</f>
        <v>3</v>
      </c>
      <c r="V8575" s="328">
        <f>VLOOKUP(C8575,METADATA!$A$5:$H$29,IF(E8575="HI",2,IF(E8575="LO",6,10))+IF(T8575=1,2,IF(D8575=7,1,(IF(WEEKDAY(B8575)=1,2,IF(WEEKDAY(B8575)=7,1,0))))))</f>
        <v>3</v>
      </c>
    </row>
    <row r="8576" spans="2:22">
      <c r="B8576" s="318">
        <f t="shared" si="535"/>
        <v>46470</v>
      </c>
      <c r="C8576" s="312">
        <v>4</v>
      </c>
      <c r="D8576" s="368">
        <f>IFERROR((INDEX(METADATA!$T$2:$T$20,MATCH(B8576,METADATA!$S$2:$S$20,0))),0)</f>
        <v>0</v>
      </c>
      <c r="E8576" s="312" t="str">
        <f t="shared" si="532"/>
        <v>LO</v>
      </c>
      <c r="F8576" s="369">
        <f>VLOOKUP(C8576,METADATA!$A$5:$H$29,IF(E8576="HI",2,IF(E8576="LO",6,10))+IF(D8576=1,2,IF(D8576=7,1,(IF(WEEKDAY(B8576)=1,2,IF(WEEKDAY(B8576)=7,1,0))))))</f>
        <v>3</v>
      </c>
      <c r="G8576" s="369">
        <f>VLOOKUP(C8576,METADATA!$J$5:$Q$29,IF(E8576="HI",2,IF(E8576="LO",6,10))+IF(D8576=1,2,IF(D8576=7,1,(IF(WEEKDAY(B8576)=1,2,IF(WEEKDAY(B8576)=7,1,0))))))</f>
        <v>3</v>
      </c>
      <c r="H8576" s="370">
        <v>12663.675231933594</v>
      </c>
      <c r="I8576" s="370">
        <v>4226.6749572753906</v>
      </c>
      <c r="M8576" s="371">
        <f t="shared" si="533"/>
        <v>13350.410165022919</v>
      </c>
      <c r="N8576" s="329">
        <f t="shared" si="534"/>
        <v>427.5723876953125</v>
      </c>
      <c r="T8576" s="331">
        <v>0</v>
      </c>
      <c r="U8576" s="328">
        <f>VLOOKUP(C8576,METADATA!$J$5:$Q$29,IF(E8576="HI",2,IF(E8576="LO",6,10))+IF(T8576=1,2,IF(D8576=7,1,(IF(WEEKDAY(B8576)=1,2,IF(WEEKDAY(B8576)=7,1,0))))))</f>
        <v>3</v>
      </c>
      <c r="V8576" s="328">
        <f>VLOOKUP(C8576,METADATA!$A$5:$H$29,IF(E8576="HI",2,IF(E8576="LO",6,10))+IF(T8576=1,2,IF(D8576=7,1,(IF(WEEKDAY(B8576)=1,2,IF(WEEKDAY(B8576)=7,1,0))))))</f>
        <v>3</v>
      </c>
    </row>
    <row r="8577" spans="2:22">
      <c r="B8577" s="318">
        <f t="shared" si="535"/>
        <v>46470</v>
      </c>
      <c r="C8577" s="312">
        <v>5</v>
      </c>
      <c r="D8577" s="368">
        <f>IFERROR((INDEX(METADATA!$T$2:$T$20,MATCH(B8577,METADATA!$S$2:$S$20,0))),0)</f>
        <v>0</v>
      </c>
      <c r="E8577" s="312" t="str">
        <f t="shared" si="532"/>
        <v>LO</v>
      </c>
      <c r="F8577" s="369">
        <f>VLOOKUP(C8577,METADATA!$A$5:$H$29,IF(E8577="HI",2,IF(E8577="LO",6,10))+IF(D8577=1,2,IF(D8577=7,1,(IF(WEEKDAY(B8577)=1,2,IF(WEEKDAY(B8577)=7,1,0))))))</f>
        <v>3</v>
      </c>
      <c r="G8577" s="369">
        <f>VLOOKUP(C8577,METADATA!$J$5:$Q$29,IF(E8577="HI",2,IF(E8577="LO",6,10))+IF(D8577=1,2,IF(D8577=7,1,(IF(WEEKDAY(B8577)=1,2,IF(WEEKDAY(B8577)=7,1,0))))))</f>
        <v>3</v>
      </c>
      <c r="H8577" s="370">
        <v>12639.624877929688</v>
      </c>
      <c r="I8577" s="370">
        <v>4124.8898620605469</v>
      </c>
      <c r="M8577" s="371">
        <f t="shared" si="533"/>
        <v>13295.669724722744</v>
      </c>
      <c r="N8577" s="329">
        <f t="shared" si="534"/>
        <v>333.0023986816409</v>
      </c>
      <c r="T8577" s="331">
        <v>0</v>
      </c>
      <c r="U8577" s="328">
        <f>VLOOKUP(C8577,METADATA!$J$5:$Q$29,IF(E8577="HI",2,IF(E8577="LO",6,10))+IF(T8577=1,2,IF(D8577=7,1,(IF(WEEKDAY(B8577)=1,2,IF(WEEKDAY(B8577)=7,1,0))))))</f>
        <v>3</v>
      </c>
      <c r="V8577" s="328">
        <f>VLOOKUP(C8577,METADATA!$A$5:$H$29,IF(E8577="HI",2,IF(E8577="LO",6,10))+IF(T8577=1,2,IF(D8577=7,1,(IF(WEEKDAY(B8577)=1,2,IF(WEEKDAY(B8577)=7,1,0))))))</f>
        <v>3</v>
      </c>
    </row>
    <row r="8578" spans="2:22">
      <c r="B8578" s="318">
        <f t="shared" si="535"/>
        <v>46470</v>
      </c>
      <c r="C8578" s="312">
        <v>6</v>
      </c>
      <c r="D8578" s="368">
        <f>IFERROR((INDEX(METADATA!$T$2:$T$20,MATCH(B8578,METADATA!$S$2:$S$20,0))),0)</f>
        <v>0</v>
      </c>
      <c r="E8578" s="312" t="str">
        <f t="shared" si="532"/>
        <v>LO</v>
      </c>
      <c r="F8578" s="369">
        <f>VLOOKUP(C8578,METADATA!$A$5:$H$29,IF(E8578="HI",2,IF(E8578="LO",6,10))+IF(D8578=1,2,IF(D8578=7,1,(IF(WEEKDAY(B8578)=1,2,IF(WEEKDAY(B8578)=7,1,0))))))</f>
        <v>2</v>
      </c>
      <c r="G8578" s="369">
        <f>VLOOKUP(C8578,METADATA!$J$5:$Q$29,IF(E8578="HI",2,IF(E8578="LO",6,10))+IF(D8578=1,2,IF(D8578=7,1,(IF(WEEKDAY(B8578)=1,2,IF(WEEKDAY(B8578)=7,1,0))))))</f>
        <v>2</v>
      </c>
      <c r="H8578" s="370">
        <v>12618.099914550781</v>
      </c>
      <c r="I8578" s="370">
        <v>4013.804931640625</v>
      </c>
      <c r="M8578" s="371">
        <f t="shared" si="533"/>
        <v>13241.11307567642</v>
      </c>
      <c r="N8578" s="329">
        <f t="shared" si="534"/>
        <v>228.3749572753909</v>
      </c>
      <c r="T8578" s="331">
        <v>0</v>
      </c>
      <c r="U8578" s="328">
        <f>VLOOKUP(C8578,METADATA!$J$5:$Q$29,IF(E8578="HI",2,IF(E8578="LO",6,10))+IF(T8578=1,2,IF(D8578=7,1,(IF(WEEKDAY(B8578)=1,2,IF(WEEKDAY(B8578)=7,1,0))))))</f>
        <v>2</v>
      </c>
      <c r="V8578" s="328">
        <f>VLOOKUP(C8578,METADATA!$A$5:$H$29,IF(E8578="HI",2,IF(E8578="LO",6,10))+IF(T8578=1,2,IF(D8578=7,1,(IF(WEEKDAY(B8578)=1,2,IF(WEEKDAY(B8578)=7,1,0))))))</f>
        <v>2</v>
      </c>
    </row>
    <row r="8579" spans="2:22">
      <c r="B8579" s="318">
        <f t="shared" si="535"/>
        <v>46470</v>
      </c>
      <c r="C8579" s="312">
        <v>7</v>
      </c>
      <c r="D8579" s="368">
        <f>IFERROR((INDEX(METADATA!$T$2:$T$20,MATCH(B8579,METADATA!$S$2:$S$20,0))),0)</f>
        <v>0</v>
      </c>
      <c r="E8579" s="312" t="str">
        <f t="shared" si="532"/>
        <v>LO</v>
      </c>
      <c r="F8579" s="369">
        <f>VLOOKUP(C8579,METADATA!$A$5:$H$29,IF(E8579="HI",2,IF(E8579="LO",6,10))+IF(D8579=1,2,IF(D8579=7,1,(IF(WEEKDAY(B8579)=1,2,IF(WEEKDAY(B8579)=7,1,0))))))</f>
        <v>1</v>
      </c>
      <c r="G8579" s="369">
        <f>VLOOKUP(C8579,METADATA!$J$5:$Q$29,IF(E8579="HI",2,IF(E8579="LO",6,10))+IF(D8579=1,2,IF(D8579=7,1,(IF(WEEKDAY(B8579)=1,2,IF(WEEKDAY(B8579)=7,1,0))))))</f>
        <v>1</v>
      </c>
      <c r="H8579" s="370">
        <v>12723.275146484375</v>
      </c>
      <c r="I8579" s="370">
        <v>3997.1650695800781</v>
      </c>
      <c r="M8579" s="371">
        <f t="shared" si="533"/>
        <v>13336.38103259719</v>
      </c>
      <c r="N8579" s="329">
        <f t="shared" si="534"/>
        <v>180.18252563476563</v>
      </c>
      <c r="T8579" s="331">
        <v>0</v>
      </c>
      <c r="U8579" s="328">
        <f>VLOOKUP(C8579,METADATA!$J$5:$Q$29,IF(E8579="HI",2,IF(E8579="LO",6,10))+IF(T8579=1,2,IF(D8579=7,1,(IF(WEEKDAY(B8579)=1,2,IF(WEEKDAY(B8579)=7,1,0))))))</f>
        <v>1</v>
      </c>
      <c r="V8579" s="328">
        <f>VLOOKUP(C8579,METADATA!$A$5:$H$29,IF(E8579="HI",2,IF(E8579="LO",6,10))+IF(T8579=1,2,IF(D8579=7,1,(IF(WEEKDAY(B8579)=1,2,IF(WEEKDAY(B8579)=7,1,0))))))</f>
        <v>1</v>
      </c>
    </row>
    <row r="8580" spans="2:22">
      <c r="B8580" s="318">
        <f t="shared" si="535"/>
        <v>46470</v>
      </c>
      <c r="C8580" s="312">
        <v>8</v>
      </c>
      <c r="D8580" s="368">
        <f>IFERROR((INDEX(METADATA!$T$2:$T$20,MATCH(B8580,METADATA!$S$2:$S$20,0))),0)</f>
        <v>0</v>
      </c>
      <c r="E8580" s="312" t="str">
        <f t="shared" ref="E8580:E8643" si="536">IF(B8580="","",IF(AND(MONTH(B8580)&gt;=MONTH($Z$9),MONTH(B8580)&lt;=MONTH($Z$11)),"HI","LO"))</f>
        <v>LO</v>
      </c>
      <c r="F8580" s="369">
        <f>VLOOKUP(C8580,METADATA!$A$5:$H$29,IF(E8580="HI",2,IF(E8580="LO",6,10))+IF(D8580=1,2,IF(D8580=7,1,(IF(WEEKDAY(B8580)=1,2,IF(WEEKDAY(B8580)=7,1,0))))))</f>
        <v>1</v>
      </c>
      <c r="G8580" s="369">
        <f>VLOOKUP(C8580,METADATA!$J$5:$Q$29,IF(E8580="HI",2,IF(E8580="LO",6,10))+IF(D8580=1,2,IF(D8580=7,1,(IF(WEEKDAY(B8580)=1,2,IF(WEEKDAY(B8580)=7,1,0))))))</f>
        <v>1</v>
      </c>
      <c r="H8580" s="370">
        <v>13087.800048828125</v>
      </c>
      <c r="I8580" s="370">
        <v>4278.7000427246094</v>
      </c>
      <c r="M8580" s="371">
        <f t="shared" ref="M8580:M8643" si="537">SQRT(H8580^2+I8580^2)</f>
        <v>13769.451121003955</v>
      </c>
      <c r="N8580" s="329">
        <f t="shared" ref="N8580:N8643" si="538">IF(H8580=0,0,(IF(I8580-(0.3*H8580)&lt;0,0,(I8580-(0.3*H8580)))))</f>
        <v>352.36002807617206</v>
      </c>
      <c r="T8580" s="331">
        <v>0</v>
      </c>
      <c r="U8580" s="328">
        <f>VLOOKUP(C8580,METADATA!$J$5:$Q$29,IF(E8580="HI",2,IF(E8580="LO",6,10))+IF(T8580=1,2,IF(D8580=7,1,(IF(WEEKDAY(B8580)=1,2,IF(WEEKDAY(B8580)=7,1,0))))))</f>
        <v>1</v>
      </c>
      <c r="V8580" s="328">
        <f>VLOOKUP(C8580,METADATA!$A$5:$H$29,IF(E8580="HI",2,IF(E8580="LO",6,10))+IF(T8580=1,2,IF(D8580=7,1,(IF(WEEKDAY(B8580)=1,2,IF(WEEKDAY(B8580)=7,1,0))))))</f>
        <v>1</v>
      </c>
    </row>
    <row r="8581" spans="2:22">
      <c r="B8581" s="318">
        <f t="shared" si="535"/>
        <v>46470</v>
      </c>
      <c r="C8581" s="312">
        <v>9</v>
      </c>
      <c r="D8581" s="368">
        <f>IFERROR((INDEX(METADATA!$T$2:$T$20,MATCH(B8581,METADATA!$S$2:$S$20,0))),0)</f>
        <v>0</v>
      </c>
      <c r="E8581" s="312" t="str">
        <f t="shared" si="536"/>
        <v>LO</v>
      </c>
      <c r="F8581" s="369">
        <f>VLOOKUP(C8581,METADATA!$A$5:$H$29,IF(E8581="HI",2,IF(E8581="LO",6,10))+IF(D8581=1,2,IF(D8581=7,1,(IF(WEEKDAY(B8581)=1,2,IF(WEEKDAY(B8581)=7,1,0))))))</f>
        <v>2</v>
      </c>
      <c r="G8581" s="369">
        <f>VLOOKUP(C8581,METADATA!$J$5:$Q$29,IF(E8581="HI",2,IF(E8581="LO",6,10))+IF(D8581=1,2,IF(D8581=7,1,(IF(WEEKDAY(B8581)=1,2,IF(WEEKDAY(B8581)=7,1,0))))))</f>
        <v>2</v>
      </c>
      <c r="H8581" s="370">
        <v>12953.350463867188</v>
      </c>
      <c r="I8581" s="370">
        <v>4189.7149963378906</v>
      </c>
      <c r="M8581" s="371">
        <f t="shared" si="537"/>
        <v>13614.07360015021</v>
      </c>
      <c r="N8581" s="329">
        <f t="shared" si="538"/>
        <v>303.70985717773465</v>
      </c>
      <c r="T8581" s="331">
        <v>0</v>
      </c>
      <c r="U8581" s="328">
        <f>VLOOKUP(C8581,METADATA!$J$5:$Q$29,IF(E8581="HI",2,IF(E8581="LO",6,10))+IF(T8581=1,2,IF(D8581=7,1,(IF(WEEKDAY(B8581)=1,2,IF(WEEKDAY(B8581)=7,1,0))))))</f>
        <v>2</v>
      </c>
      <c r="V8581" s="328">
        <f>VLOOKUP(C8581,METADATA!$A$5:$H$29,IF(E8581="HI",2,IF(E8581="LO",6,10))+IF(T8581=1,2,IF(D8581=7,1,(IF(WEEKDAY(B8581)=1,2,IF(WEEKDAY(B8581)=7,1,0))))))</f>
        <v>2</v>
      </c>
    </row>
    <row r="8582" spans="2:22">
      <c r="B8582" s="318">
        <f t="shared" si="535"/>
        <v>46470</v>
      </c>
      <c r="C8582" s="312">
        <v>10</v>
      </c>
      <c r="D8582" s="368">
        <f>IFERROR((INDEX(METADATA!$T$2:$T$20,MATCH(B8582,METADATA!$S$2:$S$20,0))),0)</f>
        <v>0</v>
      </c>
      <c r="E8582" s="312" t="str">
        <f t="shared" si="536"/>
        <v>LO</v>
      </c>
      <c r="F8582" s="369">
        <f>VLOOKUP(C8582,METADATA!$A$5:$H$29,IF(E8582="HI",2,IF(E8582="LO",6,10))+IF(D8582=1,2,IF(D8582=7,1,(IF(WEEKDAY(B8582)=1,2,IF(WEEKDAY(B8582)=7,1,0))))))</f>
        <v>2</v>
      </c>
      <c r="G8582" s="369">
        <f>VLOOKUP(C8582,METADATA!$J$5:$Q$29,IF(E8582="HI",2,IF(E8582="LO",6,10))+IF(D8582=1,2,IF(D8582=7,1,(IF(WEEKDAY(B8582)=1,2,IF(WEEKDAY(B8582)=7,1,0))))))</f>
        <v>2</v>
      </c>
      <c r="H8582" s="370">
        <v>12919.424560546875</v>
      </c>
      <c r="I8582" s="370">
        <v>4143.4850769042969</v>
      </c>
      <c r="M8582" s="371">
        <f t="shared" si="537"/>
        <v>13567.608468635524</v>
      </c>
      <c r="N8582" s="329">
        <f t="shared" si="538"/>
        <v>267.65770874023474</v>
      </c>
      <c r="T8582" s="331">
        <v>0</v>
      </c>
      <c r="U8582" s="328">
        <f>VLOOKUP(C8582,METADATA!$J$5:$Q$29,IF(E8582="HI",2,IF(E8582="LO",6,10))+IF(T8582=1,2,IF(D8582=7,1,(IF(WEEKDAY(B8582)=1,2,IF(WEEKDAY(B8582)=7,1,0))))))</f>
        <v>2</v>
      </c>
      <c r="V8582" s="328">
        <f>VLOOKUP(C8582,METADATA!$A$5:$H$29,IF(E8582="HI",2,IF(E8582="LO",6,10))+IF(T8582=1,2,IF(D8582=7,1,(IF(WEEKDAY(B8582)=1,2,IF(WEEKDAY(B8582)=7,1,0))))))</f>
        <v>2</v>
      </c>
    </row>
    <row r="8583" spans="2:22">
      <c r="B8583" s="318">
        <f t="shared" si="535"/>
        <v>46470</v>
      </c>
      <c r="C8583" s="312">
        <v>11</v>
      </c>
      <c r="D8583" s="368">
        <f>IFERROR((INDEX(METADATA!$T$2:$T$20,MATCH(B8583,METADATA!$S$2:$S$20,0))),0)</f>
        <v>0</v>
      </c>
      <c r="E8583" s="312" t="str">
        <f t="shared" si="536"/>
        <v>LO</v>
      </c>
      <c r="F8583" s="369">
        <f>VLOOKUP(C8583,METADATA!$A$5:$H$29,IF(E8583="HI",2,IF(E8583="LO",6,10))+IF(D8583=1,2,IF(D8583=7,1,(IF(WEEKDAY(B8583)=1,2,IF(WEEKDAY(B8583)=7,1,0))))))</f>
        <v>2</v>
      </c>
      <c r="G8583" s="369">
        <f>VLOOKUP(C8583,METADATA!$J$5:$Q$29,IF(E8583="HI",2,IF(E8583="LO",6,10))+IF(D8583=1,2,IF(D8583=7,1,(IF(WEEKDAY(B8583)=1,2,IF(WEEKDAY(B8583)=7,1,0))))))</f>
        <v>2</v>
      </c>
      <c r="H8583" s="370">
        <v>12706.674865722656</v>
      </c>
      <c r="I8583" s="370">
        <v>3977.9650573730469</v>
      </c>
      <c r="M8583" s="371">
        <f t="shared" si="537"/>
        <v>13314.795985702103</v>
      </c>
      <c r="N8583" s="329">
        <f t="shared" si="538"/>
        <v>165.96259765625018</v>
      </c>
      <c r="T8583" s="331">
        <v>0</v>
      </c>
      <c r="U8583" s="328">
        <f>VLOOKUP(C8583,METADATA!$J$5:$Q$29,IF(E8583="HI",2,IF(E8583="LO",6,10))+IF(T8583=1,2,IF(D8583=7,1,(IF(WEEKDAY(B8583)=1,2,IF(WEEKDAY(B8583)=7,1,0))))))</f>
        <v>2</v>
      </c>
      <c r="V8583" s="328">
        <f>VLOOKUP(C8583,METADATA!$A$5:$H$29,IF(E8583="HI",2,IF(E8583="LO",6,10))+IF(T8583=1,2,IF(D8583=7,1,(IF(WEEKDAY(B8583)=1,2,IF(WEEKDAY(B8583)=7,1,0))))))</f>
        <v>2</v>
      </c>
    </row>
    <row r="8584" spans="2:22">
      <c r="B8584" s="318">
        <f t="shared" si="535"/>
        <v>46470</v>
      </c>
      <c r="C8584" s="312">
        <v>12</v>
      </c>
      <c r="D8584" s="368">
        <f>IFERROR((INDEX(METADATA!$T$2:$T$20,MATCH(B8584,METADATA!$S$2:$S$20,0))),0)</f>
        <v>0</v>
      </c>
      <c r="E8584" s="312" t="str">
        <f t="shared" si="536"/>
        <v>LO</v>
      </c>
      <c r="F8584" s="369">
        <f>VLOOKUP(C8584,METADATA!$A$5:$H$29,IF(E8584="HI",2,IF(E8584="LO",6,10))+IF(D8584=1,2,IF(D8584=7,1,(IF(WEEKDAY(B8584)=1,2,IF(WEEKDAY(B8584)=7,1,0))))))</f>
        <v>2</v>
      </c>
      <c r="G8584" s="369">
        <f>VLOOKUP(C8584,METADATA!$J$5:$Q$29,IF(E8584="HI",2,IF(E8584="LO",6,10))+IF(D8584=1,2,IF(D8584=7,1,(IF(WEEKDAY(B8584)=1,2,IF(WEEKDAY(B8584)=7,1,0))))))</f>
        <v>2</v>
      </c>
      <c r="H8584" s="370">
        <v>11696.475036621094</v>
      </c>
      <c r="I8584" s="370">
        <v>3123.3600540161133</v>
      </c>
      <c r="M8584" s="371">
        <f t="shared" si="537"/>
        <v>12106.316793695923</v>
      </c>
      <c r="N8584" s="329">
        <f t="shared" si="538"/>
        <v>0</v>
      </c>
      <c r="T8584" s="331">
        <v>0</v>
      </c>
      <c r="U8584" s="328">
        <f>VLOOKUP(C8584,METADATA!$J$5:$Q$29,IF(E8584="HI",2,IF(E8584="LO",6,10))+IF(T8584=1,2,IF(D8584=7,1,(IF(WEEKDAY(B8584)=1,2,IF(WEEKDAY(B8584)=7,1,0))))))</f>
        <v>2</v>
      </c>
      <c r="V8584" s="328">
        <f>VLOOKUP(C8584,METADATA!$A$5:$H$29,IF(E8584="HI",2,IF(E8584="LO",6,10))+IF(T8584=1,2,IF(D8584=7,1,(IF(WEEKDAY(B8584)=1,2,IF(WEEKDAY(B8584)=7,1,0))))))</f>
        <v>2</v>
      </c>
    </row>
    <row r="8585" spans="2:22">
      <c r="B8585" s="318">
        <f t="shared" si="535"/>
        <v>46470</v>
      </c>
      <c r="C8585" s="312">
        <v>13</v>
      </c>
      <c r="D8585" s="368">
        <f>IFERROR((INDEX(METADATA!$T$2:$T$20,MATCH(B8585,METADATA!$S$2:$S$20,0))),0)</f>
        <v>0</v>
      </c>
      <c r="E8585" s="312" t="str">
        <f t="shared" si="536"/>
        <v>LO</v>
      </c>
      <c r="F8585" s="369">
        <f>VLOOKUP(C8585,METADATA!$A$5:$H$29,IF(E8585="HI",2,IF(E8585="LO",6,10))+IF(D8585=1,2,IF(D8585=7,1,(IF(WEEKDAY(B8585)=1,2,IF(WEEKDAY(B8585)=7,1,0))))))</f>
        <v>2</v>
      </c>
      <c r="G8585" s="369">
        <f>VLOOKUP(C8585,METADATA!$J$5:$Q$29,IF(E8585="HI",2,IF(E8585="LO",6,10))+IF(D8585=1,2,IF(D8585=7,1,(IF(WEEKDAY(B8585)=1,2,IF(WEEKDAY(B8585)=7,1,0))))))</f>
        <v>2</v>
      </c>
      <c r="H8585" s="370">
        <v>11544.700134277344</v>
      </c>
      <c r="I8585" s="370">
        <v>2879.289966583252</v>
      </c>
      <c r="M8585" s="371">
        <f t="shared" si="537"/>
        <v>11898.336518272219</v>
      </c>
      <c r="N8585" s="329">
        <f t="shared" si="538"/>
        <v>0</v>
      </c>
      <c r="T8585" s="331">
        <v>0</v>
      </c>
      <c r="U8585" s="328">
        <f>VLOOKUP(C8585,METADATA!$J$5:$Q$29,IF(E8585="HI",2,IF(E8585="LO",6,10))+IF(T8585=1,2,IF(D8585=7,1,(IF(WEEKDAY(B8585)=1,2,IF(WEEKDAY(B8585)=7,1,0))))))</f>
        <v>2</v>
      </c>
      <c r="V8585" s="328">
        <f>VLOOKUP(C8585,METADATA!$A$5:$H$29,IF(E8585="HI",2,IF(E8585="LO",6,10))+IF(T8585=1,2,IF(D8585=7,1,(IF(WEEKDAY(B8585)=1,2,IF(WEEKDAY(B8585)=7,1,0))))))</f>
        <v>2</v>
      </c>
    </row>
    <row r="8586" spans="2:22">
      <c r="B8586" s="318">
        <f t="shared" si="535"/>
        <v>46470</v>
      </c>
      <c r="C8586" s="312">
        <v>14</v>
      </c>
      <c r="D8586" s="368">
        <f>IFERROR((INDEX(METADATA!$T$2:$T$20,MATCH(B8586,METADATA!$S$2:$S$20,0))),0)</f>
        <v>0</v>
      </c>
      <c r="E8586" s="312" t="str">
        <f t="shared" si="536"/>
        <v>LO</v>
      </c>
      <c r="F8586" s="369">
        <f>VLOOKUP(C8586,METADATA!$A$5:$H$29,IF(E8586="HI",2,IF(E8586="LO",6,10))+IF(D8586=1,2,IF(D8586=7,1,(IF(WEEKDAY(B8586)=1,2,IF(WEEKDAY(B8586)=7,1,0))))))</f>
        <v>2</v>
      </c>
      <c r="G8586" s="369">
        <f>VLOOKUP(C8586,METADATA!$J$5:$Q$29,IF(E8586="HI",2,IF(E8586="LO",6,10))+IF(D8586=1,2,IF(D8586=7,1,(IF(WEEKDAY(B8586)=1,2,IF(WEEKDAY(B8586)=7,1,0))))))</f>
        <v>2</v>
      </c>
      <c r="H8586" s="370">
        <v>11702.149963378906</v>
      </c>
      <c r="I8586" s="370">
        <v>3076.0449829101563</v>
      </c>
      <c r="M8586" s="371">
        <f t="shared" si="537"/>
        <v>12099.68456209895</v>
      </c>
      <c r="N8586" s="329">
        <f t="shared" si="538"/>
        <v>0</v>
      </c>
      <c r="T8586" s="331">
        <v>0</v>
      </c>
      <c r="U8586" s="328">
        <f>VLOOKUP(C8586,METADATA!$J$5:$Q$29,IF(E8586="HI",2,IF(E8586="LO",6,10))+IF(T8586=1,2,IF(D8586=7,1,(IF(WEEKDAY(B8586)=1,2,IF(WEEKDAY(B8586)=7,1,0))))))</f>
        <v>2</v>
      </c>
      <c r="V8586" s="328">
        <f>VLOOKUP(C8586,METADATA!$A$5:$H$29,IF(E8586="HI",2,IF(E8586="LO",6,10))+IF(T8586=1,2,IF(D8586=7,1,(IF(WEEKDAY(B8586)=1,2,IF(WEEKDAY(B8586)=7,1,0))))))</f>
        <v>2</v>
      </c>
    </row>
    <row r="8587" spans="2:22">
      <c r="B8587" s="318">
        <f t="shared" si="535"/>
        <v>46470</v>
      </c>
      <c r="C8587" s="312">
        <v>15</v>
      </c>
      <c r="D8587" s="368">
        <f>IFERROR((INDEX(METADATA!$T$2:$T$20,MATCH(B8587,METADATA!$S$2:$S$20,0))),0)</f>
        <v>0</v>
      </c>
      <c r="E8587" s="312" t="str">
        <f t="shared" si="536"/>
        <v>LO</v>
      </c>
      <c r="F8587" s="369">
        <f>VLOOKUP(C8587,METADATA!$A$5:$H$29,IF(E8587="HI",2,IF(E8587="LO",6,10))+IF(D8587=1,2,IF(D8587=7,1,(IF(WEEKDAY(B8587)=1,2,IF(WEEKDAY(B8587)=7,1,0))))))</f>
        <v>2</v>
      </c>
      <c r="G8587" s="369">
        <f>VLOOKUP(C8587,METADATA!$J$5:$Q$29,IF(E8587="HI",2,IF(E8587="LO",6,10))+IF(D8587=1,2,IF(D8587=7,1,(IF(WEEKDAY(B8587)=1,2,IF(WEEKDAY(B8587)=7,1,0))))))</f>
        <v>2</v>
      </c>
      <c r="H8587" s="370">
        <v>12833.150451660156</v>
      </c>
      <c r="I8587" s="370">
        <v>3852.1300048828125</v>
      </c>
      <c r="M8587" s="371">
        <f t="shared" si="537"/>
        <v>13398.830400055958</v>
      </c>
      <c r="N8587" s="329">
        <f t="shared" si="538"/>
        <v>2.1848693847659888</v>
      </c>
      <c r="T8587" s="331">
        <v>0</v>
      </c>
      <c r="U8587" s="328">
        <f>VLOOKUP(C8587,METADATA!$J$5:$Q$29,IF(E8587="HI",2,IF(E8587="LO",6,10))+IF(T8587=1,2,IF(D8587=7,1,(IF(WEEKDAY(B8587)=1,2,IF(WEEKDAY(B8587)=7,1,0))))))</f>
        <v>2</v>
      </c>
      <c r="V8587" s="328">
        <f>VLOOKUP(C8587,METADATA!$A$5:$H$29,IF(E8587="HI",2,IF(E8587="LO",6,10))+IF(T8587=1,2,IF(D8587=7,1,(IF(WEEKDAY(B8587)=1,2,IF(WEEKDAY(B8587)=7,1,0))))))</f>
        <v>2</v>
      </c>
    </row>
    <row r="8588" spans="2:22">
      <c r="B8588" s="318">
        <f t="shared" si="535"/>
        <v>46470</v>
      </c>
      <c r="C8588" s="312">
        <v>16</v>
      </c>
      <c r="D8588" s="368">
        <f>IFERROR((INDEX(METADATA!$T$2:$T$20,MATCH(B8588,METADATA!$S$2:$S$20,0))),0)</f>
        <v>0</v>
      </c>
      <c r="E8588" s="312" t="str">
        <f t="shared" si="536"/>
        <v>LO</v>
      </c>
      <c r="F8588" s="369">
        <f>VLOOKUP(C8588,METADATA!$A$5:$H$29,IF(E8588="HI",2,IF(E8588="LO",6,10))+IF(D8588=1,2,IF(D8588=7,1,(IF(WEEKDAY(B8588)=1,2,IF(WEEKDAY(B8588)=7,1,0))))))</f>
        <v>2</v>
      </c>
      <c r="G8588" s="369">
        <f>VLOOKUP(C8588,METADATA!$J$5:$Q$29,IF(E8588="HI",2,IF(E8588="LO",6,10))+IF(D8588=1,2,IF(D8588=7,1,(IF(WEEKDAY(B8588)=1,2,IF(WEEKDAY(B8588)=7,1,0))))))</f>
        <v>2</v>
      </c>
      <c r="H8588" s="370">
        <v>12680.225280761719</v>
      </c>
      <c r="I8588" s="370">
        <v>3885.5400390625</v>
      </c>
      <c r="M8588" s="371">
        <f t="shared" si="537"/>
        <v>13262.184381391568</v>
      </c>
      <c r="N8588" s="329">
        <f t="shared" si="538"/>
        <v>81.472454833984557</v>
      </c>
      <c r="T8588" s="331">
        <v>0</v>
      </c>
      <c r="U8588" s="328">
        <f>VLOOKUP(C8588,METADATA!$J$5:$Q$29,IF(E8588="HI",2,IF(E8588="LO",6,10))+IF(T8588=1,2,IF(D8588=7,1,(IF(WEEKDAY(B8588)=1,2,IF(WEEKDAY(B8588)=7,1,0))))))</f>
        <v>2</v>
      </c>
      <c r="V8588" s="328">
        <f>VLOOKUP(C8588,METADATA!$A$5:$H$29,IF(E8588="HI",2,IF(E8588="LO",6,10))+IF(T8588=1,2,IF(D8588=7,1,(IF(WEEKDAY(B8588)=1,2,IF(WEEKDAY(B8588)=7,1,0))))))</f>
        <v>2</v>
      </c>
    </row>
    <row r="8589" spans="2:22">
      <c r="B8589" s="318">
        <f t="shared" si="535"/>
        <v>46470</v>
      </c>
      <c r="C8589" s="312">
        <v>17</v>
      </c>
      <c r="D8589" s="368">
        <f>IFERROR((INDEX(METADATA!$T$2:$T$20,MATCH(B8589,METADATA!$S$2:$S$20,0))),0)</f>
        <v>0</v>
      </c>
      <c r="E8589" s="312" t="str">
        <f t="shared" si="536"/>
        <v>LO</v>
      </c>
      <c r="F8589" s="369">
        <f>VLOOKUP(C8589,METADATA!$A$5:$H$29,IF(E8589="HI",2,IF(E8589="LO",6,10))+IF(D8589=1,2,IF(D8589=7,1,(IF(WEEKDAY(B8589)=1,2,IF(WEEKDAY(B8589)=7,1,0))))))</f>
        <v>2</v>
      </c>
      <c r="G8589" s="369">
        <f>VLOOKUP(C8589,METADATA!$J$5:$Q$29,IF(E8589="HI",2,IF(E8589="LO",6,10))+IF(D8589=1,2,IF(D8589=7,1,(IF(WEEKDAY(B8589)=1,2,IF(WEEKDAY(B8589)=7,1,0))))))</f>
        <v>2</v>
      </c>
      <c r="H8589" s="370">
        <v>12638.674926757813</v>
      </c>
      <c r="I8589" s="370">
        <v>3991.9400024414063</v>
      </c>
      <c r="M8589" s="371">
        <f t="shared" si="537"/>
        <v>13254.119694923102</v>
      </c>
      <c r="N8589" s="329">
        <f t="shared" si="538"/>
        <v>200.3375244140625</v>
      </c>
      <c r="T8589" s="331">
        <v>0</v>
      </c>
      <c r="U8589" s="328">
        <f>VLOOKUP(C8589,METADATA!$J$5:$Q$29,IF(E8589="HI",2,IF(E8589="LO",6,10))+IF(T8589=1,2,IF(D8589=7,1,(IF(WEEKDAY(B8589)=1,2,IF(WEEKDAY(B8589)=7,1,0))))))</f>
        <v>2</v>
      </c>
      <c r="V8589" s="328">
        <f>VLOOKUP(C8589,METADATA!$A$5:$H$29,IF(E8589="HI",2,IF(E8589="LO",6,10))+IF(T8589=1,2,IF(D8589=7,1,(IF(WEEKDAY(B8589)=1,2,IF(WEEKDAY(B8589)=7,1,0))))))</f>
        <v>2</v>
      </c>
    </row>
    <row r="8590" spans="2:22">
      <c r="B8590" s="318">
        <f t="shared" si="535"/>
        <v>46470</v>
      </c>
      <c r="C8590" s="312">
        <v>18</v>
      </c>
      <c r="D8590" s="368">
        <f>IFERROR((INDEX(METADATA!$T$2:$T$20,MATCH(B8590,METADATA!$S$2:$S$20,0))),0)</f>
        <v>0</v>
      </c>
      <c r="E8590" s="312" t="str">
        <f t="shared" si="536"/>
        <v>LO</v>
      </c>
      <c r="F8590" s="369">
        <f>VLOOKUP(C8590,METADATA!$A$5:$H$29,IF(E8590="HI",2,IF(E8590="LO",6,10))+IF(D8590=1,2,IF(D8590=7,1,(IF(WEEKDAY(B8590)=1,2,IF(WEEKDAY(B8590)=7,1,0))))))</f>
        <v>1</v>
      </c>
      <c r="G8590" s="369">
        <f>VLOOKUP(C8590,METADATA!$J$5:$Q$29,IF(E8590="HI",2,IF(E8590="LO",6,10))+IF(D8590=1,2,IF(D8590=7,1,(IF(WEEKDAY(B8590)=1,2,IF(WEEKDAY(B8590)=7,1,0))))))</f>
        <v>1</v>
      </c>
      <c r="H8590" s="370">
        <v>12641.049682617188</v>
      </c>
      <c r="I8590" s="370">
        <v>3952.8150329589844</v>
      </c>
      <c r="M8590" s="371">
        <f t="shared" si="537"/>
        <v>13244.654912951964</v>
      </c>
      <c r="N8590" s="329">
        <f t="shared" si="538"/>
        <v>160.50012817382822</v>
      </c>
      <c r="T8590" s="331">
        <v>0</v>
      </c>
      <c r="U8590" s="328">
        <f>VLOOKUP(C8590,METADATA!$J$5:$Q$29,IF(E8590="HI",2,IF(E8590="LO",6,10))+IF(T8590=1,2,IF(D8590=7,1,(IF(WEEKDAY(B8590)=1,2,IF(WEEKDAY(B8590)=7,1,0))))))</f>
        <v>1</v>
      </c>
      <c r="V8590" s="328">
        <f>VLOOKUP(C8590,METADATA!$A$5:$H$29,IF(E8590="HI",2,IF(E8590="LO",6,10))+IF(T8590=1,2,IF(D8590=7,1,(IF(WEEKDAY(B8590)=1,2,IF(WEEKDAY(B8590)=7,1,0))))))</f>
        <v>1</v>
      </c>
    </row>
    <row r="8591" spans="2:22">
      <c r="B8591" s="318">
        <f t="shared" si="535"/>
        <v>46470</v>
      </c>
      <c r="C8591" s="312">
        <v>19</v>
      </c>
      <c r="D8591" s="368">
        <f>IFERROR((INDEX(METADATA!$T$2:$T$20,MATCH(B8591,METADATA!$S$2:$S$20,0))),0)</f>
        <v>0</v>
      </c>
      <c r="E8591" s="312" t="str">
        <f t="shared" si="536"/>
        <v>LO</v>
      </c>
      <c r="F8591" s="369">
        <f>VLOOKUP(C8591,METADATA!$A$5:$H$29,IF(E8591="HI",2,IF(E8591="LO",6,10))+IF(D8591=1,2,IF(D8591=7,1,(IF(WEEKDAY(B8591)=1,2,IF(WEEKDAY(B8591)=7,1,0))))))</f>
        <v>1</v>
      </c>
      <c r="G8591" s="369">
        <f>VLOOKUP(C8591,METADATA!$J$5:$Q$29,IF(E8591="HI",2,IF(E8591="LO",6,10))+IF(D8591=1,2,IF(D8591=7,1,(IF(WEEKDAY(B8591)=1,2,IF(WEEKDAY(B8591)=7,1,0))))))</f>
        <v>1</v>
      </c>
      <c r="H8591" s="370">
        <v>12574.449890136719</v>
      </c>
      <c r="I8591" s="370">
        <v>3829.7250061035156</v>
      </c>
      <c r="M8591" s="371">
        <f t="shared" si="537"/>
        <v>13144.716948718748</v>
      </c>
      <c r="N8591" s="329">
        <f t="shared" si="538"/>
        <v>57.390039062500364</v>
      </c>
      <c r="T8591" s="331">
        <v>0</v>
      </c>
      <c r="U8591" s="328">
        <f>VLOOKUP(C8591,METADATA!$J$5:$Q$29,IF(E8591="HI",2,IF(E8591="LO",6,10))+IF(T8591=1,2,IF(D8591=7,1,(IF(WEEKDAY(B8591)=1,2,IF(WEEKDAY(B8591)=7,1,0))))))</f>
        <v>1</v>
      </c>
      <c r="V8591" s="328">
        <f>VLOOKUP(C8591,METADATA!$A$5:$H$29,IF(E8591="HI",2,IF(E8591="LO",6,10))+IF(T8591=1,2,IF(D8591=7,1,(IF(WEEKDAY(B8591)=1,2,IF(WEEKDAY(B8591)=7,1,0))))))</f>
        <v>1</v>
      </c>
    </row>
    <row r="8592" spans="2:22">
      <c r="B8592" s="318">
        <f t="shared" si="535"/>
        <v>46470</v>
      </c>
      <c r="C8592" s="312">
        <v>20</v>
      </c>
      <c r="D8592" s="368">
        <f>IFERROR((INDEX(METADATA!$T$2:$T$20,MATCH(B8592,METADATA!$S$2:$S$20,0))),0)</f>
        <v>0</v>
      </c>
      <c r="E8592" s="312" t="str">
        <f t="shared" si="536"/>
        <v>LO</v>
      </c>
      <c r="F8592" s="369">
        <f>VLOOKUP(C8592,METADATA!$A$5:$H$29,IF(E8592="HI",2,IF(E8592="LO",6,10))+IF(D8592=1,2,IF(D8592=7,1,(IF(WEEKDAY(B8592)=1,2,IF(WEEKDAY(B8592)=7,1,0))))))</f>
        <v>1</v>
      </c>
      <c r="G8592" s="369">
        <f>VLOOKUP(C8592,METADATA!$J$5:$Q$29,IF(E8592="HI",2,IF(E8592="LO",6,10))+IF(D8592=1,2,IF(D8592=7,1,(IF(WEEKDAY(B8592)=1,2,IF(WEEKDAY(B8592)=7,1,0))))))</f>
        <v>1</v>
      </c>
      <c r="H8592" s="370">
        <v>12549.499816894531</v>
      </c>
      <c r="I8592" s="370">
        <v>3774.5749664306641</v>
      </c>
      <c r="M8592" s="371">
        <f t="shared" si="537"/>
        <v>13104.860237005236</v>
      </c>
      <c r="N8592" s="329">
        <f t="shared" si="538"/>
        <v>9.7250213623046875</v>
      </c>
      <c r="T8592" s="331">
        <v>0</v>
      </c>
      <c r="U8592" s="328">
        <f>VLOOKUP(C8592,METADATA!$J$5:$Q$29,IF(E8592="HI",2,IF(E8592="LO",6,10))+IF(T8592=1,2,IF(D8592=7,1,(IF(WEEKDAY(B8592)=1,2,IF(WEEKDAY(B8592)=7,1,0))))))</f>
        <v>1</v>
      </c>
      <c r="V8592" s="328">
        <f>VLOOKUP(C8592,METADATA!$A$5:$H$29,IF(E8592="HI",2,IF(E8592="LO",6,10))+IF(T8592=1,2,IF(D8592=7,1,(IF(WEEKDAY(B8592)=1,2,IF(WEEKDAY(B8592)=7,1,0))))))</f>
        <v>1</v>
      </c>
    </row>
    <row r="8593" spans="2:22">
      <c r="B8593" s="318">
        <f t="shared" si="535"/>
        <v>46470</v>
      </c>
      <c r="C8593" s="312">
        <v>21</v>
      </c>
      <c r="D8593" s="368">
        <f>IFERROR((INDEX(METADATA!$T$2:$T$20,MATCH(B8593,METADATA!$S$2:$S$20,0))),0)</f>
        <v>0</v>
      </c>
      <c r="E8593" s="312" t="str">
        <f t="shared" si="536"/>
        <v>LO</v>
      </c>
      <c r="F8593" s="369">
        <f>VLOOKUP(C8593,METADATA!$A$5:$H$29,IF(E8593="HI",2,IF(E8593="LO",6,10))+IF(D8593=1,2,IF(D8593=7,1,(IF(WEEKDAY(B8593)=1,2,IF(WEEKDAY(B8593)=7,1,0))))))</f>
        <v>2</v>
      </c>
      <c r="G8593" s="369">
        <f>VLOOKUP(C8593,METADATA!$J$5:$Q$29,IF(E8593="HI",2,IF(E8593="LO",6,10))+IF(D8593=1,2,IF(D8593=7,1,(IF(WEEKDAY(B8593)=1,2,IF(WEEKDAY(B8593)=7,1,0))))))</f>
        <v>2</v>
      </c>
      <c r="H8593" s="370">
        <v>12611.224975585938</v>
      </c>
      <c r="I8593" s="370">
        <v>3814.1549377441406</v>
      </c>
      <c r="M8593" s="371">
        <f t="shared" si="537"/>
        <v>13175.38512810766</v>
      </c>
      <c r="N8593" s="329">
        <f t="shared" si="538"/>
        <v>30.787445068359375</v>
      </c>
      <c r="T8593" s="331">
        <v>0</v>
      </c>
      <c r="U8593" s="328">
        <f>VLOOKUP(C8593,METADATA!$J$5:$Q$29,IF(E8593="HI",2,IF(E8593="LO",6,10))+IF(T8593=1,2,IF(D8593=7,1,(IF(WEEKDAY(B8593)=1,2,IF(WEEKDAY(B8593)=7,1,0))))))</f>
        <v>2</v>
      </c>
      <c r="V8593" s="328">
        <f>VLOOKUP(C8593,METADATA!$A$5:$H$29,IF(E8593="HI",2,IF(E8593="LO",6,10))+IF(T8593=1,2,IF(D8593=7,1,(IF(WEEKDAY(B8593)=1,2,IF(WEEKDAY(B8593)=7,1,0))))))</f>
        <v>2</v>
      </c>
    </row>
    <row r="8594" spans="2:22">
      <c r="B8594" s="318">
        <f t="shared" si="535"/>
        <v>46470</v>
      </c>
      <c r="C8594" s="312">
        <v>22</v>
      </c>
      <c r="D8594" s="368">
        <f>IFERROR((INDEX(METADATA!$T$2:$T$20,MATCH(B8594,METADATA!$S$2:$S$20,0))),0)</f>
        <v>0</v>
      </c>
      <c r="E8594" s="312" t="str">
        <f t="shared" si="536"/>
        <v>LO</v>
      </c>
      <c r="F8594" s="369">
        <f>VLOOKUP(C8594,METADATA!$A$5:$H$29,IF(E8594="HI",2,IF(E8594="LO",6,10))+IF(D8594=1,2,IF(D8594=7,1,(IF(WEEKDAY(B8594)=1,2,IF(WEEKDAY(B8594)=7,1,0))))))</f>
        <v>3</v>
      </c>
      <c r="G8594" s="369">
        <f>VLOOKUP(C8594,METADATA!$J$5:$Q$29,IF(E8594="HI",2,IF(E8594="LO",6,10))+IF(D8594=1,2,IF(D8594=7,1,(IF(WEEKDAY(B8594)=1,2,IF(WEEKDAY(B8594)=7,1,0))))))</f>
        <v>3</v>
      </c>
      <c r="H8594" s="370">
        <v>12719.200012207031</v>
      </c>
      <c r="I8594" s="370">
        <v>3899.3150634765625</v>
      </c>
      <c r="M8594" s="371">
        <f t="shared" si="537"/>
        <v>13303.484765834199</v>
      </c>
      <c r="N8594" s="329">
        <f t="shared" si="538"/>
        <v>83.555059814453216</v>
      </c>
      <c r="T8594" s="331">
        <v>0</v>
      </c>
      <c r="U8594" s="328">
        <f>VLOOKUP(C8594,METADATA!$J$5:$Q$29,IF(E8594="HI",2,IF(E8594="LO",6,10))+IF(T8594=1,2,IF(D8594=7,1,(IF(WEEKDAY(B8594)=1,2,IF(WEEKDAY(B8594)=7,1,0))))))</f>
        <v>3</v>
      </c>
      <c r="V8594" s="328">
        <f>VLOOKUP(C8594,METADATA!$A$5:$H$29,IF(E8594="HI",2,IF(E8594="LO",6,10))+IF(T8594=1,2,IF(D8594=7,1,(IF(WEEKDAY(B8594)=1,2,IF(WEEKDAY(B8594)=7,1,0))))))</f>
        <v>3</v>
      </c>
    </row>
    <row r="8595" spans="2:22">
      <c r="B8595" s="318">
        <f t="shared" si="535"/>
        <v>46470</v>
      </c>
      <c r="C8595" s="312">
        <v>23</v>
      </c>
      <c r="D8595" s="368">
        <f>IFERROR((INDEX(METADATA!$T$2:$T$20,MATCH(B8595,METADATA!$S$2:$S$20,0))),0)</f>
        <v>0</v>
      </c>
      <c r="E8595" s="312" t="str">
        <f t="shared" si="536"/>
        <v>LO</v>
      </c>
      <c r="F8595" s="369">
        <f>VLOOKUP(C8595,METADATA!$A$5:$H$29,IF(E8595="HI",2,IF(E8595="LO",6,10))+IF(D8595=1,2,IF(D8595=7,1,(IF(WEEKDAY(B8595)=1,2,IF(WEEKDAY(B8595)=7,1,0))))))</f>
        <v>3</v>
      </c>
      <c r="G8595" s="369">
        <f>VLOOKUP(C8595,METADATA!$J$5:$Q$29,IF(E8595="HI",2,IF(E8595="LO",6,10))+IF(D8595=1,2,IF(D8595=7,1,(IF(WEEKDAY(B8595)=1,2,IF(WEEKDAY(B8595)=7,1,0))))))</f>
        <v>3</v>
      </c>
      <c r="H8595" s="370">
        <v>12803.349975585938</v>
      </c>
      <c r="I8595" s="370">
        <v>4000.1300354003906</v>
      </c>
      <c r="M8595" s="371">
        <f t="shared" si="537"/>
        <v>13413.67999086935</v>
      </c>
      <c r="N8595" s="329">
        <f t="shared" si="538"/>
        <v>159.12504272460956</v>
      </c>
      <c r="T8595" s="331">
        <v>0</v>
      </c>
      <c r="U8595" s="328">
        <f>VLOOKUP(C8595,METADATA!$J$5:$Q$29,IF(E8595="HI",2,IF(E8595="LO",6,10))+IF(T8595=1,2,IF(D8595=7,1,(IF(WEEKDAY(B8595)=1,2,IF(WEEKDAY(B8595)=7,1,0))))))</f>
        <v>3</v>
      </c>
      <c r="V8595" s="328">
        <f>VLOOKUP(C8595,METADATA!$A$5:$H$29,IF(E8595="HI",2,IF(E8595="LO",6,10))+IF(T8595=1,2,IF(D8595=7,1,(IF(WEEKDAY(B8595)=1,2,IF(WEEKDAY(B8595)=7,1,0))))))</f>
        <v>3</v>
      </c>
    </row>
    <row r="8596" spans="2:22">
      <c r="B8596" s="318">
        <f t="shared" si="535"/>
        <v>46471</v>
      </c>
      <c r="C8596" s="312">
        <v>0</v>
      </c>
      <c r="D8596" s="368">
        <f>IFERROR((INDEX(METADATA!$T$2:$T$20,MATCH(B8596,METADATA!$S$2:$S$20,0))),0)</f>
        <v>0</v>
      </c>
      <c r="E8596" s="312" t="str">
        <f t="shared" si="536"/>
        <v>LO</v>
      </c>
      <c r="F8596" s="369">
        <f>VLOOKUP(C8596,METADATA!$A$5:$H$29,IF(E8596="HI",2,IF(E8596="LO",6,10))+IF(D8596=1,2,IF(D8596=7,1,(IF(WEEKDAY(B8596)=1,2,IF(WEEKDAY(B8596)=7,1,0))))))</f>
        <v>3</v>
      </c>
      <c r="G8596" s="369">
        <f>VLOOKUP(C8596,METADATA!$J$5:$Q$29,IF(E8596="HI",2,IF(E8596="LO",6,10))+IF(D8596=1,2,IF(D8596=7,1,(IF(WEEKDAY(B8596)=1,2,IF(WEEKDAY(B8596)=7,1,0))))))</f>
        <v>3</v>
      </c>
      <c r="H8596" s="370">
        <v>12799.249633789063</v>
      </c>
      <c r="I8596" s="370">
        <v>4033.9600524902344</v>
      </c>
      <c r="M8596" s="371">
        <f t="shared" si="537"/>
        <v>13419.896605158196</v>
      </c>
      <c r="N8596" s="329">
        <f t="shared" si="538"/>
        <v>194.18516235351581</v>
      </c>
      <c r="T8596" s="331">
        <v>0</v>
      </c>
      <c r="U8596" s="328">
        <f>VLOOKUP(C8596,METADATA!$J$5:$Q$29,IF(E8596="HI",2,IF(E8596="LO",6,10))+IF(T8596=1,2,IF(D8596=7,1,(IF(WEEKDAY(B8596)=1,2,IF(WEEKDAY(B8596)=7,1,0))))))</f>
        <v>3</v>
      </c>
      <c r="V8596" s="328">
        <f>VLOOKUP(C8596,METADATA!$A$5:$H$29,IF(E8596="HI",2,IF(E8596="LO",6,10))+IF(T8596=1,2,IF(D8596=7,1,(IF(WEEKDAY(B8596)=1,2,IF(WEEKDAY(B8596)=7,1,0))))))</f>
        <v>3</v>
      </c>
    </row>
    <row r="8597" spans="2:22">
      <c r="B8597" s="318">
        <f t="shared" si="535"/>
        <v>46471</v>
      </c>
      <c r="C8597" s="312">
        <v>1</v>
      </c>
      <c r="D8597" s="368">
        <f>IFERROR((INDEX(METADATA!$T$2:$T$20,MATCH(B8597,METADATA!$S$2:$S$20,0))),0)</f>
        <v>0</v>
      </c>
      <c r="E8597" s="312" t="str">
        <f t="shared" si="536"/>
        <v>LO</v>
      </c>
      <c r="F8597" s="369">
        <f>VLOOKUP(C8597,METADATA!$A$5:$H$29,IF(E8597="HI",2,IF(E8597="LO",6,10))+IF(D8597=1,2,IF(D8597=7,1,(IF(WEEKDAY(B8597)=1,2,IF(WEEKDAY(B8597)=7,1,0))))))</f>
        <v>3</v>
      </c>
      <c r="G8597" s="369">
        <f>VLOOKUP(C8597,METADATA!$J$5:$Q$29,IF(E8597="HI",2,IF(E8597="LO",6,10))+IF(D8597=1,2,IF(D8597=7,1,(IF(WEEKDAY(B8597)=1,2,IF(WEEKDAY(B8597)=7,1,0))))))</f>
        <v>3</v>
      </c>
      <c r="H8597" s="370">
        <v>12784.427612304688</v>
      </c>
      <c r="I8597" s="370">
        <v>4101.7750549316406</v>
      </c>
      <c r="M8597" s="371">
        <f t="shared" si="537"/>
        <v>13426.322950663669</v>
      </c>
      <c r="N8597" s="329">
        <f t="shared" si="538"/>
        <v>266.44677124023474</v>
      </c>
      <c r="T8597" s="331">
        <v>0</v>
      </c>
      <c r="U8597" s="328">
        <f>VLOOKUP(C8597,METADATA!$J$5:$Q$29,IF(E8597="HI",2,IF(E8597="LO",6,10))+IF(T8597=1,2,IF(D8597=7,1,(IF(WEEKDAY(B8597)=1,2,IF(WEEKDAY(B8597)=7,1,0))))))</f>
        <v>3</v>
      </c>
      <c r="V8597" s="328">
        <f>VLOOKUP(C8597,METADATA!$A$5:$H$29,IF(E8597="HI",2,IF(E8597="LO",6,10))+IF(T8597=1,2,IF(D8597=7,1,(IF(WEEKDAY(B8597)=1,2,IF(WEEKDAY(B8597)=7,1,0))))))</f>
        <v>3</v>
      </c>
    </row>
    <row r="8598" spans="2:22">
      <c r="B8598" s="318">
        <f t="shared" si="535"/>
        <v>46471</v>
      </c>
      <c r="C8598" s="312">
        <v>2</v>
      </c>
      <c r="D8598" s="368">
        <f>IFERROR((INDEX(METADATA!$T$2:$T$20,MATCH(B8598,METADATA!$S$2:$S$20,0))),0)</f>
        <v>0</v>
      </c>
      <c r="E8598" s="312" t="str">
        <f t="shared" si="536"/>
        <v>LO</v>
      </c>
      <c r="F8598" s="369">
        <f>VLOOKUP(C8598,METADATA!$A$5:$H$29,IF(E8598="HI",2,IF(E8598="LO",6,10))+IF(D8598=1,2,IF(D8598=7,1,(IF(WEEKDAY(B8598)=1,2,IF(WEEKDAY(B8598)=7,1,0))))))</f>
        <v>3</v>
      </c>
      <c r="G8598" s="369">
        <f>VLOOKUP(C8598,METADATA!$J$5:$Q$29,IF(E8598="HI",2,IF(E8598="LO",6,10))+IF(D8598=1,2,IF(D8598=7,1,(IF(WEEKDAY(B8598)=1,2,IF(WEEKDAY(B8598)=7,1,0))))))</f>
        <v>3</v>
      </c>
      <c r="H8598" s="370">
        <v>12787.05029296875</v>
      </c>
      <c r="I8598" s="370">
        <v>4164.0749816894531</v>
      </c>
      <c r="M8598" s="371">
        <f t="shared" si="537"/>
        <v>13447.980355727927</v>
      </c>
      <c r="N8598" s="329">
        <f t="shared" si="538"/>
        <v>327.95989379882849</v>
      </c>
      <c r="T8598" s="331">
        <v>0</v>
      </c>
      <c r="U8598" s="328">
        <f>VLOOKUP(C8598,METADATA!$J$5:$Q$29,IF(E8598="HI",2,IF(E8598="LO",6,10))+IF(T8598=1,2,IF(D8598=7,1,(IF(WEEKDAY(B8598)=1,2,IF(WEEKDAY(B8598)=7,1,0))))))</f>
        <v>3</v>
      </c>
      <c r="V8598" s="328">
        <f>VLOOKUP(C8598,METADATA!$A$5:$H$29,IF(E8598="HI",2,IF(E8598="LO",6,10))+IF(T8598=1,2,IF(D8598=7,1,(IF(WEEKDAY(B8598)=1,2,IF(WEEKDAY(B8598)=7,1,0))))))</f>
        <v>3</v>
      </c>
    </row>
    <row r="8599" spans="2:22">
      <c r="B8599" s="318">
        <f t="shared" si="535"/>
        <v>46471</v>
      </c>
      <c r="C8599" s="312">
        <v>3</v>
      </c>
      <c r="D8599" s="368">
        <f>IFERROR((INDEX(METADATA!$T$2:$T$20,MATCH(B8599,METADATA!$S$2:$S$20,0))),0)</f>
        <v>0</v>
      </c>
      <c r="E8599" s="312" t="str">
        <f t="shared" si="536"/>
        <v>LO</v>
      </c>
      <c r="F8599" s="369">
        <f>VLOOKUP(C8599,METADATA!$A$5:$H$29,IF(E8599="HI",2,IF(E8599="LO",6,10))+IF(D8599=1,2,IF(D8599=7,1,(IF(WEEKDAY(B8599)=1,2,IF(WEEKDAY(B8599)=7,1,0))))))</f>
        <v>3</v>
      </c>
      <c r="G8599" s="369">
        <f>VLOOKUP(C8599,METADATA!$J$5:$Q$29,IF(E8599="HI",2,IF(E8599="LO",6,10))+IF(D8599=1,2,IF(D8599=7,1,(IF(WEEKDAY(B8599)=1,2,IF(WEEKDAY(B8599)=7,1,0))))))</f>
        <v>3</v>
      </c>
      <c r="H8599" s="370">
        <v>12726.199951171875</v>
      </c>
      <c r="I8599" s="370">
        <v>4079.4999389648438</v>
      </c>
      <c r="M8599" s="371">
        <f t="shared" si="537"/>
        <v>13364.074414235398</v>
      </c>
      <c r="N8599" s="329">
        <f t="shared" si="538"/>
        <v>261.63995361328125</v>
      </c>
      <c r="T8599" s="331">
        <v>0</v>
      </c>
      <c r="U8599" s="328">
        <f>VLOOKUP(C8599,METADATA!$J$5:$Q$29,IF(E8599="HI",2,IF(E8599="LO",6,10))+IF(T8599=1,2,IF(D8599=7,1,(IF(WEEKDAY(B8599)=1,2,IF(WEEKDAY(B8599)=7,1,0))))))</f>
        <v>3</v>
      </c>
      <c r="V8599" s="328">
        <f>VLOOKUP(C8599,METADATA!$A$5:$H$29,IF(E8599="HI",2,IF(E8599="LO",6,10))+IF(T8599=1,2,IF(D8599=7,1,(IF(WEEKDAY(B8599)=1,2,IF(WEEKDAY(B8599)=7,1,0))))))</f>
        <v>3</v>
      </c>
    </row>
    <row r="8600" spans="2:22">
      <c r="B8600" s="318">
        <f t="shared" si="535"/>
        <v>46471</v>
      </c>
      <c r="C8600" s="312">
        <v>4</v>
      </c>
      <c r="D8600" s="368">
        <f>IFERROR((INDEX(METADATA!$T$2:$T$20,MATCH(B8600,METADATA!$S$2:$S$20,0))),0)</f>
        <v>0</v>
      </c>
      <c r="E8600" s="312" t="str">
        <f t="shared" si="536"/>
        <v>LO</v>
      </c>
      <c r="F8600" s="369">
        <f>VLOOKUP(C8600,METADATA!$A$5:$H$29,IF(E8600="HI",2,IF(E8600="LO",6,10))+IF(D8600=1,2,IF(D8600=7,1,(IF(WEEKDAY(B8600)=1,2,IF(WEEKDAY(B8600)=7,1,0))))))</f>
        <v>3</v>
      </c>
      <c r="G8600" s="369">
        <f>VLOOKUP(C8600,METADATA!$J$5:$Q$29,IF(E8600="HI",2,IF(E8600="LO",6,10))+IF(D8600=1,2,IF(D8600=7,1,(IF(WEEKDAY(B8600)=1,2,IF(WEEKDAY(B8600)=7,1,0))))))</f>
        <v>3</v>
      </c>
      <c r="H8600" s="370">
        <v>12577.925048828125</v>
      </c>
      <c r="I8600" s="370">
        <v>3947.614990234375</v>
      </c>
      <c r="M8600" s="371">
        <f t="shared" si="537"/>
        <v>13182.86246021937</v>
      </c>
      <c r="N8600" s="329">
        <f t="shared" si="538"/>
        <v>174.23747558593777</v>
      </c>
      <c r="T8600" s="331">
        <v>0</v>
      </c>
      <c r="U8600" s="328">
        <f>VLOOKUP(C8600,METADATA!$J$5:$Q$29,IF(E8600="HI",2,IF(E8600="LO",6,10))+IF(T8600=1,2,IF(D8600=7,1,(IF(WEEKDAY(B8600)=1,2,IF(WEEKDAY(B8600)=7,1,0))))))</f>
        <v>3</v>
      </c>
      <c r="V8600" s="328">
        <f>VLOOKUP(C8600,METADATA!$A$5:$H$29,IF(E8600="HI",2,IF(E8600="LO",6,10))+IF(T8600=1,2,IF(D8600=7,1,(IF(WEEKDAY(B8600)=1,2,IF(WEEKDAY(B8600)=7,1,0))))))</f>
        <v>3</v>
      </c>
    </row>
    <row r="8601" spans="2:22">
      <c r="B8601" s="318">
        <f t="shared" si="535"/>
        <v>46471</v>
      </c>
      <c r="C8601" s="312">
        <v>5</v>
      </c>
      <c r="D8601" s="368">
        <f>IFERROR((INDEX(METADATA!$T$2:$T$20,MATCH(B8601,METADATA!$S$2:$S$20,0))),0)</f>
        <v>0</v>
      </c>
      <c r="E8601" s="312" t="str">
        <f t="shared" si="536"/>
        <v>LO</v>
      </c>
      <c r="F8601" s="369">
        <f>VLOOKUP(C8601,METADATA!$A$5:$H$29,IF(E8601="HI",2,IF(E8601="LO",6,10))+IF(D8601=1,2,IF(D8601=7,1,(IF(WEEKDAY(B8601)=1,2,IF(WEEKDAY(B8601)=7,1,0))))))</f>
        <v>3</v>
      </c>
      <c r="G8601" s="369">
        <f>VLOOKUP(C8601,METADATA!$J$5:$Q$29,IF(E8601="HI",2,IF(E8601="LO",6,10))+IF(D8601=1,2,IF(D8601=7,1,(IF(WEEKDAY(B8601)=1,2,IF(WEEKDAY(B8601)=7,1,0))))))</f>
        <v>3</v>
      </c>
      <c r="H8601" s="370">
        <v>12712.549743652344</v>
      </c>
      <c r="I8601" s="370">
        <v>3894.5900268554688</v>
      </c>
      <c r="M8601" s="371">
        <f t="shared" si="537"/>
        <v>13295.741892129125</v>
      </c>
      <c r="N8601" s="329">
        <f t="shared" si="538"/>
        <v>80.825103759765625</v>
      </c>
      <c r="T8601" s="331">
        <v>0</v>
      </c>
      <c r="U8601" s="328">
        <f>VLOOKUP(C8601,METADATA!$J$5:$Q$29,IF(E8601="HI",2,IF(E8601="LO",6,10))+IF(T8601=1,2,IF(D8601=7,1,(IF(WEEKDAY(B8601)=1,2,IF(WEEKDAY(B8601)=7,1,0))))))</f>
        <v>3</v>
      </c>
      <c r="V8601" s="328">
        <f>VLOOKUP(C8601,METADATA!$A$5:$H$29,IF(E8601="HI",2,IF(E8601="LO",6,10))+IF(T8601=1,2,IF(D8601=7,1,(IF(WEEKDAY(B8601)=1,2,IF(WEEKDAY(B8601)=7,1,0))))))</f>
        <v>3</v>
      </c>
    </row>
    <row r="8602" spans="2:22">
      <c r="B8602" s="318">
        <f t="shared" si="535"/>
        <v>46471</v>
      </c>
      <c r="C8602" s="312">
        <v>6</v>
      </c>
      <c r="D8602" s="368">
        <f>IFERROR((INDEX(METADATA!$T$2:$T$20,MATCH(B8602,METADATA!$S$2:$S$20,0))),0)</f>
        <v>0</v>
      </c>
      <c r="E8602" s="312" t="str">
        <f t="shared" si="536"/>
        <v>LO</v>
      </c>
      <c r="F8602" s="369">
        <f>VLOOKUP(C8602,METADATA!$A$5:$H$29,IF(E8602="HI",2,IF(E8602="LO",6,10))+IF(D8602=1,2,IF(D8602=7,1,(IF(WEEKDAY(B8602)=1,2,IF(WEEKDAY(B8602)=7,1,0))))))</f>
        <v>2</v>
      </c>
      <c r="G8602" s="369">
        <f>VLOOKUP(C8602,METADATA!$J$5:$Q$29,IF(E8602="HI",2,IF(E8602="LO",6,10))+IF(D8602=1,2,IF(D8602=7,1,(IF(WEEKDAY(B8602)=1,2,IF(WEEKDAY(B8602)=7,1,0))))))</f>
        <v>2</v>
      </c>
      <c r="H8602" s="370">
        <v>12600.000244140625</v>
      </c>
      <c r="I8602" s="370">
        <v>3836.6149597167969</v>
      </c>
      <c r="M8602" s="371">
        <f t="shared" si="537"/>
        <v>13171.166254415988</v>
      </c>
      <c r="N8602" s="329">
        <f t="shared" si="538"/>
        <v>56.614886474609648</v>
      </c>
      <c r="T8602" s="331">
        <v>0</v>
      </c>
      <c r="U8602" s="328">
        <f>VLOOKUP(C8602,METADATA!$J$5:$Q$29,IF(E8602="HI",2,IF(E8602="LO",6,10))+IF(T8602=1,2,IF(D8602=7,1,(IF(WEEKDAY(B8602)=1,2,IF(WEEKDAY(B8602)=7,1,0))))))</f>
        <v>2</v>
      </c>
      <c r="V8602" s="328">
        <f>VLOOKUP(C8602,METADATA!$A$5:$H$29,IF(E8602="HI",2,IF(E8602="LO",6,10))+IF(T8602=1,2,IF(D8602=7,1,(IF(WEEKDAY(B8602)=1,2,IF(WEEKDAY(B8602)=7,1,0))))))</f>
        <v>2</v>
      </c>
    </row>
    <row r="8603" spans="2:22">
      <c r="B8603" s="318">
        <f t="shared" si="535"/>
        <v>46471</v>
      </c>
      <c r="C8603" s="312">
        <v>7</v>
      </c>
      <c r="D8603" s="368">
        <f>IFERROR((INDEX(METADATA!$T$2:$T$20,MATCH(B8603,METADATA!$S$2:$S$20,0))),0)</f>
        <v>0</v>
      </c>
      <c r="E8603" s="312" t="str">
        <f t="shared" si="536"/>
        <v>LO</v>
      </c>
      <c r="F8603" s="369">
        <f>VLOOKUP(C8603,METADATA!$A$5:$H$29,IF(E8603="HI",2,IF(E8603="LO",6,10))+IF(D8603=1,2,IF(D8603=7,1,(IF(WEEKDAY(B8603)=1,2,IF(WEEKDAY(B8603)=7,1,0))))))</f>
        <v>1</v>
      </c>
      <c r="G8603" s="369">
        <f>VLOOKUP(C8603,METADATA!$J$5:$Q$29,IF(E8603="HI",2,IF(E8603="LO",6,10))+IF(D8603=1,2,IF(D8603=7,1,(IF(WEEKDAY(B8603)=1,2,IF(WEEKDAY(B8603)=7,1,0))))))</f>
        <v>1</v>
      </c>
      <c r="H8603" s="370">
        <v>11936.124938964844</v>
      </c>
      <c r="I8603" s="370">
        <v>3193.8998794555664</v>
      </c>
      <c r="M8603" s="371">
        <f t="shared" si="537"/>
        <v>12356.054184025124</v>
      </c>
      <c r="N8603" s="329">
        <f t="shared" si="538"/>
        <v>0</v>
      </c>
      <c r="T8603" s="331">
        <v>0</v>
      </c>
      <c r="U8603" s="328">
        <f>VLOOKUP(C8603,METADATA!$J$5:$Q$29,IF(E8603="HI",2,IF(E8603="LO",6,10))+IF(T8603=1,2,IF(D8603=7,1,(IF(WEEKDAY(B8603)=1,2,IF(WEEKDAY(B8603)=7,1,0))))))</f>
        <v>1</v>
      </c>
      <c r="V8603" s="328">
        <f>VLOOKUP(C8603,METADATA!$A$5:$H$29,IF(E8603="HI",2,IF(E8603="LO",6,10))+IF(T8603=1,2,IF(D8603=7,1,(IF(WEEKDAY(B8603)=1,2,IF(WEEKDAY(B8603)=7,1,0))))))</f>
        <v>1</v>
      </c>
    </row>
    <row r="8604" spans="2:22">
      <c r="B8604" s="318">
        <f t="shared" ref="B8604:B8667" si="539">B8580+1</f>
        <v>46471</v>
      </c>
      <c r="C8604" s="312">
        <v>8</v>
      </c>
      <c r="D8604" s="368">
        <f>IFERROR((INDEX(METADATA!$T$2:$T$20,MATCH(B8604,METADATA!$S$2:$S$20,0))),0)</f>
        <v>0</v>
      </c>
      <c r="E8604" s="312" t="str">
        <f t="shared" si="536"/>
        <v>LO</v>
      </c>
      <c r="F8604" s="369">
        <f>VLOOKUP(C8604,METADATA!$A$5:$H$29,IF(E8604="HI",2,IF(E8604="LO",6,10))+IF(D8604=1,2,IF(D8604=7,1,(IF(WEEKDAY(B8604)=1,2,IF(WEEKDAY(B8604)=7,1,0))))))</f>
        <v>1</v>
      </c>
      <c r="G8604" s="369">
        <f>VLOOKUP(C8604,METADATA!$J$5:$Q$29,IF(E8604="HI",2,IF(E8604="LO",6,10))+IF(D8604=1,2,IF(D8604=7,1,(IF(WEEKDAY(B8604)=1,2,IF(WEEKDAY(B8604)=7,1,0))))))</f>
        <v>1</v>
      </c>
      <c r="H8604" s="370">
        <v>11510.97509765625</v>
      </c>
      <c r="I8604" s="370">
        <v>2768.039942741394</v>
      </c>
      <c r="M8604" s="371">
        <f t="shared" si="537"/>
        <v>11839.11283937585</v>
      </c>
      <c r="N8604" s="329">
        <f t="shared" si="538"/>
        <v>0</v>
      </c>
      <c r="T8604" s="331">
        <v>0</v>
      </c>
      <c r="U8604" s="328">
        <f>VLOOKUP(C8604,METADATA!$J$5:$Q$29,IF(E8604="HI",2,IF(E8604="LO",6,10))+IF(T8604=1,2,IF(D8604=7,1,(IF(WEEKDAY(B8604)=1,2,IF(WEEKDAY(B8604)=7,1,0))))))</f>
        <v>1</v>
      </c>
      <c r="V8604" s="328">
        <f>VLOOKUP(C8604,METADATA!$A$5:$H$29,IF(E8604="HI",2,IF(E8604="LO",6,10))+IF(T8604=1,2,IF(D8604=7,1,(IF(WEEKDAY(B8604)=1,2,IF(WEEKDAY(B8604)=7,1,0))))))</f>
        <v>1</v>
      </c>
    </row>
    <row r="8605" spans="2:22">
      <c r="B8605" s="318">
        <f t="shared" si="539"/>
        <v>46471</v>
      </c>
      <c r="C8605" s="312">
        <v>9</v>
      </c>
      <c r="D8605" s="368">
        <f>IFERROR((INDEX(METADATA!$T$2:$T$20,MATCH(B8605,METADATA!$S$2:$S$20,0))),0)</f>
        <v>0</v>
      </c>
      <c r="E8605" s="312" t="str">
        <f t="shared" si="536"/>
        <v>LO</v>
      </c>
      <c r="F8605" s="369">
        <f>VLOOKUP(C8605,METADATA!$A$5:$H$29,IF(E8605="HI",2,IF(E8605="LO",6,10))+IF(D8605=1,2,IF(D8605=7,1,(IF(WEEKDAY(B8605)=1,2,IF(WEEKDAY(B8605)=7,1,0))))))</f>
        <v>2</v>
      </c>
      <c r="G8605" s="369">
        <f>VLOOKUP(C8605,METADATA!$J$5:$Q$29,IF(E8605="HI",2,IF(E8605="LO",6,10))+IF(D8605=1,2,IF(D8605=7,1,(IF(WEEKDAY(B8605)=1,2,IF(WEEKDAY(B8605)=7,1,0))))))</f>
        <v>2</v>
      </c>
      <c r="H8605" s="370">
        <v>11152.9248046875</v>
      </c>
      <c r="I8605" s="370">
        <v>2614.9100751876831</v>
      </c>
      <c r="M8605" s="371">
        <f t="shared" si="537"/>
        <v>11455.369326230026</v>
      </c>
      <c r="N8605" s="329">
        <f t="shared" si="538"/>
        <v>0</v>
      </c>
      <c r="T8605" s="331">
        <v>0</v>
      </c>
      <c r="U8605" s="328">
        <f>VLOOKUP(C8605,METADATA!$J$5:$Q$29,IF(E8605="HI",2,IF(E8605="LO",6,10))+IF(T8605=1,2,IF(D8605=7,1,(IF(WEEKDAY(B8605)=1,2,IF(WEEKDAY(B8605)=7,1,0))))))</f>
        <v>2</v>
      </c>
      <c r="V8605" s="328">
        <f>VLOOKUP(C8605,METADATA!$A$5:$H$29,IF(E8605="HI",2,IF(E8605="LO",6,10))+IF(T8605=1,2,IF(D8605=7,1,(IF(WEEKDAY(B8605)=1,2,IF(WEEKDAY(B8605)=7,1,0))))))</f>
        <v>2</v>
      </c>
    </row>
    <row r="8606" spans="2:22">
      <c r="B8606" s="318">
        <f t="shared" si="539"/>
        <v>46471</v>
      </c>
      <c r="C8606" s="312">
        <v>10</v>
      </c>
      <c r="D8606" s="368">
        <f>IFERROR((INDEX(METADATA!$T$2:$T$20,MATCH(B8606,METADATA!$S$2:$S$20,0))),0)</f>
        <v>0</v>
      </c>
      <c r="E8606" s="312" t="str">
        <f t="shared" si="536"/>
        <v>LO</v>
      </c>
      <c r="F8606" s="369">
        <f>VLOOKUP(C8606,METADATA!$A$5:$H$29,IF(E8606="HI",2,IF(E8606="LO",6,10))+IF(D8606=1,2,IF(D8606=7,1,(IF(WEEKDAY(B8606)=1,2,IF(WEEKDAY(B8606)=7,1,0))))))</f>
        <v>2</v>
      </c>
      <c r="G8606" s="369">
        <f>VLOOKUP(C8606,METADATA!$J$5:$Q$29,IF(E8606="HI",2,IF(E8606="LO",6,10))+IF(D8606=1,2,IF(D8606=7,1,(IF(WEEKDAY(B8606)=1,2,IF(WEEKDAY(B8606)=7,1,0))))))</f>
        <v>2</v>
      </c>
      <c r="H8606" s="370">
        <v>10927.325012207031</v>
      </c>
      <c r="I8606" s="370">
        <v>2402.9450187683105</v>
      </c>
      <c r="M8606" s="371">
        <f t="shared" si="537"/>
        <v>11188.412607945276</v>
      </c>
      <c r="N8606" s="329">
        <f t="shared" si="538"/>
        <v>0</v>
      </c>
      <c r="T8606" s="331">
        <v>0</v>
      </c>
      <c r="U8606" s="328">
        <f>VLOOKUP(C8606,METADATA!$J$5:$Q$29,IF(E8606="HI",2,IF(E8606="LO",6,10))+IF(T8606=1,2,IF(D8606=7,1,(IF(WEEKDAY(B8606)=1,2,IF(WEEKDAY(B8606)=7,1,0))))))</f>
        <v>2</v>
      </c>
      <c r="V8606" s="328">
        <f>VLOOKUP(C8606,METADATA!$A$5:$H$29,IF(E8606="HI",2,IF(E8606="LO",6,10))+IF(T8606=1,2,IF(D8606=7,1,(IF(WEEKDAY(B8606)=1,2,IF(WEEKDAY(B8606)=7,1,0))))))</f>
        <v>2</v>
      </c>
    </row>
    <row r="8607" spans="2:22">
      <c r="B8607" s="318">
        <f t="shared" si="539"/>
        <v>46471</v>
      </c>
      <c r="C8607" s="312">
        <v>11</v>
      </c>
      <c r="D8607" s="368">
        <f>IFERROR((INDEX(METADATA!$T$2:$T$20,MATCH(B8607,METADATA!$S$2:$S$20,0))),0)</f>
        <v>0</v>
      </c>
      <c r="E8607" s="312" t="str">
        <f t="shared" si="536"/>
        <v>LO</v>
      </c>
      <c r="F8607" s="369">
        <f>VLOOKUP(C8607,METADATA!$A$5:$H$29,IF(E8607="HI",2,IF(E8607="LO",6,10))+IF(D8607=1,2,IF(D8607=7,1,(IF(WEEKDAY(B8607)=1,2,IF(WEEKDAY(B8607)=7,1,0))))))</f>
        <v>2</v>
      </c>
      <c r="G8607" s="369">
        <f>VLOOKUP(C8607,METADATA!$J$5:$Q$29,IF(E8607="HI",2,IF(E8607="LO",6,10))+IF(D8607=1,2,IF(D8607=7,1,(IF(WEEKDAY(B8607)=1,2,IF(WEEKDAY(B8607)=7,1,0))))))</f>
        <v>2</v>
      </c>
      <c r="H8607" s="370">
        <v>11411.175048828125</v>
      </c>
      <c r="I8607" s="370">
        <v>2766.7000350952148</v>
      </c>
      <c r="M8607" s="371">
        <f t="shared" si="537"/>
        <v>11741.786281447701</v>
      </c>
      <c r="N8607" s="329">
        <f t="shared" si="538"/>
        <v>0</v>
      </c>
      <c r="T8607" s="331">
        <v>0</v>
      </c>
      <c r="U8607" s="328">
        <f>VLOOKUP(C8607,METADATA!$J$5:$Q$29,IF(E8607="HI",2,IF(E8607="LO",6,10))+IF(T8607=1,2,IF(D8607=7,1,(IF(WEEKDAY(B8607)=1,2,IF(WEEKDAY(B8607)=7,1,0))))))</f>
        <v>2</v>
      </c>
      <c r="V8607" s="328">
        <f>VLOOKUP(C8607,METADATA!$A$5:$H$29,IF(E8607="HI",2,IF(E8607="LO",6,10))+IF(T8607=1,2,IF(D8607=7,1,(IF(WEEKDAY(B8607)=1,2,IF(WEEKDAY(B8607)=7,1,0))))))</f>
        <v>2</v>
      </c>
    </row>
    <row r="8608" spans="2:22">
      <c r="B8608" s="318">
        <f t="shared" si="539"/>
        <v>46471</v>
      </c>
      <c r="C8608" s="312">
        <v>12</v>
      </c>
      <c r="D8608" s="368">
        <f>IFERROR((INDEX(METADATA!$T$2:$T$20,MATCH(B8608,METADATA!$S$2:$S$20,0))),0)</f>
        <v>0</v>
      </c>
      <c r="E8608" s="312" t="str">
        <f t="shared" si="536"/>
        <v>LO</v>
      </c>
      <c r="F8608" s="369">
        <f>VLOOKUP(C8608,METADATA!$A$5:$H$29,IF(E8608="HI",2,IF(E8608="LO",6,10))+IF(D8608=1,2,IF(D8608=7,1,(IF(WEEKDAY(B8608)=1,2,IF(WEEKDAY(B8608)=7,1,0))))))</f>
        <v>2</v>
      </c>
      <c r="G8608" s="369">
        <f>VLOOKUP(C8608,METADATA!$J$5:$Q$29,IF(E8608="HI",2,IF(E8608="LO",6,10))+IF(D8608=1,2,IF(D8608=7,1,(IF(WEEKDAY(B8608)=1,2,IF(WEEKDAY(B8608)=7,1,0))))))</f>
        <v>2</v>
      </c>
      <c r="H8608" s="370">
        <v>11659.424987792969</v>
      </c>
      <c r="I8608" s="370">
        <v>2855.3699855804443</v>
      </c>
      <c r="M8608" s="371">
        <f t="shared" si="537"/>
        <v>12003.971376195661</v>
      </c>
      <c r="N8608" s="329">
        <f t="shared" si="538"/>
        <v>0</v>
      </c>
      <c r="T8608" s="331">
        <v>0</v>
      </c>
      <c r="U8608" s="328">
        <f>VLOOKUP(C8608,METADATA!$J$5:$Q$29,IF(E8608="HI",2,IF(E8608="LO",6,10))+IF(T8608=1,2,IF(D8608=7,1,(IF(WEEKDAY(B8608)=1,2,IF(WEEKDAY(B8608)=7,1,0))))))</f>
        <v>2</v>
      </c>
      <c r="V8608" s="328">
        <f>VLOOKUP(C8608,METADATA!$A$5:$H$29,IF(E8608="HI",2,IF(E8608="LO",6,10))+IF(T8608=1,2,IF(D8608=7,1,(IF(WEEKDAY(B8608)=1,2,IF(WEEKDAY(B8608)=7,1,0))))))</f>
        <v>2</v>
      </c>
    </row>
    <row r="8609" spans="2:22">
      <c r="B8609" s="318">
        <f t="shared" si="539"/>
        <v>46471</v>
      </c>
      <c r="C8609" s="312">
        <v>13</v>
      </c>
      <c r="D8609" s="368">
        <f>IFERROR((INDEX(METADATA!$T$2:$T$20,MATCH(B8609,METADATA!$S$2:$S$20,0))),0)</f>
        <v>0</v>
      </c>
      <c r="E8609" s="312" t="str">
        <f t="shared" si="536"/>
        <v>LO</v>
      </c>
      <c r="F8609" s="369">
        <f>VLOOKUP(C8609,METADATA!$A$5:$H$29,IF(E8609="HI",2,IF(E8609="LO",6,10))+IF(D8609=1,2,IF(D8609=7,1,(IF(WEEKDAY(B8609)=1,2,IF(WEEKDAY(B8609)=7,1,0))))))</f>
        <v>2</v>
      </c>
      <c r="G8609" s="369">
        <f>VLOOKUP(C8609,METADATA!$J$5:$Q$29,IF(E8609="HI",2,IF(E8609="LO",6,10))+IF(D8609=1,2,IF(D8609=7,1,(IF(WEEKDAY(B8609)=1,2,IF(WEEKDAY(B8609)=7,1,0))))))</f>
        <v>2</v>
      </c>
      <c r="H8609" s="370">
        <v>10637.899963378906</v>
      </c>
      <c r="I8609" s="370">
        <v>2798.1649236679077</v>
      </c>
      <c r="M8609" s="371">
        <f t="shared" si="537"/>
        <v>10999.756477799969</v>
      </c>
      <c r="N8609" s="329">
        <f t="shared" si="538"/>
        <v>0</v>
      </c>
      <c r="T8609" s="331">
        <v>0</v>
      </c>
      <c r="U8609" s="328">
        <f>VLOOKUP(C8609,METADATA!$J$5:$Q$29,IF(E8609="HI",2,IF(E8609="LO",6,10))+IF(T8609=1,2,IF(D8609=7,1,(IF(WEEKDAY(B8609)=1,2,IF(WEEKDAY(B8609)=7,1,0))))))</f>
        <v>2</v>
      </c>
      <c r="V8609" s="328">
        <f>VLOOKUP(C8609,METADATA!$A$5:$H$29,IF(E8609="HI",2,IF(E8609="LO",6,10))+IF(T8609=1,2,IF(D8609=7,1,(IF(WEEKDAY(B8609)=1,2,IF(WEEKDAY(B8609)=7,1,0))))))</f>
        <v>2</v>
      </c>
    </row>
    <row r="8610" spans="2:22">
      <c r="B8610" s="318">
        <f t="shared" si="539"/>
        <v>46471</v>
      </c>
      <c r="C8610" s="312">
        <v>14</v>
      </c>
      <c r="D8610" s="368">
        <f>IFERROR((INDEX(METADATA!$T$2:$T$20,MATCH(B8610,METADATA!$S$2:$S$20,0))),0)</f>
        <v>0</v>
      </c>
      <c r="E8610" s="312" t="str">
        <f t="shared" si="536"/>
        <v>LO</v>
      </c>
      <c r="F8610" s="369">
        <f>VLOOKUP(C8610,METADATA!$A$5:$H$29,IF(E8610="HI",2,IF(E8610="LO",6,10))+IF(D8610=1,2,IF(D8610=7,1,(IF(WEEKDAY(B8610)=1,2,IF(WEEKDAY(B8610)=7,1,0))))))</f>
        <v>2</v>
      </c>
      <c r="G8610" s="369">
        <f>VLOOKUP(C8610,METADATA!$J$5:$Q$29,IF(E8610="HI",2,IF(E8610="LO",6,10))+IF(D8610=1,2,IF(D8610=7,1,(IF(WEEKDAY(B8610)=1,2,IF(WEEKDAY(B8610)=7,1,0))))))</f>
        <v>2</v>
      </c>
      <c r="H8610" s="370">
        <v>5256.9800415039063</v>
      </c>
      <c r="I8610" s="370">
        <v>1905.0874938964844</v>
      </c>
      <c r="M8610" s="371">
        <f t="shared" si="537"/>
        <v>5591.5290856948241</v>
      </c>
      <c r="N8610" s="329">
        <f t="shared" si="538"/>
        <v>327.99348144531245</v>
      </c>
      <c r="T8610" s="331">
        <v>0</v>
      </c>
      <c r="U8610" s="328">
        <f>VLOOKUP(C8610,METADATA!$J$5:$Q$29,IF(E8610="HI",2,IF(E8610="LO",6,10))+IF(T8610=1,2,IF(D8610=7,1,(IF(WEEKDAY(B8610)=1,2,IF(WEEKDAY(B8610)=7,1,0))))))</f>
        <v>2</v>
      </c>
      <c r="V8610" s="328">
        <f>VLOOKUP(C8610,METADATA!$A$5:$H$29,IF(E8610="HI",2,IF(E8610="LO",6,10))+IF(T8610=1,2,IF(D8610=7,1,(IF(WEEKDAY(B8610)=1,2,IF(WEEKDAY(B8610)=7,1,0))))))</f>
        <v>2</v>
      </c>
    </row>
    <row r="8611" spans="2:22">
      <c r="B8611" s="318">
        <f t="shared" si="539"/>
        <v>46471</v>
      </c>
      <c r="C8611" s="312">
        <v>15</v>
      </c>
      <c r="D8611" s="368">
        <f>IFERROR((INDEX(METADATA!$T$2:$T$20,MATCH(B8611,METADATA!$S$2:$S$20,0))),0)</f>
        <v>0</v>
      </c>
      <c r="E8611" s="312" t="str">
        <f t="shared" si="536"/>
        <v>LO</v>
      </c>
      <c r="F8611" s="369">
        <f>VLOOKUP(C8611,METADATA!$A$5:$H$29,IF(E8611="HI",2,IF(E8611="LO",6,10))+IF(D8611=1,2,IF(D8611=7,1,(IF(WEEKDAY(B8611)=1,2,IF(WEEKDAY(B8611)=7,1,0))))))</f>
        <v>2</v>
      </c>
      <c r="G8611" s="369">
        <f>VLOOKUP(C8611,METADATA!$J$5:$Q$29,IF(E8611="HI",2,IF(E8611="LO",6,10))+IF(D8611=1,2,IF(D8611=7,1,(IF(WEEKDAY(B8611)=1,2,IF(WEEKDAY(B8611)=7,1,0))))))</f>
        <v>2</v>
      </c>
      <c r="H8611" s="370">
        <v>4370.2325134277344</v>
      </c>
      <c r="I8611" s="370">
        <v>1477.8700256347656</v>
      </c>
      <c r="M8611" s="371">
        <f t="shared" si="537"/>
        <v>4613.3536645363092</v>
      </c>
      <c r="N8611" s="329">
        <f t="shared" si="538"/>
        <v>166.80027160644545</v>
      </c>
      <c r="T8611" s="331">
        <v>0</v>
      </c>
      <c r="U8611" s="328">
        <f>VLOOKUP(C8611,METADATA!$J$5:$Q$29,IF(E8611="HI",2,IF(E8611="LO",6,10))+IF(T8611=1,2,IF(D8611=7,1,(IF(WEEKDAY(B8611)=1,2,IF(WEEKDAY(B8611)=7,1,0))))))</f>
        <v>2</v>
      </c>
      <c r="V8611" s="328">
        <f>VLOOKUP(C8611,METADATA!$A$5:$H$29,IF(E8611="HI",2,IF(E8611="LO",6,10))+IF(T8611=1,2,IF(D8611=7,1,(IF(WEEKDAY(B8611)=1,2,IF(WEEKDAY(B8611)=7,1,0))))))</f>
        <v>2</v>
      </c>
    </row>
    <row r="8612" spans="2:22">
      <c r="B8612" s="318">
        <f t="shared" si="539"/>
        <v>46471</v>
      </c>
      <c r="C8612" s="312">
        <v>16</v>
      </c>
      <c r="D8612" s="368">
        <f>IFERROR((INDEX(METADATA!$T$2:$T$20,MATCH(B8612,METADATA!$S$2:$S$20,0))),0)</f>
        <v>0</v>
      </c>
      <c r="E8612" s="312" t="str">
        <f t="shared" si="536"/>
        <v>LO</v>
      </c>
      <c r="F8612" s="369">
        <f>VLOOKUP(C8612,METADATA!$A$5:$H$29,IF(E8612="HI",2,IF(E8612="LO",6,10))+IF(D8612=1,2,IF(D8612=7,1,(IF(WEEKDAY(B8612)=1,2,IF(WEEKDAY(B8612)=7,1,0))))))</f>
        <v>2</v>
      </c>
      <c r="G8612" s="369">
        <f>VLOOKUP(C8612,METADATA!$J$5:$Q$29,IF(E8612="HI",2,IF(E8612="LO",6,10))+IF(D8612=1,2,IF(D8612=7,1,(IF(WEEKDAY(B8612)=1,2,IF(WEEKDAY(B8612)=7,1,0))))))</f>
        <v>2</v>
      </c>
      <c r="H8612" s="370">
        <v>4836.8949584960938</v>
      </c>
      <c r="I8612" s="370">
        <v>1433.3750305175781</v>
      </c>
      <c r="M8612" s="371">
        <f t="shared" si="537"/>
        <v>5044.8108802646102</v>
      </c>
      <c r="N8612" s="329">
        <f t="shared" si="538"/>
        <v>0</v>
      </c>
      <c r="T8612" s="331">
        <v>0</v>
      </c>
      <c r="U8612" s="328">
        <f>VLOOKUP(C8612,METADATA!$J$5:$Q$29,IF(E8612="HI",2,IF(E8612="LO",6,10))+IF(T8612=1,2,IF(D8612=7,1,(IF(WEEKDAY(B8612)=1,2,IF(WEEKDAY(B8612)=7,1,0))))))</f>
        <v>2</v>
      </c>
      <c r="V8612" s="328">
        <f>VLOOKUP(C8612,METADATA!$A$5:$H$29,IF(E8612="HI",2,IF(E8612="LO",6,10))+IF(T8612=1,2,IF(D8612=7,1,(IF(WEEKDAY(B8612)=1,2,IF(WEEKDAY(B8612)=7,1,0))))))</f>
        <v>2</v>
      </c>
    </row>
    <row r="8613" spans="2:22">
      <c r="B8613" s="318">
        <f t="shared" si="539"/>
        <v>46471</v>
      </c>
      <c r="C8613" s="312">
        <v>17</v>
      </c>
      <c r="D8613" s="368">
        <f>IFERROR((INDEX(METADATA!$T$2:$T$20,MATCH(B8613,METADATA!$S$2:$S$20,0))),0)</f>
        <v>0</v>
      </c>
      <c r="E8613" s="312" t="str">
        <f t="shared" si="536"/>
        <v>LO</v>
      </c>
      <c r="F8613" s="369">
        <f>VLOOKUP(C8613,METADATA!$A$5:$H$29,IF(E8613="HI",2,IF(E8613="LO",6,10))+IF(D8613=1,2,IF(D8613=7,1,(IF(WEEKDAY(B8613)=1,2,IF(WEEKDAY(B8613)=7,1,0))))))</f>
        <v>2</v>
      </c>
      <c r="G8613" s="369">
        <f>VLOOKUP(C8613,METADATA!$J$5:$Q$29,IF(E8613="HI",2,IF(E8613="LO",6,10))+IF(D8613=1,2,IF(D8613=7,1,(IF(WEEKDAY(B8613)=1,2,IF(WEEKDAY(B8613)=7,1,0))))))</f>
        <v>2</v>
      </c>
      <c r="H8613" s="370">
        <v>8301.1948852539063</v>
      </c>
      <c r="I8613" s="370">
        <v>1507.2975023984909</v>
      </c>
      <c r="M8613" s="371">
        <f t="shared" si="537"/>
        <v>8436.92967161054</v>
      </c>
      <c r="N8613" s="329">
        <f t="shared" si="538"/>
        <v>0</v>
      </c>
      <c r="T8613" s="331">
        <v>0</v>
      </c>
      <c r="U8613" s="328">
        <f>VLOOKUP(C8613,METADATA!$J$5:$Q$29,IF(E8613="HI",2,IF(E8613="LO",6,10))+IF(T8613=1,2,IF(D8613=7,1,(IF(WEEKDAY(B8613)=1,2,IF(WEEKDAY(B8613)=7,1,0))))))</f>
        <v>2</v>
      </c>
      <c r="V8613" s="328">
        <f>VLOOKUP(C8613,METADATA!$A$5:$H$29,IF(E8613="HI",2,IF(E8613="LO",6,10))+IF(T8613=1,2,IF(D8613=7,1,(IF(WEEKDAY(B8613)=1,2,IF(WEEKDAY(B8613)=7,1,0))))))</f>
        <v>2</v>
      </c>
    </row>
    <row r="8614" spans="2:22">
      <c r="B8614" s="318">
        <f t="shared" si="539"/>
        <v>46471</v>
      </c>
      <c r="C8614" s="312">
        <v>18</v>
      </c>
      <c r="D8614" s="368">
        <f>IFERROR((INDEX(METADATA!$T$2:$T$20,MATCH(B8614,METADATA!$S$2:$S$20,0))),0)</f>
        <v>0</v>
      </c>
      <c r="E8614" s="312" t="str">
        <f t="shared" si="536"/>
        <v>LO</v>
      </c>
      <c r="F8614" s="369">
        <f>VLOOKUP(C8614,METADATA!$A$5:$H$29,IF(E8614="HI",2,IF(E8614="LO",6,10))+IF(D8614=1,2,IF(D8614=7,1,(IF(WEEKDAY(B8614)=1,2,IF(WEEKDAY(B8614)=7,1,0))))))</f>
        <v>1</v>
      </c>
      <c r="G8614" s="369">
        <f>VLOOKUP(C8614,METADATA!$J$5:$Q$29,IF(E8614="HI",2,IF(E8614="LO",6,10))+IF(D8614=1,2,IF(D8614=7,1,(IF(WEEKDAY(B8614)=1,2,IF(WEEKDAY(B8614)=7,1,0))))))</f>
        <v>1</v>
      </c>
      <c r="H8614" s="370">
        <v>9780.5575256347656</v>
      </c>
      <c r="I8614" s="370">
        <v>1964.9099731445313</v>
      </c>
      <c r="M8614" s="371">
        <f t="shared" si="537"/>
        <v>9975.9799876911184</v>
      </c>
      <c r="N8614" s="329">
        <f t="shared" si="538"/>
        <v>0</v>
      </c>
      <c r="T8614" s="331">
        <v>0</v>
      </c>
      <c r="U8614" s="328">
        <f>VLOOKUP(C8614,METADATA!$J$5:$Q$29,IF(E8614="HI",2,IF(E8614="LO",6,10))+IF(T8614=1,2,IF(D8614=7,1,(IF(WEEKDAY(B8614)=1,2,IF(WEEKDAY(B8614)=7,1,0))))))</f>
        <v>1</v>
      </c>
      <c r="V8614" s="328">
        <f>VLOOKUP(C8614,METADATA!$A$5:$H$29,IF(E8614="HI",2,IF(E8614="LO",6,10))+IF(T8614=1,2,IF(D8614=7,1,(IF(WEEKDAY(B8614)=1,2,IF(WEEKDAY(B8614)=7,1,0))))))</f>
        <v>1</v>
      </c>
    </row>
    <row r="8615" spans="2:22">
      <c r="B8615" s="318">
        <f t="shared" si="539"/>
        <v>46471</v>
      </c>
      <c r="C8615" s="312">
        <v>19</v>
      </c>
      <c r="D8615" s="368">
        <f>IFERROR((INDEX(METADATA!$T$2:$T$20,MATCH(B8615,METADATA!$S$2:$S$20,0))),0)</f>
        <v>0</v>
      </c>
      <c r="E8615" s="312" t="str">
        <f t="shared" si="536"/>
        <v>LO</v>
      </c>
      <c r="F8615" s="369">
        <f>VLOOKUP(C8615,METADATA!$A$5:$H$29,IF(E8615="HI",2,IF(E8615="LO",6,10))+IF(D8615=1,2,IF(D8615=7,1,(IF(WEEKDAY(B8615)=1,2,IF(WEEKDAY(B8615)=7,1,0))))))</f>
        <v>1</v>
      </c>
      <c r="G8615" s="369">
        <f>VLOOKUP(C8615,METADATA!$J$5:$Q$29,IF(E8615="HI",2,IF(E8615="LO",6,10))+IF(D8615=1,2,IF(D8615=7,1,(IF(WEEKDAY(B8615)=1,2,IF(WEEKDAY(B8615)=7,1,0))))))</f>
        <v>1</v>
      </c>
      <c r="H8615" s="370">
        <v>11069.075134277344</v>
      </c>
      <c r="I8615" s="370">
        <v>2656.2299874722958</v>
      </c>
      <c r="M8615" s="371">
        <f t="shared" si="537"/>
        <v>11383.32034490043</v>
      </c>
      <c r="N8615" s="329">
        <f t="shared" si="538"/>
        <v>0</v>
      </c>
      <c r="T8615" s="331">
        <v>0</v>
      </c>
      <c r="U8615" s="328">
        <f>VLOOKUP(C8615,METADATA!$J$5:$Q$29,IF(E8615="HI",2,IF(E8615="LO",6,10))+IF(T8615=1,2,IF(D8615=7,1,(IF(WEEKDAY(B8615)=1,2,IF(WEEKDAY(B8615)=7,1,0))))))</f>
        <v>1</v>
      </c>
      <c r="V8615" s="328">
        <f>VLOOKUP(C8615,METADATA!$A$5:$H$29,IF(E8615="HI",2,IF(E8615="LO",6,10))+IF(T8615=1,2,IF(D8615=7,1,(IF(WEEKDAY(B8615)=1,2,IF(WEEKDAY(B8615)=7,1,0))))))</f>
        <v>1</v>
      </c>
    </row>
    <row r="8616" spans="2:22">
      <c r="B8616" s="318">
        <f t="shared" si="539"/>
        <v>46471</v>
      </c>
      <c r="C8616" s="312">
        <v>20</v>
      </c>
      <c r="D8616" s="368">
        <f>IFERROR((INDEX(METADATA!$T$2:$T$20,MATCH(B8616,METADATA!$S$2:$S$20,0))),0)</f>
        <v>0</v>
      </c>
      <c r="E8616" s="312" t="str">
        <f t="shared" si="536"/>
        <v>LO</v>
      </c>
      <c r="F8616" s="369">
        <f>VLOOKUP(C8616,METADATA!$A$5:$H$29,IF(E8616="HI",2,IF(E8616="LO",6,10))+IF(D8616=1,2,IF(D8616=7,1,(IF(WEEKDAY(B8616)=1,2,IF(WEEKDAY(B8616)=7,1,0))))))</f>
        <v>1</v>
      </c>
      <c r="G8616" s="369">
        <f>VLOOKUP(C8616,METADATA!$J$5:$Q$29,IF(E8616="HI",2,IF(E8616="LO",6,10))+IF(D8616=1,2,IF(D8616=7,1,(IF(WEEKDAY(B8616)=1,2,IF(WEEKDAY(B8616)=7,1,0))))))</f>
        <v>1</v>
      </c>
      <c r="H8616" s="370">
        <v>12219.775024414063</v>
      </c>
      <c r="I8616" s="370">
        <v>3613.0299682617188</v>
      </c>
      <c r="M8616" s="371">
        <f t="shared" si="537"/>
        <v>12742.718987674922</v>
      </c>
      <c r="N8616" s="329">
        <f t="shared" si="538"/>
        <v>0</v>
      </c>
      <c r="T8616" s="331">
        <v>0</v>
      </c>
      <c r="U8616" s="328">
        <f>VLOOKUP(C8616,METADATA!$J$5:$Q$29,IF(E8616="HI",2,IF(E8616="LO",6,10))+IF(T8616=1,2,IF(D8616=7,1,(IF(WEEKDAY(B8616)=1,2,IF(WEEKDAY(B8616)=7,1,0))))))</f>
        <v>1</v>
      </c>
      <c r="V8616" s="328">
        <f>VLOOKUP(C8616,METADATA!$A$5:$H$29,IF(E8616="HI",2,IF(E8616="LO",6,10))+IF(T8616=1,2,IF(D8616=7,1,(IF(WEEKDAY(B8616)=1,2,IF(WEEKDAY(B8616)=7,1,0))))))</f>
        <v>1</v>
      </c>
    </row>
    <row r="8617" spans="2:22">
      <c r="B8617" s="318">
        <f t="shared" si="539"/>
        <v>46471</v>
      </c>
      <c r="C8617" s="312">
        <v>21</v>
      </c>
      <c r="D8617" s="368">
        <f>IFERROR((INDEX(METADATA!$T$2:$T$20,MATCH(B8617,METADATA!$S$2:$S$20,0))),0)</f>
        <v>0</v>
      </c>
      <c r="E8617" s="312" t="str">
        <f t="shared" si="536"/>
        <v>LO</v>
      </c>
      <c r="F8617" s="369">
        <f>VLOOKUP(C8617,METADATA!$A$5:$H$29,IF(E8617="HI",2,IF(E8617="LO",6,10))+IF(D8617=1,2,IF(D8617=7,1,(IF(WEEKDAY(B8617)=1,2,IF(WEEKDAY(B8617)=7,1,0))))))</f>
        <v>2</v>
      </c>
      <c r="G8617" s="369">
        <f>VLOOKUP(C8617,METADATA!$J$5:$Q$29,IF(E8617="HI",2,IF(E8617="LO",6,10))+IF(D8617=1,2,IF(D8617=7,1,(IF(WEEKDAY(B8617)=1,2,IF(WEEKDAY(B8617)=7,1,0))))))</f>
        <v>2</v>
      </c>
      <c r="H8617" s="370">
        <v>12505.400207519531</v>
      </c>
      <c r="I8617" s="370">
        <v>3894.0050048828125</v>
      </c>
      <c r="M8617" s="371">
        <f t="shared" si="537"/>
        <v>13097.64518256171</v>
      </c>
      <c r="N8617" s="329">
        <f t="shared" si="538"/>
        <v>142.38494262695349</v>
      </c>
      <c r="T8617" s="331">
        <v>0</v>
      </c>
      <c r="U8617" s="328">
        <f>VLOOKUP(C8617,METADATA!$J$5:$Q$29,IF(E8617="HI",2,IF(E8617="LO",6,10))+IF(T8617=1,2,IF(D8617=7,1,(IF(WEEKDAY(B8617)=1,2,IF(WEEKDAY(B8617)=7,1,0))))))</f>
        <v>2</v>
      </c>
      <c r="V8617" s="328">
        <f>VLOOKUP(C8617,METADATA!$A$5:$H$29,IF(E8617="HI",2,IF(E8617="LO",6,10))+IF(T8617=1,2,IF(D8617=7,1,(IF(WEEKDAY(B8617)=1,2,IF(WEEKDAY(B8617)=7,1,0))))))</f>
        <v>2</v>
      </c>
    </row>
    <row r="8618" spans="2:22">
      <c r="B8618" s="318">
        <f t="shared" si="539"/>
        <v>46471</v>
      </c>
      <c r="C8618" s="312">
        <v>22</v>
      </c>
      <c r="D8618" s="368">
        <f>IFERROR((INDEX(METADATA!$T$2:$T$20,MATCH(B8618,METADATA!$S$2:$S$20,0))),0)</f>
        <v>0</v>
      </c>
      <c r="E8618" s="312" t="str">
        <f t="shared" si="536"/>
        <v>LO</v>
      </c>
      <c r="F8618" s="369">
        <f>VLOOKUP(C8618,METADATA!$A$5:$H$29,IF(E8618="HI",2,IF(E8618="LO",6,10))+IF(D8618=1,2,IF(D8618=7,1,(IF(WEEKDAY(B8618)=1,2,IF(WEEKDAY(B8618)=7,1,0))))))</f>
        <v>3</v>
      </c>
      <c r="G8618" s="369">
        <f>VLOOKUP(C8618,METADATA!$J$5:$Q$29,IF(E8618="HI",2,IF(E8618="LO",6,10))+IF(D8618=1,2,IF(D8618=7,1,(IF(WEEKDAY(B8618)=1,2,IF(WEEKDAY(B8618)=7,1,0))))))</f>
        <v>3</v>
      </c>
      <c r="H8618" s="370">
        <v>12493.600219726563</v>
      </c>
      <c r="I8618" s="370">
        <v>3950.6500549316406</v>
      </c>
      <c r="M8618" s="371">
        <f t="shared" si="537"/>
        <v>13103.346225559446</v>
      </c>
      <c r="N8618" s="329">
        <f t="shared" si="538"/>
        <v>202.56998901367206</v>
      </c>
      <c r="T8618" s="331">
        <v>0</v>
      </c>
      <c r="U8618" s="328">
        <f>VLOOKUP(C8618,METADATA!$J$5:$Q$29,IF(E8618="HI",2,IF(E8618="LO",6,10))+IF(T8618=1,2,IF(D8618=7,1,(IF(WEEKDAY(B8618)=1,2,IF(WEEKDAY(B8618)=7,1,0))))))</f>
        <v>3</v>
      </c>
      <c r="V8618" s="328">
        <f>VLOOKUP(C8618,METADATA!$A$5:$H$29,IF(E8618="HI",2,IF(E8618="LO",6,10))+IF(T8618=1,2,IF(D8618=7,1,(IF(WEEKDAY(B8618)=1,2,IF(WEEKDAY(B8618)=7,1,0))))))</f>
        <v>3</v>
      </c>
    </row>
    <row r="8619" spans="2:22">
      <c r="B8619" s="318">
        <f t="shared" si="539"/>
        <v>46471</v>
      </c>
      <c r="C8619" s="312">
        <v>23</v>
      </c>
      <c r="D8619" s="368">
        <f>IFERROR((INDEX(METADATA!$T$2:$T$20,MATCH(B8619,METADATA!$S$2:$S$20,0))),0)</f>
        <v>0</v>
      </c>
      <c r="E8619" s="312" t="str">
        <f t="shared" si="536"/>
        <v>LO</v>
      </c>
      <c r="F8619" s="369">
        <f>VLOOKUP(C8619,METADATA!$A$5:$H$29,IF(E8619="HI",2,IF(E8619="LO",6,10))+IF(D8619=1,2,IF(D8619=7,1,(IF(WEEKDAY(B8619)=1,2,IF(WEEKDAY(B8619)=7,1,0))))))</f>
        <v>3</v>
      </c>
      <c r="G8619" s="369">
        <f>VLOOKUP(C8619,METADATA!$J$5:$Q$29,IF(E8619="HI",2,IF(E8619="LO",6,10))+IF(D8619=1,2,IF(D8619=7,1,(IF(WEEKDAY(B8619)=1,2,IF(WEEKDAY(B8619)=7,1,0))))))</f>
        <v>3</v>
      </c>
      <c r="H8619" s="370">
        <v>12474.774719238281</v>
      </c>
      <c r="I8619" s="370">
        <v>3986.6050415039063</v>
      </c>
      <c r="M8619" s="371">
        <f t="shared" si="537"/>
        <v>13096.298104910826</v>
      </c>
      <c r="N8619" s="329">
        <f t="shared" si="538"/>
        <v>244.17262573242215</v>
      </c>
      <c r="T8619" s="331">
        <v>0</v>
      </c>
      <c r="U8619" s="328">
        <f>VLOOKUP(C8619,METADATA!$J$5:$Q$29,IF(E8619="HI",2,IF(E8619="LO",6,10))+IF(T8619=1,2,IF(D8619=7,1,(IF(WEEKDAY(B8619)=1,2,IF(WEEKDAY(B8619)=7,1,0))))))</f>
        <v>3</v>
      </c>
      <c r="V8619" s="328">
        <f>VLOOKUP(C8619,METADATA!$A$5:$H$29,IF(E8619="HI",2,IF(E8619="LO",6,10))+IF(T8619=1,2,IF(D8619=7,1,(IF(WEEKDAY(B8619)=1,2,IF(WEEKDAY(B8619)=7,1,0))))))</f>
        <v>3</v>
      </c>
    </row>
    <row r="8620" spans="2:22">
      <c r="B8620" s="318">
        <f t="shared" si="539"/>
        <v>46472</v>
      </c>
      <c r="C8620" s="312">
        <v>0</v>
      </c>
      <c r="D8620" s="368">
        <f>IFERROR((INDEX(METADATA!$T$2:$T$20,MATCH(B8620,METADATA!$S$2:$S$20,0))),0)</f>
        <v>1</v>
      </c>
      <c r="E8620" s="312" t="str">
        <f t="shared" si="536"/>
        <v>LO</v>
      </c>
      <c r="F8620" s="369">
        <f>VLOOKUP(C8620,METADATA!$A$5:$H$29,IF(E8620="HI",2,IF(E8620="LO",6,10))+IF(D8620=1,2,IF(D8620=7,1,(IF(WEEKDAY(B8620)=1,2,IF(WEEKDAY(B8620)=7,1,0))))))</f>
        <v>3</v>
      </c>
      <c r="G8620" s="369">
        <f>VLOOKUP(C8620,METADATA!$J$5:$Q$29,IF(E8620="HI",2,IF(E8620="LO",6,10))+IF(D8620=1,2,IF(D8620=7,1,(IF(WEEKDAY(B8620)=1,2,IF(WEEKDAY(B8620)=7,1,0))))))</f>
        <v>3</v>
      </c>
      <c r="H8620" s="370">
        <v>12473.449951171875</v>
      </c>
      <c r="I8620" s="370">
        <v>3831.8149719238281</v>
      </c>
      <c r="M8620" s="371">
        <f t="shared" si="537"/>
        <v>13048.745520679344</v>
      </c>
      <c r="N8620" s="329">
        <f t="shared" si="538"/>
        <v>89.779986572265898</v>
      </c>
      <c r="T8620" s="331">
        <v>0</v>
      </c>
      <c r="U8620" s="328">
        <f>VLOOKUP(C8620,METADATA!$J$5:$Q$29,IF(E8620="HI",2,IF(E8620="LO",6,10))+IF(T8620=1,2,IF(D8620=7,1,(IF(WEEKDAY(B8620)=1,2,IF(WEEKDAY(B8620)=7,1,0))))))</f>
        <v>3</v>
      </c>
      <c r="V8620" s="328">
        <f>VLOOKUP(C8620,METADATA!$A$5:$H$29,IF(E8620="HI",2,IF(E8620="LO",6,10))+IF(T8620=1,2,IF(D8620=7,1,(IF(WEEKDAY(B8620)=1,2,IF(WEEKDAY(B8620)=7,1,0))))))</f>
        <v>3</v>
      </c>
    </row>
    <row r="8621" spans="2:22">
      <c r="B8621" s="318">
        <f t="shared" si="539"/>
        <v>46472</v>
      </c>
      <c r="C8621" s="312">
        <v>1</v>
      </c>
      <c r="D8621" s="368">
        <f>IFERROR((INDEX(METADATA!$T$2:$T$20,MATCH(B8621,METADATA!$S$2:$S$20,0))),0)</f>
        <v>1</v>
      </c>
      <c r="E8621" s="312" t="str">
        <f t="shared" si="536"/>
        <v>LO</v>
      </c>
      <c r="F8621" s="369">
        <f>VLOOKUP(C8621,METADATA!$A$5:$H$29,IF(E8621="HI",2,IF(E8621="LO",6,10))+IF(D8621=1,2,IF(D8621=7,1,(IF(WEEKDAY(B8621)=1,2,IF(WEEKDAY(B8621)=7,1,0))))))</f>
        <v>3</v>
      </c>
      <c r="G8621" s="369">
        <f>VLOOKUP(C8621,METADATA!$J$5:$Q$29,IF(E8621="HI",2,IF(E8621="LO",6,10))+IF(D8621=1,2,IF(D8621=7,1,(IF(WEEKDAY(B8621)=1,2,IF(WEEKDAY(B8621)=7,1,0))))))</f>
        <v>3</v>
      </c>
      <c r="H8621" s="370">
        <v>12364.822326660156</v>
      </c>
      <c r="I8621" s="370">
        <v>3738.9700927734375</v>
      </c>
      <c r="M8621" s="371">
        <f t="shared" si="537"/>
        <v>12917.767938948573</v>
      </c>
      <c r="N8621" s="329">
        <f t="shared" si="538"/>
        <v>29.523394775390898</v>
      </c>
      <c r="T8621" s="331">
        <v>0</v>
      </c>
      <c r="U8621" s="328">
        <f>VLOOKUP(C8621,METADATA!$J$5:$Q$29,IF(E8621="HI",2,IF(E8621="LO",6,10))+IF(T8621=1,2,IF(D8621=7,1,(IF(WEEKDAY(B8621)=1,2,IF(WEEKDAY(B8621)=7,1,0))))))</f>
        <v>3</v>
      </c>
      <c r="V8621" s="328">
        <f>VLOOKUP(C8621,METADATA!$A$5:$H$29,IF(E8621="HI",2,IF(E8621="LO",6,10))+IF(T8621=1,2,IF(D8621=7,1,(IF(WEEKDAY(B8621)=1,2,IF(WEEKDAY(B8621)=7,1,0))))))</f>
        <v>3</v>
      </c>
    </row>
    <row r="8622" spans="2:22">
      <c r="B8622" s="318">
        <f t="shared" si="539"/>
        <v>46472</v>
      </c>
      <c r="C8622" s="312">
        <v>2</v>
      </c>
      <c r="D8622" s="368">
        <f>IFERROR((INDEX(METADATA!$T$2:$T$20,MATCH(B8622,METADATA!$S$2:$S$20,0))),0)</f>
        <v>1</v>
      </c>
      <c r="E8622" s="312" t="str">
        <f t="shared" si="536"/>
        <v>LO</v>
      </c>
      <c r="F8622" s="369">
        <f>VLOOKUP(C8622,METADATA!$A$5:$H$29,IF(E8622="HI",2,IF(E8622="LO",6,10))+IF(D8622=1,2,IF(D8622=7,1,(IF(WEEKDAY(B8622)=1,2,IF(WEEKDAY(B8622)=7,1,0))))))</f>
        <v>3</v>
      </c>
      <c r="G8622" s="369">
        <f>VLOOKUP(C8622,METADATA!$J$5:$Q$29,IF(E8622="HI",2,IF(E8622="LO",6,10))+IF(D8622=1,2,IF(D8622=7,1,(IF(WEEKDAY(B8622)=1,2,IF(WEEKDAY(B8622)=7,1,0))))))</f>
        <v>3</v>
      </c>
      <c r="H8622" s="370">
        <v>12372.89990234375</v>
      </c>
      <c r="I8622" s="370">
        <v>3850.5050048828125</v>
      </c>
      <c r="M8622" s="371">
        <f t="shared" si="537"/>
        <v>12958.203609530356</v>
      </c>
      <c r="N8622" s="329">
        <f t="shared" si="538"/>
        <v>138.63503417968786</v>
      </c>
      <c r="T8622" s="331">
        <v>0</v>
      </c>
      <c r="U8622" s="328">
        <f>VLOOKUP(C8622,METADATA!$J$5:$Q$29,IF(E8622="HI",2,IF(E8622="LO",6,10))+IF(T8622=1,2,IF(D8622=7,1,(IF(WEEKDAY(B8622)=1,2,IF(WEEKDAY(B8622)=7,1,0))))))</f>
        <v>3</v>
      </c>
      <c r="V8622" s="328">
        <f>VLOOKUP(C8622,METADATA!$A$5:$H$29,IF(E8622="HI",2,IF(E8622="LO",6,10))+IF(T8622=1,2,IF(D8622=7,1,(IF(WEEKDAY(B8622)=1,2,IF(WEEKDAY(B8622)=7,1,0))))))</f>
        <v>3</v>
      </c>
    </row>
    <row r="8623" spans="2:22">
      <c r="B8623" s="318">
        <f t="shared" si="539"/>
        <v>46472</v>
      </c>
      <c r="C8623" s="312">
        <v>3</v>
      </c>
      <c r="D8623" s="368">
        <f>IFERROR((INDEX(METADATA!$T$2:$T$20,MATCH(B8623,METADATA!$S$2:$S$20,0))),0)</f>
        <v>1</v>
      </c>
      <c r="E8623" s="312" t="str">
        <f t="shared" si="536"/>
        <v>LO</v>
      </c>
      <c r="F8623" s="369">
        <f>VLOOKUP(C8623,METADATA!$A$5:$H$29,IF(E8623="HI",2,IF(E8623="LO",6,10))+IF(D8623=1,2,IF(D8623=7,1,(IF(WEEKDAY(B8623)=1,2,IF(WEEKDAY(B8623)=7,1,0))))))</f>
        <v>3</v>
      </c>
      <c r="G8623" s="369">
        <f>VLOOKUP(C8623,METADATA!$J$5:$Q$29,IF(E8623="HI",2,IF(E8623="LO",6,10))+IF(D8623=1,2,IF(D8623=7,1,(IF(WEEKDAY(B8623)=1,2,IF(WEEKDAY(B8623)=7,1,0))))))</f>
        <v>3</v>
      </c>
      <c r="H8623" s="370">
        <v>12447.25</v>
      </c>
      <c r="I8623" s="370">
        <v>3875.4950561523438</v>
      </c>
      <c r="M8623" s="371">
        <f t="shared" si="537"/>
        <v>13036.621283628718</v>
      </c>
      <c r="N8623" s="329">
        <f t="shared" si="538"/>
        <v>141.32005615234402</v>
      </c>
      <c r="T8623" s="331">
        <v>0</v>
      </c>
      <c r="U8623" s="328">
        <f>VLOOKUP(C8623,METADATA!$J$5:$Q$29,IF(E8623="HI",2,IF(E8623="LO",6,10))+IF(T8623=1,2,IF(D8623=7,1,(IF(WEEKDAY(B8623)=1,2,IF(WEEKDAY(B8623)=7,1,0))))))</f>
        <v>3</v>
      </c>
      <c r="V8623" s="328">
        <f>VLOOKUP(C8623,METADATA!$A$5:$H$29,IF(E8623="HI",2,IF(E8623="LO",6,10))+IF(T8623=1,2,IF(D8623=7,1,(IF(WEEKDAY(B8623)=1,2,IF(WEEKDAY(B8623)=7,1,0))))))</f>
        <v>3</v>
      </c>
    </row>
    <row r="8624" spans="2:22">
      <c r="B8624" s="318">
        <f t="shared" si="539"/>
        <v>46472</v>
      </c>
      <c r="C8624" s="312">
        <v>4</v>
      </c>
      <c r="D8624" s="368">
        <f>IFERROR((INDEX(METADATA!$T$2:$T$20,MATCH(B8624,METADATA!$S$2:$S$20,0))),0)</f>
        <v>1</v>
      </c>
      <c r="E8624" s="312" t="str">
        <f t="shared" si="536"/>
        <v>LO</v>
      </c>
      <c r="F8624" s="369">
        <f>VLOOKUP(C8624,METADATA!$A$5:$H$29,IF(E8624="HI",2,IF(E8624="LO",6,10))+IF(D8624=1,2,IF(D8624=7,1,(IF(WEEKDAY(B8624)=1,2,IF(WEEKDAY(B8624)=7,1,0))))))</f>
        <v>3</v>
      </c>
      <c r="G8624" s="369">
        <f>VLOOKUP(C8624,METADATA!$J$5:$Q$29,IF(E8624="HI",2,IF(E8624="LO",6,10))+IF(D8624=1,2,IF(D8624=7,1,(IF(WEEKDAY(B8624)=1,2,IF(WEEKDAY(B8624)=7,1,0))))))</f>
        <v>3</v>
      </c>
      <c r="H8624" s="370">
        <v>12422.949523925781</v>
      </c>
      <c r="I8624" s="370">
        <v>3814.9349975585938</v>
      </c>
      <c r="M8624" s="371">
        <f t="shared" si="537"/>
        <v>12995.51476123994</v>
      </c>
      <c r="N8624" s="329">
        <f t="shared" si="538"/>
        <v>88.050140380859375</v>
      </c>
      <c r="T8624" s="331">
        <v>0</v>
      </c>
      <c r="U8624" s="328">
        <f>VLOOKUP(C8624,METADATA!$J$5:$Q$29,IF(E8624="HI",2,IF(E8624="LO",6,10))+IF(T8624=1,2,IF(D8624=7,1,(IF(WEEKDAY(B8624)=1,2,IF(WEEKDAY(B8624)=7,1,0))))))</f>
        <v>3</v>
      </c>
      <c r="V8624" s="328">
        <f>VLOOKUP(C8624,METADATA!$A$5:$H$29,IF(E8624="HI",2,IF(E8624="LO",6,10))+IF(T8624=1,2,IF(D8624=7,1,(IF(WEEKDAY(B8624)=1,2,IF(WEEKDAY(B8624)=7,1,0))))))</f>
        <v>3</v>
      </c>
    </row>
    <row r="8625" spans="2:22">
      <c r="B8625" s="318">
        <f t="shared" si="539"/>
        <v>46472</v>
      </c>
      <c r="C8625" s="312">
        <v>5</v>
      </c>
      <c r="D8625" s="368">
        <f>IFERROR((INDEX(METADATA!$T$2:$T$20,MATCH(B8625,METADATA!$S$2:$S$20,0))),0)</f>
        <v>1</v>
      </c>
      <c r="E8625" s="312" t="str">
        <f t="shared" si="536"/>
        <v>LO</v>
      </c>
      <c r="F8625" s="369">
        <f>VLOOKUP(C8625,METADATA!$A$5:$H$29,IF(E8625="HI",2,IF(E8625="LO",6,10))+IF(D8625=1,2,IF(D8625=7,1,(IF(WEEKDAY(B8625)=1,2,IF(WEEKDAY(B8625)=7,1,0))))))</f>
        <v>3</v>
      </c>
      <c r="G8625" s="369">
        <f>VLOOKUP(C8625,METADATA!$J$5:$Q$29,IF(E8625="HI",2,IF(E8625="LO",6,10))+IF(D8625=1,2,IF(D8625=7,1,(IF(WEEKDAY(B8625)=1,2,IF(WEEKDAY(B8625)=7,1,0))))))</f>
        <v>3</v>
      </c>
      <c r="H8625" s="370">
        <v>12504.999877929688</v>
      </c>
      <c r="I8625" s="370">
        <v>3782.4100341796875</v>
      </c>
      <c r="M8625" s="371">
        <f t="shared" si="537"/>
        <v>13064.518652200113</v>
      </c>
      <c r="N8625" s="329">
        <f t="shared" si="538"/>
        <v>30.910070800781341</v>
      </c>
      <c r="T8625" s="331">
        <v>0</v>
      </c>
      <c r="U8625" s="328">
        <f>VLOOKUP(C8625,METADATA!$J$5:$Q$29,IF(E8625="HI",2,IF(E8625="LO",6,10))+IF(T8625=1,2,IF(D8625=7,1,(IF(WEEKDAY(B8625)=1,2,IF(WEEKDAY(B8625)=7,1,0))))))</f>
        <v>3</v>
      </c>
      <c r="V8625" s="328">
        <f>VLOOKUP(C8625,METADATA!$A$5:$H$29,IF(E8625="HI",2,IF(E8625="LO",6,10))+IF(T8625=1,2,IF(D8625=7,1,(IF(WEEKDAY(B8625)=1,2,IF(WEEKDAY(B8625)=7,1,0))))))</f>
        <v>3</v>
      </c>
    </row>
    <row r="8626" spans="2:22">
      <c r="B8626" s="318">
        <f t="shared" si="539"/>
        <v>46472</v>
      </c>
      <c r="C8626" s="312">
        <v>6</v>
      </c>
      <c r="D8626" s="368">
        <f>IFERROR((INDEX(METADATA!$T$2:$T$20,MATCH(B8626,METADATA!$S$2:$S$20,0))),0)</f>
        <v>1</v>
      </c>
      <c r="E8626" s="312" t="str">
        <f t="shared" si="536"/>
        <v>LO</v>
      </c>
      <c r="F8626" s="369">
        <f>VLOOKUP(C8626,METADATA!$A$5:$H$29,IF(E8626="HI",2,IF(E8626="LO",6,10))+IF(D8626=1,2,IF(D8626=7,1,(IF(WEEKDAY(B8626)=1,2,IF(WEEKDAY(B8626)=7,1,0))))))</f>
        <v>3</v>
      </c>
      <c r="G8626" s="369">
        <f>VLOOKUP(C8626,METADATA!$J$5:$Q$29,IF(E8626="HI",2,IF(E8626="LO",6,10))+IF(D8626=1,2,IF(D8626=7,1,(IF(WEEKDAY(B8626)=1,2,IF(WEEKDAY(B8626)=7,1,0))))))</f>
        <v>3</v>
      </c>
      <c r="H8626" s="370">
        <v>12536.849914550781</v>
      </c>
      <c r="I8626" s="370">
        <v>3822.7799987792969</v>
      </c>
      <c r="M8626" s="371">
        <f t="shared" si="537"/>
        <v>13106.725475840218</v>
      </c>
      <c r="N8626" s="329">
        <f t="shared" si="538"/>
        <v>61.725024414062773</v>
      </c>
      <c r="T8626" s="331">
        <v>0</v>
      </c>
      <c r="U8626" s="328">
        <f>VLOOKUP(C8626,METADATA!$J$5:$Q$29,IF(E8626="HI",2,IF(E8626="LO",6,10))+IF(T8626=1,2,IF(D8626=7,1,(IF(WEEKDAY(B8626)=1,2,IF(WEEKDAY(B8626)=7,1,0))))))</f>
        <v>2</v>
      </c>
      <c r="V8626" s="328">
        <f>VLOOKUP(C8626,METADATA!$A$5:$H$29,IF(E8626="HI",2,IF(E8626="LO",6,10))+IF(T8626=1,2,IF(D8626=7,1,(IF(WEEKDAY(B8626)=1,2,IF(WEEKDAY(B8626)=7,1,0))))))</f>
        <v>2</v>
      </c>
    </row>
    <row r="8627" spans="2:22">
      <c r="B8627" s="318">
        <f t="shared" si="539"/>
        <v>46472</v>
      </c>
      <c r="C8627" s="312">
        <v>7</v>
      </c>
      <c r="D8627" s="368">
        <f>IFERROR((INDEX(METADATA!$T$2:$T$20,MATCH(B8627,METADATA!$S$2:$S$20,0))),0)</f>
        <v>1</v>
      </c>
      <c r="E8627" s="312" t="str">
        <f t="shared" si="536"/>
        <v>LO</v>
      </c>
      <c r="F8627" s="369">
        <f>VLOOKUP(C8627,METADATA!$A$5:$H$29,IF(E8627="HI",2,IF(E8627="LO",6,10))+IF(D8627=1,2,IF(D8627=7,1,(IF(WEEKDAY(B8627)=1,2,IF(WEEKDAY(B8627)=7,1,0))))))</f>
        <v>3</v>
      </c>
      <c r="G8627" s="369">
        <f>VLOOKUP(C8627,METADATA!$J$5:$Q$29,IF(E8627="HI",2,IF(E8627="LO",6,10))+IF(D8627=1,2,IF(D8627=7,1,(IF(WEEKDAY(B8627)=1,2,IF(WEEKDAY(B8627)=7,1,0))))))</f>
        <v>3</v>
      </c>
      <c r="H8627" s="370">
        <v>12525.049865722656</v>
      </c>
      <c r="I8627" s="370">
        <v>3788.3349609375</v>
      </c>
      <c r="M8627" s="371">
        <f t="shared" si="537"/>
        <v>13085.425324195636</v>
      </c>
      <c r="N8627" s="329">
        <f t="shared" si="538"/>
        <v>30.820001220703489</v>
      </c>
      <c r="T8627" s="331">
        <v>0</v>
      </c>
      <c r="U8627" s="328">
        <f>VLOOKUP(C8627,METADATA!$J$5:$Q$29,IF(E8627="HI",2,IF(E8627="LO",6,10))+IF(T8627=1,2,IF(D8627=7,1,(IF(WEEKDAY(B8627)=1,2,IF(WEEKDAY(B8627)=7,1,0))))))</f>
        <v>1</v>
      </c>
      <c r="V8627" s="328">
        <f>VLOOKUP(C8627,METADATA!$A$5:$H$29,IF(E8627="HI",2,IF(E8627="LO",6,10))+IF(T8627=1,2,IF(D8627=7,1,(IF(WEEKDAY(B8627)=1,2,IF(WEEKDAY(B8627)=7,1,0))))))</f>
        <v>1</v>
      </c>
    </row>
    <row r="8628" spans="2:22">
      <c r="B8628" s="318">
        <f t="shared" si="539"/>
        <v>46472</v>
      </c>
      <c r="C8628" s="312">
        <v>8</v>
      </c>
      <c r="D8628" s="368">
        <f>IFERROR((INDEX(METADATA!$T$2:$T$20,MATCH(B8628,METADATA!$S$2:$S$20,0))),0)</f>
        <v>1</v>
      </c>
      <c r="E8628" s="312" t="str">
        <f t="shared" si="536"/>
        <v>LO</v>
      </c>
      <c r="F8628" s="369">
        <f>VLOOKUP(C8628,METADATA!$A$5:$H$29,IF(E8628="HI",2,IF(E8628="LO",6,10))+IF(D8628=1,2,IF(D8628=7,1,(IF(WEEKDAY(B8628)=1,2,IF(WEEKDAY(B8628)=7,1,0))))))</f>
        <v>3</v>
      </c>
      <c r="G8628" s="369">
        <f>VLOOKUP(C8628,METADATA!$J$5:$Q$29,IF(E8628="HI",2,IF(E8628="LO",6,10))+IF(D8628=1,2,IF(D8628=7,1,(IF(WEEKDAY(B8628)=1,2,IF(WEEKDAY(B8628)=7,1,0))))))</f>
        <v>3</v>
      </c>
      <c r="H8628" s="370">
        <v>12663.574951171875</v>
      </c>
      <c r="I8628" s="370">
        <v>3687.5899658203125</v>
      </c>
      <c r="M8628" s="371">
        <f t="shared" si="537"/>
        <v>13189.558381536752</v>
      </c>
      <c r="N8628" s="329">
        <f t="shared" si="538"/>
        <v>0</v>
      </c>
      <c r="T8628" s="331">
        <v>0</v>
      </c>
      <c r="U8628" s="328">
        <f>VLOOKUP(C8628,METADATA!$J$5:$Q$29,IF(E8628="HI",2,IF(E8628="LO",6,10))+IF(T8628=1,2,IF(D8628=7,1,(IF(WEEKDAY(B8628)=1,2,IF(WEEKDAY(B8628)=7,1,0))))))</f>
        <v>1</v>
      </c>
      <c r="V8628" s="328">
        <f>VLOOKUP(C8628,METADATA!$A$5:$H$29,IF(E8628="HI",2,IF(E8628="LO",6,10))+IF(T8628=1,2,IF(D8628=7,1,(IF(WEEKDAY(B8628)=1,2,IF(WEEKDAY(B8628)=7,1,0))))))</f>
        <v>1</v>
      </c>
    </row>
    <row r="8629" spans="2:22">
      <c r="B8629" s="318">
        <f t="shared" si="539"/>
        <v>46472</v>
      </c>
      <c r="C8629" s="312">
        <v>9</v>
      </c>
      <c r="D8629" s="368">
        <f>IFERROR((INDEX(METADATA!$T$2:$T$20,MATCH(B8629,METADATA!$S$2:$S$20,0))),0)</f>
        <v>1</v>
      </c>
      <c r="E8629" s="312" t="str">
        <f t="shared" si="536"/>
        <v>LO</v>
      </c>
      <c r="F8629" s="369">
        <f>VLOOKUP(C8629,METADATA!$A$5:$H$29,IF(E8629="HI",2,IF(E8629="LO",6,10))+IF(D8629=1,2,IF(D8629=7,1,(IF(WEEKDAY(B8629)=1,2,IF(WEEKDAY(B8629)=7,1,0))))))</f>
        <v>3</v>
      </c>
      <c r="G8629" s="369">
        <f>VLOOKUP(C8629,METADATA!$J$5:$Q$29,IF(E8629="HI",2,IF(E8629="LO",6,10))+IF(D8629=1,2,IF(D8629=7,1,(IF(WEEKDAY(B8629)=1,2,IF(WEEKDAY(B8629)=7,1,0))))))</f>
        <v>3</v>
      </c>
      <c r="H8629" s="370">
        <v>11850.900146484375</v>
      </c>
      <c r="I8629" s="370">
        <v>3453.6700134277344</v>
      </c>
      <c r="M8629" s="371">
        <f t="shared" si="537"/>
        <v>12343.892046011797</v>
      </c>
      <c r="N8629" s="329">
        <f t="shared" si="538"/>
        <v>0</v>
      </c>
      <c r="T8629" s="331">
        <v>0</v>
      </c>
      <c r="U8629" s="328">
        <f>VLOOKUP(C8629,METADATA!$J$5:$Q$29,IF(E8629="HI",2,IF(E8629="LO",6,10))+IF(T8629=1,2,IF(D8629=7,1,(IF(WEEKDAY(B8629)=1,2,IF(WEEKDAY(B8629)=7,1,0))))))</f>
        <v>2</v>
      </c>
      <c r="V8629" s="328">
        <f>VLOOKUP(C8629,METADATA!$A$5:$H$29,IF(E8629="HI",2,IF(E8629="LO",6,10))+IF(T8629=1,2,IF(D8629=7,1,(IF(WEEKDAY(B8629)=1,2,IF(WEEKDAY(B8629)=7,1,0))))))</f>
        <v>2</v>
      </c>
    </row>
    <row r="8630" spans="2:22">
      <c r="B8630" s="318">
        <f t="shared" si="539"/>
        <v>46472</v>
      </c>
      <c r="C8630" s="312">
        <v>10</v>
      </c>
      <c r="D8630" s="368">
        <f>IFERROR((INDEX(METADATA!$T$2:$T$20,MATCH(B8630,METADATA!$S$2:$S$20,0))),0)</f>
        <v>1</v>
      </c>
      <c r="E8630" s="312" t="str">
        <f t="shared" si="536"/>
        <v>LO</v>
      </c>
      <c r="F8630" s="369">
        <f>VLOOKUP(C8630,METADATA!$A$5:$H$29,IF(E8630="HI",2,IF(E8630="LO",6,10))+IF(D8630=1,2,IF(D8630=7,1,(IF(WEEKDAY(B8630)=1,2,IF(WEEKDAY(B8630)=7,1,0))))))</f>
        <v>3</v>
      </c>
      <c r="G8630" s="369">
        <f>VLOOKUP(C8630,METADATA!$J$5:$Q$29,IF(E8630="HI",2,IF(E8630="LO",6,10))+IF(D8630=1,2,IF(D8630=7,1,(IF(WEEKDAY(B8630)=1,2,IF(WEEKDAY(B8630)=7,1,0))))))</f>
        <v>3</v>
      </c>
      <c r="H8630" s="370">
        <v>11622.749938964844</v>
      </c>
      <c r="I8630" s="370">
        <v>3357.0150756835938</v>
      </c>
      <c r="M8630" s="371">
        <f t="shared" si="537"/>
        <v>12097.845525632827</v>
      </c>
      <c r="N8630" s="329">
        <f t="shared" si="538"/>
        <v>0</v>
      </c>
      <c r="T8630" s="331">
        <v>0</v>
      </c>
      <c r="U8630" s="328">
        <f>VLOOKUP(C8630,METADATA!$J$5:$Q$29,IF(E8630="HI",2,IF(E8630="LO",6,10))+IF(T8630=1,2,IF(D8630=7,1,(IF(WEEKDAY(B8630)=1,2,IF(WEEKDAY(B8630)=7,1,0))))))</f>
        <v>2</v>
      </c>
      <c r="V8630" s="328">
        <f>VLOOKUP(C8630,METADATA!$A$5:$H$29,IF(E8630="HI",2,IF(E8630="LO",6,10))+IF(T8630=1,2,IF(D8630=7,1,(IF(WEEKDAY(B8630)=1,2,IF(WEEKDAY(B8630)=7,1,0))))))</f>
        <v>2</v>
      </c>
    </row>
    <row r="8631" spans="2:22">
      <c r="B8631" s="318">
        <f t="shared" si="539"/>
        <v>46472</v>
      </c>
      <c r="C8631" s="312">
        <v>11</v>
      </c>
      <c r="D8631" s="368">
        <f>IFERROR((INDEX(METADATA!$T$2:$T$20,MATCH(B8631,METADATA!$S$2:$S$20,0))),0)</f>
        <v>1</v>
      </c>
      <c r="E8631" s="312" t="str">
        <f t="shared" si="536"/>
        <v>LO</v>
      </c>
      <c r="F8631" s="369">
        <f>VLOOKUP(C8631,METADATA!$A$5:$H$29,IF(E8631="HI",2,IF(E8631="LO",6,10))+IF(D8631=1,2,IF(D8631=7,1,(IF(WEEKDAY(B8631)=1,2,IF(WEEKDAY(B8631)=7,1,0))))))</f>
        <v>3</v>
      </c>
      <c r="G8631" s="369">
        <f>VLOOKUP(C8631,METADATA!$J$5:$Q$29,IF(E8631="HI",2,IF(E8631="LO",6,10))+IF(D8631=1,2,IF(D8631=7,1,(IF(WEEKDAY(B8631)=1,2,IF(WEEKDAY(B8631)=7,1,0))))))</f>
        <v>3</v>
      </c>
      <c r="H8631" s="370">
        <v>10524.394927978516</v>
      </c>
      <c r="I8631" s="370">
        <v>2618.4099731445313</v>
      </c>
      <c r="M8631" s="371">
        <f t="shared" si="537"/>
        <v>10845.227493580882</v>
      </c>
      <c r="N8631" s="329">
        <f t="shared" si="538"/>
        <v>0</v>
      </c>
      <c r="T8631" s="331">
        <v>0</v>
      </c>
      <c r="U8631" s="328">
        <f>VLOOKUP(C8631,METADATA!$J$5:$Q$29,IF(E8631="HI",2,IF(E8631="LO",6,10))+IF(T8631=1,2,IF(D8631=7,1,(IF(WEEKDAY(B8631)=1,2,IF(WEEKDAY(B8631)=7,1,0))))))</f>
        <v>2</v>
      </c>
      <c r="V8631" s="328">
        <f>VLOOKUP(C8631,METADATA!$A$5:$H$29,IF(E8631="HI",2,IF(E8631="LO",6,10))+IF(T8631=1,2,IF(D8631=7,1,(IF(WEEKDAY(B8631)=1,2,IF(WEEKDAY(B8631)=7,1,0))))))</f>
        <v>2</v>
      </c>
    </row>
    <row r="8632" spans="2:22">
      <c r="B8632" s="318">
        <f t="shared" si="539"/>
        <v>46472</v>
      </c>
      <c r="C8632" s="312">
        <v>12</v>
      </c>
      <c r="D8632" s="368">
        <f>IFERROR((INDEX(METADATA!$T$2:$T$20,MATCH(B8632,METADATA!$S$2:$S$20,0))),0)</f>
        <v>1</v>
      </c>
      <c r="E8632" s="312" t="str">
        <f t="shared" si="536"/>
        <v>LO</v>
      </c>
      <c r="F8632" s="369">
        <f>VLOOKUP(C8632,METADATA!$A$5:$H$29,IF(E8632="HI",2,IF(E8632="LO",6,10))+IF(D8632=1,2,IF(D8632=7,1,(IF(WEEKDAY(B8632)=1,2,IF(WEEKDAY(B8632)=7,1,0))))))</f>
        <v>3</v>
      </c>
      <c r="G8632" s="369">
        <f>VLOOKUP(C8632,METADATA!$J$5:$Q$29,IF(E8632="HI",2,IF(E8632="LO",6,10))+IF(D8632=1,2,IF(D8632=7,1,(IF(WEEKDAY(B8632)=1,2,IF(WEEKDAY(B8632)=7,1,0))))))</f>
        <v>3</v>
      </c>
      <c r="H8632" s="370">
        <v>10895.972442626953</v>
      </c>
      <c r="I8632" s="370">
        <v>2890.6899795532227</v>
      </c>
      <c r="M8632" s="371">
        <f t="shared" si="537"/>
        <v>11272.901313698057</v>
      </c>
      <c r="N8632" s="329">
        <f t="shared" si="538"/>
        <v>0</v>
      </c>
      <c r="T8632" s="331">
        <v>0</v>
      </c>
      <c r="U8632" s="328">
        <f>VLOOKUP(C8632,METADATA!$J$5:$Q$29,IF(E8632="HI",2,IF(E8632="LO",6,10))+IF(T8632=1,2,IF(D8632=7,1,(IF(WEEKDAY(B8632)=1,2,IF(WEEKDAY(B8632)=7,1,0))))))</f>
        <v>2</v>
      </c>
      <c r="V8632" s="328">
        <f>VLOOKUP(C8632,METADATA!$A$5:$H$29,IF(E8632="HI",2,IF(E8632="LO",6,10))+IF(T8632=1,2,IF(D8632=7,1,(IF(WEEKDAY(B8632)=1,2,IF(WEEKDAY(B8632)=7,1,0))))))</f>
        <v>2</v>
      </c>
    </row>
    <row r="8633" spans="2:22">
      <c r="B8633" s="318">
        <f t="shared" si="539"/>
        <v>46472</v>
      </c>
      <c r="C8633" s="312">
        <v>13</v>
      </c>
      <c r="D8633" s="368">
        <f>IFERROR((INDEX(METADATA!$T$2:$T$20,MATCH(B8633,METADATA!$S$2:$S$20,0))),0)</f>
        <v>1</v>
      </c>
      <c r="E8633" s="312" t="str">
        <f t="shared" si="536"/>
        <v>LO</v>
      </c>
      <c r="F8633" s="369">
        <f>VLOOKUP(C8633,METADATA!$A$5:$H$29,IF(E8633="HI",2,IF(E8633="LO",6,10))+IF(D8633=1,2,IF(D8633=7,1,(IF(WEEKDAY(B8633)=1,2,IF(WEEKDAY(B8633)=7,1,0))))))</f>
        <v>3</v>
      </c>
      <c r="G8633" s="369">
        <f>VLOOKUP(C8633,METADATA!$J$5:$Q$29,IF(E8633="HI",2,IF(E8633="LO",6,10))+IF(D8633=1,2,IF(D8633=7,1,(IF(WEEKDAY(B8633)=1,2,IF(WEEKDAY(B8633)=7,1,0))))))</f>
        <v>3</v>
      </c>
      <c r="H8633" s="370">
        <v>12231.07470703125</v>
      </c>
      <c r="I8633" s="370">
        <v>3610.5649795532227</v>
      </c>
      <c r="M8633" s="371">
        <f t="shared" si="537"/>
        <v>12752.857246929243</v>
      </c>
      <c r="N8633" s="329">
        <f t="shared" si="538"/>
        <v>0</v>
      </c>
      <c r="T8633" s="331">
        <v>0</v>
      </c>
      <c r="U8633" s="328">
        <f>VLOOKUP(C8633,METADATA!$J$5:$Q$29,IF(E8633="HI",2,IF(E8633="LO",6,10))+IF(T8633=1,2,IF(D8633=7,1,(IF(WEEKDAY(B8633)=1,2,IF(WEEKDAY(B8633)=7,1,0))))))</f>
        <v>2</v>
      </c>
      <c r="V8633" s="328">
        <f>VLOOKUP(C8633,METADATA!$A$5:$H$29,IF(E8633="HI",2,IF(E8633="LO",6,10))+IF(T8633=1,2,IF(D8633=7,1,(IF(WEEKDAY(B8633)=1,2,IF(WEEKDAY(B8633)=7,1,0))))))</f>
        <v>2</v>
      </c>
    </row>
    <row r="8634" spans="2:22">
      <c r="B8634" s="318">
        <f t="shared" si="539"/>
        <v>46472</v>
      </c>
      <c r="C8634" s="312">
        <v>14</v>
      </c>
      <c r="D8634" s="368">
        <f>IFERROR((INDEX(METADATA!$T$2:$T$20,MATCH(B8634,METADATA!$S$2:$S$20,0))),0)</f>
        <v>1</v>
      </c>
      <c r="E8634" s="312" t="str">
        <f t="shared" si="536"/>
        <v>LO</v>
      </c>
      <c r="F8634" s="369">
        <f>VLOOKUP(C8634,METADATA!$A$5:$H$29,IF(E8634="HI",2,IF(E8634="LO",6,10))+IF(D8634=1,2,IF(D8634=7,1,(IF(WEEKDAY(B8634)=1,2,IF(WEEKDAY(B8634)=7,1,0))))))</f>
        <v>3</v>
      </c>
      <c r="G8634" s="369">
        <f>VLOOKUP(C8634,METADATA!$J$5:$Q$29,IF(E8634="HI",2,IF(E8634="LO",6,10))+IF(D8634=1,2,IF(D8634=7,1,(IF(WEEKDAY(B8634)=1,2,IF(WEEKDAY(B8634)=7,1,0))))))</f>
        <v>3</v>
      </c>
      <c r="H8634" s="370">
        <v>11741.400268554688</v>
      </c>
      <c r="I8634" s="370">
        <v>3681.642578125</v>
      </c>
      <c r="M8634" s="371">
        <f t="shared" si="537"/>
        <v>12305.079127721161</v>
      </c>
      <c r="N8634" s="329">
        <f t="shared" si="538"/>
        <v>159.22249755859366</v>
      </c>
      <c r="T8634" s="331">
        <v>0</v>
      </c>
      <c r="U8634" s="328">
        <f>VLOOKUP(C8634,METADATA!$J$5:$Q$29,IF(E8634="HI",2,IF(E8634="LO",6,10))+IF(T8634=1,2,IF(D8634=7,1,(IF(WEEKDAY(B8634)=1,2,IF(WEEKDAY(B8634)=7,1,0))))))</f>
        <v>2</v>
      </c>
      <c r="V8634" s="328">
        <f>VLOOKUP(C8634,METADATA!$A$5:$H$29,IF(E8634="HI",2,IF(E8634="LO",6,10))+IF(T8634=1,2,IF(D8634=7,1,(IF(WEEKDAY(B8634)=1,2,IF(WEEKDAY(B8634)=7,1,0))))))</f>
        <v>2</v>
      </c>
    </row>
    <row r="8635" spans="2:22">
      <c r="B8635" s="318">
        <f t="shared" si="539"/>
        <v>46472</v>
      </c>
      <c r="C8635" s="312">
        <v>15</v>
      </c>
      <c r="D8635" s="368">
        <f>IFERROR((INDEX(METADATA!$T$2:$T$20,MATCH(B8635,METADATA!$S$2:$S$20,0))),0)</f>
        <v>1</v>
      </c>
      <c r="E8635" s="312" t="str">
        <f t="shared" si="536"/>
        <v>LO</v>
      </c>
      <c r="F8635" s="369">
        <f>VLOOKUP(C8635,METADATA!$A$5:$H$29,IF(E8635="HI",2,IF(E8635="LO",6,10))+IF(D8635=1,2,IF(D8635=7,1,(IF(WEEKDAY(B8635)=1,2,IF(WEEKDAY(B8635)=7,1,0))))))</f>
        <v>3</v>
      </c>
      <c r="G8635" s="369">
        <f>VLOOKUP(C8635,METADATA!$J$5:$Q$29,IF(E8635="HI",2,IF(E8635="LO",6,10))+IF(D8635=1,2,IF(D8635=7,1,(IF(WEEKDAY(B8635)=1,2,IF(WEEKDAY(B8635)=7,1,0))))))</f>
        <v>3</v>
      </c>
      <c r="H8635" s="370">
        <v>12790.800231933594</v>
      </c>
      <c r="I8635" s="370">
        <v>4303.4649963378906</v>
      </c>
      <c r="M8635" s="371">
        <f t="shared" si="537"/>
        <v>13495.346662755202</v>
      </c>
      <c r="N8635" s="329">
        <f t="shared" si="538"/>
        <v>466.22492675781268</v>
      </c>
      <c r="T8635" s="331">
        <v>0</v>
      </c>
      <c r="U8635" s="328">
        <f>VLOOKUP(C8635,METADATA!$J$5:$Q$29,IF(E8635="HI",2,IF(E8635="LO",6,10))+IF(T8635=1,2,IF(D8635=7,1,(IF(WEEKDAY(B8635)=1,2,IF(WEEKDAY(B8635)=7,1,0))))))</f>
        <v>2</v>
      </c>
      <c r="V8635" s="328">
        <f>VLOOKUP(C8635,METADATA!$A$5:$H$29,IF(E8635="HI",2,IF(E8635="LO",6,10))+IF(T8635=1,2,IF(D8635=7,1,(IF(WEEKDAY(B8635)=1,2,IF(WEEKDAY(B8635)=7,1,0))))))</f>
        <v>2</v>
      </c>
    </row>
    <row r="8636" spans="2:22">
      <c r="B8636" s="318">
        <f t="shared" si="539"/>
        <v>46472</v>
      </c>
      <c r="C8636" s="312">
        <v>16</v>
      </c>
      <c r="D8636" s="368">
        <f>IFERROR((INDEX(METADATA!$T$2:$T$20,MATCH(B8636,METADATA!$S$2:$S$20,0))),0)</f>
        <v>1</v>
      </c>
      <c r="E8636" s="312" t="str">
        <f t="shared" si="536"/>
        <v>LO</v>
      </c>
      <c r="F8636" s="369">
        <f>VLOOKUP(C8636,METADATA!$A$5:$H$29,IF(E8636="HI",2,IF(E8636="LO",6,10))+IF(D8636=1,2,IF(D8636=7,1,(IF(WEEKDAY(B8636)=1,2,IF(WEEKDAY(B8636)=7,1,0))))))</f>
        <v>3</v>
      </c>
      <c r="G8636" s="369">
        <f>VLOOKUP(C8636,METADATA!$J$5:$Q$29,IF(E8636="HI",2,IF(E8636="LO",6,10))+IF(D8636=1,2,IF(D8636=7,1,(IF(WEEKDAY(B8636)=1,2,IF(WEEKDAY(B8636)=7,1,0))))))</f>
        <v>3</v>
      </c>
      <c r="H8636" s="370">
        <v>12892.824768066406</v>
      </c>
      <c r="I8636" s="370">
        <v>4254.0550231933594</v>
      </c>
      <c r="M8636" s="371">
        <f t="shared" si="537"/>
        <v>13576.520711891661</v>
      </c>
      <c r="N8636" s="329">
        <f t="shared" si="538"/>
        <v>386.20759277343768</v>
      </c>
      <c r="T8636" s="331">
        <v>0</v>
      </c>
      <c r="U8636" s="328">
        <f>VLOOKUP(C8636,METADATA!$J$5:$Q$29,IF(E8636="HI",2,IF(E8636="LO",6,10))+IF(T8636=1,2,IF(D8636=7,1,(IF(WEEKDAY(B8636)=1,2,IF(WEEKDAY(B8636)=7,1,0))))))</f>
        <v>2</v>
      </c>
      <c r="V8636" s="328">
        <f>VLOOKUP(C8636,METADATA!$A$5:$H$29,IF(E8636="HI",2,IF(E8636="LO",6,10))+IF(T8636=1,2,IF(D8636=7,1,(IF(WEEKDAY(B8636)=1,2,IF(WEEKDAY(B8636)=7,1,0))))))</f>
        <v>2</v>
      </c>
    </row>
    <row r="8637" spans="2:22">
      <c r="B8637" s="318">
        <f t="shared" si="539"/>
        <v>46472</v>
      </c>
      <c r="C8637" s="312">
        <v>17</v>
      </c>
      <c r="D8637" s="368">
        <f>IFERROR((INDEX(METADATA!$T$2:$T$20,MATCH(B8637,METADATA!$S$2:$S$20,0))),0)</f>
        <v>1</v>
      </c>
      <c r="E8637" s="312" t="str">
        <f t="shared" si="536"/>
        <v>LO</v>
      </c>
      <c r="F8637" s="369">
        <f>VLOOKUP(C8637,METADATA!$A$5:$H$29,IF(E8637="HI",2,IF(E8637="LO",6,10))+IF(D8637=1,2,IF(D8637=7,1,(IF(WEEKDAY(B8637)=1,2,IF(WEEKDAY(B8637)=7,1,0))))))</f>
        <v>3</v>
      </c>
      <c r="G8637" s="369">
        <f>VLOOKUP(C8637,METADATA!$J$5:$Q$29,IF(E8637="HI",2,IF(E8637="LO",6,10))+IF(D8637=1,2,IF(D8637=7,1,(IF(WEEKDAY(B8637)=1,2,IF(WEEKDAY(B8637)=7,1,0))))))</f>
        <v>3</v>
      </c>
      <c r="H8637" s="370">
        <v>12798.10009765625</v>
      </c>
      <c r="I8637" s="370">
        <v>4188.9800109863281</v>
      </c>
      <c r="M8637" s="371">
        <f t="shared" si="537"/>
        <v>13466.214005505479</v>
      </c>
      <c r="N8637" s="329">
        <f t="shared" si="538"/>
        <v>349.54998168945349</v>
      </c>
      <c r="T8637" s="331">
        <v>0</v>
      </c>
      <c r="U8637" s="328">
        <f>VLOOKUP(C8637,METADATA!$J$5:$Q$29,IF(E8637="HI",2,IF(E8637="LO",6,10))+IF(T8637=1,2,IF(D8637=7,1,(IF(WEEKDAY(B8637)=1,2,IF(WEEKDAY(B8637)=7,1,0))))))</f>
        <v>2</v>
      </c>
      <c r="V8637" s="328">
        <f>VLOOKUP(C8637,METADATA!$A$5:$H$29,IF(E8637="HI",2,IF(E8637="LO",6,10))+IF(T8637=1,2,IF(D8637=7,1,(IF(WEEKDAY(B8637)=1,2,IF(WEEKDAY(B8637)=7,1,0))))))</f>
        <v>2</v>
      </c>
    </row>
    <row r="8638" spans="2:22">
      <c r="B8638" s="318">
        <f t="shared" si="539"/>
        <v>46472</v>
      </c>
      <c r="C8638" s="312">
        <v>18</v>
      </c>
      <c r="D8638" s="368">
        <f>IFERROR((INDEX(METADATA!$T$2:$T$20,MATCH(B8638,METADATA!$S$2:$S$20,0))),0)</f>
        <v>1</v>
      </c>
      <c r="E8638" s="312" t="str">
        <f t="shared" si="536"/>
        <v>LO</v>
      </c>
      <c r="F8638" s="369">
        <f>VLOOKUP(C8638,METADATA!$A$5:$H$29,IF(E8638="HI",2,IF(E8638="LO",6,10))+IF(D8638=1,2,IF(D8638=7,1,(IF(WEEKDAY(B8638)=1,2,IF(WEEKDAY(B8638)=7,1,0))))))</f>
        <v>2</v>
      </c>
      <c r="G8638" s="369">
        <f>VLOOKUP(C8638,METADATA!$J$5:$Q$29,IF(E8638="HI",2,IF(E8638="LO",6,10))+IF(D8638=1,2,IF(D8638=7,1,(IF(WEEKDAY(B8638)=1,2,IF(WEEKDAY(B8638)=7,1,0))))))</f>
        <v>2</v>
      </c>
      <c r="H8638" s="370">
        <v>12798.200256347656</v>
      </c>
      <c r="I8638" s="370">
        <v>4088.4649658203125</v>
      </c>
      <c r="M8638" s="371">
        <f t="shared" si="537"/>
        <v>13435.381482426068</v>
      </c>
      <c r="N8638" s="329">
        <f t="shared" si="538"/>
        <v>249.00488891601572</v>
      </c>
      <c r="T8638" s="331">
        <v>0</v>
      </c>
      <c r="U8638" s="328">
        <f>VLOOKUP(C8638,METADATA!$J$5:$Q$29,IF(E8638="HI",2,IF(E8638="LO",6,10))+IF(T8638=1,2,IF(D8638=7,1,(IF(WEEKDAY(B8638)=1,2,IF(WEEKDAY(B8638)=7,1,0))))))</f>
        <v>1</v>
      </c>
      <c r="V8638" s="328">
        <f>VLOOKUP(C8638,METADATA!$A$5:$H$29,IF(E8638="HI",2,IF(E8638="LO",6,10))+IF(T8638=1,2,IF(D8638=7,1,(IF(WEEKDAY(B8638)=1,2,IF(WEEKDAY(B8638)=7,1,0))))))</f>
        <v>1</v>
      </c>
    </row>
    <row r="8639" spans="2:22">
      <c r="B8639" s="318">
        <f t="shared" si="539"/>
        <v>46472</v>
      </c>
      <c r="C8639" s="312">
        <v>19</v>
      </c>
      <c r="D8639" s="368">
        <f>IFERROR((INDEX(METADATA!$T$2:$T$20,MATCH(B8639,METADATA!$S$2:$S$20,0))),0)</f>
        <v>1</v>
      </c>
      <c r="E8639" s="312" t="str">
        <f t="shared" si="536"/>
        <v>LO</v>
      </c>
      <c r="F8639" s="369">
        <f>VLOOKUP(C8639,METADATA!$A$5:$H$29,IF(E8639="HI",2,IF(E8639="LO",6,10))+IF(D8639=1,2,IF(D8639=7,1,(IF(WEEKDAY(B8639)=1,2,IF(WEEKDAY(B8639)=7,1,0))))))</f>
        <v>2</v>
      </c>
      <c r="G8639" s="369">
        <f>VLOOKUP(C8639,METADATA!$J$5:$Q$29,IF(E8639="HI",2,IF(E8639="LO",6,10))+IF(D8639=1,2,IF(D8639=7,1,(IF(WEEKDAY(B8639)=1,2,IF(WEEKDAY(B8639)=7,1,0))))))</f>
        <v>2</v>
      </c>
      <c r="H8639" s="370">
        <v>12907.450134277344</v>
      </c>
      <c r="I8639" s="370">
        <v>4166.8250427246094</v>
      </c>
      <c r="M8639" s="371">
        <f t="shared" si="537"/>
        <v>13563.358725092143</v>
      </c>
      <c r="N8639" s="329">
        <f t="shared" si="538"/>
        <v>294.59000244140634</v>
      </c>
      <c r="T8639" s="331">
        <v>0</v>
      </c>
      <c r="U8639" s="328">
        <f>VLOOKUP(C8639,METADATA!$J$5:$Q$29,IF(E8639="HI",2,IF(E8639="LO",6,10))+IF(T8639=1,2,IF(D8639=7,1,(IF(WEEKDAY(B8639)=1,2,IF(WEEKDAY(B8639)=7,1,0))))))</f>
        <v>1</v>
      </c>
      <c r="V8639" s="328">
        <f>VLOOKUP(C8639,METADATA!$A$5:$H$29,IF(E8639="HI",2,IF(E8639="LO",6,10))+IF(T8639=1,2,IF(D8639=7,1,(IF(WEEKDAY(B8639)=1,2,IF(WEEKDAY(B8639)=7,1,0))))))</f>
        <v>1</v>
      </c>
    </row>
    <row r="8640" spans="2:22">
      <c r="B8640" s="318">
        <f t="shared" si="539"/>
        <v>46472</v>
      </c>
      <c r="C8640" s="312">
        <v>20</v>
      </c>
      <c r="D8640" s="368">
        <f>IFERROR((INDEX(METADATA!$T$2:$T$20,MATCH(B8640,METADATA!$S$2:$S$20,0))),0)</f>
        <v>1</v>
      </c>
      <c r="E8640" s="312" t="str">
        <f t="shared" si="536"/>
        <v>LO</v>
      </c>
      <c r="F8640" s="369">
        <f>VLOOKUP(C8640,METADATA!$A$5:$H$29,IF(E8640="HI",2,IF(E8640="LO",6,10))+IF(D8640=1,2,IF(D8640=7,1,(IF(WEEKDAY(B8640)=1,2,IF(WEEKDAY(B8640)=7,1,0))))))</f>
        <v>3</v>
      </c>
      <c r="G8640" s="369">
        <f>VLOOKUP(C8640,METADATA!$J$5:$Q$29,IF(E8640="HI",2,IF(E8640="LO",6,10))+IF(D8640=1,2,IF(D8640=7,1,(IF(WEEKDAY(B8640)=1,2,IF(WEEKDAY(B8640)=7,1,0))))))</f>
        <v>3</v>
      </c>
      <c r="H8640" s="370">
        <v>12933.2001953125</v>
      </c>
      <c r="I8640" s="370">
        <v>4284.5399169921875</v>
      </c>
      <c r="M8640" s="371">
        <f t="shared" si="537"/>
        <v>13624.424743538008</v>
      </c>
      <c r="N8640" s="329">
        <f t="shared" si="538"/>
        <v>404.57985839843786</v>
      </c>
      <c r="T8640" s="331">
        <v>0</v>
      </c>
      <c r="U8640" s="328">
        <f>VLOOKUP(C8640,METADATA!$J$5:$Q$29,IF(E8640="HI",2,IF(E8640="LO",6,10))+IF(T8640=1,2,IF(D8640=7,1,(IF(WEEKDAY(B8640)=1,2,IF(WEEKDAY(B8640)=7,1,0))))))</f>
        <v>1</v>
      </c>
      <c r="V8640" s="328">
        <f>VLOOKUP(C8640,METADATA!$A$5:$H$29,IF(E8640="HI",2,IF(E8640="LO",6,10))+IF(T8640=1,2,IF(D8640=7,1,(IF(WEEKDAY(B8640)=1,2,IF(WEEKDAY(B8640)=7,1,0))))))</f>
        <v>1</v>
      </c>
    </row>
    <row r="8641" spans="2:22">
      <c r="B8641" s="318">
        <f t="shared" si="539"/>
        <v>46472</v>
      </c>
      <c r="C8641" s="312">
        <v>21</v>
      </c>
      <c r="D8641" s="368">
        <f>IFERROR((INDEX(METADATA!$T$2:$T$20,MATCH(B8641,METADATA!$S$2:$S$20,0))),0)</f>
        <v>1</v>
      </c>
      <c r="E8641" s="312" t="str">
        <f t="shared" si="536"/>
        <v>LO</v>
      </c>
      <c r="F8641" s="369">
        <f>VLOOKUP(C8641,METADATA!$A$5:$H$29,IF(E8641="HI",2,IF(E8641="LO",6,10))+IF(D8641=1,2,IF(D8641=7,1,(IF(WEEKDAY(B8641)=1,2,IF(WEEKDAY(B8641)=7,1,0))))))</f>
        <v>3</v>
      </c>
      <c r="G8641" s="369">
        <f>VLOOKUP(C8641,METADATA!$J$5:$Q$29,IF(E8641="HI",2,IF(E8641="LO",6,10))+IF(D8641=1,2,IF(D8641=7,1,(IF(WEEKDAY(B8641)=1,2,IF(WEEKDAY(B8641)=7,1,0))))))</f>
        <v>3</v>
      </c>
      <c r="H8641" s="370">
        <v>12927.675354003906</v>
      </c>
      <c r="I8641" s="370">
        <v>4323.0598754882813</v>
      </c>
      <c r="M8641" s="371">
        <f t="shared" si="537"/>
        <v>13631.347576288148</v>
      </c>
      <c r="N8641" s="329">
        <f t="shared" si="538"/>
        <v>444.75726928710947</v>
      </c>
      <c r="T8641" s="331">
        <v>0</v>
      </c>
      <c r="U8641" s="328">
        <f>VLOOKUP(C8641,METADATA!$J$5:$Q$29,IF(E8641="HI",2,IF(E8641="LO",6,10))+IF(T8641=1,2,IF(D8641=7,1,(IF(WEEKDAY(B8641)=1,2,IF(WEEKDAY(B8641)=7,1,0))))))</f>
        <v>2</v>
      </c>
      <c r="V8641" s="328">
        <f>VLOOKUP(C8641,METADATA!$A$5:$H$29,IF(E8641="HI",2,IF(E8641="LO",6,10))+IF(T8641=1,2,IF(D8641=7,1,(IF(WEEKDAY(B8641)=1,2,IF(WEEKDAY(B8641)=7,1,0))))))</f>
        <v>2</v>
      </c>
    </row>
    <row r="8642" spans="2:22">
      <c r="B8642" s="318">
        <f t="shared" si="539"/>
        <v>46472</v>
      </c>
      <c r="C8642" s="312">
        <v>22</v>
      </c>
      <c r="D8642" s="368">
        <f>IFERROR((INDEX(METADATA!$T$2:$T$20,MATCH(B8642,METADATA!$S$2:$S$20,0))),0)</f>
        <v>1</v>
      </c>
      <c r="E8642" s="312" t="str">
        <f t="shared" si="536"/>
        <v>LO</v>
      </c>
      <c r="F8642" s="369">
        <f>VLOOKUP(C8642,METADATA!$A$5:$H$29,IF(E8642="HI",2,IF(E8642="LO",6,10))+IF(D8642=1,2,IF(D8642=7,1,(IF(WEEKDAY(B8642)=1,2,IF(WEEKDAY(B8642)=7,1,0))))))</f>
        <v>3</v>
      </c>
      <c r="G8642" s="369">
        <f>VLOOKUP(C8642,METADATA!$J$5:$Q$29,IF(E8642="HI",2,IF(E8642="LO",6,10))+IF(D8642=1,2,IF(D8642=7,1,(IF(WEEKDAY(B8642)=1,2,IF(WEEKDAY(B8642)=7,1,0))))))</f>
        <v>3</v>
      </c>
      <c r="H8642" s="370">
        <v>12667.22509765625</v>
      </c>
      <c r="I8642" s="370">
        <v>4205.1449584960938</v>
      </c>
      <c r="M8642" s="371">
        <f t="shared" si="537"/>
        <v>13346.978526867326</v>
      </c>
      <c r="N8642" s="329">
        <f t="shared" si="538"/>
        <v>404.97742919921893</v>
      </c>
      <c r="T8642" s="331">
        <v>0</v>
      </c>
      <c r="U8642" s="328">
        <f>VLOOKUP(C8642,METADATA!$J$5:$Q$29,IF(E8642="HI",2,IF(E8642="LO",6,10))+IF(T8642=1,2,IF(D8642=7,1,(IF(WEEKDAY(B8642)=1,2,IF(WEEKDAY(B8642)=7,1,0))))))</f>
        <v>3</v>
      </c>
      <c r="V8642" s="328">
        <f>VLOOKUP(C8642,METADATA!$A$5:$H$29,IF(E8642="HI",2,IF(E8642="LO",6,10))+IF(T8642=1,2,IF(D8642=7,1,(IF(WEEKDAY(B8642)=1,2,IF(WEEKDAY(B8642)=7,1,0))))))</f>
        <v>3</v>
      </c>
    </row>
    <row r="8643" spans="2:22">
      <c r="B8643" s="318">
        <f t="shared" si="539"/>
        <v>46472</v>
      </c>
      <c r="C8643" s="312">
        <v>23</v>
      </c>
      <c r="D8643" s="368">
        <f>IFERROR((INDEX(METADATA!$T$2:$T$20,MATCH(B8643,METADATA!$S$2:$S$20,0))),0)</f>
        <v>1</v>
      </c>
      <c r="E8643" s="312" t="str">
        <f t="shared" si="536"/>
        <v>LO</v>
      </c>
      <c r="F8643" s="369">
        <f>VLOOKUP(C8643,METADATA!$A$5:$H$29,IF(E8643="HI",2,IF(E8643="LO",6,10))+IF(D8643=1,2,IF(D8643=7,1,(IF(WEEKDAY(B8643)=1,2,IF(WEEKDAY(B8643)=7,1,0))))))</f>
        <v>3</v>
      </c>
      <c r="G8643" s="369">
        <f>VLOOKUP(C8643,METADATA!$J$5:$Q$29,IF(E8643="HI",2,IF(E8643="LO",6,10))+IF(D8643=1,2,IF(D8643=7,1,(IF(WEEKDAY(B8643)=1,2,IF(WEEKDAY(B8643)=7,1,0))))))</f>
        <v>3</v>
      </c>
      <c r="H8643" s="370">
        <v>12686.400085449219</v>
      </c>
      <c r="I8643" s="370">
        <v>4162.2550048828125</v>
      </c>
      <c r="M8643" s="371">
        <f t="shared" si="537"/>
        <v>13351.745723078986</v>
      </c>
      <c r="N8643" s="329">
        <f t="shared" si="538"/>
        <v>356.33497924804715</v>
      </c>
      <c r="T8643" s="331">
        <v>0</v>
      </c>
      <c r="U8643" s="328">
        <f>VLOOKUP(C8643,METADATA!$J$5:$Q$29,IF(E8643="HI",2,IF(E8643="LO",6,10))+IF(T8643=1,2,IF(D8643=7,1,(IF(WEEKDAY(B8643)=1,2,IF(WEEKDAY(B8643)=7,1,0))))))</f>
        <v>3</v>
      </c>
      <c r="V8643" s="328">
        <f>VLOOKUP(C8643,METADATA!$A$5:$H$29,IF(E8643="HI",2,IF(E8643="LO",6,10))+IF(T8643=1,2,IF(D8643=7,1,(IF(WEEKDAY(B8643)=1,2,IF(WEEKDAY(B8643)=7,1,0))))))</f>
        <v>3</v>
      </c>
    </row>
    <row r="8644" spans="2:22">
      <c r="B8644" s="318">
        <f t="shared" si="539"/>
        <v>46473</v>
      </c>
      <c r="C8644" s="312">
        <v>0</v>
      </c>
      <c r="D8644" s="368">
        <f>IFERROR((INDEX(METADATA!$T$2:$T$20,MATCH(B8644,METADATA!$S$2:$S$20,0))),0)</f>
        <v>0</v>
      </c>
      <c r="E8644" s="312" t="str">
        <f t="shared" ref="E8644:E8707" si="540">IF(B8644="","",IF(AND(MONTH(B8644)&gt;=MONTH($Z$9),MONTH(B8644)&lt;=MONTH($Z$11)),"HI","LO"))</f>
        <v>LO</v>
      </c>
      <c r="F8644" s="369">
        <f>VLOOKUP(C8644,METADATA!$A$5:$H$29,IF(E8644="HI",2,IF(E8644="LO",6,10))+IF(D8644=1,2,IF(D8644=7,1,(IF(WEEKDAY(B8644)=1,2,IF(WEEKDAY(B8644)=7,1,0))))))</f>
        <v>3</v>
      </c>
      <c r="G8644" s="369">
        <f>VLOOKUP(C8644,METADATA!$J$5:$Q$29,IF(E8644="HI",2,IF(E8644="LO",6,10))+IF(D8644=1,2,IF(D8644=7,1,(IF(WEEKDAY(B8644)=1,2,IF(WEEKDAY(B8644)=7,1,0))))))</f>
        <v>3</v>
      </c>
      <c r="H8644" s="370">
        <v>12627.374877929688</v>
      </c>
      <c r="I8644" s="370">
        <v>4053.0799865722656</v>
      </c>
      <c r="M8644" s="371">
        <f t="shared" ref="M8644:M8707" si="541">SQRT(H8644^2+I8644^2)</f>
        <v>13261.902340362878</v>
      </c>
      <c r="N8644" s="329">
        <f t="shared" ref="N8644:N8707" si="542">IF(H8644=0,0,(IF(I8644-(0.3*H8644)&lt;0,0,(I8644-(0.3*H8644)))))</f>
        <v>264.86752319335938</v>
      </c>
      <c r="T8644" s="331">
        <v>0</v>
      </c>
      <c r="U8644" s="328">
        <f>VLOOKUP(C8644,METADATA!$J$5:$Q$29,IF(E8644="HI",2,IF(E8644="LO",6,10))+IF(T8644=1,2,IF(D8644=7,1,(IF(WEEKDAY(B8644)=1,2,IF(WEEKDAY(B8644)=7,1,0))))))</f>
        <v>3</v>
      </c>
      <c r="V8644" s="328">
        <f>VLOOKUP(C8644,METADATA!$A$5:$H$29,IF(E8644="HI",2,IF(E8644="LO",6,10))+IF(T8644=1,2,IF(D8644=7,1,(IF(WEEKDAY(B8644)=1,2,IF(WEEKDAY(B8644)=7,1,0))))))</f>
        <v>3</v>
      </c>
    </row>
    <row r="8645" spans="2:22">
      <c r="B8645" s="318">
        <f t="shared" si="539"/>
        <v>46473</v>
      </c>
      <c r="C8645" s="312">
        <v>1</v>
      </c>
      <c r="D8645" s="368">
        <f>IFERROR((INDEX(METADATA!$T$2:$T$20,MATCH(B8645,METADATA!$S$2:$S$20,0))),0)</f>
        <v>0</v>
      </c>
      <c r="E8645" s="312" t="str">
        <f t="shared" si="540"/>
        <v>LO</v>
      </c>
      <c r="F8645" s="369">
        <f>VLOOKUP(C8645,METADATA!$A$5:$H$29,IF(E8645="HI",2,IF(E8645="LO",6,10))+IF(D8645=1,2,IF(D8645=7,1,(IF(WEEKDAY(B8645)=1,2,IF(WEEKDAY(B8645)=7,1,0))))))</f>
        <v>3</v>
      </c>
      <c r="G8645" s="369">
        <f>VLOOKUP(C8645,METADATA!$J$5:$Q$29,IF(E8645="HI",2,IF(E8645="LO",6,10))+IF(D8645=1,2,IF(D8645=7,1,(IF(WEEKDAY(B8645)=1,2,IF(WEEKDAY(B8645)=7,1,0))))))</f>
        <v>3</v>
      </c>
      <c r="H8645" s="370">
        <v>12731.700134277344</v>
      </c>
      <c r="I8645" s="370">
        <v>4122.0725708007813</v>
      </c>
      <c r="M8645" s="371">
        <f t="shared" si="541"/>
        <v>13382.364162886388</v>
      </c>
      <c r="N8645" s="329">
        <f t="shared" si="542"/>
        <v>302.56253051757813</v>
      </c>
      <c r="T8645" s="331">
        <v>0</v>
      </c>
      <c r="U8645" s="328">
        <f>VLOOKUP(C8645,METADATA!$J$5:$Q$29,IF(E8645="HI",2,IF(E8645="LO",6,10))+IF(T8645=1,2,IF(D8645=7,1,(IF(WEEKDAY(B8645)=1,2,IF(WEEKDAY(B8645)=7,1,0))))))</f>
        <v>3</v>
      </c>
      <c r="V8645" s="328">
        <f>VLOOKUP(C8645,METADATA!$A$5:$H$29,IF(E8645="HI",2,IF(E8645="LO",6,10))+IF(T8645=1,2,IF(D8645=7,1,(IF(WEEKDAY(B8645)=1,2,IF(WEEKDAY(B8645)=7,1,0))))))</f>
        <v>3</v>
      </c>
    </row>
    <row r="8646" spans="2:22">
      <c r="B8646" s="318">
        <f t="shared" si="539"/>
        <v>46473</v>
      </c>
      <c r="C8646" s="312">
        <v>2</v>
      </c>
      <c r="D8646" s="368">
        <f>IFERROR((INDEX(METADATA!$T$2:$T$20,MATCH(B8646,METADATA!$S$2:$S$20,0))),0)</f>
        <v>0</v>
      </c>
      <c r="E8646" s="312" t="str">
        <f t="shared" si="540"/>
        <v>LO</v>
      </c>
      <c r="F8646" s="369">
        <f>VLOOKUP(C8646,METADATA!$A$5:$H$29,IF(E8646="HI",2,IF(E8646="LO",6,10))+IF(D8646=1,2,IF(D8646=7,1,(IF(WEEKDAY(B8646)=1,2,IF(WEEKDAY(B8646)=7,1,0))))))</f>
        <v>3</v>
      </c>
      <c r="G8646" s="369">
        <f>VLOOKUP(C8646,METADATA!$J$5:$Q$29,IF(E8646="HI",2,IF(E8646="LO",6,10))+IF(D8646=1,2,IF(D8646=7,1,(IF(WEEKDAY(B8646)=1,2,IF(WEEKDAY(B8646)=7,1,0))))))</f>
        <v>3</v>
      </c>
      <c r="H8646" s="370">
        <v>12817.024963378906</v>
      </c>
      <c r="I8646" s="370">
        <v>4228.5050354003906</v>
      </c>
      <c r="M8646" s="371">
        <f t="shared" si="541"/>
        <v>13496.532285971998</v>
      </c>
      <c r="N8646" s="329">
        <f t="shared" si="542"/>
        <v>383.39754638671911</v>
      </c>
      <c r="T8646" s="331">
        <v>0</v>
      </c>
      <c r="U8646" s="328">
        <f>VLOOKUP(C8646,METADATA!$J$5:$Q$29,IF(E8646="HI",2,IF(E8646="LO",6,10))+IF(T8646=1,2,IF(D8646=7,1,(IF(WEEKDAY(B8646)=1,2,IF(WEEKDAY(B8646)=7,1,0))))))</f>
        <v>3</v>
      </c>
      <c r="V8646" s="328">
        <f>VLOOKUP(C8646,METADATA!$A$5:$H$29,IF(E8646="HI",2,IF(E8646="LO",6,10))+IF(T8646=1,2,IF(D8646=7,1,(IF(WEEKDAY(B8646)=1,2,IF(WEEKDAY(B8646)=7,1,0))))))</f>
        <v>3</v>
      </c>
    </row>
    <row r="8647" spans="2:22">
      <c r="B8647" s="318">
        <f t="shared" si="539"/>
        <v>46473</v>
      </c>
      <c r="C8647" s="312">
        <v>3</v>
      </c>
      <c r="D8647" s="368">
        <f>IFERROR((INDEX(METADATA!$T$2:$T$20,MATCH(B8647,METADATA!$S$2:$S$20,0))),0)</f>
        <v>0</v>
      </c>
      <c r="E8647" s="312" t="str">
        <f t="shared" si="540"/>
        <v>LO</v>
      </c>
      <c r="F8647" s="369">
        <f>VLOOKUP(C8647,METADATA!$A$5:$H$29,IF(E8647="HI",2,IF(E8647="LO",6,10))+IF(D8647=1,2,IF(D8647=7,1,(IF(WEEKDAY(B8647)=1,2,IF(WEEKDAY(B8647)=7,1,0))))))</f>
        <v>3</v>
      </c>
      <c r="G8647" s="369">
        <f>VLOOKUP(C8647,METADATA!$J$5:$Q$29,IF(E8647="HI",2,IF(E8647="LO",6,10))+IF(D8647=1,2,IF(D8647=7,1,(IF(WEEKDAY(B8647)=1,2,IF(WEEKDAY(B8647)=7,1,0))))))</f>
        <v>3</v>
      </c>
      <c r="H8647" s="370">
        <v>12719.749938964844</v>
      </c>
      <c r="I8647" s="370">
        <v>4125.8550720214844</v>
      </c>
      <c r="M8647" s="371">
        <f t="shared" si="541"/>
        <v>13372.162075936769</v>
      </c>
      <c r="N8647" s="329">
        <f t="shared" si="542"/>
        <v>309.93009033203134</v>
      </c>
      <c r="T8647" s="331">
        <v>0</v>
      </c>
      <c r="U8647" s="328">
        <f>VLOOKUP(C8647,METADATA!$J$5:$Q$29,IF(E8647="HI",2,IF(E8647="LO",6,10))+IF(T8647=1,2,IF(D8647=7,1,(IF(WEEKDAY(B8647)=1,2,IF(WEEKDAY(B8647)=7,1,0))))))</f>
        <v>3</v>
      </c>
      <c r="V8647" s="328">
        <f>VLOOKUP(C8647,METADATA!$A$5:$H$29,IF(E8647="HI",2,IF(E8647="LO",6,10))+IF(T8647=1,2,IF(D8647=7,1,(IF(WEEKDAY(B8647)=1,2,IF(WEEKDAY(B8647)=7,1,0))))))</f>
        <v>3</v>
      </c>
    </row>
    <row r="8648" spans="2:22">
      <c r="B8648" s="318">
        <f t="shared" si="539"/>
        <v>46473</v>
      </c>
      <c r="C8648" s="312">
        <v>4</v>
      </c>
      <c r="D8648" s="368">
        <f>IFERROR((INDEX(METADATA!$T$2:$T$20,MATCH(B8648,METADATA!$S$2:$S$20,0))),0)</f>
        <v>0</v>
      </c>
      <c r="E8648" s="312" t="str">
        <f t="shared" si="540"/>
        <v>LO</v>
      </c>
      <c r="F8648" s="369">
        <f>VLOOKUP(C8648,METADATA!$A$5:$H$29,IF(E8648="HI",2,IF(E8648="LO",6,10))+IF(D8648=1,2,IF(D8648=7,1,(IF(WEEKDAY(B8648)=1,2,IF(WEEKDAY(B8648)=7,1,0))))))</f>
        <v>3</v>
      </c>
      <c r="G8648" s="369">
        <f>VLOOKUP(C8648,METADATA!$J$5:$Q$29,IF(E8648="HI",2,IF(E8648="LO",6,10))+IF(D8648=1,2,IF(D8648=7,1,(IF(WEEKDAY(B8648)=1,2,IF(WEEKDAY(B8648)=7,1,0))))))</f>
        <v>3</v>
      </c>
      <c r="H8648" s="370">
        <v>12568.950561523438</v>
      </c>
      <c r="I8648" s="370">
        <v>4120.8599548339844</v>
      </c>
      <c r="M8648" s="371">
        <f t="shared" si="541"/>
        <v>13227.24479948015</v>
      </c>
      <c r="N8648" s="329">
        <f t="shared" si="542"/>
        <v>350.17478637695331</v>
      </c>
      <c r="T8648" s="331">
        <v>0</v>
      </c>
      <c r="U8648" s="328">
        <f>VLOOKUP(C8648,METADATA!$J$5:$Q$29,IF(E8648="HI",2,IF(E8648="LO",6,10))+IF(T8648=1,2,IF(D8648=7,1,(IF(WEEKDAY(B8648)=1,2,IF(WEEKDAY(B8648)=7,1,0))))))</f>
        <v>3</v>
      </c>
      <c r="V8648" s="328">
        <f>VLOOKUP(C8648,METADATA!$A$5:$H$29,IF(E8648="HI",2,IF(E8648="LO",6,10))+IF(T8648=1,2,IF(D8648=7,1,(IF(WEEKDAY(B8648)=1,2,IF(WEEKDAY(B8648)=7,1,0))))))</f>
        <v>3</v>
      </c>
    </row>
    <row r="8649" spans="2:22">
      <c r="B8649" s="318">
        <f t="shared" si="539"/>
        <v>46473</v>
      </c>
      <c r="C8649" s="312">
        <v>5</v>
      </c>
      <c r="D8649" s="368">
        <f>IFERROR((INDEX(METADATA!$T$2:$T$20,MATCH(B8649,METADATA!$S$2:$S$20,0))),0)</f>
        <v>0</v>
      </c>
      <c r="E8649" s="312" t="str">
        <f t="shared" si="540"/>
        <v>LO</v>
      </c>
      <c r="F8649" s="369">
        <f>VLOOKUP(C8649,METADATA!$A$5:$H$29,IF(E8649="HI",2,IF(E8649="LO",6,10))+IF(D8649=1,2,IF(D8649=7,1,(IF(WEEKDAY(B8649)=1,2,IF(WEEKDAY(B8649)=7,1,0))))))</f>
        <v>3</v>
      </c>
      <c r="G8649" s="369">
        <f>VLOOKUP(C8649,METADATA!$J$5:$Q$29,IF(E8649="HI",2,IF(E8649="LO",6,10))+IF(D8649=1,2,IF(D8649=7,1,(IF(WEEKDAY(B8649)=1,2,IF(WEEKDAY(B8649)=7,1,0))))))</f>
        <v>3</v>
      </c>
      <c r="H8649" s="370">
        <v>12778.350036621094</v>
      </c>
      <c r="I8649" s="370">
        <v>4061.5549926757813</v>
      </c>
      <c r="M8649" s="371">
        <f t="shared" si="541"/>
        <v>13408.29812530076</v>
      </c>
      <c r="N8649" s="329">
        <f t="shared" si="542"/>
        <v>228.04998168945349</v>
      </c>
      <c r="T8649" s="331">
        <v>0</v>
      </c>
      <c r="U8649" s="328">
        <f>VLOOKUP(C8649,METADATA!$J$5:$Q$29,IF(E8649="HI",2,IF(E8649="LO",6,10))+IF(T8649=1,2,IF(D8649=7,1,(IF(WEEKDAY(B8649)=1,2,IF(WEEKDAY(B8649)=7,1,0))))))</f>
        <v>3</v>
      </c>
      <c r="V8649" s="328">
        <f>VLOOKUP(C8649,METADATA!$A$5:$H$29,IF(E8649="HI",2,IF(E8649="LO",6,10))+IF(T8649=1,2,IF(D8649=7,1,(IF(WEEKDAY(B8649)=1,2,IF(WEEKDAY(B8649)=7,1,0))))))</f>
        <v>3</v>
      </c>
    </row>
    <row r="8650" spans="2:22">
      <c r="B8650" s="318">
        <f t="shared" si="539"/>
        <v>46473</v>
      </c>
      <c r="C8650" s="312">
        <v>6</v>
      </c>
      <c r="D8650" s="368">
        <f>IFERROR((INDEX(METADATA!$T$2:$T$20,MATCH(B8650,METADATA!$S$2:$S$20,0))),0)</f>
        <v>0</v>
      </c>
      <c r="E8650" s="312" t="str">
        <f t="shared" si="540"/>
        <v>LO</v>
      </c>
      <c r="F8650" s="369">
        <f>VLOOKUP(C8650,METADATA!$A$5:$H$29,IF(E8650="HI",2,IF(E8650="LO",6,10))+IF(D8650=1,2,IF(D8650=7,1,(IF(WEEKDAY(B8650)=1,2,IF(WEEKDAY(B8650)=7,1,0))))))</f>
        <v>3</v>
      </c>
      <c r="G8650" s="369">
        <f>VLOOKUP(C8650,METADATA!$J$5:$Q$29,IF(E8650="HI",2,IF(E8650="LO",6,10))+IF(D8650=1,2,IF(D8650=7,1,(IF(WEEKDAY(B8650)=1,2,IF(WEEKDAY(B8650)=7,1,0))))))</f>
        <v>3</v>
      </c>
      <c r="H8650" s="370">
        <v>12497.299926757813</v>
      </c>
      <c r="I8650" s="370">
        <v>3999.7999267578125</v>
      </c>
      <c r="M8650" s="371">
        <f t="shared" si="541"/>
        <v>13121.772171221104</v>
      </c>
      <c r="N8650" s="329">
        <f t="shared" si="542"/>
        <v>250.60994873046911</v>
      </c>
      <c r="T8650" s="331">
        <v>0</v>
      </c>
      <c r="U8650" s="328">
        <f>VLOOKUP(C8650,METADATA!$J$5:$Q$29,IF(E8650="HI",2,IF(E8650="LO",6,10))+IF(T8650=1,2,IF(D8650=7,1,(IF(WEEKDAY(B8650)=1,2,IF(WEEKDAY(B8650)=7,1,0))))))</f>
        <v>3</v>
      </c>
      <c r="V8650" s="328">
        <f>VLOOKUP(C8650,METADATA!$A$5:$H$29,IF(E8650="HI",2,IF(E8650="LO",6,10))+IF(T8650=1,2,IF(D8650=7,1,(IF(WEEKDAY(B8650)=1,2,IF(WEEKDAY(B8650)=7,1,0))))))</f>
        <v>3</v>
      </c>
    </row>
    <row r="8651" spans="2:22">
      <c r="B8651" s="318">
        <f t="shared" si="539"/>
        <v>46473</v>
      </c>
      <c r="C8651" s="312">
        <v>7</v>
      </c>
      <c r="D8651" s="368">
        <f>IFERROR((INDEX(METADATA!$T$2:$T$20,MATCH(B8651,METADATA!$S$2:$S$20,0))),0)</f>
        <v>0</v>
      </c>
      <c r="E8651" s="312" t="str">
        <f t="shared" si="540"/>
        <v>LO</v>
      </c>
      <c r="F8651" s="369">
        <f>VLOOKUP(C8651,METADATA!$A$5:$H$29,IF(E8651="HI",2,IF(E8651="LO",6,10))+IF(D8651=1,2,IF(D8651=7,1,(IF(WEEKDAY(B8651)=1,2,IF(WEEKDAY(B8651)=7,1,0))))))</f>
        <v>2</v>
      </c>
      <c r="G8651" s="369">
        <f>VLOOKUP(C8651,METADATA!$J$5:$Q$29,IF(E8651="HI",2,IF(E8651="LO",6,10))+IF(D8651=1,2,IF(D8651=7,1,(IF(WEEKDAY(B8651)=1,2,IF(WEEKDAY(B8651)=7,1,0))))))</f>
        <v>2</v>
      </c>
      <c r="H8651" s="370">
        <v>12514.524963378906</v>
      </c>
      <c r="I8651" s="370">
        <v>3832.405029296875</v>
      </c>
      <c r="M8651" s="371">
        <f t="shared" si="541"/>
        <v>13088.187932926918</v>
      </c>
      <c r="N8651" s="329">
        <f t="shared" si="542"/>
        <v>78.047540283203489</v>
      </c>
      <c r="T8651" s="331">
        <v>0</v>
      </c>
      <c r="U8651" s="328">
        <f>VLOOKUP(C8651,METADATA!$J$5:$Q$29,IF(E8651="HI",2,IF(E8651="LO",6,10))+IF(T8651=1,2,IF(D8651=7,1,(IF(WEEKDAY(B8651)=1,2,IF(WEEKDAY(B8651)=7,1,0))))))</f>
        <v>2</v>
      </c>
      <c r="V8651" s="328">
        <f>VLOOKUP(C8651,METADATA!$A$5:$H$29,IF(E8651="HI",2,IF(E8651="LO",6,10))+IF(T8651=1,2,IF(D8651=7,1,(IF(WEEKDAY(B8651)=1,2,IF(WEEKDAY(B8651)=7,1,0))))))</f>
        <v>2</v>
      </c>
    </row>
    <row r="8652" spans="2:22">
      <c r="B8652" s="318">
        <f t="shared" si="539"/>
        <v>46473</v>
      </c>
      <c r="C8652" s="312">
        <v>8</v>
      </c>
      <c r="D8652" s="368">
        <f>IFERROR((INDEX(METADATA!$T$2:$T$20,MATCH(B8652,METADATA!$S$2:$S$20,0))),0)</f>
        <v>0</v>
      </c>
      <c r="E8652" s="312" t="str">
        <f t="shared" si="540"/>
        <v>LO</v>
      </c>
      <c r="F8652" s="369">
        <f>VLOOKUP(C8652,METADATA!$A$5:$H$29,IF(E8652="HI",2,IF(E8652="LO",6,10))+IF(D8652=1,2,IF(D8652=7,1,(IF(WEEKDAY(B8652)=1,2,IF(WEEKDAY(B8652)=7,1,0))))))</f>
        <v>2</v>
      </c>
      <c r="G8652" s="369">
        <f>VLOOKUP(C8652,METADATA!$J$5:$Q$29,IF(E8652="HI",2,IF(E8652="LO",6,10))+IF(D8652=1,2,IF(D8652=7,1,(IF(WEEKDAY(B8652)=1,2,IF(WEEKDAY(B8652)=7,1,0))))))</f>
        <v>2</v>
      </c>
      <c r="H8652" s="370">
        <v>12568.499938964844</v>
      </c>
      <c r="I8652" s="370">
        <v>3817.2399597167969</v>
      </c>
      <c r="M8652" s="371">
        <f t="shared" si="541"/>
        <v>13135.391567281806</v>
      </c>
      <c r="N8652" s="329">
        <f t="shared" si="542"/>
        <v>46.689978027343841</v>
      </c>
      <c r="T8652" s="331">
        <v>0</v>
      </c>
      <c r="U8652" s="328">
        <f>VLOOKUP(C8652,METADATA!$J$5:$Q$29,IF(E8652="HI",2,IF(E8652="LO",6,10))+IF(T8652=1,2,IF(D8652=7,1,(IF(WEEKDAY(B8652)=1,2,IF(WEEKDAY(B8652)=7,1,0))))))</f>
        <v>2</v>
      </c>
      <c r="V8652" s="328">
        <f>VLOOKUP(C8652,METADATA!$A$5:$H$29,IF(E8652="HI",2,IF(E8652="LO",6,10))+IF(T8652=1,2,IF(D8652=7,1,(IF(WEEKDAY(B8652)=1,2,IF(WEEKDAY(B8652)=7,1,0))))))</f>
        <v>2</v>
      </c>
    </row>
    <row r="8653" spans="2:22">
      <c r="B8653" s="318">
        <f t="shared" si="539"/>
        <v>46473</v>
      </c>
      <c r="C8653" s="312">
        <v>9</v>
      </c>
      <c r="D8653" s="368">
        <f>IFERROR((INDEX(METADATA!$T$2:$T$20,MATCH(B8653,METADATA!$S$2:$S$20,0))),0)</f>
        <v>0</v>
      </c>
      <c r="E8653" s="312" t="str">
        <f t="shared" si="540"/>
        <v>LO</v>
      </c>
      <c r="F8653" s="369">
        <f>VLOOKUP(C8653,METADATA!$A$5:$H$29,IF(E8653="HI",2,IF(E8653="LO",6,10))+IF(D8653=1,2,IF(D8653=7,1,(IF(WEEKDAY(B8653)=1,2,IF(WEEKDAY(B8653)=7,1,0))))))</f>
        <v>2</v>
      </c>
      <c r="G8653" s="369">
        <f>VLOOKUP(C8653,METADATA!$J$5:$Q$29,IF(E8653="HI",2,IF(E8653="LO",6,10))+IF(D8653=1,2,IF(D8653=7,1,(IF(WEEKDAY(B8653)=1,2,IF(WEEKDAY(B8653)=7,1,0))))))</f>
        <v>2</v>
      </c>
      <c r="H8653" s="370">
        <v>12597.499877929688</v>
      </c>
      <c r="I8653" s="370">
        <v>3850.4099731445313</v>
      </c>
      <c r="M8653" s="371">
        <f t="shared" si="541"/>
        <v>13172.800011224999</v>
      </c>
      <c r="N8653" s="329">
        <f t="shared" si="542"/>
        <v>71.160009765625091</v>
      </c>
      <c r="T8653" s="331">
        <v>0</v>
      </c>
      <c r="U8653" s="328">
        <f>VLOOKUP(C8653,METADATA!$J$5:$Q$29,IF(E8653="HI",2,IF(E8653="LO",6,10))+IF(T8653=1,2,IF(D8653=7,1,(IF(WEEKDAY(B8653)=1,2,IF(WEEKDAY(B8653)=7,1,0))))))</f>
        <v>2</v>
      </c>
      <c r="V8653" s="328">
        <f>VLOOKUP(C8653,METADATA!$A$5:$H$29,IF(E8653="HI",2,IF(E8653="LO",6,10))+IF(T8653=1,2,IF(D8653=7,1,(IF(WEEKDAY(B8653)=1,2,IF(WEEKDAY(B8653)=7,1,0))))))</f>
        <v>2</v>
      </c>
    </row>
    <row r="8654" spans="2:22">
      <c r="B8654" s="318">
        <f t="shared" si="539"/>
        <v>46473</v>
      </c>
      <c r="C8654" s="312">
        <v>10</v>
      </c>
      <c r="D8654" s="368">
        <f>IFERROR((INDEX(METADATA!$T$2:$T$20,MATCH(B8654,METADATA!$S$2:$S$20,0))),0)</f>
        <v>0</v>
      </c>
      <c r="E8654" s="312" t="str">
        <f t="shared" si="540"/>
        <v>LO</v>
      </c>
      <c r="F8654" s="369">
        <f>VLOOKUP(C8654,METADATA!$A$5:$H$29,IF(E8654="HI",2,IF(E8654="LO",6,10))+IF(D8654=1,2,IF(D8654=7,1,(IF(WEEKDAY(B8654)=1,2,IF(WEEKDAY(B8654)=7,1,0))))))</f>
        <v>2</v>
      </c>
      <c r="G8654" s="369">
        <f>VLOOKUP(C8654,METADATA!$J$5:$Q$29,IF(E8654="HI",2,IF(E8654="LO",6,10))+IF(D8654=1,2,IF(D8654=7,1,(IF(WEEKDAY(B8654)=1,2,IF(WEEKDAY(B8654)=7,1,0))))))</f>
        <v>2</v>
      </c>
      <c r="H8654" s="370">
        <v>12727.400085449219</v>
      </c>
      <c r="I8654" s="370">
        <v>3950.8700561523438</v>
      </c>
      <c r="M8654" s="371">
        <f t="shared" si="541"/>
        <v>13326.518192524783</v>
      </c>
      <c r="N8654" s="329">
        <f t="shared" si="542"/>
        <v>132.65003051757822</v>
      </c>
      <c r="T8654" s="331">
        <v>0</v>
      </c>
      <c r="U8654" s="328">
        <f>VLOOKUP(C8654,METADATA!$J$5:$Q$29,IF(E8654="HI",2,IF(E8654="LO",6,10))+IF(T8654=1,2,IF(D8654=7,1,(IF(WEEKDAY(B8654)=1,2,IF(WEEKDAY(B8654)=7,1,0))))))</f>
        <v>2</v>
      </c>
      <c r="V8654" s="328">
        <f>VLOOKUP(C8654,METADATA!$A$5:$H$29,IF(E8654="HI",2,IF(E8654="LO",6,10))+IF(T8654=1,2,IF(D8654=7,1,(IF(WEEKDAY(B8654)=1,2,IF(WEEKDAY(B8654)=7,1,0))))))</f>
        <v>2</v>
      </c>
    </row>
    <row r="8655" spans="2:22">
      <c r="B8655" s="318">
        <f t="shared" si="539"/>
        <v>46473</v>
      </c>
      <c r="C8655" s="312">
        <v>11</v>
      </c>
      <c r="D8655" s="368">
        <f>IFERROR((INDEX(METADATA!$T$2:$T$20,MATCH(B8655,METADATA!$S$2:$S$20,0))),0)</f>
        <v>0</v>
      </c>
      <c r="E8655" s="312" t="str">
        <f t="shared" si="540"/>
        <v>LO</v>
      </c>
      <c r="F8655" s="369">
        <f>VLOOKUP(C8655,METADATA!$A$5:$H$29,IF(E8655="HI",2,IF(E8655="LO",6,10))+IF(D8655=1,2,IF(D8655=7,1,(IF(WEEKDAY(B8655)=1,2,IF(WEEKDAY(B8655)=7,1,0))))))</f>
        <v>2</v>
      </c>
      <c r="G8655" s="369">
        <f>VLOOKUP(C8655,METADATA!$J$5:$Q$29,IF(E8655="HI",2,IF(E8655="LO",6,10))+IF(D8655=1,2,IF(D8655=7,1,(IF(WEEKDAY(B8655)=1,2,IF(WEEKDAY(B8655)=7,1,0))))))</f>
        <v>2</v>
      </c>
      <c r="H8655" s="370">
        <v>12638.649658203125</v>
      </c>
      <c r="I8655" s="370">
        <v>3860.385009765625</v>
      </c>
      <c r="M8655" s="371">
        <f t="shared" si="541"/>
        <v>13215.068581222768</v>
      </c>
      <c r="N8655" s="329">
        <f t="shared" si="542"/>
        <v>68.790112304687682</v>
      </c>
      <c r="T8655" s="331">
        <v>0</v>
      </c>
      <c r="U8655" s="328">
        <f>VLOOKUP(C8655,METADATA!$J$5:$Q$29,IF(E8655="HI",2,IF(E8655="LO",6,10))+IF(T8655=1,2,IF(D8655=7,1,(IF(WEEKDAY(B8655)=1,2,IF(WEEKDAY(B8655)=7,1,0))))))</f>
        <v>2</v>
      </c>
      <c r="V8655" s="328">
        <f>VLOOKUP(C8655,METADATA!$A$5:$H$29,IF(E8655="HI",2,IF(E8655="LO",6,10))+IF(T8655=1,2,IF(D8655=7,1,(IF(WEEKDAY(B8655)=1,2,IF(WEEKDAY(B8655)=7,1,0))))))</f>
        <v>2</v>
      </c>
    </row>
    <row r="8656" spans="2:22">
      <c r="B8656" s="318">
        <f t="shared" si="539"/>
        <v>46473</v>
      </c>
      <c r="C8656" s="312">
        <v>12</v>
      </c>
      <c r="D8656" s="368">
        <f>IFERROR((INDEX(METADATA!$T$2:$T$20,MATCH(B8656,METADATA!$S$2:$S$20,0))),0)</f>
        <v>0</v>
      </c>
      <c r="E8656" s="312" t="str">
        <f t="shared" si="540"/>
        <v>LO</v>
      </c>
      <c r="F8656" s="369">
        <f>VLOOKUP(C8656,METADATA!$A$5:$H$29,IF(E8656="HI",2,IF(E8656="LO",6,10))+IF(D8656=1,2,IF(D8656=7,1,(IF(WEEKDAY(B8656)=1,2,IF(WEEKDAY(B8656)=7,1,0))))))</f>
        <v>3</v>
      </c>
      <c r="G8656" s="369">
        <f>VLOOKUP(C8656,METADATA!$J$5:$Q$29,IF(E8656="HI",2,IF(E8656="LO",6,10))+IF(D8656=1,2,IF(D8656=7,1,(IF(WEEKDAY(B8656)=1,2,IF(WEEKDAY(B8656)=7,1,0))))))</f>
        <v>3</v>
      </c>
      <c r="H8656" s="370">
        <v>12612.499694824219</v>
      </c>
      <c r="I8656" s="370">
        <v>3854.5149230957031</v>
      </c>
      <c r="M8656" s="371">
        <f t="shared" si="541"/>
        <v>13188.344621077676</v>
      </c>
      <c r="N8656" s="329">
        <f t="shared" si="542"/>
        <v>70.7650146484375</v>
      </c>
      <c r="T8656" s="331">
        <v>0</v>
      </c>
      <c r="U8656" s="328">
        <f>VLOOKUP(C8656,METADATA!$J$5:$Q$29,IF(E8656="HI",2,IF(E8656="LO",6,10))+IF(T8656=1,2,IF(D8656=7,1,(IF(WEEKDAY(B8656)=1,2,IF(WEEKDAY(B8656)=7,1,0))))))</f>
        <v>3</v>
      </c>
      <c r="V8656" s="328">
        <f>VLOOKUP(C8656,METADATA!$A$5:$H$29,IF(E8656="HI",2,IF(E8656="LO",6,10))+IF(T8656=1,2,IF(D8656=7,1,(IF(WEEKDAY(B8656)=1,2,IF(WEEKDAY(B8656)=7,1,0))))))</f>
        <v>3</v>
      </c>
    </row>
    <row r="8657" spans="2:22">
      <c r="B8657" s="318">
        <f t="shared" si="539"/>
        <v>46473</v>
      </c>
      <c r="C8657" s="312">
        <v>13</v>
      </c>
      <c r="D8657" s="368">
        <f>IFERROR((INDEX(METADATA!$T$2:$T$20,MATCH(B8657,METADATA!$S$2:$S$20,0))),0)</f>
        <v>0</v>
      </c>
      <c r="E8657" s="312" t="str">
        <f t="shared" si="540"/>
        <v>LO</v>
      </c>
      <c r="F8657" s="369">
        <f>VLOOKUP(C8657,METADATA!$A$5:$H$29,IF(E8657="HI",2,IF(E8657="LO",6,10))+IF(D8657=1,2,IF(D8657=7,1,(IF(WEEKDAY(B8657)=1,2,IF(WEEKDAY(B8657)=7,1,0))))))</f>
        <v>3</v>
      </c>
      <c r="G8657" s="369">
        <f>VLOOKUP(C8657,METADATA!$J$5:$Q$29,IF(E8657="HI",2,IF(E8657="LO",6,10))+IF(D8657=1,2,IF(D8657=7,1,(IF(WEEKDAY(B8657)=1,2,IF(WEEKDAY(B8657)=7,1,0))))))</f>
        <v>3</v>
      </c>
      <c r="H8657" s="370">
        <v>12845.824951171875</v>
      </c>
      <c r="I8657" s="370">
        <v>3942.4400329589844</v>
      </c>
      <c r="M8657" s="371">
        <f t="shared" si="541"/>
        <v>13437.189143925434</v>
      </c>
      <c r="N8657" s="329">
        <f t="shared" si="542"/>
        <v>88.692547607422057</v>
      </c>
      <c r="T8657" s="331">
        <v>0</v>
      </c>
      <c r="U8657" s="328">
        <f>VLOOKUP(C8657,METADATA!$J$5:$Q$29,IF(E8657="HI",2,IF(E8657="LO",6,10))+IF(T8657=1,2,IF(D8657=7,1,(IF(WEEKDAY(B8657)=1,2,IF(WEEKDAY(B8657)=7,1,0))))))</f>
        <v>3</v>
      </c>
      <c r="V8657" s="328">
        <f>VLOOKUP(C8657,METADATA!$A$5:$H$29,IF(E8657="HI",2,IF(E8657="LO",6,10))+IF(T8657=1,2,IF(D8657=7,1,(IF(WEEKDAY(B8657)=1,2,IF(WEEKDAY(B8657)=7,1,0))))))</f>
        <v>3</v>
      </c>
    </row>
    <row r="8658" spans="2:22">
      <c r="B8658" s="318">
        <f t="shared" si="539"/>
        <v>46473</v>
      </c>
      <c r="C8658" s="312">
        <v>14</v>
      </c>
      <c r="D8658" s="368">
        <f>IFERROR((INDEX(METADATA!$T$2:$T$20,MATCH(B8658,METADATA!$S$2:$S$20,0))),0)</f>
        <v>0</v>
      </c>
      <c r="E8658" s="312" t="str">
        <f t="shared" si="540"/>
        <v>LO</v>
      </c>
      <c r="F8658" s="369">
        <f>VLOOKUP(C8658,METADATA!$A$5:$H$29,IF(E8658="HI",2,IF(E8658="LO",6,10))+IF(D8658=1,2,IF(D8658=7,1,(IF(WEEKDAY(B8658)=1,2,IF(WEEKDAY(B8658)=7,1,0))))))</f>
        <v>3</v>
      </c>
      <c r="G8658" s="369">
        <f>VLOOKUP(C8658,METADATA!$J$5:$Q$29,IF(E8658="HI",2,IF(E8658="LO",6,10))+IF(D8658=1,2,IF(D8658=7,1,(IF(WEEKDAY(B8658)=1,2,IF(WEEKDAY(B8658)=7,1,0))))))</f>
        <v>3</v>
      </c>
      <c r="H8658" s="370">
        <v>12631.225219726563</v>
      </c>
      <c r="I8658" s="370">
        <v>3881.1250305175781</v>
      </c>
      <c r="M8658" s="371">
        <f t="shared" si="541"/>
        <v>13214.044878611787</v>
      </c>
      <c r="N8658" s="329">
        <f t="shared" si="542"/>
        <v>91.757464599609648</v>
      </c>
      <c r="T8658" s="331">
        <v>0</v>
      </c>
      <c r="U8658" s="328">
        <f>VLOOKUP(C8658,METADATA!$J$5:$Q$29,IF(E8658="HI",2,IF(E8658="LO",6,10))+IF(T8658=1,2,IF(D8658=7,1,(IF(WEEKDAY(B8658)=1,2,IF(WEEKDAY(B8658)=7,1,0))))))</f>
        <v>3</v>
      </c>
      <c r="V8658" s="328">
        <f>VLOOKUP(C8658,METADATA!$A$5:$H$29,IF(E8658="HI",2,IF(E8658="LO",6,10))+IF(T8658=1,2,IF(D8658=7,1,(IF(WEEKDAY(B8658)=1,2,IF(WEEKDAY(B8658)=7,1,0))))))</f>
        <v>3</v>
      </c>
    </row>
    <row r="8659" spans="2:22">
      <c r="B8659" s="318">
        <f t="shared" si="539"/>
        <v>46473</v>
      </c>
      <c r="C8659" s="312">
        <v>15</v>
      </c>
      <c r="D8659" s="368">
        <f>IFERROR((INDEX(METADATA!$T$2:$T$20,MATCH(B8659,METADATA!$S$2:$S$20,0))),0)</f>
        <v>0</v>
      </c>
      <c r="E8659" s="312" t="str">
        <f t="shared" si="540"/>
        <v>LO</v>
      </c>
      <c r="F8659" s="369">
        <f>VLOOKUP(C8659,METADATA!$A$5:$H$29,IF(E8659="HI",2,IF(E8659="LO",6,10))+IF(D8659=1,2,IF(D8659=7,1,(IF(WEEKDAY(B8659)=1,2,IF(WEEKDAY(B8659)=7,1,0))))))</f>
        <v>3</v>
      </c>
      <c r="G8659" s="369">
        <f>VLOOKUP(C8659,METADATA!$J$5:$Q$29,IF(E8659="HI",2,IF(E8659="LO",6,10))+IF(D8659=1,2,IF(D8659=7,1,(IF(WEEKDAY(B8659)=1,2,IF(WEEKDAY(B8659)=7,1,0))))))</f>
        <v>3</v>
      </c>
      <c r="H8659" s="370">
        <v>12816.14990234375</v>
      </c>
      <c r="I8659" s="370">
        <v>3981.6799926757813</v>
      </c>
      <c r="M8659" s="371">
        <f t="shared" si="541"/>
        <v>13420.412582458868</v>
      </c>
      <c r="N8659" s="329">
        <f t="shared" si="542"/>
        <v>136.83502197265625</v>
      </c>
      <c r="T8659" s="331">
        <v>0</v>
      </c>
      <c r="U8659" s="328">
        <f>VLOOKUP(C8659,METADATA!$J$5:$Q$29,IF(E8659="HI",2,IF(E8659="LO",6,10))+IF(T8659=1,2,IF(D8659=7,1,(IF(WEEKDAY(B8659)=1,2,IF(WEEKDAY(B8659)=7,1,0))))))</f>
        <v>3</v>
      </c>
      <c r="V8659" s="328">
        <f>VLOOKUP(C8659,METADATA!$A$5:$H$29,IF(E8659="HI",2,IF(E8659="LO",6,10))+IF(T8659=1,2,IF(D8659=7,1,(IF(WEEKDAY(B8659)=1,2,IF(WEEKDAY(B8659)=7,1,0))))))</f>
        <v>3</v>
      </c>
    </row>
    <row r="8660" spans="2:22">
      <c r="B8660" s="318">
        <f t="shared" si="539"/>
        <v>46473</v>
      </c>
      <c r="C8660" s="312">
        <v>16</v>
      </c>
      <c r="D8660" s="368">
        <f>IFERROR((INDEX(METADATA!$T$2:$T$20,MATCH(B8660,METADATA!$S$2:$S$20,0))),0)</f>
        <v>0</v>
      </c>
      <c r="E8660" s="312" t="str">
        <f t="shared" si="540"/>
        <v>LO</v>
      </c>
      <c r="F8660" s="369">
        <f>VLOOKUP(C8660,METADATA!$A$5:$H$29,IF(E8660="HI",2,IF(E8660="LO",6,10))+IF(D8660=1,2,IF(D8660=7,1,(IF(WEEKDAY(B8660)=1,2,IF(WEEKDAY(B8660)=7,1,0))))))</f>
        <v>3</v>
      </c>
      <c r="G8660" s="369">
        <f>VLOOKUP(C8660,METADATA!$J$5:$Q$29,IF(E8660="HI",2,IF(E8660="LO",6,10))+IF(D8660=1,2,IF(D8660=7,1,(IF(WEEKDAY(B8660)=1,2,IF(WEEKDAY(B8660)=7,1,0))))))</f>
        <v>3</v>
      </c>
      <c r="H8660" s="370">
        <v>12901.475463867188</v>
      </c>
      <c r="I8660" s="370">
        <v>3955.1500244140625</v>
      </c>
      <c r="M8660" s="371">
        <f t="shared" si="541"/>
        <v>13494.120232915875</v>
      </c>
      <c r="N8660" s="329">
        <f t="shared" si="542"/>
        <v>84.707385253906523</v>
      </c>
      <c r="T8660" s="331">
        <v>0</v>
      </c>
      <c r="U8660" s="328">
        <f>VLOOKUP(C8660,METADATA!$J$5:$Q$29,IF(E8660="HI",2,IF(E8660="LO",6,10))+IF(T8660=1,2,IF(D8660=7,1,(IF(WEEKDAY(B8660)=1,2,IF(WEEKDAY(B8660)=7,1,0))))))</f>
        <v>3</v>
      </c>
      <c r="V8660" s="328">
        <f>VLOOKUP(C8660,METADATA!$A$5:$H$29,IF(E8660="HI",2,IF(E8660="LO",6,10))+IF(T8660=1,2,IF(D8660=7,1,(IF(WEEKDAY(B8660)=1,2,IF(WEEKDAY(B8660)=7,1,0))))))</f>
        <v>3</v>
      </c>
    </row>
    <row r="8661" spans="2:22">
      <c r="B8661" s="318">
        <f t="shared" si="539"/>
        <v>46473</v>
      </c>
      <c r="C8661" s="312">
        <v>17</v>
      </c>
      <c r="D8661" s="368">
        <f>IFERROR((INDEX(METADATA!$T$2:$T$20,MATCH(B8661,METADATA!$S$2:$S$20,0))),0)</f>
        <v>0</v>
      </c>
      <c r="E8661" s="312" t="str">
        <f t="shared" si="540"/>
        <v>LO</v>
      </c>
      <c r="F8661" s="369">
        <f>VLOOKUP(C8661,METADATA!$A$5:$H$29,IF(E8661="HI",2,IF(E8661="LO",6,10))+IF(D8661=1,2,IF(D8661=7,1,(IF(WEEKDAY(B8661)=1,2,IF(WEEKDAY(B8661)=7,1,0))))))</f>
        <v>3</v>
      </c>
      <c r="G8661" s="369">
        <f>VLOOKUP(C8661,METADATA!$J$5:$Q$29,IF(E8661="HI",2,IF(E8661="LO",6,10))+IF(D8661=1,2,IF(D8661=7,1,(IF(WEEKDAY(B8661)=1,2,IF(WEEKDAY(B8661)=7,1,0))))))</f>
        <v>3</v>
      </c>
      <c r="H8661" s="370">
        <v>12689.050109863281</v>
      </c>
      <c r="I8661" s="370">
        <v>3831.9649658203125</v>
      </c>
      <c r="M8661" s="371">
        <f t="shared" si="541"/>
        <v>13255.034824167593</v>
      </c>
      <c r="N8661" s="329">
        <f t="shared" si="542"/>
        <v>25.249932861328489</v>
      </c>
      <c r="T8661" s="331">
        <v>0</v>
      </c>
      <c r="U8661" s="328">
        <f>VLOOKUP(C8661,METADATA!$J$5:$Q$29,IF(E8661="HI",2,IF(E8661="LO",6,10))+IF(T8661=1,2,IF(D8661=7,1,(IF(WEEKDAY(B8661)=1,2,IF(WEEKDAY(B8661)=7,1,0))))))</f>
        <v>3</v>
      </c>
      <c r="V8661" s="328">
        <f>VLOOKUP(C8661,METADATA!$A$5:$H$29,IF(E8661="HI",2,IF(E8661="LO",6,10))+IF(T8661=1,2,IF(D8661=7,1,(IF(WEEKDAY(B8661)=1,2,IF(WEEKDAY(B8661)=7,1,0))))))</f>
        <v>3</v>
      </c>
    </row>
    <row r="8662" spans="2:22">
      <c r="B8662" s="318">
        <f t="shared" si="539"/>
        <v>46473</v>
      </c>
      <c r="C8662" s="312">
        <v>18</v>
      </c>
      <c r="D8662" s="368">
        <f>IFERROR((INDEX(METADATA!$T$2:$T$20,MATCH(B8662,METADATA!$S$2:$S$20,0))),0)</f>
        <v>0</v>
      </c>
      <c r="E8662" s="312" t="str">
        <f t="shared" si="540"/>
        <v>LO</v>
      </c>
      <c r="F8662" s="369">
        <f>VLOOKUP(C8662,METADATA!$A$5:$H$29,IF(E8662="HI",2,IF(E8662="LO",6,10))+IF(D8662=1,2,IF(D8662=7,1,(IF(WEEKDAY(B8662)=1,2,IF(WEEKDAY(B8662)=7,1,0))))))</f>
        <v>2</v>
      </c>
      <c r="G8662" s="369">
        <f>VLOOKUP(C8662,METADATA!$J$5:$Q$29,IF(E8662="HI",2,IF(E8662="LO",6,10))+IF(D8662=1,2,IF(D8662=7,1,(IF(WEEKDAY(B8662)=1,2,IF(WEEKDAY(B8662)=7,1,0))))))</f>
        <v>2</v>
      </c>
      <c r="H8662" s="370">
        <v>12615.724975585938</v>
      </c>
      <c r="I8662" s="370">
        <v>3856.1748962402344</v>
      </c>
      <c r="M8662" s="371">
        <f t="shared" si="541"/>
        <v>13191.914246613953</v>
      </c>
      <c r="N8662" s="329">
        <f t="shared" si="542"/>
        <v>71.457403564453216</v>
      </c>
      <c r="T8662" s="331">
        <v>0</v>
      </c>
      <c r="U8662" s="328">
        <f>VLOOKUP(C8662,METADATA!$J$5:$Q$29,IF(E8662="HI",2,IF(E8662="LO",6,10))+IF(T8662=1,2,IF(D8662=7,1,(IF(WEEKDAY(B8662)=1,2,IF(WEEKDAY(B8662)=7,1,0))))))</f>
        <v>2</v>
      </c>
      <c r="V8662" s="328">
        <f>VLOOKUP(C8662,METADATA!$A$5:$H$29,IF(E8662="HI",2,IF(E8662="LO",6,10))+IF(T8662=1,2,IF(D8662=7,1,(IF(WEEKDAY(B8662)=1,2,IF(WEEKDAY(B8662)=7,1,0))))))</f>
        <v>2</v>
      </c>
    </row>
    <row r="8663" spans="2:22">
      <c r="B8663" s="318">
        <f t="shared" si="539"/>
        <v>46473</v>
      </c>
      <c r="C8663" s="312">
        <v>19</v>
      </c>
      <c r="D8663" s="368">
        <f>IFERROR((INDEX(METADATA!$T$2:$T$20,MATCH(B8663,METADATA!$S$2:$S$20,0))),0)</f>
        <v>0</v>
      </c>
      <c r="E8663" s="312" t="str">
        <f t="shared" si="540"/>
        <v>LO</v>
      </c>
      <c r="F8663" s="369">
        <f>VLOOKUP(C8663,METADATA!$A$5:$H$29,IF(E8663="HI",2,IF(E8663="LO",6,10))+IF(D8663=1,2,IF(D8663=7,1,(IF(WEEKDAY(B8663)=1,2,IF(WEEKDAY(B8663)=7,1,0))))))</f>
        <v>2</v>
      </c>
      <c r="G8663" s="369">
        <f>VLOOKUP(C8663,METADATA!$J$5:$Q$29,IF(E8663="HI",2,IF(E8663="LO",6,10))+IF(D8663=1,2,IF(D8663=7,1,(IF(WEEKDAY(B8663)=1,2,IF(WEEKDAY(B8663)=7,1,0))))))</f>
        <v>2</v>
      </c>
      <c r="H8663" s="370">
        <v>12782.125244140625</v>
      </c>
      <c r="I8663" s="370">
        <v>3995.760009765625</v>
      </c>
      <c r="M8663" s="371">
        <f t="shared" si="541"/>
        <v>13392.117973365499</v>
      </c>
      <c r="N8663" s="329">
        <f t="shared" si="542"/>
        <v>161.1224365234375</v>
      </c>
      <c r="T8663" s="331">
        <v>0</v>
      </c>
      <c r="U8663" s="328">
        <f>VLOOKUP(C8663,METADATA!$J$5:$Q$29,IF(E8663="HI",2,IF(E8663="LO",6,10))+IF(T8663=1,2,IF(D8663=7,1,(IF(WEEKDAY(B8663)=1,2,IF(WEEKDAY(B8663)=7,1,0))))))</f>
        <v>2</v>
      </c>
      <c r="V8663" s="328">
        <f>VLOOKUP(C8663,METADATA!$A$5:$H$29,IF(E8663="HI",2,IF(E8663="LO",6,10))+IF(T8663=1,2,IF(D8663=7,1,(IF(WEEKDAY(B8663)=1,2,IF(WEEKDAY(B8663)=7,1,0))))))</f>
        <v>2</v>
      </c>
    </row>
    <row r="8664" spans="2:22">
      <c r="B8664" s="318">
        <f t="shared" si="539"/>
        <v>46473</v>
      </c>
      <c r="C8664" s="312">
        <v>20</v>
      </c>
      <c r="D8664" s="368">
        <f>IFERROR((INDEX(METADATA!$T$2:$T$20,MATCH(B8664,METADATA!$S$2:$S$20,0))),0)</f>
        <v>0</v>
      </c>
      <c r="E8664" s="312" t="str">
        <f t="shared" si="540"/>
        <v>LO</v>
      </c>
      <c r="F8664" s="369">
        <f>VLOOKUP(C8664,METADATA!$A$5:$H$29,IF(E8664="HI",2,IF(E8664="LO",6,10))+IF(D8664=1,2,IF(D8664=7,1,(IF(WEEKDAY(B8664)=1,2,IF(WEEKDAY(B8664)=7,1,0))))))</f>
        <v>3</v>
      </c>
      <c r="G8664" s="369">
        <f>VLOOKUP(C8664,METADATA!$J$5:$Q$29,IF(E8664="HI",2,IF(E8664="LO",6,10))+IF(D8664=1,2,IF(D8664=7,1,(IF(WEEKDAY(B8664)=1,2,IF(WEEKDAY(B8664)=7,1,0))))))</f>
        <v>3</v>
      </c>
      <c r="H8664" s="370">
        <v>12930.875183105469</v>
      </c>
      <c r="I8664" s="370">
        <v>4024.7449951171875</v>
      </c>
      <c r="M8664" s="371">
        <f t="shared" si="541"/>
        <v>13542.751023214365</v>
      </c>
      <c r="N8664" s="329">
        <f t="shared" si="542"/>
        <v>145.48244018554715</v>
      </c>
      <c r="T8664" s="331">
        <v>0</v>
      </c>
      <c r="U8664" s="328">
        <f>VLOOKUP(C8664,METADATA!$J$5:$Q$29,IF(E8664="HI",2,IF(E8664="LO",6,10))+IF(T8664=1,2,IF(D8664=7,1,(IF(WEEKDAY(B8664)=1,2,IF(WEEKDAY(B8664)=7,1,0))))))</f>
        <v>3</v>
      </c>
      <c r="V8664" s="328">
        <f>VLOOKUP(C8664,METADATA!$A$5:$H$29,IF(E8664="HI",2,IF(E8664="LO",6,10))+IF(T8664=1,2,IF(D8664=7,1,(IF(WEEKDAY(B8664)=1,2,IF(WEEKDAY(B8664)=7,1,0))))))</f>
        <v>3</v>
      </c>
    </row>
    <row r="8665" spans="2:22">
      <c r="B8665" s="318">
        <f t="shared" si="539"/>
        <v>46473</v>
      </c>
      <c r="C8665" s="312">
        <v>21</v>
      </c>
      <c r="D8665" s="368">
        <f>IFERROR((INDEX(METADATA!$T$2:$T$20,MATCH(B8665,METADATA!$S$2:$S$20,0))),0)</f>
        <v>0</v>
      </c>
      <c r="E8665" s="312" t="str">
        <f t="shared" si="540"/>
        <v>LO</v>
      </c>
      <c r="F8665" s="369">
        <f>VLOOKUP(C8665,METADATA!$A$5:$H$29,IF(E8665="HI",2,IF(E8665="LO",6,10))+IF(D8665=1,2,IF(D8665=7,1,(IF(WEEKDAY(B8665)=1,2,IF(WEEKDAY(B8665)=7,1,0))))))</f>
        <v>3</v>
      </c>
      <c r="G8665" s="369">
        <f>VLOOKUP(C8665,METADATA!$J$5:$Q$29,IF(E8665="HI",2,IF(E8665="LO",6,10))+IF(D8665=1,2,IF(D8665=7,1,(IF(WEEKDAY(B8665)=1,2,IF(WEEKDAY(B8665)=7,1,0))))))</f>
        <v>3</v>
      </c>
      <c r="H8665" s="370">
        <v>12743.39990234375</v>
      </c>
      <c r="I8665" s="370">
        <v>3796.6000061035156</v>
      </c>
      <c r="M8665" s="371">
        <f t="shared" si="541"/>
        <v>13296.932453667647</v>
      </c>
      <c r="N8665" s="329">
        <f t="shared" si="542"/>
        <v>0</v>
      </c>
      <c r="T8665" s="331">
        <v>0</v>
      </c>
      <c r="U8665" s="328">
        <f>VLOOKUP(C8665,METADATA!$J$5:$Q$29,IF(E8665="HI",2,IF(E8665="LO",6,10))+IF(T8665=1,2,IF(D8665=7,1,(IF(WEEKDAY(B8665)=1,2,IF(WEEKDAY(B8665)=7,1,0))))))</f>
        <v>3</v>
      </c>
      <c r="V8665" s="328">
        <f>VLOOKUP(C8665,METADATA!$A$5:$H$29,IF(E8665="HI",2,IF(E8665="LO",6,10))+IF(T8665=1,2,IF(D8665=7,1,(IF(WEEKDAY(B8665)=1,2,IF(WEEKDAY(B8665)=7,1,0))))))</f>
        <v>3</v>
      </c>
    </row>
    <row r="8666" spans="2:22">
      <c r="B8666" s="318">
        <f t="shared" si="539"/>
        <v>46473</v>
      </c>
      <c r="C8666" s="312">
        <v>22</v>
      </c>
      <c r="D8666" s="368">
        <f>IFERROR((INDEX(METADATA!$T$2:$T$20,MATCH(B8666,METADATA!$S$2:$S$20,0))),0)</f>
        <v>0</v>
      </c>
      <c r="E8666" s="312" t="str">
        <f t="shared" si="540"/>
        <v>LO</v>
      </c>
      <c r="F8666" s="369">
        <f>VLOOKUP(C8666,METADATA!$A$5:$H$29,IF(E8666="HI",2,IF(E8666="LO",6,10))+IF(D8666=1,2,IF(D8666=7,1,(IF(WEEKDAY(B8666)=1,2,IF(WEEKDAY(B8666)=7,1,0))))))</f>
        <v>3</v>
      </c>
      <c r="G8666" s="369">
        <f>VLOOKUP(C8666,METADATA!$J$5:$Q$29,IF(E8666="HI",2,IF(E8666="LO",6,10))+IF(D8666=1,2,IF(D8666=7,1,(IF(WEEKDAY(B8666)=1,2,IF(WEEKDAY(B8666)=7,1,0))))))</f>
        <v>3</v>
      </c>
      <c r="H8666" s="370">
        <v>12871.649963378906</v>
      </c>
      <c r="I8666" s="370">
        <v>4018.0750427246094</v>
      </c>
      <c r="M8666" s="371">
        <f t="shared" si="541"/>
        <v>13484.224109258885</v>
      </c>
      <c r="N8666" s="329">
        <f t="shared" si="542"/>
        <v>156.58005371093759</v>
      </c>
      <c r="T8666" s="331">
        <v>0</v>
      </c>
      <c r="U8666" s="328">
        <f>VLOOKUP(C8666,METADATA!$J$5:$Q$29,IF(E8666="HI",2,IF(E8666="LO",6,10))+IF(T8666=1,2,IF(D8666=7,1,(IF(WEEKDAY(B8666)=1,2,IF(WEEKDAY(B8666)=7,1,0))))))</f>
        <v>3</v>
      </c>
      <c r="V8666" s="328">
        <f>VLOOKUP(C8666,METADATA!$A$5:$H$29,IF(E8666="HI",2,IF(E8666="LO",6,10))+IF(T8666=1,2,IF(D8666=7,1,(IF(WEEKDAY(B8666)=1,2,IF(WEEKDAY(B8666)=7,1,0))))))</f>
        <v>3</v>
      </c>
    </row>
    <row r="8667" spans="2:22">
      <c r="B8667" s="318">
        <f t="shared" si="539"/>
        <v>46473</v>
      </c>
      <c r="C8667" s="312">
        <v>23</v>
      </c>
      <c r="D8667" s="368">
        <f>IFERROR((INDEX(METADATA!$T$2:$T$20,MATCH(B8667,METADATA!$S$2:$S$20,0))),0)</f>
        <v>0</v>
      </c>
      <c r="E8667" s="312" t="str">
        <f t="shared" si="540"/>
        <v>LO</v>
      </c>
      <c r="F8667" s="369">
        <f>VLOOKUP(C8667,METADATA!$A$5:$H$29,IF(E8667="HI",2,IF(E8667="LO",6,10))+IF(D8667=1,2,IF(D8667=7,1,(IF(WEEKDAY(B8667)=1,2,IF(WEEKDAY(B8667)=7,1,0))))))</f>
        <v>3</v>
      </c>
      <c r="G8667" s="369">
        <f>VLOOKUP(C8667,METADATA!$J$5:$Q$29,IF(E8667="HI",2,IF(E8667="LO",6,10))+IF(D8667=1,2,IF(D8667=7,1,(IF(WEEKDAY(B8667)=1,2,IF(WEEKDAY(B8667)=7,1,0))))))</f>
        <v>3</v>
      </c>
      <c r="H8667" s="370">
        <v>12990.075012207031</v>
      </c>
      <c r="I8667" s="370">
        <v>4104.1499938964844</v>
      </c>
      <c r="M8667" s="371">
        <f t="shared" si="541"/>
        <v>13622.998788635563</v>
      </c>
      <c r="N8667" s="329">
        <f t="shared" si="542"/>
        <v>207.12749023437527</v>
      </c>
      <c r="T8667" s="331">
        <v>0</v>
      </c>
      <c r="U8667" s="328">
        <f>VLOOKUP(C8667,METADATA!$J$5:$Q$29,IF(E8667="HI",2,IF(E8667="LO",6,10))+IF(T8667=1,2,IF(D8667=7,1,(IF(WEEKDAY(B8667)=1,2,IF(WEEKDAY(B8667)=7,1,0))))))</f>
        <v>3</v>
      </c>
      <c r="V8667" s="328">
        <f>VLOOKUP(C8667,METADATA!$A$5:$H$29,IF(E8667="HI",2,IF(E8667="LO",6,10))+IF(T8667=1,2,IF(D8667=7,1,(IF(WEEKDAY(B8667)=1,2,IF(WEEKDAY(B8667)=7,1,0))))))</f>
        <v>3</v>
      </c>
    </row>
    <row r="8668" spans="2:22">
      <c r="B8668" s="318">
        <f t="shared" ref="B8668:B8731" si="543">B8644+1</f>
        <v>46474</v>
      </c>
      <c r="C8668" s="312">
        <v>0</v>
      </c>
      <c r="D8668" s="368">
        <f>IFERROR((INDEX(METADATA!$T$2:$T$20,MATCH(B8668,METADATA!$S$2:$S$20,0))),0)</f>
        <v>0</v>
      </c>
      <c r="E8668" s="312" t="str">
        <f t="shared" si="540"/>
        <v>LO</v>
      </c>
      <c r="F8668" s="369">
        <f>VLOOKUP(C8668,METADATA!$A$5:$H$29,IF(E8668="HI",2,IF(E8668="LO",6,10))+IF(D8668=1,2,IF(D8668=7,1,(IF(WEEKDAY(B8668)=1,2,IF(WEEKDAY(B8668)=7,1,0))))))</f>
        <v>3</v>
      </c>
      <c r="G8668" s="369">
        <f>VLOOKUP(C8668,METADATA!$J$5:$Q$29,IF(E8668="HI",2,IF(E8668="LO",6,10))+IF(D8668=1,2,IF(D8668=7,1,(IF(WEEKDAY(B8668)=1,2,IF(WEEKDAY(B8668)=7,1,0))))))</f>
        <v>3</v>
      </c>
      <c r="H8668" s="370">
        <v>12910.975036621094</v>
      </c>
      <c r="I8668" s="370">
        <v>3983.9951171875</v>
      </c>
      <c r="M8668" s="371">
        <f t="shared" si="541"/>
        <v>13511.679891487471</v>
      </c>
      <c r="N8668" s="329">
        <f t="shared" si="542"/>
        <v>110.70260620117188</v>
      </c>
      <c r="T8668" s="331">
        <v>0</v>
      </c>
      <c r="U8668" s="328">
        <f>VLOOKUP(C8668,METADATA!$J$5:$Q$29,IF(E8668="HI",2,IF(E8668="LO",6,10))+IF(T8668=1,2,IF(D8668=7,1,(IF(WEEKDAY(B8668)=1,2,IF(WEEKDAY(B8668)=7,1,0))))))</f>
        <v>3</v>
      </c>
      <c r="V8668" s="328">
        <f>VLOOKUP(C8668,METADATA!$A$5:$H$29,IF(E8668="HI",2,IF(E8668="LO",6,10))+IF(T8668=1,2,IF(D8668=7,1,(IF(WEEKDAY(B8668)=1,2,IF(WEEKDAY(B8668)=7,1,0))))))</f>
        <v>3</v>
      </c>
    </row>
    <row r="8669" spans="2:22">
      <c r="B8669" s="318">
        <f t="shared" si="543"/>
        <v>46474</v>
      </c>
      <c r="C8669" s="312">
        <v>1</v>
      </c>
      <c r="D8669" s="368">
        <f>IFERROR((INDEX(METADATA!$T$2:$T$20,MATCH(B8669,METADATA!$S$2:$S$20,0))),0)</f>
        <v>0</v>
      </c>
      <c r="E8669" s="312" t="str">
        <f t="shared" si="540"/>
        <v>LO</v>
      </c>
      <c r="F8669" s="369">
        <f>VLOOKUP(C8669,METADATA!$A$5:$H$29,IF(E8669="HI",2,IF(E8669="LO",6,10))+IF(D8669=1,2,IF(D8669=7,1,(IF(WEEKDAY(B8669)=1,2,IF(WEEKDAY(B8669)=7,1,0))))))</f>
        <v>3</v>
      </c>
      <c r="G8669" s="369">
        <f>VLOOKUP(C8669,METADATA!$J$5:$Q$29,IF(E8669="HI",2,IF(E8669="LO",6,10))+IF(D8669=1,2,IF(D8669=7,1,(IF(WEEKDAY(B8669)=1,2,IF(WEEKDAY(B8669)=7,1,0))))))</f>
        <v>3</v>
      </c>
      <c r="H8669" s="370">
        <v>12852.122680664063</v>
      </c>
      <c r="I8669" s="370">
        <v>3949.6900329589844</v>
      </c>
      <c r="M8669" s="371">
        <f t="shared" si="541"/>
        <v>13445.337807407263</v>
      </c>
      <c r="N8669" s="329">
        <f t="shared" si="542"/>
        <v>94.053228759765716</v>
      </c>
      <c r="T8669" s="331">
        <v>0</v>
      </c>
      <c r="U8669" s="328">
        <f>VLOOKUP(C8669,METADATA!$J$5:$Q$29,IF(E8669="HI",2,IF(E8669="LO",6,10))+IF(T8669=1,2,IF(D8669=7,1,(IF(WEEKDAY(B8669)=1,2,IF(WEEKDAY(B8669)=7,1,0))))))</f>
        <v>3</v>
      </c>
      <c r="V8669" s="328">
        <f>VLOOKUP(C8669,METADATA!$A$5:$H$29,IF(E8669="HI",2,IF(E8669="LO",6,10))+IF(T8669=1,2,IF(D8669=7,1,(IF(WEEKDAY(B8669)=1,2,IF(WEEKDAY(B8669)=7,1,0))))))</f>
        <v>3</v>
      </c>
    </row>
    <row r="8670" spans="2:22">
      <c r="B8670" s="318">
        <f t="shared" si="543"/>
        <v>46474</v>
      </c>
      <c r="C8670" s="312">
        <v>2</v>
      </c>
      <c r="D8670" s="368">
        <f>IFERROR((INDEX(METADATA!$T$2:$T$20,MATCH(B8670,METADATA!$S$2:$S$20,0))),0)</f>
        <v>0</v>
      </c>
      <c r="E8670" s="312" t="str">
        <f t="shared" si="540"/>
        <v>LO</v>
      </c>
      <c r="F8670" s="369">
        <f>VLOOKUP(C8670,METADATA!$A$5:$H$29,IF(E8670="HI",2,IF(E8670="LO",6,10))+IF(D8670=1,2,IF(D8670=7,1,(IF(WEEKDAY(B8670)=1,2,IF(WEEKDAY(B8670)=7,1,0))))))</f>
        <v>3</v>
      </c>
      <c r="G8670" s="369">
        <f>VLOOKUP(C8670,METADATA!$J$5:$Q$29,IF(E8670="HI",2,IF(E8670="LO",6,10))+IF(D8670=1,2,IF(D8670=7,1,(IF(WEEKDAY(B8670)=1,2,IF(WEEKDAY(B8670)=7,1,0))))))</f>
        <v>3</v>
      </c>
      <c r="H8670" s="370">
        <v>12888.675109863281</v>
      </c>
      <c r="I8670" s="370">
        <v>4036.875</v>
      </c>
      <c r="M8670" s="371">
        <f t="shared" si="541"/>
        <v>13506.084031029655</v>
      </c>
      <c r="N8670" s="329">
        <f t="shared" si="542"/>
        <v>170.27246704101572</v>
      </c>
      <c r="T8670" s="331">
        <v>0</v>
      </c>
      <c r="U8670" s="328">
        <f>VLOOKUP(C8670,METADATA!$J$5:$Q$29,IF(E8670="HI",2,IF(E8670="LO",6,10))+IF(T8670=1,2,IF(D8670=7,1,(IF(WEEKDAY(B8670)=1,2,IF(WEEKDAY(B8670)=7,1,0))))))</f>
        <v>3</v>
      </c>
      <c r="V8670" s="328">
        <f>VLOOKUP(C8670,METADATA!$A$5:$H$29,IF(E8670="HI",2,IF(E8670="LO",6,10))+IF(T8670=1,2,IF(D8670=7,1,(IF(WEEKDAY(B8670)=1,2,IF(WEEKDAY(B8670)=7,1,0))))))</f>
        <v>3</v>
      </c>
    </row>
    <row r="8671" spans="2:22">
      <c r="B8671" s="318">
        <f t="shared" si="543"/>
        <v>46474</v>
      </c>
      <c r="C8671" s="312">
        <v>3</v>
      </c>
      <c r="D8671" s="368">
        <f>IFERROR((INDEX(METADATA!$T$2:$T$20,MATCH(B8671,METADATA!$S$2:$S$20,0))),0)</f>
        <v>0</v>
      </c>
      <c r="E8671" s="312" t="str">
        <f t="shared" si="540"/>
        <v>LO</v>
      </c>
      <c r="F8671" s="369">
        <f>VLOOKUP(C8671,METADATA!$A$5:$H$29,IF(E8671="HI",2,IF(E8671="LO",6,10))+IF(D8671=1,2,IF(D8671=7,1,(IF(WEEKDAY(B8671)=1,2,IF(WEEKDAY(B8671)=7,1,0))))))</f>
        <v>3</v>
      </c>
      <c r="G8671" s="369">
        <f>VLOOKUP(C8671,METADATA!$J$5:$Q$29,IF(E8671="HI",2,IF(E8671="LO",6,10))+IF(D8671=1,2,IF(D8671=7,1,(IF(WEEKDAY(B8671)=1,2,IF(WEEKDAY(B8671)=7,1,0))))))</f>
        <v>3</v>
      </c>
      <c r="H8671" s="370">
        <v>12891.650329589844</v>
      </c>
      <c r="I8671" s="370">
        <v>4197.1499633789063</v>
      </c>
      <c r="M8671" s="371">
        <f t="shared" si="541"/>
        <v>13557.681071462976</v>
      </c>
      <c r="N8671" s="329">
        <f t="shared" si="542"/>
        <v>329.6548645019534</v>
      </c>
      <c r="T8671" s="331">
        <v>0</v>
      </c>
      <c r="U8671" s="328">
        <f>VLOOKUP(C8671,METADATA!$J$5:$Q$29,IF(E8671="HI",2,IF(E8671="LO",6,10))+IF(T8671=1,2,IF(D8671=7,1,(IF(WEEKDAY(B8671)=1,2,IF(WEEKDAY(B8671)=7,1,0))))))</f>
        <v>3</v>
      </c>
      <c r="V8671" s="328">
        <f>VLOOKUP(C8671,METADATA!$A$5:$H$29,IF(E8671="HI",2,IF(E8671="LO",6,10))+IF(T8671=1,2,IF(D8671=7,1,(IF(WEEKDAY(B8671)=1,2,IF(WEEKDAY(B8671)=7,1,0))))))</f>
        <v>3</v>
      </c>
    </row>
    <row r="8672" spans="2:22">
      <c r="B8672" s="318">
        <f t="shared" si="543"/>
        <v>46474</v>
      </c>
      <c r="C8672" s="312">
        <v>4</v>
      </c>
      <c r="D8672" s="368">
        <f>IFERROR((INDEX(METADATA!$T$2:$T$20,MATCH(B8672,METADATA!$S$2:$S$20,0))),0)</f>
        <v>0</v>
      </c>
      <c r="E8672" s="312" t="str">
        <f t="shared" si="540"/>
        <v>LO</v>
      </c>
      <c r="F8672" s="369">
        <f>VLOOKUP(C8672,METADATA!$A$5:$H$29,IF(E8672="HI",2,IF(E8672="LO",6,10))+IF(D8672=1,2,IF(D8672=7,1,(IF(WEEKDAY(B8672)=1,2,IF(WEEKDAY(B8672)=7,1,0))))))</f>
        <v>3</v>
      </c>
      <c r="G8672" s="369">
        <f>VLOOKUP(C8672,METADATA!$J$5:$Q$29,IF(E8672="HI",2,IF(E8672="LO",6,10))+IF(D8672=1,2,IF(D8672=7,1,(IF(WEEKDAY(B8672)=1,2,IF(WEEKDAY(B8672)=7,1,0))))))</f>
        <v>3</v>
      </c>
      <c r="H8672" s="370">
        <v>12813.974853515625</v>
      </c>
      <c r="I8672" s="370">
        <v>4034.4450073242188</v>
      </c>
      <c r="M8672" s="371">
        <f t="shared" si="541"/>
        <v>13434.087168976317</v>
      </c>
      <c r="N8672" s="329">
        <f t="shared" si="542"/>
        <v>190.25255126953152</v>
      </c>
      <c r="T8672" s="331">
        <v>0</v>
      </c>
      <c r="U8672" s="328">
        <f>VLOOKUP(C8672,METADATA!$J$5:$Q$29,IF(E8672="HI",2,IF(E8672="LO",6,10))+IF(T8672=1,2,IF(D8672=7,1,(IF(WEEKDAY(B8672)=1,2,IF(WEEKDAY(B8672)=7,1,0))))))</f>
        <v>3</v>
      </c>
      <c r="V8672" s="328">
        <f>VLOOKUP(C8672,METADATA!$A$5:$H$29,IF(E8672="HI",2,IF(E8672="LO",6,10))+IF(T8672=1,2,IF(D8672=7,1,(IF(WEEKDAY(B8672)=1,2,IF(WEEKDAY(B8672)=7,1,0))))))</f>
        <v>3</v>
      </c>
    </row>
    <row r="8673" spans="2:22">
      <c r="B8673" s="318">
        <f t="shared" si="543"/>
        <v>46474</v>
      </c>
      <c r="C8673" s="312">
        <v>5</v>
      </c>
      <c r="D8673" s="368">
        <f>IFERROR((INDEX(METADATA!$T$2:$T$20,MATCH(B8673,METADATA!$S$2:$S$20,0))),0)</f>
        <v>0</v>
      </c>
      <c r="E8673" s="312" t="str">
        <f t="shared" si="540"/>
        <v>LO</v>
      </c>
      <c r="F8673" s="369">
        <f>VLOOKUP(C8673,METADATA!$A$5:$H$29,IF(E8673="HI",2,IF(E8673="LO",6,10))+IF(D8673=1,2,IF(D8673=7,1,(IF(WEEKDAY(B8673)=1,2,IF(WEEKDAY(B8673)=7,1,0))))))</f>
        <v>3</v>
      </c>
      <c r="G8673" s="369">
        <f>VLOOKUP(C8673,METADATA!$J$5:$Q$29,IF(E8673="HI",2,IF(E8673="LO",6,10))+IF(D8673=1,2,IF(D8673=7,1,(IF(WEEKDAY(B8673)=1,2,IF(WEEKDAY(B8673)=7,1,0))))))</f>
        <v>3</v>
      </c>
      <c r="H8673" s="370">
        <v>12567.775207519531</v>
      </c>
      <c r="I8673" s="370">
        <v>3843.4200134277344</v>
      </c>
      <c r="M8673" s="371">
        <f t="shared" si="541"/>
        <v>13142.33050361919</v>
      </c>
      <c r="N8673" s="329">
        <f t="shared" si="542"/>
        <v>73.087451171875273</v>
      </c>
      <c r="T8673" s="331">
        <v>0</v>
      </c>
      <c r="U8673" s="328">
        <f>VLOOKUP(C8673,METADATA!$J$5:$Q$29,IF(E8673="HI",2,IF(E8673="LO",6,10))+IF(T8673=1,2,IF(D8673=7,1,(IF(WEEKDAY(B8673)=1,2,IF(WEEKDAY(B8673)=7,1,0))))))</f>
        <v>3</v>
      </c>
      <c r="V8673" s="328">
        <f>VLOOKUP(C8673,METADATA!$A$5:$H$29,IF(E8673="HI",2,IF(E8673="LO",6,10))+IF(T8673=1,2,IF(D8673=7,1,(IF(WEEKDAY(B8673)=1,2,IF(WEEKDAY(B8673)=7,1,0))))))</f>
        <v>3</v>
      </c>
    </row>
    <row r="8674" spans="2:22">
      <c r="B8674" s="318">
        <f t="shared" si="543"/>
        <v>46474</v>
      </c>
      <c r="C8674" s="312">
        <v>6</v>
      </c>
      <c r="D8674" s="368">
        <f>IFERROR((INDEX(METADATA!$T$2:$T$20,MATCH(B8674,METADATA!$S$2:$S$20,0))),0)</f>
        <v>0</v>
      </c>
      <c r="E8674" s="312" t="str">
        <f t="shared" si="540"/>
        <v>LO</v>
      </c>
      <c r="F8674" s="369">
        <f>VLOOKUP(C8674,METADATA!$A$5:$H$29,IF(E8674="HI",2,IF(E8674="LO",6,10))+IF(D8674=1,2,IF(D8674=7,1,(IF(WEEKDAY(B8674)=1,2,IF(WEEKDAY(B8674)=7,1,0))))))</f>
        <v>3</v>
      </c>
      <c r="G8674" s="369">
        <f>VLOOKUP(C8674,METADATA!$J$5:$Q$29,IF(E8674="HI",2,IF(E8674="LO",6,10))+IF(D8674=1,2,IF(D8674=7,1,(IF(WEEKDAY(B8674)=1,2,IF(WEEKDAY(B8674)=7,1,0))))))</f>
        <v>3</v>
      </c>
      <c r="H8674" s="370">
        <v>12476.974731445313</v>
      </c>
      <c r="I8674" s="370">
        <v>3646.0650634765625</v>
      </c>
      <c r="M8674" s="371">
        <f t="shared" si="541"/>
        <v>12998.795670993108</v>
      </c>
      <c r="N8674" s="329">
        <f t="shared" si="542"/>
        <v>0</v>
      </c>
      <c r="T8674" s="331">
        <v>0</v>
      </c>
      <c r="U8674" s="328">
        <f>VLOOKUP(C8674,METADATA!$J$5:$Q$29,IF(E8674="HI",2,IF(E8674="LO",6,10))+IF(T8674=1,2,IF(D8674=7,1,(IF(WEEKDAY(B8674)=1,2,IF(WEEKDAY(B8674)=7,1,0))))))</f>
        <v>3</v>
      </c>
      <c r="V8674" s="328">
        <f>VLOOKUP(C8674,METADATA!$A$5:$H$29,IF(E8674="HI",2,IF(E8674="LO",6,10))+IF(T8674=1,2,IF(D8674=7,1,(IF(WEEKDAY(B8674)=1,2,IF(WEEKDAY(B8674)=7,1,0))))))</f>
        <v>3</v>
      </c>
    </row>
    <row r="8675" spans="2:22">
      <c r="B8675" s="318">
        <f t="shared" si="543"/>
        <v>46474</v>
      </c>
      <c r="C8675" s="312">
        <v>7</v>
      </c>
      <c r="D8675" s="368">
        <f>IFERROR((INDEX(METADATA!$T$2:$T$20,MATCH(B8675,METADATA!$S$2:$S$20,0))),0)</f>
        <v>0</v>
      </c>
      <c r="E8675" s="312" t="str">
        <f t="shared" si="540"/>
        <v>LO</v>
      </c>
      <c r="F8675" s="369">
        <f>VLOOKUP(C8675,METADATA!$A$5:$H$29,IF(E8675="HI",2,IF(E8675="LO",6,10))+IF(D8675=1,2,IF(D8675=7,1,(IF(WEEKDAY(B8675)=1,2,IF(WEEKDAY(B8675)=7,1,0))))))</f>
        <v>3</v>
      </c>
      <c r="G8675" s="369">
        <f>VLOOKUP(C8675,METADATA!$J$5:$Q$29,IF(E8675="HI",2,IF(E8675="LO",6,10))+IF(D8675=1,2,IF(D8675=7,1,(IF(WEEKDAY(B8675)=1,2,IF(WEEKDAY(B8675)=7,1,0))))))</f>
        <v>3</v>
      </c>
      <c r="H8675" s="370">
        <v>12704.349853515625</v>
      </c>
      <c r="I8675" s="370">
        <v>3746.3000030517578</v>
      </c>
      <c r="M8675" s="371">
        <f t="shared" si="541"/>
        <v>13245.197956745988</v>
      </c>
      <c r="N8675" s="329">
        <f t="shared" si="542"/>
        <v>0</v>
      </c>
      <c r="T8675" s="331">
        <v>0</v>
      </c>
      <c r="U8675" s="328">
        <f>VLOOKUP(C8675,METADATA!$J$5:$Q$29,IF(E8675="HI",2,IF(E8675="LO",6,10))+IF(T8675=1,2,IF(D8675=7,1,(IF(WEEKDAY(B8675)=1,2,IF(WEEKDAY(B8675)=7,1,0))))))</f>
        <v>3</v>
      </c>
      <c r="V8675" s="328">
        <f>VLOOKUP(C8675,METADATA!$A$5:$H$29,IF(E8675="HI",2,IF(E8675="LO",6,10))+IF(T8675=1,2,IF(D8675=7,1,(IF(WEEKDAY(B8675)=1,2,IF(WEEKDAY(B8675)=7,1,0))))))</f>
        <v>3</v>
      </c>
    </row>
    <row r="8676" spans="2:22">
      <c r="B8676" s="318">
        <f t="shared" si="543"/>
        <v>46474</v>
      </c>
      <c r="C8676" s="312">
        <v>8</v>
      </c>
      <c r="D8676" s="368">
        <f>IFERROR((INDEX(METADATA!$T$2:$T$20,MATCH(B8676,METADATA!$S$2:$S$20,0))),0)</f>
        <v>0</v>
      </c>
      <c r="E8676" s="312" t="str">
        <f t="shared" si="540"/>
        <v>LO</v>
      </c>
      <c r="F8676" s="369">
        <f>VLOOKUP(C8676,METADATA!$A$5:$H$29,IF(E8676="HI",2,IF(E8676="LO",6,10))+IF(D8676=1,2,IF(D8676=7,1,(IF(WEEKDAY(B8676)=1,2,IF(WEEKDAY(B8676)=7,1,0))))))</f>
        <v>3</v>
      </c>
      <c r="G8676" s="369">
        <f>VLOOKUP(C8676,METADATA!$J$5:$Q$29,IF(E8676="HI",2,IF(E8676="LO",6,10))+IF(D8676=1,2,IF(D8676=7,1,(IF(WEEKDAY(B8676)=1,2,IF(WEEKDAY(B8676)=7,1,0))))))</f>
        <v>3</v>
      </c>
      <c r="H8676" s="370">
        <v>12777.274841308594</v>
      </c>
      <c r="I8676" s="370">
        <v>3834.9649963378906</v>
      </c>
      <c r="M8676" s="371">
        <f t="shared" si="541"/>
        <v>13340.378888677578</v>
      </c>
      <c r="N8676" s="329">
        <f t="shared" si="542"/>
        <v>1.7825439453126819</v>
      </c>
      <c r="T8676" s="331">
        <v>0</v>
      </c>
      <c r="U8676" s="328">
        <f>VLOOKUP(C8676,METADATA!$J$5:$Q$29,IF(E8676="HI",2,IF(E8676="LO",6,10))+IF(T8676=1,2,IF(D8676=7,1,(IF(WEEKDAY(B8676)=1,2,IF(WEEKDAY(B8676)=7,1,0))))))</f>
        <v>3</v>
      </c>
      <c r="V8676" s="328">
        <f>VLOOKUP(C8676,METADATA!$A$5:$H$29,IF(E8676="HI",2,IF(E8676="LO",6,10))+IF(T8676=1,2,IF(D8676=7,1,(IF(WEEKDAY(B8676)=1,2,IF(WEEKDAY(B8676)=7,1,0))))))</f>
        <v>3</v>
      </c>
    </row>
    <row r="8677" spans="2:22">
      <c r="B8677" s="318">
        <f t="shared" si="543"/>
        <v>46474</v>
      </c>
      <c r="C8677" s="312">
        <v>9</v>
      </c>
      <c r="D8677" s="368">
        <f>IFERROR((INDEX(METADATA!$T$2:$T$20,MATCH(B8677,METADATA!$S$2:$S$20,0))),0)</f>
        <v>0</v>
      </c>
      <c r="E8677" s="312" t="str">
        <f t="shared" si="540"/>
        <v>LO</v>
      </c>
      <c r="F8677" s="369">
        <f>VLOOKUP(C8677,METADATA!$A$5:$H$29,IF(E8677="HI",2,IF(E8677="LO",6,10))+IF(D8677=1,2,IF(D8677=7,1,(IF(WEEKDAY(B8677)=1,2,IF(WEEKDAY(B8677)=7,1,0))))))</f>
        <v>3</v>
      </c>
      <c r="G8677" s="369">
        <f>VLOOKUP(C8677,METADATA!$J$5:$Q$29,IF(E8677="HI",2,IF(E8677="LO",6,10))+IF(D8677=1,2,IF(D8677=7,1,(IF(WEEKDAY(B8677)=1,2,IF(WEEKDAY(B8677)=7,1,0))))))</f>
        <v>3</v>
      </c>
      <c r="H8677" s="370">
        <v>12898.875122070313</v>
      </c>
      <c r="I8677" s="370">
        <v>3800.8599853515625</v>
      </c>
      <c r="M8677" s="371">
        <f t="shared" si="541"/>
        <v>13447.212203390376</v>
      </c>
      <c r="N8677" s="329">
        <f t="shared" si="542"/>
        <v>0</v>
      </c>
      <c r="T8677" s="331">
        <v>0</v>
      </c>
      <c r="U8677" s="328">
        <f>VLOOKUP(C8677,METADATA!$J$5:$Q$29,IF(E8677="HI",2,IF(E8677="LO",6,10))+IF(T8677=1,2,IF(D8677=7,1,(IF(WEEKDAY(B8677)=1,2,IF(WEEKDAY(B8677)=7,1,0))))))</f>
        <v>3</v>
      </c>
      <c r="V8677" s="328">
        <f>VLOOKUP(C8677,METADATA!$A$5:$H$29,IF(E8677="HI",2,IF(E8677="LO",6,10))+IF(T8677=1,2,IF(D8677=7,1,(IF(WEEKDAY(B8677)=1,2,IF(WEEKDAY(B8677)=7,1,0))))))</f>
        <v>3</v>
      </c>
    </row>
    <row r="8678" spans="2:22">
      <c r="B8678" s="318">
        <f t="shared" si="543"/>
        <v>46474</v>
      </c>
      <c r="C8678" s="312">
        <v>10</v>
      </c>
      <c r="D8678" s="368">
        <f>IFERROR((INDEX(METADATA!$T$2:$T$20,MATCH(B8678,METADATA!$S$2:$S$20,0))),0)</f>
        <v>0</v>
      </c>
      <c r="E8678" s="312" t="str">
        <f t="shared" si="540"/>
        <v>LO</v>
      </c>
      <c r="F8678" s="369">
        <f>VLOOKUP(C8678,METADATA!$A$5:$H$29,IF(E8678="HI",2,IF(E8678="LO",6,10))+IF(D8678=1,2,IF(D8678=7,1,(IF(WEEKDAY(B8678)=1,2,IF(WEEKDAY(B8678)=7,1,0))))))</f>
        <v>3</v>
      </c>
      <c r="G8678" s="369">
        <f>VLOOKUP(C8678,METADATA!$J$5:$Q$29,IF(E8678="HI",2,IF(E8678="LO",6,10))+IF(D8678=1,2,IF(D8678=7,1,(IF(WEEKDAY(B8678)=1,2,IF(WEEKDAY(B8678)=7,1,0))))))</f>
        <v>3</v>
      </c>
      <c r="H8678" s="370">
        <v>12958.10009765625</v>
      </c>
      <c r="I8678" s="370">
        <v>3822.5750427246094</v>
      </c>
      <c r="M8678" s="371">
        <f t="shared" si="541"/>
        <v>13510.16055042056</v>
      </c>
      <c r="N8678" s="329">
        <f t="shared" si="542"/>
        <v>0</v>
      </c>
      <c r="T8678" s="331">
        <v>0</v>
      </c>
      <c r="U8678" s="328">
        <f>VLOOKUP(C8678,METADATA!$J$5:$Q$29,IF(E8678="HI",2,IF(E8678="LO",6,10))+IF(T8678=1,2,IF(D8678=7,1,(IF(WEEKDAY(B8678)=1,2,IF(WEEKDAY(B8678)=7,1,0))))))</f>
        <v>3</v>
      </c>
      <c r="V8678" s="328">
        <f>VLOOKUP(C8678,METADATA!$A$5:$H$29,IF(E8678="HI",2,IF(E8678="LO",6,10))+IF(T8678=1,2,IF(D8678=7,1,(IF(WEEKDAY(B8678)=1,2,IF(WEEKDAY(B8678)=7,1,0))))))</f>
        <v>3</v>
      </c>
    </row>
    <row r="8679" spans="2:22">
      <c r="B8679" s="318">
        <f t="shared" si="543"/>
        <v>46474</v>
      </c>
      <c r="C8679" s="312">
        <v>11</v>
      </c>
      <c r="D8679" s="368">
        <f>IFERROR((INDEX(METADATA!$T$2:$T$20,MATCH(B8679,METADATA!$S$2:$S$20,0))),0)</f>
        <v>0</v>
      </c>
      <c r="E8679" s="312" t="str">
        <f t="shared" si="540"/>
        <v>LO</v>
      </c>
      <c r="F8679" s="369">
        <f>VLOOKUP(C8679,METADATA!$A$5:$H$29,IF(E8679="HI",2,IF(E8679="LO",6,10))+IF(D8679=1,2,IF(D8679=7,1,(IF(WEEKDAY(B8679)=1,2,IF(WEEKDAY(B8679)=7,1,0))))))</f>
        <v>3</v>
      </c>
      <c r="G8679" s="369">
        <f>VLOOKUP(C8679,METADATA!$J$5:$Q$29,IF(E8679="HI",2,IF(E8679="LO",6,10))+IF(D8679=1,2,IF(D8679=7,1,(IF(WEEKDAY(B8679)=1,2,IF(WEEKDAY(B8679)=7,1,0))))))</f>
        <v>3</v>
      </c>
      <c r="H8679" s="370">
        <v>12838.124328613281</v>
      </c>
      <c r="I8679" s="370">
        <v>3795.2699584960938</v>
      </c>
      <c r="M8679" s="371">
        <f t="shared" si="541"/>
        <v>13387.363830672382</v>
      </c>
      <c r="N8679" s="329">
        <f t="shared" si="542"/>
        <v>0</v>
      </c>
      <c r="T8679" s="331">
        <v>0</v>
      </c>
      <c r="U8679" s="328">
        <f>VLOOKUP(C8679,METADATA!$J$5:$Q$29,IF(E8679="HI",2,IF(E8679="LO",6,10))+IF(T8679=1,2,IF(D8679=7,1,(IF(WEEKDAY(B8679)=1,2,IF(WEEKDAY(B8679)=7,1,0))))))</f>
        <v>3</v>
      </c>
      <c r="V8679" s="328">
        <f>VLOOKUP(C8679,METADATA!$A$5:$H$29,IF(E8679="HI",2,IF(E8679="LO",6,10))+IF(T8679=1,2,IF(D8679=7,1,(IF(WEEKDAY(B8679)=1,2,IF(WEEKDAY(B8679)=7,1,0))))))</f>
        <v>3</v>
      </c>
    </row>
    <row r="8680" spans="2:22">
      <c r="B8680" s="318">
        <f t="shared" si="543"/>
        <v>46474</v>
      </c>
      <c r="C8680" s="312">
        <v>12</v>
      </c>
      <c r="D8680" s="368">
        <f>IFERROR((INDEX(METADATA!$T$2:$T$20,MATCH(B8680,METADATA!$S$2:$S$20,0))),0)</f>
        <v>0</v>
      </c>
      <c r="E8680" s="312" t="str">
        <f t="shared" si="540"/>
        <v>LO</v>
      </c>
      <c r="F8680" s="369">
        <f>VLOOKUP(C8680,METADATA!$A$5:$H$29,IF(E8680="HI",2,IF(E8680="LO",6,10))+IF(D8680=1,2,IF(D8680=7,1,(IF(WEEKDAY(B8680)=1,2,IF(WEEKDAY(B8680)=7,1,0))))))</f>
        <v>3</v>
      </c>
      <c r="G8680" s="369">
        <f>VLOOKUP(C8680,METADATA!$J$5:$Q$29,IF(E8680="HI",2,IF(E8680="LO",6,10))+IF(D8680=1,2,IF(D8680=7,1,(IF(WEEKDAY(B8680)=1,2,IF(WEEKDAY(B8680)=7,1,0))))))</f>
        <v>3</v>
      </c>
      <c r="H8680" s="370">
        <v>12756.22509765625</v>
      </c>
      <c r="I8680" s="370">
        <v>3835.9900360107422</v>
      </c>
      <c r="M8680" s="371">
        <f t="shared" si="541"/>
        <v>13320.514190467607</v>
      </c>
      <c r="N8680" s="329">
        <f t="shared" si="542"/>
        <v>9.1225067138675513</v>
      </c>
      <c r="T8680" s="331">
        <v>0</v>
      </c>
      <c r="U8680" s="328">
        <f>VLOOKUP(C8680,METADATA!$J$5:$Q$29,IF(E8680="HI",2,IF(E8680="LO",6,10))+IF(T8680=1,2,IF(D8680=7,1,(IF(WEEKDAY(B8680)=1,2,IF(WEEKDAY(B8680)=7,1,0))))))</f>
        <v>3</v>
      </c>
      <c r="V8680" s="328">
        <f>VLOOKUP(C8680,METADATA!$A$5:$H$29,IF(E8680="HI",2,IF(E8680="LO",6,10))+IF(T8680=1,2,IF(D8680=7,1,(IF(WEEKDAY(B8680)=1,2,IF(WEEKDAY(B8680)=7,1,0))))))</f>
        <v>3</v>
      </c>
    </row>
    <row r="8681" spans="2:22">
      <c r="B8681" s="318">
        <f t="shared" si="543"/>
        <v>46474</v>
      </c>
      <c r="C8681" s="312">
        <v>13</v>
      </c>
      <c r="D8681" s="368">
        <f>IFERROR((INDEX(METADATA!$T$2:$T$20,MATCH(B8681,METADATA!$S$2:$S$20,0))),0)</f>
        <v>0</v>
      </c>
      <c r="E8681" s="312" t="str">
        <f t="shared" si="540"/>
        <v>LO</v>
      </c>
      <c r="F8681" s="369">
        <f>VLOOKUP(C8681,METADATA!$A$5:$H$29,IF(E8681="HI",2,IF(E8681="LO",6,10))+IF(D8681=1,2,IF(D8681=7,1,(IF(WEEKDAY(B8681)=1,2,IF(WEEKDAY(B8681)=7,1,0))))))</f>
        <v>3</v>
      </c>
      <c r="G8681" s="369">
        <f>VLOOKUP(C8681,METADATA!$J$5:$Q$29,IF(E8681="HI",2,IF(E8681="LO",6,10))+IF(D8681=1,2,IF(D8681=7,1,(IF(WEEKDAY(B8681)=1,2,IF(WEEKDAY(B8681)=7,1,0))))))</f>
        <v>3</v>
      </c>
      <c r="H8681" s="370">
        <v>12622.899841308594</v>
      </c>
      <c r="I8681" s="370">
        <v>3710.1949768066406</v>
      </c>
      <c r="M8681" s="371">
        <f t="shared" si="541"/>
        <v>13156.866920723556</v>
      </c>
      <c r="N8681" s="329">
        <f t="shared" si="542"/>
        <v>0</v>
      </c>
      <c r="T8681" s="331">
        <v>0</v>
      </c>
      <c r="U8681" s="328">
        <f>VLOOKUP(C8681,METADATA!$J$5:$Q$29,IF(E8681="HI",2,IF(E8681="LO",6,10))+IF(T8681=1,2,IF(D8681=7,1,(IF(WEEKDAY(B8681)=1,2,IF(WEEKDAY(B8681)=7,1,0))))))</f>
        <v>3</v>
      </c>
      <c r="V8681" s="328">
        <f>VLOOKUP(C8681,METADATA!$A$5:$H$29,IF(E8681="HI",2,IF(E8681="LO",6,10))+IF(T8681=1,2,IF(D8681=7,1,(IF(WEEKDAY(B8681)=1,2,IF(WEEKDAY(B8681)=7,1,0))))))</f>
        <v>3</v>
      </c>
    </row>
    <row r="8682" spans="2:22">
      <c r="B8682" s="318">
        <f t="shared" si="543"/>
        <v>46474</v>
      </c>
      <c r="C8682" s="312">
        <v>14</v>
      </c>
      <c r="D8682" s="368">
        <f>IFERROR((INDEX(METADATA!$T$2:$T$20,MATCH(B8682,METADATA!$S$2:$S$20,0))),0)</f>
        <v>0</v>
      </c>
      <c r="E8682" s="312" t="str">
        <f t="shared" si="540"/>
        <v>LO</v>
      </c>
      <c r="F8682" s="369">
        <f>VLOOKUP(C8682,METADATA!$A$5:$H$29,IF(E8682="HI",2,IF(E8682="LO",6,10))+IF(D8682=1,2,IF(D8682=7,1,(IF(WEEKDAY(B8682)=1,2,IF(WEEKDAY(B8682)=7,1,0))))))</f>
        <v>3</v>
      </c>
      <c r="G8682" s="369">
        <f>VLOOKUP(C8682,METADATA!$J$5:$Q$29,IF(E8682="HI",2,IF(E8682="LO",6,10))+IF(D8682=1,2,IF(D8682=7,1,(IF(WEEKDAY(B8682)=1,2,IF(WEEKDAY(B8682)=7,1,0))))))</f>
        <v>3</v>
      </c>
      <c r="H8682" s="370">
        <v>12688.899963378906</v>
      </c>
      <c r="I8682" s="370">
        <v>3833.1749572753906</v>
      </c>
      <c r="M8682" s="371">
        <f t="shared" si="541"/>
        <v>13255.240945894586</v>
      </c>
      <c r="N8682" s="329">
        <f t="shared" si="542"/>
        <v>26.504968261719114</v>
      </c>
      <c r="T8682" s="331">
        <v>0</v>
      </c>
      <c r="U8682" s="328">
        <f>VLOOKUP(C8682,METADATA!$J$5:$Q$29,IF(E8682="HI",2,IF(E8682="LO",6,10))+IF(T8682=1,2,IF(D8682=7,1,(IF(WEEKDAY(B8682)=1,2,IF(WEEKDAY(B8682)=7,1,0))))))</f>
        <v>3</v>
      </c>
      <c r="V8682" s="328">
        <f>VLOOKUP(C8682,METADATA!$A$5:$H$29,IF(E8682="HI",2,IF(E8682="LO",6,10))+IF(T8682=1,2,IF(D8682=7,1,(IF(WEEKDAY(B8682)=1,2,IF(WEEKDAY(B8682)=7,1,0))))))</f>
        <v>3</v>
      </c>
    </row>
    <row r="8683" spans="2:22">
      <c r="B8683" s="318">
        <f t="shared" si="543"/>
        <v>46474</v>
      </c>
      <c r="C8683" s="312">
        <v>15</v>
      </c>
      <c r="D8683" s="368">
        <f>IFERROR((INDEX(METADATA!$T$2:$T$20,MATCH(B8683,METADATA!$S$2:$S$20,0))),0)</f>
        <v>0</v>
      </c>
      <c r="E8683" s="312" t="str">
        <f t="shared" si="540"/>
        <v>LO</v>
      </c>
      <c r="F8683" s="369">
        <f>VLOOKUP(C8683,METADATA!$A$5:$H$29,IF(E8683="HI",2,IF(E8683="LO",6,10))+IF(D8683=1,2,IF(D8683=7,1,(IF(WEEKDAY(B8683)=1,2,IF(WEEKDAY(B8683)=7,1,0))))))</f>
        <v>3</v>
      </c>
      <c r="G8683" s="369">
        <f>VLOOKUP(C8683,METADATA!$J$5:$Q$29,IF(E8683="HI",2,IF(E8683="LO",6,10))+IF(D8683=1,2,IF(D8683=7,1,(IF(WEEKDAY(B8683)=1,2,IF(WEEKDAY(B8683)=7,1,0))))))</f>
        <v>3</v>
      </c>
      <c r="H8683" s="370">
        <v>12616.200073242188</v>
      </c>
      <c r="I8683" s="370">
        <v>3895.4399108886719</v>
      </c>
      <c r="M8683" s="371">
        <f t="shared" si="541"/>
        <v>13203.899287234075</v>
      </c>
      <c r="N8683" s="329">
        <f t="shared" si="542"/>
        <v>110.57988891601599</v>
      </c>
      <c r="T8683" s="331">
        <v>0</v>
      </c>
      <c r="U8683" s="328">
        <f>VLOOKUP(C8683,METADATA!$J$5:$Q$29,IF(E8683="HI",2,IF(E8683="LO",6,10))+IF(T8683=1,2,IF(D8683=7,1,(IF(WEEKDAY(B8683)=1,2,IF(WEEKDAY(B8683)=7,1,0))))))</f>
        <v>3</v>
      </c>
      <c r="V8683" s="328">
        <f>VLOOKUP(C8683,METADATA!$A$5:$H$29,IF(E8683="HI",2,IF(E8683="LO",6,10))+IF(T8683=1,2,IF(D8683=7,1,(IF(WEEKDAY(B8683)=1,2,IF(WEEKDAY(B8683)=7,1,0))))))</f>
        <v>3</v>
      </c>
    </row>
    <row r="8684" spans="2:22">
      <c r="B8684" s="318">
        <f t="shared" si="543"/>
        <v>46474</v>
      </c>
      <c r="C8684" s="312">
        <v>16</v>
      </c>
      <c r="D8684" s="368">
        <f>IFERROR((INDEX(METADATA!$T$2:$T$20,MATCH(B8684,METADATA!$S$2:$S$20,0))),0)</f>
        <v>0</v>
      </c>
      <c r="E8684" s="312" t="str">
        <f t="shared" si="540"/>
        <v>LO</v>
      </c>
      <c r="F8684" s="369">
        <f>VLOOKUP(C8684,METADATA!$A$5:$H$29,IF(E8684="HI",2,IF(E8684="LO",6,10))+IF(D8684=1,2,IF(D8684=7,1,(IF(WEEKDAY(B8684)=1,2,IF(WEEKDAY(B8684)=7,1,0))))))</f>
        <v>3</v>
      </c>
      <c r="G8684" s="369">
        <f>VLOOKUP(C8684,METADATA!$J$5:$Q$29,IF(E8684="HI",2,IF(E8684="LO",6,10))+IF(D8684=1,2,IF(D8684=7,1,(IF(WEEKDAY(B8684)=1,2,IF(WEEKDAY(B8684)=7,1,0))))))</f>
        <v>3</v>
      </c>
      <c r="H8684" s="370">
        <v>12572.700378417969</v>
      </c>
      <c r="I8684" s="370">
        <v>3838.1300659179688</v>
      </c>
      <c r="M8684" s="371">
        <f t="shared" si="541"/>
        <v>13145.49493965042</v>
      </c>
      <c r="N8684" s="329">
        <f t="shared" si="542"/>
        <v>66.319952392578216</v>
      </c>
      <c r="T8684" s="331">
        <v>0</v>
      </c>
      <c r="U8684" s="328">
        <f>VLOOKUP(C8684,METADATA!$J$5:$Q$29,IF(E8684="HI",2,IF(E8684="LO",6,10))+IF(T8684=1,2,IF(D8684=7,1,(IF(WEEKDAY(B8684)=1,2,IF(WEEKDAY(B8684)=7,1,0))))))</f>
        <v>3</v>
      </c>
      <c r="V8684" s="328">
        <f>VLOOKUP(C8684,METADATA!$A$5:$H$29,IF(E8684="HI",2,IF(E8684="LO",6,10))+IF(T8684=1,2,IF(D8684=7,1,(IF(WEEKDAY(B8684)=1,2,IF(WEEKDAY(B8684)=7,1,0))))))</f>
        <v>3</v>
      </c>
    </row>
    <row r="8685" spans="2:22">
      <c r="B8685" s="318">
        <f t="shared" si="543"/>
        <v>46474</v>
      </c>
      <c r="C8685" s="312">
        <v>17</v>
      </c>
      <c r="D8685" s="368">
        <f>IFERROR((INDEX(METADATA!$T$2:$T$20,MATCH(B8685,METADATA!$S$2:$S$20,0))),0)</f>
        <v>0</v>
      </c>
      <c r="E8685" s="312" t="str">
        <f t="shared" si="540"/>
        <v>LO</v>
      </c>
      <c r="F8685" s="369">
        <f>VLOOKUP(C8685,METADATA!$A$5:$H$29,IF(E8685="HI",2,IF(E8685="LO",6,10))+IF(D8685=1,2,IF(D8685=7,1,(IF(WEEKDAY(B8685)=1,2,IF(WEEKDAY(B8685)=7,1,0))))))</f>
        <v>3</v>
      </c>
      <c r="G8685" s="369">
        <f>VLOOKUP(C8685,METADATA!$J$5:$Q$29,IF(E8685="HI",2,IF(E8685="LO",6,10))+IF(D8685=1,2,IF(D8685=7,1,(IF(WEEKDAY(B8685)=1,2,IF(WEEKDAY(B8685)=7,1,0))))))</f>
        <v>3</v>
      </c>
      <c r="H8685" s="370">
        <v>12632.649780273438</v>
      </c>
      <c r="I8685" s="370">
        <v>3967.5751037597656</v>
      </c>
      <c r="M8685" s="371">
        <f t="shared" si="541"/>
        <v>13241.053306856551</v>
      </c>
      <c r="N8685" s="329">
        <f t="shared" si="542"/>
        <v>177.78016967773465</v>
      </c>
      <c r="T8685" s="331">
        <v>0</v>
      </c>
      <c r="U8685" s="328">
        <f>VLOOKUP(C8685,METADATA!$J$5:$Q$29,IF(E8685="HI",2,IF(E8685="LO",6,10))+IF(T8685=1,2,IF(D8685=7,1,(IF(WEEKDAY(B8685)=1,2,IF(WEEKDAY(B8685)=7,1,0))))))</f>
        <v>3</v>
      </c>
      <c r="V8685" s="328">
        <f>VLOOKUP(C8685,METADATA!$A$5:$H$29,IF(E8685="HI",2,IF(E8685="LO",6,10))+IF(T8685=1,2,IF(D8685=7,1,(IF(WEEKDAY(B8685)=1,2,IF(WEEKDAY(B8685)=7,1,0))))))</f>
        <v>3</v>
      </c>
    </row>
    <row r="8686" spans="2:22">
      <c r="B8686" s="318">
        <f t="shared" si="543"/>
        <v>46474</v>
      </c>
      <c r="C8686" s="312">
        <v>18</v>
      </c>
      <c r="D8686" s="368">
        <f>IFERROR((INDEX(METADATA!$T$2:$T$20,MATCH(B8686,METADATA!$S$2:$S$20,0))),0)</f>
        <v>0</v>
      </c>
      <c r="E8686" s="312" t="str">
        <f t="shared" si="540"/>
        <v>LO</v>
      </c>
      <c r="F8686" s="369">
        <f>VLOOKUP(C8686,METADATA!$A$5:$H$29,IF(E8686="HI",2,IF(E8686="LO",6,10))+IF(D8686=1,2,IF(D8686=7,1,(IF(WEEKDAY(B8686)=1,2,IF(WEEKDAY(B8686)=7,1,0))))))</f>
        <v>2</v>
      </c>
      <c r="G8686" s="369">
        <f>VLOOKUP(C8686,METADATA!$J$5:$Q$29,IF(E8686="HI",2,IF(E8686="LO",6,10))+IF(D8686=1,2,IF(D8686=7,1,(IF(WEEKDAY(B8686)=1,2,IF(WEEKDAY(B8686)=7,1,0))))))</f>
        <v>2</v>
      </c>
      <c r="H8686" s="370">
        <v>12432.849975585938</v>
      </c>
      <c r="I8686" s="370">
        <v>3821.2450561523438</v>
      </c>
      <c r="M8686" s="371">
        <f t="shared" si="541"/>
        <v>13006.831754681689</v>
      </c>
      <c r="N8686" s="329">
        <f t="shared" si="542"/>
        <v>91.390063476562773</v>
      </c>
      <c r="T8686" s="331">
        <v>0</v>
      </c>
      <c r="U8686" s="328">
        <f>VLOOKUP(C8686,METADATA!$J$5:$Q$29,IF(E8686="HI",2,IF(E8686="LO",6,10))+IF(T8686=1,2,IF(D8686=7,1,(IF(WEEKDAY(B8686)=1,2,IF(WEEKDAY(B8686)=7,1,0))))))</f>
        <v>2</v>
      </c>
      <c r="V8686" s="328">
        <f>VLOOKUP(C8686,METADATA!$A$5:$H$29,IF(E8686="HI",2,IF(E8686="LO",6,10))+IF(T8686=1,2,IF(D8686=7,1,(IF(WEEKDAY(B8686)=1,2,IF(WEEKDAY(B8686)=7,1,0))))))</f>
        <v>2</v>
      </c>
    </row>
    <row r="8687" spans="2:22">
      <c r="B8687" s="318">
        <f t="shared" si="543"/>
        <v>46474</v>
      </c>
      <c r="C8687" s="312">
        <v>19</v>
      </c>
      <c r="D8687" s="368">
        <f>IFERROR((INDEX(METADATA!$T$2:$T$20,MATCH(B8687,METADATA!$S$2:$S$20,0))),0)</f>
        <v>0</v>
      </c>
      <c r="E8687" s="312" t="str">
        <f t="shared" si="540"/>
        <v>LO</v>
      </c>
      <c r="F8687" s="369">
        <f>VLOOKUP(C8687,METADATA!$A$5:$H$29,IF(E8687="HI",2,IF(E8687="LO",6,10))+IF(D8687=1,2,IF(D8687=7,1,(IF(WEEKDAY(B8687)=1,2,IF(WEEKDAY(B8687)=7,1,0))))))</f>
        <v>2</v>
      </c>
      <c r="G8687" s="369">
        <f>VLOOKUP(C8687,METADATA!$J$5:$Q$29,IF(E8687="HI",2,IF(E8687="LO",6,10))+IF(D8687=1,2,IF(D8687=7,1,(IF(WEEKDAY(B8687)=1,2,IF(WEEKDAY(B8687)=7,1,0))))))</f>
        <v>2</v>
      </c>
      <c r="H8687" s="370">
        <v>12453.100036621094</v>
      </c>
      <c r="I8687" s="370">
        <v>3768.8799743652344</v>
      </c>
      <c r="M8687" s="371">
        <f t="shared" si="541"/>
        <v>13010.924516853656</v>
      </c>
      <c r="N8687" s="329">
        <f t="shared" si="542"/>
        <v>32.949963378906432</v>
      </c>
      <c r="T8687" s="331">
        <v>0</v>
      </c>
      <c r="U8687" s="328">
        <f>VLOOKUP(C8687,METADATA!$J$5:$Q$29,IF(E8687="HI",2,IF(E8687="LO",6,10))+IF(T8687=1,2,IF(D8687=7,1,(IF(WEEKDAY(B8687)=1,2,IF(WEEKDAY(B8687)=7,1,0))))))</f>
        <v>2</v>
      </c>
      <c r="V8687" s="328">
        <f>VLOOKUP(C8687,METADATA!$A$5:$H$29,IF(E8687="HI",2,IF(E8687="LO",6,10))+IF(T8687=1,2,IF(D8687=7,1,(IF(WEEKDAY(B8687)=1,2,IF(WEEKDAY(B8687)=7,1,0))))))</f>
        <v>2</v>
      </c>
    </row>
    <row r="8688" spans="2:22">
      <c r="B8688" s="318">
        <f t="shared" si="543"/>
        <v>46474</v>
      </c>
      <c r="C8688" s="312">
        <v>20</v>
      </c>
      <c r="D8688" s="368">
        <f>IFERROR((INDEX(METADATA!$T$2:$T$20,MATCH(B8688,METADATA!$S$2:$S$20,0))),0)</f>
        <v>0</v>
      </c>
      <c r="E8688" s="312" t="str">
        <f t="shared" si="540"/>
        <v>LO</v>
      </c>
      <c r="F8688" s="369">
        <f>VLOOKUP(C8688,METADATA!$A$5:$H$29,IF(E8688="HI",2,IF(E8688="LO",6,10))+IF(D8688=1,2,IF(D8688=7,1,(IF(WEEKDAY(B8688)=1,2,IF(WEEKDAY(B8688)=7,1,0))))))</f>
        <v>3</v>
      </c>
      <c r="G8688" s="369">
        <f>VLOOKUP(C8688,METADATA!$J$5:$Q$29,IF(E8688="HI",2,IF(E8688="LO",6,10))+IF(D8688=1,2,IF(D8688=7,1,(IF(WEEKDAY(B8688)=1,2,IF(WEEKDAY(B8688)=7,1,0))))))</f>
        <v>3</v>
      </c>
      <c r="H8688" s="370">
        <v>12424.074829101563</v>
      </c>
      <c r="I8688" s="370">
        <v>3813.1600036621094</v>
      </c>
      <c r="M8688" s="371">
        <f t="shared" si="541"/>
        <v>12996.069581709826</v>
      </c>
      <c r="N8688" s="329">
        <f t="shared" si="542"/>
        <v>85.937554931640989</v>
      </c>
      <c r="T8688" s="331">
        <v>0</v>
      </c>
      <c r="U8688" s="328">
        <f>VLOOKUP(C8688,METADATA!$J$5:$Q$29,IF(E8688="HI",2,IF(E8688="LO",6,10))+IF(T8688=1,2,IF(D8688=7,1,(IF(WEEKDAY(B8688)=1,2,IF(WEEKDAY(B8688)=7,1,0))))))</f>
        <v>3</v>
      </c>
      <c r="V8688" s="328">
        <f>VLOOKUP(C8688,METADATA!$A$5:$H$29,IF(E8688="HI",2,IF(E8688="LO",6,10))+IF(T8688=1,2,IF(D8688=7,1,(IF(WEEKDAY(B8688)=1,2,IF(WEEKDAY(B8688)=7,1,0))))))</f>
        <v>3</v>
      </c>
    </row>
    <row r="8689" spans="2:22">
      <c r="B8689" s="318">
        <f t="shared" si="543"/>
        <v>46474</v>
      </c>
      <c r="C8689" s="312">
        <v>21</v>
      </c>
      <c r="D8689" s="368">
        <f>IFERROR((INDEX(METADATA!$T$2:$T$20,MATCH(B8689,METADATA!$S$2:$S$20,0))),0)</f>
        <v>0</v>
      </c>
      <c r="E8689" s="312" t="str">
        <f t="shared" si="540"/>
        <v>LO</v>
      </c>
      <c r="F8689" s="369">
        <f>VLOOKUP(C8689,METADATA!$A$5:$H$29,IF(E8689="HI",2,IF(E8689="LO",6,10))+IF(D8689=1,2,IF(D8689=7,1,(IF(WEEKDAY(B8689)=1,2,IF(WEEKDAY(B8689)=7,1,0))))))</f>
        <v>3</v>
      </c>
      <c r="G8689" s="369">
        <f>VLOOKUP(C8689,METADATA!$J$5:$Q$29,IF(E8689="HI",2,IF(E8689="LO",6,10))+IF(D8689=1,2,IF(D8689=7,1,(IF(WEEKDAY(B8689)=1,2,IF(WEEKDAY(B8689)=7,1,0))))))</f>
        <v>3</v>
      </c>
      <c r="H8689" s="370">
        <v>12484.324951171875</v>
      </c>
      <c r="I8689" s="370">
        <v>3809.5400085449219</v>
      </c>
      <c r="M8689" s="371">
        <f t="shared" si="541"/>
        <v>13052.622899753025</v>
      </c>
      <c r="N8689" s="329">
        <f t="shared" si="542"/>
        <v>64.242523193359375</v>
      </c>
      <c r="T8689" s="331">
        <v>0</v>
      </c>
      <c r="U8689" s="328">
        <f>VLOOKUP(C8689,METADATA!$J$5:$Q$29,IF(E8689="HI",2,IF(E8689="LO",6,10))+IF(T8689=1,2,IF(D8689=7,1,(IF(WEEKDAY(B8689)=1,2,IF(WEEKDAY(B8689)=7,1,0))))))</f>
        <v>3</v>
      </c>
      <c r="V8689" s="328">
        <f>VLOOKUP(C8689,METADATA!$A$5:$H$29,IF(E8689="HI",2,IF(E8689="LO",6,10))+IF(T8689=1,2,IF(D8689=7,1,(IF(WEEKDAY(B8689)=1,2,IF(WEEKDAY(B8689)=7,1,0))))))</f>
        <v>3</v>
      </c>
    </row>
    <row r="8690" spans="2:22">
      <c r="B8690" s="318">
        <f t="shared" si="543"/>
        <v>46474</v>
      </c>
      <c r="C8690" s="312">
        <v>22</v>
      </c>
      <c r="D8690" s="368">
        <f>IFERROR((INDEX(METADATA!$T$2:$T$20,MATCH(B8690,METADATA!$S$2:$S$20,0))),0)</f>
        <v>0</v>
      </c>
      <c r="E8690" s="312" t="str">
        <f t="shared" si="540"/>
        <v>LO</v>
      </c>
      <c r="F8690" s="369">
        <f>VLOOKUP(C8690,METADATA!$A$5:$H$29,IF(E8690="HI",2,IF(E8690="LO",6,10))+IF(D8690=1,2,IF(D8690=7,1,(IF(WEEKDAY(B8690)=1,2,IF(WEEKDAY(B8690)=7,1,0))))))</f>
        <v>3</v>
      </c>
      <c r="G8690" s="369">
        <f>VLOOKUP(C8690,METADATA!$J$5:$Q$29,IF(E8690="HI",2,IF(E8690="LO",6,10))+IF(D8690=1,2,IF(D8690=7,1,(IF(WEEKDAY(B8690)=1,2,IF(WEEKDAY(B8690)=7,1,0))))))</f>
        <v>3</v>
      </c>
      <c r="H8690" s="370">
        <v>12448.025512695313</v>
      </c>
      <c r="I8690" s="370">
        <v>3829.7449645996094</v>
      </c>
      <c r="M8690" s="371">
        <f t="shared" si="541"/>
        <v>13023.835289905561</v>
      </c>
      <c r="N8690" s="329">
        <f t="shared" si="542"/>
        <v>95.337310791015625</v>
      </c>
      <c r="T8690" s="331">
        <v>0</v>
      </c>
      <c r="U8690" s="328">
        <f>VLOOKUP(C8690,METADATA!$J$5:$Q$29,IF(E8690="HI",2,IF(E8690="LO",6,10))+IF(T8690=1,2,IF(D8690=7,1,(IF(WEEKDAY(B8690)=1,2,IF(WEEKDAY(B8690)=7,1,0))))))</f>
        <v>3</v>
      </c>
      <c r="V8690" s="328">
        <f>VLOOKUP(C8690,METADATA!$A$5:$H$29,IF(E8690="HI",2,IF(E8690="LO",6,10))+IF(T8690=1,2,IF(D8690=7,1,(IF(WEEKDAY(B8690)=1,2,IF(WEEKDAY(B8690)=7,1,0))))))</f>
        <v>3</v>
      </c>
    </row>
    <row r="8691" spans="2:22">
      <c r="B8691" s="318">
        <f t="shared" si="543"/>
        <v>46474</v>
      </c>
      <c r="C8691" s="312">
        <v>23</v>
      </c>
      <c r="D8691" s="368">
        <f>IFERROR((INDEX(METADATA!$T$2:$T$20,MATCH(B8691,METADATA!$S$2:$S$20,0))),0)</f>
        <v>0</v>
      </c>
      <c r="E8691" s="312" t="str">
        <f t="shared" si="540"/>
        <v>LO</v>
      </c>
      <c r="F8691" s="369">
        <f>VLOOKUP(C8691,METADATA!$A$5:$H$29,IF(E8691="HI",2,IF(E8691="LO",6,10))+IF(D8691=1,2,IF(D8691=7,1,(IF(WEEKDAY(B8691)=1,2,IF(WEEKDAY(B8691)=7,1,0))))))</f>
        <v>3</v>
      </c>
      <c r="G8691" s="369">
        <f>VLOOKUP(C8691,METADATA!$J$5:$Q$29,IF(E8691="HI",2,IF(E8691="LO",6,10))+IF(D8691=1,2,IF(D8691=7,1,(IF(WEEKDAY(B8691)=1,2,IF(WEEKDAY(B8691)=7,1,0))))))</f>
        <v>3</v>
      </c>
      <c r="H8691" s="370">
        <v>12665.60009765625</v>
      </c>
      <c r="I8691" s="370">
        <v>4011.625</v>
      </c>
      <c r="M8691" s="371">
        <f t="shared" si="541"/>
        <v>13285.727717154788</v>
      </c>
      <c r="N8691" s="329">
        <f t="shared" si="542"/>
        <v>211.94497070312536</v>
      </c>
      <c r="T8691" s="331">
        <v>0</v>
      </c>
      <c r="U8691" s="328">
        <f>VLOOKUP(C8691,METADATA!$J$5:$Q$29,IF(E8691="HI",2,IF(E8691="LO",6,10))+IF(T8691=1,2,IF(D8691=7,1,(IF(WEEKDAY(B8691)=1,2,IF(WEEKDAY(B8691)=7,1,0))))))</f>
        <v>3</v>
      </c>
      <c r="V8691" s="328">
        <f>VLOOKUP(C8691,METADATA!$A$5:$H$29,IF(E8691="HI",2,IF(E8691="LO",6,10))+IF(T8691=1,2,IF(D8691=7,1,(IF(WEEKDAY(B8691)=1,2,IF(WEEKDAY(B8691)=7,1,0))))))</f>
        <v>3</v>
      </c>
    </row>
    <row r="8692" spans="2:22">
      <c r="B8692" s="318">
        <f t="shared" si="543"/>
        <v>46475</v>
      </c>
      <c r="C8692" s="312">
        <v>0</v>
      </c>
      <c r="D8692" s="368">
        <f>IFERROR((INDEX(METADATA!$T$2:$T$20,MATCH(B8692,METADATA!$S$2:$S$20,0))),0)</f>
        <v>1</v>
      </c>
      <c r="E8692" s="312" t="str">
        <f t="shared" si="540"/>
        <v>LO</v>
      </c>
      <c r="F8692" s="369">
        <f>VLOOKUP(C8692,METADATA!$A$5:$H$29,IF(E8692="HI",2,IF(E8692="LO",6,10))+IF(D8692=1,2,IF(D8692=7,1,(IF(WEEKDAY(B8692)=1,2,IF(WEEKDAY(B8692)=7,1,0))))))</f>
        <v>3</v>
      </c>
      <c r="G8692" s="369">
        <f>VLOOKUP(C8692,METADATA!$J$5:$Q$29,IF(E8692="HI",2,IF(E8692="LO",6,10))+IF(D8692=1,2,IF(D8692=7,1,(IF(WEEKDAY(B8692)=1,2,IF(WEEKDAY(B8692)=7,1,0))))))</f>
        <v>3</v>
      </c>
      <c r="H8692" s="370">
        <v>12554.975036621094</v>
      </c>
      <c r="I8692" s="370">
        <v>4064.1250610351563</v>
      </c>
      <c r="M8692" s="371">
        <f t="shared" si="541"/>
        <v>13196.382484677868</v>
      </c>
      <c r="N8692" s="329">
        <f t="shared" si="542"/>
        <v>297.63255004882831</v>
      </c>
      <c r="T8692" s="331">
        <v>0</v>
      </c>
      <c r="U8692" s="328">
        <f>VLOOKUP(C8692,METADATA!$J$5:$Q$29,IF(E8692="HI",2,IF(E8692="LO",6,10))+IF(T8692=1,2,IF(D8692=7,1,(IF(WEEKDAY(B8692)=1,2,IF(WEEKDAY(B8692)=7,1,0))))))</f>
        <v>3</v>
      </c>
      <c r="V8692" s="328">
        <f>VLOOKUP(C8692,METADATA!$A$5:$H$29,IF(E8692="HI",2,IF(E8692="LO",6,10))+IF(T8692=1,2,IF(D8692=7,1,(IF(WEEKDAY(B8692)=1,2,IF(WEEKDAY(B8692)=7,1,0))))))</f>
        <v>3</v>
      </c>
    </row>
    <row r="8693" spans="2:22">
      <c r="B8693" s="318">
        <f t="shared" si="543"/>
        <v>46475</v>
      </c>
      <c r="C8693" s="312">
        <v>1</v>
      </c>
      <c r="D8693" s="368">
        <f>IFERROR((INDEX(METADATA!$T$2:$T$20,MATCH(B8693,METADATA!$S$2:$S$20,0))),0)</f>
        <v>1</v>
      </c>
      <c r="E8693" s="312" t="str">
        <f t="shared" si="540"/>
        <v>LO</v>
      </c>
      <c r="F8693" s="369">
        <f>VLOOKUP(C8693,METADATA!$A$5:$H$29,IF(E8693="HI",2,IF(E8693="LO",6,10))+IF(D8693=1,2,IF(D8693=7,1,(IF(WEEKDAY(B8693)=1,2,IF(WEEKDAY(B8693)=7,1,0))))))</f>
        <v>3</v>
      </c>
      <c r="G8693" s="369">
        <f>VLOOKUP(C8693,METADATA!$J$5:$Q$29,IF(E8693="HI",2,IF(E8693="LO",6,10))+IF(D8693=1,2,IF(D8693=7,1,(IF(WEEKDAY(B8693)=1,2,IF(WEEKDAY(B8693)=7,1,0))))))</f>
        <v>3</v>
      </c>
      <c r="H8693" s="370">
        <v>12416.230102539063</v>
      </c>
      <c r="I8693" s="370">
        <v>3873.7025756835938</v>
      </c>
      <c r="M8693" s="371">
        <f t="shared" si="541"/>
        <v>13006.473065518372</v>
      </c>
      <c r="N8693" s="329">
        <f t="shared" si="542"/>
        <v>148.83354492187527</v>
      </c>
      <c r="T8693" s="331">
        <v>0</v>
      </c>
      <c r="U8693" s="328">
        <f>VLOOKUP(C8693,METADATA!$J$5:$Q$29,IF(E8693="HI",2,IF(E8693="LO",6,10))+IF(T8693=1,2,IF(D8693=7,1,(IF(WEEKDAY(B8693)=1,2,IF(WEEKDAY(B8693)=7,1,0))))))</f>
        <v>3</v>
      </c>
      <c r="V8693" s="328">
        <f>VLOOKUP(C8693,METADATA!$A$5:$H$29,IF(E8693="HI",2,IF(E8693="LO",6,10))+IF(T8693=1,2,IF(D8693=7,1,(IF(WEEKDAY(B8693)=1,2,IF(WEEKDAY(B8693)=7,1,0))))))</f>
        <v>3</v>
      </c>
    </row>
    <row r="8694" spans="2:22">
      <c r="B8694" s="318">
        <f t="shared" si="543"/>
        <v>46475</v>
      </c>
      <c r="C8694" s="312">
        <v>2</v>
      </c>
      <c r="D8694" s="368">
        <f>IFERROR((INDEX(METADATA!$T$2:$T$20,MATCH(B8694,METADATA!$S$2:$S$20,0))),0)</f>
        <v>1</v>
      </c>
      <c r="E8694" s="312" t="str">
        <f t="shared" si="540"/>
        <v>LO</v>
      </c>
      <c r="F8694" s="369">
        <f>VLOOKUP(C8694,METADATA!$A$5:$H$29,IF(E8694="HI",2,IF(E8694="LO",6,10))+IF(D8694=1,2,IF(D8694=7,1,(IF(WEEKDAY(B8694)=1,2,IF(WEEKDAY(B8694)=7,1,0))))))</f>
        <v>3</v>
      </c>
      <c r="G8694" s="369">
        <f>VLOOKUP(C8694,METADATA!$J$5:$Q$29,IF(E8694="HI",2,IF(E8694="LO",6,10))+IF(D8694=1,2,IF(D8694=7,1,(IF(WEEKDAY(B8694)=1,2,IF(WEEKDAY(B8694)=7,1,0))))))</f>
        <v>3</v>
      </c>
      <c r="H8694" s="370">
        <v>12523.825073242188</v>
      </c>
      <c r="I8694" s="370">
        <v>3914.5050354003906</v>
      </c>
      <c r="M8694" s="371">
        <f t="shared" si="541"/>
        <v>13121.339266147517</v>
      </c>
      <c r="N8694" s="329">
        <f t="shared" si="542"/>
        <v>157.35751342773438</v>
      </c>
      <c r="T8694" s="331">
        <v>0</v>
      </c>
      <c r="U8694" s="328">
        <f>VLOOKUP(C8694,METADATA!$J$5:$Q$29,IF(E8694="HI",2,IF(E8694="LO",6,10))+IF(T8694=1,2,IF(D8694=7,1,(IF(WEEKDAY(B8694)=1,2,IF(WEEKDAY(B8694)=7,1,0))))))</f>
        <v>3</v>
      </c>
      <c r="V8694" s="328">
        <f>VLOOKUP(C8694,METADATA!$A$5:$H$29,IF(E8694="HI",2,IF(E8694="LO",6,10))+IF(T8694=1,2,IF(D8694=7,1,(IF(WEEKDAY(B8694)=1,2,IF(WEEKDAY(B8694)=7,1,0))))))</f>
        <v>3</v>
      </c>
    </row>
    <row r="8695" spans="2:22">
      <c r="B8695" s="318">
        <f t="shared" si="543"/>
        <v>46475</v>
      </c>
      <c r="C8695" s="312">
        <v>3</v>
      </c>
      <c r="D8695" s="368">
        <f>IFERROR((INDEX(METADATA!$T$2:$T$20,MATCH(B8695,METADATA!$S$2:$S$20,0))),0)</f>
        <v>1</v>
      </c>
      <c r="E8695" s="312" t="str">
        <f t="shared" si="540"/>
        <v>LO</v>
      </c>
      <c r="F8695" s="369">
        <f>VLOOKUP(C8695,METADATA!$A$5:$H$29,IF(E8695="HI",2,IF(E8695="LO",6,10))+IF(D8695=1,2,IF(D8695=7,1,(IF(WEEKDAY(B8695)=1,2,IF(WEEKDAY(B8695)=7,1,0))))))</f>
        <v>3</v>
      </c>
      <c r="G8695" s="369">
        <f>VLOOKUP(C8695,METADATA!$J$5:$Q$29,IF(E8695="HI",2,IF(E8695="LO",6,10))+IF(D8695=1,2,IF(D8695=7,1,(IF(WEEKDAY(B8695)=1,2,IF(WEEKDAY(B8695)=7,1,0))))))</f>
        <v>3</v>
      </c>
      <c r="H8695" s="370">
        <v>12414.674926757813</v>
      </c>
      <c r="I8695" s="370">
        <v>3937.0250244140625</v>
      </c>
      <c r="M8695" s="371">
        <f t="shared" si="541"/>
        <v>13023.990155859748</v>
      </c>
      <c r="N8695" s="329">
        <f t="shared" si="542"/>
        <v>212.62254638671902</v>
      </c>
      <c r="T8695" s="331">
        <v>0</v>
      </c>
      <c r="U8695" s="328">
        <f>VLOOKUP(C8695,METADATA!$J$5:$Q$29,IF(E8695="HI",2,IF(E8695="LO",6,10))+IF(T8695=1,2,IF(D8695=7,1,(IF(WEEKDAY(B8695)=1,2,IF(WEEKDAY(B8695)=7,1,0))))))</f>
        <v>3</v>
      </c>
      <c r="V8695" s="328">
        <f>VLOOKUP(C8695,METADATA!$A$5:$H$29,IF(E8695="HI",2,IF(E8695="LO",6,10))+IF(T8695=1,2,IF(D8695=7,1,(IF(WEEKDAY(B8695)=1,2,IF(WEEKDAY(B8695)=7,1,0))))))</f>
        <v>3</v>
      </c>
    </row>
    <row r="8696" spans="2:22">
      <c r="B8696" s="318">
        <f t="shared" si="543"/>
        <v>46475</v>
      </c>
      <c r="C8696" s="312">
        <v>4</v>
      </c>
      <c r="D8696" s="368">
        <f>IFERROR((INDEX(METADATA!$T$2:$T$20,MATCH(B8696,METADATA!$S$2:$S$20,0))),0)</f>
        <v>1</v>
      </c>
      <c r="E8696" s="312" t="str">
        <f t="shared" si="540"/>
        <v>LO</v>
      </c>
      <c r="F8696" s="369">
        <f>VLOOKUP(C8696,METADATA!$A$5:$H$29,IF(E8696="HI",2,IF(E8696="LO",6,10))+IF(D8696=1,2,IF(D8696=7,1,(IF(WEEKDAY(B8696)=1,2,IF(WEEKDAY(B8696)=7,1,0))))))</f>
        <v>3</v>
      </c>
      <c r="G8696" s="369">
        <f>VLOOKUP(C8696,METADATA!$J$5:$Q$29,IF(E8696="HI",2,IF(E8696="LO",6,10))+IF(D8696=1,2,IF(D8696=7,1,(IF(WEEKDAY(B8696)=1,2,IF(WEEKDAY(B8696)=7,1,0))))))</f>
        <v>3</v>
      </c>
      <c r="H8696" s="370">
        <v>12574.700378417969</v>
      </c>
      <c r="I8696" s="370">
        <v>4018.2300415039063</v>
      </c>
      <c r="M8696" s="371">
        <f t="shared" si="541"/>
        <v>13201.108372914356</v>
      </c>
      <c r="N8696" s="329">
        <f t="shared" si="542"/>
        <v>245.81992797851581</v>
      </c>
      <c r="T8696" s="331">
        <v>0</v>
      </c>
      <c r="U8696" s="328">
        <f>VLOOKUP(C8696,METADATA!$J$5:$Q$29,IF(E8696="HI",2,IF(E8696="LO",6,10))+IF(T8696=1,2,IF(D8696=7,1,(IF(WEEKDAY(B8696)=1,2,IF(WEEKDAY(B8696)=7,1,0))))))</f>
        <v>3</v>
      </c>
      <c r="V8696" s="328">
        <f>VLOOKUP(C8696,METADATA!$A$5:$H$29,IF(E8696="HI",2,IF(E8696="LO",6,10))+IF(T8696=1,2,IF(D8696=7,1,(IF(WEEKDAY(B8696)=1,2,IF(WEEKDAY(B8696)=7,1,0))))))</f>
        <v>3</v>
      </c>
    </row>
    <row r="8697" spans="2:22">
      <c r="B8697" s="318">
        <f t="shared" si="543"/>
        <v>46475</v>
      </c>
      <c r="C8697" s="312">
        <v>5</v>
      </c>
      <c r="D8697" s="368">
        <f>IFERROR((INDEX(METADATA!$T$2:$T$20,MATCH(B8697,METADATA!$S$2:$S$20,0))),0)</f>
        <v>1</v>
      </c>
      <c r="E8697" s="312" t="str">
        <f t="shared" si="540"/>
        <v>LO</v>
      </c>
      <c r="F8697" s="369">
        <f>VLOOKUP(C8697,METADATA!$A$5:$H$29,IF(E8697="HI",2,IF(E8697="LO",6,10))+IF(D8697=1,2,IF(D8697=7,1,(IF(WEEKDAY(B8697)=1,2,IF(WEEKDAY(B8697)=7,1,0))))))</f>
        <v>3</v>
      </c>
      <c r="G8697" s="369">
        <f>VLOOKUP(C8697,METADATA!$J$5:$Q$29,IF(E8697="HI",2,IF(E8697="LO",6,10))+IF(D8697=1,2,IF(D8697=7,1,(IF(WEEKDAY(B8697)=1,2,IF(WEEKDAY(B8697)=7,1,0))))))</f>
        <v>3</v>
      </c>
      <c r="H8697" s="370">
        <v>12451.124694824219</v>
      </c>
      <c r="I8697" s="370">
        <v>3791.5501098632813</v>
      </c>
      <c r="M8697" s="371">
        <f t="shared" si="541"/>
        <v>13015.619785537136</v>
      </c>
      <c r="N8697" s="329">
        <f t="shared" si="542"/>
        <v>56.212701416015989</v>
      </c>
      <c r="T8697" s="331">
        <v>0</v>
      </c>
      <c r="U8697" s="328">
        <f>VLOOKUP(C8697,METADATA!$J$5:$Q$29,IF(E8697="HI",2,IF(E8697="LO",6,10))+IF(T8697=1,2,IF(D8697=7,1,(IF(WEEKDAY(B8697)=1,2,IF(WEEKDAY(B8697)=7,1,0))))))</f>
        <v>3</v>
      </c>
      <c r="V8697" s="328">
        <f>VLOOKUP(C8697,METADATA!$A$5:$H$29,IF(E8697="HI",2,IF(E8697="LO",6,10))+IF(T8697=1,2,IF(D8697=7,1,(IF(WEEKDAY(B8697)=1,2,IF(WEEKDAY(B8697)=7,1,0))))))</f>
        <v>3</v>
      </c>
    </row>
    <row r="8698" spans="2:22">
      <c r="B8698" s="318">
        <f t="shared" si="543"/>
        <v>46475</v>
      </c>
      <c r="C8698" s="312">
        <v>6</v>
      </c>
      <c r="D8698" s="368">
        <f>IFERROR((INDEX(METADATA!$T$2:$T$20,MATCH(B8698,METADATA!$S$2:$S$20,0))),0)</f>
        <v>1</v>
      </c>
      <c r="E8698" s="312" t="str">
        <f t="shared" si="540"/>
        <v>LO</v>
      </c>
      <c r="F8698" s="369">
        <f>VLOOKUP(C8698,METADATA!$A$5:$H$29,IF(E8698="HI",2,IF(E8698="LO",6,10))+IF(D8698=1,2,IF(D8698=7,1,(IF(WEEKDAY(B8698)=1,2,IF(WEEKDAY(B8698)=7,1,0))))))</f>
        <v>3</v>
      </c>
      <c r="G8698" s="369">
        <f>VLOOKUP(C8698,METADATA!$J$5:$Q$29,IF(E8698="HI",2,IF(E8698="LO",6,10))+IF(D8698=1,2,IF(D8698=7,1,(IF(WEEKDAY(B8698)=1,2,IF(WEEKDAY(B8698)=7,1,0))))))</f>
        <v>3</v>
      </c>
      <c r="H8698" s="370">
        <v>12479.675048828125</v>
      </c>
      <c r="I8698" s="370">
        <v>3797.9099731445313</v>
      </c>
      <c r="M8698" s="371">
        <f t="shared" si="541"/>
        <v>13044.784762059278</v>
      </c>
      <c r="N8698" s="329">
        <f t="shared" si="542"/>
        <v>54.007458496093932</v>
      </c>
      <c r="T8698" s="331">
        <v>0</v>
      </c>
      <c r="U8698" s="328">
        <f>VLOOKUP(C8698,METADATA!$J$5:$Q$29,IF(E8698="HI",2,IF(E8698="LO",6,10))+IF(T8698=1,2,IF(D8698=7,1,(IF(WEEKDAY(B8698)=1,2,IF(WEEKDAY(B8698)=7,1,0))))))</f>
        <v>2</v>
      </c>
      <c r="V8698" s="328">
        <f>VLOOKUP(C8698,METADATA!$A$5:$H$29,IF(E8698="HI",2,IF(E8698="LO",6,10))+IF(T8698=1,2,IF(D8698=7,1,(IF(WEEKDAY(B8698)=1,2,IF(WEEKDAY(B8698)=7,1,0))))))</f>
        <v>2</v>
      </c>
    </row>
    <row r="8699" spans="2:22">
      <c r="B8699" s="318">
        <f t="shared" si="543"/>
        <v>46475</v>
      </c>
      <c r="C8699" s="312">
        <v>7</v>
      </c>
      <c r="D8699" s="368">
        <f>IFERROR((INDEX(METADATA!$T$2:$T$20,MATCH(B8699,METADATA!$S$2:$S$20,0))),0)</f>
        <v>1</v>
      </c>
      <c r="E8699" s="312" t="str">
        <f t="shared" si="540"/>
        <v>LO</v>
      </c>
      <c r="F8699" s="369">
        <f>VLOOKUP(C8699,METADATA!$A$5:$H$29,IF(E8699="HI",2,IF(E8699="LO",6,10))+IF(D8699=1,2,IF(D8699=7,1,(IF(WEEKDAY(B8699)=1,2,IF(WEEKDAY(B8699)=7,1,0))))))</f>
        <v>3</v>
      </c>
      <c r="G8699" s="369">
        <f>VLOOKUP(C8699,METADATA!$J$5:$Q$29,IF(E8699="HI",2,IF(E8699="LO",6,10))+IF(D8699=1,2,IF(D8699=7,1,(IF(WEEKDAY(B8699)=1,2,IF(WEEKDAY(B8699)=7,1,0))))))</f>
        <v>3</v>
      </c>
      <c r="H8699" s="370">
        <v>12497.700378417969</v>
      </c>
      <c r="I8699" s="370">
        <v>3726.0849609375</v>
      </c>
      <c r="M8699" s="371">
        <f t="shared" si="541"/>
        <v>13041.327535371283</v>
      </c>
      <c r="N8699" s="329">
        <f t="shared" si="542"/>
        <v>0</v>
      </c>
      <c r="T8699" s="331">
        <v>0</v>
      </c>
      <c r="U8699" s="328">
        <f>VLOOKUP(C8699,METADATA!$J$5:$Q$29,IF(E8699="HI",2,IF(E8699="LO",6,10))+IF(T8699=1,2,IF(D8699=7,1,(IF(WEEKDAY(B8699)=1,2,IF(WEEKDAY(B8699)=7,1,0))))))</f>
        <v>1</v>
      </c>
      <c r="V8699" s="328">
        <f>VLOOKUP(C8699,METADATA!$A$5:$H$29,IF(E8699="HI",2,IF(E8699="LO",6,10))+IF(T8699=1,2,IF(D8699=7,1,(IF(WEEKDAY(B8699)=1,2,IF(WEEKDAY(B8699)=7,1,0))))))</f>
        <v>1</v>
      </c>
    </row>
    <row r="8700" spans="2:22">
      <c r="B8700" s="318">
        <f t="shared" si="543"/>
        <v>46475</v>
      </c>
      <c r="C8700" s="312">
        <v>8</v>
      </c>
      <c r="D8700" s="368">
        <f>IFERROR((INDEX(METADATA!$T$2:$T$20,MATCH(B8700,METADATA!$S$2:$S$20,0))),0)</f>
        <v>1</v>
      </c>
      <c r="E8700" s="312" t="str">
        <f t="shared" si="540"/>
        <v>LO</v>
      </c>
      <c r="F8700" s="369">
        <f>VLOOKUP(C8700,METADATA!$A$5:$H$29,IF(E8700="HI",2,IF(E8700="LO",6,10))+IF(D8700=1,2,IF(D8700=7,1,(IF(WEEKDAY(B8700)=1,2,IF(WEEKDAY(B8700)=7,1,0))))))</f>
        <v>3</v>
      </c>
      <c r="G8700" s="369">
        <f>VLOOKUP(C8700,METADATA!$J$5:$Q$29,IF(E8700="HI",2,IF(E8700="LO",6,10))+IF(D8700=1,2,IF(D8700=7,1,(IF(WEEKDAY(B8700)=1,2,IF(WEEKDAY(B8700)=7,1,0))))))</f>
        <v>3</v>
      </c>
      <c r="H8700" s="370">
        <v>12689.649780273438</v>
      </c>
      <c r="I8700" s="370">
        <v>3717.2200622558594</v>
      </c>
      <c r="M8700" s="371">
        <f t="shared" si="541"/>
        <v>13222.894408458049</v>
      </c>
      <c r="N8700" s="329">
        <f t="shared" si="542"/>
        <v>0</v>
      </c>
      <c r="T8700" s="331">
        <v>0</v>
      </c>
      <c r="U8700" s="328">
        <f>VLOOKUP(C8700,METADATA!$J$5:$Q$29,IF(E8700="HI",2,IF(E8700="LO",6,10))+IF(T8700=1,2,IF(D8700=7,1,(IF(WEEKDAY(B8700)=1,2,IF(WEEKDAY(B8700)=7,1,0))))))</f>
        <v>1</v>
      </c>
      <c r="V8700" s="328">
        <f>VLOOKUP(C8700,METADATA!$A$5:$H$29,IF(E8700="HI",2,IF(E8700="LO",6,10))+IF(T8700=1,2,IF(D8700=7,1,(IF(WEEKDAY(B8700)=1,2,IF(WEEKDAY(B8700)=7,1,0))))))</f>
        <v>1</v>
      </c>
    </row>
    <row r="8701" spans="2:22">
      <c r="B8701" s="318">
        <f t="shared" si="543"/>
        <v>46475</v>
      </c>
      <c r="C8701" s="312">
        <v>9</v>
      </c>
      <c r="D8701" s="368">
        <f>IFERROR((INDEX(METADATA!$T$2:$T$20,MATCH(B8701,METADATA!$S$2:$S$20,0))),0)</f>
        <v>1</v>
      </c>
      <c r="E8701" s="312" t="str">
        <f t="shared" si="540"/>
        <v>LO</v>
      </c>
      <c r="F8701" s="369">
        <f>VLOOKUP(C8701,METADATA!$A$5:$H$29,IF(E8701="HI",2,IF(E8701="LO",6,10))+IF(D8701=1,2,IF(D8701=7,1,(IF(WEEKDAY(B8701)=1,2,IF(WEEKDAY(B8701)=7,1,0))))))</f>
        <v>3</v>
      </c>
      <c r="G8701" s="369">
        <f>VLOOKUP(C8701,METADATA!$J$5:$Q$29,IF(E8701="HI",2,IF(E8701="LO",6,10))+IF(D8701=1,2,IF(D8701=7,1,(IF(WEEKDAY(B8701)=1,2,IF(WEEKDAY(B8701)=7,1,0))))))</f>
        <v>3</v>
      </c>
      <c r="H8701" s="370">
        <v>12676.024780273438</v>
      </c>
      <c r="I8701" s="370">
        <v>3810.5601196289063</v>
      </c>
      <c r="M8701" s="371">
        <f t="shared" si="541"/>
        <v>13236.388202807158</v>
      </c>
      <c r="N8701" s="329">
        <f t="shared" si="542"/>
        <v>7.752685546875</v>
      </c>
      <c r="T8701" s="331">
        <v>0</v>
      </c>
      <c r="U8701" s="328">
        <f>VLOOKUP(C8701,METADATA!$J$5:$Q$29,IF(E8701="HI",2,IF(E8701="LO",6,10))+IF(T8701=1,2,IF(D8701=7,1,(IF(WEEKDAY(B8701)=1,2,IF(WEEKDAY(B8701)=7,1,0))))))</f>
        <v>2</v>
      </c>
      <c r="V8701" s="328">
        <f>VLOOKUP(C8701,METADATA!$A$5:$H$29,IF(E8701="HI",2,IF(E8701="LO",6,10))+IF(T8701=1,2,IF(D8701=7,1,(IF(WEEKDAY(B8701)=1,2,IF(WEEKDAY(B8701)=7,1,0))))))</f>
        <v>2</v>
      </c>
    </row>
    <row r="8702" spans="2:22">
      <c r="B8702" s="318">
        <f t="shared" si="543"/>
        <v>46475</v>
      </c>
      <c r="C8702" s="312">
        <v>10</v>
      </c>
      <c r="D8702" s="368">
        <f>IFERROR((INDEX(METADATA!$T$2:$T$20,MATCH(B8702,METADATA!$S$2:$S$20,0))),0)</f>
        <v>1</v>
      </c>
      <c r="E8702" s="312" t="str">
        <f t="shared" si="540"/>
        <v>LO</v>
      </c>
      <c r="F8702" s="369">
        <f>VLOOKUP(C8702,METADATA!$A$5:$H$29,IF(E8702="HI",2,IF(E8702="LO",6,10))+IF(D8702=1,2,IF(D8702=7,1,(IF(WEEKDAY(B8702)=1,2,IF(WEEKDAY(B8702)=7,1,0))))))</f>
        <v>3</v>
      </c>
      <c r="G8702" s="369">
        <f>VLOOKUP(C8702,METADATA!$J$5:$Q$29,IF(E8702="HI",2,IF(E8702="LO",6,10))+IF(D8702=1,2,IF(D8702=7,1,(IF(WEEKDAY(B8702)=1,2,IF(WEEKDAY(B8702)=7,1,0))))))</f>
        <v>3</v>
      </c>
      <c r="H8702" s="370">
        <v>12765.875244140625</v>
      </c>
      <c r="I8702" s="370">
        <v>4209.544921875</v>
      </c>
      <c r="M8702" s="371">
        <f t="shared" si="541"/>
        <v>13442.017675864217</v>
      </c>
      <c r="N8702" s="329">
        <f t="shared" si="542"/>
        <v>379.7823486328125</v>
      </c>
      <c r="T8702" s="331">
        <v>0</v>
      </c>
      <c r="U8702" s="328">
        <f>VLOOKUP(C8702,METADATA!$J$5:$Q$29,IF(E8702="HI",2,IF(E8702="LO",6,10))+IF(T8702=1,2,IF(D8702=7,1,(IF(WEEKDAY(B8702)=1,2,IF(WEEKDAY(B8702)=7,1,0))))))</f>
        <v>2</v>
      </c>
      <c r="V8702" s="328">
        <f>VLOOKUP(C8702,METADATA!$A$5:$H$29,IF(E8702="HI",2,IF(E8702="LO",6,10))+IF(T8702=1,2,IF(D8702=7,1,(IF(WEEKDAY(B8702)=1,2,IF(WEEKDAY(B8702)=7,1,0))))))</f>
        <v>2</v>
      </c>
    </row>
    <row r="8703" spans="2:22">
      <c r="B8703" s="318">
        <f t="shared" si="543"/>
        <v>46475</v>
      </c>
      <c r="C8703" s="312">
        <v>11</v>
      </c>
      <c r="D8703" s="368">
        <f>IFERROR((INDEX(METADATA!$T$2:$T$20,MATCH(B8703,METADATA!$S$2:$S$20,0))),0)</f>
        <v>1</v>
      </c>
      <c r="E8703" s="312" t="str">
        <f t="shared" si="540"/>
        <v>LO</v>
      </c>
      <c r="F8703" s="369">
        <f>VLOOKUP(C8703,METADATA!$A$5:$H$29,IF(E8703="HI",2,IF(E8703="LO",6,10))+IF(D8703=1,2,IF(D8703=7,1,(IF(WEEKDAY(B8703)=1,2,IF(WEEKDAY(B8703)=7,1,0))))))</f>
        <v>3</v>
      </c>
      <c r="G8703" s="369">
        <f>VLOOKUP(C8703,METADATA!$J$5:$Q$29,IF(E8703="HI",2,IF(E8703="LO",6,10))+IF(D8703=1,2,IF(D8703=7,1,(IF(WEEKDAY(B8703)=1,2,IF(WEEKDAY(B8703)=7,1,0))))))</f>
        <v>3</v>
      </c>
      <c r="H8703" s="370">
        <v>11475.549865722656</v>
      </c>
      <c r="I8703" s="370">
        <v>3333.9699096679688</v>
      </c>
      <c r="M8703" s="371">
        <f t="shared" si="541"/>
        <v>11950.046028332223</v>
      </c>
      <c r="N8703" s="329">
        <f t="shared" si="542"/>
        <v>0</v>
      </c>
      <c r="T8703" s="331">
        <v>0</v>
      </c>
      <c r="U8703" s="328">
        <f>VLOOKUP(C8703,METADATA!$J$5:$Q$29,IF(E8703="HI",2,IF(E8703="LO",6,10))+IF(T8703=1,2,IF(D8703=7,1,(IF(WEEKDAY(B8703)=1,2,IF(WEEKDAY(B8703)=7,1,0))))))</f>
        <v>2</v>
      </c>
      <c r="V8703" s="328">
        <f>VLOOKUP(C8703,METADATA!$A$5:$H$29,IF(E8703="HI",2,IF(E8703="LO",6,10))+IF(T8703=1,2,IF(D8703=7,1,(IF(WEEKDAY(B8703)=1,2,IF(WEEKDAY(B8703)=7,1,0))))))</f>
        <v>2</v>
      </c>
    </row>
    <row r="8704" spans="2:22">
      <c r="B8704" s="318">
        <f t="shared" si="543"/>
        <v>46475</v>
      </c>
      <c r="C8704" s="312">
        <v>12</v>
      </c>
      <c r="D8704" s="368">
        <f>IFERROR((INDEX(METADATA!$T$2:$T$20,MATCH(B8704,METADATA!$S$2:$S$20,0))),0)</f>
        <v>1</v>
      </c>
      <c r="E8704" s="312" t="str">
        <f t="shared" si="540"/>
        <v>LO</v>
      </c>
      <c r="F8704" s="369">
        <f>VLOOKUP(C8704,METADATA!$A$5:$H$29,IF(E8704="HI",2,IF(E8704="LO",6,10))+IF(D8704=1,2,IF(D8704=7,1,(IF(WEEKDAY(B8704)=1,2,IF(WEEKDAY(B8704)=7,1,0))))))</f>
        <v>3</v>
      </c>
      <c r="G8704" s="369">
        <f>VLOOKUP(C8704,METADATA!$J$5:$Q$29,IF(E8704="HI",2,IF(E8704="LO",6,10))+IF(D8704=1,2,IF(D8704=7,1,(IF(WEEKDAY(B8704)=1,2,IF(WEEKDAY(B8704)=7,1,0))))))</f>
        <v>3</v>
      </c>
      <c r="H8704" s="370">
        <v>12306.650207519531</v>
      </c>
      <c r="I8704" s="370">
        <v>4112.364990234375</v>
      </c>
      <c r="M8704" s="371">
        <f t="shared" si="541"/>
        <v>12975.561072383185</v>
      </c>
      <c r="N8704" s="329">
        <f t="shared" si="542"/>
        <v>420.36992797851599</v>
      </c>
      <c r="T8704" s="331">
        <v>0</v>
      </c>
      <c r="U8704" s="328">
        <f>VLOOKUP(C8704,METADATA!$J$5:$Q$29,IF(E8704="HI",2,IF(E8704="LO",6,10))+IF(T8704=1,2,IF(D8704=7,1,(IF(WEEKDAY(B8704)=1,2,IF(WEEKDAY(B8704)=7,1,0))))))</f>
        <v>2</v>
      </c>
      <c r="V8704" s="328">
        <f>VLOOKUP(C8704,METADATA!$A$5:$H$29,IF(E8704="HI",2,IF(E8704="LO",6,10))+IF(T8704=1,2,IF(D8704=7,1,(IF(WEEKDAY(B8704)=1,2,IF(WEEKDAY(B8704)=7,1,0))))))</f>
        <v>2</v>
      </c>
    </row>
    <row r="8705" spans="2:22">
      <c r="B8705" s="318">
        <f t="shared" si="543"/>
        <v>46475</v>
      </c>
      <c r="C8705" s="312">
        <v>13</v>
      </c>
      <c r="D8705" s="368">
        <f>IFERROR((INDEX(METADATA!$T$2:$T$20,MATCH(B8705,METADATA!$S$2:$S$20,0))),0)</f>
        <v>1</v>
      </c>
      <c r="E8705" s="312" t="str">
        <f t="shared" si="540"/>
        <v>LO</v>
      </c>
      <c r="F8705" s="369">
        <f>VLOOKUP(C8705,METADATA!$A$5:$H$29,IF(E8705="HI",2,IF(E8705="LO",6,10))+IF(D8705=1,2,IF(D8705=7,1,(IF(WEEKDAY(B8705)=1,2,IF(WEEKDAY(B8705)=7,1,0))))))</f>
        <v>3</v>
      </c>
      <c r="G8705" s="369">
        <f>VLOOKUP(C8705,METADATA!$J$5:$Q$29,IF(E8705="HI",2,IF(E8705="LO",6,10))+IF(D8705=1,2,IF(D8705=7,1,(IF(WEEKDAY(B8705)=1,2,IF(WEEKDAY(B8705)=7,1,0))))))</f>
        <v>3</v>
      </c>
      <c r="H8705" s="370">
        <v>12602.749938964844</v>
      </c>
      <c r="I8705" s="370">
        <v>4020.7051391601563</v>
      </c>
      <c r="M8705" s="371">
        <f t="shared" si="541"/>
        <v>13228.581777354188</v>
      </c>
      <c r="N8705" s="329">
        <f t="shared" si="542"/>
        <v>239.88015747070313</v>
      </c>
      <c r="T8705" s="331">
        <v>0</v>
      </c>
      <c r="U8705" s="328">
        <f>VLOOKUP(C8705,METADATA!$J$5:$Q$29,IF(E8705="HI",2,IF(E8705="LO",6,10))+IF(T8705=1,2,IF(D8705=7,1,(IF(WEEKDAY(B8705)=1,2,IF(WEEKDAY(B8705)=7,1,0))))))</f>
        <v>2</v>
      </c>
      <c r="V8705" s="328">
        <f>VLOOKUP(C8705,METADATA!$A$5:$H$29,IF(E8705="HI",2,IF(E8705="LO",6,10))+IF(T8705=1,2,IF(D8705=7,1,(IF(WEEKDAY(B8705)=1,2,IF(WEEKDAY(B8705)=7,1,0))))))</f>
        <v>2</v>
      </c>
    </row>
    <row r="8706" spans="2:22">
      <c r="B8706" s="318">
        <f t="shared" si="543"/>
        <v>46475</v>
      </c>
      <c r="C8706" s="312">
        <v>14</v>
      </c>
      <c r="D8706" s="368">
        <f>IFERROR((INDEX(METADATA!$T$2:$T$20,MATCH(B8706,METADATA!$S$2:$S$20,0))),0)</f>
        <v>1</v>
      </c>
      <c r="E8706" s="312" t="str">
        <f t="shared" si="540"/>
        <v>LO</v>
      </c>
      <c r="F8706" s="369">
        <f>VLOOKUP(C8706,METADATA!$A$5:$H$29,IF(E8706="HI",2,IF(E8706="LO",6,10))+IF(D8706=1,2,IF(D8706=7,1,(IF(WEEKDAY(B8706)=1,2,IF(WEEKDAY(B8706)=7,1,0))))))</f>
        <v>3</v>
      </c>
      <c r="G8706" s="369">
        <f>VLOOKUP(C8706,METADATA!$J$5:$Q$29,IF(E8706="HI",2,IF(E8706="LO",6,10))+IF(D8706=1,2,IF(D8706=7,1,(IF(WEEKDAY(B8706)=1,2,IF(WEEKDAY(B8706)=7,1,0))))))</f>
        <v>3</v>
      </c>
      <c r="H8706" s="370">
        <v>12525.600219726563</v>
      </c>
      <c r="I8706" s="370">
        <v>3839.6299743652344</v>
      </c>
      <c r="M8706" s="371">
        <f t="shared" si="541"/>
        <v>13100.89383227183</v>
      </c>
      <c r="N8706" s="329">
        <f t="shared" si="542"/>
        <v>81.949908447265898</v>
      </c>
      <c r="T8706" s="331">
        <v>0</v>
      </c>
      <c r="U8706" s="328">
        <f>VLOOKUP(C8706,METADATA!$J$5:$Q$29,IF(E8706="HI",2,IF(E8706="LO",6,10))+IF(T8706=1,2,IF(D8706=7,1,(IF(WEEKDAY(B8706)=1,2,IF(WEEKDAY(B8706)=7,1,0))))))</f>
        <v>2</v>
      </c>
      <c r="V8706" s="328">
        <f>VLOOKUP(C8706,METADATA!$A$5:$H$29,IF(E8706="HI",2,IF(E8706="LO",6,10))+IF(T8706=1,2,IF(D8706=7,1,(IF(WEEKDAY(B8706)=1,2,IF(WEEKDAY(B8706)=7,1,0))))))</f>
        <v>2</v>
      </c>
    </row>
    <row r="8707" spans="2:22">
      <c r="B8707" s="318">
        <f t="shared" si="543"/>
        <v>46475</v>
      </c>
      <c r="C8707" s="312">
        <v>15</v>
      </c>
      <c r="D8707" s="368">
        <f>IFERROR((INDEX(METADATA!$T$2:$T$20,MATCH(B8707,METADATA!$S$2:$S$20,0))),0)</f>
        <v>1</v>
      </c>
      <c r="E8707" s="312" t="str">
        <f t="shared" si="540"/>
        <v>LO</v>
      </c>
      <c r="F8707" s="369">
        <f>VLOOKUP(C8707,METADATA!$A$5:$H$29,IF(E8707="HI",2,IF(E8707="LO",6,10))+IF(D8707=1,2,IF(D8707=7,1,(IF(WEEKDAY(B8707)=1,2,IF(WEEKDAY(B8707)=7,1,0))))))</f>
        <v>3</v>
      </c>
      <c r="G8707" s="369">
        <f>VLOOKUP(C8707,METADATA!$J$5:$Q$29,IF(E8707="HI",2,IF(E8707="LO",6,10))+IF(D8707=1,2,IF(D8707=7,1,(IF(WEEKDAY(B8707)=1,2,IF(WEEKDAY(B8707)=7,1,0))))))</f>
        <v>3</v>
      </c>
      <c r="H8707" s="370">
        <v>12712.975219726563</v>
      </c>
      <c r="I8707" s="370">
        <v>3962.4100341796875</v>
      </c>
      <c r="M8707" s="371">
        <f t="shared" si="541"/>
        <v>13316.171830385394</v>
      </c>
      <c r="N8707" s="329">
        <f t="shared" si="542"/>
        <v>148.51746826171893</v>
      </c>
      <c r="T8707" s="331">
        <v>0</v>
      </c>
      <c r="U8707" s="328">
        <f>VLOOKUP(C8707,METADATA!$J$5:$Q$29,IF(E8707="HI",2,IF(E8707="LO",6,10))+IF(T8707=1,2,IF(D8707=7,1,(IF(WEEKDAY(B8707)=1,2,IF(WEEKDAY(B8707)=7,1,0))))))</f>
        <v>2</v>
      </c>
      <c r="V8707" s="328">
        <f>VLOOKUP(C8707,METADATA!$A$5:$H$29,IF(E8707="HI",2,IF(E8707="LO",6,10))+IF(T8707=1,2,IF(D8707=7,1,(IF(WEEKDAY(B8707)=1,2,IF(WEEKDAY(B8707)=7,1,0))))))</f>
        <v>2</v>
      </c>
    </row>
    <row r="8708" spans="2:22">
      <c r="B8708" s="318">
        <f t="shared" si="543"/>
        <v>46475</v>
      </c>
      <c r="C8708" s="312">
        <v>16</v>
      </c>
      <c r="D8708" s="368">
        <f>IFERROR((INDEX(METADATA!$T$2:$T$20,MATCH(B8708,METADATA!$S$2:$S$20,0))),0)</f>
        <v>1</v>
      </c>
      <c r="E8708" s="312" t="str">
        <f t="shared" ref="E8708:E8763" si="544">IF(B8708="","",IF(AND(MONTH(B8708)&gt;=MONTH($Z$9),MONTH(B8708)&lt;=MONTH($Z$11)),"HI","LO"))</f>
        <v>LO</v>
      </c>
      <c r="F8708" s="369">
        <f>VLOOKUP(C8708,METADATA!$A$5:$H$29,IF(E8708="HI",2,IF(E8708="LO",6,10))+IF(D8708=1,2,IF(D8708=7,1,(IF(WEEKDAY(B8708)=1,2,IF(WEEKDAY(B8708)=7,1,0))))))</f>
        <v>3</v>
      </c>
      <c r="G8708" s="369">
        <f>VLOOKUP(C8708,METADATA!$J$5:$Q$29,IF(E8708="HI",2,IF(E8708="LO",6,10))+IF(D8708=1,2,IF(D8708=7,1,(IF(WEEKDAY(B8708)=1,2,IF(WEEKDAY(B8708)=7,1,0))))))</f>
        <v>3</v>
      </c>
      <c r="H8708" s="370">
        <v>12732.150024414063</v>
      </c>
      <c r="I8708" s="370">
        <v>3965.6350402832031</v>
      </c>
      <c r="M8708" s="371">
        <f t="shared" ref="M8708:M8763" si="545">SQRT(H8708^2+I8708^2)</f>
        <v>13335.437957446653</v>
      </c>
      <c r="N8708" s="329">
        <f t="shared" ref="N8708:N8763" si="546">IF(H8708=0,0,(IF(I8708-(0.3*H8708)&lt;0,0,(I8708-(0.3*H8708)))))</f>
        <v>145.99003295898456</v>
      </c>
      <c r="T8708" s="331">
        <v>0</v>
      </c>
      <c r="U8708" s="328">
        <f>VLOOKUP(C8708,METADATA!$J$5:$Q$29,IF(E8708="HI",2,IF(E8708="LO",6,10))+IF(T8708=1,2,IF(D8708=7,1,(IF(WEEKDAY(B8708)=1,2,IF(WEEKDAY(B8708)=7,1,0))))))</f>
        <v>2</v>
      </c>
      <c r="V8708" s="328">
        <f>VLOOKUP(C8708,METADATA!$A$5:$H$29,IF(E8708="HI",2,IF(E8708="LO",6,10))+IF(T8708=1,2,IF(D8708=7,1,(IF(WEEKDAY(B8708)=1,2,IF(WEEKDAY(B8708)=7,1,0))))))</f>
        <v>2</v>
      </c>
    </row>
    <row r="8709" spans="2:22">
      <c r="B8709" s="318">
        <f t="shared" si="543"/>
        <v>46475</v>
      </c>
      <c r="C8709" s="312">
        <v>17</v>
      </c>
      <c r="D8709" s="368">
        <f>IFERROR((INDEX(METADATA!$T$2:$T$20,MATCH(B8709,METADATA!$S$2:$S$20,0))),0)</f>
        <v>1</v>
      </c>
      <c r="E8709" s="312" t="str">
        <f t="shared" si="544"/>
        <v>LO</v>
      </c>
      <c r="F8709" s="369">
        <f>VLOOKUP(C8709,METADATA!$A$5:$H$29,IF(E8709="HI",2,IF(E8709="LO",6,10))+IF(D8709=1,2,IF(D8709=7,1,(IF(WEEKDAY(B8709)=1,2,IF(WEEKDAY(B8709)=7,1,0))))))</f>
        <v>3</v>
      </c>
      <c r="G8709" s="369">
        <f>VLOOKUP(C8709,METADATA!$J$5:$Q$29,IF(E8709="HI",2,IF(E8709="LO",6,10))+IF(D8709=1,2,IF(D8709=7,1,(IF(WEEKDAY(B8709)=1,2,IF(WEEKDAY(B8709)=7,1,0))))))</f>
        <v>3</v>
      </c>
      <c r="H8709" s="370">
        <v>12654.325012207031</v>
      </c>
      <c r="I8709" s="370">
        <v>3988.7749633789063</v>
      </c>
      <c r="M8709" s="371">
        <f t="shared" si="545"/>
        <v>13268.092071697682</v>
      </c>
      <c r="N8709" s="329">
        <f t="shared" si="546"/>
        <v>192.47745971679706</v>
      </c>
      <c r="T8709" s="331">
        <v>0</v>
      </c>
      <c r="U8709" s="328">
        <f>VLOOKUP(C8709,METADATA!$J$5:$Q$29,IF(E8709="HI",2,IF(E8709="LO",6,10))+IF(T8709=1,2,IF(D8709=7,1,(IF(WEEKDAY(B8709)=1,2,IF(WEEKDAY(B8709)=7,1,0))))))</f>
        <v>2</v>
      </c>
      <c r="V8709" s="328">
        <f>VLOOKUP(C8709,METADATA!$A$5:$H$29,IF(E8709="HI",2,IF(E8709="LO",6,10))+IF(T8709=1,2,IF(D8709=7,1,(IF(WEEKDAY(B8709)=1,2,IF(WEEKDAY(B8709)=7,1,0))))))</f>
        <v>2</v>
      </c>
    </row>
    <row r="8710" spans="2:22">
      <c r="B8710" s="318">
        <f t="shared" si="543"/>
        <v>46475</v>
      </c>
      <c r="C8710" s="312">
        <v>18</v>
      </c>
      <c r="D8710" s="368">
        <f>IFERROR((INDEX(METADATA!$T$2:$T$20,MATCH(B8710,METADATA!$S$2:$S$20,0))),0)</f>
        <v>1</v>
      </c>
      <c r="E8710" s="312" t="str">
        <f t="shared" si="544"/>
        <v>LO</v>
      </c>
      <c r="F8710" s="369">
        <f>VLOOKUP(C8710,METADATA!$A$5:$H$29,IF(E8710="HI",2,IF(E8710="LO",6,10))+IF(D8710=1,2,IF(D8710=7,1,(IF(WEEKDAY(B8710)=1,2,IF(WEEKDAY(B8710)=7,1,0))))))</f>
        <v>2</v>
      </c>
      <c r="G8710" s="369">
        <f>VLOOKUP(C8710,METADATA!$J$5:$Q$29,IF(E8710="HI",2,IF(E8710="LO",6,10))+IF(D8710=1,2,IF(D8710=7,1,(IF(WEEKDAY(B8710)=1,2,IF(WEEKDAY(B8710)=7,1,0))))))</f>
        <v>2</v>
      </c>
      <c r="H8710" s="370">
        <v>7824.5999145507813</v>
      </c>
      <c r="I8710" s="370">
        <v>2304.2724914550781</v>
      </c>
      <c r="M8710" s="371">
        <f t="shared" si="545"/>
        <v>8156.8398009072534</v>
      </c>
      <c r="N8710" s="329">
        <f t="shared" si="546"/>
        <v>0</v>
      </c>
      <c r="T8710" s="331">
        <v>0</v>
      </c>
      <c r="U8710" s="328">
        <f>VLOOKUP(C8710,METADATA!$J$5:$Q$29,IF(E8710="HI",2,IF(E8710="LO",6,10))+IF(T8710=1,2,IF(D8710=7,1,(IF(WEEKDAY(B8710)=1,2,IF(WEEKDAY(B8710)=7,1,0))))))</f>
        <v>1</v>
      </c>
      <c r="V8710" s="328">
        <f>VLOOKUP(C8710,METADATA!$A$5:$H$29,IF(E8710="HI",2,IF(E8710="LO",6,10))+IF(T8710=1,2,IF(D8710=7,1,(IF(WEEKDAY(B8710)=1,2,IF(WEEKDAY(B8710)=7,1,0))))))</f>
        <v>1</v>
      </c>
    </row>
    <row r="8711" spans="2:22">
      <c r="B8711" s="318">
        <f t="shared" si="543"/>
        <v>46475</v>
      </c>
      <c r="C8711" s="312">
        <v>19</v>
      </c>
      <c r="D8711" s="368">
        <f>IFERROR((INDEX(METADATA!$T$2:$T$20,MATCH(B8711,METADATA!$S$2:$S$20,0))),0)</f>
        <v>1</v>
      </c>
      <c r="E8711" s="312" t="str">
        <f t="shared" si="544"/>
        <v>LO</v>
      </c>
      <c r="F8711" s="369">
        <f>VLOOKUP(C8711,METADATA!$A$5:$H$29,IF(E8711="HI",2,IF(E8711="LO",6,10))+IF(D8711=1,2,IF(D8711=7,1,(IF(WEEKDAY(B8711)=1,2,IF(WEEKDAY(B8711)=7,1,0))))))</f>
        <v>2</v>
      </c>
      <c r="G8711" s="369">
        <f>VLOOKUP(C8711,METADATA!$J$5:$Q$29,IF(E8711="HI",2,IF(E8711="LO",6,10))+IF(D8711=1,2,IF(D8711=7,1,(IF(WEEKDAY(B8711)=1,2,IF(WEEKDAY(B8711)=7,1,0))))))</f>
        <v>2</v>
      </c>
      <c r="H8711" s="370">
        <v>7399.0827026367188</v>
      </c>
      <c r="I8711" s="370">
        <v>1870.414992660284</v>
      </c>
      <c r="M8711" s="371">
        <f t="shared" si="545"/>
        <v>7631.8331405518993</v>
      </c>
      <c r="N8711" s="329">
        <f t="shared" si="546"/>
        <v>0</v>
      </c>
      <c r="T8711" s="331">
        <v>0</v>
      </c>
      <c r="U8711" s="328">
        <f>VLOOKUP(C8711,METADATA!$J$5:$Q$29,IF(E8711="HI",2,IF(E8711="LO",6,10))+IF(T8711=1,2,IF(D8711=7,1,(IF(WEEKDAY(B8711)=1,2,IF(WEEKDAY(B8711)=7,1,0))))))</f>
        <v>1</v>
      </c>
      <c r="V8711" s="328">
        <f>VLOOKUP(C8711,METADATA!$A$5:$H$29,IF(E8711="HI",2,IF(E8711="LO",6,10))+IF(T8711=1,2,IF(D8711=7,1,(IF(WEEKDAY(B8711)=1,2,IF(WEEKDAY(B8711)=7,1,0))))))</f>
        <v>1</v>
      </c>
    </row>
    <row r="8712" spans="2:22">
      <c r="B8712" s="318">
        <f t="shared" si="543"/>
        <v>46475</v>
      </c>
      <c r="C8712" s="312">
        <v>20</v>
      </c>
      <c r="D8712" s="368">
        <f>IFERROR((INDEX(METADATA!$T$2:$T$20,MATCH(B8712,METADATA!$S$2:$S$20,0))),0)</f>
        <v>1</v>
      </c>
      <c r="E8712" s="312" t="str">
        <f t="shared" si="544"/>
        <v>LO</v>
      </c>
      <c r="F8712" s="369">
        <f>VLOOKUP(C8712,METADATA!$A$5:$H$29,IF(E8712="HI",2,IF(E8712="LO",6,10))+IF(D8712=1,2,IF(D8712=7,1,(IF(WEEKDAY(B8712)=1,2,IF(WEEKDAY(B8712)=7,1,0))))))</f>
        <v>3</v>
      </c>
      <c r="G8712" s="369">
        <f>VLOOKUP(C8712,METADATA!$J$5:$Q$29,IF(E8712="HI",2,IF(E8712="LO",6,10))+IF(D8712=1,2,IF(D8712=7,1,(IF(WEEKDAY(B8712)=1,2,IF(WEEKDAY(B8712)=7,1,0))))))</f>
        <v>3</v>
      </c>
      <c r="H8712" s="370">
        <v>11423.202331542969</v>
      </c>
      <c r="I8712" s="370">
        <v>3317.6875305175781</v>
      </c>
      <c r="M8712" s="371">
        <f t="shared" si="545"/>
        <v>11895.23442633732</v>
      </c>
      <c r="N8712" s="329">
        <f t="shared" si="546"/>
        <v>0</v>
      </c>
      <c r="T8712" s="331">
        <v>0</v>
      </c>
      <c r="U8712" s="328">
        <f>VLOOKUP(C8712,METADATA!$J$5:$Q$29,IF(E8712="HI",2,IF(E8712="LO",6,10))+IF(T8712=1,2,IF(D8712=7,1,(IF(WEEKDAY(B8712)=1,2,IF(WEEKDAY(B8712)=7,1,0))))))</f>
        <v>1</v>
      </c>
      <c r="V8712" s="328">
        <f>VLOOKUP(C8712,METADATA!$A$5:$H$29,IF(E8712="HI",2,IF(E8712="LO",6,10))+IF(T8712=1,2,IF(D8712=7,1,(IF(WEEKDAY(B8712)=1,2,IF(WEEKDAY(B8712)=7,1,0))))))</f>
        <v>1</v>
      </c>
    </row>
    <row r="8713" spans="2:22">
      <c r="B8713" s="318">
        <f t="shared" si="543"/>
        <v>46475</v>
      </c>
      <c r="C8713" s="312">
        <v>21</v>
      </c>
      <c r="D8713" s="368">
        <f>IFERROR((INDEX(METADATA!$T$2:$T$20,MATCH(B8713,METADATA!$S$2:$S$20,0))),0)</f>
        <v>1</v>
      </c>
      <c r="E8713" s="312" t="str">
        <f t="shared" si="544"/>
        <v>LO</v>
      </c>
      <c r="F8713" s="369">
        <f>VLOOKUP(C8713,METADATA!$A$5:$H$29,IF(E8713="HI",2,IF(E8713="LO",6,10))+IF(D8713=1,2,IF(D8713=7,1,(IF(WEEKDAY(B8713)=1,2,IF(WEEKDAY(B8713)=7,1,0))))))</f>
        <v>3</v>
      </c>
      <c r="G8713" s="369">
        <f>VLOOKUP(C8713,METADATA!$J$5:$Q$29,IF(E8713="HI",2,IF(E8713="LO",6,10))+IF(D8713=1,2,IF(D8713=7,1,(IF(WEEKDAY(B8713)=1,2,IF(WEEKDAY(B8713)=7,1,0))))))</f>
        <v>3</v>
      </c>
      <c r="H8713" s="370">
        <v>12986.9248046875</v>
      </c>
      <c r="I8713" s="370">
        <v>4047.4949340820313</v>
      </c>
      <c r="M8713" s="371">
        <f t="shared" si="545"/>
        <v>13603.030218448652</v>
      </c>
      <c r="N8713" s="329">
        <f t="shared" si="546"/>
        <v>151.41749267578143</v>
      </c>
      <c r="T8713" s="331">
        <v>0</v>
      </c>
      <c r="U8713" s="328">
        <f>VLOOKUP(C8713,METADATA!$J$5:$Q$29,IF(E8713="HI",2,IF(E8713="LO",6,10))+IF(T8713=1,2,IF(D8713=7,1,(IF(WEEKDAY(B8713)=1,2,IF(WEEKDAY(B8713)=7,1,0))))))</f>
        <v>2</v>
      </c>
      <c r="V8713" s="328">
        <f>VLOOKUP(C8713,METADATA!$A$5:$H$29,IF(E8713="HI",2,IF(E8713="LO",6,10))+IF(T8713=1,2,IF(D8713=7,1,(IF(WEEKDAY(B8713)=1,2,IF(WEEKDAY(B8713)=7,1,0))))))</f>
        <v>2</v>
      </c>
    </row>
    <row r="8714" spans="2:22">
      <c r="B8714" s="318">
        <f t="shared" si="543"/>
        <v>46475</v>
      </c>
      <c r="C8714" s="312">
        <v>22</v>
      </c>
      <c r="D8714" s="368">
        <f>IFERROR((INDEX(METADATA!$T$2:$T$20,MATCH(B8714,METADATA!$S$2:$S$20,0))),0)</f>
        <v>1</v>
      </c>
      <c r="E8714" s="312" t="str">
        <f t="shared" si="544"/>
        <v>LO</v>
      </c>
      <c r="F8714" s="369">
        <f>VLOOKUP(C8714,METADATA!$A$5:$H$29,IF(E8714="HI",2,IF(E8714="LO",6,10))+IF(D8714=1,2,IF(D8714=7,1,(IF(WEEKDAY(B8714)=1,2,IF(WEEKDAY(B8714)=7,1,0))))))</f>
        <v>3</v>
      </c>
      <c r="G8714" s="369">
        <f>VLOOKUP(C8714,METADATA!$J$5:$Q$29,IF(E8714="HI",2,IF(E8714="LO",6,10))+IF(D8714=1,2,IF(D8714=7,1,(IF(WEEKDAY(B8714)=1,2,IF(WEEKDAY(B8714)=7,1,0))))))</f>
        <v>3</v>
      </c>
      <c r="H8714" s="370">
        <v>12806.950012207031</v>
      </c>
      <c r="I8714" s="370">
        <v>4025.5749206542969</v>
      </c>
      <c r="M8714" s="371">
        <f t="shared" si="545"/>
        <v>13424.724282344518</v>
      </c>
      <c r="N8714" s="329">
        <f t="shared" si="546"/>
        <v>183.48991699218777</v>
      </c>
      <c r="T8714" s="331">
        <v>0</v>
      </c>
      <c r="U8714" s="328">
        <f>VLOOKUP(C8714,METADATA!$J$5:$Q$29,IF(E8714="HI",2,IF(E8714="LO",6,10))+IF(T8714=1,2,IF(D8714=7,1,(IF(WEEKDAY(B8714)=1,2,IF(WEEKDAY(B8714)=7,1,0))))))</f>
        <v>3</v>
      </c>
      <c r="V8714" s="328">
        <f>VLOOKUP(C8714,METADATA!$A$5:$H$29,IF(E8714="HI",2,IF(E8714="LO",6,10))+IF(T8714=1,2,IF(D8714=7,1,(IF(WEEKDAY(B8714)=1,2,IF(WEEKDAY(B8714)=7,1,0))))))</f>
        <v>3</v>
      </c>
    </row>
    <row r="8715" spans="2:22">
      <c r="B8715" s="318">
        <f t="shared" si="543"/>
        <v>46475</v>
      </c>
      <c r="C8715" s="312">
        <v>23</v>
      </c>
      <c r="D8715" s="368">
        <f>IFERROR((INDEX(METADATA!$T$2:$T$20,MATCH(B8715,METADATA!$S$2:$S$20,0))),0)</f>
        <v>1</v>
      </c>
      <c r="E8715" s="312" t="str">
        <f t="shared" si="544"/>
        <v>LO</v>
      </c>
      <c r="F8715" s="369">
        <f>VLOOKUP(C8715,METADATA!$A$5:$H$29,IF(E8715="HI",2,IF(E8715="LO",6,10))+IF(D8715=1,2,IF(D8715=7,1,(IF(WEEKDAY(B8715)=1,2,IF(WEEKDAY(B8715)=7,1,0))))))</f>
        <v>3</v>
      </c>
      <c r="G8715" s="369">
        <f>VLOOKUP(C8715,METADATA!$J$5:$Q$29,IF(E8715="HI",2,IF(E8715="LO",6,10))+IF(D8715=1,2,IF(D8715=7,1,(IF(WEEKDAY(B8715)=1,2,IF(WEEKDAY(B8715)=7,1,0))))))</f>
        <v>3</v>
      </c>
      <c r="H8715" s="370">
        <v>12924.5751953125</v>
      </c>
      <c r="I8715" s="370">
        <v>4000.9900817871094</v>
      </c>
      <c r="M8715" s="371">
        <f t="shared" si="545"/>
        <v>13529.691999962379</v>
      </c>
      <c r="N8715" s="329">
        <f t="shared" si="546"/>
        <v>123.61752319335938</v>
      </c>
      <c r="T8715" s="331">
        <v>0</v>
      </c>
      <c r="U8715" s="328">
        <f>VLOOKUP(C8715,METADATA!$J$5:$Q$29,IF(E8715="HI",2,IF(E8715="LO",6,10))+IF(T8715=1,2,IF(D8715=7,1,(IF(WEEKDAY(B8715)=1,2,IF(WEEKDAY(B8715)=7,1,0))))))</f>
        <v>3</v>
      </c>
      <c r="V8715" s="328">
        <f>VLOOKUP(C8715,METADATA!$A$5:$H$29,IF(E8715="HI",2,IF(E8715="LO",6,10))+IF(T8715=1,2,IF(D8715=7,1,(IF(WEEKDAY(B8715)=1,2,IF(WEEKDAY(B8715)=7,1,0))))))</f>
        <v>3</v>
      </c>
    </row>
    <row r="8716" spans="2:22">
      <c r="B8716" s="318">
        <f t="shared" si="543"/>
        <v>46476</v>
      </c>
      <c r="C8716" s="312">
        <v>0</v>
      </c>
      <c r="D8716" s="368">
        <f>IFERROR((INDEX(METADATA!$T$2:$T$20,MATCH(B8716,METADATA!$S$2:$S$20,0))),0)</f>
        <v>0</v>
      </c>
      <c r="E8716" s="312" t="str">
        <f t="shared" si="544"/>
        <v>LO</v>
      </c>
      <c r="F8716" s="369">
        <f>VLOOKUP(C8716,METADATA!$A$5:$H$29,IF(E8716="HI",2,IF(E8716="LO",6,10))+IF(D8716=1,2,IF(D8716=7,1,(IF(WEEKDAY(B8716)=1,2,IF(WEEKDAY(B8716)=7,1,0))))))</f>
        <v>3</v>
      </c>
      <c r="G8716" s="369">
        <f>VLOOKUP(C8716,METADATA!$J$5:$Q$29,IF(E8716="HI",2,IF(E8716="LO",6,10))+IF(D8716=1,2,IF(D8716=7,1,(IF(WEEKDAY(B8716)=1,2,IF(WEEKDAY(B8716)=7,1,0))))))</f>
        <v>3</v>
      </c>
      <c r="H8716" s="370">
        <v>12922.325256347656</v>
      </c>
      <c r="I8716" s="370">
        <v>4037.1150512695313</v>
      </c>
      <c r="M8716" s="371">
        <f t="shared" si="545"/>
        <v>13538.271232621524</v>
      </c>
      <c r="N8716" s="329">
        <f t="shared" si="546"/>
        <v>160.41747436523474</v>
      </c>
      <c r="T8716" s="331">
        <v>0</v>
      </c>
      <c r="U8716" s="328">
        <f>VLOOKUP(C8716,METADATA!$J$5:$Q$29,IF(E8716="HI",2,IF(E8716="LO",6,10))+IF(T8716=1,2,IF(D8716=7,1,(IF(WEEKDAY(B8716)=1,2,IF(WEEKDAY(B8716)=7,1,0))))))</f>
        <v>3</v>
      </c>
      <c r="V8716" s="328">
        <f>VLOOKUP(C8716,METADATA!$A$5:$H$29,IF(E8716="HI",2,IF(E8716="LO",6,10))+IF(T8716=1,2,IF(D8716=7,1,(IF(WEEKDAY(B8716)=1,2,IF(WEEKDAY(B8716)=7,1,0))))))</f>
        <v>3</v>
      </c>
    </row>
    <row r="8717" spans="2:22">
      <c r="B8717" s="318">
        <f t="shared" si="543"/>
        <v>46476</v>
      </c>
      <c r="C8717" s="312">
        <v>1</v>
      </c>
      <c r="D8717" s="368">
        <f>IFERROR((INDEX(METADATA!$T$2:$T$20,MATCH(B8717,METADATA!$S$2:$S$20,0))),0)</f>
        <v>0</v>
      </c>
      <c r="E8717" s="312" t="str">
        <f t="shared" si="544"/>
        <v>LO</v>
      </c>
      <c r="F8717" s="369">
        <f>VLOOKUP(C8717,METADATA!$A$5:$H$29,IF(E8717="HI",2,IF(E8717="LO",6,10))+IF(D8717=1,2,IF(D8717=7,1,(IF(WEEKDAY(B8717)=1,2,IF(WEEKDAY(B8717)=7,1,0))))))</f>
        <v>3</v>
      </c>
      <c r="G8717" s="369">
        <f>VLOOKUP(C8717,METADATA!$J$5:$Q$29,IF(E8717="HI",2,IF(E8717="LO",6,10))+IF(D8717=1,2,IF(D8717=7,1,(IF(WEEKDAY(B8717)=1,2,IF(WEEKDAY(B8717)=7,1,0))))))</f>
        <v>3</v>
      </c>
      <c r="H8717" s="370">
        <v>12866.422546386719</v>
      </c>
      <c r="I8717" s="370">
        <v>4033.6775207519531</v>
      </c>
      <c r="M8717" s="371">
        <f t="shared" si="545"/>
        <v>13483.893483841679</v>
      </c>
      <c r="N8717" s="329">
        <f t="shared" si="546"/>
        <v>173.75075683593786</v>
      </c>
      <c r="T8717" s="331">
        <v>0</v>
      </c>
      <c r="U8717" s="328">
        <f>VLOOKUP(C8717,METADATA!$J$5:$Q$29,IF(E8717="HI",2,IF(E8717="LO",6,10))+IF(T8717=1,2,IF(D8717=7,1,(IF(WEEKDAY(B8717)=1,2,IF(WEEKDAY(B8717)=7,1,0))))))</f>
        <v>3</v>
      </c>
      <c r="V8717" s="328">
        <f>VLOOKUP(C8717,METADATA!$A$5:$H$29,IF(E8717="HI",2,IF(E8717="LO",6,10))+IF(T8717=1,2,IF(D8717=7,1,(IF(WEEKDAY(B8717)=1,2,IF(WEEKDAY(B8717)=7,1,0))))))</f>
        <v>3</v>
      </c>
    </row>
    <row r="8718" spans="2:22">
      <c r="B8718" s="318">
        <f t="shared" si="543"/>
        <v>46476</v>
      </c>
      <c r="C8718" s="312">
        <v>2</v>
      </c>
      <c r="D8718" s="368">
        <f>IFERROR((INDEX(METADATA!$T$2:$T$20,MATCH(B8718,METADATA!$S$2:$S$20,0))),0)</f>
        <v>0</v>
      </c>
      <c r="E8718" s="312" t="str">
        <f t="shared" si="544"/>
        <v>LO</v>
      </c>
      <c r="F8718" s="369">
        <f>VLOOKUP(C8718,METADATA!$A$5:$H$29,IF(E8718="HI",2,IF(E8718="LO",6,10))+IF(D8718=1,2,IF(D8718=7,1,(IF(WEEKDAY(B8718)=1,2,IF(WEEKDAY(B8718)=7,1,0))))))</f>
        <v>3</v>
      </c>
      <c r="G8718" s="369">
        <f>VLOOKUP(C8718,METADATA!$J$5:$Q$29,IF(E8718="HI",2,IF(E8718="LO",6,10))+IF(D8718=1,2,IF(D8718=7,1,(IF(WEEKDAY(B8718)=1,2,IF(WEEKDAY(B8718)=7,1,0))))))</f>
        <v>3</v>
      </c>
      <c r="H8718" s="370">
        <v>12862.400207519531</v>
      </c>
      <c r="I8718" s="370">
        <v>3995.2300109863281</v>
      </c>
      <c r="M8718" s="371">
        <f t="shared" si="545"/>
        <v>13468.600593197658</v>
      </c>
      <c r="N8718" s="329">
        <f t="shared" si="546"/>
        <v>136.50994873046875</v>
      </c>
      <c r="T8718" s="331">
        <v>0</v>
      </c>
      <c r="U8718" s="328">
        <f>VLOOKUP(C8718,METADATA!$J$5:$Q$29,IF(E8718="HI",2,IF(E8718="LO",6,10))+IF(T8718=1,2,IF(D8718=7,1,(IF(WEEKDAY(B8718)=1,2,IF(WEEKDAY(B8718)=7,1,0))))))</f>
        <v>3</v>
      </c>
      <c r="V8718" s="328">
        <f>VLOOKUP(C8718,METADATA!$A$5:$H$29,IF(E8718="HI",2,IF(E8718="LO",6,10))+IF(T8718=1,2,IF(D8718=7,1,(IF(WEEKDAY(B8718)=1,2,IF(WEEKDAY(B8718)=7,1,0))))))</f>
        <v>3</v>
      </c>
    </row>
    <row r="8719" spans="2:22">
      <c r="B8719" s="318">
        <f t="shared" si="543"/>
        <v>46476</v>
      </c>
      <c r="C8719" s="312">
        <v>3</v>
      </c>
      <c r="D8719" s="368">
        <f>IFERROR((INDEX(METADATA!$T$2:$T$20,MATCH(B8719,METADATA!$S$2:$S$20,0))),0)</f>
        <v>0</v>
      </c>
      <c r="E8719" s="312" t="str">
        <f t="shared" si="544"/>
        <v>LO</v>
      </c>
      <c r="F8719" s="369">
        <f>VLOOKUP(C8719,METADATA!$A$5:$H$29,IF(E8719="HI",2,IF(E8719="LO",6,10))+IF(D8719=1,2,IF(D8719=7,1,(IF(WEEKDAY(B8719)=1,2,IF(WEEKDAY(B8719)=7,1,0))))))</f>
        <v>3</v>
      </c>
      <c r="G8719" s="369">
        <f>VLOOKUP(C8719,METADATA!$J$5:$Q$29,IF(E8719="HI",2,IF(E8719="LO",6,10))+IF(D8719=1,2,IF(D8719=7,1,(IF(WEEKDAY(B8719)=1,2,IF(WEEKDAY(B8719)=7,1,0))))))</f>
        <v>3</v>
      </c>
      <c r="H8719" s="370">
        <v>12812.375427246094</v>
      </c>
      <c r="I8719" s="370">
        <v>4052.0849609375</v>
      </c>
      <c r="M8719" s="371">
        <f t="shared" si="545"/>
        <v>13437.870241200999</v>
      </c>
      <c r="N8719" s="329">
        <f t="shared" si="546"/>
        <v>208.37233276367215</v>
      </c>
      <c r="T8719" s="331">
        <v>0</v>
      </c>
      <c r="U8719" s="328">
        <f>VLOOKUP(C8719,METADATA!$J$5:$Q$29,IF(E8719="HI",2,IF(E8719="LO",6,10))+IF(T8719=1,2,IF(D8719=7,1,(IF(WEEKDAY(B8719)=1,2,IF(WEEKDAY(B8719)=7,1,0))))))</f>
        <v>3</v>
      </c>
      <c r="V8719" s="328">
        <f>VLOOKUP(C8719,METADATA!$A$5:$H$29,IF(E8719="HI",2,IF(E8719="LO",6,10))+IF(T8719=1,2,IF(D8719=7,1,(IF(WEEKDAY(B8719)=1,2,IF(WEEKDAY(B8719)=7,1,0))))))</f>
        <v>3</v>
      </c>
    </row>
    <row r="8720" spans="2:22">
      <c r="B8720" s="318">
        <f t="shared" si="543"/>
        <v>46476</v>
      </c>
      <c r="C8720" s="312">
        <v>4</v>
      </c>
      <c r="D8720" s="368">
        <f>IFERROR((INDEX(METADATA!$T$2:$T$20,MATCH(B8720,METADATA!$S$2:$S$20,0))),0)</f>
        <v>0</v>
      </c>
      <c r="E8720" s="312" t="str">
        <f t="shared" si="544"/>
        <v>LO</v>
      </c>
      <c r="F8720" s="369">
        <f>VLOOKUP(C8720,METADATA!$A$5:$H$29,IF(E8720="HI",2,IF(E8720="LO",6,10))+IF(D8720=1,2,IF(D8720=7,1,(IF(WEEKDAY(B8720)=1,2,IF(WEEKDAY(B8720)=7,1,0))))))</f>
        <v>3</v>
      </c>
      <c r="G8720" s="369">
        <f>VLOOKUP(C8720,METADATA!$J$5:$Q$29,IF(E8720="HI",2,IF(E8720="LO",6,10))+IF(D8720=1,2,IF(D8720=7,1,(IF(WEEKDAY(B8720)=1,2,IF(WEEKDAY(B8720)=7,1,0))))))</f>
        <v>3</v>
      </c>
      <c r="H8720" s="370">
        <v>12838.199829101563</v>
      </c>
      <c r="I8720" s="370">
        <v>3990.5601501464844</v>
      </c>
      <c r="M8720" s="371">
        <f t="shared" si="545"/>
        <v>13444.104476084694</v>
      </c>
      <c r="N8720" s="329">
        <f t="shared" si="546"/>
        <v>139.10020141601581</v>
      </c>
      <c r="T8720" s="331">
        <v>0</v>
      </c>
      <c r="U8720" s="328">
        <f>VLOOKUP(C8720,METADATA!$J$5:$Q$29,IF(E8720="HI",2,IF(E8720="LO",6,10))+IF(T8720=1,2,IF(D8720=7,1,(IF(WEEKDAY(B8720)=1,2,IF(WEEKDAY(B8720)=7,1,0))))))</f>
        <v>3</v>
      </c>
      <c r="V8720" s="328">
        <f>VLOOKUP(C8720,METADATA!$A$5:$H$29,IF(E8720="HI",2,IF(E8720="LO",6,10))+IF(T8720=1,2,IF(D8720=7,1,(IF(WEEKDAY(B8720)=1,2,IF(WEEKDAY(B8720)=7,1,0))))))</f>
        <v>3</v>
      </c>
    </row>
    <row r="8721" spans="2:22">
      <c r="B8721" s="318">
        <f t="shared" si="543"/>
        <v>46476</v>
      </c>
      <c r="C8721" s="312">
        <v>5</v>
      </c>
      <c r="D8721" s="368">
        <f>IFERROR((INDEX(METADATA!$T$2:$T$20,MATCH(B8721,METADATA!$S$2:$S$20,0))),0)</f>
        <v>0</v>
      </c>
      <c r="E8721" s="312" t="str">
        <f t="shared" si="544"/>
        <v>LO</v>
      </c>
      <c r="F8721" s="369">
        <f>VLOOKUP(C8721,METADATA!$A$5:$H$29,IF(E8721="HI",2,IF(E8721="LO",6,10))+IF(D8721=1,2,IF(D8721=7,1,(IF(WEEKDAY(B8721)=1,2,IF(WEEKDAY(B8721)=7,1,0))))))</f>
        <v>3</v>
      </c>
      <c r="G8721" s="369">
        <f>VLOOKUP(C8721,METADATA!$J$5:$Q$29,IF(E8721="HI",2,IF(E8721="LO",6,10))+IF(D8721=1,2,IF(D8721=7,1,(IF(WEEKDAY(B8721)=1,2,IF(WEEKDAY(B8721)=7,1,0))))))</f>
        <v>3</v>
      </c>
      <c r="H8721" s="370">
        <v>12833.374938964844</v>
      </c>
      <c r="I8721" s="370">
        <v>3828.5299987792969</v>
      </c>
      <c r="M8721" s="371">
        <f t="shared" si="545"/>
        <v>13392.279651933941</v>
      </c>
      <c r="N8721" s="329">
        <f t="shared" si="546"/>
        <v>0</v>
      </c>
      <c r="T8721" s="331">
        <v>0</v>
      </c>
      <c r="U8721" s="328">
        <f>VLOOKUP(C8721,METADATA!$J$5:$Q$29,IF(E8721="HI",2,IF(E8721="LO",6,10))+IF(T8721=1,2,IF(D8721=7,1,(IF(WEEKDAY(B8721)=1,2,IF(WEEKDAY(B8721)=7,1,0))))))</f>
        <v>3</v>
      </c>
      <c r="V8721" s="328">
        <f>VLOOKUP(C8721,METADATA!$A$5:$H$29,IF(E8721="HI",2,IF(E8721="LO",6,10))+IF(T8721=1,2,IF(D8721=7,1,(IF(WEEKDAY(B8721)=1,2,IF(WEEKDAY(B8721)=7,1,0))))))</f>
        <v>3</v>
      </c>
    </row>
    <row r="8722" spans="2:22">
      <c r="B8722" s="318">
        <f t="shared" si="543"/>
        <v>46476</v>
      </c>
      <c r="C8722" s="312">
        <v>6</v>
      </c>
      <c r="D8722" s="368">
        <f>IFERROR((INDEX(METADATA!$T$2:$T$20,MATCH(B8722,METADATA!$S$2:$S$20,0))),0)</f>
        <v>0</v>
      </c>
      <c r="E8722" s="312" t="str">
        <f t="shared" si="544"/>
        <v>LO</v>
      </c>
      <c r="F8722" s="369">
        <f>VLOOKUP(C8722,METADATA!$A$5:$H$29,IF(E8722="HI",2,IF(E8722="LO",6,10))+IF(D8722=1,2,IF(D8722=7,1,(IF(WEEKDAY(B8722)=1,2,IF(WEEKDAY(B8722)=7,1,0))))))</f>
        <v>2</v>
      </c>
      <c r="G8722" s="369">
        <f>VLOOKUP(C8722,METADATA!$J$5:$Q$29,IF(E8722="HI",2,IF(E8722="LO",6,10))+IF(D8722=1,2,IF(D8722=7,1,(IF(WEEKDAY(B8722)=1,2,IF(WEEKDAY(B8722)=7,1,0))))))</f>
        <v>2</v>
      </c>
      <c r="H8722" s="370">
        <v>12755.999694824219</v>
      </c>
      <c r="I8722" s="370">
        <v>3830.6750183105469</v>
      </c>
      <c r="M8722" s="371">
        <f t="shared" si="545"/>
        <v>13318.768685965833</v>
      </c>
      <c r="N8722" s="329">
        <f t="shared" si="546"/>
        <v>3.8751098632815228</v>
      </c>
      <c r="T8722" s="331">
        <v>0</v>
      </c>
      <c r="U8722" s="328">
        <f>VLOOKUP(C8722,METADATA!$J$5:$Q$29,IF(E8722="HI",2,IF(E8722="LO",6,10))+IF(T8722=1,2,IF(D8722=7,1,(IF(WEEKDAY(B8722)=1,2,IF(WEEKDAY(B8722)=7,1,0))))))</f>
        <v>2</v>
      </c>
      <c r="V8722" s="328">
        <f>VLOOKUP(C8722,METADATA!$A$5:$H$29,IF(E8722="HI",2,IF(E8722="LO",6,10))+IF(T8722=1,2,IF(D8722=7,1,(IF(WEEKDAY(B8722)=1,2,IF(WEEKDAY(B8722)=7,1,0))))))</f>
        <v>2</v>
      </c>
    </row>
    <row r="8723" spans="2:22">
      <c r="B8723" s="318">
        <f t="shared" si="543"/>
        <v>46476</v>
      </c>
      <c r="C8723" s="312">
        <v>7</v>
      </c>
      <c r="D8723" s="368">
        <f>IFERROR((INDEX(METADATA!$T$2:$T$20,MATCH(B8723,METADATA!$S$2:$S$20,0))),0)</f>
        <v>0</v>
      </c>
      <c r="E8723" s="312" t="str">
        <f t="shared" si="544"/>
        <v>LO</v>
      </c>
      <c r="F8723" s="369">
        <f>VLOOKUP(C8723,METADATA!$A$5:$H$29,IF(E8723="HI",2,IF(E8723="LO",6,10))+IF(D8723=1,2,IF(D8723=7,1,(IF(WEEKDAY(B8723)=1,2,IF(WEEKDAY(B8723)=7,1,0))))))</f>
        <v>1</v>
      </c>
      <c r="G8723" s="369">
        <f>VLOOKUP(C8723,METADATA!$J$5:$Q$29,IF(E8723="HI",2,IF(E8723="LO",6,10))+IF(D8723=1,2,IF(D8723=7,1,(IF(WEEKDAY(B8723)=1,2,IF(WEEKDAY(B8723)=7,1,0))))))</f>
        <v>1</v>
      </c>
      <c r="H8723" s="370">
        <v>12870.824829101563</v>
      </c>
      <c r="I8723" s="370">
        <v>3847.0401306152344</v>
      </c>
      <c r="M8723" s="371">
        <f t="shared" si="545"/>
        <v>13433.460073561886</v>
      </c>
      <c r="N8723" s="329">
        <f t="shared" si="546"/>
        <v>0</v>
      </c>
      <c r="T8723" s="331">
        <v>0</v>
      </c>
      <c r="U8723" s="328">
        <f>VLOOKUP(C8723,METADATA!$J$5:$Q$29,IF(E8723="HI",2,IF(E8723="LO",6,10))+IF(T8723=1,2,IF(D8723=7,1,(IF(WEEKDAY(B8723)=1,2,IF(WEEKDAY(B8723)=7,1,0))))))</f>
        <v>1</v>
      </c>
      <c r="V8723" s="328">
        <f>VLOOKUP(C8723,METADATA!$A$5:$H$29,IF(E8723="HI",2,IF(E8723="LO",6,10))+IF(T8723=1,2,IF(D8723=7,1,(IF(WEEKDAY(B8723)=1,2,IF(WEEKDAY(B8723)=7,1,0))))))</f>
        <v>1</v>
      </c>
    </row>
    <row r="8724" spans="2:22">
      <c r="B8724" s="318">
        <f t="shared" si="543"/>
        <v>46476</v>
      </c>
      <c r="C8724" s="312">
        <v>8</v>
      </c>
      <c r="D8724" s="368">
        <f>IFERROR((INDEX(METADATA!$T$2:$T$20,MATCH(B8724,METADATA!$S$2:$S$20,0))),0)</f>
        <v>0</v>
      </c>
      <c r="E8724" s="312" t="str">
        <f t="shared" si="544"/>
        <v>LO</v>
      </c>
      <c r="F8724" s="369">
        <f>VLOOKUP(C8724,METADATA!$A$5:$H$29,IF(E8724="HI",2,IF(E8724="LO",6,10))+IF(D8724=1,2,IF(D8724=7,1,(IF(WEEKDAY(B8724)=1,2,IF(WEEKDAY(B8724)=7,1,0))))))</f>
        <v>1</v>
      </c>
      <c r="G8724" s="369">
        <f>VLOOKUP(C8724,METADATA!$J$5:$Q$29,IF(E8724="HI",2,IF(E8724="LO",6,10))+IF(D8724=1,2,IF(D8724=7,1,(IF(WEEKDAY(B8724)=1,2,IF(WEEKDAY(B8724)=7,1,0))))))</f>
        <v>1</v>
      </c>
      <c r="H8724" s="370">
        <v>12910.100036621094</v>
      </c>
      <c r="I8724" s="370">
        <v>3824.7200012207031</v>
      </c>
      <c r="M8724" s="371">
        <f t="shared" si="545"/>
        <v>13464.737875031271</v>
      </c>
      <c r="N8724" s="329">
        <f t="shared" si="546"/>
        <v>0</v>
      </c>
      <c r="T8724" s="331">
        <v>0</v>
      </c>
      <c r="U8724" s="328">
        <f>VLOOKUP(C8724,METADATA!$J$5:$Q$29,IF(E8724="HI",2,IF(E8724="LO",6,10))+IF(T8724=1,2,IF(D8724=7,1,(IF(WEEKDAY(B8724)=1,2,IF(WEEKDAY(B8724)=7,1,0))))))</f>
        <v>1</v>
      </c>
      <c r="V8724" s="328">
        <f>VLOOKUP(C8724,METADATA!$A$5:$H$29,IF(E8724="HI",2,IF(E8724="LO",6,10))+IF(T8724=1,2,IF(D8724=7,1,(IF(WEEKDAY(B8724)=1,2,IF(WEEKDAY(B8724)=7,1,0))))))</f>
        <v>1</v>
      </c>
    </row>
    <row r="8725" spans="2:22">
      <c r="B8725" s="318">
        <f t="shared" si="543"/>
        <v>46476</v>
      </c>
      <c r="C8725" s="312">
        <v>9</v>
      </c>
      <c r="D8725" s="368">
        <f>IFERROR((INDEX(METADATA!$T$2:$T$20,MATCH(B8725,METADATA!$S$2:$S$20,0))),0)</f>
        <v>0</v>
      </c>
      <c r="E8725" s="312" t="str">
        <f t="shared" si="544"/>
        <v>LO</v>
      </c>
      <c r="F8725" s="369">
        <f>VLOOKUP(C8725,METADATA!$A$5:$H$29,IF(E8725="HI",2,IF(E8725="LO",6,10))+IF(D8725=1,2,IF(D8725=7,1,(IF(WEEKDAY(B8725)=1,2,IF(WEEKDAY(B8725)=7,1,0))))))</f>
        <v>2</v>
      </c>
      <c r="G8725" s="369">
        <f>VLOOKUP(C8725,METADATA!$J$5:$Q$29,IF(E8725="HI",2,IF(E8725="LO",6,10))+IF(D8725=1,2,IF(D8725=7,1,(IF(WEEKDAY(B8725)=1,2,IF(WEEKDAY(B8725)=7,1,0))))))</f>
        <v>2</v>
      </c>
      <c r="H8725" s="370">
        <v>12905.849731445313</v>
      </c>
      <c r="I8725" s="370">
        <v>3936.1849670410156</v>
      </c>
      <c r="M8725" s="371">
        <f t="shared" si="545"/>
        <v>13492.757664221452</v>
      </c>
      <c r="N8725" s="329">
        <f t="shared" si="546"/>
        <v>64.430047607422239</v>
      </c>
      <c r="T8725" s="331">
        <v>0</v>
      </c>
      <c r="U8725" s="328">
        <f>VLOOKUP(C8725,METADATA!$J$5:$Q$29,IF(E8725="HI",2,IF(E8725="LO",6,10))+IF(T8725=1,2,IF(D8725=7,1,(IF(WEEKDAY(B8725)=1,2,IF(WEEKDAY(B8725)=7,1,0))))))</f>
        <v>2</v>
      </c>
      <c r="V8725" s="328">
        <f>VLOOKUP(C8725,METADATA!$A$5:$H$29,IF(E8725="HI",2,IF(E8725="LO",6,10))+IF(T8725=1,2,IF(D8725=7,1,(IF(WEEKDAY(B8725)=1,2,IF(WEEKDAY(B8725)=7,1,0))))))</f>
        <v>2</v>
      </c>
    </row>
    <row r="8726" spans="2:22">
      <c r="B8726" s="318">
        <f t="shared" si="543"/>
        <v>46476</v>
      </c>
      <c r="C8726" s="312">
        <v>10</v>
      </c>
      <c r="D8726" s="368">
        <f>IFERROR((INDEX(METADATA!$T$2:$T$20,MATCH(B8726,METADATA!$S$2:$S$20,0))),0)</f>
        <v>0</v>
      </c>
      <c r="E8726" s="312" t="str">
        <f t="shared" si="544"/>
        <v>LO</v>
      </c>
      <c r="F8726" s="369">
        <f>VLOOKUP(C8726,METADATA!$A$5:$H$29,IF(E8726="HI",2,IF(E8726="LO",6,10))+IF(D8726=1,2,IF(D8726=7,1,(IF(WEEKDAY(B8726)=1,2,IF(WEEKDAY(B8726)=7,1,0))))))</f>
        <v>2</v>
      </c>
      <c r="G8726" s="369">
        <f>VLOOKUP(C8726,METADATA!$J$5:$Q$29,IF(E8726="HI",2,IF(E8726="LO",6,10))+IF(D8726=1,2,IF(D8726=7,1,(IF(WEEKDAY(B8726)=1,2,IF(WEEKDAY(B8726)=7,1,0))))))</f>
        <v>2</v>
      </c>
      <c r="H8726" s="370">
        <v>12537.674377441406</v>
      </c>
      <c r="I8726" s="370">
        <v>4009.8600158691406</v>
      </c>
      <c r="M8726" s="371">
        <f t="shared" si="545"/>
        <v>13163.291994847521</v>
      </c>
      <c r="N8726" s="329">
        <f t="shared" si="546"/>
        <v>248.55770263671911</v>
      </c>
      <c r="T8726" s="331">
        <v>0</v>
      </c>
      <c r="U8726" s="328">
        <f>VLOOKUP(C8726,METADATA!$J$5:$Q$29,IF(E8726="HI",2,IF(E8726="LO",6,10))+IF(T8726=1,2,IF(D8726=7,1,(IF(WEEKDAY(B8726)=1,2,IF(WEEKDAY(B8726)=7,1,0))))))</f>
        <v>2</v>
      </c>
      <c r="V8726" s="328">
        <f>VLOOKUP(C8726,METADATA!$A$5:$H$29,IF(E8726="HI",2,IF(E8726="LO",6,10))+IF(T8726=1,2,IF(D8726=7,1,(IF(WEEKDAY(B8726)=1,2,IF(WEEKDAY(B8726)=7,1,0))))))</f>
        <v>2</v>
      </c>
    </row>
    <row r="8727" spans="2:22">
      <c r="B8727" s="318">
        <f t="shared" si="543"/>
        <v>46476</v>
      </c>
      <c r="C8727" s="312">
        <v>11</v>
      </c>
      <c r="D8727" s="368">
        <f>IFERROR((INDEX(METADATA!$T$2:$T$20,MATCH(B8727,METADATA!$S$2:$S$20,0))),0)</f>
        <v>0</v>
      </c>
      <c r="E8727" s="312" t="str">
        <f t="shared" si="544"/>
        <v>LO</v>
      </c>
      <c r="F8727" s="369">
        <f>VLOOKUP(C8727,METADATA!$A$5:$H$29,IF(E8727="HI",2,IF(E8727="LO",6,10))+IF(D8727=1,2,IF(D8727=7,1,(IF(WEEKDAY(B8727)=1,2,IF(WEEKDAY(B8727)=7,1,0))))))</f>
        <v>2</v>
      </c>
      <c r="G8727" s="369">
        <f>VLOOKUP(C8727,METADATA!$J$5:$Q$29,IF(E8727="HI",2,IF(E8727="LO",6,10))+IF(D8727=1,2,IF(D8727=7,1,(IF(WEEKDAY(B8727)=1,2,IF(WEEKDAY(B8727)=7,1,0))))))</f>
        <v>2</v>
      </c>
      <c r="H8727" s="370">
        <v>12228.674987792969</v>
      </c>
      <c r="I8727" s="370">
        <v>3877.5599670410156</v>
      </c>
      <c r="M8727" s="371">
        <f t="shared" si="545"/>
        <v>12828.716352584637</v>
      </c>
      <c r="N8727" s="329">
        <f t="shared" si="546"/>
        <v>208.95747070312518</v>
      </c>
      <c r="T8727" s="331">
        <v>0</v>
      </c>
      <c r="U8727" s="328">
        <f>VLOOKUP(C8727,METADATA!$J$5:$Q$29,IF(E8727="HI",2,IF(E8727="LO",6,10))+IF(T8727=1,2,IF(D8727=7,1,(IF(WEEKDAY(B8727)=1,2,IF(WEEKDAY(B8727)=7,1,0))))))</f>
        <v>2</v>
      </c>
      <c r="V8727" s="328">
        <f>VLOOKUP(C8727,METADATA!$A$5:$H$29,IF(E8727="HI",2,IF(E8727="LO",6,10))+IF(T8727=1,2,IF(D8727=7,1,(IF(WEEKDAY(B8727)=1,2,IF(WEEKDAY(B8727)=7,1,0))))))</f>
        <v>2</v>
      </c>
    </row>
    <row r="8728" spans="2:22">
      <c r="B8728" s="318">
        <f t="shared" si="543"/>
        <v>46476</v>
      </c>
      <c r="C8728" s="312">
        <v>12</v>
      </c>
      <c r="D8728" s="368">
        <f>IFERROR((INDEX(METADATA!$T$2:$T$20,MATCH(B8728,METADATA!$S$2:$S$20,0))),0)</f>
        <v>0</v>
      </c>
      <c r="E8728" s="312" t="str">
        <f t="shared" si="544"/>
        <v>LO</v>
      </c>
      <c r="F8728" s="369">
        <f>VLOOKUP(C8728,METADATA!$A$5:$H$29,IF(E8728="HI",2,IF(E8728="LO",6,10))+IF(D8728=1,2,IF(D8728=7,1,(IF(WEEKDAY(B8728)=1,2,IF(WEEKDAY(B8728)=7,1,0))))))</f>
        <v>2</v>
      </c>
      <c r="G8728" s="369">
        <f>VLOOKUP(C8728,METADATA!$J$5:$Q$29,IF(E8728="HI",2,IF(E8728="LO",6,10))+IF(D8728=1,2,IF(D8728=7,1,(IF(WEEKDAY(B8728)=1,2,IF(WEEKDAY(B8728)=7,1,0))))))</f>
        <v>2</v>
      </c>
      <c r="H8728" s="370">
        <v>12814.249755859375</v>
      </c>
      <c r="I8728" s="370">
        <v>4135.2449645996094</v>
      </c>
      <c r="M8728" s="371">
        <f t="shared" si="545"/>
        <v>13464.963710414837</v>
      </c>
      <c r="N8728" s="329">
        <f t="shared" si="546"/>
        <v>290.97003784179697</v>
      </c>
      <c r="T8728" s="331">
        <v>0</v>
      </c>
      <c r="U8728" s="328">
        <f>VLOOKUP(C8728,METADATA!$J$5:$Q$29,IF(E8728="HI",2,IF(E8728="LO",6,10))+IF(T8728=1,2,IF(D8728=7,1,(IF(WEEKDAY(B8728)=1,2,IF(WEEKDAY(B8728)=7,1,0))))))</f>
        <v>2</v>
      </c>
      <c r="V8728" s="328">
        <f>VLOOKUP(C8728,METADATA!$A$5:$H$29,IF(E8728="HI",2,IF(E8728="LO",6,10))+IF(T8728=1,2,IF(D8728=7,1,(IF(WEEKDAY(B8728)=1,2,IF(WEEKDAY(B8728)=7,1,0))))))</f>
        <v>2</v>
      </c>
    </row>
    <row r="8729" spans="2:22">
      <c r="B8729" s="318">
        <f t="shared" si="543"/>
        <v>46476</v>
      </c>
      <c r="C8729" s="312">
        <v>13</v>
      </c>
      <c r="D8729" s="368">
        <f>IFERROR((INDEX(METADATA!$T$2:$T$20,MATCH(B8729,METADATA!$S$2:$S$20,0))),0)</f>
        <v>0</v>
      </c>
      <c r="E8729" s="312" t="str">
        <f t="shared" si="544"/>
        <v>LO</v>
      </c>
      <c r="F8729" s="369">
        <f>VLOOKUP(C8729,METADATA!$A$5:$H$29,IF(E8729="HI",2,IF(E8729="LO",6,10))+IF(D8729=1,2,IF(D8729=7,1,(IF(WEEKDAY(B8729)=1,2,IF(WEEKDAY(B8729)=7,1,0))))))</f>
        <v>2</v>
      </c>
      <c r="G8729" s="369">
        <f>VLOOKUP(C8729,METADATA!$J$5:$Q$29,IF(E8729="HI",2,IF(E8729="LO",6,10))+IF(D8729=1,2,IF(D8729=7,1,(IF(WEEKDAY(B8729)=1,2,IF(WEEKDAY(B8729)=7,1,0))))))</f>
        <v>2</v>
      </c>
      <c r="H8729" s="370">
        <v>12959.950317382813</v>
      </c>
      <c r="I8729" s="370">
        <v>4217.5498962402344</v>
      </c>
      <c r="M8729" s="371">
        <f t="shared" si="545"/>
        <v>13628.941241208242</v>
      </c>
      <c r="N8729" s="329">
        <f t="shared" si="546"/>
        <v>329.56480102539081</v>
      </c>
      <c r="T8729" s="331">
        <v>0</v>
      </c>
      <c r="U8729" s="328">
        <f>VLOOKUP(C8729,METADATA!$J$5:$Q$29,IF(E8729="HI",2,IF(E8729="LO",6,10))+IF(T8729=1,2,IF(D8729=7,1,(IF(WEEKDAY(B8729)=1,2,IF(WEEKDAY(B8729)=7,1,0))))))</f>
        <v>2</v>
      </c>
      <c r="V8729" s="328">
        <f>VLOOKUP(C8729,METADATA!$A$5:$H$29,IF(E8729="HI",2,IF(E8729="LO",6,10))+IF(T8729=1,2,IF(D8729=7,1,(IF(WEEKDAY(B8729)=1,2,IF(WEEKDAY(B8729)=7,1,0))))))</f>
        <v>2</v>
      </c>
    </row>
    <row r="8730" spans="2:22">
      <c r="B8730" s="318">
        <f t="shared" si="543"/>
        <v>46476</v>
      </c>
      <c r="C8730" s="312">
        <v>14</v>
      </c>
      <c r="D8730" s="368">
        <f>IFERROR((INDEX(METADATA!$T$2:$T$20,MATCH(B8730,METADATA!$S$2:$S$20,0))),0)</f>
        <v>0</v>
      </c>
      <c r="E8730" s="312" t="str">
        <f t="shared" si="544"/>
        <v>LO</v>
      </c>
      <c r="F8730" s="369">
        <f>VLOOKUP(C8730,METADATA!$A$5:$H$29,IF(E8730="HI",2,IF(E8730="LO",6,10))+IF(D8730=1,2,IF(D8730=7,1,(IF(WEEKDAY(B8730)=1,2,IF(WEEKDAY(B8730)=7,1,0))))))</f>
        <v>2</v>
      </c>
      <c r="G8730" s="369">
        <f>VLOOKUP(C8730,METADATA!$J$5:$Q$29,IF(E8730="HI",2,IF(E8730="LO",6,10))+IF(D8730=1,2,IF(D8730=7,1,(IF(WEEKDAY(B8730)=1,2,IF(WEEKDAY(B8730)=7,1,0))))))</f>
        <v>2</v>
      </c>
      <c r="H8730" s="370">
        <v>13089.850158691406</v>
      </c>
      <c r="I8730" s="370">
        <v>4311.2149963378906</v>
      </c>
      <c r="M8730" s="371">
        <f t="shared" si="545"/>
        <v>13781.536631364521</v>
      </c>
      <c r="N8730" s="329">
        <f t="shared" si="546"/>
        <v>384.25994873046875</v>
      </c>
      <c r="T8730" s="331">
        <v>0</v>
      </c>
      <c r="U8730" s="328">
        <f>VLOOKUP(C8730,METADATA!$J$5:$Q$29,IF(E8730="HI",2,IF(E8730="LO",6,10))+IF(T8730=1,2,IF(D8730=7,1,(IF(WEEKDAY(B8730)=1,2,IF(WEEKDAY(B8730)=7,1,0))))))</f>
        <v>2</v>
      </c>
      <c r="V8730" s="328">
        <f>VLOOKUP(C8730,METADATA!$A$5:$H$29,IF(E8730="HI",2,IF(E8730="LO",6,10))+IF(T8730=1,2,IF(D8730=7,1,(IF(WEEKDAY(B8730)=1,2,IF(WEEKDAY(B8730)=7,1,0))))))</f>
        <v>2</v>
      </c>
    </row>
    <row r="8731" spans="2:22">
      <c r="B8731" s="318">
        <f t="shared" si="543"/>
        <v>46476</v>
      </c>
      <c r="C8731" s="312">
        <v>15</v>
      </c>
      <c r="D8731" s="368">
        <f>IFERROR((INDEX(METADATA!$T$2:$T$20,MATCH(B8731,METADATA!$S$2:$S$20,0))),0)</f>
        <v>0</v>
      </c>
      <c r="E8731" s="312" t="str">
        <f t="shared" si="544"/>
        <v>LO</v>
      </c>
      <c r="F8731" s="369">
        <f>VLOOKUP(C8731,METADATA!$A$5:$H$29,IF(E8731="HI",2,IF(E8731="LO",6,10))+IF(D8731=1,2,IF(D8731=7,1,(IF(WEEKDAY(B8731)=1,2,IF(WEEKDAY(B8731)=7,1,0))))))</f>
        <v>2</v>
      </c>
      <c r="G8731" s="369">
        <f>VLOOKUP(C8731,METADATA!$J$5:$Q$29,IF(E8731="HI",2,IF(E8731="LO",6,10))+IF(D8731=1,2,IF(D8731=7,1,(IF(WEEKDAY(B8731)=1,2,IF(WEEKDAY(B8731)=7,1,0))))))</f>
        <v>2</v>
      </c>
      <c r="H8731" s="370">
        <v>13002.275146484375</v>
      </c>
      <c r="I8731" s="370">
        <v>4217.2550048828125</v>
      </c>
      <c r="M8731" s="371">
        <f t="shared" si="545"/>
        <v>13669.103802411275</v>
      </c>
      <c r="N8731" s="329">
        <f t="shared" si="546"/>
        <v>316.57246093750018</v>
      </c>
      <c r="T8731" s="331">
        <v>0</v>
      </c>
      <c r="U8731" s="328">
        <f>VLOOKUP(C8731,METADATA!$J$5:$Q$29,IF(E8731="HI",2,IF(E8731="LO",6,10))+IF(T8731=1,2,IF(D8731=7,1,(IF(WEEKDAY(B8731)=1,2,IF(WEEKDAY(B8731)=7,1,0))))))</f>
        <v>2</v>
      </c>
      <c r="V8731" s="328">
        <f>VLOOKUP(C8731,METADATA!$A$5:$H$29,IF(E8731="HI",2,IF(E8731="LO",6,10))+IF(T8731=1,2,IF(D8731=7,1,(IF(WEEKDAY(B8731)=1,2,IF(WEEKDAY(B8731)=7,1,0))))))</f>
        <v>2</v>
      </c>
    </row>
    <row r="8732" spans="2:22">
      <c r="B8732" s="318">
        <f t="shared" ref="B8732:B8763" si="547">B8708+1</f>
        <v>46476</v>
      </c>
      <c r="C8732" s="312">
        <v>16</v>
      </c>
      <c r="D8732" s="368">
        <f>IFERROR((INDEX(METADATA!$T$2:$T$20,MATCH(B8732,METADATA!$S$2:$S$20,0))),0)</f>
        <v>0</v>
      </c>
      <c r="E8732" s="312" t="str">
        <f t="shared" si="544"/>
        <v>LO</v>
      </c>
      <c r="F8732" s="369">
        <f>VLOOKUP(C8732,METADATA!$A$5:$H$29,IF(E8732="HI",2,IF(E8732="LO",6,10))+IF(D8732=1,2,IF(D8732=7,1,(IF(WEEKDAY(B8732)=1,2,IF(WEEKDAY(B8732)=7,1,0))))))</f>
        <v>2</v>
      </c>
      <c r="G8732" s="369">
        <f>VLOOKUP(C8732,METADATA!$J$5:$Q$29,IF(E8732="HI",2,IF(E8732="LO",6,10))+IF(D8732=1,2,IF(D8732=7,1,(IF(WEEKDAY(B8732)=1,2,IF(WEEKDAY(B8732)=7,1,0))))))</f>
        <v>2</v>
      </c>
      <c r="H8732" s="370">
        <v>12988.874877929688</v>
      </c>
      <c r="I8732" s="370">
        <v>4304.8599853515625</v>
      </c>
      <c r="M8732" s="371">
        <f t="shared" si="545"/>
        <v>13683.665082425614</v>
      </c>
      <c r="N8732" s="329">
        <f t="shared" si="546"/>
        <v>408.19752197265643</v>
      </c>
      <c r="T8732" s="331">
        <v>0</v>
      </c>
      <c r="U8732" s="328">
        <f>VLOOKUP(C8732,METADATA!$J$5:$Q$29,IF(E8732="HI",2,IF(E8732="LO",6,10))+IF(T8732=1,2,IF(D8732=7,1,(IF(WEEKDAY(B8732)=1,2,IF(WEEKDAY(B8732)=7,1,0))))))</f>
        <v>2</v>
      </c>
      <c r="V8732" s="328">
        <f>VLOOKUP(C8732,METADATA!$A$5:$H$29,IF(E8732="HI",2,IF(E8732="LO",6,10))+IF(T8732=1,2,IF(D8732=7,1,(IF(WEEKDAY(B8732)=1,2,IF(WEEKDAY(B8732)=7,1,0))))))</f>
        <v>2</v>
      </c>
    </row>
    <row r="8733" spans="2:22">
      <c r="B8733" s="318">
        <f t="shared" si="547"/>
        <v>46476</v>
      </c>
      <c r="C8733" s="312">
        <v>17</v>
      </c>
      <c r="D8733" s="368">
        <f>IFERROR((INDEX(METADATA!$T$2:$T$20,MATCH(B8733,METADATA!$S$2:$S$20,0))),0)</f>
        <v>0</v>
      </c>
      <c r="E8733" s="312" t="str">
        <f t="shared" si="544"/>
        <v>LO</v>
      </c>
      <c r="F8733" s="369">
        <f>VLOOKUP(C8733,METADATA!$A$5:$H$29,IF(E8733="HI",2,IF(E8733="LO",6,10))+IF(D8733=1,2,IF(D8733=7,1,(IF(WEEKDAY(B8733)=1,2,IF(WEEKDAY(B8733)=7,1,0))))))</f>
        <v>2</v>
      </c>
      <c r="G8733" s="369">
        <f>VLOOKUP(C8733,METADATA!$J$5:$Q$29,IF(E8733="HI",2,IF(E8733="LO",6,10))+IF(D8733=1,2,IF(D8733=7,1,(IF(WEEKDAY(B8733)=1,2,IF(WEEKDAY(B8733)=7,1,0))))))</f>
        <v>2</v>
      </c>
      <c r="H8733" s="370">
        <v>12955.924926757813</v>
      </c>
      <c r="I8733" s="370">
        <v>4360.9999694824219</v>
      </c>
      <c r="M8733" s="371">
        <f t="shared" si="545"/>
        <v>13670.197929862248</v>
      </c>
      <c r="N8733" s="329">
        <f t="shared" si="546"/>
        <v>474.2224914550784</v>
      </c>
      <c r="T8733" s="331">
        <v>0</v>
      </c>
      <c r="U8733" s="328">
        <f>VLOOKUP(C8733,METADATA!$J$5:$Q$29,IF(E8733="HI",2,IF(E8733="LO",6,10))+IF(T8733=1,2,IF(D8733=7,1,(IF(WEEKDAY(B8733)=1,2,IF(WEEKDAY(B8733)=7,1,0))))))</f>
        <v>2</v>
      </c>
      <c r="V8733" s="328">
        <f>VLOOKUP(C8733,METADATA!$A$5:$H$29,IF(E8733="HI",2,IF(E8733="LO",6,10))+IF(T8733=1,2,IF(D8733=7,1,(IF(WEEKDAY(B8733)=1,2,IF(WEEKDAY(B8733)=7,1,0))))))</f>
        <v>2</v>
      </c>
    </row>
    <row r="8734" spans="2:22">
      <c r="B8734" s="318">
        <f t="shared" si="547"/>
        <v>46476</v>
      </c>
      <c r="C8734" s="312">
        <v>18</v>
      </c>
      <c r="D8734" s="368">
        <f>IFERROR((INDEX(METADATA!$T$2:$T$20,MATCH(B8734,METADATA!$S$2:$S$20,0))),0)</f>
        <v>0</v>
      </c>
      <c r="E8734" s="312" t="str">
        <f t="shared" si="544"/>
        <v>LO</v>
      </c>
      <c r="F8734" s="369">
        <f>VLOOKUP(C8734,METADATA!$A$5:$H$29,IF(E8734="HI",2,IF(E8734="LO",6,10))+IF(D8734=1,2,IF(D8734=7,1,(IF(WEEKDAY(B8734)=1,2,IF(WEEKDAY(B8734)=7,1,0))))))</f>
        <v>1</v>
      </c>
      <c r="G8734" s="369">
        <f>VLOOKUP(C8734,METADATA!$J$5:$Q$29,IF(E8734="HI",2,IF(E8734="LO",6,10))+IF(D8734=1,2,IF(D8734=7,1,(IF(WEEKDAY(B8734)=1,2,IF(WEEKDAY(B8734)=7,1,0))))))</f>
        <v>1</v>
      </c>
      <c r="H8734" s="370">
        <v>12935.175048828125</v>
      </c>
      <c r="I8734" s="370">
        <v>4229.7399597167969</v>
      </c>
      <c r="M8734" s="371">
        <f t="shared" si="545"/>
        <v>13609.168000676997</v>
      </c>
      <c r="N8734" s="329">
        <f t="shared" si="546"/>
        <v>349.18744506835947</v>
      </c>
      <c r="T8734" s="331">
        <v>0</v>
      </c>
      <c r="U8734" s="328">
        <f>VLOOKUP(C8734,METADATA!$J$5:$Q$29,IF(E8734="HI",2,IF(E8734="LO",6,10))+IF(T8734=1,2,IF(D8734=7,1,(IF(WEEKDAY(B8734)=1,2,IF(WEEKDAY(B8734)=7,1,0))))))</f>
        <v>1</v>
      </c>
      <c r="V8734" s="328">
        <f>VLOOKUP(C8734,METADATA!$A$5:$H$29,IF(E8734="HI",2,IF(E8734="LO",6,10))+IF(T8734=1,2,IF(D8734=7,1,(IF(WEEKDAY(B8734)=1,2,IF(WEEKDAY(B8734)=7,1,0))))))</f>
        <v>1</v>
      </c>
    </row>
    <row r="8735" spans="2:22">
      <c r="B8735" s="318">
        <f t="shared" si="547"/>
        <v>46476</v>
      </c>
      <c r="C8735" s="312">
        <v>19</v>
      </c>
      <c r="D8735" s="368">
        <f>IFERROR((INDEX(METADATA!$T$2:$T$20,MATCH(B8735,METADATA!$S$2:$S$20,0))),0)</f>
        <v>0</v>
      </c>
      <c r="E8735" s="312" t="str">
        <f t="shared" si="544"/>
        <v>LO</v>
      </c>
      <c r="F8735" s="369">
        <f>VLOOKUP(C8735,METADATA!$A$5:$H$29,IF(E8735="HI",2,IF(E8735="LO",6,10))+IF(D8735=1,2,IF(D8735=7,1,(IF(WEEKDAY(B8735)=1,2,IF(WEEKDAY(B8735)=7,1,0))))))</f>
        <v>1</v>
      </c>
      <c r="G8735" s="369">
        <f>VLOOKUP(C8735,METADATA!$J$5:$Q$29,IF(E8735="HI",2,IF(E8735="LO",6,10))+IF(D8735=1,2,IF(D8735=7,1,(IF(WEEKDAY(B8735)=1,2,IF(WEEKDAY(B8735)=7,1,0))))))</f>
        <v>1</v>
      </c>
      <c r="H8735" s="370">
        <v>12884.124938964844</v>
      </c>
      <c r="I8735" s="370">
        <v>4094.2500610351563</v>
      </c>
      <c r="M8735" s="371">
        <f t="shared" si="545"/>
        <v>13519.007323215052</v>
      </c>
      <c r="N8735" s="329">
        <f t="shared" si="546"/>
        <v>229.01257934570322</v>
      </c>
      <c r="T8735" s="331">
        <v>0</v>
      </c>
      <c r="U8735" s="328">
        <f>VLOOKUP(C8735,METADATA!$J$5:$Q$29,IF(E8735="HI",2,IF(E8735="LO",6,10))+IF(T8735=1,2,IF(D8735=7,1,(IF(WEEKDAY(B8735)=1,2,IF(WEEKDAY(B8735)=7,1,0))))))</f>
        <v>1</v>
      </c>
      <c r="V8735" s="328">
        <f>VLOOKUP(C8735,METADATA!$A$5:$H$29,IF(E8735="HI",2,IF(E8735="LO",6,10))+IF(T8735=1,2,IF(D8735=7,1,(IF(WEEKDAY(B8735)=1,2,IF(WEEKDAY(B8735)=7,1,0))))))</f>
        <v>1</v>
      </c>
    </row>
    <row r="8736" spans="2:22">
      <c r="B8736" s="318">
        <f t="shared" si="547"/>
        <v>46476</v>
      </c>
      <c r="C8736" s="312">
        <v>20</v>
      </c>
      <c r="D8736" s="368">
        <f>IFERROR((INDEX(METADATA!$T$2:$T$20,MATCH(B8736,METADATA!$S$2:$S$20,0))),0)</f>
        <v>0</v>
      </c>
      <c r="E8736" s="312" t="str">
        <f t="shared" si="544"/>
        <v>LO</v>
      </c>
      <c r="F8736" s="369">
        <f>VLOOKUP(C8736,METADATA!$A$5:$H$29,IF(E8736="HI",2,IF(E8736="LO",6,10))+IF(D8736=1,2,IF(D8736=7,1,(IF(WEEKDAY(B8736)=1,2,IF(WEEKDAY(B8736)=7,1,0))))))</f>
        <v>1</v>
      </c>
      <c r="G8736" s="369">
        <f>VLOOKUP(C8736,METADATA!$J$5:$Q$29,IF(E8736="HI",2,IF(E8736="LO",6,10))+IF(D8736=1,2,IF(D8736=7,1,(IF(WEEKDAY(B8736)=1,2,IF(WEEKDAY(B8736)=7,1,0))))))</f>
        <v>1</v>
      </c>
      <c r="H8736" s="370">
        <v>12945.875</v>
      </c>
      <c r="I8736" s="370">
        <v>4172.8500061035156</v>
      </c>
      <c r="M8736" s="371">
        <f t="shared" si="545"/>
        <v>13601.777703265963</v>
      </c>
      <c r="N8736" s="329">
        <f t="shared" si="546"/>
        <v>289.08750610351581</v>
      </c>
      <c r="T8736" s="331">
        <v>0</v>
      </c>
      <c r="U8736" s="328">
        <f>VLOOKUP(C8736,METADATA!$J$5:$Q$29,IF(E8736="HI",2,IF(E8736="LO",6,10))+IF(T8736=1,2,IF(D8736=7,1,(IF(WEEKDAY(B8736)=1,2,IF(WEEKDAY(B8736)=7,1,0))))))</f>
        <v>1</v>
      </c>
      <c r="V8736" s="328">
        <f>VLOOKUP(C8736,METADATA!$A$5:$H$29,IF(E8736="HI",2,IF(E8736="LO",6,10))+IF(T8736=1,2,IF(D8736=7,1,(IF(WEEKDAY(B8736)=1,2,IF(WEEKDAY(B8736)=7,1,0))))))</f>
        <v>1</v>
      </c>
    </row>
    <row r="8737" spans="2:22">
      <c r="B8737" s="318">
        <f t="shared" si="547"/>
        <v>46476</v>
      </c>
      <c r="C8737" s="312">
        <v>21</v>
      </c>
      <c r="D8737" s="368">
        <f>IFERROR((INDEX(METADATA!$T$2:$T$20,MATCH(B8737,METADATA!$S$2:$S$20,0))),0)</f>
        <v>0</v>
      </c>
      <c r="E8737" s="312" t="str">
        <f t="shared" si="544"/>
        <v>LO</v>
      </c>
      <c r="F8737" s="369">
        <f>VLOOKUP(C8737,METADATA!$A$5:$H$29,IF(E8737="HI",2,IF(E8737="LO",6,10))+IF(D8737=1,2,IF(D8737=7,1,(IF(WEEKDAY(B8737)=1,2,IF(WEEKDAY(B8737)=7,1,0))))))</f>
        <v>2</v>
      </c>
      <c r="G8737" s="369">
        <f>VLOOKUP(C8737,METADATA!$J$5:$Q$29,IF(E8737="HI",2,IF(E8737="LO",6,10))+IF(D8737=1,2,IF(D8737=7,1,(IF(WEEKDAY(B8737)=1,2,IF(WEEKDAY(B8737)=7,1,0))))))</f>
        <v>2</v>
      </c>
      <c r="H8737" s="370">
        <v>12956.77490234375</v>
      </c>
      <c r="I8737" s="370">
        <v>4160.4000244140625</v>
      </c>
      <c r="M8737" s="371">
        <f t="shared" si="545"/>
        <v>13608.340980191135</v>
      </c>
      <c r="N8737" s="329">
        <f t="shared" si="546"/>
        <v>273.3675537109375</v>
      </c>
      <c r="T8737" s="331">
        <v>0</v>
      </c>
      <c r="U8737" s="328">
        <f>VLOOKUP(C8737,METADATA!$J$5:$Q$29,IF(E8737="HI",2,IF(E8737="LO",6,10))+IF(T8737=1,2,IF(D8737=7,1,(IF(WEEKDAY(B8737)=1,2,IF(WEEKDAY(B8737)=7,1,0))))))</f>
        <v>2</v>
      </c>
      <c r="V8737" s="328">
        <f>VLOOKUP(C8737,METADATA!$A$5:$H$29,IF(E8737="HI",2,IF(E8737="LO",6,10))+IF(T8737=1,2,IF(D8737=7,1,(IF(WEEKDAY(B8737)=1,2,IF(WEEKDAY(B8737)=7,1,0))))))</f>
        <v>2</v>
      </c>
    </row>
    <row r="8738" spans="2:22">
      <c r="B8738" s="318">
        <f t="shared" si="547"/>
        <v>46476</v>
      </c>
      <c r="C8738" s="312">
        <v>22</v>
      </c>
      <c r="D8738" s="368">
        <f>IFERROR((INDEX(METADATA!$T$2:$T$20,MATCH(B8738,METADATA!$S$2:$S$20,0))),0)</f>
        <v>0</v>
      </c>
      <c r="E8738" s="312" t="str">
        <f t="shared" si="544"/>
        <v>LO</v>
      </c>
      <c r="F8738" s="369">
        <f>VLOOKUP(C8738,METADATA!$A$5:$H$29,IF(E8738="HI",2,IF(E8738="LO",6,10))+IF(D8738=1,2,IF(D8738=7,1,(IF(WEEKDAY(B8738)=1,2,IF(WEEKDAY(B8738)=7,1,0))))))</f>
        <v>3</v>
      </c>
      <c r="G8738" s="369">
        <f>VLOOKUP(C8738,METADATA!$J$5:$Q$29,IF(E8738="HI",2,IF(E8738="LO",6,10))+IF(D8738=1,2,IF(D8738=7,1,(IF(WEEKDAY(B8738)=1,2,IF(WEEKDAY(B8738)=7,1,0))))))</f>
        <v>3</v>
      </c>
      <c r="H8738" s="370">
        <v>12852.325256347656</v>
      </c>
      <c r="I8738" s="370">
        <v>4031.8350524902344</v>
      </c>
      <c r="M8738" s="371">
        <f t="shared" si="545"/>
        <v>13469.890808222641</v>
      </c>
      <c r="N8738" s="329">
        <f t="shared" si="546"/>
        <v>176.13747558593786</v>
      </c>
      <c r="T8738" s="331">
        <v>0</v>
      </c>
      <c r="U8738" s="328">
        <f>VLOOKUP(C8738,METADATA!$J$5:$Q$29,IF(E8738="HI",2,IF(E8738="LO",6,10))+IF(T8738=1,2,IF(D8738=7,1,(IF(WEEKDAY(B8738)=1,2,IF(WEEKDAY(B8738)=7,1,0))))))</f>
        <v>3</v>
      </c>
      <c r="V8738" s="328">
        <f>VLOOKUP(C8738,METADATA!$A$5:$H$29,IF(E8738="HI",2,IF(E8738="LO",6,10))+IF(T8738=1,2,IF(D8738=7,1,(IF(WEEKDAY(B8738)=1,2,IF(WEEKDAY(B8738)=7,1,0))))))</f>
        <v>3</v>
      </c>
    </row>
    <row r="8739" spans="2:22">
      <c r="B8739" s="318">
        <f t="shared" si="547"/>
        <v>46476</v>
      </c>
      <c r="C8739" s="312">
        <v>23</v>
      </c>
      <c r="D8739" s="368">
        <f>IFERROR((INDEX(METADATA!$T$2:$T$20,MATCH(B8739,METADATA!$S$2:$S$20,0))),0)</f>
        <v>0</v>
      </c>
      <c r="E8739" s="312" t="str">
        <f t="shared" si="544"/>
        <v>LO</v>
      </c>
      <c r="F8739" s="369">
        <f>VLOOKUP(C8739,METADATA!$A$5:$H$29,IF(E8739="HI",2,IF(E8739="LO",6,10))+IF(D8739=1,2,IF(D8739=7,1,(IF(WEEKDAY(B8739)=1,2,IF(WEEKDAY(B8739)=7,1,0))))))</f>
        <v>3</v>
      </c>
      <c r="G8739" s="369">
        <f>VLOOKUP(C8739,METADATA!$J$5:$Q$29,IF(E8739="HI",2,IF(E8739="LO",6,10))+IF(D8739=1,2,IF(D8739=7,1,(IF(WEEKDAY(B8739)=1,2,IF(WEEKDAY(B8739)=7,1,0))))))</f>
        <v>3</v>
      </c>
      <c r="H8739" s="370">
        <v>12816.500183105469</v>
      </c>
      <c r="I8739" s="370">
        <v>4061.0849304199219</v>
      </c>
      <c r="M8739" s="371">
        <f t="shared" si="545"/>
        <v>13444.518874084944</v>
      </c>
      <c r="N8739" s="329">
        <f t="shared" si="546"/>
        <v>216.13487548828152</v>
      </c>
      <c r="T8739" s="331">
        <v>0</v>
      </c>
      <c r="U8739" s="328">
        <f>VLOOKUP(C8739,METADATA!$J$5:$Q$29,IF(E8739="HI",2,IF(E8739="LO",6,10))+IF(T8739=1,2,IF(D8739=7,1,(IF(WEEKDAY(B8739)=1,2,IF(WEEKDAY(B8739)=7,1,0))))))</f>
        <v>3</v>
      </c>
      <c r="V8739" s="328">
        <f>VLOOKUP(C8739,METADATA!$A$5:$H$29,IF(E8739="HI",2,IF(E8739="LO",6,10))+IF(T8739=1,2,IF(D8739=7,1,(IF(WEEKDAY(B8739)=1,2,IF(WEEKDAY(B8739)=7,1,0))))))</f>
        <v>3</v>
      </c>
    </row>
    <row r="8740" spans="2:22">
      <c r="B8740" s="318">
        <f t="shared" si="547"/>
        <v>46477</v>
      </c>
      <c r="C8740" s="312">
        <v>0</v>
      </c>
      <c r="D8740" s="368">
        <f>IFERROR((INDEX(METADATA!$T$2:$T$20,MATCH(B8740,METADATA!$S$2:$S$20,0))),0)</f>
        <v>0</v>
      </c>
      <c r="E8740" s="312" t="str">
        <f t="shared" si="544"/>
        <v>LO</v>
      </c>
      <c r="F8740" s="369">
        <f>VLOOKUP(C8740,METADATA!$A$5:$H$29,IF(E8740="HI",2,IF(E8740="LO",6,10))+IF(D8740=1,2,IF(D8740=7,1,(IF(WEEKDAY(B8740)=1,2,IF(WEEKDAY(B8740)=7,1,0))))))</f>
        <v>3</v>
      </c>
      <c r="G8740" s="369">
        <f>VLOOKUP(C8740,METADATA!$J$5:$Q$29,IF(E8740="HI",2,IF(E8740="LO",6,10))+IF(D8740=1,2,IF(D8740=7,1,(IF(WEEKDAY(B8740)=1,2,IF(WEEKDAY(B8740)=7,1,0))))))</f>
        <v>3</v>
      </c>
      <c r="H8740" s="370">
        <v>12813.375671386719</v>
      </c>
      <c r="I8740" s="370">
        <v>4090.4349670410156</v>
      </c>
      <c r="M8740" s="371">
        <f t="shared" si="545"/>
        <v>13450.436956310263</v>
      </c>
      <c r="N8740" s="329">
        <f t="shared" si="546"/>
        <v>246.42226562500036</v>
      </c>
      <c r="T8740" s="331">
        <v>0</v>
      </c>
      <c r="U8740" s="328">
        <f>VLOOKUP(C8740,METADATA!$J$5:$Q$29,IF(E8740="HI",2,IF(E8740="LO",6,10))+IF(T8740=1,2,IF(D8740=7,1,(IF(WEEKDAY(B8740)=1,2,IF(WEEKDAY(B8740)=7,1,0))))))</f>
        <v>3</v>
      </c>
      <c r="V8740" s="328">
        <f>VLOOKUP(C8740,METADATA!$A$5:$H$29,IF(E8740="HI",2,IF(E8740="LO",6,10))+IF(T8740=1,2,IF(D8740=7,1,(IF(WEEKDAY(B8740)=1,2,IF(WEEKDAY(B8740)=7,1,0))))))</f>
        <v>3</v>
      </c>
    </row>
    <row r="8741" spans="2:22">
      <c r="B8741" s="318">
        <f t="shared" si="547"/>
        <v>46477</v>
      </c>
      <c r="C8741" s="312">
        <v>1</v>
      </c>
      <c r="D8741" s="368">
        <f>IFERROR((INDEX(METADATA!$T$2:$T$20,MATCH(B8741,METADATA!$S$2:$S$20,0))),0)</f>
        <v>0</v>
      </c>
      <c r="E8741" s="312" t="str">
        <f t="shared" si="544"/>
        <v>LO</v>
      </c>
      <c r="F8741" s="369">
        <f>VLOOKUP(C8741,METADATA!$A$5:$H$29,IF(E8741="HI",2,IF(E8741="LO",6,10))+IF(D8741=1,2,IF(D8741=7,1,(IF(WEEKDAY(B8741)=1,2,IF(WEEKDAY(B8741)=7,1,0))))))</f>
        <v>3</v>
      </c>
      <c r="G8741" s="369">
        <f>VLOOKUP(C8741,METADATA!$J$5:$Q$29,IF(E8741="HI",2,IF(E8741="LO",6,10))+IF(D8741=1,2,IF(D8741=7,1,(IF(WEEKDAY(B8741)=1,2,IF(WEEKDAY(B8741)=7,1,0))))))</f>
        <v>3</v>
      </c>
      <c r="H8741" s="370">
        <v>12808.12744140625</v>
      </c>
      <c r="I8741" s="370">
        <v>4210.5199890136719</v>
      </c>
      <c r="M8741" s="371">
        <f t="shared" si="545"/>
        <v>13482.455530547375</v>
      </c>
      <c r="N8741" s="329">
        <f t="shared" si="546"/>
        <v>368.08175659179688</v>
      </c>
      <c r="T8741" s="331">
        <v>0</v>
      </c>
      <c r="U8741" s="328">
        <f>VLOOKUP(C8741,METADATA!$J$5:$Q$29,IF(E8741="HI",2,IF(E8741="LO",6,10))+IF(T8741=1,2,IF(D8741=7,1,(IF(WEEKDAY(B8741)=1,2,IF(WEEKDAY(B8741)=7,1,0))))))</f>
        <v>3</v>
      </c>
      <c r="V8741" s="328">
        <f>VLOOKUP(C8741,METADATA!$A$5:$H$29,IF(E8741="HI",2,IF(E8741="LO",6,10))+IF(T8741=1,2,IF(D8741=7,1,(IF(WEEKDAY(B8741)=1,2,IF(WEEKDAY(B8741)=7,1,0))))))</f>
        <v>3</v>
      </c>
    </row>
    <row r="8742" spans="2:22">
      <c r="B8742" s="318">
        <f t="shared" si="547"/>
        <v>46477</v>
      </c>
      <c r="C8742" s="312">
        <v>2</v>
      </c>
      <c r="D8742" s="368">
        <f>IFERROR((INDEX(METADATA!$T$2:$T$20,MATCH(B8742,METADATA!$S$2:$S$20,0))),0)</f>
        <v>0</v>
      </c>
      <c r="E8742" s="312" t="str">
        <f t="shared" si="544"/>
        <v>LO</v>
      </c>
      <c r="F8742" s="369">
        <f>VLOOKUP(C8742,METADATA!$A$5:$H$29,IF(E8742="HI",2,IF(E8742="LO",6,10))+IF(D8742=1,2,IF(D8742=7,1,(IF(WEEKDAY(B8742)=1,2,IF(WEEKDAY(B8742)=7,1,0))))))</f>
        <v>3</v>
      </c>
      <c r="G8742" s="369">
        <f>VLOOKUP(C8742,METADATA!$J$5:$Q$29,IF(E8742="HI",2,IF(E8742="LO",6,10))+IF(D8742=1,2,IF(D8742=7,1,(IF(WEEKDAY(B8742)=1,2,IF(WEEKDAY(B8742)=7,1,0))))))</f>
        <v>3</v>
      </c>
      <c r="H8742" s="370">
        <v>13014.500244140625</v>
      </c>
      <c r="I8742" s="370">
        <v>4280.6449279785156</v>
      </c>
      <c r="M8742" s="371">
        <f t="shared" si="545"/>
        <v>13700.406475873793</v>
      </c>
      <c r="N8742" s="329">
        <f t="shared" si="546"/>
        <v>376.29485473632849</v>
      </c>
      <c r="T8742" s="331">
        <v>0</v>
      </c>
      <c r="U8742" s="328">
        <f>VLOOKUP(C8742,METADATA!$J$5:$Q$29,IF(E8742="HI",2,IF(E8742="LO",6,10))+IF(T8742=1,2,IF(D8742=7,1,(IF(WEEKDAY(B8742)=1,2,IF(WEEKDAY(B8742)=7,1,0))))))</f>
        <v>3</v>
      </c>
      <c r="V8742" s="328">
        <f>VLOOKUP(C8742,METADATA!$A$5:$H$29,IF(E8742="HI",2,IF(E8742="LO",6,10))+IF(T8742=1,2,IF(D8742=7,1,(IF(WEEKDAY(B8742)=1,2,IF(WEEKDAY(B8742)=7,1,0))))))</f>
        <v>3</v>
      </c>
    </row>
    <row r="8743" spans="2:22">
      <c r="B8743" s="318">
        <f t="shared" si="547"/>
        <v>46477</v>
      </c>
      <c r="C8743" s="312">
        <v>3</v>
      </c>
      <c r="D8743" s="368">
        <f>IFERROR((INDEX(METADATA!$T$2:$T$20,MATCH(B8743,METADATA!$S$2:$S$20,0))),0)</f>
        <v>0</v>
      </c>
      <c r="E8743" s="312" t="str">
        <f t="shared" si="544"/>
        <v>LO</v>
      </c>
      <c r="F8743" s="369">
        <f>VLOOKUP(C8743,METADATA!$A$5:$H$29,IF(E8743="HI",2,IF(E8743="LO",6,10))+IF(D8743=1,2,IF(D8743=7,1,(IF(WEEKDAY(B8743)=1,2,IF(WEEKDAY(B8743)=7,1,0))))))</f>
        <v>3</v>
      </c>
      <c r="G8743" s="369">
        <f>VLOOKUP(C8743,METADATA!$J$5:$Q$29,IF(E8743="HI",2,IF(E8743="LO",6,10))+IF(D8743=1,2,IF(D8743=7,1,(IF(WEEKDAY(B8743)=1,2,IF(WEEKDAY(B8743)=7,1,0))))))</f>
        <v>3</v>
      </c>
      <c r="H8743" s="370">
        <v>13037.125061035156</v>
      </c>
      <c r="I8743" s="370">
        <v>4172.1250305175781</v>
      </c>
      <c r="M8743" s="371">
        <f t="shared" si="545"/>
        <v>13688.435159920298</v>
      </c>
      <c r="N8743" s="329">
        <f t="shared" si="546"/>
        <v>260.98751220703161</v>
      </c>
      <c r="T8743" s="331">
        <v>0</v>
      </c>
      <c r="U8743" s="328">
        <f>VLOOKUP(C8743,METADATA!$J$5:$Q$29,IF(E8743="HI",2,IF(E8743="LO",6,10))+IF(T8743=1,2,IF(D8743=7,1,(IF(WEEKDAY(B8743)=1,2,IF(WEEKDAY(B8743)=7,1,0))))))</f>
        <v>3</v>
      </c>
      <c r="V8743" s="328">
        <f>VLOOKUP(C8743,METADATA!$A$5:$H$29,IF(E8743="HI",2,IF(E8743="LO",6,10))+IF(T8743=1,2,IF(D8743=7,1,(IF(WEEKDAY(B8743)=1,2,IF(WEEKDAY(B8743)=7,1,0))))))</f>
        <v>3</v>
      </c>
    </row>
    <row r="8744" spans="2:22">
      <c r="B8744" s="318">
        <f t="shared" si="547"/>
        <v>46477</v>
      </c>
      <c r="C8744" s="312">
        <v>4</v>
      </c>
      <c r="D8744" s="368">
        <f>IFERROR((INDEX(METADATA!$T$2:$T$20,MATCH(B8744,METADATA!$S$2:$S$20,0))),0)</f>
        <v>0</v>
      </c>
      <c r="E8744" s="312" t="str">
        <f t="shared" si="544"/>
        <v>LO</v>
      </c>
      <c r="F8744" s="369">
        <f>VLOOKUP(C8744,METADATA!$A$5:$H$29,IF(E8744="HI",2,IF(E8744="LO",6,10))+IF(D8744=1,2,IF(D8744=7,1,(IF(WEEKDAY(B8744)=1,2,IF(WEEKDAY(B8744)=7,1,0))))))</f>
        <v>3</v>
      </c>
      <c r="G8744" s="369">
        <f>VLOOKUP(C8744,METADATA!$J$5:$Q$29,IF(E8744="HI",2,IF(E8744="LO",6,10))+IF(D8744=1,2,IF(D8744=7,1,(IF(WEEKDAY(B8744)=1,2,IF(WEEKDAY(B8744)=7,1,0))))))</f>
        <v>3</v>
      </c>
      <c r="H8744" s="370">
        <v>13113.974975585938</v>
      </c>
      <c r="I8744" s="370">
        <v>4204.5849609375</v>
      </c>
      <c r="M8744" s="371">
        <f t="shared" si="545"/>
        <v>13771.524038901285</v>
      </c>
      <c r="N8744" s="329">
        <f t="shared" si="546"/>
        <v>270.39246826171893</v>
      </c>
      <c r="T8744" s="331">
        <v>0</v>
      </c>
      <c r="U8744" s="328">
        <f>VLOOKUP(C8744,METADATA!$J$5:$Q$29,IF(E8744="HI",2,IF(E8744="LO",6,10))+IF(T8744=1,2,IF(D8744=7,1,(IF(WEEKDAY(B8744)=1,2,IF(WEEKDAY(B8744)=7,1,0))))))</f>
        <v>3</v>
      </c>
      <c r="V8744" s="328">
        <f>VLOOKUP(C8744,METADATA!$A$5:$H$29,IF(E8744="HI",2,IF(E8744="LO",6,10))+IF(T8744=1,2,IF(D8744=7,1,(IF(WEEKDAY(B8744)=1,2,IF(WEEKDAY(B8744)=7,1,0))))))</f>
        <v>3</v>
      </c>
    </row>
    <row r="8745" spans="2:22">
      <c r="B8745" s="318">
        <f t="shared" si="547"/>
        <v>46477</v>
      </c>
      <c r="C8745" s="312">
        <v>5</v>
      </c>
      <c r="D8745" s="368">
        <f>IFERROR((INDEX(METADATA!$T$2:$T$20,MATCH(B8745,METADATA!$S$2:$S$20,0))),0)</f>
        <v>0</v>
      </c>
      <c r="E8745" s="312" t="str">
        <f t="shared" si="544"/>
        <v>LO</v>
      </c>
      <c r="F8745" s="369">
        <f>VLOOKUP(C8745,METADATA!$A$5:$H$29,IF(E8745="HI",2,IF(E8745="LO",6,10))+IF(D8745=1,2,IF(D8745=7,1,(IF(WEEKDAY(B8745)=1,2,IF(WEEKDAY(B8745)=7,1,0))))))</f>
        <v>3</v>
      </c>
      <c r="G8745" s="369">
        <f>VLOOKUP(C8745,METADATA!$J$5:$Q$29,IF(E8745="HI",2,IF(E8745="LO",6,10))+IF(D8745=1,2,IF(D8745=7,1,(IF(WEEKDAY(B8745)=1,2,IF(WEEKDAY(B8745)=7,1,0))))))</f>
        <v>3</v>
      </c>
      <c r="H8745" s="370">
        <v>13037.075073242188</v>
      </c>
      <c r="I8745" s="370">
        <v>4062.7049255371094</v>
      </c>
      <c r="M8745" s="371">
        <f t="shared" si="545"/>
        <v>13655.434734102619</v>
      </c>
      <c r="N8745" s="329">
        <f t="shared" si="546"/>
        <v>151.58240356445322</v>
      </c>
      <c r="T8745" s="331">
        <v>0</v>
      </c>
      <c r="U8745" s="328">
        <f>VLOOKUP(C8745,METADATA!$J$5:$Q$29,IF(E8745="HI",2,IF(E8745="LO",6,10))+IF(T8745=1,2,IF(D8745=7,1,(IF(WEEKDAY(B8745)=1,2,IF(WEEKDAY(B8745)=7,1,0))))))</f>
        <v>3</v>
      </c>
      <c r="V8745" s="328">
        <f>VLOOKUP(C8745,METADATA!$A$5:$H$29,IF(E8745="HI",2,IF(E8745="LO",6,10))+IF(T8745=1,2,IF(D8745=7,1,(IF(WEEKDAY(B8745)=1,2,IF(WEEKDAY(B8745)=7,1,0))))))</f>
        <v>3</v>
      </c>
    </row>
    <row r="8746" spans="2:22">
      <c r="B8746" s="318">
        <f t="shared" si="547"/>
        <v>46477</v>
      </c>
      <c r="C8746" s="312">
        <v>6</v>
      </c>
      <c r="D8746" s="368">
        <f>IFERROR((INDEX(METADATA!$T$2:$T$20,MATCH(B8746,METADATA!$S$2:$S$20,0))),0)</f>
        <v>0</v>
      </c>
      <c r="E8746" s="312" t="str">
        <f t="shared" si="544"/>
        <v>LO</v>
      </c>
      <c r="F8746" s="369">
        <f>VLOOKUP(C8746,METADATA!$A$5:$H$29,IF(E8746="HI",2,IF(E8746="LO",6,10))+IF(D8746=1,2,IF(D8746=7,1,(IF(WEEKDAY(B8746)=1,2,IF(WEEKDAY(B8746)=7,1,0))))))</f>
        <v>2</v>
      </c>
      <c r="G8746" s="369">
        <f>VLOOKUP(C8746,METADATA!$J$5:$Q$29,IF(E8746="HI",2,IF(E8746="LO",6,10))+IF(D8746=1,2,IF(D8746=7,1,(IF(WEEKDAY(B8746)=1,2,IF(WEEKDAY(B8746)=7,1,0))))))</f>
        <v>2</v>
      </c>
      <c r="H8746" s="370">
        <v>12697.400146484375</v>
      </c>
      <c r="I8746" s="370">
        <v>3842.4149780273438</v>
      </c>
      <c r="M8746" s="371">
        <f t="shared" si="545"/>
        <v>13266.051535528961</v>
      </c>
      <c r="N8746" s="329">
        <f t="shared" si="546"/>
        <v>33.194934082031523</v>
      </c>
      <c r="T8746" s="331">
        <v>0</v>
      </c>
      <c r="U8746" s="328">
        <f>VLOOKUP(C8746,METADATA!$J$5:$Q$29,IF(E8746="HI",2,IF(E8746="LO",6,10))+IF(T8746=1,2,IF(D8746=7,1,(IF(WEEKDAY(B8746)=1,2,IF(WEEKDAY(B8746)=7,1,0))))))</f>
        <v>2</v>
      </c>
      <c r="V8746" s="328">
        <f>VLOOKUP(C8746,METADATA!$A$5:$H$29,IF(E8746="HI",2,IF(E8746="LO",6,10))+IF(T8746=1,2,IF(D8746=7,1,(IF(WEEKDAY(B8746)=1,2,IF(WEEKDAY(B8746)=7,1,0))))))</f>
        <v>2</v>
      </c>
    </row>
    <row r="8747" spans="2:22">
      <c r="B8747" s="318">
        <f t="shared" si="547"/>
        <v>46477</v>
      </c>
      <c r="C8747" s="312">
        <v>7</v>
      </c>
      <c r="D8747" s="368">
        <f>IFERROR((INDEX(METADATA!$T$2:$T$20,MATCH(B8747,METADATA!$S$2:$S$20,0))),0)</f>
        <v>0</v>
      </c>
      <c r="E8747" s="312" t="str">
        <f t="shared" si="544"/>
        <v>LO</v>
      </c>
      <c r="F8747" s="369">
        <f>VLOOKUP(C8747,METADATA!$A$5:$H$29,IF(E8747="HI",2,IF(E8747="LO",6,10))+IF(D8747=1,2,IF(D8747=7,1,(IF(WEEKDAY(B8747)=1,2,IF(WEEKDAY(B8747)=7,1,0))))))</f>
        <v>1</v>
      </c>
      <c r="G8747" s="369">
        <f>VLOOKUP(C8747,METADATA!$J$5:$Q$29,IF(E8747="HI",2,IF(E8747="LO",6,10))+IF(D8747=1,2,IF(D8747=7,1,(IF(WEEKDAY(B8747)=1,2,IF(WEEKDAY(B8747)=7,1,0))))))</f>
        <v>1</v>
      </c>
      <c r="H8747" s="370">
        <v>12249.599975585938</v>
      </c>
      <c r="I8747" s="370">
        <v>3414.5199356079102</v>
      </c>
      <c r="M8747" s="371">
        <f t="shared" si="545"/>
        <v>12716.589399384524</v>
      </c>
      <c r="N8747" s="329">
        <f t="shared" si="546"/>
        <v>0</v>
      </c>
      <c r="T8747" s="331">
        <v>0</v>
      </c>
      <c r="U8747" s="328">
        <f>VLOOKUP(C8747,METADATA!$J$5:$Q$29,IF(E8747="HI",2,IF(E8747="LO",6,10))+IF(T8747=1,2,IF(D8747=7,1,(IF(WEEKDAY(B8747)=1,2,IF(WEEKDAY(B8747)=7,1,0))))))</f>
        <v>1</v>
      </c>
      <c r="V8747" s="328">
        <f>VLOOKUP(C8747,METADATA!$A$5:$H$29,IF(E8747="HI",2,IF(E8747="LO",6,10))+IF(T8747=1,2,IF(D8747=7,1,(IF(WEEKDAY(B8747)=1,2,IF(WEEKDAY(B8747)=7,1,0))))))</f>
        <v>1</v>
      </c>
    </row>
    <row r="8748" spans="2:22">
      <c r="B8748" s="318">
        <f t="shared" si="547"/>
        <v>46477</v>
      </c>
      <c r="C8748" s="312">
        <v>8</v>
      </c>
      <c r="D8748" s="368">
        <f>IFERROR((INDEX(METADATA!$T$2:$T$20,MATCH(B8748,METADATA!$S$2:$S$20,0))),0)</f>
        <v>0</v>
      </c>
      <c r="E8748" s="312" t="str">
        <f t="shared" si="544"/>
        <v>LO</v>
      </c>
      <c r="F8748" s="369">
        <f>VLOOKUP(C8748,METADATA!$A$5:$H$29,IF(E8748="HI",2,IF(E8748="LO",6,10))+IF(D8748=1,2,IF(D8748=7,1,(IF(WEEKDAY(B8748)=1,2,IF(WEEKDAY(B8748)=7,1,0))))))</f>
        <v>1</v>
      </c>
      <c r="G8748" s="369">
        <f>VLOOKUP(C8748,METADATA!$J$5:$Q$29,IF(E8748="HI",2,IF(E8748="LO",6,10))+IF(D8748=1,2,IF(D8748=7,1,(IF(WEEKDAY(B8748)=1,2,IF(WEEKDAY(B8748)=7,1,0))))))</f>
        <v>1</v>
      </c>
      <c r="H8748" s="370">
        <v>11799.5</v>
      </c>
      <c r="I8748" s="370">
        <v>2871.010009765625</v>
      </c>
      <c r="M8748" s="371">
        <f t="shared" si="545"/>
        <v>12143.759661907608</v>
      </c>
      <c r="N8748" s="329">
        <f t="shared" si="546"/>
        <v>0</v>
      </c>
      <c r="T8748" s="331">
        <v>0</v>
      </c>
      <c r="U8748" s="328">
        <f>VLOOKUP(C8748,METADATA!$J$5:$Q$29,IF(E8748="HI",2,IF(E8748="LO",6,10))+IF(T8748=1,2,IF(D8748=7,1,(IF(WEEKDAY(B8748)=1,2,IF(WEEKDAY(B8748)=7,1,0))))))</f>
        <v>1</v>
      </c>
      <c r="V8748" s="328">
        <f>VLOOKUP(C8748,METADATA!$A$5:$H$29,IF(E8748="HI",2,IF(E8748="LO",6,10))+IF(T8748=1,2,IF(D8748=7,1,(IF(WEEKDAY(B8748)=1,2,IF(WEEKDAY(B8748)=7,1,0))))))</f>
        <v>1</v>
      </c>
    </row>
    <row r="8749" spans="2:22">
      <c r="B8749" s="318">
        <f t="shared" si="547"/>
        <v>46477</v>
      </c>
      <c r="C8749" s="312">
        <v>9</v>
      </c>
      <c r="D8749" s="368">
        <f>IFERROR((INDEX(METADATA!$T$2:$T$20,MATCH(B8749,METADATA!$S$2:$S$20,0))),0)</f>
        <v>0</v>
      </c>
      <c r="E8749" s="312" t="str">
        <f t="shared" si="544"/>
        <v>LO</v>
      </c>
      <c r="F8749" s="369">
        <f>VLOOKUP(C8749,METADATA!$A$5:$H$29,IF(E8749="HI",2,IF(E8749="LO",6,10))+IF(D8749=1,2,IF(D8749=7,1,(IF(WEEKDAY(B8749)=1,2,IF(WEEKDAY(B8749)=7,1,0))))))</f>
        <v>2</v>
      </c>
      <c r="G8749" s="369">
        <f>VLOOKUP(C8749,METADATA!$J$5:$Q$29,IF(E8749="HI",2,IF(E8749="LO",6,10))+IF(D8749=1,2,IF(D8749=7,1,(IF(WEEKDAY(B8749)=1,2,IF(WEEKDAY(B8749)=7,1,0))))))</f>
        <v>2</v>
      </c>
      <c r="H8749" s="370">
        <v>11971.074951171875</v>
      </c>
      <c r="I8749" s="370">
        <v>2917.1650314331055</v>
      </c>
      <c r="M8749" s="371">
        <f t="shared" si="545"/>
        <v>12321.383335778124</v>
      </c>
      <c r="N8749" s="329">
        <f t="shared" si="546"/>
        <v>0</v>
      </c>
      <c r="T8749" s="331">
        <v>0</v>
      </c>
      <c r="U8749" s="328">
        <f>VLOOKUP(C8749,METADATA!$J$5:$Q$29,IF(E8749="HI",2,IF(E8749="LO",6,10))+IF(T8749=1,2,IF(D8749=7,1,(IF(WEEKDAY(B8749)=1,2,IF(WEEKDAY(B8749)=7,1,0))))))</f>
        <v>2</v>
      </c>
      <c r="V8749" s="328">
        <f>VLOOKUP(C8749,METADATA!$A$5:$H$29,IF(E8749="HI",2,IF(E8749="LO",6,10))+IF(T8749=1,2,IF(D8749=7,1,(IF(WEEKDAY(B8749)=1,2,IF(WEEKDAY(B8749)=7,1,0))))))</f>
        <v>2</v>
      </c>
    </row>
    <row r="8750" spans="2:22">
      <c r="B8750" s="318">
        <f t="shared" si="547"/>
        <v>46477</v>
      </c>
      <c r="C8750" s="312">
        <v>10</v>
      </c>
      <c r="D8750" s="368">
        <f>IFERROR((INDEX(METADATA!$T$2:$T$20,MATCH(B8750,METADATA!$S$2:$S$20,0))),0)</f>
        <v>0</v>
      </c>
      <c r="E8750" s="312" t="str">
        <f t="shared" si="544"/>
        <v>LO</v>
      </c>
      <c r="F8750" s="369">
        <f>VLOOKUP(C8750,METADATA!$A$5:$H$29,IF(E8750="HI",2,IF(E8750="LO",6,10))+IF(D8750=1,2,IF(D8750=7,1,(IF(WEEKDAY(B8750)=1,2,IF(WEEKDAY(B8750)=7,1,0))))))</f>
        <v>2</v>
      </c>
      <c r="G8750" s="369">
        <f>VLOOKUP(C8750,METADATA!$J$5:$Q$29,IF(E8750="HI",2,IF(E8750="LO",6,10))+IF(D8750=1,2,IF(D8750=7,1,(IF(WEEKDAY(B8750)=1,2,IF(WEEKDAY(B8750)=7,1,0))))))</f>
        <v>2</v>
      </c>
      <c r="H8750" s="370">
        <v>12849.449951171875</v>
      </c>
      <c r="I8750" s="370">
        <v>3841.6500244140625</v>
      </c>
      <c r="M8750" s="371">
        <f t="shared" si="545"/>
        <v>13411.43687148217</v>
      </c>
      <c r="N8750" s="329">
        <f t="shared" si="546"/>
        <v>0</v>
      </c>
      <c r="T8750" s="331">
        <v>0</v>
      </c>
      <c r="U8750" s="328">
        <f>VLOOKUP(C8750,METADATA!$J$5:$Q$29,IF(E8750="HI",2,IF(E8750="LO",6,10))+IF(T8750=1,2,IF(D8750=7,1,(IF(WEEKDAY(B8750)=1,2,IF(WEEKDAY(B8750)=7,1,0))))))</f>
        <v>2</v>
      </c>
      <c r="V8750" s="328">
        <f>VLOOKUP(C8750,METADATA!$A$5:$H$29,IF(E8750="HI",2,IF(E8750="LO",6,10))+IF(T8750=1,2,IF(D8750=7,1,(IF(WEEKDAY(B8750)=1,2,IF(WEEKDAY(B8750)=7,1,0))))))</f>
        <v>2</v>
      </c>
    </row>
    <row r="8751" spans="2:22">
      <c r="B8751" s="318">
        <f t="shared" si="547"/>
        <v>46477</v>
      </c>
      <c r="C8751" s="312">
        <v>11</v>
      </c>
      <c r="D8751" s="368">
        <f>IFERROR((INDEX(METADATA!$T$2:$T$20,MATCH(B8751,METADATA!$S$2:$S$20,0))),0)</f>
        <v>0</v>
      </c>
      <c r="E8751" s="312" t="str">
        <f t="shared" si="544"/>
        <v>LO</v>
      </c>
      <c r="F8751" s="369">
        <f>VLOOKUP(C8751,METADATA!$A$5:$H$29,IF(E8751="HI",2,IF(E8751="LO",6,10))+IF(D8751=1,2,IF(D8751=7,1,(IF(WEEKDAY(B8751)=1,2,IF(WEEKDAY(B8751)=7,1,0))))))</f>
        <v>2</v>
      </c>
      <c r="G8751" s="369">
        <f>VLOOKUP(C8751,METADATA!$J$5:$Q$29,IF(E8751="HI",2,IF(E8751="LO",6,10))+IF(D8751=1,2,IF(D8751=7,1,(IF(WEEKDAY(B8751)=1,2,IF(WEEKDAY(B8751)=7,1,0))))))</f>
        <v>2</v>
      </c>
      <c r="H8751" s="370">
        <v>13217.000183105469</v>
      </c>
      <c r="I8751" s="370">
        <v>4123.1800231933594</v>
      </c>
      <c r="M8751" s="371">
        <f t="shared" si="545"/>
        <v>13845.205211331135</v>
      </c>
      <c r="N8751" s="329">
        <f t="shared" si="546"/>
        <v>158.07996826171893</v>
      </c>
      <c r="T8751" s="331">
        <v>0</v>
      </c>
      <c r="U8751" s="328">
        <f>VLOOKUP(C8751,METADATA!$J$5:$Q$29,IF(E8751="HI",2,IF(E8751="LO",6,10))+IF(T8751=1,2,IF(D8751=7,1,(IF(WEEKDAY(B8751)=1,2,IF(WEEKDAY(B8751)=7,1,0))))))</f>
        <v>2</v>
      </c>
      <c r="V8751" s="328">
        <f>VLOOKUP(C8751,METADATA!$A$5:$H$29,IF(E8751="HI",2,IF(E8751="LO",6,10))+IF(T8751=1,2,IF(D8751=7,1,(IF(WEEKDAY(B8751)=1,2,IF(WEEKDAY(B8751)=7,1,0))))))</f>
        <v>2</v>
      </c>
    </row>
    <row r="8752" spans="2:22">
      <c r="B8752" s="318">
        <f t="shared" si="547"/>
        <v>46477</v>
      </c>
      <c r="C8752" s="312">
        <v>12</v>
      </c>
      <c r="D8752" s="368">
        <f>IFERROR((INDEX(METADATA!$T$2:$T$20,MATCH(B8752,METADATA!$S$2:$S$20,0))),0)</f>
        <v>0</v>
      </c>
      <c r="E8752" s="312" t="str">
        <f t="shared" si="544"/>
        <v>LO</v>
      </c>
      <c r="F8752" s="369">
        <f>VLOOKUP(C8752,METADATA!$A$5:$H$29,IF(E8752="HI",2,IF(E8752="LO",6,10))+IF(D8752=1,2,IF(D8752=7,1,(IF(WEEKDAY(B8752)=1,2,IF(WEEKDAY(B8752)=7,1,0))))))</f>
        <v>2</v>
      </c>
      <c r="G8752" s="369">
        <f>VLOOKUP(C8752,METADATA!$J$5:$Q$29,IF(E8752="HI",2,IF(E8752="LO",6,10))+IF(D8752=1,2,IF(D8752=7,1,(IF(WEEKDAY(B8752)=1,2,IF(WEEKDAY(B8752)=7,1,0))))))</f>
        <v>2</v>
      </c>
      <c r="H8752" s="370">
        <v>13228.625244140625</v>
      </c>
      <c r="I8752" s="370">
        <v>4348.3400268554688</v>
      </c>
      <c r="M8752" s="371">
        <f t="shared" si="545"/>
        <v>13924.962723076425</v>
      </c>
      <c r="N8752" s="329">
        <f t="shared" si="546"/>
        <v>379.75245361328143</v>
      </c>
      <c r="T8752" s="331">
        <v>0</v>
      </c>
      <c r="U8752" s="328">
        <f>VLOOKUP(C8752,METADATA!$J$5:$Q$29,IF(E8752="HI",2,IF(E8752="LO",6,10))+IF(T8752=1,2,IF(D8752=7,1,(IF(WEEKDAY(B8752)=1,2,IF(WEEKDAY(B8752)=7,1,0))))))</f>
        <v>2</v>
      </c>
      <c r="V8752" s="328">
        <f>VLOOKUP(C8752,METADATA!$A$5:$H$29,IF(E8752="HI",2,IF(E8752="LO",6,10))+IF(T8752=1,2,IF(D8752=7,1,(IF(WEEKDAY(B8752)=1,2,IF(WEEKDAY(B8752)=7,1,0))))))</f>
        <v>2</v>
      </c>
    </row>
    <row r="8753" spans="2:22">
      <c r="B8753" s="318">
        <f t="shared" si="547"/>
        <v>46477</v>
      </c>
      <c r="C8753" s="312">
        <v>13</v>
      </c>
      <c r="D8753" s="368">
        <f>IFERROR((INDEX(METADATA!$T$2:$T$20,MATCH(B8753,METADATA!$S$2:$S$20,0))),0)</f>
        <v>0</v>
      </c>
      <c r="E8753" s="312" t="str">
        <f t="shared" si="544"/>
        <v>LO</v>
      </c>
      <c r="F8753" s="369">
        <f>VLOOKUP(C8753,METADATA!$A$5:$H$29,IF(E8753="HI",2,IF(E8753="LO",6,10))+IF(D8753=1,2,IF(D8753=7,1,(IF(WEEKDAY(B8753)=1,2,IF(WEEKDAY(B8753)=7,1,0))))))</f>
        <v>2</v>
      </c>
      <c r="G8753" s="369">
        <f>VLOOKUP(C8753,METADATA!$J$5:$Q$29,IF(E8753="HI",2,IF(E8753="LO",6,10))+IF(D8753=1,2,IF(D8753=7,1,(IF(WEEKDAY(B8753)=1,2,IF(WEEKDAY(B8753)=7,1,0))))))</f>
        <v>2</v>
      </c>
      <c r="H8753" s="370">
        <v>13085.574829101563</v>
      </c>
      <c r="I8753" s="370">
        <v>4240.0399780273438</v>
      </c>
      <c r="M8753" s="371">
        <f t="shared" si="545"/>
        <v>13755.370137633028</v>
      </c>
      <c r="N8753" s="329">
        <f t="shared" si="546"/>
        <v>314.36752929687509</v>
      </c>
      <c r="T8753" s="331">
        <v>0</v>
      </c>
      <c r="U8753" s="328">
        <f>VLOOKUP(C8753,METADATA!$J$5:$Q$29,IF(E8753="HI",2,IF(E8753="LO",6,10))+IF(T8753=1,2,IF(D8753=7,1,(IF(WEEKDAY(B8753)=1,2,IF(WEEKDAY(B8753)=7,1,0))))))</f>
        <v>2</v>
      </c>
      <c r="V8753" s="328">
        <f>VLOOKUP(C8753,METADATA!$A$5:$H$29,IF(E8753="HI",2,IF(E8753="LO",6,10))+IF(T8753=1,2,IF(D8753=7,1,(IF(WEEKDAY(B8753)=1,2,IF(WEEKDAY(B8753)=7,1,0))))))</f>
        <v>2</v>
      </c>
    </row>
    <row r="8754" spans="2:22">
      <c r="B8754" s="318">
        <f t="shared" si="547"/>
        <v>46477</v>
      </c>
      <c r="C8754" s="312">
        <v>14</v>
      </c>
      <c r="D8754" s="368">
        <f>IFERROR((INDEX(METADATA!$T$2:$T$20,MATCH(B8754,METADATA!$S$2:$S$20,0))),0)</f>
        <v>0</v>
      </c>
      <c r="E8754" s="312" t="str">
        <f t="shared" si="544"/>
        <v>LO</v>
      </c>
      <c r="F8754" s="369">
        <f>VLOOKUP(C8754,METADATA!$A$5:$H$29,IF(E8754="HI",2,IF(E8754="LO",6,10))+IF(D8754=1,2,IF(D8754=7,1,(IF(WEEKDAY(B8754)=1,2,IF(WEEKDAY(B8754)=7,1,0))))))</f>
        <v>2</v>
      </c>
      <c r="G8754" s="369">
        <f>VLOOKUP(C8754,METADATA!$J$5:$Q$29,IF(E8754="HI",2,IF(E8754="LO",6,10))+IF(D8754=1,2,IF(D8754=7,1,(IF(WEEKDAY(B8754)=1,2,IF(WEEKDAY(B8754)=7,1,0))))))</f>
        <v>2</v>
      </c>
      <c r="H8754" s="370">
        <v>13206.474914550781</v>
      </c>
      <c r="I8754" s="370">
        <v>4340.224853515625</v>
      </c>
      <c r="M8754" s="371">
        <f t="shared" si="545"/>
        <v>13901.385954203768</v>
      </c>
      <c r="N8754" s="329">
        <f t="shared" si="546"/>
        <v>378.28237915039063</v>
      </c>
      <c r="T8754" s="331">
        <v>0</v>
      </c>
      <c r="U8754" s="328">
        <f>VLOOKUP(C8754,METADATA!$J$5:$Q$29,IF(E8754="HI",2,IF(E8754="LO",6,10))+IF(T8754=1,2,IF(D8754=7,1,(IF(WEEKDAY(B8754)=1,2,IF(WEEKDAY(B8754)=7,1,0))))))</f>
        <v>2</v>
      </c>
      <c r="V8754" s="328">
        <f>VLOOKUP(C8754,METADATA!$A$5:$H$29,IF(E8754="HI",2,IF(E8754="LO",6,10))+IF(T8754=1,2,IF(D8754=7,1,(IF(WEEKDAY(B8754)=1,2,IF(WEEKDAY(B8754)=7,1,0))))))</f>
        <v>2</v>
      </c>
    </row>
    <row r="8755" spans="2:22">
      <c r="B8755" s="318">
        <f t="shared" si="547"/>
        <v>46477</v>
      </c>
      <c r="C8755" s="312">
        <v>15</v>
      </c>
      <c r="D8755" s="368">
        <f>IFERROR((INDEX(METADATA!$T$2:$T$20,MATCH(B8755,METADATA!$S$2:$S$20,0))),0)</f>
        <v>0</v>
      </c>
      <c r="E8755" s="312" t="str">
        <f t="shared" si="544"/>
        <v>LO</v>
      </c>
      <c r="F8755" s="369">
        <f>VLOOKUP(C8755,METADATA!$A$5:$H$29,IF(E8755="HI",2,IF(E8755="LO",6,10))+IF(D8755=1,2,IF(D8755=7,1,(IF(WEEKDAY(B8755)=1,2,IF(WEEKDAY(B8755)=7,1,0))))))</f>
        <v>2</v>
      </c>
      <c r="G8755" s="369">
        <f>VLOOKUP(C8755,METADATA!$J$5:$Q$29,IF(E8755="HI",2,IF(E8755="LO",6,10))+IF(D8755=1,2,IF(D8755=7,1,(IF(WEEKDAY(B8755)=1,2,IF(WEEKDAY(B8755)=7,1,0))))))</f>
        <v>2</v>
      </c>
      <c r="H8755" s="370">
        <v>13176.199829101563</v>
      </c>
      <c r="I8755" s="370">
        <v>4414.4750366210938</v>
      </c>
      <c r="M8755" s="371">
        <f t="shared" si="545"/>
        <v>13896.036549511764</v>
      </c>
      <c r="N8755" s="329">
        <f t="shared" si="546"/>
        <v>461.61508789062509</v>
      </c>
      <c r="T8755" s="331">
        <v>0</v>
      </c>
      <c r="U8755" s="328">
        <f>VLOOKUP(C8755,METADATA!$J$5:$Q$29,IF(E8755="HI",2,IF(E8755="LO",6,10))+IF(T8755=1,2,IF(D8755=7,1,(IF(WEEKDAY(B8755)=1,2,IF(WEEKDAY(B8755)=7,1,0))))))</f>
        <v>2</v>
      </c>
      <c r="V8755" s="328">
        <f>VLOOKUP(C8755,METADATA!$A$5:$H$29,IF(E8755="HI",2,IF(E8755="LO",6,10))+IF(T8755=1,2,IF(D8755=7,1,(IF(WEEKDAY(B8755)=1,2,IF(WEEKDAY(B8755)=7,1,0))))))</f>
        <v>2</v>
      </c>
    </row>
    <row r="8756" spans="2:22">
      <c r="B8756" s="318">
        <f t="shared" si="547"/>
        <v>46477</v>
      </c>
      <c r="C8756" s="312">
        <v>16</v>
      </c>
      <c r="D8756" s="368">
        <f>IFERROR((INDEX(METADATA!$T$2:$T$20,MATCH(B8756,METADATA!$S$2:$S$20,0))),0)</f>
        <v>0</v>
      </c>
      <c r="E8756" s="312" t="str">
        <f t="shared" si="544"/>
        <v>LO</v>
      </c>
      <c r="F8756" s="369">
        <f>VLOOKUP(C8756,METADATA!$A$5:$H$29,IF(E8756="HI",2,IF(E8756="LO",6,10))+IF(D8756=1,2,IF(D8756=7,1,(IF(WEEKDAY(B8756)=1,2,IF(WEEKDAY(B8756)=7,1,0))))))</f>
        <v>2</v>
      </c>
      <c r="G8756" s="369">
        <f>VLOOKUP(C8756,METADATA!$J$5:$Q$29,IF(E8756="HI",2,IF(E8756="LO",6,10))+IF(D8756=1,2,IF(D8756=7,1,(IF(WEEKDAY(B8756)=1,2,IF(WEEKDAY(B8756)=7,1,0))))))</f>
        <v>2</v>
      </c>
      <c r="H8756" s="370">
        <v>13141.524780273438</v>
      </c>
      <c r="I8756" s="370">
        <v>4390.3899841308594</v>
      </c>
      <c r="M8756" s="371">
        <f t="shared" si="545"/>
        <v>13855.511458019057</v>
      </c>
      <c r="N8756" s="329">
        <f t="shared" si="546"/>
        <v>447.93255004882849</v>
      </c>
      <c r="T8756" s="331">
        <v>0</v>
      </c>
      <c r="U8756" s="328">
        <f>VLOOKUP(C8756,METADATA!$J$5:$Q$29,IF(E8756="HI",2,IF(E8756="LO",6,10))+IF(T8756=1,2,IF(D8756=7,1,(IF(WEEKDAY(B8756)=1,2,IF(WEEKDAY(B8756)=7,1,0))))))</f>
        <v>2</v>
      </c>
      <c r="V8756" s="328">
        <f>VLOOKUP(C8756,METADATA!$A$5:$H$29,IF(E8756="HI",2,IF(E8756="LO",6,10))+IF(T8756=1,2,IF(D8756=7,1,(IF(WEEKDAY(B8756)=1,2,IF(WEEKDAY(B8756)=7,1,0))))))</f>
        <v>2</v>
      </c>
    </row>
    <row r="8757" spans="2:22">
      <c r="B8757" s="318">
        <f t="shared" si="547"/>
        <v>46477</v>
      </c>
      <c r="C8757" s="312">
        <v>17</v>
      </c>
      <c r="D8757" s="368">
        <f>IFERROR((INDEX(METADATA!$T$2:$T$20,MATCH(B8757,METADATA!$S$2:$S$20,0))),0)</f>
        <v>0</v>
      </c>
      <c r="E8757" s="312" t="str">
        <f t="shared" si="544"/>
        <v>LO</v>
      </c>
      <c r="F8757" s="369">
        <f>VLOOKUP(C8757,METADATA!$A$5:$H$29,IF(E8757="HI",2,IF(E8757="LO",6,10))+IF(D8757=1,2,IF(D8757=7,1,(IF(WEEKDAY(B8757)=1,2,IF(WEEKDAY(B8757)=7,1,0))))))</f>
        <v>2</v>
      </c>
      <c r="G8757" s="369">
        <f>VLOOKUP(C8757,METADATA!$J$5:$Q$29,IF(E8757="HI",2,IF(E8757="LO",6,10))+IF(D8757=1,2,IF(D8757=7,1,(IF(WEEKDAY(B8757)=1,2,IF(WEEKDAY(B8757)=7,1,0))))))</f>
        <v>2</v>
      </c>
      <c r="H8757" s="370">
        <v>13006.524719238281</v>
      </c>
      <c r="I8757" s="370">
        <v>4208.550048828125</v>
      </c>
      <c r="M8757" s="371">
        <f t="shared" si="545"/>
        <v>13670.463737037147</v>
      </c>
      <c r="N8757" s="329">
        <f t="shared" si="546"/>
        <v>306.59263305664081</v>
      </c>
      <c r="T8757" s="331">
        <v>0</v>
      </c>
      <c r="U8757" s="328">
        <f>VLOOKUP(C8757,METADATA!$J$5:$Q$29,IF(E8757="HI",2,IF(E8757="LO",6,10))+IF(T8757=1,2,IF(D8757=7,1,(IF(WEEKDAY(B8757)=1,2,IF(WEEKDAY(B8757)=7,1,0))))))</f>
        <v>2</v>
      </c>
      <c r="V8757" s="328">
        <f>VLOOKUP(C8757,METADATA!$A$5:$H$29,IF(E8757="HI",2,IF(E8757="LO",6,10))+IF(T8757=1,2,IF(D8757=7,1,(IF(WEEKDAY(B8757)=1,2,IF(WEEKDAY(B8757)=7,1,0))))))</f>
        <v>2</v>
      </c>
    </row>
    <row r="8758" spans="2:22">
      <c r="B8758" s="318">
        <f t="shared" si="547"/>
        <v>46477</v>
      </c>
      <c r="C8758" s="312">
        <v>18</v>
      </c>
      <c r="D8758" s="368">
        <f>IFERROR((INDEX(METADATA!$T$2:$T$20,MATCH(B8758,METADATA!$S$2:$S$20,0))),0)</f>
        <v>0</v>
      </c>
      <c r="E8758" s="312" t="str">
        <f t="shared" si="544"/>
        <v>LO</v>
      </c>
      <c r="F8758" s="369">
        <f>VLOOKUP(C8758,METADATA!$A$5:$H$29,IF(E8758="HI",2,IF(E8758="LO",6,10))+IF(D8758=1,2,IF(D8758=7,1,(IF(WEEKDAY(B8758)=1,2,IF(WEEKDAY(B8758)=7,1,0))))))</f>
        <v>1</v>
      </c>
      <c r="G8758" s="369">
        <f>VLOOKUP(C8758,METADATA!$J$5:$Q$29,IF(E8758="HI",2,IF(E8758="LO",6,10))+IF(D8758=1,2,IF(D8758=7,1,(IF(WEEKDAY(B8758)=1,2,IF(WEEKDAY(B8758)=7,1,0))))))</f>
        <v>1</v>
      </c>
      <c r="H8758" s="370">
        <v>12993.849609375</v>
      </c>
      <c r="I8758" s="370">
        <v>4101.2848815917969</v>
      </c>
      <c r="M8758" s="371">
        <f t="shared" si="545"/>
        <v>13625.735405879135</v>
      </c>
      <c r="N8758" s="329">
        <f t="shared" si="546"/>
        <v>203.12999877929724</v>
      </c>
      <c r="T8758" s="331">
        <v>0</v>
      </c>
      <c r="U8758" s="328">
        <f>VLOOKUP(C8758,METADATA!$J$5:$Q$29,IF(E8758="HI",2,IF(E8758="LO",6,10))+IF(T8758=1,2,IF(D8758=7,1,(IF(WEEKDAY(B8758)=1,2,IF(WEEKDAY(B8758)=7,1,0))))))</f>
        <v>1</v>
      </c>
      <c r="V8758" s="328">
        <f>VLOOKUP(C8758,METADATA!$A$5:$H$29,IF(E8758="HI",2,IF(E8758="LO",6,10))+IF(T8758=1,2,IF(D8758=7,1,(IF(WEEKDAY(B8758)=1,2,IF(WEEKDAY(B8758)=7,1,0))))))</f>
        <v>1</v>
      </c>
    </row>
    <row r="8759" spans="2:22">
      <c r="B8759" s="318">
        <f t="shared" si="547"/>
        <v>46477</v>
      </c>
      <c r="C8759" s="312">
        <v>19</v>
      </c>
      <c r="D8759" s="368">
        <f>IFERROR((INDEX(METADATA!$T$2:$T$20,MATCH(B8759,METADATA!$S$2:$S$20,0))),0)</f>
        <v>0</v>
      </c>
      <c r="E8759" s="312" t="str">
        <f t="shared" si="544"/>
        <v>LO</v>
      </c>
      <c r="F8759" s="369">
        <f>VLOOKUP(C8759,METADATA!$A$5:$H$29,IF(E8759="HI",2,IF(E8759="LO",6,10))+IF(D8759=1,2,IF(D8759=7,1,(IF(WEEKDAY(B8759)=1,2,IF(WEEKDAY(B8759)=7,1,0))))))</f>
        <v>1</v>
      </c>
      <c r="G8759" s="369">
        <f>VLOOKUP(C8759,METADATA!$J$5:$Q$29,IF(E8759="HI",2,IF(E8759="LO",6,10))+IF(D8759=1,2,IF(D8759=7,1,(IF(WEEKDAY(B8759)=1,2,IF(WEEKDAY(B8759)=7,1,0))))))</f>
        <v>1</v>
      </c>
      <c r="H8759" s="370">
        <v>13021.049987792969</v>
      </c>
      <c r="I8759" s="370">
        <v>4112.72998046875</v>
      </c>
      <c r="M8759" s="371">
        <f t="shared" si="545"/>
        <v>13655.119577537567</v>
      </c>
      <c r="N8759" s="329">
        <f t="shared" si="546"/>
        <v>206.41498413085947</v>
      </c>
      <c r="T8759" s="331">
        <v>0</v>
      </c>
      <c r="U8759" s="328">
        <f>VLOOKUP(C8759,METADATA!$J$5:$Q$29,IF(E8759="HI",2,IF(E8759="LO",6,10))+IF(T8759=1,2,IF(D8759=7,1,(IF(WEEKDAY(B8759)=1,2,IF(WEEKDAY(B8759)=7,1,0))))))</f>
        <v>1</v>
      </c>
      <c r="V8759" s="328">
        <f>VLOOKUP(C8759,METADATA!$A$5:$H$29,IF(E8759="HI",2,IF(E8759="LO",6,10))+IF(T8759=1,2,IF(D8759=7,1,(IF(WEEKDAY(B8759)=1,2,IF(WEEKDAY(B8759)=7,1,0))))))</f>
        <v>1</v>
      </c>
    </row>
    <row r="8760" spans="2:22">
      <c r="B8760" s="318">
        <f t="shared" si="547"/>
        <v>46477</v>
      </c>
      <c r="C8760" s="312">
        <v>20</v>
      </c>
      <c r="D8760" s="368">
        <f>IFERROR((INDEX(METADATA!$T$2:$T$20,MATCH(B8760,METADATA!$S$2:$S$20,0))),0)</f>
        <v>0</v>
      </c>
      <c r="E8760" s="312" t="str">
        <f t="shared" si="544"/>
        <v>LO</v>
      </c>
      <c r="F8760" s="369">
        <f>VLOOKUP(C8760,METADATA!$A$5:$H$29,IF(E8760="HI",2,IF(E8760="LO",6,10))+IF(D8760=1,2,IF(D8760=7,1,(IF(WEEKDAY(B8760)=1,2,IF(WEEKDAY(B8760)=7,1,0))))))</f>
        <v>1</v>
      </c>
      <c r="G8760" s="369">
        <f>VLOOKUP(C8760,METADATA!$J$5:$Q$29,IF(E8760="HI",2,IF(E8760="LO",6,10))+IF(D8760=1,2,IF(D8760=7,1,(IF(WEEKDAY(B8760)=1,2,IF(WEEKDAY(B8760)=7,1,0))))))</f>
        <v>1</v>
      </c>
      <c r="H8760" s="370">
        <v>12903.600280761719</v>
      </c>
      <c r="I8760" s="370">
        <v>4090.4899597167969</v>
      </c>
      <c r="M8760" s="371">
        <f t="shared" si="545"/>
        <v>13536.432628880397</v>
      </c>
      <c r="N8760" s="329">
        <f t="shared" si="546"/>
        <v>219.40987548828161</v>
      </c>
      <c r="T8760" s="331">
        <v>0</v>
      </c>
      <c r="U8760" s="328">
        <f>VLOOKUP(C8760,METADATA!$J$5:$Q$29,IF(E8760="HI",2,IF(E8760="LO",6,10))+IF(T8760=1,2,IF(D8760=7,1,(IF(WEEKDAY(B8760)=1,2,IF(WEEKDAY(B8760)=7,1,0))))))</f>
        <v>1</v>
      </c>
      <c r="V8760" s="328">
        <f>VLOOKUP(C8760,METADATA!$A$5:$H$29,IF(E8760="HI",2,IF(E8760="LO",6,10))+IF(T8760=1,2,IF(D8760=7,1,(IF(WEEKDAY(B8760)=1,2,IF(WEEKDAY(B8760)=7,1,0))))))</f>
        <v>1</v>
      </c>
    </row>
    <row r="8761" spans="2:22">
      <c r="B8761" s="318">
        <f t="shared" si="547"/>
        <v>46477</v>
      </c>
      <c r="C8761" s="312">
        <v>21</v>
      </c>
      <c r="D8761" s="368">
        <f>IFERROR((INDEX(METADATA!$T$2:$T$20,MATCH(B8761,METADATA!$S$2:$S$20,0))),0)</f>
        <v>0</v>
      </c>
      <c r="E8761" s="312" t="str">
        <f t="shared" si="544"/>
        <v>LO</v>
      </c>
      <c r="F8761" s="369">
        <f>VLOOKUP(C8761,METADATA!$A$5:$H$29,IF(E8761="HI",2,IF(E8761="LO",6,10))+IF(D8761=1,2,IF(D8761=7,1,(IF(WEEKDAY(B8761)=1,2,IF(WEEKDAY(B8761)=7,1,0))))))</f>
        <v>2</v>
      </c>
      <c r="G8761" s="369">
        <f>VLOOKUP(C8761,METADATA!$J$5:$Q$29,IF(E8761="HI",2,IF(E8761="LO",6,10))+IF(D8761=1,2,IF(D8761=7,1,(IF(WEEKDAY(B8761)=1,2,IF(WEEKDAY(B8761)=7,1,0))))))</f>
        <v>2</v>
      </c>
      <c r="H8761" s="370">
        <v>13012.950317382813</v>
      </c>
      <c r="I8761" s="370">
        <v>4196.8899230957031</v>
      </c>
      <c r="M8761" s="371">
        <f t="shared" si="545"/>
        <v>13672.993856111238</v>
      </c>
      <c r="N8761" s="329">
        <f t="shared" si="546"/>
        <v>293.00482788085947</v>
      </c>
      <c r="T8761" s="331">
        <v>0</v>
      </c>
      <c r="U8761" s="328">
        <f>VLOOKUP(C8761,METADATA!$J$5:$Q$29,IF(E8761="HI",2,IF(E8761="LO",6,10))+IF(T8761=1,2,IF(D8761=7,1,(IF(WEEKDAY(B8761)=1,2,IF(WEEKDAY(B8761)=7,1,0))))))</f>
        <v>2</v>
      </c>
      <c r="V8761" s="328">
        <f>VLOOKUP(C8761,METADATA!$A$5:$H$29,IF(E8761="HI",2,IF(E8761="LO",6,10))+IF(T8761=1,2,IF(D8761=7,1,(IF(WEEKDAY(B8761)=1,2,IF(WEEKDAY(B8761)=7,1,0))))))</f>
        <v>2</v>
      </c>
    </row>
    <row r="8762" spans="2:22">
      <c r="B8762" s="318">
        <f t="shared" si="547"/>
        <v>46477</v>
      </c>
      <c r="C8762" s="312">
        <v>22</v>
      </c>
      <c r="D8762" s="368">
        <f>IFERROR((INDEX(METADATA!$T$2:$T$20,MATCH(B8762,METADATA!$S$2:$S$20,0))),0)</f>
        <v>0</v>
      </c>
      <c r="E8762" s="312" t="str">
        <f t="shared" si="544"/>
        <v>LO</v>
      </c>
      <c r="F8762" s="369">
        <f>VLOOKUP(C8762,METADATA!$A$5:$H$29,IF(E8762="HI",2,IF(E8762="LO",6,10))+IF(D8762=1,2,IF(D8762=7,1,(IF(WEEKDAY(B8762)=1,2,IF(WEEKDAY(B8762)=7,1,0))))))</f>
        <v>3</v>
      </c>
      <c r="G8762" s="369">
        <f>VLOOKUP(C8762,METADATA!$J$5:$Q$29,IF(E8762="HI",2,IF(E8762="LO",6,10))+IF(D8762=1,2,IF(D8762=7,1,(IF(WEEKDAY(B8762)=1,2,IF(WEEKDAY(B8762)=7,1,0))))))</f>
        <v>3</v>
      </c>
      <c r="H8762" s="370">
        <v>12908.649658203125</v>
      </c>
      <c r="I8762" s="370">
        <v>4152.0550537109375</v>
      </c>
      <c r="M8762" s="371">
        <f t="shared" si="545"/>
        <v>13559.970396991072</v>
      </c>
      <c r="N8762" s="329">
        <f t="shared" si="546"/>
        <v>279.46015625000018</v>
      </c>
      <c r="T8762" s="331">
        <v>0</v>
      </c>
      <c r="U8762" s="328">
        <f>VLOOKUP(C8762,METADATA!$J$5:$Q$29,IF(E8762="HI",2,IF(E8762="LO",6,10))+IF(T8762=1,2,IF(D8762=7,1,(IF(WEEKDAY(B8762)=1,2,IF(WEEKDAY(B8762)=7,1,0))))))</f>
        <v>3</v>
      </c>
      <c r="V8762" s="328">
        <f>VLOOKUP(C8762,METADATA!$A$5:$H$29,IF(E8762="HI",2,IF(E8762="LO",6,10))+IF(T8762=1,2,IF(D8762=7,1,(IF(WEEKDAY(B8762)=1,2,IF(WEEKDAY(B8762)=7,1,0))))))</f>
        <v>3</v>
      </c>
    </row>
    <row r="8763" spans="2:22">
      <c r="B8763" s="318">
        <f t="shared" si="547"/>
        <v>46477</v>
      </c>
      <c r="C8763" s="312">
        <v>23</v>
      </c>
      <c r="D8763" s="368">
        <f>IFERROR((INDEX(METADATA!$T$2:$T$20,MATCH(B8763,METADATA!$S$2:$S$20,0))),0)</f>
        <v>0</v>
      </c>
      <c r="E8763" s="312" t="str">
        <f t="shared" si="544"/>
        <v>LO</v>
      </c>
      <c r="F8763" s="369">
        <f>VLOOKUP(C8763,METADATA!$A$5:$H$29,IF(E8763="HI",2,IF(E8763="LO",6,10))+IF(D8763=1,2,IF(D8763=7,1,(IF(WEEKDAY(B8763)=1,2,IF(WEEKDAY(B8763)=7,1,0))))))</f>
        <v>3</v>
      </c>
      <c r="G8763" s="369">
        <f>VLOOKUP(C8763,METADATA!$J$5:$Q$29,IF(E8763="HI",2,IF(E8763="LO",6,10))+IF(D8763=1,2,IF(D8763=7,1,(IF(WEEKDAY(B8763)=1,2,IF(WEEKDAY(B8763)=7,1,0))))))</f>
        <v>3</v>
      </c>
      <c r="H8763" s="370">
        <v>12981.5498046875</v>
      </c>
      <c r="I8763" s="370">
        <v>4182.1350402832031</v>
      </c>
      <c r="M8763" s="371">
        <f t="shared" si="545"/>
        <v>13638.580894900562</v>
      </c>
      <c r="N8763" s="329">
        <f t="shared" si="546"/>
        <v>287.67009887695349</v>
      </c>
      <c r="T8763" s="333">
        <v>0</v>
      </c>
      <c r="U8763" s="328">
        <f>VLOOKUP(C8763,METADATA!$J$5:$Q$29,IF(E8763="HI",2,IF(E8763="LO",6,10))+IF(T8763=1,2,IF(D8763=7,1,(IF(WEEKDAY(B8763)=1,2,IF(WEEKDAY(B8763)=7,1,0))))))</f>
        <v>3</v>
      </c>
      <c r="V8763" s="328">
        <f>VLOOKUP(C8763,METADATA!$A$5:$H$29,IF(E8763="HI",2,IF(E8763="LO",6,10))+IF(T8763=1,2,IF(D8763=7,1,(IF(WEEKDAY(B8763)=1,2,IF(WEEKDAY(B8763)=7,1,0))))))</f>
        <v>3</v>
      </c>
    </row>
  </sheetData>
  <sheetProtection algorithmName="SHA-512" hashValue="R9PjeMU4EUw6GLvG7AzmWv1XPREWHJoOW8OpV7WJO8gqc+AIduGIfA4zKERNyO4D1MFoIj0h+/Y96nWfFwj3SA==" saltValue="UmSQLggYHF2+PvdFKfjqfg==" spinCount="100000" sheet="1" objects="1" scenarios="1"/>
  <autoFilter ref="B3:Z8763" xr:uid="{00000000-0001-0000-0300-000000000000}"/>
  <conditionalFormatting sqref="G4:G8763">
    <cfRule type="cellIs" dxfId="467" priority="14" operator="equal">
      <formula>3</formula>
    </cfRule>
    <cfRule type="cellIs" dxfId="466" priority="15" operator="equal">
      <formula>2</formula>
    </cfRule>
    <cfRule type="cellIs" dxfId="465" priority="16" operator="equal">
      <formula>1</formula>
    </cfRule>
  </conditionalFormatting>
  <conditionalFormatting sqref="F4:F8763">
    <cfRule type="cellIs" dxfId="464" priority="11" operator="equal">
      <formula>3</formula>
    </cfRule>
    <cfRule type="cellIs" dxfId="463" priority="12" operator="equal">
      <formula>2</formula>
    </cfRule>
    <cfRule type="cellIs" dxfId="462" priority="13" operator="equal">
      <formula>1</formula>
    </cfRule>
  </conditionalFormatting>
  <conditionalFormatting sqref="D4:D8763">
    <cfRule type="cellIs" dxfId="461" priority="10" operator="notEqual">
      <formula>0</formula>
    </cfRule>
  </conditionalFormatting>
  <conditionalFormatting sqref="E4:E8763">
    <cfRule type="cellIs" dxfId="460" priority="8" operator="equal">
      <formula>"HI"</formula>
    </cfRule>
    <cfRule type="cellIs" dxfId="459" priority="9" operator="equal">
      <formula>"LO"</formula>
    </cfRule>
  </conditionalFormatting>
  <conditionalFormatting sqref="T4:T8763">
    <cfRule type="cellIs" dxfId="458" priority="7" operator="notEqual">
      <formula>0</formula>
    </cfRule>
  </conditionalFormatting>
  <conditionalFormatting sqref="U4:U8763">
    <cfRule type="cellIs" dxfId="457" priority="4" operator="equal">
      <formula>3</formula>
    </cfRule>
    <cfRule type="cellIs" dxfId="456" priority="5" operator="equal">
      <formula>2</formula>
    </cfRule>
    <cfRule type="cellIs" dxfId="455" priority="6" operator="equal">
      <formula>1</formula>
    </cfRule>
  </conditionalFormatting>
  <conditionalFormatting sqref="V4:V8763">
    <cfRule type="cellIs" dxfId="454" priority="1" operator="equal">
      <formula>3</formula>
    </cfRule>
    <cfRule type="cellIs" dxfId="453" priority="2" operator="equal">
      <formula>2</formula>
    </cfRule>
    <cfRule type="cellIs" dxfId="452" priority="3" operator="equal">
      <formula>1</formula>
    </cfRule>
  </conditionalFormatting>
  <pageMargins left="0.7" right="0.7" top="0.75" bottom="0.75" header="0.3" footer="0.3"/>
  <pageSetup orientation="portrait" r:id="rId1"/>
  <ignoredErrors>
    <ignoredError sqref="M4 M5:M8763 Q18:R20" unlocked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C1EA9-F782-4007-8CA5-46352BA3C9B0}">
  <sheetPr codeName="Sheet20">
    <tabColor theme="0" tint="-0.249977111117893"/>
  </sheetPr>
  <dimension ref="A1:V38"/>
  <sheetViews>
    <sheetView zoomScale="80" zoomScaleNormal="80" workbookViewId="0">
      <selection activeCell="H29" sqref="H29"/>
    </sheetView>
  </sheetViews>
  <sheetFormatPr defaultColWidth="11.140625" defaultRowHeight="13.2"/>
  <cols>
    <col min="1" max="1" width="11.140625" style="312"/>
    <col min="2" max="2" width="38.5703125" style="312" bestFit="1" customWidth="1"/>
    <col min="3" max="18" width="11.140625" style="312"/>
    <col min="19" max="19" width="16.85546875" style="312" customWidth="1"/>
    <col min="20" max="20" width="11.140625" style="312"/>
    <col min="21" max="21" width="24.5703125" style="312" bestFit="1" customWidth="1"/>
    <col min="22" max="16384" width="11.140625" style="312"/>
  </cols>
  <sheetData>
    <row r="1" spans="1:22" ht="14.4">
      <c r="A1" s="310"/>
      <c r="B1" s="451" t="s">
        <v>619</v>
      </c>
      <c r="C1" s="451"/>
      <c r="D1" s="451"/>
      <c r="E1" s="451"/>
      <c r="F1" s="451"/>
      <c r="G1" s="451"/>
      <c r="H1" s="451"/>
      <c r="I1" s="311"/>
      <c r="J1" s="311"/>
      <c r="K1" s="451" t="s">
        <v>618</v>
      </c>
      <c r="L1" s="451"/>
      <c r="M1" s="451"/>
      <c r="N1" s="451"/>
      <c r="O1" s="451"/>
      <c r="P1" s="451"/>
      <c r="Q1" s="451"/>
    </row>
    <row r="2" spans="1:22" ht="14.4">
      <c r="B2" s="313" t="s">
        <v>547</v>
      </c>
      <c r="C2" s="313"/>
      <c r="D2" s="313"/>
      <c r="E2" s="311"/>
      <c r="F2" s="313" t="s">
        <v>548</v>
      </c>
      <c r="G2" s="313"/>
      <c r="H2" s="313"/>
      <c r="I2" s="311"/>
      <c r="J2" s="311"/>
      <c r="K2" s="313" t="s">
        <v>549</v>
      </c>
      <c r="L2" s="313"/>
      <c r="M2" s="313"/>
      <c r="N2" s="311"/>
      <c r="O2" s="313" t="s">
        <v>548</v>
      </c>
      <c r="P2" s="313"/>
      <c r="Q2" s="313"/>
      <c r="S2" s="334">
        <v>46115</v>
      </c>
      <c r="T2" s="398">
        <v>1</v>
      </c>
      <c r="U2" s="411"/>
    </row>
    <row r="3" spans="1:22" ht="14.4">
      <c r="B3" s="315" t="s">
        <v>550</v>
      </c>
      <c r="C3" s="315" t="s">
        <v>551</v>
      </c>
      <c r="D3" s="315" t="s">
        <v>552</v>
      </c>
      <c r="E3" s="315"/>
      <c r="F3" s="315" t="s">
        <v>550</v>
      </c>
      <c r="G3" s="315" t="s">
        <v>551</v>
      </c>
      <c r="H3" s="315" t="s">
        <v>552</v>
      </c>
      <c r="I3" s="315"/>
      <c r="J3" s="315"/>
      <c r="K3" s="315" t="s">
        <v>550</v>
      </c>
      <c r="L3" s="315" t="s">
        <v>551</v>
      </c>
      <c r="M3" s="315" t="s">
        <v>552</v>
      </c>
      <c r="N3" s="315"/>
      <c r="O3" s="315" t="s">
        <v>550</v>
      </c>
      <c r="P3" s="315" t="s">
        <v>551</v>
      </c>
      <c r="Q3" s="315" t="s">
        <v>552</v>
      </c>
      <c r="S3" s="334">
        <v>46118</v>
      </c>
      <c r="T3" s="398">
        <v>1</v>
      </c>
      <c r="U3" s="411"/>
    </row>
    <row r="4" spans="1:22" ht="14.4">
      <c r="B4" s="315"/>
      <c r="C4" s="315"/>
      <c r="D4" s="315"/>
      <c r="E4" s="315"/>
      <c r="F4" s="315"/>
      <c r="G4" s="315"/>
      <c r="H4" s="315"/>
      <c r="I4" s="315"/>
      <c r="J4" s="315"/>
      <c r="K4" s="315"/>
      <c r="L4" s="315"/>
      <c r="M4" s="315"/>
      <c r="N4" s="315"/>
      <c r="O4" s="315"/>
      <c r="P4" s="315"/>
      <c r="Q4" s="315"/>
      <c r="S4" s="334">
        <v>46139</v>
      </c>
      <c r="T4" s="398">
        <v>7</v>
      </c>
      <c r="U4" s="411"/>
    </row>
    <row r="5" spans="1:22" ht="14.4">
      <c r="A5" s="312">
        <v>0</v>
      </c>
      <c r="B5" s="316">
        <v>3</v>
      </c>
      <c r="C5" s="316">
        <v>3</v>
      </c>
      <c r="D5" s="316">
        <v>3</v>
      </c>
      <c r="E5" s="317"/>
      <c r="F5" s="316">
        <v>3</v>
      </c>
      <c r="G5" s="316">
        <v>3</v>
      </c>
      <c r="H5" s="316">
        <v>3</v>
      </c>
      <c r="J5" s="312">
        <v>0</v>
      </c>
      <c r="K5" s="316">
        <v>3</v>
      </c>
      <c r="L5" s="316">
        <v>3</v>
      </c>
      <c r="M5" s="316">
        <v>3</v>
      </c>
      <c r="N5" s="317"/>
      <c r="O5" s="316">
        <v>3</v>
      </c>
      <c r="P5" s="316">
        <v>3</v>
      </c>
      <c r="Q5" s="316">
        <v>3</v>
      </c>
      <c r="S5" s="334">
        <v>46143</v>
      </c>
      <c r="T5" s="398">
        <v>7</v>
      </c>
      <c r="U5" s="411"/>
    </row>
    <row r="6" spans="1:22" ht="14.4">
      <c r="A6" s="312">
        <v>1</v>
      </c>
      <c r="B6" s="316">
        <v>3</v>
      </c>
      <c r="C6" s="316">
        <v>3</v>
      </c>
      <c r="D6" s="316">
        <v>3</v>
      </c>
      <c r="E6" s="317"/>
      <c r="F6" s="316">
        <v>3</v>
      </c>
      <c r="G6" s="316">
        <v>3</v>
      </c>
      <c r="H6" s="316">
        <v>3</v>
      </c>
      <c r="J6" s="312">
        <v>1</v>
      </c>
      <c r="K6" s="316">
        <v>3</v>
      </c>
      <c r="L6" s="316">
        <v>3</v>
      </c>
      <c r="M6" s="316">
        <v>3</v>
      </c>
      <c r="N6" s="317"/>
      <c r="O6" s="316">
        <v>3</v>
      </c>
      <c r="P6" s="316">
        <v>3</v>
      </c>
      <c r="Q6" s="316">
        <v>3</v>
      </c>
      <c r="S6" s="334">
        <v>46189</v>
      </c>
      <c r="T6" s="398">
        <v>7</v>
      </c>
      <c r="U6" s="411"/>
    </row>
    <row r="7" spans="1:22" ht="14.4">
      <c r="A7" s="312">
        <v>2</v>
      </c>
      <c r="B7" s="316">
        <v>3</v>
      </c>
      <c r="C7" s="316">
        <v>3</v>
      </c>
      <c r="D7" s="316">
        <v>3</v>
      </c>
      <c r="E7" s="317"/>
      <c r="F7" s="316">
        <v>3</v>
      </c>
      <c r="G7" s="316">
        <v>3</v>
      </c>
      <c r="H7" s="316">
        <v>3</v>
      </c>
      <c r="J7" s="312">
        <v>2</v>
      </c>
      <c r="K7" s="316">
        <v>3</v>
      </c>
      <c r="L7" s="316">
        <v>3</v>
      </c>
      <c r="M7" s="316">
        <v>3</v>
      </c>
      <c r="N7" s="317"/>
      <c r="O7" s="316">
        <v>3</v>
      </c>
      <c r="P7" s="316">
        <v>3</v>
      </c>
      <c r="Q7" s="316">
        <v>3</v>
      </c>
      <c r="S7" s="334">
        <v>46243</v>
      </c>
      <c r="T7" s="398">
        <v>1</v>
      </c>
      <c r="U7" s="411"/>
    </row>
    <row r="8" spans="1:22" ht="14.4">
      <c r="A8" s="312">
        <v>3</v>
      </c>
      <c r="B8" s="316">
        <v>3</v>
      </c>
      <c r="C8" s="316">
        <v>3</v>
      </c>
      <c r="D8" s="316">
        <v>3</v>
      </c>
      <c r="E8" s="317"/>
      <c r="F8" s="316">
        <v>3</v>
      </c>
      <c r="G8" s="316">
        <v>3</v>
      </c>
      <c r="H8" s="316">
        <v>3</v>
      </c>
      <c r="J8" s="312">
        <v>3</v>
      </c>
      <c r="K8" s="316">
        <v>3</v>
      </c>
      <c r="L8" s="316">
        <v>3</v>
      </c>
      <c r="M8" s="316">
        <v>3</v>
      </c>
      <c r="N8" s="317"/>
      <c r="O8" s="316">
        <v>3</v>
      </c>
      <c r="P8" s="316">
        <v>3</v>
      </c>
      <c r="Q8" s="316">
        <v>3</v>
      </c>
      <c r="S8" s="334">
        <v>46244</v>
      </c>
      <c r="T8" s="312">
        <v>7</v>
      </c>
      <c r="U8" s="411"/>
    </row>
    <row r="9" spans="1:22" ht="14.4">
      <c r="A9" s="312">
        <v>4</v>
      </c>
      <c r="B9" s="316">
        <v>3</v>
      </c>
      <c r="C9" s="316">
        <v>3</v>
      </c>
      <c r="D9" s="316">
        <v>3</v>
      </c>
      <c r="E9" s="317"/>
      <c r="F9" s="316">
        <v>3</v>
      </c>
      <c r="G9" s="316">
        <v>3</v>
      </c>
      <c r="H9" s="316">
        <v>3</v>
      </c>
      <c r="J9" s="312">
        <v>4</v>
      </c>
      <c r="K9" s="316">
        <v>3</v>
      </c>
      <c r="L9" s="316">
        <v>3</v>
      </c>
      <c r="M9" s="316">
        <v>3</v>
      </c>
      <c r="N9" s="317"/>
      <c r="O9" s="316">
        <v>3</v>
      </c>
      <c r="P9" s="316">
        <v>3</v>
      </c>
      <c r="Q9" s="316">
        <v>3</v>
      </c>
      <c r="S9" s="334">
        <v>46289</v>
      </c>
      <c r="T9" s="398">
        <v>7</v>
      </c>
      <c r="U9" s="411"/>
    </row>
    <row r="10" spans="1:22" ht="14.4">
      <c r="B10" s="316"/>
      <c r="C10" s="316"/>
      <c r="D10" s="316"/>
      <c r="E10" s="317"/>
      <c r="F10" s="316"/>
      <c r="G10" s="316"/>
      <c r="H10" s="316"/>
      <c r="K10" s="316"/>
      <c r="L10" s="316"/>
      <c r="M10" s="316"/>
      <c r="N10" s="317"/>
      <c r="O10" s="316"/>
      <c r="P10" s="316"/>
      <c r="Q10" s="316"/>
      <c r="S10" s="334">
        <v>46372</v>
      </c>
      <c r="T10" s="398">
        <v>7</v>
      </c>
      <c r="U10" s="411"/>
    </row>
    <row r="11" spans="1:22" ht="14.4">
      <c r="A11" s="312">
        <v>5</v>
      </c>
      <c r="B11" s="316">
        <v>3</v>
      </c>
      <c r="C11" s="316">
        <v>3</v>
      </c>
      <c r="D11" s="316">
        <v>3</v>
      </c>
      <c r="E11" s="317"/>
      <c r="F11" s="316">
        <v>3</v>
      </c>
      <c r="G11" s="316">
        <v>3</v>
      </c>
      <c r="H11" s="316">
        <v>3</v>
      </c>
      <c r="J11" s="312">
        <v>5</v>
      </c>
      <c r="K11" s="316">
        <v>3</v>
      </c>
      <c r="L11" s="316">
        <v>3</v>
      </c>
      <c r="M11" s="316">
        <v>3</v>
      </c>
      <c r="N11" s="317"/>
      <c r="O11" s="316">
        <v>3</v>
      </c>
      <c r="P11" s="316">
        <v>3</v>
      </c>
      <c r="Q11" s="316">
        <v>3</v>
      </c>
      <c r="S11" s="334">
        <v>46381</v>
      </c>
      <c r="T11" s="398">
        <v>1</v>
      </c>
      <c r="U11" s="411"/>
    </row>
    <row r="12" spans="1:22" ht="14.4">
      <c r="A12" s="312">
        <v>6</v>
      </c>
      <c r="B12" s="316">
        <v>1</v>
      </c>
      <c r="C12" s="316">
        <v>3</v>
      </c>
      <c r="D12" s="316">
        <v>3</v>
      </c>
      <c r="E12" s="317"/>
      <c r="F12" s="316">
        <v>2</v>
      </c>
      <c r="G12" s="316">
        <v>3</v>
      </c>
      <c r="H12" s="316">
        <v>3</v>
      </c>
      <c r="J12" s="312">
        <v>6</v>
      </c>
      <c r="K12" s="316">
        <v>1</v>
      </c>
      <c r="L12" s="316">
        <v>3</v>
      </c>
      <c r="M12" s="316">
        <v>3</v>
      </c>
      <c r="N12" s="317"/>
      <c r="O12" s="316">
        <v>2</v>
      </c>
      <c r="P12" s="316">
        <v>3</v>
      </c>
      <c r="Q12" s="316">
        <v>3</v>
      </c>
      <c r="S12" s="334">
        <v>46382</v>
      </c>
      <c r="T12" s="398">
        <v>1</v>
      </c>
      <c r="U12" s="411"/>
    </row>
    <row r="13" spans="1:22" ht="14.4">
      <c r="A13" s="312">
        <v>7</v>
      </c>
      <c r="B13" s="316">
        <v>1</v>
      </c>
      <c r="C13" s="316">
        <v>2</v>
      </c>
      <c r="D13" s="316">
        <v>3</v>
      </c>
      <c r="E13" s="317"/>
      <c r="F13" s="316">
        <v>1</v>
      </c>
      <c r="G13" s="316">
        <v>2</v>
      </c>
      <c r="H13" s="316">
        <v>3</v>
      </c>
      <c r="J13" s="312">
        <v>7</v>
      </c>
      <c r="K13" s="316">
        <v>1</v>
      </c>
      <c r="L13" s="316">
        <v>2</v>
      </c>
      <c r="M13" s="316">
        <v>3</v>
      </c>
      <c r="N13" s="317"/>
      <c r="O13" s="316">
        <v>1</v>
      </c>
      <c r="P13" s="316">
        <v>2</v>
      </c>
      <c r="Q13" s="316">
        <v>3</v>
      </c>
      <c r="S13" s="334">
        <v>46388</v>
      </c>
      <c r="T13" s="398">
        <v>1</v>
      </c>
      <c r="U13" s="411"/>
    </row>
    <row r="14" spans="1:22" ht="14.4">
      <c r="A14" s="312">
        <v>8</v>
      </c>
      <c r="B14" s="316">
        <v>2</v>
      </c>
      <c r="C14" s="316">
        <v>2</v>
      </c>
      <c r="D14" s="316">
        <v>3</v>
      </c>
      <c r="E14" s="317"/>
      <c r="F14" s="316">
        <v>1</v>
      </c>
      <c r="G14" s="316">
        <v>2</v>
      </c>
      <c r="H14" s="316">
        <v>3</v>
      </c>
      <c r="J14" s="312">
        <v>8</v>
      </c>
      <c r="K14" s="316">
        <v>2</v>
      </c>
      <c r="L14" s="316">
        <v>2</v>
      </c>
      <c r="M14" s="316">
        <v>3</v>
      </c>
      <c r="N14" s="317"/>
      <c r="O14" s="316">
        <v>1</v>
      </c>
      <c r="P14" s="316">
        <v>2</v>
      </c>
      <c r="Q14" s="316">
        <v>3</v>
      </c>
      <c r="S14" s="334">
        <v>46467</v>
      </c>
      <c r="T14" s="398">
        <v>1</v>
      </c>
      <c r="U14" s="411"/>
    </row>
    <row r="15" spans="1:22" ht="14.4">
      <c r="A15" s="312">
        <v>9</v>
      </c>
      <c r="B15" s="316">
        <v>2</v>
      </c>
      <c r="C15" s="316">
        <v>2</v>
      </c>
      <c r="D15" s="316">
        <v>3</v>
      </c>
      <c r="E15" s="317"/>
      <c r="F15" s="316">
        <v>2</v>
      </c>
      <c r="G15" s="316">
        <v>2</v>
      </c>
      <c r="H15" s="316">
        <v>3</v>
      </c>
      <c r="J15" s="312">
        <v>9</v>
      </c>
      <c r="K15" s="316">
        <v>2</v>
      </c>
      <c r="L15" s="316">
        <v>2</v>
      </c>
      <c r="M15" s="316">
        <v>3</v>
      </c>
      <c r="N15" s="317"/>
      <c r="O15" s="316">
        <v>2</v>
      </c>
      <c r="P15" s="316">
        <v>2</v>
      </c>
      <c r="Q15" s="316">
        <v>3</v>
      </c>
      <c r="S15" s="334">
        <v>46468</v>
      </c>
      <c r="T15" s="398">
        <v>7</v>
      </c>
      <c r="U15" s="334"/>
      <c r="V15" s="398"/>
    </row>
    <row r="16" spans="1:22" ht="14.4">
      <c r="A16" s="312">
        <v>10</v>
      </c>
      <c r="B16" s="316">
        <v>2</v>
      </c>
      <c r="C16" s="316">
        <v>2</v>
      </c>
      <c r="D16" s="316">
        <v>3</v>
      </c>
      <c r="E16" s="317"/>
      <c r="F16" s="316">
        <v>2</v>
      </c>
      <c r="G16" s="316">
        <v>2</v>
      </c>
      <c r="H16" s="316">
        <v>3</v>
      </c>
      <c r="J16" s="312">
        <v>10</v>
      </c>
      <c r="K16" s="316">
        <v>2</v>
      </c>
      <c r="L16" s="316">
        <v>2</v>
      </c>
      <c r="M16" s="316">
        <v>3</v>
      </c>
      <c r="N16" s="317"/>
      <c r="O16" s="316">
        <v>2</v>
      </c>
      <c r="P16" s="316">
        <v>2</v>
      </c>
      <c r="Q16" s="316">
        <v>3</v>
      </c>
      <c r="S16" s="334">
        <v>46472</v>
      </c>
      <c r="T16" s="398">
        <v>1</v>
      </c>
      <c r="U16" s="334"/>
      <c r="V16" s="398"/>
    </row>
    <row r="17" spans="1:22" ht="14.4">
      <c r="A17" s="312">
        <v>11</v>
      </c>
      <c r="B17" s="316">
        <v>2</v>
      </c>
      <c r="C17" s="316">
        <v>2</v>
      </c>
      <c r="D17" s="316">
        <v>3</v>
      </c>
      <c r="E17" s="317"/>
      <c r="F17" s="316">
        <v>2</v>
      </c>
      <c r="G17" s="316">
        <v>2</v>
      </c>
      <c r="H17" s="316">
        <v>3</v>
      </c>
      <c r="J17" s="312">
        <v>11</v>
      </c>
      <c r="K17" s="316">
        <v>2</v>
      </c>
      <c r="L17" s="316">
        <v>2</v>
      </c>
      <c r="M17" s="316">
        <v>3</v>
      </c>
      <c r="N17" s="317"/>
      <c r="O17" s="316">
        <v>2</v>
      </c>
      <c r="P17" s="316">
        <v>2</v>
      </c>
      <c r="Q17" s="316">
        <v>3</v>
      </c>
      <c r="S17" s="334">
        <v>46475</v>
      </c>
      <c r="T17" s="398">
        <v>1</v>
      </c>
      <c r="U17" s="334"/>
      <c r="V17" s="398"/>
    </row>
    <row r="18" spans="1:22" ht="14.4">
      <c r="A18" s="311">
        <v>12</v>
      </c>
      <c r="B18" s="316">
        <v>2</v>
      </c>
      <c r="C18" s="316">
        <v>3</v>
      </c>
      <c r="D18" s="316">
        <v>3</v>
      </c>
      <c r="E18" s="319"/>
      <c r="F18" s="316">
        <v>2</v>
      </c>
      <c r="G18" s="316">
        <v>3</v>
      </c>
      <c r="H18" s="316">
        <v>3</v>
      </c>
      <c r="I18" s="311"/>
      <c r="J18" s="311">
        <v>12</v>
      </c>
      <c r="K18" s="316">
        <v>2</v>
      </c>
      <c r="L18" s="316">
        <v>3</v>
      </c>
      <c r="M18" s="316">
        <v>3</v>
      </c>
      <c r="N18" s="319"/>
      <c r="O18" s="316">
        <v>2</v>
      </c>
      <c r="P18" s="316">
        <v>3</v>
      </c>
      <c r="Q18" s="316">
        <v>3</v>
      </c>
      <c r="S18" s="334">
        <v>46504</v>
      </c>
      <c r="T18" s="398">
        <v>7</v>
      </c>
      <c r="U18" s="334"/>
      <c r="V18" s="398"/>
    </row>
    <row r="19" spans="1:22" ht="14.4">
      <c r="A19" s="311">
        <v>13</v>
      </c>
      <c r="B19" s="316">
        <v>2</v>
      </c>
      <c r="C19" s="316">
        <v>3</v>
      </c>
      <c r="D19" s="316">
        <v>3</v>
      </c>
      <c r="E19" s="319"/>
      <c r="F19" s="316">
        <v>2</v>
      </c>
      <c r="G19" s="316">
        <v>3</v>
      </c>
      <c r="H19" s="316">
        <v>3</v>
      </c>
      <c r="I19" s="311"/>
      <c r="J19" s="311">
        <v>13</v>
      </c>
      <c r="K19" s="316">
        <v>2</v>
      </c>
      <c r="L19" s="316">
        <v>3</v>
      </c>
      <c r="M19" s="316">
        <v>3</v>
      </c>
      <c r="N19" s="319"/>
      <c r="O19" s="316">
        <v>2</v>
      </c>
      <c r="P19" s="316">
        <v>3</v>
      </c>
      <c r="Q19" s="316">
        <v>3</v>
      </c>
      <c r="S19" s="334">
        <v>46508</v>
      </c>
      <c r="T19" s="398">
        <v>7</v>
      </c>
      <c r="U19" s="334"/>
      <c r="V19" s="398"/>
    </row>
    <row r="20" spans="1:22" ht="14.4">
      <c r="A20" s="311">
        <v>14</v>
      </c>
      <c r="B20" s="316">
        <v>2</v>
      </c>
      <c r="C20" s="316">
        <v>3</v>
      </c>
      <c r="D20" s="316">
        <v>3</v>
      </c>
      <c r="E20" s="319"/>
      <c r="F20" s="316">
        <v>2</v>
      </c>
      <c r="G20" s="316">
        <v>3</v>
      </c>
      <c r="H20" s="316">
        <v>3</v>
      </c>
      <c r="I20" s="311"/>
      <c r="J20" s="311">
        <v>14</v>
      </c>
      <c r="K20" s="316">
        <v>2</v>
      </c>
      <c r="L20" s="316">
        <v>3</v>
      </c>
      <c r="M20" s="316">
        <v>3</v>
      </c>
      <c r="N20" s="319"/>
      <c r="O20" s="316">
        <v>2</v>
      </c>
      <c r="P20" s="316">
        <v>3</v>
      </c>
      <c r="Q20" s="316">
        <v>3</v>
      </c>
      <c r="S20" s="334">
        <v>46554</v>
      </c>
      <c r="T20" s="398">
        <v>7</v>
      </c>
      <c r="U20" s="334"/>
      <c r="V20" s="398"/>
    </row>
    <row r="21" spans="1:22" ht="14.4">
      <c r="A21" s="311">
        <v>15</v>
      </c>
      <c r="B21" s="316">
        <v>2</v>
      </c>
      <c r="C21" s="316">
        <v>3</v>
      </c>
      <c r="D21" s="316">
        <v>3</v>
      </c>
      <c r="E21" s="319"/>
      <c r="F21" s="316">
        <v>2</v>
      </c>
      <c r="G21" s="316">
        <v>3</v>
      </c>
      <c r="H21" s="316">
        <v>3</v>
      </c>
      <c r="I21" s="311"/>
      <c r="J21" s="311">
        <v>15</v>
      </c>
      <c r="K21" s="316">
        <v>2</v>
      </c>
      <c r="L21" s="316">
        <v>3</v>
      </c>
      <c r="M21" s="316">
        <v>3</v>
      </c>
      <c r="N21" s="319"/>
      <c r="O21" s="316">
        <v>2</v>
      </c>
      <c r="P21" s="316">
        <v>3</v>
      </c>
      <c r="Q21" s="316">
        <v>3</v>
      </c>
      <c r="U21" s="334"/>
    </row>
    <row r="22" spans="1:22" ht="14.4">
      <c r="A22" s="311">
        <v>16</v>
      </c>
      <c r="B22" s="316">
        <v>2</v>
      </c>
      <c r="C22" s="316">
        <v>3</v>
      </c>
      <c r="D22" s="316">
        <v>3</v>
      </c>
      <c r="E22" s="319"/>
      <c r="F22" s="316">
        <v>2</v>
      </c>
      <c r="G22" s="316">
        <v>3</v>
      </c>
      <c r="H22" s="316">
        <v>3</v>
      </c>
      <c r="I22" s="311"/>
      <c r="J22" s="311">
        <v>16</v>
      </c>
      <c r="K22" s="316">
        <v>2</v>
      </c>
      <c r="L22" s="316">
        <v>3</v>
      </c>
      <c r="M22" s="316">
        <v>3</v>
      </c>
      <c r="N22" s="319"/>
      <c r="O22" s="316">
        <v>2</v>
      </c>
      <c r="P22" s="316">
        <v>3</v>
      </c>
      <c r="Q22" s="316">
        <v>3</v>
      </c>
      <c r="U22" s="334"/>
      <c r="V22" s="398"/>
    </row>
    <row r="23" spans="1:22" ht="14.4">
      <c r="A23" s="311">
        <v>17</v>
      </c>
      <c r="B23" s="316">
        <v>1</v>
      </c>
      <c r="C23" s="316">
        <v>2</v>
      </c>
      <c r="D23" s="316">
        <v>2</v>
      </c>
      <c r="E23" s="319"/>
      <c r="F23" s="316">
        <v>2</v>
      </c>
      <c r="G23" s="316">
        <v>3</v>
      </c>
      <c r="H23" s="316">
        <v>3</v>
      </c>
      <c r="I23" s="311"/>
      <c r="J23" s="311">
        <v>17</v>
      </c>
      <c r="K23" s="316">
        <v>1</v>
      </c>
      <c r="L23" s="316">
        <v>2</v>
      </c>
      <c r="M23" s="316">
        <v>2</v>
      </c>
      <c r="N23" s="319"/>
      <c r="O23" s="316">
        <v>2</v>
      </c>
      <c r="P23" s="316">
        <v>3</v>
      </c>
      <c r="Q23" s="316">
        <v>3</v>
      </c>
      <c r="U23" s="334"/>
      <c r="V23" s="398"/>
    </row>
    <row r="24" spans="1:22" ht="14.4">
      <c r="A24" s="311">
        <v>18</v>
      </c>
      <c r="B24" s="316">
        <v>1</v>
      </c>
      <c r="C24" s="316">
        <v>2</v>
      </c>
      <c r="D24" s="316">
        <v>2</v>
      </c>
      <c r="E24" s="319"/>
      <c r="F24" s="316">
        <v>1</v>
      </c>
      <c r="G24" s="316">
        <v>2</v>
      </c>
      <c r="H24" s="316">
        <v>2</v>
      </c>
      <c r="I24" s="311"/>
      <c r="J24" s="311">
        <v>18</v>
      </c>
      <c r="K24" s="316">
        <v>1</v>
      </c>
      <c r="L24" s="316">
        <v>2</v>
      </c>
      <c r="M24" s="316">
        <v>2</v>
      </c>
      <c r="N24" s="319"/>
      <c r="O24" s="316">
        <v>1</v>
      </c>
      <c r="P24" s="316">
        <v>2</v>
      </c>
      <c r="Q24" s="316">
        <v>2</v>
      </c>
      <c r="U24" s="334"/>
      <c r="V24" s="398"/>
    </row>
    <row r="25" spans="1:22" ht="14.4">
      <c r="A25" s="311">
        <v>19</v>
      </c>
      <c r="B25" s="316">
        <v>1</v>
      </c>
      <c r="C25" s="316">
        <v>3</v>
      </c>
      <c r="D25" s="316">
        <v>3</v>
      </c>
      <c r="E25" s="319"/>
      <c r="F25" s="316">
        <v>1</v>
      </c>
      <c r="G25" s="316">
        <v>2</v>
      </c>
      <c r="H25" s="316">
        <v>2</v>
      </c>
      <c r="I25" s="311"/>
      <c r="J25" s="311">
        <v>19</v>
      </c>
      <c r="K25" s="316">
        <v>1</v>
      </c>
      <c r="L25" s="316">
        <v>3</v>
      </c>
      <c r="M25" s="316">
        <v>3</v>
      </c>
      <c r="N25" s="319"/>
      <c r="O25" s="316">
        <v>1</v>
      </c>
      <c r="P25" s="316">
        <v>2</v>
      </c>
      <c r="Q25" s="316">
        <v>2</v>
      </c>
      <c r="U25" s="334"/>
      <c r="V25" s="398"/>
    </row>
    <row r="26" spans="1:22" ht="14.4">
      <c r="A26" s="311">
        <v>20</v>
      </c>
      <c r="B26" s="316">
        <v>2</v>
      </c>
      <c r="C26" s="316">
        <v>3</v>
      </c>
      <c r="D26" s="316">
        <v>3</v>
      </c>
      <c r="E26" s="319"/>
      <c r="F26" s="316">
        <v>1</v>
      </c>
      <c r="G26" s="316">
        <v>3</v>
      </c>
      <c r="H26" s="316">
        <v>3</v>
      </c>
      <c r="I26" s="311"/>
      <c r="J26" s="311">
        <v>20</v>
      </c>
      <c r="K26" s="316">
        <v>2</v>
      </c>
      <c r="L26" s="316">
        <v>3</v>
      </c>
      <c r="M26" s="316">
        <v>3</v>
      </c>
      <c r="N26" s="319"/>
      <c r="O26" s="316">
        <v>1</v>
      </c>
      <c r="P26" s="316">
        <v>3</v>
      </c>
      <c r="Q26" s="316">
        <v>3</v>
      </c>
      <c r="U26" s="334"/>
      <c r="V26" s="398"/>
    </row>
    <row r="27" spans="1:22" ht="14.4">
      <c r="A27" s="311">
        <v>21</v>
      </c>
      <c r="B27" s="316">
        <v>2</v>
      </c>
      <c r="C27" s="316">
        <v>3</v>
      </c>
      <c r="D27" s="316">
        <v>3</v>
      </c>
      <c r="E27" s="319"/>
      <c r="F27" s="316">
        <v>2</v>
      </c>
      <c r="G27" s="316">
        <v>3</v>
      </c>
      <c r="H27" s="316">
        <v>3</v>
      </c>
      <c r="I27" s="311"/>
      <c r="J27" s="311">
        <v>21</v>
      </c>
      <c r="K27" s="316">
        <v>2</v>
      </c>
      <c r="L27" s="316">
        <v>3</v>
      </c>
      <c r="M27" s="316">
        <v>3</v>
      </c>
      <c r="N27" s="319"/>
      <c r="O27" s="316">
        <v>2</v>
      </c>
      <c r="P27" s="316">
        <v>3</v>
      </c>
      <c r="Q27" s="316">
        <v>3</v>
      </c>
      <c r="U27" s="334"/>
      <c r="V27" s="398"/>
    </row>
    <row r="28" spans="1:22" ht="14.4">
      <c r="A28" s="311">
        <v>22</v>
      </c>
      <c r="B28" s="316">
        <v>3</v>
      </c>
      <c r="C28" s="316">
        <v>3</v>
      </c>
      <c r="D28" s="316">
        <v>3</v>
      </c>
      <c r="E28" s="319"/>
      <c r="F28" s="316">
        <v>3</v>
      </c>
      <c r="G28" s="316">
        <v>3</v>
      </c>
      <c r="H28" s="316">
        <v>3</v>
      </c>
      <c r="I28" s="311"/>
      <c r="J28" s="311">
        <v>22</v>
      </c>
      <c r="K28" s="316">
        <v>3</v>
      </c>
      <c r="L28" s="316">
        <v>3</v>
      </c>
      <c r="M28" s="316">
        <v>3</v>
      </c>
      <c r="N28" s="319"/>
      <c r="O28" s="316">
        <v>3</v>
      </c>
      <c r="P28" s="316">
        <v>3</v>
      </c>
      <c r="Q28" s="316">
        <v>3</v>
      </c>
      <c r="U28" s="334"/>
      <c r="V28" s="398"/>
    </row>
    <row r="29" spans="1:22" ht="14.4">
      <c r="A29" s="311">
        <v>23</v>
      </c>
      <c r="B29" s="316">
        <v>3</v>
      </c>
      <c r="C29" s="316">
        <v>3</v>
      </c>
      <c r="D29" s="316">
        <v>3</v>
      </c>
      <c r="E29" s="319"/>
      <c r="F29" s="316">
        <v>3</v>
      </c>
      <c r="G29" s="316">
        <v>3</v>
      </c>
      <c r="H29" s="316">
        <v>3</v>
      </c>
      <c r="I29" s="311"/>
      <c r="J29" s="311">
        <v>23</v>
      </c>
      <c r="K29" s="316">
        <v>3</v>
      </c>
      <c r="L29" s="316">
        <v>3</v>
      </c>
      <c r="M29" s="316">
        <v>3</v>
      </c>
      <c r="N29" s="319"/>
      <c r="O29" s="316">
        <v>3</v>
      </c>
      <c r="P29" s="316">
        <v>3</v>
      </c>
      <c r="Q29" s="316">
        <v>3</v>
      </c>
      <c r="U29" s="334"/>
      <c r="V29" s="398"/>
    </row>
    <row r="30" spans="1:22" ht="14.4">
      <c r="U30" s="334"/>
      <c r="V30" s="398"/>
    </row>
    <row r="31" spans="1:22" ht="14.4">
      <c r="S31" s="396" t="s">
        <v>603</v>
      </c>
      <c r="T31" s="397">
        <v>1</v>
      </c>
      <c r="U31" s="334"/>
      <c r="V31" s="398"/>
    </row>
    <row r="32" spans="1:22" ht="15" thickBot="1">
      <c r="B32" s="312" t="s">
        <v>553</v>
      </c>
      <c r="E32" s="312" t="s">
        <v>554</v>
      </c>
      <c r="F32" s="312" t="s">
        <v>555</v>
      </c>
      <c r="S32" s="396" t="s">
        <v>604</v>
      </c>
      <c r="T32" s="397">
        <v>7</v>
      </c>
      <c r="U32" s="334"/>
      <c r="V32" s="398"/>
    </row>
    <row r="33" spans="2:22" ht="14.4">
      <c r="B33" s="321" t="s">
        <v>569</v>
      </c>
      <c r="E33" s="320" t="s">
        <v>557</v>
      </c>
      <c r="F33" s="320" t="s">
        <v>557</v>
      </c>
      <c r="U33" s="334"/>
      <c r="V33" s="398"/>
    </row>
    <row r="34" spans="2:22" ht="14.4">
      <c r="B34" s="323" t="s">
        <v>605</v>
      </c>
      <c r="E34" s="322" t="s">
        <v>559</v>
      </c>
      <c r="F34" s="322" t="s">
        <v>559</v>
      </c>
    </row>
    <row r="35" spans="2:22" ht="14.4">
      <c r="B35" s="323" t="s">
        <v>606</v>
      </c>
      <c r="E35" s="322" t="str">
        <f>IF(C13="RURAL"," ","≥ 66kV &amp; ≤ 132 kV")</f>
        <v>≥ 66kV &amp; ≤ 132 kV</v>
      </c>
    </row>
    <row r="36" spans="2:22" ht="14.4">
      <c r="B36" s="323" t="s">
        <v>570</v>
      </c>
      <c r="E36" s="325" t="str">
        <f>IF(C13="RURAL"," ","&gt; 132 kV")</f>
        <v>&gt; 132 kV</v>
      </c>
    </row>
    <row r="37" spans="2:22" ht="14.4">
      <c r="B37" s="323" t="s">
        <v>571</v>
      </c>
    </row>
    <row r="38" spans="2:22" ht="15" thickBot="1">
      <c r="B38" s="324" t="s">
        <v>607</v>
      </c>
    </row>
  </sheetData>
  <sheetProtection algorithmName="SHA-512" hashValue="IUwtsmtdmEfh7X0w2jsKKfnWza7VTd7W2gEkAI3fr2V4w7J3uHqEVZ1CJVl2uN2krRqk31AaqcuDnQ5U4HzQHQ==" saltValue="uJ6zldD4Pt/uszaf4hzKXQ==" spinCount="100000" sheet="1" objects="1" scenarios="1"/>
  <mergeCells count="2">
    <mergeCell ref="B1:H1"/>
    <mergeCell ref="K1:Q1"/>
  </mergeCells>
  <conditionalFormatting sqref="E5:E17">
    <cfRule type="cellIs" dxfId="451" priority="46" operator="equal">
      <formula>3</formula>
    </cfRule>
    <cfRule type="cellIs" dxfId="450" priority="47" operator="equal">
      <formula>2</formula>
    </cfRule>
    <cfRule type="cellIs" dxfId="449" priority="48" operator="equal">
      <formula>1</formula>
    </cfRule>
  </conditionalFormatting>
  <conditionalFormatting sqref="N5:N17">
    <cfRule type="cellIs" dxfId="448" priority="43" operator="equal">
      <formula>3</formula>
    </cfRule>
    <cfRule type="cellIs" dxfId="447" priority="44" operator="equal">
      <formula>2</formula>
    </cfRule>
    <cfRule type="cellIs" dxfId="446" priority="45" operator="equal">
      <formula>1</formula>
    </cfRule>
  </conditionalFormatting>
  <conditionalFormatting sqref="E18:E29">
    <cfRule type="cellIs" dxfId="445" priority="40" operator="equal">
      <formula>3</formula>
    </cfRule>
    <cfRule type="cellIs" dxfId="444" priority="41" operator="equal">
      <formula>2</formula>
    </cfRule>
    <cfRule type="cellIs" dxfId="443" priority="42" operator="equal">
      <formula>1</formula>
    </cfRule>
  </conditionalFormatting>
  <conditionalFormatting sqref="N18:N29">
    <cfRule type="cellIs" dxfId="442" priority="37" operator="equal">
      <formula>3</formula>
    </cfRule>
    <cfRule type="cellIs" dxfId="441" priority="38" operator="equal">
      <formula>2</formula>
    </cfRule>
    <cfRule type="cellIs" dxfId="440" priority="39" operator="equal">
      <formula>1</formula>
    </cfRule>
  </conditionalFormatting>
  <conditionalFormatting sqref="F6:H29">
    <cfRule type="cellIs" dxfId="439" priority="34" operator="equal">
      <formula>3</formula>
    </cfRule>
    <cfRule type="cellIs" dxfId="438" priority="35" operator="equal">
      <formula>2</formula>
    </cfRule>
    <cfRule type="cellIs" dxfId="437" priority="36" operator="equal">
      <formula>1</formula>
    </cfRule>
  </conditionalFormatting>
  <conditionalFormatting sqref="B6:D29">
    <cfRule type="cellIs" dxfId="436" priority="25" operator="equal">
      <formula>3</formula>
    </cfRule>
    <cfRule type="cellIs" dxfId="435" priority="26" operator="equal">
      <formula>2</formula>
    </cfRule>
    <cfRule type="cellIs" dxfId="434" priority="27" operator="equal">
      <formula>1</formula>
    </cfRule>
  </conditionalFormatting>
  <conditionalFormatting sqref="F5:H5">
    <cfRule type="cellIs" dxfId="433" priority="19" operator="equal">
      <formula>3</formula>
    </cfRule>
    <cfRule type="cellIs" dxfId="432" priority="20" operator="equal">
      <formula>2</formula>
    </cfRule>
    <cfRule type="cellIs" dxfId="431" priority="21" operator="equal">
      <formula>1</formula>
    </cfRule>
  </conditionalFormatting>
  <conditionalFormatting sqref="B5:D5">
    <cfRule type="cellIs" dxfId="430" priority="16" operator="equal">
      <formula>3</formula>
    </cfRule>
    <cfRule type="cellIs" dxfId="429" priority="17" operator="equal">
      <formula>2</formula>
    </cfRule>
    <cfRule type="cellIs" dxfId="428" priority="18" operator="equal">
      <formula>1</formula>
    </cfRule>
  </conditionalFormatting>
  <conditionalFormatting sqref="K6:M29">
    <cfRule type="cellIs" dxfId="427" priority="10" operator="equal">
      <formula>3</formula>
    </cfRule>
    <cfRule type="cellIs" dxfId="426" priority="11" operator="equal">
      <formula>2</formula>
    </cfRule>
    <cfRule type="cellIs" dxfId="425" priority="12" operator="equal">
      <formula>1</formula>
    </cfRule>
  </conditionalFormatting>
  <conditionalFormatting sqref="K5:M5">
    <cfRule type="cellIs" dxfId="424" priority="7" operator="equal">
      <formula>3</formula>
    </cfRule>
    <cfRule type="cellIs" dxfId="423" priority="8" operator="equal">
      <formula>2</formula>
    </cfRule>
    <cfRule type="cellIs" dxfId="422" priority="9" operator="equal">
      <formula>1</formula>
    </cfRule>
  </conditionalFormatting>
  <conditionalFormatting sqref="O6:Q29">
    <cfRule type="cellIs" dxfId="421" priority="4" operator="equal">
      <formula>3</formula>
    </cfRule>
    <cfRule type="cellIs" dxfId="420" priority="5" operator="equal">
      <formula>2</formula>
    </cfRule>
    <cfRule type="cellIs" dxfId="419" priority="6" operator="equal">
      <formula>1</formula>
    </cfRule>
  </conditionalFormatting>
  <conditionalFormatting sqref="O5:Q5">
    <cfRule type="cellIs" dxfId="418" priority="1" operator="equal">
      <formula>3</formula>
    </cfRule>
    <cfRule type="cellIs" dxfId="417" priority="2" operator="equal">
      <formula>2</formula>
    </cfRule>
    <cfRule type="cellIs" dxfId="416" priority="3" operator="equal">
      <formula>1</formula>
    </cfRule>
  </conditionalFormatting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theme="7" tint="0.39997558519241921"/>
  </sheetPr>
  <dimension ref="B1:CF56"/>
  <sheetViews>
    <sheetView showGridLines="0" zoomScale="85" zoomScaleNormal="85" workbookViewId="0">
      <pane xSplit="4" ySplit="6" topLeftCell="K26" activePane="bottomRight" state="frozen"/>
      <selection activeCell="G29" sqref="G29:H29"/>
      <selection pane="topRight" activeCell="G29" sqref="G29:H29"/>
      <selection pane="bottomLeft" activeCell="G29" sqref="G29:H29"/>
      <selection pane="bottomRight" activeCell="H32" sqref="H32"/>
    </sheetView>
  </sheetViews>
  <sheetFormatPr defaultColWidth="9.28515625" defaultRowHeight="12"/>
  <cols>
    <col min="1" max="2" width="2.7109375" customWidth="1"/>
    <col min="3" max="3" width="35.42578125" bestFit="1" customWidth="1"/>
    <col min="4" max="4" width="14.28515625" customWidth="1"/>
    <col min="5" max="44" width="16" customWidth="1"/>
    <col min="46" max="84" width="16" customWidth="1"/>
  </cols>
  <sheetData>
    <row r="1" spans="2:84" ht="4.05" customHeight="1"/>
    <row r="2" spans="2:84" ht="33" customHeight="1">
      <c r="E2" t="str">
        <f ca="1">Selected_Base_Tariff</f>
        <v>Miniflex</v>
      </c>
      <c r="F2">
        <f ca="1">MATCH(E2,Full_Tariff_List,0)</f>
        <v>18</v>
      </c>
    </row>
    <row r="3" spans="2:84" ht="4.05" customHeight="1"/>
    <row r="4" spans="2:84" ht="15">
      <c r="B4" s="2" t="s">
        <v>203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</row>
    <row r="6" spans="2:84" ht="39.6">
      <c r="B6" s="44" t="s">
        <v>47</v>
      </c>
      <c r="C6" s="34"/>
      <c r="D6" s="34"/>
      <c r="E6" s="43" t="str">
        <f ca="1">E2</f>
        <v>Miniflex</v>
      </c>
      <c r="F6" s="43" t="str">
        <f t="shared" ref="F6:AR6" si="0">INDEX(Full_Tariff_List,F$7,)</f>
        <v>Businessrate 1</v>
      </c>
      <c r="G6" s="43" t="str">
        <f t="shared" si="0"/>
        <v>Businessrate 2</v>
      </c>
      <c r="H6" s="43" t="str">
        <f t="shared" si="0"/>
        <v>Businessrate 3</v>
      </c>
      <c r="I6" s="43" t="str">
        <f t="shared" si="0"/>
        <v>Businessrate 4</v>
      </c>
      <c r="J6" s="43" t="str">
        <f t="shared" si="0"/>
        <v>Homelight 20A</v>
      </c>
      <c r="K6" s="43" t="str">
        <f t="shared" si="0"/>
        <v>Homelight 60A</v>
      </c>
      <c r="L6" s="43" t="str">
        <f t="shared" si="0"/>
        <v>Homepower 1</v>
      </c>
      <c r="M6" s="43" t="str">
        <f t="shared" si="0"/>
        <v>Homepower 2</v>
      </c>
      <c r="N6" s="43" t="str">
        <f t="shared" si="0"/>
        <v>Homepower 3</v>
      </c>
      <c r="O6" s="43" t="str">
        <f t="shared" si="0"/>
        <v>Homepower 4</v>
      </c>
      <c r="P6" s="43" t="str">
        <f t="shared" si="0"/>
        <v>Homepower Bulk</v>
      </c>
      <c r="Q6" s="43" t="str">
        <f t="shared" si="0"/>
        <v>Landrate 1</v>
      </c>
      <c r="R6" s="43" t="str">
        <f t="shared" si="0"/>
        <v>Landrate 2</v>
      </c>
      <c r="S6" s="43" t="str">
        <f t="shared" si="0"/>
        <v>Landrate 3</v>
      </c>
      <c r="T6" s="43" t="str">
        <f t="shared" si="0"/>
        <v>Landrate 4</v>
      </c>
      <c r="U6" s="43" t="str">
        <f t="shared" si="0"/>
        <v>Landrate Dx</v>
      </c>
      <c r="V6" s="43" t="str">
        <f t="shared" si="0"/>
        <v>Megaflex</v>
      </c>
      <c r="W6" s="43" t="str">
        <f t="shared" si="0"/>
        <v>Miniflex</v>
      </c>
      <c r="X6" s="43" t="str">
        <f t="shared" si="0"/>
        <v>Nightsave Urban</v>
      </c>
      <c r="Y6" s="43" t="str">
        <f t="shared" si="0"/>
        <v>Nightsave Rural</v>
      </c>
      <c r="Z6" s="43" t="str">
        <f t="shared" si="0"/>
        <v>Nightsave Small</v>
      </c>
      <c r="AA6" s="43" t="str">
        <f t="shared" si="0"/>
        <v>Ruraflex</v>
      </c>
      <c r="AB6" s="43" t="str">
        <f t="shared" si="0"/>
        <v>Landlight 20A</v>
      </c>
      <c r="AC6" s="43" t="str">
        <f t="shared" si="0"/>
        <v>Landlight 60A</v>
      </c>
      <c r="AD6" s="43" t="str">
        <f t="shared" si="0"/>
        <v>Public Lighting 24 Hours</v>
      </c>
      <c r="AE6" s="43" t="str">
        <f t="shared" si="0"/>
        <v>Public Lighting All Night</v>
      </c>
      <c r="AF6" s="43" t="str">
        <f t="shared" si="0"/>
        <v>Public Lighting Urban Fixed</v>
      </c>
      <c r="AG6" s="43" t="str">
        <f t="shared" si="0"/>
        <v>Municflex</v>
      </c>
      <c r="AH6" s="43" t="str">
        <f t="shared" si="0"/>
        <v>Municrate 1</v>
      </c>
      <c r="AI6" s="43" t="str">
        <f t="shared" si="0"/>
        <v>Municrate 2</v>
      </c>
      <c r="AJ6" s="43" t="str">
        <f t="shared" si="0"/>
        <v>Municrate 3</v>
      </c>
      <c r="AK6" s="43" t="str">
        <f t="shared" si="0"/>
        <v>Municrate 4</v>
      </c>
      <c r="AL6" s="43" t="str">
        <f t="shared" si="0"/>
        <v>Homeflex 1</v>
      </c>
      <c r="AM6" s="43" t="str">
        <f t="shared" si="0"/>
        <v>Homeflex 2</v>
      </c>
      <c r="AN6" s="43" t="str">
        <f t="shared" si="0"/>
        <v>Homeflex 3</v>
      </c>
      <c r="AO6" s="43" t="str">
        <f t="shared" si="0"/>
        <v>Homeflex 4</v>
      </c>
      <c r="AP6" s="43" t="str">
        <f t="shared" si="0"/>
        <v>Transflex 1</v>
      </c>
      <c r="AQ6" s="43" t="str">
        <f t="shared" si="0"/>
        <v>Transflex 2</v>
      </c>
      <c r="AR6" s="43" t="str">
        <f t="shared" si="0"/>
        <v>Nightsave Large</v>
      </c>
      <c r="AT6" s="43" t="str">
        <f ca="1">Selected_Base_Tariff</f>
        <v>Miniflex</v>
      </c>
      <c r="AU6" s="43" t="s">
        <v>166</v>
      </c>
      <c r="AV6" s="43" t="s">
        <v>167</v>
      </c>
      <c r="AW6" s="43" t="s">
        <v>168</v>
      </c>
      <c r="AX6" s="43" t="s">
        <v>169</v>
      </c>
      <c r="AY6" s="43" t="s">
        <v>176</v>
      </c>
      <c r="AZ6" s="43" t="s">
        <v>177</v>
      </c>
      <c r="BA6" s="43" t="s">
        <v>171</v>
      </c>
      <c r="BB6" s="43" t="s">
        <v>172</v>
      </c>
      <c r="BC6" s="43" t="s">
        <v>173</v>
      </c>
      <c r="BD6" s="43" t="s">
        <v>174</v>
      </c>
      <c r="BE6" s="43" t="s">
        <v>344</v>
      </c>
      <c r="BF6" s="43" t="s">
        <v>178</v>
      </c>
      <c r="BG6" s="43" t="s">
        <v>179</v>
      </c>
      <c r="BH6" s="43" t="s">
        <v>180</v>
      </c>
      <c r="BI6" s="43" t="s">
        <v>181</v>
      </c>
      <c r="BJ6" s="43" t="s">
        <v>183</v>
      </c>
      <c r="BK6" s="43" t="s">
        <v>41</v>
      </c>
      <c r="BL6" s="43" t="s">
        <v>42</v>
      </c>
      <c r="BM6" s="43" t="s">
        <v>624</v>
      </c>
      <c r="BN6" s="43" t="s">
        <v>44</v>
      </c>
      <c r="BO6" s="43" t="s">
        <v>45</v>
      </c>
      <c r="BP6" s="43" t="s">
        <v>46</v>
      </c>
      <c r="BQ6" s="43" t="s">
        <v>402</v>
      </c>
      <c r="BR6" s="43" t="s">
        <v>403</v>
      </c>
      <c r="BS6" s="43" t="s">
        <v>348</v>
      </c>
      <c r="BT6" s="43" t="s">
        <v>347</v>
      </c>
      <c r="BU6" s="43" t="s">
        <v>349</v>
      </c>
      <c r="BV6" s="43" t="s">
        <v>465</v>
      </c>
      <c r="BW6" s="43" t="s">
        <v>466</v>
      </c>
      <c r="BX6" s="43" t="s">
        <v>467</v>
      </c>
      <c r="BY6" s="43" t="s">
        <v>468</v>
      </c>
      <c r="BZ6" s="43" t="s">
        <v>469</v>
      </c>
      <c r="CA6" s="43" t="s">
        <v>535</v>
      </c>
      <c r="CB6" s="43" t="s">
        <v>536</v>
      </c>
      <c r="CC6" s="43" t="s">
        <v>537</v>
      </c>
      <c r="CD6" s="43" t="s">
        <v>538</v>
      </c>
      <c r="CE6" s="43" t="s">
        <v>583</v>
      </c>
      <c r="CF6" s="43" t="s">
        <v>584</v>
      </c>
    </row>
    <row r="7" spans="2:84">
      <c r="E7">
        <f ca="1">F2</f>
        <v>18</v>
      </c>
      <c r="F7">
        <v>1</v>
      </c>
      <c r="G7">
        <f>F7+1</f>
        <v>2</v>
      </c>
      <c r="H7">
        <f t="shared" ref="H7:W7" si="1">G7+1</f>
        <v>3</v>
      </c>
      <c r="I7">
        <f t="shared" si="1"/>
        <v>4</v>
      </c>
      <c r="J7">
        <f t="shared" si="1"/>
        <v>5</v>
      </c>
      <c r="K7">
        <f t="shared" si="1"/>
        <v>6</v>
      </c>
      <c r="L7">
        <f t="shared" si="1"/>
        <v>7</v>
      </c>
      <c r="M7">
        <f t="shared" si="1"/>
        <v>8</v>
      </c>
      <c r="N7">
        <f t="shared" si="1"/>
        <v>9</v>
      </c>
      <c r="O7">
        <f t="shared" si="1"/>
        <v>10</v>
      </c>
      <c r="P7">
        <f t="shared" si="1"/>
        <v>11</v>
      </c>
      <c r="Q7">
        <f t="shared" si="1"/>
        <v>12</v>
      </c>
      <c r="R7">
        <f t="shared" si="1"/>
        <v>13</v>
      </c>
      <c r="S7">
        <f t="shared" si="1"/>
        <v>14</v>
      </c>
      <c r="T7">
        <f t="shared" si="1"/>
        <v>15</v>
      </c>
      <c r="U7">
        <f t="shared" si="1"/>
        <v>16</v>
      </c>
      <c r="V7">
        <f>U7+1</f>
        <v>17</v>
      </c>
      <c r="W7">
        <f t="shared" si="1"/>
        <v>18</v>
      </c>
      <c r="X7">
        <f t="shared" ref="X7:AQ7" si="2">W7+1</f>
        <v>19</v>
      </c>
      <c r="Y7">
        <f t="shared" si="2"/>
        <v>20</v>
      </c>
      <c r="Z7">
        <f t="shared" si="2"/>
        <v>21</v>
      </c>
      <c r="AA7">
        <f t="shared" si="2"/>
        <v>22</v>
      </c>
      <c r="AB7">
        <f t="shared" si="2"/>
        <v>23</v>
      </c>
      <c r="AC7">
        <f t="shared" si="2"/>
        <v>24</v>
      </c>
      <c r="AD7">
        <f t="shared" si="2"/>
        <v>25</v>
      </c>
      <c r="AE7">
        <f t="shared" si="2"/>
        <v>26</v>
      </c>
      <c r="AF7">
        <f t="shared" si="2"/>
        <v>27</v>
      </c>
      <c r="AG7">
        <f t="shared" si="2"/>
        <v>28</v>
      </c>
      <c r="AH7">
        <f t="shared" si="2"/>
        <v>29</v>
      </c>
      <c r="AI7">
        <f t="shared" si="2"/>
        <v>30</v>
      </c>
      <c r="AJ7">
        <f t="shared" si="2"/>
        <v>31</v>
      </c>
      <c r="AK7">
        <f t="shared" si="2"/>
        <v>32</v>
      </c>
      <c r="AL7">
        <f t="shared" si="2"/>
        <v>33</v>
      </c>
      <c r="AM7">
        <f t="shared" si="2"/>
        <v>34</v>
      </c>
      <c r="AN7">
        <f t="shared" si="2"/>
        <v>35</v>
      </c>
      <c r="AO7">
        <f t="shared" si="2"/>
        <v>36</v>
      </c>
      <c r="AP7">
        <f t="shared" si="2"/>
        <v>37</v>
      </c>
      <c r="AQ7">
        <f t="shared" si="2"/>
        <v>38</v>
      </c>
      <c r="AR7">
        <f>AQ7+1</f>
        <v>39</v>
      </c>
    </row>
    <row r="8" spans="2:84" ht="30" customHeight="1">
      <c r="B8" s="24" t="s">
        <v>101</v>
      </c>
      <c r="C8" s="24"/>
      <c r="D8" s="23" t="s">
        <v>110</v>
      </c>
      <c r="E8" s="23" t="str">
        <f>Current_Period&amp;" Rates"</f>
        <v>2025/26 Rates</v>
      </c>
      <c r="F8" s="23" t="str">
        <f>E8</f>
        <v>2025/26 Rates</v>
      </c>
      <c r="G8" s="23" t="str">
        <f t="shared" ref="G8:AA8" si="3">F8</f>
        <v>2025/26 Rates</v>
      </c>
      <c r="H8" s="23" t="str">
        <f t="shared" si="3"/>
        <v>2025/26 Rates</v>
      </c>
      <c r="I8" s="23" t="str">
        <f t="shared" si="3"/>
        <v>2025/26 Rates</v>
      </c>
      <c r="J8" s="23" t="str">
        <f t="shared" si="3"/>
        <v>2025/26 Rates</v>
      </c>
      <c r="K8" s="23" t="str">
        <f t="shared" si="3"/>
        <v>2025/26 Rates</v>
      </c>
      <c r="L8" s="23" t="str">
        <f t="shared" si="3"/>
        <v>2025/26 Rates</v>
      </c>
      <c r="M8" s="23" t="str">
        <f t="shared" si="3"/>
        <v>2025/26 Rates</v>
      </c>
      <c r="N8" s="23" t="str">
        <f t="shared" si="3"/>
        <v>2025/26 Rates</v>
      </c>
      <c r="O8" s="23" t="str">
        <f t="shared" si="3"/>
        <v>2025/26 Rates</v>
      </c>
      <c r="P8" s="23" t="str">
        <f t="shared" si="3"/>
        <v>2025/26 Rates</v>
      </c>
      <c r="Q8" s="23" t="str">
        <f t="shared" si="3"/>
        <v>2025/26 Rates</v>
      </c>
      <c r="R8" s="23" t="str">
        <f t="shared" si="3"/>
        <v>2025/26 Rates</v>
      </c>
      <c r="S8" s="23" t="str">
        <f t="shared" si="3"/>
        <v>2025/26 Rates</v>
      </c>
      <c r="T8" s="23" t="str">
        <f t="shared" si="3"/>
        <v>2025/26 Rates</v>
      </c>
      <c r="U8" s="23" t="str">
        <f t="shared" si="3"/>
        <v>2025/26 Rates</v>
      </c>
      <c r="V8" s="23" t="str">
        <f>U8</f>
        <v>2025/26 Rates</v>
      </c>
      <c r="W8" s="23" t="str">
        <f t="shared" si="3"/>
        <v>2025/26 Rates</v>
      </c>
      <c r="X8" s="23" t="str">
        <f t="shared" si="3"/>
        <v>2025/26 Rates</v>
      </c>
      <c r="Y8" s="23" t="str">
        <f t="shared" si="3"/>
        <v>2025/26 Rates</v>
      </c>
      <c r="Z8" s="23" t="str">
        <f t="shared" si="3"/>
        <v>2025/26 Rates</v>
      </c>
      <c r="AA8" s="23" t="str">
        <f t="shared" si="3"/>
        <v>2025/26 Rates</v>
      </c>
      <c r="AB8" s="23" t="str">
        <f t="shared" ref="AB8:AO8" si="4">AA8</f>
        <v>2025/26 Rates</v>
      </c>
      <c r="AC8" s="23" t="str">
        <f t="shared" si="4"/>
        <v>2025/26 Rates</v>
      </c>
      <c r="AD8" s="23" t="str">
        <f t="shared" si="4"/>
        <v>2025/26 Rates</v>
      </c>
      <c r="AE8" s="23" t="str">
        <f t="shared" si="4"/>
        <v>2025/26 Rates</v>
      </c>
      <c r="AF8" s="23" t="str">
        <f t="shared" si="4"/>
        <v>2025/26 Rates</v>
      </c>
      <c r="AG8" s="23" t="str">
        <f t="shared" si="4"/>
        <v>2025/26 Rates</v>
      </c>
      <c r="AH8" s="23" t="str">
        <f t="shared" si="4"/>
        <v>2025/26 Rates</v>
      </c>
      <c r="AI8" s="23" t="str">
        <f t="shared" si="4"/>
        <v>2025/26 Rates</v>
      </c>
      <c r="AJ8" s="23" t="str">
        <f t="shared" si="4"/>
        <v>2025/26 Rates</v>
      </c>
      <c r="AK8" s="23" t="str">
        <f t="shared" si="4"/>
        <v>2025/26 Rates</v>
      </c>
      <c r="AL8" s="23" t="str">
        <f t="shared" si="4"/>
        <v>2025/26 Rates</v>
      </c>
      <c r="AM8" s="23" t="str">
        <f t="shared" si="4"/>
        <v>2025/26 Rates</v>
      </c>
      <c r="AN8" s="23" t="str">
        <f t="shared" si="4"/>
        <v>2025/26 Rates</v>
      </c>
      <c r="AO8" s="23" t="str">
        <f t="shared" si="4"/>
        <v>2025/26 Rates</v>
      </c>
      <c r="AP8" s="23" t="str">
        <f>AO8</f>
        <v>2025/26 Rates</v>
      </c>
      <c r="AQ8" s="23" t="str">
        <f>AP8</f>
        <v>2025/26 Rates</v>
      </c>
      <c r="AR8" s="23" t="str">
        <f>AQ8</f>
        <v>2025/26 Rates</v>
      </c>
      <c r="AT8" s="23" t="str">
        <f>New_Period&amp;" Rates"</f>
        <v>2026/27 Rates</v>
      </c>
      <c r="AU8" s="23" t="str">
        <f>AT8</f>
        <v>2026/27 Rates</v>
      </c>
      <c r="AV8" s="23" t="str">
        <f t="shared" ref="AV8:BP8" si="5">AU8</f>
        <v>2026/27 Rates</v>
      </c>
      <c r="AW8" s="23" t="str">
        <f t="shared" si="5"/>
        <v>2026/27 Rates</v>
      </c>
      <c r="AX8" s="23" t="str">
        <f t="shared" si="5"/>
        <v>2026/27 Rates</v>
      </c>
      <c r="AY8" s="23" t="str">
        <f t="shared" si="5"/>
        <v>2026/27 Rates</v>
      </c>
      <c r="AZ8" s="23" t="str">
        <f t="shared" si="5"/>
        <v>2026/27 Rates</v>
      </c>
      <c r="BA8" s="23" t="str">
        <f t="shared" si="5"/>
        <v>2026/27 Rates</v>
      </c>
      <c r="BB8" s="23" t="str">
        <f t="shared" si="5"/>
        <v>2026/27 Rates</v>
      </c>
      <c r="BC8" s="23" t="str">
        <f t="shared" si="5"/>
        <v>2026/27 Rates</v>
      </c>
      <c r="BD8" s="23" t="str">
        <f t="shared" si="5"/>
        <v>2026/27 Rates</v>
      </c>
      <c r="BE8" s="23" t="str">
        <f t="shared" si="5"/>
        <v>2026/27 Rates</v>
      </c>
      <c r="BF8" s="23" t="str">
        <f t="shared" si="5"/>
        <v>2026/27 Rates</v>
      </c>
      <c r="BG8" s="23" t="str">
        <f t="shared" si="5"/>
        <v>2026/27 Rates</v>
      </c>
      <c r="BH8" s="23" t="str">
        <f t="shared" si="5"/>
        <v>2026/27 Rates</v>
      </c>
      <c r="BI8" s="23" t="str">
        <f t="shared" si="5"/>
        <v>2026/27 Rates</v>
      </c>
      <c r="BJ8" s="23" t="str">
        <f t="shared" si="5"/>
        <v>2026/27 Rates</v>
      </c>
      <c r="BK8" s="23" t="str">
        <f t="shared" si="5"/>
        <v>2026/27 Rates</v>
      </c>
      <c r="BL8" s="23" t="str">
        <f t="shared" si="5"/>
        <v>2026/27 Rates</v>
      </c>
      <c r="BM8" s="23" t="str">
        <f t="shared" si="5"/>
        <v>2026/27 Rates</v>
      </c>
      <c r="BN8" s="23" t="str">
        <f t="shared" si="5"/>
        <v>2026/27 Rates</v>
      </c>
      <c r="BO8" s="23" t="str">
        <f t="shared" si="5"/>
        <v>2026/27 Rates</v>
      </c>
      <c r="BP8" s="23" t="str">
        <f t="shared" si="5"/>
        <v>2026/27 Rates</v>
      </c>
      <c r="BQ8" s="23" t="str">
        <f t="shared" ref="BQ8:CD8" si="6">BP8</f>
        <v>2026/27 Rates</v>
      </c>
      <c r="BR8" s="23" t="str">
        <f t="shared" si="6"/>
        <v>2026/27 Rates</v>
      </c>
      <c r="BS8" s="23" t="str">
        <f t="shared" si="6"/>
        <v>2026/27 Rates</v>
      </c>
      <c r="BT8" s="23" t="str">
        <f t="shared" si="6"/>
        <v>2026/27 Rates</v>
      </c>
      <c r="BU8" s="23" t="str">
        <f t="shared" si="6"/>
        <v>2026/27 Rates</v>
      </c>
      <c r="BV8" s="23" t="str">
        <f t="shared" si="6"/>
        <v>2026/27 Rates</v>
      </c>
      <c r="BW8" s="23" t="str">
        <f t="shared" si="6"/>
        <v>2026/27 Rates</v>
      </c>
      <c r="BX8" s="23" t="str">
        <f t="shared" si="6"/>
        <v>2026/27 Rates</v>
      </c>
      <c r="BY8" s="23" t="str">
        <f t="shared" si="6"/>
        <v>2026/27 Rates</v>
      </c>
      <c r="BZ8" s="23" t="str">
        <f t="shared" si="6"/>
        <v>2026/27 Rates</v>
      </c>
      <c r="CA8" s="23" t="str">
        <f t="shared" si="6"/>
        <v>2026/27 Rates</v>
      </c>
      <c r="CB8" s="23" t="str">
        <f t="shared" si="6"/>
        <v>2026/27 Rates</v>
      </c>
      <c r="CC8" s="23" t="str">
        <f t="shared" si="6"/>
        <v>2026/27 Rates</v>
      </c>
      <c r="CD8" s="23" t="str">
        <f t="shared" si="6"/>
        <v>2026/27 Rates</v>
      </c>
      <c r="CE8" s="23" t="str">
        <f>CD8</f>
        <v>2026/27 Rates</v>
      </c>
      <c r="CF8" s="23" t="str">
        <f>CE8</f>
        <v>2026/27 Rates</v>
      </c>
    </row>
    <row r="9" spans="2:84" ht="4.05" customHeight="1"/>
    <row r="10" spans="2:84" s="138" customFormat="1">
      <c r="C10" s="138" t="s">
        <v>98</v>
      </c>
      <c r="D10" s="139" t="s">
        <v>115</v>
      </c>
      <c r="E10" s="140">
        <f ca="1">INDEX(F10:AR10,0,$F$2)</f>
        <v>0</v>
      </c>
      <c r="F10" s="141">
        <f ca="1">IFERROR('Rates Table'!F10*(IF(Inputs!$G$29="No",High_Utilised_Capacity,High_Utilised_Capacity_Exist_TOU)),0)</f>
        <v>0</v>
      </c>
      <c r="G10" s="141">
        <f ca="1">IFERROR('Rates Table'!G10*(IF(Inputs!$G$29="No",High_Utilised_Capacity,High_Utilised_Capacity_Exist_TOU)),0)</f>
        <v>0</v>
      </c>
      <c r="H10" s="141">
        <f ca="1">IFERROR('Rates Table'!H10*(IF(Inputs!$G$29="No",High_Utilised_Capacity,High_Utilised_Capacity_Exist_TOU)),0)</f>
        <v>0</v>
      </c>
      <c r="I10" s="141">
        <f ca="1">IFERROR('Rates Table'!I10*(IF(Inputs!$G$29="No",High_Utilised_Capacity,High_Utilised_Capacity_Exist_TOU)),0)</f>
        <v>0</v>
      </c>
      <c r="J10" s="141">
        <f ca="1">IFERROR('Rates Table'!J10*(IF(Inputs!$G$29="No",High_Utilised_Capacity,High_Utilised_Capacity_Exist_TOU)),0)</f>
        <v>0</v>
      </c>
      <c r="K10" s="141">
        <f ca="1">IFERROR('Rates Table'!K10*(IF(Inputs!$G$29="No",High_Utilised_Capacity,High_Utilised_Capacity_Exist_TOU)),0)</f>
        <v>0</v>
      </c>
      <c r="L10" s="141">
        <f ca="1">IFERROR('Rates Table'!L10*(IF(Inputs!$G$29="No",High_Utilised_Capacity,High_Utilised_Capacity_Exist_TOU)),0)</f>
        <v>0</v>
      </c>
      <c r="M10" s="141">
        <f ca="1">IFERROR('Rates Table'!M10*(IF(Inputs!$G$29="No",High_Utilised_Capacity,High_Utilised_Capacity_Exist_TOU)),0)</f>
        <v>0</v>
      </c>
      <c r="N10" s="141">
        <f ca="1">IFERROR('Rates Table'!N10*(IF(Inputs!$G$29="No",High_Utilised_Capacity,High_Utilised_Capacity_Exist_TOU)),0)</f>
        <v>0</v>
      </c>
      <c r="O10" s="141">
        <f ca="1">IFERROR('Rates Table'!O10*(IF(Inputs!$G$29="No",High_Utilised_Capacity,High_Utilised_Capacity_Exist_TOU)),0)</f>
        <v>0</v>
      </c>
      <c r="P10" s="141">
        <f ca="1">IFERROR('Rates Table'!P10*(IF(Inputs!$G$29="No",High_Utilised_Capacity,High_Utilised_Capacity_Exist_TOU)),0)</f>
        <v>0</v>
      </c>
      <c r="Q10" s="141">
        <f ca="1">IFERROR('Rates Table'!Q10*(IF(Inputs!$G$29="No",High_Utilised_Capacity,High_Utilised_Capacity_Exist_TOU)),0)</f>
        <v>0</v>
      </c>
      <c r="R10" s="141">
        <f ca="1">IFERROR('Rates Table'!R10*(IF(Inputs!$G$29="No",High_Utilised_Capacity,High_Utilised_Capacity_Exist_TOU)),0)</f>
        <v>0</v>
      </c>
      <c r="S10" s="141">
        <f ca="1">IFERROR('Rates Table'!S10*(IF(Inputs!$G$29="No",High_Utilised_Capacity,High_Utilised_Capacity_Exist_TOU)),0)</f>
        <v>0</v>
      </c>
      <c r="T10" s="141">
        <f ca="1">IFERROR('Rates Table'!T10*(IF(Inputs!$G$29="No",High_Utilised_Capacity,High_Utilised_Capacity_Exist_TOU)),0)</f>
        <v>0</v>
      </c>
      <c r="U10" s="141">
        <f ca="1">IFERROR('Rates Table'!U10*(IF(Inputs!$G$29="No",High_Utilised_Capacity,High_Utilised_Capacity_Exist_TOU)),0)</f>
        <v>0</v>
      </c>
      <c r="V10" s="141">
        <f ca="1">IFERROR('Rates Table'!V10*(IF(Inputs!$G$29="No",High_Utilised_Capacity,High_Utilised_Capacity_Exist_TOU)),0)</f>
        <v>0</v>
      </c>
      <c r="W10" s="141">
        <f ca="1">IFERROR('Rates Table'!W10*(IF(Inputs!$G$29="No",High_Utilised_Capacity,High_Utilised_Capacity_Exist_TOU)),0)</f>
        <v>0</v>
      </c>
      <c r="X10" s="141">
        <f ca="1">IF(OR(E2="Nightsave Large",E2="Nightsave Small"),E10,IFERROR('Rates Table'!X10*(IF(Inputs!$G$29="No",High_Utilised_Capacity,High_Utilised_Capacity_Exist_TOU)),0))</f>
        <v>0</v>
      </c>
      <c r="Y10" s="141">
        <f ca="1">IFERROR('Rates Table'!Y10*(IF(Inputs!$G$29="No",High_Utilised_Capacity,High_Utilised_Capacity_Exist_TOU)),0)</f>
        <v>0</v>
      </c>
      <c r="Z10" s="141">
        <f ca="1">IFERROR('Rates Table'!Z10*(IF(Inputs!$G$29="No",High_Utilised_Capacity,High_Utilised_Capacity_Exist_TOU)),0)</f>
        <v>0</v>
      </c>
      <c r="AA10" s="141">
        <f ca="1">IFERROR('Rates Table'!AA10*(IF(Inputs!$G$29="No",High_Utilised_Capacity,High_Utilised_Capacity_Exist_TOU)),0)</f>
        <v>0</v>
      </c>
      <c r="AB10" s="141">
        <f ca="1">IFERROR('Rates Table'!AB10*(IF(Inputs!$G$29="No",High_Utilised_Capacity,High_Utilised_Capacity_Exist_TOU)),0)</f>
        <v>0</v>
      </c>
      <c r="AC10" s="141">
        <f ca="1">IFERROR('Rates Table'!AC10*(IF(Inputs!$G$29="No",High_Utilised_Capacity,High_Utilised_Capacity_Exist_TOU)),0)</f>
        <v>0</v>
      </c>
      <c r="AD10" s="141">
        <f ca="1">IFERROR('Rates Table'!AD10*(IF(Inputs!$G$29="No",High_Utilised_Capacity,High_Utilised_Capacity_Exist_TOU)),0)</f>
        <v>0</v>
      </c>
      <c r="AE10" s="141">
        <f ca="1">IFERROR('Rates Table'!AE10*(IF(Inputs!$G$29="No",High_Utilised_Capacity,High_Utilised_Capacity_Exist_TOU)),0)</f>
        <v>0</v>
      </c>
      <c r="AF10" s="141">
        <f ca="1">IFERROR('Rates Table'!AF10*(IF(Inputs!$G$29="No",High_Utilised_Capacity,High_Utilised_Capacity_Exist_TOU)),0)</f>
        <v>0</v>
      </c>
      <c r="AG10" s="141">
        <f ca="1">IFERROR('Rates Table'!AG10*(IF(Inputs!$G$29="No",High_Utilised_Capacity,High_Utilised_Capacity_Exist_TOU)),0)</f>
        <v>0</v>
      </c>
      <c r="AH10" s="141">
        <f ca="1">IFERROR('Rates Table'!AH10*(IF(Inputs!$G$29="No",High_Utilised_Capacity,High_Utilised_Capacity_Exist_TOU)),0)</f>
        <v>0</v>
      </c>
      <c r="AI10" s="141">
        <f ca="1">IFERROR('Rates Table'!AI10*(IF(Inputs!$G$29="No",High_Utilised_Capacity,High_Utilised_Capacity_Exist_TOU)),0)</f>
        <v>0</v>
      </c>
      <c r="AJ10" s="141">
        <f ca="1">IFERROR('Rates Table'!AJ10*(IF(Inputs!$G$29="No",High_Utilised_Capacity,High_Utilised_Capacity_Exist_TOU)),0)</f>
        <v>0</v>
      </c>
      <c r="AK10" s="141">
        <f ca="1">IFERROR('Rates Table'!AK10*(IF(Inputs!$G$29="No",High_Utilised_Capacity,High_Utilised_Capacity_Exist_TOU)),0)</f>
        <v>0</v>
      </c>
      <c r="AL10" s="141">
        <f ca="1">IFERROR('Rates Table'!AL10*(IF(Inputs!$G$29="No",High_Utilised_Capacity,High_Utilised_Capacity_Exist_TOU)),0)</f>
        <v>0</v>
      </c>
      <c r="AM10" s="141">
        <f ca="1">IFERROR('Rates Table'!AM10*(IF(Inputs!$G$29="No",High_Utilised_Capacity,High_Utilised_Capacity_Exist_TOU)),0)</f>
        <v>0</v>
      </c>
      <c r="AN10" s="141">
        <f ca="1">IFERROR('Rates Table'!AN10*(IF(Inputs!$G$29="No",High_Utilised_Capacity,High_Utilised_Capacity_Exist_TOU)),0)</f>
        <v>0</v>
      </c>
      <c r="AO10" s="141">
        <f ca="1">IFERROR('Rates Table'!AO10*(IF(Inputs!$G$29="No",High_Utilised_Capacity,High_Utilised_Capacity_Exist_TOU)),0)</f>
        <v>0</v>
      </c>
      <c r="AP10" s="141">
        <f ca="1">IFERROR('Rates Table'!AP10*(IF(Inputs!$G$29="No",High_Utilised_Capacity,High_Utilised_Capacity_Exist_TOU)),0)</f>
        <v>0</v>
      </c>
      <c r="AQ10" s="141">
        <f ca="1">IFERROR('Rates Table'!AQ10*(IF(Inputs!$G$29="No",High_Utilised_Capacity,High_Utilised_Capacity_Exist_TOU)),0)</f>
        <v>0</v>
      </c>
      <c r="AR10" s="141">
        <f ca="1">IFERROR('Rates Table'!AR10*(IF(Inputs!$G$29="No",High_Utilised_Capacity,High_Utilised_Capacity_Exist_TOU)),0)</f>
        <v>0</v>
      </c>
      <c r="AT10" s="140">
        <f t="shared" ref="AT10:AT16" ca="1" si="7">INDEX(AU10:CF10,0,Selected_Tariff_ID)</f>
        <v>0</v>
      </c>
      <c r="AU10" s="141">
        <f ca="1">IFERROR('Rates Table'!AU10*(IF(Inputs!$G$29="No",High_Utilised_Capacity,High_Utilised_Capacity_New_TOU)),0)</f>
        <v>0</v>
      </c>
      <c r="AV10" s="141">
        <f ca="1">IFERROR('Rates Table'!AV10*(IF(Inputs!$G$29="No",High_Utilised_Capacity,High_Utilised_Capacity_New_TOU)),0)</f>
        <v>0</v>
      </c>
      <c r="AW10" s="141">
        <f ca="1">IFERROR('Rates Table'!AW10*(IF(Inputs!$G$29="No",High_Utilised_Capacity,High_Utilised_Capacity_New_TOU)),0)</f>
        <v>0</v>
      </c>
      <c r="AX10" s="141">
        <f ca="1">IFERROR('Rates Table'!AX10*(IF(Inputs!$G$29="No",High_Utilised_Capacity,High_Utilised_Capacity_New_TOU)),0)</f>
        <v>0</v>
      </c>
      <c r="AY10" s="141">
        <f ca="1">IFERROR('Rates Table'!AY10*(IF(Inputs!$G$29="No",High_Utilised_Capacity,High_Utilised_Capacity_New_TOU)),0)</f>
        <v>0</v>
      </c>
      <c r="AZ10" s="141">
        <f ca="1">IFERROR('Rates Table'!AZ10*(IF(Inputs!$G$29="No",High_Utilised_Capacity,High_Utilised_Capacity_New_TOU)),0)</f>
        <v>0</v>
      </c>
      <c r="BA10" s="141">
        <f ca="1">IFERROR('Rates Table'!BA10*(IF(Inputs!$G$29="No",High_Utilised_Capacity,High_Utilised_Capacity_New_TOU)),0)</f>
        <v>0</v>
      </c>
      <c r="BB10" s="141">
        <f ca="1">IFERROR('Rates Table'!BB10*(IF(Inputs!$G$29="No",High_Utilised_Capacity,High_Utilised_Capacity_New_TOU)),0)</f>
        <v>0</v>
      </c>
      <c r="BC10" s="141">
        <f ca="1">IFERROR('Rates Table'!BC10*(IF(Inputs!$G$29="No",High_Utilised_Capacity,High_Utilised_Capacity_New_TOU)),0)</f>
        <v>0</v>
      </c>
      <c r="BD10" s="141">
        <f ca="1">IFERROR('Rates Table'!BD10*(IF(Inputs!$G$29="No",High_Utilised_Capacity,High_Utilised_Capacity_New_TOU)),0)</f>
        <v>0</v>
      </c>
      <c r="BE10" s="141">
        <f ca="1">IFERROR('Rates Table'!BE10*(IF(Inputs!$G$29="No",High_Utilised_Capacity,High_Utilised_Capacity_New_TOU)),0)</f>
        <v>0</v>
      </c>
      <c r="BF10" s="141">
        <f ca="1">IFERROR('Rates Table'!BF10*(IF(Inputs!$G$29="No",High_Utilised_Capacity,High_Utilised_Capacity_New_TOU)),0)</f>
        <v>0</v>
      </c>
      <c r="BG10" s="141">
        <f ca="1">IFERROR('Rates Table'!BG10*(IF(Inputs!$G$29="No",High_Utilised_Capacity,High_Utilised_Capacity_New_TOU)),0)</f>
        <v>0</v>
      </c>
      <c r="BH10" s="141">
        <f ca="1">IFERROR('Rates Table'!BH10*(IF(Inputs!$G$29="No",High_Utilised_Capacity,High_Utilised_Capacity_New_TOU)),0)</f>
        <v>0</v>
      </c>
      <c r="BI10" s="141">
        <f ca="1">IFERROR('Rates Table'!BI10*(IF(Inputs!$G$29="No",High_Utilised_Capacity,High_Utilised_Capacity_New_TOU)),0)</f>
        <v>0</v>
      </c>
      <c r="BJ10" s="141">
        <f ca="1">IFERROR('Rates Table'!BJ10*(IF(Inputs!$G$29="No",High_Utilised_Capacity,High_Utilised_Capacity_New_TOU)),0)</f>
        <v>0</v>
      </c>
      <c r="BK10" s="141">
        <f ca="1">IFERROR('Rates Table'!BK10*(IF(Inputs!$G$29="No",High_Utilised_Capacity,High_Utilised_Capacity_New_TOU)),0)</f>
        <v>0</v>
      </c>
      <c r="BL10" s="141">
        <f ca="1">IFERROR('Rates Table'!BL10*(IF(Inputs!$G$29="No",High_Utilised_Capacity,High_Utilised_Capacity_New_TOU)),0)</f>
        <v>0</v>
      </c>
      <c r="BM10" s="141">
        <f ca="1">IFERROR('Rates Table'!BM10*(IF(Inputs!$G$29="No",High_Utilised_Capacity,High_Utilised_Capacity_New_TOU)),0)</f>
        <v>0</v>
      </c>
      <c r="BN10" s="141">
        <f ca="1">IFERROR('Rates Table'!BN10*(IF(Inputs!$G$29="No",High_Utilised_Capacity,High_Utilised_Capacity_New_TOU)),0)</f>
        <v>0</v>
      </c>
      <c r="BO10" s="141">
        <f ca="1">IFERROR('Rates Table'!BO10*(IF(Inputs!$G$29="No",High_Utilised_Capacity,High_Utilised_Capacity_New_TOU)),0)</f>
        <v>0</v>
      </c>
      <c r="BP10" s="141">
        <f ca="1">IFERROR('Rates Table'!BP10*(IF(Inputs!$G$29="No",High_Utilised_Capacity,High_Utilised_Capacity_New_TOU)),0)</f>
        <v>0</v>
      </c>
      <c r="BQ10" s="141">
        <f ca="1">IFERROR('Rates Table'!BQ10*(IF(Inputs!$G$29="No",High_Utilised_Capacity,High_Utilised_Capacity_New_TOU)),0)</f>
        <v>0</v>
      </c>
      <c r="BR10" s="141">
        <f ca="1">IFERROR('Rates Table'!BR10*(IF(Inputs!$G$29="No",High_Utilised_Capacity,High_Utilised_Capacity_New_TOU)),0)</f>
        <v>0</v>
      </c>
      <c r="BS10" s="141">
        <f ca="1">IFERROR('Rates Table'!BS10*(IF(Inputs!$G$29="No",High_Utilised_Capacity,High_Utilised_Capacity_New_TOU)),0)</f>
        <v>0</v>
      </c>
      <c r="BT10" s="141">
        <f ca="1">IFERROR('Rates Table'!BT10*(IF(Inputs!$G$29="No",High_Utilised_Capacity,High_Utilised_Capacity_New_TOU)),0)</f>
        <v>0</v>
      </c>
      <c r="BU10" s="141">
        <f ca="1">IFERROR('Rates Table'!BU10*(IF(Inputs!$G$29="No",High_Utilised_Capacity,High_Utilised_Capacity_New_TOU)),0)</f>
        <v>0</v>
      </c>
      <c r="BV10" s="141">
        <f ca="1">IFERROR('Rates Table'!BV10*(IF(Inputs!$G$29="No",High_Utilised_Capacity,High_Utilised_Capacity_New_TOU)),0)</f>
        <v>0</v>
      </c>
      <c r="BW10" s="141">
        <f ca="1">IFERROR('Rates Table'!BW10*(IF(Inputs!$G$29="No",High_Utilised_Capacity,High_Utilised_Capacity_New_TOU)),0)</f>
        <v>0</v>
      </c>
      <c r="BX10" s="141">
        <f ca="1">IFERROR('Rates Table'!BX10*(IF(Inputs!$G$29="No",High_Utilised_Capacity,High_Utilised_Capacity_New_TOU)),0)</f>
        <v>0</v>
      </c>
      <c r="BY10" s="141">
        <f ca="1">IFERROR('Rates Table'!BY10*(IF(Inputs!$G$29="No",High_Utilised_Capacity,High_Utilised_Capacity_New_TOU)),0)</f>
        <v>0</v>
      </c>
      <c r="BZ10" s="141">
        <f ca="1">IFERROR('Rates Table'!BZ10*(IF(Inputs!$G$29="No",High_Utilised_Capacity,High_Utilised_Capacity_New_TOU)),0)</f>
        <v>0</v>
      </c>
      <c r="CA10" s="141">
        <f ca="1">IFERROR('Rates Table'!CA10*(IF(Inputs!$G$29="No",High_Utilised_Capacity,High_Utilised_Capacity_New_TOU)),0)</f>
        <v>0</v>
      </c>
      <c r="CB10" s="141">
        <f ca="1">IFERROR('Rates Table'!CB10*(IF(Inputs!$G$29="No",High_Utilised_Capacity,High_Utilised_Capacity_New_TOU)),0)</f>
        <v>0</v>
      </c>
      <c r="CC10" s="141">
        <f ca="1">IFERROR('Rates Table'!CC10*(IF(Inputs!$G$29="No",High_Utilised_Capacity,High_Utilised_Capacity_New_TOU)),0)</f>
        <v>0</v>
      </c>
      <c r="CD10" s="141">
        <f ca="1">IFERROR('Rates Table'!CD10*(IF(Inputs!$G$29="No",High_Utilised_Capacity,High_Utilised_Capacity_New_TOU)),0)</f>
        <v>0</v>
      </c>
      <c r="CE10" s="141">
        <f ca="1">IFERROR('Rates Table'!CE10*(IF(Inputs!$G$29="No",High_Utilised_Capacity,High_Utilised_Capacity_New_TOU)),0)</f>
        <v>0</v>
      </c>
      <c r="CF10" s="141">
        <f ca="1">IFERROR('Rates Table'!CF10*(IF(Inputs!$G$29="No",High_Utilised_Capacity,High_Utilised_Capacity_New_TOU)),0)</f>
        <v>0</v>
      </c>
    </row>
    <row r="11" spans="2:84" s="138" customFormat="1">
      <c r="C11" s="138" t="s">
        <v>389</v>
      </c>
      <c r="D11" s="139" t="s">
        <v>115</v>
      </c>
      <c r="E11" s="140">
        <f t="shared" ref="E11:E16" ca="1" si="8">INDEX(F11:AR11,0,$F$2)</f>
        <v>0</v>
      </c>
      <c r="F11" s="141">
        <f ca="1">IFERROR('Rates Table'!F11*(IF(Inputs!$G$29="No",High_Utilised_Capacity,High_Utilised_Capacity_Exist_TOU)),0)</f>
        <v>0</v>
      </c>
      <c r="G11" s="141">
        <f ca="1">IFERROR('Rates Table'!G11*(IF(Inputs!$G$29="No",High_Utilised_Capacity,High_Utilised_Capacity_Exist_TOU)),0)</f>
        <v>0</v>
      </c>
      <c r="H11" s="141">
        <f ca="1">IFERROR('Rates Table'!H11*(IF(Inputs!$G$29="No",High_Utilised_Capacity,High_Utilised_Capacity_Exist_TOU)),0)</f>
        <v>0</v>
      </c>
      <c r="I11" s="141">
        <f ca="1">IFERROR('Rates Table'!I11*(IF(Inputs!$G$29="No",High_Utilised_Capacity,High_Utilised_Capacity_Exist_TOU)),0)</f>
        <v>0</v>
      </c>
      <c r="J11" s="141">
        <f ca="1">IFERROR('Rates Table'!J11*(IF(Inputs!$G$29="No",High_Utilised_Capacity,High_Utilised_Capacity_Exist_TOU)),0)</f>
        <v>0</v>
      </c>
      <c r="K11" s="141">
        <f ca="1">IFERROR('Rates Table'!K11*(IF(Inputs!$G$29="No",High_Utilised_Capacity,High_Utilised_Capacity_Exist_TOU)),0)</f>
        <v>0</v>
      </c>
      <c r="L11" s="141">
        <f ca="1">IFERROR('Rates Table'!L11*(IF(Inputs!$G$29="No",High_Utilised_Capacity,High_Utilised_Capacity_Exist_TOU)),0)</f>
        <v>0</v>
      </c>
      <c r="M11" s="141">
        <f ca="1">IFERROR('Rates Table'!M11*(IF(Inputs!$G$29="No",High_Utilised_Capacity,High_Utilised_Capacity_Exist_TOU)),0)</f>
        <v>0</v>
      </c>
      <c r="N11" s="141">
        <f ca="1">IFERROR('Rates Table'!N11*(IF(Inputs!$G$29="No",High_Utilised_Capacity,High_Utilised_Capacity_Exist_TOU)),0)</f>
        <v>0</v>
      </c>
      <c r="O11" s="141">
        <f ca="1">IFERROR('Rates Table'!O11*(IF(Inputs!$G$29="No",High_Utilised_Capacity,High_Utilised_Capacity_Exist_TOU)),0)</f>
        <v>0</v>
      </c>
      <c r="P11" s="141">
        <f ca="1">IFERROR('Rates Table'!P11*(IF(Inputs!$G$29="No",High_Utilised_Capacity,High_Utilised_Capacity_Exist_TOU)),0)</f>
        <v>0</v>
      </c>
      <c r="Q11" s="141">
        <f ca="1">IFERROR('Rates Table'!Q11*(IF(Inputs!$G$29="No",High_Utilised_Capacity,High_Utilised_Capacity_Exist_TOU)),0)</f>
        <v>0</v>
      </c>
      <c r="R11" s="141">
        <f ca="1">IFERROR('Rates Table'!R11*(IF(Inputs!$G$29="No",High_Utilised_Capacity,High_Utilised_Capacity_Exist_TOU)),0)</f>
        <v>0</v>
      </c>
      <c r="S11" s="141">
        <f ca="1">IFERROR('Rates Table'!S11*(IF(Inputs!$G$29="No",High_Utilised_Capacity,High_Utilised_Capacity_Exist_TOU)),0)</f>
        <v>0</v>
      </c>
      <c r="T11" s="141">
        <f ca="1">IFERROR('Rates Table'!T11*(IF(Inputs!$G$29="No",High_Utilised_Capacity,High_Utilised_Capacity_Exist_TOU)),0)</f>
        <v>0</v>
      </c>
      <c r="U11" s="141">
        <f ca="1">IFERROR('Rates Table'!U11*(IF(Inputs!$G$29="No",High_Utilised_Capacity,High_Utilised_Capacity_Exist_TOU)),0)</f>
        <v>0</v>
      </c>
      <c r="V11" s="141">
        <f ca="1">IFERROR('Rates Table'!V11*(IF(Inputs!$G$29="No",High_Utilised_Capacity,High_Utilised_Capacity_Exist_TOU)),0)</f>
        <v>0</v>
      </c>
      <c r="W11" s="141">
        <f ca="1">IFERROR('Rates Table'!W11*(IF(Inputs!$G$29="No",High_Utilised_Capacity,High_Utilised_Capacity_Exist_TOU)),0)</f>
        <v>0</v>
      </c>
      <c r="X11" s="141">
        <f ca="1">IF(OR(E2="Nightsave Large",E2="Nightsave Small"),E11,IFERROR('Rates Table'!X11*(IF(Inputs!$G$29="No",High_Utilised_Capacity,High_Utilised_Capacity_Exist_TOU)),0))</f>
        <v>0</v>
      </c>
      <c r="Y11" s="141">
        <f ca="1">IFERROR('Rates Table'!Y11*(IF(Inputs!$G$29="No",High_Utilised_Capacity,High_Utilised_Capacity_Exist_TOU)),0)</f>
        <v>0</v>
      </c>
      <c r="Z11" s="141">
        <f ca="1">IFERROR('Rates Table'!Z11*(IF(Inputs!$G$29="No",High_Utilised_Capacity,High_Utilised_Capacity_Exist_TOU)),0)</f>
        <v>0</v>
      </c>
      <c r="AA11" s="141">
        <f ca="1">IFERROR('Rates Table'!AA11*(IF(Inputs!$G$29="No",High_Utilised_Capacity,High_Utilised_Capacity_Exist_TOU)),0)</f>
        <v>0</v>
      </c>
      <c r="AB11" s="141">
        <f ca="1">IFERROR('Rates Table'!AB11*(IF(Inputs!$G$29="No",High_Utilised_Capacity,High_Utilised_Capacity_Exist_TOU)),0)</f>
        <v>0</v>
      </c>
      <c r="AC11" s="141">
        <f ca="1">IFERROR('Rates Table'!AC11*(IF(Inputs!$G$29="No",High_Utilised_Capacity,High_Utilised_Capacity_Exist_TOU)),0)</f>
        <v>0</v>
      </c>
      <c r="AD11" s="141">
        <f ca="1">IFERROR('Rates Table'!AD11*(IF(Inputs!$G$29="No",High_Utilised_Capacity,High_Utilised_Capacity_Exist_TOU)),0)</f>
        <v>0</v>
      </c>
      <c r="AE11" s="141">
        <f ca="1">IFERROR('Rates Table'!AE11*(IF(Inputs!$G$29="No",High_Utilised_Capacity,High_Utilised_Capacity_Exist_TOU)),0)</f>
        <v>0</v>
      </c>
      <c r="AF11" s="141">
        <f ca="1">IFERROR('Rates Table'!AF11*(IF(Inputs!$G$29="No",High_Utilised_Capacity,High_Utilised_Capacity_Exist_TOU)),0)</f>
        <v>0</v>
      </c>
      <c r="AG11" s="141">
        <f ca="1">IFERROR('Rates Table'!AG11*(IF(Inputs!$G$29="No",High_Utilised_Capacity,High_Utilised_Capacity_Exist_TOU)),0)</f>
        <v>0</v>
      </c>
      <c r="AH11" s="141">
        <f ca="1">IFERROR('Rates Table'!AH11*(IF(Inputs!$G$29="No",High_Utilised_Capacity,High_Utilised_Capacity_Exist_TOU)),0)</f>
        <v>0</v>
      </c>
      <c r="AI11" s="141">
        <f ca="1">IFERROR('Rates Table'!AI11*(IF(Inputs!$G$29="No",High_Utilised_Capacity,High_Utilised_Capacity_Exist_TOU)),0)</f>
        <v>0</v>
      </c>
      <c r="AJ11" s="141">
        <f ca="1">IFERROR('Rates Table'!AJ11*(IF(Inputs!$G$29="No",High_Utilised_Capacity,High_Utilised_Capacity_Exist_TOU)),0)</f>
        <v>0</v>
      </c>
      <c r="AK11" s="141">
        <f ca="1">IFERROR('Rates Table'!AK11*(IF(Inputs!$G$29="No",High_Utilised_Capacity,High_Utilised_Capacity_Exist_TOU)),0)</f>
        <v>0</v>
      </c>
      <c r="AL11" s="141">
        <f ca="1">IFERROR('Rates Table'!AL11*(IF(Inputs!$G$29="No",High_Utilised_Capacity,High_Utilised_Capacity_Exist_TOU)),0)</f>
        <v>0</v>
      </c>
      <c r="AM11" s="141">
        <f ca="1">IFERROR('Rates Table'!AM11*(IF(Inputs!$G$29="No",High_Utilised_Capacity,High_Utilised_Capacity_Exist_TOU)),0)</f>
        <v>0</v>
      </c>
      <c r="AN11" s="141">
        <f ca="1">IFERROR('Rates Table'!AN11*(IF(Inputs!$G$29="No",High_Utilised_Capacity,High_Utilised_Capacity_Exist_TOU)),0)</f>
        <v>0</v>
      </c>
      <c r="AO11" s="141">
        <f ca="1">IFERROR('Rates Table'!AO11*(IF(Inputs!$G$29="No",High_Utilised_Capacity,High_Utilised_Capacity_Exist_TOU)),0)</f>
        <v>0</v>
      </c>
      <c r="AP11" s="141">
        <f ca="1">IFERROR('Rates Table'!AP11*(IF(Inputs!$G$29="No",High_Utilised_Capacity,High_Utilised_Capacity_Exist_TOU)),0)</f>
        <v>0</v>
      </c>
      <c r="AQ11" s="141">
        <f ca="1">IFERROR('Rates Table'!AQ11*(IF(Inputs!$G$29="No",High_Utilised_Capacity,High_Utilised_Capacity_Exist_TOU)),0)</f>
        <v>0</v>
      </c>
      <c r="AR11" s="141">
        <f ca="1">IFERROR('Rates Table'!AR11*(IF(Inputs!$G$29="No",High_Utilised_Capacity,High_Utilised_Capacity_Exist_TOU)),0)</f>
        <v>0</v>
      </c>
      <c r="AT11" s="140">
        <f t="shared" ca="1" si="7"/>
        <v>0</v>
      </c>
      <c r="AU11" s="141">
        <f ca="1">IFERROR('Rates Table'!AU11*(IF(Inputs!$G$29="No",High_Utilised_Capacity,High_Utilised_Capacity_New_TOU)),0)</f>
        <v>0</v>
      </c>
      <c r="AV11" s="141">
        <f ca="1">IFERROR('Rates Table'!AV11*(IF(Inputs!$G$29="No",High_Utilised_Capacity,High_Utilised_Capacity_New_TOU)),0)</f>
        <v>0</v>
      </c>
      <c r="AW11" s="141">
        <f ca="1">IFERROR('Rates Table'!AW11*(IF(Inputs!$G$29="No",High_Utilised_Capacity,High_Utilised_Capacity_New_TOU)),0)</f>
        <v>0</v>
      </c>
      <c r="AX11" s="141">
        <f ca="1">IFERROR('Rates Table'!AX11*(IF(Inputs!$G$29="No",High_Utilised_Capacity,High_Utilised_Capacity_New_TOU)),0)</f>
        <v>0</v>
      </c>
      <c r="AY11" s="141">
        <f ca="1">IFERROR('Rates Table'!AY11*(IF(Inputs!$G$29="No",High_Utilised_Capacity,High_Utilised_Capacity_New_TOU)),0)</f>
        <v>0</v>
      </c>
      <c r="AZ11" s="141">
        <f ca="1">IFERROR('Rates Table'!AZ11*(IF(Inputs!$G$29="No",High_Utilised_Capacity,High_Utilised_Capacity_New_TOU)),0)</f>
        <v>0</v>
      </c>
      <c r="BA11" s="141">
        <f ca="1">IFERROR('Rates Table'!BA11*(IF(Inputs!$G$29="No",High_Utilised_Capacity,High_Utilised_Capacity_New_TOU)),0)</f>
        <v>0</v>
      </c>
      <c r="BB11" s="141">
        <f ca="1">IFERROR('Rates Table'!BB11*(IF(Inputs!$G$29="No",High_Utilised_Capacity,High_Utilised_Capacity_New_TOU)),0)</f>
        <v>0</v>
      </c>
      <c r="BC11" s="141">
        <f ca="1">IFERROR('Rates Table'!BC11*(IF(Inputs!$G$29="No",High_Utilised_Capacity,High_Utilised_Capacity_New_TOU)),0)</f>
        <v>0</v>
      </c>
      <c r="BD11" s="141">
        <f ca="1">IFERROR('Rates Table'!BD11*(IF(Inputs!$G$29="No",High_Utilised_Capacity,High_Utilised_Capacity_New_TOU)),0)</f>
        <v>0</v>
      </c>
      <c r="BE11" s="141">
        <f ca="1">IFERROR('Rates Table'!BE11*(IF(Inputs!$G$29="No",High_Utilised_Capacity,High_Utilised_Capacity_New_TOU)),0)</f>
        <v>0</v>
      </c>
      <c r="BF11" s="141">
        <f ca="1">IFERROR('Rates Table'!BF11*(IF(Inputs!$G$29="No",High_Utilised_Capacity,High_Utilised_Capacity_New_TOU)),0)</f>
        <v>0</v>
      </c>
      <c r="BG11" s="141">
        <f ca="1">IFERROR('Rates Table'!BG11*(IF(Inputs!$G$29="No",High_Utilised_Capacity,High_Utilised_Capacity_New_TOU)),0)</f>
        <v>0</v>
      </c>
      <c r="BH11" s="141">
        <f ca="1">IFERROR('Rates Table'!BH11*(IF(Inputs!$G$29="No",High_Utilised_Capacity,High_Utilised_Capacity_New_TOU)),0)</f>
        <v>0</v>
      </c>
      <c r="BI11" s="141">
        <f ca="1">IFERROR('Rates Table'!BI11*(IF(Inputs!$G$29="No",High_Utilised_Capacity,High_Utilised_Capacity_New_TOU)),0)</f>
        <v>0</v>
      </c>
      <c r="BJ11" s="141">
        <f ca="1">IFERROR('Rates Table'!BJ11*(IF(Inputs!$G$29="No",High_Utilised_Capacity,High_Utilised_Capacity_New_TOU)),0)</f>
        <v>0</v>
      </c>
      <c r="BK11" s="141">
        <f ca="1">IFERROR('Rates Table'!BK11*(IF(Inputs!$G$29="No",High_Utilised_Capacity,High_Utilised_Capacity_New_TOU)),0)</f>
        <v>0</v>
      </c>
      <c r="BL11" s="141">
        <f ca="1">IFERROR('Rates Table'!BL11*(IF(Inputs!$G$29="No",High_Utilised_Capacity,High_Utilised_Capacity_New_TOU)),0)</f>
        <v>0</v>
      </c>
      <c r="BM11" s="141">
        <f ca="1">IFERROR('Rates Table'!BM11*(IF(Inputs!$G$29="No",High_Utilised_Capacity,High_Utilised_Capacity_New_TOU)),0)</f>
        <v>0</v>
      </c>
      <c r="BN11" s="141">
        <f ca="1">IFERROR('Rates Table'!BN11*(IF(Inputs!$G$29="No",High_Utilised_Capacity,High_Utilised_Capacity_New_TOU)),0)</f>
        <v>0</v>
      </c>
      <c r="BO11" s="141">
        <f ca="1">IFERROR('Rates Table'!BO11*(IF(Inputs!$G$29="No",High_Utilised_Capacity,High_Utilised_Capacity_New_TOU)),0)</f>
        <v>0</v>
      </c>
      <c r="BP11" s="141">
        <f ca="1">IFERROR('Rates Table'!BP11*(IF(Inputs!$G$29="No",High_Utilised_Capacity,High_Utilised_Capacity_New_TOU)),0)</f>
        <v>0</v>
      </c>
      <c r="BQ11" s="141">
        <f ca="1">IFERROR('Rates Table'!BQ11*(IF(Inputs!$G$29="No",High_Utilised_Capacity,High_Utilised_Capacity_New_TOU)),0)</f>
        <v>0</v>
      </c>
      <c r="BR11" s="141">
        <f ca="1">IFERROR('Rates Table'!BR11*(IF(Inputs!$G$29="No",High_Utilised_Capacity,High_Utilised_Capacity_New_TOU)),0)</f>
        <v>0</v>
      </c>
      <c r="BS11" s="141">
        <f ca="1">IFERROR('Rates Table'!BS11*(IF(Inputs!$G$29="No",High_Utilised_Capacity,High_Utilised_Capacity_New_TOU)),0)</f>
        <v>0</v>
      </c>
      <c r="BT11" s="141">
        <f ca="1">IFERROR('Rates Table'!BT11*(IF(Inputs!$G$29="No",High_Utilised_Capacity,High_Utilised_Capacity_New_TOU)),0)</f>
        <v>0</v>
      </c>
      <c r="BU11" s="141">
        <f ca="1">IFERROR('Rates Table'!BU11*(IF(Inputs!$G$29="No",High_Utilised_Capacity,High_Utilised_Capacity_New_TOU)),0)</f>
        <v>0</v>
      </c>
      <c r="BV11" s="141">
        <f ca="1">IFERROR('Rates Table'!BV11*(IF(Inputs!$G$29="No",High_Utilised_Capacity,High_Utilised_Capacity_New_TOU)),0)</f>
        <v>0</v>
      </c>
      <c r="BW11" s="141">
        <f ca="1">IFERROR('Rates Table'!BW11*(IF(Inputs!$G$29="No",High_Utilised_Capacity,High_Utilised_Capacity_New_TOU)),0)</f>
        <v>0</v>
      </c>
      <c r="BX11" s="141">
        <f ca="1">IFERROR('Rates Table'!BX11*(IF(Inputs!$G$29="No",High_Utilised_Capacity,High_Utilised_Capacity_New_TOU)),0)</f>
        <v>0</v>
      </c>
      <c r="BY11" s="141">
        <f ca="1">IFERROR('Rates Table'!BY11*(IF(Inputs!$G$29="No",High_Utilised_Capacity,High_Utilised_Capacity_New_TOU)),0)</f>
        <v>0</v>
      </c>
      <c r="BZ11" s="141">
        <f ca="1">IFERROR('Rates Table'!BZ11*(IF(Inputs!$G$29="No",High_Utilised_Capacity,High_Utilised_Capacity_New_TOU)),0)</f>
        <v>0</v>
      </c>
      <c r="CA11" s="141">
        <f ca="1">IFERROR('Rates Table'!CA11*(IF(Inputs!$G$29="No",High_Utilised_Capacity,High_Utilised_Capacity_New_TOU)),0)</f>
        <v>0</v>
      </c>
      <c r="CB11" s="141">
        <f ca="1">IFERROR('Rates Table'!CB11*(IF(Inputs!$G$29="No",High_Utilised_Capacity,High_Utilised_Capacity_New_TOU)),0)</f>
        <v>0</v>
      </c>
      <c r="CC11" s="141">
        <f ca="1">IFERROR('Rates Table'!CC11*(IF(Inputs!$G$29="No",High_Utilised_Capacity,High_Utilised_Capacity_New_TOU)),0)</f>
        <v>0</v>
      </c>
      <c r="CD11" s="141">
        <f ca="1">IFERROR('Rates Table'!CD11*(IF(Inputs!$G$29="No",High_Utilised_Capacity,High_Utilised_Capacity_New_TOU)),0)</f>
        <v>0</v>
      </c>
      <c r="CE11" s="141">
        <f ca="1">IFERROR('Rates Table'!CE11*(IF(Inputs!$G$29="No",High_Utilised_Capacity,High_Utilised_Capacity_New_TOU)),0)</f>
        <v>0</v>
      </c>
      <c r="CF11" s="141">
        <f ca="1">IFERROR('Rates Table'!CF11*(IF(Inputs!$G$29="No",High_Utilised_Capacity,High_Utilised_Capacity_New_TOU)),0)</f>
        <v>0</v>
      </c>
    </row>
    <row r="12" spans="2:84" s="138" customFormat="1">
      <c r="C12" s="138" t="s">
        <v>99</v>
      </c>
      <c r="D12" s="139" t="s">
        <v>115</v>
      </c>
      <c r="E12" s="140">
        <f t="shared" ca="1" si="8"/>
        <v>0</v>
      </c>
      <c r="F12" s="141">
        <f ca="1">IFERROR('Rates Table'!F12*(IF(Inputs!$G$29="No",High_Demand,High_Demand_Exist_TOU)),0)</f>
        <v>0</v>
      </c>
      <c r="G12" s="141">
        <f ca="1">IFERROR('Rates Table'!G12*(IF(Inputs!$G$29="No",High_Demand,High_Demand_Exist_TOU)),0)</f>
        <v>0</v>
      </c>
      <c r="H12" s="141">
        <f ca="1">IFERROR('Rates Table'!H12*(IF(Inputs!$G$29="No",High_Demand,High_Demand_Exist_TOU)),0)</f>
        <v>0</v>
      </c>
      <c r="I12" s="141">
        <f ca="1">IFERROR('Rates Table'!I12*(IF(Inputs!$G$29="No",High_Demand,High_Demand_Exist_TOU)),0)</f>
        <v>0</v>
      </c>
      <c r="J12" s="141">
        <f ca="1">IFERROR('Rates Table'!J12*(IF(Inputs!$G$29="No",High_Demand,High_Demand_Exist_TOU)),0)</f>
        <v>0</v>
      </c>
      <c r="K12" s="141">
        <f ca="1">IFERROR('Rates Table'!K12*(IF(Inputs!$G$29="No",High_Demand,High_Demand_Exist_TOU)),0)</f>
        <v>0</v>
      </c>
      <c r="L12" s="141">
        <f ca="1">IFERROR('Rates Table'!L12*(IF(Inputs!$G$29="No",High_Demand,High_Demand_Exist_TOU)),0)</f>
        <v>0</v>
      </c>
      <c r="M12" s="141">
        <f ca="1">IFERROR('Rates Table'!M12*(IF(Inputs!$G$29="No",High_Demand,High_Demand_Exist_TOU)),0)</f>
        <v>0</v>
      </c>
      <c r="N12" s="141">
        <f ca="1">IFERROR('Rates Table'!N12*(IF(Inputs!$G$29="No",High_Demand,High_Demand_Exist_TOU)),0)</f>
        <v>0</v>
      </c>
      <c r="O12" s="141">
        <f ca="1">IFERROR('Rates Table'!O12*(IF(Inputs!$G$29="No",High_Demand,High_Demand_Exist_TOU)),0)</f>
        <v>0</v>
      </c>
      <c r="P12" s="141">
        <f ca="1">IFERROR('Rates Table'!P12*(IF(Inputs!$G$29="No",High_Demand,High_Demand_Exist_TOU)),0)</f>
        <v>0</v>
      </c>
      <c r="Q12" s="141">
        <f ca="1">IFERROR('Rates Table'!Q12*(IF(Inputs!$G$29="No",High_Demand,High_Demand_Exist_TOU)),0)</f>
        <v>0</v>
      </c>
      <c r="R12" s="141">
        <f ca="1">IFERROR('Rates Table'!R12*(IF(Inputs!$G$29="No",High_Demand,High_Demand_Exist_TOU)),0)</f>
        <v>0</v>
      </c>
      <c r="S12" s="141">
        <f ca="1">IFERROR('Rates Table'!S12*(IF(Inputs!$G$29="No",High_Demand,High_Demand_Exist_TOU)),0)</f>
        <v>0</v>
      </c>
      <c r="T12" s="141">
        <f ca="1">IFERROR('Rates Table'!T12*(IF(Inputs!$G$29="No",High_Demand,High_Demand_Exist_TOU)),0)</f>
        <v>0</v>
      </c>
      <c r="U12" s="141">
        <f ca="1">IFERROR('Rates Table'!U12*(IF(Inputs!$G$29="No",High_Demand,High_Demand_Exist_TOU)),0)</f>
        <v>0</v>
      </c>
      <c r="V12" s="141">
        <f ca="1">IFERROR('Rates Table'!V12*(IF(Inputs!$G$29="No",High_Demand,High_Demand_Exist_TOU)),0)</f>
        <v>0</v>
      </c>
      <c r="W12" s="141">
        <f ca="1">IFERROR('Rates Table'!W12*(IF(Inputs!$G$29="No",High_Demand,High_Demand_Exist_TOU)),0)</f>
        <v>0</v>
      </c>
      <c r="X12" s="141">
        <f ca="1">IF(OR(E2="Nightsave Large",E2="Nightsave Small"),E12,IFERROR('Rates Table'!X12*(IF(Inputs!$G$29="No",High_Demand,High_Demand_Exist_TOU)),0))</f>
        <v>0</v>
      </c>
      <c r="Y12" s="141">
        <f ca="1">IFERROR('Rates Table'!Y12*(IF(Inputs!$G$29="No",High_Demand,High_Demand_Exist_TOU)),0)</f>
        <v>0</v>
      </c>
      <c r="Z12" s="141">
        <f ca="1">IFERROR('Rates Table'!Z12*(IF(Inputs!$G$29="No",High_Demand,High_Demand_Exist_TOU)),0)</f>
        <v>0</v>
      </c>
      <c r="AA12" s="141">
        <f ca="1">IFERROR('Rates Table'!AA12*(IF(Inputs!$G$29="No",High_Demand,High_Demand_Exist_TOU)),0)</f>
        <v>0</v>
      </c>
      <c r="AB12" s="141">
        <f ca="1">IFERROR('Rates Table'!AB12*(IF(Inputs!$G$29="No",High_Demand,High_Demand_Exist_TOU)),0)</f>
        <v>0</v>
      </c>
      <c r="AC12" s="141">
        <f ca="1">IFERROR('Rates Table'!AC12*(IF(Inputs!$G$29="No",High_Demand,High_Demand_Exist_TOU)),0)</f>
        <v>0</v>
      </c>
      <c r="AD12" s="141">
        <f ca="1">IFERROR('Rates Table'!AD12*(IF(Inputs!$G$29="No",High_Demand,High_Demand_Exist_TOU)),0)</f>
        <v>0</v>
      </c>
      <c r="AE12" s="141">
        <f ca="1">IFERROR('Rates Table'!AE12*(IF(Inputs!$G$29="No",High_Demand,High_Demand_Exist_TOU)),0)</f>
        <v>0</v>
      </c>
      <c r="AF12" s="141">
        <f ca="1">IFERROR('Rates Table'!AF12*(IF(Inputs!$G$29="No",High_Demand,High_Demand_Exist_TOU)),0)</f>
        <v>0</v>
      </c>
      <c r="AG12" s="141">
        <f ca="1">IFERROR('Rates Table'!AG12*(IF(Inputs!$G$29="No",High_Demand,High_Demand_Exist_TOU)),0)</f>
        <v>0</v>
      </c>
      <c r="AH12" s="141">
        <f ca="1">IFERROR('Rates Table'!AH12*(IF(Inputs!$G$29="No",High_Demand,High_Demand_Exist_TOU)),0)</f>
        <v>0</v>
      </c>
      <c r="AI12" s="141">
        <f ca="1">IFERROR('Rates Table'!AI12*(IF(Inputs!$G$29="No",High_Demand,High_Demand_Exist_TOU)),0)</f>
        <v>0</v>
      </c>
      <c r="AJ12" s="141">
        <f ca="1">IFERROR('Rates Table'!AJ12*(IF(Inputs!$G$29="No",High_Demand,High_Demand_Exist_TOU)),0)</f>
        <v>0</v>
      </c>
      <c r="AK12" s="141">
        <f ca="1">IFERROR('Rates Table'!AK12*(IF(Inputs!$G$29="No",High_Demand,High_Demand_Exist_TOU)),0)</f>
        <v>0</v>
      </c>
      <c r="AL12" s="141">
        <f ca="1">IFERROR('Rates Table'!AL12*(IF(Inputs!$G$29="No",High_Demand,High_Demand_Exist_TOU)),0)</f>
        <v>0</v>
      </c>
      <c r="AM12" s="141">
        <f ca="1">IFERROR('Rates Table'!AM12*(IF(Inputs!$G$29="No",High_Demand,High_Demand_Exist_TOU)),0)</f>
        <v>0</v>
      </c>
      <c r="AN12" s="141">
        <f ca="1">IFERROR('Rates Table'!AN12*(IF(Inputs!$G$29="No",High_Demand,High_Demand_Exist_TOU)),0)</f>
        <v>0</v>
      </c>
      <c r="AO12" s="141">
        <f ca="1">IFERROR('Rates Table'!AO12*(IF(Inputs!$G$29="No",High_Demand,High_Demand_Exist_TOU)),0)</f>
        <v>0</v>
      </c>
      <c r="AP12" s="141">
        <f ca="1">IFERROR('Rates Table'!AP12*(IF(Inputs!$G$29="No",High_Demand,High_Demand_Exist_TOU)),0)</f>
        <v>0</v>
      </c>
      <c r="AQ12" s="141">
        <f ca="1">IFERROR('Rates Table'!AQ12*(IF(Inputs!$G$29="No",High_Demand,High_Demand_Exist_TOU)),0)</f>
        <v>0</v>
      </c>
      <c r="AR12" s="141">
        <f ca="1">IFERROR('Rates Table'!AR12*(IF(Inputs!$G$29="No",High_Demand,High_Demand_Exist_TOU)),0)</f>
        <v>0</v>
      </c>
      <c r="AT12" s="140">
        <f t="shared" ca="1" si="7"/>
        <v>0</v>
      </c>
      <c r="AU12" s="141">
        <f ca="1">IFERROR('Rates Table'!AU12*(IF(Inputs!$G$29="No",High_Demand,High_Demand_New_TOU)),0)</f>
        <v>0</v>
      </c>
      <c r="AV12" s="141">
        <f ca="1">IFERROR('Rates Table'!AV12*(IF(Inputs!$G$29="No",High_Demand,High_Demand_New_TOU)),0)</f>
        <v>0</v>
      </c>
      <c r="AW12" s="141">
        <f ca="1">IFERROR('Rates Table'!AW12*(IF(Inputs!$G$29="No",High_Demand,High_Demand_New_TOU)),0)</f>
        <v>0</v>
      </c>
      <c r="AX12" s="141">
        <f ca="1">IFERROR('Rates Table'!AX12*(IF(Inputs!$G$29="No",High_Demand,High_Demand_New_TOU)),0)</f>
        <v>0</v>
      </c>
      <c r="AY12" s="141">
        <f ca="1">IFERROR('Rates Table'!AY12*(IF(Inputs!$G$29="No",High_Demand,High_Demand_New_TOU)),0)</f>
        <v>0</v>
      </c>
      <c r="AZ12" s="141">
        <f ca="1">IFERROR('Rates Table'!AZ12*(IF(Inputs!$G$29="No",High_Demand,High_Demand_New_TOU)),0)</f>
        <v>0</v>
      </c>
      <c r="BA12" s="141">
        <f ca="1">IFERROR('Rates Table'!BA12*(IF(Inputs!$G$29="No",High_Demand,High_Demand_New_TOU)),0)</f>
        <v>0</v>
      </c>
      <c r="BB12" s="141">
        <f ca="1">IFERROR('Rates Table'!BB12*(IF(Inputs!$G$29="No",High_Demand,High_Demand_New_TOU)),0)</f>
        <v>0</v>
      </c>
      <c r="BC12" s="141">
        <f ca="1">IFERROR('Rates Table'!BC12*(IF(Inputs!$G$29="No",High_Demand,High_Demand_New_TOU)),0)</f>
        <v>0</v>
      </c>
      <c r="BD12" s="141">
        <f ca="1">IFERROR('Rates Table'!BD12*(IF(Inputs!$G$29="No",High_Demand,High_Demand_New_TOU)),0)</f>
        <v>0</v>
      </c>
      <c r="BE12" s="141">
        <f ca="1">IFERROR('Rates Table'!BE12*(IF(Inputs!$G$29="No",High_Demand,High_Demand_New_TOU)),0)</f>
        <v>0</v>
      </c>
      <c r="BF12" s="141">
        <f ca="1">IFERROR('Rates Table'!BF12*(IF(Inputs!$G$29="No",High_Demand,High_Demand_New_TOU)),0)</f>
        <v>0</v>
      </c>
      <c r="BG12" s="141">
        <f ca="1">IFERROR('Rates Table'!BG12*(IF(Inputs!$G$29="No",High_Demand,High_Demand_New_TOU)),0)</f>
        <v>0</v>
      </c>
      <c r="BH12" s="141">
        <f ca="1">IFERROR('Rates Table'!BH12*(IF(Inputs!$G$29="No",High_Demand,High_Demand_New_TOU)),0)</f>
        <v>0</v>
      </c>
      <c r="BI12" s="141">
        <f ca="1">IFERROR('Rates Table'!BI12*(IF(Inputs!$G$29="No",High_Demand,High_Demand_New_TOU)),0)</f>
        <v>0</v>
      </c>
      <c r="BJ12" s="141">
        <f ca="1">IFERROR('Rates Table'!BJ12*(IF(Inputs!$G$29="No",High_Demand,High_Demand_New_TOU)),0)</f>
        <v>0</v>
      </c>
      <c r="BK12" s="141">
        <f ca="1">IFERROR('Rates Table'!BK12*(IF(Inputs!$G$29="No",High_Demand,High_Demand_New_TOU)),0)</f>
        <v>0</v>
      </c>
      <c r="BL12" s="141">
        <f ca="1">IFERROR('Rates Table'!BL12*(IF(Inputs!$G$29="No",High_Demand,High_Demand_New_TOU)),0)</f>
        <v>0</v>
      </c>
      <c r="BM12" s="141">
        <f ca="1">IFERROR('Rates Table'!BM12*(IF(Inputs!$G$29="No",High_Demand,High_Demand_New_TOU)),0)</f>
        <v>0</v>
      </c>
      <c r="BN12" s="141">
        <f ca="1">IFERROR('Rates Table'!BN12*(IF(Inputs!$G$29="No",High_Demand,High_Demand_New_TOU)),0)</f>
        <v>0</v>
      </c>
      <c r="BO12" s="141">
        <f ca="1">IFERROR('Rates Table'!BO12*(IF(Inputs!$G$29="No",High_Demand,High_Demand_New_TOU)),0)</f>
        <v>0</v>
      </c>
      <c r="BP12" s="141">
        <f ca="1">IFERROR('Rates Table'!BP12*(IF(Inputs!$G$29="No",High_Demand,High_Demand_New_TOU)),0)</f>
        <v>0</v>
      </c>
      <c r="BQ12" s="141">
        <f ca="1">IFERROR('Rates Table'!BQ12*(IF(Inputs!$G$29="No",High_Demand,High_Demand_New_TOU)),0)</f>
        <v>0</v>
      </c>
      <c r="BR12" s="141">
        <f ca="1">IFERROR('Rates Table'!BR12*(IF(Inputs!$G$29="No",High_Demand,High_Demand_New_TOU)),0)</f>
        <v>0</v>
      </c>
      <c r="BS12" s="141">
        <f ca="1">IFERROR('Rates Table'!BS12*(IF(Inputs!$G$29="No",High_Demand,High_Demand_New_TOU)),0)</f>
        <v>0</v>
      </c>
      <c r="BT12" s="141">
        <f ca="1">IFERROR('Rates Table'!BT12*(IF(Inputs!$G$29="No",High_Demand,High_Demand_New_TOU)),0)</f>
        <v>0</v>
      </c>
      <c r="BU12" s="141">
        <f ca="1">IFERROR('Rates Table'!BU12*(IF(Inputs!$G$29="No",High_Demand,High_Demand_New_TOU)),0)</f>
        <v>0</v>
      </c>
      <c r="BV12" s="141">
        <f ca="1">IFERROR('Rates Table'!BV12*(IF(Inputs!$G$29="No",High_Demand,High_Demand_New_TOU)),0)</f>
        <v>0</v>
      </c>
      <c r="BW12" s="141">
        <f ca="1">IFERROR('Rates Table'!BW12*(IF(Inputs!$G$29="No",High_Demand,High_Demand_New_TOU)),0)</f>
        <v>0</v>
      </c>
      <c r="BX12" s="141">
        <f ca="1">IFERROR('Rates Table'!BX12*(IF(Inputs!$G$29="No",High_Demand,High_Demand_New_TOU)),0)</f>
        <v>0</v>
      </c>
      <c r="BY12" s="141">
        <f ca="1">IFERROR('Rates Table'!BY12*(IF(Inputs!$G$29="No",High_Demand,High_Demand_New_TOU)),0)</f>
        <v>0</v>
      </c>
      <c r="BZ12" s="141">
        <f ca="1">IFERROR('Rates Table'!BZ12*(IF(Inputs!$G$29="No",High_Demand,High_Demand_New_TOU)),0)</f>
        <v>0</v>
      </c>
      <c r="CA12" s="141">
        <f ca="1">IFERROR('Rates Table'!CA12*(IF(Inputs!$G$29="No",High_Demand,High_Demand_New_TOU)),0)</f>
        <v>0</v>
      </c>
      <c r="CB12" s="141">
        <f ca="1">IFERROR('Rates Table'!CB12*(IF(Inputs!$G$29="No",High_Demand,High_Demand_New_TOU)),0)</f>
        <v>0</v>
      </c>
      <c r="CC12" s="141">
        <f ca="1">IFERROR('Rates Table'!CC12*(IF(Inputs!$G$29="No",High_Demand,High_Demand_New_TOU)),0)</f>
        <v>0</v>
      </c>
      <c r="CD12" s="141">
        <f ca="1">IFERROR('Rates Table'!CD12*(IF(Inputs!$G$29="No",High_Demand,High_Demand_New_TOU)),0)</f>
        <v>0</v>
      </c>
      <c r="CE12" s="141">
        <f ca="1">IFERROR('Rates Table'!CE12*(IF(Inputs!$G$29="No",High_Demand,High_Demand_New_TOU)),0)</f>
        <v>0</v>
      </c>
      <c r="CF12" s="141">
        <f ca="1">IFERROR('Rates Table'!CF12*(IF(Inputs!$G$29="No",High_Demand,High_Demand_New_TOU)),0)</f>
        <v>0</v>
      </c>
    </row>
    <row r="13" spans="2:84" s="138" customFormat="1">
      <c r="C13" s="138" t="s">
        <v>99</v>
      </c>
      <c r="D13" s="139" t="s">
        <v>106</v>
      </c>
      <c r="E13" s="140">
        <f t="shared" ca="1" si="8"/>
        <v>0</v>
      </c>
      <c r="F13" s="141">
        <f ca="1">IFERROR(IF(Inputs!$G$29="No",'Rates Table'!F13*IF(F$6="Miniflex",(High_Peak+High_Standard),High_Total_Energy),'Rates Table'!F13*IF(F$6="Miniflex",(High_Peak_Exist_TOU+High_Standard_Exist_TOU),High_Total_Energy_Exist_TOU)),0)/100</f>
        <v>0</v>
      </c>
      <c r="G13" s="141">
        <f ca="1">IFERROR(IF(Inputs!$G$29="No",'Rates Table'!G13*IF(G$6="Miniflex",(High_Peak+High_Standard),High_Total_Energy),'Rates Table'!G13*IF(G$6="Miniflex",(High_Peak_Exist_TOU+High_Standard_Exist_TOU),High_Total_Energy_Exist_TOU)),0)/100</f>
        <v>0</v>
      </c>
      <c r="H13" s="141">
        <f ca="1">IFERROR(IF(Inputs!$G$29="No",'Rates Table'!H13*IF(H$6="Miniflex",(High_Peak+High_Standard),High_Total_Energy),'Rates Table'!H13*IF(H$6="Miniflex",(High_Peak_Exist_TOU+High_Standard_Exist_TOU),High_Total_Energy_Exist_TOU)),0)/100</f>
        <v>0</v>
      </c>
      <c r="I13" s="141">
        <f ca="1">IFERROR(IF(Inputs!$G$29="No",'Rates Table'!I13*IF(I$6="Miniflex",(High_Peak+High_Standard),High_Total_Energy),'Rates Table'!I13*IF(I$6="Miniflex",(High_Peak_Exist_TOU+High_Standard_Exist_TOU),High_Total_Energy_Exist_TOU)),0)/100</f>
        <v>0</v>
      </c>
      <c r="J13" s="141">
        <f ca="1">IFERROR(IF(Inputs!$G$29="No",'Rates Table'!J13*IF(J$6="Miniflex",(High_Peak+High_Standard),High_Total_Energy),'Rates Table'!J13*IF(J$6="Miniflex",(High_Peak_Exist_TOU+High_Standard_Exist_TOU),High_Total_Energy_Exist_TOU)),0)/100</f>
        <v>0</v>
      </c>
      <c r="K13" s="141">
        <f ca="1">IFERROR(IF(Inputs!$G$29="No",'Rates Table'!K13*IF(K$6="Miniflex",(High_Peak+High_Standard),High_Total_Energy),'Rates Table'!K13*IF(K$6="Miniflex",(High_Peak_Exist_TOU+High_Standard_Exist_TOU),High_Total_Energy_Exist_TOU)),0)/100</f>
        <v>0</v>
      </c>
      <c r="L13" s="141">
        <f ca="1">IFERROR(IF(Inputs!$G$29="No",'Rates Table'!L13*IF(L$6="Miniflex",(High_Peak+High_Standard),High_Total_Energy),'Rates Table'!L13*IF(L$6="Miniflex",(High_Peak_Exist_TOU+High_Standard_Exist_TOU),High_Total_Energy_Exist_TOU)),0)/100</f>
        <v>0</v>
      </c>
      <c r="M13" s="141">
        <f ca="1">IFERROR(IF(Inputs!$G$29="No",'Rates Table'!M13*IF(M$6="Miniflex",(High_Peak+High_Standard),High_Total_Energy),'Rates Table'!M13*IF(M$6="Miniflex",(High_Peak_Exist_TOU+High_Standard_Exist_TOU),High_Total_Energy_Exist_TOU)),0)/100</f>
        <v>0</v>
      </c>
      <c r="N13" s="141">
        <f ca="1">IFERROR(IF(Inputs!$G$29="No",'Rates Table'!N13*IF(N$6="Miniflex",(High_Peak+High_Standard),High_Total_Energy),'Rates Table'!N13*IF(N$6="Miniflex",(High_Peak_Exist_TOU+High_Standard_Exist_TOU),High_Total_Energy_Exist_TOU)),0)/100</f>
        <v>0</v>
      </c>
      <c r="O13" s="141">
        <f ca="1">IFERROR(IF(Inputs!$G$29="No",'Rates Table'!O13*IF(O$6="Miniflex",(High_Peak+High_Standard),High_Total_Energy),'Rates Table'!O13*IF(O$6="Miniflex",(High_Peak_Exist_TOU+High_Standard_Exist_TOU),High_Total_Energy_Exist_TOU)),0)/100</f>
        <v>0</v>
      </c>
      <c r="P13" s="141">
        <f ca="1">IFERROR(IF(Inputs!$G$29="No",'Rates Table'!P13*IF(P$6="Miniflex",(High_Peak+High_Standard),High_Total_Energy),'Rates Table'!P13*IF(P$6="Miniflex",(High_Peak_Exist_TOU+High_Standard_Exist_TOU),High_Total_Energy_Exist_TOU)),0)/100</f>
        <v>0</v>
      </c>
      <c r="Q13" s="141">
        <f ca="1">IFERROR(IF(Inputs!$G$29="No",'Rates Table'!Q13*IF(Q$6="Miniflex",(High_Peak+High_Standard),High_Total_Energy),'Rates Table'!Q13*IF(Q$6="Miniflex",(High_Peak_Exist_TOU+High_Standard_Exist_TOU),High_Total_Energy_Exist_TOU)),0)/100</f>
        <v>0</v>
      </c>
      <c r="R13" s="141">
        <f ca="1">IFERROR(IF(Inputs!$G$29="No",'Rates Table'!R13*IF(R$6="Miniflex",(High_Peak+High_Standard),High_Total_Energy),'Rates Table'!R13*IF(R$6="Miniflex",(High_Peak_Exist_TOU+High_Standard_Exist_TOU),High_Total_Energy_Exist_TOU)),0)/100</f>
        <v>0</v>
      </c>
      <c r="S13" s="141">
        <f ca="1">IFERROR(IF(Inputs!$G$29="No",'Rates Table'!S13*IF(S$6="Miniflex",(High_Peak+High_Standard),High_Total_Energy),'Rates Table'!S13*IF(S$6="Miniflex",(High_Peak_Exist_TOU+High_Standard_Exist_TOU),High_Total_Energy_Exist_TOU)),0)/100</f>
        <v>0</v>
      </c>
      <c r="T13" s="141">
        <f ca="1">IFERROR(IF(Inputs!$G$29="No",'Rates Table'!T13*IF(T$6="Miniflex",(High_Peak+High_Standard),High_Total_Energy),'Rates Table'!T13*IF(T$6="Miniflex",(High_Peak_Exist_TOU+High_Standard_Exist_TOU),High_Total_Energy_Exist_TOU)),0)/100</f>
        <v>0</v>
      </c>
      <c r="U13" s="141">
        <f ca="1">IFERROR(IF(Inputs!$G$29="No",'Rates Table'!U13*IF(U$6="Miniflex",(High_Peak+High_Standard),High_Total_Energy),'Rates Table'!U13*IF(U$6="Miniflex",(High_Peak_Exist_TOU+High_Standard_Exist_TOU),High_Total_Energy_Exist_TOU)),0)/100</f>
        <v>0</v>
      </c>
      <c r="V13" s="141">
        <f ca="1">IFERROR(IF(Inputs!$G$29="No",'Rates Table'!V13*IF(V$6="Miniflex",(High_Peak+High_Standard),High_Total_Energy),'Rates Table'!V13*IF(V$6="Miniflex",(High_Peak_Exist_TOU+High_Standard_Exist_TOU),High_Total_Energy_Exist_TOU)),0)/100</f>
        <v>0</v>
      </c>
      <c r="W13" s="141">
        <f ca="1">IFERROR(IF(Inputs!$G$29="No",'Rates Table'!W13*IF(W$6="Miniflex",(High_Peak+High_Standard),High_Total_Energy),'Rates Table'!W13*IF(W$6="Miniflex",(High_Peak_Exist_TOU+High_Standard_Exist_TOU),High_Total_Energy_Exist_TOU)),0)/100</f>
        <v>0</v>
      </c>
      <c r="X13" s="141">
        <f ca="1">IF(OR(E2="Nightsave Large",E2="Nightsave Small"),E13,IFERROR(IF(Inputs!$G$29="No",'Rates Table'!X13*IF(X$6="Miniflex",(High_Peak+High_Standard),High_Total_Energy),'Rates Table'!X13*IF(X$6="Miniflex",(High_Peak_Exist_TOU+High_Standard_Exist_TOU),High_Total_Energy_Exist_TOU)),0)/100)</f>
        <v>0</v>
      </c>
      <c r="Y13" s="141">
        <f ca="1">IFERROR(IF(Inputs!$G$29="No",'Rates Table'!Y13*IF(Y$6="Miniflex",(High_Peak+High_Standard),High_Total_Energy),'Rates Table'!Y13*IF(Y$6="Miniflex",(High_Peak_Exist_TOU+High_Standard_Exist_TOU),High_Total_Energy_Exist_TOU)),0)/100</f>
        <v>0</v>
      </c>
      <c r="Z13" s="141">
        <f ca="1">IFERROR(IF(Inputs!$G$29="No",'Rates Table'!Z13*IF(Z$6="Miniflex",(High_Peak+High_Standard),High_Total_Energy),'Rates Table'!Z13*IF(Z$6="Miniflex",(High_Peak_Exist_TOU+High_Standard_Exist_TOU),High_Total_Energy_Exist_TOU)),0)/100</f>
        <v>0</v>
      </c>
      <c r="AA13" s="141">
        <f ca="1">IFERROR(IF(Inputs!$G$29="No",'Rates Table'!AA13*IF(AA$6="Miniflex",(High_Peak+High_Standard),High_Total_Energy),'Rates Table'!AA13*IF(AA$6="Miniflex",(High_Peak_Exist_TOU+High_Standard_Exist_TOU),High_Total_Energy_Exist_TOU)),0)/100</f>
        <v>0</v>
      </c>
      <c r="AB13" s="141">
        <f ca="1">IFERROR(IF(Inputs!$G$29="No",'Rates Table'!AB13*IF(AB$6="Miniflex",(High_Peak+High_Standard),High_Total_Energy),'Rates Table'!AB13*IF(AB$6="Miniflex",(High_Peak_Exist_TOU+High_Standard_Exist_TOU),High_Total_Energy_Exist_TOU)),0)/100</f>
        <v>0</v>
      </c>
      <c r="AC13" s="141">
        <f ca="1">IFERROR(IF(Inputs!$G$29="No",'Rates Table'!AC13*IF(AC$6="Miniflex",(High_Peak+High_Standard),High_Total_Energy),'Rates Table'!AC13*IF(AC$6="Miniflex",(High_Peak_Exist_TOU+High_Standard_Exist_TOU),High_Total_Energy_Exist_TOU)),0)/100</f>
        <v>0</v>
      </c>
      <c r="AD13" s="141">
        <f ca="1">IFERROR(IF(Inputs!$G$29="No",'Rates Table'!AD13*IF(AD$6="Miniflex",(High_Peak+High_Standard),High_Total_Energy),'Rates Table'!AD13*IF(AD$6="Miniflex",(High_Peak_Exist_TOU+High_Standard_Exist_TOU),High_Total_Energy_Exist_TOU)),0)/100</f>
        <v>0</v>
      </c>
      <c r="AE13" s="141">
        <f ca="1">IFERROR(IF(Inputs!$G$29="No",'Rates Table'!AE13*IF(AE$6="Miniflex",(High_Peak+High_Standard),High_Total_Energy),'Rates Table'!AE13*IF(AE$6="Miniflex",(High_Peak_Exist_TOU+High_Standard_Exist_TOU),High_Total_Energy_Exist_TOU)),0)/100</f>
        <v>0</v>
      </c>
      <c r="AF13" s="141">
        <f ca="1">IFERROR(IF(Inputs!$G$29="No",'Rates Table'!AF13*IF(AF$6="Miniflex",(High_Peak+High_Standard),High_Total_Energy),'Rates Table'!AF13*IF(AF$6="Miniflex",(High_Peak_Exist_TOU+High_Standard_Exist_TOU),High_Total_Energy_Exist_TOU)),0)/100</f>
        <v>0</v>
      </c>
      <c r="AG13" s="141">
        <f ca="1">IFERROR(IF(Inputs!$G$29="No",'Rates Table'!AG13*IF(AG$6="Miniflex",(High_Peak+High_Standard),High_Total_Energy),'Rates Table'!AG13*IF(AG$6="Miniflex",(High_Peak_Exist_TOU+High_Standard_Exist_TOU),High_Total_Energy_Exist_TOU)),0)/100</f>
        <v>0</v>
      </c>
      <c r="AH13" s="141">
        <f ca="1">IFERROR(IF(Inputs!$G$29="No",'Rates Table'!AH13*IF(AH$6="Miniflex",(High_Peak+High_Standard),High_Total_Energy),'Rates Table'!AH13*IF(AH$6="Miniflex",(High_Peak_Exist_TOU+High_Standard_Exist_TOU),High_Total_Energy_Exist_TOU)),0)/100</f>
        <v>0</v>
      </c>
      <c r="AI13" s="141">
        <f ca="1">IFERROR(IF(Inputs!$G$29="No",'Rates Table'!AI13*IF(AI$6="Miniflex",(High_Peak+High_Standard),High_Total_Energy),'Rates Table'!AI13*IF(AI$6="Miniflex",(High_Peak_Exist_TOU+High_Standard_Exist_TOU),High_Total_Energy_Exist_TOU)),0)/100</f>
        <v>0</v>
      </c>
      <c r="AJ13" s="141">
        <f ca="1">IFERROR(IF(Inputs!$G$29="No",'Rates Table'!AJ13*IF(AJ$6="Miniflex",(High_Peak+High_Standard),High_Total_Energy),'Rates Table'!AJ13*IF(AJ$6="Miniflex",(High_Peak_Exist_TOU+High_Standard_Exist_TOU),High_Total_Energy_Exist_TOU)),0)/100</f>
        <v>0</v>
      </c>
      <c r="AK13" s="141">
        <f ca="1">IFERROR(IF(Inputs!$G$29="No",'Rates Table'!AK13*IF(AK$6="Miniflex",(High_Peak+High_Standard),High_Total_Energy),'Rates Table'!AK13*IF(AK$6="Miniflex",(High_Peak_Exist_TOU+High_Standard_Exist_TOU),High_Total_Energy_Exist_TOU)),0)/100</f>
        <v>0</v>
      </c>
      <c r="AL13" s="141">
        <f ca="1">IFERROR(IF(Inputs!$G$29="No",'Rates Table'!AL13*IF(AL$6="Miniflex",(High_Peak+High_Standard),High_Total_Energy),'Rates Table'!AL13*IF(AL$6="Miniflex",(High_Peak_Exist_TOU+High_Standard_Exist_TOU),High_Total_Energy_Exist_TOU)),0)/100</f>
        <v>0</v>
      </c>
      <c r="AM13" s="141">
        <f ca="1">IFERROR(IF(Inputs!$G$29="No",'Rates Table'!AM13*IF(AM$6="Miniflex",(High_Peak+High_Standard),High_Total_Energy),'Rates Table'!AM13*IF(AM$6="Miniflex",(High_Peak_Exist_TOU+High_Standard_Exist_TOU),High_Total_Energy_Exist_TOU)),0)/100</f>
        <v>0</v>
      </c>
      <c r="AN13" s="141">
        <f ca="1">IFERROR(IF(Inputs!$G$29="No",'Rates Table'!AN13*IF(AN$6="Miniflex",(High_Peak+High_Standard),High_Total_Energy),'Rates Table'!AN13*IF(AN$6="Miniflex",(High_Peak_Exist_TOU+High_Standard_Exist_TOU),High_Total_Energy_Exist_TOU)),0)/100</f>
        <v>0</v>
      </c>
      <c r="AO13" s="141">
        <f ca="1">IFERROR(IF(Inputs!$G$29="No",'Rates Table'!AO13*IF(AO$6="Miniflex",(High_Peak+High_Standard),High_Total_Energy),'Rates Table'!AO13*IF(AO$6="Miniflex",(High_Peak_Exist_TOU+High_Standard_Exist_TOU),High_Total_Energy_Exist_TOU)),0)/100</f>
        <v>0</v>
      </c>
      <c r="AP13" s="141">
        <f ca="1">IFERROR(IF(Inputs!$G$29="No",'Rates Table'!AP13*IF(AP$6="Miniflex",(High_Peak+High_Standard),High_Total_Energy),'Rates Table'!AP13*IF(AP$6="Miniflex",(High_Peak_Exist_TOU+High_Standard_Exist_TOU),High_Total_Energy_Exist_TOU)),0)/100</f>
        <v>0</v>
      </c>
      <c r="AQ13" s="141">
        <f ca="1">IFERROR(IF(Inputs!$G$29="No",'Rates Table'!AQ13*IF(AQ$6="Miniflex",(High_Peak+High_Standard),High_Total_Energy),'Rates Table'!AQ13*IF(AQ$6="Miniflex",(High_Peak_Exist_TOU+High_Standard_Exist_TOU),High_Total_Energy_Exist_TOU)),0)/100</f>
        <v>0</v>
      </c>
      <c r="AR13" s="141">
        <f ca="1">IFERROR(IF(Inputs!$G$29="No",'Rates Table'!AR13*IF(AR$6="Miniflex",(High_Peak+High_Standard),High_Total_Energy),'Rates Table'!AR13*IF(AR$6="Miniflex",(High_Peak_Exist_TOU+High_Standard_Exist_TOU),High_Total_Energy_Exist_TOU)),0)/100</f>
        <v>0</v>
      </c>
      <c r="AT13" s="140">
        <f t="shared" ca="1" si="7"/>
        <v>0</v>
      </c>
      <c r="AU13" s="141">
        <f ca="1">IFERROR(IF(Inputs!$G$29="No",'Rates Table'!AU13*IF(AU$6="Miniflex",(High_Peak+High_Standard),High_Total_Energy),'Rates Table'!AU13*IF(AU$6="Miniflex",(High_Peak_New_TOU+High_Standard_New_TOU),High_Total_Energy_New_TOU)),0)/100</f>
        <v>0</v>
      </c>
      <c r="AV13" s="141">
        <f ca="1">IFERROR(IF(Inputs!$G$29="No",'Rates Table'!AV13*IF(AV$6="Miniflex",(High_Peak+High_Standard),High_Total_Energy),'Rates Table'!AV13*IF(AV$6="Miniflex",(High_Peak_New_TOU+High_Standard_New_TOU),High_Total_Energy_New_TOU)),0)/100</f>
        <v>0</v>
      </c>
      <c r="AW13" s="141">
        <f ca="1">IFERROR(IF(Inputs!$G$29="No",'Rates Table'!AW13*IF(AW$6="Miniflex",(High_Peak+High_Standard),High_Total_Energy),'Rates Table'!AW13*IF(AW$6="Miniflex",(High_Peak_New_TOU+High_Standard_New_TOU),High_Total_Energy_New_TOU)),0)/100</f>
        <v>0</v>
      </c>
      <c r="AX13" s="141">
        <f ca="1">IFERROR(IF(Inputs!$G$29="No",'Rates Table'!AX13*IF(AX$6="Miniflex",(High_Peak+High_Standard),High_Total_Energy),'Rates Table'!AX13*IF(AX$6="Miniflex",(High_Peak_New_TOU+High_Standard_New_TOU),High_Total_Energy_New_TOU)),0)/100</f>
        <v>0</v>
      </c>
      <c r="AY13" s="141">
        <f ca="1">IFERROR(IF(Inputs!$G$29="No",'Rates Table'!AY13*IF(AY$6="Miniflex",(High_Peak+High_Standard),High_Total_Energy),'Rates Table'!AY13*IF(AY$6="Miniflex",(High_Peak_New_TOU+High_Standard_New_TOU),High_Total_Energy_New_TOU)),0)/100</f>
        <v>0</v>
      </c>
      <c r="AZ13" s="141">
        <f ca="1">IFERROR(IF(Inputs!$G$29="No",'Rates Table'!AZ13*IF(AZ$6="Miniflex",(High_Peak+High_Standard),High_Total_Energy),'Rates Table'!AZ13*IF(AZ$6="Miniflex",(High_Peak_New_TOU+High_Standard_New_TOU),High_Total_Energy_New_TOU)),0)/100</f>
        <v>0</v>
      </c>
      <c r="BA13" s="141">
        <f ca="1">IFERROR(IF(Inputs!$G$29="No",'Rates Table'!BA13*IF(BA$6="Miniflex",(High_Peak+High_Standard),High_Total_Energy),'Rates Table'!BA13*IF(BA$6="Miniflex",(High_Peak_New_TOU+High_Standard_New_TOU),High_Total_Energy_New_TOU)),0)/100</f>
        <v>0</v>
      </c>
      <c r="BB13" s="141">
        <f ca="1">IFERROR(IF(Inputs!$G$29="No",'Rates Table'!BB13*IF(BB$6="Miniflex",(High_Peak+High_Standard),High_Total_Energy),'Rates Table'!BB13*IF(BB$6="Miniflex",(High_Peak_New_TOU+High_Standard_New_TOU),High_Total_Energy_New_TOU)),0)/100</f>
        <v>0</v>
      </c>
      <c r="BC13" s="141">
        <f ca="1">IFERROR(IF(Inputs!$G$29="No",'Rates Table'!BC13*IF(BC$6="Miniflex",(High_Peak+High_Standard),High_Total_Energy),'Rates Table'!BC13*IF(BC$6="Miniflex",(High_Peak_New_TOU+High_Standard_New_TOU),High_Total_Energy_New_TOU)),0)/100</f>
        <v>0</v>
      </c>
      <c r="BD13" s="141">
        <f ca="1">IFERROR(IF(Inputs!$G$29="No",'Rates Table'!BD13*IF(BD$6="Miniflex",(High_Peak+High_Standard),High_Total_Energy),'Rates Table'!BD13*IF(BD$6="Miniflex",(High_Peak_New_TOU+High_Standard_New_TOU),High_Total_Energy_New_TOU)),0)/100</f>
        <v>0</v>
      </c>
      <c r="BE13" s="141">
        <f ca="1">IFERROR(IF(Inputs!$G$29="No",'Rates Table'!BE13*IF(BE$6="Miniflex",(High_Peak+High_Standard),High_Total_Energy),'Rates Table'!BE13*IF(BE$6="Miniflex",(High_Peak_New_TOU+High_Standard_New_TOU),High_Total_Energy_New_TOU)),0)/100</f>
        <v>0</v>
      </c>
      <c r="BF13" s="141">
        <f ca="1">IFERROR(IF(Inputs!$G$29="No",'Rates Table'!BF13*IF(BF$6="Miniflex",(High_Peak+High_Standard),High_Total_Energy),'Rates Table'!BF13*IF(BF$6="Miniflex",(High_Peak_New_TOU+High_Standard_New_TOU),High_Total_Energy_New_TOU)),0)/100</f>
        <v>0</v>
      </c>
      <c r="BG13" s="141">
        <f ca="1">IFERROR(IF(Inputs!$G$29="No",'Rates Table'!BG13*IF(BG$6="Miniflex",(High_Peak+High_Standard),High_Total_Energy),'Rates Table'!BG13*IF(BG$6="Miniflex",(High_Peak_New_TOU+High_Standard_New_TOU),High_Total_Energy_New_TOU)),0)/100</f>
        <v>0</v>
      </c>
      <c r="BH13" s="141">
        <f ca="1">IFERROR(IF(Inputs!$G$29="No",'Rates Table'!BH13*IF(BH$6="Miniflex",(High_Peak+High_Standard),High_Total_Energy),'Rates Table'!BH13*IF(BH$6="Miniflex",(High_Peak_New_TOU+High_Standard_New_TOU),High_Total_Energy_New_TOU)),0)/100</f>
        <v>0</v>
      </c>
      <c r="BI13" s="141">
        <f ca="1">IFERROR(IF(Inputs!$G$29="No",'Rates Table'!BI13*IF(BI$6="Miniflex",(High_Peak+High_Standard),High_Total_Energy),'Rates Table'!BI13*IF(BI$6="Miniflex",(High_Peak_New_TOU+High_Standard_New_TOU),High_Total_Energy_New_TOU)),0)/100</f>
        <v>0</v>
      </c>
      <c r="BJ13" s="141">
        <f ca="1">IFERROR(IF(Inputs!$G$29="No",'Rates Table'!BJ13*IF(BJ$6="Miniflex",(High_Peak+High_Standard),High_Total_Energy),'Rates Table'!BJ13*IF(BJ$6="Miniflex",(High_Peak_New_TOU+High_Standard_New_TOU),High_Total_Energy_New_TOU)),0)/100</f>
        <v>0</v>
      </c>
      <c r="BK13" s="141">
        <f ca="1">IFERROR(IF(Inputs!$G$29="No",'Rates Table'!BK13*IF(BK$6="Miniflex",(High_Peak+High_Standard),High_Total_Energy),'Rates Table'!BK13*IF(BK$6="Miniflex",(High_Peak_New_TOU+High_Standard_New_TOU),High_Total_Energy_New_TOU)),0)/100</f>
        <v>0</v>
      </c>
      <c r="BL13" s="141">
        <f ca="1">IFERROR(IF(Inputs!$G$29="No",'Rates Table'!BL13*IF(BL$6="Miniflex",(High_Peak+High_Standard),High_Total_Energy),'Rates Table'!BL13*IF(BL$6="Miniflex",(High_Peak_New_TOU+High_Standard_New_TOU),High_Total_Energy_New_TOU)),0)/100</f>
        <v>0</v>
      </c>
      <c r="BM13" s="141">
        <f ca="1">IFERROR(IF(Inputs!$G$29="No",'Rates Table'!BM13*IF(BM$6="Miniflex",(High_Peak+High_Standard),High_Total_Energy),'Rates Table'!BM13*IF(BM$6="Miniflex",(High_Peak_New_TOU+High_Standard_New_TOU),High_Total_Energy_New_TOU)),0)/100</f>
        <v>0</v>
      </c>
      <c r="BN13" s="141">
        <f ca="1">IFERROR(IF(Inputs!$G$29="No",'Rates Table'!BN13*IF(BN$6="Miniflex",(High_Peak+High_Standard),High_Total_Energy),'Rates Table'!BN13*IF(BN$6="Miniflex",(High_Peak_New_TOU+High_Standard_New_TOU),High_Total_Energy_New_TOU)),0)/100</f>
        <v>0</v>
      </c>
      <c r="BO13" s="141">
        <f ca="1">IFERROR(IF(Inputs!$G$29="No",'Rates Table'!BO13*IF(BO$6="Miniflex",(High_Peak+High_Standard),High_Total_Energy),'Rates Table'!BO13*IF(BO$6="Miniflex",(High_Peak_New_TOU+High_Standard_New_TOU),High_Total_Energy_New_TOU)),0)/100</f>
        <v>0</v>
      </c>
      <c r="BP13" s="141">
        <f ca="1">IFERROR(IF(Inputs!$G$29="No",'Rates Table'!BP13*IF(BP$6="Miniflex",(High_Peak+High_Standard),High_Total_Energy),'Rates Table'!BP13*IF(BP$6="Miniflex",(High_Peak_New_TOU+High_Standard_New_TOU),High_Total_Energy_New_TOU)),0)/100</f>
        <v>0</v>
      </c>
      <c r="BQ13" s="141">
        <f ca="1">IFERROR(IF(Inputs!$G$29="No",'Rates Table'!BQ13*IF(BQ$6="Miniflex",(High_Peak+High_Standard),High_Total_Energy),'Rates Table'!BQ13*IF(BQ$6="Miniflex",(High_Peak_New_TOU+High_Standard_New_TOU),High_Total_Energy_New_TOU)),0)/100</f>
        <v>0</v>
      </c>
      <c r="BR13" s="141">
        <f ca="1">IFERROR(IF(Inputs!$G$29="No",'Rates Table'!BR13*IF(BR$6="Miniflex",(High_Peak+High_Standard),High_Total_Energy),'Rates Table'!BR13*IF(BR$6="Miniflex",(High_Peak_New_TOU+High_Standard_New_TOU),High_Total_Energy_New_TOU)),0)/100</f>
        <v>0</v>
      </c>
      <c r="BS13" s="141">
        <f ca="1">IFERROR(IF(Inputs!$G$29="No",'Rates Table'!BS13*IF(BS$6="Miniflex",(High_Peak+High_Standard),High_Total_Energy),'Rates Table'!BS13*IF(BS$6="Miniflex",(High_Peak_New_TOU+High_Standard_New_TOU),High_Total_Energy_New_TOU)),0)/100</f>
        <v>0</v>
      </c>
      <c r="BT13" s="141">
        <f ca="1">IFERROR(IF(Inputs!$G$29="No",'Rates Table'!BT13*IF(BT$6="Miniflex",(High_Peak+High_Standard),High_Total_Energy),'Rates Table'!BT13*IF(BT$6="Miniflex",(High_Peak_New_TOU+High_Standard_New_TOU),High_Total_Energy_New_TOU)),0)/100</f>
        <v>0</v>
      </c>
      <c r="BU13" s="141">
        <f ca="1">IFERROR(IF(Inputs!$G$29="No",'Rates Table'!BU13*IF(BU$6="Miniflex",(High_Peak+High_Standard),High_Total_Energy),'Rates Table'!BU13*IF(BU$6="Miniflex",(High_Peak_New_TOU+High_Standard_New_TOU),High_Total_Energy_New_TOU)),0)/100</f>
        <v>0</v>
      </c>
      <c r="BV13" s="141">
        <f ca="1">IFERROR(IF(Inputs!$G$29="No",'Rates Table'!BV13*IF(BV$6="Miniflex",(High_Peak+High_Standard),High_Total_Energy),'Rates Table'!BV13*IF(BV$6="Miniflex",(High_Peak_New_TOU+High_Standard_New_TOU),High_Total_Energy_New_TOU)),0)/100</f>
        <v>0</v>
      </c>
      <c r="BW13" s="141">
        <f ca="1">IFERROR(IF(Inputs!$G$29="No",'Rates Table'!BW13*IF(BW$6="Miniflex",(High_Peak+High_Standard),High_Total_Energy),'Rates Table'!BW13*IF(BW$6="Miniflex",(High_Peak_New_TOU+High_Standard_New_TOU),High_Total_Energy_New_TOU)),0)/100</f>
        <v>0</v>
      </c>
      <c r="BX13" s="141">
        <f ca="1">IFERROR(IF(Inputs!$G$29="No",'Rates Table'!BX13*IF(BX$6="Miniflex",(High_Peak+High_Standard),High_Total_Energy),'Rates Table'!BX13*IF(BX$6="Miniflex",(High_Peak_New_TOU+High_Standard_New_TOU),High_Total_Energy_New_TOU)),0)/100</f>
        <v>0</v>
      </c>
      <c r="BY13" s="141">
        <f ca="1">IFERROR(IF(Inputs!$G$29="No",'Rates Table'!BY13*IF(BY$6="Miniflex",(High_Peak+High_Standard),High_Total_Energy),'Rates Table'!BY13*IF(BY$6="Miniflex",(High_Peak_New_TOU+High_Standard_New_TOU),High_Total_Energy_New_TOU)),0)/100</f>
        <v>0</v>
      </c>
      <c r="BZ13" s="141">
        <f ca="1">IFERROR(IF(Inputs!$G$29="No",'Rates Table'!BZ13*IF(BZ$6="Miniflex",(High_Peak+High_Standard),High_Total_Energy),'Rates Table'!BZ13*IF(BZ$6="Miniflex",(High_Peak_New_TOU+High_Standard_New_TOU),High_Total_Energy_New_TOU)),0)/100</f>
        <v>0</v>
      </c>
      <c r="CA13" s="141">
        <f ca="1">IFERROR(IF(Inputs!$G$29="No",'Rates Table'!CA13*IF(CA$6="Miniflex",(High_Peak+High_Standard),High_Total_Energy),'Rates Table'!CA13*IF(CA$6="Miniflex",(High_Peak_New_TOU+High_Standard_New_TOU),High_Total_Energy_New_TOU)),0)/100</f>
        <v>0</v>
      </c>
      <c r="CB13" s="141">
        <f ca="1">IFERROR(IF(Inputs!$G$29="No",'Rates Table'!CB13*IF(CB$6="Miniflex",(High_Peak+High_Standard),High_Total_Energy),'Rates Table'!CB13*IF(CB$6="Miniflex",(High_Peak_New_TOU+High_Standard_New_TOU),High_Total_Energy_New_TOU)),0)/100</f>
        <v>0</v>
      </c>
      <c r="CC13" s="141">
        <f ca="1">IFERROR(IF(Inputs!$G$29="No",'Rates Table'!CC13*IF(CC$6="Miniflex",(High_Peak+High_Standard),High_Total_Energy),'Rates Table'!CC13*IF(CC$6="Miniflex",(High_Peak_New_TOU+High_Standard_New_TOU),High_Total_Energy_New_TOU)),0)/100</f>
        <v>0</v>
      </c>
      <c r="CD13" s="141">
        <f ca="1">IFERROR(IF(Inputs!$G$29="No",'Rates Table'!CD13*IF(CD$6="Miniflex",(High_Peak+High_Standard),High_Total_Energy),'Rates Table'!CD13*IF(CD$6="Miniflex",(High_Peak_New_TOU+High_Standard_New_TOU),High_Total_Energy_New_TOU)),0)/100</f>
        <v>0</v>
      </c>
      <c r="CE13" s="141">
        <f ca="1">IFERROR(IF(Inputs!$G$29="No",'Rates Table'!CE13*IF(CE$6="Miniflex",(High_Peak+High_Standard),High_Total_Energy),'Rates Table'!CE13*IF(CE$6="Miniflex",(High_Peak_New_TOU+High_Standard_New_TOU),High_Total_Energy_New_TOU)),0)/100</f>
        <v>0</v>
      </c>
      <c r="CF13" s="141">
        <f ca="1">IFERROR(IF(Inputs!$G$29="No",'Rates Table'!CF13*IF(CF$6="Miniflex",(High_Peak+High_Standard),High_Total_Energy),'Rates Table'!CF13*IF(CF$6="Miniflex",(High_Peak_New_TOU+High_Standard_New_TOU),High_Total_Energy_New_TOU)),0)/100</f>
        <v>0</v>
      </c>
    </row>
    <row r="14" spans="2:84" s="138" customFormat="1">
      <c r="C14" s="138" t="s">
        <v>545</v>
      </c>
      <c r="D14" s="139" t="s">
        <v>106</v>
      </c>
      <c r="E14" s="140">
        <f t="shared" ca="1" si="8"/>
        <v>0</v>
      </c>
      <c r="F14" s="141"/>
      <c r="G14" s="141"/>
      <c r="H14" s="141"/>
      <c r="I14" s="141"/>
      <c r="J14" s="141"/>
      <c r="K14" s="141"/>
      <c r="L14" s="141"/>
      <c r="M14" s="141"/>
      <c r="N14" s="141"/>
      <c r="O14" s="141"/>
      <c r="P14" s="141"/>
      <c r="Q14" s="141"/>
      <c r="R14" s="141"/>
      <c r="S14" s="141"/>
      <c r="T14" s="141"/>
      <c r="U14" s="141"/>
      <c r="V14" s="141"/>
      <c r="W14" s="141"/>
      <c r="X14" s="141"/>
      <c r="Y14" s="141"/>
      <c r="Z14" s="141"/>
      <c r="AA14" s="141"/>
      <c r="AB14" s="141"/>
      <c r="AC14" s="141"/>
      <c r="AD14" s="141"/>
      <c r="AE14" s="141"/>
      <c r="AF14" s="141"/>
      <c r="AG14" s="141"/>
      <c r="AH14" s="141"/>
      <c r="AI14" s="141"/>
      <c r="AJ14" s="141"/>
      <c r="AK14" s="141"/>
      <c r="AL14" s="141">
        <f ca="1">IFERROR('Rates Table'!AL14*IF(Inputs!$G$29="No",High_Total_Energy,High_Total_Energy_Exist_TOU),0)/100</f>
        <v>0</v>
      </c>
      <c r="AM14" s="141">
        <f ca="1">IFERROR('Rates Table'!AM14*IF(Inputs!$G$29="No",High_Total_Energy,High_Total_Energy_Exist_TOU),0)/100</f>
        <v>0</v>
      </c>
      <c r="AN14" s="141">
        <f ca="1">IFERROR('Rates Table'!AN14*IF(Inputs!$G$29="No",High_Total_Energy,High_Total_Energy_Exist_TOU),0)/100</f>
        <v>0</v>
      </c>
      <c r="AO14" s="141">
        <f ca="1">IFERROR('Rates Table'!AO14*IF(Inputs!$G$29="No",High_Total_Energy,High_Total_Energy_Exist_TOU),0)/100</f>
        <v>0</v>
      </c>
      <c r="AP14" s="141"/>
      <c r="AQ14" s="141"/>
      <c r="AR14" s="141"/>
      <c r="AT14" s="140">
        <f t="shared" ca="1" si="7"/>
        <v>0</v>
      </c>
      <c r="AU14" s="141"/>
      <c r="AV14" s="141"/>
      <c r="AW14" s="141"/>
      <c r="AX14" s="141"/>
      <c r="AY14" s="141"/>
      <c r="AZ14" s="141"/>
      <c r="BA14" s="141"/>
      <c r="BB14" s="141"/>
      <c r="BC14" s="141"/>
      <c r="BD14" s="141"/>
      <c r="BE14" s="141"/>
      <c r="BF14" s="141"/>
      <c r="BG14" s="141"/>
      <c r="BH14" s="141"/>
      <c r="BI14" s="141"/>
      <c r="BJ14" s="141"/>
      <c r="BK14" s="141"/>
      <c r="BL14" s="141"/>
      <c r="BM14" s="141"/>
      <c r="BN14" s="141"/>
      <c r="BO14" s="141"/>
      <c r="BP14" s="141"/>
      <c r="BQ14" s="141"/>
      <c r="BR14" s="141"/>
      <c r="BS14" s="141"/>
      <c r="BT14" s="141"/>
      <c r="BU14" s="141"/>
      <c r="BV14" s="141"/>
      <c r="BW14" s="141"/>
      <c r="BX14" s="141"/>
      <c r="BY14" s="141"/>
      <c r="BZ14" s="141"/>
      <c r="CA14" s="141">
        <f ca="1">IFERROR('Rates Table'!CA14*IF(Inputs!$G$29="No",High_Total_Energy,High_Total_Energy_New_TOU),0)/100</f>
        <v>0</v>
      </c>
      <c r="CB14" s="141">
        <f ca="1">IFERROR('Rates Table'!CB14*IF(Inputs!$G$29="No",High_Total_Energy,High_Total_Energy_New_TOU),0)/100</f>
        <v>0</v>
      </c>
      <c r="CC14" s="141">
        <f ca="1">IFERROR('Rates Table'!CC14*IF(Inputs!$G$29="No",High_Total_Energy,High_Total_Energy_New_TOU),0)/100</f>
        <v>0</v>
      </c>
      <c r="CD14" s="141">
        <f ca="1">IFERROR('Rates Table'!CD14*IF(Inputs!$G$29="No",High_Total_Energy,High_Total_Energy_New_TOU),0)/100</f>
        <v>0</v>
      </c>
      <c r="CE14" s="141"/>
      <c r="CF14" s="141"/>
    </row>
    <row r="15" spans="2:84" s="138" customFormat="1">
      <c r="C15" s="138" t="s">
        <v>144</v>
      </c>
      <c r="D15" s="139" t="s">
        <v>115</v>
      </c>
      <c r="E15" s="140">
        <f t="shared" ca="1" si="8"/>
        <v>0</v>
      </c>
      <c r="F15" s="141">
        <f ca="1">IFERROR('Rates Table'!F15*(IF(Inputs!$G$29="No",High_Utilised_Capacity,High_Utilised_Capacity_Exist_TOU)),0)</f>
        <v>0</v>
      </c>
      <c r="G15" s="141">
        <f ca="1">IFERROR('Rates Table'!G15*(IF(Inputs!$G$29="No",High_Utilised_Capacity,High_Utilised_Capacity_Exist_TOU)),0)</f>
        <v>0</v>
      </c>
      <c r="H15" s="141">
        <f ca="1">IFERROR('Rates Table'!H15*(IF(Inputs!$G$29="No",High_Utilised_Capacity,High_Utilised_Capacity_Exist_TOU)),0)</f>
        <v>0</v>
      </c>
      <c r="I15" s="141">
        <f ca="1">IFERROR('Rates Table'!I15*(IF(Inputs!$G$29="No",High_Utilised_Capacity,High_Utilised_Capacity_Exist_TOU)),0)</f>
        <v>0</v>
      </c>
      <c r="J15" s="141">
        <f ca="1">IFERROR('Rates Table'!J15*(IF(Inputs!$G$29="No",High_Utilised_Capacity,High_Utilised_Capacity_Exist_TOU)),0)</f>
        <v>0</v>
      </c>
      <c r="K15" s="141">
        <f ca="1">IFERROR('Rates Table'!K15*(IF(Inputs!$G$29="No",High_Utilised_Capacity,High_Utilised_Capacity_Exist_TOU)),0)</f>
        <v>0</v>
      </c>
      <c r="L15" s="141">
        <f ca="1">IFERROR('Rates Table'!L15*(IF(Inputs!$G$29="No",High_Utilised_Capacity,High_Utilised_Capacity_Exist_TOU)),0)</f>
        <v>0</v>
      </c>
      <c r="M15" s="141">
        <f ca="1">IFERROR('Rates Table'!M15*(IF(Inputs!$G$29="No",High_Utilised_Capacity,High_Utilised_Capacity_Exist_TOU)),0)</f>
        <v>0</v>
      </c>
      <c r="N15" s="141">
        <f ca="1">IFERROR('Rates Table'!N15*(IF(Inputs!$G$29="No",High_Utilised_Capacity,High_Utilised_Capacity_Exist_TOU)),0)</f>
        <v>0</v>
      </c>
      <c r="O15" s="141">
        <f ca="1">IFERROR('Rates Table'!O15*(IF(Inputs!$G$29="No",High_Utilised_Capacity,High_Utilised_Capacity_Exist_TOU)),0)</f>
        <v>0</v>
      </c>
      <c r="P15" s="141">
        <f ca="1">IFERROR('Rates Table'!P15*(IF(Inputs!$G$29="No",High_Utilised_Capacity,High_Utilised_Capacity_Exist_TOU)),0)</f>
        <v>0</v>
      </c>
      <c r="Q15" s="141">
        <f ca="1">IFERROR('Rates Table'!Q15*(IF(Inputs!$G$29="No",High_Utilised_Capacity,High_Utilised_Capacity_Exist_TOU)),0)</f>
        <v>0</v>
      </c>
      <c r="R15" s="141">
        <f ca="1">IFERROR('Rates Table'!R15*(IF(Inputs!$G$29="No",High_Utilised_Capacity,High_Utilised_Capacity_Exist_TOU)),0)</f>
        <v>0</v>
      </c>
      <c r="S15" s="141">
        <f ca="1">IFERROR('Rates Table'!S15*(IF(Inputs!$G$29="No",High_Utilised_Capacity,High_Utilised_Capacity_Exist_TOU)),0)</f>
        <v>0</v>
      </c>
      <c r="T15" s="141">
        <f ca="1">IFERROR('Rates Table'!T15*(IF(Inputs!$G$29="No",High_Utilised_Capacity,High_Utilised_Capacity_Exist_TOU)),0)</f>
        <v>0</v>
      </c>
      <c r="U15" s="141">
        <f ca="1">IFERROR('Rates Table'!U15*(IF(Inputs!$G$29="No",High_Utilised_Capacity,High_Utilised_Capacity_Exist_TOU)),0)</f>
        <v>0</v>
      </c>
      <c r="V15" s="141">
        <f ca="1">IFERROR('Rates Table'!V15*(IF(Inputs!$G$29="No",High_Utilised_Capacity,High_Utilised_Capacity_Exist_TOU)),0)</f>
        <v>0</v>
      </c>
      <c r="W15" s="141">
        <f ca="1">IFERROR('Rates Table'!W15*(IF(Inputs!$G$29="No",High_Utilised_Capacity,High_Utilised_Capacity_Exist_TOU)),0)</f>
        <v>0</v>
      </c>
      <c r="X15" s="141">
        <f ca="1">IF(OR(E2="Nightsave Large",E2="Nightsave Small"),E15,IFERROR('Rates Table'!X15*(IF(Inputs!$G$29="No",High_Utilised_Capacity,High_Utilised_Capacity_Exist_TOU)),0))</f>
        <v>0</v>
      </c>
      <c r="Y15" s="141">
        <f ca="1">IFERROR('Rates Table'!Y15*(IF(Inputs!$G$29="No",High_Utilised_Capacity,High_Utilised_Capacity_Exist_TOU)),0)</f>
        <v>0</v>
      </c>
      <c r="Z15" s="141">
        <f ca="1">IFERROR('Rates Table'!Z15*(IF(Inputs!$G$29="No",High_Utilised_Capacity,High_Utilised_Capacity_Exist_TOU)),0)</f>
        <v>0</v>
      </c>
      <c r="AA15" s="141">
        <f ca="1">IFERROR('Rates Table'!AA15*(IF(Inputs!$G$29="No",High_Utilised_Capacity,High_Utilised_Capacity_Exist_TOU)),0)</f>
        <v>0</v>
      </c>
      <c r="AB15" s="141">
        <f ca="1">IFERROR('Rates Table'!AB15*(IF(Inputs!$G$29="No",High_Utilised_Capacity,High_Utilised_Capacity_Exist_TOU)),0)</f>
        <v>0</v>
      </c>
      <c r="AC15" s="141">
        <f ca="1">IFERROR('Rates Table'!AC15*(IF(Inputs!$G$29="No",High_Utilised_Capacity,High_Utilised_Capacity_Exist_TOU)),0)</f>
        <v>0</v>
      </c>
      <c r="AD15" s="141">
        <f ca="1">IFERROR('Rates Table'!AD15*(IF(Inputs!$G$29="No",High_Utilised_Capacity,High_Utilised_Capacity_Exist_TOU)),0)</f>
        <v>0</v>
      </c>
      <c r="AE15" s="141">
        <f ca="1">IFERROR('Rates Table'!AE15*(IF(Inputs!$G$29="No",High_Utilised_Capacity,High_Utilised_Capacity_Exist_TOU)),0)</f>
        <v>0</v>
      </c>
      <c r="AF15" s="141">
        <f ca="1">IFERROR('Rates Table'!AF15*(IF(Inputs!$G$29="No",High_Utilised_Capacity,High_Utilised_Capacity_Exist_TOU)),0)</f>
        <v>0</v>
      </c>
      <c r="AG15" s="141">
        <f ca="1">IFERROR('Rates Table'!AG15*(IF(Inputs!$G$29="No",High_Utilised_Capacity,High_Utilised_Capacity_Exist_TOU)),0)</f>
        <v>0</v>
      </c>
      <c r="AH15" s="141">
        <f ca="1">IFERROR('Rates Table'!AH15*(IF(Inputs!$G$29="No",High_Utilised_Capacity,High_Utilised_Capacity_Exist_TOU)),0)</f>
        <v>0</v>
      </c>
      <c r="AI15" s="141">
        <f ca="1">IFERROR('Rates Table'!AI15*(IF(Inputs!$G$29="No",High_Utilised_Capacity,High_Utilised_Capacity_Exist_TOU)),0)</f>
        <v>0</v>
      </c>
      <c r="AJ15" s="141">
        <f ca="1">IFERROR('Rates Table'!AJ15*(IF(Inputs!$G$29="No",High_Utilised_Capacity,High_Utilised_Capacity_Exist_TOU)),0)</f>
        <v>0</v>
      </c>
      <c r="AK15" s="141">
        <f ca="1">IFERROR('Rates Table'!AK15*(IF(Inputs!$G$29="No",High_Utilised_Capacity,High_Utilised_Capacity_Exist_TOU)),0)</f>
        <v>0</v>
      </c>
      <c r="AL15" s="141">
        <f ca="1">IFERROR('Rates Table'!AL15*(IF(Inputs!$G$29="No",High_Utilised_Capacity,High_Utilised_Capacity_Exist_TOU)),0)</f>
        <v>0</v>
      </c>
      <c r="AM15" s="141">
        <f ca="1">IFERROR('Rates Table'!AM15*(IF(Inputs!$G$29="No",High_Utilised_Capacity,High_Utilised_Capacity_Exist_TOU)),0)</f>
        <v>0</v>
      </c>
      <c r="AN15" s="141">
        <f ca="1">IFERROR('Rates Table'!AN15*(IF(Inputs!$G$29="No",High_Utilised_Capacity,High_Utilised_Capacity_Exist_TOU)),0)</f>
        <v>0</v>
      </c>
      <c r="AO15" s="141">
        <f ca="1">IFERROR('Rates Table'!AO15*(IF(Inputs!$G$29="No",High_Utilised_Capacity,High_Utilised_Capacity_Exist_TOU)),0)</f>
        <v>0</v>
      </c>
      <c r="AP15" s="141">
        <f ca="1">IFERROR('Rates Table'!AP15*(IF(Inputs!$G$29="No",High_Utilised_Capacity,High_Utilised_Capacity_Exist_TOU)),0)</f>
        <v>0</v>
      </c>
      <c r="AQ15" s="141">
        <f ca="1">IFERROR('Rates Table'!AQ15*(IF(Inputs!$G$29="No",High_Utilised_Capacity,High_Utilised_Capacity_Exist_TOU)),0)</f>
        <v>0</v>
      </c>
      <c r="AR15" s="141">
        <f ca="1">IFERROR('Rates Table'!AR15*(IF(Inputs!$G$29="No",High_Utilised_Capacity,High_Utilised_Capacity_Exist_TOU)),0)</f>
        <v>0</v>
      </c>
      <c r="AT15" s="140">
        <f t="shared" ca="1" si="7"/>
        <v>0</v>
      </c>
      <c r="AU15" s="141">
        <f ca="1">IFERROR('Rates Table'!AU15*(IF(Inputs!$G$29="No",High_Utilised_Capacity,High_Utilised_Capacity_New_TOU)),0)</f>
        <v>0</v>
      </c>
      <c r="AV15" s="141">
        <f ca="1">IFERROR('Rates Table'!AV15*(IF(Inputs!$G$29="No",High_Utilised_Capacity,High_Utilised_Capacity_New_TOU)),0)</f>
        <v>0</v>
      </c>
      <c r="AW15" s="141">
        <f ca="1">IFERROR('Rates Table'!AW15*(IF(Inputs!$G$29="No",High_Utilised_Capacity,High_Utilised_Capacity_New_TOU)),0)</f>
        <v>0</v>
      </c>
      <c r="AX15" s="141">
        <f ca="1">IFERROR('Rates Table'!AX15*(IF(Inputs!$G$29="No",High_Utilised_Capacity,High_Utilised_Capacity_New_TOU)),0)</f>
        <v>0</v>
      </c>
      <c r="AY15" s="141">
        <f ca="1">IFERROR('Rates Table'!AY15*(IF(Inputs!$G$29="No",High_Utilised_Capacity,High_Utilised_Capacity_New_TOU)),0)</f>
        <v>0</v>
      </c>
      <c r="AZ15" s="141">
        <f ca="1">IFERROR('Rates Table'!AZ15*(IF(Inputs!$G$29="No",High_Utilised_Capacity,High_Utilised_Capacity_New_TOU)),0)</f>
        <v>0</v>
      </c>
      <c r="BA15" s="141">
        <f ca="1">IFERROR('Rates Table'!BA15*(IF(Inputs!$G$29="No",High_Utilised_Capacity,High_Utilised_Capacity_New_TOU)),0)</f>
        <v>0</v>
      </c>
      <c r="BB15" s="141">
        <f ca="1">IFERROR('Rates Table'!BB15*(IF(Inputs!$G$29="No",High_Utilised_Capacity,High_Utilised_Capacity_New_TOU)),0)</f>
        <v>0</v>
      </c>
      <c r="BC15" s="141">
        <f ca="1">IFERROR('Rates Table'!BC15*(IF(Inputs!$G$29="No",High_Utilised_Capacity,High_Utilised_Capacity_New_TOU)),0)</f>
        <v>0</v>
      </c>
      <c r="BD15" s="141">
        <f ca="1">IFERROR('Rates Table'!BD15*(IF(Inputs!$G$29="No",High_Utilised_Capacity,High_Utilised_Capacity_New_TOU)),0)</f>
        <v>0</v>
      </c>
      <c r="BE15" s="141">
        <f ca="1">IFERROR('Rates Table'!BE15*(IF(Inputs!$G$29="No",High_Utilised_Capacity,High_Utilised_Capacity_New_TOU)),0)</f>
        <v>0</v>
      </c>
      <c r="BF15" s="141">
        <f ca="1">IFERROR('Rates Table'!BF15*(IF(Inputs!$G$29="No",High_Utilised_Capacity,High_Utilised_Capacity_New_TOU)),0)</f>
        <v>0</v>
      </c>
      <c r="BG15" s="141">
        <f ca="1">IFERROR('Rates Table'!BG15*(IF(Inputs!$G$29="No",High_Utilised_Capacity,High_Utilised_Capacity_New_TOU)),0)</f>
        <v>0</v>
      </c>
      <c r="BH15" s="141">
        <f ca="1">IFERROR('Rates Table'!BH15*(IF(Inputs!$G$29="No",High_Utilised_Capacity,High_Utilised_Capacity_New_TOU)),0)</f>
        <v>0</v>
      </c>
      <c r="BI15" s="141">
        <f ca="1">IFERROR('Rates Table'!BI15*(IF(Inputs!$G$29="No",High_Utilised_Capacity,High_Utilised_Capacity_New_TOU)),0)</f>
        <v>0</v>
      </c>
      <c r="BJ15" s="141">
        <f ca="1">IFERROR('Rates Table'!BJ15*(IF(Inputs!$G$29="No",High_Utilised_Capacity,High_Utilised_Capacity_New_TOU)),0)</f>
        <v>0</v>
      </c>
      <c r="BK15" s="141">
        <f ca="1">IFERROR('Rates Table'!BK15*(IF(Inputs!$G$29="No",High_Utilised_Capacity,High_Utilised_Capacity_New_TOU)),0)</f>
        <v>0</v>
      </c>
      <c r="BL15" s="141">
        <f ca="1">IFERROR('Rates Table'!BL15*(IF(Inputs!$G$29="No",High_Utilised_Capacity,High_Utilised_Capacity_New_TOU)),0)</f>
        <v>0</v>
      </c>
      <c r="BM15" s="141">
        <f ca="1">IFERROR('Rates Table'!BM15*(IF(Inputs!$G$29="No",High_Utilised_Capacity,High_Utilised_Capacity_New_TOU)),0)</f>
        <v>0</v>
      </c>
      <c r="BN15" s="141">
        <f ca="1">IFERROR('Rates Table'!BN15*(IF(Inputs!$G$29="No",High_Utilised_Capacity,High_Utilised_Capacity_New_TOU)),0)</f>
        <v>0</v>
      </c>
      <c r="BO15" s="141">
        <f ca="1">IFERROR('Rates Table'!BO15*(IF(Inputs!$G$29="No",High_Utilised_Capacity,High_Utilised_Capacity_New_TOU)),0)</f>
        <v>0</v>
      </c>
      <c r="BP15" s="141">
        <f ca="1">IFERROR('Rates Table'!BP15*(IF(Inputs!$G$29="No",High_Utilised_Capacity,High_Utilised_Capacity_New_TOU)),0)</f>
        <v>0</v>
      </c>
      <c r="BQ15" s="141">
        <f ca="1">IFERROR('Rates Table'!BQ15*(IF(Inputs!$G$29="No",High_Utilised_Capacity,High_Utilised_Capacity_New_TOU)),0)</f>
        <v>0</v>
      </c>
      <c r="BR15" s="141">
        <f ca="1">IFERROR('Rates Table'!BR15*(IF(Inputs!$G$29="No",High_Utilised_Capacity,High_Utilised_Capacity_New_TOU)),0)</f>
        <v>0</v>
      </c>
      <c r="BS15" s="141">
        <f ca="1">IFERROR('Rates Table'!BS15*(IF(Inputs!$G$29="No",High_Utilised_Capacity,High_Utilised_Capacity_New_TOU)),0)</f>
        <v>0</v>
      </c>
      <c r="BT15" s="141">
        <f ca="1">IFERROR('Rates Table'!BT15*(IF(Inputs!$G$29="No",High_Utilised_Capacity,High_Utilised_Capacity_New_TOU)),0)</f>
        <v>0</v>
      </c>
      <c r="BU15" s="141">
        <f ca="1">IFERROR('Rates Table'!BU15*(IF(Inputs!$G$29="No",High_Utilised_Capacity,High_Utilised_Capacity_New_TOU)),0)</f>
        <v>0</v>
      </c>
      <c r="BV15" s="141">
        <f ca="1">IFERROR('Rates Table'!BV15*(IF(Inputs!$G$29="No",High_Utilised_Capacity,High_Utilised_Capacity_New_TOU)),0)</f>
        <v>0</v>
      </c>
      <c r="BW15" s="141">
        <f ca="1">IFERROR('Rates Table'!BW15*(IF(Inputs!$G$29="No",High_Utilised_Capacity,High_Utilised_Capacity_New_TOU)),0)</f>
        <v>0</v>
      </c>
      <c r="BX15" s="141">
        <f ca="1">IFERROR('Rates Table'!BX15*(IF(Inputs!$G$29="No",High_Utilised_Capacity,High_Utilised_Capacity_New_TOU)),0)</f>
        <v>0</v>
      </c>
      <c r="BY15" s="141">
        <f ca="1">IFERROR('Rates Table'!BY15*(IF(Inputs!$G$29="No",High_Utilised_Capacity,High_Utilised_Capacity_New_TOU)),0)</f>
        <v>0</v>
      </c>
      <c r="BZ15" s="141">
        <f ca="1">IFERROR('Rates Table'!BZ15*(IF(Inputs!$G$29="No",High_Utilised_Capacity,High_Utilised_Capacity_New_TOU)),0)</f>
        <v>0</v>
      </c>
      <c r="CA15" s="141">
        <f ca="1">IFERROR('Rates Table'!CA15*(IF(Inputs!$G$29="No",High_Utilised_Capacity,High_Utilised_Capacity_New_TOU)),0)</f>
        <v>0</v>
      </c>
      <c r="CB15" s="141">
        <f ca="1">IFERROR('Rates Table'!CB15*(IF(Inputs!$G$29="No",High_Utilised_Capacity,High_Utilised_Capacity_New_TOU)),0)</f>
        <v>0</v>
      </c>
      <c r="CC15" s="141">
        <f ca="1">IFERROR('Rates Table'!CC15*(IF(Inputs!$G$29="No",High_Utilised_Capacity,High_Utilised_Capacity_New_TOU)),0)</f>
        <v>0</v>
      </c>
      <c r="CD15" s="141">
        <f ca="1">IFERROR('Rates Table'!CD15*(IF(Inputs!$G$29="No",High_Utilised_Capacity,High_Utilised_Capacity_New_TOU)),0)</f>
        <v>0</v>
      </c>
      <c r="CE15" s="141">
        <f ca="1">IFERROR('Rates Table'!CE15*(IF(Inputs!$G$29="No",High_Utilised_Capacity,High_Utilised_Capacity_New_TOU)),0)</f>
        <v>0</v>
      </c>
      <c r="CF15" s="141">
        <f ca="1">IFERROR('Rates Table'!CF15*(IF(Inputs!$G$29="No",High_Utilised_Capacity,High_Utilised_Capacity_New_TOU)),0)</f>
        <v>0</v>
      </c>
    </row>
    <row r="16" spans="2:84" s="138" customFormat="1">
      <c r="C16" s="138" t="s">
        <v>387</v>
      </c>
      <c r="D16" s="139" t="str">
        <f ca="1">IF(Table_1=1,"R/kVA","R/day")</f>
        <v>R/kVA</v>
      </c>
      <c r="E16" s="140">
        <f t="shared" ca="1" si="8"/>
        <v>0</v>
      </c>
      <c r="F16" s="141">
        <f ca="1">IFERROR(IF(Inputs!$G$29="No", IF(F55=1, 'Rates Table'!F16*High_Utilised_Capacity, IF($E$2="Homepower Bulk",'Rates Table'!F16*3*Inputs!$G$27,'Rates Table'!F16*PODs*High_Days)), IF(F55=1, 'Rates Table'!F16*High_Utilised_Capacity_Exist_TOU, IF($E$2="Homepower Bulk",'Rates Table'!F16*3*Inputs!$G$27,'Rates Table'!F16*PODs*High_Days))),0)</f>
        <v>1871.28</v>
      </c>
      <c r="G16" s="141">
        <f ca="1">IFERROR(IF(Inputs!$G$29="No", IF(G55=1, 'Rates Table'!G16*High_Utilised_Capacity, IF($E$2="Homepower Bulk",'Rates Table'!G16*3*Inputs!$G$27,'Rates Table'!G16*PODs*High_Days)), IF(G55=1, 'Rates Table'!G16*High_Utilised_Capacity_Exist_TOU, IF($E$2="Homepower Bulk",'Rates Table'!G16*3*Inputs!$G$27,'Rates Table'!G16*PODs*High_Days))),0)</f>
        <v>2779.32</v>
      </c>
      <c r="H16" s="141">
        <f ca="1">IFERROR(IF(Inputs!$G$29="No", IF(H55=1, 'Rates Table'!H16*High_Utilised_Capacity, IF($E$2="Homepower Bulk",'Rates Table'!H16*3*Inputs!$G$27,'Rates Table'!H16*PODs*High_Days)), IF(H55=1, 'Rates Table'!H16*High_Utilised_Capacity_Exist_TOU, IF($E$2="Homepower Bulk",'Rates Table'!H16*3*Inputs!$G$27,'Rates Table'!H16*PODs*High_Days))),0)</f>
        <v>6934.9599999999991</v>
      </c>
      <c r="I16" s="141">
        <f ca="1">IFERROR(IF(Inputs!$G$29="No", IF(I55=1, 'Rates Table'!I16*High_Utilised_Capacity, IF($E$2="Homepower Bulk",'Rates Table'!I16*3*Inputs!$G$27,'Rates Table'!I16*PODs*High_Days)), IF(I55=1, 'Rates Table'!I16*High_Utilised_Capacity_Exist_TOU, IF($E$2="Homepower Bulk",'Rates Table'!I16*3*Inputs!$G$27,'Rates Table'!I16*PODs*High_Days))),0)</f>
        <v>0</v>
      </c>
      <c r="J16" s="141">
        <f ca="1">IFERROR(IF(Inputs!$G$29="No", IF(J55=1, 'Rates Table'!J16*High_Utilised_Capacity, IF($E$2="Homepower Bulk",'Rates Table'!J16*3*Inputs!$G$27,'Rates Table'!J16*PODs*High_Days)), IF(J55=1, 'Rates Table'!J16*High_Utilised_Capacity_Exist_TOU, IF($E$2="Homepower Bulk",'Rates Table'!J16*3*Inputs!$G$27,'Rates Table'!J16*PODs*High_Days))),0)</f>
        <v>0</v>
      </c>
      <c r="K16" s="141">
        <f ca="1">IFERROR(IF(Inputs!$G$29="No", IF(K55=1, 'Rates Table'!K16*High_Utilised_Capacity, IF($E$2="Homepower Bulk",'Rates Table'!K16*3*Inputs!$G$27,'Rates Table'!K16*PODs*High_Days)), IF(K55=1, 'Rates Table'!K16*High_Utilised_Capacity_Exist_TOU, IF($E$2="Homepower Bulk",'Rates Table'!K16*3*Inputs!$G$27,'Rates Table'!K16*PODs*High_Days))),0)</f>
        <v>0</v>
      </c>
      <c r="L16" s="141">
        <f ca="1">IFERROR(IF(Inputs!$G$29="No", IF(L55=1, 'Rates Table'!L16*High_Utilised_Capacity, IF($E$2="Homepower Bulk",'Rates Table'!L16*3*Inputs!$G$27,'Rates Table'!L16*PODs*High_Days)), IF(L55=1, 'Rates Table'!L16*High_Utilised_Capacity_Exist_TOU, IF($E$2="Homepower Bulk",'Rates Table'!L16*3*Inputs!$G$27,'Rates Table'!L16*PODs*High_Days))),0)</f>
        <v>1115.96</v>
      </c>
      <c r="M16" s="141">
        <f ca="1">IFERROR(IF(Inputs!$G$29="No", IF(M55=1, 'Rates Table'!M16*High_Utilised_Capacity, IF($E$2="Homepower Bulk",'Rates Table'!M16*3*Inputs!$G$27,'Rates Table'!M16*PODs*High_Days)), IF(M55=1, 'Rates Table'!M16*High_Utilised_Capacity_Exist_TOU, IF($E$2="Homepower Bulk",'Rates Table'!M16*3*Inputs!$G$27,'Rates Table'!M16*PODs*High_Days))),0)</f>
        <v>2490.44</v>
      </c>
      <c r="N16" s="141">
        <f ca="1">IFERROR(IF(Inputs!$G$29="No", IF(N55=1, 'Rates Table'!N16*High_Utilised_Capacity, IF($E$2="Homepower Bulk",'Rates Table'!N16*3*Inputs!$G$27,'Rates Table'!N16*PODs*High_Days)), IF(N55=1, 'Rates Table'!N16*High_Utilised_Capacity_Exist_TOU, IF($E$2="Homepower Bulk",'Rates Table'!N16*3*Inputs!$G$27,'Rates Table'!N16*PODs*High_Days))),0)</f>
        <v>5319.44</v>
      </c>
      <c r="O16" s="141">
        <f ca="1">IFERROR(IF(Inputs!$G$29="No", IF(O55=1, 'Rates Table'!O16*High_Utilised_Capacity, IF($E$2="Homepower Bulk",'Rates Table'!O16*3*Inputs!$G$27,'Rates Table'!O16*PODs*High_Days)), IF(O55=1, 'Rates Table'!O16*High_Utilised_Capacity_Exist_TOU, IF($E$2="Homepower Bulk",'Rates Table'!O16*3*Inputs!$G$27,'Rates Table'!O16*PODs*High_Days))),0)</f>
        <v>768.19999999999993</v>
      </c>
      <c r="P16" s="141">
        <f ca="1">IFERROR(IF(Inputs!$G$29="No", IF(P55=1, 'Rates Table'!P16*High_Utilised_Capacity, IF($E$2="Homepower Bulk",'Rates Table'!P16*3*Inputs!$G$27,'Rates Table'!P16*PODs*High_Days)), IF(P55=1, 'Rates Table'!P16*High_Utilised_Capacity_Exist_TOU, IF($E$2="Homepower Bulk",'Rates Table'!P16*3*Inputs!$G$27,'Rates Table'!P16*PODs*High_Days))),0)</f>
        <v>5089.4399999999996</v>
      </c>
      <c r="Q16" s="141">
        <f ca="1">IFERROR(IF(Inputs!$G$29="No", IF(Q55=1, 'Rates Table'!Q16*High_Utilised_Capacity, IF($E$2="Homepower Bulk",'Rates Table'!Q16*3*Inputs!$G$27,'Rates Table'!Q16*PODs*High_Days)), IF(Q55=1, 'Rates Table'!Q16*High_Utilised_Capacity_Exist_TOU, IF($E$2="Homepower Bulk",'Rates Table'!Q16*3*Inputs!$G$27,'Rates Table'!Q16*PODs*High_Days))),0)</f>
        <v>5722.4000000000005</v>
      </c>
      <c r="R16" s="141">
        <f ca="1">IFERROR(IF(Inputs!$G$29="No", IF(R55=1, 'Rates Table'!R16*High_Utilised_Capacity, IF($E$2="Homepower Bulk",'Rates Table'!R16*3*Inputs!$G$27,'Rates Table'!R16*PODs*High_Days)), IF(R55=1, 'Rates Table'!R16*High_Utilised_Capacity_Exist_TOU, IF($E$2="Homepower Bulk",'Rates Table'!R16*3*Inputs!$G$27,'Rates Table'!R16*PODs*High_Days))),0)</f>
        <v>8923.08</v>
      </c>
      <c r="S16" s="141">
        <f ca="1">IFERROR(IF(Inputs!$G$29="No", IF(S55=1, 'Rates Table'!S16*High_Utilised_Capacity, IF($E$2="Homepower Bulk",'Rates Table'!S16*3*Inputs!$G$27,'Rates Table'!S16*PODs*High_Days)), IF(S55=1, 'Rates Table'!S16*High_Utilised_Capacity_Exist_TOU, IF($E$2="Homepower Bulk",'Rates Table'!S16*3*Inputs!$G$27,'Rates Table'!S16*PODs*High_Days))),0)</f>
        <v>14289.439999999999</v>
      </c>
      <c r="T16" s="141">
        <f ca="1">IFERROR(IF(Inputs!$G$29="No", IF(T55=1, 'Rates Table'!T16*High_Utilised_Capacity, IF($E$2="Homepower Bulk",'Rates Table'!T16*3*Inputs!$G$27,'Rates Table'!T16*PODs*High_Days)), IF(T55=1, 'Rates Table'!T16*High_Utilised_Capacity_Exist_TOU, IF($E$2="Homepower Bulk",'Rates Table'!T16*3*Inputs!$G$27,'Rates Table'!T16*PODs*High_Days))),0)</f>
        <v>4224.6400000000003</v>
      </c>
      <c r="U16" s="141">
        <f ca="1">IFERROR(IF(Inputs!$G$29="No", IF(U55=1, 'Rates Table'!U16*High_Utilised_Capacity, IF($E$2="Homepower Bulk",'Rates Table'!U16*3*Inputs!$G$27,'Rates Table'!U16*PODs*High_Days)), IF(U55=1, 'Rates Table'!U16*High_Utilised_Capacity_Exist_TOU, IF($E$2="Homepower Bulk",'Rates Table'!U16*3*Inputs!$G$27,'Rates Table'!U16*PODs*High_Days))),0)</f>
        <v>0</v>
      </c>
      <c r="V16" s="141">
        <f ca="1">IFERROR(IF(Inputs!$G$29="No", IF(V55=1, 'Rates Table'!V16*High_Utilised_Capacity, IF($E$2="Homepower Bulk",'Rates Table'!V16*3*Inputs!$G$27,'Rates Table'!V16*PODs*High_Days)), IF(V55=1, 'Rates Table'!V16*High_Utilised_Capacity_Exist_TOU, IF($E$2="Homepower Bulk",'Rates Table'!V16*3*Inputs!$G$27,'Rates Table'!V16*PODs*High_Days))),0)</f>
        <v>0</v>
      </c>
      <c r="W16" s="141">
        <f ca="1">IFERROR(IF(Inputs!$G$29="No", IF(W55=1, 'Rates Table'!W16*High_Utilised_Capacity, IF($E$2="Homepower Bulk",'Rates Table'!W16*3*Inputs!$G$27,'Rates Table'!W16*PODs*High_Days)), IF(W55=1, 'Rates Table'!W16*High_Utilised_Capacity_Exist_TOU, IF($E$2="Homepower Bulk",'Rates Table'!W16*3*Inputs!$G$27,'Rates Table'!W16*PODs*High_Days))),0)</f>
        <v>0</v>
      </c>
      <c r="X16" s="141">
        <f ca="1">IFERROR(IF(Inputs!$G$29="No", IF(X55=1, 'Rates Table'!X16*High_Utilised_Capacity, IF($E$2="Homepower Bulk",'Rates Table'!X16*3*Inputs!$G$27,'Rates Table'!X16*PODs*High_Days)), IF(X55=1, 'Rates Table'!X16*High_Utilised_Capacity_Exist_TOU, IF($E$2="Homepower Bulk",'Rates Table'!X16*3*Inputs!$G$27,'Rates Table'!X16*PODs*High_Days))),0)</f>
        <v>0</v>
      </c>
      <c r="Y16" s="141">
        <f ca="1">IFERROR(IF(Inputs!$G$29="No", IF(Y55=1, 'Rates Table'!Y16*High_Utilised_Capacity, IF($E$2="Homepower Bulk",'Rates Table'!Y16*3*Inputs!$G$27,'Rates Table'!Y16*PODs*High_Days)), IF(Y55=1, 'Rates Table'!Y16*High_Utilised_Capacity_Exist_TOU, IF($E$2="Homepower Bulk",'Rates Table'!Y16*3*Inputs!$G$27,'Rates Table'!Y16*PODs*High_Days))),0)</f>
        <v>0</v>
      </c>
      <c r="Z16" s="141">
        <f ca="1">IFERROR(IF(Inputs!$G$29="No", IF(Z55=1, 'Rates Table'!Z16*High_Utilised_Capacity, IF($E$2="Homepower Bulk",'Rates Table'!Z16*3*Inputs!$G$27,'Rates Table'!Z16*PODs*High_Days)), IF(Z55=1, 'Rates Table'!Z16*High_Utilised_Capacity_Exist_TOU, IF($E$2="Homepower Bulk",'Rates Table'!Z16*3*Inputs!$G$27,'Rates Table'!Z16*PODs*High_Days))),0)</f>
        <v>0</v>
      </c>
      <c r="AA16" s="141">
        <f ca="1">IFERROR(IF(Inputs!$G$29="No", IF(AA55=1, 'Rates Table'!AA16*High_Utilised_Capacity, IF($E$2="Homepower Bulk",'Rates Table'!AA16*3*Inputs!$G$27,'Rates Table'!AA16*PODs*High_Days)), IF(AA55=1, 'Rates Table'!AA16*High_Utilised_Capacity_Exist_TOU, IF($E$2="Homepower Bulk",'Rates Table'!AA16*3*Inputs!$G$27,'Rates Table'!AA16*PODs*High_Days))),0)</f>
        <v>0</v>
      </c>
      <c r="AB16" s="141">
        <f ca="1">IFERROR(IF(Inputs!$G$29="No", IF(AB55=1, 'Rates Table'!AB16*High_Utilised_Capacity, IF($E$2="Homepower Bulk",'Rates Table'!AB16*3*Inputs!$G$27,'Rates Table'!AB16*PODs*High_Days)), IF(AB55=1, 'Rates Table'!AB16*High_Utilised_Capacity_Exist_TOU, IF($E$2="Homepower Bulk",'Rates Table'!AB16*3*Inputs!$G$27,'Rates Table'!AB16*PODs*High_Days))),0)</f>
        <v>0</v>
      </c>
      <c r="AC16" s="141">
        <f ca="1">IFERROR(IF(Inputs!$G$29="No", IF(AC55=1, 'Rates Table'!AC16*High_Utilised_Capacity, IF($E$2="Homepower Bulk",'Rates Table'!AC16*3*Inputs!$G$27,'Rates Table'!AC16*PODs*High_Days)), IF(AC55=1, 'Rates Table'!AC16*High_Utilised_Capacity_Exist_TOU, IF($E$2="Homepower Bulk",'Rates Table'!AC16*3*Inputs!$G$27,'Rates Table'!AC16*PODs*High_Days))),0)</f>
        <v>0</v>
      </c>
      <c r="AD16" s="141">
        <f ca="1">IFERROR(IF(Inputs!$G$29="No", IF(AD55=1, 'Rates Table'!AD16*High_Utilised_Capacity, IF($E$2="Homepower Bulk",'Rates Table'!AD16*3*Inputs!$G$27,'Rates Table'!AD16*PODs*High_Days)), IF(AD55=1, 'Rates Table'!AD16*High_Utilised_Capacity_Exist_TOU, IF($E$2="Homepower Bulk",'Rates Table'!AD16*3*Inputs!$G$27,'Rates Table'!AD16*PODs*High_Days))),0)</f>
        <v>0</v>
      </c>
      <c r="AE16" s="141">
        <f ca="1">IFERROR(IF(Inputs!$G$29="No", IF(AE55=1, 'Rates Table'!AE16*High_Utilised_Capacity, IF($E$2="Homepower Bulk",'Rates Table'!AE16*3*Inputs!$G$27,'Rates Table'!AE16*PODs*High_Days)), IF(AE55=1, 'Rates Table'!AE16*High_Utilised_Capacity_Exist_TOU, IF($E$2="Homepower Bulk",'Rates Table'!AE16*3*Inputs!$G$27,'Rates Table'!AE16*PODs*High_Days))),0)</f>
        <v>0</v>
      </c>
      <c r="AF16" s="141">
        <f ca="1">IFERROR(IF(Inputs!$G$29="No", IF(AF55=1, 'Rates Table'!AF16*High_Utilised_Capacity, IF($E$2="Homepower Bulk",'Rates Table'!AF16*3*Inputs!$G$27,'Rates Table'!AF16*PODs*High_Days)), IF(AF55=1, 'Rates Table'!AF16*High_Utilised_Capacity_Exist_TOU, IF($E$2="Homepower Bulk",'Rates Table'!AF16*3*Inputs!$G$27,'Rates Table'!AF16*PODs*High_Days))),0)</f>
        <v>0</v>
      </c>
      <c r="AG16" s="141">
        <f ca="1">IFERROR(IF(Inputs!$G$29="No", IF(AG55=1, 'Rates Table'!AG16*High_Utilised_Capacity, IF($E$2="Homepower Bulk",'Rates Table'!AG16*3*Inputs!$G$27,'Rates Table'!AG16*PODs*High_Days)), IF(AG55=1, 'Rates Table'!AG16*High_Utilised_Capacity_Exist_TOU, IF($E$2="Homepower Bulk",'Rates Table'!AG16*3*Inputs!$G$27,'Rates Table'!AG16*PODs*High_Days))),0)</f>
        <v>0</v>
      </c>
      <c r="AH16" s="141">
        <f ca="1">IFERROR(IF(Inputs!$G$29="No", IF(AH55=1, 'Rates Table'!AH16*High_Utilised_Capacity, IF($E$2="Homepower Bulk",'Rates Table'!AH16*3*Inputs!$G$27,'Rates Table'!AH16*PODs*High_Days)), IF(AH55=1, 'Rates Table'!AH16*High_Utilised_Capacity_Exist_TOU, IF($E$2="Homepower Bulk",'Rates Table'!AH16*3*Inputs!$G$27,'Rates Table'!AH16*PODs*High_Days))),0)</f>
        <v>0</v>
      </c>
      <c r="AI16" s="141">
        <f ca="1">IFERROR(IF(Inputs!$G$29="No", IF(AI55=1, 'Rates Table'!AI16*High_Utilised_Capacity, IF($E$2="Homepower Bulk",'Rates Table'!AI16*3*Inputs!$G$27,'Rates Table'!AI16*PODs*High_Days)), IF(AI55=1, 'Rates Table'!AI16*High_Utilised_Capacity_Exist_TOU, IF($E$2="Homepower Bulk",'Rates Table'!AI16*3*Inputs!$G$27,'Rates Table'!AI16*PODs*High_Days))),0)</f>
        <v>0</v>
      </c>
      <c r="AJ16" s="141">
        <f ca="1">IFERROR(IF(Inputs!$G$29="No", IF(AJ55=1, 'Rates Table'!AJ16*High_Utilised_Capacity, IF($E$2="Homepower Bulk",'Rates Table'!AJ16*3*Inputs!$G$27,'Rates Table'!AJ16*PODs*High_Days)), IF(AJ55=1, 'Rates Table'!AJ16*High_Utilised_Capacity_Exist_TOU, IF($E$2="Homepower Bulk",'Rates Table'!AJ16*3*Inputs!$G$27,'Rates Table'!AJ16*PODs*High_Days))),0)</f>
        <v>0</v>
      </c>
      <c r="AK16" s="141">
        <f ca="1">IFERROR(IF(Inputs!$G$29="No", IF(AK55=1, 'Rates Table'!AK16*High_Utilised_Capacity, IF($E$2="Homepower Bulk",'Rates Table'!AK16*3*Inputs!$G$27,'Rates Table'!AK16*PODs*High_Days)), IF(AK55=1, 'Rates Table'!AK16*High_Utilised_Capacity_Exist_TOU, IF($E$2="Homepower Bulk",'Rates Table'!AK16*3*Inputs!$G$27,'Rates Table'!AK16*PODs*High_Days))),0)</f>
        <v>0</v>
      </c>
      <c r="AL16" s="141">
        <f ca="1">IFERROR(IF(Inputs!$G$29="No", IF(AL55=1, 'Rates Table'!AL16*High_Utilised_Capacity, IF($E$2="Homepower Bulk",'Rates Table'!AL16*3*Inputs!$G$27,'Rates Table'!AL16*PODs*High_Days)), IF(AL55=1, 'Rates Table'!AL16*High_Utilised_Capacity_Exist_TOU, IF($E$2="Homepower Bulk",'Rates Table'!AL16*3*Inputs!$G$27,'Rates Table'!AL16*PODs*High_Days))),0)</f>
        <v>1115.96</v>
      </c>
      <c r="AM16" s="141">
        <f ca="1">IFERROR(IF(Inputs!$G$29="No", IF(AM55=1, 'Rates Table'!AM16*High_Utilised_Capacity, IF($E$2="Homepower Bulk",'Rates Table'!AM16*3*Inputs!$G$27,'Rates Table'!AM16*PODs*High_Days)), IF(AM55=1, 'Rates Table'!AM16*High_Utilised_Capacity_Exist_TOU, IF($E$2="Homepower Bulk",'Rates Table'!AM16*3*Inputs!$G$27,'Rates Table'!AM16*PODs*High_Days))),0)</f>
        <v>2490.44</v>
      </c>
      <c r="AN16" s="141">
        <f ca="1">IFERROR(IF(Inputs!$G$29="No", IF(AN55=1, 'Rates Table'!AN16*High_Utilised_Capacity, IF($E$2="Homepower Bulk",'Rates Table'!AN16*3*Inputs!$G$27,'Rates Table'!AN16*PODs*High_Days)), IF(AN55=1, 'Rates Table'!AN16*High_Utilised_Capacity_Exist_TOU, IF($E$2="Homepower Bulk",'Rates Table'!AN16*3*Inputs!$G$27,'Rates Table'!AN16*PODs*High_Days))),0)</f>
        <v>5319.44</v>
      </c>
      <c r="AO16" s="141">
        <f ca="1">IFERROR(IF(Inputs!$G$29="No", IF(AO55=1, 'Rates Table'!AO16*High_Utilised_Capacity, IF($E$2="Homepower Bulk",'Rates Table'!AO16*3*Inputs!$G$27,'Rates Table'!AO16*PODs*High_Days)), IF(AO55=1, 'Rates Table'!AO16*High_Utilised_Capacity_Exist_TOU, IF($E$2="Homepower Bulk",'Rates Table'!AO16*3*Inputs!$G$27,'Rates Table'!AO16*PODs*High_Days))),0)</f>
        <v>768.19999999999993</v>
      </c>
      <c r="AP16" s="141">
        <f ca="1">IFERROR(IF(Inputs!$G$29="No", IF(AP55=1, 'Rates Table'!AP16*High_Utilised_Capacity, IF($E$2="Homepower Bulk",'Rates Table'!AP16*3*Inputs!$G$27,'Rates Table'!AP16*PODs*High_Days)), IF(AP55=1, 'Rates Table'!AP16*High_Utilised_Capacity_Exist_TOU, IF($E$2="Homepower Bulk",'Rates Table'!AP16*3*Inputs!$G$27,'Rates Table'!AP16*PODs*High_Days))),0)</f>
        <v>0</v>
      </c>
      <c r="AQ16" s="141">
        <f ca="1">IFERROR(IF(Inputs!$G$29="No", IF(AQ55=1, 'Rates Table'!AQ16*High_Utilised_Capacity, IF($E$2="Homepower Bulk",'Rates Table'!AQ16*3*Inputs!$G$27,'Rates Table'!AQ16*PODs*High_Days)), IF(AQ55=1, 'Rates Table'!AQ16*High_Utilised_Capacity_Exist_TOU, IF($E$2="Homepower Bulk",'Rates Table'!AQ16*3*Inputs!$G$27,'Rates Table'!AQ16*PODs*High_Days))),0)</f>
        <v>0</v>
      </c>
      <c r="AR16" s="141">
        <f ca="1">IFERROR(IF(Inputs!$G$29="No", IF(AR55=1, 'Rates Table'!AR16*High_Utilised_Capacity, IF($E$2="Homepower Bulk",'Rates Table'!AR16*3*Inputs!$G$27,'Rates Table'!AR16*PODs*High_Days)), IF(AR55=1, 'Rates Table'!AR16*High_Utilised_Capacity_Exist_TOU, IF($E$2="Homepower Bulk",'Rates Table'!AR16*3*Inputs!$G$27,'Rates Table'!AR16*PODs*High_Days))),0)</f>
        <v>0</v>
      </c>
      <c r="AT16" s="140">
        <f t="shared" ca="1" si="7"/>
        <v>0</v>
      </c>
      <c r="AU16" s="141">
        <f ca="1">IFERROR(IF(Inputs!$G$29="No", IF(AU55=1, 'Rates Table'!AU16*High_Utilised_Capacity, IF($E$2="Homepower Bulk",'Rates Table'!AU16*3*Inputs!$G$27,'Rates Table'!AU16*PODs*High_Days)), IF(AU55=1, 'Rates Table'!AU16*High_Utilised_Capacity_New_TOU, IF($E$2="Homepower Bulk",'Rates Table'!AU16*3*Inputs!$G$27,'Rates Table'!AU16*PODs*High_Days))),0)</f>
        <v>2035.0400000000002</v>
      </c>
      <c r="AV16" s="141">
        <f ca="1">IFERROR(IF(Inputs!$G$29="No", IF(AV55=1, 'Rates Table'!AV16*High_Utilised_Capacity, IF($E$2="Homepower Bulk",'Rates Table'!AV16*3*Inputs!$G$27,'Rates Table'!AV16*PODs*High_Days)), IF(AV55=1, 'Rates Table'!AV16*High_Utilised_Capacity_New_TOU, IF($E$2="Homepower Bulk",'Rates Table'!AV16*3*Inputs!$G$27,'Rates Table'!AV16*PODs*High_Days))),0)</f>
        <v>3023.12</v>
      </c>
      <c r="AW16" s="141">
        <f ca="1">IFERROR(IF(Inputs!$G$29="No", IF(AW55=1, 'Rates Table'!AW16*High_Utilised_Capacity, IF($E$2="Homepower Bulk",'Rates Table'!AW16*3*Inputs!$G$27,'Rates Table'!AW16*PODs*High_Days)), IF(AW55=1, 'Rates Table'!AW16*High_Utilised_Capacity_New_TOU, IF($E$2="Homepower Bulk",'Rates Table'!AW16*3*Inputs!$G$27,'Rates Table'!AW16*PODs*High_Days))),0)</f>
        <v>7542.1600000000008</v>
      </c>
      <c r="AX16" s="141">
        <f ca="1">IFERROR(IF(Inputs!$G$29="No", IF(AX55=1, 'Rates Table'!AX16*High_Utilised_Capacity, IF($E$2="Homepower Bulk",'Rates Table'!AX16*3*Inputs!$G$27,'Rates Table'!AX16*PODs*High_Days)), IF(AX55=1, 'Rates Table'!AX16*High_Utilised_Capacity_New_TOU, IF($E$2="Homepower Bulk",'Rates Table'!AX16*3*Inputs!$G$27,'Rates Table'!AX16*PODs*High_Days))),0)</f>
        <v>0</v>
      </c>
      <c r="AY16" s="141">
        <f ca="1">IFERROR(IF(Inputs!$G$29="No", IF(AY55=1, 'Rates Table'!AY16*High_Utilised_Capacity, IF($E$2="Homepower Bulk",'Rates Table'!AY16*3*Inputs!$G$27,'Rates Table'!AY16*PODs*High_Days)), IF(AY55=1, 'Rates Table'!AY16*High_Utilised_Capacity_New_TOU, IF($E$2="Homepower Bulk",'Rates Table'!AY16*3*Inputs!$G$27,'Rates Table'!AY16*PODs*High_Days))),0)</f>
        <v>0</v>
      </c>
      <c r="AZ16" s="141">
        <f ca="1">IFERROR(IF(Inputs!$G$29="No", IF(AZ55=1, 'Rates Table'!AZ16*High_Utilised_Capacity, IF($E$2="Homepower Bulk",'Rates Table'!AZ16*3*Inputs!$G$27,'Rates Table'!AZ16*PODs*High_Days)), IF(AZ55=1, 'Rates Table'!AZ16*High_Utilised_Capacity_New_TOU, IF($E$2="Homepower Bulk",'Rates Table'!AZ16*3*Inputs!$G$27,'Rates Table'!AZ16*PODs*High_Days))),0)</f>
        <v>0</v>
      </c>
      <c r="BA16" s="141">
        <f ca="1">IFERROR(IF(Inputs!$G$29="No", IF(BA55=1, 'Rates Table'!BA16*High_Utilised_Capacity, IF($E$2="Homepower Bulk",'Rates Table'!BA16*3*Inputs!$G$27,'Rates Table'!BA16*PODs*High_Days)), IF(BA55=1, 'Rates Table'!BA16*High_Utilised_Capacity_New_TOU, IF($E$2="Homepower Bulk",'Rates Table'!BA16*3*Inputs!$G$27,'Rates Table'!BA16*PODs*High_Days))),0)</f>
        <v>1213.48</v>
      </c>
      <c r="BB16" s="141">
        <f ca="1">IFERROR(IF(Inputs!$G$29="No", IF(BB55=1, 'Rates Table'!BB16*High_Utilised_Capacity, IF($E$2="Homepower Bulk",'Rates Table'!BB16*3*Inputs!$G$27,'Rates Table'!BB16*PODs*High_Days)), IF(BB55=1, 'Rates Table'!BB16*High_Utilised_Capacity_New_TOU, IF($E$2="Homepower Bulk",'Rates Table'!BB16*3*Inputs!$G$27,'Rates Table'!BB16*PODs*High_Days))),0)</f>
        <v>2708.48</v>
      </c>
      <c r="BC16" s="141">
        <f ca="1">IFERROR(IF(Inputs!$G$29="No", IF(BC55=1, 'Rates Table'!BC16*High_Utilised_Capacity, IF($E$2="Homepower Bulk",'Rates Table'!BC16*3*Inputs!$G$27,'Rates Table'!BC16*PODs*High_Days)), IF(BC55=1, 'Rates Table'!BC16*High_Utilised_Capacity_New_TOU, IF($E$2="Homepower Bulk",'Rates Table'!BC16*3*Inputs!$G$27,'Rates Table'!BC16*PODs*High_Days))),0)</f>
        <v>5785.88</v>
      </c>
      <c r="BD16" s="141">
        <f ca="1">IFERROR(IF(Inputs!$G$29="No", IF(BD55=1, 'Rates Table'!BD16*High_Utilised_Capacity, IF($E$2="Homepower Bulk",'Rates Table'!BD16*3*Inputs!$G$27,'Rates Table'!BD16*PODs*High_Days)), IF(BD55=1, 'Rates Table'!BD16*High_Utilised_Capacity_New_TOU, IF($E$2="Homepower Bulk",'Rates Table'!BD16*3*Inputs!$G$27,'Rates Table'!BD16*PODs*High_Days))),0)</f>
        <v>835.36</v>
      </c>
      <c r="BE16" s="141">
        <f ca="1">IFERROR(IF(Inputs!$G$29="No", IF(BE55=1, 'Rates Table'!BE16*High_Utilised_Capacity, IF($E$2="Homepower Bulk",'Rates Table'!BE16*3*Inputs!$G$27,'Rates Table'!BE16*PODs*High_Days)), IF(BE55=1, 'Rates Table'!BE16*High_Utilised_Capacity_New_TOU, IF($E$2="Homepower Bulk",'Rates Table'!BE16*3*Inputs!$G$27,'Rates Table'!BE16*PODs*High_Days))),0)</f>
        <v>5535.64</v>
      </c>
      <c r="BF16" s="141">
        <f ca="1">IFERROR(IF(Inputs!$G$29="No", IF(BF55=1, 'Rates Table'!BF16*High_Utilised_Capacity, IF($E$2="Homepower Bulk",'Rates Table'!BF16*3*Inputs!$G$27,'Rates Table'!BF16*PODs*High_Days)), IF(BF55=1, 'Rates Table'!BF16*High_Utilised_Capacity_New_TOU, IF($E$2="Homepower Bulk",'Rates Table'!BF16*3*Inputs!$G$27,'Rates Table'!BF16*PODs*High_Days))),0)</f>
        <v>6223.8</v>
      </c>
      <c r="BG16" s="141">
        <f ca="1">IFERROR(IF(Inputs!$G$29="No", IF(BG55=1, 'Rates Table'!BG16*High_Utilised_Capacity, IF($E$2="Homepower Bulk",'Rates Table'!BG16*3*Inputs!$G$27,'Rates Table'!BG16*PODs*High_Days)), IF(BG55=1, 'Rates Table'!BG16*High_Utilised_Capacity_New_TOU, IF($E$2="Homepower Bulk",'Rates Table'!BG16*3*Inputs!$G$27,'Rates Table'!BG16*PODs*High_Days))),0)</f>
        <v>9705.08</v>
      </c>
      <c r="BH16" s="141">
        <f ca="1">IFERROR(IF(Inputs!$G$29="No", IF(BH55=1, 'Rates Table'!BH16*High_Utilised_Capacity, IF($E$2="Homepower Bulk",'Rates Table'!BH16*3*Inputs!$G$27,'Rates Table'!BH16*PODs*High_Days)), IF(BH55=1, 'Rates Table'!BH16*High_Utilised_Capacity_New_TOU, IF($E$2="Homepower Bulk",'Rates Table'!BH16*3*Inputs!$G$27,'Rates Table'!BH16*PODs*High_Days))),0)</f>
        <v>15541.560000000001</v>
      </c>
      <c r="BI16" s="141">
        <f ca="1">IFERROR(IF(Inputs!$G$29="No", IF(BI55=1, 'Rates Table'!BI16*High_Utilised_Capacity, IF($E$2="Homepower Bulk",'Rates Table'!BI16*3*Inputs!$G$27,'Rates Table'!BI16*PODs*High_Days)), IF(BI55=1, 'Rates Table'!BI16*High_Utilised_Capacity_New_TOU, IF($E$2="Homepower Bulk",'Rates Table'!BI16*3*Inputs!$G$27,'Rates Table'!BI16*PODs*High_Days))),0)</f>
        <v>4594.4799999999996</v>
      </c>
      <c r="BJ16" s="141">
        <f ca="1">IFERROR(IF(Inputs!$G$29="No", IF(BJ55=1, 'Rates Table'!BJ16*High_Utilised_Capacity, IF($E$2="Homepower Bulk",'Rates Table'!BJ16*3*Inputs!$G$27,'Rates Table'!BJ16*PODs*High_Days)), IF(BJ55=1, 'Rates Table'!BJ16*High_Utilised_Capacity_New_TOU, IF($E$2="Homepower Bulk",'Rates Table'!BJ16*3*Inputs!$G$27,'Rates Table'!BJ16*PODs*High_Days))),0)</f>
        <v>0</v>
      </c>
      <c r="BK16" s="141">
        <f ca="1">IFERROR(IF(Inputs!$G$29="No", IF(BK55=1, 'Rates Table'!BK16*High_Utilised_Capacity, IF($E$2="Homepower Bulk",'Rates Table'!BK16*3*Inputs!$G$27,'Rates Table'!BK16*PODs*High_Days)), IF(BK55=1, 'Rates Table'!BK16*High_Utilised_Capacity_New_TOU, IF($E$2="Homepower Bulk",'Rates Table'!BK16*3*Inputs!$G$27,'Rates Table'!BK16*PODs*High_Days))),0)</f>
        <v>0</v>
      </c>
      <c r="BL16" s="141">
        <f ca="1">IFERROR(IF(Inputs!$G$29="No", IF(BL55=1, 'Rates Table'!BL16*High_Utilised_Capacity, IF($E$2="Homepower Bulk",'Rates Table'!BL16*3*Inputs!$G$27,'Rates Table'!BL16*PODs*High_Days)), IF(BL55=1, 'Rates Table'!BL16*High_Utilised_Capacity_New_TOU, IF($E$2="Homepower Bulk",'Rates Table'!BL16*3*Inputs!$G$27,'Rates Table'!BL16*PODs*High_Days))),0)</f>
        <v>0</v>
      </c>
      <c r="BM16" s="141">
        <f ca="1">IFERROR(IF(Inputs!$G$29="No", IF(BM55=1, 'Rates Table'!BM16*High_Utilised_Capacity, IF($E$2="Homepower Bulk",'Rates Table'!BM16*3*Inputs!$G$27,'Rates Table'!BM16*PODs*High_Days)), IF(BM55=1, 'Rates Table'!BM16*High_Utilised_Capacity_New_TOU, IF($E$2="Homepower Bulk",'Rates Table'!BM16*3*Inputs!$G$27,'Rates Table'!BM16*PODs*High_Days))),0)</f>
        <v>0</v>
      </c>
      <c r="BN16" s="141">
        <f ca="1">IFERROR(IF(Inputs!$G$29="No", IF(BN55=1, 'Rates Table'!BN16*High_Utilised_Capacity, IF($E$2="Homepower Bulk",'Rates Table'!BN16*3*Inputs!$G$27,'Rates Table'!BN16*PODs*High_Days)), IF(BN55=1, 'Rates Table'!BN16*High_Utilised_Capacity_New_TOU, IF($E$2="Homepower Bulk",'Rates Table'!BN16*3*Inputs!$G$27,'Rates Table'!BN16*PODs*High_Days))),0)</f>
        <v>0</v>
      </c>
      <c r="BO16" s="141">
        <f ca="1">IFERROR(IF(Inputs!$G$29="No", IF(BO55=1, 'Rates Table'!BO16*High_Utilised_Capacity, IF($E$2="Homepower Bulk",'Rates Table'!BO16*3*Inputs!$G$27,'Rates Table'!BO16*PODs*High_Days)), IF(BO55=1, 'Rates Table'!BO16*High_Utilised_Capacity_New_TOU, IF($E$2="Homepower Bulk",'Rates Table'!BO16*3*Inputs!$G$27,'Rates Table'!BO16*PODs*High_Days))),0)</f>
        <v>0</v>
      </c>
      <c r="BP16" s="141">
        <f ca="1">IFERROR(IF(Inputs!$G$29="No", IF(BP55=1, 'Rates Table'!BP16*High_Utilised_Capacity, IF($E$2="Homepower Bulk",'Rates Table'!BP16*3*Inputs!$G$27,'Rates Table'!BP16*PODs*High_Days)), IF(BP55=1, 'Rates Table'!BP16*High_Utilised_Capacity_New_TOU, IF($E$2="Homepower Bulk",'Rates Table'!BP16*3*Inputs!$G$27,'Rates Table'!BP16*PODs*High_Days))),0)</f>
        <v>0</v>
      </c>
      <c r="BQ16" s="141">
        <f ca="1">IFERROR(IF(Inputs!$G$29="No", IF(BQ55=1, 'Rates Table'!BQ16*High_Utilised_Capacity, IF($E$2="Homepower Bulk",'Rates Table'!BQ16*3*Inputs!$G$27,'Rates Table'!BQ16*PODs*High_Days)), IF(BQ55=1, 'Rates Table'!BQ16*High_Utilised_Capacity_New_TOU, IF($E$2="Homepower Bulk",'Rates Table'!BQ16*3*Inputs!$G$27,'Rates Table'!BQ16*PODs*High_Days))),0)</f>
        <v>0</v>
      </c>
      <c r="BR16" s="141">
        <f ca="1">IFERROR(IF(Inputs!$G$29="No", IF(BR55=1, 'Rates Table'!BR16*High_Utilised_Capacity, IF($E$2="Homepower Bulk",'Rates Table'!BR16*3*Inputs!$G$27,'Rates Table'!BR16*PODs*High_Days)), IF(BR55=1, 'Rates Table'!BR16*High_Utilised_Capacity_New_TOU, IF($E$2="Homepower Bulk",'Rates Table'!BR16*3*Inputs!$G$27,'Rates Table'!BR16*PODs*High_Days))),0)</f>
        <v>0</v>
      </c>
      <c r="BS16" s="141">
        <f ca="1">IFERROR(IF(Inputs!$G$29="No", IF(BS55=1, 'Rates Table'!BS16*High_Utilised_Capacity, IF($E$2="Homepower Bulk",'Rates Table'!BS16*3*Inputs!$G$27,'Rates Table'!BS16*PODs*High_Days)), IF(BS55=1, 'Rates Table'!BS16*High_Utilised_Capacity_New_TOU, IF($E$2="Homepower Bulk",'Rates Table'!BS16*3*Inputs!$G$27,'Rates Table'!BS16*PODs*High_Days))),0)</f>
        <v>0</v>
      </c>
      <c r="BT16" s="141">
        <f ca="1">IFERROR(IF(Inputs!$G$29="No", IF(BT55=1, 'Rates Table'!BT16*High_Utilised_Capacity, IF($E$2="Homepower Bulk",'Rates Table'!BT16*3*Inputs!$G$27,'Rates Table'!BT16*PODs*High_Days)), IF(BT55=1, 'Rates Table'!BT16*High_Utilised_Capacity_New_TOU, IF($E$2="Homepower Bulk",'Rates Table'!BT16*3*Inputs!$G$27,'Rates Table'!BT16*PODs*High_Days))),0)</f>
        <v>0</v>
      </c>
      <c r="BU16" s="141">
        <f ca="1">IFERROR(IF(Inputs!$G$29="No", IF(BU55=1, 'Rates Table'!BU16*High_Utilised_Capacity, IF($E$2="Homepower Bulk",'Rates Table'!BU16*3*Inputs!$G$27,'Rates Table'!BU16*PODs*High_Days)), IF(BU55=1, 'Rates Table'!BU16*High_Utilised_Capacity_New_TOU, IF($E$2="Homepower Bulk",'Rates Table'!BU16*3*Inputs!$G$27,'Rates Table'!BU16*PODs*High_Days))),0)</f>
        <v>0</v>
      </c>
      <c r="BV16" s="141">
        <f ca="1">IFERROR(IF(Inputs!$G$29="No", IF(BV55=1, 'Rates Table'!BV16*High_Utilised_Capacity, IF($E$2="Homepower Bulk",'Rates Table'!BV16*3*Inputs!$G$27,'Rates Table'!BV16*PODs*High_Days)), IF(BV55=1, 'Rates Table'!BV16*High_Utilised_Capacity_New_TOU, IF($E$2="Homepower Bulk",'Rates Table'!BV16*3*Inputs!$G$27,'Rates Table'!BV16*PODs*High_Days))),0)</f>
        <v>0</v>
      </c>
      <c r="BW16" s="141">
        <f ca="1">IFERROR(IF(Inputs!$G$29="No", IF(BW55=1, 'Rates Table'!BW16*High_Utilised_Capacity, IF($E$2="Homepower Bulk",'Rates Table'!BW16*3*Inputs!$G$27,'Rates Table'!BW16*PODs*High_Days)), IF(BW55=1, 'Rates Table'!BW16*High_Utilised_Capacity_New_TOU, IF($E$2="Homepower Bulk",'Rates Table'!BW16*3*Inputs!$G$27,'Rates Table'!BW16*PODs*High_Days))),0)</f>
        <v>0</v>
      </c>
      <c r="BX16" s="141">
        <f ca="1">IFERROR(IF(Inputs!$G$29="No", IF(BX55=1, 'Rates Table'!BX16*High_Utilised_Capacity, IF($E$2="Homepower Bulk",'Rates Table'!BX16*3*Inputs!$G$27,'Rates Table'!BX16*PODs*High_Days)), IF(BX55=1, 'Rates Table'!BX16*High_Utilised_Capacity_New_TOU, IF($E$2="Homepower Bulk",'Rates Table'!BX16*3*Inputs!$G$27,'Rates Table'!BX16*PODs*High_Days))),0)</f>
        <v>0</v>
      </c>
      <c r="BY16" s="141">
        <f ca="1">IFERROR(IF(Inputs!$G$29="No", IF(BY55=1, 'Rates Table'!BY16*High_Utilised_Capacity, IF($E$2="Homepower Bulk",'Rates Table'!BY16*3*Inputs!$G$27,'Rates Table'!BY16*PODs*High_Days)), IF(BY55=1, 'Rates Table'!BY16*High_Utilised_Capacity_New_TOU, IF($E$2="Homepower Bulk",'Rates Table'!BY16*3*Inputs!$G$27,'Rates Table'!BY16*PODs*High_Days))),0)</f>
        <v>0</v>
      </c>
      <c r="BZ16" s="141">
        <f ca="1">IFERROR(IF(Inputs!$G$29="No", IF(BZ55=1, 'Rates Table'!BZ16*High_Utilised_Capacity, IF($E$2="Homepower Bulk",'Rates Table'!BZ16*3*Inputs!$G$27,'Rates Table'!BZ16*PODs*High_Days)), IF(BZ55=1, 'Rates Table'!BZ16*High_Utilised_Capacity_New_TOU, IF($E$2="Homepower Bulk",'Rates Table'!BZ16*3*Inputs!$G$27,'Rates Table'!BZ16*PODs*High_Days))),0)</f>
        <v>0</v>
      </c>
      <c r="CA16" s="141">
        <f ca="1">IFERROR(IF(Inputs!$G$29="No", IF(CA55=1, 'Rates Table'!CA16*High_Utilised_Capacity, IF($E$2="Homepower Bulk",'Rates Table'!CA16*3*Inputs!$G$27,'Rates Table'!CA16*PODs*High_Days)), IF(CA55=1, 'Rates Table'!CA16*High_Utilised_Capacity_New_TOU, IF($E$2="Homepower Bulk",'Rates Table'!CA16*3*Inputs!$G$27,'Rates Table'!CA16*PODs*High_Days))),0)</f>
        <v>1213.48</v>
      </c>
      <c r="CB16" s="141">
        <f ca="1">IFERROR(IF(Inputs!$G$29="No", IF(CB55=1, 'Rates Table'!CB16*High_Utilised_Capacity, IF($E$2="Homepower Bulk",'Rates Table'!CB16*3*Inputs!$G$27,'Rates Table'!CB16*PODs*High_Days)), IF(CB55=1, 'Rates Table'!CB16*High_Utilised_Capacity_New_TOU, IF($E$2="Homepower Bulk",'Rates Table'!CB16*3*Inputs!$G$27,'Rates Table'!CB16*PODs*High_Days))),0)</f>
        <v>2708.48</v>
      </c>
      <c r="CC16" s="141">
        <f ca="1">IFERROR(IF(Inputs!$G$29="No", IF(CC55=1, 'Rates Table'!CC16*High_Utilised_Capacity, IF($E$2="Homepower Bulk",'Rates Table'!CC16*3*Inputs!$G$27,'Rates Table'!CC16*PODs*High_Days)), IF(CC55=1, 'Rates Table'!CC16*High_Utilised_Capacity_New_TOU, IF($E$2="Homepower Bulk",'Rates Table'!CC16*3*Inputs!$G$27,'Rates Table'!CC16*PODs*High_Days))),0)</f>
        <v>5785.88</v>
      </c>
      <c r="CD16" s="141">
        <f ca="1">IFERROR(IF(Inputs!$G$29="No", IF(CD55=1, 'Rates Table'!CD16*High_Utilised_Capacity, IF($E$2="Homepower Bulk",'Rates Table'!CD16*3*Inputs!$G$27,'Rates Table'!CD16*PODs*High_Days)), IF(CD55=1, 'Rates Table'!CD16*High_Utilised_Capacity_New_TOU, IF($E$2="Homepower Bulk",'Rates Table'!CD16*3*Inputs!$G$27,'Rates Table'!CD16*PODs*High_Days))),0)</f>
        <v>835.36</v>
      </c>
      <c r="CE16" s="141">
        <f ca="1">IFERROR(IF(Inputs!$G$29="No", IF(CE55=1, 'Rates Table'!CE16*High_Utilised_Capacity, IF($E$2="Homepower Bulk",'Rates Table'!CE16*3*Inputs!$G$27,'Rates Table'!CE16*PODs*High_Days)), IF(CE55=1, 'Rates Table'!CE16*High_Utilised_Capacity_New_TOU, IF($E$2="Homepower Bulk",'Rates Table'!CE16*3*Inputs!$G$27,'Rates Table'!CE16*PODs*High_Days))),0)</f>
        <v>0</v>
      </c>
      <c r="CF16" s="141">
        <f ca="1">IFERROR(IF(Inputs!$G$29="No", IF(CF55=1, 'Rates Table'!CF16*High_Utilised_Capacity, IF($E$2="Homepower Bulk",'Rates Table'!CF16*3*Inputs!$G$27,'Rates Table'!CF16*PODs*High_Days)), IF(CF55=1, 'Rates Table'!CF16*High_Utilised_Capacity_New_TOU, IF($E$2="Homepower Bulk",'Rates Table'!CF16*3*Inputs!$G$27,'Rates Table'!CF16*PODs*High_Days))),0)</f>
        <v>0</v>
      </c>
    </row>
    <row r="17" spans="2:84" s="138" customFormat="1" ht="12" customHeight="1"/>
    <row r="18" spans="2:84" s="138" customFormat="1">
      <c r="B18" s="142" t="s">
        <v>119</v>
      </c>
      <c r="C18" s="142"/>
      <c r="D18" s="143"/>
      <c r="E18" s="143">
        <f t="shared" ref="E18:AF18" ca="1" si="9">SUM(E10:E16)</f>
        <v>0</v>
      </c>
      <c r="F18" s="143">
        <f t="shared" ca="1" si="9"/>
        <v>1871.28</v>
      </c>
      <c r="G18" s="143">
        <f t="shared" ca="1" si="9"/>
        <v>2779.32</v>
      </c>
      <c r="H18" s="143">
        <f t="shared" ca="1" si="9"/>
        <v>6934.9599999999991</v>
      </c>
      <c r="I18" s="143">
        <f t="shared" ca="1" si="9"/>
        <v>0</v>
      </c>
      <c r="J18" s="143">
        <f t="shared" ca="1" si="9"/>
        <v>0</v>
      </c>
      <c r="K18" s="143">
        <f t="shared" ca="1" si="9"/>
        <v>0</v>
      </c>
      <c r="L18" s="143">
        <f t="shared" ca="1" si="9"/>
        <v>1115.96</v>
      </c>
      <c r="M18" s="143">
        <f t="shared" ca="1" si="9"/>
        <v>2490.44</v>
      </c>
      <c r="N18" s="143">
        <f t="shared" ca="1" si="9"/>
        <v>5319.44</v>
      </c>
      <c r="O18" s="143">
        <f t="shared" ca="1" si="9"/>
        <v>768.19999999999993</v>
      </c>
      <c r="P18" s="143">
        <f t="shared" ca="1" si="9"/>
        <v>5089.4399999999996</v>
      </c>
      <c r="Q18" s="143">
        <f t="shared" ca="1" si="9"/>
        <v>5722.4000000000005</v>
      </c>
      <c r="R18" s="143">
        <f t="shared" ca="1" si="9"/>
        <v>8923.08</v>
      </c>
      <c r="S18" s="143">
        <f t="shared" ca="1" si="9"/>
        <v>14289.439999999999</v>
      </c>
      <c r="T18" s="143">
        <f t="shared" ca="1" si="9"/>
        <v>4224.6400000000003</v>
      </c>
      <c r="U18" s="143">
        <f t="shared" ca="1" si="9"/>
        <v>0</v>
      </c>
      <c r="V18" s="143">
        <f t="shared" ca="1" si="9"/>
        <v>0</v>
      </c>
      <c r="W18" s="143">
        <f t="shared" ca="1" si="9"/>
        <v>0</v>
      </c>
      <c r="X18" s="143">
        <f t="shared" ca="1" si="9"/>
        <v>0</v>
      </c>
      <c r="Y18" s="143">
        <f t="shared" ca="1" si="9"/>
        <v>0</v>
      </c>
      <c r="Z18" s="143">
        <f t="shared" ca="1" si="9"/>
        <v>0</v>
      </c>
      <c r="AA18" s="143">
        <f t="shared" ca="1" si="9"/>
        <v>0</v>
      </c>
      <c r="AB18" s="143">
        <f t="shared" ca="1" si="9"/>
        <v>0</v>
      </c>
      <c r="AC18" s="143">
        <f t="shared" ca="1" si="9"/>
        <v>0</v>
      </c>
      <c r="AD18" s="143">
        <f t="shared" ca="1" si="9"/>
        <v>0</v>
      </c>
      <c r="AE18" s="143">
        <f t="shared" ca="1" si="9"/>
        <v>0</v>
      </c>
      <c r="AF18" s="143">
        <f t="shared" ca="1" si="9"/>
        <v>0</v>
      </c>
      <c r="AG18" s="143">
        <f t="shared" ref="AG18:AO18" ca="1" si="10">SUM(AG10:AG16)</f>
        <v>0</v>
      </c>
      <c r="AH18" s="143">
        <f t="shared" ca="1" si="10"/>
        <v>0</v>
      </c>
      <c r="AI18" s="143">
        <f t="shared" ca="1" si="10"/>
        <v>0</v>
      </c>
      <c r="AJ18" s="143">
        <f t="shared" ca="1" si="10"/>
        <v>0</v>
      </c>
      <c r="AK18" s="143">
        <f t="shared" ca="1" si="10"/>
        <v>0</v>
      </c>
      <c r="AL18" s="143">
        <f t="shared" ca="1" si="10"/>
        <v>1115.96</v>
      </c>
      <c r="AM18" s="143">
        <f t="shared" ca="1" si="10"/>
        <v>2490.44</v>
      </c>
      <c r="AN18" s="143">
        <f t="shared" ca="1" si="10"/>
        <v>5319.44</v>
      </c>
      <c r="AO18" s="143">
        <f t="shared" ca="1" si="10"/>
        <v>768.19999999999993</v>
      </c>
      <c r="AP18" s="143">
        <f ca="1">SUM(AP10:AP16)</f>
        <v>0</v>
      </c>
      <c r="AQ18" s="143">
        <f ca="1">SUM(AQ10:AQ16)</f>
        <v>0</v>
      </c>
      <c r="AR18" s="143">
        <f ca="1">SUM(AR10:AR16)</f>
        <v>0</v>
      </c>
      <c r="AT18" s="143">
        <f t="shared" ref="AT18:CD18" ca="1" si="11">SUM(AT10:AT16)</f>
        <v>0</v>
      </c>
      <c r="AU18" s="143">
        <f t="shared" ca="1" si="11"/>
        <v>2035.0400000000002</v>
      </c>
      <c r="AV18" s="143">
        <f t="shared" ca="1" si="11"/>
        <v>3023.12</v>
      </c>
      <c r="AW18" s="143">
        <f t="shared" ca="1" si="11"/>
        <v>7542.1600000000008</v>
      </c>
      <c r="AX18" s="143">
        <f t="shared" ca="1" si="11"/>
        <v>0</v>
      </c>
      <c r="AY18" s="143">
        <f t="shared" ca="1" si="11"/>
        <v>0</v>
      </c>
      <c r="AZ18" s="143">
        <f t="shared" ca="1" si="11"/>
        <v>0</v>
      </c>
      <c r="BA18" s="143">
        <f t="shared" ca="1" si="11"/>
        <v>1213.48</v>
      </c>
      <c r="BB18" s="143">
        <f t="shared" ca="1" si="11"/>
        <v>2708.48</v>
      </c>
      <c r="BC18" s="143">
        <f t="shared" ca="1" si="11"/>
        <v>5785.88</v>
      </c>
      <c r="BD18" s="143">
        <f t="shared" ca="1" si="11"/>
        <v>835.36</v>
      </c>
      <c r="BE18" s="143">
        <f t="shared" ca="1" si="11"/>
        <v>5535.64</v>
      </c>
      <c r="BF18" s="143">
        <f t="shared" ca="1" si="11"/>
        <v>6223.8</v>
      </c>
      <c r="BG18" s="143">
        <f t="shared" ca="1" si="11"/>
        <v>9705.08</v>
      </c>
      <c r="BH18" s="143">
        <f t="shared" ca="1" si="11"/>
        <v>15541.560000000001</v>
      </c>
      <c r="BI18" s="143">
        <f t="shared" ca="1" si="11"/>
        <v>4594.4799999999996</v>
      </c>
      <c r="BJ18" s="143">
        <f t="shared" ca="1" si="11"/>
        <v>0</v>
      </c>
      <c r="BK18" s="143">
        <f t="shared" ca="1" si="11"/>
        <v>0</v>
      </c>
      <c r="BL18" s="143">
        <f t="shared" ca="1" si="11"/>
        <v>0</v>
      </c>
      <c r="BM18" s="143">
        <f t="shared" ca="1" si="11"/>
        <v>0</v>
      </c>
      <c r="BN18" s="143">
        <f t="shared" ca="1" si="11"/>
        <v>0</v>
      </c>
      <c r="BO18" s="143">
        <f t="shared" ca="1" si="11"/>
        <v>0</v>
      </c>
      <c r="BP18" s="143">
        <f t="shared" ca="1" si="11"/>
        <v>0</v>
      </c>
      <c r="BQ18" s="143">
        <f t="shared" ca="1" si="11"/>
        <v>0</v>
      </c>
      <c r="BR18" s="143">
        <f t="shared" ca="1" si="11"/>
        <v>0</v>
      </c>
      <c r="BS18" s="143">
        <f t="shared" ca="1" si="11"/>
        <v>0</v>
      </c>
      <c r="BT18" s="143">
        <f t="shared" ca="1" si="11"/>
        <v>0</v>
      </c>
      <c r="BU18" s="143">
        <f t="shared" ca="1" si="11"/>
        <v>0</v>
      </c>
      <c r="BV18" s="143">
        <f t="shared" ca="1" si="11"/>
        <v>0</v>
      </c>
      <c r="BW18" s="143">
        <f t="shared" ca="1" si="11"/>
        <v>0</v>
      </c>
      <c r="BX18" s="143">
        <f t="shared" ca="1" si="11"/>
        <v>0</v>
      </c>
      <c r="BY18" s="143">
        <f t="shared" ca="1" si="11"/>
        <v>0</v>
      </c>
      <c r="BZ18" s="143">
        <f t="shared" ca="1" si="11"/>
        <v>0</v>
      </c>
      <c r="CA18" s="143">
        <f t="shared" ca="1" si="11"/>
        <v>1213.48</v>
      </c>
      <c r="CB18" s="143">
        <f t="shared" ca="1" si="11"/>
        <v>2708.48</v>
      </c>
      <c r="CC18" s="143">
        <f t="shared" ca="1" si="11"/>
        <v>5785.88</v>
      </c>
      <c r="CD18" s="143">
        <f t="shared" ca="1" si="11"/>
        <v>835.36</v>
      </c>
      <c r="CE18" s="143">
        <f ca="1">SUM(CE10:CE16)</f>
        <v>0</v>
      </c>
      <c r="CF18" s="143">
        <f ca="1">SUM(CF10:CF16)</f>
        <v>0</v>
      </c>
    </row>
    <row r="19" spans="2:84" s="138" customFormat="1"/>
    <row r="20" spans="2:84" s="138" customFormat="1" ht="30" customHeight="1">
      <c r="B20" s="147" t="s">
        <v>195</v>
      </c>
      <c r="C20" s="147"/>
      <c r="D20" s="148" t="s">
        <v>110</v>
      </c>
      <c r="E20" s="148" t="str">
        <f>E$8</f>
        <v>2025/26 Rates</v>
      </c>
      <c r="F20" s="148" t="str">
        <f t="shared" ref="F20:AR20" si="12">F$8</f>
        <v>2025/26 Rates</v>
      </c>
      <c r="G20" s="148" t="str">
        <f t="shared" si="12"/>
        <v>2025/26 Rates</v>
      </c>
      <c r="H20" s="148" t="str">
        <f t="shared" si="12"/>
        <v>2025/26 Rates</v>
      </c>
      <c r="I20" s="148" t="str">
        <f t="shared" si="12"/>
        <v>2025/26 Rates</v>
      </c>
      <c r="J20" s="148" t="str">
        <f t="shared" si="12"/>
        <v>2025/26 Rates</v>
      </c>
      <c r="K20" s="148" t="str">
        <f t="shared" si="12"/>
        <v>2025/26 Rates</v>
      </c>
      <c r="L20" s="148" t="str">
        <f t="shared" si="12"/>
        <v>2025/26 Rates</v>
      </c>
      <c r="M20" s="148" t="str">
        <f t="shared" si="12"/>
        <v>2025/26 Rates</v>
      </c>
      <c r="N20" s="148" t="str">
        <f t="shared" si="12"/>
        <v>2025/26 Rates</v>
      </c>
      <c r="O20" s="148" t="str">
        <f t="shared" si="12"/>
        <v>2025/26 Rates</v>
      </c>
      <c r="P20" s="148" t="str">
        <f t="shared" si="12"/>
        <v>2025/26 Rates</v>
      </c>
      <c r="Q20" s="148" t="str">
        <f t="shared" si="12"/>
        <v>2025/26 Rates</v>
      </c>
      <c r="R20" s="148" t="str">
        <f t="shared" si="12"/>
        <v>2025/26 Rates</v>
      </c>
      <c r="S20" s="148" t="str">
        <f t="shared" si="12"/>
        <v>2025/26 Rates</v>
      </c>
      <c r="T20" s="148" t="str">
        <f t="shared" si="12"/>
        <v>2025/26 Rates</v>
      </c>
      <c r="U20" s="148" t="str">
        <f t="shared" si="12"/>
        <v>2025/26 Rates</v>
      </c>
      <c r="V20" s="148" t="str">
        <f t="shared" si="12"/>
        <v>2025/26 Rates</v>
      </c>
      <c r="W20" s="148" t="str">
        <f t="shared" si="12"/>
        <v>2025/26 Rates</v>
      </c>
      <c r="X20" s="148" t="str">
        <f t="shared" si="12"/>
        <v>2025/26 Rates</v>
      </c>
      <c r="Y20" s="148" t="str">
        <f t="shared" si="12"/>
        <v>2025/26 Rates</v>
      </c>
      <c r="Z20" s="148" t="str">
        <f t="shared" si="12"/>
        <v>2025/26 Rates</v>
      </c>
      <c r="AA20" s="148" t="str">
        <f t="shared" si="12"/>
        <v>2025/26 Rates</v>
      </c>
      <c r="AB20" s="148" t="str">
        <f t="shared" si="12"/>
        <v>2025/26 Rates</v>
      </c>
      <c r="AC20" s="148" t="str">
        <f t="shared" si="12"/>
        <v>2025/26 Rates</v>
      </c>
      <c r="AD20" s="148" t="str">
        <f t="shared" si="12"/>
        <v>2025/26 Rates</v>
      </c>
      <c r="AE20" s="148" t="str">
        <f t="shared" si="12"/>
        <v>2025/26 Rates</v>
      </c>
      <c r="AF20" s="148" t="str">
        <f t="shared" si="12"/>
        <v>2025/26 Rates</v>
      </c>
      <c r="AG20" s="148" t="str">
        <f t="shared" si="12"/>
        <v>2025/26 Rates</v>
      </c>
      <c r="AH20" s="148" t="str">
        <f t="shared" si="12"/>
        <v>2025/26 Rates</v>
      </c>
      <c r="AI20" s="148" t="str">
        <f t="shared" si="12"/>
        <v>2025/26 Rates</v>
      </c>
      <c r="AJ20" s="148" t="str">
        <f t="shared" si="12"/>
        <v>2025/26 Rates</v>
      </c>
      <c r="AK20" s="148" t="str">
        <f t="shared" si="12"/>
        <v>2025/26 Rates</v>
      </c>
      <c r="AL20" s="148" t="str">
        <f t="shared" si="12"/>
        <v>2025/26 Rates</v>
      </c>
      <c r="AM20" s="148" t="str">
        <f t="shared" si="12"/>
        <v>2025/26 Rates</v>
      </c>
      <c r="AN20" s="148" t="str">
        <f t="shared" si="12"/>
        <v>2025/26 Rates</v>
      </c>
      <c r="AO20" s="148" t="str">
        <f t="shared" si="12"/>
        <v>2025/26 Rates</v>
      </c>
      <c r="AP20" s="148" t="str">
        <f t="shared" si="12"/>
        <v>2025/26 Rates</v>
      </c>
      <c r="AQ20" s="148" t="str">
        <f t="shared" si="12"/>
        <v>2025/26 Rates</v>
      </c>
      <c r="AR20" s="148" t="str">
        <f t="shared" si="12"/>
        <v>2025/26 Rates</v>
      </c>
      <c r="AT20" s="148" t="str">
        <f>AT$8</f>
        <v>2026/27 Rates</v>
      </c>
      <c r="AU20" s="148" t="str">
        <f t="shared" ref="AU20:CF20" si="13">AU$8</f>
        <v>2026/27 Rates</v>
      </c>
      <c r="AV20" s="148" t="str">
        <f t="shared" si="13"/>
        <v>2026/27 Rates</v>
      </c>
      <c r="AW20" s="148" t="str">
        <f t="shared" si="13"/>
        <v>2026/27 Rates</v>
      </c>
      <c r="AX20" s="148" t="str">
        <f t="shared" si="13"/>
        <v>2026/27 Rates</v>
      </c>
      <c r="AY20" s="148" t="str">
        <f t="shared" si="13"/>
        <v>2026/27 Rates</v>
      </c>
      <c r="AZ20" s="148" t="str">
        <f t="shared" si="13"/>
        <v>2026/27 Rates</v>
      </c>
      <c r="BA20" s="148" t="str">
        <f t="shared" si="13"/>
        <v>2026/27 Rates</v>
      </c>
      <c r="BB20" s="148" t="str">
        <f t="shared" si="13"/>
        <v>2026/27 Rates</v>
      </c>
      <c r="BC20" s="148" t="str">
        <f t="shared" si="13"/>
        <v>2026/27 Rates</v>
      </c>
      <c r="BD20" s="148" t="str">
        <f t="shared" si="13"/>
        <v>2026/27 Rates</v>
      </c>
      <c r="BE20" s="148" t="str">
        <f t="shared" si="13"/>
        <v>2026/27 Rates</v>
      </c>
      <c r="BF20" s="148" t="str">
        <f t="shared" si="13"/>
        <v>2026/27 Rates</v>
      </c>
      <c r="BG20" s="148" t="str">
        <f t="shared" si="13"/>
        <v>2026/27 Rates</v>
      </c>
      <c r="BH20" s="148" t="str">
        <f t="shared" si="13"/>
        <v>2026/27 Rates</v>
      </c>
      <c r="BI20" s="148" t="str">
        <f t="shared" si="13"/>
        <v>2026/27 Rates</v>
      </c>
      <c r="BJ20" s="148" t="str">
        <f t="shared" si="13"/>
        <v>2026/27 Rates</v>
      </c>
      <c r="BK20" s="148" t="str">
        <f t="shared" si="13"/>
        <v>2026/27 Rates</v>
      </c>
      <c r="BL20" s="148" t="str">
        <f t="shared" si="13"/>
        <v>2026/27 Rates</v>
      </c>
      <c r="BM20" s="148" t="str">
        <f t="shared" si="13"/>
        <v>2026/27 Rates</v>
      </c>
      <c r="BN20" s="148" t="str">
        <f t="shared" si="13"/>
        <v>2026/27 Rates</v>
      </c>
      <c r="BO20" s="148" t="str">
        <f t="shared" si="13"/>
        <v>2026/27 Rates</v>
      </c>
      <c r="BP20" s="148" t="str">
        <f t="shared" si="13"/>
        <v>2026/27 Rates</v>
      </c>
      <c r="BQ20" s="148" t="str">
        <f t="shared" si="13"/>
        <v>2026/27 Rates</v>
      </c>
      <c r="BR20" s="148" t="str">
        <f t="shared" si="13"/>
        <v>2026/27 Rates</v>
      </c>
      <c r="BS20" s="148" t="str">
        <f t="shared" si="13"/>
        <v>2026/27 Rates</v>
      </c>
      <c r="BT20" s="148" t="str">
        <f t="shared" si="13"/>
        <v>2026/27 Rates</v>
      </c>
      <c r="BU20" s="148" t="str">
        <f t="shared" si="13"/>
        <v>2026/27 Rates</v>
      </c>
      <c r="BV20" s="148" t="str">
        <f t="shared" si="13"/>
        <v>2026/27 Rates</v>
      </c>
      <c r="BW20" s="148" t="str">
        <f t="shared" si="13"/>
        <v>2026/27 Rates</v>
      </c>
      <c r="BX20" s="148" t="str">
        <f t="shared" si="13"/>
        <v>2026/27 Rates</v>
      </c>
      <c r="BY20" s="148" t="str">
        <f t="shared" si="13"/>
        <v>2026/27 Rates</v>
      </c>
      <c r="BZ20" s="148" t="str">
        <f t="shared" si="13"/>
        <v>2026/27 Rates</v>
      </c>
      <c r="CA20" s="148" t="str">
        <f t="shared" si="13"/>
        <v>2026/27 Rates</v>
      </c>
      <c r="CB20" s="148" t="str">
        <f t="shared" si="13"/>
        <v>2026/27 Rates</v>
      </c>
      <c r="CC20" s="148" t="str">
        <f t="shared" si="13"/>
        <v>2026/27 Rates</v>
      </c>
      <c r="CD20" s="148" t="str">
        <f t="shared" si="13"/>
        <v>2026/27 Rates</v>
      </c>
      <c r="CE20" s="148" t="str">
        <f t="shared" si="13"/>
        <v>2026/27 Rates</v>
      </c>
      <c r="CF20" s="148" t="str">
        <f t="shared" si="13"/>
        <v>2026/27 Rates</v>
      </c>
    </row>
    <row r="21" spans="2:84" s="138" customFormat="1" ht="4.05" customHeight="1"/>
    <row r="22" spans="2:84" s="138" customFormat="1">
      <c r="C22" s="138" t="s">
        <v>120</v>
      </c>
      <c r="D22" s="139" t="s">
        <v>106</v>
      </c>
      <c r="E22" s="140">
        <f t="shared" ref="E22:E31" ca="1" si="14">INDEX(F22:AR22,0,$F$2)</f>
        <v>0</v>
      </c>
      <c r="F22" s="141">
        <f ca="1">IFERROR('Rates Table'!F22*IF(Inputs!$G$29="No",High_Peak,High_Peak_Exist_TOU),0)/100</f>
        <v>0</v>
      </c>
      <c r="G22" s="141">
        <f ca="1">IFERROR('Rates Table'!G22*IF(Inputs!$G$29="No",High_Peak,High_Peak_Exist_TOU),0)/100</f>
        <v>0</v>
      </c>
      <c r="H22" s="141">
        <f ca="1">IFERROR('Rates Table'!H22*IF(Inputs!$G$29="No",High_Peak,High_Peak_Exist_TOU),0)/100</f>
        <v>0</v>
      </c>
      <c r="I22" s="141">
        <f ca="1">IFERROR('Rates Table'!I22*IF(Inputs!$G$29="No",High_Peak,High_Peak_Exist_TOU),0)/100</f>
        <v>0</v>
      </c>
      <c r="J22" s="141">
        <f ca="1">IFERROR('Rates Table'!J22*IF(Inputs!$G$29="No",High_Peak,High_Peak_Exist_TOU),0)/100</f>
        <v>0</v>
      </c>
      <c r="K22" s="141">
        <f ca="1">IFERROR('Rates Table'!K22*IF(Inputs!$G$29="No",High_Peak,High_Peak_Exist_TOU),0)/100</f>
        <v>0</v>
      </c>
      <c r="L22" s="141">
        <f ca="1">IFERROR('Rates Table'!L22*IF(Inputs!$G$29="No",High_Peak,High_Peak_Exist_TOU),0)/100</f>
        <v>0</v>
      </c>
      <c r="M22" s="141">
        <f ca="1">IFERROR('Rates Table'!M22*IF(Inputs!$G$29="No",High_Peak,High_Peak_Exist_TOU),0)/100</f>
        <v>0</v>
      </c>
      <c r="N22" s="141">
        <f ca="1">IFERROR('Rates Table'!N22*IF(Inputs!$G$29="No",High_Peak,High_Peak_Exist_TOU),0)/100</f>
        <v>0</v>
      </c>
      <c r="O22" s="141">
        <f ca="1">IFERROR('Rates Table'!O22*IF(Inputs!$G$29="No",High_Peak,High_Peak_Exist_TOU),0)/100</f>
        <v>0</v>
      </c>
      <c r="P22" s="141">
        <f ca="1">IFERROR('Rates Table'!P22*IF(Inputs!$G$29="No",High_Peak,High_Peak_Exist_TOU),0)/100</f>
        <v>0</v>
      </c>
      <c r="Q22" s="141">
        <f ca="1">IFERROR('Rates Table'!Q22*IF(Inputs!$G$29="No",High_Peak,High_Peak_Exist_TOU),0)/100</f>
        <v>0</v>
      </c>
      <c r="R22" s="141">
        <f ca="1">IFERROR('Rates Table'!R22*IF(Inputs!$G$29="No",High_Peak,High_Peak_Exist_TOU),0)/100</f>
        <v>0</v>
      </c>
      <c r="S22" s="141">
        <f ca="1">IFERROR('Rates Table'!S22*IF(Inputs!$G$29="No",High_Peak,High_Peak_Exist_TOU),0)/100</f>
        <v>0</v>
      </c>
      <c r="T22" s="141">
        <f ca="1">IFERROR('Rates Table'!T22*IF(Inputs!$G$29="No",High_Peak,High_Peak_Exist_TOU),0)/100</f>
        <v>0</v>
      </c>
      <c r="U22" s="141">
        <f ca="1">IFERROR('Rates Table'!U22*IF(Inputs!$G$29="No",High_Peak,High_Peak_Exist_TOU),0)/100</f>
        <v>0</v>
      </c>
      <c r="V22" s="141">
        <f ca="1">IFERROR('Rates Table'!V22*IF(Inputs!$G$29="No",High_Peak,High_Peak_Exist_TOU),0)/100</f>
        <v>0</v>
      </c>
      <c r="W22" s="141">
        <f ca="1">IFERROR('Rates Table'!W22*IF(Inputs!$G$29="No",High_Peak,High_Peak_Exist_TOU),0)/100</f>
        <v>0</v>
      </c>
      <c r="X22" s="141">
        <f ca="1">IF(OR(E2="Nightsave Large",E2="Nightsave Small"),E22,IFERROR('Rates Table'!X22*IF(Inputs!$G$29="No",High_Peak,High_Peak_Exist_TOU),0)/100)</f>
        <v>0</v>
      </c>
      <c r="Y22" s="141">
        <f ca="1">IFERROR('Rates Table'!Y22*IF(Inputs!$G$29="No",High_Peak,High_Peak_Exist_TOU),0)/100</f>
        <v>0</v>
      </c>
      <c r="Z22" s="141">
        <f ca="1">IFERROR('Rates Table'!Z22*IF(Inputs!$G$29="No",High_Peak,High_Peak_Exist_TOU),0)/100</f>
        <v>0</v>
      </c>
      <c r="AA22" s="141">
        <f ca="1">IFERROR('Rates Table'!AA22*IF(Inputs!$G$29="No",High_Peak,High_Peak_Exist_TOU),0)/100</f>
        <v>0</v>
      </c>
      <c r="AB22" s="141">
        <f ca="1">IFERROR('Rates Table'!AB22*IF(Inputs!$G$29="No",High_Peak,High_Peak_Exist_TOU),0)/100</f>
        <v>0</v>
      </c>
      <c r="AC22" s="141">
        <f ca="1">IFERROR('Rates Table'!AC22*IF(Inputs!$G$29="No",High_Peak,High_Peak_Exist_TOU),0)/100</f>
        <v>0</v>
      </c>
      <c r="AD22" s="141">
        <f ca="1">IFERROR('Rates Table'!AD22*IF(Inputs!$G$29="No",High_Peak,High_Peak_Exist_TOU),0)/100</f>
        <v>0</v>
      </c>
      <c r="AE22" s="141">
        <f ca="1">IFERROR('Rates Table'!AE22*IF(Inputs!$G$29="No",High_Peak,High_Peak_Exist_TOU),0)/100</f>
        <v>0</v>
      </c>
      <c r="AF22" s="141">
        <f ca="1">IFERROR('Rates Table'!AF22*IF(Inputs!$G$29="No",High_Peak,High_Peak_Exist_TOU),0)/100</f>
        <v>0</v>
      </c>
      <c r="AG22" s="141">
        <f ca="1">IFERROR('Rates Table'!AG22*IF(Inputs!$G$29="No",High_Peak,High_Peak_Exist_TOU),0)/100</f>
        <v>0</v>
      </c>
      <c r="AH22" s="141">
        <f>IFERROR('Rates Table'!AH21*IF(Inputs!$G$29="No",High_Peak,High_Peak_Exist_TOU),0)/100</f>
        <v>0</v>
      </c>
      <c r="AI22" s="141">
        <f>IFERROR('Rates Table'!AI21*IF(Inputs!$G$29="No",High_Peak,High_Peak_Exist_TOU),0)/100</f>
        <v>0</v>
      </c>
      <c r="AJ22" s="141">
        <f>IFERROR('Rates Table'!AJ21*IF(Inputs!$G$29="No",High_Peak,High_Peak_Exist_TOU),0)/100</f>
        <v>0</v>
      </c>
      <c r="AK22" s="141">
        <f>IFERROR('Rates Table'!AK21*IF(Inputs!$G$29="No",High_Peak,High_Peak_Exist_TOU),0)/100</f>
        <v>0</v>
      </c>
      <c r="AL22" s="141">
        <f ca="1">IFERROR('Rates Table'!AL22*IF(Inputs!$G$29="No",High_Peak,High_Peak_Exist_TOU),0)/100</f>
        <v>0</v>
      </c>
      <c r="AM22" s="141">
        <f ca="1">IFERROR('Rates Table'!AM22*IF(Inputs!$G$29="No",High_Peak,High_Peak_Exist_TOU),0)/100</f>
        <v>0</v>
      </c>
      <c r="AN22" s="141">
        <f ca="1">IFERROR('Rates Table'!AN22*IF(Inputs!$G$29="No",High_Peak,High_Peak_Exist_TOU),0)/100</f>
        <v>0</v>
      </c>
      <c r="AO22" s="141">
        <f ca="1">IFERROR('Rates Table'!AO22*IF(Inputs!$G$29="No",High_Peak,High_Peak_Exist_TOU),0)/100</f>
        <v>0</v>
      </c>
      <c r="AP22" s="141">
        <f ca="1">IFERROR('Rates Table'!AP22*IF(Inputs!$G$29="No",High_Peak,High_Peak_Exist_TOU),0)/100</f>
        <v>0</v>
      </c>
      <c r="AQ22" s="141">
        <f ca="1">IFERROR('Rates Table'!AQ22*IF(Inputs!$G$29="No",High_Peak,High_Peak_Exist_TOU),0)/100</f>
        <v>0</v>
      </c>
      <c r="AR22" s="141">
        <f ca="1">IFERROR('Rates Table'!AR22*IF(Inputs!$G$29="No",High_Peak,High_Peak_Exist_TOU),0)/100</f>
        <v>0</v>
      </c>
      <c r="AT22" s="140">
        <f t="shared" ref="AT22:AT31" ca="1" si="15">INDEX(AU22:CF22,0,Selected_Tariff_ID)</f>
        <v>0</v>
      </c>
      <c r="AU22" s="141">
        <f ca="1">IFERROR('Rates Table'!AU22*IF(Inputs!$G$29="No",High_Peak,High_Peak_New_TOU),0)/100</f>
        <v>0</v>
      </c>
      <c r="AV22" s="141">
        <f ca="1">IFERROR('Rates Table'!AV22*IF(Inputs!$G$29="No",High_Peak,High_Peak_New_TOU),0)/100</f>
        <v>0</v>
      </c>
      <c r="AW22" s="141">
        <f ca="1">IFERROR('Rates Table'!AW22*IF(Inputs!$G$29="No",High_Peak,High_Peak_New_TOU),0)/100</f>
        <v>0</v>
      </c>
      <c r="AX22" s="141">
        <f ca="1">IFERROR('Rates Table'!AX22*IF(Inputs!$G$29="No",High_Peak,High_Peak_New_TOU),0)/100</f>
        <v>0</v>
      </c>
      <c r="AY22" s="141">
        <f ca="1">IFERROR('Rates Table'!AY22*IF(Inputs!$G$29="No",High_Peak,High_Peak_New_TOU),0)/100</f>
        <v>0</v>
      </c>
      <c r="AZ22" s="141">
        <f ca="1">IFERROR('Rates Table'!AZ22*IF(Inputs!$G$29="No",High_Peak,High_Peak_New_TOU),0)/100</f>
        <v>0</v>
      </c>
      <c r="BA22" s="141">
        <f ca="1">IFERROR('Rates Table'!BA22*IF(Inputs!$G$29="No",High_Peak,High_Peak_New_TOU),0)/100</f>
        <v>0</v>
      </c>
      <c r="BB22" s="141">
        <f ca="1">IFERROR('Rates Table'!BB22*IF(Inputs!$G$29="No",High_Peak,High_Peak_New_TOU),0)/100</f>
        <v>0</v>
      </c>
      <c r="BC22" s="141">
        <f ca="1">IFERROR('Rates Table'!BC22*IF(Inputs!$G$29="No",High_Peak,High_Peak_New_TOU),0)/100</f>
        <v>0</v>
      </c>
      <c r="BD22" s="141">
        <f ca="1">IFERROR('Rates Table'!BD22*IF(Inputs!$G$29="No",High_Peak,High_Peak_New_TOU),0)/100</f>
        <v>0</v>
      </c>
      <c r="BE22" s="141">
        <f ca="1">IFERROR('Rates Table'!BE22*IF(Inputs!$G$29="No",High_Peak,High_Peak_New_TOU),0)/100</f>
        <v>0</v>
      </c>
      <c r="BF22" s="141">
        <f ca="1">IFERROR('Rates Table'!BF22*IF(Inputs!$G$29="No",High_Peak,High_Peak_New_TOU),0)/100</f>
        <v>0</v>
      </c>
      <c r="BG22" s="141">
        <f ca="1">IFERROR('Rates Table'!BG22*IF(Inputs!$G$29="No",High_Peak,High_Peak_New_TOU),0)/100</f>
        <v>0</v>
      </c>
      <c r="BH22" s="141">
        <f ca="1">IFERROR('Rates Table'!BH22*IF(Inputs!$G$29="No",High_Peak,High_Peak_New_TOU),0)/100</f>
        <v>0</v>
      </c>
      <c r="BI22" s="141">
        <f ca="1">IFERROR('Rates Table'!BI22*IF(Inputs!$G$29="No",High_Peak,High_Peak_New_TOU),0)/100</f>
        <v>0</v>
      </c>
      <c r="BJ22" s="141">
        <f ca="1">IFERROR('Rates Table'!BJ22*IF(Inputs!$G$29="No",High_Peak,High_Peak_New_TOU),0)/100</f>
        <v>0</v>
      </c>
      <c r="BK22" s="141">
        <f ca="1">IFERROR('Rates Table'!BK22*IF(Inputs!$G$29="No",High_Peak,High_Peak_New_TOU),0)/100</f>
        <v>0</v>
      </c>
      <c r="BL22" s="141">
        <f ca="1">IFERROR('Rates Table'!BL22*IF(Inputs!$G$29="No",High_Peak,High_Peak_New_TOU),0)/100</f>
        <v>0</v>
      </c>
      <c r="BM22" s="141">
        <f ca="1">IFERROR('Rates Table'!BM22*IF(Inputs!$G$29="No",High_Peak,High_Peak_New_TOU),0)/100</f>
        <v>0</v>
      </c>
      <c r="BN22" s="141">
        <f ca="1">IFERROR('Rates Table'!BN22*IF(Inputs!$G$29="No",High_Peak,High_Peak_New_TOU),0)/100</f>
        <v>0</v>
      </c>
      <c r="BO22" s="141">
        <f ca="1">IFERROR('Rates Table'!BO22*IF(Inputs!$G$29="No",High_Peak,High_Peak_New_TOU),0)/100</f>
        <v>0</v>
      </c>
      <c r="BP22" s="141">
        <f ca="1">IFERROR('Rates Table'!BP22*IF(Inputs!$G$29="No",High_Peak,High_Peak_New_TOU),0)/100</f>
        <v>0</v>
      </c>
      <c r="BQ22" s="141">
        <f ca="1">IFERROR('Rates Table'!BQ22*IF(Inputs!$G$29="No",High_Peak,High_Peak_New_TOU),0)/100</f>
        <v>0</v>
      </c>
      <c r="BR22" s="141">
        <f ca="1">IFERROR('Rates Table'!BR22*IF(Inputs!$G$29="No",High_Peak,High_Peak_New_TOU),0)/100</f>
        <v>0</v>
      </c>
      <c r="BS22" s="141">
        <f ca="1">IFERROR('Rates Table'!BS22*IF(Inputs!$G$29="No",High_Peak,High_Peak_New_TOU),0)/100</f>
        <v>0</v>
      </c>
      <c r="BT22" s="141">
        <f ca="1">IFERROR('Rates Table'!BT22*IF(Inputs!$G$29="No",High_Peak,High_Peak_New_TOU),0)/100</f>
        <v>0</v>
      </c>
      <c r="BU22" s="141">
        <f ca="1">IFERROR('Rates Table'!BU22*IF(Inputs!$G$29="No",High_Peak,High_Peak_New_TOU),0)/100</f>
        <v>0</v>
      </c>
      <c r="BV22" s="141">
        <f ca="1">IFERROR('Rates Table'!BV22*IF(Inputs!$G$29="No",High_Peak,High_Peak_New_TOU),0)/100</f>
        <v>0</v>
      </c>
      <c r="BW22" s="141">
        <f ca="1">IFERROR('Rates Table'!BW22*IF(Inputs!$G$29="No",High_Peak,High_Peak_New_TOU),0)/100</f>
        <v>0</v>
      </c>
      <c r="BX22" s="141">
        <f ca="1">IFERROR('Rates Table'!BX22*IF(Inputs!$G$29="No",High_Peak,High_Peak_New_TOU),0)/100</f>
        <v>0</v>
      </c>
      <c r="BY22" s="141">
        <f ca="1">IFERROR('Rates Table'!BY22*IF(Inputs!$G$29="No",High_Peak,High_Peak_New_TOU),0)/100</f>
        <v>0</v>
      </c>
      <c r="BZ22" s="141">
        <f ca="1">IFERROR('Rates Table'!BZ22*IF(Inputs!$G$29="No",High_Peak,High_Peak_New_TOU),0)/100</f>
        <v>0</v>
      </c>
      <c r="CA22" s="141">
        <f ca="1">IFERROR('Rates Table'!CA22*IF(Inputs!$G$29="No",High_Peak,High_Peak_New_TOU),0)/100</f>
        <v>0</v>
      </c>
      <c r="CB22" s="141">
        <f ca="1">IFERROR('Rates Table'!CB22*IF(Inputs!$G$29="No",High_Peak,High_Peak_New_TOU),0)/100</f>
        <v>0</v>
      </c>
      <c r="CC22" s="141">
        <f ca="1">IFERROR('Rates Table'!CC22*IF(Inputs!$G$29="No",High_Peak,High_Peak_New_TOU),0)/100</f>
        <v>0</v>
      </c>
      <c r="CD22" s="141">
        <f ca="1">IFERROR('Rates Table'!CD22*IF(Inputs!$G$29="No",High_Peak,High_Peak_New_TOU),0)/100</f>
        <v>0</v>
      </c>
      <c r="CE22" s="141">
        <f ca="1">IFERROR('Rates Table'!CE22*IF(Inputs!$G$29="No",High_Peak,High_Peak_New_TOU),0)/100</f>
        <v>0</v>
      </c>
      <c r="CF22" s="141">
        <f ca="1">IFERROR('Rates Table'!CF22*IF(Inputs!$G$29="No",High_Peak,High_Peak_New_TOU),0)/100</f>
        <v>0</v>
      </c>
    </row>
    <row r="23" spans="2:84" s="138" customFormat="1">
      <c r="C23" s="138" t="s">
        <v>121</v>
      </c>
      <c r="D23" s="139" t="s">
        <v>106</v>
      </c>
      <c r="E23" s="140">
        <f t="shared" ca="1" si="14"/>
        <v>0</v>
      </c>
      <c r="F23" s="141">
        <f ca="1">IFERROR('Rates Table'!F23*IF(Inputs!$G$29="No",High_Standard,High_Standard_Exist_TOU),0)/100</f>
        <v>0</v>
      </c>
      <c r="G23" s="141">
        <f ca="1">IFERROR('Rates Table'!G23*IF(Inputs!$G$29="No",High_Standard,High_Standard_Exist_TOU),0)/100</f>
        <v>0</v>
      </c>
      <c r="H23" s="141">
        <f ca="1">IFERROR('Rates Table'!H23*IF(Inputs!$G$29="No",High_Standard,High_Standard_Exist_TOU),0)/100</f>
        <v>0</v>
      </c>
      <c r="I23" s="141">
        <f ca="1">IFERROR('Rates Table'!I23*IF(Inputs!$G$29="No",High_Standard,High_Standard_Exist_TOU),0)/100</f>
        <v>0</v>
      </c>
      <c r="J23" s="141">
        <f ca="1">IFERROR('Rates Table'!J23*IF(Inputs!$G$29="No",High_Standard,High_Standard_Exist_TOU),0)/100</f>
        <v>0</v>
      </c>
      <c r="K23" s="141">
        <f ca="1">IFERROR('Rates Table'!K23*IF(Inputs!$G$29="No",High_Standard,High_Standard_Exist_TOU),0)/100</f>
        <v>0</v>
      </c>
      <c r="L23" s="141">
        <f ca="1">IFERROR('Rates Table'!L23*IF(Inputs!$G$29="No",High_Standard,High_Standard_Exist_TOU),0)/100</f>
        <v>0</v>
      </c>
      <c r="M23" s="141">
        <f ca="1">IFERROR('Rates Table'!M23*IF(Inputs!$G$29="No",High_Standard,High_Standard_Exist_TOU),0)/100</f>
        <v>0</v>
      </c>
      <c r="N23" s="141">
        <f ca="1">IFERROR('Rates Table'!N23*IF(Inputs!$G$29="No",High_Standard,High_Standard_Exist_TOU),0)/100</f>
        <v>0</v>
      </c>
      <c r="O23" s="141">
        <f ca="1">IFERROR('Rates Table'!O23*IF(Inputs!$G$29="No",High_Standard,High_Standard_Exist_TOU),0)/100</f>
        <v>0</v>
      </c>
      <c r="P23" s="141">
        <f ca="1">IFERROR('Rates Table'!P23*IF(Inputs!$G$29="No",High_Standard,High_Standard_Exist_TOU),0)/100</f>
        <v>0</v>
      </c>
      <c r="Q23" s="141">
        <f ca="1">IFERROR('Rates Table'!Q23*IF(Inputs!$G$29="No",High_Standard,High_Standard_Exist_TOU),0)/100</f>
        <v>0</v>
      </c>
      <c r="R23" s="141">
        <f ca="1">IFERROR('Rates Table'!R23*IF(Inputs!$G$29="No",High_Standard,High_Standard_Exist_TOU),0)/100</f>
        <v>0</v>
      </c>
      <c r="S23" s="141">
        <f ca="1">IFERROR('Rates Table'!S23*IF(Inputs!$G$29="No",High_Standard,High_Standard_Exist_TOU),0)/100</f>
        <v>0</v>
      </c>
      <c r="T23" s="141">
        <f ca="1">IFERROR('Rates Table'!T23*IF(Inputs!$G$29="No",High_Standard,High_Standard_Exist_TOU),0)/100</f>
        <v>0</v>
      </c>
      <c r="U23" s="141">
        <f ca="1">IFERROR('Rates Table'!U23*IF(Inputs!$G$29="No",High_Standard,High_Standard_Exist_TOU),0)/100</f>
        <v>0</v>
      </c>
      <c r="V23" s="141">
        <f ca="1">IFERROR('Rates Table'!V23*IF(Inputs!$G$29="No",High_Standard,High_Standard_Exist_TOU),0)/100</f>
        <v>0</v>
      </c>
      <c r="W23" s="141">
        <f ca="1">IFERROR('Rates Table'!W23*IF(Inputs!$G$29="No",High_Standard,High_Standard_Exist_TOU),0)/100</f>
        <v>0</v>
      </c>
      <c r="X23" s="141">
        <f ca="1">IF(OR(E2="Nightsave Large",E2="Nightsave Small"),E23,IFERROR('Rates Table'!X23*IF(Inputs!$G$29="No",High_Standard,High_Standard_Exist_TOU),0)/100)</f>
        <v>0</v>
      </c>
      <c r="Y23" s="141">
        <f ca="1">IFERROR('Rates Table'!Y23*IF(Inputs!$G$29="No",High_Standard,High_Standard_Exist_TOU),0)/100</f>
        <v>0</v>
      </c>
      <c r="Z23" s="141">
        <f ca="1">IFERROR('Rates Table'!Z23*IF(Inputs!$G$29="No",High_Standard,High_Standard_Exist_TOU),0)/100</f>
        <v>0</v>
      </c>
      <c r="AA23" s="141">
        <f ca="1">IFERROR('Rates Table'!AA23*IF(Inputs!$G$29="No",High_Standard,High_Standard_Exist_TOU),0)/100</f>
        <v>0</v>
      </c>
      <c r="AB23" s="141">
        <f ca="1">IFERROR('Rates Table'!AB23*IF(Inputs!$G$29="No",High_Standard,High_Standard_Exist_TOU),0)/100</f>
        <v>0</v>
      </c>
      <c r="AC23" s="141">
        <f ca="1">IFERROR('Rates Table'!AC23*IF(Inputs!$G$29="No",High_Standard,High_Standard_Exist_TOU),0)/100</f>
        <v>0</v>
      </c>
      <c r="AD23" s="141">
        <f ca="1">IFERROR('Rates Table'!AD23*IF(Inputs!$G$29="No",High_Standard,High_Standard_Exist_TOU),0)/100</f>
        <v>0</v>
      </c>
      <c r="AE23" s="141">
        <f ca="1">IFERROR('Rates Table'!AE23*IF(Inputs!$G$29="No",High_Standard,High_Standard_Exist_TOU),0)/100</f>
        <v>0</v>
      </c>
      <c r="AF23" s="141">
        <f ca="1">IFERROR('Rates Table'!AF23*IF(Inputs!$G$29="No",High_Standard,High_Standard_Exist_TOU),0)/100</f>
        <v>0</v>
      </c>
      <c r="AG23" s="141">
        <f ca="1">IFERROR('Rates Table'!AG23*IF(Inputs!$G$29="No",High_Standard,High_Standard_Exist_TOU),0)/100</f>
        <v>0</v>
      </c>
      <c r="AH23" s="141">
        <f ca="1">IFERROR('Rates Table'!AH22*IF(Inputs!$G$29="No",High_Standard,High_Standard_Exist_TOU),0)/100</f>
        <v>0</v>
      </c>
      <c r="AI23" s="141">
        <f ca="1">IFERROR('Rates Table'!AI22*IF(Inputs!$G$29="No",High_Standard,High_Standard_Exist_TOU),0)/100</f>
        <v>0</v>
      </c>
      <c r="AJ23" s="141">
        <f ca="1">IFERROR('Rates Table'!AJ22*IF(Inputs!$G$29="No",High_Standard,High_Standard_Exist_TOU),0)/100</f>
        <v>0</v>
      </c>
      <c r="AK23" s="141">
        <f ca="1">IFERROR('Rates Table'!AK22*IF(Inputs!$G$29="No",High_Standard,High_Standard_Exist_TOU),0)/100</f>
        <v>0</v>
      </c>
      <c r="AL23" s="141">
        <f ca="1">IFERROR('Rates Table'!AL23*IF(Inputs!$G$29="No",High_Standard,High_Standard_Exist_TOU),0)/100</f>
        <v>0</v>
      </c>
      <c r="AM23" s="141">
        <f ca="1">IFERROR('Rates Table'!AM23*IF(Inputs!$G$29="No",High_Standard,High_Standard_Exist_TOU),0)/100</f>
        <v>0</v>
      </c>
      <c r="AN23" s="141">
        <f ca="1">IFERROR('Rates Table'!AN23*IF(Inputs!$G$29="No",High_Standard,High_Standard_Exist_TOU),0)/100</f>
        <v>0</v>
      </c>
      <c r="AO23" s="141">
        <f ca="1">IFERROR('Rates Table'!AO23*IF(Inputs!$G$29="No",High_Standard,High_Standard_Exist_TOU),0)/100</f>
        <v>0</v>
      </c>
      <c r="AP23" s="141">
        <f ca="1">IFERROR('Rates Table'!AP23*IF(Inputs!$G$29="No",High_Standard,High_Standard_Exist_TOU),0)/100</f>
        <v>0</v>
      </c>
      <c r="AQ23" s="141">
        <f ca="1">IFERROR('Rates Table'!AQ23*IF(Inputs!$G$29="No",High_Standard,High_Standard_Exist_TOU),0)/100</f>
        <v>0</v>
      </c>
      <c r="AR23" s="141">
        <f ca="1">IFERROR('Rates Table'!AR23*IF(Inputs!$G$29="No",High_Standard,High_Standard_Exist_TOU),0)/100</f>
        <v>0</v>
      </c>
      <c r="AT23" s="140">
        <f t="shared" ca="1" si="15"/>
        <v>0</v>
      </c>
      <c r="AU23" s="141">
        <f ca="1">IFERROR('Rates Table'!AU23*IF(Inputs!$G$29="No",High_Standard,High_Standard_New_TOU),0)/100</f>
        <v>0</v>
      </c>
      <c r="AV23" s="141">
        <f ca="1">IFERROR('Rates Table'!AV23*IF(Inputs!$G$29="No",High_Standard,High_Standard_New_TOU),0)/100</f>
        <v>0</v>
      </c>
      <c r="AW23" s="141">
        <f ca="1">IFERROR('Rates Table'!AW23*IF(Inputs!$G$29="No",High_Standard,High_Standard_New_TOU),0)/100</f>
        <v>0</v>
      </c>
      <c r="AX23" s="141">
        <f ca="1">IFERROR('Rates Table'!AX23*IF(Inputs!$G$29="No",High_Standard,High_Standard_New_TOU),0)/100</f>
        <v>0</v>
      </c>
      <c r="AY23" s="141">
        <f ca="1">IFERROR('Rates Table'!AY23*IF(Inputs!$G$29="No",High_Standard,High_Standard_New_TOU),0)/100</f>
        <v>0</v>
      </c>
      <c r="AZ23" s="141">
        <f ca="1">IFERROR('Rates Table'!AZ23*IF(Inputs!$G$29="No",High_Standard,High_Standard_New_TOU),0)/100</f>
        <v>0</v>
      </c>
      <c r="BA23" s="141">
        <f ca="1">IFERROR('Rates Table'!BA23*IF(Inputs!$G$29="No",High_Standard,High_Standard_New_TOU),0)/100</f>
        <v>0</v>
      </c>
      <c r="BB23" s="141">
        <f ca="1">IFERROR('Rates Table'!BB23*IF(Inputs!$G$29="No",High_Standard,High_Standard_New_TOU),0)/100</f>
        <v>0</v>
      </c>
      <c r="BC23" s="141">
        <f ca="1">IFERROR('Rates Table'!BC23*IF(Inputs!$G$29="No",High_Standard,High_Standard_New_TOU),0)/100</f>
        <v>0</v>
      </c>
      <c r="BD23" s="141">
        <f ca="1">IFERROR('Rates Table'!BD23*IF(Inputs!$G$29="No",High_Standard,High_Standard_New_TOU),0)/100</f>
        <v>0</v>
      </c>
      <c r="BE23" s="141">
        <f ca="1">IFERROR('Rates Table'!BE23*IF(Inputs!$G$29="No",High_Standard,High_Standard_New_TOU),0)/100</f>
        <v>0</v>
      </c>
      <c r="BF23" s="141">
        <f ca="1">IFERROR('Rates Table'!BF23*IF(Inputs!$G$29="No",High_Standard,High_Standard_New_TOU),0)/100</f>
        <v>0</v>
      </c>
      <c r="BG23" s="141">
        <f ca="1">IFERROR('Rates Table'!BG23*IF(Inputs!$G$29="No",High_Standard,High_Standard_New_TOU),0)/100</f>
        <v>0</v>
      </c>
      <c r="BH23" s="141">
        <f ca="1">IFERROR('Rates Table'!BH23*IF(Inputs!$G$29="No",High_Standard,High_Standard_New_TOU),0)/100</f>
        <v>0</v>
      </c>
      <c r="BI23" s="141">
        <f ca="1">IFERROR('Rates Table'!BI23*IF(Inputs!$G$29="No",High_Standard,High_Standard_New_TOU),0)/100</f>
        <v>0</v>
      </c>
      <c r="BJ23" s="141">
        <f ca="1">IFERROR('Rates Table'!BJ23*IF(Inputs!$G$29="No",High_Standard,High_Standard_New_TOU),0)/100</f>
        <v>0</v>
      </c>
      <c r="BK23" s="141">
        <f ca="1">IFERROR('Rates Table'!BK23*IF(Inputs!$G$29="No",High_Standard,High_Standard_New_TOU),0)/100</f>
        <v>0</v>
      </c>
      <c r="BL23" s="141">
        <f ca="1">IFERROR('Rates Table'!BL23*IF(Inputs!$G$29="No",High_Standard,High_Standard_New_TOU),0)/100</f>
        <v>0</v>
      </c>
      <c r="BM23" s="141">
        <f ca="1">IFERROR('Rates Table'!BM23*IF(Inputs!$G$29="No",High_Standard,High_Standard_New_TOU),0)/100</f>
        <v>0</v>
      </c>
      <c r="BN23" s="141">
        <f ca="1">IFERROR('Rates Table'!BN23*IF(Inputs!$G$29="No",High_Standard,High_Standard_New_TOU),0)/100</f>
        <v>0</v>
      </c>
      <c r="BO23" s="141">
        <f ca="1">IFERROR('Rates Table'!BO23*IF(Inputs!$G$29="No",High_Standard,High_Standard_New_TOU),0)/100</f>
        <v>0</v>
      </c>
      <c r="BP23" s="141">
        <f ca="1">IFERROR('Rates Table'!BP23*IF(Inputs!$G$29="No",High_Standard,High_Standard_New_TOU),0)/100</f>
        <v>0</v>
      </c>
      <c r="BQ23" s="141">
        <f ca="1">IFERROR('Rates Table'!BQ23*IF(Inputs!$G$29="No",High_Standard,High_Standard_New_TOU),0)/100</f>
        <v>0</v>
      </c>
      <c r="BR23" s="141">
        <f ca="1">IFERROR('Rates Table'!BR23*IF(Inputs!$G$29="No",High_Standard,High_Standard_New_TOU),0)/100</f>
        <v>0</v>
      </c>
      <c r="BS23" s="141">
        <f ca="1">IFERROR('Rates Table'!BS23*IF(Inputs!$G$29="No",High_Standard,High_Standard_New_TOU),0)/100</f>
        <v>0</v>
      </c>
      <c r="BT23" s="141">
        <f ca="1">IFERROR('Rates Table'!BT23*IF(Inputs!$G$29="No",High_Standard,High_Standard_New_TOU),0)/100</f>
        <v>0</v>
      </c>
      <c r="BU23" s="141">
        <f ca="1">IFERROR('Rates Table'!BU23*IF(Inputs!$G$29="No",High_Standard,High_Standard_New_TOU),0)/100</f>
        <v>0</v>
      </c>
      <c r="BV23" s="141">
        <f ca="1">IFERROR('Rates Table'!BV23*IF(Inputs!$G$29="No",High_Standard,High_Standard_New_TOU),0)/100</f>
        <v>0</v>
      </c>
      <c r="BW23" s="141">
        <f ca="1">IFERROR('Rates Table'!BW23*IF(Inputs!$G$29="No",High_Standard,High_Standard_New_TOU),0)/100</f>
        <v>0</v>
      </c>
      <c r="BX23" s="141">
        <f ca="1">IFERROR('Rates Table'!BX23*IF(Inputs!$G$29="No",High_Standard,High_Standard_New_TOU),0)/100</f>
        <v>0</v>
      </c>
      <c r="BY23" s="141">
        <f ca="1">IFERROR('Rates Table'!BY23*IF(Inputs!$G$29="No",High_Standard,High_Standard_New_TOU),0)/100</f>
        <v>0</v>
      </c>
      <c r="BZ23" s="141">
        <f ca="1">IFERROR('Rates Table'!BZ23*IF(Inputs!$G$29="No",High_Standard,High_Standard_New_TOU),0)/100</f>
        <v>0</v>
      </c>
      <c r="CA23" s="141">
        <f ca="1">IFERROR('Rates Table'!CA23*IF(Inputs!$G$29="No",High_Standard,High_Standard_New_TOU),0)/100</f>
        <v>0</v>
      </c>
      <c r="CB23" s="141">
        <f ca="1">IFERROR('Rates Table'!CB23*IF(Inputs!$G$29="No",High_Standard,High_Standard_New_TOU),0)/100</f>
        <v>0</v>
      </c>
      <c r="CC23" s="141">
        <f ca="1">IFERROR('Rates Table'!CC23*IF(Inputs!$G$29="No",High_Standard,High_Standard_New_TOU),0)/100</f>
        <v>0</v>
      </c>
      <c r="CD23" s="141">
        <f ca="1">IFERROR('Rates Table'!CD23*IF(Inputs!$G$29="No",High_Standard,High_Standard_New_TOU),0)/100</f>
        <v>0</v>
      </c>
      <c r="CE23" s="141">
        <f ca="1">IFERROR('Rates Table'!CE23*IF(Inputs!$G$29="No",High_Standard,High_Standard_New_TOU),0)/100</f>
        <v>0</v>
      </c>
      <c r="CF23" s="141">
        <f ca="1">IFERROR('Rates Table'!CF23*IF(Inputs!$G$29="No",High_Standard,High_Standard_New_TOU),0)/100</f>
        <v>0</v>
      </c>
    </row>
    <row r="24" spans="2:84" s="138" customFormat="1">
      <c r="C24" s="138" t="s">
        <v>122</v>
      </c>
      <c r="D24" s="139" t="s">
        <v>106</v>
      </c>
      <c r="E24" s="140">
        <f t="shared" ca="1" si="14"/>
        <v>0</v>
      </c>
      <c r="F24" s="141">
        <f ca="1">IFERROR('Rates Table'!F24*IF(Inputs!$G$29="No",High_OffPeak,High_OffPeak_Exist_TOU),0)/100</f>
        <v>0</v>
      </c>
      <c r="G24" s="141">
        <f ca="1">IFERROR('Rates Table'!G24*IF(Inputs!$G$29="No",High_OffPeak,High_OffPeak_Exist_TOU),0)/100</f>
        <v>0</v>
      </c>
      <c r="H24" s="141">
        <f ca="1">IFERROR('Rates Table'!H24*IF(Inputs!$G$29="No",High_OffPeak,High_OffPeak_Exist_TOU),0)/100</f>
        <v>0</v>
      </c>
      <c r="I24" s="141">
        <f ca="1">IFERROR('Rates Table'!I24*IF(Inputs!$G$29="No",High_OffPeak,High_OffPeak_Exist_TOU),0)/100</f>
        <v>0</v>
      </c>
      <c r="J24" s="141">
        <f ca="1">IFERROR('Rates Table'!J24*IF(Inputs!$G$29="No",High_OffPeak,High_OffPeak_Exist_TOU),0)/100</f>
        <v>0</v>
      </c>
      <c r="K24" s="141">
        <f ca="1">IFERROR('Rates Table'!K24*IF(Inputs!$G$29="No",High_OffPeak,High_OffPeak_Exist_TOU),0)/100</f>
        <v>0</v>
      </c>
      <c r="L24" s="141">
        <f ca="1">IFERROR('Rates Table'!L24*IF(Inputs!$G$29="No",High_OffPeak,High_OffPeak_Exist_TOU),0)/100</f>
        <v>0</v>
      </c>
      <c r="M24" s="141">
        <f ca="1">IFERROR('Rates Table'!M24*IF(Inputs!$G$29="No",High_OffPeak,High_OffPeak_Exist_TOU),0)/100</f>
        <v>0</v>
      </c>
      <c r="N24" s="141">
        <f ca="1">IFERROR('Rates Table'!N24*IF(Inputs!$G$29="No",High_OffPeak,High_OffPeak_Exist_TOU),0)/100</f>
        <v>0</v>
      </c>
      <c r="O24" s="141">
        <f ca="1">IFERROR('Rates Table'!O24*IF(Inputs!$G$29="No",High_OffPeak,High_OffPeak_Exist_TOU),0)/100</f>
        <v>0</v>
      </c>
      <c r="P24" s="141">
        <f ca="1">IFERROR('Rates Table'!P24*IF(Inputs!$G$29="No",High_OffPeak,High_OffPeak_Exist_TOU),0)/100</f>
        <v>0</v>
      </c>
      <c r="Q24" s="141">
        <f ca="1">IFERROR('Rates Table'!Q24*IF(Inputs!$G$29="No",High_OffPeak,High_OffPeak_Exist_TOU),0)/100</f>
        <v>0</v>
      </c>
      <c r="R24" s="141">
        <f ca="1">IFERROR('Rates Table'!R24*IF(Inputs!$G$29="No",High_OffPeak,High_OffPeak_Exist_TOU),0)/100</f>
        <v>0</v>
      </c>
      <c r="S24" s="141">
        <f ca="1">IFERROR('Rates Table'!S24*IF(Inputs!$G$29="No",High_OffPeak,High_OffPeak_Exist_TOU),0)/100</f>
        <v>0</v>
      </c>
      <c r="T24" s="141">
        <f ca="1">IFERROR('Rates Table'!T24*IF(Inputs!$G$29="No",High_OffPeak,High_OffPeak_Exist_TOU),0)/100</f>
        <v>0</v>
      </c>
      <c r="U24" s="141">
        <f ca="1">IFERROR('Rates Table'!U24*IF(Inputs!$G$29="No",High_OffPeak,High_OffPeak_Exist_TOU),0)/100</f>
        <v>0</v>
      </c>
      <c r="V24" s="141">
        <f ca="1">IFERROR('Rates Table'!V24*IF(Inputs!$G$29="No",High_OffPeak,High_OffPeak_Exist_TOU),0)/100</f>
        <v>0</v>
      </c>
      <c r="W24" s="141">
        <f ca="1">IFERROR('Rates Table'!W24*IF(Inputs!$G$29="No",High_OffPeak,High_OffPeak_Exist_TOU),0)/100</f>
        <v>0</v>
      </c>
      <c r="X24" s="141">
        <f ca="1">IF(OR(E2="Nightsave Large",E2="Nightsave Small"),E24,IFERROR('Rates Table'!X24*IF(Inputs!$G$29="No",High_OffPeak,High_OffPeak_Exist_TOU),0)/100)</f>
        <v>0</v>
      </c>
      <c r="Y24" s="141">
        <f ca="1">IFERROR('Rates Table'!Y24*IF(Inputs!$G$29="No",High_OffPeak,High_OffPeak_Exist_TOU),0)/100</f>
        <v>0</v>
      </c>
      <c r="Z24" s="141">
        <f ca="1">IFERROR('Rates Table'!Z24*IF(Inputs!$G$29="No",High_OffPeak,High_OffPeak_Exist_TOU),0)/100</f>
        <v>0</v>
      </c>
      <c r="AA24" s="141">
        <f ca="1">IFERROR('Rates Table'!AA24*IF(Inputs!$G$29="No",High_OffPeak,High_OffPeak_Exist_TOU),0)/100</f>
        <v>0</v>
      </c>
      <c r="AB24" s="141">
        <f ca="1">IFERROR('Rates Table'!AB24*IF(Inputs!$G$29="No",High_OffPeak,High_OffPeak_Exist_TOU),0)/100</f>
        <v>0</v>
      </c>
      <c r="AC24" s="141">
        <f ca="1">IFERROR('Rates Table'!AC24*IF(Inputs!$G$29="No",High_OffPeak,High_OffPeak_Exist_TOU),0)/100</f>
        <v>0</v>
      </c>
      <c r="AD24" s="141">
        <f ca="1">IFERROR('Rates Table'!AD24*IF(Inputs!$G$29="No",High_OffPeak,High_OffPeak_Exist_TOU),0)/100</f>
        <v>0</v>
      </c>
      <c r="AE24" s="141">
        <f ca="1">IFERROR('Rates Table'!AE24*IF(Inputs!$G$29="No",High_OffPeak,High_OffPeak_Exist_TOU),0)/100</f>
        <v>0</v>
      </c>
      <c r="AF24" s="141">
        <f ca="1">IFERROR('Rates Table'!AF24*IF(Inputs!$G$29="No",High_OffPeak,High_OffPeak_Exist_TOU),0)/100</f>
        <v>0</v>
      </c>
      <c r="AG24" s="141">
        <f ca="1">IFERROR('Rates Table'!AG24*IF(Inputs!$G$29="No",High_OffPeak,High_OffPeak_Exist_TOU),0)/100</f>
        <v>0</v>
      </c>
      <c r="AH24" s="141">
        <f ca="1">IFERROR('Rates Table'!AH23*IF(Inputs!$G$29="No",High_OffPeak,High_OffPeak_Exist_TOU),0)/100</f>
        <v>0</v>
      </c>
      <c r="AI24" s="141">
        <f ca="1">IFERROR('Rates Table'!AI23*IF(Inputs!$G$29="No",High_OffPeak,High_OffPeak_Exist_TOU),0)/100</f>
        <v>0</v>
      </c>
      <c r="AJ24" s="141">
        <f ca="1">IFERROR('Rates Table'!AJ23*IF(Inputs!$G$29="No",High_OffPeak,High_OffPeak_Exist_TOU),0)/100</f>
        <v>0</v>
      </c>
      <c r="AK24" s="141">
        <f ca="1">IFERROR('Rates Table'!AK23*IF(Inputs!$G$29="No",High_OffPeak,High_OffPeak_Exist_TOU),0)/100</f>
        <v>0</v>
      </c>
      <c r="AL24" s="141">
        <f ca="1">IFERROR('Rates Table'!AL24*IF(Inputs!$G$29="No",High_OffPeak,High_OffPeak_Exist_TOU),0)/100</f>
        <v>0</v>
      </c>
      <c r="AM24" s="141">
        <f ca="1">IFERROR('Rates Table'!AM24*IF(Inputs!$G$29="No",High_OffPeak,High_OffPeak_Exist_TOU),0)/100</f>
        <v>0</v>
      </c>
      <c r="AN24" s="141">
        <f ca="1">IFERROR('Rates Table'!AN24*IF(Inputs!$G$29="No",High_OffPeak,High_OffPeak_Exist_TOU),0)/100</f>
        <v>0</v>
      </c>
      <c r="AO24" s="141">
        <f ca="1">IFERROR('Rates Table'!AO24*IF(Inputs!$G$29="No",High_OffPeak,High_OffPeak_Exist_TOU),0)/100</f>
        <v>0</v>
      </c>
      <c r="AP24" s="141">
        <f ca="1">IFERROR('Rates Table'!AP24*IF(Inputs!$G$29="No",High_OffPeak,High_OffPeak_Exist_TOU),0)/100</f>
        <v>0</v>
      </c>
      <c r="AQ24" s="141">
        <f ca="1">IFERROR('Rates Table'!AQ24*IF(Inputs!$G$29="No",High_OffPeak,High_OffPeak_Exist_TOU),0)/100</f>
        <v>0</v>
      </c>
      <c r="AR24" s="141">
        <f ca="1">IFERROR('Rates Table'!AR24*IF(Inputs!$G$29="No",High_OffPeak,High_OffPeak_Exist_TOU),0)/100</f>
        <v>0</v>
      </c>
      <c r="AT24" s="140">
        <f t="shared" ca="1" si="15"/>
        <v>0</v>
      </c>
      <c r="AU24" s="141">
        <f ca="1">IFERROR('Rates Table'!AU24*IF(Inputs!$G$29="No",High_OffPeak,High_OffPeak_New_TOU),0)/100</f>
        <v>0</v>
      </c>
      <c r="AV24" s="141">
        <f ca="1">IFERROR('Rates Table'!AV24*IF(Inputs!$G$29="No",High_OffPeak,High_OffPeak_New_TOU),0)/100</f>
        <v>0</v>
      </c>
      <c r="AW24" s="141">
        <f ca="1">IFERROR('Rates Table'!AW24*IF(Inputs!$G$29="No",High_OffPeak,High_OffPeak_New_TOU),0)/100</f>
        <v>0</v>
      </c>
      <c r="AX24" s="141">
        <f ca="1">IFERROR('Rates Table'!AX24*IF(Inputs!$G$29="No",High_OffPeak,High_OffPeak_New_TOU),0)/100</f>
        <v>0</v>
      </c>
      <c r="AY24" s="141">
        <f ca="1">IFERROR('Rates Table'!AY24*IF(Inputs!$G$29="No",High_OffPeak,High_OffPeak_New_TOU),0)/100</f>
        <v>0</v>
      </c>
      <c r="AZ24" s="141">
        <f ca="1">IFERROR('Rates Table'!AZ24*IF(Inputs!$G$29="No",High_OffPeak,High_OffPeak_New_TOU),0)/100</f>
        <v>0</v>
      </c>
      <c r="BA24" s="141">
        <f ca="1">IFERROR('Rates Table'!BA24*IF(Inputs!$G$29="No",High_OffPeak,High_OffPeak_New_TOU),0)/100</f>
        <v>0</v>
      </c>
      <c r="BB24" s="141">
        <f ca="1">IFERROR('Rates Table'!BB24*IF(Inputs!$G$29="No",High_OffPeak,High_OffPeak_New_TOU),0)/100</f>
        <v>0</v>
      </c>
      <c r="BC24" s="141">
        <f ca="1">IFERROR('Rates Table'!BC24*IF(Inputs!$G$29="No",High_OffPeak,High_OffPeak_New_TOU),0)/100</f>
        <v>0</v>
      </c>
      <c r="BD24" s="141">
        <f ca="1">IFERROR('Rates Table'!BD24*IF(Inputs!$G$29="No",High_OffPeak,High_OffPeak_New_TOU),0)/100</f>
        <v>0</v>
      </c>
      <c r="BE24" s="141">
        <f ca="1">IFERROR('Rates Table'!BE24*IF(Inputs!$G$29="No",High_OffPeak,High_OffPeak_New_TOU),0)/100</f>
        <v>0</v>
      </c>
      <c r="BF24" s="141">
        <f ca="1">IFERROR('Rates Table'!BF24*IF(Inputs!$G$29="No",High_OffPeak,High_OffPeak_New_TOU),0)/100</f>
        <v>0</v>
      </c>
      <c r="BG24" s="141">
        <f ca="1">IFERROR('Rates Table'!BG24*IF(Inputs!$G$29="No",High_OffPeak,High_OffPeak_New_TOU),0)/100</f>
        <v>0</v>
      </c>
      <c r="BH24" s="141">
        <f ca="1">IFERROR('Rates Table'!BH24*IF(Inputs!$G$29="No",High_OffPeak,High_OffPeak_New_TOU),0)/100</f>
        <v>0</v>
      </c>
      <c r="BI24" s="141">
        <f ca="1">IFERROR('Rates Table'!BI24*IF(Inputs!$G$29="No",High_OffPeak,High_OffPeak_New_TOU),0)/100</f>
        <v>0</v>
      </c>
      <c r="BJ24" s="141">
        <f ca="1">IFERROR('Rates Table'!BJ24*IF(Inputs!$G$29="No",High_OffPeak,High_OffPeak_New_TOU),0)/100</f>
        <v>0</v>
      </c>
      <c r="BK24" s="141">
        <f ca="1">IFERROR('Rates Table'!BK24*IF(Inputs!$G$29="No",High_OffPeak,High_OffPeak_New_TOU),0)/100</f>
        <v>0</v>
      </c>
      <c r="BL24" s="141">
        <f ca="1">IFERROR('Rates Table'!BL24*IF(Inputs!$G$29="No",High_OffPeak,High_OffPeak_New_TOU),0)/100</f>
        <v>0</v>
      </c>
      <c r="BM24" s="141">
        <f ca="1">IFERROR('Rates Table'!BM24*IF(Inputs!$G$29="No",High_OffPeak,High_OffPeak_New_TOU),0)/100</f>
        <v>0</v>
      </c>
      <c r="BN24" s="141">
        <f ca="1">IFERROR('Rates Table'!BN24*IF(Inputs!$G$29="No",High_OffPeak,High_OffPeak_New_TOU),0)/100</f>
        <v>0</v>
      </c>
      <c r="BO24" s="141">
        <f ca="1">IFERROR('Rates Table'!BO24*IF(Inputs!$G$29="No",High_OffPeak,High_OffPeak_New_TOU),0)/100</f>
        <v>0</v>
      </c>
      <c r="BP24" s="141">
        <f ca="1">IFERROR('Rates Table'!BP24*IF(Inputs!$G$29="No",High_OffPeak,High_OffPeak_New_TOU),0)/100</f>
        <v>0</v>
      </c>
      <c r="BQ24" s="141">
        <f ca="1">IFERROR('Rates Table'!BQ24*IF(Inputs!$G$29="No",High_OffPeak,High_OffPeak_New_TOU),0)/100</f>
        <v>0</v>
      </c>
      <c r="BR24" s="141">
        <f ca="1">IFERROR('Rates Table'!BR24*IF(Inputs!$G$29="No",High_OffPeak,High_OffPeak_New_TOU),0)/100</f>
        <v>0</v>
      </c>
      <c r="BS24" s="141">
        <f ca="1">IFERROR('Rates Table'!BS24*IF(Inputs!$G$29="No",High_OffPeak,High_OffPeak_New_TOU),0)/100</f>
        <v>0</v>
      </c>
      <c r="BT24" s="141">
        <f ca="1">IFERROR('Rates Table'!BT24*IF(Inputs!$G$29="No",High_OffPeak,High_OffPeak_New_TOU),0)/100</f>
        <v>0</v>
      </c>
      <c r="BU24" s="141">
        <f ca="1">IFERROR('Rates Table'!BU24*IF(Inputs!$G$29="No",High_OffPeak,High_OffPeak_New_TOU),0)/100</f>
        <v>0</v>
      </c>
      <c r="BV24" s="141">
        <f ca="1">IFERROR('Rates Table'!BV24*IF(Inputs!$G$29="No",High_OffPeak,High_OffPeak_New_TOU),0)/100</f>
        <v>0</v>
      </c>
      <c r="BW24" s="141">
        <f ca="1">IFERROR('Rates Table'!BW24*IF(Inputs!$G$29="No",High_OffPeak,High_OffPeak_New_TOU),0)/100</f>
        <v>0</v>
      </c>
      <c r="BX24" s="141">
        <f ca="1">IFERROR('Rates Table'!BX24*IF(Inputs!$G$29="No",High_OffPeak,High_OffPeak_New_TOU),0)/100</f>
        <v>0</v>
      </c>
      <c r="BY24" s="141">
        <f ca="1">IFERROR('Rates Table'!BY24*IF(Inputs!$G$29="No",High_OffPeak,High_OffPeak_New_TOU),0)/100</f>
        <v>0</v>
      </c>
      <c r="BZ24" s="141">
        <f ca="1">IFERROR('Rates Table'!BZ24*IF(Inputs!$G$29="No",High_OffPeak,High_OffPeak_New_TOU),0)/100</f>
        <v>0</v>
      </c>
      <c r="CA24" s="141">
        <f ca="1">IFERROR('Rates Table'!CA24*IF(Inputs!$G$29="No",High_OffPeak,High_OffPeak_New_TOU),0)/100</f>
        <v>0</v>
      </c>
      <c r="CB24" s="141">
        <f ca="1">IFERROR('Rates Table'!CB24*IF(Inputs!$G$29="No",High_OffPeak,High_OffPeak_New_TOU),0)/100</f>
        <v>0</v>
      </c>
      <c r="CC24" s="141">
        <f ca="1">IFERROR('Rates Table'!CC24*IF(Inputs!$G$29="No",High_OffPeak,High_OffPeak_New_TOU),0)/100</f>
        <v>0</v>
      </c>
      <c r="CD24" s="141">
        <f ca="1">IFERROR('Rates Table'!CD24*IF(Inputs!$G$29="No",High_OffPeak,High_OffPeak_New_TOU),0)/100</f>
        <v>0</v>
      </c>
      <c r="CE24" s="141">
        <f ca="1">IFERROR('Rates Table'!CE24*IF(Inputs!$G$29="No",High_OffPeak,High_OffPeak_New_TOU),0)/100</f>
        <v>0</v>
      </c>
      <c r="CF24" s="141">
        <f ca="1">IFERROR('Rates Table'!CF24*IF(Inputs!$G$29="No",High_OffPeak,High_OffPeak_New_TOU),0)/100</f>
        <v>0</v>
      </c>
    </row>
    <row r="25" spans="2:84" s="138" customFormat="1" ht="9" customHeight="1">
      <c r="E25" s="140">
        <f t="shared" ca="1" si="14"/>
        <v>0</v>
      </c>
      <c r="AT25" s="140">
        <f t="shared" ca="1" si="15"/>
        <v>0</v>
      </c>
    </row>
    <row r="26" spans="2:84" s="138" customFormat="1" ht="9" customHeight="1">
      <c r="C26" s="138" t="s">
        <v>140</v>
      </c>
      <c r="D26" s="139" t="s">
        <v>106</v>
      </c>
      <c r="E26" s="140">
        <f t="shared" ca="1" si="14"/>
        <v>0</v>
      </c>
      <c r="F26" s="144">
        <f ca="1">IFERROR('Rates Table'!F26*IF(Inputs!$G$29="No",High_Total_Energy,High_Total_Energy_Exist_TOU),0)/100</f>
        <v>0</v>
      </c>
      <c r="G26" s="144">
        <f ca="1">IFERROR('Rates Table'!G26*IF(Inputs!$G$29="No",High_Total_Energy,High_Total_Energy_Exist_TOU),0)/100</f>
        <v>0</v>
      </c>
      <c r="H26" s="144">
        <f ca="1">IFERROR('Rates Table'!H26*IF(Inputs!$G$29="No",High_Total_Energy,High_Total_Energy_Exist_TOU),0)/100</f>
        <v>0</v>
      </c>
      <c r="I26" s="144">
        <f ca="1">IFERROR('Rates Table'!I26*IF(Inputs!$G$29="No",High_Total_Energy,High_Total_Energy_Exist_TOU),0)/100</f>
        <v>0</v>
      </c>
      <c r="J26" s="144">
        <f ca="1">IFERROR('Rates Table'!J26*IF(Inputs!$G$29="No",High_Total_Energy,High_Total_Energy_Exist_TOU),0)/100</f>
        <v>0</v>
      </c>
      <c r="K26" s="144">
        <f ca="1">IFERROR('Rates Table'!K26*IF(Inputs!$G$29="No",High_Total_Energy,High_Total_Energy_Exist_TOU),0)/100</f>
        <v>0</v>
      </c>
      <c r="L26" s="144">
        <f ca="1">IFERROR('Rates Table'!L26*IF(Inputs!$G$29="No",High_Total_Energy,High_Total_Energy_Exist_TOU),0)/100</f>
        <v>0</v>
      </c>
      <c r="M26" s="144">
        <f ca="1">IFERROR('Rates Table'!M26*IF(Inputs!$G$29="No",High_Total_Energy,High_Total_Energy_Exist_TOU),0)/100</f>
        <v>0</v>
      </c>
      <c r="N26" s="144">
        <f ca="1">IFERROR('Rates Table'!N26*IF(Inputs!$G$29="No",High_Total_Energy,High_Total_Energy_Exist_TOU),0)/100</f>
        <v>0</v>
      </c>
      <c r="O26" s="144">
        <f ca="1">IFERROR('Rates Table'!O26*IF(Inputs!$G$29="No",High_Total_Energy,High_Total_Energy_Exist_TOU),0)/100</f>
        <v>0</v>
      </c>
      <c r="P26" s="144">
        <f ca="1">IFERROR('Rates Table'!P26*IF(Inputs!$G$29="No",High_Total_Energy,High_Total_Energy_Exist_TOU),0)/100</f>
        <v>0</v>
      </c>
      <c r="Q26" s="144">
        <f ca="1">IFERROR('Rates Table'!Q26*IF(Inputs!$G$29="No",High_Total_Energy,High_Total_Energy_Exist_TOU),0)/100</f>
        <v>0</v>
      </c>
      <c r="R26" s="144">
        <f ca="1">IFERROR('Rates Table'!R26*IF(Inputs!$G$29="No",High_Total_Energy,High_Total_Energy_Exist_TOU),0)/100</f>
        <v>0</v>
      </c>
      <c r="S26" s="144">
        <f ca="1">IFERROR('Rates Table'!S26*IF(Inputs!$G$29="No",High_Total_Energy,High_Total_Energy_Exist_TOU),0)/100</f>
        <v>0</v>
      </c>
      <c r="T26" s="144">
        <f ca="1">IFERROR('Rates Table'!T26*IF(Inputs!$G$29="No",High_Total_Energy,High_Total_Energy_Exist_TOU),0)/100</f>
        <v>0</v>
      </c>
      <c r="U26" s="144">
        <f ca="1">IFERROR('Rates Table'!U26*IF(Inputs!$G$29="No",High_Total_Energy,High_Total_Energy_Exist_TOU),0)/100</f>
        <v>0</v>
      </c>
      <c r="V26" s="144">
        <f ca="1">IFERROR('Rates Table'!V26*IF(Inputs!$G$29="No",High_Total_Energy,High_Total_Energy_Exist_TOU),0)/100</f>
        <v>0</v>
      </c>
      <c r="W26" s="144">
        <f ca="1">IFERROR('Rates Table'!W26*IF(Inputs!$G$29="No",High_Total_Energy,High_Total_Energy_Exist_TOU),0)/100</f>
        <v>0</v>
      </c>
      <c r="X26" s="144">
        <f ca="1">IF(OR(E2="Nightsave Large",E2="Nightsave Small"),E26,IFERROR('Rates Table'!X26*IF(Inputs!$G$29="No",High_Total_Energy,High_Total_Energy_Exist_TOU),0)/100)</f>
        <v>0</v>
      </c>
      <c r="Y26" s="144">
        <f ca="1">IFERROR('Rates Table'!Y26*IF(Inputs!$G$29="No",High_Total_Energy,High_Total_Energy_Exist_TOU),0)/100</f>
        <v>0</v>
      </c>
      <c r="Z26" s="144">
        <f ca="1">IFERROR('Rates Table'!Z26*IF(Inputs!$G$29="No",High_Total_Energy,High_Total_Energy_Exist_TOU),0)/100</f>
        <v>0</v>
      </c>
      <c r="AA26" s="144">
        <f ca="1">IFERROR('Rates Table'!AA26*IF(Inputs!$G$29="No",High_Total_Energy,High_Total_Energy_Exist_TOU),0)/100</f>
        <v>0</v>
      </c>
      <c r="AB26" s="144">
        <f ca="1">IFERROR('Rates Table'!AB26*IF(Inputs!$G$29="No",High_Total_Energy,High_Total_Energy_Exist_TOU),0)/100</f>
        <v>0</v>
      </c>
      <c r="AC26" s="144">
        <f ca="1">IFERROR('Rates Table'!AC26*IF(Inputs!$G$29="No",High_Total_Energy,High_Total_Energy_Exist_TOU),0)/100</f>
        <v>0</v>
      </c>
      <c r="AD26" s="144">
        <f ca="1">IFERROR('Rates Table'!AD26*IF(Inputs!$G$29="No",High_Total_Energy,High_Total_Energy_Exist_TOU),0)/100</f>
        <v>0</v>
      </c>
      <c r="AE26" s="144">
        <f ca="1">IFERROR('Rates Table'!AE26*IF(Inputs!$G$29="No",High_Total_Energy,High_Total_Energy_Exist_TOU),0)/100</f>
        <v>0</v>
      </c>
      <c r="AF26" s="144">
        <f ca="1">IFERROR('Rates Table'!AF26*IF(Inputs!$G$29="No",High_Total_Energy,High_Total_Energy_Exist_TOU),0)/100</f>
        <v>0</v>
      </c>
      <c r="AG26" s="144">
        <f ca="1">IFERROR('Rates Table'!AG26*IF(Inputs!$G$29="No",High_Total_Energy,High_Total_Energy_Exist_TOU),0)/100</f>
        <v>0</v>
      </c>
      <c r="AH26" s="144">
        <f ca="1">IFERROR('Rates Table'!AH26*IF(Inputs!$G$29="No",High_Total_Energy,High_Total_Energy_Exist_TOU),0)/100</f>
        <v>0</v>
      </c>
      <c r="AI26" s="144">
        <f ca="1">IFERROR('Rates Table'!AI26*IF(Inputs!$G$29="No",High_Total_Energy,High_Total_Energy_Exist_TOU),0)/100</f>
        <v>0</v>
      </c>
      <c r="AJ26" s="144">
        <f ca="1">IFERROR('Rates Table'!AJ26*IF(Inputs!$G$29="No",High_Total_Energy,High_Total_Energy_Exist_TOU),0)/100</f>
        <v>0</v>
      </c>
      <c r="AK26" s="144">
        <f ca="1">IFERROR('Rates Table'!AK26*IF(Inputs!$G$29="No",High_Total_Energy,High_Total_Energy_Exist_TOU),0)/100</f>
        <v>0</v>
      </c>
      <c r="AL26" s="144">
        <f ca="1">IFERROR('Rates Table'!AL26*IF(Inputs!$G$29="No",High_Total_Energy,High_Total_Energy_Exist_TOU),0)/100</f>
        <v>0</v>
      </c>
      <c r="AM26" s="144">
        <f ca="1">IFERROR('Rates Table'!AM26*IF(Inputs!$G$29="No",High_Total_Energy,High_Total_Energy_Exist_TOU),0)/100</f>
        <v>0</v>
      </c>
      <c r="AN26" s="144">
        <f ca="1">IFERROR('Rates Table'!AN26*IF(Inputs!$G$29="No",High_Total_Energy,High_Total_Energy_Exist_TOU),0)/100</f>
        <v>0</v>
      </c>
      <c r="AO26" s="144">
        <f ca="1">IFERROR('Rates Table'!AO26*IF(Inputs!$G$29="No",High_Total_Energy,High_Total_Energy_Exist_TOU),0)/100</f>
        <v>0</v>
      </c>
      <c r="AP26" s="144">
        <f ca="1">IFERROR('Rates Table'!AP26*IF(Inputs!$G$29="No",High_Total_Energy,High_Total_Energy_Exist_TOU),0)/100</f>
        <v>0</v>
      </c>
      <c r="AQ26" s="144">
        <f ca="1">IFERROR('Rates Table'!AQ26*IF(Inputs!$G$29="No",High_Total_Energy,High_Total_Energy_Exist_TOU),0)/100</f>
        <v>0</v>
      </c>
      <c r="AR26" s="144">
        <f ca="1">IFERROR('Rates Table'!AR26*IF(Inputs!$G$29="No",High_Total_Energy,High_Total_Energy_Exist_TOU),0)/100</f>
        <v>0</v>
      </c>
      <c r="AT26" s="140">
        <f t="shared" ca="1" si="15"/>
        <v>0</v>
      </c>
      <c r="AU26" s="144">
        <f ca="1">IFERROR('Rates Table'!AU26*IF(Inputs!$G$29="No",High_Total_Energy,High_Total_Energy_New_TOU),0)/100</f>
        <v>0</v>
      </c>
      <c r="AV26" s="144">
        <f ca="1">IFERROR('Rates Table'!AV26*IF(Inputs!$G$29="No",High_Total_Energy,High_Total_Energy_New_TOU),0)/100</f>
        <v>0</v>
      </c>
      <c r="AW26" s="144">
        <f ca="1">IFERROR('Rates Table'!AW26*IF(Inputs!$G$29="No",High_Total_Energy,High_Total_Energy_New_TOU),0)/100</f>
        <v>0</v>
      </c>
      <c r="AX26" s="144">
        <f ca="1">IFERROR('Rates Table'!AX26*IF(Inputs!$G$29="No",High_Total_Energy,High_Total_Energy_New_TOU),0)/100</f>
        <v>0</v>
      </c>
      <c r="AY26" s="144">
        <f ca="1">IFERROR('Rates Table'!AY26*IF(Inputs!$G$29="No",High_Total_Energy,High_Total_Energy_New_TOU),0)/100</f>
        <v>0</v>
      </c>
      <c r="AZ26" s="144">
        <f ca="1">IFERROR('Rates Table'!AZ26*IF(Inputs!$G$29="No",High_Total_Energy,High_Total_Energy_New_TOU),0)/100</f>
        <v>0</v>
      </c>
      <c r="BA26" s="144">
        <f ca="1">IFERROR('Rates Table'!BA26*IF(Inputs!$G$29="No",High_Total_Energy,High_Total_Energy_New_TOU),0)/100</f>
        <v>0</v>
      </c>
      <c r="BB26" s="144">
        <f ca="1">IFERROR('Rates Table'!BB26*IF(Inputs!$G$29="No",High_Total_Energy,High_Total_Energy_New_TOU),0)/100</f>
        <v>0</v>
      </c>
      <c r="BC26" s="144">
        <f ca="1">IFERROR('Rates Table'!BC26*IF(Inputs!$G$29="No",High_Total_Energy,High_Total_Energy_New_TOU),0)/100</f>
        <v>0</v>
      </c>
      <c r="BD26" s="144">
        <f ca="1">IFERROR('Rates Table'!BD26*IF(Inputs!$G$29="No",High_Total_Energy,High_Total_Energy_New_TOU),0)/100</f>
        <v>0</v>
      </c>
      <c r="BE26" s="144">
        <f ca="1">IFERROR('Rates Table'!BE26*IF(Inputs!$G$29="No",High_Total_Energy,High_Total_Energy_New_TOU),0)/100</f>
        <v>0</v>
      </c>
      <c r="BF26" s="144">
        <f ca="1">IFERROR('Rates Table'!BF26*IF(Inputs!$G$29="No",High_Total_Energy,High_Total_Energy_New_TOU),0)/100</f>
        <v>0</v>
      </c>
      <c r="BG26" s="144">
        <f ca="1">IFERROR('Rates Table'!BG26*IF(Inputs!$G$29="No",High_Total_Energy,High_Total_Energy_New_TOU),0)/100</f>
        <v>0</v>
      </c>
      <c r="BH26" s="144">
        <f ca="1">IFERROR('Rates Table'!BH26*IF(Inputs!$G$29="No",High_Total_Energy,High_Total_Energy_New_TOU),0)/100</f>
        <v>0</v>
      </c>
      <c r="BI26" s="144">
        <f ca="1">IFERROR('Rates Table'!BI26*IF(Inputs!$G$29="No",High_Total_Energy,High_Total_Energy_New_TOU),0)/100</f>
        <v>0</v>
      </c>
      <c r="BJ26" s="144">
        <f ca="1">IFERROR('Rates Table'!BJ26*IF(Inputs!$G$29="No",High_Total_Energy,High_Total_Energy_New_TOU),0)/100</f>
        <v>0</v>
      </c>
      <c r="BK26" s="144">
        <f ca="1">IFERROR('Rates Table'!BK26*IF(Inputs!$G$29="No",High_Total_Energy,High_Total_Energy_New_TOU),0)/100</f>
        <v>0</v>
      </c>
      <c r="BL26" s="144">
        <f ca="1">IFERROR('Rates Table'!BL26*IF(Inputs!$G$29="No",High_Total_Energy,High_Total_Energy_New_TOU),0)/100</f>
        <v>0</v>
      </c>
      <c r="BM26" s="144">
        <f ca="1">IFERROR('Rates Table'!BM26*IF(Inputs!$G$29="No",High_Total_Energy,High_Total_Energy_New_TOU),0)/100</f>
        <v>0</v>
      </c>
      <c r="BN26" s="144">
        <f ca="1">IFERROR('Rates Table'!BN26*IF(Inputs!$G$29="No",High_Total_Energy,High_Total_Energy_New_TOU),0)/100</f>
        <v>0</v>
      </c>
      <c r="BO26" s="144">
        <f ca="1">IFERROR('Rates Table'!BO26*IF(Inputs!$G$29="No",High_Total_Energy,High_Total_Energy_New_TOU),0)/100</f>
        <v>0</v>
      </c>
      <c r="BP26" s="144">
        <f ca="1">IFERROR('Rates Table'!BP26*IF(Inputs!$G$29="No",High_Total_Energy,High_Total_Energy_New_TOU),0)/100</f>
        <v>0</v>
      </c>
      <c r="BQ26" s="144">
        <f ca="1">IFERROR('Rates Table'!BQ26*IF(Inputs!$G$29="No",High_Total_Energy,High_Total_Energy_New_TOU),0)/100</f>
        <v>0</v>
      </c>
      <c r="BR26" s="144">
        <f ca="1">IFERROR('Rates Table'!BR26*IF(Inputs!$G$29="No",High_Total_Energy,High_Total_Energy_New_TOU),0)/100</f>
        <v>0</v>
      </c>
      <c r="BS26" s="144">
        <f ca="1">IFERROR('Rates Table'!BS26*IF(Inputs!$G$29="No",High_Total_Energy,High_Total_Energy_New_TOU),0)/100</f>
        <v>0</v>
      </c>
      <c r="BT26" s="144">
        <f ca="1">IFERROR('Rates Table'!BT26*IF(Inputs!$G$29="No",High_Total_Energy,High_Total_Energy_New_TOU),0)/100</f>
        <v>0</v>
      </c>
      <c r="BU26" s="144">
        <f ca="1">IFERROR('Rates Table'!BU26*IF(Inputs!$G$29="No",High_Total_Energy,High_Total_Energy_New_TOU),0)/100</f>
        <v>0</v>
      </c>
      <c r="BV26" s="144">
        <f ca="1">IFERROR('Rates Table'!BV26*IF(Inputs!$G$29="No",High_Total_Energy,High_Total_Energy_New_TOU),0)/100</f>
        <v>0</v>
      </c>
      <c r="BW26" s="144">
        <f ca="1">IFERROR('Rates Table'!BW26*IF(Inputs!$G$29="No",High_Total_Energy,High_Total_Energy_New_TOU),0)/100</f>
        <v>0</v>
      </c>
      <c r="BX26" s="144">
        <f ca="1">IFERROR('Rates Table'!BX26*IF(Inputs!$G$29="No",High_Total_Energy,High_Total_Energy_New_TOU),0)/100</f>
        <v>0</v>
      </c>
      <c r="BY26" s="144">
        <f ca="1">IFERROR('Rates Table'!BY26*IF(Inputs!$G$29="No",High_Total_Energy,High_Total_Energy_New_TOU),0)/100</f>
        <v>0</v>
      </c>
      <c r="BZ26" s="144">
        <f ca="1">IFERROR('Rates Table'!BZ26*IF(Inputs!$G$29="No",High_Total_Energy,High_Total_Energy_New_TOU),0)/100</f>
        <v>0</v>
      </c>
      <c r="CA26" s="144">
        <f ca="1">IFERROR('Rates Table'!CA26*IF(Inputs!$G$29="No",High_Total_Energy,High_Total_Energy_New_TOU),0)/100</f>
        <v>0</v>
      </c>
      <c r="CB26" s="144">
        <f ca="1">IFERROR('Rates Table'!CB26*IF(Inputs!$G$29="No",High_Total_Energy,High_Total_Energy_New_TOU),0)/100</f>
        <v>0</v>
      </c>
      <c r="CC26" s="144">
        <f ca="1">IFERROR('Rates Table'!CC26*IF(Inputs!$G$29="No",High_Total_Energy,High_Total_Energy_New_TOU),0)/100</f>
        <v>0</v>
      </c>
      <c r="CD26" s="144">
        <f ca="1">IFERROR('Rates Table'!CD26*IF(Inputs!$G$29="No",High_Total_Energy,High_Total_Energy_New_TOU),0)/100</f>
        <v>0</v>
      </c>
      <c r="CE26" s="144">
        <f ca="1">IFERROR('Rates Table'!CE26*IF(Inputs!$G$29="No",High_Total_Energy,High_Total_Energy_New_TOU),0)/100</f>
        <v>0</v>
      </c>
      <c r="CF26" s="144">
        <f ca="1">IFERROR('Rates Table'!CF26*IF(Inputs!$G$29="No",High_Total_Energy,High_Total_Energy_New_TOU),0)/100</f>
        <v>0</v>
      </c>
    </row>
    <row r="27" spans="2:84" s="138" customFormat="1">
      <c r="C27" s="138" t="s">
        <v>192</v>
      </c>
      <c r="D27" s="139" t="s">
        <v>106</v>
      </c>
      <c r="E27" s="140">
        <f t="shared" ca="1" si="14"/>
        <v>0</v>
      </c>
      <c r="F27" s="141">
        <f ca="1">IFERROR('Rates Table'!F42*(High_Block_1),0)/100</f>
        <v>0</v>
      </c>
      <c r="G27" s="141">
        <f ca="1">IFERROR('Rates Table'!G42*(High_Block_1),0)/100</f>
        <v>0</v>
      </c>
      <c r="H27" s="141">
        <f ca="1">IFERROR('Rates Table'!H42*(High_Block_1),0)/100</f>
        <v>0</v>
      </c>
      <c r="I27" s="141">
        <f ca="1">IFERROR('Rates Table'!I42*(High_Block_1),0)/100</f>
        <v>0</v>
      </c>
      <c r="J27" s="141">
        <f ca="1">IFERROR('Rates Table'!J42*(High_Block_1),0)/100</f>
        <v>0</v>
      </c>
      <c r="K27" s="141">
        <f ca="1">IFERROR('Rates Table'!K42*(High_Block_1),0)/100</f>
        <v>0</v>
      </c>
      <c r="L27" s="141">
        <f ca="1">IFERROR('Rates Table'!L42*(High_Block_1),0)/100</f>
        <v>0</v>
      </c>
      <c r="M27" s="141">
        <f ca="1">IFERROR('Rates Table'!M42*(High_Block_1),0)/100</f>
        <v>0</v>
      </c>
      <c r="N27" s="141">
        <f ca="1">IFERROR('Rates Table'!N42*(High_Block_1),0)/100</f>
        <v>0</v>
      </c>
      <c r="O27" s="141">
        <f ca="1">IFERROR('Rates Table'!O42*(High_Block_1),0)/100</f>
        <v>0</v>
      </c>
      <c r="P27" s="141">
        <f ca="1">IFERROR('Rates Table'!P42*(High_Block_1),0)/100</f>
        <v>0</v>
      </c>
      <c r="Q27" s="141">
        <f ca="1">IFERROR('Rates Table'!Q42*(High_Block_1),0)/100</f>
        <v>0</v>
      </c>
      <c r="R27" s="141">
        <f ca="1">IFERROR('Rates Table'!R42*(High_Block_1),0)/100</f>
        <v>0</v>
      </c>
      <c r="S27" s="141">
        <f ca="1">IFERROR('Rates Table'!S42*(High_Block_1),0)/100</f>
        <v>0</v>
      </c>
      <c r="T27" s="141">
        <f ca="1">IFERROR('Rates Table'!T42*(High_Block_1),0)/100</f>
        <v>0</v>
      </c>
      <c r="U27" s="141">
        <f ca="1">IFERROR('Rates Table'!U42*(High_Block_1),0)/100</f>
        <v>0</v>
      </c>
      <c r="V27" s="141">
        <f ca="1">IFERROR('Rates Table'!V42*(High_Block_1),0)/100</f>
        <v>0</v>
      </c>
      <c r="W27" s="141">
        <f ca="1">IFERROR('Rates Table'!W42*(High_Block_1),0)/100</f>
        <v>0</v>
      </c>
      <c r="X27" s="141">
        <f ca="1">IF(OR(E2="Nightsave Large",E2="Nightsave Small"),E27,IFERROR('Rates Table'!X42*(High_Block_1),0)/100)</f>
        <v>0</v>
      </c>
      <c r="Y27" s="141">
        <f ca="1">IFERROR('Rates Table'!Y42*(High_Block_1),0)/100</f>
        <v>0</v>
      </c>
      <c r="Z27" s="141">
        <f ca="1">IFERROR('Rates Table'!Z42*(High_Block_1),0)/100</f>
        <v>0</v>
      </c>
      <c r="AA27" s="141">
        <f ca="1">IFERROR('Rates Table'!AA42*(High_Block_1),0)/100</f>
        <v>0</v>
      </c>
      <c r="AB27" s="141">
        <f ca="1">IFERROR('Rates Table'!AB42*(High_Block_1),0)/100</f>
        <v>0</v>
      </c>
      <c r="AC27" s="141">
        <f ca="1">IFERROR('Rates Table'!AC42*(High_Block_1),0)/100</f>
        <v>0</v>
      </c>
      <c r="AD27" s="141">
        <f ca="1">IFERROR('Rates Table'!AD42*(High_Block_1),0)/100</f>
        <v>0</v>
      </c>
      <c r="AE27" s="141">
        <f ca="1">IFERROR('Rates Table'!AE42*(High_Block_1),0)/100</f>
        <v>0</v>
      </c>
      <c r="AF27" s="141">
        <f ca="1">IFERROR('Rates Table'!AF42*(High_Block_1),0)/100</f>
        <v>0</v>
      </c>
      <c r="AG27" s="141">
        <f ca="1">IFERROR('Rates Table'!AG42*(High_Block_1),0)/100</f>
        <v>0</v>
      </c>
      <c r="AH27" s="141">
        <f ca="1">IFERROR('Rates Table'!AH42*(High_Block_1),0)/100</f>
        <v>0</v>
      </c>
      <c r="AI27" s="141">
        <f ca="1">IFERROR('Rates Table'!AI42*(High_Block_1),0)/100</f>
        <v>0</v>
      </c>
      <c r="AJ27" s="141">
        <f ca="1">IFERROR('Rates Table'!AJ42*(High_Block_1),0)/100</f>
        <v>0</v>
      </c>
      <c r="AK27" s="141">
        <f ca="1">IFERROR('Rates Table'!AK42*(High_Block_1),0)/100</f>
        <v>0</v>
      </c>
      <c r="AL27" s="141">
        <f ca="1">IFERROR('Rates Table'!AL42*(High_Block_1),0)/100</f>
        <v>0</v>
      </c>
      <c r="AM27" s="141">
        <f ca="1">IFERROR('Rates Table'!AM42*(High_Block_1),0)/100</f>
        <v>0</v>
      </c>
      <c r="AN27" s="141">
        <f ca="1">IFERROR('Rates Table'!AN42*(High_Block_1),0)/100</f>
        <v>0</v>
      </c>
      <c r="AO27" s="141">
        <f ca="1">IFERROR('Rates Table'!AO42*(High_Block_1),0)/100</f>
        <v>0</v>
      </c>
      <c r="AP27" s="141">
        <f ca="1">IFERROR('Rates Table'!AP42*(High_Block_1),0)/100</f>
        <v>0</v>
      </c>
      <c r="AQ27" s="141">
        <f ca="1">IFERROR('Rates Table'!AQ42*(High_Block_1),0)/100</f>
        <v>0</v>
      </c>
      <c r="AR27" s="141">
        <f ca="1">IFERROR('Rates Table'!AR42*(High_Block_1),0)/100</f>
        <v>0</v>
      </c>
      <c r="AT27" s="140">
        <f t="shared" ca="1" si="15"/>
        <v>0</v>
      </c>
      <c r="AU27" s="141">
        <f ca="1">IFERROR('Rates Table'!AU42*(High_Block_1),0)/100</f>
        <v>0</v>
      </c>
      <c r="AV27" s="141">
        <f ca="1">IFERROR('Rates Table'!AV42*(High_Block_1),0)/100</f>
        <v>0</v>
      </c>
      <c r="AW27" s="141">
        <f ca="1">IFERROR('Rates Table'!AW42*(High_Block_1),0)/100</f>
        <v>0</v>
      </c>
      <c r="AX27" s="141">
        <f ca="1">IFERROR('Rates Table'!AX42*(High_Block_1),0)/100</f>
        <v>0</v>
      </c>
      <c r="AY27" s="141">
        <f ca="1">IFERROR('Rates Table'!AY42*(High_Block_1),0)/100</f>
        <v>0</v>
      </c>
      <c r="AZ27" s="141">
        <f ca="1">IFERROR('Rates Table'!AZ42*(High_Block_1),0)/100</f>
        <v>0</v>
      </c>
      <c r="BA27" s="141">
        <f ca="1">IFERROR('Rates Table'!BA42*(High_Block_1),0)/100</f>
        <v>0</v>
      </c>
      <c r="BB27" s="141">
        <f ca="1">IFERROR('Rates Table'!BB42*(High_Block_1),0)/100</f>
        <v>0</v>
      </c>
      <c r="BC27" s="141">
        <f ca="1">IFERROR('Rates Table'!BC42*(High_Block_1),0)/100</f>
        <v>0</v>
      </c>
      <c r="BD27" s="141">
        <f ca="1">IFERROR('Rates Table'!BD42*(High_Block_1),0)/100</f>
        <v>0</v>
      </c>
      <c r="BE27" s="141">
        <f ca="1">IFERROR('Rates Table'!BE42*(High_Block_1),0)/100</f>
        <v>0</v>
      </c>
      <c r="BF27" s="141">
        <f ca="1">IFERROR('Rates Table'!BF42*(High_Block_1),0)/100</f>
        <v>0</v>
      </c>
      <c r="BG27" s="141">
        <f ca="1">IFERROR('Rates Table'!BG42*(High_Block_1),0)/100</f>
        <v>0</v>
      </c>
      <c r="BH27" s="141">
        <f ca="1">IFERROR('Rates Table'!BH42*(High_Block_1),0)/100</f>
        <v>0</v>
      </c>
      <c r="BI27" s="141">
        <f ca="1">IFERROR('Rates Table'!BI42*(High_Block_1),0)/100</f>
        <v>0</v>
      </c>
      <c r="BJ27" s="141">
        <f ca="1">IFERROR('Rates Table'!BJ42*(High_Block_1),0)/100</f>
        <v>0</v>
      </c>
      <c r="BK27" s="141">
        <f ca="1">IFERROR('Rates Table'!BK42*(High_Block_1),0)/100</f>
        <v>0</v>
      </c>
      <c r="BL27" s="141">
        <f ca="1">IFERROR('Rates Table'!BL42*(High_Block_1),0)/100</f>
        <v>0</v>
      </c>
      <c r="BM27" s="141">
        <f ca="1">IFERROR('Rates Table'!BM42*(High_Block_1),0)/100</f>
        <v>0</v>
      </c>
      <c r="BN27" s="141">
        <f ca="1">IFERROR('Rates Table'!BN42*(High_Block_1),0)/100</f>
        <v>0</v>
      </c>
      <c r="BO27" s="141">
        <f ca="1">IFERROR('Rates Table'!BO42*(High_Block_1),0)/100</f>
        <v>0</v>
      </c>
      <c r="BP27" s="141">
        <f ca="1">IFERROR('Rates Table'!BP42*(High_Block_1),0)/100</f>
        <v>0</v>
      </c>
      <c r="BQ27" s="141">
        <f ca="1">IFERROR('Rates Table'!BQ42*(High_Block_1),0)/100</f>
        <v>0</v>
      </c>
      <c r="BR27" s="141">
        <f ca="1">IFERROR('Rates Table'!BR42*(High_Block_1),0)/100</f>
        <v>0</v>
      </c>
      <c r="BS27" s="141">
        <f ca="1">IFERROR('Rates Table'!BS42*(High_Block_1),0)/100</f>
        <v>0</v>
      </c>
      <c r="BT27" s="141">
        <f ca="1">IFERROR('Rates Table'!BT42*(High_Block_1),0)/100</f>
        <v>0</v>
      </c>
      <c r="BU27" s="141">
        <f ca="1">IFERROR('Rates Table'!BU42*(High_Block_1),0)/100</f>
        <v>0</v>
      </c>
      <c r="BV27" s="141">
        <f ca="1">IFERROR('Rates Table'!BV42*(High_Block_1),0)/100</f>
        <v>0</v>
      </c>
      <c r="BW27" s="141">
        <f ca="1">IFERROR('Rates Table'!BW42*(High_Block_1),0)/100</f>
        <v>0</v>
      </c>
      <c r="BX27" s="141">
        <f ca="1">IFERROR('Rates Table'!BX42*(High_Block_1),0)/100</f>
        <v>0</v>
      </c>
      <c r="BY27" s="141">
        <f ca="1">IFERROR('Rates Table'!BY42*(High_Block_1),0)/100</f>
        <v>0</v>
      </c>
      <c r="BZ27" s="141">
        <f ca="1">IFERROR('Rates Table'!BZ42*(High_Block_1),0)/100</f>
        <v>0</v>
      </c>
      <c r="CA27" s="141">
        <f ca="1">IFERROR('Rates Table'!CA42*(High_Block_1),0)/100</f>
        <v>0</v>
      </c>
      <c r="CB27" s="141">
        <f ca="1">IFERROR('Rates Table'!CB42*(High_Block_1),0)/100</f>
        <v>0</v>
      </c>
      <c r="CC27" s="141">
        <f ca="1">IFERROR('Rates Table'!CC42*(High_Block_1),0)/100</f>
        <v>0</v>
      </c>
      <c r="CD27" s="141">
        <f ca="1">IFERROR('Rates Table'!CD42*(High_Block_1),0)/100</f>
        <v>0</v>
      </c>
      <c r="CE27" s="141">
        <f ca="1">IFERROR('Rates Table'!CE42*(High_Block_1),0)/100</f>
        <v>0</v>
      </c>
      <c r="CF27" s="141">
        <f ca="1">IFERROR('Rates Table'!CF42*(High_Block_1),0)/100</f>
        <v>0</v>
      </c>
    </row>
    <row r="28" spans="2:84" s="138" customFormat="1">
      <c r="C28" s="138" t="s">
        <v>193</v>
      </c>
      <c r="D28" s="139" t="s">
        <v>106</v>
      </c>
      <c r="E28" s="140">
        <f t="shared" ca="1" si="14"/>
        <v>0</v>
      </c>
      <c r="F28" s="141">
        <f ca="1">IFERROR('Rates Table'!F43*(High_Block_2),0)/100</f>
        <v>0</v>
      </c>
      <c r="G28" s="141">
        <f ca="1">IFERROR('Rates Table'!G43*(High_Block_2),0)/100</f>
        <v>0</v>
      </c>
      <c r="H28" s="141">
        <f ca="1">IFERROR('Rates Table'!H43*(High_Block_2),0)/100</f>
        <v>0</v>
      </c>
      <c r="I28" s="141">
        <f ca="1">IFERROR('Rates Table'!I43*(High_Block_2),0)/100</f>
        <v>0</v>
      </c>
      <c r="J28" s="141">
        <f ca="1">IFERROR('Rates Table'!J43*(High_Block_2),0)/100</f>
        <v>0</v>
      </c>
      <c r="K28" s="141">
        <f ca="1">IFERROR('Rates Table'!K43*(High_Block_2),0)/100</f>
        <v>0</v>
      </c>
      <c r="L28" s="141">
        <f ca="1">IFERROR('Rates Table'!L43*(High_Block_2),0)/100</f>
        <v>0</v>
      </c>
      <c r="M28" s="141">
        <f ca="1">IFERROR('Rates Table'!M43*(High_Block_2),0)/100</f>
        <v>0</v>
      </c>
      <c r="N28" s="141">
        <f ca="1">IFERROR('Rates Table'!N43*(High_Block_2),0)/100</f>
        <v>0</v>
      </c>
      <c r="O28" s="141">
        <f ca="1">IFERROR('Rates Table'!O43*(High_Block_2),0)/100</f>
        <v>0</v>
      </c>
      <c r="P28" s="141">
        <f ca="1">IFERROR('Rates Table'!P43*(High_Block_2),0)/100</f>
        <v>0</v>
      </c>
      <c r="Q28" s="141">
        <f ca="1">IFERROR('Rates Table'!Q43*(High_Block_2),0)/100</f>
        <v>0</v>
      </c>
      <c r="R28" s="141">
        <f ca="1">IFERROR('Rates Table'!R43*(High_Block_2),0)/100</f>
        <v>0</v>
      </c>
      <c r="S28" s="141">
        <f ca="1">IFERROR('Rates Table'!S43*(High_Block_2),0)/100</f>
        <v>0</v>
      </c>
      <c r="T28" s="141">
        <f ca="1">IFERROR('Rates Table'!T43*(High_Block_2),0)/100</f>
        <v>0</v>
      </c>
      <c r="U28" s="141">
        <f ca="1">IFERROR('Rates Table'!U43*(High_Block_2),0)/100</f>
        <v>0</v>
      </c>
      <c r="V28" s="141">
        <f ca="1">IFERROR('Rates Table'!V43*(High_Block_2),0)/100</f>
        <v>0</v>
      </c>
      <c r="W28" s="141">
        <f ca="1">IFERROR('Rates Table'!W43*(High_Block_2),0)/100</f>
        <v>0</v>
      </c>
      <c r="X28" s="141">
        <f ca="1">IF(OR(E2="Nightsave Large",E2="Nightsave Small"),E28,IFERROR('Rates Table'!X43*(High_Block_2),0)/100)</f>
        <v>0</v>
      </c>
      <c r="Y28" s="141">
        <f ca="1">IFERROR('Rates Table'!Y43*(High_Block_2),0)/100</f>
        <v>0</v>
      </c>
      <c r="Z28" s="141">
        <f ca="1">IFERROR('Rates Table'!Z43*(High_Block_2),0)/100</f>
        <v>0</v>
      </c>
      <c r="AA28" s="141">
        <f ca="1">IFERROR('Rates Table'!AA43*(High_Block_2),0)/100</f>
        <v>0</v>
      </c>
      <c r="AB28" s="141">
        <f ca="1">IFERROR('Rates Table'!AB43*(High_Block_2),0)/100</f>
        <v>0</v>
      </c>
      <c r="AC28" s="141">
        <f ca="1">IFERROR('Rates Table'!AC43*(High_Block_2),0)/100</f>
        <v>0</v>
      </c>
      <c r="AD28" s="141">
        <f ca="1">IFERROR('Rates Table'!AD43*(High_Block_2),0)/100</f>
        <v>0</v>
      </c>
      <c r="AE28" s="141">
        <f ca="1">IFERROR('Rates Table'!AE43*(High_Block_2),0)/100</f>
        <v>0</v>
      </c>
      <c r="AF28" s="141">
        <f ca="1">IFERROR('Rates Table'!AF43*(High_Block_2),0)/100</f>
        <v>0</v>
      </c>
      <c r="AG28" s="141">
        <f ca="1">IFERROR('Rates Table'!AG43*(High_Block_2),0)/100</f>
        <v>0</v>
      </c>
      <c r="AH28" s="141">
        <f ca="1">IFERROR('Rates Table'!AH43*(High_Block_2),0)/100</f>
        <v>0</v>
      </c>
      <c r="AI28" s="141">
        <f ca="1">IFERROR('Rates Table'!AI43*(High_Block_2),0)/100</f>
        <v>0</v>
      </c>
      <c r="AJ28" s="141">
        <f ca="1">IFERROR('Rates Table'!AJ43*(High_Block_2),0)/100</f>
        <v>0</v>
      </c>
      <c r="AK28" s="141">
        <f ca="1">IFERROR('Rates Table'!AK43*(High_Block_2),0)/100</f>
        <v>0</v>
      </c>
      <c r="AL28" s="141">
        <f ca="1">IFERROR('Rates Table'!AL43*(High_Block_2),0)/100</f>
        <v>0</v>
      </c>
      <c r="AM28" s="141">
        <f ca="1">IFERROR('Rates Table'!AM43*(High_Block_2),0)/100</f>
        <v>0</v>
      </c>
      <c r="AN28" s="141">
        <f ca="1">IFERROR('Rates Table'!AN43*(High_Block_2),0)/100</f>
        <v>0</v>
      </c>
      <c r="AO28" s="141">
        <f ca="1">IFERROR('Rates Table'!AO43*(High_Block_2),0)/100</f>
        <v>0</v>
      </c>
      <c r="AP28" s="141">
        <f ca="1">IFERROR('Rates Table'!AP43*(High_Block_2),0)/100</f>
        <v>0</v>
      </c>
      <c r="AQ28" s="141">
        <f ca="1">IFERROR('Rates Table'!AQ43*(High_Block_2),0)/100</f>
        <v>0</v>
      </c>
      <c r="AR28" s="141">
        <f ca="1">IFERROR('Rates Table'!AR43*(High_Block_2),0)/100</f>
        <v>0</v>
      </c>
      <c r="AT28" s="140">
        <f t="shared" ca="1" si="15"/>
        <v>0</v>
      </c>
      <c r="AU28" s="141">
        <f ca="1">IFERROR('Rates Table'!AU43*(High_Block_2),0)/100</f>
        <v>0</v>
      </c>
      <c r="AV28" s="141">
        <f ca="1">IFERROR('Rates Table'!AV43*(High_Block_2),0)/100</f>
        <v>0</v>
      </c>
      <c r="AW28" s="141">
        <f ca="1">IFERROR('Rates Table'!AW43*(High_Block_2),0)/100</f>
        <v>0</v>
      </c>
      <c r="AX28" s="141">
        <f ca="1">IFERROR('Rates Table'!AX43*(High_Block_2),0)/100</f>
        <v>0</v>
      </c>
      <c r="AY28" s="141">
        <f ca="1">IFERROR('Rates Table'!AY43*(High_Block_2),0)/100</f>
        <v>0</v>
      </c>
      <c r="AZ28" s="141">
        <f ca="1">IFERROR('Rates Table'!AZ43*(High_Block_2),0)/100</f>
        <v>0</v>
      </c>
      <c r="BA28" s="141">
        <f ca="1">IFERROR('Rates Table'!BA43*(High_Block_2),0)/100</f>
        <v>0</v>
      </c>
      <c r="BB28" s="141">
        <f ca="1">IFERROR('Rates Table'!BB43*(High_Block_2),0)/100</f>
        <v>0</v>
      </c>
      <c r="BC28" s="141">
        <f ca="1">IFERROR('Rates Table'!BC43*(High_Block_2),0)/100</f>
        <v>0</v>
      </c>
      <c r="BD28" s="141">
        <f ca="1">IFERROR('Rates Table'!BD43*(High_Block_2),0)/100</f>
        <v>0</v>
      </c>
      <c r="BE28" s="141">
        <f ca="1">IFERROR('Rates Table'!BE43*(High_Block_2),0)/100</f>
        <v>0</v>
      </c>
      <c r="BF28" s="141">
        <f ca="1">IFERROR('Rates Table'!BF43*(High_Block_2),0)/100</f>
        <v>0</v>
      </c>
      <c r="BG28" s="141">
        <f ca="1">IFERROR('Rates Table'!BG43*(High_Block_2),0)/100</f>
        <v>0</v>
      </c>
      <c r="BH28" s="141">
        <f ca="1">IFERROR('Rates Table'!BH43*(High_Block_2),0)/100</f>
        <v>0</v>
      </c>
      <c r="BI28" s="141">
        <f ca="1">IFERROR('Rates Table'!BI43*(High_Block_2),0)/100</f>
        <v>0</v>
      </c>
      <c r="BJ28" s="141">
        <f ca="1">IFERROR('Rates Table'!BJ43*(High_Block_2),0)/100</f>
        <v>0</v>
      </c>
      <c r="BK28" s="141">
        <f ca="1">IFERROR('Rates Table'!BK43*(High_Block_2),0)/100</f>
        <v>0</v>
      </c>
      <c r="BL28" s="141">
        <f ca="1">IFERROR('Rates Table'!BL43*(High_Block_2),0)/100</f>
        <v>0</v>
      </c>
      <c r="BM28" s="141">
        <f ca="1">IFERROR('Rates Table'!BM43*(High_Block_2),0)/100</f>
        <v>0</v>
      </c>
      <c r="BN28" s="141">
        <f ca="1">IFERROR('Rates Table'!BN43*(High_Block_2),0)/100</f>
        <v>0</v>
      </c>
      <c r="BO28" s="141">
        <f ca="1">IFERROR('Rates Table'!BO43*(High_Block_2),0)/100</f>
        <v>0</v>
      </c>
      <c r="BP28" s="141">
        <f ca="1">IFERROR('Rates Table'!BP43*(High_Block_2),0)/100</f>
        <v>0</v>
      </c>
      <c r="BQ28" s="141">
        <f ca="1">IFERROR('Rates Table'!BQ43*(High_Block_2),0)/100</f>
        <v>0</v>
      </c>
      <c r="BR28" s="141">
        <f ca="1">IFERROR('Rates Table'!BR43*(High_Block_2),0)/100</f>
        <v>0</v>
      </c>
      <c r="BS28" s="141">
        <f ca="1">IFERROR('Rates Table'!BS43*(High_Block_2),0)/100</f>
        <v>0</v>
      </c>
      <c r="BT28" s="141">
        <f ca="1">IFERROR('Rates Table'!BT43*(High_Block_2),0)/100</f>
        <v>0</v>
      </c>
      <c r="BU28" s="141">
        <f ca="1">IFERROR('Rates Table'!BU43*(High_Block_2),0)/100</f>
        <v>0</v>
      </c>
      <c r="BV28" s="141">
        <f ca="1">IFERROR('Rates Table'!BV43*(High_Block_2),0)/100</f>
        <v>0</v>
      </c>
      <c r="BW28" s="141">
        <f ca="1">IFERROR('Rates Table'!BW43*(High_Block_2),0)/100</f>
        <v>0</v>
      </c>
      <c r="BX28" s="141">
        <f ca="1">IFERROR('Rates Table'!BX43*(High_Block_2),0)/100</f>
        <v>0</v>
      </c>
      <c r="BY28" s="141">
        <f ca="1">IFERROR('Rates Table'!BY43*(High_Block_2),0)/100</f>
        <v>0</v>
      </c>
      <c r="BZ28" s="141">
        <f ca="1">IFERROR('Rates Table'!BZ43*(High_Block_2),0)/100</f>
        <v>0</v>
      </c>
      <c r="CA28" s="141">
        <f ca="1">IFERROR('Rates Table'!CA43*(High_Block_2),0)/100</f>
        <v>0</v>
      </c>
      <c r="CB28" s="141">
        <f ca="1">IFERROR('Rates Table'!CB43*(High_Block_2),0)/100</f>
        <v>0</v>
      </c>
      <c r="CC28" s="141">
        <f ca="1">IFERROR('Rates Table'!CC43*(High_Block_2),0)/100</f>
        <v>0</v>
      </c>
      <c r="CD28" s="141">
        <f ca="1">IFERROR('Rates Table'!CD43*(High_Block_2),0)/100</f>
        <v>0</v>
      </c>
      <c r="CE28" s="141">
        <f ca="1">IFERROR('Rates Table'!CE43*(High_Block_2),0)/100</f>
        <v>0</v>
      </c>
      <c r="CF28" s="141">
        <f ca="1">IFERROR('Rates Table'!CF43*(High_Block_2),0)/100</f>
        <v>0</v>
      </c>
    </row>
    <row r="29" spans="2:84" s="138" customFormat="1">
      <c r="C29" s="138" t="s">
        <v>149</v>
      </c>
      <c r="D29" s="139" t="s">
        <v>115</v>
      </c>
      <c r="E29" s="140">
        <f t="shared" ca="1" si="14"/>
        <v>0</v>
      </c>
      <c r="F29" s="141">
        <f ca="1">IFERROR('Rates Table'!F29*IF(Inputs!$G$29="No",High_Demand,High_Demand_Exist_TOU),0)</f>
        <v>0</v>
      </c>
      <c r="G29" s="141">
        <f ca="1">IFERROR('Rates Table'!G29*IF(Inputs!$G$29="No",High_Demand,High_Demand_Exist_TOU),0)</f>
        <v>0</v>
      </c>
      <c r="H29" s="141">
        <f ca="1">IFERROR('Rates Table'!H29*IF(Inputs!$G$29="No",High_Demand,High_Demand_Exist_TOU),0)</f>
        <v>0</v>
      </c>
      <c r="I29" s="141">
        <f ca="1">IFERROR('Rates Table'!I29*IF(Inputs!$G$29="No",High_Demand,High_Demand_Exist_TOU),0)</f>
        <v>0</v>
      </c>
      <c r="J29" s="141">
        <f ca="1">IFERROR('Rates Table'!J29*IF(Inputs!$G$29="No",High_Demand,High_Demand_Exist_TOU),0)</f>
        <v>0</v>
      </c>
      <c r="K29" s="141">
        <f ca="1">IFERROR('Rates Table'!K29*IF(Inputs!$G$29="No",High_Demand,High_Demand_Exist_TOU),0)</f>
        <v>0</v>
      </c>
      <c r="L29" s="141">
        <f ca="1">IFERROR('Rates Table'!L29*IF(Inputs!$G$29="No",High_Demand,High_Demand_Exist_TOU),0)</f>
        <v>0</v>
      </c>
      <c r="M29" s="141">
        <f ca="1">IFERROR('Rates Table'!M29*IF(Inputs!$G$29="No",High_Demand,High_Demand_Exist_TOU),0)</f>
        <v>0</v>
      </c>
      <c r="N29" s="141">
        <f ca="1">IFERROR('Rates Table'!N29*IF(Inputs!$G$29="No",High_Demand,High_Demand_Exist_TOU),0)</f>
        <v>0</v>
      </c>
      <c r="O29" s="141">
        <f ca="1">IFERROR('Rates Table'!O29*IF(Inputs!$G$29="No",High_Demand,High_Demand_Exist_TOU),0)</f>
        <v>0</v>
      </c>
      <c r="P29" s="141">
        <f ca="1">IFERROR('Rates Table'!P29*IF(Inputs!$G$29="No",High_Demand,High_Demand_Exist_TOU),0)</f>
        <v>0</v>
      </c>
      <c r="Q29" s="141">
        <f ca="1">IFERROR('Rates Table'!Q29*IF(Inputs!$G$29="No",High_Demand,High_Demand_Exist_TOU),0)</f>
        <v>0</v>
      </c>
      <c r="R29" s="141">
        <f ca="1">IFERROR('Rates Table'!R29*IF(Inputs!$G$29="No",High_Demand,High_Demand_Exist_TOU),0)</f>
        <v>0</v>
      </c>
      <c r="S29" s="141">
        <f ca="1">IFERROR('Rates Table'!S29*IF(Inputs!$G$29="No",High_Demand,High_Demand_Exist_TOU),0)</f>
        <v>0</v>
      </c>
      <c r="T29" s="141">
        <f ca="1">IFERROR('Rates Table'!T29*IF(Inputs!$G$29="No",High_Demand,High_Demand_Exist_TOU),0)</f>
        <v>0</v>
      </c>
      <c r="U29" s="141">
        <f ca="1">IFERROR('Rates Table'!U29*IF(Inputs!$G$29="No",High_Demand,High_Demand_Exist_TOU),0)</f>
        <v>0</v>
      </c>
      <c r="V29" s="141">
        <f ca="1">IFERROR('Rates Table'!V29*IF(Inputs!$G$29="No",High_Demand,High_Demand_Exist_TOU),0)</f>
        <v>0</v>
      </c>
      <c r="W29" s="141">
        <f ca="1">IFERROR('Rates Table'!W29*IF(Inputs!$G$29="No",High_Demand,High_Demand_Exist_TOU),0)</f>
        <v>0</v>
      </c>
      <c r="X29" s="141">
        <f ca="1">IF(OR(E2="Nightsave Large",E2="Nightsave Small"),E29,IFERROR('Rates Table'!X29*IF(Inputs!$G$29="No",High_Demand,High_Demand_Exist_TOU),0))</f>
        <v>0</v>
      </c>
      <c r="Y29" s="141">
        <f ca="1">IFERROR('Rates Table'!Y29*IF(Inputs!$G$29="No",High_Demand,High_Demand_Exist_TOU),0)</f>
        <v>0</v>
      </c>
      <c r="Z29" s="141">
        <f ca="1">IFERROR('Rates Table'!Z29*IF(Inputs!$G$29="No",High_Demand,High_Demand_Exist_TOU),0)</f>
        <v>0</v>
      </c>
      <c r="AA29" s="141">
        <f ca="1">IFERROR('Rates Table'!AA29*IF(Inputs!$G$29="No",High_Demand,High_Demand_Exist_TOU),0)</f>
        <v>0</v>
      </c>
      <c r="AB29" s="141">
        <f ca="1">IFERROR('Rates Table'!AB29*IF(Inputs!$G$29="No",High_Demand,High_Demand_Exist_TOU),0)</f>
        <v>0</v>
      </c>
      <c r="AC29" s="141">
        <f ca="1">IFERROR('Rates Table'!AC29*IF(Inputs!$G$29="No",High_Demand,High_Demand_Exist_TOU),0)</f>
        <v>0</v>
      </c>
      <c r="AD29" s="141">
        <f ca="1">IFERROR('Rates Table'!AD29*IF(Inputs!$G$29="No",High_Demand,High_Demand_Exist_TOU),0)</f>
        <v>0</v>
      </c>
      <c r="AE29" s="141">
        <f ca="1">IFERROR('Rates Table'!AE29*IF(Inputs!$G$29="No",High_Demand,High_Demand_Exist_TOU),0)</f>
        <v>0</v>
      </c>
      <c r="AF29" s="141">
        <f ca="1">IFERROR('Rates Table'!AF29*IF(Inputs!$G$29="No",High_Demand,High_Demand_Exist_TOU),0)</f>
        <v>0</v>
      </c>
      <c r="AG29" s="141">
        <f ca="1">IFERROR('Rates Table'!AG29*IF(Inputs!$G$29="No",High_Demand,High_Demand_Exist_TOU),0)</f>
        <v>0</v>
      </c>
      <c r="AH29" s="141">
        <f ca="1">IFERROR('Rates Table'!AH28*IF(Inputs!$G$29="No",High_Demand,High_Demand_Exist_TOU),0)</f>
        <v>0</v>
      </c>
      <c r="AI29" s="141">
        <f ca="1">IFERROR('Rates Table'!AI28*IF(Inputs!$G$29="No",High_Demand,High_Demand_Exist_TOU),0)</f>
        <v>0</v>
      </c>
      <c r="AJ29" s="141">
        <f ca="1">IFERROR('Rates Table'!AJ28*IF(Inputs!$G$29="No",High_Demand,High_Demand_Exist_TOU),0)</f>
        <v>0</v>
      </c>
      <c r="AK29" s="141">
        <f ca="1">IFERROR('Rates Table'!AK28*IF(Inputs!$G$29="No",High_Demand,High_Demand_Exist_TOU),0)</f>
        <v>0</v>
      </c>
      <c r="AL29" s="141">
        <f ca="1">IFERROR('Rates Table'!AL29*IF(Inputs!$G$29="No",High_Demand,High_Demand_Exist_TOU),0)</f>
        <v>0</v>
      </c>
      <c r="AM29" s="141">
        <f ca="1">IFERROR('Rates Table'!AM29*IF(Inputs!$G$29="No",High_Demand,High_Demand_Exist_TOU),0)</f>
        <v>0</v>
      </c>
      <c r="AN29" s="141">
        <f ca="1">IFERROR('Rates Table'!AN29*IF(Inputs!$G$29="No",High_Demand,High_Demand_Exist_TOU),0)</f>
        <v>0</v>
      </c>
      <c r="AO29" s="141">
        <f ca="1">IFERROR('Rates Table'!AO29*IF(Inputs!$G$29="No",High_Demand,High_Demand_Exist_TOU),0)</f>
        <v>0</v>
      </c>
      <c r="AP29" s="141">
        <f ca="1">IFERROR('Rates Table'!AP29*IF(Inputs!$G$29="No",High_Demand,High_Demand_Exist_TOU),0)</f>
        <v>0</v>
      </c>
      <c r="AQ29" s="141">
        <f ca="1">IFERROR('Rates Table'!AQ29*IF(Inputs!$G$29="No",High_Demand,High_Demand_Exist_TOU),0)</f>
        <v>0</v>
      </c>
      <c r="AR29" s="141">
        <f ca="1">IFERROR('Rates Table'!AR29*IF(Inputs!$G$29="No",High_Demand,High_Demand_Exist_TOU),0)</f>
        <v>0</v>
      </c>
      <c r="AT29" s="140">
        <f t="shared" ca="1" si="15"/>
        <v>0</v>
      </c>
      <c r="AU29" s="141">
        <f ca="1">IFERROR('Rates Table'!AU29*IF(Inputs!$G$29="No",High_Demand,High_Demand_New_TOU),0)</f>
        <v>0</v>
      </c>
      <c r="AV29" s="141">
        <f ca="1">IFERROR('Rates Table'!AV29*IF(Inputs!$G$29="No",High_Demand,High_Demand_New_TOU),0)</f>
        <v>0</v>
      </c>
      <c r="AW29" s="141">
        <f ca="1">IFERROR('Rates Table'!AW29*IF(Inputs!$G$29="No",High_Demand,High_Demand_New_TOU),0)</f>
        <v>0</v>
      </c>
      <c r="AX29" s="141">
        <f ca="1">IFERROR('Rates Table'!AX29*IF(Inputs!$G$29="No",High_Demand,High_Demand_New_TOU),0)</f>
        <v>0</v>
      </c>
      <c r="AY29" s="141">
        <f ca="1">IFERROR('Rates Table'!AY29*IF(Inputs!$G$29="No",High_Demand,High_Demand_New_TOU),0)</f>
        <v>0</v>
      </c>
      <c r="AZ29" s="141">
        <f ca="1">IFERROR('Rates Table'!AZ29*IF(Inputs!$G$29="No",High_Demand,High_Demand_New_TOU),0)</f>
        <v>0</v>
      </c>
      <c r="BA29" s="141">
        <f ca="1">IFERROR('Rates Table'!BA29*IF(Inputs!$G$29="No",High_Demand,High_Demand_New_TOU),0)</f>
        <v>0</v>
      </c>
      <c r="BB29" s="141">
        <f ca="1">IFERROR('Rates Table'!BB29*IF(Inputs!$G$29="No",High_Demand,High_Demand_New_TOU),0)</f>
        <v>0</v>
      </c>
      <c r="BC29" s="141">
        <f ca="1">IFERROR('Rates Table'!BC29*IF(Inputs!$G$29="No",High_Demand,High_Demand_New_TOU),0)</f>
        <v>0</v>
      </c>
      <c r="BD29" s="141">
        <f ca="1">IFERROR('Rates Table'!BD29*IF(Inputs!$G$29="No",High_Demand,High_Demand_New_TOU),0)</f>
        <v>0</v>
      </c>
      <c r="BE29" s="141">
        <f ca="1">IFERROR('Rates Table'!BE29*IF(Inputs!$G$29="No",High_Demand,High_Demand_New_TOU),0)</f>
        <v>0</v>
      </c>
      <c r="BF29" s="141">
        <f ca="1">IFERROR('Rates Table'!BF29*IF(Inputs!$G$29="No",High_Demand,High_Demand_New_TOU),0)</f>
        <v>0</v>
      </c>
      <c r="BG29" s="141">
        <f ca="1">IFERROR('Rates Table'!BG29*IF(Inputs!$G$29="No",High_Demand,High_Demand_New_TOU),0)</f>
        <v>0</v>
      </c>
      <c r="BH29" s="141">
        <f ca="1">IFERROR('Rates Table'!BH29*IF(Inputs!$G$29="No",High_Demand,High_Demand_New_TOU),0)</f>
        <v>0</v>
      </c>
      <c r="BI29" s="141">
        <f ca="1">IFERROR('Rates Table'!BI29*IF(Inputs!$G$29="No",High_Demand,High_Demand_New_TOU),0)</f>
        <v>0</v>
      </c>
      <c r="BJ29" s="141">
        <f ca="1">IFERROR('Rates Table'!BJ29*IF(Inputs!$G$29="No",High_Demand,High_Demand_New_TOU),0)</f>
        <v>0</v>
      </c>
      <c r="BK29" s="141">
        <f ca="1">IFERROR('Rates Table'!BK29*IF(Inputs!$G$29="No",High_Demand,High_Demand_New_TOU),0)</f>
        <v>0</v>
      </c>
      <c r="BL29" s="141">
        <f ca="1">IFERROR('Rates Table'!BL29*IF(Inputs!$G$29="No",High_Demand,High_Demand_New_TOU),0)</f>
        <v>0</v>
      </c>
      <c r="BM29" s="141">
        <f ca="1">IFERROR('Rates Table'!BM29*IF(Inputs!$G$29="No",High_Demand,High_Demand_New_TOU),0)</f>
        <v>0</v>
      </c>
      <c r="BN29" s="141">
        <f ca="1">IFERROR('Rates Table'!BN29*IF(Inputs!$G$29="No",High_Demand,High_Demand_New_TOU),0)</f>
        <v>0</v>
      </c>
      <c r="BO29" s="141">
        <f ca="1">IFERROR('Rates Table'!BO29*IF(Inputs!$G$29="No",High_Demand,High_Demand_New_TOU),0)</f>
        <v>0</v>
      </c>
      <c r="BP29" s="141">
        <f ca="1">IFERROR('Rates Table'!BP29*IF(Inputs!$G$29="No",High_Demand,High_Demand_New_TOU),0)</f>
        <v>0</v>
      </c>
      <c r="BQ29" s="141">
        <f ca="1">IFERROR('Rates Table'!BQ29*IF(Inputs!$G$29="No",High_Demand,High_Demand_New_TOU),0)</f>
        <v>0</v>
      </c>
      <c r="BR29" s="141">
        <f ca="1">IFERROR('Rates Table'!BR29*IF(Inputs!$G$29="No",High_Demand,High_Demand_New_TOU),0)</f>
        <v>0</v>
      </c>
      <c r="BS29" s="141">
        <f ca="1">IFERROR('Rates Table'!BS29*IF(Inputs!$G$29="No",High_Demand,High_Demand_New_TOU),0)</f>
        <v>0</v>
      </c>
      <c r="BT29" s="141">
        <f ca="1">IFERROR('Rates Table'!BT29*IF(Inputs!$G$29="No",High_Demand,High_Demand_New_TOU),0)</f>
        <v>0</v>
      </c>
      <c r="BU29" s="141">
        <f ca="1">IFERROR('Rates Table'!BU29*IF(Inputs!$G$29="No",High_Demand,High_Demand_New_TOU),0)</f>
        <v>0</v>
      </c>
      <c r="BV29" s="141">
        <f ca="1">IFERROR('Rates Table'!BV29*IF(Inputs!$G$29="No",High_Demand,High_Demand_New_TOU),0)</f>
        <v>0</v>
      </c>
      <c r="BW29" s="141">
        <f ca="1">IFERROR('Rates Table'!BW29*IF(Inputs!$G$29="No",High_Demand,High_Demand_New_TOU),0)</f>
        <v>0</v>
      </c>
      <c r="BX29" s="141">
        <f ca="1">IFERROR('Rates Table'!BX29*IF(Inputs!$G$29="No",High_Demand,High_Demand_New_TOU),0)</f>
        <v>0</v>
      </c>
      <c r="BY29" s="141">
        <f ca="1">IFERROR('Rates Table'!BY29*IF(Inputs!$G$29="No",High_Demand,High_Demand_New_TOU),0)</f>
        <v>0</v>
      </c>
      <c r="BZ29" s="141">
        <f ca="1">IFERROR('Rates Table'!BZ29*IF(Inputs!$G$29="No",High_Demand,High_Demand_New_TOU),0)</f>
        <v>0</v>
      </c>
      <c r="CA29" s="141">
        <f ca="1">IFERROR('Rates Table'!CA29*IF(Inputs!$G$29="No",High_Demand,High_Demand_New_TOU),0)</f>
        <v>0</v>
      </c>
      <c r="CB29" s="141">
        <f ca="1">IFERROR('Rates Table'!CB29*IF(Inputs!$G$29="No",High_Demand,High_Demand_New_TOU),0)</f>
        <v>0</v>
      </c>
      <c r="CC29" s="141">
        <f ca="1">IFERROR('Rates Table'!CC29*IF(Inputs!$G$29="No",High_Demand,High_Demand_New_TOU),0)</f>
        <v>0</v>
      </c>
      <c r="CD29" s="141">
        <f ca="1">IFERROR('Rates Table'!CD29*IF(Inputs!$G$29="No",High_Demand,High_Demand_New_TOU),0)</f>
        <v>0</v>
      </c>
      <c r="CE29" s="141">
        <f ca="1">IFERROR('Rates Table'!CE29*IF(Inputs!$G$29="No",High_Demand,High_Demand_New_TOU),0)</f>
        <v>0</v>
      </c>
      <c r="CF29" s="141">
        <f ca="1">IFERROR('Rates Table'!CF29*IF(Inputs!$G$29="No",High_Demand,High_Demand_New_TOU),0)</f>
        <v>0</v>
      </c>
    </row>
    <row r="30" spans="2:84" s="138" customFormat="1">
      <c r="C30" s="138" t="s">
        <v>507</v>
      </c>
      <c r="D30" s="139" t="s">
        <v>115</v>
      </c>
      <c r="E30" s="140">
        <f t="shared" ca="1" si="14"/>
        <v>0</v>
      </c>
      <c r="F30" s="138">
        <f ca="1">IFERROR(IF(Inputs!$G$29="No", IF(F55=1, 'Rates Table'!F45*High_Utilised_Capacity, IF($E$2="Homepower Bulk",'Rates Table'!F45*3*Inputs!$G$27,'Rates Table'!F45*PODs*High_Days)), IF(F55=1, 'Rates Table'!F45*High_Utilised_Capacity_New_TOU, IF($E$2="Homepower Bulk",'Rates Table'!F45*3*Inputs!$G$27,'Rates Table'!F45*PODs*High_Days))),0)</f>
        <v>182.16</v>
      </c>
      <c r="G30" s="138">
        <f ca="1">IFERROR(IF(Inputs!$G$29="No", IF(G55=1, 'Rates Table'!G45*High_Utilised_Capacity, IF($E$2="Homepower Bulk",'Rates Table'!G45*3*Inputs!$G$27,'Rates Table'!G45*PODs*High_Days)), IF(G55=1, 'Rates Table'!G45*High_Utilised_Capacity_New_TOU, IF($E$2="Homepower Bulk",'Rates Table'!G45*3*Inputs!$G$27,'Rates Table'!G45*PODs*High_Days))),0)</f>
        <v>271.40000000000003</v>
      </c>
      <c r="H30" s="138">
        <f ca="1">IFERROR(IF(Inputs!$G$29="No", IF(H55=1, 'Rates Table'!H45*High_Utilised_Capacity, IF($E$2="Homepower Bulk",'Rates Table'!H45*3*Inputs!$G$27,'Rates Table'!H45*PODs*High_Days)), IF(H55=1, 'Rates Table'!H45*High_Utilised_Capacity_New_TOU, IF($E$2="Homepower Bulk",'Rates Table'!H45*3*Inputs!$G$27,'Rates Table'!H45*PODs*High_Days))),0)</f>
        <v>678.04</v>
      </c>
      <c r="I30" s="138">
        <f ca="1">IFERROR(IF(Inputs!$G$29="No", IF(I55=1, 'Rates Table'!I45*High_Utilised_Capacity, IF($E$2="Homepower Bulk",'Rates Table'!I45*3*Inputs!$G$27,'Rates Table'!I45*PODs*High_Days)), IF(I55=1, 'Rates Table'!I45*High_Utilised_Capacity_New_TOU, IF($E$2="Homepower Bulk",'Rates Table'!I45*3*Inputs!$G$27,'Rates Table'!I45*PODs*High_Days))),0)</f>
        <v>0</v>
      </c>
      <c r="J30" s="138">
        <f ca="1">IFERROR(IF(Inputs!$G$29="No", IF(J55=1, 'Rates Table'!J45*High_Utilised_Capacity, IF($E$2="Homepower Bulk",'Rates Table'!J45*3*Inputs!$G$27,'Rates Table'!J45*PODs*High_Days)), IF(J55=1, 'Rates Table'!J45*High_Utilised_Capacity_New_TOU, IF($E$2="Homepower Bulk",'Rates Table'!J45*3*Inputs!$G$27,'Rates Table'!J45*PODs*High_Days))),0)</f>
        <v>0</v>
      </c>
      <c r="K30" s="138">
        <f ca="1">IFERROR(IF(Inputs!$G$29="No", IF(K55=1, 'Rates Table'!K45*High_Utilised_Capacity, IF($E$2="Homepower Bulk",'Rates Table'!K45*3*Inputs!$G$27,'Rates Table'!K45*PODs*High_Days)), IF(K55=1, 'Rates Table'!K45*High_Utilised_Capacity_New_TOU, IF($E$2="Homepower Bulk",'Rates Table'!K45*3*Inputs!$G$27,'Rates Table'!K45*PODs*High_Days))),0)</f>
        <v>0</v>
      </c>
      <c r="L30" s="138">
        <f ca="1">IFERROR(IF(Inputs!$G$29="No", IF(L55=1, 'Rates Table'!L45*High_Utilised_Capacity, IF($E$2="Homepower Bulk",'Rates Table'!L45*3*Inputs!$G$27,'Rates Table'!L45*PODs*High_Days)), IF(L55=1, 'Rates Table'!L45*High_Utilised_Capacity_New_TOU, IF($E$2="Homepower Bulk",'Rates Table'!L45*3*Inputs!$G$27,'Rates Table'!L45*PODs*High_Days))),0)</f>
        <v>66.239999999999995</v>
      </c>
      <c r="M30" s="138">
        <f ca="1">IFERROR(IF(Inputs!$G$29="No", IF(M55=1, 'Rates Table'!M45*High_Utilised_Capacity, IF($E$2="Homepower Bulk",'Rates Table'!M45*3*Inputs!$G$27,'Rates Table'!M45*PODs*High_Days)), IF(M55=1, 'Rates Table'!M45*High_Utilised_Capacity_New_TOU, IF($E$2="Homepower Bulk",'Rates Table'!M45*3*Inputs!$G$27,'Rates Table'!M45*PODs*High_Days))),0)</f>
        <v>116.84</v>
      </c>
      <c r="N30" s="138">
        <f ca="1">IFERROR(IF(Inputs!$G$29="No", IF(N55=1, 'Rates Table'!N45*High_Utilised_Capacity, IF($E$2="Homepower Bulk",'Rates Table'!N45*3*Inputs!$G$27,'Rates Table'!N45*PODs*High_Days)), IF(N55=1, 'Rates Table'!N45*High_Utilised_Capacity_New_TOU, IF($E$2="Homepower Bulk",'Rates Table'!N45*3*Inputs!$G$27,'Rates Table'!N45*PODs*High_Days))),0)</f>
        <v>285.2</v>
      </c>
      <c r="O30" s="138">
        <f ca="1">IFERROR(IF(Inputs!$G$29="No", IF(O55=1, 'Rates Table'!O45*High_Utilised_Capacity, IF($E$2="Homepower Bulk",'Rates Table'!O45*3*Inputs!$G$27,'Rates Table'!O45*PODs*High_Days)), IF(O55=1, 'Rates Table'!O45*High_Utilised_Capacity_New_TOU, IF($E$2="Homepower Bulk",'Rates Table'!O45*3*Inputs!$G$27,'Rates Table'!O45*PODs*High_Days))),0)</f>
        <v>43.239999999999995</v>
      </c>
      <c r="P30" s="138">
        <f ca="1">IFERROR(IF(Inputs!$G$29="No", IF(P55=1, 'Rates Table'!P45*High_Utilised_Capacity, IF($E$2="Homepower Bulk",'Rates Table'!P45*3*Inputs!$G$27,'Rates Table'!P45*PODs*High_Days)), IF(P55=1, 'Rates Table'!P45*High_Utilised_Capacity_New_TOU, IF($E$2="Homepower Bulk",'Rates Table'!P45*3*Inputs!$G$27,'Rates Table'!P45*PODs*High_Days))),0)</f>
        <v>439.76000000000005</v>
      </c>
      <c r="Q30" s="138">
        <f ca="1">IFERROR(IF(Inputs!$G$29="No", IF(Q55=1, 'Rates Table'!Q45*High_Utilised_Capacity, IF($E$2="Homepower Bulk",'Rates Table'!Q45*3*Inputs!$G$27,'Rates Table'!Q45*PODs*High_Days)), IF(Q55=1, 'Rates Table'!Q45*High_Utilised_Capacity_New_TOU, IF($E$2="Homepower Bulk",'Rates Table'!Q45*3*Inputs!$G$27,'Rates Table'!Q45*PODs*High_Days))),0)</f>
        <v>249.32</v>
      </c>
      <c r="R30" s="138">
        <f ca="1">IFERROR(IF(Inputs!$G$29="No", IF(R55=1, 'Rates Table'!R45*High_Utilised_Capacity, IF($E$2="Homepower Bulk",'Rates Table'!R45*3*Inputs!$G$27,'Rates Table'!R45*PODs*High_Days)), IF(R55=1, 'Rates Table'!R45*High_Utilised_Capacity_New_TOU, IF($E$2="Homepower Bulk",'Rates Table'!R45*3*Inputs!$G$27,'Rates Table'!R45*PODs*High_Days))),0)</f>
        <v>494.04</v>
      </c>
      <c r="S30" s="138">
        <f ca="1">IFERROR(IF(Inputs!$G$29="No", IF(S55=1, 'Rates Table'!S45*High_Utilised_Capacity, IF($E$2="Homepower Bulk",'Rates Table'!S45*3*Inputs!$G$27,'Rates Table'!S45*PODs*High_Days)), IF(S55=1, 'Rates Table'!S45*High_Utilised_Capacity_New_TOU, IF($E$2="Homepower Bulk",'Rates Table'!S45*3*Inputs!$G$27,'Rates Table'!S45*PODs*High_Days))),0)</f>
        <v>966</v>
      </c>
      <c r="T30" s="138">
        <f ca="1">IFERROR(IF(Inputs!$G$29="No", IF(T55=1, 'Rates Table'!T45*High_Utilised_Capacity, IF($E$2="Homepower Bulk",'Rates Table'!T45*3*Inputs!$G$27,'Rates Table'!T45*PODs*High_Days)), IF(T55=1, 'Rates Table'!T45*High_Utilised_Capacity_New_TOU, IF($E$2="Homepower Bulk",'Rates Table'!T45*3*Inputs!$G$27,'Rates Table'!T45*PODs*High_Days))),0)</f>
        <v>163.76</v>
      </c>
      <c r="U30" s="138">
        <f ca="1">IFERROR(IF(Inputs!$G$29="No", IF(U55=1, 'Rates Table'!U45*High_Utilised_Capacity, IF($E$2="Homepower Bulk",'Rates Table'!U45*3*Inputs!$G$27,'Rates Table'!U45*PODs*High_Days)), IF(U55=1, 'Rates Table'!U45*High_Utilised_Capacity_New_TOU, IF($E$2="Homepower Bulk",'Rates Table'!U45*3*Inputs!$G$27,'Rates Table'!U45*PODs*High_Days))),0)</f>
        <v>0</v>
      </c>
      <c r="V30" s="138">
        <f ca="1">IFERROR(IF(Inputs!$G$29="No", IF(V55=1, 'Rates Table'!V45*High_Utilised_Capacity, IF($E$2="Homepower Bulk",'Rates Table'!V45*3*Inputs!$G$27,'Rates Table'!V45*PODs*High_Days)), IF(V55=1, 'Rates Table'!V45*High_Utilised_Capacity_New_TOU, IF($E$2="Homepower Bulk",'Rates Table'!V45*3*Inputs!$G$27,'Rates Table'!V45*PODs*High_Days))),0)</f>
        <v>0</v>
      </c>
      <c r="W30" s="138">
        <f ca="1">IFERROR(IF(Inputs!$G$29="No", IF(W55=1, 'Rates Table'!W45*High_Utilised_Capacity, IF($E$2="Homepower Bulk",'Rates Table'!W45*3*Inputs!$G$27,'Rates Table'!W45*PODs*High_Days)), IF(W55=1, 'Rates Table'!W45*High_Utilised_Capacity_New_TOU, IF($E$2="Homepower Bulk",'Rates Table'!W45*3*Inputs!$G$27,'Rates Table'!W45*PODs*High_Days))),0)</f>
        <v>0</v>
      </c>
      <c r="X30" s="138">
        <f ca="1">IFERROR(IF(Inputs!$G$29="No", IF(X55=1, 'Rates Table'!X45*High_Utilised_Capacity, IF($E$2="Homepower Bulk",'Rates Table'!X45*3*Inputs!$G$27,'Rates Table'!X45*PODs*High_Days)), IF(X55=1, 'Rates Table'!X45*High_Utilised_Capacity_New_TOU, IF($E$2="Homepower Bulk",'Rates Table'!X45*3*Inputs!$G$27,'Rates Table'!X45*PODs*High_Days))),0)</f>
        <v>0</v>
      </c>
      <c r="Y30" s="138">
        <f ca="1">IFERROR(IF(Inputs!$G$29="No", IF(Y55=1, 'Rates Table'!Y45*High_Utilised_Capacity, IF($E$2="Homepower Bulk",'Rates Table'!Y45*3*Inputs!$G$27,'Rates Table'!Y45*PODs*High_Days)), IF(Y55=1, 'Rates Table'!Y45*High_Utilised_Capacity_New_TOU, IF($E$2="Homepower Bulk",'Rates Table'!Y45*3*Inputs!$G$27,'Rates Table'!Y45*PODs*High_Days))),0)</f>
        <v>0</v>
      </c>
      <c r="Z30" s="138">
        <f ca="1">IFERROR(IF(Inputs!$G$29="No", IF(Z55=1, 'Rates Table'!Z45*High_Utilised_Capacity, IF($E$2="Homepower Bulk",'Rates Table'!Z45*3*Inputs!$G$27,'Rates Table'!Z45*PODs*High_Days)), IF(Z55=1, 'Rates Table'!Z45*High_Utilised_Capacity_New_TOU, IF($E$2="Homepower Bulk",'Rates Table'!Z45*3*Inputs!$G$27,'Rates Table'!Z45*PODs*High_Days))),0)</f>
        <v>0</v>
      </c>
      <c r="AA30" s="138">
        <f ca="1">IFERROR(IF(Inputs!$G$29="No", IF(AA55=1, 'Rates Table'!AA45*High_Utilised_Capacity, IF($E$2="Homepower Bulk",'Rates Table'!AA45*3*Inputs!$G$27,'Rates Table'!AA45*PODs*High_Days)), IF(AA55=1, 'Rates Table'!AA45*High_Utilised_Capacity_New_TOU, IF($E$2="Homepower Bulk",'Rates Table'!AA45*3*Inputs!$G$27,'Rates Table'!AA45*PODs*High_Days))),0)</f>
        <v>0</v>
      </c>
      <c r="AB30" s="138">
        <f ca="1">IFERROR(IF(Inputs!$G$29="No", IF(AB55=1, 'Rates Table'!AB45*High_Utilised_Capacity, IF($E$2="Homepower Bulk",'Rates Table'!AB45*3*Inputs!$G$27,'Rates Table'!AB45*PODs*High_Days)), IF(AB55=1, 'Rates Table'!AB45*High_Utilised_Capacity_New_TOU, IF($E$2="Homepower Bulk",'Rates Table'!AB45*3*Inputs!$G$27,'Rates Table'!AB45*PODs*High_Days))),0)</f>
        <v>0</v>
      </c>
      <c r="AC30" s="138">
        <f ca="1">IFERROR(IF(Inputs!$G$29="No", IF(AC55=1, 'Rates Table'!AC45*High_Utilised_Capacity, IF($E$2="Homepower Bulk",'Rates Table'!AC45*3*Inputs!$G$27,'Rates Table'!AC45*PODs*High_Days)), IF(AC55=1, 'Rates Table'!AC45*High_Utilised_Capacity_New_TOU, IF($E$2="Homepower Bulk",'Rates Table'!AC45*3*Inputs!$G$27,'Rates Table'!AC45*PODs*High_Days))),0)</f>
        <v>0</v>
      </c>
      <c r="AD30" s="138">
        <f ca="1">IFERROR(IF(Inputs!$G$29="No", IF(AD55=1, 'Rates Table'!AD45*High_Utilised_Capacity, IF($E$2="Homepower Bulk",'Rates Table'!AD45*3*Inputs!$G$27,'Rates Table'!AD45*PODs*High_Days)), IF(AD55=1, 'Rates Table'!AD45*High_Utilised_Capacity_New_TOU, IF($E$2="Homepower Bulk",'Rates Table'!AD45*3*Inputs!$G$27,'Rates Table'!AD45*PODs*High_Days))),0)</f>
        <v>0</v>
      </c>
      <c r="AE30" s="138">
        <f ca="1">IFERROR(IF(Inputs!$G$29="No", IF(AE55=1, 'Rates Table'!AE45*High_Utilised_Capacity, IF($E$2="Homepower Bulk",'Rates Table'!AE45*3*Inputs!$G$27,'Rates Table'!AE45*PODs*High_Days)), IF(AE55=1, 'Rates Table'!AE45*High_Utilised_Capacity_New_TOU, IF($E$2="Homepower Bulk",'Rates Table'!AE45*3*Inputs!$G$27,'Rates Table'!AE45*PODs*High_Days))),0)</f>
        <v>0</v>
      </c>
      <c r="AF30" s="138">
        <f ca="1">IFERROR(IF(Inputs!$G$29="No", IF(AF55=1, 'Rates Table'!AF45*High_Utilised_Capacity, IF($E$2="Homepower Bulk",'Rates Table'!AF45*3*Inputs!$G$27,'Rates Table'!AF45*PODs*High_Days)), IF(AF55=1, 'Rates Table'!AF45*High_Utilised_Capacity_New_TOU, IF($E$2="Homepower Bulk",'Rates Table'!AF45*3*Inputs!$G$27,'Rates Table'!AF45*PODs*High_Days))),0)</f>
        <v>0</v>
      </c>
      <c r="AG30" s="138">
        <f ca="1">IFERROR(IF(Inputs!$G$29="No", IF(AG55=1, 'Rates Table'!AG45*High_Utilised_Capacity, IF($E$2="Homepower Bulk",'Rates Table'!AG45*3*Inputs!$G$27,'Rates Table'!AG45*PODs*High_Days)), IF(AG55=1, 'Rates Table'!AG45*High_Utilised_Capacity_New_TOU, IF($E$2="Homepower Bulk",'Rates Table'!AG45*3*Inputs!$G$27,'Rates Table'!AG45*PODs*High_Days))),0)</f>
        <v>0</v>
      </c>
      <c r="AH30" s="138">
        <f ca="1">IFERROR(IF(Inputs!$G$29="No", IF(AH55=1, 'Rates Table'!AH45*High_Utilised_Capacity, IF($E$2="Homepower Bulk",'Rates Table'!AH45*3*Inputs!$G$27,'Rates Table'!AH45*PODs*High_Days)), IF(AH55=1, 'Rates Table'!AH45*High_Utilised_Capacity_New_TOU, IF($E$2="Homepower Bulk",'Rates Table'!AH45*3*Inputs!$G$27,'Rates Table'!AH45*PODs*High_Days))),0)</f>
        <v>0</v>
      </c>
      <c r="AI30" s="138">
        <f ca="1">IFERROR(IF(Inputs!$G$29="No", IF(AI55=1, 'Rates Table'!AI45*High_Utilised_Capacity, IF($E$2="Homepower Bulk",'Rates Table'!AI45*3*Inputs!$G$27,'Rates Table'!AI45*PODs*High_Days)), IF(AI55=1, 'Rates Table'!AI45*High_Utilised_Capacity_New_TOU, IF($E$2="Homepower Bulk",'Rates Table'!AI45*3*Inputs!$G$27,'Rates Table'!AI45*PODs*High_Days))),0)</f>
        <v>0</v>
      </c>
      <c r="AJ30" s="138">
        <f ca="1">IFERROR(IF(Inputs!$G$29="No", IF(AJ55=1, 'Rates Table'!AJ45*High_Utilised_Capacity, IF($E$2="Homepower Bulk",'Rates Table'!AJ45*3*Inputs!$G$27,'Rates Table'!AJ45*PODs*High_Days)), IF(AJ55=1, 'Rates Table'!AJ45*High_Utilised_Capacity_New_TOU, IF($E$2="Homepower Bulk",'Rates Table'!AJ45*3*Inputs!$G$27,'Rates Table'!AJ45*PODs*High_Days))),0)</f>
        <v>0</v>
      </c>
      <c r="AK30" s="138">
        <f ca="1">IFERROR(IF(Inputs!$G$29="No", IF(AK55=1, 'Rates Table'!AK45*High_Utilised_Capacity, IF($E$2="Homepower Bulk",'Rates Table'!AK45*3*Inputs!$G$27,'Rates Table'!AK45*PODs*High_Days)), IF(AK55=1, 'Rates Table'!AK45*High_Utilised_Capacity_New_TOU, IF($E$2="Homepower Bulk",'Rates Table'!AK45*3*Inputs!$G$27,'Rates Table'!AK45*PODs*High_Days))),0)</f>
        <v>0</v>
      </c>
      <c r="AL30" s="138">
        <f ca="1">IFERROR(IF(Inputs!$G$29="No", IF(AL55=1, 'Rates Table'!AL45*High_Utilised_Capacity, IF($E$2="Homepower Bulk",'Rates Table'!AL45*3*Inputs!$G$27,'Rates Table'!AL45*PODs*High_Days)), IF(AL55=1, 'Rates Table'!AL45*High_Utilised_Capacity_New_TOU, IF($E$2="Homepower Bulk",'Rates Table'!AL45*3*Inputs!$G$27,'Rates Table'!AL45*PODs*High_Days))),0)</f>
        <v>66.239999999999995</v>
      </c>
      <c r="AM30" s="138">
        <f ca="1">IFERROR(IF(Inputs!$G$29="No", IF(AM55=1, 'Rates Table'!AM45*High_Utilised_Capacity, IF($E$2="Homepower Bulk",'Rates Table'!AM45*3*Inputs!$G$27,'Rates Table'!AM45*PODs*High_Days)), IF(AM55=1, 'Rates Table'!AM45*High_Utilised_Capacity_New_TOU, IF($E$2="Homepower Bulk",'Rates Table'!AM45*3*Inputs!$G$27,'Rates Table'!AM45*PODs*High_Days))),0)</f>
        <v>116.84</v>
      </c>
      <c r="AN30" s="138">
        <f ca="1">IFERROR(IF(Inputs!$G$29="No", IF(AN55=1, 'Rates Table'!AN45*High_Utilised_Capacity, IF($E$2="Homepower Bulk",'Rates Table'!AN45*3*Inputs!$G$27,'Rates Table'!AN45*PODs*High_Days)), IF(AN55=1, 'Rates Table'!AN45*High_Utilised_Capacity_New_TOU, IF($E$2="Homepower Bulk",'Rates Table'!AN45*3*Inputs!$G$27,'Rates Table'!AN45*PODs*High_Days))),0)</f>
        <v>285.2</v>
      </c>
      <c r="AO30" s="138">
        <f ca="1">IFERROR(IF(Inputs!$G$29="No", IF(AO55=1, 'Rates Table'!AO45*High_Utilised_Capacity, IF($E$2="Homepower Bulk",'Rates Table'!AO45*3*Inputs!$G$27,'Rates Table'!AO45*PODs*High_Days)), IF(AO55=1, 'Rates Table'!AO45*High_Utilised_Capacity_New_TOU, IF($E$2="Homepower Bulk",'Rates Table'!AO45*3*Inputs!$G$27,'Rates Table'!AO45*PODs*High_Days))),0)</f>
        <v>43.239999999999995</v>
      </c>
      <c r="AP30" s="138">
        <f ca="1">IFERROR(IF(Inputs!$G$29="No", IF(AP55=1, 'Rates Table'!AP45*High_Utilised_Capacity, IF($E$2="Homepower Bulk",'Rates Table'!AP45*3*Inputs!$G$27,'Rates Table'!AP45*PODs*High_Days)), IF(AP55=1, 'Rates Table'!AP45*High_Utilised_Capacity_New_TOU, IF($E$2="Homepower Bulk",'Rates Table'!AP45*3*Inputs!$G$27,'Rates Table'!AP45*PODs*High_Days))),0)</f>
        <v>0</v>
      </c>
      <c r="AQ30" s="138">
        <f ca="1">IFERROR(IF(Inputs!$G$29="No", IF(AQ55=1, 'Rates Table'!AQ45*High_Utilised_Capacity, IF($E$2="Homepower Bulk",'Rates Table'!AQ45*3*Inputs!$G$27,'Rates Table'!AQ45*PODs*High_Days)), IF(AQ55=1, 'Rates Table'!AQ45*High_Utilised_Capacity_New_TOU, IF($E$2="Homepower Bulk",'Rates Table'!AQ45*3*Inputs!$G$27,'Rates Table'!AQ45*PODs*High_Days))),0)</f>
        <v>0</v>
      </c>
      <c r="AR30" s="138">
        <f ca="1">IFERROR(IF(Inputs!$G$29="No", IF(AR55=1, 'Rates Table'!AR45*High_Utilised_Capacity, IF($E$2="Homepower Bulk",'Rates Table'!AR45*3*Inputs!$G$27,'Rates Table'!AR45*PODs*High_Days)), IF(AR55=1, 'Rates Table'!AR45*High_Utilised_Capacity_New_TOU, IF($E$2="Homepower Bulk",'Rates Table'!AR45*3*Inputs!$G$27,'Rates Table'!AR45*PODs*High_Days))),0)</f>
        <v>0</v>
      </c>
      <c r="AT30" s="140">
        <f t="shared" ca="1" si="15"/>
        <v>0</v>
      </c>
      <c r="AU30" s="141">
        <f ca="1">IFERROR(IF(Inputs!$G$29="No", IF(AU55=1, 'Rates Table'!AU45*High_Utilised_Capacity, IF($E$2="Homepower Bulk",'Rates Table'!AU45*3*Inputs!$G$27,'Rates Table'!AU45*PODs*High_Days)), IF(AU55=1, 'Rates Table'!AU45*High_Utilised_Capacity_New_TOU, IF($E$2="Homepower Bulk",'Rates Table'!AU45*3*Inputs!$G$27,'Rates Table'!AU45*PODs*High_Days))),0)</f>
        <v>276</v>
      </c>
      <c r="AV30" s="141">
        <f ca="1">IFERROR(IF(Inputs!$G$29="No", IF(AV55=1, 'Rates Table'!AV45*High_Utilised_Capacity, IF($E$2="Homepower Bulk",'Rates Table'!AV45*3*Inputs!$G$27,'Rates Table'!AV45*PODs*High_Days)), IF(AV55=1, 'Rates Table'!AV45*High_Utilised_Capacity_New_TOU, IF($E$2="Homepower Bulk",'Rates Table'!AV45*3*Inputs!$G$27,'Rates Table'!AV45*PODs*High_Days))),0)</f>
        <v>412.16</v>
      </c>
      <c r="AW30" s="141">
        <f ca="1">IFERROR(IF(Inputs!$G$29="No", IF(AW55=1, 'Rates Table'!AW45*High_Utilised_Capacity, IF($E$2="Homepower Bulk",'Rates Table'!AW45*3*Inputs!$G$27,'Rates Table'!AW45*PODs*High_Days)), IF(AW55=1, 'Rates Table'!AW45*High_Utilised_Capacity_New_TOU, IF($E$2="Homepower Bulk",'Rates Table'!AW45*3*Inputs!$G$27,'Rates Table'!AW45*PODs*High_Days))),0)</f>
        <v>1028.56</v>
      </c>
      <c r="AX30" s="141">
        <f ca="1">IFERROR(IF(Inputs!$G$29="No", IF(AX55=1, 'Rates Table'!AX45*High_Utilised_Capacity, IF($E$2="Homepower Bulk",'Rates Table'!AX45*3*Inputs!$G$27,'Rates Table'!AX45*PODs*High_Days)), IF(AX55=1, 'Rates Table'!AX45*High_Utilised_Capacity_New_TOU, IF($E$2="Homepower Bulk",'Rates Table'!AX45*3*Inputs!$G$27,'Rates Table'!AX45*PODs*High_Days))),0)</f>
        <v>0</v>
      </c>
      <c r="AY30" s="141">
        <f ca="1">IFERROR(IF(Inputs!$G$29="No", IF(AY55=1, 'Rates Table'!AY45*High_Utilised_Capacity, IF($E$2="Homepower Bulk",'Rates Table'!AY45*3*Inputs!$G$27,'Rates Table'!AY45*PODs*High_Days)), IF(AY55=1, 'Rates Table'!AY45*High_Utilised_Capacity_New_TOU, IF($E$2="Homepower Bulk",'Rates Table'!AY45*3*Inputs!$G$27,'Rates Table'!AY45*PODs*High_Days))),0)</f>
        <v>0</v>
      </c>
      <c r="AZ30" s="141">
        <f ca="1">IFERROR(IF(Inputs!$G$29="No", IF(AZ55=1, 'Rates Table'!AZ45*High_Utilised_Capacity, IF($E$2="Homepower Bulk",'Rates Table'!AZ45*3*Inputs!$G$27,'Rates Table'!AZ45*PODs*High_Days)), IF(AZ55=1, 'Rates Table'!AZ45*High_Utilised_Capacity_New_TOU, IF($E$2="Homepower Bulk",'Rates Table'!AZ45*3*Inputs!$G$27,'Rates Table'!AZ45*PODs*High_Days))),0)</f>
        <v>0</v>
      </c>
      <c r="BA30" s="141">
        <f ca="1">IFERROR(IF(Inputs!$G$29="No", IF(BA55=1, 'Rates Table'!BA45*High_Utilised_Capacity, IF($E$2="Homepower Bulk",'Rates Table'!BA45*3*Inputs!$G$27,'Rates Table'!BA45*PODs*High_Days)), IF(BA55=1, 'Rates Table'!BA45*High_Utilised_Capacity_New_TOU, IF($E$2="Homepower Bulk",'Rates Table'!BA45*3*Inputs!$G$27,'Rates Table'!BA45*PODs*High_Days))),0)</f>
        <v>100.28</v>
      </c>
      <c r="BB30" s="141">
        <f ca="1">IFERROR(IF(Inputs!$G$29="No", IF(BB55=1, 'Rates Table'!BB45*High_Utilised_Capacity, IF($E$2="Homepower Bulk",'Rates Table'!BB45*3*Inputs!$G$27,'Rates Table'!BB45*PODs*High_Days)), IF(BB55=1, 'Rates Table'!BB45*High_Utilised_Capacity_New_TOU, IF($E$2="Homepower Bulk",'Rates Table'!BB45*3*Inputs!$G$27,'Rates Table'!BB45*PODs*High_Days))),0)</f>
        <v>177.56</v>
      </c>
      <c r="BC30" s="141">
        <f ca="1">IFERROR(IF(Inputs!$G$29="No", IF(BC55=1, 'Rates Table'!BC45*High_Utilised_Capacity, IF($E$2="Homepower Bulk",'Rates Table'!BC45*3*Inputs!$G$27,'Rates Table'!BC45*PODs*High_Days)), IF(BC55=1, 'Rates Table'!BC45*High_Utilised_Capacity_New_TOU, IF($E$2="Homepower Bulk",'Rates Table'!BC45*3*Inputs!$G$27,'Rates Table'!BC45*PODs*High_Days))),0)</f>
        <v>432.40000000000003</v>
      </c>
      <c r="BD30" s="141">
        <f ca="1">IFERROR(IF(Inputs!$G$29="No", IF(BD55=1, 'Rates Table'!BD45*High_Utilised_Capacity, IF($E$2="Homepower Bulk",'Rates Table'!BD45*3*Inputs!$G$27,'Rates Table'!BD45*PODs*High_Days)), IF(BD55=1, 'Rates Table'!BD45*High_Utilised_Capacity_New_TOU, IF($E$2="Homepower Bulk",'Rates Table'!BD45*3*Inputs!$G$27,'Rates Table'!BD45*PODs*High_Days))),0)</f>
        <v>65.319999999999993</v>
      </c>
      <c r="BE30" s="141">
        <f ca="1">IFERROR(IF(Inputs!$G$29="No", IF(BE55=1, 'Rates Table'!BE45*High_Utilised_Capacity, IF($E$2="Homepower Bulk",'Rates Table'!BE45*3*Inputs!$G$27,'Rates Table'!BE45*PODs*High_Days)), IF(BE55=1, 'Rates Table'!BE45*High_Utilised_Capacity_New_TOU, IF($E$2="Homepower Bulk",'Rates Table'!BE45*3*Inputs!$G$27,'Rates Table'!BE45*PODs*High_Days))),0)</f>
        <v>667</v>
      </c>
      <c r="BF30" s="141">
        <f ca="1">IFERROR(IF(Inputs!$G$29="No", IF(BF55=1, 'Rates Table'!BF45*High_Utilised_Capacity, IF($E$2="Homepower Bulk",'Rates Table'!BF45*3*Inputs!$G$27,'Rates Table'!BF45*PODs*High_Days)), IF(BF55=1, 'Rates Table'!BF45*High_Utilised_Capacity_New_TOU, IF($E$2="Homepower Bulk",'Rates Table'!BF45*3*Inputs!$G$27,'Rates Table'!BF45*PODs*High_Days))),0)</f>
        <v>378.12</v>
      </c>
      <c r="BG30" s="141">
        <f ca="1">IFERROR(IF(Inputs!$G$29="No", IF(BG55=1, 'Rates Table'!BG45*High_Utilised_Capacity, IF($E$2="Homepower Bulk",'Rates Table'!BG45*3*Inputs!$G$27,'Rates Table'!BG45*PODs*High_Days)), IF(BG55=1, 'Rates Table'!BG45*High_Utilised_Capacity_New_TOU, IF($E$2="Homepower Bulk",'Rates Table'!BG45*3*Inputs!$G$27,'Rates Table'!BG45*PODs*High_Days))),0)</f>
        <v>749.80000000000007</v>
      </c>
      <c r="BH30" s="141">
        <f ca="1">IFERROR(IF(Inputs!$G$29="No", IF(BH55=1, 'Rates Table'!BH45*High_Utilised_Capacity, IF($E$2="Homepower Bulk",'Rates Table'!BH45*3*Inputs!$G$27,'Rates Table'!BH45*PODs*High_Days)), IF(BH55=1, 'Rates Table'!BH45*High_Utilised_Capacity_New_TOU, IF($E$2="Homepower Bulk",'Rates Table'!BH45*3*Inputs!$G$27,'Rates Table'!BH45*PODs*High_Days))),0)</f>
        <v>1465.56</v>
      </c>
      <c r="BI30" s="141">
        <f ca="1">IFERROR(IF(Inputs!$G$29="No", IF(BI55=1, 'Rates Table'!BI45*High_Utilised_Capacity, IF($E$2="Homepower Bulk",'Rates Table'!BI45*3*Inputs!$G$27,'Rates Table'!BI45*PODs*High_Days)), IF(BI55=1, 'Rates Table'!BI45*High_Utilised_Capacity_New_TOU, IF($E$2="Homepower Bulk",'Rates Table'!BI45*3*Inputs!$G$27,'Rates Table'!BI45*PODs*High_Days))),0)</f>
        <v>248.4</v>
      </c>
      <c r="BJ30" s="141">
        <f ca="1">IFERROR(IF(Inputs!$G$29="No", IF(BJ55=1, 'Rates Table'!BJ45*High_Utilised_Capacity, IF($E$2="Homepower Bulk",'Rates Table'!BJ45*3*Inputs!$G$27,'Rates Table'!BJ45*PODs*High_Days)), IF(BJ55=1, 'Rates Table'!BJ45*High_Utilised_Capacity_New_TOU, IF($E$2="Homepower Bulk",'Rates Table'!BJ45*3*Inputs!$G$27,'Rates Table'!BJ45*PODs*High_Days))),0)</f>
        <v>0</v>
      </c>
      <c r="BK30" s="141">
        <f ca="1">IFERROR(IF(Inputs!$G$29="No", IF(BK55=1, 'Rates Table'!BK45*High_Utilised_Capacity, IF($E$2="Homepower Bulk",'Rates Table'!BK45*3*Inputs!$G$27,'Rates Table'!BK45*PODs*High_Days)), IF(BK55=1, 'Rates Table'!BK45*High_Utilised_Capacity_New_TOU, IF($E$2="Homepower Bulk",'Rates Table'!BK45*3*Inputs!$G$27,'Rates Table'!BK45*PODs*High_Days))),0)</f>
        <v>0</v>
      </c>
      <c r="BL30" s="141">
        <f ca="1">IFERROR(IF(Inputs!$G$29="No", IF(BL55=1, 'Rates Table'!BL45*High_Utilised_Capacity, IF($E$2="Homepower Bulk",'Rates Table'!BL45*3*Inputs!$G$27,'Rates Table'!BL45*PODs*High_Days)), IF(BL55=1, 'Rates Table'!BL45*High_Utilised_Capacity_New_TOU, IF($E$2="Homepower Bulk",'Rates Table'!BL45*3*Inputs!$G$27,'Rates Table'!BL45*PODs*High_Days))),0)</f>
        <v>0</v>
      </c>
      <c r="BM30" s="141">
        <f ca="1">IFERROR(IF(Inputs!$G$29="No", IF(BM55=1, 'Rates Table'!BM45*High_Utilised_Capacity, IF($E$2="Homepower Bulk",'Rates Table'!BM45*3*Inputs!$G$27,'Rates Table'!BM45*PODs*High_Days)), IF(BM55=1, 'Rates Table'!BM45*High_Utilised_Capacity_New_TOU, IF($E$2="Homepower Bulk",'Rates Table'!BM45*3*Inputs!$G$27,'Rates Table'!BM45*PODs*High_Days))),0)</f>
        <v>0</v>
      </c>
      <c r="BN30" s="141">
        <f ca="1">IFERROR(IF(Inputs!$G$29="No", IF(BN55=1, 'Rates Table'!BN45*High_Utilised_Capacity, IF($E$2="Homepower Bulk",'Rates Table'!BN45*3*Inputs!$G$27,'Rates Table'!BN45*PODs*High_Days)), IF(BN55=1, 'Rates Table'!BN45*High_Utilised_Capacity_New_TOU, IF($E$2="Homepower Bulk",'Rates Table'!BN45*3*Inputs!$G$27,'Rates Table'!BN45*PODs*High_Days))),0)</f>
        <v>0</v>
      </c>
      <c r="BO30" s="141">
        <f ca="1">IFERROR(IF(Inputs!$G$29="No", IF(BO55=1, 'Rates Table'!BO45*High_Utilised_Capacity, IF($E$2="Homepower Bulk",'Rates Table'!BO45*3*Inputs!$G$27,'Rates Table'!BO45*PODs*High_Days)), IF(BO55=1, 'Rates Table'!BO45*High_Utilised_Capacity_New_TOU, IF($E$2="Homepower Bulk",'Rates Table'!BO45*3*Inputs!$G$27,'Rates Table'!BO45*PODs*High_Days))),0)</f>
        <v>0</v>
      </c>
      <c r="BP30" s="141">
        <f ca="1">IFERROR(IF(Inputs!$G$29="No", IF(BP55=1, 'Rates Table'!BP45*High_Utilised_Capacity, IF($E$2="Homepower Bulk",'Rates Table'!BP45*3*Inputs!$G$27,'Rates Table'!BP45*PODs*High_Days)), IF(BP55=1, 'Rates Table'!BP45*High_Utilised_Capacity_New_TOU, IF($E$2="Homepower Bulk",'Rates Table'!BP45*3*Inputs!$G$27,'Rates Table'!BP45*PODs*High_Days))),0)</f>
        <v>0</v>
      </c>
      <c r="BQ30" s="141">
        <f ca="1">IFERROR(IF(Inputs!$G$29="No", IF(BQ55=1, 'Rates Table'!BQ45*High_Utilised_Capacity, IF($E$2="Homepower Bulk",'Rates Table'!BQ45*3*Inputs!$G$27,'Rates Table'!BQ45*PODs*High_Days)), IF(BQ55=1, 'Rates Table'!BQ45*High_Utilised_Capacity_New_TOU, IF($E$2="Homepower Bulk",'Rates Table'!BQ45*3*Inputs!$G$27,'Rates Table'!BQ45*PODs*High_Days))),0)</f>
        <v>0</v>
      </c>
      <c r="BR30" s="141">
        <f ca="1">IFERROR(IF(Inputs!$G$29="No", IF(BR55=1, 'Rates Table'!BR45*High_Utilised_Capacity, IF($E$2="Homepower Bulk",'Rates Table'!BR45*3*Inputs!$G$27,'Rates Table'!BR45*PODs*High_Days)), IF(BR55=1, 'Rates Table'!BR45*High_Utilised_Capacity_New_TOU, IF($E$2="Homepower Bulk",'Rates Table'!BR45*3*Inputs!$G$27,'Rates Table'!BR45*PODs*High_Days))),0)</f>
        <v>0</v>
      </c>
      <c r="BS30" s="141">
        <f ca="1">IFERROR(IF(Inputs!$G$29="No", IF(BS55=1, 'Rates Table'!BS45*High_Utilised_Capacity, IF($E$2="Homepower Bulk",'Rates Table'!BS45*3*Inputs!$G$27,'Rates Table'!BS45*PODs*High_Days)), IF(BS55=1, 'Rates Table'!BS45*High_Utilised_Capacity_New_TOU, IF($E$2="Homepower Bulk",'Rates Table'!BS45*3*Inputs!$G$27,'Rates Table'!BS45*PODs*High_Days))),0)</f>
        <v>0</v>
      </c>
      <c r="BT30" s="141">
        <f ca="1">IFERROR(IF(Inputs!$G$29="No", IF(BT55=1, 'Rates Table'!BT45*High_Utilised_Capacity, IF($E$2="Homepower Bulk",'Rates Table'!BT45*3*Inputs!$G$27,'Rates Table'!BT45*PODs*High_Days)), IF(BT55=1, 'Rates Table'!BT45*High_Utilised_Capacity_New_TOU, IF($E$2="Homepower Bulk",'Rates Table'!BT45*3*Inputs!$G$27,'Rates Table'!BT45*PODs*High_Days))),0)</f>
        <v>0</v>
      </c>
      <c r="BU30" s="141">
        <f ca="1">IFERROR(IF(Inputs!$G$29="No", IF(BU55=1, 'Rates Table'!BU45*High_Utilised_Capacity, IF($E$2="Homepower Bulk",'Rates Table'!BU45*3*Inputs!$G$27,'Rates Table'!BU45*PODs*High_Days)), IF(BU55=1, 'Rates Table'!BU45*High_Utilised_Capacity_New_TOU, IF($E$2="Homepower Bulk",'Rates Table'!BU45*3*Inputs!$G$27,'Rates Table'!BU45*PODs*High_Days))),0)</f>
        <v>0</v>
      </c>
      <c r="BV30" s="141">
        <f ca="1">IFERROR(IF(Inputs!$G$29="No", IF(BV55=1, 'Rates Table'!BV45*High_Utilised_Capacity, IF($E$2="Homepower Bulk",'Rates Table'!BV45*3*Inputs!$G$27,'Rates Table'!BV45*PODs*High_Days)), IF(BV55=1, 'Rates Table'!BV45*High_Utilised_Capacity_New_TOU, IF($E$2="Homepower Bulk",'Rates Table'!BV45*3*Inputs!$G$27,'Rates Table'!BV45*PODs*High_Days))),0)</f>
        <v>0</v>
      </c>
      <c r="BW30" s="141">
        <f ca="1">IFERROR(IF(Inputs!$G$29="No", IF(BW55=1, 'Rates Table'!BW45*High_Utilised_Capacity, IF($E$2="Homepower Bulk",'Rates Table'!BW45*3*Inputs!$G$27,'Rates Table'!BW45*PODs*High_Days)), IF(BW55=1, 'Rates Table'!BW45*High_Utilised_Capacity_New_TOU, IF($E$2="Homepower Bulk",'Rates Table'!BW45*3*Inputs!$G$27,'Rates Table'!BW45*PODs*High_Days))),0)</f>
        <v>0</v>
      </c>
      <c r="BX30" s="141">
        <f ca="1">IFERROR(IF(Inputs!$G$29="No", IF(BX55=1, 'Rates Table'!BX45*High_Utilised_Capacity, IF($E$2="Homepower Bulk",'Rates Table'!BX45*3*Inputs!$G$27,'Rates Table'!BX45*PODs*High_Days)), IF(BX55=1, 'Rates Table'!BX45*High_Utilised_Capacity_New_TOU, IF($E$2="Homepower Bulk",'Rates Table'!BX45*3*Inputs!$G$27,'Rates Table'!BX45*PODs*High_Days))),0)</f>
        <v>0</v>
      </c>
      <c r="BY30" s="141">
        <f ca="1">IFERROR(IF(Inputs!$G$29="No", IF(BY55=1, 'Rates Table'!BY45*High_Utilised_Capacity, IF($E$2="Homepower Bulk",'Rates Table'!BY45*3*Inputs!$G$27,'Rates Table'!BY45*PODs*High_Days)), IF(BY55=1, 'Rates Table'!BY45*High_Utilised_Capacity_New_TOU, IF($E$2="Homepower Bulk",'Rates Table'!BY45*3*Inputs!$G$27,'Rates Table'!BY45*PODs*High_Days))),0)</f>
        <v>0</v>
      </c>
      <c r="BZ30" s="141">
        <f ca="1">IFERROR(IF(Inputs!$G$29="No", IF(BZ55=1, 'Rates Table'!BZ45*High_Utilised_Capacity, IF($E$2="Homepower Bulk",'Rates Table'!BZ45*3*Inputs!$G$27,'Rates Table'!BZ45*PODs*High_Days)), IF(BZ55=1, 'Rates Table'!BZ45*High_Utilised_Capacity_New_TOU, IF($E$2="Homepower Bulk",'Rates Table'!BZ45*3*Inputs!$G$27,'Rates Table'!BZ45*PODs*High_Days))),0)</f>
        <v>0</v>
      </c>
      <c r="CA30" s="141">
        <f ca="1">IFERROR(IF(Inputs!$G$29="No", IF(CA55=1, 'Rates Table'!CA45*High_Utilised_Capacity, IF($E$2="Homepower Bulk",'Rates Table'!CA45*3*Inputs!$G$27,'Rates Table'!CA45*PODs*High_Days)), IF(CA55=1, 'Rates Table'!CA45*High_Utilised_Capacity_New_TOU, IF($E$2="Homepower Bulk",'Rates Table'!CA45*3*Inputs!$G$27,'Rates Table'!CA45*PODs*High_Days))),0)</f>
        <v>100.28</v>
      </c>
      <c r="CB30" s="141">
        <f ca="1">IFERROR(IF(Inputs!$G$29="No", IF(CB55=1, 'Rates Table'!CB45*High_Utilised_Capacity, IF($E$2="Homepower Bulk",'Rates Table'!CB45*3*Inputs!$G$27,'Rates Table'!CB45*PODs*High_Days)), IF(CB55=1, 'Rates Table'!CB45*High_Utilised_Capacity_New_TOU, IF($E$2="Homepower Bulk",'Rates Table'!CB45*3*Inputs!$G$27,'Rates Table'!CB45*PODs*High_Days))),0)</f>
        <v>177.56</v>
      </c>
      <c r="CC30" s="141">
        <f ca="1">IFERROR(IF(Inputs!$G$29="No", IF(CC55=1, 'Rates Table'!CC45*High_Utilised_Capacity, IF($E$2="Homepower Bulk",'Rates Table'!CC45*3*Inputs!$G$27,'Rates Table'!CC45*PODs*High_Days)), IF(CC55=1, 'Rates Table'!CC45*High_Utilised_Capacity_New_TOU, IF($E$2="Homepower Bulk",'Rates Table'!CC45*3*Inputs!$G$27,'Rates Table'!CC45*PODs*High_Days))),0)</f>
        <v>432.40000000000003</v>
      </c>
      <c r="CD30" s="141">
        <f ca="1">IFERROR(IF(Inputs!$G$29="No", IF(CD55=1, 'Rates Table'!CD45*High_Utilised_Capacity, IF($E$2="Homepower Bulk",'Rates Table'!CD45*3*Inputs!$G$27,'Rates Table'!CD45*PODs*High_Days)), IF(CD55=1, 'Rates Table'!CD45*High_Utilised_Capacity_New_TOU, IF($E$2="Homepower Bulk",'Rates Table'!CD45*3*Inputs!$G$27,'Rates Table'!CD45*PODs*High_Days))),0)</f>
        <v>65.319999999999993</v>
      </c>
      <c r="CE30" s="141">
        <f ca="1">IFERROR(IF(Inputs!$G$29="No", IF(CE55=1, 'Rates Table'!CE45*High_Utilised_Capacity, IF($E$2="Homepower Bulk",'Rates Table'!CE45*3*Inputs!$G$27,'Rates Table'!CE45*PODs*High_Days)), IF(CE55=1, 'Rates Table'!CE45*High_Utilised_Capacity_New_TOU, IF($E$2="Homepower Bulk",'Rates Table'!CE45*3*Inputs!$G$27,'Rates Table'!CE45*PODs*High_Days))),0)</f>
        <v>0</v>
      </c>
      <c r="CF30" s="141">
        <f ca="1">IFERROR(IF(Inputs!$G$29="No", IF(CF55=1, 'Rates Table'!CF45*High_Utilised_Capacity, IF($E$2="Homepower Bulk",'Rates Table'!CF45*3*Inputs!$G$27,'Rates Table'!CF45*PODs*High_Days)), IF(CF55=1, 'Rates Table'!CF45*High_Utilised_Capacity_New_TOU, IF($E$2="Homepower Bulk",'Rates Table'!CF45*3*Inputs!$G$27,'Rates Table'!CF45*PODs*High_Days))),0)</f>
        <v>0</v>
      </c>
    </row>
    <row r="31" spans="2:84" s="138" customFormat="1">
      <c r="C31" s="138" t="s">
        <v>533</v>
      </c>
      <c r="D31" s="139" t="s">
        <v>106</v>
      </c>
      <c r="E31" s="140">
        <f t="shared" ca="1" si="14"/>
        <v>0</v>
      </c>
      <c r="F31" s="141">
        <f ca="1">IFERROR('Rates Table'!F46*IF(Inputs!$G$29="No",High_Total_Energy,High_Total_Energy_New_TOU),0)/100</f>
        <v>0</v>
      </c>
      <c r="G31" s="141">
        <f ca="1">IFERROR('Rates Table'!G46*IF(Inputs!$G$29="No",High_Total_Energy,High_Total_Energy_New_TOU),0)/100</f>
        <v>0</v>
      </c>
      <c r="H31" s="141">
        <f ca="1">IFERROR('Rates Table'!H46*IF(Inputs!$G$29="No",High_Total_Energy,High_Total_Energy_New_TOU),0)/100</f>
        <v>0</v>
      </c>
      <c r="I31" s="141">
        <f ca="1">IFERROR('Rates Table'!I46*IF(Inputs!$G$29="No",High_Total_Energy,High_Total_Energy_New_TOU),0)/100</f>
        <v>0</v>
      </c>
      <c r="J31" s="141">
        <f ca="1">IFERROR('Rates Table'!J46*IF(Inputs!$G$29="No",High_Total_Energy,High_Total_Energy_New_TOU),0)/100</f>
        <v>0</v>
      </c>
      <c r="K31" s="141">
        <f ca="1">IFERROR('Rates Table'!K46*IF(Inputs!$G$29="No",High_Total_Energy,High_Total_Energy_New_TOU),0)/100</f>
        <v>0</v>
      </c>
      <c r="L31" s="141">
        <f ca="1">IFERROR('Rates Table'!L46*IF(Inputs!$G$29="No",High_Total_Energy,High_Total_Energy_New_TOU),0)/100</f>
        <v>0</v>
      </c>
      <c r="M31" s="141">
        <f ca="1">IFERROR('Rates Table'!M46*IF(Inputs!$G$29="No",High_Total_Energy,High_Total_Energy_New_TOU),0)/100</f>
        <v>0</v>
      </c>
      <c r="N31" s="141">
        <f ca="1">IFERROR('Rates Table'!N46*IF(Inputs!$G$29="No",High_Total_Energy,High_Total_Energy_New_TOU),0)/100</f>
        <v>0</v>
      </c>
      <c r="O31" s="141">
        <f ca="1">IFERROR('Rates Table'!O46*IF(Inputs!$G$29="No",High_Total_Energy,High_Total_Energy_New_TOU),0)/100</f>
        <v>0</v>
      </c>
      <c r="P31" s="141">
        <f ca="1">IFERROR('Rates Table'!P46*IF(Inputs!$G$29="No",High_Total_Energy,High_Total_Energy_New_TOU),0)/100</f>
        <v>0</v>
      </c>
      <c r="Q31" s="141">
        <f ca="1">IFERROR('Rates Table'!Q46*IF(Inputs!$G$29="No",High_Total_Energy,High_Total_Energy_New_TOU),0)/100</f>
        <v>0</v>
      </c>
      <c r="R31" s="141">
        <f ca="1">IFERROR('Rates Table'!R46*IF(Inputs!$G$29="No",High_Total_Energy,High_Total_Energy_New_TOU),0)/100</f>
        <v>0</v>
      </c>
      <c r="S31" s="141">
        <f ca="1">IFERROR('Rates Table'!S46*IF(Inputs!$G$29="No",High_Total_Energy,High_Total_Energy_New_TOU),0)/100</f>
        <v>0</v>
      </c>
      <c r="T31" s="141">
        <f ca="1">IFERROR('Rates Table'!T46*IF(Inputs!$G$29="No",High_Total_Energy,High_Total_Energy_New_TOU),0)/100</f>
        <v>0</v>
      </c>
      <c r="U31" s="141">
        <f ca="1">IFERROR('Rates Table'!U46*IF(Inputs!$G$29="No",High_Total_Energy,High_Total_Energy_New_TOU),0)/100</f>
        <v>0</v>
      </c>
      <c r="V31" s="141">
        <f ca="1">IFERROR('Rates Table'!V46*IF(Inputs!$G$29="No",High_Total_Energy,High_Total_Energy_New_TOU),0)/100</f>
        <v>0</v>
      </c>
      <c r="W31" s="141">
        <f ca="1">IFERROR('Rates Table'!W46*IF(Inputs!$G$29="No",High_Total_Energy,High_Total_Energy_New_TOU),0)/100</f>
        <v>0</v>
      </c>
      <c r="X31" s="141">
        <f ca="1">IFERROR('Rates Table'!X46*IF(Inputs!$G$29="No",High_Total_Energy,High_Total_Energy_New_TOU),0)/100</f>
        <v>0</v>
      </c>
      <c r="Y31" s="141">
        <f ca="1">IFERROR('Rates Table'!Y46*IF(Inputs!$G$29="No",High_Total_Energy,High_Total_Energy_New_TOU),0)/100</f>
        <v>0</v>
      </c>
      <c r="Z31" s="141">
        <f ca="1">IFERROR('Rates Table'!Z46*IF(Inputs!$G$29="No",High_Total_Energy,High_Total_Energy_New_TOU),0)/100</f>
        <v>0</v>
      </c>
      <c r="AA31" s="141">
        <f ca="1">IFERROR('Rates Table'!AA46*IF(Inputs!$G$29="No",High_Total_Energy,High_Total_Energy_New_TOU),0)/100</f>
        <v>0</v>
      </c>
      <c r="AB31" s="141">
        <f ca="1">IFERROR('Rates Table'!AB46*IF(Inputs!$G$29="No",High_Total_Energy,High_Total_Energy_New_TOU),0)/100</f>
        <v>0</v>
      </c>
      <c r="AC31" s="141">
        <f ca="1">IFERROR('Rates Table'!AC46*IF(Inputs!$G$29="No",High_Total_Energy,High_Total_Energy_New_TOU),0)/100</f>
        <v>0</v>
      </c>
      <c r="AD31" s="141">
        <f ca="1">IFERROR('Rates Table'!AD46*IF(Inputs!$G$29="No",High_Total_Energy,High_Total_Energy_New_TOU),0)/100</f>
        <v>0</v>
      </c>
      <c r="AE31" s="141">
        <f ca="1">IFERROR('Rates Table'!AE46*IF(Inputs!$G$29="No",High_Total_Energy,High_Total_Energy_New_TOU),0)/100</f>
        <v>0</v>
      </c>
      <c r="AF31" s="141">
        <f ca="1">IFERROR('Rates Table'!AF46*IF(Inputs!$G$29="No",High_Total_Energy,High_Total_Energy_New_TOU),0)/100</f>
        <v>0</v>
      </c>
      <c r="AG31" s="141">
        <f ca="1">IFERROR('Rates Table'!AG46*IF(Inputs!$G$29="No",High_Total_Energy,High_Total_Energy_New_TOU),0)/100</f>
        <v>0</v>
      </c>
      <c r="AH31" s="141">
        <f ca="1">IFERROR('Rates Table'!AH46*IF(Inputs!$G$29="No",High_Total_Energy,High_Total_Energy_New_TOU),0)/100</f>
        <v>0</v>
      </c>
      <c r="AI31" s="141">
        <f ca="1">IFERROR('Rates Table'!AI46*IF(Inputs!$G$29="No",High_Total_Energy,High_Total_Energy_New_TOU),0)/100</f>
        <v>0</v>
      </c>
      <c r="AJ31" s="141">
        <f ca="1">IFERROR('Rates Table'!AJ46*IF(Inputs!$G$29="No",High_Total_Energy,High_Total_Energy_New_TOU),0)/100</f>
        <v>0</v>
      </c>
      <c r="AK31" s="141">
        <f ca="1">IFERROR('Rates Table'!AK46*IF(Inputs!$G$29="No",High_Total_Energy,High_Total_Energy_New_TOU),0)/100</f>
        <v>0</v>
      </c>
      <c r="AL31" s="141">
        <f ca="1">IFERROR('Rates Table'!AL46*IF(Inputs!$G$29="No",High_Total_Energy,High_Total_Energy_New_TOU),0)/100</f>
        <v>0</v>
      </c>
      <c r="AM31" s="141">
        <f ca="1">IFERROR('Rates Table'!AM46*IF(Inputs!$G$29="No",High_Total_Energy,High_Total_Energy_New_TOU),0)/100</f>
        <v>0</v>
      </c>
      <c r="AN31" s="141">
        <f ca="1">IFERROR('Rates Table'!AN46*IF(Inputs!$G$29="No",High_Total_Energy,High_Total_Energy_New_TOU),0)/100</f>
        <v>0</v>
      </c>
      <c r="AO31" s="141">
        <f ca="1">IFERROR('Rates Table'!AO46*IF(Inputs!$G$29="No",High_Total_Energy,High_Total_Energy_New_TOU),0)/100</f>
        <v>0</v>
      </c>
      <c r="AP31" s="141">
        <f ca="1">IFERROR('Rates Table'!AP46*IF(Inputs!$G$29="No",High_Total_Energy,High_Total_Energy_New_TOU),0)/100</f>
        <v>0</v>
      </c>
      <c r="AQ31" s="141">
        <f ca="1">IFERROR('Rates Table'!AQ46*IF(Inputs!$G$29="No",High_Total_Energy,High_Total_Energy_New_TOU),0)/100</f>
        <v>0</v>
      </c>
      <c r="AR31" s="141">
        <f ca="1">IFERROR('Rates Table'!AR46*IF(Inputs!$G$29="No",High_Total_Energy,High_Total_Energy_New_TOU),0)/100</f>
        <v>0</v>
      </c>
      <c r="AT31" s="140">
        <f t="shared" ca="1" si="15"/>
        <v>0</v>
      </c>
      <c r="AU31" s="141">
        <f ca="1">IFERROR('Rates Table'!AU46*IF(Inputs!$G$29="No",High_Total_Energy,High_Total_Energy_New_TOU),0)/100</f>
        <v>0</v>
      </c>
      <c r="AV31" s="141">
        <f ca="1">IFERROR('Rates Table'!AV46*IF(Inputs!$G$29="No",High_Total_Energy,High_Total_Energy_New_TOU),0)/100</f>
        <v>0</v>
      </c>
      <c r="AW31" s="141">
        <f ca="1">IFERROR('Rates Table'!AW46*IF(Inputs!$G$29="No",High_Total_Energy,High_Total_Energy_New_TOU),0)/100</f>
        <v>0</v>
      </c>
      <c r="AX31" s="141">
        <f ca="1">IFERROR('Rates Table'!AX46*IF(Inputs!$G$29="No",High_Total_Energy,High_Total_Energy_New_TOU),0)/100</f>
        <v>0</v>
      </c>
      <c r="AY31" s="141">
        <f ca="1">IFERROR('Rates Table'!AY46*IF(Inputs!$G$29="No",High_Total_Energy,High_Total_Energy_New_TOU),0)/100</f>
        <v>0</v>
      </c>
      <c r="AZ31" s="141">
        <f ca="1">IFERROR('Rates Table'!AZ46*IF(Inputs!$G$29="No",High_Total_Energy,High_Total_Energy_New_TOU),0)/100</f>
        <v>0</v>
      </c>
      <c r="BA31" s="141">
        <f ca="1">IFERROR('Rates Table'!BA46*IF(Inputs!$G$29="No",High_Total_Energy,High_Total_Energy_New_TOU),0)/100</f>
        <v>0</v>
      </c>
      <c r="BB31" s="141">
        <f ca="1">IFERROR('Rates Table'!BB46*IF(Inputs!$G$29="No",High_Total_Energy,High_Total_Energy_New_TOU),0)/100</f>
        <v>0</v>
      </c>
      <c r="BC31" s="141">
        <f ca="1">IFERROR('Rates Table'!BC46*IF(Inputs!$G$29="No",High_Total_Energy,High_Total_Energy_New_TOU),0)/100</f>
        <v>0</v>
      </c>
      <c r="BD31" s="141">
        <f ca="1">IFERROR('Rates Table'!BD46*IF(Inputs!$G$29="No",High_Total_Energy,High_Total_Energy_New_TOU),0)/100</f>
        <v>0</v>
      </c>
      <c r="BE31" s="141">
        <f ca="1">IFERROR('Rates Table'!BE46*IF(Inputs!$G$29="No",High_Total_Energy,High_Total_Energy_New_TOU),0)/100</f>
        <v>0</v>
      </c>
      <c r="BF31" s="141">
        <f ca="1">IFERROR('Rates Table'!BF46*IF(Inputs!$G$29="No",High_Total_Energy,High_Total_Energy_New_TOU),0)/100</f>
        <v>0</v>
      </c>
      <c r="BG31" s="141">
        <f ca="1">IFERROR('Rates Table'!BG46*IF(Inputs!$G$29="No",High_Total_Energy,High_Total_Energy_New_TOU),0)/100</f>
        <v>0</v>
      </c>
      <c r="BH31" s="141">
        <f ca="1">IFERROR('Rates Table'!BH46*IF(Inputs!$G$29="No",High_Total_Energy,High_Total_Energy_New_TOU),0)/100</f>
        <v>0</v>
      </c>
      <c r="BI31" s="141">
        <f ca="1">IFERROR('Rates Table'!BI46*IF(Inputs!$G$29="No",High_Total_Energy,High_Total_Energy_New_TOU),0)/100</f>
        <v>0</v>
      </c>
      <c r="BJ31" s="141">
        <f ca="1">IFERROR('Rates Table'!BJ46*IF(Inputs!$G$29="No",High_Total_Energy,High_Total_Energy_New_TOU),0)/100</f>
        <v>0</v>
      </c>
      <c r="BK31" s="141">
        <f ca="1">IFERROR('Rates Table'!BK46*IF(Inputs!$G$29="No",High_Total_Energy,High_Total_Energy_New_TOU),0)/100</f>
        <v>0</v>
      </c>
      <c r="BL31" s="141">
        <f ca="1">IFERROR('Rates Table'!BL46*IF(Inputs!$G$29="No",High_Total_Energy,High_Total_Energy_New_TOU),0)/100</f>
        <v>0</v>
      </c>
      <c r="BM31" s="141">
        <f ca="1">IFERROR('Rates Table'!BM46*IF(Inputs!$G$29="No",High_Total_Energy,High_Total_Energy_New_TOU),0)/100</f>
        <v>0</v>
      </c>
      <c r="BN31" s="141">
        <f ca="1">IFERROR('Rates Table'!BN46*IF(Inputs!$G$29="No",High_Total_Energy,High_Total_Energy_New_TOU),0)/100</f>
        <v>0</v>
      </c>
      <c r="BO31" s="141">
        <f ca="1">IFERROR('Rates Table'!BO46*IF(Inputs!$G$29="No",High_Total_Energy,High_Total_Energy_New_TOU),0)/100</f>
        <v>0</v>
      </c>
      <c r="BP31" s="141">
        <f ca="1">IFERROR('Rates Table'!BP46*IF(Inputs!$G$29="No",High_Total_Energy,High_Total_Energy_New_TOU),0)/100</f>
        <v>0</v>
      </c>
      <c r="BQ31" s="141">
        <f ca="1">IFERROR('Rates Table'!BQ46*IF(Inputs!$G$29="No",High_Total_Energy,High_Total_Energy_New_TOU),0)/100</f>
        <v>0</v>
      </c>
      <c r="BR31" s="141">
        <f ca="1">IFERROR('Rates Table'!BR46*IF(Inputs!$G$29="No",High_Total_Energy,High_Total_Energy_New_TOU),0)/100</f>
        <v>0</v>
      </c>
      <c r="BS31" s="141">
        <f ca="1">IFERROR('Rates Table'!BS46*IF(Inputs!$G$29="No",High_Total_Energy,High_Total_Energy_New_TOU),0)/100</f>
        <v>0</v>
      </c>
      <c r="BT31" s="141">
        <f ca="1">IFERROR('Rates Table'!BT46*IF(Inputs!$G$29="No",High_Total_Energy,High_Total_Energy_New_TOU),0)/100</f>
        <v>0</v>
      </c>
      <c r="BU31" s="141">
        <f ca="1">IFERROR('Rates Table'!BU46*IF(Inputs!$G$29="No",High_Total_Energy,High_Total_Energy_New_TOU),0)/100</f>
        <v>0</v>
      </c>
      <c r="BV31" s="141">
        <f ca="1">IFERROR('Rates Table'!BV46*IF(Inputs!$G$29="No",High_Total_Energy,High_Total_Energy_New_TOU),0)/100</f>
        <v>0</v>
      </c>
      <c r="BW31" s="141">
        <f ca="1">IFERROR('Rates Table'!BW46*IF(Inputs!$G$29="No",High_Total_Energy,High_Total_Energy_New_TOU),0)/100</f>
        <v>0</v>
      </c>
      <c r="BX31" s="141">
        <f ca="1">IFERROR('Rates Table'!BX46*IF(Inputs!$G$29="No",High_Total_Energy,High_Total_Energy_New_TOU),0)/100</f>
        <v>0</v>
      </c>
      <c r="BY31" s="141">
        <f ca="1">IFERROR('Rates Table'!BY46*IF(Inputs!$G$29="No",High_Total_Energy,High_Total_Energy_New_TOU),0)/100</f>
        <v>0</v>
      </c>
      <c r="BZ31" s="141">
        <f ca="1">IFERROR('Rates Table'!BZ46*IF(Inputs!$G$29="No",High_Total_Energy,High_Total_Energy_New_TOU),0)/100</f>
        <v>0</v>
      </c>
      <c r="CA31" s="141">
        <f ca="1">IFERROR('Rates Table'!CA46*IF(Inputs!$G$29="No",High_Total_Energy,High_Total_Energy_New_TOU),0)/100</f>
        <v>0</v>
      </c>
      <c r="CB31" s="141">
        <f ca="1">IFERROR('Rates Table'!CB46*IF(Inputs!$G$29="No",High_Total_Energy,High_Total_Energy_New_TOU),0)/100</f>
        <v>0</v>
      </c>
      <c r="CC31" s="141">
        <f ca="1">IFERROR('Rates Table'!CC46*IF(Inputs!$G$29="No",High_Total_Energy,High_Total_Energy_New_TOU),0)/100</f>
        <v>0</v>
      </c>
      <c r="CD31" s="141">
        <f ca="1">IFERROR('Rates Table'!CD46*IF(Inputs!$G$29="No",High_Total_Energy,High_Total_Energy_New_TOU),0)/100</f>
        <v>0</v>
      </c>
      <c r="CE31" s="141">
        <f ca="1">IFERROR('Rates Table'!CE46*IF(Inputs!$G$29="No",High_Total_Energy,High_Total_Energy_New_TOU),0)/100</f>
        <v>0</v>
      </c>
      <c r="CF31" s="141">
        <f ca="1">IFERROR('Rates Table'!CF46*IF(Inputs!$G$29="No",High_Total_Energy,High_Total_Energy_New_TOU),0)/100</f>
        <v>0</v>
      </c>
    </row>
    <row r="32" spans="2:84" s="138" customFormat="1" ht="14.25" customHeight="1">
      <c r="CD32" s="141"/>
      <c r="CE32" s="141"/>
      <c r="CF32" s="141"/>
    </row>
    <row r="33" spans="2:84" s="138" customFormat="1">
      <c r="B33" s="142" t="s">
        <v>123</v>
      </c>
      <c r="C33" s="142"/>
      <c r="D33" s="143"/>
      <c r="E33" s="143">
        <f t="shared" ref="E33:AF33" ca="1" si="16">SUM(E22:E31)</f>
        <v>0</v>
      </c>
      <c r="F33" s="143">
        <f t="shared" ca="1" si="16"/>
        <v>182.16</v>
      </c>
      <c r="G33" s="143">
        <f t="shared" ca="1" si="16"/>
        <v>271.40000000000003</v>
      </c>
      <c r="H33" s="143">
        <f t="shared" ca="1" si="16"/>
        <v>678.04</v>
      </c>
      <c r="I33" s="143">
        <f t="shared" ca="1" si="16"/>
        <v>0</v>
      </c>
      <c r="J33" s="143">
        <f t="shared" ca="1" si="16"/>
        <v>0</v>
      </c>
      <c r="K33" s="143">
        <f t="shared" ca="1" si="16"/>
        <v>0</v>
      </c>
      <c r="L33" s="143">
        <f t="shared" ca="1" si="16"/>
        <v>66.239999999999995</v>
      </c>
      <c r="M33" s="143">
        <f t="shared" ca="1" si="16"/>
        <v>116.84</v>
      </c>
      <c r="N33" s="143">
        <f t="shared" ca="1" si="16"/>
        <v>285.2</v>
      </c>
      <c r="O33" s="143">
        <f t="shared" ca="1" si="16"/>
        <v>43.239999999999995</v>
      </c>
      <c r="P33" s="143">
        <f t="shared" ca="1" si="16"/>
        <v>439.76000000000005</v>
      </c>
      <c r="Q33" s="143">
        <f t="shared" ca="1" si="16"/>
        <v>249.32</v>
      </c>
      <c r="R33" s="143">
        <f t="shared" ca="1" si="16"/>
        <v>494.04</v>
      </c>
      <c r="S33" s="143">
        <f t="shared" ca="1" si="16"/>
        <v>966</v>
      </c>
      <c r="T33" s="143">
        <f t="shared" ca="1" si="16"/>
        <v>163.76</v>
      </c>
      <c r="U33" s="143">
        <f t="shared" ca="1" si="16"/>
        <v>0</v>
      </c>
      <c r="V33" s="143">
        <f t="shared" ca="1" si="16"/>
        <v>0</v>
      </c>
      <c r="W33" s="143">
        <f t="shared" ca="1" si="16"/>
        <v>0</v>
      </c>
      <c r="X33" s="143">
        <f t="shared" ca="1" si="16"/>
        <v>0</v>
      </c>
      <c r="Y33" s="143">
        <f t="shared" ca="1" si="16"/>
        <v>0</v>
      </c>
      <c r="Z33" s="143">
        <f t="shared" ca="1" si="16"/>
        <v>0</v>
      </c>
      <c r="AA33" s="143">
        <f t="shared" ca="1" si="16"/>
        <v>0</v>
      </c>
      <c r="AB33" s="143">
        <f t="shared" ca="1" si="16"/>
        <v>0</v>
      </c>
      <c r="AC33" s="143">
        <f t="shared" ca="1" si="16"/>
        <v>0</v>
      </c>
      <c r="AD33" s="143">
        <f t="shared" ca="1" si="16"/>
        <v>0</v>
      </c>
      <c r="AE33" s="143">
        <f t="shared" ca="1" si="16"/>
        <v>0</v>
      </c>
      <c r="AF33" s="143">
        <f t="shared" ca="1" si="16"/>
        <v>0</v>
      </c>
      <c r="AG33" s="143">
        <f t="shared" ref="AG33:AO33" ca="1" si="17">SUM(AG22:AG31)</f>
        <v>0</v>
      </c>
      <c r="AH33" s="143">
        <f t="shared" ca="1" si="17"/>
        <v>0</v>
      </c>
      <c r="AI33" s="143">
        <f t="shared" ca="1" si="17"/>
        <v>0</v>
      </c>
      <c r="AJ33" s="143">
        <f t="shared" ca="1" si="17"/>
        <v>0</v>
      </c>
      <c r="AK33" s="143">
        <f t="shared" ca="1" si="17"/>
        <v>0</v>
      </c>
      <c r="AL33" s="143">
        <f t="shared" ca="1" si="17"/>
        <v>66.239999999999995</v>
      </c>
      <c r="AM33" s="143">
        <f t="shared" ca="1" si="17"/>
        <v>116.84</v>
      </c>
      <c r="AN33" s="143">
        <f t="shared" ca="1" si="17"/>
        <v>285.2</v>
      </c>
      <c r="AO33" s="143">
        <f t="shared" ca="1" si="17"/>
        <v>43.239999999999995</v>
      </c>
      <c r="AP33" s="143">
        <f ca="1">SUM(AP22:AP31)</f>
        <v>0</v>
      </c>
      <c r="AQ33" s="143">
        <f ca="1">SUM(AQ22:AQ31)</f>
        <v>0</v>
      </c>
      <c r="AR33" s="143">
        <f ca="1">SUM(AR22:AR31)</f>
        <v>0</v>
      </c>
      <c r="AT33" s="143">
        <f t="shared" ref="AT33:BU33" ca="1" si="18">SUM(AT22:AT31)</f>
        <v>0</v>
      </c>
      <c r="AU33" s="143">
        <f t="shared" ca="1" si="18"/>
        <v>276</v>
      </c>
      <c r="AV33" s="143">
        <f t="shared" ca="1" si="18"/>
        <v>412.16</v>
      </c>
      <c r="AW33" s="143">
        <f t="shared" ca="1" si="18"/>
        <v>1028.56</v>
      </c>
      <c r="AX33" s="143">
        <f t="shared" ca="1" si="18"/>
        <v>0</v>
      </c>
      <c r="AY33" s="143">
        <f t="shared" ca="1" si="18"/>
        <v>0</v>
      </c>
      <c r="AZ33" s="143">
        <f t="shared" ca="1" si="18"/>
        <v>0</v>
      </c>
      <c r="BA33" s="143">
        <f t="shared" ca="1" si="18"/>
        <v>100.28</v>
      </c>
      <c r="BB33" s="143">
        <f t="shared" ca="1" si="18"/>
        <v>177.56</v>
      </c>
      <c r="BC33" s="143">
        <f t="shared" ca="1" si="18"/>
        <v>432.40000000000003</v>
      </c>
      <c r="BD33" s="143">
        <f t="shared" ca="1" si="18"/>
        <v>65.319999999999993</v>
      </c>
      <c r="BE33" s="143">
        <f t="shared" ca="1" si="18"/>
        <v>667</v>
      </c>
      <c r="BF33" s="143">
        <f t="shared" ca="1" si="18"/>
        <v>378.12</v>
      </c>
      <c r="BG33" s="143">
        <f t="shared" ca="1" si="18"/>
        <v>749.80000000000007</v>
      </c>
      <c r="BH33" s="143">
        <f t="shared" ca="1" si="18"/>
        <v>1465.56</v>
      </c>
      <c r="BI33" s="143">
        <f t="shared" ca="1" si="18"/>
        <v>248.4</v>
      </c>
      <c r="BJ33" s="143">
        <f t="shared" ca="1" si="18"/>
        <v>0</v>
      </c>
      <c r="BK33" s="143">
        <f t="shared" ca="1" si="18"/>
        <v>0</v>
      </c>
      <c r="BL33" s="143">
        <f t="shared" ca="1" si="18"/>
        <v>0</v>
      </c>
      <c r="BM33" s="143">
        <f t="shared" ca="1" si="18"/>
        <v>0</v>
      </c>
      <c r="BN33" s="143">
        <f t="shared" ca="1" si="18"/>
        <v>0</v>
      </c>
      <c r="BO33" s="143">
        <f t="shared" ca="1" si="18"/>
        <v>0</v>
      </c>
      <c r="BP33" s="143">
        <f t="shared" ca="1" si="18"/>
        <v>0</v>
      </c>
      <c r="BQ33" s="143">
        <f t="shared" ca="1" si="18"/>
        <v>0</v>
      </c>
      <c r="BR33" s="143">
        <f t="shared" ca="1" si="18"/>
        <v>0</v>
      </c>
      <c r="BS33" s="143">
        <f t="shared" ca="1" si="18"/>
        <v>0</v>
      </c>
      <c r="BT33" s="143">
        <f t="shared" ca="1" si="18"/>
        <v>0</v>
      </c>
      <c r="BU33" s="143">
        <f t="shared" ca="1" si="18"/>
        <v>0</v>
      </c>
      <c r="BV33" s="143">
        <f t="shared" ref="BV33:CD33" ca="1" si="19">SUM(BV22:BV31)</f>
        <v>0</v>
      </c>
      <c r="BW33" s="143">
        <f t="shared" ca="1" si="19"/>
        <v>0</v>
      </c>
      <c r="BX33" s="143">
        <f t="shared" ca="1" si="19"/>
        <v>0</v>
      </c>
      <c r="BY33" s="143">
        <f t="shared" ca="1" si="19"/>
        <v>0</v>
      </c>
      <c r="BZ33" s="143">
        <f t="shared" ca="1" si="19"/>
        <v>0</v>
      </c>
      <c r="CA33" s="143">
        <f t="shared" ca="1" si="19"/>
        <v>100.28</v>
      </c>
      <c r="CB33" s="143">
        <f t="shared" ca="1" si="19"/>
        <v>177.56</v>
      </c>
      <c r="CC33" s="143">
        <f t="shared" ca="1" si="19"/>
        <v>432.40000000000003</v>
      </c>
      <c r="CD33" s="143">
        <f t="shared" ca="1" si="19"/>
        <v>65.319999999999993</v>
      </c>
      <c r="CE33" s="143">
        <f ca="1">SUM(CE22:CE31)</f>
        <v>0</v>
      </c>
      <c r="CF33" s="143">
        <f ca="1">SUM(CF22:CF31)</f>
        <v>0</v>
      </c>
    </row>
    <row r="34" spans="2:84" s="138" customFormat="1">
      <c r="B34" s="142"/>
      <c r="C34" s="142"/>
      <c r="D34" s="143"/>
      <c r="E34" s="143"/>
      <c r="F34" s="143"/>
      <c r="G34" s="143"/>
      <c r="H34" s="143"/>
      <c r="I34" s="143"/>
      <c r="J34" s="143"/>
      <c r="K34" s="143"/>
      <c r="L34" s="143"/>
      <c r="M34" s="143"/>
      <c r="N34" s="143"/>
      <c r="O34" s="143"/>
      <c r="P34" s="143"/>
      <c r="Q34" s="143"/>
      <c r="R34" s="143"/>
      <c r="S34" s="143"/>
      <c r="T34" s="143"/>
      <c r="U34" s="143"/>
      <c r="V34" s="143"/>
      <c r="W34" s="143"/>
      <c r="X34" s="143"/>
      <c r="Y34" s="143"/>
      <c r="Z34" s="143"/>
      <c r="AA34" s="143"/>
      <c r="AB34" s="143"/>
      <c r="AC34" s="143"/>
      <c r="AD34" s="143"/>
      <c r="AE34" s="143"/>
      <c r="AF34" s="143"/>
      <c r="AG34" s="143"/>
      <c r="AH34" s="143"/>
      <c r="AI34" s="143"/>
      <c r="AJ34" s="143"/>
      <c r="AK34" s="143"/>
      <c r="AL34" s="143"/>
      <c r="AM34" s="143"/>
      <c r="AN34" s="143"/>
      <c r="AO34" s="143"/>
      <c r="AP34" s="143"/>
      <c r="AQ34" s="143"/>
      <c r="AR34" s="143"/>
      <c r="AT34" s="143"/>
      <c r="AU34" s="143"/>
      <c r="AV34" s="143"/>
      <c r="AW34" s="143"/>
      <c r="AX34" s="143"/>
      <c r="AY34" s="143"/>
      <c r="AZ34" s="143"/>
      <c r="BA34" s="143"/>
      <c r="BB34" s="143"/>
      <c r="BC34" s="143"/>
      <c r="BD34" s="143"/>
      <c r="BE34" s="143"/>
      <c r="BF34" s="143"/>
      <c r="BG34" s="143"/>
      <c r="BH34" s="143"/>
      <c r="BI34" s="143"/>
      <c r="BJ34" s="143"/>
      <c r="BK34" s="143"/>
      <c r="BL34" s="143"/>
      <c r="BM34" s="143"/>
      <c r="BN34" s="143"/>
      <c r="BO34" s="143"/>
      <c r="BP34" s="143"/>
      <c r="BQ34" s="143"/>
      <c r="BR34" s="143"/>
      <c r="BS34" s="143"/>
      <c r="BT34" s="143"/>
      <c r="BU34" s="143"/>
      <c r="BV34" s="143"/>
      <c r="BW34" s="143"/>
      <c r="BX34" s="143"/>
      <c r="BY34" s="143"/>
      <c r="BZ34" s="143"/>
      <c r="CA34" s="143"/>
      <c r="CB34" s="143"/>
      <c r="CC34" s="143"/>
      <c r="CD34" s="143"/>
      <c r="CE34" s="143"/>
      <c r="CF34" s="143"/>
    </row>
    <row r="35" spans="2:84" s="138" customFormat="1"/>
    <row r="36" spans="2:84" s="138" customFormat="1" ht="30" customHeight="1">
      <c r="B36" s="147" t="s">
        <v>142</v>
      </c>
      <c r="C36" s="147"/>
      <c r="D36" s="148" t="s">
        <v>110</v>
      </c>
      <c r="E36" s="148" t="str">
        <f>E$8</f>
        <v>2025/26 Rates</v>
      </c>
      <c r="F36" s="148" t="str">
        <f t="shared" ref="F36:AR36" si="20">F$8</f>
        <v>2025/26 Rates</v>
      </c>
      <c r="G36" s="148" t="str">
        <f t="shared" si="20"/>
        <v>2025/26 Rates</v>
      </c>
      <c r="H36" s="148" t="str">
        <f t="shared" si="20"/>
        <v>2025/26 Rates</v>
      </c>
      <c r="I36" s="148" t="str">
        <f t="shared" si="20"/>
        <v>2025/26 Rates</v>
      </c>
      <c r="J36" s="148" t="str">
        <f t="shared" si="20"/>
        <v>2025/26 Rates</v>
      </c>
      <c r="K36" s="148" t="str">
        <f t="shared" si="20"/>
        <v>2025/26 Rates</v>
      </c>
      <c r="L36" s="148" t="str">
        <f t="shared" si="20"/>
        <v>2025/26 Rates</v>
      </c>
      <c r="M36" s="148" t="str">
        <f t="shared" si="20"/>
        <v>2025/26 Rates</v>
      </c>
      <c r="N36" s="148" t="str">
        <f t="shared" si="20"/>
        <v>2025/26 Rates</v>
      </c>
      <c r="O36" s="148" t="str">
        <f t="shared" si="20"/>
        <v>2025/26 Rates</v>
      </c>
      <c r="P36" s="148" t="str">
        <f t="shared" si="20"/>
        <v>2025/26 Rates</v>
      </c>
      <c r="Q36" s="148" t="str">
        <f t="shared" si="20"/>
        <v>2025/26 Rates</v>
      </c>
      <c r="R36" s="148" t="str">
        <f t="shared" si="20"/>
        <v>2025/26 Rates</v>
      </c>
      <c r="S36" s="148" t="str">
        <f t="shared" si="20"/>
        <v>2025/26 Rates</v>
      </c>
      <c r="T36" s="148" t="str">
        <f t="shared" si="20"/>
        <v>2025/26 Rates</v>
      </c>
      <c r="U36" s="148" t="str">
        <f t="shared" si="20"/>
        <v>2025/26 Rates</v>
      </c>
      <c r="V36" s="148" t="str">
        <f t="shared" si="20"/>
        <v>2025/26 Rates</v>
      </c>
      <c r="W36" s="148" t="str">
        <f t="shared" si="20"/>
        <v>2025/26 Rates</v>
      </c>
      <c r="X36" s="148" t="str">
        <f t="shared" si="20"/>
        <v>2025/26 Rates</v>
      </c>
      <c r="Y36" s="148" t="str">
        <f t="shared" si="20"/>
        <v>2025/26 Rates</v>
      </c>
      <c r="Z36" s="148" t="str">
        <f t="shared" si="20"/>
        <v>2025/26 Rates</v>
      </c>
      <c r="AA36" s="148" t="str">
        <f t="shared" si="20"/>
        <v>2025/26 Rates</v>
      </c>
      <c r="AB36" s="148" t="str">
        <f t="shared" si="20"/>
        <v>2025/26 Rates</v>
      </c>
      <c r="AC36" s="148" t="str">
        <f t="shared" si="20"/>
        <v>2025/26 Rates</v>
      </c>
      <c r="AD36" s="148" t="str">
        <f t="shared" si="20"/>
        <v>2025/26 Rates</v>
      </c>
      <c r="AE36" s="148" t="str">
        <f t="shared" si="20"/>
        <v>2025/26 Rates</v>
      </c>
      <c r="AF36" s="148" t="str">
        <f t="shared" si="20"/>
        <v>2025/26 Rates</v>
      </c>
      <c r="AG36" s="148" t="str">
        <f t="shared" si="20"/>
        <v>2025/26 Rates</v>
      </c>
      <c r="AH36" s="148" t="str">
        <f t="shared" si="20"/>
        <v>2025/26 Rates</v>
      </c>
      <c r="AI36" s="148" t="str">
        <f t="shared" si="20"/>
        <v>2025/26 Rates</v>
      </c>
      <c r="AJ36" s="148" t="str">
        <f t="shared" si="20"/>
        <v>2025/26 Rates</v>
      </c>
      <c r="AK36" s="148" t="str">
        <f t="shared" si="20"/>
        <v>2025/26 Rates</v>
      </c>
      <c r="AL36" s="148" t="str">
        <f t="shared" si="20"/>
        <v>2025/26 Rates</v>
      </c>
      <c r="AM36" s="148" t="str">
        <f t="shared" si="20"/>
        <v>2025/26 Rates</v>
      </c>
      <c r="AN36" s="148" t="str">
        <f t="shared" si="20"/>
        <v>2025/26 Rates</v>
      </c>
      <c r="AO36" s="148" t="str">
        <f t="shared" si="20"/>
        <v>2025/26 Rates</v>
      </c>
      <c r="AP36" s="148" t="str">
        <f t="shared" si="20"/>
        <v>2025/26 Rates</v>
      </c>
      <c r="AQ36" s="148" t="str">
        <f t="shared" si="20"/>
        <v>2025/26 Rates</v>
      </c>
      <c r="AR36" s="148" t="str">
        <f t="shared" si="20"/>
        <v>2025/26 Rates</v>
      </c>
      <c r="AT36" s="148" t="str">
        <f>AT$8</f>
        <v>2026/27 Rates</v>
      </c>
      <c r="AU36" s="148" t="str">
        <f t="shared" ref="AU36:CF36" si="21">AU$8</f>
        <v>2026/27 Rates</v>
      </c>
      <c r="AV36" s="148" t="str">
        <f t="shared" si="21"/>
        <v>2026/27 Rates</v>
      </c>
      <c r="AW36" s="148" t="str">
        <f t="shared" si="21"/>
        <v>2026/27 Rates</v>
      </c>
      <c r="AX36" s="148" t="str">
        <f t="shared" si="21"/>
        <v>2026/27 Rates</v>
      </c>
      <c r="AY36" s="148" t="str">
        <f t="shared" si="21"/>
        <v>2026/27 Rates</v>
      </c>
      <c r="AZ36" s="148" t="str">
        <f t="shared" si="21"/>
        <v>2026/27 Rates</v>
      </c>
      <c r="BA36" s="148" t="str">
        <f t="shared" si="21"/>
        <v>2026/27 Rates</v>
      </c>
      <c r="BB36" s="148" t="str">
        <f t="shared" si="21"/>
        <v>2026/27 Rates</v>
      </c>
      <c r="BC36" s="148" t="str">
        <f t="shared" si="21"/>
        <v>2026/27 Rates</v>
      </c>
      <c r="BD36" s="148" t="str">
        <f t="shared" si="21"/>
        <v>2026/27 Rates</v>
      </c>
      <c r="BE36" s="148" t="str">
        <f t="shared" si="21"/>
        <v>2026/27 Rates</v>
      </c>
      <c r="BF36" s="148" t="str">
        <f t="shared" si="21"/>
        <v>2026/27 Rates</v>
      </c>
      <c r="BG36" s="148" t="str">
        <f t="shared" si="21"/>
        <v>2026/27 Rates</v>
      </c>
      <c r="BH36" s="148" t="str">
        <f t="shared" si="21"/>
        <v>2026/27 Rates</v>
      </c>
      <c r="BI36" s="148" t="str">
        <f t="shared" si="21"/>
        <v>2026/27 Rates</v>
      </c>
      <c r="BJ36" s="148" t="str">
        <f t="shared" si="21"/>
        <v>2026/27 Rates</v>
      </c>
      <c r="BK36" s="148" t="str">
        <f t="shared" si="21"/>
        <v>2026/27 Rates</v>
      </c>
      <c r="BL36" s="148" t="str">
        <f t="shared" si="21"/>
        <v>2026/27 Rates</v>
      </c>
      <c r="BM36" s="148" t="str">
        <f t="shared" si="21"/>
        <v>2026/27 Rates</v>
      </c>
      <c r="BN36" s="148" t="str">
        <f t="shared" si="21"/>
        <v>2026/27 Rates</v>
      </c>
      <c r="BO36" s="148" t="str">
        <f t="shared" si="21"/>
        <v>2026/27 Rates</v>
      </c>
      <c r="BP36" s="148" t="str">
        <f t="shared" si="21"/>
        <v>2026/27 Rates</v>
      </c>
      <c r="BQ36" s="148" t="str">
        <f t="shared" si="21"/>
        <v>2026/27 Rates</v>
      </c>
      <c r="BR36" s="148" t="str">
        <f t="shared" si="21"/>
        <v>2026/27 Rates</v>
      </c>
      <c r="BS36" s="148" t="str">
        <f t="shared" si="21"/>
        <v>2026/27 Rates</v>
      </c>
      <c r="BT36" s="148" t="str">
        <f t="shared" si="21"/>
        <v>2026/27 Rates</v>
      </c>
      <c r="BU36" s="148" t="str">
        <f t="shared" si="21"/>
        <v>2026/27 Rates</v>
      </c>
      <c r="BV36" s="148" t="str">
        <f t="shared" si="21"/>
        <v>2026/27 Rates</v>
      </c>
      <c r="BW36" s="148" t="str">
        <f t="shared" si="21"/>
        <v>2026/27 Rates</v>
      </c>
      <c r="BX36" s="148" t="str">
        <f t="shared" si="21"/>
        <v>2026/27 Rates</v>
      </c>
      <c r="BY36" s="148" t="str">
        <f t="shared" si="21"/>
        <v>2026/27 Rates</v>
      </c>
      <c r="BZ36" s="148" t="str">
        <f t="shared" si="21"/>
        <v>2026/27 Rates</v>
      </c>
      <c r="CA36" s="148" t="str">
        <f t="shared" si="21"/>
        <v>2026/27 Rates</v>
      </c>
      <c r="CB36" s="148" t="str">
        <f t="shared" si="21"/>
        <v>2026/27 Rates</v>
      </c>
      <c r="CC36" s="148" t="str">
        <f t="shared" si="21"/>
        <v>2026/27 Rates</v>
      </c>
      <c r="CD36" s="148" t="str">
        <f t="shared" si="21"/>
        <v>2026/27 Rates</v>
      </c>
      <c r="CE36" s="148" t="str">
        <f t="shared" si="21"/>
        <v>2026/27 Rates</v>
      </c>
      <c r="CF36" s="148" t="str">
        <f t="shared" si="21"/>
        <v>2026/27 Rates</v>
      </c>
    </row>
    <row r="37" spans="2:84" s="138" customFormat="1" ht="4.05" customHeight="1"/>
    <row r="38" spans="2:84" s="138" customFormat="1">
      <c r="C38" s="138" t="s">
        <v>391</v>
      </c>
      <c r="D38" s="139" t="s">
        <v>106</v>
      </c>
      <c r="E38" s="140">
        <f t="shared" ref="E38:E43" ca="1" si="22">INDEX(F38:AR38,0,$F$2)</f>
        <v>0</v>
      </c>
      <c r="F38" s="141">
        <f ca="1">IFERROR('Rates Table'!F52*IF(Inputs!$G$29="No",High_Total_Energy,High_Total_Energy_Exist_TOU),0)/100</f>
        <v>0</v>
      </c>
      <c r="G38" s="141">
        <f ca="1">IFERROR('Rates Table'!G52*IF(Inputs!$G$29="No",High_Total_Energy,High_Total_Energy_Exist_TOU),0)/100</f>
        <v>0</v>
      </c>
      <c r="H38" s="141">
        <f ca="1">IFERROR('Rates Table'!H52*IF(Inputs!$G$29="No",High_Total_Energy,High_Total_Energy_Exist_TOU),0)/100</f>
        <v>0</v>
      </c>
      <c r="I38" s="141">
        <f ca="1">IFERROR('Rates Table'!I52*IF(Inputs!$G$29="No",High_Total_Energy,High_Total_Energy_Exist_TOU),0)/100</f>
        <v>0</v>
      </c>
      <c r="J38" s="141">
        <f ca="1">IFERROR('Rates Table'!J52*IF(Inputs!$G$29="No",High_Total_Energy,High_Total_Energy_Exist_TOU),0)/100</f>
        <v>0</v>
      </c>
      <c r="K38" s="141">
        <f ca="1">IFERROR('Rates Table'!K52*IF(Inputs!$G$29="No",High_Total_Energy,High_Total_Energy_Exist_TOU),0)/100</f>
        <v>0</v>
      </c>
      <c r="L38" s="141">
        <f ca="1">IFERROR('Rates Table'!L52*IF(Inputs!$G$29="No",High_Total_Energy,High_Total_Energy_Exist_TOU),0)/100</f>
        <v>0</v>
      </c>
      <c r="M38" s="141">
        <f ca="1">IFERROR('Rates Table'!M52*IF(Inputs!$G$29="No",High_Total_Energy,High_Total_Energy_Exist_TOU),0)/100</f>
        <v>0</v>
      </c>
      <c r="N38" s="141">
        <f ca="1">IFERROR('Rates Table'!N52*IF(Inputs!$G$29="No",High_Total_Energy,High_Total_Energy_Exist_TOU),0)/100</f>
        <v>0</v>
      </c>
      <c r="O38" s="141">
        <f ca="1">IFERROR('Rates Table'!O52*IF(Inputs!$G$29="No",High_Total_Energy,High_Total_Energy_Exist_TOU),0)/100</f>
        <v>0</v>
      </c>
      <c r="P38" s="141">
        <f ca="1">IFERROR('Rates Table'!P52*IF(Inputs!$G$29="No",High_Total_Energy,High_Total_Energy_Exist_TOU),0)/100</f>
        <v>0</v>
      </c>
      <c r="Q38" s="141">
        <f ca="1">IFERROR('Rates Table'!Q52*IF(Inputs!$G$29="No",High_Total_Energy,High_Total_Energy_Exist_TOU),0)/100</f>
        <v>0</v>
      </c>
      <c r="R38" s="141">
        <f ca="1">IFERROR('Rates Table'!R52*IF(Inputs!$G$29="No",High_Total_Energy,High_Total_Energy_Exist_TOU),0)/100</f>
        <v>0</v>
      </c>
      <c r="S38" s="141">
        <f ca="1">IFERROR('Rates Table'!S52*IF(Inputs!$G$29="No",High_Total_Energy,High_Total_Energy_Exist_TOU),0)/100</f>
        <v>0</v>
      </c>
      <c r="T38" s="141">
        <f ca="1">IFERROR('Rates Table'!T52*IF(Inputs!$G$29="No",High_Total_Energy,High_Total_Energy_Exist_TOU),0)/100</f>
        <v>0</v>
      </c>
      <c r="U38" s="141">
        <f ca="1">IFERROR('Rates Table'!U52*IF(Inputs!$G$29="No",High_Total_Energy,High_Total_Energy_Exist_TOU),0)/100</f>
        <v>0</v>
      </c>
      <c r="V38" s="141">
        <f ca="1">IFERROR('Rates Table'!V52*IF(Inputs!$G$29="No",High_Total_Energy,High_Total_Energy_Exist_TOU),0)/100</f>
        <v>0</v>
      </c>
      <c r="W38" s="141">
        <f ca="1">IFERROR('Rates Table'!W52*IF(Inputs!$G$29="No",High_Total_Energy,High_Total_Energy_Exist_TOU),0)/100</f>
        <v>0</v>
      </c>
      <c r="X38" s="141">
        <f ca="1">IF(OR(E2="Nightsave Large",E2="Nightsave Small"),E38,IFERROR('Rates Table'!X52*IF(Inputs!$G$29="No",High_Total_Energy,High_Total_Energy_Exist_TOU),0)/100)</f>
        <v>0</v>
      </c>
      <c r="Y38" s="141">
        <f ca="1">IFERROR('Rates Table'!Y52*IF(Inputs!$G$29="No",High_Total_Energy,High_Total_Energy_Exist_TOU),0)/100</f>
        <v>0</v>
      </c>
      <c r="Z38" s="141">
        <f ca="1">IFERROR('Rates Table'!Z52*IF(Inputs!$G$29="No",High_Total_Energy,High_Total_Energy_Exist_TOU),0)/100</f>
        <v>0</v>
      </c>
      <c r="AA38" s="141">
        <f ca="1">IFERROR('Rates Table'!AA52*IF(Inputs!$G$29="No",High_Total_Energy,High_Total_Energy_Exist_TOU),0)/100</f>
        <v>0</v>
      </c>
      <c r="AB38" s="141">
        <f ca="1">IFERROR('Rates Table'!AB52*IF(Inputs!$G$29="No",High_Total_Energy,High_Total_Energy_Exist_TOU),0)/100</f>
        <v>0</v>
      </c>
      <c r="AC38" s="141">
        <f ca="1">IFERROR('Rates Table'!AC52*IF(Inputs!$G$29="No",High_Total_Energy,High_Total_Energy_Exist_TOU),0)/100</f>
        <v>0</v>
      </c>
      <c r="AD38" s="141">
        <f ca="1">IFERROR('Rates Table'!AD52*IF(Inputs!$G$29="No",High_Total_Energy,High_Total_Energy_Exist_TOU),0)/100</f>
        <v>0</v>
      </c>
      <c r="AE38" s="141">
        <f ca="1">IFERROR('Rates Table'!AE52*IF(Inputs!$G$29="No",High_Total_Energy,High_Total_Energy_Exist_TOU),0)/100</f>
        <v>0</v>
      </c>
      <c r="AF38" s="141">
        <f ca="1">IFERROR('Rates Table'!AF52*IF(Inputs!$G$29="No",High_Total_Energy,High_Total_Energy_Exist_TOU),0)/100</f>
        <v>0</v>
      </c>
      <c r="AG38" s="141">
        <f ca="1">IFERROR('Rates Table'!AG52*IF(Inputs!$G$29="No",High_Total_Energy,High_Total_Energy_Exist_TOU),0)/100</f>
        <v>0</v>
      </c>
      <c r="AH38" s="141">
        <f ca="1">IFERROR('Rates Table'!AH52*IF(Inputs!$G$29="No",High_Total_Energy,High_Total_Energy_Exist_TOU),0)/100</f>
        <v>0</v>
      </c>
      <c r="AI38" s="141">
        <f ca="1">IFERROR('Rates Table'!AI52*IF(Inputs!$G$29="No",High_Total_Energy,High_Total_Energy_Exist_TOU),0)/100</f>
        <v>0</v>
      </c>
      <c r="AJ38" s="141">
        <f ca="1">IFERROR('Rates Table'!AJ52*IF(Inputs!$G$29="No",High_Total_Energy,High_Total_Energy_Exist_TOU),0)/100</f>
        <v>0</v>
      </c>
      <c r="AK38" s="141">
        <f ca="1">IFERROR('Rates Table'!AK52*IF(Inputs!$G$29="No",High_Total_Energy,High_Total_Energy_Exist_TOU),0)/100</f>
        <v>0</v>
      </c>
      <c r="AL38" s="141">
        <f ca="1">IFERROR('Rates Table'!AL52*IF(Inputs!$G$29="No",High_Total_Energy,High_Total_Energy_Exist_TOU),0)/100</f>
        <v>0</v>
      </c>
      <c r="AM38" s="141">
        <f ca="1">IFERROR('Rates Table'!AM52*IF(Inputs!$G$29="No",High_Total_Energy,High_Total_Energy_Exist_TOU),0)/100</f>
        <v>0</v>
      </c>
      <c r="AN38" s="141">
        <f ca="1">IFERROR('Rates Table'!AN52*IF(Inputs!$G$29="No",High_Total_Energy,High_Total_Energy_Exist_TOU),0)/100</f>
        <v>0</v>
      </c>
      <c r="AO38" s="141">
        <f ca="1">IFERROR('Rates Table'!AO52*IF(Inputs!$G$29="No",High_Total_Energy,High_Total_Energy_Exist_TOU),0)/100</f>
        <v>0</v>
      </c>
      <c r="AP38" s="141">
        <f ca="1">IFERROR('Rates Table'!AP52*IF(Inputs!$G$29="No",High_Total_Energy,High_Total_Energy_Exist_TOU),0)/100</f>
        <v>0</v>
      </c>
      <c r="AQ38" s="141">
        <f ca="1">IFERROR('Rates Table'!AQ52*IF(Inputs!$G$29="No",High_Total_Energy,High_Total_Energy_Exist_TOU),0)/100</f>
        <v>0</v>
      </c>
      <c r="AR38" s="141">
        <f ca="1">IFERROR('Rates Table'!AR52*IF(Inputs!$G$29="No",High_Total_Energy,High_Total_Energy_Exist_TOU),0)/100</f>
        <v>0</v>
      </c>
      <c r="AT38" s="140">
        <f t="shared" ref="AT38:AT43" ca="1" si="23">INDEX(AU38:CF38,0,Selected_Tariff_ID)</f>
        <v>0</v>
      </c>
      <c r="AU38" s="141">
        <f ca="1">IFERROR('Rates Table'!AU52*IF(Inputs!$G$29="No",High_Total_Energy,High_Total_Energy_New_TOU),0)/100</f>
        <v>0</v>
      </c>
      <c r="AV38" s="141">
        <f ca="1">IFERROR('Rates Table'!AV52*IF(Inputs!$G$29="No",High_Total_Energy,High_Total_Energy_New_TOU),0)/100</f>
        <v>0</v>
      </c>
      <c r="AW38" s="141">
        <f ca="1">IFERROR('Rates Table'!AW52*IF(Inputs!$G$29="No",High_Total_Energy,High_Total_Energy_New_TOU),0)/100</f>
        <v>0</v>
      </c>
      <c r="AX38" s="141">
        <f ca="1">IFERROR('Rates Table'!AX52*IF(Inputs!$G$29="No",High_Total_Energy,High_Total_Energy_New_TOU),0)/100</f>
        <v>0</v>
      </c>
      <c r="AY38" s="141">
        <f ca="1">IFERROR('Rates Table'!AY52*IF(Inputs!$G$29="No",High_Total_Energy,High_Total_Energy_New_TOU),0)/100</f>
        <v>0</v>
      </c>
      <c r="AZ38" s="141">
        <f ca="1">IFERROR('Rates Table'!AZ52*IF(Inputs!$G$29="No",High_Total_Energy,High_Total_Energy_New_TOU),0)/100</f>
        <v>0</v>
      </c>
      <c r="BA38" s="141">
        <f ca="1">IFERROR('Rates Table'!BA52*IF(Inputs!$G$29="No",High_Total_Energy,High_Total_Energy_New_TOU),0)/100</f>
        <v>0</v>
      </c>
      <c r="BB38" s="141">
        <f ca="1">IFERROR('Rates Table'!BB52*IF(Inputs!$G$29="No",High_Total_Energy,High_Total_Energy_New_TOU),0)/100</f>
        <v>0</v>
      </c>
      <c r="BC38" s="141">
        <f ca="1">IFERROR('Rates Table'!BC52*IF(Inputs!$G$29="No",High_Total_Energy,High_Total_Energy_New_TOU),0)/100</f>
        <v>0</v>
      </c>
      <c r="BD38" s="141">
        <f ca="1">IFERROR('Rates Table'!BD52*IF(Inputs!$G$29="No",High_Total_Energy,High_Total_Energy_New_TOU),0)/100</f>
        <v>0</v>
      </c>
      <c r="BE38" s="141">
        <f ca="1">IFERROR('Rates Table'!BE52*IF(Inputs!$G$29="No",High_Total_Energy,High_Total_Energy_New_TOU),0)/100</f>
        <v>0</v>
      </c>
      <c r="BF38" s="141">
        <f ca="1">IFERROR('Rates Table'!BF52*IF(Inputs!$G$29="No",High_Total_Energy,High_Total_Energy_New_TOU),0)/100</f>
        <v>0</v>
      </c>
      <c r="BG38" s="141">
        <f ca="1">IFERROR('Rates Table'!BG52*IF(Inputs!$G$29="No",High_Total_Energy,High_Total_Energy_New_TOU),0)/100</f>
        <v>0</v>
      </c>
      <c r="BH38" s="141">
        <f ca="1">IFERROR('Rates Table'!BH52*IF(Inputs!$G$29="No",High_Total_Energy,High_Total_Energy_New_TOU),0)/100</f>
        <v>0</v>
      </c>
      <c r="BI38" s="141">
        <f ca="1">IFERROR('Rates Table'!BI52*IF(Inputs!$G$29="No",High_Total_Energy,High_Total_Energy_New_TOU),0)/100</f>
        <v>0</v>
      </c>
      <c r="BJ38" s="141">
        <f ca="1">IFERROR('Rates Table'!BJ52*IF(Inputs!$G$29="No",High_Total_Energy,High_Total_Energy_New_TOU),0)/100</f>
        <v>0</v>
      </c>
      <c r="BK38" s="141">
        <f ca="1">IFERROR('Rates Table'!BK52*IF(Inputs!$G$29="No",High_Total_Energy,High_Total_Energy_New_TOU),0)/100</f>
        <v>0</v>
      </c>
      <c r="BL38" s="141">
        <f ca="1">IFERROR('Rates Table'!BL52*IF(Inputs!$G$29="No",High_Total_Energy,High_Total_Energy_New_TOU),0)/100</f>
        <v>0</v>
      </c>
      <c r="BM38" s="141">
        <f ca="1">IFERROR('Rates Table'!BM52*IF(Inputs!$G$29="No",High_Total_Energy,High_Total_Energy_New_TOU),0)/100</f>
        <v>0</v>
      </c>
      <c r="BN38" s="141">
        <f ca="1">IFERROR('Rates Table'!BN52*IF(Inputs!$G$29="No",High_Total_Energy,High_Total_Energy_New_TOU),0)/100</f>
        <v>0</v>
      </c>
      <c r="BO38" s="141">
        <f ca="1">IFERROR('Rates Table'!BO52*IF(Inputs!$G$29="No",High_Total_Energy,High_Total_Energy_New_TOU),0)/100</f>
        <v>0</v>
      </c>
      <c r="BP38" s="141">
        <f ca="1">IFERROR('Rates Table'!BP52*IF(Inputs!$G$29="No",High_Total_Energy,High_Total_Energy_New_TOU),0)/100</f>
        <v>0</v>
      </c>
      <c r="BQ38" s="141">
        <f ca="1">IFERROR('Rates Table'!BQ52*IF(Inputs!$G$29="No",High_Total_Energy,High_Total_Energy_New_TOU),0)/100</f>
        <v>0</v>
      </c>
      <c r="BR38" s="141">
        <f ca="1">IFERROR('Rates Table'!BR52*IF(Inputs!$G$29="No",High_Total_Energy,High_Total_Energy_New_TOU),0)/100</f>
        <v>0</v>
      </c>
      <c r="BS38" s="141">
        <f ca="1">IFERROR('Rates Table'!BS52*IF(Inputs!$G$29="No",High_Total_Energy,High_Total_Energy_New_TOU),0)/100</f>
        <v>0</v>
      </c>
      <c r="BT38" s="141">
        <f ca="1">IFERROR('Rates Table'!BT52*IF(Inputs!$G$29="No",High_Total_Energy,High_Total_Energy_New_TOU),0)/100</f>
        <v>0</v>
      </c>
      <c r="BU38" s="141">
        <f ca="1">IFERROR('Rates Table'!BU52*IF(Inputs!$G$29="No",High_Total_Energy,High_Total_Energy_New_TOU),0)/100</f>
        <v>0</v>
      </c>
      <c r="BV38" s="141">
        <f ca="1">IFERROR('Rates Table'!BV52*IF(Inputs!$G$29="No",High_Total_Energy,High_Total_Energy_New_TOU),0)/100</f>
        <v>0</v>
      </c>
      <c r="BW38" s="141">
        <f ca="1">IFERROR('Rates Table'!BW52*IF(Inputs!$G$29="No",High_Total_Energy,High_Total_Energy_New_TOU),0)/100</f>
        <v>0</v>
      </c>
      <c r="BX38" s="141">
        <f ca="1">IFERROR('Rates Table'!BX52*IF(Inputs!$G$29="No",High_Total_Energy,High_Total_Energy_New_TOU),0)/100</f>
        <v>0</v>
      </c>
      <c r="BY38" s="141">
        <f ca="1">IFERROR('Rates Table'!BY52*IF(Inputs!$G$29="No",High_Total_Energy,High_Total_Energy_New_TOU),0)/100</f>
        <v>0</v>
      </c>
      <c r="BZ38" s="141">
        <f ca="1">IFERROR('Rates Table'!BZ52*IF(Inputs!$G$29="No",High_Total_Energy,High_Total_Energy_New_TOU),0)/100</f>
        <v>0</v>
      </c>
      <c r="CA38" s="141">
        <f ca="1">IFERROR('Rates Table'!CA52*IF(Inputs!$G$29="No",High_Total_Energy,High_Total_Energy_New_TOU),0)/100</f>
        <v>0</v>
      </c>
      <c r="CB38" s="141">
        <f ca="1">IFERROR('Rates Table'!CB52*IF(Inputs!$G$29="No",High_Total_Energy,High_Total_Energy_New_TOU),0)/100</f>
        <v>0</v>
      </c>
      <c r="CC38" s="141">
        <f ca="1">IFERROR('Rates Table'!CC52*IF(Inputs!$G$29="No",High_Total_Energy,High_Total_Energy_New_TOU),0)/100</f>
        <v>0</v>
      </c>
      <c r="CD38" s="141">
        <f ca="1">IFERROR('Rates Table'!CD52*IF(Inputs!$G$29="No",High_Total_Energy,High_Total_Energy_New_TOU),0)/100</f>
        <v>0</v>
      </c>
      <c r="CE38" s="141">
        <f ca="1">IFERROR('Rates Table'!CE52*IF(Inputs!$G$29="No",High_Total_Energy,High_Total_Energy_New_TOU),0)/100</f>
        <v>0</v>
      </c>
      <c r="CF38" s="141">
        <f ca="1">IFERROR('Rates Table'!CF52*IF(Inputs!$G$29="No",High_Total_Energy,High_Total_Energy_New_TOU),0)/100</f>
        <v>0</v>
      </c>
    </row>
    <row r="39" spans="2:84" s="138" customFormat="1">
      <c r="C39" s="138" t="s">
        <v>116</v>
      </c>
      <c r="D39" s="139" t="s">
        <v>109</v>
      </c>
      <c r="E39" s="140">
        <f t="shared" ca="1" si="22"/>
        <v>0</v>
      </c>
      <c r="F39" s="141">
        <f ca="1">IFERROR('Rates Table'!F53*IF(Inputs!$G$29="No",High_Excess_RE,High_Excess_RE_Exist_TOU),0)/100</f>
        <v>0</v>
      </c>
      <c r="G39" s="141">
        <f ca="1">IFERROR('Rates Table'!G53*IF(Inputs!$G$29="No",High_Excess_RE,High_Excess_RE_Exist_TOU),0)/100</f>
        <v>0</v>
      </c>
      <c r="H39" s="141">
        <f ca="1">IFERROR('Rates Table'!H53*IF(Inputs!$G$29="No",High_Excess_RE,High_Excess_RE_Exist_TOU),0)/100</f>
        <v>0</v>
      </c>
      <c r="I39" s="141">
        <f ca="1">IFERROR('Rates Table'!I53*IF(Inputs!$G$29="No",High_Excess_RE,High_Excess_RE_Exist_TOU),0)/100</f>
        <v>0</v>
      </c>
      <c r="J39" s="141">
        <f ca="1">IFERROR('Rates Table'!J53*IF(Inputs!$G$29="No",High_Excess_RE,High_Excess_RE_Exist_TOU),0)/100</f>
        <v>0</v>
      </c>
      <c r="K39" s="141">
        <f ca="1">IFERROR('Rates Table'!K53*IF(Inputs!$G$29="No",High_Excess_RE,High_Excess_RE_Exist_TOU),0)/100</f>
        <v>0</v>
      </c>
      <c r="L39" s="141">
        <f ca="1">IFERROR('Rates Table'!L53*IF(Inputs!$G$29="No",High_Excess_RE,High_Excess_RE_Exist_TOU),0)/100</f>
        <v>0</v>
      </c>
      <c r="M39" s="141">
        <f ca="1">IFERROR('Rates Table'!M53*IF(Inputs!$G$29="No",High_Excess_RE,High_Excess_RE_Exist_TOU),0)/100</f>
        <v>0</v>
      </c>
      <c r="N39" s="141">
        <f ca="1">IFERROR('Rates Table'!N53*IF(Inputs!$G$29="No",High_Excess_RE,High_Excess_RE_Exist_TOU),0)/100</f>
        <v>0</v>
      </c>
      <c r="O39" s="141">
        <f ca="1">IFERROR('Rates Table'!O53*IF(Inputs!$G$29="No",High_Excess_RE,High_Excess_RE_Exist_TOU),0)/100</f>
        <v>0</v>
      </c>
      <c r="P39" s="141">
        <f ca="1">IFERROR('Rates Table'!P53*IF(Inputs!$G$29="No",High_Excess_RE,High_Excess_RE_Exist_TOU),0)/100</f>
        <v>0</v>
      </c>
      <c r="Q39" s="141">
        <f ca="1">IFERROR('Rates Table'!Q53*IF(Inputs!$G$29="No",High_Excess_RE,High_Excess_RE_Exist_TOU),0)/100</f>
        <v>0</v>
      </c>
      <c r="R39" s="141">
        <f ca="1">IFERROR('Rates Table'!R53*IF(Inputs!$G$29="No",High_Excess_RE,High_Excess_RE_Exist_TOU),0)/100</f>
        <v>0</v>
      </c>
      <c r="S39" s="141">
        <f ca="1">IFERROR('Rates Table'!S53*IF(Inputs!$G$29="No",High_Excess_RE,High_Excess_RE_Exist_TOU),0)/100</f>
        <v>0</v>
      </c>
      <c r="T39" s="141">
        <f ca="1">IFERROR('Rates Table'!T53*IF(Inputs!$G$29="No",High_Excess_RE,High_Excess_RE_Exist_TOU),0)/100</f>
        <v>0</v>
      </c>
      <c r="U39" s="141">
        <f ca="1">IFERROR('Rates Table'!U53*IF(Inputs!$G$29="No",High_Excess_RE,High_Excess_RE_Exist_TOU),0)/100</f>
        <v>0</v>
      </c>
      <c r="V39" s="141">
        <f ca="1">IFERROR('Rates Table'!V53*IF(Inputs!$G$29="No",High_Excess_RE,High_Excess_RE_Exist_TOU),0)/100</f>
        <v>0</v>
      </c>
      <c r="W39" s="141">
        <f ca="1">IFERROR('Rates Table'!W53*IF(Inputs!$G$29="No",High_Excess_RE,High_Excess_RE_Exist_TOU),0)/100</f>
        <v>0</v>
      </c>
      <c r="X39" s="141">
        <f ca="1">IF(OR(E2="Nightsave Large",E2="Nightsave Small"),E39,IFERROR('Rates Table'!X53*IF(Inputs!$G$29="No",High_Excess_RE,High_Excess_RE_Exist_TOU),0)/100)</f>
        <v>0</v>
      </c>
      <c r="Y39" s="141">
        <f ca="1">IFERROR('Rates Table'!Y53*IF(Inputs!$G$29="No",High_Excess_RE,High_Excess_RE_Exist_TOU),0)/100</f>
        <v>0</v>
      </c>
      <c r="Z39" s="141">
        <f ca="1">IFERROR('Rates Table'!Z53*IF(Inputs!$G$29="No",High_Excess_RE,High_Excess_RE_Exist_TOU),0)/100</f>
        <v>0</v>
      </c>
      <c r="AA39" s="141">
        <f ca="1">IFERROR('Rates Table'!AA53*IF(Inputs!$G$29="No",High_Excess_RE,High_Excess_RE_Exist_TOU),0)/100</f>
        <v>0</v>
      </c>
      <c r="AB39" s="141">
        <f ca="1">IFERROR('Rates Table'!AB53*IF(Inputs!$G$29="No",High_Excess_RE,High_Excess_RE_Exist_TOU),0)/100</f>
        <v>0</v>
      </c>
      <c r="AC39" s="141">
        <f ca="1">IFERROR('Rates Table'!AC53*IF(Inputs!$G$29="No",High_Excess_RE,High_Excess_RE_Exist_TOU),0)/100</f>
        <v>0</v>
      </c>
      <c r="AD39" s="141">
        <f ca="1">IFERROR('Rates Table'!AD53*IF(Inputs!$G$29="No",High_Excess_RE,High_Excess_RE_Exist_TOU),0)/100</f>
        <v>0</v>
      </c>
      <c r="AE39" s="141">
        <f ca="1">IFERROR('Rates Table'!AE53*IF(Inputs!$G$29="No",High_Excess_RE,High_Excess_RE_Exist_TOU),0)/100</f>
        <v>0</v>
      </c>
      <c r="AF39" s="141">
        <f ca="1">IFERROR('Rates Table'!AF53*IF(Inputs!$G$29="No",High_Excess_RE,High_Excess_RE_Exist_TOU),0)/100</f>
        <v>0</v>
      </c>
      <c r="AG39" s="141">
        <f>IFERROR('Rates Table'!AG53*IF(Inputs!$G$29="No",High_Excess_RE,High_Excess_RE_Exist_TOU),0)/100</f>
        <v>0</v>
      </c>
      <c r="AH39" s="141">
        <f ca="1">IFERROR('Rates Table'!AH53*IF(Inputs!$G$29="No",High_Excess_RE,High_Excess_RE_Exist_TOU),0)/100</f>
        <v>0</v>
      </c>
      <c r="AI39" s="141">
        <f ca="1">IFERROR('Rates Table'!AI53*IF(Inputs!$G$29="No",High_Excess_RE,High_Excess_RE_Exist_TOU),0)/100</f>
        <v>0</v>
      </c>
      <c r="AJ39" s="141">
        <f ca="1">IFERROR('Rates Table'!AJ53*IF(Inputs!$G$29="No",High_Excess_RE,High_Excess_RE_Exist_TOU),0)/100</f>
        <v>0</v>
      </c>
      <c r="AK39" s="141">
        <f ca="1">IFERROR('Rates Table'!AK53*IF(Inputs!$G$29="No",High_Excess_RE,High_Excess_RE_Exist_TOU),0)/100</f>
        <v>0</v>
      </c>
      <c r="AL39" s="141">
        <f ca="1">IFERROR('Rates Table'!AL53*IF(Inputs!$G$29="No",High_Excess_RE,High_Excess_RE_Exist_TOU),0)/100</f>
        <v>0</v>
      </c>
      <c r="AM39" s="141">
        <f ca="1">IFERROR('Rates Table'!AM53*IF(Inputs!$G$29="No",High_Excess_RE,High_Excess_RE_Exist_TOU),0)/100</f>
        <v>0</v>
      </c>
      <c r="AN39" s="141">
        <f ca="1">IFERROR('Rates Table'!AN53*IF(Inputs!$G$29="No",High_Excess_RE,High_Excess_RE_Exist_TOU),0)/100</f>
        <v>0</v>
      </c>
      <c r="AO39" s="141">
        <f ca="1">IFERROR('Rates Table'!AO53*IF(Inputs!$G$29="No",High_Excess_RE,High_Excess_RE_Exist_TOU),0)/100</f>
        <v>0</v>
      </c>
      <c r="AP39" s="141">
        <f ca="1">IFERROR('Rates Table'!AP53*IF(Inputs!$G$29="No",High_Excess_RE,High_Excess_RE_Exist_TOU),0)/100</f>
        <v>0</v>
      </c>
      <c r="AQ39" s="141">
        <f ca="1">IFERROR('Rates Table'!AQ53*IF(Inputs!$G$29="No",High_Excess_RE,High_Excess_RE_Exist_TOU),0)/100</f>
        <v>0</v>
      </c>
      <c r="AR39" s="141">
        <f ca="1">IFERROR('Rates Table'!AR53*IF(Inputs!$G$29="No",High_Excess_RE,High_Excess_RE_Exist_TOU),0)/100</f>
        <v>0</v>
      </c>
      <c r="AT39" s="140">
        <f t="shared" ca="1" si="23"/>
        <v>0</v>
      </c>
      <c r="AU39" s="141">
        <f ca="1">IFERROR('Rates Table'!AU53*IF(Inputs!$G$29="No",High_Excess_RE,High_Excess_RE_New_TOU),0)/100</f>
        <v>0</v>
      </c>
      <c r="AV39" s="141">
        <f ca="1">IFERROR('Rates Table'!AV53*IF(Inputs!$G$29="No",High_Excess_RE,High_Excess_RE_New_TOU),0)/100</f>
        <v>0</v>
      </c>
      <c r="AW39" s="141">
        <f ca="1">IFERROR('Rates Table'!AW53*IF(Inputs!$G$29="No",High_Excess_RE,High_Excess_RE_New_TOU),0)/100</f>
        <v>0</v>
      </c>
      <c r="AX39" s="141">
        <f ca="1">IFERROR('Rates Table'!AX53*IF(Inputs!$G$29="No",High_Excess_RE,High_Excess_RE_New_TOU),0)/100</f>
        <v>0</v>
      </c>
      <c r="AY39" s="141">
        <f ca="1">IFERROR('Rates Table'!AY53*IF(Inputs!$G$29="No",High_Excess_RE,High_Excess_RE_New_TOU),0)/100</f>
        <v>0</v>
      </c>
      <c r="AZ39" s="141">
        <f ca="1">IFERROR('Rates Table'!AZ53*IF(Inputs!$G$29="No",High_Excess_RE,High_Excess_RE_New_TOU),0)/100</f>
        <v>0</v>
      </c>
      <c r="BA39" s="141">
        <f ca="1">IFERROR('Rates Table'!BA53*IF(Inputs!$G$29="No",High_Excess_RE,High_Excess_RE_New_TOU),0)/100</f>
        <v>0</v>
      </c>
      <c r="BB39" s="141">
        <f ca="1">IFERROR('Rates Table'!BB53*IF(Inputs!$G$29="No",High_Excess_RE,High_Excess_RE_New_TOU),0)/100</f>
        <v>0</v>
      </c>
      <c r="BC39" s="141">
        <f ca="1">IFERROR('Rates Table'!BC53*IF(Inputs!$G$29="No",High_Excess_RE,High_Excess_RE_New_TOU),0)/100</f>
        <v>0</v>
      </c>
      <c r="BD39" s="141">
        <f ca="1">IFERROR('Rates Table'!BD53*IF(Inputs!$G$29="No",High_Excess_RE,High_Excess_RE_New_TOU),0)/100</f>
        <v>0</v>
      </c>
      <c r="BE39" s="141">
        <f ca="1">IFERROR('Rates Table'!BE53*IF(Inputs!$G$29="No",High_Excess_RE,High_Excess_RE_New_TOU),0)/100</f>
        <v>0</v>
      </c>
      <c r="BF39" s="141">
        <f ca="1">IFERROR('Rates Table'!BF53*IF(Inputs!$G$29="No",High_Excess_RE,High_Excess_RE_New_TOU),0)/100</f>
        <v>0</v>
      </c>
      <c r="BG39" s="141">
        <f ca="1">IFERROR('Rates Table'!BG53*IF(Inputs!$G$29="No",High_Excess_RE,High_Excess_RE_New_TOU),0)/100</f>
        <v>0</v>
      </c>
      <c r="BH39" s="141">
        <f ca="1">IFERROR('Rates Table'!BH53*IF(Inputs!$G$29="No",High_Excess_RE,High_Excess_RE_New_TOU),0)/100</f>
        <v>0</v>
      </c>
      <c r="BI39" s="141">
        <f ca="1">IFERROR('Rates Table'!BI53*IF(Inputs!$G$29="No",High_Excess_RE,High_Excess_RE_New_TOU),0)/100</f>
        <v>0</v>
      </c>
      <c r="BJ39" s="141">
        <f ca="1">IFERROR('Rates Table'!BJ53*IF(Inputs!$G$29="No",High_Excess_RE,High_Excess_RE_New_TOU),0)/100</f>
        <v>0</v>
      </c>
      <c r="BK39" s="141">
        <f ca="1">IFERROR('Rates Table'!BK53*IF(Inputs!$G$29="No",High_Excess_RE,High_Excess_RE_New_TOU),0)/100</f>
        <v>0</v>
      </c>
      <c r="BL39" s="141">
        <f ca="1">IFERROR('Rates Table'!BL53*IF(Inputs!$G$29="No",High_Excess_RE,High_Excess_RE_New_TOU),0)/100</f>
        <v>0</v>
      </c>
      <c r="BM39" s="141">
        <f>IFERROR('Rates Table'!BM53*IF(Inputs!$G$29="No",High_Excess_RE,High_Excess_RE_New_TOU),0)/100</f>
        <v>0</v>
      </c>
      <c r="BN39" s="141">
        <f ca="1">IFERROR('Rates Table'!BN53*IF(Inputs!$G$29="No",High_Excess_RE,High_Excess_RE_New_TOU),0)/100</f>
        <v>0</v>
      </c>
      <c r="BO39" s="141">
        <f ca="1">IFERROR('Rates Table'!BO53*IF(Inputs!$G$29="No",High_Excess_RE,High_Excess_RE_New_TOU),0)/100</f>
        <v>0</v>
      </c>
      <c r="BP39" s="141">
        <f ca="1">IFERROR('Rates Table'!BP53*IF(Inputs!$G$29="No",High_Excess_RE,High_Excess_RE_New_TOU),0)/100</f>
        <v>0</v>
      </c>
      <c r="BQ39" s="141">
        <f ca="1">IFERROR('Rates Table'!BQ53*IF(Inputs!$G$29="No",High_Excess_RE,High_Excess_RE_New_TOU),0)/100</f>
        <v>0</v>
      </c>
      <c r="BR39" s="141">
        <f ca="1">IFERROR('Rates Table'!BR53*IF(Inputs!$G$29="No",High_Excess_RE,High_Excess_RE_New_TOU),0)/100</f>
        <v>0</v>
      </c>
      <c r="BS39" s="141">
        <f ca="1">IFERROR('Rates Table'!BS53*IF(Inputs!$G$29="No",High_Excess_RE,High_Excess_RE_New_TOU),0)/100</f>
        <v>0</v>
      </c>
      <c r="BT39" s="141">
        <f ca="1">IFERROR('Rates Table'!BT53*IF(Inputs!$G$29="No",High_Excess_RE,High_Excess_RE_New_TOU),0)/100</f>
        <v>0</v>
      </c>
      <c r="BU39" s="141">
        <f ca="1">IFERROR('Rates Table'!BU53*IF(Inputs!$G$29="No",High_Excess_RE,High_Excess_RE_New_TOU),0)/100</f>
        <v>0</v>
      </c>
      <c r="BV39" s="141">
        <f>IFERROR('Rates Table'!BV53*IF(Inputs!$G$29="No",High_Excess_RE,High_Excess_RE_New_TOU),0)/100</f>
        <v>0</v>
      </c>
      <c r="BW39" s="141">
        <f ca="1">IFERROR('Rates Table'!BW53*IF(Inputs!$G$29="No",High_Excess_RE,High_Excess_RE_New_TOU),0)/100</f>
        <v>0</v>
      </c>
      <c r="BX39" s="141">
        <f ca="1">IFERROR('Rates Table'!BX53*IF(Inputs!$G$29="No",High_Excess_RE,High_Excess_RE_New_TOU),0)/100</f>
        <v>0</v>
      </c>
      <c r="BY39" s="141">
        <f ca="1">IFERROR('Rates Table'!BY53*IF(Inputs!$G$29="No",High_Excess_RE,High_Excess_RE_New_TOU),0)/100</f>
        <v>0</v>
      </c>
      <c r="BZ39" s="141">
        <f ca="1">IFERROR('Rates Table'!BZ53*IF(Inputs!$G$29="No",High_Excess_RE,High_Excess_RE_New_TOU),0)/100</f>
        <v>0</v>
      </c>
      <c r="CA39" s="141">
        <f ca="1">IFERROR('Rates Table'!CA53*IF(Inputs!$G$29="No",High_Excess_RE,High_Excess_RE_New_TOU),0)/100</f>
        <v>0</v>
      </c>
      <c r="CB39" s="141">
        <f ca="1">IFERROR('Rates Table'!CB53*IF(Inputs!$G$29="No",High_Excess_RE,High_Excess_RE_New_TOU),0)/100</f>
        <v>0</v>
      </c>
      <c r="CC39" s="141">
        <f ca="1">IFERROR('Rates Table'!CC53*IF(Inputs!$G$29="No",High_Excess_RE,High_Excess_RE_New_TOU),0)/100</f>
        <v>0</v>
      </c>
      <c r="CD39" s="141">
        <f ca="1">IFERROR('Rates Table'!CD53*IF(Inputs!$G$29="No",High_Excess_RE,High_Excess_RE_New_TOU),0)/100</f>
        <v>0</v>
      </c>
      <c r="CE39" s="141">
        <f ca="1">IFERROR('Rates Table'!CE53*IF(Inputs!$G$29="No",High_Excess_RE,High_Excess_RE_New_TOU),0)/100</f>
        <v>0</v>
      </c>
      <c r="CF39" s="141">
        <f ca="1">IFERROR('Rates Table'!CF53*IF(Inputs!$G$29="No",High_Excess_RE,High_Excess_RE_New_TOU),0)/100</f>
        <v>0</v>
      </c>
    </row>
    <row r="40" spans="2:84" s="138" customFormat="1">
      <c r="C40" s="138" t="s">
        <v>124</v>
      </c>
      <c r="D40" s="139" t="s">
        <v>106</v>
      </c>
      <c r="E40" s="140">
        <f t="shared" ca="1" si="22"/>
        <v>0</v>
      </c>
      <c r="F40" s="141">
        <f ca="1">IFERROR('Rates Table'!F54*IF(Inputs!$G$29="No",High_Total_Energy,High_Total_Energy_Exist_TOU),0)/100</f>
        <v>0</v>
      </c>
      <c r="G40" s="141">
        <f ca="1">IFERROR('Rates Table'!G54*IF(Inputs!$G$29="No",High_Total_Energy,High_Total_Energy_Exist_TOU),0)/100</f>
        <v>0</v>
      </c>
      <c r="H40" s="141">
        <f ca="1">IFERROR('Rates Table'!H54*IF(Inputs!$G$29="No",High_Total_Energy,High_Total_Energy_Exist_TOU),0)/100</f>
        <v>0</v>
      </c>
      <c r="I40" s="141">
        <f ca="1">IFERROR('Rates Table'!I54*IF(Inputs!$G$29="No",High_Total_Energy,High_Total_Energy_Exist_TOU),0)/100</f>
        <v>0</v>
      </c>
      <c r="J40" s="141">
        <f ca="1">IFERROR('Rates Table'!J54*IF(Inputs!$G$29="No",High_Total_Energy,High_Total_Energy_Exist_TOU),0)/100</f>
        <v>0</v>
      </c>
      <c r="K40" s="141">
        <f ca="1">IFERROR('Rates Table'!K54*IF(Inputs!$G$29="No",High_Total_Energy,High_Total_Energy_Exist_TOU),0)/100</f>
        <v>0</v>
      </c>
      <c r="L40" s="141">
        <f ca="1">IFERROR('Rates Table'!L54*IF(Inputs!$G$29="No",High_Total_Energy,High_Total_Energy_Exist_TOU),0)/100</f>
        <v>0</v>
      </c>
      <c r="M40" s="141">
        <f ca="1">IFERROR('Rates Table'!M54*IF(Inputs!$G$29="No",High_Total_Energy,High_Total_Energy_Exist_TOU),0)/100</f>
        <v>0</v>
      </c>
      <c r="N40" s="141">
        <f ca="1">IFERROR('Rates Table'!N54*IF(Inputs!$G$29="No",High_Total_Energy,High_Total_Energy_Exist_TOU),0)/100</f>
        <v>0</v>
      </c>
      <c r="O40" s="141">
        <f ca="1">IFERROR('Rates Table'!O54*IF(Inputs!$G$29="No",High_Total_Energy,High_Total_Energy_Exist_TOU),0)/100</f>
        <v>0</v>
      </c>
      <c r="P40" s="141">
        <f ca="1">IFERROR('Rates Table'!P54*IF(Inputs!$G$29="No",High_Total_Energy,High_Total_Energy_Exist_TOU),0)/100</f>
        <v>0</v>
      </c>
      <c r="Q40" s="141">
        <f ca="1">IFERROR('Rates Table'!Q54*IF(Inputs!$G$29="No",High_Total_Energy,High_Total_Energy_Exist_TOU),0)/100</f>
        <v>0</v>
      </c>
      <c r="R40" s="141">
        <f ca="1">IFERROR('Rates Table'!R54*IF(Inputs!$G$29="No",High_Total_Energy,High_Total_Energy_Exist_TOU),0)/100</f>
        <v>0</v>
      </c>
      <c r="S40" s="141">
        <f ca="1">IFERROR('Rates Table'!S54*IF(Inputs!$G$29="No",High_Total_Energy,High_Total_Energy_Exist_TOU),0)/100</f>
        <v>0</v>
      </c>
      <c r="T40" s="141">
        <f ca="1">IFERROR('Rates Table'!T54*IF(Inputs!$G$29="No",High_Total_Energy,High_Total_Energy_Exist_TOU),0)/100</f>
        <v>0</v>
      </c>
      <c r="U40" s="141">
        <f ca="1">IFERROR('Rates Table'!U54*IF(Inputs!$G$29="No",High_Total_Energy,High_Total_Energy_Exist_TOU),0)/100</f>
        <v>0</v>
      </c>
      <c r="V40" s="141">
        <f ca="1">IFERROR('Rates Table'!V54*IF(Inputs!$G$29="No",High_Total_Energy,High_Total_Energy_Exist_TOU),0)/100</f>
        <v>0</v>
      </c>
      <c r="W40" s="141">
        <f ca="1">IFERROR('Rates Table'!W54*IF(Inputs!$G$29="No",High_Total_Energy,High_Total_Energy_Exist_TOU),0)/100</f>
        <v>0</v>
      </c>
      <c r="X40" s="141">
        <f ca="1">IF(OR(E2="Nightsave Large",E2="Nightsave Small"),E40,IFERROR('Rates Table'!X54*IF(Inputs!$G$29="No",High_Total_Energy,High_Total_Energy_Exist_TOU),0)/100)</f>
        <v>0</v>
      </c>
      <c r="Y40" s="141">
        <f ca="1">IFERROR('Rates Table'!Y54*IF(Inputs!$G$29="No",High_Total_Energy,High_Total_Energy_Exist_TOU),0)/100</f>
        <v>0</v>
      </c>
      <c r="Z40" s="141">
        <f ca="1">IFERROR('Rates Table'!Z54*IF(Inputs!$G$29="No",High_Total_Energy,High_Total_Energy_Exist_TOU),0)/100</f>
        <v>0</v>
      </c>
      <c r="AA40" s="141">
        <f ca="1">IFERROR('Rates Table'!AA54*IF(Inputs!$G$29="No",High_Total_Energy,High_Total_Energy_Exist_TOU),0)/100</f>
        <v>0</v>
      </c>
      <c r="AB40" s="141">
        <f ca="1">IFERROR('Rates Table'!AB54*IF(Inputs!$G$29="No",High_Total_Energy,High_Total_Energy_Exist_TOU),0)/100</f>
        <v>0</v>
      </c>
      <c r="AC40" s="141">
        <f ca="1">IFERROR('Rates Table'!AC54*IF(Inputs!$G$29="No",High_Total_Energy,High_Total_Energy_Exist_TOU),0)/100</f>
        <v>0</v>
      </c>
      <c r="AD40" s="141">
        <f ca="1">IFERROR('Rates Table'!AD54*IF(Inputs!$G$29="No",High_Total_Energy,High_Total_Energy_Exist_TOU),0)/100</f>
        <v>0</v>
      </c>
      <c r="AE40" s="141">
        <f ca="1">IFERROR('Rates Table'!AE54*IF(Inputs!$G$29="No",High_Total_Energy,High_Total_Energy_Exist_TOU),0)/100</f>
        <v>0</v>
      </c>
      <c r="AF40" s="141">
        <f ca="1">IFERROR('Rates Table'!AF54*IF(Inputs!$G$29="No",High_Total_Energy,High_Total_Energy_Exist_TOU),0)/100</f>
        <v>0</v>
      </c>
      <c r="AG40" s="141">
        <f>IFERROR('Rates Table'!AG54*IF(Inputs!$G$29="No",High_Total_Energy,High_Total_Energy_Exist_TOU),0)/100</f>
        <v>0</v>
      </c>
      <c r="AH40" s="141">
        <f ca="1">IFERROR('Rates Table'!AH54*IF(Inputs!$G$29="No",High_Total_Energy,High_Total_Energy_Exist_TOU),0)/100</f>
        <v>0</v>
      </c>
      <c r="AI40" s="141">
        <f ca="1">IFERROR('Rates Table'!AI54*IF(Inputs!$G$29="No",High_Total_Energy,High_Total_Energy_Exist_TOU),0)/100</f>
        <v>0</v>
      </c>
      <c r="AJ40" s="141">
        <f ca="1">IFERROR('Rates Table'!AJ54*IF(Inputs!$G$29="No",High_Total_Energy,High_Total_Energy_Exist_TOU),0)/100</f>
        <v>0</v>
      </c>
      <c r="AK40" s="141">
        <f ca="1">IFERROR('Rates Table'!AK54*IF(Inputs!$G$29="No",High_Total_Energy,High_Total_Energy_Exist_TOU),0)/100</f>
        <v>0</v>
      </c>
      <c r="AL40" s="141">
        <f ca="1">IFERROR('Rates Table'!AL54*IF(Inputs!$G$29="No",High_Total_Energy,High_Total_Energy_Exist_TOU),0)/100</f>
        <v>0</v>
      </c>
      <c r="AM40" s="141">
        <f ca="1">IFERROR('Rates Table'!AM54*IF(Inputs!$G$29="No",High_Total_Energy,High_Total_Energy_Exist_TOU),0)/100</f>
        <v>0</v>
      </c>
      <c r="AN40" s="141">
        <f ca="1">IFERROR('Rates Table'!AN54*IF(Inputs!$G$29="No",High_Total_Energy,High_Total_Energy_Exist_TOU),0)/100</f>
        <v>0</v>
      </c>
      <c r="AO40" s="141">
        <f ca="1">IFERROR('Rates Table'!AO54*IF(Inputs!$G$29="No",High_Total_Energy,High_Total_Energy_Exist_TOU),0)/100</f>
        <v>0</v>
      </c>
      <c r="AP40" s="141">
        <f ca="1">IFERROR('Rates Table'!AP54*IF(Inputs!$G$29="No",High_Total_Energy,High_Total_Energy_Exist_TOU),0)/100</f>
        <v>0</v>
      </c>
      <c r="AQ40" s="141">
        <f ca="1">IFERROR('Rates Table'!AQ54*IF(Inputs!$G$29="No",High_Total_Energy,High_Total_Energy_Exist_TOU),0)/100</f>
        <v>0</v>
      </c>
      <c r="AR40" s="141">
        <f ca="1">IFERROR('Rates Table'!AR54*IF(Inputs!$G$29="No",High_Total_Energy,High_Total_Energy_Exist_TOU),0)/100</f>
        <v>0</v>
      </c>
      <c r="AT40" s="140">
        <f t="shared" ca="1" si="23"/>
        <v>0</v>
      </c>
      <c r="AU40" s="141">
        <f ca="1">IFERROR('Rates Table'!AU54*IF(Inputs!$G$29="No",High_Total_Energy,High_Total_Energy_New_TOU),0)/100</f>
        <v>0</v>
      </c>
      <c r="AV40" s="141">
        <f ca="1">IFERROR('Rates Table'!AV54*IF(Inputs!$G$29="No",High_Total_Energy,High_Total_Energy_New_TOU),0)/100</f>
        <v>0</v>
      </c>
      <c r="AW40" s="141">
        <f ca="1">IFERROR('Rates Table'!AW54*IF(Inputs!$G$29="No",High_Total_Energy,High_Total_Energy_New_TOU),0)/100</f>
        <v>0</v>
      </c>
      <c r="AX40" s="141">
        <f ca="1">IFERROR('Rates Table'!AX54*IF(Inputs!$G$29="No",High_Total_Energy,High_Total_Energy_New_TOU),0)/100</f>
        <v>0</v>
      </c>
      <c r="AY40" s="141">
        <f ca="1">IFERROR('Rates Table'!AY54*IF(Inputs!$G$29="No",High_Total_Energy,High_Total_Energy_New_TOU),0)/100</f>
        <v>0</v>
      </c>
      <c r="AZ40" s="141">
        <f ca="1">IFERROR('Rates Table'!AZ54*IF(Inputs!$G$29="No",High_Total_Energy,High_Total_Energy_New_TOU),0)/100</f>
        <v>0</v>
      </c>
      <c r="BA40" s="141">
        <f ca="1">IFERROR('Rates Table'!BA54*IF(Inputs!$G$29="No",High_Total_Energy,High_Total_Energy_New_TOU),0)/100</f>
        <v>0</v>
      </c>
      <c r="BB40" s="141">
        <f ca="1">IFERROR('Rates Table'!BB54*IF(Inputs!$G$29="No",High_Total_Energy,High_Total_Energy_New_TOU),0)/100</f>
        <v>0</v>
      </c>
      <c r="BC40" s="141">
        <f ca="1">IFERROR('Rates Table'!BC54*IF(Inputs!$G$29="No",High_Total_Energy,High_Total_Energy_New_TOU),0)/100</f>
        <v>0</v>
      </c>
      <c r="BD40" s="141">
        <f ca="1">IFERROR('Rates Table'!BD54*IF(Inputs!$G$29="No",High_Total_Energy,High_Total_Energy_New_TOU),0)/100</f>
        <v>0</v>
      </c>
      <c r="BE40" s="141">
        <f ca="1">IFERROR('Rates Table'!BE54*IF(Inputs!$G$29="No",High_Total_Energy,High_Total_Energy_New_TOU),0)/100</f>
        <v>0</v>
      </c>
      <c r="BF40" s="141">
        <f ca="1">IFERROR('Rates Table'!BF54*IF(Inputs!$G$29="No",High_Total_Energy,High_Total_Energy_New_TOU),0)/100</f>
        <v>0</v>
      </c>
      <c r="BG40" s="141">
        <f ca="1">IFERROR('Rates Table'!BG54*IF(Inputs!$G$29="No",High_Total_Energy,High_Total_Energy_New_TOU),0)/100</f>
        <v>0</v>
      </c>
      <c r="BH40" s="141">
        <f ca="1">IFERROR('Rates Table'!BH54*IF(Inputs!$G$29="No",High_Total_Energy,High_Total_Energy_New_TOU),0)/100</f>
        <v>0</v>
      </c>
      <c r="BI40" s="141">
        <f ca="1">IFERROR('Rates Table'!BI54*IF(Inputs!$G$29="No",High_Total_Energy,High_Total_Energy_New_TOU),0)/100</f>
        <v>0</v>
      </c>
      <c r="BJ40" s="141">
        <f ca="1">IFERROR('Rates Table'!BJ54*IF(Inputs!$G$29="No",High_Total_Energy,High_Total_Energy_New_TOU),0)/100</f>
        <v>0</v>
      </c>
      <c r="BK40" s="141">
        <f ca="1">IFERROR('Rates Table'!BK54*IF(Inputs!$G$29="No",High_Total_Energy,High_Total_Energy_New_TOU),0)/100</f>
        <v>0</v>
      </c>
      <c r="BL40" s="141">
        <f ca="1">IFERROR('Rates Table'!BL54*IF(Inputs!$G$29="No",High_Total_Energy,High_Total_Energy_New_TOU),0)/100</f>
        <v>0</v>
      </c>
      <c r="BM40" s="141">
        <f>IFERROR('Rates Table'!BM54*IF(Inputs!$G$29="No",High_Total_Energy,High_Total_Energy_New_TOU),0)/100</f>
        <v>0</v>
      </c>
      <c r="BN40" s="141">
        <f ca="1">IFERROR('Rates Table'!BN54*IF(Inputs!$G$29="No",High_Total_Energy,High_Total_Energy_New_TOU),0)/100</f>
        <v>0</v>
      </c>
      <c r="BO40" s="141">
        <f ca="1">IFERROR('Rates Table'!BO54*IF(Inputs!$G$29="No",High_Total_Energy,High_Total_Energy_New_TOU),0)/100</f>
        <v>0</v>
      </c>
      <c r="BP40" s="141">
        <f ca="1">IFERROR('Rates Table'!BP54*IF(Inputs!$G$29="No",High_Total_Energy,High_Total_Energy_New_TOU),0)/100</f>
        <v>0</v>
      </c>
      <c r="BQ40" s="141">
        <f ca="1">IFERROR('Rates Table'!BQ54*IF(Inputs!$G$29="No",High_Total_Energy,High_Total_Energy_New_TOU),0)/100</f>
        <v>0</v>
      </c>
      <c r="BR40" s="141">
        <f ca="1">IFERROR('Rates Table'!BR54*IF(Inputs!$G$29="No",High_Total_Energy,High_Total_Energy_New_TOU),0)/100</f>
        <v>0</v>
      </c>
      <c r="BS40" s="141">
        <f ca="1">IFERROR('Rates Table'!BS54*IF(Inputs!$G$29="No",High_Total_Energy,High_Total_Energy_New_TOU),0)/100</f>
        <v>0</v>
      </c>
      <c r="BT40" s="141">
        <f ca="1">IFERROR('Rates Table'!BT54*IF(Inputs!$G$29="No",High_Total_Energy,High_Total_Energy_New_TOU),0)/100</f>
        <v>0</v>
      </c>
      <c r="BU40" s="141">
        <f ca="1">IFERROR('Rates Table'!BU54*IF(Inputs!$G$29="No",High_Total_Energy,High_Total_Energy_New_TOU),0)/100</f>
        <v>0</v>
      </c>
      <c r="BV40" s="141">
        <f>IFERROR('Rates Table'!BV54*IF(Inputs!$G$29="No",High_Total_Energy,High_Total_Energy_New_TOU),0)/100</f>
        <v>0</v>
      </c>
      <c r="BW40" s="141">
        <f ca="1">IFERROR('Rates Table'!BW54*IF(Inputs!$G$29="No",High_Total_Energy,High_Total_Energy_New_TOU),0)/100</f>
        <v>0</v>
      </c>
      <c r="BX40" s="141">
        <f ca="1">IFERROR('Rates Table'!BX54*IF(Inputs!$G$29="No",High_Total_Energy,High_Total_Energy_New_TOU),0)/100</f>
        <v>0</v>
      </c>
      <c r="BY40" s="141">
        <f ca="1">IFERROR('Rates Table'!BY54*IF(Inputs!$G$29="No",High_Total_Energy,High_Total_Energy_New_TOU),0)/100</f>
        <v>0</v>
      </c>
      <c r="BZ40" s="141">
        <f ca="1">IFERROR('Rates Table'!BZ54*IF(Inputs!$G$29="No",High_Total_Energy,High_Total_Energy_New_TOU),0)/100</f>
        <v>0</v>
      </c>
      <c r="CA40" s="141">
        <f ca="1">IFERROR('Rates Table'!CA54*IF(Inputs!$G$29="No",High_Total_Energy,High_Total_Energy_New_TOU),0)/100</f>
        <v>0</v>
      </c>
      <c r="CB40" s="141">
        <f ca="1">IFERROR('Rates Table'!CB54*IF(Inputs!$G$29="No",High_Total_Energy,High_Total_Energy_New_TOU),0)/100</f>
        <v>0</v>
      </c>
      <c r="CC40" s="141">
        <f ca="1">IFERROR('Rates Table'!CC54*IF(Inputs!$G$29="No",High_Total_Energy,High_Total_Energy_New_TOU),0)/100</f>
        <v>0</v>
      </c>
      <c r="CD40" s="141">
        <f ca="1">IFERROR('Rates Table'!CD54*IF(Inputs!$G$29="No",High_Total_Energy,High_Total_Energy_New_TOU),0)/100</f>
        <v>0</v>
      </c>
      <c r="CE40" s="141">
        <f ca="1">IFERROR('Rates Table'!CE54*IF(Inputs!$G$29="No",High_Total_Energy,High_Total_Energy_New_TOU),0)/100</f>
        <v>0</v>
      </c>
      <c r="CF40" s="141">
        <f ca="1">IFERROR('Rates Table'!CF54*IF(Inputs!$G$29="No",High_Total_Energy,High_Total_Energy_New_TOU),0)/100</f>
        <v>0</v>
      </c>
    </row>
    <row r="41" spans="2:84" s="138" customFormat="1">
      <c r="C41" s="138" t="s">
        <v>125</v>
      </c>
      <c r="D41" s="139" t="s">
        <v>106</v>
      </c>
      <c r="E41" s="140">
        <f t="shared" ca="1" si="22"/>
        <v>0</v>
      </c>
      <c r="F41" s="141">
        <f ca="1">IFERROR('Rates Table'!F55*IF(Inputs!$G$29="No",High_Total_Energy,High_Total_Energy_Exist_TOU),0)/100</f>
        <v>0</v>
      </c>
      <c r="G41" s="141">
        <f ca="1">IFERROR('Rates Table'!G55*IF(Inputs!$G$29="No",High_Total_Energy,High_Total_Energy_Exist_TOU),0)/100</f>
        <v>0</v>
      </c>
      <c r="H41" s="141">
        <f ca="1">IFERROR('Rates Table'!H55*IF(Inputs!$G$29="No",High_Total_Energy,High_Total_Energy_Exist_TOU),0)/100</f>
        <v>0</v>
      </c>
      <c r="I41" s="141">
        <f ca="1">IFERROR('Rates Table'!I55*IF(Inputs!$G$29="No",High_Total_Energy,High_Total_Energy_Exist_TOU),0)/100</f>
        <v>0</v>
      </c>
      <c r="J41" s="141">
        <f ca="1">IFERROR('Rates Table'!J55*IF(Inputs!$G$29="No",High_Total_Energy,High_Total_Energy_Exist_TOU),0)/100</f>
        <v>0</v>
      </c>
      <c r="K41" s="141">
        <f ca="1">IFERROR('Rates Table'!K55*IF(Inputs!$G$29="No",High_Total_Energy,High_Total_Energy_Exist_TOU),0)/100</f>
        <v>0</v>
      </c>
      <c r="L41" s="141">
        <f ca="1">IFERROR('Rates Table'!L55*IF(Inputs!$G$29="No",High_Total_Energy,High_Total_Energy_Exist_TOU),0)/100</f>
        <v>0</v>
      </c>
      <c r="M41" s="141">
        <f ca="1">IFERROR('Rates Table'!M55*IF(Inputs!$G$29="No",High_Total_Energy,High_Total_Energy_Exist_TOU),0)/100</f>
        <v>0</v>
      </c>
      <c r="N41" s="141">
        <f ca="1">IFERROR('Rates Table'!N55*IF(Inputs!$G$29="No",High_Total_Energy,High_Total_Energy_Exist_TOU),0)/100</f>
        <v>0</v>
      </c>
      <c r="O41" s="141">
        <f ca="1">IFERROR('Rates Table'!O55*IF(Inputs!$G$29="No",High_Total_Energy,High_Total_Energy_Exist_TOU),0)/100</f>
        <v>0</v>
      </c>
      <c r="P41" s="141">
        <f ca="1">IFERROR('Rates Table'!P55*IF(Inputs!$G$29="No",High_Total_Energy,High_Total_Energy_Exist_TOU),0)/100</f>
        <v>0</v>
      </c>
      <c r="Q41" s="141">
        <f ca="1">IFERROR('Rates Table'!Q55*IF(Inputs!$G$29="No",High_Total_Energy,High_Total_Energy_Exist_TOU),0)/100</f>
        <v>0</v>
      </c>
      <c r="R41" s="141">
        <f ca="1">IFERROR('Rates Table'!R55*IF(Inputs!$G$29="No",High_Total_Energy,High_Total_Energy_Exist_TOU),0)/100</f>
        <v>0</v>
      </c>
      <c r="S41" s="141">
        <f ca="1">IFERROR('Rates Table'!S55*IF(Inputs!$G$29="No",High_Total_Energy,High_Total_Energy_Exist_TOU),0)/100</f>
        <v>0</v>
      </c>
      <c r="T41" s="141">
        <f ca="1">IFERROR('Rates Table'!T55*IF(Inputs!$G$29="No",High_Total_Energy,High_Total_Energy_Exist_TOU),0)/100</f>
        <v>0</v>
      </c>
      <c r="U41" s="141">
        <f ca="1">IFERROR('Rates Table'!U55*IF(Inputs!$G$29="No",High_Total_Energy,High_Total_Energy_Exist_TOU),0)/100</f>
        <v>0</v>
      </c>
      <c r="V41" s="141">
        <f ca="1">IFERROR('Rates Table'!V55*IF(Inputs!$G$29="No",High_Total_Energy,High_Total_Energy_Exist_TOU),0)/100</f>
        <v>0</v>
      </c>
      <c r="W41" s="141">
        <f ca="1">IFERROR('Rates Table'!W55*IF(Inputs!$G$29="No",High_Total_Energy,High_Total_Energy_Exist_TOU),0)/100</f>
        <v>0</v>
      </c>
      <c r="X41" s="141">
        <f ca="1">IF(OR(E2="Nightsave Large",E2="Nightsave Small"),E41,IFERROR('Rates Table'!X55*IF(Inputs!$G$29="No",High_Total_Energy,High_Total_Energy_Exist_TOU),0)/100)</f>
        <v>0</v>
      </c>
      <c r="Y41" s="141">
        <f ca="1">IFERROR('Rates Table'!Y55*IF(Inputs!$G$29="No",High_Total_Energy,High_Total_Energy_Exist_TOU),0)/100</f>
        <v>0</v>
      </c>
      <c r="Z41" s="141">
        <f ca="1">IFERROR('Rates Table'!Z55*IF(Inputs!$G$29="No",High_Total_Energy,High_Total_Energy_Exist_TOU),0)/100</f>
        <v>0</v>
      </c>
      <c r="AA41" s="141">
        <f ca="1">IFERROR('Rates Table'!AA55*IF(Inputs!$G$29="No",High_Total_Energy,High_Total_Energy_Exist_TOU),0)/100</f>
        <v>0</v>
      </c>
      <c r="AB41" s="141">
        <f ca="1">IFERROR('Rates Table'!AB55*IF(Inputs!$G$29="No",High_Total_Energy,High_Total_Energy_Exist_TOU),0)/100</f>
        <v>0</v>
      </c>
      <c r="AC41" s="141">
        <f ca="1">IFERROR('Rates Table'!AC55*IF(Inputs!$G$29="No",High_Total_Energy,High_Total_Energy_Exist_TOU),0)/100</f>
        <v>0</v>
      </c>
      <c r="AD41" s="141">
        <f ca="1">IFERROR('Rates Table'!AD55*IF(Inputs!$G$29="No",High_Total_Energy,High_Total_Energy_Exist_TOU),0)/100</f>
        <v>0</v>
      </c>
      <c r="AE41" s="141">
        <f ca="1">IFERROR('Rates Table'!AE55*IF(Inputs!$G$29="No",High_Total_Energy,High_Total_Energy_Exist_TOU),0)/100</f>
        <v>0</v>
      </c>
      <c r="AF41" s="141">
        <f ca="1">IFERROR('Rates Table'!AF55*IF(Inputs!$G$29="No",High_Total_Energy,High_Total_Energy_Exist_TOU),0)/100</f>
        <v>0</v>
      </c>
      <c r="AG41" s="141">
        <f>IFERROR('Rates Table'!AG55*IF(Inputs!$G$29="No",High_Total_Energy,High_Total_Energy_Exist_TOU),0)/100</f>
        <v>0</v>
      </c>
      <c r="AH41" s="141">
        <f ca="1">IFERROR('Rates Table'!AH55*IF(Inputs!$G$29="No",High_Total_Energy,High_Total_Energy_Exist_TOU),0)/100</f>
        <v>0</v>
      </c>
      <c r="AI41" s="141">
        <f ca="1">IFERROR('Rates Table'!AI55*IF(Inputs!$G$29="No",High_Total_Energy,High_Total_Energy_Exist_TOU),0)/100</f>
        <v>0</v>
      </c>
      <c r="AJ41" s="141">
        <f ca="1">IFERROR('Rates Table'!AJ55*IF(Inputs!$G$29="No",High_Total_Energy,High_Total_Energy_Exist_TOU),0)/100</f>
        <v>0</v>
      </c>
      <c r="AK41" s="141">
        <f ca="1">IFERROR('Rates Table'!AK55*IF(Inputs!$G$29="No",High_Total_Energy,High_Total_Energy_Exist_TOU),0)/100</f>
        <v>0</v>
      </c>
      <c r="AL41" s="141">
        <f ca="1">IFERROR('Rates Table'!AL55*IF(Inputs!$G$29="No",High_Total_Energy,High_Total_Energy_Exist_TOU),0)/100</f>
        <v>0</v>
      </c>
      <c r="AM41" s="141">
        <f ca="1">IFERROR('Rates Table'!AM55*IF(Inputs!$G$29="No",High_Total_Energy,High_Total_Energy_Exist_TOU),0)/100</f>
        <v>0</v>
      </c>
      <c r="AN41" s="141">
        <f ca="1">IFERROR('Rates Table'!AN55*IF(Inputs!$G$29="No",High_Total_Energy,High_Total_Energy_Exist_TOU),0)/100</f>
        <v>0</v>
      </c>
      <c r="AO41" s="141">
        <f ca="1">IFERROR('Rates Table'!AO55*IF(Inputs!$G$29="No",High_Total_Energy,High_Total_Energy_Exist_TOU),0)/100</f>
        <v>0</v>
      </c>
      <c r="AP41" s="141">
        <f ca="1">IFERROR('Rates Table'!AP55*IF(Inputs!$G$29="No",High_Total_Energy,High_Total_Energy_Exist_TOU),0)/100</f>
        <v>0</v>
      </c>
      <c r="AQ41" s="141">
        <f ca="1">IFERROR('Rates Table'!AQ55*IF(Inputs!$G$29="No",High_Total_Energy,High_Total_Energy_Exist_TOU),0)/100</f>
        <v>0</v>
      </c>
      <c r="AR41" s="141">
        <f ca="1">IFERROR('Rates Table'!AR55*IF(Inputs!$G$29="No",High_Total_Energy,High_Total_Energy_Exist_TOU),0)/100</f>
        <v>0</v>
      </c>
      <c r="AT41" s="140">
        <f t="shared" ca="1" si="23"/>
        <v>0</v>
      </c>
      <c r="AU41" s="141">
        <f ca="1">IFERROR('Rates Table'!AU55*IF(Inputs!$G$29="No",High_Total_Energy,High_Total_Energy_New_TOU),0)/100</f>
        <v>0</v>
      </c>
      <c r="AV41" s="141">
        <f ca="1">IFERROR('Rates Table'!AV55*IF(Inputs!$G$29="No",High_Total_Energy,High_Total_Energy_New_TOU),0)/100</f>
        <v>0</v>
      </c>
      <c r="AW41" s="141">
        <f ca="1">IFERROR('Rates Table'!AW55*IF(Inputs!$G$29="No",High_Total_Energy,High_Total_Energy_New_TOU),0)/100</f>
        <v>0</v>
      </c>
      <c r="AX41" s="141">
        <f ca="1">IFERROR('Rates Table'!AX55*IF(Inputs!$G$29="No",High_Total_Energy,High_Total_Energy_New_TOU),0)/100</f>
        <v>0</v>
      </c>
      <c r="AY41" s="141">
        <f ca="1">IFERROR('Rates Table'!AY55*IF(Inputs!$G$29="No",High_Total_Energy,High_Total_Energy_New_TOU),0)/100</f>
        <v>0</v>
      </c>
      <c r="AZ41" s="141">
        <f ca="1">IFERROR('Rates Table'!AZ55*IF(Inputs!$G$29="No",High_Total_Energy,High_Total_Energy_New_TOU),0)/100</f>
        <v>0</v>
      </c>
      <c r="BA41" s="141">
        <f ca="1">IFERROR('Rates Table'!BA55*IF(Inputs!$G$29="No",High_Total_Energy,High_Total_Energy_New_TOU),0)/100</f>
        <v>0</v>
      </c>
      <c r="BB41" s="141">
        <f ca="1">IFERROR('Rates Table'!BB55*IF(Inputs!$G$29="No",High_Total_Energy,High_Total_Energy_New_TOU),0)/100</f>
        <v>0</v>
      </c>
      <c r="BC41" s="141">
        <f ca="1">IFERROR('Rates Table'!BC55*IF(Inputs!$G$29="No",High_Total_Energy,High_Total_Energy_New_TOU),0)/100</f>
        <v>0</v>
      </c>
      <c r="BD41" s="141">
        <f ca="1">IFERROR('Rates Table'!BD55*IF(Inputs!$G$29="No",High_Total_Energy,High_Total_Energy_New_TOU),0)/100</f>
        <v>0</v>
      </c>
      <c r="BE41" s="141">
        <f ca="1">IFERROR('Rates Table'!BE55*IF(Inputs!$G$29="No",High_Total_Energy,High_Total_Energy_New_TOU),0)/100</f>
        <v>0</v>
      </c>
      <c r="BF41" s="141">
        <f ca="1">IFERROR('Rates Table'!BF55*IF(Inputs!$G$29="No",High_Total_Energy,High_Total_Energy_New_TOU),0)/100</f>
        <v>0</v>
      </c>
      <c r="BG41" s="141">
        <f ca="1">IFERROR('Rates Table'!BG55*IF(Inputs!$G$29="No",High_Total_Energy,High_Total_Energy_New_TOU),0)/100</f>
        <v>0</v>
      </c>
      <c r="BH41" s="141">
        <f ca="1">IFERROR('Rates Table'!BH55*IF(Inputs!$G$29="No",High_Total_Energy,High_Total_Energy_New_TOU),0)/100</f>
        <v>0</v>
      </c>
      <c r="BI41" s="141">
        <f ca="1">IFERROR('Rates Table'!BI55*IF(Inputs!$G$29="No",High_Total_Energy,High_Total_Energy_New_TOU),0)/100</f>
        <v>0</v>
      </c>
      <c r="BJ41" s="141">
        <f ca="1">IFERROR('Rates Table'!BJ55*IF(Inputs!$G$29="No",High_Total_Energy,High_Total_Energy_New_TOU),0)/100</f>
        <v>0</v>
      </c>
      <c r="BK41" s="141">
        <f ca="1">IFERROR('Rates Table'!BK55*IF(Inputs!$G$29="No",High_Total_Energy,High_Total_Energy_New_TOU),0)/100</f>
        <v>0</v>
      </c>
      <c r="BL41" s="141">
        <f ca="1">IFERROR('Rates Table'!BL55*IF(Inputs!$G$29="No",High_Total_Energy,High_Total_Energy_New_TOU),0)/100</f>
        <v>0</v>
      </c>
      <c r="BM41" s="141">
        <f>IFERROR('Rates Table'!BM55*IF(Inputs!$G$29="No",High_Total_Energy,High_Total_Energy_New_TOU),0)/100</f>
        <v>0</v>
      </c>
      <c r="BN41" s="141">
        <f ca="1">IFERROR('Rates Table'!BN55*IF(Inputs!$G$29="No",High_Total_Energy,High_Total_Energy_New_TOU),0)/100</f>
        <v>0</v>
      </c>
      <c r="BO41" s="141">
        <f ca="1">IFERROR('Rates Table'!BO55*IF(Inputs!$G$29="No",High_Total_Energy,High_Total_Energy_New_TOU),0)/100</f>
        <v>0</v>
      </c>
      <c r="BP41" s="141">
        <f ca="1">IFERROR('Rates Table'!BP55*IF(Inputs!$G$29="No",High_Total_Energy,High_Total_Energy_New_TOU),0)/100</f>
        <v>0</v>
      </c>
      <c r="BQ41" s="141">
        <f ca="1">IFERROR('Rates Table'!BQ55*IF(Inputs!$G$29="No",High_Total_Energy,High_Total_Energy_New_TOU),0)/100</f>
        <v>0</v>
      </c>
      <c r="BR41" s="141">
        <f ca="1">IFERROR('Rates Table'!BR55*IF(Inputs!$G$29="No",High_Total_Energy,High_Total_Energy_New_TOU),0)/100</f>
        <v>0</v>
      </c>
      <c r="BS41" s="141">
        <f ca="1">IFERROR('Rates Table'!BS55*IF(Inputs!$G$29="No",High_Total_Energy,High_Total_Energy_New_TOU),0)/100</f>
        <v>0</v>
      </c>
      <c r="BT41" s="141">
        <f ca="1">IFERROR('Rates Table'!BT55*IF(Inputs!$G$29="No",High_Total_Energy,High_Total_Energy_New_TOU),0)/100</f>
        <v>0</v>
      </c>
      <c r="BU41" s="141">
        <f ca="1">IFERROR('Rates Table'!BU55*IF(Inputs!$G$29="No",High_Total_Energy,High_Total_Energy_New_TOU),0)/100</f>
        <v>0</v>
      </c>
      <c r="BV41" s="141">
        <f>IFERROR('Rates Table'!BV55*IF(Inputs!$G$29="No",High_Total_Energy,High_Total_Energy_New_TOU),0)/100</f>
        <v>0</v>
      </c>
      <c r="BW41" s="141">
        <f ca="1">IFERROR('Rates Table'!BW55*IF(Inputs!$G$29="No",High_Total_Energy,High_Total_Energy_New_TOU),0)/100</f>
        <v>0</v>
      </c>
      <c r="BX41" s="141">
        <f ca="1">IFERROR('Rates Table'!BX55*IF(Inputs!$G$29="No",High_Total_Energy,High_Total_Energy_New_TOU),0)/100</f>
        <v>0</v>
      </c>
      <c r="BY41" s="141">
        <f ca="1">IFERROR('Rates Table'!BY55*IF(Inputs!$G$29="No",High_Total_Energy,High_Total_Energy_New_TOU),0)/100</f>
        <v>0</v>
      </c>
      <c r="BZ41" s="141">
        <f ca="1">IFERROR('Rates Table'!BZ55*IF(Inputs!$G$29="No",High_Total_Energy,High_Total_Energy_New_TOU),0)/100</f>
        <v>0</v>
      </c>
      <c r="CA41" s="141">
        <f ca="1">IFERROR('Rates Table'!CA55*IF(Inputs!$G$29="No",High_Total_Energy,High_Total_Energy_New_TOU),0)/100</f>
        <v>0</v>
      </c>
      <c r="CB41" s="141">
        <f ca="1">IFERROR('Rates Table'!CB55*IF(Inputs!$G$29="No",High_Total_Energy,High_Total_Energy_New_TOU),0)/100</f>
        <v>0</v>
      </c>
      <c r="CC41" s="141">
        <f ca="1">IFERROR('Rates Table'!CC55*IF(Inputs!$G$29="No",High_Total_Energy,High_Total_Energy_New_TOU),0)/100</f>
        <v>0</v>
      </c>
      <c r="CD41" s="141">
        <f ca="1">IFERROR('Rates Table'!CD55*IF(Inputs!$G$29="No",High_Total_Energy,High_Total_Energy_New_TOU),0)/100</f>
        <v>0</v>
      </c>
      <c r="CE41" s="141">
        <f ca="1">IFERROR('Rates Table'!CE55*IF(Inputs!$G$29="No",High_Total_Energy,High_Total_Energy_New_TOU),0)/100</f>
        <v>0</v>
      </c>
      <c r="CF41" s="141">
        <f ca="1">IFERROR('Rates Table'!CF55*IF(Inputs!$G$29="No",High_Total_Energy,High_Total_Energy_New_TOU),0)/100</f>
        <v>0</v>
      </c>
    </row>
    <row r="42" spans="2:84" s="138" customFormat="1">
      <c r="C42" s="138" t="s">
        <v>126</v>
      </c>
      <c r="D42" s="139" t="s">
        <v>147</v>
      </c>
      <c r="E42" s="140">
        <f t="shared" ca="1" si="22"/>
        <v>1140.8</v>
      </c>
      <c r="F42" s="141">
        <f ca="1">IFERROR('Rates Table'!F56*PODs*High_Days,0)</f>
        <v>0</v>
      </c>
      <c r="G42" s="141">
        <f ca="1">IFERROR('Rates Table'!G56*PODs*High_Days,0)</f>
        <v>0</v>
      </c>
      <c r="H42" s="141">
        <f ca="1">IFERROR('Rates Table'!H56*PODs*High_Days,0)</f>
        <v>0</v>
      </c>
      <c r="I42" s="141">
        <f ca="1">IFERROR('Rates Table'!I56*PODs*High_Days,0)</f>
        <v>0</v>
      </c>
      <c r="J42" s="141">
        <f ca="1">IFERROR('Rates Table'!J56*PODs*High_Days,0)</f>
        <v>0</v>
      </c>
      <c r="K42" s="141">
        <f ca="1">IFERROR('Rates Table'!K56*PODs*High_Days,0)</f>
        <v>0</v>
      </c>
      <c r="L42" s="141">
        <f ca="1">IFERROR('Rates Table'!L56*PODs*High_Days,0)</f>
        <v>0</v>
      </c>
      <c r="M42" s="141">
        <f ca="1">IFERROR('Rates Table'!M56*PODs*High_Days,0)</f>
        <v>0</v>
      </c>
      <c r="N42" s="141">
        <f ca="1">IFERROR('Rates Table'!N56*PODs*High_Days,0)</f>
        <v>0</v>
      </c>
      <c r="O42" s="141">
        <f ca="1">IFERROR('Rates Table'!O56*PODs*High_Days,0)</f>
        <v>0</v>
      </c>
      <c r="P42" s="141">
        <f ca="1">IFERROR('Rates Table'!P56*PODs*High_Days,0)</f>
        <v>0</v>
      </c>
      <c r="Q42" s="141">
        <f ca="1">IFERROR('Rates Table'!Q56*PODs*High_Days,0)</f>
        <v>0</v>
      </c>
      <c r="R42" s="141">
        <f ca="1">IFERROR('Rates Table'!R56*PODs*High_Days,0)</f>
        <v>0</v>
      </c>
      <c r="S42" s="141">
        <f ca="1">IFERROR('Rates Table'!S56*PODs*High_Days,0)</f>
        <v>0</v>
      </c>
      <c r="T42" s="141">
        <f ca="1">IFERROR('Rates Table'!T56*PODs*High_Days,0)</f>
        <v>0</v>
      </c>
      <c r="U42" s="141">
        <f ca="1">IFERROR('Rates Table'!U56*PODs*High_Days,0)</f>
        <v>0</v>
      </c>
      <c r="V42" s="141">
        <f ca="1">IFERROR('Rates Table'!V56*PODs*High_Days,0)</f>
        <v>1140.8</v>
      </c>
      <c r="W42" s="141">
        <f ca="1">IFERROR('Rates Table'!W56*PODs*High_Days,0)</f>
        <v>1140.8</v>
      </c>
      <c r="X42" s="141">
        <f ca="1">IFERROR('Rates Table'!X56*PODs*High_Days,0)</f>
        <v>1140.8</v>
      </c>
      <c r="Y42" s="141">
        <f ca="1">IFERROR('Rates Table'!Y56*PODs*High_Days,0)</f>
        <v>1140.8</v>
      </c>
      <c r="Z42" s="141">
        <f ca="1">IFERROR('Rates Table'!Z56*PODs*High_Days,0)</f>
        <v>1140.8</v>
      </c>
      <c r="AA42" s="141">
        <f ca="1">IFERROR('Rates Table'!AA56*PODs*High_Days,0)</f>
        <v>1140.8</v>
      </c>
      <c r="AB42" s="141">
        <f ca="1">IFERROR('Rates Table'!AB56*PODs*High_Days,0)</f>
        <v>0</v>
      </c>
      <c r="AC42" s="141">
        <f ca="1">IFERROR('Rates Table'!AC56*PODs*High_Days,0)</f>
        <v>0</v>
      </c>
      <c r="AD42" s="141">
        <f ca="1">IFERROR('Rates Table'!AD56*PODs*High_Days,0)</f>
        <v>0</v>
      </c>
      <c r="AE42" s="141">
        <f ca="1">IFERROR('Rates Table'!AE56*PODs*High_Days,0)</f>
        <v>0</v>
      </c>
      <c r="AF42" s="141">
        <f ca="1">IFERROR('Rates Table'!AF56*PODs*High_Days,0)</f>
        <v>0</v>
      </c>
      <c r="AG42" s="141">
        <f ca="1">IFERROR('Rates Table'!AG56*PODs*High_Days,0)</f>
        <v>1140.8</v>
      </c>
      <c r="AH42" s="141">
        <f ca="1">IFERROR('Rates Table'!AH56*PODs*High_Days,0)</f>
        <v>0</v>
      </c>
      <c r="AI42" s="141">
        <f ca="1">IFERROR('Rates Table'!AI56*PODs*High_Days,0)</f>
        <v>0</v>
      </c>
      <c r="AJ42" s="141">
        <f ca="1">IFERROR('Rates Table'!AJ56*PODs*High_Days,0)</f>
        <v>0</v>
      </c>
      <c r="AK42" s="141">
        <f ca="1">IFERROR('Rates Table'!AK56*PODs*High_Days,0)</f>
        <v>0</v>
      </c>
      <c r="AL42" s="141">
        <f ca="1">IFERROR('Rates Table'!AL56*PODs*High_Days,0)</f>
        <v>0</v>
      </c>
      <c r="AM42" s="141">
        <f ca="1">IFERROR('Rates Table'!AM56*PODs*High_Days,0)</f>
        <v>0</v>
      </c>
      <c r="AN42" s="141">
        <f ca="1">IFERROR('Rates Table'!AN56*PODs*High_Days,0)</f>
        <v>0</v>
      </c>
      <c r="AO42" s="141">
        <f ca="1">IFERROR('Rates Table'!AO56*PODs*High_Days,0)</f>
        <v>0</v>
      </c>
      <c r="AP42" s="141">
        <f ca="1">IFERROR('Rates Table'!AP56*PODs*High_Days,0)</f>
        <v>1140.8</v>
      </c>
      <c r="AQ42" s="141">
        <f ca="1">IFERROR('Rates Table'!AQ56*PODs*High_Days,0)</f>
        <v>1140.8</v>
      </c>
      <c r="AR42" s="141">
        <f ca="1">IFERROR('Rates Table'!AR56*PODs*High_Days,0)</f>
        <v>0</v>
      </c>
      <c r="AT42" s="140">
        <f t="shared" ca="1" si="23"/>
        <v>1241.08</v>
      </c>
      <c r="AU42" s="141">
        <f ca="1">IFERROR('Rates Table'!AU56*PODs*High_Days,0)</f>
        <v>0</v>
      </c>
      <c r="AV42" s="141">
        <f ca="1">IFERROR('Rates Table'!AV56*PODs*High_Days,0)</f>
        <v>0</v>
      </c>
      <c r="AW42" s="141">
        <f ca="1">IFERROR('Rates Table'!AW56*PODs*High_Days,0)</f>
        <v>0</v>
      </c>
      <c r="AX42" s="141">
        <f ca="1">IFERROR('Rates Table'!AX56*PODs*High_Days,0)</f>
        <v>0</v>
      </c>
      <c r="AY42" s="141">
        <f ca="1">IFERROR('Rates Table'!AY56*PODs*High_Days,0)</f>
        <v>0</v>
      </c>
      <c r="AZ42" s="141">
        <f ca="1">IFERROR('Rates Table'!AZ56*PODs*High_Days,0)</f>
        <v>0</v>
      </c>
      <c r="BA42" s="141">
        <f ca="1">IFERROR('Rates Table'!BA56*PODs*High_Days,0)</f>
        <v>0</v>
      </c>
      <c r="BB42" s="141">
        <f ca="1">IFERROR('Rates Table'!BB56*PODs*High_Days,0)</f>
        <v>0</v>
      </c>
      <c r="BC42" s="141">
        <f ca="1">IFERROR('Rates Table'!BC56*PODs*High_Days,0)</f>
        <v>0</v>
      </c>
      <c r="BD42" s="141">
        <f ca="1">IFERROR('Rates Table'!BD56*PODs*High_Days,0)</f>
        <v>0</v>
      </c>
      <c r="BE42" s="141">
        <f ca="1">IFERROR('Rates Table'!BE56*PODs*High_Days,0)</f>
        <v>0</v>
      </c>
      <c r="BF42" s="141">
        <f ca="1">IFERROR('Rates Table'!BF56*PODs*High_Days,0)</f>
        <v>0</v>
      </c>
      <c r="BG42" s="141">
        <f ca="1">IFERROR('Rates Table'!BG56*PODs*High_Days,0)</f>
        <v>0</v>
      </c>
      <c r="BH42" s="141">
        <f ca="1">IFERROR('Rates Table'!BH56*PODs*High_Days,0)</f>
        <v>0</v>
      </c>
      <c r="BI42" s="141">
        <f ca="1">IFERROR('Rates Table'!BI56*PODs*High_Days,0)</f>
        <v>0</v>
      </c>
      <c r="BJ42" s="141">
        <f ca="1">IFERROR('Rates Table'!BJ56*PODs*High_Days,0)</f>
        <v>0</v>
      </c>
      <c r="BK42" s="141">
        <f ca="1">IFERROR('Rates Table'!BK56*PODs*High_Days,0)</f>
        <v>1241.08</v>
      </c>
      <c r="BL42" s="141">
        <f ca="1">IFERROR('Rates Table'!BL56*PODs*High_Days,0)</f>
        <v>1241.08</v>
      </c>
      <c r="BM42" s="141">
        <f ca="1">IFERROR('Rates Table'!BM56*PODs*High_Days,0)</f>
        <v>1241.08</v>
      </c>
      <c r="BN42" s="141">
        <f ca="1">IFERROR('Rates Table'!BN56*PODs*High_Days,0)</f>
        <v>1241.08</v>
      </c>
      <c r="BO42" s="141">
        <f ca="1">IFERROR('Rates Table'!BO56*PODs*High_Days,0)</f>
        <v>1241.08</v>
      </c>
      <c r="BP42" s="141">
        <f ca="1">IFERROR('Rates Table'!BP56*PODs*High_Days,0)</f>
        <v>1241.08</v>
      </c>
      <c r="BQ42" s="141">
        <f ca="1">IFERROR('Rates Table'!BQ56*PODs*High_Days,0)</f>
        <v>0</v>
      </c>
      <c r="BR42" s="141">
        <f ca="1">IFERROR('Rates Table'!BR56*PODs*High_Days,0)</f>
        <v>0</v>
      </c>
      <c r="BS42" s="141">
        <f ca="1">IFERROR('Rates Table'!BS56*PODs*High_Days,0)</f>
        <v>0</v>
      </c>
      <c r="BT42" s="141">
        <f ca="1">IFERROR('Rates Table'!BT56*PODs*High_Days,0)</f>
        <v>0</v>
      </c>
      <c r="BU42" s="141">
        <f ca="1">IFERROR('Rates Table'!BU56*PODs*High_Days,0)</f>
        <v>0</v>
      </c>
      <c r="BV42" s="141">
        <f ca="1">IFERROR('Rates Table'!BV56*PODs*High_Days,0)</f>
        <v>1241.08</v>
      </c>
      <c r="BW42" s="141">
        <f ca="1">IFERROR('Rates Table'!BW56*PODs*High_Days,0)</f>
        <v>0</v>
      </c>
      <c r="BX42" s="141">
        <f ca="1">IFERROR('Rates Table'!BX56*PODs*High_Days,0)</f>
        <v>0</v>
      </c>
      <c r="BY42" s="141">
        <f ca="1">IFERROR('Rates Table'!BY56*PODs*High_Days,0)</f>
        <v>0</v>
      </c>
      <c r="BZ42" s="141">
        <f ca="1">IFERROR('Rates Table'!BZ56*PODs*High_Days,0)</f>
        <v>0</v>
      </c>
      <c r="CA42" s="141">
        <f ca="1">IFERROR('Rates Table'!CA56*PODs*High_Days,0)</f>
        <v>0</v>
      </c>
      <c r="CB42" s="141">
        <f ca="1">IFERROR('Rates Table'!CB56*PODs*High_Days,0)</f>
        <v>0</v>
      </c>
      <c r="CC42" s="141">
        <f ca="1">IFERROR('Rates Table'!CC56*PODs*High_Days,0)</f>
        <v>0</v>
      </c>
      <c r="CD42" s="141">
        <f ca="1">IFERROR('Rates Table'!CD56*PODs*High_Days,0)</f>
        <v>0</v>
      </c>
      <c r="CE42" s="141">
        <f ca="1">IFERROR('Rates Table'!CE56*PODs*High_Days,0)</f>
        <v>1241.08</v>
      </c>
      <c r="CF42" s="141">
        <f ca="1">IFERROR('Rates Table'!CF56*PODs*High_Days,0)</f>
        <v>1241.08</v>
      </c>
    </row>
    <row r="43" spans="2:84" s="138" customFormat="1">
      <c r="C43" s="138" t="s">
        <v>127</v>
      </c>
      <c r="D43" s="139" t="str">
        <f ca="1">IF(Table_1=1,"R/day","R/day")</f>
        <v>R/day</v>
      </c>
      <c r="E43" s="140">
        <f t="shared" ca="1" si="22"/>
        <v>5913.76</v>
      </c>
      <c r="F43" s="141">
        <f ca="1">IFERROR(IF(F$55=1, 'Rates Table'!F57*1*High_Days, 'Rates Table'!F57*PODs*High_Days), 0)</f>
        <v>1352.3999999999999</v>
      </c>
      <c r="G43" s="141">
        <f ca="1">IFERROR(IF(G$55=1, 'Rates Table'!G57*1*High_Days, 'Rates Table'!G57*PODs*High_Days), 0)</f>
        <v>1352.3999999999999</v>
      </c>
      <c r="H43" s="141">
        <f ca="1">IFERROR(IF(H$55=1, 'Rates Table'!H57*1*High_Days, 'Rates Table'!H57*PODs*High_Days), 0)</f>
        <v>1352.3999999999999</v>
      </c>
      <c r="I43" s="141">
        <f ca="1">IFERROR(IF(I$55=1, 'Rates Table'!I57*1*High_Days, 'Rates Table'!I57*PODs*High_Days), 0)</f>
        <v>0</v>
      </c>
      <c r="J43" s="141">
        <f ca="1">IFERROR(IF(J$55=1, 'Rates Table'!J57*1*High_Days, 'Rates Table'!J57*PODs*High_Days), 0)</f>
        <v>0</v>
      </c>
      <c r="K43" s="141">
        <f ca="1">IFERROR(IF(K$55=1, 'Rates Table'!K57*1*High_Days, 'Rates Table'!K57*PODs*High_Days), 0)</f>
        <v>0</v>
      </c>
      <c r="L43" s="141">
        <f ca="1">IFERROR(IF(L$55=1, 'Rates Table'!L57*1*High_Days, 'Rates Table'!L57*PODs*High_Days), 0)</f>
        <v>300.83999999999997</v>
      </c>
      <c r="M43" s="141">
        <f ca="1">IFERROR(IF(M$55=1, 'Rates Table'!M57*1*High_Days, 'Rates Table'!M57*PODs*High_Days), 0)</f>
        <v>300.83999999999997</v>
      </c>
      <c r="N43" s="141">
        <f ca="1">IFERROR(IF(N$55=1, 'Rates Table'!N57*1*High_Days, 'Rates Table'!N57*PODs*High_Days), 0)</f>
        <v>300.83999999999997</v>
      </c>
      <c r="O43" s="141">
        <f ca="1">IFERROR(IF(O$55=1, 'Rates Table'!O57*1*High_Days, 'Rates Table'!O57*PODs*High_Days), 0)</f>
        <v>300.83999999999997</v>
      </c>
      <c r="P43" s="141">
        <f ca="1">IFERROR(IF(P$55=1, 'Rates Table'!P57*1*High_Days, 'Rates Table'!P57*PODs*High_Days), 0)</f>
        <v>300.83999999999997</v>
      </c>
      <c r="Q43" s="141">
        <f ca="1">IFERROR(IF(Q$55=1, 'Rates Table'!Q57*1*High_Days, 'Rates Table'!Q57*PODs*High_Days), 0)</f>
        <v>2254</v>
      </c>
      <c r="R43" s="141">
        <f ca="1">IFERROR(IF(R$55=1, 'Rates Table'!R57*1*High_Days, 'Rates Table'!R57*PODs*High_Days), 0)</f>
        <v>2254</v>
      </c>
      <c r="S43" s="141">
        <f ca="1">IFERROR(IF(S$55=1, 'Rates Table'!S57*1*High_Days, 'Rates Table'!S57*PODs*High_Days), 0)</f>
        <v>2254</v>
      </c>
      <c r="T43" s="141">
        <f ca="1">IFERROR(IF(T$55=1, 'Rates Table'!T57*1*High_Days, 'Rates Table'!T57*PODs*High_Days), 0)</f>
        <v>0</v>
      </c>
      <c r="U43" s="141">
        <f ca="1">IFERROR(IF(U$55=1, 'Rates Table'!U57*1*High_Days, 'Rates Table'!U57*PODs*High_Days), 0)</f>
        <v>8004</v>
      </c>
      <c r="V43" s="141">
        <f ca="1">IFERROR(IF(V$55=1, 'Rates Table'!V57*1*High_Days, 'Rates Table'!V57*PODs*High_Days), 0)</f>
        <v>5913.76</v>
      </c>
      <c r="W43" s="141">
        <f ca="1">IFERROR(IF(W$55=1, 'Rates Table'!W57*1*High_Days, 'Rates Table'!W57*PODs*High_Days), 0)</f>
        <v>5913.76</v>
      </c>
      <c r="X43" s="141">
        <f ca="1">IFERROR(IF(X$55=1, 'Rates Table'!X57*1*High_Days, 'Rates Table'!X57*PODs*High_Days), 0)</f>
        <v>5913.76</v>
      </c>
      <c r="Y43" s="141">
        <f ca="1">IFERROR(IF(Y$55=1, 'Rates Table'!Y57*1*High_Days, 'Rates Table'!Y57*PODs*High_Days), 0)</f>
        <v>5913.76</v>
      </c>
      <c r="Z43" s="141">
        <f ca="1">IFERROR(IF(Z$55=1, 'Rates Table'!Z57*1*High_Days, 'Rates Table'!Z57*PODs*High_Days), 0)</f>
        <v>5913.76</v>
      </c>
      <c r="AA43" s="141">
        <f ca="1">IFERROR(IF(AA$55=1, 'Rates Table'!AA57*1*High_Days, 'Rates Table'!AA57*PODs*High_Days), 0)</f>
        <v>5913.76</v>
      </c>
      <c r="AB43" s="141">
        <f ca="1">IFERROR(IF(AB$55=1, 'Rates Table'!AB57*1*High_Days, 'Rates Table'!AB57*PODs*High_Days), 0)</f>
        <v>0</v>
      </c>
      <c r="AC43" s="141">
        <f ca="1">IFERROR(IF(AC$55=1, 'Rates Table'!AC57*1*High_Days, 'Rates Table'!AC57*PODs*High_Days), 0)</f>
        <v>0</v>
      </c>
      <c r="AD43" s="141">
        <f ca="1">IFERROR(IF(AD$55=1, 'Rates Table'!AD57*1*High_Days, 'Rates Table'!AD57*PODs*High_Days), 0)</f>
        <v>0</v>
      </c>
      <c r="AE43" s="141">
        <f ca="1">IFERROR(IF(AE$55=1, 'Rates Table'!AE57*1*High_Days, 'Rates Table'!AE57*PODs*High_Days), 0)</f>
        <v>0</v>
      </c>
      <c r="AF43" s="141">
        <f ca="1">IFERROR(IF(AF$55=1, 'Rates Table'!AF57*1*High_Days, 'Rates Table'!AF57*PODs*High_Days), 0)</f>
        <v>2971.6</v>
      </c>
      <c r="AG43" s="141">
        <f ca="1">IFERROR(IF(AG$55=1, 'Rates Table'!AG57*1*High_Days, 'Rates Table'!AG57*PODs*High_Days), 0)</f>
        <v>5913.76</v>
      </c>
      <c r="AH43" s="141">
        <f ca="1">IFERROR(IF(AH$55=1, 'Rates Table'!AH57*1*High_Days, 'Rates Table'!AH57*PODs*High_Days), 0)</f>
        <v>0</v>
      </c>
      <c r="AI43" s="141">
        <f ca="1">IFERROR(IF(AI$55=1, 'Rates Table'!AI57*1*High_Days, 'Rates Table'!AI57*PODs*High_Days), 0)</f>
        <v>0</v>
      </c>
      <c r="AJ43" s="141">
        <f ca="1">IFERROR(IF(AJ$55=1, 'Rates Table'!AJ57*1*High_Days, 'Rates Table'!AJ57*PODs*High_Days), 0)</f>
        <v>0</v>
      </c>
      <c r="AK43" s="141">
        <f ca="1">IFERROR(IF(AK$55=1, 'Rates Table'!AK57*1*High_Days, 'Rates Table'!AK57*PODs*High_Days), 0)</f>
        <v>0</v>
      </c>
      <c r="AL43" s="141">
        <f ca="1">IFERROR(IF(AL$55=1, 'Rates Table'!AL57*1*High_Days, 'Rates Table'!AL57*PODs*High_Days), 0)</f>
        <v>300.83999999999997</v>
      </c>
      <c r="AM43" s="141">
        <f ca="1">IFERROR(IF(AM$55=1, 'Rates Table'!AM57*1*High_Days, 'Rates Table'!AM57*PODs*High_Days), 0)</f>
        <v>300.83999999999997</v>
      </c>
      <c r="AN43" s="141">
        <f ca="1">IFERROR(IF(AN$55=1, 'Rates Table'!AN57*1*High_Days, 'Rates Table'!AN57*PODs*High_Days), 0)</f>
        <v>300.83999999999997</v>
      </c>
      <c r="AO43" s="141">
        <f ca="1">IFERROR(IF(AO$55=1, 'Rates Table'!AO57*1*High_Days, 'Rates Table'!AO57*PODs*High_Days), 0)</f>
        <v>300.83999999999997</v>
      </c>
      <c r="AP43" s="141">
        <f ca="1">IFERROR(IF(AP$55=1, 'Rates Table'!AP57*1*High_Days, 'Rates Table'!AP57*PODs*High_Days), 0)</f>
        <v>5913.76</v>
      </c>
      <c r="AQ43" s="141">
        <f ca="1">IFERROR(IF(AQ$55=1, 'Rates Table'!AQ57*1*High_Days, 'Rates Table'!AQ57*PODs*High_Days), 0)</f>
        <v>5913.76</v>
      </c>
      <c r="AR43" s="141">
        <f ca="1">IFERROR(IF(AR$55=1, 'Rates Table'!AR57*1*High_Days, 'Rates Table'!AR57*PODs*High_Days), 0)</f>
        <v>0</v>
      </c>
      <c r="AT43" s="140">
        <f t="shared" ca="1" si="23"/>
        <v>6431.7199999999993</v>
      </c>
      <c r="AU43" s="141">
        <f ca="1">IFERROR(IF(AU$55=1, 'Rates Table'!AU57*1*High_Days, 'Rates Table'!AU57*PODs*High_Days), 0)</f>
        <v>1471.08</v>
      </c>
      <c r="AV43" s="141">
        <f ca="1">IFERROR(IF(AV$55=1, 'Rates Table'!AV57*1*High_Days, 'Rates Table'!AV57*PODs*High_Days), 0)</f>
        <v>1471.08</v>
      </c>
      <c r="AW43" s="141">
        <f ca="1">IFERROR(IF(AW$55=1, 'Rates Table'!AW57*1*High_Days, 'Rates Table'!AW57*PODs*High_Days), 0)</f>
        <v>1471.08</v>
      </c>
      <c r="AX43" s="141">
        <f ca="1">IFERROR(IF(AX$55=1, 'Rates Table'!AX57*1*High_Days, 'Rates Table'!AX57*PODs*High_Days), 0)</f>
        <v>0</v>
      </c>
      <c r="AY43" s="141">
        <f ca="1">IFERROR(IF(AY$55=1, 'Rates Table'!AY57*1*High_Days, 'Rates Table'!AY57*PODs*High_Days), 0)</f>
        <v>0</v>
      </c>
      <c r="AZ43" s="141">
        <f ca="1">IFERROR(IF(AZ$55=1, 'Rates Table'!AZ57*1*High_Days, 'Rates Table'!AZ57*PODs*High_Days), 0)</f>
        <v>0</v>
      </c>
      <c r="BA43" s="141">
        <f ca="1">IFERROR(IF(BA$55=1, 'Rates Table'!BA57*1*High_Days, 'Rates Table'!BA57*PODs*High_Days), 0)</f>
        <v>528.08000000000004</v>
      </c>
      <c r="BB43" s="141">
        <f ca="1">IFERROR(IF(BB$55=1, 'Rates Table'!BB57*1*High_Days, 'Rates Table'!BB57*PODs*High_Days), 0)</f>
        <v>528.08000000000004</v>
      </c>
      <c r="BC43" s="141">
        <f ca="1">IFERROR(IF(BC$55=1, 'Rates Table'!BC57*1*High_Days, 'Rates Table'!BC57*PODs*High_Days), 0)</f>
        <v>528.08000000000004</v>
      </c>
      <c r="BD43" s="141">
        <f ca="1">IFERROR(IF(BD$55=1, 'Rates Table'!BD57*1*High_Days, 'Rates Table'!BD57*PODs*High_Days), 0)</f>
        <v>528.08000000000004</v>
      </c>
      <c r="BE43" s="141">
        <f ca="1">IFERROR(IF(BE$55=1, 'Rates Table'!BE57*1*High_Days, 'Rates Table'!BE57*PODs*High_Days), 0)</f>
        <v>528.08000000000004</v>
      </c>
      <c r="BF43" s="141">
        <f ca="1">IFERROR(IF(BF$55=1, 'Rates Table'!BF57*1*High_Days, 'Rates Table'!BF57*PODs*High_Days), 0)</f>
        <v>2451.7999999999997</v>
      </c>
      <c r="BG43" s="141">
        <f ca="1">IFERROR(IF(BG$55=1, 'Rates Table'!BG57*1*High_Days, 'Rates Table'!BG57*PODs*High_Days), 0)</f>
        <v>2451.7999999999997</v>
      </c>
      <c r="BH43" s="141">
        <f ca="1">IFERROR(IF(BH$55=1, 'Rates Table'!BH57*1*High_Days, 'Rates Table'!BH57*PODs*High_Days), 0)</f>
        <v>2451.7999999999997</v>
      </c>
      <c r="BI43" s="141">
        <f ca="1">IFERROR(IF(BI$55=1, 'Rates Table'!BI57*1*High_Days, 'Rates Table'!BI57*PODs*High_Days), 0)</f>
        <v>0</v>
      </c>
      <c r="BJ43" s="141">
        <f ca="1">IFERROR(IF(BJ$55=1, 'Rates Table'!BJ57*1*High_Days, 'Rates Table'!BJ57*PODs*High_Days), 0)</f>
        <v>8705.0400000000009</v>
      </c>
      <c r="BK43" s="141">
        <f ca="1">IFERROR(IF(BK$55=1, 'Rates Table'!BK57*1*High_Days, 'Rates Table'!BK57*PODs*High_Days), 0)</f>
        <v>6431.7199999999993</v>
      </c>
      <c r="BL43" s="141">
        <f ca="1">IFERROR(IF(BL$55=1, 'Rates Table'!BL57*1*High_Days, 'Rates Table'!BL57*PODs*High_Days), 0)</f>
        <v>6431.7199999999993</v>
      </c>
      <c r="BM43" s="141">
        <f ca="1">IFERROR(IF(BM$55=1, 'Rates Table'!BM57*1*High_Days, 'Rates Table'!BM57*PODs*High_Days), 0)</f>
        <v>6431.7199999999993</v>
      </c>
      <c r="BN43" s="141">
        <f ca="1">IFERROR(IF(BN$55=1, 'Rates Table'!BN57*1*High_Days, 'Rates Table'!BN57*PODs*High_Days), 0)</f>
        <v>6431.7199999999993</v>
      </c>
      <c r="BO43" s="141">
        <f ca="1">IFERROR(IF(BO$55=1, 'Rates Table'!BO57*1*High_Days, 'Rates Table'!BO57*PODs*High_Days), 0)</f>
        <v>6431.7199999999993</v>
      </c>
      <c r="BP43" s="141">
        <f ca="1">IFERROR(IF(BP$55=1, 'Rates Table'!BP57*1*High_Days, 'Rates Table'!BP57*PODs*High_Days), 0)</f>
        <v>6431.7199999999993</v>
      </c>
      <c r="BQ43" s="141">
        <f ca="1">IFERROR(IF(BQ$55=1, 'Rates Table'!BQ57*1*High_Days, 'Rates Table'!BQ57*PODs*High_Days), 0)</f>
        <v>0</v>
      </c>
      <c r="BR43" s="141">
        <f ca="1">IFERROR(IF(BR$55=1, 'Rates Table'!BR57*1*High_Days, 'Rates Table'!BR57*PODs*High_Days), 0)</f>
        <v>0</v>
      </c>
      <c r="BS43" s="141">
        <f ca="1">IFERROR(IF(BS$55=1, 'Rates Table'!BS57*1*High_Days, 'Rates Table'!BS57*PODs*High_Days), 0)</f>
        <v>0</v>
      </c>
      <c r="BT43" s="141">
        <f ca="1">IFERROR(IF(BT$55=1, 'Rates Table'!BT57*1*High_Days, 'Rates Table'!BT57*PODs*High_Days), 0)</f>
        <v>0</v>
      </c>
      <c r="BU43" s="141">
        <f ca="1">IFERROR(IF(BU$55=1, 'Rates Table'!BU57*1*High_Days, 'Rates Table'!BU57*PODs*High_Days), 0)</f>
        <v>3231.96</v>
      </c>
      <c r="BV43" s="141">
        <f ca="1">IFERROR(IF(BV$55=1, 'Rates Table'!BV57*1*High_Days, 'Rates Table'!BV57*PODs*High_Days), 0)</f>
        <v>6431.7199999999993</v>
      </c>
      <c r="BW43" s="141">
        <f ca="1">IFERROR(IF(BW$55=1, 'Rates Table'!BW57*1*High_Days, 'Rates Table'!BW57*PODs*High_Days), 0)</f>
        <v>0</v>
      </c>
      <c r="BX43" s="141">
        <f ca="1">IFERROR(IF(BX$55=1, 'Rates Table'!BX57*1*High_Days, 'Rates Table'!BX57*PODs*High_Days), 0)</f>
        <v>0</v>
      </c>
      <c r="BY43" s="141">
        <f ca="1">IFERROR(IF(BY$55=1, 'Rates Table'!BY57*1*High_Days, 'Rates Table'!BY57*PODs*High_Days), 0)</f>
        <v>0</v>
      </c>
      <c r="BZ43" s="141">
        <f ca="1">IFERROR(IF(BZ$55=1, 'Rates Table'!BZ57*1*High_Days, 'Rates Table'!BZ57*PODs*High_Days), 0)</f>
        <v>0</v>
      </c>
      <c r="CA43" s="141">
        <f ca="1">IFERROR(IF(CA$55=1, 'Rates Table'!CA57*1*High_Days, 'Rates Table'!CA57*PODs*High_Days), 0)</f>
        <v>528.08000000000004</v>
      </c>
      <c r="CB43" s="141">
        <f ca="1">IFERROR(IF(CB$55=1, 'Rates Table'!CB57*1*High_Days, 'Rates Table'!CB57*PODs*High_Days), 0)</f>
        <v>528.08000000000004</v>
      </c>
      <c r="CC43" s="141">
        <f ca="1">IFERROR(IF(CC$55=1, 'Rates Table'!CC57*1*High_Days, 'Rates Table'!CC57*PODs*High_Days), 0)</f>
        <v>528.08000000000004</v>
      </c>
      <c r="CD43" s="141">
        <f ca="1">IFERROR(IF(CD$55=1, 'Rates Table'!CD57*1*High_Days, 'Rates Table'!CD57*PODs*High_Days), 0)</f>
        <v>528.08000000000004</v>
      </c>
      <c r="CE43" s="141">
        <f ca="1">IFERROR(IF(CE$55=1, 'Rates Table'!CE57*1*High_Days, 'Rates Table'!CE57*PODs*High_Days), 0)</f>
        <v>6431.7199999999993</v>
      </c>
      <c r="CF43" s="141">
        <f ca="1">IFERROR(IF(CF$55=1, 'Rates Table'!CF57*1*High_Days, 'Rates Table'!CF57*PODs*High_Days), 0)</f>
        <v>6431.7199999999993</v>
      </c>
    </row>
    <row r="44" spans="2:84" s="138" customFormat="1" ht="3.6" customHeight="1"/>
    <row r="45" spans="2:84" s="138" customFormat="1">
      <c r="B45" s="142" t="s">
        <v>143</v>
      </c>
      <c r="C45" s="142"/>
      <c r="D45" s="143"/>
      <c r="E45" s="143">
        <f t="shared" ref="E45:AA45" ca="1" si="24">SUM(E37:E43)</f>
        <v>7054.56</v>
      </c>
      <c r="F45" s="143">
        <f t="shared" ca="1" si="24"/>
        <v>1352.3999999999999</v>
      </c>
      <c r="G45" s="143">
        <f t="shared" ca="1" si="24"/>
        <v>1352.3999999999999</v>
      </c>
      <c r="H45" s="143">
        <f t="shared" ca="1" si="24"/>
        <v>1352.3999999999999</v>
      </c>
      <c r="I45" s="143">
        <f t="shared" ca="1" si="24"/>
        <v>0</v>
      </c>
      <c r="J45" s="143">
        <f t="shared" ca="1" si="24"/>
        <v>0</v>
      </c>
      <c r="K45" s="143">
        <f t="shared" ca="1" si="24"/>
        <v>0</v>
      </c>
      <c r="L45" s="143">
        <f t="shared" ca="1" si="24"/>
        <v>300.83999999999997</v>
      </c>
      <c r="M45" s="143">
        <f t="shared" ca="1" si="24"/>
        <v>300.83999999999997</v>
      </c>
      <c r="N45" s="143">
        <f t="shared" ca="1" si="24"/>
        <v>300.83999999999997</v>
      </c>
      <c r="O45" s="143">
        <f t="shared" ca="1" si="24"/>
        <v>300.83999999999997</v>
      </c>
      <c r="P45" s="143">
        <f t="shared" ca="1" si="24"/>
        <v>300.83999999999997</v>
      </c>
      <c r="Q45" s="143">
        <f t="shared" ca="1" si="24"/>
        <v>2254</v>
      </c>
      <c r="R45" s="143">
        <f t="shared" ca="1" si="24"/>
        <v>2254</v>
      </c>
      <c r="S45" s="143">
        <f t="shared" ca="1" si="24"/>
        <v>2254</v>
      </c>
      <c r="T45" s="143">
        <f t="shared" ca="1" si="24"/>
        <v>0</v>
      </c>
      <c r="U45" s="143">
        <f t="shared" ca="1" si="24"/>
        <v>8004</v>
      </c>
      <c r="V45" s="143">
        <f t="shared" ca="1" si="24"/>
        <v>7054.56</v>
      </c>
      <c r="W45" s="143">
        <f t="shared" ca="1" si="24"/>
        <v>7054.56</v>
      </c>
      <c r="X45" s="143">
        <f t="shared" ca="1" si="24"/>
        <v>7054.56</v>
      </c>
      <c r="Y45" s="143">
        <f t="shared" ca="1" si="24"/>
        <v>7054.56</v>
      </c>
      <c r="Z45" s="143">
        <f t="shared" ca="1" si="24"/>
        <v>7054.56</v>
      </c>
      <c r="AA45" s="143">
        <f t="shared" ca="1" si="24"/>
        <v>7054.56</v>
      </c>
      <c r="AB45" s="143">
        <f ca="1">SUM(AB37:AB43)</f>
        <v>0</v>
      </c>
      <c r="AC45" s="143">
        <f ca="1">SUM(AC37:AC43)</f>
        <v>0</v>
      </c>
      <c r="AD45" s="143">
        <f ca="1">SUM(AD37:AD43)</f>
        <v>0</v>
      </c>
      <c r="AE45" s="143">
        <f ca="1">SUM(AE37:AE43)</f>
        <v>0</v>
      </c>
      <c r="AF45" s="143">
        <f ca="1">SUM(AF37:AF43)</f>
        <v>2971.6</v>
      </c>
      <c r="AG45" s="143">
        <f t="shared" ref="AG45:AO45" ca="1" si="25">SUM(AG37:AG43)</f>
        <v>7054.56</v>
      </c>
      <c r="AH45" s="143">
        <f t="shared" ca="1" si="25"/>
        <v>0</v>
      </c>
      <c r="AI45" s="143">
        <f t="shared" ca="1" si="25"/>
        <v>0</v>
      </c>
      <c r="AJ45" s="143">
        <f t="shared" ca="1" si="25"/>
        <v>0</v>
      </c>
      <c r="AK45" s="143">
        <f t="shared" ca="1" si="25"/>
        <v>0</v>
      </c>
      <c r="AL45" s="143">
        <f t="shared" ca="1" si="25"/>
        <v>300.83999999999997</v>
      </c>
      <c r="AM45" s="143">
        <f t="shared" ca="1" si="25"/>
        <v>300.83999999999997</v>
      </c>
      <c r="AN45" s="143">
        <f t="shared" ca="1" si="25"/>
        <v>300.83999999999997</v>
      </c>
      <c r="AO45" s="143">
        <f t="shared" ca="1" si="25"/>
        <v>300.83999999999997</v>
      </c>
      <c r="AP45" s="143">
        <f ca="1">SUM(AP37:AP43)</f>
        <v>7054.56</v>
      </c>
      <c r="AQ45" s="143">
        <f ca="1">SUM(AQ37:AQ43)</f>
        <v>7054.56</v>
      </c>
      <c r="AR45" s="143">
        <f ca="1">SUM(AR37:AR43)</f>
        <v>0</v>
      </c>
      <c r="AT45" s="143">
        <f t="shared" ref="AT45:BP45" ca="1" si="26">SUM(AT37:AT43)</f>
        <v>7672.7999999999993</v>
      </c>
      <c r="AU45" s="143">
        <f t="shared" ca="1" si="26"/>
        <v>1471.08</v>
      </c>
      <c r="AV45" s="143">
        <f t="shared" ca="1" si="26"/>
        <v>1471.08</v>
      </c>
      <c r="AW45" s="143">
        <f t="shared" ca="1" si="26"/>
        <v>1471.08</v>
      </c>
      <c r="AX45" s="143">
        <f t="shared" ca="1" si="26"/>
        <v>0</v>
      </c>
      <c r="AY45" s="143">
        <f t="shared" ca="1" si="26"/>
        <v>0</v>
      </c>
      <c r="AZ45" s="143">
        <f t="shared" ca="1" si="26"/>
        <v>0</v>
      </c>
      <c r="BA45" s="143">
        <f t="shared" ca="1" si="26"/>
        <v>528.08000000000004</v>
      </c>
      <c r="BB45" s="143">
        <f t="shared" ca="1" si="26"/>
        <v>528.08000000000004</v>
      </c>
      <c r="BC45" s="143">
        <f t="shared" ca="1" si="26"/>
        <v>528.08000000000004</v>
      </c>
      <c r="BD45" s="143">
        <f t="shared" ca="1" si="26"/>
        <v>528.08000000000004</v>
      </c>
      <c r="BE45" s="143">
        <f t="shared" ca="1" si="26"/>
        <v>528.08000000000004</v>
      </c>
      <c r="BF45" s="143">
        <f t="shared" ca="1" si="26"/>
        <v>2451.7999999999997</v>
      </c>
      <c r="BG45" s="143">
        <f t="shared" ca="1" si="26"/>
        <v>2451.7999999999997</v>
      </c>
      <c r="BH45" s="143">
        <f t="shared" ca="1" si="26"/>
        <v>2451.7999999999997</v>
      </c>
      <c r="BI45" s="143">
        <f t="shared" ca="1" si="26"/>
        <v>0</v>
      </c>
      <c r="BJ45" s="143">
        <f t="shared" ca="1" si="26"/>
        <v>8705.0400000000009</v>
      </c>
      <c r="BK45" s="143">
        <f t="shared" ca="1" si="26"/>
        <v>7672.7999999999993</v>
      </c>
      <c r="BL45" s="143">
        <f t="shared" ca="1" si="26"/>
        <v>7672.7999999999993</v>
      </c>
      <c r="BM45" s="143">
        <f t="shared" ca="1" si="26"/>
        <v>7672.7999999999993</v>
      </c>
      <c r="BN45" s="143">
        <f t="shared" ca="1" si="26"/>
        <v>7672.7999999999993</v>
      </c>
      <c r="BO45" s="143">
        <f t="shared" ca="1" si="26"/>
        <v>7672.7999999999993</v>
      </c>
      <c r="BP45" s="143">
        <f t="shared" ca="1" si="26"/>
        <v>7672.7999999999993</v>
      </c>
      <c r="BQ45" s="143">
        <f ca="1">SUM(BQ37:BQ43)</f>
        <v>0</v>
      </c>
      <c r="BR45" s="143">
        <f ca="1">SUM(BR37:BR43)</f>
        <v>0</v>
      </c>
      <c r="BS45" s="143">
        <f ca="1">SUM(BS37:BS43)</f>
        <v>0</v>
      </c>
      <c r="BT45" s="143">
        <f ca="1">SUM(BT37:BT43)</f>
        <v>0</v>
      </c>
      <c r="BU45" s="143">
        <f ca="1">SUM(BU37:BU43)</f>
        <v>3231.96</v>
      </c>
      <c r="BV45" s="143">
        <f t="shared" ref="BV45:CD45" ca="1" si="27">SUM(BV37:BV43)</f>
        <v>7672.7999999999993</v>
      </c>
      <c r="BW45" s="143">
        <f t="shared" ca="1" si="27"/>
        <v>0</v>
      </c>
      <c r="BX45" s="143">
        <f t="shared" ca="1" si="27"/>
        <v>0</v>
      </c>
      <c r="BY45" s="143">
        <f t="shared" ca="1" si="27"/>
        <v>0</v>
      </c>
      <c r="BZ45" s="143">
        <f t="shared" ca="1" si="27"/>
        <v>0</v>
      </c>
      <c r="CA45" s="143">
        <f t="shared" ca="1" si="27"/>
        <v>528.08000000000004</v>
      </c>
      <c r="CB45" s="143">
        <f t="shared" ca="1" si="27"/>
        <v>528.08000000000004</v>
      </c>
      <c r="CC45" s="143">
        <f t="shared" ca="1" si="27"/>
        <v>528.08000000000004</v>
      </c>
      <c r="CD45" s="143">
        <f t="shared" ca="1" si="27"/>
        <v>528.08000000000004</v>
      </c>
      <c r="CE45" s="143">
        <f ca="1">SUM(CE37:CE43)</f>
        <v>7672.7999999999993</v>
      </c>
      <c r="CF45" s="143">
        <f ca="1">SUM(CF37:CF43)</f>
        <v>7672.7999999999993</v>
      </c>
    </row>
    <row r="46" spans="2:84" s="138" customFormat="1"/>
    <row r="47" spans="2:84" s="138" customFormat="1">
      <c r="B47" s="142" t="s">
        <v>128</v>
      </c>
      <c r="C47" s="142"/>
      <c r="D47" s="142"/>
      <c r="E47" s="143">
        <f t="shared" ref="E47:AA47" ca="1" si="28">E45+E33+E18</f>
        <v>7054.56</v>
      </c>
      <c r="F47" s="143">
        <f t="shared" ca="1" si="28"/>
        <v>3405.84</v>
      </c>
      <c r="G47" s="143">
        <f t="shared" ca="1" si="28"/>
        <v>4403.12</v>
      </c>
      <c r="H47" s="143">
        <f t="shared" ca="1" si="28"/>
        <v>8965.4</v>
      </c>
      <c r="I47" s="143">
        <f t="shared" ca="1" si="28"/>
        <v>0</v>
      </c>
      <c r="J47" s="143">
        <f t="shared" ca="1" si="28"/>
        <v>0</v>
      </c>
      <c r="K47" s="143">
        <f t="shared" ca="1" si="28"/>
        <v>0</v>
      </c>
      <c r="L47" s="143">
        <f t="shared" ca="1" si="28"/>
        <v>1483.04</v>
      </c>
      <c r="M47" s="143">
        <f t="shared" ca="1" si="28"/>
        <v>2908.12</v>
      </c>
      <c r="N47" s="143">
        <f t="shared" ca="1" si="28"/>
        <v>5905.48</v>
      </c>
      <c r="O47" s="143">
        <f t="shared" ca="1" si="28"/>
        <v>1112.28</v>
      </c>
      <c r="P47" s="143">
        <f t="shared" ca="1" si="28"/>
        <v>5830.04</v>
      </c>
      <c r="Q47" s="143">
        <f t="shared" ca="1" si="28"/>
        <v>8225.7200000000012</v>
      </c>
      <c r="R47" s="143">
        <f t="shared" ca="1" si="28"/>
        <v>11671.119999999999</v>
      </c>
      <c r="S47" s="143">
        <f t="shared" ca="1" si="28"/>
        <v>17509.439999999999</v>
      </c>
      <c r="T47" s="143">
        <f t="shared" ca="1" si="28"/>
        <v>4388.4000000000005</v>
      </c>
      <c r="U47" s="143">
        <f t="shared" ca="1" si="28"/>
        <v>8004</v>
      </c>
      <c r="V47" s="143">
        <f t="shared" ca="1" si="28"/>
        <v>7054.56</v>
      </c>
      <c r="W47" s="143">
        <f t="shared" ca="1" si="28"/>
        <v>7054.56</v>
      </c>
      <c r="X47" s="143">
        <f t="shared" ca="1" si="28"/>
        <v>7054.56</v>
      </c>
      <c r="Y47" s="143">
        <f t="shared" ca="1" si="28"/>
        <v>7054.56</v>
      </c>
      <c r="Z47" s="143">
        <f t="shared" ca="1" si="28"/>
        <v>7054.56</v>
      </c>
      <c r="AA47" s="143">
        <f t="shared" ca="1" si="28"/>
        <v>7054.56</v>
      </c>
      <c r="AB47" s="143">
        <f ca="1">AB45+AB33+AB18</f>
        <v>0</v>
      </c>
      <c r="AC47" s="143">
        <f ca="1">AC45+AC33+AC18</f>
        <v>0</v>
      </c>
      <c r="AD47" s="143">
        <f ca="1">AD45+AD33+AD18</f>
        <v>0</v>
      </c>
      <c r="AE47" s="143">
        <f ca="1">AE45+AE33+AE18</f>
        <v>0</v>
      </c>
      <c r="AF47" s="143">
        <f ca="1">AF45+AF33+AF18</f>
        <v>2971.6</v>
      </c>
      <c r="AG47" s="143">
        <f t="shared" ref="AG47:AO47" ca="1" si="29">AG45+AG33+AG18</f>
        <v>7054.56</v>
      </c>
      <c r="AH47" s="143">
        <f t="shared" ca="1" si="29"/>
        <v>0</v>
      </c>
      <c r="AI47" s="143">
        <f t="shared" ca="1" si="29"/>
        <v>0</v>
      </c>
      <c r="AJ47" s="143">
        <f t="shared" ca="1" si="29"/>
        <v>0</v>
      </c>
      <c r="AK47" s="143">
        <f t="shared" ca="1" si="29"/>
        <v>0</v>
      </c>
      <c r="AL47" s="143">
        <f t="shared" ca="1" si="29"/>
        <v>1483.04</v>
      </c>
      <c r="AM47" s="143">
        <f t="shared" ca="1" si="29"/>
        <v>2908.12</v>
      </c>
      <c r="AN47" s="143">
        <f t="shared" ca="1" si="29"/>
        <v>5905.48</v>
      </c>
      <c r="AO47" s="143">
        <f t="shared" ca="1" si="29"/>
        <v>1112.28</v>
      </c>
      <c r="AP47" s="143">
        <f ca="1">AP45+AP33+AP18</f>
        <v>7054.56</v>
      </c>
      <c r="AQ47" s="143">
        <f ca="1">AQ45+AQ33+AQ18</f>
        <v>7054.56</v>
      </c>
      <c r="AR47" s="143">
        <f ca="1">AR45+AR33+AR18</f>
        <v>0</v>
      </c>
      <c r="AT47" s="143">
        <f t="shared" ref="AT47:BP47" ca="1" si="30">AT45+AT33+AT18</f>
        <v>7672.7999999999993</v>
      </c>
      <c r="AU47" s="143">
        <f t="shared" ca="1" si="30"/>
        <v>3782.12</v>
      </c>
      <c r="AV47" s="143">
        <f t="shared" ca="1" si="30"/>
        <v>4906.3599999999997</v>
      </c>
      <c r="AW47" s="143">
        <f t="shared" ca="1" si="30"/>
        <v>10041.800000000001</v>
      </c>
      <c r="AX47" s="143">
        <f t="shared" ca="1" si="30"/>
        <v>0</v>
      </c>
      <c r="AY47" s="143">
        <f t="shared" ca="1" si="30"/>
        <v>0</v>
      </c>
      <c r="AZ47" s="143">
        <f t="shared" ca="1" si="30"/>
        <v>0</v>
      </c>
      <c r="BA47" s="143">
        <f t="shared" ca="1" si="30"/>
        <v>1841.8400000000001</v>
      </c>
      <c r="BB47" s="143">
        <f t="shared" ca="1" si="30"/>
        <v>3414.12</v>
      </c>
      <c r="BC47" s="143">
        <f t="shared" ca="1" si="30"/>
        <v>6746.3600000000006</v>
      </c>
      <c r="BD47" s="143">
        <f t="shared" ca="1" si="30"/>
        <v>1428.7600000000002</v>
      </c>
      <c r="BE47" s="143">
        <f t="shared" ca="1" si="30"/>
        <v>6730.72</v>
      </c>
      <c r="BF47" s="143">
        <f t="shared" ca="1" si="30"/>
        <v>9053.7199999999993</v>
      </c>
      <c r="BG47" s="143">
        <f t="shared" ca="1" si="30"/>
        <v>12906.68</v>
      </c>
      <c r="BH47" s="143">
        <f t="shared" ca="1" si="30"/>
        <v>19458.920000000002</v>
      </c>
      <c r="BI47" s="143">
        <f t="shared" ca="1" si="30"/>
        <v>4842.8799999999992</v>
      </c>
      <c r="BJ47" s="143">
        <f t="shared" ca="1" si="30"/>
        <v>8705.0400000000009</v>
      </c>
      <c r="BK47" s="143">
        <f t="shared" ca="1" si="30"/>
        <v>7672.7999999999993</v>
      </c>
      <c r="BL47" s="143">
        <f t="shared" ca="1" si="30"/>
        <v>7672.7999999999993</v>
      </c>
      <c r="BM47" s="143">
        <f t="shared" ca="1" si="30"/>
        <v>7672.7999999999993</v>
      </c>
      <c r="BN47" s="143">
        <f t="shared" ca="1" si="30"/>
        <v>7672.7999999999993</v>
      </c>
      <c r="BO47" s="143">
        <f t="shared" ca="1" si="30"/>
        <v>7672.7999999999993</v>
      </c>
      <c r="BP47" s="143">
        <f t="shared" ca="1" si="30"/>
        <v>7672.7999999999993</v>
      </c>
      <c r="BQ47" s="143">
        <f ca="1">BQ45+BQ33+BQ18</f>
        <v>0</v>
      </c>
      <c r="BR47" s="143">
        <f ca="1">BR45+BR33+BR18</f>
        <v>0</v>
      </c>
      <c r="BS47" s="143">
        <f ca="1">BS45+BS33+BS18</f>
        <v>0</v>
      </c>
      <c r="BT47" s="143">
        <f ca="1">BT45+BT33+BT18</f>
        <v>0</v>
      </c>
      <c r="BU47" s="143">
        <f ca="1">BU45+BU33+BU18</f>
        <v>3231.96</v>
      </c>
      <c r="BV47" s="143">
        <f t="shared" ref="BV47:CD47" ca="1" si="31">BV45+BV33+BV18</f>
        <v>7672.7999999999993</v>
      </c>
      <c r="BW47" s="143">
        <f t="shared" ca="1" si="31"/>
        <v>0</v>
      </c>
      <c r="BX47" s="143">
        <f t="shared" ca="1" si="31"/>
        <v>0</v>
      </c>
      <c r="BY47" s="143">
        <f t="shared" ca="1" si="31"/>
        <v>0</v>
      </c>
      <c r="BZ47" s="143">
        <f t="shared" ca="1" si="31"/>
        <v>0</v>
      </c>
      <c r="CA47" s="143">
        <f t="shared" ca="1" si="31"/>
        <v>1841.8400000000001</v>
      </c>
      <c r="CB47" s="143">
        <f t="shared" ca="1" si="31"/>
        <v>3414.12</v>
      </c>
      <c r="CC47" s="143">
        <f t="shared" ca="1" si="31"/>
        <v>6746.3600000000006</v>
      </c>
      <c r="CD47" s="143">
        <f t="shared" ca="1" si="31"/>
        <v>1428.7600000000002</v>
      </c>
      <c r="CE47" s="143">
        <f ca="1">CE45+CE33+CE18</f>
        <v>7672.7999999999993</v>
      </c>
      <c r="CF47" s="143">
        <f ca="1">CF45+CF33+CF18</f>
        <v>7672.7999999999993</v>
      </c>
    </row>
    <row r="48" spans="2:84" s="138" customFormat="1">
      <c r="B48" s="138" t="s">
        <v>129</v>
      </c>
      <c r="D48" s="39">
        <f>'Bill Comparison'!D59</f>
        <v>0.15</v>
      </c>
      <c r="E48" s="138">
        <f ca="1">E47*$D48</f>
        <v>1058.184</v>
      </c>
      <c r="F48" s="138">
        <f t="shared" ref="F48:AA48" ca="1" si="32">F47*$D48</f>
        <v>510.87599999999998</v>
      </c>
      <c r="G48" s="138">
        <f t="shared" ca="1" si="32"/>
        <v>660.46799999999996</v>
      </c>
      <c r="H48" s="138">
        <f t="shared" ca="1" si="32"/>
        <v>1344.81</v>
      </c>
      <c r="I48" s="138">
        <f t="shared" ca="1" si="32"/>
        <v>0</v>
      </c>
      <c r="J48" s="138">
        <f t="shared" ca="1" si="32"/>
        <v>0</v>
      </c>
      <c r="K48" s="138">
        <f t="shared" ca="1" si="32"/>
        <v>0</v>
      </c>
      <c r="L48" s="138">
        <f t="shared" ca="1" si="32"/>
        <v>222.45599999999999</v>
      </c>
      <c r="M48" s="138">
        <f t="shared" ca="1" si="32"/>
        <v>436.21799999999996</v>
      </c>
      <c r="N48" s="138">
        <f t="shared" ca="1" si="32"/>
        <v>885.82199999999989</v>
      </c>
      <c r="O48" s="138">
        <f t="shared" ca="1" si="32"/>
        <v>166.84199999999998</v>
      </c>
      <c r="P48" s="138">
        <f t="shared" ca="1" si="32"/>
        <v>874.50599999999997</v>
      </c>
      <c r="Q48" s="138">
        <f t="shared" ca="1" si="32"/>
        <v>1233.8580000000002</v>
      </c>
      <c r="R48" s="138">
        <f t="shared" ca="1" si="32"/>
        <v>1750.6679999999999</v>
      </c>
      <c r="S48" s="138">
        <f t="shared" ca="1" si="32"/>
        <v>2626.4159999999997</v>
      </c>
      <c r="T48" s="138">
        <f t="shared" ca="1" si="32"/>
        <v>658.2600000000001</v>
      </c>
      <c r="U48" s="138">
        <f t="shared" ca="1" si="32"/>
        <v>1200.5999999999999</v>
      </c>
      <c r="V48" s="138">
        <f t="shared" ca="1" si="32"/>
        <v>1058.184</v>
      </c>
      <c r="W48" s="138">
        <f t="shared" ca="1" si="32"/>
        <v>1058.184</v>
      </c>
      <c r="X48" s="138">
        <f t="shared" ca="1" si="32"/>
        <v>1058.184</v>
      </c>
      <c r="Y48" s="138">
        <f t="shared" ca="1" si="32"/>
        <v>1058.184</v>
      </c>
      <c r="Z48" s="138">
        <f t="shared" ca="1" si="32"/>
        <v>1058.184</v>
      </c>
      <c r="AA48" s="138">
        <f t="shared" ca="1" si="32"/>
        <v>1058.184</v>
      </c>
      <c r="AB48" s="138">
        <f ca="1">AB47*$D48</f>
        <v>0</v>
      </c>
      <c r="AC48" s="138">
        <f ca="1">AC47*$D48</f>
        <v>0</v>
      </c>
      <c r="AD48" s="138">
        <f ca="1">AD47*$D48</f>
        <v>0</v>
      </c>
      <c r="AE48" s="138">
        <f ca="1">AE47*$D48</f>
        <v>0</v>
      </c>
      <c r="AF48" s="138">
        <f ca="1">AF47*$D48</f>
        <v>445.73999999999995</v>
      </c>
      <c r="AG48" s="138">
        <f t="shared" ref="AG48:AO48" ca="1" si="33">AG47*$D48</f>
        <v>1058.184</v>
      </c>
      <c r="AH48" s="138">
        <f t="shared" ca="1" si="33"/>
        <v>0</v>
      </c>
      <c r="AI48" s="138">
        <f t="shared" ca="1" si="33"/>
        <v>0</v>
      </c>
      <c r="AJ48" s="138">
        <f t="shared" ca="1" si="33"/>
        <v>0</v>
      </c>
      <c r="AK48" s="138">
        <f t="shared" ca="1" si="33"/>
        <v>0</v>
      </c>
      <c r="AL48" s="138">
        <f t="shared" ca="1" si="33"/>
        <v>222.45599999999999</v>
      </c>
      <c r="AM48" s="138">
        <f t="shared" ca="1" si="33"/>
        <v>436.21799999999996</v>
      </c>
      <c r="AN48" s="138">
        <f t="shared" ca="1" si="33"/>
        <v>885.82199999999989</v>
      </c>
      <c r="AO48" s="138">
        <f t="shared" ca="1" si="33"/>
        <v>166.84199999999998</v>
      </c>
      <c r="AP48" s="138">
        <f ca="1">AP47*$D48</f>
        <v>1058.184</v>
      </c>
      <c r="AQ48" s="138">
        <f ca="1">AQ47*$D48</f>
        <v>1058.184</v>
      </c>
      <c r="AR48" s="138">
        <f ca="1">AR47*$D48</f>
        <v>0</v>
      </c>
      <c r="AT48" s="138">
        <f t="shared" ref="AT48:BO48" ca="1" si="34">AT47*$D48</f>
        <v>1150.9199999999998</v>
      </c>
      <c r="AU48" s="138">
        <f t="shared" ca="1" si="34"/>
        <v>567.31799999999998</v>
      </c>
      <c r="AV48" s="138">
        <f t="shared" ca="1" si="34"/>
        <v>735.95399999999995</v>
      </c>
      <c r="AW48" s="138">
        <f t="shared" ca="1" si="34"/>
        <v>1506.2700000000002</v>
      </c>
      <c r="AX48" s="138">
        <f t="shared" ca="1" si="34"/>
        <v>0</v>
      </c>
      <c r="AY48" s="138">
        <f t="shared" ca="1" si="34"/>
        <v>0</v>
      </c>
      <c r="AZ48" s="138">
        <f t="shared" ca="1" si="34"/>
        <v>0</v>
      </c>
      <c r="BA48" s="138">
        <f t="shared" ca="1" si="34"/>
        <v>276.27600000000001</v>
      </c>
      <c r="BB48" s="138">
        <f t="shared" ca="1" si="34"/>
        <v>512.11799999999994</v>
      </c>
      <c r="BC48" s="138">
        <f t="shared" ca="1" si="34"/>
        <v>1011.9540000000001</v>
      </c>
      <c r="BD48" s="138">
        <f t="shared" ca="1" si="34"/>
        <v>214.31400000000002</v>
      </c>
      <c r="BE48" s="138">
        <f t="shared" ca="1" si="34"/>
        <v>1009.6079999999999</v>
      </c>
      <c r="BF48" s="138">
        <f t="shared" ca="1" si="34"/>
        <v>1358.0579999999998</v>
      </c>
      <c r="BG48" s="138">
        <f t="shared" ca="1" si="34"/>
        <v>1936.002</v>
      </c>
      <c r="BH48" s="138">
        <f t="shared" ca="1" si="34"/>
        <v>2918.8380000000002</v>
      </c>
      <c r="BI48" s="138">
        <f t="shared" ca="1" si="34"/>
        <v>726.4319999999999</v>
      </c>
      <c r="BJ48" s="138">
        <f t="shared" ca="1" si="34"/>
        <v>1305.7560000000001</v>
      </c>
      <c r="BK48" s="138">
        <f t="shared" ca="1" si="34"/>
        <v>1150.9199999999998</v>
      </c>
      <c r="BL48" s="138">
        <f t="shared" ca="1" si="34"/>
        <v>1150.9199999999998</v>
      </c>
      <c r="BM48" s="138">
        <f t="shared" ca="1" si="34"/>
        <v>1150.9199999999998</v>
      </c>
      <c r="BN48" s="138">
        <f t="shared" ca="1" si="34"/>
        <v>1150.9199999999998</v>
      </c>
      <c r="BO48" s="138">
        <f t="shared" ca="1" si="34"/>
        <v>1150.9199999999998</v>
      </c>
      <c r="BP48" s="138">
        <f t="shared" ref="BP48:BU48" ca="1" si="35">BP47*$D48</f>
        <v>1150.9199999999998</v>
      </c>
      <c r="BQ48" s="138">
        <f t="shared" ca="1" si="35"/>
        <v>0</v>
      </c>
      <c r="BR48" s="138">
        <f t="shared" ca="1" si="35"/>
        <v>0</v>
      </c>
      <c r="BS48" s="138">
        <f t="shared" ca="1" si="35"/>
        <v>0</v>
      </c>
      <c r="BT48" s="138">
        <f t="shared" ca="1" si="35"/>
        <v>0</v>
      </c>
      <c r="BU48" s="138">
        <f t="shared" ca="1" si="35"/>
        <v>484.79399999999998</v>
      </c>
      <c r="BV48" s="138">
        <f t="shared" ref="BV48:CD48" ca="1" si="36">BV47*$D48</f>
        <v>1150.9199999999998</v>
      </c>
      <c r="BW48" s="138">
        <f t="shared" ca="1" si="36"/>
        <v>0</v>
      </c>
      <c r="BX48" s="138">
        <f t="shared" ca="1" si="36"/>
        <v>0</v>
      </c>
      <c r="BY48" s="138">
        <f t="shared" ca="1" si="36"/>
        <v>0</v>
      </c>
      <c r="BZ48" s="138">
        <f t="shared" ca="1" si="36"/>
        <v>0</v>
      </c>
      <c r="CA48" s="138">
        <f t="shared" ca="1" si="36"/>
        <v>276.27600000000001</v>
      </c>
      <c r="CB48" s="138">
        <f t="shared" ca="1" si="36"/>
        <v>512.11799999999994</v>
      </c>
      <c r="CC48" s="138">
        <f t="shared" ca="1" si="36"/>
        <v>1011.9540000000001</v>
      </c>
      <c r="CD48" s="138">
        <f t="shared" ca="1" si="36"/>
        <v>214.31400000000002</v>
      </c>
      <c r="CE48" s="138">
        <f ca="1">CE47*$D48</f>
        <v>1150.9199999999998</v>
      </c>
      <c r="CF48" s="138">
        <f ca="1">CF47*$D48</f>
        <v>1150.9199999999998</v>
      </c>
    </row>
    <row r="49" spans="2:84" s="138" customFormat="1"/>
    <row r="50" spans="2:84" s="138" customFormat="1" ht="12.6" thickBot="1">
      <c r="B50" s="145" t="s">
        <v>130</v>
      </c>
      <c r="C50" s="145"/>
      <c r="D50" s="145"/>
      <c r="E50" s="146">
        <f ca="1">SUM(E47:E48)</f>
        <v>8112.7440000000006</v>
      </c>
      <c r="F50" s="146">
        <f t="shared" ref="F50:AA50" ca="1" si="37">SUM(F47:F48)</f>
        <v>3916.7160000000003</v>
      </c>
      <c r="G50" s="146">
        <f t="shared" ca="1" si="37"/>
        <v>5063.5879999999997</v>
      </c>
      <c r="H50" s="146">
        <f t="shared" ca="1" si="37"/>
        <v>10310.209999999999</v>
      </c>
      <c r="I50" s="146">
        <f t="shared" ca="1" si="37"/>
        <v>0</v>
      </c>
      <c r="J50" s="146">
        <f t="shared" ca="1" si="37"/>
        <v>0</v>
      </c>
      <c r="K50" s="146">
        <f t="shared" ca="1" si="37"/>
        <v>0</v>
      </c>
      <c r="L50" s="146">
        <f t="shared" ca="1" si="37"/>
        <v>1705.4959999999999</v>
      </c>
      <c r="M50" s="146">
        <f t="shared" ca="1" si="37"/>
        <v>3344.3379999999997</v>
      </c>
      <c r="N50" s="146">
        <f t="shared" ca="1" si="37"/>
        <v>6791.3019999999997</v>
      </c>
      <c r="O50" s="146">
        <f t="shared" ca="1" si="37"/>
        <v>1279.1219999999998</v>
      </c>
      <c r="P50" s="146">
        <f t="shared" ca="1" si="37"/>
        <v>6704.5460000000003</v>
      </c>
      <c r="Q50" s="146">
        <f t="shared" ca="1" si="37"/>
        <v>9459.5780000000013</v>
      </c>
      <c r="R50" s="146">
        <f t="shared" ca="1" si="37"/>
        <v>13421.787999999999</v>
      </c>
      <c r="S50" s="146">
        <f t="shared" ca="1" si="37"/>
        <v>20135.856</v>
      </c>
      <c r="T50" s="146">
        <f t="shared" ca="1" si="37"/>
        <v>5046.6600000000008</v>
      </c>
      <c r="U50" s="146">
        <f t="shared" ca="1" si="37"/>
        <v>9204.6</v>
      </c>
      <c r="V50" s="146">
        <f t="shared" ca="1" si="37"/>
        <v>8112.7440000000006</v>
      </c>
      <c r="W50" s="146">
        <f t="shared" ca="1" si="37"/>
        <v>8112.7440000000006</v>
      </c>
      <c r="X50" s="146">
        <f t="shared" ca="1" si="37"/>
        <v>8112.7440000000006</v>
      </c>
      <c r="Y50" s="146">
        <f t="shared" ca="1" si="37"/>
        <v>8112.7440000000006</v>
      </c>
      <c r="Z50" s="146">
        <f t="shared" ca="1" si="37"/>
        <v>8112.7440000000006</v>
      </c>
      <c r="AA50" s="146">
        <f t="shared" ca="1" si="37"/>
        <v>8112.7440000000006</v>
      </c>
      <c r="AB50" s="146">
        <f ca="1">SUM(AB47:AB48)</f>
        <v>0</v>
      </c>
      <c r="AC50" s="146">
        <f ca="1">SUM(AC47:AC48)</f>
        <v>0</v>
      </c>
      <c r="AD50" s="146">
        <f ca="1">SUM(AD47:AD48)</f>
        <v>0</v>
      </c>
      <c r="AE50" s="146">
        <f ca="1">SUM(AE47:AE48)</f>
        <v>0</v>
      </c>
      <c r="AF50" s="146">
        <f ca="1">SUM(AF47:AF48)</f>
        <v>3417.3399999999997</v>
      </c>
      <c r="AG50" s="146">
        <f t="shared" ref="AG50:AO50" ca="1" si="38">SUM(AG47:AG48)</f>
        <v>8112.7440000000006</v>
      </c>
      <c r="AH50" s="146">
        <f ca="1">SUM(AH47:AH48)</f>
        <v>0</v>
      </c>
      <c r="AI50" s="146">
        <f t="shared" ca="1" si="38"/>
        <v>0</v>
      </c>
      <c r="AJ50" s="146">
        <f t="shared" ca="1" si="38"/>
        <v>0</v>
      </c>
      <c r="AK50" s="146">
        <f t="shared" ca="1" si="38"/>
        <v>0</v>
      </c>
      <c r="AL50" s="146">
        <f t="shared" ca="1" si="38"/>
        <v>1705.4959999999999</v>
      </c>
      <c r="AM50" s="146">
        <f t="shared" ca="1" si="38"/>
        <v>3344.3379999999997</v>
      </c>
      <c r="AN50" s="146">
        <f t="shared" ca="1" si="38"/>
        <v>6791.3019999999997</v>
      </c>
      <c r="AO50" s="146">
        <f t="shared" ca="1" si="38"/>
        <v>1279.1219999999998</v>
      </c>
      <c r="AP50" s="146">
        <f ca="1">SUM(AP47:AP48)</f>
        <v>8112.7440000000006</v>
      </c>
      <c r="AQ50" s="146">
        <f ca="1">SUM(AQ47:AQ48)</f>
        <v>8112.7440000000006</v>
      </c>
      <c r="AR50" s="146">
        <f ca="1">SUM(AR47:AR48)</f>
        <v>0</v>
      </c>
      <c r="AT50" s="146">
        <f ca="1">SUM(AT47:AT48)</f>
        <v>8823.7199999999993</v>
      </c>
      <c r="AU50" s="146">
        <f t="shared" ref="AU50:BP50" ca="1" si="39">SUM(AU47:AU48)</f>
        <v>4349.4380000000001</v>
      </c>
      <c r="AV50" s="146">
        <f t="shared" ca="1" si="39"/>
        <v>5642.3139999999994</v>
      </c>
      <c r="AW50" s="146">
        <f t="shared" ca="1" si="39"/>
        <v>11548.070000000002</v>
      </c>
      <c r="AX50" s="146">
        <f t="shared" ca="1" si="39"/>
        <v>0</v>
      </c>
      <c r="AY50" s="146">
        <f t="shared" ca="1" si="39"/>
        <v>0</v>
      </c>
      <c r="AZ50" s="146">
        <f t="shared" ca="1" si="39"/>
        <v>0</v>
      </c>
      <c r="BA50" s="146">
        <f t="shared" ca="1" si="39"/>
        <v>2118.116</v>
      </c>
      <c r="BB50" s="146">
        <f t="shared" ca="1" si="39"/>
        <v>3926.2379999999998</v>
      </c>
      <c r="BC50" s="146">
        <f t="shared" ca="1" si="39"/>
        <v>7758.3140000000003</v>
      </c>
      <c r="BD50" s="146">
        <f t="shared" ca="1" si="39"/>
        <v>1643.0740000000003</v>
      </c>
      <c r="BE50" s="146">
        <f t="shared" ca="1" si="39"/>
        <v>7740.3280000000004</v>
      </c>
      <c r="BF50" s="146">
        <f t="shared" ca="1" si="39"/>
        <v>10411.777999999998</v>
      </c>
      <c r="BG50" s="146">
        <f t="shared" ca="1" si="39"/>
        <v>14842.682000000001</v>
      </c>
      <c r="BH50" s="146">
        <f t="shared" ca="1" si="39"/>
        <v>22377.758000000002</v>
      </c>
      <c r="BI50" s="146">
        <f t="shared" ca="1" si="39"/>
        <v>5569.311999999999</v>
      </c>
      <c r="BJ50" s="146">
        <f t="shared" ca="1" si="39"/>
        <v>10010.796</v>
      </c>
      <c r="BK50" s="146">
        <f t="shared" ca="1" si="39"/>
        <v>8823.7199999999993</v>
      </c>
      <c r="BL50" s="146">
        <f t="shared" ca="1" si="39"/>
        <v>8823.7199999999993</v>
      </c>
      <c r="BM50" s="146">
        <f t="shared" ca="1" si="39"/>
        <v>8823.7199999999993</v>
      </c>
      <c r="BN50" s="146">
        <f t="shared" ca="1" si="39"/>
        <v>8823.7199999999993</v>
      </c>
      <c r="BO50" s="146">
        <f t="shared" ca="1" si="39"/>
        <v>8823.7199999999993</v>
      </c>
      <c r="BP50" s="146">
        <f t="shared" ca="1" si="39"/>
        <v>8823.7199999999993</v>
      </c>
      <c r="BQ50" s="146">
        <f ca="1">SUM(BQ47:BQ48)</f>
        <v>0</v>
      </c>
      <c r="BR50" s="146">
        <f ca="1">SUM(BR47:BR48)</f>
        <v>0</v>
      </c>
      <c r="BS50" s="146">
        <f ca="1">SUM(BS47:BS48)</f>
        <v>0</v>
      </c>
      <c r="BT50" s="146">
        <f ca="1">SUM(BT47:BT48)</f>
        <v>0</v>
      </c>
      <c r="BU50" s="146">
        <f ca="1">SUM(BU47:BU48)</f>
        <v>3716.7539999999999</v>
      </c>
      <c r="BV50" s="146">
        <f t="shared" ref="BV50:CD50" ca="1" si="40">SUM(BV47:BV48)</f>
        <v>8823.7199999999993</v>
      </c>
      <c r="BW50" s="146">
        <f t="shared" ca="1" si="40"/>
        <v>0</v>
      </c>
      <c r="BX50" s="146">
        <f t="shared" ca="1" si="40"/>
        <v>0</v>
      </c>
      <c r="BY50" s="146">
        <f t="shared" ca="1" si="40"/>
        <v>0</v>
      </c>
      <c r="BZ50" s="146">
        <f t="shared" ca="1" si="40"/>
        <v>0</v>
      </c>
      <c r="CA50" s="146">
        <f t="shared" ca="1" si="40"/>
        <v>2118.116</v>
      </c>
      <c r="CB50" s="146">
        <f t="shared" ca="1" si="40"/>
        <v>3926.2379999999998</v>
      </c>
      <c r="CC50" s="146">
        <f t="shared" ca="1" si="40"/>
        <v>7758.3140000000003</v>
      </c>
      <c r="CD50" s="146">
        <f t="shared" ca="1" si="40"/>
        <v>1643.0740000000003</v>
      </c>
      <c r="CE50" s="146">
        <f ca="1">SUM(CE47:CE48)</f>
        <v>8823.7199999999993</v>
      </c>
      <c r="CF50" s="146">
        <f ca="1">SUM(CF47:CF48)</f>
        <v>8823.7199999999993</v>
      </c>
    </row>
    <row r="52" spans="2:84">
      <c r="B52" s="3" t="s">
        <v>131</v>
      </c>
      <c r="D52" s="3"/>
      <c r="E52" s="45" t="e">
        <f ca="1">E47/IF(Inputs!$G$29="No",High_Total_Energy,High_Total_Energy_Exist_TOU)*100</f>
        <v>#DIV/0!</v>
      </c>
      <c r="F52" s="45" t="e">
        <f ca="1">F47/IF(Inputs!$G$29="No",High_Total_Energy,High_Total_Energy_Exist_TOU)*100</f>
        <v>#DIV/0!</v>
      </c>
      <c r="G52" s="45" t="e">
        <f ca="1">G47/IF(Inputs!$G$29="No",High_Total_Energy,High_Total_Energy_Exist_TOU)*100</f>
        <v>#DIV/0!</v>
      </c>
      <c r="H52" s="45" t="e">
        <f ca="1">H47/IF(Inputs!$G$29="No",High_Total_Energy,High_Total_Energy_Exist_TOU)*100</f>
        <v>#DIV/0!</v>
      </c>
      <c r="I52" s="45" t="e">
        <f ca="1">I47/IF(Inputs!$G$29="No",High_Total_Energy,High_Total_Energy_Exist_TOU)*100</f>
        <v>#DIV/0!</v>
      </c>
      <c r="J52" s="45" t="e">
        <f ca="1">J47/IF(Inputs!$G$29="No",High_Total_Energy,High_Total_Energy_Exist_TOU)*100</f>
        <v>#DIV/0!</v>
      </c>
      <c r="K52" s="45" t="e">
        <f ca="1">K47/IF(Inputs!$G$29="No",High_Total_Energy,High_Total_Energy_Exist_TOU)*100</f>
        <v>#DIV/0!</v>
      </c>
      <c r="L52" s="45" t="e">
        <f ca="1">L47/IF(Inputs!$G$29="No",High_Total_Energy,High_Total_Energy_Exist_TOU)*100</f>
        <v>#DIV/0!</v>
      </c>
      <c r="M52" s="45" t="e">
        <f ca="1">M47/IF(Inputs!$G$29="No",High_Total_Energy,High_Total_Energy_Exist_TOU)*100</f>
        <v>#DIV/0!</v>
      </c>
      <c r="N52" s="45" t="e">
        <f ca="1">N47/IF(Inputs!$G$29="No",High_Total_Energy,High_Total_Energy_Exist_TOU)*100</f>
        <v>#DIV/0!</v>
      </c>
      <c r="O52" s="45" t="e">
        <f ca="1">O47/IF(Inputs!$G$29="No",High_Total_Energy,High_Total_Energy_Exist_TOU)*100</f>
        <v>#DIV/0!</v>
      </c>
      <c r="P52" s="45" t="e">
        <f ca="1">P47/IF(Inputs!$G$29="No",High_Total_Energy,High_Total_Energy_Exist_TOU)*100</f>
        <v>#DIV/0!</v>
      </c>
      <c r="Q52" s="45" t="e">
        <f ca="1">Q47/IF(Inputs!$G$29="No",High_Total_Energy,High_Total_Energy_Exist_TOU)*100</f>
        <v>#DIV/0!</v>
      </c>
      <c r="R52" s="45" t="e">
        <f ca="1">R47/IF(Inputs!$G$29="No",High_Total_Energy,High_Total_Energy_Exist_TOU)*100</f>
        <v>#DIV/0!</v>
      </c>
      <c r="S52" s="45" t="e">
        <f ca="1">S47/IF(Inputs!$G$29="No",High_Total_Energy,High_Total_Energy_Exist_TOU)*100</f>
        <v>#DIV/0!</v>
      </c>
      <c r="T52" s="45" t="e">
        <f ca="1">T47/IF(Inputs!$G$29="No",High_Total_Energy,High_Total_Energy_Exist_TOU)*100</f>
        <v>#DIV/0!</v>
      </c>
      <c r="U52" s="45" t="e">
        <f ca="1">U47/IF(Inputs!$G$29="No",High_Total_Energy,High_Total_Energy_Exist_TOU)*100</f>
        <v>#DIV/0!</v>
      </c>
      <c r="V52" s="45" t="e">
        <f ca="1">V47/IF(Inputs!$G$29="No",High_Total_Energy,High_Total_Energy_Exist_TOU)*100</f>
        <v>#DIV/0!</v>
      </c>
      <c r="W52" s="45" t="e">
        <f ca="1">W47/IF(Inputs!$G$29="No",High_Total_Energy,High_Total_Energy_Exist_TOU)*100</f>
        <v>#DIV/0!</v>
      </c>
      <c r="X52" s="45" t="e">
        <f ca="1">X47/IF(Inputs!$G$29="No",High_Total_Energy,High_Total_Energy_Exist_TOU)*100</f>
        <v>#DIV/0!</v>
      </c>
      <c r="Y52" s="45" t="e">
        <f ca="1">Y47/IF(Inputs!$G$29="No",High_Total_Energy,High_Total_Energy_Exist_TOU)*100</f>
        <v>#DIV/0!</v>
      </c>
      <c r="Z52" s="45" t="e">
        <f ca="1">Z47/IF(Inputs!$G$29="No",High_Total_Energy,High_Total_Energy_Exist_TOU)*100</f>
        <v>#DIV/0!</v>
      </c>
      <c r="AA52" s="45" t="e">
        <f ca="1">AA47/IF(Inputs!$G$29="No",High_Total_Energy,High_Total_Energy_Exist_TOU)*100</f>
        <v>#DIV/0!</v>
      </c>
      <c r="AB52" s="45" t="e">
        <f ca="1">AB47/IF(Inputs!$G$29="No",High_Total_Energy,High_Total_Energy_Exist_TOU)*100</f>
        <v>#DIV/0!</v>
      </c>
      <c r="AC52" s="45" t="e">
        <f ca="1">AC47/IF(Inputs!$G$29="No",High_Total_Energy,High_Total_Energy_Exist_TOU)*100</f>
        <v>#DIV/0!</v>
      </c>
      <c r="AD52" s="45" t="e">
        <f ca="1">AD47/IF(Inputs!$G$29="No",High_Total_Energy,High_Total_Energy_Exist_TOU)*100</f>
        <v>#DIV/0!</v>
      </c>
      <c r="AE52" s="45" t="e">
        <f ca="1">AE47/IF(Inputs!$G$29="No",High_Total_Energy,High_Total_Energy_Exist_TOU)*100</f>
        <v>#DIV/0!</v>
      </c>
      <c r="AF52" s="45" t="e">
        <f ca="1">AF47/IF(Inputs!$G$29="No",High_Total_Energy,High_Total_Energy_Exist_TOU)*100</f>
        <v>#DIV/0!</v>
      </c>
      <c r="AG52" s="45" t="e">
        <f ca="1">AG47/IF(Inputs!$G$29="No",High_Total_Energy,High_Total_Energy_Exist_TOU)*100</f>
        <v>#DIV/0!</v>
      </c>
      <c r="AH52" s="45" t="e">
        <f ca="1">AH47/IF(Inputs!$G$29="No",High_Total_Energy,High_Total_Energy_Exist_TOU)*100</f>
        <v>#DIV/0!</v>
      </c>
      <c r="AI52" s="45" t="e">
        <f ca="1">AI47/IF(Inputs!$G$29="No",High_Total_Energy,High_Total_Energy_Exist_TOU)*100</f>
        <v>#DIV/0!</v>
      </c>
      <c r="AJ52" s="45" t="e">
        <f ca="1">AJ47/IF(Inputs!$G$29="No",High_Total_Energy,High_Total_Energy_Exist_TOU)*100</f>
        <v>#DIV/0!</v>
      </c>
      <c r="AK52" s="45" t="e">
        <f ca="1">AK47/IF(Inputs!$G$29="No",High_Total_Energy,High_Total_Energy_Exist_TOU)*100</f>
        <v>#DIV/0!</v>
      </c>
      <c r="AL52" s="45" t="e">
        <f ca="1">AL47/IF(Inputs!$G$29="No",High_Total_Energy,High_Total_Energy_Exist_TOU)*100</f>
        <v>#DIV/0!</v>
      </c>
      <c r="AM52" s="45" t="e">
        <f ca="1">AM47/IF(Inputs!$G$29="No",High_Total_Energy,High_Total_Energy_Exist_TOU)*100</f>
        <v>#DIV/0!</v>
      </c>
      <c r="AN52" s="45" t="e">
        <f ca="1">AN47/IF(Inputs!$G$29="No",High_Total_Energy,High_Total_Energy_Exist_TOU)*100</f>
        <v>#DIV/0!</v>
      </c>
      <c r="AO52" s="45" t="e">
        <f ca="1">AO47/IF(Inputs!$G$29="No",High_Total_Energy,High_Total_Energy_Exist_TOU)*100</f>
        <v>#DIV/0!</v>
      </c>
      <c r="AP52" s="45" t="e">
        <f ca="1">AP47/IF(Inputs!$G$29="No",High_Total_Energy,High_Total_Energy_Exist_TOU)*100</f>
        <v>#DIV/0!</v>
      </c>
      <c r="AQ52" s="45" t="e">
        <f ca="1">AQ47/IF(Inputs!$G$29="No",High_Total_Energy,High_Total_Energy_Exist_TOU)*100</f>
        <v>#DIV/0!</v>
      </c>
      <c r="AR52" s="45" t="e">
        <f ca="1">AR47/IF(Inputs!$G$29="No",High_Total_Energy,High_Total_Energy_Exist_TOU)*100</f>
        <v>#DIV/0!</v>
      </c>
      <c r="AT52" s="45" t="e">
        <f ca="1">AT47/IF(Inputs!$G$29="No",High_Total_Energy,High_Total_Energy_New_TOU)*100</f>
        <v>#DIV/0!</v>
      </c>
      <c r="AU52" s="45" t="e">
        <f ca="1">AU47/IF(Inputs!$G$29="No",High_Total_Energy,High_Total_Energy_New_TOU)*100</f>
        <v>#DIV/0!</v>
      </c>
      <c r="AV52" s="45" t="e">
        <f ca="1">AV47/IF(Inputs!$G$29="No",High_Total_Energy,High_Total_Energy_New_TOU)*100</f>
        <v>#DIV/0!</v>
      </c>
      <c r="AW52" s="45" t="e">
        <f ca="1">AW47/IF(Inputs!$G$29="No",High_Total_Energy,High_Total_Energy_New_TOU)*100</f>
        <v>#DIV/0!</v>
      </c>
      <c r="AX52" s="45" t="e">
        <f ca="1">AX47/IF(Inputs!$G$29="No",High_Total_Energy,High_Total_Energy_New_TOU)*100</f>
        <v>#DIV/0!</v>
      </c>
      <c r="AY52" s="45" t="e">
        <f ca="1">AY47/IF(Inputs!$G$29="No",High_Total_Energy,High_Total_Energy_New_TOU)*100</f>
        <v>#DIV/0!</v>
      </c>
      <c r="AZ52" s="45" t="e">
        <f ca="1">AZ47/IF(Inputs!$G$29="No",High_Total_Energy,High_Total_Energy_New_TOU)*100</f>
        <v>#DIV/0!</v>
      </c>
      <c r="BA52" s="45" t="e">
        <f ca="1">BA47/IF(Inputs!$G$29="No",High_Total_Energy,High_Total_Energy_New_TOU)*100</f>
        <v>#DIV/0!</v>
      </c>
      <c r="BB52" s="45" t="e">
        <f ca="1">BB47/IF(Inputs!$G$29="No",High_Total_Energy,High_Total_Energy_New_TOU)*100</f>
        <v>#DIV/0!</v>
      </c>
      <c r="BC52" s="45" t="e">
        <f ca="1">BC47/IF(Inputs!$G$29="No",High_Total_Energy,High_Total_Energy_New_TOU)*100</f>
        <v>#DIV/0!</v>
      </c>
      <c r="BD52" s="45" t="e">
        <f ca="1">BD47/IF(Inputs!$G$29="No",High_Total_Energy,High_Total_Energy_New_TOU)*100</f>
        <v>#DIV/0!</v>
      </c>
      <c r="BE52" s="45" t="e">
        <f ca="1">BE47/IF(Inputs!$G$29="No",High_Total_Energy,High_Total_Energy_New_TOU)*100</f>
        <v>#DIV/0!</v>
      </c>
      <c r="BF52" s="45" t="e">
        <f ca="1">BF47/IF(Inputs!$G$29="No",High_Total_Energy,High_Total_Energy_New_TOU)*100</f>
        <v>#DIV/0!</v>
      </c>
      <c r="BG52" s="45" t="e">
        <f ca="1">BG47/IF(Inputs!$G$29="No",High_Total_Energy,High_Total_Energy_New_TOU)*100</f>
        <v>#DIV/0!</v>
      </c>
      <c r="BH52" s="45" t="e">
        <f ca="1">BH47/IF(Inputs!$G$29="No",High_Total_Energy,High_Total_Energy_New_TOU)*100</f>
        <v>#DIV/0!</v>
      </c>
      <c r="BI52" s="45" t="e">
        <f ca="1">BI47/IF(Inputs!$G$29="No",High_Total_Energy,High_Total_Energy_New_TOU)*100</f>
        <v>#DIV/0!</v>
      </c>
      <c r="BJ52" s="45" t="e">
        <f ca="1">BJ47/IF(Inputs!$G$29="No",High_Total_Energy,High_Total_Energy_New_TOU)*100</f>
        <v>#DIV/0!</v>
      </c>
      <c r="BK52" s="45" t="e">
        <f ca="1">BK47/IF(Inputs!$G$29="No",High_Total_Energy,High_Total_Energy_New_TOU)*100</f>
        <v>#DIV/0!</v>
      </c>
      <c r="BL52" s="45" t="e">
        <f ca="1">BL47/IF(Inputs!$G$29="No",High_Total_Energy,High_Total_Energy_New_TOU)*100</f>
        <v>#DIV/0!</v>
      </c>
      <c r="BM52" s="45" t="e">
        <f ca="1">BM47/IF(Inputs!$G$29="No",High_Total_Energy,High_Total_Energy_New_TOU)*100</f>
        <v>#DIV/0!</v>
      </c>
      <c r="BN52" s="45" t="e">
        <f ca="1">BN47/IF(Inputs!$G$29="No",High_Total_Energy,High_Total_Energy_New_TOU)*100</f>
        <v>#DIV/0!</v>
      </c>
      <c r="BO52" s="45" t="e">
        <f ca="1">BO47/IF(Inputs!$G$29="No",High_Total_Energy,High_Total_Energy_New_TOU)*100</f>
        <v>#DIV/0!</v>
      </c>
      <c r="BP52" s="45" t="e">
        <f ca="1">BP47/IF(Inputs!$G$29="No",High_Total_Energy,High_Total_Energy_New_TOU)*100</f>
        <v>#DIV/0!</v>
      </c>
      <c r="BQ52" s="45" t="e">
        <f ca="1">BQ47/IF(Inputs!$G$29="No",High_Total_Energy,High_Total_Energy_New_TOU)*100</f>
        <v>#DIV/0!</v>
      </c>
      <c r="BR52" s="45" t="e">
        <f ca="1">BR47/IF(Inputs!$G$29="No",High_Total_Energy,High_Total_Energy_New_TOU)*100</f>
        <v>#DIV/0!</v>
      </c>
      <c r="BS52" s="45" t="e">
        <f ca="1">BS47/IF(Inputs!$G$29="No",High_Total_Energy,High_Total_Energy_New_TOU)*100</f>
        <v>#DIV/0!</v>
      </c>
      <c r="BT52" s="45" t="e">
        <f ca="1">BT47/IF(Inputs!$G$29="No",High_Total_Energy,High_Total_Energy_New_TOU)*100</f>
        <v>#DIV/0!</v>
      </c>
      <c r="BU52" s="45" t="e">
        <f ca="1">BU47/IF(Inputs!$G$29="No",High_Total_Energy,High_Total_Energy_New_TOU)*100</f>
        <v>#DIV/0!</v>
      </c>
      <c r="BV52" s="45" t="e">
        <f ca="1">BV47/IF(Inputs!$G$29="No",High_Total_Energy,High_Total_Energy_New_TOU)*100</f>
        <v>#DIV/0!</v>
      </c>
      <c r="BW52" s="45" t="e">
        <f ca="1">BW47/IF(Inputs!$G$29="No",High_Total_Energy,High_Total_Energy_New_TOU)*100</f>
        <v>#DIV/0!</v>
      </c>
      <c r="BX52" s="45" t="e">
        <f ca="1">BX47/IF(Inputs!$G$29="No",High_Total_Energy,High_Total_Energy_New_TOU)*100</f>
        <v>#DIV/0!</v>
      </c>
      <c r="BY52" s="45" t="e">
        <f ca="1">BY47/IF(Inputs!$G$29="No",High_Total_Energy,High_Total_Energy_New_TOU)*100</f>
        <v>#DIV/0!</v>
      </c>
      <c r="BZ52" s="45" t="e">
        <f ca="1">BZ47/IF(Inputs!$G$29="No",High_Total_Energy,High_Total_Energy_New_TOU)*100</f>
        <v>#DIV/0!</v>
      </c>
      <c r="CA52" s="45" t="e">
        <f ca="1">CA47/IF(Inputs!$G$29="No",High_Total_Energy,High_Total_Energy_New_TOU)*100</f>
        <v>#DIV/0!</v>
      </c>
      <c r="CB52" s="45" t="e">
        <f ca="1">CB47/IF(Inputs!$G$29="No",High_Total_Energy,High_Total_Energy_New_TOU)*100</f>
        <v>#DIV/0!</v>
      </c>
      <c r="CC52" s="45" t="e">
        <f ca="1">CC47/IF(Inputs!$G$29="No",High_Total_Energy,High_Total_Energy_New_TOU)*100</f>
        <v>#DIV/0!</v>
      </c>
      <c r="CD52" s="45" t="e">
        <f ca="1">CD47/IF(Inputs!$G$29="No",High_Total_Energy,High_Total_Energy_New_TOU)*100</f>
        <v>#DIV/0!</v>
      </c>
      <c r="CE52" s="45" t="e">
        <f ca="1">CE47/IF(Inputs!$G$29="No",High_Total_Energy,High_Total_Energy_New_TOU)*100</f>
        <v>#DIV/0!</v>
      </c>
      <c r="CF52" s="45" t="e">
        <f ca="1">CF47/IF(Inputs!$G$29="No",High_Total_Energy,High_Total_Energy_New_TOU)*100</f>
        <v>#DIV/0!</v>
      </c>
    </row>
    <row r="54" spans="2:84">
      <c r="B54" s="3" t="s">
        <v>185</v>
      </c>
    </row>
    <row r="55" spans="2:84">
      <c r="C55" t="s">
        <v>186</v>
      </c>
      <c r="E55">
        <f ca="1">INDEX(F55:AR55,0,$F$2)</f>
        <v>1</v>
      </c>
      <c r="F55">
        <f ca="1">'Rates Table'!F68</f>
        <v>0</v>
      </c>
      <c r="G55">
        <f ca="1">'Rates Table'!G68</f>
        <v>0</v>
      </c>
      <c r="H55">
        <f ca="1">'Rates Table'!H68</f>
        <v>0</v>
      </c>
      <c r="I55">
        <f ca="1">'Rates Table'!I68</f>
        <v>0</v>
      </c>
      <c r="J55">
        <f ca="1">'Rates Table'!J68</f>
        <v>0</v>
      </c>
      <c r="K55">
        <f ca="1">'Rates Table'!K68</f>
        <v>0</v>
      </c>
      <c r="L55">
        <f ca="1">'Rates Table'!L68</f>
        <v>0</v>
      </c>
      <c r="M55">
        <f ca="1">'Rates Table'!M68</f>
        <v>0</v>
      </c>
      <c r="N55">
        <f ca="1">'Rates Table'!N68</f>
        <v>0</v>
      </c>
      <c r="O55">
        <f ca="1">'Rates Table'!O68</f>
        <v>0</v>
      </c>
      <c r="P55">
        <f ca="1">'Rates Table'!P68</f>
        <v>0</v>
      </c>
      <c r="Q55">
        <f ca="1">'Rates Table'!Q68</f>
        <v>0</v>
      </c>
      <c r="R55">
        <f ca="1">'Rates Table'!R68</f>
        <v>0</v>
      </c>
      <c r="S55">
        <f ca="1">'Rates Table'!S68</f>
        <v>0</v>
      </c>
      <c r="T55">
        <f ca="1">'Rates Table'!T68</f>
        <v>0</v>
      </c>
      <c r="U55">
        <f ca="1">'Rates Table'!U68</f>
        <v>0</v>
      </c>
      <c r="V55">
        <f ca="1">'Rates Table'!V68</f>
        <v>1</v>
      </c>
      <c r="W55">
        <f ca="1">'Rates Table'!W68</f>
        <v>1</v>
      </c>
      <c r="X55">
        <f>'Rates Table'!X68</f>
        <v>1</v>
      </c>
      <c r="Y55">
        <f ca="1">'Rates Table'!Y68</f>
        <v>1</v>
      </c>
      <c r="Z55">
        <f ca="1">'Rates Table'!Z68</f>
        <v>1</v>
      </c>
      <c r="AA55">
        <f ca="1">'Rates Table'!AA68</f>
        <v>1</v>
      </c>
      <c r="AB55">
        <f ca="1">'Rates Table'!AB68</f>
        <v>0</v>
      </c>
      <c r="AC55">
        <f ca="1">'Rates Table'!AC68</f>
        <v>0</v>
      </c>
      <c r="AD55">
        <f ca="1">'Rates Table'!AD68</f>
        <v>0</v>
      </c>
      <c r="AE55">
        <f ca="1">'Rates Table'!AE68</f>
        <v>0</v>
      </c>
      <c r="AF55">
        <f ca="1">'Rates Table'!AF68</f>
        <v>0</v>
      </c>
      <c r="AG55">
        <f>'Rates Table'!AG68</f>
        <v>1</v>
      </c>
      <c r="AH55">
        <f ca="1">'Rates Table'!AH68</f>
        <v>0</v>
      </c>
      <c r="AI55">
        <f ca="1">'Rates Table'!AI68</f>
        <v>0</v>
      </c>
      <c r="AJ55">
        <f ca="1">'Rates Table'!AJ68</f>
        <v>0</v>
      </c>
      <c r="AK55">
        <f ca="1">'Rates Table'!AK68</f>
        <v>0</v>
      </c>
      <c r="AL55">
        <f ca="1">'Rates Table'!AL68</f>
        <v>0</v>
      </c>
      <c r="AM55">
        <f ca="1">'Rates Table'!AM68</f>
        <v>0</v>
      </c>
      <c r="AN55">
        <f ca="1">'Rates Table'!AN68</f>
        <v>0</v>
      </c>
      <c r="AO55">
        <f ca="1">'Rates Table'!AO68</f>
        <v>0</v>
      </c>
      <c r="AP55">
        <f ca="1">'Rates Table'!AP68</f>
        <v>1</v>
      </c>
      <c r="AQ55">
        <f ca="1">'Rates Table'!AQ68</f>
        <v>1</v>
      </c>
      <c r="AR55">
        <f ca="1">'Rates Table'!AR68</f>
        <v>0</v>
      </c>
      <c r="AT55">
        <f ca="1">INDEX(AU55:CF55,0,Selected_Tariff_ID)</f>
        <v>1</v>
      </c>
      <c r="AU55">
        <f t="shared" ref="AU55:BJ56" ca="1" si="41">F55</f>
        <v>0</v>
      </c>
      <c r="AV55">
        <f t="shared" ca="1" si="41"/>
        <v>0</v>
      </c>
      <c r="AW55">
        <f t="shared" ca="1" si="41"/>
        <v>0</v>
      </c>
      <c r="AX55">
        <f t="shared" ca="1" si="41"/>
        <v>0</v>
      </c>
      <c r="AY55">
        <f t="shared" ca="1" si="41"/>
        <v>0</v>
      </c>
      <c r="AZ55">
        <f t="shared" ca="1" si="41"/>
        <v>0</v>
      </c>
      <c r="BA55">
        <f t="shared" ca="1" si="41"/>
        <v>0</v>
      </c>
      <c r="BB55">
        <f t="shared" ca="1" si="41"/>
        <v>0</v>
      </c>
      <c r="BC55">
        <f t="shared" ca="1" si="41"/>
        <v>0</v>
      </c>
      <c r="BD55">
        <f t="shared" ca="1" si="41"/>
        <v>0</v>
      </c>
      <c r="BE55">
        <f t="shared" ca="1" si="41"/>
        <v>0</v>
      </c>
      <c r="BF55">
        <f t="shared" ca="1" si="41"/>
        <v>0</v>
      </c>
      <c r="BG55">
        <f t="shared" ca="1" si="41"/>
        <v>0</v>
      </c>
      <c r="BH55">
        <f t="shared" ca="1" si="41"/>
        <v>0</v>
      </c>
      <c r="BI55">
        <f t="shared" ca="1" si="41"/>
        <v>0</v>
      </c>
      <c r="BJ55">
        <f t="shared" ca="1" si="41"/>
        <v>0</v>
      </c>
      <c r="BK55">
        <f t="shared" ref="BK55:BP56" ca="1" si="42">V55</f>
        <v>1</v>
      </c>
      <c r="BL55">
        <f t="shared" ca="1" si="42"/>
        <v>1</v>
      </c>
      <c r="BM55">
        <f t="shared" si="42"/>
        <v>1</v>
      </c>
      <c r="BN55">
        <f t="shared" ca="1" si="42"/>
        <v>1</v>
      </c>
      <c r="BO55">
        <f t="shared" ca="1" si="42"/>
        <v>1</v>
      </c>
      <c r="BP55">
        <f t="shared" ca="1" si="42"/>
        <v>1</v>
      </c>
      <c r="BQ55">
        <f t="shared" ref="BQ55:CD56" ca="1" si="43">AB55</f>
        <v>0</v>
      </c>
      <c r="BR55">
        <f t="shared" ca="1" si="43"/>
        <v>0</v>
      </c>
      <c r="BS55">
        <f t="shared" ca="1" si="43"/>
        <v>0</v>
      </c>
      <c r="BT55">
        <f t="shared" ca="1" si="43"/>
        <v>0</v>
      </c>
      <c r="BU55">
        <f t="shared" ca="1" si="43"/>
        <v>0</v>
      </c>
      <c r="BV55">
        <f t="shared" si="43"/>
        <v>1</v>
      </c>
      <c r="BW55">
        <f t="shared" ca="1" si="43"/>
        <v>0</v>
      </c>
      <c r="BX55">
        <f t="shared" ca="1" si="43"/>
        <v>0</v>
      </c>
      <c r="BY55">
        <f t="shared" ca="1" si="43"/>
        <v>0</v>
      </c>
      <c r="BZ55">
        <f t="shared" ca="1" si="43"/>
        <v>0</v>
      </c>
      <c r="CA55">
        <f t="shared" ca="1" si="43"/>
        <v>0</v>
      </c>
      <c r="CB55">
        <f t="shared" ca="1" si="43"/>
        <v>0</v>
      </c>
      <c r="CC55">
        <f t="shared" ca="1" si="43"/>
        <v>0</v>
      </c>
      <c r="CD55">
        <f t="shared" ca="1" si="43"/>
        <v>0</v>
      </c>
      <c r="CE55">
        <f ca="1">AP55</f>
        <v>1</v>
      </c>
      <c r="CF55">
        <f ca="1">AQ55</f>
        <v>1</v>
      </c>
    </row>
    <row r="56" spans="2:84">
      <c r="C56" t="s">
        <v>235</v>
      </c>
      <c r="E56" t="str">
        <f t="shared" ref="E56:AR56" ca="1" si="44">INDEX(Full_Tariff_Type,E$7,)</f>
        <v>Urban</v>
      </c>
      <c r="F56" t="str">
        <f t="shared" si="44"/>
        <v>Urban</v>
      </c>
      <c r="G56" t="str">
        <f t="shared" si="44"/>
        <v>Urban</v>
      </c>
      <c r="H56" t="str">
        <f t="shared" si="44"/>
        <v>Urban</v>
      </c>
      <c r="I56" t="str">
        <f t="shared" si="44"/>
        <v>Urban</v>
      </c>
      <c r="J56" t="str">
        <f t="shared" si="44"/>
        <v>Urban</v>
      </c>
      <c r="K56" t="str">
        <f t="shared" si="44"/>
        <v>Urban</v>
      </c>
      <c r="L56" t="str">
        <f t="shared" si="44"/>
        <v>Urban</v>
      </c>
      <c r="M56" t="str">
        <f t="shared" si="44"/>
        <v>Urban</v>
      </c>
      <c r="N56" t="str">
        <f t="shared" si="44"/>
        <v>Urban</v>
      </c>
      <c r="O56" t="str">
        <f t="shared" si="44"/>
        <v>Urban</v>
      </c>
      <c r="P56" t="str">
        <f t="shared" si="44"/>
        <v>Urban</v>
      </c>
      <c r="Q56" t="str">
        <f t="shared" si="44"/>
        <v>Rural</v>
      </c>
      <c r="R56" t="str">
        <f t="shared" si="44"/>
        <v>Rural</v>
      </c>
      <c r="S56" t="str">
        <f t="shared" si="44"/>
        <v>Rural</v>
      </c>
      <c r="T56" t="str">
        <f t="shared" si="44"/>
        <v>Rural</v>
      </c>
      <c r="U56" t="str">
        <f t="shared" si="44"/>
        <v>Rural</v>
      </c>
      <c r="V56" t="str">
        <f t="shared" si="44"/>
        <v>Urban</v>
      </c>
      <c r="W56" t="str">
        <f t="shared" si="44"/>
        <v>Urban</v>
      </c>
      <c r="X56" t="str">
        <f t="shared" si="44"/>
        <v>Urban</v>
      </c>
      <c r="Y56" t="str">
        <f t="shared" si="44"/>
        <v>Rural</v>
      </c>
      <c r="Z56" t="str">
        <f t="shared" si="44"/>
        <v>Urban</v>
      </c>
      <c r="AA56" t="str">
        <f t="shared" si="44"/>
        <v>Rural</v>
      </c>
      <c r="AB56" t="str">
        <f t="shared" si="44"/>
        <v>Rural</v>
      </c>
      <c r="AC56" t="str">
        <f t="shared" si="44"/>
        <v>Rural</v>
      </c>
      <c r="AD56" t="str">
        <f t="shared" si="44"/>
        <v>Urban</v>
      </c>
      <c r="AE56" t="str">
        <f t="shared" si="44"/>
        <v>Urban</v>
      </c>
      <c r="AF56" t="str">
        <f t="shared" si="44"/>
        <v>Urban</v>
      </c>
      <c r="AG56" t="str">
        <f t="shared" si="44"/>
        <v>Urban</v>
      </c>
      <c r="AH56" t="str">
        <f t="shared" si="44"/>
        <v>Urban</v>
      </c>
      <c r="AI56" t="str">
        <f t="shared" si="44"/>
        <v>Urban</v>
      </c>
      <c r="AJ56" t="str">
        <f t="shared" si="44"/>
        <v>Urban</v>
      </c>
      <c r="AK56" t="str">
        <f t="shared" si="44"/>
        <v>Urban</v>
      </c>
      <c r="AL56" t="str">
        <f t="shared" si="44"/>
        <v>Urban</v>
      </c>
      <c r="AM56" t="str">
        <f t="shared" si="44"/>
        <v>Urban</v>
      </c>
      <c r="AN56" t="str">
        <f t="shared" si="44"/>
        <v>Urban</v>
      </c>
      <c r="AO56" t="str">
        <f t="shared" si="44"/>
        <v>Urban</v>
      </c>
      <c r="AP56" t="str">
        <f t="shared" si="44"/>
        <v>Urban</v>
      </c>
      <c r="AQ56" t="str">
        <f t="shared" si="44"/>
        <v>Urban</v>
      </c>
      <c r="AR56" t="str">
        <f t="shared" si="44"/>
        <v>Urban</v>
      </c>
      <c r="AT56" t="str">
        <f ca="1">E56</f>
        <v>Urban</v>
      </c>
      <c r="AU56" t="str">
        <f t="shared" si="41"/>
        <v>Urban</v>
      </c>
      <c r="AV56" t="str">
        <f t="shared" si="41"/>
        <v>Urban</v>
      </c>
      <c r="AW56" t="str">
        <f t="shared" si="41"/>
        <v>Urban</v>
      </c>
      <c r="AX56" t="str">
        <f t="shared" si="41"/>
        <v>Urban</v>
      </c>
      <c r="AY56" t="str">
        <f t="shared" si="41"/>
        <v>Urban</v>
      </c>
      <c r="AZ56" t="str">
        <f t="shared" si="41"/>
        <v>Urban</v>
      </c>
      <c r="BA56" t="str">
        <f t="shared" si="41"/>
        <v>Urban</v>
      </c>
      <c r="BB56" t="str">
        <f t="shared" si="41"/>
        <v>Urban</v>
      </c>
      <c r="BC56" t="str">
        <f t="shared" si="41"/>
        <v>Urban</v>
      </c>
      <c r="BD56" t="str">
        <f t="shared" si="41"/>
        <v>Urban</v>
      </c>
      <c r="BE56" t="str">
        <f t="shared" si="41"/>
        <v>Urban</v>
      </c>
      <c r="BF56" t="str">
        <f t="shared" si="41"/>
        <v>Rural</v>
      </c>
      <c r="BG56" t="str">
        <f t="shared" si="41"/>
        <v>Rural</v>
      </c>
      <c r="BH56" t="str">
        <f t="shared" si="41"/>
        <v>Rural</v>
      </c>
      <c r="BI56" t="str">
        <f t="shared" si="41"/>
        <v>Rural</v>
      </c>
      <c r="BJ56" t="str">
        <f t="shared" si="41"/>
        <v>Rural</v>
      </c>
      <c r="BK56" t="str">
        <f t="shared" si="42"/>
        <v>Urban</v>
      </c>
      <c r="BL56" t="str">
        <f t="shared" si="42"/>
        <v>Urban</v>
      </c>
      <c r="BM56" t="str">
        <f t="shared" si="42"/>
        <v>Urban</v>
      </c>
      <c r="BN56" t="str">
        <f t="shared" si="42"/>
        <v>Rural</v>
      </c>
      <c r="BO56" t="str">
        <f t="shared" si="42"/>
        <v>Urban</v>
      </c>
      <c r="BP56" t="str">
        <f t="shared" si="42"/>
        <v>Rural</v>
      </c>
      <c r="BQ56" t="str">
        <f t="shared" si="43"/>
        <v>Rural</v>
      </c>
      <c r="BR56" t="str">
        <f t="shared" si="43"/>
        <v>Rural</v>
      </c>
      <c r="BS56" t="str">
        <f t="shared" si="43"/>
        <v>Urban</v>
      </c>
      <c r="BT56" t="str">
        <f t="shared" si="43"/>
        <v>Urban</v>
      </c>
      <c r="BU56" t="str">
        <f t="shared" si="43"/>
        <v>Urban</v>
      </c>
      <c r="BV56" t="str">
        <f t="shared" si="43"/>
        <v>Urban</v>
      </c>
      <c r="BW56" t="str">
        <f t="shared" si="43"/>
        <v>Urban</v>
      </c>
      <c r="BX56" t="str">
        <f t="shared" si="43"/>
        <v>Urban</v>
      </c>
      <c r="BY56" t="str">
        <f t="shared" si="43"/>
        <v>Urban</v>
      </c>
      <c r="BZ56" t="str">
        <f t="shared" si="43"/>
        <v>Urban</v>
      </c>
      <c r="CA56" t="str">
        <f t="shared" si="43"/>
        <v>Urban</v>
      </c>
      <c r="CB56" t="str">
        <f t="shared" si="43"/>
        <v>Urban</v>
      </c>
      <c r="CC56" t="str">
        <f t="shared" si="43"/>
        <v>Urban</v>
      </c>
      <c r="CD56" t="str">
        <f t="shared" si="43"/>
        <v>Urban</v>
      </c>
      <c r="CE56" t="str">
        <f>AP56</f>
        <v>Urban</v>
      </c>
      <c r="CF56" t="str">
        <f>AQ56</f>
        <v>Urban</v>
      </c>
    </row>
  </sheetData>
  <sheetProtection algorithmName="SHA-512" hashValue="YKvOc9Jpx9vjueCgp0YCO2GSrDy2I6Ilr7v3qr9o9bQzu+838GMyuNptVeohSTJKtbMeHOp2BveZiHXXzQt/WQ==" saltValue="dVoEb5ugETzvEFbTNUfXLA==" spinCount="100000" sheet="1" objects="1" scenarios="1"/>
  <pageMargins left="0.7" right="0.7" top="0.75" bottom="0.75" header="0.3" footer="0.3"/>
  <pageSetup paperSize="9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theme="7" tint="0.39997558519241921"/>
  </sheetPr>
  <dimension ref="B1:CF56"/>
  <sheetViews>
    <sheetView showGridLines="0" zoomScale="85" zoomScaleNormal="85" workbookViewId="0">
      <pane xSplit="4" ySplit="6" topLeftCell="BQ24" activePane="bottomRight" state="frozen"/>
      <selection activeCell="G29" sqref="G29:H29"/>
      <selection pane="topRight" activeCell="G29" sqref="G29:H29"/>
      <selection pane="bottomLeft" activeCell="G29" sqref="G29:H29"/>
      <selection pane="bottomRight" activeCell="CA30" sqref="CA30"/>
    </sheetView>
  </sheetViews>
  <sheetFormatPr defaultColWidth="9.28515625" defaultRowHeight="12"/>
  <cols>
    <col min="1" max="2" width="2.7109375" customWidth="1"/>
    <col min="3" max="3" width="35.42578125" bestFit="1" customWidth="1"/>
    <col min="4" max="4" width="14.28515625" customWidth="1"/>
    <col min="5" max="44" width="16" customWidth="1"/>
    <col min="46" max="84" width="16" customWidth="1"/>
  </cols>
  <sheetData>
    <row r="1" spans="2:84" ht="4.05" customHeight="1"/>
    <row r="2" spans="2:84" ht="33" customHeight="1">
      <c r="E2" t="str">
        <f ca="1">Selected_Base_Tariff</f>
        <v>Miniflex</v>
      </c>
      <c r="F2">
        <f ca="1">MATCH(E2,Full_Tariff_List,0)</f>
        <v>18</v>
      </c>
    </row>
    <row r="3" spans="2:84" ht="4.05" customHeight="1"/>
    <row r="4" spans="2:84" ht="15">
      <c r="B4" s="2" t="s">
        <v>205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</row>
    <row r="6" spans="2:84" ht="39.6">
      <c r="B6" s="44" t="s">
        <v>47</v>
      </c>
      <c r="C6" s="34"/>
      <c r="D6" s="34"/>
      <c r="E6" s="43" t="str">
        <f ca="1">E2</f>
        <v>Miniflex</v>
      </c>
      <c r="F6" s="43" t="str">
        <f t="shared" ref="F6:AR6" si="0">INDEX(Full_Tariff_List,F$7,)</f>
        <v>Businessrate 1</v>
      </c>
      <c r="G6" s="43" t="str">
        <f t="shared" si="0"/>
        <v>Businessrate 2</v>
      </c>
      <c r="H6" s="43" t="str">
        <f t="shared" si="0"/>
        <v>Businessrate 3</v>
      </c>
      <c r="I6" s="43" t="str">
        <f t="shared" si="0"/>
        <v>Businessrate 4</v>
      </c>
      <c r="J6" s="43" t="str">
        <f t="shared" si="0"/>
        <v>Homelight 20A</v>
      </c>
      <c r="K6" s="43" t="str">
        <f t="shared" si="0"/>
        <v>Homelight 60A</v>
      </c>
      <c r="L6" s="43" t="str">
        <f t="shared" si="0"/>
        <v>Homepower 1</v>
      </c>
      <c r="M6" s="43" t="str">
        <f t="shared" si="0"/>
        <v>Homepower 2</v>
      </c>
      <c r="N6" s="43" t="str">
        <f t="shared" si="0"/>
        <v>Homepower 3</v>
      </c>
      <c r="O6" s="43" t="str">
        <f t="shared" si="0"/>
        <v>Homepower 4</v>
      </c>
      <c r="P6" s="43" t="str">
        <f t="shared" si="0"/>
        <v>Homepower Bulk</v>
      </c>
      <c r="Q6" s="43" t="str">
        <f t="shared" si="0"/>
        <v>Landrate 1</v>
      </c>
      <c r="R6" s="43" t="str">
        <f t="shared" si="0"/>
        <v>Landrate 2</v>
      </c>
      <c r="S6" s="43" t="str">
        <f t="shared" si="0"/>
        <v>Landrate 3</v>
      </c>
      <c r="T6" s="43" t="str">
        <f t="shared" si="0"/>
        <v>Landrate 4</v>
      </c>
      <c r="U6" s="43" t="str">
        <f t="shared" si="0"/>
        <v>Landrate Dx</v>
      </c>
      <c r="V6" s="43" t="str">
        <f t="shared" si="0"/>
        <v>Megaflex</v>
      </c>
      <c r="W6" s="43" t="str">
        <f t="shared" si="0"/>
        <v>Miniflex</v>
      </c>
      <c r="X6" s="43" t="str">
        <f t="shared" si="0"/>
        <v>Nightsave Urban</v>
      </c>
      <c r="Y6" s="43" t="str">
        <f t="shared" si="0"/>
        <v>Nightsave Rural</v>
      </c>
      <c r="Z6" s="43" t="str">
        <f t="shared" si="0"/>
        <v>Nightsave Small</v>
      </c>
      <c r="AA6" s="43" t="str">
        <f t="shared" si="0"/>
        <v>Ruraflex</v>
      </c>
      <c r="AB6" s="43" t="str">
        <f t="shared" si="0"/>
        <v>Landlight 20A</v>
      </c>
      <c r="AC6" s="43" t="str">
        <f t="shared" si="0"/>
        <v>Landlight 60A</v>
      </c>
      <c r="AD6" s="43" t="str">
        <f t="shared" si="0"/>
        <v>Public Lighting 24 Hours</v>
      </c>
      <c r="AE6" s="43" t="str">
        <f t="shared" si="0"/>
        <v>Public Lighting All Night</v>
      </c>
      <c r="AF6" s="43" t="str">
        <f t="shared" si="0"/>
        <v>Public Lighting Urban Fixed</v>
      </c>
      <c r="AG6" s="43" t="str">
        <f t="shared" si="0"/>
        <v>Municflex</v>
      </c>
      <c r="AH6" s="43" t="str">
        <f t="shared" si="0"/>
        <v>Municrate 1</v>
      </c>
      <c r="AI6" s="43" t="str">
        <f t="shared" si="0"/>
        <v>Municrate 2</v>
      </c>
      <c r="AJ6" s="43" t="str">
        <f t="shared" si="0"/>
        <v>Municrate 3</v>
      </c>
      <c r="AK6" s="43" t="str">
        <f t="shared" si="0"/>
        <v>Municrate 4</v>
      </c>
      <c r="AL6" s="43" t="str">
        <f t="shared" si="0"/>
        <v>Homeflex 1</v>
      </c>
      <c r="AM6" s="43" t="str">
        <f t="shared" si="0"/>
        <v>Homeflex 2</v>
      </c>
      <c r="AN6" s="43" t="str">
        <f t="shared" si="0"/>
        <v>Homeflex 3</v>
      </c>
      <c r="AO6" s="43" t="str">
        <f t="shared" si="0"/>
        <v>Homeflex 4</v>
      </c>
      <c r="AP6" s="43" t="str">
        <f t="shared" si="0"/>
        <v>Transflex 1</v>
      </c>
      <c r="AQ6" s="43" t="str">
        <f t="shared" si="0"/>
        <v>Transflex 2</v>
      </c>
      <c r="AR6" s="43" t="str">
        <f t="shared" si="0"/>
        <v>Nightsave Large</v>
      </c>
      <c r="AT6" s="43" t="str">
        <f ca="1">Selected_Base_Tariff</f>
        <v>Miniflex</v>
      </c>
      <c r="AU6" s="43" t="s">
        <v>166</v>
      </c>
      <c r="AV6" s="43" t="s">
        <v>167</v>
      </c>
      <c r="AW6" s="43" t="s">
        <v>168</v>
      </c>
      <c r="AX6" s="43" t="s">
        <v>169</v>
      </c>
      <c r="AY6" s="43" t="s">
        <v>176</v>
      </c>
      <c r="AZ6" s="43" t="s">
        <v>177</v>
      </c>
      <c r="BA6" s="43" t="s">
        <v>171</v>
      </c>
      <c r="BB6" s="43" t="s">
        <v>172</v>
      </c>
      <c r="BC6" s="43" t="s">
        <v>173</v>
      </c>
      <c r="BD6" s="43" t="s">
        <v>174</v>
      </c>
      <c r="BE6" s="43" t="s">
        <v>344</v>
      </c>
      <c r="BF6" s="43" t="s">
        <v>178</v>
      </c>
      <c r="BG6" s="43" t="s">
        <v>179</v>
      </c>
      <c r="BH6" s="43" t="s">
        <v>180</v>
      </c>
      <c r="BI6" s="43" t="s">
        <v>181</v>
      </c>
      <c r="BJ6" s="43" t="s">
        <v>183</v>
      </c>
      <c r="BK6" s="43" t="s">
        <v>41</v>
      </c>
      <c r="BL6" s="43" t="s">
        <v>42</v>
      </c>
      <c r="BM6" s="43" t="s">
        <v>624</v>
      </c>
      <c r="BN6" s="43" t="s">
        <v>44</v>
      </c>
      <c r="BO6" s="43" t="s">
        <v>45</v>
      </c>
      <c r="BP6" s="43" t="s">
        <v>46</v>
      </c>
      <c r="BQ6" s="43" t="s">
        <v>402</v>
      </c>
      <c r="BR6" s="43" t="s">
        <v>403</v>
      </c>
      <c r="BS6" s="43" t="s">
        <v>348</v>
      </c>
      <c r="BT6" s="43" t="s">
        <v>347</v>
      </c>
      <c r="BU6" s="43" t="s">
        <v>349</v>
      </c>
      <c r="BV6" s="43" t="s">
        <v>465</v>
      </c>
      <c r="BW6" s="43" t="s">
        <v>466</v>
      </c>
      <c r="BX6" s="43" t="s">
        <v>467</v>
      </c>
      <c r="BY6" s="43" t="s">
        <v>468</v>
      </c>
      <c r="BZ6" s="43" t="s">
        <v>469</v>
      </c>
      <c r="CA6" s="43" t="s">
        <v>535</v>
      </c>
      <c r="CB6" s="43" t="s">
        <v>536</v>
      </c>
      <c r="CC6" s="43" t="s">
        <v>537</v>
      </c>
      <c r="CD6" s="43" t="s">
        <v>538</v>
      </c>
      <c r="CE6" s="43" t="s">
        <v>583</v>
      </c>
      <c r="CF6" s="43" t="s">
        <v>584</v>
      </c>
    </row>
    <row r="7" spans="2:84">
      <c r="E7">
        <f ca="1">F2</f>
        <v>18</v>
      </c>
      <c r="F7">
        <v>1</v>
      </c>
      <c r="G7">
        <f>F7+1</f>
        <v>2</v>
      </c>
      <c r="H7">
        <f t="shared" ref="H7:W7" si="1">G7+1</f>
        <v>3</v>
      </c>
      <c r="I7">
        <f t="shared" si="1"/>
        <v>4</v>
      </c>
      <c r="J7">
        <f t="shared" si="1"/>
        <v>5</v>
      </c>
      <c r="K7">
        <f t="shared" si="1"/>
        <v>6</v>
      </c>
      <c r="L7">
        <f t="shared" si="1"/>
        <v>7</v>
      </c>
      <c r="M7">
        <f t="shared" si="1"/>
        <v>8</v>
      </c>
      <c r="N7">
        <f t="shared" si="1"/>
        <v>9</v>
      </c>
      <c r="O7">
        <f t="shared" si="1"/>
        <v>10</v>
      </c>
      <c r="P7">
        <f t="shared" si="1"/>
        <v>11</v>
      </c>
      <c r="Q7">
        <f t="shared" si="1"/>
        <v>12</v>
      </c>
      <c r="R7">
        <f t="shared" si="1"/>
        <v>13</v>
      </c>
      <c r="S7">
        <f t="shared" si="1"/>
        <v>14</v>
      </c>
      <c r="T7">
        <f t="shared" si="1"/>
        <v>15</v>
      </c>
      <c r="U7">
        <f t="shared" si="1"/>
        <v>16</v>
      </c>
      <c r="V7">
        <f t="shared" si="1"/>
        <v>17</v>
      </c>
      <c r="W7">
        <f t="shared" si="1"/>
        <v>18</v>
      </c>
      <c r="X7">
        <f t="shared" ref="X7:AR7" si="2">W7+1</f>
        <v>19</v>
      </c>
      <c r="Y7">
        <f t="shared" si="2"/>
        <v>20</v>
      </c>
      <c r="Z7">
        <f t="shared" si="2"/>
        <v>21</v>
      </c>
      <c r="AA7">
        <f t="shared" si="2"/>
        <v>22</v>
      </c>
      <c r="AB7">
        <f t="shared" si="2"/>
        <v>23</v>
      </c>
      <c r="AC7">
        <f t="shared" si="2"/>
        <v>24</v>
      </c>
      <c r="AD7">
        <f t="shared" si="2"/>
        <v>25</v>
      </c>
      <c r="AE7">
        <f t="shared" si="2"/>
        <v>26</v>
      </c>
      <c r="AF7">
        <f t="shared" si="2"/>
        <v>27</v>
      </c>
      <c r="AG7">
        <f t="shared" si="2"/>
        <v>28</v>
      </c>
      <c r="AH7">
        <f t="shared" si="2"/>
        <v>29</v>
      </c>
      <c r="AI7">
        <f t="shared" si="2"/>
        <v>30</v>
      </c>
      <c r="AJ7">
        <f t="shared" si="2"/>
        <v>31</v>
      </c>
      <c r="AK7">
        <f t="shared" si="2"/>
        <v>32</v>
      </c>
      <c r="AL7">
        <f t="shared" si="2"/>
        <v>33</v>
      </c>
      <c r="AM7">
        <f t="shared" si="2"/>
        <v>34</v>
      </c>
      <c r="AN7">
        <f t="shared" si="2"/>
        <v>35</v>
      </c>
      <c r="AO7">
        <f t="shared" si="2"/>
        <v>36</v>
      </c>
      <c r="AP7">
        <f t="shared" si="2"/>
        <v>37</v>
      </c>
      <c r="AQ7">
        <f t="shared" si="2"/>
        <v>38</v>
      </c>
      <c r="AR7">
        <f t="shared" si="2"/>
        <v>39</v>
      </c>
      <c r="AU7">
        <v>1</v>
      </c>
      <c r="AV7">
        <v>2</v>
      </c>
      <c r="AW7">
        <v>3</v>
      </c>
      <c r="AX7">
        <v>4</v>
      </c>
      <c r="AY7">
        <v>5</v>
      </c>
      <c r="AZ7">
        <v>6</v>
      </c>
      <c r="BA7">
        <v>7</v>
      </c>
      <c r="BB7">
        <v>8</v>
      </c>
      <c r="BC7">
        <v>9</v>
      </c>
      <c r="BD7">
        <v>10</v>
      </c>
      <c r="BE7">
        <v>11</v>
      </c>
      <c r="BF7">
        <v>12</v>
      </c>
      <c r="BG7">
        <v>13</v>
      </c>
      <c r="BH7">
        <v>14</v>
      </c>
      <c r="BI7">
        <v>15</v>
      </c>
      <c r="BJ7">
        <v>16</v>
      </c>
      <c r="BK7">
        <v>17</v>
      </c>
      <c r="BL7">
        <v>18</v>
      </c>
      <c r="BM7">
        <v>19</v>
      </c>
      <c r="BN7">
        <v>20</v>
      </c>
      <c r="BO7">
        <v>21</v>
      </c>
      <c r="BP7">
        <v>22</v>
      </c>
      <c r="BQ7">
        <v>23</v>
      </c>
      <c r="BR7">
        <v>24</v>
      </c>
      <c r="BS7">
        <v>25</v>
      </c>
      <c r="BT7">
        <v>26</v>
      </c>
      <c r="BU7">
        <v>27</v>
      </c>
      <c r="BV7">
        <v>28</v>
      </c>
      <c r="BW7">
        <v>29</v>
      </c>
      <c r="BX7">
        <v>30</v>
      </c>
      <c r="BY7">
        <v>31</v>
      </c>
      <c r="BZ7">
        <v>32</v>
      </c>
      <c r="CA7">
        <v>33</v>
      </c>
      <c r="CB7">
        <v>34</v>
      </c>
      <c r="CC7">
        <v>35</v>
      </c>
      <c r="CD7">
        <v>36</v>
      </c>
      <c r="CE7">
        <v>37</v>
      </c>
      <c r="CF7">
        <v>38</v>
      </c>
    </row>
    <row r="8" spans="2:84" ht="30.75" customHeight="1">
      <c r="B8" s="24" t="s">
        <v>101</v>
      </c>
      <c r="C8" s="24"/>
      <c r="D8" s="23" t="s">
        <v>110</v>
      </c>
      <c r="E8" s="23" t="str">
        <f>Current_Period&amp;" Rates"</f>
        <v>2025/26 Rates</v>
      </c>
      <c r="F8" s="23" t="str">
        <f>E8</f>
        <v>2025/26 Rates</v>
      </c>
      <c r="G8" s="23" t="str">
        <f t="shared" ref="G8:AA8" si="3">F8</f>
        <v>2025/26 Rates</v>
      </c>
      <c r="H8" s="23" t="str">
        <f t="shared" si="3"/>
        <v>2025/26 Rates</v>
      </c>
      <c r="I8" s="23" t="str">
        <f t="shared" si="3"/>
        <v>2025/26 Rates</v>
      </c>
      <c r="J8" s="23" t="str">
        <f t="shared" si="3"/>
        <v>2025/26 Rates</v>
      </c>
      <c r="K8" s="23" t="str">
        <f t="shared" si="3"/>
        <v>2025/26 Rates</v>
      </c>
      <c r="L8" s="23" t="str">
        <f t="shared" si="3"/>
        <v>2025/26 Rates</v>
      </c>
      <c r="M8" s="23" t="str">
        <f t="shared" si="3"/>
        <v>2025/26 Rates</v>
      </c>
      <c r="N8" s="23" t="str">
        <f t="shared" si="3"/>
        <v>2025/26 Rates</v>
      </c>
      <c r="O8" s="23" t="str">
        <f t="shared" si="3"/>
        <v>2025/26 Rates</v>
      </c>
      <c r="P8" s="23" t="str">
        <f t="shared" si="3"/>
        <v>2025/26 Rates</v>
      </c>
      <c r="Q8" s="23" t="str">
        <f t="shared" si="3"/>
        <v>2025/26 Rates</v>
      </c>
      <c r="R8" s="23" t="str">
        <f t="shared" si="3"/>
        <v>2025/26 Rates</v>
      </c>
      <c r="S8" s="23" t="str">
        <f t="shared" si="3"/>
        <v>2025/26 Rates</v>
      </c>
      <c r="T8" s="23" t="str">
        <f t="shared" si="3"/>
        <v>2025/26 Rates</v>
      </c>
      <c r="U8" s="23" t="str">
        <f t="shared" si="3"/>
        <v>2025/26 Rates</v>
      </c>
      <c r="V8" s="23" t="str">
        <f t="shared" si="3"/>
        <v>2025/26 Rates</v>
      </c>
      <c r="W8" s="23" t="str">
        <f t="shared" si="3"/>
        <v>2025/26 Rates</v>
      </c>
      <c r="X8" s="23" t="str">
        <f t="shared" si="3"/>
        <v>2025/26 Rates</v>
      </c>
      <c r="Y8" s="23" t="str">
        <f t="shared" si="3"/>
        <v>2025/26 Rates</v>
      </c>
      <c r="Z8" s="23" t="str">
        <f t="shared" si="3"/>
        <v>2025/26 Rates</v>
      </c>
      <c r="AA8" s="23" t="str">
        <f t="shared" si="3"/>
        <v>2025/26 Rates</v>
      </c>
      <c r="AB8" s="23" t="str">
        <f t="shared" ref="AB8:AO8" si="4">AA8</f>
        <v>2025/26 Rates</v>
      </c>
      <c r="AC8" s="23" t="str">
        <f t="shared" si="4"/>
        <v>2025/26 Rates</v>
      </c>
      <c r="AD8" s="23" t="str">
        <f t="shared" si="4"/>
        <v>2025/26 Rates</v>
      </c>
      <c r="AE8" s="23" t="str">
        <f t="shared" si="4"/>
        <v>2025/26 Rates</v>
      </c>
      <c r="AF8" s="23" t="str">
        <f t="shared" si="4"/>
        <v>2025/26 Rates</v>
      </c>
      <c r="AG8" s="23" t="str">
        <f t="shared" si="4"/>
        <v>2025/26 Rates</v>
      </c>
      <c r="AH8" s="23" t="str">
        <f t="shared" si="4"/>
        <v>2025/26 Rates</v>
      </c>
      <c r="AI8" s="23" t="str">
        <f t="shared" si="4"/>
        <v>2025/26 Rates</v>
      </c>
      <c r="AJ8" s="23" t="str">
        <f t="shared" si="4"/>
        <v>2025/26 Rates</v>
      </c>
      <c r="AK8" s="23" t="str">
        <f t="shared" si="4"/>
        <v>2025/26 Rates</v>
      </c>
      <c r="AL8" s="23" t="str">
        <f t="shared" si="4"/>
        <v>2025/26 Rates</v>
      </c>
      <c r="AM8" s="23" t="str">
        <f t="shared" si="4"/>
        <v>2025/26 Rates</v>
      </c>
      <c r="AN8" s="23" t="str">
        <f t="shared" si="4"/>
        <v>2025/26 Rates</v>
      </c>
      <c r="AO8" s="23" t="str">
        <f t="shared" si="4"/>
        <v>2025/26 Rates</v>
      </c>
      <c r="AP8" s="23" t="str">
        <f>AO8</f>
        <v>2025/26 Rates</v>
      </c>
      <c r="AQ8" s="23" t="str">
        <f>AP8</f>
        <v>2025/26 Rates</v>
      </c>
      <c r="AR8" s="23" t="str">
        <f>AQ8</f>
        <v>2025/26 Rates</v>
      </c>
      <c r="AT8" s="23" t="str">
        <f>New_Period&amp;" Rates"</f>
        <v>2026/27 Rates</v>
      </c>
      <c r="AU8" s="23" t="str">
        <f>AT8</f>
        <v>2026/27 Rates</v>
      </c>
      <c r="AV8" s="23" t="str">
        <f t="shared" ref="AV8:BP8" si="5">AU8</f>
        <v>2026/27 Rates</v>
      </c>
      <c r="AW8" s="23" t="str">
        <f t="shared" si="5"/>
        <v>2026/27 Rates</v>
      </c>
      <c r="AX8" s="23" t="str">
        <f t="shared" si="5"/>
        <v>2026/27 Rates</v>
      </c>
      <c r="AY8" s="23" t="str">
        <f t="shared" si="5"/>
        <v>2026/27 Rates</v>
      </c>
      <c r="AZ8" s="23" t="str">
        <f t="shared" si="5"/>
        <v>2026/27 Rates</v>
      </c>
      <c r="BA8" s="23" t="str">
        <f t="shared" si="5"/>
        <v>2026/27 Rates</v>
      </c>
      <c r="BB8" s="23" t="str">
        <f t="shared" si="5"/>
        <v>2026/27 Rates</v>
      </c>
      <c r="BC8" s="23" t="str">
        <f t="shared" si="5"/>
        <v>2026/27 Rates</v>
      </c>
      <c r="BD8" s="23" t="str">
        <f t="shared" si="5"/>
        <v>2026/27 Rates</v>
      </c>
      <c r="BE8" s="23" t="str">
        <f t="shared" si="5"/>
        <v>2026/27 Rates</v>
      </c>
      <c r="BF8" s="23" t="str">
        <f t="shared" si="5"/>
        <v>2026/27 Rates</v>
      </c>
      <c r="BG8" s="23" t="str">
        <f t="shared" si="5"/>
        <v>2026/27 Rates</v>
      </c>
      <c r="BH8" s="23" t="str">
        <f t="shared" si="5"/>
        <v>2026/27 Rates</v>
      </c>
      <c r="BI8" s="23" t="str">
        <f t="shared" si="5"/>
        <v>2026/27 Rates</v>
      </c>
      <c r="BJ8" s="23" t="str">
        <f t="shared" si="5"/>
        <v>2026/27 Rates</v>
      </c>
      <c r="BK8" s="23" t="str">
        <f t="shared" si="5"/>
        <v>2026/27 Rates</v>
      </c>
      <c r="BL8" s="23" t="str">
        <f t="shared" si="5"/>
        <v>2026/27 Rates</v>
      </c>
      <c r="BM8" s="23" t="str">
        <f t="shared" si="5"/>
        <v>2026/27 Rates</v>
      </c>
      <c r="BN8" s="23" t="str">
        <f t="shared" si="5"/>
        <v>2026/27 Rates</v>
      </c>
      <c r="BO8" s="23" t="str">
        <f t="shared" si="5"/>
        <v>2026/27 Rates</v>
      </c>
      <c r="BP8" s="23" t="str">
        <f t="shared" si="5"/>
        <v>2026/27 Rates</v>
      </c>
      <c r="BQ8" s="23" t="str">
        <f t="shared" ref="BQ8:CD8" si="6">BP8</f>
        <v>2026/27 Rates</v>
      </c>
      <c r="BR8" s="23" t="str">
        <f t="shared" si="6"/>
        <v>2026/27 Rates</v>
      </c>
      <c r="BS8" s="23" t="str">
        <f t="shared" si="6"/>
        <v>2026/27 Rates</v>
      </c>
      <c r="BT8" s="23" t="str">
        <f t="shared" si="6"/>
        <v>2026/27 Rates</v>
      </c>
      <c r="BU8" s="23" t="str">
        <f t="shared" si="6"/>
        <v>2026/27 Rates</v>
      </c>
      <c r="BV8" s="23" t="str">
        <f t="shared" si="6"/>
        <v>2026/27 Rates</v>
      </c>
      <c r="BW8" s="23" t="str">
        <f t="shared" si="6"/>
        <v>2026/27 Rates</v>
      </c>
      <c r="BX8" s="23" t="str">
        <f t="shared" si="6"/>
        <v>2026/27 Rates</v>
      </c>
      <c r="BY8" s="23" t="str">
        <f t="shared" si="6"/>
        <v>2026/27 Rates</v>
      </c>
      <c r="BZ8" s="23" t="str">
        <f t="shared" si="6"/>
        <v>2026/27 Rates</v>
      </c>
      <c r="CA8" s="23" t="str">
        <f t="shared" si="6"/>
        <v>2026/27 Rates</v>
      </c>
      <c r="CB8" s="23" t="str">
        <f t="shared" si="6"/>
        <v>2026/27 Rates</v>
      </c>
      <c r="CC8" s="23" t="str">
        <f t="shared" si="6"/>
        <v>2026/27 Rates</v>
      </c>
      <c r="CD8" s="23" t="str">
        <f t="shared" si="6"/>
        <v>2026/27 Rates</v>
      </c>
      <c r="CE8" s="23" t="str">
        <f>CD8</f>
        <v>2026/27 Rates</v>
      </c>
      <c r="CF8" s="23" t="str">
        <f>CE8</f>
        <v>2026/27 Rates</v>
      </c>
    </row>
    <row r="9" spans="2:84" ht="4.05" customHeight="1"/>
    <row r="10" spans="2:84" s="138" customFormat="1">
      <c r="C10" s="138" t="s">
        <v>98</v>
      </c>
      <c r="D10" s="139" t="s">
        <v>115</v>
      </c>
      <c r="E10" s="140">
        <f ca="1">INDEX(F10:AR10,0,$F$2)</f>
        <v>0</v>
      </c>
      <c r="F10" s="141">
        <f ca="1">IFERROR('Rates Table'!F10*(IF(Inputs!$G$29="No",Low_Utilised_Capacity,Low_Utilised_Capacity_Exist_TOU)),0)</f>
        <v>0</v>
      </c>
      <c r="G10" s="141">
        <f ca="1">IFERROR('Rates Table'!G10*(IF(Inputs!$G$29="No",Low_Utilised_Capacity,Low_Utilised_Capacity_Exist_TOU)),0)</f>
        <v>0</v>
      </c>
      <c r="H10" s="141">
        <f ca="1">IFERROR('Rates Table'!H10*(IF(Inputs!$G$29="No",Low_Utilised_Capacity,Low_Utilised_Capacity_Exist_TOU)),0)</f>
        <v>0</v>
      </c>
      <c r="I10" s="141">
        <f ca="1">IFERROR('Rates Table'!I10*(IF(Inputs!$G$29="No",Low_Utilised_Capacity,Low_Utilised_Capacity_Exist_TOU)),0)</f>
        <v>0</v>
      </c>
      <c r="J10" s="141">
        <f ca="1">IFERROR('Rates Table'!J10*(IF(Inputs!$G$29="No",Low_Utilised_Capacity,Low_Utilised_Capacity_Exist_TOU)),0)</f>
        <v>0</v>
      </c>
      <c r="K10" s="141">
        <f ca="1">IFERROR('Rates Table'!K10*(IF(Inputs!$G$29="No",Low_Utilised_Capacity,Low_Utilised_Capacity_Exist_TOU)),0)</f>
        <v>0</v>
      </c>
      <c r="L10" s="141">
        <f ca="1">IFERROR('Rates Table'!L10*(IF(Inputs!$G$29="No",Low_Utilised_Capacity,Low_Utilised_Capacity_Exist_TOU)),0)</f>
        <v>0</v>
      </c>
      <c r="M10" s="141">
        <f ca="1">IFERROR('Rates Table'!M10*(IF(Inputs!$G$29="No",Low_Utilised_Capacity,Low_Utilised_Capacity_Exist_TOU)),0)</f>
        <v>0</v>
      </c>
      <c r="N10" s="141">
        <f ca="1">IFERROR('Rates Table'!N10*(IF(Inputs!$G$29="No",Low_Utilised_Capacity,Low_Utilised_Capacity_Exist_TOU)),0)</f>
        <v>0</v>
      </c>
      <c r="O10" s="141">
        <f ca="1">IFERROR('Rates Table'!O10*(IF(Inputs!$G$29="No",Low_Utilised_Capacity,Low_Utilised_Capacity_Exist_TOU)),0)</f>
        <v>0</v>
      </c>
      <c r="P10" s="141">
        <f ca="1">IFERROR('Rates Table'!P10*(IF(Inputs!$G$29="No",Low_Utilised_Capacity,Low_Utilised_Capacity_Exist_TOU)),0)</f>
        <v>0</v>
      </c>
      <c r="Q10" s="141">
        <f ca="1">IFERROR('Rates Table'!Q10*(IF(Inputs!$G$29="No",Low_Utilised_Capacity,Low_Utilised_Capacity_Exist_TOU)),0)</f>
        <v>0</v>
      </c>
      <c r="R10" s="141">
        <f ca="1">IFERROR('Rates Table'!R10*(IF(Inputs!$G$29="No",Low_Utilised_Capacity,Low_Utilised_Capacity_Exist_TOU)),0)</f>
        <v>0</v>
      </c>
      <c r="S10" s="141">
        <f ca="1">IFERROR('Rates Table'!S10*(IF(Inputs!$G$29="No",Low_Utilised_Capacity,Low_Utilised_Capacity_Exist_TOU)),0)</f>
        <v>0</v>
      </c>
      <c r="T10" s="141">
        <f ca="1">IFERROR('Rates Table'!T10*(IF(Inputs!$G$29="No",Low_Utilised_Capacity,Low_Utilised_Capacity_Exist_TOU)),0)</f>
        <v>0</v>
      </c>
      <c r="U10" s="141">
        <f ca="1">IFERROR('Rates Table'!U10*(IF(Inputs!$G$29="No",Low_Utilised_Capacity,Low_Utilised_Capacity_Exist_TOU)),0)</f>
        <v>0</v>
      </c>
      <c r="V10" s="141">
        <f ca="1">IFERROR('Rates Table'!V10*(IF(Inputs!$G$29="No",Low_Utilised_Capacity,Low_Utilised_Capacity_Exist_TOU)),0)</f>
        <v>0</v>
      </c>
      <c r="W10" s="141">
        <f ca="1">IFERROR('Rates Table'!W10*(IF(Inputs!$G$29="No",Low_Utilised_Capacity,Low_Utilised_Capacity_Exist_TOU)),0)</f>
        <v>0</v>
      </c>
      <c r="X10" s="141">
        <f ca="1">IF(OR(E2="Nightsave Large",E2="Nightsave Small"),E10,IFERROR('Rates Table'!X10*(IF(Inputs!$G$29="No",Low_Utilised_Capacity,Low_Utilised_Capacity_Exist_TOU)),0))</f>
        <v>0</v>
      </c>
      <c r="Y10" s="141">
        <f ca="1">IFERROR('Rates Table'!Y10*(IF(Inputs!$G$29="No",Low_Utilised_Capacity,Low_Utilised_Capacity_Exist_TOU)),0)</f>
        <v>0</v>
      </c>
      <c r="Z10" s="141">
        <f ca="1">IFERROR('Rates Table'!Z10*(IF(Inputs!$G$29="No",Low_Utilised_Capacity,Low_Utilised_Capacity_Exist_TOU)),0)</f>
        <v>0</v>
      </c>
      <c r="AA10" s="141">
        <f ca="1">IFERROR('Rates Table'!AA10*(IF(Inputs!$G$29="No",Low_Utilised_Capacity,Low_Utilised_Capacity_Exist_TOU)),0)</f>
        <v>0</v>
      </c>
      <c r="AB10" s="141">
        <f ca="1">IFERROR('Rates Table'!AB10*(IF(Inputs!$G$29="No",Low_Utilised_Capacity,Low_Utilised_Capacity_Exist_TOU)),0)</f>
        <v>0</v>
      </c>
      <c r="AC10" s="141">
        <f ca="1">IFERROR('Rates Table'!AC10*(IF(Inputs!$G$29="No",Low_Utilised_Capacity,Low_Utilised_Capacity_Exist_TOU)),0)</f>
        <v>0</v>
      </c>
      <c r="AD10" s="141">
        <f ca="1">IFERROR('Rates Table'!AD10*(IF(Inputs!$G$29="No",Low_Utilised_Capacity,Low_Utilised_Capacity_Exist_TOU)),0)</f>
        <v>0</v>
      </c>
      <c r="AE10" s="141">
        <f ca="1">IFERROR('Rates Table'!AE10*(IF(Inputs!$G$29="No",Low_Utilised_Capacity,Low_Utilised_Capacity_Exist_TOU)),0)</f>
        <v>0</v>
      </c>
      <c r="AF10" s="141">
        <f ca="1">IFERROR('Rates Table'!AF10*(IF(Inputs!$G$29="No",Low_Utilised_Capacity,Low_Utilised_Capacity_Exist_TOU)),0)</f>
        <v>0</v>
      </c>
      <c r="AG10" s="141">
        <f ca="1">IFERROR('Rates Table'!AG10*(IF(Inputs!$G$29="No",Low_Utilised_Capacity,Low_Utilised_Capacity_Exist_TOU)),0)</f>
        <v>0</v>
      </c>
      <c r="AH10" s="141">
        <f ca="1">IFERROR('Rates Table'!AH10*(IF(Inputs!$G$29="No",Low_Utilised_Capacity,Low_Utilised_Capacity_Exist_TOU)),0)</f>
        <v>0</v>
      </c>
      <c r="AI10" s="141">
        <f ca="1">IFERROR('Rates Table'!AI10*(IF(Inputs!$G$29="No",Low_Utilised_Capacity,Low_Utilised_Capacity_Exist_TOU)),0)</f>
        <v>0</v>
      </c>
      <c r="AJ10" s="141">
        <f ca="1">IFERROR('Rates Table'!AJ10*(IF(Inputs!$G$29="No",Low_Utilised_Capacity,Low_Utilised_Capacity_Exist_TOU)),0)</f>
        <v>0</v>
      </c>
      <c r="AK10" s="141">
        <f ca="1">IFERROR('Rates Table'!AK10*(IF(Inputs!$G$29="No",Low_Utilised_Capacity,Low_Utilised_Capacity_Exist_TOU)),0)</f>
        <v>0</v>
      </c>
      <c r="AL10" s="141">
        <f ca="1">IFERROR('Rates Table'!AL10*(IF(Inputs!$G$29="No",Low_Utilised_Capacity,Low_Utilised_Capacity_Exist_TOU)),0)</f>
        <v>0</v>
      </c>
      <c r="AM10" s="141">
        <f ca="1">IFERROR('Rates Table'!AM10*(IF(Inputs!$G$29="No",Low_Utilised_Capacity,Low_Utilised_Capacity_Exist_TOU)),0)</f>
        <v>0</v>
      </c>
      <c r="AN10" s="141">
        <f ca="1">IFERROR('Rates Table'!AN10*(IF(Inputs!$G$29="No",Low_Utilised_Capacity,Low_Utilised_Capacity_Exist_TOU)),0)</f>
        <v>0</v>
      </c>
      <c r="AO10" s="141">
        <f ca="1">IFERROR('Rates Table'!AO10*(IF(Inputs!$G$29="No",Low_Utilised_Capacity,Low_Utilised_Capacity_Exist_TOU)),0)</f>
        <v>0</v>
      </c>
      <c r="AP10" s="141">
        <f ca="1">IFERROR('Rates Table'!AP10*(IF(Inputs!$G$29="No",Low_Utilised_Capacity,Low_Utilised_Capacity_Exist_TOU)),0)</f>
        <v>0</v>
      </c>
      <c r="AQ10" s="141">
        <f ca="1">IFERROR('Rates Table'!AQ10*(IF(Inputs!$G$29="No",Low_Utilised_Capacity,Low_Utilised_Capacity_Exist_TOU)),0)</f>
        <v>0</v>
      </c>
      <c r="AR10" s="141">
        <f ca="1">IFERROR('Rates Table'!AR10*(IF(Inputs!$G$29="No",Low_Utilised_Capacity,Low_Utilised_Capacity_Exist_TOU)),0)</f>
        <v>0</v>
      </c>
      <c r="AT10" s="140">
        <f t="shared" ref="AT10:AT16" ca="1" si="7">INDEX(AU10:CF10,0,Selected_Tariff_ID)</f>
        <v>0</v>
      </c>
      <c r="AU10" s="141">
        <f ca="1">IFERROR('Rates Table'!AU10*(IF(Inputs!$G$29="No",Low_Utilised_Capacity,Low_Utilised_Capacity_New_TOU)),0)</f>
        <v>0</v>
      </c>
      <c r="AV10" s="141">
        <f ca="1">IFERROR('Rates Table'!AV10*(IF(Inputs!$G$29="No",Low_Utilised_Capacity,Low_Utilised_Capacity_New_TOU)),0)</f>
        <v>0</v>
      </c>
      <c r="AW10" s="141">
        <f ca="1">IFERROR('Rates Table'!AW10*(IF(Inputs!$G$29="No",Low_Utilised_Capacity,Low_Utilised_Capacity_New_TOU)),0)</f>
        <v>0</v>
      </c>
      <c r="AX10" s="141">
        <f ca="1">IFERROR('Rates Table'!AX10*(IF(Inputs!$G$29="No",Low_Utilised_Capacity,Low_Utilised_Capacity_New_TOU)),0)</f>
        <v>0</v>
      </c>
      <c r="AY10" s="141">
        <f ca="1">IFERROR('Rates Table'!AY10*(IF(Inputs!$G$29="No",Low_Utilised_Capacity,Low_Utilised_Capacity_New_TOU)),0)</f>
        <v>0</v>
      </c>
      <c r="AZ10" s="141">
        <f ca="1">IFERROR('Rates Table'!AZ10*(IF(Inputs!$G$29="No",Low_Utilised_Capacity,Low_Utilised_Capacity_New_TOU)),0)</f>
        <v>0</v>
      </c>
      <c r="BA10" s="141">
        <f ca="1">IFERROR('Rates Table'!BA10*(IF(Inputs!$G$29="No",Low_Utilised_Capacity,Low_Utilised_Capacity_New_TOU)),0)</f>
        <v>0</v>
      </c>
      <c r="BB10" s="141">
        <f ca="1">IFERROR('Rates Table'!BB10*(IF(Inputs!$G$29="No",Low_Utilised_Capacity,Low_Utilised_Capacity_New_TOU)),0)</f>
        <v>0</v>
      </c>
      <c r="BC10" s="141">
        <f ca="1">IFERROR('Rates Table'!BC10*(IF(Inputs!$G$29="No",Low_Utilised_Capacity,Low_Utilised_Capacity_New_TOU)),0)</f>
        <v>0</v>
      </c>
      <c r="BD10" s="141">
        <f ca="1">IFERROR('Rates Table'!BD10*(IF(Inputs!$G$29="No",Low_Utilised_Capacity,Low_Utilised_Capacity_New_TOU)),0)</f>
        <v>0</v>
      </c>
      <c r="BE10" s="141">
        <f ca="1">IFERROR('Rates Table'!BE10*(IF(Inputs!$G$29="No",Low_Utilised_Capacity,Low_Utilised_Capacity_New_TOU)),0)</f>
        <v>0</v>
      </c>
      <c r="BF10" s="141">
        <f ca="1">IFERROR('Rates Table'!BF10*(IF(Inputs!$G$29="No",Low_Utilised_Capacity,Low_Utilised_Capacity_New_TOU)),0)</f>
        <v>0</v>
      </c>
      <c r="BG10" s="141">
        <f ca="1">IFERROR('Rates Table'!BG10*(IF(Inputs!$G$29="No",Low_Utilised_Capacity,Low_Utilised_Capacity_New_TOU)),0)</f>
        <v>0</v>
      </c>
      <c r="BH10" s="141">
        <f ca="1">IFERROR('Rates Table'!BH10*(IF(Inputs!$G$29="No",Low_Utilised_Capacity,Low_Utilised_Capacity_New_TOU)),0)</f>
        <v>0</v>
      </c>
      <c r="BI10" s="141">
        <f ca="1">IFERROR('Rates Table'!BI10*(IF(Inputs!$G$29="No",Low_Utilised_Capacity,Low_Utilised_Capacity_New_TOU)),0)</f>
        <v>0</v>
      </c>
      <c r="BJ10" s="141">
        <f ca="1">IFERROR('Rates Table'!BJ10*(IF(Inputs!$G$29="No",Low_Utilised_Capacity,Low_Utilised_Capacity_New_TOU)),0)</f>
        <v>0</v>
      </c>
      <c r="BK10" s="141">
        <f ca="1">IFERROR('Rates Table'!BK10*(IF(Inputs!$G$29="No",Low_Utilised_Capacity,Low_Utilised_Capacity_New_TOU)),0)</f>
        <v>0</v>
      </c>
      <c r="BL10" s="141">
        <f ca="1">IFERROR('Rates Table'!BL10*(IF(Inputs!$G$29="No",Low_Utilised_Capacity,Low_Utilised_Capacity_New_TOU)),0)</f>
        <v>0</v>
      </c>
      <c r="BM10" s="141">
        <f ca="1">IFERROR('Rates Table'!BM10*(IF(Inputs!$G$29="No",Low_Utilised_Capacity,Low_Utilised_Capacity_New_TOU)),0)</f>
        <v>0</v>
      </c>
      <c r="BN10" s="141">
        <f ca="1">IFERROR('Rates Table'!BN10*(IF(Inputs!$G$29="No",Low_Utilised_Capacity,Low_Utilised_Capacity_New_TOU)),0)</f>
        <v>0</v>
      </c>
      <c r="BO10" s="141">
        <f ca="1">IFERROR('Rates Table'!BO10*(IF(Inputs!$G$29="No",Low_Utilised_Capacity,Low_Utilised_Capacity_New_TOU)),0)</f>
        <v>0</v>
      </c>
      <c r="BP10" s="141">
        <f ca="1">IFERROR('Rates Table'!BP10*(IF(Inputs!$G$29="No",Low_Utilised_Capacity,Low_Utilised_Capacity_New_TOU)),0)</f>
        <v>0</v>
      </c>
      <c r="BQ10" s="141">
        <f ca="1">IFERROR('Rates Table'!BQ10*(IF(Inputs!$G$29="No",Low_Utilised_Capacity,Low_Utilised_Capacity_New_TOU)),0)</f>
        <v>0</v>
      </c>
      <c r="BR10" s="141">
        <f ca="1">IFERROR('Rates Table'!BR10*(IF(Inputs!$G$29="No",Low_Utilised_Capacity,Low_Utilised_Capacity_New_TOU)),0)</f>
        <v>0</v>
      </c>
      <c r="BS10" s="141">
        <f ca="1">IFERROR('Rates Table'!BS10*(IF(Inputs!$G$29="No",Low_Utilised_Capacity,Low_Utilised_Capacity_New_TOU)),0)</f>
        <v>0</v>
      </c>
      <c r="BT10" s="141">
        <f ca="1">IFERROR('Rates Table'!BT10*(IF(Inputs!$G$29="No",Low_Utilised_Capacity,Low_Utilised_Capacity_New_TOU)),0)</f>
        <v>0</v>
      </c>
      <c r="BU10" s="141">
        <f ca="1">IFERROR('Rates Table'!BU10*(IF(Inputs!$G$29="No",Low_Utilised_Capacity,Low_Utilised_Capacity_New_TOU)),0)</f>
        <v>0</v>
      </c>
      <c r="BV10" s="141">
        <f ca="1">IFERROR('Rates Table'!BV10*(IF(Inputs!$G$29="No",Low_Utilised_Capacity,Low_Utilised_Capacity_New_TOU)),0)</f>
        <v>0</v>
      </c>
      <c r="BW10" s="141">
        <f ca="1">IFERROR('Rates Table'!BW10*(IF(Inputs!$G$29="No",Low_Utilised_Capacity,Low_Utilised_Capacity_New_TOU)),0)</f>
        <v>0</v>
      </c>
      <c r="BX10" s="141">
        <f ca="1">IFERROR('Rates Table'!BX10*(IF(Inputs!$G$29="No",Low_Utilised_Capacity,Low_Utilised_Capacity_New_TOU)),0)</f>
        <v>0</v>
      </c>
      <c r="BY10" s="141">
        <f ca="1">IFERROR('Rates Table'!BY10*(IF(Inputs!$G$29="No",Low_Utilised_Capacity,Low_Utilised_Capacity_New_TOU)),0)</f>
        <v>0</v>
      </c>
      <c r="BZ10" s="141">
        <f ca="1">IFERROR('Rates Table'!BZ10*(IF(Inputs!$G$29="No",Low_Utilised_Capacity,Low_Utilised_Capacity_New_TOU)),0)</f>
        <v>0</v>
      </c>
      <c r="CA10" s="141">
        <f ca="1">IFERROR('Rates Table'!CA10*(IF(Inputs!$G$29="No",Low_Utilised_Capacity,Low_Utilised_Capacity_New_TOU)),0)</f>
        <v>0</v>
      </c>
      <c r="CB10" s="141">
        <f ca="1">IFERROR('Rates Table'!CB10*(IF(Inputs!$G$29="No",Low_Utilised_Capacity,Low_Utilised_Capacity_New_TOU)),0)</f>
        <v>0</v>
      </c>
      <c r="CC10" s="141">
        <f ca="1">IFERROR('Rates Table'!CC10*(IF(Inputs!$G$29="No",Low_Utilised_Capacity,Low_Utilised_Capacity_New_TOU)),0)</f>
        <v>0</v>
      </c>
      <c r="CD10" s="141">
        <f ca="1">IFERROR('Rates Table'!CD10*(IF(Inputs!$G$29="No",Low_Utilised_Capacity,Low_Utilised_Capacity_New_TOU)),0)</f>
        <v>0</v>
      </c>
      <c r="CE10" s="141">
        <f ca="1">IFERROR('Rates Table'!CE10*(IF(Inputs!$G$29="No",Low_Utilised_Capacity,Low_Utilised_Capacity_New_TOU)),0)</f>
        <v>0</v>
      </c>
      <c r="CF10" s="141">
        <f ca="1">IFERROR('Rates Table'!CF10*(IF(Inputs!$G$29="No",Low_Utilised_Capacity,Low_Utilised_Capacity_New_TOU)),0)</f>
        <v>0</v>
      </c>
    </row>
    <row r="11" spans="2:84" s="138" customFormat="1">
      <c r="C11" s="138" t="s">
        <v>389</v>
      </c>
      <c r="D11" s="139" t="s">
        <v>115</v>
      </c>
      <c r="E11" s="140">
        <f t="shared" ref="E11:E16" ca="1" si="8">INDEX(F11:AR11,0,$F$2)</f>
        <v>0</v>
      </c>
      <c r="F11" s="141">
        <f ca="1">IFERROR('Rates Table'!F11*(IF(Inputs!$G$29="No",Low_Utilised_Capacity,Low_Utilised_Capacity_Exist_TOU)),0)</f>
        <v>0</v>
      </c>
      <c r="G11" s="141">
        <f ca="1">IFERROR('Rates Table'!G11*(IF(Inputs!$G$29="No",Low_Utilised_Capacity,Low_Utilised_Capacity_Exist_TOU)),0)</f>
        <v>0</v>
      </c>
      <c r="H11" s="141">
        <f ca="1">IFERROR('Rates Table'!H11*(IF(Inputs!$G$29="No",Low_Utilised_Capacity,Low_Utilised_Capacity_Exist_TOU)),0)</f>
        <v>0</v>
      </c>
      <c r="I11" s="141">
        <f ca="1">IFERROR('Rates Table'!I11*(IF(Inputs!$G$29="No",Low_Utilised_Capacity,Low_Utilised_Capacity_Exist_TOU)),0)</f>
        <v>0</v>
      </c>
      <c r="J11" s="141">
        <f ca="1">IFERROR('Rates Table'!J11*(IF(Inputs!$G$29="No",Low_Utilised_Capacity,Low_Utilised_Capacity_Exist_TOU)),0)</f>
        <v>0</v>
      </c>
      <c r="K11" s="141">
        <f ca="1">IFERROR('Rates Table'!K11*(IF(Inputs!$G$29="No",Low_Utilised_Capacity,Low_Utilised_Capacity_Exist_TOU)),0)</f>
        <v>0</v>
      </c>
      <c r="L11" s="141">
        <f ca="1">IFERROR('Rates Table'!L11*(IF(Inputs!$G$29="No",Low_Utilised_Capacity,Low_Utilised_Capacity_Exist_TOU)),0)</f>
        <v>0</v>
      </c>
      <c r="M11" s="141">
        <f ca="1">IFERROR('Rates Table'!M11*(IF(Inputs!$G$29="No",Low_Utilised_Capacity,Low_Utilised_Capacity_Exist_TOU)),0)</f>
        <v>0</v>
      </c>
      <c r="N11" s="141">
        <f ca="1">IFERROR('Rates Table'!N11*(IF(Inputs!$G$29="No",Low_Utilised_Capacity,Low_Utilised_Capacity_Exist_TOU)),0)</f>
        <v>0</v>
      </c>
      <c r="O11" s="141">
        <f ca="1">IFERROR('Rates Table'!O11*(IF(Inputs!$G$29="No",Low_Utilised_Capacity,Low_Utilised_Capacity_Exist_TOU)),0)</f>
        <v>0</v>
      </c>
      <c r="P11" s="141">
        <f ca="1">IFERROR('Rates Table'!P11*(IF(Inputs!$G$29="No",Low_Utilised_Capacity,Low_Utilised_Capacity_Exist_TOU)),0)</f>
        <v>0</v>
      </c>
      <c r="Q11" s="141">
        <f ca="1">IFERROR('Rates Table'!Q11*(IF(Inputs!$G$29="No",Low_Utilised_Capacity,Low_Utilised_Capacity_Exist_TOU)),0)</f>
        <v>0</v>
      </c>
      <c r="R11" s="141">
        <f ca="1">IFERROR('Rates Table'!R11*(IF(Inputs!$G$29="No",Low_Utilised_Capacity,Low_Utilised_Capacity_Exist_TOU)),0)</f>
        <v>0</v>
      </c>
      <c r="S11" s="141">
        <f ca="1">IFERROR('Rates Table'!S11*(IF(Inputs!$G$29="No",Low_Utilised_Capacity,Low_Utilised_Capacity_Exist_TOU)),0)</f>
        <v>0</v>
      </c>
      <c r="T11" s="141">
        <f ca="1">IFERROR('Rates Table'!T11*(IF(Inputs!$G$29="No",Low_Utilised_Capacity,Low_Utilised_Capacity_Exist_TOU)),0)</f>
        <v>0</v>
      </c>
      <c r="U11" s="141">
        <f ca="1">IFERROR('Rates Table'!U11*(IF(Inputs!$G$29="No",Low_Utilised_Capacity,Low_Utilised_Capacity_Exist_TOU)),0)</f>
        <v>0</v>
      </c>
      <c r="V11" s="141">
        <f ca="1">IFERROR('Rates Table'!V11*(IF(Inputs!$G$29="No",Low_Utilised_Capacity,Low_Utilised_Capacity_Exist_TOU)),0)</f>
        <v>0</v>
      </c>
      <c r="W11" s="141">
        <f ca="1">IFERROR('Rates Table'!W11*(IF(Inputs!$G$29="No",Low_Utilised_Capacity,Low_Utilised_Capacity_Exist_TOU)),0)</f>
        <v>0</v>
      </c>
      <c r="X11" s="141">
        <f ca="1">IF(OR(E2="Nightsave Large",E2="Nightsave Small"),E11,IFERROR('Rates Table'!X11*(IF(Inputs!$G$29="No",Low_Utilised_Capacity,Low_Utilised_Capacity_Exist_TOU)),0))</f>
        <v>0</v>
      </c>
      <c r="Y11" s="141">
        <f ca="1">IFERROR('Rates Table'!Y11*(IF(Inputs!$G$29="No",Low_Utilised_Capacity,Low_Utilised_Capacity_Exist_TOU)),0)</f>
        <v>0</v>
      </c>
      <c r="Z11" s="141">
        <f ca="1">IFERROR('Rates Table'!Z11*(IF(Inputs!$G$29="No",Low_Utilised_Capacity,Low_Utilised_Capacity_Exist_TOU)),0)</f>
        <v>0</v>
      </c>
      <c r="AA11" s="141">
        <f ca="1">IFERROR('Rates Table'!AA11*(IF(Inputs!$G$29="No",Low_Utilised_Capacity,Low_Utilised_Capacity_Exist_TOU)),0)</f>
        <v>0</v>
      </c>
      <c r="AB11" s="141">
        <f ca="1">IFERROR('Rates Table'!AB11*(IF(Inputs!$G$29="No",Low_Utilised_Capacity,Low_Utilised_Capacity_Exist_TOU)),0)</f>
        <v>0</v>
      </c>
      <c r="AC11" s="141">
        <f ca="1">IFERROR('Rates Table'!AC11*(IF(Inputs!$G$29="No",Low_Utilised_Capacity,Low_Utilised_Capacity_Exist_TOU)),0)</f>
        <v>0</v>
      </c>
      <c r="AD11" s="141">
        <f ca="1">IFERROR('Rates Table'!AD11*(IF(Inputs!$G$29="No",Low_Utilised_Capacity,Low_Utilised_Capacity_Exist_TOU)),0)</f>
        <v>0</v>
      </c>
      <c r="AE11" s="141">
        <f ca="1">IFERROR('Rates Table'!AE11*(IF(Inputs!$G$29="No",Low_Utilised_Capacity,Low_Utilised_Capacity_Exist_TOU)),0)</f>
        <v>0</v>
      </c>
      <c r="AF11" s="141">
        <f ca="1">IFERROR('Rates Table'!AF11*(IF(Inputs!$G$29="No",Low_Utilised_Capacity,Low_Utilised_Capacity_Exist_TOU)),0)</f>
        <v>0</v>
      </c>
      <c r="AG11" s="141">
        <f ca="1">IFERROR('Rates Table'!AG11*(IF(Inputs!$G$29="No",Low_Utilised_Capacity,Low_Utilised_Capacity_Exist_TOU)),0)</f>
        <v>0</v>
      </c>
      <c r="AH11" s="141">
        <f ca="1">IFERROR('Rates Table'!AH11*(IF(Inputs!$G$29="No",Low_Utilised_Capacity,Low_Utilised_Capacity_Exist_TOU)),0)</f>
        <v>0</v>
      </c>
      <c r="AI11" s="141">
        <f ca="1">IFERROR('Rates Table'!AI11*(IF(Inputs!$G$29="No",Low_Utilised_Capacity,Low_Utilised_Capacity_Exist_TOU)),0)</f>
        <v>0</v>
      </c>
      <c r="AJ11" s="141">
        <f ca="1">IFERROR('Rates Table'!AJ11*(IF(Inputs!$G$29="No",Low_Utilised_Capacity,Low_Utilised_Capacity_Exist_TOU)),0)</f>
        <v>0</v>
      </c>
      <c r="AK11" s="141">
        <f ca="1">IFERROR('Rates Table'!AK11*(IF(Inputs!$G$29="No",Low_Utilised_Capacity,Low_Utilised_Capacity_Exist_TOU)),0)</f>
        <v>0</v>
      </c>
      <c r="AL11" s="141">
        <f ca="1">IFERROR('Rates Table'!AL11*(IF(Inputs!$G$29="No",Low_Utilised_Capacity,Low_Utilised_Capacity_Exist_TOU)),0)</f>
        <v>0</v>
      </c>
      <c r="AM11" s="141">
        <f ca="1">IFERROR('Rates Table'!AM11*(IF(Inputs!$G$29="No",Low_Utilised_Capacity,Low_Utilised_Capacity_Exist_TOU)),0)</f>
        <v>0</v>
      </c>
      <c r="AN11" s="141">
        <f ca="1">IFERROR('Rates Table'!AN11*(IF(Inputs!$G$29="No",Low_Utilised_Capacity,Low_Utilised_Capacity_Exist_TOU)),0)</f>
        <v>0</v>
      </c>
      <c r="AO11" s="141">
        <f ca="1">IFERROR('Rates Table'!AO11*(IF(Inputs!$G$29="No",Low_Utilised_Capacity,Low_Utilised_Capacity_Exist_TOU)),0)</f>
        <v>0</v>
      </c>
      <c r="AP11" s="141">
        <f ca="1">IFERROR('Rates Table'!AP11*(IF(Inputs!$G$29="No",Low_Utilised_Capacity,Low_Utilised_Capacity_Exist_TOU)),0)</f>
        <v>0</v>
      </c>
      <c r="AQ11" s="141">
        <f ca="1">IFERROR('Rates Table'!AQ11*(IF(Inputs!$G$29="No",Low_Utilised_Capacity,Low_Utilised_Capacity_Exist_TOU)),0)</f>
        <v>0</v>
      </c>
      <c r="AR11" s="141">
        <f ca="1">IFERROR('Rates Table'!AR11*(IF(Inputs!$G$29="No",Low_Utilised_Capacity,Low_Utilised_Capacity_Exist_TOU)),0)</f>
        <v>0</v>
      </c>
      <c r="AT11" s="140">
        <f t="shared" ca="1" si="7"/>
        <v>0</v>
      </c>
      <c r="AU11" s="141">
        <f ca="1">IFERROR('Rates Table'!AU11*(IF(Inputs!$G$29="No",Low_Utilised_Capacity,Low_Utilised_Capacity_New_TOU)),0)</f>
        <v>0</v>
      </c>
      <c r="AV11" s="141">
        <f ca="1">IFERROR('Rates Table'!AV11*(IF(Inputs!$G$29="No",Low_Utilised_Capacity,Low_Utilised_Capacity_New_TOU)),0)</f>
        <v>0</v>
      </c>
      <c r="AW11" s="141">
        <f ca="1">IFERROR('Rates Table'!AW11*(IF(Inputs!$G$29="No",Low_Utilised_Capacity,Low_Utilised_Capacity_New_TOU)),0)</f>
        <v>0</v>
      </c>
      <c r="AX11" s="141">
        <f ca="1">IFERROR('Rates Table'!AX11*(IF(Inputs!$G$29="No",Low_Utilised_Capacity,Low_Utilised_Capacity_New_TOU)),0)</f>
        <v>0</v>
      </c>
      <c r="AY11" s="141">
        <f ca="1">IFERROR('Rates Table'!AY11*(IF(Inputs!$G$29="No",Low_Utilised_Capacity,Low_Utilised_Capacity_New_TOU)),0)</f>
        <v>0</v>
      </c>
      <c r="AZ11" s="141">
        <f ca="1">IFERROR('Rates Table'!AZ11*(IF(Inputs!$G$29="No",Low_Utilised_Capacity,Low_Utilised_Capacity_New_TOU)),0)</f>
        <v>0</v>
      </c>
      <c r="BA11" s="141">
        <f ca="1">IFERROR('Rates Table'!BA11*(IF(Inputs!$G$29="No",Low_Utilised_Capacity,Low_Utilised_Capacity_New_TOU)),0)</f>
        <v>0</v>
      </c>
      <c r="BB11" s="141">
        <f ca="1">IFERROR('Rates Table'!BB11*(IF(Inputs!$G$29="No",Low_Utilised_Capacity,Low_Utilised_Capacity_New_TOU)),0)</f>
        <v>0</v>
      </c>
      <c r="BC11" s="141">
        <f ca="1">IFERROR('Rates Table'!BC11*(IF(Inputs!$G$29="No",Low_Utilised_Capacity,Low_Utilised_Capacity_New_TOU)),0)</f>
        <v>0</v>
      </c>
      <c r="BD11" s="141">
        <f ca="1">IFERROR('Rates Table'!BD11*(IF(Inputs!$G$29="No",Low_Utilised_Capacity,Low_Utilised_Capacity_New_TOU)),0)</f>
        <v>0</v>
      </c>
      <c r="BE11" s="141">
        <f ca="1">IFERROR('Rates Table'!BE11*(IF(Inputs!$G$29="No",Low_Utilised_Capacity,Low_Utilised_Capacity_New_TOU)),0)</f>
        <v>0</v>
      </c>
      <c r="BF11" s="141">
        <f ca="1">IFERROR('Rates Table'!BF11*(IF(Inputs!$G$29="No",Low_Utilised_Capacity,Low_Utilised_Capacity_New_TOU)),0)</f>
        <v>0</v>
      </c>
      <c r="BG11" s="141">
        <f ca="1">IFERROR('Rates Table'!BG11*(IF(Inputs!$G$29="No",Low_Utilised_Capacity,Low_Utilised_Capacity_New_TOU)),0)</f>
        <v>0</v>
      </c>
      <c r="BH11" s="141">
        <f ca="1">IFERROR('Rates Table'!BH11*(IF(Inputs!$G$29="No",Low_Utilised_Capacity,Low_Utilised_Capacity_New_TOU)),0)</f>
        <v>0</v>
      </c>
      <c r="BI11" s="141">
        <f ca="1">IFERROR('Rates Table'!BI11*(IF(Inputs!$G$29="No",Low_Utilised_Capacity,Low_Utilised_Capacity_New_TOU)),0)</f>
        <v>0</v>
      </c>
      <c r="BJ11" s="141">
        <f ca="1">IFERROR('Rates Table'!BJ11*(IF(Inputs!$G$29="No",Low_Utilised_Capacity,Low_Utilised_Capacity_New_TOU)),0)</f>
        <v>0</v>
      </c>
      <c r="BK11" s="141">
        <f ca="1">IFERROR('Rates Table'!BK11*(IF(Inputs!$G$29="No",Low_Utilised_Capacity,Low_Utilised_Capacity_New_TOU)),0)</f>
        <v>0</v>
      </c>
      <c r="BL11" s="141">
        <f ca="1">IFERROR('Rates Table'!BL11*(IF(Inputs!$G$29="No",Low_Utilised_Capacity,Low_Utilised_Capacity_New_TOU)),0)</f>
        <v>0</v>
      </c>
      <c r="BM11" s="141">
        <f ca="1">IFERROR('Rates Table'!BM11*(IF(Inputs!$G$29="No",Low_Utilised_Capacity,Low_Utilised_Capacity_New_TOU)),0)</f>
        <v>0</v>
      </c>
      <c r="BN11" s="141">
        <f ca="1">IFERROR('Rates Table'!BN11*(IF(Inputs!$G$29="No",Low_Utilised_Capacity,Low_Utilised_Capacity_New_TOU)),0)</f>
        <v>0</v>
      </c>
      <c r="BO11" s="141">
        <f ca="1">IFERROR('Rates Table'!BO11*(IF(Inputs!$G$29="No",Low_Utilised_Capacity,Low_Utilised_Capacity_New_TOU)),0)</f>
        <v>0</v>
      </c>
      <c r="BP11" s="141">
        <f ca="1">IFERROR('Rates Table'!BP11*(IF(Inputs!$G$29="No",Low_Utilised_Capacity,Low_Utilised_Capacity_New_TOU)),0)</f>
        <v>0</v>
      </c>
      <c r="BQ11" s="141">
        <f ca="1">IFERROR('Rates Table'!BQ11*(IF(Inputs!$G$29="No",Low_Utilised_Capacity,Low_Utilised_Capacity_New_TOU)),0)</f>
        <v>0</v>
      </c>
      <c r="BR11" s="141">
        <f ca="1">IFERROR('Rates Table'!BR11*(IF(Inputs!$G$29="No",Low_Utilised_Capacity,Low_Utilised_Capacity_New_TOU)),0)</f>
        <v>0</v>
      </c>
      <c r="BS11" s="141">
        <f ca="1">IFERROR('Rates Table'!BS11*(IF(Inputs!$G$29="No",Low_Utilised_Capacity,Low_Utilised_Capacity_New_TOU)),0)</f>
        <v>0</v>
      </c>
      <c r="BT11" s="141">
        <f ca="1">IFERROR('Rates Table'!BT11*(IF(Inputs!$G$29="No",Low_Utilised_Capacity,Low_Utilised_Capacity_New_TOU)),0)</f>
        <v>0</v>
      </c>
      <c r="BU11" s="141">
        <f ca="1">IFERROR('Rates Table'!BU11*(IF(Inputs!$G$29="No",Low_Utilised_Capacity,Low_Utilised_Capacity_New_TOU)),0)</f>
        <v>0</v>
      </c>
      <c r="BV11" s="141">
        <f ca="1">IFERROR('Rates Table'!BV11*(IF(Inputs!$G$29="No",Low_Utilised_Capacity,Low_Utilised_Capacity_New_TOU)),0)</f>
        <v>0</v>
      </c>
      <c r="BW11" s="141">
        <f ca="1">IFERROR('Rates Table'!BW11*(IF(Inputs!$G$29="No",Low_Utilised_Capacity,Low_Utilised_Capacity_New_TOU)),0)</f>
        <v>0</v>
      </c>
      <c r="BX11" s="141">
        <f ca="1">IFERROR('Rates Table'!BX11*(IF(Inputs!$G$29="No",Low_Utilised_Capacity,Low_Utilised_Capacity_New_TOU)),0)</f>
        <v>0</v>
      </c>
      <c r="BY11" s="141">
        <f ca="1">IFERROR('Rates Table'!BY11*(IF(Inputs!$G$29="No",Low_Utilised_Capacity,Low_Utilised_Capacity_New_TOU)),0)</f>
        <v>0</v>
      </c>
      <c r="BZ11" s="141">
        <f ca="1">IFERROR('Rates Table'!BZ11*(IF(Inputs!$G$29="No",Low_Utilised_Capacity,Low_Utilised_Capacity_New_TOU)),0)</f>
        <v>0</v>
      </c>
      <c r="CA11" s="141">
        <f ca="1">IFERROR('Rates Table'!CA11*(IF(Inputs!$G$29="No",Low_Utilised_Capacity,Low_Utilised_Capacity_New_TOU)),0)</f>
        <v>0</v>
      </c>
      <c r="CB11" s="141">
        <f ca="1">IFERROR('Rates Table'!CB11*(IF(Inputs!$G$29="No",Low_Utilised_Capacity,Low_Utilised_Capacity_New_TOU)),0)</f>
        <v>0</v>
      </c>
      <c r="CC11" s="141">
        <f ca="1">IFERROR('Rates Table'!CC11*(IF(Inputs!$G$29="No",Low_Utilised_Capacity,Low_Utilised_Capacity_New_TOU)),0)</f>
        <v>0</v>
      </c>
      <c r="CD11" s="141">
        <f ca="1">IFERROR('Rates Table'!CD11*(IF(Inputs!$G$29="No",Low_Utilised_Capacity,Low_Utilised_Capacity_New_TOU)),0)</f>
        <v>0</v>
      </c>
      <c r="CE11" s="141">
        <f ca="1">IFERROR('Rates Table'!CE11*(IF(Inputs!$G$29="No",Low_Utilised_Capacity,Low_Utilised_Capacity_New_TOU)),0)</f>
        <v>0</v>
      </c>
      <c r="CF11" s="141">
        <f ca="1">IFERROR('Rates Table'!CF11*(IF(Inputs!$G$29="No",Low_Utilised_Capacity,Low_Utilised_Capacity_New_TOU)),0)</f>
        <v>0</v>
      </c>
    </row>
    <row r="12" spans="2:84" s="138" customFormat="1">
      <c r="C12" s="138" t="s">
        <v>99</v>
      </c>
      <c r="D12" s="139" t="s">
        <v>115</v>
      </c>
      <c r="E12" s="140">
        <f t="shared" ca="1" si="8"/>
        <v>0</v>
      </c>
      <c r="F12" s="141">
        <f ca="1">IFERROR('Rates Table'!F12*(IF(Inputs!$G$29="No",Low_Demand,Low_Demand_Exist_TOU)),0)</f>
        <v>0</v>
      </c>
      <c r="G12" s="141">
        <f ca="1">IFERROR('Rates Table'!G12*(IF(Inputs!$G$29="No",Low_Demand,Low_Demand_Exist_TOU)),0)</f>
        <v>0</v>
      </c>
      <c r="H12" s="141">
        <f ca="1">IFERROR('Rates Table'!H12*(IF(Inputs!$G$29="No",Low_Demand,Low_Demand_Exist_TOU)),0)</f>
        <v>0</v>
      </c>
      <c r="I12" s="141">
        <f ca="1">IFERROR('Rates Table'!I12*(IF(Inputs!$G$29="No",Low_Demand,Low_Demand_Exist_TOU)),0)</f>
        <v>0</v>
      </c>
      <c r="J12" s="141">
        <f ca="1">IFERROR('Rates Table'!J12*(IF(Inputs!$G$29="No",Low_Demand,Low_Demand_Exist_TOU)),0)</f>
        <v>0</v>
      </c>
      <c r="K12" s="141">
        <f ca="1">IFERROR('Rates Table'!K12*(IF(Inputs!$G$29="No",Low_Demand,Low_Demand_Exist_TOU)),0)</f>
        <v>0</v>
      </c>
      <c r="L12" s="141">
        <f ca="1">IFERROR('Rates Table'!L12*(IF(Inputs!$G$29="No",Low_Demand,Low_Demand_Exist_TOU)),0)</f>
        <v>0</v>
      </c>
      <c r="M12" s="141">
        <f ca="1">IFERROR('Rates Table'!M12*(IF(Inputs!$G$29="No",Low_Demand,Low_Demand_Exist_TOU)),0)</f>
        <v>0</v>
      </c>
      <c r="N12" s="141">
        <f ca="1">IFERROR('Rates Table'!N12*(IF(Inputs!$G$29="No",Low_Demand,Low_Demand_Exist_TOU)),0)</f>
        <v>0</v>
      </c>
      <c r="O12" s="141">
        <f ca="1">IFERROR('Rates Table'!O12*(IF(Inputs!$G$29="No",Low_Demand,Low_Demand_Exist_TOU)),0)</f>
        <v>0</v>
      </c>
      <c r="P12" s="141">
        <f ca="1">IFERROR('Rates Table'!P12*(IF(Inputs!$G$29="No",Low_Demand,Low_Demand_Exist_TOU)),0)</f>
        <v>0</v>
      </c>
      <c r="Q12" s="141">
        <f ca="1">IFERROR('Rates Table'!Q12*(IF(Inputs!$G$29="No",Low_Demand,Low_Demand_Exist_TOU)),0)</f>
        <v>0</v>
      </c>
      <c r="R12" s="141">
        <f ca="1">IFERROR('Rates Table'!R12*(IF(Inputs!$G$29="No",Low_Demand,Low_Demand_Exist_TOU)),0)</f>
        <v>0</v>
      </c>
      <c r="S12" s="141">
        <f ca="1">IFERROR('Rates Table'!S12*(IF(Inputs!$G$29="No",Low_Demand,Low_Demand_Exist_TOU)),0)</f>
        <v>0</v>
      </c>
      <c r="T12" s="141">
        <f ca="1">IFERROR('Rates Table'!T12*(IF(Inputs!$G$29="No",Low_Demand,Low_Demand_Exist_TOU)),0)</f>
        <v>0</v>
      </c>
      <c r="U12" s="141">
        <f ca="1">IFERROR('Rates Table'!U12*(IF(Inputs!$G$29="No",Low_Demand,Low_Demand_Exist_TOU)),0)</f>
        <v>0</v>
      </c>
      <c r="V12" s="141">
        <f ca="1">IFERROR('Rates Table'!V12*(IF(Inputs!$G$29="No",Low_Demand,Low_Demand_Exist_TOU)),0)</f>
        <v>0</v>
      </c>
      <c r="W12" s="141">
        <f ca="1">IFERROR('Rates Table'!W12*(IF(Inputs!$G$29="No",Low_Demand,Low_Demand_Exist_TOU)),0)</f>
        <v>0</v>
      </c>
      <c r="X12" s="141">
        <f ca="1">IF(OR(E2="Nightsave Large",E2="Nightsave Small"),E12,IFERROR('Rates Table'!X12*(IF(Inputs!$G$29="No",Low_Demand,Low_Demand_Exist_TOU)),0))</f>
        <v>0</v>
      </c>
      <c r="Y12" s="141">
        <f ca="1">IFERROR('Rates Table'!Y12*(IF(Inputs!$G$29="No",Low_Demand,Low_Demand_Exist_TOU)),0)</f>
        <v>0</v>
      </c>
      <c r="Z12" s="141">
        <f ca="1">IFERROR('Rates Table'!Z12*(IF(Inputs!$G$29="No",Low_Demand,Low_Demand_Exist_TOU)),0)</f>
        <v>0</v>
      </c>
      <c r="AA12" s="141">
        <f ca="1">IFERROR('Rates Table'!AA12*(IF(Inputs!$G$29="No",Low_Demand,Low_Demand_Exist_TOU)),0)</f>
        <v>0</v>
      </c>
      <c r="AB12" s="141">
        <f ca="1">IFERROR('Rates Table'!AB12*(IF(Inputs!$G$29="No",Low_Demand,Low_Demand_Exist_TOU)),0)</f>
        <v>0</v>
      </c>
      <c r="AC12" s="141">
        <f ca="1">IFERROR('Rates Table'!AC12*(IF(Inputs!$G$29="No",Low_Demand,Low_Demand_Exist_TOU)),0)</f>
        <v>0</v>
      </c>
      <c r="AD12" s="141">
        <f ca="1">IFERROR('Rates Table'!AD12*(IF(Inputs!$G$29="No",Low_Demand,Low_Demand_Exist_TOU)),0)</f>
        <v>0</v>
      </c>
      <c r="AE12" s="141">
        <f ca="1">IFERROR('Rates Table'!AE12*(IF(Inputs!$G$29="No",Low_Demand,Low_Demand_Exist_TOU)),0)</f>
        <v>0</v>
      </c>
      <c r="AF12" s="141">
        <f ca="1">IFERROR('Rates Table'!AF12*(IF(Inputs!$G$29="No",Low_Demand,Low_Demand_Exist_TOU)),0)</f>
        <v>0</v>
      </c>
      <c r="AG12" s="141">
        <f ca="1">IFERROR('Rates Table'!AG12*(IF(Inputs!$G$29="No",Low_Demand,Low_Demand_Exist_TOU)),0)</f>
        <v>0</v>
      </c>
      <c r="AH12" s="141">
        <f ca="1">IFERROR('Rates Table'!AH12*(IF(Inputs!$G$29="No",Low_Demand,Low_Demand_Exist_TOU)),0)</f>
        <v>0</v>
      </c>
      <c r="AI12" s="141">
        <f ca="1">IFERROR('Rates Table'!AI12*(IF(Inputs!$G$29="No",Low_Demand,Low_Demand_Exist_TOU)),0)</f>
        <v>0</v>
      </c>
      <c r="AJ12" s="141">
        <f ca="1">IFERROR('Rates Table'!AJ12*(IF(Inputs!$G$29="No",Low_Demand,Low_Demand_Exist_TOU)),0)</f>
        <v>0</v>
      </c>
      <c r="AK12" s="141">
        <f ca="1">IFERROR('Rates Table'!AK12*(IF(Inputs!$G$29="No",Low_Demand,Low_Demand_Exist_TOU)),0)</f>
        <v>0</v>
      </c>
      <c r="AL12" s="141">
        <f ca="1">IFERROR('Rates Table'!AL12*(IF(Inputs!$G$29="No",Low_Demand,Low_Demand_Exist_TOU)),0)</f>
        <v>0</v>
      </c>
      <c r="AM12" s="141">
        <f ca="1">IFERROR('Rates Table'!AM12*(IF(Inputs!$G$29="No",Low_Demand,Low_Demand_Exist_TOU)),0)</f>
        <v>0</v>
      </c>
      <c r="AN12" s="141">
        <f ca="1">IFERROR('Rates Table'!AN12*(IF(Inputs!$G$29="No",Low_Demand,Low_Demand_Exist_TOU)),0)</f>
        <v>0</v>
      </c>
      <c r="AO12" s="141">
        <f ca="1">IFERROR('Rates Table'!AO12*(IF(Inputs!$G$29="No",Low_Demand,Low_Demand_Exist_TOU)),0)</f>
        <v>0</v>
      </c>
      <c r="AP12" s="141">
        <f ca="1">IFERROR('Rates Table'!AP12*(IF(Inputs!$G$29="No",Low_Demand,Low_Demand_Exist_TOU)),0)</f>
        <v>0</v>
      </c>
      <c r="AQ12" s="141">
        <f ca="1">IFERROR('Rates Table'!AQ12*(IF(Inputs!$G$29="No",Low_Demand,Low_Demand_Exist_TOU)),0)</f>
        <v>0</v>
      </c>
      <c r="AR12" s="141">
        <f ca="1">IFERROR('Rates Table'!AR12*(IF(Inputs!$G$29="No",Low_Demand,Low_Demand_Exist_TOU)),0)</f>
        <v>0</v>
      </c>
      <c r="AT12" s="140">
        <f t="shared" ca="1" si="7"/>
        <v>0</v>
      </c>
      <c r="AU12" s="141">
        <f ca="1">IFERROR('Rates Table'!AU12*(IF(Inputs!$G$29="No",Low_Demand,Low_Demand_New_TOU)),0)</f>
        <v>0</v>
      </c>
      <c r="AV12" s="141">
        <f ca="1">IFERROR('Rates Table'!AV12*(IF(Inputs!$G$29="No",Low_Demand,Low_Demand_New_TOU)),0)</f>
        <v>0</v>
      </c>
      <c r="AW12" s="141">
        <f ca="1">IFERROR('Rates Table'!AW12*(IF(Inputs!$G$29="No",Low_Demand,Low_Demand_New_TOU)),0)</f>
        <v>0</v>
      </c>
      <c r="AX12" s="141">
        <f ca="1">IFERROR('Rates Table'!AX12*(IF(Inputs!$G$29="No",Low_Demand,Low_Demand_New_TOU)),0)</f>
        <v>0</v>
      </c>
      <c r="AY12" s="141">
        <f ca="1">IFERROR('Rates Table'!AY12*(IF(Inputs!$G$29="No",Low_Demand,Low_Demand_New_TOU)),0)</f>
        <v>0</v>
      </c>
      <c r="AZ12" s="141">
        <f ca="1">IFERROR('Rates Table'!AZ12*(IF(Inputs!$G$29="No",Low_Demand,Low_Demand_New_TOU)),0)</f>
        <v>0</v>
      </c>
      <c r="BA12" s="141">
        <f ca="1">IFERROR('Rates Table'!BA12*(IF(Inputs!$G$29="No",Low_Demand,Low_Demand_New_TOU)),0)</f>
        <v>0</v>
      </c>
      <c r="BB12" s="141">
        <f ca="1">IFERROR('Rates Table'!BB12*(IF(Inputs!$G$29="No",Low_Demand,Low_Demand_New_TOU)),0)</f>
        <v>0</v>
      </c>
      <c r="BC12" s="141">
        <f ca="1">IFERROR('Rates Table'!BC12*(IF(Inputs!$G$29="No",Low_Demand,Low_Demand_New_TOU)),0)</f>
        <v>0</v>
      </c>
      <c r="BD12" s="141">
        <f ca="1">IFERROR('Rates Table'!BD12*(IF(Inputs!$G$29="No",Low_Demand,Low_Demand_New_TOU)),0)</f>
        <v>0</v>
      </c>
      <c r="BE12" s="141">
        <f ca="1">IFERROR('Rates Table'!BE12*(IF(Inputs!$G$29="No",Low_Demand,Low_Demand_New_TOU)),0)</f>
        <v>0</v>
      </c>
      <c r="BF12" s="141">
        <f ca="1">IFERROR('Rates Table'!BF12*(IF(Inputs!$G$29="No",Low_Demand,Low_Demand_New_TOU)),0)</f>
        <v>0</v>
      </c>
      <c r="BG12" s="141">
        <f ca="1">IFERROR('Rates Table'!BG12*(IF(Inputs!$G$29="No",Low_Demand,Low_Demand_New_TOU)),0)</f>
        <v>0</v>
      </c>
      <c r="BH12" s="141">
        <f ca="1">IFERROR('Rates Table'!BH12*(IF(Inputs!$G$29="No",Low_Demand,Low_Demand_New_TOU)),0)</f>
        <v>0</v>
      </c>
      <c r="BI12" s="141">
        <f ca="1">IFERROR('Rates Table'!BI12*(IF(Inputs!$G$29="No",Low_Demand,Low_Demand_New_TOU)),0)</f>
        <v>0</v>
      </c>
      <c r="BJ12" s="141">
        <f ca="1">IFERROR('Rates Table'!BJ12*(IF(Inputs!$G$29="No",Low_Demand,Low_Demand_New_TOU)),0)</f>
        <v>0</v>
      </c>
      <c r="BK12" s="141">
        <f ca="1">IFERROR('Rates Table'!BK12*(IF(Inputs!$G$29="No",Low_Demand,Low_Demand_New_TOU)),0)</f>
        <v>0</v>
      </c>
      <c r="BL12" s="141">
        <f ca="1">IFERROR('Rates Table'!BL12*(IF(Inputs!$G$29="No",Low_Demand,Low_Demand_New_TOU)),0)</f>
        <v>0</v>
      </c>
      <c r="BM12" s="141">
        <f ca="1">IFERROR('Rates Table'!BM12*(IF(Inputs!$G$29="No",Low_Demand,Low_Demand_New_TOU)),0)</f>
        <v>0</v>
      </c>
      <c r="BN12" s="141">
        <f ca="1">IFERROR('Rates Table'!BN12*(IF(Inputs!$G$29="No",Low_Demand,Low_Demand_New_TOU)),0)</f>
        <v>0</v>
      </c>
      <c r="BO12" s="141">
        <f ca="1">IFERROR('Rates Table'!BO12*(IF(Inputs!$G$29="No",Low_Demand,Low_Demand_New_TOU)),0)</f>
        <v>0</v>
      </c>
      <c r="BP12" s="141">
        <f ca="1">IFERROR('Rates Table'!BP12*(IF(Inputs!$G$29="No",Low_Demand,Low_Demand_New_TOU)),0)</f>
        <v>0</v>
      </c>
      <c r="BQ12" s="141">
        <f ca="1">IFERROR('Rates Table'!BQ12*(IF(Inputs!$G$29="No",Low_Demand,Low_Demand_New_TOU)),0)</f>
        <v>0</v>
      </c>
      <c r="BR12" s="141">
        <f ca="1">IFERROR('Rates Table'!BR12*(IF(Inputs!$G$29="No",Low_Demand,Low_Demand_New_TOU)),0)</f>
        <v>0</v>
      </c>
      <c r="BS12" s="141">
        <f ca="1">IFERROR('Rates Table'!BS12*(IF(Inputs!$G$29="No",Low_Demand,Low_Demand_New_TOU)),0)</f>
        <v>0</v>
      </c>
      <c r="BT12" s="141">
        <f ca="1">IFERROR('Rates Table'!BT12*(IF(Inputs!$G$29="No",Low_Demand,Low_Demand_New_TOU)),0)</f>
        <v>0</v>
      </c>
      <c r="BU12" s="141">
        <f ca="1">IFERROR('Rates Table'!BU12*(IF(Inputs!$G$29="No",Low_Demand,Low_Demand_New_TOU)),0)</f>
        <v>0</v>
      </c>
      <c r="BV12" s="141">
        <f ca="1">IFERROR('Rates Table'!BV12*(IF(Inputs!$G$29="No",Low_Demand,Low_Demand_New_TOU)),0)</f>
        <v>0</v>
      </c>
      <c r="BW12" s="141">
        <f ca="1">IFERROR('Rates Table'!BW12*(IF(Inputs!$G$29="No",Low_Demand,Low_Demand_New_TOU)),0)</f>
        <v>0</v>
      </c>
      <c r="BX12" s="141">
        <f ca="1">IFERROR('Rates Table'!BX12*(IF(Inputs!$G$29="No",Low_Demand,Low_Demand_New_TOU)),0)</f>
        <v>0</v>
      </c>
      <c r="BY12" s="141">
        <f ca="1">IFERROR('Rates Table'!BY12*(IF(Inputs!$G$29="No",Low_Demand,Low_Demand_New_TOU)),0)</f>
        <v>0</v>
      </c>
      <c r="BZ12" s="141">
        <f ca="1">IFERROR('Rates Table'!BZ12*(IF(Inputs!$G$29="No",Low_Demand,Low_Demand_New_TOU)),0)</f>
        <v>0</v>
      </c>
      <c r="CA12" s="141">
        <f ca="1">IFERROR('Rates Table'!CA12*(IF(Inputs!$G$29="No",Low_Demand,Low_Demand_New_TOU)),0)</f>
        <v>0</v>
      </c>
      <c r="CB12" s="141">
        <f ca="1">IFERROR('Rates Table'!CB12*(IF(Inputs!$G$29="No",Low_Demand,Low_Demand_New_TOU)),0)</f>
        <v>0</v>
      </c>
      <c r="CC12" s="141">
        <f ca="1">IFERROR('Rates Table'!CC12*(IF(Inputs!$G$29="No",Low_Demand,Low_Demand_New_TOU)),0)</f>
        <v>0</v>
      </c>
      <c r="CD12" s="141">
        <f ca="1">IFERROR('Rates Table'!CD12*(IF(Inputs!$G$29="No",Low_Demand,Low_Demand_New_TOU)),0)</f>
        <v>0</v>
      </c>
      <c r="CE12" s="141">
        <f ca="1">IFERROR('Rates Table'!CE12*(IF(Inputs!$G$29="No",Low_Demand,Low_Demand_New_TOU)),0)</f>
        <v>0</v>
      </c>
      <c r="CF12" s="141">
        <f ca="1">IFERROR('Rates Table'!CF12*(IF(Inputs!$G$29="No",Low_Demand,Low_Demand_New_TOU)),0)</f>
        <v>0</v>
      </c>
    </row>
    <row r="13" spans="2:84" s="138" customFormat="1">
      <c r="C13" s="138" t="s">
        <v>99</v>
      </c>
      <c r="D13" s="139" t="s">
        <v>106</v>
      </c>
      <c r="E13" s="140">
        <f t="shared" ca="1" si="8"/>
        <v>0</v>
      </c>
      <c r="F13" s="141">
        <f ca="1">IFERROR(IF(Inputs!$G$29="No",'Rates Table'!F13*IF(F$6="Miniflex",(Low_Peak+Low_Standard),Low_Total_Energy),'Rates Table'!F13*IF(F$6="Miniflex",(Low_Peak_Exist_TOU+Low_Standard_Exist_TOU),Low_Total_Energy_Exist_TOU)),0)/100</f>
        <v>0</v>
      </c>
      <c r="G13" s="141">
        <f ca="1">IFERROR(IF(Inputs!$G$29="No",'Rates Table'!G13*IF(G$6="Miniflex",(Low_Peak+Low_Standard),Low_Total_Energy),'Rates Table'!G13*IF(G$6="Miniflex",(Low_Peak_Exist_TOU+Low_Standard_Exist_TOU),Low_Total_Energy_Exist_TOU)),0)/100</f>
        <v>0</v>
      </c>
      <c r="H13" s="141">
        <f ca="1">IFERROR(IF(Inputs!$G$29="No",'Rates Table'!H13*IF(H$6="Miniflex",(Low_Peak+Low_Standard),Low_Total_Energy),'Rates Table'!H13*IF(H$6="Miniflex",(Low_Peak_Exist_TOU+Low_Standard_Exist_TOU),Low_Total_Energy_Exist_TOU)),0)/100</f>
        <v>0</v>
      </c>
      <c r="I13" s="141">
        <f ca="1">IFERROR(IF(Inputs!$G$29="No",'Rates Table'!I13*IF(I$6="Miniflex",(Low_Peak+Low_Standard),Low_Total_Energy),'Rates Table'!I13*IF(I$6="Miniflex",(Low_Peak_Exist_TOU+Low_Standard_Exist_TOU),Low_Total_Energy_Exist_TOU)),0)/100</f>
        <v>0</v>
      </c>
      <c r="J13" s="141">
        <f ca="1">IFERROR(IF(Inputs!$G$29="No",'Rates Table'!J13*IF(J$6="Miniflex",(Low_Peak+Low_Standard),Low_Total_Energy),'Rates Table'!J13*IF(J$6="Miniflex",(Low_Peak_Exist_TOU+Low_Standard_Exist_TOU),Low_Total_Energy_Exist_TOU)),0)/100</f>
        <v>0</v>
      </c>
      <c r="K13" s="141">
        <f ca="1">IFERROR(IF(Inputs!$G$29="No",'Rates Table'!K13*IF(K$6="Miniflex",(Low_Peak+Low_Standard),Low_Total_Energy),'Rates Table'!K13*IF(K$6="Miniflex",(Low_Peak_Exist_TOU+Low_Standard_Exist_TOU),Low_Total_Energy_Exist_TOU)),0)/100</f>
        <v>0</v>
      </c>
      <c r="L13" s="141">
        <f ca="1">IFERROR(IF(Inputs!$G$29="No",'Rates Table'!L13*IF(L$6="Miniflex",(Low_Peak+Low_Standard),Low_Total_Energy),'Rates Table'!L13*IF(L$6="Miniflex",(Low_Peak_Exist_TOU+Low_Standard_Exist_TOU),Low_Total_Energy_Exist_TOU)),0)/100</f>
        <v>0</v>
      </c>
      <c r="M13" s="141">
        <f ca="1">IFERROR(IF(Inputs!$G$29="No",'Rates Table'!M13*IF(M$6="Miniflex",(Low_Peak+Low_Standard),Low_Total_Energy),'Rates Table'!M13*IF(M$6="Miniflex",(Low_Peak_Exist_TOU+Low_Standard_Exist_TOU),Low_Total_Energy_Exist_TOU)),0)/100</f>
        <v>0</v>
      </c>
      <c r="N13" s="141">
        <f ca="1">IFERROR(IF(Inputs!$G$29="No",'Rates Table'!N13*IF(N$6="Miniflex",(Low_Peak+Low_Standard),Low_Total_Energy),'Rates Table'!N13*IF(N$6="Miniflex",(Low_Peak_Exist_TOU+Low_Standard_Exist_TOU),Low_Total_Energy_Exist_TOU)),0)/100</f>
        <v>0</v>
      </c>
      <c r="O13" s="141">
        <f ca="1">IFERROR(IF(Inputs!$G$29="No",'Rates Table'!O13*IF(O$6="Miniflex",(Low_Peak+Low_Standard),Low_Total_Energy),'Rates Table'!O13*IF(O$6="Miniflex",(Low_Peak_Exist_TOU+Low_Standard_Exist_TOU),Low_Total_Energy_Exist_TOU)),0)/100</f>
        <v>0</v>
      </c>
      <c r="P13" s="141">
        <f ca="1">IFERROR(IF(Inputs!$G$29="No",'Rates Table'!P13*IF(P$6="Miniflex",(Low_Peak+Low_Standard),Low_Total_Energy),'Rates Table'!P13*IF(P$6="Miniflex",(Low_Peak_Exist_TOU+Low_Standard_Exist_TOU),Low_Total_Energy_Exist_TOU)),0)/100</f>
        <v>0</v>
      </c>
      <c r="Q13" s="141">
        <f ca="1">IFERROR(IF(Inputs!$G$29="No",'Rates Table'!Q13*IF(Q$6="Miniflex",(Low_Peak+Low_Standard),Low_Total_Energy),'Rates Table'!Q13*IF(Q$6="Miniflex",(Low_Peak_Exist_TOU+Low_Standard_Exist_TOU),Low_Total_Energy_Exist_TOU)),0)/100</f>
        <v>0</v>
      </c>
      <c r="R13" s="141">
        <f ca="1">IFERROR(IF(Inputs!$G$29="No",'Rates Table'!R13*IF(R$6="Miniflex",(Low_Peak+Low_Standard),Low_Total_Energy),'Rates Table'!R13*IF(R$6="Miniflex",(Low_Peak_Exist_TOU+Low_Standard_Exist_TOU),Low_Total_Energy_Exist_TOU)),0)/100</f>
        <v>0</v>
      </c>
      <c r="S13" s="141">
        <f ca="1">IFERROR(IF(Inputs!$G$29="No",'Rates Table'!S13*IF(S$6="Miniflex",(Low_Peak+Low_Standard),Low_Total_Energy),'Rates Table'!S13*IF(S$6="Miniflex",(Low_Peak_Exist_TOU+Low_Standard_Exist_TOU),Low_Total_Energy_Exist_TOU)),0)/100</f>
        <v>0</v>
      </c>
      <c r="T13" s="141">
        <f ca="1">IFERROR(IF(Inputs!$G$29="No",'Rates Table'!T13*IF(T$6="Miniflex",(Low_Peak+Low_Standard),Low_Total_Energy),'Rates Table'!T13*IF(T$6="Miniflex",(Low_Peak_Exist_TOU+Low_Standard_Exist_TOU),Low_Total_Energy_Exist_TOU)),0)/100</f>
        <v>0</v>
      </c>
      <c r="U13" s="141">
        <f ca="1">IFERROR(IF(Inputs!$G$29="No",'Rates Table'!U13*IF(U$6="Miniflex",(Low_Peak+Low_Standard),Low_Total_Energy),'Rates Table'!U13*IF(U$6="Miniflex",(Low_Peak_Exist_TOU+Low_Standard_Exist_TOU),Low_Total_Energy_Exist_TOU)),0)/100</f>
        <v>0</v>
      </c>
      <c r="V13" s="141">
        <f ca="1">IFERROR(IF(Inputs!$G$29="No",'Rates Table'!V13*IF(V$6="Miniflex",(Low_Peak+Low_Standard),Low_Total_Energy),'Rates Table'!V13*IF(V$6="Miniflex",(Low_Peak_Exist_TOU+Low_Standard_Exist_TOU),Low_Total_Energy_Exist_TOU)),0)/100</f>
        <v>0</v>
      </c>
      <c r="W13" s="141">
        <f ca="1">IFERROR(IF(Inputs!$G$29="No",'Rates Table'!W13*IF(W$6="Miniflex",(Low_Peak+Low_Standard),Low_Total_Energy),'Rates Table'!W13*IF(W$6="Miniflex",(Low_Peak_Exist_TOU+Low_Standard_Exist_TOU),Low_Total_Energy_Exist_TOU)),0)/100</f>
        <v>0</v>
      </c>
      <c r="X13" s="141">
        <f ca="1">IF(OR(E2="Nightsave Large",E2="Nightsave Small"),E13,IFERROR(IF(Inputs!$G$29="No",'Rates Table'!X13*IF(X$6="Miniflex",(Low_Peak+Low_Standard),Low_Total_Energy),'Rates Table'!X13*IF(X$6="Miniflex",(Low_Peak_Exist_TOU+Low_Standard_Exist_TOU),Low_Total_Energy_Exist_TOU)),0)/100)</f>
        <v>0</v>
      </c>
      <c r="Y13" s="141">
        <f ca="1">IFERROR(IF(Inputs!$G$29="No",'Rates Table'!Y13*IF(Y$6="Miniflex",(Low_Peak+Low_Standard),Low_Total_Energy),'Rates Table'!Y13*IF(Y$6="Miniflex",(Low_Peak_Exist_TOU+Low_Standard_Exist_TOU),Low_Total_Energy_Exist_TOU)),0)/100</f>
        <v>0</v>
      </c>
      <c r="Z13" s="141">
        <f ca="1">IFERROR(IF(Inputs!$G$29="No",'Rates Table'!Z13*IF(Z$6="Miniflex",(Low_Peak+Low_Standard),Low_Total_Energy),'Rates Table'!Z13*IF(Z$6="Miniflex",(Low_Peak_Exist_TOU+Low_Standard_Exist_TOU),Low_Total_Energy_Exist_TOU)),0)/100</f>
        <v>0</v>
      </c>
      <c r="AA13" s="141">
        <f ca="1">IFERROR(IF(Inputs!$G$29="No",'Rates Table'!AA13*IF(AA$6="Miniflex",(Low_Peak+Low_Standard),Low_Total_Energy),'Rates Table'!AA13*IF(AA$6="Miniflex",(Low_Peak_Exist_TOU+Low_Standard_Exist_TOU),Low_Total_Energy_Exist_TOU)),0)/100</f>
        <v>0</v>
      </c>
      <c r="AB13" s="141">
        <f ca="1">IFERROR(IF(Inputs!$G$29="No",'Rates Table'!AB13*IF(AB$6="Miniflex",(Low_Peak+Low_Standard),Low_Total_Energy),'Rates Table'!AB13*IF(AB$6="Miniflex",(Low_Peak_Exist_TOU+Low_Standard_Exist_TOU),Low_Total_Energy_Exist_TOU)),0)/100</f>
        <v>0</v>
      </c>
      <c r="AC13" s="141">
        <f ca="1">IFERROR(IF(Inputs!$G$29="No",'Rates Table'!AC13*IF(AC$6="Miniflex",(Low_Peak+Low_Standard),Low_Total_Energy),'Rates Table'!AC13*IF(AC$6="Miniflex",(Low_Peak_Exist_TOU+Low_Standard_Exist_TOU),Low_Total_Energy_Exist_TOU)),0)/100</f>
        <v>0</v>
      </c>
      <c r="AD13" s="141">
        <f ca="1">IFERROR(IF(Inputs!$G$29="No",'Rates Table'!AD13*IF(AD$6="Miniflex",(Low_Peak+Low_Standard),Low_Total_Energy),'Rates Table'!AD13*IF(AD$6="Miniflex",(Low_Peak_Exist_TOU+Low_Standard_Exist_TOU),Low_Total_Energy_Exist_TOU)),0)/100</f>
        <v>0</v>
      </c>
      <c r="AE13" s="141">
        <f ca="1">IFERROR(IF(Inputs!$G$29="No",'Rates Table'!AE13*IF(AE$6="Miniflex",(Low_Peak+Low_Standard),Low_Total_Energy),'Rates Table'!AE13*IF(AE$6="Miniflex",(Low_Peak_Exist_TOU+Low_Standard_Exist_TOU),Low_Total_Energy_Exist_TOU)),0)/100</f>
        <v>0</v>
      </c>
      <c r="AF13" s="141">
        <f ca="1">IFERROR(IF(Inputs!$G$29="No",'Rates Table'!AF13*IF(AF$6="Miniflex",(Low_Peak+Low_Standard),Low_Total_Energy),'Rates Table'!AF13*IF(AF$6="Miniflex",(Low_Peak_Exist_TOU+Low_Standard_Exist_TOU),Low_Total_Energy_Exist_TOU)),0)/100</f>
        <v>0</v>
      </c>
      <c r="AG13" s="141">
        <f ca="1">IFERROR(IF(Inputs!$G$29="No",'Rates Table'!AG13*IF(AG$6="Miniflex",(Low_Peak+Low_Standard),Low_Total_Energy),'Rates Table'!AG13*IF(AG$6="Miniflex",(Low_Peak_Exist_TOU+Low_Standard_Exist_TOU),Low_Total_Energy_Exist_TOU)),0)/100</f>
        <v>0</v>
      </c>
      <c r="AH13" s="141">
        <f ca="1">IFERROR(IF(Inputs!$G$29="No",'Rates Table'!AH13*IF(AH$6="Miniflex",(Low_Peak+Low_Standard),Low_Total_Energy),'Rates Table'!AH13*IF(AH$6="Miniflex",(Low_Peak_Exist_TOU+Low_Standard_Exist_TOU),Low_Total_Energy_Exist_TOU)),0)/100</f>
        <v>0</v>
      </c>
      <c r="AI13" s="141">
        <f ca="1">IFERROR(IF(Inputs!$G$29="No",'Rates Table'!AI13*IF(AI$6="Miniflex",(Low_Peak+Low_Standard),Low_Total_Energy),'Rates Table'!AI13*IF(AI$6="Miniflex",(Low_Peak_Exist_TOU+Low_Standard_Exist_TOU),Low_Total_Energy_Exist_TOU)),0)/100</f>
        <v>0</v>
      </c>
      <c r="AJ13" s="141">
        <f ca="1">IFERROR(IF(Inputs!$G$29="No",'Rates Table'!AJ13*IF(AJ$6="Miniflex",(Low_Peak+Low_Standard),Low_Total_Energy),'Rates Table'!AJ13*IF(AJ$6="Miniflex",(Low_Peak_Exist_TOU+Low_Standard_Exist_TOU),Low_Total_Energy_Exist_TOU)),0)/100</f>
        <v>0</v>
      </c>
      <c r="AK13" s="141">
        <f ca="1">IFERROR(IF(Inputs!$G$29="No",'Rates Table'!AK13*IF(AK$6="Miniflex",(Low_Peak+Low_Standard),Low_Total_Energy),'Rates Table'!AK13*IF(AK$6="Miniflex",(Low_Peak_Exist_TOU+Low_Standard_Exist_TOU),Low_Total_Energy_Exist_TOU)),0)/100</f>
        <v>0</v>
      </c>
      <c r="AL13" s="141">
        <f ca="1">IFERROR(IF(Inputs!$G$29="No",'Rates Table'!AL13*IF(AL$6="Miniflex",(Low_Peak+Low_Standard),Low_Total_Energy),'Rates Table'!AL13*IF(AL$6="Miniflex",(Low_Peak_Exist_TOU+Low_Standard_Exist_TOU),Low_Total_Energy_Exist_TOU)),0)/100</f>
        <v>0</v>
      </c>
      <c r="AM13" s="141">
        <f ca="1">IFERROR(IF(Inputs!$G$29="No",'Rates Table'!AM13*IF(AM$6="Miniflex",(Low_Peak+Low_Standard),Low_Total_Energy),'Rates Table'!AM13*IF(AM$6="Miniflex",(Low_Peak_Exist_TOU+Low_Standard_Exist_TOU),Low_Total_Energy_Exist_TOU)),0)/100</f>
        <v>0</v>
      </c>
      <c r="AN13" s="141">
        <f ca="1">IFERROR(IF(Inputs!$G$29="No",'Rates Table'!AN13*IF(AN$6="Miniflex",(Low_Peak+Low_Standard),Low_Total_Energy),'Rates Table'!AN13*IF(AN$6="Miniflex",(Low_Peak_Exist_TOU+Low_Standard_Exist_TOU),Low_Total_Energy_Exist_TOU)),0)/100</f>
        <v>0</v>
      </c>
      <c r="AO13" s="141">
        <f ca="1">IFERROR(IF(Inputs!$G$29="No",'Rates Table'!AO13*IF(AO$6="Miniflex",(Low_Peak+Low_Standard),Low_Total_Energy),'Rates Table'!AO13*IF(AO$6="Miniflex",(Low_Peak_Exist_TOU+Low_Standard_Exist_TOU),Low_Total_Energy_Exist_TOU)),0)/100</f>
        <v>0</v>
      </c>
      <c r="AP13" s="141">
        <f ca="1">IFERROR(IF(Inputs!$G$29="No",'Rates Table'!AP13*IF(AP$6="Miniflex",(Low_Peak+Low_Standard),Low_Total_Energy),'Rates Table'!AP13*IF(AP$6="Miniflex",(Low_Peak_Exist_TOU+Low_Standard_Exist_TOU),Low_Total_Energy_Exist_TOU)),0)/100</f>
        <v>0</v>
      </c>
      <c r="AQ13" s="141">
        <f ca="1">IFERROR(IF(Inputs!$G$29="No",'Rates Table'!AQ13*IF(AQ$6="Miniflex",(Low_Peak+Low_Standard),Low_Total_Energy),'Rates Table'!AQ13*IF(AQ$6="Miniflex",(Low_Peak_Exist_TOU+Low_Standard_Exist_TOU),Low_Total_Energy_Exist_TOU)),0)/100</f>
        <v>0</v>
      </c>
      <c r="AR13" s="141">
        <f ca="1">IFERROR(IF(Inputs!$G$29="No",'Rates Table'!AR13*IF(AR$6="Miniflex",(Low_Peak+Low_Standard),Low_Total_Energy),'Rates Table'!AR13*IF(AR$6="Miniflex",(Low_Peak_Exist_TOU+Low_Standard_Exist_TOU),Low_Total_Energy_Exist_TOU)),0)/100</f>
        <v>0</v>
      </c>
      <c r="AT13" s="140">
        <f t="shared" ca="1" si="7"/>
        <v>0</v>
      </c>
      <c r="AU13" s="141">
        <f ca="1">IFERROR(IF(Inputs!$G$29="No",'Rates Table'!AU13*IF(AU$6="Miniflex",(Low_Peak+Low_Standard),Low_Total_Energy),'Rates Table'!AU13*IF(AU$6="Miniflex",(Low_Peak_New_TOU+Low_Standard_New_TOU),Low_Total_Energy_New_TOU)),0)/100</f>
        <v>0</v>
      </c>
      <c r="AV13" s="141">
        <f ca="1">IFERROR(IF(Inputs!$G$29="No",'Rates Table'!AV13*IF(AV$6="Miniflex",(Low_Peak+Low_Standard),Low_Total_Energy),'Rates Table'!AV13*IF(AV$6="Miniflex",(Low_Peak_New_TOU+Low_Standard_New_TOU),Low_Total_Energy_New_TOU)),0)/100</f>
        <v>0</v>
      </c>
      <c r="AW13" s="141">
        <f ca="1">IFERROR(IF(Inputs!$G$29="No",'Rates Table'!AW13*IF(AW$6="Miniflex",(Low_Peak+Low_Standard),Low_Total_Energy),'Rates Table'!AW13*IF(AW$6="Miniflex",(Low_Peak_New_TOU+Low_Standard_New_TOU),Low_Total_Energy_New_TOU)),0)/100</f>
        <v>0</v>
      </c>
      <c r="AX13" s="141">
        <f ca="1">IFERROR(IF(Inputs!$G$29="No",'Rates Table'!AX13*IF(AX$6="Miniflex",(Low_Peak+Low_Standard),Low_Total_Energy),'Rates Table'!AX13*IF(AX$6="Miniflex",(Low_Peak_New_TOU+Low_Standard_New_TOU),Low_Total_Energy_New_TOU)),0)/100</f>
        <v>0</v>
      </c>
      <c r="AY13" s="141">
        <f ca="1">IFERROR(IF(Inputs!$G$29="No",'Rates Table'!AY13*IF(AY$6="Miniflex",(Low_Peak+Low_Standard),Low_Total_Energy),'Rates Table'!AY13*IF(AY$6="Miniflex",(Low_Peak_New_TOU+Low_Standard_New_TOU),Low_Total_Energy_New_TOU)),0)/100</f>
        <v>0</v>
      </c>
      <c r="AZ13" s="141">
        <f ca="1">IFERROR(IF(Inputs!$G$29="No",'Rates Table'!AZ13*IF(AZ$6="Miniflex",(Low_Peak+Low_Standard),Low_Total_Energy),'Rates Table'!AZ13*IF(AZ$6="Miniflex",(Low_Peak_New_TOU+Low_Standard_New_TOU),Low_Total_Energy_New_TOU)),0)/100</f>
        <v>0</v>
      </c>
      <c r="BA13" s="141">
        <f ca="1">IFERROR(IF(Inputs!$G$29="No",'Rates Table'!BA13*IF(BA$6="Miniflex",(Low_Peak+Low_Standard),Low_Total_Energy),'Rates Table'!BA13*IF(BA$6="Miniflex",(Low_Peak_New_TOU+Low_Standard_New_TOU),Low_Total_Energy_New_TOU)),0)/100</f>
        <v>0</v>
      </c>
      <c r="BB13" s="141">
        <f ca="1">IFERROR(IF(Inputs!$G$29="No",'Rates Table'!BB13*IF(BB$6="Miniflex",(Low_Peak+Low_Standard),Low_Total_Energy),'Rates Table'!BB13*IF(BB$6="Miniflex",(Low_Peak_New_TOU+Low_Standard_New_TOU),Low_Total_Energy_New_TOU)),0)/100</f>
        <v>0</v>
      </c>
      <c r="BC13" s="141">
        <f ca="1">IFERROR(IF(Inputs!$G$29="No",'Rates Table'!BC13*IF(BC$6="Miniflex",(Low_Peak+Low_Standard),Low_Total_Energy),'Rates Table'!BC13*IF(BC$6="Miniflex",(Low_Peak_New_TOU+Low_Standard_New_TOU),Low_Total_Energy_New_TOU)),0)/100</f>
        <v>0</v>
      </c>
      <c r="BD13" s="141">
        <f ca="1">IFERROR(IF(Inputs!$G$29="No",'Rates Table'!BD13*IF(BD$6="Miniflex",(Low_Peak+Low_Standard),Low_Total_Energy),'Rates Table'!BD13*IF(BD$6="Miniflex",(Low_Peak_New_TOU+Low_Standard_New_TOU),Low_Total_Energy_New_TOU)),0)/100</f>
        <v>0</v>
      </c>
      <c r="BE13" s="141">
        <f ca="1">IFERROR(IF(Inputs!$G$29="No",'Rates Table'!BE13*IF(BE$6="Miniflex",(Low_Peak+Low_Standard),Low_Total_Energy),'Rates Table'!BE13*IF(BE$6="Miniflex",(Low_Peak_New_TOU+Low_Standard_New_TOU),Low_Total_Energy_New_TOU)),0)/100</f>
        <v>0</v>
      </c>
      <c r="BF13" s="141">
        <f ca="1">IFERROR(IF(Inputs!$G$29="No",'Rates Table'!BF13*IF(BF$6="Miniflex",(Low_Peak+Low_Standard),Low_Total_Energy),'Rates Table'!BF13*IF(BF$6="Miniflex",(Low_Peak_New_TOU+Low_Standard_New_TOU),Low_Total_Energy_New_TOU)),0)/100</f>
        <v>0</v>
      </c>
      <c r="BG13" s="141">
        <f ca="1">IFERROR(IF(Inputs!$G$29="No",'Rates Table'!BG13*IF(BG$6="Miniflex",(Low_Peak+Low_Standard),Low_Total_Energy),'Rates Table'!BG13*IF(BG$6="Miniflex",(Low_Peak_New_TOU+Low_Standard_New_TOU),Low_Total_Energy_New_TOU)),0)/100</f>
        <v>0</v>
      </c>
      <c r="BH13" s="141">
        <f ca="1">IFERROR(IF(Inputs!$G$29="No",'Rates Table'!BH13*IF(BH$6="Miniflex",(Low_Peak+Low_Standard),Low_Total_Energy),'Rates Table'!BH13*IF(BH$6="Miniflex",(Low_Peak_New_TOU+Low_Standard_New_TOU),Low_Total_Energy_New_TOU)),0)/100</f>
        <v>0</v>
      </c>
      <c r="BI13" s="141">
        <f ca="1">IFERROR(IF(Inputs!$G$29="No",'Rates Table'!BI13*IF(BI$6="Miniflex",(Low_Peak+Low_Standard),Low_Total_Energy),'Rates Table'!BI13*IF(BI$6="Miniflex",(Low_Peak_New_TOU+Low_Standard_New_TOU),Low_Total_Energy_New_TOU)),0)/100</f>
        <v>0</v>
      </c>
      <c r="BJ13" s="141">
        <f ca="1">IFERROR(IF(Inputs!$G$29="No",'Rates Table'!BJ13*IF(BJ$6="Miniflex",(Low_Peak+Low_Standard),Low_Total_Energy),'Rates Table'!BJ13*IF(BJ$6="Miniflex",(Low_Peak_New_TOU+Low_Standard_New_TOU),Low_Total_Energy_New_TOU)),0)/100</f>
        <v>0</v>
      </c>
      <c r="BK13" s="141">
        <f ca="1">IFERROR(IF(Inputs!$G$29="No",'Rates Table'!BK13*IF(BK$6="Miniflex",(Low_Peak+Low_Standard),Low_Total_Energy),'Rates Table'!BK13*IF(BK$6="Miniflex",(Low_Peak_New_TOU+Low_Standard_New_TOU),Low_Total_Energy_New_TOU)),0)/100</f>
        <v>0</v>
      </c>
      <c r="BL13" s="141">
        <f ca="1">IFERROR(IF(Inputs!$G$29="No",'Rates Table'!BL13*IF(BL$6="Miniflex",(Low_Peak+Low_Standard),Low_Total_Energy),'Rates Table'!BL13*IF(BL$6="Miniflex",(Low_Peak_New_TOU+Low_Standard_New_TOU),Low_Total_Energy_New_TOU)),0)/100</f>
        <v>0</v>
      </c>
      <c r="BM13" s="141">
        <f ca="1">IFERROR(IF(Inputs!$G$29="No",'Rates Table'!BM13*IF(BM$6="Miniflex",(Low_Peak+Low_Standard),Low_Total_Energy),'Rates Table'!BM13*IF(BM$6="Miniflex",(Low_Peak_New_TOU+Low_Standard_New_TOU),Low_Total_Energy_New_TOU)),0)/100</f>
        <v>0</v>
      </c>
      <c r="BN13" s="141">
        <f ca="1">IFERROR(IF(Inputs!$G$29="No",'Rates Table'!BN13*IF(BN$6="Miniflex",(Low_Peak+Low_Standard),Low_Total_Energy),'Rates Table'!BN13*IF(BN$6="Miniflex",(Low_Peak_New_TOU+Low_Standard_New_TOU),Low_Total_Energy_New_TOU)),0)/100</f>
        <v>0</v>
      </c>
      <c r="BO13" s="141">
        <f ca="1">IFERROR(IF(Inputs!$G$29="No",'Rates Table'!BO13*IF(BO$6="Miniflex",(Low_Peak+Low_Standard),Low_Total_Energy),'Rates Table'!BO13*IF(BO$6="Miniflex",(Low_Peak_New_TOU+Low_Standard_New_TOU),Low_Total_Energy_New_TOU)),0)/100</f>
        <v>0</v>
      </c>
      <c r="BP13" s="141">
        <f ca="1">IFERROR(IF(Inputs!$G$29="No",'Rates Table'!BP13*IF(BP$6="Miniflex",(Low_Peak+Low_Standard),Low_Total_Energy),'Rates Table'!BP13*IF(BP$6="Miniflex",(Low_Peak_New_TOU+Low_Standard_New_TOU),Low_Total_Energy_New_TOU)),0)/100</f>
        <v>0</v>
      </c>
      <c r="BQ13" s="141">
        <f ca="1">IFERROR(IF(Inputs!$G$29="No",'Rates Table'!BQ13*IF(BQ$6="Miniflex",(Low_Peak+Low_Standard),Low_Total_Energy),'Rates Table'!BQ13*IF(BQ$6="Miniflex",(Low_Peak_New_TOU+Low_Standard_New_TOU),Low_Total_Energy_New_TOU)),0)/100</f>
        <v>0</v>
      </c>
      <c r="BR13" s="141">
        <f ca="1">IFERROR(IF(Inputs!$G$29="No",'Rates Table'!BR13*IF(BR$6="Miniflex",(Low_Peak+Low_Standard),Low_Total_Energy),'Rates Table'!BR13*IF(BR$6="Miniflex",(Low_Peak_New_TOU+Low_Standard_New_TOU),Low_Total_Energy_New_TOU)),0)/100</f>
        <v>0</v>
      </c>
      <c r="BS13" s="141">
        <f ca="1">IFERROR(IF(Inputs!$G$29="No",'Rates Table'!BS13*IF(BS$6="Miniflex",(Low_Peak+Low_Standard),Low_Total_Energy),'Rates Table'!BS13*IF(BS$6="Miniflex",(Low_Peak_New_TOU+Low_Standard_New_TOU),Low_Total_Energy_New_TOU)),0)/100</f>
        <v>0</v>
      </c>
      <c r="BT13" s="141">
        <f ca="1">IFERROR(IF(Inputs!$G$29="No",'Rates Table'!BT13*IF(BT$6="Miniflex",(Low_Peak+Low_Standard),Low_Total_Energy),'Rates Table'!BT13*IF(BT$6="Miniflex",(Low_Peak_New_TOU+Low_Standard_New_TOU),Low_Total_Energy_New_TOU)),0)/100</f>
        <v>0</v>
      </c>
      <c r="BU13" s="141">
        <f ca="1">IFERROR(IF(Inputs!$G$29="No",'Rates Table'!BU13*IF(BU$6="Miniflex",(Low_Peak+Low_Standard),Low_Total_Energy),'Rates Table'!BU13*IF(BU$6="Miniflex",(Low_Peak_New_TOU+Low_Standard_New_TOU),Low_Total_Energy_New_TOU)),0)/100</f>
        <v>0</v>
      </c>
      <c r="BV13" s="141">
        <f ca="1">IFERROR(IF(Inputs!$G$29="No",'Rates Table'!BV13*IF(BV$6="Miniflex",(Low_Peak+Low_Standard),Low_Total_Energy),'Rates Table'!BV13*IF(BV$6="Miniflex",(Low_Peak_New_TOU+Low_Standard_New_TOU),Low_Total_Energy_New_TOU)),0)/100</f>
        <v>0</v>
      </c>
      <c r="BW13" s="141">
        <f ca="1">IFERROR(IF(Inputs!$G$29="No",'Rates Table'!BW13*IF(BW$6="Miniflex",(Low_Peak+Low_Standard),Low_Total_Energy),'Rates Table'!BW13*IF(BW$6="Miniflex",(Low_Peak_New_TOU+Low_Standard_New_TOU),Low_Total_Energy_New_TOU)),0)/100</f>
        <v>0</v>
      </c>
      <c r="BX13" s="141">
        <f ca="1">IFERROR(IF(Inputs!$G$29="No",'Rates Table'!BX13*IF(BX$6="Miniflex",(Low_Peak+Low_Standard),Low_Total_Energy),'Rates Table'!BX13*IF(BX$6="Miniflex",(Low_Peak_New_TOU+Low_Standard_New_TOU),Low_Total_Energy_New_TOU)),0)/100</f>
        <v>0</v>
      </c>
      <c r="BY13" s="141">
        <f ca="1">IFERROR(IF(Inputs!$G$29="No",'Rates Table'!BY13*IF(BY$6="Miniflex",(Low_Peak+Low_Standard),Low_Total_Energy),'Rates Table'!BY13*IF(BY$6="Miniflex",(Low_Peak_New_TOU+Low_Standard_New_TOU),Low_Total_Energy_New_TOU)),0)/100</f>
        <v>0</v>
      </c>
      <c r="BZ13" s="141">
        <f ca="1">IFERROR(IF(Inputs!$G$29="No",'Rates Table'!BZ13*IF(BZ$6="Miniflex",(Low_Peak+Low_Standard),Low_Total_Energy),'Rates Table'!BZ13*IF(BZ$6="Miniflex",(Low_Peak_New_TOU+Low_Standard_New_TOU),Low_Total_Energy_New_TOU)),0)/100</f>
        <v>0</v>
      </c>
      <c r="CA13" s="141">
        <f ca="1">IFERROR(IF(Inputs!$G$29="No",'Rates Table'!CA13*IF(CA$6="Miniflex",(Low_Peak+Low_Standard),Low_Total_Energy),'Rates Table'!CA13*IF(CA$6="Miniflex",(Low_Peak_New_TOU+Low_Standard_New_TOU),Low_Total_Energy_New_TOU)),0)/100</f>
        <v>0</v>
      </c>
      <c r="CB13" s="141">
        <f ca="1">IFERROR(IF(Inputs!$G$29="No",'Rates Table'!CB13*IF(CB$6="Miniflex",(Low_Peak+Low_Standard),Low_Total_Energy),'Rates Table'!CB13*IF(CB$6="Miniflex",(Low_Peak_New_TOU+Low_Standard_New_TOU),Low_Total_Energy_New_TOU)),0)/100</f>
        <v>0</v>
      </c>
      <c r="CC13" s="141">
        <f ca="1">IFERROR(IF(Inputs!$G$29="No",'Rates Table'!CC13*IF(CC$6="Miniflex",(Low_Peak+Low_Standard),Low_Total_Energy),'Rates Table'!CC13*IF(CC$6="Miniflex",(Low_Peak_New_TOU+Low_Standard_New_TOU),Low_Total_Energy_New_TOU)),0)/100</f>
        <v>0</v>
      </c>
      <c r="CD13" s="141">
        <f ca="1">IFERROR(IF(Inputs!$G$29="No",'Rates Table'!CD13*IF(CD$6="Miniflex",(Low_Peak+Low_Standard),Low_Total_Energy),'Rates Table'!CD13*IF(CD$6="Miniflex",(Low_Peak_New_TOU+Low_Standard_New_TOU),Low_Total_Energy_New_TOU)),0)/100</f>
        <v>0</v>
      </c>
      <c r="CE13" s="141">
        <f ca="1">IFERROR(IF(Inputs!$G$29="No",'Rates Table'!CE13*IF(CE$6="Miniflex",(Low_Peak+Low_Standard),Low_Total_Energy),'Rates Table'!CE13*IF(CE$6="Miniflex",(Low_Peak_New_TOU+Low_Standard_New_TOU),Low_Total_Energy_New_TOU)),0)/100</f>
        <v>0</v>
      </c>
      <c r="CF13" s="141">
        <f ca="1">IFERROR(IF(Inputs!$G$29="No",'Rates Table'!CF13*IF(CF$6="Miniflex",(Low_Peak+Low_Standard),Low_Total_Energy),'Rates Table'!CF13*IF(CF$6="Miniflex",(Low_Peak_New_TOU+Low_Standard_New_TOU),Low_Total_Energy_New_TOU)),0)/100</f>
        <v>0</v>
      </c>
    </row>
    <row r="14" spans="2:84" s="138" customFormat="1">
      <c r="C14" s="138" t="s">
        <v>545</v>
      </c>
      <c r="D14" s="139" t="s">
        <v>106</v>
      </c>
      <c r="E14" s="140">
        <f t="shared" ca="1" si="8"/>
        <v>0</v>
      </c>
      <c r="F14" s="141"/>
      <c r="G14" s="141"/>
      <c r="H14" s="141"/>
      <c r="I14" s="141"/>
      <c r="J14" s="141"/>
      <c r="K14" s="141"/>
      <c r="L14" s="141"/>
      <c r="M14" s="141"/>
      <c r="N14" s="141"/>
      <c r="O14" s="141"/>
      <c r="P14" s="141"/>
      <c r="Q14" s="141"/>
      <c r="R14" s="141"/>
      <c r="S14" s="141"/>
      <c r="T14" s="141"/>
      <c r="U14" s="141"/>
      <c r="V14" s="141"/>
      <c r="W14" s="141"/>
      <c r="X14" s="141"/>
      <c r="Y14" s="141"/>
      <c r="Z14" s="141"/>
      <c r="AA14" s="141"/>
      <c r="AB14" s="141"/>
      <c r="AC14" s="141"/>
      <c r="AD14" s="141"/>
      <c r="AE14" s="141"/>
      <c r="AF14" s="141"/>
      <c r="AG14" s="141"/>
      <c r="AH14" s="141"/>
      <c r="AI14" s="141"/>
      <c r="AJ14" s="141"/>
      <c r="AK14" s="141"/>
      <c r="AL14" s="141">
        <f ca="1">IFERROR('Rates Table'!AL14*IF(Inputs!$G$29="No",Low_Total_Energy,Low_Total_Energy_Exist_TOU),0)/100</f>
        <v>0</v>
      </c>
      <c r="AM14" s="141">
        <f ca="1">IFERROR('Rates Table'!AM14*IF(Inputs!$G$29="No",Low_Total_Energy,Low_Total_Energy_Exist_TOU),0)/100</f>
        <v>0</v>
      </c>
      <c r="AN14" s="141">
        <f ca="1">IFERROR('Rates Table'!AN14*IF(Inputs!$G$29="No",Low_Total_Energy,Low_Total_Energy_Exist_TOU),0)/100</f>
        <v>0</v>
      </c>
      <c r="AO14" s="141">
        <f ca="1">IFERROR('Rates Table'!AO14*IF(Inputs!$G$29="No",Low_Total_Energy,Low_Total_Energy_Exist_TOU),0)/100</f>
        <v>0</v>
      </c>
      <c r="AP14" s="141"/>
      <c r="AQ14" s="141"/>
      <c r="AR14" s="141"/>
      <c r="AT14" s="140">
        <f t="shared" ca="1" si="7"/>
        <v>0</v>
      </c>
      <c r="AU14" s="141"/>
      <c r="AV14" s="141"/>
      <c r="AW14" s="141"/>
      <c r="AX14" s="141"/>
      <c r="AY14" s="141"/>
      <c r="AZ14" s="141"/>
      <c r="BA14" s="141"/>
      <c r="BB14" s="141"/>
      <c r="BC14" s="141"/>
      <c r="BD14" s="141"/>
      <c r="BE14" s="141"/>
      <c r="BF14" s="141"/>
      <c r="BG14" s="141"/>
      <c r="BH14" s="141"/>
      <c r="BI14" s="141"/>
      <c r="BJ14" s="141"/>
      <c r="BK14" s="141"/>
      <c r="BL14" s="141"/>
      <c r="BM14" s="141"/>
      <c r="BN14" s="141"/>
      <c r="BO14" s="141"/>
      <c r="BP14" s="141"/>
      <c r="BQ14" s="141"/>
      <c r="BR14" s="141"/>
      <c r="BS14" s="141"/>
      <c r="BT14" s="141"/>
      <c r="BU14" s="141"/>
      <c r="BV14" s="141"/>
      <c r="BW14" s="141"/>
      <c r="BX14" s="141"/>
      <c r="BY14" s="141"/>
      <c r="BZ14" s="141"/>
      <c r="CA14" s="141">
        <f ca="1">IFERROR('Rates Table'!CA14*IF(Inputs!$G$29="No",Low_Total_Energy,Low_Total_Energy_New_TOU),0)/100</f>
        <v>0</v>
      </c>
      <c r="CB14" s="141">
        <f ca="1">IFERROR('Rates Table'!CB14*IF(Inputs!$G$29="No",Low_Total_Energy,Low_Total_Energy_New_TOU),0)/100</f>
        <v>0</v>
      </c>
      <c r="CC14" s="141">
        <f ca="1">IFERROR('Rates Table'!CC14*IF(Inputs!$G$29="No",Low_Total_Energy,Low_Total_Energy_New_TOU),0)/100</f>
        <v>0</v>
      </c>
      <c r="CD14" s="141">
        <f ca="1">IFERROR('Rates Table'!CD14*IF(Inputs!$G$29="No",Low_Total_Energy,Low_Total_Energy_New_TOU),0)/100</f>
        <v>0</v>
      </c>
      <c r="CE14" s="141"/>
      <c r="CF14" s="141"/>
    </row>
    <row r="15" spans="2:84" s="138" customFormat="1">
      <c r="C15" s="138" t="s">
        <v>144</v>
      </c>
      <c r="D15" s="139" t="s">
        <v>115</v>
      </c>
      <c r="E15" s="140">
        <f t="shared" ca="1" si="8"/>
        <v>0</v>
      </c>
      <c r="F15" s="141">
        <f ca="1">IFERROR('Rates Table'!F15*(IF(Inputs!$G$29="No",Low_Utilised_Capacity,Low_Utilised_Capacity_Exist_TOU)),0)</f>
        <v>0</v>
      </c>
      <c r="G15" s="141">
        <f ca="1">IFERROR('Rates Table'!G15*(IF(Inputs!$G$29="No",Low_Utilised_Capacity,Low_Utilised_Capacity_Exist_TOU)),0)</f>
        <v>0</v>
      </c>
      <c r="H15" s="141">
        <f ca="1">IFERROR('Rates Table'!H15*(IF(Inputs!$G$29="No",Low_Utilised_Capacity,Low_Utilised_Capacity_Exist_TOU)),0)</f>
        <v>0</v>
      </c>
      <c r="I15" s="141">
        <f ca="1">IFERROR('Rates Table'!I15*(IF(Inputs!$G$29="No",Low_Utilised_Capacity,Low_Utilised_Capacity_Exist_TOU)),0)</f>
        <v>0</v>
      </c>
      <c r="J15" s="141">
        <f ca="1">IFERROR('Rates Table'!J15*(IF(Inputs!$G$29="No",Low_Utilised_Capacity,Low_Utilised_Capacity_Exist_TOU)),0)</f>
        <v>0</v>
      </c>
      <c r="K15" s="141">
        <f ca="1">IFERROR('Rates Table'!K15*(IF(Inputs!$G$29="No",Low_Utilised_Capacity,Low_Utilised_Capacity_Exist_TOU)),0)</f>
        <v>0</v>
      </c>
      <c r="L15" s="141">
        <f ca="1">IFERROR('Rates Table'!L15*(IF(Inputs!$G$29="No",Low_Utilised_Capacity,Low_Utilised_Capacity_Exist_TOU)),0)</f>
        <v>0</v>
      </c>
      <c r="M15" s="141">
        <f ca="1">IFERROR('Rates Table'!M15*(IF(Inputs!$G$29="No",Low_Utilised_Capacity,Low_Utilised_Capacity_Exist_TOU)),0)</f>
        <v>0</v>
      </c>
      <c r="N15" s="141">
        <f ca="1">IFERROR('Rates Table'!N15*(IF(Inputs!$G$29="No",Low_Utilised_Capacity,Low_Utilised_Capacity_Exist_TOU)),0)</f>
        <v>0</v>
      </c>
      <c r="O15" s="141">
        <f ca="1">IFERROR('Rates Table'!O15*(IF(Inputs!$G$29="No",Low_Utilised_Capacity,Low_Utilised_Capacity_Exist_TOU)),0)</f>
        <v>0</v>
      </c>
      <c r="P15" s="141">
        <f ca="1">IFERROR('Rates Table'!P15*(IF(Inputs!$G$29="No",Low_Utilised_Capacity,Low_Utilised_Capacity_Exist_TOU)),0)</f>
        <v>0</v>
      </c>
      <c r="Q15" s="141">
        <f ca="1">IFERROR('Rates Table'!Q15*(IF(Inputs!$G$29="No",Low_Utilised_Capacity,Low_Utilised_Capacity_Exist_TOU)),0)</f>
        <v>0</v>
      </c>
      <c r="R15" s="141">
        <f ca="1">IFERROR('Rates Table'!R15*(IF(Inputs!$G$29="No",Low_Utilised_Capacity,Low_Utilised_Capacity_Exist_TOU)),0)</f>
        <v>0</v>
      </c>
      <c r="S15" s="141">
        <f ca="1">IFERROR('Rates Table'!S15*(IF(Inputs!$G$29="No",Low_Utilised_Capacity,Low_Utilised_Capacity_Exist_TOU)),0)</f>
        <v>0</v>
      </c>
      <c r="T15" s="141">
        <f ca="1">IFERROR('Rates Table'!T15*(IF(Inputs!$G$29="No",Low_Utilised_Capacity,Low_Utilised_Capacity_Exist_TOU)),0)</f>
        <v>0</v>
      </c>
      <c r="U15" s="141">
        <f ca="1">IFERROR('Rates Table'!U15*(IF(Inputs!$G$29="No",Low_Utilised_Capacity,Low_Utilised_Capacity_Exist_TOU)),0)</f>
        <v>0</v>
      </c>
      <c r="V15" s="141">
        <f ca="1">IFERROR('Rates Table'!V15*(IF(Inputs!$G$29="No",Low_Utilised_Capacity,Low_Utilised_Capacity_Exist_TOU)),0)</f>
        <v>0</v>
      </c>
      <c r="W15" s="141">
        <f ca="1">IFERROR('Rates Table'!W15*(IF(Inputs!$G$29="No",Low_Utilised_Capacity,Low_Utilised_Capacity_Exist_TOU)),0)</f>
        <v>0</v>
      </c>
      <c r="X15" s="141">
        <f ca="1">IF(OR(E2="Nightsave Large",E2="Nightsave Small"),E15,IFERROR('Rates Table'!X15*(IF(Inputs!$G$29="No",Low_Utilised_Capacity,Low_Utilised_Capacity_Exist_TOU)),0))</f>
        <v>0</v>
      </c>
      <c r="Y15" s="141">
        <f ca="1">IFERROR('Rates Table'!Y15*(IF(Inputs!$G$29="No",Low_Utilised_Capacity,Low_Utilised_Capacity_Exist_TOU)),0)</f>
        <v>0</v>
      </c>
      <c r="Z15" s="141">
        <f ca="1">IFERROR('Rates Table'!Z15*(IF(Inputs!$G$29="No",Low_Utilised_Capacity,Low_Utilised_Capacity_Exist_TOU)),0)</f>
        <v>0</v>
      </c>
      <c r="AA15" s="141">
        <f ca="1">IFERROR('Rates Table'!AA15*(IF(Inputs!$G$29="No",Low_Utilised_Capacity,Low_Utilised_Capacity_Exist_TOU)),0)</f>
        <v>0</v>
      </c>
      <c r="AB15" s="141">
        <f ca="1">IFERROR('Rates Table'!AB15*(IF(Inputs!$G$29="No",Low_Utilised_Capacity,Low_Utilised_Capacity_Exist_TOU)),0)</f>
        <v>0</v>
      </c>
      <c r="AC15" s="141">
        <f ca="1">IFERROR('Rates Table'!AC15*(IF(Inputs!$G$29="No",Low_Utilised_Capacity,Low_Utilised_Capacity_Exist_TOU)),0)</f>
        <v>0</v>
      </c>
      <c r="AD15" s="141">
        <f ca="1">IFERROR('Rates Table'!AD15*(IF(Inputs!$G$29="No",Low_Utilised_Capacity,Low_Utilised_Capacity_Exist_TOU)),0)</f>
        <v>0</v>
      </c>
      <c r="AE15" s="141">
        <f ca="1">IFERROR('Rates Table'!AE15*(IF(Inputs!$G$29="No",Low_Utilised_Capacity,Low_Utilised_Capacity_Exist_TOU)),0)</f>
        <v>0</v>
      </c>
      <c r="AF15" s="141">
        <f ca="1">IFERROR('Rates Table'!AF15*(IF(Inputs!$G$29="No",Low_Utilised_Capacity,Low_Utilised_Capacity_Exist_TOU)),0)</f>
        <v>0</v>
      </c>
      <c r="AG15" s="141">
        <f ca="1">IFERROR('Rates Table'!AG15*(IF(Inputs!$G$29="No",Low_Utilised_Capacity,Low_Utilised_Capacity_Exist_TOU)),0)</f>
        <v>0</v>
      </c>
      <c r="AH15" s="141">
        <f ca="1">IFERROR('Rates Table'!AH15*(IF(Inputs!$G$29="No",Low_Utilised_Capacity,Low_Utilised_Capacity_Exist_TOU)),0)</f>
        <v>0</v>
      </c>
      <c r="AI15" s="141">
        <f ca="1">IFERROR('Rates Table'!AI15*(IF(Inputs!$G$29="No",Low_Utilised_Capacity,Low_Utilised_Capacity_Exist_TOU)),0)</f>
        <v>0</v>
      </c>
      <c r="AJ15" s="141">
        <f ca="1">IFERROR('Rates Table'!AJ15*(IF(Inputs!$G$29="No",Low_Utilised_Capacity,Low_Utilised_Capacity_Exist_TOU)),0)</f>
        <v>0</v>
      </c>
      <c r="AK15" s="141">
        <f ca="1">IFERROR('Rates Table'!AK15*(IF(Inputs!$G$29="No",Low_Utilised_Capacity,Low_Utilised_Capacity_Exist_TOU)),0)</f>
        <v>0</v>
      </c>
      <c r="AL15" s="141">
        <f ca="1">IFERROR('Rates Table'!AL15*(IF(Inputs!$G$29="No",Low_Utilised_Capacity,Low_Utilised_Capacity_Exist_TOU)),0)</f>
        <v>0</v>
      </c>
      <c r="AM15" s="141">
        <f ca="1">IFERROR('Rates Table'!AM15*(IF(Inputs!$G$29="No",Low_Utilised_Capacity,Low_Utilised_Capacity_Exist_TOU)),0)</f>
        <v>0</v>
      </c>
      <c r="AN15" s="141">
        <f ca="1">IFERROR('Rates Table'!AN15*(IF(Inputs!$G$29="No",Low_Utilised_Capacity,Low_Utilised_Capacity_Exist_TOU)),0)</f>
        <v>0</v>
      </c>
      <c r="AO15" s="141">
        <f ca="1">IFERROR('Rates Table'!AO15*(IF(Inputs!$G$29="No",Low_Utilised_Capacity,Low_Utilised_Capacity_Exist_TOU)),0)</f>
        <v>0</v>
      </c>
      <c r="AP15" s="141">
        <f ca="1">IFERROR('Rates Table'!AP15*(IF(Inputs!$G$29="No",Low_Utilised_Capacity,Low_Utilised_Capacity_Exist_TOU)),0)</f>
        <v>0</v>
      </c>
      <c r="AQ15" s="141">
        <f ca="1">IFERROR('Rates Table'!AQ15*(IF(Inputs!$G$29="No",Low_Utilised_Capacity,Low_Utilised_Capacity_Exist_TOU)),0)</f>
        <v>0</v>
      </c>
      <c r="AR15" s="141">
        <f ca="1">IFERROR('Rates Table'!AR15*(IF(Inputs!$G$29="No",Low_Utilised_Capacity,Low_Utilised_Capacity_Exist_TOU)),0)</f>
        <v>0</v>
      </c>
      <c r="AT15" s="140">
        <f t="shared" ca="1" si="7"/>
        <v>0</v>
      </c>
      <c r="AU15" s="141">
        <f ca="1">IFERROR('Rates Table'!AU15*(IF(Inputs!$G$29="No",Low_Utilised_Capacity,Low_Utilised_Capacity_New_TOU)),0)</f>
        <v>0</v>
      </c>
      <c r="AV15" s="141">
        <f ca="1">IFERROR('Rates Table'!AV15*(IF(Inputs!$G$29="No",Low_Utilised_Capacity,Low_Utilised_Capacity_New_TOU)),0)</f>
        <v>0</v>
      </c>
      <c r="AW15" s="141">
        <f ca="1">IFERROR('Rates Table'!AW15*(IF(Inputs!$G$29="No",Low_Utilised_Capacity,Low_Utilised_Capacity_New_TOU)),0)</f>
        <v>0</v>
      </c>
      <c r="AX15" s="141">
        <f ca="1">IFERROR('Rates Table'!AX15*(IF(Inputs!$G$29="No",Low_Utilised_Capacity,Low_Utilised_Capacity_New_TOU)),0)</f>
        <v>0</v>
      </c>
      <c r="AY15" s="141">
        <f ca="1">IFERROR('Rates Table'!AY15*(IF(Inputs!$G$29="No",Low_Utilised_Capacity,Low_Utilised_Capacity_New_TOU)),0)</f>
        <v>0</v>
      </c>
      <c r="AZ15" s="141">
        <f ca="1">IFERROR('Rates Table'!AZ15*(IF(Inputs!$G$29="No",Low_Utilised_Capacity,Low_Utilised_Capacity_New_TOU)),0)</f>
        <v>0</v>
      </c>
      <c r="BA15" s="141">
        <f ca="1">IFERROR('Rates Table'!BA15*(IF(Inputs!$G$29="No",Low_Utilised_Capacity,Low_Utilised_Capacity_New_TOU)),0)</f>
        <v>0</v>
      </c>
      <c r="BB15" s="141">
        <f ca="1">IFERROR('Rates Table'!BB15*(IF(Inputs!$G$29="No",Low_Utilised_Capacity,Low_Utilised_Capacity_New_TOU)),0)</f>
        <v>0</v>
      </c>
      <c r="BC15" s="141">
        <f ca="1">IFERROR('Rates Table'!BC15*(IF(Inputs!$G$29="No",Low_Utilised_Capacity,Low_Utilised_Capacity_New_TOU)),0)</f>
        <v>0</v>
      </c>
      <c r="BD15" s="141">
        <f ca="1">IFERROR('Rates Table'!BD15*(IF(Inputs!$G$29="No",Low_Utilised_Capacity,Low_Utilised_Capacity_New_TOU)),0)</f>
        <v>0</v>
      </c>
      <c r="BE15" s="141">
        <f ca="1">IFERROR('Rates Table'!BE15*(IF(Inputs!$G$29="No",Low_Utilised_Capacity,Low_Utilised_Capacity_New_TOU)),0)</f>
        <v>0</v>
      </c>
      <c r="BF15" s="141">
        <f ca="1">IFERROR('Rates Table'!BF15*(IF(Inputs!$G$29="No",Low_Utilised_Capacity,Low_Utilised_Capacity_New_TOU)),0)</f>
        <v>0</v>
      </c>
      <c r="BG15" s="141">
        <f ca="1">IFERROR('Rates Table'!BG15*(IF(Inputs!$G$29="No",Low_Utilised_Capacity,Low_Utilised_Capacity_New_TOU)),0)</f>
        <v>0</v>
      </c>
      <c r="BH15" s="141">
        <f ca="1">IFERROR('Rates Table'!BH15*(IF(Inputs!$G$29="No",Low_Utilised_Capacity,Low_Utilised_Capacity_New_TOU)),0)</f>
        <v>0</v>
      </c>
      <c r="BI15" s="141">
        <f ca="1">IFERROR('Rates Table'!BI15*(IF(Inputs!$G$29="No",Low_Utilised_Capacity,Low_Utilised_Capacity_New_TOU)),0)</f>
        <v>0</v>
      </c>
      <c r="BJ15" s="141">
        <f ca="1">IFERROR('Rates Table'!BJ15*(IF(Inputs!$G$29="No",Low_Utilised_Capacity,Low_Utilised_Capacity_New_TOU)),0)</f>
        <v>0</v>
      </c>
      <c r="BK15" s="141">
        <f ca="1">IFERROR('Rates Table'!BK15*(IF(Inputs!$G$29="No",Low_Utilised_Capacity,Low_Utilised_Capacity_New_TOU)),0)</f>
        <v>0</v>
      </c>
      <c r="BL15" s="141">
        <f ca="1">IFERROR('Rates Table'!BL15*(IF(Inputs!$G$29="No",Low_Utilised_Capacity,Low_Utilised_Capacity_New_TOU)),0)</f>
        <v>0</v>
      </c>
      <c r="BM15" s="141">
        <f ca="1">IFERROR('Rates Table'!BM15*(IF(Inputs!$G$29="No",Low_Utilised_Capacity,Low_Utilised_Capacity_New_TOU)),0)</f>
        <v>0</v>
      </c>
      <c r="BN15" s="141">
        <f ca="1">IFERROR('Rates Table'!BN15*(IF(Inputs!$G$29="No",Low_Utilised_Capacity,Low_Utilised_Capacity_New_TOU)),0)</f>
        <v>0</v>
      </c>
      <c r="BO15" s="141">
        <f ca="1">IFERROR('Rates Table'!BO15*(IF(Inputs!$G$29="No",Low_Utilised_Capacity,Low_Utilised_Capacity_New_TOU)),0)</f>
        <v>0</v>
      </c>
      <c r="BP15" s="141">
        <f ca="1">IFERROR('Rates Table'!BP15*(IF(Inputs!$G$29="No",Low_Utilised_Capacity,Low_Utilised_Capacity_New_TOU)),0)</f>
        <v>0</v>
      </c>
      <c r="BQ15" s="141">
        <f ca="1">IFERROR('Rates Table'!BQ15*(IF(Inputs!$G$29="No",Low_Utilised_Capacity,Low_Utilised_Capacity_New_TOU)),0)</f>
        <v>0</v>
      </c>
      <c r="BR15" s="141">
        <f ca="1">IFERROR('Rates Table'!BR15*(IF(Inputs!$G$29="No",Low_Utilised_Capacity,Low_Utilised_Capacity_New_TOU)),0)</f>
        <v>0</v>
      </c>
      <c r="BS15" s="141">
        <f ca="1">IFERROR('Rates Table'!BS15*(IF(Inputs!$G$29="No",Low_Utilised_Capacity,Low_Utilised_Capacity_New_TOU)),0)</f>
        <v>0</v>
      </c>
      <c r="BT15" s="141">
        <f ca="1">IFERROR('Rates Table'!BT15*(IF(Inputs!$G$29="No",Low_Utilised_Capacity,Low_Utilised_Capacity_New_TOU)),0)</f>
        <v>0</v>
      </c>
      <c r="BU15" s="141">
        <f ca="1">IFERROR('Rates Table'!BU15*(IF(Inputs!$G$29="No",Low_Utilised_Capacity,Low_Utilised_Capacity_New_TOU)),0)</f>
        <v>0</v>
      </c>
      <c r="BV15" s="141">
        <f ca="1">IFERROR('Rates Table'!BV15*(IF(Inputs!$G$29="No",Low_Utilised_Capacity,Low_Utilised_Capacity_New_TOU)),0)</f>
        <v>0</v>
      </c>
      <c r="BW15" s="141">
        <f ca="1">IFERROR('Rates Table'!BW15*(IF(Inputs!$G$29="No",Low_Utilised_Capacity,Low_Utilised_Capacity_New_TOU)),0)</f>
        <v>0</v>
      </c>
      <c r="BX15" s="141">
        <f ca="1">IFERROR('Rates Table'!BX15*(IF(Inputs!$G$29="No",Low_Utilised_Capacity,Low_Utilised_Capacity_New_TOU)),0)</f>
        <v>0</v>
      </c>
      <c r="BY15" s="141">
        <f ca="1">IFERROR('Rates Table'!BY15*(IF(Inputs!$G$29="No",Low_Utilised_Capacity,Low_Utilised_Capacity_New_TOU)),0)</f>
        <v>0</v>
      </c>
      <c r="BZ15" s="141">
        <f ca="1">IFERROR('Rates Table'!BZ15*(IF(Inputs!$G$29="No",Low_Utilised_Capacity,Low_Utilised_Capacity_New_TOU)),0)</f>
        <v>0</v>
      </c>
      <c r="CA15" s="141">
        <f ca="1">IFERROR('Rates Table'!CA15*(IF(Inputs!$G$29="No",Low_Utilised_Capacity,Low_Utilised_Capacity_New_TOU)),0)</f>
        <v>0</v>
      </c>
      <c r="CB15" s="141">
        <f ca="1">IFERROR('Rates Table'!CB15*(IF(Inputs!$G$29="No",Low_Utilised_Capacity,Low_Utilised_Capacity_New_TOU)),0)</f>
        <v>0</v>
      </c>
      <c r="CC15" s="141">
        <f ca="1">IFERROR('Rates Table'!CC15*(IF(Inputs!$G$29="No",Low_Utilised_Capacity,Low_Utilised_Capacity_New_TOU)),0)</f>
        <v>0</v>
      </c>
      <c r="CD15" s="141">
        <f ca="1">IFERROR('Rates Table'!CD15*(IF(Inputs!$G$29="No",Low_Utilised_Capacity,Low_Utilised_Capacity_New_TOU)),0)</f>
        <v>0</v>
      </c>
      <c r="CE15" s="141">
        <f ca="1">IFERROR('Rates Table'!CE15*(IF(Inputs!$G$29="No",Low_Utilised_Capacity,Low_Utilised_Capacity_New_TOU)),0)</f>
        <v>0</v>
      </c>
      <c r="CF15" s="141">
        <f ca="1">IFERROR('Rates Table'!CF15*(IF(Inputs!$G$29="No",Low_Utilised_Capacity,Low_Utilised_Capacity_New_TOU)),0)</f>
        <v>0</v>
      </c>
    </row>
    <row r="16" spans="2:84" s="138" customFormat="1">
      <c r="C16" s="138" t="s">
        <v>387</v>
      </c>
      <c r="D16" s="139" t="str">
        <f ca="1">IF(Table_1=1,"R/kVA","R/day")</f>
        <v>R/kVA</v>
      </c>
      <c r="E16" s="140">
        <f t="shared" ca="1" si="8"/>
        <v>0</v>
      </c>
      <c r="F16" s="141">
        <f ca="1">IFERROR(IF(Inputs!$G$29="No", IF(F55=1, 'Rates Table'!F16*Low_Utilised_Capacity, IF($E$2="Homepower Bulk",'Rates Table'!F16*9*Inputs!$G$27,'Rates Table'!F16*PODs*Low_Days)), IF(F55=1, 'Rates Table'!F16*Low_Utilised_Capacity_Exist_TOU, IF($E$2="Homepower Bulk",'Rates Table'!F16*9*Inputs!$G$27,'Rates Table'!F16*PODs*Low_Days))),0)</f>
        <v>5552.82</v>
      </c>
      <c r="G16" s="141">
        <f ca="1">IFERROR(IF(Inputs!$G$29="No", IF(G55=1, 'Rates Table'!G16*Low_Utilised_Capacity, IF($E$2="Homepower Bulk",'Rates Table'!G16*9*Inputs!$G$27,'Rates Table'!G16*PODs*Low_Days)), IF(G55=1, 'Rates Table'!G16*Low_Utilised_Capacity_Exist_TOU, IF($E$2="Homepower Bulk",'Rates Table'!G16*9*Inputs!$G$27,'Rates Table'!G16*PODs*Low_Days))),0)</f>
        <v>8247.33</v>
      </c>
      <c r="H16" s="141">
        <f ca="1">IFERROR(IF(Inputs!$G$29="No", IF(H55=1, 'Rates Table'!H16*Low_Utilised_Capacity, IF($E$2="Homepower Bulk",'Rates Table'!H16*9*Inputs!$G$27,'Rates Table'!H16*PODs*Low_Days)), IF(H55=1, 'Rates Table'!H16*Low_Utilised_Capacity_Exist_TOU, IF($E$2="Homepower Bulk",'Rates Table'!H16*9*Inputs!$G$27,'Rates Table'!H16*PODs*Low_Days))),0)</f>
        <v>20578.739999999998</v>
      </c>
      <c r="I16" s="141">
        <f ca="1">IFERROR(IF(Inputs!$G$29="No", IF(I55=1, 'Rates Table'!I16*Low_Utilised_Capacity, IF($E$2="Homepower Bulk",'Rates Table'!I16*9*Inputs!$G$27,'Rates Table'!I16*PODs*Low_Days)), IF(I55=1, 'Rates Table'!I16*Low_Utilised_Capacity_Exist_TOU, IF($E$2="Homepower Bulk",'Rates Table'!I16*9*Inputs!$G$27,'Rates Table'!I16*PODs*Low_Days))),0)</f>
        <v>0</v>
      </c>
      <c r="J16" s="141">
        <f ca="1">IFERROR(IF(Inputs!$G$29="No", IF(J55=1, 'Rates Table'!J16*Low_Utilised_Capacity, IF($E$2="Homepower Bulk",'Rates Table'!J16*9*Inputs!$G$27,'Rates Table'!J16*PODs*Low_Days)), IF(J55=1, 'Rates Table'!J16*Low_Utilised_Capacity_Exist_TOU, IF($E$2="Homepower Bulk",'Rates Table'!J16*9*Inputs!$G$27,'Rates Table'!J16*PODs*Low_Days))),0)</f>
        <v>0</v>
      </c>
      <c r="K16" s="141">
        <f ca="1">IFERROR(IF(Inputs!$G$29="No", IF(K55=1, 'Rates Table'!K16*Low_Utilised_Capacity, IF($E$2="Homepower Bulk",'Rates Table'!K16*9*Inputs!$G$27,'Rates Table'!K16*PODs*Low_Days)), IF(K55=1, 'Rates Table'!K16*Low_Utilised_Capacity_Exist_TOU, IF($E$2="Homepower Bulk",'Rates Table'!K16*9*Inputs!$G$27,'Rates Table'!K16*PODs*Low_Days))),0)</f>
        <v>0</v>
      </c>
      <c r="L16" s="141">
        <f ca="1">IFERROR(IF(Inputs!$G$29="No", IF(L55=1, 'Rates Table'!L16*Low_Utilised_Capacity, IF($E$2="Homepower Bulk",'Rates Table'!L16*9*Inputs!$G$27,'Rates Table'!L16*PODs*Low_Days)), IF(L55=1, 'Rates Table'!L16*Low_Utilised_Capacity_Exist_TOU, IF($E$2="Homepower Bulk",'Rates Table'!L16*9*Inputs!$G$27,'Rates Table'!L16*PODs*Low_Days))),0)</f>
        <v>3311.4900000000002</v>
      </c>
      <c r="M16" s="141">
        <f ca="1">IFERROR(IF(Inputs!$G$29="No", IF(M55=1, 'Rates Table'!M16*Low_Utilised_Capacity, IF($E$2="Homepower Bulk",'Rates Table'!M16*9*Inputs!$G$27,'Rates Table'!M16*PODs*Low_Days)), IF(M55=1, 'Rates Table'!M16*Low_Utilised_Capacity_Exist_TOU, IF($E$2="Homepower Bulk",'Rates Table'!M16*9*Inputs!$G$27,'Rates Table'!M16*PODs*Low_Days))),0)</f>
        <v>7390.11</v>
      </c>
      <c r="N16" s="141">
        <f ca="1">IFERROR(IF(Inputs!$G$29="No", IF(N55=1, 'Rates Table'!N16*Low_Utilised_Capacity, IF($E$2="Homepower Bulk",'Rates Table'!N16*9*Inputs!$G$27,'Rates Table'!N16*PODs*Low_Days)), IF(N55=1, 'Rates Table'!N16*Low_Utilised_Capacity_Exist_TOU, IF($E$2="Homepower Bulk",'Rates Table'!N16*9*Inputs!$G$27,'Rates Table'!N16*PODs*Low_Days))),0)</f>
        <v>15784.86</v>
      </c>
      <c r="O16" s="141">
        <f ca="1">IFERROR(IF(Inputs!$G$29="No", IF(O55=1, 'Rates Table'!O16*Low_Utilised_Capacity, IF($E$2="Homepower Bulk",'Rates Table'!O16*9*Inputs!$G$27,'Rates Table'!O16*PODs*Low_Days)), IF(O55=1, 'Rates Table'!O16*Low_Utilised_Capacity_Exist_TOU, IF($E$2="Homepower Bulk",'Rates Table'!O16*9*Inputs!$G$27,'Rates Table'!O16*PODs*Low_Days))),0)</f>
        <v>2279.5499999999997</v>
      </c>
      <c r="P16" s="141">
        <f ca="1">IFERROR(IF(Inputs!$G$29="No", IF(P55=1, 'Rates Table'!P16*Low_Utilised_Capacity, IF($E$2="Homepower Bulk",'Rates Table'!P16*9*Inputs!$G$27,'Rates Table'!P16*PODs*Low_Days)), IF(P55=1, 'Rates Table'!P16*Low_Utilised_Capacity_Exist_TOU, IF($E$2="Homepower Bulk",'Rates Table'!P16*9*Inputs!$G$27,'Rates Table'!P16*PODs*Low_Days))),0)</f>
        <v>15102.36</v>
      </c>
      <c r="Q16" s="141">
        <f ca="1">IFERROR(IF(Inputs!$G$29="No", IF(Q55=1, 'Rates Table'!Q16*Low_Utilised_Capacity, IF($E$2="Homepower Bulk",'Rates Table'!Q16*9*Inputs!$G$27,'Rates Table'!Q16*PODs*Low_Days)), IF(Q55=1, 'Rates Table'!Q16*Low_Utilised_Capacity_Exist_TOU, IF($E$2="Homepower Bulk",'Rates Table'!Q16*9*Inputs!$G$27,'Rates Table'!Q16*PODs*Low_Days))),0)</f>
        <v>16980.600000000002</v>
      </c>
      <c r="R16" s="141">
        <f ca="1">IFERROR(IF(Inputs!$G$29="No", IF(R55=1, 'Rates Table'!R16*Low_Utilised_Capacity, IF($E$2="Homepower Bulk",'Rates Table'!R16*9*Inputs!$G$27,'Rates Table'!R16*PODs*Low_Days)), IF(R55=1, 'Rates Table'!R16*Low_Utilised_Capacity_Exist_TOU, IF($E$2="Homepower Bulk",'Rates Table'!R16*9*Inputs!$G$27,'Rates Table'!R16*PODs*Low_Days))),0)</f>
        <v>26478.269999999997</v>
      </c>
      <c r="S16" s="141">
        <f ca="1">IFERROR(IF(Inputs!$G$29="No", IF(S55=1, 'Rates Table'!S16*Low_Utilised_Capacity, IF($E$2="Homepower Bulk",'Rates Table'!S16*9*Inputs!$G$27,'Rates Table'!S16*PODs*Low_Days)), IF(S55=1, 'Rates Table'!S16*Low_Utilised_Capacity_Exist_TOU, IF($E$2="Homepower Bulk",'Rates Table'!S16*9*Inputs!$G$27,'Rates Table'!S16*PODs*Low_Days))),0)</f>
        <v>42402.36</v>
      </c>
      <c r="T16" s="141">
        <f ca="1">IFERROR(IF(Inputs!$G$29="No", IF(T55=1, 'Rates Table'!T16*Low_Utilised_Capacity, IF($E$2="Homepower Bulk",'Rates Table'!T16*9*Inputs!$G$27,'Rates Table'!T16*PODs*Low_Days)), IF(T55=1, 'Rates Table'!T16*Low_Utilised_Capacity_Exist_TOU, IF($E$2="Homepower Bulk",'Rates Table'!T16*9*Inputs!$G$27,'Rates Table'!T16*PODs*Low_Days))),0)</f>
        <v>12536.16</v>
      </c>
      <c r="U16" s="141">
        <f ca="1">IFERROR(IF(Inputs!$G$29="No", IF(U55=1, 'Rates Table'!U16*Low_Utilised_Capacity, IF($E$2="Homepower Bulk",'Rates Table'!U16*9*Inputs!$G$27,'Rates Table'!U16*PODs*Low_Days)), IF(U55=1, 'Rates Table'!U16*Low_Utilised_Capacity_Exist_TOU, IF($E$2="Homepower Bulk",'Rates Table'!U16*9*Inputs!$G$27,'Rates Table'!U16*PODs*Low_Days))),0)</f>
        <v>0</v>
      </c>
      <c r="V16" s="141">
        <f ca="1">IFERROR(IF(Inputs!$G$29="No", IF(V55=1, 'Rates Table'!V16*Low_Utilised_Capacity, IF($E$2="Homepower Bulk",'Rates Table'!V16*9*Inputs!$G$27,'Rates Table'!V16*PODs*Low_Days)), IF(V55=1, 'Rates Table'!V16*Low_Utilised_Capacity_Exist_TOU, IF($E$2="Homepower Bulk",'Rates Table'!V16*9*Inputs!$G$27,'Rates Table'!V16*PODs*Low_Days))),0)</f>
        <v>0</v>
      </c>
      <c r="W16" s="141">
        <f ca="1">IFERROR(IF(Inputs!$G$29="No", IF(W55=1, 'Rates Table'!W16*Low_Utilised_Capacity, IF($E$2="Homepower Bulk",'Rates Table'!W16*9*Inputs!$G$27,'Rates Table'!W16*PODs*Low_Days)), IF(W55=1, 'Rates Table'!W16*Low_Utilised_Capacity_Exist_TOU, IF($E$2="Homepower Bulk",'Rates Table'!W16*9*Inputs!$G$27,'Rates Table'!W16*PODs*Low_Days))),0)</f>
        <v>0</v>
      </c>
      <c r="X16" s="141">
        <f ca="1">IFERROR(IF(Inputs!$G$29="No", IF(X55=1, 'Rates Table'!X16*Low_Utilised_Capacity, IF($E$2="Homepower Bulk",'Rates Table'!X16*9*Inputs!$G$27,'Rates Table'!X16*PODs*Low_Days)), IF(X55=1, 'Rates Table'!X16*Low_Utilised_Capacity_Exist_TOU, IF($E$2="Homepower Bulk",'Rates Table'!X16*9*Inputs!$G$27,'Rates Table'!X16*PODs*Low_Days))),0)</f>
        <v>0</v>
      </c>
      <c r="Y16" s="141">
        <f ca="1">IFERROR(IF(Inputs!$G$29="No", IF(Y55=1, 'Rates Table'!Y16*Low_Utilised_Capacity, IF($E$2="Homepower Bulk",'Rates Table'!Y16*9*Inputs!$G$27,'Rates Table'!Y16*PODs*Low_Days)), IF(Y55=1, 'Rates Table'!Y16*Low_Utilised_Capacity_Exist_TOU, IF($E$2="Homepower Bulk",'Rates Table'!Y16*9*Inputs!$G$27,'Rates Table'!Y16*PODs*Low_Days))),0)</f>
        <v>0</v>
      </c>
      <c r="Z16" s="141">
        <f ca="1">IFERROR(IF(Inputs!$G$29="No", IF(Z55=1, 'Rates Table'!Z16*Low_Utilised_Capacity, IF($E$2="Homepower Bulk",'Rates Table'!Z16*9*Inputs!$G$27,'Rates Table'!Z16*PODs*Low_Days)), IF(Z55=1, 'Rates Table'!Z16*Low_Utilised_Capacity_Exist_TOU, IF($E$2="Homepower Bulk",'Rates Table'!Z16*9*Inputs!$G$27,'Rates Table'!Z16*PODs*Low_Days))),0)</f>
        <v>0</v>
      </c>
      <c r="AA16" s="141">
        <f ca="1">IFERROR(IF(Inputs!$G$29="No", IF(AA55=1, 'Rates Table'!AA16*Low_Utilised_Capacity, IF($E$2="Homepower Bulk",'Rates Table'!AA16*9*Inputs!$G$27,'Rates Table'!AA16*PODs*Low_Days)), IF(AA55=1, 'Rates Table'!AA16*Low_Utilised_Capacity_Exist_TOU, IF($E$2="Homepower Bulk",'Rates Table'!AA16*9*Inputs!$G$27,'Rates Table'!AA16*PODs*Low_Days))),0)</f>
        <v>0</v>
      </c>
      <c r="AB16" s="141">
        <f ca="1">IFERROR(IF(Inputs!$G$29="No", IF(AB55=1, 'Rates Table'!AB16*Low_Utilised_Capacity, IF($E$2="Homepower Bulk",'Rates Table'!AB16*9*Inputs!$G$27,'Rates Table'!AB16*PODs*Low_Days)), IF(AB55=1, 'Rates Table'!AB16*Low_Utilised_Capacity_Exist_TOU, IF($E$2="Homepower Bulk",'Rates Table'!AB16*9*Inputs!$G$27,'Rates Table'!AB16*PODs*Low_Days))),0)</f>
        <v>0</v>
      </c>
      <c r="AC16" s="141">
        <f ca="1">IFERROR(IF(Inputs!$G$29="No", IF(AC55=1, 'Rates Table'!AC16*Low_Utilised_Capacity, IF($E$2="Homepower Bulk",'Rates Table'!AC16*9*Inputs!$G$27,'Rates Table'!AC16*PODs*Low_Days)), IF(AC55=1, 'Rates Table'!AC16*Low_Utilised_Capacity_Exist_TOU, IF($E$2="Homepower Bulk",'Rates Table'!AC16*9*Inputs!$G$27,'Rates Table'!AC16*PODs*Low_Days))),0)</f>
        <v>0</v>
      </c>
      <c r="AD16" s="141">
        <f ca="1">IFERROR(IF(Inputs!$G$29="No", IF(AD55=1, 'Rates Table'!AD16*Low_Utilised_Capacity, IF($E$2="Homepower Bulk",'Rates Table'!AD16*9*Inputs!$G$27,'Rates Table'!AD16*PODs*Low_Days)), IF(AD55=1, 'Rates Table'!AD16*Low_Utilised_Capacity_Exist_TOU, IF($E$2="Homepower Bulk",'Rates Table'!AD16*9*Inputs!$G$27,'Rates Table'!AD16*PODs*Low_Days))),0)</f>
        <v>0</v>
      </c>
      <c r="AE16" s="141">
        <f ca="1">IFERROR(IF(Inputs!$G$29="No", IF(AE55=1, 'Rates Table'!AE16*Low_Utilised_Capacity, IF($E$2="Homepower Bulk",'Rates Table'!AE16*9*Inputs!$G$27,'Rates Table'!AE16*PODs*Low_Days)), IF(AE55=1, 'Rates Table'!AE16*Low_Utilised_Capacity_Exist_TOU, IF($E$2="Homepower Bulk",'Rates Table'!AE16*9*Inputs!$G$27,'Rates Table'!AE16*PODs*Low_Days))),0)</f>
        <v>0</v>
      </c>
      <c r="AF16" s="141">
        <f ca="1">IFERROR(IF(Inputs!$G$29="No", IF(AF55=1, 'Rates Table'!AF16*Low_Utilised_Capacity, IF($E$2="Homepower Bulk",'Rates Table'!AF16*9*Inputs!$G$27,'Rates Table'!AF16*PODs*Low_Days)), IF(AF55=1, 'Rates Table'!AF16*Low_Utilised_Capacity_Exist_TOU, IF($E$2="Homepower Bulk",'Rates Table'!AF16*9*Inputs!$G$27,'Rates Table'!AF16*PODs*Low_Days))),0)</f>
        <v>0</v>
      </c>
      <c r="AG16" s="141">
        <f ca="1">IFERROR(IF(Inputs!$G$29="No", IF(AG55=1, 'Rates Table'!AG16*Low_Utilised_Capacity, IF($E$2="Homepower Bulk",'Rates Table'!AG16*9*Inputs!$G$27,'Rates Table'!AG16*PODs*Low_Days)), IF(AG55=1, 'Rates Table'!AG16*Low_Utilised_Capacity_Exist_TOU, IF($E$2="Homepower Bulk",'Rates Table'!AG16*9*Inputs!$G$27,'Rates Table'!AG16*PODs*Low_Days))),0)</f>
        <v>0</v>
      </c>
      <c r="AH16" s="141">
        <f ca="1">IFERROR(IF(Inputs!$G$29="No", IF(AH55=1, 'Rates Table'!AH16*Low_Utilised_Capacity, IF($E$2="Homepower Bulk",'Rates Table'!AH16*9*Inputs!$G$27,'Rates Table'!AH16*PODs*Low_Days)), IF(AH55=1, 'Rates Table'!AH16*Low_Utilised_Capacity_Exist_TOU, IF($E$2="Homepower Bulk",'Rates Table'!AH16*9*Inputs!$G$27,'Rates Table'!AH16*PODs*Low_Days))),0)</f>
        <v>0</v>
      </c>
      <c r="AI16" s="141">
        <f ca="1">IFERROR(IF(Inputs!$G$29="No", IF(AI55=1, 'Rates Table'!AI16*Low_Utilised_Capacity, IF($E$2="Homepower Bulk",'Rates Table'!AI16*9*Inputs!$G$27,'Rates Table'!AI16*PODs*Low_Days)), IF(AI55=1, 'Rates Table'!AI16*Low_Utilised_Capacity_Exist_TOU, IF($E$2="Homepower Bulk",'Rates Table'!AI16*9*Inputs!$G$27,'Rates Table'!AI16*PODs*Low_Days))),0)</f>
        <v>0</v>
      </c>
      <c r="AJ16" s="141">
        <f ca="1">IFERROR(IF(Inputs!$G$29="No", IF(AJ55=1, 'Rates Table'!AJ16*Low_Utilised_Capacity, IF($E$2="Homepower Bulk",'Rates Table'!AJ16*9*Inputs!$G$27,'Rates Table'!AJ16*PODs*Low_Days)), IF(AJ55=1, 'Rates Table'!AJ16*Low_Utilised_Capacity_Exist_TOU, IF($E$2="Homepower Bulk",'Rates Table'!AJ16*9*Inputs!$G$27,'Rates Table'!AJ16*PODs*Low_Days))),0)</f>
        <v>0</v>
      </c>
      <c r="AK16" s="141">
        <f ca="1">IFERROR(IF(Inputs!$G$29="No", IF(AK55=1, 'Rates Table'!AK16*Low_Utilised_Capacity, IF($E$2="Homepower Bulk",'Rates Table'!AK16*9*Inputs!$G$27,'Rates Table'!AK16*PODs*Low_Days)), IF(AK55=1, 'Rates Table'!AK16*Low_Utilised_Capacity_Exist_TOU, IF($E$2="Homepower Bulk",'Rates Table'!AK16*9*Inputs!$G$27,'Rates Table'!AK16*PODs*Low_Days))),0)</f>
        <v>0</v>
      </c>
      <c r="AL16" s="141">
        <f ca="1">IFERROR(IF(Inputs!$G$29="No", IF(AL55=1, 'Rates Table'!AL16*Low_Utilised_Capacity, IF($E$2="Homepower Bulk",'Rates Table'!AL16*9*Inputs!$G$27,'Rates Table'!AL16*PODs*Low_Days)), IF(AL55=1, 'Rates Table'!AL16*Low_Utilised_Capacity_Exist_TOU, IF($E$2="Homepower Bulk",'Rates Table'!AL16*9*Inputs!$G$27,'Rates Table'!AL16*PODs*Low_Days))),0)</f>
        <v>3311.4900000000002</v>
      </c>
      <c r="AM16" s="141">
        <f ca="1">IFERROR(IF(Inputs!$G$29="No", IF(AM55=1, 'Rates Table'!AM16*Low_Utilised_Capacity, IF($E$2="Homepower Bulk",'Rates Table'!AM16*9*Inputs!$G$27,'Rates Table'!AM16*PODs*Low_Days)), IF(AM55=1, 'Rates Table'!AM16*Low_Utilised_Capacity_Exist_TOU, IF($E$2="Homepower Bulk",'Rates Table'!AM16*9*Inputs!$G$27,'Rates Table'!AM16*PODs*Low_Days))),0)</f>
        <v>7390.11</v>
      </c>
      <c r="AN16" s="141">
        <f ca="1">IFERROR(IF(Inputs!$G$29="No", IF(AN55=1, 'Rates Table'!AN16*Low_Utilised_Capacity, IF($E$2="Homepower Bulk",'Rates Table'!AN16*9*Inputs!$G$27,'Rates Table'!AN16*PODs*Low_Days)), IF(AN55=1, 'Rates Table'!AN16*Low_Utilised_Capacity_Exist_TOU, IF($E$2="Homepower Bulk",'Rates Table'!AN16*9*Inputs!$G$27,'Rates Table'!AN16*PODs*Low_Days))),0)</f>
        <v>15784.86</v>
      </c>
      <c r="AO16" s="141">
        <f ca="1">IFERROR(IF(Inputs!$G$29="No", IF(AO55=1, 'Rates Table'!AO16*Low_Utilised_Capacity, IF($E$2="Homepower Bulk",'Rates Table'!AO16*9*Inputs!$G$27,'Rates Table'!AO16*PODs*Low_Days)), IF(AO55=1, 'Rates Table'!AO16*Low_Utilised_Capacity_Exist_TOU, IF($E$2="Homepower Bulk",'Rates Table'!AO16*9*Inputs!$G$27,'Rates Table'!AO16*PODs*Low_Days))),0)</f>
        <v>2279.5499999999997</v>
      </c>
      <c r="AP16" s="141">
        <f ca="1">IFERROR(IF(Inputs!$G$29="No", IF(AP55=1, 'Rates Table'!AP16*Low_Utilised_Capacity, IF($E$2="Homepower Bulk",'Rates Table'!AP16*9*Inputs!$G$27,'Rates Table'!AP16*PODs*Low_Days)), IF(AP55=1, 'Rates Table'!AP16*Low_Utilised_Capacity_Exist_TOU, IF($E$2="Homepower Bulk",'Rates Table'!AP16*9*Inputs!$G$27,'Rates Table'!AP16*PODs*Low_Days))),0)</f>
        <v>0</v>
      </c>
      <c r="AQ16" s="141">
        <f ca="1">IFERROR(IF(Inputs!$G$29="No", IF(AQ55=1, 'Rates Table'!AQ16*Low_Utilised_Capacity, IF($E$2="Homepower Bulk",'Rates Table'!AQ16*9*Inputs!$G$27,'Rates Table'!AQ16*PODs*Low_Days)), IF(AQ55=1, 'Rates Table'!AQ16*Low_Utilised_Capacity_Exist_TOU, IF($E$2="Homepower Bulk",'Rates Table'!AQ16*9*Inputs!$G$27,'Rates Table'!AQ16*PODs*Low_Days))),0)</f>
        <v>0</v>
      </c>
      <c r="AR16" s="141">
        <f ca="1">IFERROR(IF(Inputs!$G$29="No", IF(AR55=1, 'Rates Table'!AR16*Low_Utilised_Capacity, IF($E$2="Homepower Bulk",'Rates Table'!AR16*9*Inputs!$G$27,'Rates Table'!AR16*PODs*Low_Days)), IF(AR55=1, 'Rates Table'!AR16*Low_Utilised_Capacity_Exist_TOU, IF($E$2="Homepower Bulk",'Rates Table'!AR16*9*Inputs!$G$27,'Rates Table'!AR16*PODs*Low_Days))),0)</f>
        <v>0</v>
      </c>
      <c r="AT16" s="140">
        <f t="shared" ca="1" si="7"/>
        <v>0</v>
      </c>
      <c r="AU16" s="141">
        <f ca="1">IFERROR(IF(Inputs!$G$29="No", IF(AU55=1, 'Rates Table'!AU16*Low_Utilised_Capacity, IF($E$2="Homepower Bulk",'Rates Table'!AU16*9*Inputs!$G$27,'Rates Table'!AU16*PODs*Low_Days)), IF(AU55=1, 'Rates Table'!AU16*Low_Utilised_Capacity_New_TOU, IF($E$2="Homepower Bulk",'Rates Table'!AU16*9*Inputs!$G$27,'Rates Table'!AU16*PODs*Low_Days))),0)</f>
        <v>6038.76</v>
      </c>
      <c r="AV16" s="141">
        <f ca="1">IFERROR(IF(Inputs!$G$29="No", IF(AV55=1, 'Rates Table'!AV16*Low_Utilised_Capacity, IF($E$2="Homepower Bulk",'Rates Table'!AV16*9*Inputs!$G$27,'Rates Table'!AV16*PODs*Low_Days)), IF(AV55=1, 'Rates Table'!AV16*Low_Utilised_Capacity_New_TOU, IF($E$2="Homepower Bulk",'Rates Table'!AV16*9*Inputs!$G$27,'Rates Table'!AV16*PODs*Low_Days))),0)</f>
        <v>8970.7800000000007</v>
      </c>
      <c r="AW16" s="141">
        <f ca="1">IFERROR(IF(Inputs!$G$29="No", IF(AW55=1, 'Rates Table'!AW16*Low_Utilised_Capacity, IF($E$2="Homepower Bulk",'Rates Table'!AW16*9*Inputs!$G$27,'Rates Table'!AW16*PODs*Low_Days)), IF(AW55=1, 'Rates Table'!AW16*Low_Utilised_Capacity_New_TOU, IF($E$2="Homepower Bulk",'Rates Table'!AW16*9*Inputs!$G$27,'Rates Table'!AW16*PODs*Low_Days))),0)</f>
        <v>22380.54</v>
      </c>
      <c r="AX16" s="141">
        <f ca="1">IFERROR(IF(Inputs!$G$29="No", IF(AX55=1, 'Rates Table'!AX16*Low_Utilised_Capacity, IF($E$2="Homepower Bulk",'Rates Table'!AX16*9*Inputs!$G$27,'Rates Table'!AX16*PODs*Low_Days)), IF(AX55=1, 'Rates Table'!AX16*Low_Utilised_Capacity_New_TOU, IF($E$2="Homepower Bulk",'Rates Table'!AX16*9*Inputs!$G$27,'Rates Table'!AX16*PODs*Low_Days))),0)</f>
        <v>0</v>
      </c>
      <c r="AY16" s="141">
        <f ca="1">IFERROR(IF(Inputs!$G$29="No", IF(AY55=1, 'Rates Table'!AY16*Low_Utilised_Capacity, IF($E$2="Homepower Bulk",'Rates Table'!AY16*9*Inputs!$G$27,'Rates Table'!AY16*PODs*Low_Days)), IF(AY55=1, 'Rates Table'!AY16*Low_Utilised_Capacity_New_TOU, IF($E$2="Homepower Bulk",'Rates Table'!AY16*9*Inputs!$G$27,'Rates Table'!AY16*PODs*Low_Days))),0)</f>
        <v>0</v>
      </c>
      <c r="AZ16" s="141">
        <f ca="1">IFERROR(IF(Inputs!$G$29="No", IF(AZ55=1, 'Rates Table'!AZ16*Low_Utilised_Capacity, IF($E$2="Homepower Bulk",'Rates Table'!AZ16*9*Inputs!$G$27,'Rates Table'!AZ16*PODs*Low_Days)), IF(AZ55=1, 'Rates Table'!AZ16*Low_Utilised_Capacity_New_TOU, IF($E$2="Homepower Bulk",'Rates Table'!AZ16*9*Inputs!$G$27,'Rates Table'!AZ16*PODs*Low_Days))),0)</f>
        <v>0</v>
      </c>
      <c r="BA16" s="141">
        <f ca="1">IFERROR(IF(Inputs!$G$29="No", IF(BA55=1, 'Rates Table'!BA16*Low_Utilised_Capacity, IF($E$2="Homepower Bulk",'Rates Table'!BA16*9*Inputs!$G$27,'Rates Table'!BA16*PODs*Low_Days)), IF(BA55=1, 'Rates Table'!BA16*Low_Utilised_Capacity_New_TOU, IF($E$2="Homepower Bulk",'Rates Table'!BA16*9*Inputs!$G$27,'Rates Table'!BA16*PODs*Low_Days))),0)</f>
        <v>3600.87</v>
      </c>
      <c r="BB16" s="141">
        <f ca="1">IFERROR(IF(Inputs!$G$29="No", IF(BB55=1, 'Rates Table'!BB16*Low_Utilised_Capacity, IF($E$2="Homepower Bulk",'Rates Table'!BB16*9*Inputs!$G$27,'Rates Table'!BB16*PODs*Low_Days)), IF(BB55=1, 'Rates Table'!BB16*Low_Utilised_Capacity_New_TOU, IF($E$2="Homepower Bulk",'Rates Table'!BB16*9*Inputs!$G$27,'Rates Table'!BB16*PODs*Low_Days))),0)</f>
        <v>8037.1200000000008</v>
      </c>
      <c r="BC16" s="141">
        <f ca="1">IFERROR(IF(Inputs!$G$29="No", IF(BC55=1, 'Rates Table'!BC16*Low_Utilised_Capacity, IF($E$2="Homepower Bulk",'Rates Table'!BC16*9*Inputs!$G$27,'Rates Table'!BC16*PODs*Low_Days)), IF(BC55=1, 'Rates Table'!BC16*Low_Utilised_Capacity_New_TOU, IF($E$2="Homepower Bulk",'Rates Table'!BC16*9*Inputs!$G$27,'Rates Table'!BC16*PODs*Low_Days))),0)</f>
        <v>17168.97</v>
      </c>
      <c r="BD16" s="141">
        <f ca="1">IFERROR(IF(Inputs!$G$29="No", IF(BD55=1, 'Rates Table'!BD16*Low_Utilised_Capacity, IF($E$2="Homepower Bulk",'Rates Table'!BD16*9*Inputs!$G$27,'Rates Table'!BD16*PODs*Low_Days)), IF(BD55=1, 'Rates Table'!BD16*Low_Utilised_Capacity_New_TOU, IF($E$2="Homepower Bulk",'Rates Table'!BD16*9*Inputs!$G$27,'Rates Table'!BD16*PODs*Low_Days))),0)</f>
        <v>2478.84</v>
      </c>
      <c r="BE16" s="141">
        <f ca="1">IFERROR(IF(Inputs!$G$29="No", IF(BE55=1, 'Rates Table'!BE16*Low_Utilised_Capacity, IF($E$2="Homepower Bulk",'Rates Table'!BE16*9*Inputs!$G$27,'Rates Table'!BE16*PODs*Low_Days)), IF(BE55=1, 'Rates Table'!BE16*Low_Utilised_Capacity_New_TOU, IF($E$2="Homepower Bulk",'Rates Table'!BE16*9*Inputs!$G$27,'Rates Table'!BE16*PODs*Low_Days))),0)</f>
        <v>16426.41</v>
      </c>
      <c r="BF16" s="141">
        <f ca="1">IFERROR(IF(Inputs!$G$29="No", IF(BF55=1, 'Rates Table'!BF16*Low_Utilised_Capacity, IF($E$2="Homepower Bulk",'Rates Table'!BF16*9*Inputs!$G$27,'Rates Table'!BF16*PODs*Low_Days)), IF(BF55=1, 'Rates Table'!BF16*Low_Utilised_Capacity_New_TOU, IF($E$2="Homepower Bulk",'Rates Table'!BF16*9*Inputs!$G$27,'Rates Table'!BF16*PODs*Low_Days))),0)</f>
        <v>18468.45</v>
      </c>
      <c r="BG16" s="141">
        <f ca="1">IFERROR(IF(Inputs!$G$29="No", IF(BG55=1, 'Rates Table'!BG16*Low_Utilised_Capacity, IF($E$2="Homepower Bulk",'Rates Table'!BG16*9*Inputs!$G$27,'Rates Table'!BG16*PODs*Low_Days)), IF(BG55=1, 'Rates Table'!BG16*Low_Utilised_Capacity_New_TOU, IF($E$2="Homepower Bulk",'Rates Table'!BG16*9*Inputs!$G$27,'Rates Table'!BG16*PODs*Low_Days))),0)</f>
        <v>28798.769999999997</v>
      </c>
      <c r="BH16" s="141">
        <f ca="1">IFERROR(IF(Inputs!$G$29="No", IF(BH55=1, 'Rates Table'!BH16*Low_Utilised_Capacity, IF($E$2="Homepower Bulk",'Rates Table'!BH16*9*Inputs!$G$27,'Rates Table'!BH16*PODs*Low_Days)), IF(BH55=1, 'Rates Table'!BH16*Low_Utilised_Capacity_New_TOU, IF($E$2="Homepower Bulk",'Rates Table'!BH16*9*Inputs!$G$27,'Rates Table'!BH16*PODs*Low_Days))),0)</f>
        <v>46117.89</v>
      </c>
      <c r="BI16" s="141">
        <f ca="1">IFERROR(IF(Inputs!$G$29="No", IF(BI55=1, 'Rates Table'!BI16*Low_Utilised_Capacity, IF($E$2="Homepower Bulk",'Rates Table'!BI16*9*Inputs!$G$27,'Rates Table'!BI16*PODs*Low_Days)), IF(BI55=1, 'Rates Table'!BI16*Low_Utilised_Capacity_New_TOU, IF($E$2="Homepower Bulk",'Rates Table'!BI16*9*Inputs!$G$27,'Rates Table'!BI16*PODs*Low_Days))),0)</f>
        <v>13633.619999999999</v>
      </c>
      <c r="BJ16" s="141">
        <f ca="1">IFERROR(IF(Inputs!$G$29="No", IF(BJ55=1, 'Rates Table'!BJ16*Low_Utilised_Capacity, IF($E$2="Homepower Bulk",'Rates Table'!BJ16*9*Inputs!$G$27,'Rates Table'!BJ16*PODs*Low_Days)), IF(BJ55=1, 'Rates Table'!BJ16*Low_Utilised_Capacity_New_TOU, IF($E$2="Homepower Bulk",'Rates Table'!BJ16*9*Inputs!$G$27,'Rates Table'!BJ16*PODs*Low_Days))),0)</f>
        <v>0</v>
      </c>
      <c r="BK16" s="141">
        <f ca="1">IFERROR(IF(Inputs!$G$29="No", IF(BK55=1, 'Rates Table'!BK16*Low_Utilised_Capacity, IF($E$2="Homepower Bulk",'Rates Table'!BK16*9*Inputs!$G$27,'Rates Table'!BK16*PODs*Low_Days)), IF(BK55=1, 'Rates Table'!BK16*Low_Utilised_Capacity_New_TOU, IF($E$2="Homepower Bulk",'Rates Table'!BK16*9*Inputs!$G$27,'Rates Table'!BK16*PODs*Low_Days))),0)</f>
        <v>0</v>
      </c>
      <c r="BL16" s="141">
        <f ca="1">IFERROR(IF(Inputs!$G$29="No", IF(BL55=1, 'Rates Table'!BL16*Low_Utilised_Capacity, IF($E$2="Homepower Bulk",'Rates Table'!BL16*9*Inputs!$G$27,'Rates Table'!BL16*PODs*Low_Days)), IF(BL55=1, 'Rates Table'!BL16*Low_Utilised_Capacity_New_TOU, IF($E$2="Homepower Bulk",'Rates Table'!BL16*9*Inputs!$G$27,'Rates Table'!BL16*PODs*Low_Days))),0)</f>
        <v>0</v>
      </c>
      <c r="BM16" s="141">
        <f ca="1">IFERROR(IF(Inputs!$G$29="No", IF(BM55=1, 'Rates Table'!BM16*Low_Utilised_Capacity, IF($E$2="Homepower Bulk",'Rates Table'!BM16*9*Inputs!$G$27,'Rates Table'!BM16*PODs*Low_Days)), IF(BM55=1, 'Rates Table'!BM16*Low_Utilised_Capacity_New_TOU, IF($E$2="Homepower Bulk",'Rates Table'!BM16*9*Inputs!$G$27,'Rates Table'!BM16*PODs*Low_Days))),0)</f>
        <v>0</v>
      </c>
      <c r="BN16" s="141">
        <f ca="1">IFERROR(IF(Inputs!$G$29="No", IF(BN55=1, 'Rates Table'!BN16*Low_Utilised_Capacity, IF($E$2="Homepower Bulk",'Rates Table'!BN16*9*Inputs!$G$27,'Rates Table'!BN16*PODs*Low_Days)), IF(BN55=1, 'Rates Table'!BN16*Low_Utilised_Capacity_New_TOU, IF($E$2="Homepower Bulk",'Rates Table'!BN16*9*Inputs!$G$27,'Rates Table'!BN16*PODs*Low_Days))),0)</f>
        <v>0</v>
      </c>
      <c r="BO16" s="141">
        <f ca="1">IFERROR(IF(Inputs!$G$29="No", IF(BO55=1, 'Rates Table'!BO16*Low_Utilised_Capacity, IF($E$2="Homepower Bulk",'Rates Table'!BO16*9*Inputs!$G$27,'Rates Table'!BO16*PODs*Low_Days)), IF(BO55=1, 'Rates Table'!BO16*Low_Utilised_Capacity_New_TOU, IF($E$2="Homepower Bulk",'Rates Table'!BO16*9*Inputs!$G$27,'Rates Table'!BO16*PODs*Low_Days))),0)</f>
        <v>0</v>
      </c>
      <c r="BP16" s="141">
        <f ca="1">IFERROR(IF(Inputs!$G$29="No", IF(BP55=1, 'Rates Table'!BP16*Low_Utilised_Capacity, IF($E$2="Homepower Bulk",'Rates Table'!BP16*9*Inputs!$G$27,'Rates Table'!BP16*PODs*Low_Days)), IF(BP55=1, 'Rates Table'!BP16*Low_Utilised_Capacity_New_TOU, IF($E$2="Homepower Bulk",'Rates Table'!BP16*9*Inputs!$G$27,'Rates Table'!BP16*PODs*Low_Days))),0)</f>
        <v>0</v>
      </c>
      <c r="BQ16" s="141">
        <f ca="1">IFERROR(IF(Inputs!$G$29="No", IF(BQ55=1, 'Rates Table'!BQ16*Low_Utilised_Capacity, IF($E$2="Homepower Bulk",'Rates Table'!BQ16*9*Inputs!$G$27,'Rates Table'!BQ16*PODs*Low_Days)), IF(BQ55=1, 'Rates Table'!BQ16*Low_Utilised_Capacity_New_TOU, IF($E$2="Homepower Bulk",'Rates Table'!BQ16*9*Inputs!$G$27,'Rates Table'!BQ16*PODs*Low_Days))),0)</f>
        <v>0</v>
      </c>
      <c r="BR16" s="141">
        <f ca="1">IFERROR(IF(Inputs!$G$29="No", IF(BR55=1, 'Rates Table'!BR16*Low_Utilised_Capacity, IF($E$2="Homepower Bulk",'Rates Table'!BR16*9*Inputs!$G$27,'Rates Table'!BR16*PODs*Low_Days)), IF(BR55=1, 'Rates Table'!BR16*Low_Utilised_Capacity_New_TOU, IF($E$2="Homepower Bulk",'Rates Table'!BR16*9*Inputs!$G$27,'Rates Table'!BR16*PODs*Low_Days))),0)</f>
        <v>0</v>
      </c>
      <c r="BS16" s="141">
        <f ca="1">IFERROR(IF(Inputs!$G$29="No", IF(BS55=1, 'Rates Table'!BS16*Low_Utilised_Capacity, IF($E$2="Homepower Bulk",'Rates Table'!BS16*9*Inputs!$G$27,'Rates Table'!BS16*PODs*Low_Days)), IF(BS55=1, 'Rates Table'!BS16*Low_Utilised_Capacity_New_TOU, IF($E$2="Homepower Bulk",'Rates Table'!BS16*9*Inputs!$G$27,'Rates Table'!BS16*PODs*Low_Days))),0)</f>
        <v>0</v>
      </c>
      <c r="BT16" s="141">
        <f ca="1">IFERROR(IF(Inputs!$G$29="No", IF(BT55=1, 'Rates Table'!BT16*Low_Utilised_Capacity, IF($E$2="Homepower Bulk",'Rates Table'!BT16*9*Inputs!$G$27,'Rates Table'!BT16*PODs*Low_Days)), IF(BT55=1, 'Rates Table'!BT16*Low_Utilised_Capacity_New_TOU, IF($E$2="Homepower Bulk",'Rates Table'!BT16*9*Inputs!$G$27,'Rates Table'!BT16*PODs*Low_Days))),0)</f>
        <v>0</v>
      </c>
      <c r="BU16" s="141">
        <f ca="1">IFERROR(IF(Inputs!$G$29="No", IF(BU55=1, 'Rates Table'!BU16*Low_Utilised_Capacity, IF($E$2="Homepower Bulk",'Rates Table'!BU16*9*Inputs!$G$27,'Rates Table'!BU16*PODs*Low_Days)), IF(BU55=1, 'Rates Table'!BU16*Low_Utilised_Capacity_New_TOU, IF($E$2="Homepower Bulk",'Rates Table'!BU16*9*Inputs!$G$27,'Rates Table'!BU16*PODs*Low_Days))),0)</f>
        <v>0</v>
      </c>
      <c r="BV16" s="141">
        <f ca="1">IFERROR(IF(Inputs!$G$29="No", IF(BV55=1, 'Rates Table'!BV16*Low_Utilised_Capacity, IF($E$2="Homepower Bulk",'Rates Table'!BV16*9*Inputs!$G$27,'Rates Table'!BV16*PODs*Low_Days)), IF(BV55=1, 'Rates Table'!BV16*Low_Utilised_Capacity_New_TOU, IF($E$2="Homepower Bulk",'Rates Table'!BV16*9*Inputs!$G$27,'Rates Table'!BV16*PODs*Low_Days))),0)</f>
        <v>0</v>
      </c>
      <c r="BW16" s="141">
        <f ca="1">IFERROR(IF(Inputs!$G$29="No", IF(BW55=1, 'Rates Table'!BW16*Low_Utilised_Capacity, IF($E$2="Homepower Bulk",'Rates Table'!BW16*9*Inputs!$G$27,'Rates Table'!BW16*PODs*Low_Days)), IF(BW55=1, 'Rates Table'!BW16*Low_Utilised_Capacity_New_TOU, IF($E$2="Homepower Bulk",'Rates Table'!BW16*9*Inputs!$G$27,'Rates Table'!BW16*PODs*Low_Days))),0)</f>
        <v>0</v>
      </c>
      <c r="BX16" s="141">
        <f ca="1">IFERROR(IF(Inputs!$G$29="No", IF(BX55=1, 'Rates Table'!BX16*Low_Utilised_Capacity, IF($E$2="Homepower Bulk",'Rates Table'!BX16*9*Inputs!$G$27,'Rates Table'!BX16*PODs*Low_Days)), IF(BX55=1, 'Rates Table'!BX16*Low_Utilised_Capacity_New_TOU, IF($E$2="Homepower Bulk",'Rates Table'!BX16*9*Inputs!$G$27,'Rates Table'!BX16*PODs*Low_Days))),0)</f>
        <v>0</v>
      </c>
      <c r="BY16" s="141">
        <f ca="1">IFERROR(IF(Inputs!$G$29="No", IF(BY55=1, 'Rates Table'!BY16*Low_Utilised_Capacity, IF($E$2="Homepower Bulk",'Rates Table'!BY16*9*Inputs!$G$27,'Rates Table'!BY16*PODs*Low_Days)), IF(BY55=1, 'Rates Table'!BY16*Low_Utilised_Capacity_New_TOU, IF($E$2="Homepower Bulk",'Rates Table'!BY16*9*Inputs!$G$27,'Rates Table'!BY16*PODs*Low_Days))),0)</f>
        <v>0</v>
      </c>
      <c r="BZ16" s="141">
        <f ca="1">IFERROR(IF(Inputs!$G$29="No", IF(BZ55=1, 'Rates Table'!BZ16*Low_Utilised_Capacity, IF($E$2="Homepower Bulk",'Rates Table'!BZ16*9*Inputs!$G$27,'Rates Table'!BZ16*PODs*Low_Days)), IF(BZ55=1, 'Rates Table'!BZ16*Low_Utilised_Capacity_New_TOU, IF($E$2="Homepower Bulk",'Rates Table'!BZ16*9*Inputs!$G$27,'Rates Table'!BZ16*PODs*Low_Days))),0)</f>
        <v>0</v>
      </c>
      <c r="CA16" s="141">
        <f ca="1">IFERROR(IF(Inputs!$G$29="No", IF(CA55=1, 'Rates Table'!CA16*Low_Utilised_Capacity, IF($E$2="Homepower Bulk",'Rates Table'!CA16*9*Inputs!$G$27,'Rates Table'!CA16*PODs*Low_Days)), IF(CA55=1, 'Rates Table'!CA16*Low_Utilised_Capacity_New_TOU, IF($E$2="Homepower Bulk",'Rates Table'!CA16*9*Inputs!$G$27,'Rates Table'!CA16*PODs*Low_Days))),0)</f>
        <v>3600.87</v>
      </c>
      <c r="CB16" s="141">
        <f ca="1">IFERROR(IF(Inputs!$G$29="No", IF(CB55=1, 'Rates Table'!CB16*Low_Utilised_Capacity, IF($E$2="Homepower Bulk",'Rates Table'!CB16*9*Inputs!$G$27,'Rates Table'!CB16*PODs*Low_Days)), IF(CB55=1, 'Rates Table'!CB16*Low_Utilised_Capacity_New_TOU, IF($E$2="Homepower Bulk",'Rates Table'!CB16*9*Inputs!$G$27,'Rates Table'!CB16*PODs*Low_Days))),0)</f>
        <v>8037.1200000000008</v>
      </c>
      <c r="CC16" s="141">
        <f ca="1">IFERROR(IF(Inputs!$G$29="No", IF(CC55=1, 'Rates Table'!CC16*Low_Utilised_Capacity, IF($E$2="Homepower Bulk",'Rates Table'!CC16*9*Inputs!$G$27,'Rates Table'!CC16*PODs*Low_Days)), IF(CC55=1, 'Rates Table'!CC16*Low_Utilised_Capacity_New_TOU, IF($E$2="Homepower Bulk",'Rates Table'!CC16*9*Inputs!$G$27,'Rates Table'!CC16*PODs*Low_Days))),0)</f>
        <v>17168.97</v>
      </c>
      <c r="CD16" s="141">
        <f ca="1">IFERROR(IF(Inputs!$G$29="No", IF(CD55=1, 'Rates Table'!CD16*Low_Utilised_Capacity, IF($E$2="Homepower Bulk",'Rates Table'!CD16*9*Inputs!$G$27,'Rates Table'!CD16*PODs*Low_Days)), IF(CD55=1, 'Rates Table'!CD16*Low_Utilised_Capacity_New_TOU, IF($E$2="Homepower Bulk",'Rates Table'!CD16*9*Inputs!$G$27,'Rates Table'!CD16*PODs*Low_Days))),0)</f>
        <v>2478.84</v>
      </c>
      <c r="CE16" s="141">
        <f ca="1">IFERROR(IF(Inputs!$G$29="No", IF(CE55=1, 'Rates Table'!CE16*Low_Utilised_Capacity, IF($E$2="Homepower Bulk",'Rates Table'!CE16*9*Inputs!$G$27,'Rates Table'!CE16*PODs*Low_Days)), IF(CE55=1, 'Rates Table'!CE16*Low_Utilised_Capacity_New_TOU, IF($E$2="Homepower Bulk",'Rates Table'!CE16*9*Inputs!$G$27,'Rates Table'!CE16*PODs*Low_Days))),0)</f>
        <v>0</v>
      </c>
      <c r="CF16" s="141">
        <f ca="1">IFERROR(IF(Inputs!$G$29="No", IF(CF55=1, 'Rates Table'!CF16*Low_Utilised_Capacity, IF($E$2="Homepower Bulk",'Rates Table'!CF16*9*Inputs!$G$27,'Rates Table'!CF16*PODs*Low_Days)), IF(CF55=1, 'Rates Table'!CF16*Low_Utilised_Capacity_New_TOU, IF($E$2="Homepower Bulk",'Rates Table'!CF16*9*Inputs!$G$27,'Rates Table'!CF16*PODs*Low_Days))),0)</f>
        <v>0</v>
      </c>
    </row>
    <row r="17" spans="2:84" s="138" customFormat="1" ht="4.05" customHeight="1"/>
    <row r="18" spans="2:84" s="138" customFormat="1">
      <c r="B18" s="142" t="s">
        <v>119</v>
      </c>
      <c r="C18" s="142"/>
      <c r="D18" s="143"/>
      <c r="E18" s="143">
        <f ca="1">SUM(E10:E16)</f>
        <v>0</v>
      </c>
      <c r="F18" s="143">
        <f ca="1">SUM(F10:F16)</f>
        <v>5552.82</v>
      </c>
      <c r="G18" s="143">
        <f t="shared" ref="G18:AK18" ca="1" si="9">SUM(G10:G16)</f>
        <v>8247.33</v>
      </c>
      <c r="H18" s="143">
        <f t="shared" ca="1" si="9"/>
        <v>20578.739999999998</v>
      </c>
      <c r="I18" s="143">
        <f t="shared" ca="1" si="9"/>
        <v>0</v>
      </c>
      <c r="J18" s="143">
        <f t="shared" ca="1" si="9"/>
        <v>0</v>
      </c>
      <c r="K18" s="143">
        <f t="shared" ca="1" si="9"/>
        <v>0</v>
      </c>
      <c r="L18" s="143">
        <f t="shared" ca="1" si="9"/>
        <v>3311.4900000000002</v>
      </c>
      <c r="M18" s="143">
        <f t="shared" ca="1" si="9"/>
        <v>7390.11</v>
      </c>
      <c r="N18" s="143">
        <f t="shared" ca="1" si="9"/>
        <v>15784.86</v>
      </c>
      <c r="O18" s="143">
        <f t="shared" ca="1" si="9"/>
        <v>2279.5499999999997</v>
      </c>
      <c r="P18" s="143">
        <f t="shared" ca="1" si="9"/>
        <v>15102.36</v>
      </c>
      <c r="Q18" s="143">
        <f t="shared" ca="1" si="9"/>
        <v>16980.600000000002</v>
      </c>
      <c r="R18" s="143">
        <f t="shared" ca="1" si="9"/>
        <v>26478.269999999997</v>
      </c>
      <c r="S18" s="143">
        <f t="shared" ca="1" si="9"/>
        <v>42402.36</v>
      </c>
      <c r="T18" s="143">
        <f t="shared" ca="1" si="9"/>
        <v>12536.16</v>
      </c>
      <c r="U18" s="143">
        <f t="shared" ca="1" si="9"/>
        <v>0</v>
      </c>
      <c r="V18" s="143">
        <f t="shared" ca="1" si="9"/>
        <v>0</v>
      </c>
      <c r="W18" s="143">
        <f t="shared" ca="1" si="9"/>
        <v>0</v>
      </c>
      <c r="X18" s="143">
        <f t="shared" ca="1" si="9"/>
        <v>0</v>
      </c>
      <c r="Y18" s="143">
        <f t="shared" ca="1" si="9"/>
        <v>0</v>
      </c>
      <c r="Z18" s="143">
        <f t="shared" ca="1" si="9"/>
        <v>0</v>
      </c>
      <c r="AA18" s="143">
        <f t="shared" ca="1" si="9"/>
        <v>0</v>
      </c>
      <c r="AB18" s="143">
        <f t="shared" ca="1" si="9"/>
        <v>0</v>
      </c>
      <c r="AC18" s="143">
        <f t="shared" ca="1" si="9"/>
        <v>0</v>
      </c>
      <c r="AD18" s="143">
        <f t="shared" ca="1" si="9"/>
        <v>0</v>
      </c>
      <c r="AE18" s="143">
        <f t="shared" ca="1" si="9"/>
        <v>0</v>
      </c>
      <c r="AF18" s="143">
        <f t="shared" ca="1" si="9"/>
        <v>0</v>
      </c>
      <c r="AG18" s="143">
        <f t="shared" ca="1" si="9"/>
        <v>0</v>
      </c>
      <c r="AH18" s="143">
        <f t="shared" ca="1" si="9"/>
        <v>0</v>
      </c>
      <c r="AI18" s="143">
        <f t="shared" ca="1" si="9"/>
        <v>0</v>
      </c>
      <c r="AJ18" s="143">
        <f t="shared" ca="1" si="9"/>
        <v>0</v>
      </c>
      <c r="AK18" s="143">
        <f t="shared" ca="1" si="9"/>
        <v>0</v>
      </c>
      <c r="AL18" s="143">
        <f t="shared" ref="AL18:AR18" ca="1" si="10">SUM(AL10:AL16)</f>
        <v>3311.4900000000002</v>
      </c>
      <c r="AM18" s="143">
        <f t="shared" ca="1" si="10"/>
        <v>7390.11</v>
      </c>
      <c r="AN18" s="143">
        <f t="shared" ca="1" si="10"/>
        <v>15784.86</v>
      </c>
      <c r="AO18" s="143">
        <f t="shared" ca="1" si="10"/>
        <v>2279.5499999999997</v>
      </c>
      <c r="AP18" s="143">
        <f t="shared" ca="1" si="10"/>
        <v>0</v>
      </c>
      <c r="AQ18" s="143">
        <f t="shared" ca="1" si="10"/>
        <v>0</v>
      </c>
      <c r="AR18" s="143">
        <f t="shared" ca="1" si="10"/>
        <v>0</v>
      </c>
      <c r="AT18" s="143">
        <f ca="1">SUM(AT10:AT16)</f>
        <v>0</v>
      </c>
      <c r="AU18" s="143">
        <f t="shared" ref="AU18:CF18" ca="1" si="11">SUM(AU10:AU16)</f>
        <v>6038.76</v>
      </c>
      <c r="AV18" s="143">
        <f t="shared" ca="1" si="11"/>
        <v>8970.7800000000007</v>
      </c>
      <c r="AW18" s="143">
        <f t="shared" ca="1" si="11"/>
        <v>22380.54</v>
      </c>
      <c r="AX18" s="143">
        <f t="shared" ca="1" si="11"/>
        <v>0</v>
      </c>
      <c r="AY18" s="143">
        <f t="shared" ca="1" si="11"/>
        <v>0</v>
      </c>
      <c r="AZ18" s="143">
        <f t="shared" ca="1" si="11"/>
        <v>0</v>
      </c>
      <c r="BA18" s="143">
        <f t="shared" ca="1" si="11"/>
        <v>3600.87</v>
      </c>
      <c r="BB18" s="143">
        <f t="shared" ca="1" si="11"/>
        <v>8037.1200000000008</v>
      </c>
      <c r="BC18" s="143">
        <f t="shared" ca="1" si="11"/>
        <v>17168.97</v>
      </c>
      <c r="BD18" s="143">
        <f t="shared" ca="1" si="11"/>
        <v>2478.84</v>
      </c>
      <c r="BE18" s="143">
        <f t="shared" ca="1" si="11"/>
        <v>16426.41</v>
      </c>
      <c r="BF18" s="143">
        <f t="shared" ca="1" si="11"/>
        <v>18468.45</v>
      </c>
      <c r="BG18" s="143">
        <f t="shared" ca="1" si="11"/>
        <v>28798.769999999997</v>
      </c>
      <c r="BH18" s="143">
        <f t="shared" ca="1" si="11"/>
        <v>46117.89</v>
      </c>
      <c r="BI18" s="143">
        <f t="shared" ca="1" si="11"/>
        <v>13633.619999999999</v>
      </c>
      <c r="BJ18" s="143">
        <f t="shared" ca="1" si="11"/>
        <v>0</v>
      </c>
      <c r="BK18" s="143">
        <f t="shared" ca="1" si="11"/>
        <v>0</v>
      </c>
      <c r="BL18" s="143">
        <f t="shared" ca="1" si="11"/>
        <v>0</v>
      </c>
      <c r="BM18" s="143">
        <f t="shared" ca="1" si="11"/>
        <v>0</v>
      </c>
      <c r="BN18" s="143">
        <f t="shared" ca="1" si="11"/>
        <v>0</v>
      </c>
      <c r="BO18" s="143">
        <f t="shared" ca="1" si="11"/>
        <v>0</v>
      </c>
      <c r="BP18" s="143">
        <f t="shared" ca="1" si="11"/>
        <v>0</v>
      </c>
      <c r="BQ18" s="143">
        <f t="shared" ca="1" si="11"/>
        <v>0</v>
      </c>
      <c r="BR18" s="143">
        <f t="shared" ca="1" si="11"/>
        <v>0</v>
      </c>
      <c r="BS18" s="143">
        <f t="shared" ca="1" si="11"/>
        <v>0</v>
      </c>
      <c r="BT18" s="143">
        <f t="shared" ca="1" si="11"/>
        <v>0</v>
      </c>
      <c r="BU18" s="143">
        <f t="shared" ca="1" si="11"/>
        <v>0</v>
      </c>
      <c r="BV18" s="143">
        <f t="shared" ca="1" si="11"/>
        <v>0</v>
      </c>
      <c r="BW18" s="143">
        <f t="shared" ca="1" si="11"/>
        <v>0</v>
      </c>
      <c r="BX18" s="143">
        <f t="shared" ca="1" si="11"/>
        <v>0</v>
      </c>
      <c r="BY18" s="143">
        <f t="shared" ca="1" si="11"/>
        <v>0</v>
      </c>
      <c r="BZ18" s="143">
        <f t="shared" ca="1" si="11"/>
        <v>0</v>
      </c>
      <c r="CA18" s="143">
        <f t="shared" ca="1" si="11"/>
        <v>3600.87</v>
      </c>
      <c r="CB18" s="143">
        <f t="shared" ca="1" si="11"/>
        <v>8037.1200000000008</v>
      </c>
      <c r="CC18" s="143">
        <f t="shared" ca="1" si="11"/>
        <v>17168.97</v>
      </c>
      <c r="CD18" s="143">
        <f t="shared" ca="1" si="11"/>
        <v>2478.84</v>
      </c>
      <c r="CE18" s="143">
        <f t="shared" ca="1" si="11"/>
        <v>0</v>
      </c>
      <c r="CF18" s="143">
        <f t="shared" ca="1" si="11"/>
        <v>0</v>
      </c>
    </row>
    <row r="20" spans="2:84" ht="30.75" customHeight="1">
      <c r="B20" s="24" t="s">
        <v>204</v>
      </c>
      <c r="C20" s="24"/>
      <c r="D20" s="23" t="s">
        <v>110</v>
      </c>
      <c r="E20" s="23" t="str">
        <f>E$8</f>
        <v>2025/26 Rates</v>
      </c>
      <c r="F20" s="23" t="str">
        <f t="shared" ref="F20:AR20" si="12">F$8</f>
        <v>2025/26 Rates</v>
      </c>
      <c r="G20" s="23" t="str">
        <f t="shared" si="12"/>
        <v>2025/26 Rates</v>
      </c>
      <c r="H20" s="23" t="str">
        <f t="shared" si="12"/>
        <v>2025/26 Rates</v>
      </c>
      <c r="I20" s="23" t="str">
        <f t="shared" si="12"/>
        <v>2025/26 Rates</v>
      </c>
      <c r="J20" s="23" t="str">
        <f t="shared" si="12"/>
        <v>2025/26 Rates</v>
      </c>
      <c r="K20" s="23" t="str">
        <f t="shared" si="12"/>
        <v>2025/26 Rates</v>
      </c>
      <c r="L20" s="23" t="str">
        <f t="shared" si="12"/>
        <v>2025/26 Rates</v>
      </c>
      <c r="M20" s="23" t="str">
        <f t="shared" si="12"/>
        <v>2025/26 Rates</v>
      </c>
      <c r="N20" s="23" t="str">
        <f t="shared" si="12"/>
        <v>2025/26 Rates</v>
      </c>
      <c r="O20" s="23" t="str">
        <f t="shared" si="12"/>
        <v>2025/26 Rates</v>
      </c>
      <c r="P20" s="23" t="str">
        <f t="shared" si="12"/>
        <v>2025/26 Rates</v>
      </c>
      <c r="Q20" s="23" t="str">
        <f t="shared" si="12"/>
        <v>2025/26 Rates</v>
      </c>
      <c r="R20" s="23" t="str">
        <f t="shared" si="12"/>
        <v>2025/26 Rates</v>
      </c>
      <c r="S20" s="23" t="str">
        <f t="shared" si="12"/>
        <v>2025/26 Rates</v>
      </c>
      <c r="T20" s="23" t="str">
        <f t="shared" si="12"/>
        <v>2025/26 Rates</v>
      </c>
      <c r="U20" s="23" t="str">
        <f t="shared" si="12"/>
        <v>2025/26 Rates</v>
      </c>
      <c r="V20" s="23" t="str">
        <f t="shared" si="12"/>
        <v>2025/26 Rates</v>
      </c>
      <c r="W20" s="23" t="str">
        <f t="shared" si="12"/>
        <v>2025/26 Rates</v>
      </c>
      <c r="X20" s="23" t="str">
        <f t="shared" si="12"/>
        <v>2025/26 Rates</v>
      </c>
      <c r="Y20" s="23" t="str">
        <f t="shared" si="12"/>
        <v>2025/26 Rates</v>
      </c>
      <c r="Z20" s="23" t="str">
        <f t="shared" si="12"/>
        <v>2025/26 Rates</v>
      </c>
      <c r="AA20" s="23" t="str">
        <f t="shared" si="12"/>
        <v>2025/26 Rates</v>
      </c>
      <c r="AB20" s="23" t="str">
        <f t="shared" si="12"/>
        <v>2025/26 Rates</v>
      </c>
      <c r="AC20" s="23" t="str">
        <f t="shared" si="12"/>
        <v>2025/26 Rates</v>
      </c>
      <c r="AD20" s="23" t="str">
        <f t="shared" si="12"/>
        <v>2025/26 Rates</v>
      </c>
      <c r="AE20" s="23" t="str">
        <f t="shared" si="12"/>
        <v>2025/26 Rates</v>
      </c>
      <c r="AF20" s="23" t="str">
        <f t="shared" si="12"/>
        <v>2025/26 Rates</v>
      </c>
      <c r="AG20" s="23" t="str">
        <f t="shared" si="12"/>
        <v>2025/26 Rates</v>
      </c>
      <c r="AH20" s="23" t="str">
        <f t="shared" si="12"/>
        <v>2025/26 Rates</v>
      </c>
      <c r="AI20" s="23" t="str">
        <f t="shared" si="12"/>
        <v>2025/26 Rates</v>
      </c>
      <c r="AJ20" s="23" t="str">
        <f t="shared" si="12"/>
        <v>2025/26 Rates</v>
      </c>
      <c r="AK20" s="23" t="str">
        <f t="shared" si="12"/>
        <v>2025/26 Rates</v>
      </c>
      <c r="AL20" s="23" t="str">
        <f t="shared" si="12"/>
        <v>2025/26 Rates</v>
      </c>
      <c r="AM20" s="23" t="str">
        <f t="shared" si="12"/>
        <v>2025/26 Rates</v>
      </c>
      <c r="AN20" s="23" t="str">
        <f t="shared" si="12"/>
        <v>2025/26 Rates</v>
      </c>
      <c r="AO20" s="23" t="str">
        <f t="shared" si="12"/>
        <v>2025/26 Rates</v>
      </c>
      <c r="AP20" s="23" t="str">
        <f t="shared" si="12"/>
        <v>2025/26 Rates</v>
      </c>
      <c r="AQ20" s="23" t="str">
        <f t="shared" si="12"/>
        <v>2025/26 Rates</v>
      </c>
      <c r="AR20" s="23" t="str">
        <f t="shared" si="12"/>
        <v>2025/26 Rates</v>
      </c>
      <c r="AT20" s="23" t="str">
        <f>AT$8</f>
        <v>2026/27 Rates</v>
      </c>
      <c r="AU20" s="23" t="str">
        <f t="shared" ref="AU20:CF20" si="13">AU$8</f>
        <v>2026/27 Rates</v>
      </c>
      <c r="AV20" s="23" t="str">
        <f t="shared" si="13"/>
        <v>2026/27 Rates</v>
      </c>
      <c r="AW20" s="23" t="str">
        <f t="shared" si="13"/>
        <v>2026/27 Rates</v>
      </c>
      <c r="AX20" s="23" t="str">
        <f t="shared" si="13"/>
        <v>2026/27 Rates</v>
      </c>
      <c r="AY20" s="23" t="str">
        <f t="shared" si="13"/>
        <v>2026/27 Rates</v>
      </c>
      <c r="AZ20" s="23" t="str">
        <f t="shared" si="13"/>
        <v>2026/27 Rates</v>
      </c>
      <c r="BA20" s="23" t="str">
        <f t="shared" si="13"/>
        <v>2026/27 Rates</v>
      </c>
      <c r="BB20" s="23" t="str">
        <f t="shared" si="13"/>
        <v>2026/27 Rates</v>
      </c>
      <c r="BC20" s="23" t="str">
        <f t="shared" si="13"/>
        <v>2026/27 Rates</v>
      </c>
      <c r="BD20" s="23" t="str">
        <f t="shared" si="13"/>
        <v>2026/27 Rates</v>
      </c>
      <c r="BE20" s="23" t="str">
        <f t="shared" si="13"/>
        <v>2026/27 Rates</v>
      </c>
      <c r="BF20" s="23" t="str">
        <f t="shared" si="13"/>
        <v>2026/27 Rates</v>
      </c>
      <c r="BG20" s="23" t="str">
        <f t="shared" si="13"/>
        <v>2026/27 Rates</v>
      </c>
      <c r="BH20" s="23" t="str">
        <f t="shared" si="13"/>
        <v>2026/27 Rates</v>
      </c>
      <c r="BI20" s="23" t="str">
        <f t="shared" si="13"/>
        <v>2026/27 Rates</v>
      </c>
      <c r="BJ20" s="23" t="str">
        <f t="shared" si="13"/>
        <v>2026/27 Rates</v>
      </c>
      <c r="BK20" s="23" t="str">
        <f t="shared" si="13"/>
        <v>2026/27 Rates</v>
      </c>
      <c r="BL20" s="23" t="str">
        <f t="shared" si="13"/>
        <v>2026/27 Rates</v>
      </c>
      <c r="BM20" s="23" t="str">
        <f t="shared" si="13"/>
        <v>2026/27 Rates</v>
      </c>
      <c r="BN20" s="23" t="str">
        <f t="shared" si="13"/>
        <v>2026/27 Rates</v>
      </c>
      <c r="BO20" s="23" t="str">
        <f t="shared" si="13"/>
        <v>2026/27 Rates</v>
      </c>
      <c r="BP20" s="23" t="str">
        <f t="shared" si="13"/>
        <v>2026/27 Rates</v>
      </c>
      <c r="BQ20" s="23" t="str">
        <f t="shared" si="13"/>
        <v>2026/27 Rates</v>
      </c>
      <c r="BR20" s="23" t="str">
        <f t="shared" si="13"/>
        <v>2026/27 Rates</v>
      </c>
      <c r="BS20" s="23" t="str">
        <f t="shared" si="13"/>
        <v>2026/27 Rates</v>
      </c>
      <c r="BT20" s="23" t="str">
        <f t="shared" si="13"/>
        <v>2026/27 Rates</v>
      </c>
      <c r="BU20" s="23" t="str">
        <f t="shared" si="13"/>
        <v>2026/27 Rates</v>
      </c>
      <c r="BV20" s="23" t="str">
        <f t="shared" si="13"/>
        <v>2026/27 Rates</v>
      </c>
      <c r="BW20" s="23" t="str">
        <f t="shared" si="13"/>
        <v>2026/27 Rates</v>
      </c>
      <c r="BX20" s="23" t="str">
        <f t="shared" si="13"/>
        <v>2026/27 Rates</v>
      </c>
      <c r="BY20" s="23" t="str">
        <f t="shared" si="13"/>
        <v>2026/27 Rates</v>
      </c>
      <c r="BZ20" s="23" t="str">
        <f t="shared" si="13"/>
        <v>2026/27 Rates</v>
      </c>
      <c r="CA20" s="23" t="str">
        <f t="shared" si="13"/>
        <v>2026/27 Rates</v>
      </c>
      <c r="CB20" s="23" t="str">
        <f t="shared" si="13"/>
        <v>2026/27 Rates</v>
      </c>
      <c r="CC20" s="23" t="str">
        <f t="shared" si="13"/>
        <v>2026/27 Rates</v>
      </c>
      <c r="CD20" s="23" t="str">
        <f t="shared" si="13"/>
        <v>2026/27 Rates</v>
      </c>
      <c r="CE20" s="23" t="str">
        <f t="shared" si="13"/>
        <v>2026/27 Rates</v>
      </c>
      <c r="CF20" s="23" t="str">
        <f t="shared" si="13"/>
        <v>2026/27 Rates</v>
      </c>
    </row>
    <row r="21" spans="2:84" ht="4.05" customHeight="1"/>
    <row r="22" spans="2:84" s="138" customFormat="1">
      <c r="C22" s="138" t="s">
        <v>120</v>
      </c>
      <c r="D22" s="139" t="s">
        <v>106</v>
      </c>
      <c r="E22" s="140">
        <f t="shared" ref="E22:E32" ca="1" si="14">INDEX(F22:AR22,0,$F$2)</f>
        <v>0</v>
      </c>
      <c r="F22" s="141">
        <f ca="1">IFERROR('Rates Table'!F37*IF(Inputs!$G$29="No",Low_Peak,Low_Peak_Exist_TOU),0)/100</f>
        <v>0</v>
      </c>
      <c r="G22" s="141">
        <f ca="1">IFERROR('Rates Table'!G37*IF(Inputs!$G$29="No",Low_Peak,Low_Peak_Exist_TOU),0)/100</f>
        <v>0</v>
      </c>
      <c r="H22" s="141">
        <f ca="1">IFERROR('Rates Table'!H37*IF(Inputs!$G$29="No",Low_Peak,Low_Peak_Exist_TOU),0)/100</f>
        <v>0</v>
      </c>
      <c r="I22" s="141">
        <f ca="1">IFERROR('Rates Table'!I37*IF(Inputs!$G$29="No",Low_Peak,Low_Peak_Exist_TOU),0)/100</f>
        <v>0</v>
      </c>
      <c r="J22" s="141">
        <f ca="1">IFERROR('Rates Table'!J37*IF(Inputs!$G$29="No",Low_Peak,Low_Peak_Exist_TOU),0)/100</f>
        <v>0</v>
      </c>
      <c r="K22" s="141">
        <f ca="1">IFERROR('Rates Table'!K37*IF(Inputs!$G$29="No",Low_Peak,Low_Peak_Exist_TOU),0)/100</f>
        <v>0</v>
      </c>
      <c r="L22" s="141">
        <f ca="1">IFERROR('Rates Table'!L37*IF(Inputs!$G$29="No",Low_Peak,Low_Peak_Exist_TOU),0)/100</f>
        <v>0</v>
      </c>
      <c r="M22" s="141">
        <f ca="1">IFERROR('Rates Table'!M37*IF(Inputs!$G$29="No",Low_Peak,Low_Peak_Exist_TOU),0)/100</f>
        <v>0</v>
      </c>
      <c r="N22" s="141">
        <f ca="1">IFERROR('Rates Table'!N37*IF(Inputs!$G$29="No",Low_Peak,Low_Peak_Exist_TOU),0)/100</f>
        <v>0</v>
      </c>
      <c r="O22" s="141">
        <f ca="1">IFERROR('Rates Table'!O37*IF(Inputs!$G$29="No",Low_Peak,Low_Peak_Exist_TOU),0)/100</f>
        <v>0</v>
      </c>
      <c r="P22" s="141">
        <f ca="1">IFERROR('Rates Table'!P37*IF(Inputs!$G$29="No",Low_Peak,Low_Peak_Exist_TOU),0)/100</f>
        <v>0</v>
      </c>
      <c r="Q22" s="141">
        <f ca="1">IFERROR('Rates Table'!Q37*IF(Inputs!$G$29="No",Low_Peak,Low_Peak_Exist_TOU),0)/100</f>
        <v>0</v>
      </c>
      <c r="R22" s="141">
        <f ca="1">IFERROR('Rates Table'!R37*IF(Inputs!$G$29="No",Low_Peak,Low_Peak_Exist_TOU),0)/100</f>
        <v>0</v>
      </c>
      <c r="S22" s="141">
        <f ca="1">IFERROR('Rates Table'!S37*IF(Inputs!$G$29="No",Low_Peak,Low_Peak_Exist_TOU),0)/100</f>
        <v>0</v>
      </c>
      <c r="T22" s="141">
        <f ca="1">IFERROR('Rates Table'!T37*IF(Inputs!$G$29="No",Low_Peak,Low_Peak_Exist_TOU),0)/100</f>
        <v>0</v>
      </c>
      <c r="U22" s="141">
        <f ca="1">IFERROR('Rates Table'!U37*IF(Inputs!$G$29="No",Low_Peak,Low_Peak_Exist_TOU),0)/100</f>
        <v>0</v>
      </c>
      <c r="V22" s="141">
        <f ca="1">IFERROR('Rates Table'!V37*IF(Inputs!$G$29="No",Low_Peak,Low_Peak_Exist_TOU),0)/100</f>
        <v>0</v>
      </c>
      <c r="W22" s="141">
        <f ca="1">IFERROR('Rates Table'!W37*IF(Inputs!$G$29="No",Low_Peak,Low_Peak_Exist_TOU),0)/100</f>
        <v>0</v>
      </c>
      <c r="X22" s="141">
        <f ca="1">IF(OR(E2="Nightsave Large",E2="Nightsave Small"),E22,IFERROR('Rates Table'!X22*IF(Inputs!$G$29="No",Low_Peak,Low_Peak_Exist_TOU),0)/100)</f>
        <v>0</v>
      </c>
      <c r="Y22" s="141">
        <f ca="1">IFERROR('Rates Table'!Y37*IF(Inputs!$G$29="No",Low_Peak,Low_Peak_Exist_TOU),0)/100</f>
        <v>0</v>
      </c>
      <c r="Z22" s="141">
        <f ca="1">IFERROR('Rates Table'!Z37*IF(Inputs!$G$29="No",Low_Peak,Low_Peak_Exist_TOU),0)/100</f>
        <v>0</v>
      </c>
      <c r="AA22" s="141">
        <f ca="1">IFERROR('Rates Table'!AA37*IF(Inputs!$G$29="No",Low_Peak,Low_Peak_Exist_TOU),0)/100</f>
        <v>0</v>
      </c>
      <c r="AB22" s="141">
        <f ca="1">IFERROR('Rates Table'!AB37*IF(Inputs!$G$29="No",Low_Peak,Low_Peak_Exist_TOU),0)/100</f>
        <v>0</v>
      </c>
      <c r="AC22" s="141">
        <f ca="1">IFERROR('Rates Table'!AC37*IF(Inputs!$G$29="No",Low_Peak,Low_Peak_Exist_TOU),0)/100</f>
        <v>0</v>
      </c>
      <c r="AD22" s="141">
        <f ca="1">IFERROR('Rates Table'!AD37*IF(Inputs!$G$29="No",Low_Peak,Low_Peak_Exist_TOU),0)/100</f>
        <v>0</v>
      </c>
      <c r="AE22" s="141">
        <f ca="1">IFERROR('Rates Table'!AE37*IF(Inputs!$G$29="No",Low_Peak,Low_Peak_Exist_TOU),0)/100</f>
        <v>0</v>
      </c>
      <c r="AF22" s="141">
        <f ca="1">IFERROR('Rates Table'!AF37*IF(Inputs!$G$29="No",Low_Peak,Low_Peak_Exist_TOU),0)/100</f>
        <v>0</v>
      </c>
      <c r="AG22" s="141">
        <f ca="1">IFERROR('Rates Table'!AG37*IF(Inputs!$G$29="No",Low_Peak,Low_Peak_Exist_TOU),0)/100</f>
        <v>0</v>
      </c>
      <c r="AH22" s="141">
        <f ca="1">IFERROR('Rates Table'!AH37*IF(Inputs!$G$29="No",Low_Peak,Low_Peak_Exist_TOU),0)/100</f>
        <v>0</v>
      </c>
      <c r="AI22" s="141">
        <f ca="1">IFERROR('Rates Table'!AI37*IF(Inputs!$G$29="No",Low_Peak,Low_Peak_Exist_TOU),0)/100</f>
        <v>0</v>
      </c>
      <c r="AJ22" s="141">
        <f ca="1">IFERROR('Rates Table'!AJ37*IF(Inputs!$G$29="No",Low_Peak,Low_Peak_Exist_TOU),0)/100</f>
        <v>0</v>
      </c>
      <c r="AK22" s="141">
        <f ca="1">IFERROR('Rates Table'!AK37*IF(Inputs!$G$29="No",Low_Peak,Low_Peak_Exist_TOU),0)/100</f>
        <v>0</v>
      </c>
      <c r="AL22" s="141">
        <f ca="1">IFERROR('Rates Table'!AL37*IF(Inputs!$G$29="No",Low_Peak,Low_Peak_Exist_TOU),0)/100</f>
        <v>0</v>
      </c>
      <c r="AM22" s="141">
        <f ca="1">IFERROR('Rates Table'!AM37*IF(Inputs!$G$29="No",Low_Peak,Low_Peak_Exist_TOU),0)/100</f>
        <v>0</v>
      </c>
      <c r="AN22" s="141">
        <f ca="1">IFERROR('Rates Table'!AN37*IF(Inputs!$G$29="No",Low_Peak,Low_Peak_Exist_TOU),0)/100</f>
        <v>0</v>
      </c>
      <c r="AO22" s="141">
        <f ca="1">IFERROR('Rates Table'!AO37*IF(Inputs!$G$29="No",Low_Peak,Low_Peak_Exist_TOU),0)/100</f>
        <v>0</v>
      </c>
      <c r="AP22" s="141">
        <f ca="1">IFERROR('Rates Table'!AP37*IF(Inputs!$G$29="No",Low_Peak,Low_Peak_Exist_TOU),0)/100</f>
        <v>0</v>
      </c>
      <c r="AQ22" s="141">
        <f ca="1">IFERROR('Rates Table'!AQ37*IF(Inputs!$G$29="No",Low_Peak,Low_Peak_Exist_TOU),0)/100</f>
        <v>0</v>
      </c>
      <c r="AR22" s="141">
        <f ca="1">IFERROR('Rates Table'!AR37*IF(Inputs!$G$29="No",Low_Peak,Low_Peak_Exist_TOU),0)/100</f>
        <v>0</v>
      </c>
      <c r="AT22" s="140">
        <f t="shared" ref="AT22:AT31" ca="1" si="15">INDEX(AU22:CF22,0,Selected_Tariff_ID)</f>
        <v>0</v>
      </c>
      <c r="AU22" s="141">
        <f ca="1">IFERROR('Rates Table'!AU37*IF(Inputs!$G$29="No",Low_Peak,Low_Peak_New_TOU),0)/100</f>
        <v>0</v>
      </c>
      <c r="AV22" s="141">
        <f ca="1">IFERROR('Rates Table'!AV37*IF(Inputs!$G$29="No",Low_Peak,Low_Peak_New_TOU),0)/100</f>
        <v>0</v>
      </c>
      <c r="AW22" s="141">
        <f ca="1">IFERROR('Rates Table'!AW37*IF(Inputs!$G$29="No",Low_Peak,Low_Peak_New_TOU),0)/100</f>
        <v>0</v>
      </c>
      <c r="AX22" s="141">
        <f ca="1">IFERROR('Rates Table'!AX37*IF(Inputs!$G$29="No",Low_Peak,Low_Peak_New_TOU),0)/100</f>
        <v>0</v>
      </c>
      <c r="AY22" s="141">
        <f ca="1">IFERROR('Rates Table'!AY37*IF(Inputs!$G$29="No",Low_Peak,Low_Peak_New_TOU),0)/100</f>
        <v>0</v>
      </c>
      <c r="AZ22" s="141">
        <f ca="1">IFERROR('Rates Table'!AZ37*IF(Inputs!$G$29="No",Low_Peak,Low_Peak_New_TOU),0)/100</f>
        <v>0</v>
      </c>
      <c r="BA22" s="141">
        <f ca="1">IFERROR('Rates Table'!BA37*IF(Inputs!$G$29="No",Low_Peak,Low_Peak_New_TOU),0)/100</f>
        <v>0</v>
      </c>
      <c r="BB22" s="141">
        <f ca="1">IFERROR('Rates Table'!BB37*IF(Inputs!$G$29="No",Low_Peak,Low_Peak_New_TOU),0)/100</f>
        <v>0</v>
      </c>
      <c r="BC22" s="141">
        <f ca="1">IFERROR('Rates Table'!BC37*IF(Inputs!$G$29="No",Low_Peak,Low_Peak_New_TOU),0)/100</f>
        <v>0</v>
      </c>
      <c r="BD22" s="141">
        <f ca="1">IFERROR('Rates Table'!BD37*IF(Inputs!$G$29="No",Low_Peak,Low_Peak_New_TOU),0)/100</f>
        <v>0</v>
      </c>
      <c r="BE22" s="141">
        <f ca="1">IFERROR('Rates Table'!BE37*IF(Inputs!$G$29="No",Low_Peak,Low_Peak_New_TOU),0)/100</f>
        <v>0</v>
      </c>
      <c r="BF22" s="141">
        <f ca="1">IFERROR('Rates Table'!BF37*IF(Inputs!$G$29="No",Low_Peak,Low_Peak_New_TOU),0)/100</f>
        <v>0</v>
      </c>
      <c r="BG22" s="141">
        <f ca="1">IFERROR('Rates Table'!BG37*IF(Inputs!$G$29="No",Low_Peak,Low_Peak_New_TOU),0)/100</f>
        <v>0</v>
      </c>
      <c r="BH22" s="141">
        <f ca="1">IFERROR('Rates Table'!BH37*IF(Inputs!$G$29="No",Low_Peak,Low_Peak_New_TOU),0)/100</f>
        <v>0</v>
      </c>
      <c r="BI22" s="141">
        <f ca="1">IFERROR('Rates Table'!BI37*IF(Inputs!$G$29="No",Low_Peak,Low_Peak_New_TOU),0)/100</f>
        <v>0</v>
      </c>
      <c r="BJ22" s="141">
        <f ca="1">IFERROR('Rates Table'!BJ37*IF(Inputs!$G$29="No",Low_Peak,Low_Peak_New_TOU),0)/100</f>
        <v>0</v>
      </c>
      <c r="BK22" s="141">
        <f ca="1">IFERROR('Rates Table'!BK37*IF(Inputs!$G$29="No",Low_Peak,Low_Peak_New_TOU),0)/100</f>
        <v>0</v>
      </c>
      <c r="BL22" s="141">
        <f ca="1">IFERROR('Rates Table'!BL37*IF(Inputs!$G$29="No",Low_Peak,Low_Peak_New_TOU),0)/100</f>
        <v>0</v>
      </c>
      <c r="BM22" s="141">
        <f ca="1">IFERROR('Rates Table'!BM37*IF(Inputs!$G$29="No",Low_Peak,Low_Peak_New_TOU),0)/100</f>
        <v>0</v>
      </c>
      <c r="BN22" s="141">
        <f ca="1">IFERROR('Rates Table'!BN37*IF(Inputs!$G$29="No",Low_Peak,Low_Peak_New_TOU),0)/100</f>
        <v>0</v>
      </c>
      <c r="BO22" s="141">
        <f ca="1">IFERROR('Rates Table'!BO37*IF(Inputs!$G$29="No",Low_Peak,Low_Peak_New_TOU),0)/100</f>
        <v>0</v>
      </c>
      <c r="BP22" s="141">
        <f ca="1">IFERROR('Rates Table'!BP37*IF(Inputs!$G$29="No",Low_Peak,Low_Peak_New_TOU),0)/100</f>
        <v>0</v>
      </c>
      <c r="BQ22" s="141">
        <f ca="1">IFERROR('Rates Table'!BQ37*IF(Inputs!$G$29="No",Low_Peak,Low_Peak_New_TOU),0)/100</f>
        <v>0</v>
      </c>
      <c r="BR22" s="141">
        <f ca="1">IFERROR('Rates Table'!BR37*IF(Inputs!$G$29="No",Low_Peak,Low_Peak_New_TOU),0)/100</f>
        <v>0</v>
      </c>
      <c r="BS22" s="141">
        <f ca="1">IFERROR('Rates Table'!BS37*IF(Inputs!$G$29="No",Low_Peak,Low_Peak_New_TOU),0)/100</f>
        <v>0</v>
      </c>
      <c r="BT22" s="141">
        <f ca="1">IFERROR('Rates Table'!BT37*IF(Inputs!$G$29="No",Low_Peak,Low_Peak_New_TOU),0)/100</f>
        <v>0</v>
      </c>
      <c r="BU22" s="141">
        <f ca="1">IFERROR('Rates Table'!BU37*IF(Inputs!$G$29="No",Low_Peak,Low_Peak_New_TOU),0)/100</f>
        <v>0</v>
      </c>
      <c r="BV22" s="141">
        <f ca="1">IFERROR('Rates Table'!BV37*IF(Inputs!$G$29="No",Low_Peak,Low_Peak_New_TOU),0)/100</f>
        <v>0</v>
      </c>
      <c r="BW22" s="141">
        <f ca="1">IFERROR('Rates Table'!BW37*IF(Inputs!$G$29="No",Low_Peak,Low_Peak_New_TOU),0)/100</f>
        <v>0</v>
      </c>
      <c r="BX22" s="141">
        <f ca="1">IFERROR('Rates Table'!BX37*IF(Inputs!$G$29="No",Low_Peak,Low_Peak_New_TOU),0)/100</f>
        <v>0</v>
      </c>
      <c r="BY22" s="141">
        <f ca="1">IFERROR('Rates Table'!BY37*IF(Inputs!$G$29="No",Low_Peak,Low_Peak_New_TOU),0)/100</f>
        <v>0</v>
      </c>
      <c r="BZ22" s="141">
        <f ca="1">IFERROR('Rates Table'!BZ37*IF(Inputs!$G$29="No",Low_Peak,Low_Peak_New_TOU),0)/100</f>
        <v>0</v>
      </c>
      <c r="CA22" s="141">
        <f ca="1">IFERROR('Rates Table'!CA37*IF(Inputs!$G$29="No",Low_Peak,Low_Peak_New_TOU),0)/100</f>
        <v>0</v>
      </c>
      <c r="CB22" s="141">
        <f ca="1">IFERROR('Rates Table'!CB37*IF(Inputs!$G$29="No",Low_Peak,Low_Peak_New_TOU),0)/100</f>
        <v>0</v>
      </c>
      <c r="CC22" s="141">
        <f ca="1">IFERROR('Rates Table'!CC37*IF(Inputs!$G$29="No",Low_Peak,Low_Peak_New_TOU),0)/100</f>
        <v>0</v>
      </c>
      <c r="CD22" s="141">
        <f ca="1">IFERROR('Rates Table'!CD37*IF(Inputs!$G$29="No",Low_Peak,Low_Peak_New_TOU),0)/100</f>
        <v>0</v>
      </c>
      <c r="CE22" s="141">
        <f ca="1">IFERROR('Rates Table'!CE37*IF(Inputs!$G$29="No",Low_Peak,Low_Peak_New_TOU),0)/100</f>
        <v>0</v>
      </c>
      <c r="CF22" s="141">
        <f ca="1">IFERROR('Rates Table'!CF37*IF(Inputs!$G$29="No",Low_Peak,Low_Peak_New_TOU),0)/100</f>
        <v>0</v>
      </c>
    </row>
    <row r="23" spans="2:84" s="138" customFormat="1">
      <c r="C23" s="138" t="s">
        <v>121</v>
      </c>
      <c r="D23" s="139" t="s">
        <v>106</v>
      </c>
      <c r="E23" s="140">
        <f t="shared" ca="1" si="14"/>
        <v>0</v>
      </c>
      <c r="F23" s="141">
        <f ca="1">IFERROR('Rates Table'!F38*IF(Inputs!$G$29="No",Low_Standard,Low_Standard_Exist_TOU),0)/100</f>
        <v>0</v>
      </c>
      <c r="G23" s="141">
        <f ca="1">IFERROR('Rates Table'!G38*IF(Inputs!$G$29="No",Low_Standard,Low_Standard_Exist_TOU),0)/100</f>
        <v>0</v>
      </c>
      <c r="H23" s="141">
        <f ca="1">IFERROR('Rates Table'!H38*IF(Inputs!$G$29="No",Low_Standard,Low_Standard_Exist_TOU),0)/100</f>
        <v>0</v>
      </c>
      <c r="I23" s="141">
        <f ca="1">IFERROR('Rates Table'!I38*IF(Inputs!$G$29="No",Low_Standard,Low_Standard_Exist_TOU),0)/100</f>
        <v>0</v>
      </c>
      <c r="J23" s="141">
        <f ca="1">IFERROR('Rates Table'!J38*IF(Inputs!$G$29="No",Low_Standard,Low_Standard_Exist_TOU),0)/100</f>
        <v>0</v>
      </c>
      <c r="K23" s="141">
        <f ca="1">IFERROR('Rates Table'!K38*IF(Inputs!$G$29="No",Low_Standard,Low_Standard_Exist_TOU),0)/100</f>
        <v>0</v>
      </c>
      <c r="L23" s="141">
        <f ca="1">IFERROR('Rates Table'!L38*IF(Inputs!$G$29="No",Low_Standard,Low_Standard_Exist_TOU),0)/100</f>
        <v>0</v>
      </c>
      <c r="M23" s="141">
        <f ca="1">IFERROR('Rates Table'!M38*IF(Inputs!$G$29="No",Low_Standard,Low_Standard_Exist_TOU),0)/100</f>
        <v>0</v>
      </c>
      <c r="N23" s="141">
        <f ca="1">IFERROR('Rates Table'!N38*IF(Inputs!$G$29="No",Low_Standard,Low_Standard_Exist_TOU),0)/100</f>
        <v>0</v>
      </c>
      <c r="O23" s="141">
        <f ca="1">IFERROR('Rates Table'!O38*IF(Inputs!$G$29="No",Low_Standard,Low_Standard_Exist_TOU),0)/100</f>
        <v>0</v>
      </c>
      <c r="P23" s="141">
        <f ca="1">IFERROR('Rates Table'!P38*IF(Inputs!$G$29="No",Low_Standard,Low_Standard_Exist_TOU),0)/100</f>
        <v>0</v>
      </c>
      <c r="Q23" s="141">
        <f ca="1">IFERROR('Rates Table'!Q38*IF(Inputs!$G$29="No",Low_Standard,Low_Standard_Exist_TOU),0)/100</f>
        <v>0</v>
      </c>
      <c r="R23" s="141">
        <f ca="1">IFERROR('Rates Table'!R38*IF(Inputs!$G$29="No",Low_Standard,Low_Standard_Exist_TOU),0)/100</f>
        <v>0</v>
      </c>
      <c r="S23" s="141">
        <f ca="1">IFERROR('Rates Table'!S38*IF(Inputs!$G$29="No",Low_Standard,Low_Standard_Exist_TOU),0)/100</f>
        <v>0</v>
      </c>
      <c r="T23" s="141">
        <f ca="1">IFERROR('Rates Table'!T38*IF(Inputs!$G$29="No",Low_Standard,Low_Standard_Exist_TOU),0)/100</f>
        <v>0</v>
      </c>
      <c r="U23" s="141">
        <f ca="1">IFERROR('Rates Table'!U38*IF(Inputs!$G$29="No",Low_Standard,Low_Standard_Exist_TOU),0)/100</f>
        <v>0</v>
      </c>
      <c r="V23" s="141">
        <f ca="1">IFERROR('Rates Table'!V38*IF(Inputs!$G$29="No",Low_Standard,Low_Standard_Exist_TOU),0)/100</f>
        <v>0</v>
      </c>
      <c r="W23" s="141">
        <f ca="1">IFERROR('Rates Table'!W38*IF(Inputs!$G$29="No",Low_Standard,Low_Standard_Exist_TOU),0)/100</f>
        <v>0</v>
      </c>
      <c r="X23" s="141">
        <f ca="1">IF(OR(E2="Nightsave Large",E2="Nightsave Small"),E23,IFERROR('Rates Table'!X23*IF(Inputs!$G$29="No",Low_Standard,Low_Standard_Exist_TOU),0)/100)</f>
        <v>0</v>
      </c>
      <c r="Y23" s="141">
        <f ca="1">IFERROR('Rates Table'!Y38*IF(Inputs!$G$29="No",Low_Standard,Low_Standard_Exist_TOU),0)/100</f>
        <v>0</v>
      </c>
      <c r="Z23" s="141">
        <f ca="1">IFERROR('Rates Table'!Z38*IF(Inputs!$G$29="No",Low_Standard,Low_Standard_Exist_TOU),0)/100</f>
        <v>0</v>
      </c>
      <c r="AA23" s="141">
        <f ca="1">IFERROR('Rates Table'!AA38*IF(Inputs!$G$29="No",Low_Standard,Low_Standard_Exist_TOU),0)/100</f>
        <v>0</v>
      </c>
      <c r="AB23" s="141">
        <f ca="1">IFERROR('Rates Table'!AB38*IF(Inputs!$G$29="No",Low_Standard,Low_Standard_Exist_TOU),0)/100</f>
        <v>0</v>
      </c>
      <c r="AC23" s="141">
        <f ca="1">IFERROR('Rates Table'!AC38*IF(Inputs!$G$29="No",Low_Standard,Low_Standard_Exist_TOU),0)/100</f>
        <v>0</v>
      </c>
      <c r="AD23" s="141">
        <f ca="1">IFERROR('Rates Table'!AD38*IF(Inputs!$G$29="No",Low_Standard,Low_Standard_Exist_TOU),0)/100</f>
        <v>0</v>
      </c>
      <c r="AE23" s="141">
        <f ca="1">IFERROR('Rates Table'!AE38*IF(Inputs!$G$29="No",Low_Standard,Low_Standard_Exist_TOU),0)/100</f>
        <v>0</v>
      </c>
      <c r="AF23" s="141">
        <f ca="1">IFERROR('Rates Table'!AF38*IF(Inputs!$G$29="No",Low_Standard,Low_Standard_Exist_TOU),0)/100</f>
        <v>0</v>
      </c>
      <c r="AG23" s="141">
        <f ca="1">IFERROR('Rates Table'!AG38*IF(Inputs!$G$29="No",Low_Standard,Low_Standard_Exist_TOU),0)/100</f>
        <v>0</v>
      </c>
      <c r="AH23" s="141">
        <f ca="1">IFERROR('Rates Table'!AH38*IF(Inputs!$G$29="No",Low_Standard,Low_Standard_Exist_TOU),0)/100</f>
        <v>0</v>
      </c>
      <c r="AI23" s="141">
        <f ca="1">IFERROR('Rates Table'!AI38*IF(Inputs!$G$29="No",Low_Standard,Low_Standard_Exist_TOU),0)/100</f>
        <v>0</v>
      </c>
      <c r="AJ23" s="141">
        <f ca="1">IFERROR('Rates Table'!AJ38*IF(Inputs!$G$29="No",Low_Standard,Low_Standard_Exist_TOU),0)/100</f>
        <v>0</v>
      </c>
      <c r="AK23" s="141">
        <f ca="1">IFERROR('Rates Table'!AK38*IF(Inputs!$G$29="No",Low_Standard,Low_Standard_Exist_TOU),0)/100</f>
        <v>0</v>
      </c>
      <c r="AL23" s="141">
        <f ca="1">IFERROR('Rates Table'!AL38*IF(Inputs!$G$29="No",Low_Standard,Low_Standard_Exist_TOU),0)/100</f>
        <v>0</v>
      </c>
      <c r="AM23" s="141">
        <f ca="1">IFERROR('Rates Table'!AM38*IF(Inputs!$G$29="No",Low_Standard,Low_Standard_Exist_TOU),0)/100</f>
        <v>0</v>
      </c>
      <c r="AN23" s="141">
        <f ca="1">IFERROR('Rates Table'!AN38*IF(Inputs!$G$29="No",Low_Standard,Low_Standard_Exist_TOU),0)/100</f>
        <v>0</v>
      </c>
      <c r="AO23" s="141">
        <f ca="1">IFERROR('Rates Table'!AO38*IF(Inputs!$G$29="No",Low_Standard,Low_Standard_Exist_TOU),0)/100</f>
        <v>0</v>
      </c>
      <c r="AP23" s="141">
        <f ca="1">IFERROR('Rates Table'!AP38*IF(Inputs!$G$29="No",Low_Standard,Low_Standard_Exist_TOU),0)/100</f>
        <v>0</v>
      </c>
      <c r="AQ23" s="141">
        <f ca="1">IFERROR('Rates Table'!AQ38*IF(Inputs!$G$29="No",Low_Standard,Low_Standard_Exist_TOU),0)/100</f>
        <v>0</v>
      </c>
      <c r="AR23" s="141">
        <f ca="1">IFERROR('Rates Table'!AR38*IF(Inputs!$G$29="No",Low_Standard,Low_Standard_Exist_TOU),0)/100</f>
        <v>0</v>
      </c>
      <c r="AT23" s="140">
        <f t="shared" ca="1" si="15"/>
        <v>0</v>
      </c>
      <c r="AU23" s="141">
        <f ca="1">IFERROR('Rates Table'!AU38*IF(Inputs!$G$29="No",Low_Standard,Low_Standard_New_TOU),0)/100</f>
        <v>0</v>
      </c>
      <c r="AV23" s="141">
        <f ca="1">IFERROR('Rates Table'!AV38*IF(Inputs!$G$29="No",Low_Standard,Low_Standard_New_TOU),0)/100</f>
        <v>0</v>
      </c>
      <c r="AW23" s="141">
        <f ca="1">IFERROR('Rates Table'!AW38*IF(Inputs!$G$29="No",Low_Standard,Low_Standard_New_TOU),0)/100</f>
        <v>0</v>
      </c>
      <c r="AX23" s="141">
        <f ca="1">IFERROR('Rates Table'!AX38*IF(Inputs!$G$29="No",Low_Standard,Low_Standard_New_TOU),0)/100</f>
        <v>0</v>
      </c>
      <c r="AY23" s="141">
        <f ca="1">IFERROR('Rates Table'!AY38*IF(Inputs!$G$29="No",Low_Standard,Low_Standard_New_TOU),0)/100</f>
        <v>0</v>
      </c>
      <c r="AZ23" s="141">
        <f ca="1">IFERROR('Rates Table'!AZ38*IF(Inputs!$G$29="No",Low_Standard,Low_Standard_New_TOU),0)/100</f>
        <v>0</v>
      </c>
      <c r="BA23" s="141">
        <f ca="1">IFERROR('Rates Table'!BA38*IF(Inputs!$G$29="No",Low_Standard,Low_Standard_New_TOU),0)/100</f>
        <v>0</v>
      </c>
      <c r="BB23" s="141">
        <f ca="1">IFERROR('Rates Table'!BB38*IF(Inputs!$G$29="No",Low_Standard,Low_Standard_New_TOU),0)/100</f>
        <v>0</v>
      </c>
      <c r="BC23" s="141">
        <f ca="1">IFERROR('Rates Table'!BC38*IF(Inputs!$G$29="No",Low_Standard,Low_Standard_New_TOU),0)/100</f>
        <v>0</v>
      </c>
      <c r="BD23" s="141">
        <f ca="1">IFERROR('Rates Table'!BD38*IF(Inputs!$G$29="No",Low_Standard,Low_Standard_New_TOU),0)/100</f>
        <v>0</v>
      </c>
      <c r="BE23" s="141">
        <f ca="1">IFERROR('Rates Table'!BE38*IF(Inputs!$G$29="No",Low_Standard,Low_Standard_New_TOU),0)/100</f>
        <v>0</v>
      </c>
      <c r="BF23" s="141">
        <f ca="1">IFERROR('Rates Table'!BF38*IF(Inputs!$G$29="No",Low_Standard,Low_Standard_New_TOU),0)/100</f>
        <v>0</v>
      </c>
      <c r="BG23" s="141">
        <f ca="1">IFERROR('Rates Table'!BG38*IF(Inputs!$G$29="No",Low_Standard,Low_Standard_New_TOU),0)/100</f>
        <v>0</v>
      </c>
      <c r="BH23" s="141">
        <f ca="1">IFERROR('Rates Table'!BH38*IF(Inputs!$G$29="No",Low_Standard,Low_Standard_New_TOU),0)/100</f>
        <v>0</v>
      </c>
      <c r="BI23" s="141">
        <f ca="1">IFERROR('Rates Table'!BI38*IF(Inputs!$G$29="No",Low_Standard,Low_Standard_New_TOU),0)/100</f>
        <v>0</v>
      </c>
      <c r="BJ23" s="141">
        <f ca="1">IFERROR('Rates Table'!BJ38*IF(Inputs!$G$29="No",Low_Standard,Low_Standard_New_TOU),0)/100</f>
        <v>0</v>
      </c>
      <c r="BK23" s="141">
        <f ca="1">IFERROR('Rates Table'!BK38*IF(Inputs!$G$29="No",Low_Standard,Low_Standard_New_TOU),0)/100</f>
        <v>0</v>
      </c>
      <c r="BL23" s="141">
        <f ca="1">IFERROR('Rates Table'!BL38*IF(Inputs!$G$29="No",Low_Standard,Low_Standard_New_TOU),0)/100</f>
        <v>0</v>
      </c>
      <c r="BM23" s="141">
        <f ca="1">IFERROR('Rates Table'!BM38*IF(Inputs!$G$29="No",Low_Standard,Low_Standard_New_TOU),0)/100</f>
        <v>0</v>
      </c>
      <c r="BN23" s="141">
        <f ca="1">IFERROR('Rates Table'!BN38*IF(Inputs!$G$29="No",Low_Standard,Low_Standard_New_TOU),0)/100</f>
        <v>0</v>
      </c>
      <c r="BO23" s="141">
        <f ca="1">IFERROR('Rates Table'!BO38*IF(Inputs!$G$29="No",Low_Standard,Low_Standard_New_TOU),0)/100</f>
        <v>0</v>
      </c>
      <c r="BP23" s="141">
        <f ca="1">IFERROR('Rates Table'!BP38*IF(Inputs!$G$29="No",Low_Standard,Low_Standard_New_TOU),0)/100</f>
        <v>0</v>
      </c>
      <c r="BQ23" s="141">
        <f ca="1">IFERROR('Rates Table'!BQ38*IF(Inputs!$G$29="No",Low_Standard,Low_Standard_New_TOU),0)/100</f>
        <v>0</v>
      </c>
      <c r="BR23" s="141">
        <f ca="1">IFERROR('Rates Table'!BR38*IF(Inputs!$G$29="No",Low_Standard,Low_Standard_New_TOU),0)/100</f>
        <v>0</v>
      </c>
      <c r="BS23" s="141">
        <f ca="1">IFERROR('Rates Table'!BS38*IF(Inputs!$G$29="No",Low_Standard,Low_Standard_New_TOU),0)/100</f>
        <v>0</v>
      </c>
      <c r="BT23" s="141">
        <f ca="1">IFERROR('Rates Table'!BT38*IF(Inputs!$G$29="No",Low_Standard,Low_Standard_New_TOU),0)/100</f>
        <v>0</v>
      </c>
      <c r="BU23" s="141">
        <f ca="1">IFERROR('Rates Table'!BU38*IF(Inputs!$G$29="No",Low_Standard,Low_Standard_New_TOU),0)/100</f>
        <v>0</v>
      </c>
      <c r="BV23" s="141">
        <f ca="1">IFERROR('Rates Table'!BV38*IF(Inputs!$G$29="No",Low_Standard,Low_Standard_New_TOU),0)/100</f>
        <v>0</v>
      </c>
      <c r="BW23" s="141">
        <f ca="1">IFERROR('Rates Table'!BW38*IF(Inputs!$G$29="No",Low_Standard,Low_Standard_New_TOU),0)/100</f>
        <v>0</v>
      </c>
      <c r="BX23" s="141">
        <f ca="1">IFERROR('Rates Table'!BX38*IF(Inputs!$G$29="No",Low_Standard,Low_Standard_New_TOU),0)/100</f>
        <v>0</v>
      </c>
      <c r="BY23" s="141">
        <f ca="1">IFERROR('Rates Table'!BY38*IF(Inputs!$G$29="No",Low_Standard,Low_Standard_New_TOU),0)/100</f>
        <v>0</v>
      </c>
      <c r="BZ23" s="141">
        <f ca="1">IFERROR('Rates Table'!BZ38*IF(Inputs!$G$29="No",Low_Standard,Low_Standard_New_TOU),0)/100</f>
        <v>0</v>
      </c>
      <c r="CA23" s="141">
        <f ca="1">IFERROR('Rates Table'!CA38*IF(Inputs!$G$29="No",Low_Standard,Low_Standard_New_TOU),0)/100</f>
        <v>0</v>
      </c>
      <c r="CB23" s="141">
        <f ca="1">IFERROR('Rates Table'!CB38*IF(Inputs!$G$29="No",Low_Standard,Low_Standard_New_TOU),0)/100</f>
        <v>0</v>
      </c>
      <c r="CC23" s="141">
        <f ca="1">IFERROR('Rates Table'!CC38*IF(Inputs!$G$29="No",Low_Standard,Low_Standard_New_TOU),0)/100</f>
        <v>0</v>
      </c>
      <c r="CD23" s="141">
        <f ca="1">IFERROR('Rates Table'!CD38*IF(Inputs!$G$29="No",Low_Standard,Low_Standard_New_TOU),0)/100</f>
        <v>0</v>
      </c>
      <c r="CE23" s="141">
        <f ca="1">IFERROR('Rates Table'!CE38*IF(Inputs!$G$29="No",Low_Standard,Low_Standard_New_TOU),0)/100</f>
        <v>0</v>
      </c>
      <c r="CF23" s="141">
        <f ca="1">IFERROR('Rates Table'!CF38*IF(Inputs!$G$29="No",Low_Standard,Low_Standard_New_TOU),0)/100</f>
        <v>0</v>
      </c>
    </row>
    <row r="24" spans="2:84" s="138" customFormat="1">
      <c r="C24" s="138" t="s">
        <v>122</v>
      </c>
      <c r="D24" s="139" t="s">
        <v>106</v>
      </c>
      <c r="E24" s="140">
        <f t="shared" ca="1" si="14"/>
        <v>0</v>
      </c>
      <c r="F24" s="141">
        <f ca="1">IFERROR('Rates Table'!F39*IF(Inputs!$G$29="No",Low_OffPeak,Low_OffPeak_Exist_TOU),0)/100</f>
        <v>0</v>
      </c>
      <c r="G24" s="141">
        <f ca="1">IFERROR('Rates Table'!G39*IF(Inputs!$G$29="No",Low_OffPeak,Low_OffPeak_Exist_TOU),0)/100</f>
        <v>0</v>
      </c>
      <c r="H24" s="141">
        <f ca="1">IFERROR('Rates Table'!H39*IF(Inputs!$G$29="No",Low_OffPeak,Low_OffPeak_Exist_TOU),0)/100</f>
        <v>0</v>
      </c>
      <c r="I24" s="141">
        <f ca="1">IFERROR('Rates Table'!I39*IF(Inputs!$G$29="No",Low_OffPeak,Low_OffPeak_Exist_TOU),0)/100</f>
        <v>0</v>
      </c>
      <c r="J24" s="141">
        <f ca="1">IFERROR('Rates Table'!J39*IF(Inputs!$G$29="No",Low_OffPeak,Low_OffPeak_Exist_TOU),0)/100</f>
        <v>0</v>
      </c>
      <c r="K24" s="141">
        <f ca="1">IFERROR('Rates Table'!K39*IF(Inputs!$G$29="No",Low_OffPeak,Low_OffPeak_Exist_TOU),0)/100</f>
        <v>0</v>
      </c>
      <c r="L24" s="141">
        <f ca="1">IFERROR('Rates Table'!L39*IF(Inputs!$G$29="No",Low_OffPeak,Low_OffPeak_Exist_TOU),0)/100</f>
        <v>0</v>
      </c>
      <c r="M24" s="141">
        <f ca="1">IFERROR('Rates Table'!M39*IF(Inputs!$G$29="No",Low_OffPeak,Low_OffPeak_Exist_TOU),0)/100</f>
        <v>0</v>
      </c>
      <c r="N24" s="141">
        <f ca="1">IFERROR('Rates Table'!N39*IF(Inputs!$G$29="No",Low_OffPeak,Low_OffPeak_Exist_TOU),0)/100</f>
        <v>0</v>
      </c>
      <c r="O24" s="141">
        <f ca="1">IFERROR('Rates Table'!O39*IF(Inputs!$G$29="No",Low_OffPeak,Low_OffPeak_Exist_TOU),0)/100</f>
        <v>0</v>
      </c>
      <c r="P24" s="141">
        <f ca="1">IFERROR('Rates Table'!P39*IF(Inputs!$G$29="No",Low_OffPeak,Low_OffPeak_Exist_TOU),0)/100</f>
        <v>0</v>
      </c>
      <c r="Q24" s="141">
        <f ca="1">IFERROR('Rates Table'!Q39*IF(Inputs!$G$29="No",Low_OffPeak,Low_OffPeak_Exist_TOU),0)/100</f>
        <v>0</v>
      </c>
      <c r="R24" s="141">
        <f ca="1">IFERROR('Rates Table'!R39*IF(Inputs!$G$29="No",Low_OffPeak,Low_OffPeak_Exist_TOU),0)/100</f>
        <v>0</v>
      </c>
      <c r="S24" s="141">
        <f ca="1">IFERROR('Rates Table'!S39*IF(Inputs!$G$29="No",Low_OffPeak,Low_OffPeak_Exist_TOU),0)/100</f>
        <v>0</v>
      </c>
      <c r="T24" s="141">
        <f ca="1">IFERROR('Rates Table'!T39*IF(Inputs!$G$29="No",Low_OffPeak,Low_OffPeak_Exist_TOU),0)/100</f>
        <v>0</v>
      </c>
      <c r="U24" s="141">
        <f ca="1">IFERROR('Rates Table'!U39*IF(Inputs!$G$29="No",Low_OffPeak,Low_OffPeak_Exist_TOU),0)/100</f>
        <v>0</v>
      </c>
      <c r="V24" s="141">
        <f ca="1">IFERROR('Rates Table'!V39*IF(Inputs!$G$29="No",Low_OffPeak,Low_OffPeak_Exist_TOU),0)/100</f>
        <v>0</v>
      </c>
      <c r="W24" s="141">
        <f ca="1">IFERROR('Rates Table'!W39*IF(Inputs!$G$29="No",Low_OffPeak,Low_OffPeak_Exist_TOU),0)/100</f>
        <v>0</v>
      </c>
      <c r="X24" s="141">
        <f ca="1">IF(OR(E2="Nightsave Large",E2="Nightsave Small"),E24,IFERROR('Rates Table'!X24*IF(Inputs!$G$29="No",Low_OffPeak,Low_OffPeak_Exist_TOU),0)/100)</f>
        <v>0</v>
      </c>
      <c r="Y24" s="141">
        <f ca="1">IFERROR('Rates Table'!Y39*IF(Inputs!$G$29="No",Low_OffPeak,Low_OffPeak_Exist_TOU),0)/100</f>
        <v>0</v>
      </c>
      <c r="Z24" s="141">
        <f ca="1">IFERROR('Rates Table'!Z39*IF(Inputs!$G$29="No",Low_OffPeak,Low_OffPeak_Exist_TOU),0)/100</f>
        <v>0</v>
      </c>
      <c r="AA24" s="141">
        <f ca="1">IFERROR('Rates Table'!AA39*IF(Inputs!$G$29="No",Low_OffPeak,Low_OffPeak_Exist_TOU),0)/100</f>
        <v>0</v>
      </c>
      <c r="AB24" s="141">
        <f ca="1">IFERROR('Rates Table'!AB39*IF(Inputs!$G$29="No",Low_OffPeak,Low_OffPeak_Exist_TOU),0)/100</f>
        <v>0</v>
      </c>
      <c r="AC24" s="141">
        <f ca="1">IFERROR('Rates Table'!AC39*IF(Inputs!$G$29="No",Low_OffPeak,Low_OffPeak_Exist_TOU),0)/100</f>
        <v>0</v>
      </c>
      <c r="AD24" s="141">
        <f ca="1">IFERROR('Rates Table'!AD39*IF(Inputs!$G$29="No",Low_OffPeak,Low_OffPeak_Exist_TOU),0)/100</f>
        <v>0</v>
      </c>
      <c r="AE24" s="141">
        <f ca="1">IFERROR('Rates Table'!AE39*IF(Inputs!$G$29="No",Low_OffPeak,Low_OffPeak_Exist_TOU),0)/100</f>
        <v>0</v>
      </c>
      <c r="AF24" s="141">
        <f ca="1">IFERROR('Rates Table'!AF39*IF(Inputs!$G$29="No",Low_OffPeak,Low_OffPeak_Exist_TOU),0)/100</f>
        <v>0</v>
      </c>
      <c r="AG24" s="141">
        <f ca="1">IFERROR('Rates Table'!AG39*IF(Inputs!$G$29="No",Low_OffPeak,Low_OffPeak_Exist_TOU),0)/100</f>
        <v>0</v>
      </c>
      <c r="AH24" s="141">
        <f ca="1">IFERROR('Rates Table'!AH39*IF(Inputs!$G$29="No",Low_OffPeak,Low_OffPeak_Exist_TOU),0)/100</f>
        <v>0</v>
      </c>
      <c r="AI24" s="141">
        <f ca="1">IFERROR('Rates Table'!AI39*IF(Inputs!$G$29="No",Low_OffPeak,Low_OffPeak_Exist_TOU),0)/100</f>
        <v>0</v>
      </c>
      <c r="AJ24" s="141">
        <f ca="1">IFERROR('Rates Table'!AJ39*IF(Inputs!$G$29="No",Low_OffPeak,Low_OffPeak_Exist_TOU),0)/100</f>
        <v>0</v>
      </c>
      <c r="AK24" s="141">
        <f ca="1">IFERROR('Rates Table'!AK39*IF(Inputs!$G$29="No",Low_OffPeak,Low_OffPeak_Exist_TOU),0)/100</f>
        <v>0</v>
      </c>
      <c r="AL24" s="141">
        <f ca="1">IFERROR('Rates Table'!AL39*IF(Inputs!$G$29="No",Low_OffPeak,Low_OffPeak_Exist_TOU),0)/100</f>
        <v>0</v>
      </c>
      <c r="AM24" s="141">
        <f ca="1">IFERROR('Rates Table'!AM39*IF(Inputs!$G$29="No",Low_OffPeak,Low_OffPeak_Exist_TOU),0)/100</f>
        <v>0</v>
      </c>
      <c r="AN24" s="141">
        <f ca="1">IFERROR('Rates Table'!AN39*IF(Inputs!$G$29="No",Low_OffPeak,Low_OffPeak_Exist_TOU),0)/100</f>
        <v>0</v>
      </c>
      <c r="AO24" s="141">
        <f ca="1">IFERROR('Rates Table'!AO39*IF(Inputs!$G$29="No",Low_OffPeak,Low_OffPeak_Exist_TOU),0)/100</f>
        <v>0</v>
      </c>
      <c r="AP24" s="141">
        <f ca="1">IFERROR('Rates Table'!AP39*IF(Inputs!$G$29="No",Low_OffPeak,Low_OffPeak_Exist_TOU),0)/100</f>
        <v>0</v>
      </c>
      <c r="AQ24" s="141">
        <f ca="1">IFERROR('Rates Table'!AQ39*IF(Inputs!$G$29="No",Low_OffPeak,Low_OffPeak_Exist_TOU),0)/100</f>
        <v>0</v>
      </c>
      <c r="AR24" s="141">
        <f ca="1">IFERROR('Rates Table'!AR39*IF(Inputs!$G$29="No",Low_OffPeak,Low_OffPeak_Exist_TOU),0)/100</f>
        <v>0</v>
      </c>
      <c r="AT24" s="140">
        <f t="shared" ca="1" si="15"/>
        <v>0</v>
      </c>
      <c r="AU24" s="141">
        <f ca="1">IFERROR('Rates Table'!AU39*IF(Inputs!$G$29="No",Low_OffPeak,Low_OffPeak_New_TOU),0)/100</f>
        <v>0</v>
      </c>
      <c r="AV24" s="141">
        <f ca="1">IFERROR('Rates Table'!AV39*IF(Inputs!$G$29="No",Low_OffPeak,Low_OffPeak_New_TOU),0)/100</f>
        <v>0</v>
      </c>
      <c r="AW24" s="141">
        <f ca="1">IFERROR('Rates Table'!AW39*IF(Inputs!$G$29="No",Low_OffPeak,Low_OffPeak_New_TOU),0)/100</f>
        <v>0</v>
      </c>
      <c r="AX24" s="141">
        <f ca="1">IFERROR('Rates Table'!AX39*IF(Inputs!$G$29="No",Low_OffPeak,Low_OffPeak_New_TOU),0)/100</f>
        <v>0</v>
      </c>
      <c r="AY24" s="141">
        <f ca="1">IFERROR('Rates Table'!AY39*IF(Inputs!$G$29="No",Low_OffPeak,Low_OffPeak_New_TOU),0)/100</f>
        <v>0</v>
      </c>
      <c r="AZ24" s="141">
        <f ca="1">IFERROR('Rates Table'!AZ39*IF(Inputs!$G$29="No",Low_OffPeak,Low_OffPeak_New_TOU),0)/100</f>
        <v>0</v>
      </c>
      <c r="BA24" s="141">
        <f ca="1">IFERROR('Rates Table'!BA39*IF(Inputs!$G$29="No",Low_OffPeak,Low_OffPeak_New_TOU),0)/100</f>
        <v>0</v>
      </c>
      <c r="BB24" s="141">
        <f ca="1">IFERROR('Rates Table'!BB39*IF(Inputs!$G$29="No",Low_OffPeak,Low_OffPeak_New_TOU),0)/100</f>
        <v>0</v>
      </c>
      <c r="BC24" s="141">
        <f ca="1">IFERROR('Rates Table'!BC39*IF(Inputs!$G$29="No",Low_OffPeak,Low_OffPeak_New_TOU),0)/100</f>
        <v>0</v>
      </c>
      <c r="BD24" s="141">
        <f ca="1">IFERROR('Rates Table'!BD39*IF(Inputs!$G$29="No",Low_OffPeak,Low_OffPeak_New_TOU),0)/100</f>
        <v>0</v>
      </c>
      <c r="BE24" s="141">
        <f ca="1">IFERROR('Rates Table'!BE39*IF(Inputs!$G$29="No",Low_OffPeak,Low_OffPeak_New_TOU),0)/100</f>
        <v>0</v>
      </c>
      <c r="BF24" s="141">
        <f ca="1">IFERROR('Rates Table'!BF39*IF(Inputs!$G$29="No",Low_OffPeak,Low_OffPeak_New_TOU),0)/100</f>
        <v>0</v>
      </c>
      <c r="BG24" s="141">
        <f ca="1">IFERROR('Rates Table'!BG39*IF(Inputs!$G$29="No",Low_OffPeak,Low_OffPeak_New_TOU),0)/100</f>
        <v>0</v>
      </c>
      <c r="BH24" s="141">
        <f ca="1">IFERROR('Rates Table'!BH39*IF(Inputs!$G$29="No",Low_OffPeak,Low_OffPeak_New_TOU),0)/100</f>
        <v>0</v>
      </c>
      <c r="BI24" s="141">
        <f ca="1">IFERROR('Rates Table'!BI39*IF(Inputs!$G$29="No",Low_OffPeak,Low_OffPeak_New_TOU),0)/100</f>
        <v>0</v>
      </c>
      <c r="BJ24" s="141">
        <f ca="1">IFERROR('Rates Table'!BJ39*IF(Inputs!$G$29="No",Low_OffPeak,Low_OffPeak_New_TOU),0)/100</f>
        <v>0</v>
      </c>
      <c r="BK24" s="141">
        <f ca="1">IFERROR('Rates Table'!BK39*IF(Inputs!$G$29="No",Low_OffPeak,Low_OffPeak_New_TOU),0)/100</f>
        <v>0</v>
      </c>
      <c r="BL24" s="141">
        <f ca="1">IFERROR('Rates Table'!BL39*IF(Inputs!$G$29="No",Low_OffPeak,Low_OffPeak_New_TOU),0)/100</f>
        <v>0</v>
      </c>
      <c r="BM24" s="141">
        <f ca="1">IFERROR('Rates Table'!BM39*IF(Inputs!$G$29="No",Low_OffPeak,Low_OffPeak_New_TOU),0)/100</f>
        <v>0</v>
      </c>
      <c r="BN24" s="141">
        <f ca="1">IFERROR('Rates Table'!BN39*IF(Inputs!$G$29="No",Low_OffPeak,Low_OffPeak_New_TOU),0)/100</f>
        <v>0</v>
      </c>
      <c r="BO24" s="141">
        <f ca="1">IFERROR('Rates Table'!BO39*IF(Inputs!$G$29="No",Low_OffPeak,Low_OffPeak_New_TOU),0)/100</f>
        <v>0</v>
      </c>
      <c r="BP24" s="141">
        <f ca="1">IFERROR('Rates Table'!BP39*IF(Inputs!$G$29="No",Low_OffPeak,Low_OffPeak_New_TOU),0)/100</f>
        <v>0</v>
      </c>
      <c r="BQ24" s="141">
        <f ca="1">IFERROR('Rates Table'!BQ39*IF(Inputs!$G$29="No",Low_OffPeak,Low_OffPeak_New_TOU),0)/100</f>
        <v>0</v>
      </c>
      <c r="BR24" s="141">
        <f ca="1">IFERROR('Rates Table'!BR39*IF(Inputs!$G$29="No",Low_OffPeak,Low_OffPeak_New_TOU),0)/100</f>
        <v>0</v>
      </c>
      <c r="BS24" s="141">
        <f ca="1">IFERROR('Rates Table'!BS39*IF(Inputs!$G$29="No",Low_OffPeak,Low_OffPeak_New_TOU),0)/100</f>
        <v>0</v>
      </c>
      <c r="BT24" s="141">
        <f ca="1">IFERROR('Rates Table'!BT39*IF(Inputs!$G$29="No",Low_OffPeak,Low_OffPeak_New_TOU),0)/100</f>
        <v>0</v>
      </c>
      <c r="BU24" s="141">
        <f ca="1">IFERROR('Rates Table'!BU39*IF(Inputs!$G$29="No",Low_OffPeak,Low_OffPeak_New_TOU),0)/100</f>
        <v>0</v>
      </c>
      <c r="BV24" s="141">
        <f ca="1">IFERROR('Rates Table'!BV39*IF(Inputs!$G$29="No",Low_OffPeak,Low_OffPeak_New_TOU),0)/100</f>
        <v>0</v>
      </c>
      <c r="BW24" s="141">
        <f ca="1">IFERROR('Rates Table'!BW39*IF(Inputs!$G$29="No",Low_OffPeak,Low_OffPeak_New_TOU),0)/100</f>
        <v>0</v>
      </c>
      <c r="BX24" s="141">
        <f ca="1">IFERROR('Rates Table'!BX39*IF(Inputs!$G$29="No",Low_OffPeak,Low_OffPeak_New_TOU),0)/100</f>
        <v>0</v>
      </c>
      <c r="BY24" s="141">
        <f ca="1">IFERROR('Rates Table'!BY39*IF(Inputs!$G$29="No",Low_OffPeak,Low_OffPeak_New_TOU),0)/100</f>
        <v>0</v>
      </c>
      <c r="BZ24" s="141">
        <f ca="1">IFERROR('Rates Table'!BZ39*IF(Inputs!$G$29="No",Low_OffPeak,Low_OffPeak_New_TOU),0)/100</f>
        <v>0</v>
      </c>
      <c r="CA24" s="141">
        <f ca="1">IFERROR('Rates Table'!CA39*IF(Inputs!$G$29="No",Low_OffPeak,Low_OffPeak_New_TOU),0)/100</f>
        <v>0</v>
      </c>
      <c r="CB24" s="141">
        <f ca="1">IFERROR('Rates Table'!CB39*IF(Inputs!$G$29="No",Low_OffPeak,Low_OffPeak_New_TOU),0)/100</f>
        <v>0</v>
      </c>
      <c r="CC24" s="141">
        <f ca="1">IFERROR('Rates Table'!CC39*IF(Inputs!$G$29="No",Low_OffPeak,Low_OffPeak_New_TOU),0)/100</f>
        <v>0</v>
      </c>
      <c r="CD24" s="141">
        <f ca="1">IFERROR('Rates Table'!CD39*IF(Inputs!$G$29="No",Low_OffPeak,Low_OffPeak_New_TOU),0)/100</f>
        <v>0</v>
      </c>
      <c r="CE24" s="141">
        <f ca="1">IFERROR('Rates Table'!CE39*IF(Inputs!$G$29="No",Low_OffPeak,Low_OffPeak_New_TOU),0)/100</f>
        <v>0</v>
      </c>
      <c r="CF24" s="141">
        <f ca="1">IFERROR('Rates Table'!CF39*IF(Inputs!$G$29="No",Low_OffPeak,Low_OffPeak_New_TOU),0)/100</f>
        <v>0</v>
      </c>
    </row>
    <row r="25" spans="2:84" s="138" customFormat="1" ht="13.5" customHeight="1">
      <c r="E25" s="140">
        <f t="shared" ca="1" si="14"/>
        <v>0</v>
      </c>
      <c r="AT25" s="140">
        <f t="shared" ca="1" si="15"/>
        <v>0</v>
      </c>
    </row>
    <row r="26" spans="2:84" s="138" customFormat="1">
      <c r="C26" s="138" t="s">
        <v>140</v>
      </c>
      <c r="D26" s="139" t="s">
        <v>106</v>
      </c>
      <c r="E26" s="140">
        <f t="shared" ca="1" si="14"/>
        <v>0</v>
      </c>
      <c r="F26" s="144">
        <f ca="1">IFERROR('Rates Table'!F41*IF(Inputs!$G$29="No",Low_Total_Energy,Low_Total_Energy_Exist_TOU),0)/100</f>
        <v>0</v>
      </c>
      <c r="G26" s="144">
        <f ca="1">IFERROR('Rates Table'!G41*IF(Inputs!$G$29="No",Low_Total_Energy,Low_Total_Energy_Exist_TOU),0)/100</f>
        <v>0</v>
      </c>
      <c r="H26" s="144">
        <f ca="1">IFERROR('Rates Table'!H41*IF(Inputs!$G$29="No",Low_Total_Energy,Low_Total_Energy_Exist_TOU),0)/100</f>
        <v>0</v>
      </c>
      <c r="I26" s="144">
        <f ca="1">IFERROR('Rates Table'!I41*IF(Inputs!$G$29="No",Low_Total_Energy,Low_Total_Energy_Exist_TOU),0)/100</f>
        <v>0</v>
      </c>
      <c r="J26" s="144">
        <f ca="1">IFERROR('Rates Table'!J41*IF(Inputs!$G$29="No",Low_Total_Energy,Low_Total_Energy_Exist_TOU),0)/100</f>
        <v>0</v>
      </c>
      <c r="K26" s="144">
        <f ca="1">IFERROR('Rates Table'!K41*IF(Inputs!$G$29="No",Low_Total_Energy,Low_Total_Energy_Exist_TOU),0)/100</f>
        <v>0</v>
      </c>
      <c r="L26" s="144">
        <f ca="1">IFERROR('Rates Table'!L41*IF(Inputs!$G$29="No",Low_Total_Energy,Low_Total_Energy_Exist_TOU),0)/100</f>
        <v>0</v>
      </c>
      <c r="M26" s="144">
        <f ca="1">IFERROR('Rates Table'!M41*IF(Inputs!$G$29="No",Low_Total_Energy,Low_Total_Energy_Exist_TOU),0)/100</f>
        <v>0</v>
      </c>
      <c r="N26" s="144">
        <f ca="1">IFERROR('Rates Table'!N41*IF(Inputs!$G$29="No",Low_Total_Energy,Low_Total_Energy_Exist_TOU),0)/100</f>
        <v>0</v>
      </c>
      <c r="O26" s="144">
        <f ca="1">IFERROR('Rates Table'!O41*IF(Inputs!$G$29="No",Low_Total_Energy,Low_Total_Energy_Exist_TOU),0)/100</f>
        <v>0</v>
      </c>
      <c r="P26" s="144">
        <f ca="1">IFERROR('Rates Table'!P41*IF(Inputs!$G$29="No",Low_Total_Energy,Low_Total_Energy_Exist_TOU),0)/100</f>
        <v>0</v>
      </c>
      <c r="Q26" s="144">
        <f ca="1">IFERROR('Rates Table'!Q41*IF(Inputs!$G$29="No",Low_Total_Energy,Low_Total_Energy_Exist_TOU),0)/100</f>
        <v>0</v>
      </c>
      <c r="R26" s="144">
        <f ca="1">IFERROR('Rates Table'!R41*IF(Inputs!$G$29="No",Low_Total_Energy,Low_Total_Energy_Exist_TOU),0)/100</f>
        <v>0</v>
      </c>
      <c r="S26" s="144">
        <f ca="1">IFERROR('Rates Table'!S41*IF(Inputs!$G$29="No",Low_Total_Energy,Low_Total_Energy_Exist_TOU),0)/100</f>
        <v>0</v>
      </c>
      <c r="T26" s="144">
        <f ca="1">IFERROR('Rates Table'!T41*IF(Inputs!$G$29="No",Low_Total_Energy,Low_Total_Energy_Exist_TOU),0)/100</f>
        <v>0</v>
      </c>
      <c r="U26" s="144">
        <f ca="1">IFERROR('Rates Table'!U41*IF(Inputs!$G$29="No",Low_Total_Energy,Low_Total_Energy_Exist_TOU),0)/100</f>
        <v>0</v>
      </c>
      <c r="V26" s="144">
        <f ca="1">IFERROR('Rates Table'!V41*IF(Inputs!$G$29="No",Low_Total_Energy,Low_Total_Energy_Exist_TOU),0)/100</f>
        <v>0</v>
      </c>
      <c r="W26" s="144">
        <f ca="1">IFERROR('Rates Table'!W41*IF(Inputs!$G$29="No",Low_Total_Energy,Low_Total_Energy_Exist_TOU),0)/100</f>
        <v>0</v>
      </c>
      <c r="X26" s="144">
        <f ca="1">IF(OR(E2="Nightsave Large",E2="Nightsave Small"),E26,IFERROR('Rates Table'!X41*IF(Inputs!$G$29="No",Low_Total_Energy,Low_Total_Energy_Exist_TOU),0)/100)</f>
        <v>0</v>
      </c>
      <c r="Y26" s="144">
        <f ca="1">IFERROR('Rates Table'!Y41*IF(Inputs!$G$29="No",Low_Total_Energy,Low_Total_Energy_Exist_TOU),0)/100</f>
        <v>0</v>
      </c>
      <c r="Z26" s="144">
        <f ca="1">IFERROR('Rates Table'!Z41*IF(Inputs!$G$29="No",Low_Total_Energy,Low_Total_Energy_Exist_TOU),0)/100</f>
        <v>0</v>
      </c>
      <c r="AA26" s="144">
        <f ca="1">IFERROR('Rates Table'!AA41*IF(Inputs!$G$29="No",Low_Total_Energy,Low_Total_Energy_Exist_TOU),0)/100</f>
        <v>0</v>
      </c>
      <c r="AB26" s="144">
        <f ca="1">IFERROR('Rates Table'!AB41*IF(Inputs!$G$29="No",Low_Total_Energy,Low_Total_Energy_Exist_TOU),0)/100</f>
        <v>0</v>
      </c>
      <c r="AC26" s="144">
        <f ca="1">IFERROR('Rates Table'!AC41*IF(Inputs!$G$29="No",Low_Total_Energy,Low_Total_Energy_Exist_TOU),0)/100</f>
        <v>0</v>
      </c>
      <c r="AD26" s="144">
        <f ca="1">IFERROR('Rates Table'!AD41*IF(Inputs!$G$29="No",Low_Total_Energy,Low_Total_Energy_Exist_TOU),0)/100</f>
        <v>0</v>
      </c>
      <c r="AE26" s="144">
        <f ca="1">IFERROR('Rates Table'!AE41*IF(Inputs!$G$29="No",Low_Total_Energy,Low_Total_Energy_Exist_TOU),0)/100</f>
        <v>0</v>
      </c>
      <c r="AF26" s="144">
        <f ca="1">IFERROR('Rates Table'!AF41*IF(Inputs!$G$29="No",Low_Total_Energy,Low_Total_Energy_Exist_TOU),0)/100</f>
        <v>0</v>
      </c>
      <c r="AG26" s="144">
        <f ca="1">IFERROR('Rates Table'!AG41*IF(Inputs!$G$29="No",Low_Total_Energy,Low_Total_Energy_Exist_TOU),0)/100</f>
        <v>0</v>
      </c>
      <c r="AH26" s="144">
        <f ca="1">IFERROR('Rates Table'!AH41*IF(Inputs!$G$29="No",Low_Total_Energy,Low_Total_Energy_Exist_TOU),0)/100</f>
        <v>0</v>
      </c>
      <c r="AI26" s="144">
        <f ca="1">IFERROR('Rates Table'!AI41*IF(Inputs!$G$29="No",Low_Total_Energy,Low_Total_Energy_Exist_TOU),0)/100</f>
        <v>0</v>
      </c>
      <c r="AJ26" s="144">
        <f ca="1">IFERROR('Rates Table'!AJ41*IF(Inputs!$G$29="No",Low_Total_Energy,Low_Total_Energy_Exist_TOU),0)/100</f>
        <v>0</v>
      </c>
      <c r="AK26" s="144">
        <f ca="1">IFERROR('Rates Table'!AK41*IF(Inputs!$G$29="No",Low_Total_Energy,Low_Total_Energy_Exist_TOU),0)/100</f>
        <v>0</v>
      </c>
      <c r="AL26" s="144">
        <f ca="1">IFERROR('Rates Table'!AL41*IF(Inputs!$G$29="No",Low_Total_Energy,Low_Total_Energy_Exist_TOU),0)/100</f>
        <v>0</v>
      </c>
      <c r="AM26" s="144">
        <f ca="1">IFERROR('Rates Table'!AM41*IF(Inputs!$G$29="No",Low_Total_Energy,Low_Total_Energy_Exist_TOU),0)/100</f>
        <v>0</v>
      </c>
      <c r="AN26" s="144">
        <f ca="1">IFERROR('Rates Table'!AN41*IF(Inputs!$G$29="No",Low_Total_Energy,Low_Total_Energy_Exist_TOU),0)/100</f>
        <v>0</v>
      </c>
      <c r="AO26" s="144">
        <f ca="1">IFERROR('Rates Table'!AO41*IF(Inputs!$G$29="No",Low_Total_Energy,Low_Total_Energy_Exist_TOU),0)/100</f>
        <v>0</v>
      </c>
      <c r="AP26" s="144">
        <f ca="1">IFERROR('Rates Table'!AP41*IF(Inputs!$G$29="No",Low_Total_Energy,Low_Total_Energy_Exist_TOU),0)/100</f>
        <v>0</v>
      </c>
      <c r="AQ26" s="144">
        <f ca="1">IFERROR('Rates Table'!AQ41*IF(Inputs!$G$29="No",Low_Total_Energy,Low_Total_Energy_Exist_TOU),0)/100</f>
        <v>0</v>
      </c>
      <c r="AR26" s="144">
        <f ca="1">IFERROR('Rates Table'!AR41*IF(Inputs!$G$29="No",Low_Total_Energy,Low_Total_Energy_Exist_TOU),0)/100</f>
        <v>0</v>
      </c>
      <c r="AT26" s="140">
        <f t="shared" ca="1" si="15"/>
        <v>0</v>
      </c>
      <c r="AU26" s="144">
        <f ca="1">IFERROR('Rates Table'!AU41*IF(Inputs!$G$29="No",Low_Total_Energy,Low_Total_Energy_New_TOU),0)/100</f>
        <v>0</v>
      </c>
      <c r="AV26" s="144">
        <f ca="1">IFERROR('Rates Table'!AV41*IF(Inputs!$G$29="No",Low_Total_Energy,Low_Total_Energy_New_TOU),0)/100</f>
        <v>0</v>
      </c>
      <c r="AW26" s="144">
        <f ca="1">IFERROR('Rates Table'!AW41*IF(Inputs!$G$29="No",Low_Total_Energy,Low_Total_Energy_New_TOU),0)/100</f>
        <v>0</v>
      </c>
      <c r="AX26" s="144">
        <f ca="1">IFERROR('Rates Table'!AX41*IF(Inputs!$G$29="No",Low_Total_Energy,Low_Total_Energy_New_TOU),0)/100</f>
        <v>0</v>
      </c>
      <c r="AY26" s="144">
        <f ca="1">IFERROR('Rates Table'!AY41*IF(Inputs!$G$29="No",Low_Total_Energy,Low_Total_Energy_New_TOU),0)/100</f>
        <v>0</v>
      </c>
      <c r="AZ26" s="144">
        <f ca="1">IFERROR('Rates Table'!AZ41*IF(Inputs!$G$29="No",Low_Total_Energy,Low_Total_Energy_New_TOU),0)/100</f>
        <v>0</v>
      </c>
      <c r="BA26" s="144">
        <f ca="1">IFERROR('Rates Table'!BA41*IF(Inputs!$G$29="No",Low_Total_Energy,Low_Total_Energy_New_TOU),0)/100</f>
        <v>0</v>
      </c>
      <c r="BB26" s="144">
        <f ca="1">IFERROR('Rates Table'!BB41*IF(Inputs!$G$29="No",Low_Total_Energy,Low_Total_Energy_New_TOU),0)/100</f>
        <v>0</v>
      </c>
      <c r="BC26" s="144">
        <f ca="1">IFERROR('Rates Table'!BC41*IF(Inputs!$G$29="No",Low_Total_Energy,Low_Total_Energy_New_TOU),0)/100</f>
        <v>0</v>
      </c>
      <c r="BD26" s="144">
        <f ca="1">IFERROR('Rates Table'!BD41*IF(Inputs!$G$29="No",Low_Total_Energy,Low_Total_Energy_New_TOU),0)/100</f>
        <v>0</v>
      </c>
      <c r="BE26" s="144">
        <f ca="1">IFERROR('Rates Table'!BE41*IF(Inputs!$G$29="No",Low_Total_Energy,Low_Total_Energy_New_TOU),0)/100</f>
        <v>0</v>
      </c>
      <c r="BF26" s="144">
        <f ca="1">IFERROR('Rates Table'!BF41*IF(Inputs!$G$29="No",Low_Total_Energy,Low_Total_Energy_New_TOU),0)/100</f>
        <v>0</v>
      </c>
      <c r="BG26" s="144">
        <f ca="1">IFERROR('Rates Table'!BG41*IF(Inputs!$G$29="No",Low_Total_Energy,Low_Total_Energy_New_TOU),0)/100</f>
        <v>0</v>
      </c>
      <c r="BH26" s="144">
        <f ca="1">IFERROR('Rates Table'!BH41*IF(Inputs!$G$29="No",Low_Total_Energy,Low_Total_Energy_New_TOU),0)/100</f>
        <v>0</v>
      </c>
      <c r="BI26" s="144">
        <f ca="1">IFERROR('Rates Table'!BI41*IF(Inputs!$G$29="No",Low_Total_Energy,Low_Total_Energy_New_TOU),0)/100</f>
        <v>0</v>
      </c>
      <c r="BJ26" s="144">
        <f ca="1">IFERROR('Rates Table'!BJ41*IF(Inputs!$G$29="No",Low_Total_Energy,Low_Total_Energy_New_TOU),0)/100</f>
        <v>0</v>
      </c>
      <c r="BK26" s="144">
        <f ca="1">IFERROR('Rates Table'!BK41*IF(Inputs!$G$29="No",Low_Total_Energy,Low_Total_Energy_New_TOU),0)/100</f>
        <v>0</v>
      </c>
      <c r="BL26" s="144">
        <f ca="1">IFERROR('Rates Table'!BL41*IF(Inputs!$G$29="No",Low_Total_Energy,Low_Total_Energy_New_TOU),0)/100</f>
        <v>0</v>
      </c>
      <c r="BM26" s="144">
        <f ca="1">IFERROR('Rates Table'!BM41*IF(Inputs!$G$29="No",Low_Total_Energy,Low_Total_Energy_New_TOU),0)/100</f>
        <v>0</v>
      </c>
      <c r="BN26" s="144">
        <f ca="1">IFERROR('Rates Table'!BN41*IF(Inputs!$G$29="No",Low_Total_Energy,Low_Total_Energy_New_TOU),0)/100</f>
        <v>0</v>
      </c>
      <c r="BO26" s="144">
        <f ca="1">IFERROR('Rates Table'!BO41*IF(Inputs!$G$29="No",Low_Total_Energy,Low_Total_Energy_New_TOU),0)/100</f>
        <v>0</v>
      </c>
      <c r="BP26" s="144">
        <f ca="1">IFERROR('Rates Table'!BP41*IF(Inputs!$G$29="No",Low_Total_Energy,Low_Total_Energy_New_TOU),0)/100</f>
        <v>0</v>
      </c>
      <c r="BQ26" s="144">
        <f ca="1">IFERROR('Rates Table'!BQ41*IF(Inputs!$G$29="No",Low_Total_Energy,Low_Total_Energy_New_TOU),0)/100</f>
        <v>0</v>
      </c>
      <c r="BR26" s="144">
        <f ca="1">IFERROR('Rates Table'!BR41*IF(Inputs!$G$29="No",Low_Total_Energy,Low_Total_Energy_New_TOU),0)/100</f>
        <v>0</v>
      </c>
      <c r="BS26" s="144">
        <f ca="1">IFERROR('Rates Table'!BS41*IF(Inputs!$G$29="No",Low_Total_Energy,Low_Total_Energy_New_TOU),0)/100</f>
        <v>0</v>
      </c>
      <c r="BT26" s="144">
        <f ca="1">IFERROR('Rates Table'!BT41*IF(Inputs!$G$29="No",Low_Total_Energy,Low_Total_Energy_New_TOU),0)/100</f>
        <v>0</v>
      </c>
      <c r="BU26" s="144">
        <f ca="1">IFERROR('Rates Table'!BU41*IF(Inputs!$G$29="No",Low_Total_Energy,Low_Total_Energy_New_TOU),0)/100</f>
        <v>0</v>
      </c>
      <c r="BV26" s="144">
        <f ca="1">IFERROR('Rates Table'!BV41*IF(Inputs!$G$29="No",Low_Total_Energy,Low_Total_Energy_New_TOU),0)/100</f>
        <v>0</v>
      </c>
      <c r="BW26" s="144">
        <f ca="1">IFERROR('Rates Table'!BW41*IF(Inputs!$G$29="No",Low_Total_Energy,Low_Total_Energy_New_TOU),0)/100</f>
        <v>0</v>
      </c>
      <c r="BX26" s="144">
        <f ca="1">IFERROR('Rates Table'!BX41*IF(Inputs!$G$29="No",Low_Total_Energy,Low_Total_Energy_New_TOU),0)/100</f>
        <v>0</v>
      </c>
      <c r="BY26" s="144">
        <f ca="1">IFERROR('Rates Table'!BY41*IF(Inputs!$G$29="No",Low_Total_Energy,Low_Total_Energy_New_TOU),0)/100</f>
        <v>0</v>
      </c>
      <c r="BZ26" s="144">
        <f ca="1">IFERROR('Rates Table'!BZ41*IF(Inputs!$G$29="No",Low_Total_Energy,Low_Total_Energy_New_TOU),0)/100</f>
        <v>0</v>
      </c>
      <c r="CA26" s="144">
        <f ca="1">IFERROR('Rates Table'!CA41*IF(Inputs!$G$29="No",Low_Total_Energy,Low_Total_Energy_New_TOU),0)/100</f>
        <v>0</v>
      </c>
      <c r="CB26" s="144">
        <f ca="1">IFERROR('Rates Table'!CB41*IF(Inputs!$G$29="No",Low_Total_Energy,Low_Total_Energy_New_TOU),0)/100</f>
        <v>0</v>
      </c>
      <c r="CC26" s="144">
        <f ca="1">IFERROR('Rates Table'!CC41*IF(Inputs!$G$29="No",Low_Total_Energy,Low_Total_Energy_New_TOU),0)/100</f>
        <v>0</v>
      </c>
      <c r="CD26" s="144">
        <f ca="1">IFERROR('Rates Table'!CD41*IF(Inputs!$G$29="No",Low_Total_Energy,Low_Total_Energy_New_TOU),0)/100</f>
        <v>0</v>
      </c>
      <c r="CE26" s="144">
        <f ca="1">IFERROR('Rates Table'!CE41*IF(Inputs!$G$29="No",Low_Total_Energy,Low_Total_Energy_New_TOU),0)/100</f>
        <v>0</v>
      </c>
      <c r="CF26" s="144">
        <f ca="1">IFERROR('Rates Table'!CF41*IF(Inputs!$G$29="No",Low_Total_Energy,Low_Total_Energy_New_TOU),0)/100</f>
        <v>0</v>
      </c>
    </row>
    <row r="27" spans="2:84" s="138" customFormat="1">
      <c r="C27" s="138" t="s">
        <v>192</v>
      </c>
      <c r="D27" s="139" t="s">
        <v>106</v>
      </c>
      <c r="E27" s="140">
        <f t="shared" ca="1" si="14"/>
        <v>0</v>
      </c>
      <c r="F27" s="141">
        <f ca="1">IFERROR('Rates Table'!F42*(Low_Block_1),0)/100</f>
        <v>0</v>
      </c>
      <c r="G27" s="141">
        <f ca="1">IFERROR('Rates Table'!G42*(Low_Block_1),0)/100</f>
        <v>0</v>
      </c>
      <c r="H27" s="141">
        <f ca="1">IFERROR('Rates Table'!H42*(Low_Block_1),0)/100</f>
        <v>0</v>
      </c>
      <c r="I27" s="141">
        <f ca="1">IFERROR('Rates Table'!I42*(Low_Block_1),0)/100</f>
        <v>0</v>
      </c>
      <c r="J27" s="141">
        <f ca="1">IFERROR('Rates Table'!J42*(Low_Block_1),0)/100</f>
        <v>0</v>
      </c>
      <c r="K27" s="141">
        <f ca="1">IFERROR('Rates Table'!K42*(Low_Block_1),0)/100</f>
        <v>0</v>
      </c>
      <c r="L27" s="141">
        <f ca="1">IFERROR('Rates Table'!L42*(Low_Block_1),0)/100</f>
        <v>0</v>
      </c>
      <c r="M27" s="141">
        <f ca="1">IFERROR('Rates Table'!M42*(Low_Block_1),0)/100</f>
        <v>0</v>
      </c>
      <c r="N27" s="141">
        <f ca="1">IFERROR('Rates Table'!N42*(Low_Block_1),0)/100</f>
        <v>0</v>
      </c>
      <c r="O27" s="141">
        <f ca="1">IFERROR('Rates Table'!O42*(Low_Block_1),0)/100</f>
        <v>0</v>
      </c>
      <c r="P27" s="141">
        <f ca="1">IFERROR('Rates Table'!P42*(Low_Block_1),0)/100</f>
        <v>0</v>
      </c>
      <c r="Q27" s="141">
        <f ca="1">IFERROR('Rates Table'!Q42*(Low_Block_1),0)/100</f>
        <v>0</v>
      </c>
      <c r="R27" s="141">
        <f ca="1">IFERROR('Rates Table'!R42*(Low_Block_1),0)/100</f>
        <v>0</v>
      </c>
      <c r="S27" s="141">
        <f ca="1">IFERROR('Rates Table'!S42*(Low_Block_1),0)/100</f>
        <v>0</v>
      </c>
      <c r="T27" s="141">
        <f ca="1">IFERROR('Rates Table'!T42*(Low_Block_1),0)/100</f>
        <v>0</v>
      </c>
      <c r="U27" s="141">
        <f ca="1">IFERROR('Rates Table'!U42*(Low_Block_1),0)/100</f>
        <v>0</v>
      </c>
      <c r="V27" s="141">
        <f ca="1">IFERROR('Rates Table'!V42*(Low_Block_1),0)/100</f>
        <v>0</v>
      </c>
      <c r="W27" s="141">
        <f ca="1">IFERROR('Rates Table'!W42*(Low_Block_1),0)/100</f>
        <v>0</v>
      </c>
      <c r="X27" s="141">
        <f ca="1">IF(OR(E2="Nightsave Large",E2="Nightsave Small"),E27,IFERROR('Rates Table'!X42*(Low_Block_1),0)/100)</f>
        <v>0</v>
      </c>
      <c r="Y27" s="141">
        <f ca="1">IFERROR('Rates Table'!Y42*(Low_Block_1),0)/100</f>
        <v>0</v>
      </c>
      <c r="Z27" s="141">
        <f ca="1">IFERROR('Rates Table'!Z42*(Low_Block_1),0)/100</f>
        <v>0</v>
      </c>
      <c r="AA27" s="141">
        <f ca="1">IFERROR('Rates Table'!AA42*(Low_Block_1),0)/100</f>
        <v>0</v>
      </c>
      <c r="AB27" s="141">
        <f ca="1">IFERROR('Rates Table'!AB42*(Low_Block_1),0)/100</f>
        <v>0</v>
      </c>
      <c r="AC27" s="141">
        <f ca="1">IFERROR('Rates Table'!AC42*(Low_Block_1),0)/100</f>
        <v>0</v>
      </c>
      <c r="AD27" s="141">
        <f ca="1">IFERROR('Rates Table'!AD42*(Low_Block_1),0)/100</f>
        <v>0</v>
      </c>
      <c r="AE27" s="141">
        <f ca="1">IFERROR('Rates Table'!AE42*(Low_Block_1),0)/100</f>
        <v>0</v>
      </c>
      <c r="AF27" s="141">
        <f ca="1">IFERROR('Rates Table'!AF42*(Low_Block_1),0)/100</f>
        <v>0</v>
      </c>
      <c r="AG27" s="141">
        <f ca="1">IFERROR('Rates Table'!AG42*(Low_Block_1),0)/100</f>
        <v>0</v>
      </c>
      <c r="AH27" s="141">
        <f ca="1">IFERROR('Rates Table'!AH42*(Low_Block_1),0)/100</f>
        <v>0</v>
      </c>
      <c r="AI27" s="141">
        <f ca="1">IFERROR('Rates Table'!AI42*(Low_Block_1),0)/100</f>
        <v>0</v>
      </c>
      <c r="AJ27" s="141">
        <f ca="1">IFERROR('Rates Table'!AJ42*(Low_Block_1),0)/100</f>
        <v>0</v>
      </c>
      <c r="AK27" s="141">
        <f ca="1">IFERROR('Rates Table'!AK42*(Low_Block_1),0)/100</f>
        <v>0</v>
      </c>
      <c r="AL27" s="141">
        <f ca="1">IFERROR('Rates Table'!AL42*(Low_Block_1),0)/100</f>
        <v>0</v>
      </c>
      <c r="AM27" s="141">
        <f ca="1">IFERROR('Rates Table'!AM42*(Low_Block_1),0)/100</f>
        <v>0</v>
      </c>
      <c r="AN27" s="141">
        <f ca="1">IFERROR('Rates Table'!AN42*(Low_Block_1),0)/100</f>
        <v>0</v>
      </c>
      <c r="AO27" s="141">
        <f ca="1">IFERROR('Rates Table'!AO42*(Low_Block_1),0)/100</f>
        <v>0</v>
      </c>
      <c r="AP27" s="141">
        <f ca="1">IFERROR('Rates Table'!AP42*(Low_Block_1),0)/100</f>
        <v>0</v>
      </c>
      <c r="AQ27" s="141">
        <f ca="1">IFERROR('Rates Table'!AQ42*(Low_Block_1),0)/100</f>
        <v>0</v>
      </c>
      <c r="AR27" s="141">
        <f ca="1">IFERROR('Rates Table'!AR42*(Low_Block_1),0)/100</f>
        <v>0</v>
      </c>
      <c r="AT27" s="140">
        <f t="shared" ca="1" si="15"/>
        <v>0</v>
      </c>
      <c r="AU27" s="141">
        <f ca="1">IFERROR('Rates Table'!AU42*(Low_Block_1),0)/100</f>
        <v>0</v>
      </c>
      <c r="AV27" s="141">
        <f ca="1">IFERROR('Rates Table'!AV42*(Low_Block_1),0)/100</f>
        <v>0</v>
      </c>
      <c r="AW27" s="141">
        <f ca="1">IFERROR('Rates Table'!AW42*(Low_Block_1),0)/100</f>
        <v>0</v>
      </c>
      <c r="AX27" s="141">
        <f ca="1">IFERROR('Rates Table'!AX42*(Low_Block_1),0)/100</f>
        <v>0</v>
      </c>
      <c r="AY27" s="141">
        <f ca="1">IFERROR('Rates Table'!AY42*(Low_Block_1),0)/100</f>
        <v>0</v>
      </c>
      <c r="AZ27" s="141">
        <f ca="1">IFERROR('Rates Table'!AZ42*(Low_Block_1),0)/100</f>
        <v>0</v>
      </c>
      <c r="BA27" s="141">
        <f ca="1">IFERROR('Rates Table'!BA42*(Low_Block_1),0)/100</f>
        <v>0</v>
      </c>
      <c r="BB27" s="141">
        <f ca="1">IFERROR('Rates Table'!BB42*(Low_Block_1),0)/100</f>
        <v>0</v>
      </c>
      <c r="BC27" s="141">
        <f ca="1">IFERROR('Rates Table'!BC42*(Low_Block_1),0)/100</f>
        <v>0</v>
      </c>
      <c r="BD27" s="141">
        <f ca="1">IFERROR('Rates Table'!BD42*(Low_Block_1),0)/100</f>
        <v>0</v>
      </c>
      <c r="BE27" s="141">
        <f ca="1">IFERROR('Rates Table'!BE42*(Low_Block_1),0)/100</f>
        <v>0</v>
      </c>
      <c r="BF27" s="141">
        <f ca="1">IFERROR('Rates Table'!BF42*(Low_Block_1),0)/100</f>
        <v>0</v>
      </c>
      <c r="BG27" s="141">
        <f ca="1">IFERROR('Rates Table'!BG42*(Low_Block_1),0)/100</f>
        <v>0</v>
      </c>
      <c r="BH27" s="141">
        <f ca="1">IFERROR('Rates Table'!BH42*(Low_Block_1),0)/100</f>
        <v>0</v>
      </c>
      <c r="BI27" s="141">
        <f ca="1">IFERROR('Rates Table'!BI42*(Low_Block_1),0)/100</f>
        <v>0</v>
      </c>
      <c r="BJ27" s="141">
        <f ca="1">IFERROR('Rates Table'!BJ42*(Low_Block_1),0)/100</f>
        <v>0</v>
      </c>
      <c r="BK27" s="141">
        <f ca="1">IFERROR('Rates Table'!BK42*(Low_Block_1),0)/100</f>
        <v>0</v>
      </c>
      <c r="BL27" s="141">
        <f ca="1">IFERROR('Rates Table'!BL42*(Low_Block_1),0)/100</f>
        <v>0</v>
      </c>
      <c r="BM27" s="141">
        <f ca="1">IFERROR('Rates Table'!BM42*(Low_Block_1),0)/100</f>
        <v>0</v>
      </c>
      <c r="BN27" s="141">
        <f ca="1">IFERROR('Rates Table'!BN42*(Low_Block_1),0)/100</f>
        <v>0</v>
      </c>
      <c r="BO27" s="141">
        <f ca="1">IFERROR('Rates Table'!BO42*(Low_Block_1),0)/100</f>
        <v>0</v>
      </c>
      <c r="BP27" s="141">
        <f ca="1">IFERROR('Rates Table'!BP42*(Low_Block_1),0)/100</f>
        <v>0</v>
      </c>
      <c r="BQ27" s="141">
        <f ca="1">IFERROR('Rates Table'!BQ42*(Low_Block_1),0)/100</f>
        <v>0</v>
      </c>
      <c r="BR27" s="141">
        <f ca="1">IFERROR('Rates Table'!BR42*(Low_Block_1),0)/100</f>
        <v>0</v>
      </c>
      <c r="BS27" s="141">
        <f ca="1">IFERROR('Rates Table'!BS42*(Low_Block_1),0)/100</f>
        <v>0</v>
      </c>
      <c r="BT27" s="141">
        <f ca="1">IFERROR('Rates Table'!BT42*(Low_Block_1),0)/100</f>
        <v>0</v>
      </c>
      <c r="BU27" s="141">
        <f ca="1">IFERROR('Rates Table'!BU42*(Low_Block_1),0)/100</f>
        <v>0</v>
      </c>
      <c r="BV27" s="141">
        <f ca="1">IFERROR('Rates Table'!BV42*(Low_Block_1),0)/100</f>
        <v>0</v>
      </c>
      <c r="BW27" s="141">
        <f ca="1">IFERROR('Rates Table'!BW42*(Low_Block_1),0)/100</f>
        <v>0</v>
      </c>
      <c r="BX27" s="141">
        <f ca="1">IFERROR('Rates Table'!BX42*(Low_Block_1),0)/100</f>
        <v>0</v>
      </c>
      <c r="BY27" s="141">
        <f ca="1">IFERROR('Rates Table'!BY42*(Low_Block_1),0)/100</f>
        <v>0</v>
      </c>
      <c r="BZ27" s="141">
        <f ca="1">IFERROR('Rates Table'!BZ42*(Low_Block_1),0)/100</f>
        <v>0</v>
      </c>
      <c r="CA27" s="141">
        <f ca="1">IFERROR('Rates Table'!CA42*(Low_Block_1),0)/100</f>
        <v>0</v>
      </c>
      <c r="CB27" s="141">
        <f ca="1">IFERROR('Rates Table'!CB42*(Low_Block_1),0)/100</f>
        <v>0</v>
      </c>
      <c r="CC27" s="141">
        <f ca="1">IFERROR('Rates Table'!CC42*(Low_Block_1),0)/100</f>
        <v>0</v>
      </c>
      <c r="CD27" s="141">
        <f ca="1">IFERROR('Rates Table'!CD42*(Low_Block_1),0)/100</f>
        <v>0</v>
      </c>
      <c r="CE27" s="141">
        <f ca="1">IFERROR('Rates Table'!CE42*(Low_Block_1),0)/100</f>
        <v>0</v>
      </c>
      <c r="CF27" s="141">
        <f ca="1">IFERROR('Rates Table'!CF42*(Low_Block_1),0)/100</f>
        <v>0</v>
      </c>
    </row>
    <row r="28" spans="2:84" s="138" customFormat="1">
      <c r="C28" s="138" t="s">
        <v>193</v>
      </c>
      <c r="D28" s="139" t="s">
        <v>106</v>
      </c>
      <c r="E28" s="140">
        <f t="shared" ca="1" si="14"/>
        <v>0</v>
      </c>
      <c r="F28" s="141">
        <f ca="1">IFERROR('Rates Table'!F43*(Low_Block_2),0)/100</f>
        <v>0</v>
      </c>
      <c r="G28" s="141">
        <f ca="1">IFERROR('Rates Table'!G43*(Low_Block_2),0)/100</f>
        <v>0</v>
      </c>
      <c r="H28" s="141">
        <f ca="1">IFERROR('Rates Table'!H43*(Low_Block_2),0)/100</f>
        <v>0</v>
      </c>
      <c r="I28" s="141">
        <f ca="1">IFERROR('Rates Table'!I43*(Low_Block_2),0)/100</f>
        <v>0</v>
      </c>
      <c r="J28" s="141">
        <f ca="1">IFERROR('Rates Table'!J43*(Low_Block_2),0)/100</f>
        <v>0</v>
      </c>
      <c r="K28" s="141">
        <f ca="1">IFERROR('Rates Table'!K43*(Low_Block_2),0)/100</f>
        <v>0</v>
      </c>
      <c r="L28" s="141">
        <f ca="1">IFERROR('Rates Table'!L43*(Low_Block_2),0)/100</f>
        <v>0</v>
      </c>
      <c r="M28" s="141">
        <f ca="1">IFERROR('Rates Table'!M43*(Low_Block_2),0)/100</f>
        <v>0</v>
      </c>
      <c r="N28" s="141">
        <f ca="1">IFERROR('Rates Table'!N43*(Low_Block_2),0)/100</f>
        <v>0</v>
      </c>
      <c r="O28" s="141">
        <f ca="1">IFERROR('Rates Table'!O43*(Low_Block_2),0)/100</f>
        <v>0</v>
      </c>
      <c r="P28" s="141">
        <f ca="1">IFERROR('Rates Table'!P43*(Low_Block_2),0)/100</f>
        <v>0</v>
      </c>
      <c r="Q28" s="141">
        <f ca="1">IFERROR('Rates Table'!Q43*(Low_Block_2),0)/100</f>
        <v>0</v>
      </c>
      <c r="R28" s="141">
        <f ca="1">IFERROR('Rates Table'!R43*(Low_Block_2),0)/100</f>
        <v>0</v>
      </c>
      <c r="S28" s="141">
        <f ca="1">IFERROR('Rates Table'!S43*(Low_Block_2),0)/100</f>
        <v>0</v>
      </c>
      <c r="T28" s="141">
        <f ca="1">IFERROR('Rates Table'!T43*(Low_Block_2),0)/100</f>
        <v>0</v>
      </c>
      <c r="U28" s="141">
        <f ca="1">IFERROR('Rates Table'!U43*(Low_Block_2),0)/100</f>
        <v>0</v>
      </c>
      <c r="V28" s="141">
        <f ca="1">IFERROR('Rates Table'!V43*(Low_Block_2),0)/100</f>
        <v>0</v>
      </c>
      <c r="W28" s="141">
        <f ca="1">IFERROR('Rates Table'!W43*(Low_Block_2),0)/100</f>
        <v>0</v>
      </c>
      <c r="X28" s="141">
        <f ca="1">IF(OR(E2="Nightsave Large",E2="Nightsave Small"),E28,IFERROR('Rates Table'!X43*(Low_Block_2),0)/100)</f>
        <v>0</v>
      </c>
      <c r="Y28" s="141">
        <f ca="1">IFERROR('Rates Table'!Y43*(Low_Block_2),0)/100</f>
        <v>0</v>
      </c>
      <c r="Z28" s="141">
        <f ca="1">IFERROR('Rates Table'!Z43*(Low_Block_2),0)/100</f>
        <v>0</v>
      </c>
      <c r="AA28" s="141">
        <f ca="1">IFERROR('Rates Table'!AA43*(Low_Block_2),0)/100</f>
        <v>0</v>
      </c>
      <c r="AB28" s="141">
        <f ca="1">IFERROR('Rates Table'!AB43*(Low_Block_2),0)/100</f>
        <v>0</v>
      </c>
      <c r="AC28" s="141">
        <f ca="1">IFERROR('Rates Table'!AC43*(Low_Block_2),0)/100</f>
        <v>0</v>
      </c>
      <c r="AD28" s="141">
        <f ca="1">IFERROR('Rates Table'!AD43*(Low_Block_2),0)/100</f>
        <v>0</v>
      </c>
      <c r="AE28" s="141">
        <f ca="1">IFERROR('Rates Table'!AE43*(Low_Block_2),0)/100</f>
        <v>0</v>
      </c>
      <c r="AF28" s="141">
        <f ca="1">IFERROR('Rates Table'!AF43*(Low_Block_2),0)/100</f>
        <v>0</v>
      </c>
      <c r="AG28" s="141">
        <f ca="1">IFERROR('Rates Table'!AG43*(Low_Block_2),0)/100</f>
        <v>0</v>
      </c>
      <c r="AH28" s="141">
        <f ca="1">IFERROR('Rates Table'!AH43*(Low_Block_2),0)/100</f>
        <v>0</v>
      </c>
      <c r="AI28" s="141">
        <f ca="1">IFERROR('Rates Table'!AI43*(Low_Block_2),0)/100</f>
        <v>0</v>
      </c>
      <c r="AJ28" s="141">
        <f ca="1">IFERROR('Rates Table'!AJ43*(Low_Block_2),0)/100</f>
        <v>0</v>
      </c>
      <c r="AK28" s="141">
        <f ca="1">IFERROR('Rates Table'!AK43*(Low_Block_2),0)/100</f>
        <v>0</v>
      </c>
      <c r="AL28" s="141">
        <f ca="1">IFERROR('Rates Table'!AL43*(Low_Block_2),0)/100</f>
        <v>0</v>
      </c>
      <c r="AM28" s="141">
        <f ca="1">IFERROR('Rates Table'!AM43*(Low_Block_2),0)/100</f>
        <v>0</v>
      </c>
      <c r="AN28" s="141">
        <f ca="1">IFERROR('Rates Table'!AN43*(Low_Block_2),0)/100</f>
        <v>0</v>
      </c>
      <c r="AO28" s="141">
        <f ca="1">IFERROR('Rates Table'!AO43*(Low_Block_2),0)/100</f>
        <v>0</v>
      </c>
      <c r="AP28" s="141">
        <f ca="1">IFERROR('Rates Table'!AP43*(Low_Block_2),0)/100</f>
        <v>0</v>
      </c>
      <c r="AQ28" s="141">
        <f ca="1">IFERROR('Rates Table'!AQ43*(Low_Block_2),0)/100</f>
        <v>0</v>
      </c>
      <c r="AR28" s="141">
        <f ca="1">IFERROR('Rates Table'!AR43*(Low_Block_2),0)/100</f>
        <v>0</v>
      </c>
      <c r="AT28" s="140">
        <f t="shared" ca="1" si="15"/>
        <v>0</v>
      </c>
      <c r="AU28" s="141">
        <f ca="1">IFERROR('Rates Table'!AU43*(Low_Block_2),0)/100</f>
        <v>0</v>
      </c>
      <c r="AV28" s="141">
        <f ca="1">IFERROR('Rates Table'!AV43*(Low_Block_2),0)/100</f>
        <v>0</v>
      </c>
      <c r="AW28" s="141">
        <f ca="1">IFERROR('Rates Table'!AW43*(Low_Block_2),0)/100</f>
        <v>0</v>
      </c>
      <c r="AX28" s="141">
        <f ca="1">IFERROR('Rates Table'!AX43*(Low_Block_2),0)/100</f>
        <v>0</v>
      </c>
      <c r="AY28" s="141">
        <f ca="1">IFERROR('Rates Table'!AY43*(Low_Block_2),0)/100</f>
        <v>0</v>
      </c>
      <c r="AZ28" s="141">
        <f ca="1">IFERROR('Rates Table'!AZ43*(Low_Block_2),0)/100</f>
        <v>0</v>
      </c>
      <c r="BA28" s="141">
        <f ca="1">IFERROR('Rates Table'!BA43*(Low_Block_2),0)/100</f>
        <v>0</v>
      </c>
      <c r="BB28" s="141">
        <f ca="1">IFERROR('Rates Table'!BB43*(Low_Block_2),0)/100</f>
        <v>0</v>
      </c>
      <c r="BC28" s="141">
        <f ca="1">IFERROR('Rates Table'!BC43*(Low_Block_2),0)/100</f>
        <v>0</v>
      </c>
      <c r="BD28" s="141">
        <f ca="1">IFERROR('Rates Table'!BD43*(Low_Block_2),0)/100</f>
        <v>0</v>
      </c>
      <c r="BE28" s="141">
        <f ca="1">IFERROR('Rates Table'!BE43*(Low_Block_2),0)/100</f>
        <v>0</v>
      </c>
      <c r="BF28" s="141">
        <f ca="1">IFERROR('Rates Table'!BF43*(Low_Block_2),0)/100</f>
        <v>0</v>
      </c>
      <c r="BG28" s="141">
        <f ca="1">IFERROR('Rates Table'!BG43*(Low_Block_2),0)/100</f>
        <v>0</v>
      </c>
      <c r="BH28" s="141">
        <f ca="1">IFERROR('Rates Table'!BH43*(Low_Block_2),0)/100</f>
        <v>0</v>
      </c>
      <c r="BI28" s="141">
        <f ca="1">IFERROR('Rates Table'!BI43*(Low_Block_2),0)/100</f>
        <v>0</v>
      </c>
      <c r="BJ28" s="141">
        <f ca="1">IFERROR('Rates Table'!BJ43*(Low_Block_2),0)/100</f>
        <v>0</v>
      </c>
      <c r="BK28" s="141">
        <f ca="1">IFERROR('Rates Table'!BK43*(Low_Block_2),0)/100</f>
        <v>0</v>
      </c>
      <c r="BL28" s="141">
        <f ca="1">IFERROR('Rates Table'!BL43*(Low_Block_2),0)/100</f>
        <v>0</v>
      </c>
      <c r="BM28" s="141">
        <f ca="1">IFERROR('Rates Table'!BM43*(Low_Block_2),0)/100</f>
        <v>0</v>
      </c>
      <c r="BN28" s="141">
        <f ca="1">IFERROR('Rates Table'!BN43*(Low_Block_2),0)/100</f>
        <v>0</v>
      </c>
      <c r="BO28" s="141">
        <f ca="1">IFERROR('Rates Table'!BO43*(Low_Block_2),0)/100</f>
        <v>0</v>
      </c>
      <c r="BP28" s="141">
        <f ca="1">IFERROR('Rates Table'!BP43*(Low_Block_2),0)/100</f>
        <v>0</v>
      </c>
      <c r="BQ28" s="141">
        <f ca="1">IFERROR('Rates Table'!BQ43*(Low_Block_2),0)/100</f>
        <v>0</v>
      </c>
      <c r="BR28" s="141">
        <f ca="1">IFERROR('Rates Table'!BR43*(Low_Block_2),0)/100</f>
        <v>0</v>
      </c>
      <c r="BS28" s="141">
        <f ca="1">IFERROR('Rates Table'!BS43*(Low_Block_2),0)/100</f>
        <v>0</v>
      </c>
      <c r="BT28" s="141">
        <f ca="1">IFERROR('Rates Table'!BT43*(Low_Block_2),0)/100</f>
        <v>0</v>
      </c>
      <c r="BU28" s="141">
        <f ca="1">IFERROR('Rates Table'!BU43*(Low_Block_2),0)/100</f>
        <v>0</v>
      </c>
      <c r="BV28" s="141">
        <f ca="1">IFERROR('Rates Table'!BV43*(Low_Block_2),0)/100</f>
        <v>0</v>
      </c>
      <c r="BW28" s="141">
        <f ca="1">IFERROR('Rates Table'!BW43*(Low_Block_2),0)/100</f>
        <v>0</v>
      </c>
      <c r="BX28" s="141">
        <f ca="1">IFERROR('Rates Table'!BX43*(Low_Block_2),0)/100</f>
        <v>0</v>
      </c>
      <c r="BY28" s="141">
        <f ca="1">IFERROR('Rates Table'!BY43*(Low_Block_2),0)/100</f>
        <v>0</v>
      </c>
      <c r="BZ28" s="141">
        <f ca="1">IFERROR('Rates Table'!BZ43*(Low_Block_2),0)/100</f>
        <v>0</v>
      </c>
      <c r="CA28" s="141">
        <f ca="1">IFERROR('Rates Table'!CA43*(Low_Block_2),0)/100</f>
        <v>0</v>
      </c>
      <c r="CB28" s="141">
        <f ca="1">IFERROR('Rates Table'!CB43*(Low_Block_2),0)/100</f>
        <v>0</v>
      </c>
      <c r="CC28" s="141">
        <f ca="1">IFERROR('Rates Table'!CC43*(Low_Block_2),0)/100</f>
        <v>0</v>
      </c>
      <c r="CD28" s="141">
        <f ca="1">IFERROR('Rates Table'!CD43*(Low_Block_2),0)/100</f>
        <v>0</v>
      </c>
      <c r="CE28" s="141">
        <f ca="1">IFERROR('Rates Table'!CE43*(Low_Block_2),0)/100</f>
        <v>0</v>
      </c>
      <c r="CF28" s="141">
        <f ca="1">IFERROR('Rates Table'!CF43*(Low_Block_2),0)/100</f>
        <v>0</v>
      </c>
    </row>
    <row r="29" spans="2:84" s="138" customFormat="1" ht="11.55" customHeight="1">
      <c r="C29" s="138" t="s">
        <v>149</v>
      </c>
      <c r="D29" s="139" t="s">
        <v>115</v>
      </c>
      <c r="E29" s="140">
        <f t="shared" ca="1" si="14"/>
        <v>0</v>
      </c>
      <c r="F29" s="141">
        <f ca="1">IFERROR('Rates Table'!F44*IF(Inputs!$G$29="No",Low_Demand,Low_Demand_Exist_TOU),0)</f>
        <v>0</v>
      </c>
      <c r="G29" s="141">
        <f ca="1">IFERROR('Rates Table'!G44*IF(Inputs!$G$29="No",Low_Demand,Low_Demand_Exist_TOU),0)</f>
        <v>0</v>
      </c>
      <c r="H29" s="141">
        <f ca="1">IFERROR('Rates Table'!H44*IF(Inputs!$G$29="No",Low_Demand,Low_Demand_Exist_TOU),0)</f>
        <v>0</v>
      </c>
      <c r="I29" s="141">
        <f ca="1">IFERROR('Rates Table'!I44*IF(Inputs!$G$29="No",Low_Demand,Low_Demand_Exist_TOU),0)</f>
        <v>0</v>
      </c>
      <c r="J29" s="141">
        <f ca="1">IFERROR('Rates Table'!J44*IF(Inputs!$G$29="No",Low_Demand,Low_Demand_Exist_TOU),0)</f>
        <v>0</v>
      </c>
      <c r="K29" s="141">
        <f ca="1">IFERROR('Rates Table'!K44*IF(Inputs!$G$29="No",Low_Demand,Low_Demand_Exist_TOU),0)</f>
        <v>0</v>
      </c>
      <c r="L29" s="141">
        <f ca="1">IFERROR('Rates Table'!L44*IF(Inputs!$G$29="No",Low_Demand,Low_Demand_Exist_TOU),0)</f>
        <v>0</v>
      </c>
      <c r="M29" s="141">
        <f ca="1">IFERROR('Rates Table'!M44*IF(Inputs!$G$29="No",Low_Demand,Low_Demand_Exist_TOU),0)</f>
        <v>0</v>
      </c>
      <c r="N29" s="141">
        <f ca="1">IFERROR('Rates Table'!N44*IF(Inputs!$G$29="No",Low_Demand,Low_Demand_Exist_TOU),0)</f>
        <v>0</v>
      </c>
      <c r="O29" s="141">
        <f ca="1">IFERROR('Rates Table'!O44*IF(Inputs!$G$29="No",Low_Demand,Low_Demand_Exist_TOU),0)</f>
        <v>0</v>
      </c>
      <c r="P29" s="141">
        <f ca="1">IFERROR('Rates Table'!P44*IF(Inputs!$G$29="No",Low_Demand,Low_Demand_Exist_TOU),0)</f>
        <v>0</v>
      </c>
      <c r="Q29" s="141">
        <f ca="1">IFERROR('Rates Table'!Q44*IF(Inputs!$G$29="No",Low_Demand,Low_Demand_Exist_TOU),0)</f>
        <v>0</v>
      </c>
      <c r="R29" s="141">
        <f ca="1">IFERROR('Rates Table'!R44*IF(Inputs!$G$29="No",Low_Demand,Low_Demand_Exist_TOU),0)</f>
        <v>0</v>
      </c>
      <c r="S29" s="141">
        <f ca="1">IFERROR('Rates Table'!S44*IF(Inputs!$G$29="No",Low_Demand,Low_Demand_Exist_TOU),0)</f>
        <v>0</v>
      </c>
      <c r="T29" s="141">
        <f ca="1">IFERROR('Rates Table'!T44*IF(Inputs!$G$29="No",Low_Demand,Low_Demand_Exist_TOU),0)</f>
        <v>0</v>
      </c>
      <c r="U29" s="141">
        <f ca="1">IFERROR('Rates Table'!U44*IF(Inputs!$G$29="No",Low_Demand,Low_Demand_Exist_TOU),0)</f>
        <v>0</v>
      </c>
      <c r="V29" s="141">
        <f ca="1">IFERROR('Rates Table'!V44*IF(Inputs!$G$29="No",Low_Demand,Low_Demand_Exist_TOU),0)</f>
        <v>0</v>
      </c>
      <c r="W29" s="141">
        <f ca="1">IFERROR('Rates Table'!W44*IF(Inputs!$G$29="No",Low_Demand,Low_Demand_Exist_TOU),0)</f>
        <v>0</v>
      </c>
      <c r="X29" s="141">
        <f ca="1">IF(OR(E2="Nightsave Large",E2="Nightsave Small"),E29,IFERROR('Rates Table'!X44*IF(Inputs!$G$29="No",Low_Demand,Low_Demand_Exist_TOU),0))</f>
        <v>0</v>
      </c>
      <c r="Y29" s="141">
        <f ca="1">IFERROR('Rates Table'!Y44*IF(Inputs!$G$29="No",Low_Demand,Low_Demand_Exist_TOU),0)</f>
        <v>0</v>
      </c>
      <c r="Z29" s="141">
        <f ca="1">IFERROR('Rates Table'!Z44*IF(Inputs!$G$29="No",Low_Demand,Low_Demand_Exist_TOU),0)</f>
        <v>0</v>
      </c>
      <c r="AA29" s="141">
        <f ca="1">IFERROR('Rates Table'!AA44*IF(Inputs!$G$29="No",Low_Demand,Low_Demand_Exist_TOU),0)</f>
        <v>0</v>
      </c>
      <c r="AB29" s="141">
        <f ca="1">IFERROR('Rates Table'!AB44*IF(Inputs!$G$29="No",Low_Demand,Low_Demand_Exist_TOU),0)</f>
        <v>0</v>
      </c>
      <c r="AC29" s="141">
        <f ca="1">IFERROR('Rates Table'!AC44*IF(Inputs!$G$29="No",Low_Demand,Low_Demand_Exist_TOU),0)</f>
        <v>0</v>
      </c>
      <c r="AD29" s="141">
        <f ca="1">IFERROR('Rates Table'!AD44*IF(Inputs!$G$29="No",Low_Demand,Low_Demand_Exist_TOU),0)</f>
        <v>0</v>
      </c>
      <c r="AE29" s="141">
        <f ca="1">IFERROR('Rates Table'!AE44*IF(Inputs!$G$29="No",Low_Demand,Low_Demand_Exist_TOU),0)</f>
        <v>0</v>
      </c>
      <c r="AF29" s="141">
        <f ca="1">IFERROR('Rates Table'!AF44*IF(Inputs!$G$29="No",Low_Demand,Low_Demand_Exist_TOU),0)</f>
        <v>0</v>
      </c>
      <c r="AG29" s="141">
        <f ca="1">IFERROR('Rates Table'!AG44*IF(Inputs!$G$29="No",Low_Demand,Low_Demand_Exist_TOU),0)</f>
        <v>0</v>
      </c>
      <c r="AH29" s="141">
        <f ca="1">IFERROR('Rates Table'!AH44*IF(Inputs!$G$29="No",Low_Demand,Low_Demand_Exist_TOU),0)</f>
        <v>0</v>
      </c>
      <c r="AI29" s="141">
        <f ca="1">IFERROR('Rates Table'!AI44*IF(Inputs!$G$29="No",Low_Demand,Low_Demand_Exist_TOU),0)</f>
        <v>0</v>
      </c>
      <c r="AJ29" s="141">
        <f ca="1">IFERROR('Rates Table'!AJ44*IF(Inputs!$G$29="No",Low_Demand,Low_Demand_Exist_TOU),0)</f>
        <v>0</v>
      </c>
      <c r="AK29" s="141">
        <f ca="1">IFERROR('Rates Table'!AK44*IF(Inputs!$G$29="No",Low_Demand,Low_Demand_Exist_TOU),0)</f>
        <v>0</v>
      </c>
      <c r="AL29" s="141">
        <f ca="1">IFERROR('Rates Table'!AL44*IF(Inputs!$G$29="No",Low_Demand,Low_Demand_Exist_TOU),0)</f>
        <v>0</v>
      </c>
      <c r="AM29" s="141">
        <f ca="1">IFERROR('Rates Table'!AM44*IF(Inputs!$G$29="No",Low_Demand,Low_Demand_Exist_TOU),0)</f>
        <v>0</v>
      </c>
      <c r="AN29" s="141">
        <f ca="1">IFERROR('Rates Table'!AN44*IF(Inputs!$G$29="No",Low_Demand,Low_Demand_Exist_TOU),0)</f>
        <v>0</v>
      </c>
      <c r="AO29" s="141">
        <f ca="1">IFERROR('Rates Table'!AO44*IF(Inputs!$G$29="No",Low_Demand,Low_Demand_Exist_TOU),0)</f>
        <v>0</v>
      </c>
      <c r="AP29" s="141">
        <f ca="1">IFERROR('Rates Table'!AP44*IF(Inputs!$G$29="No",Low_Demand,Low_Demand_Exist_TOU),0)</f>
        <v>0</v>
      </c>
      <c r="AQ29" s="141">
        <f ca="1">IFERROR('Rates Table'!AQ44*IF(Inputs!$G$29="No",Low_Demand,Low_Demand_Exist_TOU),0)</f>
        <v>0</v>
      </c>
      <c r="AR29" s="141">
        <f ca="1">IFERROR('Rates Table'!AR44*IF(Inputs!$G$29="No",Low_Demand,Low_Demand_Exist_TOU),0)</f>
        <v>0</v>
      </c>
      <c r="AT29" s="140">
        <f t="shared" ca="1" si="15"/>
        <v>0</v>
      </c>
      <c r="AU29" s="141">
        <f ca="1">IFERROR('Rates Table'!AU44*IF(Inputs!$G$29="No",Low_Demand,Low_Demand_New_TOU),0)</f>
        <v>0</v>
      </c>
      <c r="AV29" s="141">
        <f ca="1">IFERROR('Rates Table'!AV44*IF(Inputs!$G$29="No",Low_Demand,Low_Demand_New_TOU),0)</f>
        <v>0</v>
      </c>
      <c r="AW29" s="141">
        <f ca="1">IFERROR('Rates Table'!AW44*IF(Inputs!$G$29="No",Low_Demand,Low_Demand_New_TOU),0)</f>
        <v>0</v>
      </c>
      <c r="AX29" s="141">
        <f ca="1">IFERROR('Rates Table'!AX44*IF(Inputs!$G$29="No",Low_Demand,Low_Demand_New_TOU),0)</f>
        <v>0</v>
      </c>
      <c r="AY29" s="141">
        <f ca="1">IFERROR('Rates Table'!AY44*IF(Inputs!$G$29="No",Low_Demand,Low_Demand_New_TOU),0)</f>
        <v>0</v>
      </c>
      <c r="AZ29" s="141">
        <f ca="1">IFERROR('Rates Table'!AZ44*IF(Inputs!$G$29="No",Low_Demand,Low_Demand_New_TOU),0)</f>
        <v>0</v>
      </c>
      <c r="BA29" s="141">
        <f ca="1">IFERROR('Rates Table'!BA44*IF(Inputs!$G$29="No",Low_Demand,Low_Demand_New_TOU),0)</f>
        <v>0</v>
      </c>
      <c r="BB29" s="141">
        <f ca="1">IFERROR('Rates Table'!BB44*IF(Inputs!$G$29="No",Low_Demand,Low_Demand_New_TOU),0)</f>
        <v>0</v>
      </c>
      <c r="BC29" s="141">
        <f ca="1">IFERROR('Rates Table'!BC44*IF(Inputs!$G$29="No",Low_Demand,Low_Demand_New_TOU),0)</f>
        <v>0</v>
      </c>
      <c r="BD29" s="141">
        <f ca="1">IFERROR('Rates Table'!BD44*IF(Inputs!$G$29="No",Low_Demand,Low_Demand_New_TOU),0)</f>
        <v>0</v>
      </c>
      <c r="BE29" s="141">
        <f ca="1">IFERROR('Rates Table'!BE44*IF(Inputs!$G$29="No",Low_Demand,Low_Demand_New_TOU),0)</f>
        <v>0</v>
      </c>
      <c r="BF29" s="141">
        <f ca="1">IFERROR('Rates Table'!BF44*IF(Inputs!$G$29="No",Low_Demand,Low_Demand_New_TOU),0)</f>
        <v>0</v>
      </c>
      <c r="BG29" s="141">
        <f ca="1">IFERROR('Rates Table'!BG44*IF(Inputs!$G$29="No",Low_Demand,Low_Demand_New_TOU),0)</f>
        <v>0</v>
      </c>
      <c r="BH29" s="141">
        <f ca="1">IFERROR('Rates Table'!BH44*IF(Inputs!$G$29="No",Low_Demand,Low_Demand_New_TOU),0)</f>
        <v>0</v>
      </c>
      <c r="BI29" s="141">
        <f ca="1">IFERROR('Rates Table'!BI44*IF(Inputs!$G$29="No",Low_Demand,Low_Demand_New_TOU),0)</f>
        <v>0</v>
      </c>
      <c r="BJ29" s="141">
        <f ca="1">IFERROR('Rates Table'!BJ44*IF(Inputs!$G$29="No",Low_Demand,Low_Demand_New_TOU),0)</f>
        <v>0</v>
      </c>
      <c r="BK29" s="141">
        <f ca="1">IFERROR('Rates Table'!BK44*IF(Inputs!$G$29="No",Low_Demand,Low_Demand_New_TOU),0)</f>
        <v>0</v>
      </c>
      <c r="BL29" s="141">
        <f ca="1">IFERROR('Rates Table'!BL44*IF(Inputs!$G$29="No",Low_Demand,Low_Demand_New_TOU),0)</f>
        <v>0</v>
      </c>
      <c r="BM29" s="141">
        <f ca="1">IFERROR('Rates Table'!BM44*IF(Inputs!$G$29="No",Low_Demand,Low_Demand_New_TOU),0)</f>
        <v>0</v>
      </c>
      <c r="BN29" s="141">
        <f ca="1">IFERROR('Rates Table'!BN44*IF(Inputs!$G$29="No",Low_Demand,Low_Demand_New_TOU),0)</f>
        <v>0</v>
      </c>
      <c r="BO29" s="141">
        <f ca="1">IFERROR('Rates Table'!BO44*IF(Inputs!$G$29="No",Low_Demand,Low_Demand_New_TOU),0)</f>
        <v>0</v>
      </c>
      <c r="BP29" s="141">
        <f ca="1">IFERROR('Rates Table'!BP44*IF(Inputs!$G$29="No",Low_Demand,Low_Demand_New_TOU),0)</f>
        <v>0</v>
      </c>
      <c r="BQ29" s="141">
        <f ca="1">IFERROR('Rates Table'!BQ44*IF(Inputs!$G$29="No",Low_Demand,Low_Demand_New_TOU),0)</f>
        <v>0</v>
      </c>
      <c r="BR29" s="141">
        <f ca="1">IFERROR('Rates Table'!BR44*IF(Inputs!$G$29="No",Low_Demand,Low_Demand_New_TOU),0)</f>
        <v>0</v>
      </c>
      <c r="BS29" s="141">
        <f ca="1">IFERROR('Rates Table'!BS44*IF(Inputs!$G$29="No",Low_Demand,Low_Demand_New_TOU),0)</f>
        <v>0</v>
      </c>
      <c r="BT29" s="141">
        <f ca="1">IFERROR('Rates Table'!BT44*IF(Inputs!$G$29="No",Low_Demand,Low_Demand_New_TOU),0)</f>
        <v>0</v>
      </c>
      <c r="BU29" s="141">
        <f ca="1">IFERROR('Rates Table'!BU44*IF(Inputs!$G$29="No",Low_Demand,Low_Demand_New_TOU),0)</f>
        <v>0</v>
      </c>
      <c r="BV29" s="141">
        <f ca="1">IFERROR('Rates Table'!BV44*IF(Inputs!$G$29="No",Low_Demand,Low_Demand_New_TOU),0)</f>
        <v>0</v>
      </c>
      <c r="BW29" s="141">
        <f ca="1">IFERROR('Rates Table'!BW44*IF(Inputs!$G$29="No",Low_Demand,Low_Demand_New_TOU),0)</f>
        <v>0</v>
      </c>
      <c r="BX29" s="141">
        <f ca="1">IFERROR('Rates Table'!BX44*IF(Inputs!$G$29="No",Low_Demand,Low_Demand_New_TOU),0)</f>
        <v>0</v>
      </c>
      <c r="BY29" s="141">
        <f ca="1">IFERROR('Rates Table'!BY44*IF(Inputs!$G$29="No",Low_Demand,Low_Demand_New_TOU),0)</f>
        <v>0</v>
      </c>
      <c r="BZ29" s="141">
        <f ca="1">IFERROR('Rates Table'!BZ44*IF(Inputs!$G$29="No",Low_Demand,Low_Demand_New_TOU),0)</f>
        <v>0</v>
      </c>
      <c r="CA29" s="141">
        <f ca="1">IFERROR('Rates Table'!CA44*IF(Inputs!$G$29="No",Low_Demand,Low_Demand_New_TOU),0)</f>
        <v>0</v>
      </c>
      <c r="CB29" s="141">
        <f ca="1">IFERROR('Rates Table'!CB44*IF(Inputs!$G$29="No",Low_Demand,Low_Demand_New_TOU),0)</f>
        <v>0</v>
      </c>
      <c r="CC29" s="141">
        <f ca="1">IFERROR('Rates Table'!CC44*IF(Inputs!$G$29="No",Low_Demand,Low_Demand_New_TOU),0)</f>
        <v>0</v>
      </c>
      <c r="CD29" s="141">
        <f ca="1">IFERROR('Rates Table'!CD44*IF(Inputs!$G$29="No",Low_Demand,Low_Demand_New_TOU),0)</f>
        <v>0</v>
      </c>
      <c r="CE29" s="141">
        <f ca="1">IFERROR('Rates Table'!CE44*IF(Inputs!$G$29="No",Low_Demand,Low_Demand_New_TOU),0)</f>
        <v>0</v>
      </c>
      <c r="CF29" s="141">
        <f ca="1">IFERROR('Rates Table'!CF44*IF(Inputs!$G$29="No",Low_Demand,Low_Demand_New_TOU),0)</f>
        <v>0</v>
      </c>
    </row>
    <row r="30" spans="2:84" s="138" customFormat="1" ht="11.55" customHeight="1">
      <c r="C30" s="138" t="s">
        <v>507</v>
      </c>
      <c r="D30" s="139" t="s">
        <v>115</v>
      </c>
      <c r="E30" s="140">
        <f t="shared" ca="1" si="14"/>
        <v>0</v>
      </c>
      <c r="F30" s="138">
        <f ca="1">IFERROR(IF(Inputs!$G$29="No", IF(F55=1, 'Rates Table'!F45*Low_Utilised_Capacity, IF($E$2="Homepower Bulk",'Rates Table'!F45*9*Inputs!$G$27,'Rates Table'!F45*PODs*Low_Days)), IF(F55=1, 'Rates Table'!F45*Low_Utilised_Capacity_New_TOU, IF($E$2="Homepower Bulk",'Rates Table'!F45*9*Inputs!$G$27,'Rates Table'!F45*PODs*Low_Days))),0)</f>
        <v>540.54</v>
      </c>
      <c r="G30" s="138">
        <f ca="1">IFERROR(IF(Inputs!$G$29="No", IF(G55=1, 'Rates Table'!G45*Low_Utilised_Capacity, IF($E$2="Homepower Bulk",'Rates Table'!G45*9*Inputs!$G$27,'Rates Table'!G45*PODs*Low_Days)), IF(G55=1, 'Rates Table'!G45*Low_Utilised_Capacity_New_TOU, IF($E$2="Homepower Bulk",'Rates Table'!G45*9*Inputs!$G$27,'Rates Table'!G45*PODs*Low_Days))),0)</f>
        <v>805.35</v>
      </c>
      <c r="H30" s="138">
        <f ca="1">IFERROR(IF(Inputs!$G$29="No", IF(H55=1, 'Rates Table'!H45*Low_Utilised_Capacity, IF($E$2="Homepower Bulk",'Rates Table'!H45*9*Inputs!$G$27,'Rates Table'!H45*PODs*Low_Days)), IF(H55=1, 'Rates Table'!H45*Low_Utilised_Capacity_New_TOU, IF($E$2="Homepower Bulk",'Rates Table'!H45*9*Inputs!$G$27,'Rates Table'!H45*PODs*Low_Days))),0)</f>
        <v>2012.01</v>
      </c>
      <c r="I30" s="138">
        <f ca="1">IFERROR(IF(Inputs!$G$29="No", IF(I55=1, 'Rates Table'!I45*Low_Utilised_Capacity, IF($E$2="Homepower Bulk",'Rates Table'!I45*9*Inputs!$G$27,'Rates Table'!I45*PODs*Low_Days)), IF(I55=1, 'Rates Table'!I45*Low_Utilised_Capacity_New_TOU, IF($E$2="Homepower Bulk",'Rates Table'!I45*9*Inputs!$G$27,'Rates Table'!I45*PODs*Low_Days))),0)</f>
        <v>0</v>
      </c>
      <c r="J30" s="138">
        <f ca="1">IFERROR(IF(Inputs!$G$29="No", IF(J55=1, 'Rates Table'!J45*Low_Utilised_Capacity, IF($E$2="Homepower Bulk",'Rates Table'!J45*9*Inputs!$G$27,'Rates Table'!J45*PODs*Low_Days)), IF(J55=1, 'Rates Table'!J45*Low_Utilised_Capacity_New_TOU, IF($E$2="Homepower Bulk",'Rates Table'!J45*9*Inputs!$G$27,'Rates Table'!J45*PODs*Low_Days))),0)</f>
        <v>0</v>
      </c>
      <c r="K30" s="138">
        <f ca="1">IFERROR(IF(Inputs!$G$29="No", IF(K55=1, 'Rates Table'!K45*Low_Utilised_Capacity, IF($E$2="Homepower Bulk",'Rates Table'!K45*9*Inputs!$G$27,'Rates Table'!K45*PODs*Low_Days)), IF(K55=1, 'Rates Table'!K45*Low_Utilised_Capacity_New_TOU, IF($E$2="Homepower Bulk",'Rates Table'!K45*9*Inputs!$G$27,'Rates Table'!K45*PODs*Low_Days))),0)</f>
        <v>0</v>
      </c>
      <c r="L30" s="138">
        <f ca="1">IFERROR(IF(Inputs!$G$29="No", IF(L55=1, 'Rates Table'!L45*Low_Utilised_Capacity, IF($E$2="Homepower Bulk",'Rates Table'!L45*9*Inputs!$G$27,'Rates Table'!L45*PODs*Low_Days)), IF(L55=1, 'Rates Table'!L45*Low_Utilised_Capacity_New_TOU, IF($E$2="Homepower Bulk",'Rates Table'!L45*9*Inputs!$G$27,'Rates Table'!L45*PODs*Low_Days))),0)</f>
        <v>196.56</v>
      </c>
      <c r="M30" s="138">
        <f ca="1">IFERROR(IF(Inputs!$G$29="No", IF(M55=1, 'Rates Table'!M45*Low_Utilised_Capacity, IF($E$2="Homepower Bulk",'Rates Table'!M45*9*Inputs!$G$27,'Rates Table'!M45*PODs*Low_Days)), IF(M55=1, 'Rates Table'!M45*Low_Utilised_Capacity_New_TOU, IF($E$2="Homepower Bulk",'Rates Table'!M45*9*Inputs!$G$27,'Rates Table'!M45*PODs*Low_Days))),0)</f>
        <v>346.71</v>
      </c>
      <c r="N30" s="138">
        <f ca="1">IFERROR(IF(Inputs!$G$29="No", IF(N55=1, 'Rates Table'!N45*Low_Utilised_Capacity, IF($E$2="Homepower Bulk",'Rates Table'!N45*9*Inputs!$G$27,'Rates Table'!N45*PODs*Low_Days)), IF(N55=1, 'Rates Table'!N45*Low_Utilised_Capacity_New_TOU, IF($E$2="Homepower Bulk",'Rates Table'!N45*9*Inputs!$G$27,'Rates Table'!N45*PODs*Low_Days))),0)</f>
        <v>846.30000000000007</v>
      </c>
      <c r="O30" s="138">
        <f ca="1">IFERROR(IF(Inputs!$G$29="No", IF(O55=1, 'Rates Table'!O45*Low_Utilised_Capacity, IF($E$2="Homepower Bulk",'Rates Table'!O45*9*Inputs!$G$27,'Rates Table'!O45*PODs*Low_Days)), IF(O55=1, 'Rates Table'!O45*Low_Utilised_Capacity_New_TOU, IF($E$2="Homepower Bulk",'Rates Table'!O45*9*Inputs!$G$27,'Rates Table'!O45*PODs*Low_Days))),0)</f>
        <v>128.31</v>
      </c>
      <c r="P30" s="138">
        <f ca="1">IFERROR(IF(Inputs!$G$29="No", IF(P55=1, 'Rates Table'!P45*Low_Utilised_Capacity, IF($E$2="Homepower Bulk",'Rates Table'!P45*9*Inputs!$G$27,'Rates Table'!P45*PODs*Low_Days)), IF(P55=1, 'Rates Table'!P45*Low_Utilised_Capacity_New_TOU, IF($E$2="Homepower Bulk",'Rates Table'!P45*9*Inputs!$G$27,'Rates Table'!P45*PODs*Low_Days))),0)</f>
        <v>1304.94</v>
      </c>
      <c r="Q30" s="138">
        <f ca="1">IFERROR(IF(Inputs!$G$29="No", IF(Q55=1, 'Rates Table'!Q45*Low_Utilised_Capacity, IF($E$2="Homepower Bulk",'Rates Table'!Q45*9*Inputs!$G$27,'Rates Table'!Q45*PODs*Low_Days)), IF(Q55=1, 'Rates Table'!Q45*Low_Utilised_Capacity_New_TOU, IF($E$2="Homepower Bulk",'Rates Table'!Q45*9*Inputs!$G$27,'Rates Table'!Q45*PODs*Low_Days))),0)</f>
        <v>739.83</v>
      </c>
      <c r="R30" s="138">
        <f ca="1">IFERROR(IF(Inputs!$G$29="No", IF(R55=1, 'Rates Table'!R45*Low_Utilised_Capacity, IF($E$2="Homepower Bulk",'Rates Table'!R45*9*Inputs!$G$27,'Rates Table'!R45*PODs*Low_Days)), IF(R55=1, 'Rates Table'!R45*Low_Utilised_Capacity_New_TOU, IF($E$2="Homepower Bulk",'Rates Table'!R45*9*Inputs!$G$27,'Rates Table'!R45*PODs*Low_Days))),0)</f>
        <v>1466.01</v>
      </c>
      <c r="S30" s="138">
        <f ca="1">IFERROR(IF(Inputs!$G$29="No", IF(S55=1, 'Rates Table'!S45*Low_Utilised_Capacity, IF($E$2="Homepower Bulk",'Rates Table'!S45*9*Inputs!$G$27,'Rates Table'!S45*PODs*Low_Days)), IF(S55=1, 'Rates Table'!S45*Low_Utilised_Capacity_New_TOU, IF($E$2="Homepower Bulk",'Rates Table'!S45*9*Inputs!$G$27,'Rates Table'!S45*PODs*Low_Days))),0)</f>
        <v>2866.5</v>
      </c>
      <c r="T30" s="138">
        <f ca="1">IFERROR(IF(Inputs!$G$29="No", IF(T55=1, 'Rates Table'!T45*Low_Utilised_Capacity, IF($E$2="Homepower Bulk",'Rates Table'!T45*9*Inputs!$G$27,'Rates Table'!T45*PODs*Low_Days)), IF(T55=1, 'Rates Table'!T45*Low_Utilised_Capacity_New_TOU, IF($E$2="Homepower Bulk",'Rates Table'!T45*9*Inputs!$G$27,'Rates Table'!T45*PODs*Low_Days))),0)</f>
        <v>485.94</v>
      </c>
      <c r="U30" s="138">
        <f ca="1">IFERROR(IF(Inputs!$G$29="No", IF(U55=1, 'Rates Table'!U45*Low_Utilised_Capacity, IF($E$2="Homepower Bulk",'Rates Table'!U45*9*Inputs!$G$27,'Rates Table'!U45*PODs*Low_Days)), IF(U55=1, 'Rates Table'!U45*Low_Utilised_Capacity_New_TOU, IF($E$2="Homepower Bulk",'Rates Table'!U45*9*Inputs!$G$27,'Rates Table'!U45*PODs*Low_Days))),0)</f>
        <v>0</v>
      </c>
      <c r="V30" s="138">
        <f ca="1">IFERROR(IF(Inputs!$G$29="No", IF(V55=1, 'Rates Table'!V45*Low_Utilised_Capacity, IF($E$2="Homepower Bulk",'Rates Table'!V45*9*Inputs!$G$27,'Rates Table'!V45*PODs*Low_Days)), IF(V55=1, 'Rates Table'!V45*Low_Utilised_Capacity_New_TOU, IF($E$2="Homepower Bulk",'Rates Table'!V45*9*Inputs!$G$27,'Rates Table'!V45*PODs*Low_Days))),0)</f>
        <v>0</v>
      </c>
      <c r="W30" s="138">
        <f ca="1">IFERROR(IF(Inputs!$G$29="No", IF(W55=1, 'Rates Table'!W45*Low_Utilised_Capacity, IF($E$2="Homepower Bulk",'Rates Table'!W45*9*Inputs!$G$27,'Rates Table'!W45*PODs*Low_Days)), IF(W55=1, 'Rates Table'!W45*Low_Utilised_Capacity_New_TOU, IF($E$2="Homepower Bulk",'Rates Table'!W45*9*Inputs!$G$27,'Rates Table'!W45*PODs*Low_Days))),0)</f>
        <v>0</v>
      </c>
      <c r="X30" s="138">
        <f ca="1">IFERROR(IF(Inputs!$G$29="No", IF(X55=1, 'Rates Table'!X45*Low_Utilised_Capacity, IF($E$2="Homepower Bulk",'Rates Table'!X45*9*Inputs!$G$27,'Rates Table'!X45*PODs*Low_Days)), IF(X55=1, 'Rates Table'!X45*Low_Utilised_Capacity_New_TOU, IF($E$2="Homepower Bulk",'Rates Table'!X45*9*Inputs!$G$27,'Rates Table'!X45*PODs*Low_Days))),0)</f>
        <v>0</v>
      </c>
      <c r="Y30" s="138">
        <f ca="1">IFERROR(IF(Inputs!$G$29="No", IF(Y55=1, 'Rates Table'!Y45*Low_Utilised_Capacity, IF($E$2="Homepower Bulk",'Rates Table'!Y45*9*Inputs!$G$27,'Rates Table'!Y45*PODs*Low_Days)), IF(Y55=1, 'Rates Table'!Y45*Low_Utilised_Capacity_New_TOU, IF($E$2="Homepower Bulk",'Rates Table'!Y45*9*Inputs!$G$27,'Rates Table'!Y45*PODs*Low_Days))),0)</f>
        <v>0</v>
      </c>
      <c r="Z30" s="138">
        <f ca="1">IFERROR(IF(Inputs!$G$29="No", IF(Z55=1, 'Rates Table'!Z45*Low_Utilised_Capacity, IF($E$2="Homepower Bulk",'Rates Table'!Z45*9*Inputs!$G$27,'Rates Table'!Z45*PODs*Low_Days)), IF(Z55=1, 'Rates Table'!Z45*Low_Utilised_Capacity_New_TOU, IF($E$2="Homepower Bulk",'Rates Table'!Z45*9*Inputs!$G$27,'Rates Table'!Z45*PODs*Low_Days))),0)</f>
        <v>0</v>
      </c>
      <c r="AA30" s="138">
        <f ca="1">IFERROR(IF(Inputs!$G$29="No", IF(AA55=1, 'Rates Table'!AA45*Low_Utilised_Capacity, IF($E$2="Homepower Bulk",'Rates Table'!AA45*9*Inputs!$G$27,'Rates Table'!AA45*PODs*Low_Days)), IF(AA55=1, 'Rates Table'!AA45*Low_Utilised_Capacity_New_TOU, IF($E$2="Homepower Bulk",'Rates Table'!AA45*9*Inputs!$G$27,'Rates Table'!AA45*PODs*Low_Days))),0)</f>
        <v>0</v>
      </c>
      <c r="AB30" s="138">
        <f ca="1">IFERROR(IF(Inputs!$G$29="No", IF(AB55=1, 'Rates Table'!AB45*Low_Utilised_Capacity, IF($E$2="Homepower Bulk",'Rates Table'!AB45*9*Inputs!$G$27,'Rates Table'!AB45*PODs*Low_Days)), IF(AB55=1, 'Rates Table'!AB45*Low_Utilised_Capacity_New_TOU, IF($E$2="Homepower Bulk",'Rates Table'!AB45*9*Inputs!$G$27,'Rates Table'!AB45*PODs*Low_Days))),0)</f>
        <v>0</v>
      </c>
      <c r="AC30" s="138">
        <f ca="1">IFERROR(IF(Inputs!$G$29="No", IF(AC55=1, 'Rates Table'!AC45*Low_Utilised_Capacity, IF($E$2="Homepower Bulk",'Rates Table'!AC45*9*Inputs!$G$27,'Rates Table'!AC45*PODs*Low_Days)), IF(AC55=1, 'Rates Table'!AC45*Low_Utilised_Capacity_New_TOU, IF($E$2="Homepower Bulk",'Rates Table'!AC45*9*Inputs!$G$27,'Rates Table'!AC45*PODs*Low_Days))),0)</f>
        <v>0</v>
      </c>
      <c r="AD30" s="138">
        <f ca="1">IFERROR(IF(Inputs!$G$29="No", IF(AD55=1, 'Rates Table'!AD45*Low_Utilised_Capacity, IF($E$2="Homepower Bulk",'Rates Table'!AD45*9*Inputs!$G$27,'Rates Table'!AD45*PODs*Low_Days)), IF(AD55=1, 'Rates Table'!AD45*Low_Utilised_Capacity_New_TOU, IF($E$2="Homepower Bulk",'Rates Table'!AD45*9*Inputs!$G$27,'Rates Table'!AD45*PODs*Low_Days))),0)</f>
        <v>0</v>
      </c>
      <c r="AE30" s="138">
        <f ca="1">IFERROR(IF(Inputs!$G$29="No", IF(AE55=1, 'Rates Table'!AE45*Low_Utilised_Capacity, IF($E$2="Homepower Bulk",'Rates Table'!AE45*9*Inputs!$G$27,'Rates Table'!AE45*PODs*Low_Days)), IF(AE55=1, 'Rates Table'!AE45*Low_Utilised_Capacity_New_TOU, IF($E$2="Homepower Bulk",'Rates Table'!AE45*9*Inputs!$G$27,'Rates Table'!AE45*PODs*Low_Days))),0)</f>
        <v>0</v>
      </c>
      <c r="AF30" s="138">
        <f ca="1">IFERROR(IF(Inputs!$G$29="No", IF(AF55=1, 'Rates Table'!AF45*Low_Utilised_Capacity, IF($E$2="Homepower Bulk",'Rates Table'!AF45*9*Inputs!$G$27,'Rates Table'!AF45*PODs*Low_Days)), IF(AF55=1, 'Rates Table'!AF45*Low_Utilised_Capacity_New_TOU, IF($E$2="Homepower Bulk",'Rates Table'!AF45*9*Inputs!$G$27,'Rates Table'!AF45*PODs*Low_Days))),0)</f>
        <v>0</v>
      </c>
      <c r="AG30" s="138">
        <f ca="1">IFERROR(IF(Inputs!$G$29="No", IF(AG55=1, 'Rates Table'!AG45*Low_Utilised_Capacity, IF($E$2="Homepower Bulk",'Rates Table'!AG45*9*Inputs!$G$27,'Rates Table'!AG45*PODs*Low_Days)), IF(AG55=1, 'Rates Table'!AG45*Low_Utilised_Capacity_New_TOU, IF($E$2="Homepower Bulk",'Rates Table'!AG45*9*Inputs!$G$27,'Rates Table'!AG45*PODs*Low_Days))),0)</f>
        <v>0</v>
      </c>
      <c r="AH30" s="138">
        <f ca="1">IFERROR(IF(Inputs!$G$29="No", IF(AH55=1, 'Rates Table'!AH45*Low_Utilised_Capacity, IF($E$2="Homepower Bulk",'Rates Table'!AH45*9*Inputs!$G$27,'Rates Table'!AH45*PODs*Low_Days)), IF(AH55=1, 'Rates Table'!AH45*Low_Utilised_Capacity_New_TOU, IF($E$2="Homepower Bulk",'Rates Table'!AH45*9*Inputs!$G$27,'Rates Table'!AH45*PODs*Low_Days))),0)</f>
        <v>0</v>
      </c>
      <c r="AI30" s="138">
        <f ca="1">IFERROR(IF(Inputs!$G$29="No", IF(AI55=1, 'Rates Table'!AI45*Low_Utilised_Capacity, IF($E$2="Homepower Bulk",'Rates Table'!AI45*9*Inputs!$G$27,'Rates Table'!AI45*PODs*Low_Days)), IF(AI55=1, 'Rates Table'!AI45*Low_Utilised_Capacity_New_TOU, IF($E$2="Homepower Bulk",'Rates Table'!AI45*9*Inputs!$G$27,'Rates Table'!AI45*PODs*Low_Days))),0)</f>
        <v>0</v>
      </c>
      <c r="AJ30" s="138">
        <f ca="1">IFERROR(IF(Inputs!$G$29="No", IF(AJ55=1, 'Rates Table'!AJ45*Low_Utilised_Capacity, IF($E$2="Homepower Bulk",'Rates Table'!AJ45*9*Inputs!$G$27,'Rates Table'!AJ45*PODs*Low_Days)), IF(AJ55=1, 'Rates Table'!AJ45*Low_Utilised_Capacity_New_TOU, IF($E$2="Homepower Bulk",'Rates Table'!AJ45*9*Inputs!$G$27,'Rates Table'!AJ45*PODs*Low_Days))),0)</f>
        <v>0</v>
      </c>
      <c r="AK30" s="138">
        <f ca="1">IFERROR(IF(Inputs!$G$29="No", IF(AK55=1, 'Rates Table'!AK45*Low_Utilised_Capacity, IF($E$2="Homepower Bulk",'Rates Table'!AK45*9*Inputs!$G$27,'Rates Table'!AK45*PODs*Low_Days)), IF(AK55=1, 'Rates Table'!AK45*Low_Utilised_Capacity_New_TOU, IF($E$2="Homepower Bulk",'Rates Table'!AK45*9*Inputs!$G$27,'Rates Table'!AK45*PODs*Low_Days))),0)</f>
        <v>0</v>
      </c>
      <c r="AL30" s="138">
        <f ca="1">IFERROR(IF(Inputs!$G$29="No", IF(AL55=1, 'Rates Table'!AL45*Low_Utilised_Capacity, IF($E$2="Homepower Bulk",'Rates Table'!AL45*9*Inputs!$G$27,'Rates Table'!AL45*PODs*Low_Days)), IF(AL55=1, 'Rates Table'!AL45*Low_Utilised_Capacity_New_TOU, IF($E$2="Homepower Bulk",'Rates Table'!AL45*9*Inputs!$G$27,'Rates Table'!AL45*PODs*Low_Days))),0)</f>
        <v>196.56</v>
      </c>
      <c r="AM30" s="138">
        <f ca="1">IFERROR(IF(Inputs!$G$29="No", IF(AM55=1, 'Rates Table'!AM45*Low_Utilised_Capacity, IF($E$2="Homepower Bulk",'Rates Table'!AM45*9*Inputs!$G$27,'Rates Table'!AM45*PODs*Low_Days)), IF(AM55=1, 'Rates Table'!AM45*Low_Utilised_Capacity_New_TOU, IF($E$2="Homepower Bulk",'Rates Table'!AM45*9*Inputs!$G$27,'Rates Table'!AM45*PODs*Low_Days))),0)</f>
        <v>346.71</v>
      </c>
      <c r="AN30" s="138">
        <f ca="1">IFERROR(IF(Inputs!$G$29="No", IF(AN55=1, 'Rates Table'!AN45*Low_Utilised_Capacity, IF($E$2="Homepower Bulk",'Rates Table'!AN45*9*Inputs!$G$27,'Rates Table'!AN45*PODs*Low_Days)), IF(AN55=1, 'Rates Table'!AN45*Low_Utilised_Capacity_New_TOU, IF($E$2="Homepower Bulk",'Rates Table'!AN45*9*Inputs!$G$27,'Rates Table'!AN45*PODs*Low_Days))),0)</f>
        <v>846.30000000000007</v>
      </c>
      <c r="AO30" s="138">
        <f ca="1">IFERROR(IF(Inputs!$G$29="No", IF(AO55=1, 'Rates Table'!AO45*Low_Utilised_Capacity, IF($E$2="Homepower Bulk",'Rates Table'!AO45*9*Inputs!$G$27,'Rates Table'!AO45*PODs*Low_Days)), IF(AO55=1, 'Rates Table'!AO45*Low_Utilised_Capacity_New_TOU, IF($E$2="Homepower Bulk",'Rates Table'!AO45*9*Inputs!$G$27,'Rates Table'!AO45*PODs*Low_Days))),0)</f>
        <v>128.31</v>
      </c>
      <c r="AP30" s="138">
        <f ca="1">IFERROR(IF(Inputs!$G$29="No", IF(AP55=1, 'Rates Table'!AP45*Low_Utilised_Capacity, IF($E$2="Homepower Bulk",'Rates Table'!AP45*9*Inputs!$G$27,'Rates Table'!AP45*PODs*Low_Days)), IF(AP55=1, 'Rates Table'!AP45*Low_Utilised_Capacity_New_TOU, IF($E$2="Homepower Bulk",'Rates Table'!AP45*9*Inputs!$G$27,'Rates Table'!AP45*PODs*Low_Days))),0)</f>
        <v>0</v>
      </c>
      <c r="AQ30" s="138">
        <f ca="1">IFERROR(IF(Inputs!$G$29="No", IF(AQ55=1, 'Rates Table'!AQ45*Low_Utilised_Capacity, IF($E$2="Homepower Bulk",'Rates Table'!AQ45*9*Inputs!$G$27,'Rates Table'!AQ45*PODs*Low_Days)), IF(AQ55=1, 'Rates Table'!AQ45*Low_Utilised_Capacity_New_TOU, IF($E$2="Homepower Bulk",'Rates Table'!AQ45*9*Inputs!$G$27,'Rates Table'!AQ45*PODs*Low_Days))),0)</f>
        <v>0</v>
      </c>
      <c r="AR30" s="141">
        <f ca="1">IFERROR(IF(Inputs!$G$29="No", IF(AR55=1, 'Rates Table'!AR45*Low_Utilised_Capacity, IF($E$2="Homepower Bulk",'Rates Table'!AR45*9*Inputs!$G$27,'Rates Table'!AR45*PODs*Low_Days)), IF(AR55=1, 'Rates Table'!AR45*Low_Utilised_Capacity_New_TOU, IF($E$2="Homepower Bulk",'Rates Table'!AR45*9*Inputs!$G$27,'Rates Table'!AR45*PODs*Low_Days))),0)</f>
        <v>0</v>
      </c>
      <c r="AT30" s="140">
        <f t="shared" ca="1" si="15"/>
        <v>0</v>
      </c>
      <c r="AU30" s="141">
        <f ca="1">IFERROR(IF(Inputs!$G$29="No", IF(AU55=1, 'Rates Table'!AU45*Low_Utilised_Capacity, IF($E$2="Homepower Bulk",'Rates Table'!AU45*9*Inputs!$G$27,'Rates Table'!AU45*PODs*Low_Days)), IF(AU55=1, 'Rates Table'!AU45*Low_Utilised_Capacity_New_TOU, IF($E$2="Homepower Bulk",'Rates Table'!AU45*9*Inputs!$G$27,'Rates Table'!AU45*PODs*Low_Days))),0)</f>
        <v>819</v>
      </c>
      <c r="AV30" s="141">
        <f ca="1">IFERROR(IF(Inputs!$G$29="No", IF(AV55=1, 'Rates Table'!AV45*Low_Utilised_Capacity, IF($E$2="Homepower Bulk",'Rates Table'!AV45*9*Inputs!$G$27,'Rates Table'!AV45*PODs*Low_Days)), IF(AV55=1, 'Rates Table'!AV45*Low_Utilised_Capacity_New_TOU, IF($E$2="Homepower Bulk",'Rates Table'!AV45*9*Inputs!$G$27,'Rates Table'!AV45*PODs*Low_Days))),0)</f>
        <v>1223.0400000000002</v>
      </c>
      <c r="AW30" s="141">
        <f ca="1">IFERROR(IF(Inputs!$G$29="No", IF(AW55=1, 'Rates Table'!AW45*Low_Utilised_Capacity, IF($E$2="Homepower Bulk",'Rates Table'!AW45*9*Inputs!$G$27,'Rates Table'!AW45*PODs*Low_Days)), IF(AW55=1, 'Rates Table'!AW45*Low_Utilised_Capacity_New_TOU, IF($E$2="Homepower Bulk",'Rates Table'!AW45*9*Inputs!$G$27,'Rates Table'!AW45*PODs*Low_Days))),0)</f>
        <v>3052.14</v>
      </c>
      <c r="AX30" s="141">
        <f ca="1">IFERROR(IF(Inputs!$G$29="No", IF(AX55=1, 'Rates Table'!AX45*Low_Utilised_Capacity, IF($E$2="Homepower Bulk",'Rates Table'!AX45*9*Inputs!$G$27,'Rates Table'!AX45*PODs*Low_Days)), IF(AX55=1, 'Rates Table'!AX45*Low_Utilised_Capacity_New_TOU, IF($E$2="Homepower Bulk",'Rates Table'!AX45*9*Inputs!$G$27,'Rates Table'!AX45*PODs*Low_Days))),0)</f>
        <v>0</v>
      </c>
      <c r="AY30" s="141">
        <f ca="1">IFERROR(IF(Inputs!$G$29="No", IF(AY55=1, 'Rates Table'!AY45*Low_Utilised_Capacity, IF($E$2="Homepower Bulk",'Rates Table'!AY45*9*Inputs!$G$27,'Rates Table'!AY45*PODs*Low_Days)), IF(AY55=1, 'Rates Table'!AY45*Low_Utilised_Capacity_New_TOU, IF($E$2="Homepower Bulk",'Rates Table'!AY45*9*Inputs!$G$27,'Rates Table'!AY45*PODs*Low_Days))),0)</f>
        <v>0</v>
      </c>
      <c r="AZ30" s="141">
        <f ca="1">IFERROR(IF(Inputs!$G$29="No", IF(AZ55=1, 'Rates Table'!AZ45*Low_Utilised_Capacity, IF($E$2="Homepower Bulk",'Rates Table'!AZ45*9*Inputs!$G$27,'Rates Table'!AZ45*PODs*Low_Days)), IF(AZ55=1, 'Rates Table'!AZ45*Low_Utilised_Capacity_New_TOU, IF($E$2="Homepower Bulk",'Rates Table'!AZ45*9*Inputs!$G$27,'Rates Table'!AZ45*PODs*Low_Days))),0)</f>
        <v>0</v>
      </c>
      <c r="BA30" s="141">
        <f ca="1">IFERROR(IF(Inputs!$G$29="No", IF(BA55=1, 'Rates Table'!BA45*Low_Utilised_Capacity, IF($E$2="Homepower Bulk",'Rates Table'!BA45*9*Inputs!$G$27,'Rates Table'!BA45*PODs*Low_Days)), IF(BA55=1, 'Rates Table'!BA45*Low_Utilised_Capacity_New_TOU, IF($E$2="Homepower Bulk",'Rates Table'!BA45*9*Inputs!$G$27,'Rates Table'!BA45*PODs*Low_Days))),0)</f>
        <v>297.57000000000005</v>
      </c>
      <c r="BB30" s="141">
        <f ca="1">IFERROR(IF(Inputs!$G$29="No", IF(BB55=1, 'Rates Table'!BB45*Low_Utilised_Capacity, IF($E$2="Homepower Bulk",'Rates Table'!BB45*9*Inputs!$G$27,'Rates Table'!BB45*PODs*Low_Days)), IF(BB55=1, 'Rates Table'!BB45*Low_Utilised_Capacity_New_TOU, IF($E$2="Homepower Bulk",'Rates Table'!BB45*9*Inputs!$G$27,'Rates Table'!BB45*PODs*Low_Days))),0)</f>
        <v>526.89</v>
      </c>
      <c r="BC30" s="141">
        <f ca="1">IFERROR(IF(Inputs!$G$29="No", IF(BC55=1, 'Rates Table'!BC45*Low_Utilised_Capacity, IF($E$2="Homepower Bulk",'Rates Table'!BC45*9*Inputs!$G$27,'Rates Table'!BC45*PODs*Low_Days)), IF(BC55=1, 'Rates Table'!BC45*Low_Utilised_Capacity_New_TOU, IF($E$2="Homepower Bulk",'Rates Table'!BC45*9*Inputs!$G$27,'Rates Table'!BC45*PODs*Low_Days))),0)</f>
        <v>1283.1000000000001</v>
      </c>
      <c r="BD30" s="141">
        <f ca="1">IFERROR(IF(Inputs!$G$29="No", IF(BD55=1, 'Rates Table'!BD45*Low_Utilised_Capacity, IF($E$2="Homepower Bulk",'Rates Table'!BD45*9*Inputs!$G$27,'Rates Table'!BD45*PODs*Low_Days)), IF(BD55=1, 'Rates Table'!BD45*Low_Utilised_Capacity_New_TOU, IF($E$2="Homepower Bulk",'Rates Table'!BD45*9*Inputs!$G$27,'Rates Table'!BD45*PODs*Low_Days))),0)</f>
        <v>193.82999999999998</v>
      </c>
      <c r="BE30" s="141">
        <f ca="1">IFERROR(IF(Inputs!$G$29="No", IF(BE55=1, 'Rates Table'!BE45*Low_Utilised_Capacity, IF($E$2="Homepower Bulk",'Rates Table'!BE45*9*Inputs!$G$27,'Rates Table'!BE45*PODs*Low_Days)), IF(BE55=1, 'Rates Table'!BE45*Low_Utilised_Capacity_New_TOU, IF($E$2="Homepower Bulk",'Rates Table'!BE45*9*Inputs!$G$27,'Rates Table'!BE45*PODs*Low_Days))),0)</f>
        <v>1979.25</v>
      </c>
      <c r="BF30" s="141">
        <f ca="1">IFERROR(IF(Inputs!$G$29="No", IF(BF55=1, 'Rates Table'!BF45*Low_Utilised_Capacity, IF($E$2="Homepower Bulk",'Rates Table'!BF45*9*Inputs!$G$27,'Rates Table'!BF45*PODs*Low_Days)), IF(BF55=1, 'Rates Table'!BF45*Low_Utilised_Capacity_New_TOU, IF($E$2="Homepower Bulk",'Rates Table'!BF45*9*Inputs!$G$27,'Rates Table'!BF45*PODs*Low_Days))),0)</f>
        <v>1122.0300000000002</v>
      </c>
      <c r="BG30" s="141">
        <f ca="1">IFERROR(IF(Inputs!$G$29="No", IF(BG55=1, 'Rates Table'!BG45*Low_Utilised_Capacity, IF($E$2="Homepower Bulk",'Rates Table'!BG45*9*Inputs!$G$27,'Rates Table'!BG45*PODs*Low_Days)), IF(BG55=1, 'Rates Table'!BG45*Low_Utilised_Capacity_New_TOU, IF($E$2="Homepower Bulk",'Rates Table'!BG45*9*Inputs!$G$27,'Rates Table'!BG45*PODs*Low_Days))),0)</f>
        <v>2224.9500000000003</v>
      </c>
      <c r="BH30" s="141">
        <f ca="1">IFERROR(IF(Inputs!$G$29="No", IF(BH55=1, 'Rates Table'!BH45*Low_Utilised_Capacity, IF($E$2="Homepower Bulk",'Rates Table'!BH45*9*Inputs!$G$27,'Rates Table'!BH45*PODs*Low_Days)), IF(BH55=1, 'Rates Table'!BH45*Low_Utilised_Capacity_New_TOU, IF($E$2="Homepower Bulk",'Rates Table'!BH45*9*Inputs!$G$27,'Rates Table'!BH45*PODs*Low_Days))),0)</f>
        <v>4348.8900000000003</v>
      </c>
      <c r="BI30" s="141">
        <f ca="1">IFERROR(IF(Inputs!$G$29="No", IF(BI55=1, 'Rates Table'!BI45*Low_Utilised_Capacity, IF($E$2="Homepower Bulk",'Rates Table'!BI45*9*Inputs!$G$27,'Rates Table'!BI45*PODs*Low_Days)), IF(BI55=1, 'Rates Table'!BI45*Low_Utilised_Capacity_New_TOU, IF($E$2="Homepower Bulk",'Rates Table'!BI45*9*Inputs!$G$27,'Rates Table'!BI45*PODs*Low_Days))),0)</f>
        <v>737.1</v>
      </c>
      <c r="BJ30" s="141">
        <f ca="1">IFERROR(IF(Inputs!$G$29="No", IF(BJ55=1, 'Rates Table'!BJ45*Low_Utilised_Capacity, IF($E$2="Homepower Bulk",'Rates Table'!BJ45*9*Inputs!$G$27,'Rates Table'!BJ45*PODs*Low_Days)), IF(BJ55=1, 'Rates Table'!BJ45*Low_Utilised_Capacity_New_TOU, IF($E$2="Homepower Bulk",'Rates Table'!BJ45*9*Inputs!$G$27,'Rates Table'!BJ45*PODs*Low_Days))),0)</f>
        <v>0</v>
      </c>
      <c r="BK30" s="141">
        <f ca="1">IFERROR(IF(Inputs!$G$29="No", IF(BK55=1, 'Rates Table'!BK45*Low_Utilised_Capacity, IF($E$2="Homepower Bulk",'Rates Table'!BK45*9*Inputs!$G$27,'Rates Table'!BK45*PODs*Low_Days)), IF(BK55=1, 'Rates Table'!BK45*Low_Utilised_Capacity_New_TOU, IF($E$2="Homepower Bulk",'Rates Table'!BK45*9*Inputs!$G$27,'Rates Table'!BK45*PODs*Low_Days))),0)</f>
        <v>0</v>
      </c>
      <c r="BL30" s="141">
        <f ca="1">IFERROR(IF(Inputs!$G$29="No", IF(BL55=1, 'Rates Table'!BL45*Low_Utilised_Capacity, IF($E$2="Homepower Bulk",'Rates Table'!BL45*9*Inputs!$G$27,'Rates Table'!BL45*PODs*Low_Days)), IF(BL55=1, 'Rates Table'!BL45*Low_Utilised_Capacity_New_TOU, IF($E$2="Homepower Bulk",'Rates Table'!BL45*9*Inputs!$G$27,'Rates Table'!BL45*PODs*Low_Days))),0)</f>
        <v>0</v>
      </c>
      <c r="BM30" s="141">
        <f ca="1">IFERROR(IF(Inputs!$G$29="No", IF(BM55=1, 'Rates Table'!BM45*Low_Utilised_Capacity, IF($E$2="Homepower Bulk",'Rates Table'!BM45*9*Inputs!$G$27,'Rates Table'!BM45*PODs*Low_Days)), IF(BM55=1, 'Rates Table'!BM45*Low_Utilised_Capacity_New_TOU, IF($E$2="Homepower Bulk",'Rates Table'!BM45*9*Inputs!$G$27,'Rates Table'!BM45*PODs*Low_Days))),0)</f>
        <v>0</v>
      </c>
      <c r="BN30" s="141">
        <f ca="1">IFERROR(IF(Inputs!$G$29="No", IF(BN55=1, 'Rates Table'!BN45*Low_Utilised_Capacity, IF($E$2="Homepower Bulk",'Rates Table'!BN45*9*Inputs!$G$27,'Rates Table'!BN45*PODs*Low_Days)), IF(BN55=1, 'Rates Table'!BN45*Low_Utilised_Capacity_New_TOU, IF($E$2="Homepower Bulk",'Rates Table'!BN45*9*Inputs!$G$27,'Rates Table'!BN45*PODs*Low_Days))),0)</f>
        <v>0</v>
      </c>
      <c r="BO30" s="141">
        <f ca="1">IFERROR(IF(Inputs!$G$29="No", IF(BO55=1, 'Rates Table'!BO45*Low_Utilised_Capacity, IF($E$2="Homepower Bulk",'Rates Table'!BO45*9*Inputs!$G$27,'Rates Table'!BO45*PODs*Low_Days)), IF(BO55=1, 'Rates Table'!BO45*Low_Utilised_Capacity_New_TOU, IF($E$2="Homepower Bulk",'Rates Table'!BO45*9*Inputs!$G$27,'Rates Table'!BO45*PODs*Low_Days))),0)</f>
        <v>0</v>
      </c>
      <c r="BP30" s="141">
        <f ca="1">IFERROR(IF(Inputs!$G$29="No", IF(BP55=1, 'Rates Table'!BP45*Low_Utilised_Capacity, IF($E$2="Homepower Bulk",'Rates Table'!BP45*9*Inputs!$G$27,'Rates Table'!BP45*PODs*Low_Days)), IF(BP55=1, 'Rates Table'!BP45*Low_Utilised_Capacity_New_TOU, IF($E$2="Homepower Bulk",'Rates Table'!BP45*9*Inputs!$G$27,'Rates Table'!BP45*PODs*Low_Days))),0)</f>
        <v>0</v>
      </c>
      <c r="BQ30" s="141">
        <f ca="1">IFERROR(IF(Inputs!$G$29="No", IF(BQ55=1, 'Rates Table'!BQ45*Low_Utilised_Capacity, IF($E$2="Homepower Bulk",'Rates Table'!BQ45*9*Inputs!$G$27,'Rates Table'!BQ45*PODs*Low_Days)), IF(BQ55=1, 'Rates Table'!BQ45*Low_Utilised_Capacity_New_TOU, IF($E$2="Homepower Bulk",'Rates Table'!BQ45*9*Inputs!$G$27,'Rates Table'!BQ45*PODs*Low_Days))),0)</f>
        <v>0</v>
      </c>
      <c r="BR30" s="141">
        <f ca="1">IFERROR(IF(Inputs!$G$29="No", IF(BR55=1, 'Rates Table'!BR45*Low_Utilised_Capacity, IF($E$2="Homepower Bulk",'Rates Table'!BR45*9*Inputs!$G$27,'Rates Table'!BR45*PODs*Low_Days)), IF(BR55=1, 'Rates Table'!BR45*Low_Utilised_Capacity_New_TOU, IF($E$2="Homepower Bulk",'Rates Table'!BR45*9*Inputs!$G$27,'Rates Table'!BR45*PODs*Low_Days))),0)</f>
        <v>0</v>
      </c>
      <c r="BS30" s="141">
        <f ca="1">IFERROR(IF(Inputs!$G$29="No", IF(BS55=1, 'Rates Table'!BS45*Low_Utilised_Capacity, IF($E$2="Homepower Bulk",'Rates Table'!BS45*9*Inputs!$G$27,'Rates Table'!BS45*PODs*Low_Days)), IF(BS55=1, 'Rates Table'!BS45*Low_Utilised_Capacity_New_TOU, IF($E$2="Homepower Bulk",'Rates Table'!BS45*9*Inputs!$G$27,'Rates Table'!BS45*PODs*Low_Days))),0)</f>
        <v>0</v>
      </c>
      <c r="BT30" s="141">
        <f ca="1">IFERROR(IF(Inputs!$G$29="No", IF(BT55=1, 'Rates Table'!BT45*Low_Utilised_Capacity, IF($E$2="Homepower Bulk",'Rates Table'!BT45*9*Inputs!$G$27,'Rates Table'!BT45*PODs*Low_Days)), IF(BT55=1, 'Rates Table'!BT45*Low_Utilised_Capacity_New_TOU, IF($E$2="Homepower Bulk",'Rates Table'!BT45*9*Inputs!$G$27,'Rates Table'!BT45*PODs*Low_Days))),0)</f>
        <v>0</v>
      </c>
      <c r="BU30" s="141">
        <f ca="1">IFERROR(IF(Inputs!$G$29="No", IF(BU55=1, 'Rates Table'!BU45*Low_Utilised_Capacity, IF($E$2="Homepower Bulk",'Rates Table'!BU45*9*Inputs!$G$27,'Rates Table'!BU45*PODs*Low_Days)), IF(BU55=1, 'Rates Table'!BU45*Low_Utilised_Capacity_New_TOU, IF($E$2="Homepower Bulk",'Rates Table'!BU45*9*Inputs!$G$27,'Rates Table'!BU45*PODs*Low_Days))),0)</f>
        <v>0</v>
      </c>
      <c r="BV30" s="141">
        <f ca="1">IFERROR(IF(Inputs!$G$29="No", IF(BV55=1, 'Rates Table'!BV45*Low_Utilised_Capacity, IF($E$2="Homepower Bulk",'Rates Table'!BV45*9*Inputs!$G$27,'Rates Table'!BV45*PODs*Low_Days)), IF(BV55=1, 'Rates Table'!BV45*Low_Utilised_Capacity_New_TOU, IF($E$2="Homepower Bulk",'Rates Table'!BV45*9*Inputs!$G$27,'Rates Table'!BV45*PODs*Low_Days))),0)</f>
        <v>0</v>
      </c>
      <c r="BW30" s="141">
        <f ca="1">IFERROR(IF(Inputs!$G$29="No", IF(BW55=1, 'Rates Table'!BW45*Low_Utilised_Capacity, IF($E$2="Homepower Bulk",'Rates Table'!BW45*9*Inputs!$G$27,'Rates Table'!BW45*PODs*Low_Days)), IF(BW55=1, 'Rates Table'!BW45*Low_Utilised_Capacity_New_TOU, IF($E$2="Homepower Bulk",'Rates Table'!BW45*9*Inputs!$G$27,'Rates Table'!BW45*PODs*Low_Days))),0)</f>
        <v>0</v>
      </c>
      <c r="BX30" s="141">
        <f ca="1">IFERROR(IF(Inputs!$G$29="No", IF(BX55=1, 'Rates Table'!BX45*Low_Utilised_Capacity, IF($E$2="Homepower Bulk",'Rates Table'!BX45*9*Inputs!$G$27,'Rates Table'!BX45*PODs*Low_Days)), IF(BX55=1, 'Rates Table'!BX45*Low_Utilised_Capacity_New_TOU, IF($E$2="Homepower Bulk",'Rates Table'!BX45*9*Inputs!$G$27,'Rates Table'!BX45*PODs*Low_Days))),0)</f>
        <v>0</v>
      </c>
      <c r="BY30" s="141">
        <f ca="1">IFERROR(IF(Inputs!$G$29="No", IF(BY55=1, 'Rates Table'!BY45*Low_Utilised_Capacity, IF($E$2="Homepower Bulk",'Rates Table'!BY45*9*Inputs!$G$27,'Rates Table'!BY45*PODs*Low_Days)), IF(BY55=1, 'Rates Table'!BY45*Low_Utilised_Capacity_New_TOU, IF($E$2="Homepower Bulk",'Rates Table'!BY45*9*Inputs!$G$27,'Rates Table'!BY45*PODs*Low_Days))),0)</f>
        <v>0</v>
      </c>
      <c r="BZ30" s="141">
        <f ca="1">IFERROR(IF(Inputs!$G$29="No", IF(BZ55=1, 'Rates Table'!BZ45*Low_Utilised_Capacity, IF($E$2="Homepower Bulk",'Rates Table'!BZ45*9*Inputs!$G$27,'Rates Table'!BZ45*PODs*Low_Days)), IF(BZ55=1, 'Rates Table'!BZ45*Low_Utilised_Capacity_New_TOU, IF($E$2="Homepower Bulk",'Rates Table'!BZ45*9*Inputs!$G$27,'Rates Table'!BZ45*PODs*Low_Days))),0)</f>
        <v>0</v>
      </c>
      <c r="CA30" s="141">
        <f ca="1">IFERROR(IF(Inputs!$G$29="No", IF(CA55=1, 'Rates Table'!CA45*Low_Utilised_Capacity, IF($E$2="Homepower Bulk",'Rates Table'!CA45*9*Inputs!$G$27,'Rates Table'!CA45*PODs*Low_Days)), IF(CA55=1, 'Rates Table'!CA45*Low_Utilised_Capacity_New_TOU, IF($E$2="Homepower Bulk",'Rates Table'!CA45*9*Inputs!$G$27,'Rates Table'!CA45*PODs*Low_Days))),0)</f>
        <v>297.57000000000005</v>
      </c>
      <c r="CB30" s="141">
        <f ca="1">IFERROR(IF(Inputs!$G$29="No", IF(CB55=1, 'Rates Table'!CB45*Low_Utilised_Capacity, IF($E$2="Homepower Bulk",'Rates Table'!CB45*9*Inputs!$G$27,'Rates Table'!CB45*PODs*Low_Days)), IF(CB55=1, 'Rates Table'!CB45*Low_Utilised_Capacity_New_TOU, IF($E$2="Homepower Bulk",'Rates Table'!CB45*9*Inputs!$G$27,'Rates Table'!CB45*PODs*Low_Days))),0)</f>
        <v>526.89</v>
      </c>
      <c r="CC30" s="141">
        <f ca="1">IFERROR(IF(Inputs!$G$29="No", IF(CC55=1, 'Rates Table'!CC45*Low_Utilised_Capacity, IF($E$2="Homepower Bulk",'Rates Table'!CC45*9*Inputs!$G$27,'Rates Table'!CC45*PODs*Low_Days)), IF(CC55=1, 'Rates Table'!CC45*Low_Utilised_Capacity_New_TOU, IF($E$2="Homepower Bulk",'Rates Table'!CC45*9*Inputs!$G$27,'Rates Table'!CC45*PODs*Low_Days))),0)</f>
        <v>1283.1000000000001</v>
      </c>
      <c r="CD30" s="141">
        <f ca="1">IFERROR(IF(Inputs!$G$29="No", IF(CD55=1, 'Rates Table'!CD45*Low_Utilised_Capacity, IF($E$2="Homepower Bulk",'Rates Table'!CD45*9*Inputs!$G$27,'Rates Table'!CD45*PODs*Low_Days)), IF(CD55=1, 'Rates Table'!CD45*Low_Utilised_Capacity_New_TOU, IF($E$2="Homepower Bulk",'Rates Table'!CD45*9*Inputs!$G$27,'Rates Table'!CD45*PODs*Low_Days))),0)</f>
        <v>193.82999999999998</v>
      </c>
      <c r="CE30" s="141">
        <f ca="1">IFERROR(IF(Inputs!$G$29="No", IF(CE55=1, 'Rates Table'!CE45*Low_Utilised_Capacity, IF($E$2="Homepower Bulk",'Rates Table'!CE45*9*Inputs!$G$27,'Rates Table'!CE45*PODs*Low_Days)), IF(CE55=1, 'Rates Table'!CE45*Low_Utilised_Capacity_New_TOU, IF($E$2="Homepower Bulk",'Rates Table'!CE45*9*Inputs!$G$27,'Rates Table'!CE45*PODs*Low_Days))),0)</f>
        <v>0</v>
      </c>
      <c r="CF30" s="141">
        <f ca="1">IFERROR(IF(Inputs!$G$29="No", IF(CF55=1, 'Rates Table'!CF45*Low_Utilised_Capacity, IF($E$2="Homepower Bulk",'Rates Table'!CF45*9*Inputs!$G$27,'Rates Table'!CF45*PODs*Low_Days)), IF(CF55=1, 'Rates Table'!CF45*Low_Utilised_Capacity_New_TOU, IF($E$2="Homepower Bulk",'Rates Table'!CF45*9*Inputs!$G$27,'Rates Table'!CF45*PODs*Low_Days))),0)</f>
        <v>0</v>
      </c>
    </row>
    <row r="31" spans="2:84" s="138" customFormat="1" ht="11.55" customHeight="1">
      <c r="C31" s="138" t="s">
        <v>533</v>
      </c>
      <c r="D31" s="139" t="s">
        <v>106</v>
      </c>
      <c r="E31" s="140">
        <f t="shared" ca="1" si="14"/>
        <v>0</v>
      </c>
      <c r="F31" s="141">
        <f ca="1">IFERROR('Rates Table'!F46*IF(Inputs!$G$29="No",Low_Total_Energy,Low_Total_Energy_New_TOU),0)/100</f>
        <v>0</v>
      </c>
      <c r="G31" s="141">
        <f ca="1">IFERROR('Rates Table'!G46*IF(Inputs!$G$29="No",Low_Total_Energy,Low_Total_Energy_New_TOU),0)/100</f>
        <v>0</v>
      </c>
      <c r="H31" s="141">
        <f ca="1">IFERROR('Rates Table'!H46*IF(Inputs!$G$29="No",Low_Total_Energy,Low_Total_Energy_New_TOU),0)/100</f>
        <v>0</v>
      </c>
      <c r="I31" s="141">
        <f ca="1">IFERROR('Rates Table'!I46*IF(Inputs!$G$29="No",Low_Total_Energy,Low_Total_Energy_New_TOU),0)/100</f>
        <v>0</v>
      </c>
      <c r="J31" s="141">
        <f ca="1">IFERROR('Rates Table'!J46*IF(Inputs!$G$29="No",Low_Total_Energy,Low_Total_Energy_New_TOU),0)/100</f>
        <v>0</v>
      </c>
      <c r="K31" s="141">
        <f ca="1">IFERROR('Rates Table'!K46*IF(Inputs!$G$29="No",Low_Total_Energy,Low_Total_Energy_New_TOU),0)/100</f>
        <v>0</v>
      </c>
      <c r="L31" s="141">
        <f ca="1">IFERROR('Rates Table'!L46*IF(Inputs!$G$29="No",Low_Total_Energy,Low_Total_Energy_New_TOU),0)/100</f>
        <v>0</v>
      </c>
      <c r="M31" s="141">
        <f ca="1">IFERROR('Rates Table'!M46*IF(Inputs!$G$29="No",Low_Total_Energy,Low_Total_Energy_New_TOU),0)/100</f>
        <v>0</v>
      </c>
      <c r="N31" s="141">
        <f ca="1">IFERROR('Rates Table'!N46*IF(Inputs!$G$29="No",Low_Total_Energy,Low_Total_Energy_New_TOU),0)/100</f>
        <v>0</v>
      </c>
      <c r="O31" s="141">
        <f ca="1">IFERROR('Rates Table'!O46*IF(Inputs!$G$29="No",Low_Total_Energy,Low_Total_Energy_New_TOU),0)/100</f>
        <v>0</v>
      </c>
      <c r="P31" s="141">
        <f ca="1">IFERROR('Rates Table'!P46*IF(Inputs!$G$29="No",Low_Total_Energy,Low_Total_Energy_New_TOU),0)/100</f>
        <v>0</v>
      </c>
      <c r="Q31" s="141">
        <f ca="1">IFERROR('Rates Table'!Q46*IF(Inputs!$G$29="No",Low_Total_Energy,Low_Total_Energy_New_TOU),0)/100</f>
        <v>0</v>
      </c>
      <c r="R31" s="141">
        <f ca="1">IFERROR('Rates Table'!R46*IF(Inputs!$G$29="No",Low_Total_Energy,Low_Total_Energy_New_TOU),0)/100</f>
        <v>0</v>
      </c>
      <c r="S31" s="141">
        <f ca="1">IFERROR('Rates Table'!S46*IF(Inputs!$G$29="No",Low_Total_Energy,Low_Total_Energy_New_TOU),0)/100</f>
        <v>0</v>
      </c>
      <c r="T31" s="141">
        <f ca="1">IFERROR('Rates Table'!T46*IF(Inputs!$G$29="No",Low_Total_Energy,Low_Total_Energy_New_TOU),0)/100</f>
        <v>0</v>
      </c>
      <c r="U31" s="141">
        <f ca="1">IFERROR('Rates Table'!U46*IF(Inputs!$G$29="No",Low_Total_Energy,Low_Total_Energy_New_TOU),0)/100</f>
        <v>0</v>
      </c>
      <c r="V31" s="141">
        <f ca="1">IFERROR('Rates Table'!V46*IF(Inputs!$G$29="No",Low_Total_Energy,Low_Total_Energy_New_TOU),0)/100</f>
        <v>0</v>
      </c>
      <c r="W31" s="141">
        <f ca="1">IFERROR('Rates Table'!W46*IF(Inputs!$G$29="No",Low_Total_Energy,Low_Total_Energy_New_TOU),0)/100</f>
        <v>0</v>
      </c>
      <c r="X31" s="141">
        <f ca="1">IFERROR('Rates Table'!X46*IF(Inputs!$G$29="No",Low_Total_Energy,Low_Total_Energy_New_TOU),0)/100</f>
        <v>0</v>
      </c>
      <c r="Y31" s="141">
        <f ca="1">IFERROR('Rates Table'!Y46*IF(Inputs!$G$29="No",Low_Total_Energy,Low_Total_Energy_New_TOU),0)/100</f>
        <v>0</v>
      </c>
      <c r="Z31" s="141">
        <f ca="1">IFERROR('Rates Table'!Z46*IF(Inputs!$G$29="No",Low_Total_Energy,Low_Total_Energy_New_TOU),0)/100</f>
        <v>0</v>
      </c>
      <c r="AA31" s="141">
        <f ca="1">IFERROR('Rates Table'!AA46*IF(Inputs!$G$29="No",Low_Total_Energy,Low_Total_Energy_New_TOU),0)/100</f>
        <v>0</v>
      </c>
      <c r="AB31" s="141">
        <f ca="1">IFERROR('Rates Table'!AB46*IF(Inputs!$G$29="No",Low_Total_Energy,Low_Total_Energy_New_TOU),0)/100</f>
        <v>0</v>
      </c>
      <c r="AC31" s="141">
        <f ca="1">IFERROR('Rates Table'!AC46*IF(Inputs!$G$29="No",Low_Total_Energy,Low_Total_Energy_New_TOU),0)/100</f>
        <v>0</v>
      </c>
      <c r="AD31" s="141">
        <f ca="1">IFERROR('Rates Table'!AD46*IF(Inputs!$G$29="No",Low_Total_Energy,Low_Total_Energy_New_TOU),0)/100</f>
        <v>0</v>
      </c>
      <c r="AE31" s="141">
        <f ca="1">IFERROR('Rates Table'!AE46*IF(Inputs!$G$29="No",Low_Total_Energy,Low_Total_Energy_New_TOU),0)/100</f>
        <v>0</v>
      </c>
      <c r="AF31" s="141">
        <f ca="1">IFERROR('Rates Table'!AF46*IF(Inputs!$G$29="No",Low_Total_Energy,Low_Total_Energy_New_TOU),0)/100</f>
        <v>0</v>
      </c>
      <c r="AG31" s="141">
        <f ca="1">IFERROR('Rates Table'!AG46*IF(Inputs!$G$29="No",Low_Total_Energy,Low_Total_Energy_New_TOU),0)/100</f>
        <v>0</v>
      </c>
      <c r="AH31" s="141">
        <f ca="1">IFERROR('Rates Table'!AH46*IF(Inputs!$G$29="No",Low_Total_Energy,Low_Total_Energy_New_TOU),0)/100</f>
        <v>0</v>
      </c>
      <c r="AI31" s="141">
        <f ca="1">IFERROR('Rates Table'!AI46*IF(Inputs!$G$29="No",Low_Total_Energy,Low_Total_Energy_New_TOU),0)/100</f>
        <v>0</v>
      </c>
      <c r="AJ31" s="141">
        <f ca="1">IFERROR('Rates Table'!AJ46*IF(Inputs!$G$29="No",Low_Total_Energy,Low_Total_Energy_New_TOU),0)/100</f>
        <v>0</v>
      </c>
      <c r="AK31" s="141">
        <f ca="1">IFERROR('Rates Table'!AK46*IF(Inputs!$G$29="No",Low_Total_Energy,Low_Total_Energy_New_TOU),0)/100</f>
        <v>0</v>
      </c>
      <c r="AL31" s="141">
        <f ca="1">IFERROR('Rates Table'!AL46*IF(Inputs!$G$29="No",Low_Total_Energy,Low_Total_Energy_New_TOU),0)/100</f>
        <v>0</v>
      </c>
      <c r="AM31" s="141">
        <f ca="1">IFERROR('Rates Table'!AM46*IF(Inputs!$G$29="No",Low_Total_Energy,Low_Total_Energy_New_TOU),0)/100</f>
        <v>0</v>
      </c>
      <c r="AN31" s="141">
        <f ca="1">IFERROR('Rates Table'!AN46*IF(Inputs!$G$29="No",Low_Total_Energy,Low_Total_Energy_New_TOU),0)/100</f>
        <v>0</v>
      </c>
      <c r="AO31" s="141">
        <f ca="1">IFERROR('Rates Table'!AO46*IF(Inputs!$G$29="No",Low_Total_Energy,Low_Total_Energy_New_TOU),0)/100</f>
        <v>0</v>
      </c>
      <c r="AP31" s="141">
        <f ca="1">IFERROR('Rates Table'!AP46*IF(Inputs!$G$29="No",Low_Total_Energy,Low_Total_Energy_New_TOU),0)/100</f>
        <v>0</v>
      </c>
      <c r="AQ31" s="141">
        <f ca="1">IFERROR('Rates Table'!AQ46*IF(Inputs!$G$29="No",Low_Total_Energy,Low_Total_Energy_New_TOU),0)/100</f>
        <v>0</v>
      </c>
      <c r="AR31" s="144">
        <f ca="1">IFERROR('Rates Table'!AR46*IF(Inputs!$G$29="No",Low_Total_Energy,Low_Total_Energy_New_TOU),0)/100</f>
        <v>0</v>
      </c>
      <c r="AT31" s="140">
        <f t="shared" ca="1" si="15"/>
        <v>0</v>
      </c>
      <c r="AU31" s="144">
        <f ca="1">IFERROR('Rates Table'!AU46*IF(Inputs!$G$29="No",Low_Total_Energy,Low_Total_Energy_New_TOU),0)/100</f>
        <v>0</v>
      </c>
      <c r="AV31" s="144">
        <f ca="1">IFERROR('Rates Table'!AV46*IF(Inputs!$G$29="No",Low_Total_Energy,Low_Total_Energy_New_TOU),0)/100</f>
        <v>0</v>
      </c>
      <c r="AW31" s="144">
        <f ca="1">IFERROR('Rates Table'!AW46*IF(Inputs!$G$29="No",Low_Total_Energy,Low_Total_Energy_New_TOU),0)/100</f>
        <v>0</v>
      </c>
      <c r="AX31" s="144">
        <f ca="1">IFERROR('Rates Table'!AX46*IF(Inputs!$G$29="No",Low_Total_Energy,Low_Total_Energy_New_TOU),0)/100</f>
        <v>0</v>
      </c>
      <c r="AY31" s="144">
        <f ca="1">IFERROR('Rates Table'!AY46*IF(Inputs!$G$29="No",Low_Total_Energy,Low_Total_Energy_New_TOU),0)/100</f>
        <v>0</v>
      </c>
      <c r="AZ31" s="144">
        <f ca="1">IFERROR('Rates Table'!AZ46*IF(Inputs!$G$29="No",Low_Total_Energy,Low_Total_Energy_New_TOU),0)/100</f>
        <v>0</v>
      </c>
      <c r="BA31" s="144">
        <f ca="1">IFERROR('Rates Table'!BA46*IF(Inputs!$G$29="No",Low_Total_Energy,Low_Total_Energy_New_TOU),0)/100</f>
        <v>0</v>
      </c>
      <c r="BB31" s="144">
        <f ca="1">IFERROR('Rates Table'!BB46*IF(Inputs!$G$29="No",Low_Total_Energy,Low_Total_Energy_New_TOU),0)/100</f>
        <v>0</v>
      </c>
      <c r="BC31" s="144">
        <f ca="1">IFERROR('Rates Table'!BC46*IF(Inputs!$G$29="No",Low_Total_Energy,Low_Total_Energy_New_TOU),0)/100</f>
        <v>0</v>
      </c>
      <c r="BD31" s="144">
        <f ca="1">IFERROR('Rates Table'!BD46*IF(Inputs!$G$29="No",Low_Total_Energy,Low_Total_Energy_New_TOU),0)/100</f>
        <v>0</v>
      </c>
      <c r="BE31" s="144">
        <f ca="1">IFERROR('Rates Table'!BE46*IF(Inputs!$G$29="No",Low_Total_Energy,Low_Total_Energy_New_TOU),0)/100</f>
        <v>0</v>
      </c>
      <c r="BF31" s="144">
        <f ca="1">IFERROR('Rates Table'!BF46*IF(Inputs!$G$29="No",Low_Total_Energy,Low_Total_Energy_New_TOU),0)/100</f>
        <v>0</v>
      </c>
      <c r="BG31" s="144">
        <f ca="1">IFERROR('Rates Table'!BG46*IF(Inputs!$G$29="No",Low_Total_Energy,Low_Total_Energy_New_TOU),0)/100</f>
        <v>0</v>
      </c>
      <c r="BH31" s="144">
        <f ca="1">IFERROR('Rates Table'!BH46*IF(Inputs!$G$29="No",Low_Total_Energy,Low_Total_Energy_New_TOU),0)/100</f>
        <v>0</v>
      </c>
      <c r="BI31" s="144">
        <f ca="1">IFERROR('Rates Table'!BI46*IF(Inputs!$G$29="No",Low_Total_Energy,Low_Total_Energy_New_TOU),0)/100</f>
        <v>0</v>
      </c>
      <c r="BJ31" s="144">
        <f ca="1">IFERROR('Rates Table'!BJ46*IF(Inputs!$G$29="No",Low_Total_Energy,Low_Total_Energy_New_TOU),0)/100</f>
        <v>0</v>
      </c>
      <c r="BK31" s="144">
        <f ca="1">IFERROR('Rates Table'!BK46*IF(Inputs!$G$29="No",Low_Total_Energy,Low_Total_Energy_New_TOU),0)/100</f>
        <v>0</v>
      </c>
      <c r="BL31" s="144">
        <f ca="1">IFERROR('Rates Table'!BL46*IF(Inputs!$G$29="No",Low_Total_Energy,Low_Total_Energy_New_TOU),0)/100</f>
        <v>0</v>
      </c>
      <c r="BM31" s="144">
        <f ca="1">IFERROR('Rates Table'!BM46*IF(Inputs!$G$29="No",Low_Total_Energy,Low_Total_Energy_New_TOU),0)/100</f>
        <v>0</v>
      </c>
      <c r="BN31" s="144">
        <f ca="1">IFERROR('Rates Table'!BN46*IF(Inputs!$G$29="No",Low_Total_Energy,Low_Total_Energy_New_TOU),0)/100</f>
        <v>0</v>
      </c>
      <c r="BO31" s="144">
        <f ca="1">IFERROR('Rates Table'!BO46*IF(Inputs!$G$29="No",Low_Total_Energy,Low_Total_Energy_New_TOU),0)/100</f>
        <v>0</v>
      </c>
      <c r="BP31" s="144">
        <f ca="1">IFERROR('Rates Table'!BP46*IF(Inputs!$G$29="No",Low_Total_Energy,Low_Total_Energy_New_TOU),0)/100</f>
        <v>0</v>
      </c>
      <c r="BQ31" s="144">
        <f ca="1">IFERROR('Rates Table'!BQ46*IF(Inputs!$G$29="No",Low_Total_Energy,Low_Total_Energy_New_TOU),0)/100</f>
        <v>0</v>
      </c>
      <c r="BR31" s="144">
        <f ca="1">IFERROR('Rates Table'!BR46*IF(Inputs!$G$29="No",Low_Total_Energy,Low_Total_Energy_New_TOU),0)/100</f>
        <v>0</v>
      </c>
      <c r="BS31" s="144">
        <f ca="1">IFERROR('Rates Table'!BS46*IF(Inputs!$G$29="No",Low_Total_Energy,Low_Total_Energy_New_TOU),0)/100</f>
        <v>0</v>
      </c>
      <c r="BT31" s="144">
        <f ca="1">IFERROR('Rates Table'!BT46*IF(Inputs!$G$29="No",Low_Total_Energy,Low_Total_Energy_New_TOU),0)/100</f>
        <v>0</v>
      </c>
      <c r="BU31" s="144">
        <f ca="1">IFERROR('Rates Table'!BU46*IF(Inputs!$G$29="No",Low_Total_Energy,Low_Total_Energy_New_TOU),0)/100</f>
        <v>0</v>
      </c>
      <c r="BV31" s="144">
        <f ca="1">IFERROR('Rates Table'!BV46*IF(Inputs!$G$29="No",Low_Total_Energy,Low_Total_Energy_New_TOU),0)/100</f>
        <v>0</v>
      </c>
      <c r="BW31" s="144">
        <f ca="1">IFERROR('Rates Table'!BW46*IF(Inputs!$G$29="No",Low_Total_Energy,Low_Total_Energy_New_TOU),0)/100</f>
        <v>0</v>
      </c>
      <c r="BX31" s="144">
        <f ca="1">IFERROR('Rates Table'!BX46*IF(Inputs!$G$29="No",Low_Total_Energy,Low_Total_Energy_New_TOU),0)/100</f>
        <v>0</v>
      </c>
      <c r="BY31" s="144">
        <f ca="1">IFERROR('Rates Table'!BY46*IF(Inputs!$G$29="No",Low_Total_Energy,Low_Total_Energy_New_TOU),0)/100</f>
        <v>0</v>
      </c>
      <c r="BZ31" s="144">
        <f ca="1">IFERROR('Rates Table'!BZ46*IF(Inputs!$G$29="No",Low_Total_Energy,Low_Total_Energy_New_TOU),0)/100</f>
        <v>0</v>
      </c>
      <c r="CA31" s="144">
        <f ca="1">IFERROR('Rates Table'!CA46*IF(Inputs!$G$29="No",Low_Total_Energy,Low_Total_Energy_New_TOU),0)/100</f>
        <v>0</v>
      </c>
      <c r="CB31" s="144">
        <f ca="1">IFERROR('Rates Table'!CB46*IF(Inputs!$G$29="No",Low_Total_Energy,Low_Total_Energy_New_TOU),0)/100</f>
        <v>0</v>
      </c>
      <c r="CC31" s="144">
        <f ca="1">IFERROR('Rates Table'!CC46*IF(Inputs!$G$29="No",Low_Total_Energy,Low_Total_Energy_New_TOU),0)/100</f>
        <v>0</v>
      </c>
      <c r="CD31" s="144">
        <f ca="1">IFERROR('Rates Table'!CD46*IF(Inputs!$G$29="No",Low_Total_Energy,Low_Total_Energy_New_TOU),0)/100</f>
        <v>0</v>
      </c>
      <c r="CE31" s="144">
        <f ca="1">IFERROR('Rates Table'!CE46*IF(Inputs!$G$29="No",Low_Total_Energy,Low_Total_Energy_New_TOU),0)/100</f>
        <v>0</v>
      </c>
      <c r="CF31" s="144">
        <f ca="1">IFERROR('Rates Table'!CF46*IF(Inputs!$G$29="No",Low_Total_Energy,Low_Total_Energy_New_TOU),0)/100</f>
        <v>0</v>
      </c>
    </row>
    <row r="32" spans="2:84" s="138" customFormat="1" ht="11.55" customHeight="1">
      <c r="D32" s="139"/>
      <c r="E32" s="140">
        <f t="shared" ca="1" si="14"/>
        <v>0</v>
      </c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1"/>
      <c r="T32" s="141"/>
      <c r="U32" s="141"/>
      <c r="V32" s="141"/>
      <c r="W32" s="141"/>
      <c r="X32" s="141"/>
      <c r="Y32" s="141"/>
      <c r="Z32" s="141"/>
      <c r="AA32" s="141"/>
      <c r="AB32" s="141"/>
      <c r="AC32" s="141"/>
      <c r="AD32" s="141"/>
      <c r="AE32" s="141"/>
      <c r="AF32" s="141"/>
      <c r="AG32" s="141"/>
      <c r="AH32" s="141"/>
      <c r="AI32" s="141"/>
      <c r="AJ32" s="141"/>
      <c r="AK32" s="141"/>
      <c r="AL32" s="141"/>
      <c r="AM32" s="141"/>
      <c r="AN32" s="141"/>
      <c r="AO32" s="141"/>
      <c r="AP32" s="141"/>
      <c r="AQ32" s="141"/>
      <c r="AR32" s="141"/>
      <c r="AT32" s="140"/>
      <c r="AU32" s="141"/>
      <c r="AV32" s="141"/>
      <c r="AW32" s="141"/>
      <c r="AX32" s="141"/>
      <c r="AY32" s="141"/>
      <c r="AZ32" s="141"/>
      <c r="BA32" s="141"/>
      <c r="BB32" s="141"/>
      <c r="BC32" s="141"/>
      <c r="BD32" s="141"/>
      <c r="BE32" s="141"/>
      <c r="BF32" s="141"/>
      <c r="BG32" s="141"/>
      <c r="BH32" s="141"/>
      <c r="BI32" s="141"/>
      <c r="BJ32" s="141"/>
      <c r="BK32" s="141"/>
      <c r="BL32" s="141"/>
      <c r="BM32" s="141"/>
      <c r="BN32" s="141"/>
      <c r="BO32" s="141"/>
      <c r="BP32" s="141"/>
      <c r="BQ32" s="141"/>
      <c r="BR32" s="141"/>
      <c r="BS32" s="141"/>
      <c r="BT32" s="141"/>
      <c r="BU32" s="141"/>
      <c r="BV32" s="141"/>
      <c r="BW32" s="141"/>
      <c r="BX32" s="141"/>
      <c r="BY32" s="141"/>
      <c r="BZ32" s="141"/>
      <c r="CA32" s="141"/>
      <c r="CB32" s="141"/>
      <c r="CC32" s="141"/>
      <c r="CD32" s="141"/>
      <c r="CE32" s="141"/>
      <c r="CF32" s="141"/>
    </row>
    <row r="33" spans="2:84" s="138" customFormat="1" ht="12" customHeight="1"/>
    <row r="34" spans="2:84" s="138" customFormat="1">
      <c r="B34" s="142" t="s">
        <v>123</v>
      </c>
      <c r="C34" s="142"/>
      <c r="D34" s="143"/>
      <c r="E34" s="143">
        <f ca="1">SUM(E22:E32)</f>
        <v>0</v>
      </c>
      <c r="F34" s="143">
        <f ca="1">SUM(F22:F32)</f>
        <v>540.54</v>
      </c>
      <c r="G34" s="143">
        <f t="shared" ref="G34:AK34" ca="1" si="16">SUM(G22:G32)</f>
        <v>805.35</v>
      </c>
      <c r="H34" s="143">
        <f t="shared" ca="1" si="16"/>
        <v>2012.01</v>
      </c>
      <c r="I34" s="143">
        <f t="shared" ca="1" si="16"/>
        <v>0</v>
      </c>
      <c r="J34" s="143">
        <f t="shared" ca="1" si="16"/>
        <v>0</v>
      </c>
      <c r="K34" s="143">
        <f t="shared" ca="1" si="16"/>
        <v>0</v>
      </c>
      <c r="L34" s="143">
        <f t="shared" ca="1" si="16"/>
        <v>196.56</v>
      </c>
      <c r="M34" s="143">
        <f t="shared" ca="1" si="16"/>
        <v>346.71</v>
      </c>
      <c r="N34" s="143">
        <f t="shared" ca="1" si="16"/>
        <v>846.30000000000007</v>
      </c>
      <c r="O34" s="143">
        <f t="shared" ca="1" si="16"/>
        <v>128.31</v>
      </c>
      <c r="P34" s="143">
        <f t="shared" ca="1" si="16"/>
        <v>1304.94</v>
      </c>
      <c r="Q34" s="143">
        <f t="shared" ca="1" si="16"/>
        <v>739.83</v>
      </c>
      <c r="R34" s="143">
        <f t="shared" ca="1" si="16"/>
        <v>1466.01</v>
      </c>
      <c r="S34" s="143">
        <f t="shared" ca="1" si="16"/>
        <v>2866.5</v>
      </c>
      <c r="T34" s="143">
        <f t="shared" ca="1" si="16"/>
        <v>485.94</v>
      </c>
      <c r="U34" s="143">
        <f t="shared" ca="1" si="16"/>
        <v>0</v>
      </c>
      <c r="V34" s="143">
        <f t="shared" ca="1" si="16"/>
        <v>0</v>
      </c>
      <c r="W34" s="143">
        <f t="shared" ca="1" si="16"/>
        <v>0</v>
      </c>
      <c r="X34" s="143">
        <f t="shared" ca="1" si="16"/>
        <v>0</v>
      </c>
      <c r="Y34" s="143">
        <f t="shared" ca="1" si="16"/>
        <v>0</v>
      </c>
      <c r="Z34" s="143">
        <f t="shared" ca="1" si="16"/>
        <v>0</v>
      </c>
      <c r="AA34" s="143">
        <f t="shared" ca="1" si="16"/>
        <v>0</v>
      </c>
      <c r="AB34" s="143">
        <f t="shared" ca="1" si="16"/>
        <v>0</v>
      </c>
      <c r="AC34" s="143">
        <f t="shared" ca="1" si="16"/>
        <v>0</v>
      </c>
      <c r="AD34" s="143">
        <f t="shared" ca="1" si="16"/>
        <v>0</v>
      </c>
      <c r="AE34" s="143">
        <f t="shared" ca="1" si="16"/>
        <v>0</v>
      </c>
      <c r="AF34" s="143">
        <f t="shared" ca="1" si="16"/>
        <v>0</v>
      </c>
      <c r="AG34" s="143">
        <f t="shared" ca="1" si="16"/>
        <v>0</v>
      </c>
      <c r="AH34" s="143">
        <f t="shared" ca="1" si="16"/>
        <v>0</v>
      </c>
      <c r="AI34" s="143">
        <f t="shared" ca="1" si="16"/>
        <v>0</v>
      </c>
      <c r="AJ34" s="143">
        <f t="shared" ca="1" si="16"/>
        <v>0</v>
      </c>
      <c r="AK34" s="143">
        <f t="shared" ca="1" si="16"/>
        <v>0</v>
      </c>
      <c r="AL34" s="143">
        <f t="shared" ref="AL34:AR34" ca="1" si="17">SUM(AL22:AL32)</f>
        <v>196.56</v>
      </c>
      <c r="AM34" s="143">
        <f t="shared" ca="1" si="17"/>
        <v>346.71</v>
      </c>
      <c r="AN34" s="143">
        <f t="shared" ca="1" si="17"/>
        <v>846.30000000000007</v>
      </c>
      <c r="AO34" s="143">
        <f t="shared" ca="1" si="17"/>
        <v>128.31</v>
      </c>
      <c r="AP34" s="143">
        <f t="shared" ca="1" si="17"/>
        <v>0</v>
      </c>
      <c r="AQ34" s="143">
        <f t="shared" ca="1" si="17"/>
        <v>0</v>
      </c>
      <c r="AR34" s="143">
        <f t="shared" ca="1" si="17"/>
        <v>0</v>
      </c>
      <c r="AT34" s="143">
        <f t="shared" ref="AT34:CF34" ca="1" si="18">SUM(AT22:AT32)</f>
        <v>0</v>
      </c>
      <c r="AU34" s="143">
        <f t="shared" ca="1" si="18"/>
        <v>819</v>
      </c>
      <c r="AV34" s="143">
        <f t="shared" ca="1" si="18"/>
        <v>1223.0400000000002</v>
      </c>
      <c r="AW34" s="143">
        <f t="shared" ca="1" si="18"/>
        <v>3052.14</v>
      </c>
      <c r="AX34" s="143">
        <f t="shared" ca="1" si="18"/>
        <v>0</v>
      </c>
      <c r="AY34" s="143">
        <f t="shared" ca="1" si="18"/>
        <v>0</v>
      </c>
      <c r="AZ34" s="143">
        <f t="shared" ca="1" si="18"/>
        <v>0</v>
      </c>
      <c r="BA34" s="143">
        <f t="shared" ca="1" si="18"/>
        <v>297.57000000000005</v>
      </c>
      <c r="BB34" s="143">
        <f t="shared" ca="1" si="18"/>
        <v>526.89</v>
      </c>
      <c r="BC34" s="143">
        <f t="shared" ca="1" si="18"/>
        <v>1283.1000000000001</v>
      </c>
      <c r="BD34" s="143">
        <f t="shared" ca="1" si="18"/>
        <v>193.82999999999998</v>
      </c>
      <c r="BE34" s="143">
        <f t="shared" ca="1" si="18"/>
        <v>1979.25</v>
      </c>
      <c r="BF34" s="143">
        <f t="shared" ca="1" si="18"/>
        <v>1122.0300000000002</v>
      </c>
      <c r="BG34" s="143">
        <f t="shared" ca="1" si="18"/>
        <v>2224.9500000000003</v>
      </c>
      <c r="BH34" s="143">
        <f t="shared" ca="1" si="18"/>
        <v>4348.8900000000003</v>
      </c>
      <c r="BI34" s="143">
        <f t="shared" ca="1" si="18"/>
        <v>737.1</v>
      </c>
      <c r="BJ34" s="143">
        <f t="shared" ca="1" si="18"/>
        <v>0</v>
      </c>
      <c r="BK34" s="143">
        <f t="shared" ca="1" si="18"/>
        <v>0</v>
      </c>
      <c r="BL34" s="143">
        <f t="shared" ca="1" si="18"/>
        <v>0</v>
      </c>
      <c r="BM34" s="143">
        <f t="shared" ca="1" si="18"/>
        <v>0</v>
      </c>
      <c r="BN34" s="143">
        <f t="shared" ca="1" si="18"/>
        <v>0</v>
      </c>
      <c r="BO34" s="143">
        <f t="shared" ca="1" si="18"/>
        <v>0</v>
      </c>
      <c r="BP34" s="143">
        <f t="shared" ca="1" si="18"/>
        <v>0</v>
      </c>
      <c r="BQ34" s="143">
        <f t="shared" ca="1" si="18"/>
        <v>0</v>
      </c>
      <c r="BR34" s="143">
        <f t="shared" ca="1" si="18"/>
        <v>0</v>
      </c>
      <c r="BS34" s="143">
        <f t="shared" ca="1" si="18"/>
        <v>0</v>
      </c>
      <c r="BT34" s="143">
        <f t="shared" ca="1" si="18"/>
        <v>0</v>
      </c>
      <c r="BU34" s="143">
        <f t="shared" ca="1" si="18"/>
        <v>0</v>
      </c>
      <c r="BV34" s="143">
        <f t="shared" ca="1" si="18"/>
        <v>0</v>
      </c>
      <c r="BW34" s="143">
        <f t="shared" ca="1" si="18"/>
        <v>0</v>
      </c>
      <c r="BX34" s="143">
        <f t="shared" ca="1" si="18"/>
        <v>0</v>
      </c>
      <c r="BY34" s="143">
        <f t="shared" ca="1" si="18"/>
        <v>0</v>
      </c>
      <c r="BZ34" s="143">
        <f t="shared" ca="1" si="18"/>
        <v>0</v>
      </c>
      <c r="CA34" s="143">
        <f t="shared" ca="1" si="18"/>
        <v>297.57000000000005</v>
      </c>
      <c r="CB34" s="143">
        <f t="shared" ca="1" si="18"/>
        <v>526.89</v>
      </c>
      <c r="CC34" s="143">
        <f t="shared" ca="1" si="18"/>
        <v>1283.1000000000001</v>
      </c>
      <c r="CD34" s="143">
        <f t="shared" ca="1" si="18"/>
        <v>193.82999999999998</v>
      </c>
      <c r="CE34" s="143">
        <f t="shared" ca="1" si="18"/>
        <v>0</v>
      </c>
      <c r="CF34" s="143">
        <f t="shared" ca="1" si="18"/>
        <v>0</v>
      </c>
    </row>
    <row r="36" spans="2:84" ht="30.75" customHeight="1">
      <c r="B36" s="24" t="s">
        <v>142</v>
      </c>
      <c r="C36" s="24"/>
      <c r="D36" s="23" t="s">
        <v>110</v>
      </c>
      <c r="E36" s="23" t="str">
        <f>E$8</f>
        <v>2025/26 Rates</v>
      </c>
      <c r="F36" s="23" t="str">
        <f t="shared" ref="F36:AR36" si="19">F$8</f>
        <v>2025/26 Rates</v>
      </c>
      <c r="G36" s="23" t="str">
        <f t="shared" si="19"/>
        <v>2025/26 Rates</v>
      </c>
      <c r="H36" s="23" t="str">
        <f t="shared" si="19"/>
        <v>2025/26 Rates</v>
      </c>
      <c r="I36" s="23" t="str">
        <f t="shared" si="19"/>
        <v>2025/26 Rates</v>
      </c>
      <c r="J36" s="23" t="str">
        <f t="shared" si="19"/>
        <v>2025/26 Rates</v>
      </c>
      <c r="K36" s="23" t="str">
        <f t="shared" si="19"/>
        <v>2025/26 Rates</v>
      </c>
      <c r="L36" s="23" t="str">
        <f t="shared" si="19"/>
        <v>2025/26 Rates</v>
      </c>
      <c r="M36" s="23" t="str">
        <f t="shared" si="19"/>
        <v>2025/26 Rates</v>
      </c>
      <c r="N36" s="23" t="str">
        <f t="shared" si="19"/>
        <v>2025/26 Rates</v>
      </c>
      <c r="O36" s="23" t="str">
        <f t="shared" si="19"/>
        <v>2025/26 Rates</v>
      </c>
      <c r="P36" s="23" t="str">
        <f t="shared" si="19"/>
        <v>2025/26 Rates</v>
      </c>
      <c r="Q36" s="23" t="str">
        <f t="shared" si="19"/>
        <v>2025/26 Rates</v>
      </c>
      <c r="R36" s="23" t="str">
        <f t="shared" si="19"/>
        <v>2025/26 Rates</v>
      </c>
      <c r="S36" s="23" t="str">
        <f t="shared" si="19"/>
        <v>2025/26 Rates</v>
      </c>
      <c r="T36" s="23" t="str">
        <f t="shared" si="19"/>
        <v>2025/26 Rates</v>
      </c>
      <c r="U36" s="23" t="str">
        <f t="shared" si="19"/>
        <v>2025/26 Rates</v>
      </c>
      <c r="V36" s="23" t="str">
        <f t="shared" si="19"/>
        <v>2025/26 Rates</v>
      </c>
      <c r="W36" s="23" t="str">
        <f t="shared" si="19"/>
        <v>2025/26 Rates</v>
      </c>
      <c r="X36" s="23" t="str">
        <f t="shared" si="19"/>
        <v>2025/26 Rates</v>
      </c>
      <c r="Y36" s="23" t="str">
        <f t="shared" si="19"/>
        <v>2025/26 Rates</v>
      </c>
      <c r="Z36" s="23" t="str">
        <f t="shared" si="19"/>
        <v>2025/26 Rates</v>
      </c>
      <c r="AA36" s="23" t="str">
        <f t="shared" si="19"/>
        <v>2025/26 Rates</v>
      </c>
      <c r="AB36" s="23" t="str">
        <f t="shared" si="19"/>
        <v>2025/26 Rates</v>
      </c>
      <c r="AC36" s="23" t="str">
        <f t="shared" si="19"/>
        <v>2025/26 Rates</v>
      </c>
      <c r="AD36" s="23" t="str">
        <f t="shared" si="19"/>
        <v>2025/26 Rates</v>
      </c>
      <c r="AE36" s="23" t="str">
        <f t="shared" si="19"/>
        <v>2025/26 Rates</v>
      </c>
      <c r="AF36" s="23" t="str">
        <f t="shared" si="19"/>
        <v>2025/26 Rates</v>
      </c>
      <c r="AG36" s="23" t="str">
        <f t="shared" si="19"/>
        <v>2025/26 Rates</v>
      </c>
      <c r="AH36" s="23" t="str">
        <f t="shared" si="19"/>
        <v>2025/26 Rates</v>
      </c>
      <c r="AI36" s="23" t="str">
        <f t="shared" si="19"/>
        <v>2025/26 Rates</v>
      </c>
      <c r="AJ36" s="23" t="str">
        <f t="shared" si="19"/>
        <v>2025/26 Rates</v>
      </c>
      <c r="AK36" s="23" t="str">
        <f t="shared" si="19"/>
        <v>2025/26 Rates</v>
      </c>
      <c r="AL36" s="23" t="str">
        <f t="shared" si="19"/>
        <v>2025/26 Rates</v>
      </c>
      <c r="AM36" s="23" t="str">
        <f t="shared" si="19"/>
        <v>2025/26 Rates</v>
      </c>
      <c r="AN36" s="23" t="str">
        <f t="shared" si="19"/>
        <v>2025/26 Rates</v>
      </c>
      <c r="AO36" s="23" t="str">
        <f t="shared" si="19"/>
        <v>2025/26 Rates</v>
      </c>
      <c r="AP36" s="23" t="str">
        <f t="shared" si="19"/>
        <v>2025/26 Rates</v>
      </c>
      <c r="AQ36" s="23" t="str">
        <f t="shared" si="19"/>
        <v>2025/26 Rates</v>
      </c>
      <c r="AR36" s="23" t="str">
        <f t="shared" si="19"/>
        <v>2025/26 Rates</v>
      </c>
      <c r="AT36" s="23" t="str">
        <f>AT$8</f>
        <v>2026/27 Rates</v>
      </c>
      <c r="AU36" s="23" t="str">
        <f t="shared" ref="AU36:CF36" si="20">AU$8</f>
        <v>2026/27 Rates</v>
      </c>
      <c r="AV36" s="23" t="str">
        <f t="shared" si="20"/>
        <v>2026/27 Rates</v>
      </c>
      <c r="AW36" s="23" t="str">
        <f t="shared" si="20"/>
        <v>2026/27 Rates</v>
      </c>
      <c r="AX36" s="23" t="str">
        <f t="shared" si="20"/>
        <v>2026/27 Rates</v>
      </c>
      <c r="AY36" s="23" t="str">
        <f t="shared" si="20"/>
        <v>2026/27 Rates</v>
      </c>
      <c r="AZ36" s="23" t="str">
        <f t="shared" si="20"/>
        <v>2026/27 Rates</v>
      </c>
      <c r="BA36" s="23" t="str">
        <f t="shared" si="20"/>
        <v>2026/27 Rates</v>
      </c>
      <c r="BB36" s="23" t="str">
        <f t="shared" si="20"/>
        <v>2026/27 Rates</v>
      </c>
      <c r="BC36" s="23" t="str">
        <f t="shared" si="20"/>
        <v>2026/27 Rates</v>
      </c>
      <c r="BD36" s="23" t="str">
        <f t="shared" si="20"/>
        <v>2026/27 Rates</v>
      </c>
      <c r="BE36" s="23" t="str">
        <f t="shared" si="20"/>
        <v>2026/27 Rates</v>
      </c>
      <c r="BF36" s="23" t="str">
        <f t="shared" si="20"/>
        <v>2026/27 Rates</v>
      </c>
      <c r="BG36" s="23" t="str">
        <f t="shared" si="20"/>
        <v>2026/27 Rates</v>
      </c>
      <c r="BH36" s="23" t="str">
        <f t="shared" si="20"/>
        <v>2026/27 Rates</v>
      </c>
      <c r="BI36" s="23" t="str">
        <f t="shared" si="20"/>
        <v>2026/27 Rates</v>
      </c>
      <c r="BJ36" s="23" t="str">
        <f t="shared" si="20"/>
        <v>2026/27 Rates</v>
      </c>
      <c r="BK36" s="23" t="str">
        <f t="shared" si="20"/>
        <v>2026/27 Rates</v>
      </c>
      <c r="BL36" s="23" t="str">
        <f t="shared" si="20"/>
        <v>2026/27 Rates</v>
      </c>
      <c r="BM36" s="23" t="str">
        <f t="shared" si="20"/>
        <v>2026/27 Rates</v>
      </c>
      <c r="BN36" s="23" t="str">
        <f t="shared" si="20"/>
        <v>2026/27 Rates</v>
      </c>
      <c r="BO36" s="23" t="str">
        <f t="shared" si="20"/>
        <v>2026/27 Rates</v>
      </c>
      <c r="BP36" s="23" t="str">
        <f t="shared" si="20"/>
        <v>2026/27 Rates</v>
      </c>
      <c r="BQ36" s="23" t="str">
        <f t="shared" si="20"/>
        <v>2026/27 Rates</v>
      </c>
      <c r="BR36" s="23" t="str">
        <f t="shared" si="20"/>
        <v>2026/27 Rates</v>
      </c>
      <c r="BS36" s="23" t="str">
        <f t="shared" si="20"/>
        <v>2026/27 Rates</v>
      </c>
      <c r="BT36" s="23" t="str">
        <f t="shared" si="20"/>
        <v>2026/27 Rates</v>
      </c>
      <c r="BU36" s="23" t="str">
        <f t="shared" si="20"/>
        <v>2026/27 Rates</v>
      </c>
      <c r="BV36" s="23" t="str">
        <f t="shared" si="20"/>
        <v>2026/27 Rates</v>
      </c>
      <c r="BW36" s="23" t="str">
        <f t="shared" si="20"/>
        <v>2026/27 Rates</v>
      </c>
      <c r="BX36" s="23" t="str">
        <f t="shared" si="20"/>
        <v>2026/27 Rates</v>
      </c>
      <c r="BY36" s="23" t="str">
        <f t="shared" si="20"/>
        <v>2026/27 Rates</v>
      </c>
      <c r="BZ36" s="23" t="str">
        <f t="shared" si="20"/>
        <v>2026/27 Rates</v>
      </c>
      <c r="CA36" s="23" t="str">
        <f t="shared" si="20"/>
        <v>2026/27 Rates</v>
      </c>
      <c r="CB36" s="23" t="str">
        <f t="shared" si="20"/>
        <v>2026/27 Rates</v>
      </c>
      <c r="CC36" s="23" t="str">
        <f t="shared" si="20"/>
        <v>2026/27 Rates</v>
      </c>
      <c r="CD36" s="23" t="str">
        <f t="shared" si="20"/>
        <v>2026/27 Rates</v>
      </c>
      <c r="CE36" s="23" t="str">
        <f t="shared" si="20"/>
        <v>2026/27 Rates</v>
      </c>
      <c r="CF36" s="23" t="str">
        <f t="shared" si="20"/>
        <v>2026/27 Rates</v>
      </c>
    </row>
    <row r="37" spans="2:84" ht="4.05" customHeight="1"/>
    <row r="38" spans="2:84" s="138" customFormat="1">
      <c r="C38" s="138" t="s">
        <v>391</v>
      </c>
      <c r="D38" s="139" t="s">
        <v>106</v>
      </c>
      <c r="E38" s="140">
        <f t="shared" ref="E38:E43" ca="1" si="21">INDEX(F38:AR38,0,$F$2)</f>
        <v>0</v>
      </c>
      <c r="F38" s="141">
        <f ca="1">IFERROR('Rates Table'!F52*IF(Inputs!$G$29="No",Low_Total_Energy,Low_Total_Energy_Exist_TOU),0)/100</f>
        <v>0</v>
      </c>
      <c r="G38" s="141">
        <f ca="1">IFERROR('Rates Table'!G52*IF(Inputs!$G$29="No",Low_Total_Energy,Low_Total_Energy_Exist_TOU),0)/100</f>
        <v>0</v>
      </c>
      <c r="H38" s="141">
        <f ca="1">IFERROR('Rates Table'!H52*IF(Inputs!$G$29="No",Low_Total_Energy,Low_Total_Energy_Exist_TOU),0)/100</f>
        <v>0</v>
      </c>
      <c r="I38" s="141">
        <f ca="1">IFERROR('Rates Table'!I52*IF(Inputs!$G$29="No",Low_Total_Energy,Low_Total_Energy_Exist_TOU),0)/100</f>
        <v>0</v>
      </c>
      <c r="J38" s="141">
        <f ca="1">IFERROR('Rates Table'!J52*IF(Inputs!$G$29="No",Low_Total_Energy,Low_Total_Energy_Exist_TOU),0)/100</f>
        <v>0</v>
      </c>
      <c r="K38" s="141">
        <f ca="1">IFERROR('Rates Table'!K52*IF(Inputs!$G$29="No",Low_Total_Energy,Low_Total_Energy_Exist_TOU),0)/100</f>
        <v>0</v>
      </c>
      <c r="L38" s="141">
        <f ca="1">IFERROR('Rates Table'!L52*IF(Inputs!$G$29="No",Low_Total_Energy,Low_Total_Energy_Exist_TOU),0)/100</f>
        <v>0</v>
      </c>
      <c r="M38" s="141">
        <f ca="1">IFERROR('Rates Table'!M52*IF(Inputs!$G$29="No",Low_Total_Energy,Low_Total_Energy_Exist_TOU),0)/100</f>
        <v>0</v>
      </c>
      <c r="N38" s="141">
        <f ca="1">IFERROR('Rates Table'!N52*IF(Inputs!$G$29="No",Low_Total_Energy,Low_Total_Energy_Exist_TOU),0)/100</f>
        <v>0</v>
      </c>
      <c r="O38" s="141">
        <f ca="1">IFERROR('Rates Table'!O52*IF(Inputs!$G$29="No",Low_Total_Energy,Low_Total_Energy_Exist_TOU),0)/100</f>
        <v>0</v>
      </c>
      <c r="P38" s="141">
        <f ca="1">IFERROR('Rates Table'!P52*IF(Inputs!$G$29="No",Low_Total_Energy,Low_Total_Energy_Exist_TOU),0)/100</f>
        <v>0</v>
      </c>
      <c r="Q38" s="141">
        <f ca="1">IFERROR('Rates Table'!Q52*IF(Inputs!$G$29="No",Low_Total_Energy,Low_Total_Energy_Exist_TOU),0)/100</f>
        <v>0</v>
      </c>
      <c r="R38" s="141">
        <f ca="1">IFERROR('Rates Table'!R52*IF(Inputs!$G$29="No",Low_Total_Energy,Low_Total_Energy_Exist_TOU),0)/100</f>
        <v>0</v>
      </c>
      <c r="S38" s="141">
        <f ca="1">IFERROR('Rates Table'!S52*IF(Inputs!$G$29="No",Low_Total_Energy,Low_Total_Energy_Exist_TOU),0)/100</f>
        <v>0</v>
      </c>
      <c r="T38" s="141">
        <f ca="1">IFERROR('Rates Table'!T52*IF(Inputs!$G$29="No",Low_Total_Energy,Low_Total_Energy_Exist_TOU),0)/100</f>
        <v>0</v>
      </c>
      <c r="U38" s="141">
        <f ca="1">IFERROR('Rates Table'!U52*IF(Inputs!$G$29="No",Low_Total_Energy,Low_Total_Energy_Exist_TOU),0)/100</f>
        <v>0</v>
      </c>
      <c r="V38" s="141">
        <f ca="1">IFERROR('Rates Table'!V52*IF(Inputs!$G$29="No",Low_Total_Energy,Low_Total_Energy_Exist_TOU),0)/100</f>
        <v>0</v>
      </c>
      <c r="W38" s="141">
        <f ca="1">IFERROR('Rates Table'!W52*IF(Inputs!$G$29="No",Low_Total_Energy,Low_Total_Energy_Exist_TOU),0)/100</f>
        <v>0</v>
      </c>
      <c r="X38" s="141">
        <f ca="1">IF(OR(E2="Nightsave Large",E2="Nightsave Small"),E38,IFERROR('Rates Table'!X52*IF(Inputs!$G$29="No",Low_Total_Energy,Low_Total_Energy_Exist_TOU),0)/100)</f>
        <v>0</v>
      </c>
      <c r="Y38" s="141">
        <f ca="1">IFERROR('Rates Table'!Y52*IF(Inputs!$G$29="No",Low_Total_Energy,Low_Total_Energy_Exist_TOU),0)/100</f>
        <v>0</v>
      </c>
      <c r="Z38" s="141">
        <f ca="1">IFERROR('Rates Table'!Z52*IF(Inputs!$G$29="No",Low_Total_Energy,Low_Total_Energy_Exist_TOU),0)/100</f>
        <v>0</v>
      </c>
      <c r="AA38" s="141">
        <f ca="1">IFERROR('Rates Table'!AA52*IF(Inputs!$G$29="No",Low_Total_Energy,Low_Total_Energy_Exist_TOU),0)/100</f>
        <v>0</v>
      </c>
      <c r="AB38" s="141">
        <f ca="1">IFERROR('Rates Table'!AB52*IF(Inputs!$G$29="No",Low_Total_Energy,Low_Total_Energy_Exist_TOU),0)/100</f>
        <v>0</v>
      </c>
      <c r="AC38" s="141">
        <f ca="1">IFERROR('Rates Table'!AC52*IF(Inputs!$G$29="No",Low_Total_Energy,Low_Total_Energy_Exist_TOU),0)/100</f>
        <v>0</v>
      </c>
      <c r="AD38" s="141">
        <f ca="1">IFERROR('Rates Table'!AD52*IF(Inputs!$G$29="No",Low_Total_Energy,Low_Total_Energy_Exist_TOU),0)/100</f>
        <v>0</v>
      </c>
      <c r="AE38" s="141">
        <f ca="1">IFERROR('Rates Table'!AE52*IF(Inputs!$G$29="No",Low_Total_Energy,Low_Total_Energy_Exist_TOU),0)/100</f>
        <v>0</v>
      </c>
      <c r="AF38" s="141">
        <f ca="1">IFERROR('Rates Table'!AF52*IF(Inputs!$G$29="No",Low_Total_Energy,Low_Total_Energy_Exist_TOU),0)/100</f>
        <v>0</v>
      </c>
      <c r="AG38" s="141">
        <f ca="1">IFERROR('Rates Table'!AG52*IF(Inputs!$G$29="No",Low_Total_Energy,Low_Total_Energy_Exist_TOU),0)/100</f>
        <v>0</v>
      </c>
      <c r="AH38" s="141">
        <f ca="1">IFERROR('Rates Table'!AH52*IF(Inputs!$G$29="No",Low_Total_Energy,Low_Total_Energy_Exist_TOU),0)/100</f>
        <v>0</v>
      </c>
      <c r="AI38" s="141">
        <f ca="1">IFERROR('Rates Table'!AI52*IF(Inputs!$G$29="No",Low_Total_Energy,Low_Total_Energy_Exist_TOU),0)/100</f>
        <v>0</v>
      </c>
      <c r="AJ38" s="141">
        <f ca="1">IFERROR('Rates Table'!AJ52*IF(Inputs!$G$29="No",Low_Total_Energy,Low_Total_Energy_Exist_TOU),0)/100</f>
        <v>0</v>
      </c>
      <c r="AK38" s="141">
        <f ca="1">IFERROR('Rates Table'!AK52*IF(Inputs!$G$29="No",Low_Total_Energy,Low_Total_Energy_Exist_TOU),0)/100</f>
        <v>0</v>
      </c>
      <c r="AL38" s="141">
        <f ca="1">IFERROR('Rates Table'!AL52*IF(Inputs!$G$29="No",Low_Total_Energy,Low_Total_Energy_Exist_TOU),0)/100</f>
        <v>0</v>
      </c>
      <c r="AM38" s="141">
        <f ca="1">IFERROR('Rates Table'!AM52*IF(Inputs!$G$29="No",Low_Total_Energy,Low_Total_Energy_Exist_TOU),0)/100</f>
        <v>0</v>
      </c>
      <c r="AN38" s="141">
        <f ca="1">IFERROR('Rates Table'!AN52*IF(Inputs!$G$29="No",Low_Total_Energy,Low_Total_Energy_Exist_TOU),0)/100</f>
        <v>0</v>
      </c>
      <c r="AO38" s="141">
        <f ca="1">IFERROR('Rates Table'!AO52*IF(Inputs!$G$29="No",Low_Total_Energy,Low_Total_Energy_Exist_TOU),0)/100</f>
        <v>0</v>
      </c>
      <c r="AP38" s="141">
        <f ca="1">IFERROR('Rates Table'!AP52*IF(Inputs!$G$29="No",Low_Total_Energy,Low_Total_Energy_Exist_TOU),0)/100</f>
        <v>0</v>
      </c>
      <c r="AQ38" s="141">
        <f ca="1">IFERROR('Rates Table'!AQ52*IF(Inputs!$G$29="No",Low_Total_Energy,Low_Total_Energy_Exist_TOU),0)/100</f>
        <v>0</v>
      </c>
      <c r="AR38" s="141">
        <f ca="1">IFERROR('Rates Table'!AR52*IF(Inputs!$G$29="No",Low_Total_Energy,Low_Total_Energy_Exist_TOU),0)/100</f>
        <v>0</v>
      </c>
      <c r="AT38" s="140">
        <f t="shared" ref="AT38:AT43" ca="1" si="22">INDEX(AU38:CF38,0,Selected_Tariff_ID)</f>
        <v>0</v>
      </c>
      <c r="AU38" s="141">
        <f ca="1">IFERROR('Rates Table'!AU52*IF(Inputs!$G$29="No",Low_Total_Energy,Low_Total_Energy_New_TOU),0)/100</f>
        <v>0</v>
      </c>
      <c r="AV38" s="141">
        <f ca="1">IFERROR('Rates Table'!AV52*IF(Inputs!$G$29="No",Low_Total_Energy,Low_Total_Energy_New_TOU),0)/100</f>
        <v>0</v>
      </c>
      <c r="AW38" s="141">
        <f ca="1">IFERROR('Rates Table'!AW52*IF(Inputs!$G$29="No",Low_Total_Energy,Low_Total_Energy_New_TOU),0)/100</f>
        <v>0</v>
      </c>
      <c r="AX38" s="141">
        <f ca="1">IFERROR('Rates Table'!AX52*IF(Inputs!$G$29="No",Low_Total_Energy,Low_Total_Energy_New_TOU),0)/100</f>
        <v>0</v>
      </c>
      <c r="AY38" s="141">
        <f ca="1">IFERROR('Rates Table'!AY52*IF(Inputs!$G$29="No",Low_Total_Energy,Low_Total_Energy_New_TOU),0)/100</f>
        <v>0</v>
      </c>
      <c r="AZ38" s="141">
        <f ca="1">IFERROR('Rates Table'!AZ52*IF(Inputs!$G$29="No",Low_Total_Energy,Low_Total_Energy_New_TOU),0)/100</f>
        <v>0</v>
      </c>
      <c r="BA38" s="141">
        <f ca="1">IFERROR('Rates Table'!BA52*IF(Inputs!$G$29="No",Low_Total_Energy,Low_Total_Energy_New_TOU),0)/100</f>
        <v>0</v>
      </c>
      <c r="BB38" s="141">
        <f ca="1">IFERROR('Rates Table'!BB52*IF(Inputs!$G$29="No",Low_Total_Energy,Low_Total_Energy_New_TOU),0)/100</f>
        <v>0</v>
      </c>
      <c r="BC38" s="141">
        <f ca="1">IFERROR('Rates Table'!BC52*IF(Inputs!$G$29="No",Low_Total_Energy,Low_Total_Energy_New_TOU),0)/100</f>
        <v>0</v>
      </c>
      <c r="BD38" s="141">
        <f ca="1">IFERROR('Rates Table'!BD52*IF(Inputs!$G$29="No",Low_Total_Energy,Low_Total_Energy_New_TOU),0)/100</f>
        <v>0</v>
      </c>
      <c r="BE38" s="141">
        <f ca="1">IFERROR('Rates Table'!BE52*IF(Inputs!$G$29="No",Low_Total_Energy,Low_Total_Energy_New_TOU),0)/100</f>
        <v>0</v>
      </c>
      <c r="BF38" s="141">
        <f ca="1">IFERROR('Rates Table'!BF52*IF(Inputs!$G$29="No",Low_Total_Energy,Low_Total_Energy_New_TOU),0)/100</f>
        <v>0</v>
      </c>
      <c r="BG38" s="141">
        <f ca="1">IFERROR('Rates Table'!BG52*IF(Inputs!$G$29="No",Low_Total_Energy,Low_Total_Energy_New_TOU),0)/100</f>
        <v>0</v>
      </c>
      <c r="BH38" s="141">
        <f ca="1">IFERROR('Rates Table'!BH52*IF(Inputs!$G$29="No",Low_Total_Energy,Low_Total_Energy_New_TOU),0)/100</f>
        <v>0</v>
      </c>
      <c r="BI38" s="141">
        <f ca="1">IFERROR('Rates Table'!BI52*IF(Inputs!$G$29="No",Low_Total_Energy,Low_Total_Energy_New_TOU),0)/100</f>
        <v>0</v>
      </c>
      <c r="BJ38" s="141">
        <f ca="1">IFERROR('Rates Table'!BJ52*IF(Inputs!$G$29="No",Low_Total_Energy,Low_Total_Energy_New_TOU),0)/100</f>
        <v>0</v>
      </c>
      <c r="BK38" s="141">
        <f ca="1">IFERROR('Rates Table'!BK52*IF(Inputs!$G$29="No",Low_Total_Energy,Low_Total_Energy_New_TOU),0)/100</f>
        <v>0</v>
      </c>
      <c r="BL38" s="141">
        <f ca="1">IFERROR('Rates Table'!BL52*IF(Inputs!$G$29="No",Low_Total_Energy,Low_Total_Energy_New_TOU),0)/100</f>
        <v>0</v>
      </c>
      <c r="BM38" s="141">
        <f ca="1">IFERROR('Rates Table'!BM52*IF(Inputs!$G$29="No",Low_Total_Energy,Low_Total_Energy_New_TOU),0)/100</f>
        <v>0</v>
      </c>
      <c r="BN38" s="141">
        <f ca="1">IFERROR('Rates Table'!BN52*IF(Inputs!$G$29="No",Low_Total_Energy,Low_Total_Energy_New_TOU),0)/100</f>
        <v>0</v>
      </c>
      <c r="BO38" s="141">
        <f ca="1">IFERROR('Rates Table'!BO52*IF(Inputs!$G$29="No",Low_Total_Energy,Low_Total_Energy_New_TOU),0)/100</f>
        <v>0</v>
      </c>
      <c r="BP38" s="141">
        <f ca="1">IFERROR('Rates Table'!BP52*IF(Inputs!$G$29="No",Low_Total_Energy,Low_Total_Energy_New_TOU),0)/100</f>
        <v>0</v>
      </c>
      <c r="BQ38" s="141">
        <f ca="1">IFERROR('Rates Table'!BQ52*IF(Inputs!$G$29="No",Low_Total_Energy,Low_Total_Energy_New_TOU),0)/100</f>
        <v>0</v>
      </c>
      <c r="BR38" s="141">
        <f ca="1">IFERROR('Rates Table'!BR52*IF(Inputs!$G$29="No",Low_Total_Energy,Low_Total_Energy_New_TOU),0)/100</f>
        <v>0</v>
      </c>
      <c r="BS38" s="141">
        <f ca="1">IFERROR('Rates Table'!BS52*IF(Inputs!$G$29="No",Low_Total_Energy,Low_Total_Energy_New_TOU),0)/100</f>
        <v>0</v>
      </c>
      <c r="BT38" s="141">
        <f ca="1">IFERROR('Rates Table'!BT52*IF(Inputs!$G$29="No",Low_Total_Energy,Low_Total_Energy_New_TOU),0)/100</f>
        <v>0</v>
      </c>
      <c r="BU38" s="141">
        <f ca="1">IFERROR('Rates Table'!BU52*IF(Inputs!$G$29="No",Low_Total_Energy,Low_Total_Energy_New_TOU),0)/100</f>
        <v>0</v>
      </c>
      <c r="BV38" s="141">
        <f ca="1">IFERROR('Rates Table'!BV52*IF(Inputs!$G$29="No",Low_Total_Energy,Low_Total_Energy_New_TOU),0)/100</f>
        <v>0</v>
      </c>
      <c r="BW38" s="141">
        <f ca="1">IFERROR('Rates Table'!BW52*IF(Inputs!$G$29="No",Low_Total_Energy,Low_Total_Energy_New_TOU),0)/100</f>
        <v>0</v>
      </c>
      <c r="BX38" s="141">
        <f ca="1">IFERROR('Rates Table'!BX52*IF(Inputs!$G$29="No",Low_Total_Energy,Low_Total_Energy_New_TOU),0)/100</f>
        <v>0</v>
      </c>
      <c r="BY38" s="141">
        <f ca="1">IFERROR('Rates Table'!BY52*IF(Inputs!$G$29="No",Low_Total_Energy,Low_Total_Energy_New_TOU),0)/100</f>
        <v>0</v>
      </c>
      <c r="BZ38" s="141">
        <f ca="1">IFERROR('Rates Table'!BZ52*IF(Inputs!$G$29="No",Low_Total_Energy,Low_Total_Energy_New_TOU),0)/100</f>
        <v>0</v>
      </c>
      <c r="CA38" s="141">
        <f ca="1">IFERROR('Rates Table'!CA52*IF(Inputs!$G$29="No",Low_Total_Energy,Low_Total_Energy_New_TOU),0)/100</f>
        <v>0</v>
      </c>
      <c r="CB38" s="141">
        <f ca="1">IFERROR('Rates Table'!CB52*IF(Inputs!$G$29="No",Low_Total_Energy,Low_Total_Energy_New_TOU),0)/100</f>
        <v>0</v>
      </c>
      <c r="CC38" s="141">
        <f ca="1">IFERROR('Rates Table'!CC52*IF(Inputs!$G$29="No",Low_Total_Energy,Low_Total_Energy_New_TOU),0)/100</f>
        <v>0</v>
      </c>
      <c r="CD38" s="141">
        <f ca="1">IFERROR('Rates Table'!CD52*IF(Inputs!$G$29="No",Low_Total_Energy,Low_Total_Energy_New_TOU),0)/100</f>
        <v>0</v>
      </c>
      <c r="CE38" s="141">
        <f ca="1">IFERROR('Rates Table'!CE52*IF(Inputs!$G$29="No",Low_Total_Energy,Low_Total_Energy_New_TOU),0)/100</f>
        <v>0</v>
      </c>
      <c r="CF38" s="141">
        <f ca="1">IFERROR('Rates Table'!CF52*IF(Inputs!$G$29="No",Low_Total_Energy,Low_Total_Energy_New_TOU),0)/100</f>
        <v>0</v>
      </c>
    </row>
    <row r="39" spans="2:84" s="138" customFormat="1">
      <c r="C39" s="138" t="s">
        <v>116</v>
      </c>
      <c r="D39" s="139" t="s">
        <v>109</v>
      </c>
      <c r="E39" s="140">
        <f t="shared" ca="1" si="21"/>
        <v>0</v>
      </c>
      <c r="F39" s="141">
        <v>0</v>
      </c>
      <c r="G39" s="141">
        <v>0</v>
      </c>
      <c r="H39" s="141">
        <v>0</v>
      </c>
      <c r="I39" s="141">
        <v>0</v>
      </c>
      <c r="J39" s="141">
        <v>0</v>
      </c>
      <c r="K39" s="141">
        <v>0</v>
      </c>
      <c r="L39" s="141">
        <v>0</v>
      </c>
      <c r="M39" s="141">
        <v>0</v>
      </c>
      <c r="N39" s="141">
        <v>0</v>
      </c>
      <c r="O39" s="141">
        <v>0</v>
      </c>
      <c r="P39" s="141">
        <v>0</v>
      </c>
      <c r="Q39" s="141">
        <v>0</v>
      </c>
      <c r="R39" s="141">
        <v>0</v>
      </c>
      <c r="S39" s="141">
        <v>0</v>
      </c>
      <c r="T39" s="141">
        <v>0</v>
      </c>
      <c r="U39" s="141">
        <v>0</v>
      </c>
      <c r="V39" s="141">
        <v>0</v>
      </c>
      <c r="W39" s="141">
        <v>0</v>
      </c>
      <c r="X39" s="141">
        <f ca="1">IF(OR(E2="Nightsave Large",E2="Nightsave Small"),E39,IFERROR('Rates Table'!X53*IF(Inputs!$G$29="No",Low_Excess_RE,Low_Excess_RE_Exist_TOU),0)/100)</f>
        <v>0</v>
      </c>
      <c r="Y39" s="141">
        <v>0</v>
      </c>
      <c r="Z39" s="141">
        <v>0</v>
      </c>
      <c r="AA39" s="141">
        <v>0</v>
      </c>
      <c r="AB39" s="141">
        <v>0</v>
      </c>
      <c r="AC39" s="141">
        <v>0</v>
      </c>
      <c r="AD39" s="141">
        <v>0</v>
      </c>
      <c r="AE39" s="141">
        <v>0</v>
      </c>
      <c r="AF39" s="141">
        <v>0</v>
      </c>
      <c r="AG39" s="141">
        <v>0</v>
      </c>
      <c r="AH39" s="141">
        <v>0</v>
      </c>
      <c r="AI39" s="141">
        <v>0</v>
      </c>
      <c r="AJ39" s="141">
        <v>0</v>
      </c>
      <c r="AK39" s="141">
        <v>0</v>
      </c>
      <c r="AL39" s="141">
        <v>0</v>
      </c>
      <c r="AM39" s="141">
        <v>0</v>
      </c>
      <c r="AN39" s="141">
        <v>0</v>
      </c>
      <c r="AO39" s="141">
        <v>0</v>
      </c>
      <c r="AP39" s="141">
        <f ca="1">IFERROR('Rates Table'!AP53*IF(Inputs!$G$29="No",Low_Excess_RE,Low_Excess_RE_Exist_TOU),0)/100</f>
        <v>0</v>
      </c>
      <c r="AQ39" s="141">
        <f ca="1">IFERROR('Rates Table'!AQ53*IF(Inputs!$G$29="No",Low_Excess_RE,Low_Excess_RE_Exist_TOU),0)/100</f>
        <v>0</v>
      </c>
      <c r="AR39" s="141">
        <v>0</v>
      </c>
      <c r="AT39" s="140">
        <f t="shared" ca="1" si="22"/>
        <v>0</v>
      </c>
      <c r="AU39" s="141">
        <v>0</v>
      </c>
      <c r="AV39" s="141">
        <v>0</v>
      </c>
      <c r="AW39" s="141">
        <v>0</v>
      </c>
      <c r="AX39" s="141">
        <v>0</v>
      </c>
      <c r="AY39" s="141">
        <v>0</v>
      </c>
      <c r="AZ39" s="141">
        <v>0</v>
      </c>
      <c r="BA39" s="141">
        <v>0</v>
      </c>
      <c r="BB39" s="141">
        <v>0</v>
      </c>
      <c r="BC39" s="141">
        <v>0</v>
      </c>
      <c r="BD39" s="141">
        <v>0</v>
      </c>
      <c r="BE39" s="141">
        <v>0</v>
      </c>
      <c r="BF39" s="141">
        <v>0</v>
      </c>
      <c r="BG39" s="141">
        <v>0</v>
      </c>
      <c r="BH39" s="141">
        <v>0</v>
      </c>
      <c r="BI39" s="141">
        <v>0</v>
      </c>
      <c r="BJ39" s="141">
        <v>0</v>
      </c>
      <c r="BK39" s="141">
        <v>0</v>
      </c>
      <c r="BL39" s="141">
        <v>0</v>
      </c>
      <c r="BM39" s="141">
        <v>0</v>
      </c>
      <c r="BN39" s="141">
        <v>0</v>
      </c>
      <c r="BO39" s="141">
        <v>0</v>
      </c>
      <c r="BP39" s="141">
        <v>0</v>
      </c>
      <c r="BQ39" s="141">
        <v>0</v>
      </c>
      <c r="BR39" s="141">
        <v>0</v>
      </c>
      <c r="BS39" s="141">
        <v>0</v>
      </c>
      <c r="BT39" s="141">
        <v>0</v>
      </c>
      <c r="BU39" s="141">
        <v>0</v>
      </c>
      <c r="BV39" s="141">
        <v>0</v>
      </c>
      <c r="BW39" s="141">
        <v>0</v>
      </c>
      <c r="BX39" s="141">
        <v>0</v>
      </c>
      <c r="BY39" s="141">
        <v>0</v>
      </c>
      <c r="BZ39" s="141">
        <v>0</v>
      </c>
      <c r="CA39" s="141">
        <v>0</v>
      </c>
      <c r="CB39" s="141">
        <v>0</v>
      </c>
      <c r="CC39" s="141">
        <v>0</v>
      </c>
      <c r="CD39" s="141">
        <v>0</v>
      </c>
      <c r="CE39" s="141">
        <f ca="1">IFERROR('Rates Table'!CE53*IF(Inputs!$G$29="No",Low_Excess_RE,Low_Excess_RE_New_TOU),0)/100</f>
        <v>0</v>
      </c>
      <c r="CF39" s="141">
        <f ca="1">IFERROR('Rates Table'!CF53*IF(Inputs!$G$29="No",Low_Excess_RE,Low_Excess_RE_New_TOU),0)/100</f>
        <v>0</v>
      </c>
    </row>
    <row r="40" spans="2:84" s="138" customFormat="1">
      <c r="C40" s="138" t="s">
        <v>124</v>
      </c>
      <c r="D40" s="139" t="s">
        <v>106</v>
      </c>
      <c r="E40" s="140">
        <f t="shared" ca="1" si="21"/>
        <v>0</v>
      </c>
      <c r="F40" s="141">
        <f ca="1">IFERROR('Rates Table'!F54*IF(Inputs!$G$29="No",Low_Total_Energy,Low_Total_Energy_Exist_TOU),0)/100</f>
        <v>0</v>
      </c>
      <c r="G40" s="141">
        <f ca="1">IFERROR('Rates Table'!G54*IF(Inputs!$G$29="No",Low_Total_Energy,Low_Total_Energy_Exist_TOU),0)/100</f>
        <v>0</v>
      </c>
      <c r="H40" s="141">
        <f ca="1">IFERROR('Rates Table'!H54*IF(Inputs!$G$29="No",Low_Total_Energy,Low_Total_Energy_Exist_TOU),0)/100</f>
        <v>0</v>
      </c>
      <c r="I40" s="141">
        <f ca="1">IFERROR('Rates Table'!I54*IF(Inputs!$G$29="No",Low_Total_Energy,Low_Total_Energy_Exist_TOU),0)/100</f>
        <v>0</v>
      </c>
      <c r="J40" s="141">
        <f ca="1">IFERROR('Rates Table'!J54*IF(Inputs!$G$29="No",Low_Total_Energy,Low_Total_Energy_Exist_TOU),0)/100</f>
        <v>0</v>
      </c>
      <c r="K40" s="141">
        <f ca="1">IFERROR('Rates Table'!K54*IF(Inputs!$G$29="No",Low_Total_Energy,Low_Total_Energy_Exist_TOU),0)/100</f>
        <v>0</v>
      </c>
      <c r="L40" s="141">
        <f ca="1">IFERROR('Rates Table'!L54*IF(Inputs!$G$29="No",Low_Total_Energy,Low_Total_Energy_Exist_TOU),0)/100</f>
        <v>0</v>
      </c>
      <c r="M40" s="141">
        <f ca="1">IFERROR('Rates Table'!M54*IF(Inputs!$G$29="No",Low_Total_Energy,Low_Total_Energy_Exist_TOU),0)/100</f>
        <v>0</v>
      </c>
      <c r="N40" s="141">
        <f ca="1">IFERROR('Rates Table'!N54*IF(Inputs!$G$29="No",Low_Total_Energy,Low_Total_Energy_Exist_TOU),0)/100</f>
        <v>0</v>
      </c>
      <c r="O40" s="141">
        <f ca="1">IFERROR('Rates Table'!O54*IF(Inputs!$G$29="No",Low_Total_Energy,Low_Total_Energy_Exist_TOU),0)/100</f>
        <v>0</v>
      </c>
      <c r="P40" s="141">
        <f ca="1">IFERROR('Rates Table'!P54*IF(Inputs!$G$29="No",Low_Total_Energy,Low_Total_Energy_Exist_TOU),0)/100</f>
        <v>0</v>
      </c>
      <c r="Q40" s="141">
        <f ca="1">IFERROR('Rates Table'!Q54*IF(Inputs!$G$29="No",Low_Total_Energy,Low_Total_Energy_Exist_TOU),0)/100</f>
        <v>0</v>
      </c>
      <c r="R40" s="141">
        <f ca="1">IFERROR('Rates Table'!R54*IF(Inputs!$G$29="No",Low_Total_Energy,Low_Total_Energy_Exist_TOU),0)/100</f>
        <v>0</v>
      </c>
      <c r="S40" s="141">
        <f ca="1">IFERROR('Rates Table'!S54*IF(Inputs!$G$29="No",Low_Total_Energy,Low_Total_Energy_Exist_TOU),0)/100</f>
        <v>0</v>
      </c>
      <c r="T40" s="141">
        <f ca="1">IFERROR('Rates Table'!T54*IF(Inputs!$G$29="No",Low_Total_Energy,Low_Total_Energy_Exist_TOU),0)/100</f>
        <v>0</v>
      </c>
      <c r="U40" s="141">
        <f ca="1">IFERROR('Rates Table'!U54*IF(Inputs!$G$29="No",Low_Total_Energy,Low_Total_Energy_Exist_TOU),0)/100</f>
        <v>0</v>
      </c>
      <c r="V40" s="141">
        <f ca="1">IFERROR('Rates Table'!V54*IF(Inputs!$G$29="No",Low_Total_Energy,Low_Total_Energy_Exist_TOU),0)/100</f>
        <v>0</v>
      </c>
      <c r="W40" s="141">
        <f ca="1">IFERROR('Rates Table'!W54*IF(Inputs!$G$29="No",Low_Total_Energy,Low_Total_Energy_Exist_TOU),0)/100</f>
        <v>0</v>
      </c>
      <c r="X40" s="141">
        <f ca="1">IF(OR(E2="Nightsave Large",E2="Nightsave Small"),E40,IFERROR('Rates Table'!X54*IF(Inputs!$G$29="No",Low_Total_Energy,Low_Total_Energy_Exist_TOU),0)/100)</f>
        <v>0</v>
      </c>
      <c r="Y40" s="141">
        <f ca="1">IFERROR('Rates Table'!Y54*IF(Inputs!$G$29="No",Low_Total_Energy,Low_Total_Energy_Exist_TOU),0)/100</f>
        <v>0</v>
      </c>
      <c r="Z40" s="141">
        <f ca="1">IFERROR('Rates Table'!Z54*IF(Inputs!$G$29="No",Low_Total_Energy,Low_Total_Energy_Exist_TOU),0)/100</f>
        <v>0</v>
      </c>
      <c r="AA40" s="141">
        <f ca="1">IFERROR('Rates Table'!AA54*IF(Inputs!$G$29="No",Low_Total_Energy,Low_Total_Energy_Exist_TOU),0)/100</f>
        <v>0</v>
      </c>
      <c r="AB40" s="141">
        <f ca="1">IFERROR('Rates Table'!AB54*IF(Inputs!$G$29="No",Low_Total_Energy,Low_Total_Energy_Exist_TOU),0)/100</f>
        <v>0</v>
      </c>
      <c r="AC40" s="141">
        <f ca="1">IFERROR('Rates Table'!AC54*IF(Inputs!$G$29="No",Low_Total_Energy,Low_Total_Energy_Exist_TOU),0)/100</f>
        <v>0</v>
      </c>
      <c r="AD40" s="141">
        <f ca="1">IFERROR('Rates Table'!AD54*IF(Inputs!$G$29="No",Low_Total_Energy,Low_Total_Energy_Exist_TOU),0)/100</f>
        <v>0</v>
      </c>
      <c r="AE40" s="141">
        <f ca="1">IFERROR('Rates Table'!AE54*IF(Inputs!$G$29="No",Low_Total_Energy,Low_Total_Energy_Exist_TOU),0)/100</f>
        <v>0</v>
      </c>
      <c r="AF40" s="141">
        <f ca="1">IFERROR('Rates Table'!AF54*IF(Inputs!$G$29="No",Low_Total_Energy,Low_Total_Energy_Exist_TOU),0)/100</f>
        <v>0</v>
      </c>
      <c r="AG40" s="141">
        <f>IFERROR('Rates Table'!AG54*IF(Inputs!$G$29="No",Low_Total_Energy,Low_Total_Energy_Exist_TOU),0)/100</f>
        <v>0</v>
      </c>
      <c r="AH40" s="141">
        <f ca="1">IFERROR('Rates Table'!AH54*IF(Inputs!$G$29="No",Low_Total_Energy,Low_Total_Energy_Exist_TOU),0)/100</f>
        <v>0</v>
      </c>
      <c r="AI40" s="141">
        <f ca="1">IFERROR('Rates Table'!AI54*IF(Inputs!$G$29="No",Low_Total_Energy,Low_Total_Energy_Exist_TOU),0)/100</f>
        <v>0</v>
      </c>
      <c r="AJ40" s="141">
        <f ca="1">IFERROR('Rates Table'!AJ54*IF(Inputs!$G$29="No",Low_Total_Energy,Low_Total_Energy_Exist_TOU),0)/100</f>
        <v>0</v>
      </c>
      <c r="AK40" s="141">
        <f ca="1">IFERROR('Rates Table'!AK54*IF(Inputs!$G$29="No",Low_Total_Energy,Low_Total_Energy_Exist_TOU),0)/100</f>
        <v>0</v>
      </c>
      <c r="AL40" s="141">
        <f ca="1">IFERROR('Rates Table'!AL54*IF(Inputs!$G$29="No",Low_Total_Energy,Low_Total_Energy_Exist_TOU),0)/100</f>
        <v>0</v>
      </c>
      <c r="AM40" s="141">
        <f ca="1">IFERROR('Rates Table'!AM54*IF(Inputs!$G$29="No",Low_Total_Energy,Low_Total_Energy_Exist_TOU),0)/100</f>
        <v>0</v>
      </c>
      <c r="AN40" s="141">
        <f ca="1">IFERROR('Rates Table'!AN54*IF(Inputs!$G$29="No",Low_Total_Energy,Low_Total_Energy_Exist_TOU),0)/100</f>
        <v>0</v>
      </c>
      <c r="AO40" s="141">
        <f ca="1">IFERROR('Rates Table'!AO54*IF(Inputs!$G$29="No",Low_Total_Energy,Low_Total_Energy_Exist_TOU),0)/100</f>
        <v>0</v>
      </c>
      <c r="AP40" s="141">
        <f ca="1">IFERROR('Rates Table'!AP54*IF(Inputs!$G$29="No",Low_Total_Energy,Low_Total_Energy_Exist_TOU),0)/100</f>
        <v>0</v>
      </c>
      <c r="AQ40" s="141">
        <f ca="1">IFERROR('Rates Table'!AQ54*IF(Inputs!$G$29="No",Low_Total_Energy,Low_Total_Energy_Exist_TOU),0)/100</f>
        <v>0</v>
      </c>
      <c r="AR40" s="141">
        <f ca="1">IFERROR('Rates Table'!AR54*IF(Inputs!$G$29="No",Low_Total_Energy,Low_Total_Energy_Exist_TOU),0)/100</f>
        <v>0</v>
      </c>
      <c r="AT40" s="140">
        <f t="shared" ca="1" si="22"/>
        <v>0</v>
      </c>
      <c r="AU40" s="141">
        <f ca="1">IFERROR('Rates Table'!AU54*IF(Inputs!$G$29="No",Low_Total_Energy,Low_Total_Energy_New_TOU),0)/100</f>
        <v>0</v>
      </c>
      <c r="AV40" s="141">
        <f ca="1">IFERROR('Rates Table'!AV54*IF(Inputs!$G$29="No",Low_Total_Energy,Low_Total_Energy_New_TOU),0)/100</f>
        <v>0</v>
      </c>
      <c r="AW40" s="141">
        <f ca="1">IFERROR('Rates Table'!AW54*IF(Inputs!$G$29="No",Low_Total_Energy,Low_Total_Energy_New_TOU),0)/100</f>
        <v>0</v>
      </c>
      <c r="AX40" s="141">
        <f ca="1">IFERROR('Rates Table'!AX54*IF(Inputs!$G$29="No",Low_Total_Energy,Low_Total_Energy_New_TOU),0)/100</f>
        <v>0</v>
      </c>
      <c r="AY40" s="141">
        <f ca="1">IFERROR('Rates Table'!AY54*IF(Inputs!$G$29="No",Low_Total_Energy,Low_Total_Energy_New_TOU),0)/100</f>
        <v>0</v>
      </c>
      <c r="AZ40" s="141">
        <f ca="1">IFERROR('Rates Table'!AZ54*IF(Inputs!$G$29="No",Low_Total_Energy,Low_Total_Energy_New_TOU),0)/100</f>
        <v>0</v>
      </c>
      <c r="BA40" s="141">
        <f ca="1">IFERROR('Rates Table'!BA54*IF(Inputs!$G$29="No",Low_Total_Energy,Low_Total_Energy_New_TOU),0)/100</f>
        <v>0</v>
      </c>
      <c r="BB40" s="141">
        <f ca="1">IFERROR('Rates Table'!BB54*IF(Inputs!$G$29="No",Low_Total_Energy,Low_Total_Energy_New_TOU),0)/100</f>
        <v>0</v>
      </c>
      <c r="BC40" s="141">
        <f ca="1">IFERROR('Rates Table'!BC54*IF(Inputs!$G$29="No",Low_Total_Energy,Low_Total_Energy_New_TOU),0)/100</f>
        <v>0</v>
      </c>
      <c r="BD40" s="141">
        <f ca="1">IFERROR('Rates Table'!BD54*IF(Inputs!$G$29="No",Low_Total_Energy,Low_Total_Energy_New_TOU),0)/100</f>
        <v>0</v>
      </c>
      <c r="BE40" s="141">
        <f ca="1">IFERROR('Rates Table'!BE54*IF(Inputs!$G$29="No",Low_Total_Energy,Low_Total_Energy_New_TOU),0)/100</f>
        <v>0</v>
      </c>
      <c r="BF40" s="141">
        <f ca="1">IFERROR('Rates Table'!BF54*IF(Inputs!$G$29="No",Low_Total_Energy,Low_Total_Energy_New_TOU),0)/100</f>
        <v>0</v>
      </c>
      <c r="BG40" s="141">
        <f ca="1">IFERROR('Rates Table'!BG54*IF(Inputs!$G$29="No",Low_Total_Energy,Low_Total_Energy_New_TOU),0)/100</f>
        <v>0</v>
      </c>
      <c r="BH40" s="141">
        <f ca="1">IFERROR('Rates Table'!BH54*IF(Inputs!$G$29="No",Low_Total_Energy,Low_Total_Energy_New_TOU),0)/100</f>
        <v>0</v>
      </c>
      <c r="BI40" s="141">
        <f ca="1">IFERROR('Rates Table'!BI54*IF(Inputs!$G$29="No",Low_Total_Energy,Low_Total_Energy_New_TOU),0)/100</f>
        <v>0</v>
      </c>
      <c r="BJ40" s="141">
        <f ca="1">IFERROR('Rates Table'!BJ54*IF(Inputs!$G$29="No",Low_Total_Energy,Low_Total_Energy_New_TOU),0)/100</f>
        <v>0</v>
      </c>
      <c r="BK40" s="141">
        <f ca="1">IFERROR('Rates Table'!BK54*IF(Inputs!$G$29="No",Low_Total_Energy,Low_Total_Energy_New_TOU),0)/100</f>
        <v>0</v>
      </c>
      <c r="BL40" s="141">
        <f ca="1">IFERROR('Rates Table'!BL54*IF(Inputs!$G$29="No",Low_Total_Energy,Low_Total_Energy_New_TOU),0)/100</f>
        <v>0</v>
      </c>
      <c r="BM40" s="141">
        <f>IFERROR('Rates Table'!BM54*IF(Inputs!$G$29="No",Low_Total_Energy,Low_Total_Energy_New_TOU),0)/100</f>
        <v>0</v>
      </c>
      <c r="BN40" s="141">
        <f ca="1">IFERROR('Rates Table'!BN54*IF(Inputs!$G$29="No",Low_Total_Energy,Low_Total_Energy_New_TOU),0)/100</f>
        <v>0</v>
      </c>
      <c r="BO40" s="141">
        <f ca="1">IFERROR('Rates Table'!BO54*IF(Inputs!$G$29="No",Low_Total_Energy,Low_Total_Energy_New_TOU),0)/100</f>
        <v>0</v>
      </c>
      <c r="BP40" s="141">
        <f ca="1">IFERROR('Rates Table'!BP54*IF(Inputs!$G$29="No",Low_Total_Energy,Low_Total_Energy_New_TOU),0)/100</f>
        <v>0</v>
      </c>
      <c r="BQ40" s="141">
        <f ca="1">IFERROR('Rates Table'!BQ54*IF(Inputs!$G$29="No",Low_Total_Energy,Low_Total_Energy_New_TOU),0)/100</f>
        <v>0</v>
      </c>
      <c r="BR40" s="141">
        <f ca="1">IFERROR('Rates Table'!BR54*IF(Inputs!$G$29="No",Low_Total_Energy,Low_Total_Energy_New_TOU),0)/100</f>
        <v>0</v>
      </c>
      <c r="BS40" s="141">
        <f ca="1">IFERROR('Rates Table'!BS54*IF(Inputs!$G$29="No",Low_Total_Energy,Low_Total_Energy_New_TOU),0)/100</f>
        <v>0</v>
      </c>
      <c r="BT40" s="141">
        <f ca="1">IFERROR('Rates Table'!BT54*IF(Inputs!$G$29="No",Low_Total_Energy,Low_Total_Energy_New_TOU),0)/100</f>
        <v>0</v>
      </c>
      <c r="BU40" s="141">
        <f ca="1">IFERROR('Rates Table'!BU54*IF(Inputs!$G$29="No",Low_Total_Energy,Low_Total_Energy_New_TOU),0)/100</f>
        <v>0</v>
      </c>
      <c r="BV40" s="141">
        <f>IFERROR('Rates Table'!BV54*IF(Inputs!$G$29="No",Low_Total_Energy,Low_Total_Energy_New_TOU),0)/100</f>
        <v>0</v>
      </c>
      <c r="BW40" s="141">
        <f ca="1">IFERROR('Rates Table'!BW54*IF(Inputs!$G$29="No",Low_Total_Energy,Low_Total_Energy_New_TOU),0)/100</f>
        <v>0</v>
      </c>
      <c r="BX40" s="141">
        <f ca="1">IFERROR('Rates Table'!BX54*IF(Inputs!$G$29="No",Low_Total_Energy,Low_Total_Energy_New_TOU),0)/100</f>
        <v>0</v>
      </c>
      <c r="BY40" s="141">
        <f ca="1">IFERROR('Rates Table'!BY54*IF(Inputs!$G$29="No",Low_Total_Energy,Low_Total_Energy_New_TOU),0)/100</f>
        <v>0</v>
      </c>
      <c r="BZ40" s="141">
        <f ca="1">IFERROR('Rates Table'!BZ54*IF(Inputs!$G$29="No",Low_Total_Energy,Low_Total_Energy_New_TOU),0)/100</f>
        <v>0</v>
      </c>
      <c r="CA40" s="141">
        <f ca="1">IFERROR('Rates Table'!CA54*IF(Inputs!$G$29="No",Low_Total_Energy,Low_Total_Energy_New_TOU),0)/100</f>
        <v>0</v>
      </c>
      <c r="CB40" s="141">
        <f ca="1">IFERROR('Rates Table'!CB54*IF(Inputs!$G$29="No",Low_Total_Energy,Low_Total_Energy_New_TOU),0)/100</f>
        <v>0</v>
      </c>
      <c r="CC40" s="141">
        <f ca="1">IFERROR('Rates Table'!CC54*IF(Inputs!$G$29="No",Low_Total_Energy,Low_Total_Energy_New_TOU),0)/100</f>
        <v>0</v>
      </c>
      <c r="CD40" s="141">
        <f ca="1">IFERROR('Rates Table'!CD54*IF(Inputs!$G$29="No",Low_Total_Energy,Low_Total_Energy_New_TOU),0)/100</f>
        <v>0</v>
      </c>
      <c r="CE40" s="141">
        <f ca="1">IFERROR('Rates Table'!CE54*IF(Inputs!$G$29="No",Low_Total_Energy,Low_Total_Energy_New_TOU),0)/100</f>
        <v>0</v>
      </c>
      <c r="CF40" s="141">
        <f ca="1">IFERROR('Rates Table'!CF54*IF(Inputs!$G$29="No",Low_Total_Energy,Low_Total_Energy_New_TOU),0)/100</f>
        <v>0</v>
      </c>
    </row>
    <row r="41" spans="2:84" s="138" customFormat="1">
      <c r="C41" s="138" t="s">
        <v>125</v>
      </c>
      <c r="D41" s="139" t="s">
        <v>106</v>
      </c>
      <c r="E41" s="140">
        <f t="shared" ca="1" si="21"/>
        <v>0</v>
      </c>
      <c r="F41" s="141">
        <f ca="1">IFERROR('Rates Table'!F55*IF(Inputs!$G$29="No",Low_Total_Energy,Low_Total_Energy_Exist_TOU),0)/100</f>
        <v>0</v>
      </c>
      <c r="G41" s="141">
        <f ca="1">IFERROR('Rates Table'!G55*IF(Inputs!$G$29="No",Low_Total_Energy,Low_Total_Energy_Exist_TOU),0)/100</f>
        <v>0</v>
      </c>
      <c r="H41" s="141">
        <f ca="1">IFERROR('Rates Table'!H55*IF(Inputs!$G$29="No",Low_Total_Energy,Low_Total_Energy_Exist_TOU),0)/100</f>
        <v>0</v>
      </c>
      <c r="I41" s="141">
        <f ca="1">IFERROR('Rates Table'!I55*IF(Inputs!$G$29="No",Low_Total_Energy,Low_Total_Energy_Exist_TOU),0)/100</f>
        <v>0</v>
      </c>
      <c r="J41" s="141">
        <f ca="1">IFERROR('Rates Table'!J55*IF(Inputs!$G$29="No",Low_Total_Energy,Low_Total_Energy_Exist_TOU),0)/100</f>
        <v>0</v>
      </c>
      <c r="K41" s="141">
        <f ca="1">IFERROR('Rates Table'!K55*IF(Inputs!$G$29="No",Low_Total_Energy,Low_Total_Energy_Exist_TOU),0)/100</f>
        <v>0</v>
      </c>
      <c r="L41" s="141">
        <f ca="1">IFERROR('Rates Table'!L55*IF(Inputs!$G$29="No",Low_Total_Energy,Low_Total_Energy_Exist_TOU),0)/100</f>
        <v>0</v>
      </c>
      <c r="M41" s="141">
        <f ca="1">IFERROR('Rates Table'!M55*IF(Inputs!$G$29="No",Low_Total_Energy,Low_Total_Energy_Exist_TOU),0)/100</f>
        <v>0</v>
      </c>
      <c r="N41" s="141">
        <f ca="1">IFERROR('Rates Table'!N55*IF(Inputs!$G$29="No",Low_Total_Energy,Low_Total_Energy_Exist_TOU),0)/100</f>
        <v>0</v>
      </c>
      <c r="O41" s="141">
        <f ca="1">IFERROR('Rates Table'!O55*IF(Inputs!$G$29="No",Low_Total_Energy,Low_Total_Energy_Exist_TOU),0)/100</f>
        <v>0</v>
      </c>
      <c r="P41" s="141">
        <f ca="1">IFERROR('Rates Table'!P55*IF(Inputs!$G$29="No",Low_Total_Energy,Low_Total_Energy_Exist_TOU),0)/100</f>
        <v>0</v>
      </c>
      <c r="Q41" s="141">
        <f ca="1">IFERROR('Rates Table'!Q55*IF(Inputs!$G$29="No",Low_Total_Energy,Low_Total_Energy_Exist_TOU),0)/100</f>
        <v>0</v>
      </c>
      <c r="R41" s="141">
        <f ca="1">IFERROR('Rates Table'!R55*IF(Inputs!$G$29="No",Low_Total_Energy,Low_Total_Energy_Exist_TOU),0)/100</f>
        <v>0</v>
      </c>
      <c r="S41" s="141">
        <f ca="1">IFERROR('Rates Table'!S55*IF(Inputs!$G$29="No",Low_Total_Energy,Low_Total_Energy_Exist_TOU),0)/100</f>
        <v>0</v>
      </c>
      <c r="T41" s="141">
        <f ca="1">IFERROR('Rates Table'!T55*IF(Inputs!$G$29="No",Low_Total_Energy,Low_Total_Energy_Exist_TOU),0)/100</f>
        <v>0</v>
      </c>
      <c r="U41" s="141">
        <f ca="1">IFERROR('Rates Table'!U55*IF(Inputs!$G$29="No",Low_Total_Energy,Low_Total_Energy_Exist_TOU),0)/100</f>
        <v>0</v>
      </c>
      <c r="V41" s="141">
        <f ca="1">IFERROR('Rates Table'!V55*IF(Inputs!$G$29="No",Low_Total_Energy,Low_Total_Energy_Exist_TOU),0)/100</f>
        <v>0</v>
      </c>
      <c r="W41" s="141">
        <f ca="1">IFERROR('Rates Table'!W55*IF(Inputs!$G$29="No",Low_Total_Energy,Low_Total_Energy_Exist_TOU),0)/100</f>
        <v>0</v>
      </c>
      <c r="X41" s="141">
        <f ca="1">IF(OR(E2="Nightsave Large",E2="Nightsave Small"),E41,IFERROR('Rates Table'!X55*IF(Inputs!$G$29="No",Low_Total_Energy,Low_Total_Energy_Exist_TOU),0)/100)</f>
        <v>0</v>
      </c>
      <c r="Y41" s="141">
        <f ca="1">IFERROR('Rates Table'!Y55*IF(Inputs!$G$29="No",Low_Total_Energy,Low_Total_Energy_Exist_TOU),0)/100</f>
        <v>0</v>
      </c>
      <c r="Z41" s="141">
        <f ca="1">IFERROR('Rates Table'!Z55*IF(Inputs!$G$29="No",Low_Total_Energy,Low_Total_Energy_Exist_TOU),0)/100</f>
        <v>0</v>
      </c>
      <c r="AA41" s="141">
        <f ca="1">IFERROR('Rates Table'!AA55*IF(Inputs!$G$29="No",Low_Total_Energy,Low_Total_Energy_Exist_TOU),0)/100</f>
        <v>0</v>
      </c>
      <c r="AB41" s="141">
        <f ca="1">IFERROR('Rates Table'!AB55*IF(Inputs!$G$29="No",Low_Total_Energy,Low_Total_Energy_Exist_TOU),0)/100</f>
        <v>0</v>
      </c>
      <c r="AC41" s="141">
        <f ca="1">IFERROR('Rates Table'!AC55*IF(Inputs!$G$29="No",Low_Total_Energy,Low_Total_Energy_Exist_TOU),0)/100</f>
        <v>0</v>
      </c>
      <c r="AD41" s="141">
        <f ca="1">IFERROR('Rates Table'!AD55*IF(Inputs!$G$29="No",Low_Total_Energy,Low_Total_Energy_Exist_TOU),0)/100</f>
        <v>0</v>
      </c>
      <c r="AE41" s="141">
        <f ca="1">IFERROR('Rates Table'!AE55*IF(Inputs!$G$29="No",Low_Total_Energy,Low_Total_Energy_Exist_TOU),0)/100</f>
        <v>0</v>
      </c>
      <c r="AF41" s="141">
        <f ca="1">IFERROR('Rates Table'!AF55*IF(Inputs!$G$29="No",Low_Total_Energy,Low_Total_Energy_Exist_TOU),0)/100</f>
        <v>0</v>
      </c>
      <c r="AG41" s="141">
        <f>IFERROR('Rates Table'!AG55*IF(Inputs!$G$29="No",Low_Total_Energy,Low_Total_Energy_Exist_TOU),0)/100</f>
        <v>0</v>
      </c>
      <c r="AH41" s="141">
        <f ca="1">IFERROR('Rates Table'!AH55*IF(Inputs!$G$29="No",Low_Total_Energy,Low_Total_Energy_Exist_TOU),0)/100</f>
        <v>0</v>
      </c>
      <c r="AI41" s="141">
        <f ca="1">IFERROR('Rates Table'!AI55*IF(Inputs!$G$29="No",Low_Total_Energy,Low_Total_Energy_Exist_TOU),0)/100</f>
        <v>0</v>
      </c>
      <c r="AJ41" s="141">
        <f ca="1">IFERROR('Rates Table'!AJ55*IF(Inputs!$G$29="No",Low_Total_Energy,Low_Total_Energy_Exist_TOU),0)/100</f>
        <v>0</v>
      </c>
      <c r="AK41" s="141">
        <f ca="1">IFERROR('Rates Table'!AK55*IF(Inputs!$G$29="No",Low_Total_Energy,Low_Total_Energy_Exist_TOU),0)/100</f>
        <v>0</v>
      </c>
      <c r="AL41" s="141">
        <f ca="1">IFERROR('Rates Table'!AL55*IF(Inputs!$G$29="No",Low_Total_Energy,Low_Total_Energy_Exist_TOU),0)/100</f>
        <v>0</v>
      </c>
      <c r="AM41" s="141">
        <f ca="1">IFERROR('Rates Table'!AM55*IF(Inputs!$G$29="No",Low_Total_Energy,Low_Total_Energy_Exist_TOU),0)/100</f>
        <v>0</v>
      </c>
      <c r="AN41" s="141">
        <f ca="1">IFERROR('Rates Table'!AN55*IF(Inputs!$G$29="No",Low_Total_Energy,Low_Total_Energy_Exist_TOU),0)/100</f>
        <v>0</v>
      </c>
      <c r="AO41" s="141">
        <f ca="1">IFERROR('Rates Table'!AO55*IF(Inputs!$G$29="No",Low_Total_Energy,Low_Total_Energy_Exist_TOU),0)/100</f>
        <v>0</v>
      </c>
      <c r="AP41" s="141">
        <f ca="1">IFERROR('Rates Table'!AP55*IF(Inputs!$G$29="No",Low_Total_Energy,Low_Total_Energy_Exist_TOU),0)/100</f>
        <v>0</v>
      </c>
      <c r="AQ41" s="141">
        <f ca="1">IFERROR('Rates Table'!AQ55*IF(Inputs!$G$29="No",Low_Total_Energy,Low_Total_Energy_Exist_TOU),0)/100</f>
        <v>0</v>
      </c>
      <c r="AR41" s="141">
        <f ca="1">IFERROR('Rates Table'!AR55*IF(Inputs!$G$29="No",Low_Total_Energy,Low_Total_Energy_Exist_TOU),0)/100</f>
        <v>0</v>
      </c>
      <c r="AT41" s="140">
        <f t="shared" ca="1" si="22"/>
        <v>0</v>
      </c>
      <c r="AU41" s="141">
        <f ca="1">IFERROR('Rates Table'!AU55*IF(Inputs!$G$29="No",Low_Total_Energy,Low_Total_Energy_New_TOU),0)/100</f>
        <v>0</v>
      </c>
      <c r="AV41" s="141">
        <f ca="1">IFERROR('Rates Table'!AV55*IF(Inputs!$G$29="No",Low_Total_Energy,Low_Total_Energy_New_TOU),0)/100</f>
        <v>0</v>
      </c>
      <c r="AW41" s="141">
        <f ca="1">IFERROR('Rates Table'!AW55*IF(Inputs!$G$29="No",Low_Total_Energy,Low_Total_Energy_New_TOU),0)/100</f>
        <v>0</v>
      </c>
      <c r="AX41" s="141">
        <f ca="1">IFERROR('Rates Table'!AX55*IF(Inputs!$G$29="No",Low_Total_Energy,Low_Total_Energy_New_TOU),0)/100</f>
        <v>0</v>
      </c>
      <c r="AY41" s="141">
        <f ca="1">IFERROR('Rates Table'!AY55*IF(Inputs!$G$29="No",Low_Total_Energy,Low_Total_Energy_New_TOU),0)/100</f>
        <v>0</v>
      </c>
      <c r="AZ41" s="141">
        <f ca="1">IFERROR('Rates Table'!AZ55*IF(Inputs!$G$29="No",Low_Total_Energy,Low_Total_Energy_New_TOU),0)/100</f>
        <v>0</v>
      </c>
      <c r="BA41" s="141">
        <f ca="1">IFERROR('Rates Table'!BA55*IF(Inputs!$G$29="No",Low_Total_Energy,Low_Total_Energy_New_TOU),0)/100</f>
        <v>0</v>
      </c>
      <c r="BB41" s="141">
        <f ca="1">IFERROR('Rates Table'!BB55*IF(Inputs!$G$29="No",Low_Total_Energy,Low_Total_Energy_New_TOU),0)/100</f>
        <v>0</v>
      </c>
      <c r="BC41" s="141">
        <f ca="1">IFERROR('Rates Table'!BC55*IF(Inputs!$G$29="No",Low_Total_Energy,Low_Total_Energy_New_TOU),0)/100</f>
        <v>0</v>
      </c>
      <c r="BD41" s="141">
        <f ca="1">IFERROR('Rates Table'!BD55*IF(Inputs!$G$29="No",Low_Total_Energy,Low_Total_Energy_New_TOU),0)/100</f>
        <v>0</v>
      </c>
      <c r="BE41" s="141">
        <f ca="1">IFERROR('Rates Table'!BE55*IF(Inputs!$G$29="No",Low_Total_Energy,Low_Total_Energy_New_TOU),0)/100</f>
        <v>0</v>
      </c>
      <c r="BF41" s="141">
        <f ca="1">IFERROR('Rates Table'!BF55*IF(Inputs!$G$29="No",Low_Total_Energy,Low_Total_Energy_New_TOU),0)/100</f>
        <v>0</v>
      </c>
      <c r="BG41" s="141">
        <f ca="1">IFERROR('Rates Table'!BG55*IF(Inputs!$G$29="No",Low_Total_Energy,Low_Total_Energy_New_TOU),0)/100</f>
        <v>0</v>
      </c>
      <c r="BH41" s="141">
        <f ca="1">IFERROR('Rates Table'!BH55*IF(Inputs!$G$29="No",Low_Total_Energy,Low_Total_Energy_New_TOU),0)/100</f>
        <v>0</v>
      </c>
      <c r="BI41" s="141">
        <f ca="1">IFERROR('Rates Table'!BI55*IF(Inputs!$G$29="No",Low_Total_Energy,Low_Total_Energy_New_TOU),0)/100</f>
        <v>0</v>
      </c>
      <c r="BJ41" s="141">
        <f ca="1">IFERROR('Rates Table'!BJ55*IF(Inputs!$G$29="No",Low_Total_Energy,Low_Total_Energy_New_TOU),0)/100</f>
        <v>0</v>
      </c>
      <c r="BK41" s="141">
        <f ca="1">IFERROR('Rates Table'!BK55*IF(Inputs!$G$29="No",Low_Total_Energy,Low_Total_Energy_New_TOU),0)/100</f>
        <v>0</v>
      </c>
      <c r="BL41" s="141">
        <f ca="1">IFERROR('Rates Table'!BL55*IF(Inputs!$G$29="No",Low_Total_Energy,Low_Total_Energy_New_TOU),0)/100</f>
        <v>0</v>
      </c>
      <c r="BM41" s="141">
        <f>IFERROR('Rates Table'!BM55*IF(Inputs!$G$29="No",Low_Total_Energy,Low_Total_Energy_New_TOU),0)/100</f>
        <v>0</v>
      </c>
      <c r="BN41" s="141">
        <f ca="1">IFERROR('Rates Table'!BN55*IF(Inputs!$G$29="No",Low_Total_Energy,Low_Total_Energy_New_TOU),0)/100</f>
        <v>0</v>
      </c>
      <c r="BO41" s="141">
        <f ca="1">IFERROR('Rates Table'!BO55*IF(Inputs!$G$29="No",Low_Total_Energy,Low_Total_Energy_New_TOU),0)/100</f>
        <v>0</v>
      </c>
      <c r="BP41" s="141">
        <f ca="1">IFERROR('Rates Table'!BP55*IF(Inputs!$G$29="No",Low_Total_Energy,Low_Total_Energy_New_TOU),0)/100</f>
        <v>0</v>
      </c>
      <c r="BQ41" s="141">
        <f ca="1">IFERROR('Rates Table'!BQ55*IF(Inputs!$G$29="No",Low_Total_Energy,Low_Total_Energy_New_TOU),0)/100</f>
        <v>0</v>
      </c>
      <c r="BR41" s="141">
        <f ca="1">IFERROR('Rates Table'!BR55*IF(Inputs!$G$29="No",Low_Total_Energy,Low_Total_Energy_New_TOU),0)/100</f>
        <v>0</v>
      </c>
      <c r="BS41" s="141">
        <f ca="1">IFERROR('Rates Table'!BS55*IF(Inputs!$G$29="No",Low_Total_Energy,Low_Total_Energy_New_TOU),0)/100</f>
        <v>0</v>
      </c>
      <c r="BT41" s="141">
        <f ca="1">IFERROR('Rates Table'!BT55*IF(Inputs!$G$29="No",Low_Total_Energy,Low_Total_Energy_New_TOU),0)/100</f>
        <v>0</v>
      </c>
      <c r="BU41" s="141">
        <f ca="1">IFERROR('Rates Table'!BU55*IF(Inputs!$G$29="No",Low_Total_Energy,Low_Total_Energy_New_TOU),0)/100</f>
        <v>0</v>
      </c>
      <c r="BV41" s="141">
        <f>IFERROR('Rates Table'!BV55*IF(Inputs!$G$29="No",Low_Total_Energy,Low_Total_Energy_New_TOU),0)/100</f>
        <v>0</v>
      </c>
      <c r="BW41" s="141">
        <f ca="1">IFERROR('Rates Table'!BW55*IF(Inputs!$G$29="No",Low_Total_Energy,Low_Total_Energy_New_TOU),0)/100</f>
        <v>0</v>
      </c>
      <c r="BX41" s="141">
        <f ca="1">IFERROR('Rates Table'!BX55*IF(Inputs!$G$29="No",Low_Total_Energy,Low_Total_Energy_New_TOU),0)/100</f>
        <v>0</v>
      </c>
      <c r="BY41" s="141">
        <f ca="1">IFERROR('Rates Table'!BY55*IF(Inputs!$G$29="No",Low_Total_Energy,Low_Total_Energy_New_TOU),0)/100</f>
        <v>0</v>
      </c>
      <c r="BZ41" s="141">
        <f ca="1">IFERROR('Rates Table'!BZ55*IF(Inputs!$G$29="No",Low_Total_Energy,Low_Total_Energy_New_TOU),0)/100</f>
        <v>0</v>
      </c>
      <c r="CA41" s="141">
        <f ca="1">IFERROR('Rates Table'!CA55*IF(Inputs!$G$29="No",Low_Total_Energy,Low_Total_Energy_New_TOU),0)/100</f>
        <v>0</v>
      </c>
      <c r="CB41" s="141">
        <f ca="1">IFERROR('Rates Table'!CB55*IF(Inputs!$G$29="No",Low_Total_Energy,Low_Total_Energy_New_TOU),0)/100</f>
        <v>0</v>
      </c>
      <c r="CC41" s="141">
        <f ca="1">IFERROR('Rates Table'!CC55*IF(Inputs!$G$29="No",Low_Total_Energy,Low_Total_Energy_New_TOU),0)/100</f>
        <v>0</v>
      </c>
      <c r="CD41" s="141">
        <f ca="1">IFERROR('Rates Table'!CD55*IF(Inputs!$G$29="No",Low_Total_Energy,Low_Total_Energy_New_TOU),0)/100</f>
        <v>0</v>
      </c>
      <c r="CE41" s="141">
        <f ca="1">IFERROR('Rates Table'!CE55*IF(Inputs!$G$29="No",Low_Total_Energy,Low_Total_Energy_New_TOU),0)/100</f>
        <v>0</v>
      </c>
      <c r="CF41" s="141">
        <f ca="1">IFERROR('Rates Table'!CF55*IF(Inputs!$G$29="No",Low_Total_Energy,Low_Total_Energy_New_TOU),0)/100</f>
        <v>0</v>
      </c>
    </row>
    <row r="42" spans="2:84" s="138" customFormat="1">
      <c r="C42" s="138" t="s">
        <v>126</v>
      </c>
      <c r="D42" s="139" t="s">
        <v>147</v>
      </c>
      <c r="E42" s="140">
        <f t="shared" ca="1" si="21"/>
        <v>3385.2000000000003</v>
      </c>
      <c r="F42" s="141">
        <f ca="1">IFERROR('Rates Table'!F56*PODs*Low_Days,0)</f>
        <v>0</v>
      </c>
      <c r="G42" s="141">
        <f ca="1">IFERROR('Rates Table'!G56*PODs*Low_Days,0)</f>
        <v>0</v>
      </c>
      <c r="H42" s="141">
        <f ca="1">IFERROR('Rates Table'!H56*PODs*Low_Days,0)</f>
        <v>0</v>
      </c>
      <c r="I42" s="141">
        <f ca="1">IFERROR('Rates Table'!I56*PODs*Low_Days,0)</f>
        <v>0</v>
      </c>
      <c r="J42" s="141">
        <f ca="1">IFERROR('Rates Table'!J56*PODs*Low_Days,0)</f>
        <v>0</v>
      </c>
      <c r="K42" s="141">
        <f ca="1">IFERROR('Rates Table'!K56*PODs*Low_Days,0)</f>
        <v>0</v>
      </c>
      <c r="L42" s="141">
        <f ca="1">IFERROR('Rates Table'!L56*PODs*Low_Days,0)</f>
        <v>0</v>
      </c>
      <c r="M42" s="141">
        <f ca="1">IFERROR('Rates Table'!M56*PODs*Low_Days,0)</f>
        <v>0</v>
      </c>
      <c r="N42" s="141">
        <f ca="1">IFERROR('Rates Table'!N56*PODs*Low_Days,0)</f>
        <v>0</v>
      </c>
      <c r="O42" s="141">
        <f ca="1">IFERROR('Rates Table'!O56*PODs*Low_Days,0)</f>
        <v>0</v>
      </c>
      <c r="P42" s="141">
        <f ca="1">IFERROR('Rates Table'!P56*PODs*Low_Days,0)</f>
        <v>0</v>
      </c>
      <c r="Q42" s="141">
        <f ca="1">IFERROR('Rates Table'!Q56*PODs*Low_Days,0)</f>
        <v>0</v>
      </c>
      <c r="R42" s="141">
        <f ca="1">IFERROR('Rates Table'!R56*PODs*Low_Days,0)</f>
        <v>0</v>
      </c>
      <c r="S42" s="141">
        <f ca="1">IFERROR('Rates Table'!S56*PODs*Low_Days,0)</f>
        <v>0</v>
      </c>
      <c r="T42" s="141">
        <f ca="1">IFERROR('Rates Table'!T56*PODs*Low_Days,0)</f>
        <v>0</v>
      </c>
      <c r="U42" s="141">
        <f ca="1">IFERROR('Rates Table'!U56*PODs*Low_Days,0)</f>
        <v>0</v>
      </c>
      <c r="V42" s="141">
        <f ca="1">IFERROR('Rates Table'!V56*PODs*Low_Days,0)</f>
        <v>3385.2000000000003</v>
      </c>
      <c r="W42" s="141">
        <f ca="1">IFERROR('Rates Table'!W56*PODs*Low_Days,0)</f>
        <v>3385.2000000000003</v>
      </c>
      <c r="X42" s="141">
        <f ca="1">IFERROR('Rates Table'!X56*PODs*Low_Days,0)</f>
        <v>3385.2000000000003</v>
      </c>
      <c r="Y42" s="141">
        <f ca="1">IFERROR('Rates Table'!Y56*PODs*Low_Days,0)</f>
        <v>3385.2000000000003</v>
      </c>
      <c r="Z42" s="141">
        <f ca="1">IFERROR('Rates Table'!Z56*PODs*Low_Days,0)</f>
        <v>3385.2000000000003</v>
      </c>
      <c r="AA42" s="141">
        <f ca="1">IFERROR('Rates Table'!AA56*PODs*Low_Days,0)</f>
        <v>3385.2000000000003</v>
      </c>
      <c r="AB42" s="141">
        <f ca="1">IFERROR('Rates Table'!AB56*PODs*Low_Days,0)</f>
        <v>0</v>
      </c>
      <c r="AC42" s="141">
        <f ca="1">IFERROR('Rates Table'!AC56*PODs*Low_Days,0)</f>
        <v>0</v>
      </c>
      <c r="AD42" s="141">
        <f ca="1">IFERROR('Rates Table'!AD56*PODs*Low_Days,0)</f>
        <v>0</v>
      </c>
      <c r="AE42" s="141">
        <f ca="1">IFERROR('Rates Table'!AE56*PODs*Low_Days,0)</f>
        <v>0</v>
      </c>
      <c r="AF42" s="141">
        <f ca="1">IFERROR('Rates Table'!AF56*PODs*Low_Days,0)</f>
        <v>0</v>
      </c>
      <c r="AG42" s="141">
        <f ca="1">IFERROR('Rates Table'!AG56*PODs*Low_Days,0)</f>
        <v>3385.2000000000003</v>
      </c>
      <c r="AH42" s="141">
        <f ca="1">IFERROR('Rates Table'!AH56*PODs*Low_Days,0)</f>
        <v>0</v>
      </c>
      <c r="AI42" s="141">
        <f ca="1">IFERROR('Rates Table'!AI56*PODs*Low_Days,0)</f>
        <v>0</v>
      </c>
      <c r="AJ42" s="141">
        <f ca="1">IFERROR('Rates Table'!AJ56*PODs*Low_Days,0)</f>
        <v>0</v>
      </c>
      <c r="AK42" s="141">
        <f ca="1">IFERROR('Rates Table'!AK56*PODs*Low_Days,0)</f>
        <v>0</v>
      </c>
      <c r="AL42" s="141">
        <f ca="1">IFERROR('Rates Table'!AL56*PODs*Low_Days,0)</f>
        <v>0</v>
      </c>
      <c r="AM42" s="141">
        <f ca="1">IFERROR('Rates Table'!AM56*PODs*Low_Days,0)</f>
        <v>0</v>
      </c>
      <c r="AN42" s="141">
        <f ca="1">IFERROR('Rates Table'!AN56*PODs*Low_Days,0)</f>
        <v>0</v>
      </c>
      <c r="AO42" s="141">
        <f ca="1">IFERROR('Rates Table'!AO56*PODs*Low_Days,0)</f>
        <v>0</v>
      </c>
      <c r="AP42" s="141">
        <f ca="1">IFERROR('Rates Table'!AP56*PODs*Low_Days,0)</f>
        <v>3385.2000000000003</v>
      </c>
      <c r="AQ42" s="141">
        <f ca="1">IFERROR('Rates Table'!AQ56*PODs*Low_Days,0)</f>
        <v>3385.2000000000003</v>
      </c>
      <c r="AR42" s="141">
        <f ca="1">IFERROR('Rates Table'!AR56*PODs*Low_Days,0)</f>
        <v>0</v>
      </c>
      <c r="AT42" s="140">
        <f t="shared" ca="1" si="22"/>
        <v>3682.77</v>
      </c>
      <c r="AU42" s="141">
        <f ca="1">IFERROR('Rates Table'!AU56*PODs*Low_Days,0)</f>
        <v>0</v>
      </c>
      <c r="AV42" s="141">
        <f ca="1">IFERROR('Rates Table'!AV56*PODs*Low_Days,0)</f>
        <v>0</v>
      </c>
      <c r="AW42" s="141">
        <f ca="1">IFERROR('Rates Table'!AW56*PODs*Low_Days,0)</f>
        <v>0</v>
      </c>
      <c r="AX42" s="141">
        <f ca="1">IFERROR('Rates Table'!AX56*PODs*Low_Days,0)</f>
        <v>0</v>
      </c>
      <c r="AY42" s="141">
        <f ca="1">IFERROR('Rates Table'!AY56*PODs*Low_Days,0)</f>
        <v>0</v>
      </c>
      <c r="AZ42" s="141">
        <f ca="1">IFERROR('Rates Table'!AZ56*PODs*Low_Days,0)</f>
        <v>0</v>
      </c>
      <c r="BA42" s="141">
        <f ca="1">IFERROR('Rates Table'!BA56*PODs*Low_Days,0)</f>
        <v>0</v>
      </c>
      <c r="BB42" s="141">
        <f ca="1">IFERROR('Rates Table'!BB56*PODs*Low_Days,0)</f>
        <v>0</v>
      </c>
      <c r="BC42" s="141">
        <f ca="1">IFERROR('Rates Table'!BC56*PODs*Low_Days,0)</f>
        <v>0</v>
      </c>
      <c r="BD42" s="141">
        <f ca="1">IFERROR('Rates Table'!BD56*PODs*Low_Days,0)</f>
        <v>0</v>
      </c>
      <c r="BE42" s="141">
        <f ca="1">IFERROR('Rates Table'!BE56*PODs*Low_Days,0)</f>
        <v>0</v>
      </c>
      <c r="BF42" s="141">
        <f ca="1">IFERROR('Rates Table'!BF56*PODs*Low_Days,0)</f>
        <v>0</v>
      </c>
      <c r="BG42" s="141">
        <f ca="1">IFERROR('Rates Table'!BG56*PODs*Low_Days,0)</f>
        <v>0</v>
      </c>
      <c r="BH42" s="141">
        <f ca="1">IFERROR('Rates Table'!BH56*PODs*Low_Days,0)</f>
        <v>0</v>
      </c>
      <c r="BI42" s="141">
        <f ca="1">IFERROR('Rates Table'!BI56*PODs*Low_Days,0)</f>
        <v>0</v>
      </c>
      <c r="BJ42" s="141">
        <f ca="1">IFERROR('Rates Table'!BJ56*PODs*Low_Days,0)</f>
        <v>0</v>
      </c>
      <c r="BK42" s="141">
        <f ca="1">IFERROR('Rates Table'!BK56*PODs*Low_Days,0)</f>
        <v>3682.77</v>
      </c>
      <c r="BL42" s="141">
        <f ca="1">IFERROR('Rates Table'!BL56*PODs*Low_Days,0)</f>
        <v>3682.77</v>
      </c>
      <c r="BM42" s="141">
        <f ca="1">IFERROR('Rates Table'!BM56*PODs*Low_Days,0)</f>
        <v>3682.77</v>
      </c>
      <c r="BN42" s="141">
        <f ca="1">IFERROR('Rates Table'!BN56*PODs*Low_Days,0)</f>
        <v>3682.77</v>
      </c>
      <c r="BO42" s="141">
        <f ca="1">IFERROR('Rates Table'!BO56*PODs*Low_Days,0)</f>
        <v>3682.77</v>
      </c>
      <c r="BP42" s="141">
        <f ca="1">IFERROR('Rates Table'!BP56*PODs*Low_Days,0)</f>
        <v>3682.77</v>
      </c>
      <c r="BQ42" s="141">
        <f ca="1">IFERROR('Rates Table'!BQ56*PODs*Low_Days,0)</f>
        <v>0</v>
      </c>
      <c r="BR42" s="141">
        <f ca="1">IFERROR('Rates Table'!BR56*PODs*Low_Days,0)</f>
        <v>0</v>
      </c>
      <c r="BS42" s="141">
        <f ca="1">IFERROR('Rates Table'!BS56*PODs*Low_Days,0)</f>
        <v>0</v>
      </c>
      <c r="BT42" s="141">
        <f ca="1">IFERROR('Rates Table'!BT56*PODs*Low_Days,0)</f>
        <v>0</v>
      </c>
      <c r="BU42" s="141">
        <f ca="1">IFERROR('Rates Table'!BU56*PODs*Low_Days,0)</f>
        <v>0</v>
      </c>
      <c r="BV42" s="141">
        <f ca="1">IFERROR('Rates Table'!BV56*PODs*Low_Days,0)</f>
        <v>3682.77</v>
      </c>
      <c r="BW42" s="141">
        <f ca="1">IFERROR('Rates Table'!BW56*PODs*Low_Days,0)</f>
        <v>0</v>
      </c>
      <c r="BX42" s="141">
        <f ca="1">IFERROR('Rates Table'!BX56*PODs*Low_Days,0)</f>
        <v>0</v>
      </c>
      <c r="BY42" s="141">
        <f ca="1">IFERROR('Rates Table'!BY56*PODs*Low_Days,0)</f>
        <v>0</v>
      </c>
      <c r="BZ42" s="141">
        <f ca="1">IFERROR('Rates Table'!BZ56*PODs*Low_Days,0)</f>
        <v>0</v>
      </c>
      <c r="CA42" s="141">
        <f ca="1">IFERROR('Rates Table'!CA56*PODs*Low_Days,0)</f>
        <v>0</v>
      </c>
      <c r="CB42" s="141">
        <f ca="1">IFERROR('Rates Table'!CB56*PODs*Low_Days,0)</f>
        <v>0</v>
      </c>
      <c r="CC42" s="141">
        <f ca="1">IFERROR('Rates Table'!CC56*PODs*Low_Days,0)</f>
        <v>0</v>
      </c>
      <c r="CD42" s="141">
        <f ca="1">IFERROR('Rates Table'!CD56*PODs*Low_Days,0)</f>
        <v>0</v>
      </c>
      <c r="CE42" s="141">
        <f ca="1">IFERROR('Rates Table'!CE56*PODs*Low_Days,0)</f>
        <v>3682.77</v>
      </c>
      <c r="CF42" s="141">
        <f ca="1">IFERROR('Rates Table'!CF56*PODs*Low_Days,0)</f>
        <v>3682.77</v>
      </c>
    </row>
    <row r="43" spans="2:84" s="138" customFormat="1">
      <c r="C43" s="138" t="s">
        <v>127</v>
      </c>
      <c r="D43" s="139" t="str">
        <f ca="1">IF(Table_1=1,"R/day","R/day")</f>
        <v>R/day</v>
      </c>
      <c r="E43" s="140">
        <f t="shared" ca="1" si="21"/>
        <v>17548.439999999999</v>
      </c>
      <c r="F43" s="141">
        <f ca="1">IFERROR(IF(F$55=1, 'Rates Table'!F57*1*Low_Days, 'Rates Table'!F57*PODs*Low_Days), 0)</f>
        <v>4013.1</v>
      </c>
      <c r="G43" s="141">
        <f ca="1">IFERROR(IF(G$55=1, 'Rates Table'!G57*1*Low_Days, 'Rates Table'!G57*PODs*Low_Days), 0)</f>
        <v>4013.1</v>
      </c>
      <c r="H43" s="141">
        <f ca="1">IFERROR(IF(H$55=1, 'Rates Table'!H57*1*Low_Days, 'Rates Table'!H57*PODs*Low_Days), 0)</f>
        <v>4013.1</v>
      </c>
      <c r="I43" s="141">
        <f ca="1">IFERROR(IF(I$55=1, 'Rates Table'!I57*1*Low_Days, 'Rates Table'!I57*PODs*Low_Days), 0)</f>
        <v>0</v>
      </c>
      <c r="J43" s="141">
        <f ca="1">IFERROR(IF(J$55=1, 'Rates Table'!J57*1*Low_Days, 'Rates Table'!J57*PODs*Low_Days), 0)</f>
        <v>0</v>
      </c>
      <c r="K43" s="141">
        <f ca="1">IFERROR(IF(K$55=1, 'Rates Table'!K57*1*Low_Days, 'Rates Table'!K57*PODs*Low_Days), 0)</f>
        <v>0</v>
      </c>
      <c r="L43" s="141">
        <f ca="1">IFERROR(IF(L$55=1, 'Rates Table'!L57*1*Low_Days, 'Rates Table'!L57*PODs*Low_Days), 0)</f>
        <v>892.71</v>
      </c>
      <c r="M43" s="141">
        <f ca="1">IFERROR(IF(M$55=1, 'Rates Table'!M57*1*Low_Days, 'Rates Table'!M57*PODs*Low_Days), 0)</f>
        <v>892.71</v>
      </c>
      <c r="N43" s="141">
        <f ca="1">IFERROR(IF(N$55=1, 'Rates Table'!N57*1*Low_Days, 'Rates Table'!N57*PODs*Low_Days), 0)</f>
        <v>892.71</v>
      </c>
      <c r="O43" s="141">
        <f ca="1">IFERROR(IF(O$55=1, 'Rates Table'!O57*1*Low_Days, 'Rates Table'!O57*PODs*Low_Days), 0)</f>
        <v>892.71</v>
      </c>
      <c r="P43" s="141">
        <f ca="1">IFERROR(IF(P$55=1, 'Rates Table'!P57*1*Low_Days, 'Rates Table'!P57*PODs*Low_Days), 0)</f>
        <v>892.71</v>
      </c>
      <c r="Q43" s="141">
        <f ca="1">IFERROR(IF(Q$55=1, 'Rates Table'!Q57*1*Low_Days, 'Rates Table'!Q57*PODs*Low_Days), 0)</f>
        <v>6688.5</v>
      </c>
      <c r="R43" s="141">
        <f ca="1">IFERROR(IF(R$55=1, 'Rates Table'!R57*1*Low_Days, 'Rates Table'!R57*PODs*Low_Days), 0)</f>
        <v>6688.5</v>
      </c>
      <c r="S43" s="141">
        <f ca="1">IFERROR(IF(S$55=1, 'Rates Table'!S57*1*Low_Days, 'Rates Table'!S57*PODs*Low_Days), 0)</f>
        <v>6688.5</v>
      </c>
      <c r="T43" s="141">
        <f ca="1">IFERROR(IF(T$55=1, 'Rates Table'!T57*1*Low_Days, 'Rates Table'!T57*PODs*Low_Days), 0)</f>
        <v>0</v>
      </c>
      <c r="U43" s="141">
        <f ca="1">IFERROR(IF(U$55=1, 'Rates Table'!U57*1*Low_Days, 'Rates Table'!U57*PODs*Low_Days), 0)</f>
        <v>23751</v>
      </c>
      <c r="V43" s="141">
        <f ca="1">IFERROR(IF(V$55=1, 'Rates Table'!V57*1*Low_Days, 'Rates Table'!V57*PODs*Low_Days), 0)</f>
        <v>17548.439999999999</v>
      </c>
      <c r="W43" s="141">
        <f ca="1">IFERROR(IF(W$55=1, 'Rates Table'!W57*1*Low_Days, 'Rates Table'!W57*PODs*Low_Days), 0)</f>
        <v>17548.439999999999</v>
      </c>
      <c r="X43" s="141">
        <f ca="1">IFERROR(IF(X$55=1, 'Rates Table'!X57*1*Low_Days, 'Rates Table'!X57*PODs*Low_Days), 0)</f>
        <v>17548.439999999999</v>
      </c>
      <c r="Y43" s="141">
        <f ca="1">IFERROR(IF(Y$55=1, 'Rates Table'!Y57*1*Low_Days, 'Rates Table'!Y57*PODs*Low_Days), 0)</f>
        <v>17548.439999999999</v>
      </c>
      <c r="Z43" s="141">
        <f ca="1">IFERROR(IF(Z$55=1, 'Rates Table'!Z57*1*Low_Days, 'Rates Table'!Z57*PODs*Low_Days), 0)</f>
        <v>17548.439999999999</v>
      </c>
      <c r="AA43" s="141">
        <f ca="1">IFERROR(IF(AA$55=1, 'Rates Table'!AA57*1*Low_Days, 'Rates Table'!AA57*PODs*Low_Days), 0)</f>
        <v>17548.439999999999</v>
      </c>
      <c r="AB43" s="141">
        <f ca="1">IFERROR(IF(AB$55=1, 'Rates Table'!AB57*1*Low_Days, 'Rates Table'!AB57*PODs*Low_Days), 0)</f>
        <v>0</v>
      </c>
      <c r="AC43" s="141">
        <f ca="1">IFERROR(IF(AC$55=1, 'Rates Table'!AC57*1*Low_Days, 'Rates Table'!AC57*PODs*Low_Days), 0)</f>
        <v>0</v>
      </c>
      <c r="AD43" s="141">
        <f ca="1">IFERROR(IF(AD$55=1, 'Rates Table'!AD57*1*Low_Days, 'Rates Table'!AD57*PODs*Low_Days), 0)</f>
        <v>0</v>
      </c>
      <c r="AE43" s="141">
        <f ca="1">IFERROR(IF(AE$55=1, 'Rates Table'!AE57*1*Low_Days, 'Rates Table'!AE57*PODs*Low_Days), 0)</f>
        <v>0</v>
      </c>
      <c r="AF43" s="141">
        <f ca="1">IFERROR(IF(AF$55=1, 'Rates Table'!AF57*1*Low_Days, 'Rates Table'!AF57*PODs*Low_Days), 0)</f>
        <v>8817.9</v>
      </c>
      <c r="AG43" s="141">
        <f ca="1">IFERROR(IF(AG$55=1, 'Rates Table'!AG57*1*Low_Days, 'Rates Table'!AG57*PODs*Low_Days), 0)</f>
        <v>17548.439999999999</v>
      </c>
      <c r="AH43" s="141">
        <f ca="1">IFERROR(IF(AH$55=1, 'Rates Table'!AH57*1*Low_Days, 'Rates Table'!AH57*PODs*Low_Days), 0)</f>
        <v>0</v>
      </c>
      <c r="AI43" s="141">
        <f ca="1">IFERROR(IF(AI$55=1, 'Rates Table'!AI57*1*Low_Days, 'Rates Table'!AI57*PODs*Low_Days), 0)</f>
        <v>0</v>
      </c>
      <c r="AJ43" s="141">
        <f ca="1">IFERROR(IF(AJ$55=1, 'Rates Table'!AJ57*1*Low_Days, 'Rates Table'!AJ57*PODs*Low_Days), 0)</f>
        <v>0</v>
      </c>
      <c r="AK43" s="141">
        <f ca="1">IFERROR(IF(AK$55=1, 'Rates Table'!AK57*1*Low_Days, 'Rates Table'!AK57*PODs*Low_Days), 0)</f>
        <v>0</v>
      </c>
      <c r="AL43" s="141">
        <f ca="1">IFERROR(IF(AL$55=1, 'Rates Table'!AL57*1*Low_Days, 'Rates Table'!AL57*PODs*Low_Days), 0)</f>
        <v>892.71</v>
      </c>
      <c r="AM43" s="141">
        <f ca="1">IFERROR(IF(AM$55=1, 'Rates Table'!AM57*1*Low_Days, 'Rates Table'!AM57*PODs*Low_Days), 0)</f>
        <v>892.71</v>
      </c>
      <c r="AN43" s="141">
        <f ca="1">IFERROR(IF(AN$55=1, 'Rates Table'!AN57*1*Low_Days, 'Rates Table'!AN57*PODs*Low_Days), 0)</f>
        <v>892.71</v>
      </c>
      <c r="AO43" s="141">
        <f ca="1">IFERROR(IF(AO$55=1, 'Rates Table'!AO57*1*Low_Days, 'Rates Table'!AO57*PODs*Low_Days), 0)</f>
        <v>892.71</v>
      </c>
      <c r="AP43" s="141">
        <f ca="1">IFERROR(IF(AP$55=1, 'Rates Table'!AP57*1*Low_Days, 'Rates Table'!AP57*PODs*Low_Days), 0)</f>
        <v>17548.439999999999</v>
      </c>
      <c r="AQ43" s="141">
        <f ca="1">IFERROR(IF(AQ$55=1, 'Rates Table'!AQ57*1*Low_Days, 'Rates Table'!AQ57*PODs*Low_Days), 0)</f>
        <v>17548.439999999999</v>
      </c>
      <c r="AR43" s="141">
        <f ca="1">IFERROR(IF(AR$55=1, 'Rates Table'!AR57*1*Low_Days, 'Rates Table'!AR57*PODs*Low_Days), 0)</f>
        <v>0</v>
      </c>
      <c r="AT43" s="140">
        <f t="shared" ca="1" si="22"/>
        <v>19085.43</v>
      </c>
      <c r="AU43" s="141">
        <f ca="1">IFERROR(IF(AU$55=1, 'Rates Table'!AU57*1*Low_Days, 'Rates Table'!AU57*PODs*Low_Days), 0)</f>
        <v>4365.2700000000004</v>
      </c>
      <c r="AV43" s="141">
        <f ca="1">IFERROR(IF(AV$55=1, 'Rates Table'!AV57*1*Low_Days, 'Rates Table'!AV57*PODs*Low_Days), 0)</f>
        <v>4365.2700000000004</v>
      </c>
      <c r="AW43" s="141">
        <f ca="1">IFERROR(IF(AW$55=1, 'Rates Table'!AW57*1*Low_Days, 'Rates Table'!AW57*PODs*Low_Days), 0)</f>
        <v>4365.2700000000004</v>
      </c>
      <c r="AX43" s="141">
        <f ca="1">IFERROR(IF(AX$55=1, 'Rates Table'!AX57*1*Low_Days, 'Rates Table'!AX57*PODs*Low_Days), 0)</f>
        <v>0</v>
      </c>
      <c r="AY43" s="141">
        <f ca="1">IFERROR(IF(AY$55=1, 'Rates Table'!AY57*1*Low_Days, 'Rates Table'!AY57*PODs*Low_Days), 0)</f>
        <v>0</v>
      </c>
      <c r="AZ43" s="141">
        <f ca="1">IFERROR(IF(AZ$55=1, 'Rates Table'!AZ57*1*Low_Days, 'Rates Table'!AZ57*PODs*Low_Days), 0)</f>
        <v>0</v>
      </c>
      <c r="BA43" s="141">
        <f ca="1">IFERROR(IF(BA$55=1, 'Rates Table'!BA57*1*Low_Days, 'Rates Table'!BA57*PODs*Low_Days), 0)</f>
        <v>1567.02</v>
      </c>
      <c r="BB43" s="141">
        <f ca="1">IFERROR(IF(BB$55=1, 'Rates Table'!BB57*1*Low_Days, 'Rates Table'!BB57*PODs*Low_Days), 0)</f>
        <v>1567.02</v>
      </c>
      <c r="BC43" s="141">
        <f ca="1">IFERROR(IF(BC$55=1, 'Rates Table'!BC57*1*Low_Days, 'Rates Table'!BC57*PODs*Low_Days), 0)</f>
        <v>1567.02</v>
      </c>
      <c r="BD43" s="141">
        <f ca="1">IFERROR(IF(BD$55=1, 'Rates Table'!BD57*1*Low_Days, 'Rates Table'!BD57*PODs*Low_Days), 0)</f>
        <v>1567.02</v>
      </c>
      <c r="BE43" s="141">
        <f ca="1">IFERROR(IF(BE$55=1, 'Rates Table'!BE57*1*Low_Days, 'Rates Table'!BE57*PODs*Low_Days), 0)</f>
        <v>1567.02</v>
      </c>
      <c r="BF43" s="141">
        <f ca="1">IFERROR(IF(BF$55=1, 'Rates Table'!BF57*1*Low_Days, 'Rates Table'!BF57*PODs*Low_Days), 0)</f>
        <v>7275.45</v>
      </c>
      <c r="BG43" s="141">
        <f ca="1">IFERROR(IF(BG$55=1, 'Rates Table'!BG57*1*Low_Days, 'Rates Table'!BG57*PODs*Low_Days), 0)</f>
        <v>7275.45</v>
      </c>
      <c r="BH43" s="141">
        <f ca="1">IFERROR(IF(BH$55=1, 'Rates Table'!BH57*1*Low_Days, 'Rates Table'!BH57*PODs*Low_Days), 0)</f>
        <v>7275.45</v>
      </c>
      <c r="BI43" s="141">
        <f ca="1">IFERROR(IF(BI$55=1, 'Rates Table'!BI57*1*Low_Days, 'Rates Table'!BI57*PODs*Low_Days), 0)</f>
        <v>0</v>
      </c>
      <c r="BJ43" s="141">
        <f ca="1">IFERROR(IF(BJ$55=1, 'Rates Table'!BJ57*1*Low_Days, 'Rates Table'!BJ57*PODs*Low_Days), 0)</f>
        <v>25831.260000000002</v>
      </c>
      <c r="BK43" s="141">
        <f ca="1">IFERROR(IF(BK$55=1, 'Rates Table'!BK57*1*Low_Days, 'Rates Table'!BK57*PODs*Low_Days), 0)</f>
        <v>19085.43</v>
      </c>
      <c r="BL43" s="141">
        <f ca="1">IFERROR(IF(BL$55=1, 'Rates Table'!BL57*1*Low_Days, 'Rates Table'!BL57*PODs*Low_Days), 0)</f>
        <v>19085.43</v>
      </c>
      <c r="BM43" s="141">
        <f ca="1">IFERROR(IF(BM$55=1, 'Rates Table'!BM57*1*Low_Days, 'Rates Table'!BM57*PODs*Low_Days), 0)</f>
        <v>19085.43</v>
      </c>
      <c r="BN43" s="141">
        <f ca="1">IFERROR(IF(BN$55=1, 'Rates Table'!BN57*1*Low_Days, 'Rates Table'!BN57*PODs*Low_Days), 0)</f>
        <v>19085.43</v>
      </c>
      <c r="BO43" s="141">
        <f ca="1">IFERROR(IF(BO$55=1, 'Rates Table'!BO57*1*Low_Days, 'Rates Table'!BO57*PODs*Low_Days), 0)</f>
        <v>19085.43</v>
      </c>
      <c r="BP43" s="141">
        <f ca="1">IFERROR(IF(BP$55=1, 'Rates Table'!BP57*1*Low_Days, 'Rates Table'!BP57*PODs*Low_Days), 0)</f>
        <v>19085.43</v>
      </c>
      <c r="BQ43" s="141">
        <f ca="1">IFERROR(IF(BQ$55=1, 'Rates Table'!BQ57*1*Low_Days, 'Rates Table'!BQ57*PODs*Low_Days), 0)</f>
        <v>0</v>
      </c>
      <c r="BR43" s="141">
        <f ca="1">IFERROR(IF(BR$55=1, 'Rates Table'!BR57*1*Low_Days, 'Rates Table'!BR57*PODs*Low_Days), 0)</f>
        <v>0</v>
      </c>
      <c r="BS43" s="141">
        <f ca="1">IFERROR(IF(BS$55=1, 'Rates Table'!BS57*1*Low_Days, 'Rates Table'!BS57*PODs*Low_Days), 0)</f>
        <v>0</v>
      </c>
      <c r="BT43" s="141">
        <f ca="1">IFERROR(IF(BT$55=1, 'Rates Table'!BT57*1*Low_Days, 'Rates Table'!BT57*PODs*Low_Days), 0)</f>
        <v>0</v>
      </c>
      <c r="BU43" s="141">
        <f ca="1">IFERROR(IF(BU$55=1, 'Rates Table'!BU57*1*Low_Days, 'Rates Table'!BU57*PODs*Low_Days), 0)</f>
        <v>9590.4900000000016</v>
      </c>
      <c r="BV43" s="141">
        <f ca="1">IFERROR(IF(BV$55=1, 'Rates Table'!BV57*1*Low_Days, 'Rates Table'!BV57*PODs*Low_Days), 0)</f>
        <v>19085.43</v>
      </c>
      <c r="BW43" s="141">
        <f ca="1">IFERROR(IF(BW$55=1, 'Rates Table'!BW57*1*Low_Days, 'Rates Table'!BW57*PODs*Low_Days), 0)</f>
        <v>0</v>
      </c>
      <c r="BX43" s="141">
        <f ca="1">IFERROR(IF(BX$55=1, 'Rates Table'!BX57*1*Low_Days, 'Rates Table'!BX57*PODs*Low_Days), 0)</f>
        <v>0</v>
      </c>
      <c r="BY43" s="141">
        <f ca="1">IFERROR(IF(BY$55=1, 'Rates Table'!BY57*1*Low_Days, 'Rates Table'!BY57*PODs*Low_Days), 0)</f>
        <v>0</v>
      </c>
      <c r="BZ43" s="141">
        <f ca="1">IFERROR(IF(BZ$55=1, 'Rates Table'!BZ57*1*Low_Days, 'Rates Table'!BZ57*PODs*Low_Days), 0)</f>
        <v>0</v>
      </c>
      <c r="CA43" s="141">
        <f ca="1">IFERROR(IF(CA$55=1, 'Rates Table'!CA57*1*Low_Days, 'Rates Table'!CA57*PODs*Low_Days), 0)</f>
        <v>1567.02</v>
      </c>
      <c r="CB43" s="141">
        <f ca="1">IFERROR(IF(CB$55=1, 'Rates Table'!CB57*1*Low_Days, 'Rates Table'!CB57*PODs*Low_Days), 0)</f>
        <v>1567.02</v>
      </c>
      <c r="CC43" s="141">
        <f ca="1">IFERROR(IF(CC$55=1, 'Rates Table'!CC57*1*Low_Days, 'Rates Table'!CC57*PODs*Low_Days), 0)</f>
        <v>1567.02</v>
      </c>
      <c r="CD43" s="141">
        <f ca="1">IFERROR(IF(CD$55=1, 'Rates Table'!CD57*1*Low_Days, 'Rates Table'!CD57*PODs*Low_Days), 0)</f>
        <v>1567.02</v>
      </c>
      <c r="CE43" s="141">
        <f ca="1">IFERROR(IF(CE$55=1, 'Rates Table'!CE57*1*Low_Days, 'Rates Table'!CE57*PODs*Low_Days), 0)</f>
        <v>19085.43</v>
      </c>
      <c r="CF43" s="141">
        <f ca="1">IFERROR(IF(CF$55=1, 'Rates Table'!CF57*1*Low_Days, 'Rates Table'!CF57*PODs*Low_Days), 0)</f>
        <v>19085.43</v>
      </c>
    </row>
    <row r="44" spans="2:84" s="138" customFormat="1" ht="4.05" customHeight="1"/>
    <row r="45" spans="2:84" s="138" customFormat="1">
      <c r="B45" s="142" t="s">
        <v>143</v>
      </c>
      <c r="C45" s="142"/>
      <c r="D45" s="143"/>
      <c r="E45" s="143">
        <f ca="1">SUM(E37:E43)</f>
        <v>20933.64</v>
      </c>
      <c r="F45" s="143">
        <f ca="1">SUM(F37:F43)</f>
        <v>4013.1</v>
      </c>
      <c r="G45" s="143">
        <f t="shared" ref="G45:AK45" ca="1" si="23">SUM(G37:G43)</f>
        <v>4013.1</v>
      </c>
      <c r="H45" s="143">
        <f t="shared" ca="1" si="23"/>
        <v>4013.1</v>
      </c>
      <c r="I45" s="143">
        <f t="shared" ca="1" si="23"/>
        <v>0</v>
      </c>
      <c r="J45" s="143">
        <f t="shared" ca="1" si="23"/>
        <v>0</v>
      </c>
      <c r="K45" s="143">
        <f t="shared" ca="1" si="23"/>
        <v>0</v>
      </c>
      <c r="L45" s="143">
        <f t="shared" ca="1" si="23"/>
        <v>892.71</v>
      </c>
      <c r="M45" s="143">
        <f t="shared" ca="1" si="23"/>
        <v>892.71</v>
      </c>
      <c r="N45" s="143">
        <f t="shared" ca="1" si="23"/>
        <v>892.71</v>
      </c>
      <c r="O45" s="143">
        <f t="shared" ca="1" si="23"/>
        <v>892.71</v>
      </c>
      <c r="P45" s="143">
        <f t="shared" ca="1" si="23"/>
        <v>892.71</v>
      </c>
      <c r="Q45" s="143">
        <f t="shared" ca="1" si="23"/>
        <v>6688.5</v>
      </c>
      <c r="R45" s="143">
        <f t="shared" ca="1" si="23"/>
        <v>6688.5</v>
      </c>
      <c r="S45" s="143">
        <f t="shared" ca="1" si="23"/>
        <v>6688.5</v>
      </c>
      <c r="T45" s="143">
        <f t="shared" ca="1" si="23"/>
        <v>0</v>
      </c>
      <c r="U45" s="143">
        <f t="shared" ca="1" si="23"/>
        <v>23751</v>
      </c>
      <c r="V45" s="143">
        <f t="shared" ca="1" si="23"/>
        <v>20933.64</v>
      </c>
      <c r="W45" s="143">
        <f t="shared" ca="1" si="23"/>
        <v>20933.64</v>
      </c>
      <c r="X45" s="143">
        <f t="shared" ca="1" si="23"/>
        <v>20933.64</v>
      </c>
      <c r="Y45" s="143">
        <f t="shared" ca="1" si="23"/>
        <v>20933.64</v>
      </c>
      <c r="Z45" s="143">
        <f t="shared" ca="1" si="23"/>
        <v>20933.64</v>
      </c>
      <c r="AA45" s="143">
        <f t="shared" ca="1" si="23"/>
        <v>20933.64</v>
      </c>
      <c r="AB45" s="143">
        <f t="shared" ca="1" si="23"/>
        <v>0</v>
      </c>
      <c r="AC45" s="143">
        <f t="shared" ca="1" si="23"/>
        <v>0</v>
      </c>
      <c r="AD45" s="143">
        <f t="shared" ca="1" si="23"/>
        <v>0</v>
      </c>
      <c r="AE45" s="143">
        <f t="shared" ca="1" si="23"/>
        <v>0</v>
      </c>
      <c r="AF45" s="143">
        <f t="shared" ca="1" si="23"/>
        <v>8817.9</v>
      </c>
      <c r="AG45" s="143">
        <f t="shared" ca="1" si="23"/>
        <v>20933.64</v>
      </c>
      <c r="AH45" s="143">
        <f t="shared" ca="1" si="23"/>
        <v>0</v>
      </c>
      <c r="AI45" s="143">
        <f t="shared" ca="1" si="23"/>
        <v>0</v>
      </c>
      <c r="AJ45" s="143">
        <f t="shared" ca="1" si="23"/>
        <v>0</v>
      </c>
      <c r="AK45" s="143">
        <f t="shared" ca="1" si="23"/>
        <v>0</v>
      </c>
      <c r="AL45" s="143">
        <f t="shared" ref="AL45:AR45" ca="1" si="24">SUM(AL37:AL43)</f>
        <v>892.71</v>
      </c>
      <c r="AM45" s="143">
        <f t="shared" ca="1" si="24"/>
        <v>892.71</v>
      </c>
      <c r="AN45" s="143">
        <f t="shared" ca="1" si="24"/>
        <v>892.71</v>
      </c>
      <c r="AO45" s="143">
        <f t="shared" ca="1" si="24"/>
        <v>892.71</v>
      </c>
      <c r="AP45" s="143">
        <f t="shared" ca="1" si="24"/>
        <v>20933.64</v>
      </c>
      <c r="AQ45" s="143">
        <f t="shared" ca="1" si="24"/>
        <v>20933.64</v>
      </c>
      <c r="AR45" s="143">
        <f t="shared" ca="1" si="24"/>
        <v>0</v>
      </c>
      <c r="AT45" s="143">
        <f ca="1">SUM(AT37:AT43)</f>
        <v>22768.2</v>
      </c>
      <c r="AU45" s="143">
        <f t="shared" ref="AU45:CF45" ca="1" si="25">SUM(AU37:AU43)</f>
        <v>4365.2700000000004</v>
      </c>
      <c r="AV45" s="143">
        <f t="shared" ca="1" si="25"/>
        <v>4365.2700000000004</v>
      </c>
      <c r="AW45" s="143">
        <f t="shared" ca="1" si="25"/>
        <v>4365.2700000000004</v>
      </c>
      <c r="AX45" s="143">
        <f t="shared" ca="1" si="25"/>
        <v>0</v>
      </c>
      <c r="AY45" s="143">
        <f t="shared" ca="1" si="25"/>
        <v>0</v>
      </c>
      <c r="AZ45" s="143">
        <f t="shared" ca="1" si="25"/>
        <v>0</v>
      </c>
      <c r="BA45" s="143">
        <f t="shared" ca="1" si="25"/>
        <v>1567.02</v>
      </c>
      <c r="BB45" s="143">
        <f t="shared" ca="1" si="25"/>
        <v>1567.02</v>
      </c>
      <c r="BC45" s="143">
        <f t="shared" ca="1" si="25"/>
        <v>1567.02</v>
      </c>
      <c r="BD45" s="143">
        <f t="shared" ca="1" si="25"/>
        <v>1567.02</v>
      </c>
      <c r="BE45" s="143">
        <f t="shared" ca="1" si="25"/>
        <v>1567.02</v>
      </c>
      <c r="BF45" s="143">
        <f t="shared" ca="1" si="25"/>
        <v>7275.45</v>
      </c>
      <c r="BG45" s="143">
        <f t="shared" ca="1" si="25"/>
        <v>7275.45</v>
      </c>
      <c r="BH45" s="143">
        <f t="shared" ca="1" si="25"/>
        <v>7275.45</v>
      </c>
      <c r="BI45" s="143">
        <f t="shared" ca="1" si="25"/>
        <v>0</v>
      </c>
      <c r="BJ45" s="143">
        <f t="shared" ca="1" si="25"/>
        <v>25831.260000000002</v>
      </c>
      <c r="BK45" s="143">
        <f t="shared" ca="1" si="25"/>
        <v>22768.2</v>
      </c>
      <c r="BL45" s="143">
        <f t="shared" ca="1" si="25"/>
        <v>22768.2</v>
      </c>
      <c r="BM45" s="143">
        <f t="shared" ca="1" si="25"/>
        <v>22768.2</v>
      </c>
      <c r="BN45" s="143">
        <f t="shared" ca="1" si="25"/>
        <v>22768.2</v>
      </c>
      <c r="BO45" s="143">
        <f t="shared" ca="1" si="25"/>
        <v>22768.2</v>
      </c>
      <c r="BP45" s="143">
        <f t="shared" ca="1" si="25"/>
        <v>22768.2</v>
      </c>
      <c r="BQ45" s="143">
        <f t="shared" ca="1" si="25"/>
        <v>0</v>
      </c>
      <c r="BR45" s="143">
        <f t="shared" ca="1" si="25"/>
        <v>0</v>
      </c>
      <c r="BS45" s="143">
        <f t="shared" ca="1" si="25"/>
        <v>0</v>
      </c>
      <c r="BT45" s="143">
        <f t="shared" ca="1" si="25"/>
        <v>0</v>
      </c>
      <c r="BU45" s="143">
        <f t="shared" ca="1" si="25"/>
        <v>9590.4900000000016</v>
      </c>
      <c r="BV45" s="143">
        <f t="shared" ca="1" si="25"/>
        <v>22768.2</v>
      </c>
      <c r="BW45" s="143">
        <f t="shared" ca="1" si="25"/>
        <v>0</v>
      </c>
      <c r="BX45" s="143">
        <f t="shared" ca="1" si="25"/>
        <v>0</v>
      </c>
      <c r="BY45" s="143">
        <f t="shared" ca="1" si="25"/>
        <v>0</v>
      </c>
      <c r="BZ45" s="143">
        <f t="shared" ca="1" si="25"/>
        <v>0</v>
      </c>
      <c r="CA45" s="143">
        <f t="shared" ca="1" si="25"/>
        <v>1567.02</v>
      </c>
      <c r="CB45" s="143">
        <f t="shared" ca="1" si="25"/>
        <v>1567.02</v>
      </c>
      <c r="CC45" s="143">
        <f t="shared" ca="1" si="25"/>
        <v>1567.02</v>
      </c>
      <c r="CD45" s="143">
        <f t="shared" ca="1" si="25"/>
        <v>1567.02</v>
      </c>
      <c r="CE45" s="143">
        <f t="shared" ca="1" si="25"/>
        <v>22768.2</v>
      </c>
      <c r="CF45" s="143">
        <f t="shared" ca="1" si="25"/>
        <v>22768.2</v>
      </c>
    </row>
    <row r="47" spans="2:84" s="138" customFormat="1">
      <c r="B47" s="142" t="s">
        <v>128</v>
      </c>
      <c r="C47" s="142"/>
      <c r="D47" s="142"/>
      <c r="E47" s="143">
        <f ca="1">E45+E34+E18</f>
        <v>20933.64</v>
      </c>
      <c r="F47" s="143">
        <f ca="1">F45+F34+F18</f>
        <v>10106.459999999999</v>
      </c>
      <c r="G47" s="143">
        <f t="shared" ref="G47:AK47" ca="1" si="26">G45+G34+G18</f>
        <v>13065.779999999999</v>
      </c>
      <c r="H47" s="143">
        <f t="shared" ca="1" si="26"/>
        <v>26603.85</v>
      </c>
      <c r="I47" s="143">
        <f t="shared" ca="1" si="26"/>
        <v>0</v>
      </c>
      <c r="J47" s="143">
        <f t="shared" ca="1" si="26"/>
        <v>0</v>
      </c>
      <c r="K47" s="143">
        <f t="shared" ca="1" si="26"/>
        <v>0</v>
      </c>
      <c r="L47" s="143">
        <f t="shared" ca="1" si="26"/>
        <v>4400.76</v>
      </c>
      <c r="M47" s="143">
        <f t="shared" ca="1" si="26"/>
        <v>8629.5299999999988</v>
      </c>
      <c r="N47" s="143">
        <f t="shared" ca="1" si="26"/>
        <v>17523.870000000003</v>
      </c>
      <c r="O47" s="143">
        <f t="shared" ca="1" si="26"/>
        <v>3300.5699999999997</v>
      </c>
      <c r="P47" s="143">
        <f t="shared" ca="1" si="26"/>
        <v>17300.010000000002</v>
      </c>
      <c r="Q47" s="143">
        <f t="shared" ca="1" si="26"/>
        <v>24408.93</v>
      </c>
      <c r="R47" s="143">
        <f t="shared" ca="1" si="26"/>
        <v>34632.78</v>
      </c>
      <c r="S47" s="143">
        <f t="shared" ca="1" si="26"/>
        <v>51957.36</v>
      </c>
      <c r="T47" s="143">
        <f t="shared" ca="1" si="26"/>
        <v>13022.1</v>
      </c>
      <c r="U47" s="143">
        <f t="shared" ca="1" si="26"/>
        <v>23751</v>
      </c>
      <c r="V47" s="143">
        <f t="shared" ca="1" si="26"/>
        <v>20933.64</v>
      </c>
      <c r="W47" s="143">
        <f t="shared" ca="1" si="26"/>
        <v>20933.64</v>
      </c>
      <c r="X47" s="143">
        <f t="shared" ca="1" si="26"/>
        <v>20933.64</v>
      </c>
      <c r="Y47" s="143">
        <f t="shared" ca="1" si="26"/>
        <v>20933.64</v>
      </c>
      <c r="Z47" s="143">
        <f t="shared" ca="1" si="26"/>
        <v>20933.64</v>
      </c>
      <c r="AA47" s="143">
        <f t="shared" ca="1" si="26"/>
        <v>20933.64</v>
      </c>
      <c r="AB47" s="143">
        <f t="shared" ca="1" si="26"/>
        <v>0</v>
      </c>
      <c r="AC47" s="143">
        <f t="shared" ca="1" si="26"/>
        <v>0</v>
      </c>
      <c r="AD47" s="143">
        <f t="shared" ca="1" si="26"/>
        <v>0</v>
      </c>
      <c r="AE47" s="143">
        <f t="shared" ca="1" si="26"/>
        <v>0</v>
      </c>
      <c r="AF47" s="143">
        <f t="shared" ca="1" si="26"/>
        <v>8817.9</v>
      </c>
      <c r="AG47" s="143">
        <f t="shared" ca="1" si="26"/>
        <v>20933.64</v>
      </c>
      <c r="AH47" s="143">
        <f t="shared" ca="1" si="26"/>
        <v>0</v>
      </c>
      <c r="AI47" s="143">
        <f t="shared" ca="1" si="26"/>
        <v>0</v>
      </c>
      <c r="AJ47" s="143">
        <f t="shared" ca="1" si="26"/>
        <v>0</v>
      </c>
      <c r="AK47" s="143">
        <f t="shared" ca="1" si="26"/>
        <v>0</v>
      </c>
      <c r="AL47" s="143">
        <f t="shared" ref="AL47:AR47" ca="1" si="27">AL45+AL34+AL18</f>
        <v>4400.76</v>
      </c>
      <c r="AM47" s="143">
        <f t="shared" ca="1" si="27"/>
        <v>8629.5299999999988</v>
      </c>
      <c r="AN47" s="143">
        <f t="shared" ca="1" si="27"/>
        <v>17523.870000000003</v>
      </c>
      <c r="AO47" s="143">
        <f t="shared" ca="1" si="27"/>
        <v>3300.5699999999997</v>
      </c>
      <c r="AP47" s="143">
        <f t="shared" ca="1" si="27"/>
        <v>20933.64</v>
      </c>
      <c r="AQ47" s="143">
        <f t="shared" ca="1" si="27"/>
        <v>20933.64</v>
      </c>
      <c r="AR47" s="143">
        <f t="shared" ca="1" si="27"/>
        <v>0</v>
      </c>
      <c r="AT47" s="143">
        <f t="shared" ref="AT47:CF47" ca="1" si="28">AT45+AT34+AT18</f>
        <v>22768.2</v>
      </c>
      <c r="AU47" s="143">
        <f t="shared" ca="1" si="28"/>
        <v>11223.03</v>
      </c>
      <c r="AV47" s="143">
        <f t="shared" ca="1" si="28"/>
        <v>14559.09</v>
      </c>
      <c r="AW47" s="143">
        <f t="shared" ca="1" si="28"/>
        <v>29797.95</v>
      </c>
      <c r="AX47" s="143">
        <f t="shared" ca="1" si="28"/>
        <v>0</v>
      </c>
      <c r="AY47" s="143">
        <f t="shared" ca="1" si="28"/>
        <v>0</v>
      </c>
      <c r="AZ47" s="143">
        <f t="shared" ca="1" si="28"/>
        <v>0</v>
      </c>
      <c r="BA47" s="143">
        <f t="shared" ca="1" si="28"/>
        <v>5465.46</v>
      </c>
      <c r="BB47" s="143">
        <f t="shared" ca="1" si="28"/>
        <v>10131.030000000001</v>
      </c>
      <c r="BC47" s="143">
        <f t="shared" ca="1" si="28"/>
        <v>20019.09</v>
      </c>
      <c r="BD47" s="143">
        <f t="shared" ca="1" si="28"/>
        <v>4239.6900000000005</v>
      </c>
      <c r="BE47" s="143">
        <f t="shared" ca="1" si="28"/>
        <v>19972.68</v>
      </c>
      <c r="BF47" s="143">
        <f t="shared" ca="1" si="28"/>
        <v>26865.93</v>
      </c>
      <c r="BG47" s="143">
        <f t="shared" ca="1" si="28"/>
        <v>38299.17</v>
      </c>
      <c r="BH47" s="143">
        <f t="shared" ca="1" si="28"/>
        <v>57742.229999999996</v>
      </c>
      <c r="BI47" s="143">
        <f t="shared" ca="1" si="28"/>
        <v>14370.72</v>
      </c>
      <c r="BJ47" s="143">
        <f t="shared" ca="1" si="28"/>
        <v>25831.260000000002</v>
      </c>
      <c r="BK47" s="143">
        <f t="shared" ca="1" si="28"/>
        <v>22768.2</v>
      </c>
      <c r="BL47" s="143">
        <f t="shared" ca="1" si="28"/>
        <v>22768.2</v>
      </c>
      <c r="BM47" s="143">
        <f t="shared" ca="1" si="28"/>
        <v>22768.2</v>
      </c>
      <c r="BN47" s="143">
        <f t="shared" ca="1" si="28"/>
        <v>22768.2</v>
      </c>
      <c r="BO47" s="143">
        <f t="shared" ca="1" si="28"/>
        <v>22768.2</v>
      </c>
      <c r="BP47" s="143">
        <f t="shared" ca="1" si="28"/>
        <v>22768.2</v>
      </c>
      <c r="BQ47" s="143">
        <f t="shared" ca="1" si="28"/>
        <v>0</v>
      </c>
      <c r="BR47" s="143">
        <f t="shared" ca="1" si="28"/>
        <v>0</v>
      </c>
      <c r="BS47" s="143">
        <f t="shared" ca="1" si="28"/>
        <v>0</v>
      </c>
      <c r="BT47" s="143">
        <f t="shared" ca="1" si="28"/>
        <v>0</v>
      </c>
      <c r="BU47" s="143">
        <f t="shared" ca="1" si="28"/>
        <v>9590.4900000000016</v>
      </c>
      <c r="BV47" s="143">
        <f t="shared" ca="1" si="28"/>
        <v>22768.2</v>
      </c>
      <c r="BW47" s="143">
        <f t="shared" ca="1" si="28"/>
        <v>0</v>
      </c>
      <c r="BX47" s="143">
        <f t="shared" ca="1" si="28"/>
        <v>0</v>
      </c>
      <c r="BY47" s="143">
        <f t="shared" ca="1" si="28"/>
        <v>0</v>
      </c>
      <c r="BZ47" s="143">
        <f t="shared" ca="1" si="28"/>
        <v>0</v>
      </c>
      <c r="CA47" s="143">
        <f t="shared" ca="1" si="28"/>
        <v>5465.46</v>
      </c>
      <c r="CB47" s="143">
        <f t="shared" ca="1" si="28"/>
        <v>10131.030000000001</v>
      </c>
      <c r="CC47" s="143">
        <f t="shared" ca="1" si="28"/>
        <v>20019.09</v>
      </c>
      <c r="CD47" s="143">
        <f t="shared" ca="1" si="28"/>
        <v>4239.6900000000005</v>
      </c>
      <c r="CE47" s="143">
        <f t="shared" ca="1" si="28"/>
        <v>22768.2</v>
      </c>
      <c r="CF47" s="143">
        <f t="shared" ca="1" si="28"/>
        <v>22768.2</v>
      </c>
    </row>
    <row r="48" spans="2:84" s="138" customFormat="1">
      <c r="B48" s="138" t="s">
        <v>129</v>
      </c>
      <c r="D48" s="39">
        <f>'Bill Comparison'!D59</f>
        <v>0.15</v>
      </c>
      <c r="E48" s="138">
        <f ca="1">E47*$D48</f>
        <v>3140.0459999999998</v>
      </c>
      <c r="F48" s="138">
        <f ca="1">F47*$D48</f>
        <v>1515.9689999999998</v>
      </c>
      <c r="G48" s="138">
        <f t="shared" ref="G48:AK48" ca="1" si="29">G47*$D48</f>
        <v>1959.8669999999997</v>
      </c>
      <c r="H48" s="138">
        <f t="shared" ca="1" si="29"/>
        <v>3990.5774999999994</v>
      </c>
      <c r="I48" s="138">
        <f t="shared" ca="1" si="29"/>
        <v>0</v>
      </c>
      <c r="J48" s="138">
        <f t="shared" ca="1" si="29"/>
        <v>0</v>
      </c>
      <c r="K48" s="138">
        <f t="shared" ca="1" si="29"/>
        <v>0</v>
      </c>
      <c r="L48" s="138">
        <f t="shared" ca="1" si="29"/>
        <v>660.11400000000003</v>
      </c>
      <c r="M48" s="138">
        <f t="shared" ca="1" si="29"/>
        <v>1294.4294999999997</v>
      </c>
      <c r="N48" s="138">
        <f t="shared" ca="1" si="29"/>
        <v>2628.5805000000005</v>
      </c>
      <c r="O48" s="138">
        <f t="shared" ca="1" si="29"/>
        <v>495.08549999999991</v>
      </c>
      <c r="P48" s="138">
        <f t="shared" ca="1" si="29"/>
        <v>2595.0015000000003</v>
      </c>
      <c r="Q48" s="138">
        <f t="shared" ca="1" si="29"/>
        <v>3661.3395</v>
      </c>
      <c r="R48" s="138">
        <f t="shared" ca="1" si="29"/>
        <v>5194.9169999999995</v>
      </c>
      <c r="S48" s="138">
        <f t="shared" ca="1" si="29"/>
        <v>7793.6039999999994</v>
      </c>
      <c r="T48" s="138">
        <f t="shared" ca="1" si="29"/>
        <v>1953.3150000000001</v>
      </c>
      <c r="U48" s="138">
        <f t="shared" ca="1" si="29"/>
        <v>3562.65</v>
      </c>
      <c r="V48" s="138">
        <f t="shared" ca="1" si="29"/>
        <v>3140.0459999999998</v>
      </c>
      <c r="W48" s="138">
        <f t="shared" ca="1" si="29"/>
        <v>3140.0459999999998</v>
      </c>
      <c r="X48" s="138">
        <f t="shared" ca="1" si="29"/>
        <v>3140.0459999999998</v>
      </c>
      <c r="Y48" s="138">
        <f t="shared" ca="1" si="29"/>
        <v>3140.0459999999998</v>
      </c>
      <c r="Z48" s="138">
        <f t="shared" ca="1" si="29"/>
        <v>3140.0459999999998</v>
      </c>
      <c r="AA48" s="138">
        <f t="shared" ca="1" si="29"/>
        <v>3140.0459999999998</v>
      </c>
      <c r="AB48" s="138">
        <f t="shared" ca="1" si="29"/>
        <v>0</v>
      </c>
      <c r="AC48" s="138">
        <f t="shared" ca="1" si="29"/>
        <v>0</v>
      </c>
      <c r="AD48" s="138">
        <f t="shared" ca="1" si="29"/>
        <v>0</v>
      </c>
      <c r="AE48" s="138">
        <f t="shared" ca="1" si="29"/>
        <v>0</v>
      </c>
      <c r="AF48" s="138">
        <f t="shared" ca="1" si="29"/>
        <v>1322.6849999999999</v>
      </c>
      <c r="AG48" s="138">
        <f t="shared" ca="1" si="29"/>
        <v>3140.0459999999998</v>
      </c>
      <c r="AH48" s="138">
        <f t="shared" ca="1" si="29"/>
        <v>0</v>
      </c>
      <c r="AI48" s="138">
        <f t="shared" ca="1" si="29"/>
        <v>0</v>
      </c>
      <c r="AJ48" s="138">
        <f t="shared" ca="1" si="29"/>
        <v>0</v>
      </c>
      <c r="AK48" s="138">
        <f t="shared" ca="1" si="29"/>
        <v>0</v>
      </c>
      <c r="AL48" s="138">
        <f t="shared" ref="AL48:AR48" ca="1" si="30">AL47*$D48</f>
        <v>660.11400000000003</v>
      </c>
      <c r="AM48" s="138">
        <f t="shared" ca="1" si="30"/>
        <v>1294.4294999999997</v>
      </c>
      <c r="AN48" s="138">
        <f t="shared" ca="1" si="30"/>
        <v>2628.5805000000005</v>
      </c>
      <c r="AO48" s="138">
        <f t="shared" ca="1" si="30"/>
        <v>495.08549999999991</v>
      </c>
      <c r="AP48" s="138">
        <f t="shared" ca="1" si="30"/>
        <v>3140.0459999999998</v>
      </c>
      <c r="AQ48" s="138">
        <f t="shared" ca="1" si="30"/>
        <v>3140.0459999999998</v>
      </c>
      <c r="AR48" s="138">
        <f t="shared" ca="1" si="30"/>
        <v>0</v>
      </c>
      <c r="AT48" s="138">
        <f ca="1">AT47*$D48</f>
        <v>3415.23</v>
      </c>
      <c r="AU48" s="138">
        <f t="shared" ref="AU48:CF48" ca="1" si="31">AU47*$D48</f>
        <v>1683.4545000000001</v>
      </c>
      <c r="AV48" s="138">
        <f t="shared" ca="1" si="31"/>
        <v>2183.8634999999999</v>
      </c>
      <c r="AW48" s="138">
        <f t="shared" ca="1" si="31"/>
        <v>4469.6925000000001</v>
      </c>
      <c r="AX48" s="138">
        <f t="shared" ca="1" si="31"/>
        <v>0</v>
      </c>
      <c r="AY48" s="138">
        <f t="shared" ca="1" si="31"/>
        <v>0</v>
      </c>
      <c r="AZ48" s="138">
        <f t="shared" ca="1" si="31"/>
        <v>0</v>
      </c>
      <c r="BA48" s="138">
        <f t="shared" ca="1" si="31"/>
        <v>819.81899999999996</v>
      </c>
      <c r="BB48" s="138">
        <f t="shared" ca="1" si="31"/>
        <v>1519.6545000000001</v>
      </c>
      <c r="BC48" s="138">
        <f t="shared" ca="1" si="31"/>
        <v>3002.8634999999999</v>
      </c>
      <c r="BD48" s="138">
        <f t="shared" ca="1" si="31"/>
        <v>635.95350000000008</v>
      </c>
      <c r="BE48" s="138">
        <f t="shared" ca="1" si="31"/>
        <v>2995.902</v>
      </c>
      <c r="BF48" s="138">
        <f t="shared" ca="1" si="31"/>
        <v>4029.8894999999998</v>
      </c>
      <c r="BG48" s="138">
        <f t="shared" ca="1" si="31"/>
        <v>5744.8754999999992</v>
      </c>
      <c r="BH48" s="138">
        <f t="shared" ca="1" si="31"/>
        <v>8661.334499999999</v>
      </c>
      <c r="BI48" s="138">
        <f t="shared" ca="1" si="31"/>
        <v>2155.6079999999997</v>
      </c>
      <c r="BJ48" s="138">
        <f t="shared" ca="1" si="31"/>
        <v>3874.6890000000003</v>
      </c>
      <c r="BK48" s="138">
        <f t="shared" ca="1" si="31"/>
        <v>3415.23</v>
      </c>
      <c r="BL48" s="138">
        <f t="shared" ca="1" si="31"/>
        <v>3415.23</v>
      </c>
      <c r="BM48" s="138">
        <f t="shared" ca="1" si="31"/>
        <v>3415.23</v>
      </c>
      <c r="BN48" s="138">
        <f t="shared" ca="1" si="31"/>
        <v>3415.23</v>
      </c>
      <c r="BO48" s="138">
        <f t="shared" ca="1" si="31"/>
        <v>3415.23</v>
      </c>
      <c r="BP48" s="138">
        <f t="shared" ca="1" si="31"/>
        <v>3415.23</v>
      </c>
      <c r="BQ48" s="138">
        <f t="shared" ca="1" si="31"/>
        <v>0</v>
      </c>
      <c r="BR48" s="138">
        <f t="shared" ca="1" si="31"/>
        <v>0</v>
      </c>
      <c r="BS48" s="138">
        <f t="shared" ca="1" si="31"/>
        <v>0</v>
      </c>
      <c r="BT48" s="138">
        <f t="shared" ca="1" si="31"/>
        <v>0</v>
      </c>
      <c r="BU48" s="138">
        <f t="shared" ca="1" si="31"/>
        <v>1438.5735000000002</v>
      </c>
      <c r="BV48" s="138">
        <f t="shared" ca="1" si="31"/>
        <v>3415.23</v>
      </c>
      <c r="BW48" s="138">
        <f t="shared" ca="1" si="31"/>
        <v>0</v>
      </c>
      <c r="BX48" s="138">
        <f t="shared" ca="1" si="31"/>
        <v>0</v>
      </c>
      <c r="BY48" s="138">
        <f t="shared" ca="1" si="31"/>
        <v>0</v>
      </c>
      <c r="BZ48" s="138">
        <f t="shared" ca="1" si="31"/>
        <v>0</v>
      </c>
      <c r="CA48" s="138">
        <f t="shared" ca="1" si="31"/>
        <v>819.81899999999996</v>
      </c>
      <c r="CB48" s="138">
        <f t="shared" ca="1" si="31"/>
        <v>1519.6545000000001</v>
      </c>
      <c r="CC48" s="138">
        <f t="shared" ca="1" si="31"/>
        <v>3002.8634999999999</v>
      </c>
      <c r="CD48" s="138">
        <f t="shared" ca="1" si="31"/>
        <v>635.95350000000008</v>
      </c>
      <c r="CE48" s="138">
        <f t="shared" ca="1" si="31"/>
        <v>3415.23</v>
      </c>
      <c r="CF48" s="138">
        <f t="shared" ca="1" si="31"/>
        <v>3415.23</v>
      </c>
    </row>
    <row r="50" spans="2:84" s="138" customFormat="1" ht="12.6" thickBot="1">
      <c r="B50" s="145" t="s">
        <v>130</v>
      </c>
      <c r="C50" s="145"/>
      <c r="D50" s="145"/>
      <c r="E50" s="146">
        <f ca="1">SUM(E47:E48)</f>
        <v>24073.685999999998</v>
      </c>
      <c r="F50" s="146">
        <f ca="1">SUM(F47:F48)</f>
        <v>11622.428999999998</v>
      </c>
      <c r="G50" s="146">
        <f t="shared" ref="G50:AK50" ca="1" si="32">SUM(G47:G48)</f>
        <v>15025.646999999999</v>
      </c>
      <c r="H50" s="146">
        <f t="shared" ca="1" si="32"/>
        <v>30594.427499999998</v>
      </c>
      <c r="I50" s="146">
        <f t="shared" ca="1" si="32"/>
        <v>0</v>
      </c>
      <c r="J50" s="146">
        <f t="shared" ca="1" si="32"/>
        <v>0</v>
      </c>
      <c r="K50" s="146">
        <f t="shared" ca="1" si="32"/>
        <v>0</v>
      </c>
      <c r="L50" s="146">
        <f t="shared" ca="1" si="32"/>
        <v>5060.8739999999998</v>
      </c>
      <c r="M50" s="146">
        <f t="shared" ca="1" si="32"/>
        <v>9923.959499999999</v>
      </c>
      <c r="N50" s="146">
        <f t="shared" ca="1" si="32"/>
        <v>20152.450500000003</v>
      </c>
      <c r="O50" s="146">
        <f t="shared" ca="1" si="32"/>
        <v>3795.6554999999998</v>
      </c>
      <c r="P50" s="146">
        <f t="shared" ca="1" si="32"/>
        <v>19895.011500000001</v>
      </c>
      <c r="Q50" s="146">
        <f t="shared" ca="1" si="32"/>
        <v>28070.269500000002</v>
      </c>
      <c r="R50" s="146">
        <f t="shared" ca="1" si="32"/>
        <v>39827.697</v>
      </c>
      <c r="S50" s="146">
        <f t="shared" ca="1" si="32"/>
        <v>59750.964</v>
      </c>
      <c r="T50" s="146">
        <f t="shared" ca="1" si="32"/>
        <v>14975.415000000001</v>
      </c>
      <c r="U50" s="146">
        <f t="shared" ca="1" si="32"/>
        <v>27313.65</v>
      </c>
      <c r="V50" s="146">
        <f t="shared" ca="1" si="32"/>
        <v>24073.685999999998</v>
      </c>
      <c r="W50" s="146">
        <f t="shared" ca="1" si="32"/>
        <v>24073.685999999998</v>
      </c>
      <c r="X50" s="146">
        <f t="shared" ca="1" si="32"/>
        <v>24073.685999999998</v>
      </c>
      <c r="Y50" s="146">
        <f t="shared" ca="1" si="32"/>
        <v>24073.685999999998</v>
      </c>
      <c r="Z50" s="146">
        <f t="shared" ca="1" si="32"/>
        <v>24073.685999999998</v>
      </c>
      <c r="AA50" s="146">
        <f t="shared" ca="1" si="32"/>
        <v>24073.685999999998</v>
      </c>
      <c r="AB50" s="146">
        <f t="shared" ca="1" si="32"/>
        <v>0</v>
      </c>
      <c r="AC50" s="146">
        <f t="shared" ca="1" si="32"/>
        <v>0</v>
      </c>
      <c r="AD50" s="146">
        <f t="shared" ca="1" si="32"/>
        <v>0</v>
      </c>
      <c r="AE50" s="146">
        <f t="shared" ca="1" si="32"/>
        <v>0</v>
      </c>
      <c r="AF50" s="146">
        <f t="shared" ca="1" si="32"/>
        <v>10140.584999999999</v>
      </c>
      <c r="AG50" s="146">
        <f t="shared" ca="1" si="32"/>
        <v>24073.685999999998</v>
      </c>
      <c r="AH50" s="146">
        <f t="shared" ca="1" si="32"/>
        <v>0</v>
      </c>
      <c r="AI50" s="146">
        <f t="shared" ca="1" si="32"/>
        <v>0</v>
      </c>
      <c r="AJ50" s="146">
        <f t="shared" ca="1" si="32"/>
        <v>0</v>
      </c>
      <c r="AK50" s="146">
        <f t="shared" ca="1" si="32"/>
        <v>0</v>
      </c>
      <c r="AL50" s="146">
        <f t="shared" ref="AL50:AR50" ca="1" si="33">SUM(AL47:AL48)</f>
        <v>5060.8739999999998</v>
      </c>
      <c r="AM50" s="146">
        <f t="shared" ca="1" si="33"/>
        <v>9923.959499999999</v>
      </c>
      <c r="AN50" s="146">
        <f t="shared" ca="1" si="33"/>
        <v>20152.450500000003</v>
      </c>
      <c r="AO50" s="146">
        <f t="shared" ca="1" si="33"/>
        <v>3795.6554999999998</v>
      </c>
      <c r="AP50" s="146">
        <f t="shared" ca="1" si="33"/>
        <v>24073.685999999998</v>
      </c>
      <c r="AQ50" s="146">
        <f t="shared" ca="1" si="33"/>
        <v>24073.685999999998</v>
      </c>
      <c r="AR50" s="146">
        <f t="shared" ca="1" si="33"/>
        <v>0</v>
      </c>
      <c r="AT50" s="146">
        <f ca="1">SUM(AT47:AT48)</f>
        <v>26183.43</v>
      </c>
      <c r="AU50" s="146">
        <f t="shared" ref="AU50:CF50" ca="1" si="34">SUM(AU47:AU48)</f>
        <v>12906.4845</v>
      </c>
      <c r="AV50" s="146">
        <f t="shared" ca="1" si="34"/>
        <v>16742.9535</v>
      </c>
      <c r="AW50" s="146">
        <f t="shared" ca="1" si="34"/>
        <v>34267.642500000002</v>
      </c>
      <c r="AX50" s="146">
        <f t="shared" ca="1" si="34"/>
        <v>0</v>
      </c>
      <c r="AY50" s="146">
        <f t="shared" ca="1" si="34"/>
        <v>0</v>
      </c>
      <c r="AZ50" s="146">
        <f t="shared" ca="1" si="34"/>
        <v>0</v>
      </c>
      <c r="BA50" s="146">
        <f t="shared" ca="1" si="34"/>
        <v>6285.2790000000005</v>
      </c>
      <c r="BB50" s="146">
        <f t="shared" ca="1" si="34"/>
        <v>11650.684500000001</v>
      </c>
      <c r="BC50" s="146">
        <f t="shared" ca="1" si="34"/>
        <v>23021.9535</v>
      </c>
      <c r="BD50" s="146">
        <f t="shared" ca="1" si="34"/>
        <v>4875.6435000000001</v>
      </c>
      <c r="BE50" s="146">
        <f t="shared" ca="1" si="34"/>
        <v>22968.582000000002</v>
      </c>
      <c r="BF50" s="146">
        <f t="shared" ca="1" si="34"/>
        <v>30895.819500000001</v>
      </c>
      <c r="BG50" s="146">
        <f t="shared" ca="1" si="34"/>
        <v>44044.0455</v>
      </c>
      <c r="BH50" s="146">
        <f t="shared" ca="1" si="34"/>
        <v>66403.564499999993</v>
      </c>
      <c r="BI50" s="146">
        <f t="shared" ca="1" si="34"/>
        <v>16526.327999999998</v>
      </c>
      <c r="BJ50" s="146">
        <f t="shared" ca="1" si="34"/>
        <v>29705.949000000001</v>
      </c>
      <c r="BK50" s="146">
        <f t="shared" ca="1" si="34"/>
        <v>26183.43</v>
      </c>
      <c r="BL50" s="146">
        <f t="shared" ca="1" si="34"/>
        <v>26183.43</v>
      </c>
      <c r="BM50" s="146">
        <f t="shared" ca="1" si="34"/>
        <v>26183.43</v>
      </c>
      <c r="BN50" s="146">
        <f t="shared" ca="1" si="34"/>
        <v>26183.43</v>
      </c>
      <c r="BO50" s="146">
        <f t="shared" ca="1" si="34"/>
        <v>26183.43</v>
      </c>
      <c r="BP50" s="146">
        <f t="shared" ca="1" si="34"/>
        <v>26183.43</v>
      </c>
      <c r="BQ50" s="146">
        <f t="shared" ca="1" si="34"/>
        <v>0</v>
      </c>
      <c r="BR50" s="146">
        <f t="shared" ca="1" si="34"/>
        <v>0</v>
      </c>
      <c r="BS50" s="146">
        <f t="shared" ca="1" si="34"/>
        <v>0</v>
      </c>
      <c r="BT50" s="146">
        <f t="shared" ca="1" si="34"/>
        <v>0</v>
      </c>
      <c r="BU50" s="146">
        <f t="shared" ca="1" si="34"/>
        <v>11029.063500000002</v>
      </c>
      <c r="BV50" s="146">
        <f t="shared" ca="1" si="34"/>
        <v>26183.43</v>
      </c>
      <c r="BW50" s="146">
        <f t="shared" ca="1" si="34"/>
        <v>0</v>
      </c>
      <c r="BX50" s="146">
        <f t="shared" ca="1" si="34"/>
        <v>0</v>
      </c>
      <c r="BY50" s="146">
        <f t="shared" ca="1" si="34"/>
        <v>0</v>
      </c>
      <c r="BZ50" s="146">
        <f t="shared" ca="1" si="34"/>
        <v>0</v>
      </c>
      <c r="CA50" s="146">
        <f t="shared" ca="1" si="34"/>
        <v>6285.2790000000005</v>
      </c>
      <c r="CB50" s="146">
        <f t="shared" ca="1" si="34"/>
        <v>11650.684500000001</v>
      </c>
      <c r="CC50" s="146">
        <f t="shared" ca="1" si="34"/>
        <v>23021.9535</v>
      </c>
      <c r="CD50" s="146">
        <f t="shared" ca="1" si="34"/>
        <v>4875.6435000000001</v>
      </c>
      <c r="CE50" s="146">
        <f t="shared" ca="1" si="34"/>
        <v>26183.43</v>
      </c>
      <c r="CF50" s="146">
        <f t="shared" ca="1" si="34"/>
        <v>26183.43</v>
      </c>
    </row>
    <row r="52" spans="2:84">
      <c r="B52" s="3" t="s">
        <v>131</v>
      </c>
      <c r="D52" s="3"/>
      <c r="E52" s="45" t="e">
        <f ca="1">E47/IF(Inputs!$G$29="No",Low_Total_Energy,Low_Total_Energy_Exist_TOU)*100</f>
        <v>#DIV/0!</v>
      </c>
      <c r="F52" s="45" t="e">
        <f ca="1">F47/IF(Inputs!$G$29="No",Low_Total_Energy,Low_Total_Energy_Exist_TOU)*100</f>
        <v>#DIV/0!</v>
      </c>
      <c r="G52" s="45" t="e">
        <f ca="1">G47/IF(Inputs!$G$29="No",Low_Total_Energy,Low_Total_Energy_Exist_TOU)*100</f>
        <v>#DIV/0!</v>
      </c>
      <c r="H52" s="45" t="e">
        <f ca="1">H47/IF(Inputs!$G$29="No",Low_Total_Energy,Low_Total_Energy_Exist_TOU)*100</f>
        <v>#DIV/0!</v>
      </c>
      <c r="I52" s="45" t="e">
        <f ca="1">I47/IF(Inputs!$G$29="No",Low_Total_Energy,Low_Total_Energy_Exist_TOU)*100</f>
        <v>#DIV/0!</v>
      </c>
      <c r="J52" s="45" t="e">
        <f ca="1">J47/IF(Inputs!$G$29="No",Low_Total_Energy,Low_Total_Energy_Exist_TOU)*100</f>
        <v>#DIV/0!</v>
      </c>
      <c r="K52" s="45" t="e">
        <f ca="1">K47/IF(Inputs!$G$29="No",Low_Total_Energy,Low_Total_Energy_Exist_TOU)*100</f>
        <v>#DIV/0!</v>
      </c>
      <c r="L52" s="45" t="e">
        <f ca="1">L47/IF(Inputs!$G$29="No",Low_Total_Energy,Low_Total_Energy_Exist_TOU)*100</f>
        <v>#DIV/0!</v>
      </c>
      <c r="M52" s="45" t="e">
        <f ca="1">M47/IF(Inputs!$G$29="No",Low_Total_Energy,Low_Total_Energy_Exist_TOU)*100</f>
        <v>#DIV/0!</v>
      </c>
      <c r="N52" s="45" t="e">
        <f ca="1">N47/IF(Inputs!$G$29="No",Low_Total_Energy,Low_Total_Energy_Exist_TOU)*100</f>
        <v>#DIV/0!</v>
      </c>
      <c r="O52" s="45" t="e">
        <f ca="1">O47/IF(Inputs!$G$29="No",Low_Total_Energy,Low_Total_Energy_Exist_TOU)*100</f>
        <v>#DIV/0!</v>
      </c>
      <c r="P52" s="45" t="e">
        <f ca="1">P47/IF(Inputs!$G$29="No",Low_Total_Energy,Low_Total_Energy_Exist_TOU)*100</f>
        <v>#DIV/0!</v>
      </c>
      <c r="Q52" s="45" t="e">
        <f ca="1">Q47/IF(Inputs!$G$29="No",Low_Total_Energy,Low_Total_Energy_Exist_TOU)*100</f>
        <v>#DIV/0!</v>
      </c>
      <c r="R52" s="45" t="e">
        <f ca="1">R47/IF(Inputs!$G$29="No",Low_Total_Energy,Low_Total_Energy_Exist_TOU)*100</f>
        <v>#DIV/0!</v>
      </c>
      <c r="S52" s="45" t="e">
        <f ca="1">S47/IF(Inputs!$G$29="No",Low_Total_Energy,Low_Total_Energy_Exist_TOU)*100</f>
        <v>#DIV/0!</v>
      </c>
      <c r="T52" s="45" t="e">
        <f ca="1">T47/IF(Inputs!$G$29="No",Low_Total_Energy,Low_Total_Energy_Exist_TOU)*100</f>
        <v>#DIV/0!</v>
      </c>
      <c r="U52" s="45" t="e">
        <f ca="1">U47/IF(Inputs!$G$29="No",Low_Total_Energy,Low_Total_Energy_Exist_TOU)*100</f>
        <v>#DIV/0!</v>
      </c>
      <c r="V52" s="45" t="e">
        <f ca="1">V47/IF(Inputs!$G$29="No",Low_Total_Energy,Low_Total_Energy_Exist_TOU)*100</f>
        <v>#DIV/0!</v>
      </c>
      <c r="W52" s="45" t="e">
        <f ca="1">W47/IF(Inputs!$G$29="No",Low_Total_Energy,Low_Total_Energy_Exist_TOU)*100</f>
        <v>#DIV/0!</v>
      </c>
      <c r="X52" s="45" t="e">
        <f ca="1">X47/IF(Inputs!$G$29="No",Low_Total_Energy,Low_Total_Energy_Exist_TOU)*100</f>
        <v>#DIV/0!</v>
      </c>
      <c r="Y52" s="45" t="e">
        <f ca="1">Y47/IF(Inputs!$G$29="No",Low_Total_Energy,Low_Total_Energy_Exist_TOU)*100</f>
        <v>#DIV/0!</v>
      </c>
      <c r="Z52" s="45" t="e">
        <f ca="1">Z47/IF(Inputs!$G$29="No",Low_Total_Energy,Low_Total_Energy_Exist_TOU)*100</f>
        <v>#DIV/0!</v>
      </c>
      <c r="AA52" s="45" t="e">
        <f ca="1">AA47/IF(Inputs!$G$29="No",Low_Total_Energy,Low_Total_Energy_Exist_TOU)*100</f>
        <v>#DIV/0!</v>
      </c>
      <c r="AB52" s="45" t="e">
        <f ca="1">AB47/IF(Inputs!$G$29="No",Low_Total_Energy,Low_Total_Energy_Exist_TOU)*100</f>
        <v>#DIV/0!</v>
      </c>
      <c r="AC52" s="45" t="e">
        <f ca="1">AC47/IF(Inputs!$G$29="No",Low_Total_Energy,Low_Total_Energy_Exist_TOU)*100</f>
        <v>#DIV/0!</v>
      </c>
      <c r="AD52" s="45" t="e">
        <f ca="1">AD47/IF(Inputs!$G$29="No",Low_Total_Energy,Low_Total_Energy_Exist_TOU)*100</f>
        <v>#DIV/0!</v>
      </c>
      <c r="AE52" s="45" t="e">
        <f ca="1">AE47/IF(Inputs!$G$29="No",Low_Total_Energy,Low_Total_Energy_Exist_TOU)*100</f>
        <v>#DIV/0!</v>
      </c>
      <c r="AF52" s="45" t="e">
        <f ca="1">AF47/IF(Inputs!$G$29="No",Low_Total_Energy,Low_Total_Energy_Exist_TOU)*100</f>
        <v>#DIV/0!</v>
      </c>
      <c r="AG52" s="45" t="e">
        <f ca="1">AG47/IF(Inputs!$G$29="No",Low_Total_Energy,Low_Total_Energy_Exist_TOU)*100</f>
        <v>#DIV/0!</v>
      </c>
      <c r="AH52" s="45" t="e">
        <f ca="1">AH47/IF(Inputs!$G$29="No",Low_Total_Energy,Low_Total_Energy_Exist_TOU)*100</f>
        <v>#DIV/0!</v>
      </c>
      <c r="AI52" s="45" t="e">
        <f ca="1">AI47/IF(Inputs!$G$29="No",Low_Total_Energy,Low_Total_Energy_Exist_TOU)*100</f>
        <v>#DIV/0!</v>
      </c>
      <c r="AJ52" s="45" t="e">
        <f ca="1">AJ47/IF(Inputs!$G$29="No",Low_Total_Energy,Low_Total_Energy_Exist_TOU)*100</f>
        <v>#DIV/0!</v>
      </c>
      <c r="AK52" s="45" t="e">
        <f ca="1">AK47/IF(Inputs!$G$29="No",Low_Total_Energy,Low_Total_Energy_Exist_TOU)*100</f>
        <v>#DIV/0!</v>
      </c>
      <c r="AL52" s="45" t="e">
        <f ca="1">AL47/IF(Inputs!$G$29="No",Low_Total_Energy,Low_Total_Energy_Exist_TOU)*100</f>
        <v>#DIV/0!</v>
      </c>
      <c r="AM52" s="45" t="e">
        <f ca="1">AM47/IF(Inputs!$G$29="No",Low_Total_Energy,Low_Total_Energy_Exist_TOU)*100</f>
        <v>#DIV/0!</v>
      </c>
      <c r="AN52" s="45" t="e">
        <f ca="1">AN47/IF(Inputs!$G$29="No",Low_Total_Energy,Low_Total_Energy_Exist_TOU)*100</f>
        <v>#DIV/0!</v>
      </c>
      <c r="AO52" s="45" t="e">
        <f ca="1">AO47/IF(Inputs!$G$29="No",Low_Total_Energy,Low_Total_Energy_Exist_TOU)*100</f>
        <v>#DIV/0!</v>
      </c>
      <c r="AP52" s="45" t="e">
        <f ca="1">AP47/IF(Inputs!$G$29="No",Low_Total_Energy,Low_Total_Energy_Exist_TOU)*100</f>
        <v>#DIV/0!</v>
      </c>
      <c r="AQ52" s="45" t="e">
        <f ca="1">AQ47/IF(Inputs!$G$29="No",Low_Total_Energy,Low_Total_Energy_Exist_TOU)*100</f>
        <v>#DIV/0!</v>
      </c>
      <c r="AR52" s="45" t="e">
        <f ca="1">AR47/IF(Inputs!$G$29="No",Low_Total_Energy,Low_Total_Energy_Exist_TOU)*100</f>
        <v>#DIV/0!</v>
      </c>
      <c r="AT52" s="45" t="e">
        <f ca="1">AT47/IF(Inputs!$G$29="No",Low_Total_Energy,Low_Total_Energy_New_TOU)*100</f>
        <v>#DIV/0!</v>
      </c>
      <c r="AU52" s="45" t="e">
        <f ca="1">AU47/IF(Inputs!$G$29="No",Low_Total_Energy,Low_Total_Energy_New_TOU)*100</f>
        <v>#DIV/0!</v>
      </c>
      <c r="AV52" s="45" t="e">
        <f ca="1">AV47/IF(Inputs!$G$29="No",Low_Total_Energy,Low_Total_Energy_New_TOU)*100</f>
        <v>#DIV/0!</v>
      </c>
      <c r="AW52" s="45" t="e">
        <f ca="1">AW47/IF(Inputs!$G$29="No",Low_Total_Energy,Low_Total_Energy_New_TOU)*100</f>
        <v>#DIV/0!</v>
      </c>
      <c r="AX52" s="45" t="e">
        <f ca="1">AX47/IF(Inputs!$G$29="No",Low_Total_Energy,Low_Total_Energy_New_TOU)*100</f>
        <v>#DIV/0!</v>
      </c>
      <c r="AY52" s="45" t="e">
        <f ca="1">AY47/IF(Inputs!$G$29="No",Low_Total_Energy,Low_Total_Energy_New_TOU)*100</f>
        <v>#DIV/0!</v>
      </c>
      <c r="AZ52" s="45" t="e">
        <f ca="1">AZ47/IF(Inputs!$G$29="No",Low_Total_Energy,Low_Total_Energy_New_TOU)*100</f>
        <v>#DIV/0!</v>
      </c>
      <c r="BA52" s="45" t="e">
        <f ca="1">BA47/IF(Inputs!$G$29="No",Low_Total_Energy,Low_Total_Energy_New_TOU)*100</f>
        <v>#DIV/0!</v>
      </c>
      <c r="BB52" s="45" t="e">
        <f ca="1">BB47/IF(Inputs!$G$29="No",Low_Total_Energy,Low_Total_Energy_New_TOU)*100</f>
        <v>#DIV/0!</v>
      </c>
      <c r="BC52" s="45" t="e">
        <f ca="1">BC47/IF(Inputs!$G$29="No",Low_Total_Energy,Low_Total_Energy_New_TOU)*100</f>
        <v>#DIV/0!</v>
      </c>
      <c r="BD52" s="45" t="e">
        <f ca="1">BD47/IF(Inputs!$G$29="No",Low_Total_Energy,Low_Total_Energy_New_TOU)*100</f>
        <v>#DIV/0!</v>
      </c>
      <c r="BE52" s="45" t="e">
        <f ca="1">BE47/IF(Inputs!$G$29="No",Low_Total_Energy,Low_Total_Energy_New_TOU)*100</f>
        <v>#DIV/0!</v>
      </c>
      <c r="BF52" s="45" t="e">
        <f ca="1">BF47/IF(Inputs!$G$29="No",Low_Total_Energy,Low_Total_Energy_New_TOU)*100</f>
        <v>#DIV/0!</v>
      </c>
      <c r="BG52" s="45" t="e">
        <f ca="1">BG47/IF(Inputs!$G$29="No",Low_Total_Energy,Low_Total_Energy_New_TOU)*100</f>
        <v>#DIV/0!</v>
      </c>
      <c r="BH52" s="45" t="e">
        <f ca="1">BH47/IF(Inputs!$G$29="No",Low_Total_Energy,Low_Total_Energy_New_TOU)*100</f>
        <v>#DIV/0!</v>
      </c>
      <c r="BI52" s="45" t="e">
        <f ca="1">BI47/IF(Inputs!$G$29="No",Low_Total_Energy,Low_Total_Energy_New_TOU)*100</f>
        <v>#DIV/0!</v>
      </c>
      <c r="BJ52" s="45" t="e">
        <f ca="1">BJ47/IF(Inputs!$G$29="No",Low_Total_Energy,Low_Total_Energy_New_TOU)*100</f>
        <v>#DIV/0!</v>
      </c>
      <c r="BK52" s="45" t="e">
        <f ca="1">BK47/IF(Inputs!$G$29="No",Low_Total_Energy,Low_Total_Energy_New_TOU)*100</f>
        <v>#DIV/0!</v>
      </c>
      <c r="BL52" s="45" t="e">
        <f ca="1">BL47/IF(Inputs!$G$29="No",Low_Total_Energy,Low_Total_Energy_New_TOU)*100</f>
        <v>#DIV/0!</v>
      </c>
      <c r="BM52" s="45" t="e">
        <f ca="1">BM47/IF(Inputs!$G$29="No",Low_Total_Energy,Low_Total_Energy_New_TOU)*100</f>
        <v>#DIV/0!</v>
      </c>
      <c r="BN52" s="45" t="e">
        <f ca="1">BN47/IF(Inputs!$G$29="No",Low_Total_Energy,Low_Total_Energy_New_TOU)*100</f>
        <v>#DIV/0!</v>
      </c>
      <c r="BO52" s="45" t="e">
        <f ca="1">BO47/IF(Inputs!$G$29="No",Low_Total_Energy,Low_Total_Energy_New_TOU)*100</f>
        <v>#DIV/0!</v>
      </c>
      <c r="BP52" s="45" t="e">
        <f ca="1">BP47/IF(Inputs!$G$29="No",Low_Total_Energy,Low_Total_Energy_New_TOU)*100</f>
        <v>#DIV/0!</v>
      </c>
      <c r="BQ52" s="45" t="e">
        <f ca="1">BQ47/IF(Inputs!$G$29="No",Low_Total_Energy,Low_Total_Energy_New_TOU)*100</f>
        <v>#DIV/0!</v>
      </c>
      <c r="BR52" s="45" t="e">
        <f ca="1">BR47/IF(Inputs!$G$29="No",Low_Total_Energy,Low_Total_Energy_New_TOU)*100</f>
        <v>#DIV/0!</v>
      </c>
      <c r="BS52" s="45" t="e">
        <f ca="1">BS47/IF(Inputs!$G$29="No",Low_Total_Energy,Low_Total_Energy_New_TOU)*100</f>
        <v>#DIV/0!</v>
      </c>
      <c r="BT52" s="45" t="e">
        <f ca="1">BT47/IF(Inputs!$G$29="No",Low_Total_Energy,Low_Total_Energy_New_TOU)*100</f>
        <v>#DIV/0!</v>
      </c>
      <c r="BU52" s="45" t="e">
        <f ca="1">BU47/IF(Inputs!$G$29="No",Low_Total_Energy,Low_Total_Energy_New_TOU)*100</f>
        <v>#DIV/0!</v>
      </c>
      <c r="BV52" s="45" t="e">
        <f ca="1">BV47/IF(Inputs!$G$29="No",Low_Total_Energy,Low_Total_Energy_New_TOU)*100</f>
        <v>#DIV/0!</v>
      </c>
      <c r="BW52" s="45" t="e">
        <f ca="1">BW47/IF(Inputs!$G$29="No",Low_Total_Energy,Low_Total_Energy_New_TOU)*100</f>
        <v>#DIV/0!</v>
      </c>
      <c r="BX52" s="45" t="e">
        <f ca="1">BX47/IF(Inputs!$G$29="No",Low_Total_Energy,Low_Total_Energy_New_TOU)*100</f>
        <v>#DIV/0!</v>
      </c>
      <c r="BY52" s="45" t="e">
        <f ca="1">BY47/IF(Inputs!$G$29="No",Low_Total_Energy,Low_Total_Energy_New_TOU)*100</f>
        <v>#DIV/0!</v>
      </c>
      <c r="BZ52" s="45" t="e">
        <f ca="1">BZ47/IF(Inputs!$G$29="No",Low_Total_Energy,Low_Total_Energy_New_TOU)*100</f>
        <v>#DIV/0!</v>
      </c>
      <c r="CA52" s="45" t="e">
        <f ca="1">CA47/IF(Inputs!$G$29="No",Low_Total_Energy,Low_Total_Energy_New_TOU)*100</f>
        <v>#DIV/0!</v>
      </c>
      <c r="CB52" s="45" t="e">
        <f ca="1">CB47/IF(Inputs!$G$29="No",Low_Total_Energy,Low_Total_Energy_New_TOU)*100</f>
        <v>#DIV/0!</v>
      </c>
      <c r="CC52" s="45" t="e">
        <f ca="1">CC47/IF(Inputs!$G$29="No",Low_Total_Energy,Low_Total_Energy_New_TOU)*100</f>
        <v>#DIV/0!</v>
      </c>
      <c r="CD52" s="45" t="e">
        <f ca="1">CD47/IF(Inputs!$G$29="No",Low_Total_Energy,Low_Total_Energy_New_TOU)*100</f>
        <v>#DIV/0!</v>
      </c>
      <c r="CE52" s="45" t="e">
        <f ca="1">CE47/IF(Inputs!$G$29="No",Low_Total_Energy,Low_Total_Energy_New_TOU)*100</f>
        <v>#DIV/0!</v>
      </c>
      <c r="CF52" s="45" t="e">
        <f ca="1">CF47/IF(Inputs!$G$29="No",Low_Total_Energy,Low_Total_Energy_New_TOU)*100</f>
        <v>#DIV/0!</v>
      </c>
    </row>
    <row r="54" spans="2:84">
      <c r="B54" s="3" t="s">
        <v>185</v>
      </c>
    </row>
    <row r="55" spans="2:84">
      <c r="C55" t="s">
        <v>186</v>
      </c>
      <c r="E55">
        <f ca="1">INDEX(F55:AR55,0,$F$2)</f>
        <v>1</v>
      </c>
      <c r="F55">
        <f ca="1">'Rates Table'!F68</f>
        <v>0</v>
      </c>
      <c r="G55">
        <f ca="1">'Rates Table'!G68</f>
        <v>0</v>
      </c>
      <c r="H55">
        <f ca="1">'Rates Table'!H68</f>
        <v>0</v>
      </c>
      <c r="I55">
        <f ca="1">'Rates Table'!I68</f>
        <v>0</v>
      </c>
      <c r="J55">
        <f ca="1">'Rates Table'!J68</f>
        <v>0</v>
      </c>
      <c r="K55">
        <f ca="1">'Rates Table'!K68</f>
        <v>0</v>
      </c>
      <c r="L55">
        <f ca="1">'Rates Table'!L68</f>
        <v>0</v>
      </c>
      <c r="M55">
        <f ca="1">'Rates Table'!M68</f>
        <v>0</v>
      </c>
      <c r="N55">
        <f ca="1">'Rates Table'!N68</f>
        <v>0</v>
      </c>
      <c r="O55">
        <f ca="1">'Rates Table'!O68</f>
        <v>0</v>
      </c>
      <c r="P55">
        <f ca="1">'Rates Table'!P68</f>
        <v>0</v>
      </c>
      <c r="Q55">
        <f ca="1">'Rates Table'!Q68</f>
        <v>0</v>
      </c>
      <c r="R55">
        <f ca="1">'Rates Table'!R68</f>
        <v>0</v>
      </c>
      <c r="S55">
        <f ca="1">'Rates Table'!S68</f>
        <v>0</v>
      </c>
      <c r="T55">
        <f ca="1">'Rates Table'!T68</f>
        <v>0</v>
      </c>
      <c r="U55">
        <f ca="1">'Rates Table'!U68</f>
        <v>0</v>
      </c>
      <c r="V55">
        <f ca="1">'Rates Table'!V68</f>
        <v>1</v>
      </c>
      <c r="W55">
        <f ca="1">'Rates Table'!W68</f>
        <v>1</v>
      </c>
      <c r="X55">
        <f>'Rates Table'!X68</f>
        <v>1</v>
      </c>
      <c r="Y55">
        <f ca="1">'Rates Table'!Y68</f>
        <v>1</v>
      </c>
      <c r="Z55">
        <f ca="1">'Rates Table'!Z68</f>
        <v>1</v>
      </c>
      <c r="AA55">
        <f ca="1">'Rates Table'!AA68</f>
        <v>1</v>
      </c>
      <c r="AB55">
        <f ca="1">'Rates Table'!AB68</f>
        <v>0</v>
      </c>
      <c r="AC55">
        <f ca="1">'Rates Table'!AC68</f>
        <v>0</v>
      </c>
      <c r="AD55">
        <f ca="1">'Rates Table'!AD68</f>
        <v>0</v>
      </c>
      <c r="AE55">
        <f ca="1">'Rates Table'!AE68</f>
        <v>0</v>
      </c>
      <c r="AF55">
        <f ca="1">'Rates Table'!AF68</f>
        <v>0</v>
      </c>
      <c r="AG55">
        <f>'Rates Table'!AG68</f>
        <v>1</v>
      </c>
      <c r="AH55">
        <f ca="1">'Rates Table'!AH68</f>
        <v>0</v>
      </c>
      <c r="AI55">
        <f ca="1">'Rates Table'!AI68</f>
        <v>0</v>
      </c>
      <c r="AJ55">
        <f ca="1">'Rates Table'!AJ68</f>
        <v>0</v>
      </c>
      <c r="AK55">
        <f ca="1">'Rates Table'!AK68</f>
        <v>0</v>
      </c>
      <c r="AL55">
        <f ca="1">'Rates Table'!AL68</f>
        <v>0</v>
      </c>
      <c r="AM55">
        <f ca="1">'Rates Table'!AM68</f>
        <v>0</v>
      </c>
      <c r="AN55">
        <f ca="1">'Rates Table'!AN68</f>
        <v>0</v>
      </c>
      <c r="AO55">
        <f ca="1">'Rates Table'!AO68</f>
        <v>0</v>
      </c>
      <c r="AP55">
        <f ca="1">'Rates Table'!AP68</f>
        <v>1</v>
      </c>
      <c r="AQ55">
        <f ca="1">'Rates Table'!AQ68</f>
        <v>1</v>
      </c>
      <c r="AR55">
        <f ca="1">'Rates Table'!AR68</f>
        <v>0</v>
      </c>
      <c r="AT55">
        <f ca="1">INDEX(AU55:CF55,0,Selected_Tariff_ID)</f>
        <v>1</v>
      </c>
      <c r="AU55">
        <f t="shared" ref="AU55:BP55" ca="1" si="35">F55</f>
        <v>0</v>
      </c>
      <c r="AV55">
        <f t="shared" ca="1" si="35"/>
        <v>0</v>
      </c>
      <c r="AW55">
        <f t="shared" ca="1" si="35"/>
        <v>0</v>
      </c>
      <c r="AX55">
        <f t="shared" ca="1" si="35"/>
        <v>0</v>
      </c>
      <c r="AY55">
        <f t="shared" ca="1" si="35"/>
        <v>0</v>
      </c>
      <c r="AZ55">
        <f t="shared" ca="1" si="35"/>
        <v>0</v>
      </c>
      <c r="BA55">
        <f t="shared" ca="1" si="35"/>
        <v>0</v>
      </c>
      <c r="BB55">
        <f t="shared" ca="1" si="35"/>
        <v>0</v>
      </c>
      <c r="BC55">
        <f t="shared" ca="1" si="35"/>
        <v>0</v>
      </c>
      <c r="BD55">
        <f t="shared" ca="1" si="35"/>
        <v>0</v>
      </c>
      <c r="BE55">
        <f t="shared" ca="1" si="35"/>
        <v>0</v>
      </c>
      <c r="BF55">
        <f t="shared" ca="1" si="35"/>
        <v>0</v>
      </c>
      <c r="BG55">
        <f t="shared" ca="1" si="35"/>
        <v>0</v>
      </c>
      <c r="BH55">
        <f t="shared" ca="1" si="35"/>
        <v>0</v>
      </c>
      <c r="BI55">
        <f t="shared" ca="1" si="35"/>
        <v>0</v>
      </c>
      <c r="BJ55">
        <f t="shared" ca="1" si="35"/>
        <v>0</v>
      </c>
      <c r="BK55">
        <f t="shared" ca="1" si="35"/>
        <v>1</v>
      </c>
      <c r="BL55">
        <f t="shared" ca="1" si="35"/>
        <v>1</v>
      </c>
      <c r="BM55">
        <f t="shared" si="35"/>
        <v>1</v>
      </c>
      <c r="BN55">
        <f t="shared" ca="1" si="35"/>
        <v>1</v>
      </c>
      <c r="BO55">
        <f t="shared" ca="1" si="35"/>
        <v>1</v>
      </c>
      <c r="BP55">
        <f t="shared" ca="1" si="35"/>
        <v>1</v>
      </c>
      <c r="BQ55">
        <f t="shared" ref="BQ55:CD55" ca="1" si="36">AB55</f>
        <v>0</v>
      </c>
      <c r="BR55">
        <f t="shared" ca="1" si="36"/>
        <v>0</v>
      </c>
      <c r="BS55">
        <f t="shared" ca="1" si="36"/>
        <v>0</v>
      </c>
      <c r="BT55">
        <f t="shared" ca="1" si="36"/>
        <v>0</v>
      </c>
      <c r="BU55">
        <f t="shared" ca="1" si="36"/>
        <v>0</v>
      </c>
      <c r="BV55">
        <f t="shared" si="36"/>
        <v>1</v>
      </c>
      <c r="BW55">
        <f t="shared" ca="1" si="36"/>
        <v>0</v>
      </c>
      <c r="BX55">
        <f t="shared" ca="1" si="36"/>
        <v>0</v>
      </c>
      <c r="BY55">
        <f t="shared" ca="1" si="36"/>
        <v>0</v>
      </c>
      <c r="BZ55">
        <f t="shared" ca="1" si="36"/>
        <v>0</v>
      </c>
      <c r="CA55">
        <f t="shared" ca="1" si="36"/>
        <v>0</v>
      </c>
      <c r="CB55">
        <f t="shared" ca="1" si="36"/>
        <v>0</v>
      </c>
      <c r="CC55">
        <f t="shared" ca="1" si="36"/>
        <v>0</v>
      </c>
      <c r="CD55">
        <f t="shared" ca="1" si="36"/>
        <v>0</v>
      </c>
      <c r="CE55">
        <f ca="1">AP55</f>
        <v>1</v>
      </c>
      <c r="CF55">
        <f ca="1">AQ55</f>
        <v>1</v>
      </c>
    </row>
    <row r="56" spans="2:84">
      <c r="C56" t="s">
        <v>235</v>
      </c>
      <c r="E56" t="str">
        <f t="shared" ref="E56:BP56" ca="1" si="37">INDEX(Full_Tariff_Type,E$7,)</f>
        <v>Urban</v>
      </c>
      <c r="F56" t="str">
        <f t="shared" si="37"/>
        <v>Urban</v>
      </c>
      <c r="G56" t="str">
        <f t="shared" si="37"/>
        <v>Urban</v>
      </c>
      <c r="H56" t="str">
        <f t="shared" si="37"/>
        <v>Urban</v>
      </c>
      <c r="I56" t="str">
        <f t="shared" si="37"/>
        <v>Urban</v>
      </c>
      <c r="J56" t="str">
        <f t="shared" si="37"/>
        <v>Urban</v>
      </c>
      <c r="K56" t="str">
        <f t="shared" si="37"/>
        <v>Urban</v>
      </c>
      <c r="L56" t="str">
        <f t="shared" si="37"/>
        <v>Urban</v>
      </c>
      <c r="M56" t="str">
        <f t="shared" si="37"/>
        <v>Urban</v>
      </c>
      <c r="N56" t="str">
        <f t="shared" si="37"/>
        <v>Urban</v>
      </c>
      <c r="O56" t="str">
        <f t="shared" si="37"/>
        <v>Urban</v>
      </c>
      <c r="P56" t="str">
        <f t="shared" si="37"/>
        <v>Urban</v>
      </c>
      <c r="Q56" t="str">
        <f t="shared" si="37"/>
        <v>Rural</v>
      </c>
      <c r="R56" t="str">
        <f t="shared" si="37"/>
        <v>Rural</v>
      </c>
      <c r="S56" t="str">
        <f t="shared" si="37"/>
        <v>Rural</v>
      </c>
      <c r="T56" t="str">
        <f t="shared" si="37"/>
        <v>Rural</v>
      </c>
      <c r="U56" t="str">
        <f t="shared" si="37"/>
        <v>Rural</v>
      </c>
      <c r="V56" t="str">
        <f t="shared" si="37"/>
        <v>Urban</v>
      </c>
      <c r="W56" t="str">
        <f t="shared" si="37"/>
        <v>Urban</v>
      </c>
      <c r="X56" t="str">
        <f t="shared" si="37"/>
        <v>Urban</v>
      </c>
      <c r="Y56" t="str">
        <f t="shared" si="37"/>
        <v>Rural</v>
      </c>
      <c r="Z56" t="str">
        <f t="shared" si="37"/>
        <v>Urban</v>
      </c>
      <c r="AA56" t="str">
        <f t="shared" si="37"/>
        <v>Rural</v>
      </c>
      <c r="AB56" t="str">
        <f t="shared" si="37"/>
        <v>Rural</v>
      </c>
      <c r="AC56" t="str">
        <f t="shared" si="37"/>
        <v>Rural</v>
      </c>
      <c r="AD56" t="str">
        <f t="shared" si="37"/>
        <v>Urban</v>
      </c>
      <c r="AE56" t="str">
        <f t="shared" si="37"/>
        <v>Urban</v>
      </c>
      <c r="AF56" t="str">
        <f t="shared" si="37"/>
        <v>Urban</v>
      </c>
      <c r="AG56" t="str">
        <f t="shared" si="37"/>
        <v>Urban</v>
      </c>
      <c r="AH56" t="str">
        <f t="shared" si="37"/>
        <v>Urban</v>
      </c>
      <c r="AI56" t="str">
        <f t="shared" si="37"/>
        <v>Urban</v>
      </c>
      <c r="AJ56" t="str">
        <f t="shared" si="37"/>
        <v>Urban</v>
      </c>
      <c r="AK56" t="str">
        <f t="shared" si="37"/>
        <v>Urban</v>
      </c>
      <c r="AL56" t="str">
        <f t="shared" si="37"/>
        <v>Urban</v>
      </c>
      <c r="AM56" t="str">
        <f t="shared" si="37"/>
        <v>Urban</v>
      </c>
      <c r="AN56" t="str">
        <f t="shared" si="37"/>
        <v>Urban</v>
      </c>
      <c r="AO56" t="str">
        <f t="shared" si="37"/>
        <v>Urban</v>
      </c>
      <c r="AP56" t="str">
        <f t="shared" si="37"/>
        <v>Urban</v>
      </c>
      <c r="AQ56" t="str">
        <f t="shared" si="37"/>
        <v>Urban</v>
      </c>
      <c r="AR56" t="str">
        <f t="shared" si="37"/>
        <v>Urban</v>
      </c>
      <c r="AT56" t="str">
        <f ca="1">INDEX(Full_Tariff_Type,Selected_Tariff_ID)</f>
        <v>Urban</v>
      </c>
      <c r="AU56" t="str">
        <f t="shared" si="37"/>
        <v>Urban</v>
      </c>
      <c r="AV56" t="str">
        <f t="shared" si="37"/>
        <v>Urban</v>
      </c>
      <c r="AW56" t="str">
        <f t="shared" si="37"/>
        <v>Urban</v>
      </c>
      <c r="AX56" t="str">
        <f t="shared" si="37"/>
        <v>Urban</v>
      </c>
      <c r="AY56" t="str">
        <f t="shared" si="37"/>
        <v>Urban</v>
      </c>
      <c r="AZ56" t="str">
        <f t="shared" si="37"/>
        <v>Urban</v>
      </c>
      <c r="BA56" t="str">
        <f t="shared" si="37"/>
        <v>Urban</v>
      </c>
      <c r="BB56" t="str">
        <f t="shared" si="37"/>
        <v>Urban</v>
      </c>
      <c r="BC56" t="str">
        <f t="shared" si="37"/>
        <v>Urban</v>
      </c>
      <c r="BD56" t="str">
        <f t="shared" si="37"/>
        <v>Urban</v>
      </c>
      <c r="BE56" t="str">
        <f t="shared" si="37"/>
        <v>Urban</v>
      </c>
      <c r="BF56" t="str">
        <f t="shared" si="37"/>
        <v>Rural</v>
      </c>
      <c r="BG56" t="str">
        <f t="shared" si="37"/>
        <v>Rural</v>
      </c>
      <c r="BH56" t="str">
        <f t="shared" si="37"/>
        <v>Rural</v>
      </c>
      <c r="BI56" t="str">
        <f t="shared" si="37"/>
        <v>Rural</v>
      </c>
      <c r="BJ56" t="str">
        <f t="shared" si="37"/>
        <v>Rural</v>
      </c>
      <c r="BK56" t="str">
        <f t="shared" si="37"/>
        <v>Urban</v>
      </c>
      <c r="BL56" t="str">
        <f t="shared" si="37"/>
        <v>Urban</v>
      </c>
      <c r="BM56" t="str">
        <f t="shared" si="37"/>
        <v>Urban</v>
      </c>
      <c r="BN56" t="str">
        <f t="shared" si="37"/>
        <v>Rural</v>
      </c>
      <c r="BO56" t="str">
        <f t="shared" si="37"/>
        <v>Urban</v>
      </c>
      <c r="BP56" t="str">
        <f t="shared" si="37"/>
        <v>Rural</v>
      </c>
      <c r="BQ56" t="str">
        <f t="shared" ref="BQ56:CF56" si="38">INDEX(Full_Tariff_Type,BQ$7,)</f>
        <v>Rural</v>
      </c>
      <c r="BR56" t="str">
        <f t="shared" si="38"/>
        <v>Rural</v>
      </c>
      <c r="BS56" t="str">
        <f t="shared" si="38"/>
        <v>Urban</v>
      </c>
      <c r="BT56" t="str">
        <f t="shared" si="38"/>
        <v>Urban</v>
      </c>
      <c r="BU56" t="str">
        <f t="shared" si="38"/>
        <v>Urban</v>
      </c>
      <c r="BV56" t="str">
        <f t="shared" si="38"/>
        <v>Urban</v>
      </c>
      <c r="BW56" t="str">
        <f t="shared" si="38"/>
        <v>Urban</v>
      </c>
      <c r="BX56" t="str">
        <f t="shared" si="38"/>
        <v>Urban</v>
      </c>
      <c r="BY56" t="str">
        <f t="shared" si="38"/>
        <v>Urban</v>
      </c>
      <c r="BZ56" t="str">
        <f t="shared" si="38"/>
        <v>Urban</v>
      </c>
      <c r="CA56" t="str">
        <f t="shared" si="38"/>
        <v>Urban</v>
      </c>
      <c r="CB56" t="str">
        <f t="shared" si="38"/>
        <v>Urban</v>
      </c>
      <c r="CC56" t="str">
        <f t="shared" si="38"/>
        <v>Urban</v>
      </c>
      <c r="CD56" t="str">
        <f t="shared" si="38"/>
        <v>Urban</v>
      </c>
      <c r="CE56" t="str">
        <f t="shared" si="38"/>
        <v>Urban</v>
      </c>
      <c r="CF56" t="str">
        <f t="shared" si="38"/>
        <v>Urban</v>
      </c>
    </row>
  </sheetData>
  <sheetProtection algorithmName="SHA-512" hashValue="DhQTOpsZEhUt6PdMERFwu3fx2hsuzswnqAxNTOGEcLuRXwduCWKbCXxBf/v3lRls84uYxykcPx8yfd41JBwVBQ==" saltValue="jS1h9DpesMctkj5PKPyLaw==" spinCount="100000" sheet="1" objects="1" scenarios="1"/>
  <pageMargins left="0.7" right="0.7" top="0.75" bottom="0.75" header="0.3" footer="0.3"/>
  <pageSetup paperSize="9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5">
    <tabColor theme="7" tint="0.39997558519241921"/>
  </sheetPr>
  <dimension ref="B1:CF81"/>
  <sheetViews>
    <sheetView showGridLines="0" zoomScale="85" zoomScaleNormal="85" workbookViewId="0">
      <pane xSplit="4" ySplit="8" topLeftCell="V28" activePane="bottomRight" state="frozen"/>
      <selection activeCell="AJ13" sqref="AJ13"/>
      <selection pane="topRight" activeCell="AJ13" sqref="AJ13"/>
      <selection pane="bottomLeft" activeCell="AJ13" sqref="AJ13"/>
      <selection pane="bottomRight" activeCell="V46" sqref="V46"/>
    </sheetView>
  </sheetViews>
  <sheetFormatPr defaultColWidth="9.28515625" defaultRowHeight="12"/>
  <cols>
    <col min="1" max="2" width="2.7109375" customWidth="1"/>
    <col min="3" max="3" width="35.42578125" bestFit="1" customWidth="1"/>
    <col min="4" max="4" width="14.28515625" customWidth="1"/>
    <col min="5" max="5" width="28.28515625" customWidth="1"/>
    <col min="6" max="32" width="16" customWidth="1"/>
    <col min="33" max="33" width="17.85546875" customWidth="1"/>
    <col min="34" max="34" width="12.7109375" customWidth="1"/>
    <col min="35" max="35" width="11.42578125" customWidth="1"/>
    <col min="36" max="36" width="10.140625" customWidth="1"/>
    <col min="37" max="37" width="12.140625" customWidth="1"/>
    <col min="38" max="38" width="12.28515625" customWidth="1"/>
    <col min="39" max="39" width="11.5703125" customWidth="1"/>
    <col min="40" max="40" width="9.42578125" customWidth="1"/>
    <col min="41" max="41" width="9.28515625" customWidth="1"/>
    <col min="42" max="42" width="14.85546875" customWidth="1"/>
    <col min="43" max="44" width="15" customWidth="1"/>
    <col min="46" max="65" width="16" customWidth="1"/>
    <col min="66" max="66" width="14.7109375" customWidth="1"/>
    <col min="67" max="84" width="16" customWidth="1"/>
  </cols>
  <sheetData>
    <row r="1" spans="2:84" ht="4.05" customHeight="1"/>
    <row r="2" spans="2:84" ht="33" customHeight="1">
      <c r="E2" t="str">
        <f ca="1">Selected_Base_Tariff</f>
        <v>Miniflex</v>
      </c>
      <c r="F2">
        <f ca="1">MATCH(E2,Full_Tariff_List,0)</f>
        <v>18</v>
      </c>
    </row>
    <row r="3" spans="2:84" ht="4.05" customHeight="1"/>
    <row r="4" spans="2:84" ht="15">
      <c r="B4" s="2" t="s">
        <v>194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</row>
    <row r="6" spans="2:84" s="77" customFormat="1" ht="39.6">
      <c r="B6" s="44" t="s">
        <v>47</v>
      </c>
      <c r="C6" s="34"/>
      <c r="D6" s="34"/>
      <c r="E6" s="43" t="str">
        <f ca="1">E2</f>
        <v>Miniflex</v>
      </c>
      <c r="F6" s="43" t="str">
        <f t="shared" ref="F6:AR6" si="0">INDEX(Full_Tariff_List,F$7,)</f>
        <v>Businessrate 1</v>
      </c>
      <c r="G6" s="43" t="str">
        <f t="shared" si="0"/>
        <v>Businessrate 2</v>
      </c>
      <c r="H6" s="43" t="str">
        <f t="shared" si="0"/>
        <v>Businessrate 3</v>
      </c>
      <c r="I6" s="43" t="str">
        <f t="shared" si="0"/>
        <v>Businessrate 4</v>
      </c>
      <c r="J6" s="43" t="str">
        <f t="shared" si="0"/>
        <v>Homelight 20A</v>
      </c>
      <c r="K6" s="43" t="str">
        <f t="shared" si="0"/>
        <v>Homelight 60A</v>
      </c>
      <c r="L6" s="43" t="str">
        <f t="shared" si="0"/>
        <v>Homepower 1</v>
      </c>
      <c r="M6" s="43" t="str">
        <f t="shared" si="0"/>
        <v>Homepower 2</v>
      </c>
      <c r="N6" s="43" t="str">
        <f t="shared" si="0"/>
        <v>Homepower 3</v>
      </c>
      <c r="O6" s="43" t="str">
        <f t="shared" si="0"/>
        <v>Homepower 4</v>
      </c>
      <c r="P6" s="43" t="str">
        <f t="shared" si="0"/>
        <v>Homepower Bulk</v>
      </c>
      <c r="Q6" s="43" t="str">
        <f t="shared" si="0"/>
        <v>Landrate 1</v>
      </c>
      <c r="R6" s="43" t="str">
        <f t="shared" si="0"/>
        <v>Landrate 2</v>
      </c>
      <c r="S6" s="43" t="str">
        <f t="shared" si="0"/>
        <v>Landrate 3</v>
      </c>
      <c r="T6" s="43" t="str">
        <f t="shared" si="0"/>
        <v>Landrate 4</v>
      </c>
      <c r="U6" s="43" t="str">
        <f t="shared" si="0"/>
        <v>Landrate Dx</v>
      </c>
      <c r="V6" s="43" t="str">
        <f t="shared" si="0"/>
        <v>Megaflex</v>
      </c>
      <c r="W6" s="43" t="str">
        <f t="shared" si="0"/>
        <v>Miniflex</v>
      </c>
      <c r="X6" s="43" t="str">
        <f>INDEX(Full_Tariff_List,X$7,)</f>
        <v>Nightsave Urban</v>
      </c>
      <c r="Y6" s="43" t="str">
        <f t="shared" si="0"/>
        <v>Nightsave Rural</v>
      </c>
      <c r="Z6" s="43" t="str">
        <f t="shared" si="0"/>
        <v>Nightsave Small</v>
      </c>
      <c r="AA6" s="43" t="str">
        <f t="shared" si="0"/>
        <v>Ruraflex</v>
      </c>
      <c r="AB6" s="43" t="str">
        <f t="shared" si="0"/>
        <v>Landlight 20A</v>
      </c>
      <c r="AC6" s="43" t="str">
        <f t="shared" si="0"/>
        <v>Landlight 60A</v>
      </c>
      <c r="AD6" s="43" t="str">
        <f t="shared" si="0"/>
        <v>Public Lighting 24 Hours</v>
      </c>
      <c r="AE6" s="43" t="str">
        <f t="shared" si="0"/>
        <v>Public Lighting All Night</v>
      </c>
      <c r="AF6" s="43" t="str">
        <f t="shared" si="0"/>
        <v>Public Lighting Urban Fixed</v>
      </c>
      <c r="AG6" s="43" t="str">
        <f t="shared" si="0"/>
        <v>Municflex</v>
      </c>
      <c r="AH6" s="43" t="str">
        <f t="shared" si="0"/>
        <v>Municrate 1</v>
      </c>
      <c r="AI6" s="43" t="str">
        <f t="shared" si="0"/>
        <v>Municrate 2</v>
      </c>
      <c r="AJ6" s="43" t="str">
        <f t="shared" si="0"/>
        <v>Municrate 3</v>
      </c>
      <c r="AK6" s="43" t="str">
        <f t="shared" si="0"/>
        <v>Municrate 4</v>
      </c>
      <c r="AL6" s="43" t="str">
        <f t="shared" si="0"/>
        <v>Homeflex 1</v>
      </c>
      <c r="AM6" s="43" t="str">
        <f t="shared" si="0"/>
        <v>Homeflex 2</v>
      </c>
      <c r="AN6" s="43" t="str">
        <f t="shared" si="0"/>
        <v>Homeflex 3</v>
      </c>
      <c r="AO6" s="43" t="str">
        <f t="shared" si="0"/>
        <v>Homeflex 4</v>
      </c>
      <c r="AP6" s="43" t="str">
        <f t="shared" si="0"/>
        <v>Transflex 1</v>
      </c>
      <c r="AQ6" s="43" t="str">
        <f t="shared" si="0"/>
        <v>Transflex 2</v>
      </c>
      <c r="AR6" s="43" t="str">
        <f t="shared" si="0"/>
        <v>Nightsave Large</v>
      </c>
      <c r="AT6" s="43" t="str">
        <f ca="1">Selected_Base_Tariff</f>
        <v>Miniflex</v>
      </c>
      <c r="AU6" s="43" t="str">
        <f t="shared" ref="AU6:BL6" si="1">F6</f>
        <v>Businessrate 1</v>
      </c>
      <c r="AV6" s="43" t="str">
        <f t="shared" si="1"/>
        <v>Businessrate 2</v>
      </c>
      <c r="AW6" s="43" t="str">
        <f t="shared" si="1"/>
        <v>Businessrate 3</v>
      </c>
      <c r="AX6" s="43" t="str">
        <f t="shared" si="1"/>
        <v>Businessrate 4</v>
      </c>
      <c r="AY6" s="43" t="str">
        <f t="shared" si="1"/>
        <v>Homelight 20A</v>
      </c>
      <c r="AZ6" s="43" t="str">
        <f t="shared" si="1"/>
        <v>Homelight 60A</v>
      </c>
      <c r="BA6" s="43" t="str">
        <f t="shared" si="1"/>
        <v>Homepower 1</v>
      </c>
      <c r="BB6" s="43" t="str">
        <f t="shared" si="1"/>
        <v>Homepower 2</v>
      </c>
      <c r="BC6" s="43" t="str">
        <f t="shared" si="1"/>
        <v>Homepower 3</v>
      </c>
      <c r="BD6" s="43" t="str">
        <f t="shared" si="1"/>
        <v>Homepower 4</v>
      </c>
      <c r="BE6" s="43" t="str">
        <f t="shared" si="1"/>
        <v>Homepower Bulk</v>
      </c>
      <c r="BF6" s="43" t="str">
        <f t="shared" si="1"/>
        <v>Landrate 1</v>
      </c>
      <c r="BG6" s="43" t="str">
        <f t="shared" si="1"/>
        <v>Landrate 2</v>
      </c>
      <c r="BH6" s="43" t="str">
        <f t="shared" si="1"/>
        <v>Landrate 3</v>
      </c>
      <c r="BI6" s="43" t="str">
        <f t="shared" si="1"/>
        <v>Landrate 4</v>
      </c>
      <c r="BJ6" s="43" t="str">
        <f t="shared" si="1"/>
        <v>Landrate Dx</v>
      </c>
      <c r="BK6" s="43" t="str">
        <f t="shared" si="1"/>
        <v>Megaflex</v>
      </c>
      <c r="BL6" s="43" t="str">
        <f t="shared" si="1"/>
        <v>Miniflex</v>
      </c>
      <c r="BM6" s="43" t="s">
        <v>624</v>
      </c>
      <c r="BN6" s="43" t="str">
        <f t="shared" ref="BN6:CF6" si="2">Y6</f>
        <v>Nightsave Rural</v>
      </c>
      <c r="BO6" s="43" t="str">
        <f t="shared" si="2"/>
        <v>Nightsave Small</v>
      </c>
      <c r="BP6" s="43" t="str">
        <f t="shared" si="2"/>
        <v>Ruraflex</v>
      </c>
      <c r="BQ6" s="43" t="str">
        <f t="shared" si="2"/>
        <v>Landlight 20A</v>
      </c>
      <c r="BR6" s="43" t="str">
        <f t="shared" si="2"/>
        <v>Landlight 60A</v>
      </c>
      <c r="BS6" s="43" t="str">
        <f t="shared" si="2"/>
        <v>Public Lighting 24 Hours</v>
      </c>
      <c r="BT6" s="43" t="str">
        <f t="shared" si="2"/>
        <v>Public Lighting All Night</v>
      </c>
      <c r="BU6" s="43" t="str">
        <f t="shared" si="2"/>
        <v>Public Lighting Urban Fixed</v>
      </c>
      <c r="BV6" s="43" t="str">
        <f t="shared" si="2"/>
        <v>Municflex</v>
      </c>
      <c r="BW6" s="43" t="str">
        <f t="shared" si="2"/>
        <v>Municrate 1</v>
      </c>
      <c r="BX6" s="43" t="str">
        <f t="shared" si="2"/>
        <v>Municrate 2</v>
      </c>
      <c r="BY6" s="43" t="str">
        <f t="shared" si="2"/>
        <v>Municrate 3</v>
      </c>
      <c r="BZ6" s="43" t="str">
        <f t="shared" si="2"/>
        <v>Municrate 4</v>
      </c>
      <c r="CA6" s="43" t="str">
        <f t="shared" si="2"/>
        <v>Homeflex 1</v>
      </c>
      <c r="CB6" s="43" t="str">
        <f t="shared" si="2"/>
        <v>Homeflex 2</v>
      </c>
      <c r="CC6" s="43" t="str">
        <f t="shared" si="2"/>
        <v>Homeflex 3</v>
      </c>
      <c r="CD6" s="43" t="str">
        <f t="shared" si="2"/>
        <v>Homeflex 4</v>
      </c>
      <c r="CE6" s="43" t="str">
        <f t="shared" si="2"/>
        <v>Transflex 1</v>
      </c>
      <c r="CF6" s="43" t="str">
        <f t="shared" si="2"/>
        <v>Transflex 2</v>
      </c>
    </row>
    <row r="7" spans="2:84">
      <c r="F7">
        <v>1</v>
      </c>
      <c r="G7">
        <f>F7+1</f>
        <v>2</v>
      </c>
      <c r="H7">
        <f t="shared" ref="H7:W7" si="3">G7+1</f>
        <v>3</v>
      </c>
      <c r="I7">
        <f t="shared" si="3"/>
        <v>4</v>
      </c>
      <c r="J7">
        <f t="shared" si="3"/>
        <v>5</v>
      </c>
      <c r="K7">
        <f t="shared" si="3"/>
        <v>6</v>
      </c>
      <c r="L7">
        <f t="shared" si="3"/>
        <v>7</v>
      </c>
      <c r="M7">
        <f t="shared" si="3"/>
        <v>8</v>
      </c>
      <c r="N7">
        <f t="shared" si="3"/>
        <v>9</v>
      </c>
      <c r="O7">
        <f t="shared" si="3"/>
        <v>10</v>
      </c>
      <c r="P7">
        <f t="shared" si="3"/>
        <v>11</v>
      </c>
      <c r="Q7">
        <f t="shared" si="3"/>
        <v>12</v>
      </c>
      <c r="R7">
        <f t="shared" si="3"/>
        <v>13</v>
      </c>
      <c r="S7">
        <f t="shared" si="3"/>
        <v>14</v>
      </c>
      <c r="T7">
        <f t="shared" si="3"/>
        <v>15</v>
      </c>
      <c r="U7">
        <f t="shared" si="3"/>
        <v>16</v>
      </c>
      <c r="V7">
        <f>U7+1</f>
        <v>17</v>
      </c>
      <c r="W7">
        <f t="shared" si="3"/>
        <v>18</v>
      </c>
      <c r="X7">
        <f t="shared" ref="X7:AR7" si="4">W7+1</f>
        <v>19</v>
      </c>
      <c r="Y7">
        <f t="shared" si="4"/>
        <v>20</v>
      </c>
      <c r="Z7">
        <f t="shared" si="4"/>
        <v>21</v>
      </c>
      <c r="AA7">
        <f t="shared" si="4"/>
        <v>22</v>
      </c>
      <c r="AB7">
        <f t="shared" si="4"/>
        <v>23</v>
      </c>
      <c r="AC7">
        <f t="shared" si="4"/>
        <v>24</v>
      </c>
      <c r="AD7">
        <f t="shared" si="4"/>
        <v>25</v>
      </c>
      <c r="AE7">
        <f t="shared" si="4"/>
        <v>26</v>
      </c>
      <c r="AF7">
        <f t="shared" si="4"/>
        <v>27</v>
      </c>
      <c r="AG7">
        <f t="shared" si="4"/>
        <v>28</v>
      </c>
      <c r="AH7">
        <f t="shared" si="4"/>
        <v>29</v>
      </c>
      <c r="AI7">
        <f t="shared" si="4"/>
        <v>30</v>
      </c>
      <c r="AJ7">
        <f t="shared" si="4"/>
        <v>31</v>
      </c>
      <c r="AK7">
        <f t="shared" si="4"/>
        <v>32</v>
      </c>
      <c r="AL7">
        <f t="shared" si="4"/>
        <v>33</v>
      </c>
      <c r="AM7">
        <f t="shared" si="4"/>
        <v>34</v>
      </c>
      <c r="AN7">
        <f t="shared" si="4"/>
        <v>35</v>
      </c>
      <c r="AO7">
        <f t="shared" si="4"/>
        <v>36</v>
      </c>
      <c r="AP7">
        <f t="shared" si="4"/>
        <v>37</v>
      </c>
      <c r="AQ7">
        <f t="shared" si="4"/>
        <v>38</v>
      </c>
      <c r="AR7">
        <f t="shared" si="4"/>
        <v>39</v>
      </c>
      <c r="BV7">
        <f t="shared" ref="BV7:CF7" si="5">AF7+1</f>
        <v>28</v>
      </c>
      <c r="BW7">
        <f t="shared" si="5"/>
        <v>29</v>
      </c>
      <c r="BX7">
        <f t="shared" si="5"/>
        <v>30</v>
      </c>
      <c r="BY7">
        <f t="shared" si="5"/>
        <v>31</v>
      </c>
      <c r="BZ7">
        <f t="shared" si="5"/>
        <v>32</v>
      </c>
      <c r="CA7">
        <f t="shared" si="5"/>
        <v>33</v>
      </c>
      <c r="CB7">
        <f t="shared" si="5"/>
        <v>34</v>
      </c>
      <c r="CC7">
        <f t="shared" si="5"/>
        <v>35</v>
      </c>
      <c r="CD7">
        <f t="shared" si="5"/>
        <v>36</v>
      </c>
      <c r="CE7">
        <f t="shared" si="5"/>
        <v>37</v>
      </c>
      <c r="CF7">
        <f t="shared" si="5"/>
        <v>38</v>
      </c>
    </row>
    <row r="8" spans="2:84" s="77" customFormat="1" ht="40.049999999999997" customHeight="1">
      <c r="B8" s="115" t="s">
        <v>101</v>
      </c>
      <c r="C8" s="115"/>
      <c r="D8" s="116" t="s">
        <v>110</v>
      </c>
      <c r="E8" s="116" t="str">
        <f t="shared" ref="E8:AR8" si="6">Current_Period&amp;" Rates"</f>
        <v>2025/26 Rates</v>
      </c>
      <c r="F8" s="116" t="str">
        <f t="shared" si="6"/>
        <v>2025/26 Rates</v>
      </c>
      <c r="G8" s="116" t="str">
        <f t="shared" si="6"/>
        <v>2025/26 Rates</v>
      </c>
      <c r="H8" s="116" t="str">
        <f t="shared" si="6"/>
        <v>2025/26 Rates</v>
      </c>
      <c r="I8" s="116" t="str">
        <f t="shared" si="6"/>
        <v>2025/26 Rates</v>
      </c>
      <c r="J8" s="116" t="str">
        <f t="shared" si="6"/>
        <v>2025/26 Rates</v>
      </c>
      <c r="K8" s="116" t="str">
        <f t="shared" si="6"/>
        <v>2025/26 Rates</v>
      </c>
      <c r="L8" s="116" t="str">
        <f t="shared" si="6"/>
        <v>2025/26 Rates</v>
      </c>
      <c r="M8" s="116" t="str">
        <f t="shared" si="6"/>
        <v>2025/26 Rates</v>
      </c>
      <c r="N8" s="116" t="str">
        <f t="shared" si="6"/>
        <v>2025/26 Rates</v>
      </c>
      <c r="O8" s="116" t="str">
        <f t="shared" si="6"/>
        <v>2025/26 Rates</v>
      </c>
      <c r="P8" s="116" t="str">
        <f t="shared" si="6"/>
        <v>2025/26 Rates</v>
      </c>
      <c r="Q8" s="116" t="str">
        <f t="shared" si="6"/>
        <v>2025/26 Rates</v>
      </c>
      <c r="R8" s="116" t="str">
        <f t="shared" si="6"/>
        <v>2025/26 Rates</v>
      </c>
      <c r="S8" s="116" t="str">
        <f t="shared" si="6"/>
        <v>2025/26 Rates</v>
      </c>
      <c r="T8" s="116" t="str">
        <f t="shared" si="6"/>
        <v>2025/26 Rates</v>
      </c>
      <c r="U8" s="116" t="str">
        <f t="shared" si="6"/>
        <v>2025/26 Rates</v>
      </c>
      <c r="V8" s="116" t="str">
        <f t="shared" si="6"/>
        <v>2025/26 Rates</v>
      </c>
      <c r="W8" s="116" t="str">
        <f t="shared" si="6"/>
        <v>2025/26 Rates</v>
      </c>
      <c r="X8" s="116" t="str">
        <f t="shared" si="6"/>
        <v>2025/26 Rates</v>
      </c>
      <c r="Y8" s="116" t="str">
        <f t="shared" si="6"/>
        <v>2025/26 Rates</v>
      </c>
      <c r="Z8" s="116" t="str">
        <f t="shared" si="6"/>
        <v>2025/26 Rates</v>
      </c>
      <c r="AA8" s="116" t="str">
        <f t="shared" si="6"/>
        <v>2025/26 Rates</v>
      </c>
      <c r="AB8" s="116" t="str">
        <f t="shared" si="6"/>
        <v>2025/26 Rates</v>
      </c>
      <c r="AC8" s="116" t="str">
        <f t="shared" si="6"/>
        <v>2025/26 Rates</v>
      </c>
      <c r="AD8" s="116" t="str">
        <f t="shared" si="6"/>
        <v>2025/26 Rates</v>
      </c>
      <c r="AE8" s="116" t="str">
        <f t="shared" si="6"/>
        <v>2025/26 Rates</v>
      </c>
      <c r="AF8" s="116" t="str">
        <f t="shared" si="6"/>
        <v>2025/26 Rates</v>
      </c>
      <c r="AG8" s="116" t="str">
        <f t="shared" si="6"/>
        <v>2025/26 Rates</v>
      </c>
      <c r="AH8" s="116" t="str">
        <f t="shared" si="6"/>
        <v>2025/26 Rates</v>
      </c>
      <c r="AI8" s="116" t="str">
        <f t="shared" si="6"/>
        <v>2025/26 Rates</v>
      </c>
      <c r="AJ8" s="116" t="str">
        <f t="shared" si="6"/>
        <v>2025/26 Rates</v>
      </c>
      <c r="AK8" s="116" t="str">
        <f t="shared" si="6"/>
        <v>2025/26 Rates</v>
      </c>
      <c r="AL8" s="116" t="str">
        <f t="shared" si="6"/>
        <v>2025/26 Rates</v>
      </c>
      <c r="AM8" s="116" t="str">
        <f t="shared" si="6"/>
        <v>2025/26 Rates</v>
      </c>
      <c r="AN8" s="116" t="str">
        <f t="shared" si="6"/>
        <v>2025/26 Rates</v>
      </c>
      <c r="AO8" s="116" t="str">
        <f t="shared" si="6"/>
        <v>2025/26 Rates</v>
      </c>
      <c r="AP8" s="116" t="str">
        <f t="shared" si="6"/>
        <v>2025/26 Rates</v>
      </c>
      <c r="AQ8" s="116" t="str">
        <f t="shared" si="6"/>
        <v>2025/26 Rates</v>
      </c>
      <c r="AR8" s="116" t="str">
        <f t="shared" si="6"/>
        <v>2025/26 Rates</v>
      </c>
      <c r="AT8" s="116" t="str">
        <f>New_Period&amp;" Rates"</f>
        <v>2026/27 Rates</v>
      </c>
      <c r="AU8" s="116" t="str">
        <f>AT8</f>
        <v>2026/27 Rates</v>
      </c>
      <c r="AV8" s="116" t="str">
        <f t="shared" ref="AV8:BP8" si="7">AU8</f>
        <v>2026/27 Rates</v>
      </c>
      <c r="AW8" s="116" t="str">
        <f t="shared" si="7"/>
        <v>2026/27 Rates</v>
      </c>
      <c r="AX8" s="116" t="str">
        <f t="shared" si="7"/>
        <v>2026/27 Rates</v>
      </c>
      <c r="AY8" s="116" t="str">
        <f t="shared" si="7"/>
        <v>2026/27 Rates</v>
      </c>
      <c r="AZ8" s="116" t="str">
        <f t="shared" si="7"/>
        <v>2026/27 Rates</v>
      </c>
      <c r="BA8" s="116" t="str">
        <f t="shared" si="7"/>
        <v>2026/27 Rates</v>
      </c>
      <c r="BB8" s="116" t="str">
        <f t="shared" si="7"/>
        <v>2026/27 Rates</v>
      </c>
      <c r="BC8" s="116" t="str">
        <f t="shared" si="7"/>
        <v>2026/27 Rates</v>
      </c>
      <c r="BD8" s="116" t="str">
        <f t="shared" si="7"/>
        <v>2026/27 Rates</v>
      </c>
      <c r="BE8" s="116" t="str">
        <f t="shared" si="7"/>
        <v>2026/27 Rates</v>
      </c>
      <c r="BF8" s="116" t="str">
        <f t="shared" si="7"/>
        <v>2026/27 Rates</v>
      </c>
      <c r="BG8" s="116" t="str">
        <f t="shared" si="7"/>
        <v>2026/27 Rates</v>
      </c>
      <c r="BH8" s="116" t="str">
        <f t="shared" si="7"/>
        <v>2026/27 Rates</v>
      </c>
      <c r="BI8" s="116" t="str">
        <f t="shared" si="7"/>
        <v>2026/27 Rates</v>
      </c>
      <c r="BJ8" s="116" t="str">
        <f t="shared" si="7"/>
        <v>2026/27 Rates</v>
      </c>
      <c r="BK8" s="116" t="str">
        <f t="shared" si="7"/>
        <v>2026/27 Rates</v>
      </c>
      <c r="BL8" s="116" t="str">
        <f t="shared" si="7"/>
        <v>2026/27 Rates</v>
      </c>
      <c r="BM8" s="116" t="str">
        <f t="shared" si="7"/>
        <v>2026/27 Rates</v>
      </c>
      <c r="BN8" s="116" t="str">
        <f t="shared" si="7"/>
        <v>2026/27 Rates</v>
      </c>
      <c r="BO8" s="116" t="str">
        <f t="shared" si="7"/>
        <v>2026/27 Rates</v>
      </c>
      <c r="BP8" s="116" t="str">
        <f t="shared" si="7"/>
        <v>2026/27 Rates</v>
      </c>
      <c r="BQ8" s="116" t="str">
        <f t="shared" ref="BQ8:CF8" si="8">BP8</f>
        <v>2026/27 Rates</v>
      </c>
      <c r="BR8" s="116" t="str">
        <f t="shared" si="8"/>
        <v>2026/27 Rates</v>
      </c>
      <c r="BS8" s="116" t="str">
        <f t="shared" si="8"/>
        <v>2026/27 Rates</v>
      </c>
      <c r="BT8" s="116" t="str">
        <f t="shared" si="8"/>
        <v>2026/27 Rates</v>
      </c>
      <c r="BU8" s="116" t="str">
        <f t="shared" si="8"/>
        <v>2026/27 Rates</v>
      </c>
      <c r="BV8" s="116" t="str">
        <f t="shared" si="8"/>
        <v>2026/27 Rates</v>
      </c>
      <c r="BW8" s="116" t="str">
        <f t="shared" si="8"/>
        <v>2026/27 Rates</v>
      </c>
      <c r="BX8" s="116" t="str">
        <f t="shared" si="8"/>
        <v>2026/27 Rates</v>
      </c>
      <c r="BY8" s="116" t="str">
        <f t="shared" si="8"/>
        <v>2026/27 Rates</v>
      </c>
      <c r="BZ8" s="116" t="str">
        <f t="shared" si="8"/>
        <v>2026/27 Rates</v>
      </c>
      <c r="CA8" s="116" t="str">
        <f t="shared" si="8"/>
        <v>2026/27 Rates</v>
      </c>
      <c r="CB8" s="116" t="str">
        <f t="shared" si="8"/>
        <v>2026/27 Rates</v>
      </c>
      <c r="CC8" s="116" t="str">
        <f t="shared" si="8"/>
        <v>2026/27 Rates</v>
      </c>
      <c r="CD8" s="116" t="str">
        <f t="shared" si="8"/>
        <v>2026/27 Rates</v>
      </c>
      <c r="CE8" s="116" t="str">
        <f t="shared" si="8"/>
        <v>2026/27 Rates</v>
      </c>
      <c r="CF8" s="116" t="str">
        <f t="shared" si="8"/>
        <v>2026/27 Rates</v>
      </c>
    </row>
    <row r="9" spans="2:84" s="77" customFormat="1" ht="4.05" customHeight="1"/>
    <row r="10" spans="2:84" s="134" customFormat="1" ht="13.8">
      <c r="C10" s="134" t="s">
        <v>98</v>
      </c>
      <c r="D10" s="135" t="s">
        <v>115</v>
      </c>
      <c r="E10" s="136" t="str">
        <f ca="1">INDEX(F10:AR10,0,$F$2)</f>
        <v>n/a</v>
      </c>
      <c r="F10" s="137" t="str">
        <f ca="1">IF(F$68=1,INDEX(Rates_Energy_Current[Transmission Network Charges],MATCH(F$62,Rates_Energy_Current[Code],0)),"n/a")</f>
        <v>n/a</v>
      </c>
      <c r="G10" s="137" t="str">
        <f ca="1">IF(G$68=1,INDEX(Rates_Energy_Current[Transmission Network Charges],MATCH(G$62,Rates_Energy_Current[Code],0)),"n/a")</f>
        <v>n/a</v>
      </c>
      <c r="H10" s="137" t="str">
        <f ca="1">IF(H$68=1,INDEX(Rates_Energy_Current[Transmission Network Charges],MATCH(H$62,Rates_Energy_Current[Code],0)),"n/a")</f>
        <v>n/a</v>
      </c>
      <c r="I10" s="137" t="str">
        <f ca="1">IF(I$68=1,INDEX(Rates_Energy_Current[Transmission Network Charges],MATCH(I$62,Rates_Energy_Current[Code],0)),"n/a")</f>
        <v>n/a</v>
      </c>
      <c r="J10" s="137" t="str">
        <f ca="1">IF(J$68=1,INDEX(Rates_Energy_Current[Transmission Network Charges],MATCH(J$62,Rates_Energy_Current[Code],0)),"n/a")</f>
        <v>n/a</v>
      </c>
      <c r="K10" s="137" t="str">
        <f ca="1">IF(K$68=1,INDEX(Rates_Energy_Current[Transmission Network Charges],MATCH(K$62,Rates_Energy_Current[Code],0)),"n/a")</f>
        <v>n/a</v>
      </c>
      <c r="L10" s="137" t="str">
        <f ca="1">IF(L$68=1,INDEX(Rates_Energy_Current[Transmission Network Charges],MATCH(L$62,Rates_Energy_Current[Code],0)),"n/a")</f>
        <v>n/a</v>
      </c>
      <c r="M10" s="137" t="str">
        <f ca="1">IF(M$68=1,INDEX(Rates_Energy_Current[Transmission Network Charges],MATCH(M$62,Rates_Energy_Current[Code],0)),"n/a")</f>
        <v>n/a</v>
      </c>
      <c r="N10" s="137" t="str">
        <f ca="1">IF(N$68=1,INDEX(Rates_Energy_Current[Transmission Network Charges],MATCH(N$62,Rates_Energy_Current[Code],0)),"n/a")</f>
        <v>n/a</v>
      </c>
      <c r="O10" s="137" t="str">
        <f ca="1">IF(O$68=1,INDEX(Rates_Energy_Current[Transmission Network Charges],MATCH(O$62,Rates_Energy_Current[Code],0)),"n/a")</f>
        <v>n/a</v>
      </c>
      <c r="P10" s="137" t="str">
        <f ca="1">IF(P$68=1,INDEX(Rates_Energy_Current[Transmission Network Charges],MATCH(P$62,Rates_Energy_Current[Code],0)),"n/a")</f>
        <v>n/a</v>
      </c>
      <c r="Q10" s="137" t="str">
        <f ca="1">IF(Q$68=1,INDEX(Rates_Energy_Current[Transmission Network Charges],MATCH(Q$62,Rates_Energy_Current[Code],0)),"n/a")</f>
        <v>n/a</v>
      </c>
      <c r="R10" s="137" t="str">
        <f ca="1">IF(R$68=1,INDEX(Rates_Energy_Current[Transmission Network Charges],MATCH(R$62,Rates_Energy_Current[Code],0)),"n/a")</f>
        <v>n/a</v>
      </c>
      <c r="S10" s="137" t="str">
        <f ca="1">IF(S$68=1,INDEX(Rates_Energy_Current[Transmission Network Charges],MATCH(S$62,Rates_Energy_Current[Code],0)),"n/a")</f>
        <v>n/a</v>
      </c>
      <c r="T10" s="137" t="str">
        <f ca="1">IF(T$68=1,INDEX(Rates_Energy_Current[Transmission Network Charges],MATCH(T$62,Rates_Energy_Current[Code],0)),"n/a")</f>
        <v>n/a</v>
      </c>
      <c r="U10" s="137" t="str">
        <f ca="1">IF(U$68=1,INDEX(Rates_Energy_Current[Transmission Network Charges],MATCH(U$62,Rates_Energy_Current[Code],0)),"n/a")</f>
        <v>n/a</v>
      </c>
      <c r="V10" s="137">
        <f ca="1">IF(V$68=1,INDEX(Rates_Energy_Current[Transmission Network Charges],MATCH(V$62,Rates_Energy_Current[Code],0)),"n/a")</f>
        <v>10.63</v>
      </c>
      <c r="W10" s="137" t="str">
        <f ca="1">IF(W$68=1,INDEX(Rates_Energy_Current[Transmission Network Charges],MATCH(W$62,Rates_Energy_Current[Code],0)),"n/a")</f>
        <v>n/a</v>
      </c>
      <c r="X10" s="137">
        <f ca="1">IF(X$68=1,INDEX(Rates_Energy_Current[Transmission Network Charges],MATCH(X$62,Rates_Energy_Current[Code],0)),"n/a")</f>
        <v>10.63</v>
      </c>
      <c r="Y10" s="137" t="str">
        <f ca="1">IF(Y$68=1,INDEX(Rates_Energy_Current[Transmission Network Charges],MATCH(Y$62,Rates_Energy_Current[Code],0)),"n/a")</f>
        <v>n/a</v>
      </c>
      <c r="Z10" s="137">
        <f ca="1">IF(Z$68=1,INDEX(Rates_Energy_Current[Transmission Network Charges],MATCH(Z$62,Rates_Energy_Current[Code],0)),"n/a")</f>
        <v>10.63</v>
      </c>
      <c r="AA10" s="137" t="str">
        <f ca="1">IF(AA$68=1,INDEX(Rates_Energy_Current[Transmission Network Charges],MATCH(AA$62,Rates_Energy_Current[Code],0)),"n/a")</f>
        <v>n/a</v>
      </c>
      <c r="AB10" s="137" t="str">
        <f ca="1">IF(AB$68=1,INDEX(Rates_Energy_Current[Transmission Network Charges],MATCH(AB$62,Rates_Energy_Current[Code],0)),"n/a")</f>
        <v>n/a</v>
      </c>
      <c r="AC10" s="137" t="str">
        <f ca="1">IF(AC$68=1,INDEX(Rates_Energy_Current[Transmission Network Charges],MATCH(AC$62,Rates_Energy_Current[Code],0)),"n/a")</f>
        <v>n/a</v>
      </c>
      <c r="AD10" s="137" t="str">
        <f ca="1">IF(AD$68=1,INDEX(Rates_Energy_Current[Transmission Network Charges],MATCH(AD$62,Rates_Energy_Current[Code],0)),"n/a")</f>
        <v>n/a</v>
      </c>
      <c r="AE10" s="137" t="str">
        <f ca="1">IF(AE$68=1,INDEX(Rates_Energy_Current[Transmission Network Charges],MATCH(AE$62,Rates_Energy_Current[Code],0)),"n/a")</f>
        <v>n/a</v>
      </c>
      <c r="AF10" s="137" t="str">
        <f ca="1">IF(AF$68=1,INDEX(Rates_Energy_Current[Transmission Network Charges],MATCH(AF$62,Rates_Energy_Current[Code],0)),"n/a")</f>
        <v>n/a</v>
      </c>
      <c r="AG10" s="137" t="e">
        <f ca="1">IF(AG$68=1,INDEX(Rates_Energy_Current[Transmission Network Charges],MATCH(AG$62,Rates_Energy_Current[Code],0)),"n/a")</f>
        <v>#N/A</v>
      </c>
      <c r="AH10" s="137" t="str">
        <f ca="1">IF(AH$68=1,INDEX(Rates_Energy_Current[Transmission Network Charges],MATCH(AH$62,Rates_Energy_Current[Code],0)),"n/a")</f>
        <v>n/a</v>
      </c>
      <c r="AI10" s="137" t="str">
        <f ca="1">IF(AI$68=1,INDEX(Rates_Energy_Current[Transmission Network Charges],MATCH(AI$62,Rates_Energy_Current[Code],0)),"n/a")</f>
        <v>n/a</v>
      </c>
      <c r="AJ10" s="137" t="str">
        <f ca="1">IF(AJ$68=1,INDEX(Rates_Energy_Current[Transmission Network Charges],MATCH(AJ$62,Rates_Energy_Current[Code],0)),"n/a")</f>
        <v>n/a</v>
      </c>
      <c r="AK10" s="137" t="str">
        <f ca="1">IF(AK$68=1,INDEX(Rates_Energy_Current[Transmission Network Charges],MATCH(AK$62,Rates_Energy_Current[Code],0)),"n/a")</f>
        <v>n/a</v>
      </c>
      <c r="AL10" s="137" t="str">
        <f ca="1">IF(AL$68=1,INDEX(Rates_Energy_Current[Transmission Network Charges],MATCH(AL$62,Rates_Energy_Current[Code],0)),"n/a")</f>
        <v>n/a</v>
      </c>
      <c r="AM10" s="137" t="str">
        <f ca="1">IF(AM$68=1,INDEX(Rates_Energy_Current[Transmission Network Charges],MATCH(AM$62,Rates_Energy_Current[Code],0)),"n/a")</f>
        <v>n/a</v>
      </c>
      <c r="AN10" s="137" t="str">
        <f ca="1">IF(AN$68=1,INDEX(Rates_Energy_Current[Transmission Network Charges],MATCH(AN$62,Rates_Energy_Current[Code],0)),"n/a")</f>
        <v>n/a</v>
      </c>
      <c r="AO10" s="137" t="str">
        <f ca="1">IF(AO$68=1,INDEX(Rates_Energy_Current[Transmission Network Charges],MATCH(AO$62,Rates_Energy_Current[Code],0)),"n/a")</f>
        <v>n/a</v>
      </c>
      <c r="AP10" s="137">
        <f ca="1">IF(AP$68=1,INDEX(Rates_Energy_Current[Transmission Network Charges],MATCH(AP$62,Rates_Energy_Current[Code],0)),"n/a")</f>
        <v>0</v>
      </c>
      <c r="AQ10" s="137">
        <f ca="1">IF(AQ$68=1,INDEX(Rates_Energy_Current[Transmission Network Charges],MATCH(AQ$62,Rates_Energy_Current[Code],0)),"n/a")</f>
        <v>0</v>
      </c>
      <c r="AR10" s="137" t="str">
        <f ca="1">IF(AR$68=1,INDEX(Rates_Energy_Current[Transmission Network Charges],MATCH(AR$62,Rates_Energy_Current[Code],0)),"n/a")</f>
        <v>n/a</v>
      </c>
      <c r="AT10" s="136" t="str">
        <f t="shared" ref="AT10:AT16" ca="1" si="9">INDEX(AU10:CF10,0,Selected_Tariff_ID)</f>
        <v>n/a</v>
      </c>
      <c r="AU10" s="137" t="str">
        <f ca="1">IF(AU$68=1,INDEX(Rates_Energy_New[Transmission Network Charges],MATCH(AU$62,Rates_Energy_New[Code],0)),"n/a")</f>
        <v>n/a</v>
      </c>
      <c r="AV10" s="137" t="str">
        <f ca="1">IF(AV$68=1,INDEX(Rates_Energy_New[Transmission Network Charges],MATCH(AV$62,Rates_Energy_New[Code],0)),"n/a")</f>
        <v>n/a</v>
      </c>
      <c r="AW10" s="137" t="str">
        <f ca="1">IF(AW$68=1,INDEX(Rates_Energy_New[Transmission Network Charges],MATCH(AW$62,Rates_Energy_New[Code],0)),"n/a")</f>
        <v>n/a</v>
      </c>
      <c r="AX10" s="137" t="str">
        <f ca="1">IF(AX$68=1,INDEX(Rates_Energy_New[Transmission Network Charges],MATCH(AX$62,Rates_Energy_New[Code],0)),"n/a")</f>
        <v>n/a</v>
      </c>
      <c r="AY10" s="137" t="str">
        <f ca="1">IF(AY$68=1,INDEX(Rates_Energy_New[Transmission Network Charges],MATCH(AY$62,Rates_Energy_New[Code],0)),"n/a")</f>
        <v>n/a</v>
      </c>
      <c r="AZ10" s="137" t="str">
        <f ca="1">IF(AZ$68=1,INDEX(Rates_Energy_New[Transmission Network Charges],MATCH(AZ$62,Rates_Energy_New[Code],0)),"n/a")</f>
        <v>n/a</v>
      </c>
      <c r="BA10" s="137" t="str">
        <f ca="1">IF(BA$68=1,INDEX(Rates_Energy_New[Transmission Network Charges],MATCH(BA$62,Rates_Energy_New[Code],0)),"n/a")</f>
        <v>n/a</v>
      </c>
      <c r="BB10" s="137" t="str">
        <f ca="1">IF(BB$68=1,INDEX(Rates_Energy_New[Transmission Network Charges],MATCH(BB$62,Rates_Energy_New[Code],0)),"n/a")</f>
        <v>n/a</v>
      </c>
      <c r="BC10" s="137" t="str">
        <f ca="1">IF(BC$68=1,INDEX(Rates_Energy_New[Transmission Network Charges],MATCH(BC$62,Rates_Energy_New[Code],0)),"n/a")</f>
        <v>n/a</v>
      </c>
      <c r="BD10" s="137" t="str">
        <f ca="1">IF(BD$68=1,INDEX(Rates_Energy_New[Transmission Network Charges],MATCH(BD$62,Rates_Energy_New[Code],0)),"n/a")</f>
        <v>n/a</v>
      </c>
      <c r="BE10" s="137" t="str">
        <f ca="1">IF(BE$68=1,INDEX(Rates_Energy_New[Transmission Network Charges],MATCH(BE$62,Rates_Energy_New[Code],0)),"n/a")</f>
        <v>n/a</v>
      </c>
      <c r="BF10" s="137" t="str">
        <f ca="1">IF(BF$68=1,INDEX(Rates_Energy_New[Transmission Network Charges],MATCH(BF$62,Rates_Energy_New[Code],0)),"n/a")</f>
        <v>n/a</v>
      </c>
      <c r="BG10" s="137" t="str">
        <f ca="1">IF(BG$68=1,INDEX(Rates_Energy_New[Transmission Network Charges],MATCH(BG$62,Rates_Energy_New[Code],0)),"n/a")</f>
        <v>n/a</v>
      </c>
      <c r="BH10" s="137" t="str">
        <f ca="1">IF(BH$68=1,INDEX(Rates_Energy_New[Transmission Network Charges],MATCH(BH$62,Rates_Energy_New[Code],0)),"n/a")</f>
        <v>n/a</v>
      </c>
      <c r="BI10" s="137" t="str">
        <f ca="1">IF(BI$68=1,INDEX(Rates_Energy_New[Transmission Network Charges],MATCH(BI$62,Rates_Energy_New[Code],0)),"n/a")</f>
        <v>n/a</v>
      </c>
      <c r="BJ10" s="137" t="str">
        <f ca="1">IF(BJ$68=1,INDEX(Rates_Energy_New[Transmission Network Charges],MATCH(BJ$62,Rates_Energy_New[Code],0)),"n/a")</f>
        <v>n/a</v>
      </c>
      <c r="BK10" s="137">
        <f ca="1">IF(BK$68=1,INDEX(Rates_Energy_New[Transmission Network Charges],MATCH(BK$62,Rates_Energy_New[Code],0)),"n/a")</f>
        <v>11.56</v>
      </c>
      <c r="BL10" s="137" t="str">
        <f ca="1">IF(BL$68=1,INDEX(Rates_Energy_New[Transmission Network Charges],MATCH(BL$62,Rates_Energy_New[Code],0)),"n/a")</f>
        <v>n/a</v>
      </c>
      <c r="BM10" s="137">
        <f ca="1">IF(BM$68=1,INDEX(Rates_Energy_New[Transmission Network Charges],MATCH(BM$62,Rates_Energy_New[Code],0)),"n/a")</f>
        <v>11.56</v>
      </c>
      <c r="BN10" s="137" t="str">
        <f ca="1">IF(BN$68=1,INDEX(Rates_Energy_New[Transmission Network Charges],MATCH(BN$62,Rates_Energy_New[Code],0)),"n/a")</f>
        <v>n/a</v>
      </c>
      <c r="BO10" s="137">
        <f ca="1">IF(BO$68=1,INDEX(Rates_Energy_New[Transmission Network Charges],MATCH(BO$62,Rates_Energy_New[Code],0)),"n/a")</f>
        <v>11.56</v>
      </c>
      <c r="BP10" s="137" t="str">
        <f ca="1">IF(BP$68=1,INDEX(Rates_Energy_New[Transmission Network Charges],MATCH(BP$62,Rates_Energy_New[Code],0)),"n/a")</f>
        <v>n/a</v>
      </c>
      <c r="BQ10" s="137" t="str">
        <f ca="1">IF(BQ$68=1,INDEX(Rates_Energy_New[Transmission Network Charges],MATCH(BQ$62,Rates_Energy_New[Code],0)),"n/a")</f>
        <v>n/a</v>
      </c>
      <c r="BR10" s="137" t="str">
        <f ca="1">IF(BR$68=1,INDEX(Rates_Energy_New[Transmission Network Charges],MATCH(BR$62,Rates_Energy_New[Code],0)),"n/a")</f>
        <v>n/a</v>
      </c>
      <c r="BS10" s="137" t="str">
        <f ca="1">IF(BS$68=1,INDEX(Rates_Energy_New[Transmission Network Charges],MATCH(BS$62,Rates_Energy_New[Code],0)),"n/a")</f>
        <v>n/a</v>
      </c>
      <c r="BT10" s="137" t="str">
        <f ca="1">IF(BT$68=1,INDEX(Rates_Energy_New[Transmission Network Charges],MATCH(BT$62,Rates_Energy_New[Code],0)),"n/a")</f>
        <v>n/a</v>
      </c>
      <c r="BU10" s="137" t="str">
        <f ca="1">IF(BU$68=1,INDEX(Rates_Energy_New[Transmission Network Charges],MATCH(BU$62,Rates_Energy_New[Code],0)),"n/a")</f>
        <v>n/a</v>
      </c>
      <c r="BV10" s="137" t="str">
        <f ca="1">IF(BV$68=1,INDEX(Rates_Energy_New[Transmission Network Charges],MATCH(BV$62,Rates_Energy_New[Code],0)),"n/a")</f>
        <v>n/a</v>
      </c>
      <c r="BW10" s="137" t="str">
        <f ca="1">IF(BW$68=1,INDEX(Rates_Energy_New[Transmission Network Charges],MATCH(BW$62,Rates_Energy_New[Code],0)),"n/a")</f>
        <v>n/a</v>
      </c>
      <c r="BX10" s="137" t="str">
        <f ca="1">IF(BX$68=1,INDEX(Rates_Energy_New[Transmission Network Charges],MATCH(BX$62,Rates_Energy_New[Code],0)),"n/a")</f>
        <v>n/a</v>
      </c>
      <c r="BY10" s="137" t="str">
        <f ca="1">IF(BY$68=1,INDEX(Rates_Energy_New[Transmission Network Charges],MATCH(BY$62,Rates_Energy_New[Code],0)),"n/a")</f>
        <v>n/a</v>
      </c>
      <c r="BZ10" s="137" t="str">
        <f ca="1">IF(BZ$68=1,INDEX(Rates_Energy_New[Transmission Network Charges],MATCH(BZ$62,Rates_Energy_New[Code],0)),"n/a")</f>
        <v>n/a</v>
      </c>
      <c r="CA10" s="137" t="str">
        <f ca="1">IF(CA$68=1,INDEX(Rates_Energy_New[Transmission Network Charges],MATCH(CA$62,Rates_Energy_New[Code],0)),"n/a")</f>
        <v>n/a</v>
      </c>
      <c r="CB10" s="137" t="str">
        <f ca="1">IF(CB$68=1,INDEX(Rates_Energy_New[Transmission Network Charges],MATCH(CB$62,Rates_Energy_New[Code],0)),"n/a")</f>
        <v>n/a</v>
      </c>
      <c r="CC10" s="137" t="str">
        <f ca="1">IF(CC$68=1,INDEX(Rates_Energy_New[Transmission Network Charges],MATCH(CC$62,Rates_Energy_New[Code],0)),"n/a")</f>
        <v>n/a</v>
      </c>
      <c r="CD10" s="137" t="str">
        <f ca="1">IF(CD$68=1,INDEX(Rates_Energy_New[Transmission Network Charges],MATCH(CD$62,Rates_Energy_New[Code],0)),"n/a")</f>
        <v>n/a</v>
      </c>
      <c r="CE10" s="137">
        <f ca="1">IF(CE$68=1,INDEX(Rates_Energy_New[Transmission Network Charges],MATCH(CE$62,Rates_Energy_New[Code],0)),"n/a")</f>
        <v>0</v>
      </c>
      <c r="CF10" s="137">
        <f ca="1">IF(CF$68=1,INDEX(Rates_Energy_New[Transmission Network Charges],MATCH(CF$62,Rates_Energy_New[Code],0)),"n/a")</f>
        <v>0</v>
      </c>
    </row>
    <row r="11" spans="2:84" s="134" customFormat="1" ht="13.8">
      <c r="C11" s="134" t="s">
        <v>389</v>
      </c>
      <c r="D11" s="135" t="s">
        <v>115</v>
      </c>
      <c r="E11" s="136">
        <f t="shared" ref="E11:E16" ca="1" si="10">INDEX(F11:AR11,0,$F$2)</f>
        <v>0</v>
      </c>
      <c r="F11" s="137" t="str">
        <f ca="1">IF(F$68=1,INDEX(Rates_Distr_Network_Current[Network capacity charge R/kVA/m],MATCH(F$63,Rates_Distr_Network_Current[Code],0)),"n/a")</f>
        <v>n/a</v>
      </c>
      <c r="G11" s="137" t="str">
        <f ca="1">IF(G$68=1,INDEX(Rates_Distr_Network_Current[Network capacity charge R/kVA/m],MATCH(G$63,Rates_Distr_Network_Current[Code],0)),"n/a")</f>
        <v>n/a</v>
      </c>
      <c r="H11" s="137" t="str">
        <f ca="1">IF(H$68=1,INDEX(Rates_Distr_Network_Current[Network capacity charge R/kVA/m],MATCH(H$63,Rates_Distr_Network_Current[Code],0)),"n/a")</f>
        <v>n/a</v>
      </c>
      <c r="I11" s="137" t="str">
        <f ca="1">IF(I$68=1,INDEX(Rates_Distr_Network_Current[Network capacity charge R/kVA/m],MATCH(I$63,Rates_Distr_Network_Current[Code],0)),"n/a")</f>
        <v>n/a</v>
      </c>
      <c r="J11" s="137" t="str">
        <f ca="1">IF(J$68=1,INDEX(Rates_Distr_Network_Current[Network capacity charge R/kVA/m],MATCH(J$63,Rates_Distr_Network_Current[Code],0)),"n/a")</f>
        <v>n/a</v>
      </c>
      <c r="K11" s="137" t="str">
        <f ca="1">IF(K$68=1,INDEX(Rates_Distr_Network_Current[Network capacity charge R/kVA/m],MATCH(K$63,Rates_Distr_Network_Current[Code],0)),"n/a")</f>
        <v>n/a</v>
      </c>
      <c r="L11" s="137" t="str">
        <f ca="1">IF(L$68=1,INDEX(Rates_Distr_Network_Current[Network capacity charge R/kVA/m],MATCH(L$63,Rates_Distr_Network_Current[Code],0)),"n/a")</f>
        <v>n/a</v>
      </c>
      <c r="M11" s="137" t="str">
        <f ca="1">IF(M$68=1,INDEX(Rates_Distr_Network_Current[Network capacity charge R/kVA/m],MATCH(M$63,Rates_Distr_Network_Current[Code],0)),"n/a")</f>
        <v>n/a</v>
      </c>
      <c r="N11" s="137" t="str">
        <f ca="1">IF(N$68=1,INDEX(Rates_Distr_Network_Current[Network capacity charge R/kVA/m],MATCH(N$63,Rates_Distr_Network_Current[Code],0)),"n/a")</f>
        <v>n/a</v>
      </c>
      <c r="O11" s="137" t="str">
        <f ca="1">IF(O$68=1,INDEX(Rates_Distr_Network_Current[Network capacity charge R/kVA/m],MATCH(O$63,Rates_Distr_Network_Current[Code],0)),"n/a")</f>
        <v>n/a</v>
      </c>
      <c r="P11" s="137" t="str">
        <f ca="1">IF(P$68=1,INDEX(Rates_Distr_Network_Current[Network capacity charge R/kVA/m],MATCH(P$63,Rates_Distr_Network_Current[Code],0)),"n/a")</f>
        <v>n/a</v>
      </c>
      <c r="Q11" s="137" t="str">
        <f ca="1">IF(Q$68=1,INDEX(Rates_Distr_Network_Current[Network capacity charge R/kVA/m],MATCH(Q$63,Rates_Distr_Network_Current[Code],0)),"n/a")</f>
        <v>n/a</v>
      </c>
      <c r="R11" s="137" t="str">
        <f ca="1">IF(R$68=1,INDEX(Rates_Distr_Network_Current[Network capacity charge R/kVA/m],MATCH(R$63,Rates_Distr_Network_Current[Code],0)),"n/a")</f>
        <v>n/a</v>
      </c>
      <c r="S11" s="137" t="str">
        <f ca="1">IF(S$68=1,INDEX(Rates_Distr_Network_Current[Network capacity charge R/kVA/m],MATCH(S$63,Rates_Distr_Network_Current[Code],0)),"n/a")</f>
        <v>n/a</v>
      </c>
      <c r="T11" s="137" t="str">
        <f ca="1">IF(T$68=1,INDEX(Rates_Distr_Network_Current[Network capacity charge R/kVA/m],MATCH(T$63,Rates_Distr_Network_Current[Code],0)),"n/a")</f>
        <v>n/a</v>
      </c>
      <c r="U11" s="137" t="str">
        <f ca="1">IF(U$68=1,INDEX(Rates_Distr_Network_Current[Network capacity charge R/kVA/m],MATCH(U$63,Rates_Distr_Network_Current[Code],0)),"n/a")</f>
        <v>n/a</v>
      </c>
      <c r="V11" s="137">
        <f ca="1">IF(V$68=1,INDEX(Rates_Distr_Network_Current[Network capacity charge R/kVA/m],MATCH(V$63,Rates_Distr_Network_Current[Code],0)),"n/a")</f>
        <v>39.22</v>
      </c>
      <c r="W11" s="137">
        <f ca="1">IF(W$68=1,INDEX(Rates_Distr_Network_Current[Network capacity charge R/kVA/m],MATCH(W$63,Rates_Distr_Network_Current[Code],0)),"n/a")</f>
        <v>0</v>
      </c>
      <c r="X11" s="137">
        <f ca="1">IF(X$68=1,INDEX(Rates_Distr_Network_Current[Network capacity charge R/kVA/m],MATCH(X$63,Rates_Distr_Network_Current[Code],0)),"n/a")</f>
        <v>39.22</v>
      </c>
      <c r="Y11" s="137">
        <f ca="1">IF(Y$68=1,INDEX(Rates_Distr_Network_Current[Network capacity charge R/kVA/m],MATCH(Y$63,Rates_Distr_Network_Current[Code],0)),"n/a")</f>
        <v>0</v>
      </c>
      <c r="Z11" s="137">
        <f ca="1">IF(Z$68=1,INDEX(Rates_Distr_Network_Current[Network capacity charge R/kVA/m],MATCH(Z$63,Rates_Distr_Network_Current[Code],0)),"n/a")</f>
        <v>39.22</v>
      </c>
      <c r="AA11" s="137">
        <f ca="1">IF(AA$68=1,INDEX(Rates_Distr_Network_Current[Network capacity charge R/kVA/m],MATCH(AA$63,Rates_Distr_Network_Current[Code],0)),"n/a")</f>
        <v>0</v>
      </c>
      <c r="AB11" s="137" t="str">
        <f ca="1">IF(AB$68=1,INDEX(Rates_Distr_Network_Current[Network capacity charge R/kVA/m],MATCH(AB$63,Rates_Distr_Network_Current[Code],0)),"n/a")</f>
        <v>n/a</v>
      </c>
      <c r="AC11" s="137" t="str">
        <f ca="1">IF(AC$68=1,INDEX(Rates_Distr_Network_Current[Network capacity charge R/kVA/m],MATCH(AC$63,Rates_Distr_Network_Current[Code],0)),"n/a")</f>
        <v>n/a</v>
      </c>
      <c r="AD11" s="137" t="str">
        <f ca="1">IF(AD$68=1,INDEX(Rates_Distr_Network_Current[Network capacity charge R/kVA/m],MATCH(AD$63,Rates_Distr_Network_Current[Code],0)),"n/a")</f>
        <v>n/a</v>
      </c>
      <c r="AE11" s="137" t="str">
        <f ca="1">IF(AE$68=1,INDEX(Rates_Distr_Network_Current[Network capacity charge R/kVA/m],MATCH(AE$63,Rates_Distr_Network_Current[Code],0)),"n/a")</f>
        <v>n/a</v>
      </c>
      <c r="AF11" s="137" t="str">
        <f ca="1">IF(AF$68=1,INDEX(Rates_Distr_Network_Current[Network capacity charge R/kVA/m],MATCH(AF$63,Rates_Distr_Network_Current[Code],0)),"n/a")</f>
        <v>n/a</v>
      </c>
      <c r="AG11" s="137" t="e">
        <f ca="1">IF(AG$68=1,INDEX(Rates_Distr_Network_Current[Network capacity charge R/kVA/m],MATCH(AG$63,Rates_Distr_Network_Current[Code],0)),"n/a")</f>
        <v>#N/A</v>
      </c>
      <c r="AH11" s="137" t="str">
        <f ca="1">IF(AH$68=1,INDEX(Rates_Distr_Network_Current[Network capacity charge R/kVA/m],MATCH(AH$63,Rates_Distr_Network_Current[Code],0)),"n/a")</f>
        <v>n/a</v>
      </c>
      <c r="AI11" s="137" t="str">
        <f ca="1">IF(AI$68=1,INDEX(Rates_Distr_Network_Current[Network capacity charge R/kVA/m],MATCH(AI$63,Rates_Distr_Network_Current[Code],0)),"n/a")</f>
        <v>n/a</v>
      </c>
      <c r="AJ11" s="137" t="str">
        <f ca="1">IF(AJ$68=1,INDEX(Rates_Distr_Network_Current[Network capacity charge R/kVA/m],MATCH(AJ$63,Rates_Distr_Network_Current[Code],0)),"n/a")</f>
        <v>n/a</v>
      </c>
      <c r="AK11" s="137" t="str">
        <f ca="1">IF(AK$68=1,INDEX(Rates_Distr_Network_Current[Network capacity charge R/kVA/m],MATCH(AK$63,Rates_Distr_Network_Current[Code],0)),"n/a")</f>
        <v>n/a</v>
      </c>
      <c r="AL11" s="137" t="str">
        <f ca="1">IF(AL$68=1,INDEX(Rates_Distr_Network_Current[Tariff Category],MATCH(AL$63,Rates_Distr_Network_Current[LV Subsidy Charge '[R/kVA/m']],0)),"n/a")</f>
        <v>n/a</v>
      </c>
      <c r="AM11" s="137" t="str">
        <f ca="1">IF(AM$68=1,INDEX(Rates_Distr_Network_Current[Transmission Zone],MATCH(AM$63,Rates_Distr_Network_Current[Tariff],0)),"n/a")</f>
        <v>n/a</v>
      </c>
      <c r="AN11" s="137" t="str">
        <f ca="1">IF(AN$68=1,INDEX(Rates_Distr_Network_Current[Supply Voltage],MATCH(AN$63,Rates_Distr_Network_Current[Tariff Category],0)),"n/a")</f>
        <v>n/a</v>
      </c>
      <c r="AO11" s="137" t="str">
        <f ca="1">IF(AO$68=1,INDEX(Rates_Distr_Network_Current[Code],MATCH(AO$63,Rates_Distr_Network_Current[Transmission Zone],0)),"n/a")</f>
        <v>n/a</v>
      </c>
      <c r="AP11" s="137">
        <f ca="1">IF(AP$68=1,INDEX(Rates_Distr_Network_Current[Network capacity charge R/kVA/m],MATCH(AP$63,Rates_Distr_Network_Current[Code],0)),"n/a")</f>
        <v>0</v>
      </c>
      <c r="AQ11" s="137">
        <f ca="1">IF(AQ$68=1,INDEX(Rates_Distr_Network_Current[Network capacity charge R/kVA/m],MATCH(AQ$63,Rates_Distr_Network_Current[Code],0)),"n/a")</f>
        <v>0</v>
      </c>
      <c r="AR11" s="137" t="str">
        <f ca="1">IF(AR$68=1,INDEX(Rates_Distr_Network_Current[Network capacity charge R/kVA/m],MATCH(AR$63,Rates_Distr_Network_Current[Code],0)),"n/a")</f>
        <v>n/a</v>
      </c>
      <c r="AT11" s="136" t="str">
        <f t="shared" ca="1" si="9"/>
        <v>n/a</v>
      </c>
      <c r="AU11" s="137" t="str">
        <f ca="1">IF(AU$68=1,INDEX(Rates_Distr_Network_New[Network capacity charge R/kVA/m],MATCH(AU$63,Rates_Distr_Network_New[Code],0)),"n/a")</f>
        <v>n/a</v>
      </c>
      <c r="AV11" s="137" t="str">
        <f ca="1">IF(AV$68=1,INDEX(Rates_Distr_Network_New[Network capacity charge R/kVA/m],MATCH(AV$63,Rates_Distr_Network_New[Code],0)),"n/a")</f>
        <v>n/a</v>
      </c>
      <c r="AW11" s="137" t="str">
        <f ca="1">IF(AW$68=1,INDEX(Rates_Distr_Network_New[Network capacity charge R/kVA/m],MATCH(AW$63,Rates_Distr_Network_New[Code],0)),"n/a")</f>
        <v>n/a</v>
      </c>
      <c r="AX11" s="137" t="str">
        <f ca="1">IF(AX$68=1,INDEX(Rates_Distr_Network_New[Network capacity charge R/kVA/m],MATCH(AX$63,Rates_Distr_Network_New[Code],0)),"n/a")</f>
        <v>n/a</v>
      </c>
      <c r="AY11" s="137" t="str">
        <f ca="1">IF(AY$68=1,INDEX(Rates_Distr_Network_New[Network capacity charge R/kVA/m],MATCH(AY$63,Rates_Distr_Network_New[Code],0)),"n/a")</f>
        <v>n/a</v>
      </c>
      <c r="AZ11" s="137" t="str">
        <f ca="1">IF(AZ$68=1,INDEX(Rates_Distr_Network_New[Network capacity charge R/kVA/m],MATCH(AZ$63,Rates_Distr_Network_New[Code],0)),"n/a")</f>
        <v>n/a</v>
      </c>
      <c r="BA11" s="137" t="str">
        <f ca="1">IF(BA$68=1,INDEX(Rates_Distr_Network_New[Network capacity charge R/kVA/m],MATCH(BA$63,Rates_Distr_Network_New[Code],0)),"n/a")</f>
        <v>n/a</v>
      </c>
      <c r="BB11" s="137" t="str">
        <f ca="1">IF(BB$68=1,INDEX(Rates_Distr_Network_New[Network capacity charge R/kVA/m],MATCH(BB$63,Rates_Distr_Network_New[Code],0)),"n/a")</f>
        <v>n/a</v>
      </c>
      <c r="BC11" s="137" t="str">
        <f ca="1">IF(BC$68=1,INDEX(Rates_Distr_Network_New[Network capacity charge R/kVA/m],MATCH(BC$63,Rates_Distr_Network_New[Code],0)),"n/a")</f>
        <v>n/a</v>
      </c>
      <c r="BD11" s="137" t="str">
        <f ca="1">IF(BD$68=1,INDEX(Rates_Distr_Network_New[Network capacity charge R/kVA/m],MATCH(BD$63,Rates_Distr_Network_New[Code],0)),"n/a")</f>
        <v>n/a</v>
      </c>
      <c r="BE11" s="137" t="str">
        <f ca="1">IF(BE$68=1,INDEX(Rates_Distr_Network_New[Network capacity charge R/kVA/m],MATCH(BE$63,Rates_Distr_Network_New[Code],0)),"n/a")</f>
        <v>n/a</v>
      </c>
      <c r="BF11" s="137" t="str">
        <f ca="1">IF(BF$68=1,INDEX(Rates_Distr_Network_New[Network capacity charge R/kVA/m],MATCH(BF$63,Rates_Distr_Network_New[Code],0)),"n/a")</f>
        <v>n/a</v>
      </c>
      <c r="BG11" s="137" t="str">
        <f ca="1">IF(BG$68=1,INDEX(Rates_Distr_Network_New[Network capacity charge R/kVA/m],MATCH(BG$63,Rates_Distr_Network_New[Code],0)),"n/a")</f>
        <v>n/a</v>
      </c>
      <c r="BH11" s="137" t="str">
        <f ca="1">IF(BH$68=1,INDEX(Rates_Distr_Network_New[Network capacity charge R/kVA/m],MATCH(BH$63,Rates_Distr_Network_New[Code],0)),"n/a")</f>
        <v>n/a</v>
      </c>
      <c r="BI11" s="137" t="str">
        <f ca="1">IF(BI$68=1,INDEX(Rates_Distr_Network_New[Network capacity charge R/kVA/m],MATCH(BI$63,Rates_Distr_Network_New[Code],0)),"n/a")</f>
        <v>n/a</v>
      </c>
      <c r="BJ11" s="137" t="str">
        <f ca="1">IF(BJ$68=1,INDEX(Rates_Distr_Network_New[Network capacity charge R/kVA/m],MATCH(BJ$63,Rates_Distr_Network_New[Code],0)),"n/a")</f>
        <v>n/a</v>
      </c>
      <c r="BK11" s="137">
        <f ca="1">IF(BK$68=1,INDEX(Rates_Distr_Network_New[Network capacity charge R/kVA/m],MATCH(BK$63,Rates_Distr_Network_New[Code],0)),"n/a")</f>
        <v>42.66</v>
      </c>
      <c r="BL11" s="137" t="str">
        <f ca="1">IF(BL$68=1,INDEX(Rates_Distr_Network_New[Network capacity charge R/kVA/m],MATCH(BL$63,Rates_Distr_Network_New[Code],0)),"n/a")</f>
        <v>n/a</v>
      </c>
      <c r="BM11" s="137">
        <f ca="1">IF(BM$68=1,INDEX(Rates_Distr_Network_New[Network capacity charge R/kVA/m],MATCH(BM$63,Rates_Distr_Network_New[Code],0)),"n/a")</f>
        <v>42.66</v>
      </c>
      <c r="BN11" s="137" t="str">
        <f ca="1">IF(BN$68=1, INDEX(Rates_Distr_Network_New[Network capacity charge R/kVA/m], MATCH(BN$63,Rates_Distr_Network_New[Code],0)),"n/a")</f>
        <v>n/a</v>
      </c>
      <c r="BO11" s="137">
        <f ca="1">IF(BO$68=1,INDEX(Rates_Distr_Network_New[Network capacity charge R/kVA/m],MATCH(BO$63,Rates_Distr_Network_New[Code],0)),"n/a")</f>
        <v>42.66</v>
      </c>
      <c r="BP11" s="137" t="str">
        <f ca="1">IF(BP$68=1,INDEX(Rates_Distr_Network_New[Network capacity charge R/kVA/m],MATCH(BP$63,Rates_Distr_Network_New[Code],0)),"n/a")</f>
        <v>n/a</v>
      </c>
      <c r="BQ11" s="137" t="str">
        <f ca="1">IF(BQ$68=1,INDEX(Rates_Distr_Network_New[Network capacity charge R/kVA/m],MATCH(BQ$63,Rates_Distr_Network_New[Code],0)),"n/a")</f>
        <v>n/a</v>
      </c>
      <c r="BR11" s="137" t="str">
        <f ca="1">IF(BR$68=1,INDEX(Rates_Distr_Network_New[Network capacity charge R/kVA/m],MATCH(BR$63,Rates_Distr_Network_New[Code],0)),"n/a")</f>
        <v>n/a</v>
      </c>
      <c r="BS11" s="137" t="str">
        <f ca="1">IF(BS$68=1,INDEX(Rates_Distr_Network_New[Network capacity charge R/kVA/m],MATCH(BS$63,Rates_Distr_Network_New[Code],0)),"n/a")</f>
        <v>n/a</v>
      </c>
      <c r="BT11" s="137" t="str">
        <f ca="1">IF(BT$68=1,INDEX(Rates_Distr_Network_New[Network capacity charge R/kVA/m],MATCH(BT$63,Rates_Distr_Network_New[Code],0)),"n/a")</f>
        <v>n/a</v>
      </c>
      <c r="BU11" s="137" t="str">
        <f ca="1">IF(BU$68=1,INDEX(Rates_Distr_Network_New[Network capacity charge R/kVA/m],MATCH(BU$63,Rates_Distr_Network_New[Code],0)),"n/a")</f>
        <v>n/a</v>
      </c>
      <c r="BV11" s="137" t="str">
        <f ca="1">IF(BV$68=1,INDEX(Rates_Distr_Network_New[Network capacity charge R/kVA/m],MATCH(BV$63,Rates_Distr_Network_New[Code],0)),"n/a")</f>
        <v>n/a</v>
      </c>
      <c r="BW11" s="137" t="str">
        <f ca="1">IF(BW$68=1,INDEX(Rates_Distr_Network_New[Network capacity charge R/kVA/m],MATCH(BW$63,Rates_Distr_Network_New[Code],0)),"n/a")</f>
        <v>n/a</v>
      </c>
      <c r="BX11" s="137" t="str">
        <f ca="1">IF(BX$68=1,INDEX(Rates_Distr_Network_New[Network capacity charge R/kVA/m],MATCH(BX$63,Rates_Distr_Network_New[Code],0)),"n/a")</f>
        <v>n/a</v>
      </c>
      <c r="BY11" s="137" t="str">
        <f ca="1">IF(BY$68=1,INDEX(Rates_Distr_Network_New[Network capacity charge R/kVA/m],MATCH(BY$63,Rates_Distr_Network_New[Code],0)),"n/a")</f>
        <v>n/a</v>
      </c>
      <c r="BZ11" s="137" t="str">
        <f ca="1">IF(BZ$68=1,INDEX(Rates_Distr_Network_New[Network capacity charge R/kVA/m],MATCH(BZ$63,Rates_Distr_Network_New[Code],0)),"n/a")</f>
        <v>n/a</v>
      </c>
      <c r="CA11" s="137" t="str">
        <f ca="1">IF(CA$68=1,INDEX(Rates_Distr_Network_New[Network capacity charge R/kVA/m],MATCH(CA$63,Rates_Distr_Network_New[Code],0)),"n/a")</f>
        <v>n/a</v>
      </c>
      <c r="CB11" s="137" t="str">
        <f ca="1">IF(CB$68=1,INDEX(Rates_Distr_Network_New[Network capacity charge R/kVA/m],MATCH(CB$63,Rates_Distr_Network_New[Code],0)),"n/a")</f>
        <v>n/a</v>
      </c>
      <c r="CC11" s="137" t="str">
        <f ca="1">IF(CC$68=1,INDEX(Rates_Distr_Network_New[Network capacity charge R/kVA/m],MATCH(CC$63,Rates_Distr_Network_New[Code],0)),"n/a")</f>
        <v>n/a</v>
      </c>
      <c r="CD11" s="137" t="str">
        <f ca="1">IF(CD$68=1,INDEX(Rates_Distr_Network_New[Network capacity charge R/kVA/m],MATCH(CD$63,Rates_Distr_Network_New[Code],0)),"n/a")</f>
        <v>n/a</v>
      </c>
      <c r="CE11" s="137">
        <f ca="1">IF(CE$68=1,INDEX(Rates_Distr_Network_New[Network capacity charge R/kVA/m],MATCH(CE$63,Rates_Distr_Network_New[Code],0)),"n/a")</f>
        <v>0</v>
      </c>
      <c r="CF11" s="137">
        <f ca="1">IF(CF$68=1,INDEX(Rates_Distr_Network_New[Network capacity charge R/kVA/m],MATCH(CF$63,Rates_Distr_Network_New[Code],0)),"n/a")</f>
        <v>0</v>
      </c>
    </row>
    <row r="12" spans="2:84" s="134" customFormat="1" ht="13.8">
      <c r="C12" s="134" t="s">
        <v>99</v>
      </c>
      <c r="D12" s="135" t="s">
        <v>115</v>
      </c>
      <c r="E12" s="136">
        <f t="shared" ca="1" si="10"/>
        <v>0</v>
      </c>
      <c r="F12" s="137" t="str">
        <f ca="1">IF(F$68=1,INDEX(Rates_Distr_Network_Current[Network demand charge R/kVA/m],MATCH(F$63,Rates_Distr_Network_Current[Code],0)),"n/a")</f>
        <v>n/a</v>
      </c>
      <c r="G12" s="137" t="str">
        <f ca="1">IF(G$68=1,INDEX(Rates_Distr_Network_Current[Network demand charge R/kVA/m],MATCH(G$63,Rates_Distr_Network_Current[Code],0)),"n/a")</f>
        <v>n/a</v>
      </c>
      <c r="H12" s="137" t="str">
        <f ca="1">IF(H$68=1,INDEX(Rates_Distr_Network_Current[Network demand charge R/kVA/m],MATCH(H$63,Rates_Distr_Network_Current[Code],0)),"n/a")</f>
        <v>n/a</v>
      </c>
      <c r="I12" s="137" t="str">
        <f ca="1">IF(I$68=1,INDEX(Rates_Distr_Network_Current[Network demand charge R/kVA/m],MATCH(I$63,Rates_Distr_Network_Current[Code],0)),"n/a")</f>
        <v>n/a</v>
      </c>
      <c r="J12" s="137" t="str">
        <f ca="1">IF(J$68=1,INDEX(Rates_Distr_Network_Current[Network demand charge R/kVA/m],MATCH(J$63,Rates_Distr_Network_Current[Code],0)),"n/a")</f>
        <v>n/a</v>
      </c>
      <c r="K12" s="137" t="str">
        <f ca="1">IF(K$68=1,INDEX(Rates_Distr_Network_Current[Network demand charge R/kVA/m],MATCH(K$63,Rates_Distr_Network_Current[Code],0)),"n/a")</f>
        <v>n/a</v>
      </c>
      <c r="L12" s="137" t="str">
        <f ca="1">IF(L$68=1,INDEX(Rates_Distr_Network_Current[Network demand charge R/kVA/m],MATCH(L$63,Rates_Distr_Network_Current[Code],0)),"n/a")</f>
        <v>n/a</v>
      </c>
      <c r="M12" s="137" t="str">
        <f ca="1">IF(M$68=1,INDEX(Rates_Distr_Network_Current[Network demand charge R/kVA/m],MATCH(M$63,Rates_Distr_Network_Current[Code],0)),"n/a")</f>
        <v>n/a</v>
      </c>
      <c r="N12" s="137" t="str">
        <f ca="1">IF(N$68=1,INDEX(Rates_Distr_Network_Current[Network demand charge R/kVA/m],MATCH(N$63,Rates_Distr_Network_Current[Code],0)),"n/a")</f>
        <v>n/a</v>
      </c>
      <c r="O12" s="137" t="str">
        <f ca="1">IF(O$68=1,INDEX(Rates_Distr_Network_Current[Network demand charge R/kVA/m],MATCH(O$63,Rates_Distr_Network_Current[Code],0)),"n/a")</f>
        <v>n/a</v>
      </c>
      <c r="P12" s="137" t="str">
        <f ca="1">IF(P$68=1,INDEX(Rates_Distr_Network_Current[Network demand charge R/kVA/m],MATCH(P$63,Rates_Distr_Network_Current[Code],0)),"n/a")</f>
        <v>n/a</v>
      </c>
      <c r="Q12" s="137" t="str">
        <f ca="1">IF(Q$68=1,INDEX(Rates_Distr_Network_Current[Network demand charge R/kVA/m],MATCH(Q$63,Rates_Distr_Network_Current[Code],0)),"n/a")</f>
        <v>n/a</v>
      </c>
      <c r="R12" s="137" t="str">
        <f ca="1">IF(R$68=1,INDEX(Rates_Distr_Network_Current[Network demand charge R/kVA/m],MATCH(R$63,Rates_Distr_Network_Current[Code],0)),"n/a")</f>
        <v>n/a</v>
      </c>
      <c r="S12" s="137" t="str">
        <f ca="1">IF(S$68=1,INDEX(Rates_Distr_Network_Current[Network demand charge R/kVA/m],MATCH(S$63,Rates_Distr_Network_Current[Code],0)),"n/a")</f>
        <v>n/a</v>
      </c>
      <c r="T12" s="137" t="str">
        <f ca="1">IF(T$68=1,INDEX(Rates_Distr_Network_Current[Network demand charge R/kVA/m],MATCH(T$63,Rates_Distr_Network_Current[Code],0)),"n/a")</f>
        <v>n/a</v>
      </c>
      <c r="U12" s="137" t="str">
        <f ca="1">IF(U$68=1,INDEX(Rates_Distr_Network_Current[Network demand charge R/kVA/m],MATCH(U$63,Rates_Distr_Network_Current[Code],0)),"n/a")</f>
        <v>n/a</v>
      </c>
      <c r="V12" s="137">
        <f ca="1">IF(V$68=1,INDEX(Rates_Distr_Network_Current[Network demand charge R/kVA/m],MATCH(V$63,Rates_Distr_Network_Current[Code],0)),"n/a")</f>
        <v>48.41</v>
      </c>
      <c r="W12" s="137">
        <f ca="1">IF(W$68=1,INDEX(Rates_Distr_Network_Current[Network demand charge R/kVA/m],MATCH(W$63,Rates_Distr_Network_Current[Code],0)),"n/a")</f>
        <v>0</v>
      </c>
      <c r="X12" s="137">
        <f ca="1">IF(X$68=1,INDEX(Rates_Distr_Network_Current[Network demand charge R/kVA/m],MATCH(X$63,Rates_Distr_Network_Current[Code],0)),"n/a")</f>
        <v>48.41</v>
      </c>
      <c r="Y12" s="137">
        <f ca="1">IF(Y$68=1,INDEX(Rates_Distr_Network_Current[Network demand charge R/kVA/m],MATCH(Y$63,Rates_Distr_Network_Current[Code],0)),"n/a")</f>
        <v>0</v>
      </c>
      <c r="Z12" s="137">
        <f ca="1">IF(Z$68=1,INDEX(Rates_Distr_Network_Current[Network demand charge R/kVA/m],MATCH(Z$63,Rates_Distr_Network_Current[Code],0)),"n/a")</f>
        <v>48.41</v>
      </c>
      <c r="AA12" s="137">
        <f ca="1">IF(AA$68=1,INDEX(Rates_Distr_Network_Current[Network demand charge R/kVA/m],MATCH(AA$63,Rates_Distr_Network_Current[Code],0)),"n/a")</f>
        <v>0</v>
      </c>
      <c r="AB12" s="137" t="str">
        <f ca="1">IF(AB$68=1,INDEX(Rates_Distr_Network_Current[Network demand charge R/kVA/m],MATCH(AB$63,Rates_Distr_Network_Current[Code],0)),"n/a")</f>
        <v>n/a</v>
      </c>
      <c r="AC12" s="137" t="str">
        <f ca="1">IF(AC$68=1,INDEX(Rates_Distr_Network_Current[Network demand charge R/kVA/m],MATCH(AC$63,Rates_Distr_Network_Current[Code],0)),"n/a")</f>
        <v>n/a</v>
      </c>
      <c r="AD12" s="137" t="str">
        <f ca="1">IF(AD$68=1,INDEX(Rates_Distr_Network_Current[Network demand charge R/kVA/m],MATCH(AD$63,Rates_Distr_Network_Current[Code],0)),"n/a")</f>
        <v>n/a</v>
      </c>
      <c r="AE12" s="137" t="str">
        <f ca="1">IF(AE$68=1,INDEX(Rates_Distr_Network_Current[Network demand charge R/kVA/m],MATCH(AE$63,Rates_Distr_Network_Current[Code],0)),"n/a")</f>
        <v>n/a</v>
      </c>
      <c r="AF12" s="137" t="str">
        <f ca="1">IF(AF$68=1,INDEX(Rates_Distr_Network_Current[Network demand charge R/kVA/m],MATCH(AF$63,Rates_Distr_Network_Current[Code],0)),"n/a")</f>
        <v>n/a</v>
      </c>
      <c r="AG12" s="137" t="e">
        <f ca="1">IF(AG$68=1,INDEX(Rates_Distr_Network_Current[Network demand charge R/kVA/m],MATCH(AG$63,Rates_Distr_Network_Current[Code],0)),"n/a")</f>
        <v>#N/A</v>
      </c>
      <c r="AH12" s="137" t="str">
        <f ca="1">IF(AH$68=1,INDEX(Rates_Distr_Network_Current[Network demand charge R/kVA/m],MATCH(AH$63,Rates_Distr_Network_Current[Code],0)),"n/a")</f>
        <v>n/a</v>
      </c>
      <c r="AI12" s="137" t="str">
        <f ca="1">IF(AI$68=1,INDEX(Rates_Distr_Network_Current[Network demand charge R/kVA/m],MATCH(AI$63,Rates_Distr_Network_Current[Code],0)),"n/a")</f>
        <v>n/a</v>
      </c>
      <c r="AJ12" s="137" t="str">
        <f ca="1">IF(AJ$68=1,INDEX(Rates_Distr_Network_Current[Network demand charge R/kVA/m],MATCH(AJ$63,Rates_Distr_Network_Current[Code],0)),"n/a")</f>
        <v>n/a</v>
      </c>
      <c r="AK12" s="137" t="str">
        <f ca="1">IF(AK$68=1,INDEX(Rates_Distr_Network_Current[Network demand charge R/kVA/m],MATCH(AK$63,Rates_Distr_Network_Current[Code],0)),"n/a")</f>
        <v>n/a</v>
      </c>
      <c r="AL12" s="137" t="str">
        <f ca="1">IF(AL$68=1,INDEX(Rates_Distr_Network_Current[Transmission Zone],MATCH(AL$63,Rates_Distr_Network_Current[LV Subsidy Charge '[R/kVA/m']],0)),"n/a")</f>
        <v>n/a</v>
      </c>
      <c r="AM12" s="137" t="str">
        <f ca="1">IF(AM$68=1,INDEX(Rates_Distr_Network_Current[Supply Voltage],MATCH(AM$63,Rates_Distr_Network_Current[Tariff],0)),"n/a")</f>
        <v>n/a</v>
      </c>
      <c r="AN12" s="137" t="str">
        <f ca="1">IF(AN$68=1,INDEX(Rates_Distr_Network_Current[Code],MATCH(AN$63,Rates_Distr_Network_Current[Tariff Category],0)),"n/a")</f>
        <v>n/a</v>
      </c>
      <c r="AO12" s="137" t="str">
        <f ca="1">IF(AO$68=1,INDEX(Rates_Distr_Network_Current[Matrix code],MATCH(AO$63,Rates_Distr_Network_Current[Transmission Zone],0)),"n/a")</f>
        <v>n/a</v>
      </c>
      <c r="AP12" s="137">
        <f ca="1">IF(AP$68=1,INDEX(Rates_Distr_Network_Current[Network demand charge R/kVA/m],MATCH(AP$63,Rates_Distr_Network_Current[Code],0)),"n/a")</f>
        <v>0</v>
      </c>
      <c r="AQ12" s="137">
        <f ca="1">IF(AQ$68=1,INDEX(Rates_Distr_Network_Current[Network demand charge R/kVA/m],MATCH(AQ$63,Rates_Distr_Network_Current[Code],0)),"n/a")</f>
        <v>0</v>
      </c>
      <c r="AR12" s="137" t="str">
        <f ca="1">IF(AR$68=1,INDEX(Rates_Distr_Network_Current[Network demand charge R/kVA/m],MATCH(AR$63,Rates_Distr_Network_Current[Code],0)),"n/a")</f>
        <v>n/a</v>
      </c>
      <c r="AT12" s="136">
        <f t="shared" ca="1" si="9"/>
        <v>0</v>
      </c>
      <c r="AU12" s="137" t="str">
        <f ca="1">IF(AU$68=1,INDEX(Rates_Distr_Network_New[Network demand charge R/kVA/m],MATCH(AU$63,Rates_Distr_Network_New[Code],0)),"n/a")</f>
        <v>n/a</v>
      </c>
      <c r="AV12" s="137" t="str">
        <f ca="1">IF(AV$68=1,INDEX(Rates_Distr_Network_New[Network demand charge R/kVA/m],MATCH(AV$63,Rates_Distr_Network_New[Code],0)),"n/a")</f>
        <v>n/a</v>
      </c>
      <c r="AW12" s="137" t="str">
        <f ca="1">IF(AW$68=1,INDEX(Rates_Distr_Network_New[Network demand charge R/kVA/m],MATCH(AW$63,Rates_Distr_Network_New[Code],0)),"n/a")</f>
        <v>n/a</v>
      </c>
      <c r="AX12" s="137" t="str">
        <f ca="1">IF(AX$68=1,INDEX(Rates_Distr_Network_New[Network demand charge R/kVA/m],MATCH(AX$63,Rates_Distr_Network_New[Code],0)),"n/a")</f>
        <v>n/a</v>
      </c>
      <c r="AY12" s="137" t="str">
        <f ca="1">IF(AY$68=1,INDEX(Rates_Distr_Network_New[Network demand charge R/kVA/m],MATCH(AY$63,Rates_Distr_Network_New[Code],0)),"n/a")</f>
        <v>n/a</v>
      </c>
      <c r="AZ12" s="137" t="str">
        <f ca="1">IF(AZ$68=1,INDEX(Rates_Distr_Network_New[Network demand charge R/kVA/m],MATCH(AZ$63,Rates_Distr_Network_New[Code],0)),"n/a")</f>
        <v>n/a</v>
      </c>
      <c r="BA12" s="137" t="str">
        <f ca="1">IF(BA$68=1,INDEX(Rates_Distr_Network_New[Network demand charge R/kVA/m],MATCH(BA$63,Rates_Distr_Network_New[Code],0)),"n/a")</f>
        <v>n/a</v>
      </c>
      <c r="BB12" s="137" t="str">
        <f ca="1">IF(BB$68=1,INDEX(Rates_Distr_Network_New[Network demand charge R/kVA/m],MATCH(BB$63,Rates_Distr_Network_New[Code],0)),"n/a")</f>
        <v>n/a</v>
      </c>
      <c r="BC12" s="137" t="str">
        <f ca="1">IF(BC$68=1,INDEX(Rates_Distr_Network_New[Network demand charge R/kVA/m],MATCH(BC$63,Rates_Distr_Network_New[Code],0)),"n/a")</f>
        <v>n/a</v>
      </c>
      <c r="BD12" s="137" t="str">
        <f ca="1">IF(BD$68=1,INDEX(Rates_Distr_Network_New[Network demand charge R/kVA/m],MATCH(BD$63,Rates_Distr_Network_New[Code],0)),"n/a")</f>
        <v>n/a</v>
      </c>
      <c r="BE12" s="137" t="str">
        <f ca="1">IF(BE$68=1,INDEX(Rates_Distr_Network_New[Network demand charge R/kVA/m],MATCH(BE$63,Rates_Distr_Network_New[Code],0)),"n/a")</f>
        <v>n/a</v>
      </c>
      <c r="BF12" s="137" t="str">
        <f ca="1">IF(BF$68=1,INDEX(Rates_Distr_Network_New[Network demand charge R/kVA/m],MATCH(BF$63,Rates_Distr_Network_New[Code],0)),"n/a")</f>
        <v>n/a</v>
      </c>
      <c r="BG12" s="137" t="str">
        <f ca="1">IF(BG$68=1,INDEX(Rates_Distr_Network_New[Network demand charge R/kVA/m],MATCH(BG$63,Rates_Distr_Network_New[Code],0)),"n/a")</f>
        <v>n/a</v>
      </c>
      <c r="BH12" s="137" t="str">
        <f ca="1">IF(BH$68=1,INDEX(Rates_Distr_Network_New[Network demand charge R/kVA/m],MATCH(BH$63,Rates_Distr_Network_New[Code],0)),"n/a")</f>
        <v>n/a</v>
      </c>
      <c r="BI12" s="137" t="str">
        <f ca="1">IF(BI$68=1,INDEX(Rates_Distr_Network_New[Network demand charge R/kVA/m],MATCH(BI$63,Rates_Distr_Network_New[Code],0)),"n/a")</f>
        <v>n/a</v>
      </c>
      <c r="BJ12" s="137" t="str">
        <f ca="1">IF(BJ$68=1,INDEX(Rates_Distr_Network_New[Network demand charge R/kVA/m],MATCH(BJ$63,Rates_Distr_Network_New[Code],0)),"n/a")</f>
        <v>n/a</v>
      </c>
      <c r="BK12" s="137">
        <f ca="1">IF(BK$68=1,INDEX(Rates_Distr_Network_New[Network demand charge R/kVA/m],MATCH(BK$63,Rates_Distr_Network_New[Code],0)),"n/a")</f>
        <v>52.65</v>
      </c>
      <c r="BL12" s="137">
        <f ca="1">IF(BL$68=1,INDEX(Rates_Distr_Network_New[Network demand charge R/kVA/m],MATCH(BL$63,Rates_Distr_Network_New[Code],0)),"n/a")</f>
        <v>0</v>
      </c>
      <c r="BM12" s="137">
        <f ca="1">IF(BM$68=1,INDEX(Rates_Distr_Network_New[Network demand charge R/kVA/m],MATCH(BM$63,Rates_Distr_Network_New[Code],0)),"n/a")</f>
        <v>52.65</v>
      </c>
      <c r="BN12" s="137">
        <f ca="1">IF(BN$68=1,INDEX(Rates_Distr_Network_New[Network demand charge R/kVA/m],MATCH(BN$63,Rates_Distr_Network_New[Code],0)),"n/a")</f>
        <v>0</v>
      </c>
      <c r="BO12" s="137">
        <f ca="1">IF(BO$68=1,INDEX(Rates_Distr_Network_New[Network demand charge R/kVA/m],MATCH(BO$63,Rates_Distr_Network_New[Code],0)),"n/a")</f>
        <v>52.65</v>
      </c>
      <c r="BP12" s="137">
        <f ca="1">IF(BP$68=1,INDEX(Rates_Distr_Network_New[Network demand charge R/kVA/m],MATCH(BP$63,Rates_Distr_Network_New[Code],0)),"n/a")</f>
        <v>0</v>
      </c>
      <c r="BQ12" s="137" t="str">
        <f ca="1">IF(BQ$68=1,INDEX(Rates_Distr_Network_New[Network demand charge R/kVA/m],MATCH(BQ$63,Rates_Distr_Network_New[Code],0)),"n/a")</f>
        <v>n/a</v>
      </c>
      <c r="BR12" s="137" t="str">
        <f ca="1">IF(BR$68=1,INDEX(Rates_Distr_Network_New[Network demand charge R/kVA/m],MATCH(BR$63,Rates_Distr_Network_New[Code],0)),"n/a")</f>
        <v>n/a</v>
      </c>
      <c r="BS12" s="137" t="str">
        <f ca="1">IF(BS$68=1,INDEX(Rates_Distr_Network_New[Network demand charge R/kVA/m],MATCH(BS$63,Rates_Distr_Network_New[Code],0)),"n/a")</f>
        <v>n/a</v>
      </c>
      <c r="BT12" s="137" t="str">
        <f ca="1">IF(BT$68=1,INDEX(Rates_Distr_Network_New[Network demand charge R/kVA/m],MATCH(BT$63,Rates_Distr_Network_New[Code],0)),"n/a")</f>
        <v>n/a</v>
      </c>
      <c r="BU12" s="137" t="str">
        <f ca="1">IF(BU$68=1,INDEX(Rates_Distr_Network_New[Network demand charge R/kVA/m],MATCH(BU$63,Rates_Distr_Network_New[Code],0)),"n/a")</f>
        <v>n/a</v>
      </c>
      <c r="BV12" s="137" t="str">
        <f ca="1">IF(BV$68=1,INDEX(Rates_Distr_Network_New[Network demand charge R/kVA/m],MATCH(BV$63,Rates_Distr_Network_New[Code],0)),"n/a")</f>
        <v>n/a</v>
      </c>
      <c r="BW12" s="137" t="str">
        <f ca="1">IF(BW$68=1,INDEX(Rates_Distr_Network_New[Network demand charge R/kVA/m],MATCH(BW$63,Rates_Distr_Network_New[Code],0)),"n/a")</f>
        <v>n/a</v>
      </c>
      <c r="BX12" s="137" t="str">
        <f ca="1">IF(BX$68=1,INDEX(Rates_Distr_Network_New[Network demand charge R/kVA/m],MATCH(BX$63,Rates_Distr_Network_New[Code],0)),"n/a")</f>
        <v>n/a</v>
      </c>
      <c r="BY12" s="137" t="str">
        <f ca="1">IF(BY$68=1,INDEX(Rates_Distr_Network_New[Network demand charge R/kVA/m],MATCH(BY$63,Rates_Distr_Network_New[Code],0)),"n/a")</f>
        <v>n/a</v>
      </c>
      <c r="BZ12" s="137" t="str">
        <f ca="1">IF(BZ$68=1,INDEX(Rates_Distr_Network_New[Network demand charge R/kVA/m],MATCH(BZ$63,Rates_Distr_Network_New[Code],0)),"n/a")</f>
        <v>n/a</v>
      </c>
      <c r="CA12" s="137" t="str">
        <f ca="1">IF(CA$68=1,INDEX(Rates_Distr_Network_New[Network demand charge R/kVA/m],MATCH(CA$63,Rates_Distr_Network_New[Code],0)),"n/a")</f>
        <v>n/a</v>
      </c>
      <c r="CB12" s="137" t="str">
        <f ca="1">IF(CB$68=1,INDEX(Rates_Distr_Network_New[Network demand charge R/kVA/m],MATCH(CB$63,Rates_Distr_Network_New[Code],0)),"n/a")</f>
        <v>n/a</v>
      </c>
      <c r="CC12" s="137" t="str">
        <f ca="1">IF(CC$68=1,INDEX(Rates_Distr_Network_New[Network demand charge R/kVA/m],MATCH(CC$63,Rates_Distr_Network_New[Code],0)),"n/a")</f>
        <v>n/a</v>
      </c>
      <c r="CD12" s="137" t="str">
        <f ca="1">IF(CD$68=1,INDEX(Rates_Distr_Network_New[Network demand charge R/kVA/m],MATCH(CD$63,Rates_Distr_Network_New[Code],0)),"n/a")</f>
        <v>n/a</v>
      </c>
      <c r="CE12" s="137">
        <f ca="1">IF(CE$68=1,INDEX(Rates_Distr_Network_New[Network demand charge R/kVA/m],MATCH(CE$63,Rates_Distr_Network_New[Code],0)),"n/a")</f>
        <v>0</v>
      </c>
      <c r="CF12" s="137">
        <f ca="1">IF(CF$68=1,INDEX(Rates_Distr_Network_New[Network demand charge R/kVA/m],MATCH(CF$63,Rates_Distr_Network_New[Code],0)),"n/a")</f>
        <v>0</v>
      </c>
    </row>
    <row r="13" spans="2:84" s="77" customFormat="1" ht="13.8">
      <c r="C13" s="77" t="s">
        <v>99</v>
      </c>
      <c r="D13" s="117" t="s">
        <v>106</v>
      </c>
      <c r="E13" s="136">
        <f t="shared" ca="1" si="10"/>
        <v>29.7</v>
      </c>
      <c r="F13" s="107">
        <f ca="1">IF(F$68=1,INDEX(Rates_Distr_Network_Current[Network demand charge c/kwh],MATCH(F$63,Rates_Distr_Network_Current[Code],0)),INDEX(Rates_AllOther_Current[Network demand charge '[c/kWh']],MATCH(F$64,Rates_AllOther_Current[Code],0)))</f>
        <v>14.54</v>
      </c>
      <c r="G13" s="107">
        <f ca="1">IF(G$68=1,INDEX(Rates_Distr_Network_Current[Network demand charge c/kwh],MATCH(G$63,Rates_Distr_Network_Current[Code],0)),INDEX(Rates_AllOther_Current[Network demand charge '[c/kWh']],MATCH(G$64,Rates_AllOther_Current[Code],0)))</f>
        <v>14.54</v>
      </c>
      <c r="H13" s="107">
        <f ca="1">IF(H$68=1,INDEX(Rates_Distr_Network_Current[Network demand charge c/kwh],MATCH(H$63,Rates_Distr_Network_Current[Code],0)),INDEX(Rates_AllOther_Current[Network demand charge '[c/kWh']],MATCH(H$64,Rates_AllOther_Current[Code],0)))</f>
        <v>14.54</v>
      </c>
      <c r="I13" s="107">
        <f ca="1">IF(I$68=1,INDEX(Rates_Distr_Network_Current[Network demand charge c/kwh],MATCH(I$63,Rates_Distr_Network_Current[Code],0)),INDEX(Rates_AllOther_Current[Network demand charge '[c/kWh']],MATCH(I$64,Rates_AllOther_Current[Code],0)))</f>
        <v>14.54</v>
      </c>
      <c r="J13" s="107">
        <f ca="1">IF(J$68=1,INDEX(Rates_Distr_Network_Current[Network demand charge c/kwh],MATCH(J$63,Rates_Distr_Network_Current[Code],0)),INDEX(Rates_AllOther_Current[Network demand charge '[c/kWh']],MATCH(J$64,Rates_AllOther_Current[Code],0)))</f>
        <v>0</v>
      </c>
      <c r="K13" s="107">
        <f ca="1">IF(K$68=1,INDEX(Rates_Distr_Network_Current[Network demand charge c/kwh],MATCH(K$63,Rates_Distr_Network_Current[Code],0)),INDEX(Rates_AllOther_Current[Network demand charge '[c/kWh']],MATCH(K$64,Rates_AllOther_Current[Code],0)))</f>
        <v>0</v>
      </c>
      <c r="L13" s="107">
        <f ca="1">IF(L$68=1,INDEX(Rates_Distr_Network_Current[Network demand charge c/kwh],MATCH(L$63,Rates_Distr_Network_Current[Code],0)),INDEX(Rates_AllOther_Current[Network demand charge '[c/kWh']],MATCH(L$64,Rates_AllOther_Current[Code],0)))</f>
        <v>26.37</v>
      </c>
      <c r="M13" s="107">
        <f ca="1">IF(M$68=1,INDEX(Rates_Distr_Network_Current[Network demand charge c/kwh],MATCH(M$63,Rates_Distr_Network_Current[Code],0)),INDEX(Rates_AllOther_Current[Network demand charge '[c/kWh']],MATCH(M$64,Rates_AllOther_Current[Code],0)))</f>
        <v>26.37</v>
      </c>
      <c r="N13" s="107">
        <f ca="1">IF(N$68=1,INDEX(Rates_Distr_Network_Current[Network demand charge c/kwh],MATCH(N$63,Rates_Distr_Network_Current[Code],0)),INDEX(Rates_AllOther_Current[Network demand charge '[c/kWh']],MATCH(N$64,Rates_AllOther_Current[Code],0)))</f>
        <v>26.37</v>
      </c>
      <c r="O13" s="107">
        <f ca="1">IF(O$68=1,INDEX(Rates_Distr_Network_Current[Network demand charge c/kwh],MATCH(O$63,Rates_Distr_Network_Current[Code],0)),INDEX(Rates_AllOther_Current[Network demand charge '[c/kWh']],MATCH(O$64,Rates_AllOther_Current[Code],0)))</f>
        <v>26.37</v>
      </c>
      <c r="P13" s="107">
        <f ca="1">IF(P$68=1,INDEX(Rates_Distr_Network_Current[Network demand charge c/kwh],MATCH(P$63,Rates_Distr_Network_Current[Code],0)),INDEX(Rates_AllOther_Current[Network demand charge '[c/kWh']],MATCH(P$64,Rates_AllOther_Current[Code],0)))</f>
        <v>26.37</v>
      </c>
      <c r="Q13" s="107">
        <f ca="1">IF(Q$68=1,INDEX(Rates_Distr_Network_Current[Network demand charge c/kwh],MATCH(Q$63,Rates_Distr_Network_Current[Code],0)),INDEX(Rates_AllOther_Current[Network demand charge '[c/kWh']],MATCH(Q$64,Rates_AllOther_Current[Code],0)))</f>
        <v>61.66</v>
      </c>
      <c r="R13" s="107">
        <f ca="1">IF(R$68=1,INDEX(Rates_Distr_Network_Current[Network demand charge c/kwh],MATCH(R$63,Rates_Distr_Network_Current[Code],0)),INDEX(Rates_AllOther_Current[Network demand charge '[c/kWh']],MATCH(R$64,Rates_AllOther_Current[Code],0)))</f>
        <v>61.66</v>
      </c>
      <c r="S13" s="107">
        <f ca="1">IF(S$68=1,INDEX(Rates_Distr_Network_Current[Network demand charge c/kwh],MATCH(S$63,Rates_Distr_Network_Current[Code],0)),INDEX(Rates_AllOther_Current[Network demand charge '[c/kWh']],MATCH(S$64,Rates_AllOther_Current[Code],0)))</f>
        <v>61.66</v>
      </c>
      <c r="T13" s="107">
        <f ca="1">IF(T$68=1,INDEX(Rates_Distr_Network_Current[Network demand charge c/kwh],MATCH(T$63,Rates_Distr_Network_Current[Code],0)),INDEX(Rates_AllOther_Current[Network demand charge '[c/kWh']],MATCH(T$64,Rates_AllOther_Current[Code],0)))</f>
        <v>61.66</v>
      </c>
      <c r="U13" s="107">
        <f ca="1">IF(U$68=1,INDEX(Rates_Distr_Network_Current[Network demand charge c/kwh],MATCH(U$63,Rates_Distr_Network_Current[Code],0)),INDEX(Rates_AllOther_Current[Network demand charge '[c/kWh']],MATCH(U$64,Rates_AllOther_Current[Code],0)))</f>
        <v>0</v>
      </c>
      <c r="V13" s="107">
        <f ca="1">IF(V$68=1,INDEX(Rates_Distr_Network_Current[Network demand charge c/kwh],MATCH(V$63,Rates_Distr_Network_Current[Code],0)),INDEX(Rates_AllOther_Current[Network demand charge '[c/kWh']],MATCH(V$64,Rates_AllOther_Current[Code],0)))</f>
        <v>0</v>
      </c>
      <c r="W13" s="107">
        <f ca="1">IF(W$68=1,INDEX(Rates_Distr_Network_Current[Network demand charge c/kwh],MATCH(W$63,Rates_Distr_Network_Current[Code],0)),INDEX(Rates_AllOther_Current[Network demand charge '[c/kWh']],MATCH(W$64,Rates_AllOther_Current[Code],0)))</f>
        <v>29.7</v>
      </c>
      <c r="X13" s="107">
        <f ca="1">IF(X$68=1,INDEX(Rates_Distr_Network_Current[Network demand charge c/kwh],MATCH(X$63,Rates_Distr_Network_Current[Code],0)),INDEX(Rates_AllOther_Current[Network demand charge '[c/kWh']],MATCH(X$64,Rates_AllOther_Current[Code],0)))</f>
        <v>0</v>
      </c>
      <c r="Y13" s="107">
        <f ca="1">IF(Y$68=1,INDEX(Rates_Distr_Network_Current[Network demand charge c/kwh],MATCH(Y$63,Rates_Distr_Network_Current[Code],0)),INDEX(Rates_AllOther_Current[Network demand charge '[c/kWh']],MATCH(Y$64,Rates_AllOther_Current[Code],0)))</f>
        <v>48.32</v>
      </c>
      <c r="Z13" s="107">
        <f ca="1">IF(Z$68=1,INDEX(Rates_Distr_Network_Current[Network demand charge c/kwh],MATCH(Z$63,Rates_Distr_Network_Current[Code],0)),INDEX(Rates_AllOther_Current[Network demand charge '[c/kWh']],MATCH(Z$64,Rates_AllOther_Current[Code],0)))</f>
        <v>0</v>
      </c>
      <c r="AA13" s="107">
        <f ca="1">IF(AA$68=1,INDEX(Rates_Distr_Network_Current[Network demand charge c/kwh],MATCH(AA$63,Rates_Distr_Network_Current[Code],0)),INDEX(Rates_AllOther_Current[Network demand charge '[c/kWh']],MATCH(AA$64,Rates_AllOther_Current[Code],0)))</f>
        <v>48.32</v>
      </c>
      <c r="AB13" s="107">
        <f ca="1">IF(AB$68=1,INDEX(Rates_Distr_Network_Current[Network demand charge c/kwh],MATCH(AB$63,Rates_Distr_Network_Current[Code],0)),INDEX(Rates_AllOther_Current[Network demand charge '[c/kWh']],MATCH(AB$64,Rates_AllOther_Current[Code],0)))</f>
        <v>0</v>
      </c>
      <c r="AC13" s="107">
        <f ca="1">IF(AC$68=1,INDEX(Rates_Distr_Network_Current[Network demand charge c/kwh],MATCH(AC$63,Rates_Distr_Network_Current[Code],0)),INDEX(Rates_AllOther_Current[Network demand charge '[c/kWh']],MATCH(AC$64,Rates_AllOther_Current[Code],0)))</f>
        <v>0</v>
      </c>
      <c r="AD13" s="107">
        <f ca="1">IF(AD$68=1,INDEX(Rates_Distr_Network_Current[Network demand charge c/kwh],MATCH(AD$63,Rates_Distr_Network_Current[Code],0)),INDEX(Rates_AllOther_Current[Network demand charge '[c/kWh']],MATCH(AD$64,Rates_AllOther_Current[Code],0)))</f>
        <v>0</v>
      </c>
      <c r="AE13" s="107">
        <f ca="1">IF(AE$68=1,INDEX(Rates_Distr_Network_Current[Network demand charge c/kwh],MATCH(AE$63,Rates_Distr_Network_Current[Code],0)),INDEX(Rates_AllOther_Current[Network demand charge '[c/kWh']],MATCH(AE$64,Rates_AllOther_Current[Code],0)))</f>
        <v>0</v>
      </c>
      <c r="AF13" s="107">
        <f ca="1">IF(AF$68=1,INDEX(Rates_Distr_Network_Current[Network demand charge c/kwh],MATCH(AF$63,Rates_Distr_Network_Current[Code],0)),INDEX(Rates_AllOther_Current[Network demand charge '[c/kWh']],MATCH(AF$64,Rates_AllOther_Current[Code],0)))</f>
        <v>0</v>
      </c>
      <c r="AG13" s="107" t="e">
        <f ca="1">IF(AG$68=1,INDEX(Rates_Distr_Network_Current[Network demand charge c/kwh],MATCH(AG$63,Rates_Distr_Network_Current[Code],0)),INDEX(Rates_AllOther_Current[Network demand charge '[c/kWh']],MATCH(AG$64,Rates_AllOther_Current[Code],0)))</f>
        <v>#N/A</v>
      </c>
      <c r="AH13" s="107" t="e">
        <f ca="1">IF(AH$68=1,INDEX(Rates_Distr_Network_Current[Network demand charge c/kwh],MATCH(AH$63,Rates_Distr_Network_Current[Code],0)),INDEX(Rates_AllOther_Current[Network demand charge '[c/kWh']],MATCH(AH$64,Rates_AllOther_Current[Code],0)))</f>
        <v>#N/A</v>
      </c>
      <c r="AI13" s="107" t="e">
        <f ca="1">IF(AI$68=1,INDEX(Rates_Distr_Network_Current[Network demand charge c/kwh],MATCH(AI$63,Rates_Distr_Network_Current[Code],0)),INDEX(Rates_AllOther_Current[Network demand charge '[c/kWh']],MATCH(AI$64,Rates_AllOther_Current[Code],0)))</f>
        <v>#N/A</v>
      </c>
      <c r="AJ13" s="107" t="e">
        <f ca="1">IF(AJ$68=1,INDEX(Rates_Distr_Network_Current[Network demand charge c/kwh],MATCH(AJ$63,Rates_Distr_Network_Current[Code],0)),INDEX(Rates_AllOther_Current[Network demand charge '[c/kWh']],MATCH(AJ$64,Rates_AllOther_Current[Code],0)))</f>
        <v>#N/A</v>
      </c>
      <c r="AK13" s="107" t="e">
        <f ca="1">IF(AK$68=1,INDEX(Rates_Distr_Network_Current[Network demand charge c/kwh],MATCH(AK$63,Rates_Distr_Network_Current[Code],0)),INDEX(Rates_AllOther_Current[Network demand charge '[c/kWh']],MATCH(AK$64,Rates_AllOther_Current[Code],0)))</f>
        <v>#N/A</v>
      </c>
      <c r="AL13" s="107">
        <f ca="1">IF(AL$68=1,INDEX(Rates_Distr_Network_Current[Network demand charge c/kwh],MATCH(AL$63,Rates_Distr_Network_Current[Code],0)),INDEX(Rates_AllOther_Current[Network demand charge '[c/kWh']],MATCH(AL$64,Rates_AllOther_Current[Code],0)))</f>
        <v>26.37</v>
      </c>
      <c r="AM13" s="107">
        <f ca="1">IF(AM$68=1,INDEX(Rates_Distr_Network_Current[Network demand charge c/kwh],MATCH(AM$63,Rates_Distr_Network_Current[Code],0)),INDEX(Rates_AllOther_Current[Network demand charge '[c/kWh']],MATCH(AM$64,Rates_AllOther_Current[Code],0)))</f>
        <v>26.37</v>
      </c>
      <c r="AN13" s="107">
        <f ca="1">IF(AN$68=1,INDEX(Rates_Distr_Network_Current[Network demand charge c/kwh],MATCH(AN$63,Rates_Distr_Network_Current[Code],0)),INDEX(Rates_AllOther_Current[Network demand charge '[c/kWh']],MATCH(AN$64,Rates_AllOther_Current[Code],0)))</f>
        <v>26.37</v>
      </c>
      <c r="AO13" s="107">
        <f ca="1">IF(AO$68=1,INDEX(Rates_Distr_Network_Current[Network demand charge c/kwh],MATCH(AO$63,Rates_Distr_Network_Current[Code],0)),INDEX(Rates_AllOther_Current[Network demand charge '[c/kWh']],MATCH(AO$64,Rates_AllOther_Current[Code],0)))</f>
        <v>26.37</v>
      </c>
      <c r="AP13" s="107">
        <f ca="1">IF(AP$68=1,INDEX(Rates_Distr_Network_Current[Network demand charge c/kwh],MATCH(AP$63,Rates_Distr_Network_Current[Code],0)),INDEX(Rates_AllOther_Current[Network demand charge '[c/kWh']],MATCH(AP$64,Rates_AllOther_Current[Code],0)))</f>
        <v>0</v>
      </c>
      <c r="AQ13" s="107">
        <f ca="1">IF(AQ$68=1,INDEX(Rates_Distr_Network_Current[Network demand charge c/kwh],MATCH(AQ$63,Rates_Distr_Network_Current[Code],0)),INDEX(Rates_AllOther_Current[Network demand charge '[c/kWh']],MATCH(AQ$64,Rates_AllOther_Current[Code],0)))</f>
        <v>0</v>
      </c>
      <c r="AR13" s="107" t="e">
        <f ca="1">IF(AR$68=1,INDEX(Rates_Distr_Network_Current[Network demand charge c/kwh],MATCH(AR$63,Rates_Distr_Network_Current[Code],0)),INDEX(Rates_AllOther_Current[Network demand charge '[c/kWh']],MATCH(AR$64,Rates_AllOther_Current[Code],0)))</f>
        <v>#N/A</v>
      </c>
      <c r="AT13" s="118">
        <f t="shared" ca="1" si="9"/>
        <v>32.299999999999997</v>
      </c>
      <c r="AU13" s="107">
        <f ca="1">IF(AU$68=1,INDEX(Rates_Distr_Network_New[Network demand charge c/kwh],MATCH(AU$63,Rates_Distr_Network_New[Code],0)),INDEX(Rates_AllOther_New[Network demand charge '[c/kWh']],MATCH(AU$64,Rates_AllOther_New[Code],0)))</f>
        <v>15.81</v>
      </c>
      <c r="AV13" s="107">
        <f ca="1">IF(AV$68=1,INDEX(Rates_Distr_Network_New[Network demand charge c/kwh],MATCH(AV$63,Rates_Distr_Network_New[Code],0)),INDEX(Rates_AllOther_New[Network demand charge '[c/kWh']],MATCH(AV$64,Rates_AllOther_New[Code],0)))</f>
        <v>15.81</v>
      </c>
      <c r="AW13" s="107">
        <f ca="1">IF(AW$68=1,INDEX(Rates_Distr_Network_New[Network demand charge c/kwh],MATCH(AW$63,Rates_Distr_Network_New[Code],0)),INDEX(Rates_AllOther_New[Network demand charge '[c/kWh']],MATCH(AW$64,Rates_AllOther_New[Code],0)))</f>
        <v>15.81</v>
      </c>
      <c r="AX13" s="107">
        <f ca="1">IF(AX$68=1,INDEX(Rates_Distr_Network_New[Network demand charge c/kwh],MATCH(AX$63,Rates_Distr_Network_New[Code],0)),INDEX(Rates_AllOther_New[Network demand charge '[c/kWh']],MATCH(AX$64,Rates_AllOther_New[Code],0)))</f>
        <v>15.81</v>
      </c>
      <c r="AY13" s="107">
        <f ca="1">IF(AY$68=1,INDEX(Rates_Distr_Network_New[Network demand charge c/kwh],MATCH(AY$63,Rates_Distr_Network_New[Code],0)),INDEX(Rates_AllOther_New[Network demand charge '[c/kWh']],MATCH(AY$64,Rates_AllOther_New[Code],0)))</f>
        <v>0</v>
      </c>
      <c r="AZ13" s="107">
        <f ca="1">IF(AZ$68=1,INDEX(Rates_Distr_Network_New[Network demand charge c/kwh],MATCH(AZ$63,Rates_Distr_Network_New[Code],0)),INDEX(Rates_AllOther_New[Network demand charge '[c/kWh']],MATCH(AZ$64,Rates_AllOther_New[Code],0)))</f>
        <v>0</v>
      </c>
      <c r="BA13" s="107">
        <f ca="1">IF(BA$68=1,INDEX(Rates_Distr_Network_New[Network demand charge c/kwh],MATCH(BA$63,Rates_Distr_Network_New[Code],0)),INDEX(Rates_AllOther_New[Network demand charge '[c/kWh']],MATCH(BA$64,Rates_AllOther_New[Code],0)))</f>
        <v>28.68</v>
      </c>
      <c r="BB13" s="107">
        <f ca="1">IF(BB$68=1,INDEX(Rates_Distr_Network_New[Network demand charge c/kwh],MATCH(BB$63,Rates_Distr_Network_New[Code],0)),INDEX(Rates_AllOther_New[Network demand charge '[c/kWh']],MATCH(BB$64,Rates_AllOther_New[Code],0)))</f>
        <v>28.68</v>
      </c>
      <c r="BC13" s="107">
        <f ca="1">IF(BC$68=1,INDEX(Rates_Distr_Network_New[Network demand charge c/kwh],MATCH(BC$63,Rates_Distr_Network_New[Code],0)),INDEX(Rates_AllOther_New[Network demand charge '[c/kWh']],MATCH(BC$64,Rates_AllOther_New[Code],0)))</f>
        <v>28.68</v>
      </c>
      <c r="BD13" s="107">
        <f ca="1">IF(BD$68=1,INDEX(Rates_Distr_Network_New[Network demand charge c/kwh],MATCH(BD$63,Rates_Distr_Network_New[Code],0)),INDEX(Rates_AllOther_New[Network demand charge '[c/kWh']],MATCH(BD$64,Rates_AllOther_New[Code],0)))</f>
        <v>28.68</v>
      </c>
      <c r="BE13" s="107">
        <f ca="1">IF(BE$68=1,INDEX(Rates_Distr_Network_New[Network demand charge c/kwh],MATCH(BE$63,Rates_Distr_Network_New[Code],0)),INDEX(Rates_AllOther_New[Network demand charge '[c/kWh']],MATCH(BE$64,Rates_AllOther_New[Code],0)))</f>
        <v>28.68</v>
      </c>
      <c r="BF13" s="107">
        <f ca="1">IF(BF$68=1,INDEX(Rates_Distr_Network_New[Network demand charge c/kwh],MATCH(BF$63,Rates_Distr_Network_New[Code],0)),INDEX(Rates_AllOther_New[Network demand charge '[c/kWh']],MATCH(BF$64,Rates_AllOther_New[Code],0)))</f>
        <v>67.06</v>
      </c>
      <c r="BG13" s="107">
        <f ca="1">IF(BG$68=1,INDEX(Rates_Distr_Network_New[Network demand charge c/kwh],MATCH(BG$63,Rates_Distr_Network_New[Code],0)),INDEX(Rates_AllOther_New[Network demand charge '[c/kWh']],MATCH(BG$64,Rates_AllOther_New[Code],0)))</f>
        <v>67.06</v>
      </c>
      <c r="BH13" s="107">
        <f ca="1">IF(BH$68=1,INDEX(Rates_Distr_Network_New[Network demand charge c/kwh],MATCH(BH$63,Rates_Distr_Network_New[Code],0)),INDEX(Rates_AllOther_New[Network demand charge '[c/kWh']],MATCH(BH$64,Rates_AllOther_New[Code],0)))</f>
        <v>67.06</v>
      </c>
      <c r="BI13" s="107">
        <f ca="1">IF(BI$68=1,INDEX(Rates_Distr_Network_New[Network demand charge c/kwh],MATCH(BI$63,Rates_Distr_Network_New[Code],0)),INDEX(Rates_AllOther_New[Network demand charge '[c/kWh']],MATCH(BI$64,Rates_AllOther_New[Code],0)))</f>
        <v>67.06</v>
      </c>
      <c r="BJ13" s="107">
        <f ca="1">IF(BJ$68=1,INDEX(Rates_Distr_Network_New[Network demand charge c/kwh],MATCH(BJ$63,Rates_Distr_Network_New[Code],0)),INDEX(Rates_AllOther_New[Network demand charge '[c/kWh']],MATCH(BJ$64,Rates_AllOther_New[Code],0)))</f>
        <v>0</v>
      </c>
      <c r="BK13" s="107">
        <f ca="1">IF(BK$68=1,INDEX(Rates_Distr_Network_New[Network demand charge c/kwh],MATCH(BK$63,Rates_Distr_Network_New[Code],0)),INDEX(Rates_AllOther_New[Network demand charge '[c/kWh']],MATCH(BK$64,Rates_AllOther_New[Code],0)))</f>
        <v>0</v>
      </c>
      <c r="BL13" s="107">
        <f ca="1">IF(BL$68=1,INDEX(Rates_Distr_Network_New[Network demand charge c/kwh],MATCH(BL$63,Rates_Distr_Network_New[Code],0)),INDEX(Rates_AllOther_New[Network demand charge '[c/kWh']],MATCH(BL$64,Rates_AllOther_New[Code],0)))</f>
        <v>32.299999999999997</v>
      </c>
      <c r="BM13" s="107">
        <f ca="1">IF(BM$68=1,INDEX(Rates_Distr_Network_New[Network demand charge c/kwh],MATCH(BM$63,Rates_Distr_Network_New[Code],0)),INDEX(Rates_AllOther_New[Network demand charge '[c/kWh']],MATCH(BM$64,Rates_AllOther_New[Code],0)))</f>
        <v>0</v>
      </c>
      <c r="BN13" s="107">
        <f ca="1">IF(BN$68=1,INDEX(Rates_Distr_Network_New[Network demand charge c/kwh],MATCH(BN$63,Rates_Distr_Network_New[Code],0)),INDEX(Rates_AllOther_New[Network demand charge '[c/kWh']],MATCH(BN$64,Rates_AllOther_New[Code],0)))</f>
        <v>52.55</v>
      </c>
      <c r="BO13" s="107">
        <f ca="1">IF(BO$68=1,INDEX(Rates_Distr_Network_New[Network demand charge c/kwh],MATCH(BO$63,Rates_Distr_Network_New[Code],0)),INDEX(Rates_AllOther_New[Network demand charge '[c/kWh']],MATCH(BO$64,Rates_AllOther_New[Code],0)))</f>
        <v>0</v>
      </c>
      <c r="BP13" s="107">
        <f ca="1">IF(BP$68=1,INDEX(Rates_Distr_Network_New[Network demand charge c/kwh],MATCH(BP$63,Rates_Distr_Network_New[Code],0)),INDEX(Rates_AllOther_New[Network demand charge '[c/kWh']],MATCH(BP$64,Rates_AllOther_New[Code],0)))</f>
        <v>52.55</v>
      </c>
      <c r="BQ13" s="107">
        <f ca="1">IF(BQ$68=1,INDEX(Rates_Distr_Network_New[Network demand charge c/kwh],MATCH(BQ$63,Rates_Distr_Network_New[Code],0)),INDEX(Rates_AllOther_New[Network demand charge '[c/kWh']],MATCH(BQ$64,Rates_AllOther_New[Code],0)))</f>
        <v>0</v>
      </c>
      <c r="BR13" s="107">
        <f ca="1">IF(BR$68=1,INDEX(Rates_Distr_Network_New[Network demand charge c/kwh],MATCH(BR$63,Rates_Distr_Network_New[Code],0)),INDEX(Rates_AllOther_New[Network demand charge '[c/kWh']],MATCH(BR$64,Rates_AllOther_New[Code],0)))</f>
        <v>0</v>
      </c>
      <c r="BS13" s="107">
        <f ca="1">IF(BS$68=1,INDEX(Rates_Distr_Network_New[Network demand charge c/kwh],MATCH(BS$63,Rates_Distr_Network_New[Code],0)),INDEX(Rates_AllOther_New[Network demand charge '[c/kWh']],MATCH(BS$64,Rates_AllOther_New[Code],0)))</f>
        <v>0</v>
      </c>
      <c r="BT13" s="107">
        <f ca="1">IF(BT$68=1,INDEX(Rates_Distr_Network_New[Network demand charge c/kwh],MATCH(BT$63,Rates_Distr_Network_New[Code],0)),INDEX(Rates_AllOther_New[Network demand charge '[c/kWh']],MATCH(BT$64,Rates_AllOther_New[Code],0)))</f>
        <v>0</v>
      </c>
      <c r="BU13" s="107">
        <f ca="1">IF(BU$68=1,INDEX(Rates_Distr_Network_New[Network demand charge c/kwh],MATCH(BU$63,Rates_Distr_Network_New[Code],0)),INDEX(Rates_AllOther_New[Network demand charge '[c/kWh']],MATCH(BU$64,Rates_AllOther_New[Code],0)))</f>
        <v>0</v>
      </c>
      <c r="BV13" s="107" t="str">
        <f ca="1">IF(BV$68=1,INDEX(Rates_Distr_Network_New[Network demand charge c/kwh],MATCH(BV$63,Rates_Distr_Network_New[Code],0)),INDEX(Rates_AllOther_New[Network demand charge '[c/kWh']],MATCH(BV$64,Rates_AllOther_New[Code],0)))</f>
        <v>n/a</v>
      </c>
      <c r="BW13" s="107" t="e">
        <f ca="1">IF(BW$68=1,INDEX(Rates_Distr_Network_New[Network demand charge c/kwh],MATCH(BW$63,Rates_Distr_Network_New[Code],0)),INDEX(Rates_AllOther_New[Network demand charge '[c/kWh']],MATCH(BW$64,Rates_AllOther_New[Code],0)))</f>
        <v>#N/A</v>
      </c>
      <c r="BX13" s="107" t="e">
        <f ca="1">IF(BX$68=1,INDEX(Rates_Distr_Network_New[Network demand charge c/kwh],MATCH(BX$63,Rates_Distr_Network_New[Code],0)),INDEX(Rates_AllOther_New[Network demand charge '[c/kWh']],MATCH(BX$64,Rates_AllOther_New[Code],0)))</f>
        <v>#N/A</v>
      </c>
      <c r="BY13" s="107" t="e">
        <f ca="1">IF(BY$68=1,INDEX(Rates_Distr_Network_New[Network demand charge c/kwh],MATCH(BY$63,Rates_Distr_Network_New[Code],0)),INDEX(Rates_AllOther_New[Network demand charge '[c/kWh']],MATCH(BY$64,Rates_AllOther_New[Code],0)))</f>
        <v>#N/A</v>
      </c>
      <c r="BZ13" s="107" t="e">
        <f ca="1">IF(BZ$68=1,INDEX(Rates_Distr_Network_New[Network demand charge c/kwh],MATCH(BZ$63,Rates_Distr_Network_New[Code],0)),INDEX(Rates_AllOther_New[Network demand charge '[c/kWh']],MATCH(BZ$64,Rates_AllOther_New[Code],0)))</f>
        <v>#N/A</v>
      </c>
      <c r="CA13" s="107">
        <f ca="1">IF(CA$68=1,INDEX(Rates_Distr_Network_New[Network demand charge c/kwh],MATCH(CA$63,Rates_Distr_Network_New[Code],0)),INDEX(Rates_AllOther_New[Network demand charge '[c/kWh']],MATCH(CA$64,Rates_AllOther_New[Code],0)))</f>
        <v>28.68</v>
      </c>
      <c r="CB13" s="107">
        <f ca="1">IF(CB$68=1,INDEX(Rates_Distr_Network_New[Network demand charge c/kwh],MATCH(CB$63,Rates_Distr_Network_New[Code],0)),INDEX(Rates_AllOther_New[Network demand charge '[c/kWh']],MATCH(CB$64,Rates_AllOther_New[Code],0)))</f>
        <v>28.68</v>
      </c>
      <c r="CC13" s="107">
        <f ca="1">IF(CC$68=1,INDEX(Rates_Distr_Network_New[Network demand charge c/kwh],MATCH(CC$63,Rates_Distr_Network_New[Code],0)),INDEX(Rates_AllOther_New[Network demand charge '[c/kWh']],MATCH(CC$64,Rates_AllOther_New[Code],0)))</f>
        <v>28.68</v>
      </c>
      <c r="CD13" s="107">
        <f ca="1">IF(CD$68=1,INDEX(Rates_Distr_Network_New[Network demand charge c/kwh],MATCH(CD$63,Rates_Distr_Network_New[Code],0)),INDEX(Rates_AllOther_New[Network demand charge '[c/kWh']],MATCH(CD$64,Rates_AllOther_New[Code],0)))</f>
        <v>28.68</v>
      </c>
      <c r="CE13" s="107">
        <f ca="1">IF(CE$68=1,INDEX(Rates_Distr_Network_New[Network demand charge c/kwh],MATCH(CE$63,Rates_Distr_Network_New[Code],0)),INDEX(Rates_AllOther_New[Network demand charge '[c/kWh']],MATCH(CE$64,Rates_AllOther_New[Code],0)))</f>
        <v>0</v>
      </c>
      <c r="CF13" s="107">
        <f ca="1">IF(CF$68=1,INDEX(Rates_Distr_Network_New[Network demand charge c/kwh],MATCH(CF$63,Rates_Distr_Network_New[Code],0)),INDEX(Rates_AllOther_New[Network demand charge '[c/kWh']],MATCH(CF$64,Rates_AllOther_New[Code],0)))</f>
        <v>0</v>
      </c>
    </row>
    <row r="14" spans="2:84" s="77" customFormat="1" ht="27.6">
      <c r="C14" s="299" t="s">
        <v>545</v>
      </c>
      <c r="D14" s="117" t="s">
        <v>106</v>
      </c>
      <c r="E14" s="136" t="str">
        <f t="shared" ca="1" si="10"/>
        <v>n/a</v>
      </c>
      <c r="F14" s="107" t="str">
        <f ca="1">IF(F$68=1,INDEX(Rates_Distr_Network_Current[Network demand charge, Ancillary service charge and retail '[c/kWh']],MATCH(F$63,Rates_Distr_Network_Current[Code],0)),INDEX(Rates_AllOther_Current[Network demand charge, Ancillary service charge and retail '[c/kWh']],MATCH(F$64,Rates_AllOther_Current[Code],0)))</f>
        <v>n/a</v>
      </c>
      <c r="G14" s="107" t="str">
        <f ca="1">IF(G$68=1,INDEX(Rates_Distr_Network_Current[Network demand charge, Ancillary service charge and retail '[c/kWh']],MATCH(G$63,Rates_Distr_Network_Current[Code],0)),INDEX(Rates_AllOther_Current[Network demand charge, Ancillary service charge and retail '[c/kWh']],MATCH(G$64,Rates_AllOther_Current[Code],0)))</f>
        <v>n/a</v>
      </c>
      <c r="H14" s="107" t="str">
        <f ca="1">IF(H$68=1,INDEX(Rates_Distr_Network_Current[Network demand charge, Ancillary service charge and retail '[c/kWh']],MATCH(H$63,Rates_Distr_Network_Current[Code],0)),INDEX(Rates_AllOther_Current[Network demand charge, Ancillary service charge and retail '[c/kWh']],MATCH(H$64,Rates_AllOther_Current[Code],0)))</f>
        <v>n/a</v>
      </c>
      <c r="I14" s="107" t="str">
        <f ca="1">IF(I$68=1,INDEX(Rates_Distr_Network_Current[Network demand charge, Ancillary service charge and retail '[c/kWh']],MATCH(I$63,Rates_Distr_Network_Current[Code],0)),INDEX(Rates_AllOther_Current[Network demand charge, Ancillary service charge and retail '[c/kWh']],MATCH(I$64,Rates_AllOther_Current[Code],0)))</f>
        <v>n/a</v>
      </c>
      <c r="J14" s="107" t="str">
        <f ca="1">IF(J$68=1,INDEX(Rates_Distr_Network_Current[Network demand charge, Ancillary service charge and retail '[c/kWh']],MATCH(J$63,Rates_Distr_Network_Current[Code],0)),INDEX(Rates_AllOther_Current[Network demand charge, Ancillary service charge and retail '[c/kWh']],MATCH(J$64,Rates_AllOther_Current[Code],0)))</f>
        <v>n/a</v>
      </c>
      <c r="K14" s="107" t="str">
        <f ca="1">IF(K$68=1,INDEX(Rates_Distr_Network_Current[Network demand charge, Ancillary service charge and retail '[c/kWh']],MATCH(K$63,Rates_Distr_Network_Current[Code],0)),INDEX(Rates_AllOther_Current[Network demand charge, Ancillary service charge and retail '[c/kWh']],MATCH(K$64,Rates_AllOther_Current[Code],0)))</f>
        <v>n/a</v>
      </c>
      <c r="L14" s="107" t="str">
        <f ca="1">IF(L$68=1,INDEX(Rates_Distr_Network_Current[Network demand charge, Ancillary service charge and retail '[c/kWh']],MATCH(L$63,Rates_Distr_Network_Current[Code],0)),INDEX(Rates_AllOther_Current[Network demand charge, Ancillary service charge and retail '[c/kWh']],MATCH(L$64,Rates_AllOther_Current[Code],0)))</f>
        <v>n/a</v>
      </c>
      <c r="M14" s="107" t="str">
        <f ca="1">IF(M$68=1,INDEX(Rates_Distr_Network_Current[Network demand charge, Ancillary service charge and retail '[c/kWh']],MATCH(M$63,Rates_Distr_Network_Current[Code],0)),INDEX(Rates_AllOther_Current[Network demand charge, Ancillary service charge and retail '[c/kWh']],MATCH(M$64,Rates_AllOther_Current[Code],0)))</f>
        <v>n/a</v>
      </c>
      <c r="N14" s="107" t="str">
        <f ca="1">IF(N$68=1,INDEX(Rates_Distr_Network_Current[Network demand charge, Ancillary service charge and retail '[c/kWh']],MATCH(N$63,Rates_Distr_Network_Current[Code],0)),INDEX(Rates_AllOther_Current[Network demand charge, Ancillary service charge and retail '[c/kWh']],MATCH(N$64,Rates_AllOther_Current[Code],0)))</f>
        <v>n/a</v>
      </c>
      <c r="O14" s="107" t="str">
        <f ca="1">IF(O$68=1,INDEX(Rates_Distr_Network_Current[Network demand charge, Ancillary service charge and retail '[c/kWh']],MATCH(O$63,Rates_Distr_Network_Current[Code],0)),INDEX(Rates_AllOther_Current[Network demand charge, Ancillary service charge and retail '[c/kWh']],MATCH(O$64,Rates_AllOther_Current[Code],0)))</f>
        <v>n/a</v>
      </c>
      <c r="P14" s="107" t="str">
        <f ca="1">IF(P$68=1,INDEX(Rates_Distr_Network_Current[Network demand charge, Ancillary service charge and retail '[c/kWh']],MATCH(P$63,Rates_Distr_Network_Current[Code],0)),INDEX(Rates_AllOther_Current[Network demand charge, Ancillary service charge and retail '[c/kWh']],MATCH(P$64,Rates_AllOther_Current[Code],0)))</f>
        <v>n/a</v>
      </c>
      <c r="Q14" s="107" t="str">
        <f ca="1">IF(Q$68=1,INDEX(Rates_Distr_Network_Current[Network demand charge, Ancillary service charge and retail '[c/kWh']],MATCH(Q$63,Rates_Distr_Network_Current[Code],0)),INDEX(Rates_AllOther_Current[Network demand charge, Ancillary service charge and retail '[c/kWh']],MATCH(Q$64,Rates_AllOther_Current[Code],0)))</f>
        <v>n/a</v>
      </c>
      <c r="R14" s="107" t="str">
        <f ca="1">IF(R$68=1,INDEX(Rates_Distr_Network_Current[Network demand charge, Ancillary service charge and retail '[c/kWh']],MATCH(R$63,Rates_Distr_Network_Current[Code],0)),INDEX(Rates_AllOther_Current[Network demand charge, Ancillary service charge and retail '[c/kWh']],MATCH(R$64,Rates_AllOther_Current[Code],0)))</f>
        <v>n/a</v>
      </c>
      <c r="S14" s="107" t="str">
        <f ca="1">IF(S$68=1,INDEX(Rates_Distr_Network_Current[Network demand charge, Ancillary service charge and retail '[c/kWh']],MATCH(S$63,Rates_Distr_Network_Current[Code],0)),INDEX(Rates_AllOther_Current[Network demand charge, Ancillary service charge and retail '[c/kWh']],MATCH(S$64,Rates_AllOther_Current[Code],0)))</f>
        <v>n/a</v>
      </c>
      <c r="T14" s="107" t="str">
        <f ca="1">IF(T$68=1,INDEX(Rates_Distr_Network_Current[Network demand charge, Ancillary service charge and retail '[c/kWh']],MATCH(T$63,Rates_Distr_Network_Current[Code],0)),INDEX(Rates_AllOther_Current[Network demand charge, Ancillary service charge and retail '[c/kWh']],MATCH(T$64,Rates_AllOther_Current[Code],0)))</f>
        <v>n/a</v>
      </c>
      <c r="U14" s="107" t="str">
        <f ca="1">IF(U$68=1,INDEX(Rates_Distr_Network_Current[Network demand charge, Ancillary service charge and retail '[c/kWh']],MATCH(U$63,Rates_Distr_Network_Current[Code],0)),INDEX(Rates_AllOther_Current[Network demand charge, Ancillary service charge and retail '[c/kWh']],MATCH(U$64,Rates_AllOther_Current[Code],0)))</f>
        <v>n/a</v>
      </c>
      <c r="V14" s="107" t="str">
        <f ca="1">IF(V$68=1,INDEX(Rates_Distr_Network_Current[Network demand charge, Ancillary service charge and retail '[c/kWh']],MATCH(V$63,Rates_Distr_Network_Current[Code],0)),INDEX(Rates_AllOther_Current[Network demand charge, Ancillary service charge and retail '[c/kWh']],MATCH(V$64,Rates_AllOther_Current[Code],0)))</f>
        <v>n/a</v>
      </c>
      <c r="W14" s="107" t="str">
        <f ca="1">IF(W$68=1,INDEX(Rates_Distr_Network_Current[Network demand charge, Ancillary service charge and retail '[c/kWh']],MATCH(W$63,Rates_Distr_Network_Current[Code],0)),INDEX(Rates_AllOther_Current[Network demand charge, Ancillary service charge and retail '[c/kWh']],MATCH(W$64,Rates_AllOther_Current[Code],0)))</f>
        <v>n/a</v>
      </c>
      <c r="X14" s="107" t="str">
        <f ca="1">IF(X$68=1,INDEX(Rates_Distr_Network_Current[Network demand charge, Ancillary service charge and retail '[c/kWh']],MATCH(X$63,Rates_Distr_Network_Current[Code],0)),INDEX(Rates_AllOther_Current[Network demand charge, Ancillary service charge and retail '[c/kWh']],MATCH(X$64,Rates_AllOther_Current[Code],0)))</f>
        <v>n/a</v>
      </c>
      <c r="Y14" s="107" t="str">
        <f ca="1">IF(Y$68=1,INDEX(Rates_Distr_Network_Current[Network demand charge, Ancillary service charge and retail '[c/kWh']],MATCH(Y$63,Rates_Distr_Network_Current[Code],0)),INDEX(Rates_AllOther_Current[Network demand charge, Ancillary service charge and retail '[c/kWh']],MATCH(Y$64,Rates_AllOther_Current[Code],0)))</f>
        <v>n/a</v>
      </c>
      <c r="Z14" s="107" t="str">
        <f ca="1">IF(Z$68=1,INDEX(Rates_Distr_Network_Current[Network demand charge, Ancillary service charge and retail '[c/kWh']],MATCH(Z$63,Rates_Distr_Network_Current[Code],0)),INDEX(Rates_AllOther_Current[Network demand charge, Ancillary service charge and retail '[c/kWh']],MATCH(Z$64,Rates_AllOther_Current[Code],0)))</f>
        <v>n/a</v>
      </c>
      <c r="AA14" s="107" t="str">
        <f ca="1">IF(AA$68=1,INDEX(Rates_Distr_Network_Current[Network demand charge, Ancillary service charge and retail '[c/kWh']],MATCH(AA$63,Rates_Distr_Network_Current[Code],0)),INDEX(Rates_AllOther_Current[Network demand charge, Ancillary service charge and retail '[c/kWh']],MATCH(AA$64,Rates_AllOther_Current[Code],0)))</f>
        <v>n/a</v>
      </c>
      <c r="AB14" s="107" t="str">
        <f ca="1">IF(AB$68=1,INDEX(Rates_Distr_Network_Current[Network demand charge, Ancillary service charge and retail '[c/kWh']],MATCH(AB$63,Rates_Distr_Network_Current[Code],0)),INDEX(Rates_AllOther_Current[Network demand charge, Ancillary service charge and retail '[c/kWh']],MATCH(AB$64,Rates_AllOther_Current[Code],0)))</f>
        <v>n/a</v>
      </c>
      <c r="AC14" s="107" t="str">
        <f ca="1">IF(AC$68=1,INDEX(Rates_Distr_Network_Current[Network demand charge, Ancillary service charge and retail '[c/kWh']],MATCH(AC$63,Rates_Distr_Network_Current[Code],0)),INDEX(Rates_AllOther_Current[Network demand charge, Ancillary service charge and retail '[c/kWh']],MATCH(AC$64,Rates_AllOther_Current[Code],0)))</f>
        <v>n/a</v>
      </c>
      <c r="AD14" s="107" t="str">
        <f ca="1">IF(AD$68=1,INDEX(Rates_Distr_Network_Current[Network demand charge, Ancillary service charge and retail '[c/kWh']],MATCH(AD$63,Rates_Distr_Network_Current[Code],0)),INDEX(Rates_AllOther_Current[Network demand charge, Ancillary service charge and retail '[c/kWh']],MATCH(AD$64,Rates_AllOther_Current[Code],0)))</f>
        <v>n/a</v>
      </c>
      <c r="AE14" s="107" t="str">
        <f ca="1">IF(AE$68=1,INDEX(Rates_Distr_Network_Current[Network demand charge, Ancillary service charge and retail '[c/kWh']],MATCH(AE$63,Rates_Distr_Network_Current[Code],0)),INDEX(Rates_AllOther_Current[Network demand charge, Ancillary service charge and retail '[c/kWh']],MATCH(AE$64,Rates_AllOther_Current[Code],0)))</f>
        <v>n/a</v>
      </c>
      <c r="AF14" s="107" t="str">
        <f ca="1">IF(AF$68=1,INDEX(Rates_Distr_Network_Current[Network demand charge, Ancillary service charge and retail '[c/kWh']],MATCH(AF$63,Rates_Distr_Network_Current[Code],0)),INDEX(Rates_AllOther_Current[Network demand charge, Ancillary service charge and retail '[c/kWh']],MATCH(AF$64,Rates_AllOther_Current[Code],0)))</f>
        <v>n/a</v>
      </c>
      <c r="AG14" s="107" t="e">
        <f ca="1">IF(AG$68=1,INDEX(Rates_Distr_Network_Current[Network demand charge, Ancillary service charge and retail '[c/kWh']],MATCH(AG$63,Rates_Distr_Network_Current[Code],0)),INDEX(Rates_AllOther_Current[Network demand charge, Ancillary service charge and retail '[c/kWh']],MATCH(AG$64,Rates_AllOther_Current[Code],0)))</f>
        <v>#N/A</v>
      </c>
      <c r="AH14" s="107" t="e">
        <f ca="1">IF(AH$68=1,INDEX(Rates_Distr_Network_Current[Network demand charge, Ancillary service charge and retail '[c/kWh']],MATCH(AH$63,Rates_Distr_Network_Current[Code],0)),INDEX(Rates_AllOther_Current[Network demand charge, Ancillary service charge and retail '[c/kWh']],MATCH(AH$64,Rates_AllOther_Current[Code],0)))</f>
        <v>#N/A</v>
      </c>
      <c r="AI14" s="107" t="e">
        <f ca="1">IF(AI$68=1,INDEX(Rates_Distr_Network_Current[Network demand charge, Ancillary service charge and retail '[c/kWh']],MATCH(AI$63,Rates_Distr_Network_Current[Code],0)),INDEX(Rates_AllOther_Current[Network demand charge, Ancillary service charge and retail '[c/kWh']],MATCH(AI$64,Rates_AllOther_Current[Code],0)))</f>
        <v>#N/A</v>
      </c>
      <c r="AJ14" s="107" t="e">
        <f ca="1">IF(AJ$68=1,INDEX(Rates_Distr_Network_Current[Network demand charge, Ancillary service charge and retail '[c/kWh']],MATCH(AJ$63,Rates_Distr_Network_Current[Code],0)),INDEX(Rates_AllOther_Current[Network demand charge, Ancillary service charge and retail '[c/kWh']],MATCH(AJ$64,Rates_AllOther_Current[Code],0)))</f>
        <v>#N/A</v>
      </c>
      <c r="AK14" s="107" t="e">
        <f ca="1">IF(AK$68=1,INDEX(Rates_Distr_Network_Current[Network demand charge, Ancillary service charge and retail '[c/kWh']],MATCH(AK$63,Rates_Distr_Network_Current[Code],0)),INDEX(Rates_AllOther_Current[Network demand charge, Ancillary service charge and retail '[c/kWh']],MATCH(AK$64,Rates_AllOther_Current[Code],0)))</f>
        <v>#N/A</v>
      </c>
      <c r="AL14" s="107" t="str">
        <f ca="1">IF(AL$68=1,INDEX(Rates_Distr_Network_Current[Network demand charge, Ancillary service charge and retail '[c/kWh']],MATCH(AL$63,Rates_Distr_Network_Current[Code],0)),INDEX(Rates_AllOther_Current[Network demand charge, Ancillary service charge and retail '[c/kWh']],MATCH(AL$64,Rates_AllOther_Current[Code],0)))</f>
        <v>n/a</v>
      </c>
      <c r="AM14" s="107" t="str">
        <f ca="1">IF(AM$68=1,INDEX(Rates_Distr_Network_Current[Network demand charge, Ancillary service charge and retail '[c/kWh']],MATCH(AM$63,Rates_Distr_Network_Current[Code],0)),INDEX(Rates_AllOther_Current[Network demand charge, Ancillary service charge and retail '[c/kWh']],MATCH(AM$64,Rates_AllOther_Current[Code],0)))</f>
        <v>n/a</v>
      </c>
      <c r="AN14" s="107" t="str">
        <f ca="1">IF(AN$68=1,INDEX(Rates_Distr_Network_Current[Network demand charge, Ancillary service charge and retail '[c/kWh']],MATCH(AN$63,Rates_Distr_Network_Current[Code],0)),INDEX(Rates_AllOther_Current[Network demand charge, Ancillary service charge and retail '[c/kWh']],MATCH(AN$64,Rates_AllOther_Current[Code],0)))</f>
        <v>n/a</v>
      </c>
      <c r="AO14" s="107" t="str">
        <f ca="1">IF(AO$68=1,INDEX(Rates_Distr_Network_Current[Network demand charge, Ancillary service charge and retail '[c/kWh']],MATCH(AO$63,Rates_Distr_Network_Current[Code],0)),INDEX(Rates_AllOther_Current[Network demand charge, Ancillary service charge and retail '[c/kWh']],MATCH(AO$64,Rates_AllOther_Current[Code],0)))</f>
        <v>n/a</v>
      </c>
      <c r="AP14" s="107" t="str">
        <f ca="1">IF(AP$68=1,INDEX(Rates_Distr_Network_Current[Network demand charge, Ancillary service charge and retail '[c/kWh']],MATCH(AP$63,Rates_Distr_Network_Current[Code],0)),INDEX(Rates_AllOther_Current[Network demand charge, Ancillary service charge and retail '[c/kWh']],MATCH(AP$64,Rates_AllOther_Current[Code],0)))</f>
        <v>n/a</v>
      </c>
      <c r="AQ14" s="107" t="str">
        <f ca="1">IF(AQ$68=1,INDEX(Rates_Distr_Network_Current[Network demand charge, Ancillary service charge and retail '[c/kWh']],MATCH(AQ$63,Rates_Distr_Network_Current[Code],0)),INDEX(Rates_AllOther_Current[Network demand charge, Ancillary service charge and retail '[c/kWh']],MATCH(AQ$64,Rates_AllOther_Current[Code],0)))</f>
        <v>n/a</v>
      </c>
      <c r="AR14" s="107" t="e">
        <f ca="1">IF(AR$68=1,INDEX(Rates_Distr_Network_Current[Network demand charge, Ancillary service charge and retail '[c/kWh']],MATCH(AR$63,Rates_Distr_Network_Current[Code],0)),INDEX(Rates_AllOther_Current[Network demand charge, Ancillary service charge and retail '[c/kWh']],MATCH(AR$64,Rates_AllOther_Current[Code],0)))</f>
        <v>#N/A</v>
      </c>
      <c r="AT14" s="118" t="str">
        <f t="shared" ca="1" si="9"/>
        <v>n/a</v>
      </c>
      <c r="AU14" s="107" t="str">
        <f ca="1">IF(AU$68=1,INDEX(Rates_Distr_Network_New[Network demand charge, Ancillary service charge and retail '[c/kWh']],MATCH(AU$63,Rates_Distr_Network_New[Code],0)),INDEX(Rates_AllOther_New[Network demand charge, Ancillary service charge and retail '[c/kWh']],MATCH(AU$64,Rates_AllOther_New[Code],0)))</f>
        <v>n/a</v>
      </c>
      <c r="AV14" s="107" t="str">
        <f ca="1">IF(AV$68=1,INDEX(Rates_Distr_Network_New[Network demand charge, Ancillary service charge and retail '[c/kWh']],MATCH(AV$63,Rates_Distr_Network_New[Code],0)),INDEX(Rates_AllOther_New[Network demand charge, Ancillary service charge and retail '[c/kWh']],MATCH(AV$64,Rates_AllOther_New[Code],0)))</f>
        <v>n/a</v>
      </c>
      <c r="AW14" s="107" t="str">
        <f ca="1">IF(AW$68=1,INDEX(Rates_Distr_Network_New[Network demand charge, Ancillary service charge and retail '[c/kWh']],MATCH(AW$63,Rates_Distr_Network_New[Code],0)),INDEX(Rates_AllOther_New[Network demand charge, Ancillary service charge and retail '[c/kWh']],MATCH(AW$64,Rates_AllOther_New[Code],0)))</f>
        <v>n/a</v>
      </c>
      <c r="AX14" s="107" t="str">
        <f ca="1">IF(AX$68=1,INDEX(Rates_Distr_Network_New[Network demand charge, Ancillary service charge and retail '[c/kWh']],MATCH(AX$63,Rates_Distr_Network_New[Code],0)),INDEX(Rates_AllOther_New[Network demand charge, Ancillary service charge and retail '[c/kWh']],MATCH(AX$64,Rates_AllOther_New[Code],0)))</f>
        <v>n/a</v>
      </c>
      <c r="AY14" s="107" t="str">
        <f ca="1">IF(AY$68=1,INDEX(Rates_Distr_Network_New[Network demand charge, Ancillary service charge and retail '[c/kWh']],MATCH(AY$63,Rates_Distr_Network_New[Code],0)),INDEX(Rates_AllOther_New[Network demand charge, Ancillary service charge and retail '[c/kWh']],MATCH(AY$64,Rates_AllOther_New[Code],0)))</f>
        <v>n/a</v>
      </c>
      <c r="AZ14" s="107" t="str">
        <f ca="1">IF(AZ$68=1,INDEX(Rates_Distr_Network_New[Network demand charge, Ancillary service charge and retail '[c/kWh']],MATCH(AZ$63,Rates_Distr_Network_New[Code],0)),INDEX(Rates_AllOther_New[Network demand charge, Ancillary service charge and retail '[c/kWh']],MATCH(AZ$64,Rates_AllOther_New[Code],0)))</f>
        <v>n/a</v>
      </c>
      <c r="BA14" s="107" t="str">
        <f ca="1">IF(BA$68=1,INDEX(Rates_Distr_Network_New[Network demand charge, Ancillary service charge and retail '[c/kWh']],MATCH(BA$63,Rates_Distr_Network_New[Code],0)),INDEX(Rates_AllOther_New[Network demand charge, Ancillary service charge and retail '[c/kWh']],MATCH(BA$64,Rates_AllOther_New[Code],0)))</f>
        <v>n/a</v>
      </c>
      <c r="BB14" s="107" t="str">
        <f ca="1">IF(BB$68=1,INDEX(Rates_Distr_Network_New[Network demand charge, Ancillary service charge and retail '[c/kWh']],MATCH(BB$63,Rates_Distr_Network_New[Code],0)),INDEX(Rates_AllOther_New[Network demand charge, Ancillary service charge and retail '[c/kWh']],MATCH(BB$64,Rates_AllOther_New[Code],0)))</f>
        <v>n/a</v>
      </c>
      <c r="BC14" s="107" t="str">
        <f ca="1">IF(BC$68=1,INDEX(Rates_Distr_Network_New[Network demand charge, Ancillary service charge and retail '[c/kWh']],MATCH(BC$63,Rates_Distr_Network_New[Code],0)),INDEX(Rates_AllOther_New[Network demand charge, Ancillary service charge and retail '[c/kWh']],MATCH(BC$64,Rates_AllOther_New[Code],0)))</f>
        <v>n/a</v>
      </c>
      <c r="BD14" s="107" t="str">
        <f ca="1">IF(BD$68=1,INDEX(Rates_Distr_Network_New[Network demand charge, Ancillary service charge and retail '[c/kWh']],MATCH(BD$63,Rates_Distr_Network_New[Code],0)),INDEX(Rates_AllOther_New[Network demand charge, Ancillary service charge and retail '[c/kWh']],MATCH(BD$64,Rates_AllOther_New[Code],0)))</f>
        <v>n/a</v>
      </c>
      <c r="BE14" s="107" t="str">
        <f ca="1">IF(BE$68=1,INDEX(Rates_Distr_Network_New[Network demand charge, Ancillary service charge and retail '[c/kWh']],MATCH(BE$63,Rates_Distr_Network_New[Code],0)),INDEX(Rates_AllOther_New[Network demand charge, Ancillary service charge and retail '[c/kWh']],MATCH(BE$64,Rates_AllOther_New[Code],0)))</f>
        <v>n/a</v>
      </c>
      <c r="BF14" s="107" t="str">
        <f ca="1">IF(BF$68=1,INDEX(Rates_Distr_Network_New[Network demand charge, Ancillary service charge and retail '[c/kWh']],MATCH(BF$63,Rates_Distr_Network_New[Code],0)),INDEX(Rates_AllOther_New[Network demand charge, Ancillary service charge and retail '[c/kWh']],MATCH(BF$64,Rates_AllOther_New[Code],0)))</f>
        <v>n/a</v>
      </c>
      <c r="BG14" s="107" t="str">
        <f ca="1">IF(BG$68=1,INDEX(Rates_Distr_Network_New[Network demand charge, Ancillary service charge and retail '[c/kWh']],MATCH(BG$63,Rates_Distr_Network_New[Code],0)),INDEX(Rates_AllOther_New[Network demand charge, Ancillary service charge and retail '[c/kWh']],MATCH(BG$64,Rates_AllOther_New[Code],0)))</f>
        <v>n/a</v>
      </c>
      <c r="BH14" s="107" t="str">
        <f ca="1">IF(BH$68=1,INDEX(Rates_Distr_Network_New[Network demand charge, Ancillary service charge and retail '[c/kWh']],MATCH(BH$63,Rates_Distr_Network_New[Code],0)),INDEX(Rates_AllOther_New[Network demand charge, Ancillary service charge and retail '[c/kWh']],MATCH(BH$64,Rates_AllOther_New[Code],0)))</f>
        <v>n/a</v>
      </c>
      <c r="BI14" s="107" t="str">
        <f ca="1">IF(BI$68=1,INDEX(Rates_Distr_Network_New[Network demand charge, Ancillary service charge and retail '[c/kWh']],MATCH(BI$63,Rates_Distr_Network_New[Code],0)),INDEX(Rates_AllOther_New[Network demand charge, Ancillary service charge and retail '[c/kWh']],MATCH(BI$64,Rates_AllOther_New[Code],0)))</f>
        <v>n/a</v>
      </c>
      <c r="BJ14" s="107" t="str">
        <f ca="1">IF(BJ$68=1,INDEX(Rates_Distr_Network_New[Network demand charge, Ancillary service charge and retail '[c/kWh']],MATCH(BJ$63,Rates_Distr_Network_New[Code],0)),INDEX(Rates_AllOther_New[Network demand charge, Ancillary service charge and retail '[c/kWh']],MATCH(BJ$64,Rates_AllOther_New[Code],0)))</f>
        <v>n/a</v>
      </c>
      <c r="BK14" s="107" t="str">
        <f ca="1">IF(BK$68=1,INDEX(Rates_Distr_Network_New[Network demand charge, Ancillary service charge and retail '[c/kWh']],MATCH(BK$63,Rates_Distr_Network_New[Code],0)),INDEX(Rates_AllOther_New[Network demand charge, Ancillary service charge and retail '[c/kWh']],MATCH(BK$64,Rates_AllOther_New[Code],0)))</f>
        <v>n/a</v>
      </c>
      <c r="BL14" s="107" t="str">
        <f ca="1">IF(BL$68=1,INDEX(Rates_Distr_Network_New[Network demand charge, Ancillary service charge and retail '[c/kWh']],MATCH(BL$63,Rates_Distr_Network_New[Code],0)),INDEX(Rates_AllOther_New[Network demand charge, Ancillary service charge and retail '[c/kWh']],MATCH(BL$64,Rates_AllOther_New[Code],0)))</f>
        <v>n/a</v>
      </c>
      <c r="BM14" s="107" t="str">
        <f ca="1">IF(BM$68=1,INDEX(Rates_Distr_Network_New[Network demand charge, Ancillary service charge and retail '[c/kWh']],MATCH(BM$63,Rates_Distr_Network_New[Code],0)),INDEX(Rates_AllOther_New[Network demand charge, Ancillary service charge and retail '[c/kWh']],MATCH(BM$64,Rates_AllOther_New[Code],0)))</f>
        <v>n/a</v>
      </c>
      <c r="BN14" s="107" t="str">
        <f ca="1">IF(BN$68=1,INDEX(Rates_Distr_Network_New[Network demand charge, Ancillary service charge and retail '[c/kWh']],MATCH(BN$63,Rates_Distr_Network_New[Code],0)),INDEX(Rates_AllOther_New[Network demand charge, Ancillary service charge and retail '[c/kWh']],MATCH(BN$64,Rates_AllOther_New[Code],0)))</f>
        <v>n/a</v>
      </c>
      <c r="BO14" s="107" t="str">
        <f ca="1">IF(BO$68=1,INDEX(Rates_Distr_Network_New[Network demand charge, Ancillary service charge and retail '[c/kWh']],MATCH(BO$63,Rates_Distr_Network_New[Code],0)),INDEX(Rates_AllOther_New[Network demand charge, Ancillary service charge and retail '[c/kWh']],MATCH(BO$64,Rates_AllOther_New[Code],0)))</f>
        <v>n/a</v>
      </c>
      <c r="BP14" s="107" t="str">
        <f ca="1">IF(BP$68=1,INDEX(Rates_Distr_Network_New[Network demand charge, Ancillary service charge and retail '[c/kWh']],MATCH(BP$63,Rates_Distr_Network_New[Code],0)),INDEX(Rates_AllOther_New[Network demand charge, Ancillary service charge and retail '[c/kWh']],MATCH(BP$64,Rates_AllOther_New[Code],0)))</f>
        <v>n/a</v>
      </c>
      <c r="BQ14" s="107" t="str">
        <f ca="1">IF(BQ$68=1,INDEX(Rates_Distr_Network_New[Network demand charge, Ancillary service charge and retail '[c/kWh']],MATCH(BQ$63,Rates_Distr_Network_New[Code],0)),INDEX(Rates_AllOther_New[Network demand charge, Ancillary service charge and retail '[c/kWh']],MATCH(BQ$64,Rates_AllOther_New[Code],0)))</f>
        <v>n/a</v>
      </c>
      <c r="BR14" s="107" t="str">
        <f ca="1">IF(BR$68=1,INDEX(Rates_Distr_Network_New[Network demand charge, Ancillary service charge and retail '[c/kWh']],MATCH(BR$63,Rates_Distr_Network_New[Code],0)),INDEX(Rates_AllOther_New[Network demand charge, Ancillary service charge and retail '[c/kWh']],MATCH(BR$64,Rates_AllOther_New[Code],0)))</f>
        <v>n/a</v>
      </c>
      <c r="BS14" s="107" t="str">
        <f ca="1">IF(BS$68=1,INDEX(Rates_Distr_Network_New[Network demand charge, Ancillary service charge and retail '[c/kWh']],MATCH(BS$63,Rates_Distr_Network_New[Code],0)),INDEX(Rates_AllOther_New[Network demand charge, Ancillary service charge and retail '[c/kWh']],MATCH(BS$64,Rates_AllOther_New[Code],0)))</f>
        <v>n/a</v>
      </c>
      <c r="BT14" s="107" t="str">
        <f ca="1">IF(BT$68=1,INDEX(Rates_Distr_Network_New[Network demand charge, Ancillary service charge and retail '[c/kWh']],MATCH(BT$63,Rates_Distr_Network_New[Code],0)),INDEX(Rates_AllOther_New[Network demand charge, Ancillary service charge and retail '[c/kWh']],MATCH(BT$64,Rates_AllOther_New[Code],0)))</f>
        <v>n/a</v>
      </c>
      <c r="BU14" s="107" t="str">
        <f ca="1">IF(BU$68=1,INDEX(Rates_Distr_Network_New[Network demand charge, Ancillary service charge and retail '[c/kWh']],MATCH(BU$63,Rates_Distr_Network_New[Code],0)),INDEX(Rates_AllOther_New[Network demand charge, Ancillary service charge and retail '[c/kWh']],MATCH(BU$64,Rates_AllOther_New[Code],0)))</f>
        <v>n/a</v>
      </c>
      <c r="BV14" s="107" t="str">
        <f ca="1">IF(BV$68=1,INDEX(Rates_Distr_Network_New[Network demand charge, Ancillary service charge and retail '[c/kWh']],MATCH(BV$63,Rates_Distr_Network_New[Code],0)),INDEX(Rates_AllOther_New[Network demand charge, Ancillary service charge and retail '[c/kWh']],MATCH(BV$64,Rates_AllOther_New[Code],0)))</f>
        <v>n/a</v>
      </c>
      <c r="BW14" s="107" t="e">
        <f ca="1">IF(BW$68=1,INDEX(Rates_Distr_Network_New[Network demand charge, Ancillary service charge and retail '[c/kWh']],MATCH(BW$63,Rates_Distr_Network_New[Code],0)),INDEX(Rates_AllOther_New[Network demand charge, Ancillary service charge and retail '[c/kWh']],MATCH(BW$64,Rates_AllOther_New[Code],0)))</f>
        <v>#N/A</v>
      </c>
      <c r="BX14" s="107" t="e">
        <f ca="1">IF(BX$68=1,INDEX(Rates_Distr_Network_New[Network demand charge, Ancillary service charge and retail '[c/kWh']],MATCH(BX$63,Rates_Distr_Network_New[Code],0)),INDEX(Rates_AllOther_New[Network demand charge, Ancillary service charge and retail '[c/kWh']],MATCH(BX$64,Rates_AllOther_New[Code],0)))</f>
        <v>#N/A</v>
      </c>
      <c r="BY14" s="107" t="e">
        <f ca="1">IF(BY$68=1,INDEX(Rates_Distr_Network_New[Network demand charge, Ancillary service charge and retail '[c/kWh']],MATCH(BY$63,Rates_Distr_Network_New[Code],0)),INDEX(Rates_AllOther_New[Network demand charge, Ancillary service charge and retail '[c/kWh']],MATCH(BY$64,Rates_AllOther_New[Code],0)))</f>
        <v>#N/A</v>
      </c>
      <c r="BZ14" s="107" t="e">
        <f ca="1">IF(BZ$68=1,INDEX(Rates_Distr_Network_New[Network demand charge, Ancillary service charge and retail '[c/kWh']],MATCH(BZ$63,Rates_Distr_Network_New[Code],0)),INDEX(Rates_AllOther_New[Network demand charge, Ancillary service charge and retail '[c/kWh']],MATCH(BZ$64,Rates_AllOther_New[Code],0)))</f>
        <v>#N/A</v>
      </c>
      <c r="CA14" s="107">
        <f ca="1">IF(CA$68=1,INDEX(Rates_Distr_Network_New[Network demand charge, Ancillary service charge and retail '[c/kWh']],MATCH(CA$63,Rates_Distr_Network_New[Code],0)),INDEX(Rates_AllOther_New[Network demand charge, Ancillary service charge and retail '[c/kWh']],MATCH(CA$64,Rates_AllOther_New[Code],0)))</f>
        <v>0</v>
      </c>
      <c r="CB14" s="107">
        <f ca="1">IF(CB$68=1,INDEX(Rates_Distr_Network_New[Network demand charge, Ancillary service charge and retail '[c/kWh']],MATCH(CB$63,Rates_Distr_Network_New[Code],0)),INDEX(Rates_AllOther_New[Network demand charge, Ancillary service charge and retail '[c/kWh']],MATCH(CB$64,Rates_AllOther_New[Code],0)))</f>
        <v>0</v>
      </c>
      <c r="CC14" s="107">
        <f ca="1">IF(CC$68=1,INDEX(Rates_Distr_Network_New[Network demand charge, Ancillary service charge and retail '[c/kWh']],MATCH(CC$63,Rates_Distr_Network_New[Code],0)),INDEX(Rates_AllOther_New[Network demand charge, Ancillary service charge and retail '[c/kWh']],MATCH(CC$64,Rates_AllOther_New[Code],0)))</f>
        <v>0</v>
      </c>
      <c r="CD14" s="107">
        <f ca="1">IF(CD$68=1,INDEX(Rates_Distr_Network_New[Network demand charge, Ancillary service charge and retail '[c/kWh']],MATCH(CD$63,Rates_Distr_Network_New[Code],0)),INDEX(Rates_AllOther_New[Network demand charge, Ancillary service charge and retail '[c/kWh']],MATCH(CD$64,Rates_AllOther_New[Code],0)))</f>
        <v>0</v>
      </c>
      <c r="CE14" s="107" t="str">
        <f ca="1">IF(CE$68=1,INDEX(Rates_Distr_Network_New[Network demand charge, Ancillary service charge and retail '[c/kWh']],MATCH(CE$63,Rates_Distr_Network_New[Code],0)),INDEX(Rates_AllOther_New[Network demand charge, Ancillary service charge and retail '[c/kWh']],MATCH(CE$64,Rates_AllOther_New[Code],0)))</f>
        <v>n/a</v>
      </c>
      <c r="CF14" s="107" t="str">
        <f ca="1">IF(CF$68=1,INDEX(Rates_Distr_Network_New[Network demand charge, Ancillary service charge and retail '[c/kWh']],MATCH(CF$63,Rates_Distr_Network_New[Code],0)),INDEX(Rates_AllOther_New[Network demand charge, Ancillary service charge and retail '[c/kWh']],MATCH(CF$64,Rates_AllOther_New[Code],0)))</f>
        <v>n/a</v>
      </c>
    </row>
    <row r="15" spans="2:84" s="134" customFormat="1" ht="13.8">
      <c r="C15" s="134" t="s">
        <v>144</v>
      </c>
      <c r="D15" s="135" t="s">
        <v>115</v>
      </c>
      <c r="E15" s="136">
        <f t="shared" ca="1" si="10"/>
        <v>0</v>
      </c>
      <c r="F15" s="137" t="str">
        <f ca="1">IF(F$68=1,INDEX(Rates_Distr_Network_Current[LV Subsidy Charge '[R/kVA/m']],MATCH(F$63,Rates_Distr_Network_Current[Code],0)),"n/a")</f>
        <v>n/a</v>
      </c>
      <c r="G15" s="137" t="str">
        <f ca="1">IF(G$68=1,INDEX(Rates_Distr_Network_Current[LV Subsidy Charge '[R/kVA/m']],MATCH(G$63,Rates_Distr_Network_Current[Code],0)),"n/a")</f>
        <v>n/a</v>
      </c>
      <c r="H15" s="137" t="str">
        <f ca="1">IF(H$68=1,INDEX(Rates_Distr_Network_Current[LV Subsidy Charge '[R/kVA/m']],MATCH(H$63,Rates_Distr_Network_Current[Code],0)),"n/a")</f>
        <v>n/a</v>
      </c>
      <c r="I15" s="137" t="str">
        <f ca="1">IF(I$68=1,INDEX(Rates_Distr_Network_Current[LV Subsidy Charge '[R/kVA/m']],MATCH(I$63,Rates_Distr_Network_Current[Code],0)),"n/a")</f>
        <v>n/a</v>
      </c>
      <c r="J15" s="137" t="str">
        <f ca="1">IF(J$68=1,INDEX(Rates_Distr_Network_Current[LV Subsidy Charge '[R/kVA/m']],MATCH(J$63,Rates_Distr_Network_Current[Code],0)),"n/a")</f>
        <v>n/a</v>
      </c>
      <c r="K15" s="137" t="str">
        <f ca="1">IF(K$68=1,INDEX(Rates_Distr_Network_Current[LV Subsidy Charge '[R/kVA/m']],MATCH(K$63,Rates_Distr_Network_Current[Code],0)),"n/a")</f>
        <v>n/a</v>
      </c>
      <c r="L15" s="137" t="str">
        <f ca="1">IF(L$68=1,INDEX(Rates_Distr_Network_Current[LV Subsidy Charge '[R/kVA/m']],MATCH(L$63,Rates_Distr_Network_Current[Code],0)),"n/a")</f>
        <v>n/a</v>
      </c>
      <c r="M15" s="137" t="str">
        <f ca="1">IF(M$68=1,INDEX(Rates_Distr_Network_Current[LV Subsidy Charge '[R/kVA/m']],MATCH(M$63,Rates_Distr_Network_Current[Code],0)),"n/a")</f>
        <v>n/a</v>
      </c>
      <c r="N15" s="137" t="str">
        <f ca="1">IF(N$68=1,INDEX(Rates_Distr_Network_Current[LV Subsidy Charge '[R/kVA/m']],MATCH(N$63,Rates_Distr_Network_Current[Code],0)),"n/a")</f>
        <v>n/a</v>
      </c>
      <c r="O15" s="137" t="str">
        <f ca="1">IF(O$68=1,INDEX(Rates_Distr_Network_Current[LV Subsidy Charge '[R/kVA/m']],MATCH(O$63,Rates_Distr_Network_Current[Code],0)),"n/a")</f>
        <v>n/a</v>
      </c>
      <c r="P15" s="137" t="str">
        <f ca="1">IF(P$68=1,INDEX(Rates_Distr_Network_Current[LV Subsidy Charge '[R/kVA/m']],MATCH(P$63,Rates_Distr_Network_Current[Code],0)),"n/a")</f>
        <v>n/a</v>
      </c>
      <c r="Q15" s="137" t="str">
        <f ca="1">IF(Q$68=1,INDEX(Rates_Distr_Network_Current[LV Subsidy Charge '[R/kVA/m']],MATCH(Q$63,Rates_Distr_Network_Current[Code],0)),"n/a")</f>
        <v>n/a</v>
      </c>
      <c r="R15" s="137" t="str">
        <f ca="1">IF(R$68=1,INDEX(Rates_Distr_Network_Current[LV Subsidy Charge '[R/kVA/m']],MATCH(R$63,Rates_Distr_Network_Current[Code],0)),"n/a")</f>
        <v>n/a</v>
      </c>
      <c r="S15" s="137" t="str">
        <f ca="1">IF(S$68=1,INDEX(Rates_Distr_Network_Current[LV Subsidy Charge '[R/kVA/m']],MATCH(S$63,Rates_Distr_Network_Current[Code],0)),"n/a")</f>
        <v>n/a</v>
      </c>
      <c r="T15" s="137" t="str">
        <f ca="1">IF(T$68=1,INDEX(Rates_Distr_Network_Current[LV Subsidy Charge '[R/kVA/m']],MATCH(T$63,Rates_Distr_Network_Current[Code],0)),"n/a")</f>
        <v>n/a</v>
      </c>
      <c r="U15" s="137" t="str">
        <f ca="1">IF(U$68=1,INDEX(Rates_Distr_Network_Current[LV Subsidy Charge '[R/kVA/m']],MATCH(U$63,Rates_Distr_Network_Current[Code],0)),"n/a")</f>
        <v>n/a</v>
      </c>
      <c r="V15" s="137">
        <f ca="1">IF(V$68=1,INDEX(Rates_Distr_Network_Current[LV Subsidy Charge '[R/kVA/m']],MATCH(V$63,Rates_Distr_Network_Current[Code],0)),"n/a")</f>
        <v>0</v>
      </c>
      <c r="W15" s="137">
        <f ca="1">IF(W$68=1,INDEX(Rates_Distr_Network_Current[LV Subsidy Charge '[R/kVA/m']],MATCH(W$63,Rates_Distr_Network_Current[Code],0)),"n/a")</f>
        <v>0</v>
      </c>
      <c r="X15" s="137">
        <f ca="1">IF(X$68=1,INDEX(Rates_Distr_Network_Current[LV Subsidy Charge '[R/kVA/m']],MATCH(X$63,Rates_Distr_Network_Current[Code],0)),"n/a")</f>
        <v>0</v>
      </c>
      <c r="Y15" s="137">
        <f ca="1">IF(Y$68=1,INDEX(Rates_Distr_Network_Current[LV Subsidy Charge '[R/kVA/m']],MATCH(Y$63,Rates_Distr_Network_Current[Code],0)),"n/a")</f>
        <v>0</v>
      </c>
      <c r="Z15" s="137">
        <f ca="1">IF(Z$68=1,INDEX(Rates_Distr_Network_Current[LV Subsidy Charge '[R/kVA/m']],MATCH(Z$63,Rates_Distr_Network_Current[Code],0)),"n/a")</f>
        <v>0</v>
      </c>
      <c r="AA15" s="137">
        <f ca="1">IF(AA$68=1,INDEX(Rates_Distr_Network_Current[LV Subsidy Charge '[R/kVA/m']],MATCH(AA$63,Rates_Distr_Network_Current[Code],0)),"n/a")</f>
        <v>0</v>
      </c>
      <c r="AB15" s="137" t="str">
        <f ca="1">IF(AB$68=1,INDEX(Rates_Distr_Network_Current[LV Subsidy Charge '[R/kVA/m']],MATCH(AB$63,Rates_Distr_Network_Current[Code],0)),"n/a")</f>
        <v>n/a</v>
      </c>
      <c r="AC15" s="137" t="str">
        <f ca="1">IF(AC$68=1,INDEX(Rates_Distr_Network_Current[LV Subsidy Charge '[R/kVA/m']],MATCH(AC$63,Rates_Distr_Network_Current[Code],0)),"n/a")</f>
        <v>n/a</v>
      </c>
      <c r="AD15" s="137" t="str">
        <f ca="1">IF(AD$68=1,INDEX(Rates_Distr_Network_Current[LV Subsidy Charge '[R/kVA/m']],MATCH(AD$63,Rates_Distr_Network_Current[Code],0)),"n/a")</f>
        <v>n/a</v>
      </c>
      <c r="AE15" s="137" t="str">
        <f ca="1">IF(AE$68=1,INDEX(Rates_Distr_Network_Current[LV Subsidy Charge '[R/kVA/m']],MATCH(AE$63,Rates_Distr_Network_Current[Code],0)),"n/a")</f>
        <v>n/a</v>
      </c>
      <c r="AF15" s="137" t="str">
        <f ca="1">IF(AF$68=1,INDEX(Rates_Distr_Network_Current[LV Subsidy Charge '[R/kVA/m']],MATCH(AF$63,Rates_Distr_Network_Current[Code],0)),"n/a")</f>
        <v>n/a</v>
      </c>
      <c r="AG15" s="137" t="e">
        <f ca="1">IF(AG$68=1,INDEX(Rates_Distr_Network_Current[LV Subsidy Charge '[R/kVA/m']],MATCH(AG$63,Rates_Distr_Network_Current[Code],0)),"n/a")</f>
        <v>#N/A</v>
      </c>
      <c r="AH15" s="137" t="str">
        <f ca="1">IF(AH$68=1,INDEX(Rates_Distr_Network_Current[LV Subsidy Charge '[R/kVA/m']],MATCH(AH$63,Rates_Distr_Network_Current[Code],0)),"n/a")</f>
        <v>n/a</v>
      </c>
      <c r="AI15" s="137" t="str">
        <f ca="1">IF(AI$68=1,INDEX(Rates_Distr_Network_Current[LV Subsidy Charge '[R/kVA/m']],MATCH(AI$63,Rates_Distr_Network_Current[Code],0)),"n/a")</f>
        <v>n/a</v>
      </c>
      <c r="AJ15" s="137" t="str">
        <f ca="1">IF(AJ$68=1,INDEX(Rates_Distr_Network_Current[LV Subsidy Charge '[R/kVA/m']],MATCH(AJ$63,Rates_Distr_Network_Current[Code],0)),"n/a")</f>
        <v>n/a</v>
      </c>
      <c r="AK15" s="137" t="str">
        <f ca="1">IF(AK$68=1,INDEX(Rates_Distr_Network_Current[LV Subsidy Charge '[R/kVA/m']],MATCH(AK$63,Rates_Distr_Network_Current[Code],0)),"n/a")</f>
        <v>n/a</v>
      </c>
      <c r="AL15" s="137" t="str">
        <f ca="1">IF(AL$68=1,INDEX(Rates_Distr_Network_Current[Matrix code],MATCH(AL$63,Rates_Distr_Network_Current[LV Subsidy Charge '[R/kVA/m']],0)),"n/a")</f>
        <v>n/a</v>
      </c>
      <c r="AM15" s="137" t="str">
        <f ca="1">IF(AM$68=1,INDEX(Rates_Distr_Network_Current[Network capacity charge R/kVA/m],MATCH(AM$63,Rates_Distr_Network_Current[Tariff],0)),"n/a")</f>
        <v>n/a</v>
      </c>
      <c r="AN15" s="137" t="str">
        <f ca="1">IF(AN$68=1,INDEX(Rates_Distr_Network_Current[Network demand charge R/kVA/m],MATCH(AN$63,Rates_Distr_Network_Current[Tariff Category],0)),"n/a")</f>
        <v>n/a</v>
      </c>
      <c r="AO15" s="137" t="str">
        <f ca="1">IF(AO$68=1,INDEX(Rates_Distr_Network_Current[Network demand charge c/kwh],MATCH(AO$63,Rates_Distr_Network_Current[Transmission Zone],0)),"n/a")</f>
        <v>n/a</v>
      </c>
      <c r="AP15" s="137">
        <f ca="1">IF(AP$68=1,INDEX(Rates_Distr_Network_Current[LV Subsidy Charge '[R/kVA/m']],MATCH(AP$63,Rates_Distr_Network_Current[Code],0)),"n/a")</f>
        <v>0</v>
      </c>
      <c r="AQ15" s="137">
        <f ca="1">IF(AQ$68=1,INDEX(Rates_Distr_Network_Current[LV Subsidy Charge '[R/kVA/m']],MATCH(AQ$63,Rates_Distr_Network_Current[Code],0)),"n/a")</f>
        <v>0</v>
      </c>
      <c r="AR15" s="137" t="str">
        <f ca="1">IF(AR$68=1,INDEX(Rates_Distr_Network_Current[LV Subsidy Charge '[R/kVA/m']],MATCH(AR$63,Rates_Distr_Network_Current[Code],0)),"n/a")</f>
        <v>n/a</v>
      </c>
      <c r="AT15" s="136">
        <f t="shared" ca="1" si="9"/>
        <v>0</v>
      </c>
      <c r="AU15" s="137" t="str">
        <f ca="1">IF(AU$68=1,INDEX(Rates_Distr_Network_New[LV Subsidy Charge '[R/kVA/m']],MATCH(AU$63,Rates_Distr_Network_New[Code],0)),"n/a")</f>
        <v>n/a</v>
      </c>
      <c r="AV15" s="137" t="str">
        <f ca="1">IF(AV$68=1,INDEX(Rates_Distr_Network_New[LV Subsidy Charge '[R/kVA/m']],MATCH(AV$63,Rates_Distr_Network_New[Code],0)),"n/a")</f>
        <v>n/a</v>
      </c>
      <c r="AW15" s="137" t="str">
        <f ca="1">IF(AW$68=1,INDEX(Rates_Distr_Network_New[LV Subsidy Charge '[R/kVA/m']],MATCH(AW$63,Rates_Distr_Network_New[Code],0)),"n/a")</f>
        <v>n/a</v>
      </c>
      <c r="AX15" s="137" t="str">
        <f ca="1">IF(AX$68=1,INDEX(Rates_Distr_Network_New[LV Subsidy Charge '[R/kVA/m']],MATCH(AX$63,Rates_Distr_Network_New[Code],0)),"n/a")</f>
        <v>n/a</v>
      </c>
      <c r="AY15" s="137" t="str">
        <f ca="1">IF(AY$68=1,INDEX(Rates_Distr_Network_New[LV Subsidy Charge '[R/kVA/m']],MATCH(AY$63,Rates_Distr_Network_New[Code],0)),"n/a")</f>
        <v>n/a</v>
      </c>
      <c r="AZ15" s="137" t="str">
        <f ca="1">IF(AZ$68=1,INDEX(Rates_Distr_Network_New[LV Subsidy Charge '[R/kVA/m']],MATCH(AZ$63,Rates_Distr_Network_New[Code],0)),"n/a")</f>
        <v>n/a</v>
      </c>
      <c r="BA15" s="137" t="str">
        <f ca="1">IF(BA$68=1,INDEX(Rates_Distr_Network_New[LV Subsidy Charge '[R/kVA/m']],MATCH(BA$63,Rates_Distr_Network_New[Code],0)),"n/a")</f>
        <v>n/a</v>
      </c>
      <c r="BB15" s="137" t="str">
        <f ca="1">IF(BB$68=1,INDEX(Rates_Distr_Network_New[LV Subsidy Charge '[R/kVA/m']],MATCH(BB$63,Rates_Distr_Network_New[Code],0)),"n/a")</f>
        <v>n/a</v>
      </c>
      <c r="BC15" s="137" t="str">
        <f ca="1">IF(BC$68=1,INDEX(Rates_Distr_Network_New[LV Subsidy Charge '[R/kVA/m']],MATCH(BC$63,Rates_Distr_Network_New[Code],0)),"n/a")</f>
        <v>n/a</v>
      </c>
      <c r="BD15" s="137" t="str">
        <f ca="1">IF(BD$68=1,INDEX(Rates_Distr_Network_New[LV Subsidy Charge '[R/kVA/m']],MATCH(BD$63,Rates_Distr_Network_New[Code],0)),"n/a")</f>
        <v>n/a</v>
      </c>
      <c r="BE15" s="137" t="str">
        <f ca="1">IF(BE$68=1,INDEX(Rates_Distr_Network_New[LV Subsidy Charge '[R/kVA/m']],MATCH(BE$63,Rates_Distr_Network_New[Code],0)),"n/a")</f>
        <v>n/a</v>
      </c>
      <c r="BF15" s="137" t="str">
        <f ca="1">IF(BF$68=1,INDEX(Rates_Distr_Network_New[LV Subsidy Charge '[R/kVA/m']],MATCH(BF$63,Rates_Distr_Network_New[Code],0)),"n/a")</f>
        <v>n/a</v>
      </c>
      <c r="BG15" s="137" t="str">
        <f ca="1">IF(BG$68=1,INDEX(Rates_Distr_Network_New[LV Subsidy Charge '[R/kVA/m']],MATCH(BG$63,Rates_Distr_Network_New[Code],0)),"n/a")</f>
        <v>n/a</v>
      </c>
      <c r="BH15" s="137" t="str">
        <f ca="1">IF(BH$68=1,INDEX(Rates_Distr_Network_New[LV Subsidy Charge '[R/kVA/m']],MATCH(BH$63,Rates_Distr_Network_New[Code],0)),"n/a")</f>
        <v>n/a</v>
      </c>
      <c r="BI15" s="137" t="str">
        <f ca="1">IF(BI$68=1,INDEX(Rates_Distr_Network_New[LV Subsidy Charge '[R/kVA/m']],MATCH(BI$63,Rates_Distr_Network_New[Code],0)),"n/a")</f>
        <v>n/a</v>
      </c>
      <c r="BJ15" s="137" t="str">
        <f ca="1">IF(BJ$68=1,INDEX(Rates_Distr_Network_New[LV Subsidy Charge '[R/kVA/m']],MATCH(BJ$63,Rates_Distr_Network_New[Code],0)),"n/a")</f>
        <v>n/a</v>
      </c>
      <c r="BK15" s="137">
        <f ca="1">IF(BK$68=1,INDEX(Rates_Distr_Network_New[LV Subsidy Charge '[R/kVA/m']],MATCH(BK$63,Rates_Distr_Network_New[Code],0)),"n/a")</f>
        <v>0</v>
      </c>
      <c r="BL15" s="137">
        <f ca="1">IF(BL$68=1,INDEX(Rates_Distr_Network_New[LV Subsidy Charge '[R/kVA/m']],MATCH(BL$63,Rates_Distr_Network_New[Code],0)),"n/a")</f>
        <v>0</v>
      </c>
      <c r="BM15" s="137">
        <f ca="1">IF(BM$68=1,INDEX(Rates_Distr_Network_New[LV Subsidy Charge '[R/kVA/m']],MATCH(BM$63,Rates_Distr_Network_New[Code],0)),"n/a")</f>
        <v>0</v>
      </c>
      <c r="BN15" s="137">
        <f ca="1">IF(BN$68=1,INDEX(Rates_Distr_Network_New[LV Subsidy Charge '[R/kVA/m']],MATCH(BN$63,Rates_Distr_Network_New[Code],0)),"n/a")</f>
        <v>0</v>
      </c>
      <c r="BO15" s="137">
        <f ca="1">IF(BO$68=1,INDEX(Rates_Distr_Network_New[LV Subsidy Charge '[R/kVA/m']],MATCH(BO$63,Rates_Distr_Network_New[Code],0)),"n/a")</f>
        <v>0</v>
      </c>
      <c r="BP15" s="137">
        <f ca="1">IF(BP$68=1,INDEX(Rates_Distr_Network_New[LV Subsidy Charge '[R/kVA/m']],MATCH(BP$63,Rates_Distr_Network_New[Code],0)),"n/a")</f>
        <v>0</v>
      </c>
      <c r="BQ15" s="137" t="str">
        <f ca="1">IF(BQ$68=1,INDEX(Rates_Distr_Network_New[LV Subsidy Charge '[R/kVA/m']],MATCH(BQ$63,Rates_Distr_Network_New[Code],0)),"n/a")</f>
        <v>n/a</v>
      </c>
      <c r="BR15" s="137" t="str">
        <f ca="1">IF(BR$68=1,INDEX(Rates_Distr_Network_New[LV Subsidy Charge '[R/kVA/m']],MATCH(BR$63,Rates_Distr_Network_New[Code],0)),"n/a")</f>
        <v>n/a</v>
      </c>
      <c r="BS15" s="137" t="str">
        <f ca="1">IF(BS$68=1,INDEX(Rates_Distr_Network_New[LV Subsidy Charge '[R/kVA/m']],MATCH(BS$63,Rates_Distr_Network_New[Code],0)),"n/a")</f>
        <v>n/a</v>
      </c>
      <c r="BT15" s="137" t="str">
        <f ca="1">IF(BT$68=1,INDEX(Rates_Distr_Network_New[LV Subsidy Charge '[R/kVA/m']],MATCH(BT$63,Rates_Distr_Network_New[Code],0)),"n/a")</f>
        <v>n/a</v>
      </c>
      <c r="BU15" s="137" t="str">
        <f ca="1">IF(BU$68=1,INDEX(Rates_Distr_Network_New[LV Subsidy Charge '[R/kVA/m']],MATCH(BU$63,Rates_Distr_Network_New[Code],0)),"n/a")</f>
        <v>n/a</v>
      </c>
      <c r="BV15" s="137" t="str">
        <f ca="1">IF(BV$68=1,INDEX(Rates_Distr_Network_New[LV Subsidy Charge '[R/kVA/m']],MATCH(BV$63,Rates_Distr_Network_New[Code],0)),"n/a")</f>
        <v>n/a</v>
      </c>
      <c r="BW15" s="137" t="str">
        <f ca="1">IF(BW$68=1,INDEX(Rates_Distr_Network_New[LV Subsidy Charge '[R/kVA/m']],MATCH(BW$63,Rates_Distr_Network_New[Code],0)),"n/a")</f>
        <v>n/a</v>
      </c>
      <c r="BX15" s="137" t="str">
        <f ca="1">IF(BX$68=1,INDEX(Rates_Distr_Network_New[LV Subsidy Charge '[R/kVA/m']],MATCH(BX$63,Rates_Distr_Network_New[Code],0)),"n/a")</f>
        <v>n/a</v>
      </c>
      <c r="BY15" s="137" t="str">
        <f ca="1">IF(BY$68=1,INDEX(Rates_Distr_Network_New[LV Subsidy Charge '[R/kVA/m']],MATCH(BY$63,Rates_Distr_Network_New[Code],0)),"n/a")</f>
        <v>n/a</v>
      </c>
      <c r="BZ15" s="137" t="str">
        <f ca="1">IF(BZ$68=1,INDEX(Rates_Distr_Network_New[LV Subsidy Charge '[R/kVA/m']],MATCH(BZ$63,Rates_Distr_Network_New[Code],0)),"n/a")</f>
        <v>n/a</v>
      </c>
      <c r="CA15" s="137" t="str">
        <f ca="1">IF(CA$68=1,INDEX(Rates_Distr_Network_New[Code],MATCH(CA$63,Rates_Distr_Network_New[Ancillary service charge '[c/kWh']],0)),"n/a")</f>
        <v>n/a</v>
      </c>
      <c r="CB15" s="137" t="str">
        <f ca="1">IF(CB$68=1,INDEX(Rates_Distr_Network_New[Column1],MATCH(CB$63,Rates_Distr_Network_New[LV Subsidy Charge '[R/kVA/m']],0)),"n/a")</f>
        <v>n/a</v>
      </c>
      <c r="CC15" s="137" t="str">
        <f ca="1">IF(CC$68=1,INDEX(Rates_Distr_Network_New[Network capacity charge R/kVA/m],MATCH(CC$63,Rates_Distr_Network_New[Generation Capacity Charge '[R/kVA']],0)),"n/a")</f>
        <v>n/a</v>
      </c>
      <c r="CD15" s="137" t="str">
        <f ca="1">IF(CD$68=1,INDEX(Rates_Distr_Network_New[Network demand charge R/kVA/m],MATCH(CD$63,Rates_Distr_Network_New[Tariff],0)),"n/a")</f>
        <v>n/a</v>
      </c>
      <c r="CE15" s="137">
        <f ca="1">IF(CE$68=1,INDEX(Rates_Distr_Network_New[LV Subsidy Charge '[R/kVA/m']],MATCH(CE$63,Rates_Distr_Network_New[Code],0)),"n/a")</f>
        <v>0</v>
      </c>
      <c r="CF15" s="137">
        <f ca="1">IF(CF$68=1,INDEX(Rates_Distr_Network_New[LV Subsidy Charge '[R/kVA/m']],MATCH(CF$63,Rates_Distr_Network_New[Code],0)),"n/a")</f>
        <v>0</v>
      </c>
    </row>
    <row r="16" spans="2:84" s="134" customFormat="1" ht="13.8">
      <c r="C16" s="134" t="s">
        <v>387</v>
      </c>
      <c r="D16" s="135" t="str">
        <f ca="1">IF(Table_1=1,"R/kVA","R/day")</f>
        <v>R/kVA</v>
      </c>
      <c r="E16" s="136">
        <f t="shared" ca="1" si="10"/>
        <v>49.85</v>
      </c>
      <c r="F16" s="137">
        <f ca="1">IF(F$68=1,INDEX(Rates_Energy_Current[Network Capacity Charges],MATCH(F$62,Rates_Energy_Current[Code],0)),INDEX(Rates_AllOther_Current[Network capacity charge '[R/POD/day']],MATCH(F$64,Rates_AllOther_Current[Code],0)))</f>
        <v>20.34</v>
      </c>
      <c r="G16" s="137">
        <f ca="1">IF(G$68=1,INDEX(Rates_Energy_Current[Network Capacity Charges],MATCH(G$62,Rates_Energy_Current[Code],0)),INDEX(Rates_AllOther_Current[Network capacity charge '[R/POD/day']],MATCH(G$64,Rates_AllOther_Current[Code],0)))</f>
        <v>30.21</v>
      </c>
      <c r="H16" s="137">
        <f ca="1">IF(H$68=1,INDEX(Rates_Energy_Current[Network Capacity Charges],MATCH(H$62,Rates_Energy_Current[Code],0)),INDEX(Rates_AllOther_Current[Network capacity charge '[R/POD/day']],MATCH(H$64,Rates_AllOther_Current[Code],0)))</f>
        <v>75.38</v>
      </c>
      <c r="I16" s="137">
        <f ca="1">IF(I$68=1,INDEX(Rates_Energy_Current[Network Capacity Charges],MATCH(I$62,Rates_Energy_Current[Code],0)),INDEX(Rates_AllOther_Current[Network capacity charge '[R/POD/day']],MATCH(I$64,Rates_AllOther_Current[Code],0)))</f>
        <v>0</v>
      </c>
      <c r="J16" s="137">
        <f ca="1">IF(J$68=1,INDEX(Rates_Energy_Current[Network Capacity Charges],MATCH(J$62,Rates_Energy_Current[Code],0)),INDEX(Rates_AllOther_Current[Network capacity charge '[R/POD/day']],MATCH(J$64,Rates_AllOther_Current[Code],0)))</f>
        <v>0</v>
      </c>
      <c r="K16" s="137">
        <f ca="1">IF(K$68=1,INDEX(Rates_Energy_Current[Network Capacity Charges],MATCH(K$62,Rates_Energy_Current[Code],0)),INDEX(Rates_AllOther_Current[Network capacity charge '[R/POD/day']],MATCH(K$64,Rates_AllOther_Current[Code],0)))</f>
        <v>0</v>
      </c>
      <c r="L16" s="137">
        <f ca="1">IF(L$68=1,INDEX(Rates_Energy_Current[Network Capacity Charges],MATCH(L$62,Rates_Energy_Current[Code],0)),INDEX(Rates_AllOther_Current[Network capacity charge '[R/POD/day']],MATCH(L$64,Rates_AllOther_Current[Code],0)))</f>
        <v>12.13</v>
      </c>
      <c r="M16" s="137">
        <f ca="1">IF(M$68=1,INDEX(Rates_Energy_Current[Network Capacity Charges],MATCH(M$62,Rates_Energy_Current[Code],0)),INDEX(Rates_AllOther_Current[Network capacity charge '[R/POD/day']],MATCH(M$64,Rates_AllOther_Current[Code],0)))</f>
        <v>27.07</v>
      </c>
      <c r="N16" s="137">
        <f ca="1">IF(N$68=1,INDEX(Rates_Energy_Current[Network Capacity Charges],MATCH(N$62,Rates_Energy_Current[Code],0)),INDEX(Rates_AllOther_Current[Network capacity charge '[R/POD/day']],MATCH(N$64,Rates_AllOther_Current[Code],0)))</f>
        <v>57.82</v>
      </c>
      <c r="O16" s="137">
        <f ca="1">IF(O$68=1,INDEX(Rates_Energy_Current[Network Capacity Charges],MATCH(O$62,Rates_Energy_Current[Code],0)),INDEX(Rates_AllOther_Current[Network capacity charge '[R/POD/day']],MATCH(O$64,Rates_AllOther_Current[Code],0)))</f>
        <v>8.35</v>
      </c>
      <c r="P16" s="137">
        <f ca="1">IF(P$68=1,INDEX(Rates_Energy_Current[Network Capacity Charges],MATCH(P$62,Rates_Energy_Current[Code],0)),INDEX(Rates_AllOther_Current[Network capacity charge '[R/POD/day']],MATCH(P$64,Rates_AllOther_Current[Code],0)))</f>
        <v>55.32</v>
      </c>
      <c r="Q16" s="137">
        <f ca="1">IF(Q$68=1,INDEX(Rates_Energy_Current[Network Capacity Charges],MATCH(Q$62,Rates_Energy_Current[Code],0)),INDEX(Rates_AllOther_Current[Network capacity charge '[R/POD/day']],MATCH(Q$64,Rates_AllOther_Current[Code],0)))</f>
        <v>62.2</v>
      </c>
      <c r="R16" s="137">
        <f ca="1">IF(R$68=1,INDEX(Rates_Energy_Current[Network Capacity Charges],MATCH(R$62,Rates_Energy_Current[Code],0)),INDEX(Rates_AllOther_Current[Network capacity charge '[R/POD/day']],MATCH(R$64,Rates_AllOther_Current[Code],0)))</f>
        <v>96.99</v>
      </c>
      <c r="S16" s="137">
        <f ca="1">IF(S$68=1,INDEX(Rates_Energy_Current[Network Capacity Charges],MATCH(S$62,Rates_Energy_Current[Code],0)),INDEX(Rates_AllOther_Current[Network capacity charge '[R/POD/day']],MATCH(S$64,Rates_AllOther_Current[Code],0)))</f>
        <v>155.32</v>
      </c>
      <c r="T16" s="137">
        <f ca="1">IF(T$68=1,INDEX(Rates_Energy_Current[Network Capacity Charges],MATCH(T$62,Rates_Energy_Current[Code],0)),INDEX(Rates_AllOther_Current[Network capacity charge '[R/POD/day']],MATCH(T$64,Rates_AllOther_Current[Code],0)))</f>
        <v>45.92</v>
      </c>
      <c r="U16" s="137">
        <f ca="1">IF(U$68=1,INDEX(Rates_Energy_Current[Network Capacity Charges],MATCH(U$62,Rates_Energy_Current[Code],0)),INDEX(Rates_AllOther_Current[Network capacity charge '[R/POD/day']],MATCH(U$64,Rates_AllOther_Current[Code],0)))</f>
        <v>0</v>
      </c>
      <c r="V16" s="137" t="str">
        <f ca="1">IF(V$68=1,INDEX(Rates_Energy_Current[Network Capacity Charges],MATCH(V$62,Rates_Energy_Current[Code],0)),INDEX(Rates_AllOther_Current[Network capacity charge '[R/POD/day']],MATCH(V$64,Rates_AllOther_Current[Code],0)))</f>
        <v>n/a</v>
      </c>
      <c r="W16" s="137">
        <f ca="1">IF(W$68=1,INDEX(Rates_Energy_Current[Network Capacity Charges],MATCH(W$62,Rates_Energy_Current[Code],0)),INDEX(Rates_AllOther_Current[Network capacity charge '[R/POD/day']],MATCH(W$64,Rates_AllOther_Current[Code],0)))</f>
        <v>49.85</v>
      </c>
      <c r="X16" s="137" t="str">
        <f ca="1">IF(X$68=1,INDEX(Rates_Energy_Current[Network Capacity Charges],MATCH(X$62,Rates_Energy_Current[Code],0)),INDEX(Rates_AllOther_Current[Network capacity charge '[R/POD/day']],MATCH(X$64,Rates_AllOther_Current[Code],0)))</f>
        <v>n/a</v>
      </c>
      <c r="Y16" s="137">
        <f ca="1">IF(Y$68=1,INDEX(Rates_Energy_Current[Network Capacity Charges],MATCH(Y$62,Rates_Energy_Current[Code],0)),INDEX(Rates_AllOther_Current[Network capacity charge '[R/POD/day']],MATCH(Y$64,Rates_AllOther_Current[Code],0)))</f>
        <v>52.04</v>
      </c>
      <c r="Z16" s="137" t="str">
        <f ca="1">IF(Z$68=1,INDEX(Rates_Energy_Current[Network Capacity Charges],MATCH(Z$62,Rates_Energy_Current[Code],0)),INDEX(Rates_AllOther_Current[Network capacity charge '[R/POD/day']],MATCH(Z$64,Rates_AllOther_Current[Code],0)))</f>
        <v>n/a</v>
      </c>
      <c r="AA16" s="137">
        <f ca="1">IF(AA$68=1,INDEX(Rates_Energy_Current[Network Capacity Charges],MATCH(AA$62,Rates_Energy_Current[Code],0)),INDEX(Rates_AllOther_Current[Network capacity charge '[R/POD/day']],MATCH(AA$64,Rates_AllOther_Current[Code],0)))</f>
        <v>52.04</v>
      </c>
      <c r="AB16" s="137">
        <f ca="1">IF(AB$68=1,INDEX(Rates_Energy_Current[Network Capacity Charges],MATCH(AB$62,Rates_Energy_Current[Code],0)),INDEX(Rates_AllOther_Current[Network capacity charge '[R/POD/day']],MATCH(AB$64,Rates_AllOther_Current[Code],0)))</f>
        <v>0</v>
      </c>
      <c r="AC16" s="137">
        <f ca="1">IF(AC$68=1,INDEX(Rates_Energy_Current[Network Capacity Charges],MATCH(AC$62,Rates_Energy_Current[Code],0)),INDEX(Rates_AllOther_Current[Network capacity charge '[R/POD/day']],MATCH(AC$64,Rates_AllOther_Current[Code],0)))</f>
        <v>0</v>
      </c>
      <c r="AD16" s="137">
        <f ca="1">IF(AD$68=1,INDEX(Rates_Energy_Current[Network Capacity Charges],MATCH(AD$62,Rates_Energy_Current[Code],0)),INDEX(Rates_AllOther_Current[Network capacity charge '[R/POD/day']],MATCH(AD$64,Rates_AllOther_Current[Code],0)))</f>
        <v>0</v>
      </c>
      <c r="AE16" s="137">
        <f ca="1">IF(AE$68=1,INDEX(Rates_Energy_Current[Network Capacity Charges],MATCH(AE$62,Rates_Energy_Current[Code],0)),INDEX(Rates_AllOther_Current[Network capacity charge '[R/POD/day']],MATCH(AE$64,Rates_AllOther_Current[Code],0)))</f>
        <v>0</v>
      </c>
      <c r="AF16" s="137">
        <f ca="1">IF(AF$68=1,INDEX(Rates_Energy_Current[Network Capacity Charges],MATCH(AF$62,Rates_Energy_Current[Code],0)),INDEX(Rates_AllOther_Current[Network capacity charge '[R/POD/day']],MATCH(AF$64,Rates_AllOther_Current[Code],0)))</f>
        <v>0</v>
      </c>
      <c r="AG16" s="137" t="e">
        <f ca="1">IF(AG$68=1,INDEX(Rates_Energy_Current[Network Capacity Charges],MATCH(AG$62,Rates_Energy_Current[Code],0)),INDEX(Rates_AllOther_Current[Network capacity charge '[R/POD/day']],MATCH(AG$64,Rates_AllOther_Current[Code],0)))</f>
        <v>#N/A</v>
      </c>
      <c r="AH16" s="137" t="e">
        <f ca="1">IF(AH$68=1,INDEX(Rates_Energy_Current[Network Capacity Charges],MATCH(AH$62,Rates_Energy_Current[Code],0)),INDEX(Rates_AllOther_Current[Network capacity charge '[R/POD/day']],MATCH(AH$64,Rates_AllOther_Current[Code],0)))</f>
        <v>#N/A</v>
      </c>
      <c r="AI16" s="137" t="e">
        <f ca="1">IF(AI$68=1,INDEX(Rates_Energy_Current[Network Capacity Charges],MATCH(AI$62,Rates_Energy_Current[Code],0)),INDEX(Rates_AllOther_Current[Network capacity charge '[R/POD/day']],MATCH(AI$64,Rates_AllOther_Current[Code],0)))</f>
        <v>#N/A</v>
      </c>
      <c r="AJ16" s="137" t="e">
        <f ca="1">IF(AJ$68=1,INDEX(Rates_Energy_Current[Network Capacity Charges],MATCH(AJ$62,Rates_Energy_Current[Code],0)),INDEX(Rates_AllOther_Current[Network capacity charge '[R/POD/day']],MATCH(AJ$64,Rates_AllOther_Current[Code],0)))</f>
        <v>#N/A</v>
      </c>
      <c r="AK16" s="137" t="e">
        <f ca="1">IF(AK$68=1,INDEX(Rates_Energy_Current[Network Capacity Charges],MATCH(AK$62,Rates_Energy_Current[Code],0)),INDEX(Rates_AllOther_Current[Network capacity charge '[R/POD/day']],MATCH(AK$64,Rates_AllOther_Current[Code],0)))</f>
        <v>#N/A</v>
      </c>
      <c r="AL16" s="137">
        <f ca="1">IF(AL$68=1,INDEX(Rates_Energy_Current[Network Capacity Charges],MATCH(AL$62,Rates_Energy_Current[Code],0)),INDEX(Rates_AllOther_Current[Network capacity charge '[R/POD/day']],MATCH(AL$64,Rates_AllOther_Current[Code],0)))</f>
        <v>12.13</v>
      </c>
      <c r="AM16" s="137">
        <f ca="1">IF(AM$68=1,INDEX(Rates_Energy_Current[Network Capacity Charges],MATCH(AM$62,Rates_Energy_Current[Code],0)),INDEX(Rates_AllOther_Current[Network capacity charge '[R/POD/day']],MATCH(AM$64,Rates_AllOther_Current[Code],0)))</f>
        <v>27.07</v>
      </c>
      <c r="AN16" s="137">
        <f ca="1">IF(AN$68=1,INDEX(Rates_Energy_Current[Network Capacity Charges],MATCH(AN$62,Rates_Energy_Current[Code],0)),INDEX(Rates_AllOther_Current[Network capacity charge '[R/POD/day']],MATCH(AN$64,Rates_AllOther_Current[Code],0)))</f>
        <v>57.82</v>
      </c>
      <c r="AO16" s="137">
        <f ca="1">IF(AO$68=1,INDEX(Rates_Energy_Current[Network Capacity Charges],MATCH(AO$62,Rates_Energy_Current[Code],0)),INDEX(Rates_AllOther_Current[Network capacity charge '[R/POD/day']],MATCH(AO$64,Rates_AllOther_Current[Code],0)))</f>
        <v>8.35</v>
      </c>
      <c r="AP16" s="137">
        <f ca="1">IF(AP$68=1,INDEX(Rates_Energy_Current[Network Capacity Charges],MATCH(AP$62,Rates_Energy_Current[Code],0)),INDEX(Rates_AllOther_Current[Network capacity charge '[R/POD/day']],MATCH(AP$64,Rates_AllOther_Current[Code],0)))</f>
        <v>6962.2</v>
      </c>
      <c r="AQ16" s="137">
        <f ca="1">IF(AQ$68=1,INDEX(Rates_Energy_Current[Network Capacity Charges],MATCH(AQ$62,Rates_Energy_Current[Code],0)),INDEX(Rates_AllOther_Current[Network capacity charge '[R/POD/day']],MATCH(AQ$64,Rates_AllOther_Current[Code],0)))</f>
        <v>10547.1</v>
      </c>
      <c r="AR16" s="137" t="e">
        <f ca="1">IF(AR$68=1,INDEX(Rates_Energy_Current[Network Capacity Charges],MATCH(AR$62,Rates_Energy_Current[Code],0)),INDEX(Rates_AllOther_Current[Network capacity charge '[R/POD/day']],MATCH(AR$64,Rates_AllOther_Current[Code],0)))</f>
        <v>#N/A</v>
      </c>
      <c r="AT16" s="136">
        <f t="shared" ca="1" si="9"/>
        <v>54.22</v>
      </c>
      <c r="AU16" s="137">
        <f ca="1">IF(AU$68=1,INDEX(Rates_Energy_New[Network Capacity Charges],MATCH(AU$62,Rates_Energy_New[Code],0)),INDEX(Rates_AllOther_New[Network capacity charge '[R/POD/day']],MATCH(AU$64,Rates_AllOther_New[Code],0)))</f>
        <v>22.12</v>
      </c>
      <c r="AV16" s="137">
        <f ca="1">IF(AV$68=1,INDEX(Rates_Energy_New[Network Capacity Charges],MATCH(AV$62,Rates_Energy_New[Code],0)),INDEX(Rates_AllOther_New[Network capacity charge '[R/POD/day']],MATCH(AV$64,Rates_AllOther_New[Code],0)))</f>
        <v>32.86</v>
      </c>
      <c r="AW16" s="137">
        <f ca="1">IF(AW$68=1,INDEX(Rates_Energy_New[Network Capacity Charges],MATCH(AW$62,Rates_Energy_New[Code],0)),INDEX(Rates_AllOther_New[Network capacity charge '[R/POD/day']],MATCH(AW$64,Rates_AllOther_New[Code],0)))</f>
        <v>81.98</v>
      </c>
      <c r="AX16" s="137">
        <f ca="1">IF(AX$68=1,INDEX(Rates_Energy_New[Network Capacity Charges],MATCH(AX$62,Rates_Energy_New[Code],0)),INDEX(Rates_AllOther_New[Network capacity charge '[R/POD/day']],MATCH(AX$64,Rates_AllOther_New[Code],0)))</f>
        <v>0</v>
      </c>
      <c r="AY16" s="137">
        <f ca="1">IF(AY$68=1,INDEX(Rates_Energy_New[Network Capacity Charges],MATCH(AY$62,Rates_Energy_New[Code],0)),INDEX(Rates_AllOther_New[Network capacity charge '[R/POD/day']],MATCH(AY$64,Rates_AllOther_New[Code],0)))</f>
        <v>0</v>
      </c>
      <c r="AZ16" s="137">
        <f ca="1">IF(AZ$68=1,INDEX(Rates_Energy_New[Network Capacity Charges],MATCH(AZ$62,Rates_Energy_New[Code],0)),INDEX(Rates_AllOther_New[Network capacity charge '[R/POD/day']],MATCH(AZ$64,Rates_AllOther_New[Code],0)))</f>
        <v>0</v>
      </c>
      <c r="BA16" s="137">
        <f ca="1">IF(BA$68=1,INDEX(Rates_Energy_New[Network Capacity Charges],MATCH(BA$62,Rates_Energy_New[Code],0)),INDEX(Rates_AllOther_New[Network capacity charge '[R/POD/day']],MATCH(BA$64,Rates_AllOther_New[Code],0)))</f>
        <v>13.19</v>
      </c>
      <c r="BB16" s="137">
        <f ca="1">IF(BB$68=1,INDEX(Rates_Energy_New[Network Capacity Charges],MATCH(BB$62,Rates_Energy_New[Code],0)),INDEX(Rates_AllOther_New[Network capacity charge '[R/POD/day']],MATCH(BB$64,Rates_AllOther_New[Code],0)))</f>
        <v>29.44</v>
      </c>
      <c r="BC16" s="137">
        <f ca="1">IF(BC$68=1,INDEX(Rates_Energy_New[Network Capacity Charges],MATCH(BC$62,Rates_Energy_New[Code],0)),INDEX(Rates_AllOther_New[Network capacity charge '[R/POD/day']],MATCH(BC$64,Rates_AllOther_New[Code],0)))</f>
        <v>62.89</v>
      </c>
      <c r="BD16" s="137">
        <f ca="1">IF(BD$68=1,INDEX(Rates_Energy_New[Network Capacity Charges],MATCH(BD$62,Rates_Energy_New[Code],0)),INDEX(Rates_AllOther_New[Network capacity charge '[R/POD/day']],MATCH(BD$64,Rates_AllOther_New[Code],0)))</f>
        <v>9.08</v>
      </c>
      <c r="BE16" s="137">
        <f ca="1">IF(BE$68=1,INDEX(Rates_Energy_New[Network Capacity Charges],MATCH(BE$62,Rates_Energy_New[Code],0)),INDEX(Rates_AllOther_New[Network capacity charge '[R/POD/day']],MATCH(BE$64,Rates_AllOther_New[Code],0)))</f>
        <v>60.17</v>
      </c>
      <c r="BF16" s="137">
        <f ca="1">IF(BF$68=1,INDEX(Rates_Energy_New[Network Capacity Charges],MATCH(BF$62,Rates_Energy_New[Code],0)),INDEX(Rates_AllOther_New[Network capacity charge '[R/POD/day']],MATCH(BF$64,Rates_AllOther_New[Code],0)))</f>
        <v>67.650000000000006</v>
      </c>
      <c r="BG16" s="137">
        <f ca="1">IF(BG$68=1,INDEX(Rates_Energy_New[Network Capacity Charges],MATCH(BG$62,Rates_Energy_New[Code],0)),INDEX(Rates_AllOther_New[Network capacity charge '[R/POD/day']],MATCH(BG$64,Rates_AllOther_New[Code],0)))</f>
        <v>105.49</v>
      </c>
      <c r="BH16" s="137">
        <f ca="1">IF(BH$68=1,INDEX(Rates_Energy_New[Network Capacity Charges],MATCH(BH$62,Rates_Energy_New[Code],0)),INDEX(Rates_AllOther_New[Network capacity charge '[R/POD/day']],MATCH(BH$64,Rates_AllOther_New[Code],0)))</f>
        <v>168.93</v>
      </c>
      <c r="BI16" s="137">
        <f ca="1">IF(BI$68=1,INDEX(Rates_Energy_New[Network Capacity Charges],MATCH(BI$62,Rates_Energy_New[Code],0)),INDEX(Rates_AllOther_New[Network capacity charge '[R/POD/day']],MATCH(BI$64,Rates_AllOther_New[Code],0)))</f>
        <v>49.94</v>
      </c>
      <c r="BJ16" s="137">
        <f ca="1">IF(BJ$68=1,INDEX(Rates_Energy_New[Network Capacity Charges],MATCH(BJ$62,Rates_Energy_New[Code],0)),INDEX(Rates_AllOther_New[Network capacity charge '[R/POD/day']],MATCH(BJ$64,Rates_AllOther_New[Code],0)))</f>
        <v>0</v>
      </c>
      <c r="BK16" s="137" t="str">
        <f ca="1">IF(BK$68=1,INDEX(Rates_Energy_New[Network Capacity Charges],MATCH(BK$62,Rates_Energy_New[Code],0)),INDEX(Rates_AllOther_New[Network capacity charge '[R/POD/day']],MATCH(BK$64,Rates_AllOther_New[Code],0)))</f>
        <v>n/a</v>
      </c>
      <c r="BL16" s="137">
        <f ca="1">IF(BL$68=1,INDEX(Rates_Energy_New[Network Capacity Charges],MATCH(BL$62,Rates_Energy_New[Code],0)),INDEX(Rates_AllOther_New[Network capacity charge '[R/POD/day']],MATCH(BL$64,Rates_AllOther_New[Code],0)))</f>
        <v>54.22</v>
      </c>
      <c r="BM16" s="137" t="str">
        <f ca="1">IF(BM$68=1,INDEX(Rates_Energy_New[Network Capacity Charges],MATCH(BM$62,Rates_Energy_New[Code],0)),INDEX(Rates_AllOther_New[Network capacity charge '[R/POD/day']],MATCH(BM$64,Rates_AllOther_New[Code],0)))</f>
        <v>n/a</v>
      </c>
      <c r="BN16" s="137">
        <f ca="1">IF(BN$68=1,INDEX(Rates_Energy_New[Network Capacity Charges],MATCH(BN$62,Rates_Energy_New[Code],0)),INDEX(Rates_AllOther_New[Network capacity charge '[R/POD/day']],MATCH(BN$64,Rates_AllOther_New[Code],0)))</f>
        <v>56.6</v>
      </c>
      <c r="BO16" s="137" t="str">
        <f ca="1">IF(BO$68=1,INDEX(Rates_Energy_New[Network Capacity Charges],MATCH(BO$62,Rates_Energy_New[Code],0)),INDEX(Rates_AllOther_New[Network capacity charge '[R/POD/day']],MATCH(BO$64,Rates_AllOther_New[Code],0)))</f>
        <v>n/a</v>
      </c>
      <c r="BP16" s="137">
        <f ca="1">IF(BP$68=1,INDEX(Rates_Energy_New[Network Capacity Charges],MATCH(BP$62,Rates_Energy_New[Code],0)),INDEX(Rates_AllOther_New[Network capacity charge '[R/POD/day']],MATCH(BP$64,Rates_AllOther_New[Code],0)))</f>
        <v>56.6</v>
      </c>
      <c r="BQ16" s="137">
        <f ca="1">IF(BQ$68=1,INDEX(Rates_Energy_New[Network Capacity Charges],MATCH(BQ$62,Rates_Energy_New[Code],0)),INDEX(Rates_AllOther_New[Network capacity charge '[R/POD/day']],MATCH(BQ$64,Rates_AllOther_New[Code],0)))</f>
        <v>0</v>
      </c>
      <c r="BR16" s="137">
        <f ca="1">IF(BR$68=1,INDEX(Rates_Energy_New[Network Capacity Charges],MATCH(BR$62,Rates_Energy_New[Code],0)),INDEX(Rates_AllOther_New[Network capacity charge '[R/POD/day']],MATCH(BR$64,Rates_AllOther_New[Code],0)))</f>
        <v>0</v>
      </c>
      <c r="BS16" s="137">
        <f ca="1">IF(BS$68=1,INDEX(Rates_Energy_New[Network Capacity Charges],MATCH(BS$62,Rates_Energy_New[Code],0)),INDEX(Rates_AllOther_New[Network capacity charge '[R/POD/day']],MATCH(BS$64,Rates_AllOther_New[Code],0)))</f>
        <v>0</v>
      </c>
      <c r="BT16" s="137">
        <f ca="1">IF(BT$68=1,INDEX(Rates_Energy_New[Network Capacity Charges],MATCH(BT$62,Rates_Energy_New[Code],0)),INDEX(Rates_AllOther_New[Network capacity charge '[R/POD/day']],MATCH(BT$64,Rates_AllOther_New[Code],0)))</f>
        <v>0</v>
      </c>
      <c r="BU16" s="137">
        <f ca="1">IF(BU$68=1,INDEX(Rates_Energy_New[Network Capacity Charges],MATCH(BU$62,Rates_Energy_New[Code],0)),INDEX(Rates_AllOther_New[Network capacity charge '[R/POD/day']],MATCH(BU$64,Rates_AllOther_New[Code],0)))</f>
        <v>0</v>
      </c>
      <c r="BV16" s="137" t="str">
        <f ca="1">IF(BV$68=1,INDEX(Rates_Energy_New[Network Capacity Charges],MATCH(BV$62,Rates_Energy_New[Code],0)),INDEX(Rates_AllOther_New[Network capacity charge '[R/POD/day']],MATCH(BV$64,Rates_AllOther_New[Code],0)))</f>
        <v>n/a</v>
      </c>
      <c r="BW16" s="137" t="e">
        <f ca="1">IF(BW$68=1,INDEX(Rates_Energy_New[Network Capacity Charges],MATCH(BW$62,Rates_Energy_New[Code],0)),INDEX(Rates_AllOther_New[Network capacity charge '[R/POD/day']],MATCH(BW$64,Rates_AllOther_New[Code],0)))</f>
        <v>#N/A</v>
      </c>
      <c r="BX16" s="137" t="e">
        <f ca="1">IF(BX$68=1,INDEX(Rates_Energy_New[Network Capacity Charges],MATCH(BX$62,Rates_Energy_New[Code],0)),INDEX(Rates_AllOther_New[Network capacity charge '[R/POD/day']],MATCH(BX$64,Rates_AllOther_New[Code],0)))</f>
        <v>#N/A</v>
      </c>
      <c r="BY16" s="137" t="e">
        <f ca="1">IF(BY$68=1,INDEX(Rates_Energy_New[Network Capacity Charges],MATCH(BY$62,Rates_Energy_New[Code],0)),INDEX(Rates_AllOther_New[Network capacity charge '[R/POD/day']],MATCH(BY$64,Rates_AllOther_New[Code],0)))</f>
        <v>#N/A</v>
      </c>
      <c r="BZ16" s="137" t="e">
        <f ca="1">IF(BZ$68=1,INDEX(Rates_Energy_New[Network Capacity Charges],MATCH(BZ$62,Rates_Energy_New[Code],0)),INDEX(Rates_AllOther_New[Network capacity charge '[R/POD/day']],MATCH(BZ$64,Rates_AllOther_New[Code],0)))</f>
        <v>#N/A</v>
      </c>
      <c r="CA16" s="137">
        <f ca="1">IF(CA$68=1,INDEX(Rates_Energy_New[Network Capacity Charges],MATCH(CA$62,Rates_Energy_New[Code],0)),INDEX(Rates_AllOther_New[Network capacity charge '[R/POD/day']],MATCH(CA$64,Rates_AllOther_New[Code],0)))</f>
        <v>13.19</v>
      </c>
      <c r="CB16" s="137">
        <f ca="1">IF(CB$68=1,INDEX(Rates_Energy_New[Network Capacity Charges],MATCH(CB$62,Rates_Energy_New[Code],0)),INDEX(Rates_AllOther_New[Network capacity charge '[R/POD/day']],MATCH(CB$64,Rates_AllOther_New[Code],0)))</f>
        <v>29.44</v>
      </c>
      <c r="CC16" s="137">
        <f ca="1">IF(CC$68=1,INDEX(Rates_Energy_New[Network Capacity Charges],MATCH(CC$62,Rates_Energy_New[Code],0)),INDEX(Rates_AllOther_New[Network capacity charge '[R/POD/day']],MATCH(CC$64,Rates_AllOther_New[Code],0)))</f>
        <v>62.89</v>
      </c>
      <c r="CD16" s="137">
        <f ca="1">IF(CD$68=1,INDEX(Rates_Energy_New[Network Capacity Charges],MATCH(CD$62,Rates_Energy_New[Code],0)),INDEX(Rates_AllOther_New[Network capacity charge '[R/POD/day']],MATCH(CD$64,Rates_AllOther_New[Code],0)))</f>
        <v>9.08</v>
      </c>
      <c r="CE16" s="137">
        <f ca="1">IF(CE$68=1,INDEX(Rates_Energy_New[Network Capacity Charges],MATCH(CE$62,Rates_Energy_New[Code],0)),INDEX(Rates_AllOther_New[Network capacity charge '[R/POD/day']],MATCH(CE$64,Rates_AllOther_New[Code],0)))</f>
        <v>7572.09</v>
      </c>
      <c r="CF16" s="137">
        <f ca="1">IF(CF$68=1,INDEX(Rates_Energy_New[Network Capacity Charges],MATCH(CF$62,Rates_Energy_New[Code],0)),INDEX(Rates_AllOther_New[Network capacity charge '[R/POD/day']],MATCH(CF$64,Rates_AllOther_New[Code],0)))</f>
        <v>11471.03</v>
      </c>
    </row>
    <row r="17" spans="2:84" s="77" customFormat="1" ht="4.05" customHeight="1"/>
    <row r="18" spans="2:84" s="77" customFormat="1" ht="13.8">
      <c r="B18" s="119" t="s">
        <v>119</v>
      </c>
      <c r="C18" s="119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  <c r="AM18" s="120"/>
      <c r="AN18" s="120"/>
      <c r="AO18" s="120"/>
      <c r="AP18" s="120"/>
      <c r="AQ18" s="120"/>
      <c r="AR18" s="120"/>
      <c r="AT18" s="120"/>
      <c r="AU18" s="120"/>
      <c r="AV18" s="120"/>
      <c r="AW18" s="120"/>
      <c r="AX18" s="120"/>
      <c r="AY18" s="120"/>
      <c r="AZ18" s="120"/>
      <c r="BA18" s="120"/>
      <c r="BB18" s="120"/>
      <c r="BC18" s="120"/>
      <c r="BD18" s="120"/>
      <c r="BE18" s="120"/>
      <c r="BF18" s="120"/>
      <c r="BG18" s="120"/>
      <c r="BH18" s="120"/>
      <c r="BI18" s="120"/>
      <c r="BJ18" s="120"/>
      <c r="BK18" s="120"/>
      <c r="BL18" s="120"/>
      <c r="BM18" s="120"/>
      <c r="BN18" s="120"/>
      <c r="BO18" s="120"/>
      <c r="BP18" s="120"/>
      <c r="BQ18" s="120"/>
      <c r="BR18" s="120"/>
      <c r="BS18" s="120"/>
      <c r="BT18" s="120"/>
      <c r="BU18" s="120"/>
      <c r="BV18" s="120"/>
      <c r="BW18" s="120"/>
      <c r="BX18" s="120"/>
      <c r="BY18" s="120"/>
      <c r="BZ18" s="120"/>
      <c r="CA18" s="120"/>
      <c r="CB18" s="120"/>
      <c r="CC18" s="120"/>
      <c r="CD18" s="120"/>
      <c r="CE18" s="120"/>
      <c r="CF18" s="120"/>
    </row>
    <row r="19" spans="2:84" s="77" customFormat="1" ht="13.8"/>
    <row r="20" spans="2:84" s="77" customFormat="1" ht="40.049999999999997" customHeight="1">
      <c r="B20" s="115" t="s">
        <v>195</v>
      </c>
      <c r="C20" s="115"/>
      <c r="D20" s="116" t="s">
        <v>110</v>
      </c>
      <c r="E20" s="116" t="str">
        <f>E$8</f>
        <v>2025/26 Rates</v>
      </c>
      <c r="F20" s="116" t="str">
        <f t="shared" ref="F20:AR20" si="11">F$8</f>
        <v>2025/26 Rates</v>
      </c>
      <c r="G20" s="116" t="str">
        <f t="shared" si="11"/>
        <v>2025/26 Rates</v>
      </c>
      <c r="H20" s="116" t="str">
        <f t="shared" si="11"/>
        <v>2025/26 Rates</v>
      </c>
      <c r="I20" s="116" t="str">
        <f t="shared" si="11"/>
        <v>2025/26 Rates</v>
      </c>
      <c r="J20" s="116" t="str">
        <f t="shared" si="11"/>
        <v>2025/26 Rates</v>
      </c>
      <c r="K20" s="116" t="str">
        <f t="shared" si="11"/>
        <v>2025/26 Rates</v>
      </c>
      <c r="L20" s="116" t="str">
        <f t="shared" si="11"/>
        <v>2025/26 Rates</v>
      </c>
      <c r="M20" s="116" t="str">
        <f t="shared" si="11"/>
        <v>2025/26 Rates</v>
      </c>
      <c r="N20" s="116" t="str">
        <f t="shared" si="11"/>
        <v>2025/26 Rates</v>
      </c>
      <c r="O20" s="116" t="str">
        <f t="shared" si="11"/>
        <v>2025/26 Rates</v>
      </c>
      <c r="P20" s="116" t="str">
        <f t="shared" si="11"/>
        <v>2025/26 Rates</v>
      </c>
      <c r="Q20" s="116" t="str">
        <f t="shared" si="11"/>
        <v>2025/26 Rates</v>
      </c>
      <c r="R20" s="116" t="str">
        <f t="shared" si="11"/>
        <v>2025/26 Rates</v>
      </c>
      <c r="S20" s="116" t="str">
        <f t="shared" si="11"/>
        <v>2025/26 Rates</v>
      </c>
      <c r="T20" s="116" t="str">
        <f t="shared" si="11"/>
        <v>2025/26 Rates</v>
      </c>
      <c r="U20" s="116" t="str">
        <f t="shared" si="11"/>
        <v>2025/26 Rates</v>
      </c>
      <c r="V20" s="116" t="str">
        <f t="shared" si="11"/>
        <v>2025/26 Rates</v>
      </c>
      <c r="W20" s="116" t="str">
        <f t="shared" si="11"/>
        <v>2025/26 Rates</v>
      </c>
      <c r="X20" s="116" t="str">
        <f t="shared" si="11"/>
        <v>2025/26 Rates</v>
      </c>
      <c r="Y20" s="116" t="str">
        <f t="shared" si="11"/>
        <v>2025/26 Rates</v>
      </c>
      <c r="Z20" s="116" t="str">
        <f t="shared" si="11"/>
        <v>2025/26 Rates</v>
      </c>
      <c r="AA20" s="116" t="str">
        <f t="shared" si="11"/>
        <v>2025/26 Rates</v>
      </c>
      <c r="AB20" s="116" t="str">
        <f t="shared" si="11"/>
        <v>2025/26 Rates</v>
      </c>
      <c r="AC20" s="116" t="str">
        <f t="shared" si="11"/>
        <v>2025/26 Rates</v>
      </c>
      <c r="AD20" s="116" t="str">
        <f t="shared" si="11"/>
        <v>2025/26 Rates</v>
      </c>
      <c r="AE20" s="116" t="str">
        <f t="shared" si="11"/>
        <v>2025/26 Rates</v>
      </c>
      <c r="AF20" s="116" t="str">
        <f t="shared" si="11"/>
        <v>2025/26 Rates</v>
      </c>
      <c r="AG20" s="116" t="str">
        <f t="shared" si="11"/>
        <v>2025/26 Rates</v>
      </c>
      <c r="AH20" s="116" t="str">
        <f t="shared" si="11"/>
        <v>2025/26 Rates</v>
      </c>
      <c r="AI20" s="116" t="str">
        <f t="shared" si="11"/>
        <v>2025/26 Rates</v>
      </c>
      <c r="AJ20" s="116" t="str">
        <f t="shared" si="11"/>
        <v>2025/26 Rates</v>
      </c>
      <c r="AK20" s="116" t="str">
        <f t="shared" si="11"/>
        <v>2025/26 Rates</v>
      </c>
      <c r="AL20" s="116" t="str">
        <f t="shared" si="11"/>
        <v>2025/26 Rates</v>
      </c>
      <c r="AM20" s="116" t="str">
        <f t="shared" si="11"/>
        <v>2025/26 Rates</v>
      </c>
      <c r="AN20" s="116" t="str">
        <f t="shared" si="11"/>
        <v>2025/26 Rates</v>
      </c>
      <c r="AO20" s="116" t="str">
        <f t="shared" si="11"/>
        <v>2025/26 Rates</v>
      </c>
      <c r="AP20" s="116" t="str">
        <f t="shared" si="11"/>
        <v>2025/26 Rates</v>
      </c>
      <c r="AQ20" s="116" t="str">
        <f t="shared" si="11"/>
        <v>2025/26 Rates</v>
      </c>
      <c r="AR20" s="116" t="str">
        <f t="shared" si="11"/>
        <v>2025/26 Rates</v>
      </c>
      <c r="AT20" s="116" t="str">
        <f>AT$8</f>
        <v>2026/27 Rates</v>
      </c>
      <c r="AU20" s="116" t="str">
        <f t="shared" ref="AU20:CF20" si="12">AU$8</f>
        <v>2026/27 Rates</v>
      </c>
      <c r="AV20" s="116" t="str">
        <f t="shared" si="12"/>
        <v>2026/27 Rates</v>
      </c>
      <c r="AW20" s="116" t="str">
        <f t="shared" si="12"/>
        <v>2026/27 Rates</v>
      </c>
      <c r="AX20" s="116" t="str">
        <f t="shared" si="12"/>
        <v>2026/27 Rates</v>
      </c>
      <c r="AY20" s="116" t="str">
        <f t="shared" si="12"/>
        <v>2026/27 Rates</v>
      </c>
      <c r="AZ20" s="116" t="str">
        <f t="shared" si="12"/>
        <v>2026/27 Rates</v>
      </c>
      <c r="BA20" s="116" t="str">
        <f t="shared" si="12"/>
        <v>2026/27 Rates</v>
      </c>
      <c r="BB20" s="116" t="str">
        <f t="shared" si="12"/>
        <v>2026/27 Rates</v>
      </c>
      <c r="BC20" s="116" t="str">
        <f t="shared" si="12"/>
        <v>2026/27 Rates</v>
      </c>
      <c r="BD20" s="116" t="str">
        <f t="shared" si="12"/>
        <v>2026/27 Rates</v>
      </c>
      <c r="BE20" s="116" t="str">
        <f t="shared" si="12"/>
        <v>2026/27 Rates</v>
      </c>
      <c r="BF20" s="116" t="str">
        <f t="shared" si="12"/>
        <v>2026/27 Rates</v>
      </c>
      <c r="BG20" s="116" t="str">
        <f t="shared" si="12"/>
        <v>2026/27 Rates</v>
      </c>
      <c r="BH20" s="116" t="str">
        <f t="shared" si="12"/>
        <v>2026/27 Rates</v>
      </c>
      <c r="BI20" s="116" t="str">
        <f t="shared" si="12"/>
        <v>2026/27 Rates</v>
      </c>
      <c r="BJ20" s="116" t="str">
        <f t="shared" si="12"/>
        <v>2026/27 Rates</v>
      </c>
      <c r="BK20" s="116" t="str">
        <f t="shared" si="12"/>
        <v>2026/27 Rates</v>
      </c>
      <c r="BL20" s="116" t="str">
        <f t="shared" si="12"/>
        <v>2026/27 Rates</v>
      </c>
      <c r="BM20" s="116" t="str">
        <f t="shared" si="12"/>
        <v>2026/27 Rates</v>
      </c>
      <c r="BN20" s="116" t="str">
        <f t="shared" si="12"/>
        <v>2026/27 Rates</v>
      </c>
      <c r="BO20" s="116" t="str">
        <f t="shared" si="12"/>
        <v>2026/27 Rates</v>
      </c>
      <c r="BP20" s="116" t="str">
        <f t="shared" si="12"/>
        <v>2026/27 Rates</v>
      </c>
      <c r="BQ20" s="116" t="str">
        <f t="shared" si="12"/>
        <v>2026/27 Rates</v>
      </c>
      <c r="BR20" s="116" t="str">
        <f t="shared" si="12"/>
        <v>2026/27 Rates</v>
      </c>
      <c r="BS20" s="116" t="str">
        <f t="shared" si="12"/>
        <v>2026/27 Rates</v>
      </c>
      <c r="BT20" s="116" t="str">
        <f t="shared" si="12"/>
        <v>2026/27 Rates</v>
      </c>
      <c r="BU20" s="116" t="str">
        <f t="shared" si="12"/>
        <v>2026/27 Rates</v>
      </c>
      <c r="BV20" s="116" t="str">
        <f t="shared" si="12"/>
        <v>2026/27 Rates</v>
      </c>
      <c r="BW20" s="116" t="str">
        <f t="shared" si="12"/>
        <v>2026/27 Rates</v>
      </c>
      <c r="BX20" s="116" t="str">
        <f t="shared" si="12"/>
        <v>2026/27 Rates</v>
      </c>
      <c r="BY20" s="116" t="str">
        <f t="shared" si="12"/>
        <v>2026/27 Rates</v>
      </c>
      <c r="BZ20" s="116" t="str">
        <f t="shared" si="12"/>
        <v>2026/27 Rates</v>
      </c>
      <c r="CA20" s="116" t="str">
        <f t="shared" si="12"/>
        <v>2026/27 Rates</v>
      </c>
      <c r="CB20" s="116" t="str">
        <f t="shared" si="12"/>
        <v>2026/27 Rates</v>
      </c>
      <c r="CC20" s="116" t="str">
        <f t="shared" si="12"/>
        <v>2026/27 Rates</v>
      </c>
      <c r="CD20" s="116" t="str">
        <f t="shared" si="12"/>
        <v>2026/27 Rates</v>
      </c>
      <c r="CE20" s="116" t="str">
        <f t="shared" si="12"/>
        <v>2026/27 Rates</v>
      </c>
      <c r="CF20" s="116" t="str">
        <f t="shared" si="12"/>
        <v>2026/27 Rates</v>
      </c>
    </row>
    <row r="21" spans="2:84" s="77" customFormat="1" ht="4.05" customHeight="1">
      <c r="AH21" s="107"/>
      <c r="AI21" s="107"/>
      <c r="AJ21" s="107"/>
      <c r="AK21" s="107"/>
    </row>
    <row r="22" spans="2:84" s="77" customFormat="1" ht="13.8">
      <c r="C22" s="77" t="s">
        <v>120</v>
      </c>
      <c r="D22" s="117" t="s">
        <v>106</v>
      </c>
      <c r="E22" s="118">
        <f t="shared" ref="E22:E31" ca="1" si="13">INDEX(F22:AR22,0,$F$2)</f>
        <v>684.59</v>
      </c>
      <c r="F22" s="107" t="str">
        <f ca="1">IF(F$68=1,INDEX(Rates_Energy_Current[High - Peak],MATCH(F$62,Rates_Energy_Current[Code],0)),"n/a")</f>
        <v>n/a</v>
      </c>
      <c r="G22" s="107" t="str">
        <f ca="1">IF(G$68=1,INDEX(Rates_Energy_Current[High - Peak],MATCH(G$62,Rates_Energy_Current[Code],0)),"n/a")</f>
        <v>n/a</v>
      </c>
      <c r="H22" s="107" t="str">
        <f ca="1">IF(H$68=1,INDEX(Rates_Energy_Current[High - Peak],MATCH(H$62,Rates_Energy_Current[Code],0)),"n/a")</f>
        <v>n/a</v>
      </c>
      <c r="I22" s="107" t="str">
        <f ca="1">IF(I$68=1,INDEX(Rates_Energy_Current[High - Peak],MATCH(I$62,Rates_Energy_Current[Code],0)),"n/a")</f>
        <v>n/a</v>
      </c>
      <c r="J22" s="107" t="str">
        <f ca="1">IF(J$68=1,INDEX(Rates_Energy_Current[High - Peak],MATCH(J$62,Rates_Energy_Current[Code],0)),"n/a")</f>
        <v>n/a</v>
      </c>
      <c r="K22" s="107" t="str">
        <f ca="1">IF(K$68=1,INDEX(Rates_Energy_Current[High - Peak],MATCH(K$62,Rates_Energy_Current[Code],0)),"n/a")</f>
        <v>n/a</v>
      </c>
      <c r="L22" s="107" t="str">
        <f ca="1">IF(L$68=1,INDEX(Rates_Energy_Current[High - Peak],MATCH(L$62,Rates_Energy_Current[Code],0)),"n/a")</f>
        <v>n/a</v>
      </c>
      <c r="M22" s="107" t="str">
        <f ca="1">IF(M$68=1,INDEX(Rates_Energy_Current[High - Peak],MATCH(M$62,Rates_Energy_Current[Code],0)),"n/a")</f>
        <v>n/a</v>
      </c>
      <c r="N22" s="107" t="str">
        <f ca="1">IF(N$68=1,INDEX(Rates_Energy_Current[High - Peak],MATCH(N$62,Rates_Energy_Current[Code],0)),"n/a")</f>
        <v>n/a</v>
      </c>
      <c r="O22" s="107" t="str">
        <f ca="1">IF(O$68=1,INDEX(Rates_Energy_Current[High - Peak],MATCH(O$62,Rates_Energy_Current[Code],0)),"n/a")</f>
        <v>n/a</v>
      </c>
      <c r="P22" s="107" t="str">
        <f ca="1">IF(P$68=1,INDEX(Rates_Energy_Current[High - Peak],MATCH(P$62,Rates_Energy_Current[Code],0)),"n/a")</f>
        <v>n/a</v>
      </c>
      <c r="Q22" s="107" t="str">
        <f ca="1">IF(Q$68=1,INDEX(Rates_Energy_Current[High - Peak],MATCH(Q$62,Rates_Energy_Current[Code],0)),"0")</f>
        <v>0</v>
      </c>
      <c r="R22" s="107" t="str">
        <f ca="1">IF(R$68=1,INDEX(Rates_Energy_Current[High - Peak],MATCH(R$62,Rates_Energy_Current[Code],0)),"0")</f>
        <v>0</v>
      </c>
      <c r="S22" s="107" t="str">
        <f ca="1">IF(S$68=1,INDEX(Rates_Energy_Current[High - Peak],MATCH(S$62,Rates_Energy_Current[Code],0)),"0")</f>
        <v>0</v>
      </c>
      <c r="T22" s="107" t="str">
        <f ca="1">IF(T$68=1,INDEX(Rates_Energy_Current[High - Peak],MATCH(T$62,Rates_Energy_Current[Code],0)),"0")</f>
        <v>0</v>
      </c>
      <c r="U22" s="107" t="str">
        <f ca="1">IF(U$68=1,INDEX(Rates_Energy_Current[High - Peak],MATCH(U$62,Rates_Energy_Current[Code],0)),"0")</f>
        <v>0</v>
      </c>
      <c r="V22" s="107">
        <f ca="1">IF(V$68=1,INDEX(Rates_Energy_Current[High - Peak],MATCH(V$62,Rates_Energy_Current[Code],0)),"n/a")</f>
        <v>684.59</v>
      </c>
      <c r="W22" s="107">
        <f ca="1">IF(W$68=1,INDEX(Rates_Energy_Current[High - Peak],MATCH(W$62,Rates_Energy_Current[Code],0)),"n/a")</f>
        <v>684.59</v>
      </c>
      <c r="X22" s="107" t="str">
        <f ca="1">IF(X$68=1,INDEX(Rates_Energy_Current[High - Peak],MATCH(X$62,Rates_Energy_Current[Code],0)),"n/a")</f>
        <v>n/a</v>
      </c>
      <c r="Y22" s="107" t="str">
        <f ca="1">IF(Y$68=1,INDEX(Rates_Energy_Current[High - Peak],MATCH(Y$62,Rates_Energy_Current[Code],0)),"n/a")</f>
        <v>n/a</v>
      </c>
      <c r="Z22" s="107" t="str">
        <f ca="1">IF(Z$68=1,INDEX(Rates_Energy_Current[High - Peak],MATCH(Z$62,Rates_Energy_Current[Code],0)),"n/a")</f>
        <v>n/a</v>
      </c>
      <c r="AA22" s="107">
        <f ca="1">IF(AA$68=1,INDEX(Rates_Energy_Current[High - Peak],MATCH(AA$62,Rates_Energy_Current[Code],0)),"n/a")</f>
        <v>690.99</v>
      </c>
      <c r="AB22" s="107" t="str">
        <f ca="1">IF(AB$68=1,INDEX(Rates_Energy_Current[High - Peak],MATCH(AB$62,Rates_Energy_Current[Code],0)),"n/a")</f>
        <v>n/a</v>
      </c>
      <c r="AC22" s="107" t="str">
        <f ca="1">IF(AC$68=1,INDEX(Rates_Energy_Current[High - Peak],MATCH(AC$62,Rates_Energy_Current[Code],0)),"n/a")</f>
        <v>n/a</v>
      </c>
      <c r="AD22" s="107" t="str">
        <f ca="1">IF(AD$68=1,INDEX(Rates_Energy_Current[High - Peak],MATCH(AD$62,Rates_Energy_Current[Code],0)),"n/a")</f>
        <v>n/a</v>
      </c>
      <c r="AE22" s="107" t="str">
        <f ca="1">IF(AE$68=1,INDEX(Rates_Energy_Current[High - Peak],MATCH(AE$62,Rates_Energy_Current[Code],0)),"n/a")</f>
        <v>n/a</v>
      </c>
      <c r="AF22" s="107" t="str">
        <f ca="1">IF(AF$68=1,INDEX(Rates_Energy_Current[High - Peak],MATCH(AF$62,Rates_Energy_Current[Code],0)),"n/a")</f>
        <v>n/a</v>
      </c>
      <c r="AG22" s="107" t="e">
        <f ca="1">IF(AG$68=1,INDEX(Rates_Energy_Current[High - Peak],MATCH(AG$62,Rates_Energy_Current[Code],0)),"n/a")</f>
        <v>#N/A</v>
      </c>
      <c r="AH22" s="107" t="str">
        <f ca="1">IF(AH$68=1,INDEX(Rates_Energy_Current[High - Peak],MATCH(AH$62,Rates_Energy_Current[Code],0)),"n/a")</f>
        <v>n/a</v>
      </c>
      <c r="AI22" s="107" t="str">
        <f ca="1">IF(AI$68=1,INDEX(Rates_Energy_Current[High - Peak],MATCH(AI$62,Rates_Energy_Current[Code],0)),"n/a")</f>
        <v>n/a</v>
      </c>
      <c r="AJ22" s="107" t="str">
        <f ca="1">IF(AJ$68=1,INDEX(Rates_Energy_Current[High - Peak],MATCH(AJ$62,Rates_Energy_Current[Code],0)),"n/a")</f>
        <v>n/a</v>
      </c>
      <c r="AK22" s="107" t="str">
        <f ca="1">IF(AK$68=1,INDEX(Rates_Energy_Current[High - Peak],MATCH(AK$62,Rates_Energy_Current[Code],0)),"n/a")</f>
        <v>n/a</v>
      </c>
      <c r="AL22" s="107">
        <f ca="1">IF(AL$68=1,INDEX(Rates_Energy_Current[High Charge],MATCH(AL$62,Rates_Energy_Current[Code],0)),INDEX(Rates_AllOther_Current[High - Peak],MATCH(AL$64,Rates_AllOther_Current[Code],0)))</f>
        <v>706.97</v>
      </c>
      <c r="AM22" s="107">
        <f ca="1">IF(AM$68=1,INDEX(Rates_Energy_Current[High Charge],MATCH(AM$62,Rates_Energy_Current[Code],0)),INDEX(Rates_AllOther_Current[High - Peak],MATCH(AM$64,Rates_AllOther_Current[Code],0)))</f>
        <v>706.97</v>
      </c>
      <c r="AN22" s="107">
        <f ca="1">IF(AN$68=1,INDEX(Rates_Energy_Current[High Charge],MATCH(AN$62,Rates_Energy_Current[Code],0)),INDEX(Rates_AllOther_Current[High - Peak],MATCH(AN$64,Rates_AllOther_Current[Code],0)))</f>
        <v>706.97</v>
      </c>
      <c r="AO22" s="107">
        <f ca="1">IF(AO$68=1,INDEX(Rates_Energy_Current[High Charge],MATCH(AO$62,Rates_Energy_Current[Code],0)),INDEX(Rates_AllOther_Current[High - Peak],MATCH(AO$64,Rates_AllOther_Current[Code],0)))</f>
        <v>706.97</v>
      </c>
      <c r="AP22" s="107">
        <f ca="1">IF(AP$68=1,INDEX(Rates_Energy_Current[High - Peak],MATCH(AP$62,Rates_Energy_Current[Code],0)),"n/a")</f>
        <v>684.59</v>
      </c>
      <c r="AQ22" s="107">
        <f ca="1">IF(AQ$68=1,INDEX(Rates_Energy_Current[High - Peak],MATCH(AQ$62,Rates_Energy_Current[Code],0)),"n/a")</f>
        <v>684.59</v>
      </c>
      <c r="AR22" s="107" t="str">
        <f ca="1">IF(AR$68=1,INDEX(Rates_Energy_Current[High - Peak],MATCH(AR$62,Rates_Energy_Current[Code],0)),"n/a")</f>
        <v>n/a</v>
      </c>
      <c r="AT22" s="118">
        <f t="shared" ref="AT22:AT31" ca="1" si="14">INDEX(AU22:CF22,0,Selected_Tariff_ID)</f>
        <v>739.28</v>
      </c>
      <c r="AU22" s="107" t="str">
        <f ca="1">IF(AU$68=1,INDEX(Rates_Energy_New[High - Peak],MATCH(AU$62,Rates_Energy_New[Code],0)),"n/a")</f>
        <v>n/a</v>
      </c>
      <c r="AV22" s="107" t="str">
        <f ca="1">IF(AV$68=1,INDEX(Rates_Energy_New[High - Peak],MATCH(AV$62,Rates_Energy_New[Code],0)),"n/a")</f>
        <v>n/a</v>
      </c>
      <c r="AW22" s="107" t="str">
        <f ca="1">IF(AW$68=1,INDEX(Rates_Energy_New[High - Peak],MATCH(AW$62,Rates_Energy_New[Code],0)),"n/a")</f>
        <v>n/a</v>
      </c>
      <c r="AX22" s="107" t="str">
        <f ca="1">IF(AX$68=1,INDEX(Rates_Energy_New[High - Peak],MATCH(AX$62,Rates_Energy_New[Code],0)),"n/a")</f>
        <v>n/a</v>
      </c>
      <c r="AY22" s="107" t="str">
        <f ca="1">IF(AY$68=1,INDEX(Rates_Energy_New[High - Peak],MATCH(AY$62,Rates_Energy_New[Code],0)),"n/a")</f>
        <v>n/a</v>
      </c>
      <c r="AZ22" s="107" t="str">
        <f ca="1">IF(AZ$68=1,INDEX(Rates_Energy_New[High - Peak],MATCH(AZ$62,Rates_Energy_New[Code],0)),"n/a")</f>
        <v>n/a</v>
      </c>
      <c r="BA22" s="107" t="str">
        <f ca="1">IF(BA$68=1,INDEX(Rates_Energy_New[High - Peak],MATCH(BA$62,Rates_Energy_New[Code],0)),"n/a")</f>
        <v>n/a</v>
      </c>
      <c r="BB22" s="107" t="str">
        <f ca="1">IF(BB$68=1,INDEX(Rates_Energy_New[High - Peak],MATCH(BB$62,Rates_Energy_New[Code],0)),"n/a")</f>
        <v>n/a</v>
      </c>
      <c r="BC22" s="107" t="str">
        <f ca="1">IF(BC$68=1,INDEX(Rates_Energy_New[High - Peak],MATCH(BC$62,Rates_Energy_New[Code],0)),"n/a")</f>
        <v>n/a</v>
      </c>
      <c r="BD22" s="107" t="str">
        <f ca="1">IF(BD$68=1,INDEX(Rates_Energy_New[High - Peak],MATCH(BD$62,Rates_Energy_New[Code],0)),"n/a")</f>
        <v>n/a</v>
      </c>
      <c r="BE22" s="107" t="str">
        <f ca="1">IF(BE$68=1,INDEX(Rates_Energy_New[High - Peak],MATCH(BE$62,Rates_Energy_New[Code],0)),"n/a")</f>
        <v>n/a</v>
      </c>
      <c r="BF22" s="107" t="str">
        <f ca="1">IF(BF$68=1,INDEX(Rates_Energy_New[High - Peak],MATCH(BF$62,Rates_Energy_New[Code],0)),"0")</f>
        <v>0</v>
      </c>
      <c r="BG22" s="107" t="str">
        <f ca="1">IF(BG$68=1,INDEX(Rates_Energy_New[High - Peak],MATCH(BG$62,Rates_Energy_New[Code],0)),"0")</f>
        <v>0</v>
      </c>
      <c r="BH22" s="107" t="str">
        <f ca="1">IF(BH$68=1,INDEX(Rates_Energy_New[High - Peak],MATCH(BH$62,Rates_Energy_New[Code],0)),"0")</f>
        <v>0</v>
      </c>
      <c r="BI22" s="107" t="str">
        <f ca="1">IF(BI$68=1,INDEX(Rates_Energy_New[High - Peak],MATCH(BI$62,Rates_Energy_New[Code],0)),"0")</f>
        <v>0</v>
      </c>
      <c r="BJ22" s="107" t="str">
        <f ca="1">IF(BJ$68=1,INDEX(Rates_Energy_New[High - Peak],MATCH(BJ$62,Rates_Energy_New[Code],0)),"0")</f>
        <v>0</v>
      </c>
      <c r="BK22" s="107">
        <f ca="1">IF(BK$68=1,INDEX(Rates_Energy_New[High - Peak],MATCH(BK$62,Rates_Energy_New[Code],0)),"n/a")</f>
        <v>739.28</v>
      </c>
      <c r="BL22" s="107">
        <f ca="1">IF(BL$68=1,INDEX(Rates_Energy_New[High - Peak],MATCH(BL$62,Rates_Energy_New[Code],0)),"n/a")</f>
        <v>739.28</v>
      </c>
      <c r="BM22" s="107" t="str">
        <f ca="1">IF(BM$68=1,INDEX(Rates_Energy_New[High - Peak],MATCH(BM$62,Rates_Energy_New[Code],0)),"n/a")</f>
        <v>n/a</v>
      </c>
      <c r="BN22" s="107" t="str">
        <f ca="1">IF(BN$68=1,INDEX(Rates_Energy_New[High - Peak],MATCH(BN$62,Rates_Energy_New[Code],0)),"n/a")</f>
        <v>n/a</v>
      </c>
      <c r="BO22" s="107" t="str">
        <f ca="1">IF(BO$68=1,INDEX(Rates_Energy_New[High - Peak],MATCH(BO$62,Rates_Energy_New[Code],0)),"n/a")</f>
        <v>n/a</v>
      </c>
      <c r="BP22" s="107">
        <f ca="1">IF(BP$68=1,INDEX(Rates_Energy_New[High - Peak],MATCH(BP$62,Rates_Energy_New[Code],0)),"n/a")</f>
        <v>746.19</v>
      </c>
      <c r="BQ22" s="107" t="str">
        <f ca="1">IF(BQ$68=1,INDEX(Rates_Energy_New[High - Peak],MATCH(BQ$62,Rates_Energy_New[Code],0)),"n/a")</f>
        <v>n/a</v>
      </c>
      <c r="BR22" s="107" t="str">
        <f ca="1">IF(BR$68=1,INDEX(Rates_Energy_New[High - Peak],MATCH(BR$62,Rates_Energy_New[Code],0)),"n/a")</f>
        <v>n/a</v>
      </c>
      <c r="BS22" s="107" t="str">
        <f ca="1">IF(BS$68=1,INDEX(Rates_Energy_New[High - Peak],MATCH(BS$62,Rates_Energy_New[Code],0)),"n/a")</f>
        <v>n/a</v>
      </c>
      <c r="BT22" s="107" t="str">
        <f ca="1">IF(BT$68=1,INDEX(Rates_Energy_New[High - Peak],MATCH(BT$62,Rates_Energy_New[Code],0)),"n/a")</f>
        <v>n/a</v>
      </c>
      <c r="BU22" s="107" t="str">
        <f ca="1">IF(BU$68=1,INDEX(Rates_Energy_New[High - Peak],MATCH(BU$62,Rates_Energy_New[Code],0)),"n/a")</f>
        <v>n/a</v>
      </c>
      <c r="BV22" s="107" t="str">
        <f ca="1">IF(BV$68=1,INDEX(Rates_Energy_New[High - Peak],MATCH(BV$62,Rates_Energy_New[Code],0)),"n/a")</f>
        <v>n/a</v>
      </c>
      <c r="BW22" s="107" t="str">
        <f ca="1">IF(BW$68=1,INDEX(Rates_Energy_New[High - Peak],MATCH(BW$62,Rates_Energy_New[Code],0)),"n/a")</f>
        <v>n/a</v>
      </c>
      <c r="BX22" s="107" t="str">
        <f ca="1">IF(BX$68=1,INDEX(Rates_Energy_New[High - Peak],MATCH(BX$62,Rates_Energy_New[Code],0)),"n/a")</f>
        <v>n/a</v>
      </c>
      <c r="BY22" s="107" t="str">
        <f ca="1">IF(BY$68=1,INDEX(Rates_Energy_New[High - Peak],MATCH(BY$62,Rates_Energy_New[Code],0)),"n/a")</f>
        <v>n/a</v>
      </c>
      <c r="BZ22" s="107" t="str">
        <f ca="1">IF(BZ$68=1,INDEX(Rates_Energy_New[High - Peak],MATCH(BZ$62,Rates_Energy_New[Code],0)),"n/a")</f>
        <v>n/a</v>
      </c>
      <c r="CA22" s="107">
        <f ca="1">IF(CA$68=1,INDEX(Rates_Energy_New[High Charge],MATCH(CA$62,Rates_Energy_New[Code],0)),INDEX(Rates_AllOther_New[High - Peak],MATCH(CA$64,Rates_AllOther_New[Code],0)))</f>
        <v>736.61</v>
      </c>
      <c r="CB22" s="107">
        <f ca="1">IF(CB$68=1,INDEX(Rates_Energy_New[High Charge],MATCH(CB$62,Rates_Energy_New[Code],0)),INDEX(Rates_AllOther_New[High - Peak],MATCH(CB$64,Rates_AllOther_New[Code],0)))</f>
        <v>736.61</v>
      </c>
      <c r="CC22" s="107">
        <f ca="1">IF(CC$68=1,INDEX(Rates_Energy_New[High Charge],MATCH(CC$62,Rates_Energy_New[Code],0)),INDEX(Rates_AllOther_New[High - Peak],MATCH(CC$64,Rates_AllOther_New[Code],0)))</f>
        <v>736.61</v>
      </c>
      <c r="CD22" s="107">
        <f ca="1">IF(CD$68=1,INDEX(Rates_Energy_New[High Charge],MATCH(CD$62,Rates_Energy_New[Code],0)),INDEX(Rates_AllOther_New[High - Peak],MATCH(CD$64,Rates_AllOther_New[Code],0)))</f>
        <v>736.61</v>
      </c>
      <c r="CE22" s="107">
        <f ca="1">IF(CE$68=1,INDEX(Rates_Energy_New[High - Peak],MATCH(CE$62,Rates_Energy_New[Code],0)),"n/a")</f>
        <v>739.28</v>
      </c>
      <c r="CF22" s="107">
        <f ca="1">IF(CF$68=1,INDEX(Rates_Energy_New[High - Peak],MATCH(CF$62,Rates_Energy_New[Code],0)),"n/a")</f>
        <v>739.28</v>
      </c>
    </row>
    <row r="23" spans="2:84" s="77" customFormat="1" ht="13.8">
      <c r="C23" s="77" t="s">
        <v>121</v>
      </c>
      <c r="D23" s="117" t="s">
        <v>106</v>
      </c>
      <c r="E23" s="118">
        <f t="shared" ca="1" si="13"/>
        <v>171.15</v>
      </c>
      <c r="F23" s="107" t="str">
        <f ca="1">IF(F$68=1,INDEX(Rates_Energy_Current[High - Standard],MATCH(F$62,Rates_Energy_Current[Code],0)),"n/a")</f>
        <v>n/a</v>
      </c>
      <c r="G23" s="107" t="str">
        <f ca="1">IF(G$68=1,INDEX(Rates_Energy_Current[High - Standard],MATCH(G$62,Rates_Energy_Current[Code],0)),"n/a")</f>
        <v>n/a</v>
      </c>
      <c r="H23" s="107" t="str">
        <f ca="1">IF(H$68=1,INDEX(Rates_Energy_Current[High - Standard],MATCH(H$62,Rates_Energy_Current[Code],0)),"n/a")</f>
        <v>n/a</v>
      </c>
      <c r="I23" s="107" t="str">
        <f ca="1">IF(I$68=1,INDEX(Rates_Energy_Current[High - Standard],MATCH(I$62,Rates_Energy_Current[Code],0)),"n/a")</f>
        <v>n/a</v>
      </c>
      <c r="J23" s="107" t="str">
        <f ca="1">IF(J$68=1,INDEX(Rates_Energy_Current[High - Standard],MATCH(J$62,Rates_Energy_Current[Code],0)),"n/a")</f>
        <v>n/a</v>
      </c>
      <c r="K23" s="107" t="str">
        <f ca="1">IF(K$68=1,INDEX(Rates_Energy_Current[High - Standard],MATCH(K$62,Rates_Energy_Current[Code],0)),"n/a")</f>
        <v>n/a</v>
      </c>
      <c r="L23" s="107" t="str">
        <f ca="1">IF(L$68=1,INDEX(Rates_Energy_Current[High - Standard],MATCH(L$62,Rates_Energy_Current[Code],0)),"n/a")</f>
        <v>n/a</v>
      </c>
      <c r="M23" s="107" t="str">
        <f ca="1">IF(M$68=1,INDEX(Rates_Energy_Current[High - Standard],MATCH(M$62,Rates_Energy_Current[Code],0)),"n/a")</f>
        <v>n/a</v>
      </c>
      <c r="N23" s="107" t="str">
        <f ca="1">IF(N$68=1,INDEX(Rates_Energy_Current[High - Standard],MATCH(N$62,Rates_Energy_Current[Code],0)),"n/a")</f>
        <v>n/a</v>
      </c>
      <c r="O23" s="107" t="str">
        <f ca="1">IF(O$68=1,INDEX(Rates_Energy_Current[High - Standard],MATCH(O$62,Rates_Energy_Current[Code],0)),"n/a")</f>
        <v>n/a</v>
      </c>
      <c r="P23" s="107" t="str">
        <f ca="1">IF(P$68=1,INDEX(Rates_Energy_Current[High - Standard],MATCH(P$62,Rates_Energy_Current[Code],0)),"n/a")</f>
        <v>n/a</v>
      </c>
      <c r="Q23" s="107" t="str">
        <f ca="1">IF(Q$68=1,INDEX(Rates_Energy_Current[High - Standard],MATCH(Q$62,Rates_Energy_Current[Code],0)),"0")</f>
        <v>0</v>
      </c>
      <c r="R23" s="107" t="str">
        <f ca="1">IF(R$68=1,INDEX(Rates_Energy_Current[High - Standard],MATCH(R$62,Rates_Energy_Current[Code],0)),"0")</f>
        <v>0</v>
      </c>
      <c r="S23" s="107" t="str">
        <f ca="1">IF(S$68=1,INDEX(Rates_Energy_Current[High - Standard],MATCH(S$62,Rates_Energy_Current[Code],0)),"0")</f>
        <v>0</v>
      </c>
      <c r="T23" s="107" t="str">
        <f ca="1">IF(T$68=1,INDEX(Rates_Energy_Current[High - Standard],MATCH(T$62,Rates_Energy_Current[Code],0)),"0")</f>
        <v>0</v>
      </c>
      <c r="U23" s="107" t="str">
        <f ca="1">IF(U$68=1,INDEX(Rates_Energy_Current[High - Standard],MATCH(U$62,Rates_Energy_Current[Code],0)),"0")</f>
        <v>0</v>
      </c>
      <c r="V23" s="107">
        <f ca="1">IF(V$68=1,INDEX(Rates_Energy_Current[High - Standard],MATCH(V$62,Rates_Energy_Current[Code],0)),"n/a")</f>
        <v>171.15</v>
      </c>
      <c r="W23" s="107">
        <f ca="1">IF(W$68=1,INDEX(Rates_Energy_Current[High - Standard],MATCH(W$62,Rates_Energy_Current[Code],0)),"n/a")</f>
        <v>171.15</v>
      </c>
      <c r="X23" s="107" t="str">
        <f ca="1">IF(X$68=1,INDEX(Rates_Energy_Current[High - Standard],MATCH(X$62,Rates_Energy_Current[Code],0)),"n/a")</f>
        <v>n/a</v>
      </c>
      <c r="Y23" s="107" t="str">
        <f ca="1">IF(Y$68=1,INDEX(Rates_Energy_Current[High - Standard],MATCH(Y$62,Rates_Energy_Current[Code],0)),"n/a")</f>
        <v>n/a</v>
      </c>
      <c r="Z23" s="107" t="str">
        <f ca="1">IF(Z$68=1,INDEX(Rates_Energy_Current[High - Standard],MATCH(Z$62,Rates_Energy_Current[Code],0)),"n/a")</f>
        <v>n/a</v>
      </c>
      <c r="AA23" s="107">
        <f ca="1">IF(AA$68=1,INDEX(Rates_Energy_Current[High - Standard],MATCH(AA$62,Rates_Energy_Current[Code],0)),"n/a")</f>
        <v>172.75</v>
      </c>
      <c r="AB23" s="107" t="str">
        <f ca="1">IF(AB$68=1,INDEX(Rates_Energy_Current[High - Standard],MATCH(AB$62,Rates_Energy_Current[Code],0)),"n/a")</f>
        <v>n/a</v>
      </c>
      <c r="AC23" s="107" t="str">
        <f ca="1">IF(AC$68=1,INDEX(Rates_Energy_Current[High - Standard],MATCH(AC$62,Rates_Energy_Current[Code],0)),"n/a")</f>
        <v>n/a</v>
      </c>
      <c r="AD23" s="107" t="str">
        <f ca="1">IF(AD$68=1,INDEX(Rates_Energy_Current[High - Standard],MATCH(AD$62,Rates_Energy_Current[Code],0)),"n/a")</f>
        <v>n/a</v>
      </c>
      <c r="AE23" s="107" t="str">
        <f ca="1">IF(AE$68=1,INDEX(Rates_Energy_Current[High - Standard],MATCH(AE$62,Rates_Energy_Current[Code],0)),"n/a")</f>
        <v>n/a</v>
      </c>
      <c r="AF23" s="107" t="str">
        <f ca="1">IF(AF$68=1,INDEX(Rates_Energy_Current[High - Standard],MATCH(AF$62,Rates_Energy_Current[Code],0)),"n/a")</f>
        <v>n/a</v>
      </c>
      <c r="AG23" s="107" t="e">
        <f ca="1">IF(AG$68=1,INDEX(Rates_Energy_Current[High - Standard],MATCH(AG$62,Rates_Energy_Current[Code],0)),"n/a")</f>
        <v>#N/A</v>
      </c>
      <c r="AH23" s="107" t="str">
        <f ca="1">IF(AH$68=1,INDEX(Rates_Energy_Current[High - Standard],MATCH(AH$62,Rates_Energy_Current[Code],0)),"n/a")</f>
        <v>n/a</v>
      </c>
      <c r="AI23" s="107" t="str">
        <f ca="1">IF(AI$68=1,INDEX(Rates_Energy_Current[High - Standard],MATCH(AI$62,Rates_Energy_Current[Code],0)),"n/a")</f>
        <v>n/a</v>
      </c>
      <c r="AJ23" s="107" t="str">
        <f ca="1">IF(AJ$68=1,INDEX(Rates_Energy_Current[High - Standard],MATCH(AJ$62,Rates_Energy_Current[Code],0)),"n/a")</f>
        <v>n/a</v>
      </c>
      <c r="AK23" s="107" t="str">
        <f ca="1">IF(AK$68=1,INDEX(Rates_Energy_Current[High - Standard],MATCH(AK$62,Rates_Energy_Current[Code],0)),"n/a")</f>
        <v>n/a</v>
      </c>
      <c r="AL23" s="107">
        <f ca="1">IF(AL$68=1,INDEX(Rates_Energy_Current[High Charge],MATCH(AL$62,Rates_Energy_Current[Code],0)),INDEX(Rates_AllOther_Current[High - Standard],MATCH(AL$64,Rates_AllOther_Current[Code],0)))</f>
        <v>216.31</v>
      </c>
      <c r="AM23" s="107">
        <f ca="1">IF(AM$68=1,INDEX(Rates_Energy_Current[High Charge],MATCH(AM$62,Rates_Energy_Current[Code],0)),INDEX(Rates_AllOther_Current[High - Standard],MATCH(AM$64,Rates_AllOther_Current[Code],0)))</f>
        <v>216.31</v>
      </c>
      <c r="AN23" s="107">
        <f ca="1">IF(AN$68=1,INDEX(Rates_Energy_Current[High Charge],MATCH(AN$62,Rates_Energy_Current[Code],0)),INDEX(Rates_AllOther_Current[High - Standard],MATCH(AN$64,Rates_AllOther_Current[Code],0)))</f>
        <v>216.31</v>
      </c>
      <c r="AO23" s="107">
        <f ca="1">IF(AO$68=1,INDEX(Rates_Energy_Current[High Charge],MATCH(AO$62,Rates_Energy_Current[Code],0)),INDEX(Rates_AllOther_Current[High - Standard],MATCH(AO$64,Rates_AllOther_Current[Code],0)))</f>
        <v>216.31</v>
      </c>
      <c r="AP23" s="107">
        <f ca="1">IF(AP$68=1,INDEX(Rates_Energy_Current[High - Standard],MATCH(AP$62,Rates_Energy_Current[Code],0)),"n/a")</f>
        <v>171.15</v>
      </c>
      <c r="AQ23" s="107">
        <f ca="1">IF(AQ$68=1,INDEX(Rates_Energy_Current[High - Standard],MATCH(AQ$62,Rates_Energy_Current[Code],0)),"n/a")</f>
        <v>171.15</v>
      </c>
      <c r="AR23" s="107" t="str">
        <f ca="1">IF(AR$68=1,INDEX(Rates_Energy_Current[High - Standard],MATCH(AR$62,Rates_Energy_Current[Code],0)),"n/a")</f>
        <v>n/a</v>
      </c>
      <c r="AT23" s="118">
        <f t="shared" ca="1" si="14"/>
        <v>184.82</v>
      </c>
      <c r="AU23" s="107" t="str">
        <f ca="1">IF(AU$68=1,INDEX(Rates_Energy_New[High - Standard],MATCH(AU$62,Rates_Energy_New[Code],0)),"n/a")</f>
        <v>n/a</v>
      </c>
      <c r="AV23" s="107" t="str">
        <f ca="1">IF(AV$68=1,INDEX(Rates_Energy_New[High - Standard],MATCH(AV$62,Rates_Energy_New[Code],0)),"n/a")</f>
        <v>n/a</v>
      </c>
      <c r="AW23" s="107" t="str">
        <f ca="1">IF(AW$68=1,INDEX(Rates_Energy_New[High - Standard],MATCH(AW$62,Rates_Energy_New[Code],0)),"n/a")</f>
        <v>n/a</v>
      </c>
      <c r="AX23" s="107" t="str">
        <f ca="1">IF(AX$68=1,INDEX(Rates_Energy_New[High - Standard],MATCH(AX$62,Rates_Energy_New[Code],0)),"n/a")</f>
        <v>n/a</v>
      </c>
      <c r="AY23" s="107" t="str">
        <f ca="1">IF(AY$68=1,INDEX(Rates_Energy_New[High - Standard],MATCH(AY$62,Rates_Energy_New[Code],0)),"n/a")</f>
        <v>n/a</v>
      </c>
      <c r="AZ23" s="107" t="str">
        <f ca="1">IF(AZ$68=1,INDEX(Rates_Energy_New[High - Standard],MATCH(AZ$62,Rates_Energy_New[Code],0)),"n/a")</f>
        <v>n/a</v>
      </c>
      <c r="BA23" s="107" t="str">
        <f ca="1">IF(BA$68=1,INDEX(Rates_Energy_New[High - Standard],MATCH(BA$62,Rates_Energy_New[Code],0)),"n/a")</f>
        <v>n/a</v>
      </c>
      <c r="BB23" s="107" t="str">
        <f ca="1">IF(BB$68=1,INDEX(Rates_Energy_New[High - Standard],MATCH(BB$62,Rates_Energy_New[Code],0)),"n/a")</f>
        <v>n/a</v>
      </c>
      <c r="BC23" s="107" t="str">
        <f ca="1">IF(BC$68=1,INDEX(Rates_Energy_New[High - Standard],MATCH(BC$62,Rates_Energy_New[Code],0)),"n/a")</f>
        <v>n/a</v>
      </c>
      <c r="BD23" s="107" t="str">
        <f ca="1">IF(BD$68=1,INDEX(Rates_Energy_New[High - Standard],MATCH(BD$62,Rates_Energy_New[Code],0)),"n/a")</f>
        <v>n/a</v>
      </c>
      <c r="BE23" s="107" t="str">
        <f ca="1">IF(BE$68=1,INDEX(Rates_Energy_New[High - Standard],MATCH(BE$62,Rates_Energy_New[Code],0)),"n/a")</f>
        <v>n/a</v>
      </c>
      <c r="BF23" s="107" t="str">
        <f ca="1">IF(BF$68=1,INDEX(Rates_Energy_New[High - Standard],MATCH(BF$62,Rates_Energy_New[Code],0)),"0")</f>
        <v>0</v>
      </c>
      <c r="BG23" s="107" t="str">
        <f ca="1">IF(BG$68=1,INDEX(Rates_Energy_New[High - Standard],MATCH(BG$62,Rates_Energy_New[Code],0)),"0")</f>
        <v>0</v>
      </c>
      <c r="BH23" s="107" t="str">
        <f ca="1">IF(BH$68=1,INDEX(Rates_Energy_New[High - Standard],MATCH(BH$62,Rates_Energy_New[Code],0)),"0")</f>
        <v>0</v>
      </c>
      <c r="BI23" s="107" t="str">
        <f ca="1">IF(BI$68=1,INDEX(Rates_Energy_New[High - Standard],MATCH(BI$62,Rates_Energy_New[Code],0)),"0")</f>
        <v>0</v>
      </c>
      <c r="BJ23" s="107" t="str">
        <f ca="1">IF(BJ$68=1,INDEX(Rates_Energy_New[High - Standard],MATCH(BJ$62,Rates_Energy_New[Code],0)),"0")</f>
        <v>0</v>
      </c>
      <c r="BK23" s="107">
        <f ca="1">IF(BK$68=1,INDEX(Rates_Energy_New[High - Standard],MATCH(BK$62,Rates_Energy_New[Code],0)),"n/a")</f>
        <v>184.82</v>
      </c>
      <c r="BL23" s="107">
        <f ca="1">IF(BL$68=1,INDEX(Rates_Energy_New[High - Standard],MATCH(BL$62,Rates_Energy_New[Code],0)),"n/a")</f>
        <v>184.82</v>
      </c>
      <c r="BM23" s="107" t="str">
        <f ca="1">IF(BM$68=1,INDEX(Rates_Energy_New[High - Standard],MATCH(BM$62,Rates_Energy_New[Code],0)),"n/a")</f>
        <v>n/a</v>
      </c>
      <c r="BN23" s="107" t="str">
        <f ca="1">IF(BN$68=1,INDEX(Rates_Energy_New[High - Standard],MATCH(BN$62,Rates_Energy_New[Code],0)),"n/a")</f>
        <v>n/a</v>
      </c>
      <c r="BO23" s="107" t="str">
        <f ca="1">IF(BO$68=1,INDEX(Rates_Energy_New[High - Standard],MATCH(BO$62,Rates_Energy_New[Code],0)),"n/a")</f>
        <v>n/a</v>
      </c>
      <c r="BP23" s="107">
        <f ca="1">IF(BP$68=1,INDEX(Rates_Energy_New[High - Standard],MATCH(BP$62,Rates_Energy_New[Code],0)),"n/a")</f>
        <v>186.55</v>
      </c>
      <c r="BQ23" s="107" t="str">
        <f ca="1">IF(BQ$68=1,INDEX(Rates_Energy_New[High - Standard],MATCH(BQ$62,Rates_Energy_New[Code],0)),"n/a")</f>
        <v>n/a</v>
      </c>
      <c r="BR23" s="107" t="str">
        <f ca="1">IF(BR$68=1,INDEX(Rates_Energy_New[High - Standard],MATCH(BR$62,Rates_Energy_New[Code],0)),"n/a")</f>
        <v>n/a</v>
      </c>
      <c r="BS23" s="107" t="str">
        <f ca="1">IF(BS$68=1,INDEX(Rates_Energy_New[High - Standard],MATCH(BS$62,Rates_Energy_New[Code],0)),"n/a")</f>
        <v>n/a</v>
      </c>
      <c r="BT23" s="107" t="str">
        <f ca="1">IF(BT$68=1,INDEX(Rates_Energy_New[High - Standard],MATCH(BT$62,Rates_Energy_New[Code],0)),"n/a")</f>
        <v>n/a</v>
      </c>
      <c r="BU23" s="107" t="str">
        <f ca="1">IF(BU$68=1,INDEX(Rates_Energy_New[High - Standard],MATCH(BU$62,Rates_Energy_New[Code],0)),"n/a")</f>
        <v>n/a</v>
      </c>
      <c r="BV23" s="107" t="str">
        <f ca="1">IF(BV$68=1,INDEX(Rates_Energy_New[High - Standard],MATCH(BV$62,Rates_Energy_New[Code],0)),"n/a")</f>
        <v>n/a</v>
      </c>
      <c r="BW23" s="107" t="str">
        <f ca="1">IF(BW$68=1,INDEX(Rates_Energy_New[High - Standard],MATCH(BW$62,Rates_Energy_New[Code],0)),"n/a")</f>
        <v>n/a</v>
      </c>
      <c r="BX23" s="107" t="str">
        <f ca="1">IF(BX$68=1,INDEX(Rates_Energy_New[High - Standard],MATCH(BX$62,Rates_Energy_New[Code],0)),"n/a")</f>
        <v>n/a</v>
      </c>
      <c r="BY23" s="107" t="str">
        <f ca="1">IF(BY$68=1,INDEX(Rates_Energy_New[High - Standard],MATCH(BY$62,Rates_Energy_New[Code],0)),"n/a")</f>
        <v>n/a</v>
      </c>
      <c r="BZ23" s="107" t="str">
        <f ca="1">IF(BZ$68=1,INDEX(Rates_Energy_New[High - Standard],MATCH(BZ$62,Rates_Energy_New[Code],0)),"n/a")</f>
        <v>n/a</v>
      </c>
      <c r="CA23" s="107">
        <f ca="1">IF(CA$68=1,INDEX(Rates_Energy_New[High Charge],MATCH(CA$62,Rates_Energy_New[Code],0)),INDEX(Rates_AllOther_New[High - Standard],MATCH(CA$64,Rates_AllOther_New[Code],0)))</f>
        <v>225.38</v>
      </c>
      <c r="CB23" s="107">
        <f ca="1">IF(CB$68=1,INDEX(Rates_Energy_New[High Charge],MATCH(CB$62,Rates_Energy_New[Code],0)),INDEX(Rates_AllOther_New[High - Standard],MATCH(CB$64,Rates_AllOther_New[Code],0)))</f>
        <v>225.38</v>
      </c>
      <c r="CC23" s="107">
        <f ca="1">IF(CC$68=1,INDEX(Rates_Energy_New[High Charge],MATCH(CC$62,Rates_Energy_New[Code],0)),INDEX(Rates_AllOther_New[High - Standard],MATCH(CC$64,Rates_AllOther_New[Code],0)))</f>
        <v>225.38</v>
      </c>
      <c r="CD23" s="107">
        <f ca="1">IF(CD$68=1,INDEX(Rates_Energy_New[High Charge],MATCH(CD$62,Rates_Energy_New[Code],0)),INDEX(Rates_AllOther_New[High - Standard],MATCH(CD$64,Rates_AllOther_New[Code],0)))</f>
        <v>225.38</v>
      </c>
      <c r="CE23" s="107">
        <f ca="1">IF(CE$68=1,INDEX(Rates_Energy_New[High - Standard],MATCH(CE$62,Rates_Energy_New[Code],0)),"n/a")</f>
        <v>184.82</v>
      </c>
      <c r="CF23" s="107">
        <f ca="1">IF(CF$68=1,INDEX(Rates_Energy_New[High - Standard],MATCH(CF$62,Rates_Energy_New[Code],0)),"n/a")</f>
        <v>184.82</v>
      </c>
    </row>
    <row r="24" spans="2:84" s="77" customFormat="1" ht="13.8">
      <c r="C24" s="77" t="s">
        <v>122</v>
      </c>
      <c r="D24" s="117" t="s">
        <v>106</v>
      </c>
      <c r="E24" s="118">
        <f t="shared" ca="1" si="13"/>
        <v>114.09</v>
      </c>
      <c r="F24" s="107" t="str">
        <f ca="1">IF(F$68=1,INDEX(Rates_Energy_Current[High-Off Peak],MATCH(F$62,Rates_Energy_Current[Code],0)),"n/a")</f>
        <v>n/a</v>
      </c>
      <c r="G24" s="107" t="str">
        <f ca="1">IF(G$68=1,INDEX(Rates_Energy_Current[High-Off Peak],MATCH(G$62,Rates_Energy_Current[Code],0)),"n/a")</f>
        <v>n/a</v>
      </c>
      <c r="H24" s="107" t="str">
        <f ca="1">IF(H$68=1,INDEX(Rates_Energy_Current[High-Off Peak],MATCH(H$62,Rates_Energy_Current[Code],0)),"n/a")</f>
        <v>n/a</v>
      </c>
      <c r="I24" s="107" t="str">
        <f ca="1">IF(I$68=1,INDEX(Rates_Energy_Current[High-Off Peak],MATCH(I$62,Rates_Energy_Current[Code],0)),"n/a")</f>
        <v>n/a</v>
      </c>
      <c r="J24" s="107" t="str">
        <f ca="1">IF(J$68=1,INDEX(Rates_Energy_Current[High-Off Peak],MATCH(J$62,Rates_Energy_Current[Code],0)),"n/a")</f>
        <v>n/a</v>
      </c>
      <c r="K24" s="107" t="str">
        <f ca="1">IF(K$68=1,INDEX(Rates_Energy_Current[High-Off Peak],MATCH(K$62,Rates_Energy_Current[Code],0)),"n/a")</f>
        <v>n/a</v>
      </c>
      <c r="L24" s="107" t="str">
        <f ca="1">IF(L$68=1,INDEX(Rates_Energy_Current[High-Off Peak],MATCH(L$62,Rates_Energy_Current[Code],0)),"n/a")</f>
        <v>n/a</v>
      </c>
      <c r="M24" s="107" t="str">
        <f ca="1">IF(M$68=1,INDEX(Rates_Energy_Current[High-Off Peak],MATCH(M$62,Rates_Energy_Current[Code],0)),"n/a")</f>
        <v>n/a</v>
      </c>
      <c r="N24" s="107" t="str">
        <f ca="1">IF(N$68=1,INDEX(Rates_Energy_Current[High-Off Peak],MATCH(N$62,Rates_Energy_Current[Code],0)),"n/a")</f>
        <v>n/a</v>
      </c>
      <c r="O24" s="107" t="str">
        <f ca="1">IF(O$68=1,INDEX(Rates_Energy_Current[High-Off Peak],MATCH(O$62,Rates_Energy_Current[Code],0)),"n/a")</f>
        <v>n/a</v>
      </c>
      <c r="P24" s="107" t="str">
        <f ca="1">IF(P$68=1,INDEX(Rates_Energy_Current[High-Off Peak],MATCH(P$62,Rates_Energy_Current[Code],0)),"n/a")</f>
        <v>n/a</v>
      </c>
      <c r="Q24" s="107" t="str">
        <f ca="1">IF(Q$68=1,INDEX(Rates_Energy_Current[High-Off Peak],MATCH(Q$62,Rates_Energy_Current[Code],0)),"0")</f>
        <v>0</v>
      </c>
      <c r="R24" s="107" t="str">
        <f ca="1">IF(R$68=1,INDEX(Rates_Energy_Current[High-Off Peak],MATCH(R$62,Rates_Energy_Current[Code],0)),"0")</f>
        <v>0</v>
      </c>
      <c r="S24" s="107" t="str">
        <f ca="1">IF(S$68=1,INDEX(Rates_Energy_Current[High-Off Peak],MATCH(S$62,Rates_Energy_Current[Code],0)),"0")</f>
        <v>0</v>
      </c>
      <c r="T24" s="107" t="str">
        <f ca="1">IF(T$68=1,INDEX(Rates_Energy_Current[High-Off Peak],MATCH(T$62,Rates_Energy_Current[Code],0)),"0")</f>
        <v>0</v>
      </c>
      <c r="U24" s="107" t="str">
        <f ca="1">IF(U$68=1,INDEX(Rates_Energy_Current[High-Off Peak],MATCH(U$62,Rates_Energy_Current[Code],0)),"0")</f>
        <v>0</v>
      </c>
      <c r="V24" s="107">
        <f ca="1">IF(V$68=1,INDEX(Rates_Energy_Current[High-Off Peak],MATCH(V$62,Rates_Energy_Current[Code],0)),"n/a")</f>
        <v>114.09</v>
      </c>
      <c r="W24" s="107">
        <f ca="1">IF(W$68=1,INDEX(Rates_Energy_Current[High-Off Peak],MATCH(W$62,Rates_Energy_Current[Code],0)),"n/a")</f>
        <v>114.09</v>
      </c>
      <c r="X24" s="107" t="str">
        <f ca="1">IF(X$68=1,INDEX(Rates_Energy_Current[High-Off Peak],MATCH(X$62,Rates_Energy_Current[Code],0)),"n/a")</f>
        <v>n/a</v>
      </c>
      <c r="Y24" s="107" t="str">
        <f ca="1">IF(Y$68=1,INDEX(Rates_Energy_Current[High-Off Peak],MATCH(Y$62,Rates_Energy_Current[Code],0)),"n/a")</f>
        <v>n/a</v>
      </c>
      <c r="Z24" s="107" t="str">
        <f ca="1">IF(Z$68=1,INDEX(Rates_Energy_Current[High-Off Peak],MATCH(Z$62,Rates_Energy_Current[Code],0)),"n/a")</f>
        <v>n/a</v>
      </c>
      <c r="AA24" s="107">
        <f ca="1">IF(AA$68=1,INDEX(Rates_Energy_Current[High-Off Peak],MATCH(AA$62,Rates_Energy_Current[Code],0)),"n/a")</f>
        <v>115.16</v>
      </c>
      <c r="AB24" s="107" t="str">
        <f ca="1">IF(AB$68=1,INDEX(Rates_Energy_Current[High-Off Peak],MATCH(AB$62,Rates_Energy_Current[Code],0)),"n/a")</f>
        <v>n/a</v>
      </c>
      <c r="AC24" s="107" t="str">
        <f ca="1">IF(AC$68=1,INDEX(Rates_Energy_Current[High-Off Peak],MATCH(AC$62,Rates_Energy_Current[Code],0)),"n/a")</f>
        <v>n/a</v>
      </c>
      <c r="AD24" s="107" t="str">
        <f ca="1">IF(AD$68=1,INDEX(Rates_Energy_Current[High-Off Peak],MATCH(AD$62,Rates_Energy_Current[Code],0)),"n/a")</f>
        <v>n/a</v>
      </c>
      <c r="AE24" s="107" t="str">
        <f ca="1">IF(AE$68=1,INDEX(Rates_Energy_Current[High-Off Peak],MATCH(AE$62,Rates_Energy_Current[Code],0)),"n/a")</f>
        <v>n/a</v>
      </c>
      <c r="AF24" s="107" t="str">
        <f ca="1">IF(AF$68=1,INDEX(Rates_Energy_Current[High-Off Peak],MATCH(AF$62,Rates_Energy_Current[Code],0)),"n/a")</f>
        <v>n/a</v>
      </c>
      <c r="AG24" s="107" t="e">
        <f ca="1">IF(AG$68=1,INDEX(Rates_Energy_Current[High-Off Peak],MATCH(AG$62,Rates_Energy_Current[Code],0)),"n/a")</f>
        <v>#N/A</v>
      </c>
      <c r="AH24" s="77" t="str">
        <f ca="1">IF(AH$68=1,INDEX(Rates_Energy_Current[High-Off Peak],MATCH(AH$62,Rates_Energy_Current[Code],0)),"n/a")</f>
        <v>n/a</v>
      </c>
      <c r="AI24" s="77" t="str">
        <f ca="1">IF(AI$68=1,INDEX(Rates_Energy_Current[High-Off Peak],MATCH(AI$62,Rates_Energy_Current[Code],0)),"n/a")</f>
        <v>n/a</v>
      </c>
      <c r="AJ24" s="77" t="str">
        <f ca="1">IF(AJ$68=1,INDEX(Rates_Energy_Current[High-Off Peak],MATCH(AJ$62,Rates_Energy_Current[Code],0)),"n/a")</f>
        <v>n/a</v>
      </c>
      <c r="AK24" s="77" t="str">
        <f ca="1">IF(AK$68=1,INDEX(Rates_Energy_Current[High-Off Peak],MATCH(AK$62,Rates_Energy_Current[Code],0)),"n/a")</f>
        <v>n/a</v>
      </c>
      <c r="AL24" s="107">
        <f ca="1">IF(AL$68=1,INDEX(Rates_Energy_Current[High Charge],MATCH(AL$62,Rates_Energy_Current[Code],0)),INDEX(Rates_AllOther_Current[High-Off Peak],MATCH(AL$64,Rates_AllOther_Current[Code],0)))</f>
        <v>159.26</v>
      </c>
      <c r="AM24" s="107">
        <f ca="1">IF(AM$68=1,INDEX(Rates_Energy_Current[High Charge],MATCH(AM$62,Rates_Energy_Current[Code],0)),INDEX(Rates_AllOther_Current[High-Off Peak],MATCH(AM$64,Rates_AllOther_Current[Code],0)))</f>
        <v>159.26</v>
      </c>
      <c r="AN24" s="107">
        <f ca="1">IF(AN$68=1,INDEX(Rates_Energy_Current[High Charge],MATCH(AN$62,Rates_Energy_Current[Code],0)),INDEX(Rates_AllOther_Current[High-Off Peak],MATCH(AN$64,Rates_AllOther_Current[Code],0)))</f>
        <v>159.26</v>
      </c>
      <c r="AO24" s="107">
        <f ca="1">IF(AO$68=1,INDEX(Rates_Energy_Current[High Charge],MATCH(AO$62,Rates_Energy_Current[Code],0)),INDEX(Rates_AllOther_Current[High-Off Peak],MATCH(AO$64,Rates_AllOther_Current[Code],0)))</f>
        <v>159.26</v>
      </c>
      <c r="AP24" s="107">
        <f ca="1">IF(AP$68=1,INDEX(Rates_Energy_Current[High-Off Peak],MATCH(AP$62,Rates_Energy_Current[Code],0)),"n/a")</f>
        <v>114.09</v>
      </c>
      <c r="AQ24" s="107">
        <f ca="1">IF(AQ$68=1,INDEX(Rates_Energy_Current[High-Off Peak],MATCH(AQ$62,Rates_Energy_Current[Code],0)),"n/a")</f>
        <v>114.09</v>
      </c>
      <c r="AR24" s="107" t="str">
        <f ca="1">IF(AR$68=1,INDEX(Rates_Energy_Current[High-Off Peak],MATCH(AR$62,Rates_Energy_Current[Code],0)),"n/a")</f>
        <v>n/a</v>
      </c>
      <c r="AT24" s="118">
        <f t="shared" ca="1" si="14"/>
        <v>123.2</v>
      </c>
      <c r="AU24" s="107" t="str">
        <f ca="1">IF(AU$68=1,INDEX(Rates_Energy_New[High-Off Peak],MATCH(AU$62,Rates_Energy_New[Code],0)),"n/a")</f>
        <v>n/a</v>
      </c>
      <c r="AV24" s="107" t="str">
        <f ca="1">IF(AV$68=1,INDEX(Rates_Energy_New[High-Off Peak],MATCH(AV$62,Rates_Energy_New[Code],0)),"n/a")</f>
        <v>n/a</v>
      </c>
      <c r="AW24" s="107" t="str">
        <f ca="1">IF(AW$68=1,INDEX(Rates_Energy_New[High-Off Peak],MATCH(AW$62,Rates_Energy_New[Code],0)),"n/a")</f>
        <v>n/a</v>
      </c>
      <c r="AX24" s="107" t="str">
        <f ca="1">IF(AX$68=1,INDEX(Rates_Energy_New[High-Off Peak],MATCH(AX$62,Rates_Energy_New[Code],0)),"n/a")</f>
        <v>n/a</v>
      </c>
      <c r="AY24" s="107" t="str">
        <f ca="1">IF(AY$68=1,INDEX(Rates_Energy_New[High-Off Peak],MATCH(AY$62,Rates_Energy_New[Code],0)),"n/a")</f>
        <v>n/a</v>
      </c>
      <c r="AZ24" s="107" t="str">
        <f ca="1">IF(AZ$68=1,INDEX(Rates_Energy_New[High-Off Peak],MATCH(AZ$62,Rates_Energy_New[Code],0)),"n/a")</f>
        <v>n/a</v>
      </c>
      <c r="BA24" s="107" t="str">
        <f ca="1">IF(BA$68=1,INDEX(Rates_Energy_New[High-Off Peak],MATCH(BA$62,Rates_Energy_New[Code],0)),"n/a")</f>
        <v>n/a</v>
      </c>
      <c r="BB24" s="107" t="str">
        <f ca="1">IF(BB$68=1,INDEX(Rates_Energy_New[High-Off Peak],MATCH(BB$62,Rates_Energy_New[Code],0)),"n/a")</f>
        <v>n/a</v>
      </c>
      <c r="BC24" s="107" t="str">
        <f ca="1">IF(BC$68=1,INDEX(Rates_Energy_New[High-Off Peak],MATCH(BC$62,Rates_Energy_New[Code],0)),"n/a")</f>
        <v>n/a</v>
      </c>
      <c r="BD24" s="107" t="str">
        <f ca="1">IF(BD$68=1,INDEX(Rates_Energy_New[High-Off Peak],MATCH(BD$62,Rates_Energy_New[Code],0)),"n/a")</f>
        <v>n/a</v>
      </c>
      <c r="BE24" s="107" t="str">
        <f ca="1">IF(BE$68=1,INDEX(Rates_Energy_New[High-Off Peak],MATCH(BE$62,Rates_Energy_New[Code],0)),"n/a")</f>
        <v>n/a</v>
      </c>
      <c r="BF24" s="107" t="str">
        <f ca="1">IF(BF$68=1,INDEX(Rates_Energy_New[High-Off Peak],MATCH(BF$62,Rates_Energy_New[Code],0)),"0")</f>
        <v>0</v>
      </c>
      <c r="BG24" s="107" t="str">
        <f ca="1">IF(BG$68=1,INDEX(Rates_Energy_New[High-Off Peak],MATCH(BG$62,Rates_Energy_New[Code],0)),"0")</f>
        <v>0</v>
      </c>
      <c r="BH24" s="107" t="str">
        <f ca="1">IF(BH$68=1,INDEX(Rates_Energy_New[High-Off Peak],MATCH(BH$62,Rates_Energy_New[Code],0)),"0")</f>
        <v>0</v>
      </c>
      <c r="BI24" s="107" t="str">
        <f ca="1">IF(BI$68=1,INDEX(Rates_Energy_New[High-Off Peak],MATCH(BI$62,Rates_Energy_New[Code],0)),"0")</f>
        <v>0</v>
      </c>
      <c r="BJ24" s="107" t="str">
        <f ca="1">IF(BJ$68=1,INDEX(Rates_Energy_New[High-Off Peak],MATCH(BJ$62,Rates_Energy_New[Code],0)),"0")</f>
        <v>0</v>
      </c>
      <c r="BK24" s="107">
        <f ca="1">IF(BK$68=1,INDEX(Rates_Energy_New[High-Off Peak],MATCH(BK$62,Rates_Energy_New[Code],0)),"n/a")</f>
        <v>123.2</v>
      </c>
      <c r="BL24" s="107">
        <f ca="1">IF(BL$68=1,INDEX(Rates_Energy_New[High-Off Peak],MATCH(BL$62,Rates_Energy_New[Code],0)),"n/a")</f>
        <v>123.2</v>
      </c>
      <c r="BM24" s="107" t="str">
        <f ca="1">IF(BM$68=1,INDEX(Rates_Energy_New[High-Off Peak],MATCH(BM$62,Rates_Energy_New[Code],0)),"n/a")</f>
        <v>n/a</v>
      </c>
      <c r="BN24" s="107" t="str">
        <f ca="1">IF(BN$68=1,INDEX(Rates_Energy_New[High-Off Peak],MATCH(BN$62,Rates_Energy_New[Code],0)),"n/a")</f>
        <v>n/a</v>
      </c>
      <c r="BO24" s="107" t="str">
        <f ca="1">IF(BO$68=1,INDEX(Rates_Energy_New[High-Off Peak],MATCH(BO$62,Rates_Energy_New[Code],0)),"n/a")</f>
        <v>n/a</v>
      </c>
      <c r="BP24" s="107">
        <f ca="1">IF(BP$68=1,INDEX(Rates_Energy_New[High-Off Peak],MATCH(BP$62,Rates_Energy_New[Code],0)),"n/a")</f>
        <v>124.36</v>
      </c>
      <c r="BQ24" s="107" t="str">
        <f ca="1">IF(BQ$68=1,INDEX(Rates_Energy_New[High-Off Peak],MATCH(BQ$62,Rates_Energy_New[Code],0)),"n/a")</f>
        <v>n/a</v>
      </c>
      <c r="BR24" s="107" t="str">
        <f ca="1">IF(BR$68=1,INDEX(Rates_Energy_New[High-Off Peak],MATCH(BR$62,Rates_Energy_New[Code],0)),"n/a")</f>
        <v>n/a</v>
      </c>
      <c r="BS24" s="107" t="str">
        <f ca="1">IF(BS$68=1,INDEX(Rates_Energy_New[High-Off Peak],MATCH(BS$62,Rates_Energy_New[Code],0)),"n/a")</f>
        <v>n/a</v>
      </c>
      <c r="BT24" s="107" t="str">
        <f ca="1">IF(BT$68=1,INDEX(Rates_Energy_New[High-Off Peak],MATCH(BT$62,Rates_Energy_New[Code],0)),"n/a")</f>
        <v>n/a</v>
      </c>
      <c r="BU24" s="107" t="str">
        <f ca="1">IF(BU$68=1,INDEX(Rates_Energy_New[High-Off Peak],MATCH(BU$62,Rates_Energy_New[Code],0)),"n/a")</f>
        <v>n/a</v>
      </c>
      <c r="BV24" s="107" t="str">
        <f ca="1">IF(BV$68=1,INDEX(Rates_Energy_New[High-Off Peak],MATCH(BV$62,Rates_Energy_New[Code],0)),"n/a")</f>
        <v>n/a</v>
      </c>
      <c r="BW24" s="107" t="str">
        <f ca="1">IF(BW$68=1,INDEX(Rates_Energy_New[High-Off Peak],MATCH(BW$62,Rates_Energy_New[Code],0)),"n/a")</f>
        <v>n/a</v>
      </c>
      <c r="BX24" s="107" t="str">
        <f ca="1">IF(BX$68=1,INDEX(Rates_Energy_New[High-Off Peak],MATCH(BX$62,Rates_Energy_New[Code],0)),"n/a")</f>
        <v>n/a</v>
      </c>
      <c r="BY24" s="107" t="str">
        <f ca="1">IF(BY$68=1,INDEX(Rates_Energy_New[High-Off Peak],MATCH(BY$62,Rates_Energy_New[Code],0)),"n/a")</f>
        <v>n/a</v>
      </c>
      <c r="BZ24" s="107" t="str">
        <f ca="1">IF(BZ$68=1,INDEX(Rates_Energy_New[High-Off Peak],MATCH(BZ$62,Rates_Energy_New[Code],0)),"n/a")</f>
        <v>n/a</v>
      </c>
      <c r="CA24" s="107">
        <f ca="1">IF(CA$68=1,INDEX(Rates_Energy_New[High Charge],MATCH(CA$62,Rates_Energy_New[Code],0)),INDEX(Rates_AllOther_New[High-Off Peak],MATCH(CA$64,Rates_AllOther_New[Code],0)))</f>
        <v>165.94</v>
      </c>
      <c r="CB24" s="107">
        <f ca="1">IF(CB$68=1,INDEX(Rates_Energy_New[High Charge],MATCH(CB$62,Rates_Energy_New[Code],0)),INDEX(Rates_AllOther_New[High-Off Peak],MATCH(CB$64,Rates_AllOther_New[Code],0)))</f>
        <v>165.94</v>
      </c>
      <c r="CC24" s="107">
        <f ca="1">IF(CC$68=1,INDEX(Rates_Energy_New[High Charge],MATCH(CC$62,Rates_Energy_New[Code],0)),INDEX(Rates_AllOther_New[High-Off Peak],MATCH(CC$64,Rates_AllOther_New[Code],0)))</f>
        <v>165.94</v>
      </c>
      <c r="CD24" s="107">
        <f ca="1">IF(CD$68=1,INDEX(Rates_Energy_New[High Charge],MATCH(CD$62,Rates_Energy_New[Code],0)),INDEX(Rates_AllOther_New[High-Off Peak],MATCH(CD$64,Rates_AllOther_New[Code],0)))</f>
        <v>165.94</v>
      </c>
      <c r="CE24" s="107">
        <f ca="1">IF(CE$68=1,INDEX(Rates_Energy_New[High-Off Peak],MATCH(CE$62,Rates_Energy_New[Code],0)),"n/a")</f>
        <v>123.2</v>
      </c>
      <c r="CF24" s="107">
        <f ca="1">IF(CF$68=1,INDEX(Rates_Energy_New[High-Off Peak],MATCH(CF$62,Rates_Energy_New[Code],0)),"n/a")</f>
        <v>123.2</v>
      </c>
    </row>
    <row r="25" spans="2:84" s="77" customFormat="1" ht="22.8" customHeight="1">
      <c r="E25" s="121">
        <f t="shared" ca="1" si="13"/>
        <v>0</v>
      </c>
      <c r="AH25" s="122"/>
      <c r="AI25" s="122"/>
      <c r="AJ25" s="122"/>
      <c r="AK25" s="122"/>
      <c r="AT25" s="121">
        <f t="shared" ca="1" si="14"/>
        <v>0</v>
      </c>
    </row>
    <row r="26" spans="2:84" s="77" customFormat="1" ht="13.8">
      <c r="C26" s="77" t="s">
        <v>140</v>
      </c>
      <c r="D26" s="117" t="s">
        <v>106</v>
      </c>
      <c r="E26" s="118" t="str">
        <f t="shared" ca="1" si="13"/>
        <v>n/a</v>
      </c>
      <c r="F26" s="122">
        <f ca="1">IF(F$68=1,INDEX(Rates_Energy_Current[High Charge],MATCH(F$62,Rates_Energy_Current[Code],0)),INDEX(Rates_AllOther_Current[Energy charge '[c/kWh']],MATCH(F$64,Rates_AllOther_Current[Code],0)))</f>
        <v>224.93</v>
      </c>
      <c r="G26" s="122">
        <f ca="1">IF(G$68=1,INDEX(Rates_Energy_Current[High Charge],MATCH(G$62,Rates_Energy_Current[Code],0)),INDEX(Rates_AllOther_Current[Energy charge '[c/kWh']],MATCH(G$64,Rates_AllOther_Current[Code],0)))</f>
        <v>224.93</v>
      </c>
      <c r="H26" s="122">
        <f ca="1">IF(H$68=1,INDEX(Rates_Energy_Current[High Charge],MATCH(H$62,Rates_Energy_Current[Code],0)),INDEX(Rates_AllOther_Current[Energy charge '[c/kWh']],MATCH(H$64,Rates_AllOther_Current[Code],0)))</f>
        <v>224.93</v>
      </c>
      <c r="I26" s="122">
        <f ca="1">IF(I$68=1,INDEX(Rates_Energy_Current[High Charge],MATCH(I$62,Rates_Energy_Current[Code],0)),INDEX(Rates_AllOther_Current[Energy charge '[c/kWh']],MATCH(I$64,Rates_AllOther_Current[Code],0)))</f>
        <v>350.09</v>
      </c>
      <c r="J26" s="122">
        <f ca="1">IF(J$68=1,INDEX(Rates_Energy_Current[High Charge],MATCH(J$62,Rates_Energy_Current[Code],0)),INDEX(Rates_AllOther_Current[Energy charge '[c/kWh']],MATCH(J$64,Rates_AllOther_Current[Code],0)))</f>
        <v>216.11</v>
      </c>
      <c r="K26" s="122">
        <f ca="1">IF(K$68=1,INDEX(Rates_Energy_Current[High Charge],MATCH(K$62,Rates_Energy_Current[Code],0)),INDEX(Rates_AllOther_Current[Energy charge '[c/kWh']],MATCH(K$64,Rates_AllOther_Current[Code],0)))</f>
        <v>274.72000000000003</v>
      </c>
      <c r="L26" s="122">
        <f ca="1">IF(L$68=1,INDEX(Rates_Energy_Current[High Charge],MATCH(L$62,Rates_Energy_Current[Code],0)),INDEX(Rates_AllOther_Current[Energy charge '[c/kWh']],MATCH(L$64,Rates_AllOther_Current[Code],0)))</f>
        <v>268.77999999999997</v>
      </c>
      <c r="M26" s="122">
        <f ca="1">IF(M$68=1,INDEX(Rates_Energy_Current[High Charge],MATCH(M$62,Rates_Energy_Current[Code],0)),INDEX(Rates_AllOther_Current[Energy charge '[c/kWh']],MATCH(M$64,Rates_AllOther_Current[Code],0)))</f>
        <v>268.77999999999997</v>
      </c>
      <c r="N26" s="122">
        <f ca="1">IF(N$68=1,INDEX(Rates_Energy_Current[High Charge],MATCH(N$62,Rates_Energy_Current[Code],0)),INDEX(Rates_AllOther_Current[Energy charge '[c/kWh']],MATCH(N$64,Rates_AllOther_Current[Code],0)))</f>
        <v>268.77999999999997</v>
      </c>
      <c r="O26" s="122">
        <f ca="1">IF(O$68=1,INDEX(Rates_Energy_Current[High Charge],MATCH(O$62,Rates_Energy_Current[Code],0)),INDEX(Rates_AllOther_Current[Energy charge '[c/kWh']],MATCH(O$64,Rates_AllOther_Current[Code],0)))</f>
        <v>268.77999999999997</v>
      </c>
      <c r="P26" s="122">
        <f ca="1">IF(P$68=1,INDEX(Rates_Energy_Current[High Charge],MATCH(P$62,Rates_Energy_Current[Code],0)),INDEX(Rates_AllOther_Current[Energy charge '[c/kWh']],MATCH(P$64,Rates_AllOther_Current[Code],0)))</f>
        <v>268.77999999999997</v>
      </c>
      <c r="Q26" s="122">
        <f ca="1">IF(Q$68=1,INDEX(Rates_Energy_Current[High Charge],MATCH(Q$62,Rates_Energy_Current[Code],0)),INDEX(Rates_AllOther_Current[Energy charge '[c/kWh']],MATCH(Q$64,Rates_AllOther_Current[Code],0)))</f>
        <v>224.93</v>
      </c>
      <c r="R26" s="122">
        <f ca="1">IF(R$68=1,INDEX(Rates_Energy_Current[High Charge],MATCH(R$62,Rates_Energy_Current[Code],0)),INDEX(Rates_AllOther_Current[Energy charge '[c/kWh']],MATCH(R$64,Rates_AllOther_Current[Code],0)))</f>
        <v>224.93</v>
      </c>
      <c r="S26" s="122">
        <f ca="1">IF(S$68=1,INDEX(Rates_Energy_Current[High Charge],MATCH(S$62,Rates_Energy_Current[Code],0)),INDEX(Rates_AllOther_Current[Energy charge '[c/kWh']],MATCH(S$64,Rates_AllOther_Current[Code],0)))</f>
        <v>224.93</v>
      </c>
      <c r="T26" s="122">
        <f ca="1">IF(T$68=1,INDEX(Rates_Energy_Current[High Charge],MATCH(T$62,Rates_Energy_Current[Code],0)),INDEX(Rates_AllOther_Current[Energy charge '[c/kWh']],MATCH(T$64,Rates_AllOther_Current[Code],0)))</f>
        <v>369.32</v>
      </c>
      <c r="U26" s="122">
        <f ca="1">IF(U$68=1,INDEX(Rates_Energy_Current[High Charge],MATCH(U$62,Rates_Energy_Current[Code],0)),INDEX(Rates_AllOther_Current[Energy charge '[c/kWh']],MATCH(U$64,Rates_AllOther_Current[Code],0)))</f>
        <v>0</v>
      </c>
      <c r="V26" s="122" t="str">
        <f ca="1">IF(V$68=1,INDEX(Rates_Energy_Current[High Charge],MATCH(V$62,Rates_Energy_Current[Code],0)),INDEX(Rates_AllOther_Current[Energy charge '[c/kWh']],MATCH(V$64,Rates_AllOther_Current[Code],0)))</f>
        <v>n/a</v>
      </c>
      <c r="W26" s="122" t="str">
        <f ca="1">IF(W$68=1,INDEX(Rates_Energy_Current[High Charge],MATCH(W$62,Rates_Energy_Current[Code],0)),INDEX(Rates_AllOther_Current[Energy charge '[c/kWh']],MATCH(W$64,Rates_AllOther_Current[Code],0)))</f>
        <v>n/a</v>
      </c>
      <c r="X26" s="122">
        <f ca="1">IF(X$68=1,INDEX(Rates_Energy_Current[High Charge],MATCH(X$62,Rates_Energy_Current[Code],0)),INDEX(Rates_AllOther_Current[Energy charge '[c/kWh']],MATCH(X$64,Rates_AllOther_Current[Code],0)))</f>
        <v>168.44</v>
      </c>
      <c r="Y26" s="122">
        <f ca="1">IF(Y$68=1,INDEX(Rates_Energy_Current[High Charge],MATCH(Y$62,Rates_Energy_Current[Code],0)),INDEX(Rates_AllOther_Current[Energy charge '[c/kWh']],MATCH(Y$64,Rates_AllOther_Current[Code],0)))</f>
        <v>153.69</v>
      </c>
      <c r="Z26" s="122">
        <f ca="1">IF(Z$68=1,INDEX(Rates_Energy_Current[High Charge],MATCH(Z$62,Rates_Energy_Current[Code],0)),INDEX(Rates_AllOther_Current[Energy charge '[c/kWh']],MATCH(Z$64,Rates_AllOther_Current[Code],0)))</f>
        <v>168.44</v>
      </c>
      <c r="AA26" s="122" t="str">
        <f ca="1">IF(AA$68=1,INDEX(Rates_Energy_Current[High Charge],MATCH(AA$62,Rates_Energy_Current[Code],0)),INDEX(Rates_AllOther_Current[Energy charge '[c/kWh']],MATCH(AA$64,Rates_AllOther_Current[Code],0)))</f>
        <v>n/a</v>
      </c>
      <c r="AB26" s="122">
        <f ca="1">IF(AB$68=1,INDEX(Rates_Energy_Current[High Charge],MATCH(AB$62,Rates_Energy_Current[Code],0)),INDEX(Rates_AllOther_Current[Energy charge '[c/kWh']],MATCH(AB$64,Rates_AllOther_Current[Code],0)))</f>
        <v>603.54</v>
      </c>
      <c r="AC26" s="122">
        <f ca="1">IF(AC$68=1,INDEX(Rates_Energy_Current[High Charge],MATCH(AC$62,Rates_Energy_Current[Code],0)),INDEX(Rates_AllOther_Current[Energy charge '[c/kWh']],MATCH(AC$64,Rates_AllOther_Current[Code],0)))</f>
        <v>836</v>
      </c>
      <c r="AD26" s="122">
        <f ca="1">IF(AD$68=1,INDEX(Rates_Energy_Current[High Charge],MATCH(AD$62,Rates_Energy_Current[Code],0)),INDEX(Rates_AllOther_Current[Energy charge '[c/kWh']],MATCH(AD$64,Rates_AllOther_Current[Code],0)))</f>
        <v>232.22</v>
      </c>
      <c r="AE26" s="122">
        <f ca="1">IF(AE$68=1,INDEX(Rates_Energy_Current[High Charge],MATCH(AE$62,Rates_Energy_Current[Code],0)),INDEX(Rates_AllOther_Current[Energy charge '[c/kWh']],MATCH(AE$64,Rates_AllOther_Current[Code],0)))</f>
        <v>242.11</v>
      </c>
      <c r="AF26" s="122">
        <f ca="1">IF(AF$68=1,INDEX(Rates_Energy_Current[High Charge],MATCH(AF$62,Rates_Energy_Current[Code],0)),INDEX(Rates_AllOther_Current[Energy charge '[c/kWh']],MATCH(AF$64,Rates_AllOther_Current[Code],0)))</f>
        <v>0</v>
      </c>
      <c r="AG26" s="122" t="e">
        <f ca="1">IF(AG$68=1,INDEX(Rates_Energy_Current[High Charge],MATCH(AG$62,Rates_Energy_Current[Code],0)),INDEX(Rates_AllOther_Current[Energy charge '[c/kWh']],MATCH(AG$64,Rates_AllOther_Current[Code],0)))</f>
        <v>#N/A</v>
      </c>
      <c r="AH26" s="122" t="e">
        <f ca="1">IF(AH$68=1,INDEX(Rates_Energy_Current[High Charge],MATCH(AH$62,Rates_Energy_Current[Code],0)),INDEX(Rates_AllOther_Current[Energy charge '[c/kWh']],MATCH(AH$64,Rates_AllOther_Current[Code],0)))</f>
        <v>#N/A</v>
      </c>
      <c r="AI26" s="122" t="e">
        <f ca="1">IF(AI$68=1,INDEX(Rates_Energy_Current[High Charge],MATCH(AI$62,Rates_Energy_Current[Code],0)),INDEX(Rates_AllOther_Current[Energy charge '[c/kWh']],MATCH(AI$64,Rates_AllOther_Current[Code],0)))</f>
        <v>#N/A</v>
      </c>
      <c r="AJ26" s="122" t="e">
        <f ca="1">IF(AJ$68=1,INDEX(Rates_Energy_Current[High Charge],MATCH(AJ$62,Rates_Energy_Current[Code],0)),INDEX(Rates_AllOther_Current[Energy charge '[c/kWh']],MATCH(AJ$64,Rates_AllOther_Current[Code],0)))</f>
        <v>#N/A</v>
      </c>
      <c r="AK26" s="122" t="e">
        <f ca="1">IF(AK$68=1,INDEX(Rates_Energy_Current[High Charge],MATCH(AK$62,Rates_Energy_Current[Code],0)),INDEX(Rates_AllOther_Current[Energy charge '[c/kWh']],MATCH(AK$64,Rates_AllOther_Current[Code],0)))</f>
        <v>#N/A</v>
      </c>
      <c r="AL26" s="122" t="str">
        <f ca="1">IF(AL$68=1,INDEX(Rates_Energy_Current[High Charge],MATCH(AL$62,Rates_Energy_Current[Code],0)),INDEX(Rates_AllOther_Current[Energy charge '[c/kWh']],MATCH(AL$64,Rates_AllOther_Current[Code],0)))</f>
        <v>n/a</v>
      </c>
      <c r="AM26" s="122" t="str">
        <f ca="1">IF(AM$68=1,INDEX(Rates_Energy_Current[High Charge],MATCH(AM$62,Rates_Energy_Current[Code],0)),INDEX(Rates_AllOther_Current[Energy charge '[c/kWh']],MATCH(AM$64,Rates_AllOther_Current[Code],0)))</f>
        <v>n/a</v>
      </c>
      <c r="AN26" s="122" t="str">
        <f ca="1">IF(AN$68=1,INDEX(Rates_Energy_Current[High Charge],MATCH(AN$62,Rates_Energy_Current[Code],0)),INDEX(Rates_AllOther_Current[Energy charge '[c/kWh']],MATCH(AN$64,Rates_AllOther_Current[Code],0)))</f>
        <v>n/a</v>
      </c>
      <c r="AO26" s="122" t="str">
        <f ca="1">IF(AO$68=1,INDEX(Rates_Energy_Current[High Charge],MATCH(AO$62,Rates_Energy_Current[Code],0)),INDEX(Rates_AllOther_Current[Energy charge '[c/kWh']],MATCH(AO$64,Rates_AllOther_Current[Code],0)))</f>
        <v>n/a</v>
      </c>
      <c r="AP26" s="122" t="str">
        <f ca="1">IF(AP$68=1,INDEX(Rates_Energy_Current[High Charge],MATCH(AP$62,Rates_Energy_Current[Code],0)),INDEX(Rates_AllOther_Current[Energy charge '[c/kWh']],MATCH(AP$64,Rates_AllOther_Current[Code],0)))</f>
        <v>n/a</v>
      </c>
      <c r="AQ26" s="122" t="str">
        <f ca="1">IF(AQ$68=1,INDEX(Rates_Energy_Current[High Charge],MATCH(AQ$62,Rates_Energy_Current[Code],0)),INDEX(Rates_AllOther_Current[Energy charge '[c/kWh']],MATCH(AQ$64,Rates_AllOther_Current[Code],0)))</f>
        <v>n/a</v>
      </c>
      <c r="AR26" s="122" t="e">
        <f ca="1">IF(AR$68=1,INDEX(Rates_Energy_Current[High Charge],MATCH(AR$62,Rates_Energy_Current[Code],0)),INDEX(Rates_AllOther_Current[Energy charge '[c/kWh']],MATCH(AR$64,Rates_AllOther_Current[Code],0)))</f>
        <v>#N/A</v>
      </c>
      <c r="AT26" s="118" t="str">
        <f t="shared" ca="1" si="14"/>
        <v>n/a</v>
      </c>
      <c r="AU26" s="122">
        <f ca="1">IF(AU$68=1,INDEX(Rates_Energy_New[High Charge],MATCH(AU$62,Rates_Energy_New[Code],0)),INDEX(Rates_AllOther_New[Energy charge '[c/kWh']],MATCH(AU$64,Rates_AllOther_New[Code],0)))</f>
        <v>242.9</v>
      </c>
      <c r="AV26" s="122">
        <f ca="1">IF(AV$68=1,INDEX(Rates_Energy_New[High Charge],MATCH(AV$62,Rates_Energy_New[Code],0)),INDEX(Rates_AllOther_New[Energy charge '[c/kWh']],MATCH(AV$64,Rates_AllOther_New[Code],0)))</f>
        <v>242.9</v>
      </c>
      <c r="AW26" s="122">
        <f ca="1">IF(AW$68=1,INDEX(Rates_Energy_New[High Charge],MATCH(AW$62,Rates_Energy_New[Code],0)),INDEX(Rates_AllOther_New[Energy charge '[c/kWh']],MATCH(AW$64,Rates_AllOther_New[Code],0)))</f>
        <v>242.9</v>
      </c>
      <c r="AX26" s="122">
        <f ca="1">IF(AX$68=1,INDEX(Rates_Energy_New[High Charge],MATCH(AX$62,Rates_Energy_New[Code],0)),INDEX(Rates_AllOther_New[Energy charge '[c/kWh']],MATCH(AX$64,Rates_AllOther_New[Code],0)))</f>
        <v>378.06</v>
      </c>
      <c r="AY26" s="122">
        <f ca="1">IF(AY$68=1,INDEX(Rates_Energy_New[High Charge],MATCH(AY$62,Rates_Energy_New[Code],0)),INDEX(Rates_AllOther_New[Energy charge '[c/kWh']],MATCH(AY$64,Rates_AllOther_New[Code],0)))</f>
        <v>235.04</v>
      </c>
      <c r="AZ26" s="122">
        <f ca="1">IF(AZ$68=1,INDEX(Rates_Energy_New[High Charge],MATCH(AZ$62,Rates_Energy_New[Code],0)),INDEX(Rates_AllOther_New[Energy charge '[c/kWh']],MATCH(AZ$64,Rates_AllOther_New[Code],0)))</f>
        <v>298.79000000000002</v>
      </c>
      <c r="BA26" s="122">
        <f ca="1">IF(BA$68=1,INDEX(Rates_Energy_New[High Charge],MATCH(BA$62,Rates_Energy_New[Code],0)),INDEX(Rates_AllOther_New[Energy charge '[c/kWh']],MATCH(BA$64,Rates_AllOther_New[Code],0)))</f>
        <v>280.05</v>
      </c>
      <c r="BB26" s="122">
        <f ca="1">IF(BB$68=1,INDEX(Rates_Energy_New[High Charge],MATCH(BB$62,Rates_Energy_New[Code],0)),INDEX(Rates_AllOther_New[Energy charge '[c/kWh']],MATCH(BB$64,Rates_AllOther_New[Code],0)))</f>
        <v>280.05</v>
      </c>
      <c r="BC26" s="122">
        <f ca="1">IF(BC$68=1,INDEX(Rates_Energy_New[High Charge],MATCH(BC$62,Rates_Energy_New[Code],0)),INDEX(Rates_AllOther_New[Energy charge '[c/kWh']],MATCH(BC$64,Rates_AllOther_New[Code],0)))</f>
        <v>280.05</v>
      </c>
      <c r="BD26" s="122">
        <f ca="1">IF(BD$68=1,INDEX(Rates_Energy_New[High Charge],MATCH(BD$62,Rates_Energy_New[Code],0)),INDEX(Rates_AllOther_New[Energy charge '[c/kWh']],MATCH(BD$64,Rates_AllOther_New[Code],0)))</f>
        <v>280.05</v>
      </c>
      <c r="BE26" s="122">
        <f ca="1">IF(BE$68=1,INDEX(Rates_Energy_New[High Charge],MATCH(BE$62,Rates_Energy_New[Code],0)),INDEX(Rates_AllOther_New[Energy charge '[c/kWh']],MATCH(BE$64,Rates_AllOther_New[Code],0)))</f>
        <v>280.05</v>
      </c>
      <c r="BF26" s="122">
        <f ca="1">IF(BF$68=1,INDEX(Rates_Energy_New[High Charge],MATCH(BF$62,Rates_Energy_New[Code],0)),INDEX(Rates_AllOther_New[Energy charge '[c/kWh']],MATCH(BF$64,Rates_AllOther_New[Code],0)))</f>
        <v>242.9</v>
      </c>
      <c r="BG26" s="122">
        <f ca="1">IF(BG$68=1,INDEX(Rates_Energy_New[High Charge],MATCH(BG$62,Rates_Energy_New[Code],0)),INDEX(Rates_AllOther_New[Energy charge '[c/kWh']],MATCH(BG$64,Rates_AllOther_New[Code],0)))</f>
        <v>242.9</v>
      </c>
      <c r="BH26" s="122">
        <f ca="1">IF(BH$68=1,INDEX(Rates_Energy_New[High Charge],MATCH(BH$62,Rates_Energy_New[Code],0)),INDEX(Rates_AllOther_New[Energy charge '[c/kWh']],MATCH(BH$64,Rates_AllOther_New[Code],0)))</f>
        <v>242.9</v>
      </c>
      <c r="BI26" s="122">
        <f ca="1">IF(BI$68=1,INDEX(Rates_Energy_New[High Charge],MATCH(BI$62,Rates_Energy_New[Code],0)),INDEX(Rates_AllOther_New[Energy charge '[c/kWh']],MATCH(BI$64,Rates_AllOther_New[Code],0)))</f>
        <v>398.82</v>
      </c>
      <c r="BJ26" s="122">
        <f ca="1">IF(BJ$68=1,INDEX(Rates_Energy_New[High Charge],MATCH(BJ$62,Rates_Energy_New[Code],0)),INDEX(Rates_AllOther_New[Energy charge '[c/kWh']],MATCH(BJ$64,Rates_AllOther_New[Code],0)))</f>
        <v>0</v>
      </c>
      <c r="BK26" s="122" t="str">
        <f ca="1">IF(BK$68=1,INDEX(Rates_Energy_New[High Charge],MATCH(BK$62,Rates_Energy_New[Code],0)),INDEX(Rates_AllOther_New[Energy charge '[c/kWh']],MATCH(BK$64,Rates_AllOther_New[Code],0)))</f>
        <v>n/a</v>
      </c>
      <c r="BL26" s="122" t="str">
        <f ca="1">IF(BL$68=1,INDEX(Rates_Energy_New[High Charge],MATCH(BL$62,Rates_Energy_New[Code],0)),INDEX(Rates_AllOther_New[Energy charge '[c/kWh']],MATCH(BL$64,Rates_AllOther_New[Code],0)))</f>
        <v>n/a</v>
      </c>
      <c r="BM26" s="122">
        <f ca="1">IF(BM$68=1,INDEX(Rates_Energy_New[High Charge],MATCH(BM$62,Rates_Energy_New[Code],0)),INDEX(Rates_AllOther_New[Energy charge '[c/kWh']],MATCH(BM$64,Rates_AllOther_New[Code],0)))</f>
        <v>181.89</v>
      </c>
      <c r="BN26" s="122">
        <f ca="1">IF(BN$68=1,INDEX(Rates_Energy_New[High Charge],MATCH(BN$62,Rates_Energy_New[Code],0)),INDEX(Rates_AllOther_New[Energy charge '[c/kWh']],MATCH(BN$64,Rates_AllOther_New[Code],0)))</f>
        <v>165.97</v>
      </c>
      <c r="BO26" s="122">
        <f ca="1">IF(BO$68=1,INDEX(Rates_Energy_New[High Charge],MATCH(BO$62,Rates_Energy_New[Code],0)),INDEX(Rates_AllOther_New[Energy charge '[c/kWh']],MATCH(BO$64,Rates_AllOther_New[Code],0)))</f>
        <v>181.89</v>
      </c>
      <c r="BP26" s="122" t="str">
        <f ca="1">IF(BP$68=1,INDEX(Rates_Energy_New[High Charge],MATCH(BP$62,Rates_Energy_New[Code],0)),INDEX(Rates_AllOther_New[Energy charge '[c/kWh']],MATCH(BP$64,Rates_AllOther_New[Code],0)))</f>
        <v>n/a</v>
      </c>
      <c r="BQ26" s="122">
        <f ca="1">IF(BQ$68=1,INDEX(Rates_Energy_New[High Charge],MATCH(BQ$62,Rates_Energy_New[Code],0)),INDEX(Rates_AllOther_New[Energy charge '[c/kWh']],MATCH(BQ$64,Rates_AllOther_New[Code],0)))</f>
        <v>656.41</v>
      </c>
      <c r="BR26" s="122">
        <f ca="1">IF(BR$68=1,INDEX(Rates_Energy_New[High Charge],MATCH(BR$62,Rates_Energy_New[Code],0)),INDEX(Rates_AllOther_New[Energy charge '[c/kWh']],MATCH(BR$64,Rates_AllOther_New[Code],0)))</f>
        <v>909.23</v>
      </c>
      <c r="BS26" s="122">
        <f ca="1">IF(BS$68=1,INDEX(Rates_Energy_New[High Charge],MATCH(BS$62,Rates_Energy_New[Code],0)),INDEX(Rates_AllOther_New[Energy charge '[c/kWh']],MATCH(BS$64,Rates_AllOther_New[Code],0)))</f>
        <v>252.56</v>
      </c>
      <c r="BT26" s="122">
        <f ca="1">IF(BT$68=1,INDEX(Rates_Energy_New[High Charge],MATCH(BT$62,Rates_Energy_New[Code],0)),INDEX(Rates_AllOther_New[Energy charge '[c/kWh']],MATCH(BT$64,Rates_AllOther_New[Code],0)))</f>
        <v>263.32</v>
      </c>
      <c r="BU26" s="122">
        <f ca="1">IF(BU$68=1,INDEX(Rates_Energy_New[High Charge],MATCH(BU$62,Rates_Energy_New[Code],0)),INDEX(Rates_AllOther_New[Energy charge '[c/kWh']],MATCH(BU$64,Rates_AllOther_New[Code],0)))</f>
        <v>0</v>
      </c>
      <c r="BV26" s="122" t="str">
        <f ca="1">IF(BV$68=1,INDEX(Rates_Energy_New[High Charge],MATCH(BV$62,Rates_Energy_New[Code],0)),INDEX(Rates_AllOther_New[Energy charge '[c/kWh']],MATCH(BV$64,Rates_AllOther_New[Code],0)))</f>
        <v>n/a</v>
      </c>
      <c r="BW26" s="122" t="e">
        <f ca="1">IF(BW$68=1,INDEX(Rates_Energy_New[High Charge],MATCH(BW$62,Rates_Energy_New[Code],0)),INDEX(Rates_AllOther_New[Energy charge '[c/kWh']],MATCH(BW$64,Rates_AllOther_New[Code],0)))</f>
        <v>#N/A</v>
      </c>
      <c r="BX26" s="122" t="e">
        <f ca="1">IF(BX$68=1,INDEX(Rates_Energy_New[High Charge],MATCH(BX$62,Rates_Energy_New[Code],0)),INDEX(Rates_AllOther_New[Energy charge '[c/kWh']],MATCH(BX$64,Rates_AllOther_New[Code],0)))</f>
        <v>#N/A</v>
      </c>
      <c r="BY26" s="122" t="e">
        <f ca="1">IF(BY$68=1,INDEX(Rates_Energy_New[High Charge],MATCH(BY$62,Rates_Energy_New[Code],0)),INDEX(Rates_AllOther_New[Energy charge '[c/kWh']],MATCH(BY$64,Rates_AllOther_New[Code],0)))</f>
        <v>#N/A</v>
      </c>
      <c r="BZ26" s="122" t="e">
        <f ca="1">IF(BZ$68=1,INDEX(Rates_Energy_New[High Charge],MATCH(BZ$62,Rates_Energy_New[Code],0)),INDEX(Rates_AllOther_New[Energy charge '[c/kWh']],MATCH(BZ$64,Rates_AllOther_New[Code],0)))</f>
        <v>#N/A</v>
      </c>
      <c r="CA26" s="122" t="str">
        <f ca="1">IF(CA$68=1,INDEX(Rates_Energy_New[High Charge],MATCH(CA$62,Rates_Energy_New[Code],0)),INDEX(Rates_AllOther_New[Energy charge '[c/kWh']],MATCH(CA$64,Rates_AllOther_New[Code],0)))</f>
        <v>n/a</v>
      </c>
      <c r="CB26" s="122" t="str">
        <f ca="1">IF(CB$68=1,INDEX(Rates_Energy_New[High Charge],MATCH(CB$62,Rates_Energy_New[Code],0)),INDEX(Rates_AllOther_New[Energy charge '[c/kWh']],MATCH(CB$64,Rates_AllOther_New[Code],0)))</f>
        <v>n/a</v>
      </c>
      <c r="CC26" s="122" t="str">
        <f ca="1">IF(CC$68=1,INDEX(Rates_Energy_New[High Charge],MATCH(CC$62,Rates_Energy_New[Code],0)),INDEX(Rates_AllOther_New[Energy charge '[c/kWh']],MATCH(CC$64,Rates_AllOther_New[Code],0)))</f>
        <v>n/a</v>
      </c>
      <c r="CD26" s="122" t="str">
        <f ca="1">IF(CD$68=1,INDEX(Rates_Energy_New[High Charge],MATCH(CD$62,Rates_Energy_New[Code],0)),INDEX(Rates_AllOther_New[Energy charge '[c/kWh']],MATCH(CD$64,Rates_AllOther_New[Code],0)))</f>
        <v>n/a</v>
      </c>
      <c r="CE26" s="122" t="str">
        <f ca="1">IF(CE$68=1,INDEX(Rates_Energy_New[High Charge],MATCH(CE$62,Rates_Energy_New[Code],0)),INDEX(Rates_AllOther_New[Energy charge '[c/kWh']],MATCH(CE$64,Rates_AllOther_New[Code],0)))</f>
        <v>n/a</v>
      </c>
      <c r="CF26" s="122" t="str">
        <f ca="1">IF(CF$68=1,INDEX(Rates_Energy_New[High Charge],MATCH(CF$62,Rates_Energy_New[Code],0)),INDEX(Rates_AllOther_New[Energy charge '[c/kWh']],MATCH(CF$64,Rates_AllOther_New[Code],0)))</f>
        <v>n/a</v>
      </c>
    </row>
    <row r="27" spans="2:84" s="77" customFormat="1" ht="13.8">
      <c r="C27" s="77" t="s">
        <v>192</v>
      </c>
      <c r="D27" s="117" t="s">
        <v>106</v>
      </c>
      <c r="E27" s="118" t="str">
        <f t="shared" ca="1" si="13"/>
        <v>n/a</v>
      </c>
      <c r="F27" s="122">
        <f ca="1">IF(F$68=1,"n/a",INDEX(Rates_AllOther_Current[Energy charge Block 1 '[c/kWh']],MATCH(F$64,Rates_AllOther_Current[Code],0)))</f>
        <v>0</v>
      </c>
      <c r="G27" s="122">
        <f ca="1">IF(G$68=1,"n/a",INDEX(Rates_AllOther_Current[Energy charge Block 1 '[c/kWh']],MATCH(G$64,Rates_AllOther_Current[Code],0)))</f>
        <v>0</v>
      </c>
      <c r="H27" s="122">
        <f ca="1">IF(H$68=1,"n/a",INDEX(Rates_AllOther_Current[Energy charge Block 1 '[c/kWh']],MATCH(H$64,Rates_AllOther_Current[Code],0)))</f>
        <v>0</v>
      </c>
      <c r="I27" s="122">
        <f ca="1">IF(I$68=1,"n/a",INDEX(Rates_AllOther_Current[Energy charge Block 1 '[c/kWh']],MATCH(I$64,Rates_AllOther_Current[Code],0)))</f>
        <v>0</v>
      </c>
      <c r="J27" s="122">
        <f ca="1">IF(J$68=1,"n/a",INDEX(Rates_AllOther_Current[Energy charge Block 1 '[c/kWh']],MATCH(J$64,Rates_AllOther_Current[Code],0)))</f>
        <v>0</v>
      </c>
      <c r="K27" s="122">
        <f ca="1">IF(K$68=1,"n/a",INDEX(Rates_AllOther_Current[Energy charge Block 1 '[c/kWh']],MATCH(K$64,Rates_AllOther_Current[Code],0)))</f>
        <v>0</v>
      </c>
      <c r="L27" s="122">
        <f ca="1">IF(L$68=1,"n/a",INDEX(Rates_AllOther_Current[Energy charge Block 1 '[c/kWh']],MATCH(L$64,Rates_AllOther_Current[Code],0)))</f>
        <v>0</v>
      </c>
      <c r="M27" s="122">
        <f ca="1">IF(M$68=1,"n/a",INDEX(Rates_AllOther_Current[Energy charge Block 1 '[c/kWh']],MATCH(M$64,Rates_AllOther_Current[Code],0)))</f>
        <v>0</v>
      </c>
      <c r="N27" s="122">
        <f ca="1">IF(N$68=1,"n/a",INDEX(Rates_AllOther_Current[Energy charge Block 1 '[c/kWh']],MATCH(N$64,Rates_AllOther_Current[Code],0)))</f>
        <v>0</v>
      </c>
      <c r="O27" s="122">
        <f ca="1">IF(O$68=1,"n/a",INDEX(Rates_AllOther_Current[Energy charge Block 1 '[c/kWh']],MATCH(O$64,Rates_AllOther_Current[Code],0)))</f>
        <v>0</v>
      </c>
      <c r="P27" s="122">
        <f ca="1">IF(P$68=1,"n/a",INDEX(Rates_AllOther_Current[Energy charge Block 1 '[c/kWh']],MATCH(P$64,Rates_AllOther_Current[Code],0)))</f>
        <v>0</v>
      </c>
      <c r="Q27" s="122">
        <f ca="1">IF(Q$68=1,"n/a",INDEX(Rates_AllOther_Current[Energy charge Block 1 '[c/kWh']],MATCH(Q$64,Rates_AllOther_Current[Code],0)))</f>
        <v>0</v>
      </c>
      <c r="R27" s="122">
        <f ca="1">IF(R$68=1,"n/a",INDEX(Rates_AllOther_Current[Energy charge Block 1 '[c/kWh']],MATCH(R$64,Rates_AllOther_Current[Code],0)))</f>
        <v>0</v>
      </c>
      <c r="S27" s="122">
        <f ca="1">IF(S$68=1,"n/a",INDEX(Rates_AllOther_Current[Energy charge Block 1 '[c/kWh']],MATCH(S$64,Rates_AllOther_Current[Code],0)))</f>
        <v>0</v>
      </c>
      <c r="T27" s="122">
        <f ca="1">IF(T$68=1,"n/a",INDEX(Rates_AllOther_Current[Energy charge Block 1 '[c/kWh']],MATCH(T$64,Rates_AllOther_Current[Code],0)))</f>
        <v>0</v>
      </c>
      <c r="U27" s="122">
        <f ca="1">IF(U$68=1,"n/a",INDEX(Rates_AllOther_Current[Energy charge Block 1 '[c/kWh']],MATCH(U$64,Rates_AllOther_Current[Code],0)))</f>
        <v>0</v>
      </c>
      <c r="V27" s="122" t="str">
        <f ca="1">IF(V$68=1,"n/a",INDEX(Rates_AllOther_Current[Energy charge Block 1 '[c/kWh']],MATCH(V$64,Rates_AllOther_Current[Code],0)))</f>
        <v>n/a</v>
      </c>
      <c r="W27" s="122" t="str">
        <f ca="1">IF(W$68=1,"n/a",INDEX(Rates_AllOther_Current[Energy charge Block 1 '[c/kWh']],MATCH(W$64,Rates_AllOther_Current[Code],0)))</f>
        <v>n/a</v>
      </c>
      <c r="X27" s="122" t="str">
        <f>IF(X$68=1,"n/a",INDEX(Rates_AllOther_Current[Energy charge Block 1 '[c/kWh']],MATCH(X$64,Rates_AllOther_Current[Code],0)))</f>
        <v>n/a</v>
      </c>
      <c r="Y27" s="122" t="str">
        <f ca="1">IF(Y$68=1,"n/a",INDEX(Rates_AllOther_Current[Energy charge Block 1 '[c/kWh']],MATCH(Y$64,Rates_AllOther_Current[Code],0)))</f>
        <v>n/a</v>
      </c>
      <c r="Z27" s="122" t="str">
        <f ca="1">IF(Z$68=1,"n/a",INDEX(Rates_AllOther_Current[Energy charge Block 1 '[c/kWh']],MATCH(Z$64,Rates_AllOther_Current[Code],0)))</f>
        <v>n/a</v>
      </c>
      <c r="AA27" s="122" t="str">
        <f ca="1">IF(AA$68=1,"n/a",INDEX(Rates_AllOther_Current[Energy charge Block 1 '[c/kWh']],MATCH(AA$64,Rates_AllOther_Current[Code],0)))</f>
        <v>n/a</v>
      </c>
      <c r="AB27" s="122">
        <f ca="1">IF(AB$68=1,"n/a",INDEX(Rates_AllOther_Current[Energy charge Block 1 '[c/kWh']],MATCH(AB$64,Rates_AllOther_Current[Code],0)))</f>
        <v>0</v>
      </c>
      <c r="AC27" s="122">
        <f ca="1">IF(AC$68=1,"n/a",INDEX(Rates_AllOther_Current[Energy charge Block 1 '[c/kWh']],MATCH(AC$64,Rates_AllOther_Current[Code],0)))</f>
        <v>0</v>
      </c>
      <c r="AD27" s="122">
        <f ca="1">IF(AD$68=1,"n/a",INDEX(Rates_AllOther_Current[Energy charge Block 1 '[c/kWh']],MATCH(AD$64,Rates_AllOther_Current[Code],0)))</f>
        <v>0</v>
      </c>
      <c r="AE27" s="122">
        <f ca="1">IF(AE$68=1,"n/a",INDEX(Rates_AllOther_Current[Energy charge Block 1 '[c/kWh']],MATCH(AE$64,Rates_AllOther_Current[Code],0)))</f>
        <v>0</v>
      </c>
      <c r="AF27" s="122">
        <f ca="1">IF(AF$68=1,"n/a",INDEX(Rates_AllOther_Current[Energy charge Block 1 '[c/kWh']],MATCH(AF$64,Rates_AllOther_Current[Code],0)))</f>
        <v>0</v>
      </c>
      <c r="AG27" s="122" t="str">
        <f>IF(AG$68=1,"n/a",INDEX(Rates_AllOther_Current[Energy charge Block 1 '[c/kWh']],MATCH(AG$64,Rates_AllOther_Current[Code],0)))</f>
        <v>n/a</v>
      </c>
      <c r="AH27" s="122" t="e">
        <f ca="1">IF(AH$68=1,"n/a",INDEX(Rates_AllOther_Current[Energy charge Block 1 '[c/kWh']],MATCH(AH$64,Rates_AllOther_Current[Code],0)))</f>
        <v>#N/A</v>
      </c>
      <c r="AI27" s="122" t="e">
        <f ca="1">IF(AI$68=1,"n/a",INDEX(Rates_AllOther_Current[Energy charge Block 1 '[c/kWh']],MATCH(AI$64,Rates_AllOther_Current[Code],0)))</f>
        <v>#N/A</v>
      </c>
      <c r="AJ27" s="122" t="e">
        <f ca="1">IF(AJ$68=1,"n/a",INDEX(Rates_AllOther_Current[Energy charge Block 1 '[c/kWh']],MATCH(AJ$64,Rates_AllOther_Current[Code],0)))</f>
        <v>#N/A</v>
      </c>
      <c r="AK27" s="122" t="e">
        <f ca="1">IF(AK$68=1,"n/a",INDEX(Rates_AllOther_Current[Energy charge Block 1 '[c/kWh']],MATCH(AK$64,Rates_AllOther_Current[Code],0)))</f>
        <v>#N/A</v>
      </c>
      <c r="AL27" s="122" t="str">
        <f ca="1">IF(AL$68=1,"n/a",INDEX(Rates_AllOther_Current[Energy charge Block 1 '[c/kWh']],MATCH(AL$64,Rates_AllOther_Current[Code],0)))</f>
        <v>n/a</v>
      </c>
      <c r="AM27" s="122" t="str">
        <f ca="1">IF(AM$68=1,"n/a",INDEX(Rates_AllOther_Current[Energy charge Block 1 '[c/kWh']],MATCH(AM$64,Rates_AllOther_Current[Code],0)))</f>
        <v>n/a</v>
      </c>
      <c r="AN27" s="122" t="str">
        <f ca="1">IF(AN$68=1,"n/a",INDEX(Rates_AllOther_Current[Energy charge Block 1 '[c/kWh']],MATCH(AN$64,Rates_AllOther_Current[Code],0)))</f>
        <v>n/a</v>
      </c>
      <c r="AO27" s="122" t="str">
        <f ca="1">IF(AO$68=1,"n/a",INDEX(Rates_AllOther_Current[Energy charge Block 1 '[c/kWh']],MATCH(AO$64,Rates_AllOther_Current[Code],0)))</f>
        <v>n/a</v>
      </c>
      <c r="AP27" s="122" t="str">
        <f ca="1">IF(AP$68=1,"n/a",INDEX(Rates_AllOther_Current[Energy charge Block 1 '[c/kWh']],MATCH(AP$64,Rates_AllOther_Current[Code],0)))</f>
        <v>n/a</v>
      </c>
      <c r="AQ27" s="122" t="str">
        <f ca="1">IF(AQ$68=1,"n/a",INDEX(Rates_AllOther_Current[Energy charge Block 1 '[c/kWh']],MATCH(AQ$64,Rates_AllOther_Current[Code],0)))</f>
        <v>n/a</v>
      </c>
      <c r="AR27" s="122" t="e">
        <f ca="1">IF(AR$68=1,"n/a",INDEX(Rates_AllOther_Current[Energy charge Block 1 '[c/kWh']],MATCH(AR$64,Rates_AllOther_Current[Code],0)))</f>
        <v>#N/A</v>
      </c>
      <c r="AT27" s="118" t="str">
        <f t="shared" ca="1" si="14"/>
        <v>n/a</v>
      </c>
      <c r="AU27" s="122">
        <f ca="1">IF(AU$68=1,"n/a",INDEX(Rates_AllOther_New[Energy charge Block 1 '[c/kWh']],MATCH(AU$64,Rates_AllOther_New[Code],0)))</f>
        <v>0</v>
      </c>
      <c r="AV27" s="122">
        <f ca="1">IF(AV$68=1,"n/a",INDEX(Rates_AllOther_New[Energy charge Block 1 '[c/kWh']],MATCH(AV$64,Rates_AllOther_New[Code],0)))</f>
        <v>0</v>
      </c>
      <c r="AW27" s="122">
        <f ca="1">IF(AW$68=1,"n/a",INDEX(Rates_AllOther_New[Energy charge Block 1 '[c/kWh']],MATCH(AW$64,Rates_AllOther_New[Code],0)))</f>
        <v>0</v>
      </c>
      <c r="AX27" s="122">
        <f ca="1">IF(AX$68=1,"n/a",INDEX(Rates_AllOther_New[Energy charge Block 1 '[c/kWh']],MATCH(AX$64,Rates_AllOther_New[Code],0)))</f>
        <v>0</v>
      </c>
      <c r="AY27" s="122">
        <f ca="1">IF(AY$68=1,"n/a",INDEX(Rates_AllOther_New[Energy charge Block 1 '[c/kWh']],MATCH(AY$64,Rates_AllOther_New[Code],0)))</f>
        <v>0</v>
      </c>
      <c r="AZ27" s="122">
        <f ca="1">IF(AZ$68=1,"n/a",INDEX(Rates_AllOther_New[Energy charge Block 1 '[c/kWh']],MATCH(AZ$64,Rates_AllOther_New[Code],0)))</f>
        <v>0</v>
      </c>
      <c r="BA27" s="122">
        <f ca="1">IF(BA$68=1,"n/a",INDEX(Rates_AllOther_New[Energy charge Block 1 '[c/kWh']],MATCH(BA$64,Rates_AllOther_New[Code],0)))</f>
        <v>0</v>
      </c>
      <c r="BB27" s="122">
        <f ca="1">IF(BB$68=1,"n/a",INDEX(Rates_AllOther_New[Energy charge Block 1 '[c/kWh']],MATCH(BB$64,Rates_AllOther_New[Code],0)))</f>
        <v>0</v>
      </c>
      <c r="BC27" s="122">
        <f ca="1">IF(BC$68=1,"n/a",INDEX(Rates_AllOther_New[Energy charge Block 1 '[c/kWh']],MATCH(BC$64,Rates_AllOther_New[Code],0)))</f>
        <v>0</v>
      </c>
      <c r="BD27" s="122">
        <f ca="1">IF(BD$68=1,"n/a",INDEX(Rates_AllOther_New[Energy charge Block 1 '[c/kWh']],MATCH(BD$64,Rates_AllOther_New[Code],0)))</f>
        <v>0</v>
      </c>
      <c r="BE27" s="122">
        <f ca="1">IF(BE$68=1,"n/a",INDEX(Rates_AllOther_New[Energy charge Block 1 '[c/kWh']],MATCH(BE$64,Rates_AllOther_New[Code],0)))</f>
        <v>0</v>
      </c>
      <c r="BF27" s="122">
        <f ca="1">IF(BF$68=1,"n/a",INDEX(Rates_AllOther_New[Energy charge Block 1 '[c/kWh']],MATCH(BF$64,Rates_AllOther_New[Code],0)))</f>
        <v>0</v>
      </c>
      <c r="BG27" s="122">
        <f ca="1">IF(BG$68=1,"n/a",INDEX(Rates_AllOther_New[Energy charge Block 1 '[c/kWh']],MATCH(BG$64,Rates_AllOther_New[Code],0)))</f>
        <v>0</v>
      </c>
      <c r="BH27" s="122">
        <f ca="1">IF(BH$68=1,"n/a",INDEX(Rates_AllOther_New[Energy charge Block 1 '[c/kWh']],MATCH(BH$64,Rates_AllOther_New[Code],0)))</f>
        <v>0</v>
      </c>
      <c r="BI27" s="122">
        <f ca="1">IF(BI$68=1,"n/a",INDEX(Rates_AllOther_New[Energy charge Block 1 '[c/kWh']],MATCH(BI$64,Rates_AllOther_New[Code],0)))</f>
        <v>0</v>
      </c>
      <c r="BJ27" s="122">
        <f ca="1">IF(BJ$68=1,"n/a",INDEX(Rates_AllOther_New[Energy charge Block 1 '[c/kWh']],MATCH(BJ$64,Rates_AllOther_New[Code],0)))</f>
        <v>0</v>
      </c>
      <c r="BK27" s="122" t="str">
        <f ca="1">IF(BK$68=1,"n/a",INDEX(Rates_AllOther_New[Energy charge Block 1 '[c/kWh']],MATCH(BK$64,Rates_AllOther_New[Code],0)))</f>
        <v>n/a</v>
      </c>
      <c r="BL27" s="122" t="str">
        <f ca="1">IF(BL$68=1,"n/a",INDEX(Rates_AllOther_New[Energy charge Block 1 '[c/kWh']],MATCH(BL$64,Rates_AllOther_New[Code],0)))</f>
        <v>n/a</v>
      </c>
      <c r="BM27" s="122" t="str">
        <f>IF(BM$68=1,"n/a",INDEX(Rates_AllOther_New[Energy charge Block 1 '[c/kWh']],MATCH(BM$64,Rates_AllOther_New[Code],0)))</f>
        <v>n/a</v>
      </c>
      <c r="BN27" s="122" t="str">
        <f ca="1">IF(BN$68=1,"n/a",INDEX(Rates_AllOther_New[Energy charge Block 1 '[c/kWh']],MATCH(BN$64,Rates_AllOther_New[Code],0)))</f>
        <v>n/a</v>
      </c>
      <c r="BO27" s="122" t="str">
        <f ca="1">IF(BO$68=1,"n/a",INDEX(Rates_AllOther_New[Energy charge Block 1 '[c/kWh']],MATCH(BO$64,Rates_AllOther_New[Code],0)))</f>
        <v>n/a</v>
      </c>
      <c r="BP27" s="122" t="str">
        <f ca="1">IF(BP$68=1,"n/a",INDEX(Rates_AllOther_New[Energy charge Block 1 '[c/kWh']],MATCH(BP$64,Rates_AllOther_New[Code],0)))</f>
        <v>n/a</v>
      </c>
      <c r="BQ27" s="122">
        <f ca="1">IF(BQ$68=1,"n/a",INDEX(Rates_AllOther_New[Energy charge Block 1 '[c/kWh']],MATCH(BQ$64,Rates_AllOther_New[Code],0)))</f>
        <v>0</v>
      </c>
      <c r="BR27" s="122">
        <f ca="1">IF(BR$68=1,"n/a",INDEX(Rates_AllOther_New[Energy charge Block 1 '[c/kWh']],MATCH(BR$64,Rates_AllOther_New[Code],0)))</f>
        <v>0</v>
      </c>
      <c r="BS27" s="122">
        <f ca="1">IF(BS$68=1,"n/a",INDEX(Rates_AllOther_New[Energy charge Block 1 '[c/kWh']],MATCH(BS$64,Rates_AllOther_New[Code],0)))</f>
        <v>0</v>
      </c>
      <c r="BT27" s="122">
        <f ca="1">IF(BT$68=1,"n/a",INDEX(Rates_AllOther_New[Energy charge Block 1 '[c/kWh']],MATCH(BT$64,Rates_AllOther_New[Code],0)))</f>
        <v>0</v>
      </c>
      <c r="BU27" s="122">
        <f ca="1">IF(BU$68=1,"n/a",INDEX(Rates_AllOther_New[Energy charge Block 1 '[c/kWh']],MATCH(BU$64,Rates_AllOther_New[Code],0)))</f>
        <v>0</v>
      </c>
      <c r="BV27" s="122" t="str">
        <f>IF(BV$68=1,"n/a",INDEX(Rates_AllOther_New[Energy charge Block 1 '[c/kWh']],MATCH(BV$64,Rates_AllOther_New[Code],0)))</f>
        <v>n/a</v>
      </c>
      <c r="BW27" s="122" t="e">
        <f ca="1">IF(BW$68=1,"n/a",INDEX(Rates_AllOther_New[Energy charge Block 1 '[c/kWh']],MATCH(BW$64,Rates_AllOther_New[Code],0)))</f>
        <v>#N/A</v>
      </c>
      <c r="BX27" s="122" t="e">
        <f ca="1">IF(BX$68=1,"n/a",INDEX(Rates_AllOther_New[Energy charge Block 1 '[c/kWh']],MATCH(BX$64,Rates_AllOther_New[Code],0)))</f>
        <v>#N/A</v>
      </c>
      <c r="BY27" s="122" t="e">
        <f ca="1">IF(BY$68=1,"n/a",INDEX(Rates_AllOther_New[Energy charge Block 1 '[c/kWh']],MATCH(BY$64,Rates_AllOther_New[Code],0)))</f>
        <v>#N/A</v>
      </c>
      <c r="BZ27" s="122" t="e">
        <f ca="1">IF(BZ$68=1,"n/a",INDEX(Rates_AllOther_New[Energy charge Block 1 '[c/kWh']],MATCH(BZ$64,Rates_AllOther_New[Code],0)))</f>
        <v>#N/A</v>
      </c>
      <c r="CA27" s="122" t="str">
        <f ca="1">IF(CA$68=1,"n/a",INDEX(Rates_AllOther_New[Energy charge Block 1 '[c/kWh']],MATCH(CA$64,Rates_AllOther_New[Code],0)))</f>
        <v>n/a</v>
      </c>
      <c r="CB27" s="122" t="str">
        <f ca="1">IF(CB$68=1,"n/a",INDEX(Rates_AllOther_New[Energy charge Block 1 '[c/kWh']],MATCH(CB$64,Rates_AllOther_New[Code],0)))</f>
        <v>n/a</v>
      </c>
      <c r="CC27" s="122" t="str">
        <f ca="1">IF(CC$68=1,"n/a",INDEX(Rates_AllOther_New[Energy charge Block 1 '[c/kWh']],MATCH(CC$64,Rates_AllOther_New[Code],0)))</f>
        <v>n/a</v>
      </c>
      <c r="CD27" s="122" t="str">
        <f ca="1">IF(CD$68=1,"n/a",INDEX(Rates_AllOther_New[Energy charge Block 1 '[c/kWh']],MATCH(CD$64,Rates_AllOther_New[Code],0)))</f>
        <v>n/a</v>
      </c>
      <c r="CE27" s="122" t="str">
        <f ca="1">IF(CE$68=1,"n/a",INDEX(Rates_AllOther_New[Energy charge Block 1 '[c/kWh']],MATCH(CE$64,Rates_AllOther_New[Code],0)))</f>
        <v>n/a</v>
      </c>
      <c r="CF27" s="122" t="str">
        <f ca="1">IF(CF$68=1,"n/a",INDEX(Rates_AllOther_New[Energy charge Block 1 '[c/kWh']],MATCH(CF$64,Rates_AllOther_New[Code],0)))</f>
        <v>n/a</v>
      </c>
    </row>
    <row r="28" spans="2:84" s="77" customFormat="1" ht="13.8">
      <c r="C28" s="77" t="s">
        <v>193</v>
      </c>
      <c r="D28" s="117" t="s">
        <v>106</v>
      </c>
      <c r="E28" s="118" t="str">
        <f t="shared" ca="1" si="13"/>
        <v>n/a</v>
      </c>
      <c r="F28" s="122">
        <f ca="1">IF(F$68=1,"n/a",INDEX(Rates_AllOther_Current[Energy charge Block 2 '[c/kWh']],MATCH(F$64,Rates_AllOther_Current[Code],0)))</f>
        <v>0</v>
      </c>
      <c r="G28" s="122">
        <f ca="1">IF(G$68=1,"n/a",INDEX(Rates_AllOther_Current[Energy charge Block 2 '[c/kWh']],MATCH(G$64,Rates_AllOther_Current[Code],0)))</f>
        <v>0</v>
      </c>
      <c r="H28" s="122">
        <f ca="1">IF(H$68=1,"n/a",INDEX(Rates_AllOther_Current[Energy charge Block 2 '[c/kWh']],MATCH(H$64,Rates_AllOther_Current[Code],0)))</f>
        <v>0</v>
      </c>
      <c r="I28" s="122">
        <f ca="1">IF(I$68=1,"n/a",INDEX(Rates_AllOther_Current[Energy charge Block 2 '[c/kWh']],MATCH(I$64,Rates_AllOther_Current[Code],0)))</f>
        <v>0</v>
      </c>
      <c r="J28" s="122">
        <f ca="1">IF(J$68=1,"n/a",INDEX(Rates_AllOther_Current[Energy charge Block 2 '[c/kWh']],MATCH(J$64,Rates_AllOther_Current[Code],0)))</f>
        <v>0</v>
      </c>
      <c r="K28" s="122">
        <f ca="1">IF(K$68=1,"n/a",INDEX(Rates_AllOther_Current[Energy charge Block 2 '[c/kWh']],MATCH(K$64,Rates_AllOther_Current[Code],0)))</f>
        <v>0</v>
      </c>
      <c r="L28" s="122">
        <f ca="1">IF(L$68=1,"n/a",INDEX(Rates_AllOther_Current[Energy charge Block 2 '[c/kWh']],MATCH(L$64,Rates_AllOther_Current[Code],0)))</f>
        <v>0</v>
      </c>
      <c r="M28" s="122">
        <f ca="1">IF(M$68=1,"n/a",INDEX(Rates_AllOther_Current[Energy charge Block 2 '[c/kWh']],MATCH(M$64,Rates_AllOther_Current[Code],0)))</f>
        <v>0</v>
      </c>
      <c r="N28" s="122">
        <f ca="1">IF(N$68=1,"n/a",INDEX(Rates_AllOther_Current[Energy charge Block 2 '[c/kWh']],MATCH(N$64,Rates_AllOther_Current[Code],0)))</f>
        <v>0</v>
      </c>
      <c r="O28" s="122">
        <f ca="1">IF(O$68=1,"n/a",INDEX(Rates_AllOther_Current[Energy charge Block 2 '[c/kWh']],MATCH(O$64,Rates_AllOther_Current[Code],0)))</f>
        <v>0</v>
      </c>
      <c r="P28" s="122">
        <f ca="1">IF(P$68=1,"n/a",INDEX(Rates_AllOther_Current[Energy charge Block 2 '[c/kWh']],MATCH(P$64,Rates_AllOther_Current[Code],0)))</f>
        <v>0</v>
      </c>
      <c r="Q28" s="122">
        <f ca="1">IF(Q$68=1,"n/a",INDEX(Rates_AllOther_Current[Energy charge Block 2 '[c/kWh']],MATCH(Q$64,Rates_AllOther_Current[Code],0)))</f>
        <v>0</v>
      </c>
      <c r="R28" s="122">
        <f ca="1">IF(R$68=1,"n/a",INDEX(Rates_AllOther_Current[Energy charge Block 2 '[c/kWh']],MATCH(R$64,Rates_AllOther_Current[Code],0)))</f>
        <v>0</v>
      </c>
      <c r="S28" s="122">
        <f ca="1">IF(S$68=1,"n/a",INDEX(Rates_AllOther_Current[Energy charge Block 2 '[c/kWh']],MATCH(S$64,Rates_AllOther_Current[Code],0)))</f>
        <v>0</v>
      </c>
      <c r="T28" s="122">
        <f ca="1">IF(T$68=1,"n/a",INDEX(Rates_AllOther_Current[Energy charge Block 2 '[c/kWh']],MATCH(T$64,Rates_AllOther_Current[Code],0)))</f>
        <v>0</v>
      </c>
      <c r="U28" s="122">
        <f ca="1">IF(U$68=1,"n/a",INDEX(Rates_AllOther_Current[Energy charge Block 2 '[c/kWh']],MATCH(U$64,Rates_AllOther_Current[Code],0)))</f>
        <v>0</v>
      </c>
      <c r="V28" s="122" t="str">
        <f ca="1">IF(V$68=1,"n/a",INDEX(Rates_AllOther_Current[Energy charge Block 2 '[c/kWh']],MATCH(V$64,Rates_AllOther_Current[Code],0)))</f>
        <v>n/a</v>
      </c>
      <c r="W28" s="122" t="str">
        <f ca="1">IF(W$68=1,"n/a",INDEX(Rates_AllOther_Current[Energy charge Block 2 '[c/kWh']],MATCH(W$64,Rates_AllOther_Current[Code],0)))</f>
        <v>n/a</v>
      </c>
      <c r="X28" s="122" t="str">
        <f>IF(X$68=1,"n/a",INDEX(Rates_AllOther_Current[Energy charge Block 2 '[c/kWh']],MATCH(X$64,Rates_AllOther_Current[Code],0)))</f>
        <v>n/a</v>
      </c>
      <c r="Y28" s="122" t="str">
        <f ca="1">IF(Y$68=1,"n/a",INDEX(Rates_AllOther_Current[Energy charge Block 2 '[c/kWh']],MATCH(Y$64,Rates_AllOther_Current[Code],0)))</f>
        <v>n/a</v>
      </c>
      <c r="Z28" s="122" t="str">
        <f ca="1">IF(Z$68=1,"n/a",INDEX(Rates_AllOther_Current[Energy charge Block 2 '[c/kWh']],MATCH(Z$64,Rates_AllOther_Current[Code],0)))</f>
        <v>n/a</v>
      </c>
      <c r="AA28" s="122" t="str">
        <f ca="1">IF(AA$68=1,"n/a",INDEX(Rates_AllOther_Current[Energy charge Block 2 '[c/kWh']],MATCH(AA$64,Rates_AllOther_Current[Code],0)))</f>
        <v>n/a</v>
      </c>
      <c r="AB28" s="122">
        <f ca="1">IF(AB$68=1,"n/a",INDEX(Rates_AllOther_Current[Energy charge Block 2 '[c/kWh']],MATCH(AB$64,Rates_AllOther_Current[Code],0)))</f>
        <v>0</v>
      </c>
      <c r="AC28" s="122">
        <f ca="1">IF(AC$68=1,"n/a",INDEX(Rates_AllOther_Current[Energy charge Block 2 '[c/kWh']],MATCH(AC$64,Rates_AllOther_Current[Code],0)))</f>
        <v>0</v>
      </c>
      <c r="AD28" s="122">
        <f ca="1">IF(AD$68=1,"n/a",INDEX(Rates_AllOther_Current[Energy charge Block 2 '[c/kWh']],MATCH(AD$64,Rates_AllOther_Current[Code],0)))</f>
        <v>0</v>
      </c>
      <c r="AE28" s="122">
        <f ca="1">IF(AE$68=1,"n/a",INDEX(Rates_AllOther_Current[Energy charge Block 2 '[c/kWh']],MATCH(AE$64,Rates_AllOther_Current[Code],0)))</f>
        <v>0</v>
      </c>
      <c r="AF28" s="122">
        <f ca="1">IF(AF$68=1,"n/a",INDEX(Rates_AllOther_Current[Energy charge Block 2 '[c/kWh']],MATCH(AF$64,Rates_AllOther_Current[Code],0)))</f>
        <v>0</v>
      </c>
      <c r="AG28" s="122" t="str">
        <f>IF(AG$68=1,"n/a",INDEX(Rates_AllOther_Current[Energy charge Block 2 '[c/kWh']],MATCH(AG$64,Rates_AllOther_Current[Code],0)))</f>
        <v>n/a</v>
      </c>
      <c r="AH28" s="137" t="e">
        <f ca="1">IF(AH$68=1,"n/a",INDEX(Rates_AllOther_Current[Energy charge Block 2 '[c/kWh']],MATCH(AH$64,Rates_AllOther_Current[Code],0)))</f>
        <v>#N/A</v>
      </c>
      <c r="AI28" s="137" t="e">
        <f ca="1">IF(AI$68=1,"n/a",INDEX(Rates_AllOther_Current[Energy charge Block 2 '[c/kWh']],MATCH(AI$64,Rates_AllOther_Current[Code],0)))</f>
        <v>#N/A</v>
      </c>
      <c r="AJ28" s="137" t="e">
        <f ca="1">IF(AJ$68=1,"n/a",INDEX(Rates_AllOther_Current[Energy charge Block 2 '[c/kWh']],MATCH(AJ$64,Rates_AllOther_Current[Code],0)))</f>
        <v>#N/A</v>
      </c>
      <c r="AK28" s="137" t="e">
        <f ca="1">IF(AK$68=1,"n/a",INDEX(Rates_AllOther_Current[Energy charge Block 2 '[c/kWh']],MATCH(AK$64,Rates_AllOther_Current[Code],0)))</f>
        <v>#N/A</v>
      </c>
      <c r="AL28" s="122" t="str">
        <f ca="1">IF(AL$68=1,"n/a",INDEX(Rates_AllOther_Current[Energy charge Block 2 '[c/kWh']],MATCH(AL$64,Rates_AllOther_Current[Code],0)))</f>
        <v>n/a</v>
      </c>
      <c r="AM28" s="122" t="str">
        <f ca="1">IF(AM$68=1,"n/a",INDEX(Rates_AllOther_Current[Energy charge Block 2 '[c/kWh']],MATCH(AM$64,Rates_AllOther_Current[Code],0)))</f>
        <v>n/a</v>
      </c>
      <c r="AN28" s="122" t="str">
        <f ca="1">IF(AN$68=1,"n/a",INDEX(Rates_AllOther_Current[Energy charge Block 2 '[c/kWh']],MATCH(AN$64,Rates_AllOther_Current[Code],0)))</f>
        <v>n/a</v>
      </c>
      <c r="AO28" s="122" t="str">
        <f ca="1">IF(AO$68=1,"n/a",INDEX(Rates_AllOther_Current[Energy charge Block 2 '[c/kWh']],MATCH(AO$64,Rates_AllOther_Current[Code],0)))</f>
        <v>n/a</v>
      </c>
      <c r="AP28" s="122" t="str">
        <f ca="1">IF(AP$68=1,"n/a",INDEX(Rates_AllOther_Current[Energy charge Block 2 '[c/kWh']],MATCH(AP$64,Rates_AllOther_Current[Code],0)))</f>
        <v>n/a</v>
      </c>
      <c r="AQ28" s="122" t="str">
        <f ca="1">IF(AQ$68=1,"n/a",INDEX(Rates_AllOther_Current[Energy charge Block 2 '[c/kWh']],MATCH(AQ$64,Rates_AllOther_Current[Code],0)))</f>
        <v>n/a</v>
      </c>
      <c r="AR28" s="122" t="e">
        <f ca="1">IF(AR$68=1,"n/a",INDEX(Rates_AllOther_Current[Energy charge Block 2 '[c/kWh']],MATCH(AR$64,Rates_AllOther_Current[Code],0)))</f>
        <v>#N/A</v>
      </c>
      <c r="AT28" s="118" t="str">
        <f t="shared" ca="1" si="14"/>
        <v>n/a</v>
      </c>
      <c r="AU28" s="122">
        <f ca="1">IF(AU$68=1,"n/a",INDEX(Rates_AllOther_New[Energy charge Block 2 '[c/kWh']],MATCH(AU$64,Rates_AllOther_New[Code],0)))</f>
        <v>0</v>
      </c>
      <c r="AV28" s="122">
        <f ca="1">IF(AV$68=1,"n/a",INDEX(Rates_AllOther_New[Energy charge Block 2 '[c/kWh']],MATCH(AV$64,Rates_AllOther_New[Code],0)))</f>
        <v>0</v>
      </c>
      <c r="AW28" s="122">
        <f ca="1">IF(AW$68=1,"n/a",INDEX(Rates_AllOther_New[Energy charge Block 2 '[c/kWh']],MATCH(AW$64,Rates_AllOther_New[Code],0)))</f>
        <v>0</v>
      </c>
      <c r="AX28" s="122">
        <f ca="1">IF(AX$68=1,"n/a",INDEX(Rates_AllOther_New[Energy charge Block 2 '[c/kWh']],MATCH(AX$64,Rates_AllOther_New[Code],0)))</f>
        <v>0</v>
      </c>
      <c r="AY28" s="122">
        <f ca="1">IF(AY$68=1,"n/a",INDEX(Rates_AllOther_New[Energy charge Block 2 '[c/kWh']],MATCH(AY$64,Rates_AllOther_New[Code],0)))</f>
        <v>0</v>
      </c>
      <c r="AZ28" s="122">
        <f ca="1">IF(AZ$68=1,"n/a",INDEX(Rates_AllOther_New[Energy charge Block 2 '[c/kWh']],MATCH(AZ$64,Rates_AllOther_New[Code],0)))</f>
        <v>0</v>
      </c>
      <c r="BA28" s="122">
        <f ca="1">IF(BA$68=1,"n/a",INDEX(Rates_AllOther_New[Energy charge Block 2 '[c/kWh']],MATCH(BA$64,Rates_AllOther_New[Code],0)))</f>
        <v>0</v>
      </c>
      <c r="BB28" s="122">
        <f ca="1">IF(BB$68=1,"n/a",INDEX(Rates_AllOther_New[Energy charge Block 2 '[c/kWh']],MATCH(BB$64,Rates_AllOther_New[Code],0)))</f>
        <v>0</v>
      </c>
      <c r="BC28" s="122">
        <f ca="1">IF(BC$68=1,"n/a",INDEX(Rates_AllOther_New[Energy charge Block 2 '[c/kWh']],MATCH(BC$64,Rates_AllOther_New[Code],0)))</f>
        <v>0</v>
      </c>
      <c r="BD28" s="122">
        <f ca="1">IF(BD$68=1,"n/a",INDEX(Rates_AllOther_New[Energy charge Block 2 '[c/kWh']],MATCH(BD$64,Rates_AllOther_New[Code],0)))</f>
        <v>0</v>
      </c>
      <c r="BE28" s="122">
        <f ca="1">IF(BE$68=1,"n/a",INDEX(Rates_AllOther_New[Energy charge Block 2 '[c/kWh']],MATCH(BE$64,Rates_AllOther_New[Code],0)))</f>
        <v>0</v>
      </c>
      <c r="BF28" s="122">
        <f ca="1">IF(BF$68=1,"n/a",INDEX(Rates_AllOther_New[Energy charge Block 2 '[c/kWh']],MATCH(BF$64,Rates_AllOther_New[Code],0)))</f>
        <v>0</v>
      </c>
      <c r="BG28" s="122">
        <f ca="1">IF(BG$68=1,"n/a",INDEX(Rates_AllOther_New[Energy charge Block 2 '[c/kWh']],MATCH(BG$64,Rates_AllOther_New[Code],0)))</f>
        <v>0</v>
      </c>
      <c r="BH28" s="122">
        <f ca="1">IF(BH$68=1,"n/a",INDEX(Rates_AllOther_New[Energy charge Block 2 '[c/kWh']],MATCH(BH$64,Rates_AllOther_New[Code],0)))</f>
        <v>0</v>
      </c>
      <c r="BI28" s="122">
        <f ca="1">IF(BI$68=1,"n/a",INDEX(Rates_AllOther_New[Energy charge Block 2 '[c/kWh']],MATCH(BI$64,Rates_AllOther_New[Code],0)))</f>
        <v>0</v>
      </c>
      <c r="BJ28" s="122">
        <f ca="1">IF(BJ$68=1,"n/a",INDEX(Rates_AllOther_New[Energy charge Block 2 '[c/kWh']],MATCH(BJ$64,Rates_AllOther_New[Code],0)))</f>
        <v>0</v>
      </c>
      <c r="BK28" s="122" t="str">
        <f ca="1">IF(BK$68=1,"n/a",INDEX(Rates_AllOther_New[Energy charge Block 2 '[c/kWh']],MATCH(BK$64,Rates_AllOther_New[Code],0)))</f>
        <v>n/a</v>
      </c>
      <c r="BL28" s="122" t="str">
        <f ca="1">IF(BL$68=1,"n/a",INDEX(Rates_AllOther_New[Energy charge Block 2 '[c/kWh']],MATCH(BL$64,Rates_AllOther_New[Code],0)))</f>
        <v>n/a</v>
      </c>
      <c r="BM28" s="122" t="str">
        <f>IF(BM$68=1,"n/a",INDEX(Rates_AllOther_New[Energy charge Block 2 '[c/kWh']],MATCH(BM$64,Rates_AllOther_New[Code],0)))</f>
        <v>n/a</v>
      </c>
      <c r="BN28" s="122" t="str">
        <f ca="1">IF(BN$68=1,"n/a",INDEX(Rates_AllOther_New[Energy charge Block 2 '[c/kWh']],MATCH(BN$64,Rates_AllOther_New[Code],0)))</f>
        <v>n/a</v>
      </c>
      <c r="BO28" s="122" t="str">
        <f ca="1">IF(BO$68=1,"n/a",INDEX(Rates_AllOther_New[Energy charge Block 2 '[c/kWh']],MATCH(BO$64,Rates_AllOther_New[Code],0)))</f>
        <v>n/a</v>
      </c>
      <c r="BP28" s="122" t="str">
        <f ca="1">IF(BP$68=1,"n/a",INDEX(Rates_AllOther_New[Energy charge Block 2 '[c/kWh']],MATCH(BP$64,Rates_AllOther_New[Code],0)))</f>
        <v>n/a</v>
      </c>
      <c r="BQ28" s="122">
        <f ca="1">IF(BQ$68=1,"n/a",INDEX(Rates_AllOther_New[Energy charge Block 2 '[c/kWh']],MATCH(BQ$64,Rates_AllOther_New[Code],0)))</f>
        <v>0</v>
      </c>
      <c r="BR28" s="122">
        <f ca="1">IF(BR$68=1,"n/a",INDEX(Rates_AllOther_New[Energy charge Block 2 '[c/kWh']],MATCH(BR$64,Rates_AllOther_New[Code],0)))</f>
        <v>0</v>
      </c>
      <c r="BS28" s="122">
        <f ca="1">IF(BS$68=1,"n/a",INDEX(Rates_AllOther_New[Energy charge Block 2 '[c/kWh']],MATCH(BS$64,Rates_AllOther_New[Code],0)))</f>
        <v>0</v>
      </c>
      <c r="BT28" s="122">
        <f ca="1">IF(BT$68=1,"n/a",INDEX(Rates_AllOther_New[Energy charge Block 2 '[c/kWh']],MATCH(BT$64,Rates_AllOther_New[Code],0)))</f>
        <v>0</v>
      </c>
      <c r="BU28" s="122">
        <f ca="1">IF(BU$68=1,"n/a",INDEX(Rates_AllOther_New[Energy charge Block 2 '[c/kWh']],MATCH(BU$64,Rates_AllOther_New[Code],0)))</f>
        <v>0</v>
      </c>
      <c r="BV28" s="122" t="str">
        <f>IF(BV$68=1,"n/a",INDEX(Rates_AllOther_New[Energy charge Block 2 '[c/kWh']],MATCH(BV$64,Rates_AllOther_New[Code],0)))</f>
        <v>n/a</v>
      </c>
      <c r="BW28" s="122" t="e">
        <f ca="1">IF(BW$68=1,"n/a",INDEX(Rates_AllOther_New[Energy charge Block 2 '[c/kWh']],MATCH(BW$64,Rates_AllOther_New[Code],0)))</f>
        <v>#N/A</v>
      </c>
      <c r="BX28" s="122" t="e">
        <f ca="1">IF(BX$68=1,"n/a",INDEX(Rates_AllOther_New[Energy charge Block 2 '[c/kWh']],MATCH(BX$64,Rates_AllOther_New[Code],0)))</f>
        <v>#N/A</v>
      </c>
      <c r="BY28" s="122" t="e">
        <f ca="1">IF(BY$68=1,"n/a",INDEX(Rates_AllOther_New[Energy charge Block 2 '[c/kWh']],MATCH(BY$64,Rates_AllOther_New[Code],0)))</f>
        <v>#N/A</v>
      </c>
      <c r="BZ28" s="122" t="e">
        <f ca="1">IF(BZ$68=1,"n/a",INDEX(Rates_AllOther_New[Energy charge Block 2 '[c/kWh']],MATCH(BZ$64,Rates_AllOther_New[Code],0)))</f>
        <v>#N/A</v>
      </c>
      <c r="CA28" s="122" t="str">
        <f ca="1">IF(CA$68=1,"n/a",INDEX(Rates_AllOther_New[Energy charge Block 2 '[c/kWh']],MATCH(CA$64,Rates_AllOther_New[Code],0)))</f>
        <v>n/a</v>
      </c>
      <c r="CB28" s="122" t="str">
        <f ca="1">IF(CB$68=1,"n/a",INDEX(Rates_AllOther_New[Energy charge Block 2 '[c/kWh']],MATCH(CB$64,Rates_AllOther_New[Code],0)))</f>
        <v>n/a</v>
      </c>
      <c r="CC28" s="122" t="str">
        <f ca="1">IF(CC$68=1,"n/a",INDEX(Rates_AllOther_New[Energy charge Block 2 '[c/kWh']],MATCH(CC$64,Rates_AllOther_New[Code],0)))</f>
        <v>n/a</v>
      </c>
      <c r="CD28" s="122" t="str">
        <f ca="1">IF(CD$68=1,"n/a",INDEX(Rates_AllOther_New[Energy charge Block 2 '[c/kWh']],MATCH(CD$64,Rates_AllOther_New[Code],0)))</f>
        <v>n/a</v>
      </c>
      <c r="CE28" s="122" t="str">
        <f ca="1">IF(CE$68=1,"n/a",INDEX(Rates_AllOther_New[Energy charge Block 2 '[c/kWh']],MATCH(CE$64,Rates_AllOther_New[Code],0)))</f>
        <v>n/a</v>
      </c>
      <c r="CF28" s="122" t="str">
        <f ca="1">IF(CF$68=1,"n/a",INDEX(Rates_AllOther_New[Energy charge Block 2 '[c/kWh']],MATCH(CF$64,Rates_AllOther_New[Code],0)))</f>
        <v>n/a</v>
      </c>
    </row>
    <row r="29" spans="2:84" s="134" customFormat="1" ht="13.8">
      <c r="C29" s="134" t="s">
        <v>149</v>
      </c>
      <c r="D29" s="135" t="s">
        <v>115</v>
      </c>
      <c r="E29" s="136" t="str">
        <f t="shared" ca="1" si="13"/>
        <v>n/a</v>
      </c>
      <c r="F29" s="137" t="str">
        <f ca="1">IF(F$68=1,INDEX(Rates_Energy_Current[High Demand],MATCH(F$62,Rates_Energy_Current[Code],0)),"n/a")</f>
        <v>n/a</v>
      </c>
      <c r="G29" s="137" t="str">
        <f ca="1">IF(G$68=1,INDEX(Rates_Energy_Current[High Demand],MATCH(G$62,Rates_Energy_Current[Code],0)),"n/a")</f>
        <v>n/a</v>
      </c>
      <c r="H29" s="137" t="str">
        <f ca="1">IF(H$68=1,INDEX(Rates_Energy_Current[High Demand],MATCH(H$62,Rates_Energy_Current[Code],0)),"n/a")</f>
        <v>n/a</v>
      </c>
      <c r="I29" s="137" t="str">
        <f ca="1">IF(I$68=1,INDEX(Rates_Energy_Current[High Demand],MATCH(I$62,Rates_Energy_Current[Code],0)),"n/a")</f>
        <v>n/a</v>
      </c>
      <c r="J29" s="137" t="str">
        <f ca="1">IF(J$68=1,INDEX(Rates_Energy_Current[High Demand],MATCH(J$62,Rates_Energy_Current[Code],0)),"n/a")</f>
        <v>n/a</v>
      </c>
      <c r="K29" s="137" t="str">
        <f ca="1">IF(K$68=1,INDEX(Rates_Energy_Current[High Demand],MATCH(K$62,Rates_Energy_Current[Code],0)),"n/a")</f>
        <v>n/a</v>
      </c>
      <c r="L29" s="137" t="str">
        <f ca="1">IF(L$68=1,INDEX(Rates_Energy_Current[High Demand],MATCH(L$62,Rates_Energy_Current[Code],0)),"n/a")</f>
        <v>n/a</v>
      </c>
      <c r="M29" s="137" t="str">
        <f ca="1">IF(M$68=1,INDEX(Rates_Energy_Current[High Demand],MATCH(M$62,Rates_Energy_Current[Code],0)),"n/a")</f>
        <v>n/a</v>
      </c>
      <c r="N29" s="137" t="str">
        <f ca="1">IF(N$68=1,INDEX(Rates_Energy_Current[High Demand],MATCH(N$62,Rates_Energy_Current[Code],0)),"n/a")</f>
        <v>n/a</v>
      </c>
      <c r="O29" s="137" t="str">
        <f ca="1">IF(O$68=1,INDEX(Rates_Energy_Current[High Demand],MATCH(O$62,Rates_Energy_Current[Code],0)),"n/a")</f>
        <v>n/a</v>
      </c>
      <c r="P29" s="137" t="str">
        <f ca="1">IF(P$68=1,INDEX(Rates_Energy_Current[High Demand],MATCH(P$62,Rates_Energy_Current[Code],0)),"n/a")</f>
        <v>n/a</v>
      </c>
      <c r="Q29" s="137" t="str">
        <f ca="1">IF(Q$68=1,INDEX(Rates_Energy_Current[High Demand],MATCH(Q$62,Rates_Energy_Current[Code],0)),"n/a")</f>
        <v>n/a</v>
      </c>
      <c r="R29" s="137" t="str">
        <f ca="1">IF(R$68=1,INDEX(Rates_Energy_Current[High Demand],MATCH(R$62,Rates_Energy_Current[Code],0)),"n/a")</f>
        <v>n/a</v>
      </c>
      <c r="S29" s="137" t="str">
        <f ca="1">IF(S$68=1,INDEX(Rates_Energy_Current[High Demand],MATCH(S$62,Rates_Energy_Current[Code],0)),"n/a")</f>
        <v>n/a</v>
      </c>
      <c r="T29" s="137" t="str">
        <f ca="1">IF(T$68=1,INDEX(Rates_Energy_Current[High Demand],MATCH(T$62,Rates_Energy_Current[Code],0)),"n/a")</f>
        <v>n/a</v>
      </c>
      <c r="U29" s="137" t="str">
        <f ca="1">IF(U$68=1,INDEX(Rates_Energy_Current[High Demand],MATCH(U$62,Rates_Energy_Current[Code],0)),"n/a")</f>
        <v>n/a</v>
      </c>
      <c r="V29" s="137" t="str">
        <f ca="1">IF(V$68=1,INDEX(Rates_Energy_Current[High Demand],MATCH(V$62,Rates_Energy_Current[Code],0)),"n/a")</f>
        <v>n/a</v>
      </c>
      <c r="W29" s="137" t="str">
        <f ca="1">IF(W$68=1,INDEX(Rates_Energy_Current[High Demand],MATCH(W$62,Rates_Energy_Current[Code],0)),"n/a")</f>
        <v>n/a</v>
      </c>
      <c r="X29" s="137">
        <f ca="1">IF(X$68=1,INDEX(Rates_Energy_Current[High Demand],MATCH(X$62,Rates_Energy_Current[Code],0)),"n/a")</f>
        <v>314.20999999999998</v>
      </c>
      <c r="Y29" s="137">
        <f ca="1">IF(Y$68=1,INDEX(Rates_Energy_Current[High Demand],MATCH(Y$62,Rates_Energy_Current[Code],0)),"n/a")</f>
        <v>408.5</v>
      </c>
      <c r="Z29" s="137">
        <f ca="1">IF(Z$68=1,INDEX(Rates_Energy_Current[High Demand],MATCH(Z$62,Rates_Energy_Current[Code],0)),"n/a")</f>
        <v>314.20999999999998</v>
      </c>
      <c r="AA29" s="137" t="str">
        <f ca="1">IF(AA$68=1,INDEX(Rates_Energy_Current[High Demand],MATCH(AA$62,Rates_Energy_Current[Code],0)),"n/a")</f>
        <v>n/a</v>
      </c>
      <c r="AB29" s="137" t="str">
        <f ca="1">IF(AB$68=1,INDEX(Rates_Energy_Current[High Demand],MATCH(AB$62,Rates_Energy_Current[Code],0)),"n/a")</f>
        <v>n/a</v>
      </c>
      <c r="AC29" s="137" t="str">
        <f ca="1">IF(AC$68=1,INDEX(Rates_Energy_Current[High Demand],MATCH(AC$62,Rates_Energy_Current[Code],0)),"n/a")</f>
        <v>n/a</v>
      </c>
      <c r="AD29" s="137" t="str">
        <f ca="1">IF(AD$68=1,INDEX(Rates_Energy_Current[High Demand],MATCH(AD$62,Rates_Energy_Current[Code],0)),"n/a")</f>
        <v>n/a</v>
      </c>
      <c r="AE29" s="137" t="str">
        <f ca="1">IF(AE$68=1,INDEX(Rates_Energy_Current[High Demand],MATCH(AE$62,Rates_Energy_Current[Code],0)),"n/a")</f>
        <v>n/a</v>
      </c>
      <c r="AF29" s="137" t="str">
        <f ca="1">IF(AF$68=1,INDEX(Rates_Energy_Current[High Demand],MATCH(AF$62,Rates_Energy_Current[Code],0)),"n/a")</f>
        <v>n/a</v>
      </c>
      <c r="AG29" s="137" t="e">
        <f ca="1">IF(AG$68=1,INDEX(Rates_Energy_Current[High Demand],MATCH(AG$62,Rates_Energy_Current[Code],0)),"n/a")</f>
        <v>#N/A</v>
      </c>
      <c r="AH29" s="134" t="str">
        <f ca="1">IF(AH$68=1,INDEX(Rates_Energy_Current[High Demand],MATCH(AH$62,Rates_Energy_Current[Code],0)),"n/a")</f>
        <v>n/a</v>
      </c>
      <c r="AI29" s="134" t="str">
        <f ca="1">IF(AI$68=1,INDEX(Rates_Energy_Current[High Demand],MATCH(AI$62,Rates_Energy_Current[Code],0)),"n/a")</f>
        <v>n/a</v>
      </c>
      <c r="AJ29" s="134" t="str">
        <f ca="1">IF(AJ$68=1,INDEX(Rates_Energy_Current[High Demand],MATCH(AJ$62,Rates_Energy_Current[Code],0)),"n/a")</f>
        <v>n/a</v>
      </c>
      <c r="AK29" s="134" t="str">
        <f ca="1">IF(AK$68=1,INDEX(Rates_Energy_Current[High Demand],MATCH(AK$62,Rates_Energy_Current[Code],0)),"n/a")</f>
        <v>n/a</v>
      </c>
      <c r="AL29" s="137" t="str">
        <f ca="1">IF(AL$68=1,INDEX(Rates_Energy_Current[Transmission Zone],MATCH(AL$62,Rates_Energy_Current[Low - Standard],0)),"n/a")</f>
        <v>n/a</v>
      </c>
      <c r="AM29" s="137" t="str">
        <f ca="1">IF(AM$68=1,INDEX(Rates_Energy_Current[Supply Voltage],MATCH(AM$62,Rates_Energy_Current[Low-Off Peak],0)),"n/a")</f>
        <v>n/a</v>
      </c>
      <c r="AN29" s="137" t="str">
        <f ca="1">IF(AN$68=1,INDEX(Rates_Energy_Current[Code],MATCH(AN$62,Rates_Energy_Current[High Charge],0)),"n/a")</f>
        <v>n/a</v>
      </c>
      <c r="AO29" s="137" t="str">
        <f ca="1">IF(AO$68=1,INDEX(Rates_Energy_Current[Matrix Code],MATCH(AO$62,Rates_Energy_Current[Low Charge],0)),"n/a")</f>
        <v>n/a</v>
      </c>
      <c r="AP29" s="137" t="str">
        <f ca="1">IF(AP$68=1,INDEX(Rates_Energy_Current[High Demand],MATCH(AP$62,Rates_Energy_Current[Code],0)),"n/a")</f>
        <v>n/a</v>
      </c>
      <c r="AQ29" s="137" t="str">
        <f ca="1">IF(AQ$68=1,INDEX(Rates_Energy_Current[High Demand],MATCH(AQ$62,Rates_Energy_Current[Code],0)),"n/a")</f>
        <v>n/a</v>
      </c>
      <c r="AR29" s="137" t="str">
        <f ca="1">IF(AR$68=1,INDEX(Rates_Energy_Current[High Demand],MATCH(AR$62,Rates_Energy_Current[Code],0)),"n/a")</f>
        <v>n/a</v>
      </c>
      <c r="AT29" s="136" t="str">
        <f t="shared" ca="1" si="14"/>
        <v>n/a</v>
      </c>
      <c r="AU29" s="137" t="str">
        <f ca="1">IF(AU$68=1,INDEX(Rates_Energy_New[High Demand],MATCH(AU$62,Rates_Energy_New[Code],0)),"n/a")</f>
        <v>n/a</v>
      </c>
      <c r="AV29" s="137" t="str">
        <f ca="1">IF(AV$68=1,INDEX(Rates_Energy_New[High Demand],MATCH(AV$62,Rates_Energy_New[Code],0)),"n/a")</f>
        <v>n/a</v>
      </c>
      <c r="AW29" s="137" t="str">
        <f ca="1">IF(AW$68=1,INDEX(Rates_Energy_New[High Demand],MATCH(AW$62,Rates_Energy_New[Code],0)),"n/a")</f>
        <v>n/a</v>
      </c>
      <c r="AX29" s="137" t="str">
        <f ca="1">IF(AX$68=1,INDEX(Rates_Energy_New[High Demand],MATCH(AX$62,Rates_Energy_New[Code],0)),"n/a")</f>
        <v>n/a</v>
      </c>
      <c r="AY29" s="137" t="str">
        <f ca="1">IF(AY$68=1,INDEX(Rates_Energy_New[High Demand],MATCH(AY$62,Rates_Energy_New[Code],0)),"n/a")</f>
        <v>n/a</v>
      </c>
      <c r="AZ29" s="137" t="str">
        <f ca="1">IF(AZ$68=1,INDEX(Rates_Energy_New[High Demand],MATCH(AZ$62,Rates_Energy_New[Code],0)),"n/a")</f>
        <v>n/a</v>
      </c>
      <c r="BA29" s="137" t="str">
        <f ca="1">IF(BA$68=1,INDEX(Rates_Energy_New[High Demand],MATCH(BA$62,Rates_Energy_New[Code],0)),"n/a")</f>
        <v>n/a</v>
      </c>
      <c r="BB29" s="137" t="str">
        <f ca="1">IF(BB$68=1,INDEX(Rates_Energy_New[High Demand],MATCH(BB$62,Rates_Energy_New[Code],0)),"n/a")</f>
        <v>n/a</v>
      </c>
      <c r="BC29" s="137" t="str">
        <f ca="1">IF(BC$68=1,INDEX(Rates_Energy_New[High Demand],MATCH(BC$62,Rates_Energy_New[Code],0)),"n/a")</f>
        <v>n/a</v>
      </c>
      <c r="BD29" s="137" t="str">
        <f ca="1">IF(BD$68=1,INDEX(Rates_Energy_New[High Demand],MATCH(BD$62,Rates_Energy_New[Code],0)),"n/a")</f>
        <v>n/a</v>
      </c>
      <c r="BE29" s="137" t="str">
        <f ca="1">IF(BE$68=1,INDEX(Rates_Energy_New[High Demand],MATCH(BE$62,Rates_Energy_New[Code],0)),"n/a")</f>
        <v>n/a</v>
      </c>
      <c r="BF29" s="137" t="str">
        <f ca="1">IF(BF$68=1,INDEX(Rates_Energy_New[High Demand],MATCH(BF$62,Rates_Energy_New[Code],0)),"n/a")</f>
        <v>n/a</v>
      </c>
      <c r="BG29" s="137" t="str">
        <f ca="1">IF(BG$68=1,INDEX(Rates_Energy_New[High Demand],MATCH(BG$62,Rates_Energy_New[Code],0)),"n/a")</f>
        <v>n/a</v>
      </c>
      <c r="BH29" s="137" t="str">
        <f ca="1">IF(BH$68=1,INDEX(Rates_Energy_New[High Demand],MATCH(BH$62,Rates_Energy_New[Code],0)),"n/a")</f>
        <v>n/a</v>
      </c>
      <c r="BI29" s="137" t="str">
        <f ca="1">IF(BI$68=1,INDEX(Rates_Energy_New[High Demand],MATCH(BI$62,Rates_Energy_New[Code],0)),"n/a")</f>
        <v>n/a</v>
      </c>
      <c r="BJ29" s="137" t="str">
        <f ca="1">IF(BJ$68=1,INDEX(Rates_Energy_New[High Demand],MATCH(BJ$62,Rates_Energy_New[Code],0)),"n/a")</f>
        <v>n/a</v>
      </c>
      <c r="BK29" s="137" t="str">
        <f ca="1">IF(BK$68=1,INDEX(Rates_Energy_New[High Demand],MATCH(BK$62,Rates_Energy_New[Code],0)),"n/a")</f>
        <v>n/a</v>
      </c>
      <c r="BL29" s="137" t="str">
        <f ca="1">IF(BL$68=1,INDEX(Rates_Energy_New[High Demand],MATCH(BL$62,Rates_Energy_New[Code],0)),"n/a")</f>
        <v>n/a</v>
      </c>
      <c r="BM29" s="137">
        <f ca="1">IF(BM$68=1,INDEX(Rates_Energy_New[High Demand],MATCH(BM$62,Rates_Energy_New[Code],0)),"n/a")</f>
        <v>341.73</v>
      </c>
      <c r="BN29" s="137">
        <f ca="1">IF(BN$68=1,INDEX(Rates_Energy_New[High Demand],MATCH(BN$62,Rates_Energy_New[Code],0)),"n/a")</f>
        <v>444.28</v>
      </c>
      <c r="BO29" s="137">
        <f ca="1">IF(BO$68=1,INDEX(Rates_Energy_New[High Demand],MATCH(BO$62,Rates_Energy_New[Code],0)),"n/a")</f>
        <v>341.73</v>
      </c>
      <c r="BP29" s="137" t="str">
        <f ca="1">IF(BP$68=1,INDEX(Rates_Energy_New[High Demand],MATCH(BP$62,Rates_Energy_New[Code],0)),"n/a")</f>
        <v>n/a</v>
      </c>
      <c r="BQ29" s="137" t="str">
        <f ca="1">IF(BQ$68=1,INDEX(Rates_Energy_New[High Demand],MATCH(BQ$62,Rates_Energy_New[Code],0)),"n/a")</f>
        <v>n/a</v>
      </c>
      <c r="BR29" s="137" t="str">
        <f ca="1">IF(BR$68=1,INDEX(Rates_Energy_New[High Demand],MATCH(BR$62,Rates_Energy_New[Code],0)),"n/a")</f>
        <v>n/a</v>
      </c>
      <c r="BS29" s="137" t="str">
        <f ca="1">IF(BS$68=1,INDEX(Rates_Energy_New[High Demand],MATCH(BS$62,Rates_Energy_New[Code],0)),"n/a")</f>
        <v>n/a</v>
      </c>
      <c r="BT29" s="137" t="str">
        <f ca="1">IF(BT$68=1,INDEX(Rates_Energy_New[High Demand],MATCH(BT$62,Rates_Energy_New[Code],0)),"n/a")</f>
        <v>n/a</v>
      </c>
      <c r="BU29" s="137" t="str">
        <f ca="1">IF(BU$68=1,INDEX(Rates_Energy_New[High Demand],MATCH(BU$62,Rates_Energy_New[Code],0)),"n/a")</f>
        <v>n/a</v>
      </c>
      <c r="BV29" s="137" t="str">
        <f ca="1">IF(BV$68=1,INDEX(Rates_Energy_New[High Demand],MATCH(BV$62,Rates_Energy_New[Code],0)),"n/a")</f>
        <v>n/a</v>
      </c>
      <c r="BW29" s="137" t="str">
        <f ca="1">IF(BW$68=1,INDEX(Rates_Energy_New[High Demand],MATCH(BW$62,Rates_Energy_New[Code],0)),"n/a")</f>
        <v>n/a</v>
      </c>
      <c r="BX29" s="137" t="str">
        <f ca="1">IF(BX$68=1,INDEX(Rates_Energy_New[High Demand],MATCH(BX$62,Rates_Energy_New[Code],0)),"n/a")</f>
        <v>n/a</v>
      </c>
      <c r="BY29" s="137" t="str">
        <f ca="1">IF(BY$68=1,INDEX(Rates_Energy_New[High Demand],MATCH(BY$62,Rates_Energy_New[Code],0)),"n/a")</f>
        <v>n/a</v>
      </c>
      <c r="BZ29" s="137" t="str">
        <f ca="1">IF(BZ$68=1,INDEX(Rates_Energy_New[High Demand],MATCH(BZ$62,Rates_Energy_New[Code],0)),"n/a")</f>
        <v>n/a</v>
      </c>
      <c r="CA29" s="137" t="str">
        <f ca="1">IF(CA$68=1,INDEX(Rates_Energy_New[High Demand],MATCH(CA$62,Rates_Energy_New[Code],0)),"n/a")</f>
        <v>n/a</v>
      </c>
      <c r="CB29" s="137" t="str">
        <f ca="1">IF(CB$68=1,INDEX(Rates_Energy_New[High Demand],MATCH(CB$62,Rates_Energy_New[Code],0)),"n/a")</f>
        <v>n/a</v>
      </c>
      <c r="CC29" s="137" t="str">
        <f ca="1">IF(CC$68=1,INDEX(Rates_Energy_New[High Demand],MATCH(CC$62,Rates_Energy_New[Code],0)),"n/a")</f>
        <v>n/a</v>
      </c>
      <c r="CD29" s="137" t="str">
        <f ca="1">IF(CD$68=1,INDEX(Rates_Energy_New[High Demand],MATCH(CD$62,Rates_Energy_New[Code],0)),"n/a")</f>
        <v>n/a</v>
      </c>
      <c r="CE29" s="137" t="str">
        <f ca="1">IF(CE$68=1,INDEX(Rates_Energy_New[High Demand],MATCH(CE$62,Rates_Energy_New[Code],0)),"n/a")</f>
        <v>n/a</v>
      </c>
      <c r="CF29" s="137" t="str">
        <f ca="1">IF(CF$68=1,INDEX(Rates_Energy_New[High Demand],MATCH(CF$62,Rates_Energy_New[Code],0)),"n/a")</f>
        <v>n/a</v>
      </c>
    </row>
    <row r="30" spans="2:84" s="134" customFormat="1" ht="13.8">
      <c r="C30" s="77" t="s">
        <v>507</v>
      </c>
      <c r="D30" s="135" t="s">
        <v>115</v>
      </c>
      <c r="E30" s="136">
        <f t="shared" ca="1" si="13"/>
        <v>3.49</v>
      </c>
      <c r="F30" s="286">
        <f ca="1">IF(F$68=1,INDEX(Rates_Energy_Current[Generation Capacity Charge],MATCH(F$62,Rates_Energy_Current[Code],0)),INDEX(Rates_AllOther_Current[Generation capacity charge '[R/POD/day']],MATCH(F$64,Rates_AllOther_Current[Code],0)))</f>
        <v>1.98</v>
      </c>
      <c r="G30" s="285">
        <f ca="1">IF(G$68=1,INDEX(Rates_Energy_Current[Generation Capacity Charge],MATCH(G$62,Rates_Energy_Current[Code],0)),INDEX(Rates_AllOther_Current[Generation capacity charge '[R/POD/day']],MATCH(G$64,Rates_AllOther_Current[Code],0)))</f>
        <v>2.95</v>
      </c>
      <c r="H30" s="285">
        <f ca="1">IF(H$68=1,INDEX(Rates_Energy_Current[Generation Capacity Charge],MATCH(H$62,Rates_Energy_Current[Code],0)),INDEX(Rates_AllOther_Current[Generation capacity charge '[R/POD/day']],MATCH(H$64,Rates_AllOther_Current[Code],0)))</f>
        <v>7.37</v>
      </c>
      <c r="I30" s="285">
        <f ca="1">IF(I$68=1,INDEX(Rates_Energy_Current[Generation Capacity Charge],MATCH(I$62,Rates_Energy_Current[Code],0)),INDEX(Rates_AllOther_Current[Generation capacity charge '[R/POD/day']],MATCH(I$64,Rates_AllOther_Current[Code],0)))</f>
        <v>0</v>
      </c>
      <c r="J30" s="285">
        <f ca="1">IF(J$68=1,INDEX(Rates_Energy_Current[Generation Capacity Charge],MATCH(J$62,Rates_Energy_Current[Code],0)),INDEX(Rates_AllOther_Current[Generation capacity charge '[R/POD/day']],MATCH(J$64,Rates_AllOther_Current[Code],0)))</f>
        <v>0</v>
      </c>
      <c r="K30" s="285">
        <f ca="1">IF(K$68=1,INDEX(Rates_Energy_Current[Generation Capacity Charge],MATCH(K$62,Rates_Energy_Current[Code],0)),INDEX(Rates_AllOther_Current[Generation capacity charge '[R/POD/day']],MATCH(K$64,Rates_AllOther_Current[Code],0)))</f>
        <v>0</v>
      </c>
      <c r="L30" s="285">
        <f ca="1">IF(L$68=1,INDEX(Rates_Energy_Current[Generation Capacity Charge],MATCH(L$62,Rates_Energy_Current[Code],0)),INDEX(Rates_AllOther_Current[Generation capacity charge '[R/POD/day']],MATCH(L$64,Rates_AllOther_Current[Code],0)))</f>
        <v>0.72</v>
      </c>
      <c r="M30" s="285">
        <f ca="1">IF(M$68=1,INDEX(Rates_Energy_Current[Generation Capacity Charge],MATCH(M$62,Rates_Energy_Current[Code],0)),INDEX(Rates_AllOther_Current[Generation capacity charge '[R/POD/day']],MATCH(M$64,Rates_AllOther_Current[Code],0)))</f>
        <v>1.27</v>
      </c>
      <c r="N30" s="285">
        <f ca="1">IF(N$68=1,INDEX(Rates_Energy_Current[Generation Capacity Charge],MATCH(N$62,Rates_Energy_Current[Code],0)),INDEX(Rates_AllOther_Current[Generation capacity charge '[R/POD/day']],MATCH(N$64,Rates_AllOther_Current[Code],0)))</f>
        <v>3.1</v>
      </c>
      <c r="O30" s="285">
        <f ca="1">IF(O$68=1,INDEX(Rates_Energy_Current[Generation Capacity Charge],MATCH(O$62,Rates_Energy_Current[Code],0)),INDEX(Rates_AllOther_Current[Generation capacity charge '[R/POD/day']],MATCH(O$64,Rates_AllOther_Current[Code],0)))</f>
        <v>0.47</v>
      </c>
      <c r="P30" s="285">
        <f ca="1">IF(P$68=1,INDEX(Rates_Energy_Current[Generation Capacity Charge],MATCH(P$62,Rates_Energy_Current[Code],0)),INDEX(Rates_AllOther_Current[Generation capacity charge '[R/POD/day']],MATCH(P$64,Rates_AllOther_Current[Code],0)))</f>
        <v>4.78</v>
      </c>
      <c r="Q30" s="285">
        <f ca="1">IF(Q$68=1,INDEX(Rates_Energy_Current[Generation Capacity Charge],MATCH(Q$62,Rates_Energy_Current[Code],0)),INDEX(Rates_AllOther_Current[Generation capacity charge '[R/POD/day']],MATCH(Q$64,Rates_AllOther_Current[Code],0)))</f>
        <v>2.71</v>
      </c>
      <c r="R30" s="285">
        <f ca="1">IF(R$68=1,INDEX(Rates_Energy_Current[Generation Capacity Charge],MATCH(R$62,Rates_Energy_Current[Code],0)),INDEX(Rates_AllOther_Current[Generation capacity charge '[R/POD/day']],MATCH(R$64,Rates_AllOther_Current[Code],0)))</f>
        <v>5.37</v>
      </c>
      <c r="S30" s="285">
        <f ca="1">IF(S$68=1,INDEX(Rates_Energy_Current[Generation Capacity Charge],MATCH(S$62,Rates_Energy_Current[Code],0)),INDEX(Rates_AllOther_Current[Generation capacity charge '[R/POD/day']],MATCH(S$64,Rates_AllOther_Current[Code],0)))</f>
        <v>10.5</v>
      </c>
      <c r="T30" s="285">
        <f ca="1">IF(T$68=1,INDEX(Rates_Energy_Current[Generation Capacity Charge],MATCH(T$62,Rates_Energy_Current[Code],0)),INDEX(Rates_AllOther_Current[Generation capacity charge '[R/POD/day']],MATCH(T$64,Rates_AllOther_Current[Code],0)))</f>
        <v>1.78</v>
      </c>
      <c r="U30" s="285">
        <f ca="1">IF(U$68=1,INDEX(Rates_Energy_Current[Generation Capacity Charge],MATCH(U$62,Rates_Energy_Current[Code],0)),INDEX(Rates_AllOther_Current[Generation capacity charge '[R/POD/day']],MATCH(U$64,Rates_AllOther_Current[Code],0)))</f>
        <v>0</v>
      </c>
      <c r="V30" s="285">
        <f ca="1">IF(V$68=1,INDEX(Rates_Energy_Current[Generation Capacity Charge],MATCH(V$62,Rates_Energy_Current[Code],0)),INDEX(Rates_AllOther_Current[Generation capacity charge '[R/POD/day']],MATCH(V$64,Rates_AllOther_Current[Code],0)))</f>
        <v>3.49</v>
      </c>
      <c r="W30" s="285">
        <f ca="1">IF(W$68=1,INDEX(Rates_Energy_Current[Generation Capacity Charge],MATCH(W$62,Rates_Energy_Current[Code],0)),INDEX(Rates_AllOther_Current[Generation capacity charge '[R/POD/day']],MATCH(W$64,Rates_AllOther_Current[Code],0)))</f>
        <v>3.49</v>
      </c>
      <c r="X30" s="285">
        <f ca="1">IF(X$68=1,INDEX(Rates_Energy_Current[Generation Capacity Charge],MATCH(X$62,Rates_Energy_Current[Code],0)),INDEX(Rates_AllOther_Current[Generation capacity charge '[R/POD/day']],MATCH(X$64,Rates_AllOther_Current[Code],0)))</f>
        <v>3.49</v>
      </c>
      <c r="Y30" s="285">
        <f ca="1">IF(Y$68=1,INDEX(Rates_Energy_Current[Generation Capacity Charge],MATCH(Y$62,Rates_Energy_Current[Code],0)),INDEX(Rates_AllOther_Current[Generation capacity charge '[R/POD/day']],MATCH(Y$64,Rates_AllOther_Current[Code],0)))</f>
        <v>3.34</v>
      </c>
      <c r="Z30" s="285">
        <f ca="1">IF(Z$68=1,INDEX(Rates_Energy_Current[Generation Capacity Charge],MATCH(Z$62,Rates_Energy_Current[Code],0)),INDEX(Rates_AllOther_Current[Generation capacity charge '[R/POD/day']],MATCH(Z$64,Rates_AllOther_Current[Code],0)))</f>
        <v>3.49</v>
      </c>
      <c r="AA30" s="285">
        <f ca="1">IF(AA$68=1,INDEX(Rates_Energy_Current[Generation Capacity Charge],MATCH(AA$62,Rates_Energy_Current[Code],0)),INDEX(Rates_AllOther_Current[Generation capacity charge '[R/POD/day']],MATCH(AA$64,Rates_AllOther_Current[Code],0)))</f>
        <v>3.34</v>
      </c>
      <c r="AB30" s="285">
        <f ca="1">IF(AB$68=1,INDEX(Rates_Energy_Current[Generation Capacity Charge],MATCH(AB$62,Rates_Energy_Current[Code],0)),INDEX(Rates_AllOther_Current[Generation capacity charge '[R/POD/day']],MATCH(AB$64,Rates_AllOther_Current[Code],0)))</f>
        <v>0</v>
      </c>
      <c r="AC30" s="285">
        <f ca="1">IF(AC$68=1,INDEX(Rates_Energy_Current[Generation Capacity Charge],MATCH(AC$62,Rates_Energy_Current[Code],0)),INDEX(Rates_AllOther_Current[Generation capacity charge '[R/POD/day']],MATCH(AC$64,Rates_AllOther_Current[Code],0)))</f>
        <v>0</v>
      </c>
      <c r="AD30" s="285">
        <f ca="1">IF(AD$68=1,INDEX(Rates_Energy_Current[Generation Capacity Charge],MATCH(AD$62,Rates_Energy_Current[Code],0)),INDEX(Rates_AllOther_Current[Generation capacity charge '[R/POD/day']],MATCH(AD$64,Rates_AllOther_Current[Code],0)))</f>
        <v>0</v>
      </c>
      <c r="AE30" s="285">
        <f ca="1">IF(AE$68=1,INDEX(Rates_Energy_Current[Generation Capacity Charge],MATCH(AE$62,Rates_Energy_Current[Code],0)),INDEX(Rates_AllOther_Current[Generation capacity charge '[R/POD/day']],MATCH(AE$64,Rates_AllOther_Current[Code],0)))</f>
        <v>0</v>
      </c>
      <c r="AF30" s="285">
        <f ca="1">IF(AF$68=1,INDEX(Rates_Energy_Current[Generation Capacity Charge],MATCH(AF$62,Rates_Energy_Current[Code],0)),INDEX(Rates_AllOther_Current[Generation capacity charge '[R/POD/day']],MATCH(AF$64,Rates_AllOther_Current[Code],0)))</f>
        <v>0</v>
      </c>
      <c r="AG30" s="285" t="e">
        <f ca="1">IF(AG$68=1,INDEX(Rates_Energy_Current[Generation Capacity Charge],MATCH(AG$62,Rates_Energy_Current[Code],0)),INDEX(Rates_AllOther_Current[Generation capacity charge '[R/POD/day']],MATCH(AG$64,Rates_AllOther_Current[Code],0)))</f>
        <v>#N/A</v>
      </c>
      <c r="AH30" s="285" t="e">
        <f ca="1">IF(AH$68=1,INDEX(Rates_Energy_Current[Generation Capacity Charge],MATCH(AH$62,Rates_Energy_Current[Code],0)),INDEX(Rates_AllOther_Current[Generation capacity charge '[R/POD/day']],MATCH(AH$64,Rates_AllOther_Current[Code],0)))</f>
        <v>#N/A</v>
      </c>
      <c r="AI30" s="285" t="e">
        <f ca="1">IF(AI$68=1,INDEX(Rates_Energy_Current[Generation Capacity Charge],MATCH(AI$62,Rates_Energy_Current[Code],0)),INDEX(Rates_AllOther_Current[Generation capacity charge '[R/POD/day']],MATCH(AI$64,Rates_AllOther_Current[Code],0)))</f>
        <v>#N/A</v>
      </c>
      <c r="AJ30" s="285" t="e">
        <f ca="1">IF(AJ$68=1,INDEX(Rates_Energy_Current[Generation Capacity Charge],MATCH(AJ$62,Rates_Energy_Current[Code],0)),INDEX(Rates_AllOther_Current[Generation capacity charge '[R/POD/day']],MATCH(AJ$64,Rates_AllOther_Current[Code],0)))</f>
        <v>#N/A</v>
      </c>
      <c r="AK30" s="285" t="e">
        <f ca="1">IF(AK$68=1,INDEX(Rates_Energy_Current[Generation Capacity Charge],MATCH(AK$62,Rates_Energy_Current[Code],0)),INDEX(Rates_AllOther_Current[Generation capacity charge '[R/POD/day']],MATCH(AK$64,Rates_AllOther_Current[Code],0)))</f>
        <v>#N/A</v>
      </c>
      <c r="AL30" s="285">
        <f ca="1">IF(AL$68=1,INDEX(Rates_Energy_Current[Generation Capacity Charge],MATCH(AL$62,Rates_Energy_Current[Code],0)),INDEX(Rates_AllOther_Current[Generation capacity charge '[R/POD/day']],MATCH(AL$64,Rates_AllOther_Current[Code],0)))</f>
        <v>0.72</v>
      </c>
      <c r="AM30" s="285">
        <f ca="1">IF(AM$68=1,INDEX(Rates_Energy_Current[Generation Capacity Charge],MATCH(AM$62,Rates_Energy_Current[Code],0)),INDEX(Rates_AllOther_Current[Generation capacity charge '[R/POD/day']],MATCH(AM$64,Rates_AllOther_Current[Code],0)))</f>
        <v>1.27</v>
      </c>
      <c r="AN30" s="285">
        <f ca="1">IF(AN$68=1,INDEX(Rates_Energy_Current[Generation Capacity Charge],MATCH(AN$62,Rates_Energy_Current[Code],0)),INDEX(Rates_AllOther_Current[Generation capacity charge '[R/POD/day']],MATCH(AN$64,Rates_AllOther_Current[Code],0)))</f>
        <v>3.1</v>
      </c>
      <c r="AO30" s="285">
        <f ca="1">IF(AO$68=1,INDEX(Rates_Energy_Current[Generation Capacity Charge],MATCH(AO$62,Rates_Energy_Current[Code],0)),INDEX(Rates_AllOther_Current[Generation capacity charge '[R/POD/day']],MATCH(AO$64,Rates_AllOther_Current[Code],0)))</f>
        <v>0.47</v>
      </c>
      <c r="AP30" s="285">
        <f ca="1">IF(AP$68=1,INDEX(Rates_Energy_Current[Generation Capacity Charge],MATCH(AP$62,Rates_Energy_Current[Code],0)),INDEX(Rates_AllOther_Current[Generation capacity charge '[R/POD/day']],MATCH(AP$64,Rates_AllOther_Current[Code],0)))</f>
        <v>1376.74</v>
      </c>
      <c r="AQ30" s="285">
        <f ca="1">IF(AQ$68=1,INDEX(Rates_Energy_Current[Generation Capacity Charge],MATCH(AQ$62,Rates_Energy_Current[Code],0)),INDEX(Rates_AllOther_Current[Generation capacity charge '[R/POD/day']],MATCH(AQ$64,Rates_AllOther_Current[Code],0)))</f>
        <v>1332.88</v>
      </c>
      <c r="AR30" s="285" t="e">
        <f ca="1">IF(AR$68=1,INDEX(Rates_Energy_Current[Generation Capacity Charge],MATCH(AR$62,Rates_Energy_Current[Code],0)),INDEX(Rates_AllOther_Current[Generation capacity charge '[R/POD/day']],MATCH(AR$64,Rates_AllOther_Current[Code],0)))</f>
        <v>#N/A</v>
      </c>
      <c r="AS30" s="77"/>
      <c r="AT30" s="136">
        <f t="shared" ca="1" si="14"/>
        <v>5.29</v>
      </c>
      <c r="AU30" s="137">
        <f ca="1">IF(AU$68=1,INDEX(Rates_Energy_New[Generation Capacity Charge],MATCH(AU$62,Rates_Energy_New[Code],0)),INDEX(Rates_AllOther_New[Generation capacity charge '[R/POD/day']],MATCH(AU$64,Rates_AllOther_New[Code],0)))</f>
        <v>3</v>
      </c>
      <c r="AV30" s="137">
        <f ca="1">IF(AV$68=1,INDEX(Rates_Energy_New[Generation Capacity Charge],MATCH(AV$62,Rates_Energy_New[Code],0)),INDEX(Rates_AllOther_New[Generation capacity charge '[R/POD/day']],MATCH(AV$64,Rates_AllOther_New[Code],0)))</f>
        <v>4.4800000000000004</v>
      </c>
      <c r="AW30" s="137">
        <f ca="1">IF(AW$68=1,INDEX(Rates_Energy_New[Generation Capacity Charge],MATCH(AW$62,Rates_Energy_New[Code],0)),INDEX(Rates_AllOther_New[Generation capacity charge '[R/POD/day']],MATCH(AW$64,Rates_AllOther_New[Code],0)))</f>
        <v>11.18</v>
      </c>
      <c r="AX30" s="137">
        <f ca="1">IF(AX$68=1,INDEX(Rates_Energy_New[Generation Capacity Charge],MATCH(AX$62,Rates_Energy_New[Code],0)),INDEX(Rates_AllOther_New[Generation capacity charge '[R/POD/day']],MATCH(AX$64,Rates_AllOther_New[Code],0)))</f>
        <v>0</v>
      </c>
      <c r="AY30" s="137">
        <f ca="1">IF(AY$68=1,INDEX(Rates_Energy_New[Generation Capacity Charge],MATCH(AY$62,Rates_Energy_New[Code],0)),INDEX(Rates_AllOther_New[Generation capacity charge '[R/POD/day']],MATCH(AY$64,Rates_AllOther_New[Code],0)))</f>
        <v>0</v>
      </c>
      <c r="AZ30" s="137">
        <f ca="1">IF(AZ$68=1,INDEX(Rates_Energy_New[Generation Capacity Charge],MATCH(AZ$62,Rates_Energy_New[Code],0)),INDEX(Rates_AllOther_New[Generation capacity charge '[R/POD/day']],MATCH(AZ$64,Rates_AllOther_New[Code],0)))</f>
        <v>0</v>
      </c>
      <c r="BA30" s="137">
        <f ca="1">IF(BA$68=1,INDEX(Rates_Energy_New[Generation Capacity Charge],MATCH(BA$62,Rates_Energy_New[Code],0)),INDEX(Rates_AllOther_New[Generation capacity charge '[R/POD/day']],MATCH(BA$64,Rates_AllOther_New[Code],0)))</f>
        <v>1.0900000000000001</v>
      </c>
      <c r="BB30" s="137">
        <f ca="1">IF(BB$68=1,INDEX(Rates_Energy_New[Generation Capacity Charge],MATCH(BB$62,Rates_Energy_New[Code],0)),INDEX(Rates_AllOther_New[Generation capacity charge '[R/POD/day']],MATCH(BB$64,Rates_AllOther_New[Code],0)))</f>
        <v>1.93</v>
      </c>
      <c r="BC30" s="137">
        <f ca="1">IF(BC$68=1,INDEX(Rates_Energy_New[Generation Capacity Charge],MATCH(BC$62,Rates_Energy_New[Code],0)),INDEX(Rates_AllOther_New[Generation capacity charge '[R/POD/day']],MATCH(BC$64,Rates_AllOther_New[Code],0)))</f>
        <v>4.7</v>
      </c>
      <c r="BD30" s="137">
        <f ca="1">IF(BD$68=1,INDEX(Rates_Energy_New[Generation Capacity Charge],MATCH(BD$62,Rates_Energy_New[Code],0)),INDEX(Rates_AllOther_New[Generation capacity charge '[R/POD/day']],MATCH(BD$64,Rates_AllOther_New[Code],0)))</f>
        <v>0.71</v>
      </c>
      <c r="BE30" s="137">
        <f ca="1">IF(BE$68=1,INDEX(Rates_Energy_New[Generation Capacity Charge],MATCH(BE$62,Rates_Energy_New[Code],0)),INDEX(Rates_AllOther_New[Generation capacity charge '[R/POD/day']],MATCH(BE$64,Rates_AllOther_New[Code],0)))</f>
        <v>7.25</v>
      </c>
      <c r="BF30" s="137">
        <f ca="1">IF(BF$68=1,INDEX(Rates_Energy_New[Generation Capacity Charge],MATCH(BF$62,Rates_Energy_New[Code],0)),INDEX(Rates_AllOther_New[Generation capacity charge '[R/POD/day']],MATCH(BF$64,Rates_AllOther_New[Code],0)))</f>
        <v>4.1100000000000003</v>
      </c>
      <c r="BG30" s="137">
        <f ca="1">IF(BG$68=1,INDEX(Rates_Energy_New[Generation Capacity Charge],MATCH(BG$62,Rates_Energy_New[Code],0)),INDEX(Rates_AllOther_New[Generation capacity charge '[R/POD/day']],MATCH(BG$64,Rates_AllOther_New[Code],0)))</f>
        <v>8.15</v>
      </c>
      <c r="BH30" s="137">
        <f ca="1">IF(BH$68=1,INDEX(Rates_Energy_New[Generation Capacity Charge],MATCH(BH$62,Rates_Energy_New[Code],0)),INDEX(Rates_AllOther_New[Generation capacity charge '[R/POD/day']],MATCH(BH$64,Rates_AllOther_New[Code],0)))</f>
        <v>15.93</v>
      </c>
      <c r="BI30" s="137">
        <f ca="1">IF(BI$68=1,INDEX(Rates_Energy_New[Generation Capacity Charge],MATCH(BI$62,Rates_Energy_New[Code],0)),INDEX(Rates_AllOther_New[Generation capacity charge '[R/POD/day']],MATCH(BI$64,Rates_AllOther_New[Code],0)))</f>
        <v>2.7</v>
      </c>
      <c r="BJ30" s="137">
        <f ca="1">IF(BJ$68=1,INDEX(Rates_Energy_New[Generation Capacity Charge],MATCH(BJ$62,Rates_Energy_New[Code],0)),INDEX(Rates_AllOther_New[Generation capacity charge '[R/POD/day']],MATCH(BJ$64,Rates_AllOther_New[Code],0)))</f>
        <v>0</v>
      </c>
      <c r="BK30" s="137">
        <f ca="1">IF(BK$68=1,INDEX(Rates_Energy_New[Generation Capacity Charge],MATCH(BK$62,Rates_Energy_New[Code],0)),INDEX(Rates_AllOther_New[Generation capacity charge '[R/POD/day']],MATCH(BK$64,Rates_AllOther_New[Code],0)))</f>
        <v>5.29</v>
      </c>
      <c r="BL30" s="137">
        <f ca="1">IF(BL$68=1,INDEX(Rates_Energy_New[Generation Capacity Charge],MATCH(BL$62,Rates_Energy_New[Code],0)),INDEX(Rates_AllOther_New[Generation capacity charge '[R/POD/day']],MATCH(BL$64,Rates_AllOther_New[Code],0)))</f>
        <v>5.29</v>
      </c>
      <c r="BM30" s="137">
        <f ca="1">IF(BM$68=1,INDEX(Rates_Energy_New[Generation Capacity Charge],MATCH(BM$62,Rates_Energy_New[Code],0)),INDEX(Rates_AllOther_New[Generation capacity charge '[R/POD/day']],MATCH(BM$64,Rates_AllOther_New[Code],0)))</f>
        <v>5.29</v>
      </c>
      <c r="BN30" s="137">
        <f ca="1">IF(BN$68=1,INDEX(Rates_Energy_New[Generation Capacity Charge],MATCH(BN$62,Rates_Energy_New[Code],0)),INDEX(Rates_AllOther_New[Generation capacity charge '[R/POD/day']],MATCH(BN$64,Rates_AllOther_New[Code],0)))</f>
        <v>5.07</v>
      </c>
      <c r="BO30" s="137">
        <f ca="1">IF(BO$68=1,INDEX(Rates_Energy_New[Generation Capacity Charge],MATCH(BO$62,Rates_Energy_New[Code],0)),INDEX(Rates_AllOther_New[Generation capacity charge '[R/POD/day']],MATCH(BO$64,Rates_AllOther_New[Code],0)))</f>
        <v>5.29</v>
      </c>
      <c r="BP30" s="137">
        <f ca="1">IF(BP$68=1,INDEX(Rates_Energy_New[Generation Capacity Charge],MATCH(BP$62,Rates_Energy_New[Code],0)),INDEX(Rates_AllOther_New[Generation capacity charge '[R/POD/day']],MATCH(BP$64,Rates_AllOther_New[Code],0)))</f>
        <v>5.07</v>
      </c>
      <c r="BQ30" s="137">
        <f ca="1">IF(BQ$68=1,INDEX(Rates_Energy_New[Generation Capacity Charge],MATCH(BQ$62,Rates_Energy_New[Code],0)),INDEX(Rates_AllOther_New[Generation capacity charge '[R/POD/day']],MATCH(BQ$64,Rates_AllOther_New[Code],0)))</f>
        <v>0</v>
      </c>
      <c r="BR30" s="137">
        <f ca="1">IF(BR$68=1,INDEX(Rates_Energy_New[Generation Capacity Charge],MATCH(BR$62,Rates_Energy_New[Code],0)),INDEX(Rates_AllOther_New[Generation capacity charge '[R/POD/day']],MATCH(BR$64,Rates_AllOther_New[Code],0)))</f>
        <v>0</v>
      </c>
      <c r="BS30" s="137">
        <f ca="1">IF(BS$68=1,INDEX(Rates_Energy_New[Generation Capacity Charge],MATCH(BS$62,Rates_Energy_New[Code],0)),INDEX(Rates_AllOther_New[Generation capacity charge '[R/POD/day']],MATCH(BS$64,Rates_AllOther_New[Code],0)))</f>
        <v>0</v>
      </c>
      <c r="BT30" s="137">
        <f ca="1">IF(BT$68=1,INDEX(Rates_Energy_New[Generation Capacity Charge],MATCH(BT$62,Rates_Energy_New[Code],0)),INDEX(Rates_AllOther_New[Generation capacity charge '[R/POD/day']],MATCH(BT$64,Rates_AllOther_New[Code],0)))</f>
        <v>0</v>
      </c>
      <c r="BU30" s="137">
        <f ca="1">IF(BU$68=1,INDEX(Rates_Energy_New[Generation Capacity Charge],MATCH(BU$62,Rates_Energy_New[Code],0)),INDEX(Rates_AllOther_New[Generation capacity charge '[R/POD/day']],MATCH(BU$64,Rates_AllOther_New[Code],0)))</f>
        <v>0</v>
      </c>
      <c r="BV30" s="137" t="str">
        <f ca="1">IF(BV$68=1,INDEX(Rates_Energy_New[Generation Capacity Charge],MATCH(BV$62,Rates_Energy_New[Code],0)),INDEX(Rates_AllOther_New[Generation capacity charge '[R/POD/day']],MATCH(BV$64,Rates_AllOther_New[Code],0)))</f>
        <v>n/a</v>
      </c>
      <c r="BW30" s="137" t="e">
        <f ca="1">IF(BW$68=1,INDEX(Rates_Energy_New[Generation Capacity Charge],MATCH(BW$62,Rates_Energy_New[Code],0)),INDEX(Rates_AllOther_New[Generation capacity charge '[R/POD/day']],MATCH(BW$64,Rates_AllOther_New[Code],0)))</f>
        <v>#N/A</v>
      </c>
      <c r="BX30" s="137" t="e">
        <f ca="1">IF(BX$68=1,INDEX(Rates_Energy_New[Generation Capacity Charge],MATCH(BX$62,Rates_Energy_New[Code],0)),INDEX(Rates_AllOther_New[Generation capacity charge '[R/POD/day']],MATCH(BX$64,Rates_AllOther_New[Code],0)))</f>
        <v>#N/A</v>
      </c>
      <c r="BY30" s="137" t="e">
        <f ca="1">IF(BY$68=1,INDEX(Rates_Energy_New[Generation Capacity Charge],MATCH(BY$62,Rates_Energy_New[Code],0)),INDEX(Rates_AllOther_New[Generation capacity charge '[R/POD/day']],MATCH(BY$64,Rates_AllOther_New[Code],0)))</f>
        <v>#N/A</v>
      </c>
      <c r="BZ30" s="137" t="e">
        <f ca="1">IF(BZ$68=1,INDEX(Rates_Energy_New[Generation Capacity Charge],MATCH(BZ$62,Rates_Energy_New[Code],0)),INDEX(Rates_AllOther_New[Generation capacity charge '[R/POD/day']],MATCH(BZ$64,Rates_AllOther_New[Code],0)))</f>
        <v>#N/A</v>
      </c>
      <c r="CA30" s="137">
        <f ca="1">IF(CA$68=1,INDEX(Rates_Energy_New[Generation Capacity Charge],MATCH(CA$62,Rates_Energy_New[Code],0)),INDEX(Rates_AllOther_New[Generation capacity charge '[R/POD/day']],MATCH(CA$64,Rates_AllOther_New[Code],0)))</f>
        <v>1.0900000000000001</v>
      </c>
      <c r="CB30" s="137">
        <f ca="1">IF(CB$68=1,INDEX(Rates_Energy_New[Generation Capacity Charge],MATCH(CB$62,Rates_Energy_New[Code],0)),INDEX(Rates_AllOther_New[Generation capacity charge '[R/POD/day']],MATCH(CB$64,Rates_AllOther_New[Code],0)))</f>
        <v>1.93</v>
      </c>
      <c r="CC30" s="137">
        <f ca="1">IF(CC$68=1,INDEX(Rates_Energy_New[Generation Capacity Charge],MATCH(CC$62,Rates_Energy_New[Code],0)),INDEX(Rates_AllOther_New[Generation capacity charge '[R/POD/day']],MATCH(CC$64,Rates_AllOther_New[Code],0)))</f>
        <v>4.7</v>
      </c>
      <c r="CD30" s="137">
        <f ca="1">IF(CD$68=1,INDEX(Rates_Energy_New[Generation Capacity Charge],MATCH(CD$62,Rates_Energy_New[Code],0)),INDEX(Rates_AllOther_New[Generation capacity charge '[R/POD/day']],MATCH(CD$64,Rates_AllOther_New[Code],0)))</f>
        <v>0.71</v>
      </c>
      <c r="CE30" s="137">
        <f ca="1">IF(CE$68=1,INDEX(Rates_Energy_New[Generation Capacity Charge],MATCH(CE$62,Rates_Energy_New[Code],0)),INDEX(Rates_AllOther_New[Generation capacity charge '[R/POD/day']],MATCH(CE$64,Rates_AllOther_New[Code],0)))</f>
        <v>2088.4899999999998</v>
      </c>
      <c r="CF30" s="137">
        <f ca="1">IF(CF$68=1,INDEX(Rates_Energy_New[Generation Capacity Charge],MATCH(CF$62,Rates_Energy_New[Code],0)),INDEX(Rates_AllOther_New[Generation capacity charge '[R/POD/day']],MATCH(CF$64,Rates_AllOther_New[Code],0)))</f>
        <v>2021.95</v>
      </c>
    </row>
    <row r="31" spans="2:84" s="134" customFormat="1" ht="13.8">
      <c r="C31" s="134" t="s">
        <v>533</v>
      </c>
      <c r="D31" s="135" t="s">
        <v>106</v>
      </c>
      <c r="E31" s="136">
        <f t="shared" ca="1" si="13"/>
        <v>22.78</v>
      </c>
      <c r="F31" s="137">
        <f ca="1">IF(F$68=1,INDEX(Rates_Energy_Current[Legacy charge],MATCH(F$62,Rates_Energy_Current[Code],0)),INDEX(Rates_AllOther_Current[Legacy charge '[c/kWh']],MATCH(F$64,Rates_AllOther_Current[Code],0)))</f>
        <v>0</v>
      </c>
      <c r="G31" s="137">
        <f ca="1">IF(G$68=1,INDEX(Rates_Energy_Current[Legacy charge],MATCH(G$62,Rates_Energy_Current[Code],0)),INDEX(Rates_AllOther_Current[Legacy charge '[c/kWh']],MATCH(G$64,Rates_AllOther_Current[Code],0)))</f>
        <v>0</v>
      </c>
      <c r="H31" s="137">
        <f ca="1">IF(H$68=1,INDEX(Rates_Energy_Current[Legacy charge],MATCH(H$62,Rates_Energy_Current[Code],0)),INDEX(Rates_AllOther_Current[Legacy charge '[c/kWh']],MATCH(H$64,Rates_AllOther_Current[Code],0)))</f>
        <v>0</v>
      </c>
      <c r="I31" s="137">
        <f ca="1">IF(I$68=1,INDEX(Rates_Energy_Current[Legacy charge],MATCH(I$62,Rates_Energy_Current[Code],0)),INDEX(Rates_AllOther_Current[Legacy charge '[c/kWh']],MATCH(I$64,Rates_AllOther_Current[Code],0)))</f>
        <v>0</v>
      </c>
      <c r="J31" s="137">
        <f ca="1">IF(J$68=1,INDEX(Rates_Energy_Current[Legacy charge],MATCH(J$62,Rates_Energy_Current[Code],0)),INDEX(Rates_AllOther_Current[Legacy charge '[c/kWh']],MATCH(J$64,Rates_AllOther_Current[Code],0)))</f>
        <v>0</v>
      </c>
      <c r="K31" s="137">
        <f ca="1">IF(K$68=1,INDEX(Rates_Energy_Current[Legacy charge],MATCH(K$62,Rates_Energy_Current[Code],0)),INDEX(Rates_AllOther_Current[Legacy charge '[c/kWh']],MATCH(K$64,Rates_AllOther_Current[Code],0)))</f>
        <v>0</v>
      </c>
      <c r="L31" s="137">
        <f ca="1">IF(L$68=1,INDEX(Rates_Energy_Current[Legacy charge],MATCH(L$62,Rates_Energy_Current[Code],0)),INDEX(Rates_AllOther_Current[Legacy charge '[c/kWh']],MATCH(L$64,Rates_AllOther_Current[Code],0)))</f>
        <v>0</v>
      </c>
      <c r="M31" s="137">
        <f ca="1">IF(M$68=1,INDEX(Rates_Energy_Current[Legacy charge],MATCH(M$62,Rates_Energy_Current[Code],0)),INDEX(Rates_AllOther_Current[Legacy charge '[c/kWh']],MATCH(M$64,Rates_AllOther_Current[Code],0)))</f>
        <v>0</v>
      </c>
      <c r="N31" s="137">
        <f ca="1">IF(N$68=1,INDEX(Rates_Energy_Current[Legacy charge],MATCH(N$62,Rates_Energy_Current[Code],0)),INDEX(Rates_AllOther_Current[Legacy charge '[c/kWh']],MATCH(N$64,Rates_AllOther_Current[Code],0)))</f>
        <v>0</v>
      </c>
      <c r="O31" s="137">
        <f ca="1">IF(O$68=1,INDEX(Rates_Energy_Current[Legacy charge],MATCH(O$62,Rates_Energy_Current[Code],0)),INDEX(Rates_AllOther_Current[Legacy charge '[c/kWh']],MATCH(O$64,Rates_AllOther_Current[Code],0)))</f>
        <v>0</v>
      </c>
      <c r="P31" s="137">
        <f ca="1">IF(P$68=1,INDEX(Rates_Energy_Current[Legacy charge],MATCH(P$62,Rates_Energy_Current[Code],0)),INDEX(Rates_AllOther_Current[Legacy charge '[c/kWh']],MATCH(P$64,Rates_AllOther_Current[Code],0)))</f>
        <v>0</v>
      </c>
      <c r="Q31" s="137">
        <f ca="1">IF(Q$68=1,INDEX(Rates_Energy_Current[Legacy charge],MATCH(Q$62,Rates_Energy_Current[Code],0)),INDEX(Rates_AllOther_Current[Legacy charge '[c/kWh']],MATCH(Q$64,Rates_AllOther_Current[Code],0)))</f>
        <v>0</v>
      </c>
      <c r="R31" s="137">
        <f ca="1">IF(R$68=1,INDEX(Rates_Energy_Current[Legacy charge],MATCH(R$62,Rates_Energy_Current[Code],0)),INDEX(Rates_AllOther_Current[Legacy charge '[c/kWh']],MATCH(R$64,Rates_AllOther_Current[Code],0)))</f>
        <v>0</v>
      </c>
      <c r="S31" s="137">
        <f ca="1">IF(S$68=1,INDEX(Rates_Energy_Current[Legacy charge],MATCH(S$62,Rates_Energy_Current[Code],0)),INDEX(Rates_AllOther_Current[Legacy charge '[c/kWh']],MATCH(S$64,Rates_AllOther_Current[Code],0)))</f>
        <v>0</v>
      </c>
      <c r="T31" s="137">
        <f ca="1">IF(T$68=1,INDEX(Rates_Energy_Current[Legacy charge],MATCH(T$62,Rates_Energy_Current[Code],0)),INDEX(Rates_AllOther_Current[Legacy charge '[c/kWh']],MATCH(T$64,Rates_AllOther_Current[Code],0)))</f>
        <v>0</v>
      </c>
      <c r="U31" s="137">
        <f ca="1">IF(U$68=1,INDEX(Rates_Energy_Current[Legacy charge],MATCH(U$62,Rates_Energy_Current[Code],0)),INDEX(Rates_AllOther_Current[Legacy charge '[c/kWh']],MATCH(U$64,Rates_AllOther_Current[Code],0)))</f>
        <v>0</v>
      </c>
      <c r="V31" s="137">
        <f ca="1">IF(V$68=1,INDEX(Rates_Energy_Current[Legacy charge],MATCH(V$62,Rates_Energy_Current[Code],0)),INDEX(Rates_AllOther_Current[Legacy charge '[c/kWh']],MATCH(V$64,Rates_AllOther_Current[Code],0)))</f>
        <v>22.78</v>
      </c>
      <c r="W31" s="137">
        <f ca="1">IF(W$68=1,INDEX(Rates_Energy_Current[Legacy charge],MATCH(W$62,Rates_Energy_Current[Code],0)),INDEX(Rates_AllOther_Current[Legacy charge '[c/kWh']],MATCH(W$64,Rates_AllOther_Current[Code],0)))</f>
        <v>22.78</v>
      </c>
      <c r="X31" s="137">
        <f ca="1">IF(X$68=1,INDEX(Rates_Energy_Current[Legacy charge],MATCH(X$62,Rates_Energy_Current[Code],0)),INDEX(Rates_AllOther_Current[Legacy charge '[c/kWh']],MATCH(X$64,Rates_AllOther_Current[Code],0)))</f>
        <v>22.78</v>
      </c>
      <c r="Y31" s="137">
        <f ca="1">IF(Y$68=1,INDEX(Rates_Energy_Current[Legacy charge],MATCH(Y$62,Rates_Energy_Current[Code],0)),INDEX(Rates_AllOther_Current[Legacy charge '[c/kWh']],MATCH(Y$64,Rates_AllOther_Current[Code],0)))</f>
        <v>23</v>
      </c>
      <c r="Z31" s="137" t="str">
        <f ca="1">IF(Z$68=1,INDEX(Rates_Energy_Current[Legacy charge],MATCH(Z$62,Rates_Energy_Current[Code],0)),INDEX(Rates_AllOther_Current[Legacy charge '[c/kWh']],MATCH(Z$64,Rates_AllOther_Current[Code],0)))</f>
        <v>n/a</v>
      </c>
      <c r="AA31" s="137">
        <f ca="1">IF(AA$68=1,INDEX(Rates_Energy_Current[Legacy charge],MATCH(AA$62,Rates_Energy_Current[Code],0)),INDEX(Rates_AllOther_Current[Legacy charge '[c/kWh']],MATCH(AA$64,Rates_AllOther_Current[Code],0)))</f>
        <v>23</v>
      </c>
      <c r="AB31" s="137">
        <f ca="1">IF(AB$68=1,INDEX(Rates_Energy_Current[Legacy charge],MATCH(AB$62,Rates_Energy_Current[Code],0)),INDEX(Rates_AllOther_Current[Legacy charge '[c/kWh']],MATCH(AB$64,Rates_AllOther_Current[Code],0)))</f>
        <v>0</v>
      </c>
      <c r="AC31" s="137">
        <f ca="1">IF(AC$68=1,INDEX(Rates_Energy_Current[Legacy charge],MATCH(AC$62,Rates_Energy_Current[Code],0)),INDEX(Rates_AllOther_Current[Legacy charge '[c/kWh']],MATCH(AC$64,Rates_AllOther_Current[Code],0)))</f>
        <v>0</v>
      </c>
      <c r="AD31" s="137">
        <f ca="1">IF(AD$68=1,INDEX(Rates_Energy_Current[Legacy charge],MATCH(AD$62,Rates_Energy_Current[Code],0)),INDEX(Rates_AllOther_Current[Legacy charge '[c/kWh']],MATCH(AD$64,Rates_AllOther_Current[Code],0)))</f>
        <v>0</v>
      </c>
      <c r="AE31" s="137">
        <f ca="1">IF(AE$68=1,INDEX(Rates_Energy_Current[Legacy charge],MATCH(AE$62,Rates_Energy_Current[Code],0)),INDEX(Rates_AllOther_Current[Legacy charge '[c/kWh']],MATCH(AE$64,Rates_AllOther_Current[Code],0)))</f>
        <v>0</v>
      </c>
      <c r="AF31" s="137">
        <f ca="1">IF(AF$68=1,INDEX(Rates_Energy_Current[Legacy charge],MATCH(AF$62,Rates_Energy_Current[Code],0)),INDEX(Rates_AllOther_Current[Legacy charge '[c/kWh']],MATCH(AF$64,Rates_AllOther_Current[Code],0)))</f>
        <v>0</v>
      </c>
      <c r="AG31" s="137" t="e">
        <f ca="1">IF(AG$68=1,INDEX(Rates_Energy_Current[Legacy charge],MATCH(AG$62,Rates_Energy_Current[Code],0)),INDEX(Rates_AllOther_Current[Legacy charge '[c/kWh']],MATCH(AG$64,Rates_AllOther_Current[Code],0)))</f>
        <v>#N/A</v>
      </c>
      <c r="AH31" s="137" t="e">
        <f ca="1">IF(AH$68=1,INDEX(Rates_Energy_Current[Legacy charge],MATCH(AH$62,Rates_Energy_Current[Code],0)),INDEX(Rates_AllOther_Current[Legacy charge '[c/kWh']],MATCH(AH$64,Rates_AllOther_Current[Code],0)))</f>
        <v>#N/A</v>
      </c>
      <c r="AI31" s="137" t="e">
        <f ca="1">IF(AI$68=1,INDEX(Rates_Energy_Current[Legacy charge],MATCH(AI$62,Rates_Energy_Current[Code],0)),INDEX(Rates_AllOther_Current[Legacy charge '[c/kWh']],MATCH(AI$64,Rates_AllOther_Current[Code],0)))</f>
        <v>#N/A</v>
      </c>
      <c r="AJ31" s="137" t="e">
        <f ca="1">IF(AJ$68=1,INDEX(Rates_Energy_Current[Legacy charge],MATCH(AJ$62,Rates_Energy_Current[Code],0)),INDEX(Rates_AllOther_Current[Legacy charge '[c/kWh']],MATCH(AJ$64,Rates_AllOther_Current[Code],0)))</f>
        <v>#N/A</v>
      </c>
      <c r="AK31" s="137" t="e">
        <f ca="1">IF(AK$68=1,INDEX(Rates_Energy_Current[Legacy charge],MATCH(AK$62,Rates_Energy_Current[Code],0)),INDEX(Rates_AllOther_Current[Legacy charge '[c/kWh']],MATCH(AK$64,Rates_AllOther_Current[Code],0)))</f>
        <v>#N/A</v>
      </c>
      <c r="AL31" s="137">
        <f ca="1">IF(AL$68=1,INDEX(Rates_Energy_Current[Legacy charge],MATCH(AL$62,Rates_Energy_Current[Code],0)),INDEX(Rates_AllOther_Current[Legacy charge '[c/kWh']],MATCH(AL$64,Rates_AllOther_Current[Code],0)))</f>
        <v>22.78</v>
      </c>
      <c r="AM31" s="137">
        <f ca="1">IF(AM$68=1,INDEX(Rates_Energy_Current[Legacy charge],MATCH(AM$62,Rates_Energy_Current[Code],0)),INDEX(Rates_AllOther_Current[Legacy charge '[c/kWh']],MATCH(AM$64,Rates_AllOther_Current[Code],0)))</f>
        <v>22.78</v>
      </c>
      <c r="AN31" s="137">
        <f ca="1">IF(AN$68=1,INDEX(Rates_Energy_Current[Legacy charge],MATCH(AN$62,Rates_Energy_Current[Code],0)),INDEX(Rates_AllOther_Current[Legacy charge '[c/kWh']],MATCH(AN$64,Rates_AllOther_Current[Code],0)))</f>
        <v>22.78</v>
      </c>
      <c r="AO31" s="137">
        <f ca="1">IF(AO$68=1,INDEX(Rates_Energy_Current[Legacy charge],MATCH(AO$62,Rates_Energy_Current[Code],0)),INDEX(Rates_AllOther_Current[Legacy charge '[c/kWh']],MATCH(AO$64,Rates_AllOther_Current[Code],0)))</f>
        <v>22.78</v>
      </c>
      <c r="AP31" s="137">
        <f ca="1">IF(AP$68=1,INDEX(Rates_Energy_Current[Legacy charge],MATCH(AP$62,Rates_Energy_Current[Code],0)),INDEX(Rates_AllOther_Current[Legacy charge '[c/kWh']],MATCH(AP$64,Rates_AllOther_Current[Code],0)))</f>
        <v>22.78</v>
      </c>
      <c r="AQ31" s="137">
        <f ca="1">IF(AQ$68=1,INDEX(Rates_Energy_Current[Legacy charge],MATCH(AQ$62,Rates_Energy_Current[Code],0)),INDEX(Rates_AllOther_Current[Legacy charge '[c/kWh']],MATCH(AQ$64,Rates_AllOther_Current[Code],0)))</f>
        <v>22.78</v>
      </c>
      <c r="AR31" s="137" t="e">
        <f ca="1">IF(AR$68=1,INDEX(Rates_Energy_Current[Legacy charge],MATCH(AR$62,Rates_Energy_Current[Code],0)),INDEX(Rates_AllOther_Current[Legacy charge '[c/kWh']],MATCH(AR$64,Rates_AllOther_Current[Code],0)))</f>
        <v>#N/A</v>
      </c>
      <c r="AT31" s="136">
        <f t="shared" ca="1" si="14"/>
        <v>24.78</v>
      </c>
      <c r="AU31" s="137" t="str">
        <f ca="1">IF(AU$68=1,INDEX(Rates_Energy_New[Legacy charge],MATCH(AU$62,Rates_Energy_New[Code],0)),INDEX(Rates_AllOther_New[Legacy charge '[c/kWh']],MATCH(AU$64,Rates_AllOther_New[Code],0)))</f>
        <v>n/a</v>
      </c>
      <c r="AV31" s="137" t="str">
        <f ca="1">IF(AV$68=1,INDEX(Rates_Energy_New[Legacy charge],MATCH(AV$62,Rates_Energy_New[Code],0)),INDEX(Rates_AllOther_New[Legacy charge '[c/kWh']],MATCH(AV$64,Rates_AllOther_New[Code],0)))</f>
        <v>n/a</v>
      </c>
      <c r="AW31" s="137" t="str">
        <f ca="1">IF(AW$68=1,INDEX(Rates_Energy_New[Legacy charge],MATCH(AW$62,Rates_Energy_New[Code],0)),INDEX(Rates_AllOther_New[Legacy charge '[c/kWh']],MATCH(AW$64,Rates_AllOther_New[Code],0)))</f>
        <v>n/a</v>
      </c>
      <c r="AX31" s="137" t="str">
        <f ca="1">IF(AX$68=1,INDEX(Rates_Energy_New[Legacy charge],MATCH(AX$62,Rates_Energy_New[Code],0)),INDEX(Rates_AllOther_New[Legacy charge '[c/kWh']],MATCH(AX$64,Rates_AllOther_New[Code],0)))</f>
        <v>n/a</v>
      </c>
      <c r="AY31" s="137" t="str">
        <f ca="1">IF(AY$68=1,INDEX(Rates_Energy_New[Legacy charge],MATCH(AY$62,Rates_Energy_New[Code],0)),INDEX(Rates_AllOther_New[Legacy charge '[c/kWh']],MATCH(AY$64,Rates_AllOther_New[Code],0)))</f>
        <v>n/a</v>
      </c>
      <c r="AZ31" s="137" t="str">
        <f ca="1">IF(AZ$68=1,INDEX(Rates_Energy_New[Legacy charge],MATCH(AZ$62,Rates_Energy_New[Code],0)),INDEX(Rates_AllOther_New[Legacy charge '[c/kWh']],MATCH(AZ$64,Rates_AllOther_New[Code],0)))</f>
        <v>n/a</v>
      </c>
      <c r="BA31" s="137" t="str">
        <f ca="1">IF(BA$68=1,INDEX(Rates_Energy_New[Legacy charge],MATCH(BA$62,Rates_Energy_New[Code],0)),INDEX(Rates_AllOther_New[Legacy charge '[c/kWh']],MATCH(BA$64,Rates_AllOther_New[Code],0)))</f>
        <v>n/a</v>
      </c>
      <c r="BB31" s="137" t="str">
        <f ca="1">IF(BB$68=1,INDEX(Rates_Energy_New[Legacy charge],MATCH(BB$62,Rates_Energy_New[Code],0)),INDEX(Rates_AllOther_New[Legacy charge '[c/kWh']],MATCH(BB$64,Rates_AllOther_New[Code],0)))</f>
        <v>n/a</v>
      </c>
      <c r="BC31" s="137" t="str">
        <f ca="1">IF(BC$68=1,INDEX(Rates_Energy_New[Legacy charge],MATCH(BC$62,Rates_Energy_New[Code],0)),INDEX(Rates_AllOther_New[Legacy charge '[c/kWh']],MATCH(BC$64,Rates_AllOther_New[Code],0)))</f>
        <v>n/a</v>
      </c>
      <c r="BD31" s="137" t="str">
        <f ca="1">IF(BD$68=1,INDEX(Rates_Energy_New[Legacy charge],MATCH(BD$62,Rates_Energy_New[Code],0)),INDEX(Rates_AllOther_New[Legacy charge '[c/kWh']],MATCH(BD$64,Rates_AllOther_New[Code],0)))</f>
        <v>n/a</v>
      </c>
      <c r="BE31" s="137" t="str">
        <f ca="1">IF(BE$68=1,INDEX(Rates_Energy_New[Legacy charge],MATCH(BE$62,Rates_Energy_New[Code],0)),INDEX(Rates_AllOther_New[Legacy charge '[c/kWh']],MATCH(BE$64,Rates_AllOther_New[Code],0)))</f>
        <v>n/a</v>
      </c>
      <c r="BF31" s="137" t="str">
        <f ca="1">IF(BF$68=1,INDEX(Rates_Energy_New[Legacy charge],MATCH(BF$62,Rates_Energy_New[Code],0)),INDEX(Rates_AllOther_New[Legacy charge '[c/kWh']],MATCH(BF$64,Rates_AllOther_New[Code],0)))</f>
        <v>n/a</v>
      </c>
      <c r="BG31" s="137" t="str">
        <f ca="1">IF(BG$68=1,INDEX(Rates_Energy_New[Legacy charge],MATCH(BG$62,Rates_Energy_New[Code],0)),INDEX(Rates_AllOther_New[Legacy charge '[c/kWh']],MATCH(BG$64,Rates_AllOther_New[Code],0)))</f>
        <v>n/a</v>
      </c>
      <c r="BH31" s="137" t="str">
        <f ca="1">IF(BH$68=1,INDEX(Rates_Energy_New[Legacy charge],MATCH(BH$62,Rates_Energy_New[Code],0)),INDEX(Rates_AllOther_New[Legacy charge '[c/kWh']],MATCH(BH$64,Rates_AllOther_New[Code],0)))</f>
        <v>n/a</v>
      </c>
      <c r="BI31" s="137" t="str">
        <f ca="1">IF(BI$68=1,INDEX(Rates_Energy_New[Legacy charge],MATCH(BI$62,Rates_Energy_New[Code],0)),INDEX(Rates_AllOther_New[Legacy charge '[c/kWh']],MATCH(BI$64,Rates_AllOther_New[Code],0)))</f>
        <v>n/a</v>
      </c>
      <c r="BJ31" s="137" t="str">
        <f ca="1">IF(BJ$68=1,INDEX(Rates_Energy_New[Legacy charge],MATCH(BJ$62,Rates_Energy_New[Code],0)),INDEX(Rates_AllOther_New[Legacy charge '[c/kWh']],MATCH(BJ$64,Rates_AllOther_New[Code],0)))</f>
        <v>n/a</v>
      </c>
      <c r="BK31" s="137">
        <f ca="1">IF(BK$68=1,INDEX(Rates_Energy_New[Legacy charge],MATCH(BK$62,Rates_Energy_New[Code],0)),INDEX(Rates_AllOther_New[Legacy charge '[c/kWh']],MATCH(BK$64,Rates_AllOther_New[Code],0)))</f>
        <v>24.78</v>
      </c>
      <c r="BL31" s="137">
        <f ca="1">IF(BL$68=1,INDEX(Rates_Energy_New[Legacy charge],MATCH(BL$62,Rates_Energy_New[Code],0)),INDEX(Rates_AllOther_New[Legacy charge '[c/kWh']],MATCH(BL$64,Rates_AllOther_New[Code],0)))</f>
        <v>24.78</v>
      </c>
      <c r="BM31" s="137">
        <f ca="1">IF(BM$68=1,INDEX(Rates_Energy_New[Legacy charge],MATCH(BM$62,Rates_Energy_New[Code],0)),INDEX(Rates_AllOther_New[Legacy charge '[c/kWh']],MATCH(BM$64,Rates_AllOther_New[Code],0)))</f>
        <v>24.78</v>
      </c>
      <c r="BN31" s="137">
        <f ca="1">IF(BN$68=1,INDEX(Rates_Energy_New[Legacy charge],MATCH(BN$62,Rates_Energy_New[Code],0)),INDEX(Rates_AllOther_New[Legacy charge '[c/kWh']],MATCH(BN$64,Rates_AllOther_New[Code],0)))</f>
        <v>25.01</v>
      </c>
      <c r="BO31" s="137">
        <f ca="1">IF(BO$68=1,INDEX(Rates_Energy_New[Legacy charge],MATCH(BO$62,Rates_Energy_New[Code],0)),INDEX(Rates_AllOther_New[Legacy charge '[c/kWh']],MATCH(BO$64,Rates_AllOther_New[Code],0)))</f>
        <v>24.78</v>
      </c>
      <c r="BP31" s="137">
        <f ca="1">IF(BP$68=1,INDEX(Rates_Energy_New[Legacy charge],MATCH(BP$62,Rates_Energy_New[Code],0)),INDEX(Rates_AllOther_New[Legacy charge '[c/kWh']],MATCH(BP$64,Rates_AllOther_New[Code],0)))</f>
        <v>25.01</v>
      </c>
      <c r="BQ31" s="137" t="str">
        <f ca="1">IF(BQ$68=1,INDEX(Rates_Energy_New[Legacy charge],MATCH(BQ$62,Rates_Energy_New[Code],0)),INDEX(Rates_AllOther_New[Legacy charge '[c/kWh']],MATCH(BQ$64,Rates_AllOther_New[Code],0)))</f>
        <v>n/a</v>
      </c>
      <c r="BR31" s="137" t="str">
        <f ca="1">IF(BR$68=1,INDEX(Rates_Energy_New[Legacy charge],MATCH(BR$62,Rates_Energy_New[Code],0)),INDEX(Rates_AllOther_New[Legacy charge '[c/kWh']],MATCH(BR$64,Rates_AllOther_New[Code],0)))</f>
        <v>n/a</v>
      </c>
      <c r="BS31" s="137" t="str">
        <f ca="1">IF(BS$68=1,INDEX(Rates_Energy_New[Legacy charge],MATCH(BS$62,Rates_Energy_New[Code],0)),INDEX(Rates_AllOther_New[Legacy charge '[c/kWh']],MATCH(BS$64,Rates_AllOther_New[Code],0)))</f>
        <v>n/a</v>
      </c>
      <c r="BT31" s="137" t="str">
        <f ca="1">IF(BT$68=1,INDEX(Rates_Energy_New[Legacy charge],MATCH(BT$62,Rates_Energy_New[Code],0)),INDEX(Rates_AllOther_New[Legacy charge '[c/kWh']],MATCH(BT$64,Rates_AllOther_New[Code],0)))</f>
        <v>n/a</v>
      </c>
      <c r="BU31" s="137" t="str">
        <f ca="1">IF(BU$68=1,INDEX(Rates_Energy_New[Legacy charge],MATCH(BU$62,Rates_Energy_New[Code],0)),INDEX(Rates_AllOther_New[Legacy charge '[c/kWh']],MATCH(BU$64,Rates_AllOther_New[Code],0)))</f>
        <v>n/a</v>
      </c>
      <c r="BV31" s="137" t="str">
        <f ca="1">IF(BV$68=1,INDEX(Rates_Energy_New[Legacy charge],MATCH(BV$62,Rates_Energy_New[Code],0)),INDEX(Rates_AllOther_New[Legacy charge '[c/kWh']],MATCH(BV$64,Rates_AllOther_New[Code],0)))</f>
        <v>n/a</v>
      </c>
      <c r="BW31" s="137" t="e">
        <f ca="1">IF(BW$68=1,INDEX(Rates_Energy_New[Legacy charge],MATCH(BW$62,Rates_Energy_New[Code],0)),INDEX(Rates_AllOther_New[Legacy charge '[c/kWh']],MATCH(BW$64,Rates_AllOther_New[Code],0)))</f>
        <v>#N/A</v>
      </c>
      <c r="BX31" s="137" t="e">
        <f ca="1">IF(BX$68=1,INDEX(Rates_Energy_New[Legacy charge],MATCH(BX$62,Rates_Energy_New[Code],0)),INDEX(Rates_AllOther_New[Legacy charge '[c/kWh']],MATCH(BX$64,Rates_AllOther_New[Code],0)))</f>
        <v>#N/A</v>
      </c>
      <c r="BY31" s="137" t="e">
        <f ca="1">IF(BY$68=1,INDEX(Rates_Energy_New[Legacy charge],MATCH(BY$62,Rates_Energy_New[Code],0)),INDEX(Rates_AllOther_New[Legacy charge '[c/kWh']],MATCH(BY$64,Rates_AllOther_New[Code],0)))</f>
        <v>#N/A</v>
      </c>
      <c r="BZ31" s="137" t="e">
        <f ca="1">IF(BZ$68=1,INDEX(Rates_Energy_New[Legacy charge],MATCH(BZ$62,Rates_Energy_New[Code],0)),INDEX(Rates_AllOther_New[Legacy charge '[c/kWh']],MATCH(BZ$64,Rates_AllOther_New[Code],0)))</f>
        <v>#N/A</v>
      </c>
      <c r="CA31" s="137">
        <f ca="1">IF(CA$68=1,INDEX(Rates_Energy_New[Legacy charge],MATCH(CA$62,Rates_Energy_New[Code],0)),INDEX(Rates_AllOther_New[Legacy charge '[c/kWh']],MATCH(CA$64,Rates_AllOther_New[Code],0)))</f>
        <v>24.78</v>
      </c>
      <c r="CB31" s="137">
        <f ca="1">IF(CB$68=1,INDEX(Rates_Energy_New[Legacy charge],MATCH(CB$62,Rates_Energy_New[Code],0)),INDEX(Rates_AllOther_New[Legacy charge '[c/kWh']],MATCH(CB$64,Rates_AllOther_New[Code],0)))</f>
        <v>24.78</v>
      </c>
      <c r="CC31" s="137">
        <f ca="1">IF(CC$68=1,INDEX(Rates_Energy_New[Legacy charge],MATCH(CC$62,Rates_Energy_New[Code],0)),INDEX(Rates_AllOther_New[Legacy charge '[c/kWh']],MATCH(CC$64,Rates_AllOther_New[Code],0)))</f>
        <v>24.78</v>
      </c>
      <c r="CD31" s="137">
        <f ca="1">IF(CD$68=1,INDEX(Rates_Energy_New[Legacy charge],MATCH(CD$62,Rates_Energy_New[Code],0)),INDEX(Rates_AllOther_New[Legacy charge '[c/kWh']],MATCH(CD$64,Rates_AllOther_New[Code],0)))</f>
        <v>24.78</v>
      </c>
      <c r="CE31" s="137">
        <f ca="1">IF(CE$68=1,INDEX(Rates_Energy_New[Legacy charge],MATCH(CE$62,Rates_Energy_New[Code],0)),INDEX(Rates_AllOther_New[Legacy charge '[c/kWh']],MATCH(CE$64,Rates_AllOther_New[Code],0)))</f>
        <v>24.78</v>
      </c>
      <c r="CF31" s="137">
        <f ca="1">IF(CF$68=1,INDEX(Rates_Energy_New[Legacy charge],MATCH(CF$62,Rates_Energy_New[Code],0)),INDEX(Rates_AllOther_New[Legacy charge '[c/kWh']],MATCH(CF$64,Rates_AllOther_New[Code],0)))</f>
        <v>24.78</v>
      </c>
    </row>
    <row r="32" spans="2:84" s="77" customFormat="1" ht="12.75" customHeight="1">
      <c r="E32" s="136"/>
    </row>
    <row r="33" spans="2:84" s="77" customFormat="1" ht="13.8">
      <c r="B33" s="119" t="s">
        <v>123</v>
      </c>
      <c r="C33" s="119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0"/>
      <c r="AB33" s="120"/>
      <c r="AC33" s="120"/>
      <c r="AD33" s="120"/>
      <c r="AE33" s="120"/>
      <c r="AF33" s="120"/>
      <c r="AG33" s="120"/>
      <c r="AH33" s="120"/>
      <c r="AI33" s="120"/>
      <c r="AJ33" s="120"/>
      <c r="AK33" s="120"/>
      <c r="AL33" s="120"/>
      <c r="AM33" s="120"/>
      <c r="AN33" s="120"/>
      <c r="AO33" s="120"/>
      <c r="AP33" s="120"/>
      <c r="AQ33" s="120"/>
      <c r="AR33" s="120"/>
      <c r="AT33" s="120"/>
      <c r="AU33" s="120"/>
      <c r="AV33" s="120"/>
      <c r="AW33" s="120"/>
      <c r="AX33" s="120"/>
      <c r="AY33" s="120"/>
      <c r="AZ33" s="120"/>
      <c r="BA33" s="120"/>
      <c r="BB33" s="120"/>
      <c r="BC33" s="120"/>
      <c r="BD33" s="120"/>
      <c r="BE33" s="120"/>
      <c r="BF33" s="120"/>
      <c r="BG33" s="120"/>
      <c r="BH33" s="120"/>
      <c r="BI33" s="120"/>
      <c r="BJ33" s="120"/>
      <c r="BK33" s="120"/>
      <c r="BL33" s="120"/>
      <c r="BM33" s="120"/>
      <c r="BN33" s="120"/>
      <c r="BO33" s="120"/>
      <c r="BP33" s="120"/>
      <c r="BQ33" s="120"/>
      <c r="BR33" s="120"/>
      <c r="BS33" s="120"/>
      <c r="BT33" s="120"/>
      <c r="BU33" s="120"/>
      <c r="BV33" s="120"/>
      <c r="BW33" s="120"/>
      <c r="BX33" s="120"/>
      <c r="BY33" s="120"/>
      <c r="BZ33" s="120"/>
      <c r="CA33" s="120"/>
      <c r="CB33" s="120"/>
      <c r="CC33" s="120"/>
      <c r="CD33" s="120"/>
      <c r="CE33" s="120"/>
      <c r="CF33" s="120"/>
    </row>
    <row r="34" spans="2:84" s="77" customFormat="1" ht="13.8"/>
    <row r="35" spans="2:84" s="77" customFormat="1" ht="40.049999999999997" customHeight="1">
      <c r="B35" s="115" t="s">
        <v>196</v>
      </c>
      <c r="C35" s="115"/>
      <c r="D35" s="116" t="s">
        <v>110</v>
      </c>
      <c r="E35" s="116" t="str">
        <f>E$8</f>
        <v>2025/26 Rates</v>
      </c>
      <c r="F35" s="116" t="str">
        <f t="shared" ref="F35:AR35" si="15">F$8</f>
        <v>2025/26 Rates</v>
      </c>
      <c r="G35" s="116" t="str">
        <f t="shared" si="15"/>
        <v>2025/26 Rates</v>
      </c>
      <c r="H35" s="116" t="str">
        <f t="shared" si="15"/>
        <v>2025/26 Rates</v>
      </c>
      <c r="I35" s="116" t="str">
        <f t="shared" si="15"/>
        <v>2025/26 Rates</v>
      </c>
      <c r="J35" s="116" t="str">
        <f t="shared" si="15"/>
        <v>2025/26 Rates</v>
      </c>
      <c r="K35" s="116" t="str">
        <f t="shared" si="15"/>
        <v>2025/26 Rates</v>
      </c>
      <c r="L35" s="116" t="str">
        <f t="shared" si="15"/>
        <v>2025/26 Rates</v>
      </c>
      <c r="M35" s="116" t="str">
        <f t="shared" si="15"/>
        <v>2025/26 Rates</v>
      </c>
      <c r="N35" s="116" t="str">
        <f t="shared" si="15"/>
        <v>2025/26 Rates</v>
      </c>
      <c r="O35" s="116" t="str">
        <f t="shared" si="15"/>
        <v>2025/26 Rates</v>
      </c>
      <c r="P35" s="116" t="str">
        <f t="shared" si="15"/>
        <v>2025/26 Rates</v>
      </c>
      <c r="Q35" s="116" t="str">
        <f t="shared" si="15"/>
        <v>2025/26 Rates</v>
      </c>
      <c r="R35" s="116" t="str">
        <f t="shared" si="15"/>
        <v>2025/26 Rates</v>
      </c>
      <c r="S35" s="116" t="str">
        <f t="shared" si="15"/>
        <v>2025/26 Rates</v>
      </c>
      <c r="T35" s="116" t="str">
        <f t="shared" si="15"/>
        <v>2025/26 Rates</v>
      </c>
      <c r="U35" s="116" t="str">
        <f t="shared" si="15"/>
        <v>2025/26 Rates</v>
      </c>
      <c r="V35" s="116" t="str">
        <f t="shared" si="15"/>
        <v>2025/26 Rates</v>
      </c>
      <c r="W35" s="116" t="str">
        <f t="shared" si="15"/>
        <v>2025/26 Rates</v>
      </c>
      <c r="X35" s="116" t="str">
        <f t="shared" si="15"/>
        <v>2025/26 Rates</v>
      </c>
      <c r="Y35" s="116" t="str">
        <f t="shared" si="15"/>
        <v>2025/26 Rates</v>
      </c>
      <c r="Z35" s="116" t="str">
        <f t="shared" si="15"/>
        <v>2025/26 Rates</v>
      </c>
      <c r="AA35" s="116" t="str">
        <f t="shared" si="15"/>
        <v>2025/26 Rates</v>
      </c>
      <c r="AB35" s="116" t="str">
        <f t="shared" si="15"/>
        <v>2025/26 Rates</v>
      </c>
      <c r="AC35" s="116" t="str">
        <f t="shared" si="15"/>
        <v>2025/26 Rates</v>
      </c>
      <c r="AD35" s="116" t="str">
        <f t="shared" si="15"/>
        <v>2025/26 Rates</v>
      </c>
      <c r="AE35" s="116" t="str">
        <f t="shared" si="15"/>
        <v>2025/26 Rates</v>
      </c>
      <c r="AF35" s="116" t="str">
        <f t="shared" si="15"/>
        <v>2025/26 Rates</v>
      </c>
      <c r="AG35" s="116" t="str">
        <f>AG$8</f>
        <v>2025/26 Rates</v>
      </c>
      <c r="AH35" s="116" t="str">
        <f t="shared" si="15"/>
        <v>2025/26 Rates</v>
      </c>
      <c r="AI35" s="116" t="str">
        <f t="shared" si="15"/>
        <v>2025/26 Rates</v>
      </c>
      <c r="AJ35" s="116" t="str">
        <f t="shared" si="15"/>
        <v>2025/26 Rates</v>
      </c>
      <c r="AK35" s="116" t="str">
        <f t="shared" si="15"/>
        <v>2025/26 Rates</v>
      </c>
      <c r="AL35" s="116" t="str">
        <f t="shared" si="15"/>
        <v>2025/26 Rates</v>
      </c>
      <c r="AM35" s="116" t="str">
        <f t="shared" si="15"/>
        <v>2025/26 Rates</v>
      </c>
      <c r="AN35" s="116" t="str">
        <f t="shared" si="15"/>
        <v>2025/26 Rates</v>
      </c>
      <c r="AO35" s="116" t="str">
        <f t="shared" si="15"/>
        <v>2025/26 Rates</v>
      </c>
      <c r="AP35" s="116" t="str">
        <f t="shared" si="15"/>
        <v>2025/26 Rates</v>
      </c>
      <c r="AQ35" s="116" t="str">
        <f t="shared" si="15"/>
        <v>2025/26 Rates</v>
      </c>
      <c r="AR35" s="116" t="str">
        <f t="shared" si="15"/>
        <v>2025/26 Rates</v>
      </c>
      <c r="AT35" s="116" t="str">
        <f>AT$8</f>
        <v>2026/27 Rates</v>
      </c>
      <c r="AU35" s="116" t="str">
        <f t="shared" ref="AU35:BU35" si="16">AU$8</f>
        <v>2026/27 Rates</v>
      </c>
      <c r="AV35" s="116" t="str">
        <f t="shared" si="16"/>
        <v>2026/27 Rates</v>
      </c>
      <c r="AW35" s="116" t="str">
        <f t="shared" si="16"/>
        <v>2026/27 Rates</v>
      </c>
      <c r="AX35" s="116" t="str">
        <f t="shared" si="16"/>
        <v>2026/27 Rates</v>
      </c>
      <c r="AY35" s="116" t="str">
        <f t="shared" si="16"/>
        <v>2026/27 Rates</v>
      </c>
      <c r="AZ35" s="116" t="str">
        <f t="shared" si="16"/>
        <v>2026/27 Rates</v>
      </c>
      <c r="BA35" s="116" t="str">
        <f t="shared" si="16"/>
        <v>2026/27 Rates</v>
      </c>
      <c r="BB35" s="116" t="str">
        <f t="shared" si="16"/>
        <v>2026/27 Rates</v>
      </c>
      <c r="BC35" s="116" t="str">
        <f t="shared" si="16"/>
        <v>2026/27 Rates</v>
      </c>
      <c r="BD35" s="116" t="str">
        <f t="shared" si="16"/>
        <v>2026/27 Rates</v>
      </c>
      <c r="BE35" s="116" t="str">
        <f t="shared" si="16"/>
        <v>2026/27 Rates</v>
      </c>
      <c r="BF35" s="116" t="str">
        <f t="shared" si="16"/>
        <v>2026/27 Rates</v>
      </c>
      <c r="BG35" s="116" t="str">
        <f t="shared" si="16"/>
        <v>2026/27 Rates</v>
      </c>
      <c r="BH35" s="116" t="str">
        <f t="shared" si="16"/>
        <v>2026/27 Rates</v>
      </c>
      <c r="BI35" s="116" t="str">
        <f t="shared" si="16"/>
        <v>2026/27 Rates</v>
      </c>
      <c r="BJ35" s="116" t="str">
        <f t="shared" si="16"/>
        <v>2026/27 Rates</v>
      </c>
      <c r="BK35" s="116" t="str">
        <f t="shared" si="16"/>
        <v>2026/27 Rates</v>
      </c>
      <c r="BL35" s="116" t="str">
        <f t="shared" si="16"/>
        <v>2026/27 Rates</v>
      </c>
      <c r="BM35" s="116" t="str">
        <f t="shared" si="16"/>
        <v>2026/27 Rates</v>
      </c>
      <c r="BN35" s="116" t="str">
        <f t="shared" si="16"/>
        <v>2026/27 Rates</v>
      </c>
      <c r="BO35" s="116" t="str">
        <f t="shared" si="16"/>
        <v>2026/27 Rates</v>
      </c>
      <c r="BP35" s="116" t="str">
        <f t="shared" si="16"/>
        <v>2026/27 Rates</v>
      </c>
      <c r="BQ35" s="116" t="str">
        <f t="shared" si="16"/>
        <v>2026/27 Rates</v>
      </c>
      <c r="BR35" s="116" t="str">
        <f t="shared" si="16"/>
        <v>2026/27 Rates</v>
      </c>
      <c r="BS35" s="116" t="str">
        <f t="shared" si="16"/>
        <v>2026/27 Rates</v>
      </c>
      <c r="BT35" s="116" t="str">
        <f t="shared" si="16"/>
        <v>2026/27 Rates</v>
      </c>
      <c r="BU35" s="116" t="str">
        <f t="shared" si="16"/>
        <v>2026/27 Rates</v>
      </c>
      <c r="BV35" s="116"/>
      <c r="BW35" s="116"/>
      <c r="BX35" s="116"/>
      <c r="BY35" s="116"/>
      <c r="BZ35" s="116"/>
      <c r="CA35" s="116"/>
      <c r="CB35" s="116"/>
      <c r="CC35" s="116"/>
      <c r="CD35" s="116"/>
      <c r="CE35" s="116" t="str">
        <f>CE$8</f>
        <v>2026/27 Rates</v>
      </c>
      <c r="CF35" s="116" t="str">
        <f>CF$8</f>
        <v>2026/27 Rates</v>
      </c>
    </row>
    <row r="36" spans="2:84" s="77" customFormat="1" ht="4.05" customHeight="1"/>
    <row r="37" spans="2:84" s="77" customFormat="1" ht="13.8">
      <c r="C37" s="77" t="s">
        <v>120</v>
      </c>
      <c r="D37" s="117" t="s">
        <v>106</v>
      </c>
      <c r="E37" s="118">
        <f t="shared" ref="E37:E46" ca="1" si="17">INDEX(F37:AR37,0,$F$2)</f>
        <v>284.12</v>
      </c>
      <c r="F37" s="107" t="str">
        <f ca="1">IF(F$68=1,INDEX(Rates_Energy_Current[Low - Peak],MATCH(F$62,Rates_Energy_Current[Code],0)),"n/a")</f>
        <v>n/a</v>
      </c>
      <c r="G37" s="107" t="str">
        <f ca="1">IF(G$68=1,INDEX(Rates_Energy_Current[Low - Peak],MATCH(G$62,Rates_Energy_Current[Code],0)),"n/a")</f>
        <v>n/a</v>
      </c>
      <c r="H37" s="107" t="str">
        <f ca="1">IF(H$68=1,INDEX(Rates_Energy_Current[Low - Peak],MATCH(H$62,Rates_Energy_Current[Code],0)),"n/a")</f>
        <v>n/a</v>
      </c>
      <c r="I37" s="107" t="str">
        <f ca="1">IF(I$68=1,INDEX(Rates_Energy_Current[Low - Peak],MATCH(I$62,Rates_Energy_Current[Code],0)),"n/a")</f>
        <v>n/a</v>
      </c>
      <c r="J37" s="107" t="str">
        <f ca="1">IF(J$68=1,INDEX(Rates_Energy_Current[Low - Peak],MATCH(J$62,Rates_Energy_Current[Code],0)),"n/a")</f>
        <v>n/a</v>
      </c>
      <c r="K37" s="107" t="str">
        <f ca="1">IF(K$68=1,INDEX(Rates_Energy_Current[Low - Peak],MATCH(K$62,Rates_Energy_Current[Code],0)),"n/a")</f>
        <v>n/a</v>
      </c>
      <c r="L37" s="107" t="str">
        <f ca="1">IF(L$68=1,INDEX(Rates_Energy_Current[Low - Peak],MATCH(L$62,Rates_Energy_Current[Code],0)),"n/a")</f>
        <v>n/a</v>
      </c>
      <c r="M37" s="107" t="str">
        <f ca="1">IF(M$68=1,INDEX(Rates_Energy_Current[Low - Peak],MATCH(M$62,Rates_Energy_Current[Code],0)),"n/a")</f>
        <v>n/a</v>
      </c>
      <c r="N37" s="107" t="str">
        <f ca="1">IF(N$68=1,INDEX(Rates_Energy_Current[Low - Peak],MATCH(N$62,Rates_Energy_Current[Code],0)),"n/a")</f>
        <v>n/a</v>
      </c>
      <c r="O37" s="107" t="str">
        <f ca="1">IF(O$68=1,INDEX(Rates_Energy_Current[Low - Peak],MATCH(O$62,Rates_Energy_Current[Code],0)),"n/a")</f>
        <v>n/a</v>
      </c>
      <c r="P37" s="107" t="str">
        <f ca="1">IF(P$68=1,INDEX(Rates_Energy_Current[Low - Peak],MATCH(P$62,Rates_Energy_Current[Code],0)),"n/a")</f>
        <v>n/a</v>
      </c>
      <c r="Q37" s="107" t="str">
        <f ca="1">IF(Q$68=1,INDEX(Rates_Energy_Current[Low - Peak],MATCH(Q$62,Rates_Energy_Current[Code],0)),"0")</f>
        <v>0</v>
      </c>
      <c r="R37" s="107" t="str">
        <f ca="1">IF(R$68=1,INDEX(Rates_Energy_Current[Low - Peak],MATCH(R$62,Rates_Energy_Current[Code],0)),"0")</f>
        <v>0</v>
      </c>
      <c r="S37" s="107" t="str">
        <f ca="1">IF(S$68=1,INDEX(Rates_Energy_Current[Low - Peak],MATCH(S$62,Rates_Energy_Current[Code],0)),"0")</f>
        <v>0</v>
      </c>
      <c r="T37" s="107" t="str">
        <f ca="1">IF(T$68=1,INDEX(Rates_Energy_Current[Low - Peak],MATCH(T$62,Rates_Energy_Current[Code],0)),"0")</f>
        <v>0</v>
      </c>
      <c r="U37" s="107" t="str">
        <f ca="1">IF(U$68=1,INDEX(Rates_Energy_Current[Low - Peak],MATCH(U$62,Rates_Energy_Current[Code],0)),"0")</f>
        <v>0</v>
      </c>
      <c r="V37" s="107">
        <f ca="1">IF(V$68=1,INDEX(Rates_Energy_Current[Low - Peak],MATCH(V$62,Rates_Energy_Current[Code],0)),"n/a")</f>
        <v>284.12</v>
      </c>
      <c r="W37" s="107">
        <f ca="1">IF(W$68=1,INDEX(Rates_Energy_Current[Low - Peak],MATCH(W$62,Rates_Energy_Current[Code],0)),"n/a")</f>
        <v>284.12</v>
      </c>
      <c r="X37" s="107" t="str">
        <f ca="1">IF(X$68=1,INDEX(Rates_Energy_Current[Low - Peak],MATCH(X$62,Rates_Energy_Current[Code],0)),"n/a")</f>
        <v>n/a</v>
      </c>
      <c r="Y37" s="107" t="str">
        <f ca="1">IF(Y$68=1,INDEX(Rates_Energy_Current[Low - Peak],MATCH(Y$62,Rates_Energy_Current[Code],0)),"n/a")</f>
        <v>n/a</v>
      </c>
      <c r="Z37" s="107" t="str">
        <f ca="1">IF(Z$68=1,INDEX(Rates_Energy_Current[Low - Peak],MATCH(Z$62,Rates_Energy_Current[Code],0)),"n/a")</f>
        <v>n/a</v>
      </c>
      <c r="AA37" s="107">
        <f ca="1">IF(AA$68=1,INDEX(Rates_Energy_Current[Low - Peak],MATCH(AA$62,Rates_Energy_Current[Code],0)),"n/a")</f>
        <v>286.77</v>
      </c>
      <c r="AB37" s="107" t="str">
        <f ca="1">IF(AB$68=1,INDEX(Rates_Energy_Current[Low - Peak],MATCH(AB$62,Rates_Energy_Current[Code],0)),"n/a")</f>
        <v>n/a</v>
      </c>
      <c r="AC37" s="107" t="str">
        <f ca="1">IF(AC$68=1,INDEX(Rates_Energy_Current[Low - Peak],MATCH(AC$62,Rates_Energy_Current[Code],0)),"n/a")</f>
        <v>n/a</v>
      </c>
      <c r="AD37" s="107" t="str">
        <f ca="1">IF(AD$68=1,INDEX(Rates_Energy_Current[Low - Peak],MATCH(AD$62,Rates_Energy_Current[Code],0)),"n/a")</f>
        <v>n/a</v>
      </c>
      <c r="AE37" s="107" t="str">
        <f ca="1">IF(AE$68=1,INDEX(Rates_Energy_Current[Low - Peak],MATCH(AE$62,Rates_Energy_Current[Code],0)),"n/a")</f>
        <v>n/a</v>
      </c>
      <c r="AF37" s="107" t="str">
        <f ca="1">IF(AF$68=1,INDEX(Rates_Energy_Current[Low - Peak],MATCH(AF$62,Rates_Energy_Current[Code],0)),"n/a")</f>
        <v>n/a</v>
      </c>
      <c r="AG37" s="107" t="e">
        <f ca="1">IF(AG$68=1,INDEX(Rates_Energy_Current[Low - Peak],MATCH(AG$62,Rates_Energy_Current[Code],0)),"n/a")</f>
        <v>#N/A</v>
      </c>
      <c r="AH37" s="107" t="str">
        <f ca="1">IF(AH$68=1,INDEX(Rates_Energy_Current[Low - Peak],MATCH(AH$62,Rates_Energy_Current[Code],0)),"n/a")</f>
        <v>n/a</v>
      </c>
      <c r="AI37" s="107" t="str">
        <f ca="1">IF(AI$68=1,INDEX(Rates_Energy_Current[Low - Peak],MATCH(AI$62,Rates_Energy_Current[Code],0)),"n/a")</f>
        <v>n/a</v>
      </c>
      <c r="AJ37" s="107" t="str">
        <f ca="1">IF(AJ$68=1,INDEX(Rates_Energy_Current[Low - Peak],MATCH(AJ$62,Rates_Energy_Current[Code],0)),"n/a")</f>
        <v>n/a</v>
      </c>
      <c r="AK37" s="107" t="str">
        <f ca="1">IF(AK$68=1,INDEX(Rates_Energy_Current[Low - Peak],MATCH(AK$62,Rates_Energy_Current[Code],0)),"n/a")</f>
        <v>n/a</v>
      </c>
      <c r="AL37" s="107">
        <f ca="1">IF(AL$68=1,INDEX(Rates_Energy_Current[Low Charge],MATCH(AL$62,Rates_Energy_Current[Code],0)),INDEX(Rates_AllOther_Current[Low - Peak],MATCH(AL$64,Rates_AllOther_Current[Code],0)))</f>
        <v>329.28</v>
      </c>
      <c r="AM37" s="107">
        <f ca="1">IF(AM$68=1,INDEX(Rates_Energy_Current[Low Charge],MATCH(AM$62,Rates_Energy_Current[Code],0)),INDEX(Rates_AllOther_Current[Low - Peak],MATCH(AM$64,Rates_AllOther_Current[Code],0)))</f>
        <v>329.28</v>
      </c>
      <c r="AN37" s="107">
        <f ca="1">IF(AN$68=1,INDEX(Rates_Energy_Current[Low Charge],MATCH(AN$62,Rates_Energy_Current[Code],0)),INDEX(Rates_AllOther_Current[Low - Peak],MATCH(AN$64,Rates_AllOther_Current[Code],0)))</f>
        <v>329.28</v>
      </c>
      <c r="AO37" s="107">
        <f ca="1">IF(AO$68=1,INDEX(Rates_Energy_Current[Low Charge],MATCH(AO$62,Rates_Energy_Current[Code],0)),INDEX(Rates_AllOther_Current[Low - Peak],MATCH(AO$64,Rates_AllOther_Current[Code],0)))</f>
        <v>329.28</v>
      </c>
      <c r="AP37" s="107">
        <f ca="1">IF(AP$68=1,INDEX(Rates_Energy_Current[Low - Peak],MATCH(AP$62,Rates_Energy_Current[Code],0)),"n/a")</f>
        <v>284.12</v>
      </c>
      <c r="AQ37" s="107">
        <f ca="1">IF(AQ$68=1,INDEX(Rates_Energy_Current[Low - Peak],MATCH(AQ$62,Rates_Energy_Current[Code],0)),"n/a")</f>
        <v>284.12</v>
      </c>
      <c r="AR37" s="107" t="str">
        <f ca="1">IF(AR$68=1,INDEX(Rates_Energy_Current[Low - Peak],MATCH(AR$62,Rates_Energy_Current[Code],0)),"n/a")</f>
        <v>n/a</v>
      </c>
      <c r="AT37" s="118">
        <f t="shared" ref="AT37:AT46" ca="1" si="18">INDEX(AU37:CF37,0,Selected_Tariff_ID)</f>
        <v>306.82</v>
      </c>
      <c r="AU37" s="107" t="str">
        <f ca="1">IF(AU$68=1,INDEX(Rates_Energy_New[Low - Peak],MATCH(AU$62,Rates_Energy_New[Code],0)),"n/a")</f>
        <v>n/a</v>
      </c>
      <c r="AV37" s="107" t="str">
        <f ca="1">IF(AV$68=1,INDEX(Rates_Energy_New[Low - Peak],MATCH(AV$62,Rates_Energy_New[Code],0)),"n/a")</f>
        <v>n/a</v>
      </c>
      <c r="AW37" s="107" t="str">
        <f ca="1">IF(AW$68=1,INDEX(Rates_Energy_New[Low - Peak],MATCH(AW$62,Rates_Energy_New[Code],0)),"n/a")</f>
        <v>n/a</v>
      </c>
      <c r="AX37" s="107" t="str">
        <f ca="1">IF(AX$68=1,INDEX(Rates_Energy_New[Low - Peak],MATCH(AX$62,Rates_Energy_New[Code],0)),"n/a")</f>
        <v>n/a</v>
      </c>
      <c r="AY37" s="107" t="str">
        <f ca="1">IF(AY$68=1,INDEX(Rates_Energy_New[Low - Peak],MATCH(AY$62,Rates_Energy_New[Code],0)),"n/a")</f>
        <v>n/a</v>
      </c>
      <c r="AZ37" s="107" t="str">
        <f ca="1">IF(AZ$68=1,INDEX(Rates_Energy_New[Low - Peak],MATCH(AZ$62,Rates_Energy_New[Code],0)),"n/a")</f>
        <v>n/a</v>
      </c>
      <c r="BA37" s="107" t="str">
        <f ca="1">IF(BA$68=1,INDEX(Rates_Energy_New[Low - Peak],MATCH(BA$62,Rates_Energy_New[Code],0)),"n/a")</f>
        <v>n/a</v>
      </c>
      <c r="BB37" s="107" t="str">
        <f ca="1">IF(BB$68=1,INDEX(Rates_Energy_New[Low - Peak],MATCH(BB$62,Rates_Energy_New[Code],0)),"n/a")</f>
        <v>n/a</v>
      </c>
      <c r="BC37" s="107" t="str">
        <f ca="1">IF(BC$68=1,INDEX(Rates_Energy_New[Low - Peak],MATCH(BC$62,Rates_Energy_New[Code],0)),"n/a")</f>
        <v>n/a</v>
      </c>
      <c r="BD37" s="107" t="str">
        <f ca="1">IF(BD$68=1,INDEX(Rates_Energy_New[Low - Peak],MATCH(BD$62,Rates_Energy_New[Code],0)),"n/a")</f>
        <v>n/a</v>
      </c>
      <c r="BE37" s="107" t="str">
        <f ca="1">IF(BE$68=1,INDEX(Rates_Energy_New[Low - Peak],MATCH(BE$62,Rates_Energy_New[Code],0)),"n/a")</f>
        <v>n/a</v>
      </c>
      <c r="BF37" s="107" t="str">
        <f ca="1">IF(BF$68=1,INDEX(Rates_Energy_New[Low - Peak],MATCH(BF$62,Rates_Energy_New[Code],0)),"0")</f>
        <v>0</v>
      </c>
      <c r="BG37" s="107" t="str">
        <f ca="1">IF(BG$68=1,INDEX(Rates_Energy_New[Low - Peak],MATCH(BG$62,Rates_Energy_New[Code],0)),"0")</f>
        <v>0</v>
      </c>
      <c r="BH37" s="107" t="str">
        <f ca="1">IF(BH$68=1,INDEX(Rates_Energy_New[Low - Peak],MATCH(BH$62,Rates_Energy_New[Code],0)),"0")</f>
        <v>0</v>
      </c>
      <c r="BI37" s="107" t="str">
        <f ca="1">IF(BI$68=1,INDEX(Rates_Energy_New[Low - Peak],MATCH(BI$62,Rates_Energy_New[Code],0)),"0")</f>
        <v>0</v>
      </c>
      <c r="BJ37" s="107" t="str">
        <f ca="1">IF(BJ$68=1,INDEX(Rates_Energy_New[Low - Peak],MATCH(BJ$62,Rates_Energy_New[Code],0)),"0")</f>
        <v>0</v>
      </c>
      <c r="BK37" s="107">
        <f ca="1">IF(BK$68=1,INDEX(Rates_Energy_New[Low - Peak],MATCH(BK$62,Rates_Energy_New[Code],0)),"n/a")</f>
        <v>306.82</v>
      </c>
      <c r="BL37" s="107">
        <f ca="1">IF(BL$68=1,INDEX(Rates_Energy_New[Low - Peak],MATCH(BL$62,Rates_Energy_New[Code],0)),"n/a")</f>
        <v>306.82</v>
      </c>
      <c r="BM37" s="107" t="str">
        <f ca="1">IF(BM$68=1,INDEX(Rates_Energy_New[Low - Peak],MATCH(BM$62,Rates_Energy_New[Code],0)),"n/a")</f>
        <v>n/a</v>
      </c>
      <c r="BN37" s="107" t="str">
        <f ca="1">IF(BN$68=1,INDEX(Rates_Energy_New[Low - Peak],MATCH(BN$62,Rates_Energy_New[Code],0)),"n/a")</f>
        <v>n/a</v>
      </c>
      <c r="BO37" s="107" t="str">
        <f ca="1">IF(BO$68=1,INDEX(Rates_Energy_New[Low - Peak],MATCH(BO$62,Rates_Energy_New[Code],0)),"n/a")</f>
        <v>n/a</v>
      </c>
      <c r="BP37" s="107">
        <f ca="1">IF(BP$68=1,INDEX(Rates_Energy_New[Low - Peak],MATCH(BP$62,Rates_Energy_New[Code],0)),"n/a")</f>
        <v>309.68</v>
      </c>
      <c r="BQ37" s="107" t="str">
        <f ca="1">IF(BQ$68=1,INDEX(Rates_Energy_New[Low - Peak],MATCH(BQ$62,Rates_Energy_New[Code],0)),"n/a")</f>
        <v>n/a</v>
      </c>
      <c r="BR37" s="107" t="str">
        <f ca="1">IF(BR$68=1,INDEX(Rates_Energy_New[Low - Peak],MATCH(BR$62,Rates_Energy_New[Code],0)),"n/a")</f>
        <v>n/a</v>
      </c>
      <c r="BS37" s="107" t="str">
        <f ca="1">IF(BS$68=1,INDEX(Rates_Energy_New[Low - Peak],MATCH(BS$62,Rates_Energy_New[Code],0)),"n/a")</f>
        <v>n/a</v>
      </c>
      <c r="BT37" s="107" t="str">
        <f ca="1">IF(BT$68=1,INDEX(Rates_Energy_New[Low - Peak],MATCH(BT$62,Rates_Energy_New[Code],0)),"n/a")</f>
        <v>n/a</v>
      </c>
      <c r="BU37" s="107" t="str">
        <f ca="1">IF(BU$68=1,INDEX(Rates_Energy_New[Low - Peak],MATCH(BU$62,Rates_Energy_New[Code],0)),"n/a")</f>
        <v>n/a</v>
      </c>
      <c r="BV37" s="107" t="str">
        <f ca="1">IF(BV$68=1,INDEX(Rates_Energy_New[Low - Peak],MATCH(BV$62,Rates_Energy_New[Code],0)),"n/a")</f>
        <v>n/a</v>
      </c>
      <c r="BW37" s="107" t="str">
        <f ca="1">IF(BW$68=1,INDEX(Rates_Energy_New[Low - Peak],MATCH(BW$62,Rates_Energy_New[Code],0)),"n/a")</f>
        <v>n/a</v>
      </c>
      <c r="BX37" s="107" t="str">
        <f ca="1">IF(BX$68=1,INDEX(Rates_Energy_New[Low - Peak],MATCH(BX$62,Rates_Energy_New[Code],0)),"n/a")</f>
        <v>n/a</v>
      </c>
      <c r="BY37" s="107" t="str">
        <f ca="1">IF(BY$68=1,INDEX(Rates_Energy_New[Low - Peak],MATCH(BY$62,Rates_Energy_New[Code],0)),"n/a")</f>
        <v>n/a</v>
      </c>
      <c r="BZ37" s="107" t="str">
        <f ca="1">IF(BZ$68=1,INDEX(Rates_Energy_New[Low - Peak],MATCH(BZ$62,Rates_Energy_New[Code],0)),"n/a")</f>
        <v>n/a</v>
      </c>
      <c r="CA37" s="107">
        <f ca="1">IF(CA$68=1,INDEX(Rates_Energy_New[Low Charge],MATCH(CA$62,Rates_Energy_New[Code],0)),INDEX(Rates_AllOther_New[Low - Peak],MATCH(CA$64,Rates_AllOther_New[Code],0)))</f>
        <v>343.09</v>
      </c>
      <c r="CB37" s="107">
        <f ca="1">IF(CB$68=1,INDEX(Rates_Energy_New[Low Charge],MATCH(CB$62,Rates_Energy_New[Code],0)),INDEX(Rates_AllOther_New[Low - Peak],MATCH(CB$64,Rates_AllOther_New[Code],0)))</f>
        <v>343.09</v>
      </c>
      <c r="CC37" s="107">
        <f ca="1">IF(CC$68=1,INDEX(Rates_Energy_New[Low Charge],MATCH(CC$62,Rates_Energy_New[Code],0)),INDEX(Rates_AllOther_New[Low - Peak],MATCH(CC$64,Rates_AllOther_New[Code],0)))</f>
        <v>343.09</v>
      </c>
      <c r="CD37" s="107">
        <f ca="1">IF(CD$68=1,INDEX(Rates_Energy_New[Low Charge],MATCH(CD$62,Rates_Energy_New[Code],0)),INDEX(Rates_AllOther_New[Low - Peak],MATCH(CD$64,Rates_AllOther_New[Code],0)))</f>
        <v>343.09</v>
      </c>
      <c r="CE37" s="107">
        <f ca="1">IF(CE$68=1,INDEX(Rates_Energy_New[Low - Peak],MATCH(CE$62,Rates_Energy_New[Code],0)),"n/a")</f>
        <v>306.82</v>
      </c>
      <c r="CF37" s="107">
        <f ca="1">IF(CF$68=1,INDEX(Rates_Energy_New[Low - Peak],MATCH(CF$62,Rates_Energy_New[Code],0)),"n/a")</f>
        <v>306.82</v>
      </c>
    </row>
    <row r="38" spans="2:84" s="77" customFormat="1" ht="13.8">
      <c r="C38" s="77" t="s">
        <v>121</v>
      </c>
      <c r="D38" s="117" t="s">
        <v>106</v>
      </c>
      <c r="E38" s="118">
        <f t="shared" ca="1" si="17"/>
        <v>159.74</v>
      </c>
      <c r="F38" s="107" t="str">
        <f ca="1">IF(F$68=1,INDEX(Rates_Energy_Current[Low - Standard],MATCH(F$62,Rates_Energy_Current[Code],0)),"n/a")</f>
        <v>n/a</v>
      </c>
      <c r="G38" s="107" t="str">
        <f ca="1">IF(G$68=1,INDEX(Rates_Energy_Current[Low - Standard],MATCH(G$62,Rates_Energy_Current[Code],0)),"n/a")</f>
        <v>n/a</v>
      </c>
      <c r="H38" s="107" t="str">
        <f ca="1">IF(H$68=1,INDEX(Rates_Energy_Current[Low - Standard],MATCH(H$62,Rates_Energy_Current[Code],0)),"n/a")</f>
        <v>n/a</v>
      </c>
      <c r="I38" s="107" t="str">
        <f ca="1">IF(I$68=1,INDEX(Rates_Energy_Current[Low - Standard],MATCH(I$62,Rates_Energy_Current[Code],0)),"n/a")</f>
        <v>n/a</v>
      </c>
      <c r="J38" s="107" t="str">
        <f ca="1">IF(J$68=1,INDEX(Rates_Energy_Current[Low - Standard],MATCH(J$62,Rates_Energy_Current[Code],0)),"n/a")</f>
        <v>n/a</v>
      </c>
      <c r="K38" s="107" t="str">
        <f ca="1">IF(K$68=1,INDEX(Rates_Energy_Current[Low - Standard],MATCH(K$62,Rates_Energy_Current[Code],0)),"n/a")</f>
        <v>n/a</v>
      </c>
      <c r="L38" s="107" t="str">
        <f ca="1">IF(L$68=1,INDEX(Rates_Energy_Current[Low - Standard],MATCH(L$62,Rates_Energy_Current[Code],0)),"n/a")</f>
        <v>n/a</v>
      </c>
      <c r="M38" s="107" t="str">
        <f ca="1">IF(M$68=1,INDEX(Rates_Energy_Current[Low - Standard],MATCH(M$62,Rates_Energy_Current[Code],0)),"n/a")</f>
        <v>n/a</v>
      </c>
      <c r="N38" s="107" t="str">
        <f ca="1">IF(N$68=1,INDEX(Rates_Energy_Current[Low - Standard],MATCH(N$62,Rates_Energy_Current[Code],0)),"n/a")</f>
        <v>n/a</v>
      </c>
      <c r="O38" s="107" t="str">
        <f ca="1">IF(O$68=1,INDEX(Rates_Energy_Current[Low - Standard],MATCH(O$62,Rates_Energy_Current[Code],0)),"n/a")</f>
        <v>n/a</v>
      </c>
      <c r="P38" s="107" t="str">
        <f ca="1">IF(P$68=1,INDEX(Rates_Energy_Current[Low - Standard],MATCH(P$62,Rates_Energy_Current[Code],0)),"n/a")</f>
        <v>n/a</v>
      </c>
      <c r="Q38" s="107" t="str">
        <f ca="1">IF(Q$68=1,INDEX(Rates_Energy_Current[Low - Standard],MATCH(Q$62,Rates_Energy_Current[Code],0)),"0")</f>
        <v>0</v>
      </c>
      <c r="R38" s="107" t="str">
        <f ca="1">IF(R$68=1,INDEX(Rates_Energy_Current[Low - Standard],MATCH(R$62,Rates_Energy_Current[Code],0)),"0")</f>
        <v>0</v>
      </c>
      <c r="S38" s="107" t="str">
        <f ca="1">IF(S$68=1,INDEX(Rates_Energy_Current[Low - Standard],MATCH(S$62,Rates_Energy_Current[Code],0)),"0")</f>
        <v>0</v>
      </c>
      <c r="T38" s="107" t="str">
        <f ca="1">IF(T$68=1,INDEX(Rates_Energy_Current[Low - Standard],MATCH(T$62,Rates_Energy_Current[Code],0)),"0")</f>
        <v>0</v>
      </c>
      <c r="U38" s="107" t="str">
        <f ca="1">IF(U$68=1,INDEX(Rates_Energy_Current[Low - Standard],MATCH(U$62,Rates_Energy_Current[Code],0)),"0")</f>
        <v>0</v>
      </c>
      <c r="V38" s="107">
        <f ca="1">IF(V$68=1,INDEX(Rates_Energy_Current[Low - Standard],MATCH(V$62,Rates_Energy_Current[Code],0)),"n/a")</f>
        <v>159.74</v>
      </c>
      <c r="W38" s="107">
        <f ca="1">IF(W$68=1,INDEX(Rates_Energy_Current[Low - Standard],MATCH(W$62,Rates_Energy_Current[Code],0)),"n/a")</f>
        <v>159.74</v>
      </c>
      <c r="X38" s="107" t="str">
        <f ca="1">IF(X$68=1,INDEX(Rates_Energy_Current[Low - Standard],MATCH(X$62,Rates_Energy_Current[Code],0)),"n/a")</f>
        <v>n/a</v>
      </c>
      <c r="Y38" s="107" t="str">
        <f ca="1">IF(Y$68=1,INDEX(Rates_Energy_Current[Low - Standard],MATCH(Y$62,Rates_Energy_Current[Code],0)),"n/a")</f>
        <v>n/a</v>
      </c>
      <c r="Z38" s="107" t="str">
        <f ca="1">IF(Z$68=1,INDEX(Rates_Energy_Current[Low - Standard],MATCH(Z$62,Rates_Energy_Current[Code],0)),"n/a")</f>
        <v>n/a</v>
      </c>
      <c r="AA38" s="107">
        <f ca="1">IF(AA$68=1,INDEX(Rates_Energy_Current[Low - Standard],MATCH(AA$62,Rates_Energy_Current[Code],0)),"n/a")</f>
        <v>161.22999999999999</v>
      </c>
      <c r="AB38" s="107" t="str">
        <f ca="1">IF(AB$68=1,INDEX(Rates_Energy_Current[Low - Standard],MATCH(AB$62,Rates_Energy_Current[Code],0)),"n/a")</f>
        <v>n/a</v>
      </c>
      <c r="AC38" s="107" t="str">
        <f ca="1">IF(AC$68=1,INDEX(Rates_Energy_Current[Low - Standard],MATCH(AC$62,Rates_Energy_Current[Code],0)),"n/a")</f>
        <v>n/a</v>
      </c>
      <c r="AD38" s="107" t="str">
        <f ca="1">IF(AD$68=1,INDEX(Rates_Energy_Current[Low - Standard],MATCH(AD$62,Rates_Energy_Current[Code],0)),"n/a")</f>
        <v>n/a</v>
      </c>
      <c r="AE38" s="107" t="str">
        <f ca="1">IF(AE$68=1,INDEX(Rates_Energy_Current[Low - Standard],MATCH(AE$62,Rates_Energy_Current[Code],0)),"n/a")</f>
        <v>n/a</v>
      </c>
      <c r="AF38" s="107" t="str">
        <f ca="1">IF(AF$68=1,INDEX(Rates_Energy_Current[Low - Standard],MATCH(AF$62,Rates_Energy_Current[Code],0)),"n/a")</f>
        <v>n/a</v>
      </c>
      <c r="AG38" s="107" t="e">
        <f ca="1">IF(AG$68=1,INDEX(Rates_Energy_Current[Low - Standard],MATCH(AG$62,Rates_Energy_Current[Code],0)),"n/a")</f>
        <v>#N/A</v>
      </c>
      <c r="AH38" s="107" t="str">
        <f ca="1">IF(AH$68=1,INDEX(Rates_Energy_Current[Low - Standard],MATCH(AH$62,Rates_Energy_Current[Code],0)),"n/a")</f>
        <v>n/a</v>
      </c>
      <c r="AI38" s="107" t="str">
        <f ca="1">IF(AI$68=1,INDEX(Rates_Energy_Current[Low - Standard],MATCH(AI$62,Rates_Energy_Current[Code],0)),"n/a")</f>
        <v>n/a</v>
      </c>
      <c r="AJ38" s="107" t="str">
        <f ca="1">IF(AJ$68=1,INDEX(Rates_Energy_Current[Low - Standard],MATCH(AJ$62,Rates_Energy_Current[Code],0)),"n/a")</f>
        <v>n/a</v>
      </c>
      <c r="AK38" s="107" t="str">
        <f ca="1">IF(AK$68=1,INDEX(Rates_Energy_Current[Low - Standard],MATCH(AK$62,Rates_Energy_Current[Code],0)),"n/a")</f>
        <v>n/a</v>
      </c>
      <c r="AL38" s="107">
        <f ca="1">IF(AL$68=1,INDEX(Rates_Energy_Current[Low Charge],MATCH(AL$62,Rates_Energy_Current[Code],0)),INDEX(Rates_AllOther_Current[Low - Standard],MATCH(AL$64,Rates_AllOther_Current[Code],0)))</f>
        <v>204.9</v>
      </c>
      <c r="AM38" s="107">
        <f ca="1">IF(AM$68=1,INDEX(Rates_Energy_Current[Low Charge],MATCH(AM$62,Rates_Energy_Current[Code],0)),INDEX(Rates_AllOther_Current[Low - Standard],MATCH(AM$64,Rates_AllOther_Current[Code],0)))</f>
        <v>204.9</v>
      </c>
      <c r="AN38" s="107">
        <f ca="1">IF(AN$68=1,INDEX(Rates_Energy_Current[Low Charge],MATCH(AN$62,Rates_Energy_Current[Code],0)),INDEX(Rates_AllOther_Current[Low - Standard],MATCH(AN$64,Rates_AllOther_Current[Code],0)))</f>
        <v>204.9</v>
      </c>
      <c r="AO38" s="107">
        <f ca="1">IF(AO$68=1,INDEX(Rates_Energy_Current[Low Charge],MATCH(AO$62,Rates_Energy_Current[Code],0)),INDEX(Rates_AllOther_Current[Low - Standard],MATCH(AO$64,Rates_AllOther_Current[Code],0)))</f>
        <v>204.9</v>
      </c>
      <c r="AP38" s="107">
        <f ca="1">IF(AP$68=1,INDEX(Rates_Energy_Current[Low - Standard],MATCH(AP$62,Rates_Energy_Current[Code],0)),"n/a")</f>
        <v>159.74</v>
      </c>
      <c r="AQ38" s="107">
        <f ca="1">IF(AQ$68=1,INDEX(Rates_Energy_Current[Low - Standard],MATCH(AQ$62,Rates_Energy_Current[Code],0)),"n/a")</f>
        <v>159.74</v>
      </c>
      <c r="AR38" s="107" t="str">
        <f ca="1">IF(AR$68=1,INDEX(Rates_Energy_Current[Low - Standard],MATCH(AR$62,Rates_Energy_Current[Code],0)),"n/a")</f>
        <v>n/a</v>
      </c>
      <c r="AT38" s="118">
        <f t="shared" ca="1" si="18"/>
        <v>172.5</v>
      </c>
      <c r="AU38" s="107" t="str">
        <f ca="1">IF(AU$68=1,INDEX(Rates_Energy_New[Low - Standard],MATCH(AU$62,Rates_Energy_New[Code],0)),"n/a")</f>
        <v>n/a</v>
      </c>
      <c r="AV38" s="107" t="str">
        <f ca="1">IF(AV$68=1,INDEX(Rates_Energy_New[Low - Standard],MATCH(AV$62,Rates_Energy_New[Code],0)),"n/a")</f>
        <v>n/a</v>
      </c>
      <c r="AW38" s="107" t="str">
        <f ca="1">IF(AW$68=1,INDEX(Rates_Energy_New[Low - Standard],MATCH(AW$62,Rates_Energy_New[Code],0)),"n/a")</f>
        <v>n/a</v>
      </c>
      <c r="AX38" s="107" t="str">
        <f ca="1">IF(AX$68=1,INDEX(Rates_Energy_New[Low - Standard],MATCH(AX$62,Rates_Energy_New[Code],0)),"n/a")</f>
        <v>n/a</v>
      </c>
      <c r="AY38" s="107" t="str">
        <f ca="1">IF(AY$68=1,INDEX(Rates_Energy_New[Low - Standard],MATCH(AY$62,Rates_Energy_New[Code],0)),"n/a")</f>
        <v>n/a</v>
      </c>
      <c r="AZ38" s="107" t="str">
        <f ca="1">IF(AZ$68=1,INDEX(Rates_Energy_New[Low - Standard],MATCH(AZ$62,Rates_Energy_New[Code],0)),"n/a")</f>
        <v>n/a</v>
      </c>
      <c r="BA38" s="107" t="str">
        <f ca="1">IF(BA$68=1,INDEX(Rates_Energy_New[Low - Standard],MATCH(BA$62,Rates_Energy_New[Code],0)),"n/a")</f>
        <v>n/a</v>
      </c>
      <c r="BB38" s="107" t="str">
        <f ca="1">IF(BB$68=1,INDEX(Rates_Energy_New[Low - Standard],MATCH(BB$62,Rates_Energy_New[Code],0)),"n/a")</f>
        <v>n/a</v>
      </c>
      <c r="BC38" s="107" t="str">
        <f ca="1">IF(BC$68=1,INDEX(Rates_Energy_New[Low - Standard],MATCH(BC$62,Rates_Energy_New[Code],0)),"n/a")</f>
        <v>n/a</v>
      </c>
      <c r="BD38" s="107" t="str">
        <f ca="1">IF(BD$68=1,INDEX(Rates_Energy_New[Low - Standard],MATCH(BD$62,Rates_Energy_New[Code],0)),"n/a")</f>
        <v>n/a</v>
      </c>
      <c r="BE38" s="107" t="str">
        <f ca="1">IF(BE$68=1,INDEX(Rates_Energy_New[Low - Standard],MATCH(BE$62,Rates_Energy_New[Code],0)),"n/a")</f>
        <v>n/a</v>
      </c>
      <c r="BF38" s="107" t="str">
        <f ca="1">IF(BF$68=1,INDEX(Rates_Energy_New[Low - Standard],MATCH(BF$62,Rates_Energy_New[Code],0)),"0")</f>
        <v>0</v>
      </c>
      <c r="BG38" s="107" t="str">
        <f ca="1">IF(BG$68=1,INDEX(Rates_Energy_New[Low - Standard],MATCH(BG$62,Rates_Energy_New[Code],0)),"0")</f>
        <v>0</v>
      </c>
      <c r="BH38" s="107" t="str">
        <f ca="1">IF(BH$68=1,INDEX(Rates_Energy_New[Low - Standard],MATCH(BH$62,Rates_Energy_New[Code],0)),"0")</f>
        <v>0</v>
      </c>
      <c r="BI38" s="107" t="str">
        <f ca="1">IF(BI$68=1,INDEX(Rates_Energy_New[Low - Standard],MATCH(BI$62,Rates_Energy_New[Code],0)),"0")</f>
        <v>0</v>
      </c>
      <c r="BJ38" s="107" t="str">
        <f ca="1">IF(BJ$68=1,INDEX(Rates_Energy_New[Low - Standard],MATCH(BJ$62,Rates_Energy_New[Code],0)),"0")</f>
        <v>0</v>
      </c>
      <c r="BK38" s="107">
        <f ca="1">IF(BK$68=1,INDEX(Rates_Energy_New[Low - Standard],MATCH(BK$62,Rates_Energy_New[Code],0)),"n/a")</f>
        <v>172.5</v>
      </c>
      <c r="BL38" s="107">
        <f ca="1">IF(BL$68=1,INDEX(Rates_Energy_New[Low - Standard],MATCH(BL$62,Rates_Energy_New[Code],0)),"n/a")</f>
        <v>172.5</v>
      </c>
      <c r="BM38" s="107" t="str">
        <f ca="1">IF(BM$68=1,INDEX(Rates_Energy_New[Low - Standard],MATCH(BM$62,Rates_Energy_New[Code],0)),"n/a")</f>
        <v>n/a</v>
      </c>
      <c r="BN38" s="107" t="str">
        <f ca="1">IF(BN$68=1,INDEX(Rates_Energy_New[Low - Standard],MATCH(BN$62,Rates_Energy_New[Code],0)),"n/a")</f>
        <v>n/a</v>
      </c>
      <c r="BO38" s="107" t="str">
        <f ca="1">IF(BO$68=1,INDEX(Rates_Energy_New[Low - Standard],MATCH(BO$62,Rates_Energy_New[Code],0)),"n/a")</f>
        <v>n/a</v>
      </c>
      <c r="BP38" s="107">
        <f ca="1">IF(BP$68=1,INDEX(Rates_Energy_New[Low - Standard],MATCH(BP$62,Rates_Energy_New[Code],0)),"n/a")</f>
        <v>174.11</v>
      </c>
      <c r="BQ38" s="107" t="str">
        <f ca="1">IF(BQ$68=1,INDEX(Rates_Energy_New[Low - Standard],MATCH(BQ$62,Rates_Energy_New[Code],0)),"n/a")</f>
        <v>n/a</v>
      </c>
      <c r="BR38" s="107" t="str">
        <f ca="1">IF(BR$68=1,INDEX(Rates_Energy_New[Low - Standard],MATCH(BR$62,Rates_Energy_New[Code],0)),"n/a")</f>
        <v>n/a</v>
      </c>
      <c r="BS38" s="107" t="str">
        <f ca="1">IF(BS$68=1,INDEX(Rates_Energy_New[Low - Standard],MATCH(BS$62,Rates_Energy_New[Code],0)),"n/a")</f>
        <v>n/a</v>
      </c>
      <c r="BT38" s="107" t="str">
        <f ca="1">IF(BT$68=1,INDEX(Rates_Energy_New[Low - Standard],MATCH(BT$62,Rates_Energy_New[Code],0)),"n/a")</f>
        <v>n/a</v>
      </c>
      <c r="BU38" s="107" t="str">
        <f ca="1">IF(BU$68=1,INDEX(Rates_Energy_New[Low - Standard],MATCH(BU$62,Rates_Energy_New[Code],0)),"n/a")</f>
        <v>n/a</v>
      </c>
      <c r="BV38" s="107" t="str">
        <f ca="1">IF(BV$68=1,INDEX(Rates_Energy_New[Low - Standard],MATCH(BV$62,Rates_Energy_New[Code],0)),"n/a")</f>
        <v>n/a</v>
      </c>
      <c r="BW38" s="107" t="str">
        <f ca="1">IF(BW$68=1,INDEX(Rates_Energy_New[Low - Standard],MATCH(BW$62,Rates_Energy_New[Code],0)),"n/a")</f>
        <v>n/a</v>
      </c>
      <c r="BX38" s="107" t="str">
        <f ca="1">IF(BX$68=1,INDEX(Rates_Energy_New[Low - Standard],MATCH(BX$62,Rates_Energy_New[Code],0)),"n/a")</f>
        <v>n/a</v>
      </c>
      <c r="BY38" s="107" t="str">
        <f ca="1">IF(BY$68=1,INDEX(Rates_Energy_New[Low - Standard],MATCH(BY$62,Rates_Energy_New[Code],0)),"n/a")</f>
        <v>n/a</v>
      </c>
      <c r="BZ38" s="107" t="str">
        <f ca="1">IF(BZ$68=1,INDEX(Rates_Energy_New[Low - Standard],MATCH(BZ$62,Rates_Energy_New[Code],0)),"n/a")</f>
        <v>n/a</v>
      </c>
      <c r="CA38" s="107">
        <f ca="1">IF(CA$68=1,INDEX(Rates_Energy_New[Low Charge],MATCH(CA$62,Rates_Energy_New[Code],0)),INDEX(Rates_AllOther_New[Low - Standard],MATCH(CA$64,Rates_AllOther_New[Code],0)))</f>
        <v>213.49</v>
      </c>
      <c r="CB38" s="107">
        <f ca="1">IF(CB$68=1,INDEX(Rates_Energy_New[Low Charge],MATCH(CB$62,Rates_Energy_New[Code],0)),INDEX(Rates_AllOther_New[Low - Standard],MATCH(CB$64,Rates_AllOther_New[Code],0)))</f>
        <v>213.49</v>
      </c>
      <c r="CC38" s="107">
        <f ca="1">IF(CC$68=1,INDEX(Rates_Energy_New[Low Charge],MATCH(CC$62,Rates_Energy_New[Code],0)),INDEX(Rates_AllOther_New[Low - Standard],MATCH(CC$64,Rates_AllOther_New[Code],0)))</f>
        <v>213.49</v>
      </c>
      <c r="CD38" s="107">
        <f ca="1">IF(CD$68=1,INDEX(Rates_Energy_New[Low Charge],MATCH(CD$62,Rates_Energy_New[Code],0)),INDEX(Rates_AllOther_New[Low - Standard],MATCH(CD$64,Rates_AllOther_New[Code],0)))</f>
        <v>213.49</v>
      </c>
      <c r="CE38" s="107">
        <f ca="1">IF(CE$68=1,INDEX(Rates_Energy_New[Low - Standard],MATCH(CE$62,Rates_Energy_New[Code],0)),"n/a")</f>
        <v>172.5</v>
      </c>
      <c r="CF38" s="107">
        <f ca="1">IF(CF$68=1,INDEX(Rates_Energy_New[Low - Standard],MATCH(CF$62,Rates_Energy_New[Code],0)),"n/a")</f>
        <v>172.5</v>
      </c>
    </row>
    <row r="39" spans="2:84" s="77" customFormat="1" ht="13.8">
      <c r="C39" s="77" t="s">
        <v>122</v>
      </c>
      <c r="D39" s="117" t="s">
        <v>106</v>
      </c>
      <c r="E39" s="118">
        <f t="shared" ca="1" si="17"/>
        <v>114.09</v>
      </c>
      <c r="F39" s="107" t="str">
        <f ca="1">IF(F$68=1,INDEX(Rates_Energy_Current[Low-Off Peak],MATCH(F$62,Rates_Energy_Current[Code],0)),"n/a")</f>
        <v>n/a</v>
      </c>
      <c r="G39" s="107" t="str">
        <f ca="1">IF(G$68=1,INDEX(Rates_Energy_Current[Low-Off Peak],MATCH(G$62,Rates_Energy_Current[Code],0)),"n/a")</f>
        <v>n/a</v>
      </c>
      <c r="H39" s="107" t="str">
        <f ca="1">IF(H$68=1,INDEX(Rates_Energy_Current[Low-Off Peak],MATCH(H$62,Rates_Energy_Current[Code],0)),"n/a")</f>
        <v>n/a</v>
      </c>
      <c r="I39" s="107" t="str">
        <f ca="1">IF(I$68=1,INDEX(Rates_Energy_Current[Low-Off Peak],MATCH(I$62,Rates_Energy_Current[Code],0)),"n/a")</f>
        <v>n/a</v>
      </c>
      <c r="J39" s="107" t="str">
        <f ca="1">IF(J$68=1,INDEX(Rates_Energy_Current[Low-Off Peak],MATCH(J$62,Rates_Energy_Current[Code],0)),"n/a")</f>
        <v>n/a</v>
      </c>
      <c r="K39" s="107" t="str">
        <f ca="1">IF(K$68=1,INDEX(Rates_Energy_Current[Low-Off Peak],MATCH(K$62,Rates_Energy_Current[Code],0)),"n/a")</f>
        <v>n/a</v>
      </c>
      <c r="L39" s="107" t="str">
        <f ca="1">IF(L$68=1,INDEX(Rates_Energy_Current[Low-Off Peak],MATCH(L$62,Rates_Energy_Current[Code],0)),"n/a")</f>
        <v>n/a</v>
      </c>
      <c r="M39" s="107" t="str">
        <f ca="1">IF(M$68=1,INDEX(Rates_Energy_Current[Low-Off Peak],MATCH(M$62,Rates_Energy_Current[Code],0)),"n/a")</f>
        <v>n/a</v>
      </c>
      <c r="N39" s="107" t="str">
        <f ca="1">IF(N$68=1,INDEX(Rates_Energy_Current[Low-Off Peak],MATCH(N$62,Rates_Energy_Current[Code],0)),"n/a")</f>
        <v>n/a</v>
      </c>
      <c r="O39" s="107" t="str">
        <f ca="1">IF(O$68=1,INDEX(Rates_Energy_Current[Low-Off Peak],MATCH(O$62,Rates_Energy_Current[Code],0)),"n/a")</f>
        <v>n/a</v>
      </c>
      <c r="P39" s="107" t="str">
        <f ca="1">IF(P$68=1,INDEX(Rates_Energy_Current[Low-Off Peak],MATCH(P$62,Rates_Energy_Current[Code],0)),"n/a")</f>
        <v>n/a</v>
      </c>
      <c r="Q39" s="107" t="str">
        <f ca="1">IF(Q$68=1,INDEX(Rates_Energy_Current[Low-Off Peak],MATCH(Q$62,Rates_Energy_Current[Code],0)),"0")</f>
        <v>0</v>
      </c>
      <c r="R39" s="107" t="str">
        <f ca="1">IF(R$68=1,INDEX(Rates_Energy_Current[Low-Off Peak],MATCH(R$62,Rates_Energy_Current[Code],0)),"0")</f>
        <v>0</v>
      </c>
      <c r="S39" s="107" t="str">
        <f ca="1">IF(S$68=1,INDEX(Rates_Energy_Current[Low-Off Peak],MATCH(S$62,Rates_Energy_Current[Code],0)),"0")</f>
        <v>0</v>
      </c>
      <c r="T39" s="107" t="str">
        <f ca="1">IF(T$68=1,INDEX(Rates_Energy_Current[Low-Off Peak],MATCH(T$62,Rates_Energy_Current[Code],0)),"0")</f>
        <v>0</v>
      </c>
      <c r="U39" s="107" t="str">
        <f ca="1">IF(U$68=1,INDEX(Rates_Energy_Current[Low-Off Peak],MATCH(U$62,Rates_Energy_Current[Code],0)),"0")</f>
        <v>0</v>
      </c>
      <c r="V39" s="107">
        <f ca="1">IF(V$68=1,INDEX(Rates_Energy_Current[Low-Off Peak],MATCH(V$62,Rates_Energy_Current[Code],0)),"n/a")</f>
        <v>114.09</v>
      </c>
      <c r="W39" s="107">
        <f ca="1">IF(W$68=1,INDEX(Rates_Energy_Current[Low-Off Peak],MATCH(W$62,Rates_Energy_Current[Code],0)),"n/a")</f>
        <v>114.09</v>
      </c>
      <c r="X39" s="107" t="str">
        <f ca="1">IF(X$68=1,INDEX(Rates_Energy_Current[Low-Off Peak],MATCH(X$62,Rates_Energy_Current[Code],0)),"n/a")</f>
        <v>n/a</v>
      </c>
      <c r="Y39" s="107" t="str">
        <f ca="1">IF(Y$68=1,INDEX(Rates_Energy_Current[Low-Off Peak],MATCH(Y$62,Rates_Energy_Current[Code],0)),"n/a")</f>
        <v>n/a</v>
      </c>
      <c r="Z39" s="107" t="str">
        <f ca="1">IF(Z$68=1,INDEX(Rates_Energy_Current[Low-Off Peak],MATCH(Z$62,Rates_Energy_Current[Code],0)),"n/a")</f>
        <v>n/a</v>
      </c>
      <c r="AA39" s="107">
        <f ca="1">IF(AA$68=1,INDEX(Rates_Energy_Current[Low-Off Peak],MATCH(AA$62,Rates_Energy_Current[Code],0)),"n/a")</f>
        <v>115.16</v>
      </c>
      <c r="AB39" s="107" t="str">
        <f ca="1">IF(AB$68=1,INDEX(Rates_Energy_Current[Low-Off Peak],MATCH(AB$62,Rates_Energy_Current[Code],0)),"n/a")</f>
        <v>n/a</v>
      </c>
      <c r="AC39" s="107" t="str">
        <f ca="1">IF(AC$68=1,INDEX(Rates_Energy_Current[Low-Off Peak],MATCH(AC$62,Rates_Energy_Current[Code],0)),"n/a")</f>
        <v>n/a</v>
      </c>
      <c r="AD39" s="107" t="str">
        <f ca="1">IF(AD$68=1,INDEX(Rates_Energy_Current[Low-Off Peak],MATCH(AD$62,Rates_Energy_Current[Code],0)),"n/a")</f>
        <v>n/a</v>
      </c>
      <c r="AE39" s="107" t="str">
        <f ca="1">IF(AE$68=1,INDEX(Rates_Energy_Current[Low-Off Peak],MATCH(AE$62,Rates_Energy_Current[Code],0)),"n/a")</f>
        <v>n/a</v>
      </c>
      <c r="AF39" s="107" t="str">
        <f ca="1">IF(AF$68=1,INDEX(Rates_Energy_Current[Low-Off Peak],MATCH(AF$62,Rates_Energy_Current[Code],0)),"n/a")</f>
        <v>n/a</v>
      </c>
      <c r="AG39" s="107" t="e">
        <f ca="1">IF(AG$68=1,INDEX(Rates_Energy_Current[Low-Off Peak],MATCH(AG$62,Rates_Energy_Current[Code],0)),"n/a")</f>
        <v>#N/A</v>
      </c>
      <c r="AH39" s="107" t="str">
        <f ca="1">IF(AH$68=1,INDEX(Rates_Energy_Current[Low-Off Peak],MATCH(AH$62,Rates_Energy_Current[Code],0)),"n/a")</f>
        <v>n/a</v>
      </c>
      <c r="AI39" s="107" t="str">
        <f ca="1">IF(AI$68=1,INDEX(Rates_Energy_Current[Low-Off Peak],MATCH(AI$62,Rates_Energy_Current[Code],0)),"n/a")</f>
        <v>n/a</v>
      </c>
      <c r="AJ39" s="107" t="str">
        <f ca="1">IF(AJ$68=1,INDEX(Rates_Energy_Current[Low-Off Peak],MATCH(AJ$62,Rates_Energy_Current[Code],0)),"n/a")</f>
        <v>n/a</v>
      </c>
      <c r="AK39" s="107" t="str">
        <f ca="1">IF(AK$68=1,INDEX(Rates_Energy_Current[Low-Off Peak],MATCH(AK$62,Rates_Energy_Current[Code],0)),"n/a")</f>
        <v>n/a</v>
      </c>
      <c r="AL39" s="107">
        <f ca="1">IF(AL$68=1,INDEX(Rates_Energy_Current[Low Charge],MATCH(AL$62,Rates_Energy_Current[Code],0)),INDEX(Rates_AllOther_Current[Low-Off Peak],MATCH(AL$64,Rates_AllOther_Current[Code],0)))</f>
        <v>159.26</v>
      </c>
      <c r="AM39" s="107">
        <f ca="1">IF(AM$68=1,INDEX(Rates_Energy_Current[Low Charge],MATCH(AM$62,Rates_Energy_Current[Code],0)),INDEX(Rates_AllOther_Current[Low-Off Peak],MATCH(AM$64,Rates_AllOther_Current[Code],0)))</f>
        <v>159.26</v>
      </c>
      <c r="AN39" s="107">
        <f ca="1">IF(AN$68=1,INDEX(Rates_Energy_Current[Low Charge],MATCH(AN$62,Rates_Energy_Current[Code],0)),INDEX(Rates_AllOther_Current[Low-Off Peak],MATCH(AN$64,Rates_AllOther_Current[Code],0)))</f>
        <v>159.26</v>
      </c>
      <c r="AO39" s="107">
        <f ca="1">IF(AO$68=1,INDEX(Rates_Energy_Current[Low Charge],MATCH(AO$62,Rates_Energy_Current[Code],0)),INDEX(Rates_AllOther_Current[Low-Off Peak],MATCH(AO$64,Rates_AllOther_Current[Code],0)))</f>
        <v>159.26</v>
      </c>
      <c r="AP39" s="107">
        <f ca="1">IF(AP$68=1,INDEX(Rates_Energy_Current[Low-Off Peak],MATCH(AP$62,Rates_Energy_Current[Code],0)),"n/a")</f>
        <v>114.09</v>
      </c>
      <c r="AQ39" s="107">
        <f ca="1">IF(AQ$68=1,INDEX(Rates_Energy_Current[Low-Off Peak],MATCH(AQ$62,Rates_Energy_Current[Code],0)),"n/a")</f>
        <v>114.09</v>
      </c>
      <c r="AR39" s="107" t="str">
        <f ca="1">IF(AR$68=1,INDEX(Rates_Energy_Current[Low-Off Peak],MATCH(AR$62,Rates_Energy_Current[Code],0)),"n/a")</f>
        <v>n/a</v>
      </c>
      <c r="AT39" s="118">
        <f t="shared" ca="1" si="18"/>
        <v>123.2</v>
      </c>
      <c r="AU39" s="107" t="str">
        <f ca="1">IF(AU$68=1,INDEX(Rates_Energy_New[Low-Off Peak],MATCH(AU$62,Rates_Energy_New[Code],0)),"n/a")</f>
        <v>n/a</v>
      </c>
      <c r="AV39" s="107" t="str">
        <f ca="1">IF(AV$68=1,INDEX(Rates_Energy_New[Low-Off Peak],MATCH(AV$62,Rates_Energy_New[Code],0)),"n/a")</f>
        <v>n/a</v>
      </c>
      <c r="AW39" s="107" t="str">
        <f ca="1">IF(AW$68=1,INDEX(Rates_Energy_New[Low-Off Peak],MATCH(AW$62,Rates_Energy_New[Code],0)),"n/a")</f>
        <v>n/a</v>
      </c>
      <c r="AX39" s="107" t="str">
        <f ca="1">IF(AX$68=1,INDEX(Rates_Energy_New[Low-Off Peak],MATCH(AX$62,Rates_Energy_New[Code],0)),"n/a")</f>
        <v>n/a</v>
      </c>
      <c r="AY39" s="107" t="str">
        <f ca="1">IF(AY$68=1,INDEX(Rates_Energy_New[Low-Off Peak],MATCH(AY$62,Rates_Energy_New[Code],0)),"n/a")</f>
        <v>n/a</v>
      </c>
      <c r="AZ39" s="107" t="str">
        <f ca="1">IF(AZ$68=1,INDEX(Rates_Energy_New[Low-Off Peak],MATCH(AZ$62,Rates_Energy_New[Code],0)),"n/a")</f>
        <v>n/a</v>
      </c>
      <c r="BA39" s="107" t="str">
        <f ca="1">IF(BA$68=1,INDEX(Rates_Energy_New[Low-Off Peak],MATCH(BA$62,Rates_Energy_New[Code],0)),"n/a")</f>
        <v>n/a</v>
      </c>
      <c r="BB39" s="107" t="str">
        <f ca="1">IF(BB$68=1,INDEX(Rates_Energy_New[Low-Off Peak],MATCH(BB$62,Rates_Energy_New[Code],0)),"n/a")</f>
        <v>n/a</v>
      </c>
      <c r="BC39" s="107" t="str">
        <f ca="1">IF(BC$68=1,INDEX(Rates_Energy_New[Low-Off Peak],MATCH(BC$62,Rates_Energy_New[Code],0)),"n/a")</f>
        <v>n/a</v>
      </c>
      <c r="BD39" s="107" t="str">
        <f ca="1">IF(BD$68=1,INDEX(Rates_Energy_New[Low-Off Peak],MATCH(BD$62,Rates_Energy_New[Code],0)),"n/a")</f>
        <v>n/a</v>
      </c>
      <c r="BE39" s="107" t="str">
        <f ca="1">IF(BE$68=1,INDEX(Rates_Energy_New[Low-Off Peak],MATCH(BE$62,Rates_Energy_New[Code],0)),"n/a")</f>
        <v>n/a</v>
      </c>
      <c r="BF39" s="107" t="str">
        <f ca="1">IF(BF$68=1,INDEX(Rates_Energy_New[Low-Off Peak],MATCH(BF$62,Rates_Energy_New[Code],0)),"0")</f>
        <v>0</v>
      </c>
      <c r="BG39" s="107" t="str">
        <f ca="1">IF(BG$68=1,INDEX(Rates_Energy_New[Low-Off Peak],MATCH(BG$62,Rates_Energy_New[Code],0)),"0")</f>
        <v>0</v>
      </c>
      <c r="BH39" s="107" t="str">
        <f ca="1">IF(BH$68=1,INDEX(Rates_Energy_New[Low-Off Peak],MATCH(BH$62,Rates_Energy_New[Code],0)),"0")</f>
        <v>0</v>
      </c>
      <c r="BI39" s="107" t="str">
        <f ca="1">IF(BI$68=1,INDEX(Rates_Energy_New[Low-Off Peak],MATCH(BI$62,Rates_Energy_New[Code],0)),"0")</f>
        <v>0</v>
      </c>
      <c r="BJ39" s="107" t="str">
        <f ca="1">IF(BJ$68=1,INDEX(Rates_Energy_New[Low-Off Peak],MATCH(BJ$62,Rates_Energy_New[Code],0)),"0")</f>
        <v>0</v>
      </c>
      <c r="BK39" s="107">
        <f ca="1">IF(BK$68=1,INDEX(Rates_Energy_New[Low-Off Peak],MATCH(BK$62,Rates_Energy_New[Code],0)),"n/a")</f>
        <v>123.2</v>
      </c>
      <c r="BL39" s="107">
        <f ca="1">IF(BL$68=1,INDEX(Rates_Energy_New[Low-Off Peak],MATCH(BL$62,Rates_Energy_New[Code],0)),"n/a")</f>
        <v>123.2</v>
      </c>
      <c r="BM39" s="107" t="str">
        <f ca="1">IF(BM$68=1,INDEX(Rates_Energy_New[Low-Off Peak],MATCH(BM$62,Rates_Energy_New[Code],0)),"n/a")</f>
        <v>n/a</v>
      </c>
      <c r="BN39" s="107" t="str">
        <f ca="1">IF(BN$68=1,INDEX(Rates_Energy_New[Low-Off Peak],MATCH(BN$62,Rates_Energy_New[Code],0)),"n/a")</f>
        <v>n/a</v>
      </c>
      <c r="BO39" s="107" t="str">
        <f ca="1">IF(BO$68=1,INDEX(Rates_Energy_New[Low-Off Peak],MATCH(BO$62,Rates_Energy_New[Code],0)),"n/a")</f>
        <v>n/a</v>
      </c>
      <c r="BP39" s="107">
        <f ca="1">IF(BP$68=1,INDEX(Rates_Energy_New[Low-Off Peak],MATCH(BP$62,Rates_Energy_New[Code],0)),"n/a")</f>
        <v>124.36</v>
      </c>
      <c r="BQ39" s="107" t="str">
        <f ca="1">IF(BQ$68=1,INDEX(Rates_Energy_New[Low-Off Peak],MATCH(BQ$62,Rates_Energy_New[Code],0)),"n/a")</f>
        <v>n/a</v>
      </c>
      <c r="BR39" s="107" t="str">
        <f ca="1">IF(BR$68=1,INDEX(Rates_Energy_New[Low-Off Peak],MATCH(BR$62,Rates_Energy_New[Code],0)),"n/a")</f>
        <v>n/a</v>
      </c>
      <c r="BS39" s="107" t="str">
        <f ca="1">IF(BS$68=1,INDEX(Rates_Energy_New[Low-Off Peak],MATCH(BS$62,Rates_Energy_New[Code],0)),"n/a")</f>
        <v>n/a</v>
      </c>
      <c r="BT39" s="107" t="str">
        <f ca="1">IF(BT$68=1,INDEX(Rates_Energy_New[Low-Off Peak],MATCH(BT$62,Rates_Energy_New[Code],0)),"n/a")</f>
        <v>n/a</v>
      </c>
      <c r="BU39" s="107" t="str">
        <f ca="1">IF(BU$68=1,INDEX(Rates_Energy_New[Low-Off Peak],MATCH(BU$62,Rates_Energy_New[Code],0)),"n/a")</f>
        <v>n/a</v>
      </c>
      <c r="BV39" s="107" t="str">
        <f ca="1">IF(BV$68=1,INDEX(Rates_Energy_New[Low-Off Peak],MATCH(BV$62,Rates_Energy_New[Code],0)),"n/a")</f>
        <v>n/a</v>
      </c>
      <c r="BW39" s="107" t="str">
        <f ca="1">IF(BW$68=1,INDEX(Rates_Energy_New[Low-Off Peak],MATCH(BW$62,Rates_Energy_New[Code],0)),"n/a")</f>
        <v>n/a</v>
      </c>
      <c r="BX39" s="107" t="str">
        <f ca="1">IF(BX$68=1,INDEX(Rates_Energy_New[Low-Off Peak],MATCH(BX$62,Rates_Energy_New[Code],0)),"n/a")</f>
        <v>n/a</v>
      </c>
      <c r="BY39" s="107" t="str">
        <f ca="1">IF(BY$68=1,INDEX(Rates_Energy_New[Low-Off Peak],MATCH(BY$62,Rates_Energy_New[Code],0)),"n/a")</f>
        <v>n/a</v>
      </c>
      <c r="BZ39" s="107" t="str">
        <f ca="1">IF(BZ$68=1,INDEX(Rates_Energy_New[Low-Off Peak],MATCH(BZ$62,Rates_Energy_New[Code],0)),"n/a")</f>
        <v>n/a</v>
      </c>
      <c r="CA39" s="107">
        <f ca="1">IF(CA$68=1,INDEX(Rates_Energy_New[Low Charge],MATCH(CA$62,Rates_Energy_New[Code],0)),INDEX(Rates_AllOther_New[Low-Off Peak],MATCH(CA$64,Rates_AllOther_New[Code],0)))</f>
        <v>165.94</v>
      </c>
      <c r="CB39" s="107">
        <f ca="1">IF(CB$68=1,INDEX(Rates_Energy_New[Low Charge],MATCH(CB$62,Rates_Energy_New[Code],0)),INDEX(Rates_AllOther_New[Low-Off Peak],MATCH(CB$64,Rates_AllOther_New[Code],0)))</f>
        <v>165.94</v>
      </c>
      <c r="CC39" s="107">
        <f ca="1">IF(CC$68=1,INDEX(Rates_Energy_New[Low Charge],MATCH(CC$62,Rates_Energy_New[Code],0)),INDEX(Rates_AllOther_New[Low-Off Peak],MATCH(CC$64,Rates_AllOther_New[Code],0)))</f>
        <v>165.94</v>
      </c>
      <c r="CD39" s="107">
        <f ca="1">IF(CD$68=1,INDEX(Rates_Energy_New[Low Charge],MATCH(CD$62,Rates_Energy_New[Code],0)),INDEX(Rates_AllOther_New[Low-Off Peak],MATCH(CD$64,Rates_AllOther_New[Code],0)))</f>
        <v>165.94</v>
      </c>
      <c r="CE39" s="107">
        <f ca="1">IF(CE$68=1,INDEX(Rates_Energy_New[Low-Off Peak],MATCH(CE$62,Rates_Energy_New[Code],0)),"n/a")</f>
        <v>123.2</v>
      </c>
      <c r="CF39" s="107">
        <f ca="1">IF(CF$68=1,INDEX(Rates_Energy_New[Low-Off Peak],MATCH(CF$62,Rates_Energy_New[Code],0)),"n/a")</f>
        <v>123.2</v>
      </c>
    </row>
    <row r="40" spans="2:84" s="77" customFormat="1" ht="4.05" customHeight="1">
      <c r="E40" s="121">
        <f t="shared" ca="1" si="17"/>
        <v>0</v>
      </c>
      <c r="AT40" s="121">
        <f t="shared" ca="1" si="18"/>
        <v>0</v>
      </c>
    </row>
    <row r="41" spans="2:84" s="77" customFormat="1" ht="13.8">
      <c r="C41" s="77" t="s">
        <v>140</v>
      </c>
      <c r="D41" s="117" t="s">
        <v>106</v>
      </c>
      <c r="E41" s="118" t="str">
        <f t="shared" ca="1" si="17"/>
        <v>n/a</v>
      </c>
      <c r="F41" s="122">
        <f ca="1">IF(F$68=1,INDEX(Rates_Energy_Current[Low Charge],MATCH(F$62,Rates_Energy_Current[Code],0)),INDEX(Rates_AllOther_Current[Energy charge '[c/kWh']],MATCH(F$64,Rates_AllOther_Current[Code],0)))</f>
        <v>224.93</v>
      </c>
      <c r="G41" s="122">
        <f ca="1">IF(G$68=1,INDEX(Rates_Energy_Current[Low Charge],MATCH(G$62,Rates_Energy_Current[Code],0)),INDEX(Rates_AllOther_Current[Energy charge '[c/kWh']],MATCH(G$64,Rates_AllOther_Current[Code],0)))</f>
        <v>224.93</v>
      </c>
      <c r="H41" s="122">
        <f ca="1">IF(H$68=1,INDEX(Rates_Energy_Current[Low Charge],MATCH(H$62,Rates_Energy_Current[Code],0)),INDEX(Rates_AllOther_Current[Energy charge '[c/kWh']],MATCH(H$64,Rates_AllOther_Current[Code],0)))</f>
        <v>224.93</v>
      </c>
      <c r="I41" s="122">
        <f ca="1">IF(I$68=1,INDEX(Rates_Energy_Current[Low Charge],MATCH(I$62,Rates_Energy_Current[Code],0)),INDEX(Rates_AllOther_Current[Energy charge '[c/kWh']],MATCH(I$64,Rates_AllOther_Current[Code],0)))</f>
        <v>350.09</v>
      </c>
      <c r="J41" s="122">
        <f ca="1">IF(J$68=1,INDEX(Rates_Energy_Current[Low Charge],MATCH(J$62,Rates_Energy_Current[Code],0)),INDEX(Rates_AllOther_Current[Energy charge '[c/kWh']],MATCH(J$64,Rates_AllOther_Current[Code],0)))</f>
        <v>216.11</v>
      </c>
      <c r="K41" s="122">
        <f ca="1">IF(K$68=1,INDEX(Rates_Energy_Current[Low Charge],MATCH(K$62,Rates_Energy_Current[Code],0)),INDEX(Rates_AllOther_Current[Energy charge '[c/kWh']],MATCH(K$64,Rates_AllOther_Current[Code],0)))</f>
        <v>274.72000000000003</v>
      </c>
      <c r="L41" s="122">
        <f ca="1">IF(L$68=1,INDEX(Rates_Energy_Current[Low Charge],MATCH(L$62,Rates_Energy_Current[Code],0)),INDEX(Rates_AllOther_Current[Energy charge '[c/kWh']],MATCH(L$64,Rates_AllOther_Current[Code],0)))</f>
        <v>268.77999999999997</v>
      </c>
      <c r="M41" s="122">
        <f ca="1">IF(M$68=1,INDEX(Rates_Energy_Current[Low Charge],MATCH(M$62,Rates_Energy_Current[Code],0)),INDEX(Rates_AllOther_Current[Energy charge '[c/kWh']],MATCH(M$64,Rates_AllOther_Current[Code],0)))</f>
        <v>268.77999999999997</v>
      </c>
      <c r="N41" s="122">
        <f ca="1">IF(N$68=1,INDEX(Rates_Energy_Current[Low Charge],MATCH(N$62,Rates_Energy_Current[Code],0)),INDEX(Rates_AllOther_Current[Energy charge '[c/kWh']],MATCH(N$64,Rates_AllOther_Current[Code],0)))</f>
        <v>268.77999999999997</v>
      </c>
      <c r="O41" s="122">
        <f ca="1">IF(O$68=1,INDEX(Rates_Energy_Current[Low Charge],MATCH(O$62,Rates_Energy_Current[Code],0)),INDEX(Rates_AllOther_Current[Energy charge '[c/kWh']],MATCH(O$64,Rates_AllOther_Current[Code],0)))</f>
        <v>268.77999999999997</v>
      </c>
      <c r="P41" s="122">
        <f ca="1">IF(P$68=1,INDEX(Rates_Energy_Current[Low Charge],MATCH(P$62,Rates_Energy_Current[Code],0)),INDEX(Rates_AllOther_Current[Energy charge '[c/kWh']],MATCH(P$64,Rates_AllOther_Current[Code],0)))</f>
        <v>268.77999999999997</v>
      </c>
      <c r="Q41" s="122">
        <f ca="1">IF(Q$68=1,INDEX(Rates_Energy_Current[Low Charge],MATCH(Q$62,Rates_Energy_Current[Code],0)),INDEX(Rates_AllOther_Current[Energy charge '[c/kWh']],MATCH(Q$64,Rates_AllOther_Current[Code],0)))</f>
        <v>224.93</v>
      </c>
      <c r="R41" s="122">
        <f ca="1">IF(R$68=1,INDEX(Rates_Energy_Current[Low Charge],MATCH(R$62,Rates_Energy_Current[Code],0)),INDEX(Rates_AllOther_Current[Energy charge '[c/kWh']],MATCH(R$64,Rates_AllOther_Current[Code],0)))</f>
        <v>224.93</v>
      </c>
      <c r="S41" s="122">
        <f ca="1">IF(S$68=1,INDEX(Rates_Energy_Current[Low Charge],MATCH(S$62,Rates_Energy_Current[Code],0)),INDEX(Rates_AllOther_Current[Energy charge '[c/kWh']],MATCH(S$64,Rates_AllOther_Current[Code],0)))</f>
        <v>224.93</v>
      </c>
      <c r="T41" s="122">
        <f ca="1">IF(T$68=1,INDEX(Rates_Energy_Current[Low Charge],MATCH(T$62,Rates_Energy_Current[Code],0)),INDEX(Rates_AllOther_Current[Energy charge '[c/kWh']],MATCH(T$64,Rates_AllOther_Current[Code],0)))</f>
        <v>369.32</v>
      </c>
      <c r="U41" s="122">
        <f ca="1">IF(U$68=1,INDEX(Rates_Energy_Current[Low Charge],MATCH(U$62,Rates_Energy_Current[Code],0)),INDEX(Rates_AllOther_Current[Energy charge '[c/kWh']],MATCH(U$64,Rates_AllOther_Current[Code],0)))</f>
        <v>0</v>
      </c>
      <c r="V41" s="122" t="str">
        <f ca="1">IF(V$68=1,INDEX(Rates_Energy_Current[Low Charge],MATCH(V$62,Rates_Energy_Current[Code],0)),INDEX(Rates_AllOther_Current[Energy charge '[c/kWh']],MATCH(V$64,Rates_AllOther_Current[Code],0)))</f>
        <v>n/a</v>
      </c>
      <c r="W41" s="122" t="str">
        <f ca="1">IF(W$68=1,INDEX(Rates_Energy_Current[Low Charge],MATCH(W$62,Rates_Energy_Current[Code],0)),INDEX(Rates_AllOther_Current[Energy charge '[c/kWh']],MATCH(W$64,Rates_AllOther_Current[Code],0)))</f>
        <v>n/a</v>
      </c>
      <c r="X41" s="122">
        <f ca="1">IF(X$68=1,INDEX(Rates_Energy_Current[Low Charge],MATCH(X$62,Rates_Energy_Current[Code],0)),INDEX(Rates_AllOther_Current[Energy charge '[c/kWh']],MATCH(X$64,Rates_AllOther_Current[Code],0)))</f>
        <v>161.80000000000001</v>
      </c>
      <c r="Y41" s="122">
        <f ca="1">IF(Y$68=1,INDEX(Rates_Energy_Current[Low Charge],MATCH(Y$62,Rates_Energy_Current[Code],0)),INDEX(Rates_AllOther_Current[Energy charge '[c/kWh']],MATCH(Y$64,Rates_AllOther_Current[Code],0)))</f>
        <v>147.72999999999999</v>
      </c>
      <c r="Z41" s="122">
        <f ca="1">IF(Z$68=1,INDEX(Rates_Energy_Current[Low Charge],MATCH(Z$62,Rates_Energy_Current[Code],0)),INDEX(Rates_AllOther_Current[Energy charge '[c/kWh']],MATCH(Z$64,Rates_AllOther_Current[Code],0)))</f>
        <v>161.80000000000001</v>
      </c>
      <c r="AA41" s="122" t="str">
        <f ca="1">IF(AA$68=1,INDEX(Rates_Energy_Current[Low Charge],MATCH(AA$62,Rates_Energy_Current[Code],0)),INDEX(Rates_AllOther_Current[Energy charge '[c/kWh']],MATCH(AA$64,Rates_AllOther_Current[Code],0)))</f>
        <v>n/a</v>
      </c>
      <c r="AB41" s="122">
        <f ca="1">IF(AB$68=1,INDEX(Rates_Energy_Current[Low Charge],MATCH(AB$62,Rates_Energy_Current[Code],0)),INDEX(Rates_AllOther_Current[Energy charge '[c/kWh']],MATCH(AB$64,Rates_AllOther_Current[Code],0)))</f>
        <v>603.54</v>
      </c>
      <c r="AC41" s="122">
        <f ca="1">IF(AC$68=1,INDEX(Rates_Energy_Current[Low Charge],MATCH(AC$62,Rates_Energy_Current[Code],0)),INDEX(Rates_AllOther_Current[Energy charge '[c/kWh']],MATCH(AC$64,Rates_AllOther_Current[Code],0)))</f>
        <v>836</v>
      </c>
      <c r="AD41" s="122">
        <f ca="1">IF(AD$68=1,INDEX(Rates_Energy_Current[Low Charge],MATCH(AD$62,Rates_Energy_Current[Code],0)),INDEX(Rates_AllOther_Current[Energy charge '[c/kWh']],MATCH(AD$64,Rates_AllOther_Current[Code],0)))</f>
        <v>232.22</v>
      </c>
      <c r="AE41" s="122">
        <f ca="1">IF(AE$68=1,INDEX(Rates_Energy_Current[Low Charge],MATCH(AE$62,Rates_Energy_Current[Code],0)),INDEX(Rates_AllOther_Current[Energy charge '[c/kWh']],MATCH(AE$64,Rates_AllOther_Current[Code],0)))</f>
        <v>242.11</v>
      </c>
      <c r="AF41" s="122">
        <f ca="1">IF(AF$68=1,INDEX(Rates_Energy_Current[Low Charge],MATCH(AF$62,Rates_Energy_Current[Code],0)),INDEX(Rates_AllOther_Current[Energy charge '[c/kWh']],MATCH(AF$64,Rates_AllOther_Current[Code],0)))</f>
        <v>0</v>
      </c>
      <c r="AG41" s="122" t="e">
        <f ca="1">IF(AG$68=1,INDEX(Rates_Energy_Current[Low Charge],MATCH(AG$62,Rates_Energy_Current[Code],0)),INDEX(Rates_AllOther_Current[Energy charge '[c/kWh']],MATCH(AG$64,Rates_AllOther_Current[Code],0)))</f>
        <v>#N/A</v>
      </c>
      <c r="AH41" s="122" t="e">
        <f ca="1">IF(AH$68=1,INDEX(Rates_Energy_Current[Low Charge],MATCH(AH$62,Rates_Energy_Current[Code],0)),INDEX(Rates_AllOther_Current[Energy charge '[c/kWh']],MATCH(AH$64,Rates_AllOther_Current[Code],0)))</f>
        <v>#N/A</v>
      </c>
      <c r="AI41" s="122" t="e">
        <f ca="1">IF(AI$68=1,INDEX(Rates_Energy_Current[Low Charge],MATCH(AI$62,Rates_Energy_Current[Code],0)),INDEX(Rates_AllOther_Current[Energy charge '[c/kWh']],MATCH(AI$64,Rates_AllOther_Current[Code],0)))</f>
        <v>#N/A</v>
      </c>
      <c r="AJ41" s="122" t="e">
        <f ca="1">IF(AJ$68=1,INDEX(Rates_Energy_Current[Low Charge],MATCH(AJ$62,Rates_Energy_Current[Code],0)),INDEX(Rates_AllOther_Current[Energy charge '[c/kWh']],MATCH(AJ$64,Rates_AllOther_Current[Code],0)))</f>
        <v>#N/A</v>
      </c>
      <c r="AK41" s="122" t="e">
        <f ca="1">IF(AK$68=1,INDEX(Rates_Energy_Current[Low Charge],MATCH(AK$62,Rates_Energy_Current[Code],0)),INDEX(Rates_AllOther_Current[Energy charge '[c/kWh']],MATCH(AK$64,Rates_AllOther_Current[Code],0)))</f>
        <v>#N/A</v>
      </c>
      <c r="AL41" s="122" t="e">
        <f ca="1">IF(AL$68=1,INDEX(Rates_Energy_Current[Tariff Category],MATCH(AL$62,Rates_Energy_Current[Low - Standard],0)),INDEX(Rates_AllOther_Current[Tariff],MATCH(AL$64,Rates_AllOther_Current[Network demand charge '[c/kWh']],0)))</f>
        <v>#N/A</v>
      </c>
      <c r="AM41" s="122" t="e">
        <f ca="1">IF(AM$68=1,INDEX(Rates_Energy_Current[Transmission Zone],MATCH(AM$62,Rates_Energy_Current[Low-Off Peak],0)),INDEX(Rates_AllOther_Current[Tariff Category],MATCH(AM$64,Rates_AllOther_Current[Network capacity charge '[R/POD/day']],0)))</f>
        <v>#N/A</v>
      </c>
      <c r="AN41" s="122" t="e">
        <f ca="1">IF(AN$68=1,INDEX(Rates_Energy_Current[Supply Voltage],MATCH(AN$62,Rates_Energy_Current[High Charge],0)),INDEX(Rates_AllOther_Current[Type],MATCH(AN$64,Rates_AllOther_Current[Generation capacity charge '[R/POD/day']],0)))</f>
        <v>#N/A</v>
      </c>
      <c r="AO41" s="122" t="e">
        <f ca="1">IF(AO$68=1,INDEX(Rates_Energy_Current[Code],MATCH(AO$62,Rates_Energy_Current[Low Charge],0)),INDEX(Rates_AllOther_Current[Column1],MATCH(AO$64,Rates_AllOther_Current[Legacy charge '[c/kWh']],0)))</f>
        <v>#N/A</v>
      </c>
      <c r="AP41" s="122" t="str">
        <f ca="1">IF(AP$68=1,INDEX(Rates_Energy_Current[Low Charge],MATCH(AP$62,Rates_Energy_Current[Code],0)),INDEX(Rates_AllOther_Current[Energy charge '[c/kWh']],MATCH(AP$64,Rates_AllOther_Current[Code],0)))</f>
        <v>n/a</v>
      </c>
      <c r="AQ41" s="122" t="str">
        <f ca="1">IF(AQ$68=1,INDEX(Rates_Energy_Current[Low Charge],MATCH(AQ$62,Rates_Energy_Current[Code],0)),INDEX(Rates_AllOther_Current[Energy charge '[c/kWh']],MATCH(AQ$64,Rates_AllOther_Current[Code],0)))</f>
        <v>n/a</v>
      </c>
      <c r="AR41" s="122" t="e">
        <f ca="1">IF(AR$68=1,INDEX(Rates_Energy_Current[Low Charge],MATCH(AR$62,Rates_Energy_Current[Code],0)),INDEX(Rates_AllOther_Current[Energy charge '[c/kWh']],MATCH(AR$64,Rates_AllOther_Current[Code],0)))</f>
        <v>#N/A</v>
      </c>
      <c r="AT41" s="118" t="str">
        <f t="shared" ca="1" si="18"/>
        <v>n/a</v>
      </c>
      <c r="AU41" s="122">
        <f ca="1">IF(AU$68=1,INDEX(Rates_Energy_New[Low Charge],MATCH(AU$62,Rates_Energy_New[Code],0)),INDEX(Rates_AllOther_New[Energy charge '[c/kWh']],MATCH(AU$64,Rates_AllOther_New[Code],0)))</f>
        <v>242.9</v>
      </c>
      <c r="AV41" s="122">
        <f ca="1">IF(AV$68=1,INDEX(Rates_Energy_New[Low Charge],MATCH(AV$62,Rates_Energy_New[Code],0)),INDEX(Rates_AllOther_New[Energy charge '[c/kWh']],MATCH(AV$64,Rates_AllOther_New[Code],0)))</f>
        <v>242.9</v>
      </c>
      <c r="AW41" s="122">
        <f ca="1">IF(AW$68=1,INDEX(Rates_Energy_New[Low Charge],MATCH(AW$62,Rates_Energy_New[Code],0)),INDEX(Rates_AllOther_New[Energy charge '[c/kWh']],MATCH(AW$64,Rates_AllOther_New[Code],0)))</f>
        <v>242.9</v>
      </c>
      <c r="AX41" s="122">
        <f ca="1">IF(AX$68=1,INDEX(Rates_Energy_New[Low Charge],MATCH(AX$62,Rates_Energy_New[Code],0)),INDEX(Rates_AllOther_New[Energy charge '[c/kWh']],MATCH(AX$64,Rates_AllOther_New[Code],0)))</f>
        <v>378.06</v>
      </c>
      <c r="AY41" s="122">
        <f ca="1">IF(AY$68=1,INDEX(Rates_Energy_New[Low Charge],MATCH(AY$62,Rates_Energy_New[Code],0)),INDEX(Rates_AllOther_New[Energy charge '[c/kWh']],MATCH(AY$64,Rates_AllOther_New[Code],0)))</f>
        <v>235.04</v>
      </c>
      <c r="AZ41" s="122">
        <f ca="1">IF(AZ$68=1,INDEX(Rates_Energy_New[Low Charge],MATCH(AZ$62,Rates_Energy_New[Code],0)),INDEX(Rates_AllOther_New[Energy charge '[c/kWh']],MATCH(AZ$64,Rates_AllOther_New[Code],0)))</f>
        <v>298.79000000000002</v>
      </c>
      <c r="BA41" s="122">
        <f ca="1">IF(BA$68=1,INDEX(Rates_Energy_New[Low Charge],MATCH(BA$62,Rates_Energy_New[Code],0)),INDEX(Rates_AllOther_New[Energy charge '[c/kWh']],MATCH(BA$64,Rates_AllOther_New[Code],0)))</f>
        <v>280.05</v>
      </c>
      <c r="BB41" s="122">
        <f ca="1">IF(BB$68=1,INDEX(Rates_Energy_New[Low Charge],MATCH(BB$62,Rates_Energy_New[Code],0)),INDEX(Rates_AllOther_New[Energy charge '[c/kWh']],MATCH(BB$64,Rates_AllOther_New[Code],0)))</f>
        <v>280.05</v>
      </c>
      <c r="BC41" s="122">
        <f ca="1">IF(BC$68=1,INDEX(Rates_Energy_New[Low Charge],MATCH(BC$62,Rates_Energy_New[Code],0)),INDEX(Rates_AllOther_New[Energy charge '[c/kWh']],MATCH(BC$64,Rates_AllOther_New[Code],0)))</f>
        <v>280.05</v>
      </c>
      <c r="BD41" s="122">
        <f ca="1">IF(BD$68=1,INDEX(Rates_Energy_New[Low Charge],MATCH(BD$62,Rates_Energy_New[Code],0)),INDEX(Rates_AllOther_New[Energy charge '[c/kWh']],MATCH(BD$64,Rates_AllOther_New[Code],0)))</f>
        <v>280.05</v>
      </c>
      <c r="BE41" s="122">
        <f ca="1">IF(BE$68=1,INDEX(Rates_Energy_New[Low Charge],MATCH(BE$62,Rates_Energy_New[Code],0)),INDEX(Rates_AllOther_New[Energy charge '[c/kWh']],MATCH(BE$64,Rates_AllOther_New[Code],0)))</f>
        <v>280.05</v>
      </c>
      <c r="BF41" s="122">
        <f ca="1">IF(BF$68=1,INDEX(Rates_Energy_New[Low Charge],MATCH(BF$62,Rates_Energy_New[Code],0)),INDEX(Rates_AllOther_New[Energy charge '[c/kWh']],MATCH(BF$64,Rates_AllOther_New[Code],0)))</f>
        <v>242.9</v>
      </c>
      <c r="BG41" s="122">
        <f ca="1">IF(BG$68=1,INDEX(Rates_Energy_New[Low Charge],MATCH(BG$62,Rates_Energy_New[Code],0)),INDEX(Rates_AllOther_New[Energy charge '[c/kWh']],MATCH(BG$64,Rates_AllOther_New[Code],0)))</f>
        <v>242.9</v>
      </c>
      <c r="BH41" s="122">
        <f ca="1">IF(BH$68=1,INDEX(Rates_Energy_New[Low Charge],MATCH(BH$62,Rates_Energy_New[Code],0)),INDEX(Rates_AllOther_New[Energy charge '[c/kWh']],MATCH(BH$64,Rates_AllOther_New[Code],0)))</f>
        <v>242.9</v>
      </c>
      <c r="BI41" s="122">
        <f ca="1">IF(BI$68=1,INDEX(Rates_Energy_New[Low Charge],MATCH(BI$62,Rates_Energy_New[Code],0)),INDEX(Rates_AllOther_New[Energy charge '[c/kWh']],MATCH(BI$64,Rates_AllOther_New[Code],0)))</f>
        <v>398.82</v>
      </c>
      <c r="BJ41" s="122">
        <f ca="1">IF(BJ$68=1,INDEX(Rates_Energy_New[Low Charge],MATCH(BJ$62,Rates_Energy_New[Code],0)),INDEX(Rates_AllOther_New[Energy charge '[c/kWh']],MATCH(BJ$64,Rates_AllOther_New[Code],0)))</f>
        <v>0</v>
      </c>
      <c r="BK41" s="122" t="str">
        <f ca="1">IF(BK$68=1,INDEX(Rates_Energy_New[Low Charge],MATCH(BK$62,Rates_Energy_New[Code],0)),INDEX(Rates_AllOther_New[Energy charge '[c/kWh']],MATCH(BK$64,Rates_AllOther_New[Code],0)))</f>
        <v>n/a</v>
      </c>
      <c r="BL41" s="122" t="str">
        <f ca="1">IF(BL$68=1,INDEX(Rates_Energy_New[Low Charge],MATCH(BL$62,Rates_Energy_New[Code],0)),INDEX(Rates_AllOther_New[Energy charge '[c/kWh']],MATCH(BL$64,Rates_AllOther_New[Code],0)))</f>
        <v>n/a</v>
      </c>
      <c r="BM41" s="122">
        <f ca="1">IF(BM$68=1,INDEX(Rates_Energy_New[Low Charge],MATCH(BM$62,Rates_Energy_New[Code],0)),INDEX(Rates_AllOther_New[Energy charge '[c/kWh']],MATCH(BM$64,Rates_AllOther_New[Code],0)))</f>
        <v>174.72</v>
      </c>
      <c r="BN41" s="122">
        <f ca="1">IF(BN$68=1,INDEX(Rates_Energy_New[Low Charge],MATCH(BN$62,Rates_Energy_New[Code],0)),INDEX(Rates_AllOther_New[Energy charge '[c/kWh']],MATCH(BN$64,Rates_AllOther_New[Code],0)))</f>
        <v>159.53</v>
      </c>
      <c r="BO41" s="122">
        <f ca="1">IF(BO$68=1,INDEX(Rates_Energy_New[Low Charge],MATCH(BO$62,Rates_Energy_New[Code],0)),INDEX(Rates_AllOther_New[Energy charge '[c/kWh']],MATCH(BO$64,Rates_AllOther_New[Code],0)))</f>
        <v>174.72</v>
      </c>
      <c r="BP41" s="122" t="str">
        <f ca="1">IF(BP$68=1,INDEX(Rates_Energy_New[Low Charge],MATCH(BP$62,Rates_Energy_New[Code],0)),INDEX(Rates_AllOther_New[Energy charge '[c/kWh']],MATCH(BP$64,Rates_AllOther_New[Code],0)))</f>
        <v>n/a</v>
      </c>
      <c r="BQ41" s="122">
        <f ca="1">IF(BQ$68=1,INDEX(Rates_Energy_New[Low Charge],MATCH(BQ$62,Rates_Energy_New[Code],0)),INDEX(Rates_AllOther_New[Energy charge '[c/kWh']],MATCH(BQ$64,Rates_AllOther_New[Code],0)))</f>
        <v>656.41</v>
      </c>
      <c r="BR41" s="122">
        <f ca="1">IF(BR$68=1,INDEX(Rates_Energy_New[Low Charge],MATCH(BR$62,Rates_Energy_New[Code],0)),INDEX(Rates_AllOther_New[Energy charge '[c/kWh']],MATCH(BR$64,Rates_AllOther_New[Code],0)))</f>
        <v>909.23</v>
      </c>
      <c r="BS41" s="122">
        <f ca="1">IF(BS$68=1,INDEX(Rates_Energy_New[Low Charge],MATCH(BS$62,Rates_Energy_New[Code],0)),INDEX(Rates_AllOther_New[Energy charge '[c/kWh']],MATCH(BS$64,Rates_AllOther_New[Code],0)))</f>
        <v>252.56</v>
      </c>
      <c r="BT41" s="122">
        <f ca="1">IF(BT$68=1,INDEX(Rates_Energy_New[Low Charge],MATCH(BT$62,Rates_Energy_New[Code],0)),INDEX(Rates_AllOther_New[Energy charge '[c/kWh']],MATCH(BT$64,Rates_AllOther_New[Code],0)))</f>
        <v>263.32</v>
      </c>
      <c r="BU41" s="122">
        <f ca="1">IF(BU$68=1,INDEX(Rates_Energy_New[Low Charge],MATCH(BU$62,Rates_Energy_New[Code],0)),INDEX(Rates_AllOther_New[Energy charge '[c/kWh']],MATCH(BU$64,Rates_AllOther_New[Code],0)))</f>
        <v>0</v>
      </c>
      <c r="BV41" s="122" t="str">
        <f ca="1">IF(BV$68=1,INDEX(Rates_Energy_New[Low Charge],MATCH(BV$62,Rates_Energy_New[Code],0)),INDEX(Rates_AllOther_New[Energy charge '[c/kWh']],MATCH(BV$64,Rates_AllOther_New[Code],0)))</f>
        <v>n/a</v>
      </c>
      <c r="BW41" s="122" t="e">
        <f ca="1">IF(BW$68=1,INDEX(Rates_Energy_New[Low Charge],MATCH(BW$62,Rates_Energy_New[Code],0)),INDEX(Rates_AllOther_New[Energy charge '[c/kWh']],MATCH(BW$64,Rates_AllOther_New[Code],0)))</f>
        <v>#N/A</v>
      </c>
      <c r="BX41" s="122" t="e">
        <f ca="1">IF(BX$68=1,INDEX(Rates_Energy_New[Low Charge],MATCH(BX$62,Rates_Energy_New[Code],0)),INDEX(Rates_AllOther_New[Energy charge '[c/kWh']],MATCH(BX$64,Rates_AllOther_New[Code],0)))</f>
        <v>#N/A</v>
      </c>
      <c r="BY41" s="122" t="e">
        <f ca="1">IF(BY$68=1,INDEX(Rates_Energy_New[Low Charge],MATCH(BY$62,Rates_Energy_New[Code],0)),INDEX(Rates_AllOther_New[Energy charge '[c/kWh']],MATCH(BY$64,Rates_AllOther_New[Code],0)))</f>
        <v>#N/A</v>
      </c>
      <c r="BZ41" s="122" t="e">
        <f ca="1">IF(BZ$68=1,INDEX(Rates_Energy_New[Low Charge],MATCH(BZ$62,Rates_Energy_New[Code],0)),INDEX(Rates_AllOther_New[Energy charge '[c/kWh']],MATCH(BZ$64,Rates_AllOther_New[Code],0)))</f>
        <v>#N/A</v>
      </c>
      <c r="CA41" s="122" t="str">
        <f ca="1">IF(CA$68=1,INDEX(Rates_Energy_New[Low Charge],MATCH(CA$62,Rates_Energy_New[Code],0)),INDEX(Rates_AllOther_New[Energy charge '[c/kWh']],MATCH(CA$64,Rates_AllOther_New[Code],0)))</f>
        <v>n/a</v>
      </c>
      <c r="CB41" s="122" t="str">
        <f ca="1">IF(CB$68=1,INDEX(Rates_Energy_New[Low Charge],MATCH(CB$62,Rates_Energy_New[Code],0)),INDEX(Rates_AllOther_New[Energy charge '[c/kWh']],MATCH(CB$64,Rates_AllOther_New[Code],0)))</f>
        <v>n/a</v>
      </c>
      <c r="CC41" s="122" t="str">
        <f ca="1">IF(CC$68=1,INDEX(Rates_Energy_New[Low Charge],MATCH(CC$62,Rates_Energy_New[Code],0)),INDEX(Rates_AllOther_New[Energy charge '[c/kWh']],MATCH(CC$64,Rates_AllOther_New[Code],0)))</f>
        <v>n/a</v>
      </c>
      <c r="CD41" s="122" t="str">
        <f ca="1">IF(CD$68=1,INDEX(Rates_Energy_New[Low Charge],MATCH(CD$62,Rates_Energy_New[Code],0)),INDEX(Rates_AllOther_New[Energy charge '[c/kWh']],MATCH(CD$64,Rates_AllOther_New[Code],0)))</f>
        <v>n/a</v>
      </c>
      <c r="CE41" s="122" t="str">
        <f ca="1">IF(CE$68=1,INDEX(Rates_Energy_New[Low Charge],MATCH(CE$62,Rates_Energy_New[Code],0)),INDEX(Rates_AllOther_New[Energy charge '[c/kWh']],MATCH(CE$64,Rates_AllOther_New[Code],0)))</f>
        <v>n/a</v>
      </c>
      <c r="CF41" s="122" t="str">
        <f ca="1">IF(CF$68=1,INDEX(Rates_Energy_New[Low Charge],MATCH(CF$62,Rates_Energy_New[Code],0)),INDEX(Rates_AllOther_New[Energy charge '[c/kWh']],MATCH(CF$64,Rates_AllOther_New[Code],0)))</f>
        <v>n/a</v>
      </c>
    </row>
    <row r="42" spans="2:84" s="77" customFormat="1" ht="13.8">
      <c r="C42" s="77" t="s">
        <v>192</v>
      </c>
      <c r="D42" s="117" t="s">
        <v>106</v>
      </c>
      <c r="E42" s="118" t="str">
        <f t="shared" ca="1" si="17"/>
        <v>n/a</v>
      </c>
      <c r="F42" s="122">
        <f ca="1">IF(F$68=1,"n/a",INDEX(Rates_AllOther_Current[Energy charge Block 1 '[c/kWh']],MATCH(F$64,Rates_AllOther_Current[Code],0)))</f>
        <v>0</v>
      </c>
      <c r="G42" s="122">
        <f ca="1">IF(G$68=1,"n/a",INDEX(Rates_AllOther_Current[Energy charge Block 1 '[c/kWh']],MATCH(G$64,Rates_AllOther_Current[Code],0)))</f>
        <v>0</v>
      </c>
      <c r="H42" s="122">
        <f ca="1">IF(H$68=1,"n/a",INDEX(Rates_AllOther_Current[Energy charge Block 1 '[c/kWh']],MATCH(H$64,Rates_AllOther_Current[Code],0)))</f>
        <v>0</v>
      </c>
      <c r="I42" s="122">
        <f ca="1">IF(I$68=1,"n/a",INDEX(Rates_AllOther_Current[Energy charge Block 1 '[c/kWh']],MATCH(I$64,Rates_AllOther_Current[Code],0)))</f>
        <v>0</v>
      </c>
      <c r="J42" s="122">
        <f ca="1">IF(J$68=1,"n/a",INDEX(Rates_AllOther_Current[Energy charge Block 1 '[c/kWh']],MATCH(J$64,Rates_AllOther_Current[Code],0)))</f>
        <v>0</v>
      </c>
      <c r="K42" s="122">
        <f ca="1">IF(K$68=1,"n/a",INDEX(Rates_AllOther_Current[Energy charge Block 1 '[c/kWh']],MATCH(K$64,Rates_AllOther_Current[Code],0)))</f>
        <v>0</v>
      </c>
      <c r="L42" s="122">
        <f ca="1">IF(L$68=1,"n/a",INDEX(Rates_AllOther_Current[Energy charge Block 1 '[c/kWh']],MATCH(L$64,Rates_AllOther_Current[Code],0)))</f>
        <v>0</v>
      </c>
      <c r="M42" s="122">
        <f ca="1">IF(M$68=1,"n/a",INDEX(Rates_AllOther_Current[Energy charge Block 1 '[c/kWh']],MATCH(M$64,Rates_AllOther_Current[Code],0)))</f>
        <v>0</v>
      </c>
      <c r="N42" s="122">
        <f ca="1">IF(N$68=1,"n/a",INDEX(Rates_AllOther_Current[Energy charge Block 1 '[c/kWh']],MATCH(N$64,Rates_AllOther_Current[Code],0)))</f>
        <v>0</v>
      </c>
      <c r="O42" s="122">
        <f ca="1">IF(O$68=1,"n/a",INDEX(Rates_AllOther_Current[Energy charge Block 1 '[c/kWh']],MATCH(O$64,Rates_AllOther_Current[Code],0)))</f>
        <v>0</v>
      </c>
      <c r="P42" s="122">
        <f ca="1">IF(P$68=1,"n/a",INDEX(Rates_AllOther_Current[Energy charge Block 1 '[c/kWh']],MATCH(P$64,Rates_AllOther_Current[Code],0)))</f>
        <v>0</v>
      </c>
      <c r="Q42" s="122">
        <f ca="1">IF(Q$68=1,"n/a",INDEX(Rates_AllOther_Current[Energy charge Block 1 '[c/kWh']],MATCH(Q$64,Rates_AllOther_Current[Code],0)))</f>
        <v>0</v>
      </c>
      <c r="R42" s="122">
        <f ca="1">IF(R$68=1,"n/a",INDEX(Rates_AllOther_Current[Energy charge Block 1 '[c/kWh']],MATCH(R$64,Rates_AllOther_Current[Code],0)))</f>
        <v>0</v>
      </c>
      <c r="S42" s="122">
        <f ca="1">IF(S$68=1,"n/a",INDEX(Rates_AllOther_Current[Energy charge Block 1 '[c/kWh']],MATCH(S$64,Rates_AllOther_Current[Code],0)))</f>
        <v>0</v>
      </c>
      <c r="T42" s="122">
        <f ca="1">IF(T$68=1,"n/a",INDEX(Rates_AllOther_Current[Energy charge Block 1 '[c/kWh']],MATCH(T$64,Rates_AllOther_Current[Code],0)))</f>
        <v>0</v>
      </c>
      <c r="U42" s="122">
        <f ca="1">IF(U$68=1,"n/a",INDEX(Rates_AllOther_Current[Energy charge Block 1 '[c/kWh']],MATCH(U$64,Rates_AllOther_Current[Code],0)))</f>
        <v>0</v>
      </c>
      <c r="V42" s="122" t="str">
        <f ca="1">IF(V$68=1,"n/a",INDEX(Rates_AllOther_Current[Energy charge Block 1 '[c/kWh']],MATCH(V$64,Rates_AllOther_Current[Code],0)))</f>
        <v>n/a</v>
      </c>
      <c r="W42" s="122" t="str">
        <f ca="1">IF(W$68=1,"n/a",INDEX(Rates_AllOther_Current[Energy charge Block 1 '[c/kWh']],MATCH(W$64,Rates_AllOther_Current[Code],0)))</f>
        <v>n/a</v>
      </c>
      <c r="X42" s="122" t="str">
        <f>IF(X$68=1,"n/a",INDEX(Rates_AllOther_Current[Energy charge Block 1 '[c/kWh']],MATCH(X$64,Rates_AllOther_Current[Code],0)))</f>
        <v>n/a</v>
      </c>
      <c r="Y42" s="122" t="str">
        <f ca="1">IF(Y$68=1,"n/a",INDEX(Rates_AllOther_Current[Energy charge Block 1 '[c/kWh']],MATCH(Y$64,Rates_AllOther_Current[Code],0)))</f>
        <v>n/a</v>
      </c>
      <c r="Z42" s="122" t="str">
        <f ca="1">IF(Z$68=1,"n/a",INDEX(Rates_AllOther_Current[Energy charge Block 1 '[c/kWh']],MATCH(Z$64,Rates_AllOther_Current[Code],0)))</f>
        <v>n/a</v>
      </c>
      <c r="AA42" s="122" t="str">
        <f ca="1">IF(AA$68=1,"n/a",INDEX(Rates_AllOther_Current[Energy charge Block 1 '[c/kWh']],MATCH(AA$64,Rates_AllOther_Current[Code],0)))</f>
        <v>n/a</v>
      </c>
      <c r="AB42" s="122">
        <f ca="1">IF(AB$68=1,"n/a",INDEX(Rates_AllOther_Current[Energy charge Block 1 '[c/kWh']],MATCH(AB$64,Rates_AllOther_Current[Code],0)))</f>
        <v>0</v>
      </c>
      <c r="AC42" s="122">
        <f ca="1">IF(AC$68=1,"n/a",INDEX(Rates_AllOther_Current[Energy charge Block 1 '[c/kWh']],MATCH(AC$64,Rates_AllOther_Current[Code],0)))</f>
        <v>0</v>
      </c>
      <c r="AD42" s="122">
        <f ca="1">IF(AD$68=1,"n/a",INDEX(Rates_AllOther_Current[Energy charge Block 1 '[c/kWh']],MATCH(AD$64,Rates_AllOther_Current[Code],0)))</f>
        <v>0</v>
      </c>
      <c r="AE42" s="122">
        <f ca="1">IF(AE$68=1,"n/a",INDEX(Rates_AllOther_Current[Energy charge Block 1 '[c/kWh']],MATCH(AE$64,Rates_AllOther_Current[Code],0)))</f>
        <v>0</v>
      </c>
      <c r="AF42" s="122">
        <f ca="1">IF(AF$68=1,"n/a",INDEX(Rates_AllOther_Current[Energy charge Block 1 '[c/kWh']],MATCH(AF$64,Rates_AllOther_Current[Code],0)))</f>
        <v>0</v>
      </c>
      <c r="AG42" s="122" t="str">
        <f>IF(AG$68=1,"n/a",INDEX(Rates_AllOther_Current[Energy charge Block 1 '[c/kWh']],MATCH(AG$64,Rates_AllOther_Current[Code],0)))</f>
        <v>n/a</v>
      </c>
      <c r="AH42" s="122" t="e">
        <f ca="1">IF(AH$68=1,"n/a",INDEX(Rates_AllOther_Current[Energy charge Block 1 '[c/kWh']],MATCH(AH$64,Rates_AllOther_Current[Code],0)))</f>
        <v>#N/A</v>
      </c>
      <c r="AI42" s="122" t="e">
        <f ca="1">IF(AI$68=1,"n/a",INDEX(Rates_AllOther_Current[Energy charge Block 1 '[c/kWh']],MATCH(AI$64,Rates_AllOther_Current[Code],0)))</f>
        <v>#N/A</v>
      </c>
      <c r="AJ42" s="122" t="e">
        <f ca="1">IF(AJ$68=1,"n/a",INDEX(Rates_AllOther_Current[Energy charge Block 1 '[c/kWh']],MATCH(AJ$64,Rates_AllOther_Current[Code],0)))</f>
        <v>#N/A</v>
      </c>
      <c r="AK42" s="122" t="e">
        <f ca="1">IF(AK$68=1,"n/a",INDEX(Rates_AllOther_Current[Energy charge Block 1 '[c/kWh']],MATCH(AK$64,Rates_AllOther_Current[Code],0)))</f>
        <v>#N/A</v>
      </c>
      <c r="AL42" s="122" t="e">
        <f ca="1">IF(AL$68=1,"n/a",INDEX(Rates_AllOther_Current[Generation capacity charge '[R/POD/day']],MATCH(AL$64,Rates_AllOther_Current[Network demand charge '[c/kWh']],0)))</f>
        <v>#N/A</v>
      </c>
      <c r="AM42" s="122" t="e">
        <f ca="1">IF(AM$68=1,"n/a",INDEX(Rates_AllOther_Current[Legacy charge '[c/kWh']],MATCH(AM$64,Rates_AllOther_Current[Network capacity charge '[R/POD/day']],0)))</f>
        <v>#N/A</v>
      </c>
      <c r="AN42" s="122" t="e">
        <f ca="1">IF(AN$68=1,"n/a",INDEX(Rates_AllOther_Current[Tariff],MATCH(AN$64,Rates_AllOther_Current[Generation capacity charge '[R/POD/day']],0)))</f>
        <v>#N/A</v>
      </c>
      <c r="AO42" s="122" t="e">
        <f ca="1">IF(AO$68=1,"n/a",INDEX(Rates_AllOther_Current[Tariff Category],MATCH(AO$64,Rates_AllOther_Current[Legacy charge '[c/kWh']],0)))</f>
        <v>#N/A</v>
      </c>
      <c r="AP42" s="122" t="str">
        <f ca="1">IF(AP$68=1,"n/a",INDEX(Rates_AllOther_Current[Energy charge Block 1 '[c/kWh']],MATCH(AP$64,Rates_AllOther_Current[Code],0)))</f>
        <v>n/a</v>
      </c>
      <c r="AQ42" s="122" t="str">
        <f ca="1">IF(AQ$68=1,"n/a",INDEX(Rates_AllOther_Current[Energy charge Block 1 '[c/kWh']],MATCH(AQ$64,Rates_AllOther_Current[Code],0)))</f>
        <v>n/a</v>
      </c>
      <c r="AR42" s="122" t="e">
        <f ca="1">IF(AR$68=1,"n/a",INDEX(Rates_AllOther_Current[Energy charge Block 1 '[c/kWh']],MATCH(AR$64,Rates_AllOther_Current[Code],0)))</f>
        <v>#N/A</v>
      </c>
      <c r="AT42" s="118" t="str">
        <f t="shared" ca="1" si="18"/>
        <v>n/a</v>
      </c>
      <c r="AU42" s="122">
        <f ca="1">IF(AU$68=1,"n/a",INDEX(Rates_AllOther_New[Energy charge Block 1 '[c/kWh']],MATCH(AU$64,Rates_AllOther_New[Code],0)))</f>
        <v>0</v>
      </c>
      <c r="AV42" s="122">
        <f ca="1">IF(AV$68=1,"n/a",INDEX(Rates_AllOther_New[Energy charge Block 1 '[c/kWh']],MATCH(AV$64,Rates_AllOther_New[Code],0)))</f>
        <v>0</v>
      </c>
      <c r="AW42" s="122">
        <f ca="1">IF(AW$68=1,"n/a",INDEX(Rates_AllOther_New[Energy charge Block 1 '[c/kWh']],MATCH(AW$64,Rates_AllOther_New[Code],0)))</f>
        <v>0</v>
      </c>
      <c r="AX42" s="122">
        <f ca="1">IF(AX$68=1,"n/a",INDEX(Rates_AllOther_New[Energy charge Block 1 '[c/kWh']],MATCH(AX$64,Rates_AllOther_New[Code],0)))</f>
        <v>0</v>
      </c>
      <c r="AY42" s="122">
        <f ca="1">IF(AY$68=1,"n/a",INDEX(Rates_AllOther_New[Energy charge Block 1 '[c/kWh']],MATCH(AY$64,Rates_AllOther_New[Code],0)))</f>
        <v>0</v>
      </c>
      <c r="AZ42" s="122">
        <f ca="1">IF(AZ$68=1,"n/a",INDEX(Rates_AllOther_New[Energy charge Block 1 '[c/kWh']],MATCH(AZ$64,Rates_AllOther_New[Code],0)))</f>
        <v>0</v>
      </c>
      <c r="BA42" s="122">
        <f ca="1">IF(BA$68=1,"n/a",INDEX(Rates_AllOther_New[Energy charge Block 1 '[c/kWh']],MATCH(BA$64,Rates_AllOther_New[Code],0)))</f>
        <v>0</v>
      </c>
      <c r="BB42" s="122">
        <f ca="1">IF(BB$68=1,"n/a",INDEX(Rates_AllOther_New[Energy charge Block 1 '[c/kWh']],MATCH(BB$64,Rates_AllOther_New[Code],0)))</f>
        <v>0</v>
      </c>
      <c r="BC42" s="122">
        <f ca="1">IF(BC$68=1,"n/a",INDEX(Rates_AllOther_New[Energy charge Block 1 '[c/kWh']],MATCH(BC$64,Rates_AllOther_New[Code],0)))</f>
        <v>0</v>
      </c>
      <c r="BD42" s="122">
        <f ca="1">IF(BD$68=1,"n/a",INDEX(Rates_AllOther_New[Energy charge Block 1 '[c/kWh']],MATCH(BD$64,Rates_AllOther_New[Code],0)))</f>
        <v>0</v>
      </c>
      <c r="BE42" s="122">
        <f ca="1">IF(BE$68=1,"n/a",INDEX(Rates_AllOther_New[Energy charge Block 1 '[c/kWh']],MATCH(BE$64,Rates_AllOther_New[Code],0)))</f>
        <v>0</v>
      </c>
      <c r="BF42" s="122">
        <f ca="1">IF(BF$68=1,"n/a",INDEX(Rates_AllOther_New[Energy charge Block 1 '[c/kWh']],MATCH(BF$64,Rates_AllOther_New[Code],0)))</f>
        <v>0</v>
      </c>
      <c r="BG42" s="122">
        <f ca="1">IF(BG$68=1,"n/a",INDEX(Rates_AllOther_New[Energy charge Block 1 '[c/kWh']],MATCH(BG$64,Rates_AllOther_New[Code],0)))</f>
        <v>0</v>
      </c>
      <c r="BH42" s="122">
        <f ca="1">IF(BH$68=1,"n/a",INDEX(Rates_AllOther_New[Energy charge Block 1 '[c/kWh']],MATCH(BH$64,Rates_AllOther_New[Code],0)))</f>
        <v>0</v>
      </c>
      <c r="BI42" s="122">
        <f ca="1">IF(BI$68=1,"n/a",INDEX(Rates_AllOther_New[Energy charge Block 1 '[c/kWh']],MATCH(BI$64,Rates_AllOther_New[Code],0)))</f>
        <v>0</v>
      </c>
      <c r="BJ42" s="122">
        <f ca="1">IF(BJ$68=1,"n/a",INDEX(Rates_AllOther_New[Energy charge Block 1 '[c/kWh']],MATCH(BJ$64,Rates_AllOther_New[Code],0)))</f>
        <v>0</v>
      </c>
      <c r="BK42" s="122" t="str">
        <f ca="1">IF(BK$68=1,"n/a",INDEX(Rates_AllOther_New[Energy charge Block 1 '[c/kWh']],MATCH(BK$64,Rates_AllOther_New[Code],0)))</f>
        <v>n/a</v>
      </c>
      <c r="BL42" s="122" t="str">
        <f ca="1">IF(BL$68=1,"n/a",INDEX(Rates_AllOther_New[Energy charge Block 1 '[c/kWh']],MATCH(BL$64,Rates_AllOther_New[Code],0)))</f>
        <v>n/a</v>
      </c>
      <c r="BM42" s="122" t="str">
        <f>IF(BM$68=1,"n/a",INDEX(Rates_AllOther_New[Energy charge Block 1 '[c/kWh']],MATCH(BM$64,Rates_AllOther_New[Code],0)))</f>
        <v>n/a</v>
      </c>
      <c r="BN42" s="122" t="str">
        <f ca="1">IF(BN$68=1,"n/a",INDEX(Rates_AllOther_New[Energy charge Block 1 '[c/kWh']],MATCH(BN$64,Rates_AllOther_New[Code],0)))</f>
        <v>n/a</v>
      </c>
      <c r="BO42" s="122" t="str">
        <f ca="1">IF(BO$68=1,"n/a",INDEX(Rates_AllOther_New[Energy charge Block 1 '[c/kWh']],MATCH(BO$64,Rates_AllOther_New[Code],0)))</f>
        <v>n/a</v>
      </c>
      <c r="BP42" s="122" t="str">
        <f ca="1">IF(BP$68=1,"n/a",INDEX(Rates_AllOther_New[Energy charge Block 1 '[c/kWh']],MATCH(BP$64,Rates_AllOther_New[Code],0)))</f>
        <v>n/a</v>
      </c>
      <c r="BQ42" s="122">
        <f ca="1">IF(BQ$68=1,"n/a",INDEX(Rates_AllOther_New[Energy charge Block 1 '[c/kWh']],MATCH(BQ$64,Rates_AllOther_New[Code],0)))</f>
        <v>0</v>
      </c>
      <c r="BR42" s="122">
        <f ca="1">IF(BR$68=1,"n/a",INDEX(Rates_AllOther_New[Energy charge Block 1 '[c/kWh']],MATCH(BR$64,Rates_AllOther_New[Code],0)))</f>
        <v>0</v>
      </c>
      <c r="BS42" s="122">
        <f ca="1">IF(BS$68=1,"n/a",INDEX(Rates_AllOther_New[Energy charge Block 1 '[c/kWh']],MATCH(BS$64,Rates_AllOther_New[Code],0)))</f>
        <v>0</v>
      </c>
      <c r="BT42" s="122">
        <f ca="1">IF(BT$68=1,"n/a",INDEX(Rates_AllOther_New[Energy charge Block 1 '[c/kWh']],MATCH(BT$64,Rates_AllOther_New[Code],0)))</f>
        <v>0</v>
      </c>
      <c r="BU42" s="122">
        <f ca="1">IF(BU$68=1,"n/a",INDEX(Rates_AllOther_New[Energy charge Block 1 '[c/kWh']],MATCH(BU$64,Rates_AllOther_New[Code],0)))</f>
        <v>0</v>
      </c>
      <c r="BV42" s="122" t="str">
        <f>IF(BV$68=1,"n/a",INDEX(Rates_AllOther_New[Energy charge Block 1 '[c/kWh']],MATCH(BV$64,Rates_AllOther_New[Code],0)))</f>
        <v>n/a</v>
      </c>
      <c r="BW42" s="122" t="e">
        <f ca="1">IF(BW$68=1,"n/a",INDEX(Rates_AllOther_New[Energy charge Block 1 '[c/kWh']],MATCH(BW$64,Rates_AllOther_New[Code],0)))</f>
        <v>#N/A</v>
      </c>
      <c r="BX42" s="122" t="e">
        <f ca="1">IF(BX$68=1,"n/a",INDEX(Rates_AllOther_New[Energy charge Block 1 '[c/kWh']],MATCH(BX$64,Rates_AllOther_New[Code],0)))</f>
        <v>#N/A</v>
      </c>
      <c r="BY42" s="122" t="e">
        <f ca="1">IF(BY$68=1,"n/a",INDEX(Rates_AllOther_New[Energy charge Block 1 '[c/kWh']],MATCH(BY$64,Rates_AllOther_New[Code],0)))</f>
        <v>#N/A</v>
      </c>
      <c r="BZ42" s="122" t="e">
        <f ca="1">IF(BZ$68=1,"n/a",INDEX(Rates_AllOther_New[Energy charge Block 1 '[c/kWh']],MATCH(BZ$64,Rates_AllOther_New[Code],0)))</f>
        <v>#N/A</v>
      </c>
      <c r="CA42" s="122" t="str">
        <f ca="1">IF(CA$68=1,"n/a",INDEX(Rates_AllOther_New[Energy charge Block 1 '[c/kWh']],MATCH(CA$64,Rates_AllOther_New[Code],0)))</f>
        <v>n/a</v>
      </c>
      <c r="CB42" s="122" t="str">
        <f ca="1">IF(CB$68=1,"n/a",INDEX(Rates_AllOther_New[Energy charge Block 1 '[c/kWh']],MATCH(CB$64,Rates_AllOther_New[Code],0)))</f>
        <v>n/a</v>
      </c>
      <c r="CC42" s="122" t="str">
        <f ca="1">IF(CC$68=1,"n/a",INDEX(Rates_AllOther_New[Energy charge Block 1 '[c/kWh']],MATCH(CC$64,Rates_AllOther_New[Code],0)))</f>
        <v>n/a</v>
      </c>
      <c r="CD42" s="122" t="str">
        <f ca="1">IF(CD$68=1,"n/a",INDEX(Rates_AllOther_New[Energy charge Block 1 '[c/kWh']],MATCH(CD$64,Rates_AllOther_New[Code],0)))</f>
        <v>n/a</v>
      </c>
      <c r="CE42" s="122" t="str">
        <f ca="1">IF(CE$68=1,"n/a",INDEX(Rates_AllOther_New[Energy charge Block 1 '[c/kWh']],MATCH(CE$64,Rates_AllOther_New[Code],0)))</f>
        <v>n/a</v>
      </c>
      <c r="CF42" s="122" t="str">
        <f ca="1">IF(CF$68=1,"n/a",INDEX(Rates_AllOther_New[Energy charge Block 1 '[c/kWh']],MATCH(CF$64,Rates_AllOther_New[Code],0)))</f>
        <v>n/a</v>
      </c>
    </row>
    <row r="43" spans="2:84" s="77" customFormat="1" ht="13.8">
      <c r="C43" s="77" t="s">
        <v>193</v>
      </c>
      <c r="D43" s="117" t="s">
        <v>106</v>
      </c>
      <c r="E43" s="118" t="str">
        <f t="shared" ca="1" si="17"/>
        <v>n/a</v>
      </c>
      <c r="F43" s="122">
        <f ca="1">IF(F$68=1,"n/a",INDEX(Rates_AllOther_Current[Energy charge Block 2 '[c/kWh']],MATCH(F$64,Rates_AllOther_Current[Code],0)))</f>
        <v>0</v>
      </c>
      <c r="G43" s="122">
        <f ca="1">IF(G$68=1,"n/a",INDEX(Rates_AllOther_Current[Energy charge Block 2 '[c/kWh']],MATCH(G$64,Rates_AllOther_Current[Code],0)))</f>
        <v>0</v>
      </c>
      <c r="H43" s="122">
        <f ca="1">IF(H$68=1,"n/a",INDEX(Rates_AllOther_Current[Energy charge Block 2 '[c/kWh']],MATCH(H$64,Rates_AllOther_Current[Code],0)))</f>
        <v>0</v>
      </c>
      <c r="I43" s="122">
        <f ca="1">IF(I$68=1,"n/a",INDEX(Rates_AllOther_Current[Energy charge Block 2 '[c/kWh']],MATCH(I$64,Rates_AllOther_Current[Code],0)))</f>
        <v>0</v>
      </c>
      <c r="J43" s="122">
        <f ca="1">IF(J$68=1,"n/a",INDEX(Rates_AllOther_Current[Energy charge Block 2 '[c/kWh']],MATCH(J$64,Rates_AllOther_Current[Code],0)))</f>
        <v>0</v>
      </c>
      <c r="K43" s="122">
        <f ca="1">IF(K$68=1,"n/a",INDEX(Rates_AllOther_Current[Energy charge Block 2 '[c/kWh']],MATCH(K$64,Rates_AllOther_Current[Code],0)))</f>
        <v>0</v>
      </c>
      <c r="L43" s="122">
        <f ca="1">IF(L$68=1,"n/a",INDEX(Rates_AllOther_Current[Energy charge Block 2 '[c/kWh']],MATCH(L$64,Rates_AllOther_Current[Code],0)))</f>
        <v>0</v>
      </c>
      <c r="M43" s="122">
        <f ca="1">IF(M$68=1,"n/a",INDEX(Rates_AllOther_Current[Energy charge Block 2 '[c/kWh']],MATCH(M$64,Rates_AllOther_Current[Code],0)))</f>
        <v>0</v>
      </c>
      <c r="N43" s="122">
        <f ca="1">IF(N$68=1,"n/a",INDEX(Rates_AllOther_Current[Energy charge Block 2 '[c/kWh']],MATCH(N$64,Rates_AllOther_Current[Code],0)))</f>
        <v>0</v>
      </c>
      <c r="O43" s="122">
        <f ca="1">IF(O$68=1,"n/a",INDEX(Rates_AllOther_Current[Energy charge Block 2 '[c/kWh']],MATCH(O$64,Rates_AllOther_Current[Code],0)))</f>
        <v>0</v>
      </c>
      <c r="P43" s="122">
        <f ca="1">IF(P$68=1,"n/a",INDEX(Rates_AllOther_Current[Energy charge Block 2 '[c/kWh']],MATCH(P$64,Rates_AllOther_Current[Code],0)))</f>
        <v>0</v>
      </c>
      <c r="Q43" s="122">
        <f ca="1">IF(Q$68=1,"n/a",INDEX(Rates_AllOther_Current[Energy charge Block 2 '[c/kWh']],MATCH(Q$64,Rates_AllOther_Current[Code],0)))</f>
        <v>0</v>
      </c>
      <c r="R43" s="122">
        <f ca="1">IF(R$68=1,"n/a",INDEX(Rates_AllOther_Current[Energy charge Block 2 '[c/kWh']],MATCH(R$64,Rates_AllOther_Current[Code],0)))</f>
        <v>0</v>
      </c>
      <c r="S43" s="122">
        <f ca="1">IF(S$68=1,"n/a",INDEX(Rates_AllOther_Current[Energy charge Block 2 '[c/kWh']],MATCH(S$64,Rates_AllOther_Current[Code],0)))</f>
        <v>0</v>
      </c>
      <c r="T43" s="122">
        <f ca="1">IF(T$68=1,"n/a",INDEX(Rates_AllOther_Current[Energy charge Block 2 '[c/kWh']],MATCH(T$64,Rates_AllOther_Current[Code],0)))</f>
        <v>0</v>
      </c>
      <c r="U43" s="122">
        <f ca="1">IF(U$68=1,"n/a",INDEX(Rates_AllOther_Current[Energy charge Block 2 '[c/kWh']],MATCH(U$64,Rates_AllOther_Current[Code],0)))</f>
        <v>0</v>
      </c>
      <c r="V43" s="122" t="str">
        <f ca="1">IF(V$68=1,"n/a",INDEX(Rates_AllOther_Current[Energy charge Block 2 '[c/kWh']],MATCH(V$64,Rates_AllOther_Current[Code],0)))</f>
        <v>n/a</v>
      </c>
      <c r="W43" s="122" t="str">
        <f ca="1">IF(W$68=1,"n/a",INDEX(Rates_AllOther_Current[Energy charge Block 2 '[c/kWh']],MATCH(W$64,Rates_AllOther_Current[Code],0)))</f>
        <v>n/a</v>
      </c>
      <c r="X43" s="122" t="str">
        <f>IF(X$68=1,"n/a",INDEX(Rates_AllOther_Current[Energy charge Block 2 '[c/kWh']],MATCH(X$64,Rates_AllOther_Current[Code],0)))</f>
        <v>n/a</v>
      </c>
      <c r="Y43" s="122" t="str">
        <f ca="1">IF(Y$68=1,"n/a",INDEX(Rates_AllOther_Current[Energy charge Block 2 '[c/kWh']],MATCH(Y$64,Rates_AllOther_Current[Code],0)))</f>
        <v>n/a</v>
      </c>
      <c r="Z43" s="122" t="str">
        <f ca="1">IF(Z$68=1,"n/a",INDEX(Rates_AllOther_Current[Energy charge Block 2 '[c/kWh']],MATCH(Z$64,Rates_AllOther_Current[Code],0)))</f>
        <v>n/a</v>
      </c>
      <c r="AA43" s="122" t="str">
        <f ca="1">IF(AA$68=1,"n/a",INDEX(Rates_AllOther_Current[Energy charge Block 2 '[c/kWh']],MATCH(AA$64,Rates_AllOther_Current[Code],0)))</f>
        <v>n/a</v>
      </c>
      <c r="AB43" s="122">
        <f ca="1">IF(AB$68=1,"n/a",INDEX(Rates_AllOther_Current[Energy charge Block 2 '[c/kWh']],MATCH(AB$64,Rates_AllOther_Current[Code],0)))</f>
        <v>0</v>
      </c>
      <c r="AC43" s="122">
        <f ca="1">IF(AC$68=1,"n/a",INDEX(Rates_AllOther_Current[Energy charge Block 2 '[c/kWh']],MATCH(AC$64,Rates_AllOther_Current[Code],0)))</f>
        <v>0</v>
      </c>
      <c r="AD43" s="122">
        <f ca="1">IF(AD$68=1,"n/a",INDEX(Rates_AllOther_Current[Energy charge Block 2 '[c/kWh']],MATCH(AD$64,Rates_AllOther_Current[Code],0)))</f>
        <v>0</v>
      </c>
      <c r="AE43" s="122">
        <f ca="1">IF(AE$68=1,"n/a",INDEX(Rates_AllOther_Current[Energy charge Block 2 '[c/kWh']],MATCH(AE$64,Rates_AllOther_Current[Code],0)))</f>
        <v>0</v>
      </c>
      <c r="AF43" s="122">
        <f ca="1">IF(AF$68=1,"n/a",INDEX(Rates_AllOther_Current[Energy charge Block 2 '[c/kWh']],MATCH(AF$64,Rates_AllOther_Current[Code],0)))</f>
        <v>0</v>
      </c>
      <c r="AG43" s="122" t="str">
        <f>IF(AG$68=1,"n/a",INDEX(Rates_AllOther_Current[Energy charge Block 2 '[c/kWh']],MATCH(AG$64,Rates_AllOther_Current[Code],0)))</f>
        <v>n/a</v>
      </c>
      <c r="AH43" s="122" t="e">
        <f ca="1">IF(AH$68=1,"n/a",INDEX(Rates_AllOther_Current[Energy charge Block 2 '[c/kWh']],MATCH(AH$64,Rates_AllOther_Current[Code],0)))</f>
        <v>#N/A</v>
      </c>
      <c r="AI43" s="122" t="e">
        <f ca="1">IF(AI$68=1,"n/a",INDEX(Rates_AllOther_Current[Energy charge Block 2 '[c/kWh']],MATCH(AI$64,Rates_AllOther_Current[Code],0)))</f>
        <v>#N/A</v>
      </c>
      <c r="AJ43" s="122" t="e">
        <f ca="1">IF(AJ$68=1,"n/a",INDEX(Rates_AllOther_Current[Energy charge Block 2 '[c/kWh']],MATCH(AJ$64,Rates_AllOther_Current[Code],0)))</f>
        <v>#N/A</v>
      </c>
      <c r="AK43" s="122" t="e">
        <f ca="1">IF(AK$68=1,"n/a",INDEX(Rates_AllOther_Current[Energy charge Block 2 '[c/kWh']],MATCH(AK$64,Rates_AllOther_Current[Code],0)))</f>
        <v>#N/A</v>
      </c>
      <c r="AL43" s="122" t="e">
        <f ca="1">IF(AL$68=1,"n/a",INDEX(Rates_AllOther_Current[Legacy charge '[c/kWh']],MATCH(AL$64,Rates_AllOther_Current[Network demand charge '[c/kWh']],0)))</f>
        <v>#N/A</v>
      </c>
      <c r="AM43" s="122" t="e">
        <f ca="1">IF(AM$68=1,"n/a",INDEX(Rates_AllOther_Current[Tariff],MATCH(AM$64,Rates_AllOther_Current[Network capacity charge '[R/POD/day']],0)))</f>
        <v>#N/A</v>
      </c>
      <c r="AN43" s="122" t="e">
        <f ca="1">IF(AN$68=1,"n/a",INDEX(Rates_AllOther_Current[Tariff Category],MATCH(AN$64,Rates_AllOther_Current[Generation capacity charge '[R/POD/day']],0)))</f>
        <v>#N/A</v>
      </c>
      <c r="AO43" s="122" t="e">
        <f ca="1">IF(AO$68=1,"n/a",INDEX(Rates_AllOther_Current[Type],MATCH(AO$64,Rates_AllOther_Current[Legacy charge '[c/kWh']],0)))</f>
        <v>#N/A</v>
      </c>
      <c r="AP43" s="122" t="str">
        <f ca="1">IF(AP$68=1,"n/a",INDEX(Rates_AllOther_Current[Energy charge Block 2 '[c/kWh']],MATCH(AP$64,Rates_AllOther_Current[Code],0)))</f>
        <v>n/a</v>
      </c>
      <c r="AQ43" s="122" t="str">
        <f ca="1">IF(AQ$68=1,"n/a",INDEX(Rates_AllOther_Current[Energy charge Block 2 '[c/kWh']],MATCH(AQ$64,Rates_AllOther_Current[Code],0)))</f>
        <v>n/a</v>
      </c>
      <c r="AR43" s="122" t="e">
        <f ca="1">IF(AR$68=1,"n/a",INDEX(Rates_AllOther_Current[Energy charge Block 2 '[c/kWh']],MATCH(AR$64,Rates_AllOther_Current[Code],0)))</f>
        <v>#N/A</v>
      </c>
      <c r="AT43" s="118" t="str">
        <f t="shared" ca="1" si="18"/>
        <v>n/a</v>
      </c>
      <c r="AU43" s="122">
        <f ca="1">IF(AU$68=1,"n/a",INDEX(Rates_AllOther_New[Energy charge Block 2 '[c/kWh']],MATCH(AU$64,Rates_AllOther_New[Code],0)))</f>
        <v>0</v>
      </c>
      <c r="AV43" s="122">
        <f ca="1">IF(AV$68=1,"n/a",INDEX(Rates_AllOther_New[Energy charge Block 2 '[c/kWh']],MATCH(AV$64,Rates_AllOther_New[Code],0)))</f>
        <v>0</v>
      </c>
      <c r="AW43" s="122">
        <f ca="1">IF(AW$68=1,"n/a",INDEX(Rates_AllOther_New[Energy charge Block 2 '[c/kWh']],MATCH(AW$64,Rates_AllOther_New[Code],0)))</f>
        <v>0</v>
      </c>
      <c r="AX43" s="122">
        <f ca="1">IF(AX$68=1,"n/a",INDEX(Rates_AllOther_New[Energy charge Block 2 '[c/kWh']],MATCH(AX$64,Rates_AllOther_New[Code],0)))</f>
        <v>0</v>
      </c>
      <c r="AY43" s="122">
        <f ca="1">IF(AY$68=1,"n/a",INDEX(Rates_AllOther_New[Energy charge Block 2 '[c/kWh']],MATCH(AY$64,Rates_AllOther_New[Code],0)))</f>
        <v>0</v>
      </c>
      <c r="AZ43" s="122">
        <f ca="1">IF(AZ$68=1,"n/a",INDEX(Rates_AllOther_New[Energy charge Block 2 '[c/kWh']],MATCH(AZ$64,Rates_AllOther_New[Code],0)))</f>
        <v>0</v>
      </c>
      <c r="BA43" s="122">
        <f ca="1">IF(BA$68=1,"n/a",INDEX(Rates_AllOther_New[Energy charge Block 2 '[c/kWh']],MATCH(BA$64,Rates_AllOther_New[Code],0)))</f>
        <v>0</v>
      </c>
      <c r="BB43" s="122">
        <f ca="1">IF(BB$68=1,"n/a",INDEX(Rates_AllOther_New[Energy charge Block 2 '[c/kWh']],MATCH(BB$64,Rates_AllOther_New[Code],0)))</f>
        <v>0</v>
      </c>
      <c r="BC43" s="122">
        <f ca="1">IF(BC$68=1,"n/a",INDEX(Rates_AllOther_New[Energy charge Block 2 '[c/kWh']],MATCH(BC$64,Rates_AllOther_New[Code],0)))</f>
        <v>0</v>
      </c>
      <c r="BD43" s="122">
        <f ca="1">IF(BD$68=1,"n/a",INDEX(Rates_AllOther_New[Energy charge Block 2 '[c/kWh']],MATCH(BD$64,Rates_AllOther_New[Code],0)))</f>
        <v>0</v>
      </c>
      <c r="BE43" s="122">
        <f ca="1">IF(BE$68=1,"n/a",INDEX(Rates_AllOther_New[Energy charge Block 2 '[c/kWh']],MATCH(BE$64,Rates_AllOther_New[Code],0)))</f>
        <v>0</v>
      </c>
      <c r="BF43" s="122">
        <f ca="1">IF(BF$68=1,"n/a",INDEX(Rates_AllOther_New[Energy charge Block 2 '[c/kWh']],MATCH(BF$64,Rates_AllOther_New[Code],0)))</f>
        <v>0</v>
      </c>
      <c r="BG43" s="122">
        <f ca="1">IF(BG$68=1,"n/a",INDEX(Rates_AllOther_New[Energy charge Block 2 '[c/kWh']],MATCH(BG$64,Rates_AllOther_New[Code],0)))</f>
        <v>0</v>
      </c>
      <c r="BH43" s="122">
        <f ca="1">IF(BH$68=1,"n/a",INDEX(Rates_AllOther_New[Energy charge Block 2 '[c/kWh']],MATCH(BH$64,Rates_AllOther_New[Code],0)))</f>
        <v>0</v>
      </c>
      <c r="BI43" s="122">
        <f ca="1">IF(BI$68=1,"n/a",INDEX(Rates_AllOther_New[Energy charge Block 2 '[c/kWh']],MATCH(BI$64,Rates_AllOther_New[Code],0)))</f>
        <v>0</v>
      </c>
      <c r="BJ43" s="122">
        <f ca="1">IF(BJ$68=1,"n/a",INDEX(Rates_AllOther_New[Energy charge Block 2 '[c/kWh']],MATCH(BJ$64,Rates_AllOther_New[Code],0)))</f>
        <v>0</v>
      </c>
      <c r="BK43" s="122" t="str">
        <f ca="1">IF(BK$68=1,"n/a",INDEX(Rates_AllOther_New[Energy charge Block 2 '[c/kWh']],MATCH(BK$64,Rates_AllOther_New[Code],0)))</f>
        <v>n/a</v>
      </c>
      <c r="BL43" s="122" t="str">
        <f ca="1">IF(BL$68=1,"n/a",INDEX(Rates_AllOther_New[Energy charge Block 2 '[c/kWh']],MATCH(BL$64,Rates_AllOther_New[Code],0)))</f>
        <v>n/a</v>
      </c>
      <c r="BM43" s="122" t="str">
        <f>IF(BM$68=1,"n/a",INDEX(Rates_AllOther_New[Energy charge Block 2 '[c/kWh']],MATCH(BM$64,Rates_AllOther_New[Code],0)))</f>
        <v>n/a</v>
      </c>
      <c r="BN43" s="122" t="str">
        <f ca="1">IF(BN$68=1,"n/a",INDEX(Rates_AllOther_New[Energy charge Block 2 '[c/kWh']],MATCH(BN$64,Rates_AllOther_New[Code],0)))</f>
        <v>n/a</v>
      </c>
      <c r="BO43" s="122" t="str">
        <f ca="1">IF(BO$68=1,"n/a",INDEX(Rates_AllOther_New[Energy charge Block 2 '[c/kWh']],MATCH(BO$64,Rates_AllOther_New[Code],0)))</f>
        <v>n/a</v>
      </c>
      <c r="BP43" s="122" t="str">
        <f ca="1">IF(BP$68=1,"n/a",INDEX(Rates_AllOther_New[Energy charge Block 2 '[c/kWh']],MATCH(BP$64,Rates_AllOther_New[Code],0)))</f>
        <v>n/a</v>
      </c>
      <c r="BQ43" s="122">
        <f ca="1">IF(BQ$68=1,"n/a",INDEX(Rates_AllOther_New[Energy charge Block 2 '[c/kWh']],MATCH(BQ$64,Rates_AllOther_New[Code],0)))</f>
        <v>0</v>
      </c>
      <c r="BR43" s="122">
        <f ca="1">IF(BR$68=1,"n/a",INDEX(Rates_AllOther_New[Energy charge Block 2 '[c/kWh']],MATCH(BR$64,Rates_AllOther_New[Code],0)))</f>
        <v>0</v>
      </c>
      <c r="BS43" s="122">
        <f ca="1">IF(BS$68=1,"n/a",INDEX(Rates_AllOther_New[Energy charge Block 2 '[c/kWh']],MATCH(BS$64,Rates_AllOther_New[Code],0)))</f>
        <v>0</v>
      </c>
      <c r="BT43" s="122">
        <f ca="1">IF(BT$68=1,"n/a",INDEX(Rates_AllOther_New[Energy charge Block 2 '[c/kWh']],MATCH(BT$64,Rates_AllOther_New[Code],0)))</f>
        <v>0</v>
      </c>
      <c r="BU43" s="122">
        <f ca="1">IF(BU$68=1,"n/a",INDEX(Rates_AllOther_New[Energy charge Block 2 '[c/kWh']],MATCH(BU$64,Rates_AllOther_New[Code],0)))</f>
        <v>0</v>
      </c>
      <c r="BV43" s="122" t="str">
        <f>IF(BV$68=1,"n/a",INDEX(Rates_AllOther_New[Energy charge Block 2 '[c/kWh']],MATCH(BV$64,Rates_AllOther_New[Code],0)))</f>
        <v>n/a</v>
      </c>
      <c r="BW43" s="122" t="e">
        <f ca="1">IF(BW$68=1,"n/a",INDEX(Rates_AllOther_New[Energy charge Block 2 '[c/kWh']],MATCH(BW$64,Rates_AllOther_New[Code],0)))</f>
        <v>#N/A</v>
      </c>
      <c r="BX43" s="122" t="e">
        <f ca="1">IF(BX$68=1,"n/a",INDEX(Rates_AllOther_New[Energy charge Block 2 '[c/kWh']],MATCH(BX$64,Rates_AllOther_New[Code],0)))</f>
        <v>#N/A</v>
      </c>
      <c r="BY43" s="122" t="e">
        <f ca="1">IF(BY$68=1,"n/a",INDEX(Rates_AllOther_New[Energy charge Block 2 '[c/kWh']],MATCH(BY$64,Rates_AllOther_New[Code],0)))</f>
        <v>#N/A</v>
      </c>
      <c r="BZ43" s="122" t="e">
        <f ca="1">IF(BZ$68=1,"n/a",INDEX(Rates_AllOther_New[Energy charge Block 2 '[c/kWh']],MATCH(BZ$64,Rates_AllOther_New[Code],0)))</f>
        <v>#N/A</v>
      </c>
      <c r="CA43" s="122" t="str">
        <f ca="1">IF(CA$68=1,"n/a",INDEX(Rates_AllOther_New[Energy charge Block 2 '[c/kWh']],MATCH(CA$64,Rates_AllOther_New[Code],0)))</f>
        <v>n/a</v>
      </c>
      <c r="CB43" s="122" t="str">
        <f ca="1">IF(CB$68=1,"n/a",INDEX(Rates_AllOther_New[Energy charge Block 2 '[c/kWh']],MATCH(CB$64,Rates_AllOther_New[Code],0)))</f>
        <v>n/a</v>
      </c>
      <c r="CC43" s="122" t="str">
        <f ca="1">IF(CC$68=1,"n/a",INDEX(Rates_AllOther_New[Energy charge Block 2 '[c/kWh']],MATCH(CC$64,Rates_AllOther_New[Code],0)))</f>
        <v>n/a</v>
      </c>
      <c r="CD43" s="122" t="str">
        <f ca="1">IF(CD$68=1,"n/a",INDEX(Rates_AllOther_New[Energy charge Block 2 '[c/kWh']],MATCH(CD$64,Rates_AllOther_New[Code],0)))</f>
        <v>n/a</v>
      </c>
      <c r="CE43" s="122" t="str">
        <f ca="1">IF(CE$68=1,"n/a",INDEX(Rates_AllOther_New[Energy charge Block 2 '[c/kWh']],MATCH(CE$64,Rates_AllOther_New[Code],0)))</f>
        <v>n/a</v>
      </c>
      <c r="CF43" s="122" t="str">
        <f ca="1">IF(CF$68=1,"n/a",INDEX(Rates_AllOther_New[Energy charge Block 2 '[c/kWh']],MATCH(CF$64,Rates_AllOther_New[Code],0)))</f>
        <v>n/a</v>
      </c>
    </row>
    <row r="44" spans="2:84" s="134" customFormat="1" ht="13.8">
      <c r="C44" s="134" t="s">
        <v>149</v>
      </c>
      <c r="D44" s="135" t="s">
        <v>115</v>
      </c>
      <c r="E44" s="136" t="str">
        <f t="shared" ca="1" si="17"/>
        <v>n/a</v>
      </c>
      <c r="F44" s="137" t="str">
        <f ca="1">IF(F$68=1,INDEX(Rates_Energy_Current[Low Demand],MATCH(F$62,Rates_Energy_Current[Code],0)),"n/a")</f>
        <v>n/a</v>
      </c>
      <c r="G44" s="137" t="str">
        <f ca="1">IF(G$68=1,INDEX(Rates_Energy_Current[Low Demand],MATCH(G$62,Rates_Energy_Current[Code],0)),"n/a")</f>
        <v>n/a</v>
      </c>
      <c r="H44" s="137" t="str">
        <f ca="1">IF(H$68=1,INDEX(Rates_Energy_Current[Low Demand],MATCH(H$62,Rates_Energy_Current[Code],0)),"n/a")</f>
        <v>n/a</v>
      </c>
      <c r="I44" s="137" t="str">
        <f ca="1">IF(I$68=1,INDEX(Rates_Energy_Current[Low Demand],MATCH(I$62,Rates_Energy_Current[Code],0)),"n/a")</f>
        <v>n/a</v>
      </c>
      <c r="J44" s="137" t="str">
        <f ca="1">IF(J$68=1,INDEX(Rates_Energy_Current[Low Demand],MATCH(J$62,Rates_Energy_Current[Code],0)),"n/a")</f>
        <v>n/a</v>
      </c>
      <c r="K44" s="137" t="str">
        <f ca="1">IF(K$68=1,INDEX(Rates_Energy_Current[Low Demand],MATCH(K$62,Rates_Energy_Current[Code],0)),"n/a")</f>
        <v>n/a</v>
      </c>
      <c r="L44" s="137" t="str">
        <f ca="1">IF(L$68=1,INDEX(Rates_Energy_Current[Low Demand],MATCH(L$62,Rates_Energy_Current[Code],0)),"n/a")</f>
        <v>n/a</v>
      </c>
      <c r="M44" s="137" t="str">
        <f ca="1">IF(M$68=1,INDEX(Rates_Energy_Current[Low Demand],MATCH(M$62,Rates_Energy_Current[Code],0)),"n/a")</f>
        <v>n/a</v>
      </c>
      <c r="N44" s="137" t="str">
        <f ca="1">IF(N$68=1,INDEX(Rates_Energy_Current[Low Demand],MATCH(N$62,Rates_Energy_Current[Code],0)),"n/a")</f>
        <v>n/a</v>
      </c>
      <c r="O44" s="137" t="str">
        <f ca="1">IF(O$68=1,INDEX(Rates_Energy_Current[Low Demand],MATCH(O$62,Rates_Energy_Current[Code],0)),"n/a")</f>
        <v>n/a</v>
      </c>
      <c r="P44" s="137" t="str">
        <f ca="1">IF(P$68=1,INDEX(Rates_Energy_Current[Low Demand],MATCH(P$62,Rates_Energy_Current[Code],0)),"n/a")</f>
        <v>n/a</v>
      </c>
      <c r="Q44" s="137" t="str">
        <f ca="1">IF(Q$68=1,INDEX(Rates_Energy_Current[Low Demand],MATCH(Q$62,Rates_Energy_Current[Code],0)),"n/a")</f>
        <v>n/a</v>
      </c>
      <c r="R44" s="137" t="str">
        <f ca="1">IF(R$68=1,INDEX(Rates_Energy_Current[Low Demand],MATCH(R$62,Rates_Energy_Current[Code],0)),"n/a")</f>
        <v>n/a</v>
      </c>
      <c r="S44" s="137" t="str">
        <f ca="1">IF(S$68=1,INDEX(Rates_Energy_Current[Low Demand],MATCH(S$62,Rates_Energy_Current[Code],0)),"n/a")</f>
        <v>n/a</v>
      </c>
      <c r="T44" s="137" t="str">
        <f ca="1">IF(T$68=1,INDEX(Rates_Energy_Current[Low Demand],MATCH(T$62,Rates_Energy_Current[Code],0)),"n/a")</f>
        <v>n/a</v>
      </c>
      <c r="U44" s="137" t="str">
        <f ca="1">IF(U$68=1,INDEX(Rates_Energy_Current[Low Demand],MATCH(U$62,Rates_Energy_Current[Code],0)),"n/a")</f>
        <v>n/a</v>
      </c>
      <c r="V44" s="137" t="str">
        <f ca="1">IF(V$68=1,INDEX(Rates_Energy_Current[Low Demand],MATCH(V$62,Rates_Energy_Current[Code],0)),"n/a")</f>
        <v>n/a</v>
      </c>
      <c r="W44" s="137" t="str">
        <f ca="1">IF(W$68=1,INDEX(Rates_Energy_Current[Low Demand],MATCH(W$62,Rates_Energy_Current[Code],0)),"n/a")</f>
        <v>n/a</v>
      </c>
      <c r="X44" s="137">
        <f ca="1">IF(X$68=1,INDEX(Rates_Energy_Current[Low Demand],MATCH(X$62,Rates_Energy_Current[Code],0)),"n/a")</f>
        <v>73.510000000000005</v>
      </c>
      <c r="Y44" s="137">
        <f ca="1">IF(Y$68=1,INDEX(Rates_Energy_Current[Low Demand],MATCH(Y$62,Rates_Energy_Current[Code],0)),"n/a")</f>
        <v>95.59</v>
      </c>
      <c r="Z44" s="137">
        <f ca="1">IF(Z$68=1,INDEX(Rates_Energy_Current[Low Demand],MATCH(Z$62,Rates_Energy_Current[Code],0)),"n/a")</f>
        <v>73.510000000000005</v>
      </c>
      <c r="AA44" s="137" t="str">
        <f ca="1">IF(AA$68=1,INDEX(Rates_Energy_Current[Low Demand],MATCH(AA$62,Rates_Energy_Current[Code],0)),"n/a")</f>
        <v>n/a</v>
      </c>
      <c r="AB44" s="137" t="str">
        <f ca="1">IF(AB$68=1,INDEX(Rates_Energy_Current[Low Demand],MATCH(AB$62,Rates_Energy_Current[Code],0)),"n/a")</f>
        <v>n/a</v>
      </c>
      <c r="AC44" s="137" t="str">
        <f ca="1">IF(AC$68=1,INDEX(Rates_Energy_Current[Low Demand],MATCH(AC$62,Rates_Energy_Current[Code],0)),"n/a")</f>
        <v>n/a</v>
      </c>
      <c r="AD44" s="137" t="str">
        <f ca="1">IF(AD$68=1,INDEX(Rates_Energy_Current[Low Demand],MATCH(AD$62,Rates_Energy_Current[Code],0)),"n/a")</f>
        <v>n/a</v>
      </c>
      <c r="AE44" s="137" t="str">
        <f ca="1">IF(AE$68=1,INDEX(Rates_Energy_Current[Low Demand],MATCH(AE$62,Rates_Energy_Current[Code],0)),"n/a")</f>
        <v>n/a</v>
      </c>
      <c r="AF44" s="137" t="str">
        <f ca="1">IF(AF$68=1,INDEX(Rates_Energy_Current[Low Demand],MATCH(AF$62,Rates_Energy_Current[Code],0)),"n/a")</f>
        <v>n/a</v>
      </c>
      <c r="AG44" s="137" t="e">
        <f ca="1">IF(AG$68=1,INDEX(Rates_Energy_Current[Low Demand],MATCH(AG$62,Rates_Energy_Current[Code],0)),"n/a")</f>
        <v>#N/A</v>
      </c>
      <c r="AH44" s="137" t="str">
        <f ca="1">IF(AH$68=1,INDEX(Rates_Energy_Current[Low Demand],MATCH(AH$62,Rates_Energy_Current[Code],0)),"n/a")</f>
        <v>n/a</v>
      </c>
      <c r="AI44" s="137" t="str">
        <f ca="1">IF(AI$68=1,INDEX(Rates_Energy_Current[Low Demand],MATCH(AI$62,Rates_Energy_Current[Code],0)),"n/a")</f>
        <v>n/a</v>
      </c>
      <c r="AJ44" s="137" t="str">
        <f ca="1">IF(AJ$68=1,INDEX(Rates_Energy_Current[Low Demand],MATCH(AJ$62,Rates_Energy_Current[Code],0)),"n/a")</f>
        <v>n/a</v>
      </c>
      <c r="AK44" s="137" t="str">
        <f ca="1">IF(AK$68=1,INDEX(Rates_Energy_Current[Low Demand],MATCH(AK$62,Rates_Energy_Current[Code],0)),"n/a")</f>
        <v>n/a</v>
      </c>
      <c r="AL44" s="137" t="str">
        <f ca="1">IF(AL$68=1,INDEX(Rates_Energy_Current[Supply Voltage],MATCH(AL$62,Rates_Energy_Current[Low - Standard],0)),"n/a")</f>
        <v>n/a</v>
      </c>
      <c r="AM44" s="137" t="str">
        <f ca="1">IF(AM$68=1,INDEX(Rates_Energy_Current[Code],MATCH(AM$62,Rates_Energy_Current[Low-Off Peak],0)),"n/a")</f>
        <v>n/a</v>
      </c>
      <c r="AN44" s="137" t="str">
        <f ca="1">IF(AN$68=1,INDEX(Rates_Energy_Current[Matrix Code],MATCH(AN$62,Rates_Energy_Current[High Charge],0)),"n/a")</f>
        <v>n/a</v>
      </c>
      <c r="AO44" s="137" t="str">
        <f ca="1">IF(AO$68=1,INDEX(Rates_Energy_Current[High - Peak],MATCH(AO$62,Rates_Energy_Current[Low Charge],0)),"n/a")</f>
        <v>n/a</v>
      </c>
      <c r="AP44" s="137" t="str">
        <f ca="1">IF(AP$68=1,INDEX(Rates_Energy_Current[Low Demand],MATCH(AP$62,Rates_Energy_Current[Code],0)),"n/a")</f>
        <v>n/a</v>
      </c>
      <c r="AQ44" s="137" t="str">
        <f ca="1">IF(AQ$68=1,INDEX(Rates_Energy_Current[Low Demand],MATCH(AQ$62,Rates_Energy_Current[Code],0)),"n/a")</f>
        <v>n/a</v>
      </c>
      <c r="AR44" s="137" t="str">
        <f ca="1">IF(AR$68=1,INDEX(Rates_Energy_Current[Low Demand],MATCH(AR$62,Rates_Energy_Current[Code],0)),"n/a")</f>
        <v>n/a</v>
      </c>
      <c r="AT44" s="136" t="str">
        <f t="shared" ca="1" si="18"/>
        <v>n/a</v>
      </c>
      <c r="AU44" s="137" t="str">
        <f ca="1">IF(AU$68=1,INDEX(Rates_Energy_New[Low Demand],MATCH(AU$62,Rates_Energy_New[Code],0)),"n/a")</f>
        <v>n/a</v>
      </c>
      <c r="AV44" s="137" t="str">
        <f ca="1">IF(AV$68=1,INDEX(Rates_Energy_New[Low Demand],MATCH(AV$62,Rates_Energy_New[Code],0)),"n/a")</f>
        <v>n/a</v>
      </c>
      <c r="AW44" s="137" t="str">
        <f ca="1">IF(AW$68=1,INDEX(Rates_Energy_New[Low Demand],MATCH(AW$62,Rates_Energy_New[Code],0)),"n/a")</f>
        <v>n/a</v>
      </c>
      <c r="AX44" s="137" t="str">
        <f ca="1">IF(AX$68=1,INDEX(Rates_Energy_New[Low Demand],MATCH(AX$62,Rates_Energy_New[Code],0)),"n/a")</f>
        <v>n/a</v>
      </c>
      <c r="AY44" s="137" t="str">
        <f ca="1">IF(AY$68=1,INDEX(Rates_Energy_New[Low Demand],MATCH(AY$62,Rates_Energy_New[Code],0)),"n/a")</f>
        <v>n/a</v>
      </c>
      <c r="AZ44" s="137" t="str">
        <f ca="1">IF(AZ$68=1,INDEX(Rates_Energy_New[Low Demand],MATCH(AZ$62,Rates_Energy_New[Code],0)),"n/a")</f>
        <v>n/a</v>
      </c>
      <c r="BA44" s="137" t="str">
        <f ca="1">IF(BA$68=1,INDEX(Rates_Energy_New[Low Demand],MATCH(BA$62,Rates_Energy_New[Code],0)),"n/a")</f>
        <v>n/a</v>
      </c>
      <c r="BB44" s="137" t="str">
        <f ca="1">IF(BB$68=1,INDEX(Rates_Energy_New[Low Demand],MATCH(BB$62,Rates_Energy_New[Code],0)),"n/a")</f>
        <v>n/a</v>
      </c>
      <c r="BC44" s="137" t="str">
        <f ca="1">IF(BC$68=1,INDEX(Rates_Energy_New[Low Demand],MATCH(BC$62,Rates_Energy_New[Code],0)),"n/a")</f>
        <v>n/a</v>
      </c>
      <c r="BD44" s="137" t="str">
        <f ca="1">IF(BD$68=1,INDEX(Rates_Energy_New[Low Demand],MATCH(BD$62,Rates_Energy_New[Code],0)),"n/a")</f>
        <v>n/a</v>
      </c>
      <c r="BE44" s="137" t="str">
        <f ca="1">IF(BE$68=1,INDEX(Rates_Energy_New[Low Demand],MATCH(BE$62,Rates_Energy_New[Code],0)),"n/a")</f>
        <v>n/a</v>
      </c>
      <c r="BF44" s="137" t="str">
        <f ca="1">IF(BF$68=1,INDEX(Rates_Energy_New[Low Demand],MATCH(BF$62,Rates_Energy_New[Code],0)),"n/a")</f>
        <v>n/a</v>
      </c>
      <c r="BG44" s="137" t="str">
        <f ca="1">IF(BG$68=1,INDEX(Rates_Energy_New[Low Demand],MATCH(BG$62,Rates_Energy_New[Code],0)),"n/a")</f>
        <v>n/a</v>
      </c>
      <c r="BH44" s="137" t="str">
        <f ca="1">IF(BH$68=1,INDEX(Rates_Energy_New[Low Demand],MATCH(BH$62,Rates_Energy_New[Code],0)),"n/a")</f>
        <v>n/a</v>
      </c>
      <c r="BI44" s="137" t="str">
        <f ca="1">IF(BI$68=1,INDEX(Rates_Energy_New[Low Demand],MATCH(BI$62,Rates_Energy_New[Code],0)),"n/a")</f>
        <v>n/a</v>
      </c>
      <c r="BJ44" s="137" t="str">
        <f ca="1">IF(BJ$68=1,INDEX(Rates_Energy_New[Low Demand],MATCH(BJ$62,Rates_Energy_New[Code],0)),"n/a")</f>
        <v>n/a</v>
      </c>
      <c r="BK44" s="137" t="str">
        <f ca="1">IF(BK$68=1,INDEX(Rates_Energy_New[Low Demand],MATCH(BK$62,Rates_Energy_New[Code],0)),"n/a")</f>
        <v>n/a</v>
      </c>
      <c r="BL44" s="137" t="str">
        <f ca="1">IF(BL$68=1,INDEX(Rates_Energy_New[Low Demand],MATCH(BL$62,Rates_Energy_New[Code],0)),"n/a")</f>
        <v>n/a</v>
      </c>
      <c r="BM44" s="137">
        <f ca="1">IF(BM$68=1,INDEX(Rates_Energy_New[Low Demand],MATCH(BM$62,Rates_Energy_New[Code],0)),"n/a")</f>
        <v>79.95</v>
      </c>
      <c r="BN44" s="137">
        <f ca="1">IF(BN$68=1,INDEX(Rates_Energy_New[Low Demand],MATCH(BN$62,Rates_Energy_New[Code],0)),"n/a")</f>
        <v>103.96</v>
      </c>
      <c r="BO44" s="137">
        <f ca="1">IF(BO$68=1,INDEX(Rates_Energy_New[Low Demand],MATCH(BO$62,Rates_Energy_New[Code],0)),"n/a")</f>
        <v>79.95</v>
      </c>
      <c r="BP44" s="137" t="str">
        <f ca="1">IF(BP$68=1,INDEX(Rates_Energy_New[Low Demand],MATCH(BP$62,Rates_Energy_New[Code],0)),"n/a")</f>
        <v>n/a</v>
      </c>
      <c r="BQ44" s="137" t="str">
        <f ca="1">IF(BQ$68=1,INDEX(Rates_Energy_New[Low Demand],MATCH(BQ$62,Rates_Energy_New[Code],0)),"n/a")</f>
        <v>n/a</v>
      </c>
      <c r="BR44" s="137" t="str">
        <f ca="1">IF(BR$68=1,INDEX(Rates_Energy_New[Low Demand],MATCH(BR$62,Rates_Energy_New[Code],0)),"n/a")</f>
        <v>n/a</v>
      </c>
      <c r="BS44" s="137" t="str">
        <f ca="1">IF(BS$68=1,INDEX(Rates_Energy_New[Low Demand],MATCH(BS$62,Rates_Energy_New[Code],0)),"n/a")</f>
        <v>n/a</v>
      </c>
      <c r="BT44" s="137" t="str">
        <f ca="1">IF(BT$68=1,INDEX(Rates_Energy_New[Low Demand],MATCH(BT$62,Rates_Energy_New[Code],0)),"n/a")</f>
        <v>n/a</v>
      </c>
      <c r="BU44" s="137" t="str">
        <f ca="1">IF(BU$68=1,INDEX(Rates_Energy_New[Low Demand],MATCH(BU$62,Rates_Energy_New[Code],0)),"n/a")</f>
        <v>n/a</v>
      </c>
      <c r="BV44" s="137" t="str">
        <f ca="1">IF(BV$68=1,INDEX(Rates_Energy_New[Low Demand],MATCH(BV$62,Rates_Energy_New[Code],0)),"n/a")</f>
        <v>n/a</v>
      </c>
      <c r="BW44" s="137" t="str">
        <f ca="1">IF(BW$68=1,INDEX(Rates_Energy_New[Low Demand],MATCH(BW$62,Rates_Energy_New[Code],0)),"n/a")</f>
        <v>n/a</v>
      </c>
      <c r="BX44" s="137" t="str">
        <f ca="1">IF(BX$68=1,INDEX(Rates_Energy_New[Low Demand],MATCH(BX$62,Rates_Energy_New[Code],0)),"n/a")</f>
        <v>n/a</v>
      </c>
      <c r="BY44" s="137" t="str">
        <f ca="1">IF(BY$68=1,INDEX(Rates_Energy_New[Low Demand],MATCH(BY$62,Rates_Energy_New[Code],0)),"n/a")</f>
        <v>n/a</v>
      </c>
      <c r="BZ44" s="137" t="str">
        <f ca="1">IF(BZ$68=1,INDEX(Rates_Energy_New[Low Demand],MATCH(BZ$62,Rates_Energy_New[Code],0)),"n/a")</f>
        <v>n/a</v>
      </c>
      <c r="CA44" s="137" t="str">
        <f ca="1">IF(CA$68=1,INDEX(Rates_Energy_New[Low Demand],MATCH(CA$62,Rates_Energy_New[Code],0)),"n/a")</f>
        <v>n/a</v>
      </c>
      <c r="CB44" s="137" t="str">
        <f ca="1">IF(CB$68=1,INDEX(Rates_Energy_New[Low Demand],MATCH(CB$62,Rates_Energy_New[Code],0)),"n/a")</f>
        <v>n/a</v>
      </c>
      <c r="CC44" s="137" t="str">
        <f ca="1">IF(CC$68=1,INDEX(Rates_Energy_New[Low Demand],MATCH(CC$62,Rates_Energy_New[Code],0)),"n/a")</f>
        <v>n/a</v>
      </c>
      <c r="CD44" s="137" t="str">
        <f ca="1">IF(CD$68=1,INDEX(Rates_Energy_New[Low Demand],MATCH(CD$62,Rates_Energy_New[Code],0)),"n/a")</f>
        <v>n/a</v>
      </c>
      <c r="CE44" s="137" t="str">
        <f ca="1">IF(CE$68=1,INDEX(Rates_Energy_New[Low Demand],MATCH(CE$62,Rates_Energy_New[Code],0)),"n/a")</f>
        <v>n/a</v>
      </c>
      <c r="CF44" s="137" t="str">
        <f ca="1">IF(CF$68=1,INDEX(Rates_Energy_New[Low Demand],MATCH(CF$62,Rates_Energy_New[Code],0)),"n/a")</f>
        <v>n/a</v>
      </c>
    </row>
    <row r="45" spans="2:84" s="134" customFormat="1" ht="13.8">
      <c r="C45" s="77" t="s">
        <v>507</v>
      </c>
      <c r="D45" s="135" t="s">
        <v>115</v>
      </c>
      <c r="E45" s="136">
        <f t="shared" ca="1" si="17"/>
        <v>3.49</v>
      </c>
      <c r="F45" s="286">
        <f ca="1">IF(F$68=1,INDEX(Rates_Energy_Current[Generation Capacity Charge],MATCH(F$62,Rates_Energy_Current[Code],0)),INDEX(Rates_AllOther_Current[Generation capacity charge '[R/POD/day']],MATCH(F$64,Rates_AllOther_Current[Code],0)))</f>
        <v>1.98</v>
      </c>
      <c r="G45" s="77">
        <f ca="1">IF(G$68=1,INDEX(Rates_Energy_Current[Generation Capacity Charge],MATCH(G$62,Rates_Energy_Current[Code],0)),INDEX(Rates_AllOther_Current[Generation capacity charge '[R/POD/day']],MATCH(G$64,Rates_AllOther_Current[Code],0)))</f>
        <v>2.95</v>
      </c>
      <c r="H45" s="77">
        <f ca="1">IF(H$68=1,INDEX(Rates_Energy_Current[Generation Capacity Charge],MATCH(H$62,Rates_Energy_Current[Code],0)),INDEX(Rates_AllOther_Current[Generation capacity charge '[R/POD/day']],MATCH(H$64,Rates_AllOther_Current[Code],0)))</f>
        <v>7.37</v>
      </c>
      <c r="I45" s="77">
        <f ca="1">IF(I$68=1,INDEX(Rates_Energy_Current[Generation Capacity Charge],MATCH(I$62,Rates_Energy_Current[Code],0)),INDEX(Rates_AllOther_Current[Generation capacity charge '[R/POD/day']],MATCH(I$64,Rates_AllOther_Current[Code],0)))</f>
        <v>0</v>
      </c>
      <c r="J45" s="77">
        <f ca="1">IF(J$68=1,INDEX(Rates_Energy_Current[Generation Capacity Charge],MATCH(J$62,Rates_Energy_Current[Code],0)),INDEX(Rates_AllOther_Current[Generation capacity charge '[R/POD/day']],MATCH(J$64,Rates_AllOther_Current[Code],0)))</f>
        <v>0</v>
      </c>
      <c r="K45" s="77">
        <f ca="1">IF(K$68=1,INDEX(Rates_Energy_Current[Generation Capacity Charge],MATCH(K$62,Rates_Energy_Current[Code],0)),INDEX(Rates_AllOther_Current[Generation capacity charge '[R/POD/day']],MATCH(K$64,Rates_AllOther_Current[Code],0)))</f>
        <v>0</v>
      </c>
      <c r="L45" s="77">
        <f ca="1">IF(L$68=1,INDEX(Rates_Energy_Current[Generation Capacity Charge],MATCH(L$62,Rates_Energy_Current[Code],0)),INDEX(Rates_AllOther_Current[Generation capacity charge '[R/POD/day']],MATCH(L$64,Rates_AllOther_Current[Code],0)))</f>
        <v>0.72</v>
      </c>
      <c r="M45" s="77">
        <f ca="1">IF(M$68=1,INDEX(Rates_Energy_Current[Generation Capacity Charge],MATCH(M$62,Rates_Energy_Current[Code],0)),INDEX(Rates_AllOther_Current[Generation capacity charge '[R/POD/day']],MATCH(M$64,Rates_AllOther_Current[Code],0)))</f>
        <v>1.27</v>
      </c>
      <c r="N45" s="77">
        <f ca="1">IF(N$68=1,INDEX(Rates_Energy_Current[Generation Capacity Charge],MATCH(N$62,Rates_Energy_Current[Code],0)),INDEX(Rates_AllOther_Current[Generation capacity charge '[R/POD/day']],MATCH(N$64,Rates_AllOther_Current[Code],0)))</f>
        <v>3.1</v>
      </c>
      <c r="O45" s="77">
        <f ca="1">IF(O$68=1,INDEX(Rates_Energy_Current[Generation Capacity Charge],MATCH(O$62,Rates_Energy_Current[Code],0)),INDEX(Rates_AllOther_Current[Generation capacity charge '[R/POD/day']],MATCH(O$64,Rates_AllOther_Current[Code],0)))</f>
        <v>0.47</v>
      </c>
      <c r="P45" s="77">
        <f ca="1">IF(P$68=1,INDEX(Rates_Energy_Current[Generation Capacity Charge],MATCH(P$62,Rates_Energy_Current[Code],0)),INDEX(Rates_AllOther_Current[Generation capacity charge '[R/POD/day']],MATCH(P$64,Rates_AllOther_Current[Code],0)))</f>
        <v>4.78</v>
      </c>
      <c r="Q45" s="77">
        <f ca="1">IF(Q$68=1,INDEX(Rates_Energy_Current[Generation Capacity Charge],MATCH(Q$62,Rates_Energy_Current[Code],0)),INDEX(Rates_AllOther_Current[Generation capacity charge '[R/POD/day']],MATCH(Q$64,Rates_AllOther_Current[Code],0)))</f>
        <v>2.71</v>
      </c>
      <c r="R45" s="77">
        <f ca="1">IF(R$68=1,INDEX(Rates_Energy_Current[Generation Capacity Charge],MATCH(R$62,Rates_Energy_Current[Code],0)),INDEX(Rates_AllOther_Current[Generation capacity charge '[R/POD/day']],MATCH(R$64,Rates_AllOther_Current[Code],0)))</f>
        <v>5.37</v>
      </c>
      <c r="S45" s="77">
        <f ca="1">IF(S$68=1,INDEX(Rates_Energy_Current[Generation Capacity Charge],MATCH(S$62,Rates_Energy_Current[Code],0)),INDEX(Rates_AllOther_Current[Generation capacity charge '[R/POD/day']],MATCH(S$64,Rates_AllOther_Current[Code],0)))</f>
        <v>10.5</v>
      </c>
      <c r="T45" s="77">
        <f ca="1">IF(T$68=1,INDEX(Rates_Energy_Current[Generation Capacity Charge],MATCH(T$62,Rates_Energy_Current[Code],0)),INDEX(Rates_AllOther_Current[Generation capacity charge '[R/POD/day']],MATCH(T$64,Rates_AllOther_Current[Code],0)))</f>
        <v>1.78</v>
      </c>
      <c r="U45" s="77">
        <f ca="1">IF(U$68=1,INDEX(Rates_Energy_Current[Generation Capacity Charge],MATCH(U$62,Rates_Energy_Current[Code],0)),INDEX(Rates_AllOther_Current[Generation capacity charge '[R/POD/day']],MATCH(U$64,Rates_AllOther_Current[Code],0)))</f>
        <v>0</v>
      </c>
      <c r="V45" s="77">
        <f ca="1">IF(V$68=1,INDEX(Rates_Energy_Current[Generation Capacity Charge],MATCH(V$62,Rates_Energy_Current[Code],0)),INDEX(Rates_AllOther_Current[Generation capacity charge '[R/POD/day']],MATCH(V$64,Rates_AllOther_Current[Code],0)))</f>
        <v>3.49</v>
      </c>
      <c r="W45" s="77">
        <f ca="1">IF(W$68=1,INDEX(Rates_Energy_Current[Generation Capacity Charge],MATCH(W$62,Rates_Energy_Current[Code],0)),INDEX(Rates_AllOther_Current[Generation capacity charge '[R/POD/day']],MATCH(W$64,Rates_AllOther_Current[Code],0)))</f>
        <v>3.49</v>
      </c>
      <c r="X45" s="77">
        <f ca="1">IF(X$68=1,INDEX(Rates_Energy_Current[Generation Capacity Charge],MATCH(X$62,Rates_Energy_Current[Code],0)),INDEX(Rates_AllOther_Current[Generation capacity charge '[R/POD/day']],MATCH(X$64,Rates_AllOther_Current[Code],0)))</f>
        <v>3.49</v>
      </c>
      <c r="Y45" s="77">
        <f ca="1">IF(Y$68=1,INDEX(Rates_Energy_Current[Generation Capacity Charge],MATCH(Y$62,Rates_Energy_Current[Code],0)),INDEX(Rates_AllOther_Current[Generation capacity charge '[R/POD/day']],MATCH(Y$64,Rates_AllOther_Current[Code],0)))</f>
        <v>3.34</v>
      </c>
      <c r="Z45" s="77">
        <f ca="1">IF(Z$68=1,INDEX(Rates_Energy_Current[Generation Capacity Charge],MATCH(Z$62,Rates_Energy_Current[Code],0)),INDEX(Rates_AllOther_Current[Generation capacity charge '[R/POD/day']],MATCH(Z$64,Rates_AllOther_Current[Code],0)))</f>
        <v>3.49</v>
      </c>
      <c r="AA45" s="77">
        <f ca="1">IF(AA$68=1,INDEX(Rates_Energy_Current[Generation Capacity Charge],MATCH(AA$62,Rates_Energy_Current[Code],0)),INDEX(Rates_AllOther_Current[Generation capacity charge '[R/POD/day']],MATCH(AA$64,Rates_AllOther_Current[Code],0)))</f>
        <v>3.34</v>
      </c>
      <c r="AB45" s="77">
        <f ca="1">IF(AB$68=1,INDEX(Rates_Energy_Current[Generation Capacity Charge],MATCH(AB$62,Rates_Energy_Current[Code],0)),INDEX(Rates_AllOther_Current[Generation capacity charge '[R/POD/day']],MATCH(AB$64,Rates_AllOther_Current[Code],0)))</f>
        <v>0</v>
      </c>
      <c r="AC45" s="77">
        <f ca="1">IF(AC$68=1,INDEX(Rates_Energy_Current[Generation Capacity Charge],MATCH(AC$62,Rates_Energy_Current[Code],0)),INDEX(Rates_AllOther_Current[Generation capacity charge '[R/POD/day']],MATCH(AC$64,Rates_AllOther_Current[Code],0)))</f>
        <v>0</v>
      </c>
      <c r="AD45" s="77">
        <f ca="1">IF(AD$68=1,INDEX(Rates_Energy_Current[Generation Capacity Charge],MATCH(AD$62,Rates_Energy_Current[Code],0)),INDEX(Rates_AllOther_Current[Generation capacity charge '[R/POD/day']],MATCH(AD$64,Rates_AllOther_Current[Code],0)))</f>
        <v>0</v>
      </c>
      <c r="AE45" s="77">
        <f ca="1">IF(AE$68=1,INDEX(Rates_Energy_Current[Generation Capacity Charge],MATCH(AE$62,Rates_Energy_Current[Code],0)),INDEX(Rates_AllOther_Current[Generation capacity charge '[R/POD/day']],MATCH(AE$64,Rates_AllOther_Current[Code],0)))</f>
        <v>0</v>
      </c>
      <c r="AF45" s="77">
        <f ca="1">IF(AF$68=1,INDEX(Rates_Energy_Current[Generation Capacity Charge],MATCH(AF$62,Rates_Energy_Current[Code],0)),INDEX(Rates_AllOther_Current[Generation capacity charge '[R/POD/day']],MATCH(AF$64,Rates_AllOther_Current[Code],0)))</f>
        <v>0</v>
      </c>
      <c r="AG45" s="77" t="e">
        <f ca="1">IF(AG$68=1,INDEX(Rates_Energy_Current[Generation Capacity Charge],MATCH(AG$62,Rates_Energy_Current[Code],0)),INDEX(Rates_AllOther_Current[Generation capacity charge '[R/POD/day']],MATCH(AG$64,Rates_AllOther_Current[Code],0)))</f>
        <v>#N/A</v>
      </c>
      <c r="AH45" s="77" t="e">
        <f ca="1">IF(AH$68=1,INDEX(Rates_Energy_Current[Generation Capacity Charge],MATCH(AH$62,Rates_Energy_Current[Code],0)),INDEX(Rates_AllOther_Current[Generation capacity charge '[R/POD/day']],MATCH(AH$64,Rates_AllOther_Current[Code],0)))</f>
        <v>#N/A</v>
      </c>
      <c r="AI45" s="77" t="e">
        <f ca="1">IF(AI$68=1,INDEX(Rates_Energy_Current[Generation Capacity Charge],MATCH(AI$62,Rates_Energy_Current[Code],0)),INDEX(Rates_AllOther_Current[Generation capacity charge '[R/POD/day']],MATCH(AI$64,Rates_AllOther_Current[Code],0)))</f>
        <v>#N/A</v>
      </c>
      <c r="AJ45" s="77" t="e">
        <f ca="1">IF(AJ$68=1,INDEX(Rates_Energy_Current[Generation Capacity Charge],MATCH(AJ$62,Rates_Energy_Current[Code],0)),INDEX(Rates_AllOther_Current[Generation capacity charge '[R/POD/day']],MATCH(AJ$64,Rates_AllOther_Current[Code],0)))</f>
        <v>#N/A</v>
      </c>
      <c r="AK45" s="77" t="e">
        <f ca="1">IF(AK$68=1,INDEX(Rates_Energy_Current[Generation Capacity Charge],MATCH(AK$62,Rates_Energy_Current[Code],0)),INDEX(Rates_AllOther_Current[Generation capacity charge '[R/POD/day']],MATCH(AK$64,Rates_AllOther_Current[Code],0)))</f>
        <v>#N/A</v>
      </c>
      <c r="AL45" s="77">
        <f ca="1">IF(AL$68=1,INDEX(Rates_Energy_Current[Generation Capacity Charge],MATCH(AL$62,Rates_Energy_Current[Code],0)),INDEX(Rates_AllOther_Current[Generation capacity charge '[R/POD/day']],MATCH(AL$64,Rates_AllOther_Current[Code],0)))</f>
        <v>0.72</v>
      </c>
      <c r="AM45" s="77">
        <f ca="1">IF(AM$68=1,INDEX(Rates_Energy_Current[Generation Capacity Charge],MATCH(AM$62,Rates_Energy_Current[Code],0)),INDEX(Rates_AllOther_Current[Generation capacity charge '[R/POD/day']],MATCH(AM$64,Rates_AllOther_Current[Code],0)))</f>
        <v>1.27</v>
      </c>
      <c r="AN45" s="77">
        <f ca="1">IF(AN$68=1,INDEX(Rates_Energy_Current[Generation Capacity Charge],MATCH(AN$62,Rates_Energy_Current[Code],0)),INDEX(Rates_AllOther_Current[Generation capacity charge '[R/POD/day']],MATCH(AN$64,Rates_AllOther_Current[Code],0)))</f>
        <v>3.1</v>
      </c>
      <c r="AO45" s="77">
        <f ca="1">IF(AO$68=1,INDEX(Rates_Energy_Current[Generation Capacity Charge],MATCH(AO$62,Rates_Energy_Current[Code],0)),INDEX(Rates_AllOther_Current[Generation capacity charge '[R/POD/day']],MATCH(AO$64,Rates_AllOther_Current[Code],0)))</f>
        <v>0.47</v>
      </c>
      <c r="AP45" s="77">
        <f ca="1">IF(AP$68=1,INDEX(Rates_Energy_Current[Generation Capacity Charge],MATCH(AP$62,Rates_Energy_Current[Code],0)),INDEX(Rates_AllOther_Current[Generation capacity charge '[R/POD/day']],MATCH(AP$64,Rates_AllOther_Current[Code],0)))</f>
        <v>1376.74</v>
      </c>
      <c r="AQ45" s="77">
        <f ca="1">IF(AQ$68=1,INDEX(Rates_Energy_Current[Generation Capacity Charge],MATCH(AQ$62,Rates_Energy_Current[Code],0)),INDEX(Rates_AllOther_Current[Generation capacity charge '[R/POD/day']],MATCH(AQ$64,Rates_AllOther_Current[Code],0)))</f>
        <v>1332.88</v>
      </c>
      <c r="AR45" s="77" t="e">
        <f ca="1">IF(AR$68=1,INDEX(Rates_Energy_Current[Generation Capacity Charge],MATCH(AR$62,Rates_Energy_Current[Code],0)),INDEX(Rates_AllOther_Current[Generation capacity charge '[R/POD/day']],MATCH(AR$64,Rates_AllOther_Current[Code],0)))</f>
        <v>#N/A</v>
      </c>
      <c r="AS45" s="77"/>
      <c r="AT45" s="136">
        <f t="shared" ca="1" si="18"/>
        <v>5.29</v>
      </c>
      <c r="AU45" s="137">
        <f ca="1">IF(AU$68=1,INDEX(Rates_Energy_New[Generation Capacity Charge],MATCH(AU$62,Rates_Energy_New[Code],0)),INDEX(Rates_AllOther_New[Generation capacity charge '[R/POD/day']],MATCH(AU$64,Rates_AllOther_New[Code],0)))</f>
        <v>3</v>
      </c>
      <c r="AV45" s="137">
        <f ca="1">IF(AV$68=1,INDEX(Rates_Energy_New[Generation Capacity Charge],MATCH(AV$62,Rates_Energy_New[Code],0)),INDEX(Rates_AllOther_New[Generation capacity charge '[R/POD/day']],MATCH(AV$64,Rates_AllOther_New[Code],0)))</f>
        <v>4.4800000000000004</v>
      </c>
      <c r="AW45" s="137">
        <f ca="1">IF(AW$68=1,INDEX(Rates_Energy_New[Generation Capacity Charge],MATCH(AW$62,Rates_Energy_New[Code],0)),INDEX(Rates_AllOther_New[Generation capacity charge '[R/POD/day']],MATCH(AW$64,Rates_AllOther_New[Code],0)))</f>
        <v>11.18</v>
      </c>
      <c r="AX45" s="137">
        <f ca="1">IF(AX$68=1,INDEX(Rates_Energy_New[Generation Capacity Charge],MATCH(AX$62,Rates_Energy_New[Code],0)),INDEX(Rates_AllOther_New[Generation capacity charge '[R/POD/day']],MATCH(AX$64,Rates_AllOther_New[Code],0)))</f>
        <v>0</v>
      </c>
      <c r="AY45" s="137">
        <f ca="1">IF(AY$68=1,INDEX(Rates_Energy_New[Generation Capacity Charge],MATCH(AY$62,Rates_Energy_New[Code],0)),INDEX(Rates_AllOther_New[Generation capacity charge '[R/POD/day']],MATCH(AY$64,Rates_AllOther_New[Code],0)))</f>
        <v>0</v>
      </c>
      <c r="AZ45" s="137">
        <f ca="1">IF(AZ$68=1,INDEX(Rates_Energy_New[Generation Capacity Charge],MATCH(AZ$62,Rates_Energy_New[Code],0)),INDEX(Rates_AllOther_New[Generation capacity charge '[R/POD/day']],MATCH(AZ$64,Rates_AllOther_New[Code],0)))</f>
        <v>0</v>
      </c>
      <c r="BA45" s="137">
        <f ca="1">IF(BA$68=1,INDEX(Rates_Energy_New[Generation Capacity Charge],MATCH(BA$62,Rates_Energy_New[Code],0)),INDEX(Rates_AllOther_New[Generation capacity charge '[R/POD/day']],MATCH(BA$64,Rates_AllOther_New[Code],0)))</f>
        <v>1.0900000000000001</v>
      </c>
      <c r="BB45" s="137">
        <f ca="1">IF(BB$68=1,INDEX(Rates_Energy_New[Generation Capacity Charge],MATCH(BB$62,Rates_Energy_New[Code],0)),INDEX(Rates_AllOther_New[Generation capacity charge '[R/POD/day']],MATCH(BB$64,Rates_AllOther_New[Code],0)))</f>
        <v>1.93</v>
      </c>
      <c r="BC45" s="137">
        <f ca="1">IF(BC$68=1,INDEX(Rates_Energy_New[Generation Capacity Charge],MATCH(BC$62,Rates_Energy_New[Code],0)),INDEX(Rates_AllOther_New[Generation capacity charge '[R/POD/day']],MATCH(BC$64,Rates_AllOther_New[Code],0)))</f>
        <v>4.7</v>
      </c>
      <c r="BD45" s="137">
        <f ca="1">IF(BD$68=1,INDEX(Rates_Energy_New[Generation Capacity Charge],MATCH(BD$62,Rates_Energy_New[Code],0)),INDEX(Rates_AllOther_New[Generation capacity charge '[R/POD/day']],MATCH(BD$64,Rates_AllOther_New[Code],0)))</f>
        <v>0.71</v>
      </c>
      <c r="BE45" s="137">
        <f ca="1">IF(BE$68=1,INDEX(Rates_Energy_New[Generation Capacity Charge],MATCH(BE$62,Rates_Energy_New[Code],0)),INDEX(Rates_AllOther_New[Generation capacity charge '[R/POD/day']],MATCH(BE$64,Rates_AllOther_New[Code],0)))</f>
        <v>7.25</v>
      </c>
      <c r="BF45" s="137">
        <f ca="1">IF(BF$68=1,INDEX(Rates_Energy_New[Generation Capacity Charge],MATCH(BF$62,Rates_Energy_New[Code],0)),INDEX(Rates_AllOther_New[Generation capacity charge '[R/POD/day']],MATCH(BF$64,Rates_AllOther_New[Code],0)))</f>
        <v>4.1100000000000003</v>
      </c>
      <c r="BG45" s="137">
        <f ca="1">IF(BG$68=1,INDEX(Rates_Energy_New[Generation Capacity Charge],MATCH(BG$62,Rates_Energy_New[Code],0)),INDEX(Rates_AllOther_New[Generation capacity charge '[R/POD/day']],MATCH(BG$64,Rates_AllOther_New[Code],0)))</f>
        <v>8.15</v>
      </c>
      <c r="BH45" s="137">
        <f ca="1">IF(BH$68=1,INDEX(Rates_Energy_New[Generation Capacity Charge],MATCH(BH$62,Rates_Energy_New[Code],0)),INDEX(Rates_AllOther_New[Generation capacity charge '[R/POD/day']],MATCH(BH$64,Rates_AllOther_New[Code],0)))</f>
        <v>15.93</v>
      </c>
      <c r="BI45" s="137">
        <f ca="1">IF(BI$68=1,INDEX(Rates_Energy_New[Generation Capacity Charge],MATCH(BI$62,Rates_Energy_New[Code],0)),INDEX(Rates_AllOther_New[Generation capacity charge '[R/POD/day']],MATCH(BI$64,Rates_AllOther_New[Code],0)))</f>
        <v>2.7</v>
      </c>
      <c r="BJ45" s="137">
        <f ca="1">IF(BJ$68=1,INDEX(Rates_Energy_New[Generation Capacity Charge],MATCH(BJ$62,Rates_Energy_New[Code],0)),INDEX(Rates_AllOther_New[Generation capacity charge '[R/POD/day']],MATCH(BJ$64,Rates_AllOther_New[Code],0)))</f>
        <v>0</v>
      </c>
      <c r="BK45" s="137">
        <f ca="1">IF(BK$68=1,INDEX(Rates_Energy_New[Generation Capacity Charge],MATCH(BK$62,Rates_Energy_New[Code],0)),INDEX(Rates_AllOther_New[Generation capacity charge '[R/POD/day']],MATCH(BK$64,Rates_AllOther_New[Code],0)))</f>
        <v>5.29</v>
      </c>
      <c r="BL45" s="137">
        <f ca="1">IF(BL$68=1,INDEX(Rates_Energy_New[Generation Capacity Charge],MATCH(BL$62,Rates_Energy_New[Code],0)),INDEX(Rates_AllOther_New[Generation capacity charge '[R/POD/day']],MATCH(BL$64,Rates_AllOther_New[Code],0)))</f>
        <v>5.29</v>
      </c>
      <c r="BM45" s="137">
        <f ca="1">IF(BM$68=1,INDEX(Rates_Energy_New[Generation Capacity Charge],MATCH(BM$62,Rates_Energy_New[Code],0)),INDEX(Rates_AllOther_New[Generation capacity charge '[R/POD/day']],MATCH(BM$64,Rates_AllOther_New[Code],0)))</f>
        <v>5.29</v>
      </c>
      <c r="BN45" s="137">
        <f ca="1">IF(BN$68=1,INDEX(Rates_Energy_New[Generation Capacity Charge],MATCH(BN$62,Rates_Energy_New[Code],0)),INDEX(Rates_AllOther_New[Generation capacity charge '[R/POD/day']],MATCH(BN$64,Rates_AllOther_New[Code],0)))</f>
        <v>5.07</v>
      </c>
      <c r="BO45" s="137">
        <f ca="1">IF(BO$68=1,INDEX(Rates_Energy_New[Generation Capacity Charge],MATCH(BO$62,Rates_Energy_New[Code],0)),INDEX(Rates_AllOther_New[Generation capacity charge '[R/POD/day']],MATCH(BO$64,Rates_AllOther_New[Code],0)))</f>
        <v>5.29</v>
      </c>
      <c r="BP45" s="137">
        <f ca="1">IF(BP$68=1,INDEX(Rates_Energy_New[Generation Capacity Charge],MATCH(BP$62,Rates_Energy_New[Code],0)),INDEX(Rates_AllOther_New[Generation capacity charge '[R/POD/day']],MATCH(BP$64,Rates_AllOther_New[Code],0)))</f>
        <v>5.07</v>
      </c>
      <c r="BQ45" s="137">
        <f ca="1">IF(BQ$68=1,INDEX(Rates_Energy_New[Generation Capacity Charge],MATCH(BQ$62,Rates_Energy_New[Code],0)),INDEX(Rates_AllOther_New[Generation capacity charge '[R/POD/day']],MATCH(BQ$64,Rates_AllOther_New[Code],0)))</f>
        <v>0</v>
      </c>
      <c r="BR45" s="137">
        <f ca="1">IF(BR$68=1,INDEX(Rates_Energy_New[Generation Capacity Charge],MATCH(BR$62,Rates_Energy_New[Code],0)),INDEX(Rates_AllOther_New[Generation capacity charge '[R/POD/day']],MATCH(BR$64,Rates_AllOther_New[Code],0)))</f>
        <v>0</v>
      </c>
      <c r="BS45" s="137">
        <f ca="1">IF(BS$68=1,INDEX(Rates_Energy_New[Generation Capacity Charge],MATCH(BS$62,Rates_Energy_New[Code],0)),INDEX(Rates_AllOther_New[Generation capacity charge '[R/POD/day']],MATCH(BS$64,Rates_AllOther_New[Code],0)))</f>
        <v>0</v>
      </c>
      <c r="BT45" s="137">
        <f ca="1">IF(BT$68=1,INDEX(Rates_Energy_New[Generation Capacity Charge],MATCH(BT$62,Rates_Energy_New[Code],0)),INDEX(Rates_AllOther_New[Generation capacity charge '[R/POD/day']],MATCH(BT$64,Rates_AllOther_New[Code],0)))</f>
        <v>0</v>
      </c>
      <c r="BU45" s="137">
        <f ca="1">IF(BU$68=1,INDEX(Rates_Energy_New[Generation Capacity Charge],MATCH(BU$62,Rates_Energy_New[Code],0)),INDEX(Rates_AllOther_New[Generation capacity charge '[R/POD/day']],MATCH(BU$64,Rates_AllOther_New[Code],0)))</f>
        <v>0</v>
      </c>
      <c r="BV45" s="137" t="str">
        <f ca="1">IF(BV$68=1,INDEX(Rates_Energy_New[Generation Capacity Charge],MATCH(BV$62,Rates_Energy_New[Code],0)),INDEX(Rates_AllOther_New[Generation capacity charge '[R/POD/day']],MATCH(BV$64,Rates_AllOther_New[Code],0)))</f>
        <v>n/a</v>
      </c>
      <c r="BW45" s="137" t="e">
        <f ca="1">IF(BW$68=1,INDEX(Rates_Energy_New[Generation Capacity Charge],MATCH(BW$62,Rates_Energy_New[Code],0)),INDEX(Rates_AllOther_New[Generation capacity charge '[R/POD/day']],MATCH(BW$64,Rates_AllOther_New[Code],0)))</f>
        <v>#N/A</v>
      </c>
      <c r="BX45" s="137" t="e">
        <f ca="1">IF(BX$68=1,INDEX(Rates_Energy_New[Generation Capacity Charge],MATCH(BX$62,Rates_Energy_New[Code],0)),INDEX(Rates_AllOther_New[Generation capacity charge '[R/POD/day']],MATCH(BX$64,Rates_AllOther_New[Code],0)))</f>
        <v>#N/A</v>
      </c>
      <c r="BY45" s="137" t="e">
        <f ca="1">IF(BY$68=1,INDEX(Rates_Energy_New[Generation Capacity Charge],MATCH(BY$62,Rates_Energy_New[Code],0)),INDEX(Rates_AllOther_New[Generation capacity charge '[R/POD/day']],MATCH(BY$64,Rates_AllOther_New[Code],0)))</f>
        <v>#N/A</v>
      </c>
      <c r="BZ45" s="137" t="e">
        <f ca="1">IF(BZ$68=1,INDEX(Rates_Energy_New[Generation Capacity Charge],MATCH(BZ$62,Rates_Energy_New[Code],0)),INDEX(Rates_AllOther_New[Generation capacity charge '[R/POD/day']],MATCH(BZ$64,Rates_AllOther_New[Code],0)))</f>
        <v>#N/A</v>
      </c>
      <c r="CA45" s="137">
        <f ca="1">IF(CA$68=1,INDEX(Rates_Energy_New[Generation Capacity Charge],MATCH(CA$62,Rates_Energy_New[Code],0)),INDEX(Rates_AllOther_New[Generation capacity charge '[R/POD/day']],MATCH(CA$64,Rates_AllOther_New[Code],0)))</f>
        <v>1.0900000000000001</v>
      </c>
      <c r="CB45" s="137">
        <f ca="1">IF(CB$68=1,INDEX(Rates_Energy_New[Generation Capacity Charge],MATCH(CB$62,Rates_Energy_New[Code],0)),INDEX(Rates_AllOther_New[Generation capacity charge '[R/POD/day']],MATCH(CB$64,Rates_AllOther_New[Code],0)))</f>
        <v>1.93</v>
      </c>
      <c r="CC45" s="137">
        <f ca="1">IF(CC$68=1,INDEX(Rates_Energy_New[Generation Capacity Charge],MATCH(CC$62,Rates_Energy_New[Code],0)),INDEX(Rates_AllOther_New[Generation capacity charge '[R/POD/day']],MATCH(CC$64,Rates_AllOther_New[Code],0)))</f>
        <v>4.7</v>
      </c>
      <c r="CD45" s="137">
        <f ca="1">IF(CD$68=1,INDEX(Rates_Energy_New[Generation Capacity Charge],MATCH(CD$62,Rates_Energy_New[Code],0)),INDEX(Rates_AllOther_New[Generation capacity charge '[R/POD/day']],MATCH(CD$64,Rates_AllOther_New[Code],0)))</f>
        <v>0.71</v>
      </c>
      <c r="CE45" s="137">
        <f ca="1">IF(CE$68=1,INDEX(Rates_Energy_New[Generation Capacity Charge],MATCH(CE$62,Rates_Energy_New[Code],0)),INDEX(Rates_AllOther_New[Generation capacity charge '[R/POD/day']],MATCH(CE$64,Rates_AllOther_New[Code],0)))</f>
        <v>2088.4899999999998</v>
      </c>
      <c r="CF45" s="137">
        <f ca="1">IF(CF$68=1,INDEX(Rates_Energy_New[Generation Capacity Charge],MATCH(CF$62,Rates_Energy_New[Code],0)),INDEX(Rates_AllOther_New[Generation capacity charge '[R/POD/day']],MATCH(CF$64,Rates_AllOther_New[Code],0)))</f>
        <v>2021.95</v>
      </c>
    </row>
    <row r="46" spans="2:84" s="134" customFormat="1" ht="13.8">
      <c r="C46" s="134" t="s">
        <v>533</v>
      </c>
      <c r="D46" s="135" t="s">
        <v>106</v>
      </c>
      <c r="E46" s="136">
        <f t="shared" ca="1" si="17"/>
        <v>22.78</v>
      </c>
      <c r="F46" s="137">
        <f ca="1">IF(F$68=1,INDEX(Rates_Energy_Current[Legacy charge],MATCH(F$62,Rates_Energy_Current[Code],0)),INDEX(Rates_AllOther_Current[Legacy charge '[c/kWh']],MATCH(F$64,Rates_AllOther_Current[Code],0)))</f>
        <v>0</v>
      </c>
      <c r="G46" s="137">
        <f ca="1">IF(G$68=1,INDEX(Rates_Energy_Current[Legacy charge],MATCH(G$62,Rates_Energy_Current[Code],0)),INDEX(Rates_AllOther_Current[Legacy charge '[c/kWh']],MATCH(G$64,Rates_AllOther_Current[Code],0)))</f>
        <v>0</v>
      </c>
      <c r="H46" s="137">
        <f ca="1">IF(H$68=1,INDEX(Rates_Energy_Current[Legacy charge],MATCH(H$62,Rates_Energy_Current[Code],0)),INDEX(Rates_AllOther_Current[Legacy charge '[c/kWh']],MATCH(H$64,Rates_AllOther_Current[Code],0)))</f>
        <v>0</v>
      </c>
      <c r="I46" s="137">
        <f ca="1">IF(I$68=1,INDEX(Rates_Energy_Current[Legacy charge],MATCH(I$62,Rates_Energy_Current[Code],0)),INDEX(Rates_AllOther_Current[Legacy charge '[c/kWh']],MATCH(I$64,Rates_AllOther_Current[Code],0)))</f>
        <v>0</v>
      </c>
      <c r="J46" s="137">
        <f ca="1">IF(J$68=1,INDEX(Rates_Energy_Current[Legacy charge],MATCH(J$62,Rates_Energy_Current[Code],0)),INDEX(Rates_AllOther_Current[Legacy charge '[c/kWh']],MATCH(J$64,Rates_AllOther_Current[Code],0)))</f>
        <v>0</v>
      </c>
      <c r="K46" s="137">
        <f ca="1">IF(K$68=1,INDEX(Rates_Energy_Current[Legacy charge],MATCH(K$62,Rates_Energy_Current[Code],0)),INDEX(Rates_AllOther_Current[Legacy charge '[c/kWh']],MATCH(K$64,Rates_AllOther_Current[Code],0)))</f>
        <v>0</v>
      </c>
      <c r="L46" s="137">
        <f ca="1">IF(L$68=1,INDEX(Rates_Energy_Current[Legacy charge],MATCH(L$62,Rates_Energy_Current[Code],0)),INDEX(Rates_AllOther_Current[Legacy charge '[c/kWh']],MATCH(L$64,Rates_AllOther_Current[Code],0)))</f>
        <v>0</v>
      </c>
      <c r="M46" s="137">
        <f ca="1">IF(M$68=1,INDEX(Rates_Energy_Current[Legacy charge],MATCH(M$62,Rates_Energy_Current[Code],0)),INDEX(Rates_AllOther_Current[Legacy charge '[c/kWh']],MATCH(M$64,Rates_AllOther_Current[Code],0)))</f>
        <v>0</v>
      </c>
      <c r="N46" s="137">
        <f ca="1">IF(N$68=1,INDEX(Rates_Energy_Current[Legacy charge],MATCH(N$62,Rates_Energy_Current[Code],0)),INDEX(Rates_AllOther_Current[Legacy charge '[c/kWh']],MATCH(N$64,Rates_AllOther_Current[Code],0)))</f>
        <v>0</v>
      </c>
      <c r="O46" s="137">
        <f ca="1">IF(O$68=1,INDEX(Rates_Energy_Current[Legacy charge],MATCH(O$62,Rates_Energy_Current[Code],0)),INDEX(Rates_AllOther_Current[Legacy charge '[c/kWh']],MATCH(O$64,Rates_AllOther_Current[Code],0)))</f>
        <v>0</v>
      </c>
      <c r="P46" s="137">
        <f ca="1">IF(P$68=1,INDEX(Rates_Energy_Current[Legacy charge],MATCH(P$62,Rates_Energy_Current[Code],0)),INDEX(Rates_AllOther_Current[Legacy charge '[c/kWh']],MATCH(P$64,Rates_AllOther_Current[Code],0)))</f>
        <v>0</v>
      </c>
      <c r="Q46" s="137">
        <f ca="1">IF(Q$68=1,INDEX(Rates_Energy_Current[Legacy charge],MATCH(Q$62,Rates_Energy_Current[Code],0)),INDEX(Rates_AllOther_Current[Legacy charge '[c/kWh']],MATCH(Q$64,Rates_AllOther_Current[Code],0)))</f>
        <v>0</v>
      </c>
      <c r="R46" s="137">
        <f ca="1">IF(R$68=1,INDEX(Rates_Energy_Current[Legacy charge],MATCH(R$62,Rates_Energy_Current[Code],0)),INDEX(Rates_AllOther_Current[Legacy charge '[c/kWh']],MATCH(R$64,Rates_AllOther_Current[Code],0)))</f>
        <v>0</v>
      </c>
      <c r="S46" s="137">
        <f ca="1">IF(S$68=1,INDEX(Rates_Energy_Current[Legacy charge],MATCH(S$62,Rates_Energy_Current[Code],0)),INDEX(Rates_AllOther_Current[Legacy charge '[c/kWh']],MATCH(S$64,Rates_AllOther_Current[Code],0)))</f>
        <v>0</v>
      </c>
      <c r="T46" s="137">
        <f ca="1">IF(T$68=1,INDEX(Rates_Energy_Current[Legacy charge],MATCH(T$62,Rates_Energy_Current[Code],0)),INDEX(Rates_AllOther_Current[Legacy charge '[c/kWh']],MATCH(T$64,Rates_AllOther_Current[Code],0)))</f>
        <v>0</v>
      </c>
      <c r="U46" s="137">
        <f ca="1">IF(U$68=1,INDEX(Rates_Energy_Current[Legacy charge],MATCH(U$62,Rates_Energy_Current[Code],0)),INDEX(Rates_AllOther_Current[Legacy charge '[c/kWh']],MATCH(U$64,Rates_AllOther_Current[Code],0)))</f>
        <v>0</v>
      </c>
      <c r="V46" s="137">
        <f ca="1">IF(V$68=1,INDEX(Rates_Energy_Current[Legacy charge],MATCH(V$62,Rates_Energy_Current[Code],0)),INDEX(Rates_AllOther_Current[Legacy charge '[c/kWh']],MATCH(V$64,Rates_AllOther_Current[Code],0)))</f>
        <v>22.78</v>
      </c>
      <c r="W46" s="137">
        <f ca="1">IF(W$68=1,INDEX(Rates_Energy_Current[Legacy charge],MATCH(W$62,Rates_Energy_Current[Code],0)),INDEX(Rates_AllOther_Current[Legacy charge '[c/kWh']],MATCH(W$64,Rates_AllOther_Current[Code],0)))</f>
        <v>22.78</v>
      </c>
      <c r="X46" s="137">
        <f ca="1">IF(X$68=1,INDEX(Rates_Energy_Current[Legacy charge],MATCH(X$62,Rates_Energy_Current[Code],0)),INDEX(Rates_AllOther_Current[Legacy charge '[c/kWh']],MATCH(X$64,Rates_AllOther_Current[Code],0)))</f>
        <v>22.78</v>
      </c>
      <c r="Y46" s="137">
        <f ca="1">IF(Y$68=1,INDEX(Rates_Energy_Current[Legacy charge],MATCH(Y$62,Rates_Energy_Current[Code],0)),INDEX(Rates_AllOther_Current[Legacy charge '[c/kWh']],MATCH(Y$64,Rates_AllOther_Current[Code],0)))</f>
        <v>23</v>
      </c>
      <c r="Z46" s="137" t="str">
        <f ca="1">IF(Z$68=1,INDEX(Rates_Energy_Current[Legacy charge],MATCH(Z$62,Rates_Energy_Current[Code],0)),INDEX(Rates_AllOther_Current[Legacy charge '[c/kWh']],MATCH(Z$64,Rates_AllOther_Current[Code],0)))</f>
        <v>n/a</v>
      </c>
      <c r="AA46" s="137">
        <f ca="1">IF(AA$68=1,INDEX(Rates_Energy_Current[Legacy charge],MATCH(AA$62,Rates_Energy_Current[Code],0)),INDEX(Rates_AllOther_Current[Legacy charge '[c/kWh']],MATCH(AA$64,Rates_AllOther_Current[Code],0)))</f>
        <v>23</v>
      </c>
      <c r="AB46" s="137">
        <f ca="1">IF(AB$68=1,INDEX(Rates_Energy_Current[Legacy charge],MATCH(AB$62,Rates_Energy_Current[Code],0)),INDEX(Rates_AllOther_Current[Legacy charge '[c/kWh']],MATCH(AB$64,Rates_AllOther_Current[Code],0)))</f>
        <v>0</v>
      </c>
      <c r="AC46" s="137">
        <f ca="1">IF(AC$68=1,INDEX(Rates_Energy_Current[Legacy charge],MATCH(AC$62,Rates_Energy_Current[Code],0)),INDEX(Rates_AllOther_Current[Legacy charge '[c/kWh']],MATCH(AC$64,Rates_AllOther_Current[Code],0)))</f>
        <v>0</v>
      </c>
      <c r="AD46" s="137">
        <f ca="1">IF(AD$68=1,INDEX(Rates_Energy_Current[Legacy charge],MATCH(AD$62,Rates_Energy_Current[Code],0)),INDEX(Rates_AllOther_Current[Legacy charge '[c/kWh']],MATCH(AD$64,Rates_AllOther_Current[Code],0)))</f>
        <v>0</v>
      </c>
      <c r="AE46" s="137">
        <f ca="1">IF(AE$68=1,INDEX(Rates_Energy_Current[Legacy charge],MATCH(AE$62,Rates_Energy_Current[Code],0)),INDEX(Rates_AllOther_Current[Legacy charge '[c/kWh']],MATCH(AE$64,Rates_AllOther_Current[Code],0)))</f>
        <v>0</v>
      </c>
      <c r="AF46" s="137">
        <f ca="1">IF(AF$68=1,INDEX(Rates_Energy_Current[Legacy charge],MATCH(AF$62,Rates_Energy_Current[Code],0)),INDEX(Rates_AllOther_Current[Legacy charge '[c/kWh']],MATCH(AF$64,Rates_AllOther_Current[Code],0)))</f>
        <v>0</v>
      </c>
      <c r="AG46" s="137" t="e">
        <f ca="1">IF(AG$68=1,INDEX(Rates_Energy_Current[Legacy charge],MATCH(AG$62,Rates_Energy_Current[Code],0)),INDEX(Rates_AllOther_Current[Legacy charge '[c/kWh']],MATCH(AG$64,Rates_AllOther_Current[Code],0)))</f>
        <v>#N/A</v>
      </c>
      <c r="AH46" s="137" t="e">
        <f ca="1">IF(AH$68=1,INDEX(Rates_Energy_Current[Legacy charge],MATCH(AH$62,Rates_Energy_Current[Code],0)),INDEX(Rates_AllOther_Current[Legacy charge '[c/kWh']],MATCH(AH$64,Rates_AllOther_Current[Code],0)))</f>
        <v>#N/A</v>
      </c>
      <c r="AI46" s="137" t="e">
        <f ca="1">IF(AI$68=1,INDEX(Rates_Energy_Current[Legacy charge],MATCH(AI$62,Rates_Energy_Current[Code],0)),INDEX(Rates_AllOther_Current[Legacy charge '[c/kWh']],MATCH(AI$64,Rates_AllOther_Current[Code],0)))</f>
        <v>#N/A</v>
      </c>
      <c r="AJ46" s="137" t="e">
        <f ca="1">IF(AJ$68=1,INDEX(Rates_Energy_Current[Legacy charge],MATCH(AJ$62,Rates_Energy_Current[Code],0)),INDEX(Rates_AllOther_Current[Legacy charge '[c/kWh']],MATCH(AJ$64,Rates_AllOther_Current[Code],0)))</f>
        <v>#N/A</v>
      </c>
      <c r="AK46" s="137" t="e">
        <f ca="1">IF(AK$68=1,INDEX(Rates_Energy_Current[Legacy charge],MATCH(AK$62,Rates_Energy_Current[Code],0)),INDEX(Rates_AllOther_Current[Legacy charge '[c/kWh']],MATCH(AK$64,Rates_AllOther_Current[Code],0)))</f>
        <v>#N/A</v>
      </c>
      <c r="AL46" s="137">
        <f ca="1">IF(AL$68=1,INDEX(Rates_Energy_Current[Legacy charge],MATCH(AL$62,Rates_Energy_Current[Code],0)),INDEX(Rates_AllOther_Current[Legacy charge '[c/kWh']],MATCH(AL$64,Rates_AllOther_Current[Code],0)))</f>
        <v>22.78</v>
      </c>
      <c r="AM46" s="137">
        <f ca="1">IF(AM$68=1,INDEX(Rates_Energy_Current[Legacy charge],MATCH(AM$62,Rates_Energy_Current[Code],0)),INDEX(Rates_AllOther_Current[Legacy charge '[c/kWh']],MATCH(AM$64,Rates_AllOther_Current[Code],0)))</f>
        <v>22.78</v>
      </c>
      <c r="AN46" s="137">
        <f ca="1">IF(AN$68=1,INDEX(Rates_Energy_Current[Legacy charge],MATCH(AN$62,Rates_Energy_Current[Code],0)),INDEX(Rates_AllOther_Current[Legacy charge '[c/kWh']],MATCH(AN$64,Rates_AllOther_Current[Code],0)))</f>
        <v>22.78</v>
      </c>
      <c r="AO46" s="137">
        <f ca="1">IF(AO$68=1,INDEX(Rates_Energy_Current[Legacy charge],MATCH(AO$62,Rates_Energy_Current[Code],0)),INDEX(Rates_AllOther_Current[Legacy charge '[c/kWh']],MATCH(AO$64,Rates_AllOther_Current[Code],0)))</f>
        <v>22.78</v>
      </c>
      <c r="AP46" s="137">
        <f ca="1">IF(AP$68=1,INDEX(Rates_Energy_Current[Legacy charge],MATCH(AP$62,Rates_Energy_Current[Code],0)),INDEX(Rates_AllOther_Current[Legacy charge '[c/kWh']],MATCH(AP$64,Rates_AllOther_Current[Code],0)))</f>
        <v>22.78</v>
      </c>
      <c r="AQ46" s="137">
        <f ca="1">IF(AQ$68=1,INDEX(Rates_Energy_Current[Legacy charge],MATCH(AQ$62,Rates_Energy_Current[Code],0)),INDEX(Rates_AllOther_Current[Legacy charge '[c/kWh']],MATCH(AQ$64,Rates_AllOther_Current[Code],0)))</f>
        <v>22.78</v>
      </c>
      <c r="AR46" s="137" t="e">
        <f ca="1">IF(AR$68=1,INDEX(Rates_Energy_Current[Legacy charge],MATCH(AR$62,Rates_Energy_Current[Code],0)),INDEX(Rates_AllOther_Current[Legacy charge '[c/kWh']],MATCH(AR$64,Rates_AllOther_Current[Code],0)))</f>
        <v>#N/A</v>
      </c>
      <c r="AT46" s="136">
        <f t="shared" ca="1" si="18"/>
        <v>24.78</v>
      </c>
      <c r="AU46" s="137" t="str">
        <f ca="1">IF(AU$68=1,INDEX(Rates_Energy_New[Legacy charge],MATCH(AU$62,Rates_Energy_New[Code],0)),INDEX(Rates_AllOther_New[Legacy charge '[c/kWh']],MATCH(AU$64,Rates_AllOther_New[Code],0)))</f>
        <v>n/a</v>
      </c>
      <c r="AV46" s="137" t="str">
        <f ca="1">IF(AV$68=1,INDEX(Rates_Energy_New[Legacy charge],MATCH(AV$62,Rates_Energy_New[Code],0)),INDEX(Rates_AllOther_New[Legacy charge '[c/kWh']],MATCH(AV$64,Rates_AllOther_New[Code],0)))</f>
        <v>n/a</v>
      </c>
      <c r="AW46" s="137" t="str">
        <f ca="1">IF(AW$68=1,INDEX(Rates_Energy_New[Legacy charge],MATCH(AW$62,Rates_Energy_New[Code],0)),INDEX(Rates_AllOther_New[Legacy charge '[c/kWh']],MATCH(AW$64,Rates_AllOther_New[Code],0)))</f>
        <v>n/a</v>
      </c>
      <c r="AX46" s="137" t="str">
        <f ca="1">IF(AX$68=1,INDEX(Rates_Energy_New[Legacy charge],MATCH(AX$62,Rates_Energy_New[Code],0)),INDEX(Rates_AllOther_New[Legacy charge '[c/kWh']],MATCH(AX$64,Rates_AllOther_New[Code],0)))</f>
        <v>n/a</v>
      </c>
      <c r="AY46" s="137" t="str">
        <f ca="1">IF(AY$68=1,INDEX(Rates_Energy_New[Legacy charge],MATCH(AY$62,Rates_Energy_New[Code],0)),INDEX(Rates_AllOther_New[Legacy charge '[c/kWh']],MATCH(AY$64,Rates_AllOther_New[Code],0)))</f>
        <v>n/a</v>
      </c>
      <c r="AZ46" s="137" t="str">
        <f ca="1">IF(AZ$68=1,INDEX(Rates_Energy_New[Legacy charge],MATCH(AZ$62,Rates_Energy_New[Code],0)),INDEX(Rates_AllOther_New[Legacy charge '[c/kWh']],MATCH(AZ$64,Rates_AllOther_New[Code],0)))</f>
        <v>n/a</v>
      </c>
      <c r="BA46" s="137" t="str">
        <f ca="1">IF(BA$68=1,INDEX(Rates_Energy_New[Legacy charge],MATCH(BA$62,Rates_Energy_New[Code],0)),INDEX(Rates_AllOther_New[Legacy charge '[c/kWh']],MATCH(BA$64,Rates_AllOther_New[Code],0)))</f>
        <v>n/a</v>
      </c>
      <c r="BB46" s="137" t="str">
        <f ca="1">IF(BB$68=1,INDEX(Rates_Energy_New[Legacy charge],MATCH(BB$62,Rates_Energy_New[Code],0)),INDEX(Rates_AllOther_New[Legacy charge '[c/kWh']],MATCH(BB$64,Rates_AllOther_New[Code],0)))</f>
        <v>n/a</v>
      </c>
      <c r="BC46" s="137" t="str">
        <f ca="1">IF(BC$68=1,INDEX(Rates_Energy_New[Legacy charge],MATCH(BC$62,Rates_Energy_New[Code],0)),INDEX(Rates_AllOther_New[Legacy charge '[c/kWh']],MATCH(BC$64,Rates_AllOther_New[Code],0)))</f>
        <v>n/a</v>
      </c>
      <c r="BD46" s="137" t="str">
        <f ca="1">IF(BD$68=1,INDEX(Rates_Energy_New[Legacy charge],MATCH(BD$62,Rates_Energy_New[Code],0)),INDEX(Rates_AllOther_New[Legacy charge '[c/kWh']],MATCH(BD$64,Rates_AllOther_New[Code],0)))</f>
        <v>n/a</v>
      </c>
      <c r="BE46" s="137" t="str">
        <f ca="1">IF(BE$68=1,INDEX(Rates_Energy_New[Legacy charge],MATCH(BE$62,Rates_Energy_New[Code],0)),INDEX(Rates_AllOther_New[Legacy charge '[c/kWh']],MATCH(BE$64,Rates_AllOther_New[Code],0)))</f>
        <v>n/a</v>
      </c>
      <c r="BF46" s="137" t="str">
        <f ca="1">IF(BF$68=1,INDEX(Rates_Energy_New[Legacy charge],MATCH(BF$62,Rates_Energy_New[Code],0)),INDEX(Rates_AllOther_New[Legacy charge '[c/kWh']],MATCH(BF$64,Rates_AllOther_New[Code],0)))</f>
        <v>n/a</v>
      </c>
      <c r="BG46" s="137" t="str">
        <f ca="1">IF(BG$68=1,INDEX(Rates_Energy_New[Legacy charge],MATCH(BG$62,Rates_Energy_New[Code],0)),INDEX(Rates_AllOther_New[Legacy charge '[c/kWh']],MATCH(BG$64,Rates_AllOther_New[Code],0)))</f>
        <v>n/a</v>
      </c>
      <c r="BH46" s="137" t="str">
        <f ca="1">IF(BH$68=1,INDEX(Rates_Energy_New[Legacy charge],MATCH(BH$62,Rates_Energy_New[Code],0)),INDEX(Rates_AllOther_New[Legacy charge '[c/kWh']],MATCH(BH$64,Rates_AllOther_New[Code],0)))</f>
        <v>n/a</v>
      </c>
      <c r="BI46" s="137" t="str">
        <f ca="1">IF(BI$68=1,INDEX(Rates_Energy_New[Legacy charge],MATCH(BI$62,Rates_Energy_New[Code],0)),INDEX(Rates_AllOther_New[Legacy charge '[c/kWh']],MATCH(BI$64,Rates_AllOther_New[Code],0)))</f>
        <v>n/a</v>
      </c>
      <c r="BJ46" s="137" t="str">
        <f ca="1">IF(BJ$68=1,INDEX(Rates_Energy_New[Legacy charge],MATCH(BJ$62,Rates_Energy_New[Code],0)),INDEX(Rates_AllOther_New[Legacy charge '[c/kWh']],MATCH(BJ$64,Rates_AllOther_New[Code],0)))</f>
        <v>n/a</v>
      </c>
      <c r="BK46" s="137">
        <f ca="1">IF(BK$68=1,INDEX(Rates_Energy_New[Legacy charge],MATCH(BK$62,Rates_Energy_New[Code],0)),INDEX(Rates_AllOther_New[Legacy charge '[c/kWh']],MATCH(BK$64,Rates_AllOther_New[Code],0)))</f>
        <v>24.78</v>
      </c>
      <c r="BL46" s="137">
        <f ca="1">IF(BL$68=1,INDEX(Rates_Energy_New[Legacy charge],MATCH(BL$62,Rates_Energy_New[Code],0)),INDEX(Rates_AllOther_New[Legacy charge '[c/kWh']],MATCH(BL$64,Rates_AllOther_New[Code],0)))</f>
        <v>24.78</v>
      </c>
      <c r="BM46" s="137">
        <f ca="1">IF(BM$68=1,INDEX(Rates_Energy_New[Legacy charge],MATCH(BM$62,Rates_Energy_New[Code],0)),INDEX(Rates_AllOther_New[Legacy charge '[c/kWh']],MATCH(BM$64,Rates_AllOther_New[Code],0)))</f>
        <v>24.78</v>
      </c>
      <c r="BN46" s="137">
        <f ca="1">IF(BN$68=1,INDEX(Rates_Energy_New[Legacy charge],MATCH(BN$62,Rates_Energy_New[Code],0)),INDEX(Rates_AllOther_New[Legacy charge '[c/kWh']],MATCH(BN$64,Rates_AllOther_New[Code],0)))</f>
        <v>25.01</v>
      </c>
      <c r="BO46" s="137">
        <f ca="1">IF(BO$68=1,INDEX(Rates_Energy_New[Legacy charge],MATCH(BO$62,Rates_Energy_New[Code],0)),INDEX(Rates_AllOther_New[Legacy charge '[c/kWh']],MATCH(BO$64,Rates_AllOther_New[Code],0)))</f>
        <v>24.78</v>
      </c>
      <c r="BP46" s="137">
        <f ca="1">IF(BP$68=1,INDEX(Rates_Energy_New[Legacy charge],MATCH(BP$62,Rates_Energy_New[Code],0)),INDEX(Rates_AllOther_New[Legacy charge '[c/kWh']],MATCH(BP$64,Rates_AllOther_New[Code],0)))</f>
        <v>25.01</v>
      </c>
      <c r="BQ46" s="137" t="str">
        <f ca="1">IF(BQ$68=1,INDEX(Rates_Energy_New[Legacy charge],MATCH(BQ$62,Rates_Energy_New[Code],0)),INDEX(Rates_AllOther_New[Legacy charge '[c/kWh']],MATCH(BQ$64,Rates_AllOther_New[Code],0)))</f>
        <v>n/a</v>
      </c>
      <c r="BR46" s="137" t="str">
        <f ca="1">IF(BR$68=1,INDEX(Rates_Energy_New[Legacy charge],MATCH(BR$62,Rates_Energy_New[Code],0)),INDEX(Rates_AllOther_New[Legacy charge '[c/kWh']],MATCH(BR$64,Rates_AllOther_New[Code],0)))</f>
        <v>n/a</v>
      </c>
      <c r="BS46" s="137" t="str">
        <f ca="1">IF(BS$68=1,INDEX(Rates_Energy_New[Legacy charge],MATCH(BS$62,Rates_Energy_New[Code],0)),INDEX(Rates_AllOther_New[Legacy charge '[c/kWh']],MATCH(BS$64,Rates_AllOther_New[Code],0)))</f>
        <v>n/a</v>
      </c>
      <c r="BT46" s="137" t="str">
        <f ca="1">IF(BT$68=1,INDEX(Rates_Energy_New[Legacy charge],MATCH(BT$62,Rates_Energy_New[Code],0)),INDEX(Rates_AllOther_New[Legacy charge '[c/kWh']],MATCH(BT$64,Rates_AllOther_New[Code],0)))</f>
        <v>n/a</v>
      </c>
      <c r="BU46" s="137" t="str">
        <f ca="1">IF(BU$68=1,INDEX(Rates_Energy_New[Legacy charge],MATCH(BU$62,Rates_Energy_New[Code],0)),INDEX(Rates_AllOther_New[Legacy charge '[c/kWh']],MATCH(BU$64,Rates_AllOther_New[Code],0)))</f>
        <v>n/a</v>
      </c>
      <c r="BV46" s="137" t="str">
        <f ca="1">IF(BV$68=1,INDEX(Rates_Energy_New[Legacy charge],MATCH(BV$62,Rates_Energy_New[Code],0)),INDEX(Rates_AllOther_New[Legacy charge '[c/kWh']],MATCH(BV$64,Rates_AllOther_New[Code],0)))</f>
        <v>n/a</v>
      </c>
      <c r="BW46" s="137" t="e">
        <f ca="1">IF(BW$68=1,INDEX(Rates_Energy_New[Legacy charge],MATCH(BW$62,Rates_Energy_New[Code],0)),INDEX(Rates_AllOther_New[Legacy charge '[c/kWh']],MATCH(BW$64,Rates_AllOther_New[Code],0)))</f>
        <v>#N/A</v>
      </c>
      <c r="BX46" s="137" t="e">
        <f ca="1">IF(BX$68=1,INDEX(Rates_Energy_New[Legacy charge],MATCH(BX$62,Rates_Energy_New[Code],0)),INDEX(Rates_AllOther_New[Legacy charge '[c/kWh']],MATCH(BX$64,Rates_AllOther_New[Code],0)))</f>
        <v>#N/A</v>
      </c>
      <c r="BY46" s="137" t="e">
        <f ca="1">IF(BY$68=1,INDEX(Rates_Energy_New[Legacy charge],MATCH(BY$62,Rates_Energy_New[Code],0)),INDEX(Rates_AllOther_New[Legacy charge '[c/kWh']],MATCH(BY$64,Rates_AllOther_New[Code],0)))</f>
        <v>#N/A</v>
      </c>
      <c r="BZ46" s="137" t="e">
        <f ca="1">IF(BZ$68=1,INDEX(Rates_Energy_New[Legacy charge],MATCH(BZ$62,Rates_Energy_New[Code],0)),INDEX(Rates_AllOther_New[Legacy charge '[c/kWh']],MATCH(BZ$64,Rates_AllOther_New[Code],0)))</f>
        <v>#N/A</v>
      </c>
      <c r="CA46" s="137">
        <f ca="1">IF(CA$68=1,INDEX(Rates_Energy_New[Legacy charge],MATCH(CA$62,Rates_Energy_New[Code],0)),INDEX(Rates_AllOther_New[Legacy charge '[c/kWh']],MATCH(CA$64,Rates_AllOther_New[Code],0)))</f>
        <v>24.78</v>
      </c>
      <c r="CB46" s="137">
        <f ca="1">IF(CB$68=1,INDEX(Rates_Energy_New[Legacy charge],MATCH(CB$62,Rates_Energy_New[Code],0)),INDEX(Rates_AllOther_New[Legacy charge '[c/kWh']],MATCH(CB$64,Rates_AllOther_New[Code],0)))</f>
        <v>24.78</v>
      </c>
      <c r="CC46" s="137">
        <f ca="1">IF(CC$68=1,INDEX(Rates_Energy_New[Legacy charge],MATCH(CC$62,Rates_Energy_New[Code],0)),INDEX(Rates_AllOther_New[Legacy charge '[c/kWh']],MATCH(CC$64,Rates_AllOther_New[Code],0)))</f>
        <v>24.78</v>
      </c>
      <c r="CD46" s="137">
        <f ca="1">IF(CD$68=1,INDEX(Rates_Energy_New[Legacy charge],MATCH(CD$62,Rates_Energy_New[Code],0)),INDEX(Rates_AllOther_New[Legacy charge '[c/kWh']],MATCH(CD$64,Rates_AllOther_New[Code],0)))</f>
        <v>24.78</v>
      </c>
      <c r="CE46" s="137">
        <f ca="1">IF(CE$68=1,INDEX(Rates_Energy_New[Legacy charge],MATCH(CE$62,Rates_Energy_New[Code],0)),INDEX(Rates_AllOther_New[Legacy charge '[c/kWh']],MATCH(CE$64,Rates_AllOther_New[Code],0)))</f>
        <v>24.78</v>
      </c>
      <c r="CF46" s="137">
        <f ca="1">IF(CF$68=1,INDEX(Rates_Energy_New[Legacy charge],MATCH(CF$62,Rates_Energy_New[Code],0)),INDEX(Rates_AllOther_New[Legacy charge '[c/kWh']],MATCH(CF$64,Rates_AllOther_New[Code],0)))</f>
        <v>24.78</v>
      </c>
    </row>
    <row r="47" spans="2:84" s="77" customFormat="1" ht="12" customHeight="1">
      <c r="E47" s="136"/>
    </row>
    <row r="48" spans="2:84" s="77" customFormat="1" ht="13.8">
      <c r="B48" s="119" t="s">
        <v>123</v>
      </c>
      <c r="C48" s="119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20"/>
      <c r="AF48" s="120"/>
      <c r="AG48" s="120"/>
      <c r="AH48" s="120"/>
      <c r="AI48" s="120"/>
      <c r="AJ48" s="120"/>
      <c r="AK48" s="120"/>
      <c r="AL48" s="120"/>
      <c r="AM48" s="120"/>
      <c r="AN48" s="120"/>
      <c r="AO48" s="120"/>
      <c r="AP48" s="120"/>
      <c r="AQ48" s="120"/>
      <c r="AR48" s="120"/>
      <c r="AT48" s="120"/>
      <c r="AU48" s="120"/>
      <c r="AV48" s="120"/>
      <c r="AW48" s="120"/>
      <c r="AX48" s="120"/>
      <c r="AY48" s="120"/>
      <c r="AZ48" s="120"/>
      <c r="BA48" s="120"/>
      <c r="BB48" s="120"/>
      <c r="BC48" s="120"/>
      <c r="BD48" s="120"/>
      <c r="BE48" s="120"/>
      <c r="BF48" s="120"/>
      <c r="BG48" s="120"/>
      <c r="BH48" s="120"/>
      <c r="BI48" s="120"/>
      <c r="BJ48" s="120"/>
      <c r="BK48" s="120"/>
      <c r="BL48" s="120"/>
      <c r="BM48" s="120"/>
      <c r="BN48" s="120"/>
      <c r="BO48" s="120"/>
      <c r="BP48" s="120"/>
      <c r="BQ48" s="120"/>
      <c r="BR48" s="120"/>
      <c r="BS48" s="120"/>
      <c r="BT48" s="120"/>
      <c r="BU48" s="120"/>
      <c r="BV48" s="120"/>
      <c r="BW48" s="120"/>
      <c r="BX48" s="120"/>
      <c r="BY48" s="120"/>
      <c r="BZ48" s="120"/>
      <c r="CA48" s="120"/>
      <c r="CB48" s="120"/>
      <c r="CC48" s="120"/>
      <c r="CD48" s="120"/>
      <c r="CE48" s="120"/>
      <c r="CF48" s="120"/>
    </row>
    <row r="49" spans="2:84" s="77" customFormat="1" ht="13.8"/>
    <row r="50" spans="2:84" s="77" customFormat="1" ht="40.049999999999997" customHeight="1">
      <c r="B50" s="115" t="s">
        <v>142</v>
      </c>
      <c r="C50" s="115"/>
      <c r="D50" s="116" t="s">
        <v>110</v>
      </c>
      <c r="E50" s="116" t="str">
        <f>E$8</f>
        <v>2025/26 Rates</v>
      </c>
      <c r="F50" s="116" t="str">
        <f t="shared" ref="F50:AR50" si="19">F$8</f>
        <v>2025/26 Rates</v>
      </c>
      <c r="G50" s="116" t="str">
        <f t="shared" si="19"/>
        <v>2025/26 Rates</v>
      </c>
      <c r="H50" s="116" t="str">
        <f t="shared" si="19"/>
        <v>2025/26 Rates</v>
      </c>
      <c r="I50" s="116" t="str">
        <f t="shared" si="19"/>
        <v>2025/26 Rates</v>
      </c>
      <c r="J50" s="116" t="str">
        <f t="shared" si="19"/>
        <v>2025/26 Rates</v>
      </c>
      <c r="K50" s="116" t="str">
        <f t="shared" si="19"/>
        <v>2025/26 Rates</v>
      </c>
      <c r="L50" s="116" t="str">
        <f t="shared" si="19"/>
        <v>2025/26 Rates</v>
      </c>
      <c r="M50" s="116" t="str">
        <f t="shared" si="19"/>
        <v>2025/26 Rates</v>
      </c>
      <c r="N50" s="116" t="str">
        <f t="shared" si="19"/>
        <v>2025/26 Rates</v>
      </c>
      <c r="O50" s="116" t="str">
        <f t="shared" si="19"/>
        <v>2025/26 Rates</v>
      </c>
      <c r="P50" s="116" t="str">
        <f t="shared" si="19"/>
        <v>2025/26 Rates</v>
      </c>
      <c r="Q50" s="116" t="str">
        <f t="shared" si="19"/>
        <v>2025/26 Rates</v>
      </c>
      <c r="R50" s="116" t="str">
        <f t="shared" si="19"/>
        <v>2025/26 Rates</v>
      </c>
      <c r="S50" s="116" t="str">
        <f t="shared" si="19"/>
        <v>2025/26 Rates</v>
      </c>
      <c r="T50" s="116" t="str">
        <f t="shared" si="19"/>
        <v>2025/26 Rates</v>
      </c>
      <c r="U50" s="116" t="str">
        <f t="shared" si="19"/>
        <v>2025/26 Rates</v>
      </c>
      <c r="V50" s="116" t="str">
        <f t="shared" si="19"/>
        <v>2025/26 Rates</v>
      </c>
      <c r="W50" s="116" t="str">
        <f t="shared" si="19"/>
        <v>2025/26 Rates</v>
      </c>
      <c r="X50" s="116" t="str">
        <f t="shared" si="19"/>
        <v>2025/26 Rates</v>
      </c>
      <c r="Y50" s="116" t="str">
        <f t="shared" si="19"/>
        <v>2025/26 Rates</v>
      </c>
      <c r="Z50" s="116" t="str">
        <f t="shared" si="19"/>
        <v>2025/26 Rates</v>
      </c>
      <c r="AA50" s="116" t="str">
        <f t="shared" si="19"/>
        <v>2025/26 Rates</v>
      </c>
      <c r="AB50" s="116" t="str">
        <f t="shared" si="19"/>
        <v>2025/26 Rates</v>
      </c>
      <c r="AC50" s="116" t="str">
        <f t="shared" si="19"/>
        <v>2025/26 Rates</v>
      </c>
      <c r="AD50" s="116" t="str">
        <f t="shared" si="19"/>
        <v>2025/26 Rates</v>
      </c>
      <c r="AE50" s="116" t="str">
        <f t="shared" si="19"/>
        <v>2025/26 Rates</v>
      </c>
      <c r="AF50" s="116" t="str">
        <f t="shared" si="19"/>
        <v>2025/26 Rates</v>
      </c>
      <c r="AG50" s="116" t="str">
        <f t="shared" si="19"/>
        <v>2025/26 Rates</v>
      </c>
      <c r="AH50" s="116" t="str">
        <f t="shared" si="19"/>
        <v>2025/26 Rates</v>
      </c>
      <c r="AI50" s="116" t="str">
        <f t="shared" si="19"/>
        <v>2025/26 Rates</v>
      </c>
      <c r="AJ50" s="116" t="str">
        <f t="shared" si="19"/>
        <v>2025/26 Rates</v>
      </c>
      <c r="AK50" s="116" t="str">
        <f t="shared" si="19"/>
        <v>2025/26 Rates</v>
      </c>
      <c r="AL50" s="116" t="str">
        <f t="shared" si="19"/>
        <v>2025/26 Rates</v>
      </c>
      <c r="AM50" s="116" t="str">
        <f t="shared" si="19"/>
        <v>2025/26 Rates</v>
      </c>
      <c r="AN50" s="116" t="str">
        <f t="shared" si="19"/>
        <v>2025/26 Rates</v>
      </c>
      <c r="AO50" s="116" t="str">
        <f t="shared" si="19"/>
        <v>2025/26 Rates</v>
      </c>
      <c r="AP50" s="116" t="str">
        <f t="shared" si="19"/>
        <v>2025/26 Rates</v>
      </c>
      <c r="AQ50" s="116" t="str">
        <f t="shared" si="19"/>
        <v>2025/26 Rates</v>
      </c>
      <c r="AR50" s="116" t="str">
        <f t="shared" si="19"/>
        <v>2025/26 Rates</v>
      </c>
      <c r="AT50" s="116" t="str">
        <f>AT$8</f>
        <v>2026/27 Rates</v>
      </c>
      <c r="AU50" s="116" t="str">
        <f t="shared" ref="AU50:CF50" si="20">AU$8</f>
        <v>2026/27 Rates</v>
      </c>
      <c r="AV50" s="116" t="str">
        <f t="shared" si="20"/>
        <v>2026/27 Rates</v>
      </c>
      <c r="AW50" s="116" t="str">
        <f t="shared" si="20"/>
        <v>2026/27 Rates</v>
      </c>
      <c r="AX50" s="116" t="str">
        <f t="shared" si="20"/>
        <v>2026/27 Rates</v>
      </c>
      <c r="AY50" s="116" t="str">
        <f t="shared" si="20"/>
        <v>2026/27 Rates</v>
      </c>
      <c r="AZ50" s="116" t="str">
        <f t="shared" si="20"/>
        <v>2026/27 Rates</v>
      </c>
      <c r="BA50" s="116" t="str">
        <f t="shared" si="20"/>
        <v>2026/27 Rates</v>
      </c>
      <c r="BB50" s="116" t="str">
        <f t="shared" si="20"/>
        <v>2026/27 Rates</v>
      </c>
      <c r="BC50" s="116" t="str">
        <f t="shared" si="20"/>
        <v>2026/27 Rates</v>
      </c>
      <c r="BD50" s="116" t="str">
        <f t="shared" si="20"/>
        <v>2026/27 Rates</v>
      </c>
      <c r="BE50" s="116" t="str">
        <f t="shared" si="20"/>
        <v>2026/27 Rates</v>
      </c>
      <c r="BF50" s="116" t="str">
        <f t="shared" si="20"/>
        <v>2026/27 Rates</v>
      </c>
      <c r="BG50" s="116" t="str">
        <f t="shared" si="20"/>
        <v>2026/27 Rates</v>
      </c>
      <c r="BH50" s="116" t="str">
        <f t="shared" si="20"/>
        <v>2026/27 Rates</v>
      </c>
      <c r="BI50" s="116" t="str">
        <f t="shared" si="20"/>
        <v>2026/27 Rates</v>
      </c>
      <c r="BJ50" s="116" t="str">
        <f t="shared" si="20"/>
        <v>2026/27 Rates</v>
      </c>
      <c r="BK50" s="116" t="str">
        <f t="shared" si="20"/>
        <v>2026/27 Rates</v>
      </c>
      <c r="BL50" s="116" t="str">
        <f t="shared" si="20"/>
        <v>2026/27 Rates</v>
      </c>
      <c r="BM50" s="116" t="str">
        <f t="shared" si="20"/>
        <v>2026/27 Rates</v>
      </c>
      <c r="BN50" s="116" t="str">
        <f t="shared" si="20"/>
        <v>2026/27 Rates</v>
      </c>
      <c r="BO50" s="116" t="str">
        <f t="shared" si="20"/>
        <v>2026/27 Rates</v>
      </c>
      <c r="BP50" s="116" t="str">
        <f t="shared" si="20"/>
        <v>2026/27 Rates</v>
      </c>
      <c r="BQ50" s="116" t="str">
        <f t="shared" si="20"/>
        <v>2026/27 Rates</v>
      </c>
      <c r="BR50" s="116" t="str">
        <f t="shared" si="20"/>
        <v>2026/27 Rates</v>
      </c>
      <c r="BS50" s="116" t="str">
        <f t="shared" si="20"/>
        <v>2026/27 Rates</v>
      </c>
      <c r="BT50" s="116" t="str">
        <f t="shared" si="20"/>
        <v>2026/27 Rates</v>
      </c>
      <c r="BU50" s="116" t="str">
        <f t="shared" si="20"/>
        <v>2026/27 Rates</v>
      </c>
      <c r="BV50" s="116" t="str">
        <f t="shared" si="20"/>
        <v>2026/27 Rates</v>
      </c>
      <c r="BW50" s="116" t="str">
        <f t="shared" si="20"/>
        <v>2026/27 Rates</v>
      </c>
      <c r="BX50" s="116" t="str">
        <f t="shared" si="20"/>
        <v>2026/27 Rates</v>
      </c>
      <c r="BY50" s="116" t="str">
        <f t="shared" si="20"/>
        <v>2026/27 Rates</v>
      </c>
      <c r="BZ50" s="116" t="str">
        <f t="shared" si="20"/>
        <v>2026/27 Rates</v>
      </c>
      <c r="CA50" s="116" t="str">
        <f t="shared" si="20"/>
        <v>2026/27 Rates</v>
      </c>
      <c r="CB50" s="116" t="str">
        <f t="shared" si="20"/>
        <v>2026/27 Rates</v>
      </c>
      <c r="CC50" s="116" t="str">
        <f t="shared" si="20"/>
        <v>2026/27 Rates</v>
      </c>
      <c r="CD50" s="116" t="str">
        <f t="shared" si="20"/>
        <v>2026/27 Rates</v>
      </c>
      <c r="CE50" s="116" t="str">
        <f t="shared" si="20"/>
        <v>2026/27 Rates</v>
      </c>
      <c r="CF50" s="116" t="str">
        <f t="shared" si="20"/>
        <v>2026/27 Rates</v>
      </c>
    </row>
    <row r="51" spans="2:84" s="77" customFormat="1" ht="7.8" customHeight="1"/>
    <row r="52" spans="2:84" s="77" customFormat="1" ht="13.8">
      <c r="C52" s="77" t="s">
        <v>391</v>
      </c>
      <c r="D52" s="117" t="s">
        <v>106</v>
      </c>
      <c r="E52" s="118">
        <f t="shared" ref="E52:E57" ca="1" si="21">INDEX(F52:AR52,0,$F$2)</f>
        <v>0.41</v>
      </c>
      <c r="F52" s="107">
        <f ca="1">IF(F$68=1,INDEX(Rates_Distr_Network_Current[Ancillary service charge '[c/kWh']],MATCH(F$63,Rates_Distr_Network_Current[Code],0)),INDEX(Rates_AllOther_Current[Ancillary service charge '[c/kWh']],MATCH(F$64,Rates_AllOther_Current[Code],0)))</f>
        <v>0.41</v>
      </c>
      <c r="G52" s="107">
        <f ca="1">IF(G$68=1,INDEX(Rates_Distr_Network_Current[Ancillary service charge '[c/kWh']],MATCH(G$63,Rates_Distr_Network_Current[Code],0)),INDEX(Rates_AllOther_Current[Ancillary service charge '[c/kWh']],MATCH(G$64,Rates_AllOther_Current[Code],0)))</f>
        <v>0.41</v>
      </c>
      <c r="H52" s="107">
        <f ca="1">IF(H$68=1,INDEX(Rates_Distr_Network_Current[Ancillary service charge '[c/kWh']],MATCH(H$63,Rates_Distr_Network_Current[Code],0)),INDEX(Rates_AllOther_Current[Ancillary service charge '[c/kWh']],MATCH(H$64,Rates_AllOther_Current[Code],0)))</f>
        <v>0.41</v>
      </c>
      <c r="I52" s="107">
        <f ca="1">IF(I$68=1,INDEX(Rates_Distr_Network_Current[Ancillary service charge '[c/kWh']],MATCH(I$63,Rates_Distr_Network_Current[Code],0)),INDEX(Rates_AllOther_Current[Ancillary service charge '[c/kWh']],MATCH(I$64,Rates_AllOther_Current[Code],0)))</f>
        <v>0.41</v>
      </c>
      <c r="J52" s="107">
        <f ca="1">IF(J$68=1,INDEX(Rates_Distr_Network_Current[Ancillary service charge '[c/kWh']],MATCH(J$63,Rates_Distr_Network_Current[Code],0)),INDEX(Rates_AllOther_Current[Ancillary service charge '[c/kWh']],MATCH(J$64,Rates_AllOther_Current[Code],0)))</f>
        <v>0</v>
      </c>
      <c r="K52" s="107">
        <f ca="1">IF(K$68=1,INDEX(Rates_Distr_Network_Current[Ancillary service charge '[c/kWh']],MATCH(K$63,Rates_Distr_Network_Current[Code],0)),INDEX(Rates_AllOther_Current[Ancillary service charge '[c/kWh']],MATCH(K$64,Rates_AllOther_Current[Code],0)))</f>
        <v>0</v>
      </c>
      <c r="L52" s="107">
        <f ca="1">IF(L$68=1,INDEX(Rates_Distr_Network_Current[Ancillary service charge '[c/kWh']],MATCH(L$63,Rates_Distr_Network_Current[Code],0)),INDEX(Rates_AllOther_Current[Ancillary service charge '[c/kWh']],MATCH(L$64,Rates_AllOther_Current[Code],0)))</f>
        <v>0.41</v>
      </c>
      <c r="M52" s="107">
        <f ca="1">IF(M$68=1,INDEX(Rates_Distr_Network_Current[Ancillary service charge '[c/kWh']],MATCH(M$63,Rates_Distr_Network_Current[Code],0)),INDEX(Rates_AllOther_Current[Ancillary service charge '[c/kWh']],MATCH(M$64,Rates_AllOther_Current[Code],0)))</f>
        <v>0.41</v>
      </c>
      <c r="N52" s="107">
        <f ca="1">IF(N$68=1,INDEX(Rates_Distr_Network_Current[Ancillary service charge '[c/kWh']],MATCH(N$63,Rates_Distr_Network_Current[Code],0)),INDEX(Rates_AllOther_Current[Ancillary service charge '[c/kWh']],MATCH(N$64,Rates_AllOther_Current[Code],0)))</f>
        <v>0.41</v>
      </c>
      <c r="O52" s="107">
        <f ca="1">IF(O$68=1,INDEX(Rates_Distr_Network_Current[Ancillary service charge '[c/kWh']],MATCH(O$63,Rates_Distr_Network_Current[Code],0)),INDEX(Rates_AllOther_Current[Ancillary service charge '[c/kWh']],MATCH(O$64,Rates_AllOther_Current[Code],0)))</f>
        <v>0.41</v>
      </c>
      <c r="P52" s="107">
        <f ca="1">IF(P$68=1,INDEX(Rates_Distr_Network_Current[Ancillary service charge '[c/kWh']],MATCH(P$63,Rates_Distr_Network_Current[Code],0)),INDEX(Rates_AllOther_Current[Ancillary service charge '[c/kWh']],MATCH(P$64,Rates_AllOther_Current[Code],0)))</f>
        <v>0.41</v>
      </c>
      <c r="Q52" s="107">
        <f ca="1">IF(Q$68=1,INDEX(Rates_Distr_Network_Current[Ancillary service charge '[c/kWh']],MATCH(Q$63,Rates_Distr_Network_Current[Code],0)),INDEX(Rates_AllOther_Current[Ancillary service charge '[c/kWh']],MATCH(Q$64,Rates_AllOther_Current[Code],0)))</f>
        <v>0.41</v>
      </c>
      <c r="R52" s="107">
        <f ca="1">IF(R$68=1,INDEX(Rates_Distr_Network_Current[Ancillary service charge '[c/kWh']],MATCH(R$63,Rates_Distr_Network_Current[Code],0)),INDEX(Rates_AllOther_Current[Ancillary service charge '[c/kWh']],MATCH(R$64,Rates_AllOther_Current[Code],0)))</f>
        <v>0.41</v>
      </c>
      <c r="S52" s="107">
        <f ca="1">IF(S$68=1,INDEX(Rates_Distr_Network_Current[Ancillary service charge '[c/kWh']],MATCH(S$63,Rates_Distr_Network_Current[Code],0)),INDEX(Rates_AllOther_Current[Ancillary service charge '[c/kWh']],MATCH(S$64,Rates_AllOther_Current[Code],0)))</f>
        <v>0.41</v>
      </c>
      <c r="T52" s="107">
        <f ca="1">IF(T$68=1,INDEX(Rates_Distr_Network_Current[Ancillary service charge '[c/kWh']],MATCH(T$63,Rates_Distr_Network_Current[Code],0)),INDEX(Rates_AllOther_Current[Ancillary service charge '[c/kWh']],MATCH(T$64,Rates_AllOther_Current[Code],0)))</f>
        <v>0.41</v>
      </c>
      <c r="U52" s="107">
        <f ca="1">IF(U$68=1,INDEX(Rates_Distr_Network_Current[Ancillary service charge '[c/kWh']],MATCH(U$63,Rates_Distr_Network_Current[Code],0)),INDEX(Rates_AllOther_Current[Ancillary service charge '[c/kWh']],MATCH(U$64,Rates_AllOther_Current[Code],0)))</f>
        <v>0</v>
      </c>
      <c r="V52" s="107">
        <f ca="1">IF(V$68=1,INDEX(Rates_Distr_Network_Current[Ancillary service charge '[c/kWh']],MATCH(V$63,Rates_Distr_Network_Current[Code],0)),INDEX(Rates_AllOther_Current[Ancillary service charge '[c/kWh']],MATCH(V$64,Rates_AllOther_Current[Code],0)))</f>
        <v>0.41</v>
      </c>
      <c r="W52" s="107">
        <f ca="1">IF(W$68=1,INDEX(Rates_Distr_Network_Current[Ancillary service charge '[c/kWh']],MATCH(W$63,Rates_Distr_Network_Current[Code],0)),INDEX(Rates_AllOther_Current[Ancillary service charge '[c/kWh']],MATCH(W$64,Rates_AllOther_Current[Code],0)))</f>
        <v>0.41</v>
      </c>
      <c r="X52" s="107">
        <f ca="1">IF(X$68=1,INDEX(Rates_Distr_Network_Current[Ancillary service charge '[c/kWh']],MATCH(X$63,Rates_Distr_Network_Current[Code],0)),INDEX(Rates_AllOther_Current[Ancillary service charge '[c/kWh']],MATCH(X$64,Rates_AllOther_Current[Code],0)))</f>
        <v>0.41</v>
      </c>
      <c r="Y52" s="107">
        <f ca="1">IF(Y$68=1,INDEX(Rates_Distr_Network_Current[Ancillary service charge '[c/kWh']],MATCH(Y$63,Rates_Distr_Network_Current[Code],0)),INDEX(Rates_AllOther_Current[Ancillary service charge '[c/kWh']],MATCH(Y$64,Rates_AllOther_Current[Code],0)))</f>
        <v>0.41</v>
      </c>
      <c r="Z52" s="107">
        <f ca="1">IF(Z$68=1,INDEX(Rates_Distr_Network_Current[Ancillary service charge '[c/kWh']],MATCH(Z$63,Rates_Distr_Network_Current[Code],0)),INDEX(Rates_AllOther_Current[Ancillary service charge '[c/kWh']],MATCH(Z$64,Rates_AllOther_Current[Code],0)))</f>
        <v>0.41</v>
      </c>
      <c r="AA52" s="107">
        <f ca="1">IF(AA$68=1,INDEX(Rates_Distr_Network_Current[Ancillary service charge '[c/kWh']],MATCH(AA$63,Rates_Distr_Network_Current[Code],0)),INDEX(Rates_AllOther_Current[Ancillary service charge '[c/kWh']],MATCH(AA$64,Rates_AllOther_Current[Code],0)))</f>
        <v>0.41</v>
      </c>
      <c r="AB52" s="107">
        <f ca="1">IF(AB$68=1,INDEX(Rates_Distr_Network_Current[Ancillary service charge '[c/kWh']],MATCH(AB$63,Rates_Distr_Network_Current[Code],0)),INDEX(Rates_AllOther_Current[Ancillary service charge '[c/kWh']],MATCH(AB$64,Rates_AllOther_Current[Code],0)))</f>
        <v>0</v>
      </c>
      <c r="AC52" s="107">
        <f ca="1">IF(AC$68=1,INDEX(Rates_Distr_Network_Current[Ancillary service charge '[c/kWh']],MATCH(AC$63,Rates_Distr_Network_Current[Code],0)),INDEX(Rates_AllOther_Current[Ancillary service charge '[c/kWh']],MATCH(AC$64,Rates_AllOther_Current[Code],0)))</f>
        <v>0</v>
      </c>
      <c r="AD52" s="107">
        <f ca="1">IF(AD$68=1,INDEX(Rates_Distr_Network_Current[Ancillary service charge '[c/kWh']],MATCH(AD$63,Rates_Distr_Network_Current[Code],0)),INDEX(Rates_AllOther_Current[Ancillary service charge '[c/kWh']],MATCH(AD$64,Rates_AllOther_Current[Code],0)))</f>
        <v>0</v>
      </c>
      <c r="AE52" s="107">
        <f ca="1">IF(AE$68=1,INDEX(Rates_Distr_Network_Current[Ancillary service charge '[c/kWh']],MATCH(AE$63,Rates_Distr_Network_Current[Code],0)),INDEX(Rates_AllOther_Current[Ancillary service charge '[c/kWh']],MATCH(AE$64,Rates_AllOther_Current[Code],0)))</f>
        <v>0</v>
      </c>
      <c r="AF52" s="107">
        <f ca="1">IF(AF$68=1,INDEX(Rates_Distr_Network_Current[Ancillary service charge '[c/kWh']],MATCH(AF$63,Rates_Distr_Network_Current[Code],0)),INDEX(Rates_AllOther_Current[Ancillary service charge '[c/kWh']],MATCH(AF$64,Rates_AllOther_Current[Code],0)))</f>
        <v>0</v>
      </c>
      <c r="AG52" s="107" t="e">
        <f ca="1">IF(AG$68=1,INDEX(Rates_Distr_Network_Current[Ancillary service charge '[c/kWh']],MATCH(AG$63,Rates_Distr_Network_Current[Code],0)),INDEX(Rates_AllOther_Current[Ancillary service charge '[c/kWh']],MATCH(AG$64,Rates_AllOther_Current[Code],0)))</f>
        <v>#N/A</v>
      </c>
      <c r="AH52" s="107" t="e">
        <f ca="1">IF(AH$68=1,INDEX(Rates_Distr_Network_Current[Ancillary service charge '[c/kWh']],MATCH(AH$63,Rates_Distr_Network_Current[Code],0)),INDEX(Rates_AllOther_Current[Ancillary service charge '[c/kWh']],MATCH(AH$64,Rates_AllOther_Current[Code],0)))</f>
        <v>#N/A</v>
      </c>
      <c r="AI52" s="107" t="e">
        <f ca="1">IF(AI$68=1,INDEX(Rates_Distr_Network_Current[Ancillary service charge '[c/kWh']],MATCH(AI$63,Rates_Distr_Network_Current[Code],0)),INDEX(Rates_AllOther_Current[Ancillary service charge '[c/kWh']],MATCH(AI$64,Rates_AllOther_Current[Code],0)))</f>
        <v>#N/A</v>
      </c>
      <c r="AJ52" s="107" t="e">
        <f ca="1">IF(AJ$68=1,INDEX(Rates_Distr_Network_Current[Ancillary service charge '[c/kWh']],MATCH(AJ$63,Rates_Distr_Network_Current[Code],0)),INDEX(Rates_AllOther_Current[Ancillary service charge '[c/kWh']],MATCH(AJ$64,Rates_AllOther_Current[Code],0)))</f>
        <v>#N/A</v>
      </c>
      <c r="AK52" s="107" t="e">
        <f ca="1">IF(AK$68=1,INDEX(Rates_Distr_Network_Current[Ancillary service charge '[c/kWh']],MATCH(AK$63,Rates_Distr_Network_Current[Code],0)),INDEX(Rates_AllOther_Current[Ancillary service charge '[c/kWh']],MATCH(AK$64,Rates_AllOther_Current[Code],0)))</f>
        <v>#N/A</v>
      </c>
      <c r="AL52" s="107">
        <f ca="1">IF(AL$68=1,INDEX(Rates_Distr_Network_Current[Ancillary service charge '[c/kWh']],MATCH(AL$63,Rates_Distr_Network_Current[Code],0)),INDEX(Rates_AllOther_Current[Ancillary service charge '[c/kWh']],MATCH(AL$64,Rates_AllOther_Current[Code],0)))</f>
        <v>0.41</v>
      </c>
      <c r="AM52" s="107">
        <f ca="1">IF(AM$68=1,INDEX(Rates_Distr_Network_Current[Ancillary service charge '[c/kWh']],MATCH(AM$63,Rates_Distr_Network_Current[Code],0)),INDEX(Rates_AllOther_Current[Ancillary service charge '[c/kWh']],MATCH(AM$64,Rates_AllOther_Current[Code],0)))</f>
        <v>0.41</v>
      </c>
      <c r="AN52" s="107">
        <f ca="1">IF(AN$68=1,INDEX(Rates_Distr_Network_Current[Ancillary service charge '[c/kWh']],MATCH(AN$63,Rates_Distr_Network_Current[Code],0)),INDEX(Rates_AllOther_Current[Ancillary service charge '[c/kWh']],MATCH(AN$64,Rates_AllOther_Current[Code],0)))</f>
        <v>0.41</v>
      </c>
      <c r="AO52" s="107">
        <f ca="1">IF(AO$68=1,INDEX(Rates_Distr_Network_Current[Ancillary service charge '[c/kWh']],MATCH(AO$63,Rates_Distr_Network_Current[Code],0)),INDEX(Rates_AllOther_Current[Ancillary service charge '[c/kWh']],MATCH(AO$64,Rates_AllOther_Current[Code],0)))</f>
        <v>0.41</v>
      </c>
      <c r="AP52" s="107">
        <f ca="1">IF(AP$68=1,INDEX(Rates_Distr_Network_Current[Ancillary service charge '[c/kWh']],MATCH(AP$63,Rates_Distr_Network_Current[Code],0)),INDEX(Rates_AllOther_Current[Ancillary service charge '[c/kWh']],MATCH(AP$64,Rates_AllOther_Current[Code],0)))</f>
        <v>0.41</v>
      </c>
      <c r="AQ52" s="107">
        <f ca="1">IF(AQ$68=1,INDEX(Rates_Distr_Network_Current[Ancillary service charge '[c/kWh']],MATCH(AQ$63,Rates_Distr_Network_Current[Code],0)),INDEX(Rates_AllOther_Current[Ancillary service charge '[c/kWh']],MATCH(AQ$64,Rates_AllOther_Current[Code],0)))</f>
        <v>0.41</v>
      </c>
      <c r="AR52" s="107" t="e">
        <f ca="1">IF(AR$68=1,INDEX(Rates_Distr_Network_Current[Ancillary service charge '[c/kWh']],MATCH(AR$63,Rates_Distr_Network_Current[Code],0)),INDEX(Rates_AllOther_Current[Ancillary service charge '[c/kWh']],MATCH(AR$64,Rates_AllOther_Current[Code],0)))</f>
        <v>#N/A</v>
      </c>
      <c r="AT52" s="118">
        <f t="shared" ref="AT52:AT57" ca="1" si="22">INDEX(AU52:CF52,0,Selected_Tariff_ID)</f>
        <v>0.45</v>
      </c>
      <c r="AU52" s="107">
        <f ca="1">IF(AU$68=1,INDEX(Rates_Distr_Network_New[Ancillary service charge '[c/kWh']],MATCH(AU$63,Rates_Distr_Network_New[Code],0)),INDEX(Rates_AllOther_New[Ancillary service charge '[c/kWh']],MATCH(AU$64,Rates_AllOther_New[Code],0)))</f>
        <v>0.45</v>
      </c>
      <c r="AV52" s="107">
        <f ca="1">IF(AV$68=1,INDEX(Rates_Distr_Network_New[Ancillary service charge '[c/kWh']],MATCH(AV$63,Rates_Distr_Network_New[Code],0)),INDEX(Rates_AllOther_New[Ancillary service charge '[c/kWh']],MATCH(AV$64,Rates_AllOther_New[Code],0)))</f>
        <v>0.45</v>
      </c>
      <c r="AW52" s="107">
        <f ca="1">IF(AW$68=1,INDEX(Rates_Distr_Network_New[Ancillary service charge '[c/kWh']],MATCH(AW$63,Rates_Distr_Network_New[Code],0)),INDEX(Rates_AllOther_New[Ancillary service charge '[c/kWh']],MATCH(AW$64,Rates_AllOther_New[Code],0)))</f>
        <v>0.45</v>
      </c>
      <c r="AX52" s="107">
        <f ca="1">IF(AX$68=1,INDEX(Rates_Distr_Network_New[Ancillary service charge '[c/kWh']],MATCH(AX$63,Rates_Distr_Network_New[Code],0)),INDEX(Rates_AllOther_New[Ancillary service charge '[c/kWh']],MATCH(AX$64,Rates_AllOther_New[Code],0)))</f>
        <v>0.45</v>
      </c>
      <c r="AY52" s="107">
        <f ca="1">IF(AY$68=1,INDEX(Rates_Distr_Network_New[Ancillary service charge '[c/kWh']],MATCH(AY$63,Rates_Distr_Network_New[Code],0)),INDEX(Rates_AllOther_New[Ancillary service charge '[c/kWh']],MATCH(AY$64,Rates_AllOther_New[Code],0)))</f>
        <v>0</v>
      </c>
      <c r="AZ52" s="107">
        <f ca="1">IF(AZ$68=1,INDEX(Rates_Distr_Network_New[Ancillary service charge '[c/kWh']],MATCH(AZ$63,Rates_Distr_Network_New[Code],0)),INDEX(Rates_AllOther_New[Ancillary service charge '[c/kWh']],MATCH(AZ$64,Rates_AllOther_New[Code],0)))</f>
        <v>0</v>
      </c>
      <c r="BA52" s="107">
        <f ca="1">IF(BA$68=1,INDEX(Rates_Distr_Network_New[Ancillary service charge '[c/kWh']],MATCH(BA$63,Rates_Distr_Network_New[Code],0)),INDEX(Rates_AllOther_New[Ancillary service charge '[c/kWh']],MATCH(BA$64,Rates_AllOther_New[Code],0)))</f>
        <v>0.45</v>
      </c>
      <c r="BB52" s="107">
        <f ca="1">IF(BB$68=1,INDEX(Rates_Distr_Network_New[Ancillary service charge '[c/kWh']],MATCH(BB$63,Rates_Distr_Network_New[Code],0)),INDEX(Rates_AllOther_New[Ancillary service charge '[c/kWh']],MATCH(BB$64,Rates_AllOther_New[Code],0)))</f>
        <v>0.45</v>
      </c>
      <c r="BC52" s="107">
        <f ca="1">IF(BC$68=1,INDEX(Rates_Distr_Network_New[Ancillary service charge '[c/kWh']],MATCH(BC$63,Rates_Distr_Network_New[Code],0)),INDEX(Rates_AllOther_New[Ancillary service charge '[c/kWh']],MATCH(BC$64,Rates_AllOther_New[Code],0)))</f>
        <v>0.45</v>
      </c>
      <c r="BD52" s="107">
        <f ca="1">IF(BD$68=1,INDEX(Rates_Distr_Network_New[Ancillary service charge '[c/kWh']],MATCH(BD$63,Rates_Distr_Network_New[Code],0)),INDEX(Rates_AllOther_New[Ancillary service charge '[c/kWh']],MATCH(BD$64,Rates_AllOther_New[Code],0)))</f>
        <v>0.45</v>
      </c>
      <c r="BE52" s="107">
        <f ca="1">IF(BE$68=1,INDEX(Rates_Distr_Network_New[Ancillary service charge '[c/kWh']],MATCH(BE$63,Rates_Distr_Network_New[Code],0)),INDEX(Rates_AllOther_New[Ancillary service charge '[c/kWh']],MATCH(BE$64,Rates_AllOther_New[Code],0)))</f>
        <v>0.45</v>
      </c>
      <c r="BF52" s="107">
        <f ca="1">IF(BF$68=1,INDEX(Rates_Distr_Network_New[Ancillary service charge '[c/kWh']],MATCH(BF$63,Rates_Distr_Network_New[Code],0)),INDEX(Rates_AllOther_New[Ancillary service charge '[c/kWh']],MATCH(BF$64,Rates_AllOther_New[Code],0)))</f>
        <v>0.45</v>
      </c>
      <c r="BG52" s="107">
        <f ca="1">IF(BG$68=1,INDEX(Rates_Distr_Network_New[Ancillary service charge '[c/kWh']],MATCH(BG$63,Rates_Distr_Network_New[Code],0)),INDEX(Rates_AllOther_New[Ancillary service charge '[c/kWh']],MATCH(BG$64,Rates_AllOther_New[Code],0)))</f>
        <v>0.45</v>
      </c>
      <c r="BH52" s="107">
        <f ca="1">IF(BH$68=1,INDEX(Rates_Distr_Network_New[Ancillary service charge '[c/kWh']],MATCH(BH$63,Rates_Distr_Network_New[Code],0)),INDEX(Rates_AllOther_New[Ancillary service charge '[c/kWh']],MATCH(BH$64,Rates_AllOther_New[Code],0)))</f>
        <v>0.45</v>
      </c>
      <c r="BI52" s="107">
        <f ca="1">IF(BI$68=1,INDEX(Rates_Distr_Network_New[Ancillary service charge '[c/kWh']],MATCH(BI$63,Rates_Distr_Network_New[Code],0)),INDEX(Rates_AllOther_New[Ancillary service charge '[c/kWh']],MATCH(BI$64,Rates_AllOther_New[Code],0)))</f>
        <v>0.45</v>
      </c>
      <c r="BJ52" s="107">
        <f ca="1">IF(BJ$68=1,INDEX(Rates_Distr_Network_New[Ancillary service charge '[c/kWh']],MATCH(BJ$63,Rates_Distr_Network_New[Code],0)),INDEX(Rates_AllOther_New[Ancillary service charge '[c/kWh']],MATCH(BJ$64,Rates_AllOther_New[Code],0)))</f>
        <v>0</v>
      </c>
      <c r="BK52" s="107">
        <f ca="1">IF(BK$68=1,INDEX(Rates_Distr_Network_New[Ancillary service charge '[c/kWh']],MATCH(BK$63,Rates_Distr_Network_New[Code],0)),INDEX(Rates_AllOther_New[Ancillary service charge '[c/kWh']],MATCH(BK$64,Rates_AllOther_New[Code],0)))</f>
        <v>0.45</v>
      </c>
      <c r="BL52" s="107">
        <f ca="1">IF(BL$68=1,INDEX(Rates_Distr_Network_New[Ancillary service charge '[c/kWh']],MATCH(BL$63,Rates_Distr_Network_New[Code],0)),INDEX(Rates_AllOther_New[Ancillary service charge '[c/kWh']],MATCH(BL$64,Rates_AllOther_New[Code],0)))</f>
        <v>0.45</v>
      </c>
      <c r="BM52" s="107">
        <f ca="1">IF(BM$68=1,INDEX(Rates_Distr_Network_New[Ancillary service charge '[c/kWh']],MATCH(BM$63,Rates_Distr_Network_New[Code],0)),INDEX(Rates_AllOther_New[Ancillary service charge '[c/kWh']],MATCH(BM$64,Rates_AllOther_New[Code],0)))</f>
        <v>0.45</v>
      </c>
      <c r="BN52" s="107">
        <f ca="1">IF(BN$68=1,INDEX(Rates_Distr_Network_New[Ancillary service charge '[c/kWh']],MATCH(BN$63,Rates_Distr_Network_New[Code],0)),INDEX(Rates_AllOther_New[Ancillary service charge '[c/kWh']],MATCH(BN$64,Rates_AllOther_New[Code],0)))</f>
        <v>0.45</v>
      </c>
      <c r="BO52" s="107">
        <f ca="1">IF(BO$68=1,INDEX(Rates_Distr_Network_New[Ancillary service charge '[c/kWh']],MATCH(BO$63,Rates_Distr_Network_New[Code],0)),INDEX(Rates_AllOther_New[Ancillary service charge '[c/kWh']],MATCH(BO$64,Rates_AllOther_New[Code],0)))</f>
        <v>0.45</v>
      </c>
      <c r="BP52" s="107">
        <f ca="1">IF(BP$68=1,INDEX(Rates_Distr_Network_New[Ancillary service charge '[c/kWh']],MATCH(BP$63,Rates_Distr_Network_New[Code],0)),INDEX(Rates_AllOther_New[Ancillary service charge '[c/kWh']],MATCH(BP$64,Rates_AllOther_New[Code],0)))</f>
        <v>0.45</v>
      </c>
      <c r="BQ52" s="107">
        <f ca="1">IF(BQ$68=1,INDEX(Rates_Distr_Network_New[Ancillary service charge '[c/kWh']],MATCH(BQ$63,Rates_Distr_Network_New[Code],0)),INDEX(Rates_AllOther_New[Ancillary service charge '[c/kWh']],MATCH(BQ$64,Rates_AllOther_New[Code],0)))</f>
        <v>0</v>
      </c>
      <c r="BR52" s="107">
        <f ca="1">IF(BR$68=1,INDEX(Rates_Distr_Network_New[Ancillary service charge '[c/kWh']],MATCH(BR$63,Rates_Distr_Network_New[Code],0)),INDEX(Rates_AllOther_New[Ancillary service charge '[c/kWh']],MATCH(BR$64,Rates_AllOther_New[Code],0)))</f>
        <v>0</v>
      </c>
      <c r="BS52" s="107">
        <f ca="1">IF(BS$68=1,INDEX(Rates_Distr_Network_New[Ancillary service charge '[c/kWh']],MATCH(BS$63,Rates_Distr_Network_New[Code],0)),INDEX(Rates_AllOther_New[Ancillary service charge '[c/kWh']],MATCH(BS$64,Rates_AllOther_New[Code],0)))</f>
        <v>0</v>
      </c>
      <c r="BT52" s="107">
        <f ca="1">IF(BT$68=1,INDEX(Rates_Distr_Network_New[Ancillary service charge '[c/kWh']],MATCH(BT$63,Rates_Distr_Network_New[Code],0)),INDEX(Rates_AllOther_New[Ancillary service charge '[c/kWh']],MATCH(BT$64,Rates_AllOther_New[Code],0)))</f>
        <v>0</v>
      </c>
      <c r="BU52" s="107">
        <f ca="1">IF(BU$68=1,INDEX(Rates_Distr_Network_New[Ancillary service charge '[c/kWh']],MATCH(BU$63,Rates_Distr_Network_New[Code],0)),INDEX(Rates_AllOther_New[Ancillary service charge '[c/kWh']],MATCH(BU$64,Rates_AllOther_New[Code],0)))</f>
        <v>0</v>
      </c>
      <c r="BV52" s="107" t="str">
        <f ca="1">IF(BV$68=1,INDEX(Rates_Distr_Network_New[Ancillary service charge '[c/kWh']],MATCH(BV$63,Rates_Distr_Network_New[Code],0)),INDEX(Rates_AllOther_New[Ancillary service charge '[c/kWh']],MATCH(BV$64,Rates_AllOther_New[Code],0)))</f>
        <v>n/a</v>
      </c>
      <c r="BW52" s="107" t="e">
        <f ca="1">IF(BW$68=1,INDEX(Rates_Distr_Network_New[Ancillary service charge '[c/kWh']],MATCH(BW$63,Rates_Distr_Network_New[Code],0)),INDEX(Rates_AllOther_New[Ancillary service charge '[c/kWh']],MATCH(BW$64,Rates_AllOther_New[Code],0)))</f>
        <v>#N/A</v>
      </c>
      <c r="BX52" s="107" t="e">
        <f ca="1">IF(BX$68=1,INDEX(Rates_Distr_Network_New[Ancillary service charge '[c/kWh']],MATCH(BX$63,Rates_Distr_Network_New[Code],0)),INDEX(Rates_AllOther_New[Ancillary service charge '[c/kWh']],MATCH(BX$64,Rates_AllOther_New[Code],0)))</f>
        <v>#N/A</v>
      </c>
      <c r="BY52" s="107" t="e">
        <f ca="1">IF(BY$68=1,INDEX(Rates_Distr_Network_New[Ancillary service charge '[c/kWh']],MATCH(BY$63,Rates_Distr_Network_New[Code],0)),INDEX(Rates_AllOther_New[Ancillary service charge '[c/kWh']],MATCH(BY$64,Rates_AllOther_New[Code],0)))</f>
        <v>#N/A</v>
      </c>
      <c r="BZ52" s="107" t="e">
        <f ca="1">IF(BZ$68=1,INDEX(Rates_Distr_Network_New[Ancillary service charge '[c/kWh']],MATCH(BZ$63,Rates_Distr_Network_New[Code],0)),INDEX(Rates_AllOther_New[Ancillary service charge '[c/kWh']],MATCH(BZ$64,Rates_AllOther_New[Code],0)))</f>
        <v>#N/A</v>
      </c>
      <c r="CA52" s="107">
        <f ca="1">IF(CA$68=1,INDEX(Rates_Distr_Network_New[Ancillary service charge '[c/kWh']],MATCH(CA$63,Rates_Distr_Network_New[Code],0)),INDEX(Rates_AllOther_New[Ancillary service charge '[c/kWh']],MATCH(CA$64,Rates_AllOther_New[Code],0)))</f>
        <v>0.45</v>
      </c>
      <c r="CB52" s="107">
        <f ca="1">IF(CB$68=1,INDEX(Rates_Distr_Network_New[Ancillary service charge '[c/kWh']],MATCH(CB$63,Rates_Distr_Network_New[Code],0)),INDEX(Rates_AllOther_New[Ancillary service charge '[c/kWh']],MATCH(CB$64,Rates_AllOther_New[Code],0)))</f>
        <v>0.45</v>
      </c>
      <c r="CC52" s="107">
        <f ca="1">IF(CC$68=1,INDEX(Rates_Distr_Network_New[Ancillary service charge '[c/kWh']],MATCH(CC$63,Rates_Distr_Network_New[Code],0)),INDEX(Rates_AllOther_New[Ancillary service charge '[c/kWh']],MATCH(CC$64,Rates_AllOther_New[Code],0)))</f>
        <v>0.45</v>
      </c>
      <c r="CD52" s="107">
        <f ca="1">IF(CD$68=1,INDEX(Rates_Distr_Network_New[Ancillary service charge '[c/kWh']],MATCH(CD$63,Rates_Distr_Network_New[Code],0)),INDEX(Rates_AllOther_New[Ancillary service charge '[c/kWh']],MATCH(CD$64,Rates_AllOther_New[Code],0)))</f>
        <v>0.45</v>
      </c>
      <c r="CE52" s="107">
        <f ca="1">IF(CE$68=1,INDEX(Rates_Distr_Network_New[Ancillary service charge '[c/kWh']],MATCH(CE$63,Rates_Distr_Network_New[Code],0)),INDEX(Rates_AllOther_New[Ancillary service charge '[c/kWh']],MATCH(CE$64,Rates_AllOther_New[Code],0)))</f>
        <v>0.45</v>
      </c>
      <c r="CF52" s="107">
        <f ca="1">IF(CF$68=1,INDEX(Rates_Distr_Network_New[Ancillary service charge '[c/kWh']],MATCH(CF$63,Rates_Distr_Network_New[Code],0)),INDEX(Rates_AllOther_New[Ancillary service charge '[c/kWh']],MATCH(CF$64,Rates_AllOther_New[Code],0)))</f>
        <v>0.45</v>
      </c>
    </row>
    <row r="53" spans="2:84" s="77" customFormat="1" ht="13.8">
      <c r="C53" s="77" t="s">
        <v>116</v>
      </c>
      <c r="D53" s="117" t="s">
        <v>109</v>
      </c>
      <c r="E53" s="118">
        <f t="shared" ca="1" si="21"/>
        <v>13.81</v>
      </c>
      <c r="F53" s="107" t="str">
        <f ca="1">IF(F$68=1,INDEX(Rates_Other_Current[Reactive energy charge  - High c/kVArh],MATCH(F$64,Rates_Other_Current[Code],0)),"n/a")</f>
        <v>n/a</v>
      </c>
      <c r="G53" s="107" t="str">
        <f ca="1">IF(G$68=1,INDEX(Rates_Other_Current[Reactive energy charge  - High c/kVArh],MATCH(G$64,Rates_Other_Current[Code],0)),"n/a")</f>
        <v>n/a</v>
      </c>
      <c r="H53" s="107" t="str">
        <f ca="1">IF(H$68=1,INDEX(Rates_Other_Current[Reactive energy charge  - High c/kVArh],MATCH(H$64,Rates_Other_Current[Code],0)),"n/a")</f>
        <v>n/a</v>
      </c>
      <c r="I53" s="107" t="str">
        <f ca="1">IF(I$68=1,INDEX(Rates_Other_Current[Reactive energy charge  - High c/kVArh],MATCH(I$64,Rates_Other_Current[Code],0)),"n/a")</f>
        <v>n/a</v>
      </c>
      <c r="J53" s="107" t="str">
        <f ca="1">IF(J$68=1,INDEX(Rates_Other_Current[Reactive energy charge  - High c/kVArh],MATCH(J$64,Rates_Other_Current[Code],0)),"n/a")</f>
        <v>n/a</v>
      </c>
      <c r="K53" s="107" t="str">
        <f ca="1">IF(K$68=1,INDEX(Rates_Other_Current[Reactive energy charge  - High c/kVArh],MATCH(K$64,Rates_Other_Current[Code],0)),"n/a")</f>
        <v>n/a</v>
      </c>
      <c r="L53" s="107" t="str">
        <f ca="1">IF(L$68=1,INDEX(Rates_Other_Current[Reactive energy charge  - High c/kVArh],MATCH(L$64,Rates_Other_Current[Code],0)),"n/a")</f>
        <v>n/a</v>
      </c>
      <c r="M53" s="107" t="str">
        <f ca="1">IF(M$68=1,INDEX(Rates_Other_Current[Reactive energy charge  - High c/kVArh],MATCH(M$64,Rates_Other_Current[Code],0)),"n/a")</f>
        <v>n/a</v>
      </c>
      <c r="N53" s="107" t="str">
        <f ca="1">IF(N$68=1,INDEX(Rates_Other_Current[Reactive energy charge  - High c/kVArh],MATCH(N$64,Rates_Other_Current[Code],0)),"n/a")</f>
        <v>n/a</v>
      </c>
      <c r="O53" s="107" t="str">
        <f ca="1">IF(O$68=1,INDEX(Rates_Other_Current[Reactive energy charge  - High c/kVArh],MATCH(O$64,Rates_Other_Current[Code],0)),"n/a")</f>
        <v>n/a</v>
      </c>
      <c r="P53" s="107" t="str">
        <f ca="1">IF(P$68=1,INDEX(Rates_Other_Current[Reactive energy charge  - High c/kVArh],MATCH(P$64,Rates_Other_Current[Code],0)),"n/a")</f>
        <v>n/a</v>
      </c>
      <c r="Q53" s="107" t="str">
        <f ca="1">IF(Q$68=1,INDEX(Rates_Other_Current[Reactive energy charge  - High c/kVArh],MATCH(Q$64,Rates_Other_Current[Code],0)),"0")</f>
        <v>0</v>
      </c>
      <c r="R53" s="107" t="str">
        <f ca="1">IF(R$68=1,INDEX(Rates_Other_Current[Reactive energy charge  - High c/kVArh],MATCH(R$64,Rates_Other_Current[Code],0)),"0")</f>
        <v>0</v>
      </c>
      <c r="S53" s="107" t="str">
        <f ca="1">IF(S$68=1,INDEX(Rates_Other_Current[Reactive energy charge  - High c/kVArh],MATCH(S$64,Rates_Other_Current[Code],0)),"0")</f>
        <v>0</v>
      </c>
      <c r="T53" s="107" t="str">
        <f ca="1">IF(T$68=1,INDEX(Rates_Other_Current[Reactive energy charge  - High c/kVArh],MATCH(T$64,Rates_Other_Current[Code],0)),"0")</f>
        <v>0</v>
      </c>
      <c r="U53" s="107" t="str">
        <f ca="1">IF(U$68=1,INDEX(Rates_Other_Current[Reactive energy charge  - High c/kVArh],MATCH(U$64,Rates_Other_Current[Code],0)),"0")</f>
        <v>0</v>
      </c>
      <c r="V53" s="107">
        <f ca="1">IF(V$68=1,INDEX(Rates_Other_Current[Reactive energy charge  - High c/kVArh],MATCH(V$64,Rates_Other_Current[Code],0)),"n/a")</f>
        <v>31.71</v>
      </c>
      <c r="W53" s="107">
        <f ca="1">IF(W$68=1,INDEX(Rates_Other_Current[Reactive energy charge  - High c/kVArh],MATCH(W$64,Rates_Other_Current[Code],0)),"n/a")</f>
        <v>13.81</v>
      </c>
      <c r="X53" s="107">
        <f>IF(X$68=1,INDEX(Rates_Other_Current[Reactive energy charge  - High c/kVArh],MATCH(X$64,Rates_Other_Current[Code],0)),"n/a")</f>
        <v>0</v>
      </c>
      <c r="Y53" s="107">
        <f ca="1">IF(Y$68=1,INDEX(Rates_Other_Current[Reactive energy charge  - High c/kVArh],MATCH(Y$64,Rates_Other_Current[Code],0)),"n/a")</f>
        <v>0</v>
      </c>
      <c r="Z53" s="107">
        <f ca="1">IF(Z$68=1,INDEX(Rates_Other_Current[Reactive energy charge  - High c/kVArh],MATCH(Z$64,Rates_Other_Current[Code],0)),"n/a")</f>
        <v>0</v>
      </c>
      <c r="AA53" s="107">
        <f ca="1">IF(AA$68=1,INDEX(Rates_Other_Current[Reactive energy charge  - High c/kVArh],MATCH(AA$64,Rates_Other_Current[Code],0)),"n/a")</f>
        <v>19.829999999999998</v>
      </c>
      <c r="AB53" s="107" t="str">
        <f ca="1">IF(AB$68=1,INDEX(Rates_Other_Current[Reactive energy charge  - High c/kVArh],MATCH(AB$64,Rates_Other_Current[Code],0)),"n/a")</f>
        <v>n/a</v>
      </c>
      <c r="AC53" s="107" t="str">
        <f ca="1">IF(AC$68=1,INDEX(Rates_Other_Current[Reactive energy charge  - High c/kVArh],MATCH(AC$64,Rates_Other_Current[Code],0)),"n/a")</f>
        <v>n/a</v>
      </c>
      <c r="AD53" s="107" t="str">
        <f ca="1">IF(AD$68=1,INDEX(Rates_Other_Current[Reactive energy charge  - High c/kVArh],MATCH(AD$64,Rates_Other_Current[Code],0)),"n/a")</f>
        <v>n/a</v>
      </c>
      <c r="AE53" s="107" t="str">
        <f ca="1">IF(AE$68=1,INDEX(Rates_Other_Current[Reactive energy charge  - High c/kVArh],MATCH(AE$64,Rates_Other_Current[Code],0)),"n/a")</f>
        <v>n/a</v>
      </c>
      <c r="AF53" s="107" t="str">
        <f ca="1">IF(AF$68=1,INDEX(Rates_Other_Current[Reactive energy charge  - High c/kVArh],MATCH(AF$64,Rates_Other_Current[Code],0)),"n/a")</f>
        <v>n/a</v>
      </c>
      <c r="AG53" s="107" t="e">
        <f>IF(AG$68=1,INDEX(Rates_Other_Current[Reactive energy charge  - High c/kVArh],MATCH(AG$64,Rates_Other_Current[Code],0)),"n/a")</f>
        <v>#N/A</v>
      </c>
      <c r="AH53" s="107" t="str">
        <f ca="1">IF(AH$68=1,INDEX(Rates_Other_Current[Reactive energy charge  - High c/kVArh],MATCH(AH$64,Rates_Other_Current[Code],0)),"n/a")</f>
        <v>n/a</v>
      </c>
      <c r="AI53" s="107" t="str">
        <f ca="1">IF(AI$68=1,INDEX(Rates_Other_Current[Reactive energy charge  - High c/kVArh],MATCH(AI$64,Rates_Other_Current[Code],0)),"n/a")</f>
        <v>n/a</v>
      </c>
      <c r="AJ53" s="107" t="str">
        <f ca="1">IF(AJ$68=1,INDEX(Rates_Other_Current[Reactive energy charge  - High c/kVArh],MATCH(AJ$64,Rates_Other_Current[Code],0)),"n/a")</f>
        <v>n/a</v>
      </c>
      <c r="AK53" s="107" t="str">
        <f ca="1">IF(AK$68=1,INDEX(Rates_Other_Current[Reactive energy charge  - High c/kVArh],MATCH(AK$64,Rates_Other_Current[Code],0)),"n/a")</f>
        <v>n/a</v>
      </c>
      <c r="AL53" s="107" t="str">
        <f ca="1">IF(AL$68=1,INDEX(Rates_Other_Current[Reactive energy charge  - High c/kVArh],MATCH(AL$64,Rates_Other_Current[Code],0)),"n/a")</f>
        <v>n/a</v>
      </c>
      <c r="AM53" s="107" t="str">
        <f ca="1">IF(AM$68=1,INDEX(Rates_Other_Current[Reactive energy charge  - High c/kVArh],MATCH(AM$64,Rates_Other_Current[Code],0)),"n/a")</f>
        <v>n/a</v>
      </c>
      <c r="AN53" s="107" t="str">
        <f ca="1">IF(AN$68=1,INDEX(Rates_Other_Current[Reactive energy charge  - High c/kVArh],MATCH(AN$64,Rates_Other_Current[Code],0)),"n/a")</f>
        <v>n/a</v>
      </c>
      <c r="AO53" s="107" t="str">
        <f ca="1">IF(AO$68=1,INDEX(Rates_Other_Current[Reactive energy charge  - High c/kVArh],MATCH(AO$64,Rates_Other_Current[Code],0)),"n/a")</f>
        <v>n/a</v>
      </c>
      <c r="AP53" s="107">
        <f ca="1">IF(AP$68=1,INDEX(Rates_Other_Current[Reactive energy charge  - High c/kVArh],MATCH(AP$64,Rates_Other_Current[Code],0)),"n/a")</f>
        <v>20.96</v>
      </c>
      <c r="AQ53" s="107">
        <f ca="1">IF(AQ$68=1,INDEX(Rates_Other_Current[Reactive energy charge  - High c/kVArh],MATCH(AQ$64,Rates_Other_Current[Code],0)),"n/a")</f>
        <v>20.96</v>
      </c>
      <c r="AR53" s="107" t="str">
        <f ca="1">IF(AR$68=1,INDEX(Rates_Other_Current[Reactive energy charge  - High c/kVArh],MATCH(AR$64,Rates_Other_Current[Code],0)),"n/a")</f>
        <v>n/a</v>
      </c>
      <c r="AT53" s="118">
        <f t="shared" ca="1" si="22"/>
        <v>15.02</v>
      </c>
      <c r="AU53" s="107" t="str">
        <f ca="1">IF(AU$68=1,INDEX(Rates_Other_New[Reactive energy charge  - High c/kVArh],MATCH(AU$64,Rates_Other_New[Code],0)),"n/a")</f>
        <v>n/a</v>
      </c>
      <c r="AV53" s="107" t="str">
        <f ca="1">IF(AV$68=1,INDEX(Rates_Other_New[Reactive energy charge  - High c/kVArh],MATCH(AV$64,Rates_Other_New[Code],0)),"n/a")</f>
        <v>n/a</v>
      </c>
      <c r="AW53" s="107" t="str">
        <f ca="1">IF(AW$68=1,INDEX(Rates_Other_New[Reactive energy charge  - High c/kVArh],MATCH(AW$64,Rates_Other_New[Code],0)),"n/a")</f>
        <v>n/a</v>
      </c>
      <c r="AX53" s="107" t="str">
        <f ca="1">IF(AX$68=1,INDEX(Rates_Other_New[Reactive energy charge  - High c/kVArh],MATCH(AX$64,Rates_Other_New[Code],0)),"n/a")</f>
        <v>n/a</v>
      </c>
      <c r="AY53" s="107" t="str">
        <f ca="1">IF(AY$68=1,INDEX(Rates_Other_New[Reactive energy charge  - High c/kVArh],MATCH(AY$64,Rates_Other_New[Code],0)),"n/a")</f>
        <v>n/a</v>
      </c>
      <c r="AZ53" s="107" t="str">
        <f ca="1">IF(AZ$68=1,INDEX(Rates_Other_New[Reactive energy charge  - High c/kVArh],MATCH(AZ$64,Rates_Other_New[Code],0)),"n/a")</f>
        <v>n/a</v>
      </c>
      <c r="BA53" s="107" t="str">
        <f ca="1">IF(BA$68=1,INDEX(Rates_Other_New[Reactive energy charge  - High c/kVArh],MATCH(BA$64,Rates_Other_New[Code],0)),"n/a")</f>
        <v>n/a</v>
      </c>
      <c r="BB53" s="107" t="str">
        <f ca="1">IF(BB$68=1,INDEX(Rates_Other_New[Reactive energy charge  - High c/kVArh],MATCH(BB$64,Rates_Other_New[Code],0)),"n/a")</f>
        <v>n/a</v>
      </c>
      <c r="BC53" s="107" t="str">
        <f ca="1">IF(BC$68=1,INDEX(Rates_Other_New[Reactive energy charge  - High c/kVArh],MATCH(BC$64,Rates_Other_New[Code],0)),"n/a")</f>
        <v>n/a</v>
      </c>
      <c r="BD53" s="107" t="str">
        <f ca="1">IF(BD$68=1,INDEX(Rates_Other_New[Reactive energy charge  - High c/kVArh],MATCH(BD$64,Rates_Other_New[Code],0)),"n/a")</f>
        <v>n/a</v>
      </c>
      <c r="BE53" s="107" t="str">
        <f ca="1">IF(BE$68=1,INDEX(Rates_Other_New[Reactive energy charge  - High c/kVArh],MATCH(BE$64,Rates_Other_New[Code],0)),"n/a")</f>
        <v>n/a</v>
      </c>
      <c r="BF53" s="107" t="str">
        <f ca="1">IF(BF$68=1,INDEX(Rates_Other_New[Reactive energy charge  - High c/kVArh],MATCH(BF$64,Rates_Other_New[Code],0)),"0")</f>
        <v>0</v>
      </c>
      <c r="BG53" s="107" t="str">
        <f ca="1">IF(BG$68=1,INDEX(Rates_Other_New[Reactive energy charge  - High c/kVArh],MATCH(BG$64,Rates_Other_New[Code],0)),"0")</f>
        <v>0</v>
      </c>
      <c r="BH53" s="107" t="str">
        <f ca="1">IF(BH$68=1,INDEX(Rates_Other_New[Reactive energy charge  - High c/kVArh],MATCH(BH$64,Rates_Other_New[Code],0)),"0")</f>
        <v>0</v>
      </c>
      <c r="BI53" s="107" t="str">
        <f ca="1">IF(BI$68=1,INDEX(Rates_Other_New[Reactive energy charge  - High c/kVArh],MATCH(BI$64,Rates_Other_New[Code],0)),"0")</f>
        <v>0</v>
      </c>
      <c r="BJ53" s="107" t="str">
        <f ca="1">IF(BJ$68=1,INDEX(Rates_Other_New[Reactive energy charge  - High c/kVArh],MATCH(BJ$64,Rates_Other_New[Code],0)),"0")</f>
        <v>0</v>
      </c>
      <c r="BK53" s="107">
        <f ca="1">IF(BK$68=1,INDEX(Rates_Other_New[Reactive energy charge  - High c/kVArh],MATCH(BK$64,Rates_Other_New[Code],0)),"n/a")</f>
        <v>34.49</v>
      </c>
      <c r="BL53" s="107">
        <f ca="1">IF(BL$68=1,INDEX(Rates_Other_New[Reactive energy charge  - High c/kVArh],MATCH(BL$64,Rates_Other_New[Code],0)),"n/a")</f>
        <v>15.02</v>
      </c>
      <c r="BM53" s="107">
        <f>IF(BM$68=1,INDEX(Rates_Other_New[Reactive energy charge  - High c/kVArh],MATCH(BM$64,Rates_Other_New[Code],0)),"n/a")</f>
        <v>0</v>
      </c>
      <c r="BN53" s="107">
        <f ca="1">IF(BN$68=1,INDEX(Rates_Other_New[Reactive energy charge  - High c/kVArh],MATCH(BN$64,Rates_Other_New[Code],0)),"n/a")</f>
        <v>0</v>
      </c>
      <c r="BO53" s="107">
        <f ca="1">IF(BO$68=1,INDEX(Rates_Other_New[Reactive energy charge  - High c/kVArh],MATCH(BO$64,Rates_Other_New[Code],0)),"n/a")</f>
        <v>0</v>
      </c>
      <c r="BP53" s="107">
        <f ca="1">IF(BP$68=1,INDEX(Rates_Other_New[Reactive energy charge  - High c/kVArh],MATCH(BP$64,Rates_Other_New[Code],0)),"n/a")</f>
        <v>21.57</v>
      </c>
      <c r="BQ53" s="107" t="str">
        <f ca="1">IF(BQ$68=1,INDEX(Rates_Other_New[Reactive energy charge  - High c/kVArh],MATCH(BQ$64,Rates_Other_New[Code],0)),"n/a")</f>
        <v>n/a</v>
      </c>
      <c r="BR53" s="107" t="str">
        <f ca="1">IF(BR$68=1,INDEX(Rates_Other_New[Reactive energy charge  - High c/kVArh],MATCH(BR$64,Rates_Other_New[Code],0)),"n/a")</f>
        <v>n/a</v>
      </c>
      <c r="BS53" s="107" t="str">
        <f ca="1">IF(BS$68=1,INDEX(Rates_Other_New[Reactive energy charge  - High c/kVArh],MATCH(BS$64,Rates_Other_New[Code],0)),"n/a")</f>
        <v>n/a</v>
      </c>
      <c r="BT53" s="107" t="str">
        <f ca="1">IF(BT$68=1,INDEX(Rates_Other_New[Reactive energy charge  - High c/kVArh],MATCH(BT$64,Rates_Other_New[Code],0)),"n/a")</f>
        <v>n/a</v>
      </c>
      <c r="BU53" s="107" t="str">
        <f ca="1">IF(BU$68=1,INDEX(Rates_Other_New[Reactive energy charge  - High c/kVArh],MATCH(BU$64,Rates_Other_New[Code],0)),"n/a")</f>
        <v>n/a</v>
      </c>
      <c r="BV53" s="107" t="e">
        <f>IF(BV$68=1,INDEX(Rates_Other_New[Reactive energy charge  - High c/kVArh],MATCH(BV$64,Rates_Other_New[Code],0)),"n/a")</f>
        <v>#N/A</v>
      </c>
      <c r="BW53" s="107" t="str">
        <f ca="1">IF(BW$68=1,INDEX(Rates_Other_New[Reactive energy charge  - High c/kVArh],MATCH(BW$64,Rates_Other_New[Code],0)),"n/a")</f>
        <v>n/a</v>
      </c>
      <c r="BX53" s="107" t="str">
        <f ca="1">IF(BX$68=1,INDEX(Rates_Other_New[Reactive energy charge  - High c/kVArh],MATCH(BX$64,Rates_Other_New[Code],0)),"n/a")</f>
        <v>n/a</v>
      </c>
      <c r="BY53" s="107" t="str">
        <f ca="1">IF(BY$68=1,INDEX(Rates_Other_New[Reactive energy charge  - High c/kVArh],MATCH(BY$64,Rates_Other_New[Code],0)),"n/a")</f>
        <v>n/a</v>
      </c>
      <c r="BZ53" s="107" t="str">
        <f ca="1">IF(BZ$68=1,INDEX(Rates_Other_New[Reactive energy charge  - High c/kVArh],MATCH(BZ$64,Rates_Other_New[Code],0)),"n/a")</f>
        <v>n/a</v>
      </c>
      <c r="CA53" s="107" t="str">
        <f ca="1">IF(CA$68=1,INDEX(Rates_Other_New[Reactive energy charge  - High c/kVArh],MATCH(CA$64,Rates_Other_New[Code],0)),"n/a")</f>
        <v>n/a</v>
      </c>
      <c r="CB53" s="107" t="str">
        <f ca="1">IF(CB$68=1,INDEX(Rates_Other_New[Reactive energy charge  - High c/kVArh],MATCH(CB$64,Rates_Other_New[Code],0)),"n/a")</f>
        <v>n/a</v>
      </c>
      <c r="CC53" s="107" t="str">
        <f ca="1">IF(CC$68=1,INDEX(Rates_Other_New[Reactive energy charge  - High c/kVArh],MATCH(CC$64,Rates_Other_New[Code],0)),"n/a")</f>
        <v>n/a</v>
      </c>
      <c r="CD53" s="107" t="str">
        <f ca="1">IF(CD$68=1,INDEX(Rates_Other_New[Reactive energy charge  - High c/kVArh],MATCH(CD$64,Rates_Other_New[Code],0)),"n/a")</f>
        <v>n/a</v>
      </c>
      <c r="CE53" s="107">
        <f ca="1">IF(CE$68=1,INDEX(Rates_Other_New[Reactive energy charge  - High c/kVArh],MATCH(CE$64,Rates_Other_New[Code],0)),"n/a")</f>
        <v>22.8</v>
      </c>
      <c r="CF53" s="107">
        <f ca="1">IF(CF$68=1,INDEX(Rates_Other_New[Reactive energy charge  - High c/kVArh],MATCH(CF$64,Rates_Other_New[Code],0)),"n/a")</f>
        <v>22.8</v>
      </c>
    </row>
    <row r="54" spans="2:84" s="77" customFormat="1" ht="13.8">
      <c r="C54" s="77" t="s">
        <v>124</v>
      </c>
      <c r="D54" s="117" t="s">
        <v>106</v>
      </c>
      <c r="E54" s="118">
        <f t="shared" ca="1" si="21"/>
        <v>4.9400000000000004</v>
      </c>
      <c r="F54" s="107">
        <f ca="1">IF(F$68=1,INDEX(Rates_Other_Current[Electrification and rural subsidy  c/kWh],MATCH(F$64,Rates_Other_Current[Code],0)),INDEX(Rates_AllOther_Current[Electrification and rural subsidy '[c/kWh']],MATCH(F$64,Rates_AllOther_Current[Code],0)))</f>
        <v>4.9400000000000004</v>
      </c>
      <c r="G54" s="107">
        <f ca="1">IF(G$68=1,INDEX(Rates_Other_Current[Electrification and rural subsidy  c/kWh],MATCH(G$64,Rates_Other_Current[Code],0)),INDEX(Rates_AllOther_Current[Electrification and rural subsidy '[c/kWh']],MATCH(G$64,Rates_AllOther_Current[Code],0)))</f>
        <v>4.9400000000000004</v>
      </c>
      <c r="H54" s="107">
        <f ca="1">IF(H$68=1,INDEX(Rates_Other_Current[Electrification and rural subsidy  c/kWh],MATCH(H$64,Rates_Other_Current[Code],0)),INDEX(Rates_AllOther_Current[Electrification and rural subsidy '[c/kWh']],MATCH(H$64,Rates_AllOther_Current[Code],0)))</f>
        <v>4.9400000000000004</v>
      </c>
      <c r="I54" s="107">
        <f ca="1">IF(I$68=1,INDEX(Rates_Other_Current[Electrification and rural subsidy  c/kWh],MATCH(I$64,Rates_Other_Current[Code],0)),INDEX(Rates_AllOther_Current[Electrification and rural subsidy '[c/kWh']],MATCH(I$64,Rates_AllOther_Current[Code],0)))</f>
        <v>4.9400000000000004</v>
      </c>
      <c r="J54" s="107" t="str">
        <f ca="1">IF(J$68=1,INDEX(Rates_Other_Current[Electrification and rural subsidy  c/kWh],MATCH(J$64,Rates_Other_Current[Code],0)),"0")</f>
        <v>0</v>
      </c>
      <c r="K54" s="107" t="str">
        <f ca="1">IF(K$68=1,INDEX(Rates_Other_Current[Electrification and rural subsidy  c/kWh],MATCH(K$64,Rates_Other_Current[Code],0)),"0")</f>
        <v>0</v>
      </c>
      <c r="L54" s="107" t="str">
        <f ca="1">IF(L$68=1,INDEX(Rates_Other_Current[Electrification and rural subsidy  c/kWh],MATCH(L$64,Rates_Other_Current[Code],0)),"0")</f>
        <v>0</v>
      </c>
      <c r="M54" s="107" t="str">
        <f ca="1">IF(M$68=1,INDEX(Rates_Other_Current[Electrification and rural subsidy  c/kWh],MATCH(M$64,Rates_Other_Current[Code],0)),"0")</f>
        <v>0</v>
      </c>
      <c r="N54" s="107" t="str">
        <f ca="1">IF(N$68=1,INDEX(Rates_Other_Current[Electrification and rural subsidy  c/kWh],MATCH(N$64,Rates_Other_Current[Code],0)),"0")</f>
        <v>0</v>
      </c>
      <c r="O54" s="107" t="str">
        <f ca="1">IF(O$68=1,INDEX(Rates_Other_Current[Electrification and rural subsidy  c/kWh],MATCH(O$64,Rates_Other_Current[Code],0)),"0")</f>
        <v>0</v>
      </c>
      <c r="P54" s="107" t="str">
        <f ca="1">IF(P$68=1,INDEX(Rates_Other_Current[Electrification and rural subsidy  c/kWh],MATCH(P$64,Rates_Other_Current[Code],0)),"0")</f>
        <v>0</v>
      </c>
      <c r="Q54" s="107" t="str">
        <f ca="1">IF(Q$68=1,INDEX(Rates_Other_Current[Electrification and rural subsidy  c/kWh],MATCH(Q$64,Rates_Other_Current[Code],0)),"0")</f>
        <v>0</v>
      </c>
      <c r="R54" s="107" t="str">
        <f ca="1">IF(R$68=1,INDEX(Rates_Other_Current[Electrification and rural subsidy  c/kWh],MATCH(R$64,Rates_Other_Current[Code],0)),"0")</f>
        <v>0</v>
      </c>
      <c r="S54" s="107" t="str">
        <f ca="1">IF(S$68=1,INDEX(Rates_Other_Current[Electrification and rural subsidy  c/kWh],MATCH(S$64,Rates_Other_Current[Code],0)),"0")</f>
        <v>0</v>
      </c>
      <c r="T54" s="107" t="str">
        <f ca="1">IF(T$68=1,INDEX(Rates_Other_Current[Electrification and rural subsidy  c/kWh],MATCH(T$64,Rates_Other_Current[Code],0)),"0")</f>
        <v>0</v>
      </c>
      <c r="U54" s="107" t="str">
        <f ca="1">IF(U$68=1,INDEX(Rates_Other_Current[Electrification and rural subsidy  c/kWh],MATCH(U$64,Rates_Other_Current[Code],0)),"0")</f>
        <v>0</v>
      </c>
      <c r="V54" s="107">
        <f ca="1">IF(V$68=1,INDEX(Rates_Other_Current[Electrification and rural subsidy  c/kWh],MATCH(V$64,Rates_Other_Current[Code],0)),"0")</f>
        <v>4.9400000000000004</v>
      </c>
      <c r="W54" s="107">
        <f ca="1">IF(W$68=1,INDEX(Rates_Other_Current[Electrification and rural subsidy  c/kWh],MATCH(W$64,Rates_Other_Current[Code],0)),"0")</f>
        <v>4.9400000000000004</v>
      </c>
      <c r="X54" s="107">
        <f>IF(X$68=1,INDEX(Rates_Other_Current[Electrification and rural subsidy  c/kWh],MATCH(X$64,Rates_Other_Current[Code],0)),"0")</f>
        <v>4.9400000000000004</v>
      </c>
      <c r="Y54" s="107">
        <f ca="1">IF(Y$68=1,INDEX(Rates_Other_Current[Electrification and rural subsidy  c/kWh],MATCH(Y$64,Rates_Other_Current[Code],0)),"0")</f>
        <v>0</v>
      </c>
      <c r="Z54" s="107">
        <f ca="1">IF(Z$68=1,INDEX(Rates_Other_Current[Electrification and rural subsidy  c/kWh],MATCH(Z$64,Rates_Other_Current[Code],0)),"0")</f>
        <v>4.9400000000000004</v>
      </c>
      <c r="AA54" s="107">
        <f ca="1">IF(AA$68=1,INDEX(Rates_Other_Current[Electrification and rural subsidy  c/kWh],MATCH(AA$64,Rates_Other_Current[Code],0)),"0")</f>
        <v>0</v>
      </c>
      <c r="AB54" s="107" t="str">
        <f ca="1">IF(AB$68=1,INDEX(Rates_Other_Current[Electrification and rural subsidy  c/kWh],MATCH(AB$64,Rates_Other_Current[Code],0)),"0")</f>
        <v>0</v>
      </c>
      <c r="AC54" s="107" t="str">
        <f ca="1">IF(AC$68=1,INDEX(Rates_Other_Current[Electrification and rural subsidy  c/kWh],MATCH(AC$64,Rates_Other_Current[Code],0)),"0")</f>
        <v>0</v>
      </c>
      <c r="AD54" s="107" t="str">
        <f ca="1">IF(AD$68=1,INDEX(Rates_Other_Current[Electrification and rural subsidy  c/kWh],MATCH(AD$64,Rates_Other_Current[Code],0)),"0")</f>
        <v>0</v>
      </c>
      <c r="AE54" s="107" t="str">
        <f ca="1">IF(AE$68=1,INDEX(Rates_Other_Current[Electrification and rural subsidy  c/kWh],MATCH(AE$64,Rates_Other_Current[Code],0)),"0")</f>
        <v>0</v>
      </c>
      <c r="AF54" s="107" t="str">
        <f ca="1">IF(AF$68=1,INDEX(Rates_Other_Current[Electrification and rural subsidy  c/kWh],MATCH(AF$64,Rates_Other_Current[Code],0)),"0")</f>
        <v>0</v>
      </c>
      <c r="AG54" s="107" t="e">
        <f>IF(AG$68=1,INDEX(Rates_Other_Current[Electrification and rural subsidy  c/kWh],MATCH(AG$64,Rates_Other_Current[Code],0)),"0")</f>
        <v>#N/A</v>
      </c>
      <c r="AH54" s="107" t="str">
        <f ca="1">IF(AH$68=1,INDEX(Rates_Other_Current[Electrification and rural subsidy  c/kWh],MATCH(AH$64,Rates_Other_Current[Code],0)),"0")</f>
        <v>0</v>
      </c>
      <c r="AI54" s="107" t="str">
        <f ca="1">IF(AI$68=1,INDEX(Rates_Other_Current[Electrification and rural subsidy  c/kWh],MATCH(AI$64,Rates_Other_Current[Code],0)),"0")</f>
        <v>0</v>
      </c>
      <c r="AJ54" s="107" t="str">
        <f ca="1">IF(AJ$68=1,INDEX(Rates_Other_Current[Electrification and rural subsidy  c/kWh],MATCH(AJ$64,Rates_Other_Current[Code],0)),"0")</f>
        <v>0</v>
      </c>
      <c r="AK54" s="107" t="str">
        <f ca="1">IF(AK$68=1,INDEX(Rates_Other_Current[Electrification and rural subsidy  c/kWh],MATCH(AK$64,Rates_Other_Current[Code],0)),"0")</f>
        <v>0</v>
      </c>
      <c r="AL54" s="107" t="str">
        <f ca="1">IF(AL$68=1,INDEX(Rates_Other_Current[Electrification and rural subsidy  c/kWh],MATCH(AL$64,Rates_Other_Current[Code],0)),INDEX(Rates_AllOther_New[Electrification and rural subsidy '[c/kWh']],MATCH(AL$64,Rates_AllOther_Current[Code],0)))</f>
        <v>n/a</v>
      </c>
      <c r="AM54" s="107" t="str">
        <f ca="1">IF(AM$68=1,INDEX(Rates_Other_New[Electrification and rural subsidy  c/kWh],MATCH(AM$64,Rates_Other_New[Code],0)),INDEX(Rates_AllOther_New[Electrification and rural subsidy '[c/kWh']],MATCH(AM$64,Rates_AllOther_New[Code],0)))</f>
        <v>n/a</v>
      </c>
      <c r="AN54" s="107" t="str">
        <f ca="1">IF(AN$68=1,INDEX(Rates_Other_New[Electrification and rural subsidy  c/kWh],MATCH(AN$64,Rates_Other_New[Code],0)),INDEX(Rates_AllOther_New[Electrification and rural subsidy '[c/kWh']],MATCH(AN$64,Rates_AllOther_New[Code],0)))</f>
        <v>n/a</v>
      </c>
      <c r="AO54" s="107" t="str">
        <f ca="1">IF(AO$68=1,INDEX(Rates_Other_New[Electrification and rural subsidy  c/kWh],MATCH(AO$64,Rates_Other_New[Code],0)),INDEX(Rates_AllOther_New[Electrification and rural subsidy '[c/kWh']],MATCH(AO$64,Rates_AllOther_New[Code],0)))</f>
        <v>n/a</v>
      </c>
      <c r="AP54" s="107">
        <f ca="1">IF(AP$68=1,INDEX(Rates_Other_Current[Electrification and rural subsidy  c/kWh],MATCH(AP$64,Rates_Other_Current[Code],0)),"0")</f>
        <v>4.9400000000000004</v>
      </c>
      <c r="AQ54" s="107">
        <f ca="1">IF(AQ$68=1,INDEX(Rates_Other_Current[Electrification and rural subsidy  c/kWh],MATCH(AQ$64,Rates_Other_Current[Code],0)),"0")</f>
        <v>4.9400000000000004</v>
      </c>
      <c r="AR54" s="107" t="str">
        <f ca="1">IF(AR$68=1,INDEX(Rates_Other_Current[Electrification and rural subsidy  c/kWh],MATCH(AR$64,Rates_Other_Current[Code],0)),"0")</f>
        <v>0</v>
      </c>
      <c r="AT54" s="118">
        <f t="shared" ca="1" si="22"/>
        <v>5.37</v>
      </c>
      <c r="AU54" s="107">
        <f ca="1">IF(AU$68=1,INDEX(Rates_Other_New[Electrification and rural subsidy  c/kWh],MATCH(AU$64,Rates_Other_New[Code],0)),INDEX(Rates_AllOther_New[Electrification and rural subsidy '[c/kWh']],MATCH(AU$64,Rates_AllOther_New[Code],0)))</f>
        <v>5.37</v>
      </c>
      <c r="AV54" s="107">
        <f ca="1">IF(AV$68=1,INDEX(Rates_Other_New[Electrification and rural subsidy  c/kWh],MATCH(AV$64,Rates_Other_New[Code],0)),INDEX(Rates_AllOther_New[Electrification and rural subsidy '[c/kWh']],MATCH(AV$64,Rates_AllOther_New[Code],0)))</f>
        <v>5.37</v>
      </c>
      <c r="AW54" s="107">
        <f ca="1">IF(AW$68=1,INDEX(Rates_Other_New[Electrification and rural subsidy  c/kWh],MATCH(AW$64,Rates_Other_New[Code],0)),INDEX(Rates_AllOther_New[Electrification and rural subsidy '[c/kWh']],MATCH(AW$64,Rates_AllOther_New[Code],0)))</f>
        <v>5.37</v>
      </c>
      <c r="AX54" s="107">
        <f ca="1">IF(AX$68=1,INDEX(Rates_Other_New[Electrification and rural subsidy  c/kWh],MATCH(AX$64,Rates_Other_New[Code],0)),INDEX(Rates_AllOther_New[Electrification and rural subsidy '[c/kWh']],MATCH(AX$64,Rates_AllOther_New[Code],0)))</f>
        <v>5.37</v>
      </c>
      <c r="AY54" s="107">
        <f ca="1">IF(AY$68=1,INDEX(Rates_Other_New[Electrification and rural subsidy  c/kWh],MATCH(AY$64,Rates_Other_New[Code],0)),INDEX(Rates_AllOther_New[Electrification and rural subsidy '[c/kWh']],MATCH(AY$64,Rates_AllOther_New[Code],0)))</f>
        <v>0</v>
      </c>
      <c r="AZ54" s="107">
        <f ca="1">IF(AZ$68=1,INDEX(Rates_Other_New[Electrification and rural subsidy  c/kWh],MATCH(AZ$64,Rates_Other_New[Code],0)),INDEX(Rates_AllOther_New[Electrification and rural subsidy '[c/kWh']],MATCH(AZ$64,Rates_AllOther_New[Code],0)))</f>
        <v>0</v>
      </c>
      <c r="BA54" s="107">
        <f ca="1">IF(BA$68=1,INDEX(Rates_Other_New[Electrification and rural subsidy  c/kWh],MATCH(BA$64,Rates_Other_New[Code],0)),INDEX(Rates_AllOther_New[Electrification and rural subsidy '[c/kWh']],MATCH(BA$64,Rates_AllOther_New[Code],0)))</f>
        <v>0</v>
      </c>
      <c r="BB54" s="107">
        <f ca="1">IF(BB$68=1,INDEX(Rates_Other_New[Electrification and rural subsidy  c/kWh],MATCH(BB$64,Rates_Other_New[Code],0)),INDEX(Rates_AllOther_New[Electrification and rural subsidy '[c/kWh']],MATCH(BB$64,Rates_AllOther_New[Code],0)))</f>
        <v>0</v>
      </c>
      <c r="BC54" s="107">
        <f ca="1">IF(BC$68=1,INDEX(Rates_Other_New[Electrification and rural subsidy  c/kWh],MATCH(BC$64,Rates_Other_New[Code],0)),INDEX(Rates_AllOther_New[Electrification and rural subsidy '[c/kWh']],MATCH(BC$64,Rates_AllOther_New[Code],0)))</f>
        <v>0</v>
      </c>
      <c r="BD54" s="107">
        <f ca="1">IF(BD$68=1,INDEX(Rates_Other_New[Electrification and rural subsidy  c/kWh],MATCH(BD$64,Rates_Other_New[Code],0)),INDEX(Rates_AllOther_New[Electrification and rural subsidy '[c/kWh']],MATCH(BD$64,Rates_AllOther_New[Code],0)))</f>
        <v>0</v>
      </c>
      <c r="BE54" s="107">
        <f ca="1">IF(BE$68=1,INDEX(Rates_Other_New[Electrification and rural subsidy  c/kWh],MATCH(BE$64,Rates_Other_New[Code],0)),INDEX(Rates_AllOther_New[Electrification and rural subsidy '[c/kWh']],MATCH(BE$64,Rates_AllOther_New[Code],0)))</f>
        <v>0</v>
      </c>
      <c r="BF54" s="107">
        <f ca="1">IF(BF$68=1,INDEX(Rates_Other_New[Electrification and rural subsidy  c/kWh],MATCH(BF$64,Rates_Other_New[Code],0)),INDEX(Rates_AllOther_New[Electrification and rural subsidy '[c/kWh']],MATCH(BF$64,Rates_AllOther_New[Code],0)))</f>
        <v>0</v>
      </c>
      <c r="BG54" s="107">
        <f ca="1">IF(BG$68=1,INDEX(Rates_Other_New[Electrification and rural subsidy  c/kWh],MATCH(BG$64,Rates_Other_New[Code],0)),INDEX(Rates_AllOther_New[Electrification and rural subsidy '[c/kWh']],MATCH(BG$64,Rates_AllOther_New[Code],0)))</f>
        <v>0</v>
      </c>
      <c r="BH54" s="107">
        <f ca="1">IF(BH$68=1,INDEX(Rates_Other_New[Electrification and rural subsidy  c/kWh],MATCH(BH$64,Rates_Other_New[Code],0)),INDEX(Rates_AllOther_New[Electrification and rural subsidy '[c/kWh']],MATCH(BH$64,Rates_AllOther_New[Code],0)))</f>
        <v>0</v>
      </c>
      <c r="BI54" s="107">
        <f ca="1">IF(BI$68=1,INDEX(Rates_Other_New[Electrification and rural subsidy  c/kWh],MATCH(BI$64,Rates_Other_New[Code],0)),INDEX(Rates_AllOther_New[Electrification and rural subsidy '[c/kWh']],MATCH(BI$64,Rates_AllOther_New[Code],0)))</f>
        <v>0</v>
      </c>
      <c r="BJ54" s="107">
        <f ca="1">IF(BJ$68=1,INDEX(Rates_Other_New[Electrification and rural subsidy  c/kWh],MATCH(BJ$64,Rates_Other_New[Code],0)),INDEX(Rates_AllOther_New[Electrification and rural subsidy '[c/kWh']],MATCH(BJ$64,Rates_AllOther_New[Code],0)))</f>
        <v>0</v>
      </c>
      <c r="BK54" s="107">
        <f ca="1">IF(BK$68=1,INDEX(Rates_Other_New[Electrification and rural subsidy  c/kWh],MATCH(BK$64,Rates_Other_New[Code],0)),INDEX(Rates_AllOther_New[Electrification and rural subsidy '[c/kWh']],MATCH(BK$64,Rates_AllOther_New[Code],0)))</f>
        <v>5.37</v>
      </c>
      <c r="BL54" s="107">
        <f ca="1">IF(BL$68=1,INDEX(Rates_Other_New[Electrification and rural subsidy  c/kWh],MATCH(BL$64,Rates_Other_New[Code],0)),INDEX(Rates_AllOther_New[Electrification and rural subsidy '[c/kWh']],MATCH(BL$64,Rates_AllOther_New[Code],0)))</f>
        <v>5.37</v>
      </c>
      <c r="BM54" s="107">
        <f>IF(BM$68=1,INDEX(Rates_Other_New[Electrification and rural subsidy  c/kWh],MATCH(BM$64,Rates_Other_New[Code],0)),INDEX(Rates_AllOther_New[Electrification and rural subsidy '[c/kWh']],MATCH(BM$64,Rates_AllOther_New[Code],0)))</f>
        <v>5.37</v>
      </c>
      <c r="BN54" s="107">
        <f ca="1">IF(BN$68=1,INDEX(Rates_Other_New[Electrification and rural subsidy  c/kWh],MATCH(BN$64,Rates_Other_New[Code],0)),INDEX(Rates_AllOther_New[Electrification and rural subsidy '[c/kWh']],MATCH(BN$64,Rates_AllOther_New[Code],0)))</f>
        <v>0</v>
      </c>
      <c r="BO54" s="107">
        <f ca="1">IF(BO$68=1,INDEX(Rates_Other_New[Electrification and rural subsidy  c/kWh],MATCH(BO$64,Rates_Other_New[Code],0)),INDEX(Rates_AllOther_New[Electrification and rural subsidy '[c/kWh']],MATCH(BO$64,Rates_AllOther_New[Code],0)))</f>
        <v>5.37</v>
      </c>
      <c r="BP54" s="107">
        <f ca="1">IF(BP$68=1,INDEX(Rates_Other_New[Electrification and rural subsidy  c/kWh],MATCH(BP$64,Rates_Other_New[Code],0)),INDEX(Rates_AllOther_New[Electrification and rural subsidy '[c/kWh']],MATCH(BP$64,Rates_AllOther_New[Code],0)))</f>
        <v>0</v>
      </c>
      <c r="BQ54" s="107">
        <f ca="1">IF(BQ$68=1,INDEX(Rates_Other_New[Electrification and rural subsidy  c/kWh],MATCH(BQ$64,Rates_Other_New[Code],0)),INDEX(Rates_AllOther_New[Electrification and rural subsidy '[c/kWh']],MATCH(BQ$64,Rates_AllOther_New[Code],0)))</f>
        <v>0</v>
      </c>
      <c r="BR54" s="107">
        <f ca="1">IF(BR$68=1,INDEX(Rates_Other_New[Electrification and rural subsidy  c/kWh],MATCH(BR$64,Rates_Other_New[Code],0)),INDEX(Rates_AllOther_New[Electrification and rural subsidy '[c/kWh']],MATCH(BR$64,Rates_AllOther_New[Code],0)))</f>
        <v>0</v>
      </c>
      <c r="BS54" s="107">
        <f ca="1">IF(BS$68=1,INDEX(Rates_Other_New[Electrification and rural subsidy  c/kWh],MATCH(BS$64,Rates_Other_New[Code],0)),INDEX(Rates_AllOther_New[Electrification and rural subsidy '[c/kWh']],MATCH(BS$64,Rates_AllOther_New[Code],0)))</f>
        <v>0</v>
      </c>
      <c r="BT54" s="107">
        <f ca="1">IF(BT$68=1,INDEX(Rates_Other_New[Electrification and rural subsidy  c/kWh],MATCH(BT$64,Rates_Other_New[Code],0)),INDEX(Rates_AllOther_New[Electrification and rural subsidy '[c/kWh']],MATCH(BT$64,Rates_AllOther_New[Code],0)))</f>
        <v>0</v>
      </c>
      <c r="BU54" s="107">
        <f ca="1">IF(BU$68=1,INDEX(Rates_Other_New[Electrification and rural subsidy  c/kWh],MATCH(BU$64,Rates_Other_New[Code],0)),INDEX(Rates_AllOther_New[Electrification and rural subsidy '[c/kWh']],MATCH(BU$64,Rates_AllOther_New[Code],0)))</f>
        <v>0</v>
      </c>
      <c r="BV54" s="107" t="e">
        <f>IF(BV$68=1,INDEX(Rates_Other_New[Electrification and rural subsidy  c/kWh],MATCH(BV$64,Rates_Other_New[Code],0)),INDEX(Rates_AllOther_New[Electrification and rural subsidy '[c/kWh']],MATCH(BV$64,Rates_AllOther_New[Code],0)))</f>
        <v>#N/A</v>
      </c>
      <c r="BW54" s="107" t="e">
        <f ca="1">IF(BW$68=1,INDEX(Rates_Other_New[Electrification and rural subsidy  c/kWh],MATCH(BW$64,Rates_Other_New[Code],0)),INDEX(Rates_AllOther_New[Electrification and rural subsidy '[c/kWh']],MATCH(BW$64,Rates_AllOther_New[Code],0)))</f>
        <v>#N/A</v>
      </c>
      <c r="BX54" s="107" t="e">
        <f ca="1">IF(BX$68=1,INDEX(Rates_Other_New[Electrification and rural subsidy  c/kWh],MATCH(BX$64,Rates_Other_New[Code],0)),INDEX(Rates_AllOther_New[Electrification and rural subsidy '[c/kWh']],MATCH(BX$64,Rates_AllOther_New[Code],0)))</f>
        <v>#N/A</v>
      </c>
      <c r="BY54" s="107" t="e">
        <f ca="1">IF(BY$68=1,INDEX(Rates_Other_New[Electrification and rural subsidy  c/kWh],MATCH(BY$64,Rates_Other_New[Code],0)),INDEX(Rates_AllOther_New[Electrification and rural subsidy '[c/kWh']],MATCH(BY$64,Rates_AllOther_New[Code],0)))</f>
        <v>#N/A</v>
      </c>
      <c r="BZ54" s="107" t="e">
        <f ca="1">IF(BZ$68=1,INDEX(Rates_Other_New[Electrification and rural subsidy  c/kWh],MATCH(BZ$64,Rates_Other_New[Code],0)),INDEX(Rates_AllOther_New[Electrification and rural subsidy '[c/kWh']],MATCH(BZ$64,Rates_AllOther_New[Code],0)))</f>
        <v>#N/A</v>
      </c>
      <c r="CA54" s="107" t="str">
        <f ca="1">IF(CA$68=1,INDEX(Rates_Other_New[Electrification and rural subsidy  c/kWh],MATCH(CA$64,Rates_Other_New[Code],0)),INDEX(Rates_AllOther_New[Electrification and rural subsidy '[c/kWh']],MATCH(CA$64,Rates_AllOther_New[Code],0)))</f>
        <v>n/a</v>
      </c>
      <c r="CB54" s="107" t="str">
        <f ca="1">IF(CB$68=1,INDEX(Rates_Other_New[Electrification and rural subsidy  c/kWh],MATCH(CB$64,Rates_Other_New[Code],0)),INDEX(Rates_AllOther_New[Electrification and rural subsidy '[c/kWh']],MATCH(CB$64,Rates_AllOther_New[Code],0)))</f>
        <v>n/a</v>
      </c>
      <c r="CC54" s="107" t="str">
        <f ca="1">IF(CC$68=1,INDEX(Rates_Other_New[Electrification and rural subsidy  c/kWh],MATCH(CC$64,Rates_Other_New[Code],0)),INDEX(Rates_AllOther_New[Electrification and rural subsidy '[c/kWh']],MATCH(CC$64,Rates_AllOther_New[Code],0)))</f>
        <v>n/a</v>
      </c>
      <c r="CD54" s="107" t="str">
        <f ca="1">IF(CD$68=1,INDEX(Rates_Other_New[Electrification and rural subsidy  c/kWh],MATCH(CD$64,Rates_Other_New[Code],0)),INDEX(Rates_AllOther_New[Electrification and rural subsidy '[c/kWh']],MATCH(CD$64,Rates_AllOther_New[Code],0)))</f>
        <v>n/a</v>
      </c>
      <c r="CE54" s="107">
        <f ca="1">IF(CE$68=1,INDEX(Rates_Other_New[Electrification and rural subsidy  c/kWh],MATCH(CE$64,Rates_Other_New[Code],0)),INDEX(Rates_AllOther_New[Electrification and rural subsidy '[c/kWh']],MATCH(CE$64,Rates_AllOther_New[Code],0)))</f>
        <v>5.37</v>
      </c>
      <c r="CF54" s="107">
        <f ca="1">IF(CF$68=1,INDEX(Rates_Other_New[Electrification and rural subsidy  c/kWh],MATCH(CF$64,Rates_Other_New[Code],0)),INDEX(Rates_AllOther_New[Electrification and rural subsidy '[c/kWh']],MATCH(CF$64,Rates_AllOther_New[Code],0)))</f>
        <v>5.37</v>
      </c>
    </row>
    <row r="55" spans="2:84" s="77" customFormat="1" ht="13.8">
      <c r="C55" s="77" t="s">
        <v>125</v>
      </c>
      <c r="D55" s="117" t="s">
        <v>106</v>
      </c>
      <c r="E55" s="118">
        <f t="shared" ca="1" si="21"/>
        <v>4.6900000000000004</v>
      </c>
      <c r="F55" s="107" t="str">
        <f ca="1">IF(F$68=1,INDEX(Rates_Other_Current[Affordability Subsidy c/kWh],MATCH(F$64,Rates_Other_Current[Code],0)),"n/a")</f>
        <v>n/a</v>
      </c>
      <c r="G55" s="107" t="str">
        <f ca="1">IF(G$68=1,INDEX(Rates_Other_Current[Affordability Subsidy c/kWh],MATCH(G$64,Rates_Other_Current[Code],0)),"n/a")</f>
        <v>n/a</v>
      </c>
      <c r="H55" s="107" t="str">
        <f ca="1">IF(H$68=1,INDEX(Rates_Other_Current[Affordability Subsidy c/kWh],MATCH(H$64,Rates_Other_Current[Code],0)),"n/a")</f>
        <v>n/a</v>
      </c>
      <c r="I55" s="107" t="str">
        <f ca="1">IF(I$68=1,INDEX(Rates_Other_Current[Affordability Subsidy c/kWh],MATCH(I$64,Rates_Other_Current[Code],0)),"n/a")</f>
        <v>n/a</v>
      </c>
      <c r="J55" s="107" t="str">
        <f ca="1">IF(J$68=1,INDEX(Rates_Other_Current[Affordability Subsidy c/kWh],MATCH(J$64,Rates_Other_Current[Code],0)),"n/a")</f>
        <v>n/a</v>
      </c>
      <c r="K55" s="107" t="str">
        <f ca="1">IF(K$68=1,INDEX(Rates_Other_Current[Affordability Subsidy c/kWh],MATCH(K$64,Rates_Other_Current[Code],0)),"n/a")</f>
        <v>n/a</v>
      </c>
      <c r="L55" s="107" t="str">
        <f ca="1">IF(L$68=1,INDEX(Rates_Other_Current[Affordability Subsidy c/kWh],MATCH(L$64,Rates_Other_Current[Code],0)),"n/a")</f>
        <v>n/a</v>
      </c>
      <c r="M55" s="107" t="str">
        <f ca="1">IF(M$68=1,INDEX(Rates_Other_Current[Affordability Subsidy c/kWh],MATCH(M$64,Rates_Other_Current[Code],0)),"n/a")</f>
        <v>n/a</v>
      </c>
      <c r="N55" s="107" t="str">
        <f ca="1">IF(N$68=1,INDEX(Rates_Other_Current[Affordability Subsidy c/kWh],MATCH(N$64,Rates_Other_Current[Code],0)),"n/a")</f>
        <v>n/a</v>
      </c>
      <c r="O55" s="107" t="str">
        <f ca="1">IF(O$68=1,INDEX(Rates_Other_Current[Affordability Subsidy c/kWh],MATCH(O$64,Rates_Other_Current[Code],0)),"n/a")</f>
        <v>n/a</v>
      </c>
      <c r="P55" s="107" t="str">
        <f ca="1">IF(P$68=1,INDEX(Rates_Other_Current[Affordability Subsidy c/kWh],MATCH(P$64,Rates_Other_Current[Code],0)),"n/a")</f>
        <v>n/a</v>
      </c>
      <c r="Q55" s="107" t="str">
        <f ca="1">IF(Q$68=1,INDEX(Rates_Other_Current[Affordability Subsidy c/kWh],MATCH(Q$64,Rates_Other_Current[Code],0)),"n/a")</f>
        <v>n/a</v>
      </c>
      <c r="R55" s="107" t="str">
        <f ca="1">IF(R$68=1,INDEX(Rates_Other_Current[Affordability Subsidy c/kWh],MATCH(R$64,Rates_Other_Current[Code],0)),"n/a")</f>
        <v>n/a</v>
      </c>
      <c r="S55" s="107" t="str">
        <f ca="1">IF(S$68=1,INDEX(Rates_Other_Current[Affordability Subsidy c/kWh],MATCH(S$64,Rates_Other_Current[Code],0)),"n/a")</f>
        <v>n/a</v>
      </c>
      <c r="T55" s="107" t="str">
        <f ca="1">IF(T$68=1,INDEX(Rates_Other_Current[Affordability Subsidy c/kWh],MATCH(T$64,Rates_Other_Current[Code],0)),"n/a")</f>
        <v>n/a</v>
      </c>
      <c r="U55" s="107" t="str">
        <f ca="1">IF(U$68=1,INDEX(Rates_Other_Current[Affordability Subsidy c/kWh],MATCH(U$64,Rates_Other_Current[Code],0)),"n/a")</f>
        <v>n/a</v>
      </c>
      <c r="V55" s="107">
        <f ca="1">IF(V$68=1,INDEX(Rates_Other_Current[Affordability Subsidy c/kWh],MATCH(V$64,Rates_Other_Current[Code],0)),"n/a")</f>
        <v>4.6900000000000004</v>
      </c>
      <c r="W55" s="107">
        <f ca="1">IF(W$68=1,INDEX(Rates_Other_Current[Affordability Subsidy c/kWh],MATCH(W$64,Rates_Other_Current[Code],0)),"n/a")</f>
        <v>4.6900000000000004</v>
      </c>
      <c r="X55" s="107">
        <f>IF(X$68=1,INDEX(Rates_Other_Current[Affordability Subsidy c/kWh],MATCH(X$64,Rates_Other_Current[Code],0)),"n/a")</f>
        <v>4.6900000000000004</v>
      </c>
      <c r="Y55" s="107">
        <f ca="1">IF(Y$68=1,INDEX(Rates_Other_Current[Affordability Subsidy c/kWh],MATCH(Y$64,Rates_Other_Current[Code],0)),"n/a")</f>
        <v>0</v>
      </c>
      <c r="Z55" s="107">
        <f ca="1">IF(Z$68=1,INDEX(Rates_Other_Current[Affordability Subsidy c/kWh],MATCH(Z$64,Rates_Other_Current[Code],0)),"n/a")</f>
        <v>4.6900000000000004</v>
      </c>
      <c r="AA55" s="107">
        <f ca="1">IF(AA$68=1,INDEX(Rates_Other_Current[Affordability Subsidy c/kWh],MATCH(AA$64,Rates_Other_Current[Code],0)),"n/a")</f>
        <v>0</v>
      </c>
      <c r="AB55" s="107" t="str">
        <f ca="1">IF(AB$68=1,INDEX(Rates_Other_Current[Affordability Subsidy c/kWh],MATCH(AB$64,Rates_Other_Current[Code],0)),"n/a")</f>
        <v>n/a</v>
      </c>
      <c r="AC55" s="107" t="str">
        <f ca="1">IF(AC$68=1,INDEX(Rates_Other_Current[Affordability Subsidy c/kWh],MATCH(AC$64,Rates_Other_Current[Code],0)),"n/a")</f>
        <v>n/a</v>
      </c>
      <c r="AD55" s="107" t="str">
        <f ca="1">IF(AD$68=1,INDEX(Rates_Other_Current[Affordability Subsidy c/kWh],MATCH(AD$64,Rates_Other_Current[Code],0)),"n/a")</f>
        <v>n/a</v>
      </c>
      <c r="AE55" s="107" t="str">
        <f ca="1">IF(AE$68=1,INDEX(Rates_Other_Current[Affordability Subsidy c/kWh],MATCH(AE$64,Rates_Other_Current[Code],0)),"n/a")</f>
        <v>n/a</v>
      </c>
      <c r="AF55" s="107" t="str">
        <f ca="1">IF(AF$68=1,INDEX(Rates_Other_Current[Affordability Subsidy c/kWh],MATCH(AF$64,Rates_Other_Current[Code],0)),"n/a")</f>
        <v>n/a</v>
      </c>
      <c r="AG55" s="107" t="e">
        <f>IF(AG$68=1,INDEX(Rates_Other_Current[Affordability Subsidy c/kWh],MATCH(AG$64,Rates_Other_Current[Code],0)),"n/a")</f>
        <v>#N/A</v>
      </c>
      <c r="AH55" s="107" t="str">
        <f ca="1">IF(AH$68=1,INDEX(Rates_Other_Current[Affordability Subsidy c/kWh],MATCH(AH$64,Rates_Other_Current[Code],0)),"n/a")</f>
        <v>n/a</v>
      </c>
      <c r="AI55" s="107" t="str">
        <f ca="1">IF(AI$68=1,INDEX(Rates_Other_Current[Affordability Subsidy c/kWh],MATCH(AI$64,Rates_Other_Current[Code],0)),"n/a")</f>
        <v>n/a</v>
      </c>
      <c r="AJ55" s="107" t="str">
        <f ca="1">IF(AJ$68=1,INDEX(Rates_Other_Current[Affordability Subsidy c/kWh],MATCH(AJ$64,Rates_Other_Current[Code],0)),"n/a")</f>
        <v>n/a</v>
      </c>
      <c r="AK55" s="107" t="str">
        <f ca="1">IF(AK$68=1,INDEX(Rates_Other_Current[Affordability Subsidy c/kWh],MATCH(AK$64,Rates_Other_Current[Code],0)),"n/a")</f>
        <v>n/a</v>
      </c>
      <c r="AL55" s="107" t="str">
        <f ca="1">IF(AL$68=1,INDEX(Rates_Other_Current[Affordability Subsidy c/kWh],MATCH(AL$64,Rates_Other_Current[Code],0)),"n/a")</f>
        <v>n/a</v>
      </c>
      <c r="AM55" s="107" t="str">
        <f ca="1">IF(AM$68=1,INDEX(Rates_Other_New[Affordability Subsidy c/kWh],MATCH(AM$64,Rates_Other_New[Code],0)),"n/a")</f>
        <v>n/a</v>
      </c>
      <c r="AN55" s="107" t="str">
        <f ca="1">IF(AN$68=1,INDEX(Rates_Other_New[Affordability Subsidy c/kWh],MATCH(AN$64,Rates_Other_New[Code],0)),"n/a")</f>
        <v>n/a</v>
      </c>
      <c r="AO55" s="107" t="str">
        <f ca="1">IF(AO$68=1,INDEX(Rates_Other_New[Affordability Subsidy c/kWh],MATCH(AO$64,Rates_Other_New[Code],0)),"n/a")</f>
        <v>n/a</v>
      </c>
      <c r="AP55" s="107">
        <f ca="1">IF(AP$68=1,INDEX(Rates_Other_Current[Affordability Subsidy c/kWh],MATCH(AP$64,Rates_Other_Current[Code],0)),"n/a")</f>
        <v>4.6900000000000004</v>
      </c>
      <c r="AQ55" s="107">
        <f ca="1">IF(AQ$68=1,INDEX(Rates_Other_Current[Affordability Subsidy c/kWh],MATCH(AQ$64,Rates_Other_Current[Code],0)),"n/a")</f>
        <v>4.6900000000000004</v>
      </c>
      <c r="AR55" s="107" t="str">
        <f ca="1">IF(AR$68=1,INDEX(Rates_Other_Current[Affordability Subsidy c/kWh],MATCH(AR$64,Rates_Other_Current[Code],0)),"n/a")</f>
        <v>n/a</v>
      </c>
      <c r="AT55" s="118">
        <f t="shared" ca="1" si="22"/>
        <v>5.0999999999999996</v>
      </c>
      <c r="AU55" s="107" t="str">
        <f ca="1">IF(AU$68=1,INDEX(Rates_Other_New[Affordability Subsidy c/kWh],MATCH(AU$64,Rates_Other_New[Code],0)),"n/a")</f>
        <v>n/a</v>
      </c>
      <c r="AV55" s="107" t="str">
        <f ca="1">IF(AV$68=1,INDEX(Rates_Other_New[Affordability Subsidy c/kWh],MATCH(AV$64,Rates_Other_New[Code],0)),"n/a")</f>
        <v>n/a</v>
      </c>
      <c r="AW55" s="107" t="str">
        <f ca="1">IF(AW$68=1,INDEX(Rates_Other_New[Affordability Subsidy c/kWh],MATCH(AW$64,Rates_Other_New[Code],0)),"n/a")</f>
        <v>n/a</v>
      </c>
      <c r="AX55" s="107" t="str">
        <f ca="1">IF(AX$68=1,INDEX(Rates_Other_New[Affordability Subsidy c/kWh],MATCH(AX$64,Rates_Other_New[Code],0)),"n/a")</f>
        <v>n/a</v>
      </c>
      <c r="AY55" s="107" t="str">
        <f ca="1">IF(AY$68=1,INDEX(Rates_Other_New[Affordability Subsidy c/kWh],MATCH(AY$64,Rates_Other_New[Code],0)),"n/a")</f>
        <v>n/a</v>
      </c>
      <c r="AZ55" s="107" t="str">
        <f ca="1">IF(AZ$68=1,INDEX(Rates_Other_New[Affordability Subsidy c/kWh],MATCH(AZ$64,Rates_Other_New[Code],0)),"n/a")</f>
        <v>n/a</v>
      </c>
      <c r="BA55" s="107" t="str">
        <f ca="1">IF(BA$68=1,INDEX(Rates_Other_New[Affordability Subsidy c/kWh],MATCH(BA$64,Rates_Other_New[Code],0)),"n/a")</f>
        <v>n/a</v>
      </c>
      <c r="BB55" s="107" t="str">
        <f ca="1">IF(BB$68=1,INDEX(Rates_Other_New[Affordability Subsidy c/kWh],MATCH(BB$64,Rates_Other_New[Code],0)),"n/a")</f>
        <v>n/a</v>
      </c>
      <c r="BC55" s="107" t="str">
        <f ca="1">IF(BC$68=1,INDEX(Rates_Other_New[Affordability Subsidy c/kWh],MATCH(BC$64,Rates_Other_New[Code],0)),"n/a")</f>
        <v>n/a</v>
      </c>
      <c r="BD55" s="107" t="str">
        <f ca="1">IF(BD$68=1,INDEX(Rates_Other_New[Affordability Subsidy c/kWh],MATCH(BD$64,Rates_Other_New[Code],0)),"n/a")</f>
        <v>n/a</v>
      </c>
      <c r="BE55" s="107" t="str">
        <f ca="1">IF(BE$68=1,INDEX(Rates_Other_New[Affordability Subsidy c/kWh],MATCH(BE$64,Rates_Other_New[Code],0)),"n/a")</f>
        <v>n/a</v>
      </c>
      <c r="BF55" s="107" t="str">
        <f ca="1">IF(BF$68=1,INDEX(Rates_Other_New[Affordability Subsidy c/kWh],MATCH(BF$64,Rates_Other_New[Code],0)),"n/a")</f>
        <v>n/a</v>
      </c>
      <c r="BG55" s="107" t="str">
        <f ca="1">IF(BG$68=1,INDEX(Rates_Other_New[Affordability Subsidy c/kWh],MATCH(BG$64,Rates_Other_New[Code],0)),"n/a")</f>
        <v>n/a</v>
      </c>
      <c r="BH55" s="107" t="str">
        <f ca="1">IF(BH$68=1,INDEX(Rates_Other_New[Affordability Subsidy c/kWh],MATCH(BH$64,Rates_Other_New[Code],0)),"n/a")</f>
        <v>n/a</v>
      </c>
      <c r="BI55" s="107" t="str">
        <f ca="1">IF(BI$68=1,INDEX(Rates_Other_New[Affordability Subsidy c/kWh],MATCH(BI$64,Rates_Other_New[Code],0)),"n/a")</f>
        <v>n/a</v>
      </c>
      <c r="BJ55" s="107" t="str">
        <f ca="1">IF(BJ$68=1,INDEX(Rates_Other_New[Affordability Subsidy c/kWh],MATCH(BJ$64,Rates_Other_New[Code],0)),"n/a")</f>
        <v>n/a</v>
      </c>
      <c r="BK55" s="107">
        <f ca="1">IF(BK$68=1,INDEX(Rates_Other_New[Affordability Subsidy c/kWh],MATCH(BK$64,Rates_Other_New[Code],0)),"n/a")</f>
        <v>5.0999999999999996</v>
      </c>
      <c r="BL55" s="107">
        <f ca="1">IF(BL$68=1,INDEX(Rates_Other_New[Affordability Subsidy c/kWh],MATCH(BL$64,Rates_Other_New[Code],0)),"n/a")</f>
        <v>5.0999999999999996</v>
      </c>
      <c r="BM55" s="107">
        <f>IF(BM$68=1,INDEX(Rates_Other_New[Affordability Subsidy c/kWh],MATCH(BM$64,Rates_Other_New[Code],0)),"n/a")</f>
        <v>5.0999999999999996</v>
      </c>
      <c r="BN55" s="107">
        <f ca="1">IF(BN$68=1,INDEX(Rates_Other_New[Affordability Subsidy c/kWh],MATCH(BN$64,Rates_Other_New[Code],0)),"n/a")</f>
        <v>0</v>
      </c>
      <c r="BO55" s="107">
        <f ca="1">IF(BO$68=1,INDEX(Rates_Other_New[Affordability Subsidy c/kWh],MATCH(BO$64,Rates_Other_New[Code],0)),"n/a")</f>
        <v>5.0999999999999996</v>
      </c>
      <c r="BP55" s="107">
        <f ca="1">IF(BP$68=1,INDEX(Rates_Other_New[Affordability Subsidy c/kWh],MATCH(BP$64,Rates_Other_New[Code],0)),"n/a")</f>
        <v>0</v>
      </c>
      <c r="BQ55" s="107" t="str">
        <f ca="1">IF(BQ$68=1,INDEX(Rates_Other_New[Affordability Subsidy c/kWh],MATCH(BQ$64,Rates_Other_New[Code],0)),"n/a")</f>
        <v>n/a</v>
      </c>
      <c r="BR55" s="107" t="str">
        <f ca="1">IF(BR$68=1,INDEX(Rates_Other_New[Affordability Subsidy c/kWh],MATCH(BR$64,Rates_Other_New[Code],0)),"n/a")</f>
        <v>n/a</v>
      </c>
      <c r="BS55" s="107" t="str">
        <f ca="1">IF(BS$68=1,INDEX(Rates_Other_New[Affordability Subsidy c/kWh],MATCH(BS$64,Rates_Other_New[Code],0)),"n/a")</f>
        <v>n/a</v>
      </c>
      <c r="BT55" s="107" t="str">
        <f ca="1">IF(BT$68=1,INDEX(Rates_Other_New[Affordability Subsidy c/kWh],MATCH(BT$64,Rates_Other_New[Code],0)),"n/a")</f>
        <v>n/a</v>
      </c>
      <c r="BU55" s="107" t="str">
        <f ca="1">IF(BU$68=1,INDEX(Rates_Other_New[Affordability Subsidy c/kWh],MATCH(BU$64,Rates_Other_New[Code],0)),"n/a")</f>
        <v>n/a</v>
      </c>
      <c r="BV55" s="107" t="e">
        <f>IF(BV$68=1,INDEX(Rates_Other_New[Affordability Subsidy c/kWh],MATCH(BV$64,Rates_Other_New[Code],0)),"n/a")</f>
        <v>#N/A</v>
      </c>
      <c r="BW55" s="107" t="str">
        <f ca="1">IF(BW$68=1,INDEX(Rates_Other_New[Affordability Subsidy c/kWh],MATCH(BW$64,Rates_Other_New[Code],0)),"n/a")</f>
        <v>n/a</v>
      </c>
      <c r="BX55" s="107" t="str">
        <f ca="1">IF(BX$68=1,INDEX(Rates_Other_New[Affordability Subsidy c/kWh],MATCH(BX$64,Rates_Other_New[Code],0)),"n/a")</f>
        <v>n/a</v>
      </c>
      <c r="BY55" s="107" t="str">
        <f ca="1">IF(BY$68=1,INDEX(Rates_Other_New[Affordability Subsidy c/kWh],MATCH(BY$64,Rates_Other_New[Code],0)),"n/a")</f>
        <v>n/a</v>
      </c>
      <c r="BZ55" s="107" t="str">
        <f ca="1">IF(BZ$68=1,INDEX(Rates_Other_New[Affordability Subsidy c/kWh],MATCH(BZ$64,Rates_Other_New[Code],0)),"n/a")</f>
        <v>n/a</v>
      </c>
      <c r="CA55" s="107" t="str">
        <f ca="1">IF(CA$68=1,INDEX(Rates_Other_New[Affordability Subsidy c/kWh],MATCH(CA$64,Rates_Other_New[Code],0)),"n/a")</f>
        <v>n/a</v>
      </c>
      <c r="CB55" s="107" t="str">
        <f ca="1">IF(CB$68=1,INDEX(Rates_Other_New[Affordability Subsidy c/kWh],MATCH(CB$64,Rates_Other_New[Code],0)),"n/a")</f>
        <v>n/a</v>
      </c>
      <c r="CC55" s="107" t="str">
        <f ca="1">IF(CC$68=1,INDEX(Rates_Other_New[Affordability Subsidy c/kWh],MATCH(CC$64,Rates_Other_New[Code],0)),"n/a")</f>
        <v>n/a</v>
      </c>
      <c r="CD55" s="107" t="str">
        <f ca="1">IF(CD$68=1,INDEX(Rates_Other_New[Affordability Subsidy c/kWh],MATCH(CD$64,Rates_Other_New[Code],0)),"n/a")</f>
        <v>n/a</v>
      </c>
      <c r="CE55" s="107">
        <f ca="1">IF(CE$68=1,INDEX(Rates_Other_New[Affordability Subsidy c/kWh],MATCH(CE$64,Rates_Other_New[Code],0)),"n/a")</f>
        <v>5.0999999999999996</v>
      </c>
      <c r="CF55" s="107">
        <f ca="1">IF(CF$68=1,INDEX(Rates_Other_New[Affordability Subsidy c/kWh],MATCH(CF$64,Rates_Other_New[Code],0)),"n/a")</f>
        <v>5.0999999999999996</v>
      </c>
    </row>
    <row r="56" spans="2:84" s="134" customFormat="1" ht="13.8">
      <c r="C56" s="134" t="s">
        <v>126</v>
      </c>
      <c r="D56" s="135" t="s">
        <v>147</v>
      </c>
      <c r="E56" s="136">
        <f t="shared" ca="1" si="21"/>
        <v>12.4</v>
      </c>
      <c r="F56" s="137" t="str">
        <f ca="1">IF(F$68=1,INDEX(Rates_Admin_Current[Administration charge  '[R/POD/day']],MATCH(F$65,Rates_Admin_Current[Code],0)),"n/a")</f>
        <v>n/a</v>
      </c>
      <c r="G56" s="137" t="str">
        <f ca="1">IF(G$68=1,INDEX(Rates_Admin_Current[Administration charge  '[R/POD/day']],MATCH(G$65,Rates_Admin_Current[Code],0)),"n/a")</f>
        <v>n/a</v>
      </c>
      <c r="H56" s="137" t="str">
        <f ca="1">IF(H$68=1,INDEX(Rates_Admin_Current[Administration charge  '[R/POD/day']],MATCH(H$65,Rates_Admin_Current[Code],0)),"n/a")</f>
        <v>n/a</v>
      </c>
      <c r="I56" s="137" t="str">
        <f ca="1">IF(I$68=1,INDEX(Rates_Admin_Current[Administration charge  '[R/POD/day']],MATCH(I$65,Rates_Admin_Current[Code],0)),"n/a")</f>
        <v>n/a</v>
      </c>
      <c r="J56" s="137" t="str">
        <f ca="1">IF(J$68=1,INDEX(Rates_Admin_Current[Administration charge  '[R/POD/day']],MATCH(J$65,Rates_Admin_Current[Code],0)),"n/a")</f>
        <v>n/a</v>
      </c>
      <c r="K56" s="137" t="str">
        <f ca="1">IF(K$68=1,INDEX(Rates_Admin_Current[Administration charge  '[R/POD/day']],MATCH(K$65,Rates_Admin_Current[Code],0)),"n/a")</f>
        <v>n/a</v>
      </c>
      <c r="L56" s="137" t="str">
        <f ca="1">IF(L$68=1,INDEX(Rates_Admin_Current[Administration charge  '[R/POD/day']],MATCH(L$65,Rates_Admin_Current[Code],0)),"n/a")</f>
        <v>n/a</v>
      </c>
      <c r="M56" s="137" t="str">
        <f ca="1">IF(M$68=1,INDEX(Rates_Admin_Current[Administration charge  '[R/POD/day']],MATCH(M$65,Rates_Admin_Current[Code],0)),"n/a")</f>
        <v>n/a</v>
      </c>
      <c r="N56" s="137" t="str">
        <f ca="1">IF(N$68=1,INDEX(Rates_Admin_Current[Administration charge  '[R/POD/day']],MATCH(N$65,Rates_Admin_Current[Code],0)),"n/a")</f>
        <v>n/a</v>
      </c>
      <c r="O56" s="137" t="str">
        <f ca="1">IF(O$68=1,INDEX(Rates_Admin_Current[Administration charge  '[R/POD/day']],MATCH(O$65,Rates_Admin_Current[Code],0)),"n/a")</f>
        <v>n/a</v>
      </c>
      <c r="P56" s="137" t="str">
        <f ca="1">IF(P$68=1,INDEX(Rates_Admin_Current[Administration charge  '[R/POD/day']],MATCH(P$65,Rates_Admin_Current[Code],0)),"n/a")</f>
        <v>n/a</v>
      </c>
      <c r="Q56" s="137" t="str">
        <f ca="1">IF(Q$68=1,INDEX(Rates_Admin_Current[Administration charge  '[R/POD/day']],MATCH(Q$65,Rates_Admin_Current[Code],0)),"0")</f>
        <v>0</v>
      </c>
      <c r="R56" s="137" t="str">
        <f ca="1">IF(R$68=1,INDEX(Rates_Admin_Current[Administration charge  '[R/POD/day']],MATCH(R$65,Rates_Admin_Current[Code],0)),"0")</f>
        <v>0</v>
      </c>
      <c r="S56" s="137" t="str">
        <f ca="1">IF(S$68=1,INDEX(Rates_Admin_Current[Administration charge  '[R/POD/day']],MATCH(S$65,Rates_Admin_Current[Code],0)),"0")</f>
        <v>0</v>
      </c>
      <c r="T56" s="137" t="str">
        <f ca="1">IF(T$68=1,INDEX(Rates_Admin_Current[Administration charge  '[R/POD/day']],MATCH(T$65,Rates_Admin_Current[Code],0)),"0")</f>
        <v>0</v>
      </c>
      <c r="U56" s="137" t="str">
        <f ca="1">IF(U$68=1,INDEX(Rates_Admin_Current[Administration charge  '[R/POD/day']],MATCH(U$65,Rates_Admin_Current[Code],0)),"0")</f>
        <v>0</v>
      </c>
      <c r="V56" s="137">
        <f ca="1">IF(V$68=1,INDEX(Rates_Admin_Current[Administration charge  '[R/POD/day']],MATCH(V$65,Rates_Admin_Current[Code],0)),"n/a")</f>
        <v>12.4</v>
      </c>
      <c r="W56" s="137">
        <f ca="1">IF(W$68=1,INDEX(Rates_Admin_Current[Administration charge  '[R/POD/day']],MATCH(W$65,Rates_Admin_Current[Code],0)),"n/a")</f>
        <v>12.4</v>
      </c>
      <c r="X56" s="137">
        <f ca="1">IF(X$68=1,INDEX(Rates_Admin_Current[Administration charge  '[R/POD/day']],MATCH(X$65,Rates_Admin_Current[Code],0)),"n/a")</f>
        <v>12.4</v>
      </c>
      <c r="Y56" s="137">
        <f ca="1">IF(Y$68=1,INDEX(Rates_Admin_Current[Administration charge  '[R/POD/day']],MATCH(Y$65,Rates_Admin_Current[Code],0)),"n/a")</f>
        <v>12.4</v>
      </c>
      <c r="Z56" s="137">
        <f ca="1">IF(Z$68=1,INDEX(Rates_Admin_Current[Administration charge  '[R/POD/day']],MATCH(Z$65,Rates_Admin_Current[Code],0)),"n/a")</f>
        <v>12.4</v>
      </c>
      <c r="AA56" s="137">
        <f ca="1">IF(AA$68=1,INDEX(Rates_Admin_Current[Administration charge  '[R/POD/day']],MATCH(AA$65,Rates_Admin_Current[Code],0)),"n/a")</f>
        <v>12.4</v>
      </c>
      <c r="AB56" s="137" t="str">
        <f ca="1">IF(AB$68=1,INDEX(Rates_Admin_Current[Administration charge  '[R/POD/day']],MATCH(AB$65,Rates_Admin_Current[Code],0)),"n/a")</f>
        <v>n/a</v>
      </c>
      <c r="AC56" s="137" t="str">
        <f ca="1">IF(AC$68=1,INDEX(Rates_Admin_Current[Administration charge  '[R/POD/day']],MATCH(AC$65,Rates_Admin_Current[Code],0)),"n/a")</f>
        <v>n/a</v>
      </c>
      <c r="AD56" s="137" t="str">
        <f ca="1">IF(AD$68=1,INDEX(Rates_Admin_Current[Administration charge  '[R/POD/day']],MATCH(AD$65,Rates_Admin_Current[Code],0)),"n/a")</f>
        <v>n/a</v>
      </c>
      <c r="AE56" s="137" t="str">
        <f ca="1">IF(AE$68=1,INDEX(Rates_Admin_Current[Administration charge  '[R/POD/day']],MATCH(AE$65,Rates_Admin_Current[Code],0)),"n/a")</f>
        <v>n/a</v>
      </c>
      <c r="AF56" s="137" t="str">
        <f ca="1">IF(AF$68=1,INDEX(Rates_Admin_Current[Administration charge  '[R/POD/day']],MATCH(AF$65,Rates_Admin_Current[Code],0)),"n/a")</f>
        <v>n/a</v>
      </c>
      <c r="AG56" s="137">
        <f ca="1">IF(AG$68=1,INDEX(Rates_Admin_Current[Administration charge  '[R/POD/day']],MATCH(AG$65,Rates_Admin_Current[Code],0)),"n/a")</f>
        <v>12.4</v>
      </c>
      <c r="AH56" s="137" t="str">
        <f ca="1">IF(AH$68=1,INDEX(Rates_Admin_Current[Administration charge  '[R/POD/day']],MATCH(AH$65,Rates_Admin_Current[Code],0)),"n/a")</f>
        <v>n/a</v>
      </c>
      <c r="AI56" s="137" t="str">
        <f ca="1">IF(AI$68=1,INDEX(Rates_Admin_Current[Administration charge  '[R/POD/day']],MATCH(AI$65,Rates_Admin_Current[Code],0)),"n/a")</f>
        <v>n/a</v>
      </c>
      <c r="AJ56" s="137" t="str">
        <f ca="1">IF(AJ$68=1,INDEX(Rates_Admin_Current[Administration charge  '[R/POD/day']],MATCH(AJ$65,Rates_Admin_Current[Code],0)),"n/a")</f>
        <v>n/a</v>
      </c>
      <c r="AK56" s="137" t="str">
        <f ca="1">IF(AK$68=1,INDEX(Rates_Admin_Current[Administration charge  '[R/POD/day']],MATCH(AK$65,Rates_Admin_Current[Code],0)),"n/a")</f>
        <v>n/a</v>
      </c>
      <c r="AL56" s="137" t="str">
        <f ca="1">IF(AL$68=1,INDEX(Rates_Admin_Current[Administration charge  '[R/POD/day']],MATCH(AL$65,Rates_Admin_Current[Code],0)),"n/a")</f>
        <v>n/a</v>
      </c>
      <c r="AM56" s="137" t="str">
        <f ca="1">IF(AM$68=1,INDEX(Rates_Admin_New[Administration charge  '[R/POD/day']],MATCH(AM$65,Rates_Admin_New[Code],0)),"n/a")</f>
        <v>n/a</v>
      </c>
      <c r="AN56" s="137" t="str">
        <f ca="1">IF(AN$68=1,INDEX(Rates_Admin_New[Administration charge  '[R/POD/day']],MATCH(AN$65,Rates_Admin_New[Code],0)),"n/a")</f>
        <v>n/a</v>
      </c>
      <c r="AO56" s="137" t="str">
        <f ca="1">IF(AO$68=1,INDEX(Rates_Admin_New[Administration charge  '[R/POD/day']],MATCH(AO$65,Rates_Admin_New[Code],0)),"n/a")</f>
        <v>n/a</v>
      </c>
      <c r="AP56" s="137">
        <f ca="1">IF(AP$68=1,INDEX(Rates_Admin_Current[Administration charge  '[R/POD/day']],MATCH(AP$65,Rates_Admin_Current[Code],0)),"n/a")</f>
        <v>12.4</v>
      </c>
      <c r="AQ56" s="137">
        <f ca="1">IF(AQ$68=1,INDEX(Rates_Admin_Current[Administration charge  '[R/POD/day']],MATCH(AQ$65,Rates_Admin_Current[Code],0)),"n/a")</f>
        <v>12.4</v>
      </c>
      <c r="AR56" s="137" t="str">
        <f ca="1">IF(AR$68=1,INDEX(Rates_Admin_Current[Administration charge  '[R/POD/day']],MATCH(AR$65,Rates_Admin_Current[Code],0)),"n/a")</f>
        <v>n/a</v>
      </c>
      <c r="AT56" s="136">
        <f t="shared" ca="1" si="22"/>
        <v>13.49</v>
      </c>
      <c r="AU56" s="137" t="str">
        <f ca="1">IF(AU$68=1,INDEX(Rates_Admin_New[Administration charge  '[R/POD/day']],MATCH(AU$65,Rates_Admin_New[Code],0)),"n/a")</f>
        <v>n/a</v>
      </c>
      <c r="AV56" s="137" t="str">
        <f ca="1">IF(AV$68=1,INDEX(Rates_Admin_New[Administration charge  '[R/POD/day']],MATCH(AV$65,Rates_Admin_New[Code],0)),"n/a")</f>
        <v>n/a</v>
      </c>
      <c r="AW56" s="137" t="str">
        <f ca="1">IF(AW$68=1,INDEX(Rates_Admin_New[Administration charge  '[R/POD/day']],MATCH(AW$65,Rates_Admin_New[Code],0)),"n/a")</f>
        <v>n/a</v>
      </c>
      <c r="AX56" s="137" t="str">
        <f ca="1">IF(AX$68=1,INDEX(Rates_Admin_New[Administration charge  '[R/POD/day']],MATCH(AX$65,Rates_Admin_New[Code],0)),"n/a")</f>
        <v>n/a</v>
      </c>
      <c r="AY56" s="137" t="str">
        <f ca="1">IF(AY$68=1,INDEX(Rates_Admin_New[Administration charge  '[R/POD/day']],MATCH(AY$65,Rates_Admin_New[Code],0)),"n/a")</f>
        <v>n/a</v>
      </c>
      <c r="AZ56" s="137" t="str">
        <f ca="1">IF(AZ$68=1,INDEX(Rates_Admin_New[Administration charge  '[R/POD/day']],MATCH(AZ$65,Rates_Admin_New[Code],0)),"n/a")</f>
        <v>n/a</v>
      </c>
      <c r="BA56" s="137" t="str">
        <f ca="1">IF(BA$68=1,INDEX(Rates_Admin_New[Administration charge  '[R/POD/day']],MATCH(BA$65,Rates_Admin_New[Code],0)),"n/a")</f>
        <v>n/a</v>
      </c>
      <c r="BB56" s="137" t="str">
        <f ca="1">IF(BB$68=1,INDEX(Rates_Admin_New[Administration charge  '[R/POD/day']],MATCH(BB$65,Rates_Admin_New[Code],0)),"n/a")</f>
        <v>n/a</v>
      </c>
      <c r="BC56" s="137" t="str">
        <f ca="1">IF(BC$68=1,INDEX(Rates_Admin_New[Administration charge  '[R/POD/day']],MATCH(BC$65,Rates_Admin_New[Code],0)),"n/a")</f>
        <v>n/a</v>
      </c>
      <c r="BD56" s="137" t="str">
        <f ca="1">IF(BD$68=1,INDEX(Rates_Admin_New[Administration charge  '[R/POD/day']],MATCH(BD$65,Rates_Admin_New[Code],0)),"n/a")</f>
        <v>n/a</v>
      </c>
      <c r="BE56" s="137" t="str">
        <f ca="1">IF(BE$68=1,INDEX(Rates_Admin_New[Administration charge  '[R/POD/day']],MATCH(BE$65,Rates_Admin_New[Code],0)),"n/a")</f>
        <v>n/a</v>
      </c>
      <c r="BF56" s="137" t="str">
        <f ca="1">IF(BF$68=1,INDEX(Rates_Admin_New[Administration charge  '[R/POD/day']],MATCH(BF$65,Rates_Admin_New[Code],0)),"0")</f>
        <v>0</v>
      </c>
      <c r="BG56" s="137" t="str">
        <f ca="1">IF(BG$68=1,INDEX(Rates_Admin_New[Administration charge  '[R/POD/day']],MATCH(BG$65,Rates_Admin_New[Code],0)),"0")</f>
        <v>0</v>
      </c>
      <c r="BH56" s="137" t="str">
        <f ca="1">IF(BH$68=1,INDEX(Rates_Admin_New[Administration charge  '[R/POD/day']],MATCH(BH$65,Rates_Admin_New[Code],0)),"0")</f>
        <v>0</v>
      </c>
      <c r="BI56" s="137" t="str">
        <f ca="1">IF(BI$68=1,INDEX(Rates_Admin_New[Administration charge  '[R/POD/day']],MATCH(BI$65,Rates_Admin_New[Code],0)),"0")</f>
        <v>0</v>
      </c>
      <c r="BJ56" s="137" t="str">
        <f ca="1">IF(BJ$68=1,INDEX(Rates_Admin_New[Administration charge  '[R/POD/day']],MATCH(BJ$65,Rates_Admin_New[Code],0)),"0")</f>
        <v>0</v>
      </c>
      <c r="BK56" s="137">
        <f ca="1">IF(BK$68=1,INDEX(Rates_Admin_New[Administration charge  '[R/POD/day']],MATCH(BK$65,Rates_Admin_New[Code],0)),"n/a")</f>
        <v>13.49</v>
      </c>
      <c r="BL56" s="137">
        <f ca="1">IF(BL$68=1,INDEX(Rates_Admin_New[Administration charge  '[R/POD/day']],MATCH(BL$65,Rates_Admin_New[Code],0)),"n/a")</f>
        <v>13.49</v>
      </c>
      <c r="BM56" s="137">
        <f ca="1">IF(BM$68=1,INDEX(Rates_Admin_New[Administration charge  '[R/POD/day']],MATCH(BM$65,Rates_Admin_New[Code],0)),"n/a")</f>
        <v>13.49</v>
      </c>
      <c r="BN56" s="137">
        <f ca="1">IF(BN$68=1,INDEX(Rates_Admin_New[Administration charge  '[R/POD/day']],MATCH(BN$65,Rates_Admin_New[Code],0)),"n/a")</f>
        <v>13.49</v>
      </c>
      <c r="BO56" s="137">
        <f ca="1">IF(BO$68=1,INDEX(Rates_Admin_New[Administration charge  '[R/POD/day']],MATCH(BO$65,Rates_Admin_New[Code],0)),"n/a")</f>
        <v>13.49</v>
      </c>
      <c r="BP56" s="137">
        <f ca="1">IF(BP$68=1,INDEX(Rates_Admin_New[Administration charge  '[R/POD/day']],MATCH(BP$65,Rates_Admin_New[Code],0)),"n/a")</f>
        <v>13.49</v>
      </c>
      <c r="BQ56" s="137" t="str">
        <f ca="1">IF(BQ$68=1,INDEX(Rates_Admin_New[Administration charge  '[R/POD/day']],MATCH(BQ$65,Rates_Admin_New[Code],0)),"n/a")</f>
        <v>n/a</v>
      </c>
      <c r="BR56" s="137" t="str">
        <f ca="1">IF(BR$68=1,INDEX(Rates_Admin_New[Administration charge  '[R/POD/day']],MATCH(BR$65,Rates_Admin_New[Code],0)),"n/a")</f>
        <v>n/a</v>
      </c>
      <c r="BS56" s="137" t="str">
        <f ca="1">IF(BS$68=1,INDEX(Rates_Admin_New[Administration charge  '[R/POD/day']],MATCH(BS$65,Rates_Admin_New[Code],0)),"n/a")</f>
        <v>n/a</v>
      </c>
      <c r="BT56" s="137" t="str">
        <f ca="1">IF(BT$68=1,INDEX(Rates_Admin_New[Administration charge  '[R/POD/day']],MATCH(BT$65,Rates_Admin_New[Code],0)),"n/a")</f>
        <v>n/a</v>
      </c>
      <c r="BU56" s="137" t="str">
        <f ca="1">IF(BU$68=1,INDEX(Rates_Admin_New[Administration charge  '[R/POD/day']],MATCH(BU$65,Rates_Admin_New[Code],0)),"n/a")</f>
        <v>n/a</v>
      </c>
      <c r="BV56" s="137">
        <f ca="1">IF(BV$68=1,INDEX(Rates_Admin_New[Administration charge  '[R/POD/day']],MATCH(BV$65,Rates_Admin_New[Code],0)),"n/a")</f>
        <v>13.49</v>
      </c>
      <c r="BW56" s="137" t="str">
        <f ca="1">IF(BW$68=1,INDEX(Rates_Admin_New[Administration charge  '[R/POD/day']],MATCH(BW$65,Rates_Admin_New[Code],0)),"n/a")</f>
        <v>n/a</v>
      </c>
      <c r="BX56" s="137" t="str">
        <f ca="1">IF(BX$68=1,INDEX(Rates_Admin_New[Administration charge  '[R/POD/day']],MATCH(BX$65,Rates_Admin_New[Code],0)),"n/a")</f>
        <v>n/a</v>
      </c>
      <c r="BY56" s="137" t="str">
        <f ca="1">IF(BY$68=1,INDEX(Rates_Admin_New[Administration charge  '[R/POD/day']],MATCH(BY$65,Rates_Admin_New[Code],0)),"n/a")</f>
        <v>n/a</v>
      </c>
      <c r="BZ56" s="137" t="str">
        <f ca="1">IF(BZ$68=1,INDEX(Rates_Admin_New[Administration charge  '[R/POD/day']],MATCH(BZ$65,Rates_Admin_New[Code],0)),"n/a")</f>
        <v>n/a</v>
      </c>
      <c r="CA56" s="137" t="str">
        <f ca="1">IF(CA$68=1,INDEX(Rates_Admin_New[Administration charge  '[R/POD/day']],MATCH(CA$65,Rates_Admin_New[Code],0)),"n/a")</f>
        <v>n/a</v>
      </c>
      <c r="CB56" s="137" t="str">
        <f ca="1">IF(CB$68=1,INDEX(Rates_Admin_New[Administration charge  '[R/POD/day']],MATCH(CB$65,Rates_Admin_New[Code],0)),"n/a")</f>
        <v>n/a</v>
      </c>
      <c r="CC56" s="137" t="str">
        <f ca="1">IF(CC$68=1,INDEX(Rates_Admin_New[Administration charge  '[R/POD/day']],MATCH(CC$65,Rates_Admin_New[Code],0)),"n/a")</f>
        <v>n/a</v>
      </c>
      <c r="CD56" s="137" t="str">
        <f ca="1">IF(CD$68=1,INDEX(Rates_Admin_New[Administration charge  '[R/POD/day']],MATCH(CD$65,Rates_Admin_New[Code],0)),"n/a")</f>
        <v>n/a</v>
      </c>
      <c r="CE56" s="137">
        <f ca="1">IF(CE$68=1,INDEX(Rates_Admin_New[Administration charge  '[R/POD/day']],MATCH(CE$65,Rates_Admin_New[Code],0)),"n/a")</f>
        <v>13.49</v>
      </c>
      <c r="CF56" s="137">
        <f ca="1">IF(CF$68=1,INDEX(Rates_Admin_New[Administration charge  '[R/POD/day']],MATCH(CF$65,Rates_Admin_New[Code],0)),"n/a")</f>
        <v>13.49</v>
      </c>
    </row>
    <row r="57" spans="2:84" s="134" customFormat="1" ht="13.8">
      <c r="C57" s="134" t="s">
        <v>127</v>
      </c>
      <c r="D57" s="135" t="str">
        <f ca="1">IF(Table_1=1,"R/day","R/day")</f>
        <v>R/day</v>
      </c>
      <c r="E57" s="136">
        <f t="shared" ca="1" si="21"/>
        <v>64.28</v>
      </c>
      <c r="F57" s="137">
        <f ca="1">IF(F$68=1,INDEX(Rates_Admin_Current[Service charge  '[R/Account/day']],MATCH(F$65,Rates_Admin_Current[Code],0)),INDEX(Rates_AllOther_Current[Service and administration charge '[R/POD/day']],MATCH(F$64,Rates_AllOther_Current[Code],0)))</f>
        <v>14.7</v>
      </c>
      <c r="G57" s="137">
        <f ca="1">IF(G$68=1,INDEX(Rates_Admin_Current[Service charge  '[R/Account/day']],MATCH(G$65,Rates_Admin_Current[Code],0)),INDEX(Rates_AllOther_Current[Service and administration charge '[R/POD/day']],MATCH(G$64,Rates_AllOther_Current[Code],0)))</f>
        <v>14.7</v>
      </c>
      <c r="H57" s="137">
        <f ca="1">IF(H$68=1,INDEX(Rates_Admin_Current[Service charge  '[R/Account/day']],MATCH(H$65,Rates_Admin_Current[Code],0)),INDEX(Rates_AllOther_Current[Service and administration charge '[R/POD/day']],MATCH(H$64,Rates_AllOther_Current[Code],0)))</f>
        <v>14.7</v>
      </c>
      <c r="I57" s="137">
        <f ca="1">IF(I$68=1,INDEX(Rates_Admin_Current[Service charge  '[R/Account/day']],MATCH(I$65,Rates_Admin_Current[Code],0)),INDEX(Rates_AllOther_Current[Service and administration charge '[R/POD/day']],MATCH(I$64,Rates_AllOther_Current[Code],0)))</f>
        <v>0</v>
      </c>
      <c r="J57" s="137">
        <f ca="1">IF(J$68=1,INDEX(Rates_Admin_Current[Service charge  '[R/Account/day']],MATCH(J$65,Rates_Admin_Current[Code],0)),INDEX(Rates_AllOther_Current[Service and administration charge '[R/POD/day']],MATCH(J$64,Rates_AllOther_Current[Code],0)))</f>
        <v>0</v>
      </c>
      <c r="K57" s="137">
        <f ca="1">IF(K$68=1,INDEX(Rates_Admin_Current[Service charge  '[R/Account/day']],MATCH(K$65,Rates_Admin_Current[Code],0)),INDEX(Rates_AllOther_Current[Service and administration charge '[R/POD/day']],MATCH(K$64,Rates_AllOther_Current[Code],0)))</f>
        <v>0</v>
      </c>
      <c r="L57" s="137">
        <f ca="1">IF(L$68=1,INDEX(Rates_Admin_Current[Service charge  '[R/Account/day']],MATCH(L$65,Rates_Admin_Current[Code],0)),INDEX(Rates_AllOther_Current[Service and administration charge '[R/POD/day']],MATCH(L$64,Rates_AllOther_Current[Code],0)))</f>
        <v>3.27</v>
      </c>
      <c r="M57" s="137">
        <f ca="1">IF(M$68=1,INDEX(Rates_Admin_Current[Service charge  '[R/Account/day']],MATCH(M$65,Rates_Admin_Current[Code],0)),INDEX(Rates_AllOther_Current[Service and administration charge '[R/POD/day']],MATCH(M$64,Rates_AllOther_Current[Code],0)))</f>
        <v>3.27</v>
      </c>
      <c r="N57" s="137">
        <f ca="1">IF(N$68=1,INDEX(Rates_Admin_Current[Service charge  '[R/Account/day']],MATCH(N$65,Rates_Admin_Current[Code],0)),INDEX(Rates_AllOther_Current[Service and administration charge '[R/POD/day']],MATCH(N$64,Rates_AllOther_Current[Code],0)))</f>
        <v>3.27</v>
      </c>
      <c r="O57" s="137">
        <f ca="1">IF(O$68=1,INDEX(Rates_Admin_Current[Service charge  '[R/Account/day']],MATCH(O$65,Rates_Admin_Current[Code],0)),INDEX(Rates_AllOther_Current[Service and administration charge '[R/POD/day']],MATCH(O$64,Rates_AllOther_Current[Code],0)))</f>
        <v>3.27</v>
      </c>
      <c r="P57" s="137">
        <f ca="1">IF(P$68=1,INDEX(Rates_Admin_Current[Service charge  '[R/Account/day']],MATCH(P$65,Rates_Admin_Current[Code],0)),INDEX(Rates_AllOther_Current[Service and administration charge '[R/POD/day']],MATCH(P$64,Rates_AllOther_Current[Code],0)))</f>
        <v>3.27</v>
      </c>
      <c r="Q57" s="137">
        <f ca="1">IF(Q$68=1,INDEX(Rates_Admin_Current[Service charge  '[R/Account/day']],MATCH(Q$65,Rates_Admin_Current[Code],0)),INDEX(Rates_AllOther_Current[Service and administration charge '[R/POD/day']],MATCH(Q$64,Rates_AllOther_Current[Code],0)))</f>
        <v>24.5</v>
      </c>
      <c r="R57" s="137">
        <f ca="1">IF(R$68=1,INDEX(Rates_Admin_Current[Service charge  '[R/Account/day']],MATCH(R$65,Rates_Admin_Current[Code],0)),INDEX(Rates_AllOther_Current[Service and administration charge '[R/POD/day']],MATCH(R$64,Rates_AllOther_Current[Code],0)))</f>
        <v>24.5</v>
      </c>
      <c r="S57" s="137">
        <f ca="1">IF(S$68=1,INDEX(Rates_Admin_Current[Service charge  '[R/Account/day']],MATCH(S$65,Rates_Admin_Current[Code],0)),INDEX(Rates_AllOther_Current[Service and administration charge '[R/POD/day']],MATCH(S$64,Rates_AllOther_Current[Code],0)))</f>
        <v>24.5</v>
      </c>
      <c r="T57" s="137">
        <f ca="1">IF(T$68=1,INDEX(Rates_Admin_Current[Service charge  '[R/Account/day']],MATCH(T$65,Rates_Admin_Current[Code],0)),INDEX(Rates_AllOther_Current[Service and administration charge '[R/POD/day']],MATCH(T$64,Rates_AllOther_Current[Code],0)))</f>
        <v>0</v>
      </c>
      <c r="U57" s="137">
        <f ca="1">IF(U$68=1,INDEX(Rates_Admin_Current[Service charge  '[R/Account/day']],MATCH(U$65,Rates_Admin_Current[Code],0)),INDEX(Rates_AllOther_Current[Service and administration charge '[R/POD/day']],MATCH(U$64,Rates_AllOther_Current[Code],0)))</f>
        <v>87</v>
      </c>
      <c r="V57" s="137">
        <f ca="1">IF(V$68=1,INDEX(Rates_Admin_Current[Service charge  '[R/Account/day']],MATCH(V$65,Rates_Admin_Current[Code],0)),INDEX(Rates_AllOther_Current[Service and administration charge '[R/POD/day']],MATCH(V$64,Rates_AllOther_Current[Code],0)))</f>
        <v>64.28</v>
      </c>
      <c r="W57" s="137">
        <f ca="1">IF(W$68=1,INDEX(Rates_Admin_Current[Service charge  '[R/Account/day']],MATCH(W$65,Rates_Admin_Current[Code],0)),INDEX(Rates_AllOther_Current[Service and administration charge '[R/POD/day']],MATCH(W$64,Rates_AllOther_Current[Code],0)))</f>
        <v>64.28</v>
      </c>
      <c r="X57" s="137">
        <f ca="1">IF(X$68=1,INDEX(Rates_Admin_Current[Service charge  '[R/Account/day']],MATCH(X$65,Rates_Admin_Current[Code],0)),INDEX(Rates_AllOther_Current[Service and administration charge '[R/POD/day']],MATCH(X$64,Rates_AllOther_Current[Code],0)))</f>
        <v>64.28</v>
      </c>
      <c r="Y57" s="137">
        <f ca="1">IF(Y$68=1,INDEX(Rates_Admin_Current[Service charge  '[R/Account/day']],MATCH(Y$65,Rates_Admin_Current[Code],0)),INDEX(Rates_AllOther_Current[Service and administration charge '[R/POD/day']],MATCH(Y$64,Rates_AllOther_Current[Code],0)))</f>
        <v>64.28</v>
      </c>
      <c r="Z57" s="137">
        <f ca="1">IF(Z$68=1,INDEX(Rates_Admin_Current[Service charge  '[R/Account/day']],MATCH(Z$65,Rates_Admin_Current[Code],0)),INDEX(Rates_AllOther_Current[Service and administration charge '[R/POD/day']],MATCH(Z$64,Rates_AllOther_Current[Code],0)))</f>
        <v>64.28</v>
      </c>
      <c r="AA57" s="137">
        <f ca="1">IF(AA$68=1,INDEX(Rates_Admin_Current[Service charge  '[R/Account/day']],MATCH(AA$65,Rates_Admin_Current[Code],0)),INDEX(Rates_AllOther_Current[Service and administration charge '[R/POD/day']],MATCH(AA$64,Rates_AllOther_Current[Code],0)))</f>
        <v>64.28</v>
      </c>
      <c r="AB57" s="137">
        <f ca="1">IF(AB$68=1,INDEX(Rates_Admin_Current[Service charge  '[R/Account/day']],MATCH(AB$65,Rates_Admin_Current[Code],0)),INDEX(Rates_AllOther_Current[Service and administration charge '[R/POD/day']],MATCH(AB$64,Rates_AllOther_Current[Code],0)))</f>
        <v>0</v>
      </c>
      <c r="AC57" s="137">
        <f ca="1">IF(AC$68=1,INDEX(Rates_Admin_Current[Service charge  '[R/Account/day']],MATCH(AC$65,Rates_Admin_Current[Code],0)),INDEX(Rates_AllOther_Current[Service and administration charge '[R/POD/day']],MATCH(AC$64,Rates_AllOther_Current[Code],0)))</f>
        <v>0</v>
      </c>
      <c r="AD57" s="137">
        <f ca="1">IF(AD$68=1,INDEX(Rates_Admin_Current[Service charge  '[R/Account/day']],MATCH(AD$65,Rates_Admin_Current[Code],0)),INDEX(Rates_AllOther_Current[Service and administration charge '[R/POD/day']],MATCH(AD$64,Rates_AllOther_Current[Code],0)))</f>
        <v>0</v>
      </c>
      <c r="AE57" s="137">
        <f ca="1">IF(AE$68=1,INDEX(Rates_Admin_Current[Service charge  '[R/Account/day']],MATCH(AE$65,Rates_Admin_Current[Code],0)),INDEX(Rates_AllOther_Current[Service and administration charge '[R/POD/day']],MATCH(AE$64,Rates_AllOther_Current[Code],0)))</f>
        <v>0</v>
      </c>
      <c r="AF57" s="137">
        <f ca="1">IF(AF$68=1,INDEX(Rates_Admin_Current[Service charge  '[R/Account/day']],MATCH(AF$65,Rates_Admin_Current[Code],0)),INDEX(Rates_AllOther_Current[Service and administration charge '[R/POD/day']],MATCH(AF$64,Rates_AllOther_Current[Code],0)))</f>
        <v>32.299999999999997</v>
      </c>
      <c r="AG57" s="137">
        <f ca="1">IF(AG$68=1,INDEX(Rates_Admin_Current[Service charge  '[R/Account/day']],MATCH(AG$65,Rates_Admin_Current[Code],0)),INDEX(Rates_AllOther_Current[Service and administration charge '[R/POD/day']],MATCH(AG$64,Rates_AllOther_Current[Code],0)))</f>
        <v>64.28</v>
      </c>
      <c r="AH57" s="137" t="e">
        <f ca="1">IF(AH$68=1,INDEX(Rates_Admin_Current[Service charge  '[R/Account/day']],MATCH(AH$65,Rates_Admin_Current[Code],0)),INDEX(Rates_AllOther_Current[Service and administration charge '[R/POD/day']],MATCH(AH$64,Rates_AllOther_Current[Code],0)))</f>
        <v>#N/A</v>
      </c>
      <c r="AI57" s="137" t="e">
        <f ca="1">IF(AI$68=1,INDEX(Rates_Admin_Current[Service charge  '[R/Account/day']],MATCH(AI$65,Rates_Admin_Current[Code],0)),INDEX(Rates_AllOther_Current[Service and administration charge '[R/POD/day']],MATCH(AI$64,Rates_AllOther_Current[Code],0)))</f>
        <v>#N/A</v>
      </c>
      <c r="AJ57" s="137" t="e">
        <f ca="1">IF(AJ$68=1,INDEX(Rates_Admin_Current[Service charge  '[R/Account/day']],MATCH(AJ$65,Rates_Admin_Current[Code],0)),INDEX(Rates_AllOther_Current[Service and administration charge '[R/POD/day']],MATCH(AJ$64,Rates_AllOther_Current[Code],0)))</f>
        <v>#N/A</v>
      </c>
      <c r="AK57" s="137" t="e">
        <f ca="1">IF(AK$68=1,INDEX(Rates_Admin_Current[Service charge  '[R/Account/day']],MATCH(AK$65,Rates_Admin_Current[Code],0)),INDEX(Rates_AllOther_Current[Service and administration charge '[R/POD/day']],MATCH(AK$64,Rates_AllOther_Current[Code],0)))</f>
        <v>#N/A</v>
      </c>
      <c r="AL57" s="137">
        <f ca="1">IF(AL$68=1,INDEX(Rates_Admin_Current[Service charge  '[R/Account/day']],MATCH(AL$65,Rates_Admin_Current[Code],0)),INDEX(Rates_AllOther_Current[Service and administration charge '[R/POD/day']],MATCH(AL$64,Rates_AllOther_Current[Code],0)))</f>
        <v>3.27</v>
      </c>
      <c r="AM57" s="137">
        <f ca="1">IF(AM$68=1,INDEX(Rates_Admin_Current[Service charge  '[R/Account/day']],MATCH(AM$65,Rates_Admin_Current[Code],0)),INDEX(Rates_AllOther_Current[Service and administration charge '[R/POD/day']],MATCH(AM$64,Rates_AllOther_Current[Code],0)))</f>
        <v>3.27</v>
      </c>
      <c r="AN57" s="137">
        <f ca="1">IF(AN$68=1,INDEX(Rates_Admin_Current[Service charge  '[R/Account/day']],MATCH(AN$65,Rates_Admin_Current[Code],0)),INDEX(Rates_AllOther_Current[Service and administration charge '[R/POD/day']],MATCH(AN$64,Rates_AllOther_Current[Code],0)))</f>
        <v>3.27</v>
      </c>
      <c r="AO57" s="137">
        <f ca="1">IF(AO$68=1,INDEX(Rates_Admin_Current[Service charge  '[R/Account/day']],MATCH(AO$65,Rates_Admin_Current[Code],0)),INDEX(Rates_AllOther_Current[Service and administration charge '[R/POD/day']],MATCH(AO$64,Rates_AllOther_Current[Code],0)))</f>
        <v>3.27</v>
      </c>
      <c r="AP57" s="137">
        <f ca="1">IF(AP$68=1,INDEX(Rates_Admin_Current[Service charge  '[R/Account/day']],MATCH(AP$65,Rates_Admin_Current[Code],0)),INDEX(Rates_AllOther_Current[Service and administration charge '[R/POD/day']],MATCH(AP$64,Rates_AllOther_Current[Code],0)))</f>
        <v>64.28</v>
      </c>
      <c r="AQ57" s="137">
        <f ca="1">IF(AQ$68=1,INDEX(Rates_Admin_Current[Service charge  '[R/Account/day']],MATCH(AQ$65,Rates_Admin_Current[Code],0)),INDEX(Rates_AllOther_Current[Service and administration charge '[R/POD/day']],MATCH(AQ$64,Rates_AllOther_Current[Code],0)))</f>
        <v>64.28</v>
      </c>
      <c r="AR57" s="137" t="e">
        <f ca="1">IF(AR$68=1,INDEX(Rates_Admin_Current[Service charge  '[R/Account/day']],MATCH(AR$65,Rates_Admin_Current[Code],0)),INDEX(Rates_AllOther_Current[Service and administration charge '[R/POD/day']],MATCH(AR$64,Rates_AllOther_Current[Code],0)))</f>
        <v>#N/A</v>
      </c>
      <c r="AT57" s="136">
        <f t="shared" ca="1" si="22"/>
        <v>69.91</v>
      </c>
      <c r="AU57" s="137">
        <f ca="1">IF(AU$68=1,INDEX(Rates_Admin_New[Service charge  '[R/POD/day']],MATCH(AU$65,Rates_Admin_New[Code],0)),INDEX(Rates_AllOther_New[Service and administration charge '[R/POD/day']],MATCH(AU$64,Rates_AllOther_New[Code],0)))</f>
        <v>15.99</v>
      </c>
      <c r="AV57" s="137">
        <f ca="1">IF(AV$68=1,INDEX(Rates_Admin_New[Service charge  '[R/POD/day']],MATCH(AV$65,Rates_Admin_New[Code],0)),INDEX(Rates_AllOther_New[Service and administration charge '[R/POD/day']],MATCH(AV$64,Rates_AllOther_New[Code],0)))</f>
        <v>15.99</v>
      </c>
      <c r="AW57" s="137">
        <f ca="1">IF(AW$68=1,INDEX(Rates_Admin_New[Service charge  '[R/POD/day']],MATCH(AW$65,Rates_Admin_New[Code],0)),INDEX(Rates_AllOther_New[Service and administration charge '[R/POD/day']],MATCH(AW$64,Rates_AllOther_New[Code],0)))</f>
        <v>15.99</v>
      </c>
      <c r="AX57" s="137">
        <f ca="1">IF(AX$68=1,INDEX(Rates_Admin_New[Service charge  '[R/POD/day']],MATCH(AX$65,Rates_Admin_New[Code],0)),INDEX(Rates_AllOther_New[Service and administration charge '[R/POD/day']],MATCH(AX$64,Rates_AllOther_New[Code],0)))</f>
        <v>0</v>
      </c>
      <c r="AY57" s="137">
        <f ca="1">IF(AY$68=1,INDEX(Rates_Admin_New[Service charge  '[R/POD/day']],MATCH(AY$65,Rates_Admin_New[Code],0)),INDEX(Rates_AllOther_New[Service and administration charge '[R/POD/day']],MATCH(AY$64,Rates_AllOther_New[Code],0)))</f>
        <v>0</v>
      </c>
      <c r="AZ57" s="137">
        <f ca="1">IF(AZ$68=1,INDEX(Rates_Admin_New[Service charge  '[R/POD/day']],MATCH(AZ$65,Rates_Admin_New[Code],0)),INDEX(Rates_AllOther_New[Service and administration charge '[R/POD/day']],MATCH(AZ$64,Rates_AllOther_New[Code],0)))</f>
        <v>0</v>
      </c>
      <c r="BA57" s="137">
        <f ca="1">IF(BA$68=1,INDEX(Rates_Admin_New[Service charge  '[R/POD/day']],MATCH(BA$65,Rates_Admin_New[Code],0)),INDEX(Rates_AllOther_New[Service and administration charge '[R/POD/day']],MATCH(BA$64,Rates_AllOther_New[Code],0)))</f>
        <v>5.74</v>
      </c>
      <c r="BB57" s="137">
        <f ca="1">IF(BB$68=1,INDEX(Rates_Admin_New[Service charge  '[R/POD/day']],MATCH(BB$65,Rates_Admin_New[Code],0)),INDEX(Rates_AllOther_New[Service and administration charge '[R/POD/day']],MATCH(BB$64,Rates_AllOther_New[Code],0)))</f>
        <v>5.74</v>
      </c>
      <c r="BC57" s="137">
        <f ca="1">IF(BC$68=1,INDEX(Rates_Admin_New[Service charge  '[R/POD/day']],MATCH(BC$65,Rates_Admin_New[Code],0)),INDEX(Rates_AllOther_New[Service and administration charge '[R/POD/day']],MATCH(BC$64,Rates_AllOther_New[Code],0)))</f>
        <v>5.74</v>
      </c>
      <c r="BD57" s="137">
        <f ca="1">IF(BD$68=1,INDEX(Rates_Admin_New[Service charge  '[R/POD/day']],MATCH(BD$65,Rates_Admin_New[Code],0)),INDEX(Rates_AllOther_New[Service and administration charge '[R/POD/day']],MATCH(BD$64,Rates_AllOther_New[Code],0)))</f>
        <v>5.74</v>
      </c>
      <c r="BE57" s="137">
        <f ca="1">IF(BE$68=1,INDEX(Rates_Admin_New[Service charge  '[R/POD/day']],MATCH(BE$65,Rates_Admin_New[Code],0)),INDEX(Rates_AllOther_New[Service and administration charge '[R/POD/day']],MATCH(BE$64,Rates_AllOther_New[Code],0)))</f>
        <v>5.74</v>
      </c>
      <c r="BF57" s="137">
        <f ca="1">IF(BF$68=1,INDEX(Rates_Admin_New[Service charge  '[R/POD/day']],MATCH(BF$65,Rates_Admin_New[Code],0)),INDEX(Rates_AllOther_New[Service and administration charge '[R/POD/day']],MATCH(BF$64,Rates_AllOther_New[Code],0)))</f>
        <v>26.65</v>
      </c>
      <c r="BG57" s="137">
        <f ca="1">IF(BG$68=1,INDEX(Rates_Admin_New[Service charge  '[R/POD/day']],MATCH(BG$65,Rates_Admin_New[Code],0)),INDEX(Rates_AllOther_New[Service and administration charge '[R/POD/day']],MATCH(BG$64,Rates_AllOther_New[Code],0)))</f>
        <v>26.65</v>
      </c>
      <c r="BH57" s="137">
        <f ca="1">IF(BH$68=1,INDEX(Rates_Admin_New[Service charge  '[R/POD/day']],MATCH(BH$65,Rates_Admin_New[Code],0)),INDEX(Rates_AllOther_New[Service and administration charge '[R/POD/day']],MATCH(BH$64,Rates_AllOther_New[Code],0)))</f>
        <v>26.65</v>
      </c>
      <c r="BI57" s="137">
        <f ca="1">IF(BI$68=1,INDEX(Rates_Admin_New[Service charge  '[R/POD/day']],MATCH(BI$65,Rates_Admin_New[Code],0)),INDEX(Rates_AllOther_New[Service and administration charge '[R/POD/day']],MATCH(BI$64,Rates_AllOther_New[Code],0)))</f>
        <v>0</v>
      </c>
      <c r="BJ57" s="137">
        <f ca="1">IF(BJ$68=1,INDEX(Rates_Admin_New[Service charge  '[R/POD/day']],MATCH(BJ$65,Rates_Admin_New[Code],0)),INDEX(Rates_AllOther_New[Service and administration charge '[R/POD/day']],MATCH(BJ$64,Rates_AllOther_New[Code],0)))</f>
        <v>94.62</v>
      </c>
      <c r="BK57" s="137">
        <f ca="1">IF(BK$68=1,INDEX(Rates_Admin_New[Service charge  '[R/POD/day']],MATCH(BK$65,Rates_Admin_New[Code],0)),INDEX(Rates_AllOther_New[Service and administration charge '[R/POD/day']],MATCH(BK$64,Rates_AllOther_New[Code],0)))</f>
        <v>69.91</v>
      </c>
      <c r="BL57" s="137">
        <f ca="1">IF(BL$68=1,INDEX(Rates_Admin_New[Service charge  '[R/POD/day']],MATCH(BL$65,Rates_Admin_New[Code],0)),INDEX(Rates_AllOther_New[Service and administration charge '[R/POD/day']],MATCH(BL$64,Rates_AllOther_New[Code],0)))</f>
        <v>69.91</v>
      </c>
      <c r="BM57" s="137">
        <f ca="1">IF(BM$68=1,INDEX(Rates_Admin_New[Service charge  '[R/POD/day']],MATCH(BM$65,Rates_Admin_New[Code],0)),INDEX(Rates_AllOther_New[Service and administration charge '[R/POD/day']],MATCH(BM$64,Rates_AllOther_New[Code],0)))</f>
        <v>69.91</v>
      </c>
      <c r="BN57" s="137">
        <f ca="1">IF(BN$68=1,INDEX(Rates_Admin_New[Service charge  '[R/POD/day']],MATCH(BN$65,Rates_Admin_New[Code],0)),INDEX(Rates_AllOther_New[Service and administration charge '[R/POD/day']],MATCH(BN$64,Rates_AllOther_New[Code],0)))</f>
        <v>69.91</v>
      </c>
      <c r="BO57" s="137">
        <f ca="1">IF(BO$68=1,INDEX(Rates_Admin_New[Service charge  '[R/POD/day']],MATCH(BO$65,Rates_Admin_New[Code],0)),INDEX(Rates_AllOther_New[Service and administration charge '[R/POD/day']],MATCH(BO$64,Rates_AllOther_New[Code],0)))</f>
        <v>69.91</v>
      </c>
      <c r="BP57" s="137">
        <f ca="1">IF(BP$68=1,INDEX(Rates_Admin_New[Service charge  '[R/POD/day']],MATCH(BP$65,Rates_Admin_New[Code],0)),INDEX(Rates_AllOther_New[Service and administration charge '[R/POD/day']],MATCH(BP$64,Rates_AllOther_New[Code],0)))</f>
        <v>69.91</v>
      </c>
      <c r="BQ57" s="137">
        <f ca="1">IF(BQ$68=1,INDEX(Rates_Admin_New[Service charge  '[R/POD/day']],MATCH(BQ$65,Rates_Admin_New[Code],0)),INDEX(Rates_AllOther_New[Service and administration charge '[R/POD/day']],MATCH(BQ$64,Rates_AllOther_New[Code],0)))</f>
        <v>0</v>
      </c>
      <c r="BR57" s="137">
        <f ca="1">IF(BR$68=1,INDEX(Rates_Admin_New[Service charge  '[R/POD/day']],MATCH(BR$65,Rates_Admin_New[Code],0)),INDEX(Rates_AllOther_New[Service and administration charge '[R/POD/day']],MATCH(BR$64,Rates_AllOther_New[Code],0)))</f>
        <v>0</v>
      </c>
      <c r="BS57" s="137">
        <f ca="1">IF(BS$68=1,INDEX(Rates_Admin_New[Service charge  '[R/POD/day']],MATCH(BS$65,Rates_Admin_New[Code],0)),INDEX(Rates_AllOther_New[Service and administration charge '[R/POD/day']],MATCH(BS$64,Rates_AllOther_New[Code],0)))</f>
        <v>0</v>
      </c>
      <c r="BT57" s="137">
        <f ca="1">IF(BT$68=1,INDEX(Rates_Admin_New[Service charge  '[R/POD/day']],MATCH(BT$65,Rates_Admin_New[Code],0)),INDEX(Rates_AllOther_New[Service and administration charge '[R/POD/day']],MATCH(BT$64,Rates_AllOther_New[Code],0)))</f>
        <v>0</v>
      </c>
      <c r="BU57" s="137">
        <f ca="1">IF(BU$68=1,INDEX(Rates_Admin_New[Service charge  '[R/POD/day']],MATCH(BU$65,Rates_Admin_New[Code],0)),INDEX(Rates_AllOther_New[Service and administration charge '[R/POD/day']],MATCH(BU$64,Rates_AllOther_New[Code],0)))</f>
        <v>35.130000000000003</v>
      </c>
      <c r="BV57" s="137">
        <f ca="1">IF(BV$68=1,INDEX(Rates_Admin_New[Service charge  '[R/POD/day']],MATCH(BV$65,Rates_Admin_New[Code],0)),INDEX(Rates_AllOther_New[Service and administration charge '[R/POD/day']],MATCH(BV$64,Rates_AllOther_New[Code],0)))</f>
        <v>69.91</v>
      </c>
      <c r="BW57" s="137" t="e">
        <f ca="1">IF(BW$68=1,INDEX(Rates_Admin_New[Service charge  '[R/POD/day']],MATCH(BW$65,Rates_Admin_New[Code],0)),INDEX(Rates_AllOther_New[Service and administration charge '[R/POD/day']],MATCH(BW$64,Rates_AllOther_New[Code],0)))</f>
        <v>#N/A</v>
      </c>
      <c r="BX57" s="137" t="e">
        <f ca="1">IF(BX$68=1,INDEX(Rates_Admin_New[Service charge  '[R/POD/day']],MATCH(BX$65,Rates_Admin_New[Code],0)),INDEX(Rates_AllOther_New[Service and administration charge '[R/POD/day']],MATCH(BX$64,Rates_AllOther_New[Code],0)))</f>
        <v>#N/A</v>
      </c>
      <c r="BY57" s="137" t="e">
        <f ca="1">IF(BY$68=1,INDEX(Rates_Admin_New[Service charge  '[R/POD/day']],MATCH(BY$65,Rates_Admin_New[Code],0)),INDEX(Rates_AllOther_New[Service and administration charge '[R/POD/day']],MATCH(BY$64,Rates_AllOther_New[Code],0)))</f>
        <v>#N/A</v>
      </c>
      <c r="BZ57" s="137" t="e">
        <f ca="1">IF(BZ$68=1,INDEX(Rates_Admin_New[Service charge  '[R/POD/day']],MATCH(BZ$65,Rates_Admin_New[Code],0)),INDEX(Rates_AllOther_New[Service and administration charge '[R/POD/day']],MATCH(BZ$64,Rates_AllOther_New[Code],0)))</f>
        <v>#N/A</v>
      </c>
      <c r="CA57" s="137">
        <f ca="1">IF(CA$68=1,INDEX(Rates_Admin_New[Service charge  '[R/POD/day']],MATCH(CA$65,Rates_Admin_New[Code],0)),INDEX(Rates_AllOther_New[Service and administration charge '[R/POD/day']],MATCH(CA$64,Rates_AllOther_New[Code],0)))</f>
        <v>5.74</v>
      </c>
      <c r="CB57" s="137">
        <f ca="1">IF(CB$68=1,INDEX(Rates_Admin_New[Service charge  '[R/POD/day']],MATCH(CB$65,Rates_Admin_New[Code],0)),INDEX(Rates_AllOther_New[Service and administration charge '[R/POD/day']],MATCH(CB$64,Rates_AllOther_New[Code],0)))</f>
        <v>5.74</v>
      </c>
      <c r="CC57" s="137">
        <f ca="1">IF(CC$68=1,INDEX(Rates_Admin_New[Service charge  '[R/POD/day']],MATCH(CC$65,Rates_Admin_New[Code],0)),INDEX(Rates_AllOther_New[Service and administration charge '[R/POD/day']],MATCH(CC$64,Rates_AllOther_New[Code],0)))</f>
        <v>5.74</v>
      </c>
      <c r="CD57" s="137">
        <f ca="1">IF(CD$68=1,INDEX(Rates_Admin_New[Service charge  '[R/POD/day']],MATCH(CD$65,Rates_Admin_New[Code],0)),INDEX(Rates_AllOther_New[Service and administration charge '[R/POD/day']],MATCH(CD$64,Rates_AllOther_New[Code],0)))</f>
        <v>5.74</v>
      </c>
      <c r="CE57" s="137">
        <f ca="1">IF(CE$68=1,INDEX(Rates_Admin_New[Service charge  '[R/POD/day']],MATCH(CE$65,Rates_Admin_New[Code],0)),INDEX(Rates_AllOther_New[Service and administration charge '[R/POD/day']],MATCH(CE$64,Rates_AllOther_New[Code],0)))</f>
        <v>69.91</v>
      </c>
      <c r="CF57" s="137">
        <f ca="1">IF(CF$68=1,INDEX(Rates_Admin_New[Service charge  '[R/POD/day']],MATCH(CF$65,Rates_Admin_New[Code],0)),INDEX(Rates_AllOther_New[Service and administration charge '[R/POD/day']],MATCH(CF$64,Rates_AllOther_New[Code],0)))</f>
        <v>69.91</v>
      </c>
    </row>
    <row r="58" spans="2:84" s="77" customFormat="1" ht="4.05" customHeight="1"/>
    <row r="59" spans="2:84" s="77" customFormat="1" ht="13.8">
      <c r="B59" s="119" t="s">
        <v>143</v>
      </c>
      <c r="C59" s="119"/>
      <c r="D59" s="120"/>
      <c r="E59" s="120"/>
      <c r="F59" s="120"/>
      <c r="G59" s="120"/>
      <c r="H59" s="120"/>
      <c r="I59" s="120"/>
      <c r="J59" s="120"/>
      <c r="K59" s="120"/>
      <c r="L59" s="120"/>
      <c r="M59" s="120"/>
      <c r="N59" s="120"/>
      <c r="O59" s="120"/>
      <c r="P59" s="120"/>
      <c r="Q59" s="120"/>
      <c r="R59" s="120"/>
      <c r="S59" s="120"/>
      <c r="T59" s="120"/>
      <c r="U59" s="120"/>
      <c r="V59" s="120"/>
      <c r="W59" s="120"/>
      <c r="X59" s="120"/>
      <c r="Y59" s="120"/>
      <c r="Z59" s="120"/>
      <c r="AA59" s="120"/>
      <c r="AB59" s="120"/>
      <c r="AC59" s="120"/>
      <c r="AD59" s="120"/>
      <c r="AE59" s="120"/>
      <c r="AF59" s="120"/>
      <c r="AG59" s="120"/>
      <c r="AH59" s="120"/>
      <c r="AI59" s="120"/>
      <c r="AJ59" s="120"/>
      <c r="AK59" s="120"/>
      <c r="AL59" s="120"/>
      <c r="AM59" s="120"/>
      <c r="AN59" s="120"/>
      <c r="AO59" s="120"/>
      <c r="AP59" s="120"/>
      <c r="AQ59" s="120"/>
      <c r="AR59" s="120"/>
      <c r="AT59" s="120"/>
      <c r="AU59" s="120"/>
      <c r="AV59" s="120"/>
      <c r="AW59" s="120"/>
      <c r="AX59" s="120"/>
      <c r="AY59" s="120"/>
      <c r="AZ59" s="120"/>
      <c r="BA59" s="120"/>
      <c r="BB59" s="120"/>
      <c r="BC59" s="120"/>
      <c r="BD59" s="120"/>
      <c r="BE59" s="120"/>
      <c r="BF59" s="120"/>
      <c r="BG59" s="120"/>
      <c r="BH59" s="120"/>
      <c r="BI59" s="120"/>
      <c r="BJ59" s="120"/>
      <c r="BK59" s="120"/>
      <c r="BL59" s="120"/>
      <c r="BM59" s="120"/>
      <c r="BN59" s="120"/>
      <c r="BO59" s="120"/>
      <c r="BP59" s="120"/>
      <c r="BQ59" s="120"/>
      <c r="BR59" s="120"/>
      <c r="BS59" s="120"/>
      <c r="BT59" s="120"/>
      <c r="BU59" s="120"/>
      <c r="BV59" s="120"/>
      <c r="BW59" s="120"/>
      <c r="BX59" s="120"/>
      <c r="BY59" s="120"/>
      <c r="BZ59" s="120"/>
      <c r="CA59" s="120"/>
      <c r="CB59" s="120"/>
      <c r="CC59" s="120"/>
      <c r="CD59" s="120"/>
      <c r="CE59" s="120"/>
      <c r="CF59" s="120"/>
    </row>
    <row r="60" spans="2:84" s="77" customFormat="1" ht="13.8"/>
    <row r="61" spans="2:84" s="77" customFormat="1" ht="13.8">
      <c r="B61" s="79" t="s">
        <v>145</v>
      </c>
    </row>
    <row r="62" spans="2:84" s="77" customFormat="1" ht="13.8">
      <c r="C62" s="77" t="s">
        <v>289</v>
      </c>
      <c r="E62" s="77" t="str">
        <f ca="1">INDEX(F62:AR62,0,$F$2)</f>
        <v>Miniflex_Non-Local Authority_[0 - 300km]_&lt; 500V</v>
      </c>
      <c r="F62" s="77" t="str">
        <f t="shared" ref="F62:AA62" ca="1" si="23">F6&amp;"_"&amp;$D75&amp;"_"&amp;$D74&amp;"_"&amp;$D73</f>
        <v>Businessrate 1_Non-Local Authority_[0 - 300km]_&lt; 500V</v>
      </c>
      <c r="G62" s="77" t="str">
        <f t="shared" ca="1" si="23"/>
        <v>Businessrate 2_Non-Local Authority_[0 - 300km]_&lt; 500V</v>
      </c>
      <c r="H62" s="77" t="str">
        <f t="shared" ca="1" si="23"/>
        <v>Businessrate 3_Non-Local Authority_[0 - 300km]_&lt; 500V</v>
      </c>
      <c r="I62" s="77" t="str">
        <f t="shared" ca="1" si="23"/>
        <v>Businessrate 4_Non-Local Authority_[0 - 300km]_&lt; 500V</v>
      </c>
      <c r="J62" s="77" t="str">
        <f t="shared" ca="1" si="23"/>
        <v>Homelight 20A_Non-Local Authority_[0 - 300km]_&lt; 500V</v>
      </c>
      <c r="K62" s="77" t="str">
        <f t="shared" ca="1" si="23"/>
        <v>Homelight 60A_Non-Local Authority_[0 - 300km]_&lt; 500V</v>
      </c>
      <c r="L62" s="77" t="str">
        <f t="shared" ca="1" si="23"/>
        <v>Homepower 1_Non-Local Authority_[0 - 300km]_&lt; 500V</v>
      </c>
      <c r="M62" s="77" t="str">
        <f t="shared" ca="1" si="23"/>
        <v>Homepower 2_Non-Local Authority_[0 - 300km]_&lt; 500V</v>
      </c>
      <c r="N62" s="77" t="str">
        <f t="shared" ca="1" si="23"/>
        <v>Homepower 3_Non-Local Authority_[0 - 300km]_&lt; 500V</v>
      </c>
      <c r="O62" s="77" t="str">
        <f t="shared" ca="1" si="23"/>
        <v>Homepower 4_Non-Local Authority_[0 - 300km]_&lt; 500V</v>
      </c>
      <c r="P62" s="77" t="str">
        <f t="shared" ca="1" si="23"/>
        <v>Homepower Bulk_Non-Local Authority_[0 - 300km]_&lt; 500V</v>
      </c>
      <c r="Q62" s="77" t="str">
        <f t="shared" ca="1" si="23"/>
        <v>Landrate 1_Non-Local Authority_[0 - 300km]_&lt; 500V</v>
      </c>
      <c r="R62" s="77" t="str">
        <f t="shared" ca="1" si="23"/>
        <v>Landrate 2_Non-Local Authority_[0 - 300km]_&lt; 500V</v>
      </c>
      <c r="S62" s="77" t="str">
        <f t="shared" ca="1" si="23"/>
        <v>Landrate 3_Non-Local Authority_[0 - 300km]_&lt; 500V</v>
      </c>
      <c r="T62" s="77" t="str">
        <f t="shared" ca="1" si="23"/>
        <v>Landrate 4_Non-Local Authority_[0 - 300km]_&lt; 500V</v>
      </c>
      <c r="U62" s="77" t="str">
        <f t="shared" ca="1" si="23"/>
        <v>Landrate Dx_Non-Local Authority_[0 - 300km]_&lt; 500V</v>
      </c>
      <c r="V62" s="77" t="str">
        <f t="shared" ca="1" si="23"/>
        <v>Megaflex_Non-Local Authority_[0 - 300km]_&lt; 500V</v>
      </c>
      <c r="W62" s="77" t="str">
        <f t="shared" ca="1" si="23"/>
        <v>Miniflex_Non-Local Authority_[0 - 300km]_&lt; 500V</v>
      </c>
      <c r="X62" s="77" t="str">
        <f ca="1">X6&amp;"_"&amp;$D75&amp;"_"&amp;$D74&amp;"_"&amp;$D73</f>
        <v>Nightsave Urban_Non-Local Authority_[0 - 300km]_&lt; 500V</v>
      </c>
      <c r="Y62" s="77" t="str">
        <f t="shared" ca="1" si="23"/>
        <v>Nightsave Rural_Non-Local Authority_[0 - 300km]_&lt; 500V</v>
      </c>
      <c r="Z62" s="77" t="str">
        <f t="shared" ca="1" si="23"/>
        <v>Nightsave Small_Non-Local Authority_[0 - 300km]_&lt; 500V</v>
      </c>
      <c r="AA62" s="77" t="str">
        <f t="shared" ca="1" si="23"/>
        <v>Ruraflex_Non-Local Authority_[0 - 300km]_&lt; 500V</v>
      </c>
      <c r="AB62" s="77" t="str">
        <f ca="1">AB6&amp;"_"&amp;$D75&amp;"_"&amp;$D74&amp;"_"&amp;$D73</f>
        <v>Landlight 20A_Non-Local Authority_[0 - 300km]_&lt; 500V</v>
      </c>
      <c r="AC62" s="77" t="str">
        <f ca="1">AC6&amp;"_"&amp;$D75&amp;"_"&amp;$D74&amp;"_"&amp;$D73</f>
        <v>Landlight 60A_Non-Local Authority_[0 - 300km]_&lt; 500V</v>
      </c>
      <c r="AD62" s="77" t="str">
        <f ca="1">AD6&amp;"_"&amp;$D75&amp;"_"&amp;$D74&amp;"_"&amp;$D73</f>
        <v>Public Lighting 24 Hours_Non-Local Authority_[0 - 300km]_&lt; 500V</v>
      </c>
      <c r="AE62" s="77" t="str">
        <f ca="1">AE6&amp;"_"&amp;$D75&amp;"_"&amp;$D74&amp;"_"&amp;$D73</f>
        <v>Public Lighting All Night_Non-Local Authority_[0 - 300km]_&lt; 500V</v>
      </c>
      <c r="AF62" s="77" t="str">
        <f ca="1">AF6&amp;"_"&amp;$D75&amp;"_"&amp;$D74&amp;"_"&amp;$D73</f>
        <v>Public Lighting Urban Fixed_Non-Local Authority_[0 - 300km]_&lt; 500V</v>
      </c>
      <c r="AG62" s="77" t="str">
        <f t="shared" ref="AG62:AR62" ca="1" si="24">AG6&amp;"_"&amp;$D75&amp;"_"&amp;$D74&amp;"_"&amp;$D73</f>
        <v>Municflex_Non-Local Authority_[0 - 300km]_&lt; 500V</v>
      </c>
      <c r="AH62" s="77" t="str">
        <f t="shared" ca="1" si="24"/>
        <v>Municrate 1_Non-Local Authority_[0 - 300km]_&lt; 500V</v>
      </c>
      <c r="AI62" s="77" t="str">
        <f t="shared" ca="1" si="24"/>
        <v>Municrate 2_Non-Local Authority_[0 - 300km]_&lt; 500V</v>
      </c>
      <c r="AJ62" s="77" t="str">
        <f t="shared" ca="1" si="24"/>
        <v>Municrate 3_Non-Local Authority_[0 - 300km]_&lt; 500V</v>
      </c>
      <c r="AK62" s="77" t="str">
        <f t="shared" ca="1" si="24"/>
        <v>Municrate 4_Non-Local Authority_[0 - 300km]_&lt; 500V</v>
      </c>
      <c r="AL62" s="77" t="str">
        <f t="shared" ca="1" si="24"/>
        <v>Homeflex 1_Non-Local Authority_[0 - 300km]_&lt; 500V</v>
      </c>
      <c r="AM62" s="77" t="str">
        <f t="shared" ca="1" si="24"/>
        <v>Homeflex 2_Non-Local Authority_[0 - 300km]_&lt; 500V</v>
      </c>
      <c r="AN62" s="77" t="str">
        <f t="shared" ca="1" si="24"/>
        <v>Homeflex 3_Non-Local Authority_[0 - 300km]_&lt; 500V</v>
      </c>
      <c r="AO62" s="77" t="str">
        <f t="shared" ca="1" si="24"/>
        <v>Homeflex 4_Non-Local Authority_[0 - 300km]_&lt; 500V</v>
      </c>
      <c r="AP62" s="77" t="str">
        <f t="shared" ca="1" si="24"/>
        <v>Transflex 1_Non-Local Authority_[0 - 300km]_&lt; 500V</v>
      </c>
      <c r="AQ62" s="77" t="str">
        <f t="shared" ca="1" si="24"/>
        <v>Transflex 2_Non-Local Authority_[0 - 300km]_&lt; 500V</v>
      </c>
      <c r="AR62" s="77" t="str">
        <f t="shared" ca="1" si="24"/>
        <v>Nightsave Large_Non-Local Authority_[0 - 300km]_&lt; 500V</v>
      </c>
      <c r="AT62" s="77" t="str">
        <f ca="1">INDEX(AU62:CF62,0,Selected_Tariff_ID)</f>
        <v>Miniflex_Non-Local Authority_[0 - 300km]_&lt; 500V</v>
      </c>
      <c r="AU62" s="77" t="str">
        <f t="shared" ref="AU62:BU62" ca="1" si="25">AU6&amp;"_"&amp;$D75&amp;"_"&amp;$D74&amp;"_"&amp;$D73</f>
        <v>Businessrate 1_Non-Local Authority_[0 - 300km]_&lt; 500V</v>
      </c>
      <c r="AV62" s="77" t="str">
        <f t="shared" ca="1" si="25"/>
        <v>Businessrate 2_Non-Local Authority_[0 - 300km]_&lt; 500V</v>
      </c>
      <c r="AW62" s="77" t="str">
        <f t="shared" ca="1" si="25"/>
        <v>Businessrate 3_Non-Local Authority_[0 - 300km]_&lt; 500V</v>
      </c>
      <c r="AX62" s="77" t="str">
        <f t="shared" ca="1" si="25"/>
        <v>Businessrate 4_Non-Local Authority_[0 - 300km]_&lt; 500V</v>
      </c>
      <c r="AY62" s="77" t="str">
        <f t="shared" ca="1" si="25"/>
        <v>Homelight 20A_Non-Local Authority_[0 - 300km]_&lt; 500V</v>
      </c>
      <c r="AZ62" s="77" t="str">
        <f t="shared" ca="1" si="25"/>
        <v>Homelight 60A_Non-Local Authority_[0 - 300km]_&lt; 500V</v>
      </c>
      <c r="BA62" s="77" t="str">
        <f t="shared" ca="1" si="25"/>
        <v>Homepower 1_Non-Local Authority_[0 - 300km]_&lt; 500V</v>
      </c>
      <c r="BB62" s="77" t="str">
        <f t="shared" ca="1" si="25"/>
        <v>Homepower 2_Non-Local Authority_[0 - 300km]_&lt; 500V</v>
      </c>
      <c r="BC62" s="77" t="str">
        <f t="shared" ca="1" si="25"/>
        <v>Homepower 3_Non-Local Authority_[0 - 300km]_&lt; 500V</v>
      </c>
      <c r="BD62" s="77" t="str">
        <f t="shared" ca="1" si="25"/>
        <v>Homepower 4_Non-Local Authority_[0 - 300km]_&lt; 500V</v>
      </c>
      <c r="BE62" s="77" t="str">
        <f t="shared" ca="1" si="25"/>
        <v>Homepower Bulk_Non-Local Authority_[0 - 300km]_&lt; 500V</v>
      </c>
      <c r="BF62" s="77" t="str">
        <f t="shared" ca="1" si="25"/>
        <v>Landrate 1_Non-Local Authority_[0 - 300km]_&lt; 500V</v>
      </c>
      <c r="BG62" s="77" t="str">
        <f t="shared" ca="1" si="25"/>
        <v>Landrate 2_Non-Local Authority_[0 - 300km]_&lt; 500V</v>
      </c>
      <c r="BH62" s="77" t="str">
        <f t="shared" ca="1" si="25"/>
        <v>Landrate 3_Non-Local Authority_[0 - 300km]_&lt; 500V</v>
      </c>
      <c r="BI62" s="77" t="str">
        <f t="shared" ca="1" si="25"/>
        <v>Landrate 4_Non-Local Authority_[0 - 300km]_&lt; 500V</v>
      </c>
      <c r="BJ62" s="77" t="str">
        <f t="shared" ca="1" si="25"/>
        <v>Landrate Dx_Non-Local Authority_[0 - 300km]_&lt; 500V</v>
      </c>
      <c r="BK62" s="77" t="str">
        <f t="shared" ca="1" si="25"/>
        <v>Megaflex_Non-Local Authority_[0 - 300km]_&lt; 500V</v>
      </c>
      <c r="BL62" s="77" t="str">
        <f t="shared" ca="1" si="25"/>
        <v>Miniflex_Non-Local Authority_[0 - 300km]_&lt; 500V</v>
      </c>
      <c r="BM62" s="77" t="str">
        <f t="shared" ca="1" si="25"/>
        <v>Nightsave Urban_Non-Local Authority_[0 - 300km]_&lt; 500V</v>
      </c>
      <c r="BN62" s="77" t="str">
        <f t="shared" ca="1" si="25"/>
        <v>Nightsave Rural_Non-Local Authority_[0 - 300km]_&lt; 500V</v>
      </c>
      <c r="BO62" s="77" t="str">
        <f t="shared" ca="1" si="25"/>
        <v>Nightsave Small_Non-Local Authority_[0 - 300km]_&lt; 500V</v>
      </c>
      <c r="BP62" s="77" t="str">
        <f t="shared" ca="1" si="25"/>
        <v>Ruraflex_Non-Local Authority_[0 - 300km]_&lt; 500V</v>
      </c>
      <c r="BQ62" s="77" t="str">
        <f t="shared" ca="1" si="25"/>
        <v>Landlight 20A_Non-Local Authority_[0 - 300km]_&lt; 500V</v>
      </c>
      <c r="BR62" s="77" t="str">
        <f t="shared" ca="1" si="25"/>
        <v>Landlight 60A_Non-Local Authority_[0 - 300km]_&lt; 500V</v>
      </c>
      <c r="BS62" s="77" t="str">
        <f t="shared" ca="1" si="25"/>
        <v>Public Lighting 24 Hours_Non-Local Authority_[0 - 300km]_&lt; 500V</v>
      </c>
      <c r="BT62" s="77" t="str">
        <f t="shared" ca="1" si="25"/>
        <v>Public Lighting All Night_Non-Local Authority_[0 - 300km]_&lt; 500V</v>
      </c>
      <c r="BU62" s="77" t="str">
        <f t="shared" ca="1" si="25"/>
        <v>Public Lighting Urban Fixed_Non-Local Authority_[0 - 300km]_&lt; 500V</v>
      </c>
      <c r="BV62" s="77" t="str">
        <f t="shared" ref="BV62:CF62" ca="1" si="26">BV6&amp;"_"&amp;$D75&amp;"_"&amp;$D74&amp;"_"&amp;$D73</f>
        <v>Municflex_Non-Local Authority_[0 - 300km]_&lt; 500V</v>
      </c>
      <c r="BW62" s="77" t="str">
        <f t="shared" ca="1" si="26"/>
        <v>Municrate 1_Non-Local Authority_[0 - 300km]_&lt; 500V</v>
      </c>
      <c r="BX62" s="77" t="str">
        <f t="shared" ca="1" si="26"/>
        <v>Municrate 2_Non-Local Authority_[0 - 300km]_&lt; 500V</v>
      </c>
      <c r="BY62" s="77" t="str">
        <f t="shared" ca="1" si="26"/>
        <v>Municrate 3_Non-Local Authority_[0 - 300km]_&lt; 500V</v>
      </c>
      <c r="BZ62" s="77" t="str">
        <f t="shared" ca="1" si="26"/>
        <v>Municrate 4_Non-Local Authority_[0 - 300km]_&lt; 500V</v>
      </c>
      <c r="CA62" s="77" t="str">
        <f t="shared" ca="1" si="26"/>
        <v>Homeflex 1_Non-Local Authority_[0 - 300km]_&lt; 500V</v>
      </c>
      <c r="CB62" s="77" t="str">
        <f t="shared" ca="1" si="26"/>
        <v>Homeflex 2_Non-Local Authority_[0 - 300km]_&lt; 500V</v>
      </c>
      <c r="CC62" s="77" t="str">
        <f t="shared" ca="1" si="26"/>
        <v>Homeflex 3_Non-Local Authority_[0 - 300km]_&lt; 500V</v>
      </c>
      <c r="CD62" s="77" t="str">
        <f t="shared" ca="1" si="26"/>
        <v>Homeflex 4_Non-Local Authority_[0 - 300km]_&lt; 500V</v>
      </c>
      <c r="CE62" s="77" t="str">
        <f t="shared" ca="1" si="26"/>
        <v>Transflex 1_Non-Local Authority_[0 - 300km]_&lt; 500V</v>
      </c>
      <c r="CF62" s="77" t="str">
        <f t="shared" ca="1" si="26"/>
        <v>Transflex 2_Non-Local Authority_[0 - 300km]_&lt; 500V</v>
      </c>
    </row>
    <row r="63" spans="2:84" s="77" customFormat="1" ht="13.8">
      <c r="C63" s="77" t="s">
        <v>290</v>
      </c>
      <c r="E63" s="77" t="str">
        <f ca="1">INDEX(F63:AR63,0,$F$2)</f>
        <v>Miniflex_Non-Local Authority_&lt; 500V</v>
      </c>
      <c r="F63" s="77" t="str">
        <f t="shared" ref="F63:AA63" ca="1" si="27">F6&amp;"_"&amp;$D75&amp;"_"&amp;$D73</f>
        <v>Businessrate 1_Non-Local Authority_&lt; 500V</v>
      </c>
      <c r="G63" s="77" t="str">
        <f t="shared" ca="1" si="27"/>
        <v>Businessrate 2_Non-Local Authority_&lt; 500V</v>
      </c>
      <c r="H63" s="77" t="str">
        <f t="shared" ca="1" si="27"/>
        <v>Businessrate 3_Non-Local Authority_&lt; 500V</v>
      </c>
      <c r="I63" s="77" t="str">
        <f t="shared" ca="1" si="27"/>
        <v>Businessrate 4_Non-Local Authority_&lt; 500V</v>
      </c>
      <c r="J63" s="77" t="str">
        <f t="shared" ca="1" si="27"/>
        <v>Homelight 20A_Non-Local Authority_&lt; 500V</v>
      </c>
      <c r="K63" s="77" t="str">
        <f t="shared" ca="1" si="27"/>
        <v>Homelight 60A_Non-Local Authority_&lt; 500V</v>
      </c>
      <c r="L63" s="77" t="str">
        <f t="shared" ca="1" si="27"/>
        <v>Homepower 1_Non-Local Authority_&lt; 500V</v>
      </c>
      <c r="M63" s="77" t="str">
        <f t="shared" ca="1" si="27"/>
        <v>Homepower 2_Non-Local Authority_&lt; 500V</v>
      </c>
      <c r="N63" s="77" t="str">
        <f t="shared" ca="1" si="27"/>
        <v>Homepower 3_Non-Local Authority_&lt; 500V</v>
      </c>
      <c r="O63" s="77" t="str">
        <f t="shared" ca="1" si="27"/>
        <v>Homepower 4_Non-Local Authority_&lt; 500V</v>
      </c>
      <c r="P63" s="77" t="str">
        <f t="shared" ca="1" si="27"/>
        <v>Homepower Bulk_Non-Local Authority_&lt; 500V</v>
      </c>
      <c r="Q63" s="77" t="str">
        <f t="shared" ca="1" si="27"/>
        <v>Landrate 1_Non-Local Authority_&lt; 500V</v>
      </c>
      <c r="R63" s="77" t="str">
        <f t="shared" ca="1" si="27"/>
        <v>Landrate 2_Non-Local Authority_&lt; 500V</v>
      </c>
      <c r="S63" s="77" t="str">
        <f t="shared" ca="1" si="27"/>
        <v>Landrate 3_Non-Local Authority_&lt; 500V</v>
      </c>
      <c r="T63" s="77" t="str">
        <f t="shared" ca="1" si="27"/>
        <v>Landrate 4_Non-Local Authority_&lt; 500V</v>
      </c>
      <c r="U63" s="77" t="str">
        <f t="shared" ca="1" si="27"/>
        <v>Landrate Dx_Non-Local Authority_&lt; 500V</v>
      </c>
      <c r="V63" s="77" t="str">
        <f t="shared" ca="1" si="27"/>
        <v>Megaflex_Non-Local Authority_&lt; 500V</v>
      </c>
      <c r="W63" s="77" t="str">
        <f t="shared" ca="1" si="27"/>
        <v>Miniflex_Non-Local Authority_&lt; 500V</v>
      </c>
      <c r="X63" s="77" t="str">
        <f ca="1">X6&amp;"_"&amp;$D75&amp;"_"&amp;$D73</f>
        <v>Nightsave Urban_Non-Local Authority_&lt; 500V</v>
      </c>
      <c r="Y63" s="77" t="str">
        <f t="shared" ca="1" si="27"/>
        <v>Nightsave Rural_Non-Local Authority_&lt; 500V</v>
      </c>
      <c r="Z63" s="77" t="str">
        <f t="shared" ca="1" si="27"/>
        <v>Nightsave Small_Non-Local Authority_&lt; 500V</v>
      </c>
      <c r="AA63" s="77" t="str">
        <f t="shared" ca="1" si="27"/>
        <v>Ruraflex_Non-Local Authority_&lt; 500V</v>
      </c>
      <c r="AB63" s="77" t="str">
        <f ca="1">AB6&amp;"_"&amp;$D75&amp;"_"&amp;$D73</f>
        <v>Landlight 20A_Non-Local Authority_&lt; 500V</v>
      </c>
      <c r="AC63" s="77" t="str">
        <f ca="1">AC6&amp;"_"&amp;$D75&amp;"_"&amp;$D73</f>
        <v>Landlight 60A_Non-Local Authority_&lt; 500V</v>
      </c>
      <c r="AD63" s="77" t="str">
        <f ca="1">AD6&amp;"_"&amp;$D75&amp;"_"&amp;$D73</f>
        <v>Public Lighting 24 Hours_Non-Local Authority_&lt; 500V</v>
      </c>
      <c r="AE63" s="77" t="str">
        <f ca="1">AE6&amp;"_"&amp;$D75&amp;"_"&amp;$D73</f>
        <v>Public Lighting All Night_Non-Local Authority_&lt; 500V</v>
      </c>
      <c r="AF63" s="77" t="str">
        <f ca="1">AF6&amp;"_"&amp;$D75&amp;"_"&amp;$D73</f>
        <v>Public Lighting Urban Fixed_Non-Local Authority_&lt; 500V</v>
      </c>
      <c r="AG63" s="77" t="str">
        <f t="shared" ref="AG63:AR63" ca="1" si="28">AG6&amp;"_"&amp;$D75&amp;"_"&amp;$D73</f>
        <v>Municflex_Non-Local Authority_&lt; 500V</v>
      </c>
      <c r="AH63" s="77" t="str">
        <f t="shared" ca="1" si="28"/>
        <v>Municrate 1_Non-Local Authority_&lt; 500V</v>
      </c>
      <c r="AI63" s="77" t="str">
        <f t="shared" ca="1" si="28"/>
        <v>Municrate 2_Non-Local Authority_&lt; 500V</v>
      </c>
      <c r="AJ63" s="77" t="str">
        <f t="shared" ca="1" si="28"/>
        <v>Municrate 3_Non-Local Authority_&lt; 500V</v>
      </c>
      <c r="AK63" s="77" t="str">
        <f t="shared" ca="1" si="28"/>
        <v>Municrate 4_Non-Local Authority_&lt; 500V</v>
      </c>
      <c r="AL63" s="77" t="str">
        <f t="shared" ca="1" si="28"/>
        <v>Homeflex 1_Non-Local Authority_&lt; 500V</v>
      </c>
      <c r="AM63" s="77" t="str">
        <f t="shared" ca="1" si="28"/>
        <v>Homeflex 2_Non-Local Authority_&lt; 500V</v>
      </c>
      <c r="AN63" s="77" t="str">
        <f t="shared" ca="1" si="28"/>
        <v>Homeflex 3_Non-Local Authority_&lt; 500V</v>
      </c>
      <c r="AO63" s="77" t="str">
        <f t="shared" ca="1" si="28"/>
        <v>Homeflex 4_Non-Local Authority_&lt; 500V</v>
      </c>
      <c r="AP63" s="77" t="str">
        <f t="shared" ca="1" si="28"/>
        <v>Transflex 1_Non-Local Authority_&lt; 500V</v>
      </c>
      <c r="AQ63" s="77" t="str">
        <f t="shared" ca="1" si="28"/>
        <v>Transflex 2_Non-Local Authority_&lt; 500V</v>
      </c>
      <c r="AR63" s="77" t="str">
        <f t="shared" ca="1" si="28"/>
        <v>Nightsave Large_Non-Local Authority_&lt; 500V</v>
      </c>
      <c r="AT63" s="77" t="str">
        <f ca="1">INDEX(AU63:CF63,0,Selected_Tariff_ID)</f>
        <v>Miniflex_Non-Local Authority_&lt; 500V</v>
      </c>
      <c r="AU63" s="77" t="str">
        <f t="shared" ref="AU63:BU63" ca="1" si="29">AU6&amp;"_"&amp;$D75&amp;"_"&amp;$D73</f>
        <v>Businessrate 1_Non-Local Authority_&lt; 500V</v>
      </c>
      <c r="AV63" s="77" t="str">
        <f t="shared" ca="1" si="29"/>
        <v>Businessrate 2_Non-Local Authority_&lt; 500V</v>
      </c>
      <c r="AW63" s="77" t="str">
        <f t="shared" ca="1" si="29"/>
        <v>Businessrate 3_Non-Local Authority_&lt; 500V</v>
      </c>
      <c r="AX63" s="77" t="str">
        <f t="shared" ca="1" si="29"/>
        <v>Businessrate 4_Non-Local Authority_&lt; 500V</v>
      </c>
      <c r="AY63" s="77" t="str">
        <f t="shared" ca="1" si="29"/>
        <v>Homelight 20A_Non-Local Authority_&lt; 500V</v>
      </c>
      <c r="AZ63" s="77" t="str">
        <f t="shared" ca="1" si="29"/>
        <v>Homelight 60A_Non-Local Authority_&lt; 500V</v>
      </c>
      <c r="BA63" s="77" t="str">
        <f t="shared" ca="1" si="29"/>
        <v>Homepower 1_Non-Local Authority_&lt; 500V</v>
      </c>
      <c r="BB63" s="77" t="str">
        <f t="shared" ca="1" si="29"/>
        <v>Homepower 2_Non-Local Authority_&lt; 500V</v>
      </c>
      <c r="BC63" s="77" t="str">
        <f t="shared" ca="1" si="29"/>
        <v>Homepower 3_Non-Local Authority_&lt; 500V</v>
      </c>
      <c r="BD63" s="77" t="str">
        <f t="shared" ca="1" si="29"/>
        <v>Homepower 4_Non-Local Authority_&lt; 500V</v>
      </c>
      <c r="BE63" s="77" t="str">
        <f t="shared" ca="1" si="29"/>
        <v>Homepower Bulk_Non-Local Authority_&lt; 500V</v>
      </c>
      <c r="BF63" s="77" t="str">
        <f t="shared" ca="1" si="29"/>
        <v>Landrate 1_Non-Local Authority_&lt; 500V</v>
      </c>
      <c r="BG63" s="77" t="str">
        <f t="shared" ca="1" si="29"/>
        <v>Landrate 2_Non-Local Authority_&lt; 500V</v>
      </c>
      <c r="BH63" s="77" t="str">
        <f t="shared" ca="1" si="29"/>
        <v>Landrate 3_Non-Local Authority_&lt; 500V</v>
      </c>
      <c r="BI63" s="77" t="str">
        <f t="shared" ca="1" si="29"/>
        <v>Landrate 4_Non-Local Authority_&lt; 500V</v>
      </c>
      <c r="BJ63" s="77" t="str">
        <f t="shared" ca="1" si="29"/>
        <v>Landrate Dx_Non-Local Authority_&lt; 500V</v>
      </c>
      <c r="BK63" s="77" t="str">
        <f t="shared" ca="1" si="29"/>
        <v>Megaflex_Non-Local Authority_&lt; 500V</v>
      </c>
      <c r="BL63" s="77" t="str">
        <f t="shared" ca="1" si="29"/>
        <v>Miniflex_Non-Local Authority_&lt; 500V</v>
      </c>
      <c r="BM63" s="77" t="str">
        <f t="shared" ca="1" si="29"/>
        <v>Nightsave Urban_Non-Local Authority_&lt; 500V</v>
      </c>
      <c r="BN63" s="77" t="str">
        <f t="shared" ca="1" si="29"/>
        <v>Nightsave Rural_Non-Local Authority_&lt; 500V</v>
      </c>
      <c r="BO63" s="77" t="str">
        <f t="shared" ca="1" si="29"/>
        <v>Nightsave Small_Non-Local Authority_&lt; 500V</v>
      </c>
      <c r="BP63" s="77" t="str">
        <f t="shared" ca="1" si="29"/>
        <v>Ruraflex_Non-Local Authority_&lt; 500V</v>
      </c>
      <c r="BQ63" s="77" t="str">
        <f t="shared" ca="1" si="29"/>
        <v>Landlight 20A_Non-Local Authority_&lt; 500V</v>
      </c>
      <c r="BR63" s="77" t="str">
        <f t="shared" ca="1" si="29"/>
        <v>Landlight 60A_Non-Local Authority_&lt; 500V</v>
      </c>
      <c r="BS63" s="77" t="str">
        <f t="shared" ca="1" si="29"/>
        <v>Public Lighting 24 Hours_Non-Local Authority_&lt; 500V</v>
      </c>
      <c r="BT63" s="77" t="str">
        <f t="shared" ca="1" si="29"/>
        <v>Public Lighting All Night_Non-Local Authority_&lt; 500V</v>
      </c>
      <c r="BU63" s="77" t="str">
        <f t="shared" ca="1" si="29"/>
        <v>Public Lighting Urban Fixed_Non-Local Authority_&lt; 500V</v>
      </c>
      <c r="BV63" s="77" t="str">
        <f t="shared" ref="BV63:CF63" ca="1" si="30">BV6&amp;"_"&amp;$D75&amp;"_"&amp;$D73</f>
        <v>Municflex_Non-Local Authority_&lt; 500V</v>
      </c>
      <c r="BW63" s="77" t="str">
        <f t="shared" ca="1" si="30"/>
        <v>Municrate 1_Non-Local Authority_&lt; 500V</v>
      </c>
      <c r="BX63" s="77" t="str">
        <f t="shared" ca="1" si="30"/>
        <v>Municrate 2_Non-Local Authority_&lt; 500V</v>
      </c>
      <c r="BY63" s="77" t="str">
        <f t="shared" ca="1" si="30"/>
        <v>Municrate 3_Non-Local Authority_&lt; 500V</v>
      </c>
      <c r="BZ63" s="77" t="str">
        <f t="shared" ca="1" si="30"/>
        <v>Municrate 4_Non-Local Authority_&lt; 500V</v>
      </c>
      <c r="CA63" s="77" t="str">
        <f t="shared" ca="1" si="30"/>
        <v>Homeflex 1_Non-Local Authority_&lt; 500V</v>
      </c>
      <c r="CB63" s="77" t="str">
        <f t="shared" ca="1" si="30"/>
        <v>Homeflex 2_Non-Local Authority_&lt; 500V</v>
      </c>
      <c r="CC63" s="77" t="str">
        <f t="shared" ca="1" si="30"/>
        <v>Homeflex 3_Non-Local Authority_&lt; 500V</v>
      </c>
      <c r="CD63" s="77" t="str">
        <f t="shared" ca="1" si="30"/>
        <v>Homeflex 4_Non-Local Authority_&lt; 500V</v>
      </c>
      <c r="CE63" s="77" t="str">
        <f t="shared" ca="1" si="30"/>
        <v>Transflex 1_Non-Local Authority_&lt; 500V</v>
      </c>
      <c r="CF63" s="77" t="str">
        <f t="shared" ca="1" si="30"/>
        <v>Transflex 2_Non-Local Authority_&lt; 500V</v>
      </c>
    </row>
    <row r="64" spans="2:84" s="77" customFormat="1" ht="13.8">
      <c r="C64" s="77" t="s">
        <v>291</v>
      </c>
      <c r="E64" s="77" t="str">
        <f ca="1">INDEX(F64:AR64,0,$F$2)</f>
        <v>Miniflex_Non-Local Authority</v>
      </c>
      <c r="F64" s="77" t="str">
        <f t="shared" ref="F64:AA64" si="31">F6&amp;"_"&amp;$D75</f>
        <v>Businessrate 1_Non-Local Authority</v>
      </c>
      <c r="G64" s="77" t="str">
        <f t="shared" si="31"/>
        <v>Businessrate 2_Non-Local Authority</v>
      </c>
      <c r="H64" s="77" t="str">
        <f t="shared" si="31"/>
        <v>Businessrate 3_Non-Local Authority</v>
      </c>
      <c r="I64" s="77" t="str">
        <f t="shared" si="31"/>
        <v>Businessrate 4_Non-Local Authority</v>
      </c>
      <c r="J64" s="77" t="str">
        <f t="shared" si="31"/>
        <v>Homelight 20A_Non-Local Authority</v>
      </c>
      <c r="K64" s="77" t="str">
        <f t="shared" si="31"/>
        <v>Homelight 60A_Non-Local Authority</v>
      </c>
      <c r="L64" s="77" t="str">
        <f t="shared" si="31"/>
        <v>Homepower 1_Non-Local Authority</v>
      </c>
      <c r="M64" s="77" t="str">
        <f t="shared" si="31"/>
        <v>Homepower 2_Non-Local Authority</v>
      </c>
      <c r="N64" s="77" t="str">
        <f t="shared" si="31"/>
        <v>Homepower 3_Non-Local Authority</v>
      </c>
      <c r="O64" s="77" t="str">
        <f t="shared" si="31"/>
        <v>Homepower 4_Non-Local Authority</v>
      </c>
      <c r="P64" s="77" t="str">
        <f t="shared" si="31"/>
        <v>Homepower Bulk_Non-Local Authority</v>
      </c>
      <c r="Q64" s="77" t="str">
        <f t="shared" si="31"/>
        <v>Landrate 1_Non-Local Authority</v>
      </c>
      <c r="R64" s="77" t="str">
        <f t="shared" si="31"/>
        <v>Landrate 2_Non-Local Authority</v>
      </c>
      <c r="S64" s="77" t="str">
        <f t="shared" si="31"/>
        <v>Landrate 3_Non-Local Authority</v>
      </c>
      <c r="T64" s="77" t="str">
        <f t="shared" si="31"/>
        <v>Landrate 4_Non-Local Authority</v>
      </c>
      <c r="U64" s="77" t="str">
        <f t="shared" si="31"/>
        <v>Landrate Dx_Non-Local Authority</v>
      </c>
      <c r="V64" s="77" t="str">
        <f t="shared" si="31"/>
        <v>Megaflex_Non-Local Authority</v>
      </c>
      <c r="W64" s="77" t="str">
        <f t="shared" si="31"/>
        <v>Miniflex_Non-Local Authority</v>
      </c>
      <c r="X64" s="77" t="str">
        <f>X6&amp;"_"&amp;$D75</f>
        <v>Nightsave Urban_Non-Local Authority</v>
      </c>
      <c r="Y64" s="77" t="str">
        <f t="shared" si="31"/>
        <v>Nightsave Rural_Non-Local Authority</v>
      </c>
      <c r="Z64" s="77" t="str">
        <f t="shared" si="31"/>
        <v>Nightsave Small_Non-Local Authority</v>
      </c>
      <c r="AA64" s="77" t="str">
        <f t="shared" si="31"/>
        <v>Ruraflex_Non-Local Authority</v>
      </c>
      <c r="AB64" s="77" t="str">
        <f>AB6&amp;"_"&amp;$D75</f>
        <v>Landlight 20A_Non-Local Authority</v>
      </c>
      <c r="AC64" s="77" t="str">
        <f>AC6&amp;"_"&amp;$D75</f>
        <v>Landlight 60A_Non-Local Authority</v>
      </c>
      <c r="AD64" s="77" t="str">
        <f>AD6&amp;"_"&amp;$D75</f>
        <v>Public Lighting 24 Hours_Non-Local Authority</v>
      </c>
      <c r="AE64" s="77" t="str">
        <f>AE6&amp;"_"&amp;$D75</f>
        <v>Public Lighting All Night_Non-Local Authority</v>
      </c>
      <c r="AF64" s="77" t="str">
        <f>AF6&amp;"_"&amp;$D75</f>
        <v>Public Lighting Urban Fixed_Non-Local Authority</v>
      </c>
      <c r="AG64" s="77" t="str">
        <f t="shared" ref="AG64:AR64" si="32">AG6&amp;"_"&amp;$D75</f>
        <v>Municflex_Non-Local Authority</v>
      </c>
      <c r="AH64" s="77" t="str">
        <f t="shared" si="32"/>
        <v>Municrate 1_Non-Local Authority</v>
      </c>
      <c r="AI64" s="77" t="str">
        <f t="shared" si="32"/>
        <v>Municrate 2_Non-Local Authority</v>
      </c>
      <c r="AJ64" s="77" t="str">
        <f t="shared" si="32"/>
        <v>Municrate 3_Non-Local Authority</v>
      </c>
      <c r="AK64" s="77" t="str">
        <f t="shared" si="32"/>
        <v>Municrate 4_Non-Local Authority</v>
      </c>
      <c r="AL64" s="77" t="str">
        <f t="shared" si="32"/>
        <v>Homeflex 1_Non-Local Authority</v>
      </c>
      <c r="AM64" s="77" t="str">
        <f t="shared" si="32"/>
        <v>Homeflex 2_Non-Local Authority</v>
      </c>
      <c r="AN64" s="77" t="str">
        <f t="shared" si="32"/>
        <v>Homeflex 3_Non-Local Authority</v>
      </c>
      <c r="AO64" s="77" t="str">
        <f t="shared" si="32"/>
        <v>Homeflex 4_Non-Local Authority</v>
      </c>
      <c r="AP64" s="77" t="str">
        <f t="shared" si="32"/>
        <v>Transflex 1_Non-Local Authority</v>
      </c>
      <c r="AQ64" s="77" t="str">
        <f t="shared" si="32"/>
        <v>Transflex 2_Non-Local Authority</v>
      </c>
      <c r="AR64" s="77" t="str">
        <f t="shared" si="32"/>
        <v>Nightsave Large_Non-Local Authority</v>
      </c>
      <c r="AT64" s="77" t="str">
        <f ca="1">INDEX(AU64:CF64,0,Selected_Tariff_ID)</f>
        <v>Miniflex_Non-Local Authority</v>
      </c>
      <c r="AU64" s="77" t="str">
        <f t="shared" ref="AU64:BU64" si="33">AU6&amp;"_"&amp;$D75</f>
        <v>Businessrate 1_Non-Local Authority</v>
      </c>
      <c r="AV64" s="77" t="str">
        <f t="shared" si="33"/>
        <v>Businessrate 2_Non-Local Authority</v>
      </c>
      <c r="AW64" s="77" t="str">
        <f t="shared" si="33"/>
        <v>Businessrate 3_Non-Local Authority</v>
      </c>
      <c r="AX64" s="77" t="str">
        <f t="shared" si="33"/>
        <v>Businessrate 4_Non-Local Authority</v>
      </c>
      <c r="AY64" s="77" t="str">
        <f t="shared" si="33"/>
        <v>Homelight 20A_Non-Local Authority</v>
      </c>
      <c r="AZ64" s="77" t="str">
        <f t="shared" si="33"/>
        <v>Homelight 60A_Non-Local Authority</v>
      </c>
      <c r="BA64" s="77" t="str">
        <f t="shared" si="33"/>
        <v>Homepower 1_Non-Local Authority</v>
      </c>
      <c r="BB64" s="77" t="str">
        <f t="shared" si="33"/>
        <v>Homepower 2_Non-Local Authority</v>
      </c>
      <c r="BC64" s="77" t="str">
        <f t="shared" si="33"/>
        <v>Homepower 3_Non-Local Authority</v>
      </c>
      <c r="BD64" s="77" t="str">
        <f t="shared" si="33"/>
        <v>Homepower 4_Non-Local Authority</v>
      </c>
      <c r="BE64" s="77" t="str">
        <f t="shared" si="33"/>
        <v>Homepower Bulk_Non-Local Authority</v>
      </c>
      <c r="BF64" s="77" t="str">
        <f t="shared" si="33"/>
        <v>Landrate 1_Non-Local Authority</v>
      </c>
      <c r="BG64" s="77" t="str">
        <f t="shared" si="33"/>
        <v>Landrate 2_Non-Local Authority</v>
      </c>
      <c r="BH64" s="77" t="str">
        <f t="shared" si="33"/>
        <v>Landrate 3_Non-Local Authority</v>
      </c>
      <c r="BI64" s="77" t="str">
        <f t="shared" si="33"/>
        <v>Landrate 4_Non-Local Authority</v>
      </c>
      <c r="BJ64" s="77" t="str">
        <f t="shared" si="33"/>
        <v>Landrate Dx_Non-Local Authority</v>
      </c>
      <c r="BK64" s="77" t="str">
        <f t="shared" si="33"/>
        <v>Megaflex_Non-Local Authority</v>
      </c>
      <c r="BL64" s="77" t="str">
        <f t="shared" si="33"/>
        <v>Miniflex_Non-Local Authority</v>
      </c>
      <c r="BM64" s="77" t="str">
        <f t="shared" si="33"/>
        <v>Nightsave Urban_Non-Local Authority</v>
      </c>
      <c r="BN64" s="77" t="str">
        <f t="shared" si="33"/>
        <v>Nightsave Rural_Non-Local Authority</v>
      </c>
      <c r="BO64" s="77" t="str">
        <f t="shared" si="33"/>
        <v>Nightsave Small_Non-Local Authority</v>
      </c>
      <c r="BP64" s="77" t="str">
        <f t="shared" si="33"/>
        <v>Ruraflex_Non-Local Authority</v>
      </c>
      <c r="BQ64" s="77" t="str">
        <f t="shared" si="33"/>
        <v>Landlight 20A_Non-Local Authority</v>
      </c>
      <c r="BR64" s="77" t="str">
        <f t="shared" si="33"/>
        <v>Landlight 60A_Non-Local Authority</v>
      </c>
      <c r="BS64" s="77" t="str">
        <f t="shared" si="33"/>
        <v>Public Lighting 24 Hours_Non-Local Authority</v>
      </c>
      <c r="BT64" s="77" t="str">
        <f t="shared" si="33"/>
        <v>Public Lighting All Night_Non-Local Authority</v>
      </c>
      <c r="BU64" s="77" t="str">
        <f t="shared" si="33"/>
        <v>Public Lighting Urban Fixed_Non-Local Authority</v>
      </c>
      <c r="BV64" s="77" t="str">
        <f t="shared" ref="BV64:CF64" si="34">BV6&amp;"_"&amp;$D75</f>
        <v>Municflex_Non-Local Authority</v>
      </c>
      <c r="BW64" s="77" t="str">
        <f t="shared" si="34"/>
        <v>Municrate 1_Non-Local Authority</v>
      </c>
      <c r="BX64" s="77" t="str">
        <f t="shared" si="34"/>
        <v>Municrate 2_Non-Local Authority</v>
      </c>
      <c r="BY64" s="77" t="str">
        <f t="shared" si="34"/>
        <v>Municrate 3_Non-Local Authority</v>
      </c>
      <c r="BZ64" s="77" t="str">
        <f t="shared" si="34"/>
        <v>Municrate 4_Non-Local Authority</v>
      </c>
      <c r="CA64" s="77" t="str">
        <f t="shared" si="34"/>
        <v>Homeflex 1_Non-Local Authority</v>
      </c>
      <c r="CB64" s="77" t="str">
        <f t="shared" si="34"/>
        <v>Homeflex 2_Non-Local Authority</v>
      </c>
      <c r="CC64" s="77" t="str">
        <f t="shared" si="34"/>
        <v>Homeflex 3_Non-Local Authority</v>
      </c>
      <c r="CD64" s="77" t="str">
        <f t="shared" si="34"/>
        <v>Homeflex 4_Non-Local Authority</v>
      </c>
      <c r="CE64" s="77" t="str">
        <f t="shared" si="34"/>
        <v>Transflex 1_Non-Local Authority</v>
      </c>
      <c r="CF64" s="77" t="str">
        <f t="shared" si="34"/>
        <v>Transflex 2_Non-Local Authority</v>
      </c>
    </row>
    <row r="65" spans="2:84" s="77" customFormat="1" ht="13.8">
      <c r="C65" s="77" t="s">
        <v>292</v>
      </c>
      <c r="E65" s="77" t="str">
        <f ca="1">INDEX(F65:AR65,0,$F$2)</f>
        <v>Urban_Non-Local Authority_&gt;100kVA &amp; ≤500kVA</v>
      </c>
      <c r="F65" s="77" t="str">
        <f ca="1">$C80&amp;"_"&amp;$D75&amp;"_"&amp;$D77</f>
        <v>Urban_Non-Local Authority_&gt;100kVA &amp; ≤500kVA</v>
      </c>
      <c r="G65" s="77" t="str">
        <f t="shared" ref="G65:P65" ca="1" si="35">$C80&amp;"_"&amp;$D75&amp;"_"&amp;$D77</f>
        <v>Urban_Non-Local Authority_&gt;100kVA &amp; ≤500kVA</v>
      </c>
      <c r="H65" s="77" t="str">
        <f t="shared" ca="1" si="35"/>
        <v>Urban_Non-Local Authority_&gt;100kVA &amp; ≤500kVA</v>
      </c>
      <c r="I65" s="77" t="str">
        <f t="shared" ca="1" si="35"/>
        <v>Urban_Non-Local Authority_&gt;100kVA &amp; ≤500kVA</v>
      </c>
      <c r="J65" s="77" t="str">
        <f t="shared" ca="1" si="35"/>
        <v>Urban_Non-Local Authority_&gt;100kVA &amp; ≤500kVA</v>
      </c>
      <c r="K65" s="77" t="str">
        <f t="shared" ca="1" si="35"/>
        <v>Urban_Non-Local Authority_&gt;100kVA &amp; ≤500kVA</v>
      </c>
      <c r="L65" s="77" t="str">
        <f t="shared" ca="1" si="35"/>
        <v>Urban_Non-Local Authority_&gt;100kVA &amp; ≤500kVA</v>
      </c>
      <c r="M65" s="77" t="str">
        <f t="shared" ca="1" si="35"/>
        <v>Urban_Non-Local Authority_&gt;100kVA &amp; ≤500kVA</v>
      </c>
      <c r="N65" s="77" t="str">
        <f t="shared" ca="1" si="35"/>
        <v>Urban_Non-Local Authority_&gt;100kVA &amp; ≤500kVA</v>
      </c>
      <c r="O65" s="77" t="str">
        <f t="shared" ca="1" si="35"/>
        <v>Urban_Non-Local Authority_&gt;100kVA &amp; ≤500kVA</v>
      </c>
      <c r="P65" s="77" t="str">
        <f t="shared" ca="1" si="35"/>
        <v>Urban_Non-Local Authority_&gt;100kVA &amp; ≤500kVA</v>
      </c>
      <c r="Q65" s="77" t="str">
        <f ca="1">$C81&amp;"_"&amp;$D75&amp;"_"&amp;$D77</f>
        <v>Rural_Non-Local Authority_&gt;100kVA &amp; ≤500kVA</v>
      </c>
      <c r="R65" s="77" t="str">
        <f ca="1">$C81&amp;"_"&amp;$D75&amp;"_"&amp;$D77</f>
        <v>Rural_Non-Local Authority_&gt;100kVA &amp; ≤500kVA</v>
      </c>
      <c r="S65" s="77" t="str">
        <f ca="1">$C81&amp;"_"&amp;$D75&amp;"_"&amp;$D77</f>
        <v>Rural_Non-Local Authority_&gt;100kVA &amp; ≤500kVA</v>
      </c>
      <c r="T65" s="77" t="str">
        <f ca="1">$C81&amp;"_"&amp;$D75&amp;"_"&amp;$D77</f>
        <v>Rural_Non-Local Authority_&gt;100kVA &amp; ≤500kVA</v>
      </c>
      <c r="U65" s="77" t="str">
        <f ca="1">$C81&amp;"_"&amp;$D75&amp;"_"&amp;$D77</f>
        <v>Rural_Non-Local Authority_&gt;100kVA &amp; ≤500kVA</v>
      </c>
      <c r="V65" s="77" t="str">
        <f ca="1">$C80&amp;"_"&amp;$D75&amp;"_"&amp;$D77</f>
        <v>Urban_Non-Local Authority_&gt;100kVA &amp; ≤500kVA</v>
      </c>
      <c r="W65" s="77" t="str">
        <f ca="1">$C80&amp;"_"&amp;$D75&amp;"_"&amp;$D77</f>
        <v>Urban_Non-Local Authority_&gt;100kVA &amp; ≤500kVA</v>
      </c>
      <c r="X65" s="77" t="str">
        <f ca="1">$C80&amp;"_"&amp;$D75&amp;"_"&amp;$D77</f>
        <v>Urban_Non-Local Authority_&gt;100kVA &amp; ≤500kVA</v>
      </c>
      <c r="Y65" s="77" t="str">
        <f ca="1">$C81&amp;"_"&amp;$D75&amp;"_"&amp;$D77</f>
        <v>Rural_Non-Local Authority_&gt;100kVA &amp; ≤500kVA</v>
      </c>
      <c r="Z65" s="77" t="str">
        <f ca="1">$C80&amp;"_"&amp;$D75&amp;"_"&amp;$D77</f>
        <v>Urban_Non-Local Authority_&gt;100kVA &amp; ≤500kVA</v>
      </c>
      <c r="AA65" s="77" t="str">
        <f ca="1">$C81&amp;"_"&amp;$D75&amp;"_"&amp;$D77</f>
        <v>Rural_Non-Local Authority_&gt;100kVA &amp; ≤500kVA</v>
      </c>
      <c r="AB65" s="77" t="str">
        <f ca="1">$C81&amp;"_"&amp;$D75&amp;"_"&amp;$D77</f>
        <v>Rural_Non-Local Authority_&gt;100kVA &amp; ≤500kVA</v>
      </c>
      <c r="AC65" s="77" t="str">
        <f ca="1">$C81&amp;"_"&amp;$D75&amp;"_"&amp;$D77</f>
        <v>Rural_Non-Local Authority_&gt;100kVA &amp; ≤500kVA</v>
      </c>
      <c r="AD65" s="77" t="str">
        <f t="shared" ref="AD65:AR65" ca="1" si="36">$C80&amp;"_"&amp;$D75&amp;"_"&amp;$D77</f>
        <v>Urban_Non-Local Authority_&gt;100kVA &amp; ≤500kVA</v>
      </c>
      <c r="AE65" s="77" t="str">
        <f t="shared" ca="1" si="36"/>
        <v>Urban_Non-Local Authority_&gt;100kVA &amp; ≤500kVA</v>
      </c>
      <c r="AF65" s="77" t="str">
        <f t="shared" ca="1" si="36"/>
        <v>Urban_Non-Local Authority_&gt;100kVA &amp; ≤500kVA</v>
      </c>
      <c r="AG65" s="77" t="str">
        <f t="shared" ca="1" si="36"/>
        <v>Urban_Non-Local Authority_&gt;100kVA &amp; ≤500kVA</v>
      </c>
      <c r="AH65" s="77" t="str">
        <f t="shared" ca="1" si="36"/>
        <v>Urban_Non-Local Authority_&gt;100kVA &amp; ≤500kVA</v>
      </c>
      <c r="AI65" s="77" t="str">
        <f t="shared" ca="1" si="36"/>
        <v>Urban_Non-Local Authority_&gt;100kVA &amp; ≤500kVA</v>
      </c>
      <c r="AJ65" s="77" t="str">
        <f t="shared" ca="1" si="36"/>
        <v>Urban_Non-Local Authority_&gt;100kVA &amp; ≤500kVA</v>
      </c>
      <c r="AK65" s="77" t="str">
        <f t="shared" ca="1" si="36"/>
        <v>Urban_Non-Local Authority_&gt;100kVA &amp; ≤500kVA</v>
      </c>
      <c r="AL65" s="77" t="str">
        <f t="shared" ca="1" si="36"/>
        <v>Urban_Non-Local Authority_&gt;100kVA &amp; ≤500kVA</v>
      </c>
      <c r="AM65" s="77" t="str">
        <f t="shared" ca="1" si="36"/>
        <v>Urban_Non-Local Authority_&gt;100kVA &amp; ≤500kVA</v>
      </c>
      <c r="AN65" s="77" t="str">
        <f t="shared" ca="1" si="36"/>
        <v>Urban_Non-Local Authority_&gt;100kVA &amp; ≤500kVA</v>
      </c>
      <c r="AO65" s="77" t="str">
        <f t="shared" ca="1" si="36"/>
        <v>Urban_Non-Local Authority_&gt;100kVA &amp; ≤500kVA</v>
      </c>
      <c r="AP65" s="77" t="str">
        <f t="shared" ca="1" si="36"/>
        <v>Urban_Non-Local Authority_&gt;100kVA &amp; ≤500kVA</v>
      </c>
      <c r="AQ65" s="77" t="str">
        <f t="shared" ca="1" si="36"/>
        <v>Urban_Non-Local Authority_&gt;100kVA &amp; ≤500kVA</v>
      </c>
      <c r="AR65" s="77" t="str">
        <f t="shared" ca="1" si="36"/>
        <v>Urban_Non-Local Authority_&gt;100kVA &amp; ≤500kVA</v>
      </c>
      <c r="AT65" s="77" t="str">
        <f ca="1">INDEX(AU65:CF65,0,Selected_Tariff_ID)</f>
        <v>Urban_Non-Local Authority_&gt;100kVA &amp; ≤500kVA</v>
      </c>
      <c r="AU65" s="77" t="str">
        <f t="shared" ref="AU65:BU65" ca="1" si="37">$D72&amp;"_"&amp;$D75&amp;"_"&amp;$D77</f>
        <v>Urban_Non-Local Authority_&gt;100kVA &amp; ≤500kVA</v>
      </c>
      <c r="AV65" s="77" t="str">
        <f t="shared" ca="1" si="37"/>
        <v>Urban_Non-Local Authority_&gt;100kVA &amp; ≤500kVA</v>
      </c>
      <c r="AW65" s="77" t="str">
        <f t="shared" ca="1" si="37"/>
        <v>Urban_Non-Local Authority_&gt;100kVA &amp; ≤500kVA</v>
      </c>
      <c r="AX65" s="77" t="str">
        <f t="shared" ca="1" si="37"/>
        <v>Urban_Non-Local Authority_&gt;100kVA &amp; ≤500kVA</v>
      </c>
      <c r="AY65" s="77" t="str">
        <f t="shared" ca="1" si="37"/>
        <v>Urban_Non-Local Authority_&gt;100kVA &amp; ≤500kVA</v>
      </c>
      <c r="AZ65" s="77" t="str">
        <f t="shared" ca="1" si="37"/>
        <v>Urban_Non-Local Authority_&gt;100kVA &amp; ≤500kVA</v>
      </c>
      <c r="BA65" s="77" t="str">
        <f t="shared" ca="1" si="37"/>
        <v>Urban_Non-Local Authority_&gt;100kVA &amp; ≤500kVA</v>
      </c>
      <c r="BB65" s="77" t="str">
        <f t="shared" ca="1" si="37"/>
        <v>Urban_Non-Local Authority_&gt;100kVA &amp; ≤500kVA</v>
      </c>
      <c r="BC65" s="77" t="str">
        <f t="shared" ca="1" si="37"/>
        <v>Urban_Non-Local Authority_&gt;100kVA &amp; ≤500kVA</v>
      </c>
      <c r="BD65" s="77" t="str">
        <f t="shared" ca="1" si="37"/>
        <v>Urban_Non-Local Authority_&gt;100kVA &amp; ≤500kVA</v>
      </c>
      <c r="BE65" s="77" t="str">
        <f t="shared" ca="1" si="37"/>
        <v>Urban_Non-Local Authority_&gt;100kVA &amp; ≤500kVA</v>
      </c>
      <c r="BF65" s="77" t="str">
        <f ca="1">$C81&amp;"_"&amp;$D75&amp;"_"&amp;$D77</f>
        <v>Rural_Non-Local Authority_&gt;100kVA &amp; ≤500kVA</v>
      </c>
      <c r="BG65" s="77" t="str">
        <f ca="1">$C81&amp;"_"&amp;$D75&amp;"_"&amp;$D77</f>
        <v>Rural_Non-Local Authority_&gt;100kVA &amp; ≤500kVA</v>
      </c>
      <c r="BH65" s="77" t="str">
        <f ca="1">$C81&amp;"_"&amp;$D75&amp;"_"&amp;$D77</f>
        <v>Rural_Non-Local Authority_&gt;100kVA &amp; ≤500kVA</v>
      </c>
      <c r="BI65" s="77" t="str">
        <f ca="1">$C81&amp;"_"&amp;$D75&amp;"_"&amp;$D77</f>
        <v>Rural_Non-Local Authority_&gt;100kVA &amp; ≤500kVA</v>
      </c>
      <c r="BJ65" s="77" t="str">
        <f ca="1">$C81&amp;"_"&amp;$D75&amp;"_"&amp;$D77</f>
        <v>Rural_Non-Local Authority_&gt;100kVA &amp; ≤500kVA</v>
      </c>
      <c r="BK65" s="77" t="str">
        <f t="shared" ca="1" si="37"/>
        <v>Urban_Non-Local Authority_&gt;100kVA &amp; ≤500kVA</v>
      </c>
      <c r="BL65" s="77" t="str">
        <f t="shared" ca="1" si="37"/>
        <v>Urban_Non-Local Authority_&gt;100kVA &amp; ≤500kVA</v>
      </c>
      <c r="BM65" s="77" t="str">
        <f t="shared" ca="1" si="37"/>
        <v>Urban_Non-Local Authority_&gt;100kVA &amp; ≤500kVA</v>
      </c>
      <c r="BN65" s="77" t="str">
        <f ca="1">$C81&amp;"_"&amp;$D75&amp;"_"&amp;$D77</f>
        <v>Rural_Non-Local Authority_&gt;100kVA &amp; ≤500kVA</v>
      </c>
      <c r="BO65" s="77" t="str">
        <f t="shared" ca="1" si="37"/>
        <v>Urban_Non-Local Authority_&gt;100kVA &amp; ≤500kVA</v>
      </c>
      <c r="BP65" s="77" t="str">
        <f ca="1">$C81&amp;"_"&amp;$D75&amp;"_"&amp;$D77</f>
        <v>Rural_Non-Local Authority_&gt;100kVA &amp; ≤500kVA</v>
      </c>
      <c r="BQ65" s="77" t="str">
        <f ca="1">$C81&amp;"_"&amp;$D75&amp;"_"&amp;$D77</f>
        <v>Rural_Non-Local Authority_&gt;100kVA &amp; ≤500kVA</v>
      </c>
      <c r="BR65" s="77" t="str">
        <f ca="1">$C81&amp;"_"&amp;$D75&amp;"_"&amp;$D77</f>
        <v>Rural_Non-Local Authority_&gt;100kVA &amp; ≤500kVA</v>
      </c>
      <c r="BS65" s="77" t="str">
        <f t="shared" ca="1" si="37"/>
        <v>Urban_Non-Local Authority_&gt;100kVA &amp; ≤500kVA</v>
      </c>
      <c r="BT65" s="77" t="str">
        <f t="shared" ca="1" si="37"/>
        <v>Urban_Non-Local Authority_&gt;100kVA &amp; ≤500kVA</v>
      </c>
      <c r="BU65" s="77" t="str">
        <f t="shared" ca="1" si="37"/>
        <v>Urban_Non-Local Authority_&gt;100kVA &amp; ≤500kVA</v>
      </c>
      <c r="BV65" s="77" t="str">
        <f t="shared" ref="BV65:CF65" ca="1" si="38">$D72&amp;"_"&amp;$D75&amp;"_"&amp;$D77</f>
        <v>Urban_Non-Local Authority_&gt;100kVA &amp; ≤500kVA</v>
      </c>
      <c r="BW65" s="77" t="str">
        <f t="shared" ca="1" si="38"/>
        <v>Urban_Non-Local Authority_&gt;100kVA &amp; ≤500kVA</v>
      </c>
      <c r="BX65" s="77" t="str">
        <f t="shared" ca="1" si="38"/>
        <v>Urban_Non-Local Authority_&gt;100kVA &amp; ≤500kVA</v>
      </c>
      <c r="BY65" s="77" t="str">
        <f t="shared" ca="1" si="38"/>
        <v>Urban_Non-Local Authority_&gt;100kVA &amp; ≤500kVA</v>
      </c>
      <c r="BZ65" s="77" t="str">
        <f t="shared" ca="1" si="38"/>
        <v>Urban_Non-Local Authority_&gt;100kVA &amp; ≤500kVA</v>
      </c>
      <c r="CA65" s="77" t="str">
        <f t="shared" ca="1" si="38"/>
        <v>Urban_Non-Local Authority_&gt;100kVA &amp; ≤500kVA</v>
      </c>
      <c r="CB65" s="77" t="str">
        <f t="shared" ca="1" si="38"/>
        <v>Urban_Non-Local Authority_&gt;100kVA &amp; ≤500kVA</v>
      </c>
      <c r="CC65" s="77" t="str">
        <f t="shared" ca="1" si="38"/>
        <v>Urban_Non-Local Authority_&gt;100kVA &amp; ≤500kVA</v>
      </c>
      <c r="CD65" s="77" t="str">
        <f t="shared" ca="1" si="38"/>
        <v>Urban_Non-Local Authority_&gt;100kVA &amp; ≤500kVA</v>
      </c>
      <c r="CE65" s="77" t="str">
        <f t="shared" ca="1" si="38"/>
        <v>Urban_Non-Local Authority_&gt;100kVA &amp; ≤500kVA</v>
      </c>
      <c r="CF65" s="77" t="str">
        <f t="shared" ca="1" si="38"/>
        <v>Urban_Non-Local Authority_&gt;100kVA &amp; ≤500kVA</v>
      </c>
    </row>
    <row r="66" spans="2:84" s="77" customFormat="1" ht="13.8"/>
    <row r="67" spans="2:84" s="77" customFormat="1" ht="13.8">
      <c r="B67" s="79" t="s">
        <v>185</v>
      </c>
    </row>
    <row r="68" spans="2:84" s="77" customFormat="1" ht="13.8">
      <c r="C68" s="77" t="s">
        <v>288</v>
      </c>
      <c r="E68" s="77">
        <f ca="1">INDEX(F68:AR68,0,$F$2)</f>
        <v>1</v>
      </c>
      <c r="F68" s="77">
        <f ca="1">IF(ISNA(MATCH(F62,Rates_Energy_Current[Code],0)),0,1)</f>
        <v>0</v>
      </c>
      <c r="G68" s="77">
        <f ca="1">IF(ISNA(MATCH(G62,Rates_Energy_Current[Code],0)),0,1)</f>
        <v>0</v>
      </c>
      <c r="H68" s="77">
        <f ca="1">IF(ISNA(MATCH(H62,Rates_Energy_Current[Code],0)),0,1)</f>
        <v>0</v>
      </c>
      <c r="I68" s="77">
        <f ca="1">IF(ISNA(MATCH(I62,Rates_Energy_Current[Code],0)),0,1)</f>
        <v>0</v>
      </c>
      <c r="J68" s="77">
        <f ca="1">IF(ISNA(MATCH(J62,Rates_Energy_Current[Code],0)),0,1)</f>
        <v>0</v>
      </c>
      <c r="K68" s="77">
        <f ca="1">IF(ISNA(MATCH(K62,Rates_Energy_Current[Code],0)),0,1)</f>
        <v>0</v>
      </c>
      <c r="L68" s="77">
        <f ca="1">IF(ISNA(MATCH(L62,Rates_Energy_Current[Code],0)),0,1)</f>
        <v>0</v>
      </c>
      <c r="M68" s="77">
        <f ca="1">IF(ISNA(MATCH(M62,Rates_Energy_Current[Code],0)),0,1)</f>
        <v>0</v>
      </c>
      <c r="N68" s="77">
        <f ca="1">IF(ISNA(MATCH(N62,Rates_Energy_Current[Code],0)),0,1)</f>
        <v>0</v>
      </c>
      <c r="O68" s="77">
        <f ca="1">IF(ISNA(MATCH(O62,Rates_Energy_Current[Code],0)),0,1)</f>
        <v>0</v>
      </c>
      <c r="P68" s="77">
        <f ca="1">IF(ISNA(MATCH(P62,Rates_Energy_Current[Matrix Code],0)),0,1)</f>
        <v>0</v>
      </c>
      <c r="Q68" s="77">
        <f ca="1">IF(ISNA(MATCH(Q62,Rates_Energy_Current[Code],0)),0,1)</f>
        <v>0</v>
      </c>
      <c r="R68" s="77">
        <f ca="1">IF(ISNA(MATCH(R62,Rates_Energy_Current[Code],0)),0,1)</f>
        <v>0</v>
      </c>
      <c r="S68" s="77">
        <f ca="1">IF(ISNA(MATCH(S62,Rates_Energy_Current[Code],0)),0,1)</f>
        <v>0</v>
      </c>
      <c r="T68" s="77">
        <f ca="1">IF(ISNA(MATCH(T62,Rates_Energy_Current[Code],0)),0,1)</f>
        <v>0</v>
      </c>
      <c r="U68" s="77">
        <f ca="1">IF(ISNA(MATCH(U62,Rates_Energy_Current[Code],0)),0,1)</f>
        <v>0</v>
      </c>
      <c r="V68" s="77">
        <f ca="1">IF(ISNA(MATCH(V62,Rates_Energy_Current[Code],0)),0,1)</f>
        <v>1</v>
      </c>
      <c r="W68" s="77">
        <f ca="1">IF(ISNA(MATCH(W62,Rates_Energy_Current[Code],0)),0,1)</f>
        <v>1</v>
      </c>
      <c r="X68" s="77">
        <v>1</v>
      </c>
      <c r="Y68" s="77">
        <f ca="1">IF(ISNA(MATCH(Y62,Rates_Energy_Current[Code],0)),0,1)</f>
        <v>1</v>
      </c>
      <c r="Z68" s="77">
        <f ca="1">IF(ISNA(MATCH(Z62,Rates_Energy_Current[Code],0)),0,1)</f>
        <v>1</v>
      </c>
      <c r="AA68" s="77">
        <f ca="1">IF(ISNA(MATCH(AA62,Rates_Energy_Current[Code],0)),0,1)</f>
        <v>1</v>
      </c>
      <c r="AB68" s="77">
        <f ca="1">IF(ISNA(MATCH(AB62,Rates_Energy_Current[Code],0)),0,1)</f>
        <v>0</v>
      </c>
      <c r="AC68" s="77">
        <f ca="1">IF(ISNA(MATCH(AC62,Rates_Energy_Current[Matrix Code],0)),0,1)</f>
        <v>0</v>
      </c>
      <c r="AD68" s="77">
        <f ca="1">IF(ISNA(MATCH(AD62,Rates_Energy_Current[High - Peak],0)),0,1)</f>
        <v>0</v>
      </c>
      <c r="AE68" s="77">
        <f ca="1">IF(ISNA(MATCH(AE62,Rates_Energy_Current[High - Standard],0)),0,1)</f>
        <v>0</v>
      </c>
      <c r="AF68" s="77">
        <f ca="1">IF(ISNA(MATCH(AF62,Rates_Energy_Current[High-Off Peak],0)),0,1)</f>
        <v>0</v>
      </c>
      <c r="AG68" s="77">
        <v>1</v>
      </c>
      <c r="AH68" s="77">
        <f ca="1">IF(ISNA(MATCH(AH62,Rates_Energy_Current[Low - Standard],0)),0,1)</f>
        <v>0</v>
      </c>
      <c r="AI68" s="77">
        <f ca="1">IF(ISNA(MATCH(AI62,Rates_Energy_Current[Low-Off Peak],0)),0,1)</f>
        <v>0</v>
      </c>
      <c r="AJ68" s="77">
        <f ca="1">IF(ISNA(MATCH(AJ62,Rates_Energy_Current[High Charge],0)),0,1)</f>
        <v>0</v>
      </c>
      <c r="AK68" s="77">
        <f ca="1">IF(ISNA(MATCH(AK62,Rates_Energy_Current[Low Charge],0)),0,1)</f>
        <v>0</v>
      </c>
      <c r="AL68" s="77">
        <f ca="1">IF(ISNA(MATCH(AL62,Rates_Energy_Current[High Demand],0)),0,1)</f>
        <v>0</v>
      </c>
      <c r="AM68" s="77">
        <f ca="1">IF(ISNA(MATCH(AM62,Rates_Energy_Current[Low Demand],0)),0,1)</f>
        <v>0</v>
      </c>
      <c r="AN68" s="77">
        <f ca="1">IF(ISNA(MATCH(AN62,Rates_Energy_Current[Generation Capacity Charge],0)),0,1)</f>
        <v>0</v>
      </c>
      <c r="AO68" s="77">
        <f ca="1">IF(ISNA(MATCH(AO62,Rates_Energy_Current[Legacy charge],0)),0,1)</f>
        <v>0</v>
      </c>
      <c r="AP68" s="77">
        <f ca="1">IF(ISNA(MATCH(AP62,Rates_Energy_Current[Code],0)),0,1)</f>
        <v>1</v>
      </c>
      <c r="AQ68" s="77">
        <f ca="1">IF(ISNA(MATCH(AQ62,Rates_Energy_Current[Code],0)),0,1)</f>
        <v>1</v>
      </c>
      <c r="AR68" s="77">
        <f ca="1">IF(ISNA(MATCH(AR62,Rates_Energy_Current[Code],0)),0,1)</f>
        <v>0</v>
      </c>
      <c r="AT68" s="77">
        <f ca="1">INDEX(AU68:CF68,0,Selected_Tariff_ID)</f>
        <v>1</v>
      </c>
      <c r="AU68" s="77">
        <f t="shared" ref="AU68:BU68" ca="1" si="39">F68</f>
        <v>0</v>
      </c>
      <c r="AV68" s="77">
        <f t="shared" ca="1" si="39"/>
        <v>0</v>
      </c>
      <c r="AW68" s="77">
        <f t="shared" ca="1" si="39"/>
        <v>0</v>
      </c>
      <c r="AX68" s="77">
        <f t="shared" ca="1" si="39"/>
        <v>0</v>
      </c>
      <c r="AY68" s="77">
        <f t="shared" ca="1" si="39"/>
        <v>0</v>
      </c>
      <c r="AZ68" s="77">
        <f t="shared" ca="1" si="39"/>
        <v>0</v>
      </c>
      <c r="BA68" s="77">
        <f t="shared" ca="1" si="39"/>
        <v>0</v>
      </c>
      <c r="BB68" s="77">
        <f t="shared" ca="1" si="39"/>
        <v>0</v>
      </c>
      <c r="BC68" s="77">
        <f t="shared" ca="1" si="39"/>
        <v>0</v>
      </c>
      <c r="BD68" s="77">
        <f t="shared" ca="1" si="39"/>
        <v>0</v>
      </c>
      <c r="BE68" s="77">
        <f t="shared" ca="1" si="39"/>
        <v>0</v>
      </c>
      <c r="BF68" s="77">
        <f t="shared" ca="1" si="39"/>
        <v>0</v>
      </c>
      <c r="BG68" s="77">
        <f t="shared" ca="1" si="39"/>
        <v>0</v>
      </c>
      <c r="BH68" s="77">
        <f t="shared" ca="1" si="39"/>
        <v>0</v>
      </c>
      <c r="BI68" s="77">
        <f t="shared" ca="1" si="39"/>
        <v>0</v>
      </c>
      <c r="BJ68" s="77">
        <f t="shared" ca="1" si="39"/>
        <v>0</v>
      </c>
      <c r="BK68" s="77">
        <f t="shared" ca="1" si="39"/>
        <v>1</v>
      </c>
      <c r="BL68" s="77">
        <f t="shared" ca="1" si="39"/>
        <v>1</v>
      </c>
      <c r="BM68" s="77">
        <v>1</v>
      </c>
      <c r="BN68" s="77">
        <f t="shared" ca="1" si="39"/>
        <v>1</v>
      </c>
      <c r="BO68" s="77">
        <f t="shared" ca="1" si="39"/>
        <v>1</v>
      </c>
      <c r="BP68" s="77">
        <f t="shared" ca="1" si="39"/>
        <v>1</v>
      </c>
      <c r="BQ68" s="77">
        <f t="shared" ca="1" si="39"/>
        <v>0</v>
      </c>
      <c r="BR68" s="77">
        <f t="shared" ca="1" si="39"/>
        <v>0</v>
      </c>
      <c r="BS68" s="77">
        <f t="shared" ca="1" si="39"/>
        <v>0</v>
      </c>
      <c r="BT68" s="77">
        <f t="shared" ca="1" si="39"/>
        <v>0</v>
      </c>
      <c r="BU68" s="77">
        <f t="shared" ca="1" si="39"/>
        <v>0</v>
      </c>
      <c r="BV68" s="77">
        <f t="shared" ref="BV68:CF68" si="40">AG68</f>
        <v>1</v>
      </c>
      <c r="BW68" s="77">
        <f t="shared" ca="1" si="40"/>
        <v>0</v>
      </c>
      <c r="BX68" s="77">
        <f t="shared" ca="1" si="40"/>
        <v>0</v>
      </c>
      <c r="BY68" s="77">
        <f t="shared" ca="1" si="40"/>
        <v>0</v>
      </c>
      <c r="BZ68" s="77">
        <f t="shared" ca="1" si="40"/>
        <v>0</v>
      </c>
      <c r="CA68" s="77">
        <f t="shared" ca="1" si="40"/>
        <v>0</v>
      </c>
      <c r="CB68" s="77">
        <f t="shared" ca="1" si="40"/>
        <v>0</v>
      </c>
      <c r="CC68" s="77">
        <f t="shared" ca="1" si="40"/>
        <v>0</v>
      </c>
      <c r="CD68" s="77">
        <f t="shared" ca="1" si="40"/>
        <v>0</v>
      </c>
      <c r="CE68" s="77">
        <f t="shared" ca="1" si="40"/>
        <v>1</v>
      </c>
      <c r="CF68" s="77">
        <f t="shared" ca="1" si="40"/>
        <v>1</v>
      </c>
    </row>
    <row r="69" spans="2:84" s="77" customFormat="1" ht="13.8"/>
    <row r="70" spans="2:84" s="77" customFormat="1" ht="13.8">
      <c r="B70" s="79" t="s">
        <v>94</v>
      </c>
    </row>
    <row r="71" spans="2:84" s="77" customFormat="1" ht="13.8">
      <c r="B71" s="79"/>
      <c r="C71" s="77" t="s">
        <v>132</v>
      </c>
      <c r="D71" s="77" t="str">
        <f ca="1">Selected_Base_Tariff</f>
        <v>Miniflex</v>
      </c>
    </row>
    <row r="72" spans="2:84" s="77" customFormat="1" ht="13.8">
      <c r="C72" s="77" t="s">
        <v>102</v>
      </c>
      <c r="D72" s="77" t="str">
        <f ca="1">INDEX(Full_Tariff_Type,MATCH(D71,Full_Tariff_List,0))</f>
        <v>Urban</v>
      </c>
    </row>
    <row r="73" spans="2:84" s="77" customFormat="1" ht="13.8">
      <c r="C73" s="77" t="s">
        <v>95</v>
      </c>
      <c r="D73" s="77" t="str">
        <f ca="1">Selected_Supply_Voltage</f>
        <v>&lt; 500V</v>
      </c>
    </row>
    <row r="74" spans="2:84" s="77" customFormat="1" ht="13.8">
      <c r="C74" s="77" t="s">
        <v>66</v>
      </c>
      <c r="D74" s="77" t="str">
        <f ca="1">Selected_Transmission</f>
        <v>[0 - 300km]</v>
      </c>
    </row>
    <row r="75" spans="2:84" s="77" customFormat="1" ht="13.8">
      <c r="C75" s="77" t="s">
        <v>32</v>
      </c>
      <c r="D75" s="77" t="str">
        <f>Selected_Tariff_Category</f>
        <v>Non-Local Authority</v>
      </c>
    </row>
    <row r="76" spans="2:84" s="77" customFormat="1" ht="13.8">
      <c r="C76" s="77" t="s">
        <v>96</v>
      </c>
      <c r="D76" s="123">
        <f>PODs</f>
        <v>1</v>
      </c>
    </row>
    <row r="77" spans="2:84" s="77" customFormat="1" ht="13.8">
      <c r="C77" s="77" t="s">
        <v>97</v>
      </c>
      <c r="D77" s="77" t="str">
        <f ca="1">IF(Selected_Customer_Category_ID=1,Lists!O21,Selected_Supply_Size)</f>
        <v>&gt;100kVA &amp; ≤500kVA</v>
      </c>
    </row>
    <row r="78" spans="2:84" s="77" customFormat="1" ht="13.8"/>
    <row r="79" spans="2:84" s="77" customFormat="1" ht="13.8"/>
    <row r="80" spans="2:84">
      <c r="C80" t="s">
        <v>103</v>
      </c>
    </row>
    <row r="81" spans="3:3">
      <c r="C81" t="s">
        <v>104</v>
      </c>
    </row>
  </sheetData>
  <sheetProtection algorithmName="SHA-512" hashValue="8E7W4WGrh4dQjmfhprrsShnOPXXB/kG8OM97PWCD2z6Kc8GaayJvG7JuAyGlUnqWHM43tn0ZEW0lNrL2myZlWQ==" saltValue="Ufdk2tNuX6hfeDf7b2o72g==" spinCount="100000" sheet="1" objects="1" scenarios="1"/>
  <dataValidations disablePrompts="1" count="1">
    <dataValidation type="list" allowBlank="1" showInputMessage="1" showErrorMessage="1" sqref="D71" xr:uid="{00000000-0002-0000-0700-000000000000}">
      <formula1>Base_Tariff_List</formula1>
    </dataValidation>
  </dataValidations>
  <pageMargins left="0.7" right="0.7" top="0.75" bottom="0.75" header="0.3" footer="0.3"/>
  <pageSetup paperSize="9" orientation="portrait" r:id="rId1"/>
  <ignoredErrors>
    <ignoredError sqref="AT15:AT16" evalError="1"/>
  </ignoredErrors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8">
    <tabColor rgb="FF92D050"/>
  </sheetPr>
  <dimension ref="C1:AE53"/>
  <sheetViews>
    <sheetView showGridLines="0" zoomScale="85" zoomScaleNormal="85" workbookViewId="0">
      <pane xSplit="7" ySplit="7" topLeftCell="H20" activePane="bottomRight" state="frozen"/>
      <selection activeCell="A5" sqref="A5"/>
      <selection pane="topRight" activeCell="A5" sqref="A5"/>
      <selection pane="bottomLeft" activeCell="A5" sqref="A5"/>
      <selection pane="bottomRight" activeCell="D30" sqref="D30"/>
    </sheetView>
  </sheetViews>
  <sheetFormatPr defaultColWidth="9.28515625" defaultRowHeight="13.8"/>
  <cols>
    <col min="1" max="2" width="2.7109375" customWidth="1"/>
    <col min="3" max="3" width="28.42578125" customWidth="1"/>
    <col min="4" max="4" width="22.7109375" customWidth="1"/>
    <col min="5" max="6" width="10.42578125" customWidth="1"/>
    <col min="7" max="7" width="47" bestFit="1" customWidth="1"/>
    <col min="8" max="26" width="12.7109375" customWidth="1"/>
    <col min="28" max="28" width="16.42578125" style="77" customWidth="1"/>
    <col min="29" max="29" width="9.28515625" style="133" customWidth="1"/>
    <col min="30" max="30" width="9.28515625" customWidth="1"/>
  </cols>
  <sheetData>
    <row r="1" spans="3:31" ht="4.05" customHeight="1"/>
    <row r="2" spans="3:31" ht="33" customHeight="1"/>
    <row r="3" spans="3:31" ht="4.05" customHeight="1"/>
    <row r="4" spans="3:31" ht="15.6">
      <c r="C4" s="2" t="str">
        <f>"Small Power User | Tariff Inputs | "&amp;New_Period</f>
        <v>Small Power User | Tariff Inputs | 2026/27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3:31">
      <c r="O5" s="80"/>
      <c r="P5" s="80"/>
      <c r="Q5" s="80"/>
      <c r="R5" s="80"/>
      <c r="S5" s="80"/>
      <c r="T5" s="80"/>
      <c r="U5" s="81" t="s">
        <v>285</v>
      </c>
      <c r="V5" s="80"/>
      <c r="W5" s="80"/>
      <c r="X5" s="80"/>
      <c r="Y5" s="80"/>
      <c r="Z5" s="80"/>
    </row>
    <row r="6" spans="3:31">
      <c r="C6" s="69" t="s">
        <v>184</v>
      </c>
      <c r="D6" s="70"/>
      <c r="E6" s="70"/>
      <c r="F6" s="71"/>
      <c r="G6" s="72"/>
      <c r="H6" s="73"/>
      <c r="I6" s="82" t="s">
        <v>276</v>
      </c>
      <c r="J6" s="82" t="s">
        <v>277</v>
      </c>
      <c r="K6" s="82" t="s">
        <v>278</v>
      </c>
      <c r="L6" s="82" t="s">
        <v>279</v>
      </c>
      <c r="M6" s="82" t="s">
        <v>280</v>
      </c>
      <c r="N6" s="82" t="s">
        <v>281</v>
      </c>
      <c r="O6" s="82" t="s">
        <v>302</v>
      </c>
      <c r="P6" s="83" t="s">
        <v>305</v>
      </c>
      <c r="Q6" s="83" t="s">
        <v>276</v>
      </c>
      <c r="R6" s="83" t="s">
        <v>294</v>
      </c>
      <c r="S6" s="83" t="s">
        <v>293</v>
      </c>
      <c r="T6" s="83" t="s">
        <v>293</v>
      </c>
      <c r="U6" s="83" t="s">
        <v>303</v>
      </c>
      <c r="V6" s="83" t="s">
        <v>304</v>
      </c>
      <c r="W6" s="83"/>
      <c r="X6" s="83" t="s">
        <v>353</v>
      </c>
      <c r="Y6" s="284" t="s">
        <v>504</v>
      </c>
      <c r="Z6" s="284" t="s">
        <v>532</v>
      </c>
    </row>
    <row r="7" spans="3:31" ht="114" customHeight="1">
      <c r="C7" s="75" t="s">
        <v>31</v>
      </c>
      <c r="D7" s="76" t="s">
        <v>32</v>
      </c>
      <c r="E7" s="76" t="s">
        <v>102</v>
      </c>
      <c r="F7" s="76" t="s">
        <v>138</v>
      </c>
      <c r="G7" s="76" t="s">
        <v>76</v>
      </c>
      <c r="H7" s="76" t="s">
        <v>247</v>
      </c>
      <c r="I7" s="76" t="s">
        <v>35</v>
      </c>
      <c r="J7" s="76" t="s">
        <v>36</v>
      </c>
      <c r="K7" s="76" t="s">
        <v>37</v>
      </c>
      <c r="L7" s="76" t="s">
        <v>38</v>
      </c>
      <c r="M7" s="76" t="s">
        <v>39</v>
      </c>
      <c r="N7" s="76" t="s">
        <v>40</v>
      </c>
      <c r="O7" s="76" t="s">
        <v>175</v>
      </c>
      <c r="P7" s="76" t="s">
        <v>182</v>
      </c>
      <c r="Q7" s="76" t="s">
        <v>170</v>
      </c>
      <c r="R7" s="76" t="s">
        <v>392</v>
      </c>
      <c r="S7" s="76" t="s">
        <v>164</v>
      </c>
      <c r="T7" s="76" t="s">
        <v>544</v>
      </c>
      <c r="U7" s="76" t="s">
        <v>388</v>
      </c>
      <c r="V7" s="76" t="s">
        <v>165</v>
      </c>
      <c r="W7" s="76" t="s">
        <v>188</v>
      </c>
      <c r="X7" s="76" t="s">
        <v>521</v>
      </c>
      <c r="Y7" s="283" t="s">
        <v>509</v>
      </c>
      <c r="Z7" s="283" t="s">
        <v>534</v>
      </c>
      <c r="AB7" s="221" t="s">
        <v>425</v>
      </c>
      <c r="AC7" s="220" t="s">
        <v>24</v>
      </c>
      <c r="AD7" s="220" t="s">
        <v>426</v>
      </c>
      <c r="AE7" s="220"/>
    </row>
    <row r="8" spans="3:31">
      <c r="C8" s="77" t="s">
        <v>166</v>
      </c>
      <c r="D8" s="77" t="s">
        <v>72</v>
      </c>
      <c r="E8" s="77"/>
      <c r="F8" s="77"/>
      <c r="G8" s="77" t="str">
        <f t="shared" ref="G8:G33" si="0">C8&amp;"_"&amp;D8</f>
        <v>Businessrate 1_Non-Local Authority</v>
      </c>
      <c r="H8" s="77" t="str">
        <f t="shared" ref="H8:H53" si="1">INDEX(Matrix_Tariff_Map,MATCH(C8,Matrix_Model_Tariffs,0),2)&amp;IFERROR(INDEX(Matrix_Transmission_Map,MATCH(E8,Matrix_Model_Transmission,0),2),0)&amp;IFERROR(INDEX(Matrix_Voltage_Map,MATCH(F8,Matrix_Model_Voltage,0),2),1)&amp;INDEX(Matrix_Category_Map,MATCH(D8,Matrix_Model_Category,0),2)</f>
        <v>B101N</v>
      </c>
      <c r="I8" s="86">
        <v>242.9</v>
      </c>
      <c r="J8" s="86">
        <v>242.9</v>
      </c>
      <c r="K8" s="86">
        <v>242.9</v>
      </c>
      <c r="L8" s="86">
        <v>242.9</v>
      </c>
      <c r="M8" s="86">
        <v>242.9</v>
      </c>
      <c r="N8" s="86">
        <v>242.9</v>
      </c>
      <c r="O8" s="85">
        <v>0</v>
      </c>
      <c r="P8" s="85">
        <v>0</v>
      </c>
      <c r="Q8" s="86">
        <v>242.9</v>
      </c>
      <c r="R8" s="86">
        <v>0.45</v>
      </c>
      <c r="S8" s="86">
        <v>15.81</v>
      </c>
      <c r="T8" s="86" t="s">
        <v>118</v>
      </c>
      <c r="U8" s="86">
        <v>22.12</v>
      </c>
      <c r="V8" s="86">
        <v>15.99</v>
      </c>
      <c r="W8" s="85" t="s">
        <v>118</v>
      </c>
      <c r="X8" s="86">
        <v>5.37</v>
      </c>
      <c r="Y8" s="86">
        <v>3</v>
      </c>
      <c r="Z8" s="86" t="s">
        <v>118</v>
      </c>
      <c r="AB8" s="220" t="s">
        <v>50</v>
      </c>
      <c r="AC8" s="220">
        <f>SUM(O8:Z11)</f>
        <v>1396.87</v>
      </c>
      <c r="AD8" s="220">
        <v>1219.77</v>
      </c>
      <c r="AE8" s="220"/>
    </row>
    <row r="9" spans="3:31">
      <c r="C9" s="77" t="s">
        <v>167</v>
      </c>
      <c r="D9" s="77" t="s">
        <v>72</v>
      </c>
      <c r="E9" s="77"/>
      <c r="F9" s="77"/>
      <c r="G9" s="77" t="str">
        <f t="shared" si="0"/>
        <v>Businessrate 2_Non-Local Authority</v>
      </c>
      <c r="H9" s="77" t="str">
        <f t="shared" si="1"/>
        <v>B201N</v>
      </c>
      <c r="I9" s="87">
        <v>242.9</v>
      </c>
      <c r="J9" s="87">
        <v>242.9</v>
      </c>
      <c r="K9" s="87">
        <v>242.9</v>
      </c>
      <c r="L9" s="87">
        <v>242.9</v>
      </c>
      <c r="M9" s="87">
        <v>242.9</v>
      </c>
      <c r="N9" s="87">
        <v>242.9</v>
      </c>
      <c r="O9" s="85">
        <v>0</v>
      </c>
      <c r="P9" s="85">
        <v>0</v>
      </c>
      <c r="Q9" s="87">
        <v>242.9</v>
      </c>
      <c r="R9" s="87">
        <v>0.45</v>
      </c>
      <c r="S9" s="87">
        <v>15.81</v>
      </c>
      <c r="T9" s="87" t="s">
        <v>118</v>
      </c>
      <c r="U9" s="87">
        <v>32.86</v>
      </c>
      <c r="V9" s="87">
        <v>15.99</v>
      </c>
      <c r="W9" s="85" t="s">
        <v>118</v>
      </c>
      <c r="X9" s="87">
        <v>5.37</v>
      </c>
      <c r="Y9" s="87">
        <v>4.4800000000000004</v>
      </c>
      <c r="Z9" s="87" t="s">
        <v>118</v>
      </c>
      <c r="AB9" s="220"/>
      <c r="AC9" s="220"/>
      <c r="AD9" s="220"/>
      <c r="AE9" s="220"/>
    </row>
    <row r="10" spans="3:31">
      <c r="C10" s="77" t="s">
        <v>168</v>
      </c>
      <c r="D10" s="77" t="s">
        <v>72</v>
      </c>
      <c r="E10" s="77"/>
      <c r="F10" s="77"/>
      <c r="G10" s="77" t="str">
        <f t="shared" si="0"/>
        <v>Businessrate 3_Non-Local Authority</v>
      </c>
      <c r="H10" s="77" t="str">
        <f t="shared" si="1"/>
        <v>B301N</v>
      </c>
      <c r="I10" s="87">
        <v>242.9</v>
      </c>
      <c r="J10" s="87">
        <v>242.9</v>
      </c>
      <c r="K10" s="87">
        <v>242.9</v>
      </c>
      <c r="L10" s="87">
        <v>242.9</v>
      </c>
      <c r="M10" s="87">
        <v>242.9</v>
      </c>
      <c r="N10" s="87">
        <v>242.9</v>
      </c>
      <c r="O10" s="85">
        <v>0</v>
      </c>
      <c r="P10" s="85">
        <v>0</v>
      </c>
      <c r="Q10" s="87">
        <v>242.9</v>
      </c>
      <c r="R10" s="87">
        <v>0.45</v>
      </c>
      <c r="S10" s="87">
        <v>15.81</v>
      </c>
      <c r="T10" s="87" t="s">
        <v>118</v>
      </c>
      <c r="U10" s="87">
        <v>81.98</v>
      </c>
      <c r="V10" s="87">
        <v>15.99</v>
      </c>
      <c r="W10" s="85" t="s">
        <v>118</v>
      </c>
      <c r="X10" s="87">
        <v>5.37</v>
      </c>
      <c r="Y10" s="87">
        <v>11.18</v>
      </c>
      <c r="Z10" s="87" t="s">
        <v>118</v>
      </c>
      <c r="AB10" s="220"/>
      <c r="AC10" s="220"/>
      <c r="AD10" s="220"/>
      <c r="AE10" s="220"/>
    </row>
    <row r="11" spans="3:31">
      <c r="C11" s="77" t="s">
        <v>169</v>
      </c>
      <c r="D11" s="77" t="s">
        <v>72</v>
      </c>
      <c r="E11" s="77"/>
      <c r="F11" s="77"/>
      <c r="G11" s="77" t="str">
        <f t="shared" si="0"/>
        <v>Businessrate 4_Non-Local Authority</v>
      </c>
      <c r="H11" s="77" t="str">
        <f t="shared" si="1"/>
        <v>B401N</v>
      </c>
      <c r="I11" s="87">
        <v>378.06</v>
      </c>
      <c r="J11" s="87">
        <v>378.06</v>
      </c>
      <c r="K11" s="87">
        <v>378.06</v>
      </c>
      <c r="L11" s="87">
        <v>378.06</v>
      </c>
      <c r="M11" s="87">
        <v>378.06</v>
      </c>
      <c r="N11" s="87">
        <v>378.06</v>
      </c>
      <c r="O11" s="85">
        <v>0</v>
      </c>
      <c r="P11" s="85">
        <v>0</v>
      </c>
      <c r="Q11" s="87">
        <v>378.06</v>
      </c>
      <c r="R11" s="87">
        <v>0.45</v>
      </c>
      <c r="S11" s="87">
        <v>15.81</v>
      </c>
      <c r="T11" s="87" t="s">
        <v>118</v>
      </c>
      <c r="U11" s="85">
        <v>0</v>
      </c>
      <c r="V11" s="85">
        <v>0</v>
      </c>
      <c r="W11" s="85" t="s">
        <v>118</v>
      </c>
      <c r="X11" s="87">
        <v>5.37</v>
      </c>
      <c r="Y11" s="87">
        <v>0</v>
      </c>
      <c r="Z11" s="87" t="s">
        <v>118</v>
      </c>
      <c r="AB11" s="220"/>
      <c r="AC11" s="220"/>
      <c r="AD11" s="220"/>
      <c r="AE11" s="220"/>
    </row>
    <row r="12" spans="3:31">
      <c r="C12" s="77" t="s">
        <v>344</v>
      </c>
      <c r="D12" s="77" t="s">
        <v>72</v>
      </c>
      <c r="E12" s="77"/>
      <c r="F12" s="77"/>
      <c r="G12" s="77" t="str">
        <f t="shared" si="0"/>
        <v>Homepower Bulk_Non-Local Authority</v>
      </c>
      <c r="H12" s="77" t="str">
        <f t="shared" si="1"/>
        <v>HB01N</v>
      </c>
      <c r="I12" s="87">
        <v>280.05</v>
      </c>
      <c r="J12" s="87">
        <v>280.05</v>
      </c>
      <c r="K12" s="87">
        <v>280.05</v>
      </c>
      <c r="L12" s="87">
        <v>280.05</v>
      </c>
      <c r="M12" s="87">
        <v>280.05</v>
      </c>
      <c r="N12" s="87">
        <v>280.05</v>
      </c>
      <c r="O12" s="85">
        <v>0</v>
      </c>
      <c r="P12" s="85">
        <v>0</v>
      </c>
      <c r="Q12" s="87">
        <v>280.05</v>
      </c>
      <c r="R12" s="85">
        <v>0.45</v>
      </c>
      <c r="S12" s="85">
        <v>28.68</v>
      </c>
      <c r="T12" s="85" t="s">
        <v>118</v>
      </c>
      <c r="U12" s="87">
        <v>60.17</v>
      </c>
      <c r="V12" s="85">
        <v>5.74</v>
      </c>
      <c r="W12" s="85" t="s">
        <v>118</v>
      </c>
      <c r="X12" s="87">
        <v>0</v>
      </c>
      <c r="Y12" s="87">
        <v>7.25</v>
      </c>
      <c r="Z12" s="87" t="s">
        <v>118</v>
      </c>
      <c r="AB12" s="220" t="s">
        <v>52</v>
      </c>
      <c r="AC12" s="220">
        <f>SUM(O12:Z16)</f>
        <v>1765.0500000000004</v>
      </c>
      <c r="AD12" s="220">
        <v>3091.61</v>
      </c>
      <c r="AE12" s="220"/>
    </row>
    <row r="13" spans="3:31">
      <c r="C13" s="77" t="s">
        <v>171</v>
      </c>
      <c r="D13" s="77" t="s">
        <v>72</v>
      </c>
      <c r="E13" s="77"/>
      <c r="F13" s="77"/>
      <c r="G13" s="77" t="str">
        <f t="shared" si="0"/>
        <v>Homepower 1_Non-Local Authority</v>
      </c>
      <c r="H13" s="77" t="str">
        <f t="shared" si="1"/>
        <v>H101N</v>
      </c>
      <c r="I13" s="87" t="s">
        <v>118</v>
      </c>
      <c r="J13" s="87" t="s">
        <v>118</v>
      </c>
      <c r="K13" s="87">
        <v>0</v>
      </c>
      <c r="L13" s="87">
        <v>0</v>
      </c>
      <c r="M13" s="87">
        <v>0</v>
      </c>
      <c r="N13" s="87">
        <v>0</v>
      </c>
      <c r="O13" s="87"/>
      <c r="P13" s="87"/>
      <c r="Q13" s="87">
        <v>280.05</v>
      </c>
      <c r="R13" s="85">
        <v>0.45</v>
      </c>
      <c r="S13" s="85">
        <v>28.68</v>
      </c>
      <c r="T13" s="85" t="s">
        <v>118</v>
      </c>
      <c r="U13" s="87">
        <v>13.19</v>
      </c>
      <c r="V13" s="85">
        <v>5.74</v>
      </c>
      <c r="W13" s="85" t="s">
        <v>118</v>
      </c>
      <c r="X13" s="87">
        <v>0</v>
      </c>
      <c r="Y13" s="87">
        <v>1.0900000000000001</v>
      </c>
      <c r="Z13" s="87" t="s">
        <v>118</v>
      </c>
      <c r="AB13" s="220"/>
      <c r="AC13" s="220"/>
      <c r="AD13" s="220"/>
      <c r="AE13" s="220"/>
    </row>
    <row r="14" spans="3:31">
      <c r="C14" s="77" t="s">
        <v>172</v>
      </c>
      <c r="D14" s="77" t="s">
        <v>72</v>
      </c>
      <c r="E14" s="77"/>
      <c r="F14" s="77"/>
      <c r="G14" s="77" t="str">
        <f t="shared" si="0"/>
        <v>Homepower 2_Non-Local Authority</v>
      </c>
      <c r="H14" s="77" t="str">
        <f t="shared" si="1"/>
        <v>H201N</v>
      </c>
      <c r="I14" s="87" t="s">
        <v>118</v>
      </c>
      <c r="J14" s="87" t="s">
        <v>118</v>
      </c>
      <c r="K14" s="87">
        <v>0</v>
      </c>
      <c r="L14" s="87">
        <v>0</v>
      </c>
      <c r="M14" s="87">
        <v>0</v>
      </c>
      <c r="N14" s="87">
        <v>0</v>
      </c>
      <c r="O14" s="87"/>
      <c r="P14" s="87"/>
      <c r="Q14" s="87">
        <v>280.05</v>
      </c>
      <c r="R14" s="85">
        <v>0.45</v>
      </c>
      <c r="S14" s="85">
        <v>28.68</v>
      </c>
      <c r="T14" s="85" t="s">
        <v>118</v>
      </c>
      <c r="U14" s="87">
        <v>29.44</v>
      </c>
      <c r="V14" s="85">
        <v>5.74</v>
      </c>
      <c r="W14" s="85" t="s">
        <v>118</v>
      </c>
      <c r="X14" s="87">
        <v>0</v>
      </c>
      <c r="Y14" s="87">
        <v>1.93</v>
      </c>
      <c r="Z14" s="87" t="s">
        <v>118</v>
      </c>
      <c r="AB14" s="220"/>
      <c r="AC14" s="220"/>
      <c r="AD14" s="220"/>
      <c r="AE14" s="220"/>
    </row>
    <row r="15" spans="3:31">
      <c r="C15" s="77" t="s">
        <v>173</v>
      </c>
      <c r="D15" s="77" t="s">
        <v>72</v>
      </c>
      <c r="E15" s="77"/>
      <c r="F15" s="77"/>
      <c r="G15" s="77" t="str">
        <f t="shared" si="0"/>
        <v>Homepower 3_Non-Local Authority</v>
      </c>
      <c r="H15" s="77" t="str">
        <f t="shared" si="1"/>
        <v>H301N</v>
      </c>
      <c r="I15" s="87" t="s">
        <v>118</v>
      </c>
      <c r="J15" s="87" t="s">
        <v>118</v>
      </c>
      <c r="K15" s="87">
        <v>0</v>
      </c>
      <c r="L15" s="87">
        <v>0</v>
      </c>
      <c r="M15" s="87">
        <v>0</v>
      </c>
      <c r="N15" s="87">
        <v>0</v>
      </c>
      <c r="O15" s="87"/>
      <c r="P15" s="87"/>
      <c r="Q15" s="87">
        <v>280.05</v>
      </c>
      <c r="R15" s="85">
        <v>0.45</v>
      </c>
      <c r="S15" s="85">
        <v>28.68</v>
      </c>
      <c r="T15" s="85" t="s">
        <v>118</v>
      </c>
      <c r="U15" s="87">
        <v>62.89</v>
      </c>
      <c r="V15" s="85">
        <v>5.74</v>
      </c>
      <c r="W15" s="85" t="s">
        <v>118</v>
      </c>
      <c r="X15" s="87">
        <v>0</v>
      </c>
      <c r="Y15" s="87">
        <v>4.7</v>
      </c>
      <c r="Z15" s="87" t="s">
        <v>118</v>
      </c>
      <c r="AB15" s="220"/>
      <c r="AC15" s="220"/>
      <c r="AD15" s="220"/>
      <c r="AE15" s="220"/>
    </row>
    <row r="16" spans="3:31">
      <c r="C16" s="77" t="s">
        <v>174</v>
      </c>
      <c r="D16" s="77" t="s">
        <v>72</v>
      </c>
      <c r="E16" s="77"/>
      <c r="F16" s="77"/>
      <c r="G16" s="77" t="str">
        <f t="shared" si="0"/>
        <v>Homepower 4_Non-Local Authority</v>
      </c>
      <c r="H16" s="77" t="str">
        <f t="shared" si="1"/>
        <v>H401N</v>
      </c>
      <c r="I16" s="87" t="s">
        <v>118</v>
      </c>
      <c r="J16" s="87" t="s">
        <v>118</v>
      </c>
      <c r="K16" s="87">
        <v>0</v>
      </c>
      <c r="L16" s="87">
        <v>0</v>
      </c>
      <c r="M16" s="87">
        <v>0</v>
      </c>
      <c r="N16" s="87">
        <v>0</v>
      </c>
      <c r="O16" s="87"/>
      <c r="P16" s="87"/>
      <c r="Q16" s="87">
        <v>280.05</v>
      </c>
      <c r="R16" s="85">
        <v>0.45</v>
      </c>
      <c r="S16" s="85">
        <v>28.68</v>
      </c>
      <c r="T16" s="85" t="s">
        <v>118</v>
      </c>
      <c r="U16" s="87">
        <v>9.08</v>
      </c>
      <c r="V16" s="85">
        <v>5.74</v>
      </c>
      <c r="W16" s="85" t="s">
        <v>118</v>
      </c>
      <c r="X16" s="87">
        <v>0</v>
      </c>
      <c r="Y16" s="87">
        <v>0.71</v>
      </c>
      <c r="Z16" s="87" t="s">
        <v>118</v>
      </c>
      <c r="AB16" s="220"/>
      <c r="AC16" s="220"/>
      <c r="AD16" s="220"/>
      <c r="AE16" s="220"/>
    </row>
    <row r="17" spans="3:31">
      <c r="C17" s="77" t="s">
        <v>176</v>
      </c>
      <c r="D17" s="77" t="s">
        <v>72</v>
      </c>
      <c r="E17" s="77"/>
      <c r="F17" s="77"/>
      <c r="G17" s="77" t="str">
        <f t="shared" si="0"/>
        <v>Homelight 20A_Non-Local Authority</v>
      </c>
      <c r="H17" s="77" t="str">
        <f t="shared" si="1"/>
        <v>HL2001N</v>
      </c>
      <c r="I17" s="87" t="s">
        <v>118</v>
      </c>
      <c r="J17" s="87" t="s">
        <v>118</v>
      </c>
      <c r="K17" s="87">
        <v>0</v>
      </c>
      <c r="L17" s="87">
        <v>0</v>
      </c>
      <c r="M17" s="87">
        <v>0</v>
      </c>
      <c r="N17" s="87">
        <v>0</v>
      </c>
      <c r="O17" s="87"/>
      <c r="P17" s="87"/>
      <c r="Q17" s="87">
        <v>235.04</v>
      </c>
      <c r="R17" s="85">
        <v>0</v>
      </c>
      <c r="S17" s="85">
        <v>0</v>
      </c>
      <c r="T17" s="85" t="s">
        <v>118</v>
      </c>
      <c r="U17" s="85">
        <v>0</v>
      </c>
      <c r="V17" s="85">
        <v>0</v>
      </c>
      <c r="W17" s="85" t="s">
        <v>118</v>
      </c>
      <c r="X17" s="87">
        <v>0</v>
      </c>
      <c r="Y17" s="87">
        <v>0</v>
      </c>
      <c r="Z17" s="87" t="s">
        <v>118</v>
      </c>
      <c r="AB17" s="220" t="s">
        <v>51</v>
      </c>
      <c r="AC17" s="220">
        <f>SUM(O17:Z18)</f>
        <v>533.83000000000004</v>
      </c>
      <c r="AD17" s="220">
        <v>1067.6600000000001</v>
      </c>
      <c r="AE17" s="220"/>
    </row>
    <row r="18" spans="3:31">
      <c r="C18" s="77" t="s">
        <v>177</v>
      </c>
      <c r="D18" s="77" t="s">
        <v>72</v>
      </c>
      <c r="E18" s="77"/>
      <c r="F18" s="77"/>
      <c r="G18" s="77" t="str">
        <f t="shared" si="0"/>
        <v>Homelight 60A_Non-Local Authority</v>
      </c>
      <c r="H18" s="77" t="str">
        <f t="shared" si="1"/>
        <v>HL6001N</v>
      </c>
      <c r="I18" s="87" t="s">
        <v>118</v>
      </c>
      <c r="J18" s="87" t="s">
        <v>118</v>
      </c>
      <c r="K18" s="87">
        <v>0</v>
      </c>
      <c r="L18" s="87">
        <v>0</v>
      </c>
      <c r="M18" s="87">
        <v>0</v>
      </c>
      <c r="N18" s="87">
        <v>0</v>
      </c>
      <c r="O18" s="87"/>
      <c r="P18" s="87"/>
      <c r="Q18" s="87">
        <v>298.79000000000002</v>
      </c>
      <c r="R18" s="85">
        <v>0</v>
      </c>
      <c r="S18" s="85">
        <v>0</v>
      </c>
      <c r="T18" s="85" t="s">
        <v>118</v>
      </c>
      <c r="U18" s="85">
        <v>0</v>
      </c>
      <c r="V18" s="85">
        <v>0</v>
      </c>
      <c r="W18" s="85" t="s">
        <v>118</v>
      </c>
      <c r="X18" s="87">
        <v>0</v>
      </c>
      <c r="Y18" s="87">
        <v>0</v>
      </c>
      <c r="Z18" s="87" t="s">
        <v>118</v>
      </c>
      <c r="AB18" s="220"/>
      <c r="AC18" s="220"/>
      <c r="AD18" s="220"/>
      <c r="AE18" s="220"/>
    </row>
    <row r="19" spans="3:31">
      <c r="C19" s="77" t="s">
        <v>178</v>
      </c>
      <c r="D19" s="77" t="s">
        <v>72</v>
      </c>
      <c r="E19" s="77"/>
      <c r="F19" s="77"/>
      <c r="G19" s="77" t="str">
        <f t="shared" si="0"/>
        <v>Landrate 1_Non-Local Authority</v>
      </c>
      <c r="H19" s="77" t="str">
        <f t="shared" si="1"/>
        <v>L101N</v>
      </c>
      <c r="I19" s="87">
        <v>242.9</v>
      </c>
      <c r="J19" s="87">
        <v>242.9</v>
      </c>
      <c r="K19" s="87">
        <v>242.9</v>
      </c>
      <c r="L19" s="87">
        <v>242.9</v>
      </c>
      <c r="M19" s="87">
        <v>242.9</v>
      </c>
      <c r="N19" s="87">
        <v>242.9</v>
      </c>
      <c r="O19" s="85">
        <v>0</v>
      </c>
      <c r="P19" s="85">
        <v>0</v>
      </c>
      <c r="Q19" s="87">
        <v>242.9</v>
      </c>
      <c r="R19" s="87">
        <v>0.45</v>
      </c>
      <c r="S19" s="87">
        <v>67.06</v>
      </c>
      <c r="T19" s="87" t="s">
        <v>118</v>
      </c>
      <c r="U19" s="87">
        <v>67.650000000000006</v>
      </c>
      <c r="V19" s="87">
        <v>26.65</v>
      </c>
      <c r="W19" s="85" t="s">
        <v>118</v>
      </c>
      <c r="X19" s="87">
        <v>0</v>
      </c>
      <c r="Y19" s="87">
        <v>4.1100000000000003</v>
      </c>
      <c r="Z19" s="87" t="s">
        <v>118</v>
      </c>
      <c r="AB19" s="220" t="s">
        <v>55</v>
      </c>
      <c r="AC19" s="220">
        <f>SUM(O19:Z25)</f>
        <v>3560.67</v>
      </c>
      <c r="AD19" s="220">
        <v>3137.7699999999991</v>
      </c>
      <c r="AE19" s="220"/>
    </row>
    <row r="20" spans="3:31">
      <c r="C20" s="77" t="s">
        <v>179</v>
      </c>
      <c r="D20" s="77" t="s">
        <v>72</v>
      </c>
      <c r="E20" s="77"/>
      <c r="F20" s="77"/>
      <c r="G20" s="77" t="str">
        <f t="shared" si="0"/>
        <v>Landrate 2_Non-Local Authority</v>
      </c>
      <c r="H20" s="77" t="str">
        <f t="shared" si="1"/>
        <v>L201N</v>
      </c>
      <c r="I20" s="87">
        <v>242.9</v>
      </c>
      <c r="J20" s="87">
        <v>242.9</v>
      </c>
      <c r="K20" s="87">
        <v>242.9</v>
      </c>
      <c r="L20" s="87">
        <v>242.9</v>
      </c>
      <c r="M20" s="87">
        <v>242.9</v>
      </c>
      <c r="N20" s="87">
        <v>242.9</v>
      </c>
      <c r="O20" s="85">
        <v>0</v>
      </c>
      <c r="P20" s="85">
        <v>0</v>
      </c>
      <c r="Q20" s="87">
        <v>242.9</v>
      </c>
      <c r="R20" s="87">
        <v>0.45</v>
      </c>
      <c r="S20" s="87">
        <v>67.06</v>
      </c>
      <c r="T20" s="87" t="s">
        <v>118</v>
      </c>
      <c r="U20" s="87">
        <v>105.49</v>
      </c>
      <c r="V20" s="87">
        <v>26.65</v>
      </c>
      <c r="W20" s="85" t="s">
        <v>118</v>
      </c>
      <c r="X20" s="87">
        <v>0</v>
      </c>
      <c r="Y20" s="87">
        <v>8.15</v>
      </c>
      <c r="Z20" s="87" t="s">
        <v>118</v>
      </c>
      <c r="AB20" s="220"/>
      <c r="AC20" s="220"/>
      <c r="AD20" s="220"/>
      <c r="AE20" s="220"/>
    </row>
    <row r="21" spans="3:31">
      <c r="C21" s="77" t="s">
        <v>180</v>
      </c>
      <c r="D21" s="77" t="s">
        <v>72</v>
      </c>
      <c r="E21" s="77"/>
      <c r="F21" s="77"/>
      <c r="G21" s="77" t="str">
        <f t="shared" si="0"/>
        <v>Landrate 3_Non-Local Authority</v>
      </c>
      <c r="H21" s="77" t="str">
        <f t="shared" si="1"/>
        <v>L301N</v>
      </c>
      <c r="I21" s="87">
        <v>242.9</v>
      </c>
      <c r="J21" s="87">
        <v>242.9</v>
      </c>
      <c r="K21" s="87">
        <v>242.9</v>
      </c>
      <c r="L21" s="87">
        <v>242.9</v>
      </c>
      <c r="M21" s="87">
        <v>242.9</v>
      </c>
      <c r="N21" s="87">
        <v>242.9</v>
      </c>
      <c r="O21" s="85">
        <v>0</v>
      </c>
      <c r="P21" s="85">
        <v>0</v>
      </c>
      <c r="Q21" s="87">
        <v>242.9</v>
      </c>
      <c r="R21" s="87">
        <v>0.45</v>
      </c>
      <c r="S21" s="87">
        <v>67.06</v>
      </c>
      <c r="T21" s="87" t="s">
        <v>118</v>
      </c>
      <c r="U21" s="87">
        <v>168.93</v>
      </c>
      <c r="V21" s="87">
        <v>26.65</v>
      </c>
      <c r="W21" s="85" t="s">
        <v>118</v>
      </c>
      <c r="X21" s="87">
        <v>0</v>
      </c>
      <c r="Y21" s="87">
        <v>15.93</v>
      </c>
      <c r="Z21" s="87" t="s">
        <v>118</v>
      </c>
      <c r="AB21" s="220"/>
      <c r="AC21" s="220"/>
      <c r="AD21" s="220"/>
      <c r="AE21" s="220"/>
    </row>
    <row r="22" spans="3:31">
      <c r="C22" s="77" t="s">
        <v>181</v>
      </c>
      <c r="D22" s="77" t="s">
        <v>72</v>
      </c>
      <c r="E22" s="77"/>
      <c r="F22" s="77"/>
      <c r="G22" s="77" t="str">
        <f t="shared" si="0"/>
        <v>Landrate 4_Non-Local Authority</v>
      </c>
      <c r="H22" s="77" t="str">
        <f t="shared" si="1"/>
        <v>L401N</v>
      </c>
      <c r="I22" s="87">
        <v>398.82</v>
      </c>
      <c r="J22" s="87">
        <v>398.82</v>
      </c>
      <c r="K22" s="87">
        <v>398.82</v>
      </c>
      <c r="L22" s="87">
        <v>398.82</v>
      </c>
      <c r="M22" s="87">
        <v>398.82</v>
      </c>
      <c r="N22" s="87">
        <v>398.82</v>
      </c>
      <c r="O22" s="85">
        <v>0</v>
      </c>
      <c r="P22" s="85">
        <v>0</v>
      </c>
      <c r="Q22" s="87">
        <v>398.82</v>
      </c>
      <c r="R22" s="87">
        <v>0.45</v>
      </c>
      <c r="S22" s="87">
        <v>67.06</v>
      </c>
      <c r="T22" s="87" t="s">
        <v>118</v>
      </c>
      <c r="U22" s="87">
        <v>49.94</v>
      </c>
      <c r="V22" s="87">
        <v>0</v>
      </c>
      <c r="W22" s="85" t="s">
        <v>118</v>
      </c>
      <c r="X22" s="87">
        <v>0</v>
      </c>
      <c r="Y22" s="87">
        <v>2.7</v>
      </c>
      <c r="Z22" s="87" t="s">
        <v>118</v>
      </c>
      <c r="AB22" s="220"/>
      <c r="AC22" s="220"/>
      <c r="AD22" s="220"/>
      <c r="AE22" s="220"/>
    </row>
    <row r="23" spans="3:31">
      <c r="C23" s="77" t="s">
        <v>183</v>
      </c>
      <c r="D23" s="77" t="s">
        <v>72</v>
      </c>
      <c r="E23" s="77"/>
      <c r="F23" s="77"/>
      <c r="G23" s="77" t="str">
        <f t="shared" si="0"/>
        <v>Landrate Dx_Non-Local Authority</v>
      </c>
      <c r="H23" s="77" t="str">
        <f t="shared" si="1"/>
        <v>Ld01N</v>
      </c>
      <c r="I23" s="87">
        <v>0</v>
      </c>
      <c r="J23" s="87">
        <v>0</v>
      </c>
      <c r="K23" s="87">
        <v>0</v>
      </c>
      <c r="L23" s="87">
        <v>0</v>
      </c>
      <c r="M23" s="87">
        <v>0</v>
      </c>
      <c r="N23" s="87">
        <v>0</v>
      </c>
      <c r="O23" s="85">
        <v>0</v>
      </c>
      <c r="P23" s="85">
        <v>0</v>
      </c>
      <c r="Q23" s="87">
        <v>0</v>
      </c>
      <c r="R23" s="87">
        <v>0</v>
      </c>
      <c r="S23" s="87">
        <v>0</v>
      </c>
      <c r="T23" s="87" t="s">
        <v>118</v>
      </c>
      <c r="U23" s="87">
        <v>0</v>
      </c>
      <c r="V23" s="87">
        <v>94.62</v>
      </c>
      <c r="W23" s="85" t="s">
        <v>118</v>
      </c>
      <c r="X23" s="87">
        <v>0</v>
      </c>
      <c r="Y23" s="87">
        <v>0</v>
      </c>
      <c r="Z23" s="87" t="s">
        <v>118</v>
      </c>
      <c r="AB23" s="220"/>
      <c r="AC23" s="220"/>
      <c r="AD23" s="220"/>
      <c r="AE23" s="220"/>
    </row>
    <row r="24" spans="3:31">
      <c r="C24" s="77" t="s">
        <v>402</v>
      </c>
      <c r="D24" s="77" t="s">
        <v>72</v>
      </c>
      <c r="E24" s="77"/>
      <c r="F24" s="77"/>
      <c r="G24" s="77" t="str">
        <f t="shared" si="0"/>
        <v>Landlight 20A_Non-Local Authority</v>
      </c>
      <c r="H24" s="77" t="str">
        <f>INDEX(Matrix_Tariff_Map,MATCH(C24,Matrix_Model_Tariffs,0),2)&amp;IFERROR(INDEX(Matrix_Transmission_Map,MATCH(E24,Matrix_Model_Transmission,0),2),0)&amp;IFERROR(INDEX(Matrix_Voltage_Map,MATCH(F24,Matrix_Model_Voltage,0),2),1)&amp;INDEX(Matrix_Category_Map,MATCH(D24,Matrix_Model_Category,0),2)</f>
        <v>Lt2001N</v>
      </c>
      <c r="I24" s="87">
        <v>656.41</v>
      </c>
      <c r="J24" s="87">
        <v>656.41</v>
      </c>
      <c r="K24" s="87">
        <v>656.41</v>
      </c>
      <c r="L24" s="87">
        <v>656.41</v>
      </c>
      <c r="M24" s="87">
        <v>656.41</v>
      </c>
      <c r="N24" s="87">
        <v>656.41</v>
      </c>
      <c r="O24" s="85">
        <v>0</v>
      </c>
      <c r="P24" s="85">
        <v>0</v>
      </c>
      <c r="Q24" s="87">
        <v>656.41</v>
      </c>
      <c r="R24" s="87">
        <v>0</v>
      </c>
      <c r="S24" s="87">
        <v>0</v>
      </c>
      <c r="T24" s="87" t="s">
        <v>118</v>
      </c>
      <c r="U24" s="87">
        <v>0</v>
      </c>
      <c r="V24" s="87">
        <v>0</v>
      </c>
      <c r="W24" s="85" t="s">
        <v>118</v>
      </c>
      <c r="X24" s="87">
        <v>0</v>
      </c>
      <c r="Y24" s="87">
        <v>0</v>
      </c>
      <c r="Z24" s="87" t="s">
        <v>118</v>
      </c>
      <c r="AB24" s="220"/>
      <c r="AC24" s="220"/>
      <c r="AD24" s="220"/>
      <c r="AE24" s="220"/>
    </row>
    <row r="25" spans="3:31">
      <c r="C25" s="77" t="s">
        <v>403</v>
      </c>
      <c r="D25" s="77" t="s">
        <v>72</v>
      </c>
      <c r="E25" s="77"/>
      <c r="F25" s="77"/>
      <c r="G25" s="77" t="str">
        <f t="shared" si="0"/>
        <v>Landlight 60A_Non-Local Authority</v>
      </c>
      <c r="H25" s="77" t="str">
        <f>INDEX(Matrix_Tariff_Map,MATCH(C25,Matrix_Model_Tariffs,0),2)&amp;IFERROR(INDEX(Matrix_Transmission_Map,MATCH(E25,Matrix_Model_Transmission,0),2),0)&amp;IFERROR(INDEX(Matrix_Voltage_Map,MATCH(F25,Matrix_Model_Voltage,0),2),1)&amp;INDEX(Matrix_Category_Map,MATCH(D25,Matrix_Model_Category,0),2)</f>
        <v>Lt6001N</v>
      </c>
      <c r="I25" s="87">
        <v>909.23</v>
      </c>
      <c r="J25" s="87">
        <v>909.23</v>
      </c>
      <c r="K25" s="87">
        <v>909.23</v>
      </c>
      <c r="L25" s="87">
        <v>909.23</v>
      </c>
      <c r="M25" s="87">
        <v>909.23</v>
      </c>
      <c r="N25" s="87">
        <v>909.23</v>
      </c>
      <c r="O25" s="85">
        <v>0</v>
      </c>
      <c r="P25" s="85">
        <v>0</v>
      </c>
      <c r="Q25" s="87">
        <v>909.23</v>
      </c>
      <c r="R25" s="87">
        <v>0</v>
      </c>
      <c r="S25" s="87">
        <v>0</v>
      </c>
      <c r="T25" s="87" t="s">
        <v>118</v>
      </c>
      <c r="U25" s="87">
        <v>0</v>
      </c>
      <c r="V25" s="87">
        <v>0</v>
      </c>
      <c r="W25" s="85" t="s">
        <v>118</v>
      </c>
      <c r="X25" s="87">
        <v>0</v>
      </c>
      <c r="Y25" s="87">
        <v>0</v>
      </c>
      <c r="Z25" s="87" t="s">
        <v>118</v>
      </c>
      <c r="AB25" s="220"/>
      <c r="AC25" s="220"/>
      <c r="AD25" s="220"/>
      <c r="AE25" s="220"/>
    </row>
    <row r="26" spans="3:31">
      <c r="C26" s="77" t="s">
        <v>348</v>
      </c>
      <c r="D26" s="77" t="s">
        <v>72</v>
      </c>
      <c r="E26" s="77"/>
      <c r="F26" s="77"/>
      <c r="G26" s="77" t="str">
        <f t="shared" si="0"/>
        <v>Public Lighting 24 Hours_Non-Local Authority</v>
      </c>
      <c r="H26" s="77" t="str">
        <f>INDEX(Matrix_Tariff_Map,MATCH(C26,Matrix_Model_Tariffs,0),2)&amp;IFERROR(INDEX(Matrix_Transmission_Map,MATCH(E26,Matrix_Model_Transmission,0),2),0)&amp;IFERROR(INDEX(Matrix_Voltage_Map,MATCH(F26,Matrix_Model_Voltage,0),2),1)&amp;INDEX(Matrix_Category_Map,MATCH(D26,Matrix_Model_Category,0),2)</f>
        <v>Pu01N</v>
      </c>
      <c r="I26" s="87">
        <v>252.56</v>
      </c>
      <c r="J26" s="87">
        <v>252.56</v>
      </c>
      <c r="K26" s="87">
        <v>252.56</v>
      </c>
      <c r="L26" s="87">
        <v>252.56</v>
      </c>
      <c r="M26" s="87">
        <v>252.56</v>
      </c>
      <c r="N26" s="87">
        <v>252.56</v>
      </c>
      <c r="O26" s="85">
        <v>0</v>
      </c>
      <c r="P26" s="85">
        <v>0</v>
      </c>
      <c r="Q26" s="87">
        <v>252.56</v>
      </c>
      <c r="R26" s="87">
        <v>0</v>
      </c>
      <c r="S26" s="87">
        <v>0</v>
      </c>
      <c r="T26" s="87" t="s">
        <v>118</v>
      </c>
      <c r="U26" s="87">
        <v>0</v>
      </c>
      <c r="V26" s="87">
        <v>0</v>
      </c>
      <c r="W26" s="85" t="s">
        <v>118</v>
      </c>
      <c r="X26" s="87">
        <v>0</v>
      </c>
      <c r="Y26" s="87">
        <v>0</v>
      </c>
      <c r="Z26" s="87" t="s">
        <v>118</v>
      </c>
      <c r="AB26" s="220" t="s">
        <v>410</v>
      </c>
      <c r="AC26" s="220">
        <f>SUM(O26:Z28)</f>
        <v>551.01</v>
      </c>
      <c r="AD26" s="220">
        <v>551.01</v>
      </c>
      <c r="AE26" s="220"/>
    </row>
    <row r="27" spans="3:31">
      <c r="C27" s="77" t="s">
        <v>347</v>
      </c>
      <c r="D27" s="77" t="s">
        <v>72</v>
      </c>
      <c r="E27" s="77"/>
      <c r="F27" s="77"/>
      <c r="G27" s="77" t="str">
        <f t="shared" si="0"/>
        <v>Public Lighting All Night_Non-Local Authority</v>
      </c>
      <c r="H27" s="77" t="str">
        <f>INDEX(Matrix_Tariff_Map,MATCH(C27,Matrix_Model_Tariffs,0),2)&amp;IFERROR(INDEX(Matrix_Transmission_Map,MATCH(E27,Matrix_Model_Transmission,0),2),0)&amp;IFERROR(INDEX(Matrix_Voltage_Map,MATCH(F27,Matrix_Model_Voltage,0),2),1)&amp;INDEX(Matrix_Category_Map,MATCH(D27,Matrix_Model_Category,0),2)</f>
        <v>Pa01N</v>
      </c>
      <c r="I27" s="87">
        <v>263.32</v>
      </c>
      <c r="J27" s="87">
        <v>263.32</v>
      </c>
      <c r="K27" s="87">
        <v>263.32</v>
      </c>
      <c r="L27" s="87">
        <v>263.32</v>
      </c>
      <c r="M27" s="87">
        <v>263.32</v>
      </c>
      <c r="N27" s="87">
        <v>263.32</v>
      </c>
      <c r="O27" s="85">
        <v>0</v>
      </c>
      <c r="P27" s="85">
        <v>0</v>
      </c>
      <c r="Q27" s="87">
        <v>263.32</v>
      </c>
      <c r="R27" s="87">
        <v>0</v>
      </c>
      <c r="S27" s="87">
        <v>0</v>
      </c>
      <c r="T27" s="87" t="s">
        <v>118</v>
      </c>
      <c r="U27" s="87">
        <v>0</v>
      </c>
      <c r="V27" s="87">
        <v>0</v>
      </c>
      <c r="W27" s="85" t="s">
        <v>118</v>
      </c>
      <c r="X27" s="87">
        <v>0</v>
      </c>
      <c r="Y27" s="87">
        <v>0</v>
      </c>
      <c r="Z27" s="87" t="s">
        <v>118</v>
      </c>
      <c r="AB27" s="220"/>
      <c r="AC27" s="220"/>
      <c r="AD27" s="220"/>
      <c r="AE27" s="220"/>
    </row>
    <row r="28" spans="3:31">
      <c r="C28" s="77" t="s">
        <v>349</v>
      </c>
      <c r="D28" s="77" t="s">
        <v>72</v>
      </c>
      <c r="E28" s="77"/>
      <c r="F28" s="77"/>
      <c r="G28" s="77" t="str">
        <f t="shared" si="0"/>
        <v>Public Lighting Urban Fixed_Non-Local Authority</v>
      </c>
      <c r="H28" s="77" t="str">
        <f>INDEX(Matrix_Tariff_Map,MATCH(C28,Matrix_Model_Tariffs,0),2)&amp;IFERROR(INDEX(Matrix_Transmission_Map,MATCH(E28,Matrix_Model_Transmission,0),2),0)&amp;IFERROR(INDEX(Matrix_Voltage_Map,MATCH(F28,Matrix_Model_Voltage,0),2),1)&amp;INDEX(Matrix_Category_Map,MATCH(D28,Matrix_Model_Category,0),2)</f>
        <v>Pt01N</v>
      </c>
      <c r="I28" s="87">
        <v>0</v>
      </c>
      <c r="J28" s="87">
        <v>0</v>
      </c>
      <c r="K28" s="87">
        <v>0</v>
      </c>
      <c r="L28" s="87">
        <v>0</v>
      </c>
      <c r="M28" s="87">
        <v>0</v>
      </c>
      <c r="N28" s="87">
        <v>0</v>
      </c>
      <c r="O28" s="85">
        <v>0</v>
      </c>
      <c r="P28" s="85">
        <v>0</v>
      </c>
      <c r="Q28" s="87">
        <v>0</v>
      </c>
      <c r="R28" s="87">
        <v>0</v>
      </c>
      <c r="S28" s="87">
        <v>0</v>
      </c>
      <c r="T28" s="87" t="s">
        <v>118</v>
      </c>
      <c r="U28" s="87">
        <v>0</v>
      </c>
      <c r="V28" s="87">
        <v>35.130000000000003</v>
      </c>
      <c r="W28" s="85" t="s">
        <v>118</v>
      </c>
      <c r="X28" s="87">
        <v>0</v>
      </c>
      <c r="Y28" s="87">
        <v>0</v>
      </c>
      <c r="Z28" s="87" t="s">
        <v>118</v>
      </c>
      <c r="AB28" s="220"/>
      <c r="AC28" s="220"/>
      <c r="AD28" s="220"/>
      <c r="AE28" s="220"/>
    </row>
    <row r="29" spans="3:31">
      <c r="C29" s="77" t="s">
        <v>466</v>
      </c>
      <c r="D29" s="77" t="s">
        <v>71</v>
      </c>
      <c r="E29" s="77"/>
      <c r="F29" s="77"/>
      <c r="G29" s="77" t="str">
        <f t="shared" si="0"/>
        <v>Municrate 1_Local Authority</v>
      </c>
      <c r="H29" s="77" t="str">
        <f t="shared" si="1"/>
        <v>Mr101Y</v>
      </c>
      <c r="I29" s="78">
        <v>248.72</v>
      </c>
      <c r="J29" s="78">
        <v>248.72</v>
      </c>
      <c r="K29" s="78">
        <v>248.72</v>
      </c>
      <c r="L29" s="78">
        <v>248.72</v>
      </c>
      <c r="M29" s="78">
        <v>248.72</v>
      </c>
      <c r="N29" s="78">
        <v>248.72</v>
      </c>
      <c r="O29" s="85">
        <v>0</v>
      </c>
      <c r="P29" s="85">
        <v>0</v>
      </c>
      <c r="Q29" s="78">
        <v>248.72</v>
      </c>
      <c r="R29" s="78">
        <v>0.45</v>
      </c>
      <c r="S29" s="78">
        <v>47.53</v>
      </c>
      <c r="T29" s="78" t="s">
        <v>118</v>
      </c>
      <c r="U29" s="78">
        <v>37.130000000000003</v>
      </c>
      <c r="V29" s="78">
        <v>20.5</v>
      </c>
      <c r="W29" s="85" t="s">
        <v>118</v>
      </c>
      <c r="X29" s="78">
        <v>0</v>
      </c>
      <c r="Y29" s="78">
        <v>3.3</v>
      </c>
      <c r="Z29" s="78" t="s">
        <v>118</v>
      </c>
      <c r="AB29" s="220" t="s">
        <v>50</v>
      </c>
      <c r="AC29" s="220">
        <f>SUM(O29:Z32)</f>
        <v>1662.89</v>
      </c>
      <c r="AD29" s="220">
        <v>1377.63</v>
      </c>
      <c r="AE29" s="220"/>
    </row>
    <row r="30" spans="3:31">
      <c r="C30" s="77" t="s">
        <v>467</v>
      </c>
      <c r="D30" s="77" t="s">
        <v>71</v>
      </c>
      <c r="E30" s="77"/>
      <c r="F30" s="77"/>
      <c r="G30" s="77" t="str">
        <f t="shared" si="0"/>
        <v>Municrate 2_Local Authority</v>
      </c>
      <c r="H30" s="77" t="str">
        <f t="shared" si="1"/>
        <v>Mr201Y</v>
      </c>
      <c r="I30" s="78">
        <v>248.72</v>
      </c>
      <c r="J30" s="78">
        <v>248.72</v>
      </c>
      <c r="K30" s="78">
        <v>248.72</v>
      </c>
      <c r="L30" s="78">
        <v>248.72</v>
      </c>
      <c r="M30" s="78">
        <v>248.72</v>
      </c>
      <c r="N30" s="78">
        <v>248.72</v>
      </c>
      <c r="O30" s="85">
        <v>0</v>
      </c>
      <c r="P30" s="85">
        <v>0</v>
      </c>
      <c r="Q30" s="78">
        <v>248.72</v>
      </c>
      <c r="R30" s="78">
        <v>0.45</v>
      </c>
      <c r="S30" s="78">
        <v>47.53</v>
      </c>
      <c r="T30" s="78" t="s">
        <v>118</v>
      </c>
      <c r="U30" s="78">
        <v>75.23</v>
      </c>
      <c r="V30" s="78">
        <v>20.5</v>
      </c>
      <c r="W30" s="85" t="s">
        <v>118</v>
      </c>
      <c r="X30" s="78">
        <v>0</v>
      </c>
      <c r="Y30" s="78">
        <v>6.09</v>
      </c>
      <c r="Z30" s="78" t="s">
        <v>118</v>
      </c>
      <c r="AB30" s="220"/>
      <c r="AC30" s="220"/>
      <c r="AD30" s="220"/>
      <c r="AE30" s="220"/>
    </row>
    <row r="31" spans="3:31">
      <c r="C31" s="77" t="s">
        <v>468</v>
      </c>
      <c r="D31" s="77" t="s">
        <v>71</v>
      </c>
      <c r="E31" s="77"/>
      <c r="F31" s="77"/>
      <c r="G31" s="77" t="str">
        <f t="shared" si="0"/>
        <v>Municrate 3_Local Authority</v>
      </c>
      <c r="H31" s="77" t="str">
        <f t="shared" si="1"/>
        <v>Mr301Y</v>
      </c>
      <c r="I31" s="78">
        <v>248.72</v>
      </c>
      <c r="J31" s="78">
        <v>248.72</v>
      </c>
      <c r="K31" s="78">
        <v>248.72</v>
      </c>
      <c r="L31" s="78">
        <v>248.72</v>
      </c>
      <c r="M31" s="78">
        <v>248.72</v>
      </c>
      <c r="N31" s="78">
        <v>248.72</v>
      </c>
      <c r="O31" s="85">
        <v>0</v>
      </c>
      <c r="P31" s="85">
        <v>0</v>
      </c>
      <c r="Q31" s="78">
        <v>248.72</v>
      </c>
      <c r="R31" s="78">
        <v>0.45</v>
      </c>
      <c r="S31" s="78">
        <v>47.53</v>
      </c>
      <c r="T31" s="78" t="s">
        <v>118</v>
      </c>
      <c r="U31" s="78">
        <v>150.66</v>
      </c>
      <c r="V31" s="78">
        <v>20.5</v>
      </c>
      <c r="W31" s="85" t="s">
        <v>118</v>
      </c>
      <c r="X31" s="78">
        <v>0</v>
      </c>
      <c r="Y31" s="78">
        <v>12.85</v>
      </c>
      <c r="Z31" s="78" t="s">
        <v>118</v>
      </c>
      <c r="AB31" s="220"/>
      <c r="AC31" s="220"/>
      <c r="AD31" s="220"/>
      <c r="AE31" s="220"/>
    </row>
    <row r="32" spans="3:31">
      <c r="C32" s="77" t="s">
        <v>469</v>
      </c>
      <c r="D32" s="77" t="s">
        <v>71</v>
      </c>
      <c r="E32" s="77"/>
      <c r="F32" s="77"/>
      <c r="G32" s="77" t="str">
        <f t="shared" si="0"/>
        <v>Municrate 4_Local Authority</v>
      </c>
      <c r="H32" s="77" t="str">
        <f t="shared" si="1"/>
        <v>Mr401Y</v>
      </c>
      <c r="I32" s="78">
        <v>378.05</v>
      </c>
      <c r="J32" s="78">
        <v>378.05</v>
      </c>
      <c r="K32" s="78">
        <v>378.05</v>
      </c>
      <c r="L32" s="78">
        <v>378.05</v>
      </c>
      <c r="M32" s="78">
        <v>378.05</v>
      </c>
      <c r="N32" s="78">
        <v>378.05</v>
      </c>
      <c r="O32" s="85">
        <v>0</v>
      </c>
      <c r="P32" s="85">
        <v>0</v>
      </c>
      <c r="Q32" s="78">
        <v>378.05</v>
      </c>
      <c r="R32" s="78">
        <v>0.45</v>
      </c>
      <c r="S32" s="78">
        <v>47.53</v>
      </c>
      <c r="T32" s="78" t="s">
        <v>118</v>
      </c>
      <c r="U32" s="85">
        <v>0</v>
      </c>
      <c r="V32" s="85">
        <v>0</v>
      </c>
      <c r="W32" s="85" t="s">
        <v>118</v>
      </c>
      <c r="X32" s="85">
        <v>0</v>
      </c>
      <c r="Y32" s="85">
        <v>0</v>
      </c>
      <c r="Z32" s="85" t="s">
        <v>118</v>
      </c>
      <c r="AB32" s="220"/>
      <c r="AC32" s="220"/>
      <c r="AD32" s="220"/>
      <c r="AE32" s="220"/>
    </row>
    <row r="33" spans="3:31">
      <c r="C33" s="247" t="s">
        <v>344</v>
      </c>
      <c r="D33" s="247" t="s">
        <v>71</v>
      </c>
      <c r="E33" s="247"/>
      <c r="F33" s="247"/>
      <c r="G33" s="247" t="str">
        <f t="shared" si="0"/>
        <v>Homepower Bulk_Local Authority</v>
      </c>
      <c r="H33" s="247" t="str">
        <f t="shared" si="1"/>
        <v>HB01Y</v>
      </c>
      <c r="I33" s="248">
        <v>248.72</v>
      </c>
      <c r="J33" s="248">
        <v>248.72</v>
      </c>
      <c r="K33" s="248">
        <v>248.72</v>
      </c>
      <c r="L33" s="248">
        <v>248.72</v>
      </c>
      <c r="M33" s="248">
        <v>248.72</v>
      </c>
      <c r="N33" s="248">
        <v>248.72</v>
      </c>
      <c r="O33" s="248">
        <v>0</v>
      </c>
      <c r="P33" s="248">
        <v>0</v>
      </c>
      <c r="Q33" s="248">
        <v>248.72</v>
      </c>
      <c r="R33" s="248">
        <v>0.45</v>
      </c>
      <c r="S33" s="248">
        <v>47.53</v>
      </c>
      <c r="T33" s="248" t="s">
        <v>118</v>
      </c>
      <c r="U33" s="248">
        <v>150.66</v>
      </c>
      <c r="V33" s="248">
        <v>20.5</v>
      </c>
      <c r="W33" s="248" t="s">
        <v>118</v>
      </c>
      <c r="X33" s="248">
        <v>0</v>
      </c>
      <c r="Y33" s="248">
        <v>12.85</v>
      </c>
      <c r="Z33" s="248" t="s">
        <v>118</v>
      </c>
      <c r="AB33" s="220"/>
      <c r="AC33" s="220"/>
      <c r="AD33" s="220"/>
      <c r="AE33" s="220"/>
    </row>
    <row r="34" spans="3:31">
      <c r="C34" s="77" t="s">
        <v>466</v>
      </c>
      <c r="D34" s="77" t="s">
        <v>71</v>
      </c>
      <c r="E34" s="77"/>
      <c r="F34" s="77"/>
      <c r="G34" s="77" t="str">
        <f t="shared" ref="G34:G41" si="2">C34&amp;"_"&amp;D34</f>
        <v>Municrate 1_Local Authority</v>
      </c>
      <c r="H34" s="77" t="str">
        <f t="shared" si="1"/>
        <v>Mr101Y</v>
      </c>
      <c r="I34" s="78">
        <f t="shared" ref="I34:N34" si="3">I29</f>
        <v>248.72</v>
      </c>
      <c r="J34" s="78">
        <f t="shared" si="3"/>
        <v>248.72</v>
      </c>
      <c r="K34" s="78">
        <f t="shared" si="3"/>
        <v>248.72</v>
      </c>
      <c r="L34" s="78">
        <f t="shared" si="3"/>
        <v>248.72</v>
      </c>
      <c r="M34" s="78">
        <f t="shared" si="3"/>
        <v>248.72</v>
      </c>
      <c r="N34" s="78">
        <f t="shared" si="3"/>
        <v>248.72</v>
      </c>
      <c r="O34" s="78">
        <f>O29</f>
        <v>0</v>
      </c>
      <c r="P34" s="78">
        <f t="shared" ref="P34:V34" si="4">P29</f>
        <v>0</v>
      </c>
      <c r="Q34" s="78">
        <f t="shared" si="4"/>
        <v>248.72</v>
      </c>
      <c r="R34" s="78">
        <f t="shared" si="4"/>
        <v>0.45</v>
      </c>
      <c r="S34" s="78">
        <f t="shared" si="4"/>
        <v>47.53</v>
      </c>
      <c r="T34" s="78" t="str">
        <f>T29</f>
        <v>n/a</v>
      </c>
      <c r="U34" s="78">
        <f t="shared" si="4"/>
        <v>37.130000000000003</v>
      </c>
      <c r="V34" s="78">
        <f t="shared" si="4"/>
        <v>20.5</v>
      </c>
      <c r="W34" s="78" t="str">
        <f t="shared" ref="W34:Y37" si="5">W29</f>
        <v>n/a</v>
      </c>
      <c r="X34" s="78">
        <f t="shared" si="5"/>
        <v>0</v>
      </c>
      <c r="Y34" s="78">
        <f t="shared" si="5"/>
        <v>3.3</v>
      </c>
      <c r="Z34" s="78" t="s">
        <v>118</v>
      </c>
      <c r="AB34" s="220"/>
      <c r="AC34" s="220"/>
      <c r="AD34" s="220"/>
      <c r="AE34" s="220"/>
    </row>
    <row r="35" spans="3:31">
      <c r="C35" s="77" t="s">
        <v>467</v>
      </c>
      <c r="D35" s="77" t="s">
        <v>71</v>
      </c>
      <c r="E35" s="77"/>
      <c r="F35" s="77"/>
      <c r="G35" s="77" t="str">
        <f t="shared" si="2"/>
        <v>Municrate 2_Local Authority</v>
      </c>
      <c r="H35" s="77" t="str">
        <f t="shared" si="1"/>
        <v>Mr201Y</v>
      </c>
      <c r="I35" s="78">
        <f t="shared" ref="I35:N35" si="6">I30</f>
        <v>248.72</v>
      </c>
      <c r="J35" s="78">
        <f t="shared" si="6"/>
        <v>248.72</v>
      </c>
      <c r="K35" s="78">
        <f t="shared" si="6"/>
        <v>248.72</v>
      </c>
      <c r="L35" s="78">
        <f t="shared" si="6"/>
        <v>248.72</v>
      </c>
      <c r="M35" s="78">
        <f t="shared" si="6"/>
        <v>248.72</v>
      </c>
      <c r="N35" s="78">
        <f t="shared" si="6"/>
        <v>248.72</v>
      </c>
      <c r="O35" s="78">
        <f t="shared" ref="O35:V35" si="7">O30</f>
        <v>0</v>
      </c>
      <c r="P35" s="78">
        <f t="shared" si="7"/>
        <v>0</v>
      </c>
      <c r="Q35" s="78">
        <f t="shared" si="7"/>
        <v>248.72</v>
      </c>
      <c r="R35" s="78">
        <f t="shared" si="7"/>
        <v>0.45</v>
      </c>
      <c r="S35" s="78">
        <f t="shared" si="7"/>
        <v>47.53</v>
      </c>
      <c r="T35" s="78" t="str">
        <f>T30</f>
        <v>n/a</v>
      </c>
      <c r="U35" s="78">
        <f t="shared" si="7"/>
        <v>75.23</v>
      </c>
      <c r="V35" s="78">
        <f t="shared" si="7"/>
        <v>20.5</v>
      </c>
      <c r="W35" s="78" t="str">
        <f t="shared" si="5"/>
        <v>n/a</v>
      </c>
      <c r="X35" s="78">
        <f t="shared" si="5"/>
        <v>0</v>
      </c>
      <c r="Y35" s="78">
        <f t="shared" si="5"/>
        <v>6.09</v>
      </c>
      <c r="Z35" s="78" t="s">
        <v>118</v>
      </c>
      <c r="AB35" s="220"/>
      <c r="AC35" s="220"/>
      <c r="AD35" s="220"/>
      <c r="AE35" s="220"/>
    </row>
    <row r="36" spans="3:31">
      <c r="C36" s="77" t="s">
        <v>468</v>
      </c>
      <c r="D36" s="77" t="s">
        <v>71</v>
      </c>
      <c r="E36" s="77"/>
      <c r="F36" s="77"/>
      <c r="G36" s="77" t="str">
        <f t="shared" si="2"/>
        <v>Municrate 3_Local Authority</v>
      </c>
      <c r="H36" s="77" t="str">
        <f t="shared" si="1"/>
        <v>Mr301Y</v>
      </c>
      <c r="I36" s="78">
        <f t="shared" ref="I36:N36" si="8">I31</f>
        <v>248.72</v>
      </c>
      <c r="J36" s="78">
        <f t="shared" si="8"/>
        <v>248.72</v>
      </c>
      <c r="K36" s="78">
        <f t="shared" si="8"/>
        <v>248.72</v>
      </c>
      <c r="L36" s="78">
        <f t="shared" si="8"/>
        <v>248.72</v>
      </c>
      <c r="M36" s="78">
        <f t="shared" si="8"/>
        <v>248.72</v>
      </c>
      <c r="N36" s="78">
        <f t="shared" si="8"/>
        <v>248.72</v>
      </c>
      <c r="O36" s="78">
        <f t="shared" ref="O36:V36" si="9">O31</f>
        <v>0</v>
      </c>
      <c r="P36" s="78">
        <f t="shared" si="9"/>
        <v>0</v>
      </c>
      <c r="Q36" s="78">
        <f t="shared" si="9"/>
        <v>248.72</v>
      </c>
      <c r="R36" s="78">
        <f t="shared" si="9"/>
        <v>0.45</v>
      </c>
      <c r="S36" s="78">
        <f t="shared" si="9"/>
        <v>47.53</v>
      </c>
      <c r="T36" s="78" t="str">
        <f>T31</f>
        <v>n/a</v>
      </c>
      <c r="U36" s="78">
        <f t="shared" si="9"/>
        <v>150.66</v>
      </c>
      <c r="V36" s="78">
        <f t="shared" si="9"/>
        <v>20.5</v>
      </c>
      <c r="W36" s="78" t="str">
        <f t="shared" si="5"/>
        <v>n/a</v>
      </c>
      <c r="X36" s="78">
        <f t="shared" si="5"/>
        <v>0</v>
      </c>
      <c r="Y36" s="78">
        <f t="shared" si="5"/>
        <v>12.85</v>
      </c>
      <c r="Z36" s="78" t="s">
        <v>118</v>
      </c>
      <c r="AB36" s="220"/>
      <c r="AC36" s="220"/>
      <c r="AD36" s="220"/>
      <c r="AE36" s="220"/>
    </row>
    <row r="37" spans="3:31">
      <c r="C37" s="77" t="s">
        <v>469</v>
      </c>
      <c r="D37" s="77" t="s">
        <v>71</v>
      </c>
      <c r="E37" s="77"/>
      <c r="F37" s="77"/>
      <c r="G37" s="77" t="str">
        <f t="shared" si="2"/>
        <v>Municrate 4_Local Authority</v>
      </c>
      <c r="H37" s="77" t="str">
        <f t="shared" si="1"/>
        <v>Mr401Y</v>
      </c>
      <c r="I37" s="78">
        <f t="shared" ref="I37:N37" si="10">I32</f>
        <v>378.05</v>
      </c>
      <c r="J37" s="78">
        <f t="shared" si="10"/>
        <v>378.05</v>
      </c>
      <c r="K37" s="78">
        <f t="shared" si="10"/>
        <v>378.05</v>
      </c>
      <c r="L37" s="78">
        <f t="shared" si="10"/>
        <v>378.05</v>
      </c>
      <c r="M37" s="78">
        <f t="shared" si="10"/>
        <v>378.05</v>
      </c>
      <c r="N37" s="78">
        <f t="shared" si="10"/>
        <v>378.05</v>
      </c>
      <c r="O37" s="78">
        <f t="shared" ref="O37:V37" si="11">O32</f>
        <v>0</v>
      </c>
      <c r="P37" s="78">
        <f t="shared" si="11"/>
        <v>0</v>
      </c>
      <c r="Q37" s="78">
        <f t="shared" si="11"/>
        <v>378.05</v>
      </c>
      <c r="R37" s="78">
        <f t="shared" si="11"/>
        <v>0.45</v>
      </c>
      <c r="S37" s="78">
        <f t="shared" si="11"/>
        <v>47.53</v>
      </c>
      <c r="T37" s="78" t="str">
        <f>T32</f>
        <v>n/a</v>
      </c>
      <c r="U37" s="78">
        <f t="shared" si="11"/>
        <v>0</v>
      </c>
      <c r="V37" s="78">
        <f t="shared" si="11"/>
        <v>0</v>
      </c>
      <c r="W37" s="78" t="str">
        <f t="shared" si="5"/>
        <v>n/a</v>
      </c>
      <c r="X37" s="78">
        <f t="shared" si="5"/>
        <v>0</v>
      </c>
      <c r="Y37" s="78">
        <f t="shared" si="5"/>
        <v>0</v>
      </c>
      <c r="Z37" s="78" t="s">
        <v>118</v>
      </c>
      <c r="AB37" s="220"/>
      <c r="AC37" s="220"/>
      <c r="AD37" s="220"/>
      <c r="AE37" s="220"/>
    </row>
    <row r="38" spans="3:31">
      <c r="C38" s="247" t="str">
        <f>C17</f>
        <v>Homelight 20A</v>
      </c>
      <c r="D38" s="247" t="s">
        <v>71</v>
      </c>
      <c r="E38" s="247"/>
      <c r="F38" s="247"/>
      <c r="G38" s="247" t="str">
        <f t="shared" si="2"/>
        <v>Homelight 20A_Local Authority</v>
      </c>
      <c r="H38" s="247" t="str">
        <f t="shared" si="1"/>
        <v>HL2001Y</v>
      </c>
      <c r="I38" s="248">
        <v>378.05</v>
      </c>
      <c r="J38" s="248">
        <v>378.05</v>
      </c>
      <c r="K38" s="248">
        <v>378.05</v>
      </c>
      <c r="L38" s="248">
        <v>378.05</v>
      </c>
      <c r="M38" s="248">
        <v>378.05</v>
      </c>
      <c r="N38" s="248">
        <v>378.05</v>
      </c>
      <c r="O38" s="248">
        <v>0</v>
      </c>
      <c r="P38" s="248">
        <v>0</v>
      </c>
      <c r="Q38" s="248">
        <v>378.05</v>
      </c>
      <c r="R38" s="248">
        <v>0.45</v>
      </c>
      <c r="S38" s="248">
        <v>47.53</v>
      </c>
      <c r="T38" s="248" t="s">
        <v>118</v>
      </c>
      <c r="U38" s="248">
        <v>0</v>
      </c>
      <c r="V38" s="248">
        <v>0</v>
      </c>
      <c r="W38" s="248" t="s">
        <v>118</v>
      </c>
      <c r="X38" s="248">
        <v>0</v>
      </c>
      <c r="Y38" s="248">
        <v>0</v>
      </c>
      <c r="Z38" s="248" t="s">
        <v>118</v>
      </c>
      <c r="AB38" s="220"/>
      <c r="AC38" s="220"/>
      <c r="AD38" s="220"/>
      <c r="AE38" s="220"/>
    </row>
    <row r="39" spans="3:31">
      <c r="C39" s="247" t="str">
        <f>C18</f>
        <v>Homelight 60A</v>
      </c>
      <c r="D39" s="247" t="s">
        <v>71</v>
      </c>
      <c r="E39" s="247"/>
      <c r="F39" s="247"/>
      <c r="G39" s="247" t="str">
        <f t="shared" si="2"/>
        <v>Homelight 60A_Local Authority</v>
      </c>
      <c r="H39" s="247" t="str">
        <f t="shared" si="1"/>
        <v>HL6001Y</v>
      </c>
      <c r="I39" s="248">
        <v>378.05</v>
      </c>
      <c r="J39" s="248">
        <v>378.05</v>
      </c>
      <c r="K39" s="248">
        <v>378.05</v>
      </c>
      <c r="L39" s="248">
        <v>378.05</v>
      </c>
      <c r="M39" s="248">
        <v>378.05</v>
      </c>
      <c r="N39" s="248">
        <v>378.05</v>
      </c>
      <c r="O39" s="248">
        <v>0</v>
      </c>
      <c r="P39" s="248">
        <v>0</v>
      </c>
      <c r="Q39" s="248">
        <v>378.05</v>
      </c>
      <c r="R39" s="248">
        <v>0.45</v>
      </c>
      <c r="S39" s="248">
        <v>47.53</v>
      </c>
      <c r="T39" s="248" t="s">
        <v>118</v>
      </c>
      <c r="U39" s="248">
        <v>0</v>
      </c>
      <c r="V39" s="248">
        <v>0</v>
      </c>
      <c r="W39" s="248" t="s">
        <v>118</v>
      </c>
      <c r="X39" s="248">
        <v>0</v>
      </c>
      <c r="Y39" s="248">
        <v>0</v>
      </c>
      <c r="Z39" s="248" t="s">
        <v>118</v>
      </c>
      <c r="AB39" s="220"/>
      <c r="AC39" s="220"/>
      <c r="AD39" s="220"/>
      <c r="AE39" s="220"/>
    </row>
    <row r="40" spans="3:31">
      <c r="C40" s="77" t="s">
        <v>466</v>
      </c>
      <c r="D40" s="77" t="s">
        <v>71</v>
      </c>
      <c r="E40" s="77"/>
      <c r="F40" s="77"/>
      <c r="G40" s="77" t="str">
        <f t="shared" si="2"/>
        <v>Municrate 1_Local Authority</v>
      </c>
      <c r="H40" s="77" t="str">
        <f t="shared" si="1"/>
        <v>Mr101Y</v>
      </c>
      <c r="I40" s="78">
        <v>248.72</v>
      </c>
      <c r="J40" s="78">
        <v>248.72</v>
      </c>
      <c r="K40" s="78">
        <v>248.72</v>
      </c>
      <c r="L40" s="78">
        <v>248.72</v>
      </c>
      <c r="M40" s="78">
        <v>248.72</v>
      </c>
      <c r="N40" s="78">
        <v>248.72</v>
      </c>
      <c r="O40" s="85">
        <v>0</v>
      </c>
      <c r="P40" s="85">
        <v>0</v>
      </c>
      <c r="Q40" s="78">
        <v>248.72</v>
      </c>
      <c r="R40" s="78">
        <v>0.45</v>
      </c>
      <c r="S40" s="78">
        <v>47.53</v>
      </c>
      <c r="T40" s="78" t="s">
        <v>118</v>
      </c>
      <c r="U40" s="78">
        <v>37.130000000000003</v>
      </c>
      <c r="V40" s="78">
        <v>20.5</v>
      </c>
      <c r="W40" s="85" t="s">
        <v>118</v>
      </c>
      <c r="X40" s="78">
        <v>0</v>
      </c>
      <c r="Y40" s="78">
        <v>3.3</v>
      </c>
      <c r="Z40" s="78" t="s">
        <v>118</v>
      </c>
      <c r="AB40" s="220"/>
      <c r="AC40" s="220"/>
      <c r="AD40" s="220"/>
      <c r="AE40" s="220"/>
    </row>
    <row r="41" spans="3:31">
      <c r="C41" s="77" t="s">
        <v>467</v>
      </c>
      <c r="D41" s="77" t="s">
        <v>71</v>
      </c>
      <c r="E41" s="77"/>
      <c r="F41" s="77"/>
      <c r="G41" s="77" t="str">
        <f t="shared" si="2"/>
        <v>Municrate 2_Local Authority</v>
      </c>
      <c r="H41" s="77" t="str">
        <f t="shared" si="1"/>
        <v>Mr201Y</v>
      </c>
      <c r="I41" s="78">
        <v>248.72</v>
      </c>
      <c r="J41" s="78">
        <v>248.72</v>
      </c>
      <c r="K41" s="78">
        <v>248.72</v>
      </c>
      <c r="L41" s="78">
        <v>248.72</v>
      </c>
      <c r="M41" s="78">
        <v>248.72</v>
      </c>
      <c r="N41" s="78">
        <v>248.72</v>
      </c>
      <c r="O41" s="85">
        <v>0</v>
      </c>
      <c r="P41" s="85">
        <v>0</v>
      </c>
      <c r="Q41" s="78">
        <v>248.72</v>
      </c>
      <c r="R41" s="78">
        <v>0.45</v>
      </c>
      <c r="S41" s="78">
        <v>47.53</v>
      </c>
      <c r="T41" s="78" t="s">
        <v>118</v>
      </c>
      <c r="U41" s="78">
        <v>75.23</v>
      </c>
      <c r="V41" s="78">
        <v>20.5</v>
      </c>
      <c r="W41" s="85" t="s">
        <v>118</v>
      </c>
      <c r="X41" s="78">
        <v>0</v>
      </c>
      <c r="Y41" s="78">
        <v>6.09</v>
      </c>
      <c r="Z41" s="78" t="s">
        <v>118</v>
      </c>
      <c r="AB41" s="220"/>
      <c r="AC41" s="220"/>
      <c r="AD41" s="220"/>
      <c r="AE41" s="220"/>
    </row>
    <row r="42" spans="3:31">
      <c r="C42" s="77" t="s">
        <v>468</v>
      </c>
      <c r="D42" s="77" t="s">
        <v>71</v>
      </c>
      <c r="E42" s="77"/>
      <c r="F42" s="77"/>
      <c r="G42" s="77" t="str">
        <f t="shared" ref="G42:G53" si="12">C42&amp;"_"&amp;D42</f>
        <v>Municrate 3_Local Authority</v>
      </c>
      <c r="H42" s="77" t="str">
        <f t="shared" si="1"/>
        <v>Mr301Y</v>
      </c>
      <c r="I42" s="78">
        <v>248.72</v>
      </c>
      <c r="J42" s="78">
        <v>248.72</v>
      </c>
      <c r="K42" s="78">
        <v>248.72</v>
      </c>
      <c r="L42" s="78">
        <v>248.72</v>
      </c>
      <c r="M42" s="78">
        <v>248.72</v>
      </c>
      <c r="N42" s="78">
        <v>248.72</v>
      </c>
      <c r="O42" s="85">
        <v>0</v>
      </c>
      <c r="P42" s="85">
        <v>0</v>
      </c>
      <c r="Q42" s="78">
        <v>248.72</v>
      </c>
      <c r="R42" s="78">
        <v>0.45</v>
      </c>
      <c r="S42" s="78">
        <v>47.53</v>
      </c>
      <c r="T42" s="78" t="s">
        <v>118</v>
      </c>
      <c r="U42" s="78">
        <v>150.66</v>
      </c>
      <c r="V42" s="78">
        <v>20.5</v>
      </c>
      <c r="W42" s="85" t="s">
        <v>118</v>
      </c>
      <c r="X42" s="78">
        <v>0</v>
      </c>
      <c r="Y42" s="78">
        <v>12.85</v>
      </c>
      <c r="Z42" s="78" t="s">
        <v>118</v>
      </c>
      <c r="AB42" s="220"/>
      <c r="AC42" s="220"/>
      <c r="AD42" s="220"/>
      <c r="AE42" s="220"/>
    </row>
    <row r="43" spans="3:31">
      <c r="C43" s="77" t="s">
        <v>469</v>
      </c>
      <c r="D43" s="77" t="s">
        <v>71</v>
      </c>
      <c r="E43" s="77"/>
      <c r="F43" s="77"/>
      <c r="G43" s="77" t="str">
        <f t="shared" si="12"/>
        <v>Municrate 4_Local Authority</v>
      </c>
      <c r="H43" s="77" t="str">
        <f t="shared" si="1"/>
        <v>Mr401Y</v>
      </c>
      <c r="I43" s="78">
        <v>378.05</v>
      </c>
      <c r="J43" s="78">
        <v>378.05</v>
      </c>
      <c r="K43" s="78">
        <v>378.05</v>
      </c>
      <c r="L43" s="78">
        <v>378.05</v>
      </c>
      <c r="M43" s="78">
        <v>378.05</v>
      </c>
      <c r="N43" s="78">
        <v>378.05</v>
      </c>
      <c r="O43" s="85">
        <v>0</v>
      </c>
      <c r="P43" s="85">
        <v>0</v>
      </c>
      <c r="Q43" s="78">
        <v>378.05</v>
      </c>
      <c r="R43" s="78">
        <v>0.45</v>
      </c>
      <c r="S43" s="78">
        <v>47.53</v>
      </c>
      <c r="T43" s="78" t="s">
        <v>118</v>
      </c>
      <c r="U43" s="78">
        <v>0</v>
      </c>
      <c r="V43" s="78">
        <v>0</v>
      </c>
      <c r="W43" s="85" t="s">
        <v>118</v>
      </c>
      <c r="X43" s="78">
        <v>0</v>
      </c>
      <c r="Y43" s="78">
        <v>0</v>
      </c>
      <c r="Z43" s="78" t="s">
        <v>118</v>
      </c>
      <c r="AB43" s="220"/>
      <c r="AC43" s="220"/>
      <c r="AD43" s="220"/>
      <c r="AE43" s="220"/>
    </row>
    <row r="44" spans="3:31">
      <c r="C44" s="247" t="s">
        <v>183</v>
      </c>
      <c r="D44" s="247" t="s">
        <v>71</v>
      </c>
      <c r="E44" s="247"/>
      <c r="F44" s="247"/>
      <c r="G44" s="247" t="str">
        <f t="shared" si="12"/>
        <v>Landrate Dx_Local Authority</v>
      </c>
      <c r="H44" s="249" t="str">
        <f>INDEX(Matrix_Tariff_Map,MATCH(C44,Matrix_Model_Tariffs,0),2)&amp;IFERROR(INDEX(Matrix_Transmission_Map,MATCH(E44,Matrix_Model_Transmission,0),2),0)&amp;IFERROR(INDEX(Matrix_Voltage_Map,MATCH(F44,Matrix_Model_Voltage,0),2),1)&amp;INDEX(Matrix_Category_Map,MATCH(D44,Matrix_Model_Category,0),2)</f>
        <v>Ld01Y</v>
      </c>
      <c r="I44" s="250">
        <v>0</v>
      </c>
      <c r="J44" s="250">
        <v>0</v>
      </c>
      <c r="K44" s="250">
        <v>0</v>
      </c>
      <c r="L44" s="250">
        <v>0</v>
      </c>
      <c r="M44" s="250">
        <v>0</v>
      </c>
      <c r="N44" s="250">
        <v>0</v>
      </c>
      <c r="O44" s="248">
        <v>0</v>
      </c>
      <c r="P44" s="248">
        <v>0</v>
      </c>
      <c r="Q44" s="250">
        <v>0</v>
      </c>
      <c r="R44" s="250">
        <v>0</v>
      </c>
      <c r="S44" s="250">
        <v>0</v>
      </c>
      <c r="T44" s="250" t="s">
        <v>118</v>
      </c>
      <c r="U44" s="250">
        <v>0</v>
      </c>
      <c r="V44" s="250">
        <v>34.386858093848041</v>
      </c>
      <c r="W44" s="248" t="s">
        <v>118</v>
      </c>
      <c r="X44" s="248">
        <v>0</v>
      </c>
      <c r="Y44" s="248">
        <v>0</v>
      </c>
      <c r="Z44" s="248" t="s">
        <v>118</v>
      </c>
      <c r="AB44" s="220"/>
      <c r="AC44" s="220"/>
      <c r="AD44" s="220"/>
      <c r="AE44" s="220"/>
    </row>
    <row r="45" spans="3:31">
      <c r="C45" s="247" t="s">
        <v>402</v>
      </c>
      <c r="D45" s="247" t="s">
        <v>71</v>
      </c>
      <c r="E45" s="247"/>
      <c r="F45" s="247"/>
      <c r="G45" s="247" t="str">
        <f t="shared" si="12"/>
        <v>Landlight 20A_Local Authority</v>
      </c>
      <c r="H45" s="249" t="str">
        <f>INDEX(Matrix_Tariff_Map,MATCH(C45,Matrix_Model_Tariffs,0),2)&amp;IFERROR(INDEX(Matrix_Transmission_Map,MATCH(E45,Matrix_Model_Transmission,0),2),0)&amp;IFERROR(INDEX(Matrix_Voltage_Map,MATCH(F45,Matrix_Model_Voltage,0),2),1)&amp;INDEX(Matrix_Category_Map,MATCH(D45,Matrix_Model_Category,0),2)</f>
        <v>Lt2001Y</v>
      </c>
      <c r="I45" s="250">
        <v>378.05</v>
      </c>
      <c r="J45" s="250">
        <v>378.05</v>
      </c>
      <c r="K45" s="250">
        <v>378.05</v>
      </c>
      <c r="L45" s="250">
        <v>378.05</v>
      </c>
      <c r="M45" s="250">
        <v>378.05</v>
      </c>
      <c r="N45" s="250">
        <v>378.05</v>
      </c>
      <c r="O45" s="248">
        <v>0</v>
      </c>
      <c r="P45" s="248">
        <v>0</v>
      </c>
      <c r="Q45" s="250">
        <v>378.05</v>
      </c>
      <c r="R45" s="250">
        <v>0.45</v>
      </c>
      <c r="S45" s="250">
        <v>47.53</v>
      </c>
      <c r="T45" s="250" t="s">
        <v>118</v>
      </c>
      <c r="U45" s="250">
        <v>0</v>
      </c>
      <c r="V45" s="250">
        <v>0</v>
      </c>
      <c r="W45" s="248" t="s">
        <v>118</v>
      </c>
      <c r="X45" s="248">
        <v>0</v>
      </c>
      <c r="Y45" s="248">
        <v>0</v>
      </c>
      <c r="Z45" s="248" t="s">
        <v>118</v>
      </c>
      <c r="AB45" s="220"/>
      <c r="AC45" s="220"/>
      <c r="AD45" s="220"/>
      <c r="AE45" s="220"/>
    </row>
    <row r="46" spans="3:31">
      <c r="C46" s="247" t="s">
        <v>403</v>
      </c>
      <c r="D46" s="247" t="s">
        <v>71</v>
      </c>
      <c r="E46" s="247"/>
      <c r="F46" s="247"/>
      <c r="G46" s="247" t="str">
        <f t="shared" si="12"/>
        <v>Landlight 60A_Local Authority</v>
      </c>
      <c r="H46" s="249" t="str">
        <f>INDEX(Matrix_Tariff_Map,MATCH(C46,Matrix_Model_Tariffs,0),2)&amp;IFERROR(INDEX(Matrix_Transmission_Map,MATCH(E46,Matrix_Model_Transmission,0),2),0)&amp;IFERROR(INDEX(Matrix_Voltage_Map,MATCH(F46,Matrix_Model_Voltage,0),2),1)&amp;INDEX(Matrix_Category_Map,MATCH(D46,Matrix_Model_Category,0),2)</f>
        <v>Lt6001Y</v>
      </c>
      <c r="I46" s="250">
        <v>378.05</v>
      </c>
      <c r="J46" s="250">
        <v>378.05</v>
      </c>
      <c r="K46" s="250">
        <v>378.05</v>
      </c>
      <c r="L46" s="250">
        <v>378.05</v>
      </c>
      <c r="M46" s="250">
        <v>378.05</v>
      </c>
      <c r="N46" s="250">
        <v>378.05</v>
      </c>
      <c r="O46" s="248">
        <v>0</v>
      </c>
      <c r="P46" s="248">
        <v>0</v>
      </c>
      <c r="Q46" s="250">
        <v>378.05</v>
      </c>
      <c r="R46" s="250">
        <v>0.45</v>
      </c>
      <c r="S46" s="250">
        <v>47.53</v>
      </c>
      <c r="T46" s="250" t="s">
        <v>118</v>
      </c>
      <c r="U46" s="250">
        <v>0</v>
      </c>
      <c r="V46" s="250">
        <v>0</v>
      </c>
      <c r="W46" s="248" t="s">
        <v>118</v>
      </c>
      <c r="X46" s="248">
        <v>0</v>
      </c>
      <c r="Y46" s="248">
        <v>0</v>
      </c>
      <c r="Z46" s="248" t="s">
        <v>118</v>
      </c>
      <c r="AB46" s="220"/>
      <c r="AC46" s="220"/>
      <c r="AD46" s="220"/>
      <c r="AE46" s="220"/>
    </row>
    <row r="47" spans="3:31">
      <c r="C47" s="77" t="s">
        <v>348</v>
      </c>
      <c r="D47" s="77" t="s">
        <v>71</v>
      </c>
      <c r="E47" s="77"/>
      <c r="F47" s="77"/>
      <c r="G47" s="77" t="str">
        <f t="shared" si="12"/>
        <v>Public Lighting 24 Hours_Local Authority</v>
      </c>
      <c r="H47" s="193" t="str">
        <f>INDEX(Matrix_Tariff_Map,MATCH(C47,Matrix_Model_Tariffs,0),2)&amp;IFERROR(INDEX(Matrix_Transmission_Map,MATCH(E47,Matrix_Model_Transmission,0),2),0)&amp;IFERROR(INDEX(Matrix_Voltage_Map,MATCH(F47,Matrix_Model_Voltage,0),2),1)&amp;INDEX(Matrix_Category_Map,MATCH(D47,Matrix_Model_Category,0),2)</f>
        <v>Pu01Y</v>
      </c>
      <c r="I47" s="78">
        <v>248.34</v>
      </c>
      <c r="J47" s="78">
        <v>248.34</v>
      </c>
      <c r="K47" s="78">
        <v>248.34</v>
      </c>
      <c r="L47" s="78">
        <v>248.34</v>
      </c>
      <c r="M47" s="78">
        <v>248.34</v>
      </c>
      <c r="N47" s="78">
        <v>248.34</v>
      </c>
      <c r="O47" s="85">
        <v>0</v>
      </c>
      <c r="P47" s="85">
        <v>0</v>
      </c>
      <c r="Q47" s="78">
        <v>248.34</v>
      </c>
      <c r="R47" s="78">
        <v>0</v>
      </c>
      <c r="S47" s="78">
        <v>0</v>
      </c>
      <c r="T47" s="78">
        <v>0</v>
      </c>
      <c r="U47" s="78">
        <v>0</v>
      </c>
      <c r="V47" s="78">
        <v>0</v>
      </c>
      <c r="W47" s="85" t="s">
        <v>118</v>
      </c>
      <c r="X47" s="78">
        <v>0</v>
      </c>
      <c r="Y47" s="85">
        <v>0</v>
      </c>
      <c r="Z47" s="78" t="s">
        <v>118</v>
      </c>
      <c r="AB47" s="220" t="s">
        <v>410</v>
      </c>
      <c r="AC47" s="220">
        <f>SUM(O47:Z49)</f>
        <v>563.26685809384799</v>
      </c>
      <c r="AD47" s="220">
        <v>563.26685809384799</v>
      </c>
      <c r="AE47" s="220"/>
    </row>
    <row r="48" spans="3:31">
      <c r="C48" s="77" t="s">
        <v>347</v>
      </c>
      <c r="D48" s="77" t="s">
        <v>71</v>
      </c>
      <c r="E48" s="77"/>
      <c r="F48" s="77"/>
      <c r="G48" s="77" t="str">
        <f t="shared" si="12"/>
        <v>Public Lighting All Night_Local Authority</v>
      </c>
      <c r="H48" s="193" t="str">
        <f>INDEX(Matrix_Tariff_Map,MATCH(C48,Matrix_Model_Tariffs,0),2)&amp;IFERROR(INDEX(Matrix_Transmission_Map,MATCH(E48,Matrix_Model_Transmission,0),2),0)&amp;IFERROR(INDEX(Matrix_Voltage_Map,MATCH(F48,Matrix_Model_Voltage,0),2),1)&amp;INDEX(Matrix_Category_Map,MATCH(D48,Matrix_Model_Category,0),2)</f>
        <v>Pa01Y</v>
      </c>
      <c r="I48" s="78">
        <v>280.54000000000002</v>
      </c>
      <c r="J48" s="78">
        <v>280.54000000000002</v>
      </c>
      <c r="K48" s="78">
        <v>280.54000000000002</v>
      </c>
      <c r="L48" s="78">
        <v>280.54000000000002</v>
      </c>
      <c r="M48" s="78">
        <v>280.54000000000002</v>
      </c>
      <c r="N48" s="78">
        <v>280.54000000000002</v>
      </c>
      <c r="O48" s="85">
        <v>0</v>
      </c>
      <c r="P48" s="85">
        <v>0</v>
      </c>
      <c r="Q48" s="78">
        <v>280.54000000000002</v>
      </c>
      <c r="R48" s="78">
        <v>0</v>
      </c>
      <c r="S48" s="78">
        <v>0</v>
      </c>
      <c r="T48" s="78">
        <v>0</v>
      </c>
      <c r="U48" s="78">
        <v>0</v>
      </c>
      <c r="V48" s="78">
        <v>0</v>
      </c>
      <c r="W48" s="85" t="s">
        <v>118</v>
      </c>
      <c r="X48" s="78">
        <v>0</v>
      </c>
      <c r="Y48" s="85">
        <v>0</v>
      </c>
      <c r="Z48" s="78" t="s">
        <v>118</v>
      </c>
      <c r="AB48" s="220"/>
      <c r="AC48" s="220"/>
      <c r="AD48" s="220"/>
      <c r="AE48" s="220"/>
    </row>
    <row r="49" spans="3:31">
      <c r="C49" s="77" t="s">
        <v>349</v>
      </c>
      <c r="D49" s="77" t="s">
        <v>71</v>
      </c>
      <c r="E49" s="77"/>
      <c r="F49" s="77"/>
      <c r="G49" s="77" t="str">
        <f t="shared" si="12"/>
        <v>Public Lighting Urban Fixed_Local Authority</v>
      </c>
      <c r="H49" s="77" t="str">
        <f t="shared" si="1"/>
        <v>Pt01Y</v>
      </c>
      <c r="I49" s="78">
        <v>0</v>
      </c>
      <c r="J49" s="78">
        <v>0</v>
      </c>
      <c r="K49" s="78">
        <v>0</v>
      </c>
      <c r="L49" s="78">
        <v>0</v>
      </c>
      <c r="M49" s="78">
        <v>0</v>
      </c>
      <c r="N49" s="78">
        <v>0</v>
      </c>
      <c r="O49" s="85">
        <v>0</v>
      </c>
      <c r="P49" s="85">
        <v>0</v>
      </c>
      <c r="Q49" s="78">
        <v>0</v>
      </c>
      <c r="R49" s="78">
        <v>0</v>
      </c>
      <c r="S49" s="78">
        <v>0</v>
      </c>
      <c r="T49" s="78">
        <v>0</v>
      </c>
      <c r="U49" s="78">
        <v>0</v>
      </c>
      <c r="V49" s="78">
        <v>34.386858093848041</v>
      </c>
      <c r="W49" s="85" t="s">
        <v>118</v>
      </c>
      <c r="X49" s="78">
        <v>0</v>
      </c>
      <c r="Y49" s="85">
        <v>0</v>
      </c>
      <c r="Z49" s="78" t="s">
        <v>118</v>
      </c>
      <c r="AB49" s="220"/>
      <c r="AC49" s="220"/>
      <c r="AD49" s="220"/>
      <c r="AE49" s="220"/>
    </row>
    <row r="50" spans="3:31">
      <c r="C50" s="289" t="s">
        <v>535</v>
      </c>
      <c r="D50" s="289" t="s">
        <v>72</v>
      </c>
      <c r="E50" s="289"/>
      <c r="F50" s="289"/>
      <c r="G50" s="289" t="str">
        <f t="shared" si="12"/>
        <v>Homeflex 1_Non-Local Authority</v>
      </c>
      <c r="H50" s="287" t="str">
        <f t="shared" si="1"/>
        <v>HF101N</v>
      </c>
      <c r="I50" s="288">
        <v>736.61</v>
      </c>
      <c r="J50" s="288">
        <v>225.38</v>
      </c>
      <c r="K50" s="288">
        <v>165.94</v>
      </c>
      <c r="L50" s="288">
        <v>343.09</v>
      </c>
      <c r="M50" s="288">
        <v>213.49</v>
      </c>
      <c r="N50" s="288">
        <v>165.94</v>
      </c>
      <c r="O50" s="288" t="s">
        <v>118</v>
      </c>
      <c r="P50" s="288" t="s">
        <v>118</v>
      </c>
      <c r="Q50" s="288" t="s">
        <v>118</v>
      </c>
      <c r="R50" s="288">
        <v>0.45</v>
      </c>
      <c r="S50" s="288">
        <v>28.68</v>
      </c>
      <c r="T50" s="288">
        <v>0</v>
      </c>
      <c r="U50" s="288">
        <v>13.19</v>
      </c>
      <c r="V50" s="288">
        <v>5.74</v>
      </c>
      <c r="W50" s="85" t="s">
        <v>118</v>
      </c>
      <c r="X50" s="78" t="s">
        <v>118</v>
      </c>
      <c r="Y50" s="78">
        <v>1.0900000000000001</v>
      </c>
      <c r="Z50" s="78">
        <v>24.78</v>
      </c>
    </row>
    <row r="51" spans="3:31">
      <c r="C51" s="289" t="s">
        <v>536</v>
      </c>
      <c r="D51" s="289" t="s">
        <v>72</v>
      </c>
      <c r="E51" s="289"/>
      <c r="F51" s="289"/>
      <c r="G51" s="289" t="str">
        <f t="shared" si="12"/>
        <v>Homeflex 2_Non-Local Authority</v>
      </c>
      <c r="H51" s="287" t="str">
        <f t="shared" si="1"/>
        <v>HF201N</v>
      </c>
      <c r="I51" s="288">
        <v>736.61</v>
      </c>
      <c r="J51" s="288">
        <v>225.38</v>
      </c>
      <c r="K51" s="288">
        <v>165.94</v>
      </c>
      <c r="L51" s="288">
        <v>343.09</v>
      </c>
      <c r="M51" s="288">
        <v>213.49</v>
      </c>
      <c r="N51" s="288">
        <v>165.94</v>
      </c>
      <c r="O51" s="288" t="s">
        <v>118</v>
      </c>
      <c r="P51" s="288" t="s">
        <v>118</v>
      </c>
      <c r="Q51" s="288" t="s">
        <v>118</v>
      </c>
      <c r="R51" s="288">
        <v>0.45</v>
      </c>
      <c r="S51" s="288">
        <v>28.68</v>
      </c>
      <c r="T51" s="288">
        <v>0</v>
      </c>
      <c r="U51" s="288">
        <v>29.44</v>
      </c>
      <c r="V51" s="288">
        <v>5.74</v>
      </c>
      <c r="W51" s="85" t="s">
        <v>118</v>
      </c>
      <c r="X51" s="78" t="s">
        <v>118</v>
      </c>
      <c r="Y51" s="78">
        <v>1.93</v>
      </c>
      <c r="Z51" s="78">
        <v>24.78</v>
      </c>
    </row>
    <row r="52" spans="3:31">
      <c r="C52" s="289" t="s">
        <v>537</v>
      </c>
      <c r="D52" s="289" t="s">
        <v>72</v>
      </c>
      <c r="E52" s="289"/>
      <c r="F52" s="289"/>
      <c r="G52" s="289" t="str">
        <f t="shared" si="12"/>
        <v>Homeflex 3_Non-Local Authority</v>
      </c>
      <c r="H52" s="287" t="str">
        <f t="shared" si="1"/>
        <v>HF301N</v>
      </c>
      <c r="I52" s="288">
        <v>736.61</v>
      </c>
      <c r="J52" s="288">
        <v>225.38</v>
      </c>
      <c r="K52" s="288">
        <v>165.94</v>
      </c>
      <c r="L52" s="288">
        <v>343.09</v>
      </c>
      <c r="M52" s="288">
        <v>213.49</v>
      </c>
      <c r="N52" s="288">
        <v>165.94</v>
      </c>
      <c r="O52" s="288" t="s">
        <v>118</v>
      </c>
      <c r="P52" s="288" t="s">
        <v>118</v>
      </c>
      <c r="Q52" s="288" t="s">
        <v>118</v>
      </c>
      <c r="R52" s="288">
        <v>0.45</v>
      </c>
      <c r="S52" s="288">
        <v>28.68</v>
      </c>
      <c r="T52" s="288">
        <v>0</v>
      </c>
      <c r="U52" s="288">
        <v>62.89</v>
      </c>
      <c r="V52" s="288">
        <v>5.74</v>
      </c>
      <c r="W52" s="85" t="s">
        <v>118</v>
      </c>
      <c r="X52" s="78" t="s">
        <v>118</v>
      </c>
      <c r="Y52" s="78">
        <v>4.7</v>
      </c>
      <c r="Z52" s="78">
        <v>24.78</v>
      </c>
    </row>
    <row r="53" spans="3:31">
      <c r="C53" s="289" t="s">
        <v>538</v>
      </c>
      <c r="D53" s="289" t="s">
        <v>72</v>
      </c>
      <c r="E53" s="289"/>
      <c r="F53" s="289"/>
      <c r="G53" s="289" t="str">
        <f t="shared" si="12"/>
        <v>Homeflex 4_Non-Local Authority</v>
      </c>
      <c r="H53" s="287" t="str">
        <f t="shared" si="1"/>
        <v>HF401N</v>
      </c>
      <c r="I53" s="290">
        <v>736.61</v>
      </c>
      <c r="J53" s="290">
        <v>225.38</v>
      </c>
      <c r="K53" s="290">
        <v>165.94</v>
      </c>
      <c r="L53" s="290">
        <v>343.09</v>
      </c>
      <c r="M53" s="290">
        <v>213.49</v>
      </c>
      <c r="N53" s="290">
        <v>165.94</v>
      </c>
      <c r="O53" s="290" t="s">
        <v>118</v>
      </c>
      <c r="P53" s="290" t="s">
        <v>118</v>
      </c>
      <c r="Q53" s="290" t="s">
        <v>118</v>
      </c>
      <c r="R53" s="290">
        <v>0.45</v>
      </c>
      <c r="S53" s="290">
        <v>28.68</v>
      </c>
      <c r="T53" s="290">
        <v>0</v>
      </c>
      <c r="U53" s="290">
        <v>9.08</v>
      </c>
      <c r="V53" s="290">
        <v>5.74</v>
      </c>
      <c r="W53" s="238" t="s">
        <v>118</v>
      </c>
      <c r="X53" s="78" t="s">
        <v>118</v>
      </c>
      <c r="Y53" s="78">
        <v>0.71</v>
      </c>
      <c r="Z53" s="78">
        <v>24.78</v>
      </c>
    </row>
  </sheetData>
  <sheetProtection algorithmName="SHA-512" hashValue="K94Igz7q+D/rF05pYivHgf+jQD3idw2FJNA5xfaP4wDeeD8AOrWEOiaeuk8KUhnbdu2F/nP131QEXgNx7CkVKQ==" saltValue="9rOTapm+FP4BZZBJWrNq3Q==" spinCount="100000" sheet="1" objects="1" scenarios="1"/>
  <phoneticPr fontId="35" type="noConversion"/>
  <conditionalFormatting sqref="C6">
    <cfRule type="expression" dxfId="415" priority="16">
      <formula>C6&lt;&gt;#REF!</formula>
    </cfRule>
  </conditionalFormatting>
  <conditionalFormatting sqref="AC8:AD8">
    <cfRule type="expression" dxfId="414" priority="10">
      <formula>$AC$8=$AD$8</formula>
    </cfRule>
  </conditionalFormatting>
  <conditionalFormatting sqref="AC12:AD12">
    <cfRule type="expression" dxfId="413" priority="9">
      <formula>$AC$12=$AD$12</formula>
    </cfRule>
  </conditionalFormatting>
  <conditionalFormatting sqref="AC17:AD17">
    <cfRule type="expression" dxfId="412" priority="8">
      <formula>$AC$17=$AD$17</formula>
    </cfRule>
  </conditionalFormatting>
  <conditionalFormatting sqref="AC19:AD19">
    <cfRule type="expression" dxfId="411" priority="7">
      <formula>$AC$19=$AD$19</formula>
    </cfRule>
  </conditionalFormatting>
  <conditionalFormatting sqref="AC26:AD26">
    <cfRule type="expression" dxfId="410" priority="6">
      <formula>$AC$26=$AD$26</formula>
    </cfRule>
  </conditionalFormatting>
  <conditionalFormatting sqref="AC29:AD29">
    <cfRule type="expression" dxfId="409" priority="5">
      <formula>$AC$29=$AD$29</formula>
    </cfRule>
  </conditionalFormatting>
  <conditionalFormatting sqref="AC33:AD33">
    <cfRule type="expression" dxfId="408" priority="4">
      <formula>$AC$33=$AD$33</formula>
    </cfRule>
  </conditionalFormatting>
  <conditionalFormatting sqref="AC38:AD38">
    <cfRule type="expression" dxfId="407" priority="3">
      <formula>$AC$38=$AD$38</formula>
    </cfRule>
  </conditionalFormatting>
  <conditionalFormatting sqref="AC40:AD40">
    <cfRule type="expression" dxfId="406" priority="2">
      <formula>$AC$40=$AD$40</formula>
    </cfRule>
  </conditionalFormatting>
  <conditionalFormatting sqref="AC47:AD47">
    <cfRule type="expression" dxfId="405" priority="1">
      <formula>$AC$47=$AD$47</formula>
    </cfRule>
  </conditionalFormatting>
  <dataValidations count="2">
    <dataValidation type="list" allowBlank="1" showInputMessage="1" showErrorMessage="1" sqref="D8:D53" xr:uid="{00000000-0002-0000-0800-000000000000}">
      <formula1>Tariff_Category_List</formula1>
    </dataValidation>
    <dataValidation type="list" allowBlank="1" showInputMessage="1" showErrorMessage="1" sqref="C8:C53" xr:uid="{00000000-0002-0000-0800-000001000000}">
      <formula1>Full_Tariff_List</formula1>
    </dataValidation>
  </dataValidations>
  <pageMargins left="0.7" right="0.7" top="0.75" bottom="0.75" header="0.3" footer="0.3"/>
  <pageSetup paperSize="9" orientation="portrait" r:id="rId1"/>
  <ignoredErrors>
    <ignoredError sqref="X53 X50 X51 X52" unlockedFormula="1"/>
  </ignoredErrors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">
    <tabColor rgb="FF92D050"/>
  </sheetPr>
  <dimension ref="B1:Z53"/>
  <sheetViews>
    <sheetView showGridLines="0" zoomScale="85" zoomScaleNormal="85" workbookViewId="0">
      <pane xSplit="7" ySplit="7" topLeftCell="N8" activePane="bottomRight" state="frozen"/>
      <selection activeCell="A5" sqref="A5"/>
      <selection pane="topRight" activeCell="A5" sqref="A5"/>
      <selection pane="bottomLeft" activeCell="A5" sqref="A5"/>
      <selection pane="bottomRight" activeCell="Q19" sqref="Q19"/>
    </sheetView>
  </sheetViews>
  <sheetFormatPr defaultColWidth="9.28515625" defaultRowHeight="12"/>
  <cols>
    <col min="1" max="1" width="2.7109375" customWidth="1"/>
    <col min="2" max="2" width="18" customWidth="1"/>
    <col min="3" max="3" width="26.7109375" customWidth="1"/>
    <col min="4" max="4" width="19.140625" bestFit="1" customWidth="1"/>
    <col min="5" max="6" width="7.28515625" customWidth="1"/>
    <col min="7" max="7" width="47" bestFit="1" customWidth="1"/>
    <col min="8" max="26" width="12.7109375" customWidth="1"/>
  </cols>
  <sheetData>
    <row r="1" spans="3:26" ht="4.05" customHeight="1"/>
    <row r="2" spans="3:26" ht="33" customHeight="1"/>
    <row r="3" spans="3:26" ht="4.05" customHeight="1"/>
    <row r="4" spans="3:26" ht="15">
      <c r="C4" s="2" t="str">
        <f>"Small Power User | Tariff Inputs | "&amp;Current_Period</f>
        <v>Small Power User | Tariff Inputs | 2025/26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3:26" ht="13.8">
      <c r="O5" s="80"/>
      <c r="P5" s="80"/>
      <c r="Q5" s="80"/>
      <c r="R5" s="80"/>
      <c r="S5" s="80"/>
      <c r="T5" s="80"/>
      <c r="U5" s="81" t="s">
        <v>285</v>
      </c>
      <c r="V5" s="81"/>
      <c r="W5" s="81"/>
      <c r="X5" s="81"/>
      <c r="Y5" s="80"/>
      <c r="Z5" s="80"/>
    </row>
    <row r="6" spans="3:26" ht="13.8">
      <c r="C6" s="69" t="s">
        <v>184</v>
      </c>
      <c r="D6" s="70"/>
      <c r="E6" s="70"/>
      <c r="F6" s="71"/>
      <c r="G6" s="72"/>
      <c r="H6" s="73"/>
      <c r="I6" s="82" t="s">
        <v>276</v>
      </c>
      <c r="J6" s="82" t="s">
        <v>277</v>
      </c>
      <c r="K6" s="82" t="s">
        <v>278</v>
      </c>
      <c r="L6" s="82" t="s">
        <v>279</v>
      </c>
      <c r="M6" s="82" t="s">
        <v>280</v>
      </c>
      <c r="N6" s="82" t="s">
        <v>281</v>
      </c>
      <c r="O6" s="82" t="s">
        <v>302</v>
      </c>
      <c r="P6" s="83" t="s">
        <v>305</v>
      </c>
      <c r="Q6" s="83" t="s">
        <v>276</v>
      </c>
      <c r="R6" s="83" t="s">
        <v>294</v>
      </c>
      <c r="S6" s="83" t="s">
        <v>293</v>
      </c>
      <c r="T6" s="83" t="s">
        <v>293</v>
      </c>
      <c r="U6" s="83" t="s">
        <v>303</v>
      </c>
      <c r="V6" s="83" t="s">
        <v>304</v>
      </c>
      <c r="W6" s="84"/>
      <c r="X6" s="102" t="s">
        <v>353</v>
      </c>
      <c r="Y6" s="284" t="s">
        <v>504</v>
      </c>
      <c r="Z6" s="284" t="s">
        <v>532</v>
      </c>
    </row>
    <row r="7" spans="3:26" ht="110.4">
      <c r="C7" s="75" t="s">
        <v>31</v>
      </c>
      <c r="D7" s="76" t="s">
        <v>32</v>
      </c>
      <c r="E7" s="76" t="s">
        <v>102</v>
      </c>
      <c r="F7" s="76" t="s">
        <v>138</v>
      </c>
      <c r="G7" s="76" t="s">
        <v>76</v>
      </c>
      <c r="H7" s="76" t="s">
        <v>247</v>
      </c>
      <c r="I7" s="76" t="s">
        <v>35</v>
      </c>
      <c r="J7" s="76" t="s">
        <v>36</v>
      </c>
      <c r="K7" s="76" t="s">
        <v>37</v>
      </c>
      <c r="L7" s="76" t="s">
        <v>38</v>
      </c>
      <c r="M7" s="76" t="s">
        <v>39</v>
      </c>
      <c r="N7" s="76" t="s">
        <v>40</v>
      </c>
      <c r="O7" s="76" t="s">
        <v>175</v>
      </c>
      <c r="P7" s="76" t="s">
        <v>182</v>
      </c>
      <c r="Q7" s="76" t="s">
        <v>170</v>
      </c>
      <c r="R7" s="76" t="s">
        <v>392</v>
      </c>
      <c r="S7" s="76" t="s">
        <v>164</v>
      </c>
      <c r="T7" s="76" t="s">
        <v>544</v>
      </c>
      <c r="U7" s="76" t="s">
        <v>388</v>
      </c>
      <c r="V7" s="76" t="s">
        <v>165</v>
      </c>
      <c r="W7" s="76" t="s">
        <v>188</v>
      </c>
      <c r="X7" s="76" t="s">
        <v>521</v>
      </c>
      <c r="Y7" s="283" t="s">
        <v>509</v>
      </c>
      <c r="Z7" s="283" t="s">
        <v>534</v>
      </c>
    </row>
    <row r="8" spans="3:26" ht="13.8">
      <c r="C8" s="77" t="s">
        <v>166</v>
      </c>
      <c r="D8" s="77" t="s">
        <v>72</v>
      </c>
      <c r="E8" s="77"/>
      <c r="F8" s="77"/>
      <c r="G8" s="77" t="str">
        <f>C8&amp;"_"&amp;D8</f>
        <v>Businessrate 1_Non-Local Authority</v>
      </c>
      <c r="H8" s="77" t="str">
        <f t="shared" ref="H8:H44" si="0">INDEX(Matrix_Tariff_Map,MATCH(C8,Matrix_Model_Tariffs,0),2)&amp;IFERROR(INDEX(Matrix_Transmission_Map,MATCH(E8,Matrix_Model_Transmission,0),2),0)&amp;IFERROR(INDEX(Matrix_Voltage_Map,MATCH(F8,Matrix_Model_Voltage,0),2),1)&amp;INDEX(Matrix_Category_Map,MATCH(D8,Matrix_Model_Category,0),2)</f>
        <v>B101N</v>
      </c>
      <c r="I8" s="77">
        <v>224.93</v>
      </c>
      <c r="J8" s="77">
        <v>224.93</v>
      </c>
      <c r="K8" s="77">
        <v>224.93</v>
      </c>
      <c r="L8" s="77">
        <v>224.93</v>
      </c>
      <c r="M8" s="77">
        <v>224.93</v>
      </c>
      <c r="N8" s="77">
        <v>224.93</v>
      </c>
      <c r="O8" s="86">
        <v>0</v>
      </c>
      <c r="P8" s="86">
        <v>0</v>
      </c>
      <c r="Q8" s="86">
        <v>224.93</v>
      </c>
      <c r="R8" s="86">
        <v>0.41</v>
      </c>
      <c r="S8" s="86">
        <v>14.54</v>
      </c>
      <c r="T8" s="86" t="s">
        <v>118</v>
      </c>
      <c r="U8" s="86">
        <v>20.34</v>
      </c>
      <c r="V8" s="86">
        <v>14.7</v>
      </c>
      <c r="W8" s="86" t="s">
        <v>118</v>
      </c>
      <c r="X8" s="86">
        <v>4.9400000000000004</v>
      </c>
      <c r="Y8" s="86">
        <v>1.98</v>
      </c>
      <c r="Z8" s="86">
        <v>0</v>
      </c>
    </row>
    <row r="9" spans="3:26" ht="13.8">
      <c r="C9" s="77" t="s">
        <v>167</v>
      </c>
      <c r="D9" s="77" t="s">
        <v>72</v>
      </c>
      <c r="E9" s="77"/>
      <c r="F9" s="77"/>
      <c r="G9" s="77" t="str">
        <f>C9&amp;"_"&amp;D9</f>
        <v>Businessrate 2_Non-Local Authority</v>
      </c>
      <c r="H9" s="77" t="str">
        <f t="shared" si="0"/>
        <v>B201N</v>
      </c>
      <c r="I9" s="77">
        <v>224.93</v>
      </c>
      <c r="J9" s="77">
        <v>224.93</v>
      </c>
      <c r="K9" s="77">
        <v>224.93</v>
      </c>
      <c r="L9" s="77">
        <v>224.93</v>
      </c>
      <c r="M9" s="77">
        <v>224.93</v>
      </c>
      <c r="N9" s="77">
        <v>224.93</v>
      </c>
      <c r="O9" s="86">
        <v>0</v>
      </c>
      <c r="P9" s="86">
        <v>0</v>
      </c>
      <c r="Q9" s="86">
        <v>224.93</v>
      </c>
      <c r="R9" s="86">
        <v>0.41</v>
      </c>
      <c r="S9" s="86">
        <v>14.54</v>
      </c>
      <c r="T9" s="86" t="s">
        <v>118</v>
      </c>
      <c r="U9" s="86">
        <v>30.21</v>
      </c>
      <c r="V9" s="86">
        <v>14.7</v>
      </c>
      <c r="W9" s="86" t="s">
        <v>118</v>
      </c>
      <c r="X9" s="86">
        <v>4.9400000000000004</v>
      </c>
      <c r="Y9" s="86">
        <v>2.95</v>
      </c>
      <c r="Z9" s="86">
        <v>0</v>
      </c>
    </row>
    <row r="10" spans="3:26" ht="13.8">
      <c r="C10" s="77" t="s">
        <v>168</v>
      </c>
      <c r="D10" s="77" t="s">
        <v>72</v>
      </c>
      <c r="E10" s="77"/>
      <c r="F10" s="77"/>
      <c r="G10" s="77" t="str">
        <f>C10&amp;"_"&amp;D10</f>
        <v>Businessrate 3_Non-Local Authority</v>
      </c>
      <c r="H10" s="77" t="str">
        <f t="shared" si="0"/>
        <v>B301N</v>
      </c>
      <c r="I10" s="77">
        <v>224.93</v>
      </c>
      <c r="J10" s="77">
        <v>224.93</v>
      </c>
      <c r="K10" s="77">
        <v>224.93</v>
      </c>
      <c r="L10" s="77">
        <v>224.93</v>
      </c>
      <c r="M10" s="77">
        <v>224.93</v>
      </c>
      <c r="N10" s="77">
        <v>224.93</v>
      </c>
      <c r="O10" s="86">
        <v>0</v>
      </c>
      <c r="P10" s="86">
        <v>0</v>
      </c>
      <c r="Q10" s="86">
        <v>224.93</v>
      </c>
      <c r="R10" s="86">
        <v>0.41</v>
      </c>
      <c r="S10" s="86">
        <v>14.54</v>
      </c>
      <c r="T10" s="86" t="s">
        <v>118</v>
      </c>
      <c r="U10" s="86">
        <v>75.38</v>
      </c>
      <c r="V10" s="86">
        <v>14.7</v>
      </c>
      <c r="W10" s="86" t="s">
        <v>118</v>
      </c>
      <c r="X10" s="86">
        <v>4.9400000000000004</v>
      </c>
      <c r="Y10" s="86">
        <v>7.37</v>
      </c>
      <c r="Z10" s="86">
        <v>0</v>
      </c>
    </row>
    <row r="11" spans="3:26" ht="13.8">
      <c r="C11" s="77" t="s">
        <v>169</v>
      </c>
      <c r="D11" s="77" t="s">
        <v>72</v>
      </c>
      <c r="E11" s="77"/>
      <c r="F11" s="77"/>
      <c r="G11" s="77" t="str">
        <f>C11&amp;"_"&amp;D11</f>
        <v>Businessrate 4_Non-Local Authority</v>
      </c>
      <c r="H11" s="77" t="str">
        <f t="shared" si="0"/>
        <v>B401N</v>
      </c>
      <c r="I11" s="77">
        <v>350.09</v>
      </c>
      <c r="J11" s="77">
        <v>350.09</v>
      </c>
      <c r="K11" s="77">
        <v>350.09</v>
      </c>
      <c r="L11" s="77">
        <v>350.09</v>
      </c>
      <c r="M11" s="77">
        <v>350.09</v>
      </c>
      <c r="N11" s="77">
        <v>350.09</v>
      </c>
      <c r="O11" s="86">
        <v>0</v>
      </c>
      <c r="P11" s="86">
        <v>0</v>
      </c>
      <c r="Q11" s="86">
        <v>350.09</v>
      </c>
      <c r="R11" s="86">
        <v>0.41</v>
      </c>
      <c r="S11" s="86">
        <v>14.54</v>
      </c>
      <c r="T11" s="86" t="s">
        <v>118</v>
      </c>
      <c r="U11" s="86">
        <v>0</v>
      </c>
      <c r="V11" s="86">
        <v>0</v>
      </c>
      <c r="W11" s="86" t="s">
        <v>118</v>
      </c>
      <c r="X11" s="86">
        <v>4.9400000000000004</v>
      </c>
      <c r="Y11" s="86">
        <v>0</v>
      </c>
      <c r="Z11" s="86">
        <v>0</v>
      </c>
    </row>
    <row r="12" spans="3:26" ht="13.8">
      <c r="C12" s="77" t="s">
        <v>344</v>
      </c>
      <c r="D12" s="77" t="s">
        <v>72</v>
      </c>
      <c r="E12" s="77"/>
      <c r="F12" s="77"/>
      <c r="G12" s="77" t="str">
        <f>C12&amp;"_"&amp;D12</f>
        <v>Homepower Bulk_Non-Local Authority</v>
      </c>
      <c r="H12" s="77" t="str">
        <f t="shared" si="0"/>
        <v>HB01N</v>
      </c>
      <c r="I12" s="77">
        <v>268.77999999999997</v>
      </c>
      <c r="J12" s="77">
        <v>268.77999999999997</v>
      </c>
      <c r="K12" s="77">
        <v>268.77999999999997</v>
      </c>
      <c r="L12" s="77">
        <v>268.77999999999997</v>
      </c>
      <c r="M12" s="77">
        <v>268.77999999999997</v>
      </c>
      <c r="N12" s="77">
        <v>268.77999999999997</v>
      </c>
      <c r="O12" s="86">
        <v>0</v>
      </c>
      <c r="P12" s="86">
        <v>0</v>
      </c>
      <c r="Q12" s="86">
        <v>268.77999999999997</v>
      </c>
      <c r="R12" s="86">
        <v>0.41</v>
      </c>
      <c r="S12" s="86">
        <v>26.37</v>
      </c>
      <c r="T12" s="86" t="s">
        <v>118</v>
      </c>
      <c r="U12" s="86">
        <v>55.32</v>
      </c>
      <c r="V12" s="86">
        <v>3.27</v>
      </c>
      <c r="W12" s="86" t="s">
        <v>118</v>
      </c>
      <c r="X12" s="86">
        <v>0</v>
      </c>
      <c r="Y12" s="86">
        <v>4.78</v>
      </c>
      <c r="Z12" s="86">
        <v>0</v>
      </c>
    </row>
    <row r="13" spans="3:26" ht="13.8">
      <c r="C13" s="77" t="s">
        <v>171</v>
      </c>
      <c r="D13" s="77" t="s">
        <v>72</v>
      </c>
      <c r="E13" s="77"/>
      <c r="F13" s="77"/>
      <c r="G13" s="77" t="str">
        <f t="shared" ref="G13:G23" si="1">C13&amp;"_"&amp;D13</f>
        <v>Homepower 1_Non-Local Authority</v>
      </c>
      <c r="H13" s="77" t="str">
        <f t="shared" si="0"/>
        <v>H101N</v>
      </c>
      <c r="I13" s="77">
        <v>0</v>
      </c>
      <c r="J13" s="77">
        <v>0</v>
      </c>
      <c r="K13" s="77">
        <v>0</v>
      </c>
      <c r="L13" s="77">
        <v>0</v>
      </c>
      <c r="M13" s="77">
        <v>0</v>
      </c>
      <c r="N13" s="77">
        <v>0</v>
      </c>
      <c r="O13" s="86"/>
      <c r="P13" s="413"/>
      <c r="Q13" s="86">
        <v>268.77999999999997</v>
      </c>
      <c r="R13" s="86">
        <v>0.41</v>
      </c>
      <c r="S13" s="86">
        <v>26.37</v>
      </c>
      <c r="T13" s="86" t="s">
        <v>118</v>
      </c>
      <c r="U13" s="86">
        <v>12.13</v>
      </c>
      <c r="V13" s="86">
        <v>3.27</v>
      </c>
      <c r="W13" s="86" t="s">
        <v>118</v>
      </c>
      <c r="X13" s="86">
        <v>0</v>
      </c>
      <c r="Y13" s="86">
        <v>0.72</v>
      </c>
      <c r="Z13" s="86">
        <v>0</v>
      </c>
    </row>
    <row r="14" spans="3:26" ht="13.8">
      <c r="C14" s="77" t="s">
        <v>172</v>
      </c>
      <c r="D14" s="77" t="s">
        <v>72</v>
      </c>
      <c r="E14" s="77"/>
      <c r="F14" s="77"/>
      <c r="G14" s="77" t="str">
        <f t="shared" si="1"/>
        <v>Homepower 2_Non-Local Authority</v>
      </c>
      <c r="H14" s="77" t="str">
        <f t="shared" si="0"/>
        <v>H201N</v>
      </c>
      <c r="I14" s="77">
        <v>0</v>
      </c>
      <c r="J14" s="77">
        <v>0</v>
      </c>
      <c r="K14" s="77">
        <v>0</v>
      </c>
      <c r="L14" s="77">
        <v>0</v>
      </c>
      <c r="M14" s="77">
        <v>0</v>
      </c>
      <c r="N14" s="77">
        <v>0</v>
      </c>
      <c r="O14" s="86"/>
      <c r="P14" s="413"/>
      <c r="Q14" s="86">
        <v>268.77999999999997</v>
      </c>
      <c r="R14" s="86">
        <v>0.41</v>
      </c>
      <c r="S14" s="86">
        <v>26.37</v>
      </c>
      <c r="T14" s="86" t="s">
        <v>118</v>
      </c>
      <c r="U14" s="86">
        <v>27.07</v>
      </c>
      <c r="V14" s="86">
        <v>3.27</v>
      </c>
      <c r="W14" s="86" t="s">
        <v>118</v>
      </c>
      <c r="X14" s="86">
        <v>0</v>
      </c>
      <c r="Y14" s="86">
        <v>1.27</v>
      </c>
      <c r="Z14" s="86">
        <v>0</v>
      </c>
    </row>
    <row r="15" spans="3:26" ht="13.8">
      <c r="C15" s="77" t="s">
        <v>173</v>
      </c>
      <c r="D15" s="77" t="s">
        <v>72</v>
      </c>
      <c r="E15" s="77"/>
      <c r="F15" s="77"/>
      <c r="G15" s="77" t="str">
        <f t="shared" si="1"/>
        <v>Homepower 3_Non-Local Authority</v>
      </c>
      <c r="H15" s="77" t="str">
        <f t="shared" si="0"/>
        <v>H301N</v>
      </c>
      <c r="I15" s="77">
        <v>0</v>
      </c>
      <c r="J15" s="77">
        <v>0</v>
      </c>
      <c r="K15" s="77">
        <v>0</v>
      </c>
      <c r="L15" s="77">
        <v>0</v>
      </c>
      <c r="M15" s="77">
        <v>0</v>
      </c>
      <c r="N15" s="77">
        <v>0</v>
      </c>
      <c r="O15" s="86"/>
      <c r="P15" s="413"/>
      <c r="Q15" s="86">
        <v>268.77999999999997</v>
      </c>
      <c r="R15" s="86">
        <v>0.41</v>
      </c>
      <c r="S15" s="86">
        <v>26.37</v>
      </c>
      <c r="T15" s="86" t="s">
        <v>118</v>
      </c>
      <c r="U15" s="86">
        <v>57.82</v>
      </c>
      <c r="V15" s="86">
        <v>3.27</v>
      </c>
      <c r="W15" s="86" t="s">
        <v>118</v>
      </c>
      <c r="X15" s="86">
        <v>0</v>
      </c>
      <c r="Y15" s="86">
        <v>3.1</v>
      </c>
      <c r="Z15" s="86">
        <v>0</v>
      </c>
    </row>
    <row r="16" spans="3:26" ht="13.8">
      <c r="C16" s="77" t="s">
        <v>174</v>
      </c>
      <c r="D16" s="77" t="s">
        <v>72</v>
      </c>
      <c r="E16" s="77"/>
      <c r="F16" s="77"/>
      <c r="G16" s="77" t="str">
        <f t="shared" si="1"/>
        <v>Homepower 4_Non-Local Authority</v>
      </c>
      <c r="H16" s="77" t="str">
        <f t="shared" si="0"/>
        <v>H401N</v>
      </c>
      <c r="I16" s="77">
        <v>0</v>
      </c>
      <c r="J16" s="77">
        <v>0</v>
      </c>
      <c r="K16" s="77">
        <v>0</v>
      </c>
      <c r="L16" s="77">
        <v>0</v>
      </c>
      <c r="M16" s="77">
        <v>0</v>
      </c>
      <c r="N16" s="77">
        <v>0</v>
      </c>
      <c r="O16" s="86"/>
      <c r="P16" s="413"/>
      <c r="Q16" s="86">
        <v>268.77999999999997</v>
      </c>
      <c r="R16" s="86">
        <v>0.41</v>
      </c>
      <c r="S16" s="86">
        <v>26.37</v>
      </c>
      <c r="T16" s="86" t="s">
        <v>118</v>
      </c>
      <c r="U16" s="86">
        <v>8.35</v>
      </c>
      <c r="V16" s="86">
        <v>3.27</v>
      </c>
      <c r="W16" s="86" t="s">
        <v>118</v>
      </c>
      <c r="X16" s="86">
        <v>0</v>
      </c>
      <c r="Y16" s="86">
        <v>0.47</v>
      </c>
      <c r="Z16" s="86">
        <v>0</v>
      </c>
    </row>
    <row r="17" spans="2:26" ht="13.8">
      <c r="C17" s="77" t="s">
        <v>176</v>
      </c>
      <c r="D17" s="77" t="s">
        <v>72</v>
      </c>
      <c r="E17" s="77"/>
      <c r="F17" s="77"/>
      <c r="G17" s="77" t="str">
        <f t="shared" si="1"/>
        <v>Homelight 20A_Non-Local Authority</v>
      </c>
      <c r="H17" s="77" t="str">
        <f t="shared" si="0"/>
        <v>HL2001N</v>
      </c>
      <c r="I17" s="77">
        <v>0</v>
      </c>
      <c r="J17" s="77">
        <v>0</v>
      </c>
      <c r="K17" s="77">
        <v>0</v>
      </c>
      <c r="L17" s="77">
        <v>0</v>
      </c>
      <c r="M17" s="77">
        <v>0</v>
      </c>
      <c r="N17" s="77">
        <v>0</v>
      </c>
      <c r="O17" s="86"/>
      <c r="P17" s="413"/>
      <c r="Q17" s="86">
        <v>216.11</v>
      </c>
      <c r="R17" s="86">
        <v>0</v>
      </c>
      <c r="S17" s="86">
        <v>0</v>
      </c>
      <c r="T17" s="86" t="s">
        <v>118</v>
      </c>
      <c r="U17" s="86">
        <v>0</v>
      </c>
      <c r="V17" s="86">
        <v>0</v>
      </c>
      <c r="W17" s="86" t="s">
        <v>118</v>
      </c>
      <c r="X17" s="86">
        <v>0</v>
      </c>
      <c r="Y17" s="86">
        <v>0</v>
      </c>
      <c r="Z17" s="86">
        <v>0</v>
      </c>
    </row>
    <row r="18" spans="2:26" ht="13.8">
      <c r="C18" s="77" t="s">
        <v>177</v>
      </c>
      <c r="D18" s="77" t="s">
        <v>72</v>
      </c>
      <c r="E18" s="77"/>
      <c r="F18" s="77"/>
      <c r="G18" s="77" t="str">
        <f t="shared" si="1"/>
        <v>Homelight 60A_Non-Local Authority</v>
      </c>
      <c r="H18" s="77" t="str">
        <f t="shared" si="0"/>
        <v>HL6001N</v>
      </c>
      <c r="I18" s="77">
        <v>0</v>
      </c>
      <c r="J18" s="77">
        <v>0</v>
      </c>
      <c r="K18" s="77">
        <v>0</v>
      </c>
      <c r="L18" s="77">
        <v>0</v>
      </c>
      <c r="M18" s="77">
        <v>0</v>
      </c>
      <c r="N18" s="77">
        <v>0</v>
      </c>
      <c r="O18" s="86"/>
      <c r="P18" s="413"/>
      <c r="Q18" s="86">
        <v>274.72000000000003</v>
      </c>
      <c r="R18" s="86">
        <v>0</v>
      </c>
      <c r="S18" s="86">
        <v>0</v>
      </c>
      <c r="T18" s="86" t="s">
        <v>118</v>
      </c>
      <c r="U18" s="86">
        <v>0</v>
      </c>
      <c r="V18" s="86">
        <v>0</v>
      </c>
      <c r="W18" s="86" t="s">
        <v>118</v>
      </c>
      <c r="X18" s="86">
        <v>0</v>
      </c>
      <c r="Y18" s="86">
        <v>0</v>
      </c>
      <c r="Z18" s="86">
        <v>0</v>
      </c>
    </row>
    <row r="19" spans="2:26" ht="13.8">
      <c r="C19" s="77" t="s">
        <v>178</v>
      </c>
      <c r="D19" s="77" t="s">
        <v>72</v>
      </c>
      <c r="E19" s="77"/>
      <c r="F19" s="77"/>
      <c r="G19" s="77" t="str">
        <f t="shared" si="1"/>
        <v>Landrate 1_Non-Local Authority</v>
      </c>
      <c r="H19" s="77" t="str">
        <f t="shared" si="0"/>
        <v>L101N</v>
      </c>
      <c r="I19" s="77">
        <v>224.93</v>
      </c>
      <c r="J19" s="77">
        <v>224.93</v>
      </c>
      <c r="K19" s="77">
        <v>224.93</v>
      </c>
      <c r="L19" s="77">
        <v>224.93</v>
      </c>
      <c r="M19" s="77">
        <v>224.93</v>
      </c>
      <c r="N19" s="77">
        <v>224.93</v>
      </c>
      <c r="O19" s="86">
        <v>0</v>
      </c>
      <c r="P19" s="86">
        <v>0</v>
      </c>
      <c r="Q19" s="86">
        <v>224.93</v>
      </c>
      <c r="R19" s="86">
        <v>0.41</v>
      </c>
      <c r="S19" s="86">
        <v>61.66</v>
      </c>
      <c r="T19" s="86" t="s">
        <v>118</v>
      </c>
      <c r="U19" s="86">
        <v>62.2</v>
      </c>
      <c r="V19" s="86">
        <v>24.5</v>
      </c>
      <c r="W19" s="86" t="s">
        <v>118</v>
      </c>
      <c r="X19" s="86">
        <v>0</v>
      </c>
      <c r="Y19" s="86">
        <v>2.71</v>
      </c>
      <c r="Z19" s="86">
        <v>0</v>
      </c>
    </row>
    <row r="20" spans="2:26" ht="13.8">
      <c r="C20" s="77" t="s">
        <v>179</v>
      </c>
      <c r="D20" s="77" t="s">
        <v>72</v>
      </c>
      <c r="E20" s="77"/>
      <c r="F20" s="77"/>
      <c r="G20" s="77" t="str">
        <f t="shared" si="1"/>
        <v>Landrate 2_Non-Local Authority</v>
      </c>
      <c r="H20" s="77" t="str">
        <f t="shared" si="0"/>
        <v>L201N</v>
      </c>
      <c r="I20" s="77">
        <v>224.93</v>
      </c>
      <c r="J20" s="77">
        <v>224.93</v>
      </c>
      <c r="K20" s="77">
        <v>224.93</v>
      </c>
      <c r="L20" s="77">
        <v>224.93</v>
      </c>
      <c r="M20" s="77">
        <v>224.93</v>
      </c>
      <c r="N20" s="77">
        <v>224.93</v>
      </c>
      <c r="O20" s="86">
        <v>0</v>
      </c>
      <c r="P20" s="86">
        <v>0</v>
      </c>
      <c r="Q20" s="86">
        <v>224.93</v>
      </c>
      <c r="R20" s="86">
        <v>0.41</v>
      </c>
      <c r="S20" s="86">
        <v>61.66</v>
      </c>
      <c r="T20" s="86" t="s">
        <v>118</v>
      </c>
      <c r="U20" s="86">
        <v>96.99</v>
      </c>
      <c r="V20" s="86">
        <v>24.5</v>
      </c>
      <c r="W20" s="86" t="s">
        <v>118</v>
      </c>
      <c r="X20" s="86">
        <v>0</v>
      </c>
      <c r="Y20" s="86">
        <v>5.37</v>
      </c>
      <c r="Z20" s="86">
        <v>0</v>
      </c>
    </row>
    <row r="21" spans="2:26" ht="13.8">
      <c r="C21" s="77" t="s">
        <v>180</v>
      </c>
      <c r="D21" s="77" t="s">
        <v>72</v>
      </c>
      <c r="E21" s="77"/>
      <c r="F21" s="77"/>
      <c r="G21" s="77" t="str">
        <f t="shared" si="1"/>
        <v>Landrate 3_Non-Local Authority</v>
      </c>
      <c r="H21" s="77" t="str">
        <f t="shared" si="0"/>
        <v>L301N</v>
      </c>
      <c r="I21" s="77">
        <v>224.93</v>
      </c>
      <c r="J21" s="77">
        <v>224.93</v>
      </c>
      <c r="K21" s="77">
        <v>224.93</v>
      </c>
      <c r="L21" s="77">
        <v>224.93</v>
      </c>
      <c r="M21" s="77">
        <v>224.93</v>
      </c>
      <c r="N21" s="77">
        <v>224.93</v>
      </c>
      <c r="O21" s="86">
        <v>0</v>
      </c>
      <c r="P21" s="86">
        <v>0</v>
      </c>
      <c r="Q21" s="86">
        <v>224.93</v>
      </c>
      <c r="R21" s="86">
        <v>0.41</v>
      </c>
      <c r="S21" s="86">
        <v>61.66</v>
      </c>
      <c r="T21" s="86" t="s">
        <v>118</v>
      </c>
      <c r="U21" s="86">
        <v>155.32</v>
      </c>
      <c r="V21" s="86">
        <v>24.5</v>
      </c>
      <c r="W21" s="86" t="s">
        <v>118</v>
      </c>
      <c r="X21" s="86">
        <v>0</v>
      </c>
      <c r="Y21" s="86">
        <v>10.5</v>
      </c>
      <c r="Z21" s="86">
        <v>0</v>
      </c>
    </row>
    <row r="22" spans="2:26" ht="13.8">
      <c r="C22" s="77" t="s">
        <v>181</v>
      </c>
      <c r="D22" s="77" t="s">
        <v>72</v>
      </c>
      <c r="E22" s="77"/>
      <c r="F22" s="77"/>
      <c r="G22" s="77" t="str">
        <f t="shared" si="1"/>
        <v>Landrate 4_Non-Local Authority</v>
      </c>
      <c r="H22" s="77" t="str">
        <f t="shared" si="0"/>
        <v>L401N</v>
      </c>
      <c r="I22" s="77">
        <v>369.32</v>
      </c>
      <c r="J22" s="77">
        <v>369.32</v>
      </c>
      <c r="K22" s="77">
        <v>369.32</v>
      </c>
      <c r="L22" s="77">
        <v>369.32</v>
      </c>
      <c r="M22" s="77">
        <v>369.32</v>
      </c>
      <c r="N22" s="77">
        <v>369.32</v>
      </c>
      <c r="O22" s="86">
        <v>0</v>
      </c>
      <c r="P22" s="86">
        <v>0</v>
      </c>
      <c r="Q22" s="86">
        <v>369.32</v>
      </c>
      <c r="R22" s="86">
        <v>0.41</v>
      </c>
      <c r="S22" s="86">
        <v>61.66</v>
      </c>
      <c r="T22" s="86" t="s">
        <v>118</v>
      </c>
      <c r="U22" s="86">
        <v>45.92</v>
      </c>
      <c r="V22" s="86">
        <v>0</v>
      </c>
      <c r="W22" s="86" t="s">
        <v>118</v>
      </c>
      <c r="X22" s="86">
        <v>0</v>
      </c>
      <c r="Y22" s="86">
        <v>1.78</v>
      </c>
      <c r="Z22" s="86">
        <v>0</v>
      </c>
    </row>
    <row r="23" spans="2:26" ht="13.8">
      <c r="C23" s="77" t="s">
        <v>183</v>
      </c>
      <c r="D23" s="77" t="s">
        <v>72</v>
      </c>
      <c r="E23" s="77"/>
      <c r="F23" s="77"/>
      <c r="G23" s="77" t="str">
        <f t="shared" si="1"/>
        <v>Landrate Dx_Non-Local Authority</v>
      </c>
      <c r="H23" s="77" t="str">
        <f t="shared" si="0"/>
        <v>Ld01N</v>
      </c>
      <c r="I23" s="77">
        <v>0</v>
      </c>
      <c r="J23" s="77">
        <v>0</v>
      </c>
      <c r="K23" s="77">
        <v>0</v>
      </c>
      <c r="L23" s="77">
        <v>0</v>
      </c>
      <c r="M23" s="77">
        <v>0</v>
      </c>
      <c r="N23" s="77">
        <v>0</v>
      </c>
      <c r="O23" s="86">
        <v>0</v>
      </c>
      <c r="P23" s="86">
        <v>0</v>
      </c>
      <c r="Q23" s="86">
        <v>0</v>
      </c>
      <c r="R23" s="86">
        <v>0</v>
      </c>
      <c r="S23" s="86">
        <v>0</v>
      </c>
      <c r="T23" s="86" t="s">
        <v>118</v>
      </c>
      <c r="U23" s="86">
        <v>0</v>
      </c>
      <c r="V23" s="86">
        <v>87</v>
      </c>
      <c r="W23" s="86" t="s">
        <v>118</v>
      </c>
      <c r="X23" s="86">
        <v>0</v>
      </c>
      <c r="Y23" s="86">
        <v>0</v>
      </c>
      <c r="Z23" s="86">
        <v>0</v>
      </c>
    </row>
    <row r="24" spans="2:26" ht="13.8">
      <c r="C24" s="77" t="s">
        <v>402</v>
      </c>
      <c r="D24" s="77" t="s">
        <v>72</v>
      </c>
      <c r="E24" s="77"/>
      <c r="F24" s="77"/>
      <c r="G24" s="77" t="str">
        <f t="shared" ref="G24:G33" si="2">C24&amp;"_"&amp;D24</f>
        <v>Landlight 20A_Non-Local Authority</v>
      </c>
      <c r="H24" s="193" t="str">
        <f>INDEX(Matrix_Tariff_Map,MATCH(C24,Matrix_Model_Tariffs,0),2)&amp;IFERROR(INDEX(Matrix_Transmission_Map,MATCH(E24,Matrix_Model_Transmission,0),2),0)&amp;IFERROR(INDEX(Matrix_Voltage_Map,MATCH(F24,Matrix_Model_Voltage,0),2),1)&amp;INDEX(Matrix_Category_Map,MATCH(D24,Matrix_Model_Category,0),2)</f>
        <v>Lt2001N</v>
      </c>
      <c r="I24" s="193">
        <v>603.54</v>
      </c>
      <c r="J24" s="193">
        <v>603.54</v>
      </c>
      <c r="K24" s="193">
        <v>603.54</v>
      </c>
      <c r="L24" s="193">
        <v>603.54</v>
      </c>
      <c r="M24" s="193">
        <v>603.54</v>
      </c>
      <c r="N24" s="193">
        <v>603.54</v>
      </c>
      <c r="O24" s="86">
        <v>0</v>
      </c>
      <c r="P24" s="86">
        <v>0</v>
      </c>
      <c r="Q24" s="86">
        <v>603.54</v>
      </c>
      <c r="R24" s="86">
        <v>0</v>
      </c>
      <c r="S24" s="86">
        <v>0</v>
      </c>
      <c r="T24" s="86" t="s">
        <v>118</v>
      </c>
      <c r="U24" s="86">
        <v>0</v>
      </c>
      <c r="V24" s="86">
        <v>0</v>
      </c>
      <c r="W24" s="86" t="s">
        <v>118</v>
      </c>
      <c r="X24" s="86">
        <v>0</v>
      </c>
      <c r="Y24" s="86">
        <v>0</v>
      </c>
      <c r="Z24" s="86">
        <v>0</v>
      </c>
    </row>
    <row r="25" spans="2:26" ht="13.8">
      <c r="C25" s="77" t="s">
        <v>403</v>
      </c>
      <c r="D25" s="77" t="s">
        <v>72</v>
      </c>
      <c r="E25" s="77"/>
      <c r="F25" s="77"/>
      <c r="G25" s="77" t="str">
        <f t="shared" si="2"/>
        <v>Landlight 60A_Non-Local Authority</v>
      </c>
      <c r="H25" s="193" t="str">
        <f>INDEX(Matrix_Tariff_Map,MATCH(C25,Matrix_Model_Tariffs,0),2)&amp;IFERROR(INDEX(Matrix_Transmission_Map,MATCH(E25,Matrix_Model_Transmission,0),2),0)&amp;IFERROR(INDEX(Matrix_Voltage_Map,MATCH(F25,Matrix_Model_Voltage,0),2),1)&amp;INDEX(Matrix_Category_Map,MATCH(D25,Matrix_Model_Category,0),2)</f>
        <v>Lt6001N</v>
      </c>
      <c r="I25" s="193">
        <v>836</v>
      </c>
      <c r="J25" s="193">
        <v>836</v>
      </c>
      <c r="K25" s="193">
        <v>836</v>
      </c>
      <c r="L25" s="193">
        <v>836</v>
      </c>
      <c r="M25" s="193">
        <v>836</v>
      </c>
      <c r="N25" s="193">
        <v>836</v>
      </c>
      <c r="O25" s="86">
        <v>0</v>
      </c>
      <c r="P25" s="86">
        <v>0</v>
      </c>
      <c r="Q25" s="86">
        <v>836</v>
      </c>
      <c r="R25" s="86">
        <v>0</v>
      </c>
      <c r="S25" s="86">
        <v>0</v>
      </c>
      <c r="T25" s="86" t="s">
        <v>118</v>
      </c>
      <c r="U25" s="86">
        <v>0</v>
      </c>
      <c r="V25" s="86">
        <v>0</v>
      </c>
      <c r="W25" s="86" t="s">
        <v>118</v>
      </c>
      <c r="X25" s="86">
        <v>0</v>
      </c>
      <c r="Y25" s="86">
        <v>0</v>
      </c>
      <c r="Z25" s="86">
        <v>0</v>
      </c>
    </row>
    <row r="26" spans="2:26" ht="13.8">
      <c r="C26" s="77" t="s">
        <v>348</v>
      </c>
      <c r="D26" s="77" t="s">
        <v>72</v>
      </c>
      <c r="E26" s="77"/>
      <c r="F26" s="77"/>
      <c r="G26" s="77" t="str">
        <f t="shared" si="2"/>
        <v>Public Lighting 24 Hours_Non-Local Authority</v>
      </c>
      <c r="H26" s="193" t="str">
        <f>INDEX(Matrix_Tariff_Map,MATCH(C26,Matrix_Model_Tariffs,0),2)&amp;IFERROR(INDEX(Matrix_Transmission_Map,MATCH(E26,Matrix_Model_Transmission,0),2),0)&amp;IFERROR(INDEX(Matrix_Voltage_Map,MATCH(F26,Matrix_Model_Voltage,0),2),1)&amp;INDEX(Matrix_Category_Map,MATCH(D26,Matrix_Model_Category,0),2)</f>
        <v>Pu01N</v>
      </c>
      <c r="I26" s="193">
        <v>232.22</v>
      </c>
      <c r="J26" s="193">
        <v>232.22</v>
      </c>
      <c r="K26" s="193">
        <v>232.22</v>
      </c>
      <c r="L26" s="193">
        <v>232.22</v>
      </c>
      <c r="M26" s="193">
        <v>232.22</v>
      </c>
      <c r="N26" s="193">
        <v>232.22</v>
      </c>
      <c r="O26" s="86">
        <v>0</v>
      </c>
      <c r="P26" s="86">
        <v>0</v>
      </c>
      <c r="Q26" s="86">
        <v>232.22</v>
      </c>
      <c r="R26" s="86">
        <v>0</v>
      </c>
      <c r="S26" s="86">
        <v>0</v>
      </c>
      <c r="T26" s="86" t="s">
        <v>118</v>
      </c>
      <c r="U26" s="86">
        <v>0</v>
      </c>
      <c r="V26" s="86">
        <v>0</v>
      </c>
      <c r="W26" s="86" t="s">
        <v>118</v>
      </c>
      <c r="X26" s="86">
        <v>0</v>
      </c>
      <c r="Y26" s="86">
        <v>0</v>
      </c>
      <c r="Z26" s="86">
        <v>0</v>
      </c>
    </row>
    <row r="27" spans="2:26" ht="13.8">
      <c r="C27" s="77" t="s">
        <v>347</v>
      </c>
      <c r="D27" s="77" t="s">
        <v>72</v>
      </c>
      <c r="E27" s="77"/>
      <c r="F27" s="77"/>
      <c r="G27" s="77" t="str">
        <f t="shared" si="2"/>
        <v>Public Lighting All Night_Non-Local Authority</v>
      </c>
      <c r="H27" s="193" t="str">
        <f>INDEX(Matrix_Tariff_Map,MATCH(C27,Matrix_Model_Tariffs,0),2)&amp;IFERROR(INDEX(Matrix_Transmission_Map,MATCH(E27,Matrix_Model_Transmission,0),2),0)&amp;IFERROR(INDEX(Matrix_Voltage_Map,MATCH(F27,Matrix_Model_Voltage,0),2),1)&amp;INDEX(Matrix_Category_Map,MATCH(D27,Matrix_Model_Category,0),2)</f>
        <v>Pa01N</v>
      </c>
      <c r="I27" s="193">
        <v>242.11</v>
      </c>
      <c r="J27" s="193">
        <v>242.11</v>
      </c>
      <c r="K27" s="193">
        <v>242.11</v>
      </c>
      <c r="L27" s="193">
        <v>242.11</v>
      </c>
      <c r="M27" s="193">
        <v>242.11</v>
      </c>
      <c r="N27" s="193">
        <v>242.11</v>
      </c>
      <c r="O27" s="86">
        <v>0</v>
      </c>
      <c r="P27" s="86">
        <v>0</v>
      </c>
      <c r="Q27" s="86">
        <v>242.11</v>
      </c>
      <c r="R27" s="86">
        <v>0</v>
      </c>
      <c r="S27" s="86">
        <v>0</v>
      </c>
      <c r="T27" s="86" t="s">
        <v>118</v>
      </c>
      <c r="U27" s="86">
        <v>0</v>
      </c>
      <c r="V27" s="86">
        <v>0</v>
      </c>
      <c r="W27" s="86" t="s">
        <v>118</v>
      </c>
      <c r="X27" s="86">
        <v>0</v>
      </c>
      <c r="Y27" s="86">
        <v>0</v>
      </c>
      <c r="Z27" s="86">
        <v>0</v>
      </c>
    </row>
    <row r="28" spans="2:26" ht="13.8">
      <c r="C28" s="77" t="s">
        <v>349</v>
      </c>
      <c r="D28" s="77" t="s">
        <v>72</v>
      </c>
      <c r="E28" s="77"/>
      <c r="F28" s="77"/>
      <c r="G28" s="77" t="str">
        <f t="shared" si="2"/>
        <v>Public Lighting Urban Fixed_Non-Local Authority</v>
      </c>
      <c r="H28" s="193" t="str">
        <f>INDEX(Matrix_Tariff_Map,MATCH(C28,Matrix_Model_Tariffs,0),2)&amp;IFERROR(INDEX(Matrix_Transmission_Map,MATCH(E28,Matrix_Model_Transmission,0),2),0)&amp;IFERROR(INDEX(Matrix_Voltage_Map,MATCH(F28,Matrix_Model_Voltage,0),2),1)&amp;INDEX(Matrix_Category_Map,MATCH(D28,Matrix_Model_Category,0),2)</f>
        <v>Pt01N</v>
      </c>
      <c r="I28" s="193">
        <v>0</v>
      </c>
      <c r="J28" s="193">
        <v>0</v>
      </c>
      <c r="K28" s="193">
        <v>0</v>
      </c>
      <c r="L28" s="193">
        <v>0</v>
      </c>
      <c r="M28" s="193">
        <v>0</v>
      </c>
      <c r="N28" s="193">
        <v>0</v>
      </c>
      <c r="O28" s="86">
        <v>0</v>
      </c>
      <c r="P28" s="86">
        <v>0</v>
      </c>
      <c r="Q28" s="86">
        <v>0</v>
      </c>
      <c r="R28" s="86">
        <v>0</v>
      </c>
      <c r="S28" s="86">
        <v>0</v>
      </c>
      <c r="T28" s="86" t="s">
        <v>118</v>
      </c>
      <c r="U28" s="86">
        <v>0</v>
      </c>
      <c r="V28" s="86">
        <v>32.299999999999997</v>
      </c>
      <c r="W28" s="86" t="s">
        <v>118</v>
      </c>
      <c r="X28" s="86">
        <v>0</v>
      </c>
      <c r="Y28" s="86">
        <v>0</v>
      </c>
      <c r="Z28" s="86">
        <v>0</v>
      </c>
    </row>
    <row r="29" spans="2:26" ht="13.8">
      <c r="B29" s="77" t="s">
        <v>466</v>
      </c>
      <c r="C29" s="77" t="s">
        <v>466</v>
      </c>
      <c r="D29" s="77" t="s">
        <v>71</v>
      </c>
      <c r="E29" s="77"/>
      <c r="F29" s="77"/>
      <c r="G29" s="77" t="str">
        <f t="shared" si="2"/>
        <v>Municrate 1_Local Authority</v>
      </c>
      <c r="H29" s="77" t="str">
        <f t="shared" si="0"/>
        <v>Mr101Y</v>
      </c>
      <c r="I29" s="77">
        <v>229.79</v>
      </c>
      <c r="J29" s="77">
        <v>229.79</v>
      </c>
      <c r="K29" s="77">
        <v>229.79</v>
      </c>
      <c r="L29" s="77">
        <v>229.79</v>
      </c>
      <c r="M29" s="77">
        <v>229.79</v>
      </c>
      <c r="N29" s="77">
        <v>229.79</v>
      </c>
      <c r="O29" s="85">
        <v>0</v>
      </c>
      <c r="P29" s="85">
        <v>0</v>
      </c>
      <c r="Q29" s="78">
        <v>229.79</v>
      </c>
      <c r="R29" s="78">
        <v>0.41</v>
      </c>
      <c r="S29" s="78">
        <v>43.6</v>
      </c>
      <c r="T29" s="78" t="s">
        <v>118</v>
      </c>
      <c r="U29" s="78">
        <v>34.06</v>
      </c>
      <c r="V29" s="86">
        <v>18.809999999999999</v>
      </c>
      <c r="W29" s="85" t="s">
        <v>118</v>
      </c>
      <c r="X29" s="85">
        <v>0</v>
      </c>
      <c r="Y29" s="86">
        <v>2.17</v>
      </c>
      <c r="Z29" s="85">
        <v>0</v>
      </c>
    </row>
    <row r="30" spans="2:26" ht="13.8">
      <c r="B30" s="92" t="s">
        <v>467</v>
      </c>
      <c r="C30" s="77" t="s">
        <v>467</v>
      </c>
      <c r="D30" s="77" t="s">
        <v>71</v>
      </c>
      <c r="E30" s="77"/>
      <c r="F30" s="77"/>
      <c r="G30" s="77" t="str">
        <f t="shared" si="2"/>
        <v>Municrate 2_Local Authority</v>
      </c>
      <c r="H30" s="77" t="str">
        <f t="shared" si="0"/>
        <v>Mr201Y</v>
      </c>
      <c r="I30" s="77">
        <v>229.79</v>
      </c>
      <c r="J30" s="77">
        <v>229.79</v>
      </c>
      <c r="K30" s="77">
        <v>229.79</v>
      </c>
      <c r="L30" s="77">
        <v>229.79</v>
      </c>
      <c r="M30" s="77">
        <v>229.79</v>
      </c>
      <c r="N30" s="77">
        <v>229.79</v>
      </c>
      <c r="O30" s="85">
        <v>0</v>
      </c>
      <c r="P30" s="85">
        <v>0</v>
      </c>
      <c r="Q30" s="78">
        <v>229.79</v>
      </c>
      <c r="R30" s="78">
        <v>0.41</v>
      </c>
      <c r="S30" s="78">
        <v>43.6</v>
      </c>
      <c r="T30" s="78" t="s">
        <v>118</v>
      </c>
      <c r="U30" s="78">
        <v>69.010000000000005</v>
      </c>
      <c r="V30" s="78">
        <v>18.809999999999999</v>
      </c>
      <c r="W30" s="85" t="s">
        <v>118</v>
      </c>
      <c r="X30" s="85">
        <v>0</v>
      </c>
      <c r="Y30" s="78">
        <v>4.01</v>
      </c>
      <c r="Z30" s="85">
        <v>0</v>
      </c>
    </row>
    <row r="31" spans="2:26" ht="13.8">
      <c r="B31" s="77" t="s">
        <v>468</v>
      </c>
      <c r="C31" s="77" t="s">
        <v>468</v>
      </c>
      <c r="D31" s="77" t="s">
        <v>71</v>
      </c>
      <c r="E31" s="77"/>
      <c r="F31" s="77"/>
      <c r="G31" s="77" t="str">
        <f t="shared" si="2"/>
        <v>Municrate 3_Local Authority</v>
      </c>
      <c r="H31" s="77" t="str">
        <f t="shared" si="0"/>
        <v>Mr301Y</v>
      </c>
      <c r="I31" s="77">
        <v>229.79</v>
      </c>
      <c r="J31" s="77">
        <v>229.79</v>
      </c>
      <c r="K31" s="77">
        <v>229.79</v>
      </c>
      <c r="L31" s="77">
        <v>229.79</v>
      </c>
      <c r="M31" s="77">
        <v>229.79</v>
      </c>
      <c r="N31" s="77">
        <v>229.79</v>
      </c>
      <c r="O31" s="85">
        <v>0</v>
      </c>
      <c r="P31" s="85">
        <v>0</v>
      </c>
      <c r="Q31" s="78">
        <v>229.79</v>
      </c>
      <c r="R31" s="78">
        <v>0.41</v>
      </c>
      <c r="S31" s="78">
        <v>43.6</v>
      </c>
      <c r="T31" s="78" t="s">
        <v>118</v>
      </c>
      <c r="U31" s="78">
        <v>138.21</v>
      </c>
      <c r="V31" s="78">
        <v>18.809999999999999</v>
      </c>
      <c r="W31" s="85" t="s">
        <v>118</v>
      </c>
      <c r="X31" s="85">
        <v>0</v>
      </c>
      <c r="Y31" s="78">
        <v>8.4600000000000009</v>
      </c>
      <c r="Z31" s="85">
        <v>0</v>
      </c>
    </row>
    <row r="32" spans="2:26" ht="13.8">
      <c r="B32" s="92" t="s">
        <v>469</v>
      </c>
      <c r="C32" s="77" t="s">
        <v>469</v>
      </c>
      <c r="D32" s="77" t="s">
        <v>71</v>
      </c>
      <c r="E32" s="77"/>
      <c r="F32" s="77"/>
      <c r="G32" s="77" t="str">
        <f t="shared" si="2"/>
        <v>Municrate 4_Local Authority</v>
      </c>
      <c r="H32" s="77" t="str">
        <f t="shared" si="0"/>
        <v>Mr401Y</v>
      </c>
      <c r="I32" s="77">
        <v>349.28</v>
      </c>
      <c r="J32" s="77">
        <v>349.28</v>
      </c>
      <c r="K32" s="77">
        <v>349.28</v>
      </c>
      <c r="L32" s="77">
        <v>349.28</v>
      </c>
      <c r="M32" s="77">
        <v>349.28</v>
      </c>
      <c r="N32" s="77">
        <v>349.28</v>
      </c>
      <c r="O32" s="85">
        <v>0</v>
      </c>
      <c r="P32" s="85">
        <v>0</v>
      </c>
      <c r="Q32" s="78">
        <v>349.28</v>
      </c>
      <c r="R32" s="78">
        <v>0.41</v>
      </c>
      <c r="S32" s="78">
        <v>43.6</v>
      </c>
      <c r="T32" s="78" t="s">
        <v>118</v>
      </c>
      <c r="U32" s="85">
        <v>0</v>
      </c>
      <c r="V32" s="85">
        <v>0</v>
      </c>
      <c r="W32" s="85" t="s">
        <v>118</v>
      </c>
      <c r="X32" s="85">
        <v>0</v>
      </c>
      <c r="Y32" s="85">
        <v>0</v>
      </c>
      <c r="Z32" s="85">
        <v>0</v>
      </c>
    </row>
    <row r="33" spans="2:26" ht="13.8">
      <c r="C33" s="77" t="str">
        <f t="shared" ref="C33:C44" si="3">C12</f>
        <v>Homepower Bulk</v>
      </c>
      <c r="D33" s="77" t="s">
        <v>71</v>
      </c>
      <c r="E33" s="77"/>
      <c r="F33" s="77"/>
      <c r="G33" s="77" t="str">
        <f t="shared" si="2"/>
        <v>Homepower Bulk_Local Authority</v>
      </c>
      <c r="H33" s="77" t="str">
        <f t="shared" si="0"/>
        <v>HB01Y</v>
      </c>
      <c r="I33" s="77">
        <v>229.79</v>
      </c>
      <c r="J33" s="77">
        <v>229.79</v>
      </c>
      <c r="K33" s="77">
        <v>229.79</v>
      </c>
      <c r="L33" s="77">
        <v>229.79</v>
      </c>
      <c r="M33" s="77">
        <v>229.79</v>
      </c>
      <c r="N33" s="77">
        <v>229.79</v>
      </c>
      <c r="O33" s="85">
        <v>0</v>
      </c>
      <c r="P33" s="85">
        <v>0</v>
      </c>
      <c r="Q33" s="85">
        <v>229.79</v>
      </c>
      <c r="R33" s="85">
        <v>0.41</v>
      </c>
      <c r="S33" s="85">
        <v>43.6</v>
      </c>
      <c r="T33" s="85" t="s">
        <v>118</v>
      </c>
      <c r="U33" s="85">
        <v>138.21</v>
      </c>
      <c r="V33" s="85">
        <v>18.809999999999999</v>
      </c>
      <c r="W33" s="85" t="s">
        <v>118</v>
      </c>
      <c r="X33" s="85">
        <v>0</v>
      </c>
      <c r="Y33" s="85">
        <v>8.4600000000000009</v>
      </c>
      <c r="Z33" s="85">
        <v>0</v>
      </c>
    </row>
    <row r="34" spans="2:26" ht="13.8">
      <c r="B34" s="77" t="s">
        <v>466</v>
      </c>
      <c r="C34" s="77" t="str">
        <f t="shared" si="3"/>
        <v>Homepower 1</v>
      </c>
      <c r="D34" s="77" t="s">
        <v>71</v>
      </c>
      <c r="E34" s="77"/>
      <c r="F34" s="77"/>
      <c r="G34" s="77" t="str">
        <f t="shared" ref="G34:G43" si="4">C34&amp;"_"&amp;D34</f>
        <v>Homepower 1_Local Authority</v>
      </c>
      <c r="H34" s="77" t="str">
        <f t="shared" si="0"/>
        <v>H101Y</v>
      </c>
      <c r="I34" s="77">
        <v>229.79</v>
      </c>
      <c r="J34" s="77">
        <v>229.79</v>
      </c>
      <c r="K34" s="77">
        <v>229.79</v>
      </c>
      <c r="L34" s="77">
        <v>229.79</v>
      </c>
      <c r="M34" s="77">
        <v>229.79</v>
      </c>
      <c r="N34" s="77">
        <v>229.79</v>
      </c>
      <c r="O34" s="78">
        <v>0</v>
      </c>
      <c r="P34" s="78">
        <v>0</v>
      </c>
      <c r="Q34" s="85">
        <v>229.79</v>
      </c>
      <c r="R34" s="85">
        <v>0.41</v>
      </c>
      <c r="S34" s="85">
        <v>43.6</v>
      </c>
      <c r="T34" s="85" t="s">
        <v>118</v>
      </c>
      <c r="U34" s="78">
        <v>34.06</v>
      </c>
      <c r="V34" s="85">
        <v>18.809999999999999</v>
      </c>
      <c r="W34" s="85" t="s">
        <v>118</v>
      </c>
      <c r="X34" s="85">
        <v>0</v>
      </c>
      <c r="Y34" s="85">
        <v>2.17</v>
      </c>
      <c r="Z34" s="85">
        <v>0</v>
      </c>
    </row>
    <row r="35" spans="2:26" ht="13.8">
      <c r="B35" s="92" t="s">
        <v>467</v>
      </c>
      <c r="C35" s="77" t="str">
        <f t="shared" si="3"/>
        <v>Homepower 2</v>
      </c>
      <c r="D35" s="77" t="s">
        <v>71</v>
      </c>
      <c r="E35" s="77"/>
      <c r="F35" s="77"/>
      <c r="G35" s="77" t="str">
        <f t="shared" si="4"/>
        <v>Homepower 2_Local Authority</v>
      </c>
      <c r="H35" s="77" t="str">
        <f t="shared" si="0"/>
        <v>H201Y</v>
      </c>
      <c r="I35" s="77">
        <v>229.79</v>
      </c>
      <c r="J35" s="77">
        <v>229.79</v>
      </c>
      <c r="K35" s="77">
        <v>229.79</v>
      </c>
      <c r="L35" s="77">
        <v>229.79</v>
      </c>
      <c r="M35" s="77">
        <v>229.79</v>
      </c>
      <c r="N35" s="77">
        <v>229.79</v>
      </c>
      <c r="O35" s="78">
        <v>0</v>
      </c>
      <c r="P35" s="78">
        <v>0</v>
      </c>
      <c r="Q35" s="85">
        <v>229.79</v>
      </c>
      <c r="R35" s="85">
        <v>0.41</v>
      </c>
      <c r="S35" s="85">
        <v>43.6</v>
      </c>
      <c r="T35" s="85" t="s">
        <v>118</v>
      </c>
      <c r="U35" s="78">
        <v>69.010000000000005</v>
      </c>
      <c r="V35" s="85">
        <v>18.809999999999999</v>
      </c>
      <c r="W35" s="85" t="s">
        <v>118</v>
      </c>
      <c r="X35" s="85">
        <v>0</v>
      </c>
      <c r="Y35" s="85">
        <v>4.01</v>
      </c>
      <c r="Z35" s="85">
        <v>0</v>
      </c>
    </row>
    <row r="36" spans="2:26" ht="13.8">
      <c r="B36" s="77" t="s">
        <v>468</v>
      </c>
      <c r="C36" s="77" t="str">
        <f t="shared" si="3"/>
        <v>Homepower 3</v>
      </c>
      <c r="D36" s="77" t="s">
        <v>71</v>
      </c>
      <c r="E36" s="77"/>
      <c r="F36" s="77"/>
      <c r="G36" s="77" t="str">
        <f t="shared" si="4"/>
        <v>Homepower 3_Local Authority</v>
      </c>
      <c r="H36" s="77" t="str">
        <f t="shared" si="0"/>
        <v>H301Y</v>
      </c>
      <c r="I36" s="77">
        <v>229.79</v>
      </c>
      <c r="J36" s="77">
        <v>229.79</v>
      </c>
      <c r="K36" s="77">
        <v>229.79</v>
      </c>
      <c r="L36" s="77">
        <v>229.79</v>
      </c>
      <c r="M36" s="77">
        <v>229.79</v>
      </c>
      <c r="N36" s="77">
        <v>229.79</v>
      </c>
      <c r="O36" s="78">
        <v>0</v>
      </c>
      <c r="P36" s="78">
        <v>0</v>
      </c>
      <c r="Q36" s="85">
        <v>229.79</v>
      </c>
      <c r="R36" s="85">
        <v>0.41</v>
      </c>
      <c r="S36" s="85">
        <v>43.6</v>
      </c>
      <c r="T36" s="85" t="s">
        <v>118</v>
      </c>
      <c r="U36" s="78">
        <v>138.21</v>
      </c>
      <c r="V36" s="85">
        <v>18.809999999999999</v>
      </c>
      <c r="W36" s="85" t="s">
        <v>118</v>
      </c>
      <c r="X36" s="85">
        <v>0</v>
      </c>
      <c r="Y36" s="85">
        <v>8.4600000000000009</v>
      </c>
      <c r="Z36" s="85">
        <v>0</v>
      </c>
    </row>
    <row r="37" spans="2:26" ht="13.8">
      <c r="B37" s="92" t="s">
        <v>469</v>
      </c>
      <c r="C37" s="77" t="str">
        <f t="shared" si="3"/>
        <v>Homepower 4</v>
      </c>
      <c r="D37" s="77" t="s">
        <v>71</v>
      </c>
      <c r="E37" s="77"/>
      <c r="F37" s="77"/>
      <c r="G37" s="77" t="str">
        <f t="shared" si="4"/>
        <v>Homepower 4_Local Authority</v>
      </c>
      <c r="H37" s="77" t="str">
        <f t="shared" si="0"/>
        <v>H401Y</v>
      </c>
      <c r="I37" s="77">
        <v>349.28</v>
      </c>
      <c r="J37" s="77">
        <v>349.28</v>
      </c>
      <c r="K37" s="77">
        <v>349.28</v>
      </c>
      <c r="L37" s="77">
        <v>349.28</v>
      </c>
      <c r="M37" s="77">
        <v>349.28</v>
      </c>
      <c r="N37" s="77">
        <v>349.28</v>
      </c>
      <c r="O37" s="78">
        <v>0</v>
      </c>
      <c r="P37" s="78">
        <v>0</v>
      </c>
      <c r="Q37" s="85">
        <v>349.28</v>
      </c>
      <c r="R37" s="85">
        <v>0.41</v>
      </c>
      <c r="S37" s="85">
        <v>43.6</v>
      </c>
      <c r="T37" s="85" t="s">
        <v>118</v>
      </c>
      <c r="U37" s="78">
        <v>0</v>
      </c>
      <c r="V37" s="85">
        <v>0</v>
      </c>
      <c r="W37" s="85" t="s">
        <v>118</v>
      </c>
      <c r="X37" s="85">
        <v>0</v>
      </c>
      <c r="Y37" s="85">
        <v>0</v>
      </c>
      <c r="Z37" s="85">
        <v>0</v>
      </c>
    </row>
    <row r="38" spans="2:26" ht="13.8">
      <c r="C38" s="77" t="str">
        <f t="shared" si="3"/>
        <v>Homelight 20A</v>
      </c>
      <c r="D38" s="77" t="s">
        <v>71</v>
      </c>
      <c r="E38" s="77"/>
      <c r="F38" s="77"/>
      <c r="G38" s="77" t="str">
        <f t="shared" si="4"/>
        <v>Homelight 20A_Local Authority</v>
      </c>
      <c r="H38" s="77" t="str">
        <f t="shared" si="0"/>
        <v>HL2001Y</v>
      </c>
      <c r="I38" s="77">
        <v>349.28</v>
      </c>
      <c r="J38" s="77">
        <v>349.28</v>
      </c>
      <c r="K38" s="77">
        <v>349.28</v>
      </c>
      <c r="L38" s="77">
        <v>349.28</v>
      </c>
      <c r="M38" s="77">
        <v>349.28</v>
      </c>
      <c r="N38" s="77">
        <v>349.28</v>
      </c>
      <c r="O38" s="85">
        <v>0</v>
      </c>
      <c r="P38" s="85">
        <v>0</v>
      </c>
      <c r="Q38" s="85">
        <v>349.28</v>
      </c>
      <c r="R38" s="85">
        <v>0.41</v>
      </c>
      <c r="S38" s="85">
        <v>43.6</v>
      </c>
      <c r="T38" s="85" t="s">
        <v>118</v>
      </c>
      <c r="U38" s="85">
        <v>0</v>
      </c>
      <c r="V38" s="85">
        <v>0</v>
      </c>
      <c r="W38" s="85" t="s">
        <v>118</v>
      </c>
      <c r="X38" s="85">
        <v>0</v>
      </c>
      <c r="Y38" s="85">
        <v>0</v>
      </c>
      <c r="Z38" s="85">
        <v>0</v>
      </c>
    </row>
    <row r="39" spans="2:26" ht="13.8">
      <c r="C39" s="77" t="str">
        <f t="shared" si="3"/>
        <v>Homelight 60A</v>
      </c>
      <c r="D39" s="77" t="s">
        <v>71</v>
      </c>
      <c r="E39" s="77"/>
      <c r="F39" s="77"/>
      <c r="G39" s="77" t="str">
        <f t="shared" si="4"/>
        <v>Homelight 60A_Local Authority</v>
      </c>
      <c r="H39" s="77" t="str">
        <f t="shared" si="0"/>
        <v>HL6001Y</v>
      </c>
      <c r="I39" s="77">
        <v>349.28</v>
      </c>
      <c r="J39" s="77">
        <v>349.28</v>
      </c>
      <c r="K39" s="77">
        <v>349.28</v>
      </c>
      <c r="L39" s="77">
        <v>349.28</v>
      </c>
      <c r="M39" s="77">
        <v>349.28</v>
      </c>
      <c r="N39" s="77">
        <v>349.28</v>
      </c>
      <c r="O39" s="85">
        <v>0</v>
      </c>
      <c r="P39" s="85">
        <v>0</v>
      </c>
      <c r="Q39" s="85">
        <v>349.28</v>
      </c>
      <c r="R39" s="85">
        <v>0.41</v>
      </c>
      <c r="S39" s="85">
        <v>43.6</v>
      </c>
      <c r="T39" s="85" t="s">
        <v>118</v>
      </c>
      <c r="U39" s="85">
        <v>0</v>
      </c>
      <c r="V39" s="85">
        <v>0</v>
      </c>
      <c r="W39" s="85" t="s">
        <v>118</v>
      </c>
      <c r="X39" s="85">
        <v>0</v>
      </c>
      <c r="Y39" s="85">
        <v>0</v>
      </c>
      <c r="Z39" s="85">
        <v>0</v>
      </c>
    </row>
    <row r="40" spans="2:26" ht="13.8">
      <c r="B40" s="77" t="s">
        <v>466</v>
      </c>
      <c r="C40" s="77" t="str">
        <f t="shared" si="3"/>
        <v>Landrate 1</v>
      </c>
      <c r="D40" s="77" t="s">
        <v>71</v>
      </c>
      <c r="E40" s="77"/>
      <c r="F40" s="77"/>
      <c r="G40" s="77" t="str">
        <f t="shared" si="4"/>
        <v>Landrate 1_Local Authority</v>
      </c>
      <c r="H40" s="77" t="str">
        <f t="shared" si="0"/>
        <v>L101Y</v>
      </c>
      <c r="I40" s="77">
        <v>229.79</v>
      </c>
      <c r="J40" s="77">
        <v>229.79</v>
      </c>
      <c r="K40" s="77">
        <v>229.79</v>
      </c>
      <c r="L40" s="77">
        <v>229.79</v>
      </c>
      <c r="M40" s="77">
        <v>229.79</v>
      </c>
      <c r="N40" s="77">
        <v>229.79</v>
      </c>
      <c r="O40" s="85">
        <v>0</v>
      </c>
      <c r="P40" s="85">
        <v>0</v>
      </c>
      <c r="Q40" s="78">
        <v>229.79</v>
      </c>
      <c r="R40" s="78">
        <v>0.41</v>
      </c>
      <c r="S40" s="78">
        <v>43.6</v>
      </c>
      <c r="T40" s="78" t="s">
        <v>118</v>
      </c>
      <c r="U40" s="78">
        <v>34.06</v>
      </c>
      <c r="V40" s="78">
        <v>18.809999999999999</v>
      </c>
      <c r="W40" s="85" t="s">
        <v>118</v>
      </c>
      <c r="X40" s="85">
        <v>0</v>
      </c>
      <c r="Y40" s="78">
        <v>2.17</v>
      </c>
      <c r="Z40" s="85">
        <v>0</v>
      </c>
    </row>
    <row r="41" spans="2:26" ht="13.8">
      <c r="B41" s="92" t="s">
        <v>467</v>
      </c>
      <c r="C41" s="77" t="str">
        <f t="shared" si="3"/>
        <v>Landrate 2</v>
      </c>
      <c r="D41" s="77" t="s">
        <v>71</v>
      </c>
      <c r="E41" s="77"/>
      <c r="F41" s="77"/>
      <c r="G41" s="77" t="str">
        <f t="shared" si="4"/>
        <v>Landrate 2_Local Authority</v>
      </c>
      <c r="H41" s="77" t="str">
        <f t="shared" si="0"/>
        <v>L201Y</v>
      </c>
      <c r="I41" s="77">
        <v>229.79</v>
      </c>
      <c r="J41" s="77">
        <v>229.79</v>
      </c>
      <c r="K41" s="77">
        <v>229.79</v>
      </c>
      <c r="L41" s="77">
        <v>229.79</v>
      </c>
      <c r="M41" s="77">
        <v>229.79</v>
      </c>
      <c r="N41" s="77">
        <v>229.79</v>
      </c>
      <c r="O41" s="85">
        <v>0</v>
      </c>
      <c r="P41" s="85">
        <v>0</v>
      </c>
      <c r="Q41" s="78">
        <v>229.79</v>
      </c>
      <c r="R41" s="78">
        <v>0.41</v>
      </c>
      <c r="S41" s="78">
        <v>43.6</v>
      </c>
      <c r="T41" s="78" t="s">
        <v>118</v>
      </c>
      <c r="U41" s="78">
        <v>69.010000000000005</v>
      </c>
      <c r="V41" s="78">
        <v>18.809999999999999</v>
      </c>
      <c r="W41" s="85" t="s">
        <v>118</v>
      </c>
      <c r="X41" s="85">
        <v>0</v>
      </c>
      <c r="Y41" s="78">
        <v>4.01</v>
      </c>
      <c r="Z41" s="85">
        <v>0</v>
      </c>
    </row>
    <row r="42" spans="2:26" ht="13.8">
      <c r="B42" s="77" t="s">
        <v>468</v>
      </c>
      <c r="C42" s="77" t="str">
        <f t="shared" si="3"/>
        <v>Landrate 3</v>
      </c>
      <c r="D42" s="77" t="s">
        <v>71</v>
      </c>
      <c r="E42" s="77"/>
      <c r="F42" s="77"/>
      <c r="G42" s="77" t="str">
        <f t="shared" si="4"/>
        <v>Landrate 3_Local Authority</v>
      </c>
      <c r="H42" s="77" t="str">
        <f t="shared" si="0"/>
        <v>L301Y</v>
      </c>
      <c r="I42" s="77">
        <v>229.79</v>
      </c>
      <c r="J42" s="77">
        <v>229.79</v>
      </c>
      <c r="K42" s="77">
        <v>229.79</v>
      </c>
      <c r="L42" s="77">
        <v>229.79</v>
      </c>
      <c r="M42" s="77">
        <v>229.79</v>
      </c>
      <c r="N42" s="77">
        <v>229.79</v>
      </c>
      <c r="O42" s="85">
        <v>0</v>
      </c>
      <c r="P42" s="85">
        <v>0</v>
      </c>
      <c r="Q42" s="78">
        <v>229.79</v>
      </c>
      <c r="R42" s="78">
        <v>0.41</v>
      </c>
      <c r="S42" s="78">
        <v>43.6</v>
      </c>
      <c r="T42" s="78" t="s">
        <v>118</v>
      </c>
      <c r="U42" s="78">
        <v>138.21</v>
      </c>
      <c r="V42" s="78">
        <v>18.809999999999999</v>
      </c>
      <c r="W42" s="85" t="s">
        <v>118</v>
      </c>
      <c r="X42" s="85">
        <v>0</v>
      </c>
      <c r="Y42" s="78">
        <v>8.4600000000000009</v>
      </c>
      <c r="Z42" s="85">
        <v>0</v>
      </c>
    </row>
    <row r="43" spans="2:26" ht="13.8">
      <c r="B43" s="92" t="s">
        <v>469</v>
      </c>
      <c r="C43" s="77" t="str">
        <f t="shared" si="3"/>
        <v>Landrate 4</v>
      </c>
      <c r="D43" s="77" t="s">
        <v>71</v>
      </c>
      <c r="E43" s="77"/>
      <c r="F43" s="77"/>
      <c r="G43" s="77" t="str">
        <f t="shared" si="4"/>
        <v>Landrate 4_Local Authority</v>
      </c>
      <c r="H43" s="77" t="str">
        <f t="shared" si="0"/>
        <v>L401Y</v>
      </c>
      <c r="I43" s="77">
        <v>349.28</v>
      </c>
      <c r="J43" s="77">
        <v>349.28</v>
      </c>
      <c r="K43" s="77">
        <v>349.28</v>
      </c>
      <c r="L43" s="77">
        <v>349.28</v>
      </c>
      <c r="M43" s="77">
        <v>349.28</v>
      </c>
      <c r="N43" s="77">
        <v>349.28</v>
      </c>
      <c r="O43" s="85">
        <v>0</v>
      </c>
      <c r="P43" s="85">
        <v>0</v>
      </c>
      <c r="Q43" s="78">
        <v>349.28</v>
      </c>
      <c r="R43" s="78">
        <v>0.41</v>
      </c>
      <c r="S43" s="78">
        <v>43.6</v>
      </c>
      <c r="T43" s="78" t="s">
        <v>118</v>
      </c>
      <c r="U43" s="78">
        <v>0</v>
      </c>
      <c r="V43" s="78">
        <v>0</v>
      </c>
      <c r="W43" s="85" t="s">
        <v>118</v>
      </c>
      <c r="X43" s="85">
        <v>0</v>
      </c>
      <c r="Y43" s="78">
        <v>0</v>
      </c>
      <c r="Z43" s="85">
        <v>0</v>
      </c>
    </row>
    <row r="44" spans="2:26" ht="13.8">
      <c r="C44" s="77" t="str">
        <f t="shared" si="3"/>
        <v>Landrate Dx</v>
      </c>
      <c r="D44" s="77" t="s">
        <v>71</v>
      </c>
      <c r="E44" s="77"/>
      <c r="F44" s="77"/>
      <c r="G44" s="77" t="str">
        <f t="shared" ref="G44:G53" si="5">C44&amp;"_"&amp;D44</f>
        <v>Landrate Dx_Local Authority</v>
      </c>
      <c r="H44" s="77" t="str">
        <f t="shared" si="0"/>
        <v>Ld01Y</v>
      </c>
      <c r="I44" s="77">
        <v>0</v>
      </c>
      <c r="J44" s="77">
        <v>0</v>
      </c>
      <c r="K44" s="77">
        <v>0</v>
      </c>
      <c r="L44" s="77">
        <v>0</v>
      </c>
      <c r="M44" s="77">
        <v>0</v>
      </c>
      <c r="N44" s="77">
        <v>0</v>
      </c>
      <c r="O44" s="85">
        <v>0</v>
      </c>
      <c r="P44" s="85">
        <v>0</v>
      </c>
      <c r="Q44" s="78">
        <v>0</v>
      </c>
      <c r="R44" s="78">
        <v>0</v>
      </c>
      <c r="S44" s="78">
        <v>0</v>
      </c>
      <c r="T44" s="78" t="s">
        <v>118</v>
      </c>
      <c r="U44" s="78">
        <v>0</v>
      </c>
      <c r="V44" s="78">
        <v>31.544682225344499</v>
      </c>
      <c r="W44" s="85" t="s">
        <v>118</v>
      </c>
      <c r="X44" s="85">
        <v>0</v>
      </c>
      <c r="Y44" s="78">
        <v>0</v>
      </c>
      <c r="Z44" s="85">
        <v>0</v>
      </c>
    </row>
    <row r="45" spans="2:26" ht="13.8">
      <c r="C45" s="77" t="s">
        <v>402</v>
      </c>
      <c r="D45" s="77" t="s">
        <v>71</v>
      </c>
      <c r="E45" s="77"/>
      <c r="F45" s="77"/>
      <c r="G45" s="77" t="str">
        <f t="shared" si="5"/>
        <v>Landlight 20A_Local Authority</v>
      </c>
      <c r="H45" s="193" t="str">
        <f t="shared" ref="H45:H53" si="6">INDEX(Matrix_Tariff_Map,MATCH(C45,Matrix_Model_Tariffs,0),2)&amp;IFERROR(INDEX(Matrix_Transmission_Map,MATCH(E45,Matrix_Model_Transmission,0),2),0)&amp;IFERROR(INDEX(Matrix_Voltage_Map,MATCH(F45,Matrix_Model_Voltage,0),2),1)&amp;INDEX(Matrix_Category_Map,MATCH(D45,Matrix_Model_Category,0),2)</f>
        <v>Lt2001Y</v>
      </c>
      <c r="I45" s="193">
        <v>349.28</v>
      </c>
      <c r="J45" s="193">
        <v>349.28</v>
      </c>
      <c r="K45" s="193">
        <v>349.28</v>
      </c>
      <c r="L45" s="193">
        <v>349.28</v>
      </c>
      <c r="M45" s="193">
        <v>349.28</v>
      </c>
      <c r="N45" s="193">
        <v>349.28</v>
      </c>
      <c r="O45" s="85">
        <v>0</v>
      </c>
      <c r="P45" s="85">
        <v>0</v>
      </c>
      <c r="Q45" s="78">
        <v>349.28</v>
      </c>
      <c r="R45" s="78">
        <v>0.41</v>
      </c>
      <c r="S45" s="78">
        <v>43.6</v>
      </c>
      <c r="T45" s="78" t="s">
        <v>118</v>
      </c>
      <c r="U45" s="78">
        <v>0</v>
      </c>
      <c r="V45" s="78">
        <v>0</v>
      </c>
      <c r="W45" s="85" t="s">
        <v>118</v>
      </c>
      <c r="X45" s="85">
        <v>0</v>
      </c>
      <c r="Y45" s="78">
        <v>0</v>
      </c>
      <c r="Z45" s="85">
        <v>0</v>
      </c>
    </row>
    <row r="46" spans="2:26" ht="13.8">
      <c r="C46" s="77" t="s">
        <v>403</v>
      </c>
      <c r="D46" s="77" t="s">
        <v>71</v>
      </c>
      <c r="E46" s="77"/>
      <c r="F46" s="77"/>
      <c r="G46" s="77" t="str">
        <f t="shared" si="5"/>
        <v>Landlight 60A_Local Authority</v>
      </c>
      <c r="H46" s="193" t="str">
        <f t="shared" si="6"/>
        <v>Lt6001Y</v>
      </c>
      <c r="I46" s="193">
        <v>349.28</v>
      </c>
      <c r="J46" s="193">
        <v>349.28</v>
      </c>
      <c r="K46" s="193">
        <v>349.28</v>
      </c>
      <c r="L46" s="193">
        <v>349.28</v>
      </c>
      <c r="M46" s="193">
        <v>349.28</v>
      </c>
      <c r="N46" s="193">
        <v>349.28</v>
      </c>
      <c r="O46" s="85">
        <v>0</v>
      </c>
      <c r="P46" s="85">
        <v>0</v>
      </c>
      <c r="Q46" s="78">
        <v>349.28</v>
      </c>
      <c r="R46" s="78">
        <v>0.41</v>
      </c>
      <c r="S46" s="78">
        <v>43.6</v>
      </c>
      <c r="T46" s="78" t="s">
        <v>118</v>
      </c>
      <c r="U46" s="78">
        <v>0</v>
      </c>
      <c r="V46" s="78">
        <v>0</v>
      </c>
      <c r="W46" s="85" t="s">
        <v>118</v>
      </c>
      <c r="X46" s="85">
        <v>0</v>
      </c>
      <c r="Y46" s="78">
        <v>0</v>
      </c>
      <c r="Z46" s="85">
        <v>0</v>
      </c>
    </row>
    <row r="47" spans="2:26" ht="13.8">
      <c r="C47" s="77" t="s">
        <v>348</v>
      </c>
      <c r="D47" s="77" t="s">
        <v>71</v>
      </c>
      <c r="E47" s="77"/>
      <c r="F47" s="77"/>
      <c r="G47" s="77" t="str">
        <f t="shared" si="5"/>
        <v>Public Lighting 24 Hours_Local Authority</v>
      </c>
      <c r="H47" s="193" t="str">
        <f t="shared" si="6"/>
        <v>Pu01Y</v>
      </c>
      <c r="I47" s="193">
        <v>227.81</v>
      </c>
      <c r="J47" s="193">
        <v>227.81</v>
      </c>
      <c r="K47" s="193">
        <v>227.81</v>
      </c>
      <c r="L47" s="193">
        <v>227.81</v>
      </c>
      <c r="M47" s="193">
        <v>227.81</v>
      </c>
      <c r="N47" s="193">
        <v>227.81</v>
      </c>
      <c r="O47" s="85">
        <v>0</v>
      </c>
      <c r="P47" s="85">
        <v>0</v>
      </c>
      <c r="Q47" s="78">
        <v>227.81</v>
      </c>
      <c r="R47" s="78">
        <v>0</v>
      </c>
      <c r="S47" s="78">
        <v>0</v>
      </c>
      <c r="T47" s="78" t="s">
        <v>118</v>
      </c>
      <c r="U47" s="78">
        <v>0</v>
      </c>
      <c r="V47" s="78">
        <v>0</v>
      </c>
      <c r="W47" s="85" t="s">
        <v>118</v>
      </c>
      <c r="X47" s="85">
        <v>0</v>
      </c>
      <c r="Y47" s="78">
        <v>0</v>
      </c>
      <c r="Z47" s="85">
        <v>0</v>
      </c>
    </row>
    <row r="48" spans="2:26" ht="13.8">
      <c r="C48" s="77" t="s">
        <v>347</v>
      </c>
      <c r="D48" s="77" t="s">
        <v>71</v>
      </c>
      <c r="E48" s="77"/>
      <c r="F48" s="77"/>
      <c r="G48" s="77" t="str">
        <f t="shared" si="5"/>
        <v>Public Lighting All Night_Local Authority</v>
      </c>
      <c r="H48" s="193" t="str">
        <f t="shared" si="6"/>
        <v>Pa01Y</v>
      </c>
      <c r="I48" s="193">
        <v>257.35000000000002</v>
      </c>
      <c r="J48" s="193">
        <v>257.35000000000002</v>
      </c>
      <c r="K48" s="193">
        <v>257.35000000000002</v>
      </c>
      <c r="L48" s="193">
        <v>257.35000000000002</v>
      </c>
      <c r="M48" s="193">
        <v>257.35000000000002</v>
      </c>
      <c r="N48" s="193">
        <v>257.35000000000002</v>
      </c>
      <c r="O48" s="85">
        <v>0</v>
      </c>
      <c r="P48" s="85">
        <v>0</v>
      </c>
      <c r="Q48" s="78">
        <v>257.35000000000002</v>
      </c>
      <c r="R48" s="78">
        <v>0</v>
      </c>
      <c r="S48" s="78">
        <v>0</v>
      </c>
      <c r="T48" s="78" t="s">
        <v>118</v>
      </c>
      <c r="U48" s="78">
        <v>0</v>
      </c>
      <c r="V48" s="78">
        <v>0</v>
      </c>
      <c r="W48" s="85" t="s">
        <v>118</v>
      </c>
      <c r="X48" s="85">
        <v>0</v>
      </c>
      <c r="Y48" s="78">
        <v>0</v>
      </c>
      <c r="Z48" s="85">
        <v>0</v>
      </c>
    </row>
    <row r="49" spans="3:26" ht="13.8">
      <c r="C49" s="77" t="s">
        <v>349</v>
      </c>
      <c r="D49" s="77" t="s">
        <v>71</v>
      </c>
      <c r="E49" s="77"/>
      <c r="F49" s="77"/>
      <c r="G49" s="77" t="str">
        <f t="shared" si="5"/>
        <v>Public Lighting Urban Fixed_Local Authority</v>
      </c>
      <c r="H49" s="193" t="str">
        <f t="shared" si="6"/>
        <v>Pt01Y</v>
      </c>
      <c r="I49" s="193">
        <v>0</v>
      </c>
      <c r="J49" s="193">
        <v>0</v>
      </c>
      <c r="K49" s="193">
        <v>0</v>
      </c>
      <c r="L49" s="193">
        <v>0</v>
      </c>
      <c r="M49" s="193">
        <v>0</v>
      </c>
      <c r="N49" s="193">
        <v>0</v>
      </c>
      <c r="O49" s="85">
        <v>0</v>
      </c>
      <c r="P49" s="85">
        <v>0</v>
      </c>
      <c r="Q49" s="78">
        <v>0</v>
      </c>
      <c r="R49" s="78">
        <v>0</v>
      </c>
      <c r="S49" s="78">
        <v>0</v>
      </c>
      <c r="T49" s="78" t="s">
        <v>118</v>
      </c>
      <c r="U49" s="78">
        <v>0</v>
      </c>
      <c r="V49" s="78">
        <v>31.544682225344499</v>
      </c>
      <c r="W49" s="85" t="s">
        <v>118</v>
      </c>
      <c r="X49" s="85">
        <v>0</v>
      </c>
      <c r="Y49" s="78">
        <v>0</v>
      </c>
      <c r="Z49" s="85">
        <v>0</v>
      </c>
    </row>
    <row r="50" spans="3:26" ht="13.8">
      <c r="C50" s="77" t="s">
        <v>535</v>
      </c>
      <c r="D50" s="77" t="s">
        <v>72</v>
      </c>
      <c r="E50" s="77"/>
      <c r="F50" s="77"/>
      <c r="G50" s="77" t="str">
        <f t="shared" si="5"/>
        <v>Homeflex 1_Non-Local Authority</v>
      </c>
      <c r="H50" s="193" t="str">
        <f t="shared" si="6"/>
        <v>HF101N</v>
      </c>
      <c r="I50" s="193">
        <v>706.97</v>
      </c>
      <c r="J50" s="193">
        <v>216.31</v>
      </c>
      <c r="K50" s="193">
        <v>159.26</v>
      </c>
      <c r="L50" s="193">
        <v>329.28</v>
      </c>
      <c r="M50" s="193">
        <v>204.9</v>
      </c>
      <c r="N50" s="193">
        <v>159.26</v>
      </c>
      <c r="O50" s="85" t="s">
        <v>118</v>
      </c>
      <c r="P50" s="85" t="s">
        <v>118</v>
      </c>
      <c r="Q50" s="78" t="s">
        <v>118</v>
      </c>
      <c r="R50" s="78">
        <v>0.41</v>
      </c>
      <c r="S50" s="78">
        <v>26.37</v>
      </c>
      <c r="T50" s="78" t="s">
        <v>118</v>
      </c>
      <c r="U50" s="78">
        <v>12.13</v>
      </c>
      <c r="V50" s="78">
        <v>3.27</v>
      </c>
      <c r="W50" s="85" t="s">
        <v>118</v>
      </c>
      <c r="X50" s="85">
        <v>0</v>
      </c>
      <c r="Y50" s="305">
        <v>0.72</v>
      </c>
      <c r="Z50" s="305">
        <v>22.78</v>
      </c>
    </row>
    <row r="51" spans="3:26" ht="13.8">
      <c r="C51" s="77" t="s">
        <v>536</v>
      </c>
      <c r="D51" s="77" t="s">
        <v>72</v>
      </c>
      <c r="E51" s="77"/>
      <c r="F51" s="77"/>
      <c r="G51" s="77" t="str">
        <f t="shared" si="5"/>
        <v>Homeflex 2_Non-Local Authority</v>
      </c>
      <c r="H51" s="193" t="str">
        <f t="shared" si="6"/>
        <v>HF201N</v>
      </c>
      <c r="I51" s="193">
        <v>706.97</v>
      </c>
      <c r="J51" s="193">
        <v>216.31</v>
      </c>
      <c r="K51" s="193">
        <v>159.26</v>
      </c>
      <c r="L51" s="193">
        <v>329.28</v>
      </c>
      <c r="M51" s="193">
        <v>204.9</v>
      </c>
      <c r="N51" s="193">
        <v>159.26</v>
      </c>
      <c r="O51" s="85" t="s">
        <v>118</v>
      </c>
      <c r="P51" s="85" t="s">
        <v>118</v>
      </c>
      <c r="Q51" s="78" t="s">
        <v>118</v>
      </c>
      <c r="R51" s="78">
        <v>0.41</v>
      </c>
      <c r="S51" s="78">
        <v>26.37</v>
      </c>
      <c r="T51" s="78" t="s">
        <v>118</v>
      </c>
      <c r="U51" s="78">
        <v>27.07</v>
      </c>
      <c r="V51" s="78">
        <v>3.27</v>
      </c>
      <c r="W51" s="85" t="s">
        <v>118</v>
      </c>
      <c r="X51" s="85">
        <v>0</v>
      </c>
      <c r="Y51" s="305">
        <v>1.27</v>
      </c>
      <c r="Z51" s="305">
        <v>22.78</v>
      </c>
    </row>
    <row r="52" spans="3:26" ht="13.8">
      <c r="C52" s="77" t="s">
        <v>537</v>
      </c>
      <c r="D52" s="77" t="s">
        <v>72</v>
      </c>
      <c r="E52" s="77"/>
      <c r="F52" s="77"/>
      <c r="G52" s="77" t="str">
        <f t="shared" si="5"/>
        <v>Homeflex 3_Non-Local Authority</v>
      </c>
      <c r="H52" s="193" t="str">
        <f t="shared" si="6"/>
        <v>HF301N</v>
      </c>
      <c r="I52" s="193">
        <v>706.97</v>
      </c>
      <c r="J52" s="193">
        <v>216.31</v>
      </c>
      <c r="K52" s="193">
        <v>159.26</v>
      </c>
      <c r="L52" s="193">
        <v>329.28</v>
      </c>
      <c r="M52" s="193">
        <v>204.9</v>
      </c>
      <c r="N52" s="193">
        <v>159.26</v>
      </c>
      <c r="O52" s="85" t="s">
        <v>118</v>
      </c>
      <c r="P52" s="85" t="s">
        <v>118</v>
      </c>
      <c r="Q52" s="78" t="s">
        <v>118</v>
      </c>
      <c r="R52" s="78">
        <v>0.41</v>
      </c>
      <c r="S52" s="78">
        <v>26.37</v>
      </c>
      <c r="T52" s="78" t="s">
        <v>118</v>
      </c>
      <c r="U52" s="78">
        <v>57.82</v>
      </c>
      <c r="V52" s="78">
        <v>3.27</v>
      </c>
      <c r="W52" s="85" t="s">
        <v>118</v>
      </c>
      <c r="X52" s="85">
        <v>0</v>
      </c>
      <c r="Y52" s="305">
        <v>3.1</v>
      </c>
      <c r="Z52" s="305">
        <v>22.78</v>
      </c>
    </row>
    <row r="53" spans="3:26" ht="13.8">
      <c r="C53" s="77" t="s">
        <v>538</v>
      </c>
      <c r="D53" s="77" t="s">
        <v>72</v>
      </c>
      <c r="E53" s="77"/>
      <c r="F53" s="77"/>
      <c r="G53" s="77" t="str">
        <f t="shared" si="5"/>
        <v>Homeflex 4_Non-Local Authority</v>
      </c>
      <c r="H53" s="193" t="str">
        <f t="shared" si="6"/>
        <v>HF401N</v>
      </c>
      <c r="I53" s="193">
        <v>706.97</v>
      </c>
      <c r="J53" s="193">
        <v>216.31</v>
      </c>
      <c r="K53" s="193">
        <v>159.26</v>
      </c>
      <c r="L53" s="193">
        <v>329.28</v>
      </c>
      <c r="M53" s="193">
        <v>204.9</v>
      </c>
      <c r="N53" s="193">
        <v>159.26</v>
      </c>
      <c r="O53" s="85" t="s">
        <v>118</v>
      </c>
      <c r="P53" s="85" t="s">
        <v>118</v>
      </c>
      <c r="Q53" s="78" t="s">
        <v>118</v>
      </c>
      <c r="R53" s="78">
        <v>0.41</v>
      </c>
      <c r="S53" s="78">
        <v>26.37</v>
      </c>
      <c r="T53" s="78" t="s">
        <v>118</v>
      </c>
      <c r="U53" s="78">
        <v>8.35</v>
      </c>
      <c r="V53" s="78">
        <v>3.27</v>
      </c>
      <c r="W53" s="85" t="s">
        <v>118</v>
      </c>
      <c r="X53" s="85">
        <v>0</v>
      </c>
      <c r="Y53" s="305">
        <v>0.47</v>
      </c>
      <c r="Z53" s="305">
        <v>22.78</v>
      </c>
    </row>
  </sheetData>
  <sheetProtection algorithmName="SHA-512" hashValue="e4NinmelBLCAqvHqwBqdGKNNJxiZXgq8hSpNEdKQBnG4Nf/eiDdVoMolAmqESaMxxkM+rIAFP7hKBrh5HaR47w==" saltValue="nB1K7bP0aAjDyybgTRT6Ww==" spinCount="100000" sheet="1" objects="1" scenarios="1"/>
  <phoneticPr fontId="35" type="noConversion"/>
  <conditionalFormatting sqref="C6">
    <cfRule type="expression" dxfId="377" priority="2">
      <formula>C6&lt;&gt;#REF!</formula>
    </cfRule>
  </conditionalFormatting>
  <dataValidations count="2">
    <dataValidation type="list" allowBlank="1" showInputMessage="1" showErrorMessage="1" sqref="C8:C53" xr:uid="{00000000-0002-0000-0900-000000000000}">
      <formula1>Full_Tariff_List</formula1>
    </dataValidation>
    <dataValidation type="list" allowBlank="1" showInputMessage="1" showErrorMessage="1" sqref="D8:D53" xr:uid="{00000000-0002-0000-0900-000001000000}">
      <formula1>Tariff_Category_List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0">
    <tabColor rgb="FF92D050"/>
  </sheetPr>
  <dimension ref="C1:V52"/>
  <sheetViews>
    <sheetView showGridLines="0" zoomScale="85" zoomScaleNormal="85" workbookViewId="0">
      <pane xSplit="7" ySplit="8" topLeftCell="H9" activePane="bottomRight" state="frozen"/>
      <selection activeCell="A5" sqref="A5"/>
      <selection pane="topRight" activeCell="A5" sqref="A5"/>
      <selection pane="bottomLeft" activeCell="A5" sqref="A5"/>
      <selection pane="bottomRight" activeCell="C17" sqref="C17"/>
    </sheetView>
  </sheetViews>
  <sheetFormatPr defaultColWidth="9.28515625" defaultRowHeight="12"/>
  <cols>
    <col min="1" max="2" width="2.7109375" customWidth="1"/>
    <col min="3" max="3" width="15.7109375" customWidth="1"/>
    <col min="4" max="4" width="22.42578125" customWidth="1"/>
    <col min="5" max="5" width="13.140625" customWidth="1"/>
    <col min="6" max="6" width="22" customWidth="1"/>
    <col min="7" max="7" width="47" bestFit="1" customWidth="1"/>
    <col min="8" max="13" width="12.7109375" customWidth="1"/>
    <col min="19" max="19" width="35.7109375" customWidth="1"/>
    <col min="20" max="22" width="9.28515625" customWidth="1"/>
  </cols>
  <sheetData>
    <row r="1" spans="3:22" ht="4.05" customHeight="1"/>
    <row r="2" spans="3:22" ht="33" customHeight="1"/>
    <row r="3" spans="3:22" ht="4.05" customHeight="1"/>
    <row r="4" spans="3:22" ht="15">
      <c r="C4" s="2" t="str">
        <f>"Large Power User | Other Charges Inputs | "&amp;New_Period</f>
        <v>Large Power User | Other Charges Inputs | 2026/27</v>
      </c>
      <c r="D4" s="2"/>
      <c r="E4" s="2"/>
      <c r="F4" s="2"/>
      <c r="G4" s="2"/>
      <c r="H4" s="2"/>
      <c r="I4" s="2"/>
      <c r="J4" s="2"/>
      <c r="K4" s="2"/>
      <c r="L4" s="2"/>
      <c r="M4" s="2"/>
    </row>
    <row r="5" spans="3:22" s="77" customFormat="1" ht="13.8"/>
    <row r="6" spans="3:22" s="77" customFormat="1" ht="13.8">
      <c r="C6" s="69" t="s">
        <v>157</v>
      </c>
      <c r="D6" s="70"/>
      <c r="E6" s="70"/>
      <c r="F6" s="71"/>
      <c r="G6" s="72"/>
      <c r="H6" s="73"/>
      <c r="I6" s="100" t="s">
        <v>353</v>
      </c>
      <c r="J6" s="83"/>
      <c r="K6" s="83" t="s">
        <v>301</v>
      </c>
      <c r="L6" s="101"/>
      <c r="M6" s="102" t="s">
        <v>300</v>
      </c>
    </row>
    <row r="7" spans="3:22" s="77" customFormat="1" ht="13.8">
      <c r="C7" s="97"/>
      <c r="F7" s="98"/>
      <c r="H7" s="99"/>
      <c r="I7" s="103"/>
      <c r="J7" s="104"/>
      <c r="K7" s="104"/>
      <c r="L7" s="103"/>
      <c r="M7" s="105"/>
    </row>
    <row r="8" spans="3:22" s="77" customFormat="1" ht="69">
      <c r="C8" s="75" t="s">
        <v>31</v>
      </c>
      <c r="D8" s="76" t="s">
        <v>32</v>
      </c>
      <c r="E8" s="76" t="s">
        <v>102</v>
      </c>
      <c r="F8" s="76" t="s">
        <v>138</v>
      </c>
      <c r="G8" s="76" t="s">
        <v>76</v>
      </c>
      <c r="H8" s="76" t="s">
        <v>247</v>
      </c>
      <c r="I8" s="76" t="s">
        <v>152</v>
      </c>
      <c r="J8" s="76" t="s">
        <v>153</v>
      </c>
      <c r="K8" s="76" t="s">
        <v>154</v>
      </c>
      <c r="L8" s="76" t="s">
        <v>155</v>
      </c>
      <c r="M8" s="76" t="s">
        <v>156</v>
      </c>
      <c r="O8" s="80"/>
      <c r="S8" s="221" t="s">
        <v>425</v>
      </c>
      <c r="T8" s="220" t="s">
        <v>24</v>
      </c>
      <c r="U8" s="220" t="s">
        <v>426</v>
      </c>
    </row>
    <row r="9" spans="3:22" s="77" customFormat="1" ht="13.8">
      <c r="C9" s="77" t="s">
        <v>41</v>
      </c>
      <c r="D9" s="77" t="s">
        <v>72</v>
      </c>
      <c r="G9" s="77" t="str">
        <f t="shared" ref="G9:G19" si="0">C9&amp;"_"&amp;D9</f>
        <v>Megaflex_Non-Local Authority</v>
      </c>
      <c r="H9" s="77" t="str">
        <f>Rates_Other_Current[[#This Row],[Matrix Code]]</f>
        <v>Me01N</v>
      </c>
      <c r="I9" s="78">
        <v>5.37</v>
      </c>
      <c r="J9" s="78" t="s">
        <v>118</v>
      </c>
      <c r="K9" s="78">
        <v>34.49</v>
      </c>
      <c r="L9" s="78" t="s">
        <v>118</v>
      </c>
      <c r="M9" s="78">
        <v>5.0999999999999996</v>
      </c>
      <c r="S9" s="220" t="str">
        <f>Rates_Other_New[[#This Row],[Tariff]] &amp; " " &amp; Rates_Other_New[[#This Row],[Tariff Category]]</f>
        <v>Megaflex Non-Local Authority</v>
      </c>
      <c r="T9" s="220">
        <f>SUM(Rates_Other_New[[#This Row],[Electrification and rural subsidy  c/kWh]:[Affordability Subsidy c/kWh]])</f>
        <v>44.96</v>
      </c>
      <c r="U9" s="220">
        <v>44.96</v>
      </c>
      <c r="V9" s="77" t="b">
        <f>T9 = U9</f>
        <v>1</v>
      </c>
    </row>
    <row r="10" spans="3:22" s="77" customFormat="1" ht="13.8">
      <c r="C10" s="77" t="s">
        <v>465</v>
      </c>
      <c r="D10" s="77" t="s">
        <v>71</v>
      </c>
      <c r="G10" s="77" t="str">
        <f>C10&amp;"_"&amp;D10</f>
        <v>Municflex_Local Authority</v>
      </c>
      <c r="H10" s="77" t="s">
        <v>472</v>
      </c>
      <c r="I10" s="78">
        <v>5.47</v>
      </c>
      <c r="J10" s="78" t="s">
        <v>118</v>
      </c>
      <c r="K10" s="78">
        <v>35.1</v>
      </c>
      <c r="L10" s="78" t="s">
        <v>118</v>
      </c>
      <c r="M10" s="78">
        <v>0</v>
      </c>
      <c r="S10" s="220" t="str">
        <f>Rates_Other_New[[#This Row],[Tariff]] &amp; " " &amp; Rates_Other_New[[#This Row],[Tariff Category]]</f>
        <v>Municflex Local Authority</v>
      </c>
      <c r="T10" s="220">
        <f>SUM(Rates_Other_New[[#This Row],[Electrification and rural subsidy  c/kWh]:[Affordability Subsidy c/kWh]])</f>
        <v>40.57</v>
      </c>
      <c r="U10" s="220">
        <v>40.57</v>
      </c>
      <c r="V10" s="77" t="b">
        <f t="shared" ref="V10:V20" si="1">T10 = U10</f>
        <v>1</v>
      </c>
    </row>
    <row r="11" spans="3:22" s="77" customFormat="1" ht="13.8">
      <c r="C11" s="77" t="s">
        <v>42</v>
      </c>
      <c r="D11" s="77" t="s">
        <v>72</v>
      </c>
      <c r="G11" s="77" t="str">
        <f t="shared" si="0"/>
        <v>Miniflex_Non-Local Authority</v>
      </c>
      <c r="H11" s="77" t="str">
        <f>Rates_Other_Current[[#This Row],[Matrix Code]]</f>
        <v>Mi01N</v>
      </c>
      <c r="I11" s="78">
        <v>5.37</v>
      </c>
      <c r="J11" s="78" t="s">
        <v>118</v>
      </c>
      <c r="K11" s="78">
        <v>15.02</v>
      </c>
      <c r="L11" s="78" t="s">
        <v>118</v>
      </c>
      <c r="M11" s="78">
        <v>5.0999999999999996</v>
      </c>
      <c r="S11" s="220" t="str">
        <f>Rates_Other_New[[#This Row],[Tariff]] &amp; " " &amp; Rates_Other_New[[#This Row],[Tariff Category]]</f>
        <v>Miniflex Non-Local Authority</v>
      </c>
      <c r="T11" s="220">
        <f>SUM(Rates_Other_New[[#This Row],[Electrification and rural subsidy  c/kWh]:[Affordability Subsidy c/kWh]])</f>
        <v>25.490000000000002</v>
      </c>
      <c r="U11" s="220">
        <v>25.490000000000002</v>
      </c>
      <c r="V11" s="77" t="b">
        <f t="shared" si="1"/>
        <v>1</v>
      </c>
    </row>
    <row r="12" spans="3:22" s="77" customFormat="1" ht="13.8">
      <c r="C12" s="77" t="s">
        <v>465</v>
      </c>
      <c r="D12" s="77" t="s">
        <v>71</v>
      </c>
      <c r="G12" s="77" t="str">
        <f>C12&amp;"_"&amp;D12</f>
        <v>Municflex_Local Authority</v>
      </c>
      <c r="H12" s="77" t="s">
        <v>472</v>
      </c>
      <c r="I12" s="78">
        <v>5.47</v>
      </c>
      <c r="J12" s="78" t="s">
        <v>118</v>
      </c>
      <c r="K12" s="78">
        <v>35.1</v>
      </c>
      <c r="L12" s="78" t="s">
        <v>118</v>
      </c>
      <c r="M12" s="78">
        <v>0</v>
      </c>
      <c r="S12" s="220" t="str">
        <f>Rates_Other_New[[#This Row],[Tariff]] &amp; " " &amp; Rates_Other_New[[#This Row],[Tariff Category]]</f>
        <v>Municflex Local Authority</v>
      </c>
      <c r="T12" s="220">
        <f>SUM(Rates_Other_New[[#This Row],[Electrification and rural subsidy  c/kWh]:[Affordability Subsidy c/kWh]])</f>
        <v>40.57</v>
      </c>
      <c r="U12" s="220">
        <v>40.57</v>
      </c>
      <c r="V12" s="77" t="b">
        <f t="shared" si="1"/>
        <v>1</v>
      </c>
    </row>
    <row r="13" spans="3:22" s="77" customFormat="1" ht="13.8">
      <c r="C13" s="77" t="s">
        <v>46</v>
      </c>
      <c r="D13" s="77" t="s">
        <v>72</v>
      </c>
      <c r="G13" s="77" t="str">
        <f t="shared" si="0"/>
        <v>Ruraflex_Non-Local Authority</v>
      </c>
      <c r="H13" s="77" t="str">
        <f>Rates_Other_Current[[#This Row],[Matrix Code]]</f>
        <v>Ru01N</v>
      </c>
      <c r="I13" s="78">
        <v>0</v>
      </c>
      <c r="J13" s="78" t="s">
        <v>118</v>
      </c>
      <c r="K13" s="78">
        <v>21.57</v>
      </c>
      <c r="L13" s="78" t="s">
        <v>118</v>
      </c>
      <c r="M13" s="78">
        <v>0</v>
      </c>
      <c r="S13" s="220" t="str">
        <f>Rates_Other_New[[#This Row],[Tariff]] &amp; " " &amp; Rates_Other_New[[#This Row],[Tariff Category]]</f>
        <v>Ruraflex Non-Local Authority</v>
      </c>
      <c r="T13" s="220">
        <f>SUM(Rates_Other_New[[#This Row],[Electrification and rural subsidy  c/kWh]:[Affordability Subsidy c/kWh]])</f>
        <v>21.57</v>
      </c>
      <c r="U13" s="220">
        <v>21.57</v>
      </c>
      <c r="V13" s="77" t="b">
        <f t="shared" si="1"/>
        <v>1</v>
      </c>
    </row>
    <row r="14" spans="3:22" s="77" customFormat="1" ht="13.8">
      <c r="C14" s="77" t="s">
        <v>465</v>
      </c>
      <c r="D14" s="77" t="s">
        <v>71</v>
      </c>
      <c r="G14" s="77" t="str">
        <f>C14&amp;"_"&amp;D14</f>
        <v>Municflex_Local Authority</v>
      </c>
      <c r="H14" s="77" t="s">
        <v>472</v>
      </c>
      <c r="I14" s="78">
        <v>5.47</v>
      </c>
      <c r="J14" s="78" t="s">
        <v>118</v>
      </c>
      <c r="K14" s="78">
        <v>35.1</v>
      </c>
      <c r="L14" s="78" t="s">
        <v>118</v>
      </c>
      <c r="M14" s="78">
        <v>0</v>
      </c>
      <c r="S14" s="220" t="str">
        <f>Rates_Other_New[[#This Row],[Tariff]] &amp; " " &amp; Rates_Other_New[[#This Row],[Tariff Category]]</f>
        <v>Municflex Local Authority</v>
      </c>
      <c r="T14" s="220">
        <f>SUM(Rates_Other_New[[#This Row],[Electrification and rural subsidy  c/kWh]:[Affordability Subsidy c/kWh]])</f>
        <v>40.57</v>
      </c>
      <c r="U14" s="220">
        <v>40.57</v>
      </c>
      <c r="V14" s="77" t="b">
        <f t="shared" si="1"/>
        <v>1</v>
      </c>
    </row>
    <row r="15" spans="3:22" s="77" customFormat="1" ht="13.8">
      <c r="C15" s="77" t="s">
        <v>45</v>
      </c>
      <c r="D15" s="77" t="s">
        <v>72</v>
      </c>
      <c r="G15" s="77" t="str">
        <f t="shared" si="0"/>
        <v>Nightsave Small_Non-Local Authority</v>
      </c>
      <c r="H15" s="77" t="str">
        <f>Rates_Other_Current[[#This Row],[Matrix Code]]</f>
        <v>NS01N</v>
      </c>
      <c r="I15" s="78">
        <v>5.37</v>
      </c>
      <c r="J15" s="78" t="s">
        <v>118</v>
      </c>
      <c r="K15" s="78">
        <v>0</v>
      </c>
      <c r="L15" s="78" t="s">
        <v>118</v>
      </c>
      <c r="M15" s="78">
        <v>5.0999999999999996</v>
      </c>
      <c r="S15" s="220" t="str">
        <f>Rates_Other_New[[#This Row],[Tariff]] &amp; " " &amp; Rates_Other_New[[#This Row],[Tariff Category]]</f>
        <v>Nightsave Small Non-Local Authority</v>
      </c>
      <c r="T15" s="220">
        <f>SUM(Rates_Other_New[[#This Row],[Electrification and rural subsidy  c/kWh]:[Affordability Subsidy c/kWh]])</f>
        <v>10.469999999999999</v>
      </c>
      <c r="U15" s="220">
        <v>10.469999999999999</v>
      </c>
      <c r="V15" s="77" t="b">
        <f t="shared" si="1"/>
        <v>1</v>
      </c>
    </row>
    <row r="16" spans="3:22" s="77" customFormat="1" ht="13.8">
      <c r="C16" s="77" t="s">
        <v>465</v>
      </c>
      <c r="D16" s="77" t="s">
        <v>71</v>
      </c>
      <c r="G16" s="77" t="str">
        <f>C16&amp;"_"&amp;D16</f>
        <v>Municflex_Local Authority</v>
      </c>
      <c r="H16" s="77" t="s">
        <v>472</v>
      </c>
      <c r="I16" s="78">
        <v>5.47</v>
      </c>
      <c r="J16" s="78" t="s">
        <v>118</v>
      </c>
      <c r="K16" s="78">
        <v>35.1</v>
      </c>
      <c r="L16" s="78" t="s">
        <v>118</v>
      </c>
      <c r="M16" s="78">
        <v>0</v>
      </c>
      <c r="S16" s="220" t="str">
        <f>Rates_Other_New[[#This Row],[Tariff]] &amp; " " &amp; Rates_Other_New[[#This Row],[Tariff Category]]</f>
        <v>Municflex Local Authority</v>
      </c>
      <c r="T16" s="220">
        <f>SUM(Rates_Other_New[[#This Row],[Electrification and rural subsidy  c/kWh]:[Affordability Subsidy c/kWh]])</f>
        <v>40.57</v>
      </c>
      <c r="U16" s="220">
        <v>40.57</v>
      </c>
      <c r="V16" s="77" t="b">
        <f t="shared" si="1"/>
        <v>1</v>
      </c>
    </row>
    <row r="17" spans="3:22" s="77" customFormat="1" ht="13.8">
      <c r="C17" s="77" t="s">
        <v>624</v>
      </c>
      <c r="D17" s="77" t="s">
        <v>72</v>
      </c>
      <c r="G17" s="77" t="str">
        <f t="shared" si="0"/>
        <v>Nightsave Urban_Non-Local Authority</v>
      </c>
      <c r="H17" s="77" t="str">
        <f>Rates_Other_Current[[#This Row],[Matrix Code]]</f>
        <v>NL01N</v>
      </c>
      <c r="I17" s="78">
        <v>5.37</v>
      </c>
      <c r="J17" s="78" t="s">
        <v>118</v>
      </c>
      <c r="K17" s="78">
        <v>0</v>
      </c>
      <c r="L17" s="78" t="s">
        <v>118</v>
      </c>
      <c r="M17" s="78">
        <v>5.0999999999999996</v>
      </c>
      <c r="S17" s="220" t="str">
        <f>Rates_Other_New[[#This Row],[Tariff]] &amp; " " &amp; Rates_Other_New[[#This Row],[Tariff Category]]</f>
        <v>Nightsave Urban Non-Local Authority</v>
      </c>
      <c r="T17" s="220">
        <f>SUM(Rates_Other_New[[#This Row],[Electrification and rural subsidy  c/kWh]:[Affordability Subsidy c/kWh]])</f>
        <v>10.469999999999999</v>
      </c>
      <c r="U17" s="220">
        <v>10.469999999999999</v>
      </c>
      <c r="V17" s="77" t="b">
        <f t="shared" si="1"/>
        <v>1</v>
      </c>
    </row>
    <row r="18" spans="3:22" s="77" customFormat="1" ht="13.8">
      <c r="C18" s="77" t="s">
        <v>465</v>
      </c>
      <c r="D18" s="77" t="s">
        <v>71</v>
      </c>
      <c r="G18" s="77" t="str">
        <f>C18&amp;"_"&amp;D18</f>
        <v>Municflex_Local Authority</v>
      </c>
      <c r="H18" s="77" t="s">
        <v>472</v>
      </c>
      <c r="I18" s="78">
        <v>5.47</v>
      </c>
      <c r="J18" s="78" t="s">
        <v>118</v>
      </c>
      <c r="K18" s="78">
        <v>35.1</v>
      </c>
      <c r="L18" s="78" t="s">
        <v>118</v>
      </c>
      <c r="M18" s="78">
        <v>0</v>
      </c>
      <c r="S18" s="220" t="str">
        <f>Rates_Other_New[[#This Row],[Tariff]] &amp; " " &amp; Rates_Other_New[[#This Row],[Tariff Category]]</f>
        <v>Municflex Local Authority</v>
      </c>
      <c r="T18" s="220">
        <f>SUM(Rates_Other_New[[#This Row],[Electrification and rural subsidy  c/kWh]:[Affordability Subsidy c/kWh]])</f>
        <v>40.57</v>
      </c>
      <c r="U18" s="220">
        <v>40.57</v>
      </c>
      <c r="V18" s="77" t="b">
        <f t="shared" si="1"/>
        <v>1</v>
      </c>
    </row>
    <row r="19" spans="3:22" s="77" customFormat="1" ht="13.8">
      <c r="C19" s="77" t="s">
        <v>44</v>
      </c>
      <c r="D19" s="77" t="s">
        <v>72</v>
      </c>
      <c r="G19" s="77" t="str">
        <f t="shared" si="0"/>
        <v>Nightsave Rural_Non-Local Authority</v>
      </c>
      <c r="H19" s="77" t="str">
        <f>Rates_Other_Current[[#This Row],[Matrix Code]]</f>
        <v>NR01N</v>
      </c>
      <c r="I19" s="78">
        <v>0</v>
      </c>
      <c r="J19" s="78" t="s">
        <v>118</v>
      </c>
      <c r="K19" s="78">
        <v>0</v>
      </c>
      <c r="L19" s="78" t="s">
        <v>118</v>
      </c>
      <c r="M19" s="78">
        <v>0</v>
      </c>
      <c r="S19" s="220" t="str">
        <f>Rates_Other_New[[#This Row],[Tariff]] &amp; " " &amp; Rates_Other_New[[#This Row],[Tariff Category]]</f>
        <v>Nightsave Rural Non-Local Authority</v>
      </c>
      <c r="T19" s="220">
        <f>SUM(Rates_Other_New[[#This Row],[Electrification and rural subsidy  c/kWh]:[Affordability Subsidy c/kWh]])</f>
        <v>0</v>
      </c>
      <c r="U19" s="220">
        <v>0</v>
      </c>
      <c r="V19" s="77" t="b">
        <f t="shared" si="1"/>
        <v>1</v>
      </c>
    </row>
    <row r="20" spans="3:22" s="77" customFormat="1" ht="13.8">
      <c r="C20" s="77" t="s">
        <v>465</v>
      </c>
      <c r="D20" s="77" t="s">
        <v>71</v>
      </c>
      <c r="G20" s="77" t="str">
        <f>C20&amp;"_"&amp;D20</f>
        <v>Municflex_Local Authority</v>
      </c>
      <c r="H20" s="77" t="s">
        <v>472</v>
      </c>
      <c r="I20" s="78">
        <v>5.47</v>
      </c>
      <c r="J20" s="78" t="s">
        <v>118</v>
      </c>
      <c r="K20" s="78">
        <v>35.1</v>
      </c>
      <c r="L20" s="78" t="s">
        <v>118</v>
      </c>
      <c r="M20" s="78">
        <v>0</v>
      </c>
      <c r="S20" s="220" t="str">
        <f>Rates_Other_New[[#This Row],[Tariff]] &amp; " " &amp; Rates_Other_New[[#This Row],[Tariff Category]]</f>
        <v>Municflex Local Authority</v>
      </c>
      <c r="T20" s="220">
        <f>SUM(Rates_Other_New[[#This Row],[Electrification and rural subsidy  c/kWh]:[Affordability Subsidy c/kWh]])</f>
        <v>40.57</v>
      </c>
      <c r="U20" s="220">
        <v>40.57</v>
      </c>
      <c r="V20" s="77" t="b">
        <f t="shared" si="1"/>
        <v>1</v>
      </c>
    </row>
    <row r="21" spans="3:22" s="77" customFormat="1" ht="13.8">
      <c r="C21" s="77" t="s">
        <v>583</v>
      </c>
      <c r="D21" s="289" t="s">
        <v>72</v>
      </c>
      <c r="E21" s="289"/>
      <c r="F21" s="289"/>
      <c r="G21" s="289" t="str">
        <f>C21&amp;"_"&amp;D21</f>
        <v>Transflex 1_Non-Local Authority</v>
      </c>
      <c r="H21" s="287" t="str">
        <f>Rates_Other_Current[[#This Row],[Matrix Code]]</f>
        <v>T101N</v>
      </c>
      <c r="I21" s="288">
        <v>5.37</v>
      </c>
      <c r="J21" s="288" t="s">
        <v>118</v>
      </c>
      <c r="K21" s="288">
        <v>22.8</v>
      </c>
      <c r="L21" s="288">
        <v>22.8</v>
      </c>
      <c r="M21" s="288">
        <v>5.0999999999999996</v>
      </c>
      <c r="S21" s="220"/>
      <c r="T21" s="220"/>
      <c r="U21" s="220"/>
    </row>
    <row r="22" spans="3:22" s="77" customFormat="1" ht="13.8">
      <c r="C22" s="77" t="s">
        <v>584</v>
      </c>
      <c r="D22" s="289" t="s">
        <v>72</v>
      </c>
      <c r="E22" s="289"/>
      <c r="F22" s="289"/>
      <c r="G22" s="289" t="str">
        <f>C22&amp;"_"&amp;D22</f>
        <v>Transflex 2_Non-Local Authority</v>
      </c>
      <c r="H22" s="287" t="str">
        <f>Rates_Other_Current[[#This Row],[Matrix Code]]</f>
        <v>T201N</v>
      </c>
      <c r="I22" s="290">
        <v>5.37</v>
      </c>
      <c r="J22" s="290" t="s">
        <v>118</v>
      </c>
      <c r="K22" s="290">
        <v>22.8</v>
      </c>
      <c r="L22" s="290">
        <v>22.8</v>
      </c>
      <c r="M22" s="290">
        <v>5.0999999999999996</v>
      </c>
      <c r="S22" s="220"/>
      <c r="T22" s="220"/>
      <c r="U22" s="220"/>
    </row>
    <row r="23" spans="3:22" s="77" customFormat="1" ht="13.8"/>
    <row r="24" spans="3:22" s="77" customFormat="1" ht="13.8">
      <c r="C24" s="69" t="s">
        <v>161</v>
      </c>
      <c r="D24" s="70"/>
      <c r="E24" s="70"/>
      <c r="F24" s="71"/>
      <c r="G24" s="74"/>
      <c r="H24" s="74"/>
      <c r="I24" s="100"/>
      <c r="J24" s="83"/>
    </row>
    <row r="25" spans="3:22" s="77" customFormat="1" ht="55.2">
      <c r="C25" s="75" t="s">
        <v>31</v>
      </c>
      <c r="D25" s="76" t="s">
        <v>32</v>
      </c>
      <c r="E25" s="76" t="s">
        <v>102</v>
      </c>
      <c r="F25" s="76" t="s">
        <v>160</v>
      </c>
      <c r="G25" s="76" t="s">
        <v>76</v>
      </c>
      <c r="H25" s="76" t="s">
        <v>247</v>
      </c>
      <c r="I25" s="76" t="s">
        <v>510</v>
      </c>
      <c r="J25" s="76" t="s">
        <v>112</v>
      </c>
    </row>
    <row r="26" spans="3:22" s="77" customFormat="1" ht="13.8">
      <c r="C26" s="77" t="s">
        <v>107</v>
      </c>
      <c r="D26" s="77" t="s">
        <v>72</v>
      </c>
      <c r="E26" s="77" t="s">
        <v>103</v>
      </c>
      <c r="F26" s="77" t="s">
        <v>83</v>
      </c>
      <c r="G26" s="77" t="str">
        <f>Rates_Admin_New[[#This Row],[Type]]&amp;"_"&amp;Rates_Admin_New[[#This Row],[Tariff Category]]&amp;"_"&amp;Rates_Admin_New[[#This Row],[Supply Size]]</f>
        <v>Urban_Non-Local Authority_≤100kVA</v>
      </c>
      <c r="H26" s="77" t="str">
        <f>Rates_Admin_Current[[#This Row],[Matrix Code]]</f>
        <v>Mi01N</v>
      </c>
      <c r="I26" s="78">
        <v>14.94</v>
      </c>
      <c r="J26" s="78">
        <v>0.79</v>
      </c>
      <c r="L26" s="108" t="s">
        <v>304</v>
      </c>
      <c r="M26" s="108" t="s">
        <v>354</v>
      </c>
    </row>
    <row r="27" spans="3:22" s="77" customFormat="1" ht="13.8">
      <c r="C27" s="77" t="s">
        <v>107</v>
      </c>
      <c r="D27" s="77" t="s">
        <v>72</v>
      </c>
      <c r="E27" s="77" t="s">
        <v>103</v>
      </c>
      <c r="F27" s="77" t="s">
        <v>84</v>
      </c>
      <c r="G27" s="77" t="str">
        <f>Rates_Admin_New[[#This Row],[Type]]&amp;"_"&amp;Rates_Admin_New[[#This Row],[Tariff Category]]&amp;"_"&amp;Rates_Admin_New[[#This Row],[Supply Size]]</f>
        <v>Urban_Non-Local Authority_&gt;100kVA &amp; ≤500kVA</v>
      </c>
      <c r="H27" s="77" t="str">
        <f>Rates_Admin_Current[[#This Row],[Matrix Code]]</f>
        <v>Mi01N</v>
      </c>
      <c r="I27" s="78">
        <v>69.91</v>
      </c>
      <c r="J27" s="78">
        <v>13.49</v>
      </c>
      <c r="L27" s="108" t="s">
        <v>359</v>
      </c>
      <c r="M27" s="108" t="s">
        <v>355</v>
      </c>
    </row>
    <row r="28" spans="3:22" s="77" customFormat="1" ht="13.8">
      <c r="C28" s="77" t="s">
        <v>107</v>
      </c>
      <c r="D28" s="77" t="s">
        <v>72</v>
      </c>
      <c r="E28" s="77" t="s">
        <v>103</v>
      </c>
      <c r="F28" s="77" t="s">
        <v>85</v>
      </c>
      <c r="G28" s="77" t="str">
        <f>Rates_Admin_New[[#This Row],[Type]]&amp;"_"&amp;Rates_Admin_New[[#This Row],[Tariff Category]]&amp;"_"&amp;Rates_Admin_New[[#This Row],[Supply Size]]</f>
        <v>Urban_Non-Local Authority_&gt;500kVA &amp; ≤1MVA</v>
      </c>
      <c r="H28" s="77" t="str">
        <f>Rates_Admin_Current[[#This Row],[Matrix Code]]</f>
        <v>Mi01N</v>
      </c>
      <c r="I28" s="78">
        <v>215.91</v>
      </c>
      <c r="J28" s="78">
        <v>21.07</v>
      </c>
      <c r="L28" s="108" t="s">
        <v>360</v>
      </c>
      <c r="M28" s="108" t="s">
        <v>356</v>
      </c>
    </row>
    <row r="29" spans="3:22" s="77" customFormat="1" ht="13.8">
      <c r="C29" s="77" t="s">
        <v>107</v>
      </c>
      <c r="D29" s="77" t="s">
        <v>72</v>
      </c>
      <c r="E29" s="77" t="s">
        <v>103</v>
      </c>
      <c r="F29" s="77" t="s">
        <v>243</v>
      </c>
      <c r="G29" s="77" t="str">
        <f>Rates_Admin_New[[#This Row],[Type]]&amp;"_"&amp;Rates_Admin_New[[#This Row],[Tariff Category]]&amp;"_"&amp;Rates_Admin_New[[#This Row],[Supply Size]]</f>
        <v>Urban_Non-Local Authority_&gt;1MVA &amp; ≤5MVA</v>
      </c>
      <c r="H29" s="77" t="str">
        <f>Rates_Admin_Current[[#This Row],[Matrix Code]]</f>
        <v>Mi01N</v>
      </c>
      <c r="I29" s="78">
        <v>215.91</v>
      </c>
      <c r="J29" s="78">
        <v>21.07</v>
      </c>
      <c r="L29" s="108" t="s">
        <v>361</v>
      </c>
      <c r="M29" s="108" t="s">
        <v>357</v>
      </c>
    </row>
    <row r="30" spans="3:22" s="77" customFormat="1" ht="13.8">
      <c r="C30" s="77" t="s">
        <v>107</v>
      </c>
      <c r="D30" s="77" t="s">
        <v>72</v>
      </c>
      <c r="E30" s="77" t="s">
        <v>103</v>
      </c>
      <c r="F30" s="77" t="s">
        <v>244</v>
      </c>
      <c r="G30" s="77" t="str">
        <f>Rates_Admin_New[[#This Row],[Type]]&amp;"_"&amp;Rates_Admin_New[[#This Row],[Tariff Category]]&amp;"_"&amp;Rates_Admin_New[[#This Row],[Supply Size]]</f>
        <v>Urban_Non-Local Authority_&gt;5MVA</v>
      </c>
      <c r="H30" s="77" t="str">
        <f>Rates_Admin_Current[[#This Row],[Matrix Code]]</f>
        <v>Mi01N</v>
      </c>
      <c r="I30" s="78">
        <v>215.91</v>
      </c>
      <c r="J30" s="78">
        <v>21.07</v>
      </c>
      <c r="L30" s="108" t="s">
        <v>361</v>
      </c>
      <c r="M30" s="108" t="s">
        <v>357</v>
      </c>
    </row>
    <row r="31" spans="3:22" s="77" customFormat="1" ht="13.8">
      <c r="C31" s="77" t="s">
        <v>107</v>
      </c>
      <c r="D31" s="77" t="s">
        <v>72</v>
      </c>
      <c r="E31" s="77" t="s">
        <v>103</v>
      </c>
      <c r="F31" s="77" t="s">
        <v>86</v>
      </c>
      <c r="G31" s="77" t="str">
        <f>Rates_Admin_New[[#This Row],[Type]]&amp;"_"&amp;Rates_Admin_New[[#This Row],[Tariff Category]]&amp;"_"&amp;Rates_Admin_New[[#This Row],[Supply Size]]</f>
        <v>Urban_Non-Local Authority_Key customer</v>
      </c>
      <c r="H31" s="77" t="str">
        <f>Rates_Admin_Current[[#This Row],[Matrix Code]]</f>
        <v>Mi01N</v>
      </c>
      <c r="I31" s="78">
        <v>1216.44</v>
      </c>
      <c r="J31" s="78">
        <v>21.07</v>
      </c>
      <c r="L31" s="108" t="s">
        <v>362</v>
      </c>
      <c r="M31" s="108" t="s">
        <v>358</v>
      </c>
    </row>
    <row r="32" spans="3:22" s="77" customFormat="1" ht="13.8">
      <c r="C32" s="77" t="s">
        <v>107</v>
      </c>
      <c r="D32" s="77" t="s">
        <v>71</v>
      </c>
      <c r="E32" s="77" t="s">
        <v>103</v>
      </c>
      <c r="F32" s="77" t="s">
        <v>83</v>
      </c>
      <c r="G32" s="77" t="str">
        <f>Rates_Admin_New[[#This Row],[Type]]&amp;"_"&amp;Rates_Admin_New[[#This Row],[Tariff Category]]&amp;"_"&amp;Rates_Admin_New[[#This Row],[Supply Size]]</f>
        <v>Urban_Local Authority_≤100kVA</v>
      </c>
      <c r="H32" s="77" t="str">
        <f>Rates_Admin_Current[[#This Row],[Matrix Code]]</f>
        <v>Mi01Y</v>
      </c>
      <c r="I32" s="78">
        <v>15.22</v>
      </c>
      <c r="J32" s="78">
        <v>0.82</v>
      </c>
      <c r="L32" s="108" t="s">
        <v>304</v>
      </c>
      <c r="M32" s="108" t="s">
        <v>354</v>
      </c>
    </row>
    <row r="33" spans="3:13" s="77" customFormat="1" ht="13.8">
      <c r="C33" s="77" t="s">
        <v>107</v>
      </c>
      <c r="D33" s="77" t="s">
        <v>71</v>
      </c>
      <c r="E33" s="77" t="s">
        <v>103</v>
      </c>
      <c r="F33" s="77" t="s">
        <v>84</v>
      </c>
      <c r="G33" s="77" t="str">
        <f>Rates_Admin_New[[#This Row],[Type]]&amp;"_"&amp;Rates_Admin_New[[#This Row],[Tariff Category]]&amp;"_"&amp;Rates_Admin_New[[#This Row],[Supply Size]]</f>
        <v>Urban_Local Authority_&gt;100kVA &amp; ≤500kVA</v>
      </c>
      <c r="H33" s="77" t="str">
        <f>Rates_Admin_Current[[#This Row],[Matrix Code]]</f>
        <v>Mi01Y</v>
      </c>
      <c r="I33" s="78">
        <v>71.17</v>
      </c>
      <c r="J33" s="78">
        <v>13.72</v>
      </c>
      <c r="L33" s="108" t="s">
        <v>359</v>
      </c>
      <c r="M33" s="108" t="s">
        <v>355</v>
      </c>
    </row>
    <row r="34" spans="3:13" s="77" customFormat="1" ht="13.8">
      <c r="C34" s="77" t="s">
        <v>107</v>
      </c>
      <c r="D34" s="77" t="s">
        <v>71</v>
      </c>
      <c r="E34" s="77" t="s">
        <v>103</v>
      </c>
      <c r="F34" s="77" t="s">
        <v>85</v>
      </c>
      <c r="G34" s="77" t="str">
        <f>Rates_Admin_New[[#This Row],[Type]]&amp;"_"&amp;Rates_Admin_New[[#This Row],[Tariff Category]]&amp;"_"&amp;Rates_Admin_New[[#This Row],[Supply Size]]</f>
        <v>Urban_Local Authority_&gt;500kVA &amp; ≤1MVA</v>
      </c>
      <c r="H34" s="77" t="str">
        <f>Rates_Admin_Current[[#This Row],[Matrix Code]]</f>
        <v>Mi01Y</v>
      </c>
      <c r="I34" s="78">
        <v>219.79</v>
      </c>
      <c r="J34" s="78">
        <v>21.44</v>
      </c>
      <c r="L34" s="108" t="s">
        <v>360</v>
      </c>
      <c r="M34" s="108" t="s">
        <v>356</v>
      </c>
    </row>
    <row r="35" spans="3:13" s="77" customFormat="1" ht="13.8">
      <c r="C35" s="77" t="s">
        <v>107</v>
      </c>
      <c r="D35" s="77" t="s">
        <v>71</v>
      </c>
      <c r="E35" s="77" t="s">
        <v>103</v>
      </c>
      <c r="F35" s="77" t="s">
        <v>243</v>
      </c>
      <c r="G35" s="77" t="str">
        <f>Rates_Admin_New[[#This Row],[Type]]&amp;"_"&amp;Rates_Admin_New[[#This Row],[Tariff Category]]&amp;"_"&amp;Rates_Admin_New[[#This Row],[Supply Size]]</f>
        <v>Urban_Local Authority_&gt;1MVA &amp; ≤5MVA</v>
      </c>
      <c r="H35" s="77" t="str">
        <f>Rates_Admin_Current[[#This Row],[Matrix Code]]</f>
        <v>Mi01Y</v>
      </c>
      <c r="I35" s="78">
        <v>219.79</v>
      </c>
      <c r="J35" s="78">
        <v>21.44</v>
      </c>
      <c r="L35" s="108" t="s">
        <v>361</v>
      </c>
      <c r="M35" s="108" t="s">
        <v>357</v>
      </c>
    </row>
    <row r="36" spans="3:13" s="77" customFormat="1" ht="13.8">
      <c r="C36" s="77" t="s">
        <v>107</v>
      </c>
      <c r="D36" s="77" t="s">
        <v>71</v>
      </c>
      <c r="E36" s="77" t="s">
        <v>103</v>
      </c>
      <c r="F36" s="77" t="s">
        <v>244</v>
      </c>
      <c r="G36" s="77" t="str">
        <f>Rates_Admin_New[[#This Row],[Type]]&amp;"_"&amp;Rates_Admin_New[[#This Row],[Tariff Category]]&amp;"_"&amp;Rates_Admin_New[[#This Row],[Supply Size]]</f>
        <v>Urban_Local Authority_&gt;5MVA</v>
      </c>
      <c r="H36" s="77" t="str">
        <f>Rates_Admin_Current[[#This Row],[Matrix Code]]</f>
        <v>Mi01Y</v>
      </c>
      <c r="I36" s="78">
        <v>219.79</v>
      </c>
      <c r="J36" s="78">
        <v>21.44</v>
      </c>
      <c r="L36" s="108" t="s">
        <v>361</v>
      </c>
      <c r="M36" s="108" t="s">
        <v>357</v>
      </c>
    </row>
    <row r="37" spans="3:13" s="77" customFormat="1" ht="13.8">
      <c r="C37" s="77" t="s">
        <v>107</v>
      </c>
      <c r="D37" s="77" t="s">
        <v>71</v>
      </c>
      <c r="E37" s="77" t="s">
        <v>103</v>
      </c>
      <c r="F37" s="77" t="s">
        <v>86</v>
      </c>
      <c r="G37" s="77" t="str">
        <f>Rates_Admin_New[[#This Row],[Type]]&amp;"_"&amp;Rates_Admin_New[[#This Row],[Tariff Category]]&amp;"_"&amp;Rates_Admin_New[[#This Row],[Supply Size]]</f>
        <v>Urban_Local Authority_Key customer</v>
      </c>
      <c r="H37" s="77" t="str">
        <f>Rates_Admin_Current[[#This Row],[Matrix Code]]</f>
        <v>Mi01Y</v>
      </c>
      <c r="I37" s="78">
        <v>1238.27</v>
      </c>
      <c r="J37" s="78">
        <v>21.44</v>
      </c>
      <c r="L37" s="108" t="s">
        <v>362</v>
      </c>
      <c r="M37" s="108" t="s">
        <v>358</v>
      </c>
    </row>
    <row r="38" spans="3:13" s="77" customFormat="1" ht="13.8">
      <c r="C38" s="77" t="s">
        <v>107</v>
      </c>
      <c r="D38" s="77" t="s">
        <v>72</v>
      </c>
      <c r="E38" s="77" t="s">
        <v>104</v>
      </c>
      <c r="F38" s="77" t="s">
        <v>83</v>
      </c>
      <c r="G38" s="77" t="str">
        <f>Rates_Admin_New[[#This Row],[Type]]&amp;"_"&amp;Rates_Admin_New[[#This Row],[Tariff Category]]&amp;"_"&amp;Rates_Admin_New[[#This Row],[Supply Size]]</f>
        <v>Rural_Non-Local Authority_≤100kVA</v>
      </c>
      <c r="H38" s="77" t="str">
        <f>Rates_Admin_Current[[#This Row],[Matrix Code]]</f>
        <v>Ru01N</v>
      </c>
      <c r="I38" s="78">
        <v>25.18</v>
      </c>
      <c r="J38" s="78">
        <v>1.47</v>
      </c>
      <c r="L38" s="108" t="s">
        <v>304</v>
      </c>
      <c r="M38" s="108" t="s">
        <v>354</v>
      </c>
    </row>
    <row r="39" spans="3:13" s="77" customFormat="1" ht="13.8">
      <c r="C39" s="77" t="s">
        <v>107</v>
      </c>
      <c r="D39" s="77" t="s">
        <v>72</v>
      </c>
      <c r="E39" s="77" t="s">
        <v>104</v>
      </c>
      <c r="F39" s="77" t="s">
        <v>84</v>
      </c>
      <c r="G39" s="77" t="str">
        <f>Rates_Admin_New[[#This Row],[Type]]&amp;"_"&amp;Rates_Admin_New[[#This Row],[Tariff Category]]&amp;"_"&amp;Rates_Admin_New[[#This Row],[Supply Size]]</f>
        <v>Rural_Non-Local Authority_&gt;100kVA &amp; ≤500kVA</v>
      </c>
      <c r="H39" s="77" t="str">
        <f>Rates_Admin_Current[[#This Row],[Matrix Code]]</f>
        <v>Ru01N</v>
      </c>
      <c r="I39" s="78">
        <v>69.91</v>
      </c>
      <c r="J39" s="78">
        <v>13.49</v>
      </c>
      <c r="L39" s="108" t="s">
        <v>359</v>
      </c>
      <c r="M39" s="108" t="s">
        <v>355</v>
      </c>
    </row>
    <row r="40" spans="3:13" s="77" customFormat="1" ht="13.8">
      <c r="C40" s="77" t="s">
        <v>107</v>
      </c>
      <c r="D40" s="77" t="s">
        <v>72</v>
      </c>
      <c r="E40" s="77" t="s">
        <v>104</v>
      </c>
      <c r="F40" s="77" t="s">
        <v>85</v>
      </c>
      <c r="G40" s="77" t="str">
        <f>Rates_Admin_New[[#This Row],[Type]]&amp;"_"&amp;Rates_Admin_New[[#This Row],[Tariff Category]]&amp;"_"&amp;Rates_Admin_New[[#This Row],[Supply Size]]</f>
        <v>Rural_Non-Local Authority_&gt;500kVA &amp; ≤1MVA</v>
      </c>
      <c r="H40" s="77" t="str">
        <f>Rates_Admin_Current[[#This Row],[Matrix Code]]</f>
        <v>Ru01N</v>
      </c>
      <c r="I40" s="78">
        <v>215.91</v>
      </c>
      <c r="J40" s="78">
        <v>21.07</v>
      </c>
      <c r="L40" s="108" t="s">
        <v>360</v>
      </c>
      <c r="M40" s="108" t="s">
        <v>356</v>
      </c>
    </row>
    <row r="41" spans="3:13" s="77" customFormat="1" ht="13.8">
      <c r="C41" s="77" t="s">
        <v>107</v>
      </c>
      <c r="D41" s="77" t="s">
        <v>72</v>
      </c>
      <c r="E41" s="77" t="s">
        <v>104</v>
      </c>
      <c r="F41" s="77" t="s">
        <v>243</v>
      </c>
      <c r="G41" s="77" t="str">
        <f>Rates_Admin_New[[#This Row],[Type]]&amp;"_"&amp;Rates_Admin_New[[#This Row],[Tariff Category]]&amp;"_"&amp;Rates_Admin_New[[#This Row],[Supply Size]]</f>
        <v>Rural_Non-Local Authority_&gt;1MVA &amp; ≤5MVA</v>
      </c>
      <c r="H41" s="77" t="str">
        <f>Rates_Admin_Current[[#This Row],[Matrix Code]]</f>
        <v>Ru01N</v>
      </c>
      <c r="I41" s="78">
        <v>215.91</v>
      </c>
      <c r="J41" s="78">
        <v>21.07</v>
      </c>
      <c r="L41" s="108" t="s">
        <v>361</v>
      </c>
      <c r="M41" s="108" t="s">
        <v>357</v>
      </c>
    </row>
    <row r="42" spans="3:13" s="77" customFormat="1" ht="13.8">
      <c r="C42" s="77" t="s">
        <v>107</v>
      </c>
      <c r="D42" s="77" t="s">
        <v>72</v>
      </c>
      <c r="E42" s="77" t="s">
        <v>104</v>
      </c>
      <c r="F42" s="77" t="s">
        <v>244</v>
      </c>
      <c r="G42" s="77" t="str">
        <f>Rates_Admin_New[[#This Row],[Type]]&amp;"_"&amp;Rates_Admin_New[[#This Row],[Tariff Category]]&amp;"_"&amp;Rates_Admin_New[[#This Row],[Supply Size]]</f>
        <v>Rural_Non-Local Authority_&gt;5MVA</v>
      </c>
      <c r="H42" s="77" t="str">
        <f>Rates_Admin_Current[[#This Row],[Matrix Code]]</f>
        <v>Ru01N</v>
      </c>
      <c r="I42" s="78">
        <v>215.91</v>
      </c>
      <c r="J42" s="78">
        <v>21.07</v>
      </c>
      <c r="L42" s="108" t="s">
        <v>361</v>
      </c>
      <c r="M42" s="108" t="s">
        <v>357</v>
      </c>
    </row>
    <row r="43" spans="3:13" s="77" customFormat="1" ht="13.8">
      <c r="C43" s="77" t="s">
        <v>107</v>
      </c>
      <c r="D43" s="77" t="s">
        <v>72</v>
      </c>
      <c r="E43" s="77" t="s">
        <v>104</v>
      </c>
      <c r="F43" s="77" t="s">
        <v>86</v>
      </c>
      <c r="G43" s="77" t="str">
        <f>Rates_Admin_New[[#This Row],[Type]]&amp;"_"&amp;Rates_Admin_New[[#This Row],[Tariff Category]]&amp;"_"&amp;Rates_Admin_New[[#This Row],[Supply Size]]</f>
        <v>Rural_Non-Local Authority_Key customer</v>
      </c>
      <c r="H43" s="77" t="str">
        <f>Rates_Admin_Current[[#This Row],[Matrix Code]]</f>
        <v>Ru01N</v>
      </c>
      <c r="I43" s="78">
        <v>1216.44</v>
      </c>
      <c r="J43" s="78">
        <v>21.07</v>
      </c>
      <c r="L43" s="108" t="s">
        <v>362</v>
      </c>
      <c r="M43" s="108" t="s">
        <v>358</v>
      </c>
    </row>
    <row r="44" spans="3:13" s="77" customFormat="1" ht="13.8">
      <c r="C44" s="77" t="s">
        <v>107</v>
      </c>
      <c r="D44" s="77" t="s">
        <v>71</v>
      </c>
      <c r="E44" s="77" t="s">
        <v>104</v>
      </c>
      <c r="F44" s="77" t="s">
        <v>83</v>
      </c>
      <c r="G44" s="77" t="str">
        <f>Rates_Admin_New[[#This Row],[Type]]&amp;"_"&amp;Rates_Admin_New[[#This Row],[Tariff Category]]&amp;"_"&amp;Rates_Admin_New[[#This Row],[Supply Size]]</f>
        <v>Rural_Local Authority_≤100kVA</v>
      </c>
      <c r="H44" s="77" t="str">
        <f>Rates_Admin_Current[[#This Row],[Matrix Code]]</f>
        <v>Ru01Y</v>
      </c>
      <c r="I44" s="78">
        <v>15.22</v>
      </c>
      <c r="J44" s="78">
        <v>0.82</v>
      </c>
      <c r="L44" s="108" t="s">
        <v>304</v>
      </c>
      <c r="M44" s="108" t="s">
        <v>354</v>
      </c>
    </row>
    <row r="45" spans="3:13" s="77" customFormat="1" ht="13.8">
      <c r="C45" s="77" t="s">
        <v>107</v>
      </c>
      <c r="D45" s="77" t="s">
        <v>71</v>
      </c>
      <c r="E45" s="77" t="s">
        <v>104</v>
      </c>
      <c r="F45" s="77" t="s">
        <v>84</v>
      </c>
      <c r="G45" s="77" t="str">
        <f>Rates_Admin_New[[#This Row],[Type]]&amp;"_"&amp;Rates_Admin_New[[#This Row],[Tariff Category]]&amp;"_"&amp;Rates_Admin_New[[#This Row],[Supply Size]]</f>
        <v>Rural_Local Authority_&gt;100kVA &amp; ≤500kVA</v>
      </c>
      <c r="H45" s="77" t="str">
        <f>Rates_Admin_Current[[#This Row],[Matrix Code]]</f>
        <v>Ru01Y</v>
      </c>
      <c r="I45" s="78">
        <v>71.17</v>
      </c>
      <c r="J45" s="78">
        <v>13.72</v>
      </c>
      <c r="L45" s="108" t="s">
        <v>359</v>
      </c>
      <c r="M45" s="108" t="s">
        <v>355</v>
      </c>
    </row>
    <row r="46" spans="3:13" s="77" customFormat="1" ht="13.8">
      <c r="C46" s="77" t="s">
        <v>107</v>
      </c>
      <c r="D46" s="77" t="s">
        <v>71</v>
      </c>
      <c r="E46" s="77" t="s">
        <v>104</v>
      </c>
      <c r="F46" s="77" t="s">
        <v>85</v>
      </c>
      <c r="G46" s="77" t="str">
        <f>Rates_Admin_New[[#This Row],[Type]]&amp;"_"&amp;Rates_Admin_New[[#This Row],[Tariff Category]]&amp;"_"&amp;Rates_Admin_New[[#This Row],[Supply Size]]</f>
        <v>Rural_Local Authority_&gt;500kVA &amp; ≤1MVA</v>
      </c>
      <c r="H46" s="77" t="str">
        <f>Rates_Admin_Current[[#This Row],[Matrix Code]]</f>
        <v>Ru01Y</v>
      </c>
      <c r="I46" s="78">
        <v>219.79</v>
      </c>
      <c r="J46" s="78">
        <v>21.44</v>
      </c>
      <c r="L46" s="108" t="s">
        <v>360</v>
      </c>
      <c r="M46" s="108" t="s">
        <v>356</v>
      </c>
    </row>
    <row r="47" spans="3:13" s="77" customFormat="1" ht="13.8">
      <c r="C47" s="77" t="s">
        <v>107</v>
      </c>
      <c r="D47" s="77" t="s">
        <v>71</v>
      </c>
      <c r="E47" s="77" t="s">
        <v>104</v>
      </c>
      <c r="F47" s="77" t="s">
        <v>243</v>
      </c>
      <c r="G47" s="77" t="str">
        <f>Rates_Admin_New[[#This Row],[Type]]&amp;"_"&amp;Rates_Admin_New[[#This Row],[Tariff Category]]&amp;"_"&amp;Rates_Admin_New[[#This Row],[Supply Size]]</f>
        <v>Rural_Local Authority_&gt;1MVA &amp; ≤5MVA</v>
      </c>
      <c r="H47" s="77" t="str">
        <f>Rates_Admin_Current[[#This Row],[Matrix Code]]</f>
        <v>Ru01Y</v>
      </c>
      <c r="I47" s="78">
        <v>219.79</v>
      </c>
      <c r="J47" s="78">
        <v>21.44</v>
      </c>
      <c r="L47" s="108" t="s">
        <v>361</v>
      </c>
      <c r="M47" s="108" t="s">
        <v>357</v>
      </c>
    </row>
    <row r="48" spans="3:13" s="77" customFormat="1" ht="13.8">
      <c r="C48" s="77" t="s">
        <v>107</v>
      </c>
      <c r="D48" s="77" t="s">
        <v>71</v>
      </c>
      <c r="E48" s="77" t="s">
        <v>104</v>
      </c>
      <c r="F48" s="77" t="s">
        <v>244</v>
      </c>
      <c r="G48" s="77" t="str">
        <f>Rates_Admin_New[[#This Row],[Type]]&amp;"_"&amp;Rates_Admin_New[[#This Row],[Tariff Category]]&amp;"_"&amp;Rates_Admin_New[[#This Row],[Supply Size]]</f>
        <v>Rural_Local Authority_&gt;5MVA</v>
      </c>
      <c r="H48" s="77" t="str">
        <f>Rates_Admin_Current[[#This Row],[Matrix Code]]</f>
        <v>Ru01Y</v>
      </c>
      <c r="I48" s="78">
        <v>219.79</v>
      </c>
      <c r="J48" s="78">
        <v>21.44</v>
      </c>
      <c r="L48" s="108" t="s">
        <v>361</v>
      </c>
      <c r="M48" s="108" t="s">
        <v>357</v>
      </c>
    </row>
    <row r="49" spans="3:13" s="77" customFormat="1" ht="13.8">
      <c r="C49" s="77" t="s">
        <v>107</v>
      </c>
      <c r="D49" s="77" t="s">
        <v>71</v>
      </c>
      <c r="E49" s="77" t="s">
        <v>104</v>
      </c>
      <c r="F49" s="77" t="s">
        <v>86</v>
      </c>
      <c r="G49" s="77" t="str">
        <f>Rates_Admin_New[[#This Row],[Type]]&amp;"_"&amp;Rates_Admin_New[[#This Row],[Tariff Category]]&amp;"_"&amp;Rates_Admin_New[[#This Row],[Supply Size]]</f>
        <v>Rural_Local Authority_Key customer</v>
      </c>
      <c r="H49" s="77" t="str">
        <f>Rates_Admin_Current[[#This Row],[Matrix Code]]</f>
        <v>Ru01Y</v>
      </c>
      <c r="I49" s="78">
        <v>1238.27</v>
      </c>
      <c r="J49" s="78">
        <v>21.44</v>
      </c>
      <c r="L49" s="108" t="s">
        <v>362</v>
      </c>
      <c r="M49" s="108" t="s">
        <v>358</v>
      </c>
    </row>
    <row r="50" spans="3:13" s="77" customFormat="1" ht="13.8"/>
    <row r="51" spans="3:13" s="77" customFormat="1" ht="13.8"/>
    <row r="52" spans="3:13" s="77" customFormat="1" ht="13.8"/>
  </sheetData>
  <sheetProtection algorithmName="SHA-512" hashValue="nla2Jm5N0pf5aIToBtcj+vzpxJ9afcbZ4Ph9EVj7bjCEIjLCc+aIESeBLV34WnHzQHgEZ35Cb7mbeI8hsbwZ3Q==" saltValue="Xq/C4W4jMT0LhNlNSEHUhQ==" spinCount="100000" sheet="1" objects="1" scenarios="1"/>
  <phoneticPr fontId="35" type="noConversion"/>
  <conditionalFormatting sqref="C6:C7">
    <cfRule type="expression" dxfId="349" priority="22">
      <formula>C6&lt;&gt;#REF!</formula>
    </cfRule>
  </conditionalFormatting>
  <conditionalFormatting sqref="C24">
    <cfRule type="expression" dxfId="348" priority="19">
      <formula>C24&lt;&gt;#REF!</formula>
    </cfRule>
  </conditionalFormatting>
  <conditionalFormatting sqref="I9:M22">
    <cfRule type="cellIs" dxfId="347" priority="18" operator="equal">
      <formula>"n/a"</formula>
    </cfRule>
  </conditionalFormatting>
  <conditionalFormatting sqref="I26:I31">
    <cfRule type="cellIs" dxfId="346" priority="17" operator="equal">
      <formula>"n/a"</formula>
    </cfRule>
  </conditionalFormatting>
  <conditionalFormatting sqref="J26:J31">
    <cfRule type="cellIs" dxfId="345" priority="16" operator="equal">
      <formula>"n/a"</formula>
    </cfRule>
  </conditionalFormatting>
  <conditionalFormatting sqref="I32:I37">
    <cfRule type="cellIs" dxfId="344" priority="15" operator="equal">
      <formula>"n/a"</formula>
    </cfRule>
  </conditionalFormatting>
  <conditionalFormatting sqref="J32:J37">
    <cfRule type="cellIs" dxfId="343" priority="14" operator="equal">
      <formula>"n/a"</formula>
    </cfRule>
  </conditionalFormatting>
  <conditionalFormatting sqref="I38:I43">
    <cfRule type="cellIs" dxfId="342" priority="13" operator="equal">
      <formula>"n/a"</formula>
    </cfRule>
  </conditionalFormatting>
  <conditionalFormatting sqref="J38:J43">
    <cfRule type="cellIs" dxfId="341" priority="12" operator="equal">
      <formula>"n/a"</formula>
    </cfRule>
  </conditionalFormatting>
  <conditionalFormatting sqref="I44:I49">
    <cfRule type="cellIs" dxfId="340" priority="11" operator="equal">
      <formula>"n/a"</formula>
    </cfRule>
  </conditionalFormatting>
  <conditionalFormatting sqref="J44:J49">
    <cfRule type="cellIs" dxfId="339" priority="10" operator="equal">
      <formula>"n/a"</formula>
    </cfRule>
  </conditionalFormatting>
  <conditionalFormatting sqref="V9:V22">
    <cfRule type="cellIs" dxfId="338" priority="1" operator="equal">
      <formula>FALSE</formula>
    </cfRule>
    <cfRule type="cellIs" dxfId="337" priority="2" operator="equal">
      <formula>TRUE</formula>
    </cfRule>
  </conditionalFormatting>
  <dataValidations count="1">
    <dataValidation type="list" allowBlank="1" showInputMessage="1" showErrorMessage="1" sqref="D9:D22" xr:uid="{00000000-0002-0000-0A00-000000000000}">
      <formula1>Tariff_Category_List</formula1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>
    <tabColor rgb="FF92D050"/>
  </sheetPr>
  <dimension ref="B1:M53"/>
  <sheetViews>
    <sheetView showGridLines="0" zoomScale="85" zoomScaleNormal="85" workbookViewId="0">
      <pane xSplit="7" ySplit="8" topLeftCell="H9" activePane="bottomRight" state="frozen"/>
      <selection activeCell="A5" sqref="A5"/>
      <selection pane="topRight" activeCell="A5" sqref="A5"/>
      <selection pane="bottomLeft" activeCell="A5" sqref="A5"/>
      <selection pane="bottomRight" activeCell="K10" sqref="K10"/>
    </sheetView>
  </sheetViews>
  <sheetFormatPr defaultColWidth="9.28515625" defaultRowHeight="12"/>
  <cols>
    <col min="1" max="1" width="2.7109375" customWidth="1"/>
    <col min="2" max="2" width="13" customWidth="1"/>
    <col min="3" max="3" width="15.7109375" customWidth="1"/>
    <col min="4" max="4" width="19.140625" bestFit="1" customWidth="1"/>
    <col min="5" max="5" width="20" customWidth="1"/>
    <col min="6" max="6" width="16" customWidth="1"/>
    <col min="7" max="7" width="47" bestFit="1" customWidth="1"/>
    <col min="8" max="13" width="12.7109375" customWidth="1"/>
  </cols>
  <sheetData>
    <row r="1" spans="2:13" ht="4.05" customHeight="1"/>
    <row r="2" spans="2:13" ht="33" customHeight="1"/>
    <row r="3" spans="2:13" ht="4.05" customHeight="1"/>
    <row r="4" spans="2:13" ht="15">
      <c r="C4" s="2" t="str">
        <f>"Large Power User | Other Charges Inputs | "&amp;Current_Period</f>
        <v>Large Power User | Other Charges Inputs | 2025/26</v>
      </c>
      <c r="D4" s="2"/>
      <c r="E4" s="2"/>
      <c r="F4" s="2"/>
      <c r="G4" s="2"/>
      <c r="H4" s="2"/>
      <c r="I4" s="2"/>
      <c r="J4" s="2"/>
      <c r="K4" s="2"/>
      <c r="L4" s="2"/>
      <c r="M4" s="2"/>
    </row>
    <row r="5" spans="2:13" s="77" customFormat="1" ht="13.8"/>
    <row r="6" spans="2:13" s="77" customFormat="1" ht="13.8">
      <c r="C6" s="69" t="s">
        <v>157</v>
      </c>
      <c r="D6" s="70"/>
      <c r="E6" s="70"/>
      <c r="F6" s="71"/>
      <c r="G6" s="72"/>
      <c r="H6" s="73"/>
      <c r="I6" s="100" t="s">
        <v>353</v>
      </c>
      <c r="J6" s="83"/>
      <c r="K6" s="83" t="s">
        <v>301</v>
      </c>
      <c r="L6" s="101"/>
      <c r="M6" s="102" t="s">
        <v>300</v>
      </c>
    </row>
    <row r="7" spans="2:13" s="77" customFormat="1" ht="13.8">
      <c r="C7" s="97"/>
      <c r="F7" s="98"/>
      <c r="H7" s="99"/>
      <c r="I7" s="103"/>
      <c r="J7" s="104"/>
      <c r="K7" s="104"/>
      <c r="L7" s="103"/>
      <c r="M7" s="105"/>
    </row>
    <row r="8" spans="2:13" s="77" customFormat="1" ht="69">
      <c r="C8" s="75" t="s">
        <v>31</v>
      </c>
      <c r="D8" s="76" t="s">
        <v>32</v>
      </c>
      <c r="E8" s="76" t="s">
        <v>102</v>
      </c>
      <c r="F8" s="76" t="s">
        <v>160</v>
      </c>
      <c r="G8" s="76" t="s">
        <v>76</v>
      </c>
      <c r="H8" s="76" t="s">
        <v>247</v>
      </c>
      <c r="I8" s="76" t="s">
        <v>152</v>
      </c>
      <c r="J8" s="76" t="s">
        <v>153</v>
      </c>
      <c r="K8" s="76" t="s">
        <v>154</v>
      </c>
      <c r="L8" s="76" t="s">
        <v>155</v>
      </c>
      <c r="M8" s="76" t="s">
        <v>156</v>
      </c>
    </row>
    <row r="9" spans="2:13" s="77" customFormat="1" ht="13.8">
      <c r="C9" s="77" t="s">
        <v>41</v>
      </c>
      <c r="D9" s="77" t="s">
        <v>72</v>
      </c>
      <c r="G9" s="77" t="str">
        <f t="shared" ref="G9:G19" si="0">C9&amp;"_"&amp;D9</f>
        <v>Megaflex_Non-Local Authority</v>
      </c>
      <c r="H9" s="77" t="str">
        <f t="shared" ref="H9:H20" si="1">INDEX(Matrix_Tariff_Map,MATCH(C9,Matrix_Model_Tariffs,0),2)&amp;IFERROR(INDEX(Matrix_Transmission_Map,MATCH(E9,Matrix_Model_Transmission,0),2),0)&amp;IFERROR(INDEX(Matrix_Voltage_Map,MATCH(F9,Matrix_Model_Voltage,0),2),1)&amp;INDEX(Matrix_Category_Map,MATCH(D9,Matrix_Model_Category,0),2)</f>
        <v>Me01N</v>
      </c>
      <c r="I9" s="78">
        <v>4.9400000000000004</v>
      </c>
      <c r="J9" s="78" t="s">
        <v>118</v>
      </c>
      <c r="K9" s="78">
        <v>31.71</v>
      </c>
      <c r="L9" s="78" t="s">
        <v>118</v>
      </c>
      <c r="M9" s="78">
        <v>4.6900000000000004</v>
      </c>
    </row>
    <row r="10" spans="2:13" s="77" customFormat="1" ht="13.8">
      <c r="B10" s="77" t="s">
        <v>465</v>
      </c>
      <c r="C10" s="77" t="s">
        <v>465</v>
      </c>
      <c r="D10" s="77" t="s">
        <v>71</v>
      </c>
      <c r="G10" s="77" t="str">
        <f>C10&amp;"_"&amp;D10</f>
        <v>Municflex_Local Authority</v>
      </c>
      <c r="H10" s="77" t="str">
        <f t="shared" si="1"/>
        <v>Mf01Y</v>
      </c>
      <c r="I10" s="78">
        <v>5.0199999999999996</v>
      </c>
      <c r="J10" s="78" t="s">
        <v>118</v>
      </c>
      <c r="K10" s="78">
        <v>32.200000000000003</v>
      </c>
      <c r="L10" s="78" t="s">
        <v>118</v>
      </c>
      <c r="M10" s="78">
        <v>0</v>
      </c>
    </row>
    <row r="11" spans="2:13" s="77" customFormat="1" ht="13.8">
      <c r="C11" s="77" t="s">
        <v>42</v>
      </c>
      <c r="D11" s="77" t="s">
        <v>72</v>
      </c>
      <c r="G11" s="77" t="str">
        <f t="shared" si="0"/>
        <v>Miniflex_Non-Local Authority</v>
      </c>
      <c r="H11" s="77" t="str">
        <f t="shared" si="1"/>
        <v>Mi01N</v>
      </c>
      <c r="I11" s="78">
        <v>4.9400000000000004</v>
      </c>
      <c r="J11" s="78" t="s">
        <v>118</v>
      </c>
      <c r="K11" s="78">
        <v>13.81</v>
      </c>
      <c r="L11" s="78" t="s">
        <v>118</v>
      </c>
      <c r="M11" s="78">
        <v>4.6900000000000004</v>
      </c>
    </row>
    <row r="12" spans="2:13" s="77" customFormat="1" ht="13.8">
      <c r="B12" s="77" t="s">
        <v>465</v>
      </c>
      <c r="C12" s="77" t="str">
        <f>C11</f>
        <v>Miniflex</v>
      </c>
      <c r="D12" s="77" t="s">
        <v>71</v>
      </c>
      <c r="G12" s="77" t="str">
        <f>C12&amp;"_"&amp;D12</f>
        <v>Miniflex_Local Authority</v>
      </c>
      <c r="H12" s="77" t="str">
        <f t="shared" si="1"/>
        <v>Mi01Y</v>
      </c>
      <c r="I12" s="78">
        <v>5.0199999999999996</v>
      </c>
      <c r="J12" s="78" t="s">
        <v>118</v>
      </c>
      <c r="K12" s="78">
        <v>32.200000000000003</v>
      </c>
      <c r="L12" s="78" t="s">
        <v>118</v>
      </c>
      <c r="M12" s="78">
        <v>0</v>
      </c>
    </row>
    <row r="13" spans="2:13" s="77" customFormat="1" ht="13.8">
      <c r="C13" s="77" t="s">
        <v>46</v>
      </c>
      <c r="D13" s="77" t="s">
        <v>72</v>
      </c>
      <c r="G13" s="77" t="str">
        <f t="shared" si="0"/>
        <v>Ruraflex_Non-Local Authority</v>
      </c>
      <c r="H13" s="77" t="str">
        <f t="shared" si="1"/>
        <v>Ru01N</v>
      </c>
      <c r="I13" s="78">
        <v>0</v>
      </c>
      <c r="J13" s="78" t="s">
        <v>118</v>
      </c>
      <c r="K13" s="78">
        <v>19.829999999999998</v>
      </c>
      <c r="L13" s="78" t="s">
        <v>118</v>
      </c>
      <c r="M13" s="78">
        <v>0</v>
      </c>
    </row>
    <row r="14" spans="2:13" s="77" customFormat="1" ht="13.8">
      <c r="B14" s="77" t="s">
        <v>465</v>
      </c>
      <c r="C14" s="77" t="str">
        <f>C13</f>
        <v>Ruraflex</v>
      </c>
      <c r="D14" s="77" t="s">
        <v>71</v>
      </c>
      <c r="G14" s="77" t="str">
        <f>C14&amp;"_"&amp;D14</f>
        <v>Ruraflex_Local Authority</v>
      </c>
      <c r="H14" s="77" t="str">
        <f t="shared" si="1"/>
        <v>Ru01Y</v>
      </c>
      <c r="I14" s="78">
        <v>5.0199999999999996</v>
      </c>
      <c r="J14" s="78" t="s">
        <v>118</v>
      </c>
      <c r="K14" s="78">
        <v>32.200000000000003</v>
      </c>
      <c r="L14" s="78" t="s">
        <v>118</v>
      </c>
      <c r="M14" s="78">
        <v>0</v>
      </c>
    </row>
    <row r="15" spans="2:13" s="77" customFormat="1" ht="13.8">
      <c r="C15" s="77" t="s">
        <v>45</v>
      </c>
      <c r="D15" s="77" t="s">
        <v>72</v>
      </c>
      <c r="G15" s="77" t="str">
        <f t="shared" si="0"/>
        <v>Nightsave Small_Non-Local Authority</v>
      </c>
      <c r="H15" s="77" t="str">
        <f t="shared" si="1"/>
        <v>NS01N</v>
      </c>
      <c r="I15" s="78">
        <v>4.9400000000000004</v>
      </c>
      <c r="J15" s="78" t="s">
        <v>118</v>
      </c>
      <c r="K15" s="78">
        <v>0</v>
      </c>
      <c r="L15" s="78" t="s">
        <v>118</v>
      </c>
      <c r="M15" s="78">
        <v>4.6900000000000004</v>
      </c>
    </row>
    <row r="16" spans="2:13" s="77" customFormat="1" ht="13.8">
      <c r="B16" s="77" t="s">
        <v>465</v>
      </c>
      <c r="C16" s="77" t="str">
        <f>C15</f>
        <v>Nightsave Small</v>
      </c>
      <c r="D16" s="77" t="s">
        <v>71</v>
      </c>
      <c r="G16" s="77" t="str">
        <f>C16&amp;"_"&amp;D16</f>
        <v>Nightsave Small_Local Authority</v>
      </c>
      <c r="H16" s="77" t="str">
        <f t="shared" si="1"/>
        <v>NS01Y</v>
      </c>
      <c r="I16" s="78">
        <v>5.0199999999999996</v>
      </c>
      <c r="J16" s="78" t="s">
        <v>118</v>
      </c>
      <c r="K16" s="78">
        <v>32.200000000000003</v>
      </c>
      <c r="L16" s="78" t="s">
        <v>118</v>
      </c>
      <c r="M16" s="78">
        <v>0</v>
      </c>
    </row>
    <row r="17" spans="2:13" s="77" customFormat="1" ht="13.8">
      <c r="C17" s="77" t="s">
        <v>624</v>
      </c>
      <c r="D17" s="77" t="s">
        <v>72</v>
      </c>
      <c r="G17" s="77" t="str">
        <f t="shared" si="0"/>
        <v>Nightsave Urban_Non-Local Authority</v>
      </c>
      <c r="H17" s="77" t="str">
        <f t="shared" si="1"/>
        <v>NL01N</v>
      </c>
      <c r="I17" s="78">
        <v>4.9400000000000004</v>
      </c>
      <c r="J17" s="78" t="s">
        <v>118</v>
      </c>
      <c r="K17" s="78">
        <v>0</v>
      </c>
      <c r="L17" s="78" t="s">
        <v>118</v>
      </c>
      <c r="M17" s="78">
        <v>4.6900000000000004</v>
      </c>
    </row>
    <row r="18" spans="2:13" s="77" customFormat="1" ht="13.8">
      <c r="B18" s="77" t="s">
        <v>465</v>
      </c>
      <c r="C18" s="77" t="str">
        <f>C17</f>
        <v>Nightsave Urban</v>
      </c>
      <c r="D18" s="77" t="s">
        <v>71</v>
      </c>
      <c r="G18" s="77" t="str">
        <f>C18&amp;"_"&amp;D18</f>
        <v>Nightsave Urban_Local Authority</v>
      </c>
      <c r="H18" s="77" t="str">
        <f t="shared" si="1"/>
        <v>NL01Y</v>
      </c>
      <c r="I18" s="78">
        <v>5.0199999999999996</v>
      </c>
      <c r="J18" s="78" t="s">
        <v>118</v>
      </c>
      <c r="K18" s="78">
        <v>32.200000000000003</v>
      </c>
      <c r="L18" s="78" t="s">
        <v>118</v>
      </c>
      <c r="M18" s="78">
        <v>0</v>
      </c>
    </row>
    <row r="19" spans="2:13" s="77" customFormat="1" ht="13.8">
      <c r="C19" s="77" t="s">
        <v>44</v>
      </c>
      <c r="D19" s="77" t="s">
        <v>72</v>
      </c>
      <c r="G19" s="77" t="str">
        <f t="shared" si="0"/>
        <v>Nightsave Rural_Non-Local Authority</v>
      </c>
      <c r="H19" s="77" t="str">
        <f t="shared" si="1"/>
        <v>NR01N</v>
      </c>
      <c r="I19" s="78">
        <v>0</v>
      </c>
      <c r="J19" s="78" t="s">
        <v>118</v>
      </c>
      <c r="K19" s="78">
        <v>0</v>
      </c>
      <c r="L19" s="78" t="s">
        <v>118</v>
      </c>
      <c r="M19" s="78">
        <v>0</v>
      </c>
    </row>
    <row r="20" spans="2:13" s="77" customFormat="1" ht="13.8">
      <c r="B20" s="77" t="s">
        <v>465</v>
      </c>
      <c r="C20" s="77" t="str">
        <f>C19</f>
        <v>Nightsave Rural</v>
      </c>
      <c r="D20" s="77" t="s">
        <v>71</v>
      </c>
      <c r="G20" s="77" t="str">
        <f>C20&amp;"_"&amp;D20</f>
        <v>Nightsave Rural_Local Authority</v>
      </c>
      <c r="H20" s="77" t="str">
        <f t="shared" si="1"/>
        <v>NR01Y</v>
      </c>
      <c r="I20" s="78">
        <v>5.0199999999999996</v>
      </c>
      <c r="J20" s="78" t="s">
        <v>118</v>
      </c>
      <c r="K20" s="78">
        <v>32.200000000000003</v>
      </c>
      <c r="L20" s="78" t="s">
        <v>118</v>
      </c>
      <c r="M20" s="78">
        <v>0</v>
      </c>
    </row>
    <row r="21" spans="2:13" s="77" customFormat="1" ht="13.8">
      <c r="C21" s="77" t="s">
        <v>583</v>
      </c>
      <c r="D21" s="289" t="s">
        <v>72</v>
      </c>
      <c r="E21" s="289"/>
      <c r="F21" s="289"/>
      <c r="G21" s="289" t="str">
        <f>C21&amp;"_"&amp;D21</f>
        <v>Transflex 1_Non-Local Authority</v>
      </c>
      <c r="H21" s="289" t="str">
        <f>INDEX(Matrix_Tariff_Map,MATCH(C21,Matrix_Model_Tariffs,0),2)&amp;IFERROR(INDEX(Matrix_Transmission_Map,MATCH(E21,Matrix_Model_Transmission,0),2),0)&amp;IFERROR(INDEX(Matrix_Voltage_Map,MATCH(F21,Matrix_Model_Voltage,0),2),1)&amp;INDEX(Matrix_Category_Map,MATCH(D21,Matrix_Model_Category,0),2)</f>
        <v>T101N</v>
      </c>
      <c r="I21" s="290">
        <v>4.9400000000000004</v>
      </c>
      <c r="J21" s="290" t="s">
        <v>118</v>
      </c>
      <c r="K21" s="290">
        <v>20.96</v>
      </c>
      <c r="L21" s="290">
        <v>20.96</v>
      </c>
      <c r="M21" s="290">
        <v>4.6900000000000004</v>
      </c>
    </row>
    <row r="22" spans="2:13" s="77" customFormat="1" ht="13.8">
      <c r="C22" s="77" t="s">
        <v>584</v>
      </c>
      <c r="D22" s="289" t="s">
        <v>72</v>
      </c>
      <c r="E22" s="289"/>
      <c r="F22" s="289"/>
      <c r="G22" s="289" t="str">
        <f>C22&amp;"_"&amp;D22</f>
        <v>Transflex 2_Non-Local Authority</v>
      </c>
      <c r="H22" s="289" t="str">
        <f>INDEX(Matrix_Tariff_Map,MATCH(C22,Matrix_Model_Tariffs,0),2)&amp;IFERROR(INDEX(Matrix_Transmission_Map,MATCH(E22,Matrix_Model_Transmission,0),2),0)&amp;IFERROR(INDEX(Matrix_Voltage_Map,MATCH(F22,Matrix_Model_Voltage,0),2),1)&amp;INDEX(Matrix_Category_Map,MATCH(D22,Matrix_Model_Category,0),2)</f>
        <v>T201N</v>
      </c>
      <c r="I22" s="290">
        <v>4.9400000000000004</v>
      </c>
      <c r="J22" s="290" t="s">
        <v>118</v>
      </c>
      <c r="K22" s="290">
        <v>20.96</v>
      </c>
      <c r="L22" s="290">
        <v>20.96</v>
      </c>
      <c r="M22" s="290">
        <v>4.6900000000000004</v>
      </c>
    </row>
    <row r="23" spans="2:13" s="77" customFormat="1" ht="13.8"/>
    <row r="24" spans="2:13" s="77" customFormat="1" ht="13.8">
      <c r="C24" s="69" t="s">
        <v>161</v>
      </c>
      <c r="D24" s="70"/>
      <c r="E24" s="70"/>
      <c r="F24" s="71"/>
      <c r="G24" s="74"/>
      <c r="H24" s="74"/>
      <c r="I24" s="71"/>
    </row>
    <row r="25" spans="2:13" s="77" customFormat="1" ht="55.2">
      <c r="C25" s="75" t="s">
        <v>31</v>
      </c>
      <c r="D25" s="76" t="s">
        <v>32</v>
      </c>
      <c r="E25" s="76" t="s">
        <v>102</v>
      </c>
      <c r="F25" s="76" t="s">
        <v>160</v>
      </c>
      <c r="G25" s="76" t="s">
        <v>76</v>
      </c>
      <c r="H25" s="76" t="s">
        <v>247</v>
      </c>
      <c r="I25" s="76" t="s">
        <v>111</v>
      </c>
      <c r="J25" s="76" t="s">
        <v>112</v>
      </c>
    </row>
    <row r="26" spans="2:13" s="77" customFormat="1" ht="13.8">
      <c r="C26" s="77" t="s">
        <v>107</v>
      </c>
      <c r="D26" s="77" t="s">
        <v>72</v>
      </c>
      <c r="E26" s="77" t="s">
        <v>103</v>
      </c>
      <c r="F26" s="77" t="s">
        <v>83</v>
      </c>
      <c r="G26" s="77" t="str">
        <f>Rates_Admin_Current[[#This Row],[Type]]&amp;"_"&amp;Rates_Admin_Current[[#This Row],[Tariff Category]]&amp;"_"&amp;Rates_Admin_Current[[#This Row],[Supply Size]]</f>
        <v>Urban_Non-Local Authority_≤100kVA</v>
      </c>
      <c r="H26" s="77" t="s">
        <v>297</v>
      </c>
      <c r="I26" s="78">
        <v>13.74</v>
      </c>
      <c r="J26" s="78">
        <v>0.73</v>
      </c>
      <c r="L26" s="108" t="s">
        <v>304</v>
      </c>
      <c r="M26" s="108" t="s">
        <v>354</v>
      </c>
    </row>
    <row r="27" spans="2:13" s="77" customFormat="1" ht="13.8">
      <c r="C27" s="77" t="s">
        <v>107</v>
      </c>
      <c r="D27" s="77" t="s">
        <v>72</v>
      </c>
      <c r="E27" s="77" t="s">
        <v>103</v>
      </c>
      <c r="F27" s="77" t="s">
        <v>84</v>
      </c>
      <c r="G27" s="77" t="str">
        <f>Rates_Admin_Current[[#This Row],[Type]]&amp;"_"&amp;Rates_Admin_Current[[#This Row],[Tariff Category]]&amp;"_"&amp;Rates_Admin_Current[[#This Row],[Supply Size]]</f>
        <v>Urban_Non-Local Authority_&gt;100kVA &amp; ≤500kVA</v>
      </c>
      <c r="H27" s="77" t="s">
        <v>297</v>
      </c>
      <c r="I27" s="78">
        <v>64.28</v>
      </c>
      <c r="J27" s="78">
        <v>12.4</v>
      </c>
      <c r="L27" s="108" t="s">
        <v>359</v>
      </c>
      <c r="M27" s="108" t="s">
        <v>355</v>
      </c>
    </row>
    <row r="28" spans="2:13" s="77" customFormat="1" ht="13.8">
      <c r="C28" s="77" t="s">
        <v>107</v>
      </c>
      <c r="D28" s="77" t="s">
        <v>72</v>
      </c>
      <c r="E28" s="77" t="s">
        <v>103</v>
      </c>
      <c r="F28" s="77" t="s">
        <v>85</v>
      </c>
      <c r="G28" s="77" t="str">
        <f>Rates_Admin_Current[[#This Row],[Type]]&amp;"_"&amp;Rates_Admin_Current[[#This Row],[Tariff Category]]&amp;"_"&amp;Rates_Admin_Current[[#This Row],[Supply Size]]</f>
        <v>Urban_Non-Local Authority_&gt;500kVA &amp; ≤1MVA</v>
      </c>
      <c r="H28" s="77" t="s">
        <v>297</v>
      </c>
      <c r="I28" s="78">
        <v>198.52</v>
      </c>
      <c r="J28" s="78">
        <v>19.37</v>
      </c>
      <c r="L28" s="108" t="s">
        <v>360</v>
      </c>
      <c r="M28" s="108" t="s">
        <v>356</v>
      </c>
    </row>
    <row r="29" spans="2:13" s="77" customFormat="1" ht="13.8">
      <c r="C29" s="77" t="s">
        <v>107</v>
      </c>
      <c r="D29" s="77" t="s">
        <v>72</v>
      </c>
      <c r="E29" s="77" t="s">
        <v>103</v>
      </c>
      <c r="F29" s="77" t="s">
        <v>243</v>
      </c>
      <c r="G29" s="77" t="str">
        <f>Rates_Admin_Current[[#This Row],[Type]]&amp;"_"&amp;Rates_Admin_Current[[#This Row],[Tariff Category]]&amp;"_"&amp;Rates_Admin_Current[[#This Row],[Supply Size]]</f>
        <v>Urban_Non-Local Authority_&gt;1MVA &amp; ≤5MVA</v>
      </c>
      <c r="H29" s="77" t="s">
        <v>297</v>
      </c>
      <c r="I29" s="78">
        <v>198.52</v>
      </c>
      <c r="J29" s="78">
        <v>19.37</v>
      </c>
      <c r="L29" s="108" t="s">
        <v>361</v>
      </c>
      <c r="M29" s="108" t="s">
        <v>357</v>
      </c>
    </row>
    <row r="30" spans="2:13" s="77" customFormat="1" ht="13.8">
      <c r="C30" s="77" t="s">
        <v>107</v>
      </c>
      <c r="D30" s="77" t="s">
        <v>72</v>
      </c>
      <c r="E30" s="77" t="s">
        <v>103</v>
      </c>
      <c r="F30" s="77" t="s">
        <v>244</v>
      </c>
      <c r="G30" s="77" t="str">
        <f>Rates_Admin_Current[[#This Row],[Type]]&amp;"_"&amp;Rates_Admin_Current[[#This Row],[Tariff Category]]&amp;"_"&amp;Rates_Admin_Current[[#This Row],[Supply Size]]</f>
        <v>Urban_Non-Local Authority_&gt;5MVA</v>
      </c>
      <c r="H30" s="77" t="s">
        <v>297</v>
      </c>
      <c r="I30" s="78">
        <v>198.52</v>
      </c>
      <c r="J30" s="78">
        <v>19.37</v>
      </c>
      <c r="L30" s="108" t="s">
        <v>361</v>
      </c>
      <c r="M30" s="108" t="s">
        <v>357</v>
      </c>
    </row>
    <row r="31" spans="2:13" s="77" customFormat="1" ht="13.8">
      <c r="C31" s="77" t="s">
        <v>107</v>
      </c>
      <c r="D31" s="77" t="s">
        <v>72</v>
      </c>
      <c r="E31" s="77" t="s">
        <v>103</v>
      </c>
      <c r="F31" s="77" t="s">
        <v>86</v>
      </c>
      <c r="G31" s="77" t="str">
        <f>Rates_Admin_Current[[#This Row],[Type]]&amp;"_"&amp;Rates_Admin_Current[[#This Row],[Tariff Category]]&amp;"_"&amp;Rates_Admin_Current[[#This Row],[Supply Size]]</f>
        <v>Urban_Non-Local Authority_Key customer</v>
      </c>
      <c r="H31" s="77" t="s">
        <v>297</v>
      </c>
      <c r="I31" s="78">
        <v>1118.46</v>
      </c>
      <c r="J31" s="78">
        <v>19.37</v>
      </c>
      <c r="L31" s="108" t="s">
        <v>362</v>
      </c>
      <c r="M31" s="108" t="s">
        <v>358</v>
      </c>
    </row>
    <row r="32" spans="2:13" s="77" customFormat="1" ht="13.8">
      <c r="C32" s="77" t="s">
        <v>107</v>
      </c>
      <c r="D32" s="77" t="s">
        <v>71</v>
      </c>
      <c r="E32" s="77" t="s">
        <v>103</v>
      </c>
      <c r="F32" s="77" t="s">
        <v>83</v>
      </c>
      <c r="G32" s="77" t="str">
        <f>Rates_Admin_Current[[#This Row],[Type]]&amp;"_"&amp;Rates_Admin_Current[[#This Row],[Tariff Category]]&amp;"_"&amp;Rates_Admin_Current[[#This Row],[Supply Size]]</f>
        <v>Urban_Local Authority_≤100kVA</v>
      </c>
      <c r="H32" s="77" t="s">
        <v>298</v>
      </c>
      <c r="I32" s="78">
        <v>13.96</v>
      </c>
      <c r="J32" s="78">
        <v>0.75</v>
      </c>
      <c r="L32" s="108" t="s">
        <v>304</v>
      </c>
      <c r="M32" s="108" t="s">
        <v>354</v>
      </c>
    </row>
    <row r="33" spans="3:13" s="77" customFormat="1" ht="13.8">
      <c r="C33" s="77" t="s">
        <v>107</v>
      </c>
      <c r="D33" s="77" t="s">
        <v>71</v>
      </c>
      <c r="E33" s="77" t="s">
        <v>103</v>
      </c>
      <c r="F33" s="77" t="s">
        <v>84</v>
      </c>
      <c r="G33" s="77" t="str">
        <f>Rates_Admin_Current[[#This Row],[Type]]&amp;"_"&amp;Rates_Admin_Current[[#This Row],[Tariff Category]]&amp;"_"&amp;Rates_Admin_Current[[#This Row],[Supply Size]]</f>
        <v>Urban_Local Authority_&gt;100kVA &amp; ≤500kVA</v>
      </c>
      <c r="H33" s="77" t="s">
        <v>298</v>
      </c>
      <c r="I33" s="78">
        <v>65.290000000000006</v>
      </c>
      <c r="J33" s="78">
        <v>12.59</v>
      </c>
      <c r="L33" s="108" t="s">
        <v>359</v>
      </c>
      <c r="M33" s="108" t="s">
        <v>355</v>
      </c>
    </row>
    <row r="34" spans="3:13" s="77" customFormat="1" ht="13.8">
      <c r="C34" s="77" t="s">
        <v>107</v>
      </c>
      <c r="D34" s="77" t="s">
        <v>71</v>
      </c>
      <c r="E34" s="77" t="s">
        <v>103</v>
      </c>
      <c r="F34" s="77" t="s">
        <v>85</v>
      </c>
      <c r="G34" s="77" t="str">
        <f>Rates_Admin_Current[[#This Row],[Type]]&amp;"_"&amp;Rates_Admin_Current[[#This Row],[Tariff Category]]&amp;"_"&amp;Rates_Admin_Current[[#This Row],[Supply Size]]</f>
        <v>Urban_Local Authority_&gt;500kVA &amp; ≤1MVA</v>
      </c>
      <c r="H34" s="77" t="s">
        <v>298</v>
      </c>
      <c r="I34" s="78">
        <v>201.62</v>
      </c>
      <c r="J34" s="78">
        <v>19.670000000000002</v>
      </c>
      <c r="L34" s="108" t="s">
        <v>360</v>
      </c>
      <c r="M34" s="108" t="s">
        <v>356</v>
      </c>
    </row>
    <row r="35" spans="3:13" s="77" customFormat="1" ht="13.8">
      <c r="C35" s="77" t="s">
        <v>107</v>
      </c>
      <c r="D35" s="77" t="s">
        <v>71</v>
      </c>
      <c r="E35" s="77" t="s">
        <v>103</v>
      </c>
      <c r="F35" s="77" t="s">
        <v>243</v>
      </c>
      <c r="G35" s="77" t="str">
        <f>Rates_Admin_Current[[#This Row],[Type]]&amp;"_"&amp;Rates_Admin_Current[[#This Row],[Tariff Category]]&amp;"_"&amp;Rates_Admin_Current[[#This Row],[Supply Size]]</f>
        <v>Urban_Local Authority_&gt;1MVA &amp; ≤5MVA</v>
      </c>
      <c r="H35" s="77" t="s">
        <v>298</v>
      </c>
      <c r="I35" s="78">
        <v>201.62</v>
      </c>
      <c r="J35" s="78">
        <v>19.670000000000002</v>
      </c>
      <c r="L35" s="108" t="s">
        <v>361</v>
      </c>
      <c r="M35" s="108" t="s">
        <v>357</v>
      </c>
    </row>
    <row r="36" spans="3:13" s="77" customFormat="1" ht="13.8">
      <c r="C36" s="77" t="s">
        <v>107</v>
      </c>
      <c r="D36" s="77" t="s">
        <v>71</v>
      </c>
      <c r="E36" s="77" t="s">
        <v>103</v>
      </c>
      <c r="F36" s="77" t="s">
        <v>244</v>
      </c>
      <c r="G36" s="77" t="str">
        <f>Rates_Admin_Current[[#This Row],[Type]]&amp;"_"&amp;Rates_Admin_Current[[#This Row],[Tariff Category]]&amp;"_"&amp;Rates_Admin_Current[[#This Row],[Supply Size]]</f>
        <v>Urban_Local Authority_&gt;5MVA</v>
      </c>
      <c r="H36" s="77" t="s">
        <v>298</v>
      </c>
      <c r="I36" s="78">
        <v>201.62</v>
      </c>
      <c r="J36" s="78">
        <v>19.670000000000002</v>
      </c>
      <c r="L36" s="108" t="s">
        <v>361</v>
      </c>
      <c r="M36" s="108" t="s">
        <v>357</v>
      </c>
    </row>
    <row r="37" spans="3:13" s="77" customFormat="1" ht="13.8">
      <c r="C37" s="77" t="s">
        <v>107</v>
      </c>
      <c r="D37" s="77" t="s">
        <v>71</v>
      </c>
      <c r="E37" s="77" t="s">
        <v>103</v>
      </c>
      <c r="F37" s="77" t="s">
        <v>86</v>
      </c>
      <c r="G37" s="77" t="str">
        <f>Rates_Admin_Current[[#This Row],[Type]]&amp;"_"&amp;Rates_Admin_Current[[#This Row],[Tariff Category]]&amp;"_"&amp;Rates_Admin_Current[[#This Row],[Supply Size]]</f>
        <v>Urban_Local Authority_Key customer</v>
      </c>
      <c r="H37" s="77" t="s">
        <v>298</v>
      </c>
      <c r="I37" s="78">
        <v>1135.92</v>
      </c>
      <c r="J37" s="78">
        <v>19.670000000000002</v>
      </c>
      <c r="L37" s="108" t="s">
        <v>362</v>
      </c>
      <c r="M37" s="108" t="s">
        <v>358</v>
      </c>
    </row>
    <row r="38" spans="3:13" s="77" customFormat="1" ht="13.8">
      <c r="C38" s="77" t="s">
        <v>107</v>
      </c>
      <c r="D38" s="77" t="s">
        <v>72</v>
      </c>
      <c r="E38" s="77" t="s">
        <v>104</v>
      </c>
      <c r="F38" s="77" t="s">
        <v>83</v>
      </c>
      <c r="G38" s="77" t="str">
        <f>Rates_Admin_Current[[#This Row],[Type]]&amp;"_"&amp;Rates_Admin_Current[[#This Row],[Tariff Category]]&amp;"_"&amp;Rates_Admin_Current[[#This Row],[Supply Size]]</f>
        <v>Rural_Non-Local Authority_≤100kVA</v>
      </c>
      <c r="H38" s="77" t="s">
        <v>296</v>
      </c>
      <c r="I38" s="78">
        <v>23.15</v>
      </c>
      <c r="J38" s="78">
        <v>1.35</v>
      </c>
      <c r="L38" s="108" t="s">
        <v>304</v>
      </c>
      <c r="M38" s="108" t="s">
        <v>354</v>
      </c>
    </row>
    <row r="39" spans="3:13" s="77" customFormat="1" ht="13.8">
      <c r="C39" s="77" t="s">
        <v>107</v>
      </c>
      <c r="D39" s="77" t="s">
        <v>72</v>
      </c>
      <c r="E39" s="77" t="s">
        <v>104</v>
      </c>
      <c r="F39" s="77" t="s">
        <v>84</v>
      </c>
      <c r="G39" s="77" t="str">
        <f>Rates_Admin_Current[[#This Row],[Type]]&amp;"_"&amp;Rates_Admin_Current[[#This Row],[Tariff Category]]&amp;"_"&amp;Rates_Admin_Current[[#This Row],[Supply Size]]</f>
        <v>Rural_Non-Local Authority_&gt;100kVA &amp; ≤500kVA</v>
      </c>
      <c r="H39" s="77" t="s">
        <v>296</v>
      </c>
      <c r="I39" s="78">
        <v>64.28</v>
      </c>
      <c r="J39" s="78">
        <v>12.4</v>
      </c>
      <c r="L39" s="108" t="s">
        <v>359</v>
      </c>
      <c r="M39" s="108" t="s">
        <v>355</v>
      </c>
    </row>
    <row r="40" spans="3:13" s="77" customFormat="1" ht="13.8">
      <c r="C40" s="77" t="s">
        <v>107</v>
      </c>
      <c r="D40" s="77" t="s">
        <v>72</v>
      </c>
      <c r="E40" s="77" t="s">
        <v>104</v>
      </c>
      <c r="F40" s="77" t="s">
        <v>85</v>
      </c>
      <c r="G40" s="77" t="str">
        <f>Rates_Admin_Current[[#This Row],[Type]]&amp;"_"&amp;Rates_Admin_Current[[#This Row],[Tariff Category]]&amp;"_"&amp;Rates_Admin_Current[[#This Row],[Supply Size]]</f>
        <v>Rural_Non-Local Authority_&gt;500kVA &amp; ≤1MVA</v>
      </c>
      <c r="H40" s="77" t="s">
        <v>296</v>
      </c>
      <c r="I40" s="78">
        <v>198.52</v>
      </c>
      <c r="J40" s="78">
        <v>19.37</v>
      </c>
      <c r="L40" s="108" t="s">
        <v>360</v>
      </c>
      <c r="M40" s="108" t="s">
        <v>356</v>
      </c>
    </row>
    <row r="41" spans="3:13" s="77" customFormat="1" ht="13.8">
      <c r="C41" s="77" t="s">
        <v>107</v>
      </c>
      <c r="D41" s="77" t="s">
        <v>72</v>
      </c>
      <c r="E41" s="77" t="s">
        <v>104</v>
      </c>
      <c r="F41" s="77" t="s">
        <v>243</v>
      </c>
      <c r="G41" s="77" t="str">
        <f>Rates_Admin_Current[[#This Row],[Type]]&amp;"_"&amp;Rates_Admin_Current[[#This Row],[Tariff Category]]&amp;"_"&amp;Rates_Admin_Current[[#This Row],[Supply Size]]</f>
        <v>Rural_Non-Local Authority_&gt;1MVA &amp; ≤5MVA</v>
      </c>
      <c r="H41" s="77" t="s">
        <v>296</v>
      </c>
      <c r="I41" s="78">
        <v>198.52</v>
      </c>
      <c r="J41" s="78">
        <v>19.37</v>
      </c>
      <c r="L41" s="108" t="s">
        <v>361</v>
      </c>
      <c r="M41" s="108" t="s">
        <v>357</v>
      </c>
    </row>
    <row r="42" spans="3:13" s="77" customFormat="1" ht="13.8">
      <c r="C42" s="77" t="s">
        <v>107</v>
      </c>
      <c r="D42" s="77" t="s">
        <v>72</v>
      </c>
      <c r="E42" s="77" t="s">
        <v>104</v>
      </c>
      <c r="F42" s="77" t="s">
        <v>244</v>
      </c>
      <c r="G42" s="77" t="str">
        <f>Rates_Admin_Current[[#This Row],[Type]]&amp;"_"&amp;Rates_Admin_Current[[#This Row],[Tariff Category]]&amp;"_"&amp;Rates_Admin_Current[[#This Row],[Supply Size]]</f>
        <v>Rural_Non-Local Authority_&gt;5MVA</v>
      </c>
      <c r="H42" s="77" t="s">
        <v>296</v>
      </c>
      <c r="I42" s="78">
        <v>198.52</v>
      </c>
      <c r="J42" s="78">
        <v>19.37</v>
      </c>
      <c r="L42" s="108" t="s">
        <v>361</v>
      </c>
      <c r="M42" s="108" t="s">
        <v>357</v>
      </c>
    </row>
    <row r="43" spans="3:13" s="77" customFormat="1" ht="13.8">
      <c r="C43" s="77" t="s">
        <v>107</v>
      </c>
      <c r="D43" s="77" t="s">
        <v>72</v>
      </c>
      <c r="E43" s="77" t="s">
        <v>104</v>
      </c>
      <c r="F43" s="77" t="s">
        <v>86</v>
      </c>
      <c r="G43" s="77" t="str">
        <f>Rates_Admin_Current[[#This Row],[Type]]&amp;"_"&amp;Rates_Admin_Current[[#This Row],[Tariff Category]]&amp;"_"&amp;Rates_Admin_Current[[#This Row],[Supply Size]]</f>
        <v>Rural_Non-Local Authority_Key customer</v>
      </c>
      <c r="H43" s="77" t="s">
        <v>296</v>
      </c>
      <c r="I43" s="78">
        <v>1118.46</v>
      </c>
      <c r="J43" s="78">
        <v>19.37</v>
      </c>
      <c r="L43" s="108" t="s">
        <v>362</v>
      </c>
      <c r="M43" s="108" t="s">
        <v>358</v>
      </c>
    </row>
    <row r="44" spans="3:13" s="77" customFormat="1" ht="13.8">
      <c r="C44" s="77" t="s">
        <v>107</v>
      </c>
      <c r="D44" s="77" t="s">
        <v>71</v>
      </c>
      <c r="E44" s="77" t="s">
        <v>104</v>
      </c>
      <c r="F44" s="77" t="s">
        <v>83</v>
      </c>
      <c r="G44" s="77" t="str">
        <f>Rates_Admin_Current[[#This Row],[Type]]&amp;"_"&amp;Rates_Admin_Current[[#This Row],[Tariff Category]]&amp;"_"&amp;Rates_Admin_Current[[#This Row],[Supply Size]]</f>
        <v>Rural_Local Authority_≤100kVA</v>
      </c>
      <c r="H44" s="77" t="s">
        <v>299</v>
      </c>
      <c r="I44" s="78">
        <v>13.96</v>
      </c>
      <c r="J44" s="78">
        <v>0.75</v>
      </c>
      <c r="L44" s="108" t="s">
        <v>304</v>
      </c>
      <c r="M44" s="108" t="s">
        <v>354</v>
      </c>
    </row>
    <row r="45" spans="3:13" s="77" customFormat="1" ht="13.8">
      <c r="C45" s="77" t="s">
        <v>107</v>
      </c>
      <c r="D45" s="77" t="s">
        <v>71</v>
      </c>
      <c r="E45" s="77" t="s">
        <v>104</v>
      </c>
      <c r="F45" s="77" t="s">
        <v>84</v>
      </c>
      <c r="G45" s="77" t="str">
        <f>Rates_Admin_Current[[#This Row],[Type]]&amp;"_"&amp;Rates_Admin_Current[[#This Row],[Tariff Category]]&amp;"_"&amp;Rates_Admin_Current[[#This Row],[Supply Size]]</f>
        <v>Rural_Local Authority_&gt;100kVA &amp; ≤500kVA</v>
      </c>
      <c r="H45" s="77" t="s">
        <v>299</v>
      </c>
      <c r="I45" s="78">
        <v>65.290000000000006</v>
      </c>
      <c r="J45" s="78">
        <v>12.59</v>
      </c>
      <c r="L45" s="108" t="s">
        <v>359</v>
      </c>
      <c r="M45" s="108" t="s">
        <v>355</v>
      </c>
    </row>
    <row r="46" spans="3:13" s="77" customFormat="1" ht="13.8">
      <c r="C46" s="77" t="s">
        <v>107</v>
      </c>
      <c r="D46" s="77" t="s">
        <v>71</v>
      </c>
      <c r="E46" s="77" t="s">
        <v>104</v>
      </c>
      <c r="F46" s="77" t="s">
        <v>85</v>
      </c>
      <c r="G46" s="77" t="str">
        <f>Rates_Admin_Current[[#This Row],[Type]]&amp;"_"&amp;Rates_Admin_Current[[#This Row],[Tariff Category]]&amp;"_"&amp;Rates_Admin_Current[[#This Row],[Supply Size]]</f>
        <v>Rural_Local Authority_&gt;500kVA &amp; ≤1MVA</v>
      </c>
      <c r="H46" s="77" t="s">
        <v>299</v>
      </c>
      <c r="I46" s="78">
        <v>201.62</v>
      </c>
      <c r="J46" s="78">
        <v>19.670000000000002</v>
      </c>
      <c r="L46" s="108" t="s">
        <v>360</v>
      </c>
      <c r="M46" s="108" t="s">
        <v>356</v>
      </c>
    </row>
    <row r="47" spans="3:13" s="77" customFormat="1" ht="13.8">
      <c r="C47" s="77" t="s">
        <v>107</v>
      </c>
      <c r="D47" s="77" t="s">
        <v>71</v>
      </c>
      <c r="E47" s="77" t="s">
        <v>104</v>
      </c>
      <c r="F47" s="77" t="s">
        <v>243</v>
      </c>
      <c r="G47" s="77" t="str">
        <f>Rates_Admin_Current[[#This Row],[Type]]&amp;"_"&amp;Rates_Admin_Current[[#This Row],[Tariff Category]]&amp;"_"&amp;Rates_Admin_Current[[#This Row],[Supply Size]]</f>
        <v>Rural_Local Authority_&gt;1MVA &amp; ≤5MVA</v>
      </c>
      <c r="H47" s="77" t="s">
        <v>299</v>
      </c>
      <c r="I47" s="78">
        <v>201.62</v>
      </c>
      <c r="J47" s="78">
        <v>19.670000000000002</v>
      </c>
      <c r="L47" s="108" t="s">
        <v>361</v>
      </c>
      <c r="M47" s="108" t="s">
        <v>357</v>
      </c>
    </row>
    <row r="48" spans="3:13" s="77" customFormat="1" ht="13.8">
      <c r="C48" s="77" t="s">
        <v>107</v>
      </c>
      <c r="D48" s="77" t="s">
        <v>71</v>
      </c>
      <c r="E48" s="77" t="s">
        <v>104</v>
      </c>
      <c r="F48" s="77" t="s">
        <v>244</v>
      </c>
      <c r="G48" s="77" t="str">
        <f>Rates_Admin_Current[[#This Row],[Type]]&amp;"_"&amp;Rates_Admin_Current[[#This Row],[Tariff Category]]&amp;"_"&amp;Rates_Admin_Current[[#This Row],[Supply Size]]</f>
        <v>Rural_Local Authority_&gt;5MVA</v>
      </c>
      <c r="H48" s="77" t="s">
        <v>299</v>
      </c>
      <c r="I48" s="78">
        <v>201.62</v>
      </c>
      <c r="J48" s="78">
        <v>19.670000000000002</v>
      </c>
      <c r="L48" s="108" t="s">
        <v>361</v>
      </c>
      <c r="M48" s="108" t="s">
        <v>357</v>
      </c>
    </row>
    <row r="49" spans="3:13" s="77" customFormat="1" ht="13.8">
      <c r="C49" s="77" t="s">
        <v>107</v>
      </c>
      <c r="D49" s="77" t="s">
        <v>71</v>
      </c>
      <c r="E49" s="77" t="s">
        <v>104</v>
      </c>
      <c r="F49" s="77" t="s">
        <v>86</v>
      </c>
      <c r="G49" s="77" t="str">
        <f>Rates_Admin_Current[[#This Row],[Type]]&amp;"_"&amp;Rates_Admin_Current[[#This Row],[Tariff Category]]&amp;"_"&amp;Rates_Admin_Current[[#This Row],[Supply Size]]</f>
        <v>Rural_Local Authority_Key customer</v>
      </c>
      <c r="H49" s="77" t="s">
        <v>299</v>
      </c>
      <c r="I49" s="78">
        <v>1135.92</v>
      </c>
      <c r="J49" s="78">
        <v>19.670000000000002</v>
      </c>
      <c r="L49" s="108" t="s">
        <v>362</v>
      </c>
      <c r="M49" s="108" t="s">
        <v>358</v>
      </c>
    </row>
    <row r="50" spans="3:13" s="77" customFormat="1" ht="13.8"/>
    <row r="51" spans="3:13" s="77" customFormat="1" ht="13.8"/>
    <row r="52" spans="3:13" s="77" customFormat="1" ht="13.8"/>
    <row r="53" spans="3:13" s="77" customFormat="1" ht="13.8"/>
  </sheetData>
  <sheetProtection algorithmName="SHA-512" hashValue="XoJLUMG4fXps+DAutNwEtvdfn2vATO7q4sstiwzchM3VrlpVR0b/BFzxpCezfq91zFTHN+Q+vLEis27vb9AzdA==" saltValue="lEhXxZCOgqvLEUA/yGaEBw==" spinCount="100000" sheet="1" objects="1" scenarios="1"/>
  <conditionalFormatting sqref="C6:C7">
    <cfRule type="expression" dxfId="311" priority="16">
      <formula>C6&lt;&gt;#REF!</formula>
    </cfRule>
  </conditionalFormatting>
  <conditionalFormatting sqref="C24">
    <cfRule type="expression" dxfId="310" priority="11">
      <formula>C24&lt;&gt;#REF!</formula>
    </cfRule>
  </conditionalFormatting>
  <conditionalFormatting sqref="I9:M22">
    <cfRule type="cellIs" dxfId="309" priority="10" operator="equal">
      <formula>"n/a"</formula>
    </cfRule>
  </conditionalFormatting>
  <conditionalFormatting sqref="I26:I31">
    <cfRule type="cellIs" dxfId="308" priority="9" operator="equal">
      <formula>"n/a"</formula>
    </cfRule>
  </conditionalFormatting>
  <conditionalFormatting sqref="J26:J31">
    <cfRule type="cellIs" dxfId="307" priority="8" operator="equal">
      <formula>"n/a"</formula>
    </cfRule>
  </conditionalFormatting>
  <conditionalFormatting sqref="I32:I37">
    <cfRule type="cellIs" dxfId="306" priority="7" operator="equal">
      <formula>"n/a"</formula>
    </cfRule>
  </conditionalFormatting>
  <conditionalFormatting sqref="J32:J37">
    <cfRule type="cellIs" dxfId="305" priority="6" operator="equal">
      <formula>"n/a"</formula>
    </cfRule>
  </conditionalFormatting>
  <conditionalFormatting sqref="I38:I43">
    <cfRule type="cellIs" dxfId="304" priority="5" operator="equal">
      <formula>"n/a"</formula>
    </cfRule>
  </conditionalFormatting>
  <conditionalFormatting sqref="J38:J43">
    <cfRule type="cellIs" dxfId="303" priority="4" operator="equal">
      <formula>"n/a"</formula>
    </cfRule>
  </conditionalFormatting>
  <conditionalFormatting sqref="I44:I49">
    <cfRule type="cellIs" dxfId="302" priority="3" operator="equal">
      <formula>"n/a"</formula>
    </cfRule>
  </conditionalFormatting>
  <conditionalFormatting sqref="J44:J49">
    <cfRule type="cellIs" dxfId="301" priority="2" operator="equal">
      <formula>"n/a"</formula>
    </cfRule>
  </conditionalFormatting>
  <conditionalFormatting sqref="I21:M21">
    <cfRule type="cellIs" dxfId="300" priority="1" operator="equal">
      <formula>"n/a"</formula>
    </cfRule>
  </conditionalFormatting>
  <pageMargins left="0.7" right="0.7" top="0.75" bottom="0.75" header="0.3" footer="0.3"/>
  <ignoredErrors>
    <ignoredError sqref="I23:M23" unlockedFormula="1"/>
  </ignoredErrors>
  <drawing r:id="rId1"/>
  <tableParts count="2">
    <tablePart r:id="rId2"/>
    <tablePart r:id="rId3"/>
  </tablePart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>
    <tabColor rgb="FF92D050"/>
  </sheetPr>
  <dimension ref="B1:P83"/>
  <sheetViews>
    <sheetView showGridLines="0" zoomScale="85" zoomScaleNormal="85" workbookViewId="0">
      <pane xSplit="7" ySplit="7" topLeftCell="H14" activePane="bottomRight" state="frozen"/>
      <selection activeCell="A5" sqref="A5"/>
      <selection pane="topRight" activeCell="A5" sqref="A5"/>
      <selection pane="bottomLeft" activeCell="A5" sqref="A5"/>
      <selection pane="bottomRight" activeCell="I14" sqref="I14"/>
    </sheetView>
  </sheetViews>
  <sheetFormatPr defaultColWidth="9.28515625" defaultRowHeight="12"/>
  <cols>
    <col min="1" max="2" width="2.7109375" customWidth="1"/>
    <col min="3" max="3" width="17.7109375" customWidth="1"/>
    <col min="4" max="4" width="21.140625" customWidth="1"/>
    <col min="5" max="5" width="10" customWidth="1"/>
    <col min="6" max="6" width="21.140625" bestFit="1" customWidth="1"/>
    <col min="7" max="7" width="67.7109375" bestFit="1" customWidth="1"/>
    <col min="8" max="11" width="12.7109375" customWidth="1"/>
    <col min="12" max="12" width="16.28515625" customWidth="1"/>
    <col min="13" max="13" width="12.7109375" customWidth="1"/>
    <col min="14" max="14" width="17.7109375" bestFit="1" customWidth="1"/>
    <col min="15" max="15" width="13.7109375" customWidth="1"/>
  </cols>
  <sheetData>
    <row r="1" spans="3:16" ht="4.05" customHeight="1"/>
    <row r="2" spans="3:16" ht="33" customHeight="1"/>
    <row r="3" spans="3:16" ht="4.05" customHeight="1"/>
    <row r="4" spans="3:16" ht="15">
      <c r="C4" s="2" t="str">
        <f>"Large Power User | Network &amp; Reliability Service Charges by Voltage Inputs | "&amp;New_Period</f>
        <v>Large Power User | Network &amp; Reliability Service Charges by Voltage Inputs | 2026/27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6" spans="3:16" s="77" customFormat="1" ht="13.8">
      <c r="C6" s="69" t="s">
        <v>158</v>
      </c>
      <c r="D6" s="70"/>
      <c r="E6" s="70"/>
      <c r="F6" s="71"/>
      <c r="G6" s="72"/>
      <c r="H6" s="73"/>
      <c r="I6" s="234" t="s">
        <v>447</v>
      </c>
      <c r="J6" s="113" t="s">
        <v>287</v>
      </c>
      <c r="K6" s="113" t="s">
        <v>293</v>
      </c>
      <c r="L6" s="300" t="s">
        <v>293</v>
      </c>
      <c r="M6" s="113" t="s">
        <v>294</v>
      </c>
      <c r="N6" s="113" t="s">
        <v>295</v>
      </c>
      <c r="O6" s="113" t="s">
        <v>504</v>
      </c>
    </row>
    <row r="7" spans="3:16" s="77" customFormat="1" ht="69" customHeight="1">
      <c r="C7" s="75" t="s">
        <v>31</v>
      </c>
      <c r="D7" s="76" t="s">
        <v>32</v>
      </c>
      <c r="E7" s="76" t="s">
        <v>102</v>
      </c>
      <c r="F7" s="76" t="s">
        <v>34</v>
      </c>
      <c r="G7" s="76" t="s">
        <v>76</v>
      </c>
      <c r="H7" s="76" t="s">
        <v>138</v>
      </c>
      <c r="I7" s="76" t="s">
        <v>393</v>
      </c>
      <c r="J7" s="76" t="s">
        <v>114</v>
      </c>
      <c r="K7" s="76" t="s">
        <v>113</v>
      </c>
      <c r="L7" s="76" t="s">
        <v>544</v>
      </c>
      <c r="M7" s="76" t="s">
        <v>392</v>
      </c>
      <c r="N7" s="76" t="s">
        <v>146</v>
      </c>
      <c r="O7" s="76" t="s">
        <v>506</v>
      </c>
      <c r="P7" s="80" t="s">
        <v>440</v>
      </c>
    </row>
    <row r="8" spans="3:16" s="77" customFormat="1" ht="13.8">
      <c r="C8" s="77" t="s">
        <v>41</v>
      </c>
      <c r="D8" s="77" t="str">
        <f t="shared" ref="D8:D13" si="0">Selected_Tariff_Category</f>
        <v>Non-Local Authority</v>
      </c>
      <c r="F8" s="77" t="str">
        <f t="shared" ref="F8:F13" ca="1" si="1">Selected_Supply_Voltage</f>
        <v>&lt; 500V</v>
      </c>
      <c r="G8" s="77" t="str">
        <f t="shared" ref="G8:G13" ca="1" si="2">C8 &amp; "_" &amp; D8 &amp; "_" &amp; F8</f>
        <v>Megaflex_Non-Local Authority_&lt; 500V</v>
      </c>
      <c r="I8" s="107">
        <f t="shared" ref="I8:O16" ca="1" si="3">IFERROR(INDEX(I$22:I$84,MATCH($G8,$G$22:$G$84,0)), "n/a")</f>
        <v>42.66</v>
      </c>
      <c r="J8" s="107">
        <f t="shared" ca="1" si="3"/>
        <v>52.65</v>
      </c>
      <c r="K8" s="107">
        <f t="shared" ca="1" si="3"/>
        <v>0</v>
      </c>
      <c r="L8" s="107" t="str">
        <f t="shared" ca="1" si="3"/>
        <v>n/a</v>
      </c>
      <c r="M8" s="107">
        <f t="shared" ca="1" si="3"/>
        <v>0.45</v>
      </c>
      <c r="N8" s="107">
        <f t="shared" ca="1" si="3"/>
        <v>0</v>
      </c>
      <c r="O8" s="282">
        <f t="shared" ca="1" si="3"/>
        <v>5.29</v>
      </c>
    </row>
    <row r="9" spans="3:16" s="77" customFormat="1" ht="13.8">
      <c r="C9" s="77" t="s">
        <v>42</v>
      </c>
      <c r="D9" s="77" t="str">
        <f t="shared" si="0"/>
        <v>Non-Local Authority</v>
      </c>
      <c r="F9" s="77" t="str">
        <f t="shared" ca="1" si="1"/>
        <v>&lt; 500V</v>
      </c>
      <c r="G9" s="77" t="str">
        <f t="shared" ca="1" si="2"/>
        <v>Miniflex_Non-Local Authority_&lt; 500V</v>
      </c>
      <c r="I9" s="107" t="str">
        <f t="shared" ca="1" si="3"/>
        <v>n/a</v>
      </c>
      <c r="J9" s="107">
        <f t="shared" ca="1" si="3"/>
        <v>0</v>
      </c>
      <c r="K9" s="107">
        <f t="shared" ca="1" si="3"/>
        <v>32.299999999999997</v>
      </c>
      <c r="L9" s="107" t="str">
        <f t="shared" ca="1" si="3"/>
        <v>n/a</v>
      </c>
      <c r="M9" s="107">
        <f t="shared" ca="1" si="3"/>
        <v>0.45</v>
      </c>
      <c r="N9" s="107">
        <f t="shared" ca="1" si="3"/>
        <v>0</v>
      </c>
      <c r="O9" s="282">
        <f t="shared" ca="1" si="3"/>
        <v>5.29</v>
      </c>
    </row>
    <row r="10" spans="3:16" s="77" customFormat="1" ht="13.8">
      <c r="C10" s="77" t="s">
        <v>46</v>
      </c>
      <c r="D10" s="77" t="str">
        <f t="shared" si="0"/>
        <v>Non-Local Authority</v>
      </c>
      <c r="F10" s="77" t="str">
        <f t="shared" ca="1" si="1"/>
        <v>&lt; 500V</v>
      </c>
      <c r="G10" s="77" t="str">
        <f t="shared" ca="1" si="2"/>
        <v>Ruraflex_Non-Local Authority_&lt; 500V</v>
      </c>
      <c r="I10" s="107" t="str">
        <f t="shared" ca="1" si="3"/>
        <v>n/a</v>
      </c>
      <c r="J10" s="107">
        <f t="shared" ca="1" si="3"/>
        <v>0</v>
      </c>
      <c r="K10" s="107">
        <f t="shared" ca="1" si="3"/>
        <v>52.55</v>
      </c>
      <c r="L10" s="107" t="str">
        <f t="shared" ca="1" si="3"/>
        <v>n/a</v>
      </c>
      <c r="M10" s="107">
        <f t="shared" ca="1" si="3"/>
        <v>0.45</v>
      </c>
      <c r="N10" s="107">
        <f t="shared" ca="1" si="3"/>
        <v>0</v>
      </c>
      <c r="O10" s="282">
        <f t="shared" ca="1" si="3"/>
        <v>5.07</v>
      </c>
    </row>
    <row r="11" spans="3:16" s="77" customFormat="1" ht="13.8">
      <c r="C11" s="77" t="s">
        <v>45</v>
      </c>
      <c r="D11" s="77" t="str">
        <f t="shared" si="0"/>
        <v>Non-Local Authority</v>
      </c>
      <c r="F11" s="77" t="str">
        <f t="shared" ca="1" si="1"/>
        <v>&lt; 500V</v>
      </c>
      <c r="G11" s="77" t="str">
        <f t="shared" ca="1" si="2"/>
        <v>Nightsave Small_Non-Local Authority_&lt; 500V</v>
      </c>
      <c r="I11" s="107">
        <f t="shared" ca="1" si="3"/>
        <v>42.66</v>
      </c>
      <c r="J11" s="107">
        <f t="shared" ca="1" si="3"/>
        <v>52.65</v>
      </c>
      <c r="K11" s="107">
        <f t="shared" ca="1" si="3"/>
        <v>0</v>
      </c>
      <c r="L11" s="107" t="str">
        <f t="shared" ca="1" si="3"/>
        <v>n/a</v>
      </c>
      <c r="M11" s="107">
        <f t="shared" ca="1" si="3"/>
        <v>0.45</v>
      </c>
      <c r="N11" s="107">
        <f t="shared" ca="1" si="3"/>
        <v>0</v>
      </c>
      <c r="O11" s="282">
        <f t="shared" ca="1" si="3"/>
        <v>5.29</v>
      </c>
    </row>
    <row r="12" spans="3:16" s="77" customFormat="1" ht="13.8">
      <c r="C12" s="77" t="s">
        <v>624</v>
      </c>
      <c r="D12" s="77" t="str">
        <f t="shared" si="0"/>
        <v>Non-Local Authority</v>
      </c>
      <c r="F12" s="77" t="str">
        <f t="shared" ca="1" si="1"/>
        <v>&lt; 500V</v>
      </c>
      <c r="G12" s="77" t="str">
        <f ca="1">C12 &amp; "_" &amp; D12 &amp; "_" &amp; F12</f>
        <v>Nightsave Urban_Non-Local Authority_&lt; 500V</v>
      </c>
      <c r="I12" s="107">
        <f t="shared" ca="1" si="3"/>
        <v>42.66</v>
      </c>
      <c r="J12" s="107">
        <f t="shared" ca="1" si="3"/>
        <v>52.65</v>
      </c>
      <c r="K12" s="107">
        <f t="shared" ca="1" si="3"/>
        <v>0</v>
      </c>
      <c r="L12" s="107" t="str">
        <f t="shared" ca="1" si="3"/>
        <v>n/a</v>
      </c>
      <c r="M12" s="107">
        <f t="shared" ca="1" si="3"/>
        <v>0.45</v>
      </c>
      <c r="N12" s="107">
        <f t="shared" ca="1" si="3"/>
        <v>0</v>
      </c>
      <c r="O12" s="282">
        <f t="shared" ca="1" si="3"/>
        <v>5.29</v>
      </c>
    </row>
    <row r="13" spans="3:16" s="77" customFormat="1" ht="13.8">
      <c r="C13" s="77" t="s">
        <v>44</v>
      </c>
      <c r="D13" s="77" t="str">
        <f t="shared" si="0"/>
        <v>Non-Local Authority</v>
      </c>
      <c r="F13" s="77" t="str">
        <f t="shared" ca="1" si="1"/>
        <v>&lt; 500V</v>
      </c>
      <c r="G13" s="77" t="str">
        <f t="shared" ca="1" si="2"/>
        <v>Nightsave Rural_Non-Local Authority_&lt; 500V</v>
      </c>
      <c r="I13" s="107" t="str">
        <f t="shared" ca="1" si="3"/>
        <v>n/a</v>
      </c>
      <c r="J13" s="107">
        <f t="shared" ca="1" si="3"/>
        <v>0</v>
      </c>
      <c r="K13" s="107">
        <f t="shared" ca="1" si="3"/>
        <v>52.55</v>
      </c>
      <c r="L13" s="107" t="str">
        <f t="shared" ca="1" si="3"/>
        <v>n/a</v>
      </c>
      <c r="M13" s="107">
        <f t="shared" ca="1" si="3"/>
        <v>0.45</v>
      </c>
      <c r="N13" s="107">
        <f t="shared" ca="1" si="3"/>
        <v>0</v>
      </c>
      <c r="O13" s="282">
        <f t="shared" ca="1" si="3"/>
        <v>5.07</v>
      </c>
    </row>
    <row r="14" spans="3:16" s="77" customFormat="1" ht="13.8">
      <c r="C14" s="77" t="s">
        <v>465</v>
      </c>
      <c r="D14" s="77" t="str">
        <f>Selected_Tariff_Category</f>
        <v>Non-Local Authority</v>
      </c>
      <c r="F14" s="77" t="str">
        <f ca="1">Selected_Supply_Voltage</f>
        <v>&lt; 500V</v>
      </c>
      <c r="G14" s="77" t="str">
        <f ca="1">C14 &amp; "_" &amp; D14 &amp; "_" &amp; F14</f>
        <v>Municflex_Non-Local Authority_&lt; 500V</v>
      </c>
      <c r="I14" s="107" t="str">
        <f t="shared" ca="1" si="3"/>
        <v>n/a</v>
      </c>
      <c r="J14" s="107" t="str">
        <f t="shared" ca="1" si="3"/>
        <v>n/a</v>
      </c>
      <c r="K14" s="107" t="str">
        <f t="shared" ca="1" si="3"/>
        <v>n/a</v>
      </c>
      <c r="L14" s="107" t="str">
        <f t="shared" ca="1" si="3"/>
        <v>n/a</v>
      </c>
      <c r="M14" s="107" t="str">
        <f t="shared" ca="1" si="3"/>
        <v>n/a</v>
      </c>
      <c r="N14" s="107" t="str">
        <f t="shared" ca="1" si="3"/>
        <v>n/a</v>
      </c>
      <c r="O14" s="282" t="str">
        <f t="shared" ca="1" si="3"/>
        <v>n/a</v>
      </c>
    </row>
    <row r="15" spans="3:16" s="77" customFormat="1" ht="13.8">
      <c r="C15" s="77" t="s">
        <v>583</v>
      </c>
      <c r="D15" s="77" t="str">
        <f>Selected_Tariff_Category</f>
        <v>Non-Local Authority</v>
      </c>
      <c r="F15" s="77" t="str">
        <f ca="1">Selected_Supply_Voltage</f>
        <v>&lt; 500V</v>
      </c>
      <c r="G15" s="77" t="str">
        <f ca="1">C15 &amp; "_" &amp; D15 &amp; "_" &amp; F15</f>
        <v>Transflex 1_Non-Local Authority_&lt; 500V</v>
      </c>
      <c r="I15" s="107">
        <f t="shared" ca="1" si="3"/>
        <v>0</v>
      </c>
      <c r="J15" s="107">
        <f t="shared" ca="1" si="3"/>
        <v>0</v>
      </c>
      <c r="K15" s="107">
        <f t="shared" ca="1" si="3"/>
        <v>0</v>
      </c>
      <c r="L15" s="107" t="str">
        <f t="shared" ca="1" si="3"/>
        <v>n/a</v>
      </c>
      <c r="M15" s="107">
        <f t="shared" ca="1" si="3"/>
        <v>0.45</v>
      </c>
      <c r="N15" s="107">
        <f t="shared" ca="1" si="3"/>
        <v>0</v>
      </c>
      <c r="O15" s="107">
        <f t="shared" ca="1" si="3"/>
        <v>2088.4899999999998</v>
      </c>
    </row>
    <row r="16" spans="3:16" s="77" customFormat="1" ht="13.8">
      <c r="C16" s="77" t="s">
        <v>584</v>
      </c>
      <c r="D16" s="77" t="str">
        <f>Selected_Tariff_Category</f>
        <v>Non-Local Authority</v>
      </c>
      <c r="F16" s="77" t="str">
        <f ca="1">Selected_Supply_Voltage</f>
        <v>&lt; 500V</v>
      </c>
      <c r="G16" s="77" t="str">
        <f ca="1">C16 &amp; "_" &amp; D16 &amp; "_" &amp; F16</f>
        <v>Transflex 2_Non-Local Authority_&lt; 500V</v>
      </c>
      <c r="I16" s="107">
        <f t="shared" ca="1" si="3"/>
        <v>0</v>
      </c>
      <c r="J16" s="107">
        <f t="shared" ca="1" si="3"/>
        <v>0</v>
      </c>
      <c r="K16" s="107">
        <f t="shared" ca="1" si="3"/>
        <v>0</v>
      </c>
      <c r="L16" s="107" t="str">
        <f t="shared" ca="1" si="3"/>
        <v>n/a</v>
      </c>
      <c r="M16" s="107">
        <f t="shared" ca="1" si="3"/>
        <v>0.45</v>
      </c>
      <c r="N16" s="107">
        <f t="shared" ca="1" si="3"/>
        <v>0</v>
      </c>
      <c r="O16" s="107">
        <f t="shared" ca="1" si="3"/>
        <v>2021.95</v>
      </c>
    </row>
    <row r="17" spans="3:16" s="77" customFormat="1" ht="13.8"/>
    <row r="18" spans="3:16" s="77" customFormat="1" ht="13.8">
      <c r="I18" s="234" t="s">
        <v>285</v>
      </c>
      <c r="J18" s="113" t="s">
        <v>287</v>
      </c>
      <c r="K18" s="113" t="s">
        <v>293</v>
      </c>
      <c r="L18" s="300" t="s">
        <v>293</v>
      </c>
      <c r="M18" s="113" t="s">
        <v>294</v>
      </c>
      <c r="N18" s="113" t="s">
        <v>295</v>
      </c>
      <c r="O18" s="113" t="s">
        <v>504</v>
      </c>
    </row>
    <row r="19" spans="3:16" s="77" customFormat="1" ht="82.8">
      <c r="C19" s="109" t="s">
        <v>31</v>
      </c>
      <c r="D19" s="110" t="s">
        <v>32</v>
      </c>
      <c r="E19" s="110" t="s">
        <v>102</v>
      </c>
      <c r="F19" s="110" t="s">
        <v>34</v>
      </c>
      <c r="G19" s="110" t="s">
        <v>76</v>
      </c>
      <c r="H19" s="110"/>
      <c r="I19" s="235" t="s">
        <v>448</v>
      </c>
      <c r="J19" s="110" t="s">
        <v>105</v>
      </c>
      <c r="K19" s="110" t="s">
        <v>105</v>
      </c>
      <c r="L19" s="110" t="s">
        <v>546</v>
      </c>
      <c r="M19" s="110" t="s">
        <v>139</v>
      </c>
      <c r="N19" s="110" t="s">
        <v>144</v>
      </c>
      <c r="O19" s="110" t="s">
        <v>505</v>
      </c>
    </row>
    <row r="20" spans="3:16" s="77" customFormat="1" ht="13.8">
      <c r="C20" s="75"/>
      <c r="D20" s="76"/>
      <c r="E20" s="76"/>
      <c r="F20" s="76"/>
      <c r="G20" s="76"/>
      <c r="H20" s="76"/>
      <c r="I20" s="76" t="s">
        <v>108</v>
      </c>
      <c r="J20" s="76" t="s">
        <v>108</v>
      </c>
      <c r="K20" s="76" t="s">
        <v>106</v>
      </c>
      <c r="L20" s="76" t="s">
        <v>106</v>
      </c>
      <c r="M20" s="76" t="s">
        <v>106</v>
      </c>
      <c r="N20" s="76" t="s">
        <v>108</v>
      </c>
      <c r="O20" s="76" t="s">
        <v>115</v>
      </c>
    </row>
    <row r="21" spans="3:16" s="77" customFormat="1" ht="27.6">
      <c r="C21" s="111"/>
      <c r="D21" s="112"/>
      <c r="E21" s="112"/>
      <c r="F21" s="112"/>
      <c r="G21" s="112"/>
      <c r="H21" s="112"/>
      <c r="I21" s="112" t="str">
        <f>'Rates LPU by Voltage - Current'!I22</f>
        <v>Dx NCC</v>
      </c>
      <c r="J21" s="112" t="str">
        <f>'Rates LPU by Voltage - Current'!J22</f>
        <v>Dx NDC</v>
      </c>
      <c r="K21" s="112" t="str">
        <f>'Rates LPU by Voltage - Current'!K22</f>
        <v>DxNDC Energy</v>
      </c>
      <c r="L21" s="112" t="s">
        <v>293</v>
      </c>
      <c r="M21" s="112" t="str">
        <f>'Rates LPU by Voltage - Current'!M22</f>
        <v>Reliab</v>
      </c>
      <c r="N21" s="112" t="str">
        <f>'Rates LPU by Voltage - Current'!N22</f>
        <v>SubUrbLowVolt</v>
      </c>
      <c r="O21" s="112" t="s">
        <v>504</v>
      </c>
    </row>
    <row r="22" spans="3:16" s="77" customFormat="1" ht="13.8">
      <c r="C22" s="77" t="s">
        <v>41</v>
      </c>
      <c r="D22" s="77" t="s">
        <v>72</v>
      </c>
      <c r="E22" s="77" t="str">
        <f>INDEX(Base_Tariff_Type,MATCH($C22,Base_Tariff_List,0))</f>
        <v>Urban</v>
      </c>
      <c r="F22" s="77" t="s">
        <v>62</v>
      </c>
      <c r="G22" s="77" t="str">
        <f t="shared" ref="G22:G29" si="4">C22 &amp; "_" &amp; D22 &amp; "_" &amp; F22</f>
        <v>Megaflex_Non-Local Authority_&lt; 500V</v>
      </c>
      <c r="H22" s="77" t="str">
        <f>INDEX(Matrix_Tariff_Map,MATCH(C22,Matrix_Model_Tariffs,0),2)&amp;IFERROR(INDEX(Matrix_Transmission_Map,MATCH(#REF!,Matrix_Model_Transmission,0),2),0)&amp;INDEX(Matrix_Voltage_Map,MATCH(F22,Matrix_Model_Voltage,0),2)&amp;INDEX(Matrix_Category_Map,MATCH(D22,Matrix_Model_Category,0),2)</f>
        <v>Me01N</v>
      </c>
      <c r="I22" s="106">
        <v>42.66</v>
      </c>
      <c r="J22" s="106">
        <v>52.65</v>
      </c>
      <c r="K22" s="106">
        <v>0</v>
      </c>
      <c r="L22" s="106" t="s">
        <v>118</v>
      </c>
      <c r="M22" s="106">
        <v>0.45</v>
      </c>
      <c r="N22" s="106">
        <v>0</v>
      </c>
      <c r="O22" s="106">
        <v>5.29</v>
      </c>
    </row>
    <row r="23" spans="3:16" s="77" customFormat="1" ht="13.8">
      <c r="C23" s="77" t="str">
        <f>C22</f>
        <v>Megaflex</v>
      </c>
      <c r="D23" s="77" t="s">
        <v>72</v>
      </c>
      <c r="E23" s="77" t="str">
        <f>E22</f>
        <v>Urban</v>
      </c>
      <c r="F23" s="77" t="s">
        <v>63</v>
      </c>
      <c r="G23" s="77" t="str">
        <f t="shared" si="4"/>
        <v>Megaflex_Non-Local Authority_≥ 500V &amp; &lt; 66kV</v>
      </c>
      <c r="H23" s="77" t="str">
        <f>INDEX(Matrix_Tariff_Map,MATCH(C23,Matrix_Model_Tariffs,0),2)&amp;IFERROR(INDEX(Matrix_Transmission_Map,MATCH(#REF!,Matrix_Model_Transmission,0),2),0)&amp;INDEX(Matrix_Voltage_Map,MATCH(F23,Matrix_Model_Voltage,0),2)&amp;INDEX(Matrix_Category_Map,MATCH(D23,Matrix_Model_Category,0),2)</f>
        <v>Me02N</v>
      </c>
      <c r="I23" s="106">
        <v>39.130000000000003</v>
      </c>
      <c r="J23" s="106">
        <v>26.29</v>
      </c>
      <c r="K23" s="106">
        <v>0</v>
      </c>
      <c r="L23" s="106" t="s">
        <v>118</v>
      </c>
      <c r="M23" s="106">
        <v>0.42</v>
      </c>
      <c r="N23" s="106">
        <v>0</v>
      </c>
      <c r="O23" s="106">
        <v>12.27</v>
      </c>
    </row>
    <row r="24" spans="3:16" s="77" customFormat="1" ht="13.8">
      <c r="C24" s="77" t="str">
        <f t="shared" ref="C24:C29" si="5">C23</f>
        <v>Megaflex</v>
      </c>
      <c r="D24" s="77" t="s">
        <v>72</v>
      </c>
      <c r="E24" s="77" t="str">
        <f t="shared" ref="E24:E29" si="6">E23</f>
        <v>Urban</v>
      </c>
      <c r="F24" s="77" t="s">
        <v>64</v>
      </c>
      <c r="G24" s="77" t="str">
        <f t="shared" si="4"/>
        <v>Megaflex_Non-Local Authority_≥ 66kV &amp; ≤ 132kV</v>
      </c>
      <c r="H24" s="77" t="str">
        <f>INDEX(Matrix_Tariff_Map,MATCH(C24,Matrix_Model_Tariffs,0),2)&amp;IFERROR(INDEX(Matrix_Transmission_Map,MATCH(#REF!,Matrix_Model_Transmission,0),2),0)&amp;INDEX(Matrix_Voltage_Map,MATCH(F24,Matrix_Model_Voltage,0),2)&amp;INDEX(Matrix_Category_Map,MATCH(D24,Matrix_Model_Category,0),2)</f>
        <v>Me03N</v>
      </c>
      <c r="I24" s="106">
        <v>14.16</v>
      </c>
      <c r="J24" s="106">
        <v>10.36</v>
      </c>
      <c r="K24" s="106">
        <v>0</v>
      </c>
      <c r="L24" s="106" t="s">
        <v>118</v>
      </c>
      <c r="M24" s="106">
        <v>0.39</v>
      </c>
      <c r="N24" s="106">
        <v>11.09</v>
      </c>
      <c r="O24" s="106">
        <v>9.2799999999999994</v>
      </c>
    </row>
    <row r="25" spans="3:16" s="77" customFormat="1" ht="13.8">
      <c r="C25" s="77" t="str">
        <f t="shared" si="5"/>
        <v>Megaflex</v>
      </c>
      <c r="D25" s="77" t="s">
        <v>72</v>
      </c>
      <c r="E25" s="77" t="str">
        <f t="shared" si="6"/>
        <v>Urban</v>
      </c>
      <c r="F25" s="77" t="s">
        <v>65</v>
      </c>
      <c r="G25" s="77" t="str">
        <f t="shared" si="4"/>
        <v>Megaflex_Non-Local Authority_&gt; 132kV</v>
      </c>
      <c r="H25" s="77" t="str">
        <f>INDEX(Matrix_Tariff_Map,MATCH(C25,Matrix_Model_Tariffs,0),2)&amp;IFERROR(INDEX(Matrix_Transmission_Map,MATCH(#REF!,Matrix_Model_Transmission,0),2),0)&amp;INDEX(Matrix_Voltage_Map,MATCH(F25,Matrix_Model_Voltage,0),2)&amp;INDEX(Matrix_Category_Map,MATCH(D25,Matrix_Model_Category,0),2)</f>
        <v>Me04N</v>
      </c>
      <c r="I25" s="106">
        <v>0</v>
      </c>
      <c r="J25" s="106">
        <v>0</v>
      </c>
      <c r="K25" s="106">
        <v>0</v>
      </c>
      <c r="L25" s="106" t="s">
        <v>118</v>
      </c>
      <c r="M25" s="106">
        <v>0.37</v>
      </c>
      <c r="N25" s="106">
        <v>11.09</v>
      </c>
      <c r="O25" s="106">
        <v>10.65</v>
      </c>
    </row>
    <row r="26" spans="3:16" s="77" customFormat="1" ht="13.8">
      <c r="C26" s="77" t="s">
        <v>465</v>
      </c>
      <c r="D26" s="77" t="s">
        <v>71</v>
      </c>
      <c r="E26" s="77" t="str">
        <f>E25</f>
        <v>Urban</v>
      </c>
      <c r="F26" s="77" t="str">
        <f>F22</f>
        <v>&lt; 500V</v>
      </c>
      <c r="G26" s="77" t="str">
        <f t="shared" si="4"/>
        <v>Municflex_Local Authority_&lt; 500V</v>
      </c>
      <c r="H26" s="77" t="str">
        <f>INDEX(Matrix_Tariff_Map,MATCH(C26,Matrix_Model_Tariffs,0),2)&amp;IFERROR(INDEX(Matrix_Transmission_Map,MATCH(#REF!,Matrix_Model_Transmission,0),2),0)&amp;INDEX(Matrix_Voltage_Map,MATCH(F26,Matrix_Model_Voltage,0),2)&amp;INDEX(Matrix_Category_Map,MATCH(D26,Matrix_Model_Category,0),2)</f>
        <v>Mf01Y</v>
      </c>
      <c r="I26" s="106">
        <v>43.99</v>
      </c>
      <c r="J26" s="106">
        <v>53.58</v>
      </c>
      <c r="K26" s="106">
        <v>0</v>
      </c>
      <c r="L26" s="106" t="s">
        <v>118</v>
      </c>
      <c r="M26" s="106">
        <v>0.45</v>
      </c>
      <c r="N26" s="106">
        <v>0</v>
      </c>
      <c r="O26" s="106">
        <v>5.0599999999999996</v>
      </c>
      <c r="P26" s="220">
        <v>4.8600000000000136</v>
      </c>
    </row>
    <row r="27" spans="3:16" s="77" customFormat="1" ht="13.8">
      <c r="C27" s="77" t="str">
        <f t="shared" si="5"/>
        <v>Municflex</v>
      </c>
      <c r="D27" s="77" t="s">
        <v>71</v>
      </c>
      <c r="E27" s="77" t="str">
        <f t="shared" si="6"/>
        <v>Urban</v>
      </c>
      <c r="F27" s="77" t="str">
        <f>F23</f>
        <v>≥ 500V &amp; &lt; 66kV</v>
      </c>
      <c r="G27" s="77" t="str">
        <f t="shared" si="4"/>
        <v>Municflex_Local Authority_≥ 500V &amp; &lt; 66kV</v>
      </c>
      <c r="H27" s="77" t="str">
        <f>INDEX(Matrix_Tariff_Map,MATCH(C27,Matrix_Model_Tariffs,0),2)&amp;IFERROR(INDEX(Matrix_Transmission_Map,MATCH(#REF!,Matrix_Model_Transmission,0),2),0)&amp;INDEX(Matrix_Voltage_Map,MATCH(F27,Matrix_Model_Voltage,0),2)&amp;INDEX(Matrix_Category_Map,MATCH(D27,Matrix_Model_Category,0),2)</f>
        <v>Mf02Y</v>
      </c>
      <c r="I27" s="106">
        <v>40.299999999999997</v>
      </c>
      <c r="J27" s="106">
        <v>26.89</v>
      </c>
      <c r="K27" s="106">
        <v>0</v>
      </c>
      <c r="L27" s="106" t="s">
        <v>118</v>
      </c>
      <c r="M27" s="106">
        <v>0.44</v>
      </c>
      <c r="N27" s="106">
        <v>0</v>
      </c>
      <c r="O27" s="106">
        <v>11.72</v>
      </c>
    </row>
    <row r="28" spans="3:16" s="77" customFormat="1" ht="13.8">
      <c r="C28" s="77" t="str">
        <f t="shared" si="5"/>
        <v>Municflex</v>
      </c>
      <c r="D28" s="77" t="s">
        <v>71</v>
      </c>
      <c r="E28" s="77" t="str">
        <f t="shared" si="6"/>
        <v>Urban</v>
      </c>
      <c r="F28" s="77" t="str">
        <f>F24</f>
        <v>≥ 66kV &amp; ≤ 132kV</v>
      </c>
      <c r="G28" s="77" t="str">
        <f t="shared" si="4"/>
        <v>Municflex_Local Authority_≥ 66kV &amp; ≤ 132kV</v>
      </c>
      <c r="H28" s="77" t="str">
        <f>INDEX(Matrix_Tariff_Map,MATCH(C28,Matrix_Model_Tariffs,0),2)&amp;IFERROR(INDEX(Matrix_Transmission_Map,MATCH(#REF!,Matrix_Model_Transmission,0),2),0)&amp;INDEX(Matrix_Voltage_Map,MATCH(F28,Matrix_Model_Voltage,0),2)&amp;INDEX(Matrix_Category_Map,MATCH(D28,Matrix_Model_Category,0),2)</f>
        <v>Mf03Y</v>
      </c>
      <c r="I28" s="106">
        <v>17.7</v>
      </c>
      <c r="J28" s="106">
        <v>10.46</v>
      </c>
      <c r="K28" s="106">
        <v>0</v>
      </c>
      <c r="L28" s="106" t="s">
        <v>118</v>
      </c>
      <c r="M28" s="106">
        <v>0.4</v>
      </c>
      <c r="N28" s="106">
        <v>2.4300000000000002</v>
      </c>
      <c r="O28" s="106">
        <v>9.82</v>
      </c>
    </row>
    <row r="29" spans="3:16" s="77" customFormat="1" ht="13.8">
      <c r="C29" s="77" t="str">
        <f t="shared" si="5"/>
        <v>Municflex</v>
      </c>
      <c r="D29" s="77" t="s">
        <v>71</v>
      </c>
      <c r="E29" s="77" t="str">
        <f t="shared" si="6"/>
        <v>Urban</v>
      </c>
      <c r="F29" s="77" t="str">
        <f>F25</f>
        <v>&gt; 132kV</v>
      </c>
      <c r="G29" s="77" t="str">
        <f t="shared" si="4"/>
        <v>Municflex_Local Authority_&gt; 132kV</v>
      </c>
      <c r="H29" s="77" t="str">
        <f>INDEX(Matrix_Tariff_Map,MATCH(C29,Matrix_Model_Tariffs,0),2)&amp;IFERROR(INDEX(Matrix_Transmission_Map,MATCH(#REF!,Matrix_Model_Transmission,0),2),0)&amp;INDEX(Matrix_Voltage_Map,MATCH(F29,Matrix_Model_Voltage,0),2)&amp;INDEX(Matrix_Category_Map,MATCH(D29,Matrix_Model_Category,0),2)</f>
        <v>Mf04Y</v>
      </c>
      <c r="I29" s="106">
        <v>0</v>
      </c>
      <c r="J29" s="106">
        <v>0</v>
      </c>
      <c r="K29" s="106">
        <v>0</v>
      </c>
      <c r="L29" s="106" t="s">
        <v>118</v>
      </c>
      <c r="M29" s="106">
        <v>0.38</v>
      </c>
      <c r="N29" s="106">
        <v>2.4300000000000002</v>
      </c>
      <c r="O29" s="106">
        <v>10.85</v>
      </c>
    </row>
    <row r="30" spans="3:16" s="77" customFormat="1" ht="13.8">
      <c r="I30" s="114"/>
      <c r="J30" s="114"/>
      <c r="K30" s="114"/>
      <c r="L30" s="106"/>
      <c r="M30" s="114"/>
      <c r="N30" s="114"/>
      <c r="O30" s="114"/>
    </row>
    <row r="31" spans="3:16" s="77" customFormat="1" ht="13.8">
      <c r="C31" s="77" t="s">
        <v>42</v>
      </c>
      <c r="D31" s="77" t="s">
        <v>72</v>
      </c>
      <c r="E31" s="77" t="str">
        <f>INDEX(Base_Tariff_Type,MATCH($C31,Base_Tariff_List,0))</f>
        <v>Urban</v>
      </c>
      <c r="F31" s="77" t="s">
        <v>62</v>
      </c>
      <c r="G31" s="77" t="str">
        <f t="shared" ref="G31:G38" si="7">C31 &amp; "_" &amp; D31 &amp; "_" &amp; F31</f>
        <v>Miniflex_Non-Local Authority_&lt; 500V</v>
      </c>
      <c r="H31" s="77" t="str">
        <f>INDEX(Matrix_Tariff_Map,MATCH(C31,Matrix_Model_Tariffs,0),2)&amp;IFERROR(INDEX(Matrix_Transmission_Map,MATCH(#REF!,Matrix_Model_Transmission,0),2),0)&amp;INDEX(Matrix_Voltage_Map,MATCH(F31,Matrix_Model_Voltage,0),2)&amp;INDEX(Matrix_Category_Map,MATCH(D31,Matrix_Model_Category,0),2)</f>
        <v>Mi01N</v>
      </c>
      <c r="I31" s="106" t="s">
        <v>118</v>
      </c>
      <c r="J31" s="106">
        <v>0</v>
      </c>
      <c r="K31" s="106">
        <v>32.299999999999997</v>
      </c>
      <c r="L31" s="106" t="s">
        <v>118</v>
      </c>
      <c r="M31" s="106">
        <v>0.45</v>
      </c>
      <c r="N31" s="106">
        <v>0</v>
      </c>
      <c r="O31" s="106">
        <v>5.29</v>
      </c>
    </row>
    <row r="32" spans="3:16" s="77" customFormat="1" ht="13.8">
      <c r="C32" s="77" t="str">
        <f>C31</f>
        <v>Miniflex</v>
      </c>
      <c r="D32" s="77" t="s">
        <v>72</v>
      </c>
      <c r="E32" s="77" t="str">
        <f>E31</f>
        <v>Urban</v>
      </c>
      <c r="F32" s="77" t="s">
        <v>63</v>
      </c>
      <c r="G32" s="77" t="str">
        <f t="shared" si="7"/>
        <v>Miniflex_Non-Local Authority_≥ 500V &amp; &lt; 66kV</v>
      </c>
      <c r="H32" s="77" t="str">
        <f>INDEX(Matrix_Tariff_Map,MATCH(C32,Matrix_Model_Tariffs,0),2)&amp;IFERROR(INDEX(Matrix_Transmission_Map,MATCH(#REF!,Matrix_Model_Transmission,0),2),0)&amp;INDEX(Matrix_Voltage_Map,MATCH(F32,Matrix_Model_Voltage,0),2)&amp;INDEX(Matrix_Category_Map,MATCH(D32,Matrix_Model_Category,0),2)</f>
        <v>Mi02N</v>
      </c>
      <c r="I32" s="106" t="s">
        <v>118</v>
      </c>
      <c r="J32" s="106">
        <v>0</v>
      </c>
      <c r="K32" s="106">
        <v>10.45</v>
      </c>
      <c r="L32" s="106" t="s">
        <v>118</v>
      </c>
      <c r="M32" s="106">
        <v>0.42</v>
      </c>
      <c r="N32" s="106">
        <v>0</v>
      </c>
      <c r="O32" s="106">
        <v>12.27</v>
      </c>
    </row>
    <row r="33" spans="3:15" s="77" customFormat="1" ht="13.8">
      <c r="C33" s="77" t="str">
        <f t="shared" ref="C33:C38" si="8">C32</f>
        <v>Miniflex</v>
      </c>
      <c r="D33" s="77" t="s">
        <v>72</v>
      </c>
      <c r="E33" s="77" t="str">
        <f t="shared" ref="E33:E38" si="9">E32</f>
        <v>Urban</v>
      </c>
      <c r="F33" s="77" t="s">
        <v>64</v>
      </c>
      <c r="G33" s="77" t="str">
        <f t="shared" si="7"/>
        <v>Miniflex_Non-Local Authority_≥ 66kV &amp; ≤ 132kV</v>
      </c>
      <c r="H33" s="77" t="str">
        <f>INDEX(Matrix_Tariff_Map,MATCH(C33,Matrix_Model_Tariffs,0),2)&amp;IFERROR(INDEX(Matrix_Transmission_Map,MATCH(#REF!,Matrix_Model_Transmission,0),2),0)&amp;INDEX(Matrix_Voltage_Map,MATCH(F33,Matrix_Model_Voltage,0),2)&amp;INDEX(Matrix_Category_Map,MATCH(D33,Matrix_Model_Category,0),2)</f>
        <v>Mi03N</v>
      </c>
      <c r="I33" s="106" t="s">
        <v>118</v>
      </c>
      <c r="J33" s="106">
        <v>0</v>
      </c>
      <c r="K33" s="106">
        <v>10.210000000000001</v>
      </c>
      <c r="L33" s="106" t="s">
        <v>118</v>
      </c>
      <c r="M33" s="106">
        <v>0.39</v>
      </c>
      <c r="N33" s="106">
        <v>11.09</v>
      </c>
      <c r="O33" s="106">
        <v>9.2799999999999994</v>
      </c>
    </row>
    <row r="34" spans="3:15" s="77" customFormat="1" ht="13.8">
      <c r="C34" s="77" t="str">
        <f t="shared" si="8"/>
        <v>Miniflex</v>
      </c>
      <c r="D34" s="77" t="s">
        <v>72</v>
      </c>
      <c r="E34" s="77" t="str">
        <f t="shared" si="9"/>
        <v>Urban</v>
      </c>
      <c r="F34" s="77" t="s">
        <v>65</v>
      </c>
      <c r="G34" s="77" t="str">
        <f t="shared" si="7"/>
        <v>Miniflex_Non-Local Authority_&gt; 132kV</v>
      </c>
      <c r="H34" s="77" t="str">
        <f>INDEX(Matrix_Tariff_Map,MATCH(C34,Matrix_Model_Tariffs,0),2)&amp;IFERROR(INDEX(Matrix_Transmission_Map,MATCH(#REF!,Matrix_Model_Transmission,0),2),0)&amp;INDEX(Matrix_Voltage_Map,MATCH(F34,Matrix_Model_Voltage,0),2)&amp;INDEX(Matrix_Category_Map,MATCH(D34,Matrix_Model_Category,0),2)</f>
        <v>Mi04N</v>
      </c>
      <c r="I34" s="106" t="s">
        <v>118</v>
      </c>
      <c r="J34" s="106">
        <v>0</v>
      </c>
      <c r="K34" s="106">
        <v>0</v>
      </c>
      <c r="L34" s="106" t="s">
        <v>118</v>
      </c>
      <c r="M34" s="106">
        <v>0.37</v>
      </c>
      <c r="N34" s="106">
        <v>11.09</v>
      </c>
      <c r="O34" s="106">
        <v>10.65</v>
      </c>
    </row>
    <row r="35" spans="3:15" s="77" customFormat="1" ht="13.8">
      <c r="C35" s="77" t="s">
        <v>465</v>
      </c>
      <c r="D35" s="77" t="s">
        <v>71</v>
      </c>
      <c r="E35" s="77" t="str">
        <f>E34</f>
        <v>Urban</v>
      </c>
      <c r="F35" s="77" t="str">
        <f>F31</f>
        <v>&lt; 500V</v>
      </c>
      <c r="G35" s="77" t="str">
        <f t="shared" si="7"/>
        <v>Municflex_Local Authority_&lt; 500V</v>
      </c>
      <c r="H35" s="77" t="str">
        <f>INDEX(Matrix_Tariff_Map,MATCH(C35,Matrix_Model_Tariffs,0),2)&amp;IFERROR(INDEX(Matrix_Transmission_Map,MATCH(#REF!,Matrix_Model_Transmission,0),2),0)&amp;INDEX(Matrix_Voltage_Map,MATCH(F35,Matrix_Model_Voltage,0),2)&amp;INDEX(Matrix_Category_Map,MATCH(D35,Matrix_Model_Category,0),2)</f>
        <v>Mf01Y</v>
      </c>
      <c r="I35" s="106">
        <f>I26</f>
        <v>43.99</v>
      </c>
      <c r="J35" s="106">
        <f>J26</f>
        <v>53.58</v>
      </c>
      <c r="K35" s="106">
        <f>K26</f>
        <v>0</v>
      </c>
      <c r="L35" s="106" t="s">
        <v>118</v>
      </c>
      <c r="M35" s="106">
        <f>M26</f>
        <v>0.45</v>
      </c>
      <c r="N35" s="106">
        <f>N26</f>
        <v>0</v>
      </c>
      <c r="O35" s="106">
        <f>O26</f>
        <v>5.0599999999999996</v>
      </c>
    </row>
    <row r="36" spans="3:15" s="77" customFormat="1" ht="13.8">
      <c r="C36" s="77" t="str">
        <f t="shared" si="8"/>
        <v>Municflex</v>
      </c>
      <c r="D36" s="77" t="s">
        <v>71</v>
      </c>
      <c r="E36" s="77" t="str">
        <f t="shared" si="9"/>
        <v>Urban</v>
      </c>
      <c r="F36" s="77" t="str">
        <f>F32</f>
        <v>≥ 500V &amp; &lt; 66kV</v>
      </c>
      <c r="G36" s="77" t="str">
        <f t="shared" si="7"/>
        <v>Municflex_Local Authority_≥ 500V &amp; &lt; 66kV</v>
      </c>
      <c r="H36" s="77" t="str">
        <f>INDEX(Matrix_Tariff_Map,MATCH(C36,Matrix_Model_Tariffs,0),2)&amp;IFERROR(INDEX(Matrix_Transmission_Map,MATCH(#REF!,Matrix_Model_Transmission,0),2),0)&amp;INDEX(Matrix_Voltage_Map,MATCH(F36,Matrix_Model_Voltage,0),2)&amp;INDEX(Matrix_Category_Map,MATCH(D36,Matrix_Model_Category,0),2)</f>
        <v>Mf02Y</v>
      </c>
      <c r="I36" s="106">
        <f t="shared" ref="I36:N36" si="10">I27</f>
        <v>40.299999999999997</v>
      </c>
      <c r="J36" s="106">
        <f t="shared" si="10"/>
        <v>26.89</v>
      </c>
      <c r="K36" s="106">
        <f t="shared" si="10"/>
        <v>0</v>
      </c>
      <c r="L36" s="106" t="s">
        <v>118</v>
      </c>
      <c r="M36" s="106">
        <f t="shared" si="10"/>
        <v>0.44</v>
      </c>
      <c r="N36" s="106">
        <f t="shared" si="10"/>
        <v>0</v>
      </c>
      <c r="O36" s="106">
        <f>O27</f>
        <v>11.72</v>
      </c>
    </row>
    <row r="37" spans="3:15" s="77" customFormat="1" ht="13.8">
      <c r="C37" s="77" t="str">
        <f t="shared" si="8"/>
        <v>Municflex</v>
      </c>
      <c r="D37" s="77" t="s">
        <v>71</v>
      </c>
      <c r="E37" s="77" t="str">
        <f t="shared" si="9"/>
        <v>Urban</v>
      </c>
      <c r="F37" s="77" t="str">
        <f>F33</f>
        <v>≥ 66kV &amp; ≤ 132kV</v>
      </c>
      <c r="G37" s="77" t="str">
        <f t="shared" si="7"/>
        <v>Municflex_Local Authority_≥ 66kV &amp; ≤ 132kV</v>
      </c>
      <c r="H37" s="77" t="str">
        <f>INDEX(Matrix_Tariff_Map,MATCH(C37,Matrix_Model_Tariffs,0),2)&amp;IFERROR(INDEX(Matrix_Transmission_Map,MATCH(#REF!,Matrix_Model_Transmission,0),2),0)&amp;INDEX(Matrix_Voltage_Map,MATCH(F37,Matrix_Model_Voltage,0),2)&amp;INDEX(Matrix_Category_Map,MATCH(D37,Matrix_Model_Category,0),2)</f>
        <v>Mf03Y</v>
      </c>
      <c r="I37" s="106">
        <f t="shared" ref="I37:N37" si="11">I28</f>
        <v>17.7</v>
      </c>
      <c r="J37" s="106">
        <f t="shared" si="11"/>
        <v>10.46</v>
      </c>
      <c r="K37" s="106">
        <f t="shared" si="11"/>
        <v>0</v>
      </c>
      <c r="L37" s="106" t="s">
        <v>118</v>
      </c>
      <c r="M37" s="106">
        <f t="shared" si="11"/>
        <v>0.4</v>
      </c>
      <c r="N37" s="106">
        <f t="shared" si="11"/>
        <v>2.4300000000000002</v>
      </c>
      <c r="O37" s="106">
        <f>O28</f>
        <v>9.82</v>
      </c>
    </row>
    <row r="38" spans="3:15" s="77" customFormat="1" ht="13.8">
      <c r="C38" s="77" t="str">
        <f t="shared" si="8"/>
        <v>Municflex</v>
      </c>
      <c r="D38" s="77" t="s">
        <v>71</v>
      </c>
      <c r="E38" s="77" t="str">
        <f t="shared" si="9"/>
        <v>Urban</v>
      </c>
      <c r="F38" s="77" t="str">
        <f>F34</f>
        <v>&gt; 132kV</v>
      </c>
      <c r="G38" s="77" t="str">
        <f t="shared" si="7"/>
        <v>Municflex_Local Authority_&gt; 132kV</v>
      </c>
      <c r="H38" s="77" t="str">
        <f>INDEX(Matrix_Tariff_Map,MATCH(C38,Matrix_Model_Tariffs,0),2)&amp;IFERROR(INDEX(Matrix_Transmission_Map,MATCH(#REF!,Matrix_Model_Transmission,0),2),0)&amp;INDEX(Matrix_Voltage_Map,MATCH(F38,Matrix_Model_Voltage,0),2)&amp;INDEX(Matrix_Category_Map,MATCH(D38,Matrix_Model_Category,0),2)</f>
        <v>Mf04Y</v>
      </c>
      <c r="I38" s="106">
        <f t="shared" ref="I38:N38" si="12">I29</f>
        <v>0</v>
      </c>
      <c r="J38" s="106">
        <f t="shared" si="12"/>
        <v>0</v>
      </c>
      <c r="K38" s="106">
        <f t="shared" si="12"/>
        <v>0</v>
      </c>
      <c r="L38" s="106" t="s">
        <v>118</v>
      </c>
      <c r="M38" s="106">
        <f t="shared" si="12"/>
        <v>0.38</v>
      </c>
      <c r="N38" s="106">
        <f t="shared" si="12"/>
        <v>2.4300000000000002</v>
      </c>
      <c r="O38" s="106">
        <f>O29</f>
        <v>10.85</v>
      </c>
    </row>
    <row r="39" spans="3:15" s="77" customFormat="1" ht="13.8">
      <c r="I39" s="114"/>
      <c r="J39" s="114"/>
      <c r="K39" s="114"/>
      <c r="L39" s="106"/>
      <c r="M39" s="114"/>
      <c r="N39" s="114"/>
      <c r="O39" s="114"/>
    </row>
    <row r="40" spans="3:15" s="77" customFormat="1" ht="13.8">
      <c r="C40" s="77" t="s">
        <v>46</v>
      </c>
      <c r="D40" s="77" t="s">
        <v>72</v>
      </c>
      <c r="E40" s="77" t="str">
        <f>INDEX(Base_Tariff_Type,MATCH($C40,Base_Tariff_List,0))</f>
        <v>Rural</v>
      </c>
      <c r="F40" s="77" t="s">
        <v>62</v>
      </c>
      <c r="G40" s="77" t="str">
        <f t="shared" ref="G40:G47" si="13">C40 &amp; "_" &amp; D40 &amp; "_" &amp; F40</f>
        <v>Ruraflex_Non-Local Authority_&lt; 500V</v>
      </c>
      <c r="H40" s="77" t="str">
        <f>INDEX(Matrix_Tariff_Map,MATCH(C40,Matrix_Model_Tariffs,0),2)&amp;IFERROR(INDEX(Matrix_Transmission_Map,MATCH(#REF!,Matrix_Model_Transmission,0),2),0)&amp;INDEX(Matrix_Voltage_Map,MATCH(F40,Matrix_Model_Voltage,0),2)&amp;INDEX(Matrix_Category_Map,MATCH(D40,Matrix_Model_Category,0),2)</f>
        <v>Ru01N</v>
      </c>
      <c r="I40" s="106" t="s">
        <v>118</v>
      </c>
      <c r="J40" s="106">
        <v>0</v>
      </c>
      <c r="K40" s="106">
        <v>52.55</v>
      </c>
      <c r="L40" s="106" t="s">
        <v>118</v>
      </c>
      <c r="M40" s="106">
        <v>0.45</v>
      </c>
      <c r="N40" s="106">
        <v>0</v>
      </c>
      <c r="O40" s="106">
        <v>5.07</v>
      </c>
    </row>
    <row r="41" spans="3:15" s="77" customFormat="1" ht="13.8">
      <c r="C41" s="77" t="str">
        <f>C40</f>
        <v>Ruraflex</v>
      </c>
      <c r="D41" s="77" t="s">
        <v>72</v>
      </c>
      <c r="E41" s="77" t="str">
        <f>E40</f>
        <v>Rural</v>
      </c>
      <c r="F41" s="77" t="s">
        <v>63</v>
      </c>
      <c r="G41" s="77" t="str">
        <f t="shared" si="13"/>
        <v>Ruraflex_Non-Local Authority_≥ 500V &amp; &lt; 66kV</v>
      </c>
      <c r="H41" s="77" t="str">
        <f>INDEX(Matrix_Tariff_Map,MATCH(C41,Matrix_Model_Tariffs,0),2)&amp;IFERROR(INDEX(Matrix_Transmission_Map,MATCH(#REF!,Matrix_Model_Transmission,0),2),0)&amp;INDEX(Matrix_Voltage_Map,MATCH(F41,Matrix_Model_Voltage,0),2)&amp;INDEX(Matrix_Category_Map,MATCH(D41,Matrix_Model_Category,0),2)</f>
        <v>Ru02N</v>
      </c>
      <c r="I41" s="106" t="s">
        <v>118</v>
      </c>
      <c r="J41" s="106">
        <v>0</v>
      </c>
      <c r="K41" s="106">
        <v>45.56</v>
      </c>
      <c r="L41" s="106" t="s">
        <v>118</v>
      </c>
      <c r="M41" s="106">
        <v>0.45</v>
      </c>
      <c r="N41" s="106">
        <v>0</v>
      </c>
      <c r="O41" s="106">
        <v>7.63</v>
      </c>
    </row>
    <row r="42" spans="3:15" s="77" customFormat="1" ht="13.8">
      <c r="C42" s="77" t="str">
        <f>C41</f>
        <v>Ruraflex</v>
      </c>
      <c r="D42" s="77" t="s">
        <v>72</v>
      </c>
      <c r="E42" s="77" t="str">
        <f>E41</f>
        <v>Rural</v>
      </c>
      <c r="F42" s="77" t="s">
        <v>64</v>
      </c>
      <c r="G42" s="77" t="str">
        <f t="shared" si="13"/>
        <v>Ruraflex_Non-Local Authority_≥ 66kV &amp; ≤ 132kV</v>
      </c>
      <c r="H42" s="77" t="str">
        <f>INDEX(Matrix_Tariff_Map,MATCH(C42,Matrix_Model_Tariffs,0),2)&amp;IFERROR(INDEX(Matrix_Transmission_Map,MATCH(#REF!,Matrix_Model_Transmission,0),2),0)&amp;INDEX(Matrix_Voltage_Map,MATCH(F42,Matrix_Model_Voltage,0),2)&amp;INDEX(Matrix_Category_Map,MATCH(D42,Matrix_Model_Category,0),2)</f>
        <v>Ru03N</v>
      </c>
      <c r="I42" s="106" t="s">
        <v>118</v>
      </c>
      <c r="J42" s="106">
        <v>0</v>
      </c>
      <c r="K42" s="106">
        <v>0</v>
      </c>
      <c r="L42" s="106" t="s">
        <v>118</v>
      </c>
      <c r="M42" s="106">
        <v>0</v>
      </c>
      <c r="N42" s="106">
        <v>0</v>
      </c>
      <c r="O42" s="106">
        <v>0</v>
      </c>
    </row>
    <row r="43" spans="3:15" s="77" customFormat="1" ht="13.8">
      <c r="C43" s="77" t="str">
        <f>C42</f>
        <v>Ruraflex</v>
      </c>
      <c r="D43" s="77" t="s">
        <v>72</v>
      </c>
      <c r="E43" s="77" t="str">
        <f>E42</f>
        <v>Rural</v>
      </c>
      <c r="F43" s="77" t="s">
        <v>65</v>
      </c>
      <c r="G43" s="77" t="str">
        <f t="shared" si="13"/>
        <v>Ruraflex_Non-Local Authority_&gt; 132kV</v>
      </c>
      <c r="H43" s="77" t="str">
        <f>INDEX(Matrix_Tariff_Map,MATCH(C43,Matrix_Model_Tariffs,0),2)&amp;IFERROR(INDEX(Matrix_Transmission_Map,MATCH(#REF!,Matrix_Model_Transmission,0),2),0)&amp;INDEX(Matrix_Voltage_Map,MATCH(F43,Matrix_Model_Voltage,0),2)&amp;INDEX(Matrix_Category_Map,MATCH(D43,Matrix_Model_Category,0),2)</f>
        <v>Ru04N</v>
      </c>
      <c r="I43" s="106" t="s">
        <v>118</v>
      </c>
      <c r="J43" s="106">
        <v>0</v>
      </c>
      <c r="K43" s="106">
        <v>0</v>
      </c>
      <c r="L43" s="106" t="s">
        <v>118</v>
      </c>
      <c r="M43" s="106">
        <v>0</v>
      </c>
      <c r="N43" s="106">
        <v>0</v>
      </c>
      <c r="O43" s="106">
        <v>0</v>
      </c>
    </row>
    <row r="44" spans="3:15" s="77" customFormat="1" ht="13.8">
      <c r="C44" s="77" t="s">
        <v>465</v>
      </c>
      <c r="D44" s="77" t="s">
        <v>71</v>
      </c>
      <c r="E44" s="77" t="str">
        <f>E41</f>
        <v>Rural</v>
      </c>
      <c r="F44" s="77" t="str">
        <f>F40</f>
        <v>&lt; 500V</v>
      </c>
      <c r="G44" s="77" t="str">
        <f t="shared" si="13"/>
        <v>Municflex_Local Authority_&lt; 500V</v>
      </c>
      <c r="H44" s="77" t="str">
        <f>INDEX(Matrix_Tariff_Map,MATCH(C44,Matrix_Model_Tariffs,0),2)&amp;IFERROR(INDEX(Matrix_Transmission_Map,MATCH(#REF!,Matrix_Model_Transmission,0),2),0)&amp;INDEX(Matrix_Voltage_Map,MATCH(F44,Matrix_Model_Voltage,0),2)&amp;INDEX(Matrix_Category_Map,MATCH(D44,Matrix_Model_Category,0),2)</f>
        <v>Mf01Y</v>
      </c>
      <c r="I44" s="106">
        <f>I35</f>
        <v>43.99</v>
      </c>
      <c r="J44" s="106">
        <f>J35</f>
        <v>53.58</v>
      </c>
      <c r="K44" s="106">
        <f>K35</f>
        <v>0</v>
      </c>
      <c r="L44" s="106" t="s">
        <v>118</v>
      </c>
      <c r="M44" s="106">
        <f>M35</f>
        <v>0.45</v>
      </c>
      <c r="N44" s="106">
        <f>N35</f>
        <v>0</v>
      </c>
      <c r="O44" s="106">
        <f>O35</f>
        <v>5.0599999999999996</v>
      </c>
    </row>
    <row r="45" spans="3:15" s="77" customFormat="1" ht="13.8">
      <c r="C45" s="77" t="str">
        <f>C44</f>
        <v>Municflex</v>
      </c>
      <c r="D45" s="77" t="s">
        <v>71</v>
      </c>
      <c r="E45" s="77" t="str">
        <f>E44</f>
        <v>Rural</v>
      </c>
      <c r="F45" s="77" t="str">
        <f>F41</f>
        <v>≥ 500V &amp; &lt; 66kV</v>
      </c>
      <c r="G45" s="77" t="str">
        <f t="shared" si="13"/>
        <v>Municflex_Local Authority_≥ 500V &amp; &lt; 66kV</v>
      </c>
      <c r="H45" s="77" t="str">
        <f>INDEX(Matrix_Tariff_Map,MATCH(C45,Matrix_Model_Tariffs,0),2)&amp;IFERROR(INDEX(Matrix_Transmission_Map,MATCH(#REF!,Matrix_Model_Transmission,0),2),0)&amp;INDEX(Matrix_Voltage_Map,MATCH(F45,Matrix_Model_Voltage,0),2)&amp;INDEX(Matrix_Category_Map,MATCH(D45,Matrix_Model_Category,0),2)</f>
        <v>Mf02Y</v>
      </c>
      <c r="I45" s="106">
        <f t="shared" ref="I45:N45" si="14">I36</f>
        <v>40.299999999999997</v>
      </c>
      <c r="J45" s="106">
        <f t="shared" si="14"/>
        <v>26.89</v>
      </c>
      <c r="K45" s="106">
        <f t="shared" si="14"/>
        <v>0</v>
      </c>
      <c r="L45" s="106" t="s">
        <v>118</v>
      </c>
      <c r="M45" s="106">
        <f t="shared" si="14"/>
        <v>0.44</v>
      </c>
      <c r="N45" s="106">
        <f t="shared" si="14"/>
        <v>0</v>
      </c>
      <c r="O45" s="106">
        <f>O36</f>
        <v>11.72</v>
      </c>
    </row>
    <row r="46" spans="3:15" s="77" customFormat="1" ht="13.8">
      <c r="C46" s="77" t="str">
        <f>C45</f>
        <v>Municflex</v>
      </c>
      <c r="D46" s="77" t="s">
        <v>71</v>
      </c>
      <c r="E46" s="77" t="str">
        <f>E45</f>
        <v>Rural</v>
      </c>
      <c r="F46" s="77" t="str">
        <f>F42</f>
        <v>≥ 66kV &amp; ≤ 132kV</v>
      </c>
      <c r="G46" s="77" t="str">
        <f t="shared" si="13"/>
        <v>Municflex_Local Authority_≥ 66kV &amp; ≤ 132kV</v>
      </c>
      <c r="H46" s="77" t="str">
        <f>INDEX(Matrix_Tariff_Map,MATCH(C46,Matrix_Model_Tariffs,0),2)&amp;IFERROR(INDEX(Matrix_Transmission_Map,MATCH(#REF!,Matrix_Model_Transmission,0),2),0)&amp;INDEX(Matrix_Voltage_Map,MATCH(F46,Matrix_Model_Voltage,0),2)&amp;INDEX(Matrix_Category_Map,MATCH(D46,Matrix_Model_Category,0),2)</f>
        <v>Mf03Y</v>
      </c>
      <c r="I46" s="106">
        <f t="shared" ref="I46:N46" si="15">I37</f>
        <v>17.7</v>
      </c>
      <c r="J46" s="106">
        <f t="shared" si="15"/>
        <v>10.46</v>
      </c>
      <c r="K46" s="106">
        <f t="shared" si="15"/>
        <v>0</v>
      </c>
      <c r="L46" s="106" t="s">
        <v>118</v>
      </c>
      <c r="M46" s="106">
        <f t="shared" si="15"/>
        <v>0.4</v>
      </c>
      <c r="N46" s="106">
        <f t="shared" si="15"/>
        <v>2.4300000000000002</v>
      </c>
      <c r="O46" s="106">
        <f>O37</f>
        <v>9.82</v>
      </c>
    </row>
    <row r="47" spans="3:15" s="77" customFormat="1" ht="13.8">
      <c r="C47" s="77" t="str">
        <f>C46</f>
        <v>Municflex</v>
      </c>
      <c r="D47" s="77" t="s">
        <v>71</v>
      </c>
      <c r="E47" s="77" t="str">
        <f>E46</f>
        <v>Rural</v>
      </c>
      <c r="F47" s="77" t="str">
        <f>F43</f>
        <v>&gt; 132kV</v>
      </c>
      <c r="G47" s="77" t="str">
        <f t="shared" si="13"/>
        <v>Municflex_Local Authority_&gt; 132kV</v>
      </c>
      <c r="H47" s="77" t="str">
        <f>INDEX(Matrix_Tariff_Map,MATCH(C47,Matrix_Model_Tariffs,0),2)&amp;IFERROR(INDEX(Matrix_Transmission_Map,MATCH(#REF!,Matrix_Model_Transmission,0),2),0)&amp;INDEX(Matrix_Voltage_Map,MATCH(F47,Matrix_Model_Voltage,0),2)&amp;INDEX(Matrix_Category_Map,MATCH(D47,Matrix_Model_Category,0),2)</f>
        <v>Mf04Y</v>
      </c>
      <c r="I47" s="106">
        <f t="shared" ref="I47:N47" si="16">I38</f>
        <v>0</v>
      </c>
      <c r="J47" s="106">
        <f t="shared" si="16"/>
        <v>0</v>
      </c>
      <c r="K47" s="106">
        <f t="shared" si="16"/>
        <v>0</v>
      </c>
      <c r="L47" s="106" t="s">
        <v>118</v>
      </c>
      <c r="M47" s="106">
        <f t="shared" si="16"/>
        <v>0.38</v>
      </c>
      <c r="N47" s="106">
        <f t="shared" si="16"/>
        <v>2.4300000000000002</v>
      </c>
      <c r="O47" s="106">
        <f>O38</f>
        <v>10.85</v>
      </c>
    </row>
    <row r="48" spans="3:15" s="77" customFormat="1" ht="13.8">
      <c r="L48" s="106"/>
    </row>
    <row r="49" spans="3:15" s="77" customFormat="1" ht="13.8">
      <c r="C49" s="77" t="s">
        <v>45</v>
      </c>
      <c r="D49" s="77" t="s">
        <v>72</v>
      </c>
      <c r="E49" s="77" t="str">
        <f>INDEX(Base_Tariff_Type,MATCH($C49,Base_Tariff_List,0))</f>
        <v>Urban</v>
      </c>
      <c r="F49" s="77" t="s">
        <v>62</v>
      </c>
      <c r="G49" s="77" t="str">
        <f t="shared" ref="G49:G56" si="17">C49 &amp; "_" &amp; D49 &amp; "_" &amp; F49</f>
        <v>Nightsave Small_Non-Local Authority_&lt; 500V</v>
      </c>
      <c r="H49" s="77" t="str">
        <f>INDEX(Matrix_Tariff_Map,MATCH(C49,Matrix_Model_Tariffs,0),2)&amp;IFERROR(INDEX(Matrix_Transmission_Map,MATCH(#REF!,Matrix_Model_Transmission,0),2),0)&amp;INDEX(Matrix_Voltage_Map,MATCH(F49,Matrix_Model_Voltage,0),2)&amp;INDEX(Matrix_Category_Map,MATCH(D49,Matrix_Model_Category,0),2)</f>
        <v>NS01N</v>
      </c>
      <c r="I49" s="106">
        <v>42.66</v>
      </c>
      <c r="J49" s="106">
        <v>52.65</v>
      </c>
      <c r="K49" s="106">
        <v>0</v>
      </c>
      <c r="L49" s="106" t="s">
        <v>118</v>
      </c>
      <c r="M49" s="106">
        <v>0.45</v>
      </c>
      <c r="N49" s="106">
        <v>0</v>
      </c>
      <c r="O49" s="106">
        <v>5.29</v>
      </c>
    </row>
    <row r="50" spans="3:15" s="77" customFormat="1" ht="13.8">
      <c r="C50" s="77" t="str">
        <f>C49</f>
        <v>Nightsave Small</v>
      </c>
      <c r="D50" s="77" t="s">
        <v>72</v>
      </c>
      <c r="E50" s="77" t="str">
        <f>E49</f>
        <v>Urban</v>
      </c>
      <c r="F50" s="77" t="s">
        <v>63</v>
      </c>
      <c r="G50" s="77" t="str">
        <f t="shared" si="17"/>
        <v>Nightsave Small_Non-Local Authority_≥ 500V &amp; &lt; 66kV</v>
      </c>
      <c r="H50" s="77" t="str">
        <f>INDEX(Matrix_Tariff_Map,MATCH(C50,Matrix_Model_Tariffs,0),2)&amp;IFERROR(INDEX(Matrix_Transmission_Map,MATCH(#REF!,Matrix_Model_Transmission,0),2),0)&amp;INDEX(Matrix_Voltage_Map,MATCH(F50,Matrix_Model_Voltage,0),2)&amp;INDEX(Matrix_Category_Map,MATCH(D50,Matrix_Model_Category,0),2)</f>
        <v>NS02N</v>
      </c>
      <c r="I50" s="106">
        <v>39.130000000000003</v>
      </c>
      <c r="J50" s="106">
        <v>26.29</v>
      </c>
      <c r="K50" s="106">
        <v>0</v>
      </c>
      <c r="L50" s="106" t="s">
        <v>118</v>
      </c>
      <c r="M50" s="106">
        <v>0.42</v>
      </c>
      <c r="N50" s="106">
        <v>0</v>
      </c>
      <c r="O50" s="106">
        <v>12.27</v>
      </c>
    </row>
    <row r="51" spans="3:15" s="77" customFormat="1" ht="13.8">
      <c r="C51" s="77" t="str">
        <f t="shared" ref="C51:C56" si="18">C50</f>
        <v>Nightsave Small</v>
      </c>
      <c r="D51" s="77" t="s">
        <v>72</v>
      </c>
      <c r="E51" s="77" t="str">
        <f t="shared" ref="E51:E56" si="19">E50</f>
        <v>Urban</v>
      </c>
      <c r="F51" s="77" t="s">
        <v>64</v>
      </c>
      <c r="G51" s="77" t="str">
        <f t="shared" si="17"/>
        <v>Nightsave Small_Non-Local Authority_≥ 66kV &amp; ≤ 132kV</v>
      </c>
      <c r="H51" s="77" t="str">
        <f>INDEX(Matrix_Tariff_Map,MATCH(C51,Matrix_Model_Tariffs,0),2)&amp;IFERROR(INDEX(Matrix_Transmission_Map,MATCH(#REF!,Matrix_Model_Transmission,0),2),0)&amp;INDEX(Matrix_Voltage_Map,MATCH(F51,Matrix_Model_Voltage,0),2)&amp;INDEX(Matrix_Category_Map,MATCH(D51,Matrix_Model_Category,0),2)</f>
        <v>NS03N</v>
      </c>
      <c r="I51" s="106">
        <v>14.16</v>
      </c>
      <c r="J51" s="106">
        <v>10.36</v>
      </c>
      <c r="K51" s="106">
        <v>0</v>
      </c>
      <c r="L51" s="106" t="s">
        <v>118</v>
      </c>
      <c r="M51" s="106">
        <v>0.39</v>
      </c>
      <c r="N51" s="106">
        <v>11.09</v>
      </c>
      <c r="O51" s="106">
        <v>9.2799999999999994</v>
      </c>
    </row>
    <row r="52" spans="3:15" s="77" customFormat="1" ht="13.8">
      <c r="C52" s="77" t="str">
        <f t="shared" si="18"/>
        <v>Nightsave Small</v>
      </c>
      <c r="D52" s="77" t="s">
        <v>72</v>
      </c>
      <c r="E52" s="77" t="str">
        <f t="shared" si="19"/>
        <v>Urban</v>
      </c>
      <c r="F52" s="77" t="s">
        <v>65</v>
      </c>
      <c r="G52" s="77" t="str">
        <f t="shared" si="17"/>
        <v>Nightsave Small_Non-Local Authority_&gt; 132kV</v>
      </c>
      <c r="H52" s="77" t="str">
        <f>INDEX(Matrix_Tariff_Map,MATCH(C52,Matrix_Model_Tariffs,0),2)&amp;IFERROR(INDEX(Matrix_Transmission_Map,MATCH(#REF!,Matrix_Model_Transmission,0),2),0)&amp;INDEX(Matrix_Voltage_Map,MATCH(F52,Matrix_Model_Voltage,0),2)&amp;INDEX(Matrix_Category_Map,MATCH(D52,Matrix_Model_Category,0),2)</f>
        <v>NS04N</v>
      </c>
      <c r="I52" s="106">
        <v>0</v>
      </c>
      <c r="J52" s="106">
        <v>0</v>
      </c>
      <c r="K52" s="106">
        <v>0</v>
      </c>
      <c r="L52" s="106" t="s">
        <v>118</v>
      </c>
      <c r="M52" s="106">
        <v>0.37</v>
      </c>
      <c r="N52" s="106">
        <v>11.09</v>
      </c>
      <c r="O52" s="106">
        <v>10.65</v>
      </c>
    </row>
    <row r="53" spans="3:15" s="77" customFormat="1" ht="13.8">
      <c r="C53" s="77" t="s">
        <v>465</v>
      </c>
      <c r="D53" s="77" t="s">
        <v>71</v>
      </c>
      <c r="E53" s="77" t="str">
        <f>E52</f>
        <v>Urban</v>
      </c>
      <c r="F53" s="77" t="str">
        <f>F49</f>
        <v>&lt; 500V</v>
      </c>
      <c r="G53" s="77" t="str">
        <f t="shared" si="17"/>
        <v>Municflex_Local Authority_&lt; 500V</v>
      </c>
      <c r="H53" s="77" t="str">
        <f>INDEX(Matrix_Tariff_Map,MATCH(C53,Matrix_Model_Tariffs,0),2)&amp;IFERROR(INDEX(Matrix_Transmission_Map,MATCH(#REF!,Matrix_Model_Transmission,0),2),0)&amp;INDEX(Matrix_Voltage_Map,MATCH(F53,Matrix_Model_Voltage,0),2)&amp;INDEX(Matrix_Category_Map,MATCH(D53,Matrix_Model_Category,0),2)</f>
        <v>Mf01Y</v>
      </c>
      <c r="I53" s="106">
        <f>I44</f>
        <v>43.99</v>
      </c>
      <c r="J53" s="106">
        <f>J44</f>
        <v>53.58</v>
      </c>
      <c r="K53" s="106">
        <f>K44</f>
        <v>0</v>
      </c>
      <c r="L53" s="106" t="s">
        <v>118</v>
      </c>
      <c r="M53" s="106">
        <f>M44</f>
        <v>0.45</v>
      </c>
      <c r="N53" s="106">
        <f>N44</f>
        <v>0</v>
      </c>
      <c r="O53" s="106">
        <f>O44</f>
        <v>5.0599999999999996</v>
      </c>
    </row>
    <row r="54" spans="3:15" s="77" customFormat="1" ht="13.8">
      <c r="C54" s="77" t="str">
        <f t="shared" si="18"/>
        <v>Municflex</v>
      </c>
      <c r="D54" s="77" t="s">
        <v>71</v>
      </c>
      <c r="E54" s="77" t="str">
        <f t="shared" si="19"/>
        <v>Urban</v>
      </c>
      <c r="F54" s="77" t="str">
        <f>F50</f>
        <v>≥ 500V &amp; &lt; 66kV</v>
      </c>
      <c r="G54" s="77" t="str">
        <f t="shared" si="17"/>
        <v>Municflex_Local Authority_≥ 500V &amp; &lt; 66kV</v>
      </c>
      <c r="H54" s="77" t="str">
        <f>INDEX(Matrix_Tariff_Map,MATCH(C54,Matrix_Model_Tariffs,0),2)&amp;IFERROR(INDEX(Matrix_Transmission_Map,MATCH(#REF!,Matrix_Model_Transmission,0),2),0)&amp;INDEX(Matrix_Voltage_Map,MATCH(F54,Matrix_Model_Voltage,0),2)&amp;INDEX(Matrix_Category_Map,MATCH(D54,Matrix_Model_Category,0),2)</f>
        <v>Mf02Y</v>
      </c>
      <c r="I54" s="106">
        <f t="shared" ref="I54:N54" si="20">I45</f>
        <v>40.299999999999997</v>
      </c>
      <c r="J54" s="106">
        <f t="shared" si="20"/>
        <v>26.89</v>
      </c>
      <c r="K54" s="106">
        <f t="shared" si="20"/>
        <v>0</v>
      </c>
      <c r="L54" s="106" t="s">
        <v>118</v>
      </c>
      <c r="M54" s="106">
        <f t="shared" si="20"/>
        <v>0.44</v>
      </c>
      <c r="N54" s="106">
        <f t="shared" si="20"/>
        <v>0</v>
      </c>
      <c r="O54" s="106">
        <f>O45</f>
        <v>11.72</v>
      </c>
    </row>
    <row r="55" spans="3:15" s="77" customFormat="1" ht="13.8">
      <c r="C55" s="77" t="str">
        <f t="shared" si="18"/>
        <v>Municflex</v>
      </c>
      <c r="D55" s="77" t="s">
        <v>71</v>
      </c>
      <c r="E55" s="77" t="str">
        <f t="shared" si="19"/>
        <v>Urban</v>
      </c>
      <c r="F55" s="77" t="str">
        <f>F51</f>
        <v>≥ 66kV &amp; ≤ 132kV</v>
      </c>
      <c r="G55" s="77" t="str">
        <f t="shared" si="17"/>
        <v>Municflex_Local Authority_≥ 66kV &amp; ≤ 132kV</v>
      </c>
      <c r="H55" s="77" t="str">
        <f>INDEX(Matrix_Tariff_Map,MATCH(C55,Matrix_Model_Tariffs,0),2)&amp;IFERROR(INDEX(Matrix_Transmission_Map,MATCH(#REF!,Matrix_Model_Transmission,0),2),0)&amp;INDEX(Matrix_Voltage_Map,MATCH(F55,Matrix_Model_Voltage,0),2)&amp;INDEX(Matrix_Category_Map,MATCH(D55,Matrix_Model_Category,0),2)</f>
        <v>Mf03Y</v>
      </c>
      <c r="I55" s="106">
        <f t="shared" ref="I55:N55" si="21">I46</f>
        <v>17.7</v>
      </c>
      <c r="J55" s="106">
        <f t="shared" si="21"/>
        <v>10.46</v>
      </c>
      <c r="K55" s="106">
        <f t="shared" si="21"/>
        <v>0</v>
      </c>
      <c r="L55" s="106" t="s">
        <v>118</v>
      </c>
      <c r="M55" s="106">
        <f t="shared" si="21"/>
        <v>0.4</v>
      </c>
      <c r="N55" s="106">
        <f t="shared" si="21"/>
        <v>2.4300000000000002</v>
      </c>
      <c r="O55" s="106">
        <f>O46</f>
        <v>9.82</v>
      </c>
    </row>
    <row r="56" spans="3:15" s="77" customFormat="1" ht="13.8">
      <c r="C56" s="77" t="str">
        <f t="shared" si="18"/>
        <v>Municflex</v>
      </c>
      <c r="D56" s="77" t="s">
        <v>71</v>
      </c>
      <c r="E56" s="77" t="str">
        <f t="shared" si="19"/>
        <v>Urban</v>
      </c>
      <c r="F56" s="77" t="str">
        <f>F52</f>
        <v>&gt; 132kV</v>
      </c>
      <c r="G56" s="77" t="str">
        <f t="shared" si="17"/>
        <v>Municflex_Local Authority_&gt; 132kV</v>
      </c>
      <c r="H56" s="77" t="str">
        <f>INDEX(Matrix_Tariff_Map,MATCH(C56,Matrix_Model_Tariffs,0),2)&amp;IFERROR(INDEX(Matrix_Transmission_Map,MATCH(#REF!,Matrix_Model_Transmission,0),2),0)&amp;INDEX(Matrix_Voltage_Map,MATCH(F56,Matrix_Model_Voltage,0),2)&amp;INDEX(Matrix_Category_Map,MATCH(D56,Matrix_Model_Category,0),2)</f>
        <v>Mf04Y</v>
      </c>
      <c r="I56" s="106">
        <f t="shared" ref="I56:N56" si="22">I47</f>
        <v>0</v>
      </c>
      <c r="J56" s="106">
        <f t="shared" si="22"/>
        <v>0</v>
      </c>
      <c r="K56" s="106">
        <f t="shared" si="22"/>
        <v>0</v>
      </c>
      <c r="L56" s="106" t="s">
        <v>118</v>
      </c>
      <c r="M56" s="106">
        <f t="shared" si="22"/>
        <v>0.38</v>
      </c>
      <c r="N56" s="106">
        <f t="shared" si="22"/>
        <v>2.4300000000000002</v>
      </c>
      <c r="O56" s="106">
        <f>O47</f>
        <v>10.85</v>
      </c>
    </row>
    <row r="57" spans="3:15" s="77" customFormat="1" ht="13.8">
      <c r="L57" s="106"/>
    </row>
    <row r="58" spans="3:15" s="77" customFormat="1" ht="13.8">
      <c r="C58" s="77" t="s">
        <v>624</v>
      </c>
      <c r="D58" s="77" t="s">
        <v>72</v>
      </c>
      <c r="E58" s="77" t="str">
        <f>INDEX(Base_Tariff_Type,MATCH($C58,Base_Tariff_List,0))</f>
        <v>Urban</v>
      </c>
      <c r="F58" s="77" t="s">
        <v>62</v>
      </c>
      <c r="G58" s="77" t="str">
        <f t="shared" ref="G58:G65" si="23">C58 &amp; "_" &amp; D58 &amp; "_" &amp; F58</f>
        <v>Nightsave Urban_Non-Local Authority_&lt; 500V</v>
      </c>
      <c r="H58" s="77" t="s">
        <v>625</v>
      </c>
      <c r="I58" s="106">
        <v>42.66</v>
      </c>
      <c r="J58" s="106">
        <v>52.65</v>
      </c>
      <c r="K58" s="106">
        <v>0</v>
      </c>
      <c r="L58" s="106" t="s">
        <v>118</v>
      </c>
      <c r="M58" s="106">
        <v>0.45</v>
      </c>
      <c r="N58" s="106">
        <v>0</v>
      </c>
      <c r="O58" s="106">
        <v>5.29</v>
      </c>
    </row>
    <row r="59" spans="3:15" s="77" customFormat="1" ht="13.8">
      <c r="C59" s="77" t="str">
        <f>C58</f>
        <v>Nightsave Urban</v>
      </c>
      <c r="D59" s="77" t="s">
        <v>72</v>
      </c>
      <c r="E59" s="77" t="str">
        <f>E58</f>
        <v>Urban</v>
      </c>
      <c r="F59" s="77" t="s">
        <v>63</v>
      </c>
      <c r="G59" s="77" t="str">
        <f t="shared" si="23"/>
        <v>Nightsave Urban_Non-Local Authority_≥ 500V &amp; &lt; 66kV</v>
      </c>
      <c r="H59" s="77" t="s">
        <v>626</v>
      </c>
      <c r="I59" s="106">
        <v>39.130000000000003</v>
      </c>
      <c r="J59" s="106">
        <v>26.29</v>
      </c>
      <c r="K59" s="106">
        <v>0</v>
      </c>
      <c r="L59" s="106" t="s">
        <v>118</v>
      </c>
      <c r="M59" s="106">
        <v>0.42</v>
      </c>
      <c r="N59" s="106">
        <v>0</v>
      </c>
      <c r="O59" s="106">
        <v>12.27</v>
      </c>
    </row>
    <row r="60" spans="3:15" s="77" customFormat="1" ht="13.8">
      <c r="C60" s="77" t="str">
        <f t="shared" ref="C60:C65" si="24">C59</f>
        <v>Nightsave Urban</v>
      </c>
      <c r="D60" s="77" t="s">
        <v>72</v>
      </c>
      <c r="E60" s="77" t="str">
        <f t="shared" ref="E60:E65" si="25">E59</f>
        <v>Urban</v>
      </c>
      <c r="F60" s="77" t="s">
        <v>64</v>
      </c>
      <c r="G60" s="77" t="str">
        <f t="shared" si="23"/>
        <v>Nightsave Urban_Non-Local Authority_≥ 66kV &amp; ≤ 132kV</v>
      </c>
      <c r="H60" s="77" t="s">
        <v>627</v>
      </c>
      <c r="I60" s="106">
        <v>14.16</v>
      </c>
      <c r="J60" s="106">
        <v>10.36</v>
      </c>
      <c r="K60" s="106">
        <v>0</v>
      </c>
      <c r="L60" s="106" t="s">
        <v>118</v>
      </c>
      <c r="M60" s="106">
        <v>0.39</v>
      </c>
      <c r="N60" s="106">
        <v>11.09</v>
      </c>
      <c r="O60" s="106">
        <v>9.2799999999999994</v>
      </c>
    </row>
    <row r="61" spans="3:15" s="77" customFormat="1" ht="13.8">
      <c r="C61" s="77" t="str">
        <f t="shared" si="24"/>
        <v>Nightsave Urban</v>
      </c>
      <c r="D61" s="77" t="s">
        <v>72</v>
      </c>
      <c r="E61" s="77" t="str">
        <f t="shared" si="25"/>
        <v>Urban</v>
      </c>
      <c r="F61" s="77" t="s">
        <v>65</v>
      </c>
      <c r="G61" s="77" t="str">
        <f t="shared" si="23"/>
        <v>Nightsave Urban_Non-Local Authority_&gt; 132kV</v>
      </c>
      <c r="H61" s="77" t="s">
        <v>628</v>
      </c>
      <c r="I61" s="106">
        <v>0</v>
      </c>
      <c r="J61" s="106">
        <v>0</v>
      </c>
      <c r="K61" s="106">
        <v>0</v>
      </c>
      <c r="L61" s="106" t="s">
        <v>118</v>
      </c>
      <c r="M61" s="106">
        <v>0.37</v>
      </c>
      <c r="N61" s="106">
        <v>11.09</v>
      </c>
      <c r="O61" s="106">
        <v>10.65</v>
      </c>
    </row>
    <row r="62" spans="3:15" s="77" customFormat="1" ht="13.8">
      <c r="C62" s="77" t="s">
        <v>465</v>
      </c>
      <c r="D62" s="77" t="s">
        <v>71</v>
      </c>
      <c r="E62" s="77" t="str">
        <f>E61</f>
        <v>Urban</v>
      </c>
      <c r="F62" s="77" t="str">
        <f>F58</f>
        <v>&lt; 500V</v>
      </c>
      <c r="G62" s="77" t="str">
        <f t="shared" si="23"/>
        <v>Municflex_Local Authority_&lt; 500V</v>
      </c>
      <c r="H62" s="77" t="str">
        <f>INDEX(Matrix_Tariff_Map,MATCH(C62,Matrix_Model_Tariffs,0),2)&amp;IFERROR(INDEX(Matrix_Transmission_Map,MATCH(#REF!,Matrix_Model_Transmission,0),2),0)&amp;INDEX(Matrix_Voltage_Map,MATCH(F62,Matrix_Model_Voltage,0),2)&amp;INDEX(Matrix_Category_Map,MATCH(D62,Matrix_Model_Category,0),2)</f>
        <v>Mf01Y</v>
      </c>
      <c r="I62" s="106">
        <f>I53</f>
        <v>43.99</v>
      </c>
      <c r="J62" s="106">
        <f>J53</f>
        <v>53.58</v>
      </c>
      <c r="K62" s="106">
        <f>K53</f>
        <v>0</v>
      </c>
      <c r="L62" s="106" t="s">
        <v>118</v>
      </c>
      <c r="M62" s="106">
        <f>M53</f>
        <v>0.45</v>
      </c>
      <c r="N62" s="106">
        <f>N53</f>
        <v>0</v>
      </c>
      <c r="O62" s="106">
        <f>O53</f>
        <v>5.0599999999999996</v>
      </c>
    </row>
    <row r="63" spans="3:15" s="77" customFormat="1" ht="13.8">
      <c r="C63" s="77" t="str">
        <f t="shared" si="24"/>
        <v>Municflex</v>
      </c>
      <c r="D63" s="77" t="s">
        <v>71</v>
      </c>
      <c r="E63" s="77" t="str">
        <f t="shared" si="25"/>
        <v>Urban</v>
      </c>
      <c r="F63" s="77" t="str">
        <f>F59</f>
        <v>≥ 500V &amp; &lt; 66kV</v>
      </c>
      <c r="G63" s="77" t="str">
        <f t="shared" si="23"/>
        <v>Municflex_Local Authority_≥ 500V &amp; &lt; 66kV</v>
      </c>
      <c r="H63" s="77" t="str">
        <f>INDEX(Matrix_Tariff_Map,MATCH(C63,Matrix_Model_Tariffs,0),2)&amp;IFERROR(INDEX(Matrix_Transmission_Map,MATCH(#REF!,Matrix_Model_Transmission,0),2),0)&amp;INDEX(Matrix_Voltage_Map,MATCH(F63,Matrix_Model_Voltage,0),2)&amp;INDEX(Matrix_Category_Map,MATCH(D63,Matrix_Model_Category,0),2)</f>
        <v>Mf02Y</v>
      </c>
      <c r="I63" s="106">
        <f t="shared" ref="I63:N63" si="26">I54</f>
        <v>40.299999999999997</v>
      </c>
      <c r="J63" s="106">
        <f t="shared" si="26"/>
        <v>26.89</v>
      </c>
      <c r="K63" s="106">
        <f t="shared" si="26"/>
        <v>0</v>
      </c>
      <c r="L63" s="106" t="s">
        <v>118</v>
      </c>
      <c r="M63" s="106">
        <f t="shared" si="26"/>
        <v>0.44</v>
      </c>
      <c r="N63" s="106">
        <f t="shared" si="26"/>
        <v>0</v>
      </c>
      <c r="O63" s="106">
        <f>O54</f>
        <v>11.72</v>
      </c>
    </row>
    <row r="64" spans="3:15" s="77" customFormat="1" ht="13.8">
      <c r="C64" s="77" t="str">
        <f t="shared" si="24"/>
        <v>Municflex</v>
      </c>
      <c r="D64" s="77" t="s">
        <v>71</v>
      </c>
      <c r="E64" s="77" t="str">
        <f t="shared" si="25"/>
        <v>Urban</v>
      </c>
      <c r="F64" s="77" t="str">
        <f>F60</f>
        <v>≥ 66kV &amp; ≤ 132kV</v>
      </c>
      <c r="G64" s="77" t="str">
        <f t="shared" si="23"/>
        <v>Municflex_Local Authority_≥ 66kV &amp; ≤ 132kV</v>
      </c>
      <c r="H64" s="77" t="str">
        <f>INDEX(Matrix_Tariff_Map,MATCH(C64,Matrix_Model_Tariffs,0),2)&amp;IFERROR(INDEX(Matrix_Transmission_Map,MATCH(#REF!,Matrix_Model_Transmission,0),2),0)&amp;INDEX(Matrix_Voltage_Map,MATCH(F64,Matrix_Model_Voltage,0),2)&amp;INDEX(Matrix_Category_Map,MATCH(D64,Matrix_Model_Category,0),2)</f>
        <v>Mf03Y</v>
      </c>
      <c r="I64" s="106">
        <f t="shared" ref="I64:N64" si="27">I55</f>
        <v>17.7</v>
      </c>
      <c r="J64" s="106">
        <f t="shared" si="27"/>
        <v>10.46</v>
      </c>
      <c r="K64" s="106">
        <f t="shared" si="27"/>
        <v>0</v>
      </c>
      <c r="L64" s="106" t="s">
        <v>118</v>
      </c>
      <c r="M64" s="106">
        <f t="shared" si="27"/>
        <v>0.4</v>
      </c>
      <c r="N64" s="106">
        <f t="shared" si="27"/>
        <v>2.4300000000000002</v>
      </c>
      <c r="O64" s="106">
        <f>O55</f>
        <v>9.82</v>
      </c>
    </row>
    <row r="65" spans="2:15" s="77" customFormat="1" ht="13.8">
      <c r="C65" s="77" t="str">
        <f t="shared" si="24"/>
        <v>Municflex</v>
      </c>
      <c r="D65" s="77" t="s">
        <v>71</v>
      </c>
      <c r="E65" s="77" t="str">
        <f t="shared" si="25"/>
        <v>Urban</v>
      </c>
      <c r="F65" s="77" t="str">
        <f>F61</f>
        <v>&gt; 132kV</v>
      </c>
      <c r="G65" s="77" t="str">
        <f t="shared" si="23"/>
        <v>Municflex_Local Authority_&gt; 132kV</v>
      </c>
      <c r="H65" s="77" t="str">
        <f>INDEX(Matrix_Tariff_Map,MATCH(C65,Matrix_Model_Tariffs,0),2)&amp;IFERROR(INDEX(Matrix_Transmission_Map,MATCH(#REF!,Matrix_Model_Transmission,0),2),0)&amp;INDEX(Matrix_Voltage_Map,MATCH(F65,Matrix_Model_Voltage,0),2)&amp;INDEX(Matrix_Category_Map,MATCH(D65,Matrix_Model_Category,0),2)</f>
        <v>Mf04Y</v>
      </c>
      <c r="I65" s="106">
        <f t="shared" ref="I65:N65" si="28">I56</f>
        <v>0</v>
      </c>
      <c r="J65" s="106">
        <f t="shared" si="28"/>
        <v>0</v>
      </c>
      <c r="K65" s="106">
        <f t="shared" si="28"/>
        <v>0</v>
      </c>
      <c r="L65" s="106" t="s">
        <v>118</v>
      </c>
      <c r="M65" s="106">
        <f t="shared" si="28"/>
        <v>0.38</v>
      </c>
      <c r="N65" s="106">
        <f t="shared" si="28"/>
        <v>2.4300000000000002</v>
      </c>
      <c r="O65" s="106">
        <f>O56</f>
        <v>10.85</v>
      </c>
    </row>
    <row r="66" spans="2:15" s="77" customFormat="1" ht="13.8">
      <c r="L66" s="106"/>
    </row>
    <row r="67" spans="2:15" s="77" customFormat="1" ht="13.8">
      <c r="C67" s="77" t="s">
        <v>44</v>
      </c>
      <c r="D67" s="77" t="s">
        <v>72</v>
      </c>
      <c r="E67" s="77" t="str">
        <f t="shared" ref="E67:E74" si="29">INDEX(Base_Tariff_Type,MATCH($C67,Base_Tariff_List,0))</f>
        <v>Rural</v>
      </c>
      <c r="F67" s="77" t="s">
        <v>62</v>
      </c>
      <c r="G67" s="77" t="str">
        <f t="shared" ref="G67:G74" si="30">C67 &amp; "_" &amp; D67 &amp; "_" &amp; F67</f>
        <v>Nightsave Rural_Non-Local Authority_&lt; 500V</v>
      </c>
      <c r="H67" s="77" t="str">
        <f>INDEX(Matrix_Tariff_Map,MATCH(C67,Matrix_Model_Tariffs,0),2)&amp;IFERROR(INDEX(Matrix_Transmission_Map,MATCH(#REF!,Matrix_Model_Transmission,0),2),0)&amp;INDEX(Matrix_Voltage_Map,MATCH(F67,Matrix_Model_Voltage,0),2)&amp;INDEX(Matrix_Category_Map,MATCH(D67,Matrix_Model_Category,0),2)</f>
        <v>NR01N</v>
      </c>
      <c r="I67" s="106" t="s">
        <v>118</v>
      </c>
      <c r="J67" s="106">
        <v>0</v>
      </c>
      <c r="K67" s="106">
        <v>52.55</v>
      </c>
      <c r="L67" s="106" t="s">
        <v>118</v>
      </c>
      <c r="M67" s="106">
        <v>0.45</v>
      </c>
      <c r="N67" s="106">
        <v>0</v>
      </c>
      <c r="O67" s="106">
        <v>5.07</v>
      </c>
    </row>
    <row r="68" spans="2:15" s="77" customFormat="1" ht="13.8">
      <c r="C68" s="77" t="s">
        <v>44</v>
      </c>
      <c r="D68" s="77" t="s">
        <v>72</v>
      </c>
      <c r="E68" s="77" t="str">
        <f t="shared" si="29"/>
        <v>Rural</v>
      </c>
      <c r="F68" s="77" t="s">
        <v>63</v>
      </c>
      <c r="G68" s="77" t="str">
        <f t="shared" si="30"/>
        <v>Nightsave Rural_Non-Local Authority_≥ 500V &amp; &lt; 66kV</v>
      </c>
      <c r="H68" s="77" t="str">
        <f>INDEX(Matrix_Tariff_Map,MATCH(C68,Matrix_Model_Tariffs,0),2)&amp;IFERROR(INDEX(Matrix_Transmission_Map,MATCH(#REF!,Matrix_Model_Transmission,0),2),0)&amp;INDEX(Matrix_Voltage_Map,MATCH(F68,Matrix_Model_Voltage,0),2)&amp;INDEX(Matrix_Category_Map,MATCH(D68,Matrix_Model_Category,0),2)</f>
        <v>NR02N</v>
      </c>
      <c r="I68" s="106" t="s">
        <v>118</v>
      </c>
      <c r="J68" s="106">
        <v>0</v>
      </c>
      <c r="K68" s="106">
        <v>45.56</v>
      </c>
      <c r="L68" s="106" t="s">
        <v>118</v>
      </c>
      <c r="M68" s="106">
        <v>0.45</v>
      </c>
      <c r="N68" s="106">
        <v>0</v>
      </c>
      <c r="O68" s="106">
        <v>7.63</v>
      </c>
    </row>
    <row r="69" spans="2:15" s="77" customFormat="1" ht="13.8">
      <c r="C69" s="77" t="s">
        <v>44</v>
      </c>
      <c r="D69" s="77" t="s">
        <v>72</v>
      </c>
      <c r="E69" s="77" t="str">
        <f t="shared" si="29"/>
        <v>Rural</v>
      </c>
      <c r="F69" s="77" t="s">
        <v>64</v>
      </c>
      <c r="G69" s="77" t="str">
        <f t="shared" si="30"/>
        <v>Nightsave Rural_Non-Local Authority_≥ 66kV &amp; ≤ 132kV</v>
      </c>
      <c r="H69" s="77" t="str">
        <f>INDEX(Matrix_Tariff_Map,MATCH(C69,Matrix_Model_Tariffs,0),2)&amp;IFERROR(INDEX(Matrix_Transmission_Map,MATCH(#REF!,Matrix_Model_Transmission,0),2),0)&amp;INDEX(Matrix_Voltage_Map,MATCH(F69,Matrix_Model_Voltage,0),2)&amp;INDEX(Matrix_Category_Map,MATCH(D69,Matrix_Model_Category,0),2)</f>
        <v>NR03N</v>
      </c>
      <c r="I69" s="106" t="s">
        <v>118</v>
      </c>
      <c r="J69" s="106">
        <v>0</v>
      </c>
      <c r="K69" s="106">
        <v>0</v>
      </c>
      <c r="L69" s="106" t="s">
        <v>118</v>
      </c>
      <c r="M69" s="106">
        <v>0</v>
      </c>
      <c r="N69" s="106">
        <v>0</v>
      </c>
      <c r="O69" s="106">
        <v>0</v>
      </c>
    </row>
    <row r="70" spans="2:15" s="77" customFormat="1" ht="13.8">
      <c r="C70" s="77" t="s">
        <v>44</v>
      </c>
      <c r="D70" s="77" t="s">
        <v>72</v>
      </c>
      <c r="E70" s="77" t="str">
        <f t="shared" si="29"/>
        <v>Rural</v>
      </c>
      <c r="F70" s="77" t="s">
        <v>65</v>
      </c>
      <c r="G70" s="77" t="str">
        <f t="shared" si="30"/>
        <v>Nightsave Rural_Non-Local Authority_&gt; 132kV</v>
      </c>
      <c r="H70" s="77" t="str">
        <f>INDEX(Matrix_Tariff_Map,MATCH(C70,Matrix_Model_Tariffs,0),2)&amp;IFERROR(INDEX(Matrix_Transmission_Map,MATCH(#REF!,Matrix_Model_Transmission,0),2),0)&amp;INDEX(Matrix_Voltage_Map,MATCH(F70,Matrix_Model_Voltage,0),2)&amp;INDEX(Matrix_Category_Map,MATCH(D70,Matrix_Model_Category,0),2)</f>
        <v>NR04N</v>
      </c>
      <c r="I70" s="106" t="s">
        <v>118</v>
      </c>
      <c r="J70" s="106">
        <v>0</v>
      </c>
      <c r="K70" s="106">
        <v>0</v>
      </c>
      <c r="L70" s="106" t="s">
        <v>118</v>
      </c>
      <c r="M70" s="106">
        <v>0</v>
      </c>
      <c r="N70" s="106">
        <v>0</v>
      </c>
      <c r="O70" s="106">
        <v>0</v>
      </c>
    </row>
    <row r="71" spans="2:15" s="77" customFormat="1" ht="13.8">
      <c r="C71" s="77" t="s">
        <v>465</v>
      </c>
      <c r="D71" s="77" t="s">
        <v>71</v>
      </c>
      <c r="E71" s="77" t="str">
        <f t="shared" si="29"/>
        <v>Urban</v>
      </c>
      <c r="F71" s="77" t="s">
        <v>62</v>
      </c>
      <c r="G71" s="77" t="str">
        <f t="shared" si="30"/>
        <v>Municflex_Local Authority_&lt; 500V</v>
      </c>
      <c r="H71" s="77" t="str">
        <f>INDEX(Matrix_Tariff_Map,MATCH(C71,Matrix_Model_Tariffs,0),2)&amp;IFERROR(INDEX(Matrix_Transmission_Map,MATCH(#REF!,Matrix_Model_Transmission,0),2),0)&amp;INDEX(Matrix_Voltage_Map,MATCH(F71,Matrix_Model_Voltage,0),2)&amp;INDEX(Matrix_Category_Map,MATCH(D71,Matrix_Model_Category,0),2)</f>
        <v>Mf01Y</v>
      </c>
      <c r="I71" s="106">
        <f>I62</f>
        <v>43.99</v>
      </c>
      <c r="J71" s="106">
        <f>J62</f>
        <v>53.58</v>
      </c>
      <c r="K71" s="106">
        <f>K62</f>
        <v>0</v>
      </c>
      <c r="L71" s="106" t="s">
        <v>118</v>
      </c>
      <c r="M71" s="106">
        <f>M62</f>
        <v>0.45</v>
      </c>
      <c r="N71" s="106">
        <f>N62</f>
        <v>0</v>
      </c>
      <c r="O71" s="106">
        <f>O62</f>
        <v>5.0599999999999996</v>
      </c>
    </row>
    <row r="72" spans="2:15" s="77" customFormat="1" ht="13.8">
      <c r="C72" s="77" t="str">
        <f>C71</f>
        <v>Municflex</v>
      </c>
      <c r="D72" s="77" t="s">
        <v>71</v>
      </c>
      <c r="E72" s="77" t="str">
        <f t="shared" si="29"/>
        <v>Urban</v>
      </c>
      <c r="F72" s="77" t="s">
        <v>63</v>
      </c>
      <c r="G72" s="77" t="str">
        <f t="shared" si="30"/>
        <v>Municflex_Local Authority_≥ 500V &amp; &lt; 66kV</v>
      </c>
      <c r="H72" s="77" t="str">
        <f>INDEX(Matrix_Tariff_Map,MATCH(C72,Matrix_Model_Tariffs,0),2)&amp;IFERROR(INDEX(Matrix_Transmission_Map,MATCH(#REF!,Matrix_Model_Transmission,0),2),0)&amp;INDEX(Matrix_Voltage_Map,MATCH(F72,Matrix_Model_Voltage,0),2)&amp;INDEX(Matrix_Category_Map,MATCH(D72,Matrix_Model_Category,0),2)</f>
        <v>Mf02Y</v>
      </c>
      <c r="I72" s="106">
        <f t="shared" ref="I72:N72" si="31">I63</f>
        <v>40.299999999999997</v>
      </c>
      <c r="J72" s="106">
        <f t="shared" si="31"/>
        <v>26.89</v>
      </c>
      <c r="K72" s="106">
        <f t="shared" si="31"/>
        <v>0</v>
      </c>
      <c r="L72" s="106" t="s">
        <v>118</v>
      </c>
      <c r="M72" s="106">
        <f t="shared" si="31"/>
        <v>0.44</v>
      </c>
      <c r="N72" s="106">
        <f t="shared" si="31"/>
        <v>0</v>
      </c>
      <c r="O72" s="106">
        <f>O63</f>
        <v>11.72</v>
      </c>
    </row>
    <row r="73" spans="2:15" s="77" customFormat="1" ht="13.8">
      <c r="C73" s="77" t="str">
        <f>C72</f>
        <v>Municflex</v>
      </c>
      <c r="D73" s="77" t="s">
        <v>71</v>
      </c>
      <c r="E73" s="77" t="str">
        <f t="shared" si="29"/>
        <v>Urban</v>
      </c>
      <c r="F73" s="77" t="s">
        <v>64</v>
      </c>
      <c r="G73" s="77" t="str">
        <f t="shared" si="30"/>
        <v>Municflex_Local Authority_≥ 66kV &amp; ≤ 132kV</v>
      </c>
      <c r="H73" s="77" t="str">
        <f>INDEX(Matrix_Tariff_Map,MATCH(C73,Matrix_Model_Tariffs,0),2)&amp;IFERROR(INDEX(Matrix_Transmission_Map,MATCH(#REF!,Matrix_Model_Transmission,0),2),0)&amp;INDEX(Matrix_Voltage_Map,MATCH(F73,Matrix_Model_Voltage,0),2)&amp;INDEX(Matrix_Category_Map,MATCH(D73,Matrix_Model_Category,0),2)</f>
        <v>Mf03Y</v>
      </c>
      <c r="I73" s="106">
        <f t="shared" ref="I73:N73" si="32">I64</f>
        <v>17.7</v>
      </c>
      <c r="J73" s="106">
        <f t="shared" si="32"/>
        <v>10.46</v>
      </c>
      <c r="K73" s="106">
        <f t="shared" si="32"/>
        <v>0</v>
      </c>
      <c r="L73" s="106" t="s">
        <v>118</v>
      </c>
      <c r="M73" s="106">
        <f t="shared" si="32"/>
        <v>0.4</v>
      </c>
      <c r="N73" s="106">
        <f t="shared" si="32"/>
        <v>2.4300000000000002</v>
      </c>
      <c r="O73" s="106">
        <f>O64</f>
        <v>9.82</v>
      </c>
    </row>
    <row r="74" spans="2:15" s="77" customFormat="1" ht="13.8">
      <c r="C74" s="77" t="str">
        <f>C73</f>
        <v>Municflex</v>
      </c>
      <c r="D74" s="77" t="s">
        <v>71</v>
      </c>
      <c r="E74" s="77" t="str">
        <f t="shared" si="29"/>
        <v>Urban</v>
      </c>
      <c r="F74" s="77" t="s">
        <v>65</v>
      </c>
      <c r="G74" s="77" t="str">
        <f t="shared" si="30"/>
        <v>Municflex_Local Authority_&gt; 132kV</v>
      </c>
      <c r="H74" s="77" t="str">
        <f>INDEX(Matrix_Tariff_Map,MATCH(C74,Matrix_Model_Tariffs,0),2)&amp;IFERROR(INDEX(Matrix_Transmission_Map,MATCH(#REF!,Matrix_Model_Transmission,0),2),0)&amp;INDEX(Matrix_Voltage_Map,MATCH(F74,Matrix_Model_Voltage,0),2)&amp;INDEX(Matrix_Category_Map,MATCH(D74,Matrix_Model_Category,0),2)</f>
        <v>Mf04Y</v>
      </c>
      <c r="I74" s="106">
        <f t="shared" ref="I74:N74" si="33">I65</f>
        <v>0</v>
      </c>
      <c r="J74" s="106">
        <f t="shared" si="33"/>
        <v>0</v>
      </c>
      <c r="K74" s="106">
        <f t="shared" si="33"/>
        <v>0</v>
      </c>
      <c r="L74" s="106" t="s">
        <v>118</v>
      </c>
      <c r="M74" s="106">
        <f t="shared" si="33"/>
        <v>0.38</v>
      </c>
      <c r="N74" s="106">
        <f t="shared" si="33"/>
        <v>2.4300000000000002</v>
      </c>
      <c r="O74" s="106">
        <f>O65</f>
        <v>10.85</v>
      </c>
    </row>
    <row r="75" spans="2:15" s="77" customFormat="1" ht="13.8"/>
    <row r="76" spans="2:15" ht="13.8">
      <c r="B76" s="77"/>
      <c r="C76" s="77" t="s">
        <v>583</v>
      </c>
      <c r="D76" s="77" t="s">
        <v>72</v>
      </c>
      <c r="E76" s="77" t="s">
        <v>103</v>
      </c>
      <c r="F76" s="77" t="s">
        <v>62</v>
      </c>
      <c r="G76" s="77" t="str">
        <f t="shared" ref="G76:G83" si="34">C76 &amp; "_" &amp; D76 &amp; "_" &amp; F76</f>
        <v>Transflex 1_Non-Local Authority_&lt; 500V</v>
      </c>
      <c r="H76" s="77" t="str">
        <f>INDEX(Matrix_Tariff_Map,MATCH(C76,Matrix_Model_Tariffs,0),2)&amp;IFERROR(INDEX(Matrix_Transmission_Map,MATCH(#REF!,Matrix_Model_Transmission,0),2),0)&amp;INDEX(Matrix_Voltage_Map,MATCH(F76,Matrix_Model_Voltage,0),2)&amp;INDEX(Matrix_Category_Map,MATCH(D76,Matrix_Model_Category,0),2)</f>
        <v>T101N</v>
      </c>
      <c r="I76" s="106">
        <v>0</v>
      </c>
      <c r="J76" s="106">
        <v>0</v>
      </c>
      <c r="K76" s="106">
        <v>0</v>
      </c>
      <c r="L76" s="106" t="s">
        <v>118</v>
      </c>
      <c r="M76" s="106">
        <v>0.45</v>
      </c>
      <c r="N76" s="106">
        <v>0</v>
      </c>
      <c r="O76" s="106">
        <v>2088.4899999999998</v>
      </c>
    </row>
    <row r="77" spans="2:15" ht="13.8">
      <c r="C77" s="77" t="s">
        <v>583</v>
      </c>
      <c r="D77" s="77" t="s">
        <v>72</v>
      </c>
      <c r="E77" s="77" t="s">
        <v>103</v>
      </c>
      <c r="F77" s="77" t="s">
        <v>63</v>
      </c>
      <c r="G77" s="77" t="str">
        <f t="shared" si="34"/>
        <v>Transflex 1_Non-Local Authority_≥ 500V &amp; &lt; 66kV</v>
      </c>
      <c r="H77" s="77" t="str">
        <f>INDEX(Matrix_Tariff_Map,MATCH(C77,Matrix_Model_Tariffs,0),2)&amp;IFERROR(INDEX(Matrix_Transmission_Map,MATCH(#REF!,Matrix_Model_Transmission,0),2),0)&amp;INDEX(Matrix_Voltage_Map,MATCH(F77,Matrix_Model_Voltage,0),2)&amp;INDEX(Matrix_Category_Map,MATCH(D77,Matrix_Model_Category,0),2)</f>
        <v>T102N</v>
      </c>
      <c r="I77" s="106">
        <v>0</v>
      </c>
      <c r="J77" s="106">
        <v>0</v>
      </c>
      <c r="K77" s="106">
        <v>0</v>
      </c>
      <c r="L77" s="106" t="s">
        <v>118</v>
      </c>
      <c r="M77" s="106">
        <v>0.42</v>
      </c>
      <c r="N77" s="106">
        <v>0</v>
      </c>
      <c r="O77" s="106">
        <v>2034.59</v>
      </c>
    </row>
    <row r="78" spans="2:15" ht="13.8">
      <c r="C78" s="77" t="s">
        <v>583</v>
      </c>
      <c r="D78" s="77" t="s">
        <v>72</v>
      </c>
      <c r="E78" s="77" t="s">
        <v>103</v>
      </c>
      <c r="F78" s="77" t="s">
        <v>64</v>
      </c>
      <c r="G78" s="77" t="str">
        <f t="shared" si="34"/>
        <v>Transflex 1_Non-Local Authority_≥ 66kV &amp; ≤ 132kV</v>
      </c>
      <c r="H78" s="77" t="str">
        <f>INDEX(Matrix_Tariff_Map,MATCH(C78,Matrix_Model_Tariffs,0),2)&amp;IFERROR(INDEX(Matrix_Transmission_Map,MATCH(#REF!,Matrix_Model_Transmission,0),2),0)&amp;INDEX(Matrix_Voltage_Map,MATCH(F78,Matrix_Model_Voltage,0),2)&amp;INDEX(Matrix_Category_Map,MATCH(D78,Matrix_Model_Category,0),2)</f>
        <v>T103N</v>
      </c>
      <c r="I78" s="106">
        <v>0</v>
      </c>
      <c r="J78" s="106">
        <v>0</v>
      </c>
      <c r="K78" s="106">
        <v>0</v>
      </c>
      <c r="L78" s="106" t="s">
        <v>118</v>
      </c>
      <c r="M78" s="106">
        <v>0.39</v>
      </c>
      <c r="N78" s="106">
        <v>0</v>
      </c>
      <c r="O78" s="106">
        <v>1888.11</v>
      </c>
    </row>
    <row r="79" spans="2:15" ht="13.8">
      <c r="C79" s="77" t="s">
        <v>583</v>
      </c>
      <c r="D79" s="77" t="s">
        <v>72</v>
      </c>
      <c r="E79" s="77" t="s">
        <v>103</v>
      </c>
      <c r="F79" s="77" t="s">
        <v>65</v>
      </c>
      <c r="G79" s="77" t="str">
        <f t="shared" si="34"/>
        <v>Transflex 1_Non-Local Authority_&gt; 132kV</v>
      </c>
      <c r="H79" s="77" t="str">
        <f>INDEX(Matrix_Tariff_Map,MATCH(C79,Matrix_Model_Tariffs,0),2)&amp;IFERROR(INDEX(Matrix_Transmission_Map,MATCH(#REF!,Matrix_Model_Transmission,0),2),0)&amp;INDEX(Matrix_Voltage_Map,MATCH(F79,Matrix_Model_Voltage,0),2)&amp;INDEX(Matrix_Category_Map,MATCH(D79,Matrix_Model_Category,0),2)</f>
        <v>T104N</v>
      </c>
      <c r="I79" s="106">
        <v>0</v>
      </c>
      <c r="J79" s="106">
        <v>0</v>
      </c>
      <c r="K79" s="106">
        <v>0</v>
      </c>
      <c r="L79" s="106" t="s">
        <v>118</v>
      </c>
      <c r="M79" s="106">
        <v>0.37</v>
      </c>
      <c r="N79" s="106">
        <v>0</v>
      </c>
      <c r="O79" s="106">
        <v>1760.64</v>
      </c>
    </row>
    <row r="80" spans="2:15" ht="13.8">
      <c r="C80" s="77" t="s">
        <v>584</v>
      </c>
      <c r="D80" t="s">
        <v>72</v>
      </c>
      <c r="E80" t="s">
        <v>103</v>
      </c>
      <c r="F80" t="s">
        <v>62</v>
      </c>
      <c r="G80" t="str">
        <f t="shared" si="34"/>
        <v>Transflex 2_Non-Local Authority_&lt; 500V</v>
      </c>
      <c r="H80" t="str">
        <f>INDEX(Matrix_Tariff_Map,MATCH(C80,Matrix_Model_Tariffs,0),2)&amp;IFERROR(INDEX(Matrix_Transmission_Map,MATCH(#REF!,Matrix_Model_Transmission,0),2),0)&amp;INDEX(Matrix_Voltage_Map,MATCH(F80,Matrix_Model_Voltage,0),2)&amp;INDEX(Matrix_Category_Map,MATCH(D80,Matrix_Model_Category,0),2)</f>
        <v>T201N</v>
      </c>
      <c r="I80" s="106">
        <v>0</v>
      </c>
      <c r="J80" s="106">
        <v>0</v>
      </c>
      <c r="K80" s="106">
        <v>0</v>
      </c>
      <c r="L80" s="106" t="s">
        <v>118</v>
      </c>
      <c r="M80" s="106">
        <v>0.45</v>
      </c>
      <c r="N80" s="106">
        <v>0</v>
      </c>
      <c r="O80" s="106">
        <v>2021.95</v>
      </c>
    </row>
    <row r="81" spans="3:15" ht="13.8">
      <c r="C81" s="77" t="s">
        <v>584</v>
      </c>
      <c r="D81" t="s">
        <v>72</v>
      </c>
      <c r="E81" t="s">
        <v>103</v>
      </c>
      <c r="F81" t="s">
        <v>63</v>
      </c>
      <c r="G81" t="str">
        <f t="shared" si="34"/>
        <v>Transflex 2_Non-Local Authority_≥ 500V &amp; &lt; 66kV</v>
      </c>
      <c r="H81" t="str">
        <f>INDEX(Matrix_Tariff_Map,MATCH(C81,Matrix_Model_Tariffs,0),2)&amp;IFERROR(INDEX(Matrix_Transmission_Map,MATCH(#REF!,Matrix_Model_Transmission,0),2),0)&amp;INDEX(Matrix_Voltage_Map,MATCH(F81,Matrix_Model_Voltage,0),2)&amp;INDEX(Matrix_Category_Map,MATCH(D81,Matrix_Model_Category,0),2)</f>
        <v>T202N</v>
      </c>
      <c r="I81" s="106">
        <v>0</v>
      </c>
      <c r="J81" s="106">
        <v>0</v>
      </c>
      <c r="K81" s="106">
        <v>0</v>
      </c>
      <c r="L81" s="106" t="s">
        <v>118</v>
      </c>
      <c r="M81" s="106">
        <v>0.42</v>
      </c>
      <c r="N81" s="106">
        <v>0</v>
      </c>
      <c r="O81" s="106">
        <v>1969.78</v>
      </c>
    </row>
    <row r="82" spans="3:15" ht="13.8">
      <c r="C82" s="77" t="s">
        <v>584</v>
      </c>
      <c r="D82" t="s">
        <v>72</v>
      </c>
      <c r="E82" t="s">
        <v>103</v>
      </c>
      <c r="F82" t="s">
        <v>64</v>
      </c>
      <c r="G82" t="str">
        <f t="shared" si="34"/>
        <v>Transflex 2_Non-Local Authority_≥ 66kV &amp; ≤ 132kV</v>
      </c>
      <c r="H82" t="str">
        <f>INDEX(Matrix_Tariff_Map,MATCH(C82,Matrix_Model_Tariffs,0),2)&amp;IFERROR(INDEX(Matrix_Transmission_Map,MATCH(#REF!,Matrix_Model_Transmission,0),2),0)&amp;INDEX(Matrix_Voltage_Map,MATCH(F82,Matrix_Model_Voltage,0),2)&amp;INDEX(Matrix_Category_Map,MATCH(D82,Matrix_Model_Category,0),2)</f>
        <v>T203N</v>
      </c>
      <c r="I82" s="106">
        <v>0</v>
      </c>
      <c r="J82" s="106">
        <v>0</v>
      </c>
      <c r="K82" s="106">
        <v>0</v>
      </c>
      <c r="L82" s="106" t="s">
        <v>118</v>
      </c>
      <c r="M82" s="106">
        <v>0.39</v>
      </c>
      <c r="N82" s="106">
        <v>0</v>
      </c>
      <c r="O82" s="106">
        <v>1827.98</v>
      </c>
    </row>
    <row r="83" spans="3:15" ht="13.8">
      <c r="C83" s="77" t="s">
        <v>584</v>
      </c>
      <c r="D83" t="s">
        <v>72</v>
      </c>
      <c r="E83" t="s">
        <v>103</v>
      </c>
      <c r="F83" t="s">
        <v>65</v>
      </c>
      <c r="G83" t="str">
        <f t="shared" si="34"/>
        <v>Transflex 2_Non-Local Authority_&gt; 132kV</v>
      </c>
      <c r="H83" t="str">
        <f>INDEX(Matrix_Tariff_Map,MATCH(C83,Matrix_Model_Tariffs,0),2)&amp;IFERROR(INDEX(Matrix_Transmission_Map,MATCH(#REF!,Matrix_Model_Transmission,0),2),0)&amp;INDEX(Matrix_Voltage_Map,MATCH(F83,Matrix_Model_Voltage,0),2)&amp;INDEX(Matrix_Category_Map,MATCH(D83,Matrix_Model_Category,0),2)</f>
        <v>T204N</v>
      </c>
      <c r="I83" s="106">
        <v>0</v>
      </c>
      <c r="J83" s="106">
        <v>0</v>
      </c>
      <c r="K83" s="106">
        <v>0</v>
      </c>
      <c r="L83" s="106" t="s">
        <v>118</v>
      </c>
      <c r="M83" s="106">
        <v>0.37</v>
      </c>
      <c r="N83" s="106">
        <v>0</v>
      </c>
      <c r="O83" s="106">
        <v>1704.57</v>
      </c>
    </row>
  </sheetData>
  <sheetProtection algorithmName="SHA-512" hashValue="bayli5jS6O0Mhuuq0CcNRzSAf6m9x9tITbqlyiwXkzVQDynfqzBgsmX/Ev+4nEc5ZM3SnztT84ImZzbtJwdnsw==" saltValue="CIcAeGEs4pt5HL0aFgyhgQ==" spinCount="100000" sheet="1" objects="1" scenarios="1"/>
  <phoneticPr fontId="35" type="noConversion"/>
  <conditionalFormatting sqref="C23:C25 C27:C29 C32:C34 C36:C38 C50:C52 C54:C56 C59:C61 C63:C65 C41:C43 C45:C47 C68:C70">
    <cfRule type="expression" dxfId="274" priority="157">
      <formula>C23&lt;&gt;C22</formula>
    </cfRule>
  </conditionalFormatting>
  <conditionalFormatting sqref="C31 C40 C58 C67:C71">
    <cfRule type="expression" dxfId="273" priority="158">
      <formula>C31&lt;&gt;#REF!</formula>
    </cfRule>
  </conditionalFormatting>
  <conditionalFormatting sqref="C22">
    <cfRule type="expression" dxfId="272" priority="155">
      <formula>C22&lt;&gt;C19</formula>
    </cfRule>
  </conditionalFormatting>
  <conditionalFormatting sqref="C49">
    <cfRule type="expression" dxfId="271" priority="159">
      <formula>C49&lt;&gt;#REF!</formula>
    </cfRule>
  </conditionalFormatting>
  <conditionalFormatting sqref="C26 C35 C44 C53 C62">
    <cfRule type="expression" dxfId="270" priority="184">
      <formula>C26&lt;&gt;#REF!</formula>
    </cfRule>
  </conditionalFormatting>
  <conditionalFormatting sqref="C6">
    <cfRule type="expression" dxfId="269" priority="154">
      <formula>C6&lt;&gt;#REF!</formula>
    </cfRule>
  </conditionalFormatting>
  <conditionalFormatting sqref="I22:K30 M22:N30">
    <cfRule type="cellIs" dxfId="268" priority="153" operator="equal">
      <formula>"n/a"</formula>
    </cfRule>
  </conditionalFormatting>
  <conditionalFormatting sqref="I31:K34 M31:N34">
    <cfRule type="cellIs" dxfId="267" priority="152" operator="equal">
      <formula>"n/a"</formula>
    </cfRule>
  </conditionalFormatting>
  <conditionalFormatting sqref="J67:K70 M67:N70">
    <cfRule type="cellIs" dxfId="266" priority="147" operator="equal">
      <formula>"n/a"</formula>
    </cfRule>
  </conditionalFormatting>
  <conditionalFormatting sqref="J40:K43 M40:N43">
    <cfRule type="cellIs" dxfId="265" priority="151" operator="equal">
      <formula>"n/a"</formula>
    </cfRule>
  </conditionalFormatting>
  <conditionalFormatting sqref="I39:K39 M39:N39">
    <cfRule type="cellIs" dxfId="264" priority="150" operator="equal">
      <formula>"n/a"</formula>
    </cfRule>
  </conditionalFormatting>
  <conditionalFormatting sqref="I49:K52 M49:N52">
    <cfRule type="cellIs" dxfId="263" priority="149" operator="equal">
      <formula>"n/a"</formula>
    </cfRule>
  </conditionalFormatting>
  <conditionalFormatting sqref="I58:K61 M58:N61">
    <cfRule type="cellIs" dxfId="262" priority="148" operator="equal">
      <formula>"n/a"</formula>
    </cfRule>
  </conditionalFormatting>
  <conditionalFormatting sqref="C71">
    <cfRule type="expression" dxfId="261" priority="41">
      <formula>C71&lt;&gt;#REF!</formula>
    </cfRule>
  </conditionalFormatting>
  <conditionalFormatting sqref="I41:I43">
    <cfRule type="cellIs" dxfId="260" priority="37" operator="equal">
      <formula>"n/a"</formula>
    </cfRule>
  </conditionalFormatting>
  <conditionalFormatting sqref="I68:I70">
    <cfRule type="cellIs" dxfId="259" priority="36" operator="equal">
      <formula>"n/a"</formula>
    </cfRule>
  </conditionalFormatting>
  <conditionalFormatting sqref="I40">
    <cfRule type="cellIs" dxfId="258" priority="35" operator="equal">
      <formula>"n/a"</formula>
    </cfRule>
  </conditionalFormatting>
  <conditionalFormatting sqref="I67">
    <cfRule type="cellIs" dxfId="257" priority="34" operator="equal">
      <formula>"n/a"</formula>
    </cfRule>
  </conditionalFormatting>
  <conditionalFormatting sqref="C72:C74">
    <cfRule type="expression" dxfId="256" priority="33">
      <formula>C72&lt;&gt;C71</formula>
    </cfRule>
  </conditionalFormatting>
  <conditionalFormatting sqref="I35:K38 M35:N38">
    <cfRule type="cellIs" dxfId="255" priority="32" operator="equal">
      <formula>"n/a"</formula>
    </cfRule>
  </conditionalFormatting>
  <conditionalFormatting sqref="I44:K47 M44:N47">
    <cfRule type="cellIs" dxfId="254" priority="31" operator="equal">
      <formula>"n/a"</formula>
    </cfRule>
  </conditionalFormatting>
  <conditionalFormatting sqref="I53:K56 M53:N56">
    <cfRule type="cellIs" dxfId="253" priority="30" operator="equal">
      <formula>"n/a"</formula>
    </cfRule>
  </conditionalFormatting>
  <conditionalFormatting sqref="I62:K65 M62:N65">
    <cfRule type="cellIs" dxfId="252" priority="29" operator="equal">
      <formula>"n/a"</formula>
    </cfRule>
  </conditionalFormatting>
  <conditionalFormatting sqref="I71:K74 M71:N74">
    <cfRule type="cellIs" dxfId="251" priority="28" operator="equal">
      <formula>"n/a"</formula>
    </cfRule>
  </conditionalFormatting>
  <conditionalFormatting sqref="O22:O30">
    <cfRule type="cellIs" dxfId="250" priority="27" operator="equal">
      <formula>"n/a"</formula>
    </cfRule>
  </conditionalFormatting>
  <conditionalFormatting sqref="O31:O34">
    <cfRule type="cellIs" dxfId="249" priority="26" operator="equal">
      <formula>"n/a"</formula>
    </cfRule>
  </conditionalFormatting>
  <conditionalFormatting sqref="O67:O70">
    <cfRule type="cellIs" dxfId="248" priority="21" operator="equal">
      <formula>"n/a"</formula>
    </cfRule>
  </conditionalFormatting>
  <conditionalFormatting sqref="O40:O43">
    <cfRule type="cellIs" dxfId="247" priority="25" operator="equal">
      <formula>"n/a"</formula>
    </cfRule>
  </conditionalFormatting>
  <conditionalFormatting sqref="O39">
    <cfRule type="cellIs" dxfId="246" priority="24" operator="equal">
      <formula>"n/a"</formula>
    </cfRule>
  </conditionalFormatting>
  <conditionalFormatting sqref="O49:O52">
    <cfRule type="cellIs" dxfId="245" priority="23" operator="equal">
      <formula>"n/a"</formula>
    </cfRule>
  </conditionalFormatting>
  <conditionalFormatting sqref="O58:O61">
    <cfRule type="cellIs" dxfId="244" priority="22" operator="equal">
      <formula>"n/a"</formula>
    </cfRule>
  </conditionalFormatting>
  <conditionalFormatting sqref="O35:O38">
    <cfRule type="cellIs" dxfId="243" priority="20" operator="equal">
      <formula>"n/a"</formula>
    </cfRule>
  </conditionalFormatting>
  <conditionalFormatting sqref="O44:O47">
    <cfRule type="cellIs" dxfId="242" priority="19" operator="equal">
      <formula>"n/a"</formula>
    </cfRule>
  </conditionalFormatting>
  <conditionalFormatting sqref="O53:O56">
    <cfRule type="cellIs" dxfId="241" priority="18" operator="equal">
      <formula>"n/a"</formula>
    </cfRule>
  </conditionalFormatting>
  <conditionalFormatting sqref="O62:O65">
    <cfRule type="cellIs" dxfId="240" priority="17" operator="equal">
      <formula>"n/a"</formula>
    </cfRule>
  </conditionalFormatting>
  <conditionalFormatting sqref="O71:O74">
    <cfRule type="cellIs" dxfId="239" priority="16" operator="equal">
      <formula>"n/a"</formula>
    </cfRule>
  </conditionalFormatting>
  <conditionalFormatting sqref="L22:L66">
    <cfRule type="cellIs" dxfId="238" priority="14" operator="equal">
      <formula>"n/a"</formula>
    </cfRule>
  </conditionalFormatting>
  <conditionalFormatting sqref="L67:L74">
    <cfRule type="cellIs" dxfId="237" priority="12" operator="equal">
      <formula>"n/a"</formula>
    </cfRule>
  </conditionalFormatting>
  <conditionalFormatting sqref="C77:C83">
    <cfRule type="expression" dxfId="236" priority="11">
      <formula>C77&lt;&gt;C76</formula>
    </cfRule>
  </conditionalFormatting>
  <conditionalFormatting sqref="I76:K79 M76:N79">
    <cfRule type="cellIs" dxfId="235" priority="9" operator="equal">
      <formula>"n/a"</formula>
    </cfRule>
  </conditionalFormatting>
  <conditionalFormatting sqref="O76:O79">
    <cfRule type="cellIs" dxfId="234" priority="8" operator="equal">
      <formula>"n/a"</formula>
    </cfRule>
  </conditionalFormatting>
  <conditionalFormatting sqref="L76:L79">
    <cfRule type="cellIs" dxfId="233" priority="7" operator="equal">
      <formula>"n/a"</formula>
    </cfRule>
  </conditionalFormatting>
  <conditionalFormatting sqref="I80:K83 M80:N83">
    <cfRule type="cellIs" dxfId="232" priority="6" operator="equal">
      <formula>"n/a"</formula>
    </cfRule>
  </conditionalFormatting>
  <conditionalFormatting sqref="O80:O83">
    <cfRule type="cellIs" dxfId="231" priority="5" operator="equal">
      <formula>"n/a"</formula>
    </cfRule>
  </conditionalFormatting>
  <conditionalFormatting sqref="L80:L83">
    <cfRule type="cellIs" dxfId="230" priority="4" operator="equal">
      <formula>"n/a"</formula>
    </cfRule>
  </conditionalFormatting>
  <conditionalFormatting sqref="B76">
    <cfRule type="expression" dxfId="229" priority="2">
      <formula>B76&lt;&gt;B75</formula>
    </cfRule>
  </conditionalFormatting>
  <conditionalFormatting sqref="C76">
    <cfRule type="expression" dxfId="228" priority="1">
      <formula>C76&lt;&gt;C75</formula>
    </cfRule>
  </conditionalFormatting>
  <dataValidations count="4">
    <dataValidation type="list" allowBlank="1" showInputMessage="1" showErrorMessage="1" sqref="C22:C29 C31:C38 C40:C47 C49:C56 C58:C65 C67:C74 C76:C79" xr:uid="{00000000-0002-0000-0C00-000000000000}">
      <formula1>Base_Tariff_List</formula1>
    </dataValidation>
    <dataValidation type="list" allowBlank="1" showInputMessage="1" showErrorMessage="1" sqref="F49:F52 F40:F43 F22:F25 F31:F34 F58:F61 F67:F74 F76:F79" xr:uid="{00000000-0002-0000-0C00-000001000000}">
      <formula1>Voltage_List</formula1>
    </dataValidation>
    <dataValidation type="list" allowBlank="1" showInputMessage="1" showErrorMessage="1" sqref="F53:F56 F26:F29 F62:F65 F44:F47 F35:F38" xr:uid="{00000000-0002-0000-0C00-000002000000}">
      <formula1>Transmission_List</formula1>
    </dataValidation>
    <dataValidation type="list" allowBlank="1" showInputMessage="1" showErrorMessage="1" sqref="D22:D29 D31:D38 D40:D47 D49:D56 D58:D65 D67:D74 D76:D79" xr:uid="{00000000-0002-0000-0C00-000003000000}">
      <formula1>Tariff_Category_List</formula1>
    </dataValidation>
  </dataValidations>
  <pageMargins left="0.7" right="0.7" top="0.75" bottom="0.75" header="0.3" footer="0.3"/>
  <pageSetup orientation="portrait" r:id="rId1"/>
  <drawing r:id="rId2"/>
  <legacyDrawing r:id="rId3"/>
  <tableParts count="1">
    <tablePart r:id="rId4"/>
  </tableParts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3">
    <tabColor rgb="FF92D050"/>
  </sheetPr>
  <dimension ref="B1:N85"/>
  <sheetViews>
    <sheetView showGridLines="0" zoomScale="85" zoomScaleNormal="85" workbookViewId="0">
      <pane xSplit="7" ySplit="7" topLeftCell="H28" activePane="bottomRight" state="frozen"/>
      <selection activeCell="A5" sqref="A5"/>
      <selection pane="topRight" activeCell="A5" sqref="A5"/>
      <selection pane="bottomLeft" activeCell="A5" sqref="A5"/>
      <selection pane="bottomRight" activeCell="M36" sqref="E36:M36"/>
    </sheetView>
  </sheetViews>
  <sheetFormatPr defaultColWidth="9.28515625" defaultRowHeight="12"/>
  <cols>
    <col min="1" max="1" width="2.7109375" customWidth="1"/>
    <col min="2" max="2" width="15.140625" customWidth="1"/>
    <col min="3" max="3" width="15.7109375" customWidth="1"/>
    <col min="4" max="4" width="19.140625" bestFit="1" customWidth="1"/>
    <col min="5" max="5" width="20" customWidth="1"/>
    <col min="6" max="6" width="16" customWidth="1"/>
    <col min="7" max="7" width="47" bestFit="1" customWidth="1"/>
    <col min="8" max="13" width="12.7109375" customWidth="1"/>
    <col min="14" max="14" width="17.7109375" bestFit="1" customWidth="1"/>
  </cols>
  <sheetData>
    <row r="1" spans="3:14" ht="4.05" customHeight="1"/>
    <row r="2" spans="3:14" ht="33" customHeight="1"/>
    <row r="3" spans="3:14" ht="4.05" customHeight="1"/>
    <row r="4" spans="3:14" ht="15">
      <c r="C4" s="2" t="str">
        <f>"Large Power User | Network &amp; Reliability Service Charges by Voltage Inputs | "&amp;Current_Period</f>
        <v>Large Power User | Network &amp; Reliability Service Charges by Voltage Inputs | 2025/26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6" spans="3:14">
      <c r="C6" s="26" t="s">
        <v>158</v>
      </c>
      <c r="D6" s="15"/>
      <c r="E6" s="15"/>
      <c r="F6" s="16"/>
      <c r="G6" s="21"/>
      <c r="H6" s="17"/>
      <c r="I6" s="18"/>
      <c r="J6" s="18"/>
      <c r="K6" s="18"/>
      <c r="L6" s="18"/>
      <c r="M6" s="16"/>
    </row>
    <row r="7" spans="3:14" ht="110.4">
      <c r="C7" s="75" t="s">
        <v>31</v>
      </c>
      <c r="D7" s="76" t="s">
        <v>32</v>
      </c>
      <c r="E7" s="76" t="s">
        <v>33</v>
      </c>
      <c r="F7" s="76" t="s">
        <v>34</v>
      </c>
      <c r="G7" s="76" t="s">
        <v>76</v>
      </c>
      <c r="H7" s="76" t="s">
        <v>286</v>
      </c>
      <c r="I7" s="76" t="s">
        <v>393</v>
      </c>
      <c r="J7" s="76" t="s">
        <v>114</v>
      </c>
      <c r="K7" s="76" t="s">
        <v>113</v>
      </c>
      <c r="L7" s="76" t="s">
        <v>544</v>
      </c>
      <c r="M7" s="76" t="s">
        <v>392</v>
      </c>
      <c r="N7" s="76" t="s">
        <v>146</v>
      </c>
    </row>
    <row r="8" spans="3:14" s="77" customFormat="1" ht="13.8">
      <c r="C8" s="77" t="s">
        <v>41</v>
      </c>
      <c r="D8" s="77" t="str">
        <f t="shared" ref="D8:D12" si="0">Selected_Tariff_Category</f>
        <v>Non-Local Authority</v>
      </c>
      <c r="F8" s="77" t="str">
        <f t="shared" ref="F8:F13" ca="1" si="1">Selected_Supply_Voltage</f>
        <v>&lt; 500V</v>
      </c>
      <c r="G8" s="77" t="str">
        <f t="shared" ref="G8:G13" ca="1" si="2">C8&amp;"_"&amp;D8&amp;"_"&amp;F8</f>
        <v>Megaflex_Non-Local Authority_&lt; 500V</v>
      </c>
      <c r="I8" s="107">
        <f t="shared" ref="I8:N16" ca="1" si="3">INDEX(I$23:I$85,MATCH($G8,$G$23:$G$85,0))</f>
        <v>39.22</v>
      </c>
      <c r="J8" s="107">
        <f t="shared" ca="1" si="3"/>
        <v>48.41</v>
      </c>
      <c r="K8" s="107">
        <f t="shared" ca="1" si="3"/>
        <v>0</v>
      </c>
      <c r="L8" s="107" t="str">
        <f t="shared" ca="1" si="3"/>
        <v>n/a</v>
      </c>
      <c r="M8" s="107">
        <f t="shared" ca="1" si="3"/>
        <v>0.41</v>
      </c>
      <c r="N8" s="107">
        <f t="shared" ca="1" si="3"/>
        <v>0</v>
      </c>
    </row>
    <row r="9" spans="3:14" s="77" customFormat="1" ht="13.8">
      <c r="C9" s="77" t="s">
        <v>42</v>
      </c>
      <c r="D9" s="77" t="str">
        <f t="shared" si="0"/>
        <v>Non-Local Authority</v>
      </c>
      <c r="F9" s="77" t="str">
        <f t="shared" ca="1" si="1"/>
        <v>&lt; 500V</v>
      </c>
      <c r="G9" s="77" t="str">
        <f t="shared" ca="1" si="2"/>
        <v>Miniflex_Non-Local Authority_&lt; 500V</v>
      </c>
      <c r="I9" s="107">
        <f t="shared" ca="1" si="3"/>
        <v>0</v>
      </c>
      <c r="J9" s="107">
        <f t="shared" ca="1" si="3"/>
        <v>0</v>
      </c>
      <c r="K9" s="107">
        <f t="shared" ca="1" si="3"/>
        <v>29.7</v>
      </c>
      <c r="L9" s="107" t="str">
        <f t="shared" ca="1" si="3"/>
        <v>n/a</v>
      </c>
      <c r="M9" s="107">
        <f t="shared" ca="1" si="3"/>
        <v>0.41</v>
      </c>
      <c r="N9" s="107">
        <f t="shared" ca="1" si="3"/>
        <v>0</v>
      </c>
    </row>
    <row r="10" spans="3:14" s="77" customFormat="1" ht="13.8">
      <c r="C10" s="77" t="s">
        <v>46</v>
      </c>
      <c r="D10" s="77" t="str">
        <f t="shared" si="0"/>
        <v>Non-Local Authority</v>
      </c>
      <c r="F10" s="77" t="str">
        <f t="shared" ca="1" si="1"/>
        <v>&lt; 500V</v>
      </c>
      <c r="G10" s="77" t="str">
        <f t="shared" ca="1" si="2"/>
        <v>Ruraflex_Non-Local Authority_&lt; 500V</v>
      </c>
      <c r="I10" s="107">
        <f t="shared" ca="1" si="3"/>
        <v>0</v>
      </c>
      <c r="J10" s="107">
        <f t="shared" ca="1" si="3"/>
        <v>0</v>
      </c>
      <c r="K10" s="107">
        <f t="shared" ca="1" si="3"/>
        <v>48.32</v>
      </c>
      <c r="L10" s="107" t="str">
        <f t="shared" ca="1" si="3"/>
        <v>n/a</v>
      </c>
      <c r="M10" s="107">
        <f t="shared" ca="1" si="3"/>
        <v>0.41</v>
      </c>
      <c r="N10" s="107">
        <f t="shared" ca="1" si="3"/>
        <v>0</v>
      </c>
    </row>
    <row r="11" spans="3:14" s="77" customFormat="1" ht="13.8">
      <c r="C11" s="77" t="s">
        <v>45</v>
      </c>
      <c r="D11" s="77" t="str">
        <f t="shared" si="0"/>
        <v>Non-Local Authority</v>
      </c>
      <c r="F11" s="77" t="str">
        <f t="shared" ca="1" si="1"/>
        <v>&lt; 500V</v>
      </c>
      <c r="G11" s="77" t="str">
        <f t="shared" ca="1" si="2"/>
        <v>Nightsave Small_Non-Local Authority_&lt; 500V</v>
      </c>
      <c r="I11" s="107">
        <f t="shared" ca="1" si="3"/>
        <v>39.22</v>
      </c>
      <c r="J11" s="107">
        <f t="shared" ca="1" si="3"/>
        <v>48.41</v>
      </c>
      <c r="K11" s="107">
        <f t="shared" ca="1" si="3"/>
        <v>0</v>
      </c>
      <c r="L11" s="107" t="str">
        <f t="shared" ca="1" si="3"/>
        <v>n/a</v>
      </c>
      <c r="M11" s="107">
        <f t="shared" ca="1" si="3"/>
        <v>0.41</v>
      </c>
      <c r="N11" s="107">
        <f t="shared" ca="1" si="3"/>
        <v>0</v>
      </c>
    </row>
    <row r="12" spans="3:14" s="77" customFormat="1" ht="13.8">
      <c r="C12" s="77" t="s">
        <v>624</v>
      </c>
      <c r="D12" s="77" t="str">
        <f t="shared" si="0"/>
        <v>Non-Local Authority</v>
      </c>
      <c r="F12" s="77" t="str">
        <f t="shared" ca="1" si="1"/>
        <v>&lt; 500V</v>
      </c>
      <c r="G12" s="77" t="str">
        <f t="shared" ca="1" si="2"/>
        <v>Nightsave Urban_Non-Local Authority_&lt; 500V</v>
      </c>
      <c r="I12" s="107">
        <f t="shared" ca="1" si="3"/>
        <v>39.22</v>
      </c>
      <c r="J12" s="107">
        <f t="shared" ca="1" si="3"/>
        <v>48.41</v>
      </c>
      <c r="K12" s="107">
        <f t="shared" ca="1" si="3"/>
        <v>0</v>
      </c>
      <c r="L12" s="107" t="str">
        <f t="shared" ca="1" si="3"/>
        <v>n/a</v>
      </c>
      <c r="M12" s="107">
        <f t="shared" ca="1" si="3"/>
        <v>0.41</v>
      </c>
      <c r="N12" s="107">
        <f t="shared" ca="1" si="3"/>
        <v>0</v>
      </c>
    </row>
    <row r="13" spans="3:14" s="77" customFormat="1" ht="13.8">
      <c r="C13" s="77" t="s">
        <v>44</v>
      </c>
      <c r="D13" s="77" t="str">
        <f>Selected_Tariff_Category</f>
        <v>Non-Local Authority</v>
      </c>
      <c r="F13" s="77" t="str">
        <f t="shared" ca="1" si="1"/>
        <v>&lt; 500V</v>
      </c>
      <c r="G13" s="77" t="str">
        <f t="shared" ca="1" si="2"/>
        <v>Nightsave Rural_Non-Local Authority_&lt; 500V</v>
      </c>
      <c r="I13" s="107">
        <f t="shared" ca="1" si="3"/>
        <v>0</v>
      </c>
      <c r="J13" s="107">
        <f t="shared" ca="1" si="3"/>
        <v>0</v>
      </c>
      <c r="K13" s="107">
        <f t="shared" ca="1" si="3"/>
        <v>48.32</v>
      </c>
      <c r="L13" s="107" t="str">
        <f t="shared" ca="1" si="3"/>
        <v>n/a</v>
      </c>
      <c r="M13" s="107">
        <f t="shared" ca="1" si="3"/>
        <v>0.41</v>
      </c>
      <c r="N13" s="107">
        <f t="shared" ca="1" si="3"/>
        <v>0</v>
      </c>
    </row>
    <row r="14" spans="3:14" ht="13.8">
      <c r="C14" s="77" t="s">
        <v>465</v>
      </c>
      <c r="D14" s="77" t="str">
        <f>Selected_Tariff_Category</f>
        <v>Non-Local Authority</v>
      </c>
      <c r="E14" s="77"/>
      <c r="F14" s="77" t="str">
        <f ca="1">Selected_Supply_Voltage</f>
        <v>&lt; 500V</v>
      </c>
      <c r="G14" s="77" t="str">
        <f ca="1">C14&amp;"_"&amp;D14&amp;"_"&amp;F14</f>
        <v>Municflex_Non-Local Authority_&lt; 500V</v>
      </c>
      <c r="H14" s="77"/>
      <c r="I14" s="107" t="e">
        <f t="shared" ca="1" si="3"/>
        <v>#N/A</v>
      </c>
      <c r="J14" s="107" t="e">
        <f t="shared" ca="1" si="3"/>
        <v>#N/A</v>
      </c>
      <c r="K14" s="107" t="e">
        <f t="shared" ca="1" si="3"/>
        <v>#N/A</v>
      </c>
      <c r="L14" s="107" t="e">
        <f t="shared" ca="1" si="3"/>
        <v>#N/A</v>
      </c>
      <c r="M14" s="107" t="e">
        <f t="shared" ca="1" si="3"/>
        <v>#N/A</v>
      </c>
      <c r="N14" s="107" t="e">
        <f t="shared" ca="1" si="3"/>
        <v>#N/A</v>
      </c>
    </row>
    <row r="15" spans="3:14" ht="13.8">
      <c r="C15" s="289" t="s">
        <v>583</v>
      </c>
      <c r="D15" s="289" t="str">
        <f>Selected_Tariff_Category</f>
        <v>Non-Local Authority</v>
      </c>
      <c r="E15" s="289"/>
      <c r="F15" s="289" t="str">
        <f ca="1">Selected_Supply_Voltage</f>
        <v>&lt; 500V</v>
      </c>
      <c r="G15" s="289" t="str">
        <f ca="1">C15&amp;"_"&amp;D15&amp;"_"&amp;F15</f>
        <v>Transflex 1_Non-Local Authority_&lt; 500V</v>
      </c>
      <c r="H15" s="289"/>
      <c r="I15" s="282">
        <f t="shared" ca="1" si="3"/>
        <v>0</v>
      </c>
      <c r="J15" s="282">
        <f t="shared" ca="1" si="3"/>
        <v>0</v>
      </c>
      <c r="K15" s="282">
        <f t="shared" ca="1" si="3"/>
        <v>0</v>
      </c>
      <c r="L15" s="107" t="str">
        <f t="shared" ca="1" si="3"/>
        <v>n/a</v>
      </c>
      <c r="M15" s="282">
        <f t="shared" ca="1" si="3"/>
        <v>0.41</v>
      </c>
      <c r="N15" s="282">
        <f t="shared" ca="1" si="3"/>
        <v>0</v>
      </c>
    </row>
    <row r="16" spans="3:14" ht="13.8">
      <c r="C16" s="289" t="s">
        <v>584</v>
      </c>
      <c r="D16" s="289" t="str">
        <f>Selected_Tariff_Category</f>
        <v>Non-Local Authority</v>
      </c>
      <c r="E16" s="289"/>
      <c r="F16" s="289" t="str">
        <f ca="1">Selected_Supply_Voltage</f>
        <v>&lt; 500V</v>
      </c>
      <c r="G16" s="289" t="str">
        <f ca="1">C16&amp;"_"&amp;D16&amp;"_"&amp;F16</f>
        <v>Transflex 2_Non-Local Authority_&lt; 500V</v>
      </c>
      <c r="H16" s="289"/>
      <c r="I16" s="282">
        <f t="shared" ca="1" si="3"/>
        <v>0</v>
      </c>
      <c r="J16" s="282">
        <f t="shared" ca="1" si="3"/>
        <v>0</v>
      </c>
      <c r="K16" s="282">
        <f t="shared" ca="1" si="3"/>
        <v>0</v>
      </c>
      <c r="L16" s="107" t="str">
        <f t="shared" ca="1" si="3"/>
        <v>n/a</v>
      </c>
      <c r="M16" s="282">
        <f t="shared" ca="1" si="3"/>
        <v>0.41</v>
      </c>
      <c r="N16" s="282">
        <f t="shared" ca="1" si="3"/>
        <v>0</v>
      </c>
    </row>
    <row r="17" spans="2:14" ht="13.8">
      <c r="C17" s="77"/>
      <c r="D17" s="77"/>
      <c r="E17" s="77"/>
      <c r="F17" s="77"/>
      <c r="G17" s="77"/>
      <c r="H17" s="77"/>
      <c r="I17" s="107"/>
      <c r="J17" s="107"/>
      <c r="K17" s="107"/>
      <c r="L17" s="107"/>
      <c r="M17" s="107"/>
      <c r="N17" s="107"/>
    </row>
    <row r="18" spans="2:14" ht="13.8">
      <c r="C18" s="77"/>
      <c r="D18" s="77"/>
      <c r="E18" s="77"/>
      <c r="F18" s="77"/>
      <c r="G18" s="77"/>
      <c r="H18" s="77"/>
      <c r="I18" s="113" t="s">
        <v>303</v>
      </c>
      <c r="J18" s="77"/>
      <c r="K18" s="77"/>
      <c r="L18" s="77"/>
      <c r="M18" s="77"/>
      <c r="N18" s="77"/>
    </row>
    <row r="19" spans="2:14" ht="13.8">
      <c r="C19" s="77"/>
      <c r="D19" s="77"/>
      <c r="E19" s="77"/>
      <c r="F19" s="77"/>
      <c r="G19" s="77"/>
      <c r="H19" s="77"/>
      <c r="I19" s="113" t="s">
        <v>285</v>
      </c>
      <c r="J19" s="113" t="s">
        <v>287</v>
      </c>
      <c r="K19" s="113" t="s">
        <v>293</v>
      </c>
      <c r="L19" s="113" t="s">
        <v>293</v>
      </c>
      <c r="M19" s="113" t="s">
        <v>294</v>
      </c>
      <c r="N19" s="113" t="s">
        <v>295</v>
      </c>
    </row>
    <row r="20" spans="2:14" ht="41.4">
      <c r="C20" s="109" t="s">
        <v>31</v>
      </c>
      <c r="D20" s="110" t="s">
        <v>32</v>
      </c>
      <c r="E20" s="110" t="s">
        <v>33</v>
      </c>
      <c r="F20" s="110" t="s">
        <v>34</v>
      </c>
      <c r="G20" s="110" t="s">
        <v>76</v>
      </c>
      <c r="H20" s="110" t="s">
        <v>247</v>
      </c>
      <c r="I20" s="235" t="s">
        <v>448</v>
      </c>
      <c r="J20" s="110" t="s">
        <v>105</v>
      </c>
      <c r="K20" s="110" t="s">
        <v>105</v>
      </c>
      <c r="L20" s="110" t="s">
        <v>105</v>
      </c>
      <c r="M20" s="110" t="s">
        <v>139</v>
      </c>
      <c r="N20" s="110" t="s">
        <v>144</v>
      </c>
    </row>
    <row r="21" spans="2:14" ht="13.8">
      <c r="C21" s="75"/>
      <c r="D21" s="76"/>
      <c r="E21" s="76"/>
      <c r="F21" s="76"/>
      <c r="G21" s="76"/>
      <c r="H21" s="76"/>
      <c r="I21" s="76" t="s">
        <v>108</v>
      </c>
      <c r="J21" s="76" t="s">
        <v>108</v>
      </c>
      <c r="K21" s="76" t="s">
        <v>106</v>
      </c>
      <c r="L21" s="76" t="s">
        <v>106</v>
      </c>
      <c r="M21" s="76" t="s">
        <v>106</v>
      </c>
      <c r="N21" s="76" t="s">
        <v>108</v>
      </c>
    </row>
    <row r="22" spans="2:14" ht="27.6">
      <c r="C22" s="111"/>
      <c r="D22" s="112"/>
      <c r="E22" s="112"/>
      <c r="F22" s="112"/>
      <c r="G22" s="112"/>
      <c r="H22" s="112"/>
      <c r="I22" s="236" t="s">
        <v>447</v>
      </c>
      <c r="J22" s="112" t="s">
        <v>287</v>
      </c>
      <c r="K22" s="112" t="s">
        <v>293</v>
      </c>
      <c r="L22" s="112" t="s">
        <v>293</v>
      </c>
      <c r="M22" s="112" t="s">
        <v>294</v>
      </c>
      <c r="N22" s="112" t="s">
        <v>295</v>
      </c>
    </row>
    <row r="23" spans="2:14" ht="13.8">
      <c r="C23" s="77" t="s">
        <v>41</v>
      </c>
      <c r="D23" s="77" t="s">
        <v>72</v>
      </c>
      <c r="E23" s="77"/>
      <c r="F23" s="77" t="s">
        <v>62</v>
      </c>
      <c r="G23" s="77" t="str">
        <f t="shared" ref="G23:G30" si="4">C23&amp;"_"&amp;D23&amp;"_"&amp;F23</f>
        <v>Megaflex_Non-Local Authority_&lt; 500V</v>
      </c>
      <c r="H23" s="77" t="str">
        <f t="shared" ref="H23:H30" si="5">INDEX(Matrix_Tariff_Map,MATCH(C23,Matrix_Model_Tariffs,0),2)&amp;IFERROR(INDEX(Matrix_Transmission_Map,MATCH(E23,Matrix_Model_Transmission,0),2),0)&amp;INDEX(Matrix_Voltage_Map,MATCH(F23,Matrix_Model_Voltage,0),2)&amp;INDEX(Matrix_Category_Map,MATCH(D23,Matrix_Model_Category,0),2)</f>
        <v>Me01N</v>
      </c>
      <c r="I23" s="106">
        <v>39.22</v>
      </c>
      <c r="J23" s="106">
        <v>48.41</v>
      </c>
      <c r="K23" s="106">
        <v>0</v>
      </c>
      <c r="L23" s="106" t="s">
        <v>118</v>
      </c>
      <c r="M23" s="106">
        <v>0.41</v>
      </c>
      <c r="N23" s="106">
        <v>0</v>
      </c>
    </row>
    <row r="24" spans="2:14" ht="13.8">
      <c r="C24" s="77" t="str">
        <f>C23</f>
        <v>Megaflex</v>
      </c>
      <c r="D24" s="77" t="s">
        <v>72</v>
      </c>
      <c r="E24" s="77"/>
      <c r="F24" s="77" t="s">
        <v>63</v>
      </c>
      <c r="G24" s="77" t="str">
        <f t="shared" si="4"/>
        <v>Megaflex_Non-Local Authority_≥ 500V &amp; &lt; 66kV</v>
      </c>
      <c r="H24" s="77" t="str">
        <f t="shared" si="5"/>
        <v>Me02N</v>
      </c>
      <c r="I24" s="106">
        <v>35.979999999999997</v>
      </c>
      <c r="J24" s="106">
        <v>24.17</v>
      </c>
      <c r="K24" s="106">
        <v>0</v>
      </c>
      <c r="L24" s="106" t="s">
        <v>118</v>
      </c>
      <c r="M24" s="106">
        <v>0.39</v>
      </c>
      <c r="N24" s="106">
        <v>0</v>
      </c>
    </row>
    <row r="25" spans="2:14" ht="13.8">
      <c r="C25" s="77" t="str">
        <f t="shared" ref="C25:C30" si="6">C24</f>
        <v>Megaflex</v>
      </c>
      <c r="D25" s="77" t="s">
        <v>72</v>
      </c>
      <c r="E25" s="77"/>
      <c r="F25" s="77" t="s">
        <v>64</v>
      </c>
      <c r="G25" s="77" t="str">
        <f t="shared" si="4"/>
        <v>Megaflex_Non-Local Authority_≥ 66kV &amp; ≤ 132kV</v>
      </c>
      <c r="H25" s="77" t="str">
        <f t="shared" si="5"/>
        <v>Me03N</v>
      </c>
      <c r="I25" s="106">
        <v>13.02</v>
      </c>
      <c r="J25" s="106">
        <v>9.5299999999999994</v>
      </c>
      <c r="K25" s="106">
        <v>0</v>
      </c>
      <c r="L25" s="106" t="s">
        <v>118</v>
      </c>
      <c r="M25" s="106">
        <v>0.36</v>
      </c>
      <c r="N25" s="106">
        <v>10.199999999999999</v>
      </c>
    </row>
    <row r="26" spans="2:14" ht="13.8">
      <c r="B26" s="77" t="s">
        <v>465</v>
      </c>
      <c r="C26" s="77" t="str">
        <f t="shared" si="6"/>
        <v>Megaflex</v>
      </c>
      <c r="D26" s="77" t="s">
        <v>72</v>
      </c>
      <c r="E26" s="77"/>
      <c r="F26" s="77" t="s">
        <v>65</v>
      </c>
      <c r="G26" s="77" t="str">
        <f t="shared" si="4"/>
        <v>Megaflex_Non-Local Authority_&gt; 132kV</v>
      </c>
      <c r="H26" s="77" t="str">
        <f t="shared" si="5"/>
        <v>Me04N</v>
      </c>
      <c r="I26" s="106">
        <v>0</v>
      </c>
      <c r="J26" s="106">
        <v>0</v>
      </c>
      <c r="K26" s="106">
        <v>0</v>
      </c>
      <c r="L26" s="106" t="s">
        <v>118</v>
      </c>
      <c r="M26" s="106">
        <v>0.34</v>
      </c>
      <c r="N26" s="106">
        <v>10.199999999999999</v>
      </c>
    </row>
    <row r="27" spans="2:14" ht="13.8">
      <c r="B27" s="77" t="s">
        <v>465</v>
      </c>
      <c r="C27" s="77" t="s">
        <v>465</v>
      </c>
      <c r="D27" s="77" t="s">
        <v>71</v>
      </c>
      <c r="E27" s="77"/>
      <c r="F27" s="77" t="str">
        <f>F23</f>
        <v>&lt; 500V</v>
      </c>
      <c r="G27" s="77" t="str">
        <f t="shared" si="4"/>
        <v>Municflex_Local Authority_&lt; 500V</v>
      </c>
      <c r="H27" s="77" t="str">
        <f t="shared" si="5"/>
        <v>Mf01Y</v>
      </c>
      <c r="I27" s="106">
        <v>40.35</v>
      </c>
      <c r="J27" s="106">
        <v>49.15</v>
      </c>
      <c r="K27" s="106">
        <v>0</v>
      </c>
      <c r="L27" s="106" t="s">
        <v>118</v>
      </c>
      <c r="M27" s="106">
        <v>0.41</v>
      </c>
      <c r="N27" s="106">
        <v>0</v>
      </c>
    </row>
    <row r="28" spans="2:14" ht="13.8">
      <c r="B28" s="77" t="s">
        <v>465</v>
      </c>
      <c r="C28" s="77" t="str">
        <f t="shared" si="6"/>
        <v>Municflex</v>
      </c>
      <c r="D28" s="77" t="s">
        <v>71</v>
      </c>
      <c r="E28" s="77"/>
      <c r="F28" s="77" t="str">
        <f>F24</f>
        <v>≥ 500V &amp; &lt; 66kV</v>
      </c>
      <c r="G28" s="77" t="str">
        <f t="shared" si="4"/>
        <v>Municflex_Local Authority_≥ 500V &amp; &lt; 66kV</v>
      </c>
      <c r="H28" s="77" t="str">
        <f t="shared" si="5"/>
        <v>Mf02Y</v>
      </c>
      <c r="I28" s="106">
        <v>36.97</v>
      </c>
      <c r="J28" s="106">
        <v>24.67</v>
      </c>
      <c r="K28" s="106">
        <v>0</v>
      </c>
      <c r="L28" s="106" t="s">
        <v>118</v>
      </c>
      <c r="M28" s="106">
        <v>0.4</v>
      </c>
      <c r="N28" s="106">
        <v>0</v>
      </c>
    </row>
    <row r="29" spans="2:14" ht="13.8">
      <c r="B29" s="77" t="s">
        <v>465</v>
      </c>
      <c r="C29" s="77" t="str">
        <f t="shared" si="6"/>
        <v>Municflex</v>
      </c>
      <c r="D29" s="77" t="s">
        <v>71</v>
      </c>
      <c r="E29" s="77"/>
      <c r="F29" s="77" t="str">
        <f>F25</f>
        <v>≥ 66kV &amp; ≤ 132kV</v>
      </c>
      <c r="G29" s="77" t="str">
        <f t="shared" si="4"/>
        <v>Municflex_Local Authority_≥ 66kV &amp; ≤ 132kV</v>
      </c>
      <c r="H29" s="77" t="str">
        <f t="shared" si="5"/>
        <v>Mf03Y</v>
      </c>
      <c r="I29" s="106">
        <v>16.239999999999998</v>
      </c>
      <c r="J29" s="106">
        <v>9.6</v>
      </c>
      <c r="K29" s="106">
        <v>0</v>
      </c>
      <c r="L29" s="106" t="s">
        <v>118</v>
      </c>
      <c r="M29" s="106">
        <v>0.37</v>
      </c>
      <c r="N29" s="106">
        <v>2.23</v>
      </c>
    </row>
    <row r="30" spans="2:14" ht="13.8">
      <c r="C30" s="77" t="str">
        <f t="shared" si="6"/>
        <v>Municflex</v>
      </c>
      <c r="D30" s="77" t="s">
        <v>71</v>
      </c>
      <c r="E30" s="77"/>
      <c r="F30" s="77" t="str">
        <f>F26</f>
        <v>&gt; 132kV</v>
      </c>
      <c r="G30" s="77" t="str">
        <f t="shared" si="4"/>
        <v>Municflex_Local Authority_&gt; 132kV</v>
      </c>
      <c r="H30" s="77" t="str">
        <f t="shared" si="5"/>
        <v>Mf04Y</v>
      </c>
      <c r="I30" s="106">
        <v>0</v>
      </c>
      <c r="J30" s="106">
        <v>0</v>
      </c>
      <c r="K30" s="106">
        <v>0</v>
      </c>
      <c r="L30" s="106" t="s">
        <v>118</v>
      </c>
      <c r="M30" s="106">
        <v>0.35</v>
      </c>
      <c r="N30" s="106">
        <v>2.23</v>
      </c>
    </row>
    <row r="31" spans="2:14" ht="13.8"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</row>
    <row r="32" spans="2:14" ht="13.8">
      <c r="C32" s="77" t="s">
        <v>42</v>
      </c>
      <c r="D32" s="77" t="s">
        <v>72</v>
      </c>
      <c r="E32" s="77"/>
      <c r="F32" s="77" t="s">
        <v>62</v>
      </c>
      <c r="G32" s="77" t="str">
        <f t="shared" ref="G32:G39" si="7">C32&amp;"_"&amp;D32&amp;"_"&amp;F32</f>
        <v>Miniflex_Non-Local Authority_&lt; 500V</v>
      </c>
      <c r="H32" s="77" t="str">
        <f t="shared" ref="H32:H39" si="8">INDEX(Matrix_Tariff_Map,MATCH(C32,Matrix_Model_Tariffs,0),2)&amp;IFERROR(INDEX(Matrix_Transmission_Map,MATCH(E32,Matrix_Model_Transmission,0),2),0)&amp;INDEX(Matrix_Voltage_Map,MATCH(F32,Matrix_Model_Voltage,0),2)&amp;INDEX(Matrix_Category_Map,MATCH(D32,Matrix_Model_Category,0),2)</f>
        <v>Mi01N</v>
      </c>
      <c r="I32" s="106">
        <v>0</v>
      </c>
      <c r="J32" s="106">
        <v>0</v>
      </c>
      <c r="K32" s="106">
        <v>29.7</v>
      </c>
      <c r="L32" s="106" t="s">
        <v>118</v>
      </c>
      <c r="M32" s="106">
        <v>0.41</v>
      </c>
      <c r="N32" s="106">
        <v>0</v>
      </c>
    </row>
    <row r="33" spans="2:14" ht="13.8">
      <c r="C33" s="77" t="str">
        <f>C32</f>
        <v>Miniflex</v>
      </c>
      <c r="D33" s="77" t="s">
        <v>72</v>
      </c>
      <c r="E33" s="77"/>
      <c r="F33" s="77" t="s">
        <v>63</v>
      </c>
      <c r="G33" s="77" t="str">
        <f t="shared" si="7"/>
        <v>Miniflex_Non-Local Authority_≥ 500V &amp; &lt; 66kV</v>
      </c>
      <c r="H33" s="77" t="str">
        <f t="shared" si="8"/>
        <v>Mi02N</v>
      </c>
      <c r="I33" s="106">
        <v>0</v>
      </c>
      <c r="J33" s="106">
        <v>0</v>
      </c>
      <c r="K33" s="106">
        <v>9.61</v>
      </c>
      <c r="L33" s="106" t="s">
        <v>118</v>
      </c>
      <c r="M33" s="106">
        <v>0.39</v>
      </c>
      <c r="N33" s="106">
        <v>0</v>
      </c>
    </row>
    <row r="34" spans="2:14" ht="13.8">
      <c r="C34" s="77" t="str">
        <f t="shared" ref="C34:C39" si="9">C33</f>
        <v>Miniflex</v>
      </c>
      <c r="D34" s="77" t="s">
        <v>72</v>
      </c>
      <c r="E34" s="77"/>
      <c r="F34" s="77" t="s">
        <v>64</v>
      </c>
      <c r="G34" s="77" t="str">
        <f t="shared" si="7"/>
        <v>Miniflex_Non-Local Authority_≥ 66kV &amp; ≤ 132kV</v>
      </c>
      <c r="H34" s="77" t="str">
        <f t="shared" si="8"/>
        <v>Mi03N</v>
      </c>
      <c r="I34" s="106">
        <v>0</v>
      </c>
      <c r="J34" s="106">
        <v>0</v>
      </c>
      <c r="K34" s="106">
        <v>9.39</v>
      </c>
      <c r="L34" s="106" t="s">
        <v>118</v>
      </c>
      <c r="M34" s="106">
        <v>0.36</v>
      </c>
      <c r="N34" s="106">
        <v>10.199999999999999</v>
      </c>
    </row>
    <row r="35" spans="2:14" ht="13.8">
      <c r="B35" s="77" t="s">
        <v>465</v>
      </c>
      <c r="C35" s="77" t="str">
        <f t="shared" si="9"/>
        <v>Miniflex</v>
      </c>
      <c r="D35" s="77" t="s">
        <v>72</v>
      </c>
      <c r="E35" s="77"/>
      <c r="F35" s="77" t="s">
        <v>65</v>
      </c>
      <c r="G35" s="77" t="str">
        <f t="shared" si="7"/>
        <v>Miniflex_Non-Local Authority_&gt; 132kV</v>
      </c>
      <c r="H35" s="77" t="str">
        <f t="shared" si="8"/>
        <v>Mi04N</v>
      </c>
      <c r="I35" s="106">
        <v>0</v>
      </c>
      <c r="J35" s="106">
        <v>0</v>
      </c>
      <c r="K35" s="106">
        <v>0</v>
      </c>
      <c r="L35" s="106" t="s">
        <v>118</v>
      </c>
      <c r="M35" s="106">
        <v>0.34</v>
      </c>
      <c r="N35" s="106">
        <v>10.199999999999999</v>
      </c>
    </row>
    <row r="36" spans="2:14" ht="13.8">
      <c r="B36" s="77" t="s">
        <v>465</v>
      </c>
      <c r="C36" s="77" t="str">
        <f>C35</f>
        <v>Miniflex</v>
      </c>
      <c r="D36" s="77" t="s">
        <v>71</v>
      </c>
      <c r="E36" s="77"/>
      <c r="F36" s="77" t="str">
        <f>F32</f>
        <v>&lt; 500V</v>
      </c>
      <c r="G36" s="77" t="str">
        <f t="shared" si="7"/>
        <v>Miniflex_Local Authority_&lt; 500V</v>
      </c>
      <c r="H36" s="77" t="str">
        <f t="shared" si="8"/>
        <v>Mi01Y</v>
      </c>
      <c r="I36" s="106">
        <v>0</v>
      </c>
      <c r="J36" s="106">
        <v>49.15</v>
      </c>
      <c r="K36" s="106">
        <v>0</v>
      </c>
      <c r="L36" s="106" t="s">
        <v>118</v>
      </c>
      <c r="M36" s="106">
        <v>0.41</v>
      </c>
      <c r="N36" s="106">
        <v>0</v>
      </c>
    </row>
    <row r="37" spans="2:14" ht="13.8">
      <c r="B37" s="77" t="s">
        <v>465</v>
      </c>
      <c r="C37" s="77" t="str">
        <f t="shared" si="9"/>
        <v>Miniflex</v>
      </c>
      <c r="D37" s="77" t="s">
        <v>71</v>
      </c>
      <c r="E37" s="77"/>
      <c r="F37" s="77" t="str">
        <f>F33</f>
        <v>≥ 500V &amp; &lt; 66kV</v>
      </c>
      <c r="G37" s="77" t="str">
        <f t="shared" si="7"/>
        <v>Miniflex_Local Authority_≥ 500V &amp; &lt; 66kV</v>
      </c>
      <c r="H37" s="77" t="str">
        <f t="shared" si="8"/>
        <v>Mi02Y</v>
      </c>
      <c r="I37" s="106">
        <v>0</v>
      </c>
      <c r="J37" s="106">
        <v>24.67</v>
      </c>
      <c r="K37" s="106">
        <v>0</v>
      </c>
      <c r="L37" s="106" t="s">
        <v>118</v>
      </c>
      <c r="M37" s="106">
        <v>0.4</v>
      </c>
      <c r="N37" s="106">
        <v>0</v>
      </c>
    </row>
    <row r="38" spans="2:14" ht="13.8">
      <c r="B38" s="77" t="s">
        <v>465</v>
      </c>
      <c r="C38" s="77" t="str">
        <f t="shared" si="9"/>
        <v>Miniflex</v>
      </c>
      <c r="D38" s="77" t="s">
        <v>71</v>
      </c>
      <c r="E38" s="77"/>
      <c r="F38" s="77" t="str">
        <f>F34</f>
        <v>≥ 66kV &amp; ≤ 132kV</v>
      </c>
      <c r="G38" s="77" t="str">
        <f t="shared" si="7"/>
        <v>Miniflex_Local Authority_≥ 66kV &amp; ≤ 132kV</v>
      </c>
      <c r="H38" s="77" t="str">
        <f t="shared" si="8"/>
        <v>Mi03Y</v>
      </c>
      <c r="I38" s="106">
        <v>0</v>
      </c>
      <c r="J38" s="106">
        <v>9.6</v>
      </c>
      <c r="K38" s="106">
        <v>0</v>
      </c>
      <c r="L38" s="106" t="s">
        <v>118</v>
      </c>
      <c r="M38" s="106">
        <v>0.37</v>
      </c>
      <c r="N38" s="106">
        <v>2.23</v>
      </c>
    </row>
    <row r="39" spans="2:14" ht="13.8">
      <c r="C39" s="77" t="str">
        <f t="shared" si="9"/>
        <v>Miniflex</v>
      </c>
      <c r="D39" s="77" t="s">
        <v>71</v>
      </c>
      <c r="E39" s="77"/>
      <c r="F39" s="77" t="str">
        <f>F35</f>
        <v>&gt; 132kV</v>
      </c>
      <c r="G39" s="77" t="str">
        <f t="shared" si="7"/>
        <v>Miniflex_Local Authority_&gt; 132kV</v>
      </c>
      <c r="H39" s="77" t="str">
        <f t="shared" si="8"/>
        <v>Mi04Y</v>
      </c>
      <c r="I39" s="106">
        <v>0</v>
      </c>
      <c r="J39" s="106">
        <v>0</v>
      </c>
      <c r="K39" s="106">
        <v>0</v>
      </c>
      <c r="L39" s="106" t="s">
        <v>118</v>
      </c>
      <c r="M39" s="106">
        <v>0.35</v>
      </c>
      <c r="N39" s="106">
        <v>2.23</v>
      </c>
    </row>
    <row r="40" spans="2:14" ht="13.8"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</row>
    <row r="41" spans="2:14" ht="13.8">
      <c r="C41" s="77" t="s">
        <v>46</v>
      </c>
      <c r="D41" s="77" t="s">
        <v>72</v>
      </c>
      <c r="E41" s="77"/>
      <c r="F41" s="77" t="s">
        <v>62</v>
      </c>
      <c r="G41" s="77" t="str">
        <f t="shared" ref="G41:G48" si="10">C41&amp;"_"&amp;D41&amp;"_"&amp;F41</f>
        <v>Ruraflex_Non-Local Authority_&lt; 500V</v>
      </c>
      <c r="H41" s="77" t="str">
        <f t="shared" ref="H41:H48" si="11">INDEX(Matrix_Tariff_Map,MATCH(C41,Matrix_Model_Tariffs,0),2)&amp;IFERROR(INDEX(Matrix_Transmission_Map,MATCH(E41,Matrix_Model_Transmission,0),2),0)&amp;INDEX(Matrix_Voltage_Map,MATCH(F41,Matrix_Model_Voltage,0),2)&amp;INDEX(Matrix_Category_Map,MATCH(D41,Matrix_Model_Category,0),2)</f>
        <v>Ru01N</v>
      </c>
      <c r="I41" s="106">
        <v>0</v>
      </c>
      <c r="J41" s="106">
        <v>0</v>
      </c>
      <c r="K41" s="106">
        <v>48.32</v>
      </c>
      <c r="L41" s="106" t="s">
        <v>118</v>
      </c>
      <c r="M41" s="106">
        <v>0.41</v>
      </c>
      <c r="N41" s="106">
        <v>0</v>
      </c>
    </row>
    <row r="42" spans="2:14" ht="13.8">
      <c r="C42" s="77" t="str">
        <f>C41</f>
        <v>Ruraflex</v>
      </c>
      <c r="D42" s="77" t="s">
        <v>72</v>
      </c>
      <c r="E42" s="77"/>
      <c r="F42" s="77" t="s">
        <v>63</v>
      </c>
      <c r="G42" s="77" t="str">
        <f t="shared" si="10"/>
        <v>Ruraflex_Non-Local Authority_≥ 500V &amp; &lt; 66kV</v>
      </c>
      <c r="H42" s="77" t="str">
        <f t="shared" si="11"/>
        <v>Ru02N</v>
      </c>
      <c r="I42" s="106">
        <v>0</v>
      </c>
      <c r="J42" s="106">
        <v>0</v>
      </c>
      <c r="K42" s="106">
        <v>41.89</v>
      </c>
      <c r="L42" s="106" t="s">
        <v>118</v>
      </c>
      <c r="M42" s="106">
        <v>0.41</v>
      </c>
      <c r="N42" s="106">
        <v>0</v>
      </c>
    </row>
    <row r="43" spans="2:14" ht="13.8">
      <c r="C43" s="77" t="str">
        <f>C42</f>
        <v>Ruraflex</v>
      </c>
      <c r="D43" s="77" t="s">
        <v>72</v>
      </c>
      <c r="E43" s="77"/>
      <c r="F43" s="77" t="s">
        <v>64</v>
      </c>
      <c r="G43" s="77" t="str">
        <f t="shared" si="10"/>
        <v>Ruraflex_Non-Local Authority_≥ 66kV &amp; ≤ 132kV</v>
      </c>
      <c r="H43" s="77" t="str">
        <f t="shared" si="11"/>
        <v>Ru03N</v>
      </c>
      <c r="I43" s="106">
        <v>0</v>
      </c>
      <c r="J43" s="106">
        <v>0</v>
      </c>
      <c r="K43" s="106">
        <v>0</v>
      </c>
      <c r="L43" s="106" t="s">
        <v>118</v>
      </c>
      <c r="M43" s="106">
        <v>0</v>
      </c>
      <c r="N43" s="106">
        <v>0</v>
      </c>
    </row>
    <row r="44" spans="2:14" ht="13.8">
      <c r="B44" s="77" t="s">
        <v>465</v>
      </c>
      <c r="C44" s="77" t="str">
        <f>C43</f>
        <v>Ruraflex</v>
      </c>
      <c r="D44" s="77" t="s">
        <v>72</v>
      </c>
      <c r="E44" s="77"/>
      <c r="F44" s="77" t="s">
        <v>65</v>
      </c>
      <c r="G44" s="77" t="str">
        <f t="shared" si="10"/>
        <v>Ruraflex_Non-Local Authority_&gt; 132kV</v>
      </c>
      <c r="H44" s="77" t="str">
        <f t="shared" si="11"/>
        <v>Ru04N</v>
      </c>
      <c r="I44" s="106">
        <v>0</v>
      </c>
      <c r="J44" s="106">
        <v>0</v>
      </c>
      <c r="K44" s="106">
        <v>0</v>
      </c>
      <c r="L44" s="106" t="s">
        <v>118</v>
      </c>
      <c r="M44" s="106">
        <v>0</v>
      </c>
      <c r="N44" s="106">
        <v>0</v>
      </c>
    </row>
    <row r="45" spans="2:14" ht="13.8">
      <c r="B45" s="77" t="s">
        <v>465</v>
      </c>
      <c r="C45" s="77" t="str">
        <f>C42</f>
        <v>Ruraflex</v>
      </c>
      <c r="D45" s="77" t="s">
        <v>71</v>
      </c>
      <c r="E45" s="77"/>
      <c r="F45" s="77" t="str">
        <f>F41</f>
        <v>&lt; 500V</v>
      </c>
      <c r="G45" s="77" t="str">
        <f t="shared" si="10"/>
        <v>Ruraflex_Local Authority_&lt; 500V</v>
      </c>
      <c r="H45" s="77" t="str">
        <f t="shared" si="11"/>
        <v>Ru01Y</v>
      </c>
      <c r="I45" s="106">
        <v>0</v>
      </c>
      <c r="J45" s="106">
        <v>49.15</v>
      </c>
      <c r="K45" s="106">
        <v>0</v>
      </c>
      <c r="L45" s="106" t="s">
        <v>118</v>
      </c>
      <c r="M45" s="106">
        <v>0.41</v>
      </c>
      <c r="N45" s="106">
        <v>0</v>
      </c>
    </row>
    <row r="46" spans="2:14" ht="13.8">
      <c r="B46" s="77" t="s">
        <v>465</v>
      </c>
      <c r="C46" s="77" t="str">
        <f>C43</f>
        <v>Ruraflex</v>
      </c>
      <c r="D46" s="77" t="s">
        <v>71</v>
      </c>
      <c r="E46" s="77"/>
      <c r="F46" s="77" t="str">
        <f>F42</f>
        <v>≥ 500V &amp; &lt; 66kV</v>
      </c>
      <c r="G46" s="77" t="str">
        <f t="shared" si="10"/>
        <v>Ruraflex_Local Authority_≥ 500V &amp; &lt; 66kV</v>
      </c>
      <c r="H46" s="77" t="str">
        <f t="shared" si="11"/>
        <v>Ru02Y</v>
      </c>
      <c r="I46" s="106">
        <v>0</v>
      </c>
      <c r="J46" s="106">
        <v>24.67</v>
      </c>
      <c r="K46" s="106">
        <v>0</v>
      </c>
      <c r="L46" s="106" t="s">
        <v>118</v>
      </c>
      <c r="M46" s="106">
        <v>0.4</v>
      </c>
      <c r="N46" s="106">
        <v>0</v>
      </c>
    </row>
    <row r="47" spans="2:14" ht="13.8">
      <c r="B47" s="77" t="s">
        <v>465</v>
      </c>
      <c r="C47" s="77" t="str">
        <f>C44</f>
        <v>Ruraflex</v>
      </c>
      <c r="D47" s="77" t="s">
        <v>71</v>
      </c>
      <c r="E47" s="77"/>
      <c r="F47" s="77" t="str">
        <f>F43</f>
        <v>≥ 66kV &amp; ≤ 132kV</v>
      </c>
      <c r="G47" s="77" t="str">
        <f t="shared" si="10"/>
        <v>Ruraflex_Local Authority_≥ 66kV &amp; ≤ 132kV</v>
      </c>
      <c r="H47" s="77" t="str">
        <f t="shared" si="11"/>
        <v>Ru03Y</v>
      </c>
      <c r="I47" s="106">
        <v>0</v>
      </c>
      <c r="J47" s="106">
        <v>9.6</v>
      </c>
      <c r="K47" s="106">
        <v>0</v>
      </c>
      <c r="L47" s="106" t="s">
        <v>118</v>
      </c>
      <c r="M47" s="106">
        <v>0.37</v>
      </c>
      <c r="N47" s="106">
        <v>2.23</v>
      </c>
    </row>
    <row r="48" spans="2:14" ht="13.8">
      <c r="C48" s="77" t="str">
        <f>C45</f>
        <v>Ruraflex</v>
      </c>
      <c r="D48" s="77" t="s">
        <v>71</v>
      </c>
      <c r="E48" s="77"/>
      <c r="F48" s="77" t="str">
        <f>F44</f>
        <v>&gt; 132kV</v>
      </c>
      <c r="G48" s="77" t="str">
        <f t="shared" si="10"/>
        <v>Ruraflex_Local Authority_&gt; 132kV</v>
      </c>
      <c r="H48" s="77" t="str">
        <f t="shared" si="11"/>
        <v>Ru04Y</v>
      </c>
      <c r="I48" s="106">
        <v>0</v>
      </c>
      <c r="J48" s="106">
        <v>0</v>
      </c>
      <c r="K48" s="106">
        <v>0</v>
      </c>
      <c r="L48" s="106" t="s">
        <v>118</v>
      </c>
      <c r="M48" s="106">
        <v>0.35</v>
      </c>
      <c r="N48" s="106">
        <v>2.23</v>
      </c>
    </row>
    <row r="49" spans="2:14" ht="13.8"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</row>
    <row r="50" spans="2:14" ht="13.8">
      <c r="C50" s="77" t="s">
        <v>45</v>
      </c>
      <c r="D50" s="77" t="s">
        <v>72</v>
      </c>
      <c r="E50" s="77"/>
      <c r="F50" s="77" t="s">
        <v>62</v>
      </c>
      <c r="G50" s="77" t="str">
        <f t="shared" ref="G50:G57" si="12">C50&amp;"_"&amp;D50&amp;"_"&amp;F50</f>
        <v>Nightsave Small_Non-Local Authority_&lt; 500V</v>
      </c>
      <c r="H50" s="77" t="str">
        <f t="shared" ref="H50:H57" si="13">INDEX(Matrix_Tariff_Map,MATCH(C50,Matrix_Model_Tariffs,0),2)&amp;IFERROR(INDEX(Matrix_Transmission_Map,MATCH(E50,Matrix_Model_Transmission,0),2),0)&amp;INDEX(Matrix_Voltage_Map,MATCH(F50,Matrix_Model_Voltage,0),2)&amp;INDEX(Matrix_Category_Map,MATCH(D50,Matrix_Model_Category,0),2)</f>
        <v>NS01N</v>
      </c>
      <c r="I50" s="106">
        <v>39.22</v>
      </c>
      <c r="J50" s="106">
        <v>48.41</v>
      </c>
      <c r="K50" s="106">
        <v>0</v>
      </c>
      <c r="L50" s="106" t="s">
        <v>118</v>
      </c>
      <c r="M50" s="106">
        <v>0.41</v>
      </c>
      <c r="N50" s="106">
        <v>0</v>
      </c>
    </row>
    <row r="51" spans="2:14" ht="13.8">
      <c r="C51" s="77" t="str">
        <f>C50</f>
        <v>Nightsave Small</v>
      </c>
      <c r="D51" s="77" t="s">
        <v>72</v>
      </c>
      <c r="E51" s="77"/>
      <c r="F51" s="77" t="s">
        <v>63</v>
      </c>
      <c r="G51" s="77" t="str">
        <f t="shared" si="12"/>
        <v>Nightsave Small_Non-Local Authority_≥ 500V &amp; &lt; 66kV</v>
      </c>
      <c r="H51" s="77" t="str">
        <f t="shared" si="13"/>
        <v>NS02N</v>
      </c>
      <c r="I51" s="106">
        <v>35.979999999999997</v>
      </c>
      <c r="J51" s="106">
        <v>24.17</v>
      </c>
      <c r="K51" s="106">
        <v>0</v>
      </c>
      <c r="L51" s="106" t="s">
        <v>118</v>
      </c>
      <c r="M51" s="106">
        <v>0.39</v>
      </c>
      <c r="N51" s="106">
        <v>0</v>
      </c>
    </row>
    <row r="52" spans="2:14" ht="13.8">
      <c r="C52" s="77" t="str">
        <f t="shared" ref="C52:C57" si="14">C51</f>
        <v>Nightsave Small</v>
      </c>
      <c r="D52" s="77" t="s">
        <v>72</v>
      </c>
      <c r="E52" s="77"/>
      <c r="F52" s="77" t="s">
        <v>64</v>
      </c>
      <c r="G52" s="77" t="str">
        <f t="shared" si="12"/>
        <v>Nightsave Small_Non-Local Authority_≥ 66kV &amp; ≤ 132kV</v>
      </c>
      <c r="H52" s="77" t="str">
        <f t="shared" si="13"/>
        <v>NS03N</v>
      </c>
      <c r="I52" s="106">
        <v>13.02</v>
      </c>
      <c r="J52" s="106">
        <v>9.5299999999999994</v>
      </c>
      <c r="K52" s="106">
        <v>0</v>
      </c>
      <c r="L52" s="106" t="s">
        <v>118</v>
      </c>
      <c r="M52" s="106">
        <v>0.36</v>
      </c>
      <c r="N52" s="106">
        <v>10.199999999999999</v>
      </c>
    </row>
    <row r="53" spans="2:14" ht="13.8">
      <c r="B53" s="77" t="s">
        <v>465</v>
      </c>
      <c r="C53" s="77" t="str">
        <f t="shared" si="14"/>
        <v>Nightsave Small</v>
      </c>
      <c r="D53" s="77" t="s">
        <v>72</v>
      </c>
      <c r="E53" s="77"/>
      <c r="F53" s="77" t="s">
        <v>65</v>
      </c>
      <c r="G53" s="77" t="str">
        <f t="shared" si="12"/>
        <v>Nightsave Small_Non-Local Authority_&gt; 132kV</v>
      </c>
      <c r="H53" s="77" t="str">
        <f t="shared" si="13"/>
        <v>NS04N</v>
      </c>
      <c r="I53" s="106">
        <v>0</v>
      </c>
      <c r="J53" s="106">
        <v>0</v>
      </c>
      <c r="K53" s="106">
        <v>0</v>
      </c>
      <c r="L53" s="106" t="s">
        <v>118</v>
      </c>
      <c r="M53" s="106">
        <v>0.34</v>
      </c>
      <c r="N53" s="106">
        <v>10.199999999999999</v>
      </c>
    </row>
    <row r="54" spans="2:14" ht="13.8">
      <c r="B54" s="77" t="s">
        <v>465</v>
      </c>
      <c r="C54" s="77" t="str">
        <f>C53</f>
        <v>Nightsave Small</v>
      </c>
      <c r="D54" s="77" t="s">
        <v>71</v>
      </c>
      <c r="E54" s="77"/>
      <c r="F54" s="77" t="str">
        <f>F50</f>
        <v>&lt; 500V</v>
      </c>
      <c r="G54" s="77" t="str">
        <f t="shared" si="12"/>
        <v>Nightsave Small_Local Authority_&lt; 500V</v>
      </c>
      <c r="H54" s="77" t="str">
        <f t="shared" si="13"/>
        <v>NS01Y</v>
      </c>
      <c r="I54" s="106">
        <v>40.35</v>
      </c>
      <c r="J54" s="106">
        <v>49.15</v>
      </c>
      <c r="K54" s="106">
        <v>0</v>
      </c>
      <c r="L54" s="106" t="s">
        <v>118</v>
      </c>
      <c r="M54" s="106">
        <v>0.41</v>
      </c>
      <c r="N54" s="106">
        <v>0</v>
      </c>
    </row>
    <row r="55" spans="2:14" ht="13.8">
      <c r="B55" s="77" t="s">
        <v>465</v>
      </c>
      <c r="C55" s="77" t="str">
        <f t="shared" si="14"/>
        <v>Nightsave Small</v>
      </c>
      <c r="D55" s="77" t="s">
        <v>71</v>
      </c>
      <c r="E55" s="77"/>
      <c r="F55" s="77" t="str">
        <f>F51</f>
        <v>≥ 500V &amp; &lt; 66kV</v>
      </c>
      <c r="G55" s="77" t="str">
        <f t="shared" si="12"/>
        <v>Nightsave Small_Local Authority_≥ 500V &amp; &lt; 66kV</v>
      </c>
      <c r="H55" s="77" t="str">
        <f t="shared" si="13"/>
        <v>NS02Y</v>
      </c>
      <c r="I55" s="106">
        <v>36.97</v>
      </c>
      <c r="J55" s="106">
        <v>24.67</v>
      </c>
      <c r="K55" s="106">
        <v>0</v>
      </c>
      <c r="L55" s="106" t="s">
        <v>118</v>
      </c>
      <c r="M55" s="106">
        <v>0.4</v>
      </c>
      <c r="N55" s="106">
        <v>0</v>
      </c>
    </row>
    <row r="56" spans="2:14" ht="13.8">
      <c r="B56" s="77" t="s">
        <v>465</v>
      </c>
      <c r="C56" s="77" t="str">
        <f t="shared" si="14"/>
        <v>Nightsave Small</v>
      </c>
      <c r="D56" s="77" t="s">
        <v>71</v>
      </c>
      <c r="E56" s="77"/>
      <c r="F56" s="77" t="str">
        <f>F52</f>
        <v>≥ 66kV &amp; ≤ 132kV</v>
      </c>
      <c r="G56" s="77" t="str">
        <f t="shared" si="12"/>
        <v>Nightsave Small_Local Authority_≥ 66kV &amp; ≤ 132kV</v>
      </c>
      <c r="H56" s="77" t="str">
        <f t="shared" si="13"/>
        <v>NS03Y</v>
      </c>
      <c r="I56" s="106">
        <v>16.239999999999998</v>
      </c>
      <c r="J56" s="106">
        <v>9.6</v>
      </c>
      <c r="K56" s="106">
        <v>0</v>
      </c>
      <c r="L56" s="106" t="s">
        <v>118</v>
      </c>
      <c r="M56" s="106">
        <v>0.37</v>
      </c>
      <c r="N56" s="106">
        <v>2.23</v>
      </c>
    </row>
    <row r="57" spans="2:14" ht="13.8">
      <c r="C57" s="77" t="str">
        <f t="shared" si="14"/>
        <v>Nightsave Small</v>
      </c>
      <c r="D57" s="77" t="s">
        <v>71</v>
      </c>
      <c r="E57" s="77"/>
      <c r="F57" s="77" t="str">
        <f>F53</f>
        <v>&gt; 132kV</v>
      </c>
      <c r="G57" s="77" t="str">
        <f t="shared" si="12"/>
        <v>Nightsave Small_Local Authority_&gt; 132kV</v>
      </c>
      <c r="H57" s="77" t="str">
        <f t="shared" si="13"/>
        <v>NS04Y</v>
      </c>
      <c r="I57" s="106">
        <v>0</v>
      </c>
      <c r="J57" s="106">
        <v>0</v>
      </c>
      <c r="K57" s="106">
        <v>0</v>
      </c>
      <c r="L57" s="106" t="s">
        <v>118</v>
      </c>
      <c r="M57" s="106">
        <v>0.35</v>
      </c>
      <c r="N57" s="106">
        <v>2.23</v>
      </c>
    </row>
    <row r="58" spans="2:14" ht="13.8">
      <c r="C58" s="77"/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</row>
    <row r="59" spans="2:14" ht="13.8">
      <c r="C59" s="77" t="s">
        <v>624</v>
      </c>
      <c r="D59" s="77" t="s">
        <v>72</v>
      </c>
      <c r="E59" s="77"/>
      <c r="F59" s="77" t="s">
        <v>62</v>
      </c>
      <c r="G59" s="77" t="str">
        <f t="shared" ref="G59:G66" si="15">C59&amp;"_"&amp;D59&amp;"_"&amp;F59</f>
        <v>Nightsave Urban_Non-Local Authority_&lt; 500V</v>
      </c>
      <c r="H59" s="77" t="str">
        <f t="shared" ref="H59:H66" si="16">INDEX(Matrix_Tariff_Map,MATCH(C59,Matrix_Model_Tariffs,0),2)&amp;IFERROR(INDEX(Matrix_Transmission_Map,MATCH(E59,Matrix_Model_Transmission,0),2),0)&amp;INDEX(Matrix_Voltage_Map,MATCH(F59,Matrix_Model_Voltage,0),2)&amp;INDEX(Matrix_Category_Map,MATCH(D59,Matrix_Model_Category,0),2)</f>
        <v>NL01N</v>
      </c>
      <c r="I59" s="106">
        <v>39.22</v>
      </c>
      <c r="J59" s="106">
        <v>48.41</v>
      </c>
      <c r="K59" s="106">
        <v>0</v>
      </c>
      <c r="L59" s="106" t="s">
        <v>118</v>
      </c>
      <c r="M59" s="106">
        <v>0.41</v>
      </c>
      <c r="N59" s="106">
        <v>0</v>
      </c>
    </row>
    <row r="60" spans="2:14" ht="13.8">
      <c r="C60" s="77" t="str">
        <f>C59</f>
        <v>Nightsave Urban</v>
      </c>
      <c r="D60" s="77" t="s">
        <v>72</v>
      </c>
      <c r="E60" s="77"/>
      <c r="F60" s="77" t="s">
        <v>63</v>
      </c>
      <c r="G60" s="77" t="str">
        <f t="shared" si="15"/>
        <v>Nightsave Urban_Non-Local Authority_≥ 500V &amp; &lt; 66kV</v>
      </c>
      <c r="H60" s="77" t="str">
        <f t="shared" si="16"/>
        <v>NL02N</v>
      </c>
      <c r="I60" s="106">
        <v>35.979999999999997</v>
      </c>
      <c r="J60" s="106">
        <v>24.17</v>
      </c>
      <c r="K60" s="106">
        <v>0</v>
      </c>
      <c r="L60" s="106" t="s">
        <v>118</v>
      </c>
      <c r="M60" s="106">
        <v>0.39</v>
      </c>
      <c r="N60" s="106">
        <v>0</v>
      </c>
    </row>
    <row r="61" spans="2:14" ht="13.8">
      <c r="C61" s="77" t="str">
        <f t="shared" ref="C61:C66" si="17">C60</f>
        <v>Nightsave Urban</v>
      </c>
      <c r="D61" s="77" t="s">
        <v>72</v>
      </c>
      <c r="E61" s="77"/>
      <c r="F61" s="77" t="s">
        <v>64</v>
      </c>
      <c r="G61" s="77" t="str">
        <f t="shared" si="15"/>
        <v>Nightsave Urban_Non-Local Authority_≥ 66kV &amp; ≤ 132kV</v>
      </c>
      <c r="H61" s="77" t="str">
        <f t="shared" si="16"/>
        <v>NL03N</v>
      </c>
      <c r="I61" s="106">
        <v>13.02</v>
      </c>
      <c r="J61" s="106">
        <v>9.5299999999999994</v>
      </c>
      <c r="K61" s="106">
        <v>0</v>
      </c>
      <c r="L61" s="106" t="s">
        <v>118</v>
      </c>
      <c r="M61" s="106">
        <v>0.36</v>
      </c>
      <c r="N61" s="106">
        <v>10.199999999999999</v>
      </c>
    </row>
    <row r="62" spans="2:14" ht="13.8">
      <c r="B62" s="77" t="s">
        <v>465</v>
      </c>
      <c r="C62" s="77" t="str">
        <f t="shared" si="17"/>
        <v>Nightsave Urban</v>
      </c>
      <c r="D62" s="77" t="s">
        <v>72</v>
      </c>
      <c r="E62" s="77"/>
      <c r="F62" s="77" t="s">
        <v>65</v>
      </c>
      <c r="G62" s="77" t="str">
        <f t="shared" si="15"/>
        <v>Nightsave Urban_Non-Local Authority_&gt; 132kV</v>
      </c>
      <c r="H62" s="77" t="str">
        <f t="shared" si="16"/>
        <v>NL04N</v>
      </c>
      <c r="I62" s="106">
        <v>0</v>
      </c>
      <c r="J62" s="106">
        <v>0</v>
      </c>
      <c r="K62" s="106">
        <v>0</v>
      </c>
      <c r="L62" s="106" t="s">
        <v>118</v>
      </c>
      <c r="M62" s="106">
        <v>0.34</v>
      </c>
      <c r="N62" s="106">
        <v>10.199999999999999</v>
      </c>
    </row>
    <row r="63" spans="2:14" ht="13.8">
      <c r="B63" s="77" t="s">
        <v>465</v>
      </c>
      <c r="C63" s="77" t="str">
        <f>C62</f>
        <v>Nightsave Urban</v>
      </c>
      <c r="D63" s="77" t="s">
        <v>71</v>
      </c>
      <c r="E63" s="77"/>
      <c r="F63" s="77" t="str">
        <f>F59</f>
        <v>&lt; 500V</v>
      </c>
      <c r="G63" s="77" t="str">
        <f t="shared" si="15"/>
        <v>Nightsave Urban_Local Authority_&lt; 500V</v>
      </c>
      <c r="H63" s="77" t="str">
        <f t="shared" si="16"/>
        <v>NL01Y</v>
      </c>
      <c r="I63" s="106">
        <v>40.35</v>
      </c>
      <c r="J63" s="106">
        <v>49.15</v>
      </c>
      <c r="K63" s="106">
        <v>0</v>
      </c>
      <c r="L63" s="106" t="s">
        <v>118</v>
      </c>
      <c r="M63" s="106">
        <v>0.41</v>
      </c>
      <c r="N63" s="106">
        <v>0</v>
      </c>
    </row>
    <row r="64" spans="2:14" ht="13.8">
      <c r="B64" s="77" t="s">
        <v>465</v>
      </c>
      <c r="C64" s="77" t="str">
        <f t="shared" si="17"/>
        <v>Nightsave Urban</v>
      </c>
      <c r="D64" s="77" t="s">
        <v>71</v>
      </c>
      <c r="E64" s="77"/>
      <c r="F64" s="77" t="str">
        <f>F60</f>
        <v>≥ 500V &amp; &lt; 66kV</v>
      </c>
      <c r="G64" s="77" t="str">
        <f t="shared" si="15"/>
        <v>Nightsave Urban_Local Authority_≥ 500V &amp; &lt; 66kV</v>
      </c>
      <c r="H64" s="77" t="str">
        <f t="shared" si="16"/>
        <v>NL02Y</v>
      </c>
      <c r="I64" s="106">
        <v>36.97</v>
      </c>
      <c r="J64" s="106">
        <v>24.67</v>
      </c>
      <c r="K64" s="106">
        <v>0</v>
      </c>
      <c r="L64" s="106" t="s">
        <v>118</v>
      </c>
      <c r="M64" s="106">
        <v>0.4</v>
      </c>
      <c r="N64" s="106">
        <v>0</v>
      </c>
    </row>
    <row r="65" spans="2:14" ht="13.8">
      <c r="B65" s="77" t="s">
        <v>465</v>
      </c>
      <c r="C65" s="77" t="str">
        <f t="shared" si="17"/>
        <v>Nightsave Urban</v>
      </c>
      <c r="D65" s="77" t="s">
        <v>71</v>
      </c>
      <c r="E65" s="77"/>
      <c r="F65" s="77" t="str">
        <f>F61</f>
        <v>≥ 66kV &amp; ≤ 132kV</v>
      </c>
      <c r="G65" s="77" t="str">
        <f t="shared" si="15"/>
        <v>Nightsave Urban_Local Authority_≥ 66kV &amp; ≤ 132kV</v>
      </c>
      <c r="H65" s="77" t="str">
        <f t="shared" si="16"/>
        <v>NL03Y</v>
      </c>
      <c r="I65" s="106">
        <v>16.239999999999998</v>
      </c>
      <c r="J65" s="106">
        <v>9.6</v>
      </c>
      <c r="K65" s="106">
        <v>0</v>
      </c>
      <c r="L65" s="106" t="s">
        <v>118</v>
      </c>
      <c r="M65" s="106">
        <v>0.37</v>
      </c>
      <c r="N65" s="106">
        <v>2.23</v>
      </c>
    </row>
    <row r="66" spans="2:14" ht="13.8">
      <c r="C66" s="77" t="str">
        <f t="shared" si="17"/>
        <v>Nightsave Urban</v>
      </c>
      <c r="D66" s="77" t="s">
        <v>71</v>
      </c>
      <c r="E66" s="77"/>
      <c r="F66" s="77" t="str">
        <f>F62</f>
        <v>&gt; 132kV</v>
      </c>
      <c r="G66" s="77" t="str">
        <f t="shared" si="15"/>
        <v>Nightsave Urban_Local Authority_&gt; 132kV</v>
      </c>
      <c r="H66" s="77" t="str">
        <f t="shared" si="16"/>
        <v>NL04Y</v>
      </c>
      <c r="I66" s="106">
        <v>0</v>
      </c>
      <c r="J66" s="106">
        <v>0</v>
      </c>
      <c r="K66" s="106">
        <v>0</v>
      </c>
      <c r="L66" s="106" t="s">
        <v>118</v>
      </c>
      <c r="M66" s="106">
        <v>0.35</v>
      </c>
      <c r="N66" s="106">
        <v>2.23</v>
      </c>
    </row>
    <row r="67" spans="2:14" ht="13.8">
      <c r="C67" s="77"/>
      <c r="D67" s="77"/>
      <c r="E67" s="77"/>
      <c r="F67" s="77"/>
      <c r="G67" s="77"/>
      <c r="H67" s="77"/>
      <c r="I67" s="77"/>
      <c r="J67" s="77"/>
      <c r="K67" s="77"/>
      <c r="L67" s="77"/>
      <c r="M67" s="77"/>
      <c r="N67" s="77"/>
    </row>
    <row r="68" spans="2:14" ht="13.8">
      <c r="C68" s="77" t="s">
        <v>44</v>
      </c>
      <c r="D68" s="77" t="s">
        <v>72</v>
      </c>
      <c r="E68" s="77"/>
      <c r="F68" s="77" t="s">
        <v>62</v>
      </c>
      <c r="G68" s="77" t="str">
        <f t="shared" ref="G68:G75" si="18">C68&amp;"_"&amp;D68&amp;"_"&amp;F68</f>
        <v>Nightsave Rural_Non-Local Authority_&lt; 500V</v>
      </c>
      <c r="H68" s="77" t="str">
        <f t="shared" ref="H68:H75" si="19">INDEX(Matrix_Tariff_Map,MATCH(C68,Matrix_Model_Tariffs,0),2)&amp;IFERROR(INDEX(Matrix_Transmission_Map,MATCH(E68,Matrix_Model_Transmission,0),2),0)&amp;INDEX(Matrix_Voltage_Map,MATCH(F68,Matrix_Model_Voltage,0),2)&amp;INDEX(Matrix_Category_Map,MATCH(D68,Matrix_Model_Category,0),2)</f>
        <v>NR01N</v>
      </c>
      <c r="I68" s="106">
        <v>0</v>
      </c>
      <c r="J68" s="106">
        <v>0</v>
      </c>
      <c r="K68" s="106">
        <v>48.32</v>
      </c>
      <c r="L68" s="106" t="s">
        <v>118</v>
      </c>
      <c r="M68" s="106">
        <v>0.41</v>
      </c>
      <c r="N68" s="106">
        <v>0</v>
      </c>
    </row>
    <row r="69" spans="2:14" ht="13.8">
      <c r="C69" s="77" t="str">
        <f>C68</f>
        <v>Nightsave Rural</v>
      </c>
      <c r="D69" s="77" t="s">
        <v>72</v>
      </c>
      <c r="E69" s="77"/>
      <c r="F69" s="77" t="s">
        <v>63</v>
      </c>
      <c r="G69" s="77" t="str">
        <f t="shared" si="18"/>
        <v>Nightsave Rural_Non-Local Authority_≥ 500V &amp; &lt; 66kV</v>
      </c>
      <c r="H69" s="77" t="str">
        <f t="shared" si="19"/>
        <v>NR02N</v>
      </c>
      <c r="I69" s="106">
        <v>0</v>
      </c>
      <c r="J69" s="106">
        <v>0</v>
      </c>
      <c r="K69" s="106">
        <v>41.89</v>
      </c>
      <c r="L69" s="106" t="s">
        <v>118</v>
      </c>
      <c r="M69" s="106">
        <v>0.41</v>
      </c>
      <c r="N69" s="106">
        <v>0</v>
      </c>
    </row>
    <row r="70" spans="2:14" ht="13.8">
      <c r="C70" s="77" t="str">
        <f>C69</f>
        <v>Nightsave Rural</v>
      </c>
      <c r="D70" s="77" t="s">
        <v>72</v>
      </c>
      <c r="E70" s="77"/>
      <c r="F70" s="77" t="s">
        <v>64</v>
      </c>
      <c r="G70" s="77" t="str">
        <f t="shared" si="18"/>
        <v>Nightsave Rural_Non-Local Authority_≥ 66kV &amp; ≤ 132kV</v>
      </c>
      <c r="H70" s="77" t="str">
        <f t="shared" si="19"/>
        <v>NR03N</v>
      </c>
      <c r="I70" s="106">
        <v>0</v>
      </c>
      <c r="J70" s="106">
        <v>0</v>
      </c>
      <c r="K70" s="106">
        <v>0</v>
      </c>
      <c r="L70" s="106" t="s">
        <v>118</v>
      </c>
      <c r="M70" s="106">
        <v>0</v>
      </c>
      <c r="N70" s="106">
        <v>0</v>
      </c>
    </row>
    <row r="71" spans="2:14" ht="13.8">
      <c r="B71" s="77" t="s">
        <v>465</v>
      </c>
      <c r="C71" s="77" t="str">
        <f>C70</f>
        <v>Nightsave Rural</v>
      </c>
      <c r="D71" s="77" t="s">
        <v>72</v>
      </c>
      <c r="E71" s="77"/>
      <c r="F71" s="77" t="s">
        <v>65</v>
      </c>
      <c r="G71" s="77" t="str">
        <f t="shared" si="18"/>
        <v>Nightsave Rural_Non-Local Authority_&gt; 132kV</v>
      </c>
      <c r="H71" s="77" t="str">
        <f t="shared" si="19"/>
        <v>NR04N</v>
      </c>
      <c r="I71" s="106">
        <v>0</v>
      </c>
      <c r="J71" s="106">
        <v>0</v>
      </c>
      <c r="K71" s="106">
        <v>0</v>
      </c>
      <c r="L71" s="106" t="s">
        <v>118</v>
      </c>
      <c r="M71" s="106">
        <v>0</v>
      </c>
      <c r="N71" s="106">
        <v>0</v>
      </c>
    </row>
    <row r="72" spans="2:14" ht="13.8">
      <c r="B72" s="77" t="s">
        <v>465</v>
      </c>
      <c r="C72" s="77" t="str">
        <f>C68</f>
        <v>Nightsave Rural</v>
      </c>
      <c r="D72" s="77" t="s">
        <v>71</v>
      </c>
      <c r="E72" s="77"/>
      <c r="F72" s="77" t="str">
        <f>F68</f>
        <v>&lt; 500V</v>
      </c>
      <c r="G72" s="77" t="str">
        <f t="shared" si="18"/>
        <v>Nightsave Rural_Local Authority_&lt; 500V</v>
      </c>
      <c r="H72" s="77" t="str">
        <f t="shared" si="19"/>
        <v>NR01Y</v>
      </c>
      <c r="I72" s="106">
        <v>0</v>
      </c>
      <c r="J72" s="106">
        <v>49.15</v>
      </c>
      <c r="K72" s="106">
        <v>0</v>
      </c>
      <c r="L72" s="106" t="s">
        <v>118</v>
      </c>
      <c r="M72" s="106">
        <v>0.41</v>
      </c>
      <c r="N72" s="106">
        <v>0</v>
      </c>
    </row>
    <row r="73" spans="2:14" ht="13.8">
      <c r="B73" s="77" t="s">
        <v>465</v>
      </c>
      <c r="C73" s="77" t="str">
        <f>C72</f>
        <v>Nightsave Rural</v>
      </c>
      <c r="D73" s="77" t="s">
        <v>71</v>
      </c>
      <c r="E73" s="77"/>
      <c r="F73" s="77" t="str">
        <f>F69</f>
        <v>≥ 500V &amp; &lt; 66kV</v>
      </c>
      <c r="G73" s="77" t="str">
        <f t="shared" si="18"/>
        <v>Nightsave Rural_Local Authority_≥ 500V &amp; &lt; 66kV</v>
      </c>
      <c r="H73" s="77" t="str">
        <f t="shared" si="19"/>
        <v>NR02Y</v>
      </c>
      <c r="I73" s="106">
        <v>0</v>
      </c>
      <c r="J73" s="106">
        <v>24.67</v>
      </c>
      <c r="K73" s="106">
        <v>0</v>
      </c>
      <c r="L73" s="106" t="s">
        <v>118</v>
      </c>
      <c r="M73" s="106">
        <v>0.4</v>
      </c>
      <c r="N73" s="106">
        <v>0</v>
      </c>
    </row>
    <row r="74" spans="2:14" ht="13.8">
      <c r="B74" s="77" t="s">
        <v>465</v>
      </c>
      <c r="C74" s="77" t="str">
        <f>C73</f>
        <v>Nightsave Rural</v>
      </c>
      <c r="D74" s="77" t="s">
        <v>71</v>
      </c>
      <c r="E74" s="77"/>
      <c r="F74" s="77" t="str">
        <f>F70</f>
        <v>≥ 66kV &amp; ≤ 132kV</v>
      </c>
      <c r="G74" s="77" t="str">
        <f t="shared" si="18"/>
        <v>Nightsave Rural_Local Authority_≥ 66kV &amp; ≤ 132kV</v>
      </c>
      <c r="H74" s="77" t="str">
        <f t="shared" si="19"/>
        <v>NR03Y</v>
      </c>
      <c r="I74" s="106">
        <v>0</v>
      </c>
      <c r="J74" s="106">
        <v>9.6</v>
      </c>
      <c r="K74" s="106">
        <v>0</v>
      </c>
      <c r="L74" s="106" t="s">
        <v>118</v>
      </c>
      <c r="M74" s="106">
        <v>0.37</v>
      </c>
      <c r="N74" s="106">
        <v>2.23</v>
      </c>
    </row>
    <row r="75" spans="2:14" ht="13.8">
      <c r="C75" s="77" t="str">
        <f>C74</f>
        <v>Nightsave Rural</v>
      </c>
      <c r="D75" s="77" t="s">
        <v>71</v>
      </c>
      <c r="E75" s="77"/>
      <c r="F75" s="77" t="str">
        <f>F71</f>
        <v>&gt; 132kV</v>
      </c>
      <c r="G75" s="77" t="str">
        <f t="shared" si="18"/>
        <v>Nightsave Rural_Local Authority_&gt; 132kV</v>
      </c>
      <c r="H75" s="77" t="str">
        <f t="shared" si="19"/>
        <v>NR04Y</v>
      </c>
      <c r="I75" s="106">
        <v>0</v>
      </c>
      <c r="J75" s="106">
        <v>0</v>
      </c>
      <c r="K75" s="106">
        <v>0</v>
      </c>
      <c r="L75" s="106" t="s">
        <v>118</v>
      </c>
      <c r="M75" s="106">
        <v>0.35</v>
      </c>
      <c r="N75" s="106">
        <v>2.23</v>
      </c>
    </row>
    <row r="76" spans="2:14" ht="13.8"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</row>
    <row r="77" spans="2:14" ht="13.8">
      <c r="C77" s="77" t="s">
        <v>583</v>
      </c>
      <c r="D77" s="77" t="s">
        <v>72</v>
      </c>
      <c r="E77" s="77"/>
      <c r="F77" s="77" t="s">
        <v>62</v>
      </c>
      <c r="G77" s="77" t="str">
        <f t="shared" ref="G77:G84" si="20">C77&amp;"_"&amp;D77&amp;"_"&amp;F77</f>
        <v>Transflex 1_Non-Local Authority_&lt; 500V</v>
      </c>
      <c r="H77" s="77" t="str">
        <f>INDEX(Matrix_Tariff_Map,MATCH(C77,Matrix_Model_Tariffs,0),2)&amp;IFERROR(INDEX(Matrix_Transmission_Map,MATCH(E77,Matrix_Model_Transmission,0),2),0)&amp;INDEX(Matrix_Voltage_Map,MATCH(F77,Matrix_Model_Voltage,0),2)&amp;INDEX(Matrix_Category_Map,MATCH(D77,Matrix_Model_Category,0),2)</f>
        <v>T101N</v>
      </c>
      <c r="I77" s="106">
        <v>0</v>
      </c>
      <c r="J77" s="106">
        <v>0</v>
      </c>
      <c r="K77" s="106">
        <v>0</v>
      </c>
      <c r="L77" s="106" t="s">
        <v>118</v>
      </c>
      <c r="M77" s="106">
        <v>0.41</v>
      </c>
      <c r="N77" s="106">
        <v>0</v>
      </c>
    </row>
    <row r="78" spans="2:14" ht="13.8">
      <c r="C78" s="77" t="s">
        <v>583</v>
      </c>
      <c r="D78" s="77" t="s">
        <v>72</v>
      </c>
      <c r="E78" s="77"/>
      <c r="F78" s="77" t="s">
        <v>63</v>
      </c>
      <c r="G78" s="77" t="str">
        <f t="shared" si="20"/>
        <v>Transflex 1_Non-Local Authority_≥ 500V &amp; &lt; 66kV</v>
      </c>
      <c r="H78" s="77" t="str">
        <f>INDEX(Matrix_Tariff_Map,MATCH(C78,Matrix_Model_Tariffs,0),2)&amp;IFERROR(INDEX(Matrix_Transmission_Map,MATCH(E78,Matrix_Model_Transmission,0),2),0)&amp;INDEX(Matrix_Voltage_Map,MATCH(F78,Matrix_Model_Voltage,0),2)&amp;INDEX(Matrix_Category_Map,MATCH(D78,Matrix_Model_Category,0),2)</f>
        <v>T102N</v>
      </c>
      <c r="I78" s="106">
        <v>0</v>
      </c>
      <c r="J78" s="106">
        <v>0</v>
      </c>
      <c r="K78" s="106">
        <v>0</v>
      </c>
      <c r="L78" s="106" t="s">
        <v>118</v>
      </c>
      <c r="M78" s="106">
        <v>0.39</v>
      </c>
      <c r="N78" s="106">
        <v>0</v>
      </c>
    </row>
    <row r="79" spans="2:14" ht="13.8">
      <c r="C79" s="77" t="s">
        <v>583</v>
      </c>
      <c r="D79" s="77" t="s">
        <v>72</v>
      </c>
      <c r="E79" s="77"/>
      <c r="F79" s="77" t="s">
        <v>64</v>
      </c>
      <c r="G79" s="77" t="str">
        <f t="shared" si="20"/>
        <v>Transflex 1_Non-Local Authority_≥ 66kV &amp; ≤ 132kV</v>
      </c>
      <c r="H79" s="77" t="str">
        <f>INDEX(Matrix_Tariff_Map,MATCH(C79,Matrix_Model_Tariffs,0),2)&amp;IFERROR(INDEX(Matrix_Transmission_Map,MATCH(E79,Matrix_Model_Transmission,0),2),0)&amp;INDEX(Matrix_Voltage_Map,MATCH(F79,Matrix_Model_Voltage,0),2)&amp;INDEX(Matrix_Category_Map,MATCH(D79,Matrix_Model_Category,0),2)</f>
        <v>T103N</v>
      </c>
      <c r="I79" s="106">
        <v>0</v>
      </c>
      <c r="J79" s="106">
        <v>0</v>
      </c>
      <c r="K79" s="106">
        <v>0</v>
      </c>
      <c r="L79" s="106" t="s">
        <v>118</v>
      </c>
      <c r="M79" s="106">
        <v>0.36</v>
      </c>
      <c r="N79" s="106">
        <v>0</v>
      </c>
    </row>
    <row r="80" spans="2:14" ht="13.8">
      <c r="C80" s="77" t="s">
        <v>583</v>
      </c>
      <c r="D80" s="77" t="s">
        <v>72</v>
      </c>
      <c r="E80" s="77"/>
      <c r="F80" s="77" t="s">
        <v>65</v>
      </c>
      <c r="G80" s="77" t="str">
        <f t="shared" si="20"/>
        <v>Transflex 1_Non-Local Authority_&gt; 132kV</v>
      </c>
      <c r="H80" s="77" t="str">
        <f>INDEX(Matrix_Tariff_Map,MATCH(C80,Matrix_Model_Tariffs,0),2)&amp;IFERROR(INDEX(Matrix_Transmission_Map,MATCH(E80,Matrix_Model_Transmission,0),2),0)&amp;INDEX(Matrix_Voltage_Map,MATCH(F80,Matrix_Model_Voltage,0),2)&amp;INDEX(Matrix_Category_Map,MATCH(D80,Matrix_Model_Category,0),2)</f>
        <v>T104N</v>
      </c>
      <c r="I80" s="106">
        <v>0</v>
      </c>
      <c r="J80" s="106">
        <v>0</v>
      </c>
      <c r="K80" s="106">
        <v>0</v>
      </c>
      <c r="L80" s="106" t="s">
        <v>118</v>
      </c>
      <c r="M80" s="106">
        <v>0.34</v>
      </c>
      <c r="N80" s="106">
        <v>0</v>
      </c>
    </row>
    <row r="81" spans="3:14" ht="13.8">
      <c r="C81" s="77" t="s">
        <v>584</v>
      </c>
      <c r="D81" s="77" t="s">
        <v>72</v>
      </c>
      <c r="E81" s="77"/>
      <c r="F81" s="77" t="s">
        <v>62</v>
      </c>
      <c r="G81" s="77" t="str">
        <f t="shared" si="20"/>
        <v>Transflex 2_Non-Local Authority_&lt; 500V</v>
      </c>
      <c r="H81" s="77" t="s">
        <v>588</v>
      </c>
      <c r="I81" s="106">
        <v>0</v>
      </c>
      <c r="J81" s="106">
        <v>0</v>
      </c>
      <c r="K81" s="106">
        <v>0</v>
      </c>
      <c r="L81" s="106" t="s">
        <v>118</v>
      </c>
      <c r="M81" s="106">
        <v>0.41</v>
      </c>
      <c r="N81" s="106">
        <v>0</v>
      </c>
    </row>
    <row r="82" spans="3:14" ht="13.8">
      <c r="C82" s="77" t="s">
        <v>584</v>
      </c>
      <c r="D82" s="77" t="s">
        <v>72</v>
      </c>
      <c r="E82" s="77"/>
      <c r="F82" s="77" t="s">
        <v>63</v>
      </c>
      <c r="G82" s="77" t="str">
        <f t="shared" si="20"/>
        <v>Transflex 2_Non-Local Authority_≥ 500V &amp; &lt; 66kV</v>
      </c>
      <c r="H82" s="77" t="s">
        <v>589</v>
      </c>
      <c r="I82" s="106">
        <v>0</v>
      </c>
      <c r="J82" s="106">
        <v>0</v>
      </c>
      <c r="K82" s="106">
        <v>0</v>
      </c>
      <c r="L82" s="106" t="s">
        <v>118</v>
      </c>
      <c r="M82" s="106">
        <v>0.39</v>
      </c>
      <c r="N82" s="106">
        <v>0</v>
      </c>
    </row>
    <row r="83" spans="3:14" ht="13.8">
      <c r="C83" s="77" t="s">
        <v>584</v>
      </c>
      <c r="D83" s="77" t="s">
        <v>72</v>
      </c>
      <c r="E83" s="77"/>
      <c r="F83" s="77" t="s">
        <v>64</v>
      </c>
      <c r="G83" s="77" t="str">
        <f t="shared" si="20"/>
        <v>Transflex 2_Non-Local Authority_≥ 66kV &amp; ≤ 132kV</v>
      </c>
      <c r="H83" s="77" t="s">
        <v>590</v>
      </c>
      <c r="I83" s="106">
        <v>0</v>
      </c>
      <c r="J83" s="106">
        <v>0</v>
      </c>
      <c r="K83" s="106">
        <v>0</v>
      </c>
      <c r="L83" s="106" t="s">
        <v>118</v>
      </c>
      <c r="M83" s="106">
        <v>0.36</v>
      </c>
      <c r="N83" s="106">
        <v>0</v>
      </c>
    </row>
    <row r="84" spans="3:14" ht="13.8">
      <c r="C84" s="77" t="s">
        <v>584</v>
      </c>
      <c r="D84" s="77" t="s">
        <v>72</v>
      </c>
      <c r="E84" s="77"/>
      <c r="F84" s="77" t="s">
        <v>65</v>
      </c>
      <c r="G84" s="77" t="str">
        <f t="shared" si="20"/>
        <v>Transflex 2_Non-Local Authority_&gt; 132kV</v>
      </c>
      <c r="H84" s="77" t="s">
        <v>591</v>
      </c>
      <c r="I84" s="106">
        <v>0</v>
      </c>
      <c r="J84" s="106">
        <v>0</v>
      </c>
      <c r="K84" s="106">
        <v>0</v>
      </c>
      <c r="L84" s="106" t="s">
        <v>118</v>
      </c>
      <c r="M84" s="106">
        <v>0.34</v>
      </c>
      <c r="N84" s="106">
        <v>0</v>
      </c>
    </row>
    <row r="85" spans="3:14" ht="13.8">
      <c r="C85" s="77"/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7"/>
    </row>
  </sheetData>
  <sheetProtection algorithmName="SHA-512" hashValue="89IXNc56RDVRrgGV4NBwq43bN7wPY6sUs2C279a6ymm4KrtgA9i/R6HPajSOMHm/B1N2NPFi3Nx9/QHvoGV4lg==" saltValue="5g2u8Nx6N0//9DCV86EZew==" spinCount="100000" sheet="1" objects="1" scenarios="1"/>
  <conditionalFormatting sqref="C24:C26 C28:C30 C33:C35 C37:C39 C51:C53 C55:C57 C60:C62 C64:C66 C42:C44 C69:C71 C73:C75">
    <cfRule type="expression" dxfId="211" priority="24">
      <formula>C24&lt;&gt;C23</formula>
    </cfRule>
  </conditionalFormatting>
  <conditionalFormatting sqref="C32 C41 C59 C68">
    <cfRule type="expression" dxfId="210" priority="25">
      <formula>C32&lt;&gt;#REF!</formula>
    </cfRule>
  </conditionalFormatting>
  <conditionalFormatting sqref="C23">
    <cfRule type="expression" dxfId="209" priority="22">
      <formula>C23&lt;&gt;C20</formula>
    </cfRule>
  </conditionalFormatting>
  <conditionalFormatting sqref="C50">
    <cfRule type="expression" dxfId="208" priority="26">
      <formula>C50&lt;&gt;#REF!</formula>
    </cfRule>
  </conditionalFormatting>
  <conditionalFormatting sqref="C6">
    <cfRule type="expression" dxfId="207" priority="27">
      <formula>C6&lt;&gt;#REF!</formula>
    </cfRule>
  </conditionalFormatting>
  <conditionalFormatting sqref="C27 C36 C54 C63 C72 C45:C48">
    <cfRule type="expression" dxfId="206" priority="28">
      <formula>C27&lt;&gt;#REF!</formula>
    </cfRule>
  </conditionalFormatting>
  <conditionalFormatting sqref="I23:N30">
    <cfRule type="cellIs" dxfId="205" priority="21" operator="equal">
      <formula>"n/a"</formula>
    </cfRule>
  </conditionalFormatting>
  <conditionalFormatting sqref="J32:N39">
    <cfRule type="cellIs" dxfId="204" priority="20" operator="equal">
      <formula>"n/a"</formula>
    </cfRule>
  </conditionalFormatting>
  <conditionalFormatting sqref="J41:N48">
    <cfRule type="cellIs" dxfId="203" priority="19" operator="equal">
      <formula>"n/a"</formula>
    </cfRule>
  </conditionalFormatting>
  <conditionalFormatting sqref="I50:N57">
    <cfRule type="cellIs" dxfId="202" priority="18" operator="equal">
      <formula>"n/a"</formula>
    </cfRule>
  </conditionalFormatting>
  <conditionalFormatting sqref="I59:N66">
    <cfRule type="cellIs" dxfId="201" priority="17" operator="equal">
      <formula>"n/a"</formula>
    </cfRule>
  </conditionalFormatting>
  <conditionalFormatting sqref="J68:N75">
    <cfRule type="cellIs" dxfId="200" priority="16" operator="equal">
      <formula>"n/a"</formula>
    </cfRule>
  </conditionalFormatting>
  <conditionalFormatting sqref="I42:I48 I33:I39">
    <cfRule type="cellIs" dxfId="199" priority="15" operator="equal">
      <formula>"n/a"</formula>
    </cfRule>
  </conditionalFormatting>
  <conditionalFormatting sqref="I69:I75">
    <cfRule type="cellIs" dxfId="198" priority="14" operator="equal">
      <formula>"n/a"</formula>
    </cfRule>
  </conditionalFormatting>
  <conditionalFormatting sqref="I32">
    <cfRule type="cellIs" dxfId="197" priority="13" operator="equal">
      <formula>"n/a"</formula>
    </cfRule>
  </conditionalFormatting>
  <conditionalFormatting sqref="I41">
    <cfRule type="cellIs" dxfId="196" priority="12" operator="equal">
      <formula>"n/a"</formula>
    </cfRule>
  </conditionalFormatting>
  <conditionalFormatting sqref="I68">
    <cfRule type="cellIs" dxfId="195" priority="11" operator="equal">
      <formula>"n/a"</formula>
    </cfRule>
  </conditionalFormatting>
  <conditionalFormatting sqref="B26:B29">
    <cfRule type="expression" dxfId="194" priority="10">
      <formula>B26&lt;&gt;B25</formula>
    </cfRule>
  </conditionalFormatting>
  <conditionalFormatting sqref="B35:B38">
    <cfRule type="expression" dxfId="193" priority="9">
      <formula>B35&lt;&gt;B34</formula>
    </cfRule>
  </conditionalFormatting>
  <conditionalFormatting sqref="B44:B47">
    <cfRule type="expression" dxfId="192" priority="8">
      <formula>B44&lt;&gt;B43</formula>
    </cfRule>
  </conditionalFormatting>
  <conditionalFormatting sqref="B53:B56">
    <cfRule type="expression" dxfId="191" priority="7">
      <formula>B53&lt;&gt;B52</formula>
    </cfRule>
  </conditionalFormatting>
  <conditionalFormatting sqref="B62:B65">
    <cfRule type="expression" dxfId="190" priority="6">
      <formula>B62&lt;&gt;B61</formula>
    </cfRule>
  </conditionalFormatting>
  <conditionalFormatting sqref="B71:B74">
    <cfRule type="expression" dxfId="189" priority="5">
      <formula>B71&lt;&gt;B70</formula>
    </cfRule>
  </conditionalFormatting>
  <conditionalFormatting sqref="C78:C80">
    <cfRule type="expression" dxfId="188" priority="4">
      <formula>C78&lt;&gt;C77</formula>
    </cfRule>
  </conditionalFormatting>
  <conditionalFormatting sqref="C77">
    <cfRule type="expression" dxfId="187" priority="3">
      <formula>C77&lt;&gt;C74</formula>
    </cfRule>
  </conditionalFormatting>
  <conditionalFormatting sqref="I77:N80">
    <cfRule type="cellIs" dxfId="186" priority="2" operator="equal">
      <formula>"n/a"</formula>
    </cfRule>
  </conditionalFormatting>
  <conditionalFormatting sqref="I81:N84">
    <cfRule type="cellIs" dxfId="185" priority="1" operator="equal">
      <formula>"n/a"</formula>
    </cfRule>
  </conditionalFormatting>
  <dataValidations count="4">
    <dataValidation type="list" allowBlank="1" showInputMessage="1" showErrorMessage="1" sqref="D23:D30 D32:D39 D50:D57 D59:D66 D41:D48 D68:D75 D77:D80" xr:uid="{00000000-0002-0000-0D00-000000000000}">
      <formula1>Tariff_Category_List</formula1>
    </dataValidation>
    <dataValidation type="list" allowBlank="1" showInputMessage="1" showErrorMessage="1" sqref="F63:F66 F36:F39 F27:F30 F54:F57 F45:F48 F72:F75" xr:uid="{00000000-0002-0000-0D00-000001000000}">
      <formula1>Transmission_List</formula1>
    </dataValidation>
    <dataValidation type="list" allowBlank="1" showInputMessage="1" showErrorMessage="1" sqref="F59:F62 F23:F26 F32:F35 F50:F53 F41:F44 F68:F71 F77:F80" xr:uid="{00000000-0002-0000-0D00-000002000000}">
      <formula1>Voltage_List</formula1>
    </dataValidation>
    <dataValidation type="list" allowBlank="1" showInputMessage="1" showErrorMessage="1" sqref="C23:C30 C32:C39 C50:C57 C59:C66 C41:C48 C68:C75 B26:B29 B35:B38 B44:B47 B53:B56 B62:B65 B71:B74 C77:C80" xr:uid="{00000000-0002-0000-0D00-000003000000}">
      <formula1>Base_Tariff_List</formula1>
    </dataValidation>
  </dataValidations>
  <pageMargins left="0.7" right="0.7" top="0.75" bottom="0.75" header="0.3" footer="0.3"/>
  <drawing r:id="rId1"/>
  <legacyDrawing r:id="rId2"/>
  <tableParts count="1">
    <tablePart r:id="rId3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4">
    <tabColor rgb="FF92D050"/>
  </sheetPr>
  <dimension ref="C1:W251"/>
  <sheetViews>
    <sheetView showGridLines="0" zoomScale="85" zoomScaleNormal="85" workbookViewId="0">
      <pane xSplit="7" ySplit="7" topLeftCell="K150" activePane="bottomRight" state="frozen"/>
      <selection activeCell="A5" sqref="A5"/>
      <selection pane="topRight" activeCell="A5" sqref="A5"/>
      <selection pane="bottomLeft" activeCell="A5" sqref="A5"/>
      <selection pane="bottomRight" activeCell="T154" sqref="T154"/>
    </sheetView>
  </sheetViews>
  <sheetFormatPr defaultColWidth="9.28515625" defaultRowHeight="12"/>
  <cols>
    <col min="1" max="2" width="2.7109375" customWidth="1"/>
    <col min="3" max="3" width="15.7109375" customWidth="1"/>
    <col min="4" max="4" width="19.140625" bestFit="1" customWidth="1"/>
    <col min="5" max="5" width="15.7109375" customWidth="1"/>
    <col min="6" max="6" width="18" customWidth="1"/>
    <col min="7" max="7" width="67.7109375" bestFit="1" customWidth="1"/>
    <col min="8" max="22" width="12.7109375" customWidth="1"/>
  </cols>
  <sheetData>
    <row r="1" spans="3:23" ht="4.05" customHeight="1"/>
    <row r="2" spans="3:23" ht="33" customHeight="1"/>
    <row r="3" spans="3:23" ht="4.05" customHeight="1"/>
    <row r="4" spans="3:23" ht="15">
      <c r="C4" s="2" t="str">
        <f>"Large Power User | Energy Charge Inputs | "&amp;New_Period</f>
        <v>Large Power User | Energy Charge Inputs | 2026/27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3:23">
      <c r="I5" s="20" t="s">
        <v>106</v>
      </c>
      <c r="J5" s="20" t="s">
        <v>106</v>
      </c>
      <c r="K5" s="20" t="s">
        <v>106</v>
      </c>
      <c r="L5" s="20" t="s">
        <v>106</v>
      </c>
      <c r="M5" s="20" t="s">
        <v>106</v>
      </c>
      <c r="N5" s="20" t="s">
        <v>106</v>
      </c>
      <c r="O5" s="20" t="s">
        <v>106</v>
      </c>
      <c r="P5" s="20" t="s">
        <v>106</v>
      </c>
      <c r="Q5" s="28" t="s">
        <v>92</v>
      </c>
      <c r="R5" s="28" t="s">
        <v>92</v>
      </c>
      <c r="S5" s="28" t="s">
        <v>92</v>
      </c>
      <c r="T5" s="28" t="s">
        <v>92</v>
      </c>
      <c r="U5" s="28" t="s">
        <v>508</v>
      </c>
      <c r="V5" s="28" t="s">
        <v>106</v>
      </c>
    </row>
    <row r="6" spans="3:23">
      <c r="C6" s="26" t="s">
        <v>159</v>
      </c>
      <c r="D6" s="15"/>
      <c r="E6" s="15"/>
      <c r="F6" s="16"/>
      <c r="G6" s="21"/>
      <c r="H6" s="21"/>
      <c r="I6" s="17" t="s">
        <v>75</v>
      </c>
      <c r="J6" s="18"/>
      <c r="K6" s="18"/>
      <c r="L6" s="18"/>
      <c r="M6" s="18"/>
      <c r="N6" s="19"/>
      <c r="O6" s="17" t="s">
        <v>75</v>
      </c>
      <c r="P6" s="19"/>
      <c r="Q6" s="29" t="s">
        <v>117</v>
      </c>
      <c r="R6" s="30"/>
    </row>
    <row r="7" spans="3:23" ht="55.2">
      <c r="C7" s="75" t="s">
        <v>31</v>
      </c>
      <c r="D7" s="76" t="s">
        <v>32</v>
      </c>
      <c r="E7" s="76" t="s">
        <v>33</v>
      </c>
      <c r="F7" s="76" t="s">
        <v>34</v>
      </c>
      <c r="G7" s="76" t="s">
        <v>76</v>
      </c>
      <c r="H7" s="76" t="s">
        <v>247</v>
      </c>
      <c r="I7" s="76" t="s">
        <v>35</v>
      </c>
      <c r="J7" s="76" t="s">
        <v>36</v>
      </c>
      <c r="K7" s="76" t="s">
        <v>37</v>
      </c>
      <c r="L7" s="76" t="s">
        <v>38</v>
      </c>
      <c r="M7" s="76" t="s">
        <v>39</v>
      </c>
      <c r="N7" s="76" t="s">
        <v>40</v>
      </c>
      <c r="O7" s="76" t="s">
        <v>150</v>
      </c>
      <c r="P7" s="76" t="s">
        <v>151</v>
      </c>
      <c r="Q7" s="76" t="s">
        <v>22</v>
      </c>
      <c r="R7" s="76" t="s">
        <v>21</v>
      </c>
      <c r="S7" s="76" t="s">
        <v>100</v>
      </c>
      <c r="T7" s="76" t="s">
        <v>394</v>
      </c>
      <c r="U7" s="76" t="s">
        <v>505</v>
      </c>
      <c r="V7" s="76" t="s">
        <v>533</v>
      </c>
      <c r="W7" s="80" t="s">
        <v>440</v>
      </c>
    </row>
    <row r="8" spans="3:23" ht="13.8">
      <c r="C8" s="77" t="s">
        <v>41</v>
      </c>
      <c r="D8" s="77" t="str">
        <f t="shared" ref="D8:D14" si="0">Selected_Tariff_Category</f>
        <v>Non-Local Authority</v>
      </c>
      <c r="E8" s="77" t="str">
        <f t="shared" ref="E8:E14" ca="1" si="1">Selected_Transmission</f>
        <v>[0 - 300km]</v>
      </c>
      <c r="F8" s="77" t="str">
        <f t="shared" ref="F8:F14" ca="1" si="2">Selected_Supply_Voltage</f>
        <v>&lt; 500V</v>
      </c>
      <c r="G8" s="77" t="str">
        <f t="shared" ref="G8:G13" ca="1" si="3">C8&amp;"_"&amp;D8&amp;"_"&amp;E8&amp;"_"&amp;F8</f>
        <v>Megaflex_Non-Local Authority_[0 - 300km]_&lt; 500V</v>
      </c>
      <c r="H8" s="77" t="str">
        <f t="shared" ref="H8:H16" ca="1" si="4">IFERROR(INDEX(H$22:H$251, MATCH($G8, $G$22:$G$251, 0)), "n/a")</f>
        <v>Me01N</v>
      </c>
      <c r="I8" s="107">
        <f t="shared" ref="I8:V16" ca="1" si="5">IFERROR(INDEX(I$22:I$251,MATCH($G8,$G$22:$G$251,0)), "n/a")</f>
        <v>739.28</v>
      </c>
      <c r="J8" s="107">
        <f t="shared" ca="1" si="5"/>
        <v>184.82</v>
      </c>
      <c r="K8" s="107">
        <f t="shared" ca="1" si="5"/>
        <v>123.2</v>
      </c>
      <c r="L8" s="107">
        <f t="shared" ca="1" si="5"/>
        <v>306.82</v>
      </c>
      <c r="M8" s="107">
        <f t="shared" ca="1" si="5"/>
        <v>172.5</v>
      </c>
      <c r="N8" s="107">
        <f t="shared" ca="1" si="5"/>
        <v>123.2</v>
      </c>
      <c r="O8" s="107" t="str">
        <f t="shared" ca="1" si="5"/>
        <v>n/a</v>
      </c>
      <c r="P8" s="107" t="str">
        <f t="shared" ca="1" si="5"/>
        <v>n/a</v>
      </c>
      <c r="Q8" s="107" t="str">
        <f t="shared" ca="1" si="5"/>
        <v>n/a</v>
      </c>
      <c r="R8" s="107" t="str">
        <f t="shared" ca="1" si="5"/>
        <v>n/a</v>
      </c>
      <c r="S8" s="107">
        <f t="shared" ca="1" si="5"/>
        <v>11.56</v>
      </c>
      <c r="T8" s="107" t="str">
        <f t="shared" ca="1" si="5"/>
        <v>n/a</v>
      </c>
      <c r="U8" s="107">
        <f t="shared" ca="1" si="5"/>
        <v>5.29</v>
      </c>
      <c r="V8" s="107">
        <f t="shared" ca="1" si="5"/>
        <v>24.78</v>
      </c>
    </row>
    <row r="9" spans="3:23" ht="13.8">
      <c r="C9" s="77" t="s">
        <v>42</v>
      </c>
      <c r="D9" s="77" t="str">
        <f t="shared" si="0"/>
        <v>Non-Local Authority</v>
      </c>
      <c r="E9" s="77" t="str">
        <f t="shared" ca="1" si="1"/>
        <v>[0 - 300km]</v>
      </c>
      <c r="F9" s="77" t="str">
        <f t="shared" ca="1" si="2"/>
        <v>&lt; 500V</v>
      </c>
      <c r="G9" s="77" t="str">
        <f t="shared" ca="1" si="3"/>
        <v>Miniflex_Non-Local Authority_[0 - 300km]_&lt; 500V</v>
      </c>
      <c r="H9" s="77" t="str">
        <f t="shared" ca="1" si="4"/>
        <v>Mi01N</v>
      </c>
      <c r="I9" s="107">
        <f t="shared" ca="1" si="5"/>
        <v>739.28</v>
      </c>
      <c r="J9" s="107">
        <f t="shared" ca="1" si="5"/>
        <v>184.82</v>
      </c>
      <c r="K9" s="107">
        <f t="shared" ca="1" si="5"/>
        <v>123.2</v>
      </c>
      <c r="L9" s="107">
        <f t="shared" ca="1" si="5"/>
        <v>306.82</v>
      </c>
      <c r="M9" s="107">
        <f t="shared" ca="1" si="5"/>
        <v>172.5</v>
      </c>
      <c r="N9" s="107">
        <f t="shared" ca="1" si="5"/>
        <v>123.2</v>
      </c>
      <c r="O9" s="107" t="str">
        <f t="shared" ca="1" si="5"/>
        <v>n/a</v>
      </c>
      <c r="P9" s="107" t="str">
        <f t="shared" ca="1" si="5"/>
        <v>n/a</v>
      </c>
      <c r="Q9" s="107" t="str">
        <f t="shared" ca="1" si="5"/>
        <v>n/a</v>
      </c>
      <c r="R9" s="107" t="str">
        <f t="shared" ca="1" si="5"/>
        <v>n/a</v>
      </c>
      <c r="S9" s="107" t="str">
        <f t="shared" ca="1" si="5"/>
        <v>n/a</v>
      </c>
      <c r="T9" s="107">
        <f t="shared" ca="1" si="5"/>
        <v>54.22</v>
      </c>
      <c r="U9" s="107">
        <f t="shared" ca="1" si="5"/>
        <v>5.29</v>
      </c>
      <c r="V9" s="107">
        <f t="shared" ca="1" si="5"/>
        <v>24.78</v>
      </c>
    </row>
    <row r="10" spans="3:23" ht="13.8">
      <c r="C10" s="77" t="s">
        <v>46</v>
      </c>
      <c r="D10" s="77" t="str">
        <f t="shared" si="0"/>
        <v>Non-Local Authority</v>
      </c>
      <c r="E10" s="77" t="str">
        <f t="shared" ca="1" si="1"/>
        <v>[0 - 300km]</v>
      </c>
      <c r="F10" s="77" t="str">
        <f t="shared" ca="1" si="2"/>
        <v>&lt; 500V</v>
      </c>
      <c r="G10" s="77" t="str">
        <f t="shared" ca="1" si="3"/>
        <v>Ruraflex_Non-Local Authority_[0 - 300km]_&lt; 500V</v>
      </c>
      <c r="H10" s="77" t="str">
        <f t="shared" ca="1" si="4"/>
        <v>Ru01N</v>
      </c>
      <c r="I10" s="107">
        <f t="shared" ca="1" si="5"/>
        <v>746.19</v>
      </c>
      <c r="J10" s="107">
        <f t="shared" ca="1" si="5"/>
        <v>186.55</v>
      </c>
      <c r="K10" s="107">
        <f t="shared" ca="1" si="5"/>
        <v>124.36</v>
      </c>
      <c r="L10" s="107">
        <f t="shared" ca="1" si="5"/>
        <v>309.68</v>
      </c>
      <c r="M10" s="107">
        <f t="shared" ca="1" si="5"/>
        <v>174.11</v>
      </c>
      <c r="N10" s="107">
        <f t="shared" ca="1" si="5"/>
        <v>124.36</v>
      </c>
      <c r="O10" s="107" t="str">
        <f t="shared" ca="1" si="5"/>
        <v>n/a</v>
      </c>
      <c r="P10" s="107" t="str">
        <f t="shared" ca="1" si="5"/>
        <v>n/a</v>
      </c>
      <c r="Q10" s="107" t="str">
        <f t="shared" ca="1" si="5"/>
        <v>n/a</v>
      </c>
      <c r="R10" s="107" t="str">
        <f t="shared" ca="1" si="5"/>
        <v>n/a</v>
      </c>
      <c r="S10" s="107" t="str">
        <f t="shared" ca="1" si="5"/>
        <v>n/a</v>
      </c>
      <c r="T10" s="107">
        <f t="shared" ca="1" si="5"/>
        <v>56.6</v>
      </c>
      <c r="U10" s="107">
        <f t="shared" ca="1" si="5"/>
        <v>5.07</v>
      </c>
      <c r="V10" s="107">
        <f t="shared" ca="1" si="5"/>
        <v>25.01</v>
      </c>
    </row>
    <row r="11" spans="3:23" ht="13.8">
      <c r="C11" s="77" t="s">
        <v>45</v>
      </c>
      <c r="D11" s="77" t="str">
        <f t="shared" si="0"/>
        <v>Non-Local Authority</v>
      </c>
      <c r="E11" s="77" t="str">
        <f t="shared" ca="1" si="1"/>
        <v>[0 - 300km]</v>
      </c>
      <c r="F11" s="77" t="str">
        <f t="shared" ca="1" si="2"/>
        <v>&lt; 500V</v>
      </c>
      <c r="G11" s="77" t="str">
        <f t="shared" ca="1" si="3"/>
        <v>Nightsave Small_Non-Local Authority_[0 - 300km]_&lt; 500V</v>
      </c>
      <c r="H11" s="77" t="str">
        <f t="shared" ca="1" si="4"/>
        <v>NS01N</v>
      </c>
      <c r="I11" s="107" t="str">
        <f t="shared" ca="1" si="5"/>
        <v>n/a</v>
      </c>
      <c r="J11" s="107" t="str">
        <f t="shared" ca="1" si="5"/>
        <v>n/a</v>
      </c>
      <c r="K11" s="107" t="str">
        <f t="shared" ca="1" si="5"/>
        <v>n/a</v>
      </c>
      <c r="L11" s="107" t="str">
        <f t="shared" ca="1" si="5"/>
        <v>n/a</v>
      </c>
      <c r="M11" s="107" t="str">
        <f t="shared" ca="1" si="5"/>
        <v>n/a</v>
      </c>
      <c r="N11" s="107" t="str">
        <f t="shared" ca="1" si="5"/>
        <v>n/a</v>
      </c>
      <c r="O11" s="107">
        <f t="shared" ca="1" si="5"/>
        <v>181.89</v>
      </c>
      <c r="P11" s="107">
        <f t="shared" ca="1" si="5"/>
        <v>174.72</v>
      </c>
      <c r="Q11" s="107">
        <f t="shared" ca="1" si="5"/>
        <v>341.73</v>
      </c>
      <c r="R11" s="107">
        <f t="shared" ca="1" si="5"/>
        <v>79.95</v>
      </c>
      <c r="S11" s="107">
        <f t="shared" ca="1" si="5"/>
        <v>11.56</v>
      </c>
      <c r="T11" s="107" t="str">
        <f t="shared" ca="1" si="5"/>
        <v>n/a</v>
      </c>
      <c r="U11" s="107">
        <f t="shared" ca="1" si="5"/>
        <v>5.29</v>
      </c>
      <c r="V11" s="107">
        <f t="shared" ca="1" si="5"/>
        <v>24.78</v>
      </c>
    </row>
    <row r="12" spans="3:23" ht="13.8">
      <c r="C12" s="77" t="s">
        <v>624</v>
      </c>
      <c r="D12" s="77" t="str">
        <f t="shared" si="0"/>
        <v>Non-Local Authority</v>
      </c>
      <c r="E12" s="77" t="str">
        <f t="shared" ca="1" si="1"/>
        <v>[0 - 300km]</v>
      </c>
      <c r="F12" s="77" t="str">
        <f t="shared" ca="1" si="2"/>
        <v>&lt; 500V</v>
      </c>
      <c r="G12" s="77" t="str">
        <f t="shared" ca="1" si="3"/>
        <v>Nightsave Urban_Non-Local Authority_[0 - 300km]_&lt; 500V</v>
      </c>
      <c r="H12" s="77" t="str">
        <f t="shared" ca="1" si="4"/>
        <v>NL01N</v>
      </c>
      <c r="I12" s="107" t="str">
        <f t="shared" ca="1" si="5"/>
        <v>n/a</v>
      </c>
      <c r="J12" s="107" t="str">
        <f t="shared" ca="1" si="5"/>
        <v>n/a</v>
      </c>
      <c r="K12" s="107" t="str">
        <f t="shared" ca="1" si="5"/>
        <v>n/a</v>
      </c>
      <c r="L12" s="107" t="str">
        <f t="shared" ca="1" si="5"/>
        <v>n/a</v>
      </c>
      <c r="M12" s="107" t="str">
        <f t="shared" ca="1" si="5"/>
        <v>n/a</v>
      </c>
      <c r="N12" s="107" t="str">
        <f t="shared" ca="1" si="5"/>
        <v>n/a</v>
      </c>
      <c r="O12" s="107">
        <f t="shared" ca="1" si="5"/>
        <v>181.89</v>
      </c>
      <c r="P12" s="107">
        <f t="shared" ca="1" si="5"/>
        <v>174.72</v>
      </c>
      <c r="Q12" s="107">
        <f t="shared" ca="1" si="5"/>
        <v>341.73</v>
      </c>
      <c r="R12" s="107">
        <f t="shared" ca="1" si="5"/>
        <v>79.95</v>
      </c>
      <c r="S12" s="107">
        <f t="shared" ca="1" si="5"/>
        <v>11.56</v>
      </c>
      <c r="T12" s="107" t="str">
        <f t="shared" ca="1" si="5"/>
        <v>n/a</v>
      </c>
      <c r="U12" s="107">
        <f t="shared" ca="1" si="5"/>
        <v>5.29</v>
      </c>
      <c r="V12" s="107">
        <f t="shared" ca="1" si="5"/>
        <v>24.78</v>
      </c>
    </row>
    <row r="13" spans="3:23" ht="13.8">
      <c r="C13" s="77" t="s">
        <v>44</v>
      </c>
      <c r="D13" s="77" t="str">
        <f t="shared" si="0"/>
        <v>Non-Local Authority</v>
      </c>
      <c r="E13" s="77" t="str">
        <f t="shared" ca="1" si="1"/>
        <v>[0 - 300km]</v>
      </c>
      <c r="F13" s="77" t="str">
        <f t="shared" ca="1" si="2"/>
        <v>&lt; 500V</v>
      </c>
      <c r="G13" s="77" t="str">
        <f t="shared" ca="1" si="3"/>
        <v>Nightsave Rural_Non-Local Authority_[0 - 300km]_&lt; 500V</v>
      </c>
      <c r="H13" s="77" t="str">
        <f t="shared" ca="1" si="4"/>
        <v>NR01N</v>
      </c>
      <c r="I13" s="107" t="str">
        <f t="shared" ca="1" si="5"/>
        <v>n/a</v>
      </c>
      <c r="J13" s="107" t="str">
        <f t="shared" ca="1" si="5"/>
        <v>n/a</v>
      </c>
      <c r="K13" s="107" t="str">
        <f t="shared" ca="1" si="5"/>
        <v>n/a</v>
      </c>
      <c r="L13" s="107" t="str">
        <f t="shared" ca="1" si="5"/>
        <v>n/a</v>
      </c>
      <c r="M13" s="107" t="str">
        <f t="shared" ca="1" si="5"/>
        <v>n/a</v>
      </c>
      <c r="N13" s="107" t="str">
        <f t="shared" ca="1" si="5"/>
        <v>n/a</v>
      </c>
      <c r="O13" s="107">
        <f t="shared" ca="1" si="5"/>
        <v>165.97</v>
      </c>
      <c r="P13" s="107">
        <f t="shared" ca="1" si="5"/>
        <v>159.53</v>
      </c>
      <c r="Q13" s="107">
        <f t="shared" ca="1" si="5"/>
        <v>444.28</v>
      </c>
      <c r="R13" s="107">
        <f t="shared" ca="1" si="5"/>
        <v>103.96</v>
      </c>
      <c r="S13" s="107" t="str">
        <f t="shared" ca="1" si="5"/>
        <v>n/a</v>
      </c>
      <c r="T13" s="107">
        <f t="shared" ca="1" si="5"/>
        <v>56.6</v>
      </c>
      <c r="U13" s="107">
        <f t="shared" ca="1" si="5"/>
        <v>5.07</v>
      </c>
      <c r="V13" s="107">
        <f t="shared" ca="1" si="5"/>
        <v>25.01</v>
      </c>
    </row>
    <row r="14" spans="3:23" ht="13.8">
      <c r="C14" s="77" t="s">
        <v>465</v>
      </c>
      <c r="D14" s="77" t="str">
        <f t="shared" si="0"/>
        <v>Non-Local Authority</v>
      </c>
      <c r="E14" s="77" t="str">
        <f t="shared" ca="1" si="1"/>
        <v>[0 - 300km]</v>
      </c>
      <c r="F14" s="77" t="str">
        <f t="shared" ca="1" si="2"/>
        <v>&lt; 500V</v>
      </c>
      <c r="G14" s="77" t="str">
        <f ca="1">C14&amp;"_"&amp;D14&amp;"_"&amp;E14&amp;"_"&amp;F14</f>
        <v>Municflex_Non-Local Authority_[0 - 300km]_&lt; 500V</v>
      </c>
      <c r="H14" s="77" t="str">
        <f t="shared" ca="1" si="4"/>
        <v>n/a</v>
      </c>
      <c r="I14" s="107" t="str">
        <f t="shared" ca="1" si="5"/>
        <v>n/a</v>
      </c>
      <c r="J14" s="107" t="str">
        <f t="shared" ca="1" si="5"/>
        <v>n/a</v>
      </c>
      <c r="K14" s="107" t="str">
        <f t="shared" ca="1" si="5"/>
        <v>n/a</v>
      </c>
      <c r="L14" s="107" t="str">
        <f t="shared" ca="1" si="5"/>
        <v>n/a</v>
      </c>
      <c r="M14" s="107" t="str">
        <f t="shared" ca="1" si="5"/>
        <v>n/a</v>
      </c>
      <c r="N14" s="107" t="str">
        <f t="shared" ca="1" si="5"/>
        <v>n/a</v>
      </c>
      <c r="O14" s="107" t="str">
        <f t="shared" ca="1" si="5"/>
        <v>n/a</v>
      </c>
      <c r="P14" s="107" t="str">
        <f t="shared" ca="1" si="5"/>
        <v>n/a</v>
      </c>
      <c r="Q14" s="107" t="str">
        <f t="shared" ca="1" si="5"/>
        <v>n/a</v>
      </c>
      <c r="R14" s="107" t="str">
        <f t="shared" ca="1" si="5"/>
        <v>n/a</v>
      </c>
      <c r="S14" s="107" t="str">
        <f t="shared" ca="1" si="5"/>
        <v>n/a</v>
      </c>
      <c r="T14" s="107" t="str">
        <f t="shared" ca="1" si="5"/>
        <v>n/a</v>
      </c>
      <c r="U14" s="107" t="str">
        <f t="shared" ca="1" si="5"/>
        <v>n/a</v>
      </c>
      <c r="V14" s="107" t="str">
        <f t="shared" ca="1" si="5"/>
        <v>n/a</v>
      </c>
    </row>
    <row r="15" spans="3:23" ht="13.8">
      <c r="C15" s="289" t="s">
        <v>583</v>
      </c>
      <c r="D15" s="289" t="str">
        <f>Selected_Tariff_Category</f>
        <v>Non-Local Authority</v>
      </c>
      <c r="E15" s="289" t="str">
        <f ca="1">Selected_Transmission</f>
        <v>[0 - 300km]</v>
      </c>
      <c r="F15" s="289" t="str">
        <f ca="1">Selected_Supply_Voltage</f>
        <v>&lt; 500V</v>
      </c>
      <c r="G15" s="289" t="str">
        <f ca="1">C15&amp;"_"&amp;D15&amp;"_"&amp;E15&amp;"_"&amp;F15</f>
        <v>Transflex 1_Non-Local Authority_[0 - 300km]_&lt; 500V</v>
      </c>
      <c r="H15" s="289" t="str">
        <f t="shared" ca="1" si="4"/>
        <v>T101N</v>
      </c>
      <c r="I15" s="282">
        <f t="shared" ca="1" si="5"/>
        <v>739.28</v>
      </c>
      <c r="J15" s="282">
        <f t="shared" ca="1" si="5"/>
        <v>184.82</v>
      </c>
      <c r="K15" s="282">
        <f t="shared" ca="1" si="5"/>
        <v>123.2</v>
      </c>
      <c r="L15" s="282">
        <f t="shared" ca="1" si="5"/>
        <v>306.82</v>
      </c>
      <c r="M15" s="282">
        <f t="shared" ca="1" si="5"/>
        <v>172.5</v>
      </c>
      <c r="N15" s="282">
        <f t="shared" ca="1" si="5"/>
        <v>123.2</v>
      </c>
      <c r="O15" s="282" t="str">
        <f t="shared" ca="1" si="5"/>
        <v>n/a</v>
      </c>
      <c r="P15" s="282" t="str">
        <f t="shared" ca="1" si="5"/>
        <v>n/a</v>
      </c>
      <c r="Q15" s="282" t="str">
        <f t="shared" ca="1" si="5"/>
        <v>n/a</v>
      </c>
      <c r="R15" s="282" t="str">
        <f t="shared" ca="1" si="5"/>
        <v>n/a</v>
      </c>
      <c r="S15" s="282">
        <f t="shared" ca="1" si="5"/>
        <v>0</v>
      </c>
      <c r="T15" s="282">
        <f t="shared" ca="1" si="5"/>
        <v>7572.09</v>
      </c>
      <c r="U15" s="107">
        <f t="shared" ca="1" si="5"/>
        <v>2088.4899999999998</v>
      </c>
      <c r="V15" s="107">
        <f t="shared" ca="1" si="5"/>
        <v>24.78</v>
      </c>
    </row>
    <row r="16" spans="3:23" ht="13.8">
      <c r="C16" s="289" t="s">
        <v>584</v>
      </c>
      <c r="D16" s="289" t="str">
        <f>Selected_Tariff_Category</f>
        <v>Non-Local Authority</v>
      </c>
      <c r="E16" s="289" t="str">
        <f ca="1">Selected_Transmission</f>
        <v>[0 - 300km]</v>
      </c>
      <c r="F16" s="289" t="str">
        <f ca="1">Selected_Supply_Voltage</f>
        <v>&lt; 500V</v>
      </c>
      <c r="G16" s="289" t="str">
        <f ca="1">C16&amp;"_"&amp;D16&amp;"_"&amp;E16&amp;"_"&amp;F16</f>
        <v>Transflex 2_Non-Local Authority_[0 - 300km]_&lt; 500V</v>
      </c>
      <c r="H16" s="289" t="str">
        <f t="shared" ca="1" si="4"/>
        <v>T201N</v>
      </c>
      <c r="I16" s="282">
        <f t="shared" ca="1" si="5"/>
        <v>739.28</v>
      </c>
      <c r="J16" s="282">
        <f t="shared" ca="1" si="5"/>
        <v>184.82</v>
      </c>
      <c r="K16" s="282">
        <f t="shared" ca="1" si="5"/>
        <v>123.2</v>
      </c>
      <c r="L16" s="282">
        <f t="shared" ca="1" si="5"/>
        <v>306.82</v>
      </c>
      <c r="M16" s="282">
        <f t="shared" ca="1" si="5"/>
        <v>172.5</v>
      </c>
      <c r="N16" s="282">
        <f t="shared" ca="1" si="5"/>
        <v>123.2</v>
      </c>
      <c r="O16" s="282" t="str">
        <f t="shared" ca="1" si="5"/>
        <v>n/a</v>
      </c>
      <c r="P16" s="282" t="str">
        <f t="shared" ca="1" si="5"/>
        <v>n/a</v>
      </c>
      <c r="Q16" s="282" t="str">
        <f t="shared" ca="1" si="5"/>
        <v>n/a</v>
      </c>
      <c r="R16" s="282" t="str">
        <f t="shared" ca="1" si="5"/>
        <v>n/a</v>
      </c>
      <c r="S16" s="282">
        <f t="shared" ca="1" si="5"/>
        <v>0</v>
      </c>
      <c r="T16" s="282">
        <f t="shared" ca="1" si="5"/>
        <v>11471.03</v>
      </c>
      <c r="U16" s="107">
        <f t="shared" ca="1" si="5"/>
        <v>2021.95</v>
      </c>
      <c r="V16" s="107">
        <f t="shared" ca="1" si="5"/>
        <v>24.78</v>
      </c>
    </row>
    <row r="17" spans="3:22" ht="13.8"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</row>
    <row r="18" spans="3:22" ht="13.8"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 t="s">
        <v>303</v>
      </c>
      <c r="U18" s="77"/>
      <c r="V18" s="77"/>
    </row>
    <row r="19" spans="3:22" ht="55.2">
      <c r="C19" s="109" t="s">
        <v>31</v>
      </c>
      <c r="D19" s="110" t="s">
        <v>32</v>
      </c>
      <c r="E19" s="110" t="s">
        <v>33</v>
      </c>
      <c r="F19" s="110" t="s">
        <v>34</v>
      </c>
      <c r="G19" s="110" t="s">
        <v>76</v>
      </c>
      <c r="H19" s="110" t="s">
        <v>247</v>
      </c>
      <c r="I19" s="110" t="s">
        <v>35</v>
      </c>
      <c r="J19" s="110" t="s">
        <v>36</v>
      </c>
      <c r="K19" s="110" t="s">
        <v>37</v>
      </c>
      <c r="L19" s="110" t="s">
        <v>38</v>
      </c>
      <c r="M19" s="110" t="s">
        <v>39</v>
      </c>
      <c r="N19" s="110" t="s">
        <v>40</v>
      </c>
      <c r="O19" s="110" t="s">
        <v>22</v>
      </c>
      <c r="P19" s="110" t="s">
        <v>21</v>
      </c>
      <c r="Q19" s="110" t="s">
        <v>22</v>
      </c>
      <c r="R19" s="110" t="s">
        <v>21</v>
      </c>
      <c r="S19" s="110" t="s">
        <v>91</v>
      </c>
      <c r="T19" s="110" t="s">
        <v>93</v>
      </c>
      <c r="U19" s="110" t="s">
        <v>505</v>
      </c>
      <c r="V19" s="110" t="s">
        <v>533</v>
      </c>
    </row>
    <row r="20" spans="3:22" ht="13.8">
      <c r="C20" s="75"/>
      <c r="D20" s="76"/>
      <c r="E20" s="76"/>
      <c r="F20" s="76"/>
      <c r="G20" s="76"/>
      <c r="H20" s="76"/>
      <c r="I20" s="112" t="s">
        <v>106</v>
      </c>
      <c r="J20" s="112" t="s">
        <v>106</v>
      </c>
      <c r="K20" s="112" t="s">
        <v>106</v>
      </c>
      <c r="L20" s="112" t="s">
        <v>106</v>
      </c>
      <c r="M20" s="112" t="s">
        <v>106</v>
      </c>
      <c r="N20" s="112" t="s">
        <v>106</v>
      </c>
      <c r="O20" s="112" t="s">
        <v>106</v>
      </c>
      <c r="P20" s="112" t="s">
        <v>106</v>
      </c>
      <c r="Q20" s="124" t="s">
        <v>108</v>
      </c>
      <c r="R20" s="124" t="s">
        <v>108</v>
      </c>
      <c r="S20" s="124" t="s">
        <v>108</v>
      </c>
      <c r="T20" s="124" t="s">
        <v>108</v>
      </c>
      <c r="U20" s="124" t="s">
        <v>115</v>
      </c>
      <c r="V20" s="124" t="s">
        <v>106</v>
      </c>
    </row>
    <row r="21" spans="3:22" ht="13.8">
      <c r="C21" s="125"/>
      <c r="D21" s="126"/>
      <c r="E21" s="126"/>
      <c r="F21" s="126"/>
      <c r="G21" s="126"/>
      <c r="H21" s="127"/>
      <c r="I21" s="128" t="str">
        <f>'Rates LPU Energy - Current'!I21</f>
        <v>kWhHP</v>
      </c>
      <c r="J21" s="128" t="str">
        <f>'Rates LPU Energy - Current'!J21</f>
        <v>kWhHS</v>
      </c>
      <c r="K21" s="128" t="str">
        <f>'Rates LPU Energy - Current'!K21</f>
        <v>kWhHO</v>
      </c>
      <c r="L21" s="128" t="str">
        <f>'Rates LPU Energy - Current'!L21</f>
        <v>kWhLP</v>
      </c>
      <c r="M21" s="128" t="str">
        <f>'Rates LPU Energy - Current'!M21</f>
        <v>kWhLS</v>
      </c>
      <c r="N21" s="128" t="str">
        <f>'Rates LPU Energy - Current'!N21</f>
        <v>kWhLO</v>
      </c>
      <c r="O21" s="128" t="str">
        <f>'Rates LPU Energy - Current'!O21</f>
        <v>kWhHP</v>
      </c>
      <c r="P21" s="128" t="str">
        <f>'Rates LPU Energy - Current'!P21</f>
        <v>kWhLP</v>
      </c>
      <c r="Q21" s="129" t="str">
        <f>'Rates LPU Energy - Current'!Q21</f>
        <v>EDC H</v>
      </c>
      <c r="R21" s="129" t="str">
        <f>'Rates LPU Energy - Current'!R21</f>
        <v>EDC L</v>
      </c>
      <c r="S21" s="129" t="str">
        <f>'Rates LPU Energy - Current'!S21</f>
        <v>Tx NAC</v>
      </c>
      <c r="T21" s="129" t="s">
        <v>285</v>
      </c>
      <c r="U21" s="129" t="s">
        <v>504</v>
      </c>
      <c r="V21" s="129" t="s">
        <v>532</v>
      </c>
    </row>
    <row r="22" spans="3:22" ht="13.8">
      <c r="C22" s="77" t="s">
        <v>41</v>
      </c>
      <c r="D22" s="77" t="s">
        <v>72</v>
      </c>
      <c r="E22" s="77" t="s">
        <v>67</v>
      </c>
      <c r="F22" s="77" t="s">
        <v>62</v>
      </c>
      <c r="G22" s="77" t="str">
        <f>C22&amp;"_"&amp;D22&amp;"_"&amp;E22&amp;"_"&amp;F22</f>
        <v>Megaflex_Non-Local Authority_[0 - 300km]_&lt; 500V</v>
      </c>
      <c r="H22" s="77" t="str">
        <f>'Rates LPU Energy - Current'!H22</f>
        <v>Me01N</v>
      </c>
      <c r="I22" s="106">
        <v>739.28</v>
      </c>
      <c r="J22" s="106">
        <v>184.82</v>
      </c>
      <c r="K22" s="106">
        <v>123.2</v>
      </c>
      <c r="L22" s="106">
        <v>306.82</v>
      </c>
      <c r="M22" s="106">
        <v>172.5</v>
      </c>
      <c r="N22" s="106">
        <v>123.2</v>
      </c>
      <c r="O22" s="85" t="s">
        <v>118</v>
      </c>
      <c r="P22" s="85" t="s">
        <v>118</v>
      </c>
      <c r="Q22" s="85" t="s">
        <v>118</v>
      </c>
      <c r="R22" s="85" t="s">
        <v>118</v>
      </c>
      <c r="S22" s="106">
        <v>11.56</v>
      </c>
      <c r="T22" s="106" t="s">
        <v>118</v>
      </c>
      <c r="U22" s="106">
        <v>5.29</v>
      </c>
      <c r="V22" s="106">
        <v>24.78</v>
      </c>
    </row>
    <row r="23" spans="3:22" ht="13.8">
      <c r="C23" s="77" t="str">
        <f>C22</f>
        <v>Megaflex</v>
      </c>
      <c r="D23" s="77" t="s">
        <v>72</v>
      </c>
      <c r="E23" s="77" t="s">
        <v>67</v>
      </c>
      <c r="F23" s="77" t="s">
        <v>63</v>
      </c>
      <c r="G23" s="77" t="str">
        <f t="shared" ref="G23:G89" si="6">C23&amp;"_"&amp;D23&amp;"_"&amp;E23&amp;"_"&amp;F23</f>
        <v>Megaflex_Non-Local Authority_[0 - 300km]_≥ 500V &amp; &lt; 66kV</v>
      </c>
      <c r="H23" s="77" t="str">
        <f>'Rates LPU Energy - Current'!H23</f>
        <v>Me02N</v>
      </c>
      <c r="I23" s="106">
        <v>720.19</v>
      </c>
      <c r="J23" s="106">
        <v>180.05</v>
      </c>
      <c r="K23" s="106">
        <v>120.03</v>
      </c>
      <c r="L23" s="106">
        <v>298.89</v>
      </c>
      <c r="M23" s="106">
        <v>168.05</v>
      </c>
      <c r="N23" s="106">
        <v>120.03</v>
      </c>
      <c r="O23" s="85" t="s">
        <v>118</v>
      </c>
      <c r="P23" s="85" t="s">
        <v>118</v>
      </c>
      <c r="Q23" s="85" t="s">
        <v>118</v>
      </c>
      <c r="R23" s="85" t="s">
        <v>118</v>
      </c>
      <c r="S23" s="106">
        <v>11.15</v>
      </c>
      <c r="T23" s="106" t="s">
        <v>118</v>
      </c>
      <c r="U23" s="106">
        <v>12.27</v>
      </c>
      <c r="V23" s="106">
        <v>24.14</v>
      </c>
    </row>
    <row r="24" spans="3:22" ht="13.8">
      <c r="C24" s="77" t="str">
        <f t="shared" ref="C24:C37" si="7">C23</f>
        <v>Megaflex</v>
      </c>
      <c r="D24" s="77" t="s">
        <v>72</v>
      </c>
      <c r="E24" s="77" t="s">
        <v>67</v>
      </c>
      <c r="F24" s="77" t="s">
        <v>64</v>
      </c>
      <c r="G24" s="77" t="str">
        <f t="shared" si="6"/>
        <v>Megaflex_Non-Local Authority_[0 - 300km]_≥ 66kV &amp; ≤ 132kV</v>
      </c>
      <c r="H24" s="77" t="str">
        <f>'Rates LPU Energy - Current'!H24</f>
        <v>Me03N</v>
      </c>
      <c r="I24" s="106">
        <v>668.35</v>
      </c>
      <c r="J24" s="106">
        <v>167.08</v>
      </c>
      <c r="K24" s="106">
        <v>111.39</v>
      </c>
      <c r="L24" s="106">
        <v>277.38</v>
      </c>
      <c r="M24" s="106">
        <v>155.96</v>
      </c>
      <c r="N24" s="106">
        <v>111.39</v>
      </c>
      <c r="O24" s="85" t="s">
        <v>118</v>
      </c>
      <c r="P24" s="85" t="s">
        <v>118</v>
      </c>
      <c r="Q24" s="85" t="s">
        <v>118</v>
      </c>
      <c r="R24" s="85" t="s">
        <v>118</v>
      </c>
      <c r="S24" s="106">
        <v>10.17</v>
      </c>
      <c r="T24" s="106" t="s">
        <v>118</v>
      </c>
      <c r="U24" s="106">
        <v>9.2799999999999994</v>
      </c>
      <c r="V24" s="106">
        <v>22.4</v>
      </c>
    </row>
    <row r="25" spans="3:22" ht="13.8">
      <c r="C25" s="77" t="str">
        <f t="shared" si="7"/>
        <v>Megaflex</v>
      </c>
      <c r="D25" s="77" t="s">
        <v>72</v>
      </c>
      <c r="E25" s="77" t="s">
        <v>67</v>
      </c>
      <c r="F25" s="77" t="s">
        <v>65</v>
      </c>
      <c r="G25" s="77" t="str">
        <f t="shared" si="6"/>
        <v>Megaflex_Non-Local Authority_[0 - 300km]_&gt; 132kV</v>
      </c>
      <c r="H25" s="77" t="str">
        <f>'Rates LPU Energy - Current'!H25</f>
        <v>Me04N</v>
      </c>
      <c r="I25" s="106">
        <v>623.23</v>
      </c>
      <c r="J25" s="106">
        <v>155.81</v>
      </c>
      <c r="K25" s="106">
        <v>103.87</v>
      </c>
      <c r="L25" s="106">
        <v>258.64999999999998</v>
      </c>
      <c r="M25" s="106">
        <v>145.43</v>
      </c>
      <c r="N25" s="106">
        <v>103.87</v>
      </c>
      <c r="O25" s="85" t="s">
        <v>118</v>
      </c>
      <c r="P25" s="85" t="s">
        <v>118</v>
      </c>
      <c r="Q25" s="85" t="s">
        <v>118</v>
      </c>
      <c r="R25" s="85" t="s">
        <v>118</v>
      </c>
      <c r="S25" s="106">
        <v>17.77</v>
      </c>
      <c r="T25" s="106" t="s">
        <v>118</v>
      </c>
      <c r="U25" s="106">
        <v>10.65</v>
      </c>
      <c r="V25" s="106">
        <v>20.89</v>
      </c>
    </row>
    <row r="26" spans="3:22" ht="13.8">
      <c r="C26" s="77" t="str">
        <f t="shared" si="7"/>
        <v>Megaflex</v>
      </c>
      <c r="D26" s="77" t="s">
        <v>72</v>
      </c>
      <c r="E26" s="77" t="s">
        <v>68</v>
      </c>
      <c r="F26" s="77" t="s">
        <v>62</v>
      </c>
      <c r="G26" s="77" t="str">
        <f t="shared" si="6"/>
        <v>Megaflex_Non-Local Authority_[301 - 600km]_&lt; 500V</v>
      </c>
      <c r="H26" s="77" t="str">
        <f>'Rates LPU Energy - Current'!H26</f>
        <v>Me11N</v>
      </c>
      <c r="I26" s="106">
        <v>746.66</v>
      </c>
      <c r="J26" s="106">
        <v>186.67</v>
      </c>
      <c r="K26" s="106">
        <v>124.43</v>
      </c>
      <c r="L26" s="106">
        <v>309.88</v>
      </c>
      <c r="M26" s="106">
        <v>174.23</v>
      </c>
      <c r="N26" s="106">
        <v>124.43</v>
      </c>
      <c r="O26" s="85" t="s">
        <v>118</v>
      </c>
      <c r="P26" s="85" t="s">
        <v>118</v>
      </c>
      <c r="Q26" s="85" t="s">
        <v>118</v>
      </c>
      <c r="R26" s="85" t="s">
        <v>118</v>
      </c>
      <c r="S26" s="106">
        <v>11.68</v>
      </c>
      <c r="T26" s="106" t="s">
        <v>118</v>
      </c>
      <c r="U26" s="106">
        <v>5.29</v>
      </c>
      <c r="V26" s="106">
        <v>24.78</v>
      </c>
    </row>
    <row r="27" spans="3:22" ht="13.8">
      <c r="C27" s="77" t="str">
        <f t="shared" si="7"/>
        <v>Megaflex</v>
      </c>
      <c r="D27" s="77" t="s">
        <v>72</v>
      </c>
      <c r="E27" s="77" t="s">
        <v>68</v>
      </c>
      <c r="F27" s="77" t="s">
        <v>63</v>
      </c>
      <c r="G27" s="77" t="str">
        <f t="shared" si="6"/>
        <v>Megaflex_Non-Local Authority_[301 - 600km]_≥ 500V &amp; &lt; 66kV</v>
      </c>
      <c r="H27" s="77" t="str">
        <f>'Rates LPU Energy - Current'!H27</f>
        <v>Me12N</v>
      </c>
      <c r="I27" s="106">
        <v>727.41</v>
      </c>
      <c r="J27" s="106">
        <v>181.85</v>
      </c>
      <c r="K27" s="106">
        <v>121.24</v>
      </c>
      <c r="L27" s="106">
        <v>301.88</v>
      </c>
      <c r="M27" s="106">
        <v>169.72</v>
      </c>
      <c r="N27" s="106">
        <v>121.24</v>
      </c>
      <c r="O27" s="85" t="s">
        <v>118</v>
      </c>
      <c r="P27" s="85" t="s">
        <v>118</v>
      </c>
      <c r="Q27" s="85" t="s">
        <v>118</v>
      </c>
      <c r="R27" s="85" t="s">
        <v>118</v>
      </c>
      <c r="S27" s="106">
        <v>11.26</v>
      </c>
      <c r="T27" s="106" t="s">
        <v>118</v>
      </c>
      <c r="U27" s="106">
        <v>12.27</v>
      </c>
      <c r="V27" s="106">
        <v>24.14</v>
      </c>
    </row>
    <row r="28" spans="3:22" ht="13.8">
      <c r="C28" s="77" t="str">
        <f t="shared" si="7"/>
        <v>Megaflex</v>
      </c>
      <c r="D28" s="77" t="s">
        <v>72</v>
      </c>
      <c r="E28" s="77" t="s">
        <v>68</v>
      </c>
      <c r="F28" s="77" t="s">
        <v>64</v>
      </c>
      <c r="G28" s="77" t="str">
        <f t="shared" si="6"/>
        <v>Megaflex_Non-Local Authority_[301 - 600km]_≥ 66kV &amp; ≤ 132kV</v>
      </c>
      <c r="H28" s="77" t="str">
        <f>'Rates LPU Energy - Current'!H28</f>
        <v>Me13N</v>
      </c>
      <c r="I28" s="106">
        <v>675.03</v>
      </c>
      <c r="J28" s="106">
        <v>168.76</v>
      </c>
      <c r="K28" s="106">
        <v>112.5</v>
      </c>
      <c r="L28" s="106">
        <v>280.14999999999998</v>
      </c>
      <c r="M28" s="106">
        <v>157.51</v>
      </c>
      <c r="N28" s="106">
        <v>112.5</v>
      </c>
      <c r="O28" s="85" t="s">
        <v>118</v>
      </c>
      <c r="P28" s="85" t="s">
        <v>118</v>
      </c>
      <c r="Q28" s="85" t="s">
        <v>118</v>
      </c>
      <c r="R28" s="85" t="s">
        <v>118</v>
      </c>
      <c r="S28" s="106">
        <v>10.28</v>
      </c>
      <c r="T28" s="106" t="s">
        <v>118</v>
      </c>
      <c r="U28" s="106">
        <v>9.2799999999999994</v>
      </c>
      <c r="V28" s="106">
        <v>22.4</v>
      </c>
    </row>
    <row r="29" spans="3:22" ht="13.8">
      <c r="C29" s="77" t="str">
        <f t="shared" si="7"/>
        <v>Megaflex</v>
      </c>
      <c r="D29" s="77" t="s">
        <v>72</v>
      </c>
      <c r="E29" s="77" t="s">
        <v>68</v>
      </c>
      <c r="F29" s="77" t="s">
        <v>65</v>
      </c>
      <c r="G29" s="77" t="str">
        <f t="shared" si="6"/>
        <v>Megaflex_Non-Local Authority_[301 - 600km]_&gt; 132kV</v>
      </c>
      <c r="H29" s="77" t="str">
        <f>'Rates LPU Energy - Current'!H29</f>
        <v>Me14N</v>
      </c>
      <c r="I29" s="106">
        <v>629.46</v>
      </c>
      <c r="J29" s="106">
        <v>157.37</v>
      </c>
      <c r="K29" s="106">
        <v>104.91</v>
      </c>
      <c r="L29" s="106">
        <v>261.23</v>
      </c>
      <c r="M29" s="106">
        <v>146.87</v>
      </c>
      <c r="N29" s="106">
        <v>104.91</v>
      </c>
      <c r="O29" s="85" t="s">
        <v>118</v>
      </c>
      <c r="P29" s="85" t="s">
        <v>118</v>
      </c>
      <c r="Q29" s="85" t="s">
        <v>118</v>
      </c>
      <c r="R29" s="85" t="s">
        <v>118</v>
      </c>
      <c r="S29" s="106">
        <v>17.96</v>
      </c>
      <c r="T29" s="106" t="s">
        <v>118</v>
      </c>
      <c r="U29" s="106">
        <v>10.65</v>
      </c>
      <c r="V29" s="106">
        <v>20.89</v>
      </c>
    </row>
    <row r="30" spans="3:22" ht="13.8">
      <c r="C30" s="77" t="str">
        <f t="shared" si="7"/>
        <v>Megaflex</v>
      </c>
      <c r="D30" s="77" t="s">
        <v>72</v>
      </c>
      <c r="E30" s="77" t="s">
        <v>69</v>
      </c>
      <c r="F30" s="77" t="s">
        <v>62</v>
      </c>
      <c r="G30" s="77" t="str">
        <f t="shared" si="6"/>
        <v>Megaflex_Non-Local Authority_[601 - 900km]_&lt; 500V</v>
      </c>
      <c r="H30" s="77" t="str">
        <f>'Rates LPU Energy - Current'!H30</f>
        <v>Me21N</v>
      </c>
      <c r="I30" s="106">
        <v>754.06</v>
      </c>
      <c r="J30" s="106">
        <v>188.51</v>
      </c>
      <c r="K30" s="106">
        <v>125.67</v>
      </c>
      <c r="L30" s="106">
        <v>312.95</v>
      </c>
      <c r="M30" s="106">
        <v>175.94</v>
      </c>
      <c r="N30" s="106">
        <v>125.67</v>
      </c>
      <c r="O30" s="85" t="s">
        <v>118</v>
      </c>
      <c r="P30" s="85" t="s">
        <v>118</v>
      </c>
      <c r="Q30" s="85" t="s">
        <v>118</v>
      </c>
      <c r="R30" s="85" t="s">
        <v>118</v>
      </c>
      <c r="S30" s="106">
        <v>11.8</v>
      </c>
      <c r="T30" s="106" t="s">
        <v>118</v>
      </c>
      <c r="U30" s="106">
        <v>5.29</v>
      </c>
      <c r="V30" s="106">
        <v>24.78</v>
      </c>
    </row>
    <row r="31" spans="3:22" ht="13.8">
      <c r="C31" s="77" t="str">
        <f t="shared" si="7"/>
        <v>Megaflex</v>
      </c>
      <c r="D31" s="77" t="s">
        <v>72</v>
      </c>
      <c r="E31" s="77" t="s">
        <v>69</v>
      </c>
      <c r="F31" s="77" t="s">
        <v>63</v>
      </c>
      <c r="G31" s="77" t="str">
        <f t="shared" si="6"/>
        <v>Megaflex_Non-Local Authority_[601 - 900km]_≥ 500V &amp; &lt; 66kV</v>
      </c>
      <c r="H31" s="77" t="str">
        <f>'Rates LPU Energy - Current'!H31</f>
        <v>Me22N</v>
      </c>
      <c r="I31" s="106">
        <v>734.61</v>
      </c>
      <c r="J31" s="106">
        <v>183.66</v>
      </c>
      <c r="K31" s="106">
        <v>122.43</v>
      </c>
      <c r="L31" s="106">
        <v>304.87</v>
      </c>
      <c r="M31" s="106">
        <v>171.41</v>
      </c>
      <c r="N31" s="106">
        <v>122.43</v>
      </c>
      <c r="O31" s="85" t="s">
        <v>118</v>
      </c>
      <c r="P31" s="85" t="s">
        <v>118</v>
      </c>
      <c r="Q31" s="85" t="s">
        <v>118</v>
      </c>
      <c r="R31" s="85" t="s">
        <v>118</v>
      </c>
      <c r="S31" s="106">
        <v>11.37</v>
      </c>
      <c r="T31" s="106" t="s">
        <v>118</v>
      </c>
      <c r="U31" s="106">
        <v>12.27</v>
      </c>
      <c r="V31" s="106">
        <v>24.14</v>
      </c>
    </row>
    <row r="32" spans="3:22" ht="13.8">
      <c r="C32" s="77" t="str">
        <f t="shared" si="7"/>
        <v>Megaflex</v>
      </c>
      <c r="D32" s="77" t="s">
        <v>72</v>
      </c>
      <c r="E32" s="77" t="s">
        <v>69</v>
      </c>
      <c r="F32" s="77" t="s">
        <v>64</v>
      </c>
      <c r="G32" s="77" t="str">
        <f t="shared" si="6"/>
        <v>Megaflex_Non-Local Authority_[601 - 900km]_≥ 66kV &amp; ≤ 132kV</v>
      </c>
      <c r="H32" s="77" t="str">
        <f>'Rates LPU Energy - Current'!H32</f>
        <v>Me23N</v>
      </c>
      <c r="I32" s="106">
        <v>681.72</v>
      </c>
      <c r="J32" s="106">
        <v>170.43</v>
      </c>
      <c r="K32" s="106">
        <v>113.61</v>
      </c>
      <c r="L32" s="106">
        <v>282.93</v>
      </c>
      <c r="M32" s="106">
        <v>159.08000000000001</v>
      </c>
      <c r="N32" s="106">
        <v>113.61</v>
      </c>
      <c r="O32" s="85" t="s">
        <v>118</v>
      </c>
      <c r="P32" s="85" t="s">
        <v>118</v>
      </c>
      <c r="Q32" s="85" t="s">
        <v>118</v>
      </c>
      <c r="R32" s="85" t="s">
        <v>118</v>
      </c>
      <c r="S32" s="106">
        <v>10.38</v>
      </c>
      <c r="T32" s="106" t="s">
        <v>118</v>
      </c>
      <c r="U32" s="106">
        <v>9.2799999999999994</v>
      </c>
      <c r="V32" s="106">
        <v>22.4</v>
      </c>
    </row>
    <row r="33" spans="3:23" ht="13.8">
      <c r="C33" s="77" t="str">
        <f t="shared" si="7"/>
        <v>Megaflex</v>
      </c>
      <c r="D33" s="77" t="s">
        <v>72</v>
      </c>
      <c r="E33" s="77" t="s">
        <v>69</v>
      </c>
      <c r="F33" s="77" t="s">
        <v>65</v>
      </c>
      <c r="G33" s="77" t="str">
        <f t="shared" si="6"/>
        <v>Megaflex_Non-Local Authority_[601 - 900km]_&gt; 132kV</v>
      </c>
      <c r="H33" s="77" t="str">
        <f>'Rates LPU Energy - Current'!H33</f>
        <v>Me24N</v>
      </c>
      <c r="I33" s="106">
        <v>635.69000000000005</v>
      </c>
      <c r="J33" s="106">
        <v>158.93</v>
      </c>
      <c r="K33" s="106">
        <v>105.95</v>
      </c>
      <c r="L33" s="106">
        <v>263.83</v>
      </c>
      <c r="M33" s="106">
        <v>148.33000000000001</v>
      </c>
      <c r="N33" s="106">
        <v>105.95</v>
      </c>
      <c r="O33" s="85" t="s">
        <v>118</v>
      </c>
      <c r="P33" s="85" t="s">
        <v>118</v>
      </c>
      <c r="Q33" s="85" t="s">
        <v>118</v>
      </c>
      <c r="R33" s="85" t="s">
        <v>118</v>
      </c>
      <c r="S33" s="106">
        <v>18.12</v>
      </c>
      <c r="T33" s="106" t="s">
        <v>118</v>
      </c>
      <c r="U33" s="106">
        <v>10.65</v>
      </c>
      <c r="V33" s="106">
        <v>20.89</v>
      </c>
    </row>
    <row r="34" spans="3:23" ht="13.8">
      <c r="C34" s="77" t="str">
        <f t="shared" si="7"/>
        <v>Megaflex</v>
      </c>
      <c r="D34" s="77" t="s">
        <v>72</v>
      </c>
      <c r="E34" s="77" t="s">
        <v>70</v>
      </c>
      <c r="F34" s="77" t="s">
        <v>62</v>
      </c>
      <c r="G34" s="77" t="str">
        <f t="shared" si="6"/>
        <v>Megaflex_Non-Local Authority_[&gt; 900km]_&lt; 500V</v>
      </c>
      <c r="H34" s="77" t="str">
        <f>'Rates LPU Energy - Current'!H34</f>
        <v>Me31N</v>
      </c>
      <c r="I34" s="106">
        <v>761.46</v>
      </c>
      <c r="J34" s="106">
        <v>190.36</v>
      </c>
      <c r="K34" s="106">
        <v>126.91</v>
      </c>
      <c r="L34" s="106">
        <v>316.02</v>
      </c>
      <c r="M34" s="106">
        <v>177.67</v>
      </c>
      <c r="N34" s="106">
        <v>126.91</v>
      </c>
      <c r="O34" s="85" t="s">
        <v>118</v>
      </c>
      <c r="P34" s="85" t="s">
        <v>118</v>
      </c>
      <c r="Q34" s="85" t="s">
        <v>118</v>
      </c>
      <c r="R34" s="85" t="s">
        <v>118</v>
      </c>
      <c r="S34" s="106">
        <v>11.92</v>
      </c>
      <c r="T34" s="106" t="s">
        <v>118</v>
      </c>
      <c r="U34" s="106">
        <v>5.29</v>
      </c>
      <c r="V34" s="106">
        <v>24.78</v>
      </c>
    </row>
    <row r="35" spans="3:23" ht="13.8">
      <c r="C35" s="77" t="str">
        <f t="shared" si="7"/>
        <v>Megaflex</v>
      </c>
      <c r="D35" s="77" t="s">
        <v>72</v>
      </c>
      <c r="E35" s="77" t="s">
        <v>70</v>
      </c>
      <c r="F35" s="77" t="s">
        <v>63</v>
      </c>
      <c r="G35" s="77" t="str">
        <f t="shared" si="6"/>
        <v>Megaflex_Non-Local Authority_[&gt; 900km]_≥ 500V &amp; &lt; 66kV</v>
      </c>
      <c r="H35" s="77" t="str">
        <f>'Rates LPU Energy - Current'!H35</f>
        <v>Me32N</v>
      </c>
      <c r="I35" s="106">
        <v>741.81</v>
      </c>
      <c r="J35" s="106">
        <v>185.46</v>
      </c>
      <c r="K35" s="106">
        <v>123.64</v>
      </c>
      <c r="L35" s="106">
        <v>307.86</v>
      </c>
      <c r="M35" s="106">
        <v>173.08</v>
      </c>
      <c r="N35" s="106">
        <v>123.64</v>
      </c>
      <c r="O35" s="85" t="s">
        <v>118</v>
      </c>
      <c r="P35" s="85" t="s">
        <v>118</v>
      </c>
      <c r="Q35" s="85" t="s">
        <v>118</v>
      </c>
      <c r="R35" s="85" t="s">
        <v>118</v>
      </c>
      <c r="S35" s="106">
        <v>11.47</v>
      </c>
      <c r="T35" s="106" t="s">
        <v>118</v>
      </c>
      <c r="U35" s="106">
        <v>12.27</v>
      </c>
      <c r="V35" s="106">
        <v>24.14</v>
      </c>
    </row>
    <row r="36" spans="3:23" ht="13.8">
      <c r="C36" s="77" t="str">
        <f t="shared" si="7"/>
        <v>Megaflex</v>
      </c>
      <c r="D36" s="77" t="s">
        <v>72</v>
      </c>
      <c r="E36" s="77" t="s">
        <v>70</v>
      </c>
      <c r="F36" s="77" t="s">
        <v>64</v>
      </c>
      <c r="G36" s="77" t="str">
        <f t="shared" si="6"/>
        <v>Megaflex_Non-Local Authority_[&gt; 900km]_≥ 66kV &amp; ≤ 132kV</v>
      </c>
      <c r="H36" s="77" t="str">
        <f>'Rates LPU Energy - Current'!H36</f>
        <v>Me33N</v>
      </c>
      <c r="I36" s="106">
        <v>688.4</v>
      </c>
      <c r="J36" s="106">
        <v>172.1</v>
      </c>
      <c r="K36" s="106">
        <v>114.74</v>
      </c>
      <c r="L36" s="106">
        <v>285.69</v>
      </c>
      <c r="M36" s="106">
        <v>160.63</v>
      </c>
      <c r="N36" s="106">
        <v>114.74</v>
      </c>
      <c r="O36" s="85" t="s">
        <v>118</v>
      </c>
      <c r="P36" s="85" t="s">
        <v>118</v>
      </c>
      <c r="Q36" s="85" t="s">
        <v>118</v>
      </c>
      <c r="R36" s="85" t="s">
        <v>118</v>
      </c>
      <c r="S36" s="106">
        <v>10.47</v>
      </c>
      <c r="T36" s="106" t="s">
        <v>118</v>
      </c>
      <c r="U36" s="106">
        <v>9.2799999999999994</v>
      </c>
      <c r="V36" s="106">
        <v>22.4</v>
      </c>
    </row>
    <row r="37" spans="3:23" ht="14.4" thickBot="1">
      <c r="C37" s="77" t="str">
        <f t="shared" si="7"/>
        <v>Megaflex</v>
      </c>
      <c r="D37" s="77" t="s">
        <v>72</v>
      </c>
      <c r="E37" s="77" t="s">
        <v>70</v>
      </c>
      <c r="F37" s="77" t="s">
        <v>65</v>
      </c>
      <c r="G37" s="77" t="str">
        <f t="shared" si="6"/>
        <v>Megaflex_Non-Local Authority_[&gt; 900km]_&gt; 132kV</v>
      </c>
      <c r="H37" s="77" t="str">
        <f>'Rates LPU Energy - Current'!H37</f>
        <v>Me34N</v>
      </c>
      <c r="I37" s="237">
        <v>641.91999999999996</v>
      </c>
      <c r="J37" s="237">
        <v>160.47999999999999</v>
      </c>
      <c r="K37" s="237">
        <v>106.97</v>
      </c>
      <c r="L37" s="237">
        <v>266.41000000000003</v>
      </c>
      <c r="M37" s="237">
        <v>149.78</v>
      </c>
      <c r="N37" s="237">
        <v>106.97</v>
      </c>
      <c r="O37" s="238" t="s">
        <v>118</v>
      </c>
      <c r="P37" s="238" t="s">
        <v>118</v>
      </c>
      <c r="Q37" s="238" t="s">
        <v>118</v>
      </c>
      <c r="R37" s="238" t="s">
        <v>118</v>
      </c>
      <c r="S37" s="237">
        <v>18.3</v>
      </c>
      <c r="T37" s="106" t="s">
        <v>118</v>
      </c>
      <c r="U37" s="237">
        <v>10.65</v>
      </c>
      <c r="V37" s="237">
        <v>20.89</v>
      </c>
      <c r="W37" s="220">
        <v>0</v>
      </c>
    </row>
    <row r="38" spans="3:23" ht="13.8">
      <c r="C38" s="239" t="s">
        <v>465</v>
      </c>
      <c r="D38" s="239" t="s">
        <v>71</v>
      </c>
      <c r="E38" s="239" t="str">
        <f>E22</f>
        <v>[0 - 300km]</v>
      </c>
      <c r="F38" s="239" t="str">
        <f>F22</f>
        <v>&lt; 500V</v>
      </c>
      <c r="G38" s="239" t="str">
        <f t="shared" si="6"/>
        <v>Municflex_Local Authority_[0 - 300km]_&lt; 500V</v>
      </c>
      <c r="H38" s="239" t="s">
        <v>472</v>
      </c>
      <c r="I38" s="240">
        <v>754.92</v>
      </c>
      <c r="J38" s="240">
        <v>188.7</v>
      </c>
      <c r="K38" s="240">
        <v>125.84</v>
      </c>
      <c r="L38" s="240">
        <v>313.35000000000002</v>
      </c>
      <c r="M38" s="240">
        <v>176.16</v>
      </c>
      <c r="N38" s="240">
        <v>125.89</v>
      </c>
      <c r="O38" s="306">
        <v>0</v>
      </c>
      <c r="P38" s="306">
        <v>0</v>
      </c>
      <c r="Q38" s="306">
        <v>0</v>
      </c>
      <c r="R38" s="306">
        <v>0</v>
      </c>
      <c r="S38" s="240">
        <v>11.83</v>
      </c>
      <c r="T38" s="106">
        <v>0</v>
      </c>
      <c r="U38" s="240">
        <v>5.0599999999999996</v>
      </c>
      <c r="V38" s="240">
        <v>25.31</v>
      </c>
    </row>
    <row r="39" spans="3:23" ht="13.8">
      <c r="C39" s="77" t="s">
        <v>465</v>
      </c>
      <c r="D39" s="77" t="s">
        <v>71</v>
      </c>
      <c r="E39" s="77" t="str">
        <f t="shared" ref="E39:F53" si="8">E23</f>
        <v>[0 - 300km]</v>
      </c>
      <c r="F39" s="77" t="str">
        <f t="shared" si="8"/>
        <v>≥ 500V &amp; &lt; 66kV</v>
      </c>
      <c r="G39" s="77" t="str">
        <f t="shared" si="6"/>
        <v>Municflex_Local Authority_[0 - 300km]_≥ 500V &amp; &lt; 66kV</v>
      </c>
      <c r="H39" s="77" t="s">
        <v>473</v>
      </c>
      <c r="I39" s="106">
        <v>733.19</v>
      </c>
      <c r="J39" s="106">
        <v>183.29</v>
      </c>
      <c r="K39" s="106">
        <v>122.2</v>
      </c>
      <c r="L39" s="106">
        <v>304.27999999999997</v>
      </c>
      <c r="M39" s="106">
        <v>171.07</v>
      </c>
      <c r="N39" s="106">
        <v>122.2</v>
      </c>
      <c r="O39" s="307">
        <v>0</v>
      </c>
      <c r="P39" s="307">
        <v>0</v>
      </c>
      <c r="Q39" s="307">
        <v>0</v>
      </c>
      <c r="R39" s="307">
        <v>0</v>
      </c>
      <c r="S39" s="106">
        <v>11.35</v>
      </c>
      <c r="T39" s="106">
        <v>0</v>
      </c>
      <c r="U39" s="106">
        <v>11.72</v>
      </c>
      <c r="V39" s="106">
        <v>24.58</v>
      </c>
    </row>
    <row r="40" spans="3:23" ht="13.8">
      <c r="C40" s="77" t="s">
        <v>465</v>
      </c>
      <c r="D40" s="77" t="s">
        <v>71</v>
      </c>
      <c r="E40" s="77" t="str">
        <f t="shared" si="8"/>
        <v>[0 - 300km]</v>
      </c>
      <c r="F40" s="77" t="str">
        <f t="shared" si="8"/>
        <v>≥ 66kV &amp; ≤ 132kV</v>
      </c>
      <c r="G40" s="77" t="str">
        <f t="shared" si="6"/>
        <v>Municflex_Local Authority_[0 - 300km]_≥ 66kV &amp; ≤ 132kV</v>
      </c>
      <c r="H40" s="77" t="s">
        <v>474</v>
      </c>
      <c r="I40" s="106">
        <v>680.35</v>
      </c>
      <c r="J40" s="106">
        <v>170.09</v>
      </c>
      <c r="K40" s="106">
        <v>113.38</v>
      </c>
      <c r="L40" s="106">
        <v>282.36</v>
      </c>
      <c r="M40" s="106">
        <v>158.76</v>
      </c>
      <c r="N40" s="106">
        <v>113.38</v>
      </c>
      <c r="O40" s="307">
        <v>0</v>
      </c>
      <c r="P40" s="307">
        <v>0</v>
      </c>
      <c r="Q40" s="307">
        <v>0</v>
      </c>
      <c r="R40" s="307">
        <v>0</v>
      </c>
      <c r="S40" s="106">
        <v>10.36</v>
      </c>
      <c r="T40" s="106">
        <v>0</v>
      </c>
      <c r="U40" s="106">
        <v>9.82</v>
      </c>
      <c r="V40" s="106">
        <v>22.82</v>
      </c>
    </row>
    <row r="41" spans="3:23" ht="13.8">
      <c r="C41" s="77" t="s">
        <v>465</v>
      </c>
      <c r="D41" s="77" t="s">
        <v>71</v>
      </c>
      <c r="E41" s="77" t="str">
        <f t="shared" si="8"/>
        <v>[0 - 300km]</v>
      </c>
      <c r="F41" s="77" t="str">
        <f t="shared" si="8"/>
        <v>&gt; 132kV</v>
      </c>
      <c r="G41" s="77" t="str">
        <f t="shared" si="6"/>
        <v>Municflex_Local Authority_[0 - 300km]_&gt; 132kV</v>
      </c>
      <c r="H41" s="77" t="s">
        <v>475</v>
      </c>
      <c r="I41" s="106">
        <v>634.41999999999996</v>
      </c>
      <c r="J41" s="106">
        <v>158.61000000000001</v>
      </c>
      <c r="K41" s="106">
        <v>105.74</v>
      </c>
      <c r="L41" s="106">
        <v>263.3</v>
      </c>
      <c r="M41" s="106">
        <v>148.04</v>
      </c>
      <c r="N41" s="106">
        <v>105.74</v>
      </c>
      <c r="O41" s="307">
        <v>0</v>
      </c>
      <c r="P41" s="307">
        <v>0</v>
      </c>
      <c r="Q41" s="307">
        <v>0</v>
      </c>
      <c r="R41" s="307">
        <v>0</v>
      </c>
      <c r="S41" s="106">
        <v>18.079999999999998</v>
      </c>
      <c r="T41" s="106">
        <v>0</v>
      </c>
      <c r="U41" s="106">
        <v>10.85</v>
      </c>
      <c r="V41" s="106">
        <v>21.27</v>
      </c>
    </row>
    <row r="42" spans="3:23" ht="13.8">
      <c r="C42" s="77" t="s">
        <v>465</v>
      </c>
      <c r="D42" s="77" t="s">
        <v>71</v>
      </c>
      <c r="E42" s="77" t="str">
        <f t="shared" si="8"/>
        <v>[301 - 600km]</v>
      </c>
      <c r="F42" s="77" t="str">
        <f t="shared" si="8"/>
        <v>&lt; 500V</v>
      </c>
      <c r="G42" s="77" t="str">
        <f t="shared" si="6"/>
        <v>Municflex_Local Authority_[301 - 600km]_&lt; 500V</v>
      </c>
      <c r="H42" s="77" t="s">
        <v>476</v>
      </c>
      <c r="I42" s="106">
        <v>765.2</v>
      </c>
      <c r="J42" s="106">
        <v>191.31</v>
      </c>
      <c r="K42" s="106">
        <v>127.55</v>
      </c>
      <c r="L42" s="106">
        <v>317.58</v>
      </c>
      <c r="M42" s="106">
        <v>178.57</v>
      </c>
      <c r="N42" s="106">
        <v>127.55</v>
      </c>
      <c r="O42" s="307">
        <v>0</v>
      </c>
      <c r="P42" s="307">
        <v>0</v>
      </c>
      <c r="Q42" s="307">
        <v>0</v>
      </c>
      <c r="R42" s="307">
        <v>0</v>
      </c>
      <c r="S42" s="106">
        <v>12</v>
      </c>
      <c r="T42" s="106">
        <v>0</v>
      </c>
      <c r="U42" s="106">
        <v>5.0599999999999996</v>
      </c>
      <c r="V42" s="106">
        <v>25.4</v>
      </c>
    </row>
    <row r="43" spans="3:23" ht="13.8">
      <c r="C43" s="77" t="s">
        <v>465</v>
      </c>
      <c r="D43" s="77" t="s">
        <v>71</v>
      </c>
      <c r="E43" s="77" t="str">
        <f t="shared" si="8"/>
        <v>[301 - 600km]</v>
      </c>
      <c r="F43" s="77" t="str">
        <f t="shared" si="8"/>
        <v>≥ 500V &amp; &lt; 66kV</v>
      </c>
      <c r="G43" s="77" t="str">
        <f t="shared" si="6"/>
        <v>Municflex_Local Authority_[301 - 600km]_≥ 500V &amp; &lt; 66kV</v>
      </c>
      <c r="H43" s="77" t="s">
        <v>477</v>
      </c>
      <c r="I43" s="106">
        <v>741.59</v>
      </c>
      <c r="J43" s="106">
        <v>185.41</v>
      </c>
      <c r="K43" s="106">
        <v>123.62</v>
      </c>
      <c r="L43" s="106">
        <v>307.76</v>
      </c>
      <c r="M43" s="106">
        <v>173.05</v>
      </c>
      <c r="N43" s="106">
        <v>123.62</v>
      </c>
      <c r="O43" s="307">
        <v>0</v>
      </c>
      <c r="P43" s="307">
        <v>0</v>
      </c>
      <c r="Q43" s="307">
        <v>0</v>
      </c>
      <c r="R43" s="307">
        <v>0</v>
      </c>
      <c r="S43" s="106">
        <v>11.49</v>
      </c>
      <c r="T43" s="106">
        <v>0</v>
      </c>
      <c r="U43" s="106">
        <v>11.72</v>
      </c>
      <c r="V43" s="106">
        <v>24.63</v>
      </c>
    </row>
    <row r="44" spans="3:23" ht="13.8">
      <c r="C44" s="77" t="s">
        <v>465</v>
      </c>
      <c r="D44" s="77" t="s">
        <v>71</v>
      </c>
      <c r="E44" s="77" t="str">
        <f t="shared" si="8"/>
        <v>[301 - 600km]</v>
      </c>
      <c r="F44" s="77" t="str">
        <f t="shared" si="8"/>
        <v>≥ 66kV &amp; ≤ 132kV</v>
      </c>
      <c r="G44" s="77" t="str">
        <f t="shared" si="6"/>
        <v>Municflex_Local Authority_[301 - 600km]_≥ 66kV &amp; ≤ 132kV</v>
      </c>
      <c r="H44" s="77" t="s">
        <v>478</v>
      </c>
      <c r="I44" s="106">
        <v>687.16</v>
      </c>
      <c r="J44" s="106">
        <v>171.8</v>
      </c>
      <c r="K44" s="106">
        <v>114.53</v>
      </c>
      <c r="L44" s="106">
        <v>285.17</v>
      </c>
      <c r="M44" s="106">
        <v>160.34</v>
      </c>
      <c r="N44" s="106">
        <v>114.53</v>
      </c>
      <c r="O44" s="307">
        <v>0</v>
      </c>
      <c r="P44" s="307">
        <v>0</v>
      </c>
      <c r="Q44" s="307">
        <v>0</v>
      </c>
      <c r="R44" s="307">
        <v>0</v>
      </c>
      <c r="S44" s="106">
        <v>10.46</v>
      </c>
      <c r="T44" s="106">
        <v>0</v>
      </c>
      <c r="U44" s="106">
        <v>9.82</v>
      </c>
      <c r="V44" s="106">
        <v>22.82</v>
      </c>
    </row>
    <row r="45" spans="3:23" ht="13.8">
      <c r="C45" s="77" t="s">
        <v>465</v>
      </c>
      <c r="D45" s="77" t="s">
        <v>71</v>
      </c>
      <c r="E45" s="77" t="str">
        <f t="shared" si="8"/>
        <v>[301 - 600km]</v>
      </c>
      <c r="F45" s="77" t="str">
        <f t="shared" si="8"/>
        <v>&gt; 132kV</v>
      </c>
      <c r="G45" s="77" t="str">
        <f t="shared" si="6"/>
        <v>Municflex_Local Authority_[301 - 600km]_&gt; 132kV</v>
      </c>
      <c r="H45" s="77" t="s">
        <v>479</v>
      </c>
      <c r="I45" s="106">
        <v>640.77</v>
      </c>
      <c r="J45" s="106">
        <v>160.19</v>
      </c>
      <c r="K45" s="106">
        <v>106.79</v>
      </c>
      <c r="L45" s="106">
        <v>265.92</v>
      </c>
      <c r="M45" s="106">
        <v>149.52000000000001</v>
      </c>
      <c r="N45" s="106">
        <v>106.79</v>
      </c>
      <c r="O45" s="307">
        <v>0</v>
      </c>
      <c r="P45" s="307">
        <v>0</v>
      </c>
      <c r="Q45" s="307">
        <v>0</v>
      </c>
      <c r="R45" s="307">
        <v>0</v>
      </c>
      <c r="S45" s="106">
        <v>18.27</v>
      </c>
      <c r="T45" s="106">
        <v>0</v>
      </c>
      <c r="U45" s="106">
        <v>10.85</v>
      </c>
      <c r="V45" s="106">
        <v>21.27</v>
      </c>
    </row>
    <row r="46" spans="3:23" ht="13.8">
      <c r="C46" s="77" t="s">
        <v>465</v>
      </c>
      <c r="D46" s="77" t="s">
        <v>71</v>
      </c>
      <c r="E46" s="77" t="str">
        <f t="shared" si="8"/>
        <v>[601 - 900km]</v>
      </c>
      <c r="F46" s="77" t="str">
        <f t="shared" si="8"/>
        <v>&lt; 500V</v>
      </c>
      <c r="G46" s="77" t="str">
        <f t="shared" si="6"/>
        <v>Municflex_Local Authority_[601 - 900km]_&lt; 500V</v>
      </c>
      <c r="H46" s="77" t="s">
        <v>480</v>
      </c>
      <c r="I46" s="106">
        <v>772.4</v>
      </c>
      <c r="J46" s="106">
        <v>193.09</v>
      </c>
      <c r="K46" s="106">
        <v>128.76</v>
      </c>
      <c r="L46" s="106">
        <v>320.60000000000002</v>
      </c>
      <c r="M46" s="106">
        <v>180.24</v>
      </c>
      <c r="N46" s="106">
        <v>128.77000000000001</v>
      </c>
      <c r="O46" s="307">
        <v>0</v>
      </c>
      <c r="P46" s="307">
        <v>0</v>
      </c>
      <c r="Q46" s="307">
        <v>0</v>
      </c>
      <c r="R46" s="307">
        <v>0</v>
      </c>
      <c r="S46" s="106">
        <v>12.13</v>
      </c>
      <c r="T46" s="106">
        <v>0</v>
      </c>
      <c r="U46" s="106">
        <v>5.0599999999999996</v>
      </c>
      <c r="V46" s="106">
        <v>25.39</v>
      </c>
    </row>
    <row r="47" spans="3:23" ht="13.8">
      <c r="C47" s="77" t="s">
        <v>465</v>
      </c>
      <c r="D47" s="77" t="s">
        <v>71</v>
      </c>
      <c r="E47" s="77" t="str">
        <f t="shared" si="8"/>
        <v>[601 - 900km]</v>
      </c>
      <c r="F47" s="77" t="str">
        <f t="shared" si="8"/>
        <v>≥ 500V &amp; &lt; 66kV</v>
      </c>
      <c r="G47" s="77" t="str">
        <f t="shared" si="6"/>
        <v>Municflex_Local Authority_[601 - 900km]_≥ 500V &amp; &lt; 66kV</v>
      </c>
      <c r="H47" s="77" t="s">
        <v>481</v>
      </c>
      <c r="I47" s="106">
        <v>749.21</v>
      </c>
      <c r="J47" s="106">
        <v>187.32</v>
      </c>
      <c r="K47" s="106">
        <v>124.9</v>
      </c>
      <c r="L47" s="106">
        <v>310.95</v>
      </c>
      <c r="M47" s="106">
        <v>174.82</v>
      </c>
      <c r="N47" s="106">
        <v>124.9</v>
      </c>
      <c r="O47" s="307">
        <v>0</v>
      </c>
      <c r="P47" s="307">
        <v>0</v>
      </c>
      <c r="Q47" s="307">
        <v>0</v>
      </c>
      <c r="R47" s="307">
        <v>0</v>
      </c>
      <c r="S47" s="106">
        <v>11.61</v>
      </c>
      <c r="T47" s="106">
        <v>0</v>
      </c>
      <c r="U47" s="106">
        <v>11.72</v>
      </c>
      <c r="V47" s="106">
        <v>24.63</v>
      </c>
    </row>
    <row r="48" spans="3:23" ht="13.8">
      <c r="C48" s="77" t="s">
        <v>465</v>
      </c>
      <c r="D48" s="77" t="s">
        <v>71</v>
      </c>
      <c r="E48" s="77" t="str">
        <f t="shared" si="8"/>
        <v>[601 - 900km]</v>
      </c>
      <c r="F48" s="77" t="str">
        <f t="shared" si="8"/>
        <v>≥ 66kV &amp; ≤ 132kV</v>
      </c>
      <c r="G48" s="77" t="str">
        <f t="shared" si="6"/>
        <v>Municflex_Local Authority_[601 - 900km]_≥ 66kV &amp; ≤ 132kV</v>
      </c>
      <c r="H48" s="77" t="s">
        <v>482</v>
      </c>
      <c r="I48" s="106">
        <v>693.96</v>
      </c>
      <c r="J48" s="106">
        <v>173.49</v>
      </c>
      <c r="K48" s="106">
        <v>115.66</v>
      </c>
      <c r="L48" s="106">
        <v>288.01</v>
      </c>
      <c r="M48" s="106">
        <v>161.91999999999999</v>
      </c>
      <c r="N48" s="106">
        <v>115.66</v>
      </c>
      <c r="O48" s="307">
        <v>0</v>
      </c>
      <c r="P48" s="307">
        <v>0</v>
      </c>
      <c r="Q48" s="307">
        <v>0</v>
      </c>
      <c r="R48" s="307">
        <v>0</v>
      </c>
      <c r="S48" s="106">
        <v>10.55</v>
      </c>
      <c r="T48" s="106">
        <v>0</v>
      </c>
      <c r="U48" s="106">
        <v>9.82</v>
      </c>
      <c r="V48" s="106">
        <v>22.82</v>
      </c>
    </row>
    <row r="49" spans="3:22" ht="13.8">
      <c r="C49" s="77" t="s">
        <v>465</v>
      </c>
      <c r="D49" s="77" t="s">
        <v>71</v>
      </c>
      <c r="E49" s="77" t="str">
        <f t="shared" si="8"/>
        <v>[601 - 900km]</v>
      </c>
      <c r="F49" s="77" t="str">
        <f t="shared" si="8"/>
        <v>&gt; 132kV</v>
      </c>
      <c r="G49" s="77" t="str">
        <f t="shared" si="6"/>
        <v>Municflex_Local Authority_[601 - 900km]_&gt; 132kV</v>
      </c>
      <c r="H49" s="77" t="s">
        <v>483</v>
      </c>
      <c r="I49" s="106">
        <v>647.11</v>
      </c>
      <c r="J49" s="106">
        <v>161.78</v>
      </c>
      <c r="K49" s="106">
        <v>107.85</v>
      </c>
      <c r="L49" s="106">
        <v>268.56</v>
      </c>
      <c r="M49" s="106">
        <v>151</v>
      </c>
      <c r="N49" s="106">
        <v>107.85</v>
      </c>
      <c r="O49" s="307">
        <v>0</v>
      </c>
      <c r="P49" s="307">
        <v>0</v>
      </c>
      <c r="Q49" s="307">
        <v>0</v>
      </c>
      <c r="R49" s="307">
        <v>0</v>
      </c>
      <c r="S49" s="106">
        <v>18.440000000000001</v>
      </c>
      <c r="T49" s="106">
        <v>0</v>
      </c>
      <c r="U49" s="106">
        <v>10.85</v>
      </c>
      <c r="V49" s="106">
        <v>21.27</v>
      </c>
    </row>
    <row r="50" spans="3:22" ht="13.8">
      <c r="C50" s="77" t="s">
        <v>465</v>
      </c>
      <c r="D50" s="77" t="s">
        <v>71</v>
      </c>
      <c r="E50" s="77" t="str">
        <f t="shared" si="8"/>
        <v>[&gt; 900km]</v>
      </c>
      <c r="F50" s="77" t="str">
        <f t="shared" si="8"/>
        <v>&lt; 500V</v>
      </c>
      <c r="G50" s="77" t="str">
        <f t="shared" si="6"/>
        <v>Municflex_Local Authority_[&gt; 900km]_&lt; 500V</v>
      </c>
      <c r="H50" s="77" t="s">
        <v>484</v>
      </c>
      <c r="I50" s="106">
        <v>781.01</v>
      </c>
      <c r="J50" s="106">
        <v>195.25</v>
      </c>
      <c r="K50" s="106">
        <v>130.16999999999999</v>
      </c>
      <c r="L50" s="106">
        <v>324.11</v>
      </c>
      <c r="M50" s="106">
        <v>182.24</v>
      </c>
      <c r="N50" s="106">
        <v>130.16999999999999</v>
      </c>
      <c r="O50" s="307">
        <v>0</v>
      </c>
      <c r="P50" s="307">
        <v>0</v>
      </c>
      <c r="Q50" s="307">
        <v>0</v>
      </c>
      <c r="R50" s="307">
        <v>0</v>
      </c>
      <c r="S50" s="106">
        <v>12.24</v>
      </c>
      <c r="T50" s="106">
        <v>0</v>
      </c>
      <c r="U50" s="106">
        <v>5.0599999999999996</v>
      </c>
      <c r="V50" s="106">
        <v>25.42</v>
      </c>
    </row>
    <row r="51" spans="3:22" ht="13.8">
      <c r="C51" s="77" t="s">
        <v>465</v>
      </c>
      <c r="D51" s="77" t="s">
        <v>71</v>
      </c>
      <c r="E51" s="77" t="str">
        <f t="shared" si="8"/>
        <v>[&gt; 900km]</v>
      </c>
      <c r="F51" s="77" t="str">
        <f t="shared" si="8"/>
        <v>≥ 500V &amp; &lt; 66kV</v>
      </c>
      <c r="G51" s="77" t="str">
        <f t="shared" si="6"/>
        <v>Municflex_Local Authority_[&gt; 900km]_≥ 500V &amp; &lt; 66kV</v>
      </c>
      <c r="H51" s="77" t="s">
        <v>485</v>
      </c>
      <c r="I51" s="106">
        <v>756.32</v>
      </c>
      <c r="J51" s="106">
        <v>189.07</v>
      </c>
      <c r="K51" s="106">
        <v>126.06</v>
      </c>
      <c r="L51" s="106">
        <v>313.87</v>
      </c>
      <c r="M51" s="106">
        <v>176.47</v>
      </c>
      <c r="N51" s="106">
        <v>126.06</v>
      </c>
      <c r="O51" s="307">
        <v>0</v>
      </c>
      <c r="P51" s="307">
        <v>0</v>
      </c>
      <c r="Q51" s="307">
        <v>0</v>
      </c>
      <c r="R51" s="307">
        <v>0</v>
      </c>
      <c r="S51" s="106">
        <v>11.72</v>
      </c>
      <c r="T51" s="106">
        <v>0</v>
      </c>
      <c r="U51" s="106">
        <v>11.72</v>
      </c>
      <c r="V51" s="106">
        <v>24.63</v>
      </c>
    </row>
    <row r="52" spans="3:22" ht="13.8">
      <c r="C52" s="77" t="s">
        <v>465</v>
      </c>
      <c r="D52" s="77" t="s">
        <v>71</v>
      </c>
      <c r="E52" s="77" t="str">
        <f t="shared" si="8"/>
        <v>[&gt; 900km]</v>
      </c>
      <c r="F52" s="77" t="str">
        <f t="shared" si="8"/>
        <v>≥ 66kV &amp; ≤ 132kV</v>
      </c>
      <c r="G52" s="77" t="str">
        <f t="shared" si="6"/>
        <v>Municflex_Local Authority_[&gt; 900km]_≥ 66kV &amp; ≤ 132kV</v>
      </c>
      <c r="H52" s="77" t="s">
        <v>486</v>
      </c>
      <c r="I52" s="106">
        <v>700.77</v>
      </c>
      <c r="J52" s="106">
        <v>175.19</v>
      </c>
      <c r="K52" s="106">
        <v>116.79</v>
      </c>
      <c r="L52" s="106">
        <v>290.81</v>
      </c>
      <c r="M52" s="106">
        <v>163.52000000000001</v>
      </c>
      <c r="N52" s="106">
        <v>116.79</v>
      </c>
      <c r="O52" s="307">
        <v>0</v>
      </c>
      <c r="P52" s="307">
        <v>0</v>
      </c>
      <c r="Q52" s="307">
        <v>0</v>
      </c>
      <c r="R52" s="307">
        <v>0</v>
      </c>
      <c r="S52" s="106">
        <v>10.67</v>
      </c>
      <c r="T52" s="106">
        <v>0</v>
      </c>
      <c r="U52" s="106">
        <v>9.82</v>
      </c>
      <c r="V52" s="106">
        <v>22.82</v>
      </c>
    </row>
    <row r="53" spans="3:22" ht="13.8">
      <c r="C53" s="77" t="s">
        <v>465</v>
      </c>
      <c r="D53" s="77" t="s">
        <v>71</v>
      </c>
      <c r="E53" s="77" t="str">
        <f t="shared" si="8"/>
        <v>[&gt; 900km]</v>
      </c>
      <c r="F53" s="77" t="str">
        <f t="shared" si="8"/>
        <v>&gt; 132kV</v>
      </c>
      <c r="G53" s="77" t="str">
        <f t="shared" si="6"/>
        <v>Municflex_Local Authority_[&gt; 900km]_&gt; 132kV</v>
      </c>
      <c r="H53" s="77" t="s">
        <v>487</v>
      </c>
      <c r="I53" s="106">
        <v>653.45000000000005</v>
      </c>
      <c r="J53" s="106">
        <v>163.37</v>
      </c>
      <c r="K53" s="106">
        <v>108.9</v>
      </c>
      <c r="L53" s="106">
        <v>271.19</v>
      </c>
      <c r="M53" s="106">
        <v>152.46</v>
      </c>
      <c r="N53" s="106">
        <v>108.9</v>
      </c>
      <c r="O53" s="307">
        <v>0</v>
      </c>
      <c r="P53" s="307">
        <v>0</v>
      </c>
      <c r="Q53" s="307">
        <v>0</v>
      </c>
      <c r="R53" s="307">
        <v>0</v>
      </c>
      <c r="S53" s="106">
        <v>18.64</v>
      </c>
      <c r="T53" s="106">
        <v>0</v>
      </c>
      <c r="U53" s="106">
        <v>10.85</v>
      </c>
      <c r="V53" s="106">
        <v>21.27</v>
      </c>
    </row>
    <row r="54" spans="3:22" ht="13.8"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</row>
    <row r="55" spans="3:22" ht="13.8">
      <c r="C55" s="77" t="s">
        <v>42</v>
      </c>
      <c r="D55" s="77" t="s">
        <v>72</v>
      </c>
      <c r="E55" s="77" t="s">
        <v>67</v>
      </c>
      <c r="F55" s="77" t="s">
        <v>62</v>
      </c>
      <c r="G55" s="77" t="str">
        <f t="shared" si="6"/>
        <v>Miniflex_Non-Local Authority_[0 - 300km]_&lt; 500V</v>
      </c>
      <c r="H55" s="77" t="str">
        <f>'Rates LPU Energy - Current'!H55</f>
        <v>Mi01N</v>
      </c>
      <c r="I55" s="106">
        <v>739.28</v>
      </c>
      <c r="J55" s="106">
        <v>184.82</v>
      </c>
      <c r="K55" s="106">
        <v>123.2</v>
      </c>
      <c r="L55" s="106">
        <v>306.82</v>
      </c>
      <c r="M55" s="106">
        <v>172.5</v>
      </c>
      <c r="N55" s="106">
        <v>123.2</v>
      </c>
      <c r="O55" s="85" t="s">
        <v>118</v>
      </c>
      <c r="P55" s="85" t="s">
        <v>118</v>
      </c>
      <c r="Q55" s="85" t="s">
        <v>118</v>
      </c>
      <c r="R55" s="85" t="s">
        <v>118</v>
      </c>
      <c r="S55" s="85" t="s">
        <v>118</v>
      </c>
      <c r="T55" s="106">
        <v>54.22</v>
      </c>
      <c r="U55" s="106">
        <v>5.29</v>
      </c>
      <c r="V55" s="106">
        <v>24.78</v>
      </c>
    </row>
    <row r="56" spans="3:22" ht="13.8">
      <c r="C56" s="77" t="str">
        <f>C55</f>
        <v>Miniflex</v>
      </c>
      <c r="D56" s="77" t="s">
        <v>72</v>
      </c>
      <c r="E56" s="77" t="s">
        <v>67</v>
      </c>
      <c r="F56" s="77" t="s">
        <v>63</v>
      </c>
      <c r="G56" s="77" t="str">
        <f t="shared" si="6"/>
        <v>Miniflex_Non-Local Authority_[0 - 300km]_≥ 500V &amp; &lt; 66kV</v>
      </c>
      <c r="H56" s="77" t="str">
        <f>'Rates LPU Energy - Current'!H56</f>
        <v>Mi02N</v>
      </c>
      <c r="I56" s="106">
        <v>720.19</v>
      </c>
      <c r="J56" s="106">
        <v>180.05</v>
      </c>
      <c r="K56" s="106">
        <v>120.03</v>
      </c>
      <c r="L56" s="106">
        <v>298.89</v>
      </c>
      <c r="M56" s="106">
        <v>168.05</v>
      </c>
      <c r="N56" s="106">
        <v>120.03</v>
      </c>
      <c r="O56" s="85" t="s">
        <v>118</v>
      </c>
      <c r="P56" s="85" t="s">
        <v>118</v>
      </c>
      <c r="Q56" s="85" t="s">
        <v>118</v>
      </c>
      <c r="R56" s="85" t="s">
        <v>118</v>
      </c>
      <c r="S56" s="85" t="s">
        <v>118</v>
      </c>
      <c r="T56" s="106">
        <v>50.27</v>
      </c>
      <c r="U56" s="106">
        <v>12.27</v>
      </c>
      <c r="V56" s="106">
        <v>24.14</v>
      </c>
    </row>
    <row r="57" spans="3:22" ht="13.8">
      <c r="C57" s="77" t="str">
        <f t="shared" ref="C57:C86" si="9">C56</f>
        <v>Miniflex</v>
      </c>
      <c r="D57" s="77" t="s">
        <v>72</v>
      </c>
      <c r="E57" s="77" t="s">
        <v>67</v>
      </c>
      <c r="F57" s="77" t="s">
        <v>64</v>
      </c>
      <c r="G57" s="77" t="str">
        <f t="shared" si="6"/>
        <v>Miniflex_Non-Local Authority_[0 - 300km]_≥ 66kV &amp; ≤ 132kV</v>
      </c>
      <c r="H57" s="77" t="str">
        <f>'Rates LPU Energy - Current'!H57</f>
        <v>Mi03N</v>
      </c>
      <c r="I57" s="106">
        <v>668.35</v>
      </c>
      <c r="J57" s="106">
        <v>167.08</v>
      </c>
      <c r="K57" s="106">
        <v>111.39</v>
      </c>
      <c r="L57" s="106">
        <v>277.38</v>
      </c>
      <c r="M57" s="106">
        <v>155.96</v>
      </c>
      <c r="N57" s="106">
        <v>111.39</v>
      </c>
      <c r="O57" s="85" t="s">
        <v>118</v>
      </c>
      <c r="P57" s="85" t="s">
        <v>118</v>
      </c>
      <c r="Q57" s="85" t="s">
        <v>118</v>
      </c>
      <c r="R57" s="85" t="s">
        <v>118</v>
      </c>
      <c r="S57" s="85" t="s">
        <v>118</v>
      </c>
      <c r="T57" s="106">
        <v>24.33</v>
      </c>
      <c r="U57" s="106">
        <v>9.2799999999999994</v>
      </c>
      <c r="V57" s="106">
        <v>22.4</v>
      </c>
    </row>
    <row r="58" spans="3:22" ht="13.8">
      <c r="C58" s="77" t="str">
        <f t="shared" si="9"/>
        <v>Miniflex</v>
      </c>
      <c r="D58" s="77" t="s">
        <v>72</v>
      </c>
      <c r="E58" s="77" t="s">
        <v>67</v>
      </c>
      <c r="F58" s="77" t="s">
        <v>65</v>
      </c>
      <c r="G58" s="77" t="str">
        <f t="shared" si="6"/>
        <v>Miniflex_Non-Local Authority_[0 - 300km]_&gt; 132kV</v>
      </c>
      <c r="H58" s="77" t="str">
        <f>'Rates LPU Energy - Current'!H58</f>
        <v>Mi04N</v>
      </c>
      <c r="I58" s="106">
        <v>623.23</v>
      </c>
      <c r="J58" s="106">
        <v>155.81</v>
      </c>
      <c r="K58" s="106">
        <v>103.87</v>
      </c>
      <c r="L58" s="106">
        <v>258.64999999999998</v>
      </c>
      <c r="M58" s="106">
        <v>145.43</v>
      </c>
      <c r="N58" s="106">
        <v>103.87</v>
      </c>
      <c r="O58" s="85" t="s">
        <v>118</v>
      </c>
      <c r="P58" s="85" t="s">
        <v>118</v>
      </c>
      <c r="Q58" s="85" t="s">
        <v>118</v>
      </c>
      <c r="R58" s="85" t="s">
        <v>118</v>
      </c>
      <c r="S58" s="85" t="s">
        <v>118</v>
      </c>
      <c r="T58" s="106">
        <v>17.77</v>
      </c>
      <c r="U58" s="106">
        <v>10.65</v>
      </c>
      <c r="V58" s="106">
        <v>20.89</v>
      </c>
    </row>
    <row r="59" spans="3:22" ht="13.8">
      <c r="C59" s="77" t="str">
        <f t="shared" si="9"/>
        <v>Miniflex</v>
      </c>
      <c r="D59" s="77" t="s">
        <v>72</v>
      </c>
      <c r="E59" s="77" t="s">
        <v>68</v>
      </c>
      <c r="F59" s="77" t="s">
        <v>62</v>
      </c>
      <c r="G59" s="77" t="str">
        <f t="shared" si="6"/>
        <v>Miniflex_Non-Local Authority_[301 - 600km]_&lt; 500V</v>
      </c>
      <c r="H59" s="77" t="str">
        <f>'Rates LPU Energy - Current'!H59</f>
        <v>Mi11N</v>
      </c>
      <c r="I59" s="106">
        <v>746.66</v>
      </c>
      <c r="J59" s="106">
        <v>186.67</v>
      </c>
      <c r="K59" s="106">
        <v>124.43</v>
      </c>
      <c r="L59" s="106">
        <v>309.88</v>
      </c>
      <c r="M59" s="106">
        <v>174.23</v>
      </c>
      <c r="N59" s="106">
        <v>124.43</v>
      </c>
      <c r="O59" s="85" t="s">
        <v>118</v>
      </c>
      <c r="P59" s="85" t="s">
        <v>118</v>
      </c>
      <c r="Q59" s="85" t="s">
        <v>118</v>
      </c>
      <c r="R59" s="85" t="s">
        <v>118</v>
      </c>
      <c r="S59" s="85" t="s">
        <v>118</v>
      </c>
      <c r="T59" s="106">
        <v>54.35</v>
      </c>
      <c r="U59" s="106">
        <v>5.29</v>
      </c>
      <c r="V59" s="106">
        <v>24.78</v>
      </c>
    </row>
    <row r="60" spans="3:22" ht="13.8">
      <c r="C60" s="77" t="str">
        <f t="shared" si="9"/>
        <v>Miniflex</v>
      </c>
      <c r="D60" s="77" t="s">
        <v>72</v>
      </c>
      <c r="E60" s="77" t="s">
        <v>68</v>
      </c>
      <c r="F60" s="77" t="s">
        <v>63</v>
      </c>
      <c r="G60" s="77" t="str">
        <f t="shared" si="6"/>
        <v>Miniflex_Non-Local Authority_[301 - 600km]_≥ 500V &amp; &lt; 66kV</v>
      </c>
      <c r="H60" s="77" t="str">
        <f>'Rates LPU Energy - Current'!H60</f>
        <v>Mi12N</v>
      </c>
      <c r="I60" s="106">
        <v>727.41</v>
      </c>
      <c r="J60" s="106">
        <v>181.85</v>
      </c>
      <c r="K60" s="106">
        <v>121.24</v>
      </c>
      <c r="L60" s="106">
        <v>301.88</v>
      </c>
      <c r="M60" s="106">
        <v>169.72</v>
      </c>
      <c r="N60" s="106">
        <v>121.24</v>
      </c>
      <c r="O60" s="85" t="s">
        <v>118</v>
      </c>
      <c r="P60" s="85" t="s">
        <v>118</v>
      </c>
      <c r="Q60" s="85" t="s">
        <v>118</v>
      </c>
      <c r="R60" s="85" t="s">
        <v>118</v>
      </c>
      <c r="S60" s="85" t="s">
        <v>118</v>
      </c>
      <c r="T60" s="106">
        <v>50.38</v>
      </c>
      <c r="U60" s="106">
        <v>12.27</v>
      </c>
      <c r="V60" s="106">
        <v>24.14</v>
      </c>
    </row>
    <row r="61" spans="3:22" ht="13.8">
      <c r="C61" s="77" t="str">
        <f t="shared" si="9"/>
        <v>Miniflex</v>
      </c>
      <c r="D61" s="77" t="s">
        <v>72</v>
      </c>
      <c r="E61" s="77" t="s">
        <v>68</v>
      </c>
      <c r="F61" s="77" t="s">
        <v>64</v>
      </c>
      <c r="G61" s="77" t="str">
        <f t="shared" si="6"/>
        <v>Miniflex_Non-Local Authority_[301 - 600km]_≥ 66kV &amp; ≤ 132kV</v>
      </c>
      <c r="H61" s="77" t="str">
        <f>'Rates LPU Energy - Current'!H61</f>
        <v>Mi13N</v>
      </c>
      <c r="I61" s="106">
        <v>675.03</v>
      </c>
      <c r="J61" s="106">
        <v>168.76</v>
      </c>
      <c r="K61" s="106">
        <v>112.5</v>
      </c>
      <c r="L61" s="106">
        <v>280.14999999999998</v>
      </c>
      <c r="M61" s="106">
        <v>157.51</v>
      </c>
      <c r="N61" s="106">
        <v>112.5</v>
      </c>
      <c r="O61" s="85" t="s">
        <v>118</v>
      </c>
      <c r="P61" s="85" t="s">
        <v>118</v>
      </c>
      <c r="Q61" s="85" t="s">
        <v>118</v>
      </c>
      <c r="R61" s="85" t="s">
        <v>118</v>
      </c>
      <c r="S61" s="85" t="s">
        <v>118</v>
      </c>
      <c r="T61" s="106">
        <v>24.44</v>
      </c>
      <c r="U61" s="106">
        <v>9.2799999999999994</v>
      </c>
      <c r="V61" s="106">
        <v>22.4</v>
      </c>
    </row>
    <row r="62" spans="3:22" ht="13.8">
      <c r="C62" s="77" t="str">
        <f t="shared" si="9"/>
        <v>Miniflex</v>
      </c>
      <c r="D62" s="77" t="s">
        <v>72</v>
      </c>
      <c r="E62" s="77" t="s">
        <v>68</v>
      </c>
      <c r="F62" s="77" t="s">
        <v>65</v>
      </c>
      <c r="G62" s="77" t="str">
        <f t="shared" si="6"/>
        <v>Miniflex_Non-Local Authority_[301 - 600km]_&gt; 132kV</v>
      </c>
      <c r="H62" s="77" t="str">
        <f>'Rates LPU Energy - Current'!H62</f>
        <v>Mi14N</v>
      </c>
      <c r="I62" s="106">
        <v>629.46</v>
      </c>
      <c r="J62" s="106">
        <v>157.37</v>
      </c>
      <c r="K62" s="106">
        <v>104.91</v>
      </c>
      <c r="L62" s="106">
        <v>261.23</v>
      </c>
      <c r="M62" s="106">
        <v>146.87</v>
      </c>
      <c r="N62" s="106">
        <v>104.91</v>
      </c>
      <c r="O62" s="85" t="s">
        <v>118</v>
      </c>
      <c r="P62" s="85" t="s">
        <v>118</v>
      </c>
      <c r="Q62" s="85" t="s">
        <v>118</v>
      </c>
      <c r="R62" s="85" t="s">
        <v>118</v>
      </c>
      <c r="S62" s="85" t="s">
        <v>118</v>
      </c>
      <c r="T62" s="106">
        <v>17.96</v>
      </c>
      <c r="U62" s="106">
        <v>10.65</v>
      </c>
      <c r="V62" s="106">
        <v>20.89</v>
      </c>
    </row>
    <row r="63" spans="3:22" ht="13.8">
      <c r="C63" s="77" t="str">
        <f t="shared" si="9"/>
        <v>Miniflex</v>
      </c>
      <c r="D63" s="77" t="s">
        <v>72</v>
      </c>
      <c r="E63" s="77" t="s">
        <v>69</v>
      </c>
      <c r="F63" s="77" t="s">
        <v>62</v>
      </c>
      <c r="G63" s="77" t="str">
        <f t="shared" si="6"/>
        <v>Miniflex_Non-Local Authority_[601 - 900km]_&lt; 500V</v>
      </c>
      <c r="H63" s="77" t="str">
        <f>'Rates LPU Energy - Current'!H63</f>
        <v>Mi21N</v>
      </c>
      <c r="I63" s="106">
        <v>754.06</v>
      </c>
      <c r="J63" s="106">
        <v>188.51</v>
      </c>
      <c r="K63" s="106">
        <v>125.67</v>
      </c>
      <c r="L63" s="106">
        <v>312.95</v>
      </c>
      <c r="M63" s="106">
        <v>175.94</v>
      </c>
      <c r="N63" s="106">
        <v>125.67</v>
      </c>
      <c r="O63" s="85" t="s">
        <v>118</v>
      </c>
      <c r="P63" s="85" t="s">
        <v>118</v>
      </c>
      <c r="Q63" s="85" t="s">
        <v>118</v>
      </c>
      <c r="R63" s="85" t="s">
        <v>118</v>
      </c>
      <c r="S63" s="85" t="s">
        <v>118</v>
      </c>
      <c r="T63" s="106">
        <v>54.46</v>
      </c>
      <c r="U63" s="106">
        <v>5.29</v>
      </c>
      <c r="V63" s="106">
        <v>24.78</v>
      </c>
    </row>
    <row r="64" spans="3:22" ht="13.8">
      <c r="C64" s="77" t="str">
        <f t="shared" si="9"/>
        <v>Miniflex</v>
      </c>
      <c r="D64" s="77" t="s">
        <v>72</v>
      </c>
      <c r="E64" s="77" t="s">
        <v>69</v>
      </c>
      <c r="F64" s="77" t="s">
        <v>63</v>
      </c>
      <c r="G64" s="77" t="str">
        <f t="shared" si="6"/>
        <v>Miniflex_Non-Local Authority_[601 - 900km]_≥ 500V &amp; &lt; 66kV</v>
      </c>
      <c r="H64" s="77" t="str">
        <f>'Rates LPU Energy - Current'!H64</f>
        <v>Mi22N</v>
      </c>
      <c r="I64" s="106">
        <v>734.61</v>
      </c>
      <c r="J64" s="106">
        <v>183.66</v>
      </c>
      <c r="K64" s="106">
        <v>122.43</v>
      </c>
      <c r="L64" s="106">
        <v>304.87</v>
      </c>
      <c r="M64" s="106">
        <v>171.41</v>
      </c>
      <c r="N64" s="106">
        <v>122.43</v>
      </c>
      <c r="O64" s="85" t="s">
        <v>118</v>
      </c>
      <c r="P64" s="85" t="s">
        <v>118</v>
      </c>
      <c r="Q64" s="85" t="s">
        <v>118</v>
      </c>
      <c r="R64" s="85" t="s">
        <v>118</v>
      </c>
      <c r="S64" s="85" t="s">
        <v>118</v>
      </c>
      <c r="T64" s="106">
        <v>50.5</v>
      </c>
      <c r="U64" s="106">
        <v>12.27</v>
      </c>
      <c r="V64" s="106">
        <v>24.14</v>
      </c>
    </row>
    <row r="65" spans="3:22" ht="13.8">
      <c r="C65" s="77" t="str">
        <f t="shared" si="9"/>
        <v>Miniflex</v>
      </c>
      <c r="D65" s="77" t="s">
        <v>72</v>
      </c>
      <c r="E65" s="77" t="s">
        <v>69</v>
      </c>
      <c r="F65" s="77" t="s">
        <v>64</v>
      </c>
      <c r="G65" s="77" t="str">
        <f t="shared" si="6"/>
        <v>Miniflex_Non-Local Authority_[601 - 900km]_≥ 66kV &amp; ≤ 132kV</v>
      </c>
      <c r="H65" s="77" t="str">
        <f>'Rates LPU Energy - Current'!H65</f>
        <v>Mi23N</v>
      </c>
      <c r="I65" s="106">
        <v>681.72</v>
      </c>
      <c r="J65" s="106">
        <v>170.43</v>
      </c>
      <c r="K65" s="106">
        <v>113.61</v>
      </c>
      <c r="L65" s="106">
        <v>282.93</v>
      </c>
      <c r="M65" s="106">
        <v>159.08000000000001</v>
      </c>
      <c r="N65" s="106">
        <v>113.61</v>
      </c>
      <c r="O65" s="85" t="s">
        <v>118</v>
      </c>
      <c r="P65" s="85" t="s">
        <v>118</v>
      </c>
      <c r="Q65" s="85" t="s">
        <v>118</v>
      </c>
      <c r="R65" s="85" t="s">
        <v>118</v>
      </c>
      <c r="S65" s="85" t="s">
        <v>118</v>
      </c>
      <c r="T65" s="106">
        <v>24.54</v>
      </c>
      <c r="U65" s="106">
        <v>9.2799999999999994</v>
      </c>
      <c r="V65" s="106">
        <v>22.4</v>
      </c>
    </row>
    <row r="66" spans="3:22" ht="13.8">
      <c r="C66" s="77" t="str">
        <f t="shared" si="9"/>
        <v>Miniflex</v>
      </c>
      <c r="D66" s="77" t="s">
        <v>72</v>
      </c>
      <c r="E66" s="77" t="s">
        <v>69</v>
      </c>
      <c r="F66" s="77" t="s">
        <v>65</v>
      </c>
      <c r="G66" s="77" t="str">
        <f t="shared" si="6"/>
        <v>Miniflex_Non-Local Authority_[601 - 900km]_&gt; 132kV</v>
      </c>
      <c r="H66" s="77" t="str">
        <f>'Rates LPU Energy - Current'!H66</f>
        <v>Mi24N</v>
      </c>
      <c r="I66" s="106">
        <v>635.69000000000005</v>
      </c>
      <c r="J66" s="106">
        <v>158.93</v>
      </c>
      <c r="K66" s="106">
        <v>105.95</v>
      </c>
      <c r="L66" s="106">
        <v>263.83</v>
      </c>
      <c r="M66" s="106">
        <v>148.33000000000001</v>
      </c>
      <c r="N66" s="106">
        <v>105.95</v>
      </c>
      <c r="O66" s="85" t="s">
        <v>118</v>
      </c>
      <c r="P66" s="85" t="s">
        <v>118</v>
      </c>
      <c r="Q66" s="85" t="s">
        <v>118</v>
      </c>
      <c r="R66" s="85" t="s">
        <v>118</v>
      </c>
      <c r="S66" s="85" t="s">
        <v>118</v>
      </c>
      <c r="T66" s="106">
        <v>18.12</v>
      </c>
      <c r="U66" s="106">
        <v>10.65</v>
      </c>
      <c r="V66" s="106">
        <v>20.89</v>
      </c>
    </row>
    <row r="67" spans="3:22" ht="13.8">
      <c r="C67" s="77" t="str">
        <f t="shared" si="9"/>
        <v>Miniflex</v>
      </c>
      <c r="D67" s="77" t="s">
        <v>72</v>
      </c>
      <c r="E67" s="77" t="s">
        <v>70</v>
      </c>
      <c r="F67" s="77" t="s">
        <v>62</v>
      </c>
      <c r="G67" s="77" t="str">
        <f t="shared" si="6"/>
        <v>Miniflex_Non-Local Authority_[&gt; 900km]_&lt; 500V</v>
      </c>
      <c r="H67" s="77" t="str">
        <f>'Rates LPU Energy - Current'!H67</f>
        <v>Mi31N</v>
      </c>
      <c r="I67" s="106">
        <v>761.46</v>
      </c>
      <c r="J67" s="106">
        <v>190.36</v>
      </c>
      <c r="K67" s="106">
        <v>126.91</v>
      </c>
      <c r="L67" s="106">
        <v>316.02</v>
      </c>
      <c r="M67" s="106">
        <v>177.67</v>
      </c>
      <c r="N67" s="106">
        <v>126.91</v>
      </c>
      <c r="O67" s="85" t="s">
        <v>118</v>
      </c>
      <c r="P67" s="85" t="s">
        <v>118</v>
      </c>
      <c r="Q67" s="85" t="s">
        <v>118</v>
      </c>
      <c r="R67" s="85" t="s">
        <v>118</v>
      </c>
      <c r="S67" s="85" t="s">
        <v>118</v>
      </c>
      <c r="T67" s="106">
        <v>54.58</v>
      </c>
      <c r="U67" s="106">
        <v>5.29</v>
      </c>
      <c r="V67" s="106">
        <v>24.78</v>
      </c>
    </row>
    <row r="68" spans="3:22" ht="13.8">
      <c r="C68" s="77" t="str">
        <f t="shared" si="9"/>
        <v>Miniflex</v>
      </c>
      <c r="D68" s="77" t="s">
        <v>72</v>
      </c>
      <c r="E68" s="77" t="s">
        <v>70</v>
      </c>
      <c r="F68" s="77" t="s">
        <v>63</v>
      </c>
      <c r="G68" s="77" t="str">
        <f t="shared" si="6"/>
        <v>Miniflex_Non-Local Authority_[&gt; 900km]_≥ 500V &amp; &lt; 66kV</v>
      </c>
      <c r="H68" s="77" t="str">
        <f>'Rates LPU Energy - Current'!H68</f>
        <v>Mi32N</v>
      </c>
      <c r="I68" s="106">
        <v>741.81</v>
      </c>
      <c r="J68" s="106">
        <v>185.46</v>
      </c>
      <c r="K68" s="106">
        <v>123.64</v>
      </c>
      <c r="L68" s="106">
        <v>307.86</v>
      </c>
      <c r="M68" s="106">
        <v>173.08</v>
      </c>
      <c r="N68" s="106">
        <v>123.64</v>
      </c>
      <c r="O68" s="85" t="s">
        <v>118</v>
      </c>
      <c r="P68" s="85" t="s">
        <v>118</v>
      </c>
      <c r="Q68" s="85" t="s">
        <v>118</v>
      </c>
      <c r="R68" s="85" t="s">
        <v>118</v>
      </c>
      <c r="S68" s="85" t="s">
        <v>118</v>
      </c>
      <c r="T68" s="106">
        <v>50.61</v>
      </c>
      <c r="U68" s="106">
        <v>12.27</v>
      </c>
      <c r="V68" s="106">
        <v>24.14</v>
      </c>
    </row>
    <row r="69" spans="3:22" ht="13.8">
      <c r="C69" s="77" t="str">
        <f t="shared" si="9"/>
        <v>Miniflex</v>
      </c>
      <c r="D69" s="77" t="s">
        <v>72</v>
      </c>
      <c r="E69" s="77" t="s">
        <v>70</v>
      </c>
      <c r="F69" s="77" t="s">
        <v>64</v>
      </c>
      <c r="G69" s="77" t="str">
        <f t="shared" si="6"/>
        <v>Miniflex_Non-Local Authority_[&gt; 900km]_≥ 66kV &amp; ≤ 132kV</v>
      </c>
      <c r="H69" s="77" t="str">
        <f>'Rates LPU Energy - Current'!H69</f>
        <v>Mi33N</v>
      </c>
      <c r="I69" s="106">
        <v>688.4</v>
      </c>
      <c r="J69" s="106">
        <v>172.1</v>
      </c>
      <c r="K69" s="106">
        <v>114.74</v>
      </c>
      <c r="L69" s="106">
        <v>285.69</v>
      </c>
      <c r="M69" s="106">
        <v>160.63</v>
      </c>
      <c r="N69" s="106">
        <v>114.74</v>
      </c>
      <c r="O69" s="85" t="s">
        <v>118</v>
      </c>
      <c r="P69" s="85" t="s">
        <v>118</v>
      </c>
      <c r="Q69" s="85" t="s">
        <v>118</v>
      </c>
      <c r="R69" s="85" t="s">
        <v>118</v>
      </c>
      <c r="S69" s="85" t="s">
        <v>118</v>
      </c>
      <c r="T69" s="106">
        <v>24.63</v>
      </c>
      <c r="U69" s="106">
        <v>9.2799999999999994</v>
      </c>
      <c r="V69" s="106">
        <v>22.4</v>
      </c>
    </row>
    <row r="70" spans="3:22" ht="14.4" thickBot="1">
      <c r="C70" s="77" t="str">
        <f t="shared" si="9"/>
        <v>Miniflex</v>
      </c>
      <c r="D70" s="77" t="s">
        <v>72</v>
      </c>
      <c r="E70" s="77" t="s">
        <v>70</v>
      </c>
      <c r="F70" s="77" t="s">
        <v>65</v>
      </c>
      <c r="G70" s="77" t="str">
        <f t="shared" si="6"/>
        <v>Miniflex_Non-Local Authority_[&gt; 900km]_&gt; 132kV</v>
      </c>
      <c r="H70" s="77" t="str">
        <f>'Rates LPU Energy - Current'!H70</f>
        <v>Mi34N</v>
      </c>
      <c r="I70" s="237">
        <v>641.91999999999996</v>
      </c>
      <c r="J70" s="237">
        <v>160.47999999999999</v>
      </c>
      <c r="K70" s="237">
        <v>106.97</v>
      </c>
      <c r="L70" s="237">
        <v>266.41000000000003</v>
      </c>
      <c r="M70" s="237">
        <v>149.78</v>
      </c>
      <c r="N70" s="237">
        <v>106.97</v>
      </c>
      <c r="O70" s="238" t="s">
        <v>118</v>
      </c>
      <c r="P70" s="238" t="s">
        <v>118</v>
      </c>
      <c r="Q70" s="238" t="s">
        <v>118</v>
      </c>
      <c r="R70" s="238" t="s">
        <v>118</v>
      </c>
      <c r="S70" s="238" t="s">
        <v>118</v>
      </c>
      <c r="T70" s="237">
        <v>18.3</v>
      </c>
      <c r="U70" s="237">
        <v>10.65</v>
      </c>
      <c r="V70" s="237">
        <v>20.89</v>
      </c>
    </row>
    <row r="71" spans="3:22" ht="13.8">
      <c r="C71" s="239" t="s">
        <v>465</v>
      </c>
      <c r="D71" s="239" t="s">
        <v>71</v>
      </c>
      <c r="E71" s="239" t="str">
        <f>E55</f>
        <v>[0 - 300km]</v>
      </c>
      <c r="F71" s="239" t="str">
        <f>F55</f>
        <v>&lt; 500V</v>
      </c>
      <c r="G71" s="239" t="str">
        <f t="shared" si="6"/>
        <v>Municflex_Local Authority_[0 - 300km]_&lt; 500V</v>
      </c>
      <c r="H71" s="239" t="s">
        <v>472</v>
      </c>
      <c r="I71" s="240">
        <f t="shared" ref="I71:N71" si="10">I38</f>
        <v>754.92</v>
      </c>
      <c r="J71" s="240">
        <f t="shared" si="10"/>
        <v>188.7</v>
      </c>
      <c r="K71" s="240">
        <f t="shared" si="10"/>
        <v>125.84</v>
      </c>
      <c r="L71" s="240">
        <f t="shared" si="10"/>
        <v>313.35000000000002</v>
      </c>
      <c r="M71" s="240">
        <f t="shared" si="10"/>
        <v>176.16</v>
      </c>
      <c r="N71" s="240">
        <f t="shared" si="10"/>
        <v>125.89</v>
      </c>
      <c r="O71" s="306">
        <v>0</v>
      </c>
      <c r="P71" s="306">
        <v>0</v>
      </c>
      <c r="Q71" s="306">
        <v>0</v>
      </c>
      <c r="R71" s="306">
        <v>0</v>
      </c>
      <c r="S71" s="240">
        <f t="shared" ref="S71:S86" si="11">S38</f>
        <v>11.83</v>
      </c>
      <c r="T71" s="240">
        <v>0</v>
      </c>
      <c r="U71" s="240">
        <v>5.0599999999999996</v>
      </c>
      <c r="V71" s="240">
        <v>25.31</v>
      </c>
    </row>
    <row r="72" spans="3:22" ht="13.8">
      <c r="C72" s="77" t="str">
        <f t="shared" si="9"/>
        <v>Municflex</v>
      </c>
      <c r="D72" s="77" t="s">
        <v>71</v>
      </c>
      <c r="E72" s="77" t="str">
        <f t="shared" ref="E72:F86" si="12">E56</f>
        <v>[0 - 300km]</v>
      </c>
      <c r="F72" s="77" t="str">
        <f t="shared" si="12"/>
        <v>≥ 500V &amp; &lt; 66kV</v>
      </c>
      <c r="G72" s="77" t="str">
        <f t="shared" si="6"/>
        <v>Municflex_Local Authority_[0 - 300km]_≥ 500V &amp; &lt; 66kV</v>
      </c>
      <c r="H72" s="77" t="s">
        <v>473</v>
      </c>
      <c r="I72" s="106">
        <f t="shared" ref="I72:N72" si="13">I39</f>
        <v>733.19</v>
      </c>
      <c r="J72" s="106">
        <f t="shared" si="13"/>
        <v>183.29</v>
      </c>
      <c r="K72" s="106">
        <f t="shared" si="13"/>
        <v>122.2</v>
      </c>
      <c r="L72" s="106">
        <f t="shared" si="13"/>
        <v>304.27999999999997</v>
      </c>
      <c r="M72" s="106">
        <f t="shared" si="13"/>
        <v>171.07</v>
      </c>
      <c r="N72" s="106">
        <f t="shared" si="13"/>
        <v>122.2</v>
      </c>
      <c r="O72" s="307">
        <v>0</v>
      </c>
      <c r="P72" s="307">
        <v>0</v>
      </c>
      <c r="Q72" s="307">
        <v>0</v>
      </c>
      <c r="R72" s="307">
        <v>0</v>
      </c>
      <c r="S72" s="106">
        <f t="shared" si="11"/>
        <v>11.35</v>
      </c>
      <c r="T72" s="106">
        <v>0</v>
      </c>
      <c r="U72" s="106">
        <v>11.72</v>
      </c>
      <c r="V72" s="106">
        <v>24.58</v>
      </c>
    </row>
    <row r="73" spans="3:22" ht="13.8">
      <c r="C73" s="77" t="str">
        <f t="shared" si="9"/>
        <v>Municflex</v>
      </c>
      <c r="D73" s="77" t="s">
        <v>71</v>
      </c>
      <c r="E73" s="77" t="str">
        <f t="shared" si="12"/>
        <v>[0 - 300km]</v>
      </c>
      <c r="F73" s="77" t="str">
        <f t="shared" si="12"/>
        <v>≥ 66kV &amp; ≤ 132kV</v>
      </c>
      <c r="G73" s="77" t="str">
        <f t="shared" si="6"/>
        <v>Municflex_Local Authority_[0 - 300km]_≥ 66kV &amp; ≤ 132kV</v>
      </c>
      <c r="H73" s="77" t="s">
        <v>474</v>
      </c>
      <c r="I73" s="106">
        <f t="shared" ref="I73:N73" si="14">I40</f>
        <v>680.35</v>
      </c>
      <c r="J73" s="106">
        <f t="shared" si="14"/>
        <v>170.09</v>
      </c>
      <c r="K73" s="106">
        <f t="shared" si="14"/>
        <v>113.38</v>
      </c>
      <c r="L73" s="106">
        <f t="shared" si="14"/>
        <v>282.36</v>
      </c>
      <c r="M73" s="106">
        <f t="shared" si="14"/>
        <v>158.76</v>
      </c>
      <c r="N73" s="106">
        <f t="shared" si="14"/>
        <v>113.38</v>
      </c>
      <c r="O73" s="307">
        <v>0</v>
      </c>
      <c r="P73" s="307">
        <v>0</v>
      </c>
      <c r="Q73" s="307">
        <v>0</v>
      </c>
      <c r="R73" s="307">
        <v>0</v>
      </c>
      <c r="S73" s="106">
        <f t="shared" si="11"/>
        <v>10.36</v>
      </c>
      <c r="T73" s="106">
        <v>0</v>
      </c>
      <c r="U73" s="106">
        <v>9.82</v>
      </c>
      <c r="V73" s="106">
        <v>22.82</v>
      </c>
    </row>
    <row r="74" spans="3:22" ht="13.8">
      <c r="C74" s="77" t="str">
        <f t="shared" si="9"/>
        <v>Municflex</v>
      </c>
      <c r="D74" s="77" t="s">
        <v>71</v>
      </c>
      <c r="E74" s="77" t="str">
        <f t="shared" si="12"/>
        <v>[0 - 300km]</v>
      </c>
      <c r="F74" s="77" t="str">
        <f t="shared" si="12"/>
        <v>&gt; 132kV</v>
      </c>
      <c r="G74" s="77" t="str">
        <f t="shared" si="6"/>
        <v>Municflex_Local Authority_[0 - 300km]_&gt; 132kV</v>
      </c>
      <c r="H74" s="77" t="s">
        <v>475</v>
      </c>
      <c r="I74" s="106">
        <f t="shared" ref="I74:N74" si="15">I41</f>
        <v>634.41999999999996</v>
      </c>
      <c r="J74" s="106">
        <f t="shared" si="15"/>
        <v>158.61000000000001</v>
      </c>
      <c r="K74" s="106">
        <f t="shared" si="15"/>
        <v>105.74</v>
      </c>
      <c r="L74" s="106">
        <f t="shared" si="15"/>
        <v>263.3</v>
      </c>
      <c r="M74" s="106">
        <f t="shared" si="15"/>
        <v>148.04</v>
      </c>
      <c r="N74" s="106">
        <f t="shared" si="15"/>
        <v>105.74</v>
      </c>
      <c r="O74" s="307">
        <v>0</v>
      </c>
      <c r="P74" s="307">
        <v>0</v>
      </c>
      <c r="Q74" s="307">
        <v>0</v>
      </c>
      <c r="R74" s="307">
        <v>0</v>
      </c>
      <c r="S74" s="106">
        <f t="shared" si="11"/>
        <v>18.079999999999998</v>
      </c>
      <c r="T74" s="106">
        <v>0</v>
      </c>
      <c r="U74" s="106">
        <v>10.85</v>
      </c>
      <c r="V74" s="106">
        <v>21.27</v>
      </c>
    </row>
    <row r="75" spans="3:22" ht="13.8">
      <c r="C75" s="77" t="str">
        <f t="shared" si="9"/>
        <v>Municflex</v>
      </c>
      <c r="D75" s="77" t="s">
        <v>71</v>
      </c>
      <c r="E75" s="77" t="str">
        <f t="shared" si="12"/>
        <v>[301 - 600km]</v>
      </c>
      <c r="F75" s="77" t="str">
        <f t="shared" si="12"/>
        <v>&lt; 500V</v>
      </c>
      <c r="G75" s="77" t="str">
        <f t="shared" si="6"/>
        <v>Municflex_Local Authority_[301 - 600km]_&lt; 500V</v>
      </c>
      <c r="H75" s="77" t="s">
        <v>476</v>
      </c>
      <c r="I75" s="106">
        <f t="shared" ref="I75:N75" si="16">I42</f>
        <v>765.2</v>
      </c>
      <c r="J75" s="106">
        <f t="shared" si="16"/>
        <v>191.31</v>
      </c>
      <c r="K75" s="106">
        <f t="shared" si="16"/>
        <v>127.55</v>
      </c>
      <c r="L75" s="106">
        <f t="shared" si="16"/>
        <v>317.58</v>
      </c>
      <c r="M75" s="106">
        <f t="shared" si="16"/>
        <v>178.57</v>
      </c>
      <c r="N75" s="106">
        <f t="shared" si="16"/>
        <v>127.55</v>
      </c>
      <c r="O75" s="307">
        <v>0</v>
      </c>
      <c r="P75" s="307">
        <v>0</v>
      </c>
      <c r="Q75" s="307">
        <v>0</v>
      </c>
      <c r="R75" s="307">
        <v>0</v>
      </c>
      <c r="S75" s="106">
        <f t="shared" si="11"/>
        <v>12</v>
      </c>
      <c r="T75" s="106">
        <v>0</v>
      </c>
      <c r="U75" s="106">
        <v>5.0599999999999996</v>
      </c>
      <c r="V75" s="106">
        <v>25.4</v>
      </c>
    </row>
    <row r="76" spans="3:22" ht="13.8">
      <c r="C76" s="77" t="str">
        <f t="shared" si="9"/>
        <v>Municflex</v>
      </c>
      <c r="D76" s="77" t="s">
        <v>71</v>
      </c>
      <c r="E76" s="77" t="str">
        <f t="shared" si="12"/>
        <v>[301 - 600km]</v>
      </c>
      <c r="F76" s="77" t="str">
        <f t="shared" si="12"/>
        <v>≥ 500V &amp; &lt; 66kV</v>
      </c>
      <c r="G76" s="77" t="str">
        <f t="shared" si="6"/>
        <v>Municflex_Local Authority_[301 - 600km]_≥ 500V &amp; &lt; 66kV</v>
      </c>
      <c r="H76" s="77" t="s">
        <v>477</v>
      </c>
      <c r="I76" s="106">
        <f t="shared" ref="I76:N76" si="17">I43</f>
        <v>741.59</v>
      </c>
      <c r="J76" s="106">
        <f t="shared" si="17"/>
        <v>185.41</v>
      </c>
      <c r="K76" s="106">
        <f t="shared" si="17"/>
        <v>123.62</v>
      </c>
      <c r="L76" s="106">
        <f t="shared" si="17"/>
        <v>307.76</v>
      </c>
      <c r="M76" s="106">
        <f t="shared" si="17"/>
        <v>173.05</v>
      </c>
      <c r="N76" s="106">
        <f t="shared" si="17"/>
        <v>123.62</v>
      </c>
      <c r="O76" s="307">
        <v>0</v>
      </c>
      <c r="P76" s="307">
        <v>0</v>
      </c>
      <c r="Q76" s="307">
        <v>0</v>
      </c>
      <c r="R76" s="307">
        <v>0</v>
      </c>
      <c r="S76" s="106">
        <f t="shared" si="11"/>
        <v>11.49</v>
      </c>
      <c r="T76" s="106">
        <v>0</v>
      </c>
      <c r="U76" s="106">
        <v>11.72</v>
      </c>
      <c r="V76" s="106">
        <v>24.63</v>
      </c>
    </row>
    <row r="77" spans="3:22" ht="13.8">
      <c r="C77" s="77" t="str">
        <f t="shared" si="9"/>
        <v>Municflex</v>
      </c>
      <c r="D77" s="77" t="s">
        <v>71</v>
      </c>
      <c r="E77" s="77" t="str">
        <f t="shared" si="12"/>
        <v>[301 - 600km]</v>
      </c>
      <c r="F77" s="77" t="str">
        <f t="shared" si="12"/>
        <v>≥ 66kV &amp; ≤ 132kV</v>
      </c>
      <c r="G77" s="77" t="str">
        <f t="shared" si="6"/>
        <v>Municflex_Local Authority_[301 - 600km]_≥ 66kV &amp; ≤ 132kV</v>
      </c>
      <c r="H77" s="77" t="s">
        <v>478</v>
      </c>
      <c r="I77" s="106">
        <f t="shared" ref="I77:N77" si="18">I44</f>
        <v>687.16</v>
      </c>
      <c r="J77" s="106">
        <f t="shared" si="18"/>
        <v>171.8</v>
      </c>
      <c r="K77" s="106">
        <f t="shared" si="18"/>
        <v>114.53</v>
      </c>
      <c r="L77" s="106">
        <f t="shared" si="18"/>
        <v>285.17</v>
      </c>
      <c r="M77" s="106">
        <f t="shared" si="18"/>
        <v>160.34</v>
      </c>
      <c r="N77" s="106">
        <f t="shared" si="18"/>
        <v>114.53</v>
      </c>
      <c r="O77" s="307">
        <v>0</v>
      </c>
      <c r="P77" s="307">
        <v>0</v>
      </c>
      <c r="Q77" s="307">
        <v>0</v>
      </c>
      <c r="R77" s="307">
        <v>0</v>
      </c>
      <c r="S77" s="106">
        <f t="shared" si="11"/>
        <v>10.46</v>
      </c>
      <c r="T77" s="106">
        <v>0</v>
      </c>
      <c r="U77" s="106">
        <v>9.82</v>
      </c>
      <c r="V77" s="106">
        <v>22.82</v>
      </c>
    </row>
    <row r="78" spans="3:22" ht="13.8">
      <c r="C78" s="77" t="str">
        <f t="shared" si="9"/>
        <v>Municflex</v>
      </c>
      <c r="D78" s="77" t="s">
        <v>71</v>
      </c>
      <c r="E78" s="77" t="str">
        <f t="shared" si="12"/>
        <v>[301 - 600km]</v>
      </c>
      <c r="F78" s="77" t="str">
        <f t="shared" si="12"/>
        <v>&gt; 132kV</v>
      </c>
      <c r="G78" s="77" t="str">
        <f t="shared" si="6"/>
        <v>Municflex_Local Authority_[301 - 600km]_&gt; 132kV</v>
      </c>
      <c r="H78" s="77" t="s">
        <v>479</v>
      </c>
      <c r="I78" s="106">
        <f t="shared" ref="I78:N78" si="19">I45</f>
        <v>640.77</v>
      </c>
      <c r="J78" s="106">
        <f t="shared" si="19"/>
        <v>160.19</v>
      </c>
      <c r="K78" s="106">
        <f t="shared" si="19"/>
        <v>106.79</v>
      </c>
      <c r="L78" s="106">
        <f t="shared" si="19"/>
        <v>265.92</v>
      </c>
      <c r="M78" s="106">
        <f t="shared" si="19"/>
        <v>149.52000000000001</v>
      </c>
      <c r="N78" s="106">
        <f t="shared" si="19"/>
        <v>106.79</v>
      </c>
      <c r="O78" s="307">
        <v>0</v>
      </c>
      <c r="P78" s="307">
        <v>0</v>
      </c>
      <c r="Q78" s="307">
        <v>0</v>
      </c>
      <c r="R78" s="307">
        <v>0</v>
      </c>
      <c r="S78" s="106">
        <f t="shared" si="11"/>
        <v>18.27</v>
      </c>
      <c r="T78" s="106">
        <v>0</v>
      </c>
      <c r="U78" s="106">
        <v>10.85</v>
      </c>
      <c r="V78" s="106">
        <v>21.27</v>
      </c>
    </row>
    <row r="79" spans="3:22" ht="13.8">
      <c r="C79" s="77" t="str">
        <f t="shared" si="9"/>
        <v>Municflex</v>
      </c>
      <c r="D79" s="77" t="s">
        <v>71</v>
      </c>
      <c r="E79" s="77" t="str">
        <f t="shared" si="12"/>
        <v>[601 - 900km]</v>
      </c>
      <c r="F79" s="77" t="str">
        <f t="shared" si="12"/>
        <v>&lt; 500V</v>
      </c>
      <c r="G79" s="77" t="str">
        <f t="shared" si="6"/>
        <v>Municflex_Local Authority_[601 - 900km]_&lt; 500V</v>
      </c>
      <c r="H79" s="77" t="s">
        <v>480</v>
      </c>
      <c r="I79" s="106">
        <f t="shared" ref="I79:N79" si="20">I46</f>
        <v>772.4</v>
      </c>
      <c r="J79" s="106">
        <f t="shared" si="20"/>
        <v>193.09</v>
      </c>
      <c r="K79" s="106">
        <f t="shared" si="20"/>
        <v>128.76</v>
      </c>
      <c r="L79" s="106">
        <f t="shared" si="20"/>
        <v>320.60000000000002</v>
      </c>
      <c r="M79" s="106">
        <f t="shared" si="20"/>
        <v>180.24</v>
      </c>
      <c r="N79" s="106">
        <f t="shared" si="20"/>
        <v>128.77000000000001</v>
      </c>
      <c r="O79" s="307">
        <v>0</v>
      </c>
      <c r="P79" s="307">
        <v>0</v>
      </c>
      <c r="Q79" s="307">
        <v>0</v>
      </c>
      <c r="R79" s="307">
        <v>0</v>
      </c>
      <c r="S79" s="106">
        <f t="shared" si="11"/>
        <v>12.13</v>
      </c>
      <c r="T79" s="106">
        <v>0</v>
      </c>
      <c r="U79" s="106">
        <v>5.0599999999999996</v>
      </c>
      <c r="V79" s="106">
        <v>25.39</v>
      </c>
    </row>
    <row r="80" spans="3:22" ht="13.8">
      <c r="C80" s="77" t="str">
        <f t="shared" si="9"/>
        <v>Municflex</v>
      </c>
      <c r="D80" s="77" t="s">
        <v>71</v>
      </c>
      <c r="E80" s="77" t="str">
        <f t="shared" si="12"/>
        <v>[601 - 900km]</v>
      </c>
      <c r="F80" s="77" t="str">
        <f t="shared" si="12"/>
        <v>≥ 500V &amp; &lt; 66kV</v>
      </c>
      <c r="G80" s="77" t="str">
        <f t="shared" si="6"/>
        <v>Municflex_Local Authority_[601 - 900km]_≥ 500V &amp; &lt; 66kV</v>
      </c>
      <c r="H80" s="77" t="s">
        <v>481</v>
      </c>
      <c r="I80" s="106">
        <f t="shared" ref="I80:N80" si="21">I47</f>
        <v>749.21</v>
      </c>
      <c r="J80" s="106">
        <f t="shared" si="21"/>
        <v>187.32</v>
      </c>
      <c r="K80" s="106">
        <f t="shared" si="21"/>
        <v>124.9</v>
      </c>
      <c r="L80" s="106">
        <f t="shared" si="21"/>
        <v>310.95</v>
      </c>
      <c r="M80" s="106">
        <f t="shared" si="21"/>
        <v>174.82</v>
      </c>
      <c r="N80" s="106">
        <f t="shared" si="21"/>
        <v>124.9</v>
      </c>
      <c r="O80" s="307">
        <v>0</v>
      </c>
      <c r="P80" s="307">
        <v>0</v>
      </c>
      <c r="Q80" s="307">
        <v>0</v>
      </c>
      <c r="R80" s="307">
        <v>0</v>
      </c>
      <c r="S80" s="106">
        <f t="shared" si="11"/>
        <v>11.61</v>
      </c>
      <c r="T80" s="106">
        <v>0</v>
      </c>
      <c r="U80" s="106">
        <v>11.72</v>
      </c>
      <c r="V80" s="106">
        <v>24.63</v>
      </c>
    </row>
    <row r="81" spans="3:22" ht="13.8">
      <c r="C81" s="77" t="str">
        <f t="shared" si="9"/>
        <v>Municflex</v>
      </c>
      <c r="D81" s="77" t="s">
        <v>71</v>
      </c>
      <c r="E81" s="77" t="str">
        <f t="shared" si="12"/>
        <v>[601 - 900km]</v>
      </c>
      <c r="F81" s="77" t="str">
        <f t="shared" si="12"/>
        <v>≥ 66kV &amp; ≤ 132kV</v>
      </c>
      <c r="G81" s="77" t="str">
        <f t="shared" si="6"/>
        <v>Municflex_Local Authority_[601 - 900km]_≥ 66kV &amp; ≤ 132kV</v>
      </c>
      <c r="H81" s="77" t="s">
        <v>482</v>
      </c>
      <c r="I81" s="106">
        <f t="shared" ref="I81:N81" si="22">I48</f>
        <v>693.96</v>
      </c>
      <c r="J81" s="106">
        <f t="shared" si="22"/>
        <v>173.49</v>
      </c>
      <c r="K81" s="106">
        <f t="shared" si="22"/>
        <v>115.66</v>
      </c>
      <c r="L81" s="106">
        <f t="shared" si="22"/>
        <v>288.01</v>
      </c>
      <c r="M81" s="106">
        <f t="shared" si="22"/>
        <v>161.91999999999999</v>
      </c>
      <c r="N81" s="106">
        <f t="shared" si="22"/>
        <v>115.66</v>
      </c>
      <c r="O81" s="307">
        <v>0</v>
      </c>
      <c r="P81" s="307">
        <v>0</v>
      </c>
      <c r="Q81" s="307">
        <v>0</v>
      </c>
      <c r="R81" s="307">
        <v>0</v>
      </c>
      <c r="S81" s="106">
        <f t="shared" si="11"/>
        <v>10.55</v>
      </c>
      <c r="T81" s="106">
        <v>0</v>
      </c>
      <c r="U81" s="106">
        <v>9.82</v>
      </c>
      <c r="V81" s="106">
        <v>22.82</v>
      </c>
    </row>
    <row r="82" spans="3:22" ht="13.8">
      <c r="C82" s="77" t="str">
        <f t="shared" si="9"/>
        <v>Municflex</v>
      </c>
      <c r="D82" s="77" t="s">
        <v>71</v>
      </c>
      <c r="E82" s="77" t="str">
        <f t="shared" si="12"/>
        <v>[601 - 900km]</v>
      </c>
      <c r="F82" s="77" t="str">
        <f t="shared" si="12"/>
        <v>&gt; 132kV</v>
      </c>
      <c r="G82" s="77" t="str">
        <f t="shared" si="6"/>
        <v>Municflex_Local Authority_[601 - 900km]_&gt; 132kV</v>
      </c>
      <c r="H82" s="77" t="s">
        <v>483</v>
      </c>
      <c r="I82" s="106">
        <f t="shared" ref="I82:N82" si="23">I49</f>
        <v>647.11</v>
      </c>
      <c r="J82" s="106">
        <f t="shared" si="23"/>
        <v>161.78</v>
      </c>
      <c r="K82" s="106">
        <f t="shared" si="23"/>
        <v>107.85</v>
      </c>
      <c r="L82" s="106">
        <f t="shared" si="23"/>
        <v>268.56</v>
      </c>
      <c r="M82" s="106">
        <f t="shared" si="23"/>
        <v>151</v>
      </c>
      <c r="N82" s="106">
        <f t="shared" si="23"/>
        <v>107.85</v>
      </c>
      <c r="O82" s="307">
        <v>0</v>
      </c>
      <c r="P82" s="307">
        <v>0</v>
      </c>
      <c r="Q82" s="307">
        <v>0</v>
      </c>
      <c r="R82" s="307">
        <v>0</v>
      </c>
      <c r="S82" s="106">
        <f t="shared" si="11"/>
        <v>18.440000000000001</v>
      </c>
      <c r="T82" s="106">
        <v>0</v>
      </c>
      <c r="U82" s="106">
        <v>10.85</v>
      </c>
      <c r="V82" s="106">
        <v>21.27</v>
      </c>
    </row>
    <row r="83" spans="3:22" ht="13.8">
      <c r="C83" s="77" t="str">
        <f t="shared" si="9"/>
        <v>Municflex</v>
      </c>
      <c r="D83" s="77" t="s">
        <v>71</v>
      </c>
      <c r="E83" s="77" t="str">
        <f t="shared" si="12"/>
        <v>[&gt; 900km]</v>
      </c>
      <c r="F83" s="77" t="str">
        <f t="shared" si="12"/>
        <v>&lt; 500V</v>
      </c>
      <c r="G83" s="77" t="str">
        <f t="shared" si="6"/>
        <v>Municflex_Local Authority_[&gt; 900km]_&lt; 500V</v>
      </c>
      <c r="H83" s="77" t="s">
        <v>484</v>
      </c>
      <c r="I83" s="106">
        <f t="shared" ref="I83:N83" si="24">I50</f>
        <v>781.01</v>
      </c>
      <c r="J83" s="106">
        <f t="shared" si="24"/>
        <v>195.25</v>
      </c>
      <c r="K83" s="106">
        <f t="shared" si="24"/>
        <v>130.16999999999999</v>
      </c>
      <c r="L83" s="106">
        <f t="shared" si="24"/>
        <v>324.11</v>
      </c>
      <c r="M83" s="106">
        <f t="shared" si="24"/>
        <v>182.24</v>
      </c>
      <c r="N83" s="106">
        <f t="shared" si="24"/>
        <v>130.16999999999999</v>
      </c>
      <c r="O83" s="307">
        <v>0</v>
      </c>
      <c r="P83" s="307">
        <v>0</v>
      </c>
      <c r="Q83" s="307">
        <v>0</v>
      </c>
      <c r="R83" s="307">
        <v>0</v>
      </c>
      <c r="S83" s="106">
        <f t="shared" si="11"/>
        <v>12.24</v>
      </c>
      <c r="T83" s="106">
        <v>0</v>
      </c>
      <c r="U83" s="106">
        <v>5.0599999999999996</v>
      </c>
      <c r="V83" s="106">
        <v>25.42</v>
      </c>
    </row>
    <row r="84" spans="3:22" ht="13.8">
      <c r="C84" s="77" t="str">
        <f t="shared" si="9"/>
        <v>Municflex</v>
      </c>
      <c r="D84" s="77" t="s">
        <v>71</v>
      </c>
      <c r="E84" s="77" t="str">
        <f t="shared" si="12"/>
        <v>[&gt; 900km]</v>
      </c>
      <c r="F84" s="77" t="str">
        <f t="shared" si="12"/>
        <v>≥ 500V &amp; &lt; 66kV</v>
      </c>
      <c r="G84" s="77" t="str">
        <f t="shared" si="6"/>
        <v>Municflex_Local Authority_[&gt; 900km]_≥ 500V &amp; &lt; 66kV</v>
      </c>
      <c r="H84" s="77" t="s">
        <v>485</v>
      </c>
      <c r="I84" s="106">
        <f t="shared" ref="I84:N84" si="25">I51</f>
        <v>756.32</v>
      </c>
      <c r="J84" s="106">
        <f t="shared" si="25"/>
        <v>189.07</v>
      </c>
      <c r="K84" s="106">
        <f t="shared" si="25"/>
        <v>126.06</v>
      </c>
      <c r="L84" s="106">
        <f t="shared" si="25"/>
        <v>313.87</v>
      </c>
      <c r="M84" s="106">
        <f t="shared" si="25"/>
        <v>176.47</v>
      </c>
      <c r="N84" s="106">
        <f t="shared" si="25"/>
        <v>126.06</v>
      </c>
      <c r="O84" s="307">
        <v>0</v>
      </c>
      <c r="P84" s="307">
        <v>0</v>
      </c>
      <c r="Q84" s="307">
        <v>0</v>
      </c>
      <c r="R84" s="307">
        <v>0</v>
      </c>
      <c r="S84" s="106">
        <f t="shared" si="11"/>
        <v>11.72</v>
      </c>
      <c r="T84" s="106">
        <v>0</v>
      </c>
      <c r="U84" s="106">
        <v>11.72</v>
      </c>
      <c r="V84" s="106">
        <v>24.63</v>
      </c>
    </row>
    <row r="85" spans="3:22" ht="13.8">
      <c r="C85" s="77" t="str">
        <f t="shared" si="9"/>
        <v>Municflex</v>
      </c>
      <c r="D85" s="77" t="s">
        <v>71</v>
      </c>
      <c r="E85" s="77" t="str">
        <f t="shared" si="12"/>
        <v>[&gt; 900km]</v>
      </c>
      <c r="F85" s="77" t="str">
        <f t="shared" si="12"/>
        <v>≥ 66kV &amp; ≤ 132kV</v>
      </c>
      <c r="G85" s="77" t="str">
        <f t="shared" si="6"/>
        <v>Municflex_Local Authority_[&gt; 900km]_≥ 66kV &amp; ≤ 132kV</v>
      </c>
      <c r="H85" s="77" t="s">
        <v>486</v>
      </c>
      <c r="I85" s="106">
        <f t="shared" ref="I85:N85" si="26">I52</f>
        <v>700.77</v>
      </c>
      <c r="J85" s="106">
        <f t="shared" si="26"/>
        <v>175.19</v>
      </c>
      <c r="K85" s="106">
        <f t="shared" si="26"/>
        <v>116.79</v>
      </c>
      <c r="L85" s="106">
        <f t="shared" si="26"/>
        <v>290.81</v>
      </c>
      <c r="M85" s="106">
        <f t="shared" si="26"/>
        <v>163.52000000000001</v>
      </c>
      <c r="N85" s="106">
        <f t="shared" si="26"/>
        <v>116.79</v>
      </c>
      <c r="O85" s="307">
        <v>0</v>
      </c>
      <c r="P85" s="307">
        <v>0</v>
      </c>
      <c r="Q85" s="307">
        <v>0</v>
      </c>
      <c r="R85" s="307">
        <v>0</v>
      </c>
      <c r="S85" s="106">
        <f t="shared" si="11"/>
        <v>10.67</v>
      </c>
      <c r="T85" s="106">
        <v>0</v>
      </c>
      <c r="U85" s="106">
        <v>9.82</v>
      </c>
      <c r="V85" s="106">
        <v>22.82</v>
      </c>
    </row>
    <row r="86" spans="3:22" ht="13.8">
      <c r="C86" s="77" t="str">
        <f t="shared" si="9"/>
        <v>Municflex</v>
      </c>
      <c r="D86" s="77" t="s">
        <v>71</v>
      </c>
      <c r="E86" s="77" t="str">
        <f t="shared" si="12"/>
        <v>[&gt; 900km]</v>
      </c>
      <c r="F86" s="77" t="str">
        <f t="shared" si="12"/>
        <v>&gt; 132kV</v>
      </c>
      <c r="G86" s="77" t="str">
        <f t="shared" si="6"/>
        <v>Municflex_Local Authority_[&gt; 900km]_&gt; 132kV</v>
      </c>
      <c r="H86" s="77" t="s">
        <v>487</v>
      </c>
      <c r="I86" s="106">
        <f t="shared" ref="I86:N86" si="27">I53</f>
        <v>653.45000000000005</v>
      </c>
      <c r="J86" s="106">
        <f t="shared" si="27"/>
        <v>163.37</v>
      </c>
      <c r="K86" s="106">
        <f t="shared" si="27"/>
        <v>108.9</v>
      </c>
      <c r="L86" s="106">
        <f t="shared" si="27"/>
        <v>271.19</v>
      </c>
      <c r="M86" s="106">
        <f t="shared" si="27"/>
        <v>152.46</v>
      </c>
      <c r="N86" s="106">
        <f t="shared" si="27"/>
        <v>108.9</v>
      </c>
      <c r="O86" s="307">
        <v>0</v>
      </c>
      <c r="P86" s="307">
        <v>0</v>
      </c>
      <c r="Q86" s="307">
        <v>0</v>
      </c>
      <c r="R86" s="307">
        <v>0</v>
      </c>
      <c r="S86" s="106">
        <f t="shared" si="11"/>
        <v>18.64</v>
      </c>
      <c r="T86" s="106">
        <v>0</v>
      </c>
      <c r="U86" s="106">
        <v>10.85</v>
      </c>
      <c r="V86" s="106">
        <v>21.27</v>
      </c>
    </row>
    <row r="87" spans="3:22" ht="13.8">
      <c r="C87" s="77"/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77"/>
      <c r="P87" s="77"/>
      <c r="Q87" s="77"/>
      <c r="R87" s="77"/>
      <c r="S87" s="77"/>
      <c r="T87" s="77"/>
      <c r="U87" s="77"/>
      <c r="V87" s="77"/>
    </row>
    <row r="88" spans="3:22" ht="13.8">
      <c r="C88" s="77" t="s">
        <v>46</v>
      </c>
      <c r="D88" s="77" t="s">
        <v>72</v>
      </c>
      <c r="E88" s="77" t="s">
        <v>67</v>
      </c>
      <c r="F88" s="77" t="s">
        <v>62</v>
      </c>
      <c r="G88" s="77" t="str">
        <f t="shared" si="6"/>
        <v>Ruraflex_Non-Local Authority_[0 - 300km]_&lt; 500V</v>
      </c>
      <c r="H88" s="77" t="str">
        <f>'Rates LPU Energy - Current'!H88</f>
        <v>Ru01N</v>
      </c>
      <c r="I88" s="106">
        <v>746.19</v>
      </c>
      <c r="J88" s="106">
        <v>186.55</v>
      </c>
      <c r="K88" s="106">
        <v>124.36</v>
      </c>
      <c r="L88" s="106">
        <v>309.68</v>
      </c>
      <c r="M88" s="106">
        <v>174.11</v>
      </c>
      <c r="N88" s="106">
        <v>124.36</v>
      </c>
      <c r="O88" s="85" t="s">
        <v>118</v>
      </c>
      <c r="P88" s="85" t="s">
        <v>118</v>
      </c>
      <c r="Q88" s="85" t="s">
        <v>118</v>
      </c>
      <c r="R88" s="85" t="s">
        <v>118</v>
      </c>
      <c r="S88" s="85" t="s">
        <v>118</v>
      </c>
      <c r="T88" s="106">
        <v>56.6</v>
      </c>
      <c r="U88" s="106">
        <v>5.07</v>
      </c>
      <c r="V88" s="106">
        <v>25.01</v>
      </c>
    </row>
    <row r="89" spans="3:22" ht="13.8">
      <c r="C89" s="77" t="str">
        <f>C88</f>
        <v>Ruraflex</v>
      </c>
      <c r="D89" s="77" t="s">
        <v>72</v>
      </c>
      <c r="E89" s="77" t="s">
        <v>67</v>
      </c>
      <c r="F89" s="77" t="s">
        <v>63</v>
      </c>
      <c r="G89" s="77" t="str">
        <f t="shared" si="6"/>
        <v>Ruraflex_Non-Local Authority_[0 - 300km]_≥ 500V &amp; &lt; 66kV</v>
      </c>
      <c r="H89" s="77" t="str">
        <f>'Rates LPU Energy - Current'!H89</f>
        <v>Ru02N</v>
      </c>
      <c r="I89" s="106">
        <v>732.98</v>
      </c>
      <c r="J89" s="106">
        <v>183.23</v>
      </c>
      <c r="K89" s="106">
        <v>122.16</v>
      </c>
      <c r="L89" s="106">
        <v>304.19</v>
      </c>
      <c r="M89" s="106">
        <v>171.03</v>
      </c>
      <c r="N89" s="106">
        <v>122.16</v>
      </c>
      <c r="O89" s="85" t="s">
        <v>118</v>
      </c>
      <c r="P89" s="85" t="s">
        <v>118</v>
      </c>
      <c r="Q89" s="85" t="s">
        <v>118</v>
      </c>
      <c r="R89" s="85" t="s">
        <v>118</v>
      </c>
      <c r="S89" s="85" t="s">
        <v>118</v>
      </c>
      <c r="T89" s="106">
        <v>52.55</v>
      </c>
      <c r="U89" s="106">
        <v>7.63</v>
      </c>
      <c r="V89" s="106">
        <v>24.57</v>
      </c>
    </row>
    <row r="90" spans="3:22" ht="13.8">
      <c r="C90" s="77" t="str">
        <f>C89</f>
        <v>Ruraflex</v>
      </c>
      <c r="D90" s="77" t="s">
        <v>72</v>
      </c>
      <c r="E90" s="77" t="s">
        <v>67</v>
      </c>
      <c r="F90" s="77" t="s">
        <v>64</v>
      </c>
      <c r="G90" s="77" t="str">
        <f t="shared" ref="G90:G119" si="28">C90&amp;"_"&amp;D90&amp;"_"&amp;E90&amp;"_"&amp;F90</f>
        <v>Ruraflex_Non-Local Authority_[0 - 300km]_≥ 66kV &amp; ≤ 132kV</v>
      </c>
      <c r="H90" s="77" t="str">
        <f>'Rates LPU Energy - Current'!H90</f>
        <v>Ru03N</v>
      </c>
      <c r="I90" s="106">
        <v>0</v>
      </c>
      <c r="J90" s="106">
        <v>0</v>
      </c>
      <c r="K90" s="106">
        <v>0</v>
      </c>
      <c r="L90" s="106">
        <v>0</v>
      </c>
      <c r="M90" s="106">
        <v>0</v>
      </c>
      <c r="N90" s="106">
        <v>0</v>
      </c>
      <c r="O90" s="85" t="s">
        <v>118</v>
      </c>
      <c r="P90" s="85" t="s">
        <v>118</v>
      </c>
      <c r="Q90" s="85" t="s">
        <v>118</v>
      </c>
      <c r="R90" s="85" t="s">
        <v>118</v>
      </c>
      <c r="S90" s="85" t="s">
        <v>118</v>
      </c>
      <c r="T90" s="106">
        <v>0</v>
      </c>
      <c r="U90" s="106">
        <v>0</v>
      </c>
      <c r="V90" s="106">
        <v>0</v>
      </c>
    </row>
    <row r="91" spans="3:22" ht="13.8">
      <c r="C91" s="77" t="str">
        <f>C90</f>
        <v>Ruraflex</v>
      </c>
      <c r="D91" s="77" t="s">
        <v>72</v>
      </c>
      <c r="E91" s="77" t="s">
        <v>67</v>
      </c>
      <c r="F91" s="77" t="s">
        <v>65</v>
      </c>
      <c r="G91" s="77" t="str">
        <f t="shared" si="28"/>
        <v>Ruraflex_Non-Local Authority_[0 - 300km]_&gt; 132kV</v>
      </c>
      <c r="H91" s="77" t="str">
        <f>'Rates LPU Energy - Current'!H91</f>
        <v>Ru04N</v>
      </c>
      <c r="I91" s="106">
        <v>0</v>
      </c>
      <c r="J91" s="106">
        <v>0</v>
      </c>
      <c r="K91" s="106">
        <v>0</v>
      </c>
      <c r="L91" s="106">
        <v>0</v>
      </c>
      <c r="M91" s="106">
        <v>0</v>
      </c>
      <c r="N91" s="106">
        <v>0</v>
      </c>
      <c r="O91" s="85" t="s">
        <v>118</v>
      </c>
      <c r="P91" s="85" t="s">
        <v>118</v>
      </c>
      <c r="Q91" s="85" t="s">
        <v>118</v>
      </c>
      <c r="R91" s="85" t="s">
        <v>118</v>
      </c>
      <c r="S91" s="85" t="s">
        <v>118</v>
      </c>
      <c r="T91" s="106">
        <v>0</v>
      </c>
      <c r="U91" s="106">
        <v>0</v>
      </c>
      <c r="V91" s="106">
        <v>0</v>
      </c>
    </row>
    <row r="92" spans="3:22" ht="13.8">
      <c r="C92" s="77" t="str">
        <f>C89</f>
        <v>Ruraflex</v>
      </c>
      <c r="D92" s="77" t="s">
        <v>72</v>
      </c>
      <c r="E92" s="77" t="s">
        <v>68</v>
      </c>
      <c r="F92" s="77" t="s">
        <v>62</v>
      </c>
      <c r="G92" s="77" t="str">
        <f t="shared" si="28"/>
        <v>Ruraflex_Non-Local Authority_[301 - 600km]_&lt; 500V</v>
      </c>
      <c r="H92" s="77" t="str">
        <f>'Rates LPU Energy - Current'!H92</f>
        <v>Ru11N</v>
      </c>
      <c r="I92" s="106">
        <v>753.66</v>
      </c>
      <c r="J92" s="106">
        <v>188.42</v>
      </c>
      <c r="K92" s="106">
        <v>125.6</v>
      </c>
      <c r="L92" s="106">
        <v>312.77999999999997</v>
      </c>
      <c r="M92" s="106">
        <v>175.85</v>
      </c>
      <c r="N92" s="106">
        <v>125.6</v>
      </c>
      <c r="O92" s="85" t="s">
        <v>118</v>
      </c>
      <c r="P92" s="85" t="s">
        <v>118</v>
      </c>
      <c r="Q92" s="85" t="s">
        <v>118</v>
      </c>
      <c r="R92" s="85" t="s">
        <v>118</v>
      </c>
      <c r="S92" s="85" t="s">
        <v>118</v>
      </c>
      <c r="T92" s="106">
        <v>56.71</v>
      </c>
      <c r="U92" s="106">
        <v>5.07</v>
      </c>
      <c r="V92" s="106">
        <v>25.01</v>
      </c>
    </row>
    <row r="93" spans="3:22" ht="13.8">
      <c r="C93" s="77" t="str">
        <f t="shared" ref="C93:C103" si="29">C92</f>
        <v>Ruraflex</v>
      </c>
      <c r="D93" s="77" t="s">
        <v>72</v>
      </c>
      <c r="E93" s="77" t="s">
        <v>68</v>
      </c>
      <c r="F93" s="77" t="s">
        <v>63</v>
      </c>
      <c r="G93" s="77" t="str">
        <f t="shared" si="28"/>
        <v>Ruraflex_Non-Local Authority_[301 - 600km]_≥ 500V &amp; &lt; 66kV</v>
      </c>
      <c r="H93" s="77" t="str">
        <f>'Rates LPU Energy - Current'!H93</f>
        <v>Ru12N</v>
      </c>
      <c r="I93" s="106">
        <v>740.31</v>
      </c>
      <c r="J93" s="106">
        <v>185.08</v>
      </c>
      <c r="K93" s="106">
        <v>123.38</v>
      </c>
      <c r="L93" s="106">
        <v>307.24</v>
      </c>
      <c r="M93" s="106">
        <v>172.75</v>
      </c>
      <c r="N93" s="106">
        <v>123.38</v>
      </c>
      <c r="O93" s="85" t="s">
        <v>118</v>
      </c>
      <c r="P93" s="85" t="s">
        <v>118</v>
      </c>
      <c r="Q93" s="85" t="s">
        <v>118</v>
      </c>
      <c r="R93" s="85" t="s">
        <v>118</v>
      </c>
      <c r="S93" s="85" t="s">
        <v>118</v>
      </c>
      <c r="T93" s="106">
        <v>52.66</v>
      </c>
      <c r="U93" s="106">
        <v>7.63</v>
      </c>
      <c r="V93" s="106">
        <v>24.57</v>
      </c>
    </row>
    <row r="94" spans="3:22" ht="13.8">
      <c r="C94" s="77" t="str">
        <f t="shared" si="29"/>
        <v>Ruraflex</v>
      </c>
      <c r="D94" s="77" t="s">
        <v>72</v>
      </c>
      <c r="E94" s="77" t="s">
        <v>68</v>
      </c>
      <c r="F94" s="77" t="s">
        <v>64</v>
      </c>
      <c r="G94" s="77" t="str">
        <f t="shared" si="28"/>
        <v>Ruraflex_Non-Local Authority_[301 - 600km]_≥ 66kV &amp; ≤ 132kV</v>
      </c>
      <c r="H94" s="77" t="str">
        <f>'Rates LPU Energy - Current'!H94</f>
        <v>Ru13N</v>
      </c>
      <c r="I94" s="106">
        <v>0</v>
      </c>
      <c r="J94" s="106">
        <v>0</v>
      </c>
      <c r="K94" s="106">
        <v>0</v>
      </c>
      <c r="L94" s="106">
        <v>0</v>
      </c>
      <c r="M94" s="106">
        <v>0</v>
      </c>
      <c r="N94" s="106">
        <v>0</v>
      </c>
      <c r="O94" s="85" t="s">
        <v>118</v>
      </c>
      <c r="P94" s="85" t="s">
        <v>118</v>
      </c>
      <c r="Q94" s="85" t="s">
        <v>118</v>
      </c>
      <c r="R94" s="85" t="s">
        <v>118</v>
      </c>
      <c r="S94" s="85" t="s">
        <v>118</v>
      </c>
      <c r="T94" s="106">
        <v>0</v>
      </c>
      <c r="U94" s="106">
        <v>0</v>
      </c>
      <c r="V94" s="106">
        <v>0</v>
      </c>
    </row>
    <row r="95" spans="3:22" ht="13.8">
      <c r="C95" s="77" t="str">
        <f t="shared" si="29"/>
        <v>Ruraflex</v>
      </c>
      <c r="D95" s="77" t="s">
        <v>72</v>
      </c>
      <c r="E95" s="77" t="s">
        <v>68</v>
      </c>
      <c r="F95" s="77" t="s">
        <v>65</v>
      </c>
      <c r="G95" s="77" t="str">
        <f t="shared" si="28"/>
        <v>Ruraflex_Non-Local Authority_[301 - 600km]_&gt; 132kV</v>
      </c>
      <c r="H95" s="77" t="str">
        <f>'Rates LPU Energy - Current'!H95</f>
        <v>Ru14N</v>
      </c>
      <c r="I95" s="106">
        <v>0</v>
      </c>
      <c r="J95" s="106">
        <v>0</v>
      </c>
      <c r="K95" s="106">
        <v>0</v>
      </c>
      <c r="L95" s="106">
        <v>0</v>
      </c>
      <c r="M95" s="106">
        <v>0</v>
      </c>
      <c r="N95" s="106">
        <v>0</v>
      </c>
      <c r="O95" s="85" t="s">
        <v>118</v>
      </c>
      <c r="P95" s="85" t="s">
        <v>118</v>
      </c>
      <c r="Q95" s="85" t="s">
        <v>118</v>
      </c>
      <c r="R95" s="85" t="s">
        <v>118</v>
      </c>
      <c r="S95" s="85" t="s">
        <v>118</v>
      </c>
      <c r="T95" s="106">
        <v>0</v>
      </c>
      <c r="U95" s="106">
        <v>0</v>
      </c>
      <c r="V95" s="106">
        <v>0</v>
      </c>
    </row>
    <row r="96" spans="3:22" ht="13.8">
      <c r="C96" s="77" t="str">
        <f>C93</f>
        <v>Ruraflex</v>
      </c>
      <c r="D96" s="77" t="s">
        <v>72</v>
      </c>
      <c r="E96" s="77" t="s">
        <v>69</v>
      </c>
      <c r="F96" s="77" t="s">
        <v>62</v>
      </c>
      <c r="G96" s="77" t="str">
        <f t="shared" si="28"/>
        <v>Ruraflex_Non-Local Authority_[601 - 900km]_&lt; 500V</v>
      </c>
      <c r="H96" s="77" t="str">
        <f>'Rates LPU Energy - Current'!H96</f>
        <v>Ru21N</v>
      </c>
      <c r="I96" s="106">
        <v>761.12</v>
      </c>
      <c r="J96" s="106">
        <v>190.27</v>
      </c>
      <c r="K96" s="106">
        <v>126.84</v>
      </c>
      <c r="L96" s="106">
        <v>315.86</v>
      </c>
      <c r="M96" s="106">
        <v>177.59</v>
      </c>
      <c r="N96" s="106">
        <v>126.84</v>
      </c>
      <c r="O96" s="85" t="s">
        <v>118</v>
      </c>
      <c r="P96" s="85" t="s">
        <v>118</v>
      </c>
      <c r="Q96" s="85" t="s">
        <v>118</v>
      </c>
      <c r="R96" s="85" t="s">
        <v>118</v>
      </c>
      <c r="S96" s="85" t="s">
        <v>118</v>
      </c>
      <c r="T96" s="106">
        <v>56.83</v>
      </c>
      <c r="U96" s="106">
        <v>5.07</v>
      </c>
      <c r="V96" s="106">
        <v>25.01</v>
      </c>
    </row>
    <row r="97" spans="3:22" ht="13.8">
      <c r="C97" s="77" t="str">
        <f t="shared" si="29"/>
        <v>Ruraflex</v>
      </c>
      <c r="D97" s="77" t="s">
        <v>72</v>
      </c>
      <c r="E97" s="77" t="s">
        <v>69</v>
      </c>
      <c r="F97" s="77" t="s">
        <v>63</v>
      </c>
      <c r="G97" s="77" t="str">
        <f t="shared" si="28"/>
        <v>Ruraflex_Non-Local Authority_[601 - 900km]_≥ 500V &amp; &lt; 66kV</v>
      </c>
      <c r="H97" s="77" t="str">
        <f>'Rates LPU Energy - Current'!H97</f>
        <v>Ru22N</v>
      </c>
      <c r="I97" s="106">
        <v>747.64</v>
      </c>
      <c r="J97" s="106">
        <v>186.92</v>
      </c>
      <c r="K97" s="106">
        <v>124.61</v>
      </c>
      <c r="L97" s="106">
        <v>310.27999999999997</v>
      </c>
      <c r="M97" s="106">
        <v>174.45</v>
      </c>
      <c r="N97" s="106">
        <v>124.61</v>
      </c>
      <c r="O97" s="85" t="s">
        <v>118</v>
      </c>
      <c r="P97" s="85" t="s">
        <v>118</v>
      </c>
      <c r="Q97" s="85" t="s">
        <v>118</v>
      </c>
      <c r="R97" s="85" t="s">
        <v>118</v>
      </c>
      <c r="S97" s="85" t="s">
        <v>118</v>
      </c>
      <c r="T97" s="106">
        <v>52.78</v>
      </c>
      <c r="U97" s="106">
        <v>7.63</v>
      </c>
      <c r="V97" s="106">
        <v>24.57</v>
      </c>
    </row>
    <row r="98" spans="3:22" ht="13.8">
      <c r="C98" s="77" t="str">
        <f t="shared" si="29"/>
        <v>Ruraflex</v>
      </c>
      <c r="D98" s="77" t="s">
        <v>72</v>
      </c>
      <c r="E98" s="77" t="s">
        <v>69</v>
      </c>
      <c r="F98" s="77" t="s">
        <v>64</v>
      </c>
      <c r="G98" s="77" t="str">
        <f t="shared" si="28"/>
        <v>Ruraflex_Non-Local Authority_[601 - 900km]_≥ 66kV &amp; ≤ 132kV</v>
      </c>
      <c r="H98" s="77" t="str">
        <f>'Rates LPU Energy - Current'!H98</f>
        <v>Ru23N</v>
      </c>
      <c r="I98" s="106">
        <v>0</v>
      </c>
      <c r="J98" s="106">
        <v>0</v>
      </c>
      <c r="K98" s="106">
        <v>0</v>
      </c>
      <c r="L98" s="106">
        <v>0</v>
      </c>
      <c r="M98" s="106">
        <v>0</v>
      </c>
      <c r="N98" s="106">
        <v>0</v>
      </c>
      <c r="O98" s="85" t="s">
        <v>118</v>
      </c>
      <c r="P98" s="85" t="s">
        <v>118</v>
      </c>
      <c r="Q98" s="85" t="s">
        <v>118</v>
      </c>
      <c r="R98" s="85" t="s">
        <v>118</v>
      </c>
      <c r="S98" s="85" t="s">
        <v>118</v>
      </c>
      <c r="T98" s="106">
        <v>0</v>
      </c>
      <c r="U98" s="106">
        <v>0</v>
      </c>
      <c r="V98" s="106">
        <v>0</v>
      </c>
    </row>
    <row r="99" spans="3:22" ht="13.8">
      <c r="C99" s="77" t="str">
        <f t="shared" si="29"/>
        <v>Ruraflex</v>
      </c>
      <c r="D99" s="77" t="s">
        <v>72</v>
      </c>
      <c r="E99" s="77" t="s">
        <v>69</v>
      </c>
      <c r="F99" s="77" t="s">
        <v>65</v>
      </c>
      <c r="G99" s="77" t="str">
        <f t="shared" si="28"/>
        <v>Ruraflex_Non-Local Authority_[601 - 900km]_&gt; 132kV</v>
      </c>
      <c r="H99" s="77" t="str">
        <f>'Rates LPU Energy - Current'!H99</f>
        <v>Ru24N</v>
      </c>
      <c r="I99" s="106">
        <v>0</v>
      </c>
      <c r="J99" s="106">
        <v>0</v>
      </c>
      <c r="K99" s="106">
        <v>0</v>
      </c>
      <c r="L99" s="106">
        <v>0</v>
      </c>
      <c r="M99" s="106">
        <v>0</v>
      </c>
      <c r="N99" s="106">
        <v>0</v>
      </c>
      <c r="O99" s="85" t="s">
        <v>118</v>
      </c>
      <c r="P99" s="85" t="s">
        <v>118</v>
      </c>
      <c r="Q99" s="85" t="s">
        <v>118</v>
      </c>
      <c r="R99" s="85" t="s">
        <v>118</v>
      </c>
      <c r="S99" s="85" t="s">
        <v>118</v>
      </c>
      <c r="T99" s="106">
        <v>0</v>
      </c>
      <c r="U99" s="106">
        <v>0</v>
      </c>
      <c r="V99" s="106">
        <v>0</v>
      </c>
    </row>
    <row r="100" spans="3:22" ht="13.8">
      <c r="C100" s="77" t="str">
        <f>C97</f>
        <v>Ruraflex</v>
      </c>
      <c r="D100" s="77" t="s">
        <v>72</v>
      </c>
      <c r="E100" s="77" t="s">
        <v>70</v>
      </c>
      <c r="F100" s="77" t="s">
        <v>62</v>
      </c>
      <c r="G100" s="77" t="str">
        <f t="shared" si="28"/>
        <v>Ruraflex_Non-Local Authority_[&gt; 900km]_&lt; 500V</v>
      </c>
      <c r="H100" s="77" t="str">
        <f>'Rates LPU Energy - Current'!H100</f>
        <v>Ru31N</v>
      </c>
      <c r="I100" s="106">
        <v>768.58</v>
      </c>
      <c r="J100" s="106">
        <v>192.14</v>
      </c>
      <c r="K100" s="106">
        <v>128.08000000000001</v>
      </c>
      <c r="L100" s="106">
        <v>318.95999999999998</v>
      </c>
      <c r="M100" s="106">
        <v>179.34</v>
      </c>
      <c r="N100" s="106">
        <v>128.08000000000001</v>
      </c>
      <c r="O100" s="85" t="s">
        <v>118</v>
      </c>
      <c r="P100" s="85" t="s">
        <v>118</v>
      </c>
      <c r="Q100" s="85" t="s">
        <v>118</v>
      </c>
      <c r="R100" s="85" t="s">
        <v>118</v>
      </c>
      <c r="S100" s="85" t="s">
        <v>118</v>
      </c>
      <c r="T100" s="106">
        <v>56.95</v>
      </c>
      <c r="U100" s="106">
        <v>5.07</v>
      </c>
      <c r="V100" s="106">
        <v>25.01</v>
      </c>
    </row>
    <row r="101" spans="3:22" ht="13.8">
      <c r="C101" s="77" t="str">
        <f t="shared" si="29"/>
        <v>Ruraflex</v>
      </c>
      <c r="D101" s="77" t="s">
        <v>72</v>
      </c>
      <c r="E101" s="77" t="s">
        <v>70</v>
      </c>
      <c r="F101" s="77" t="s">
        <v>63</v>
      </c>
      <c r="G101" s="77" t="str">
        <f t="shared" si="28"/>
        <v>Ruraflex_Non-Local Authority_[&gt; 900km]_≥ 500V &amp; &lt; 66kV</v>
      </c>
      <c r="H101" s="77" t="str">
        <f>'Rates LPU Energy - Current'!H101</f>
        <v>Ru32N</v>
      </c>
      <c r="I101" s="106">
        <v>754.97</v>
      </c>
      <c r="J101" s="106">
        <v>188.74</v>
      </c>
      <c r="K101" s="106">
        <v>125.83</v>
      </c>
      <c r="L101" s="106">
        <v>313.33</v>
      </c>
      <c r="M101" s="106">
        <v>176.16</v>
      </c>
      <c r="N101" s="106">
        <v>125.83</v>
      </c>
      <c r="O101" s="85" t="s">
        <v>118</v>
      </c>
      <c r="P101" s="85" t="s">
        <v>118</v>
      </c>
      <c r="Q101" s="85" t="s">
        <v>118</v>
      </c>
      <c r="R101" s="85" t="s">
        <v>118</v>
      </c>
      <c r="S101" s="85" t="s">
        <v>118</v>
      </c>
      <c r="T101" s="106">
        <v>52.9</v>
      </c>
      <c r="U101" s="106">
        <v>7.63</v>
      </c>
      <c r="V101" s="106">
        <v>24.57</v>
      </c>
    </row>
    <row r="102" spans="3:22" ht="13.8">
      <c r="C102" s="77" t="str">
        <f t="shared" si="29"/>
        <v>Ruraflex</v>
      </c>
      <c r="D102" s="77" t="s">
        <v>72</v>
      </c>
      <c r="E102" s="77" t="s">
        <v>70</v>
      </c>
      <c r="F102" s="77" t="s">
        <v>64</v>
      </c>
      <c r="G102" s="77" t="str">
        <f t="shared" si="28"/>
        <v>Ruraflex_Non-Local Authority_[&gt; 900km]_≥ 66kV &amp; ≤ 132kV</v>
      </c>
      <c r="H102" s="77" t="str">
        <f>'Rates LPU Energy - Current'!H102</f>
        <v>Ru33N</v>
      </c>
      <c r="I102" s="106">
        <v>0</v>
      </c>
      <c r="J102" s="106">
        <v>0</v>
      </c>
      <c r="K102" s="106">
        <v>0</v>
      </c>
      <c r="L102" s="106">
        <v>0</v>
      </c>
      <c r="M102" s="106">
        <v>0</v>
      </c>
      <c r="N102" s="106">
        <v>0</v>
      </c>
      <c r="O102" s="85" t="s">
        <v>118</v>
      </c>
      <c r="P102" s="85" t="s">
        <v>118</v>
      </c>
      <c r="Q102" s="85" t="s">
        <v>118</v>
      </c>
      <c r="R102" s="85" t="s">
        <v>118</v>
      </c>
      <c r="S102" s="85" t="s">
        <v>118</v>
      </c>
      <c r="T102" s="106">
        <v>0</v>
      </c>
      <c r="U102" s="106">
        <v>0</v>
      </c>
      <c r="V102" s="106">
        <v>0</v>
      </c>
    </row>
    <row r="103" spans="3:22" ht="14.4" thickBot="1">
      <c r="C103" s="77" t="str">
        <f t="shared" si="29"/>
        <v>Ruraflex</v>
      </c>
      <c r="D103" s="77" t="s">
        <v>72</v>
      </c>
      <c r="E103" s="77" t="s">
        <v>70</v>
      </c>
      <c r="F103" s="77" t="s">
        <v>65</v>
      </c>
      <c r="G103" s="77" t="str">
        <f t="shared" si="28"/>
        <v>Ruraflex_Non-Local Authority_[&gt; 900km]_&gt; 132kV</v>
      </c>
      <c r="H103" s="77" t="str">
        <f>'Rates LPU Energy - Current'!H103</f>
        <v>Ru34N</v>
      </c>
      <c r="I103" s="237">
        <v>0</v>
      </c>
      <c r="J103" s="237">
        <v>0</v>
      </c>
      <c r="K103" s="237">
        <v>0</v>
      </c>
      <c r="L103" s="237">
        <v>0</v>
      </c>
      <c r="M103" s="237">
        <v>0</v>
      </c>
      <c r="N103" s="237">
        <v>0</v>
      </c>
      <c r="O103" s="238" t="s">
        <v>118</v>
      </c>
      <c r="P103" s="238" t="s">
        <v>118</v>
      </c>
      <c r="Q103" s="238" t="s">
        <v>118</v>
      </c>
      <c r="R103" s="238" t="s">
        <v>118</v>
      </c>
      <c r="S103" s="238" t="s">
        <v>118</v>
      </c>
      <c r="T103" s="237">
        <v>0</v>
      </c>
      <c r="U103" s="237">
        <v>0</v>
      </c>
      <c r="V103" s="237">
        <v>0</v>
      </c>
    </row>
    <row r="104" spans="3:22" ht="13.8">
      <c r="C104" s="239" t="s">
        <v>465</v>
      </c>
      <c r="D104" s="239" t="s">
        <v>71</v>
      </c>
      <c r="E104" s="239" t="str">
        <f t="shared" ref="E104:F119" si="30">E88</f>
        <v>[0 - 300km]</v>
      </c>
      <c r="F104" s="239" t="str">
        <f t="shared" si="30"/>
        <v>&lt; 500V</v>
      </c>
      <c r="G104" s="239" t="str">
        <f t="shared" si="28"/>
        <v>Municflex_Local Authority_[0 - 300km]_&lt; 500V</v>
      </c>
      <c r="H104" s="239" t="s">
        <v>472</v>
      </c>
      <c r="I104" s="240">
        <f t="shared" ref="I104:N104" si="31">I71</f>
        <v>754.92</v>
      </c>
      <c r="J104" s="240">
        <f t="shared" si="31"/>
        <v>188.7</v>
      </c>
      <c r="K104" s="240">
        <f t="shared" si="31"/>
        <v>125.84</v>
      </c>
      <c r="L104" s="240">
        <f t="shared" si="31"/>
        <v>313.35000000000002</v>
      </c>
      <c r="M104" s="240">
        <f t="shared" si="31"/>
        <v>176.16</v>
      </c>
      <c r="N104" s="240">
        <f t="shared" si="31"/>
        <v>125.89</v>
      </c>
      <c r="O104" s="306">
        <v>0</v>
      </c>
      <c r="P104" s="306">
        <v>0</v>
      </c>
      <c r="Q104" s="306">
        <v>0</v>
      </c>
      <c r="R104" s="306">
        <v>0</v>
      </c>
      <c r="S104" s="240">
        <f t="shared" ref="S104:S119" si="32">S71</f>
        <v>11.83</v>
      </c>
      <c r="T104" s="240">
        <v>0</v>
      </c>
      <c r="U104" s="240">
        <v>5.0599999999999996</v>
      </c>
      <c r="V104" s="240">
        <v>25.31</v>
      </c>
    </row>
    <row r="105" spans="3:22" ht="13.8">
      <c r="C105" s="77" t="s">
        <v>465</v>
      </c>
      <c r="D105" s="77" t="s">
        <v>71</v>
      </c>
      <c r="E105" s="77" t="str">
        <f t="shared" si="30"/>
        <v>[0 - 300km]</v>
      </c>
      <c r="F105" s="77" t="str">
        <f t="shared" si="30"/>
        <v>≥ 500V &amp; &lt; 66kV</v>
      </c>
      <c r="G105" s="77" t="str">
        <f t="shared" si="28"/>
        <v>Municflex_Local Authority_[0 - 300km]_≥ 500V &amp; &lt; 66kV</v>
      </c>
      <c r="H105" s="77" t="s">
        <v>473</v>
      </c>
      <c r="I105" s="106">
        <f t="shared" ref="I105:N105" si="33">I72</f>
        <v>733.19</v>
      </c>
      <c r="J105" s="106">
        <f t="shared" si="33"/>
        <v>183.29</v>
      </c>
      <c r="K105" s="106">
        <f t="shared" si="33"/>
        <v>122.2</v>
      </c>
      <c r="L105" s="106">
        <f t="shared" si="33"/>
        <v>304.27999999999997</v>
      </c>
      <c r="M105" s="106">
        <f t="shared" si="33"/>
        <v>171.07</v>
      </c>
      <c r="N105" s="106">
        <f t="shared" si="33"/>
        <v>122.2</v>
      </c>
      <c r="O105" s="307">
        <v>0</v>
      </c>
      <c r="P105" s="307">
        <v>0</v>
      </c>
      <c r="Q105" s="307">
        <v>0</v>
      </c>
      <c r="R105" s="307">
        <v>0</v>
      </c>
      <c r="S105" s="106">
        <f t="shared" si="32"/>
        <v>11.35</v>
      </c>
      <c r="T105" s="106">
        <v>0</v>
      </c>
      <c r="U105" s="106">
        <v>11.72</v>
      </c>
      <c r="V105" s="106">
        <v>24.58</v>
      </c>
    </row>
    <row r="106" spans="3:22" ht="13.8">
      <c r="C106" s="77" t="s">
        <v>465</v>
      </c>
      <c r="D106" s="77" t="s">
        <v>71</v>
      </c>
      <c r="E106" s="77" t="str">
        <f t="shared" si="30"/>
        <v>[0 - 300km]</v>
      </c>
      <c r="F106" s="77" t="str">
        <f t="shared" si="30"/>
        <v>≥ 66kV &amp; ≤ 132kV</v>
      </c>
      <c r="G106" s="77" t="str">
        <f t="shared" si="28"/>
        <v>Municflex_Local Authority_[0 - 300km]_≥ 66kV &amp; ≤ 132kV</v>
      </c>
      <c r="H106" s="77" t="s">
        <v>474</v>
      </c>
      <c r="I106" s="106">
        <f t="shared" ref="I106:N106" si="34">I73</f>
        <v>680.35</v>
      </c>
      <c r="J106" s="106">
        <f t="shared" si="34"/>
        <v>170.09</v>
      </c>
      <c r="K106" s="106">
        <f t="shared" si="34"/>
        <v>113.38</v>
      </c>
      <c r="L106" s="106">
        <f t="shared" si="34"/>
        <v>282.36</v>
      </c>
      <c r="M106" s="106">
        <f t="shared" si="34"/>
        <v>158.76</v>
      </c>
      <c r="N106" s="106">
        <f t="shared" si="34"/>
        <v>113.38</v>
      </c>
      <c r="O106" s="307">
        <v>0</v>
      </c>
      <c r="P106" s="307">
        <v>0</v>
      </c>
      <c r="Q106" s="307">
        <v>0</v>
      </c>
      <c r="R106" s="307">
        <v>0</v>
      </c>
      <c r="S106" s="106">
        <f t="shared" si="32"/>
        <v>10.36</v>
      </c>
      <c r="T106" s="106">
        <v>0</v>
      </c>
      <c r="U106" s="106">
        <v>9.82</v>
      </c>
      <c r="V106" s="106">
        <v>22.82</v>
      </c>
    </row>
    <row r="107" spans="3:22" ht="13.8">
      <c r="C107" s="77" t="s">
        <v>465</v>
      </c>
      <c r="D107" s="77" t="s">
        <v>71</v>
      </c>
      <c r="E107" s="77" t="str">
        <f t="shared" si="30"/>
        <v>[0 - 300km]</v>
      </c>
      <c r="F107" s="77" t="str">
        <f t="shared" si="30"/>
        <v>&gt; 132kV</v>
      </c>
      <c r="G107" s="77" t="str">
        <f t="shared" si="28"/>
        <v>Municflex_Local Authority_[0 - 300km]_&gt; 132kV</v>
      </c>
      <c r="H107" s="77" t="s">
        <v>475</v>
      </c>
      <c r="I107" s="106">
        <f t="shared" ref="I107:N107" si="35">I74</f>
        <v>634.41999999999996</v>
      </c>
      <c r="J107" s="106">
        <f t="shared" si="35"/>
        <v>158.61000000000001</v>
      </c>
      <c r="K107" s="106">
        <f t="shared" si="35"/>
        <v>105.74</v>
      </c>
      <c r="L107" s="106">
        <f t="shared" si="35"/>
        <v>263.3</v>
      </c>
      <c r="M107" s="106">
        <f t="shared" si="35"/>
        <v>148.04</v>
      </c>
      <c r="N107" s="106">
        <f t="shared" si="35"/>
        <v>105.74</v>
      </c>
      <c r="O107" s="307">
        <v>0</v>
      </c>
      <c r="P107" s="307">
        <v>0</v>
      </c>
      <c r="Q107" s="307">
        <v>0</v>
      </c>
      <c r="R107" s="307">
        <v>0</v>
      </c>
      <c r="S107" s="106">
        <f t="shared" si="32"/>
        <v>18.079999999999998</v>
      </c>
      <c r="T107" s="106">
        <v>0</v>
      </c>
      <c r="U107" s="106">
        <v>10.85</v>
      </c>
      <c r="V107" s="106">
        <v>21.27</v>
      </c>
    </row>
    <row r="108" spans="3:22" ht="13.8">
      <c r="C108" s="77" t="s">
        <v>465</v>
      </c>
      <c r="D108" s="77" t="s">
        <v>71</v>
      </c>
      <c r="E108" s="77" t="str">
        <f t="shared" si="30"/>
        <v>[301 - 600km]</v>
      </c>
      <c r="F108" s="77" t="str">
        <f t="shared" si="30"/>
        <v>&lt; 500V</v>
      </c>
      <c r="G108" s="77" t="str">
        <f t="shared" si="28"/>
        <v>Municflex_Local Authority_[301 - 600km]_&lt; 500V</v>
      </c>
      <c r="H108" s="77" t="s">
        <v>476</v>
      </c>
      <c r="I108" s="106">
        <f t="shared" ref="I108:N108" si="36">I75</f>
        <v>765.2</v>
      </c>
      <c r="J108" s="106">
        <f t="shared" si="36"/>
        <v>191.31</v>
      </c>
      <c r="K108" s="106">
        <f t="shared" si="36"/>
        <v>127.55</v>
      </c>
      <c r="L108" s="106">
        <f t="shared" si="36"/>
        <v>317.58</v>
      </c>
      <c r="M108" s="106">
        <f t="shared" si="36"/>
        <v>178.57</v>
      </c>
      <c r="N108" s="106">
        <f t="shared" si="36"/>
        <v>127.55</v>
      </c>
      <c r="O108" s="307">
        <v>0</v>
      </c>
      <c r="P108" s="307">
        <v>0</v>
      </c>
      <c r="Q108" s="307">
        <v>0</v>
      </c>
      <c r="R108" s="307">
        <v>0</v>
      </c>
      <c r="S108" s="106">
        <f t="shared" si="32"/>
        <v>12</v>
      </c>
      <c r="T108" s="106">
        <v>0</v>
      </c>
      <c r="U108" s="106">
        <v>5.0599999999999996</v>
      </c>
      <c r="V108" s="106">
        <v>25.4</v>
      </c>
    </row>
    <row r="109" spans="3:22" ht="13.8">
      <c r="C109" s="77" t="s">
        <v>465</v>
      </c>
      <c r="D109" s="77" t="s">
        <v>71</v>
      </c>
      <c r="E109" s="77" t="str">
        <f t="shared" si="30"/>
        <v>[301 - 600km]</v>
      </c>
      <c r="F109" s="77" t="str">
        <f t="shared" si="30"/>
        <v>≥ 500V &amp; &lt; 66kV</v>
      </c>
      <c r="G109" s="77" t="str">
        <f t="shared" si="28"/>
        <v>Municflex_Local Authority_[301 - 600km]_≥ 500V &amp; &lt; 66kV</v>
      </c>
      <c r="H109" s="77" t="s">
        <v>477</v>
      </c>
      <c r="I109" s="106">
        <f t="shared" ref="I109:N109" si="37">I76</f>
        <v>741.59</v>
      </c>
      <c r="J109" s="106">
        <f t="shared" si="37"/>
        <v>185.41</v>
      </c>
      <c r="K109" s="106">
        <f t="shared" si="37"/>
        <v>123.62</v>
      </c>
      <c r="L109" s="106">
        <f t="shared" si="37"/>
        <v>307.76</v>
      </c>
      <c r="M109" s="106">
        <f t="shared" si="37"/>
        <v>173.05</v>
      </c>
      <c r="N109" s="106">
        <f t="shared" si="37"/>
        <v>123.62</v>
      </c>
      <c r="O109" s="307">
        <v>0</v>
      </c>
      <c r="P109" s="307">
        <v>0</v>
      </c>
      <c r="Q109" s="307">
        <v>0</v>
      </c>
      <c r="R109" s="307">
        <v>0</v>
      </c>
      <c r="S109" s="106">
        <f t="shared" si="32"/>
        <v>11.49</v>
      </c>
      <c r="T109" s="106">
        <v>0</v>
      </c>
      <c r="U109" s="106">
        <v>11.72</v>
      </c>
      <c r="V109" s="106">
        <v>24.63</v>
      </c>
    </row>
    <row r="110" spans="3:22" ht="13.8">
      <c r="C110" s="77" t="s">
        <v>465</v>
      </c>
      <c r="D110" s="77" t="s">
        <v>71</v>
      </c>
      <c r="E110" s="77" t="str">
        <f t="shared" si="30"/>
        <v>[301 - 600km]</v>
      </c>
      <c r="F110" s="77" t="str">
        <f t="shared" si="30"/>
        <v>≥ 66kV &amp; ≤ 132kV</v>
      </c>
      <c r="G110" s="77" t="str">
        <f t="shared" si="28"/>
        <v>Municflex_Local Authority_[301 - 600km]_≥ 66kV &amp; ≤ 132kV</v>
      </c>
      <c r="H110" s="77" t="s">
        <v>478</v>
      </c>
      <c r="I110" s="106">
        <f t="shared" ref="I110:N110" si="38">I77</f>
        <v>687.16</v>
      </c>
      <c r="J110" s="106">
        <f t="shared" si="38"/>
        <v>171.8</v>
      </c>
      <c r="K110" s="106">
        <f t="shared" si="38"/>
        <v>114.53</v>
      </c>
      <c r="L110" s="106">
        <f t="shared" si="38"/>
        <v>285.17</v>
      </c>
      <c r="M110" s="106">
        <f t="shared" si="38"/>
        <v>160.34</v>
      </c>
      <c r="N110" s="106">
        <f t="shared" si="38"/>
        <v>114.53</v>
      </c>
      <c r="O110" s="307">
        <v>0</v>
      </c>
      <c r="P110" s="307">
        <v>0</v>
      </c>
      <c r="Q110" s="307">
        <v>0</v>
      </c>
      <c r="R110" s="307">
        <v>0</v>
      </c>
      <c r="S110" s="106">
        <f t="shared" si="32"/>
        <v>10.46</v>
      </c>
      <c r="T110" s="106">
        <v>0</v>
      </c>
      <c r="U110" s="106">
        <v>9.82</v>
      </c>
      <c r="V110" s="106">
        <v>22.82</v>
      </c>
    </row>
    <row r="111" spans="3:22" ht="13.8">
      <c r="C111" s="77" t="s">
        <v>465</v>
      </c>
      <c r="D111" s="77" t="s">
        <v>71</v>
      </c>
      <c r="E111" s="77" t="str">
        <f t="shared" si="30"/>
        <v>[301 - 600km]</v>
      </c>
      <c r="F111" s="77" t="str">
        <f t="shared" si="30"/>
        <v>&gt; 132kV</v>
      </c>
      <c r="G111" s="77" t="str">
        <f t="shared" si="28"/>
        <v>Municflex_Local Authority_[301 - 600km]_&gt; 132kV</v>
      </c>
      <c r="H111" s="77" t="s">
        <v>479</v>
      </c>
      <c r="I111" s="106">
        <f t="shared" ref="I111:N111" si="39">I78</f>
        <v>640.77</v>
      </c>
      <c r="J111" s="106">
        <f t="shared" si="39"/>
        <v>160.19</v>
      </c>
      <c r="K111" s="106">
        <f t="shared" si="39"/>
        <v>106.79</v>
      </c>
      <c r="L111" s="106">
        <f t="shared" si="39"/>
        <v>265.92</v>
      </c>
      <c r="M111" s="106">
        <f t="shared" si="39"/>
        <v>149.52000000000001</v>
      </c>
      <c r="N111" s="106">
        <f t="shared" si="39"/>
        <v>106.79</v>
      </c>
      <c r="O111" s="307">
        <v>0</v>
      </c>
      <c r="P111" s="307">
        <v>0</v>
      </c>
      <c r="Q111" s="307">
        <v>0</v>
      </c>
      <c r="R111" s="307">
        <v>0</v>
      </c>
      <c r="S111" s="106">
        <f t="shared" si="32"/>
        <v>18.27</v>
      </c>
      <c r="T111" s="106">
        <v>0</v>
      </c>
      <c r="U111" s="106">
        <v>10.85</v>
      </c>
      <c r="V111" s="106">
        <v>21.27</v>
      </c>
    </row>
    <row r="112" spans="3:22" ht="13.8">
      <c r="C112" s="77" t="s">
        <v>465</v>
      </c>
      <c r="D112" s="77" t="s">
        <v>71</v>
      </c>
      <c r="E112" s="77" t="str">
        <f t="shared" si="30"/>
        <v>[601 - 900km]</v>
      </c>
      <c r="F112" s="77" t="str">
        <f t="shared" si="30"/>
        <v>&lt; 500V</v>
      </c>
      <c r="G112" s="77" t="str">
        <f t="shared" si="28"/>
        <v>Municflex_Local Authority_[601 - 900km]_&lt; 500V</v>
      </c>
      <c r="H112" s="77" t="s">
        <v>480</v>
      </c>
      <c r="I112" s="106">
        <f t="shared" ref="I112:N112" si="40">I79</f>
        <v>772.4</v>
      </c>
      <c r="J112" s="106">
        <f t="shared" si="40"/>
        <v>193.09</v>
      </c>
      <c r="K112" s="106">
        <f t="shared" si="40"/>
        <v>128.76</v>
      </c>
      <c r="L112" s="106">
        <f t="shared" si="40"/>
        <v>320.60000000000002</v>
      </c>
      <c r="M112" s="106">
        <f t="shared" si="40"/>
        <v>180.24</v>
      </c>
      <c r="N112" s="106">
        <f t="shared" si="40"/>
        <v>128.77000000000001</v>
      </c>
      <c r="O112" s="307">
        <v>0</v>
      </c>
      <c r="P112" s="307">
        <v>0</v>
      </c>
      <c r="Q112" s="307">
        <v>0</v>
      </c>
      <c r="R112" s="307">
        <v>0</v>
      </c>
      <c r="S112" s="106">
        <f t="shared" si="32"/>
        <v>12.13</v>
      </c>
      <c r="T112" s="106">
        <v>0</v>
      </c>
      <c r="U112" s="106">
        <v>5.0599999999999996</v>
      </c>
      <c r="V112" s="106">
        <v>25.39</v>
      </c>
    </row>
    <row r="113" spans="3:22" ht="13.8">
      <c r="C113" s="77" t="s">
        <v>465</v>
      </c>
      <c r="D113" s="77" t="s">
        <v>71</v>
      </c>
      <c r="E113" s="77" t="str">
        <f t="shared" si="30"/>
        <v>[601 - 900km]</v>
      </c>
      <c r="F113" s="77" t="str">
        <f t="shared" si="30"/>
        <v>≥ 500V &amp; &lt; 66kV</v>
      </c>
      <c r="G113" s="77" t="str">
        <f t="shared" si="28"/>
        <v>Municflex_Local Authority_[601 - 900km]_≥ 500V &amp; &lt; 66kV</v>
      </c>
      <c r="H113" s="77" t="s">
        <v>481</v>
      </c>
      <c r="I113" s="106">
        <f t="shared" ref="I113:N113" si="41">I80</f>
        <v>749.21</v>
      </c>
      <c r="J113" s="106">
        <f t="shared" si="41"/>
        <v>187.32</v>
      </c>
      <c r="K113" s="106">
        <f t="shared" si="41"/>
        <v>124.9</v>
      </c>
      <c r="L113" s="106">
        <f t="shared" si="41"/>
        <v>310.95</v>
      </c>
      <c r="M113" s="106">
        <f t="shared" si="41"/>
        <v>174.82</v>
      </c>
      <c r="N113" s="106">
        <f t="shared" si="41"/>
        <v>124.9</v>
      </c>
      <c r="O113" s="307">
        <v>0</v>
      </c>
      <c r="P113" s="307">
        <v>0</v>
      </c>
      <c r="Q113" s="307">
        <v>0</v>
      </c>
      <c r="R113" s="307">
        <v>0</v>
      </c>
      <c r="S113" s="106">
        <f t="shared" si="32"/>
        <v>11.61</v>
      </c>
      <c r="T113" s="106">
        <v>0</v>
      </c>
      <c r="U113" s="106">
        <v>11.72</v>
      </c>
      <c r="V113" s="106">
        <v>24.63</v>
      </c>
    </row>
    <row r="114" spans="3:22" ht="13.8">
      <c r="C114" s="77" t="s">
        <v>465</v>
      </c>
      <c r="D114" s="77" t="s">
        <v>71</v>
      </c>
      <c r="E114" s="77" t="str">
        <f t="shared" si="30"/>
        <v>[601 - 900km]</v>
      </c>
      <c r="F114" s="77" t="str">
        <f t="shared" si="30"/>
        <v>≥ 66kV &amp; ≤ 132kV</v>
      </c>
      <c r="G114" s="77" t="str">
        <f t="shared" si="28"/>
        <v>Municflex_Local Authority_[601 - 900km]_≥ 66kV &amp; ≤ 132kV</v>
      </c>
      <c r="H114" s="77" t="s">
        <v>482</v>
      </c>
      <c r="I114" s="106">
        <f t="shared" ref="I114:N114" si="42">I81</f>
        <v>693.96</v>
      </c>
      <c r="J114" s="106">
        <f t="shared" si="42"/>
        <v>173.49</v>
      </c>
      <c r="K114" s="106">
        <f t="shared" si="42"/>
        <v>115.66</v>
      </c>
      <c r="L114" s="106">
        <f t="shared" si="42"/>
        <v>288.01</v>
      </c>
      <c r="M114" s="106">
        <f t="shared" si="42"/>
        <v>161.91999999999999</v>
      </c>
      <c r="N114" s="106">
        <f t="shared" si="42"/>
        <v>115.66</v>
      </c>
      <c r="O114" s="307">
        <v>0</v>
      </c>
      <c r="P114" s="307">
        <v>0</v>
      </c>
      <c r="Q114" s="307">
        <v>0</v>
      </c>
      <c r="R114" s="307">
        <v>0</v>
      </c>
      <c r="S114" s="106">
        <f t="shared" si="32"/>
        <v>10.55</v>
      </c>
      <c r="T114" s="106">
        <v>0</v>
      </c>
      <c r="U114" s="106">
        <v>9.82</v>
      </c>
      <c r="V114" s="106">
        <v>22.82</v>
      </c>
    </row>
    <row r="115" spans="3:22" ht="13.8">
      <c r="C115" s="77" t="s">
        <v>465</v>
      </c>
      <c r="D115" s="77" t="s">
        <v>71</v>
      </c>
      <c r="E115" s="77" t="str">
        <f t="shared" si="30"/>
        <v>[601 - 900km]</v>
      </c>
      <c r="F115" s="77" t="str">
        <f t="shared" si="30"/>
        <v>&gt; 132kV</v>
      </c>
      <c r="G115" s="77" t="str">
        <f t="shared" si="28"/>
        <v>Municflex_Local Authority_[601 - 900km]_&gt; 132kV</v>
      </c>
      <c r="H115" s="77" t="s">
        <v>483</v>
      </c>
      <c r="I115" s="106">
        <f t="shared" ref="I115:N115" si="43">I82</f>
        <v>647.11</v>
      </c>
      <c r="J115" s="106">
        <f t="shared" si="43"/>
        <v>161.78</v>
      </c>
      <c r="K115" s="106">
        <f t="shared" si="43"/>
        <v>107.85</v>
      </c>
      <c r="L115" s="106">
        <f t="shared" si="43"/>
        <v>268.56</v>
      </c>
      <c r="M115" s="106">
        <f t="shared" si="43"/>
        <v>151</v>
      </c>
      <c r="N115" s="106">
        <f t="shared" si="43"/>
        <v>107.85</v>
      </c>
      <c r="O115" s="307">
        <v>0</v>
      </c>
      <c r="P115" s="307">
        <v>0</v>
      </c>
      <c r="Q115" s="307">
        <v>0</v>
      </c>
      <c r="R115" s="307">
        <v>0</v>
      </c>
      <c r="S115" s="106">
        <f t="shared" si="32"/>
        <v>18.440000000000001</v>
      </c>
      <c r="T115" s="106">
        <v>0</v>
      </c>
      <c r="U115" s="106">
        <v>10.85</v>
      </c>
      <c r="V115" s="106">
        <v>21.27</v>
      </c>
    </row>
    <row r="116" spans="3:22" ht="13.8">
      <c r="C116" s="77" t="s">
        <v>465</v>
      </c>
      <c r="D116" s="77" t="s">
        <v>71</v>
      </c>
      <c r="E116" s="77" t="str">
        <f t="shared" si="30"/>
        <v>[&gt; 900km]</v>
      </c>
      <c r="F116" s="77" t="str">
        <f t="shared" si="30"/>
        <v>&lt; 500V</v>
      </c>
      <c r="G116" s="77" t="str">
        <f t="shared" si="28"/>
        <v>Municflex_Local Authority_[&gt; 900km]_&lt; 500V</v>
      </c>
      <c r="H116" s="77" t="s">
        <v>484</v>
      </c>
      <c r="I116" s="106">
        <f t="shared" ref="I116:N116" si="44">I83</f>
        <v>781.01</v>
      </c>
      <c r="J116" s="106">
        <f t="shared" si="44"/>
        <v>195.25</v>
      </c>
      <c r="K116" s="106">
        <f t="shared" si="44"/>
        <v>130.16999999999999</v>
      </c>
      <c r="L116" s="106">
        <f t="shared" si="44"/>
        <v>324.11</v>
      </c>
      <c r="M116" s="106">
        <f t="shared" si="44"/>
        <v>182.24</v>
      </c>
      <c r="N116" s="106">
        <f t="shared" si="44"/>
        <v>130.16999999999999</v>
      </c>
      <c r="O116" s="307">
        <v>0</v>
      </c>
      <c r="P116" s="307">
        <v>0</v>
      </c>
      <c r="Q116" s="307">
        <v>0</v>
      </c>
      <c r="R116" s="307">
        <v>0</v>
      </c>
      <c r="S116" s="106">
        <f t="shared" si="32"/>
        <v>12.24</v>
      </c>
      <c r="T116" s="106">
        <v>0</v>
      </c>
      <c r="U116" s="106">
        <v>5.0599999999999996</v>
      </c>
      <c r="V116" s="106">
        <v>25.42</v>
      </c>
    </row>
    <row r="117" spans="3:22" ht="13.8">
      <c r="C117" s="77" t="s">
        <v>465</v>
      </c>
      <c r="D117" s="77" t="s">
        <v>71</v>
      </c>
      <c r="E117" s="77" t="str">
        <f t="shared" si="30"/>
        <v>[&gt; 900km]</v>
      </c>
      <c r="F117" s="77" t="str">
        <f t="shared" si="30"/>
        <v>≥ 500V &amp; &lt; 66kV</v>
      </c>
      <c r="G117" s="77" t="str">
        <f t="shared" si="28"/>
        <v>Municflex_Local Authority_[&gt; 900km]_≥ 500V &amp; &lt; 66kV</v>
      </c>
      <c r="H117" s="77" t="s">
        <v>485</v>
      </c>
      <c r="I117" s="106">
        <f t="shared" ref="I117:N117" si="45">I84</f>
        <v>756.32</v>
      </c>
      <c r="J117" s="106">
        <f t="shared" si="45"/>
        <v>189.07</v>
      </c>
      <c r="K117" s="106">
        <f t="shared" si="45"/>
        <v>126.06</v>
      </c>
      <c r="L117" s="106">
        <f t="shared" si="45"/>
        <v>313.87</v>
      </c>
      <c r="M117" s="106">
        <f t="shared" si="45"/>
        <v>176.47</v>
      </c>
      <c r="N117" s="106">
        <f t="shared" si="45"/>
        <v>126.06</v>
      </c>
      <c r="O117" s="307">
        <v>0</v>
      </c>
      <c r="P117" s="307">
        <v>0</v>
      </c>
      <c r="Q117" s="307">
        <v>0</v>
      </c>
      <c r="R117" s="307">
        <v>0</v>
      </c>
      <c r="S117" s="106">
        <f t="shared" si="32"/>
        <v>11.72</v>
      </c>
      <c r="T117" s="106">
        <v>0</v>
      </c>
      <c r="U117" s="106">
        <v>11.72</v>
      </c>
      <c r="V117" s="106">
        <v>24.63</v>
      </c>
    </row>
    <row r="118" spans="3:22" ht="13.8">
      <c r="C118" s="77" t="s">
        <v>465</v>
      </c>
      <c r="D118" s="77" t="s">
        <v>71</v>
      </c>
      <c r="E118" s="77" t="str">
        <f t="shared" si="30"/>
        <v>[&gt; 900km]</v>
      </c>
      <c r="F118" s="77" t="str">
        <f t="shared" si="30"/>
        <v>≥ 66kV &amp; ≤ 132kV</v>
      </c>
      <c r="G118" s="77" t="str">
        <f t="shared" si="28"/>
        <v>Municflex_Local Authority_[&gt; 900km]_≥ 66kV &amp; ≤ 132kV</v>
      </c>
      <c r="H118" s="77" t="s">
        <v>486</v>
      </c>
      <c r="I118" s="106">
        <f t="shared" ref="I118:N118" si="46">I85</f>
        <v>700.77</v>
      </c>
      <c r="J118" s="106">
        <f t="shared" si="46"/>
        <v>175.19</v>
      </c>
      <c r="K118" s="106">
        <f t="shared" si="46"/>
        <v>116.79</v>
      </c>
      <c r="L118" s="106">
        <f t="shared" si="46"/>
        <v>290.81</v>
      </c>
      <c r="M118" s="106">
        <f t="shared" si="46"/>
        <v>163.52000000000001</v>
      </c>
      <c r="N118" s="106">
        <f t="shared" si="46"/>
        <v>116.79</v>
      </c>
      <c r="O118" s="307">
        <v>0</v>
      </c>
      <c r="P118" s="307">
        <v>0</v>
      </c>
      <c r="Q118" s="307">
        <v>0</v>
      </c>
      <c r="R118" s="307">
        <v>0</v>
      </c>
      <c r="S118" s="106">
        <f t="shared" si="32"/>
        <v>10.67</v>
      </c>
      <c r="T118" s="106">
        <v>0</v>
      </c>
      <c r="U118" s="106">
        <v>9.82</v>
      </c>
      <c r="V118" s="106">
        <v>22.82</v>
      </c>
    </row>
    <row r="119" spans="3:22" ht="13.8">
      <c r="C119" s="77" t="s">
        <v>465</v>
      </c>
      <c r="D119" s="77" t="s">
        <v>71</v>
      </c>
      <c r="E119" s="77" t="str">
        <f t="shared" si="30"/>
        <v>[&gt; 900km]</v>
      </c>
      <c r="F119" s="77" t="str">
        <f t="shared" si="30"/>
        <v>&gt; 132kV</v>
      </c>
      <c r="G119" s="77" t="str">
        <f t="shared" si="28"/>
        <v>Municflex_Local Authority_[&gt; 900km]_&gt; 132kV</v>
      </c>
      <c r="H119" s="77" t="s">
        <v>487</v>
      </c>
      <c r="I119" s="106">
        <f t="shared" ref="I119:N119" si="47">I86</f>
        <v>653.45000000000005</v>
      </c>
      <c r="J119" s="106">
        <f t="shared" si="47"/>
        <v>163.37</v>
      </c>
      <c r="K119" s="106">
        <f t="shared" si="47"/>
        <v>108.9</v>
      </c>
      <c r="L119" s="106">
        <f t="shared" si="47"/>
        <v>271.19</v>
      </c>
      <c r="M119" s="106">
        <f t="shared" si="47"/>
        <v>152.46</v>
      </c>
      <c r="N119" s="106">
        <f t="shared" si="47"/>
        <v>108.9</v>
      </c>
      <c r="O119" s="307">
        <v>0</v>
      </c>
      <c r="P119" s="307">
        <v>0</v>
      </c>
      <c r="Q119" s="307">
        <v>0</v>
      </c>
      <c r="R119" s="307">
        <v>0</v>
      </c>
      <c r="S119" s="106">
        <f t="shared" si="32"/>
        <v>18.64</v>
      </c>
      <c r="T119" s="106">
        <v>0</v>
      </c>
      <c r="U119" s="106">
        <v>10.85</v>
      </c>
      <c r="V119" s="106">
        <v>21.27</v>
      </c>
    </row>
    <row r="120" spans="3:22" ht="13.8">
      <c r="C120" s="77"/>
      <c r="D120" s="77"/>
      <c r="E120" s="77"/>
      <c r="F120" s="77"/>
      <c r="G120" s="77"/>
      <c r="H120" s="77"/>
      <c r="I120" s="77"/>
      <c r="J120" s="77"/>
      <c r="K120" s="77"/>
      <c r="L120" s="77"/>
      <c r="M120" s="77"/>
      <c r="N120" s="77"/>
      <c r="O120" s="77"/>
      <c r="P120" s="77"/>
      <c r="Q120" s="77"/>
      <c r="R120" s="77"/>
      <c r="S120" s="77"/>
      <c r="T120" s="77"/>
      <c r="U120" s="77"/>
      <c r="V120" s="77"/>
    </row>
    <row r="121" spans="3:22" ht="13.8">
      <c r="C121" s="77" t="s">
        <v>45</v>
      </c>
      <c r="D121" s="77" t="s">
        <v>72</v>
      </c>
      <c r="E121" s="77" t="s">
        <v>67</v>
      </c>
      <c r="F121" s="77" t="s">
        <v>62</v>
      </c>
      <c r="G121" s="77" t="str">
        <f t="shared" ref="G121:G152" si="48">C121&amp;"_"&amp;D121&amp;"_"&amp;E121&amp;"_"&amp;F121</f>
        <v>Nightsave Small_Non-Local Authority_[0 - 300km]_&lt; 500V</v>
      </c>
      <c r="H121" s="77" t="str">
        <f>'Rates LPU Energy - Current'!H121</f>
        <v>NS01N</v>
      </c>
      <c r="I121" s="85" t="s">
        <v>118</v>
      </c>
      <c r="J121" s="85" t="s">
        <v>118</v>
      </c>
      <c r="K121" s="85" t="s">
        <v>118</v>
      </c>
      <c r="L121" s="85" t="s">
        <v>118</v>
      </c>
      <c r="M121" s="85" t="s">
        <v>118</v>
      </c>
      <c r="N121" s="85" t="s">
        <v>118</v>
      </c>
      <c r="O121" s="106">
        <v>181.89</v>
      </c>
      <c r="P121" s="106">
        <v>174.72</v>
      </c>
      <c r="Q121" s="106">
        <v>341.73</v>
      </c>
      <c r="R121" s="106">
        <v>79.95</v>
      </c>
      <c r="S121" s="106">
        <v>11.56</v>
      </c>
      <c r="T121" s="85" t="s">
        <v>118</v>
      </c>
      <c r="U121" s="85">
        <v>5.29</v>
      </c>
      <c r="V121" s="85">
        <v>24.78</v>
      </c>
    </row>
    <row r="122" spans="3:22" ht="13.8">
      <c r="C122" s="77" t="str">
        <f>C121</f>
        <v>Nightsave Small</v>
      </c>
      <c r="D122" s="77" t="s">
        <v>72</v>
      </c>
      <c r="E122" s="77" t="s">
        <v>67</v>
      </c>
      <c r="F122" s="77" t="s">
        <v>63</v>
      </c>
      <c r="G122" s="77" t="str">
        <f t="shared" si="48"/>
        <v>Nightsave Small_Non-Local Authority_[0 - 300km]_≥ 500V &amp; &lt; 66kV</v>
      </c>
      <c r="H122" s="77" t="str">
        <f>'Rates LPU Energy - Current'!H122</f>
        <v>NS02N</v>
      </c>
      <c r="I122" s="85" t="s">
        <v>118</v>
      </c>
      <c r="J122" s="85" t="s">
        <v>118</v>
      </c>
      <c r="K122" s="85" t="s">
        <v>118</v>
      </c>
      <c r="L122" s="85" t="s">
        <v>118</v>
      </c>
      <c r="M122" s="85" t="s">
        <v>118</v>
      </c>
      <c r="N122" s="85" t="s">
        <v>118</v>
      </c>
      <c r="O122" s="106">
        <v>177.2</v>
      </c>
      <c r="P122" s="106">
        <v>170.21</v>
      </c>
      <c r="Q122" s="106">
        <v>332.91</v>
      </c>
      <c r="R122" s="106">
        <v>77.88</v>
      </c>
      <c r="S122" s="106">
        <v>11.15</v>
      </c>
      <c r="T122" s="85" t="s">
        <v>118</v>
      </c>
      <c r="U122" s="85">
        <v>12.27</v>
      </c>
      <c r="V122" s="85">
        <v>24.14</v>
      </c>
    </row>
    <row r="123" spans="3:22" ht="13.8">
      <c r="C123" s="77" t="str">
        <f t="shared" ref="C123:C136" si="49">C122</f>
        <v>Nightsave Small</v>
      </c>
      <c r="D123" s="77" t="s">
        <v>72</v>
      </c>
      <c r="E123" s="77" t="s">
        <v>67</v>
      </c>
      <c r="F123" s="77" t="s">
        <v>64</v>
      </c>
      <c r="G123" s="77" t="str">
        <f t="shared" si="48"/>
        <v>Nightsave Small_Non-Local Authority_[0 - 300km]_≥ 66kV &amp; ≤ 132kV</v>
      </c>
      <c r="H123" s="77" t="str">
        <f>'Rates LPU Energy - Current'!H123</f>
        <v>NS03N</v>
      </c>
      <c r="I123" s="85" t="s">
        <v>118</v>
      </c>
      <c r="J123" s="85" t="s">
        <v>118</v>
      </c>
      <c r="K123" s="85" t="s">
        <v>118</v>
      </c>
      <c r="L123" s="85" t="s">
        <v>118</v>
      </c>
      <c r="M123" s="85" t="s">
        <v>118</v>
      </c>
      <c r="N123" s="85" t="s">
        <v>118</v>
      </c>
      <c r="O123" s="106">
        <v>164.44</v>
      </c>
      <c r="P123" s="106">
        <v>157.96</v>
      </c>
      <c r="Q123" s="106">
        <v>308.94</v>
      </c>
      <c r="R123" s="106">
        <v>72.28</v>
      </c>
      <c r="S123" s="106">
        <v>10.17</v>
      </c>
      <c r="T123" s="85" t="s">
        <v>118</v>
      </c>
      <c r="U123" s="85">
        <v>9.2799999999999994</v>
      </c>
      <c r="V123" s="85">
        <v>22.4</v>
      </c>
    </row>
    <row r="124" spans="3:22" ht="13.8">
      <c r="C124" s="77" t="str">
        <f t="shared" si="49"/>
        <v>Nightsave Small</v>
      </c>
      <c r="D124" s="77" t="s">
        <v>72</v>
      </c>
      <c r="E124" s="77" t="s">
        <v>67</v>
      </c>
      <c r="F124" s="77" t="s">
        <v>65</v>
      </c>
      <c r="G124" s="77" t="str">
        <f t="shared" si="48"/>
        <v>Nightsave Small_Non-Local Authority_[0 - 300km]_&gt; 132kV</v>
      </c>
      <c r="H124" s="77" t="str">
        <f>'Rates LPU Energy - Current'!H124</f>
        <v>NS04N</v>
      </c>
      <c r="I124" s="85" t="s">
        <v>118</v>
      </c>
      <c r="J124" s="85" t="s">
        <v>118</v>
      </c>
      <c r="K124" s="85" t="s">
        <v>118</v>
      </c>
      <c r="L124" s="85" t="s">
        <v>118</v>
      </c>
      <c r="M124" s="85" t="s">
        <v>118</v>
      </c>
      <c r="N124" s="85" t="s">
        <v>118</v>
      </c>
      <c r="O124" s="106">
        <v>153.35</v>
      </c>
      <c r="P124" s="106">
        <v>147.30000000000001</v>
      </c>
      <c r="Q124" s="106">
        <v>286.37</v>
      </c>
      <c r="R124" s="106">
        <v>67</v>
      </c>
      <c r="S124" s="106">
        <v>17.77</v>
      </c>
      <c r="T124" s="85" t="s">
        <v>118</v>
      </c>
      <c r="U124" s="85">
        <v>10.65</v>
      </c>
      <c r="V124" s="85">
        <v>20.89</v>
      </c>
    </row>
    <row r="125" spans="3:22" ht="13.8">
      <c r="C125" s="77" t="str">
        <f t="shared" si="49"/>
        <v>Nightsave Small</v>
      </c>
      <c r="D125" s="77" t="s">
        <v>72</v>
      </c>
      <c r="E125" s="77" t="s">
        <v>68</v>
      </c>
      <c r="F125" s="77" t="s">
        <v>62</v>
      </c>
      <c r="G125" s="77" t="str">
        <f t="shared" si="48"/>
        <v>Nightsave Small_Non-Local Authority_[301 - 600km]_&lt; 500V</v>
      </c>
      <c r="H125" s="77" t="str">
        <f>'Rates LPU Energy - Current'!H125</f>
        <v>NS11N</v>
      </c>
      <c r="I125" s="85" t="s">
        <v>118</v>
      </c>
      <c r="J125" s="85" t="s">
        <v>118</v>
      </c>
      <c r="K125" s="85" t="s">
        <v>118</v>
      </c>
      <c r="L125" s="85" t="s">
        <v>118</v>
      </c>
      <c r="M125" s="85" t="s">
        <v>118</v>
      </c>
      <c r="N125" s="85" t="s">
        <v>118</v>
      </c>
      <c r="O125" s="106">
        <v>183.7</v>
      </c>
      <c r="P125" s="106">
        <v>176.46</v>
      </c>
      <c r="Q125" s="106">
        <v>345.13</v>
      </c>
      <c r="R125" s="106">
        <v>80.739999999999995</v>
      </c>
      <c r="S125" s="106">
        <v>11.68</v>
      </c>
      <c r="T125" s="85" t="s">
        <v>118</v>
      </c>
      <c r="U125" s="85">
        <v>5.29</v>
      </c>
      <c r="V125" s="85">
        <v>24.78</v>
      </c>
    </row>
    <row r="126" spans="3:22" ht="13.8">
      <c r="C126" s="77" t="str">
        <f t="shared" si="49"/>
        <v>Nightsave Small</v>
      </c>
      <c r="D126" s="77" t="s">
        <v>72</v>
      </c>
      <c r="E126" s="77" t="s">
        <v>68</v>
      </c>
      <c r="F126" s="77" t="s">
        <v>63</v>
      </c>
      <c r="G126" s="77" t="str">
        <f t="shared" si="48"/>
        <v>Nightsave Small_Non-Local Authority_[301 - 600km]_≥ 500V &amp; &lt; 66kV</v>
      </c>
      <c r="H126" s="77" t="str">
        <f>'Rates LPU Energy - Current'!H126</f>
        <v>NS12N</v>
      </c>
      <c r="I126" s="85" t="s">
        <v>118</v>
      </c>
      <c r="J126" s="85" t="s">
        <v>118</v>
      </c>
      <c r="K126" s="85" t="s">
        <v>118</v>
      </c>
      <c r="L126" s="85" t="s">
        <v>118</v>
      </c>
      <c r="M126" s="85" t="s">
        <v>118</v>
      </c>
      <c r="N126" s="85" t="s">
        <v>118</v>
      </c>
      <c r="O126" s="106">
        <v>178.97</v>
      </c>
      <c r="P126" s="106">
        <v>171.91</v>
      </c>
      <c r="Q126" s="106">
        <v>336.22</v>
      </c>
      <c r="R126" s="106">
        <v>78.66</v>
      </c>
      <c r="S126" s="106">
        <v>11.26</v>
      </c>
      <c r="T126" s="85" t="s">
        <v>118</v>
      </c>
      <c r="U126" s="85">
        <v>12.27</v>
      </c>
      <c r="V126" s="85">
        <v>24.14</v>
      </c>
    </row>
    <row r="127" spans="3:22" ht="13.8">
      <c r="C127" s="77" t="str">
        <f t="shared" si="49"/>
        <v>Nightsave Small</v>
      </c>
      <c r="D127" s="77" t="s">
        <v>72</v>
      </c>
      <c r="E127" s="77" t="s">
        <v>68</v>
      </c>
      <c r="F127" s="77" t="s">
        <v>64</v>
      </c>
      <c r="G127" s="77" t="str">
        <f t="shared" si="48"/>
        <v>Nightsave Small_Non-Local Authority_[301 - 600km]_≥ 66kV &amp; ≤ 132kV</v>
      </c>
      <c r="H127" s="77" t="str">
        <f>'Rates LPU Energy - Current'!H127</f>
        <v>NS13N</v>
      </c>
      <c r="I127" s="85" t="s">
        <v>118</v>
      </c>
      <c r="J127" s="85" t="s">
        <v>118</v>
      </c>
      <c r="K127" s="85" t="s">
        <v>118</v>
      </c>
      <c r="L127" s="85" t="s">
        <v>118</v>
      </c>
      <c r="M127" s="85" t="s">
        <v>118</v>
      </c>
      <c r="N127" s="85" t="s">
        <v>118</v>
      </c>
      <c r="O127" s="106">
        <v>166.09</v>
      </c>
      <c r="P127" s="106">
        <v>159.53</v>
      </c>
      <c r="Q127" s="106">
        <v>312.02</v>
      </c>
      <c r="R127" s="106">
        <v>72.989999999999995</v>
      </c>
      <c r="S127" s="106">
        <v>10.28</v>
      </c>
      <c r="T127" s="85" t="s">
        <v>118</v>
      </c>
      <c r="U127" s="85">
        <v>9.2799999999999994</v>
      </c>
      <c r="V127" s="85">
        <v>22.4</v>
      </c>
    </row>
    <row r="128" spans="3:22" ht="13.8">
      <c r="C128" s="77" t="str">
        <f t="shared" si="49"/>
        <v>Nightsave Small</v>
      </c>
      <c r="D128" s="77" t="s">
        <v>72</v>
      </c>
      <c r="E128" s="77" t="s">
        <v>68</v>
      </c>
      <c r="F128" s="77" t="s">
        <v>65</v>
      </c>
      <c r="G128" s="77" t="str">
        <f t="shared" si="48"/>
        <v>Nightsave Small_Non-Local Authority_[301 - 600km]_&gt; 132kV</v>
      </c>
      <c r="H128" s="77" t="str">
        <f>'Rates LPU Energy - Current'!H128</f>
        <v>NS14N</v>
      </c>
      <c r="I128" s="85" t="s">
        <v>118</v>
      </c>
      <c r="J128" s="85" t="s">
        <v>118</v>
      </c>
      <c r="K128" s="85" t="s">
        <v>118</v>
      </c>
      <c r="L128" s="85" t="s">
        <v>118</v>
      </c>
      <c r="M128" s="85" t="s">
        <v>118</v>
      </c>
      <c r="N128" s="85" t="s">
        <v>118</v>
      </c>
      <c r="O128" s="106">
        <v>154.88</v>
      </c>
      <c r="P128" s="106">
        <v>148.76</v>
      </c>
      <c r="Q128" s="106">
        <v>290.95</v>
      </c>
      <c r="R128" s="106">
        <v>68.069999999999993</v>
      </c>
      <c r="S128" s="106">
        <v>17.96</v>
      </c>
      <c r="T128" s="85" t="s">
        <v>118</v>
      </c>
      <c r="U128" s="85">
        <v>10.65</v>
      </c>
      <c r="V128" s="85">
        <v>20.89</v>
      </c>
    </row>
    <row r="129" spans="3:22" ht="13.8">
      <c r="C129" s="77" t="str">
        <f t="shared" si="49"/>
        <v>Nightsave Small</v>
      </c>
      <c r="D129" s="77" t="s">
        <v>72</v>
      </c>
      <c r="E129" s="77" t="s">
        <v>69</v>
      </c>
      <c r="F129" s="77" t="s">
        <v>62</v>
      </c>
      <c r="G129" s="77" t="str">
        <f t="shared" si="48"/>
        <v>Nightsave Small_Non-Local Authority_[601 - 900km]_&lt; 500V</v>
      </c>
      <c r="H129" s="77" t="str">
        <f>'Rates LPU Energy - Current'!H129</f>
        <v>NS21N</v>
      </c>
      <c r="I129" s="85" t="s">
        <v>118</v>
      </c>
      <c r="J129" s="85" t="s">
        <v>118</v>
      </c>
      <c r="K129" s="85" t="s">
        <v>118</v>
      </c>
      <c r="L129" s="85" t="s">
        <v>118</v>
      </c>
      <c r="M129" s="85" t="s">
        <v>118</v>
      </c>
      <c r="N129" s="85" t="s">
        <v>118</v>
      </c>
      <c r="O129" s="106">
        <v>185.52</v>
      </c>
      <c r="P129" s="106">
        <v>178.21</v>
      </c>
      <c r="Q129" s="106">
        <v>348.56</v>
      </c>
      <c r="R129" s="106">
        <v>81.55</v>
      </c>
      <c r="S129" s="106">
        <v>11.8</v>
      </c>
      <c r="T129" s="85" t="s">
        <v>118</v>
      </c>
      <c r="U129" s="85">
        <v>5.29</v>
      </c>
      <c r="V129" s="85">
        <v>24.78</v>
      </c>
    </row>
    <row r="130" spans="3:22" ht="13.8">
      <c r="C130" s="77" t="str">
        <f t="shared" si="49"/>
        <v>Nightsave Small</v>
      </c>
      <c r="D130" s="77" t="s">
        <v>72</v>
      </c>
      <c r="E130" s="77" t="s">
        <v>69</v>
      </c>
      <c r="F130" s="77" t="s">
        <v>63</v>
      </c>
      <c r="G130" s="77" t="str">
        <f t="shared" si="48"/>
        <v>Nightsave Small_Non-Local Authority_[601 - 900km]_≥ 500V &amp; &lt; 66kV</v>
      </c>
      <c r="H130" s="77" t="str">
        <f>'Rates LPU Energy - Current'!H130</f>
        <v>NS22N</v>
      </c>
      <c r="I130" s="85" t="s">
        <v>118</v>
      </c>
      <c r="J130" s="85" t="s">
        <v>118</v>
      </c>
      <c r="K130" s="85" t="s">
        <v>118</v>
      </c>
      <c r="L130" s="85" t="s">
        <v>118</v>
      </c>
      <c r="M130" s="85" t="s">
        <v>118</v>
      </c>
      <c r="N130" s="85" t="s">
        <v>118</v>
      </c>
      <c r="O130" s="106">
        <v>180.74</v>
      </c>
      <c r="P130" s="106">
        <v>173.62</v>
      </c>
      <c r="Q130" s="106">
        <v>339.56</v>
      </c>
      <c r="R130" s="106">
        <v>79.44</v>
      </c>
      <c r="S130" s="106">
        <v>11.37</v>
      </c>
      <c r="T130" s="85" t="s">
        <v>118</v>
      </c>
      <c r="U130" s="85">
        <v>12.27</v>
      </c>
      <c r="V130" s="85">
        <v>24.14</v>
      </c>
    </row>
    <row r="131" spans="3:22" ht="13.8">
      <c r="C131" s="77" t="str">
        <f t="shared" si="49"/>
        <v>Nightsave Small</v>
      </c>
      <c r="D131" s="77" t="s">
        <v>72</v>
      </c>
      <c r="E131" s="77" t="s">
        <v>69</v>
      </c>
      <c r="F131" s="77" t="s">
        <v>64</v>
      </c>
      <c r="G131" s="77" t="str">
        <f t="shared" si="48"/>
        <v>Nightsave Small_Non-Local Authority_[601 - 900km]_≥ 66kV &amp; ≤ 132kV</v>
      </c>
      <c r="H131" s="77" t="str">
        <f>'Rates LPU Energy - Current'!H131</f>
        <v>NS23N</v>
      </c>
      <c r="I131" s="85" t="s">
        <v>118</v>
      </c>
      <c r="J131" s="85" t="s">
        <v>118</v>
      </c>
      <c r="K131" s="85" t="s">
        <v>118</v>
      </c>
      <c r="L131" s="85" t="s">
        <v>118</v>
      </c>
      <c r="M131" s="85" t="s">
        <v>118</v>
      </c>
      <c r="N131" s="85" t="s">
        <v>118</v>
      </c>
      <c r="O131" s="106">
        <v>167.73</v>
      </c>
      <c r="P131" s="106">
        <v>161.12</v>
      </c>
      <c r="Q131" s="106">
        <v>315.12</v>
      </c>
      <c r="R131" s="106">
        <v>73.73</v>
      </c>
      <c r="S131" s="106">
        <v>10.38</v>
      </c>
      <c r="T131" s="85" t="s">
        <v>118</v>
      </c>
      <c r="U131" s="85">
        <v>9.2799999999999994</v>
      </c>
      <c r="V131" s="85">
        <v>22.4</v>
      </c>
    </row>
    <row r="132" spans="3:22" ht="13.8">
      <c r="C132" s="77" t="str">
        <f t="shared" si="49"/>
        <v>Nightsave Small</v>
      </c>
      <c r="D132" s="77" t="s">
        <v>72</v>
      </c>
      <c r="E132" s="77" t="s">
        <v>69</v>
      </c>
      <c r="F132" s="77" t="s">
        <v>65</v>
      </c>
      <c r="G132" s="77" t="str">
        <f t="shared" si="48"/>
        <v>Nightsave Small_Non-Local Authority_[601 - 900km]_&gt; 132kV</v>
      </c>
      <c r="H132" s="77" t="str">
        <f>'Rates LPU Energy - Current'!H132</f>
        <v>NS24N</v>
      </c>
      <c r="I132" s="85" t="s">
        <v>118</v>
      </c>
      <c r="J132" s="85" t="s">
        <v>118</v>
      </c>
      <c r="K132" s="85" t="s">
        <v>118</v>
      </c>
      <c r="L132" s="85" t="s">
        <v>118</v>
      </c>
      <c r="M132" s="85" t="s">
        <v>118</v>
      </c>
      <c r="N132" s="85" t="s">
        <v>118</v>
      </c>
      <c r="O132" s="106">
        <v>156.41</v>
      </c>
      <c r="P132" s="106">
        <v>150.22999999999999</v>
      </c>
      <c r="Q132" s="106">
        <v>293.85000000000002</v>
      </c>
      <c r="R132" s="106">
        <v>68.75</v>
      </c>
      <c r="S132" s="106">
        <v>18.12</v>
      </c>
      <c r="T132" s="85" t="s">
        <v>118</v>
      </c>
      <c r="U132" s="85">
        <v>10.65</v>
      </c>
      <c r="V132" s="85">
        <v>20.89</v>
      </c>
    </row>
    <row r="133" spans="3:22" ht="13.8">
      <c r="C133" s="77" t="str">
        <f t="shared" si="49"/>
        <v>Nightsave Small</v>
      </c>
      <c r="D133" s="77" t="s">
        <v>72</v>
      </c>
      <c r="E133" s="77" t="s">
        <v>70</v>
      </c>
      <c r="F133" s="77" t="s">
        <v>62</v>
      </c>
      <c r="G133" s="77" t="str">
        <f t="shared" si="48"/>
        <v>Nightsave Small_Non-Local Authority_[&gt; 900km]_&lt; 500V</v>
      </c>
      <c r="H133" s="77" t="str">
        <f>'Rates LPU Energy - Current'!H133</f>
        <v>NS31N</v>
      </c>
      <c r="I133" s="85" t="s">
        <v>118</v>
      </c>
      <c r="J133" s="85" t="s">
        <v>118</v>
      </c>
      <c r="K133" s="85" t="s">
        <v>118</v>
      </c>
      <c r="L133" s="85" t="s">
        <v>118</v>
      </c>
      <c r="M133" s="85" t="s">
        <v>118</v>
      </c>
      <c r="N133" s="85" t="s">
        <v>118</v>
      </c>
      <c r="O133" s="106">
        <v>187.34</v>
      </c>
      <c r="P133" s="106">
        <v>179.95</v>
      </c>
      <c r="Q133" s="106">
        <v>351.96</v>
      </c>
      <c r="R133" s="106">
        <v>82.33</v>
      </c>
      <c r="S133" s="106">
        <v>11.92</v>
      </c>
      <c r="T133" s="85" t="s">
        <v>118</v>
      </c>
      <c r="U133" s="85">
        <v>5.29</v>
      </c>
      <c r="V133" s="85">
        <v>24.78</v>
      </c>
    </row>
    <row r="134" spans="3:22" ht="13.8">
      <c r="C134" s="77" t="str">
        <f t="shared" si="49"/>
        <v>Nightsave Small</v>
      </c>
      <c r="D134" s="77" t="s">
        <v>72</v>
      </c>
      <c r="E134" s="77" t="s">
        <v>70</v>
      </c>
      <c r="F134" s="77" t="s">
        <v>63</v>
      </c>
      <c r="G134" s="77" t="str">
        <f t="shared" si="48"/>
        <v>Nightsave Small_Non-Local Authority_[&gt; 900km]_≥ 500V &amp; &lt; 66kV</v>
      </c>
      <c r="H134" s="77" t="str">
        <f>'Rates LPU Energy - Current'!H134</f>
        <v>NS32N</v>
      </c>
      <c r="I134" s="85" t="s">
        <v>118</v>
      </c>
      <c r="J134" s="85" t="s">
        <v>118</v>
      </c>
      <c r="K134" s="85" t="s">
        <v>118</v>
      </c>
      <c r="L134" s="85" t="s">
        <v>118</v>
      </c>
      <c r="M134" s="85" t="s">
        <v>118</v>
      </c>
      <c r="N134" s="85" t="s">
        <v>118</v>
      </c>
      <c r="O134" s="106">
        <v>182.51</v>
      </c>
      <c r="P134" s="106">
        <v>175.32</v>
      </c>
      <c r="Q134" s="106">
        <v>342.87</v>
      </c>
      <c r="R134" s="106">
        <v>80.209999999999994</v>
      </c>
      <c r="S134" s="106">
        <v>11.47</v>
      </c>
      <c r="T134" s="85" t="s">
        <v>118</v>
      </c>
      <c r="U134" s="85">
        <v>12.27</v>
      </c>
      <c r="V134" s="85">
        <v>24.14</v>
      </c>
    </row>
    <row r="135" spans="3:22" ht="13.8">
      <c r="C135" s="77" t="str">
        <f t="shared" si="49"/>
        <v>Nightsave Small</v>
      </c>
      <c r="D135" s="77" t="s">
        <v>72</v>
      </c>
      <c r="E135" s="77" t="s">
        <v>70</v>
      </c>
      <c r="F135" s="77" t="s">
        <v>64</v>
      </c>
      <c r="G135" s="77" t="str">
        <f t="shared" si="48"/>
        <v>Nightsave Small_Non-Local Authority_[&gt; 900km]_≥ 66kV &amp; ≤ 132kV</v>
      </c>
      <c r="H135" s="77" t="str">
        <f>'Rates LPU Energy - Current'!H135</f>
        <v>NS33N</v>
      </c>
      <c r="I135" s="85" t="s">
        <v>118</v>
      </c>
      <c r="J135" s="85" t="s">
        <v>118</v>
      </c>
      <c r="K135" s="85" t="s">
        <v>118</v>
      </c>
      <c r="L135" s="85" t="s">
        <v>118</v>
      </c>
      <c r="M135" s="85" t="s">
        <v>118</v>
      </c>
      <c r="N135" s="85" t="s">
        <v>118</v>
      </c>
      <c r="O135" s="106">
        <v>169.37</v>
      </c>
      <c r="P135" s="106">
        <v>162.68</v>
      </c>
      <c r="Q135" s="106">
        <v>318.19</v>
      </c>
      <c r="R135" s="106">
        <v>74.44</v>
      </c>
      <c r="S135" s="106">
        <v>10.47</v>
      </c>
      <c r="T135" s="85" t="s">
        <v>118</v>
      </c>
      <c r="U135" s="85">
        <v>9.2799999999999994</v>
      </c>
      <c r="V135" s="85">
        <v>22.4</v>
      </c>
    </row>
    <row r="136" spans="3:22" ht="14.4" thickBot="1">
      <c r="C136" s="77" t="str">
        <f t="shared" si="49"/>
        <v>Nightsave Small</v>
      </c>
      <c r="D136" s="77" t="s">
        <v>72</v>
      </c>
      <c r="E136" s="77" t="s">
        <v>70</v>
      </c>
      <c r="F136" s="77" t="s">
        <v>65</v>
      </c>
      <c r="G136" s="77" t="str">
        <f t="shared" si="48"/>
        <v>Nightsave Small_Non-Local Authority_[&gt; 900km]_&gt; 132kV</v>
      </c>
      <c r="H136" s="77" t="str">
        <f>'Rates LPU Energy - Current'!H136</f>
        <v>NS34N</v>
      </c>
      <c r="I136" s="238" t="s">
        <v>118</v>
      </c>
      <c r="J136" s="238" t="s">
        <v>118</v>
      </c>
      <c r="K136" s="238" t="s">
        <v>118</v>
      </c>
      <c r="L136" s="238" t="s">
        <v>118</v>
      </c>
      <c r="M136" s="238" t="s">
        <v>118</v>
      </c>
      <c r="N136" s="238" t="s">
        <v>118</v>
      </c>
      <c r="O136" s="237">
        <v>157.93</v>
      </c>
      <c r="P136" s="237">
        <v>151.71</v>
      </c>
      <c r="Q136" s="237">
        <v>296.70999999999998</v>
      </c>
      <c r="R136" s="237">
        <v>69.41</v>
      </c>
      <c r="S136" s="237">
        <v>18.3</v>
      </c>
      <c r="T136" s="238" t="s">
        <v>118</v>
      </c>
      <c r="U136" s="238">
        <v>10.65</v>
      </c>
      <c r="V136" s="238">
        <v>20.89</v>
      </c>
    </row>
    <row r="137" spans="3:22" ht="13.8">
      <c r="C137" s="239" t="s">
        <v>465</v>
      </c>
      <c r="D137" s="239" t="s">
        <v>71</v>
      </c>
      <c r="E137" s="239" t="str">
        <f>E121</f>
        <v>[0 - 300km]</v>
      </c>
      <c r="F137" s="239" t="str">
        <f>F121</f>
        <v>&lt; 500V</v>
      </c>
      <c r="G137" s="239" t="str">
        <f t="shared" si="48"/>
        <v>Municflex_Local Authority_[0 - 300km]_&lt; 500V</v>
      </c>
      <c r="H137" s="239" t="s">
        <v>472</v>
      </c>
      <c r="I137" s="240">
        <f t="shared" ref="I137:N137" si="50">I104</f>
        <v>754.92</v>
      </c>
      <c r="J137" s="240">
        <f t="shared" si="50"/>
        <v>188.7</v>
      </c>
      <c r="K137" s="240">
        <f t="shared" si="50"/>
        <v>125.84</v>
      </c>
      <c r="L137" s="240">
        <f t="shared" si="50"/>
        <v>313.35000000000002</v>
      </c>
      <c r="M137" s="240">
        <f t="shared" si="50"/>
        <v>176.16</v>
      </c>
      <c r="N137" s="240">
        <f t="shared" si="50"/>
        <v>125.89</v>
      </c>
      <c r="O137" s="306">
        <v>0</v>
      </c>
      <c r="P137" s="306">
        <v>0</v>
      </c>
      <c r="Q137" s="306">
        <v>0</v>
      </c>
      <c r="R137" s="306">
        <v>0</v>
      </c>
      <c r="S137" s="240">
        <f t="shared" ref="S137:S152" si="51">S104</f>
        <v>11.83</v>
      </c>
      <c r="T137" s="240">
        <v>0</v>
      </c>
      <c r="U137" s="240">
        <v>5.0599999999999996</v>
      </c>
      <c r="V137" s="240">
        <v>25.31</v>
      </c>
    </row>
    <row r="138" spans="3:22" ht="13.8">
      <c r="C138" s="77" t="s">
        <v>465</v>
      </c>
      <c r="D138" s="77" t="s">
        <v>71</v>
      </c>
      <c r="E138" s="77" t="str">
        <f t="shared" ref="E138:F152" si="52">E122</f>
        <v>[0 - 300km]</v>
      </c>
      <c r="F138" s="77" t="str">
        <f t="shared" si="52"/>
        <v>≥ 500V &amp; &lt; 66kV</v>
      </c>
      <c r="G138" s="77" t="str">
        <f t="shared" si="48"/>
        <v>Municflex_Local Authority_[0 - 300km]_≥ 500V &amp; &lt; 66kV</v>
      </c>
      <c r="H138" s="77" t="s">
        <v>473</v>
      </c>
      <c r="I138" s="106">
        <f t="shared" ref="I138:N138" si="53">I105</f>
        <v>733.19</v>
      </c>
      <c r="J138" s="106">
        <f t="shared" si="53"/>
        <v>183.29</v>
      </c>
      <c r="K138" s="106">
        <f t="shared" si="53"/>
        <v>122.2</v>
      </c>
      <c r="L138" s="106">
        <f t="shared" si="53"/>
        <v>304.27999999999997</v>
      </c>
      <c r="M138" s="106">
        <f t="shared" si="53"/>
        <v>171.07</v>
      </c>
      <c r="N138" s="106">
        <f t="shared" si="53"/>
        <v>122.2</v>
      </c>
      <c r="O138" s="307">
        <v>0</v>
      </c>
      <c r="P138" s="307">
        <v>0</v>
      </c>
      <c r="Q138" s="307">
        <v>0</v>
      </c>
      <c r="R138" s="307">
        <v>0</v>
      </c>
      <c r="S138" s="106">
        <f t="shared" si="51"/>
        <v>11.35</v>
      </c>
      <c r="T138" s="106">
        <v>0</v>
      </c>
      <c r="U138" s="106">
        <v>11.72</v>
      </c>
      <c r="V138" s="106">
        <v>24.58</v>
      </c>
    </row>
    <row r="139" spans="3:22" ht="13.8">
      <c r="C139" s="77" t="s">
        <v>465</v>
      </c>
      <c r="D139" s="77" t="s">
        <v>71</v>
      </c>
      <c r="E139" s="77" t="str">
        <f t="shared" si="52"/>
        <v>[0 - 300km]</v>
      </c>
      <c r="F139" s="77" t="str">
        <f t="shared" si="52"/>
        <v>≥ 66kV &amp; ≤ 132kV</v>
      </c>
      <c r="G139" s="77" t="str">
        <f t="shared" si="48"/>
        <v>Municflex_Local Authority_[0 - 300km]_≥ 66kV &amp; ≤ 132kV</v>
      </c>
      <c r="H139" s="77" t="s">
        <v>474</v>
      </c>
      <c r="I139" s="106">
        <f t="shared" ref="I139:N139" si="54">I106</f>
        <v>680.35</v>
      </c>
      <c r="J139" s="106">
        <f t="shared" si="54"/>
        <v>170.09</v>
      </c>
      <c r="K139" s="106">
        <f t="shared" si="54"/>
        <v>113.38</v>
      </c>
      <c r="L139" s="106">
        <f t="shared" si="54"/>
        <v>282.36</v>
      </c>
      <c r="M139" s="106">
        <f t="shared" si="54"/>
        <v>158.76</v>
      </c>
      <c r="N139" s="106">
        <f t="shared" si="54"/>
        <v>113.38</v>
      </c>
      <c r="O139" s="307">
        <v>0</v>
      </c>
      <c r="P139" s="307">
        <v>0</v>
      </c>
      <c r="Q139" s="307">
        <v>0</v>
      </c>
      <c r="R139" s="307">
        <v>0</v>
      </c>
      <c r="S139" s="106">
        <f t="shared" si="51"/>
        <v>10.36</v>
      </c>
      <c r="T139" s="106">
        <v>0</v>
      </c>
      <c r="U139" s="106">
        <v>9.82</v>
      </c>
      <c r="V139" s="106">
        <v>22.82</v>
      </c>
    </row>
    <row r="140" spans="3:22" ht="13.8">
      <c r="C140" s="77" t="s">
        <v>465</v>
      </c>
      <c r="D140" s="77" t="s">
        <v>71</v>
      </c>
      <c r="E140" s="77" t="str">
        <f t="shared" si="52"/>
        <v>[0 - 300km]</v>
      </c>
      <c r="F140" s="77" t="str">
        <f t="shared" si="52"/>
        <v>&gt; 132kV</v>
      </c>
      <c r="G140" s="77" t="str">
        <f t="shared" si="48"/>
        <v>Municflex_Local Authority_[0 - 300km]_&gt; 132kV</v>
      </c>
      <c r="H140" s="77" t="s">
        <v>475</v>
      </c>
      <c r="I140" s="106">
        <f t="shared" ref="I140:N140" si="55">I107</f>
        <v>634.41999999999996</v>
      </c>
      <c r="J140" s="106">
        <f t="shared" si="55"/>
        <v>158.61000000000001</v>
      </c>
      <c r="K140" s="106">
        <f t="shared" si="55"/>
        <v>105.74</v>
      </c>
      <c r="L140" s="106">
        <f t="shared" si="55"/>
        <v>263.3</v>
      </c>
      <c r="M140" s="106">
        <f t="shared" si="55"/>
        <v>148.04</v>
      </c>
      <c r="N140" s="106">
        <f t="shared" si="55"/>
        <v>105.74</v>
      </c>
      <c r="O140" s="307">
        <v>0</v>
      </c>
      <c r="P140" s="307">
        <v>0</v>
      </c>
      <c r="Q140" s="307">
        <v>0</v>
      </c>
      <c r="R140" s="307">
        <v>0</v>
      </c>
      <c r="S140" s="106">
        <f t="shared" si="51"/>
        <v>18.079999999999998</v>
      </c>
      <c r="T140" s="106">
        <v>0</v>
      </c>
      <c r="U140" s="106">
        <v>10.85</v>
      </c>
      <c r="V140" s="106">
        <v>21.27</v>
      </c>
    </row>
    <row r="141" spans="3:22" ht="13.8">
      <c r="C141" s="77" t="s">
        <v>465</v>
      </c>
      <c r="D141" s="77" t="s">
        <v>71</v>
      </c>
      <c r="E141" s="77" t="str">
        <f t="shared" si="52"/>
        <v>[301 - 600km]</v>
      </c>
      <c r="F141" s="77" t="str">
        <f t="shared" si="52"/>
        <v>&lt; 500V</v>
      </c>
      <c r="G141" s="77" t="str">
        <f t="shared" si="48"/>
        <v>Municflex_Local Authority_[301 - 600km]_&lt; 500V</v>
      </c>
      <c r="H141" s="77" t="s">
        <v>476</v>
      </c>
      <c r="I141" s="106">
        <f t="shared" ref="I141:N141" si="56">I108</f>
        <v>765.2</v>
      </c>
      <c r="J141" s="106">
        <f t="shared" si="56"/>
        <v>191.31</v>
      </c>
      <c r="K141" s="106">
        <f t="shared" si="56"/>
        <v>127.55</v>
      </c>
      <c r="L141" s="106">
        <f t="shared" si="56"/>
        <v>317.58</v>
      </c>
      <c r="M141" s="106">
        <f t="shared" si="56"/>
        <v>178.57</v>
      </c>
      <c r="N141" s="106">
        <f t="shared" si="56"/>
        <v>127.55</v>
      </c>
      <c r="O141" s="307">
        <v>0</v>
      </c>
      <c r="P141" s="307">
        <v>0</v>
      </c>
      <c r="Q141" s="307">
        <v>0</v>
      </c>
      <c r="R141" s="307">
        <v>0</v>
      </c>
      <c r="S141" s="106">
        <f t="shared" si="51"/>
        <v>12</v>
      </c>
      <c r="T141" s="106">
        <v>0</v>
      </c>
      <c r="U141" s="106">
        <v>5.0599999999999996</v>
      </c>
      <c r="V141" s="106">
        <v>25.4</v>
      </c>
    </row>
    <row r="142" spans="3:22" ht="13.8">
      <c r="C142" s="77" t="s">
        <v>465</v>
      </c>
      <c r="D142" s="77" t="s">
        <v>71</v>
      </c>
      <c r="E142" s="77" t="str">
        <f t="shared" si="52"/>
        <v>[301 - 600km]</v>
      </c>
      <c r="F142" s="77" t="str">
        <f t="shared" si="52"/>
        <v>≥ 500V &amp; &lt; 66kV</v>
      </c>
      <c r="G142" s="77" t="str">
        <f t="shared" si="48"/>
        <v>Municflex_Local Authority_[301 - 600km]_≥ 500V &amp; &lt; 66kV</v>
      </c>
      <c r="H142" s="77" t="s">
        <v>477</v>
      </c>
      <c r="I142" s="106">
        <f t="shared" ref="I142:N142" si="57">I109</f>
        <v>741.59</v>
      </c>
      <c r="J142" s="106">
        <f t="shared" si="57"/>
        <v>185.41</v>
      </c>
      <c r="K142" s="106">
        <f t="shared" si="57"/>
        <v>123.62</v>
      </c>
      <c r="L142" s="106">
        <f t="shared" si="57"/>
        <v>307.76</v>
      </c>
      <c r="M142" s="106">
        <f t="shared" si="57"/>
        <v>173.05</v>
      </c>
      <c r="N142" s="106">
        <f t="shared" si="57"/>
        <v>123.62</v>
      </c>
      <c r="O142" s="307">
        <v>0</v>
      </c>
      <c r="P142" s="307">
        <v>0</v>
      </c>
      <c r="Q142" s="307">
        <v>0</v>
      </c>
      <c r="R142" s="307">
        <v>0</v>
      </c>
      <c r="S142" s="106">
        <f t="shared" si="51"/>
        <v>11.49</v>
      </c>
      <c r="T142" s="106">
        <v>0</v>
      </c>
      <c r="U142" s="106">
        <v>11.72</v>
      </c>
      <c r="V142" s="106">
        <v>24.63</v>
      </c>
    </row>
    <row r="143" spans="3:22" ht="13.8">
      <c r="C143" s="77" t="s">
        <v>465</v>
      </c>
      <c r="D143" s="77" t="s">
        <v>71</v>
      </c>
      <c r="E143" s="77" t="str">
        <f t="shared" si="52"/>
        <v>[301 - 600km]</v>
      </c>
      <c r="F143" s="77" t="str">
        <f t="shared" si="52"/>
        <v>≥ 66kV &amp; ≤ 132kV</v>
      </c>
      <c r="G143" s="77" t="str">
        <f t="shared" si="48"/>
        <v>Municflex_Local Authority_[301 - 600km]_≥ 66kV &amp; ≤ 132kV</v>
      </c>
      <c r="H143" s="77" t="s">
        <v>478</v>
      </c>
      <c r="I143" s="106">
        <f t="shared" ref="I143:N143" si="58">I110</f>
        <v>687.16</v>
      </c>
      <c r="J143" s="106">
        <f t="shared" si="58"/>
        <v>171.8</v>
      </c>
      <c r="K143" s="106">
        <f t="shared" si="58"/>
        <v>114.53</v>
      </c>
      <c r="L143" s="106">
        <f t="shared" si="58"/>
        <v>285.17</v>
      </c>
      <c r="M143" s="106">
        <f t="shared" si="58"/>
        <v>160.34</v>
      </c>
      <c r="N143" s="106">
        <f t="shared" si="58"/>
        <v>114.53</v>
      </c>
      <c r="O143" s="307">
        <v>0</v>
      </c>
      <c r="P143" s="307">
        <v>0</v>
      </c>
      <c r="Q143" s="307">
        <v>0</v>
      </c>
      <c r="R143" s="307">
        <v>0</v>
      </c>
      <c r="S143" s="106">
        <f t="shared" si="51"/>
        <v>10.46</v>
      </c>
      <c r="T143" s="106">
        <v>0</v>
      </c>
      <c r="U143" s="106">
        <v>9.82</v>
      </c>
      <c r="V143" s="106">
        <v>22.82</v>
      </c>
    </row>
    <row r="144" spans="3:22" ht="13.8">
      <c r="C144" s="77" t="s">
        <v>465</v>
      </c>
      <c r="D144" s="77" t="s">
        <v>71</v>
      </c>
      <c r="E144" s="77" t="str">
        <f t="shared" si="52"/>
        <v>[301 - 600km]</v>
      </c>
      <c r="F144" s="77" t="str">
        <f t="shared" si="52"/>
        <v>&gt; 132kV</v>
      </c>
      <c r="G144" s="77" t="str">
        <f t="shared" si="48"/>
        <v>Municflex_Local Authority_[301 - 600km]_&gt; 132kV</v>
      </c>
      <c r="H144" s="77" t="s">
        <v>479</v>
      </c>
      <c r="I144" s="106">
        <f t="shared" ref="I144:N144" si="59">I111</f>
        <v>640.77</v>
      </c>
      <c r="J144" s="106">
        <f t="shared" si="59"/>
        <v>160.19</v>
      </c>
      <c r="K144" s="106">
        <f t="shared" si="59"/>
        <v>106.79</v>
      </c>
      <c r="L144" s="106">
        <f t="shared" si="59"/>
        <v>265.92</v>
      </c>
      <c r="M144" s="106">
        <f t="shared" si="59"/>
        <v>149.52000000000001</v>
      </c>
      <c r="N144" s="106">
        <f t="shared" si="59"/>
        <v>106.79</v>
      </c>
      <c r="O144" s="307">
        <v>0</v>
      </c>
      <c r="P144" s="307">
        <v>0</v>
      </c>
      <c r="Q144" s="307">
        <v>0</v>
      </c>
      <c r="R144" s="307">
        <v>0</v>
      </c>
      <c r="S144" s="106">
        <f t="shared" si="51"/>
        <v>18.27</v>
      </c>
      <c r="T144" s="106">
        <v>0</v>
      </c>
      <c r="U144" s="106">
        <v>10.85</v>
      </c>
      <c r="V144" s="106">
        <v>21.27</v>
      </c>
    </row>
    <row r="145" spans="3:22" ht="13.8">
      <c r="C145" s="77" t="s">
        <v>465</v>
      </c>
      <c r="D145" s="77" t="s">
        <v>71</v>
      </c>
      <c r="E145" s="77" t="str">
        <f t="shared" si="52"/>
        <v>[601 - 900km]</v>
      </c>
      <c r="F145" s="77" t="str">
        <f t="shared" si="52"/>
        <v>&lt; 500V</v>
      </c>
      <c r="G145" s="77" t="str">
        <f t="shared" si="48"/>
        <v>Municflex_Local Authority_[601 - 900km]_&lt; 500V</v>
      </c>
      <c r="H145" s="77" t="s">
        <v>480</v>
      </c>
      <c r="I145" s="106">
        <f t="shared" ref="I145:N145" si="60">I112</f>
        <v>772.4</v>
      </c>
      <c r="J145" s="106">
        <f t="shared" si="60"/>
        <v>193.09</v>
      </c>
      <c r="K145" s="106">
        <f t="shared" si="60"/>
        <v>128.76</v>
      </c>
      <c r="L145" s="106">
        <f t="shared" si="60"/>
        <v>320.60000000000002</v>
      </c>
      <c r="M145" s="106">
        <f t="shared" si="60"/>
        <v>180.24</v>
      </c>
      <c r="N145" s="106">
        <f t="shared" si="60"/>
        <v>128.77000000000001</v>
      </c>
      <c r="O145" s="307">
        <v>0</v>
      </c>
      <c r="P145" s="307">
        <v>0</v>
      </c>
      <c r="Q145" s="307">
        <v>0</v>
      </c>
      <c r="R145" s="307">
        <v>0</v>
      </c>
      <c r="S145" s="106">
        <f t="shared" si="51"/>
        <v>12.13</v>
      </c>
      <c r="T145" s="106">
        <v>0</v>
      </c>
      <c r="U145" s="106">
        <v>5.0599999999999996</v>
      </c>
      <c r="V145" s="106">
        <v>25.39</v>
      </c>
    </row>
    <row r="146" spans="3:22" ht="13.8">
      <c r="C146" s="77" t="s">
        <v>465</v>
      </c>
      <c r="D146" s="77" t="s">
        <v>71</v>
      </c>
      <c r="E146" s="77" t="str">
        <f t="shared" si="52"/>
        <v>[601 - 900km]</v>
      </c>
      <c r="F146" s="77" t="str">
        <f t="shared" si="52"/>
        <v>≥ 500V &amp; &lt; 66kV</v>
      </c>
      <c r="G146" s="77" t="str">
        <f t="shared" si="48"/>
        <v>Municflex_Local Authority_[601 - 900km]_≥ 500V &amp; &lt; 66kV</v>
      </c>
      <c r="H146" s="77" t="s">
        <v>481</v>
      </c>
      <c r="I146" s="106">
        <f t="shared" ref="I146:N146" si="61">I113</f>
        <v>749.21</v>
      </c>
      <c r="J146" s="106">
        <f t="shared" si="61"/>
        <v>187.32</v>
      </c>
      <c r="K146" s="106">
        <f t="shared" si="61"/>
        <v>124.9</v>
      </c>
      <c r="L146" s="106">
        <f t="shared" si="61"/>
        <v>310.95</v>
      </c>
      <c r="M146" s="106">
        <f t="shared" si="61"/>
        <v>174.82</v>
      </c>
      <c r="N146" s="106">
        <f t="shared" si="61"/>
        <v>124.9</v>
      </c>
      <c r="O146" s="307">
        <v>0</v>
      </c>
      <c r="P146" s="307">
        <v>0</v>
      </c>
      <c r="Q146" s="307">
        <v>0</v>
      </c>
      <c r="R146" s="307">
        <v>0</v>
      </c>
      <c r="S146" s="106">
        <f t="shared" si="51"/>
        <v>11.61</v>
      </c>
      <c r="T146" s="106">
        <v>0</v>
      </c>
      <c r="U146" s="106">
        <v>11.72</v>
      </c>
      <c r="V146" s="106">
        <v>24.63</v>
      </c>
    </row>
    <row r="147" spans="3:22" ht="13.8">
      <c r="C147" s="77" t="s">
        <v>465</v>
      </c>
      <c r="D147" s="77" t="s">
        <v>71</v>
      </c>
      <c r="E147" s="77" t="str">
        <f t="shared" si="52"/>
        <v>[601 - 900km]</v>
      </c>
      <c r="F147" s="77" t="str">
        <f t="shared" si="52"/>
        <v>≥ 66kV &amp; ≤ 132kV</v>
      </c>
      <c r="G147" s="77" t="str">
        <f t="shared" si="48"/>
        <v>Municflex_Local Authority_[601 - 900km]_≥ 66kV &amp; ≤ 132kV</v>
      </c>
      <c r="H147" s="77" t="s">
        <v>482</v>
      </c>
      <c r="I147" s="106">
        <f t="shared" ref="I147:N147" si="62">I114</f>
        <v>693.96</v>
      </c>
      <c r="J147" s="106">
        <f t="shared" si="62"/>
        <v>173.49</v>
      </c>
      <c r="K147" s="106">
        <f t="shared" si="62"/>
        <v>115.66</v>
      </c>
      <c r="L147" s="106">
        <f t="shared" si="62"/>
        <v>288.01</v>
      </c>
      <c r="M147" s="106">
        <f t="shared" si="62"/>
        <v>161.91999999999999</v>
      </c>
      <c r="N147" s="106">
        <f t="shared" si="62"/>
        <v>115.66</v>
      </c>
      <c r="O147" s="307">
        <v>0</v>
      </c>
      <c r="P147" s="307">
        <v>0</v>
      </c>
      <c r="Q147" s="307">
        <v>0</v>
      </c>
      <c r="R147" s="307">
        <v>0</v>
      </c>
      <c r="S147" s="106">
        <f t="shared" si="51"/>
        <v>10.55</v>
      </c>
      <c r="T147" s="106">
        <v>0</v>
      </c>
      <c r="U147" s="106">
        <v>9.82</v>
      </c>
      <c r="V147" s="106">
        <v>22.82</v>
      </c>
    </row>
    <row r="148" spans="3:22" ht="13.8">
      <c r="C148" s="77" t="s">
        <v>465</v>
      </c>
      <c r="D148" s="77" t="s">
        <v>71</v>
      </c>
      <c r="E148" s="77" t="str">
        <f t="shared" si="52"/>
        <v>[601 - 900km]</v>
      </c>
      <c r="F148" s="77" t="str">
        <f t="shared" si="52"/>
        <v>&gt; 132kV</v>
      </c>
      <c r="G148" s="77" t="str">
        <f t="shared" si="48"/>
        <v>Municflex_Local Authority_[601 - 900km]_&gt; 132kV</v>
      </c>
      <c r="H148" s="77" t="s">
        <v>483</v>
      </c>
      <c r="I148" s="106">
        <f t="shared" ref="I148:N148" si="63">I115</f>
        <v>647.11</v>
      </c>
      <c r="J148" s="106">
        <f t="shared" si="63"/>
        <v>161.78</v>
      </c>
      <c r="K148" s="106">
        <f t="shared" si="63"/>
        <v>107.85</v>
      </c>
      <c r="L148" s="106">
        <f t="shared" si="63"/>
        <v>268.56</v>
      </c>
      <c r="M148" s="106">
        <f t="shared" si="63"/>
        <v>151</v>
      </c>
      <c r="N148" s="106">
        <f t="shared" si="63"/>
        <v>107.85</v>
      </c>
      <c r="O148" s="307">
        <v>0</v>
      </c>
      <c r="P148" s="307">
        <v>0</v>
      </c>
      <c r="Q148" s="307">
        <v>0</v>
      </c>
      <c r="R148" s="307">
        <v>0</v>
      </c>
      <c r="S148" s="106">
        <f t="shared" si="51"/>
        <v>18.440000000000001</v>
      </c>
      <c r="T148" s="106">
        <v>0</v>
      </c>
      <c r="U148" s="106">
        <v>10.85</v>
      </c>
      <c r="V148" s="106">
        <v>21.27</v>
      </c>
    </row>
    <row r="149" spans="3:22" ht="13.8">
      <c r="C149" s="77" t="s">
        <v>465</v>
      </c>
      <c r="D149" s="77" t="s">
        <v>71</v>
      </c>
      <c r="E149" s="77" t="str">
        <f t="shared" si="52"/>
        <v>[&gt; 900km]</v>
      </c>
      <c r="F149" s="77" t="str">
        <f t="shared" si="52"/>
        <v>&lt; 500V</v>
      </c>
      <c r="G149" s="77" t="str">
        <f t="shared" si="48"/>
        <v>Municflex_Local Authority_[&gt; 900km]_&lt; 500V</v>
      </c>
      <c r="H149" s="77" t="s">
        <v>484</v>
      </c>
      <c r="I149" s="106">
        <f t="shared" ref="I149:N149" si="64">I116</f>
        <v>781.01</v>
      </c>
      <c r="J149" s="106">
        <f t="shared" si="64"/>
        <v>195.25</v>
      </c>
      <c r="K149" s="106">
        <f t="shared" si="64"/>
        <v>130.16999999999999</v>
      </c>
      <c r="L149" s="106">
        <f t="shared" si="64"/>
        <v>324.11</v>
      </c>
      <c r="M149" s="106">
        <f t="shared" si="64"/>
        <v>182.24</v>
      </c>
      <c r="N149" s="106">
        <f t="shared" si="64"/>
        <v>130.16999999999999</v>
      </c>
      <c r="O149" s="307">
        <v>0</v>
      </c>
      <c r="P149" s="307">
        <v>0</v>
      </c>
      <c r="Q149" s="307">
        <v>0</v>
      </c>
      <c r="R149" s="307">
        <v>0</v>
      </c>
      <c r="S149" s="106">
        <f t="shared" si="51"/>
        <v>12.24</v>
      </c>
      <c r="T149" s="106">
        <v>0</v>
      </c>
      <c r="U149" s="106">
        <v>5.0599999999999996</v>
      </c>
      <c r="V149" s="106">
        <v>25.42</v>
      </c>
    </row>
    <row r="150" spans="3:22" ht="13.8">
      <c r="C150" s="77" t="s">
        <v>465</v>
      </c>
      <c r="D150" s="77" t="s">
        <v>71</v>
      </c>
      <c r="E150" s="77" t="str">
        <f t="shared" si="52"/>
        <v>[&gt; 900km]</v>
      </c>
      <c r="F150" s="77" t="str">
        <f t="shared" si="52"/>
        <v>≥ 500V &amp; &lt; 66kV</v>
      </c>
      <c r="G150" s="77" t="str">
        <f t="shared" si="48"/>
        <v>Municflex_Local Authority_[&gt; 900km]_≥ 500V &amp; &lt; 66kV</v>
      </c>
      <c r="H150" s="77" t="s">
        <v>485</v>
      </c>
      <c r="I150" s="106">
        <f t="shared" ref="I150:N150" si="65">I117</f>
        <v>756.32</v>
      </c>
      <c r="J150" s="106">
        <f t="shared" si="65"/>
        <v>189.07</v>
      </c>
      <c r="K150" s="106">
        <f t="shared" si="65"/>
        <v>126.06</v>
      </c>
      <c r="L150" s="106">
        <f t="shared" si="65"/>
        <v>313.87</v>
      </c>
      <c r="M150" s="106">
        <f t="shared" si="65"/>
        <v>176.47</v>
      </c>
      <c r="N150" s="106">
        <f t="shared" si="65"/>
        <v>126.06</v>
      </c>
      <c r="O150" s="307">
        <v>0</v>
      </c>
      <c r="P150" s="307">
        <v>0</v>
      </c>
      <c r="Q150" s="307">
        <v>0</v>
      </c>
      <c r="R150" s="307">
        <v>0</v>
      </c>
      <c r="S150" s="106">
        <f t="shared" si="51"/>
        <v>11.72</v>
      </c>
      <c r="T150" s="106">
        <v>0</v>
      </c>
      <c r="U150" s="106">
        <v>11.72</v>
      </c>
      <c r="V150" s="106">
        <v>24.63</v>
      </c>
    </row>
    <row r="151" spans="3:22" ht="13.8">
      <c r="C151" s="77" t="s">
        <v>465</v>
      </c>
      <c r="D151" s="77" t="s">
        <v>71</v>
      </c>
      <c r="E151" s="77" t="str">
        <f t="shared" si="52"/>
        <v>[&gt; 900km]</v>
      </c>
      <c r="F151" s="77" t="str">
        <f t="shared" si="52"/>
        <v>≥ 66kV &amp; ≤ 132kV</v>
      </c>
      <c r="G151" s="77" t="str">
        <f t="shared" si="48"/>
        <v>Municflex_Local Authority_[&gt; 900km]_≥ 66kV &amp; ≤ 132kV</v>
      </c>
      <c r="H151" s="77" t="s">
        <v>486</v>
      </c>
      <c r="I151" s="106">
        <f t="shared" ref="I151:N151" si="66">I118</f>
        <v>700.77</v>
      </c>
      <c r="J151" s="106">
        <f t="shared" si="66"/>
        <v>175.19</v>
      </c>
      <c r="K151" s="106">
        <f t="shared" si="66"/>
        <v>116.79</v>
      </c>
      <c r="L151" s="106">
        <f t="shared" si="66"/>
        <v>290.81</v>
      </c>
      <c r="M151" s="106">
        <f t="shared" si="66"/>
        <v>163.52000000000001</v>
      </c>
      <c r="N151" s="106">
        <f t="shared" si="66"/>
        <v>116.79</v>
      </c>
      <c r="O151" s="307">
        <v>0</v>
      </c>
      <c r="P151" s="307">
        <v>0</v>
      </c>
      <c r="Q151" s="307">
        <v>0</v>
      </c>
      <c r="R151" s="307">
        <v>0</v>
      </c>
      <c r="S151" s="106">
        <f t="shared" si="51"/>
        <v>10.67</v>
      </c>
      <c r="T151" s="106">
        <v>0</v>
      </c>
      <c r="U151" s="106">
        <v>9.82</v>
      </c>
      <c r="V151" s="106">
        <v>22.82</v>
      </c>
    </row>
    <row r="152" spans="3:22" ht="13.8">
      <c r="C152" s="77" t="s">
        <v>465</v>
      </c>
      <c r="D152" s="77" t="s">
        <v>71</v>
      </c>
      <c r="E152" s="77" t="str">
        <f t="shared" si="52"/>
        <v>[&gt; 900km]</v>
      </c>
      <c r="F152" s="77" t="str">
        <f t="shared" si="52"/>
        <v>&gt; 132kV</v>
      </c>
      <c r="G152" s="77" t="str">
        <f t="shared" si="48"/>
        <v>Municflex_Local Authority_[&gt; 900km]_&gt; 132kV</v>
      </c>
      <c r="H152" s="77" t="s">
        <v>487</v>
      </c>
      <c r="I152" s="106">
        <f t="shared" ref="I152:N152" si="67">I119</f>
        <v>653.45000000000005</v>
      </c>
      <c r="J152" s="106">
        <f t="shared" si="67"/>
        <v>163.37</v>
      </c>
      <c r="K152" s="106">
        <f t="shared" si="67"/>
        <v>108.9</v>
      </c>
      <c r="L152" s="106">
        <f t="shared" si="67"/>
        <v>271.19</v>
      </c>
      <c r="M152" s="106">
        <f t="shared" si="67"/>
        <v>152.46</v>
      </c>
      <c r="N152" s="106">
        <f t="shared" si="67"/>
        <v>108.9</v>
      </c>
      <c r="O152" s="307">
        <v>0</v>
      </c>
      <c r="P152" s="307">
        <v>0</v>
      </c>
      <c r="Q152" s="307">
        <v>0</v>
      </c>
      <c r="R152" s="307">
        <v>0</v>
      </c>
      <c r="S152" s="106">
        <f t="shared" si="51"/>
        <v>18.64</v>
      </c>
      <c r="T152" s="106">
        <v>0</v>
      </c>
      <c r="U152" s="106">
        <v>10.85</v>
      </c>
      <c r="V152" s="106">
        <v>21.27</v>
      </c>
    </row>
    <row r="153" spans="3:22" ht="13.8">
      <c r="C153" s="77"/>
      <c r="D153" s="77"/>
      <c r="E153" s="77"/>
      <c r="F153" s="77"/>
      <c r="G153" s="77"/>
      <c r="H153" s="77"/>
      <c r="I153" s="77"/>
      <c r="J153" s="77"/>
      <c r="K153" s="77"/>
      <c r="L153" s="77"/>
      <c r="M153" s="77"/>
      <c r="N153" s="77"/>
      <c r="O153" s="77"/>
      <c r="P153" s="77"/>
      <c r="Q153" s="77"/>
      <c r="R153" s="77"/>
      <c r="S153" s="77"/>
      <c r="T153" s="77"/>
      <c r="U153" s="77"/>
      <c r="V153" s="77"/>
    </row>
    <row r="154" spans="3:22" ht="13.8">
      <c r="C154" s="77" t="s">
        <v>624</v>
      </c>
      <c r="D154" s="77" t="s">
        <v>72</v>
      </c>
      <c r="E154" s="77" t="s">
        <v>67</v>
      </c>
      <c r="F154" s="77" t="s">
        <v>62</v>
      </c>
      <c r="G154" s="77" t="str">
        <f t="shared" ref="G154:G185" si="68">C154&amp;"_"&amp;D154&amp;"_"&amp;E154&amp;"_"&amp;F154</f>
        <v>Nightsave Urban_Non-Local Authority_[0 - 300km]_&lt; 500V</v>
      </c>
      <c r="H154" s="77" t="s">
        <v>625</v>
      </c>
      <c r="I154" s="85" t="s">
        <v>118</v>
      </c>
      <c r="J154" s="85" t="s">
        <v>118</v>
      </c>
      <c r="K154" s="85" t="s">
        <v>118</v>
      </c>
      <c r="L154" s="85" t="s">
        <v>118</v>
      </c>
      <c r="M154" s="85" t="s">
        <v>118</v>
      </c>
      <c r="N154" s="85" t="s">
        <v>118</v>
      </c>
      <c r="O154" s="106">
        <v>181.89</v>
      </c>
      <c r="P154" s="106">
        <v>174.72</v>
      </c>
      <c r="Q154" s="106">
        <v>341.73</v>
      </c>
      <c r="R154" s="106">
        <v>79.95</v>
      </c>
      <c r="S154" s="106">
        <v>11.56</v>
      </c>
      <c r="T154" s="85" t="s">
        <v>118</v>
      </c>
      <c r="U154" s="85">
        <v>5.29</v>
      </c>
      <c r="V154" s="85">
        <v>24.78</v>
      </c>
    </row>
    <row r="155" spans="3:22" ht="13.8">
      <c r="C155" s="77" t="str">
        <f>C154</f>
        <v>Nightsave Urban</v>
      </c>
      <c r="D155" s="77" t="s">
        <v>72</v>
      </c>
      <c r="E155" s="77" t="s">
        <v>67</v>
      </c>
      <c r="F155" s="77" t="s">
        <v>63</v>
      </c>
      <c r="G155" s="77" t="str">
        <f t="shared" si="68"/>
        <v>Nightsave Urban_Non-Local Authority_[0 - 300km]_≥ 500V &amp; &lt; 66kV</v>
      </c>
      <c r="H155" s="77" t="s">
        <v>626</v>
      </c>
      <c r="I155" s="85" t="s">
        <v>118</v>
      </c>
      <c r="J155" s="85" t="s">
        <v>118</v>
      </c>
      <c r="K155" s="85" t="s">
        <v>118</v>
      </c>
      <c r="L155" s="85" t="s">
        <v>118</v>
      </c>
      <c r="M155" s="85" t="s">
        <v>118</v>
      </c>
      <c r="N155" s="85" t="s">
        <v>118</v>
      </c>
      <c r="O155" s="106">
        <v>177.2</v>
      </c>
      <c r="P155" s="106">
        <v>170.21</v>
      </c>
      <c r="Q155" s="106">
        <v>332.91</v>
      </c>
      <c r="R155" s="106">
        <v>77.88</v>
      </c>
      <c r="S155" s="106">
        <v>11.15</v>
      </c>
      <c r="T155" s="85" t="s">
        <v>118</v>
      </c>
      <c r="U155" s="85">
        <v>12.27</v>
      </c>
      <c r="V155" s="85">
        <v>24.14</v>
      </c>
    </row>
    <row r="156" spans="3:22" ht="13.8">
      <c r="C156" s="77" t="str">
        <f t="shared" ref="C156:C169" si="69">C155</f>
        <v>Nightsave Urban</v>
      </c>
      <c r="D156" s="77" t="s">
        <v>72</v>
      </c>
      <c r="E156" s="77" t="s">
        <v>67</v>
      </c>
      <c r="F156" s="77" t="s">
        <v>64</v>
      </c>
      <c r="G156" s="77" t="str">
        <f t="shared" si="68"/>
        <v>Nightsave Urban_Non-Local Authority_[0 - 300km]_≥ 66kV &amp; ≤ 132kV</v>
      </c>
      <c r="H156" s="77" t="s">
        <v>627</v>
      </c>
      <c r="I156" s="85" t="s">
        <v>118</v>
      </c>
      <c r="J156" s="85" t="s">
        <v>118</v>
      </c>
      <c r="K156" s="85" t="s">
        <v>118</v>
      </c>
      <c r="L156" s="85" t="s">
        <v>118</v>
      </c>
      <c r="M156" s="85" t="s">
        <v>118</v>
      </c>
      <c r="N156" s="85" t="s">
        <v>118</v>
      </c>
      <c r="O156" s="106">
        <v>164.44</v>
      </c>
      <c r="P156" s="106">
        <v>157.96</v>
      </c>
      <c r="Q156" s="106">
        <v>308.94</v>
      </c>
      <c r="R156" s="106">
        <v>72.28</v>
      </c>
      <c r="S156" s="106">
        <v>10.17</v>
      </c>
      <c r="T156" s="85" t="s">
        <v>118</v>
      </c>
      <c r="U156" s="85">
        <v>9.2799999999999994</v>
      </c>
      <c r="V156" s="85">
        <v>22.4</v>
      </c>
    </row>
    <row r="157" spans="3:22" ht="13.8">
      <c r="C157" s="77" t="str">
        <f t="shared" si="69"/>
        <v>Nightsave Urban</v>
      </c>
      <c r="D157" s="77" t="s">
        <v>72</v>
      </c>
      <c r="E157" s="77" t="s">
        <v>67</v>
      </c>
      <c r="F157" s="77" t="s">
        <v>65</v>
      </c>
      <c r="G157" s="77" t="str">
        <f t="shared" si="68"/>
        <v>Nightsave Urban_Non-Local Authority_[0 - 300km]_&gt; 132kV</v>
      </c>
      <c r="H157" s="77" t="s">
        <v>628</v>
      </c>
      <c r="I157" s="85" t="s">
        <v>118</v>
      </c>
      <c r="J157" s="85" t="s">
        <v>118</v>
      </c>
      <c r="K157" s="85" t="s">
        <v>118</v>
      </c>
      <c r="L157" s="85" t="s">
        <v>118</v>
      </c>
      <c r="M157" s="85" t="s">
        <v>118</v>
      </c>
      <c r="N157" s="85" t="s">
        <v>118</v>
      </c>
      <c r="O157" s="106">
        <v>153.35</v>
      </c>
      <c r="P157" s="106">
        <v>147.30000000000001</v>
      </c>
      <c r="Q157" s="106">
        <v>286.37</v>
      </c>
      <c r="R157" s="106">
        <v>67</v>
      </c>
      <c r="S157" s="106">
        <v>17.77</v>
      </c>
      <c r="T157" s="85" t="s">
        <v>118</v>
      </c>
      <c r="U157" s="85">
        <v>10.65</v>
      </c>
      <c r="V157" s="85">
        <v>20.89</v>
      </c>
    </row>
    <row r="158" spans="3:22" ht="13.8">
      <c r="C158" s="77" t="str">
        <f t="shared" si="69"/>
        <v>Nightsave Urban</v>
      </c>
      <c r="D158" s="77" t="s">
        <v>72</v>
      </c>
      <c r="E158" s="77" t="s">
        <v>68</v>
      </c>
      <c r="F158" s="77" t="s">
        <v>62</v>
      </c>
      <c r="G158" s="77" t="str">
        <f t="shared" si="68"/>
        <v>Nightsave Urban_Non-Local Authority_[301 - 600km]_&lt; 500V</v>
      </c>
      <c r="H158" s="77" t="s">
        <v>629</v>
      </c>
      <c r="I158" s="85" t="s">
        <v>118</v>
      </c>
      <c r="J158" s="85" t="s">
        <v>118</v>
      </c>
      <c r="K158" s="85" t="s">
        <v>118</v>
      </c>
      <c r="L158" s="85" t="s">
        <v>118</v>
      </c>
      <c r="M158" s="85" t="s">
        <v>118</v>
      </c>
      <c r="N158" s="85" t="s">
        <v>118</v>
      </c>
      <c r="O158" s="106">
        <v>183.7</v>
      </c>
      <c r="P158" s="106">
        <v>176.46</v>
      </c>
      <c r="Q158" s="106">
        <v>345.13</v>
      </c>
      <c r="R158" s="106">
        <v>80.739999999999995</v>
      </c>
      <c r="S158" s="106">
        <v>11.68</v>
      </c>
      <c r="T158" s="85" t="s">
        <v>118</v>
      </c>
      <c r="U158" s="85">
        <v>5.29</v>
      </c>
      <c r="V158" s="85">
        <v>24.78</v>
      </c>
    </row>
    <row r="159" spans="3:22" ht="13.8">
      <c r="C159" s="77" t="str">
        <f t="shared" si="69"/>
        <v>Nightsave Urban</v>
      </c>
      <c r="D159" s="77" t="s">
        <v>72</v>
      </c>
      <c r="E159" s="77" t="s">
        <v>68</v>
      </c>
      <c r="F159" s="77" t="s">
        <v>63</v>
      </c>
      <c r="G159" s="77" t="str">
        <f t="shared" si="68"/>
        <v>Nightsave Urban_Non-Local Authority_[301 - 600km]_≥ 500V &amp; &lt; 66kV</v>
      </c>
      <c r="H159" s="77" t="s">
        <v>630</v>
      </c>
      <c r="I159" s="85" t="s">
        <v>118</v>
      </c>
      <c r="J159" s="85" t="s">
        <v>118</v>
      </c>
      <c r="K159" s="85" t="s">
        <v>118</v>
      </c>
      <c r="L159" s="85" t="s">
        <v>118</v>
      </c>
      <c r="M159" s="85" t="s">
        <v>118</v>
      </c>
      <c r="N159" s="85" t="s">
        <v>118</v>
      </c>
      <c r="O159" s="106">
        <v>178.97</v>
      </c>
      <c r="P159" s="106">
        <v>171.91</v>
      </c>
      <c r="Q159" s="106">
        <v>336.22</v>
      </c>
      <c r="R159" s="106">
        <v>78.66</v>
      </c>
      <c r="S159" s="106">
        <v>11.26</v>
      </c>
      <c r="T159" s="85" t="s">
        <v>118</v>
      </c>
      <c r="U159" s="85">
        <v>12.27</v>
      </c>
      <c r="V159" s="85">
        <v>24.14</v>
      </c>
    </row>
    <row r="160" spans="3:22" ht="13.8">
      <c r="C160" s="77" t="str">
        <f t="shared" si="69"/>
        <v>Nightsave Urban</v>
      </c>
      <c r="D160" s="77" t="s">
        <v>72</v>
      </c>
      <c r="E160" s="77" t="s">
        <v>68</v>
      </c>
      <c r="F160" s="77" t="s">
        <v>64</v>
      </c>
      <c r="G160" s="77" t="str">
        <f t="shared" si="68"/>
        <v>Nightsave Urban_Non-Local Authority_[301 - 600km]_≥ 66kV &amp; ≤ 132kV</v>
      </c>
      <c r="H160" s="77" t="s">
        <v>631</v>
      </c>
      <c r="I160" s="85" t="s">
        <v>118</v>
      </c>
      <c r="J160" s="85" t="s">
        <v>118</v>
      </c>
      <c r="K160" s="85" t="s">
        <v>118</v>
      </c>
      <c r="L160" s="85" t="s">
        <v>118</v>
      </c>
      <c r="M160" s="85" t="s">
        <v>118</v>
      </c>
      <c r="N160" s="85" t="s">
        <v>118</v>
      </c>
      <c r="O160" s="106">
        <v>166.09</v>
      </c>
      <c r="P160" s="106">
        <v>159.53</v>
      </c>
      <c r="Q160" s="106">
        <v>312.02</v>
      </c>
      <c r="R160" s="106">
        <v>72.989999999999995</v>
      </c>
      <c r="S160" s="106">
        <v>10.28</v>
      </c>
      <c r="T160" s="85" t="s">
        <v>118</v>
      </c>
      <c r="U160" s="85">
        <v>9.2799999999999994</v>
      </c>
      <c r="V160" s="85">
        <v>22.4</v>
      </c>
    </row>
    <row r="161" spans="3:22" ht="13.8">
      <c r="C161" s="77" t="str">
        <f t="shared" si="69"/>
        <v>Nightsave Urban</v>
      </c>
      <c r="D161" s="77" t="s">
        <v>72</v>
      </c>
      <c r="E161" s="77" t="s">
        <v>68</v>
      </c>
      <c r="F161" s="77" t="s">
        <v>65</v>
      </c>
      <c r="G161" s="77" t="str">
        <f t="shared" si="68"/>
        <v>Nightsave Urban_Non-Local Authority_[301 - 600km]_&gt; 132kV</v>
      </c>
      <c r="H161" s="77" t="s">
        <v>632</v>
      </c>
      <c r="I161" s="85" t="s">
        <v>118</v>
      </c>
      <c r="J161" s="85" t="s">
        <v>118</v>
      </c>
      <c r="K161" s="85" t="s">
        <v>118</v>
      </c>
      <c r="L161" s="85" t="s">
        <v>118</v>
      </c>
      <c r="M161" s="85" t="s">
        <v>118</v>
      </c>
      <c r="N161" s="85" t="s">
        <v>118</v>
      </c>
      <c r="O161" s="106">
        <v>154.88</v>
      </c>
      <c r="P161" s="106">
        <v>148.76</v>
      </c>
      <c r="Q161" s="106">
        <v>290.95</v>
      </c>
      <c r="R161" s="106">
        <v>68.069999999999993</v>
      </c>
      <c r="S161" s="106">
        <v>17.96</v>
      </c>
      <c r="T161" s="85" t="s">
        <v>118</v>
      </c>
      <c r="U161" s="85">
        <v>10.65</v>
      </c>
      <c r="V161" s="85">
        <v>20.89</v>
      </c>
    </row>
    <row r="162" spans="3:22" ht="13.8">
      <c r="C162" s="77" t="str">
        <f t="shared" si="69"/>
        <v>Nightsave Urban</v>
      </c>
      <c r="D162" s="77" t="s">
        <v>72</v>
      </c>
      <c r="E162" s="77" t="s">
        <v>69</v>
      </c>
      <c r="F162" s="77" t="s">
        <v>62</v>
      </c>
      <c r="G162" s="77" t="str">
        <f t="shared" si="68"/>
        <v>Nightsave Urban_Non-Local Authority_[601 - 900km]_&lt; 500V</v>
      </c>
      <c r="H162" s="77" t="s">
        <v>633</v>
      </c>
      <c r="I162" s="85" t="s">
        <v>118</v>
      </c>
      <c r="J162" s="85" t="s">
        <v>118</v>
      </c>
      <c r="K162" s="85" t="s">
        <v>118</v>
      </c>
      <c r="L162" s="85" t="s">
        <v>118</v>
      </c>
      <c r="M162" s="85" t="s">
        <v>118</v>
      </c>
      <c r="N162" s="85" t="s">
        <v>118</v>
      </c>
      <c r="O162" s="106">
        <v>185.52</v>
      </c>
      <c r="P162" s="106">
        <v>178.21</v>
      </c>
      <c r="Q162" s="106">
        <v>348.56</v>
      </c>
      <c r="R162" s="106">
        <v>81.55</v>
      </c>
      <c r="S162" s="106">
        <v>11.8</v>
      </c>
      <c r="T162" s="85" t="s">
        <v>118</v>
      </c>
      <c r="U162" s="85">
        <v>5.29</v>
      </c>
      <c r="V162" s="85">
        <v>24.78</v>
      </c>
    </row>
    <row r="163" spans="3:22" ht="13.8">
      <c r="C163" s="77" t="str">
        <f t="shared" si="69"/>
        <v>Nightsave Urban</v>
      </c>
      <c r="D163" s="77" t="s">
        <v>72</v>
      </c>
      <c r="E163" s="77" t="s">
        <v>69</v>
      </c>
      <c r="F163" s="77" t="s">
        <v>63</v>
      </c>
      <c r="G163" s="77" t="str">
        <f t="shared" si="68"/>
        <v>Nightsave Urban_Non-Local Authority_[601 - 900km]_≥ 500V &amp; &lt; 66kV</v>
      </c>
      <c r="H163" s="77" t="s">
        <v>634</v>
      </c>
      <c r="I163" s="85" t="s">
        <v>118</v>
      </c>
      <c r="J163" s="85" t="s">
        <v>118</v>
      </c>
      <c r="K163" s="85" t="s">
        <v>118</v>
      </c>
      <c r="L163" s="85" t="s">
        <v>118</v>
      </c>
      <c r="M163" s="85" t="s">
        <v>118</v>
      </c>
      <c r="N163" s="85" t="s">
        <v>118</v>
      </c>
      <c r="O163" s="106">
        <v>180.74</v>
      </c>
      <c r="P163" s="106">
        <v>173.62</v>
      </c>
      <c r="Q163" s="106">
        <v>339.56</v>
      </c>
      <c r="R163" s="106">
        <v>79.44</v>
      </c>
      <c r="S163" s="106">
        <v>11.37</v>
      </c>
      <c r="T163" s="85" t="s">
        <v>118</v>
      </c>
      <c r="U163" s="85">
        <v>12.27</v>
      </c>
      <c r="V163" s="85">
        <v>24.14</v>
      </c>
    </row>
    <row r="164" spans="3:22" ht="13.8">
      <c r="C164" s="77" t="str">
        <f t="shared" si="69"/>
        <v>Nightsave Urban</v>
      </c>
      <c r="D164" s="77" t="s">
        <v>72</v>
      </c>
      <c r="E164" s="77" t="s">
        <v>69</v>
      </c>
      <c r="F164" s="77" t="s">
        <v>64</v>
      </c>
      <c r="G164" s="77" t="str">
        <f t="shared" si="68"/>
        <v>Nightsave Urban_Non-Local Authority_[601 - 900km]_≥ 66kV &amp; ≤ 132kV</v>
      </c>
      <c r="H164" s="77" t="s">
        <v>635</v>
      </c>
      <c r="I164" s="85" t="s">
        <v>118</v>
      </c>
      <c r="J164" s="85" t="s">
        <v>118</v>
      </c>
      <c r="K164" s="85" t="s">
        <v>118</v>
      </c>
      <c r="L164" s="85" t="s">
        <v>118</v>
      </c>
      <c r="M164" s="85" t="s">
        <v>118</v>
      </c>
      <c r="N164" s="85" t="s">
        <v>118</v>
      </c>
      <c r="O164" s="106">
        <v>167.73</v>
      </c>
      <c r="P164" s="106">
        <v>161.12</v>
      </c>
      <c r="Q164" s="106">
        <v>315.12</v>
      </c>
      <c r="R164" s="106">
        <v>73.73</v>
      </c>
      <c r="S164" s="106">
        <v>10.38</v>
      </c>
      <c r="T164" s="85" t="s">
        <v>118</v>
      </c>
      <c r="U164" s="85">
        <v>9.2799999999999994</v>
      </c>
      <c r="V164" s="85">
        <v>22.4</v>
      </c>
    </row>
    <row r="165" spans="3:22" ht="13.8">
      <c r="C165" s="77" t="str">
        <f t="shared" si="69"/>
        <v>Nightsave Urban</v>
      </c>
      <c r="D165" s="77" t="s">
        <v>72</v>
      </c>
      <c r="E165" s="77" t="s">
        <v>69</v>
      </c>
      <c r="F165" s="77" t="s">
        <v>65</v>
      </c>
      <c r="G165" s="77" t="str">
        <f t="shared" si="68"/>
        <v>Nightsave Urban_Non-Local Authority_[601 - 900km]_&gt; 132kV</v>
      </c>
      <c r="H165" s="77" t="s">
        <v>636</v>
      </c>
      <c r="I165" s="85" t="s">
        <v>118</v>
      </c>
      <c r="J165" s="85" t="s">
        <v>118</v>
      </c>
      <c r="K165" s="85" t="s">
        <v>118</v>
      </c>
      <c r="L165" s="85" t="s">
        <v>118</v>
      </c>
      <c r="M165" s="85" t="s">
        <v>118</v>
      </c>
      <c r="N165" s="85" t="s">
        <v>118</v>
      </c>
      <c r="O165" s="106">
        <v>156.41</v>
      </c>
      <c r="P165" s="106">
        <v>150.22999999999999</v>
      </c>
      <c r="Q165" s="106">
        <v>293.85000000000002</v>
      </c>
      <c r="R165" s="106">
        <v>68.75</v>
      </c>
      <c r="S165" s="106">
        <v>18.12</v>
      </c>
      <c r="T165" s="85" t="s">
        <v>118</v>
      </c>
      <c r="U165" s="85">
        <v>10.65</v>
      </c>
      <c r="V165" s="85">
        <v>20.89</v>
      </c>
    </row>
    <row r="166" spans="3:22" ht="13.8">
      <c r="C166" s="77" t="str">
        <f t="shared" si="69"/>
        <v>Nightsave Urban</v>
      </c>
      <c r="D166" s="77" t="s">
        <v>72</v>
      </c>
      <c r="E166" s="77" t="s">
        <v>70</v>
      </c>
      <c r="F166" s="77" t="s">
        <v>62</v>
      </c>
      <c r="G166" s="77" t="str">
        <f t="shared" si="68"/>
        <v>Nightsave Urban_Non-Local Authority_[&gt; 900km]_&lt; 500V</v>
      </c>
      <c r="H166" s="77" t="s">
        <v>637</v>
      </c>
      <c r="I166" s="85" t="s">
        <v>118</v>
      </c>
      <c r="J166" s="85" t="s">
        <v>118</v>
      </c>
      <c r="K166" s="85" t="s">
        <v>118</v>
      </c>
      <c r="L166" s="85" t="s">
        <v>118</v>
      </c>
      <c r="M166" s="85" t="s">
        <v>118</v>
      </c>
      <c r="N166" s="85" t="s">
        <v>118</v>
      </c>
      <c r="O166" s="106">
        <v>187.34</v>
      </c>
      <c r="P166" s="106">
        <v>179.95</v>
      </c>
      <c r="Q166" s="106">
        <v>351.96</v>
      </c>
      <c r="R166" s="106">
        <v>82.33</v>
      </c>
      <c r="S166" s="106">
        <v>11.92</v>
      </c>
      <c r="T166" s="85" t="s">
        <v>118</v>
      </c>
      <c r="U166" s="85">
        <v>5.29</v>
      </c>
      <c r="V166" s="85">
        <v>24.78</v>
      </c>
    </row>
    <row r="167" spans="3:22" ht="13.8">
      <c r="C167" s="77" t="str">
        <f t="shared" si="69"/>
        <v>Nightsave Urban</v>
      </c>
      <c r="D167" s="77" t="s">
        <v>72</v>
      </c>
      <c r="E167" s="77" t="s">
        <v>70</v>
      </c>
      <c r="F167" s="77" t="s">
        <v>63</v>
      </c>
      <c r="G167" s="77" t="str">
        <f t="shared" si="68"/>
        <v>Nightsave Urban_Non-Local Authority_[&gt; 900km]_≥ 500V &amp; &lt; 66kV</v>
      </c>
      <c r="H167" s="77" t="s">
        <v>638</v>
      </c>
      <c r="I167" s="85" t="s">
        <v>118</v>
      </c>
      <c r="J167" s="85" t="s">
        <v>118</v>
      </c>
      <c r="K167" s="85" t="s">
        <v>118</v>
      </c>
      <c r="L167" s="85" t="s">
        <v>118</v>
      </c>
      <c r="M167" s="85" t="s">
        <v>118</v>
      </c>
      <c r="N167" s="85" t="s">
        <v>118</v>
      </c>
      <c r="O167" s="106">
        <v>182.51</v>
      </c>
      <c r="P167" s="106">
        <v>175.32</v>
      </c>
      <c r="Q167" s="106">
        <v>342.87</v>
      </c>
      <c r="R167" s="106">
        <v>80.209999999999994</v>
      </c>
      <c r="S167" s="106">
        <v>11.47</v>
      </c>
      <c r="T167" s="85" t="s">
        <v>118</v>
      </c>
      <c r="U167" s="85">
        <v>12.27</v>
      </c>
      <c r="V167" s="85">
        <v>24.14</v>
      </c>
    </row>
    <row r="168" spans="3:22" ht="13.8">
      <c r="C168" s="77" t="str">
        <f t="shared" si="69"/>
        <v>Nightsave Urban</v>
      </c>
      <c r="D168" s="77" t="s">
        <v>72</v>
      </c>
      <c r="E168" s="77" t="s">
        <v>70</v>
      </c>
      <c r="F168" s="77" t="s">
        <v>64</v>
      </c>
      <c r="G168" s="77" t="str">
        <f t="shared" si="68"/>
        <v>Nightsave Urban_Non-Local Authority_[&gt; 900km]_≥ 66kV &amp; ≤ 132kV</v>
      </c>
      <c r="H168" s="77" t="s">
        <v>639</v>
      </c>
      <c r="I168" s="85" t="s">
        <v>118</v>
      </c>
      <c r="J168" s="85" t="s">
        <v>118</v>
      </c>
      <c r="K168" s="85" t="s">
        <v>118</v>
      </c>
      <c r="L168" s="85" t="s">
        <v>118</v>
      </c>
      <c r="M168" s="85" t="s">
        <v>118</v>
      </c>
      <c r="N168" s="85" t="s">
        <v>118</v>
      </c>
      <c r="O168" s="106">
        <v>169.37</v>
      </c>
      <c r="P168" s="106">
        <v>162.68</v>
      </c>
      <c r="Q168" s="106">
        <v>318.19</v>
      </c>
      <c r="R168" s="106">
        <v>74.44</v>
      </c>
      <c r="S168" s="106">
        <v>10.47</v>
      </c>
      <c r="T168" s="85" t="s">
        <v>118</v>
      </c>
      <c r="U168" s="85">
        <v>9.2799999999999994</v>
      </c>
      <c r="V168" s="85">
        <v>22.4</v>
      </c>
    </row>
    <row r="169" spans="3:22" ht="14.4" thickBot="1">
      <c r="C169" s="77" t="str">
        <f t="shared" si="69"/>
        <v>Nightsave Urban</v>
      </c>
      <c r="D169" s="77" t="s">
        <v>72</v>
      </c>
      <c r="E169" s="77" t="s">
        <v>70</v>
      </c>
      <c r="F169" s="77" t="s">
        <v>65</v>
      </c>
      <c r="G169" s="77" t="str">
        <f t="shared" si="68"/>
        <v>Nightsave Urban_Non-Local Authority_[&gt; 900km]_&gt; 132kV</v>
      </c>
      <c r="H169" s="77" t="s">
        <v>640</v>
      </c>
      <c r="I169" s="238" t="s">
        <v>118</v>
      </c>
      <c r="J169" s="238" t="s">
        <v>118</v>
      </c>
      <c r="K169" s="238" t="s">
        <v>118</v>
      </c>
      <c r="L169" s="238" t="s">
        <v>118</v>
      </c>
      <c r="M169" s="238" t="s">
        <v>118</v>
      </c>
      <c r="N169" s="238" t="s">
        <v>118</v>
      </c>
      <c r="O169" s="237">
        <v>157.93</v>
      </c>
      <c r="P169" s="237">
        <v>151.71</v>
      </c>
      <c r="Q169" s="237">
        <v>296.70999999999998</v>
      </c>
      <c r="R169" s="237">
        <v>69.41</v>
      </c>
      <c r="S169" s="237">
        <v>18.3</v>
      </c>
      <c r="T169" s="238" t="s">
        <v>118</v>
      </c>
      <c r="U169" s="238">
        <v>10.65</v>
      </c>
      <c r="V169" s="238">
        <v>20.89</v>
      </c>
    </row>
    <row r="170" spans="3:22" ht="13.8">
      <c r="C170" s="239" t="s">
        <v>465</v>
      </c>
      <c r="D170" s="239" t="s">
        <v>71</v>
      </c>
      <c r="E170" s="239" t="str">
        <f>E154</f>
        <v>[0 - 300km]</v>
      </c>
      <c r="F170" s="239" t="str">
        <f>F154</f>
        <v>&lt; 500V</v>
      </c>
      <c r="G170" s="239" t="str">
        <f t="shared" si="68"/>
        <v>Municflex_Local Authority_[0 - 300km]_&lt; 500V</v>
      </c>
      <c r="H170" s="239" t="s">
        <v>472</v>
      </c>
      <c r="I170" s="240">
        <f t="shared" ref="I170:N170" si="70">I137</f>
        <v>754.92</v>
      </c>
      <c r="J170" s="240">
        <f t="shared" si="70"/>
        <v>188.7</v>
      </c>
      <c r="K170" s="240">
        <f t="shared" si="70"/>
        <v>125.84</v>
      </c>
      <c r="L170" s="240">
        <f t="shared" si="70"/>
        <v>313.35000000000002</v>
      </c>
      <c r="M170" s="240">
        <f t="shared" si="70"/>
        <v>176.16</v>
      </c>
      <c r="N170" s="240">
        <f t="shared" si="70"/>
        <v>125.89</v>
      </c>
      <c r="O170" s="306">
        <v>0</v>
      </c>
      <c r="P170" s="306">
        <v>0</v>
      </c>
      <c r="Q170" s="306">
        <v>0</v>
      </c>
      <c r="R170" s="306">
        <v>0</v>
      </c>
      <c r="S170" s="240">
        <f t="shared" ref="S170:S185" si="71">S137</f>
        <v>11.83</v>
      </c>
      <c r="T170" s="240">
        <v>0</v>
      </c>
      <c r="U170" s="240">
        <v>5.0599999999999996</v>
      </c>
      <c r="V170" s="240">
        <v>25.31</v>
      </c>
    </row>
    <row r="171" spans="3:22" ht="13.8">
      <c r="C171" s="77" t="s">
        <v>465</v>
      </c>
      <c r="D171" s="77" t="s">
        <v>71</v>
      </c>
      <c r="E171" s="77" t="str">
        <f t="shared" ref="E171:F185" si="72">E155</f>
        <v>[0 - 300km]</v>
      </c>
      <c r="F171" s="77" t="str">
        <f t="shared" si="72"/>
        <v>≥ 500V &amp; &lt; 66kV</v>
      </c>
      <c r="G171" s="77" t="str">
        <f t="shared" si="68"/>
        <v>Municflex_Local Authority_[0 - 300km]_≥ 500V &amp; &lt; 66kV</v>
      </c>
      <c r="H171" s="77" t="s">
        <v>473</v>
      </c>
      <c r="I171" s="106">
        <f t="shared" ref="I171:N171" si="73">I138</f>
        <v>733.19</v>
      </c>
      <c r="J171" s="106">
        <f t="shared" si="73"/>
        <v>183.29</v>
      </c>
      <c r="K171" s="106">
        <f t="shared" si="73"/>
        <v>122.2</v>
      </c>
      <c r="L171" s="106">
        <f t="shared" si="73"/>
        <v>304.27999999999997</v>
      </c>
      <c r="M171" s="106">
        <f t="shared" si="73"/>
        <v>171.07</v>
      </c>
      <c r="N171" s="106">
        <f t="shared" si="73"/>
        <v>122.2</v>
      </c>
      <c r="O171" s="307">
        <v>0</v>
      </c>
      <c r="P171" s="307">
        <v>0</v>
      </c>
      <c r="Q171" s="307">
        <v>0</v>
      </c>
      <c r="R171" s="307">
        <v>0</v>
      </c>
      <c r="S171" s="106">
        <f t="shared" si="71"/>
        <v>11.35</v>
      </c>
      <c r="T171" s="106">
        <v>0</v>
      </c>
      <c r="U171" s="106">
        <v>11.72</v>
      </c>
      <c r="V171" s="106">
        <v>24.58</v>
      </c>
    </row>
    <row r="172" spans="3:22" ht="13.8">
      <c r="C172" s="77" t="s">
        <v>465</v>
      </c>
      <c r="D172" s="77" t="s">
        <v>71</v>
      </c>
      <c r="E172" s="77" t="str">
        <f t="shared" si="72"/>
        <v>[0 - 300km]</v>
      </c>
      <c r="F172" s="77" t="str">
        <f t="shared" si="72"/>
        <v>≥ 66kV &amp; ≤ 132kV</v>
      </c>
      <c r="G172" s="77" t="str">
        <f t="shared" si="68"/>
        <v>Municflex_Local Authority_[0 - 300km]_≥ 66kV &amp; ≤ 132kV</v>
      </c>
      <c r="H172" s="77" t="s">
        <v>474</v>
      </c>
      <c r="I172" s="106">
        <f t="shared" ref="I172:N172" si="74">I139</f>
        <v>680.35</v>
      </c>
      <c r="J172" s="106">
        <f t="shared" si="74"/>
        <v>170.09</v>
      </c>
      <c r="K172" s="106">
        <f t="shared" si="74"/>
        <v>113.38</v>
      </c>
      <c r="L172" s="106">
        <f t="shared" si="74"/>
        <v>282.36</v>
      </c>
      <c r="M172" s="106">
        <f t="shared" si="74"/>
        <v>158.76</v>
      </c>
      <c r="N172" s="106">
        <f t="shared" si="74"/>
        <v>113.38</v>
      </c>
      <c r="O172" s="307">
        <v>0</v>
      </c>
      <c r="P172" s="307">
        <v>0</v>
      </c>
      <c r="Q172" s="307">
        <v>0</v>
      </c>
      <c r="R172" s="307">
        <v>0</v>
      </c>
      <c r="S172" s="106">
        <f t="shared" si="71"/>
        <v>10.36</v>
      </c>
      <c r="T172" s="106">
        <v>0</v>
      </c>
      <c r="U172" s="106">
        <v>9.82</v>
      </c>
      <c r="V172" s="106">
        <v>22.82</v>
      </c>
    </row>
    <row r="173" spans="3:22" ht="13.8">
      <c r="C173" s="77" t="s">
        <v>465</v>
      </c>
      <c r="D173" s="77" t="s">
        <v>71</v>
      </c>
      <c r="E173" s="77" t="str">
        <f t="shared" si="72"/>
        <v>[0 - 300km]</v>
      </c>
      <c r="F173" s="77" t="str">
        <f t="shared" si="72"/>
        <v>&gt; 132kV</v>
      </c>
      <c r="G173" s="77" t="str">
        <f t="shared" si="68"/>
        <v>Municflex_Local Authority_[0 - 300km]_&gt; 132kV</v>
      </c>
      <c r="H173" s="77" t="s">
        <v>475</v>
      </c>
      <c r="I173" s="106">
        <f t="shared" ref="I173:N173" si="75">I140</f>
        <v>634.41999999999996</v>
      </c>
      <c r="J173" s="106">
        <f t="shared" si="75"/>
        <v>158.61000000000001</v>
      </c>
      <c r="K173" s="106">
        <f t="shared" si="75"/>
        <v>105.74</v>
      </c>
      <c r="L173" s="106">
        <f t="shared" si="75"/>
        <v>263.3</v>
      </c>
      <c r="M173" s="106">
        <f t="shared" si="75"/>
        <v>148.04</v>
      </c>
      <c r="N173" s="106">
        <f t="shared" si="75"/>
        <v>105.74</v>
      </c>
      <c r="O173" s="307">
        <v>0</v>
      </c>
      <c r="P173" s="307">
        <v>0</v>
      </c>
      <c r="Q173" s="307">
        <v>0</v>
      </c>
      <c r="R173" s="307">
        <v>0</v>
      </c>
      <c r="S173" s="106">
        <f t="shared" si="71"/>
        <v>18.079999999999998</v>
      </c>
      <c r="T173" s="106">
        <v>0</v>
      </c>
      <c r="U173" s="106">
        <v>10.85</v>
      </c>
      <c r="V173" s="106">
        <v>21.27</v>
      </c>
    </row>
    <row r="174" spans="3:22" ht="13.8">
      <c r="C174" s="77" t="s">
        <v>465</v>
      </c>
      <c r="D174" s="77" t="s">
        <v>71</v>
      </c>
      <c r="E174" s="77" t="str">
        <f t="shared" si="72"/>
        <v>[301 - 600km]</v>
      </c>
      <c r="F174" s="77" t="str">
        <f t="shared" si="72"/>
        <v>&lt; 500V</v>
      </c>
      <c r="G174" s="77" t="str">
        <f t="shared" si="68"/>
        <v>Municflex_Local Authority_[301 - 600km]_&lt; 500V</v>
      </c>
      <c r="H174" s="77" t="s">
        <v>476</v>
      </c>
      <c r="I174" s="106">
        <f t="shared" ref="I174:N174" si="76">I141</f>
        <v>765.2</v>
      </c>
      <c r="J174" s="106">
        <f t="shared" si="76"/>
        <v>191.31</v>
      </c>
      <c r="K174" s="106">
        <f t="shared" si="76"/>
        <v>127.55</v>
      </c>
      <c r="L174" s="106">
        <f t="shared" si="76"/>
        <v>317.58</v>
      </c>
      <c r="M174" s="106">
        <f t="shared" si="76"/>
        <v>178.57</v>
      </c>
      <c r="N174" s="106">
        <f t="shared" si="76"/>
        <v>127.55</v>
      </c>
      <c r="O174" s="307">
        <v>0</v>
      </c>
      <c r="P174" s="307">
        <v>0</v>
      </c>
      <c r="Q174" s="307">
        <v>0</v>
      </c>
      <c r="R174" s="307">
        <v>0</v>
      </c>
      <c r="S174" s="106">
        <f t="shared" si="71"/>
        <v>12</v>
      </c>
      <c r="T174" s="106">
        <v>0</v>
      </c>
      <c r="U174" s="106">
        <v>5.0599999999999996</v>
      </c>
      <c r="V174" s="106">
        <v>25.4</v>
      </c>
    </row>
    <row r="175" spans="3:22" ht="13.8">
      <c r="C175" s="77" t="s">
        <v>465</v>
      </c>
      <c r="D175" s="77" t="s">
        <v>71</v>
      </c>
      <c r="E175" s="77" t="str">
        <f t="shared" si="72"/>
        <v>[301 - 600km]</v>
      </c>
      <c r="F175" s="77" t="str">
        <f t="shared" si="72"/>
        <v>≥ 500V &amp; &lt; 66kV</v>
      </c>
      <c r="G175" s="77" t="str">
        <f t="shared" si="68"/>
        <v>Municflex_Local Authority_[301 - 600km]_≥ 500V &amp; &lt; 66kV</v>
      </c>
      <c r="H175" s="77" t="s">
        <v>477</v>
      </c>
      <c r="I175" s="106">
        <f t="shared" ref="I175:N175" si="77">I142</f>
        <v>741.59</v>
      </c>
      <c r="J175" s="106">
        <f t="shared" si="77"/>
        <v>185.41</v>
      </c>
      <c r="K175" s="106">
        <f t="shared" si="77"/>
        <v>123.62</v>
      </c>
      <c r="L175" s="106">
        <f t="shared" si="77"/>
        <v>307.76</v>
      </c>
      <c r="M175" s="106">
        <f t="shared" si="77"/>
        <v>173.05</v>
      </c>
      <c r="N175" s="106">
        <f t="shared" si="77"/>
        <v>123.62</v>
      </c>
      <c r="O175" s="307">
        <v>0</v>
      </c>
      <c r="P175" s="307">
        <v>0</v>
      </c>
      <c r="Q175" s="307">
        <v>0</v>
      </c>
      <c r="R175" s="307">
        <v>0</v>
      </c>
      <c r="S175" s="106">
        <f t="shared" si="71"/>
        <v>11.49</v>
      </c>
      <c r="T175" s="106">
        <v>0</v>
      </c>
      <c r="U175" s="106">
        <v>11.72</v>
      </c>
      <c r="V175" s="106">
        <v>24.63</v>
      </c>
    </row>
    <row r="176" spans="3:22" ht="13.8">
      <c r="C176" s="77" t="s">
        <v>465</v>
      </c>
      <c r="D176" s="77" t="s">
        <v>71</v>
      </c>
      <c r="E176" s="77" t="str">
        <f t="shared" si="72"/>
        <v>[301 - 600km]</v>
      </c>
      <c r="F176" s="77" t="str">
        <f t="shared" si="72"/>
        <v>≥ 66kV &amp; ≤ 132kV</v>
      </c>
      <c r="G176" s="77" t="str">
        <f t="shared" si="68"/>
        <v>Municflex_Local Authority_[301 - 600km]_≥ 66kV &amp; ≤ 132kV</v>
      </c>
      <c r="H176" s="77" t="s">
        <v>478</v>
      </c>
      <c r="I176" s="106">
        <f t="shared" ref="I176:N176" si="78">I143</f>
        <v>687.16</v>
      </c>
      <c r="J176" s="106">
        <f t="shared" si="78"/>
        <v>171.8</v>
      </c>
      <c r="K176" s="106">
        <f t="shared" si="78"/>
        <v>114.53</v>
      </c>
      <c r="L176" s="106">
        <f t="shared" si="78"/>
        <v>285.17</v>
      </c>
      <c r="M176" s="106">
        <f t="shared" si="78"/>
        <v>160.34</v>
      </c>
      <c r="N176" s="106">
        <f t="shared" si="78"/>
        <v>114.53</v>
      </c>
      <c r="O176" s="307">
        <v>0</v>
      </c>
      <c r="P176" s="307">
        <v>0</v>
      </c>
      <c r="Q176" s="307">
        <v>0</v>
      </c>
      <c r="R176" s="307">
        <v>0</v>
      </c>
      <c r="S176" s="106">
        <f t="shared" si="71"/>
        <v>10.46</v>
      </c>
      <c r="T176" s="106">
        <v>0</v>
      </c>
      <c r="U176" s="106">
        <v>9.82</v>
      </c>
      <c r="V176" s="106">
        <v>22.82</v>
      </c>
    </row>
    <row r="177" spans="3:22" ht="13.8">
      <c r="C177" s="77" t="s">
        <v>465</v>
      </c>
      <c r="D177" s="77" t="s">
        <v>71</v>
      </c>
      <c r="E177" s="77" t="str">
        <f t="shared" si="72"/>
        <v>[301 - 600km]</v>
      </c>
      <c r="F177" s="77" t="str">
        <f t="shared" si="72"/>
        <v>&gt; 132kV</v>
      </c>
      <c r="G177" s="77" t="str">
        <f t="shared" si="68"/>
        <v>Municflex_Local Authority_[301 - 600km]_&gt; 132kV</v>
      </c>
      <c r="H177" s="77" t="s">
        <v>479</v>
      </c>
      <c r="I177" s="106">
        <f t="shared" ref="I177:N177" si="79">I144</f>
        <v>640.77</v>
      </c>
      <c r="J177" s="106">
        <f t="shared" si="79"/>
        <v>160.19</v>
      </c>
      <c r="K177" s="106">
        <f t="shared" si="79"/>
        <v>106.79</v>
      </c>
      <c r="L177" s="106">
        <f t="shared" si="79"/>
        <v>265.92</v>
      </c>
      <c r="M177" s="106">
        <f t="shared" si="79"/>
        <v>149.52000000000001</v>
      </c>
      <c r="N177" s="106">
        <f t="shared" si="79"/>
        <v>106.79</v>
      </c>
      <c r="O177" s="307">
        <v>0</v>
      </c>
      <c r="P177" s="307">
        <v>0</v>
      </c>
      <c r="Q177" s="307">
        <v>0</v>
      </c>
      <c r="R177" s="307">
        <v>0</v>
      </c>
      <c r="S177" s="106">
        <f t="shared" si="71"/>
        <v>18.27</v>
      </c>
      <c r="T177" s="106">
        <v>0</v>
      </c>
      <c r="U177" s="106">
        <v>10.85</v>
      </c>
      <c r="V177" s="106">
        <v>21.27</v>
      </c>
    </row>
    <row r="178" spans="3:22" ht="13.8">
      <c r="C178" s="77" t="s">
        <v>465</v>
      </c>
      <c r="D178" s="77" t="s">
        <v>71</v>
      </c>
      <c r="E178" s="77" t="str">
        <f t="shared" si="72"/>
        <v>[601 - 900km]</v>
      </c>
      <c r="F178" s="77" t="str">
        <f t="shared" si="72"/>
        <v>&lt; 500V</v>
      </c>
      <c r="G178" s="77" t="str">
        <f t="shared" si="68"/>
        <v>Municflex_Local Authority_[601 - 900km]_&lt; 500V</v>
      </c>
      <c r="H178" s="77" t="s">
        <v>480</v>
      </c>
      <c r="I178" s="106">
        <f t="shared" ref="I178:N178" si="80">I145</f>
        <v>772.4</v>
      </c>
      <c r="J178" s="106">
        <f t="shared" si="80"/>
        <v>193.09</v>
      </c>
      <c r="K178" s="106">
        <f t="shared" si="80"/>
        <v>128.76</v>
      </c>
      <c r="L178" s="106">
        <f t="shared" si="80"/>
        <v>320.60000000000002</v>
      </c>
      <c r="M178" s="106">
        <f t="shared" si="80"/>
        <v>180.24</v>
      </c>
      <c r="N178" s="106">
        <f t="shared" si="80"/>
        <v>128.77000000000001</v>
      </c>
      <c r="O178" s="307">
        <v>0</v>
      </c>
      <c r="P178" s="307">
        <v>0</v>
      </c>
      <c r="Q178" s="307">
        <v>0</v>
      </c>
      <c r="R178" s="307">
        <v>0</v>
      </c>
      <c r="S178" s="106">
        <f t="shared" si="71"/>
        <v>12.13</v>
      </c>
      <c r="T178" s="106">
        <v>0</v>
      </c>
      <c r="U178" s="106">
        <v>5.0599999999999996</v>
      </c>
      <c r="V178" s="106">
        <v>25.39</v>
      </c>
    </row>
    <row r="179" spans="3:22" ht="13.8">
      <c r="C179" s="77" t="s">
        <v>465</v>
      </c>
      <c r="D179" s="77" t="s">
        <v>71</v>
      </c>
      <c r="E179" s="77" t="str">
        <f t="shared" si="72"/>
        <v>[601 - 900km]</v>
      </c>
      <c r="F179" s="77" t="str">
        <f t="shared" si="72"/>
        <v>≥ 500V &amp; &lt; 66kV</v>
      </c>
      <c r="G179" s="77" t="str">
        <f t="shared" si="68"/>
        <v>Municflex_Local Authority_[601 - 900km]_≥ 500V &amp; &lt; 66kV</v>
      </c>
      <c r="H179" s="77" t="s">
        <v>481</v>
      </c>
      <c r="I179" s="106">
        <f t="shared" ref="I179:N179" si="81">I146</f>
        <v>749.21</v>
      </c>
      <c r="J179" s="106">
        <f t="shared" si="81"/>
        <v>187.32</v>
      </c>
      <c r="K179" s="106">
        <f t="shared" si="81"/>
        <v>124.9</v>
      </c>
      <c r="L179" s="106">
        <f t="shared" si="81"/>
        <v>310.95</v>
      </c>
      <c r="M179" s="106">
        <f t="shared" si="81"/>
        <v>174.82</v>
      </c>
      <c r="N179" s="106">
        <f t="shared" si="81"/>
        <v>124.9</v>
      </c>
      <c r="O179" s="307">
        <v>0</v>
      </c>
      <c r="P179" s="307">
        <v>0</v>
      </c>
      <c r="Q179" s="307">
        <v>0</v>
      </c>
      <c r="R179" s="307">
        <v>0</v>
      </c>
      <c r="S179" s="106">
        <f t="shared" si="71"/>
        <v>11.61</v>
      </c>
      <c r="T179" s="106">
        <v>0</v>
      </c>
      <c r="U179" s="106">
        <v>11.72</v>
      </c>
      <c r="V179" s="106">
        <v>24.63</v>
      </c>
    </row>
    <row r="180" spans="3:22" ht="13.8">
      <c r="C180" s="77" t="s">
        <v>465</v>
      </c>
      <c r="D180" s="77" t="s">
        <v>71</v>
      </c>
      <c r="E180" s="77" t="str">
        <f t="shared" si="72"/>
        <v>[601 - 900km]</v>
      </c>
      <c r="F180" s="77" t="str">
        <f t="shared" si="72"/>
        <v>≥ 66kV &amp; ≤ 132kV</v>
      </c>
      <c r="G180" s="77" t="str">
        <f t="shared" si="68"/>
        <v>Municflex_Local Authority_[601 - 900km]_≥ 66kV &amp; ≤ 132kV</v>
      </c>
      <c r="H180" s="77" t="s">
        <v>482</v>
      </c>
      <c r="I180" s="106">
        <f t="shared" ref="I180:N180" si="82">I147</f>
        <v>693.96</v>
      </c>
      <c r="J180" s="106">
        <f t="shared" si="82"/>
        <v>173.49</v>
      </c>
      <c r="K180" s="106">
        <f t="shared" si="82"/>
        <v>115.66</v>
      </c>
      <c r="L180" s="106">
        <f t="shared" si="82"/>
        <v>288.01</v>
      </c>
      <c r="M180" s="106">
        <f t="shared" si="82"/>
        <v>161.91999999999999</v>
      </c>
      <c r="N180" s="106">
        <f t="shared" si="82"/>
        <v>115.66</v>
      </c>
      <c r="O180" s="307">
        <v>0</v>
      </c>
      <c r="P180" s="307">
        <v>0</v>
      </c>
      <c r="Q180" s="307">
        <v>0</v>
      </c>
      <c r="R180" s="307">
        <v>0</v>
      </c>
      <c r="S180" s="106">
        <f t="shared" si="71"/>
        <v>10.55</v>
      </c>
      <c r="T180" s="106">
        <v>0</v>
      </c>
      <c r="U180" s="106">
        <v>9.82</v>
      </c>
      <c r="V180" s="106">
        <v>22.82</v>
      </c>
    </row>
    <row r="181" spans="3:22" ht="13.8">
      <c r="C181" s="77" t="s">
        <v>465</v>
      </c>
      <c r="D181" s="77" t="s">
        <v>71</v>
      </c>
      <c r="E181" s="77" t="str">
        <f t="shared" si="72"/>
        <v>[601 - 900km]</v>
      </c>
      <c r="F181" s="77" t="str">
        <f t="shared" si="72"/>
        <v>&gt; 132kV</v>
      </c>
      <c r="G181" s="77" t="str">
        <f t="shared" si="68"/>
        <v>Municflex_Local Authority_[601 - 900km]_&gt; 132kV</v>
      </c>
      <c r="H181" s="77" t="s">
        <v>483</v>
      </c>
      <c r="I181" s="106">
        <f t="shared" ref="I181:N181" si="83">I148</f>
        <v>647.11</v>
      </c>
      <c r="J181" s="106">
        <f t="shared" si="83"/>
        <v>161.78</v>
      </c>
      <c r="K181" s="106">
        <f t="shared" si="83"/>
        <v>107.85</v>
      </c>
      <c r="L181" s="106">
        <f t="shared" si="83"/>
        <v>268.56</v>
      </c>
      <c r="M181" s="106">
        <f t="shared" si="83"/>
        <v>151</v>
      </c>
      <c r="N181" s="106">
        <f t="shared" si="83"/>
        <v>107.85</v>
      </c>
      <c r="O181" s="307">
        <v>0</v>
      </c>
      <c r="P181" s="307">
        <v>0</v>
      </c>
      <c r="Q181" s="307">
        <v>0</v>
      </c>
      <c r="R181" s="307">
        <v>0</v>
      </c>
      <c r="S181" s="106">
        <f t="shared" si="71"/>
        <v>18.440000000000001</v>
      </c>
      <c r="T181" s="106">
        <v>0</v>
      </c>
      <c r="U181" s="106">
        <v>10.85</v>
      </c>
      <c r="V181" s="106">
        <v>21.27</v>
      </c>
    </row>
    <row r="182" spans="3:22" ht="13.8">
      <c r="C182" s="77" t="s">
        <v>465</v>
      </c>
      <c r="D182" s="77" t="s">
        <v>71</v>
      </c>
      <c r="E182" s="77" t="str">
        <f t="shared" si="72"/>
        <v>[&gt; 900km]</v>
      </c>
      <c r="F182" s="77" t="str">
        <f t="shared" si="72"/>
        <v>&lt; 500V</v>
      </c>
      <c r="G182" s="77" t="str">
        <f t="shared" si="68"/>
        <v>Municflex_Local Authority_[&gt; 900km]_&lt; 500V</v>
      </c>
      <c r="H182" s="77" t="s">
        <v>484</v>
      </c>
      <c r="I182" s="106">
        <f t="shared" ref="I182:N182" si="84">I149</f>
        <v>781.01</v>
      </c>
      <c r="J182" s="106">
        <f t="shared" si="84"/>
        <v>195.25</v>
      </c>
      <c r="K182" s="106">
        <f t="shared" si="84"/>
        <v>130.16999999999999</v>
      </c>
      <c r="L182" s="106">
        <f t="shared" si="84"/>
        <v>324.11</v>
      </c>
      <c r="M182" s="106">
        <f t="shared" si="84"/>
        <v>182.24</v>
      </c>
      <c r="N182" s="106">
        <f t="shared" si="84"/>
        <v>130.16999999999999</v>
      </c>
      <c r="O182" s="307">
        <v>0</v>
      </c>
      <c r="P182" s="307">
        <v>0</v>
      </c>
      <c r="Q182" s="307">
        <v>0</v>
      </c>
      <c r="R182" s="307">
        <v>0</v>
      </c>
      <c r="S182" s="106">
        <f t="shared" si="71"/>
        <v>12.24</v>
      </c>
      <c r="T182" s="106">
        <v>0</v>
      </c>
      <c r="U182" s="106">
        <v>5.0599999999999996</v>
      </c>
      <c r="V182" s="106">
        <v>25.42</v>
      </c>
    </row>
    <row r="183" spans="3:22" ht="13.8">
      <c r="C183" s="77" t="s">
        <v>465</v>
      </c>
      <c r="D183" s="77" t="s">
        <v>71</v>
      </c>
      <c r="E183" s="77" t="str">
        <f t="shared" si="72"/>
        <v>[&gt; 900km]</v>
      </c>
      <c r="F183" s="77" t="str">
        <f t="shared" si="72"/>
        <v>≥ 500V &amp; &lt; 66kV</v>
      </c>
      <c r="G183" s="77" t="str">
        <f t="shared" si="68"/>
        <v>Municflex_Local Authority_[&gt; 900km]_≥ 500V &amp; &lt; 66kV</v>
      </c>
      <c r="H183" s="77" t="s">
        <v>485</v>
      </c>
      <c r="I183" s="106">
        <f t="shared" ref="I183:N183" si="85">I150</f>
        <v>756.32</v>
      </c>
      <c r="J183" s="106">
        <f t="shared" si="85"/>
        <v>189.07</v>
      </c>
      <c r="K183" s="106">
        <f t="shared" si="85"/>
        <v>126.06</v>
      </c>
      <c r="L183" s="106">
        <f t="shared" si="85"/>
        <v>313.87</v>
      </c>
      <c r="M183" s="106">
        <f t="shared" si="85"/>
        <v>176.47</v>
      </c>
      <c r="N183" s="106">
        <f t="shared" si="85"/>
        <v>126.06</v>
      </c>
      <c r="O183" s="307">
        <v>0</v>
      </c>
      <c r="P183" s="307">
        <v>0</v>
      </c>
      <c r="Q183" s="307">
        <v>0</v>
      </c>
      <c r="R183" s="307">
        <v>0</v>
      </c>
      <c r="S183" s="106">
        <f t="shared" si="71"/>
        <v>11.72</v>
      </c>
      <c r="T183" s="106">
        <v>0</v>
      </c>
      <c r="U183" s="106">
        <v>11.72</v>
      </c>
      <c r="V183" s="106">
        <v>24.63</v>
      </c>
    </row>
    <row r="184" spans="3:22" ht="13.8">
      <c r="C184" s="77" t="s">
        <v>465</v>
      </c>
      <c r="D184" s="77" t="s">
        <v>71</v>
      </c>
      <c r="E184" s="77" t="str">
        <f t="shared" si="72"/>
        <v>[&gt; 900km]</v>
      </c>
      <c r="F184" s="77" t="str">
        <f t="shared" si="72"/>
        <v>≥ 66kV &amp; ≤ 132kV</v>
      </c>
      <c r="G184" s="77" t="str">
        <f t="shared" si="68"/>
        <v>Municflex_Local Authority_[&gt; 900km]_≥ 66kV &amp; ≤ 132kV</v>
      </c>
      <c r="H184" s="77" t="s">
        <v>486</v>
      </c>
      <c r="I184" s="106">
        <f t="shared" ref="I184:N184" si="86">I151</f>
        <v>700.77</v>
      </c>
      <c r="J184" s="106">
        <f t="shared" si="86"/>
        <v>175.19</v>
      </c>
      <c r="K184" s="106">
        <f t="shared" si="86"/>
        <v>116.79</v>
      </c>
      <c r="L184" s="106">
        <f t="shared" si="86"/>
        <v>290.81</v>
      </c>
      <c r="M184" s="106">
        <f t="shared" si="86"/>
        <v>163.52000000000001</v>
      </c>
      <c r="N184" s="106">
        <f t="shared" si="86"/>
        <v>116.79</v>
      </c>
      <c r="O184" s="307">
        <v>0</v>
      </c>
      <c r="P184" s="307">
        <v>0</v>
      </c>
      <c r="Q184" s="307">
        <v>0</v>
      </c>
      <c r="R184" s="307">
        <v>0</v>
      </c>
      <c r="S184" s="106">
        <f t="shared" si="71"/>
        <v>10.67</v>
      </c>
      <c r="T184" s="106">
        <v>0</v>
      </c>
      <c r="U184" s="106">
        <v>9.82</v>
      </c>
      <c r="V184" s="106">
        <v>22.82</v>
      </c>
    </row>
    <row r="185" spans="3:22" ht="13.8">
      <c r="C185" s="77" t="s">
        <v>465</v>
      </c>
      <c r="D185" s="77" t="s">
        <v>71</v>
      </c>
      <c r="E185" s="77" t="str">
        <f t="shared" si="72"/>
        <v>[&gt; 900km]</v>
      </c>
      <c r="F185" s="77" t="str">
        <f t="shared" si="72"/>
        <v>&gt; 132kV</v>
      </c>
      <c r="G185" s="77" t="str">
        <f t="shared" si="68"/>
        <v>Municflex_Local Authority_[&gt; 900km]_&gt; 132kV</v>
      </c>
      <c r="H185" s="77" t="s">
        <v>487</v>
      </c>
      <c r="I185" s="106">
        <f t="shared" ref="I185:N185" si="87">I152</f>
        <v>653.45000000000005</v>
      </c>
      <c r="J185" s="106">
        <f t="shared" si="87"/>
        <v>163.37</v>
      </c>
      <c r="K185" s="106">
        <f t="shared" si="87"/>
        <v>108.9</v>
      </c>
      <c r="L185" s="106">
        <f t="shared" si="87"/>
        <v>271.19</v>
      </c>
      <c r="M185" s="106">
        <f t="shared" si="87"/>
        <v>152.46</v>
      </c>
      <c r="N185" s="106">
        <f t="shared" si="87"/>
        <v>108.9</v>
      </c>
      <c r="O185" s="307">
        <v>0</v>
      </c>
      <c r="P185" s="307">
        <v>0</v>
      </c>
      <c r="Q185" s="307">
        <v>0</v>
      </c>
      <c r="R185" s="307">
        <v>0</v>
      </c>
      <c r="S185" s="106">
        <f t="shared" si="71"/>
        <v>18.64</v>
      </c>
      <c r="T185" s="106">
        <v>0</v>
      </c>
      <c r="U185" s="106">
        <v>10.85</v>
      </c>
      <c r="V185" s="106">
        <v>21.27</v>
      </c>
    </row>
    <row r="186" spans="3:22" ht="13.8">
      <c r="C186" s="77"/>
      <c r="D186" s="77"/>
      <c r="E186" s="77"/>
      <c r="F186" s="77"/>
      <c r="G186" s="77"/>
      <c r="H186" s="77"/>
      <c r="I186" s="77"/>
      <c r="J186" s="77"/>
      <c r="K186" s="77"/>
      <c r="L186" s="77"/>
      <c r="M186" s="77"/>
      <c r="N186" s="77"/>
      <c r="O186" s="77"/>
      <c r="P186" s="77"/>
      <c r="Q186" s="77"/>
      <c r="R186" s="77"/>
      <c r="S186" s="77"/>
      <c r="T186" s="77"/>
      <c r="U186" s="77"/>
      <c r="V186" s="77"/>
    </row>
    <row r="187" spans="3:22" ht="13.8">
      <c r="C187" s="77" t="s">
        <v>44</v>
      </c>
      <c r="D187" s="77" t="s">
        <v>72</v>
      </c>
      <c r="E187" s="77" t="s">
        <v>67</v>
      </c>
      <c r="F187" s="77" t="s">
        <v>62</v>
      </c>
      <c r="G187" s="77" t="str">
        <f t="shared" ref="G187:G218" si="88">C187&amp;"_"&amp;D187&amp;"_"&amp;E187&amp;"_"&amp;F187</f>
        <v>Nightsave Rural_Non-Local Authority_[0 - 300km]_&lt; 500V</v>
      </c>
      <c r="H187" s="77" t="str">
        <f>'Rates LPU Energy - Current'!H187</f>
        <v>NR01N</v>
      </c>
      <c r="I187" s="85" t="s">
        <v>118</v>
      </c>
      <c r="J187" s="85" t="s">
        <v>118</v>
      </c>
      <c r="K187" s="85" t="s">
        <v>118</v>
      </c>
      <c r="L187" s="85" t="s">
        <v>118</v>
      </c>
      <c r="M187" s="85" t="s">
        <v>118</v>
      </c>
      <c r="N187" s="85" t="s">
        <v>118</v>
      </c>
      <c r="O187" s="106">
        <v>165.97</v>
      </c>
      <c r="P187" s="106">
        <v>159.53</v>
      </c>
      <c r="Q187" s="106">
        <v>444.28</v>
      </c>
      <c r="R187" s="106">
        <v>103.96</v>
      </c>
      <c r="S187" s="85" t="s">
        <v>118</v>
      </c>
      <c r="T187" s="106">
        <v>56.6</v>
      </c>
      <c r="U187" s="106">
        <v>5.07</v>
      </c>
      <c r="V187" s="106">
        <v>25.01</v>
      </c>
    </row>
    <row r="188" spans="3:22" ht="13.8">
      <c r="C188" s="77" t="str">
        <f>C187</f>
        <v>Nightsave Rural</v>
      </c>
      <c r="D188" s="77" t="s">
        <v>72</v>
      </c>
      <c r="E188" s="77" t="s">
        <v>67</v>
      </c>
      <c r="F188" s="77" t="s">
        <v>63</v>
      </c>
      <c r="G188" s="77" t="str">
        <f t="shared" si="88"/>
        <v>Nightsave Rural_Non-Local Authority_[0 - 300km]_≥ 500V &amp; &lt; 66kV</v>
      </c>
      <c r="H188" s="77" t="str">
        <f>'Rates LPU Energy - Current'!H188</f>
        <v>NR02N</v>
      </c>
      <c r="I188" s="85" t="s">
        <v>118</v>
      </c>
      <c r="J188" s="85" t="s">
        <v>118</v>
      </c>
      <c r="K188" s="85" t="s">
        <v>118</v>
      </c>
      <c r="L188" s="85" t="s">
        <v>118</v>
      </c>
      <c r="M188" s="85" t="s">
        <v>118</v>
      </c>
      <c r="N188" s="85" t="s">
        <v>118</v>
      </c>
      <c r="O188" s="106">
        <v>163.03</v>
      </c>
      <c r="P188" s="106">
        <v>156.71</v>
      </c>
      <c r="Q188" s="106">
        <v>436.43</v>
      </c>
      <c r="R188" s="106">
        <v>102.11</v>
      </c>
      <c r="S188" s="85" t="s">
        <v>118</v>
      </c>
      <c r="T188" s="106">
        <v>52.55</v>
      </c>
      <c r="U188" s="106">
        <v>7.63</v>
      </c>
      <c r="V188" s="106">
        <v>24.57</v>
      </c>
    </row>
    <row r="189" spans="3:22" ht="13.8">
      <c r="C189" s="77" t="str">
        <f>C188</f>
        <v>Nightsave Rural</v>
      </c>
      <c r="D189" s="77" t="s">
        <v>72</v>
      </c>
      <c r="E189" s="77" t="s">
        <v>67</v>
      </c>
      <c r="F189" s="77" t="s">
        <v>64</v>
      </c>
      <c r="G189" s="77" t="str">
        <f t="shared" si="88"/>
        <v>Nightsave Rural_Non-Local Authority_[0 - 300km]_≥ 66kV &amp; ≤ 132kV</v>
      </c>
      <c r="H189" s="77" t="str">
        <f>'Rates LPU Energy - Current'!H189</f>
        <v>NR03N</v>
      </c>
      <c r="I189" s="85" t="s">
        <v>118</v>
      </c>
      <c r="J189" s="85" t="s">
        <v>118</v>
      </c>
      <c r="K189" s="85" t="s">
        <v>118</v>
      </c>
      <c r="L189" s="85" t="s">
        <v>118</v>
      </c>
      <c r="M189" s="85" t="s">
        <v>118</v>
      </c>
      <c r="N189" s="85" t="s">
        <v>118</v>
      </c>
      <c r="O189" s="106">
        <v>0</v>
      </c>
      <c r="P189" s="106">
        <v>0</v>
      </c>
      <c r="Q189" s="106">
        <v>0</v>
      </c>
      <c r="R189" s="106">
        <v>0</v>
      </c>
      <c r="S189" s="85" t="s">
        <v>118</v>
      </c>
      <c r="T189" s="106">
        <v>0</v>
      </c>
      <c r="U189" s="106">
        <v>0</v>
      </c>
      <c r="V189" s="106">
        <v>0</v>
      </c>
    </row>
    <row r="190" spans="3:22" ht="13.8">
      <c r="C190" s="77" t="str">
        <f>C189</f>
        <v>Nightsave Rural</v>
      </c>
      <c r="D190" s="77" t="s">
        <v>72</v>
      </c>
      <c r="E190" s="77" t="s">
        <v>67</v>
      </c>
      <c r="F190" s="77" t="s">
        <v>65</v>
      </c>
      <c r="G190" s="77" t="str">
        <f t="shared" si="88"/>
        <v>Nightsave Rural_Non-Local Authority_[0 - 300km]_&gt; 132kV</v>
      </c>
      <c r="H190" s="77" t="str">
        <f>'Rates LPU Energy - Current'!H190</f>
        <v>NR04N</v>
      </c>
      <c r="I190" s="85" t="s">
        <v>118</v>
      </c>
      <c r="J190" s="85" t="s">
        <v>118</v>
      </c>
      <c r="K190" s="85" t="s">
        <v>118</v>
      </c>
      <c r="L190" s="85" t="s">
        <v>118</v>
      </c>
      <c r="M190" s="85" t="s">
        <v>118</v>
      </c>
      <c r="N190" s="85" t="s">
        <v>118</v>
      </c>
      <c r="O190" s="106">
        <v>0</v>
      </c>
      <c r="P190" s="106">
        <v>0</v>
      </c>
      <c r="Q190" s="106">
        <v>0</v>
      </c>
      <c r="R190" s="106">
        <v>0</v>
      </c>
      <c r="S190" s="85" t="s">
        <v>118</v>
      </c>
      <c r="T190" s="106">
        <v>0</v>
      </c>
      <c r="U190" s="106">
        <v>0</v>
      </c>
      <c r="V190" s="106">
        <v>0</v>
      </c>
    </row>
    <row r="191" spans="3:22" ht="13.8">
      <c r="C191" s="77" t="str">
        <f>C190</f>
        <v>Nightsave Rural</v>
      </c>
      <c r="D191" s="77" t="s">
        <v>72</v>
      </c>
      <c r="E191" s="77" t="s">
        <v>68</v>
      </c>
      <c r="F191" s="77" t="s">
        <v>62</v>
      </c>
      <c r="G191" s="77" t="str">
        <f t="shared" si="88"/>
        <v>Nightsave Rural_Non-Local Authority_[301 - 600km]_&lt; 500V</v>
      </c>
      <c r="H191" s="77" t="str">
        <f>'Rates LPU Energy - Current'!H191</f>
        <v>NR11N</v>
      </c>
      <c r="I191" s="85" t="s">
        <v>118</v>
      </c>
      <c r="J191" s="85" t="s">
        <v>118</v>
      </c>
      <c r="K191" s="85" t="s">
        <v>118</v>
      </c>
      <c r="L191" s="85" t="s">
        <v>118</v>
      </c>
      <c r="M191" s="85" t="s">
        <v>118</v>
      </c>
      <c r="N191" s="85" t="s">
        <v>118</v>
      </c>
      <c r="O191" s="106">
        <v>167.62</v>
      </c>
      <c r="P191" s="106">
        <v>161.12</v>
      </c>
      <c r="Q191" s="106">
        <v>448.7</v>
      </c>
      <c r="R191" s="106">
        <v>105</v>
      </c>
      <c r="S191" s="85" t="s">
        <v>118</v>
      </c>
      <c r="T191" s="106">
        <v>56.71</v>
      </c>
      <c r="U191" s="106">
        <v>5.07</v>
      </c>
      <c r="V191" s="106">
        <v>25.01</v>
      </c>
    </row>
    <row r="192" spans="3:22" ht="13.8">
      <c r="C192" s="77" t="str">
        <f t="shared" ref="C192:C202" si="89">C191</f>
        <v>Nightsave Rural</v>
      </c>
      <c r="D192" s="77" t="s">
        <v>72</v>
      </c>
      <c r="E192" s="77" t="s">
        <v>68</v>
      </c>
      <c r="F192" s="77" t="s">
        <v>63</v>
      </c>
      <c r="G192" s="77" t="str">
        <f t="shared" si="88"/>
        <v>Nightsave Rural_Non-Local Authority_[301 - 600km]_≥ 500V &amp; &lt; 66kV</v>
      </c>
      <c r="H192" s="77" t="str">
        <f>'Rates LPU Energy - Current'!H192</f>
        <v>NR12N</v>
      </c>
      <c r="I192" s="85" t="s">
        <v>118</v>
      </c>
      <c r="J192" s="85" t="s">
        <v>118</v>
      </c>
      <c r="K192" s="85" t="s">
        <v>118</v>
      </c>
      <c r="L192" s="85" t="s">
        <v>118</v>
      </c>
      <c r="M192" s="85" t="s">
        <v>118</v>
      </c>
      <c r="N192" s="85" t="s">
        <v>118</v>
      </c>
      <c r="O192" s="106">
        <v>164.65</v>
      </c>
      <c r="P192" s="106">
        <v>158.27000000000001</v>
      </c>
      <c r="Q192" s="106">
        <v>440.76</v>
      </c>
      <c r="R192" s="106">
        <v>103.14</v>
      </c>
      <c r="S192" s="85" t="s">
        <v>118</v>
      </c>
      <c r="T192" s="106">
        <v>52.66</v>
      </c>
      <c r="U192" s="106">
        <v>7.63</v>
      </c>
      <c r="V192" s="106">
        <v>24.57</v>
      </c>
    </row>
    <row r="193" spans="3:22" ht="13.8">
      <c r="C193" s="77" t="str">
        <f t="shared" si="89"/>
        <v>Nightsave Rural</v>
      </c>
      <c r="D193" s="77" t="s">
        <v>72</v>
      </c>
      <c r="E193" s="77" t="s">
        <v>68</v>
      </c>
      <c r="F193" s="77" t="s">
        <v>64</v>
      </c>
      <c r="G193" s="77" t="str">
        <f t="shared" si="88"/>
        <v>Nightsave Rural_Non-Local Authority_[301 - 600km]_≥ 66kV &amp; ≤ 132kV</v>
      </c>
      <c r="H193" s="77" t="str">
        <f>'Rates LPU Energy - Current'!H193</f>
        <v>NR13N</v>
      </c>
      <c r="I193" s="85" t="s">
        <v>118</v>
      </c>
      <c r="J193" s="85" t="s">
        <v>118</v>
      </c>
      <c r="K193" s="85" t="s">
        <v>118</v>
      </c>
      <c r="L193" s="85" t="s">
        <v>118</v>
      </c>
      <c r="M193" s="85" t="s">
        <v>118</v>
      </c>
      <c r="N193" s="85" t="s">
        <v>118</v>
      </c>
      <c r="O193" s="106">
        <v>0</v>
      </c>
      <c r="P193" s="106">
        <v>0</v>
      </c>
      <c r="Q193" s="106">
        <v>0</v>
      </c>
      <c r="R193" s="106">
        <v>0</v>
      </c>
      <c r="S193" s="85" t="s">
        <v>118</v>
      </c>
      <c r="T193" s="106">
        <v>0</v>
      </c>
      <c r="U193" s="106">
        <v>0</v>
      </c>
      <c r="V193" s="106">
        <v>0</v>
      </c>
    </row>
    <row r="194" spans="3:22" ht="13.8">
      <c r="C194" s="77" t="str">
        <f t="shared" si="89"/>
        <v>Nightsave Rural</v>
      </c>
      <c r="D194" s="77" t="s">
        <v>72</v>
      </c>
      <c r="E194" s="77" t="s">
        <v>68</v>
      </c>
      <c r="F194" s="77" t="s">
        <v>65</v>
      </c>
      <c r="G194" s="77" t="str">
        <f t="shared" si="88"/>
        <v>Nightsave Rural_Non-Local Authority_[301 - 600km]_&gt; 132kV</v>
      </c>
      <c r="H194" s="77" t="str">
        <f>'Rates LPU Energy - Current'!H194</f>
        <v>NR14N</v>
      </c>
      <c r="I194" s="85" t="s">
        <v>118</v>
      </c>
      <c r="J194" s="85" t="s">
        <v>118</v>
      </c>
      <c r="K194" s="85" t="s">
        <v>118</v>
      </c>
      <c r="L194" s="85" t="s">
        <v>118</v>
      </c>
      <c r="M194" s="85" t="s">
        <v>118</v>
      </c>
      <c r="N194" s="85" t="s">
        <v>118</v>
      </c>
      <c r="O194" s="106">
        <v>0</v>
      </c>
      <c r="P194" s="106">
        <v>0</v>
      </c>
      <c r="Q194" s="106">
        <v>0</v>
      </c>
      <c r="R194" s="106">
        <v>0</v>
      </c>
      <c r="S194" s="85" t="s">
        <v>118</v>
      </c>
      <c r="T194" s="106">
        <v>0</v>
      </c>
      <c r="U194" s="106">
        <v>0</v>
      </c>
      <c r="V194" s="106">
        <v>0</v>
      </c>
    </row>
    <row r="195" spans="3:22" ht="13.8">
      <c r="C195" s="77" t="str">
        <f t="shared" si="89"/>
        <v>Nightsave Rural</v>
      </c>
      <c r="D195" s="77" t="s">
        <v>72</v>
      </c>
      <c r="E195" s="77" t="s">
        <v>69</v>
      </c>
      <c r="F195" s="77" t="s">
        <v>62</v>
      </c>
      <c r="G195" s="77" t="str">
        <f t="shared" si="88"/>
        <v>Nightsave Rural_Non-Local Authority_[601 - 900km]_&lt; 500V</v>
      </c>
      <c r="H195" s="77" t="str">
        <f>'Rates LPU Energy - Current'!H195</f>
        <v>NR21N</v>
      </c>
      <c r="I195" s="85" t="s">
        <v>118</v>
      </c>
      <c r="J195" s="85" t="s">
        <v>118</v>
      </c>
      <c r="K195" s="85" t="s">
        <v>118</v>
      </c>
      <c r="L195" s="85" t="s">
        <v>118</v>
      </c>
      <c r="M195" s="85" t="s">
        <v>118</v>
      </c>
      <c r="N195" s="85" t="s">
        <v>118</v>
      </c>
      <c r="O195" s="106">
        <v>169.27</v>
      </c>
      <c r="P195" s="106">
        <v>162.72999999999999</v>
      </c>
      <c r="Q195" s="106">
        <v>453.16</v>
      </c>
      <c r="R195" s="106">
        <v>106.04</v>
      </c>
      <c r="S195" s="85" t="s">
        <v>118</v>
      </c>
      <c r="T195" s="106">
        <v>56.83</v>
      </c>
      <c r="U195" s="106">
        <v>5.07</v>
      </c>
      <c r="V195" s="106">
        <v>25.01</v>
      </c>
    </row>
    <row r="196" spans="3:22" ht="13.8">
      <c r="C196" s="77" t="str">
        <f t="shared" si="89"/>
        <v>Nightsave Rural</v>
      </c>
      <c r="D196" s="77" t="s">
        <v>72</v>
      </c>
      <c r="E196" s="77" t="s">
        <v>69</v>
      </c>
      <c r="F196" s="77" t="s">
        <v>63</v>
      </c>
      <c r="G196" s="77" t="str">
        <f t="shared" si="88"/>
        <v>Nightsave Rural_Non-Local Authority_[601 - 900km]_≥ 500V &amp; &lt; 66kV</v>
      </c>
      <c r="H196" s="77" t="str">
        <f>'Rates LPU Energy - Current'!H196</f>
        <v>NR22N</v>
      </c>
      <c r="I196" s="85" t="s">
        <v>118</v>
      </c>
      <c r="J196" s="85" t="s">
        <v>118</v>
      </c>
      <c r="K196" s="85" t="s">
        <v>118</v>
      </c>
      <c r="L196" s="85" t="s">
        <v>118</v>
      </c>
      <c r="M196" s="85" t="s">
        <v>118</v>
      </c>
      <c r="N196" s="85" t="s">
        <v>118</v>
      </c>
      <c r="O196" s="106">
        <v>166.28</v>
      </c>
      <c r="P196" s="106">
        <v>159.84</v>
      </c>
      <c r="Q196" s="106">
        <v>445.14</v>
      </c>
      <c r="R196" s="106">
        <v>104.16</v>
      </c>
      <c r="S196" s="85" t="s">
        <v>118</v>
      </c>
      <c r="T196" s="106">
        <v>52.78</v>
      </c>
      <c r="U196" s="106">
        <v>7.63</v>
      </c>
      <c r="V196" s="106">
        <v>24.57</v>
      </c>
    </row>
    <row r="197" spans="3:22" ht="13.8">
      <c r="C197" s="77" t="str">
        <f t="shared" si="89"/>
        <v>Nightsave Rural</v>
      </c>
      <c r="D197" s="77" t="s">
        <v>72</v>
      </c>
      <c r="E197" s="77" t="s">
        <v>69</v>
      </c>
      <c r="F197" s="77" t="s">
        <v>64</v>
      </c>
      <c r="G197" s="77" t="str">
        <f t="shared" si="88"/>
        <v>Nightsave Rural_Non-Local Authority_[601 - 900km]_≥ 66kV &amp; ≤ 132kV</v>
      </c>
      <c r="H197" s="77" t="str">
        <f>'Rates LPU Energy - Current'!H197</f>
        <v>NR23N</v>
      </c>
      <c r="I197" s="85" t="s">
        <v>118</v>
      </c>
      <c r="J197" s="85" t="s">
        <v>118</v>
      </c>
      <c r="K197" s="85" t="s">
        <v>118</v>
      </c>
      <c r="L197" s="85" t="s">
        <v>118</v>
      </c>
      <c r="M197" s="85" t="s">
        <v>118</v>
      </c>
      <c r="N197" s="85" t="s">
        <v>118</v>
      </c>
      <c r="O197" s="106">
        <v>0</v>
      </c>
      <c r="P197" s="106">
        <v>0</v>
      </c>
      <c r="Q197" s="106">
        <v>0</v>
      </c>
      <c r="R197" s="106">
        <v>0</v>
      </c>
      <c r="S197" s="85" t="s">
        <v>118</v>
      </c>
      <c r="T197" s="106">
        <v>0</v>
      </c>
      <c r="U197" s="106">
        <v>0</v>
      </c>
      <c r="V197" s="106">
        <v>0</v>
      </c>
    </row>
    <row r="198" spans="3:22" ht="13.8">
      <c r="C198" s="77" t="str">
        <f t="shared" si="89"/>
        <v>Nightsave Rural</v>
      </c>
      <c r="D198" s="77" t="s">
        <v>72</v>
      </c>
      <c r="E198" s="77" t="s">
        <v>69</v>
      </c>
      <c r="F198" s="77" t="s">
        <v>65</v>
      </c>
      <c r="G198" s="77" t="str">
        <f t="shared" si="88"/>
        <v>Nightsave Rural_Non-Local Authority_[601 - 900km]_&gt; 132kV</v>
      </c>
      <c r="H198" s="77" t="str">
        <f>'Rates LPU Energy - Current'!H198</f>
        <v>NR24N</v>
      </c>
      <c r="I198" s="85" t="s">
        <v>118</v>
      </c>
      <c r="J198" s="85" t="s">
        <v>118</v>
      </c>
      <c r="K198" s="85" t="s">
        <v>118</v>
      </c>
      <c r="L198" s="85" t="s">
        <v>118</v>
      </c>
      <c r="M198" s="85" t="s">
        <v>118</v>
      </c>
      <c r="N198" s="85" t="s">
        <v>118</v>
      </c>
      <c r="O198" s="106">
        <v>0</v>
      </c>
      <c r="P198" s="106">
        <v>0</v>
      </c>
      <c r="Q198" s="106">
        <v>0</v>
      </c>
      <c r="R198" s="106">
        <v>0</v>
      </c>
      <c r="S198" s="85" t="s">
        <v>118</v>
      </c>
      <c r="T198" s="106">
        <v>0</v>
      </c>
      <c r="U198" s="106">
        <v>0</v>
      </c>
      <c r="V198" s="106">
        <v>0</v>
      </c>
    </row>
    <row r="199" spans="3:22" ht="13.8">
      <c r="C199" s="77" t="str">
        <f t="shared" si="89"/>
        <v>Nightsave Rural</v>
      </c>
      <c r="D199" s="77" t="s">
        <v>72</v>
      </c>
      <c r="E199" s="77" t="s">
        <v>70</v>
      </c>
      <c r="F199" s="77" t="s">
        <v>62</v>
      </c>
      <c r="G199" s="77" t="str">
        <f t="shared" si="88"/>
        <v>Nightsave Rural_Non-Local Authority_[&gt; 900km]_&lt; 500V</v>
      </c>
      <c r="H199" s="77" t="str">
        <f>'Rates LPU Energy - Current'!H199</f>
        <v>NR31N</v>
      </c>
      <c r="I199" s="85" t="s">
        <v>118</v>
      </c>
      <c r="J199" s="85" t="s">
        <v>118</v>
      </c>
      <c r="K199" s="85" t="s">
        <v>118</v>
      </c>
      <c r="L199" s="85" t="s">
        <v>118</v>
      </c>
      <c r="M199" s="85" t="s">
        <v>118</v>
      </c>
      <c r="N199" s="85" t="s">
        <v>118</v>
      </c>
      <c r="O199" s="106">
        <v>170.93</v>
      </c>
      <c r="P199" s="106">
        <v>164.3</v>
      </c>
      <c r="Q199" s="106">
        <v>457.58</v>
      </c>
      <c r="R199" s="106">
        <v>107.06</v>
      </c>
      <c r="S199" s="85" t="s">
        <v>118</v>
      </c>
      <c r="T199" s="106">
        <v>56.95</v>
      </c>
      <c r="U199" s="106">
        <v>5.07</v>
      </c>
      <c r="V199" s="106">
        <v>25.01</v>
      </c>
    </row>
    <row r="200" spans="3:22" ht="13.8">
      <c r="C200" s="77" t="str">
        <f t="shared" si="89"/>
        <v>Nightsave Rural</v>
      </c>
      <c r="D200" s="77" t="s">
        <v>72</v>
      </c>
      <c r="E200" s="77" t="s">
        <v>70</v>
      </c>
      <c r="F200" s="77" t="s">
        <v>63</v>
      </c>
      <c r="G200" s="77" t="str">
        <f t="shared" si="88"/>
        <v>Nightsave Rural_Non-Local Authority_[&gt; 900km]_≥ 500V &amp; &lt; 66kV</v>
      </c>
      <c r="H200" s="77" t="str">
        <f>'Rates LPU Energy - Current'!H200</f>
        <v>NR32N</v>
      </c>
      <c r="I200" s="85" t="s">
        <v>118</v>
      </c>
      <c r="J200" s="85" t="s">
        <v>118</v>
      </c>
      <c r="K200" s="85" t="s">
        <v>118</v>
      </c>
      <c r="L200" s="85" t="s">
        <v>118</v>
      </c>
      <c r="M200" s="85" t="s">
        <v>118</v>
      </c>
      <c r="N200" s="85" t="s">
        <v>118</v>
      </c>
      <c r="O200" s="106">
        <v>167.9</v>
      </c>
      <c r="P200" s="106">
        <v>161.4</v>
      </c>
      <c r="Q200" s="106">
        <v>449.48</v>
      </c>
      <c r="R200" s="106">
        <v>105.18</v>
      </c>
      <c r="S200" s="85" t="s">
        <v>118</v>
      </c>
      <c r="T200" s="106">
        <v>52.9</v>
      </c>
      <c r="U200" s="106">
        <v>7.63</v>
      </c>
      <c r="V200" s="106">
        <v>24.57</v>
      </c>
    </row>
    <row r="201" spans="3:22" ht="13.8">
      <c r="C201" s="77" t="str">
        <f t="shared" si="89"/>
        <v>Nightsave Rural</v>
      </c>
      <c r="D201" s="77" t="s">
        <v>72</v>
      </c>
      <c r="E201" s="77" t="s">
        <v>70</v>
      </c>
      <c r="F201" s="77" t="s">
        <v>64</v>
      </c>
      <c r="G201" s="77" t="str">
        <f t="shared" si="88"/>
        <v>Nightsave Rural_Non-Local Authority_[&gt; 900km]_≥ 66kV &amp; ≤ 132kV</v>
      </c>
      <c r="H201" s="77" t="str">
        <f>'Rates LPU Energy - Current'!H201</f>
        <v>NR33N</v>
      </c>
      <c r="I201" s="85" t="s">
        <v>118</v>
      </c>
      <c r="J201" s="85" t="s">
        <v>118</v>
      </c>
      <c r="K201" s="85" t="s">
        <v>118</v>
      </c>
      <c r="L201" s="85" t="s">
        <v>118</v>
      </c>
      <c r="M201" s="85" t="s">
        <v>118</v>
      </c>
      <c r="N201" s="85" t="s">
        <v>118</v>
      </c>
      <c r="O201" s="106">
        <v>0</v>
      </c>
      <c r="P201" s="106">
        <v>0</v>
      </c>
      <c r="Q201" s="106">
        <v>0</v>
      </c>
      <c r="R201" s="106">
        <v>0</v>
      </c>
      <c r="S201" s="85" t="s">
        <v>118</v>
      </c>
      <c r="T201" s="106">
        <v>0</v>
      </c>
      <c r="U201" s="106">
        <v>0</v>
      </c>
      <c r="V201" s="106">
        <v>0</v>
      </c>
    </row>
    <row r="202" spans="3:22" ht="14.4" thickBot="1">
      <c r="C202" s="77" t="str">
        <f t="shared" si="89"/>
        <v>Nightsave Rural</v>
      </c>
      <c r="D202" s="77" t="s">
        <v>72</v>
      </c>
      <c r="E202" s="77" t="s">
        <v>70</v>
      </c>
      <c r="F202" s="77" t="s">
        <v>65</v>
      </c>
      <c r="G202" s="77" t="str">
        <f t="shared" si="88"/>
        <v>Nightsave Rural_Non-Local Authority_[&gt; 900km]_&gt; 132kV</v>
      </c>
      <c r="H202" s="77" t="str">
        <f>'Rates LPU Energy - Current'!H202</f>
        <v>NR34N</v>
      </c>
      <c r="I202" s="238" t="s">
        <v>118</v>
      </c>
      <c r="J202" s="238" t="s">
        <v>118</v>
      </c>
      <c r="K202" s="238" t="s">
        <v>118</v>
      </c>
      <c r="L202" s="238" t="s">
        <v>118</v>
      </c>
      <c r="M202" s="238" t="s">
        <v>118</v>
      </c>
      <c r="N202" s="238" t="s">
        <v>118</v>
      </c>
      <c r="O202" s="237">
        <v>0</v>
      </c>
      <c r="P202" s="237">
        <v>0</v>
      </c>
      <c r="Q202" s="237">
        <v>0</v>
      </c>
      <c r="R202" s="237">
        <v>0</v>
      </c>
      <c r="S202" s="238" t="s">
        <v>118</v>
      </c>
      <c r="T202" s="237">
        <v>0</v>
      </c>
      <c r="U202" s="237">
        <v>0</v>
      </c>
      <c r="V202" s="237">
        <v>0</v>
      </c>
    </row>
    <row r="203" spans="3:22" ht="13.8">
      <c r="C203" s="239" t="s">
        <v>465</v>
      </c>
      <c r="D203" s="239" t="s">
        <v>71</v>
      </c>
      <c r="E203" s="239" t="str">
        <f t="shared" ref="E203:F218" si="90">E187</f>
        <v>[0 - 300km]</v>
      </c>
      <c r="F203" s="239" t="str">
        <f t="shared" si="90"/>
        <v>&lt; 500V</v>
      </c>
      <c r="G203" s="239" t="str">
        <f t="shared" si="88"/>
        <v>Municflex_Local Authority_[0 - 300km]_&lt; 500V</v>
      </c>
      <c r="H203" s="239" t="s">
        <v>472</v>
      </c>
      <c r="I203" s="240">
        <f t="shared" ref="I203:N203" si="91">I170</f>
        <v>754.92</v>
      </c>
      <c r="J203" s="240">
        <f t="shared" si="91"/>
        <v>188.7</v>
      </c>
      <c r="K203" s="240">
        <f t="shared" si="91"/>
        <v>125.84</v>
      </c>
      <c r="L203" s="240">
        <f t="shared" si="91"/>
        <v>313.35000000000002</v>
      </c>
      <c r="M203" s="240">
        <f t="shared" si="91"/>
        <v>176.16</v>
      </c>
      <c r="N203" s="240">
        <f t="shared" si="91"/>
        <v>125.89</v>
      </c>
      <c r="O203" s="306">
        <v>0</v>
      </c>
      <c r="P203" s="306">
        <v>0</v>
      </c>
      <c r="Q203" s="306">
        <v>0</v>
      </c>
      <c r="R203" s="306">
        <v>0</v>
      </c>
      <c r="S203" s="240">
        <f t="shared" ref="S203:S218" si="92">S170</f>
        <v>11.83</v>
      </c>
      <c r="T203" s="240">
        <v>0</v>
      </c>
      <c r="U203" s="240">
        <v>5.0599999999999996</v>
      </c>
      <c r="V203" s="240">
        <v>25.31</v>
      </c>
    </row>
    <row r="204" spans="3:22" ht="13.8">
      <c r="C204" s="77" t="s">
        <v>465</v>
      </c>
      <c r="D204" s="77" t="s">
        <v>71</v>
      </c>
      <c r="E204" s="77" t="str">
        <f t="shared" si="90"/>
        <v>[0 - 300km]</v>
      </c>
      <c r="F204" s="77" t="str">
        <f t="shared" si="90"/>
        <v>≥ 500V &amp; &lt; 66kV</v>
      </c>
      <c r="G204" s="77" t="str">
        <f t="shared" si="88"/>
        <v>Municflex_Local Authority_[0 - 300km]_≥ 500V &amp; &lt; 66kV</v>
      </c>
      <c r="H204" s="77" t="s">
        <v>473</v>
      </c>
      <c r="I204" s="106">
        <f t="shared" ref="I204:N204" si="93">I171</f>
        <v>733.19</v>
      </c>
      <c r="J204" s="106">
        <f t="shared" si="93"/>
        <v>183.29</v>
      </c>
      <c r="K204" s="106">
        <f t="shared" si="93"/>
        <v>122.2</v>
      </c>
      <c r="L204" s="106">
        <f t="shared" si="93"/>
        <v>304.27999999999997</v>
      </c>
      <c r="M204" s="106">
        <f t="shared" si="93"/>
        <v>171.07</v>
      </c>
      <c r="N204" s="106">
        <f t="shared" si="93"/>
        <v>122.2</v>
      </c>
      <c r="O204" s="307">
        <v>0</v>
      </c>
      <c r="P204" s="307">
        <v>0</v>
      </c>
      <c r="Q204" s="307">
        <v>0</v>
      </c>
      <c r="R204" s="307">
        <v>0</v>
      </c>
      <c r="S204" s="106">
        <f t="shared" si="92"/>
        <v>11.35</v>
      </c>
      <c r="T204" s="106">
        <v>0</v>
      </c>
      <c r="U204" s="106">
        <v>11.72</v>
      </c>
      <c r="V204" s="106">
        <v>24.58</v>
      </c>
    </row>
    <row r="205" spans="3:22" ht="13.8">
      <c r="C205" s="77" t="s">
        <v>465</v>
      </c>
      <c r="D205" s="77" t="s">
        <v>71</v>
      </c>
      <c r="E205" s="77" t="str">
        <f t="shared" si="90"/>
        <v>[0 - 300km]</v>
      </c>
      <c r="F205" s="77" t="str">
        <f t="shared" si="90"/>
        <v>≥ 66kV &amp; ≤ 132kV</v>
      </c>
      <c r="G205" s="77" t="str">
        <f t="shared" si="88"/>
        <v>Municflex_Local Authority_[0 - 300km]_≥ 66kV &amp; ≤ 132kV</v>
      </c>
      <c r="H205" s="77" t="s">
        <v>474</v>
      </c>
      <c r="I205" s="106">
        <f t="shared" ref="I205:N205" si="94">I172</f>
        <v>680.35</v>
      </c>
      <c r="J205" s="106">
        <f t="shared" si="94"/>
        <v>170.09</v>
      </c>
      <c r="K205" s="106">
        <f t="shared" si="94"/>
        <v>113.38</v>
      </c>
      <c r="L205" s="106">
        <f t="shared" si="94"/>
        <v>282.36</v>
      </c>
      <c r="M205" s="106">
        <f t="shared" si="94"/>
        <v>158.76</v>
      </c>
      <c r="N205" s="106">
        <f t="shared" si="94"/>
        <v>113.38</v>
      </c>
      <c r="O205" s="307">
        <v>0</v>
      </c>
      <c r="P205" s="307">
        <v>0</v>
      </c>
      <c r="Q205" s="307">
        <v>0</v>
      </c>
      <c r="R205" s="307">
        <v>0</v>
      </c>
      <c r="S205" s="106">
        <f t="shared" si="92"/>
        <v>10.36</v>
      </c>
      <c r="T205" s="106">
        <v>0</v>
      </c>
      <c r="U205" s="106">
        <v>9.82</v>
      </c>
      <c r="V205" s="106">
        <v>22.82</v>
      </c>
    </row>
    <row r="206" spans="3:22" ht="13.8">
      <c r="C206" s="77" t="s">
        <v>465</v>
      </c>
      <c r="D206" s="77" t="s">
        <v>71</v>
      </c>
      <c r="E206" s="77" t="str">
        <f t="shared" si="90"/>
        <v>[0 - 300km]</v>
      </c>
      <c r="F206" s="77" t="str">
        <f t="shared" si="90"/>
        <v>&gt; 132kV</v>
      </c>
      <c r="G206" s="77" t="str">
        <f t="shared" si="88"/>
        <v>Municflex_Local Authority_[0 - 300km]_&gt; 132kV</v>
      </c>
      <c r="H206" s="77" t="s">
        <v>475</v>
      </c>
      <c r="I206" s="106">
        <f t="shared" ref="I206:N206" si="95">I173</f>
        <v>634.41999999999996</v>
      </c>
      <c r="J206" s="106">
        <f t="shared" si="95"/>
        <v>158.61000000000001</v>
      </c>
      <c r="K206" s="106">
        <f t="shared" si="95"/>
        <v>105.74</v>
      </c>
      <c r="L206" s="106">
        <f t="shared" si="95"/>
        <v>263.3</v>
      </c>
      <c r="M206" s="106">
        <f t="shared" si="95"/>
        <v>148.04</v>
      </c>
      <c r="N206" s="106">
        <f t="shared" si="95"/>
        <v>105.74</v>
      </c>
      <c r="O206" s="307">
        <v>0</v>
      </c>
      <c r="P206" s="307">
        <v>0</v>
      </c>
      <c r="Q206" s="307">
        <v>0</v>
      </c>
      <c r="R206" s="307">
        <v>0</v>
      </c>
      <c r="S206" s="106">
        <f t="shared" si="92"/>
        <v>18.079999999999998</v>
      </c>
      <c r="T206" s="106">
        <v>0</v>
      </c>
      <c r="U206" s="106">
        <v>10.85</v>
      </c>
      <c r="V206" s="106">
        <v>21.27</v>
      </c>
    </row>
    <row r="207" spans="3:22" ht="13.8">
      <c r="C207" s="77" t="s">
        <v>465</v>
      </c>
      <c r="D207" s="77" t="s">
        <v>71</v>
      </c>
      <c r="E207" s="77" t="str">
        <f t="shared" si="90"/>
        <v>[301 - 600km]</v>
      </c>
      <c r="F207" s="77" t="str">
        <f t="shared" si="90"/>
        <v>&lt; 500V</v>
      </c>
      <c r="G207" s="77" t="str">
        <f t="shared" si="88"/>
        <v>Municflex_Local Authority_[301 - 600km]_&lt; 500V</v>
      </c>
      <c r="H207" s="77" t="s">
        <v>476</v>
      </c>
      <c r="I207" s="106">
        <f t="shared" ref="I207:N207" si="96">I174</f>
        <v>765.2</v>
      </c>
      <c r="J207" s="106">
        <f t="shared" si="96"/>
        <v>191.31</v>
      </c>
      <c r="K207" s="106">
        <f t="shared" si="96"/>
        <v>127.55</v>
      </c>
      <c r="L207" s="106">
        <f t="shared" si="96"/>
        <v>317.58</v>
      </c>
      <c r="M207" s="106">
        <f t="shared" si="96"/>
        <v>178.57</v>
      </c>
      <c r="N207" s="106">
        <f t="shared" si="96"/>
        <v>127.55</v>
      </c>
      <c r="O207" s="307">
        <v>0</v>
      </c>
      <c r="P207" s="307">
        <v>0</v>
      </c>
      <c r="Q207" s="307">
        <v>0</v>
      </c>
      <c r="R207" s="307">
        <v>0</v>
      </c>
      <c r="S207" s="106">
        <f t="shared" si="92"/>
        <v>12</v>
      </c>
      <c r="T207" s="106">
        <v>0</v>
      </c>
      <c r="U207" s="106">
        <v>5.0599999999999996</v>
      </c>
      <c r="V207" s="106">
        <v>25.4</v>
      </c>
    </row>
    <row r="208" spans="3:22" ht="13.8">
      <c r="C208" s="77" t="s">
        <v>465</v>
      </c>
      <c r="D208" s="77" t="s">
        <v>71</v>
      </c>
      <c r="E208" s="77" t="str">
        <f t="shared" si="90"/>
        <v>[301 - 600km]</v>
      </c>
      <c r="F208" s="77" t="str">
        <f t="shared" si="90"/>
        <v>≥ 500V &amp; &lt; 66kV</v>
      </c>
      <c r="G208" s="77" t="str">
        <f t="shared" si="88"/>
        <v>Municflex_Local Authority_[301 - 600km]_≥ 500V &amp; &lt; 66kV</v>
      </c>
      <c r="H208" s="77" t="s">
        <v>477</v>
      </c>
      <c r="I208" s="106">
        <f t="shared" ref="I208:N208" si="97">I175</f>
        <v>741.59</v>
      </c>
      <c r="J208" s="106">
        <f t="shared" si="97"/>
        <v>185.41</v>
      </c>
      <c r="K208" s="106">
        <f t="shared" si="97"/>
        <v>123.62</v>
      </c>
      <c r="L208" s="106">
        <f t="shared" si="97"/>
        <v>307.76</v>
      </c>
      <c r="M208" s="106">
        <f t="shared" si="97"/>
        <v>173.05</v>
      </c>
      <c r="N208" s="106">
        <f t="shared" si="97"/>
        <v>123.62</v>
      </c>
      <c r="O208" s="307">
        <v>0</v>
      </c>
      <c r="P208" s="307">
        <v>0</v>
      </c>
      <c r="Q208" s="307">
        <v>0</v>
      </c>
      <c r="R208" s="307">
        <v>0</v>
      </c>
      <c r="S208" s="106">
        <f t="shared" si="92"/>
        <v>11.49</v>
      </c>
      <c r="T208" s="106">
        <v>0</v>
      </c>
      <c r="U208" s="106">
        <v>11.72</v>
      </c>
      <c r="V208" s="106">
        <v>24.63</v>
      </c>
    </row>
    <row r="209" spans="3:22" ht="13.8">
      <c r="C209" s="77" t="s">
        <v>465</v>
      </c>
      <c r="D209" s="77" t="s">
        <v>71</v>
      </c>
      <c r="E209" s="77" t="str">
        <f t="shared" si="90"/>
        <v>[301 - 600km]</v>
      </c>
      <c r="F209" s="77" t="str">
        <f t="shared" si="90"/>
        <v>≥ 66kV &amp; ≤ 132kV</v>
      </c>
      <c r="G209" s="77" t="str">
        <f t="shared" si="88"/>
        <v>Municflex_Local Authority_[301 - 600km]_≥ 66kV &amp; ≤ 132kV</v>
      </c>
      <c r="H209" s="77" t="s">
        <v>478</v>
      </c>
      <c r="I209" s="106">
        <f t="shared" ref="I209:N209" si="98">I176</f>
        <v>687.16</v>
      </c>
      <c r="J209" s="106">
        <f t="shared" si="98"/>
        <v>171.8</v>
      </c>
      <c r="K209" s="106">
        <f t="shared" si="98"/>
        <v>114.53</v>
      </c>
      <c r="L209" s="106">
        <f t="shared" si="98"/>
        <v>285.17</v>
      </c>
      <c r="M209" s="106">
        <f t="shared" si="98"/>
        <v>160.34</v>
      </c>
      <c r="N209" s="106">
        <f t="shared" si="98"/>
        <v>114.53</v>
      </c>
      <c r="O209" s="307">
        <v>0</v>
      </c>
      <c r="P209" s="307">
        <v>0</v>
      </c>
      <c r="Q209" s="307">
        <v>0</v>
      </c>
      <c r="R209" s="307">
        <v>0</v>
      </c>
      <c r="S209" s="106">
        <f t="shared" si="92"/>
        <v>10.46</v>
      </c>
      <c r="T209" s="106">
        <v>0</v>
      </c>
      <c r="U209" s="106">
        <v>9.82</v>
      </c>
      <c r="V209" s="106">
        <v>22.82</v>
      </c>
    </row>
    <row r="210" spans="3:22" ht="13.8">
      <c r="C210" s="77" t="s">
        <v>465</v>
      </c>
      <c r="D210" s="77" t="s">
        <v>71</v>
      </c>
      <c r="E210" s="77" t="str">
        <f t="shared" si="90"/>
        <v>[301 - 600km]</v>
      </c>
      <c r="F210" s="77" t="str">
        <f t="shared" si="90"/>
        <v>&gt; 132kV</v>
      </c>
      <c r="G210" s="77" t="str">
        <f t="shared" si="88"/>
        <v>Municflex_Local Authority_[301 - 600km]_&gt; 132kV</v>
      </c>
      <c r="H210" s="77" t="s">
        <v>479</v>
      </c>
      <c r="I210" s="106">
        <f t="shared" ref="I210:N210" si="99">I177</f>
        <v>640.77</v>
      </c>
      <c r="J210" s="106">
        <f t="shared" si="99"/>
        <v>160.19</v>
      </c>
      <c r="K210" s="106">
        <f t="shared" si="99"/>
        <v>106.79</v>
      </c>
      <c r="L210" s="106">
        <f t="shared" si="99"/>
        <v>265.92</v>
      </c>
      <c r="M210" s="106">
        <f t="shared" si="99"/>
        <v>149.52000000000001</v>
      </c>
      <c r="N210" s="106">
        <f t="shared" si="99"/>
        <v>106.79</v>
      </c>
      <c r="O210" s="307">
        <v>0</v>
      </c>
      <c r="P210" s="307">
        <v>0</v>
      </c>
      <c r="Q210" s="307">
        <v>0</v>
      </c>
      <c r="R210" s="307">
        <v>0</v>
      </c>
      <c r="S210" s="106">
        <f t="shared" si="92"/>
        <v>18.27</v>
      </c>
      <c r="T210" s="106">
        <v>0</v>
      </c>
      <c r="U210" s="106">
        <v>10.85</v>
      </c>
      <c r="V210" s="106">
        <v>21.27</v>
      </c>
    </row>
    <row r="211" spans="3:22" ht="13.8">
      <c r="C211" s="77" t="s">
        <v>465</v>
      </c>
      <c r="D211" s="77" t="s">
        <v>71</v>
      </c>
      <c r="E211" s="77" t="str">
        <f t="shared" si="90"/>
        <v>[601 - 900km]</v>
      </c>
      <c r="F211" s="77" t="str">
        <f t="shared" si="90"/>
        <v>&lt; 500V</v>
      </c>
      <c r="G211" s="77" t="str">
        <f t="shared" si="88"/>
        <v>Municflex_Local Authority_[601 - 900km]_&lt; 500V</v>
      </c>
      <c r="H211" s="77" t="s">
        <v>480</v>
      </c>
      <c r="I211" s="106">
        <f t="shared" ref="I211:N211" si="100">I178</f>
        <v>772.4</v>
      </c>
      <c r="J211" s="106">
        <f t="shared" si="100"/>
        <v>193.09</v>
      </c>
      <c r="K211" s="106">
        <f t="shared" si="100"/>
        <v>128.76</v>
      </c>
      <c r="L211" s="106">
        <f t="shared" si="100"/>
        <v>320.60000000000002</v>
      </c>
      <c r="M211" s="106">
        <f t="shared" si="100"/>
        <v>180.24</v>
      </c>
      <c r="N211" s="106">
        <f t="shared" si="100"/>
        <v>128.77000000000001</v>
      </c>
      <c r="O211" s="307">
        <v>0</v>
      </c>
      <c r="P211" s="307">
        <v>0</v>
      </c>
      <c r="Q211" s="307">
        <v>0</v>
      </c>
      <c r="R211" s="307">
        <v>0</v>
      </c>
      <c r="S211" s="106">
        <f t="shared" si="92"/>
        <v>12.13</v>
      </c>
      <c r="T211" s="106">
        <v>0</v>
      </c>
      <c r="U211" s="106">
        <v>5.0599999999999996</v>
      </c>
      <c r="V211" s="106">
        <v>25.39</v>
      </c>
    </row>
    <row r="212" spans="3:22" ht="13.8">
      <c r="C212" s="77" t="s">
        <v>465</v>
      </c>
      <c r="D212" s="77" t="s">
        <v>71</v>
      </c>
      <c r="E212" s="77" t="str">
        <f t="shared" si="90"/>
        <v>[601 - 900km]</v>
      </c>
      <c r="F212" s="77" t="str">
        <f t="shared" si="90"/>
        <v>≥ 500V &amp; &lt; 66kV</v>
      </c>
      <c r="G212" s="77" t="str">
        <f t="shared" si="88"/>
        <v>Municflex_Local Authority_[601 - 900km]_≥ 500V &amp; &lt; 66kV</v>
      </c>
      <c r="H212" s="77" t="s">
        <v>481</v>
      </c>
      <c r="I212" s="106">
        <f t="shared" ref="I212:N212" si="101">I179</f>
        <v>749.21</v>
      </c>
      <c r="J212" s="106">
        <f t="shared" si="101"/>
        <v>187.32</v>
      </c>
      <c r="K212" s="106">
        <f t="shared" si="101"/>
        <v>124.9</v>
      </c>
      <c r="L212" s="106">
        <f t="shared" si="101"/>
        <v>310.95</v>
      </c>
      <c r="M212" s="106">
        <f t="shared" si="101"/>
        <v>174.82</v>
      </c>
      <c r="N212" s="106">
        <f t="shared" si="101"/>
        <v>124.9</v>
      </c>
      <c r="O212" s="307">
        <v>0</v>
      </c>
      <c r="P212" s="307">
        <v>0</v>
      </c>
      <c r="Q212" s="307">
        <v>0</v>
      </c>
      <c r="R212" s="307">
        <v>0</v>
      </c>
      <c r="S212" s="106">
        <f t="shared" si="92"/>
        <v>11.61</v>
      </c>
      <c r="T212" s="106">
        <v>0</v>
      </c>
      <c r="U212" s="106">
        <v>11.72</v>
      </c>
      <c r="V212" s="106">
        <v>24.63</v>
      </c>
    </row>
    <row r="213" spans="3:22" ht="13.8">
      <c r="C213" s="77" t="s">
        <v>465</v>
      </c>
      <c r="D213" s="77" t="s">
        <v>71</v>
      </c>
      <c r="E213" s="77" t="str">
        <f t="shared" si="90"/>
        <v>[601 - 900km]</v>
      </c>
      <c r="F213" s="77" t="str">
        <f t="shared" si="90"/>
        <v>≥ 66kV &amp; ≤ 132kV</v>
      </c>
      <c r="G213" s="77" t="str">
        <f t="shared" si="88"/>
        <v>Municflex_Local Authority_[601 - 900km]_≥ 66kV &amp; ≤ 132kV</v>
      </c>
      <c r="H213" s="77" t="s">
        <v>482</v>
      </c>
      <c r="I213" s="106">
        <f t="shared" ref="I213:N213" si="102">I180</f>
        <v>693.96</v>
      </c>
      <c r="J213" s="106">
        <f t="shared" si="102"/>
        <v>173.49</v>
      </c>
      <c r="K213" s="106">
        <f t="shared" si="102"/>
        <v>115.66</v>
      </c>
      <c r="L213" s="106">
        <f t="shared" si="102"/>
        <v>288.01</v>
      </c>
      <c r="M213" s="106">
        <f t="shared" si="102"/>
        <v>161.91999999999999</v>
      </c>
      <c r="N213" s="106">
        <f t="shared" si="102"/>
        <v>115.66</v>
      </c>
      <c r="O213" s="307">
        <v>0</v>
      </c>
      <c r="P213" s="307">
        <v>0</v>
      </c>
      <c r="Q213" s="307">
        <v>0</v>
      </c>
      <c r="R213" s="307">
        <v>0</v>
      </c>
      <c r="S213" s="106">
        <f t="shared" si="92"/>
        <v>10.55</v>
      </c>
      <c r="T213" s="106">
        <v>0</v>
      </c>
      <c r="U213" s="106">
        <v>9.82</v>
      </c>
      <c r="V213" s="106">
        <v>22.82</v>
      </c>
    </row>
    <row r="214" spans="3:22" ht="13.8">
      <c r="C214" s="77" t="s">
        <v>465</v>
      </c>
      <c r="D214" s="77" t="s">
        <v>71</v>
      </c>
      <c r="E214" s="77" t="str">
        <f t="shared" si="90"/>
        <v>[601 - 900km]</v>
      </c>
      <c r="F214" s="77" t="str">
        <f t="shared" si="90"/>
        <v>&gt; 132kV</v>
      </c>
      <c r="G214" s="77" t="str">
        <f t="shared" si="88"/>
        <v>Municflex_Local Authority_[601 - 900km]_&gt; 132kV</v>
      </c>
      <c r="H214" s="77" t="s">
        <v>483</v>
      </c>
      <c r="I214" s="106">
        <f t="shared" ref="I214:N214" si="103">I181</f>
        <v>647.11</v>
      </c>
      <c r="J214" s="106">
        <f t="shared" si="103"/>
        <v>161.78</v>
      </c>
      <c r="K214" s="106">
        <f t="shared" si="103"/>
        <v>107.85</v>
      </c>
      <c r="L214" s="106">
        <f t="shared" si="103"/>
        <v>268.56</v>
      </c>
      <c r="M214" s="106">
        <f t="shared" si="103"/>
        <v>151</v>
      </c>
      <c r="N214" s="106">
        <f t="shared" si="103"/>
        <v>107.85</v>
      </c>
      <c r="O214" s="307">
        <v>0</v>
      </c>
      <c r="P214" s="307">
        <v>0</v>
      </c>
      <c r="Q214" s="307">
        <v>0</v>
      </c>
      <c r="R214" s="307">
        <v>0</v>
      </c>
      <c r="S214" s="106">
        <f t="shared" si="92"/>
        <v>18.440000000000001</v>
      </c>
      <c r="T214" s="106">
        <v>0</v>
      </c>
      <c r="U214" s="106">
        <v>10.85</v>
      </c>
      <c r="V214" s="106">
        <v>21.27</v>
      </c>
    </row>
    <row r="215" spans="3:22" ht="13.8">
      <c r="C215" s="77" t="s">
        <v>465</v>
      </c>
      <c r="D215" s="77" t="s">
        <v>71</v>
      </c>
      <c r="E215" s="77" t="str">
        <f t="shared" si="90"/>
        <v>[&gt; 900km]</v>
      </c>
      <c r="F215" s="77" t="str">
        <f t="shared" si="90"/>
        <v>&lt; 500V</v>
      </c>
      <c r="G215" s="77" t="str">
        <f t="shared" si="88"/>
        <v>Municflex_Local Authority_[&gt; 900km]_&lt; 500V</v>
      </c>
      <c r="H215" s="77" t="s">
        <v>484</v>
      </c>
      <c r="I215" s="106">
        <f t="shared" ref="I215:N215" si="104">I182</f>
        <v>781.01</v>
      </c>
      <c r="J215" s="106">
        <f t="shared" si="104"/>
        <v>195.25</v>
      </c>
      <c r="K215" s="106">
        <f t="shared" si="104"/>
        <v>130.16999999999999</v>
      </c>
      <c r="L215" s="106">
        <f t="shared" si="104"/>
        <v>324.11</v>
      </c>
      <c r="M215" s="106">
        <f t="shared" si="104"/>
        <v>182.24</v>
      </c>
      <c r="N215" s="106">
        <f t="shared" si="104"/>
        <v>130.16999999999999</v>
      </c>
      <c r="O215" s="307">
        <v>0</v>
      </c>
      <c r="P215" s="307">
        <v>0</v>
      </c>
      <c r="Q215" s="307">
        <v>0</v>
      </c>
      <c r="R215" s="307">
        <v>0</v>
      </c>
      <c r="S215" s="106">
        <f t="shared" si="92"/>
        <v>12.24</v>
      </c>
      <c r="T215" s="106">
        <v>0</v>
      </c>
      <c r="U215" s="106">
        <v>5.0599999999999996</v>
      </c>
      <c r="V215" s="106">
        <v>25.42</v>
      </c>
    </row>
    <row r="216" spans="3:22" ht="13.8">
      <c r="C216" s="77" t="s">
        <v>465</v>
      </c>
      <c r="D216" s="77" t="s">
        <v>71</v>
      </c>
      <c r="E216" s="77" t="str">
        <f t="shared" si="90"/>
        <v>[&gt; 900km]</v>
      </c>
      <c r="F216" s="77" t="str">
        <f t="shared" si="90"/>
        <v>≥ 500V &amp; &lt; 66kV</v>
      </c>
      <c r="G216" s="77" t="str">
        <f t="shared" si="88"/>
        <v>Municflex_Local Authority_[&gt; 900km]_≥ 500V &amp; &lt; 66kV</v>
      </c>
      <c r="H216" s="77" t="s">
        <v>485</v>
      </c>
      <c r="I216" s="106">
        <f t="shared" ref="I216:N216" si="105">I183</f>
        <v>756.32</v>
      </c>
      <c r="J216" s="106">
        <f t="shared" si="105"/>
        <v>189.07</v>
      </c>
      <c r="K216" s="106">
        <f t="shared" si="105"/>
        <v>126.06</v>
      </c>
      <c r="L216" s="106">
        <f t="shared" si="105"/>
        <v>313.87</v>
      </c>
      <c r="M216" s="106">
        <f t="shared" si="105"/>
        <v>176.47</v>
      </c>
      <c r="N216" s="106">
        <f t="shared" si="105"/>
        <v>126.06</v>
      </c>
      <c r="O216" s="307">
        <v>0</v>
      </c>
      <c r="P216" s="307">
        <v>0</v>
      </c>
      <c r="Q216" s="307">
        <v>0</v>
      </c>
      <c r="R216" s="307">
        <v>0</v>
      </c>
      <c r="S216" s="106">
        <f t="shared" si="92"/>
        <v>11.72</v>
      </c>
      <c r="T216" s="106">
        <v>0</v>
      </c>
      <c r="U216" s="106">
        <v>11.72</v>
      </c>
      <c r="V216" s="106">
        <v>24.63</v>
      </c>
    </row>
    <row r="217" spans="3:22" ht="13.8">
      <c r="C217" s="77" t="s">
        <v>465</v>
      </c>
      <c r="D217" s="77" t="s">
        <v>71</v>
      </c>
      <c r="E217" s="77" t="str">
        <f t="shared" si="90"/>
        <v>[&gt; 900km]</v>
      </c>
      <c r="F217" s="77" t="str">
        <f t="shared" si="90"/>
        <v>≥ 66kV &amp; ≤ 132kV</v>
      </c>
      <c r="G217" s="77" t="str">
        <f t="shared" si="88"/>
        <v>Municflex_Local Authority_[&gt; 900km]_≥ 66kV &amp; ≤ 132kV</v>
      </c>
      <c r="H217" s="77" t="s">
        <v>486</v>
      </c>
      <c r="I217" s="106">
        <f t="shared" ref="I217:N217" si="106">I184</f>
        <v>700.77</v>
      </c>
      <c r="J217" s="106">
        <f t="shared" si="106"/>
        <v>175.19</v>
      </c>
      <c r="K217" s="106">
        <f t="shared" si="106"/>
        <v>116.79</v>
      </c>
      <c r="L217" s="106">
        <f t="shared" si="106"/>
        <v>290.81</v>
      </c>
      <c r="M217" s="106">
        <f t="shared" si="106"/>
        <v>163.52000000000001</v>
      </c>
      <c r="N217" s="106">
        <f t="shared" si="106"/>
        <v>116.79</v>
      </c>
      <c r="O217" s="307">
        <v>0</v>
      </c>
      <c r="P217" s="307">
        <v>0</v>
      </c>
      <c r="Q217" s="307">
        <v>0</v>
      </c>
      <c r="R217" s="307">
        <v>0</v>
      </c>
      <c r="S217" s="106">
        <f t="shared" si="92"/>
        <v>10.67</v>
      </c>
      <c r="T217" s="106">
        <v>0</v>
      </c>
      <c r="U217" s="106">
        <v>9.82</v>
      </c>
      <c r="V217" s="106">
        <v>22.82</v>
      </c>
    </row>
    <row r="218" spans="3:22" ht="13.8">
      <c r="C218" s="77" t="s">
        <v>465</v>
      </c>
      <c r="D218" s="77" t="s">
        <v>71</v>
      </c>
      <c r="E218" s="77" t="str">
        <f t="shared" si="90"/>
        <v>[&gt; 900km]</v>
      </c>
      <c r="F218" s="77" t="str">
        <f t="shared" si="90"/>
        <v>&gt; 132kV</v>
      </c>
      <c r="G218" s="77" t="str">
        <f t="shared" si="88"/>
        <v>Municflex_Local Authority_[&gt; 900km]_&gt; 132kV</v>
      </c>
      <c r="H218" s="77" t="s">
        <v>487</v>
      </c>
      <c r="I218" s="106">
        <f t="shared" ref="I218:N218" si="107">I185</f>
        <v>653.45000000000005</v>
      </c>
      <c r="J218" s="106">
        <f t="shared" si="107"/>
        <v>163.37</v>
      </c>
      <c r="K218" s="106">
        <f t="shared" si="107"/>
        <v>108.9</v>
      </c>
      <c r="L218" s="106">
        <f t="shared" si="107"/>
        <v>271.19</v>
      </c>
      <c r="M218" s="106">
        <f t="shared" si="107"/>
        <v>152.46</v>
      </c>
      <c r="N218" s="106">
        <f t="shared" si="107"/>
        <v>108.9</v>
      </c>
      <c r="O218" s="307">
        <v>0</v>
      </c>
      <c r="P218" s="307">
        <v>0</v>
      </c>
      <c r="Q218" s="307">
        <v>0</v>
      </c>
      <c r="R218" s="307">
        <v>0</v>
      </c>
      <c r="S218" s="106">
        <f t="shared" si="92"/>
        <v>18.64</v>
      </c>
      <c r="T218" s="106">
        <v>0</v>
      </c>
      <c r="U218" s="106">
        <v>10.85</v>
      </c>
      <c r="V218" s="106">
        <v>21.27</v>
      </c>
    </row>
    <row r="219" spans="3:22" ht="13.8">
      <c r="C219" s="77"/>
      <c r="D219" s="77"/>
      <c r="E219" s="77"/>
      <c r="F219" s="77"/>
      <c r="G219" s="77"/>
      <c r="H219" s="77"/>
      <c r="I219" s="77"/>
      <c r="J219" s="77"/>
      <c r="K219" s="77"/>
      <c r="L219" s="77"/>
      <c r="M219" s="77"/>
      <c r="N219" s="77"/>
      <c r="O219" s="77"/>
      <c r="P219" s="77"/>
      <c r="Q219" s="77"/>
      <c r="R219" s="77"/>
      <c r="S219" s="77"/>
      <c r="T219" s="77"/>
      <c r="U219" s="77"/>
      <c r="V219" s="77"/>
    </row>
    <row r="220" spans="3:22" ht="13.8">
      <c r="C220" s="77" t="s">
        <v>583</v>
      </c>
      <c r="D220" s="77" t="s">
        <v>72</v>
      </c>
      <c r="E220" s="77" t="s">
        <v>67</v>
      </c>
      <c r="F220" s="77" t="s">
        <v>62</v>
      </c>
      <c r="G220" s="77" t="str">
        <f>C220&amp;"_"&amp;D220&amp;"_"&amp;E220&amp;"_"&amp;F220</f>
        <v>Transflex 1_Non-Local Authority_[0 - 300km]_&lt; 500V</v>
      </c>
      <c r="H220" s="77" t="str">
        <f>INDEX(Matrix_Tariff_Map,MATCH(C220,Matrix_Model_Tariffs,0),2)&amp;INDEX(Matrix_Transmission_Map,MATCH(E220,Matrix_Model_Transmission,0),2)&amp;INDEX(Matrix_Voltage_Map,MATCH(F220,Matrix_Model_Voltage,0),2)&amp;INDEX(Matrix_Category_Map,MATCH(D220,Matrix_Model_Category,0),2)</f>
        <v>T101N</v>
      </c>
      <c r="I220" s="106">
        <v>739.28</v>
      </c>
      <c r="J220" s="106">
        <v>184.82</v>
      </c>
      <c r="K220" s="106">
        <v>123.2</v>
      </c>
      <c r="L220" s="106">
        <v>306.82</v>
      </c>
      <c r="M220" s="106">
        <v>172.5</v>
      </c>
      <c r="N220" s="106">
        <v>123.2</v>
      </c>
      <c r="O220" s="85" t="s">
        <v>118</v>
      </c>
      <c r="P220" s="85" t="s">
        <v>118</v>
      </c>
      <c r="Q220" s="85" t="s">
        <v>118</v>
      </c>
      <c r="R220" s="85" t="s">
        <v>118</v>
      </c>
      <c r="S220" s="106">
        <v>0</v>
      </c>
      <c r="T220" s="106">
        <v>7572.09</v>
      </c>
      <c r="U220" s="106">
        <v>2088.4899999999998</v>
      </c>
      <c r="V220" s="106">
        <v>24.78</v>
      </c>
    </row>
    <row r="221" spans="3:22" ht="13.8">
      <c r="C221" s="77" t="s">
        <v>583</v>
      </c>
      <c r="D221" s="77" t="s">
        <v>72</v>
      </c>
      <c r="E221" s="77" t="s">
        <v>67</v>
      </c>
      <c r="F221" s="77" t="s">
        <v>63</v>
      </c>
      <c r="G221" s="77" t="str">
        <f t="shared" ref="G221:G251" si="108">C221&amp;"_"&amp;D221&amp;"_"&amp;E221&amp;"_"&amp;F221</f>
        <v>Transflex 1_Non-Local Authority_[0 - 300km]_≥ 500V &amp; &lt; 66kV</v>
      </c>
      <c r="H221" s="77" t="str">
        <f>INDEX(Matrix_Tariff_Map,MATCH(C221,Matrix_Model_Tariffs,0),2)&amp;INDEX(Matrix_Transmission_Map,MATCH(E221,Matrix_Model_Transmission,0),2)&amp;INDEX(Matrix_Voltage_Map,MATCH(F221,Matrix_Model_Voltage,0),2)&amp;INDEX(Matrix_Category_Map,MATCH(D221,Matrix_Model_Category,0),2)</f>
        <v>T102N</v>
      </c>
      <c r="I221" s="106">
        <v>720.19</v>
      </c>
      <c r="J221" s="106">
        <v>180.05</v>
      </c>
      <c r="K221" s="106">
        <v>120.03</v>
      </c>
      <c r="L221" s="106">
        <v>298.89</v>
      </c>
      <c r="M221" s="106">
        <v>168.05</v>
      </c>
      <c r="N221" s="106">
        <v>120.03</v>
      </c>
      <c r="O221" s="85" t="s">
        <v>118</v>
      </c>
      <c r="P221" s="85" t="s">
        <v>118</v>
      </c>
      <c r="Q221" s="85" t="s">
        <v>118</v>
      </c>
      <c r="R221" s="85" t="s">
        <v>118</v>
      </c>
      <c r="S221" s="106">
        <v>0</v>
      </c>
      <c r="T221" s="106">
        <v>7376.76</v>
      </c>
      <c r="U221" s="106">
        <v>2034.59</v>
      </c>
      <c r="V221" s="106">
        <v>24.14</v>
      </c>
    </row>
    <row r="222" spans="3:22" ht="13.8">
      <c r="C222" s="77" t="s">
        <v>583</v>
      </c>
      <c r="D222" s="77" t="s">
        <v>72</v>
      </c>
      <c r="E222" s="77" t="s">
        <v>67</v>
      </c>
      <c r="F222" s="77" t="s">
        <v>64</v>
      </c>
      <c r="G222" s="77" t="str">
        <f t="shared" si="108"/>
        <v>Transflex 1_Non-Local Authority_[0 - 300km]_≥ 66kV &amp; ≤ 132kV</v>
      </c>
      <c r="H222" s="77" t="str">
        <f>INDEX(Matrix_Tariff_Map,MATCH(C222,Matrix_Model_Tariffs,0),2)&amp;INDEX(Matrix_Transmission_Map,MATCH(E222,Matrix_Model_Transmission,0),2)&amp;INDEX(Matrix_Voltage_Map,MATCH(F222,Matrix_Model_Voltage,0),2)&amp;INDEX(Matrix_Category_Map,MATCH(D222,Matrix_Model_Category,0),2)</f>
        <v>T103N</v>
      </c>
      <c r="I222" s="106">
        <v>668.35</v>
      </c>
      <c r="J222" s="106">
        <v>167.08</v>
      </c>
      <c r="K222" s="106">
        <v>111.39</v>
      </c>
      <c r="L222" s="106">
        <v>277.38</v>
      </c>
      <c r="M222" s="106">
        <v>155.96</v>
      </c>
      <c r="N222" s="106">
        <v>111.39</v>
      </c>
      <c r="O222" s="85" t="s">
        <v>118</v>
      </c>
      <c r="P222" s="85" t="s">
        <v>118</v>
      </c>
      <c r="Q222" s="85" t="s">
        <v>118</v>
      </c>
      <c r="R222" s="85" t="s">
        <v>118</v>
      </c>
      <c r="S222" s="106">
        <v>0</v>
      </c>
      <c r="T222" s="106">
        <v>6845.65</v>
      </c>
      <c r="U222" s="106">
        <v>1888.11</v>
      </c>
      <c r="V222" s="106">
        <v>22.4</v>
      </c>
    </row>
    <row r="223" spans="3:22" ht="13.8">
      <c r="C223" s="77" t="s">
        <v>583</v>
      </c>
      <c r="D223" s="77" t="s">
        <v>72</v>
      </c>
      <c r="E223" s="77" t="s">
        <v>67</v>
      </c>
      <c r="F223" s="77" t="s">
        <v>65</v>
      </c>
      <c r="G223" s="77" t="str">
        <f t="shared" si="108"/>
        <v>Transflex 1_Non-Local Authority_[0 - 300km]_&gt; 132kV</v>
      </c>
      <c r="H223" s="77" t="str">
        <f>INDEX(Matrix_Tariff_Map,MATCH(C223,Matrix_Model_Tariffs,0),2)&amp;INDEX(Matrix_Transmission_Map,MATCH(E223,Matrix_Model_Transmission,0),2)&amp;INDEX(Matrix_Voltage_Map,MATCH(F223,Matrix_Model_Voltage,0),2)&amp;INDEX(Matrix_Category_Map,MATCH(D223,Matrix_Model_Category,0),2)</f>
        <v>T104N</v>
      </c>
      <c r="I223" s="106">
        <v>623.23</v>
      </c>
      <c r="J223" s="106">
        <v>155.81</v>
      </c>
      <c r="K223" s="106">
        <v>103.87</v>
      </c>
      <c r="L223" s="106">
        <v>258.64999999999998</v>
      </c>
      <c r="M223" s="106">
        <v>145.43</v>
      </c>
      <c r="N223" s="106">
        <v>103.87</v>
      </c>
      <c r="O223" s="85" t="s">
        <v>118</v>
      </c>
      <c r="P223" s="85" t="s">
        <v>118</v>
      </c>
      <c r="Q223" s="85" t="s">
        <v>118</v>
      </c>
      <c r="R223" s="85" t="s">
        <v>118</v>
      </c>
      <c r="S223" s="106">
        <v>0</v>
      </c>
      <c r="T223" s="106">
        <v>6345.42</v>
      </c>
      <c r="U223" s="106">
        <v>1760.64</v>
      </c>
      <c r="V223" s="106">
        <v>20.89</v>
      </c>
    </row>
    <row r="224" spans="3:22" ht="13.8">
      <c r="C224" s="77" t="s">
        <v>583</v>
      </c>
      <c r="D224" s="77" t="s">
        <v>72</v>
      </c>
      <c r="E224" s="77" t="s">
        <v>68</v>
      </c>
      <c r="F224" s="77" t="s">
        <v>62</v>
      </c>
      <c r="G224" s="77" t="str">
        <f>C251&amp;"_"&amp;D251&amp;"_"&amp;E251&amp;"_"&amp;F251</f>
        <v>Transflex 2_Non-Local Authority_[&gt; 900km]_&gt; 132kV</v>
      </c>
      <c r="H224" s="77" t="str">
        <f>INDEX(Matrix_Tariff_Map,MATCH(C251,Matrix_Model_Tariffs,0),2)&amp;INDEX(Matrix_Transmission_Map,MATCH(E251,Matrix_Model_Transmission,0),2)&amp;INDEX(Matrix_Voltage_Map,MATCH(F251,Matrix_Model_Voltage,0),2)&amp;INDEX(Matrix_Category_Map,MATCH(D251,Matrix_Model_Category,0),2)</f>
        <v>T234N</v>
      </c>
      <c r="I224" s="106">
        <v>641.91999999999996</v>
      </c>
      <c r="J224" s="106">
        <v>160.47999999999999</v>
      </c>
      <c r="K224" s="106">
        <v>106.97</v>
      </c>
      <c r="L224" s="106">
        <v>266.41000000000003</v>
      </c>
      <c r="M224" s="106">
        <v>149.78</v>
      </c>
      <c r="N224" s="106">
        <v>106.97</v>
      </c>
      <c r="O224" s="85" t="s">
        <v>118</v>
      </c>
      <c r="P224" s="85" t="s">
        <v>118</v>
      </c>
      <c r="Q224" s="85" t="s">
        <v>118</v>
      </c>
      <c r="R224" s="85" t="s">
        <v>118</v>
      </c>
      <c r="S224" s="106">
        <v>0</v>
      </c>
      <c r="T224" s="106">
        <v>9959.74</v>
      </c>
      <c r="U224" s="106">
        <v>1704.57</v>
      </c>
      <c r="V224" s="106">
        <v>20.89</v>
      </c>
    </row>
    <row r="225" spans="3:22" ht="13.8">
      <c r="C225" s="77" t="s">
        <v>583</v>
      </c>
      <c r="D225" s="77" t="s">
        <v>72</v>
      </c>
      <c r="E225" s="77" t="s">
        <v>68</v>
      </c>
      <c r="F225" s="77" t="s">
        <v>63</v>
      </c>
      <c r="G225" s="77" t="str">
        <f t="shared" si="108"/>
        <v>Transflex 1_Non-Local Authority_[301 - 600km]_≥ 500V &amp; &lt; 66kV</v>
      </c>
      <c r="H225" s="77" t="str">
        <f t="shared" ref="H225:H251" si="109">INDEX(Matrix_Tariff_Map,MATCH(C225,Matrix_Model_Tariffs,0),2)&amp;INDEX(Matrix_Transmission_Map,MATCH(E225,Matrix_Model_Transmission,0),2)&amp;INDEX(Matrix_Voltage_Map,MATCH(F225,Matrix_Model_Voltage,0),2)&amp;INDEX(Matrix_Category_Map,MATCH(D225,Matrix_Model_Category,0),2)</f>
        <v>T112N</v>
      </c>
      <c r="I225" s="106">
        <v>727.41</v>
      </c>
      <c r="J225" s="106">
        <v>181.85</v>
      </c>
      <c r="K225" s="106">
        <v>121.24</v>
      </c>
      <c r="L225" s="106">
        <v>301.88</v>
      </c>
      <c r="M225" s="106">
        <v>169.72</v>
      </c>
      <c r="N225" s="106">
        <v>121.24</v>
      </c>
      <c r="O225" s="85" t="s">
        <v>118</v>
      </c>
      <c r="P225" s="85" t="s">
        <v>118</v>
      </c>
      <c r="Q225" s="85" t="s">
        <v>118</v>
      </c>
      <c r="R225" s="85" t="s">
        <v>118</v>
      </c>
      <c r="S225" s="106">
        <v>0</v>
      </c>
      <c r="T225" s="106">
        <v>7450.07</v>
      </c>
      <c r="U225" s="106">
        <v>2034.59</v>
      </c>
      <c r="V225" s="106">
        <v>24.14</v>
      </c>
    </row>
    <row r="226" spans="3:22" ht="13.8">
      <c r="C226" s="77" t="s">
        <v>583</v>
      </c>
      <c r="D226" s="77" t="s">
        <v>72</v>
      </c>
      <c r="E226" s="77" t="s">
        <v>68</v>
      </c>
      <c r="F226" s="77" t="s">
        <v>64</v>
      </c>
      <c r="G226" s="77" t="str">
        <f t="shared" si="108"/>
        <v>Transflex 1_Non-Local Authority_[301 - 600km]_≥ 66kV &amp; ≤ 132kV</v>
      </c>
      <c r="H226" s="77" t="str">
        <f t="shared" si="109"/>
        <v>T113N</v>
      </c>
      <c r="I226" s="106">
        <v>675.03</v>
      </c>
      <c r="J226" s="106">
        <v>168.76</v>
      </c>
      <c r="K226" s="106">
        <v>112.5</v>
      </c>
      <c r="L226" s="106">
        <v>280.14999999999998</v>
      </c>
      <c r="M226" s="106">
        <v>157.51</v>
      </c>
      <c r="N226" s="106">
        <v>112.5</v>
      </c>
      <c r="O226" s="85" t="s">
        <v>118</v>
      </c>
      <c r="P226" s="85" t="s">
        <v>118</v>
      </c>
      <c r="Q226" s="85" t="s">
        <v>118</v>
      </c>
      <c r="R226" s="85" t="s">
        <v>118</v>
      </c>
      <c r="S226" s="106">
        <v>0</v>
      </c>
      <c r="T226" s="106">
        <v>6913.69</v>
      </c>
      <c r="U226" s="106">
        <v>1888.11</v>
      </c>
      <c r="V226" s="106">
        <v>22.4</v>
      </c>
    </row>
    <row r="227" spans="3:22" ht="13.8">
      <c r="C227" s="77" t="s">
        <v>583</v>
      </c>
      <c r="D227" s="77" t="s">
        <v>72</v>
      </c>
      <c r="E227" s="77" t="s">
        <v>68</v>
      </c>
      <c r="F227" s="77" t="s">
        <v>65</v>
      </c>
      <c r="G227" s="77" t="str">
        <f t="shared" si="108"/>
        <v>Transflex 1_Non-Local Authority_[301 - 600km]_&gt; 132kV</v>
      </c>
      <c r="H227" s="77" t="str">
        <f t="shared" si="109"/>
        <v>T114N</v>
      </c>
      <c r="I227" s="106">
        <v>629.46</v>
      </c>
      <c r="J227" s="106">
        <v>157.37</v>
      </c>
      <c r="K227" s="106">
        <v>104.91</v>
      </c>
      <c r="L227" s="106">
        <v>261.23</v>
      </c>
      <c r="M227" s="106">
        <v>146.87</v>
      </c>
      <c r="N227" s="106">
        <v>104.91</v>
      </c>
      <c r="O227" s="85" t="s">
        <v>118</v>
      </c>
      <c r="P227" s="85" t="s">
        <v>118</v>
      </c>
      <c r="Q227" s="85" t="s">
        <v>118</v>
      </c>
      <c r="R227" s="85" t="s">
        <v>118</v>
      </c>
      <c r="S227" s="106">
        <v>0</v>
      </c>
      <c r="T227" s="106">
        <v>6446.94</v>
      </c>
      <c r="U227" s="106">
        <v>1760.64</v>
      </c>
      <c r="V227" s="106">
        <v>20.89</v>
      </c>
    </row>
    <row r="228" spans="3:22" ht="13.8">
      <c r="C228" s="77" t="s">
        <v>583</v>
      </c>
      <c r="D228" s="77" t="s">
        <v>72</v>
      </c>
      <c r="E228" s="77" t="s">
        <v>69</v>
      </c>
      <c r="F228" s="77" t="s">
        <v>62</v>
      </c>
      <c r="G228" s="77" t="str">
        <f t="shared" si="108"/>
        <v>Transflex 1_Non-Local Authority_[601 - 900km]_&lt; 500V</v>
      </c>
      <c r="H228" s="77" t="str">
        <f t="shared" si="109"/>
        <v>T121N</v>
      </c>
      <c r="I228" s="106">
        <v>754.06</v>
      </c>
      <c r="J228" s="106">
        <v>188.51</v>
      </c>
      <c r="K228" s="106">
        <v>125.67</v>
      </c>
      <c r="L228" s="106">
        <v>312.95</v>
      </c>
      <c r="M228" s="106">
        <v>175.94</v>
      </c>
      <c r="N228" s="106">
        <v>125.67</v>
      </c>
      <c r="O228" s="85" t="s">
        <v>118</v>
      </c>
      <c r="P228" s="85" t="s">
        <v>118</v>
      </c>
      <c r="Q228" s="85" t="s">
        <v>118</v>
      </c>
      <c r="R228" s="85" t="s">
        <v>118</v>
      </c>
      <c r="S228" s="106">
        <v>0</v>
      </c>
      <c r="T228" s="106">
        <v>7723.37</v>
      </c>
      <c r="U228" s="106">
        <v>2088.4899999999998</v>
      </c>
      <c r="V228" s="106">
        <v>24.78</v>
      </c>
    </row>
    <row r="229" spans="3:22" ht="13.8">
      <c r="C229" s="77" t="s">
        <v>583</v>
      </c>
      <c r="D229" s="77" t="s">
        <v>72</v>
      </c>
      <c r="E229" s="77" t="s">
        <v>69</v>
      </c>
      <c r="F229" s="77" t="s">
        <v>63</v>
      </c>
      <c r="G229" s="77" t="str">
        <f t="shared" si="108"/>
        <v>Transflex 1_Non-Local Authority_[601 - 900km]_≥ 500V &amp; &lt; 66kV</v>
      </c>
      <c r="H229" s="77" t="str">
        <f t="shared" si="109"/>
        <v>T122N</v>
      </c>
      <c r="I229" s="106">
        <v>734.61</v>
      </c>
      <c r="J229" s="106">
        <v>183.66</v>
      </c>
      <c r="K229" s="106">
        <v>122.43</v>
      </c>
      <c r="L229" s="106">
        <v>304.87</v>
      </c>
      <c r="M229" s="106">
        <v>171.41</v>
      </c>
      <c r="N229" s="106">
        <v>122.43</v>
      </c>
      <c r="O229" s="85" t="s">
        <v>118</v>
      </c>
      <c r="P229" s="85" t="s">
        <v>118</v>
      </c>
      <c r="Q229" s="85" t="s">
        <v>118</v>
      </c>
      <c r="R229" s="85" t="s">
        <v>118</v>
      </c>
      <c r="S229" s="106">
        <v>0</v>
      </c>
      <c r="T229" s="106">
        <v>7524.15</v>
      </c>
      <c r="U229" s="106">
        <v>2034.59</v>
      </c>
      <c r="V229" s="106">
        <v>24.14</v>
      </c>
    </row>
    <row r="230" spans="3:22" ht="13.8">
      <c r="C230" s="77" t="s">
        <v>583</v>
      </c>
      <c r="D230" s="77" t="s">
        <v>72</v>
      </c>
      <c r="E230" s="77" t="s">
        <v>69</v>
      </c>
      <c r="F230" s="77" t="s">
        <v>64</v>
      </c>
      <c r="G230" s="77" t="str">
        <f t="shared" si="108"/>
        <v>Transflex 1_Non-Local Authority_[601 - 900km]_≥ 66kV &amp; ≤ 132kV</v>
      </c>
      <c r="H230" s="77" t="str">
        <f t="shared" si="109"/>
        <v>T123N</v>
      </c>
      <c r="I230" s="106">
        <v>681.72</v>
      </c>
      <c r="J230" s="106">
        <v>170.43</v>
      </c>
      <c r="K230" s="106">
        <v>113.61</v>
      </c>
      <c r="L230" s="106">
        <v>282.93</v>
      </c>
      <c r="M230" s="106">
        <v>159.08000000000001</v>
      </c>
      <c r="N230" s="106">
        <v>113.61</v>
      </c>
      <c r="O230" s="85" t="s">
        <v>118</v>
      </c>
      <c r="P230" s="85" t="s">
        <v>118</v>
      </c>
      <c r="Q230" s="85" t="s">
        <v>118</v>
      </c>
      <c r="R230" s="85" t="s">
        <v>118</v>
      </c>
      <c r="S230" s="106">
        <v>0</v>
      </c>
      <c r="T230" s="106">
        <v>6982.44</v>
      </c>
      <c r="U230" s="106">
        <v>1888.11</v>
      </c>
      <c r="V230" s="106">
        <v>22.4</v>
      </c>
    </row>
    <row r="231" spans="3:22" ht="13.8">
      <c r="C231" s="77" t="s">
        <v>583</v>
      </c>
      <c r="D231" s="77" t="s">
        <v>72</v>
      </c>
      <c r="E231" s="77" t="s">
        <v>69</v>
      </c>
      <c r="F231" s="77" t="s">
        <v>65</v>
      </c>
      <c r="G231" s="77" t="str">
        <f t="shared" si="108"/>
        <v>Transflex 1_Non-Local Authority_[601 - 900km]_&gt; 132kV</v>
      </c>
      <c r="H231" s="77" t="str">
        <f t="shared" si="109"/>
        <v>T124N</v>
      </c>
      <c r="I231" s="106">
        <v>635.69000000000005</v>
      </c>
      <c r="J231" s="106">
        <v>158.93</v>
      </c>
      <c r="K231" s="106">
        <v>105.95</v>
      </c>
      <c r="L231" s="106">
        <v>263.83</v>
      </c>
      <c r="M231" s="106">
        <v>148.33000000000001</v>
      </c>
      <c r="N231" s="106">
        <v>105.95</v>
      </c>
      <c r="O231" s="85" t="s">
        <v>118</v>
      </c>
      <c r="P231" s="85" t="s">
        <v>118</v>
      </c>
      <c r="Q231" s="85" t="s">
        <v>118</v>
      </c>
      <c r="R231" s="85" t="s">
        <v>118</v>
      </c>
      <c r="S231" s="106">
        <v>0</v>
      </c>
      <c r="T231" s="106">
        <v>6511.03</v>
      </c>
      <c r="U231" s="106">
        <v>1760.64</v>
      </c>
      <c r="V231" s="106">
        <v>20.89</v>
      </c>
    </row>
    <row r="232" spans="3:22" ht="13.8">
      <c r="C232" s="77" t="s">
        <v>583</v>
      </c>
      <c r="D232" s="77" t="s">
        <v>72</v>
      </c>
      <c r="E232" s="77" t="s">
        <v>70</v>
      </c>
      <c r="F232" s="77" t="s">
        <v>62</v>
      </c>
      <c r="G232" s="77" t="str">
        <f t="shared" si="108"/>
        <v>Transflex 1_Non-Local Authority_[&gt; 900km]_&lt; 500V</v>
      </c>
      <c r="H232" s="77" t="str">
        <f t="shared" si="109"/>
        <v>T131N</v>
      </c>
      <c r="I232" s="106">
        <v>761.46</v>
      </c>
      <c r="J232" s="106">
        <v>190.36</v>
      </c>
      <c r="K232" s="106">
        <v>126.91</v>
      </c>
      <c r="L232" s="106">
        <v>316.02</v>
      </c>
      <c r="M232" s="106">
        <v>177.67</v>
      </c>
      <c r="N232" s="106">
        <v>126.91</v>
      </c>
      <c r="O232" s="85" t="s">
        <v>118</v>
      </c>
      <c r="P232" s="85" t="s">
        <v>118</v>
      </c>
      <c r="Q232" s="85" t="s">
        <v>118</v>
      </c>
      <c r="R232" s="85" t="s">
        <v>118</v>
      </c>
      <c r="S232" s="106">
        <v>0</v>
      </c>
      <c r="T232" s="106">
        <v>7798.65</v>
      </c>
      <c r="U232" s="106">
        <v>2088.4899999999998</v>
      </c>
      <c r="V232" s="106">
        <v>24.78</v>
      </c>
    </row>
    <row r="233" spans="3:22" ht="13.8">
      <c r="C233" s="77" t="s">
        <v>583</v>
      </c>
      <c r="D233" s="77" t="s">
        <v>72</v>
      </c>
      <c r="E233" s="77" t="s">
        <v>70</v>
      </c>
      <c r="F233" s="77" t="s">
        <v>63</v>
      </c>
      <c r="G233" s="77" t="str">
        <f t="shared" si="108"/>
        <v>Transflex 1_Non-Local Authority_[&gt; 900km]_≥ 500V &amp; &lt; 66kV</v>
      </c>
      <c r="H233" s="77" t="str">
        <f t="shared" si="109"/>
        <v>T132N</v>
      </c>
      <c r="I233" s="106">
        <v>741.81</v>
      </c>
      <c r="J233" s="106">
        <v>185.46</v>
      </c>
      <c r="K233" s="106">
        <v>123.64</v>
      </c>
      <c r="L233" s="106">
        <v>307.86</v>
      </c>
      <c r="M233" s="106">
        <v>173.08</v>
      </c>
      <c r="N233" s="106">
        <v>123.64</v>
      </c>
      <c r="O233" s="85" t="s">
        <v>118</v>
      </c>
      <c r="P233" s="85" t="s">
        <v>118</v>
      </c>
      <c r="Q233" s="85" t="s">
        <v>118</v>
      </c>
      <c r="R233" s="85" t="s">
        <v>118</v>
      </c>
      <c r="S233" s="106">
        <v>0</v>
      </c>
      <c r="T233" s="106">
        <v>7597.47</v>
      </c>
      <c r="U233" s="106">
        <v>2034.59</v>
      </c>
      <c r="V233" s="106">
        <v>24.14</v>
      </c>
    </row>
    <row r="234" spans="3:22" ht="13.8">
      <c r="C234" s="77" t="s">
        <v>583</v>
      </c>
      <c r="D234" s="77" t="s">
        <v>72</v>
      </c>
      <c r="E234" s="77" t="s">
        <v>70</v>
      </c>
      <c r="F234" s="77" t="s">
        <v>64</v>
      </c>
      <c r="G234" s="77" t="str">
        <f t="shared" si="108"/>
        <v>Transflex 1_Non-Local Authority_[&gt; 900km]_≥ 66kV &amp; ≤ 132kV</v>
      </c>
      <c r="H234" s="77" t="str">
        <f t="shared" si="109"/>
        <v>T133N</v>
      </c>
      <c r="I234" s="106">
        <v>688.4</v>
      </c>
      <c r="J234" s="106">
        <v>172.1</v>
      </c>
      <c r="K234" s="106">
        <v>114.74</v>
      </c>
      <c r="L234" s="106">
        <v>285.69</v>
      </c>
      <c r="M234" s="106">
        <v>160.63</v>
      </c>
      <c r="N234" s="106">
        <v>114.74</v>
      </c>
      <c r="O234" s="85" t="s">
        <v>118</v>
      </c>
      <c r="P234" s="85" t="s">
        <v>118</v>
      </c>
      <c r="Q234" s="85" t="s">
        <v>118</v>
      </c>
      <c r="R234" s="85" t="s">
        <v>118</v>
      </c>
      <c r="S234" s="106">
        <v>0</v>
      </c>
      <c r="T234" s="106">
        <v>7050.48</v>
      </c>
      <c r="U234" s="106">
        <v>1888.11</v>
      </c>
      <c r="V234" s="106">
        <v>22.4</v>
      </c>
    </row>
    <row r="235" spans="3:22" ht="14.4" thickBot="1">
      <c r="C235" s="77" t="s">
        <v>583</v>
      </c>
      <c r="D235" s="77" t="s">
        <v>72</v>
      </c>
      <c r="E235" s="77" t="s">
        <v>70</v>
      </c>
      <c r="F235" s="77" t="s">
        <v>65</v>
      </c>
      <c r="G235" s="77" t="str">
        <f t="shared" si="108"/>
        <v>Transflex 1_Non-Local Authority_[&gt; 900km]_&gt; 132kV</v>
      </c>
      <c r="H235" s="77" t="str">
        <f t="shared" si="109"/>
        <v>T134N</v>
      </c>
      <c r="I235" s="237">
        <v>641.91999999999996</v>
      </c>
      <c r="J235" s="237">
        <v>160.47999999999999</v>
      </c>
      <c r="K235" s="237">
        <v>106.97</v>
      </c>
      <c r="L235" s="237">
        <v>266.41000000000003</v>
      </c>
      <c r="M235" s="237">
        <v>149.78</v>
      </c>
      <c r="N235" s="237">
        <v>106.97</v>
      </c>
      <c r="O235" s="238" t="s">
        <v>118</v>
      </c>
      <c r="P235" s="238" t="s">
        <v>118</v>
      </c>
      <c r="Q235" s="238" t="s">
        <v>118</v>
      </c>
      <c r="R235" s="238" t="s">
        <v>118</v>
      </c>
      <c r="S235" s="237">
        <v>0</v>
      </c>
      <c r="T235" s="106">
        <v>6574.48</v>
      </c>
      <c r="U235" s="237">
        <v>1760.64</v>
      </c>
      <c r="V235" s="237">
        <v>20.89</v>
      </c>
    </row>
    <row r="236" spans="3:22" ht="13.8">
      <c r="C236" s="239" t="s">
        <v>584</v>
      </c>
      <c r="D236" s="239" t="s">
        <v>72</v>
      </c>
      <c r="E236" s="239" t="str">
        <f t="shared" ref="E236:F239" si="110">E220</f>
        <v>[0 - 300km]</v>
      </c>
      <c r="F236" s="239" t="str">
        <f t="shared" si="110"/>
        <v>&lt; 500V</v>
      </c>
      <c r="G236" s="239" t="str">
        <f t="shared" si="108"/>
        <v>Transflex 2_Non-Local Authority_[0 - 300km]_&lt; 500V</v>
      </c>
      <c r="H236" s="239" t="str">
        <f t="shared" si="109"/>
        <v>T201N</v>
      </c>
      <c r="I236" s="240">
        <v>739.28</v>
      </c>
      <c r="J236" s="240">
        <v>184.82</v>
      </c>
      <c r="K236" s="240">
        <v>123.2</v>
      </c>
      <c r="L236" s="240">
        <v>306.82</v>
      </c>
      <c r="M236" s="240">
        <v>172.5</v>
      </c>
      <c r="N236" s="240">
        <v>123.2</v>
      </c>
      <c r="O236" s="306" t="s">
        <v>118</v>
      </c>
      <c r="P236" s="306" t="s">
        <v>118</v>
      </c>
      <c r="Q236" s="306" t="s">
        <v>118</v>
      </c>
      <c r="R236" s="306" t="s">
        <v>118</v>
      </c>
      <c r="S236" s="240">
        <v>0</v>
      </c>
      <c r="T236" s="106">
        <v>11471.03</v>
      </c>
      <c r="U236" s="240">
        <v>2021.95</v>
      </c>
      <c r="V236" s="240">
        <v>24.78</v>
      </c>
    </row>
    <row r="237" spans="3:22" ht="13.8">
      <c r="C237" s="77" t="s">
        <v>584</v>
      </c>
      <c r="D237" s="77" t="s">
        <v>72</v>
      </c>
      <c r="E237" s="77" t="str">
        <f t="shared" si="110"/>
        <v>[0 - 300km]</v>
      </c>
      <c r="F237" s="77" t="str">
        <f t="shared" si="110"/>
        <v>≥ 500V &amp; &lt; 66kV</v>
      </c>
      <c r="G237" s="77" t="str">
        <f t="shared" si="108"/>
        <v>Transflex 2_Non-Local Authority_[0 - 300km]_≥ 500V &amp; &lt; 66kV</v>
      </c>
      <c r="H237" s="77" t="str">
        <f t="shared" si="109"/>
        <v>T202N</v>
      </c>
      <c r="I237" s="106">
        <v>720.19</v>
      </c>
      <c r="J237" s="106">
        <v>180.05</v>
      </c>
      <c r="K237" s="106">
        <v>120.03</v>
      </c>
      <c r="L237" s="106">
        <v>298.89</v>
      </c>
      <c r="M237" s="106">
        <v>168.05</v>
      </c>
      <c r="N237" s="106">
        <v>120.03</v>
      </c>
      <c r="O237" s="307" t="s">
        <v>118</v>
      </c>
      <c r="P237" s="307" t="s">
        <v>118</v>
      </c>
      <c r="Q237" s="307" t="s">
        <v>118</v>
      </c>
      <c r="R237" s="307" t="s">
        <v>118</v>
      </c>
      <c r="S237" s="106">
        <v>0</v>
      </c>
      <c r="T237" s="106">
        <v>11175.11</v>
      </c>
      <c r="U237" s="106">
        <v>1969.78</v>
      </c>
      <c r="V237" s="106">
        <v>24.14</v>
      </c>
    </row>
    <row r="238" spans="3:22" ht="13.8">
      <c r="C238" s="77" t="s">
        <v>584</v>
      </c>
      <c r="D238" s="77" t="s">
        <v>72</v>
      </c>
      <c r="E238" s="77" t="str">
        <f t="shared" si="110"/>
        <v>[0 - 300km]</v>
      </c>
      <c r="F238" s="77" t="str">
        <f t="shared" si="110"/>
        <v>≥ 66kV &amp; ≤ 132kV</v>
      </c>
      <c r="G238" s="77" t="str">
        <f t="shared" si="108"/>
        <v>Transflex 2_Non-Local Authority_[0 - 300km]_≥ 66kV &amp; ≤ 132kV</v>
      </c>
      <c r="H238" s="77" t="str">
        <f t="shared" si="109"/>
        <v>T203N</v>
      </c>
      <c r="I238" s="106">
        <v>668.35</v>
      </c>
      <c r="J238" s="106">
        <v>167.08</v>
      </c>
      <c r="K238" s="106">
        <v>111.39</v>
      </c>
      <c r="L238" s="106">
        <v>277.38</v>
      </c>
      <c r="M238" s="106">
        <v>155.96</v>
      </c>
      <c r="N238" s="106">
        <v>111.39</v>
      </c>
      <c r="O238" s="307" t="s">
        <v>118</v>
      </c>
      <c r="P238" s="307" t="s">
        <v>118</v>
      </c>
      <c r="Q238" s="307" t="s">
        <v>118</v>
      </c>
      <c r="R238" s="307" t="s">
        <v>118</v>
      </c>
      <c r="S238" s="106">
        <v>0</v>
      </c>
      <c r="T238" s="106">
        <v>10370.530000000001</v>
      </c>
      <c r="U238" s="106">
        <v>1827.98</v>
      </c>
      <c r="V238" s="106">
        <v>22.4</v>
      </c>
    </row>
    <row r="239" spans="3:22" ht="13.8">
      <c r="C239" s="77" t="s">
        <v>584</v>
      </c>
      <c r="D239" s="77" t="s">
        <v>72</v>
      </c>
      <c r="E239" s="77" t="str">
        <f t="shared" si="110"/>
        <v>[0 - 300km]</v>
      </c>
      <c r="F239" s="77" t="str">
        <f t="shared" si="110"/>
        <v>&gt; 132kV</v>
      </c>
      <c r="G239" s="77" t="str">
        <f t="shared" si="108"/>
        <v>Transflex 2_Non-Local Authority_[0 - 300km]_&gt; 132kV</v>
      </c>
      <c r="H239" s="77" t="str">
        <f t="shared" si="109"/>
        <v>T204N</v>
      </c>
      <c r="I239" s="106">
        <v>623.23</v>
      </c>
      <c r="J239" s="106">
        <v>155.81</v>
      </c>
      <c r="K239" s="106">
        <v>103.87</v>
      </c>
      <c r="L239" s="106">
        <v>258.64999999999998</v>
      </c>
      <c r="M239" s="106">
        <v>145.43</v>
      </c>
      <c r="N239" s="106">
        <v>103.87</v>
      </c>
      <c r="O239" s="307" t="s">
        <v>118</v>
      </c>
      <c r="P239" s="307" t="s">
        <v>118</v>
      </c>
      <c r="Q239" s="307" t="s">
        <v>118</v>
      </c>
      <c r="R239" s="307" t="s">
        <v>118</v>
      </c>
      <c r="S239" s="106">
        <v>0</v>
      </c>
      <c r="T239" s="106">
        <v>9612.7199999999993</v>
      </c>
      <c r="U239" s="106">
        <v>1704.57</v>
      </c>
      <c r="V239" s="106">
        <v>20.89</v>
      </c>
    </row>
    <row r="240" spans="3:22" ht="13.8">
      <c r="C240" s="77" t="s">
        <v>584</v>
      </c>
      <c r="D240" s="77" t="s">
        <v>72</v>
      </c>
      <c r="E240" s="77" t="str">
        <f>E251</f>
        <v>[&gt; 900km]</v>
      </c>
      <c r="F240" s="77" t="str">
        <f>F251</f>
        <v>&gt; 132kV</v>
      </c>
      <c r="G240" s="77" t="str">
        <f t="shared" si="108"/>
        <v>Transflex 2_Non-Local Authority_[&gt; 900km]_&gt; 132kV</v>
      </c>
      <c r="H240" s="77" t="str">
        <f t="shared" si="109"/>
        <v>T234N</v>
      </c>
      <c r="I240" s="106">
        <v>641.91999999999996</v>
      </c>
      <c r="J240" s="106">
        <v>160.47999999999999</v>
      </c>
      <c r="K240" s="106">
        <v>106.97</v>
      </c>
      <c r="L240" s="106">
        <v>266.41000000000003</v>
      </c>
      <c r="M240" s="106">
        <v>149.78</v>
      </c>
      <c r="N240" s="106">
        <v>106.97</v>
      </c>
      <c r="O240" s="307" t="s">
        <v>118</v>
      </c>
      <c r="P240" s="307" t="s">
        <v>118</v>
      </c>
      <c r="Q240" s="307" t="s">
        <v>118</v>
      </c>
      <c r="R240" s="307" t="s">
        <v>118</v>
      </c>
      <c r="S240" s="106">
        <v>0</v>
      </c>
      <c r="T240" s="106">
        <v>9959.74</v>
      </c>
      <c r="U240" s="106">
        <v>1704.57</v>
      </c>
      <c r="V240" s="106">
        <v>20.89</v>
      </c>
    </row>
    <row r="241" spans="3:22" ht="13.8">
      <c r="C241" s="77" t="s">
        <v>584</v>
      </c>
      <c r="D241" s="77" t="s">
        <v>72</v>
      </c>
      <c r="E241" s="77" t="str">
        <f t="shared" ref="E241:F251" si="111">E225</f>
        <v>[301 - 600km]</v>
      </c>
      <c r="F241" s="77" t="str">
        <f t="shared" si="111"/>
        <v>≥ 500V &amp; &lt; 66kV</v>
      </c>
      <c r="G241" s="77" t="str">
        <f t="shared" si="108"/>
        <v>Transflex 2_Non-Local Authority_[301 - 600km]_≥ 500V &amp; &lt; 66kV</v>
      </c>
      <c r="H241" s="77" t="str">
        <f t="shared" si="109"/>
        <v>T212N</v>
      </c>
      <c r="I241" s="106">
        <v>727.41</v>
      </c>
      <c r="J241" s="106">
        <v>181.85</v>
      </c>
      <c r="K241" s="106">
        <v>121.24</v>
      </c>
      <c r="L241" s="106">
        <v>301.88</v>
      </c>
      <c r="M241" s="106">
        <v>169.72</v>
      </c>
      <c r="N241" s="106">
        <v>121.24</v>
      </c>
      <c r="O241" s="307" t="s">
        <v>118</v>
      </c>
      <c r="P241" s="307" t="s">
        <v>118</v>
      </c>
      <c r="Q241" s="307" t="s">
        <v>118</v>
      </c>
      <c r="R241" s="307" t="s">
        <v>118</v>
      </c>
      <c r="S241" s="106">
        <v>0</v>
      </c>
      <c r="T241" s="106">
        <v>11286.19</v>
      </c>
      <c r="U241" s="106">
        <v>1969.78</v>
      </c>
      <c r="V241" s="106">
        <v>24.14</v>
      </c>
    </row>
    <row r="242" spans="3:22" ht="13.8">
      <c r="C242" s="77" t="s">
        <v>584</v>
      </c>
      <c r="D242" s="77" t="s">
        <v>72</v>
      </c>
      <c r="E242" s="77" t="str">
        <f t="shared" si="111"/>
        <v>[301 - 600km]</v>
      </c>
      <c r="F242" s="77" t="str">
        <f t="shared" si="111"/>
        <v>≥ 66kV &amp; ≤ 132kV</v>
      </c>
      <c r="G242" s="77" t="str">
        <f t="shared" si="108"/>
        <v>Transflex 2_Non-Local Authority_[301 - 600km]_≥ 66kV &amp; ≤ 132kV</v>
      </c>
      <c r="H242" s="77" t="str">
        <f t="shared" si="109"/>
        <v>T213N</v>
      </c>
      <c r="I242" s="106">
        <v>675.03</v>
      </c>
      <c r="J242" s="106">
        <v>168.76</v>
      </c>
      <c r="K242" s="106">
        <v>112.5</v>
      </c>
      <c r="L242" s="106">
        <v>280.14999999999998</v>
      </c>
      <c r="M242" s="106">
        <v>157.51</v>
      </c>
      <c r="N242" s="106">
        <v>112.5</v>
      </c>
      <c r="O242" s="307" t="s">
        <v>118</v>
      </c>
      <c r="P242" s="307" t="s">
        <v>118</v>
      </c>
      <c r="Q242" s="307" t="s">
        <v>118</v>
      </c>
      <c r="R242" s="307" t="s">
        <v>118</v>
      </c>
      <c r="S242" s="106">
        <v>0</v>
      </c>
      <c r="T242" s="106">
        <v>10473.620000000001</v>
      </c>
      <c r="U242" s="106">
        <v>1827.98</v>
      </c>
      <c r="V242" s="106">
        <v>22.4</v>
      </c>
    </row>
    <row r="243" spans="3:22" ht="13.8">
      <c r="C243" s="77" t="s">
        <v>584</v>
      </c>
      <c r="D243" s="77" t="s">
        <v>72</v>
      </c>
      <c r="E243" s="77" t="str">
        <f t="shared" si="111"/>
        <v>[301 - 600km]</v>
      </c>
      <c r="F243" s="77" t="str">
        <f t="shared" si="111"/>
        <v>&gt; 132kV</v>
      </c>
      <c r="G243" s="77" t="str">
        <f t="shared" si="108"/>
        <v>Transflex 2_Non-Local Authority_[301 - 600km]_&gt; 132kV</v>
      </c>
      <c r="H243" s="77" t="str">
        <f t="shared" si="109"/>
        <v>T214N</v>
      </c>
      <c r="I243" s="106">
        <v>629.46</v>
      </c>
      <c r="J243" s="106">
        <v>157.37</v>
      </c>
      <c r="K243" s="106">
        <v>104.91</v>
      </c>
      <c r="L243" s="106">
        <v>261.23</v>
      </c>
      <c r="M243" s="106">
        <v>146.87</v>
      </c>
      <c r="N243" s="106">
        <v>104.91</v>
      </c>
      <c r="O243" s="307" t="s">
        <v>118</v>
      </c>
      <c r="P243" s="307" t="s">
        <v>118</v>
      </c>
      <c r="Q243" s="307" t="s">
        <v>118</v>
      </c>
      <c r="R243" s="307" t="s">
        <v>118</v>
      </c>
      <c r="S243" s="106">
        <v>0</v>
      </c>
      <c r="T243" s="106">
        <v>9766.5300000000007</v>
      </c>
      <c r="U243" s="106">
        <v>1704.57</v>
      </c>
      <c r="V243" s="106">
        <v>20.89</v>
      </c>
    </row>
    <row r="244" spans="3:22" ht="13.8">
      <c r="C244" s="77" t="s">
        <v>584</v>
      </c>
      <c r="D244" s="77" t="s">
        <v>72</v>
      </c>
      <c r="E244" s="77" t="str">
        <f t="shared" si="111"/>
        <v>[601 - 900km]</v>
      </c>
      <c r="F244" s="77" t="str">
        <f t="shared" si="111"/>
        <v>&lt; 500V</v>
      </c>
      <c r="G244" s="77" t="str">
        <f t="shared" si="108"/>
        <v>Transflex 2_Non-Local Authority_[601 - 900km]_&lt; 500V</v>
      </c>
      <c r="H244" s="77" t="str">
        <f t="shared" si="109"/>
        <v>T221N</v>
      </c>
      <c r="I244" s="106">
        <v>754.06</v>
      </c>
      <c r="J244" s="106">
        <v>188.51</v>
      </c>
      <c r="K244" s="106">
        <v>125.67</v>
      </c>
      <c r="L244" s="106">
        <v>312.95</v>
      </c>
      <c r="M244" s="106">
        <v>175.94</v>
      </c>
      <c r="N244" s="106">
        <v>125.67</v>
      </c>
      <c r="O244" s="307" t="s">
        <v>118</v>
      </c>
      <c r="P244" s="307" t="s">
        <v>118</v>
      </c>
      <c r="Q244" s="307" t="s">
        <v>118</v>
      </c>
      <c r="R244" s="307" t="s">
        <v>118</v>
      </c>
      <c r="S244" s="106">
        <v>0</v>
      </c>
      <c r="T244" s="106">
        <v>11700.22</v>
      </c>
      <c r="U244" s="106">
        <v>2021.95</v>
      </c>
      <c r="V244" s="106">
        <v>24.78</v>
      </c>
    </row>
    <row r="245" spans="3:22" ht="13.8">
      <c r="C245" s="77" t="s">
        <v>584</v>
      </c>
      <c r="D245" s="77" t="s">
        <v>72</v>
      </c>
      <c r="E245" s="77" t="str">
        <f t="shared" si="111"/>
        <v>[601 - 900km]</v>
      </c>
      <c r="F245" s="77" t="str">
        <f t="shared" si="111"/>
        <v>≥ 500V &amp; &lt; 66kV</v>
      </c>
      <c r="G245" s="77" t="str">
        <f t="shared" si="108"/>
        <v>Transflex 2_Non-Local Authority_[601 - 900km]_≥ 500V &amp; &lt; 66kV</v>
      </c>
      <c r="H245" s="77" t="str">
        <f t="shared" si="109"/>
        <v>T222N</v>
      </c>
      <c r="I245" s="106">
        <v>734.61</v>
      </c>
      <c r="J245" s="106">
        <v>183.66</v>
      </c>
      <c r="K245" s="106">
        <v>122.43</v>
      </c>
      <c r="L245" s="106">
        <v>304.87</v>
      </c>
      <c r="M245" s="106">
        <v>171.41</v>
      </c>
      <c r="N245" s="106">
        <v>122.43</v>
      </c>
      <c r="O245" s="307" t="s">
        <v>118</v>
      </c>
      <c r="P245" s="307" t="s">
        <v>118</v>
      </c>
      <c r="Q245" s="307" t="s">
        <v>118</v>
      </c>
      <c r="R245" s="307" t="s">
        <v>118</v>
      </c>
      <c r="S245" s="106">
        <v>0</v>
      </c>
      <c r="T245" s="106">
        <v>11398.39</v>
      </c>
      <c r="U245" s="106">
        <v>1969.78</v>
      </c>
      <c r="V245" s="106">
        <v>24.14</v>
      </c>
    </row>
    <row r="246" spans="3:22" ht="13.8">
      <c r="C246" s="77" t="s">
        <v>584</v>
      </c>
      <c r="D246" s="77" t="s">
        <v>72</v>
      </c>
      <c r="E246" s="77" t="str">
        <f t="shared" si="111"/>
        <v>[601 - 900km]</v>
      </c>
      <c r="F246" s="77" t="str">
        <f t="shared" si="111"/>
        <v>≥ 66kV &amp; ≤ 132kV</v>
      </c>
      <c r="G246" s="77" t="str">
        <f t="shared" si="108"/>
        <v>Transflex 2_Non-Local Authority_[601 - 900km]_≥ 66kV &amp; ≤ 132kV</v>
      </c>
      <c r="H246" s="77" t="str">
        <f t="shared" si="109"/>
        <v>T223N</v>
      </c>
      <c r="I246" s="106">
        <v>681.72</v>
      </c>
      <c r="J246" s="106">
        <v>170.43</v>
      </c>
      <c r="K246" s="106">
        <v>113.61</v>
      </c>
      <c r="L246" s="106">
        <v>282.93</v>
      </c>
      <c r="M246" s="106">
        <v>159.08000000000001</v>
      </c>
      <c r="N246" s="106">
        <v>113.61</v>
      </c>
      <c r="O246" s="307" t="s">
        <v>118</v>
      </c>
      <c r="P246" s="307" t="s">
        <v>118</v>
      </c>
      <c r="Q246" s="307" t="s">
        <v>118</v>
      </c>
      <c r="R246" s="307" t="s">
        <v>118</v>
      </c>
      <c r="S246" s="106">
        <v>0</v>
      </c>
      <c r="T246" s="106">
        <v>10577.74</v>
      </c>
      <c r="U246" s="106">
        <v>1827.98</v>
      </c>
      <c r="V246" s="106">
        <v>22.4</v>
      </c>
    </row>
    <row r="247" spans="3:22" ht="13.8">
      <c r="C247" s="77" t="s">
        <v>584</v>
      </c>
      <c r="D247" s="77" t="s">
        <v>72</v>
      </c>
      <c r="E247" s="77" t="str">
        <f t="shared" si="111"/>
        <v>[601 - 900km]</v>
      </c>
      <c r="F247" s="77" t="str">
        <f t="shared" si="111"/>
        <v>&gt; 132kV</v>
      </c>
      <c r="G247" s="77" t="str">
        <f t="shared" si="108"/>
        <v>Transflex 2_Non-Local Authority_[601 - 900km]_&gt; 132kV</v>
      </c>
      <c r="H247" s="77" t="str">
        <f t="shared" si="109"/>
        <v>T224N</v>
      </c>
      <c r="I247" s="106">
        <v>635.69000000000005</v>
      </c>
      <c r="J247" s="106">
        <v>158.93</v>
      </c>
      <c r="K247" s="106">
        <v>105.95</v>
      </c>
      <c r="L247" s="106">
        <v>263.83</v>
      </c>
      <c r="M247" s="106">
        <v>148.33000000000001</v>
      </c>
      <c r="N247" s="106">
        <v>105.95</v>
      </c>
      <c r="O247" s="307" t="s">
        <v>118</v>
      </c>
      <c r="P247" s="307" t="s">
        <v>118</v>
      </c>
      <c r="Q247" s="307" t="s">
        <v>118</v>
      </c>
      <c r="R247" s="307" t="s">
        <v>118</v>
      </c>
      <c r="S247" s="106">
        <v>0</v>
      </c>
      <c r="T247" s="106">
        <v>9863.6200000000008</v>
      </c>
      <c r="U247" s="106">
        <v>1704.57</v>
      </c>
      <c r="V247" s="106">
        <v>20.89</v>
      </c>
    </row>
    <row r="248" spans="3:22" ht="13.8">
      <c r="C248" s="77" t="s">
        <v>584</v>
      </c>
      <c r="D248" s="77" t="s">
        <v>72</v>
      </c>
      <c r="E248" s="77" t="str">
        <f t="shared" si="111"/>
        <v>[&gt; 900km]</v>
      </c>
      <c r="F248" s="77" t="str">
        <f t="shared" si="111"/>
        <v>&lt; 500V</v>
      </c>
      <c r="G248" s="77" t="str">
        <f t="shared" si="108"/>
        <v>Transflex 2_Non-Local Authority_[&gt; 900km]_&lt; 500V</v>
      </c>
      <c r="H248" s="77" t="str">
        <f t="shared" si="109"/>
        <v>T231N</v>
      </c>
      <c r="I248" s="106">
        <v>761.46</v>
      </c>
      <c r="J248" s="106">
        <v>190.36</v>
      </c>
      <c r="K248" s="106">
        <v>126.91</v>
      </c>
      <c r="L248" s="106">
        <v>316.02</v>
      </c>
      <c r="M248" s="106">
        <v>177.67</v>
      </c>
      <c r="N248" s="106">
        <v>126.91</v>
      </c>
      <c r="O248" s="307" t="s">
        <v>118</v>
      </c>
      <c r="P248" s="307" t="s">
        <v>118</v>
      </c>
      <c r="Q248" s="307" t="s">
        <v>118</v>
      </c>
      <c r="R248" s="307" t="s">
        <v>118</v>
      </c>
      <c r="S248" s="106">
        <v>0</v>
      </c>
      <c r="T248" s="106">
        <v>11814.24</v>
      </c>
      <c r="U248" s="106">
        <v>2021.95</v>
      </c>
      <c r="V248" s="106">
        <v>24.78</v>
      </c>
    </row>
    <row r="249" spans="3:22" ht="13.8">
      <c r="C249" s="77" t="s">
        <v>584</v>
      </c>
      <c r="D249" s="77" t="s">
        <v>72</v>
      </c>
      <c r="E249" s="77" t="str">
        <f t="shared" si="111"/>
        <v>[&gt; 900km]</v>
      </c>
      <c r="F249" s="77" t="str">
        <f t="shared" si="111"/>
        <v>≥ 500V &amp; &lt; 66kV</v>
      </c>
      <c r="G249" s="77" t="str">
        <f t="shared" si="108"/>
        <v>Transflex 2_Non-Local Authority_[&gt; 900km]_≥ 500V &amp; &lt; 66kV</v>
      </c>
      <c r="H249" s="77" t="str">
        <f t="shared" si="109"/>
        <v>T232N</v>
      </c>
      <c r="I249" s="106">
        <v>741.81</v>
      </c>
      <c r="J249" s="106">
        <v>185.46</v>
      </c>
      <c r="K249" s="106">
        <v>123.64</v>
      </c>
      <c r="L249" s="106">
        <v>307.86</v>
      </c>
      <c r="M249" s="106">
        <v>173.08</v>
      </c>
      <c r="N249" s="106">
        <v>123.64</v>
      </c>
      <c r="O249" s="307" t="s">
        <v>118</v>
      </c>
      <c r="P249" s="307" t="s">
        <v>118</v>
      </c>
      <c r="Q249" s="307" t="s">
        <v>118</v>
      </c>
      <c r="R249" s="307" t="s">
        <v>118</v>
      </c>
      <c r="S249" s="106">
        <v>0</v>
      </c>
      <c r="T249" s="106">
        <v>11509.47</v>
      </c>
      <c r="U249" s="106">
        <v>1969.78</v>
      </c>
      <c r="V249" s="106">
        <v>24.14</v>
      </c>
    </row>
    <row r="250" spans="3:22" ht="13.8">
      <c r="C250" s="77" t="s">
        <v>584</v>
      </c>
      <c r="D250" s="77" t="s">
        <v>72</v>
      </c>
      <c r="E250" s="77" t="str">
        <f t="shared" si="111"/>
        <v>[&gt; 900km]</v>
      </c>
      <c r="F250" s="77" t="str">
        <f t="shared" si="111"/>
        <v>≥ 66kV &amp; ≤ 132kV</v>
      </c>
      <c r="G250" s="77" t="str">
        <f t="shared" si="108"/>
        <v>Transflex 2_Non-Local Authority_[&gt; 900km]_≥ 66kV &amp; ≤ 132kV</v>
      </c>
      <c r="H250" s="77" t="str">
        <f t="shared" si="109"/>
        <v>T233N</v>
      </c>
      <c r="I250" s="106">
        <v>688.4</v>
      </c>
      <c r="J250" s="106">
        <v>172.1</v>
      </c>
      <c r="K250" s="106">
        <v>114.74</v>
      </c>
      <c r="L250" s="106">
        <v>285.69</v>
      </c>
      <c r="M250" s="106">
        <v>160.63</v>
      </c>
      <c r="N250" s="106">
        <v>114.74</v>
      </c>
      <c r="O250" s="307" t="s">
        <v>118</v>
      </c>
      <c r="P250" s="307" t="s">
        <v>118</v>
      </c>
      <c r="Q250" s="307" t="s">
        <v>118</v>
      </c>
      <c r="R250" s="307" t="s">
        <v>118</v>
      </c>
      <c r="S250" s="106">
        <v>0</v>
      </c>
      <c r="T250" s="106">
        <v>10680.82</v>
      </c>
      <c r="U250" s="106">
        <v>1827.98</v>
      </c>
      <c r="V250" s="106">
        <v>22.4</v>
      </c>
    </row>
    <row r="251" spans="3:22" ht="13.8">
      <c r="C251" s="77" t="s">
        <v>584</v>
      </c>
      <c r="D251" s="77" t="s">
        <v>72</v>
      </c>
      <c r="E251" s="77" t="str">
        <f t="shared" si="111"/>
        <v>[&gt; 900km]</v>
      </c>
      <c r="F251" s="77" t="str">
        <f t="shared" si="111"/>
        <v>&gt; 132kV</v>
      </c>
      <c r="G251" s="77" t="str">
        <f t="shared" si="108"/>
        <v>Transflex 2_Non-Local Authority_[&gt; 900km]_&gt; 132kV</v>
      </c>
      <c r="H251" s="77" t="str">
        <f t="shared" si="109"/>
        <v>T234N</v>
      </c>
      <c r="I251" s="106">
        <v>641.91999999999996</v>
      </c>
      <c r="J251" s="106">
        <v>160.47999999999999</v>
      </c>
      <c r="K251" s="106">
        <v>106.97</v>
      </c>
      <c r="L251" s="106">
        <v>266.41000000000003</v>
      </c>
      <c r="M251" s="106">
        <v>149.78</v>
      </c>
      <c r="N251" s="106">
        <v>106.97</v>
      </c>
      <c r="O251" s="307" t="s">
        <v>118</v>
      </c>
      <c r="P251" s="307" t="s">
        <v>118</v>
      </c>
      <c r="Q251" s="307" t="s">
        <v>118</v>
      </c>
      <c r="R251" s="307" t="s">
        <v>118</v>
      </c>
      <c r="S251" s="106">
        <v>0</v>
      </c>
      <c r="T251" s="106">
        <v>9959.74</v>
      </c>
      <c r="U251" s="106">
        <v>1704.57</v>
      </c>
      <c r="V251" s="106">
        <v>20.89</v>
      </c>
    </row>
  </sheetData>
  <sheetProtection algorithmName="SHA-512" hashValue="Igz2swtMSHMI1OwjOu5G+5SbUjGHp/EUqpOZIiHpZC9NQV5SllayXR0Bl68XC2xpsUQAtZFg0v7IXPpDoLnP7w==" saltValue="oUv6a8xfZDENrSTCSrLPgQ==" spinCount="100000" sheet="1" objects="1" scenarios="1"/>
  <conditionalFormatting sqref="C56:C86 C122:C152 C155:C185 C23:C53 C89:C91 C93:C95 C97:C99 C101:C103 C105:C107 C109:C111 C113:C115 C117:C119 C188:C202 C204:C218">
    <cfRule type="expression" dxfId="169" priority="89">
      <formula>C23&lt;&gt;C22</formula>
    </cfRule>
  </conditionalFormatting>
  <conditionalFormatting sqref="C55">
    <cfRule type="expression" dxfId="168" priority="90">
      <formula>C55&lt;&gt;C53</formula>
    </cfRule>
  </conditionalFormatting>
  <conditionalFormatting sqref="C187 C154 C88">
    <cfRule type="expression" dxfId="167" priority="87">
      <formula>C88&lt;&gt;C86</formula>
    </cfRule>
  </conditionalFormatting>
  <conditionalFormatting sqref="C121">
    <cfRule type="expression" dxfId="166" priority="91">
      <formula>C121&lt;&gt;#REF!</formula>
    </cfRule>
  </conditionalFormatting>
  <conditionalFormatting sqref="C6">
    <cfRule type="expression" dxfId="165" priority="86">
      <formula>C6&lt;&gt;#REF!</formula>
    </cfRule>
  </conditionalFormatting>
  <conditionalFormatting sqref="C92 C96 C100 C104 C108 C112 C116 C203 C22">
    <cfRule type="expression" dxfId="164" priority="118">
      <formula>C22&lt;&gt;C19</formula>
    </cfRule>
  </conditionalFormatting>
  <conditionalFormatting sqref="I22:N22">
    <cfRule type="cellIs" dxfId="163" priority="85" operator="equal">
      <formula>"n/a"</formula>
    </cfRule>
  </conditionalFormatting>
  <conditionalFormatting sqref="I23:N53">
    <cfRule type="cellIs" dxfId="162" priority="84" operator="equal">
      <formula>"n/a"</formula>
    </cfRule>
  </conditionalFormatting>
  <conditionalFormatting sqref="I55:N55">
    <cfRule type="cellIs" dxfId="161" priority="83" operator="equal">
      <formula>"n/a"</formula>
    </cfRule>
  </conditionalFormatting>
  <conditionalFormatting sqref="I56:N86">
    <cfRule type="cellIs" dxfId="160" priority="82" operator="equal">
      <formula>"n/a"</formula>
    </cfRule>
  </conditionalFormatting>
  <conditionalFormatting sqref="I88:N88">
    <cfRule type="cellIs" dxfId="159" priority="81" operator="equal">
      <formula>"n/a"</formula>
    </cfRule>
  </conditionalFormatting>
  <conditionalFormatting sqref="I89:N103">
    <cfRule type="cellIs" dxfId="158" priority="80" operator="equal">
      <formula>"n/a"</formula>
    </cfRule>
  </conditionalFormatting>
  <conditionalFormatting sqref="S22">
    <cfRule type="cellIs" dxfId="157" priority="79" operator="equal">
      <formula>"n/a"</formula>
    </cfRule>
  </conditionalFormatting>
  <conditionalFormatting sqref="S23:S53">
    <cfRule type="cellIs" dxfId="156" priority="78" operator="equal">
      <formula>"n/a"</formula>
    </cfRule>
  </conditionalFormatting>
  <conditionalFormatting sqref="T55 V55">
    <cfRule type="cellIs" dxfId="155" priority="77" operator="equal">
      <formula>"n/a"</formula>
    </cfRule>
  </conditionalFormatting>
  <conditionalFormatting sqref="T56:T86 V56:V86">
    <cfRule type="cellIs" dxfId="154" priority="76" operator="equal">
      <formula>"n/a"</formula>
    </cfRule>
  </conditionalFormatting>
  <conditionalFormatting sqref="T88 V88">
    <cfRule type="cellIs" dxfId="153" priority="75" operator="equal">
      <formula>"n/a"</formula>
    </cfRule>
  </conditionalFormatting>
  <conditionalFormatting sqref="T89:T103 V89:V103">
    <cfRule type="cellIs" dxfId="152" priority="74" operator="equal">
      <formula>"n/a"</formula>
    </cfRule>
  </conditionalFormatting>
  <conditionalFormatting sqref="O121:S121">
    <cfRule type="cellIs" dxfId="151" priority="73" operator="equal">
      <formula>"n/a"</formula>
    </cfRule>
  </conditionalFormatting>
  <conditionalFormatting sqref="O122:S136">
    <cfRule type="cellIs" dxfId="150" priority="72" operator="equal">
      <formula>"n/a"</formula>
    </cfRule>
  </conditionalFormatting>
  <conditionalFormatting sqref="O154">
    <cfRule type="cellIs" dxfId="149" priority="71" operator="equal">
      <formula>"n/a"</formula>
    </cfRule>
  </conditionalFormatting>
  <conditionalFormatting sqref="O155:O169">
    <cfRule type="cellIs" dxfId="148" priority="70" operator="equal">
      <formula>"n/a"</formula>
    </cfRule>
  </conditionalFormatting>
  <conditionalFormatting sqref="P154:S154">
    <cfRule type="cellIs" dxfId="147" priority="69" operator="equal">
      <formula>"n/a"</formula>
    </cfRule>
  </conditionalFormatting>
  <conditionalFormatting sqref="P155:S169">
    <cfRule type="cellIs" dxfId="146" priority="68" operator="equal">
      <formula>"n/a"</formula>
    </cfRule>
  </conditionalFormatting>
  <conditionalFormatting sqref="O187:R187">
    <cfRule type="cellIs" dxfId="145" priority="67" operator="equal">
      <formula>"n/a"</formula>
    </cfRule>
  </conditionalFormatting>
  <conditionalFormatting sqref="O188:R202">
    <cfRule type="cellIs" dxfId="144" priority="66" operator="equal">
      <formula>"n/a"</formula>
    </cfRule>
  </conditionalFormatting>
  <conditionalFormatting sqref="T187 V187">
    <cfRule type="cellIs" dxfId="143" priority="65" operator="equal">
      <formula>"n/a"</formula>
    </cfRule>
  </conditionalFormatting>
  <conditionalFormatting sqref="T188:T202 V188:V202">
    <cfRule type="cellIs" dxfId="142" priority="64" operator="equal">
      <formula>"n/a"</formula>
    </cfRule>
  </conditionalFormatting>
  <conditionalFormatting sqref="I104:N119">
    <cfRule type="cellIs" dxfId="141" priority="63" operator="equal">
      <formula>"n/a"</formula>
    </cfRule>
  </conditionalFormatting>
  <conditionalFormatting sqref="T104:T119 V104:V119">
    <cfRule type="cellIs" dxfId="140" priority="62" operator="equal">
      <formula>"n/a"</formula>
    </cfRule>
  </conditionalFormatting>
  <conditionalFormatting sqref="I137:N152">
    <cfRule type="cellIs" dxfId="139" priority="61" operator="equal">
      <formula>"n/a"</formula>
    </cfRule>
  </conditionalFormatting>
  <conditionalFormatting sqref="T137:T152 V137:V152">
    <cfRule type="cellIs" dxfId="138" priority="60" operator="equal">
      <formula>"n/a"</formula>
    </cfRule>
  </conditionalFormatting>
  <conditionalFormatting sqref="I170:N185">
    <cfRule type="cellIs" dxfId="137" priority="59" operator="equal">
      <formula>"n/a"</formula>
    </cfRule>
  </conditionalFormatting>
  <conditionalFormatting sqref="T170:T185 V170:V185">
    <cfRule type="cellIs" dxfId="136" priority="58" operator="equal">
      <formula>"n/a"</formula>
    </cfRule>
  </conditionalFormatting>
  <conditionalFormatting sqref="I203:N218">
    <cfRule type="cellIs" dxfId="135" priority="57" operator="equal">
      <formula>"n/a"</formula>
    </cfRule>
  </conditionalFormatting>
  <conditionalFormatting sqref="T203:T218 V203:V218">
    <cfRule type="cellIs" dxfId="134" priority="56" operator="equal">
      <formula>"n/a"</formula>
    </cfRule>
  </conditionalFormatting>
  <conditionalFormatting sqref="S71:S86">
    <cfRule type="cellIs" dxfId="133" priority="55" operator="equal">
      <formula>"n/a"</formula>
    </cfRule>
  </conditionalFormatting>
  <conditionalFormatting sqref="S104:S119">
    <cfRule type="cellIs" dxfId="132" priority="54" operator="equal">
      <formula>"n/a"</formula>
    </cfRule>
  </conditionalFormatting>
  <conditionalFormatting sqref="S137:S152">
    <cfRule type="cellIs" dxfId="131" priority="53" operator="equal">
      <formula>"n/a"</formula>
    </cfRule>
  </conditionalFormatting>
  <conditionalFormatting sqref="S170:S185">
    <cfRule type="cellIs" dxfId="130" priority="52" operator="equal">
      <formula>"n/a"</formula>
    </cfRule>
  </conditionalFormatting>
  <conditionalFormatting sqref="S203:S218">
    <cfRule type="cellIs" dxfId="129" priority="51" operator="equal">
      <formula>"n/a"</formula>
    </cfRule>
  </conditionalFormatting>
  <conditionalFormatting sqref="V22">
    <cfRule type="cellIs" dxfId="128" priority="26" operator="equal">
      <formula>"n/a"</formula>
    </cfRule>
  </conditionalFormatting>
  <conditionalFormatting sqref="V23:V53">
    <cfRule type="cellIs" dxfId="127" priority="25" operator="equal">
      <formula>"n/a"</formula>
    </cfRule>
  </conditionalFormatting>
  <conditionalFormatting sqref="U55">
    <cfRule type="cellIs" dxfId="126" priority="24" operator="equal">
      <formula>"n/a"</formula>
    </cfRule>
  </conditionalFormatting>
  <conditionalFormatting sqref="U56:U86">
    <cfRule type="cellIs" dxfId="125" priority="23" operator="equal">
      <formula>"n/a"</formula>
    </cfRule>
  </conditionalFormatting>
  <conditionalFormatting sqref="U88">
    <cfRule type="cellIs" dxfId="124" priority="22" operator="equal">
      <formula>"n/a"</formula>
    </cfRule>
  </conditionalFormatting>
  <conditionalFormatting sqref="U89:U103">
    <cfRule type="cellIs" dxfId="123" priority="21" operator="equal">
      <formula>"n/a"</formula>
    </cfRule>
  </conditionalFormatting>
  <conditionalFormatting sqref="U187">
    <cfRule type="cellIs" dxfId="122" priority="20" operator="equal">
      <formula>"n/a"</formula>
    </cfRule>
  </conditionalFormatting>
  <conditionalFormatting sqref="U188:U202">
    <cfRule type="cellIs" dxfId="121" priority="19" operator="equal">
      <formula>"n/a"</formula>
    </cfRule>
  </conditionalFormatting>
  <conditionalFormatting sqref="U104:U119">
    <cfRule type="cellIs" dxfId="120" priority="18" operator="equal">
      <formula>"n/a"</formula>
    </cfRule>
  </conditionalFormatting>
  <conditionalFormatting sqref="U137:U152">
    <cfRule type="cellIs" dxfId="119" priority="17" operator="equal">
      <formula>"n/a"</formula>
    </cfRule>
  </conditionalFormatting>
  <conditionalFormatting sqref="U170:U185">
    <cfRule type="cellIs" dxfId="118" priority="16" operator="equal">
      <formula>"n/a"</formula>
    </cfRule>
  </conditionalFormatting>
  <conditionalFormatting sqref="U203:U218">
    <cfRule type="cellIs" dxfId="117" priority="15" operator="equal">
      <formula>"n/a"</formula>
    </cfRule>
  </conditionalFormatting>
  <conditionalFormatting sqref="U22">
    <cfRule type="cellIs" dxfId="116" priority="14" operator="equal">
      <formula>"n/a"</formula>
    </cfRule>
  </conditionalFormatting>
  <conditionalFormatting sqref="U23:U53">
    <cfRule type="cellIs" dxfId="115" priority="13" operator="equal">
      <formula>"n/a"</formula>
    </cfRule>
  </conditionalFormatting>
  <conditionalFormatting sqref="T22:T53">
    <cfRule type="cellIs" dxfId="114" priority="12" operator="equal">
      <formula>"n/a"</formula>
    </cfRule>
  </conditionalFormatting>
  <conditionalFormatting sqref="C221:C251">
    <cfRule type="expression" dxfId="113" priority="10">
      <formula>C221&lt;&gt;C220</formula>
    </cfRule>
  </conditionalFormatting>
  <conditionalFormatting sqref="C220">
    <cfRule type="expression" dxfId="112" priority="11">
      <formula>C220&lt;&gt;C217</formula>
    </cfRule>
  </conditionalFormatting>
  <conditionalFormatting sqref="I220:N220">
    <cfRule type="cellIs" dxfId="111" priority="9" operator="equal">
      <formula>"n/a"</formula>
    </cfRule>
  </conditionalFormatting>
  <conditionalFormatting sqref="I221:N251">
    <cfRule type="cellIs" dxfId="110" priority="8" operator="equal">
      <formula>"n/a"</formula>
    </cfRule>
  </conditionalFormatting>
  <conditionalFormatting sqref="S220">
    <cfRule type="cellIs" dxfId="109" priority="7" operator="equal">
      <formula>"n/a"</formula>
    </cfRule>
  </conditionalFormatting>
  <conditionalFormatting sqref="S221:S251">
    <cfRule type="cellIs" dxfId="108" priority="6" operator="equal">
      <formula>"n/a"</formula>
    </cfRule>
  </conditionalFormatting>
  <conditionalFormatting sqref="V220">
    <cfRule type="cellIs" dxfId="107" priority="5" operator="equal">
      <formula>"n/a"</formula>
    </cfRule>
  </conditionalFormatting>
  <conditionalFormatting sqref="V221:V251">
    <cfRule type="cellIs" dxfId="106" priority="4" operator="equal">
      <formula>"n/a"</formula>
    </cfRule>
  </conditionalFormatting>
  <conditionalFormatting sqref="U220">
    <cfRule type="cellIs" dxfId="105" priority="3" operator="equal">
      <formula>"n/a"</formula>
    </cfRule>
  </conditionalFormatting>
  <conditionalFormatting sqref="U221:U251">
    <cfRule type="cellIs" dxfId="104" priority="2" operator="equal">
      <formula>"n/a"</formula>
    </cfRule>
  </conditionalFormatting>
  <conditionalFormatting sqref="T220:T251">
    <cfRule type="cellIs" dxfId="103" priority="1" operator="equal">
      <formula>"n/a"</formula>
    </cfRule>
  </conditionalFormatting>
  <dataValidations count="4">
    <dataValidation type="list" allowBlank="1" showInputMessage="1" showErrorMessage="1" sqref="C22:C53 C55:C86 C121:C152 C154:C185 C88:C119 C187:C218 C220:C251" xr:uid="{00000000-0002-0000-0E00-000000000000}">
      <formula1>Base_Tariff_List</formula1>
    </dataValidation>
    <dataValidation type="list" allowBlank="1" showInputMessage="1" showErrorMessage="1" sqref="F154:F169 F22:F37 F55:F70 F121:F136 F88:F103 F187:F202 F220:F235" xr:uid="{00000000-0002-0000-0E00-000001000000}">
      <formula1>Voltage_List</formula1>
    </dataValidation>
    <dataValidation type="list" allowBlank="1" showInputMessage="1" showErrorMessage="1" sqref="F170:F185 F71:F86 F38:F53 F137:F152 E22:E53 E55:E86 E121:E152 E154:E185 E88:E119 E187:E218 F104:F119 F203:F218 F236:F251 E220:E251" xr:uid="{00000000-0002-0000-0E00-000002000000}">
      <formula1>Transmission_List</formula1>
    </dataValidation>
    <dataValidation type="list" allowBlank="1" showInputMessage="1" showErrorMessage="1" sqref="D22:D53 D55:D86 D121:D152 D154:D185 D88:D119 D187:D218 D220:D251" xr:uid="{00000000-0002-0000-0E00-000003000000}">
      <formula1>Tariff_Category_List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5">
    <tabColor rgb="FF92D050"/>
  </sheetPr>
  <dimension ref="B1:V281"/>
  <sheetViews>
    <sheetView showGridLines="0" zoomScale="85" zoomScaleNormal="85" workbookViewId="0">
      <pane xSplit="7" ySplit="7" topLeftCell="J231" activePane="bottomRight" state="frozen"/>
      <selection activeCell="A5" sqref="A5"/>
      <selection pane="topRight" activeCell="A5" sqref="A5"/>
      <selection pane="bottomLeft" activeCell="A5" sqref="A5"/>
      <selection pane="bottomRight" activeCell="R177" sqref="R177:V177"/>
    </sheetView>
  </sheetViews>
  <sheetFormatPr defaultColWidth="9.28515625" defaultRowHeight="12"/>
  <cols>
    <col min="1" max="1" width="2.7109375" customWidth="1"/>
    <col min="2" max="2" width="12.7109375" customWidth="1"/>
    <col min="3" max="3" width="15.7109375" customWidth="1"/>
    <col min="4" max="4" width="19.140625" bestFit="1" customWidth="1"/>
    <col min="5" max="5" width="20" customWidth="1"/>
    <col min="6" max="6" width="16" customWidth="1"/>
    <col min="7" max="7" width="47" bestFit="1" customWidth="1"/>
    <col min="8" max="22" width="12.7109375" customWidth="1"/>
  </cols>
  <sheetData>
    <row r="1" spans="3:22" ht="4.05" customHeight="1"/>
    <row r="2" spans="3:22" ht="33" customHeight="1">
      <c r="G2" t="str">
        <f ca="1">'Rates Table'!E62</f>
        <v>Miniflex_Non-Local Authority_[0 - 300km]_&lt; 500V</v>
      </c>
    </row>
    <row r="3" spans="3:22" ht="4.05" customHeight="1"/>
    <row r="4" spans="3:22" ht="15">
      <c r="C4" s="2" t="str">
        <f>"Large Power User | Energy Charge Inputs | "&amp;Current_Period</f>
        <v>Large Power User | Energy Charge Inputs | 2025/26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3:22">
      <c r="H5" s="56"/>
      <c r="I5" s="20" t="s">
        <v>106</v>
      </c>
      <c r="J5" s="20" t="s">
        <v>106</v>
      </c>
      <c r="K5" s="20" t="s">
        <v>106</v>
      </c>
      <c r="L5" s="20" t="s">
        <v>106</v>
      </c>
      <c r="M5" s="20" t="s">
        <v>106</v>
      </c>
      <c r="N5" s="20" t="s">
        <v>106</v>
      </c>
      <c r="O5" s="20" t="s">
        <v>106</v>
      </c>
      <c r="P5" s="20" t="s">
        <v>106</v>
      </c>
      <c r="Q5" s="28" t="s">
        <v>92</v>
      </c>
      <c r="R5" s="28" t="s">
        <v>92</v>
      </c>
      <c r="S5" s="28" t="s">
        <v>92</v>
      </c>
      <c r="T5" s="28" t="s">
        <v>92</v>
      </c>
      <c r="U5" s="28" t="s">
        <v>508</v>
      </c>
      <c r="V5" s="28" t="s">
        <v>106</v>
      </c>
    </row>
    <row r="6" spans="3:22" s="77" customFormat="1" ht="13.8">
      <c r="C6" s="69" t="s">
        <v>159</v>
      </c>
      <c r="D6" s="70"/>
      <c r="E6" s="70"/>
      <c r="F6" s="71"/>
      <c r="G6" s="72"/>
      <c r="I6" s="73" t="s">
        <v>75</v>
      </c>
      <c r="J6" s="74"/>
      <c r="K6" s="74"/>
      <c r="L6" s="74"/>
      <c r="M6" s="74"/>
      <c r="N6" s="130"/>
      <c r="O6" s="73" t="s">
        <v>75</v>
      </c>
      <c r="P6" s="130"/>
      <c r="Q6" s="131" t="s">
        <v>117</v>
      </c>
      <c r="R6" s="132"/>
      <c r="S6" s="302"/>
      <c r="T6" s="302"/>
    </row>
    <row r="7" spans="3:22" s="77" customFormat="1" ht="55.2">
      <c r="C7" s="75" t="s">
        <v>31</v>
      </c>
      <c r="D7" s="76" t="s">
        <v>32</v>
      </c>
      <c r="E7" s="76" t="s">
        <v>33</v>
      </c>
      <c r="F7" s="76" t="s">
        <v>34</v>
      </c>
      <c r="G7" s="76" t="s">
        <v>76</v>
      </c>
      <c r="H7" s="76" t="s">
        <v>247</v>
      </c>
      <c r="I7" s="76" t="s">
        <v>35</v>
      </c>
      <c r="J7" s="76" t="s">
        <v>36</v>
      </c>
      <c r="K7" s="76" t="s">
        <v>37</v>
      </c>
      <c r="L7" s="76" t="s">
        <v>38</v>
      </c>
      <c r="M7" s="76" t="s">
        <v>39</v>
      </c>
      <c r="N7" s="76" t="s">
        <v>40</v>
      </c>
      <c r="O7" s="76" t="s">
        <v>150</v>
      </c>
      <c r="P7" s="76" t="s">
        <v>151</v>
      </c>
      <c r="Q7" s="76" t="s">
        <v>22</v>
      </c>
      <c r="R7" s="76" t="s">
        <v>21</v>
      </c>
      <c r="S7" s="76" t="s">
        <v>100</v>
      </c>
      <c r="T7" s="76" t="s">
        <v>394</v>
      </c>
      <c r="U7" s="76" t="s">
        <v>505</v>
      </c>
      <c r="V7" s="76" t="s">
        <v>533</v>
      </c>
    </row>
    <row r="8" spans="3:22" s="77" customFormat="1" ht="13.8">
      <c r="C8" s="77" t="s">
        <v>41</v>
      </c>
      <c r="D8" s="77" t="str">
        <f t="shared" ref="D8:D13" si="0">Selected_Tariff_Category</f>
        <v>Non-Local Authority</v>
      </c>
      <c r="E8" s="77" t="str">
        <f t="shared" ref="E8:E13" ca="1" si="1">Selected_Transmission</f>
        <v>[0 - 300km]</v>
      </c>
      <c r="F8" s="77" t="str">
        <f t="shared" ref="F8:F13" ca="1" si="2">Selected_Supply_Voltage</f>
        <v>&lt; 500V</v>
      </c>
      <c r="G8" s="77" t="str">
        <f t="shared" ref="G8:G14" ca="1" si="3">C8&amp;"_"&amp;D8&amp;"_"&amp;E8&amp;"_"&amp;F8</f>
        <v>Megaflex_Non-Local Authority_[0 - 300km]_&lt; 500V</v>
      </c>
      <c r="H8" s="107" t="str">
        <f t="shared" ref="H8:V16" ca="1" si="4">INDEX(H$22:H$251,MATCH($G8,$G$22:$G$251,0))</f>
        <v>Me01N</v>
      </c>
      <c r="I8" s="107">
        <f t="shared" ca="1" si="4"/>
        <v>684.59</v>
      </c>
      <c r="J8" s="107">
        <f t="shared" ca="1" si="4"/>
        <v>171.15</v>
      </c>
      <c r="K8" s="107">
        <f t="shared" ca="1" si="4"/>
        <v>114.09</v>
      </c>
      <c r="L8" s="107">
        <f t="shared" ca="1" si="4"/>
        <v>284.12</v>
      </c>
      <c r="M8" s="107">
        <f t="shared" ca="1" si="4"/>
        <v>159.74</v>
      </c>
      <c r="N8" s="107">
        <f t="shared" ca="1" si="4"/>
        <v>114.09</v>
      </c>
      <c r="O8" s="107" t="str">
        <f t="shared" ca="1" si="4"/>
        <v>n/a</v>
      </c>
      <c r="P8" s="107" t="str">
        <f t="shared" ca="1" si="4"/>
        <v>n/a</v>
      </c>
      <c r="Q8" s="107" t="str">
        <f t="shared" ca="1" si="4"/>
        <v>n/a</v>
      </c>
      <c r="R8" s="107" t="str">
        <f t="shared" ca="1" si="4"/>
        <v>n/a</v>
      </c>
      <c r="S8" s="107">
        <f t="shared" ca="1" si="4"/>
        <v>10.63</v>
      </c>
      <c r="T8" s="107" t="str">
        <f t="shared" ca="1" si="4"/>
        <v>n/a</v>
      </c>
      <c r="U8" s="107">
        <f t="shared" ca="1" si="4"/>
        <v>3.49</v>
      </c>
      <c r="V8" s="107">
        <f t="shared" ca="1" si="4"/>
        <v>22.78</v>
      </c>
    </row>
    <row r="9" spans="3:22" s="77" customFormat="1" ht="13.8">
      <c r="C9" s="77" t="s">
        <v>42</v>
      </c>
      <c r="D9" s="77" t="str">
        <f t="shared" si="0"/>
        <v>Non-Local Authority</v>
      </c>
      <c r="E9" s="77" t="str">
        <f t="shared" ca="1" si="1"/>
        <v>[0 - 300km]</v>
      </c>
      <c r="F9" s="77" t="str">
        <f t="shared" ca="1" si="2"/>
        <v>&lt; 500V</v>
      </c>
      <c r="G9" s="77" t="str">
        <f t="shared" ca="1" si="3"/>
        <v>Miniflex_Non-Local Authority_[0 - 300km]_&lt; 500V</v>
      </c>
      <c r="H9" s="241" t="str">
        <f t="shared" ca="1" si="4"/>
        <v>Mi01N</v>
      </c>
      <c r="I9" s="107">
        <f t="shared" ca="1" si="4"/>
        <v>684.59</v>
      </c>
      <c r="J9" s="107">
        <f t="shared" ca="1" si="4"/>
        <v>171.15</v>
      </c>
      <c r="K9" s="107">
        <f t="shared" ca="1" si="4"/>
        <v>114.09</v>
      </c>
      <c r="L9" s="107">
        <f t="shared" ca="1" si="4"/>
        <v>284.12</v>
      </c>
      <c r="M9" s="107">
        <f t="shared" ca="1" si="4"/>
        <v>159.74</v>
      </c>
      <c r="N9" s="107">
        <f t="shared" ca="1" si="4"/>
        <v>114.09</v>
      </c>
      <c r="O9" s="107" t="str">
        <f t="shared" ca="1" si="4"/>
        <v>n/a</v>
      </c>
      <c r="P9" s="107" t="str">
        <f t="shared" ca="1" si="4"/>
        <v>n/a</v>
      </c>
      <c r="Q9" s="107" t="str">
        <f t="shared" ca="1" si="4"/>
        <v>n/a</v>
      </c>
      <c r="R9" s="107" t="str">
        <f t="shared" ca="1" si="4"/>
        <v>n/a</v>
      </c>
      <c r="S9" s="107" t="str">
        <f t="shared" ca="1" si="4"/>
        <v>n/a</v>
      </c>
      <c r="T9" s="107">
        <f t="shared" ca="1" si="4"/>
        <v>49.85</v>
      </c>
      <c r="U9" s="107">
        <f t="shared" ca="1" si="4"/>
        <v>3.49</v>
      </c>
      <c r="V9" s="107">
        <f t="shared" ca="1" si="4"/>
        <v>22.78</v>
      </c>
    </row>
    <row r="10" spans="3:22" s="77" customFormat="1" ht="13.8">
      <c r="C10" s="77" t="s">
        <v>46</v>
      </c>
      <c r="D10" s="77" t="str">
        <f t="shared" si="0"/>
        <v>Non-Local Authority</v>
      </c>
      <c r="E10" s="77" t="str">
        <f t="shared" ca="1" si="1"/>
        <v>[0 - 300km]</v>
      </c>
      <c r="F10" s="77" t="str">
        <f t="shared" ca="1" si="2"/>
        <v>&lt; 500V</v>
      </c>
      <c r="G10" s="77" t="str">
        <f t="shared" ca="1" si="3"/>
        <v>Ruraflex_Non-Local Authority_[0 - 300km]_&lt; 500V</v>
      </c>
      <c r="H10" s="241" t="str">
        <f t="shared" ca="1" si="4"/>
        <v>Ru01N</v>
      </c>
      <c r="I10" s="107">
        <f t="shared" ca="1" si="4"/>
        <v>690.99</v>
      </c>
      <c r="J10" s="107">
        <f t="shared" ca="1" si="4"/>
        <v>172.75</v>
      </c>
      <c r="K10" s="107">
        <f t="shared" ca="1" si="4"/>
        <v>115.16</v>
      </c>
      <c r="L10" s="107">
        <f t="shared" ca="1" si="4"/>
        <v>286.77</v>
      </c>
      <c r="M10" s="107">
        <f t="shared" ca="1" si="4"/>
        <v>161.22999999999999</v>
      </c>
      <c r="N10" s="107">
        <f t="shared" ca="1" si="4"/>
        <v>115.16</v>
      </c>
      <c r="O10" s="107" t="str">
        <f t="shared" ca="1" si="4"/>
        <v>n/a</v>
      </c>
      <c r="P10" s="107" t="str">
        <f t="shared" ca="1" si="4"/>
        <v>n/a</v>
      </c>
      <c r="Q10" s="107" t="str">
        <f t="shared" ca="1" si="4"/>
        <v>n/a</v>
      </c>
      <c r="R10" s="107" t="str">
        <f t="shared" ca="1" si="4"/>
        <v>n/a</v>
      </c>
      <c r="S10" s="107" t="str">
        <f t="shared" ca="1" si="4"/>
        <v>n/a</v>
      </c>
      <c r="T10" s="107">
        <f t="shared" ca="1" si="4"/>
        <v>52.04</v>
      </c>
      <c r="U10" s="107">
        <f t="shared" ca="1" si="4"/>
        <v>3.34</v>
      </c>
      <c r="V10" s="107">
        <f t="shared" ca="1" si="4"/>
        <v>23</v>
      </c>
    </row>
    <row r="11" spans="3:22" s="77" customFormat="1" ht="13.8">
      <c r="C11" s="77" t="s">
        <v>45</v>
      </c>
      <c r="D11" s="77" t="str">
        <f t="shared" si="0"/>
        <v>Non-Local Authority</v>
      </c>
      <c r="E11" s="77" t="str">
        <f t="shared" ca="1" si="1"/>
        <v>[0 - 300km]</v>
      </c>
      <c r="F11" s="77" t="str">
        <f t="shared" ca="1" si="2"/>
        <v>&lt; 500V</v>
      </c>
      <c r="G11" s="77" t="str">
        <f t="shared" ca="1" si="3"/>
        <v>Nightsave Small_Non-Local Authority_[0 - 300km]_&lt; 500V</v>
      </c>
      <c r="H11" s="241" t="str">
        <f t="shared" ca="1" si="4"/>
        <v>NS01N</v>
      </c>
      <c r="I11" s="107" t="str">
        <f t="shared" ca="1" si="4"/>
        <v>n/a</v>
      </c>
      <c r="J11" s="107" t="str">
        <f t="shared" ca="1" si="4"/>
        <v>n/a</v>
      </c>
      <c r="K11" s="107" t="str">
        <f t="shared" ca="1" si="4"/>
        <v>n/a</v>
      </c>
      <c r="L11" s="107" t="str">
        <f t="shared" ca="1" si="4"/>
        <v>n/a</v>
      </c>
      <c r="M11" s="107" t="str">
        <f t="shared" ca="1" si="4"/>
        <v>n/a</v>
      </c>
      <c r="N11" s="107" t="str">
        <f t="shared" ca="1" si="4"/>
        <v>n/a</v>
      </c>
      <c r="O11" s="107">
        <f t="shared" ca="1" si="4"/>
        <v>168.44</v>
      </c>
      <c r="P11" s="107">
        <f t="shared" ca="1" si="4"/>
        <v>161.80000000000001</v>
      </c>
      <c r="Q11" s="107">
        <f t="shared" ca="1" si="4"/>
        <v>314.20999999999998</v>
      </c>
      <c r="R11" s="107">
        <f t="shared" ca="1" si="4"/>
        <v>73.510000000000005</v>
      </c>
      <c r="S11" s="107">
        <f t="shared" ca="1" si="4"/>
        <v>10.63</v>
      </c>
      <c r="T11" s="107" t="str">
        <f t="shared" ca="1" si="4"/>
        <v>n/a</v>
      </c>
      <c r="U11" s="107">
        <f t="shared" ca="1" si="4"/>
        <v>3.49</v>
      </c>
      <c r="V11" s="107" t="str">
        <f t="shared" ca="1" si="4"/>
        <v>n/a</v>
      </c>
    </row>
    <row r="12" spans="3:22" s="77" customFormat="1" ht="13.8">
      <c r="C12" s="77" t="s">
        <v>624</v>
      </c>
      <c r="D12" s="77" t="str">
        <f t="shared" si="0"/>
        <v>Non-Local Authority</v>
      </c>
      <c r="E12" s="77" t="str">
        <f t="shared" ca="1" si="1"/>
        <v>[0 - 300km]</v>
      </c>
      <c r="F12" s="77" t="str">
        <f t="shared" ca="1" si="2"/>
        <v>&lt; 500V</v>
      </c>
      <c r="G12" s="77" t="str">
        <f t="shared" ca="1" si="3"/>
        <v>Nightsave Urban_Non-Local Authority_[0 - 300km]_&lt; 500V</v>
      </c>
      <c r="H12" s="241" t="str">
        <f t="shared" ca="1" si="4"/>
        <v>NL01N</v>
      </c>
      <c r="I12" s="107" t="str">
        <f t="shared" ca="1" si="4"/>
        <v>n/a</v>
      </c>
      <c r="J12" s="107" t="str">
        <f t="shared" ca="1" si="4"/>
        <v>n/a</v>
      </c>
      <c r="K12" s="107" t="str">
        <f t="shared" ca="1" si="4"/>
        <v>n/a</v>
      </c>
      <c r="L12" s="107" t="str">
        <f t="shared" ca="1" si="4"/>
        <v>n/a</v>
      </c>
      <c r="M12" s="107" t="str">
        <f t="shared" ca="1" si="4"/>
        <v>n/a</v>
      </c>
      <c r="N12" s="107" t="str">
        <f t="shared" ca="1" si="4"/>
        <v>n/a</v>
      </c>
      <c r="O12" s="107">
        <f t="shared" ca="1" si="4"/>
        <v>168.44</v>
      </c>
      <c r="P12" s="107">
        <f t="shared" ca="1" si="4"/>
        <v>161.80000000000001</v>
      </c>
      <c r="Q12" s="107">
        <f t="shared" ca="1" si="4"/>
        <v>314.20999999999998</v>
      </c>
      <c r="R12" s="107">
        <f t="shared" ca="1" si="4"/>
        <v>73.510000000000005</v>
      </c>
      <c r="S12" s="107">
        <f t="shared" ca="1" si="4"/>
        <v>10.63</v>
      </c>
      <c r="T12" s="107" t="str">
        <f t="shared" ca="1" si="4"/>
        <v>n/a</v>
      </c>
      <c r="U12" s="107">
        <f t="shared" ca="1" si="4"/>
        <v>3.49</v>
      </c>
      <c r="V12" s="107">
        <f t="shared" ca="1" si="4"/>
        <v>22.78</v>
      </c>
    </row>
    <row r="13" spans="3:22" s="77" customFormat="1" ht="13.8">
      <c r="C13" s="77" t="s">
        <v>44</v>
      </c>
      <c r="D13" s="77" t="str">
        <f t="shared" si="0"/>
        <v>Non-Local Authority</v>
      </c>
      <c r="E13" s="77" t="str">
        <f t="shared" ca="1" si="1"/>
        <v>[0 - 300km]</v>
      </c>
      <c r="F13" s="77" t="str">
        <f t="shared" ca="1" si="2"/>
        <v>&lt; 500V</v>
      </c>
      <c r="G13" s="77" t="str">
        <f t="shared" ca="1" si="3"/>
        <v>Nightsave Rural_Non-Local Authority_[0 - 300km]_&lt; 500V</v>
      </c>
      <c r="H13" s="241" t="str">
        <f t="shared" ca="1" si="4"/>
        <v>NR01N</v>
      </c>
      <c r="I13" s="107" t="str">
        <f t="shared" ca="1" si="4"/>
        <v>n/a</v>
      </c>
      <c r="J13" s="107" t="str">
        <f t="shared" ca="1" si="4"/>
        <v>n/a</v>
      </c>
      <c r="K13" s="107" t="str">
        <f t="shared" ca="1" si="4"/>
        <v>n/a</v>
      </c>
      <c r="L13" s="107" t="str">
        <f t="shared" ca="1" si="4"/>
        <v>n/a</v>
      </c>
      <c r="M13" s="107" t="str">
        <f t="shared" ca="1" si="4"/>
        <v>n/a</v>
      </c>
      <c r="N13" s="107" t="str">
        <f t="shared" ca="1" si="4"/>
        <v>n/a</v>
      </c>
      <c r="O13" s="107">
        <f t="shared" ca="1" si="4"/>
        <v>153.69</v>
      </c>
      <c r="P13" s="107">
        <f t="shared" ca="1" si="4"/>
        <v>147.72999999999999</v>
      </c>
      <c r="Q13" s="107">
        <f t="shared" ca="1" si="4"/>
        <v>408.5</v>
      </c>
      <c r="R13" s="107">
        <f t="shared" ca="1" si="4"/>
        <v>95.59</v>
      </c>
      <c r="S13" s="107" t="str">
        <f t="shared" ca="1" si="4"/>
        <v>n/a</v>
      </c>
      <c r="T13" s="107">
        <f t="shared" ca="1" si="4"/>
        <v>52.04</v>
      </c>
      <c r="U13" s="107">
        <f t="shared" ca="1" si="4"/>
        <v>3.34</v>
      </c>
      <c r="V13" s="107">
        <f t="shared" ca="1" si="4"/>
        <v>23</v>
      </c>
    </row>
    <row r="14" spans="3:22" s="77" customFormat="1" ht="13.8">
      <c r="C14" s="77" t="s">
        <v>465</v>
      </c>
      <c r="D14" s="77" t="str">
        <f>Selected_Tariff_Category</f>
        <v>Non-Local Authority</v>
      </c>
      <c r="E14" s="77" t="str">
        <f ca="1">Selected_Transmission</f>
        <v>[0 - 300km]</v>
      </c>
      <c r="F14" s="77" t="str">
        <f ca="1">Selected_Supply_Voltage</f>
        <v>&lt; 500V</v>
      </c>
      <c r="G14" s="77" t="str">
        <f t="shared" ca="1" si="3"/>
        <v>Municflex_Non-Local Authority_[0 - 300km]_&lt; 500V</v>
      </c>
      <c r="H14" s="241" t="e">
        <f t="shared" ca="1" si="4"/>
        <v>#N/A</v>
      </c>
      <c r="I14" s="107" t="e">
        <f t="shared" ca="1" si="4"/>
        <v>#N/A</v>
      </c>
      <c r="J14" s="107" t="e">
        <f t="shared" ca="1" si="4"/>
        <v>#N/A</v>
      </c>
      <c r="K14" s="107" t="e">
        <f t="shared" ca="1" si="4"/>
        <v>#N/A</v>
      </c>
      <c r="L14" s="107" t="e">
        <f t="shared" ca="1" si="4"/>
        <v>#N/A</v>
      </c>
      <c r="M14" s="107" t="e">
        <f t="shared" ca="1" si="4"/>
        <v>#N/A</v>
      </c>
      <c r="N14" s="107" t="e">
        <f t="shared" ca="1" si="4"/>
        <v>#N/A</v>
      </c>
      <c r="O14" s="107" t="e">
        <f t="shared" ca="1" si="4"/>
        <v>#N/A</v>
      </c>
      <c r="P14" s="107" t="e">
        <f t="shared" ca="1" si="4"/>
        <v>#N/A</v>
      </c>
      <c r="Q14" s="107" t="e">
        <f t="shared" ca="1" si="4"/>
        <v>#N/A</v>
      </c>
      <c r="R14" s="107" t="e">
        <f t="shared" ca="1" si="4"/>
        <v>#N/A</v>
      </c>
      <c r="S14" s="107" t="e">
        <f t="shared" ca="1" si="4"/>
        <v>#N/A</v>
      </c>
      <c r="T14" s="107" t="e">
        <f t="shared" ca="1" si="4"/>
        <v>#N/A</v>
      </c>
      <c r="U14" s="107" t="e">
        <f t="shared" ca="1" si="4"/>
        <v>#N/A</v>
      </c>
      <c r="V14" s="107" t="e">
        <f t="shared" ca="1" si="4"/>
        <v>#N/A</v>
      </c>
    </row>
    <row r="15" spans="3:22" s="77" customFormat="1" ht="13.8">
      <c r="C15" s="289" t="s">
        <v>583</v>
      </c>
      <c r="D15" s="289" t="str">
        <f>Selected_Tariff_Category</f>
        <v>Non-Local Authority</v>
      </c>
      <c r="E15" s="289" t="str">
        <f ca="1">Selected_Transmission</f>
        <v>[0 - 300km]</v>
      </c>
      <c r="F15" s="289" t="str">
        <f ca="1">Selected_Supply_Voltage</f>
        <v>&lt; 500V</v>
      </c>
      <c r="G15" s="289" t="str">
        <f ca="1">C15&amp;"_"&amp;D15&amp;"_"&amp;E15&amp;"_"&amp;F15</f>
        <v>Transflex 1_Non-Local Authority_[0 - 300km]_&lt; 500V</v>
      </c>
      <c r="H15" s="360" t="str">
        <f t="shared" ca="1" si="4"/>
        <v>T101N</v>
      </c>
      <c r="I15" s="282">
        <f t="shared" ca="1" si="4"/>
        <v>684.59</v>
      </c>
      <c r="J15" s="282">
        <f t="shared" ca="1" si="4"/>
        <v>171.15</v>
      </c>
      <c r="K15" s="282">
        <f t="shared" ca="1" si="4"/>
        <v>114.09</v>
      </c>
      <c r="L15" s="282">
        <f t="shared" ca="1" si="4"/>
        <v>284.12</v>
      </c>
      <c r="M15" s="282">
        <f t="shared" ca="1" si="4"/>
        <v>159.74</v>
      </c>
      <c r="N15" s="282">
        <f t="shared" ca="1" si="4"/>
        <v>114.09</v>
      </c>
      <c r="O15" s="282" t="str">
        <f t="shared" ca="1" si="4"/>
        <v>n/a</v>
      </c>
      <c r="P15" s="282" t="str">
        <f t="shared" ca="1" si="4"/>
        <v>n/a</v>
      </c>
      <c r="Q15" s="282" t="str">
        <f t="shared" ca="1" si="4"/>
        <v>n/a</v>
      </c>
      <c r="R15" s="282" t="str">
        <f t="shared" ca="1" si="4"/>
        <v>n/a</v>
      </c>
      <c r="S15" s="107">
        <f t="shared" ca="1" si="4"/>
        <v>0</v>
      </c>
      <c r="T15" s="107">
        <f t="shared" ca="1" si="4"/>
        <v>6962.2</v>
      </c>
      <c r="U15" s="282">
        <f t="shared" ca="1" si="4"/>
        <v>1376.74</v>
      </c>
      <c r="V15" s="282">
        <f t="shared" ca="1" si="4"/>
        <v>22.78</v>
      </c>
    </row>
    <row r="16" spans="3:22" s="77" customFormat="1" ht="13.8">
      <c r="C16" s="289" t="s">
        <v>584</v>
      </c>
      <c r="D16" s="289" t="str">
        <f>Selected_Tariff_Category</f>
        <v>Non-Local Authority</v>
      </c>
      <c r="E16" s="289" t="str">
        <f ca="1">Selected_Transmission</f>
        <v>[0 - 300km]</v>
      </c>
      <c r="F16" s="289" t="str">
        <f ca="1">Selected_Supply_Voltage</f>
        <v>&lt; 500V</v>
      </c>
      <c r="G16" s="289" t="str">
        <f ca="1">C16&amp;"_"&amp;D16&amp;"_"&amp;E16&amp;"_"&amp;F16</f>
        <v>Transflex 2_Non-Local Authority_[0 - 300km]_&lt; 500V</v>
      </c>
      <c r="H16" s="360" t="str">
        <f t="shared" ca="1" si="4"/>
        <v>T201N</v>
      </c>
      <c r="I16" s="282">
        <f t="shared" ca="1" si="4"/>
        <v>684.59</v>
      </c>
      <c r="J16" s="282">
        <f t="shared" ca="1" si="4"/>
        <v>171.15</v>
      </c>
      <c r="K16" s="282">
        <f t="shared" ca="1" si="4"/>
        <v>114.09</v>
      </c>
      <c r="L16" s="282">
        <f t="shared" ca="1" si="4"/>
        <v>284.12</v>
      </c>
      <c r="M16" s="282">
        <f t="shared" ca="1" si="4"/>
        <v>159.74</v>
      </c>
      <c r="N16" s="282">
        <f t="shared" ca="1" si="4"/>
        <v>114.09</v>
      </c>
      <c r="O16" s="282" t="str">
        <f t="shared" ca="1" si="4"/>
        <v>n/a</v>
      </c>
      <c r="P16" s="282" t="str">
        <f t="shared" ca="1" si="4"/>
        <v>n/a</v>
      </c>
      <c r="Q16" s="282" t="str">
        <f t="shared" ca="1" si="4"/>
        <v>n/a</v>
      </c>
      <c r="R16" s="282" t="str">
        <f t="shared" ca="1" si="4"/>
        <v>n/a</v>
      </c>
      <c r="S16" s="107">
        <f t="shared" ca="1" si="4"/>
        <v>0</v>
      </c>
      <c r="T16" s="107">
        <f t="shared" ca="1" si="4"/>
        <v>10547.1</v>
      </c>
      <c r="U16" s="282">
        <f t="shared" ca="1" si="4"/>
        <v>1332.88</v>
      </c>
      <c r="V16" s="282">
        <f t="shared" ca="1" si="4"/>
        <v>22.78</v>
      </c>
    </row>
    <row r="17" spans="3:22" s="77" customFormat="1" ht="13.2" customHeight="1"/>
    <row r="18" spans="3:22" s="77" customFormat="1" ht="13.8">
      <c r="T18" s="77" t="s">
        <v>303</v>
      </c>
    </row>
    <row r="19" spans="3:22" s="77" customFormat="1" ht="55.2">
      <c r="C19" s="109" t="s">
        <v>31</v>
      </c>
      <c r="D19" s="110" t="s">
        <v>32</v>
      </c>
      <c r="E19" s="110" t="s">
        <v>33</v>
      </c>
      <c r="F19" s="110" t="s">
        <v>34</v>
      </c>
      <c r="G19" s="110" t="s">
        <v>76</v>
      </c>
      <c r="H19" s="110" t="s">
        <v>247</v>
      </c>
      <c r="I19" s="110" t="s">
        <v>35</v>
      </c>
      <c r="J19" s="110" t="s">
        <v>36</v>
      </c>
      <c r="K19" s="110" t="s">
        <v>37</v>
      </c>
      <c r="L19" s="110" t="s">
        <v>38</v>
      </c>
      <c r="M19" s="110" t="s">
        <v>39</v>
      </c>
      <c r="N19" s="110" t="s">
        <v>40</v>
      </c>
      <c r="O19" s="110" t="s">
        <v>22</v>
      </c>
      <c r="P19" s="110" t="s">
        <v>21</v>
      </c>
      <c r="Q19" s="110" t="s">
        <v>22</v>
      </c>
      <c r="R19" s="110" t="s">
        <v>21</v>
      </c>
      <c r="S19" s="110" t="s">
        <v>91</v>
      </c>
      <c r="T19" s="110" t="s">
        <v>93</v>
      </c>
      <c r="U19" s="110" t="s">
        <v>505</v>
      </c>
      <c r="V19" s="110" t="s">
        <v>533</v>
      </c>
    </row>
    <row r="20" spans="3:22" s="77" customFormat="1" ht="13.8">
      <c r="C20" s="111"/>
      <c r="D20" s="112"/>
      <c r="E20" s="112"/>
      <c r="F20" s="112"/>
      <c r="G20" s="112"/>
      <c r="H20" s="112"/>
      <c r="I20" s="112" t="s">
        <v>106</v>
      </c>
      <c r="J20" s="112" t="s">
        <v>106</v>
      </c>
      <c r="K20" s="112" t="s">
        <v>106</v>
      </c>
      <c r="L20" s="112" t="s">
        <v>106</v>
      </c>
      <c r="M20" s="112" t="s">
        <v>106</v>
      </c>
      <c r="N20" s="112" t="s">
        <v>106</v>
      </c>
      <c r="O20" s="112" t="s">
        <v>106</v>
      </c>
      <c r="P20" s="112" t="s">
        <v>106</v>
      </c>
      <c r="Q20" s="112" t="s">
        <v>108</v>
      </c>
      <c r="R20" s="112" t="s">
        <v>108</v>
      </c>
      <c r="S20" s="112" t="s">
        <v>108</v>
      </c>
      <c r="T20" s="112" t="s">
        <v>108</v>
      </c>
      <c r="U20" s="112" t="s">
        <v>108</v>
      </c>
      <c r="V20" s="112" t="s">
        <v>106</v>
      </c>
    </row>
    <row r="21" spans="3:22" s="77" customFormat="1" ht="13.8">
      <c r="C21" s="125"/>
      <c r="D21" s="126"/>
      <c r="E21" s="126"/>
      <c r="F21" s="126"/>
      <c r="G21" s="126"/>
      <c r="H21" s="127"/>
      <c r="I21" s="128" t="s">
        <v>276</v>
      </c>
      <c r="J21" s="128" t="s">
        <v>277</v>
      </c>
      <c r="K21" s="128" t="s">
        <v>278</v>
      </c>
      <c r="L21" s="128" t="s">
        <v>279</v>
      </c>
      <c r="M21" s="128" t="s">
        <v>280</v>
      </c>
      <c r="N21" s="128" t="s">
        <v>281</v>
      </c>
      <c r="O21" s="128" t="s">
        <v>276</v>
      </c>
      <c r="P21" s="128" t="s">
        <v>279</v>
      </c>
      <c r="Q21" s="129" t="s">
        <v>282</v>
      </c>
      <c r="R21" s="129" t="s">
        <v>283</v>
      </c>
      <c r="S21" s="129" t="s">
        <v>284</v>
      </c>
      <c r="T21" s="129" t="s">
        <v>285</v>
      </c>
      <c r="U21" s="129" t="s">
        <v>504</v>
      </c>
      <c r="V21" s="129" t="s">
        <v>532</v>
      </c>
    </row>
    <row r="22" spans="3:22" s="77" customFormat="1" ht="13.8">
      <c r="C22" s="77" t="s">
        <v>41</v>
      </c>
      <c r="D22" s="77" t="s">
        <v>72</v>
      </c>
      <c r="E22" s="77" t="s">
        <v>67</v>
      </c>
      <c r="F22" s="77" t="s">
        <v>62</v>
      </c>
      <c r="G22" s="77" t="str">
        <f>C22&amp;"_"&amp;D22&amp;"_"&amp;E22&amp;"_"&amp;F22</f>
        <v>Megaflex_Non-Local Authority_[0 - 300km]_&lt; 500V</v>
      </c>
      <c r="H22" s="77" t="str">
        <f t="shared" ref="H22:H53" si="5">INDEX(Matrix_Tariff_Map,MATCH(C22,Matrix_Model_Tariffs,0),2)&amp;INDEX(Matrix_Transmission_Map,MATCH(E22,Matrix_Model_Transmission,0),2)&amp;INDEX(Matrix_Voltage_Map,MATCH(F22,Matrix_Model_Voltage,0),2)&amp;INDEX(Matrix_Category_Map,MATCH(D22,Matrix_Model_Category,0),2)</f>
        <v>Me01N</v>
      </c>
      <c r="I22" s="106">
        <v>684.59</v>
      </c>
      <c r="J22" s="106">
        <v>171.15</v>
      </c>
      <c r="K22" s="106">
        <v>114.09</v>
      </c>
      <c r="L22" s="106">
        <v>284.12</v>
      </c>
      <c r="M22" s="106">
        <v>159.74</v>
      </c>
      <c r="N22" s="106">
        <v>114.09</v>
      </c>
      <c r="O22" s="85" t="s">
        <v>118</v>
      </c>
      <c r="P22" s="85" t="s">
        <v>118</v>
      </c>
      <c r="Q22" s="85" t="s">
        <v>118</v>
      </c>
      <c r="R22" s="85" t="s">
        <v>118</v>
      </c>
      <c r="S22" s="106">
        <v>10.63</v>
      </c>
      <c r="T22" s="106" t="s">
        <v>118</v>
      </c>
      <c r="U22" s="106">
        <v>3.49</v>
      </c>
      <c r="V22" s="412">
        <v>22.78</v>
      </c>
    </row>
    <row r="23" spans="3:22" s="77" customFormat="1" ht="13.8">
      <c r="C23" s="77" t="str">
        <f>C22</f>
        <v>Megaflex</v>
      </c>
      <c r="D23" s="77" t="s">
        <v>72</v>
      </c>
      <c r="E23" s="77" t="s">
        <v>67</v>
      </c>
      <c r="F23" s="77" t="s">
        <v>63</v>
      </c>
      <c r="G23" s="77" t="str">
        <f t="shared" ref="G23:G86" si="6">C23&amp;"_"&amp;D23&amp;"_"&amp;E23&amp;"_"&amp;F23</f>
        <v>Megaflex_Non-Local Authority_[0 - 300km]_≥ 500V &amp; &lt; 66kV</v>
      </c>
      <c r="H23" s="77" t="str">
        <f t="shared" si="5"/>
        <v>Me02N</v>
      </c>
      <c r="I23" s="106">
        <v>666.92</v>
      </c>
      <c r="J23" s="106">
        <v>166.73</v>
      </c>
      <c r="K23" s="106">
        <v>111.15</v>
      </c>
      <c r="L23" s="106">
        <v>276.77999999999997</v>
      </c>
      <c r="M23" s="106">
        <v>155.62</v>
      </c>
      <c r="N23" s="106">
        <v>111.15</v>
      </c>
      <c r="O23" s="85" t="s">
        <v>118</v>
      </c>
      <c r="P23" s="85" t="s">
        <v>118</v>
      </c>
      <c r="Q23" s="85" t="s">
        <v>118</v>
      </c>
      <c r="R23" s="85" t="s">
        <v>118</v>
      </c>
      <c r="S23" s="106">
        <v>10.25</v>
      </c>
      <c r="T23" s="106" t="s">
        <v>118</v>
      </c>
      <c r="U23" s="106">
        <v>8.09</v>
      </c>
      <c r="V23" s="412">
        <v>22.2</v>
      </c>
    </row>
    <row r="24" spans="3:22" s="77" customFormat="1" ht="13.8">
      <c r="C24" s="77" t="str">
        <f t="shared" ref="C24:C53" si="7">C23</f>
        <v>Megaflex</v>
      </c>
      <c r="D24" s="77" t="s">
        <v>72</v>
      </c>
      <c r="E24" s="77" t="s">
        <v>67</v>
      </c>
      <c r="F24" s="77" t="s">
        <v>64</v>
      </c>
      <c r="G24" s="77" t="str">
        <f t="shared" si="6"/>
        <v>Megaflex_Non-Local Authority_[0 - 300km]_≥ 66kV &amp; ≤ 132kV</v>
      </c>
      <c r="H24" s="77" t="str">
        <f t="shared" si="5"/>
        <v>Me03N</v>
      </c>
      <c r="I24" s="106">
        <v>618.91</v>
      </c>
      <c r="J24" s="106">
        <v>154.72</v>
      </c>
      <c r="K24" s="106">
        <v>103.15</v>
      </c>
      <c r="L24" s="106">
        <v>256.86</v>
      </c>
      <c r="M24" s="106">
        <v>144.41999999999999</v>
      </c>
      <c r="N24" s="106">
        <v>103.15</v>
      </c>
      <c r="O24" s="85" t="s">
        <v>118</v>
      </c>
      <c r="P24" s="85" t="s">
        <v>118</v>
      </c>
      <c r="Q24" s="85" t="s">
        <v>118</v>
      </c>
      <c r="R24" s="85" t="s">
        <v>118</v>
      </c>
      <c r="S24" s="106">
        <v>9.35</v>
      </c>
      <c r="T24" s="106" t="s">
        <v>118</v>
      </c>
      <c r="U24" s="106">
        <v>6.12</v>
      </c>
      <c r="V24" s="412">
        <v>20.6</v>
      </c>
    </row>
    <row r="25" spans="3:22" s="77" customFormat="1" ht="13.8">
      <c r="C25" s="77" t="str">
        <f t="shared" si="7"/>
        <v>Megaflex</v>
      </c>
      <c r="D25" s="77" t="s">
        <v>72</v>
      </c>
      <c r="E25" s="77" t="s">
        <v>67</v>
      </c>
      <c r="F25" s="77" t="s">
        <v>65</v>
      </c>
      <c r="G25" s="77" t="str">
        <f t="shared" si="6"/>
        <v>Megaflex_Non-Local Authority_[0 - 300km]_&gt; 132kV</v>
      </c>
      <c r="H25" s="77" t="str">
        <f t="shared" si="5"/>
        <v>Me04N</v>
      </c>
      <c r="I25" s="106">
        <v>577.13</v>
      </c>
      <c r="J25" s="106">
        <v>144.28</v>
      </c>
      <c r="K25" s="106">
        <v>96.19</v>
      </c>
      <c r="L25" s="106">
        <v>239.52</v>
      </c>
      <c r="M25" s="106">
        <v>134.66999999999999</v>
      </c>
      <c r="N25" s="106">
        <v>96.19</v>
      </c>
      <c r="O25" s="85" t="s">
        <v>118</v>
      </c>
      <c r="P25" s="85" t="s">
        <v>118</v>
      </c>
      <c r="Q25" s="85" t="s">
        <v>118</v>
      </c>
      <c r="R25" s="85" t="s">
        <v>118</v>
      </c>
      <c r="S25" s="106">
        <v>16.34</v>
      </c>
      <c r="T25" s="106" t="s">
        <v>118</v>
      </c>
      <c r="U25" s="106">
        <v>7.02</v>
      </c>
      <c r="V25" s="106">
        <v>19.21</v>
      </c>
    </row>
    <row r="26" spans="3:22" s="77" customFormat="1" ht="13.8">
      <c r="C26" s="77" t="str">
        <f t="shared" si="7"/>
        <v>Megaflex</v>
      </c>
      <c r="D26" s="77" t="s">
        <v>72</v>
      </c>
      <c r="E26" s="77" t="s">
        <v>68</v>
      </c>
      <c r="F26" s="77" t="s">
        <v>62</v>
      </c>
      <c r="G26" s="77" t="str">
        <f t="shared" si="6"/>
        <v>Megaflex_Non-Local Authority_[301 - 600km]_&lt; 500V</v>
      </c>
      <c r="H26" s="77" t="str">
        <f t="shared" si="5"/>
        <v>Me11N</v>
      </c>
      <c r="I26" s="106">
        <v>691.43</v>
      </c>
      <c r="J26" s="106">
        <v>172.86</v>
      </c>
      <c r="K26" s="106">
        <v>115.23</v>
      </c>
      <c r="L26" s="106">
        <v>286.95999999999998</v>
      </c>
      <c r="M26" s="106">
        <v>161.34</v>
      </c>
      <c r="N26" s="106">
        <v>115.23</v>
      </c>
      <c r="O26" s="85" t="s">
        <v>118</v>
      </c>
      <c r="P26" s="85" t="s">
        <v>118</v>
      </c>
      <c r="Q26" s="85" t="s">
        <v>118</v>
      </c>
      <c r="R26" s="85" t="s">
        <v>118</v>
      </c>
      <c r="S26" s="106">
        <v>10.74</v>
      </c>
      <c r="T26" s="106" t="s">
        <v>118</v>
      </c>
      <c r="U26" s="106">
        <v>3.49</v>
      </c>
      <c r="V26" s="106">
        <v>22.78</v>
      </c>
    </row>
    <row r="27" spans="3:22" s="77" customFormat="1" ht="13.8">
      <c r="C27" s="77" t="str">
        <f t="shared" si="7"/>
        <v>Megaflex</v>
      </c>
      <c r="D27" s="77" t="s">
        <v>72</v>
      </c>
      <c r="E27" s="77" t="s">
        <v>68</v>
      </c>
      <c r="F27" s="77" t="s">
        <v>63</v>
      </c>
      <c r="G27" s="77" t="str">
        <f t="shared" si="6"/>
        <v>Megaflex_Non-Local Authority_[301 - 600km]_≥ 500V &amp; &lt; 66kV</v>
      </c>
      <c r="H27" s="77" t="str">
        <f t="shared" si="5"/>
        <v>Me12N</v>
      </c>
      <c r="I27" s="106">
        <v>673.6</v>
      </c>
      <c r="J27" s="106">
        <v>168.4</v>
      </c>
      <c r="K27" s="106">
        <v>112.27</v>
      </c>
      <c r="L27" s="106">
        <v>279.55</v>
      </c>
      <c r="M27" s="106">
        <v>157.16999999999999</v>
      </c>
      <c r="N27" s="106">
        <v>112.27</v>
      </c>
      <c r="O27" s="85" t="s">
        <v>118</v>
      </c>
      <c r="P27" s="85" t="s">
        <v>118</v>
      </c>
      <c r="Q27" s="85" t="s">
        <v>118</v>
      </c>
      <c r="R27" s="85" t="s">
        <v>118</v>
      </c>
      <c r="S27" s="106">
        <v>10.35</v>
      </c>
      <c r="T27" s="106" t="s">
        <v>118</v>
      </c>
      <c r="U27" s="106">
        <v>8.09</v>
      </c>
      <c r="V27" s="106">
        <v>22.2</v>
      </c>
    </row>
    <row r="28" spans="3:22" s="77" customFormat="1" ht="13.8">
      <c r="C28" s="77" t="str">
        <f t="shared" si="7"/>
        <v>Megaflex</v>
      </c>
      <c r="D28" s="77" t="s">
        <v>72</v>
      </c>
      <c r="E28" s="77" t="s">
        <v>68</v>
      </c>
      <c r="F28" s="77" t="s">
        <v>64</v>
      </c>
      <c r="G28" s="77" t="str">
        <f t="shared" si="6"/>
        <v>Megaflex_Non-Local Authority_[301 - 600km]_≥ 66kV &amp; ≤ 132kV</v>
      </c>
      <c r="H28" s="77" t="str">
        <f t="shared" si="5"/>
        <v>Me13N</v>
      </c>
      <c r="I28" s="106">
        <v>625.1</v>
      </c>
      <c r="J28" s="106">
        <v>156.28</v>
      </c>
      <c r="K28" s="106">
        <v>104.18</v>
      </c>
      <c r="L28" s="106">
        <v>259.43</v>
      </c>
      <c r="M28" s="106">
        <v>145.86000000000001</v>
      </c>
      <c r="N28" s="106">
        <v>104.18</v>
      </c>
      <c r="O28" s="85" t="s">
        <v>118</v>
      </c>
      <c r="P28" s="85" t="s">
        <v>118</v>
      </c>
      <c r="Q28" s="85" t="s">
        <v>118</v>
      </c>
      <c r="R28" s="85" t="s">
        <v>118</v>
      </c>
      <c r="S28" s="106">
        <v>9.4499999999999993</v>
      </c>
      <c r="T28" s="106" t="s">
        <v>118</v>
      </c>
      <c r="U28" s="106">
        <v>6.12</v>
      </c>
      <c r="V28" s="106">
        <v>20.6</v>
      </c>
    </row>
    <row r="29" spans="3:22" s="77" customFormat="1" ht="13.8">
      <c r="C29" s="77" t="str">
        <f t="shared" si="7"/>
        <v>Megaflex</v>
      </c>
      <c r="D29" s="77" t="s">
        <v>72</v>
      </c>
      <c r="E29" s="77" t="s">
        <v>68</v>
      </c>
      <c r="F29" s="77" t="s">
        <v>65</v>
      </c>
      <c r="G29" s="77" t="str">
        <f t="shared" si="6"/>
        <v>Megaflex_Non-Local Authority_[301 - 600km]_&gt; 132kV</v>
      </c>
      <c r="H29" s="77" t="str">
        <f t="shared" si="5"/>
        <v>Me14N</v>
      </c>
      <c r="I29" s="106">
        <v>582.9</v>
      </c>
      <c r="J29" s="106">
        <v>145.72999999999999</v>
      </c>
      <c r="K29" s="106">
        <v>97.15</v>
      </c>
      <c r="L29" s="106">
        <v>241.91</v>
      </c>
      <c r="M29" s="106">
        <v>136.01</v>
      </c>
      <c r="N29" s="106">
        <v>97.15</v>
      </c>
      <c r="O29" s="85" t="s">
        <v>118</v>
      </c>
      <c r="P29" s="85" t="s">
        <v>118</v>
      </c>
      <c r="Q29" s="85" t="s">
        <v>118</v>
      </c>
      <c r="R29" s="85" t="s">
        <v>118</v>
      </c>
      <c r="S29" s="106">
        <v>16.510000000000002</v>
      </c>
      <c r="T29" s="106" t="s">
        <v>118</v>
      </c>
      <c r="U29" s="106">
        <v>7.02</v>
      </c>
      <c r="V29" s="106">
        <v>19.21</v>
      </c>
    </row>
    <row r="30" spans="3:22" s="77" customFormat="1" ht="13.8">
      <c r="C30" s="77" t="str">
        <f t="shared" si="7"/>
        <v>Megaflex</v>
      </c>
      <c r="D30" s="77" t="s">
        <v>72</v>
      </c>
      <c r="E30" s="77" t="s">
        <v>69</v>
      </c>
      <c r="F30" s="77" t="s">
        <v>62</v>
      </c>
      <c r="G30" s="77" t="str">
        <f t="shared" si="6"/>
        <v>Megaflex_Non-Local Authority_[601 - 900km]_&lt; 500V</v>
      </c>
      <c r="H30" s="77" t="str">
        <f t="shared" si="5"/>
        <v>Me21N</v>
      </c>
      <c r="I30" s="106">
        <v>698.28</v>
      </c>
      <c r="J30" s="106">
        <v>174.57</v>
      </c>
      <c r="K30" s="106">
        <v>116.37</v>
      </c>
      <c r="L30" s="106">
        <v>289.8</v>
      </c>
      <c r="M30" s="106">
        <v>162.93</v>
      </c>
      <c r="N30" s="106">
        <v>116.37</v>
      </c>
      <c r="O30" s="85" t="s">
        <v>118</v>
      </c>
      <c r="P30" s="85" t="s">
        <v>118</v>
      </c>
      <c r="Q30" s="85" t="s">
        <v>118</v>
      </c>
      <c r="R30" s="85" t="s">
        <v>118</v>
      </c>
      <c r="S30" s="106">
        <v>10.85</v>
      </c>
      <c r="T30" s="106" t="s">
        <v>118</v>
      </c>
      <c r="U30" s="106">
        <v>3.49</v>
      </c>
      <c r="V30" s="106">
        <v>22.78</v>
      </c>
    </row>
    <row r="31" spans="3:22" s="77" customFormat="1" ht="13.8">
      <c r="C31" s="77" t="str">
        <f t="shared" si="7"/>
        <v>Megaflex</v>
      </c>
      <c r="D31" s="77" t="s">
        <v>72</v>
      </c>
      <c r="E31" s="77" t="s">
        <v>69</v>
      </c>
      <c r="F31" s="77" t="s">
        <v>63</v>
      </c>
      <c r="G31" s="77" t="str">
        <f t="shared" si="6"/>
        <v>Megaflex_Non-Local Authority_[601 - 900km]_≥ 500V &amp; &lt; 66kV</v>
      </c>
      <c r="H31" s="77" t="str">
        <f t="shared" si="5"/>
        <v>Me22N</v>
      </c>
      <c r="I31" s="106">
        <v>680.27</v>
      </c>
      <c r="J31" s="106">
        <v>170.07</v>
      </c>
      <c r="K31" s="106">
        <v>113.37</v>
      </c>
      <c r="L31" s="106">
        <v>282.32</v>
      </c>
      <c r="M31" s="106">
        <v>158.72999999999999</v>
      </c>
      <c r="N31" s="106">
        <v>113.37</v>
      </c>
      <c r="O31" s="85" t="s">
        <v>118</v>
      </c>
      <c r="P31" s="85" t="s">
        <v>118</v>
      </c>
      <c r="Q31" s="85" t="s">
        <v>118</v>
      </c>
      <c r="R31" s="85" t="s">
        <v>118</v>
      </c>
      <c r="S31" s="106">
        <v>10.45</v>
      </c>
      <c r="T31" s="106" t="s">
        <v>118</v>
      </c>
      <c r="U31" s="106">
        <v>8.09</v>
      </c>
      <c r="V31" s="106">
        <v>22.2</v>
      </c>
    </row>
    <row r="32" spans="3:22" s="77" customFormat="1" ht="13.8">
      <c r="C32" s="77" t="str">
        <f t="shared" si="7"/>
        <v>Megaflex</v>
      </c>
      <c r="D32" s="77" t="s">
        <v>72</v>
      </c>
      <c r="E32" s="77" t="s">
        <v>69</v>
      </c>
      <c r="F32" s="77" t="s">
        <v>64</v>
      </c>
      <c r="G32" s="77" t="str">
        <f t="shared" si="6"/>
        <v>Megaflex_Non-Local Authority_[601 - 900km]_≥ 66kV &amp; ≤ 132kV</v>
      </c>
      <c r="H32" s="77" t="str">
        <f t="shared" si="5"/>
        <v>Me23N</v>
      </c>
      <c r="I32" s="106">
        <v>631.29</v>
      </c>
      <c r="J32" s="106">
        <v>157.82</v>
      </c>
      <c r="K32" s="106">
        <v>105.21</v>
      </c>
      <c r="L32" s="106">
        <v>262</v>
      </c>
      <c r="M32" s="106">
        <v>147.31</v>
      </c>
      <c r="N32" s="106">
        <v>105.21</v>
      </c>
      <c r="O32" s="85" t="s">
        <v>118</v>
      </c>
      <c r="P32" s="85" t="s">
        <v>118</v>
      </c>
      <c r="Q32" s="85" t="s">
        <v>118</v>
      </c>
      <c r="R32" s="85" t="s">
        <v>118</v>
      </c>
      <c r="S32" s="106">
        <v>9.5399999999999991</v>
      </c>
      <c r="T32" s="106" t="s">
        <v>118</v>
      </c>
      <c r="U32" s="106">
        <v>6.12</v>
      </c>
      <c r="V32" s="106">
        <v>20.6</v>
      </c>
    </row>
    <row r="33" spans="2:22" s="77" customFormat="1" ht="13.8">
      <c r="C33" s="77" t="str">
        <f t="shared" si="7"/>
        <v>Megaflex</v>
      </c>
      <c r="D33" s="77" t="s">
        <v>72</v>
      </c>
      <c r="E33" s="77" t="s">
        <v>69</v>
      </c>
      <c r="F33" s="77" t="s">
        <v>65</v>
      </c>
      <c r="G33" s="77" t="str">
        <f t="shared" si="6"/>
        <v>Megaflex_Non-Local Authority_[601 - 900km]_&gt; 132kV</v>
      </c>
      <c r="H33" s="77" t="str">
        <f t="shared" si="5"/>
        <v>Me24N</v>
      </c>
      <c r="I33" s="106">
        <v>588.66999999999996</v>
      </c>
      <c r="J33" s="106">
        <v>147.16999999999999</v>
      </c>
      <c r="K33" s="106">
        <v>98.11</v>
      </c>
      <c r="L33" s="106">
        <v>244.31</v>
      </c>
      <c r="M33" s="106">
        <v>137.36000000000001</v>
      </c>
      <c r="N33" s="106">
        <v>98.11</v>
      </c>
      <c r="O33" s="85" t="s">
        <v>118</v>
      </c>
      <c r="P33" s="85" t="s">
        <v>118</v>
      </c>
      <c r="Q33" s="85" t="s">
        <v>118</v>
      </c>
      <c r="R33" s="85" t="s">
        <v>118</v>
      </c>
      <c r="S33" s="106">
        <v>16.66</v>
      </c>
      <c r="T33" s="106" t="s">
        <v>118</v>
      </c>
      <c r="U33" s="106">
        <v>7.02</v>
      </c>
      <c r="V33" s="106">
        <v>19.21</v>
      </c>
    </row>
    <row r="34" spans="2:22" s="77" customFormat="1" ht="13.8">
      <c r="C34" s="77" t="str">
        <f t="shared" si="7"/>
        <v>Megaflex</v>
      </c>
      <c r="D34" s="77" t="s">
        <v>72</v>
      </c>
      <c r="E34" s="77" t="s">
        <v>70</v>
      </c>
      <c r="F34" s="77" t="s">
        <v>62</v>
      </c>
      <c r="G34" s="77" t="str">
        <f t="shared" si="6"/>
        <v>Megaflex_Non-Local Authority_[&gt; 900km]_&lt; 500V</v>
      </c>
      <c r="H34" s="77" t="str">
        <f t="shared" si="5"/>
        <v>Me31N</v>
      </c>
      <c r="I34" s="106">
        <v>705.13</v>
      </c>
      <c r="J34" s="106">
        <v>176.28</v>
      </c>
      <c r="K34" s="106">
        <v>117.52</v>
      </c>
      <c r="L34" s="106">
        <v>292.64</v>
      </c>
      <c r="M34" s="106">
        <v>164.53</v>
      </c>
      <c r="N34" s="106">
        <v>117.52</v>
      </c>
      <c r="O34" s="85" t="s">
        <v>118</v>
      </c>
      <c r="P34" s="85" t="s">
        <v>118</v>
      </c>
      <c r="Q34" s="85" t="s">
        <v>118</v>
      </c>
      <c r="R34" s="85" t="s">
        <v>118</v>
      </c>
      <c r="S34" s="106">
        <v>10.96</v>
      </c>
      <c r="T34" s="106" t="s">
        <v>118</v>
      </c>
      <c r="U34" s="106">
        <v>3.49</v>
      </c>
      <c r="V34" s="106">
        <v>22.78</v>
      </c>
    </row>
    <row r="35" spans="2:22" s="77" customFormat="1" ht="13.8">
      <c r="C35" s="77" t="str">
        <f t="shared" si="7"/>
        <v>Megaflex</v>
      </c>
      <c r="D35" s="77" t="s">
        <v>72</v>
      </c>
      <c r="E35" s="77" t="s">
        <v>70</v>
      </c>
      <c r="F35" s="77" t="s">
        <v>63</v>
      </c>
      <c r="G35" s="77" t="str">
        <f t="shared" si="6"/>
        <v>Megaflex_Non-Local Authority_[&gt; 900km]_≥ 500V &amp; &lt; 66kV</v>
      </c>
      <c r="H35" s="77" t="str">
        <f t="shared" si="5"/>
        <v>Me32N</v>
      </c>
      <c r="I35" s="106">
        <v>686.94</v>
      </c>
      <c r="J35" s="106">
        <v>171.74</v>
      </c>
      <c r="K35" s="106">
        <v>114.49</v>
      </c>
      <c r="L35" s="106">
        <v>285.08999999999997</v>
      </c>
      <c r="M35" s="106">
        <v>160.28</v>
      </c>
      <c r="N35" s="106">
        <v>114.49</v>
      </c>
      <c r="O35" s="85" t="s">
        <v>118</v>
      </c>
      <c r="P35" s="85" t="s">
        <v>118</v>
      </c>
      <c r="Q35" s="85" t="s">
        <v>118</v>
      </c>
      <c r="R35" s="85" t="s">
        <v>118</v>
      </c>
      <c r="S35" s="106">
        <v>10.55</v>
      </c>
      <c r="T35" s="106" t="s">
        <v>118</v>
      </c>
      <c r="U35" s="106">
        <v>8.09</v>
      </c>
      <c r="V35" s="106">
        <v>22.2</v>
      </c>
    </row>
    <row r="36" spans="2:22" s="77" customFormat="1" ht="13.8">
      <c r="C36" s="77" t="str">
        <f t="shared" si="7"/>
        <v>Megaflex</v>
      </c>
      <c r="D36" s="77" t="s">
        <v>72</v>
      </c>
      <c r="E36" s="77" t="s">
        <v>70</v>
      </c>
      <c r="F36" s="77" t="s">
        <v>64</v>
      </c>
      <c r="G36" s="77" t="str">
        <f t="shared" si="6"/>
        <v>Megaflex_Non-Local Authority_[&gt; 900km]_≥ 66kV &amp; ≤ 132kV</v>
      </c>
      <c r="H36" s="77" t="str">
        <f t="shared" si="5"/>
        <v>Me33N</v>
      </c>
      <c r="I36" s="106">
        <v>637.48</v>
      </c>
      <c r="J36" s="106">
        <v>159.37</v>
      </c>
      <c r="K36" s="106">
        <v>106.25</v>
      </c>
      <c r="L36" s="106">
        <v>264.56</v>
      </c>
      <c r="M36" s="106">
        <v>148.75</v>
      </c>
      <c r="N36" s="106">
        <v>106.25</v>
      </c>
      <c r="O36" s="85" t="s">
        <v>118</v>
      </c>
      <c r="P36" s="85" t="s">
        <v>118</v>
      </c>
      <c r="Q36" s="85" t="s">
        <v>118</v>
      </c>
      <c r="R36" s="85" t="s">
        <v>118</v>
      </c>
      <c r="S36" s="106">
        <v>9.6300000000000008</v>
      </c>
      <c r="T36" s="106" t="s">
        <v>118</v>
      </c>
      <c r="U36" s="106">
        <v>6.12</v>
      </c>
      <c r="V36" s="106">
        <v>20.6</v>
      </c>
    </row>
    <row r="37" spans="2:22" s="77" customFormat="1" ht="14.4" thickBot="1">
      <c r="C37" s="77" t="str">
        <f t="shared" si="7"/>
        <v>Megaflex</v>
      </c>
      <c r="D37" s="77" t="s">
        <v>72</v>
      </c>
      <c r="E37" s="77" t="s">
        <v>70</v>
      </c>
      <c r="F37" s="77" t="s">
        <v>65</v>
      </c>
      <c r="G37" s="77" t="str">
        <f t="shared" si="6"/>
        <v>Megaflex_Non-Local Authority_[&gt; 900km]_&gt; 132kV</v>
      </c>
      <c r="H37" s="77" t="str">
        <f t="shared" si="5"/>
        <v>Me34N</v>
      </c>
      <c r="I37" s="106">
        <v>594.44000000000005</v>
      </c>
      <c r="J37" s="106">
        <v>148.61000000000001</v>
      </c>
      <c r="K37" s="106">
        <v>99.06</v>
      </c>
      <c r="L37" s="106">
        <v>246.7</v>
      </c>
      <c r="M37" s="106">
        <v>138.69999999999999</v>
      </c>
      <c r="N37" s="106">
        <v>99.06</v>
      </c>
      <c r="O37" s="85" t="s">
        <v>118</v>
      </c>
      <c r="P37" s="85" t="s">
        <v>118</v>
      </c>
      <c r="Q37" s="85" t="s">
        <v>118</v>
      </c>
      <c r="R37" s="85" t="s">
        <v>118</v>
      </c>
      <c r="S37" s="106">
        <v>16.829999999999998</v>
      </c>
      <c r="T37" s="106" t="s">
        <v>118</v>
      </c>
      <c r="U37" s="106">
        <v>7.02</v>
      </c>
      <c r="V37" s="106">
        <v>19.21</v>
      </c>
    </row>
    <row r="38" spans="2:22" s="77" customFormat="1" ht="13.8">
      <c r="B38" s="239" t="s">
        <v>465</v>
      </c>
      <c r="C38" s="77" t="s">
        <v>465</v>
      </c>
      <c r="D38" s="77" t="s">
        <v>71</v>
      </c>
      <c r="E38" s="77" t="str">
        <f>E22</f>
        <v>[0 - 300km]</v>
      </c>
      <c r="F38" s="77" t="str">
        <f>F22</f>
        <v>&lt; 500V</v>
      </c>
      <c r="G38" s="77" t="str">
        <f t="shared" si="6"/>
        <v>Municflex_Local Authority_[0 - 300km]_&lt; 500V</v>
      </c>
      <c r="H38" s="77" t="str">
        <f t="shared" si="5"/>
        <v>Mf01Y</v>
      </c>
      <c r="I38" s="106">
        <v>697.46</v>
      </c>
      <c r="J38" s="106">
        <v>174.34</v>
      </c>
      <c r="K38" s="106">
        <v>116.26</v>
      </c>
      <c r="L38" s="106">
        <v>289.5</v>
      </c>
      <c r="M38" s="106">
        <v>162.75</v>
      </c>
      <c r="N38" s="106">
        <v>116.31</v>
      </c>
      <c r="O38" s="307">
        <v>0</v>
      </c>
      <c r="P38" s="307">
        <v>0</v>
      </c>
      <c r="Q38" s="307">
        <v>0</v>
      </c>
      <c r="R38" s="307">
        <v>0</v>
      </c>
      <c r="S38" s="106">
        <v>10.85</v>
      </c>
      <c r="T38" s="106">
        <v>0</v>
      </c>
      <c r="U38" s="106">
        <v>3.33</v>
      </c>
      <c r="V38" s="106">
        <v>23.22</v>
      </c>
    </row>
    <row r="39" spans="2:22" s="77" customFormat="1" ht="13.8">
      <c r="B39" s="77" t="s">
        <v>465</v>
      </c>
      <c r="C39" s="77" t="str">
        <f t="shared" si="7"/>
        <v>Municflex</v>
      </c>
      <c r="D39" s="77" t="s">
        <v>71</v>
      </c>
      <c r="E39" s="77" t="str">
        <f t="shared" ref="E39:F53" si="8">E23</f>
        <v>[0 - 300km]</v>
      </c>
      <c r="F39" s="77" t="str">
        <f t="shared" si="8"/>
        <v>≥ 500V &amp; &lt; 66kV</v>
      </c>
      <c r="G39" s="77" t="str">
        <f t="shared" si="6"/>
        <v>Municflex_Local Authority_[0 - 300km]_≥ 500V &amp; &lt; 66kV</v>
      </c>
      <c r="H39" s="77" t="str">
        <f t="shared" si="5"/>
        <v>Mf02Y</v>
      </c>
      <c r="I39" s="106">
        <v>677.39</v>
      </c>
      <c r="J39" s="106">
        <v>169.34</v>
      </c>
      <c r="K39" s="106">
        <v>112.9</v>
      </c>
      <c r="L39" s="106">
        <v>281.12</v>
      </c>
      <c r="M39" s="106">
        <v>158.05000000000001</v>
      </c>
      <c r="N39" s="106">
        <v>112.9</v>
      </c>
      <c r="O39" s="307">
        <v>0</v>
      </c>
      <c r="P39" s="307">
        <v>0</v>
      </c>
      <c r="Q39" s="307">
        <v>0</v>
      </c>
      <c r="R39" s="307">
        <v>0</v>
      </c>
      <c r="S39" s="106">
        <v>10.41</v>
      </c>
      <c r="T39" s="106">
        <v>0</v>
      </c>
      <c r="U39" s="106">
        <v>7.71</v>
      </c>
      <c r="V39" s="106">
        <v>22.55</v>
      </c>
    </row>
    <row r="40" spans="2:22" s="77" customFormat="1" ht="13.8">
      <c r="B40" s="77" t="s">
        <v>465</v>
      </c>
      <c r="C40" s="77" t="str">
        <f t="shared" si="7"/>
        <v>Municflex</v>
      </c>
      <c r="D40" s="77" t="s">
        <v>71</v>
      </c>
      <c r="E40" s="77" t="str">
        <f t="shared" si="8"/>
        <v>[0 - 300km]</v>
      </c>
      <c r="F40" s="77" t="str">
        <f t="shared" si="8"/>
        <v>≥ 66kV &amp; ≤ 132kV</v>
      </c>
      <c r="G40" s="77" t="str">
        <f t="shared" si="6"/>
        <v>Municflex_Local Authority_[0 - 300km]_≥ 66kV &amp; ≤ 132kV</v>
      </c>
      <c r="H40" s="77" t="str">
        <f t="shared" si="5"/>
        <v>Mf03Y</v>
      </c>
      <c r="I40" s="106">
        <v>628.57000000000005</v>
      </c>
      <c r="J40" s="106">
        <v>157.13999999999999</v>
      </c>
      <c r="K40" s="106">
        <v>104.75</v>
      </c>
      <c r="L40" s="106">
        <v>260.87</v>
      </c>
      <c r="M40" s="106">
        <v>146.68</v>
      </c>
      <c r="N40" s="106">
        <v>104.75</v>
      </c>
      <c r="O40" s="307">
        <v>0</v>
      </c>
      <c r="P40" s="307">
        <v>0</v>
      </c>
      <c r="Q40" s="307">
        <v>0</v>
      </c>
      <c r="R40" s="307">
        <v>0</v>
      </c>
      <c r="S40" s="106">
        <v>9.5</v>
      </c>
      <c r="T40" s="106">
        <v>0</v>
      </c>
      <c r="U40" s="106">
        <v>6.46</v>
      </c>
      <c r="V40" s="106">
        <v>20.93</v>
      </c>
    </row>
    <row r="41" spans="2:22" s="77" customFormat="1" ht="13.8">
      <c r="B41" s="77" t="s">
        <v>465</v>
      </c>
      <c r="C41" s="77" t="str">
        <f t="shared" si="7"/>
        <v>Municflex</v>
      </c>
      <c r="D41" s="77" t="s">
        <v>71</v>
      </c>
      <c r="E41" s="77" t="str">
        <f t="shared" si="8"/>
        <v>[0 - 300km]</v>
      </c>
      <c r="F41" s="77" t="str">
        <f t="shared" si="8"/>
        <v>&gt; 132kV</v>
      </c>
      <c r="G41" s="77" t="str">
        <f t="shared" si="6"/>
        <v>Municflex_Local Authority_[0 - 300km]_&gt; 132kV</v>
      </c>
      <c r="H41" s="77" t="str">
        <f t="shared" si="5"/>
        <v>Mf04Y</v>
      </c>
      <c r="I41" s="106">
        <v>586.13</v>
      </c>
      <c r="J41" s="106">
        <v>146.54</v>
      </c>
      <c r="K41" s="106">
        <v>97.69</v>
      </c>
      <c r="L41" s="106">
        <v>243.26</v>
      </c>
      <c r="M41" s="106">
        <v>136.77000000000001</v>
      </c>
      <c r="N41" s="106">
        <v>97.69</v>
      </c>
      <c r="O41" s="307">
        <v>0</v>
      </c>
      <c r="P41" s="307">
        <v>0</v>
      </c>
      <c r="Q41" s="307">
        <v>0</v>
      </c>
      <c r="R41" s="307">
        <v>0</v>
      </c>
      <c r="S41" s="106">
        <v>16.59</v>
      </c>
      <c r="T41" s="106">
        <v>0</v>
      </c>
      <c r="U41" s="106">
        <v>7.14</v>
      </c>
      <c r="V41" s="106">
        <v>19.510000000000002</v>
      </c>
    </row>
    <row r="42" spans="2:22" s="77" customFormat="1" ht="13.8">
      <c r="B42" s="77" t="s">
        <v>465</v>
      </c>
      <c r="C42" s="77" t="str">
        <f t="shared" si="7"/>
        <v>Municflex</v>
      </c>
      <c r="D42" s="77" t="s">
        <v>71</v>
      </c>
      <c r="E42" s="77" t="str">
        <f t="shared" si="8"/>
        <v>[301 - 600km]</v>
      </c>
      <c r="F42" s="77" t="str">
        <f t="shared" si="8"/>
        <v>&lt; 500V</v>
      </c>
      <c r="G42" s="77" t="str">
        <f t="shared" si="6"/>
        <v>Municflex_Local Authority_[301 - 600km]_&lt; 500V</v>
      </c>
      <c r="H42" s="77" t="str">
        <f t="shared" si="5"/>
        <v>Mf11Y</v>
      </c>
      <c r="I42" s="106">
        <v>706.96</v>
      </c>
      <c r="J42" s="106">
        <v>176.75</v>
      </c>
      <c r="K42" s="106">
        <v>117.84</v>
      </c>
      <c r="L42" s="106">
        <v>293.41000000000003</v>
      </c>
      <c r="M42" s="106">
        <v>164.98</v>
      </c>
      <c r="N42" s="106">
        <v>117.84</v>
      </c>
      <c r="O42" s="307">
        <v>0</v>
      </c>
      <c r="P42" s="307">
        <v>0</v>
      </c>
      <c r="Q42" s="307">
        <v>0</v>
      </c>
      <c r="R42" s="307">
        <v>0</v>
      </c>
      <c r="S42" s="106">
        <v>11.01</v>
      </c>
      <c r="T42" s="106">
        <v>0</v>
      </c>
      <c r="U42" s="106">
        <v>3.33</v>
      </c>
      <c r="V42" s="106">
        <v>23.3</v>
      </c>
    </row>
    <row r="43" spans="2:22" s="77" customFormat="1" ht="13.8">
      <c r="B43" s="77" t="s">
        <v>465</v>
      </c>
      <c r="C43" s="77" t="str">
        <f t="shared" si="7"/>
        <v>Municflex</v>
      </c>
      <c r="D43" s="77" t="s">
        <v>71</v>
      </c>
      <c r="E43" s="77" t="str">
        <f t="shared" si="8"/>
        <v>[301 - 600km]</v>
      </c>
      <c r="F43" s="77" t="str">
        <f t="shared" si="8"/>
        <v>≥ 500V &amp; &lt; 66kV</v>
      </c>
      <c r="G43" s="77" t="str">
        <f t="shared" si="6"/>
        <v>Municflex_Local Authority_[301 - 600km]_≥ 500V &amp; &lt; 66kV</v>
      </c>
      <c r="H43" s="77" t="str">
        <f t="shared" si="5"/>
        <v>Mf12Y</v>
      </c>
      <c r="I43" s="106">
        <v>685.15</v>
      </c>
      <c r="J43" s="106">
        <v>171.3</v>
      </c>
      <c r="K43" s="106">
        <v>114.21</v>
      </c>
      <c r="L43" s="106">
        <v>284.33999999999997</v>
      </c>
      <c r="M43" s="106">
        <v>159.88</v>
      </c>
      <c r="N43" s="106">
        <v>114.21</v>
      </c>
      <c r="O43" s="307">
        <v>0</v>
      </c>
      <c r="P43" s="307">
        <v>0</v>
      </c>
      <c r="Q43" s="307">
        <v>0</v>
      </c>
      <c r="R43" s="307">
        <v>0</v>
      </c>
      <c r="S43" s="106">
        <v>10.54</v>
      </c>
      <c r="T43" s="106">
        <v>0</v>
      </c>
      <c r="U43" s="106">
        <v>7.71</v>
      </c>
      <c r="V43" s="106">
        <v>22.59</v>
      </c>
    </row>
    <row r="44" spans="2:22" s="77" customFormat="1" ht="13.8">
      <c r="B44" s="77" t="s">
        <v>465</v>
      </c>
      <c r="C44" s="77" t="str">
        <f t="shared" si="7"/>
        <v>Municflex</v>
      </c>
      <c r="D44" s="77" t="s">
        <v>71</v>
      </c>
      <c r="E44" s="77" t="str">
        <f t="shared" si="8"/>
        <v>[301 - 600km]</v>
      </c>
      <c r="F44" s="77" t="str">
        <f t="shared" si="8"/>
        <v>≥ 66kV &amp; ≤ 132kV</v>
      </c>
      <c r="G44" s="77" t="str">
        <f t="shared" si="6"/>
        <v>Municflex_Local Authority_[301 - 600km]_≥ 66kV &amp; ≤ 132kV</v>
      </c>
      <c r="H44" s="77" t="str">
        <f t="shared" si="5"/>
        <v>Mf13Y</v>
      </c>
      <c r="I44" s="106">
        <v>634.86</v>
      </c>
      <c r="J44" s="106">
        <v>158.72</v>
      </c>
      <c r="K44" s="106">
        <v>105.81</v>
      </c>
      <c r="L44" s="106">
        <v>263.47000000000003</v>
      </c>
      <c r="M44" s="106">
        <v>148.13999999999999</v>
      </c>
      <c r="N44" s="106">
        <v>105.81</v>
      </c>
      <c r="O44" s="307">
        <v>0</v>
      </c>
      <c r="P44" s="307">
        <v>0</v>
      </c>
      <c r="Q44" s="307">
        <v>0</v>
      </c>
      <c r="R44" s="307">
        <v>0</v>
      </c>
      <c r="S44" s="106">
        <v>9.6</v>
      </c>
      <c r="T44" s="106">
        <v>0</v>
      </c>
      <c r="U44" s="106">
        <v>6.46</v>
      </c>
      <c r="V44" s="106">
        <v>20.93</v>
      </c>
    </row>
    <row r="45" spans="2:22" s="77" customFormat="1" ht="13.8">
      <c r="B45" s="77" t="s">
        <v>465</v>
      </c>
      <c r="C45" s="77" t="str">
        <f t="shared" si="7"/>
        <v>Municflex</v>
      </c>
      <c r="D45" s="77" t="s">
        <v>71</v>
      </c>
      <c r="E45" s="77" t="str">
        <f t="shared" si="8"/>
        <v>[301 - 600km]</v>
      </c>
      <c r="F45" s="77" t="str">
        <f t="shared" si="8"/>
        <v>&gt; 132kV</v>
      </c>
      <c r="G45" s="77" t="str">
        <f t="shared" si="6"/>
        <v>Municflex_Local Authority_[301 - 600km]_&gt; 132kV</v>
      </c>
      <c r="H45" s="77" t="str">
        <f t="shared" si="5"/>
        <v>Mf14Y</v>
      </c>
      <c r="I45" s="106">
        <v>592</v>
      </c>
      <c r="J45" s="106">
        <v>148</v>
      </c>
      <c r="K45" s="106">
        <v>98.66</v>
      </c>
      <c r="L45" s="106">
        <v>245.68</v>
      </c>
      <c r="M45" s="106">
        <v>138.13999999999999</v>
      </c>
      <c r="N45" s="106">
        <v>98.66</v>
      </c>
      <c r="O45" s="307">
        <v>0</v>
      </c>
      <c r="P45" s="307">
        <v>0</v>
      </c>
      <c r="Q45" s="307">
        <v>0</v>
      </c>
      <c r="R45" s="307">
        <v>0</v>
      </c>
      <c r="S45" s="106">
        <v>16.760000000000002</v>
      </c>
      <c r="T45" s="106">
        <v>0</v>
      </c>
      <c r="U45" s="106">
        <v>7.14</v>
      </c>
      <c r="V45" s="106">
        <v>19.510000000000002</v>
      </c>
    </row>
    <row r="46" spans="2:22" s="77" customFormat="1" ht="13.8">
      <c r="B46" s="77" t="s">
        <v>465</v>
      </c>
      <c r="C46" s="77" t="str">
        <f t="shared" si="7"/>
        <v>Municflex</v>
      </c>
      <c r="D46" s="77" t="s">
        <v>71</v>
      </c>
      <c r="E46" s="77" t="str">
        <f t="shared" si="8"/>
        <v>[601 - 900km]</v>
      </c>
      <c r="F46" s="77" t="str">
        <f t="shared" si="8"/>
        <v>&lt; 500V</v>
      </c>
      <c r="G46" s="77" t="str">
        <f t="shared" si="6"/>
        <v>Municflex_Local Authority_[601 - 900km]_&lt; 500V</v>
      </c>
      <c r="H46" s="77" t="str">
        <f t="shared" si="5"/>
        <v>Mf21Y</v>
      </c>
      <c r="I46" s="106">
        <v>713.61</v>
      </c>
      <c r="J46" s="106">
        <v>178.39</v>
      </c>
      <c r="K46" s="106">
        <v>118.96</v>
      </c>
      <c r="L46" s="106">
        <v>296.2</v>
      </c>
      <c r="M46" s="106">
        <v>166.52</v>
      </c>
      <c r="N46" s="106">
        <v>118.97</v>
      </c>
      <c r="O46" s="307">
        <v>0</v>
      </c>
      <c r="P46" s="307">
        <v>0</v>
      </c>
      <c r="Q46" s="307">
        <v>0</v>
      </c>
      <c r="R46" s="307">
        <v>0</v>
      </c>
      <c r="S46" s="106">
        <v>11.13</v>
      </c>
      <c r="T46" s="106">
        <v>0</v>
      </c>
      <c r="U46" s="106">
        <v>3.33</v>
      </c>
      <c r="V46" s="106">
        <v>23.29</v>
      </c>
    </row>
    <row r="47" spans="2:22" s="77" customFormat="1" ht="13.8">
      <c r="B47" s="77" t="s">
        <v>465</v>
      </c>
      <c r="C47" s="77" t="str">
        <f t="shared" si="7"/>
        <v>Municflex</v>
      </c>
      <c r="D47" s="77" t="s">
        <v>71</v>
      </c>
      <c r="E47" s="77" t="str">
        <f t="shared" si="8"/>
        <v>[601 - 900km]</v>
      </c>
      <c r="F47" s="77" t="str">
        <f t="shared" si="8"/>
        <v>≥ 500V &amp; &lt; 66kV</v>
      </c>
      <c r="G47" s="77" t="str">
        <f t="shared" si="6"/>
        <v>Municflex_Local Authority_[601 - 900km]_≥ 500V &amp; &lt; 66kV</v>
      </c>
      <c r="H47" s="77" t="str">
        <f t="shared" si="5"/>
        <v>Mf22Y</v>
      </c>
      <c r="I47" s="106">
        <v>692.19</v>
      </c>
      <c r="J47" s="106">
        <v>173.06</v>
      </c>
      <c r="K47" s="106">
        <v>115.39</v>
      </c>
      <c r="L47" s="106">
        <v>287.27999999999997</v>
      </c>
      <c r="M47" s="106">
        <v>161.51</v>
      </c>
      <c r="N47" s="106">
        <v>115.39</v>
      </c>
      <c r="O47" s="307">
        <v>0</v>
      </c>
      <c r="P47" s="307">
        <v>0</v>
      </c>
      <c r="Q47" s="307">
        <v>0</v>
      </c>
      <c r="R47" s="307">
        <v>0</v>
      </c>
      <c r="S47" s="106">
        <v>10.65</v>
      </c>
      <c r="T47" s="106">
        <v>0</v>
      </c>
      <c r="U47" s="106">
        <v>7.71</v>
      </c>
      <c r="V47" s="106">
        <v>22.59</v>
      </c>
    </row>
    <row r="48" spans="2:22" s="77" customFormat="1" ht="13.8">
      <c r="B48" s="77" t="s">
        <v>465</v>
      </c>
      <c r="C48" s="77" t="str">
        <f t="shared" si="7"/>
        <v>Municflex</v>
      </c>
      <c r="D48" s="77" t="s">
        <v>71</v>
      </c>
      <c r="E48" s="77" t="str">
        <f t="shared" si="8"/>
        <v>[601 - 900km]</v>
      </c>
      <c r="F48" s="77" t="str">
        <f t="shared" si="8"/>
        <v>≥ 66kV &amp; ≤ 132kV</v>
      </c>
      <c r="G48" s="77" t="str">
        <f t="shared" si="6"/>
        <v>Municflex_Local Authority_[601 - 900km]_≥ 66kV &amp; ≤ 132kV</v>
      </c>
      <c r="H48" s="77" t="str">
        <f t="shared" si="5"/>
        <v>Mf23Y</v>
      </c>
      <c r="I48" s="106">
        <v>641.14</v>
      </c>
      <c r="J48" s="106">
        <v>160.29</v>
      </c>
      <c r="K48" s="106">
        <v>106.86</v>
      </c>
      <c r="L48" s="106">
        <v>266.08999999999997</v>
      </c>
      <c r="M48" s="106">
        <v>149.6</v>
      </c>
      <c r="N48" s="106">
        <v>106.86</v>
      </c>
      <c r="O48" s="307">
        <v>0</v>
      </c>
      <c r="P48" s="307">
        <v>0</v>
      </c>
      <c r="Q48" s="307">
        <v>0</v>
      </c>
      <c r="R48" s="307">
        <v>0</v>
      </c>
      <c r="S48" s="106">
        <v>9.68</v>
      </c>
      <c r="T48" s="106">
        <v>0</v>
      </c>
      <c r="U48" s="106">
        <v>6.46</v>
      </c>
      <c r="V48" s="106">
        <v>20.93</v>
      </c>
    </row>
    <row r="49" spans="2:22" s="77" customFormat="1" ht="13.8">
      <c r="B49" s="77" t="s">
        <v>465</v>
      </c>
      <c r="C49" s="77" t="str">
        <f t="shared" si="7"/>
        <v>Municflex</v>
      </c>
      <c r="D49" s="77" t="s">
        <v>71</v>
      </c>
      <c r="E49" s="77" t="str">
        <f t="shared" si="8"/>
        <v>[601 - 900km]</v>
      </c>
      <c r="F49" s="77" t="str">
        <f t="shared" si="8"/>
        <v>&gt; 132kV</v>
      </c>
      <c r="G49" s="77" t="str">
        <f t="shared" si="6"/>
        <v>Municflex_Local Authority_[601 - 900km]_&gt; 132kV</v>
      </c>
      <c r="H49" s="77" t="str">
        <f t="shared" si="5"/>
        <v>Mf24Y</v>
      </c>
      <c r="I49" s="106">
        <v>597.86</v>
      </c>
      <c r="J49" s="106">
        <v>149.47</v>
      </c>
      <c r="K49" s="106">
        <v>99.64</v>
      </c>
      <c r="L49" s="106">
        <v>248.12</v>
      </c>
      <c r="M49" s="106">
        <v>139.51</v>
      </c>
      <c r="N49" s="106">
        <v>99.64</v>
      </c>
      <c r="O49" s="307">
        <v>0</v>
      </c>
      <c r="P49" s="307">
        <v>0</v>
      </c>
      <c r="Q49" s="307">
        <v>0</v>
      </c>
      <c r="R49" s="307">
        <v>0</v>
      </c>
      <c r="S49" s="106">
        <v>16.920000000000002</v>
      </c>
      <c r="T49" s="106">
        <v>0</v>
      </c>
      <c r="U49" s="106">
        <v>7.14</v>
      </c>
      <c r="V49" s="106">
        <v>19.510000000000002</v>
      </c>
    </row>
    <row r="50" spans="2:22" s="77" customFormat="1" ht="13.8">
      <c r="B50" s="77" t="s">
        <v>465</v>
      </c>
      <c r="C50" s="77" t="str">
        <f t="shared" si="7"/>
        <v>Municflex</v>
      </c>
      <c r="D50" s="77" t="s">
        <v>71</v>
      </c>
      <c r="E50" s="77" t="str">
        <f t="shared" si="8"/>
        <v>[&gt; 900km]</v>
      </c>
      <c r="F50" s="77" t="str">
        <f t="shared" si="8"/>
        <v>&lt; 500V</v>
      </c>
      <c r="G50" s="77" t="str">
        <f t="shared" si="6"/>
        <v>Municflex_Local Authority_[&gt; 900km]_&lt; 500V</v>
      </c>
      <c r="H50" s="77" t="str">
        <f t="shared" si="5"/>
        <v>Mf31Y</v>
      </c>
      <c r="I50" s="106">
        <v>721.57</v>
      </c>
      <c r="J50" s="106">
        <v>180.39</v>
      </c>
      <c r="K50" s="106">
        <v>120.26</v>
      </c>
      <c r="L50" s="106">
        <v>299.44</v>
      </c>
      <c r="M50" s="106">
        <v>168.37</v>
      </c>
      <c r="N50" s="106">
        <v>120.26</v>
      </c>
      <c r="O50" s="307">
        <v>0</v>
      </c>
      <c r="P50" s="307">
        <v>0</v>
      </c>
      <c r="Q50" s="307">
        <v>0</v>
      </c>
      <c r="R50" s="307">
        <v>0</v>
      </c>
      <c r="S50" s="106">
        <v>11.23</v>
      </c>
      <c r="T50" s="106">
        <v>0</v>
      </c>
      <c r="U50" s="106">
        <v>3.33</v>
      </c>
      <c r="V50" s="106">
        <v>23.32</v>
      </c>
    </row>
    <row r="51" spans="2:22" s="77" customFormat="1" ht="13.8">
      <c r="B51" s="77" t="s">
        <v>465</v>
      </c>
      <c r="C51" s="77" t="str">
        <f t="shared" si="7"/>
        <v>Municflex</v>
      </c>
      <c r="D51" s="77" t="s">
        <v>71</v>
      </c>
      <c r="E51" s="77" t="str">
        <f t="shared" si="8"/>
        <v>[&gt; 900km]</v>
      </c>
      <c r="F51" s="77" t="str">
        <f t="shared" si="8"/>
        <v>≥ 500V &amp; &lt; 66kV</v>
      </c>
      <c r="G51" s="77" t="str">
        <f t="shared" si="6"/>
        <v>Municflex_Local Authority_[&gt; 900km]_≥ 500V &amp; &lt; 66kV</v>
      </c>
      <c r="H51" s="77" t="str">
        <f t="shared" si="5"/>
        <v>Mf32Y</v>
      </c>
      <c r="I51" s="106">
        <v>698.76</v>
      </c>
      <c r="J51" s="106">
        <v>174.68</v>
      </c>
      <c r="K51" s="106">
        <v>116.47</v>
      </c>
      <c r="L51" s="106">
        <v>289.98</v>
      </c>
      <c r="M51" s="106">
        <v>163.04</v>
      </c>
      <c r="N51" s="106">
        <v>116.47</v>
      </c>
      <c r="O51" s="307">
        <v>0</v>
      </c>
      <c r="P51" s="307">
        <v>0</v>
      </c>
      <c r="Q51" s="307">
        <v>0</v>
      </c>
      <c r="R51" s="307">
        <v>0</v>
      </c>
      <c r="S51" s="106">
        <v>10.75</v>
      </c>
      <c r="T51" s="106">
        <v>0</v>
      </c>
      <c r="U51" s="106">
        <v>7.71</v>
      </c>
      <c r="V51" s="106">
        <v>22.59</v>
      </c>
    </row>
    <row r="52" spans="2:22" s="77" customFormat="1" ht="13.8">
      <c r="B52" s="77" t="s">
        <v>465</v>
      </c>
      <c r="C52" s="77" t="str">
        <f t="shared" si="7"/>
        <v>Municflex</v>
      </c>
      <c r="D52" s="77" t="s">
        <v>71</v>
      </c>
      <c r="E52" s="77" t="str">
        <f t="shared" si="8"/>
        <v>[&gt; 900km]</v>
      </c>
      <c r="F52" s="77" t="str">
        <f t="shared" si="8"/>
        <v>≥ 66kV &amp; ≤ 132kV</v>
      </c>
      <c r="G52" s="77" t="str">
        <f t="shared" si="6"/>
        <v>Municflex_Local Authority_[&gt; 900km]_≥ 66kV &amp; ≤ 132kV</v>
      </c>
      <c r="H52" s="77" t="str">
        <f t="shared" si="5"/>
        <v>Mf33Y</v>
      </c>
      <c r="I52" s="106">
        <v>647.42999999999995</v>
      </c>
      <c r="J52" s="106">
        <v>161.86000000000001</v>
      </c>
      <c r="K52" s="106">
        <v>107.9</v>
      </c>
      <c r="L52" s="106">
        <v>268.68</v>
      </c>
      <c r="M52" s="106">
        <v>151.07</v>
      </c>
      <c r="N52" s="106">
        <v>107.9</v>
      </c>
      <c r="O52" s="307">
        <v>0</v>
      </c>
      <c r="P52" s="307">
        <v>0</v>
      </c>
      <c r="Q52" s="307">
        <v>0</v>
      </c>
      <c r="R52" s="307">
        <v>0</v>
      </c>
      <c r="S52" s="106">
        <v>9.7899999999999991</v>
      </c>
      <c r="T52" s="106">
        <v>0</v>
      </c>
      <c r="U52" s="106">
        <v>6.46</v>
      </c>
      <c r="V52" s="106">
        <v>20.93</v>
      </c>
    </row>
    <row r="53" spans="2:22" s="77" customFormat="1" ht="13.8">
      <c r="B53" s="77" t="s">
        <v>465</v>
      </c>
      <c r="C53" s="77" t="str">
        <f t="shared" si="7"/>
        <v>Municflex</v>
      </c>
      <c r="D53" s="77" t="s">
        <v>71</v>
      </c>
      <c r="E53" s="77" t="str">
        <f t="shared" si="8"/>
        <v>[&gt; 900km]</v>
      </c>
      <c r="F53" s="77" t="str">
        <f t="shared" si="8"/>
        <v>&gt; 132kV</v>
      </c>
      <c r="G53" s="77" t="str">
        <f t="shared" si="6"/>
        <v>Municflex_Local Authority_[&gt; 900km]_&gt; 132kV</v>
      </c>
      <c r="H53" s="77" t="str">
        <f t="shared" si="5"/>
        <v>Mf34Y</v>
      </c>
      <c r="I53" s="106">
        <v>603.72</v>
      </c>
      <c r="J53" s="106">
        <v>150.94</v>
      </c>
      <c r="K53" s="106">
        <v>100.61</v>
      </c>
      <c r="L53" s="106">
        <v>250.55</v>
      </c>
      <c r="M53" s="106">
        <v>140.86000000000001</v>
      </c>
      <c r="N53" s="106">
        <v>100.61</v>
      </c>
      <c r="O53" s="307">
        <v>0</v>
      </c>
      <c r="P53" s="307">
        <v>0</v>
      </c>
      <c r="Q53" s="307">
        <v>0</v>
      </c>
      <c r="R53" s="307">
        <v>0</v>
      </c>
      <c r="S53" s="106">
        <v>17.100000000000001</v>
      </c>
      <c r="T53" s="106">
        <v>0</v>
      </c>
      <c r="U53" s="106">
        <v>7.14</v>
      </c>
      <c r="V53" s="106">
        <v>19.510000000000002</v>
      </c>
    </row>
    <row r="54" spans="2:22" s="77" customFormat="1" ht="13.8"/>
    <row r="55" spans="2:22" s="77" customFormat="1" ht="13.8">
      <c r="C55" s="77" t="s">
        <v>42</v>
      </c>
      <c r="D55" s="77" t="s">
        <v>72</v>
      </c>
      <c r="E55" s="77" t="s">
        <v>67</v>
      </c>
      <c r="F55" s="77" t="s">
        <v>62</v>
      </c>
      <c r="G55" s="77" t="str">
        <f t="shared" si="6"/>
        <v>Miniflex_Non-Local Authority_[0 - 300km]_&lt; 500V</v>
      </c>
      <c r="H55" s="77" t="str">
        <f t="shared" ref="H55:H86" si="9">INDEX(Matrix_Tariff_Map,MATCH(C55,Matrix_Model_Tariffs,0),2)&amp;INDEX(Matrix_Transmission_Map,MATCH(E55,Matrix_Model_Transmission,0),2)&amp;INDEX(Matrix_Voltage_Map,MATCH(F55,Matrix_Model_Voltage,0),2)&amp;INDEX(Matrix_Category_Map,MATCH(D55,Matrix_Model_Category,0),2)</f>
        <v>Mi01N</v>
      </c>
      <c r="I55" s="106">
        <v>684.59</v>
      </c>
      <c r="J55" s="106">
        <v>171.15</v>
      </c>
      <c r="K55" s="106">
        <v>114.09</v>
      </c>
      <c r="L55" s="106">
        <v>284.12</v>
      </c>
      <c r="M55" s="106">
        <v>159.74</v>
      </c>
      <c r="N55" s="106">
        <v>114.09</v>
      </c>
      <c r="O55" s="85" t="s">
        <v>118</v>
      </c>
      <c r="P55" s="85" t="s">
        <v>118</v>
      </c>
      <c r="Q55" s="85" t="s">
        <v>118</v>
      </c>
      <c r="R55" s="85" t="s">
        <v>118</v>
      </c>
      <c r="S55" s="106" t="s">
        <v>118</v>
      </c>
      <c r="T55" s="106">
        <v>49.85</v>
      </c>
      <c r="U55" s="106">
        <v>3.49</v>
      </c>
      <c r="V55" s="106">
        <v>22.78</v>
      </c>
    </row>
    <row r="56" spans="2:22" s="77" customFormat="1" ht="13.8">
      <c r="C56" s="77" t="str">
        <f>C55</f>
        <v>Miniflex</v>
      </c>
      <c r="D56" s="77" t="s">
        <v>72</v>
      </c>
      <c r="E56" s="77" t="s">
        <v>67</v>
      </c>
      <c r="F56" s="77" t="s">
        <v>63</v>
      </c>
      <c r="G56" s="77" t="str">
        <f t="shared" si="6"/>
        <v>Miniflex_Non-Local Authority_[0 - 300km]_≥ 500V &amp; &lt; 66kV</v>
      </c>
      <c r="H56" s="77" t="str">
        <f t="shared" si="9"/>
        <v>Mi02N</v>
      </c>
      <c r="I56" s="106">
        <v>666.92</v>
      </c>
      <c r="J56" s="106">
        <v>166.73</v>
      </c>
      <c r="K56" s="106">
        <v>111.15</v>
      </c>
      <c r="L56" s="106">
        <v>276.77999999999997</v>
      </c>
      <c r="M56" s="106">
        <v>155.62</v>
      </c>
      <c r="N56" s="106">
        <v>111.15</v>
      </c>
      <c r="O56" s="85" t="s">
        <v>118</v>
      </c>
      <c r="P56" s="85" t="s">
        <v>118</v>
      </c>
      <c r="Q56" s="85" t="s">
        <v>118</v>
      </c>
      <c r="R56" s="85" t="s">
        <v>118</v>
      </c>
      <c r="S56" s="106" t="s">
        <v>118</v>
      </c>
      <c r="T56" s="106">
        <v>46.22</v>
      </c>
      <c r="U56" s="106">
        <v>8.09</v>
      </c>
      <c r="V56" s="106">
        <v>22.2</v>
      </c>
    </row>
    <row r="57" spans="2:22" s="77" customFormat="1" ht="13.8">
      <c r="C57" s="77" t="str">
        <f t="shared" ref="C57:C86" si="10">C56</f>
        <v>Miniflex</v>
      </c>
      <c r="D57" s="77" t="s">
        <v>72</v>
      </c>
      <c r="E57" s="77" t="s">
        <v>67</v>
      </c>
      <c r="F57" s="77" t="s">
        <v>64</v>
      </c>
      <c r="G57" s="77" t="str">
        <f t="shared" si="6"/>
        <v>Miniflex_Non-Local Authority_[0 - 300km]_≥ 66kV &amp; ≤ 132kV</v>
      </c>
      <c r="H57" s="77" t="str">
        <f t="shared" si="9"/>
        <v>Mi03N</v>
      </c>
      <c r="I57" s="106">
        <v>618.91</v>
      </c>
      <c r="J57" s="106">
        <v>154.72</v>
      </c>
      <c r="K57" s="106">
        <v>103.15</v>
      </c>
      <c r="L57" s="106">
        <v>256.86</v>
      </c>
      <c r="M57" s="106">
        <v>144.41999999999999</v>
      </c>
      <c r="N57" s="106">
        <v>103.15</v>
      </c>
      <c r="O57" s="85" t="s">
        <v>118</v>
      </c>
      <c r="P57" s="85" t="s">
        <v>118</v>
      </c>
      <c r="Q57" s="85" t="s">
        <v>118</v>
      </c>
      <c r="R57" s="85" t="s">
        <v>118</v>
      </c>
      <c r="S57" s="106" t="s">
        <v>118</v>
      </c>
      <c r="T57" s="106">
        <v>22.37</v>
      </c>
      <c r="U57" s="106">
        <v>6.12</v>
      </c>
      <c r="V57" s="106">
        <v>20.6</v>
      </c>
    </row>
    <row r="58" spans="2:22" s="77" customFormat="1" ht="13.8">
      <c r="C58" s="77" t="str">
        <f t="shared" si="10"/>
        <v>Miniflex</v>
      </c>
      <c r="D58" s="77" t="s">
        <v>72</v>
      </c>
      <c r="E58" s="77" t="s">
        <v>67</v>
      </c>
      <c r="F58" s="77" t="s">
        <v>65</v>
      </c>
      <c r="G58" s="77" t="str">
        <f t="shared" si="6"/>
        <v>Miniflex_Non-Local Authority_[0 - 300km]_&gt; 132kV</v>
      </c>
      <c r="H58" s="77" t="str">
        <f t="shared" si="9"/>
        <v>Mi04N</v>
      </c>
      <c r="I58" s="106">
        <v>577.13</v>
      </c>
      <c r="J58" s="106">
        <v>144.28</v>
      </c>
      <c r="K58" s="106">
        <v>96.19</v>
      </c>
      <c r="L58" s="106">
        <v>239.52</v>
      </c>
      <c r="M58" s="106">
        <v>134.66999999999999</v>
      </c>
      <c r="N58" s="106">
        <v>96.19</v>
      </c>
      <c r="O58" s="85" t="s">
        <v>118</v>
      </c>
      <c r="P58" s="85" t="s">
        <v>118</v>
      </c>
      <c r="Q58" s="85" t="s">
        <v>118</v>
      </c>
      <c r="R58" s="85" t="s">
        <v>118</v>
      </c>
      <c r="S58" s="106" t="s">
        <v>118</v>
      </c>
      <c r="T58" s="106">
        <v>16.34</v>
      </c>
      <c r="U58" s="106">
        <v>7.02</v>
      </c>
      <c r="V58" s="106">
        <v>19.21</v>
      </c>
    </row>
    <row r="59" spans="2:22" s="77" customFormat="1" ht="13.8">
      <c r="C59" s="77" t="str">
        <f t="shared" si="10"/>
        <v>Miniflex</v>
      </c>
      <c r="D59" s="77" t="s">
        <v>72</v>
      </c>
      <c r="E59" s="77" t="s">
        <v>68</v>
      </c>
      <c r="F59" s="77" t="s">
        <v>62</v>
      </c>
      <c r="G59" s="77" t="str">
        <f t="shared" si="6"/>
        <v>Miniflex_Non-Local Authority_[301 - 600km]_&lt; 500V</v>
      </c>
      <c r="H59" s="77" t="str">
        <f t="shared" si="9"/>
        <v>Mi11N</v>
      </c>
      <c r="I59" s="106">
        <v>691.43</v>
      </c>
      <c r="J59" s="106">
        <v>172.86</v>
      </c>
      <c r="K59" s="106">
        <v>115.23</v>
      </c>
      <c r="L59" s="106">
        <v>286.95999999999998</v>
      </c>
      <c r="M59" s="106">
        <v>161.34</v>
      </c>
      <c r="N59" s="106">
        <v>115.23</v>
      </c>
      <c r="O59" s="85" t="s">
        <v>118</v>
      </c>
      <c r="P59" s="85" t="s">
        <v>118</v>
      </c>
      <c r="Q59" s="85" t="s">
        <v>118</v>
      </c>
      <c r="R59" s="85" t="s">
        <v>118</v>
      </c>
      <c r="S59" s="106" t="s">
        <v>118</v>
      </c>
      <c r="T59" s="106">
        <v>49.97</v>
      </c>
      <c r="U59" s="106">
        <v>3.49</v>
      </c>
      <c r="V59" s="106">
        <v>22.78</v>
      </c>
    </row>
    <row r="60" spans="2:22" s="77" customFormat="1" ht="13.8">
      <c r="C60" s="77" t="str">
        <f t="shared" si="10"/>
        <v>Miniflex</v>
      </c>
      <c r="D60" s="77" t="s">
        <v>72</v>
      </c>
      <c r="E60" s="77" t="s">
        <v>68</v>
      </c>
      <c r="F60" s="77" t="s">
        <v>63</v>
      </c>
      <c r="G60" s="77" t="str">
        <f t="shared" si="6"/>
        <v>Miniflex_Non-Local Authority_[301 - 600km]_≥ 500V &amp; &lt; 66kV</v>
      </c>
      <c r="H60" s="77" t="str">
        <f t="shared" si="9"/>
        <v>Mi12N</v>
      </c>
      <c r="I60" s="106">
        <v>673.6</v>
      </c>
      <c r="J60" s="106">
        <v>168.4</v>
      </c>
      <c r="K60" s="106">
        <v>112.27</v>
      </c>
      <c r="L60" s="106">
        <v>279.55</v>
      </c>
      <c r="M60" s="106">
        <v>157.16999999999999</v>
      </c>
      <c r="N60" s="106">
        <v>112.27</v>
      </c>
      <c r="O60" s="85" t="s">
        <v>118</v>
      </c>
      <c r="P60" s="85" t="s">
        <v>118</v>
      </c>
      <c r="Q60" s="85" t="s">
        <v>118</v>
      </c>
      <c r="R60" s="85" t="s">
        <v>118</v>
      </c>
      <c r="S60" s="106" t="s">
        <v>118</v>
      </c>
      <c r="T60" s="106">
        <v>46.32</v>
      </c>
      <c r="U60" s="106">
        <v>8.09</v>
      </c>
      <c r="V60" s="106">
        <v>22.2</v>
      </c>
    </row>
    <row r="61" spans="2:22" s="77" customFormat="1" ht="13.8">
      <c r="C61" s="77" t="str">
        <f t="shared" si="10"/>
        <v>Miniflex</v>
      </c>
      <c r="D61" s="77" t="s">
        <v>72</v>
      </c>
      <c r="E61" s="77" t="s">
        <v>68</v>
      </c>
      <c r="F61" s="77" t="s">
        <v>64</v>
      </c>
      <c r="G61" s="77" t="str">
        <f t="shared" si="6"/>
        <v>Miniflex_Non-Local Authority_[301 - 600km]_≥ 66kV &amp; ≤ 132kV</v>
      </c>
      <c r="H61" s="77" t="str">
        <f t="shared" si="9"/>
        <v>Mi13N</v>
      </c>
      <c r="I61" s="106">
        <v>625.1</v>
      </c>
      <c r="J61" s="106">
        <v>156.28</v>
      </c>
      <c r="K61" s="106">
        <v>104.18</v>
      </c>
      <c r="L61" s="106">
        <v>259.43</v>
      </c>
      <c r="M61" s="106">
        <v>145.86000000000001</v>
      </c>
      <c r="N61" s="106">
        <v>104.18</v>
      </c>
      <c r="O61" s="85" t="s">
        <v>118</v>
      </c>
      <c r="P61" s="85" t="s">
        <v>118</v>
      </c>
      <c r="Q61" s="85" t="s">
        <v>118</v>
      </c>
      <c r="R61" s="85" t="s">
        <v>118</v>
      </c>
      <c r="S61" s="106" t="s">
        <v>118</v>
      </c>
      <c r="T61" s="106">
        <v>22.47</v>
      </c>
      <c r="U61" s="106">
        <v>6.12</v>
      </c>
      <c r="V61" s="106">
        <v>20.6</v>
      </c>
    </row>
    <row r="62" spans="2:22" s="77" customFormat="1" ht="13.8">
      <c r="C62" s="77" t="str">
        <f t="shared" si="10"/>
        <v>Miniflex</v>
      </c>
      <c r="D62" s="77" t="s">
        <v>72</v>
      </c>
      <c r="E62" s="77" t="s">
        <v>68</v>
      </c>
      <c r="F62" s="77" t="s">
        <v>65</v>
      </c>
      <c r="G62" s="77" t="str">
        <f t="shared" si="6"/>
        <v>Miniflex_Non-Local Authority_[301 - 600km]_&gt; 132kV</v>
      </c>
      <c r="H62" s="77" t="str">
        <f t="shared" si="9"/>
        <v>Mi14N</v>
      </c>
      <c r="I62" s="106">
        <v>582.9</v>
      </c>
      <c r="J62" s="106">
        <v>145.72999999999999</v>
      </c>
      <c r="K62" s="106">
        <v>97.15</v>
      </c>
      <c r="L62" s="106">
        <v>241.91</v>
      </c>
      <c r="M62" s="106">
        <v>136.01</v>
      </c>
      <c r="N62" s="106">
        <v>97.15</v>
      </c>
      <c r="O62" s="85" t="s">
        <v>118</v>
      </c>
      <c r="P62" s="85" t="s">
        <v>118</v>
      </c>
      <c r="Q62" s="85" t="s">
        <v>118</v>
      </c>
      <c r="R62" s="85" t="s">
        <v>118</v>
      </c>
      <c r="S62" s="106" t="s">
        <v>118</v>
      </c>
      <c r="T62" s="106">
        <v>16.510000000000002</v>
      </c>
      <c r="U62" s="106">
        <v>7.02</v>
      </c>
      <c r="V62" s="106">
        <v>19.21</v>
      </c>
    </row>
    <row r="63" spans="2:22" s="77" customFormat="1" ht="13.8">
      <c r="C63" s="77" t="str">
        <f t="shared" si="10"/>
        <v>Miniflex</v>
      </c>
      <c r="D63" s="77" t="s">
        <v>72</v>
      </c>
      <c r="E63" s="77" t="s">
        <v>69</v>
      </c>
      <c r="F63" s="77" t="s">
        <v>62</v>
      </c>
      <c r="G63" s="77" t="str">
        <f t="shared" si="6"/>
        <v>Miniflex_Non-Local Authority_[601 - 900km]_&lt; 500V</v>
      </c>
      <c r="H63" s="77" t="str">
        <f t="shared" si="9"/>
        <v>Mi21N</v>
      </c>
      <c r="I63" s="106">
        <v>698.28</v>
      </c>
      <c r="J63" s="106">
        <v>174.57</v>
      </c>
      <c r="K63" s="106">
        <v>116.37</v>
      </c>
      <c r="L63" s="106">
        <v>289.8</v>
      </c>
      <c r="M63" s="106">
        <v>162.93</v>
      </c>
      <c r="N63" s="106">
        <v>116.37</v>
      </c>
      <c r="O63" s="85" t="s">
        <v>118</v>
      </c>
      <c r="P63" s="85" t="s">
        <v>118</v>
      </c>
      <c r="Q63" s="85" t="s">
        <v>118</v>
      </c>
      <c r="R63" s="85" t="s">
        <v>118</v>
      </c>
      <c r="S63" s="106" t="s">
        <v>118</v>
      </c>
      <c r="T63" s="106">
        <v>50.07</v>
      </c>
      <c r="U63" s="106">
        <v>3.49</v>
      </c>
      <c r="V63" s="106">
        <v>22.78</v>
      </c>
    </row>
    <row r="64" spans="2:22" s="77" customFormat="1" ht="13.8">
      <c r="C64" s="77" t="str">
        <f t="shared" si="10"/>
        <v>Miniflex</v>
      </c>
      <c r="D64" s="77" t="s">
        <v>72</v>
      </c>
      <c r="E64" s="77" t="s">
        <v>69</v>
      </c>
      <c r="F64" s="77" t="s">
        <v>63</v>
      </c>
      <c r="G64" s="77" t="str">
        <f t="shared" si="6"/>
        <v>Miniflex_Non-Local Authority_[601 - 900km]_≥ 500V &amp; &lt; 66kV</v>
      </c>
      <c r="H64" s="77" t="str">
        <f t="shared" si="9"/>
        <v>Mi22N</v>
      </c>
      <c r="I64" s="106">
        <v>680.27</v>
      </c>
      <c r="J64" s="106">
        <v>170.07</v>
      </c>
      <c r="K64" s="106">
        <v>113.37</v>
      </c>
      <c r="L64" s="106">
        <v>282.32</v>
      </c>
      <c r="M64" s="106">
        <v>158.72999999999999</v>
      </c>
      <c r="N64" s="106">
        <v>113.37</v>
      </c>
      <c r="O64" s="85" t="s">
        <v>118</v>
      </c>
      <c r="P64" s="85" t="s">
        <v>118</v>
      </c>
      <c r="Q64" s="85" t="s">
        <v>118</v>
      </c>
      <c r="R64" s="85" t="s">
        <v>118</v>
      </c>
      <c r="S64" s="106" t="s">
        <v>118</v>
      </c>
      <c r="T64" s="106">
        <v>46.43</v>
      </c>
      <c r="U64" s="106">
        <v>8.09</v>
      </c>
      <c r="V64" s="106">
        <v>22.2</v>
      </c>
    </row>
    <row r="65" spans="2:22" s="77" customFormat="1" ht="13.8">
      <c r="C65" s="77" t="str">
        <f t="shared" si="10"/>
        <v>Miniflex</v>
      </c>
      <c r="D65" s="77" t="s">
        <v>72</v>
      </c>
      <c r="E65" s="77" t="s">
        <v>69</v>
      </c>
      <c r="F65" s="77" t="s">
        <v>64</v>
      </c>
      <c r="G65" s="77" t="str">
        <f t="shared" si="6"/>
        <v>Miniflex_Non-Local Authority_[601 - 900km]_≥ 66kV &amp; ≤ 132kV</v>
      </c>
      <c r="H65" s="77" t="str">
        <f t="shared" si="9"/>
        <v>Mi23N</v>
      </c>
      <c r="I65" s="106">
        <v>631.29</v>
      </c>
      <c r="J65" s="106">
        <v>157.82</v>
      </c>
      <c r="K65" s="106">
        <v>105.21</v>
      </c>
      <c r="L65" s="106">
        <v>262</v>
      </c>
      <c r="M65" s="106">
        <v>147.31</v>
      </c>
      <c r="N65" s="106">
        <v>105.21</v>
      </c>
      <c r="O65" s="85" t="s">
        <v>118</v>
      </c>
      <c r="P65" s="85" t="s">
        <v>118</v>
      </c>
      <c r="Q65" s="85" t="s">
        <v>118</v>
      </c>
      <c r="R65" s="85" t="s">
        <v>118</v>
      </c>
      <c r="S65" s="106" t="s">
        <v>118</v>
      </c>
      <c r="T65" s="106">
        <v>22.56</v>
      </c>
      <c r="U65" s="106">
        <v>6.12</v>
      </c>
      <c r="V65" s="106">
        <v>20.6</v>
      </c>
    </row>
    <row r="66" spans="2:22" s="77" customFormat="1" ht="13.8">
      <c r="C66" s="77" t="str">
        <f t="shared" si="10"/>
        <v>Miniflex</v>
      </c>
      <c r="D66" s="77" t="s">
        <v>72</v>
      </c>
      <c r="E66" s="77" t="s">
        <v>69</v>
      </c>
      <c r="F66" s="77" t="s">
        <v>65</v>
      </c>
      <c r="G66" s="77" t="str">
        <f t="shared" si="6"/>
        <v>Miniflex_Non-Local Authority_[601 - 900km]_&gt; 132kV</v>
      </c>
      <c r="H66" s="77" t="str">
        <f t="shared" si="9"/>
        <v>Mi24N</v>
      </c>
      <c r="I66" s="106">
        <v>588.66999999999996</v>
      </c>
      <c r="J66" s="106">
        <v>147.16999999999999</v>
      </c>
      <c r="K66" s="106">
        <v>98.11</v>
      </c>
      <c r="L66" s="106">
        <v>244.31</v>
      </c>
      <c r="M66" s="106">
        <v>137.36000000000001</v>
      </c>
      <c r="N66" s="106">
        <v>98.11</v>
      </c>
      <c r="O66" s="85" t="s">
        <v>118</v>
      </c>
      <c r="P66" s="85" t="s">
        <v>118</v>
      </c>
      <c r="Q66" s="85" t="s">
        <v>118</v>
      </c>
      <c r="R66" s="85" t="s">
        <v>118</v>
      </c>
      <c r="S66" s="106" t="s">
        <v>118</v>
      </c>
      <c r="T66" s="106">
        <v>16.66</v>
      </c>
      <c r="U66" s="106">
        <v>7.02</v>
      </c>
      <c r="V66" s="106">
        <v>19.21</v>
      </c>
    </row>
    <row r="67" spans="2:22" s="77" customFormat="1" ht="13.8">
      <c r="C67" s="77" t="str">
        <f t="shared" si="10"/>
        <v>Miniflex</v>
      </c>
      <c r="D67" s="77" t="s">
        <v>72</v>
      </c>
      <c r="E67" s="77" t="s">
        <v>70</v>
      </c>
      <c r="F67" s="77" t="s">
        <v>62</v>
      </c>
      <c r="G67" s="77" t="str">
        <f t="shared" si="6"/>
        <v>Miniflex_Non-Local Authority_[&gt; 900km]_&lt; 500V</v>
      </c>
      <c r="H67" s="77" t="str">
        <f t="shared" si="9"/>
        <v>Mi31N</v>
      </c>
      <c r="I67" s="106">
        <v>705.13</v>
      </c>
      <c r="J67" s="106">
        <v>176.28</v>
      </c>
      <c r="K67" s="106">
        <v>117.52</v>
      </c>
      <c r="L67" s="106">
        <v>292.64</v>
      </c>
      <c r="M67" s="106">
        <v>164.53</v>
      </c>
      <c r="N67" s="106">
        <v>117.52</v>
      </c>
      <c r="O67" s="85" t="s">
        <v>118</v>
      </c>
      <c r="P67" s="85" t="s">
        <v>118</v>
      </c>
      <c r="Q67" s="85" t="s">
        <v>118</v>
      </c>
      <c r="R67" s="85" t="s">
        <v>118</v>
      </c>
      <c r="S67" s="106" t="s">
        <v>118</v>
      </c>
      <c r="T67" s="106">
        <v>50.18</v>
      </c>
      <c r="U67" s="106">
        <v>3.49</v>
      </c>
      <c r="V67" s="106">
        <v>22.78</v>
      </c>
    </row>
    <row r="68" spans="2:22" s="77" customFormat="1" ht="13.8">
      <c r="C68" s="77" t="str">
        <f t="shared" si="10"/>
        <v>Miniflex</v>
      </c>
      <c r="D68" s="77" t="s">
        <v>72</v>
      </c>
      <c r="E68" s="77" t="s">
        <v>70</v>
      </c>
      <c r="F68" s="77" t="s">
        <v>63</v>
      </c>
      <c r="G68" s="77" t="str">
        <f t="shared" si="6"/>
        <v>Miniflex_Non-Local Authority_[&gt; 900km]_≥ 500V &amp; &lt; 66kV</v>
      </c>
      <c r="H68" s="77" t="str">
        <f t="shared" si="9"/>
        <v>Mi32N</v>
      </c>
      <c r="I68" s="106">
        <v>686.94</v>
      </c>
      <c r="J68" s="106">
        <v>171.74</v>
      </c>
      <c r="K68" s="106">
        <v>114.49</v>
      </c>
      <c r="L68" s="106">
        <v>285.08999999999997</v>
      </c>
      <c r="M68" s="106">
        <v>160.28</v>
      </c>
      <c r="N68" s="106">
        <v>114.49</v>
      </c>
      <c r="O68" s="85" t="s">
        <v>118</v>
      </c>
      <c r="P68" s="85" t="s">
        <v>118</v>
      </c>
      <c r="Q68" s="85" t="s">
        <v>118</v>
      </c>
      <c r="R68" s="85" t="s">
        <v>118</v>
      </c>
      <c r="S68" s="106" t="s">
        <v>118</v>
      </c>
      <c r="T68" s="106">
        <v>46.53</v>
      </c>
      <c r="U68" s="106">
        <v>8.09</v>
      </c>
      <c r="V68" s="106">
        <v>22.2</v>
      </c>
    </row>
    <row r="69" spans="2:22" s="77" customFormat="1" ht="13.8">
      <c r="C69" s="77" t="str">
        <f t="shared" si="10"/>
        <v>Miniflex</v>
      </c>
      <c r="D69" s="77" t="s">
        <v>72</v>
      </c>
      <c r="E69" s="77" t="s">
        <v>70</v>
      </c>
      <c r="F69" s="77" t="s">
        <v>64</v>
      </c>
      <c r="G69" s="77" t="str">
        <f t="shared" si="6"/>
        <v>Miniflex_Non-Local Authority_[&gt; 900km]_≥ 66kV &amp; ≤ 132kV</v>
      </c>
      <c r="H69" s="77" t="str">
        <f t="shared" si="9"/>
        <v>Mi33N</v>
      </c>
      <c r="I69" s="106">
        <v>637.48</v>
      </c>
      <c r="J69" s="106">
        <v>159.37</v>
      </c>
      <c r="K69" s="106">
        <v>106.25</v>
      </c>
      <c r="L69" s="106">
        <v>264.56</v>
      </c>
      <c r="M69" s="106">
        <v>148.75</v>
      </c>
      <c r="N69" s="106">
        <v>106.25</v>
      </c>
      <c r="O69" s="85" t="s">
        <v>118</v>
      </c>
      <c r="P69" s="85" t="s">
        <v>118</v>
      </c>
      <c r="Q69" s="85" t="s">
        <v>118</v>
      </c>
      <c r="R69" s="85" t="s">
        <v>118</v>
      </c>
      <c r="S69" s="106" t="s">
        <v>118</v>
      </c>
      <c r="T69" s="106">
        <v>22.65</v>
      </c>
      <c r="U69" s="106">
        <v>6.12</v>
      </c>
      <c r="V69" s="106">
        <v>20.6</v>
      </c>
    </row>
    <row r="70" spans="2:22" s="77" customFormat="1" ht="14.4" thickBot="1">
      <c r="C70" s="77" t="str">
        <f t="shared" si="10"/>
        <v>Miniflex</v>
      </c>
      <c r="D70" s="77" t="s">
        <v>72</v>
      </c>
      <c r="E70" s="77" t="s">
        <v>70</v>
      </c>
      <c r="F70" s="77" t="s">
        <v>65</v>
      </c>
      <c r="G70" s="77" t="str">
        <f t="shared" si="6"/>
        <v>Miniflex_Non-Local Authority_[&gt; 900km]_&gt; 132kV</v>
      </c>
      <c r="H70" s="77" t="str">
        <f t="shared" si="9"/>
        <v>Mi34N</v>
      </c>
      <c r="I70" s="106">
        <v>594.44000000000005</v>
      </c>
      <c r="J70" s="106">
        <v>148.61000000000001</v>
      </c>
      <c r="K70" s="106">
        <v>99.06</v>
      </c>
      <c r="L70" s="106">
        <v>246.7</v>
      </c>
      <c r="M70" s="106">
        <v>138.69999999999999</v>
      </c>
      <c r="N70" s="106">
        <v>99.06</v>
      </c>
      <c r="O70" s="85" t="s">
        <v>118</v>
      </c>
      <c r="P70" s="85" t="s">
        <v>118</v>
      </c>
      <c r="Q70" s="85" t="s">
        <v>118</v>
      </c>
      <c r="R70" s="85" t="s">
        <v>118</v>
      </c>
      <c r="S70" s="106" t="s">
        <v>118</v>
      </c>
      <c r="T70" s="106">
        <v>16.829999999999998</v>
      </c>
      <c r="U70" s="106">
        <v>7.02</v>
      </c>
      <c r="V70" s="106">
        <v>19.21</v>
      </c>
    </row>
    <row r="71" spans="2:22" s="77" customFormat="1" ht="13.8">
      <c r="B71" s="239" t="s">
        <v>465</v>
      </c>
      <c r="C71" s="77" t="str">
        <f t="shared" si="10"/>
        <v>Miniflex</v>
      </c>
      <c r="D71" s="77" t="s">
        <v>71</v>
      </c>
      <c r="E71" s="77" t="str">
        <f t="shared" ref="E71:F86" si="11">E55</f>
        <v>[0 - 300km]</v>
      </c>
      <c r="F71" s="77" t="str">
        <f t="shared" si="11"/>
        <v>&lt; 500V</v>
      </c>
      <c r="G71" s="77" t="str">
        <f t="shared" si="6"/>
        <v>Miniflex_Local Authority_[0 - 300km]_&lt; 500V</v>
      </c>
      <c r="H71" s="77" t="str">
        <f t="shared" si="9"/>
        <v>Mi01Y</v>
      </c>
      <c r="I71" s="106">
        <v>697.46</v>
      </c>
      <c r="J71" s="106">
        <v>174.34</v>
      </c>
      <c r="K71" s="106">
        <v>116.26</v>
      </c>
      <c r="L71" s="106">
        <v>289.5</v>
      </c>
      <c r="M71" s="106">
        <v>162.75</v>
      </c>
      <c r="N71" s="106">
        <v>116.31</v>
      </c>
      <c r="O71" s="307">
        <v>0</v>
      </c>
      <c r="P71" s="307">
        <v>0</v>
      </c>
      <c r="Q71" s="307">
        <v>0</v>
      </c>
      <c r="R71" s="307">
        <v>0</v>
      </c>
      <c r="S71" s="308">
        <v>0</v>
      </c>
      <c r="T71" s="106">
        <v>40.35</v>
      </c>
      <c r="U71" s="307">
        <v>0</v>
      </c>
      <c r="V71" s="308">
        <v>0</v>
      </c>
    </row>
    <row r="72" spans="2:22" s="77" customFormat="1" ht="13.8">
      <c r="B72" s="77" t="s">
        <v>465</v>
      </c>
      <c r="C72" s="77" t="str">
        <f t="shared" si="10"/>
        <v>Miniflex</v>
      </c>
      <c r="D72" s="77" t="s">
        <v>71</v>
      </c>
      <c r="E72" s="77" t="str">
        <f t="shared" si="11"/>
        <v>[0 - 300km]</v>
      </c>
      <c r="F72" s="77" t="str">
        <f t="shared" si="11"/>
        <v>≥ 500V &amp; &lt; 66kV</v>
      </c>
      <c r="G72" s="77" t="str">
        <f t="shared" si="6"/>
        <v>Miniflex_Local Authority_[0 - 300km]_≥ 500V &amp; &lt; 66kV</v>
      </c>
      <c r="H72" s="77" t="str">
        <f t="shared" si="9"/>
        <v>Mi02Y</v>
      </c>
      <c r="I72" s="106">
        <v>677.39</v>
      </c>
      <c r="J72" s="106">
        <v>169.34</v>
      </c>
      <c r="K72" s="106">
        <v>112.9</v>
      </c>
      <c r="L72" s="106">
        <v>281.12</v>
      </c>
      <c r="M72" s="106">
        <v>158.05000000000001</v>
      </c>
      <c r="N72" s="106">
        <v>112.9</v>
      </c>
      <c r="O72" s="307">
        <v>0</v>
      </c>
      <c r="P72" s="307">
        <v>0</v>
      </c>
      <c r="Q72" s="307">
        <v>0</v>
      </c>
      <c r="R72" s="307">
        <v>0</v>
      </c>
      <c r="S72" s="308">
        <v>0</v>
      </c>
      <c r="T72" s="106">
        <v>36.97</v>
      </c>
      <c r="U72" s="307">
        <v>0</v>
      </c>
      <c r="V72" s="308">
        <v>0</v>
      </c>
    </row>
    <row r="73" spans="2:22" s="77" customFormat="1" ht="13.8">
      <c r="B73" s="77" t="s">
        <v>465</v>
      </c>
      <c r="C73" s="77" t="str">
        <f t="shared" si="10"/>
        <v>Miniflex</v>
      </c>
      <c r="D73" s="77" t="s">
        <v>71</v>
      </c>
      <c r="E73" s="77" t="str">
        <f t="shared" si="11"/>
        <v>[0 - 300km]</v>
      </c>
      <c r="F73" s="77" t="str">
        <f t="shared" si="11"/>
        <v>≥ 66kV &amp; ≤ 132kV</v>
      </c>
      <c r="G73" s="77" t="str">
        <f t="shared" si="6"/>
        <v>Miniflex_Local Authority_[0 - 300km]_≥ 66kV &amp; ≤ 132kV</v>
      </c>
      <c r="H73" s="77" t="str">
        <f t="shared" si="9"/>
        <v>Mi03Y</v>
      </c>
      <c r="I73" s="106">
        <v>628.57000000000005</v>
      </c>
      <c r="J73" s="106">
        <v>157.13999999999999</v>
      </c>
      <c r="K73" s="106">
        <v>104.75</v>
      </c>
      <c r="L73" s="106">
        <v>260.87</v>
      </c>
      <c r="M73" s="106">
        <v>146.68</v>
      </c>
      <c r="N73" s="106">
        <v>104.75</v>
      </c>
      <c r="O73" s="307">
        <v>0</v>
      </c>
      <c r="P73" s="307">
        <v>0</v>
      </c>
      <c r="Q73" s="307">
        <v>0</v>
      </c>
      <c r="R73" s="307">
        <v>0</v>
      </c>
      <c r="S73" s="308">
        <v>0</v>
      </c>
      <c r="T73" s="106">
        <v>16.239999999999998</v>
      </c>
      <c r="U73" s="307">
        <v>0</v>
      </c>
      <c r="V73" s="308">
        <v>0</v>
      </c>
    </row>
    <row r="74" spans="2:22" s="77" customFormat="1" ht="13.8">
      <c r="B74" s="77" t="s">
        <v>465</v>
      </c>
      <c r="C74" s="77" t="str">
        <f t="shared" si="10"/>
        <v>Miniflex</v>
      </c>
      <c r="D74" s="77" t="s">
        <v>71</v>
      </c>
      <c r="E74" s="77" t="str">
        <f t="shared" si="11"/>
        <v>[0 - 300km]</v>
      </c>
      <c r="F74" s="77" t="str">
        <f t="shared" si="11"/>
        <v>&gt; 132kV</v>
      </c>
      <c r="G74" s="77" t="str">
        <f t="shared" si="6"/>
        <v>Miniflex_Local Authority_[0 - 300km]_&gt; 132kV</v>
      </c>
      <c r="H74" s="77" t="str">
        <f t="shared" si="9"/>
        <v>Mi04Y</v>
      </c>
      <c r="I74" s="106">
        <v>586.13</v>
      </c>
      <c r="J74" s="106">
        <v>146.54</v>
      </c>
      <c r="K74" s="106">
        <v>97.69</v>
      </c>
      <c r="L74" s="106">
        <v>243.26</v>
      </c>
      <c r="M74" s="106">
        <v>136.77000000000001</v>
      </c>
      <c r="N74" s="106">
        <v>97.69</v>
      </c>
      <c r="O74" s="307">
        <v>0</v>
      </c>
      <c r="P74" s="307">
        <v>0</v>
      </c>
      <c r="Q74" s="307">
        <v>0</v>
      </c>
      <c r="R74" s="307">
        <v>0</v>
      </c>
      <c r="S74" s="308">
        <v>0</v>
      </c>
      <c r="T74" s="106">
        <v>0</v>
      </c>
      <c r="U74" s="307">
        <v>0</v>
      </c>
      <c r="V74" s="308">
        <v>0</v>
      </c>
    </row>
    <row r="75" spans="2:22" s="77" customFormat="1" ht="13.8">
      <c r="B75" s="77" t="s">
        <v>465</v>
      </c>
      <c r="C75" s="77" t="str">
        <f t="shared" si="10"/>
        <v>Miniflex</v>
      </c>
      <c r="D75" s="77" t="s">
        <v>71</v>
      </c>
      <c r="E75" s="77" t="str">
        <f t="shared" si="11"/>
        <v>[301 - 600km]</v>
      </c>
      <c r="F75" s="77" t="str">
        <f t="shared" si="11"/>
        <v>&lt; 500V</v>
      </c>
      <c r="G75" s="77" t="str">
        <f t="shared" si="6"/>
        <v>Miniflex_Local Authority_[301 - 600km]_&lt; 500V</v>
      </c>
      <c r="H75" s="77" t="str">
        <f t="shared" si="9"/>
        <v>Mi11Y</v>
      </c>
      <c r="I75" s="106">
        <v>706.96</v>
      </c>
      <c r="J75" s="106">
        <v>176.75</v>
      </c>
      <c r="K75" s="106">
        <v>117.84</v>
      </c>
      <c r="L75" s="106">
        <v>293.41000000000003</v>
      </c>
      <c r="M75" s="106">
        <v>164.98</v>
      </c>
      <c r="N75" s="106">
        <v>117.84</v>
      </c>
      <c r="O75" s="307">
        <v>0</v>
      </c>
      <c r="P75" s="307">
        <v>0</v>
      </c>
      <c r="Q75" s="307">
        <v>0</v>
      </c>
      <c r="R75" s="307">
        <v>0</v>
      </c>
      <c r="S75" s="308">
        <v>0</v>
      </c>
      <c r="T75" s="106">
        <v>40.35</v>
      </c>
      <c r="U75" s="307">
        <v>0</v>
      </c>
      <c r="V75" s="308">
        <v>0</v>
      </c>
    </row>
    <row r="76" spans="2:22" s="77" customFormat="1" ht="13.8">
      <c r="B76" s="77" t="s">
        <v>465</v>
      </c>
      <c r="C76" s="77" t="str">
        <f t="shared" si="10"/>
        <v>Miniflex</v>
      </c>
      <c r="D76" s="77" t="s">
        <v>71</v>
      </c>
      <c r="E76" s="77" t="str">
        <f t="shared" si="11"/>
        <v>[301 - 600km]</v>
      </c>
      <c r="F76" s="77" t="str">
        <f t="shared" si="11"/>
        <v>≥ 500V &amp; &lt; 66kV</v>
      </c>
      <c r="G76" s="77" t="str">
        <f t="shared" si="6"/>
        <v>Miniflex_Local Authority_[301 - 600km]_≥ 500V &amp; &lt; 66kV</v>
      </c>
      <c r="H76" s="77" t="str">
        <f t="shared" si="9"/>
        <v>Mi12Y</v>
      </c>
      <c r="I76" s="106">
        <v>685.15</v>
      </c>
      <c r="J76" s="106">
        <v>171.3</v>
      </c>
      <c r="K76" s="106">
        <v>114.21</v>
      </c>
      <c r="L76" s="106">
        <v>284.33999999999997</v>
      </c>
      <c r="M76" s="106">
        <v>159.88</v>
      </c>
      <c r="N76" s="106">
        <v>114.21</v>
      </c>
      <c r="O76" s="307">
        <v>0</v>
      </c>
      <c r="P76" s="307">
        <v>0</v>
      </c>
      <c r="Q76" s="307">
        <v>0</v>
      </c>
      <c r="R76" s="307">
        <v>0</v>
      </c>
      <c r="S76" s="308">
        <v>0</v>
      </c>
      <c r="T76" s="106">
        <v>36.97</v>
      </c>
      <c r="U76" s="307">
        <v>0</v>
      </c>
      <c r="V76" s="308">
        <v>0</v>
      </c>
    </row>
    <row r="77" spans="2:22" s="77" customFormat="1" ht="13.8">
      <c r="B77" s="77" t="s">
        <v>465</v>
      </c>
      <c r="C77" s="77" t="str">
        <f t="shared" si="10"/>
        <v>Miniflex</v>
      </c>
      <c r="D77" s="77" t="s">
        <v>71</v>
      </c>
      <c r="E77" s="77" t="str">
        <f t="shared" si="11"/>
        <v>[301 - 600km]</v>
      </c>
      <c r="F77" s="77" t="str">
        <f t="shared" si="11"/>
        <v>≥ 66kV &amp; ≤ 132kV</v>
      </c>
      <c r="G77" s="77" t="str">
        <f t="shared" si="6"/>
        <v>Miniflex_Local Authority_[301 - 600km]_≥ 66kV &amp; ≤ 132kV</v>
      </c>
      <c r="H77" s="77" t="str">
        <f t="shared" si="9"/>
        <v>Mi13Y</v>
      </c>
      <c r="I77" s="106">
        <v>634.86</v>
      </c>
      <c r="J77" s="106">
        <v>158.72</v>
      </c>
      <c r="K77" s="106">
        <v>105.81</v>
      </c>
      <c r="L77" s="106">
        <v>263.47000000000003</v>
      </c>
      <c r="M77" s="106">
        <v>148.13999999999999</v>
      </c>
      <c r="N77" s="106">
        <v>105.81</v>
      </c>
      <c r="O77" s="307">
        <v>0</v>
      </c>
      <c r="P77" s="307">
        <v>0</v>
      </c>
      <c r="Q77" s="307">
        <v>0</v>
      </c>
      <c r="R77" s="307">
        <v>0</v>
      </c>
      <c r="S77" s="308">
        <v>0</v>
      </c>
      <c r="T77" s="106">
        <v>16.239999999999998</v>
      </c>
      <c r="U77" s="307">
        <v>0</v>
      </c>
      <c r="V77" s="308">
        <v>0</v>
      </c>
    </row>
    <row r="78" spans="2:22" s="77" customFormat="1" ht="13.8">
      <c r="B78" s="77" t="s">
        <v>465</v>
      </c>
      <c r="C78" s="77" t="str">
        <f t="shared" si="10"/>
        <v>Miniflex</v>
      </c>
      <c r="D78" s="77" t="s">
        <v>71</v>
      </c>
      <c r="E78" s="77" t="str">
        <f t="shared" si="11"/>
        <v>[301 - 600km]</v>
      </c>
      <c r="F78" s="77" t="str">
        <f t="shared" si="11"/>
        <v>&gt; 132kV</v>
      </c>
      <c r="G78" s="77" t="str">
        <f t="shared" si="6"/>
        <v>Miniflex_Local Authority_[301 - 600km]_&gt; 132kV</v>
      </c>
      <c r="H78" s="77" t="str">
        <f t="shared" si="9"/>
        <v>Mi14Y</v>
      </c>
      <c r="I78" s="106">
        <v>592</v>
      </c>
      <c r="J78" s="106">
        <v>148</v>
      </c>
      <c r="K78" s="106">
        <v>98.66</v>
      </c>
      <c r="L78" s="106">
        <v>245.68</v>
      </c>
      <c r="M78" s="106">
        <v>138.13999999999999</v>
      </c>
      <c r="N78" s="106">
        <v>98.66</v>
      </c>
      <c r="O78" s="307">
        <v>0</v>
      </c>
      <c r="P78" s="307">
        <v>0</v>
      </c>
      <c r="Q78" s="307">
        <v>0</v>
      </c>
      <c r="R78" s="307">
        <v>0</v>
      </c>
      <c r="S78" s="308">
        <v>0</v>
      </c>
      <c r="T78" s="106">
        <v>0</v>
      </c>
      <c r="U78" s="307">
        <v>0</v>
      </c>
      <c r="V78" s="308">
        <v>0</v>
      </c>
    </row>
    <row r="79" spans="2:22" s="77" customFormat="1" ht="13.8">
      <c r="B79" s="77" t="s">
        <v>465</v>
      </c>
      <c r="C79" s="77" t="str">
        <f t="shared" si="10"/>
        <v>Miniflex</v>
      </c>
      <c r="D79" s="77" t="s">
        <v>71</v>
      </c>
      <c r="E79" s="77" t="str">
        <f t="shared" si="11"/>
        <v>[601 - 900km]</v>
      </c>
      <c r="F79" s="77" t="str">
        <f t="shared" si="11"/>
        <v>&lt; 500V</v>
      </c>
      <c r="G79" s="77" t="str">
        <f t="shared" si="6"/>
        <v>Miniflex_Local Authority_[601 - 900km]_&lt; 500V</v>
      </c>
      <c r="H79" s="77" t="str">
        <f t="shared" si="9"/>
        <v>Mi21Y</v>
      </c>
      <c r="I79" s="106">
        <v>713.61</v>
      </c>
      <c r="J79" s="106">
        <v>178.39</v>
      </c>
      <c r="K79" s="106">
        <v>118.96</v>
      </c>
      <c r="L79" s="106">
        <v>296.2</v>
      </c>
      <c r="M79" s="106">
        <v>166.52</v>
      </c>
      <c r="N79" s="106">
        <v>118.97</v>
      </c>
      <c r="O79" s="307">
        <v>0</v>
      </c>
      <c r="P79" s="307">
        <v>0</v>
      </c>
      <c r="Q79" s="307">
        <v>0</v>
      </c>
      <c r="R79" s="307">
        <v>0</v>
      </c>
      <c r="S79" s="308">
        <v>0</v>
      </c>
      <c r="T79" s="106">
        <v>40.35</v>
      </c>
      <c r="U79" s="307">
        <v>0</v>
      </c>
      <c r="V79" s="308">
        <v>0</v>
      </c>
    </row>
    <row r="80" spans="2:22" s="77" customFormat="1" ht="13.8">
      <c r="B80" s="77" t="s">
        <v>465</v>
      </c>
      <c r="C80" s="77" t="str">
        <f t="shared" si="10"/>
        <v>Miniflex</v>
      </c>
      <c r="D80" s="77" t="s">
        <v>71</v>
      </c>
      <c r="E80" s="77" t="str">
        <f t="shared" si="11"/>
        <v>[601 - 900km]</v>
      </c>
      <c r="F80" s="77" t="str">
        <f t="shared" si="11"/>
        <v>≥ 500V &amp; &lt; 66kV</v>
      </c>
      <c r="G80" s="77" t="str">
        <f t="shared" si="6"/>
        <v>Miniflex_Local Authority_[601 - 900km]_≥ 500V &amp; &lt; 66kV</v>
      </c>
      <c r="H80" s="77" t="str">
        <f t="shared" si="9"/>
        <v>Mi22Y</v>
      </c>
      <c r="I80" s="106">
        <v>692.19</v>
      </c>
      <c r="J80" s="106">
        <v>173.06</v>
      </c>
      <c r="K80" s="106">
        <v>115.39</v>
      </c>
      <c r="L80" s="106">
        <v>287.27999999999997</v>
      </c>
      <c r="M80" s="106">
        <v>161.51</v>
      </c>
      <c r="N80" s="106">
        <v>115.39</v>
      </c>
      <c r="O80" s="307">
        <v>0</v>
      </c>
      <c r="P80" s="307">
        <v>0</v>
      </c>
      <c r="Q80" s="307">
        <v>0</v>
      </c>
      <c r="R80" s="307">
        <v>0</v>
      </c>
      <c r="S80" s="308">
        <v>0</v>
      </c>
      <c r="T80" s="106">
        <v>36.97</v>
      </c>
      <c r="U80" s="307">
        <v>0</v>
      </c>
      <c r="V80" s="308">
        <v>0</v>
      </c>
    </row>
    <row r="81" spans="2:22" s="77" customFormat="1" ht="13.8">
      <c r="B81" s="77" t="s">
        <v>465</v>
      </c>
      <c r="C81" s="77" t="str">
        <f t="shared" si="10"/>
        <v>Miniflex</v>
      </c>
      <c r="D81" s="77" t="s">
        <v>71</v>
      </c>
      <c r="E81" s="77" t="str">
        <f t="shared" si="11"/>
        <v>[601 - 900km]</v>
      </c>
      <c r="F81" s="77" t="str">
        <f t="shared" si="11"/>
        <v>≥ 66kV &amp; ≤ 132kV</v>
      </c>
      <c r="G81" s="77" t="str">
        <f t="shared" si="6"/>
        <v>Miniflex_Local Authority_[601 - 900km]_≥ 66kV &amp; ≤ 132kV</v>
      </c>
      <c r="H81" s="77" t="str">
        <f t="shared" si="9"/>
        <v>Mi23Y</v>
      </c>
      <c r="I81" s="106">
        <v>641.14</v>
      </c>
      <c r="J81" s="106">
        <v>160.29</v>
      </c>
      <c r="K81" s="106">
        <v>106.86</v>
      </c>
      <c r="L81" s="106">
        <v>266.08999999999997</v>
      </c>
      <c r="M81" s="106">
        <v>149.6</v>
      </c>
      <c r="N81" s="106">
        <v>106.86</v>
      </c>
      <c r="O81" s="307">
        <v>0</v>
      </c>
      <c r="P81" s="307">
        <v>0</v>
      </c>
      <c r="Q81" s="307">
        <v>0</v>
      </c>
      <c r="R81" s="307">
        <v>0</v>
      </c>
      <c r="S81" s="308">
        <v>0</v>
      </c>
      <c r="T81" s="106">
        <v>16.239999999999998</v>
      </c>
      <c r="U81" s="307">
        <v>0</v>
      </c>
      <c r="V81" s="308">
        <v>0</v>
      </c>
    </row>
    <row r="82" spans="2:22" s="77" customFormat="1" ht="13.8">
      <c r="B82" s="77" t="s">
        <v>465</v>
      </c>
      <c r="C82" s="77" t="str">
        <f t="shared" si="10"/>
        <v>Miniflex</v>
      </c>
      <c r="D82" s="77" t="s">
        <v>71</v>
      </c>
      <c r="E82" s="77" t="str">
        <f t="shared" si="11"/>
        <v>[601 - 900km]</v>
      </c>
      <c r="F82" s="77" t="str">
        <f t="shared" si="11"/>
        <v>&gt; 132kV</v>
      </c>
      <c r="G82" s="77" t="str">
        <f t="shared" si="6"/>
        <v>Miniflex_Local Authority_[601 - 900km]_&gt; 132kV</v>
      </c>
      <c r="H82" s="77" t="str">
        <f t="shared" si="9"/>
        <v>Mi24Y</v>
      </c>
      <c r="I82" s="106">
        <v>597.86</v>
      </c>
      <c r="J82" s="106">
        <v>149.47</v>
      </c>
      <c r="K82" s="106">
        <v>99.64</v>
      </c>
      <c r="L82" s="106">
        <v>248.12</v>
      </c>
      <c r="M82" s="106">
        <v>139.51</v>
      </c>
      <c r="N82" s="106">
        <v>99.64</v>
      </c>
      <c r="O82" s="307">
        <v>0</v>
      </c>
      <c r="P82" s="307">
        <v>0</v>
      </c>
      <c r="Q82" s="307">
        <v>0</v>
      </c>
      <c r="R82" s="307">
        <v>0</v>
      </c>
      <c r="S82" s="308">
        <v>0</v>
      </c>
      <c r="T82" s="106">
        <v>0</v>
      </c>
      <c r="U82" s="307">
        <v>0</v>
      </c>
      <c r="V82" s="308">
        <v>0</v>
      </c>
    </row>
    <row r="83" spans="2:22" s="77" customFormat="1" ht="13.8">
      <c r="B83" s="77" t="s">
        <v>465</v>
      </c>
      <c r="C83" s="77" t="str">
        <f t="shared" si="10"/>
        <v>Miniflex</v>
      </c>
      <c r="D83" s="77" t="s">
        <v>71</v>
      </c>
      <c r="E83" s="77" t="str">
        <f t="shared" si="11"/>
        <v>[&gt; 900km]</v>
      </c>
      <c r="F83" s="77" t="str">
        <f t="shared" si="11"/>
        <v>&lt; 500V</v>
      </c>
      <c r="G83" s="77" t="str">
        <f t="shared" si="6"/>
        <v>Miniflex_Local Authority_[&gt; 900km]_&lt; 500V</v>
      </c>
      <c r="H83" s="77" t="str">
        <f t="shared" si="9"/>
        <v>Mi31Y</v>
      </c>
      <c r="I83" s="106">
        <v>721.57</v>
      </c>
      <c r="J83" s="106">
        <v>180.39</v>
      </c>
      <c r="K83" s="106">
        <v>120.26</v>
      </c>
      <c r="L83" s="106">
        <v>299.44</v>
      </c>
      <c r="M83" s="106">
        <v>168.37</v>
      </c>
      <c r="N83" s="106">
        <v>120.26</v>
      </c>
      <c r="O83" s="307">
        <v>0</v>
      </c>
      <c r="P83" s="307">
        <v>0</v>
      </c>
      <c r="Q83" s="307">
        <v>0</v>
      </c>
      <c r="R83" s="307">
        <v>0</v>
      </c>
      <c r="S83" s="308">
        <v>0</v>
      </c>
      <c r="T83" s="106">
        <v>40.35</v>
      </c>
      <c r="U83" s="307">
        <v>0</v>
      </c>
      <c r="V83" s="308">
        <v>0</v>
      </c>
    </row>
    <row r="84" spans="2:22" s="77" customFormat="1" ht="13.8">
      <c r="B84" s="77" t="s">
        <v>465</v>
      </c>
      <c r="C84" s="77" t="str">
        <f t="shared" si="10"/>
        <v>Miniflex</v>
      </c>
      <c r="D84" s="77" t="s">
        <v>71</v>
      </c>
      <c r="E84" s="77" t="str">
        <f t="shared" si="11"/>
        <v>[&gt; 900km]</v>
      </c>
      <c r="F84" s="77" t="str">
        <f t="shared" si="11"/>
        <v>≥ 500V &amp; &lt; 66kV</v>
      </c>
      <c r="G84" s="77" t="str">
        <f t="shared" si="6"/>
        <v>Miniflex_Local Authority_[&gt; 900km]_≥ 500V &amp; &lt; 66kV</v>
      </c>
      <c r="H84" s="77" t="str">
        <f t="shared" si="9"/>
        <v>Mi32Y</v>
      </c>
      <c r="I84" s="106">
        <v>698.76</v>
      </c>
      <c r="J84" s="106">
        <v>174.68</v>
      </c>
      <c r="K84" s="106">
        <v>116.47</v>
      </c>
      <c r="L84" s="106">
        <v>289.98</v>
      </c>
      <c r="M84" s="106">
        <v>163.04</v>
      </c>
      <c r="N84" s="106">
        <v>116.47</v>
      </c>
      <c r="O84" s="307">
        <v>0</v>
      </c>
      <c r="P84" s="307">
        <v>0</v>
      </c>
      <c r="Q84" s="307">
        <v>0</v>
      </c>
      <c r="R84" s="307">
        <v>0</v>
      </c>
      <c r="S84" s="308">
        <v>0</v>
      </c>
      <c r="T84" s="106">
        <v>36.97</v>
      </c>
      <c r="U84" s="307">
        <v>0</v>
      </c>
      <c r="V84" s="308">
        <v>0</v>
      </c>
    </row>
    <row r="85" spans="2:22" s="77" customFormat="1" ht="13.8">
      <c r="B85" s="77" t="s">
        <v>465</v>
      </c>
      <c r="C85" s="77" t="str">
        <f t="shared" si="10"/>
        <v>Miniflex</v>
      </c>
      <c r="D85" s="77" t="s">
        <v>71</v>
      </c>
      <c r="E85" s="77" t="str">
        <f t="shared" si="11"/>
        <v>[&gt; 900km]</v>
      </c>
      <c r="F85" s="77" t="str">
        <f t="shared" si="11"/>
        <v>≥ 66kV &amp; ≤ 132kV</v>
      </c>
      <c r="G85" s="77" t="str">
        <f t="shared" si="6"/>
        <v>Miniflex_Local Authority_[&gt; 900km]_≥ 66kV &amp; ≤ 132kV</v>
      </c>
      <c r="H85" s="77" t="str">
        <f t="shared" si="9"/>
        <v>Mi33Y</v>
      </c>
      <c r="I85" s="106">
        <v>647.42999999999995</v>
      </c>
      <c r="J85" s="106">
        <v>161.86000000000001</v>
      </c>
      <c r="K85" s="106">
        <v>107.9</v>
      </c>
      <c r="L85" s="106">
        <v>268.68</v>
      </c>
      <c r="M85" s="106">
        <v>151.07</v>
      </c>
      <c r="N85" s="106">
        <v>107.9</v>
      </c>
      <c r="O85" s="307">
        <v>0</v>
      </c>
      <c r="P85" s="307">
        <v>0</v>
      </c>
      <c r="Q85" s="307">
        <v>0</v>
      </c>
      <c r="R85" s="307">
        <v>0</v>
      </c>
      <c r="S85" s="308">
        <v>0</v>
      </c>
      <c r="T85" s="106">
        <v>16.239999999999998</v>
      </c>
      <c r="U85" s="307">
        <v>0</v>
      </c>
      <c r="V85" s="308">
        <v>0</v>
      </c>
    </row>
    <row r="86" spans="2:22" s="77" customFormat="1" ht="13.8">
      <c r="B86" s="77" t="s">
        <v>465</v>
      </c>
      <c r="C86" s="77" t="str">
        <f t="shared" si="10"/>
        <v>Miniflex</v>
      </c>
      <c r="D86" s="77" t="s">
        <v>71</v>
      </c>
      <c r="E86" s="77" t="str">
        <f t="shared" si="11"/>
        <v>[&gt; 900km]</v>
      </c>
      <c r="F86" s="77" t="str">
        <f t="shared" si="11"/>
        <v>&gt; 132kV</v>
      </c>
      <c r="G86" s="77" t="str">
        <f t="shared" si="6"/>
        <v>Miniflex_Local Authority_[&gt; 900km]_&gt; 132kV</v>
      </c>
      <c r="H86" s="77" t="str">
        <f t="shared" si="9"/>
        <v>Mi34Y</v>
      </c>
      <c r="I86" s="106">
        <v>603.72</v>
      </c>
      <c r="J86" s="106">
        <v>150.94</v>
      </c>
      <c r="K86" s="106">
        <v>100.61</v>
      </c>
      <c r="L86" s="106">
        <v>250.55</v>
      </c>
      <c r="M86" s="106">
        <v>140.86000000000001</v>
      </c>
      <c r="N86" s="106">
        <v>100.61</v>
      </c>
      <c r="O86" s="307">
        <v>0</v>
      </c>
      <c r="P86" s="307">
        <v>0</v>
      </c>
      <c r="Q86" s="307">
        <v>0</v>
      </c>
      <c r="R86" s="307">
        <v>0</v>
      </c>
      <c r="S86" s="308">
        <v>0</v>
      </c>
      <c r="T86" s="106">
        <v>0</v>
      </c>
      <c r="U86" s="307">
        <v>0</v>
      </c>
      <c r="V86" s="308">
        <v>0</v>
      </c>
    </row>
    <row r="87" spans="2:22" s="77" customFormat="1" ht="13.8">
      <c r="S87" s="106"/>
      <c r="T87" s="106"/>
    </row>
    <row r="88" spans="2:22" s="77" customFormat="1" ht="13.8">
      <c r="C88" s="77" t="s">
        <v>46</v>
      </c>
      <c r="D88" s="77" t="s">
        <v>72</v>
      </c>
      <c r="E88" s="77" t="s">
        <v>67</v>
      </c>
      <c r="F88" s="77" t="s">
        <v>62</v>
      </c>
      <c r="G88" s="77" t="str">
        <f t="shared" ref="G88:G119" si="12">C88&amp;"_"&amp;D88&amp;"_"&amp;E88&amp;"_"&amp;F88</f>
        <v>Ruraflex_Non-Local Authority_[0 - 300km]_&lt; 500V</v>
      </c>
      <c r="H88" s="77" t="str">
        <f t="shared" ref="H88:H119" si="13">INDEX(Matrix_Tariff_Map,MATCH(C88,Matrix_Model_Tariffs,0),2)&amp;INDEX(Matrix_Transmission_Map,MATCH(E88,Matrix_Model_Transmission,0),2)&amp;INDEX(Matrix_Voltage_Map,MATCH(F88,Matrix_Model_Voltage,0),2)&amp;INDEX(Matrix_Category_Map,MATCH(D88,Matrix_Model_Category,0),2)</f>
        <v>Ru01N</v>
      </c>
      <c r="I88" s="106">
        <v>690.99</v>
      </c>
      <c r="J88" s="106">
        <v>172.75</v>
      </c>
      <c r="K88" s="106">
        <v>115.16</v>
      </c>
      <c r="L88" s="106">
        <v>286.77</v>
      </c>
      <c r="M88" s="106">
        <v>161.22999999999999</v>
      </c>
      <c r="N88" s="106">
        <v>115.16</v>
      </c>
      <c r="O88" s="85" t="s">
        <v>118</v>
      </c>
      <c r="P88" s="85" t="s">
        <v>118</v>
      </c>
      <c r="Q88" s="85" t="s">
        <v>118</v>
      </c>
      <c r="R88" s="85" t="s">
        <v>118</v>
      </c>
      <c r="S88" s="106" t="s">
        <v>118</v>
      </c>
      <c r="T88" s="106">
        <v>52.04</v>
      </c>
      <c r="U88" s="106">
        <v>3.34</v>
      </c>
      <c r="V88" s="106">
        <v>23</v>
      </c>
    </row>
    <row r="89" spans="2:22" s="77" customFormat="1" ht="13.8">
      <c r="C89" s="77" t="str">
        <f>C88</f>
        <v>Ruraflex</v>
      </c>
      <c r="D89" s="77" t="s">
        <v>72</v>
      </c>
      <c r="E89" s="77" t="s">
        <v>67</v>
      </c>
      <c r="F89" s="77" t="s">
        <v>63</v>
      </c>
      <c r="G89" s="77" t="str">
        <f t="shared" si="12"/>
        <v>Ruraflex_Non-Local Authority_[0 - 300km]_≥ 500V &amp; &lt; 66kV</v>
      </c>
      <c r="H89" s="77" t="str">
        <f t="shared" si="13"/>
        <v>Ru02N</v>
      </c>
      <c r="I89" s="106">
        <v>678.76</v>
      </c>
      <c r="J89" s="106">
        <v>169.68</v>
      </c>
      <c r="K89" s="106">
        <v>113.12</v>
      </c>
      <c r="L89" s="106">
        <v>281.69</v>
      </c>
      <c r="M89" s="106">
        <v>158.38</v>
      </c>
      <c r="N89" s="106">
        <v>113.12</v>
      </c>
      <c r="O89" s="85" t="s">
        <v>118</v>
      </c>
      <c r="P89" s="85" t="s">
        <v>118</v>
      </c>
      <c r="Q89" s="85" t="s">
        <v>118</v>
      </c>
      <c r="R89" s="85" t="s">
        <v>118</v>
      </c>
      <c r="S89" s="106" t="s">
        <v>118</v>
      </c>
      <c r="T89" s="106">
        <v>48.32</v>
      </c>
      <c r="U89" s="106">
        <v>5.03</v>
      </c>
      <c r="V89" s="106">
        <v>22.59</v>
      </c>
    </row>
    <row r="90" spans="2:22" s="77" customFormat="1" ht="13.8">
      <c r="C90" s="77" t="str">
        <f t="shared" ref="C90:C119" si="14">C89</f>
        <v>Ruraflex</v>
      </c>
      <c r="D90" s="77" t="s">
        <v>72</v>
      </c>
      <c r="E90" s="77" t="s">
        <v>67</v>
      </c>
      <c r="F90" s="77" t="s">
        <v>64</v>
      </c>
      <c r="G90" s="77" t="str">
        <f t="shared" si="12"/>
        <v>Ruraflex_Non-Local Authority_[0 - 300km]_≥ 66kV &amp; ≤ 132kV</v>
      </c>
      <c r="H90" s="77" t="str">
        <f t="shared" si="13"/>
        <v>Ru03N</v>
      </c>
      <c r="I90" s="106">
        <v>0</v>
      </c>
      <c r="J90" s="106">
        <v>0</v>
      </c>
      <c r="K90" s="106">
        <v>0</v>
      </c>
      <c r="L90" s="106">
        <v>0</v>
      </c>
      <c r="M90" s="106">
        <v>0</v>
      </c>
      <c r="N90" s="106">
        <v>0</v>
      </c>
      <c r="O90" s="85" t="s">
        <v>118</v>
      </c>
      <c r="P90" s="85" t="s">
        <v>118</v>
      </c>
      <c r="Q90" s="85" t="s">
        <v>118</v>
      </c>
      <c r="R90" s="85" t="s">
        <v>118</v>
      </c>
      <c r="S90" s="106" t="s">
        <v>118</v>
      </c>
      <c r="T90" s="106">
        <v>0</v>
      </c>
      <c r="U90" s="106">
        <v>0</v>
      </c>
      <c r="V90" s="106">
        <v>0</v>
      </c>
    </row>
    <row r="91" spans="2:22" s="77" customFormat="1" ht="13.8">
      <c r="C91" s="77" t="str">
        <f t="shared" si="14"/>
        <v>Ruraflex</v>
      </c>
      <c r="D91" s="77" t="s">
        <v>72</v>
      </c>
      <c r="E91" s="77" t="s">
        <v>67</v>
      </c>
      <c r="F91" s="77" t="s">
        <v>65</v>
      </c>
      <c r="G91" s="77" t="str">
        <f t="shared" si="12"/>
        <v>Ruraflex_Non-Local Authority_[0 - 300km]_&gt; 132kV</v>
      </c>
      <c r="H91" s="77" t="str">
        <f t="shared" si="13"/>
        <v>Ru04N</v>
      </c>
      <c r="I91" s="106">
        <v>0</v>
      </c>
      <c r="J91" s="106">
        <v>0</v>
      </c>
      <c r="K91" s="106">
        <v>0</v>
      </c>
      <c r="L91" s="106">
        <v>0</v>
      </c>
      <c r="M91" s="106">
        <v>0</v>
      </c>
      <c r="N91" s="106">
        <v>0</v>
      </c>
      <c r="O91" s="85" t="s">
        <v>118</v>
      </c>
      <c r="P91" s="85" t="s">
        <v>118</v>
      </c>
      <c r="Q91" s="85" t="s">
        <v>118</v>
      </c>
      <c r="R91" s="85" t="s">
        <v>118</v>
      </c>
      <c r="S91" s="106" t="s">
        <v>118</v>
      </c>
      <c r="T91" s="106">
        <v>0</v>
      </c>
      <c r="U91" s="106">
        <v>0</v>
      </c>
      <c r="V91" s="106">
        <v>0</v>
      </c>
    </row>
    <row r="92" spans="2:22" s="77" customFormat="1" ht="13.8">
      <c r="C92" s="77" t="str">
        <f t="shared" si="14"/>
        <v>Ruraflex</v>
      </c>
      <c r="D92" s="77" t="s">
        <v>72</v>
      </c>
      <c r="E92" s="77" t="s">
        <v>68</v>
      </c>
      <c r="F92" s="77" t="s">
        <v>62</v>
      </c>
      <c r="G92" s="77" t="str">
        <f t="shared" si="12"/>
        <v>Ruraflex_Non-Local Authority_[301 - 600km]_&lt; 500V</v>
      </c>
      <c r="H92" s="77" t="str">
        <f t="shared" si="13"/>
        <v>Ru11N</v>
      </c>
      <c r="I92" s="106">
        <v>697.91</v>
      </c>
      <c r="J92" s="106">
        <v>174.48</v>
      </c>
      <c r="K92" s="106">
        <v>116.31</v>
      </c>
      <c r="L92" s="106">
        <v>289.64</v>
      </c>
      <c r="M92" s="106">
        <v>162.84</v>
      </c>
      <c r="N92" s="106">
        <v>116.31</v>
      </c>
      <c r="O92" s="85" t="s">
        <v>118</v>
      </c>
      <c r="P92" s="85" t="s">
        <v>118</v>
      </c>
      <c r="Q92" s="85" t="s">
        <v>118</v>
      </c>
      <c r="R92" s="85" t="s">
        <v>118</v>
      </c>
      <c r="S92" s="106" t="s">
        <v>118</v>
      </c>
      <c r="T92" s="106">
        <v>52.14</v>
      </c>
      <c r="U92" s="106">
        <v>3.34</v>
      </c>
      <c r="V92" s="106">
        <v>23</v>
      </c>
    </row>
    <row r="93" spans="2:22" s="77" customFormat="1" ht="13.8">
      <c r="C93" s="77" t="str">
        <f t="shared" si="14"/>
        <v>Ruraflex</v>
      </c>
      <c r="D93" s="77" t="s">
        <v>72</v>
      </c>
      <c r="E93" s="77" t="s">
        <v>68</v>
      </c>
      <c r="F93" s="77" t="s">
        <v>63</v>
      </c>
      <c r="G93" s="77" t="str">
        <f t="shared" si="12"/>
        <v>Ruraflex_Non-Local Authority_[301 - 600km]_≥ 500V &amp; &lt; 66kV</v>
      </c>
      <c r="H93" s="77" t="str">
        <f t="shared" si="13"/>
        <v>Ru12N</v>
      </c>
      <c r="I93" s="106">
        <v>685.55</v>
      </c>
      <c r="J93" s="106">
        <v>171.39</v>
      </c>
      <c r="K93" s="106">
        <v>114.25</v>
      </c>
      <c r="L93" s="106">
        <v>284.51</v>
      </c>
      <c r="M93" s="106">
        <v>159.97</v>
      </c>
      <c r="N93" s="106">
        <v>114.25</v>
      </c>
      <c r="O93" s="85" t="s">
        <v>118</v>
      </c>
      <c r="P93" s="85" t="s">
        <v>118</v>
      </c>
      <c r="Q93" s="85" t="s">
        <v>118</v>
      </c>
      <c r="R93" s="85" t="s">
        <v>118</v>
      </c>
      <c r="S93" s="106" t="s">
        <v>118</v>
      </c>
      <c r="T93" s="106">
        <v>48.42</v>
      </c>
      <c r="U93" s="106">
        <v>5.03</v>
      </c>
      <c r="V93" s="106">
        <v>22.59</v>
      </c>
    </row>
    <row r="94" spans="2:22" s="77" customFormat="1" ht="13.8">
      <c r="C94" s="77" t="str">
        <f t="shared" si="14"/>
        <v>Ruraflex</v>
      </c>
      <c r="D94" s="77" t="s">
        <v>72</v>
      </c>
      <c r="E94" s="77" t="s">
        <v>68</v>
      </c>
      <c r="F94" s="77" t="s">
        <v>64</v>
      </c>
      <c r="G94" s="77" t="str">
        <f t="shared" si="12"/>
        <v>Ruraflex_Non-Local Authority_[301 - 600km]_≥ 66kV &amp; ≤ 132kV</v>
      </c>
      <c r="H94" s="77" t="str">
        <f t="shared" si="13"/>
        <v>Ru13N</v>
      </c>
      <c r="I94" s="106">
        <v>0</v>
      </c>
      <c r="J94" s="106">
        <v>0</v>
      </c>
      <c r="K94" s="106">
        <v>0</v>
      </c>
      <c r="L94" s="106">
        <v>0</v>
      </c>
      <c r="M94" s="106">
        <v>0</v>
      </c>
      <c r="N94" s="106">
        <v>0</v>
      </c>
      <c r="O94" s="85" t="s">
        <v>118</v>
      </c>
      <c r="P94" s="85" t="s">
        <v>118</v>
      </c>
      <c r="Q94" s="85" t="s">
        <v>118</v>
      </c>
      <c r="R94" s="85" t="s">
        <v>118</v>
      </c>
      <c r="S94" s="106" t="s">
        <v>118</v>
      </c>
      <c r="T94" s="106">
        <v>0</v>
      </c>
      <c r="U94" s="106">
        <v>0</v>
      </c>
      <c r="V94" s="106">
        <v>0</v>
      </c>
    </row>
    <row r="95" spans="2:22" s="77" customFormat="1" ht="13.8">
      <c r="C95" s="77" t="str">
        <f t="shared" si="14"/>
        <v>Ruraflex</v>
      </c>
      <c r="D95" s="77" t="s">
        <v>72</v>
      </c>
      <c r="E95" s="77" t="s">
        <v>68</v>
      </c>
      <c r="F95" s="77" t="s">
        <v>65</v>
      </c>
      <c r="G95" s="77" t="str">
        <f t="shared" si="12"/>
        <v>Ruraflex_Non-Local Authority_[301 - 600km]_&gt; 132kV</v>
      </c>
      <c r="H95" s="77" t="str">
        <f t="shared" si="13"/>
        <v>Ru14N</v>
      </c>
      <c r="I95" s="106">
        <v>0</v>
      </c>
      <c r="J95" s="106">
        <v>0</v>
      </c>
      <c r="K95" s="106">
        <v>0</v>
      </c>
      <c r="L95" s="106">
        <v>0</v>
      </c>
      <c r="M95" s="106">
        <v>0</v>
      </c>
      <c r="N95" s="106">
        <v>0</v>
      </c>
      <c r="O95" s="85" t="s">
        <v>118</v>
      </c>
      <c r="P95" s="85" t="s">
        <v>118</v>
      </c>
      <c r="Q95" s="85" t="s">
        <v>118</v>
      </c>
      <c r="R95" s="85" t="s">
        <v>118</v>
      </c>
      <c r="S95" s="106" t="s">
        <v>118</v>
      </c>
      <c r="T95" s="106">
        <v>0</v>
      </c>
      <c r="U95" s="106">
        <v>0</v>
      </c>
      <c r="V95" s="106">
        <v>0</v>
      </c>
    </row>
    <row r="96" spans="2:22" s="77" customFormat="1" ht="13.8">
      <c r="C96" s="77" t="str">
        <f t="shared" si="14"/>
        <v>Ruraflex</v>
      </c>
      <c r="D96" s="77" t="s">
        <v>72</v>
      </c>
      <c r="E96" s="77" t="s">
        <v>69</v>
      </c>
      <c r="F96" s="77" t="s">
        <v>62</v>
      </c>
      <c r="G96" s="77" t="str">
        <f t="shared" si="12"/>
        <v>Ruraflex_Non-Local Authority_[601 - 900km]_&lt; 500V</v>
      </c>
      <c r="H96" s="77" t="str">
        <f t="shared" si="13"/>
        <v>Ru21N</v>
      </c>
      <c r="I96" s="106">
        <v>704.82</v>
      </c>
      <c r="J96" s="106">
        <v>176.2</v>
      </c>
      <c r="K96" s="106">
        <v>117.46</v>
      </c>
      <c r="L96" s="106">
        <v>292.5</v>
      </c>
      <c r="M96" s="106">
        <v>164.45</v>
      </c>
      <c r="N96" s="106">
        <v>117.46</v>
      </c>
      <c r="O96" s="85" t="s">
        <v>118</v>
      </c>
      <c r="P96" s="85" t="s">
        <v>118</v>
      </c>
      <c r="Q96" s="85" t="s">
        <v>118</v>
      </c>
      <c r="R96" s="85" t="s">
        <v>118</v>
      </c>
      <c r="S96" s="106" t="s">
        <v>118</v>
      </c>
      <c r="T96" s="106">
        <v>52.25</v>
      </c>
      <c r="U96" s="106">
        <v>3.34</v>
      </c>
      <c r="V96" s="106">
        <v>23</v>
      </c>
    </row>
    <row r="97" spans="2:22" s="77" customFormat="1" ht="13.8">
      <c r="C97" s="77" t="str">
        <f t="shared" si="14"/>
        <v>Ruraflex</v>
      </c>
      <c r="D97" s="77" t="s">
        <v>72</v>
      </c>
      <c r="E97" s="77" t="s">
        <v>69</v>
      </c>
      <c r="F97" s="77" t="s">
        <v>63</v>
      </c>
      <c r="G97" s="77" t="str">
        <f t="shared" si="12"/>
        <v>Ruraflex_Non-Local Authority_[601 - 900km]_≥ 500V &amp; &lt; 66kV</v>
      </c>
      <c r="H97" s="77" t="str">
        <f t="shared" si="13"/>
        <v>Ru22N</v>
      </c>
      <c r="I97" s="106">
        <v>692.34</v>
      </c>
      <c r="J97" s="106">
        <v>173.09</v>
      </c>
      <c r="K97" s="106">
        <v>115.39</v>
      </c>
      <c r="L97" s="106">
        <v>287.33</v>
      </c>
      <c r="M97" s="106">
        <v>161.55000000000001</v>
      </c>
      <c r="N97" s="106">
        <v>115.39</v>
      </c>
      <c r="O97" s="85" t="s">
        <v>118</v>
      </c>
      <c r="P97" s="85" t="s">
        <v>118</v>
      </c>
      <c r="Q97" s="85" t="s">
        <v>118</v>
      </c>
      <c r="R97" s="85" t="s">
        <v>118</v>
      </c>
      <c r="S97" s="106" t="s">
        <v>118</v>
      </c>
      <c r="T97" s="106">
        <v>48.53</v>
      </c>
      <c r="U97" s="106">
        <v>5.03</v>
      </c>
      <c r="V97" s="106">
        <v>22.59</v>
      </c>
    </row>
    <row r="98" spans="2:22" s="77" customFormat="1" ht="13.8">
      <c r="C98" s="77" t="str">
        <f t="shared" si="14"/>
        <v>Ruraflex</v>
      </c>
      <c r="D98" s="77" t="s">
        <v>72</v>
      </c>
      <c r="E98" s="77" t="s">
        <v>69</v>
      </c>
      <c r="F98" s="77" t="s">
        <v>64</v>
      </c>
      <c r="G98" s="77" t="str">
        <f t="shared" si="12"/>
        <v>Ruraflex_Non-Local Authority_[601 - 900km]_≥ 66kV &amp; ≤ 132kV</v>
      </c>
      <c r="H98" s="77" t="str">
        <f t="shared" si="13"/>
        <v>Ru23N</v>
      </c>
      <c r="I98" s="106">
        <v>0</v>
      </c>
      <c r="J98" s="106">
        <v>0</v>
      </c>
      <c r="K98" s="106">
        <v>0</v>
      </c>
      <c r="L98" s="106">
        <v>0</v>
      </c>
      <c r="M98" s="106">
        <v>0</v>
      </c>
      <c r="N98" s="106">
        <v>0</v>
      </c>
      <c r="O98" s="85" t="s">
        <v>118</v>
      </c>
      <c r="P98" s="85" t="s">
        <v>118</v>
      </c>
      <c r="Q98" s="85" t="s">
        <v>118</v>
      </c>
      <c r="R98" s="85" t="s">
        <v>118</v>
      </c>
      <c r="S98" s="106" t="s">
        <v>118</v>
      </c>
      <c r="T98" s="106">
        <v>0</v>
      </c>
      <c r="U98" s="106">
        <v>0</v>
      </c>
      <c r="V98" s="106">
        <v>0</v>
      </c>
    </row>
    <row r="99" spans="2:22" s="77" customFormat="1" ht="13.8">
      <c r="C99" s="77" t="str">
        <f t="shared" si="14"/>
        <v>Ruraflex</v>
      </c>
      <c r="D99" s="77" t="s">
        <v>72</v>
      </c>
      <c r="E99" s="77" t="s">
        <v>69</v>
      </c>
      <c r="F99" s="77" t="s">
        <v>65</v>
      </c>
      <c r="G99" s="77" t="str">
        <f t="shared" si="12"/>
        <v>Ruraflex_Non-Local Authority_[601 - 900km]_&gt; 132kV</v>
      </c>
      <c r="H99" s="77" t="str">
        <f t="shared" si="13"/>
        <v>Ru24N</v>
      </c>
      <c r="I99" s="106">
        <v>0</v>
      </c>
      <c r="J99" s="106">
        <v>0</v>
      </c>
      <c r="K99" s="106">
        <v>0</v>
      </c>
      <c r="L99" s="106">
        <v>0</v>
      </c>
      <c r="M99" s="106">
        <v>0</v>
      </c>
      <c r="N99" s="106">
        <v>0</v>
      </c>
      <c r="O99" s="85" t="s">
        <v>118</v>
      </c>
      <c r="P99" s="85" t="s">
        <v>118</v>
      </c>
      <c r="Q99" s="85" t="s">
        <v>118</v>
      </c>
      <c r="R99" s="85" t="s">
        <v>118</v>
      </c>
      <c r="S99" s="106" t="s">
        <v>118</v>
      </c>
      <c r="T99" s="106">
        <v>0</v>
      </c>
      <c r="U99" s="106">
        <v>0</v>
      </c>
      <c r="V99" s="106">
        <v>0</v>
      </c>
    </row>
    <row r="100" spans="2:22" s="77" customFormat="1" ht="13.8">
      <c r="C100" s="77" t="str">
        <f t="shared" si="14"/>
        <v>Ruraflex</v>
      </c>
      <c r="D100" s="77" t="s">
        <v>72</v>
      </c>
      <c r="E100" s="77" t="s">
        <v>70</v>
      </c>
      <c r="F100" s="77" t="s">
        <v>62</v>
      </c>
      <c r="G100" s="77" t="str">
        <f t="shared" si="12"/>
        <v>Ruraflex_Non-Local Authority_[&gt; 900km]_&lt; 500V</v>
      </c>
      <c r="H100" s="77" t="str">
        <f t="shared" si="13"/>
        <v>Ru31N</v>
      </c>
      <c r="I100" s="106">
        <v>711.73</v>
      </c>
      <c r="J100" s="106">
        <v>177.93</v>
      </c>
      <c r="K100" s="106">
        <v>118.61</v>
      </c>
      <c r="L100" s="106">
        <v>295.37</v>
      </c>
      <c r="M100" s="106">
        <v>166.07</v>
      </c>
      <c r="N100" s="106">
        <v>118.61</v>
      </c>
      <c r="O100" s="85" t="s">
        <v>118</v>
      </c>
      <c r="P100" s="85" t="s">
        <v>118</v>
      </c>
      <c r="Q100" s="85" t="s">
        <v>118</v>
      </c>
      <c r="R100" s="85" t="s">
        <v>118</v>
      </c>
      <c r="S100" s="106" t="s">
        <v>118</v>
      </c>
      <c r="T100" s="106">
        <v>52.36</v>
      </c>
      <c r="U100" s="106">
        <v>3.34</v>
      </c>
      <c r="V100" s="106">
        <v>23</v>
      </c>
    </row>
    <row r="101" spans="2:22" s="77" customFormat="1" ht="13.8">
      <c r="C101" s="77" t="str">
        <f t="shared" si="14"/>
        <v>Ruraflex</v>
      </c>
      <c r="D101" s="77" t="s">
        <v>72</v>
      </c>
      <c r="E101" s="77" t="s">
        <v>70</v>
      </c>
      <c r="F101" s="77" t="s">
        <v>63</v>
      </c>
      <c r="G101" s="77" t="str">
        <f t="shared" si="12"/>
        <v>Ruraflex_Non-Local Authority_[&gt; 900km]_≥ 500V &amp; &lt; 66kV</v>
      </c>
      <c r="H101" s="77" t="str">
        <f t="shared" si="13"/>
        <v>Ru32N</v>
      </c>
      <c r="I101" s="106">
        <v>699.12</v>
      </c>
      <c r="J101" s="106">
        <v>174.78</v>
      </c>
      <c r="K101" s="106">
        <v>116.52</v>
      </c>
      <c r="L101" s="106">
        <v>290.14999999999998</v>
      </c>
      <c r="M101" s="106">
        <v>163.13</v>
      </c>
      <c r="N101" s="106">
        <v>116.52</v>
      </c>
      <c r="O101" s="85" t="s">
        <v>118</v>
      </c>
      <c r="P101" s="85" t="s">
        <v>118</v>
      </c>
      <c r="Q101" s="85" t="s">
        <v>118</v>
      </c>
      <c r="R101" s="85" t="s">
        <v>118</v>
      </c>
      <c r="S101" s="106" t="s">
        <v>118</v>
      </c>
      <c r="T101" s="106">
        <v>48.64</v>
      </c>
      <c r="U101" s="106">
        <v>5.03</v>
      </c>
      <c r="V101" s="106">
        <v>22.59</v>
      </c>
    </row>
    <row r="102" spans="2:22" s="77" customFormat="1" ht="13.8">
      <c r="C102" s="77" t="str">
        <f t="shared" si="14"/>
        <v>Ruraflex</v>
      </c>
      <c r="D102" s="77" t="s">
        <v>72</v>
      </c>
      <c r="E102" s="77" t="s">
        <v>70</v>
      </c>
      <c r="F102" s="77" t="s">
        <v>64</v>
      </c>
      <c r="G102" s="77" t="str">
        <f t="shared" si="12"/>
        <v>Ruraflex_Non-Local Authority_[&gt; 900km]_≥ 66kV &amp; ≤ 132kV</v>
      </c>
      <c r="H102" s="77" t="str">
        <f t="shared" si="13"/>
        <v>Ru33N</v>
      </c>
      <c r="I102" s="106">
        <v>0</v>
      </c>
      <c r="J102" s="106">
        <v>0</v>
      </c>
      <c r="K102" s="106">
        <v>0</v>
      </c>
      <c r="L102" s="106">
        <v>0</v>
      </c>
      <c r="M102" s="106">
        <v>0</v>
      </c>
      <c r="N102" s="106">
        <v>0</v>
      </c>
      <c r="O102" s="85" t="s">
        <v>118</v>
      </c>
      <c r="P102" s="85" t="s">
        <v>118</v>
      </c>
      <c r="Q102" s="85" t="s">
        <v>118</v>
      </c>
      <c r="R102" s="85" t="s">
        <v>118</v>
      </c>
      <c r="S102" s="106" t="s">
        <v>118</v>
      </c>
      <c r="T102" s="106">
        <v>0</v>
      </c>
      <c r="U102" s="106">
        <v>0</v>
      </c>
      <c r="V102" s="106">
        <v>0</v>
      </c>
    </row>
    <row r="103" spans="2:22" s="77" customFormat="1" ht="14.4" thickBot="1">
      <c r="C103" s="77" t="str">
        <f t="shared" si="14"/>
        <v>Ruraflex</v>
      </c>
      <c r="D103" s="77" t="s">
        <v>72</v>
      </c>
      <c r="E103" s="77" t="s">
        <v>70</v>
      </c>
      <c r="F103" s="77" t="s">
        <v>65</v>
      </c>
      <c r="G103" s="77" t="str">
        <f t="shared" si="12"/>
        <v>Ruraflex_Non-Local Authority_[&gt; 900km]_&gt; 132kV</v>
      </c>
      <c r="H103" s="77" t="str">
        <f t="shared" si="13"/>
        <v>Ru34N</v>
      </c>
      <c r="I103" s="106">
        <v>0</v>
      </c>
      <c r="J103" s="106">
        <v>0</v>
      </c>
      <c r="K103" s="106">
        <v>0</v>
      </c>
      <c r="L103" s="106">
        <v>0</v>
      </c>
      <c r="M103" s="106">
        <v>0</v>
      </c>
      <c r="N103" s="106">
        <v>0</v>
      </c>
      <c r="O103" s="85" t="s">
        <v>118</v>
      </c>
      <c r="P103" s="85" t="s">
        <v>118</v>
      </c>
      <c r="Q103" s="85" t="s">
        <v>118</v>
      </c>
      <c r="R103" s="85" t="s">
        <v>118</v>
      </c>
      <c r="S103" s="106" t="s">
        <v>118</v>
      </c>
      <c r="T103" s="106">
        <v>0</v>
      </c>
      <c r="U103" s="106">
        <v>0</v>
      </c>
      <c r="V103" s="106">
        <v>0</v>
      </c>
    </row>
    <row r="104" spans="2:22" s="77" customFormat="1" ht="13.8">
      <c r="B104" s="239" t="s">
        <v>465</v>
      </c>
      <c r="C104" s="77" t="str">
        <f t="shared" si="14"/>
        <v>Ruraflex</v>
      </c>
      <c r="D104" s="77" t="s">
        <v>71</v>
      </c>
      <c r="E104" s="77" t="str">
        <f t="shared" ref="E104:F119" si="15">E88</f>
        <v>[0 - 300km]</v>
      </c>
      <c r="F104" s="77" t="str">
        <f t="shared" si="15"/>
        <v>&lt; 500V</v>
      </c>
      <c r="G104" s="77" t="str">
        <f t="shared" si="12"/>
        <v>Ruraflex_Local Authority_[0 - 300km]_&lt; 500V</v>
      </c>
      <c r="H104" s="77" t="str">
        <f t="shared" si="13"/>
        <v>Ru01Y</v>
      </c>
      <c r="I104" s="106">
        <v>697.46</v>
      </c>
      <c r="J104" s="106">
        <v>174.34</v>
      </c>
      <c r="K104" s="106">
        <v>116.26</v>
      </c>
      <c r="L104" s="106">
        <v>289.5</v>
      </c>
      <c r="M104" s="106">
        <v>162.75</v>
      </c>
      <c r="N104" s="106">
        <v>116.31</v>
      </c>
      <c r="O104" s="307">
        <v>0</v>
      </c>
      <c r="P104" s="307">
        <v>0</v>
      </c>
      <c r="Q104" s="307">
        <v>0</v>
      </c>
      <c r="R104" s="307">
        <v>0</v>
      </c>
      <c r="S104" s="308">
        <v>0</v>
      </c>
      <c r="T104" s="106">
        <v>40.35</v>
      </c>
      <c r="U104" s="307">
        <v>0</v>
      </c>
      <c r="V104" s="308">
        <v>0</v>
      </c>
    </row>
    <row r="105" spans="2:22" s="77" customFormat="1" ht="13.8">
      <c r="B105" s="77" t="s">
        <v>465</v>
      </c>
      <c r="C105" s="77" t="str">
        <f t="shared" si="14"/>
        <v>Ruraflex</v>
      </c>
      <c r="D105" s="77" t="s">
        <v>71</v>
      </c>
      <c r="E105" s="77" t="str">
        <f t="shared" si="15"/>
        <v>[0 - 300km]</v>
      </c>
      <c r="F105" s="77" t="str">
        <f t="shared" si="15"/>
        <v>≥ 500V &amp; &lt; 66kV</v>
      </c>
      <c r="G105" s="77" t="str">
        <f t="shared" si="12"/>
        <v>Ruraflex_Local Authority_[0 - 300km]_≥ 500V &amp; &lt; 66kV</v>
      </c>
      <c r="H105" s="77" t="str">
        <f t="shared" si="13"/>
        <v>Ru02Y</v>
      </c>
      <c r="I105" s="106">
        <v>677.39</v>
      </c>
      <c r="J105" s="106">
        <v>169.34</v>
      </c>
      <c r="K105" s="106">
        <v>112.9</v>
      </c>
      <c r="L105" s="106">
        <v>281.12</v>
      </c>
      <c r="M105" s="106">
        <v>158.05000000000001</v>
      </c>
      <c r="N105" s="106">
        <v>112.9</v>
      </c>
      <c r="O105" s="307">
        <v>0</v>
      </c>
      <c r="P105" s="307">
        <v>0</v>
      </c>
      <c r="Q105" s="307">
        <v>0</v>
      </c>
      <c r="R105" s="307">
        <v>0</v>
      </c>
      <c r="S105" s="308">
        <v>0</v>
      </c>
      <c r="T105" s="106">
        <v>36.97</v>
      </c>
      <c r="U105" s="307">
        <v>0</v>
      </c>
      <c r="V105" s="308">
        <v>0</v>
      </c>
    </row>
    <row r="106" spans="2:22" s="77" customFormat="1" ht="13.8">
      <c r="B106" s="77" t="s">
        <v>465</v>
      </c>
      <c r="C106" s="77" t="str">
        <f t="shared" si="14"/>
        <v>Ruraflex</v>
      </c>
      <c r="D106" s="77" t="s">
        <v>71</v>
      </c>
      <c r="E106" s="77" t="str">
        <f t="shared" si="15"/>
        <v>[0 - 300km]</v>
      </c>
      <c r="F106" s="77" t="str">
        <f t="shared" si="15"/>
        <v>≥ 66kV &amp; ≤ 132kV</v>
      </c>
      <c r="G106" s="77" t="str">
        <f t="shared" si="12"/>
        <v>Ruraflex_Local Authority_[0 - 300km]_≥ 66kV &amp; ≤ 132kV</v>
      </c>
      <c r="H106" s="77" t="str">
        <f t="shared" si="13"/>
        <v>Ru03Y</v>
      </c>
      <c r="I106" s="106">
        <v>628.57000000000005</v>
      </c>
      <c r="J106" s="106">
        <v>157.13999999999999</v>
      </c>
      <c r="K106" s="106">
        <v>104.75</v>
      </c>
      <c r="L106" s="106">
        <v>260.87</v>
      </c>
      <c r="M106" s="106">
        <v>146.68</v>
      </c>
      <c r="N106" s="106">
        <v>104.75</v>
      </c>
      <c r="O106" s="307">
        <v>0</v>
      </c>
      <c r="P106" s="307">
        <v>0</v>
      </c>
      <c r="Q106" s="307">
        <v>0</v>
      </c>
      <c r="R106" s="307">
        <v>0</v>
      </c>
      <c r="S106" s="308">
        <v>0</v>
      </c>
      <c r="T106" s="106">
        <v>16.239999999999998</v>
      </c>
      <c r="U106" s="307">
        <v>0</v>
      </c>
      <c r="V106" s="308">
        <v>0</v>
      </c>
    </row>
    <row r="107" spans="2:22" s="77" customFormat="1" ht="13.8">
      <c r="B107" s="77" t="s">
        <v>465</v>
      </c>
      <c r="C107" s="77" t="str">
        <f t="shared" si="14"/>
        <v>Ruraflex</v>
      </c>
      <c r="D107" s="77" t="s">
        <v>71</v>
      </c>
      <c r="E107" s="77" t="str">
        <f t="shared" si="15"/>
        <v>[0 - 300km]</v>
      </c>
      <c r="F107" s="77" t="str">
        <f t="shared" si="15"/>
        <v>&gt; 132kV</v>
      </c>
      <c r="G107" s="77" t="str">
        <f t="shared" si="12"/>
        <v>Ruraflex_Local Authority_[0 - 300km]_&gt; 132kV</v>
      </c>
      <c r="H107" s="77" t="str">
        <f t="shared" si="13"/>
        <v>Ru04Y</v>
      </c>
      <c r="I107" s="106">
        <v>586.13</v>
      </c>
      <c r="J107" s="106">
        <v>146.54</v>
      </c>
      <c r="K107" s="106">
        <v>97.69</v>
      </c>
      <c r="L107" s="106">
        <v>243.26</v>
      </c>
      <c r="M107" s="106">
        <v>136.77000000000001</v>
      </c>
      <c r="N107" s="106">
        <v>97.69</v>
      </c>
      <c r="O107" s="307">
        <v>0</v>
      </c>
      <c r="P107" s="307">
        <v>0</v>
      </c>
      <c r="Q107" s="307">
        <v>0</v>
      </c>
      <c r="R107" s="307">
        <v>0</v>
      </c>
      <c r="S107" s="308">
        <v>0</v>
      </c>
      <c r="T107" s="106">
        <v>0</v>
      </c>
      <c r="U107" s="307">
        <v>0</v>
      </c>
      <c r="V107" s="308">
        <v>0</v>
      </c>
    </row>
    <row r="108" spans="2:22" s="77" customFormat="1" ht="13.8">
      <c r="B108" s="77" t="s">
        <v>465</v>
      </c>
      <c r="C108" s="77" t="str">
        <f t="shared" si="14"/>
        <v>Ruraflex</v>
      </c>
      <c r="D108" s="77" t="s">
        <v>71</v>
      </c>
      <c r="E108" s="77" t="str">
        <f t="shared" si="15"/>
        <v>[301 - 600km]</v>
      </c>
      <c r="F108" s="77" t="str">
        <f t="shared" si="15"/>
        <v>&lt; 500V</v>
      </c>
      <c r="G108" s="77" t="str">
        <f t="shared" si="12"/>
        <v>Ruraflex_Local Authority_[301 - 600km]_&lt; 500V</v>
      </c>
      <c r="H108" s="77" t="str">
        <f t="shared" si="13"/>
        <v>Ru11Y</v>
      </c>
      <c r="I108" s="106">
        <v>706.96</v>
      </c>
      <c r="J108" s="106">
        <v>176.75</v>
      </c>
      <c r="K108" s="106">
        <v>117.84</v>
      </c>
      <c r="L108" s="106">
        <v>293.41000000000003</v>
      </c>
      <c r="M108" s="106">
        <v>164.98</v>
      </c>
      <c r="N108" s="106">
        <v>117.84</v>
      </c>
      <c r="O108" s="307">
        <v>0</v>
      </c>
      <c r="P108" s="307">
        <v>0</v>
      </c>
      <c r="Q108" s="307">
        <v>0</v>
      </c>
      <c r="R108" s="307">
        <v>0</v>
      </c>
      <c r="S108" s="308">
        <v>0</v>
      </c>
      <c r="T108" s="106">
        <v>40.35</v>
      </c>
      <c r="U108" s="307">
        <v>0</v>
      </c>
      <c r="V108" s="308">
        <v>0</v>
      </c>
    </row>
    <row r="109" spans="2:22" s="77" customFormat="1" ht="13.8">
      <c r="B109" s="77" t="s">
        <v>465</v>
      </c>
      <c r="C109" s="77" t="str">
        <f t="shared" si="14"/>
        <v>Ruraflex</v>
      </c>
      <c r="D109" s="77" t="s">
        <v>71</v>
      </c>
      <c r="E109" s="77" t="str">
        <f t="shared" si="15"/>
        <v>[301 - 600km]</v>
      </c>
      <c r="F109" s="77" t="str">
        <f t="shared" si="15"/>
        <v>≥ 500V &amp; &lt; 66kV</v>
      </c>
      <c r="G109" s="77" t="str">
        <f t="shared" si="12"/>
        <v>Ruraflex_Local Authority_[301 - 600km]_≥ 500V &amp; &lt; 66kV</v>
      </c>
      <c r="H109" s="77" t="str">
        <f t="shared" si="13"/>
        <v>Ru12Y</v>
      </c>
      <c r="I109" s="106">
        <v>685.15</v>
      </c>
      <c r="J109" s="106">
        <v>171.3</v>
      </c>
      <c r="K109" s="106">
        <v>114.21</v>
      </c>
      <c r="L109" s="106">
        <v>284.33999999999997</v>
      </c>
      <c r="M109" s="106">
        <v>159.88</v>
      </c>
      <c r="N109" s="106">
        <v>114.21</v>
      </c>
      <c r="O109" s="307">
        <v>0</v>
      </c>
      <c r="P109" s="307">
        <v>0</v>
      </c>
      <c r="Q109" s="307">
        <v>0</v>
      </c>
      <c r="R109" s="307">
        <v>0</v>
      </c>
      <c r="S109" s="308">
        <v>0</v>
      </c>
      <c r="T109" s="106">
        <v>36.97</v>
      </c>
      <c r="U109" s="307">
        <v>0</v>
      </c>
      <c r="V109" s="308">
        <v>0</v>
      </c>
    </row>
    <row r="110" spans="2:22" s="77" customFormat="1" ht="13.8">
      <c r="B110" s="77" t="s">
        <v>465</v>
      </c>
      <c r="C110" s="77" t="str">
        <f t="shared" si="14"/>
        <v>Ruraflex</v>
      </c>
      <c r="D110" s="77" t="s">
        <v>71</v>
      </c>
      <c r="E110" s="77" t="str">
        <f t="shared" si="15"/>
        <v>[301 - 600km]</v>
      </c>
      <c r="F110" s="77" t="str">
        <f t="shared" si="15"/>
        <v>≥ 66kV &amp; ≤ 132kV</v>
      </c>
      <c r="G110" s="77" t="str">
        <f t="shared" si="12"/>
        <v>Ruraflex_Local Authority_[301 - 600km]_≥ 66kV &amp; ≤ 132kV</v>
      </c>
      <c r="H110" s="77" t="str">
        <f t="shared" si="13"/>
        <v>Ru13Y</v>
      </c>
      <c r="I110" s="106">
        <v>634.86</v>
      </c>
      <c r="J110" s="106">
        <v>158.72</v>
      </c>
      <c r="K110" s="106">
        <v>105.81</v>
      </c>
      <c r="L110" s="106">
        <v>263.47000000000003</v>
      </c>
      <c r="M110" s="106">
        <v>148.13999999999999</v>
      </c>
      <c r="N110" s="106">
        <v>105.81</v>
      </c>
      <c r="O110" s="307">
        <v>0</v>
      </c>
      <c r="P110" s="307">
        <v>0</v>
      </c>
      <c r="Q110" s="307">
        <v>0</v>
      </c>
      <c r="R110" s="307">
        <v>0</v>
      </c>
      <c r="S110" s="308">
        <v>0</v>
      </c>
      <c r="T110" s="106">
        <v>16.239999999999998</v>
      </c>
      <c r="U110" s="307">
        <v>0</v>
      </c>
      <c r="V110" s="308">
        <v>0</v>
      </c>
    </row>
    <row r="111" spans="2:22" s="77" customFormat="1" ht="13.8">
      <c r="B111" s="77" t="s">
        <v>465</v>
      </c>
      <c r="C111" s="77" t="str">
        <f t="shared" si="14"/>
        <v>Ruraflex</v>
      </c>
      <c r="D111" s="77" t="s">
        <v>71</v>
      </c>
      <c r="E111" s="77" t="str">
        <f t="shared" si="15"/>
        <v>[301 - 600km]</v>
      </c>
      <c r="F111" s="77" t="str">
        <f t="shared" si="15"/>
        <v>&gt; 132kV</v>
      </c>
      <c r="G111" s="77" t="str">
        <f t="shared" si="12"/>
        <v>Ruraflex_Local Authority_[301 - 600km]_&gt; 132kV</v>
      </c>
      <c r="H111" s="77" t="str">
        <f t="shared" si="13"/>
        <v>Ru14Y</v>
      </c>
      <c r="I111" s="106">
        <v>592</v>
      </c>
      <c r="J111" s="106">
        <v>148</v>
      </c>
      <c r="K111" s="106">
        <v>98.66</v>
      </c>
      <c r="L111" s="106">
        <v>245.68</v>
      </c>
      <c r="M111" s="106">
        <v>138.13999999999999</v>
      </c>
      <c r="N111" s="106">
        <v>98.66</v>
      </c>
      <c r="O111" s="307">
        <v>0</v>
      </c>
      <c r="P111" s="307">
        <v>0</v>
      </c>
      <c r="Q111" s="307">
        <v>0</v>
      </c>
      <c r="R111" s="307">
        <v>0</v>
      </c>
      <c r="S111" s="308">
        <v>0</v>
      </c>
      <c r="T111" s="106">
        <v>0</v>
      </c>
      <c r="U111" s="307">
        <v>0</v>
      </c>
      <c r="V111" s="308">
        <v>0</v>
      </c>
    </row>
    <row r="112" spans="2:22" s="77" customFormat="1" ht="13.8">
      <c r="B112" s="77" t="s">
        <v>465</v>
      </c>
      <c r="C112" s="77" t="str">
        <f t="shared" si="14"/>
        <v>Ruraflex</v>
      </c>
      <c r="D112" s="77" t="s">
        <v>71</v>
      </c>
      <c r="E112" s="77" t="str">
        <f t="shared" si="15"/>
        <v>[601 - 900km]</v>
      </c>
      <c r="F112" s="77" t="str">
        <f t="shared" si="15"/>
        <v>&lt; 500V</v>
      </c>
      <c r="G112" s="77" t="str">
        <f t="shared" si="12"/>
        <v>Ruraflex_Local Authority_[601 - 900km]_&lt; 500V</v>
      </c>
      <c r="H112" s="77" t="str">
        <f t="shared" si="13"/>
        <v>Ru21Y</v>
      </c>
      <c r="I112" s="106">
        <v>713.61</v>
      </c>
      <c r="J112" s="106">
        <v>178.39</v>
      </c>
      <c r="K112" s="106">
        <v>118.96</v>
      </c>
      <c r="L112" s="106">
        <v>296.2</v>
      </c>
      <c r="M112" s="106">
        <v>166.52</v>
      </c>
      <c r="N112" s="106">
        <v>118.97</v>
      </c>
      <c r="O112" s="307">
        <v>0</v>
      </c>
      <c r="P112" s="307">
        <v>0</v>
      </c>
      <c r="Q112" s="307">
        <v>0</v>
      </c>
      <c r="R112" s="307">
        <v>0</v>
      </c>
      <c r="S112" s="308">
        <v>0</v>
      </c>
      <c r="T112" s="106">
        <v>40.35</v>
      </c>
      <c r="U112" s="307">
        <v>0</v>
      </c>
      <c r="V112" s="308">
        <v>0</v>
      </c>
    </row>
    <row r="113" spans="2:22" s="77" customFormat="1" ht="13.8">
      <c r="B113" s="77" t="s">
        <v>465</v>
      </c>
      <c r="C113" s="77" t="str">
        <f t="shared" si="14"/>
        <v>Ruraflex</v>
      </c>
      <c r="D113" s="77" t="s">
        <v>71</v>
      </c>
      <c r="E113" s="77" t="str">
        <f t="shared" si="15"/>
        <v>[601 - 900km]</v>
      </c>
      <c r="F113" s="77" t="str">
        <f t="shared" si="15"/>
        <v>≥ 500V &amp; &lt; 66kV</v>
      </c>
      <c r="G113" s="77" t="str">
        <f t="shared" si="12"/>
        <v>Ruraflex_Local Authority_[601 - 900km]_≥ 500V &amp; &lt; 66kV</v>
      </c>
      <c r="H113" s="77" t="str">
        <f t="shared" si="13"/>
        <v>Ru22Y</v>
      </c>
      <c r="I113" s="106">
        <v>692.19</v>
      </c>
      <c r="J113" s="106">
        <v>173.06</v>
      </c>
      <c r="K113" s="106">
        <v>115.39</v>
      </c>
      <c r="L113" s="106">
        <v>287.27999999999997</v>
      </c>
      <c r="M113" s="106">
        <v>161.51</v>
      </c>
      <c r="N113" s="106">
        <v>115.39</v>
      </c>
      <c r="O113" s="307">
        <v>0</v>
      </c>
      <c r="P113" s="307">
        <v>0</v>
      </c>
      <c r="Q113" s="307">
        <v>0</v>
      </c>
      <c r="R113" s="307">
        <v>0</v>
      </c>
      <c r="S113" s="308">
        <v>0</v>
      </c>
      <c r="T113" s="106">
        <v>36.97</v>
      </c>
      <c r="U113" s="307">
        <v>0</v>
      </c>
      <c r="V113" s="308">
        <v>0</v>
      </c>
    </row>
    <row r="114" spans="2:22" s="77" customFormat="1" ht="13.8">
      <c r="B114" s="77" t="s">
        <v>465</v>
      </c>
      <c r="C114" s="77" t="str">
        <f t="shared" si="14"/>
        <v>Ruraflex</v>
      </c>
      <c r="D114" s="77" t="s">
        <v>71</v>
      </c>
      <c r="E114" s="77" t="str">
        <f t="shared" si="15"/>
        <v>[601 - 900km]</v>
      </c>
      <c r="F114" s="77" t="str">
        <f t="shared" si="15"/>
        <v>≥ 66kV &amp; ≤ 132kV</v>
      </c>
      <c r="G114" s="77" t="str">
        <f t="shared" si="12"/>
        <v>Ruraflex_Local Authority_[601 - 900km]_≥ 66kV &amp; ≤ 132kV</v>
      </c>
      <c r="H114" s="77" t="str">
        <f t="shared" si="13"/>
        <v>Ru23Y</v>
      </c>
      <c r="I114" s="106">
        <v>641.14</v>
      </c>
      <c r="J114" s="106">
        <v>160.29</v>
      </c>
      <c r="K114" s="106">
        <v>106.86</v>
      </c>
      <c r="L114" s="106">
        <v>266.08999999999997</v>
      </c>
      <c r="M114" s="106">
        <v>149.6</v>
      </c>
      <c r="N114" s="106">
        <v>106.86</v>
      </c>
      <c r="O114" s="307">
        <v>0</v>
      </c>
      <c r="P114" s="307">
        <v>0</v>
      </c>
      <c r="Q114" s="307">
        <v>0</v>
      </c>
      <c r="R114" s="307">
        <v>0</v>
      </c>
      <c r="S114" s="308">
        <v>0</v>
      </c>
      <c r="T114" s="106">
        <v>16.239999999999998</v>
      </c>
      <c r="U114" s="307">
        <v>0</v>
      </c>
      <c r="V114" s="308">
        <v>0</v>
      </c>
    </row>
    <row r="115" spans="2:22" s="77" customFormat="1" ht="13.8">
      <c r="B115" s="77" t="s">
        <v>465</v>
      </c>
      <c r="C115" s="77" t="str">
        <f t="shared" si="14"/>
        <v>Ruraflex</v>
      </c>
      <c r="D115" s="77" t="s">
        <v>71</v>
      </c>
      <c r="E115" s="77" t="str">
        <f t="shared" si="15"/>
        <v>[601 - 900km]</v>
      </c>
      <c r="F115" s="77" t="str">
        <f t="shared" si="15"/>
        <v>&gt; 132kV</v>
      </c>
      <c r="G115" s="77" t="str">
        <f t="shared" si="12"/>
        <v>Ruraflex_Local Authority_[601 - 900km]_&gt; 132kV</v>
      </c>
      <c r="H115" s="77" t="str">
        <f t="shared" si="13"/>
        <v>Ru24Y</v>
      </c>
      <c r="I115" s="106">
        <v>597.86</v>
      </c>
      <c r="J115" s="106">
        <v>149.47</v>
      </c>
      <c r="K115" s="106">
        <v>99.64</v>
      </c>
      <c r="L115" s="106">
        <v>248.12</v>
      </c>
      <c r="M115" s="106">
        <v>139.51</v>
      </c>
      <c r="N115" s="106">
        <v>99.64</v>
      </c>
      <c r="O115" s="307">
        <v>0</v>
      </c>
      <c r="P115" s="307">
        <v>0</v>
      </c>
      <c r="Q115" s="307">
        <v>0</v>
      </c>
      <c r="R115" s="307">
        <v>0</v>
      </c>
      <c r="S115" s="308">
        <v>0</v>
      </c>
      <c r="T115" s="106">
        <v>0</v>
      </c>
      <c r="U115" s="307">
        <v>0</v>
      </c>
      <c r="V115" s="308">
        <v>0</v>
      </c>
    </row>
    <row r="116" spans="2:22" s="77" customFormat="1" ht="13.8">
      <c r="B116" s="77" t="s">
        <v>465</v>
      </c>
      <c r="C116" s="77" t="str">
        <f t="shared" si="14"/>
        <v>Ruraflex</v>
      </c>
      <c r="D116" s="77" t="s">
        <v>71</v>
      </c>
      <c r="E116" s="77" t="str">
        <f t="shared" si="15"/>
        <v>[&gt; 900km]</v>
      </c>
      <c r="F116" s="77" t="str">
        <f t="shared" si="15"/>
        <v>&lt; 500V</v>
      </c>
      <c r="G116" s="77" t="str">
        <f t="shared" si="12"/>
        <v>Ruraflex_Local Authority_[&gt; 900km]_&lt; 500V</v>
      </c>
      <c r="H116" s="77" t="str">
        <f t="shared" si="13"/>
        <v>Ru31Y</v>
      </c>
      <c r="I116" s="106">
        <v>721.57</v>
      </c>
      <c r="J116" s="106">
        <v>180.39</v>
      </c>
      <c r="K116" s="106">
        <v>120.26</v>
      </c>
      <c r="L116" s="106">
        <v>299.44</v>
      </c>
      <c r="M116" s="106">
        <v>168.37</v>
      </c>
      <c r="N116" s="106">
        <v>120.26</v>
      </c>
      <c r="O116" s="307">
        <v>0</v>
      </c>
      <c r="P116" s="307">
        <v>0</v>
      </c>
      <c r="Q116" s="307">
        <v>0</v>
      </c>
      <c r="R116" s="307">
        <v>0</v>
      </c>
      <c r="S116" s="308">
        <v>0</v>
      </c>
      <c r="T116" s="106">
        <v>40.35</v>
      </c>
      <c r="U116" s="307">
        <v>0</v>
      </c>
      <c r="V116" s="308">
        <v>0</v>
      </c>
    </row>
    <row r="117" spans="2:22" s="77" customFormat="1" ht="13.8">
      <c r="B117" s="77" t="s">
        <v>465</v>
      </c>
      <c r="C117" s="77" t="str">
        <f t="shared" si="14"/>
        <v>Ruraflex</v>
      </c>
      <c r="D117" s="77" t="s">
        <v>71</v>
      </c>
      <c r="E117" s="77" t="str">
        <f t="shared" si="15"/>
        <v>[&gt; 900km]</v>
      </c>
      <c r="F117" s="77" t="str">
        <f t="shared" si="15"/>
        <v>≥ 500V &amp; &lt; 66kV</v>
      </c>
      <c r="G117" s="77" t="str">
        <f t="shared" si="12"/>
        <v>Ruraflex_Local Authority_[&gt; 900km]_≥ 500V &amp; &lt; 66kV</v>
      </c>
      <c r="H117" s="77" t="str">
        <f t="shared" si="13"/>
        <v>Ru32Y</v>
      </c>
      <c r="I117" s="106">
        <v>698.76</v>
      </c>
      <c r="J117" s="106">
        <v>174.68</v>
      </c>
      <c r="K117" s="106">
        <v>116.47</v>
      </c>
      <c r="L117" s="106">
        <v>289.98</v>
      </c>
      <c r="M117" s="106">
        <v>163.04</v>
      </c>
      <c r="N117" s="106">
        <v>116.47</v>
      </c>
      <c r="O117" s="307">
        <v>0</v>
      </c>
      <c r="P117" s="307">
        <v>0</v>
      </c>
      <c r="Q117" s="307">
        <v>0</v>
      </c>
      <c r="R117" s="307">
        <v>0</v>
      </c>
      <c r="S117" s="308">
        <v>0</v>
      </c>
      <c r="T117" s="106">
        <v>36.97</v>
      </c>
      <c r="U117" s="307">
        <v>0</v>
      </c>
      <c r="V117" s="308">
        <v>0</v>
      </c>
    </row>
    <row r="118" spans="2:22" s="77" customFormat="1" ht="13.8">
      <c r="B118" s="77" t="s">
        <v>465</v>
      </c>
      <c r="C118" s="77" t="str">
        <f t="shared" si="14"/>
        <v>Ruraflex</v>
      </c>
      <c r="D118" s="77" t="s">
        <v>71</v>
      </c>
      <c r="E118" s="77" t="str">
        <f t="shared" si="15"/>
        <v>[&gt; 900km]</v>
      </c>
      <c r="F118" s="77" t="str">
        <f t="shared" si="15"/>
        <v>≥ 66kV &amp; ≤ 132kV</v>
      </c>
      <c r="G118" s="77" t="str">
        <f t="shared" si="12"/>
        <v>Ruraflex_Local Authority_[&gt; 900km]_≥ 66kV &amp; ≤ 132kV</v>
      </c>
      <c r="H118" s="77" t="str">
        <f t="shared" si="13"/>
        <v>Ru33Y</v>
      </c>
      <c r="I118" s="106">
        <v>647.42999999999995</v>
      </c>
      <c r="J118" s="106">
        <v>161.86000000000001</v>
      </c>
      <c r="K118" s="106">
        <v>107.9</v>
      </c>
      <c r="L118" s="106">
        <v>268.68</v>
      </c>
      <c r="M118" s="106">
        <v>151.07</v>
      </c>
      <c r="N118" s="106">
        <v>107.9</v>
      </c>
      <c r="O118" s="307">
        <v>0</v>
      </c>
      <c r="P118" s="307">
        <v>0</v>
      </c>
      <c r="Q118" s="307">
        <v>0</v>
      </c>
      <c r="R118" s="307">
        <v>0</v>
      </c>
      <c r="S118" s="308">
        <v>0</v>
      </c>
      <c r="T118" s="106">
        <v>16.239999999999998</v>
      </c>
      <c r="U118" s="307">
        <v>0</v>
      </c>
      <c r="V118" s="308">
        <v>0</v>
      </c>
    </row>
    <row r="119" spans="2:22" s="77" customFormat="1" ht="13.8">
      <c r="B119" s="77" t="s">
        <v>465</v>
      </c>
      <c r="C119" s="77" t="str">
        <f t="shared" si="14"/>
        <v>Ruraflex</v>
      </c>
      <c r="D119" s="77" t="s">
        <v>71</v>
      </c>
      <c r="E119" s="77" t="str">
        <f t="shared" si="15"/>
        <v>[&gt; 900km]</v>
      </c>
      <c r="F119" s="77" t="str">
        <f t="shared" si="15"/>
        <v>&gt; 132kV</v>
      </c>
      <c r="G119" s="77" t="str">
        <f t="shared" si="12"/>
        <v>Ruraflex_Local Authority_[&gt; 900km]_&gt; 132kV</v>
      </c>
      <c r="H119" s="77" t="str">
        <f t="shared" si="13"/>
        <v>Ru34Y</v>
      </c>
      <c r="I119" s="106">
        <v>603.72</v>
      </c>
      <c r="J119" s="106">
        <v>150.94</v>
      </c>
      <c r="K119" s="106">
        <v>100.61</v>
      </c>
      <c r="L119" s="106">
        <v>250.55</v>
      </c>
      <c r="M119" s="106">
        <v>140.86000000000001</v>
      </c>
      <c r="N119" s="106">
        <v>100.61</v>
      </c>
      <c r="O119" s="307">
        <v>0</v>
      </c>
      <c r="P119" s="307">
        <v>0</v>
      </c>
      <c r="Q119" s="307">
        <v>0</v>
      </c>
      <c r="R119" s="307">
        <v>0</v>
      </c>
      <c r="S119" s="308">
        <v>0</v>
      </c>
      <c r="T119" s="106">
        <v>0</v>
      </c>
      <c r="U119" s="307">
        <v>0</v>
      </c>
      <c r="V119" s="308">
        <v>0</v>
      </c>
    </row>
    <row r="120" spans="2:22" s="77" customFormat="1" ht="13.8"/>
    <row r="121" spans="2:22" s="77" customFormat="1" ht="13.8">
      <c r="C121" s="77" t="s">
        <v>45</v>
      </c>
      <c r="D121" s="77" t="s">
        <v>72</v>
      </c>
      <c r="E121" s="77" t="s">
        <v>67</v>
      </c>
      <c r="F121" s="77" t="s">
        <v>62</v>
      </c>
      <c r="G121" s="77" t="str">
        <f t="shared" ref="G121:G152" si="16">C121&amp;"_"&amp;D121&amp;"_"&amp;E121&amp;"_"&amp;F121</f>
        <v>Nightsave Small_Non-Local Authority_[0 - 300km]_&lt; 500V</v>
      </c>
      <c r="H121" s="77" t="str">
        <f t="shared" ref="H121:H152" si="17">INDEX(Matrix_Tariff_Map,MATCH(C121,Matrix_Model_Tariffs,0),2)&amp;INDEX(Matrix_Transmission_Map,MATCH(E121,Matrix_Model_Transmission,0),2)&amp;INDEX(Matrix_Voltage_Map,MATCH(F121,Matrix_Model_Voltage,0),2)&amp;INDEX(Matrix_Category_Map,MATCH(D121,Matrix_Model_Category,0),2)</f>
        <v>NS01N</v>
      </c>
      <c r="I121" s="85" t="s">
        <v>118</v>
      </c>
      <c r="J121" s="85" t="s">
        <v>118</v>
      </c>
      <c r="K121" s="85" t="s">
        <v>118</v>
      </c>
      <c r="L121" s="85" t="s">
        <v>118</v>
      </c>
      <c r="M121" s="85" t="s">
        <v>118</v>
      </c>
      <c r="N121" s="85" t="s">
        <v>118</v>
      </c>
      <c r="O121" s="106">
        <v>168.44</v>
      </c>
      <c r="P121" s="106">
        <v>161.80000000000001</v>
      </c>
      <c r="Q121" s="106">
        <v>314.20999999999998</v>
      </c>
      <c r="R121" s="106">
        <v>73.510000000000005</v>
      </c>
      <c r="S121" s="106">
        <v>10.63</v>
      </c>
      <c r="T121" s="106" t="s">
        <v>118</v>
      </c>
      <c r="U121" s="106">
        <v>3.49</v>
      </c>
      <c r="V121" s="85" t="s">
        <v>118</v>
      </c>
    </row>
    <row r="122" spans="2:22" s="77" customFormat="1" ht="13.8">
      <c r="C122" s="77" t="str">
        <f>C121</f>
        <v>Nightsave Small</v>
      </c>
      <c r="D122" s="77" t="s">
        <v>72</v>
      </c>
      <c r="E122" s="77" t="s">
        <v>67</v>
      </c>
      <c r="F122" s="77" t="s">
        <v>63</v>
      </c>
      <c r="G122" s="77" t="str">
        <f t="shared" si="16"/>
        <v>Nightsave Small_Non-Local Authority_[0 - 300km]_≥ 500V &amp; &lt; 66kV</v>
      </c>
      <c r="H122" s="77" t="str">
        <f t="shared" si="17"/>
        <v>NS02N</v>
      </c>
      <c r="I122" s="85" t="s">
        <v>118</v>
      </c>
      <c r="J122" s="85" t="s">
        <v>118</v>
      </c>
      <c r="K122" s="85" t="s">
        <v>118</v>
      </c>
      <c r="L122" s="85" t="s">
        <v>118</v>
      </c>
      <c r="M122" s="85" t="s">
        <v>118</v>
      </c>
      <c r="N122" s="85" t="s">
        <v>118</v>
      </c>
      <c r="O122" s="106">
        <v>164.09</v>
      </c>
      <c r="P122" s="106">
        <v>157.62</v>
      </c>
      <c r="Q122" s="106">
        <v>306.10000000000002</v>
      </c>
      <c r="R122" s="106">
        <v>71.61</v>
      </c>
      <c r="S122" s="106">
        <v>10.25</v>
      </c>
      <c r="T122" s="106" t="s">
        <v>118</v>
      </c>
      <c r="U122" s="106">
        <v>8.09</v>
      </c>
      <c r="V122" s="85" t="s">
        <v>118</v>
      </c>
    </row>
    <row r="123" spans="2:22" s="77" customFormat="1" ht="13.8">
      <c r="C123" s="77" t="str">
        <f t="shared" ref="C123:C152" si="18">C122</f>
        <v>Nightsave Small</v>
      </c>
      <c r="D123" s="77" t="s">
        <v>72</v>
      </c>
      <c r="E123" s="77" t="s">
        <v>67</v>
      </c>
      <c r="F123" s="77" t="s">
        <v>64</v>
      </c>
      <c r="G123" s="77" t="str">
        <f t="shared" si="16"/>
        <v>Nightsave Small_Non-Local Authority_[0 - 300km]_≥ 66kV &amp; ≤ 132kV</v>
      </c>
      <c r="H123" s="77" t="str">
        <f t="shared" si="17"/>
        <v>NS03N</v>
      </c>
      <c r="I123" s="85" t="s">
        <v>118</v>
      </c>
      <c r="J123" s="85" t="s">
        <v>118</v>
      </c>
      <c r="K123" s="85" t="s">
        <v>118</v>
      </c>
      <c r="L123" s="85" t="s">
        <v>118</v>
      </c>
      <c r="M123" s="85" t="s">
        <v>118</v>
      </c>
      <c r="N123" s="85" t="s">
        <v>118</v>
      </c>
      <c r="O123" s="106">
        <v>152.28</v>
      </c>
      <c r="P123" s="106">
        <v>146.28</v>
      </c>
      <c r="Q123" s="106">
        <v>284.06</v>
      </c>
      <c r="R123" s="106">
        <v>66.459999999999994</v>
      </c>
      <c r="S123" s="106">
        <v>9.35</v>
      </c>
      <c r="T123" s="106" t="s">
        <v>118</v>
      </c>
      <c r="U123" s="106">
        <v>6.12</v>
      </c>
      <c r="V123" s="85" t="s">
        <v>118</v>
      </c>
    </row>
    <row r="124" spans="2:22" s="77" customFormat="1" ht="13.8">
      <c r="C124" s="77" t="str">
        <f t="shared" si="18"/>
        <v>Nightsave Small</v>
      </c>
      <c r="D124" s="77" t="s">
        <v>72</v>
      </c>
      <c r="E124" s="77" t="s">
        <v>67</v>
      </c>
      <c r="F124" s="77" t="s">
        <v>65</v>
      </c>
      <c r="G124" s="77" t="str">
        <f t="shared" si="16"/>
        <v>Nightsave Small_Non-Local Authority_[0 - 300km]_&gt; 132kV</v>
      </c>
      <c r="H124" s="77" t="str">
        <f t="shared" si="17"/>
        <v>NS04N</v>
      </c>
      <c r="I124" s="85" t="s">
        <v>118</v>
      </c>
      <c r="J124" s="85" t="s">
        <v>118</v>
      </c>
      <c r="K124" s="85" t="s">
        <v>118</v>
      </c>
      <c r="L124" s="85" t="s">
        <v>118</v>
      </c>
      <c r="M124" s="85" t="s">
        <v>118</v>
      </c>
      <c r="N124" s="85" t="s">
        <v>118</v>
      </c>
      <c r="O124" s="106">
        <v>142.01</v>
      </c>
      <c r="P124" s="106">
        <v>136.4</v>
      </c>
      <c r="Q124" s="106">
        <v>263.3</v>
      </c>
      <c r="R124" s="106">
        <v>61.6</v>
      </c>
      <c r="S124" s="106">
        <v>16.34</v>
      </c>
      <c r="T124" s="106" t="s">
        <v>118</v>
      </c>
      <c r="U124" s="106">
        <v>7.02</v>
      </c>
      <c r="V124" s="85" t="s">
        <v>118</v>
      </c>
    </row>
    <row r="125" spans="2:22" s="77" customFormat="1" ht="13.8">
      <c r="C125" s="77" t="str">
        <f t="shared" si="18"/>
        <v>Nightsave Small</v>
      </c>
      <c r="D125" s="77" t="s">
        <v>72</v>
      </c>
      <c r="E125" s="77" t="s">
        <v>68</v>
      </c>
      <c r="F125" s="77" t="s">
        <v>62</v>
      </c>
      <c r="G125" s="77" t="str">
        <f t="shared" si="16"/>
        <v>Nightsave Small_Non-Local Authority_[301 - 600km]_&lt; 500V</v>
      </c>
      <c r="H125" s="77" t="str">
        <f t="shared" si="17"/>
        <v>NS11N</v>
      </c>
      <c r="I125" s="85" t="s">
        <v>118</v>
      </c>
      <c r="J125" s="85" t="s">
        <v>118</v>
      </c>
      <c r="K125" s="85" t="s">
        <v>118</v>
      </c>
      <c r="L125" s="85" t="s">
        <v>118</v>
      </c>
      <c r="M125" s="85" t="s">
        <v>118</v>
      </c>
      <c r="N125" s="85" t="s">
        <v>118</v>
      </c>
      <c r="O125" s="106">
        <v>170.11</v>
      </c>
      <c r="P125" s="106">
        <v>163.41</v>
      </c>
      <c r="Q125" s="106">
        <v>317.33</v>
      </c>
      <c r="R125" s="106">
        <v>74.239999999999995</v>
      </c>
      <c r="S125" s="106">
        <v>10.74</v>
      </c>
      <c r="T125" s="106" t="s">
        <v>118</v>
      </c>
      <c r="U125" s="106">
        <v>3.49</v>
      </c>
      <c r="V125" s="85" t="s">
        <v>118</v>
      </c>
    </row>
    <row r="126" spans="2:22" s="77" customFormat="1" ht="13.8">
      <c r="C126" s="77" t="str">
        <f t="shared" si="18"/>
        <v>Nightsave Small</v>
      </c>
      <c r="D126" s="77" t="s">
        <v>72</v>
      </c>
      <c r="E126" s="77" t="s">
        <v>68</v>
      </c>
      <c r="F126" s="77" t="s">
        <v>63</v>
      </c>
      <c r="G126" s="77" t="str">
        <f t="shared" si="16"/>
        <v>Nightsave Small_Non-Local Authority_[301 - 600km]_≥ 500V &amp; &lt; 66kV</v>
      </c>
      <c r="H126" s="77" t="str">
        <f t="shared" si="17"/>
        <v>NS12N</v>
      </c>
      <c r="I126" s="85" t="s">
        <v>118</v>
      </c>
      <c r="J126" s="85" t="s">
        <v>118</v>
      </c>
      <c r="K126" s="85" t="s">
        <v>118</v>
      </c>
      <c r="L126" s="85" t="s">
        <v>118</v>
      </c>
      <c r="M126" s="85" t="s">
        <v>118</v>
      </c>
      <c r="N126" s="85" t="s">
        <v>118</v>
      </c>
      <c r="O126" s="106">
        <v>165.73</v>
      </c>
      <c r="P126" s="106">
        <v>159.19</v>
      </c>
      <c r="Q126" s="106">
        <v>309.14</v>
      </c>
      <c r="R126" s="106">
        <v>72.319999999999993</v>
      </c>
      <c r="S126" s="106">
        <v>10.35</v>
      </c>
      <c r="T126" s="106" t="s">
        <v>118</v>
      </c>
      <c r="U126" s="106">
        <v>8.09</v>
      </c>
      <c r="V126" s="85" t="s">
        <v>118</v>
      </c>
    </row>
    <row r="127" spans="2:22" s="77" customFormat="1" ht="13.8">
      <c r="C127" s="77" t="str">
        <f t="shared" si="18"/>
        <v>Nightsave Small</v>
      </c>
      <c r="D127" s="77" t="s">
        <v>72</v>
      </c>
      <c r="E127" s="77" t="s">
        <v>68</v>
      </c>
      <c r="F127" s="77" t="s">
        <v>64</v>
      </c>
      <c r="G127" s="77" t="str">
        <f t="shared" si="16"/>
        <v>Nightsave Small_Non-Local Authority_[301 - 600km]_≥ 66kV &amp; ≤ 132kV</v>
      </c>
      <c r="H127" s="77" t="str">
        <f t="shared" si="17"/>
        <v>NS13N</v>
      </c>
      <c r="I127" s="85" t="s">
        <v>118</v>
      </c>
      <c r="J127" s="85" t="s">
        <v>118</v>
      </c>
      <c r="K127" s="85" t="s">
        <v>118</v>
      </c>
      <c r="L127" s="85" t="s">
        <v>118</v>
      </c>
      <c r="M127" s="85" t="s">
        <v>118</v>
      </c>
      <c r="N127" s="85" t="s">
        <v>118</v>
      </c>
      <c r="O127" s="106">
        <v>153.80000000000001</v>
      </c>
      <c r="P127" s="106">
        <v>147.72999999999999</v>
      </c>
      <c r="Q127" s="106">
        <v>286.89</v>
      </c>
      <c r="R127" s="106">
        <v>67.11</v>
      </c>
      <c r="S127" s="106">
        <v>9.4499999999999993</v>
      </c>
      <c r="T127" s="106" t="s">
        <v>118</v>
      </c>
      <c r="U127" s="106">
        <v>6.12</v>
      </c>
      <c r="V127" s="85" t="s">
        <v>118</v>
      </c>
    </row>
    <row r="128" spans="2:22" s="77" customFormat="1" ht="13.8">
      <c r="C128" s="77" t="str">
        <f t="shared" si="18"/>
        <v>Nightsave Small</v>
      </c>
      <c r="D128" s="77" t="s">
        <v>72</v>
      </c>
      <c r="E128" s="77" t="s">
        <v>68</v>
      </c>
      <c r="F128" s="77" t="s">
        <v>65</v>
      </c>
      <c r="G128" s="77" t="str">
        <f t="shared" si="16"/>
        <v>Nightsave Small_Non-Local Authority_[301 - 600km]_&gt; 132kV</v>
      </c>
      <c r="H128" s="77" t="str">
        <f t="shared" si="17"/>
        <v>NS14N</v>
      </c>
      <c r="I128" s="85" t="s">
        <v>118</v>
      </c>
      <c r="J128" s="85" t="s">
        <v>118</v>
      </c>
      <c r="K128" s="85" t="s">
        <v>118</v>
      </c>
      <c r="L128" s="85" t="s">
        <v>118</v>
      </c>
      <c r="M128" s="85" t="s">
        <v>118</v>
      </c>
      <c r="N128" s="85" t="s">
        <v>118</v>
      </c>
      <c r="O128" s="106">
        <v>143.41999999999999</v>
      </c>
      <c r="P128" s="106">
        <v>137.76</v>
      </c>
      <c r="Q128" s="106">
        <v>267.52</v>
      </c>
      <c r="R128" s="106">
        <v>62.59</v>
      </c>
      <c r="S128" s="106">
        <v>16.510000000000002</v>
      </c>
      <c r="T128" s="106" t="s">
        <v>118</v>
      </c>
      <c r="U128" s="106">
        <v>7.02</v>
      </c>
      <c r="V128" s="85" t="s">
        <v>118</v>
      </c>
    </row>
    <row r="129" spans="2:22" s="77" customFormat="1" ht="13.8">
      <c r="C129" s="77" t="str">
        <f t="shared" si="18"/>
        <v>Nightsave Small</v>
      </c>
      <c r="D129" s="77" t="s">
        <v>72</v>
      </c>
      <c r="E129" s="77" t="s">
        <v>69</v>
      </c>
      <c r="F129" s="77" t="s">
        <v>62</v>
      </c>
      <c r="G129" s="77" t="str">
        <f t="shared" si="16"/>
        <v>Nightsave Small_Non-Local Authority_[601 - 900km]_&lt; 500V</v>
      </c>
      <c r="H129" s="77" t="str">
        <f t="shared" si="17"/>
        <v>NS21N</v>
      </c>
      <c r="I129" s="85" t="s">
        <v>118</v>
      </c>
      <c r="J129" s="85" t="s">
        <v>118</v>
      </c>
      <c r="K129" s="85" t="s">
        <v>118</v>
      </c>
      <c r="L129" s="85" t="s">
        <v>118</v>
      </c>
      <c r="M129" s="85" t="s">
        <v>118</v>
      </c>
      <c r="N129" s="85" t="s">
        <v>118</v>
      </c>
      <c r="O129" s="106">
        <v>171.8</v>
      </c>
      <c r="P129" s="106">
        <v>165.03</v>
      </c>
      <c r="Q129" s="106">
        <v>320.49</v>
      </c>
      <c r="R129" s="106">
        <v>74.98</v>
      </c>
      <c r="S129" s="106">
        <v>10.85</v>
      </c>
      <c r="T129" s="106" t="s">
        <v>118</v>
      </c>
      <c r="U129" s="106">
        <v>3.49</v>
      </c>
      <c r="V129" s="85" t="s">
        <v>118</v>
      </c>
    </row>
    <row r="130" spans="2:22" s="77" customFormat="1" ht="13.8">
      <c r="C130" s="77" t="str">
        <f t="shared" si="18"/>
        <v>Nightsave Small</v>
      </c>
      <c r="D130" s="77" t="s">
        <v>72</v>
      </c>
      <c r="E130" s="77" t="s">
        <v>69</v>
      </c>
      <c r="F130" s="77" t="s">
        <v>63</v>
      </c>
      <c r="G130" s="77" t="str">
        <f t="shared" si="16"/>
        <v>Nightsave Small_Non-Local Authority_[601 - 900km]_≥ 500V &amp; &lt; 66kV</v>
      </c>
      <c r="H130" s="77" t="str">
        <f t="shared" si="17"/>
        <v>NS22N</v>
      </c>
      <c r="I130" s="85" t="s">
        <v>118</v>
      </c>
      <c r="J130" s="85" t="s">
        <v>118</v>
      </c>
      <c r="K130" s="85" t="s">
        <v>118</v>
      </c>
      <c r="L130" s="85" t="s">
        <v>118</v>
      </c>
      <c r="M130" s="85" t="s">
        <v>118</v>
      </c>
      <c r="N130" s="85" t="s">
        <v>118</v>
      </c>
      <c r="O130" s="106">
        <v>167.37</v>
      </c>
      <c r="P130" s="106">
        <v>160.78</v>
      </c>
      <c r="Q130" s="106">
        <v>312.20999999999998</v>
      </c>
      <c r="R130" s="106">
        <v>73.040000000000006</v>
      </c>
      <c r="S130" s="106">
        <v>10.45</v>
      </c>
      <c r="T130" s="106" t="s">
        <v>118</v>
      </c>
      <c r="U130" s="106">
        <v>8.09</v>
      </c>
      <c r="V130" s="85" t="s">
        <v>118</v>
      </c>
    </row>
    <row r="131" spans="2:22" s="77" customFormat="1" ht="13.8">
      <c r="C131" s="77" t="str">
        <f t="shared" si="18"/>
        <v>Nightsave Small</v>
      </c>
      <c r="D131" s="77" t="s">
        <v>72</v>
      </c>
      <c r="E131" s="77" t="s">
        <v>69</v>
      </c>
      <c r="F131" s="77" t="s">
        <v>64</v>
      </c>
      <c r="G131" s="77" t="str">
        <f t="shared" si="16"/>
        <v>Nightsave Small_Non-Local Authority_[601 - 900km]_≥ 66kV &amp; ≤ 132kV</v>
      </c>
      <c r="H131" s="77" t="str">
        <f t="shared" si="17"/>
        <v>NS23N</v>
      </c>
      <c r="I131" s="85" t="s">
        <v>118</v>
      </c>
      <c r="J131" s="85" t="s">
        <v>118</v>
      </c>
      <c r="K131" s="85" t="s">
        <v>118</v>
      </c>
      <c r="L131" s="85" t="s">
        <v>118</v>
      </c>
      <c r="M131" s="85" t="s">
        <v>118</v>
      </c>
      <c r="N131" s="85" t="s">
        <v>118</v>
      </c>
      <c r="O131" s="106">
        <v>155.32</v>
      </c>
      <c r="P131" s="106">
        <v>149.19999999999999</v>
      </c>
      <c r="Q131" s="106">
        <v>289.74</v>
      </c>
      <c r="R131" s="106">
        <v>67.790000000000006</v>
      </c>
      <c r="S131" s="106">
        <v>9.5399999999999991</v>
      </c>
      <c r="T131" s="106" t="s">
        <v>118</v>
      </c>
      <c r="U131" s="106">
        <v>6.12</v>
      </c>
      <c r="V131" s="85" t="s">
        <v>118</v>
      </c>
    </row>
    <row r="132" spans="2:22" s="77" customFormat="1" ht="13.8">
      <c r="C132" s="77" t="str">
        <f t="shared" si="18"/>
        <v>Nightsave Small</v>
      </c>
      <c r="D132" s="77" t="s">
        <v>72</v>
      </c>
      <c r="E132" s="77" t="s">
        <v>69</v>
      </c>
      <c r="F132" s="77" t="s">
        <v>65</v>
      </c>
      <c r="G132" s="77" t="str">
        <f t="shared" si="16"/>
        <v>Nightsave Small_Non-Local Authority_[601 - 900km]_&gt; 132kV</v>
      </c>
      <c r="H132" s="77" t="str">
        <f t="shared" si="17"/>
        <v>NS24N</v>
      </c>
      <c r="I132" s="85" t="s">
        <v>118</v>
      </c>
      <c r="J132" s="85" t="s">
        <v>118</v>
      </c>
      <c r="K132" s="85" t="s">
        <v>118</v>
      </c>
      <c r="L132" s="85" t="s">
        <v>118</v>
      </c>
      <c r="M132" s="85" t="s">
        <v>118</v>
      </c>
      <c r="N132" s="85" t="s">
        <v>118</v>
      </c>
      <c r="O132" s="106">
        <v>144.84</v>
      </c>
      <c r="P132" s="106">
        <v>139.12</v>
      </c>
      <c r="Q132" s="106">
        <v>270.18</v>
      </c>
      <c r="R132" s="106">
        <v>63.21</v>
      </c>
      <c r="S132" s="106">
        <v>16.66</v>
      </c>
      <c r="T132" s="106" t="s">
        <v>118</v>
      </c>
      <c r="U132" s="106">
        <v>7.02</v>
      </c>
      <c r="V132" s="85" t="s">
        <v>118</v>
      </c>
    </row>
    <row r="133" spans="2:22" s="77" customFormat="1" ht="13.8">
      <c r="C133" s="77" t="str">
        <f t="shared" si="18"/>
        <v>Nightsave Small</v>
      </c>
      <c r="D133" s="77" t="s">
        <v>72</v>
      </c>
      <c r="E133" s="77" t="s">
        <v>70</v>
      </c>
      <c r="F133" s="77" t="s">
        <v>62</v>
      </c>
      <c r="G133" s="77" t="str">
        <f t="shared" si="16"/>
        <v>Nightsave Small_Non-Local Authority_[&gt; 900km]_&lt; 500V</v>
      </c>
      <c r="H133" s="77" t="str">
        <f t="shared" si="17"/>
        <v>NS31N</v>
      </c>
      <c r="I133" s="85" t="s">
        <v>118</v>
      </c>
      <c r="J133" s="85" t="s">
        <v>118</v>
      </c>
      <c r="K133" s="85" t="s">
        <v>118</v>
      </c>
      <c r="L133" s="85" t="s">
        <v>118</v>
      </c>
      <c r="M133" s="85" t="s">
        <v>118</v>
      </c>
      <c r="N133" s="85" t="s">
        <v>118</v>
      </c>
      <c r="O133" s="106">
        <v>173.48</v>
      </c>
      <c r="P133" s="106">
        <v>166.64</v>
      </c>
      <c r="Q133" s="106">
        <v>323.61</v>
      </c>
      <c r="R133" s="106">
        <v>75.7</v>
      </c>
      <c r="S133" s="106">
        <v>10.96</v>
      </c>
      <c r="T133" s="106" t="s">
        <v>118</v>
      </c>
      <c r="U133" s="106">
        <v>3.49</v>
      </c>
      <c r="V133" s="85" t="s">
        <v>118</v>
      </c>
    </row>
    <row r="134" spans="2:22" s="77" customFormat="1" ht="13.8">
      <c r="C134" s="77" t="str">
        <f t="shared" si="18"/>
        <v>Nightsave Small</v>
      </c>
      <c r="D134" s="77" t="s">
        <v>72</v>
      </c>
      <c r="E134" s="77" t="s">
        <v>70</v>
      </c>
      <c r="F134" s="77" t="s">
        <v>63</v>
      </c>
      <c r="G134" s="77" t="str">
        <f t="shared" si="16"/>
        <v>Nightsave Small_Non-Local Authority_[&gt; 900km]_≥ 500V &amp; &lt; 66kV</v>
      </c>
      <c r="H134" s="77" t="str">
        <f t="shared" si="17"/>
        <v>NS32N</v>
      </c>
      <c r="I134" s="85" t="s">
        <v>118</v>
      </c>
      <c r="J134" s="85" t="s">
        <v>118</v>
      </c>
      <c r="K134" s="85" t="s">
        <v>118</v>
      </c>
      <c r="L134" s="85" t="s">
        <v>118</v>
      </c>
      <c r="M134" s="85" t="s">
        <v>118</v>
      </c>
      <c r="N134" s="85" t="s">
        <v>118</v>
      </c>
      <c r="O134" s="106">
        <v>169.01</v>
      </c>
      <c r="P134" s="106">
        <v>162.35</v>
      </c>
      <c r="Q134" s="106">
        <v>315.25</v>
      </c>
      <c r="R134" s="106">
        <v>73.75</v>
      </c>
      <c r="S134" s="106">
        <v>10.55</v>
      </c>
      <c r="T134" s="106" t="s">
        <v>118</v>
      </c>
      <c r="U134" s="106">
        <v>8.09</v>
      </c>
      <c r="V134" s="85" t="s">
        <v>118</v>
      </c>
    </row>
    <row r="135" spans="2:22" s="77" customFormat="1" ht="13.8">
      <c r="C135" s="77" t="str">
        <f t="shared" si="18"/>
        <v>Nightsave Small</v>
      </c>
      <c r="D135" s="77" t="s">
        <v>72</v>
      </c>
      <c r="E135" s="77" t="s">
        <v>70</v>
      </c>
      <c r="F135" s="77" t="s">
        <v>64</v>
      </c>
      <c r="G135" s="77" t="str">
        <f t="shared" si="16"/>
        <v>Nightsave Small_Non-Local Authority_[&gt; 900km]_≥ 66kV &amp; ≤ 132kV</v>
      </c>
      <c r="H135" s="77" t="str">
        <f t="shared" si="17"/>
        <v>NS33N</v>
      </c>
      <c r="I135" s="85" t="s">
        <v>118</v>
      </c>
      <c r="J135" s="85" t="s">
        <v>118</v>
      </c>
      <c r="K135" s="85" t="s">
        <v>118</v>
      </c>
      <c r="L135" s="85" t="s">
        <v>118</v>
      </c>
      <c r="M135" s="85" t="s">
        <v>118</v>
      </c>
      <c r="N135" s="85" t="s">
        <v>118</v>
      </c>
      <c r="O135" s="106">
        <v>156.84</v>
      </c>
      <c r="P135" s="106">
        <v>150.65</v>
      </c>
      <c r="Q135" s="106">
        <v>292.56</v>
      </c>
      <c r="R135" s="106">
        <v>68.44</v>
      </c>
      <c r="S135" s="106">
        <v>9.6300000000000008</v>
      </c>
      <c r="T135" s="106" t="s">
        <v>118</v>
      </c>
      <c r="U135" s="106">
        <v>6.12</v>
      </c>
      <c r="V135" s="85" t="s">
        <v>118</v>
      </c>
    </row>
    <row r="136" spans="2:22" s="77" customFormat="1" ht="14.4" thickBot="1">
      <c r="C136" s="77" t="str">
        <f t="shared" si="18"/>
        <v>Nightsave Small</v>
      </c>
      <c r="D136" s="77" t="s">
        <v>72</v>
      </c>
      <c r="E136" s="77" t="s">
        <v>70</v>
      </c>
      <c r="F136" s="77" t="s">
        <v>65</v>
      </c>
      <c r="G136" s="77" t="str">
        <f t="shared" si="16"/>
        <v>Nightsave Small_Non-Local Authority_[&gt; 900km]_&gt; 132kV</v>
      </c>
      <c r="H136" s="77" t="str">
        <f t="shared" si="17"/>
        <v>NS34N</v>
      </c>
      <c r="I136" s="85" t="s">
        <v>118</v>
      </c>
      <c r="J136" s="85" t="s">
        <v>118</v>
      </c>
      <c r="K136" s="85" t="s">
        <v>118</v>
      </c>
      <c r="L136" s="85" t="s">
        <v>118</v>
      </c>
      <c r="M136" s="85" t="s">
        <v>118</v>
      </c>
      <c r="N136" s="85" t="s">
        <v>118</v>
      </c>
      <c r="O136" s="106">
        <v>146.25</v>
      </c>
      <c r="P136" s="106">
        <v>140.49</v>
      </c>
      <c r="Q136" s="106">
        <v>272.81</v>
      </c>
      <c r="R136" s="106">
        <v>63.82</v>
      </c>
      <c r="S136" s="106">
        <v>16.829999999999998</v>
      </c>
      <c r="T136" s="106" t="s">
        <v>118</v>
      </c>
      <c r="U136" s="106">
        <v>7.02</v>
      </c>
      <c r="V136" s="85" t="s">
        <v>118</v>
      </c>
    </row>
    <row r="137" spans="2:22" s="77" customFormat="1" ht="13.8">
      <c r="B137" s="239" t="s">
        <v>465</v>
      </c>
      <c r="C137" s="77" t="str">
        <f t="shared" si="18"/>
        <v>Nightsave Small</v>
      </c>
      <c r="D137" s="77" t="s">
        <v>71</v>
      </c>
      <c r="E137" s="77" t="str">
        <f t="shared" ref="E137:F152" si="19">E121</f>
        <v>[0 - 300km]</v>
      </c>
      <c r="F137" s="77" t="str">
        <f t="shared" si="19"/>
        <v>&lt; 500V</v>
      </c>
      <c r="G137" s="77" t="str">
        <f t="shared" si="16"/>
        <v>Nightsave Small_Local Authority_[0 - 300km]_&lt; 500V</v>
      </c>
      <c r="H137" s="77" t="str">
        <f t="shared" si="17"/>
        <v>NS01Y</v>
      </c>
      <c r="I137" s="309">
        <v>0</v>
      </c>
      <c r="J137" s="309">
        <v>0</v>
      </c>
      <c r="K137" s="309">
        <v>0</v>
      </c>
      <c r="L137" s="309">
        <v>0</v>
      </c>
      <c r="M137" s="309">
        <v>0</v>
      </c>
      <c r="N137" s="309">
        <v>0</v>
      </c>
      <c r="O137" s="106">
        <v>697.46</v>
      </c>
      <c r="P137" s="106">
        <v>289.5</v>
      </c>
      <c r="Q137" s="106">
        <v>0</v>
      </c>
      <c r="R137" s="106">
        <v>0</v>
      </c>
      <c r="S137" s="106">
        <v>10.85</v>
      </c>
      <c r="T137" s="106">
        <v>0</v>
      </c>
      <c r="U137" s="106">
        <v>0</v>
      </c>
      <c r="V137" s="307">
        <v>0</v>
      </c>
    </row>
    <row r="138" spans="2:22" s="77" customFormat="1" ht="13.8">
      <c r="B138" s="77" t="s">
        <v>465</v>
      </c>
      <c r="C138" s="77" t="str">
        <f t="shared" si="18"/>
        <v>Nightsave Small</v>
      </c>
      <c r="D138" s="77" t="s">
        <v>71</v>
      </c>
      <c r="E138" s="77" t="str">
        <f t="shared" si="19"/>
        <v>[0 - 300km]</v>
      </c>
      <c r="F138" s="77" t="str">
        <f t="shared" si="19"/>
        <v>≥ 500V &amp; &lt; 66kV</v>
      </c>
      <c r="G138" s="77" t="str">
        <f t="shared" si="16"/>
        <v>Nightsave Small_Local Authority_[0 - 300km]_≥ 500V &amp; &lt; 66kV</v>
      </c>
      <c r="H138" s="77" t="str">
        <f t="shared" si="17"/>
        <v>NS02Y</v>
      </c>
      <c r="I138" s="309">
        <v>0</v>
      </c>
      <c r="J138" s="309">
        <v>0</v>
      </c>
      <c r="K138" s="309">
        <v>0</v>
      </c>
      <c r="L138" s="309">
        <v>0</v>
      </c>
      <c r="M138" s="309">
        <v>0</v>
      </c>
      <c r="N138" s="309">
        <v>0</v>
      </c>
      <c r="O138" s="106">
        <v>677.39</v>
      </c>
      <c r="P138" s="106">
        <v>281.12</v>
      </c>
      <c r="Q138" s="106">
        <v>0</v>
      </c>
      <c r="R138" s="106">
        <v>0</v>
      </c>
      <c r="S138" s="106">
        <v>10.41</v>
      </c>
      <c r="T138" s="106">
        <v>0</v>
      </c>
      <c r="U138" s="106">
        <v>0</v>
      </c>
      <c r="V138" s="307">
        <v>0</v>
      </c>
    </row>
    <row r="139" spans="2:22" s="77" customFormat="1" ht="13.8">
      <c r="B139" s="77" t="s">
        <v>465</v>
      </c>
      <c r="C139" s="77" t="str">
        <f t="shared" si="18"/>
        <v>Nightsave Small</v>
      </c>
      <c r="D139" s="77" t="s">
        <v>71</v>
      </c>
      <c r="E139" s="77" t="str">
        <f t="shared" si="19"/>
        <v>[0 - 300km]</v>
      </c>
      <c r="F139" s="77" t="str">
        <f t="shared" si="19"/>
        <v>≥ 66kV &amp; ≤ 132kV</v>
      </c>
      <c r="G139" s="77" t="str">
        <f t="shared" si="16"/>
        <v>Nightsave Small_Local Authority_[0 - 300km]_≥ 66kV &amp; ≤ 132kV</v>
      </c>
      <c r="H139" s="77" t="str">
        <f t="shared" si="17"/>
        <v>NS03Y</v>
      </c>
      <c r="I139" s="309">
        <v>0</v>
      </c>
      <c r="J139" s="309">
        <v>0</v>
      </c>
      <c r="K139" s="309">
        <v>0</v>
      </c>
      <c r="L139" s="309">
        <v>0</v>
      </c>
      <c r="M139" s="309">
        <v>0</v>
      </c>
      <c r="N139" s="309">
        <v>0</v>
      </c>
      <c r="O139" s="106">
        <v>628.57000000000005</v>
      </c>
      <c r="P139" s="106">
        <v>260.87</v>
      </c>
      <c r="Q139" s="106">
        <v>0</v>
      </c>
      <c r="R139" s="106">
        <v>0</v>
      </c>
      <c r="S139" s="106">
        <v>9.5</v>
      </c>
      <c r="T139" s="106">
        <v>0</v>
      </c>
      <c r="U139" s="106">
        <v>0</v>
      </c>
      <c r="V139" s="307">
        <v>0</v>
      </c>
    </row>
    <row r="140" spans="2:22" s="77" customFormat="1" ht="13.8">
      <c r="B140" s="77" t="s">
        <v>465</v>
      </c>
      <c r="C140" s="77" t="str">
        <f t="shared" si="18"/>
        <v>Nightsave Small</v>
      </c>
      <c r="D140" s="77" t="s">
        <v>71</v>
      </c>
      <c r="E140" s="77" t="str">
        <f t="shared" si="19"/>
        <v>[0 - 300km]</v>
      </c>
      <c r="F140" s="77" t="str">
        <f t="shared" si="19"/>
        <v>&gt; 132kV</v>
      </c>
      <c r="G140" s="77" t="str">
        <f t="shared" si="16"/>
        <v>Nightsave Small_Local Authority_[0 - 300km]_&gt; 132kV</v>
      </c>
      <c r="H140" s="77" t="str">
        <f t="shared" si="17"/>
        <v>NS04Y</v>
      </c>
      <c r="I140" s="309">
        <v>0</v>
      </c>
      <c r="J140" s="309">
        <v>0</v>
      </c>
      <c r="K140" s="309">
        <v>0</v>
      </c>
      <c r="L140" s="309">
        <v>0</v>
      </c>
      <c r="M140" s="309">
        <v>0</v>
      </c>
      <c r="N140" s="309">
        <v>0</v>
      </c>
      <c r="O140" s="106">
        <v>586.13</v>
      </c>
      <c r="P140" s="106">
        <v>243.26</v>
      </c>
      <c r="Q140" s="106">
        <v>0</v>
      </c>
      <c r="R140" s="106">
        <v>0</v>
      </c>
      <c r="S140" s="106">
        <v>16.59</v>
      </c>
      <c r="T140" s="106">
        <v>0</v>
      </c>
      <c r="U140" s="106">
        <v>0</v>
      </c>
      <c r="V140" s="307">
        <v>0</v>
      </c>
    </row>
    <row r="141" spans="2:22" s="77" customFormat="1" ht="13.8">
      <c r="B141" s="77" t="s">
        <v>465</v>
      </c>
      <c r="C141" s="77" t="str">
        <f t="shared" si="18"/>
        <v>Nightsave Small</v>
      </c>
      <c r="D141" s="77" t="s">
        <v>71</v>
      </c>
      <c r="E141" s="77" t="str">
        <f t="shared" si="19"/>
        <v>[301 - 600km]</v>
      </c>
      <c r="F141" s="77" t="str">
        <f t="shared" si="19"/>
        <v>&lt; 500V</v>
      </c>
      <c r="G141" s="77" t="str">
        <f t="shared" si="16"/>
        <v>Nightsave Small_Local Authority_[301 - 600km]_&lt; 500V</v>
      </c>
      <c r="H141" s="77" t="str">
        <f t="shared" si="17"/>
        <v>NS11Y</v>
      </c>
      <c r="I141" s="309">
        <v>0</v>
      </c>
      <c r="J141" s="309">
        <v>0</v>
      </c>
      <c r="K141" s="309">
        <v>0</v>
      </c>
      <c r="L141" s="309">
        <v>0</v>
      </c>
      <c r="M141" s="309">
        <v>0</v>
      </c>
      <c r="N141" s="309">
        <v>0</v>
      </c>
      <c r="O141" s="106">
        <v>706.96</v>
      </c>
      <c r="P141" s="106">
        <v>293.41000000000003</v>
      </c>
      <c r="Q141" s="106">
        <v>0</v>
      </c>
      <c r="R141" s="106">
        <v>0</v>
      </c>
      <c r="S141" s="106">
        <v>11.01</v>
      </c>
      <c r="T141" s="106">
        <v>0</v>
      </c>
      <c r="U141" s="106">
        <v>0</v>
      </c>
      <c r="V141" s="307">
        <v>0</v>
      </c>
    </row>
    <row r="142" spans="2:22" s="77" customFormat="1" ht="13.8">
      <c r="B142" s="77" t="s">
        <v>465</v>
      </c>
      <c r="C142" s="77" t="str">
        <f t="shared" si="18"/>
        <v>Nightsave Small</v>
      </c>
      <c r="D142" s="77" t="s">
        <v>71</v>
      </c>
      <c r="E142" s="77" t="str">
        <f t="shared" si="19"/>
        <v>[301 - 600km]</v>
      </c>
      <c r="F142" s="77" t="str">
        <f t="shared" si="19"/>
        <v>≥ 500V &amp; &lt; 66kV</v>
      </c>
      <c r="G142" s="77" t="str">
        <f t="shared" si="16"/>
        <v>Nightsave Small_Local Authority_[301 - 600km]_≥ 500V &amp; &lt; 66kV</v>
      </c>
      <c r="H142" s="77" t="str">
        <f t="shared" si="17"/>
        <v>NS12Y</v>
      </c>
      <c r="I142" s="309">
        <v>0</v>
      </c>
      <c r="J142" s="309">
        <v>0</v>
      </c>
      <c r="K142" s="309">
        <v>0</v>
      </c>
      <c r="L142" s="309">
        <v>0</v>
      </c>
      <c r="M142" s="309">
        <v>0</v>
      </c>
      <c r="N142" s="309">
        <v>0</v>
      </c>
      <c r="O142" s="106">
        <v>685.15</v>
      </c>
      <c r="P142" s="106">
        <v>284.33999999999997</v>
      </c>
      <c r="Q142" s="106">
        <v>0</v>
      </c>
      <c r="R142" s="106">
        <v>0</v>
      </c>
      <c r="S142" s="106">
        <v>10.54</v>
      </c>
      <c r="T142" s="106">
        <v>0</v>
      </c>
      <c r="U142" s="106">
        <v>0</v>
      </c>
      <c r="V142" s="307">
        <v>0</v>
      </c>
    </row>
    <row r="143" spans="2:22" s="77" customFormat="1" ht="13.8">
      <c r="B143" s="77" t="s">
        <v>465</v>
      </c>
      <c r="C143" s="77" t="str">
        <f t="shared" si="18"/>
        <v>Nightsave Small</v>
      </c>
      <c r="D143" s="77" t="s">
        <v>71</v>
      </c>
      <c r="E143" s="77" t="str">
        <f t="shared" si="19"/>
        <v>[301 - 600km]</v>
      </c>
      <c r="F143" s="77" t="str">
        <f t="shared" si="19"/>
        <v>≥ 66kV &amp; ≤ 132kV</v>
      </c>
      <c r="G143" s="77" t="str">
        <f t="shared" si="16"/>
        <v>Nightsave Small_Local Authority_[301 - 600km]_≥ 66kV &amp; ≤ 132kV</v>
      </c>
      <c r="H143" s="77" t="str">
        <f t="shared" si="17"/>
        <v>NS13Y</v>
      </c>
      <c r="I143" s="309">
        <v>0</v>
      </c>
      <c r="J143" s="309">
        <v>0</v>
      </c>
      <c r="K143" s="309">
        <v>0</v>
      </c>
      <c r="L143" s="309">
        <v>0</v>
      </c>
      <c r="M143" s="309">
        <v>0</v>
      </c>
      <c r="N143" s="309">
        <v>0</v>
      </c>
      <c r="O143" s="106">
        <v>634.86</v>
      </c>
      <c r="P143" s="106">
        <v>263.47000000000003</v>
      </c>
      <c r="Q143" s="106">
        <v>0</v>
      </c>
      <c r="R143" s="106">
        <v>0</v>
      </c>
      <c r="S143" s="106">
        <v>9.6</v>
      </c>
      <c r="T143" s="106">
        <v>0</v>
      </c>
      <c r="U143" s="106">
        <v>0</v>
      </c>
      <c r="V143" s="307">
        <v>0</v>
      </c>
    </row>
    <row r="144" spans="2:22" s="77" customFormat="1" ht="13.8">
      <c r="B144" s="77" t="s">
        <v>465</v>
      </c>
      <c r="C144" s="77" t="str">
        <f t="shared" si="18"/>
        <v>Nightsave Small</v>
      </c>
      <c r="D144" s="77" t="s">
        <v>71</v>
      </c>
      <c r="E144" s="77" t="str">
        <f t="shared" si="19"/>
        <v>[301 - 600km]</v>
      </c>
      <c r="F144" s="77" t="str">
        <f t="shared" si="19"/>
        <v>&gt; 132kV</v>
      </c>
      <c r="G144" s="77" t="str">
        <f t="shared" si="16"/>
        <v>Nightsave Small_Local Authority_[301 - 600km]_&gt; 132kV</v>
      </c>
      <c r="H144" s="77" t="str">
        <f t="shared" si="17"/>
        <v>NS14Y</v>
      </c>
      <c r="I144" s="309">
        <v>0</v>
      </c>
      <c r="J144" s="309">
        <v>0</v>
      </c>
      <c r="K144" s="309">
        <v>0</v>
      </c>
      <c r="L144" s="309">
        <v>0</v>
      </c>
      <c r="M144" s="309">
        <v>0</v>
      </c>
      <c r="N144" s="309">
        <v>0</v>
      </c>
      <c r="O144" s="106">
        <v>592</v>
      </c>
      <c r="P144" s="106">
        <v>245.68</v>
      </c>
      <c r="Q144" s="106">
        <v>0</v>
      </c>
      <c r="R144" s="106">
        <v>0</v>
      </c>
      <c r="S144" s="106">
        <v>16.760000000000002</v>
      </c>
      <c r="T144" s="106">
        <v>0</v>
      </c>
      <c r="U144" s="106">
        <v>0</v>
      </c>
      <c r="V144" s="307">
        <v>0</v>
      </c>
    </row>
    <row r="145" spans="2:22" s="77" customFormat="1" ht="13.8">
      <c r="B145" s="77" t="s">
        <v>465</v>
      </c>
      <c r="C145" s="77" t="str">
        <f t="shared" si="18"/>
        <v>Nightsave Small</v>
      </c>
      <c r="D145" s="77" t="s">
        <v>71</v>
      </c>
      <c r="E145" s="77" t="str">
        <f t="shared" si="19"/>
        <v>[601 - 900km]</v>
      </c>
      <c r="F145" s="77" t="str">
        <f t="shared" si="19"/>
        <v>&lt; 500V</v>
      </c>
      <c r="G145" s="77" t="str">
        <f t="shared" si="16"/>
        <v>Nightsave Small_Local Authority_[601 - 900km]_&lt; 500V</v>
      </c>
      <c r="H145" s="77" t="str">
        <f t="shared" si="17"/>
        <v>NS21Y</v>
      </c>
      <c r="I145" s="309">
        <v>0</v>
      </c>
      <c r="J145" s="309">
        <v>0</v>
      </c>
      <c r="K145" s="309">
        <v>0</v>
      </c>
      <c r="L145" s="309">
        <v>0</v>
      </c>
      <c r="M145" s="309">
        <v>0</v>
      </c>
      <c r="N145" s="309">
        <v>0</v>
      </c>
      <c r="O145" s="106">
        <v>713.61</v>
      </c>
      <c r="P145" s="106">
        <v>296.2</v>
      </c>
      <c r="Q145" s="106">
        <v>0</v>
      </c>
      <c r="R145" s="106">
        <v>0</v>
      </c>
      <c r="S145" s="106">
        <v>11.13</v>
      </c>
      <c r="T145" s="106">
        <v>0</v>
      </c>
      <c r="U145" s="106">
        <v>0</v>
      </c>
      <c r="V145" s="307">
        <v>0</v>
      </c>
    </row>
    <row r="146" spans="2:22" s="77" customFormat="1" ht="13.8">
      <c r="B146" s="77" t="s">
        <v>465</v>
      </c>
      <c r="C146" s="77" t="str">
        <f t="shared" si="18"/>
        <v>Nightsave Small</v>
      </c>
      <c r="D146" s="77" t="s">
        <v>71</v>
      </c>
      <c r="E146" s="77" t="str">
        <f t="shared" si="19"/>
        <v>[601 - 900km]</v>
      </c>
      <c r="F146" s="77" t="str">
        <f t="shared" si="19"/>
        <v>≥ 500V &amp; &lt; 66kV</v>
      </c>
      <c r="G146" s="77" t="str">
        <f t="shared" si="16"/>
        <v>Nightsave Small_Local Authority_[601 - 900km]_≥ 500V &amp; &lt; 66kV</v>
      </c>
      <c r="H146" s="77" t="str">
        <f t="shared" si="17"/>
        <v>NS22Y</v>
      </c>
      <c r="I146" s="309">
        <v>0</v>
      </c>
      <c r="J146" s="309">
        <v>0</v>
      </c>
      <c r="K146" s="309">
        <v>0</v>
      </c>
      <c r="L146" s="309">
        <v>0</v>
      </c>
      <c r="M146" s="309">
        <v>0</v>
      </c>
      <c r="N146" s="309">
        <v>0</v>
      </c>
      <c r="O146" s="106">
        <v>692.19</v>
      </c>
      <c r="P146" s="106">
        <v>287.27999999999997</v>
      </c>
      <c r="Q146" s="106">
        <v>0</v>
      </c>
      <c r="R146" s="106">
        <v>0</v>
      </c>
      <c r="S146" s="106">
        <v>10.65</v>
      </c>
      <c r="T146" s="106">
        <v>0</v>
      </c>
      <c r="U146" s="106">
        <v>0</v>
      </c>
      <c r="V146" s="307">
        <v>0</v>
      </c>
    </row>
    <row r="147" spans="2:22" s="77" customFormat="1" ht="13.8">
      <c r="B147" s="77" t="s">
        <v>465</v>
      </c>
      <c r="C147" s="77" t="str">
        <f t="shared" si="18"/>
        <v>Nightsave Small</v>
      </c>
      <c r="D147" s="77" t="s">
        <v>71</v>
      </c>
      <c r="E147" s="77" t="str">
        <f t="shared" si="19"/>
        <v>[601 - 900km]</v>
      </c>
      <c r="F147" s="77" t="str">
        <f t="shared" si="19"/>
        <v>≥ 66kV &amp; ≤ 132kV</v>
      </c>
      <c r="G147" s="77" t="str">
        <f t="shared" si="16"/>
        <v>Nightsave Small_Local Authority_[601 - 900km]_≥ 66kV &amp; ≤ 132kV</v>
      </c>
      <c r="H147" s="77" t="str">
        <f t="shared" si="17"/>
        <v>NS23Y</v>
      </c>
      <c r="I147" s="309">
        <v>0</v>
      </c>
      <c r="J147" s="309">
        <v>0</v>
      </c>
      <c r="K147" s="309">
        <v>0</v>
      </c>
      <c r="L147" s="309">
        <v>0</v>
      </c>
      <c r="M147" s="309">
        <v>0</v>
      </c>
      <c r="N147" s="309">
        <v>0</v>
      </c>
      <c r="O147" s="106">
        <v>641.14</v>
      </c>
      <c r="P147" s="106">
        <v>266.08999999999997</v>
      </c>
      <c r="Q147" s="106">
        <v>0</v>
      </c>
      <c r="R147" s="106">
        <v>0</v>
      </c>
      <c r="S147" s="106">
        <v>9.68</v>
      </c>
      <c r="T147" s="106">
        <v>0</v>
      </c>
      <c r="U147" s="106">
        <v>0</v>
      </c>
      <c r="V147" s="307">
        <v>0</v>
      </c>
    </row>
    <row r="148" spans="2:22" s="77" customFormat="1" ht="13.8">
      <c r="B148" s="77" t="s">
        <v>465</v>
      </c>
      <c r="C148" s="77" t="str">
        <f t="shared" si="18"/>
        <v>Nightsave Small</v>
      </c>
      <c r="D148" s="77" t="s">
        <v>71</v>
      </c>
      <c r="E148" s="77" t="str">
        <f t="shared" si="19"/>
        <v>[601 - 900km]</v>
      </c>
      <c r="F148" s="77" t="str">
        <f t="shared" si="19"/>
        <v>&gt; 132kV</v>
      </c>
      <c r="G148" s="77" t="str">
        <f t="shared" si="16"/>
        <v>Nightsave Small_Local Authority_[601 - 900km]_&gt; 132kV</v>
      </c>
      <c r="H148" s="77" t="str">
        <f t="shared" si="17"/>
        <v>NS24Y</v>
      </c>
      <c r="I148" s="309">
        <v>0</v>
      </c>
      <c r="J148" s="309">
        <v>0</v>
      </c>
      <c r="K148" s="309">
        <v>0</v>
      </c>
      <c r="L148" s="309">
        <v>0</v>
      </c>
      <c r="M148" s="309">
        <v>0</v>
      </c>
      <c r="N148" s="309">
        <v>0</v>
      </c>
      <c r="O148" s="106">
        <v>597.86</v>
      </c>
      <c r="P148" s="106">
        <v>248.12</v>
      </c>
      <c r="Q148" s="106">
        <v>0</v>
      </c>
      <c r="R148" s="106">
        <v>0</v>
      </c>
      <c r="S148" s="106">
        <v>16.920000000000002</v>
      </c>
      <c r="T148" s="106">
        <v>0</v>
      </c>
      <c r="U148" s="106">
        <v>0</v>
      </c>
      <c r="V148" s="307">
        <v>0</v>
      </c>
    </row>
    <row r="149" spans="2:22" s="77" customFormat="1" ht="13.8">
      <c r="B149" s="77" t="s">
        <v>465</v>
      </c>
      <c r="C149" s="77" t="str">
        <f t="shared" si="18"/>
        <v>Nightsave Small</v>
      </c>
      <c r="D149" s="77" t="s">
        <v>71</v>
      </c>
      <c r="E149" s="77" t="str">
        <f t="shared" si="19"/>
        <v>[&gt; 900km]</v>
      </c>
      <c r="F149" s="77" t="str">
        <f t="shared" si="19"/>
        <v>&lt; 500V</v>
      </c>
      <c r="G149" s="77" t="str">
        <f t="shared" si="16"/>
        <v>Nightsave Small_Local Authority_[&gt; 900km]_&lt; 500V</v>
      </c>
      <c r="H149" s="77" t="str">
        <f t="shared" si="17"/>
        <v>NS31Y</v>
      </c>
      <c r="I149" s="309">
        <v>0</v>
      </c>
      <c r="J149" s="309">
        <v>0</v>
      </c>
      <c r="K149" s="309">
        <v>0</v>
      </c>
      <c r="L149" s="309">
        <v>0</v>
      </c>
      <c r="M149" s="309">
        <v>0</v>
      </c>
      <c r="N149" s="309">
        <v>0</v>
      </c>
      <c r="O149" s="106">
        <v>721.57</v>
      </c>
      <c r="P149" s="106">
        <v>299.44</v>
      </c>
      <c r="Q149" s="106">
        <v>0</v>
      </c>
      <c r="R149" s="106">
        <v>0</v>
      </c>
      <c r="S149" s="106">
        <v>11.23</v>
      </c>
      <c r="T149" s="106">
        <v>0</v>
      </c>
      <c r="U149" s="106">
        <v>0</v>
      </c>
      <c r="V149" s="307">
        <v>0</v>
      </c>
    </row>
    <row r="150" spans="2:22" s="77" customFormat="1" ht="13.8">
      <c r="B150" s="77" t="s">
        <v>465</v>
      </c>
      <c r="C150" s="77" t="str">
        <f t="shared" si="18"/>
        <v>Nightsave Small</v>
      </c>
      <c r="D150" s="77" t="s">
        <v>71</v>
      </c>
      <c r="E150" s="77" t="str">
        <f t="shared" si="19"/>
        <v>[&gt; 900km]</v>
      </c>
      <c r="F150" s="77" t="str">
        <f t="shared" si="19"/>
        <v>≥ 500V &amp; &lt; 66kV</v>
      </c>
      <c r="G150" s="77" t="str">
        <f t="shared" si="16"/>
        <v>Nightsave Small_Local Authority_[&gt; 900km]_≥ 500V &amp; &lt; 66kV</v>
      </c>
      <c r="H150" s="77" t="str">
        <f t="shared" si="17"/>
        <v>NS32Y</v>
      </c>
      <c r="I150" s="309">
        <v>0</v>
      </c>
      <c r="J150" s="309">
        <v>0</v>
      </c>
      <c r="K150" s="309">
        <v>0</v>
      </c>
      <c r="L150" s="309">
        <v>0</v>
      </c>
      <c r="M150" s="309">
        <v>0</v>
      </c>
      <c r="N150" s="309">
        <v>0</v>
      </c>
      <c r="O150" s="106">
        <v>698.76</v>
      </c>
      <c r="P150" s="106">
        <v>289.98</v>
      </c>
      <c r="Q150" s="106">
        <v>0</v>
      </c>
      <c r="R150" s="106">
        <v>0</v>
      </c>
      <c r="S150" s="106">
        <v>10.75</v>
      </c>
      <c r="T150" s="106">
        <v>0</v>
      </c>
      <c r="U150" s="106">
        <v>0</v>
      </c>
      <c r="V150" s="307">
        <v>0</v>
      </c>
    </row>
    <row r="151" spans="2:22" s="77" customFormat="1" ht="13.8">
      <c r="B151" s="77" t="s">
        <v>465</v>
      </c>
      <c r="C151" s="77" t="str">
        <f t="shared" si="18"/>
        <v>Nightsave Small</v>
      </c>
      <c r="D151" s="77" t="s">
        <v>71</v>
      </c>
      <c r="E151" s="77" t="str">
        <f t="shared" si="19"/>
        <v>[&gt; 900km]</v>
      </c>
      <c r="F151" s="77" t="str">
        <f t="shared" si="19"/>
        <v>≥ 66kV &amp; ≤ 132kV</v>
      </c>
      <c r="G151" s="77" t="str">
        <f t="shared" si="16"/>
        <v>Nightsave Small_Local Authority_[&gt; 900km]_≥ 66kV &amp; ≤ 132kV</v>
      </c>
      <c r="H151" s="77" t="str">
        <f t="shared" si="17"/>
        <v>NS33Y</v>
      </c>
      <c r="I151" s="309">
        <v>0</v>
      </c>
      <c r="J151" s="309">
        <v>0</v>
      </c>
      <c r="K151" s="309">
        <v>0</v>
      </c>
      <c r="L151" s="309">
        <v>0</v>
      </c>
      <c r="M151" s="309">
        <v>0</v>
      </c>
      <c r="N151" s="309">
        <v>0</v>
      </c>
      <c r="O151" s="106">
        <v>647.42999999999995</v>
      </c>
      <c r="P151" s="106">
        <v>268.68</v>
      </c>
      <c r="Q151" s="106">
        <v>0</v>
      </c>
      <c r="R151" s="106">
        <v>0</v>
      </c>
      <c r="S151" s="106">
        <v>9.7899999999999991</v>
      </c>
      <c r="T151" s="106">
        <v>0</v>
      </c>
      <c r="U151" s="106">
        <v>0</v>
      </c>
      <c r="V151" s="307">
        <v>0</v>
      </c>
    </row>
    <row r="152" spans="2:22" s="77" customFormat="1" ht="13.8">
      <c r="B152" s="77" t="s">
        <v>465</v>
      </c>
      <c r="C152" s="77" t="str">
        <f t="shared" si="18"/>
        <v>Nightsave Small</v>
      </c>
      <c r="D152" s="77" t="s">
        <v>71</v>
      </c>
      <c r="E152" s="77" t="str">
        <f t="shared" si="19"/>
        <v>[&gt; 900km]</v>
      </c>
      <c r="F152" s="77" t="str">
        <f t="shared" si="19"/>
        <v>&gt; 132kV</v>
      </c>
      <c r="G152" s="77" t="str">
        <f t="shared" si="16"/>
        <v>Nightsave Small_Local Authority_[&gt; 900km]_&gt; 132kV</v>
      </c>
      <c r="H152" s="77" t="str">
        <f t="shared" si="17"/>
        <v>NS34Y</v>
      </c>
      <c r="I152" s="309">
        <v>0</v>
      </c>
      <c r="J152" s="309">
        <v>0</v>
      </c>
      <c r="K152" s="309">
        <v>0</v>
      </c>
      <c r="L152" s="309">
        <v>0</v>
      </c>
      <c r="M152" s="309">
        <v>0</v>
      </c>
      <c r="N152" s="309">
        <v>0</v>
      </c>
      <c r="O152" s="106">
        <v>603.72</v>
      </c>
      <c r="P152" s="106">
        <v>250.55</v>
      </c>
      <c r="Q152" s="106">
        <v>0</v>
      </c>
      <c r="R152" s="106">
        <v>0</v>
      </c>
      <c r="S152" s="106">
        <v>17.100000000000001</v>
      </c>
      <c r="T152" s="106">
        <v>0</v>
      </c>
      <c r="U152" s="106">
        <v>0</v>
      </c>
      <c r="V152" s="307">
        <v>0</v>
      </c>
    </row>
    <row r="153" spans="2:22" s="77" customFormat="1" ht="13.8"/>
    <row r="154" spans="2:22" s="77" customFormat="1" ht="13.8">
      <c r="C154" s="77" t="s">
        <v>624</v>
      </c>
      <c r="D154" s="77" t="s">
        <v>72</v>
      </c>
      <c r="E154" s="77" t="s">
        <v>67</v>
      </c>
      <c r="F154" s="77" t="s">
        <v>62</v>
      </c>
      <c r="G154" s="77" t="str">
        <f t="shared" ref="G154:G185" si="20">C154&amp;"_"&amp;D154&amp;"_"&amp;E154&amp;"_"&amp;F154</f>
        <v>Nightsave Urban_Non-Local Authority_[0 - 300km]_&lt; 500V</v>
      </c>
      <c r="H154" s="77" t="str">
        <f t="shared" ref="H154:H185" si="21">INDEX(Matrix_Tariff_Map,MATCH(C154,Matrix_Model_Tariffs,0),2)&amp;INDEX(Matrix_Transmission_Map,MATCH(E154,Matrix_Model_Transmission,0),2)&amp;INDEX(Matrix_Voltage_Map,MATCH(F154,Matrix_Model_Voltage,0),2)&amp;INDEX(Matrix_Category_Map,MATCH(D154,Matrix_Model_Category,0),2)</f>
        <v>NL01N</v>
      </c>
      <c r="I154" s="85" t="s">
        <v>118</v>
      </c>
      <c r="J154" s="85" t="s">
        <v>118</v>
      </c>
      <c r="K154" s="85" t="s">
        <v>118</v>
      </c>
      <c r="L154" s="85" t="s">
        <v>118</v>
      </c>
      <c r="M154" s="85" t="s">
        <v>118</v>
      </c>
      <c r="N154" s="85" t="s">
        <v>118</v>
      </c>
      <c r="O154" s="106">
        <v>168.44</v>
      </c>
      <c r="P154" s="106">
        <v>161.80000000000001</v>
      </c>
      <c r="Q154" s="106">
        <v>314.20999999999998</v>
      </c>
      <c r="R154" s="106">
        <v>73.510000000000005</v>
      </c>
      <c r="S154" s="106">
        <v>10.63</v>
      </c>
      <c r="T154" s="106" t="s">
        <v>118</v>
      </c>
      <c r="U154" s="106">
        <v>3.49</v>
      </c>
      <c r="V154" s="85">
        <v>22.78</v>
      </c>
    </row>
    <row r="155" spans="2:22" s="77" customFormat="1" ht="13.8">
      <c r="C155" s="77" t="str">
        <f>C154</f>
        <v>Nightsave Urban</v>
      </c>
      <c r="D155" s="77" t="s">
        <v>72</v>
      </c>
      <c r="E155" s="77" t="s">
        <v>67</v>
      </c>
      <c r="F155" s="77" t="s">
        <v>63</v>
      </c>
      <c r="G155" s="77" t="str">
        <f t="shared" si="20"/>
        <v>Nightsave Urban_Non-Local Authority_[0 - 300km]_≥ 500V &amp; &lt; 66kV</v>
      </c>
      <c r="H155" s="77" t="str">
        <f t="shared" si="21"/>
        <v>NL02N</v>
      </c>
      <c r="I155" s="85" t="s">
        <v>118</v>
      </c>
      <c r="J155" s="85" t="s">
        <v>118</v>
      </c>
      <c r="K155" s="85" t="s">
        <v>118</v>
      </c>
      <c r="L155" s="85" t="s">
        <v>118</v>
      </c>
      <c r="M155" s="85" t="s">
        <v>118</v>
      </c>
      <c r="N155" s="85" t="s">
        <v>118</v>
      </c>
      <c r="O155" s="106">
        <v>164.09</v>
      </c>
      <c r="P155" s="106">
        <v>157.62</v>
      </c>
      <c r="Q155" s="106">
        <v>306.10000000000002</v>
      </c>
      <c r="R155" s="106">
        <v>71.61</v>
      </c>
      <c r="S155" s="106">
        <v>10.25</v>
      </c>
      <c r="T155" s="106" t="s">
        <v>118</v>
      </c>
      <c r="U155" s="106">
        <v>8.09</v>
      </c>
      <c r="V155" s="85">
        <v>22.2</v>
      </c>
    </row>
    <row r="156" spans="2:22" s="77" customFormat="1" ht="13.8">
      <c r="C156" s="77" t="str">
        <f t="shared" ref="C156:C185" si="22">C155</f>
        <v>Nightsave Urban</v>
      </c>
      <c r="D156" s="77" t="s">
        <v>72</v>
      </c>
      <c r="E156" s="77" t="s">
        <v>67</v>
      </c>
      <c r="F156" s="77" t="s">
        <v>64</v>
      </c>
      <c r="G156" s="77" t="str">
        <f t="shared" si="20"/>
        <v>Nightsave Urban_Non-Local Authority_[0 - 300km]_≥ 66kV &amp; ≤ 132kV</v>
      </c>
      <c r="H156" s="77" t="str">
        <f t="shared" si="21"/>
        <v>NL03N</v>
      </c>
      <c r="I156" s="85" t="s">
        <v>118</v>
      </c>
      <c r="J156" s="85" t="s">
        <v>118</v>
      </c>
      <c r="K156" s="85" t="s">
        <v>118</v>
      </c>
      <c r="L156" s="85" t="s">
        <v>118</v>
      </c>
      <c r="M156" s="85" t="s">
        <v>118</v>
      </c>
      <c r="N156" s="85" t="s">
        <v>118</v>
      </c>
      <c r="O156" s="106">
        <v>152.28</v>
      </c>
      <c r="P156" s="106">
        <v>146.28</v>
      </c>
      <c r="Q156" s="106">
        <v>284.06</v>
      </c>
      <c r="R156" s="106">
        <v>66.459999999999994</v>
      </c>
      <c r="S156" s="106">
        <v>9.35</v>
      </c>
      <c r="T156" s="106" t="s">
        <v>118</v>
      </c>
      <c r="U156" s="106">
        <v>6.12</v>
      </c>
      <c r="V156" s="85">
        <v>20.6</v>
      </c>
    </row>
    <row r="157" spans="2:22" s="77" customFormat="1" ht="13.8">
      <c r="C157" s="77" t="str">
        <f t="shared" si="22"/>
        <v>Nightsave Urban</v>
      </c>
      <c r="D157" s="77" t="s">
        <v>72</v>
      </c>
      <c r="E157" s="77" t="s">
        <v>67</v>
      </c>
      <c r="F157" s="77" t="s">
        <v>65</v>
      </c>
      <c r="G157" s="77" t="str">
        <f t="shared" si="20"/>
        <v>Nightsave Urban_Non-Local Authority_[0 - 300km]_&gt; 132kV</v>
      </c>
      <c r="H157" s="77" t="str">
        <f t="shared" si="21"/>
        <v>NL04N</v>
      </c>
      <c r="I157" s="85" t="s">
        <v>118</v>
      </c>
      <c r="J157" s="85" t="s">
        <v>118</v>
      </c>
      <c r="K157" s="85" t="s">
        <v>118</v>
      </c>
      <c r="L157" s="85" t="s">
        <v>118</v>
      </c>
      <c r="M157" s="85" t="s">
        <v>118</v>
      </c>
      <c r="N157" s="85" t="s">
        <v>118</v>
      </c>
      <c r="O157" s="106">
        <v>142.01</v>
      </c>
      <c r="P157" s="106">
        <v>136.4</v>
      </c>
      <c r="Q157" s="106">
        <v>263.3</v>
      </c>
      <c r="R157" s="106">
        <v>61.6</v>
      </c>
      <c r="S157" s="106">
        <v>16.34</v>
      </c>
      <c r="T157" s="106" t="s">
        <v>118</v>
      </c>
      <c r="U157" s="106">
        <v>7.02</v>
      </c>
      <c r="V157" s="85">
        <v>19.21</v>
      </c>
    </row>
    <row r="158" spans="2:22" s="77" customFormat="1" ht="13.8">
      <c r="C158" s="77" t="str">
        <f t="shared" si="22"/>
        <v>Nightsave Urban</v>
      </c>
      <c r="D158" s="77" t="s">
        <v>72</v>
      </c>
      <c r="E158" s="77" t="s">
        <v>68</v>
      </c>
      <c r="F158" s="77" t="s">
        <v>62</v>
      </c>
      <c r="G158" s="77" t="str">
        <f t="shared" si="20"/>
        <v>Nightsave Urban_Non-Local Authority_[301 - 600km]_&lt; 500V</v>
      </c>
      <c r="H158" s="77" t="str">
        <f t="shared" si="21"/>
        <v>NL11N</v>
      </c>
      <c r="I158" s="85" t="s">
        <v>118</v>
      </c>
      <c r="J158" s="85" t="s">
        <v>118</v>
      </c>
      <c r="K158" s="85" t="s">
        <v>118</v>
      </c>
      <c r="L158" s="85" t="s">
        <v>118</v>
      </c>
      <c r="M158" s="85" t="s">
        <v>118</v>
      </c>
      <c r="N158" s="85" t="s">
        <v>118</v>
      </c>
      <c r="O158" s="106">
        <v>170.11</v>
      </c>
      <c r="P158" s="106">
        <v>163.41</v>
      </c>
      <c r="Q158" s="106">
        <v>317.33</v>
      </c>
      <c r="R158" s="106">
        <v>74.239999999999995</v>
      </c>
      <c r="S158" s="106">
        <v>10.74</v>
      </c>
      <c r="T158" s="106" t="s">
        <v>118</v>
      </c>
      <c r="U158" s="106">
        <v>3.49</v>
      </c>
      <c r="V158" s="85">
        <v>22.78</v>
      </c>
    </row>
    <row r="159" spans="2:22" s="77" customFormat="1" ht="13.8">
      <c r="C159" s="77" t="str">
        <f t="shared" si="22"/>
        <v>Nightsave Urban</v>
      </c>
      <c r="D159" s="77" t="s">
        <v>72</v>
      </c>
      <c r="E159" s="77" t="s">
        <v>68</v>
      </c>
      <c r="F159" s="77" t="s">
        <v>63</v>
      </c>
      <c r="G159" s="77" t="str">
        <f t="shared" si="20"/>
        <v>Nightsave Urban_Non-Local Authority_[301 - 600km]_≥ 500V &amp; &lt; 66kV</v>
      </c>
      <c r="H159" s="77" t="str">
        <f t="shared" si="21"/>
        <v>NL12N</v>
      </c>
      <c r="I159" s="85" t="s">
        <v>118</v>
      </c>
      <c r="J159" s="85" t="s">
        <v>118</v>
      </c>
      <c r="K159" s="85" t="s">
        <v>118</v>
      </c>
      <c r="L159" s="85" t="s">
        <v>118</v>
      </c>
      <c r="M159" s="85" t="s">
        <v>118</v>
      </c>
      <c r="N159" s="85" t="s">
        <v>118</v>
      </c>
      <c r="O159" s="106">
        <v>165.73</v>
      </c>
      <c r="P159" s="106">
        <v>159.19</v>
      </c>
      <c r="Q159" s="106">
        <v>309.14</v>
      </c>
      <c r="R159" s="106">
        <v>72.319999999999993</v>
      </c>
      <c r="S159" s="106">
        <v>10.35</v>
      </c>
      <c r="T159" s="106" t="s">
        <v>118</v>
      </c>
      <c r="U159" s="106">
        <v>8.09</v>
      </c>
      <c r="V159" s="85">
        <v>22.2</v>
      </c>
    </row>
    <row r="160" spans="2:22" s="77" customFormat="1" ht="13.8">
      <c r="C160" s="77" t="str">
        <f t="shared" si="22"/>
        <v>Nightsave Urban</v>
      </c>
      <c r="D160" s="77" t="s">
        <v>72</v>
      </c>
      <c r="E160" s="77" t="s">
        <v>68</v>
      </c>
      <c r="F160" s="77" t="s">
        <v>64</v>
      </c>
      <c r="G160" s="77" t="str">
        <f t="shared" si="20"/>
        <v>Nightsave Urban_Non-Local Authority_[301 - 600km]_≥ 66kV &amp; ≤ 132kV</v>
      </c>
      <c r="H160" s="77" t="str">
        <f t="shared" si="21"/>
        <v>NL13N</v>
      </c>
      <c r="I160" s="85" t="s">
        <v>118</v>
      </c>
      <c r="J160" s="85" t="s">
        <v>118</v>
      </c>
      <c r="K160" s="85" t="s">
        <v>118</v>
      </c>
      <c r="L160" s="85" t="s">
        <v>118</v>
      </c>
      <c r="M160" s="85" t="s">
        <v>118</v>
      </c>
      <c r="N160" s="85" t="s">
        <v>118</v>
      </c>
      <c r="O160" s="106">
        <v>153.80000000000001</v>
      </c>
      <c r="P160" s="106">
        <v>147.72999999999999</v>
      </c>
      <c r="Q160" s="106">
        <v>286.89</v>
      </c>
      <c r="R160" s="106">
        <v>67.11</v>
      </c>
      <c r="S160" s="106">
        <v>9.4499999999999993</v>
      </c>
      <c r="T160" s="106" t="s">
        <v>118</v>
      </c>
      <c r="U160" s="106">
        <v>6.12</v>
      </c>
      <c r="V160" s="85">
        <v>20.6</v>
      </c>
    </row>
    <row r="161" spans="2:22" s="77" customFormat="1" ht="13.8">
      <c r="C161" s="77" t="str">
        <f t="shared" si="22"/>
        <v>Nightsave Urban</v>
      </c>
      <c r="D161" s="77" t="s">
        <v>72</v>
      </c>
      <c r="E161" s="77" t="s">
        <v>68</v>
      </c>
      <c r="F161" s="77" t="s">
        <v>65</v>
      </c>
      <c r="G161" s="77" t="str">
        <f t="shared" si="20"/>
        <v>Nightsave Urban_Non-Local Authority_[301 - 600km]_&gt; 132kV</v>
      </c>
      <c r="H161" s="77" t="str">
        <f t="shared" si="21"/>
        <v>NL14N</v>
      </c>
      <c r="I161" s="85" t="s">
        <v>118</v>
      </c>
      <c r="J161" s="85" t="s">
        <v>118</v>
      </c>
      <c r="K161" s="85" t="s">
        <v>118</v>
      </c>
      <c r="L161" s="85" t="s">
        <v>118</v>
      </c>
      <c r="M161" s="85" t="s">
        <v>118</v>
      </c>
      <c r="N161" s="85" t="s">
        <v>118</v>
      </c>
      <c r="O161" s="106">
        <v>143.41999999999999</v>
      </c>
      <c r="P161" s="106">
        <v>137.76</v>
      </c>
      <c r="Q161" s="106">
        <v>267.52</v>
      </c>
      <c r="R161" s="106">
        <v>62.59</v>
      </c>
      <c r="S161" s="106">
        <v>16.510000000000002</v>
      </c>
      <c r="T161" s="106" t="s">
        <v>118</v>
      </c>
      <c r="U161" s="106">
        <v>7.02</v>
      </c>
      <c r="V161" s="85">
        <v>19.21</v>
      </c>
    </row>
    <row r="162" spans="2:22" s="77" customFormat="1" ht="13.8">
      <c r="C162" s="77" t="str">
        <f t="shared" si="22"/>
        <v>Nightsave Urban</v>
      </c>
      <c r="D162" s="77" t="s">
        <v>72</v>
      </c>
      <c r="E162" s="77" t="s">
        <v>69</v>
      </c>
      <c r="F162" s="77" t="s">
        <v>62</v>
      </c>
      <c r="G162" s="77" t="str">
        <f t="shared" si="20"/>
        <v>Nightsave Urban_Non-Local Authority_[601 - 900km]_&lt; 500V</v>
      </c>
      <c r="H162" s="77" t="str">
        <f t="shared" si="21"/>
        <v>NL21N</v>
      </c>
      <c r="I162" s="85" t="s">
        <v>118</v>
      </c>
      <c r="J162" s="85" t="s">
        <v>118</v>
      </c>
      <c r="K162" s="85" t="s">
        <v>118</v>
      </c>
      <c r="L162" s="85" t="s">
        <v>118</v>
      </c>
      <c r="M162" s="85" t="s">
        <v>118</v>
      </c>
      <c r="N162" s="85" t="s">
        <v>118</v>
      </c>
      <c r="O162" s="106">
        <v>171.8</v>
      </c>
      <c r="P162" s="106">
        <v>165.03</v>
      </c>
      <c r="Q162" s="106">
        <v>320.49</v>
      </c>
      <c r="R162" s="106">
        <v>74.98</v>
      </c>
      <c r="S162" s="106">
        <v>10.85</v>
      </c>
      <c r="T162" s="106" t="s">
        <v>118</v>
      </c>
      <c r="U162" s="106">
        <v>3.49</v>
      </c>
      <c r="V162" s="85">
        <v>22.78</v>
      </c>
    </row>
    <row r="163" spans="2:22" s="77" customFormat="1" ht="13.8">
      <c r="C163" s="77" t="str">
        <f t="shared" si="22"/>
        <v>Nightsave Urban</v>
      </c>
      <c r="D163" s="77" t="s">
        <v>72</v>
      </c>
      <c r="E163" s="77" t="s">
        <v>69</v>
      </c>
      <c r="F163" s="77" t="s">
        <v>63</v>
      </c>
      <c r="G163" s="77" t="str">
        <f t="shared" si="20"/>
        <v>Nightsave Urban_Non-Local Authority_[601 - 900km]_≥ 500V &amp; &lt; 66kV</v>
      </c>
      <c r="H163" s="77" t="str">
        <f t="shared" si="21"/>
        <v>NL22N</v>
      </c>
      <c r="I163" s="85" t="s">
        <v>118</v>
      </c>
      <c r="J163" s="85" t="s">
        <v>118</v>
      </c>
      <c r="K163" s="85" t="s">
        <v>118</v>
      </c>
      <c r="L163" s="85" t="s">
        <v>118</v>
      </c>
      <c r="M163" s="85" t="s">
        <v>118</v>
      </c>
      <c r="N163" s="85" t="s">
        <v>118</v>
      </c>
      <c r="O163" s="106">
        <v>167.37</v>
      </c>
      <c r="P163" s="106">
        <v>160.78</v>
      </c>
      <c r="Q163" s="106">
        <v>312.20999999999998</v>
      </c>
      <c r="R163" s="106">
        <v>73.040000000000006</v>
      </c>
      <c r="S163" s="106">
        <v>10.45</v>
      </c>
      <c r="T163" s="106" t="s">
        <v>118</v>
      </c>
      <c r="U163" s="106">
        <v>8.09</v>
      </c>
      <c r="V163" s="85">
        <v>22.2</v>
      </c>
    </row>
    <row r="164" spans="2:22" s="77" customFormat="1" ht="13.8">
      <c r="C164" s="77" t="str">
        <f t="shared" si="22"/>
        <v>Nightsave Urban</v>
      </c>
      <c r="D164" s="77" t="s">
        <v>72</v>
      </c>
      <c r="E164" s="77" t="s">
        <v>69</v>
      </c>
      <c r="F164" s="77" t="s">
        <v>64</v>
      </c>
      <c r="G164" s="77" t="str">
        <f t="shared" si="20"/>
        <v>Nightsave Urban_Non-Local Authority_[601 - 900km]_≥ 66kV &amp; ≤ 132kV</v>
      </c>
      <c r="H164" s="77" t="str">
        <f t="shared" si="21"/>
        <v>NL23N</v>
      </c>
      <c r="I164" s="85" t="s">
        <v>118</v>
      </c>
      <c r="J164" s="85" t="s">
        <v>118</v>
      </c>
      <c r="K164" s="85" t="s">
        <v>118</v>
      </c>
      <c r="L164" s="85" t="s">
        <v>118</v>
      </c>
      <c r="M164" s="85" t="s">
        <v>118</v>
      </c>
      <c r="N164" s="85" t="s">
        <v>118</v>
      </c>
      <c r="O164" s="106">
        <v>155.32</v>
      </c>
      <c r="P164" s="106">
        <v>149.19999999999999</v>
      </c>
      <c r="Q164" s="106">
        <v>289.74</v>
      </c>
      <c r="R164" s="106">
        <v>67.790000000000006</v>
      </c>
      <c r="S164" s="106">
        <v>9.5399999999999991</v>
      </c>
      <c r="T164" s="106" t="s">
        <v>118</v>
      </c>
      <c r="U164" s="106">
        <v>6.12</v>
      </c>
      <c r="V164" s="85">
        <v>20.6</v>
      </c>
    </row>
    <row r="165" spans="2:22" s="77" customFormat="1" ht="13.8">
      <c r="C165" s="77" t="str">
        <f t="shared" si="22"/>
        <v>Nightsave Urban</v>
      </c>
      <c r="D165" s="77" t="s">
        <v>72</v>
      </c>
      <c r="E165" s="77" t="s">
        <v>69</v>
      </c>
      <c r="F165" s="77" t="s">
        <v>65</v>
      </c>
      <c r="G165" s="77" t="str">
        <f t="shared" si="20"/>
        <v>Nightsave Urban_Non-Local Authority_[601 - 900km]_&gt; 132kV</v>
      </c>
      <c r="H165" s="77" t="str">
        <f t="shared" si="21"/>
        <v>NL24N</v>
      </c>
      <c r="I165" s="85" t="s">
        <v>118</v>
      </c>
      <c r="J165" s="85" t="s">
        <v>118</v>
      </c>
      <c r="K165" s="85" t="s">
        <v>118</v>
      </c>
      <c r="L165" s="85" t="s">
        <v>118</v>
      </c>
      <c r="M165" s="85" t="s">
        <v>118</v>
      </c>
      <c r="N165" s="85" t="s">
        <v>118</v>
      </c>
      <c r="O165" s="106">
        <v>144.84</v>
      </c>
      <c r="P165" s="106">
        <v>139.12</v>
      </c>
      <c r="Q165" s="106">
        <v>270.18</v>
      </c>
      <c r="R165" s="106">
        <v>63.21</v>
      </c>
      <c r="S165" s="106">
        <v>16.66</v>
      </c>
      <c r="T165" s="106" t="s">
        <v>118</v>
      </c>
      <c r="U165" s="106">
        <v>7.02</v>
      </c>
      <c r="V165" s="85">
        <v>19.21</v>
      </c>
    </row>
    <row r="166" spans="2:22" s="77" customFormat="1" ht="13.8">
      <c r="C166" s="77" t="str">
        <f t="shared" si="22"/>
        <v>Nightsave Urban</v>
      </c>
      <c r="D166" s="77" t="s">
        <v>72</v>
      </c>
      <c r="E166" s="77" t="s">
        <v>70</v>
      </c>
      <c r="F166" s="77" t="s">
        <v>62</v>
      </c>
      <c r="G166" s="77" t="str">
        <f t="shared" si="20"/>
        <v>Nightsave Urban_Non-Local Authority_[&gt; 900km]_&lt; 500V</v>
      </c>
      <c r="H166" s="77" t="str">
        <f t="shared" si="21"/>
        <v>NL31N</v>
      </c>
      <c r="I166" s="85" t="s">
        <v>118</v>
      </c>
      <c r="J166" s="85" t="s">
        <v>118</v>
      </c>
      <c r="K166" s="85" t="s">
        <v>118</v>
      </c>
      <c r="L166" s="85" t="s">
        <v>118</v>
      </c>
      <c r="M166" s="85" t="s">
        <v>118</v>
      </c>
      <c r="N166" s="85" t="s">
        <v>118</v>
      </c>
      <c r="O166" s="106">
        <v>173.48</v>
      </c>
      <c r="P166" s="106">
        <v>166.64</v>
      </c>
      <c r="Q166" s="106">
        <v>323.61</v>
      </c>
      <c r="R166" s="106">
        <v>75.7</v>
      </c>
      <c r="S166" s="106">
        <v>10.96</v>
      </c>
      <c r="T166" s="106" t="s">
        <v>118</v>
      </c>
      <c r="U166" s="106">
        <v>3.49</v>
      </c>
      <c r="V166" s="85">
        <v>22.78</v>
      </c>
    </row>
    <row r="167" spans="2:22" s="77" customFormat="1" ht="13.8">
      <c r="C167" s="77" t="str">
        <f t="shared" si="22"/>
        <v>Nightsave Urban</v>
      </c>
      <c r="D167" s="77" t="s">
        <v>72</v>
      </c>
      <c r="E167" s="77" t="s">
        <v>70</v>
      </c>
      <c r="F167" s="77" t="s">
        <v>63</v>
      </c>
      <c r="G167" s="77" t="str">
        <f t="shared" si="20"/>
        <v>Nightsave Urban_Non-Local Authority_[&gt; 900km]_≥ 500V &amp; &lt; 66kV</v>
      </c>
      <c r="H167" s="77" t="str">
        <f t="shared" si="21"/>
        <v>NL32N</v>
      </c>
      <c r="I167" s="85" t="s">
        <v>118</v>
      </c>
      <c r="J167" s="85" t="s">
        <v>118</v>
      </c>
      <c r="K167" s="85" t="s">
        <v>118</v>
      </c>
      <c r="L167" s="85" t="s">
        <v>118</v>
      </c>
      <c r="M167" s="85" t="s">
        <v>118</v>
      </c>
      <c r="N167" s="85" t="s">
        <v>118</v>
      </c>
      <c r="O167" s="106">
        <v>169.01</v>
      </c>
      <c r="P167" s="106">
        <v>162.35</v>
      </c>
      <c r="Q167" s="106">
        <v>315.25</v>
      </c>
      <c r="R167" s="106">
        <v>73.75</v>
      </c>
      <c r="S167" s="106">
        <v>10.55</v>
      </c>
      <c r="T167" s="106" t="s">
        <v>118</v>
      </c>
      <c r="U167" s="106">
        <v>8.09</v>
      </c>
      <c r="V167" s="85">
        <v>22.2</v>
      </c>
    </row>
    <row r="168" spans="2:22" s="77" customFormat="1" ht="13.8">
      <c r="C168" s="77" t="str">
        <f t="shared" si="22"/>
        <v>Nightsave Urban</v>
      </c>
      <c r="D168" s="77" t="s">
        <v>72</v>
      </c>
      <c r="E168" s="77" t="s">
        <v>70</v>
      </c>
      <c r="F168" s="77" t="s">
        <v>64</v>
      </c>
      <c r="G168" s="77" t="str">
        <f t="shared" si="20"/>
        <v>Nightsave Urban_Non-Local Authority_[&gt; 900km]_≥ 66kV &amp; ≤ 132kV</v>
      </c>
      <c r="H168" s="77" t="str">
        <f t="shared" si="21"/>
        <v>NL33N</v>
      </c>
      <c r="I168" s="85" t="s">
        <v>118</v>
      </c>
      <c r="J168" s="85" t="s">
        <v>118</v>
      </c>
      <c r="K168" s="85" t="s">
        <v>118</v>
      </c>
      <c r="L168" s="85" t="s">
        <v>118</v>
      </c>
      <c r="M168" s="85" t="s">
        <v>118</v>
      </c>
      <c r="N168" s="85" t="s">
        <v>118</v>
      </c>
      <c r="O168" s="106">
        <v>156.84</v>
      </c>
      <c r="P168" s="106">
        <v>150.65</v>
      </c>
      <c r="Q168" s="106">
        <v>292.56</v>
      </c>
      <c r="R168" s="106">
        <v>68.44</v>
      </c>
      <c r="S168" s="106">
        <v>9.6300000000000008</v>
      </c>
      <c r="T168" s="106" t="s">
        <v>118</v>
      </c>
      <c r="U168" s="106">
        <v>6.12</v>
      </c>
      <c r="V168" s="85">
        <v>20.6</v>
      </c>
    </row>
    <row r="169" spans="2:22" s="77" customFormat="1" ht="14.4" thickBot="1">
      <c r="C169" s="77" t="str">
        <f t="shared" si="22"/>
        <v>Nightsave Urban</v>
      </c>
      <c r="D169" s="77" t="s">
        <v>72</v>
      </c>
      <c r="E169" s="77" t="s">
        <v>70</v>
      </c>
      <c r="F169" s="77" t="s">
        <v>65</v>
      </c>
      <c r="G169" s="77" t="str">
        <f t="shared" si="20"/>
        <v>Nightsave Urban_Non-Local Authority_[&gt; 900km]_&gt; 132kV</v>
      </c>
      <c r="H169" s="77" t="str">
        <f t="shared" si="21"/>
        <v>NL34N</v>
      </c>
      <c r="I169" s="85" t="s">
        <v>118</v>
      </c>
      <c r="J169" s="85" t="s">
        <v>118</v>
      </c>
      <c r="K169" s="85" t="s">
        <v>118</v>
      </c>
      <c r="L169" s="85" t="s">
        <v>118</v>
      </c>
      <c r="M169" s="85" t="s">
        <v>118</v>
      </c>
      <c r="N169" s="85" t="s">
        <v>118</v>
      </c>
      <c r="O169" s="106">
        <v>146.25</v>
      </c>
      <c r="P169" s="106">
        <v>140.49</v>
      </c>
      <c r="Q169" s="106">
        <v>272.81</v>
      </c>
      <c r="R169" s="106">
        <v>63.82</v>
      </c>
      <c r="S169" s="106">
        <v>16.829999999999998</v>
      </c>
      <c r="T169" s="106" t="s">
        <v>118</v>
      </c>
      <c r="U169" s="106">
        <v>7.02</v>
      </c>
      <c r="V169" s="85">
        <v>19.21</v>
      </c>
    </row>
    <row r="170" spans="2:22" s="77" customFormat="1" ht="13.8">
      <c r="B170" s="239" t="s">
        <v>465</v>
      </c>
      <c r="C170" s="77" t="str">
        <f t="shared" si="22"/>
        <v>Nightsave Urban</v>
      </c>
      <c r="D170" s="77" t="s">
        <v>71</v>
      </c>
      <c r="E170" s="77" t="str">
        <f t="shared" ref="E170:F185" si="23">E154</f>
        <v>[0 - 300km]</v>
      </c>
      <c r="F170" s="77" t="str">
        <f t="shared" si="23"/>
        <v>&lt; 500V</v>
      </c>
      <c r="G170" s="77" t="str">
        <f t="shared" si="20"/>
        <v>Nightsave Urban_Local Authority_[0 - 300km]_&lt; 500V</v>
      </c>
      <c r="H170" s="77" t="str">
        <f t="shared" si="21"/>
        <v>NL01Y</v>
      </c>
      <c r="I170" s="307">
        <v>0</v>
      </c>
      <c r="J170" s="307">
        <v>0</v>
      </c>
      <c r="K170" s="307">
        <v>0</v>
      </c>
      <c r="L170" s="307">
        <v>0</v>
      </c>
      <c r="M170" s="307">
        <v>0</v>
      </c>
      <c r="N170" s="307">
        <v>0</v>
      </c>
      <c r="O170" s="106">
        <v>697.46</v>
      </c>
      <c r="P170" s="106">
        <v>289.5</v>
      </c>
      <c r="Q170" s="106">
        <v>0</v>
      </c>
      <c r="R170" s="106">
        <v>0</v>
      </c>
      <c r="S170" s="106">
        <v>10.85</v>
      </c>
      <c r="T170" s="106" t="s">
        <v>118</v>
      </c>
      <c r="U170" s="106">
        <v>0</v>
      </c>
      <c r="V170" s="106">
        <v>23.22</v>
      </c>
    </row>
    <row r="171" spans="2:22" s="77" customFormat="1" ht="13.8">
      <c r="B171" s="77" t="s">
        <v>465</v>
      </c>
      <c r="C171" s="77" t="str">
        <f t="shared" si="22"/>
        <v>Nightsave Urban</v>
      </c>
      <c r="D171" s="77" t="s">
        <v>71</v>
      </c>
      <c r="E171" s="77" t="str">
        <f t="shared" si="23"/>
        <v>[0 - 300km]</v>
      </c>
      <c r="F171" s="77" t="str">
        <f t="shared" si="23"/>
        <v>≥ 500V &amp; &lt; 66kV</v>
      </c>
      <c r="G171" s="77" t="str">
        <f t="shared" si="20"/>
        <v>Nightsave Urban_Local Authority_[0 - 300km]_≥ 500V &amp; &lt; 66kV</v>
      </c>
      <c r="H171" s="77" t="str">
        <f t="shared" si="21"/>
        <v>NL02Y</v>
      </c>
      <c r="I171" s="307">
        <v>0</v>
      </c>
      <c r="J171" s="307">
        <v>0</v>
      </c>
      <c r="K171" s="307">
        <v>0</v>
      </c>
      <c r="L171" s="307">
        <v>0</v>
      </c>
      <c r="M171" s="307">
        <v>0</v>
      </c>
      <c r="N171" s="307">
        <v>0</v>
      </c>
      <c r="O171" s="106">
        <v>677.39</v>
      </c>
      <c r="P171" s="106">
        <v>281.12</v>
      </c>
      <c r="Q171" s="106">
        <v>0</v>
      </c>
      <c r="R171" s="106">
        <v>0</v>
      </c>
      <c r="S171" s="106">
        <v>10.41</v>
      </c>
      <c r="T171" s="106" t="s">
        <v>118</v>
      </c>
      <c r="U171" s="106">
        <v>0</v>
      </c>
      <c r="V171" s="106">
        <v>22.55</v>
      </c>
    </row>
    <row r="172" spans="2:22" s="77" customFormat="1" ht="13.8">
      <c r="B172" s="77" t="s">
        <v>465</v>
      </c>
      <c r="C172" s="77" t="str">
        <f t="shared" si="22"/>
        <v>Nightsave Urban</v>
      </c>
      <c r="D172" s="77" t="s">
        <v>71</v>
      </c>
      <c r="E172" s="77" t="str">
        <f t="shared" si="23"/>
        <v>[0 - 300km]</v>
      </c>
      <c r="F172" s="77" t="str">
        <f t="shared" si="23"/>
        <v>≥ 66kV &amp; ≤ 132kV</v>
      </c>
      <c r="G172" s="77" t="str">
        <f t="shared" si="20"/>
        <v>Nightsave Urban_Local Authority_[0 - 300km]_≥ 66kV &amp; ≤ 132kV</v>
      </c>
      <c r="H172" s="77" t="str">
        <f t="shared" si="21"/>
        <v>NL03Y</v>
      </c>
      <c r="I172" s="307">
        <v>0</v>
      </c>
      <c r="J172" s="307">
        <v>0</v>
      </c>
      <c r="K172" s="307">
        <v>0</v>
      </c>
      <c r="L172" s="307">
        <v>0</v>
      </c>
      <c r="M172" s="307">
        <v>0</v>
      </c>
      <c r="N172" s="307">
        <v>0</v>
      </c>
      <c r="O172" s="106">
        <v>628.57000000000005</v>
      </c>
      <c r="P172" s="106">
        <v>260.87</v>
      </c>
      <c r="Q172" s="106">
        <v>0</v>
      </c>
      <c r="R172" s="106">
        <v>0</v>
      </c>
      <c r="S172" s="106">
        <v>9.5</v>
      </c>
      <c r="T172" s="106" t="s">
        <v>118</v>
      </c>
      <c r="U172" s="106">
        <v>0</v>
      </c>
      <c r="V172" s="106">
        <v>20.93</v>
      </c>
    </row>
    <row r="173" spans="2:22" s="77" customFormat="1" ht="13.8">
      <c r="B173" s="77" t="s">
        <v>465</v>
      </c>
      <c r="C173" s="77" t="str">
        <f t="shared" si="22"/>
        <v>Nightsave Urban</v>
      </c>
      <c r="D173" s="77" t="s">
        <v>71</v>
      </c>
      <c r="E173" s="77" t="str">
        <f t="shared" si="23"/>
        <v>[0 - 300km]</v>
      </c>
      <c r="F173" s="77" t="str">
        <f t="shared" si="23"/>
        <v>&gt; 132kV</v>
      </c>
      <c r="G173" s="77" t="str">
        <f t="shared" si="20"/>
        <v>Nightsave Urban_Local Authority_[0 - 300km]_&gt; 132kV</v>
      </c>
      <c r="H173" s="77" t="str">
        <f t="shared" si="21"/>
        <v>NL04Y</v>
      </c>
      <c r="I173" s="307">
        <v>0</v>
      </c>
      <c r="J173" s="307">
        <v>0</v>
      </c>
      <c r="K173" s="307">
        <v>0</v>
      </c>
      <c r="L173" s="307">
        <v>0</v>
      </c>
      <c r="M173" s="307">
        <v>0</v>
      </c>
      <c r="N173" s="307">
        <v>0</v>
      </c>
      <c r="O173" s="106">
        <v>586.13</v>
      </c>
      <c r="P173" s="106">
        <v>243.26</v>
      </c>
      <c r="Q173" s="106">
        <v>0</v>
      </c>
      <c r="R173" s="106">
        <v>0</v>
      </c>
      <c r="S173" s="106">
        <v>16.59</v>
      </c>
      <c r="T173" s="106" t="s">
        <v>118</v>
      </c>
      <c r="U173" s="106">
        <v>0</v>
      </c>
      <c r="V173" s="106">
        <v>19.510000000000002</v>
      </c>
    </row>
    <row r="174" spans="2:22" s="77" customFormat="1" ht="13.8">
      <c r="B174" s="77" t="s">
        <v>465</v>
      </c>
      <c r="C174" s="77" t="str">
        <f t="shared" si="22"/>
        <v>Nightsave Urban</v>
      </c>
      <c r="D174" s="77" t="s">
        <v>71</v>
      </c>
      <c r="E174" s="77" t="str">
        <f t="shared" si="23"/>
        <v>[301 - 600km]</v>
      </c>
      <c r="F174" s="77" t="str">
        <f t="shared" si="23"/>
        <v>&lt; 500V</v>
      </c>
      <c r="G174" s="77" t="str">
        <f t="shared" si="20"/>
        <v>Nightsave Urban_Local Authority_[301 - 600km]_&lt; 500V</v>
      </c>
      <c r="H174" s="77" t="str">
        <f t="shared" si="21"/>
        <v>NL11Y</v>
      </c>
      <c r="I174" s="307">
        <v>0</v>
      </c>
      <c r="J174" s="307">
        <v>0</v>
      </c>
      <c r="K174" s="307">
        <v>0</v>
      </c>
      <c r="L174" s="307">
        <v>0</v>
      </c>
      <c r="M174" s="307">
        <v>0</v>
      </c>
      <c r="N174" s="307">
        <v>0</v>
      </c>
      <c r="O174" s="106">
        <v>706.96</v>
      </c>
      <c r="P174" s="106">
        <v>293.41000000000003</v>
      </c>
      <c r="Q174" s="106">
        <v>0</v>
      </c>
      <c r="R174" s="106">
        <v>0</v>
      </c>
      <c r="S174" s="106">
        <v>11.01</v>
      </c>
      <c r="T174" s="106" t="s">
        <v>118</v>
      </c>
      <c r="U174" s="106">
        <v>0</v>
      </c>
      <c r="V174" s="106">
        <v>23.3</v>
      </c>
    </row>
    <row r="175" spans="2:22" s="77" customFormat="1" ht="13.8">
      <c r="B175" s="77" t="s">
        <v>465</v>
      </c>
      <c r="C175" s="77" t="str">
        <f t="shared" si="22"/>
        <v>Nightsave Urban</v>
      </c>
      <c r="D175" s="77" t="s">
        <v>71</v>
      </c>
      <c r="E175" s="77" t="str">
        <f t="shared" si="23"/>
        <v>[301 - 600km]</v>
      </c>
      <c r="F175" s="77" t="str">
        <f t="shared" si="23"/>
        <v>≥ 500V &amp; &lt; 66kV</v>
      </c>
      <c r="G175" s="77" t="str">
        <f t="shared" si="20"/>
        <v>Nightsave Urban_Local Authority_[301 - 600km]_≥ 500V &amp; &lt; 66kV</v>
      </c>
      <c r="H175" s="77" t="str">
        <f t="shared" si="21"/>
        <v>NL12Y</v>
      </c>
      <c r="I175" s="307">
        <v>0</v>
      </c>
      <c r="J175" s="307">
        <v>0</v>
      </c>
      <c r="K175" s="307">
        <v>0</v>
      </c>
      <c r="L175" s="307">
        <v>0</v>
      </c>
      <c r="M175" s="307">
        <v>0</v>
      </c>
      <c r="N175" s="307">
        <v>0</v>
      </c>
      <c r="O175" s="106">
        <v>685.15</v>
      </c>
      <c r="P175" s="106">
        <v>284.33999999999997</v>
      </c>
      <c r="Q175" s="106">
        <v>0</v>
      </c>
      <c r="R175" s="106">
        <v>0</v>
      </c>
      <c r="S175" s="106">
        <v>10.54</v>
      </c>
      <c r="T175" s="106" t="s">
        <v>118</v>
      </c>
      <c r="U175" s="106">
        <v>0</v>
      </c>
      <c r="V175" s="106">
        <v>22.59</v>
      </c>
    </row>
    <row r="176" spans="2:22" s="77" customFormat="1" ht="13.8">
      <c r="B176" s="77" t="s">
        <v>465</v>
      </c>
      <c r="C176" s="77" t="str">
        <f t="shared" si="22"/>
        <v>Nightsave Urban</v>
      </c>
      <c r="D176" s="77" t="s">
        <v>71</v>
      </c>
      <c r="E176" s="77" t="str">
        <f t="shared" si="23"/>
        <v>[301 - 600km]</v>
      </c>
      <c r="F176" s="77" t="str">
        <f t="shared" si="23"/>
        <v>≥ 66kV &amp; ≤ 132kV</v>
      </c>
      <c r="G176" s="77" t="str">
        <f t="shared" si="20"/>
        <v>Nightsave Urban_Local Authority_[301 - 600km]_≥ 66kV &amp; ≤ 132kV</v>
      </c>
      <c r="H176" s="77" t="str">
        <f t="shared" si="21"/>
        <v>NL13Y</v>
      </c>
      <c r="I176" s="307">
        <v>0</v>
      </c>
      <c r="J176" s="307">
        <v>0</v>
      </c>
      <c r="K176" s="307">
        <v>0</v>
      </c>
      <c r="L176" s="307">
        <v>0</v>
      </c>
      <c r="M176" s="307">
        <v>0</v>
      </c>
      <c r="N176" s="307">
        <v>0</v>
      </c>
      <c r="O176" s="106">
        <v>634.86</v>
      </c>
      <c r="P176" s="106">
        <v>263.47000000000003</v>
      </c>
      <c r="Q176" s="106">
        <v>0</v>
      </c>
      <c r="R176" s="106">
        <v>0</v>
      </c>
      <c r="S176" s="106">
        <v>9.6</v>
      </c>
      <c r="T176" s="106" t="s">
        <v>118</v>
      </c>
      <c r="U176" s="106">
        <v>0</v>
      </c>
      <c r="V176" s="106">
        <v>20.93</v>
      </c>
    </row>
    <row r="177" spans="2:22" s="77" customFormat="1" ht="13.8">
      <c r="B177" s="77" t="s">
        <v>465</v>
      </c>
      <c r="C177" s="77" t="str">
        <f t="shared" si="22"/>
        <v>Nightsave Urban</v>
      </c>
      <c r="D177" s="77" t="s">
        <v>71</v>
      </c>
      <c r="E177" s="77" t="str">
        <f t="shared" si="23"/>
        <v>[301 - 600km]</v>
      </c>
      <c r="F177" s="77" t="str">
        <f t="shared" si="23"/>
        <v>&gt; 132kV</v>
      </c>
      <c r="G177" s="77" t="str">
        <f t="shared" si="20"/>
        <v>Nightsave Urban_Local Authority_[301 - 600km]_&gt; 132kV</v>
      </c>
      <c r="H177" s="77" t="str">
        <f t="shared" si="21"/>
        <v>NL14Y</v>
      </c>
      <c r="I177" s="307">
        <v>0</v>
      </c>
      <c r="J177" s="307">
        <v>0</v>
      </c>
      <c r="K177" s="307">
        <v>0</v>
      </c>
      <c r="L177" s="307">
        <v>0</v>
      </c>
      <c r="M177" s="307">
        <v>0</v>
      </c>
      <c r="N177" s="307">
        <v>0</v>
      </c>
      <c r="O177" s="106">
        <v>592</v>
      </c>
      <c r="P177" s="106">
        <v>245.68</v>
      </c>
      <c r="Q177" s="106">
        <v>0</v>
      </c>
      <c r="R177" s="106">
        <v>0</v>
      </c>
      <c r="S177" s="106">
        <v>16.760000000000002</v>
      </c>
      <c r="T177" s="106" t="s">
        <v>118</v>
      </c>
      <c r="U177" s="106">
        <v>0</v>
      </c>
      <c r="V177" s="106">
        <v>19.510000000000002</v>
      </c>
    </row>
    <row r="178" spans="2:22" s="77" customFormat="1" ht="13.8">
      <c r="B178" s="77" t="s">
        <v>465</v>
      </c>
      <c r="C178" s="77" t="str">
        <f t="shared" si="22"/>
        <v>Nightsave Urban</v>
      </c>
      <c r="D178" s="77" t="s">
        <v>71</v>
      </c>
      <c r="E178" s="77" t="str">
        <f t="shared" si="23"/>
        <v>[601 - 900km]</v>
      </c>
      <c r="F178" s="77" t="str">
        <f t="shared" si="23"/>
        <v>&lt; 500V</v>
      </c>
      <c r="G178" s="77" t="str">
        <f t="shared" si="20"/>
        <v>Nightsave Urban_Local Authority_[601 - 900km]_&lt; 500V</v>
      </c>
      <c r="H178" s="77" t="str">
        <f t="shared" si="21"/>
        <v>NL21Y</v>
      </c>
      <c r="I178" s="307">
        <v>0</v>
      </c>
      <c r="J178" s="307">
        <v>0</v>
      </c>
      <c r="K178" s="307">
        <v>0</v>
      </c>
      <c r="L178" s="307">
        <v>0</v>
      </c>
      <c r="M178" s="307">
        <v>0</v>
      </c>
      <c r="N178" s="307">
        <v>0</v>
      </c>
      <c r="O178" s="106">
        <v>713.61</v>
      </c>
      <c r="P178" s="106">
        <v>296.2</v>
      </c>
      <c r="Q178" s="106">
        <v>0</v>
      </c>
      <c r="R178" s="106">
        <v>0</v>
      </c>
      <c r="S178" s="106">
        <v>11.13</v>
      </c>
      <c r="T178" s="106" t="s">
        <v>118</v>
      </c>
      <c r="U178" s="106">
        <v>0</v>
      </c>
      <c r="V178" s="106">
        <v>23.29</v>
      </c>
    </row>
    <row r="179" spans="2:22" s="77" customFormat="1" ht="13.8">
      <c r="B179" s="77" t="s">
        <v>465</v>
      </c>
      <c r="C179" s="77" t="str">
        <f t="shared" si="22"/>
        <v>Nightsave Urban</v>
      </c>
      <c r="D179" s="77" t="s">
        <v>71</v>
      </c>
      <c r="E179" s="77" t="str">
        <f t="shared" si="23"/>
        <v>[601 - 900km]</v>
      </c>
      <c r="F179" s="77" t="str">
        <f t="shared" si="23"/>
        <v>≥ 500V &amp; &lt; 66kV</v>
      </c>
      <c r="G179" s="77" t="str">
        <f t="shared" si="20"/>
        <v>Nightsave Urban_Local Authority_[601 - 900km]_≥ 500V &amp; &lt; 66kV</v>
      </c>
      <c r="H179" s="77" t="str">
        <f t="shared" si="21"/>
        <v>NL22Y</v>
      </c>
      <c r="I179" s="307">
        <v>0</v>
      </c>
      <c r="J179" s="307">
        <v>0</v>
      </c>
      <c r="K179" s="307">
        <v>0</v>
      </c>
      <c r="L179" s="307">
        <v>0</v>
      </c>
      <c r="M179" s="307">
        <v>0</v>
      </c>
      <c r="N179" s="307">
        <v>0</v>
      </c>
      <c r="O179" s="106">
        <v>692.19</v>
      </c>
      <c r="P179" s="106">
        <v>287.27999999999997</v>
      </c>
      <c r="Q179" s="106">
        <v>0</v>
      </c>
      <c r="R179" s="106">
        <v>0</v>
      </c>
      <c r="S179" s="106">
        <v>10.65</v>
      </c>
      <c r="T179" s="106" t="s">
        <v>118</v>
      </c>
      <c r="U179" s="106">
        <v>0</v>
      </c>
      <c r="V179" s="106">
        <v>22.59</v>
      </c>
    </row>
    <row r="180" spans="2:22" s="77" customFormat="1" ht="13.8">
      <c r="B180" s="77" t="s">
        <v>465</v>
      </c>
      <c r="C180" s="77" t="str">
        <f t="shared" si="22"/>
        <v>Nightsave Urban</v>
      </c>
      <c r="D180" s="77" t="s">
        <v>71</v>
      </c>
      <c r="E180" s="77" t="str">
        <f t="shared" si="23"/>
        <v>[601 - 900km]</v>
      </c>
      <c r="F180" s="77" t="str">
        <f t="shared" si="23"/>
        <v>≥ 66kV &amp; ≤ 132kV</v>
      </c>
      <c r="G180" s="77" t="str">
        <f t="shared" si="20"/>
        <v>Nightsave Urban_Local Authority_[601 - 900km]_≥ 66kV &amp; ≤ 132kV</v>
      </c>
      <c r="H180" s="77" t="str">
        <f t="shared" si="21"/>
        <v>NL23Y</v>
      </c>
      <c r="I180" s="307">
        <v>0</v>
      </c>
      <c r="J180" s="307">
        <v>0</v>
      </c>
      <c r="K180" s="307">
        <v>0</v>
      </c>
      <c r="L180" s="307">
        <v>0</v>
      </c>
      <c r="M180" s="307">
        <v>0</v>
      </c>
      <c r="N180" s="307">
        <v>0</v>
      </c>
      <c r="O180" s="106">
        <v>641.14</v>
      </c>
      <c r="P180" s="106">
        <v>266.08999999999997</v>
      </c>
      <c r="Q180" s="106">
        <v>0</v>
      </c>
      <c r="R180" s="106">
        <v>0</v>
      </c>
      <c r="S180" s="106">
        <v>9.68</v>
      </c>
      <c r="T180" s="106" t="s">
        <v>118</v>
      </c>
      <c r="U180" s="106">
        <v>0</v>
      </c>
      <c r="V180" s="106">
        <v>20.93</v>
      </c>
    </row>
    <row r="181" spans="2:22" s="77" customFormat="1" ht="13.8">
      <c r="B181" s="77" t="s">
        <v>465</v>
      </c>
      <c r="C181" s="77" t="str">
        <f t="shared" si="22"/>
        <v>Nightsave Urban</v>
      </c>
      <c r="D181" s="77" t="s">
        <v>71</v>
      </c>
      <c r="E181" s="77" t="str">
        <f t="shared" si="23"/>
        <v>[601 - 900km]</v>
      </c>
      <c r="F181" s="77" t="str">
        <f t="shared" si="23"/>
        <v>&gt; 132kV</v>
      </c>
      <c r="G181" s="77" t="str">
        <f t="shared" si="20"/>
        <v>Nightsave Urban_Local Authority_[601 - 900km]_&gt; 132kV</v>
      </c>
      <c r="H181" s="77" t="str">
        <f t="shared" si="21"/>
        <v>NL24Y</v>
      </c>
      <c r="I181" s="307">
        <v>0</v>
      </c>
      <c r="J181" s="307">
        <v>0</v>
      </c>
      <c r="K181" s="307">
        <v>0</v>
      </c>
      <c r="L181" s="307">
        <v>0</v>
      </c>
      <c r="M181" s="307">
        <v>0</v>
      </c>
      <c r="N181" s="307">
        <v>0</v>
      </c>
      <c r="O181" s="106">
        <v>597.86</v>
      </c>
      <c r="P181" s="106">
        <v>248.12</v>
      </c>
      <c r="Q181" s="106">
        <v>0</v>
      </c>
      <c r="R181" s="106">
        <v>0</v>
      </c>
      <c r="S181" s="106">
        <v>16.920000000000002</v>
      </c>
      <c r="T181" s="106" t="s">
        <v>118</v>
      </c>
      <c r="U181" s="106">
        <v>0</v>
      </c>
      <c r="V181" s="106">
        <v>19.510000000000002</v>
      </c>
    </row>
    <row r="182" spans="2:22" s="77" customFormat="1" ht="13.8">
      <c r="B182" s="77" t="s">
        <v>465</v>
      </c>
      <c r="C182" s="77" t="str">
        <f t="shared" si="22"/>
        <v>Nightsave Urban</v>
      </c>
      <c r="D182" s="77" t="s">
        <v>71</v>
      </c>
      <c r="E182" s="77" t="str">
        <f t="shared" si="23"/>
        <v>[&gt; 900km]</v>
      </c>
      <c r="F182" s="77" t="str">
        <f t="shared" si="23"/>
        <v>&lt; 500V</v>
      </c>
      <c r="G182" s="77" t="str">
        <f t="shared" si="20"/>
        <v>Nightsave Urban_Local Authority_[&gt; 900km]_&lt; 500V</v>
      </c>
      <c r="H182" s="77" t="str">
        <f t="shared" si="21"/>
        <v>NL31Y</v>
      </c>
      <c r="I182" s="307">
        <v>0</v>
      </c>
      <c r="J182" s="307">
        <v>0</v>
      </c>
      <c r="K182" s="307">
        <v>0</v>
      </c>
      <c r="L182" s="307">
        <v>0</v>
      </c>
      <c r="M182" s="307">
        <v>0</v>
      </c>
      <c r="N182" s="307">
        <v>0</v>
      </c>
      <c r="O182" s="106">
        <v>721.57</v>
      </c>
      <c r="P182" s="106">
        <v>299.44</v>
      </c>
      <c r="Q182" s="106">
        <v>0</v>
      </c>
      <c r="R182" s="106">
        <v>0</v>
      </c>
      <c r="S182" s="106">
        <v>11.23</v>
      </c>
      <c r="T182" s="106" t="s">
        <v>118</v>
      </c>
      <c r="U182" s="106">
        <v>0</v>
      </c>
      <c r="V182" s="106">
        <v>23.32</v>
      </c>
    </row>
    <row r="183" spans="2:22" s="77" customFormat="1" ht="13.8">
      <c r="B183" s="77" t="s">
        <v>465</v>
      </c>
      <c r="C183" s="77" t="str">
        <f t="shared" si="22"/>
        <v>Nightsave Urban</v>
      </c>
      <c r="D183" s="77" t="s">
        <v>71</v>
      </c>
      <c r="E183" s="77" t="str">
        <f t="shared" si="23"/>
        <v>[&gt; 900km]</v>
      </c>
      <c r="F183" s="77" t="str">
        <f t="shared" si="23"/>
        <v>≥ 500V &amp; &lt; 66kV</v>
      </c>
      <c r="G183" s="77" t="str">
        <f t="shared" si="20"/>
        <v>Nightsave Urban_Local Authority_[&gt; 900km]_≥ 500V &amp; &lt; 66kV</v>
      </c>
      <c r="H183" s="77" t="str">
        <f t="shared" si="21"/>
        <v>NL32Y</v>
      </c>
      <c r="I183" s="307">
        <v>0</v>
      </c>
      <c r="J183" s="307">
        <v>0</v>
      </c>
      <c r="K183" s="307">
        <v>0</v>
      </c>
      <c r="L183" s="307">
        <v>0</v>
      </c>
      <c r="M183" s="307">
        <v>0</v>
      </c>
      <c r="N183" s="307">
        <v>0</v>
      </c>
      <c r="O183" s="106">
        <v>698.76</v>
      </c>
      <c r="P183" s="106">
        <v>289.98</v>
      </c>
      <c r="Q183" s="106">
        <v>0</v>
      </c>
      <c r="R183" s="106">
        <v>0</v>
      </c>
      <c r="S183" s="106">
        <v>10.75</v>
      </c>
      <c r="T183" s="106" t="s">
        <v>118</v>
      </c>
      <c r="U183" s="106">
        <v>0</v>
      </c>
      <c r="V183" s="106">
        <v>22.59</v>
      </c>
    </row>
    <row r="184" spans="2:22" s="77" customFormat="1" ht="13.8">
      <c r="B184" s="77" t="s">
        <v>465</v>
      </c>
      <c r="C184" s="77" t="str">
        <f t="shared" si="22"/>
        <v>Nightsave Urban</v>
      </c>
      <c r="D184" s="77" t="s">
        <v>71</v>
      </c>
      <c r="E184" s="77" t="str">
        <f t="shared" si="23"/>
        <v>[&gt; 900km]</v>
      </c>
      <c r="F184" s="77" t="str">
        <f t="shared" si="23"/>
        <v>≥ 66kV &amp; ≤ 132kV</v>
      </c>
      <c r="G184" s="77" t="str">
        <f t="shared" si="20"/>
        <v>Nightsave Urban_Local Authority_[&gt; 900km]_≥ 66kV &amp; ≤ 132kV</v>
      </c>
      <c r="H184" s="77" t="str">
        <f t="shared" si="21"/>
        <v>NL33Y</v>
      </c>
      <c r="I184" s="307">
        <v>0</v>
      </c>
      <c r="J184" s="307">
        <v>0</v>
      </c>
      <c r="K184" s="307">
        <v>0</v>
      </c>
      <c r="L184" s="307">
        <v>0</v>
      </c>
      <c r="M184" s="307">
        <v>0</v>
      </c>
      <c r="N184" s="307">
        <v>0</v>
      </c>
      <c r="O184" s="106">
        <v>647.42999999999995</v>
      </c>
      <c r="P184" s="106">
        <v>268.68</v>
      </c>
      <c r="Q184" s="106">
        <v>0</v>
      </c>
      <c r="R184" s="106">
        <v>0</v>
      </c>
      <c r="S184" s="106">
        <v>9.7899999999999991</v>
      </c>
      <c r="T184" s="106" t="s">
        <v>118</v>
      </c>
      <c r="U184" s="106">
        <v>0</v>
      </c>
      <c r="V184" s="106">
        <v>20.93</v>
      </c>
    </row>
    <row r="185" spans="2:22" s="77" customFormat="1" ht="13.8">
      <c r="B185" s="77" t="s">
        <v>465</v>
      </c>
      <c r="C185" s="77" t="str">
        <f t="shared" si="22"/>
        <v>Nightsave Urban</v>
      </c>
      <c r="D185" s="77" t="s">
        <v>71</v>
      </c>
      <c r="E185" s="77" t="str">
        <f t="shared" si="23"/>
        <v>[&gt; 900km]</v>
      </c>
      <c r="F185" s="77" t="str">
        <f t="shared" si="23"/>
        <v>&gt; 132kV</v>
      </c>
      <c r="G185" s="77" t="str">
        <f t="shared" si="20"/>
        <v>Nightsave Urban_Local Authority_[&gt; 900km]_&gt; 132kV</v>
      </c>
      <c r="H185" s="77" t="str">
        <f t="shared" si="21"/>
        <v>NL34Y</v>
      </c>
      <c r="I185" s="307">
        <v>0</v>
      </c>
      <c r="J185" s="307">
        <v>0</v>
      </c>
      <c r="K185" s="307">
        <v>0</v>
      </c>
      <c r="L185" s="307">
        <v>0</v>
      </c>
      <c r="M185" s="307">
        <v>0</v>
      </c>
      <c r="N185" s="307">
        <v>0</v>
      </c>
      <c r="O185" s="106">
        <v>603.72</v>
      </c>
      <c r="P185" s="106">
        <v>250.55</v>
      </c>
      <c r="Q185" s="106">
        <v>0</v>
      </c>
      <c r="R185" s="106">
        <v>0</v>
      </c>
      <c r="S185" s="106">
        <v>17.100000000000001</v>
      </c>
      <c r="T185" s="106" t="s">
        <v>118</v>
      </c>
      <c r="U185" s="106">
        <v>0</v>
      </c>
      <c r="V185" s="106">
        <v>19.510000000000002</v>
      </c>
    </row>
    <row r="186" spans="2:22" s="77" customFormat="1" ht="13.8"/>
    <row r="187" spans="2:22" s="77" customFormat="1" ht="13.8">
      <c r="C187" s="77" t="s">
        <v>44</v>
      </c>
      <c r="D187" s="77" t="s">
        <v>72</v>
      </c>
      <c r="E187" s="77" t="s">
        <v>67</v>
      </c>
      <c r="F187" s="77" t="s">
        <v>62</v>
      </c>
      <c r="G187" s="77" t="str">
        <f t="shared" ref="G187:G218" si="24">C187&amp;"_"&amp;D187&amp;"_"&amp;E187&amp;"_"&amp;F187</f>
        <v>Nightsave Rural_Non-Local Authority_[0 - 300km]_&lt; 500V</v>
      </c>
      <c r="H187" s="77" t="str">
        <f t="shared" ref="H187:H218" si="25">INDEX(Matrix_Tariff_Map,MATCH(C187,Matrix_Model_Tariffs,0),2)&amp;INDEX(Matrix_Transmission_Map,MATCH(E187,Matrix_Model_Transmission,0),2)&amp;INDEX(Matrix_Voltage_Map,MATCH(F187,Matrix_Model_Voltage,0),2)&amp;INDEX(Matrix_Category_Map,MATCH(D187,Matrix_Model_Category,0),2)</f>
        <v>NR01N</v>
      </c>
      <c r="I187" s="85" t="s">
        <v>118</v>
      </c>
      <c r="J187" s="85" t="s">
        <v>118</v>
      </c>
      <c r="K187" s="85" t="s">
        <v>118</v>
      </c>
      <c r="L187" s="85" t="s">
        <v>118</v>
      </c>
      <c r="M187" s="85" t="s">
        <v>118</v>
      </c>
      <c r="N187" s="85" t="s">
        <v>118</v>
      </c>
      <c r="O187" s="106">
        <v>153.69</v>
      </c>
      <c r="P187" s="106">
        <v>147.72999999999999</v>
      </c>
      <c r="Q187" s="106">
        <v>408.5</v>
      </c>
      <c r="R187" s="106">
        <v>95.59</v>
      </c>
      <c r="S187" s="106" t="s">
        <v>118</v>
      </c>
      <c r="T187" s="106">
        <v>52.04</v>
      </c>
      <c r="U187" s="106">
        <v>3.34</v>
      </c>
      <c r="V187" s="106">
        <v>23</v>
      </c>
    </row>
    <row r="188" spans="2:22" s="77" customFormat="1" ht="13.8">
      <c r="C188" s="77" t="str">
        <f>C187</f>
        <v>Nightsave Rural</v>
      </c>
      <c r="D188" s="77" t="s">
        <v>72</v>
      </c>
      <c r="E188" s="77" t="s">
        <v>67</v>
      </c>
      <c r="F188" s="77" t="s">
        <v>63</v>
      </c>
      <c r="G188" s="77" t="str">
        <f t="shared" si="24"/>
        <v>Nightsave Rural_Non-Local Authority_[0 - 300km]_≥ 500V &amp; &lt; 66kV</v>
      </c>
      <c r="H188" s="77" t="str">
        <f t="shared" si="25"/>
        <v>NR02N</v>
      </c>
      <c r="I188" s="85" t="s">
        <v>118</v>
      </c>
      <c r="J188" s="85" t="s">
        <v>118</v>
      </c>
      <c r="K188" s="85" t="s">
        <v>118</v>
      </c>
      <c r="L188" s="85" t="s">
        <v>118</v>
      </c>
      <c r="M188" s="85" t="s">
        <v>118</v>
      </c>
      <c r="N188" s="85" t="s">
        <v>118</v>
      </c>
      <c r="O188" s="106">
        <v>150.97</v>
      </c>
      <c r="P188" s="106">
        <v>145.12</v>
      </c>
      <c r="Q188" s="106">
        <v>401.28</v>
      </c>
      <c r="R188" s="106">
        <v>93.89</v>
      </c>
      <c r="S188" s="106" t="s">
        <v>118</v>
      </c>
      <c r="T188" s="106">
        <v>48.32</v>
      </c>
      <c r="U188" s="106">
        <v>5.03</v>
      </c>
      <c r="V188" s="106">
        <v>22.59</v>
      </c>
    </row>
    <row r="189" spans="2:22" s="77" customFormat="1" ht="13.8">
      <c r="C189" s="77" t="str">
        <f t="shared" ref="C189:C218" si="26">C188</f>
        <v>Nightsave Rural</v>
      </c>
      <c r="D189" s="77" t="s">
        <v>72</v>
      </c>
      <c r="E189" s="77" t="s">
        <v>67</v>
      </c>
      <c r="F189" s="77" t="s">
        <v>64</v>
      </c>
      <c r="G189" s="77" t="str">
        <f t="shared" si="24"/>
        <v>Nightsave Rural_Non-Local Authority_[0 - 300km]_≥ 66kV &amp; ≤ 132kV</v>
      </c>
      <c r="H189" s="77" t="str">
        <f t="shared" si="25"/>
        <v>NR03N</v>
      </c>
      <c r="I189" s="85" t="s">
        <v>118</v>
      </c>
      <c r="J189" s="85" t="s">
        <v>118</v>
      </c>
      <c r="K189" s="85" t="s">
        <v>118</v>
      </c>
      <c r="L189" s="85" t="s">
        <v>118</v>
      </c>
      <c r="M189" s="85" t="s">
        <v>118</v>
      </c>
      <c r="N189" s="85" t="s">
        <v>118</v>
      </c>
      <c r="O189" s="106">
        <v>0</v>
      </c>
      <c r="P189" s="106">
        <v>0</v>
      </c>
      <c r="Q189" s="106">
        <v>0</v>
      </c>
      <c r="R189" s="106">
        <v>0</v>
      </c>
      <c r="S189" s="106" t="s">
        <v>118</v>
      </c>
      <c r="T189" s="106">
        <v>0</v>
      </c>
      <c r="U189" s="106">
        <v>0</v>
      </c>
      <c r="V189" s="106">
        <v>0</v>
      </c>
    </row>
    <row r="190" spans="2:22" s="77" customFormat="1" ht="13.8">
      <c r="C190" s="77" t="str">
        <f t="shared" si="26"/>
        <v>Nightsave Rural</v>
      </c>
      <c r="D190" s="77" t="s">
        <v>72</v>
      </c>
      <c r="E190" s="77" t="s">
        <v>67</v>
      </c>
      <c r="F190" s="77" t="s">
        <v>65</v>
      </c>
      <c r="G190" s="77" t="str">
        <f t="shared" si="24"/>
        <v>Nightsave Rural_Non-Local Authority_[0 - 300km]_&gt; 132kV</v>
      </c>
      <c r="H190" s="77" t="str">
        <f t="shared" si="25"/>
        <v>NR04N</v>
      </c>
      <c r="I190" s="85" t="s">
        <v>118</v>
      </c>
      <c r="J190" s="85" t="s">
        <v>118</v>
      </c>
      <c r="K190" s="85" t="s">
        <v>118</v>
      </c>
      <c r="L190" s="85" t="s">
        <v>118</v>
      </c>
      <c r="M190" s="85" t="s">
        <v>118</v>
      </c>
      <c r="N190" s="85" t="s">
        <v>118</v>
      </c>
      <c r="O190" s="106">
        <v>0</v>
      </c>
      <c r="P190" s="106">
        <v>0</v>
      </c>
      <c r="Q190" s="106">
        <v>0</v>
      </c>
      <c r="R190" s="106">
        <v>0</v>
      </c>
      <c r="S190" s="106" t="s">
        <v>118</v>
      </c>
      <c r="T190" s="106">
        <v>0</v>
      </c>
      <c r="U190" s="106">
        <v>0</v>
      </c>
      <c r="V190" s="106">
        <v>0</v>
      </c>
    </row>
    <row r="191" spans="2:22" s="77" customFormat="1" ht="13.8">
      <c r="C191" s="77" t="str">
        <f t="shared" si="26"/>
        <v>Nightsave Rural</v>
      </c>
      <c r="D191" s="77" t="s">
        <v>72</v>
      </c>
      <c r="E191" s="77" t="s">
        <v>68</v>
      </c>
      <c r="F191" s="77" t="s">
        <v>62</v>
      </c>
      <c r="G191" s="77" t="str">
        <f t="shared" si="24"/>
        <v>Nightsave Rural_Non-Local Authority_[301 - 600km]_&lt; 500V</v>
      </c>
      <c r="H191" s="77" t="str">
        <f t="shared" si="25"/>
        <v>NR11N</v>
      </c>
      <c r="I191" s="85" t="s">
        <v>118</v>
      </c>
      <c r="J191" s="85" t="s">
        <v>118</v>
      </c>
      <c r="K191" s="85" t="s">
        <v>118</v>
      </c>
      <c r="L191" s="85" t="s">
        <v>118</v>
      </c>
      <c r="M191" s="85" t="s">
        <v>118</v>
      </c>
      <c r="N191" s="85" t="s">
        <v>118</v>
      </c>
      <c r="O191" s="106">
        <v>155.22</v>
      </c>
      <c r="P191" s="106">
        <v>149.19999999999999</v>
      </c>
      <c r="Q191" s="106">
        <v>412.56</v>
      </c>
      <c r="R191" s="106">
        <v>96.54</v>
      </c>
      <c r="S191" s="106" t="s">
        <v>118</v>
      </c>
      <c r="T191" s="106">
        <v>52.14</v>
      </c>
      <c r="U191" s="106">
        <v>3.34</v>
      </c>
      <c r="V191" s="106">
        <v>23</v>
      </c>
    </row>
    <row r="192" spans="2:22" s="77" customFormat="1" ht="13.8">
      <c r="C192" s="77" t="str">
        <f t="shared" si="26"/>
        <v>Nightsave Rural</v>
      </c>
      <c r="D192" s="77" t="s">
        <v>72</v>
      </c>
      <c r="E192" s="77" t="s">
        <v>68</v>
      </c>
      <c r="F192" s="77" t="s">
        <v>63</v>
      </c>
      <c r="G192" s="77" t="str">
        <f t="shared" si="24"/>
        <v>Nightsave Rural_Non-Local Authority_[301 - 600km]_≥ 500V &amp; &lt; 66kV</v>
      </c>
      <c r="H192" s="77" t="str">
        <f t="shared" si="25"/>
        <v>NR12N</v>
      </c>
      <c r="I192" s="85" t="s">
        <v>118</v>
      </c>
      <c r="J192" s="85" t="s">
        <v>118</v>
      </c>
      <c r="K192" s="85" t="s">
        <v>118</v>
      </c>
      <c r="L192" s="85" t="s">
        <v>118</v>
      </c>
      <c r="M192" s="85" t="s">
        <v>118</v>
      </c>
      <c r="N192" s="85" t="s">
        <v>118</v>
      </c>
      <c r="O192" s="106">
        <v>152.47</v>
      </c>
      <c r="P192" s="106">
        <v>146.56</v>
      </c>
      <c r="Q192" s="106">
        <v>405.26</v>
      </c>
      <c r="R192" s="106">
        <v>94.83</v>
      </c>
      <c r="S192" s="106" t="s">
        <v>118</v>
      </c>
      <c r="T192" s="106">
        <v>48.42</v>
      </c>
      <c r="U192" s="106">
        <v>5.03</v>
      </c>
      <c r="V192" s="106">
        <v>22.59</v>
      </c>
    </row>
    <row r="193" spans="2:22" s="77" customFormat="1" ht="13.8">
      <c r="C193" s="77" t="str">
        <f t="shared" si="26"/>
        <v>Nightsave Rural</v>
      </c>
      <c r="D193" s="77" t="s">
        <v>72</v>
      </c>
      <c r="E193" s="77" t="s">
        <v>68</v>
      </c>
      <c r="F193" s="77" t="s">
        <v>64</v>
      </c>
      <c r="G193" s="77" t="str">
        <f t="shared" si="24"/>
        <v>Nightsave Rural_Non-Local Authority_[301 - 600km]_≥ 66kV &amp; ≤ 132kV</v>
      </c>
      <c r="H193" s="77" t="str">
        <f t="shared" si="25"/>
        <v>NR13N</v>
      </c>
      <c r="I193" s="85" t="s">
        <v>118</v>
      </c>
      <c r="J193" s="85" t="s">
        <v>118</v>
      </c>
      <c r="K193" s="85" t="s">
        <v>118</v>
      </c>
      <c r="L193" s="85" t="s">
        <v>118</v>
      </c>
      <c r="M193" s="85" t="s">
        <v>118</v>
      </c>
      <c r="N193" s="85" t="s">
        <v>118</v>
      </c>
      <c r="O193" s="106">
        <v>0</v>
      </c>
      <c r="P193" s="106">
        <v>0</v>
      </c>
      <c r="Q193" s="106">
        <v>0</v>
      </c>
      <c r="R193" s="106">
        <v>0</v>
      </c>
      <c r="S193" s="106" t="s">
        <v>118</v>
      </c>
      <c r="T193" s="106">
        <v>0</v>
      </c>
      <c r="U193" s="106">
        <v>0</v>
      </c>
      <c r="V193" s="106">
        <v>0</v>
      </c>
    </row>
    <row r="194" spans="2:22" s="77" customFormat="1" ht="13.8">
      <c r="C194" s="77" t="str">
        <f t="shared" si="26"/>
        <v>Nightsave Rural</v>
      </c>
      <c r="D194" s="77" t="s">
        <v>72</v>
      </c>
      <c r="E194" s="77" t="s">
        <v>68</v>
      </c>
      <c r="F194" s="77" t="s">
        <v>65</v>
      </c>
      <c r="G194" s="77" t="str">
        <f t="shared" si="24"/>
        <v>Nightsave Rural_Non-Local Authority_[301 - 600km]_&gt; 132kV</v>
      </c>
      <c r="H194" s="77" t="str">
        <f t="shared" si="25"/>
        <v>NR14N</v>
      </c>
      <c r="I194" s="85" t="s">
        <v>118</v>
      </c>
      <c r="J194" s="85" t="s">
        <v>118</v>
      </c>
      <c r="K194" s="85" t="s">
        <v>118</v>
      </c>
      <c r="L194" s="85" t="s">
        <v>118</v>
      </c>
      <c r="M194" s="85" t="s">
        <v>118</v>
      </c>
      <c r="N194" s="85" t="s">
        <v>118</v>
      </c>
      <c r="O194" s="106">
        <v>0</v>
      </c>
      <c r="P194" s="106">
        <v>0</v>
      </c>
      <c r="Q194" s="106">
        <v>0</v>
      </c>
      <c r="R194" s="106">
        <v>0</v>
      </c>
      <c r="S194" s="106" t="s">
        <v>118</v>
      </c>
      <c r="T194" s="106">
        <v>0</v>
      </c>
      <c r="U194" s="106">
        <v>0</v>
      </c>
      <c r="V194" s="106">
        <v>0</v>
      </c>
    </row>
    <row r="195" spans="2:22" s="77" customFormat="1" ht="13.8">
      <c r="C195" s="77" t="str">
        <f t="shared" si="26"/>
        <v>Nightsave Rural</v>
      </c>
      <c r="D195" s="77" t="s">
        <v>72</v>
      </c>
      <c r="E195" s="77" t="s">
        <v>69</v>
      </c>
      <c r="F195" s="77" t="s">
        <v>62</v>
      </c>
      <c r="G195" s="77" t="str">
        <f t="shared" si="24"/>
        <v>Nightsave Rural_Non-Local Authority_[601 - 900km]_&lt; 500V</v>
      </c>
      <c r="H195" s="77" t="str">
        <f t="shared" si="25"/>
        <v>NR21N</v>
      </c>
      <c r="I195" s="85" t="s">
        <v>118</v>
      </c>
      <c r="J195" s="85" t="s">
        <v>118</v>
      </c>
      <c r="K195" s="85" t="s">
        <v>118</v>
      </c>
      <c r="L195" s="85" t="s">
        <v>118</v>
      </c>
      <c r="M195" s="85" t="s">
        <v>118</v>
      </c>
      <c r="N195" s="85" t="s">
        <v>118</v>
      </c>
      <c r="O195" s="106">
        <v>156.75</v>
      </c>
      <c r="P195" s="106">
        <v>150.69</v>
      </c>
      <c r="Q195" s="106">
        <v>416.66</v>
      </c>
      <c r="R195" s="106">
        <v>97.5</v>
      </c>
      <c r="S195" s="106" t="s">
        <v>118</v>
      </c>
      <c r="T195" s="106">
        <v>52.25</v>
      </c>
      <c r="U195" s="106">
        <v>3.34</v>
      </c>
      <c r="V195" s="106">
        <v>23</v>
      </c>
    </row>
    <row r="196" spans="2:22" s="77" customFormat="1" ht="13.8">
      <c r="C196" s="77" t="str">
        <f t="shared" si="26"/>
        <v>Nightsave Rural</v>
      </c>
      <c r="D196" s="77" t="s">
        <v>72</v>
      </c>
      <c r="E196" s="77" t="s">
        <v>69</v>
      </c>
      <c r="F196" s="77" t="s">
        <v>63</v>
      </c>
      <c r="G196" s="77" t="str">
        <f t="shared" si="24"/>
        <v>Nightsave Rural_Non-Local Authority_[601 - 900km]_≥ 500V &amp; &lt; 66kV</v>
      </c>
      <c r="H196" s="77" t="str">
        <f t="shared" si="25"/>
        <v>NR22N</v>
      </c>
      <c r="I196" s="85" t="s">
        <v>118</v>
      </c>
      <c r="J196" s="85" t="s">
        <v>118</v>
      </c>
      <c r="K196" s="85" t="s">
        <v>118</v>
      </c>
      <c r="L196" s="85" t="s">
        <v>118</v>
      </c>
      <c r="M196" s="85" t="s">
        <v>118</v>
      </c>
      <c r="N196" s="85" t="s">
        <v>118</v>
      </c>
      <c r="O196" s="106">
        <v>153.97999999999999</v>
      </c>
      <c r="P196" s="106">
        <v>148.02000000000001</v>
      </c>
      <c r="Q196" s="106">
        <v>409.29</v>
      </c>
      <c r="R196" s="106">
        <v>95.77</v>
      </c>
      <c r="S196" s="106" t="s">
        <v>118</v>
      </c>
      <c r="T196" s="106">
        <v>48.53</v>
      </c>
      <c r="U196" s="106">
        <v>5.03</v>
      </c>
      <c r="V196" s="106">
        <v>22.59</v>
      </c>
    </row>
    <row r="197" spans="2:22" s="77" customFormat="1" ht="13.8">
      <c r="C197" s="77" t="str">
        <f t="shared" si="26"/>
        <v>Nightsave Rural</v>
      </c>
      <c r="D197" s="77" t="s">
        <v>72</v>
      </c>
      <c r="E197" s="77" t="s">
        <v>69</v>
      </c>
      <c r="F197" s="77" t="s">
        <v>64</v>
      </c>
      <c r="G197" s="77" t="str">
        <f t="shared" si="24"/>
        <v>Nightsave Rural_Non-Local Authority_[601 - 900km]_≥ 66kV &amp; ≤ 132kV</v>
      </c>
      <c r="H197" s="77" t="str">
        <f t="shared" si="25"/>
        <v>NR23N</v>
      </c>
      <c r="I197" s="85" t="s">
        <v>118</v>
      </c>
      <c r="J197" s="85" t="s">
        <v>118</v>
      </c>
      <c r="K197" s="85" t="s">
        <v>118</v>
      </c>
      <c r="L197" s="85" t="s">
        <v>118</v>
      </c>
      <c r="M197" s="85" t="s">
        <v>118</v>
      </c>
      <c r="N197" s="85" t="s">
        <v>118</v>
      </c>
      <c r="O197" s="106">
        <v>0</v>
      </c>
      <c r="P197" s="106">
        <v>0</v>
      </c>
      <c r="Q197" s="106">
        <v>0</v>
      </c>
      <c r="R197" s="106">
        <v>0</v>
      </c>
      <c r="S197" s="106" t="s">
        <v>118</v>
      </c>
      <c r="T197" s="106">
        <v>0</v>
      </c>
      <c r="U197" s="106">
        <v>0</v>
      </c>
      <c r="V197" s="106">
        <v>0</v>
      </c>
    </row>
    <row r="198" spans="2:22" s="77" customFormat="1" ht="13.8">
      <c r="C198" s="77" t="str">
        <f t="shared" si="26"/>
        <v>Nightsave Rural</v>
      </c>
      <c r="D198" s="77" t="s">
        <v>72</v>
      </c>
      <c r="E198" s="77" t="s">
        <v>69</v>
      </c>
      <c r="F198" s="77" t="s">
        <v>65</v>
      </c>
      <c r="G198" s="77" t="str">
        <f t="shared" si="24"/>
        <v>Nightsave Rural_Non-Local Authority_[601 - 900km]_&gt; 132kV</v>
      </c>
      <c r="H198" s="77" t="str">
        <f t="shared" si="25"/>
        <v>NR24N</v>
      </c>
      <c r="I198" s="85" t="s">
        <v>118</v>
      </c>
      <c r="J198" s="85" t="s">
        <v>118</v>
      </c>
      <c r="K198" s="85" t="s">
        <v>118</v>
      </c>
      <c r="L198" s="85" t="s">
        <v>118</v>
      </c>
      <c r="M198" s="85" t="s">
        <v>118</v>
      </c>
      <c r="N198" s="85" t="s">
        <v>118</v>
      </c>
      <c r="O198" s="106">
        <v>0</v>
      </c>
      <c r="P198" s="106">
        <v>0</v>
      </c>
      <c r="Q198" s="106">
        <v>0</v>
      </c>
      <c r="R198" s="106">
        <v>0</v>
      </c>
      <c r="S198" s="106" t="s">
        <v>118</v>
      </c>
      <c r="T198" s="106">
        <v>0</v>
      </c>
      <c r="U198" s="106">
        <v>0</v>
      </c>
      <c r="V198" s="106">
        <v>0</v>
      </c>
    </row>
    <row r="199" spans="2:22" s="77" customFormat="1" ht="13.8">
      <c r="C199" s="77" t="str">
        <f t="shared" si="26"/>
        <v>Nightsave Rural</v>
      </c>
      <c r="D199" s="77" t="s">
        <v>72</v>
      </c>
      <c r="E199" s="77" t="s">
        <v>70</v>
      </c>
      <c r="F199" s="77" t="s">
        <v>62</v>
      </c>
      <c r="G199" s="77" t="str">
        <f t="shared" si="24"/>
        <v>Nightsave Rural_Non-Local Authority_[&gt; 900km]_&lt; 500V</v>
      </c>
      <c r="H199" s="77" t="str">
        <f t="shared" si="25"/>
        <v>NR31N</v>
      </c>
      <c r="I199" s="85" t="s">
        <v>118</v>
      </c>
      <c r="J199" s="85" t="s">
        <v>118</v>
      </c>
      <c r="K199" s="85" t="s">
        <v>118</v>
      </c>
      <c r="L199" s="85" t="s">
        <v>118</v>
      </c>
      <c r="M199" s="85" t="s">
        <v>118</v>
      </c>
      <c r="N199" s="85" t="s">
        <v>118</v>
      </c>
      <c r="O199" s="106">
        <v>158.29</v>
      </c>
      <c r="P199" s="106">
        <v>152.15</v>
      </c>
      <c r="Q199" s="106">
        <v>420.72</v>
      </c>
      <c r="R199" s="106">
        <v>98.44</v>
      </c>
      <c r="S199" s="106" t="s">
        <v>118</v>
      </c>
      <c r="T199" s="106">
        <v>52.36</v>
      </c>
      <c r="U199" s="106">
        <v>3.34</v>
      </c>
      <c r="V199" s="106">
        <v>23</v>
      </c>
    </row>
    <row r="200" spans="2:22" s="77" customFormat="1" ht="13.8">
      <c r="C200" s="77" t="str">
        <f t="shared" si="26"/>
        <v>Nightsave Rural</v>
      </c>
      <c r="D200" s="77" t="s">
        <v>72</v>
      </c>
      <c r="E200" s="77" t="s">
        <v>70</v>
      </c>
      <c r="F200" s="77" t="s">
        <v>63</v>
      </c>
      <c r="G200" s="77" t="str">
        <f t="shared" si="24"/>
        <v>Nightsave Rural_Non-Local Authority_[&gt; 900km]_≥ 500V &amp; &lt; 66kV</v>
      </c>
      <c r="H200" s="77" t="str">
        <f t="shared" si="25"/>
        <v>NR32N</v>
      </c>
      <c r="I200" s="85" t="s">
        <v>118</v>
      </c>
      <c r="J200" s="85" t="s">
        <v>118</v>
      </c>
      <c r="K200" s="85" t="s">
        <v>118</v>
      </c>
      <c r="L200" s="85" t="s">
        <v>118</v>
      </c>
      <c r="M200" s="85" t="s">
        <v>118</v>
      </c>
      <c r="N200" s="85" t="s">
        <v>118</v>
      </c>
      <c r="O200" s="106">
        <v>155.47999999999999</v>
      </c>
      <c r="P200" s="106">
        <v>149.46</v>
      </c>
      <c r="Q200" s="106">
        <v>413.28</v>
      </c>
      <c r="R200" s="106">
        <v>96.71</v>
      </c>
      <c r="S200" s="106" t="s">
        <v>118</v>
      </c>
      <c r="T200" s="106">
        <v>48.64</v>
      </c>
      <c r="U200" s="106">
        <v>5.03</v>
      </c>
      <c r="V200" s="106">
        <v>22.59</v>
      </c>
    </row>
    <row r="201" spans="2:22" s="77" customFormat="1" ht="13.8">
      <c r="C201" s="77" t="str">
        <f t="shared" si="26"/>
        <v>Nightsave Rural</v>
      </c>
      <c r="D201" s="77" t="s">
        <v>72</v>
      </c>
      <c r="E201" s="77" t="s">
        <v>70</v>
      </c>
      <c r="F201" s="77" t="s">
        <v>64</v>
      </c>
      <c r="G201" s="77" t="str">
        <f t="shared" si="24"/>
        <v>Nightsave Rural_Non-Local Authority_[&gt; 900km]_≥ 66kV &amp; ≤ 132kV</v>
      </c>
      <c r="H201" s="77" t="str">
        <f t="shared" si="25"/>
        <v>NR33N</v>
      </c>
      <c r="I201" s="85" t="s">
        <v>118</v>
      </c>
      <c r="J201" s="85" t="s">
        <v>118</v>
      </c>
      <c r="K201" s="85" t="s">
        <v>118</v>
      </c>
      <c r="L201" s="85" t="s">
        <v>118</v>
      </c>
      <c r="M201" s="85" t="s">
        <v>118</v>
      </c>
      <c r="N201" s="85" t="s">
        <v>118</v>
      </c>
      <c r="O201" s="106">
        <v>0</v>
      </c>
      <c r="P201" s="106">
        <v>0</v>
      </c>
      <c r="Q201" s="106">
        <v>0</v>
      </c>
      <c r="R201" s="106">
        <v>0</v>
      </c>
      <c r="S201" s="106" t="s">
        <v>118</v>
      </c>
      <c r="T201" s="106">
        <v>0</v>
      </c>
      <c r="U201" s="106">
        <v>0</v>
      </c>
      <c r="V201" s="106">
        <v>0</v>
      </c>
    </row>
    <row r="202" spans="2:22" s="77" customFormat="1" ht="14.4" thickBot="1">
      <c r="C202" s="77" t="str">
        <f t="shared" si="26"/>
        <v>Nightsave Rural</v>
      </c>
      <c r="D202" s="77" t="s">
        <v>72</v>
      </c>
      <c r="E202" s="77" t="s">
        <v>70</v>
      </c>
      <c r="F202" s="77" t="s">
        <v>65</v>
      </c>
      <c r="G202" s="77" t="str">
        <f t="shared" si="24"/>
        <v>Nightsave Rural_Non-Local Authority_[&gt; 900km]_&gt; 132kV</v>
      </c>
      <c r="H202" s="77" t="str">
        <f t="shared" si="25"/>
        <v>NR34N</v>
      </c>
      <c r="I202" s="85" t="s">
        <v>118</v>
      </c>
      <c r="J202" s="85" t="s">
        <v>118</v>
      </c>
      <c r="K202" s="85" t="s">
        <v>118</v>
      </c>
      <c r="L202" s="85" t="s">
        <v>118</v>
      </c>
      <c r="M202" s="85" t="s">
        <v>118</v>
      </c>
      <c r="N202" s="85" t="s">
        <v>118</v>
      </c>
      <c r="O202" s="106">
        <v>0</v>
      </c>
      <c r="P202" s="106">
        <v>0</v>
      </c>
      <c r="Q202" s="106">
        <v>0</v>
      </c>
      <c r="R202" s="106">
        <v>0</v>
      </c>
      <c r="S202" s="106" t="s">
        <v>118</v>
      </c>
      <c r="T202" s="106">
        <v>0</v>
      </c>
      <c r="U202" s="106">
        <v>0</v>
      </c>
      <c r="V202" s="106">
        <v>0</v>
      </c>
    </row>
    <row r="203" spans="2:22" s="77" customFormat="1" ht="13.8">
      <c r="B203" s="239" t="s">
        <v>465</v>
      </c>
      <c r="C203" s="77" t="str">
        <f t="shared" si="26"/>
        <v>Nightsave Rural</v>
      </c>
      <c r="D203" s="77" t="s">
        <v>71</v>
      </c>
      <c r="E203" s="77" t="str">
        <f t="shared" ref="E203:F218" si="27">E187</f>
        <v>[0 - 300km]</v>
      </c>
      <c r="F203" s="77" t="str">
        <f t="shared" si="27"/>
        <v>&lt; 500V</v>
      </c>
      <c r="G203" s="77" t="str">
        <f t="shared" si="24"/>
        <v>Nightsave Rural_Local Authority_[0 - 300km]_&lt; 500V</v>
      </c>
      <c r="H203" s="77" t="str">
        <f t="shared" si="25"/>
        <v>NR01Y</v>
      </c>
      <c r="I203" s="307">
        <v>0</v>
      </c>
      <c r="J203" s="307">
        <v>0</v>
      </c>
      <c r="K203" s="307">
        <v>0</v>
      </c>
      <c r="L203" s="307">
        <v>0</v>
      </c>
      <c r="M203" s="307">
        <v>0</v>
      </c>
      <c r="N203" s="307">
        <v>0</v>
      </c>
      <c r="O203" s="106">
        <v>697.46</v>
      </c>
      <c r="P203" s="106">
        <v>289.5</v>
      </c>
      <c r="Q203" s="106">
        <v>0</v>
      </c>
      <c r="R203" s="106">
        <v>0</v>
      </c>
      <c r="S203" s="106">
        <v>0</v>
      </c>
      <c r="T203" s="106">
        <v>40.35</v>
      </c>
      <c r="U203" s="307">
        <v>0</v>
      </c>
      <c r="V203" s="106">
        <v>0</v>
      </c>
    </row>
    <row r="204" spans="2:22" s="77" customFormat="1" ht="13.8">
      <c r="B204" s="77" t="s">
        <v>465</v>
      </c>
      <c r="C204" s="77" t="str">
        <f t="shared" si="26"/>
        <v>Nightsave Rural</v>
      </c>
      <c r="D204" s="77" t="s">
        <v>71</v>
      </c>
      <c r="E204" s="77" t="str">
        <f t="shared" si="27"/>
        <v>[0 - 300km]</v>
      </c>
      <c r="F204" s="77" t="str">
        <f t="shared" si="27"/>
        <v>≥ 500V &amp; &lt; 66kV</v>
      </c>
      <c r="G204" s="77" t="str">
        <f t="shared" si="24"/>
        <v>Nightsave Rural_Local Authority_[0 - 300km]_≥ 500V &amp; &lt; 66kV</v>
      </c>
      <c r="H204" s="77" t="str">
        <f t="shared" si="25"/>
        <v>NR02Y</v>
      </c>
      <c r="I204" s="307">
        <v>0</v>
      </c>
      <c r="J204" s="307">
        <v>0</v>
      </c>
      <c r="K204" s="307">
        <v>0</v>
      </c>
      <c r="L204" s="307">
        <v>0</v>
      </c>
      <c r="M204" s="307">
        <v>0</v>
      </c>
      <c r="N204" s="307">
        <v>0</v>
      </c>
      <c r="O204" s="106">
        <v>677.39</v>
      </c>
      <c r="P204" s="106">
        <v>281.12</v>
      </c>
      <c r="Q204" s="106">
        <v>0</v>
      </c>
      <c r="R204" s="106">
        <v>0</v>
      </c>
      <c r="S204" s="106">
        <v>0</v>
      </c>
      <c r="T204" s="106">
        <v>36.97</v>
      </c>
      <c r="U204" s="307">
        <v>0</v>
      </c>
      <c r="V204" s="106">
        <v>0</v>
      </c>
    </row>
    <row r="205" spans="2:22" s="77" customFormat="1" ht="13.8">
      <c r="B205" s="77" t="s">
        <v>465</v>
      </c>
      <c r="C205" s="77" t="str">
        <f t="shared" si="26"/>
        <v>Nightsave Rural</v>
      </c>
      <c r="D205" s="77" t="s">
        <v>71</v>
      </c>
      <c r="E205" s="77" t="str">
        <f t="shared" si="27"/>
        <v>[0 - 300km]</v>
      </c>
      <c r="F205" s="77" t="str">
        <f t="shared" si="27"/>
        <v>≥ 66kV &amp; ≤ 132kV</v>
      </c>
      <c r="G205" s="77" t="str">
        <f t="shared" si="24"/>
        <v>Nightsave Rural_Local Authority_[0 - 300km]_≥ 66kV &amp; ≤ 132kV</v>
      </c>
      <c r="H205" s="77" t="str">
        <f t="shared" si="25"/>
        <v>NR03Y</v>
      </c>
      <c r="I205" s="307">
        <v>0</v>
      </c>
      <c r="J205" s="307">
        <v>0</v>
      </c>
      <c r="K205" s="307">
        <v>0</v>
      </c>
      <c r="L205" s="307">
        <v>0</v>
      </c>
      <c r="M205" s="307">
        <v>0</v>
      </c>
      <c r="N205" s="307">
        <v>0</v>
      </c>
      <c r="O205" s="106">
        <v>628.57000000000005</v>
      </c>
      <c r="P205" s="106">
        <v>260.87</v>
      </c>
      <c r="Q205" s="106">
        <v>0</v>
      </c>
      <c r="R205" s="106">
        <v>0</v>
      </c>
      <c r="S205" s="106">
        <v>0</v>
      </c>
      <c r="T205" s="106">
        <v>16.239999999999998</v>
      </c>
      <c r="U205" s="307">
        <v>0</v>
      </c>
      <c r="V205" s="106">
        <v>0</v>
      </c>
    </row>
    <row r="206" spans="2:22" s="77" customFormat="1" ht="13.8">
      <c r="B206" s="77" t="s">
        <v>465</v>
      </c>
      <c r="C206" s="77" t="str">
        <f t="shared" si="26"/>
        <v>Nightsave Rural</v>
      </c>
      <c r="D206" s="77" t="s">
        <v>71</v>
      </c>
      <c r="E206" s="77" t="str">
        <f t="shared" si="27"/>
        <v>[0 - 300km]</v>
      </c>
      <c r="F206" s="77" t="str">
        <f t="shared" si="27"/>
        <v>&gt; 132kV</v>
      </c>
      <c r="G206" s="77" t="str">
        <f t="shared" si="24"/>
        <v>Nightsave Rural_Local Authority_[0 - 300km]_&gt; 132kV</v>
      </c>
      <c r="H206" s="77" t="str">
        <f t="shared" si="25"/>
        <v>NR04Y</v>
      </c>
      <c r="I206" s="307">
        <v>0</v>
      </c>
      <c r="J206" s="307">
        <v>0</v>
      </c>
      <c r="K206" s="307">
        <v>0</v>
      </c>
      <c r="L206" s="307">
        <v>0</v>
      </c>
      <c r="M206" s="307">
        <v>0</v>
      </c>
      <c r="N206" s="307">
        <v>0</v>
      </c>
      <c r="O206" s="106">
        <v>586.13</v>
      </c>
      <c r="P206" s="106">
        <v>243.26</v>
      </c>
      <c r="Q206" s="106">
        <v>0</v>
      </c>
      <c r="R206" s="106">
        <v>0</v>
      </c>
      <c r="S206" s="106">
        <v>0</v>
      </c>
      <c r="T206" s="106">
        <v>0</v>
      </c>
      <c r="U206" s="307">
        <v>0</v>
      </c>
      <c r="V206" s="106">
        <v>0</v>
      </c>
    </row>
    <row r="207" spans="2:22" s="77" customFormat="1" ht="13.8">
      <c r="B207" s="77" t="s">
        <v>465</v>
      </c>
      <c r="C207" s="77" t="str">
        <f t="shared" si="26"/>
        <v>Nightsave Rural</v>
      </c>
      <c r="D207" s="77" t="s">
        <v>71</v>
      </c>
      <c r="E207" s="77" t="str">
        <f t="shared" si="27"/>
        <v>[301 - 600km]</v>
      </c>
      <c r="F207" s="77" t="str">
        <f t="shared" si="27"/>
        <v>&lt; 500V</v>
      </c>
      <c r="G207" s="77" t="str">
        <f t="shared" si="24"/>
        <v>Nightsave Rural_Local Authority_[301 - 600km]_&lt; 500V</v>
      </c>
      <c r="H207" s="77" t="str">
        <f t="shared" si="25"/>
        <v>NR11Y</v>
      </c>
      <c r="I207" s="307">
        <v>0</v>
      </c>
      <c r="J207" s="307">
        <v>0</v>
      </c>
      <c r="K207" s="307">
        <v>0</v>
      </c>
      <c r="L207" s="307">
        <v>0</v>
      </c>
      <c r="M207" s="307">
        <v>0</v>
      </c>
      <c r="N207" s="307">
        <v>0</v>
      </c>
      <c r="O207" s="106">
        <v>706.96</v>
      </c>
      <c r="P207" s="106">
        <v>293.41000000000003</v>
      </c>
      <c r="Q207" s="106">
        <v>0</v>
      </c>
      <c r="R207" s="106">
        <v>0</v>
      </c>
      <c r="S207" s="106">
        <v>0</v>
      </c>
      <c r="T207" s="106">
        <v>40.35</v>
      </c>
      <c r="U207" s="307">
        <v>0</v>
      </c>
      <c r="V207" s="106">
        <v>0</v>
      </c>
    </row>
    <row r="208" spans="2:22" s="77" customFormat="1" ht="13.8">
      <c r="B208" s="77" t="s">
        <v>465</v>
      </c>
      <c r="C208" s="77" t="str">
        <f t="shared" si="26"/>
        <v>Nightsave Rural</v>
      </c>
      <c r="D208" s="77" t="s">
        <v>71</v>
      </c>
      <c r="E208" s="77" t="str">
        <f t="shared" si="27"/>
        <v>[301 - 600km]</v>
      </c>
      <c r="F208" s="77" t="str">
        <f t="shared" si="27"/>
        <v>≥ 500V &amp; &lt; 66kV</v>
      </c>
      <c r="G208" s="77" t="str">
        <f t="shared" si="24"/>
        <v>Nightsave Rural_Local Authority_[301 - 600km]_≥ 500V &amp; &lt; 66kV</v>
      </c>
      <c r="H208" s="77" t="str">
        <f t="shared" si="25"/>
        <v>NR12Y</v>
      </c>
      <c r="I208" s="307">
        <v>0</v>
      </c>
      <c r="J208" s="307">
        <v>0</v>
      </c>
      <c r="K208" s="307">
        <v>0</v>
      </c>
      <c r="L208" s="307">
        <v>0</v>
      </c>
      <c r="M208" s="307">
        <v>0</v>
      </c>
      <c r="N208" s="307">
        <v>0</v>
      </c>
      <c r="O208" s="106">
        <v>685.15</v>
      </c>
      <c r="P208" s="106">
        <v>284.33999999999997</v>
      </c>
      <c r="Q208" s="106">
        <v>0</v>
      </c>
      <c r="R208" s="106">
        <v>0</v>
      </c>
      <c r="S208" s="106">
        <v>0</v>
      </c>
      <c r="T208" s="106">
        <v>36.97</v>
      </c>
      <c r="U208" s="307">
        <v>0</v>
      </c>
      <c r="V208" s="106">
        <v>0</v>
      </c>
    </row>
    <row r="209" spans="2:22" s="77" customFormat="1" ht="13.8">
      <c r="B209" s="77" t="s">
        <v>465</v>
      </c>
      <c r="C209" s="77" t="str">
        <f t="shared" si="26"/>
        <v>Nightsave Rural</v>
      </c>
      <c r="D209" s="77" t="s">
        <v>71</v>
      </c>
      <c r="E209" s="77" t="str">
        <f t="shared" si="27"/>
        <v>[301 - 600km]</v>
      </c>
      <c r="F209" s="77" t="str">
        <f t="shared" si="27"/>
        <v>≥ 66kV &amp; ≤ 132kV</v>
      </c>
      <c r="G209" s="77" t="str">
        <f t="shared" si="24"/>
        <v>Nightsave Rural_Local Authority_[301 - 600km]_≥ 66kV &amp; ≤ 132kV</v>
      </c>
      <c r="H209" s="77" t="str">
        <f t="shared" si="25"/>
        <v>NR13Y</v>
      </c>
      <c r="I209" s="307">
        <v>0</v>
      </c>
      <c r="J209" s="307">
        <v>0</v>
      </c>
      <c r="K209" s="307">
        <v>0</v>
      </c>
      <c r="L209" s="307">
        <v>0</v>
      </c>
      <c r="M209" s="307">
        <v>0</v>
      </c>
      <c r="N209" s="307">
        <v>0</v>
      </c>
      <c r="O209" s="106">
        <v>634.86</v>
      </c>
      <c r="P209" s="106">
        <v>263.47000000000003</v>
      </c>
      <c r="Q209" s="106">
        <v>0</v>
      </c>
      <c r="R209" s="106">
        <v>0</v>
      </c>
      <c r="S209" s="106">
        <v>0</v>
      </c>
      <c r="T209" s="106">
        <v>16.239999999999998</v>
      </c>
      <c r="U209" s="307">
        <v>0</v>
      </c>
      <c r="V209" s="106">
        <v>0</v>
      </c>
    </row>
    <row r="210" spans="2:22" s="77" customFormat="1" ht="13.8">
      <c r="B210" s="77" t="s">
        <v>465</v>
      </c>
      <c r="C210" s="77" t="str">
        <f t="shared" si="26"/>
        <v>Nightsave Rural</v>
      </c>
      <c r="D210" s="77" t="s">
        <v>71</v>
      </c>
      <c r="E210" s="77" t="str">
        <f t="shared" si="27"/>
        <v>[301 - 600km]</v>
      </c>
      <c r="F210" s="77" t="str">
        <f t="shared" si="27"/>
        <v>&gt; 132kV</v>
      </c>
      <c r="G210" s="77" t="str">
        <f t="shared" si="24"/>
        <v>Nightsave Rural_Local Authority_[301 - 600km]_&gt; 132kV</v>
      </c>
      <c r="H210" s="77" t="str">
        <f t="shared" si="25"/>
        <v>NR14Y</v>
      </c>
      <c r="I210" s="307">
        <v>0</v>
      </c>
      <c r="J210" s="307">
        <v>0</v>
      </c>
      <c r="K210" s="307">
        <v>0</v>
      </c>
      <c r="L210" s="307">
        <v>0</v>
      </c>
      <c r="M210" s="307">
        <v>0</v>
      </c>
      <c r="N210" s="307">
        <v>0</v>
      </c>
      <c r="O210" s="106">
        <v>592</v>
      </c>
      <c r="P210" s="106">
        <v>245.68</v>
      </c>
      <c r="Q210" s="106">
        <v>0</v>
      </c>
      <c r="R210" s="106">
        <v>0</v>
      </c>
      <c r="S210" s="106">
        <v>0</v>
      </c>
      <c r="T210" s="106">
        <v>0</v>
      </c>
      <c r="U210" s="307">
        <v>0</v>
      </c>
      <c r="V210" s="106">
        <v>0</v>
      </c>
    </row>
    <row r="211" spans="2:22" s="77" customFormat="1" ht="13.8">
      <c r="B211" s="77" t="s">
        <v>465</v>
      </c>
      <c r="C211" s="77" t="str">
        <f t="shared" si="26"/>
        <v>Nightsave Rural</v>
      </c>
      <c r="D211" s="77" t="s">
        <v>71</v>
      </c>
      <c r="E211" s="77" t="str">
        <f t="shared" si="27"/>
        <v>[601 - 900km]</v>
      </c>
      <c r="F211" s="77" t="str">
        <f t="shared" si="27"/>
        <v>&lt; 500V</v>
      </c>
      <c r="G211" s="77" t="str">
        <f t="shared" si="24"/>
        <v>Nightsave Rural_Local Authority_[601 - 900km]_&lt; 500V</v>
      </c>
      <c r="H211" s="77" t="str">
        <f t="shared" si="25"/>
        <v>NR21Y</v>
      </c>
      <c r="I211" s="307">
        <v>0</v>
      </c>
      <c r="J211" s="307">
        <v>0</v>
      </c>
      <c r="K211" s="307">
        <v>0</v>
      </c>
      <c r="L211" s="307">
        <v>0</v>
      </c>
      <c r="M211" s="307">
        <v>0</v>
      </c>
      <c r="N211" s="307">
        <v>0</v>
      </c>
      <c r="O211" s="106">
        <v>713.61</v>
      </c>
      <c r="P211" s="106">
        <v>296.2</v>
      </c>
      <c r="Q211" s="106">
        <v>0</v>
      </c>
      <c r="R211" s="106">
        <v>0</v>
      </c>
      <c r="S211" s="106">
        <v>0</v>
      </c>
      <c r="T211" s="106">
        <v>40.35</v>
      </c>
      <c r="U211" s="307">
        <v>0</v>
      </c>
      <c r="V211" s="106">
        <v>0</v>
      </c>
    </row>
    <row r="212" spans="2:22" s="77" customFormat="1" ht="13.8">
      <c r="B212" s="77" t="s">
        <v>465</v>
      </c>
      <c r="C212" s="77" t="str">
        <f t="shared" si="26"/>
        <v>Nightsave Rural</v>
      </c>
      <c r="D212" s="77" t="s">
        <v>71</v>
      </c>
      <c r="E212" s="77" t="str">
        <f t="shared" si="27"/>
        <v>[601 - 900km]</v>
      </c>
      <c r="F212" s="77" t="str">
        <f t="shared" si="27"/>
        <v>≥ 500V &amp; &lt; 66kV</v>
      </c>
      <c r="G212" s="77" t="str">
        <f t="shared" si="24"/>
        <v>Nightsave Rural_Local Authority_[601 - 900km]_≥ 500V &amp; &lt; 66kV</v>
      </c>
      <c r="H212" s="77" t="str">
        <f t="shared" si="25"/>
        <v>NR22Y</v>
      </c>
      <c r="I212" s="307">
        <v>0</v>
      </c>
      <c r="J212" s="307">
        <v>0</v>
      </c>
      <c r="K212" s="307">
        <v>0</v>
      </c>
      <c r="L212" s="307">
        <v>0</v>
      </c>
      <c r="M212" s="307">
        <v>0</v>
      </c>
      <c r="N212" s="307">
        <v>0</v>
      </c>
      <c r="O212" s="106">
        <v>692.19</v>
      </c>
      <c r="P212" s="106">
        <v>287.27999999999997</v>
      </c>
      <c r="Q212" s="106">
        <v>0</v>
      </c>
      <c r="R212" s="106">
        <v>0</v>
      </c>
      <c r="S212" s="106">
        <v>0</v>
      </c>
      <c r="T212" s="106">
        <v>36.97</v>
      </c>
      <c r="U212" s="307">
        <v>0</v>
      </c>
      <c r="V212" s="106">
        <v>0</v>
      </c>
    </row>
    <row r="213" spans="2:22" s="77" customFormat="1" ht="13.8">
      <c r="B213" s="77" t="s">
        <v>465</v>
      </c>
      <c r="C213" s="77" t="str">
        <f t="shared" si="26"/>
        <v>Nightsave Rural</v>
      </c>
      <c r="D213" s="77" t="s">
        <v>71</v>
      </c>
      <c r="E213" s="77" t="str">
        <f t="shared" si="27"/>
        <v>[601 - 900km]</v>
      </c>
      <c r="F213" s="77" t="str">
        <f t="shared" si="27"/>
        <v>≥ 66kV &amp; ≤ 132kV</v>
      </c>
      <c r="G213" s="77" t="str">
        <f t="shared" si="24"/>
        <v>Nightsave Rural_Local Authority_[601 - 900km]_≥ 66kV &amp; ≤ 132kV</v>
      </c>
      <c r="H213" s="77" t="str">
        <f t="shared" si="25"/>
        <v>NR23Y</v>
      </c>
      <c r="I213" s="307">
        <v>0</v>
      </c>
      <c r="J213" s="307">
        <v>0</v>
      </c>
      <c r="K213" s="307">
        <v>0</v>
      </c>
      <c r="L213" s="307">
        <v>0</v>
      </c>
      <c r="M213" s="307">
        <v>0</v>
      </c>
      <c r="N213" s="307">
        <v>0</v>
      </c>
      <c r="O213" s="106">
        <v>641.14</v>
      </c>
      <c r="P213" s="106">
        <v>266.08999999999997</v>
      </c>
      <c r="Q213" s="106">
        <v>0</v>
      </c>
      <c r="R213" s="106">
        <v>0</v>
      </c>
      <c r="S213" s="106">
        <v>0</v>
      </c>
      <c r="T213" s="106">
        <v>16.239999999999998</v>
      </c>
      <c r="U213" s="307">
        <v>0</v>
      </c>
      <c r="V213" s="106">
        <v>0</v>
      </c>
    </row>
    <row r="214" spans="2:22" s="77" customFormat="1" ht="13.8">
      <c r="B214" s="77" t="s">
        <v>465</v>
      </c>
      <c r="C214" s="77" t="str">
        <f t="shared" si="26"/>
        <v>Nightsave Rural</v>
      </c>
      <c r="D214" s="77" t="s">
        <v>71</v>
      </c>
      <c r="E214" s="77" t="str">
        <f t="shared" si="27"/>
        <v>[601 - 900km]</v>
      </c>
      <c r="F214" s="77" t="str">
        <f t="shared" si="27"/>
        <v>&gt; 132kV</v>
      </c>
      <c r="G214" s="77" t="str">
        <f t="shared" si="24"/>
        <v>Nightsave Rural_Local Authority_[601 - 900km]_&gt; 132kV</v>
      </c>
      <c r="H214" s="77" t="str">
        <f t="shared" si="25"/>
        <v>NR24Y</v>
      </c>
      <c r="I214" s="307">
        <v>0</v>
      </c>
      <c r="J214" s="307">
        <v>0</v>
      </c>
      <c r="K214" s="307">
        <v>0</v>
      </c>
      <c r="L214" s="307">
        <v>0</v>
      </c>
      <c r="M214" s="307">
        <v>0</v>
      </c>
      <c r="N214" s="307">
        <v>0</v>
      </c>
      <c r="O214" s="106">
        <v>597.86</v>
      </c>
      <c r="P214" s="106">
        <v>248.12</v>
      </c>
      <c r="Q214" s="106">
        <v>0</v>
      </c>
      <c r="R214" s="106">
        <v>0</v>
      </c>
      <c r="S214" s="106">
        <v>0</v>
      </c>
      <c r="T214" s="106">
        <v>0</v>
      </c>
      <c r="U214" s="307">
        <v>0</v>
      </c>
      <c r="V214" s="106">
        <v>0</v>
      </c>
    </row>
    <row r="215" spans="2:22" s="77" customFormat="1" ht="13.8">
      <c r="B215" s="77" t="s">
        <v>465</v>
      </c>
      <c r="C215" s="77" t="str">
        <f t="shared" si="26"/>
        <v>Nightsave Rural</v>
      </c>
      <c r="D215" s="77" t="s">
        <v>71</v>
      </c>
      <c r="E215" s="77" t="str">
        <f t="shared" si="27"/>
        <v>[&gt; 900km]</v>
      </c>
      <c r="F215" s="77" t="str">
        <f t="shared" si="27"/>
        <v>&lt; 500V</v>
      </c>
      <c r="G215" s="77" t="str">
        <f t="shared" si="24"/>
        <v>Nightsave Rural_Local Authority_[&gt; 900km]_&lt; 500V</v>
      </c>
      <c r="H215" s="77" t="str">
        <f t="shared" si="25"/>
        <v>NR31Y</v>
      </c>
      <c r="I215" s="307">
        <v>0</v>
      </c>
      <c r="J215" s="307">
        <v>0</v>
      </c>
      <c r="K215" s="307">
        <v>0</v>
      </c>
      <c r="L215" s="307">
        <v>0</v>
      </c>
      <c r="M215" s="307">
        <v>0</v>
      </c>
      <c r="N215" s="307">
        <v>0</v>
      </c>
      <c r="O215" s="106">
        <v>721.57</v>
      </c>
      <c r="P215" s="106">
        <v>299.44</v>
      </c>
      <c r="Q215" s="106">
        <v>0</v>
      </c>
      <c r="R215" s="106">
        <v>0</v>
      </c>
      <c r="S215" s="106">
        <v>0</v>
      </c>
      <c r="T215" s="106">
        <v>40.35</v>
      </c>
      <c r="U215" s="307">
        <v>0</v>
      </c>
      <c r="V215" s="106">
        <v>0</v>
      </c>
    </row>
    <row r="216" spans="2:22" s="77" customFormat="1" ht="13.8">
      <c r="B216" s="77" t="s">
        <v>465</v>
      </c>
      <c r="C216" s="77" t="str">
        <f t="shared" si="26"/>
        <v>Nightsave Rural</v>
      </c>
      <c r="D216" s="77" t="s">
        <v>71</v>
      </c>
      <c r="E216" s="77" t="str">
        <f t="shared" si="27"/>
        <v>[&gt; 900km]</v>
      </c>
      <c r="F216" s="77" t="str">
        <f t="shared" si="27"/>
        <v>≥ 500V &amp; &lt; 66kV</v>
      </c>
      <c r="G216" s="77" t="str">
        <f t="shared" si="24"/>
        <v>Nightsave Rural_Local Authority_[&gt; 900km]_≥ 500V &amp; &lt; 66kV</v>
      </c>
      <c r="H216" s="77" t="str">
        <f t="shared" si="25"/>
        <v>NR32Y</v>
      </c>
      <c r="I216" s="307">
        <v>0</v>
      </c>
      <c r="J216" s="307">
        <v>0</v>
      </c>
      <c r="K216" s="307">
        <v>0</v>
      </c>
      <c r="L216" s="307">
        <v>0</v>
      </c>
      <c r="M216" s="307">
        <v>0</v>
      </c>
      <c r="N216" s="307">
        <v>0</v>
      </c>
      <c r="O216" s="106">
        <v>698.76</v>
      </c>
      <c r="P216" s="106">
        <v>289.98</v>
      </c>
      <c r="Q216" s="106">
        <v>0</v>
      </c>
      <c r="R216" s="106">
        <v>0</v>
      </c>
      <c r="S216" s="106">
        <v>0</v>
      </c>
      <c r="T216" s="106">
        <v>36.97</v>
      </c>
      <c r="U216" s="307">
        <v>0</v>
      </c>
      <c r="V216" s="106">
        <v>0</v>
      </c>
    </row>
    <row r="217" spans="2:22" s="77" customFormat="1" ht="13.8">
      <c r="B217" s="77" t="s">
        <v>465</v>
      </c>
      <c r="C217" s="77" t="str">
        <f t="shared" si="26"/>
        <v>Nightsave Rural</v>
      </c>
      <c r="D217" s="77" t="s">
        <v>71</v>
      </c>
      <c r="E217" s="77" t="str">
        <f t="shared" si="27"/>
        <v>[&gt; 900km]</v>
      </c>
      <c r="F217" s="77" t="str">
        <f t="shared" si="27"/>
        <v>≥ 66kV &amp; ≤ 132kV</v>
      </c>
      <c r="G217" s="77" t="str">
        <f t="shared" si="24"/>
        <v>Nightsave Rural_Local Authority_[&gt; 900km]_≥ 66kV &amp; ≤ 132kV</v>
      </c>
      <c r="H217" s="77" t="str">
        <f t="shared" si="25"/>
        <v>NR33Y</v>
      </c>
      <c r="I217" s="307">
        <v>0</v>
      </c>
      <c r="J217" s="307">
        <v>0</v>
      </c>
      <c r="K217" s="307">
        <v>0</v>
      </c>
      <c r="L217" s="307">
        <v>0</v>
      </c>
      <c r="M217" s="307">
        <v>0</v>
      </c>
      <c r="N217" s="307">
        <v>0</v>
      </c>
      <c r="O217" s="106">
        <v>647.42999999999995</v>
      </c>
      <c r="P217" s="106">
        <v>268.68</v>
      </c>
      <c r="Q217" s="106">
        <v>0</v>
      </c>
      <c r="R217" s="106">
        <v>0</v>
      </c>
      <c r="S217" s="106">
        <v>0</v>
      </c>
      <c r="T217" s="106">
        <v>16.239999999999998</v>
      </c>
      <c r="U217" s="307">
        <v>0</v>
      </c>
      <c r="V217" s="106">
        <v>0</v>
      </c>
    </row>
    <row r="218" spans="2:22" s="77" customFormat="1" ht="13.8">
      <c r="B218" s="77" t="s">
        <v>465</v>
      </c>
      <c r="C218" s="77" t="str">
        <f t="shared" si="26"/>
        <v>Nightsave Rural</v>
      </c>
      <c r="D218" s="77" t="s">
        <v>71</v>
      </c>
      <c r="E218" s="77" t="str">
        <f t="shared" si="27"/>
        <v>[&gt; 900km]</v>
      </c>
      <c r="F218" s="77" t="str">
        <f t="shared" si="27"/>
        <v>&gt; 132kV</v>
      </c>
      <c r="G218" s="77" t="str">
        <f t="shared" si="24"/>
        <v>Nightsave Rural_Local Authority_[&gt; 900km]_&gt; 132kV</v>
      </c>
      <c r="H218" s="77" t="str">
        <f t="shared" si="25"/>
        <v>NR34Y</v>
      </c>
      <c r="I218" s="307">
        <v>0</v>
      </c>
      <c r="J218" s="307">
        <v>0</v>
      </c>
      <c r="K218" s="307">
        <v>0</v>
      </c>
      <c r="L218" s="307">
        <v>0</v>
      </c>
      <c r="M218" s="307">
        <v>0</v>
      </c>
      <c r="N218" s="307">
        <v>0</v>
      </c>
      <c r="O218" s="106">
        <v>603.72</v>
      </c>
      <c r="P218" s="106">
        <v>250.55</v>
      </c>
      <c r="Q218" s="106">
        <v>0</v>
      </c>
      <c r="R218" s="106">
        <v>0</v>
      </c>
      <c r="S218" s="106">
        <v>0</v>
      </c>
      <c r="T218" s="106">
        <v>0</v>
      </c>
      <c r="U218" s="307">
        <v>0</v>
      </c>
      <c r="V218" s="106">
        <v>0</v>
      </c>
    </row>
    <row r="219" spans="2:22" s="77" customFormat="1" ht="13.8"/>
    <row r="220" spans="2:22" s="77" customFormat="1" ht="13.8">
      <c r="C220" s="77" t="s">
        <v>583</v>
      </c>
      <c r="D220" s="77" t="s">
        <v>72</v>
      </c>
      <c r="E220" s="77" t="s">
        <v>67</v>
      </c>
      <c r="F220" s="77" t="s">
        <v>62</v>
      </c>
      <c r="G220" s="77" t="str">
        <f>C220&amp;"_"&amp;D220&amp;"_"&amp;E220&amp;"_"&amp;F220</f>
        <v>Transflex 1_Non-Local Authority_[0 - 300km]_&lt; 500V</v>
      </c>
      <c r="H220" s="77" t="str">
        <f>INDEX(Matrix_Tariff_Map,MATCH(C220,Matrix_Model_Tariffs,0),2)&amp;INDEX(Matrix_Transmission_Map,MATCH(E220,Matrix_Model_Transmission,0),2)&amp;INDEX(Matrix_Voltage_Map,MATCH(F220,Matrix_Model_Voltage,0),2)&amp;INDEX(Matrix_Category_Map,MATCH(D220,Matrix_Model_Category,0),2)</f>
        <v>T101N</v>
      </c>
      <c r="I220" s="106">
        <v>684.59</v>
      </c>
      <c r="J220" s="106">
        <v>171.15</v>
      </c>
      <c r="K220" s="106">
        <v>114.09</v>
      </c>
      <c r="L220" s="106">
        <v>284.12</v>
      </c>
      <c r="M220" s="106">
        <v>159.74</v>
      </c>
      <c r="N220" s="106">
        <v>114.09</v>
      </c>
      <c r="O220" s="85" t="s">
        <v>118</v>
      </c>
      <c r="P220" s="85" t="s">
        <v>118</v>
      </c>
      <c r="Q220" s="85" t="s">
        <v>118</v>
      </c>
      <c r="R220" s="85" t="s">
        <v>118</v>
      </c>
      <c r="S220" s="106">
        <v>0</v>
      </c>
      <c r="T220" s="106">
        <v>6962.2</v>
      </c>
      <c r="U220" s="106">
        <v>1376.74</v>
      </c>
      <c r="V220" s="106">
        <v>22.78</v>
      </c>
    </row>
    <row r="221" spans="2:22" s="77" customFormat="1" ht="13.8">
      <c r="C221" s="77" t="s">
        <v>583</v>
      </c>
      <c r="D221" s="77" t="s">
        <v>72</v>
      </c>
      <c r="E221" s="77" t="s">
        <v>67</v>
      </c>
      <c r="F221" s="77" t="s">
        <v>63</v>
      </c>
      <c r="G221" s="77" t="str">
        <f t="shared" ref="G221:G251" si="28">C221&amp;"_"&amp;D221&amp;"_"&amp;E221&amp;"_"&amp;F221</f>
        <v>Transflex 1_Non-Local Authority_[0 - 300km]_≥ 500V &amp; &lt; 66kV</v>
      </c>
      <c r="H221" s="77" t="str">
        <f>INDEX(Matrix_Tariff_Map,MATCH(C221,Matrix_Model_Tariffs,0),2)&amp;INDEX(Matrix_Transmission_Map,MATCH(E221,Matrix_Model_Transmission,0),2)&amp;INDEX(Matrix_Voltage_Map,MATCH(F221,Matrix_Model_Voltage,0),2)&amp;INDEX(Matrix_Category_Map,MATCH(D221,Matrix_Model_Category,0),2)</f>
        <v>T102N</v>
      </c>
      <c r="I221" s="106">
        <v>666.92</v>
      </c>
      <c r="J221" s="106">
        <v>166.73</v>
      </c>
      <c r="K221" s="106">
        <v>111.15</v>
      </c>
      <c r="L221" s="106">
        <v>276.77999999999997</v>
      </c>
      <c r="M221" s="106">
        <v>155.62</v>
      </c>
      <c r="N221" s="106">
        <v>111.15</v>
      </c>
      <c r="O221" s="85" t="s">
        <v>118</v>
      </c>
      <c r="P221" s="85" t="s">
        <v>118</v>
      </c>
      <c r="Q221" s="85" t="s">
        <v>118</v>
      </c>
      <c r="R221" s="85" t="s">
        <v>118</v>
      </c>
      <c r="S221" s="106">
        <v>0</v>
      </c>
      <c r="T221" s="106">
        <v>6782.6</v>
      </c>
      <c r="U221" s="106">
        <v>1341.21</v>
      </c>
      <c r="V221" s="106">
        <v>22.2</v>
      </c>
    </row>
    <row r="222" spans="2:22" s="77" customFormat="1" ht="13.8">
      <c r="C222" s="77" t="s">
        <v>583</v>
      </c>
      <c r="D222" s="77" t="s">
        <v>72</v>
      </c>
      <c r="E222" s="77" t="s">
        <v>67</v>
      </c>
      <c r="F222" s="77" t="s">
        <v>64</v>
      </c>
      <c r="G222" s="77" t="str">
        <f t="shared" si="28"/>
        <v>Transflex 1_Non-Local Authority_[0 - 300km]_≥ 66kV &amp; ≤ 132kV</v>
      </c>
      <c r="H222" s="77" t="str">
        <f>INDEX(Matrix_Tariff_Map,MATCH(C222,Matrix_Model_Tariffs,0),2)&amp;INDEX(Matrix_Transmission_Map,MATCH(E222,Matrix_Model_Transmission,0),2)&amp;INDEX(Matrix_Voltage_Map,MATCH(F222,Matrix_Model_Voltage,0),2)&amp;INDEX(Matrix_Category_Map,MATCH(D222,Matrix_Model_Category,0),2)</f>
        <v>T103N</v>
      </c>
      <c r="I222" s="106">
        <v>618.91</v>
      </c>
      <c r="J222" s="106">
        <v>154.72</v>
      </c>
      <c r="K222" s="106">
        <v>103.15</v>
      </c>
      <c r="L222" s="106">
        <v>256.86</v>
      </c>
      <c r="M222" s="106">
        <v>144.41999999999999</v>
      </c>
      <c r="N222" s="106">
        <v>103.15</v>
      </c>
      <c r="O222" s="85" t="s">
        <v>118</v>
      </c>
      <c r="P222" s="85" t="s">
        <v>118</v>
      </c>
      <c r="Q222" s="85" t="s">
        <v>118</v>
      </c>
      <c r="R222" s="85" t="s">
        <v>118</v>
      </c>
      <c r="S222" s="106">
        <v>0</v>
      </c>
      <c r="T222" s="106">
        <v>6294.27</v>
      </c>
      <c r="U222" s="106">
        <v>1244.6500000000001</v>
      </c>
      <c r="V222" s="106">
        <v>20.6</v>
      </c>
    </row>
    <row r="223" spans="2:22" s="77" customFormat="1" ht="13.8">
      <c r="C223" s="77" t="s">
        <v>583</v>
      </c>
      <c r="D223" s="77" t="s">
        <v>72</v>
      </c>
      <c r="E223" s="77" t="s">
        <v>67</v>
      </c>
      <c r="F223" s="77" t="s">
        <v>65</v>
      </c>
      <c r="G223" s="77" t="str">
        <f t="shared" si="28"/>
        <v>Transflex 1_Non-Local Authority_[0 - 300km]_&gt; 132kV</v>
      </c>
      <c r="H223" s="77" t="str">
        <f>INDEX(Matrix_Tariff_Map,MATCH(C223,Matrix_Model_Tariffs,0),2)&amp;INDEX(Matrix_Transmission_Map,MATCH(E223,Matrix_Model_Transmission,0),2)&amp;INDEX(Matrix_Voltage_Map,MATCH(F223,Matrix_Model_Voltage,0),2)&amp;INDEX(Matrix_Category_Map,MATCH(D223,Matrix_Model_Category,0),2)</f>
        <v>T104N</v>
      </c>
      <c r="I223" s="106">
        <v>577.13</v>
      </c>
      <c r="J223" s="106">
        <v>144.28</v>
      </c>
      <c r="K223" s="106">
        <v>96.19</v>
      </c>
      <c r="L223" s="106">
        <v>239.52</v>
      </c>
      <c r="M223" s="106">
        <v>134.66999999999999</v>
      </c>
      <c r="N223" s="106">
        <v>96.19</v>
      </c>
      <c r="O223" s="85" t="s">
        <v>118</v>
      </c>
      <c r="P223" s="85" t="s">
        <v>118</v>
      </c>
      <c r="Q223" s="85" t="s">
        <v>118</v>
      </c>
      <c r="R223" s="85" t="s">
        <v>118</v>
      </c>
      <c r="S223" s="106">
        <v>0</v>
      </c>
      <c r="T223" s="106">
        <v>5834.33</v>
      </c>
      <c r="U223" s="106">
        <v>1160.6199999999999</v>
      </c>
      <c r="V223" s="106">
        <v>19.21</v>
      </c>
    </row>
    <row r="224" spans="2:22" s="77" customFormat="1" ht="13.8">
      <c r="C224" s="77" t="s">
        <v>583</v>
      </c>
      <c r="D224" s="77" t="s">
        <v>72</v>
      </c>
      <c r="E224" s="77" t="s">
        <v>68</v>
      </c>
      <c r="F224" s="77" t="s">
        <v>62</v>
      </c>
      <c r="G224" s="77" t="str">
        <f>C251&amp;"_"&amp;D251&amp;"_"&amp;E251&amp;"_"&amp;F251</f>
        <v>Transflex 2_Non-Local Authority_[&gt; 900km]_&gt; 132kV</v>
      </c>
      <c r="H224" s="77" t="str">
        <f>INDEX(Matrix_Tariff_Map,MATCH(C251,Matrix_Model_Tariffs,0),2)&amp;INDEX(Matrix_Transmission_Map,MATCH(E251,Matrix_Model_Transmission,0),2)&amp;INDEX(Matrix_Voltage_Map,MATCH(F251,Matrix_Model_Voltage,0),2)&amp;INDEX(Matrix_Category_Map,MATCH(D251,Matrix_Model_Category,0),2)</f>
        <v>T234N</v>
      </c>
      <c r="I224" s="106">
        <v>594.44000000000005</v>
      </c>
      <c r="J224" s="106">
        <v>148.61000000000001</v>
      </c>
      <c r="K224" s="106">
        <v>99.06</v>
      </c>
      <c r="L224" s="106">
        <v>246.7</v>
      </c>
      <c r="M224" s="106">
        <v>138.69999999999999</v>
      </c>
      <c r="N224" s="106">
        <v>99.06</v>
      </c>
      <c r="O224" s="85" t="s">
        <v>118</v>
      </c>
      <c r="P224" s="85" t="s">
        <v>118</v>
      </c>
      <c r="Q224" s="85" t="s">
        <v>118</v>
      </c>
      <c r="R224" s="85" t="s">
        <v>118</v>
      </c>
      <c r="S224" s="106">
        <v>0</v>
      </c>
      <c r="T224" s="106">
        <v>9157.5400000000009</v>
      </c>
      <c r="U224" s="106">
        <v>1123.6600000000001</v>
      </c>
      <c r="V224" s="106">
        <v>19.21</v>
      </c>
    </row>
    <row r="225" spans="3:22" s="77" customFormat="1" ht="13.8">
      <c r="C225" s="77" t="s">
        <v>583</v>
      </c>
      <c r="D225" s="77" t="s">
        <v>72</v>
      </c>
      <c r="E225" s="77" t="s">
        <v>68</v>
      </c>
      <c r="F225" s="77" t="s">
        <v>63</v>
      </c>
      <c r="G225" s="77" t="str">
        <f t="shared" si="28"/>
        <v>Transflex 1_Non-Local Authority_[301 - 600km]_≥ 500V &amp; &lt; 66kV</v>
      </c>
      <c r="H225" s="77" t="str">
        <f t="shared" ref="H225:H251" si="29">INDEX(Matrix_Tariff_Map,MATCH(C225,Matrix_Model_Tariffs,0),2)&amp;INDEX(Matrix_Transmission_Map,MATCH(E225,Matrix_Model_Transmission,0),2)&amp;INDEX(Matrix_Voltage_Map,MATCH(F225,Matrix_Model_Voltage,0),2)&amp;INDEX(Matrix_Category_Map,MATCH(D225,Matrix_Model_Category,0),2)</f>
        <v>T112N</v>
      </c>
      <c r="I225" s="106">
        <v>673.6</v>
      </c>
      <c r="J225" s="106">
        <v>168.4</v>
      </c>
      <c r="K225" s="106">
        <v>112.27</v>
      </c>
      <c r="L225" s="106">
        <v>279.55</v>
      </c>
      <c r="M225" s="106">
        <v>157.16999999999999</v>
      </c>
      <c r="N225" s="106">
        <v>112.27</v>
      </c>
      <c r="O225" s="85" t="s">
        <v>118</v>
      </c>
      <c r="P225" s="85" t="s">
        <v>118</v>
      </c>
      <c r="Q225" s="85" t="s">
        <v>118</v>
      </c>
      <c r="R225" s="85" t="s">
        <v>118</v>
      </c>
      <c r="S225" s="106">
        <v>0</v>
      </c>
      <c r="T225" s="106">
        <v>6850.01</v>
      </c>
      <c r="U225" s="106">
        <v>1341.21</v>
      </c>
      <c r="V225" s="106">
        <v>22.2</v>
      </c>
    </row>
    <row r="226" spans="3:22" s="77" customFormat="1" ht="13.8">
      <c r="C226" s="77" t="s">
        <v>583</v>
      </c>
      <c r="D226" s="77" t="s">
        <v>72</v>
      </c>
      <c r="E226" s="77" t="s">
        <v>68</v>
      </c>
      <c r="F226" s="77" t="s">
        <v>64</v>
      </c>
      <c r="G226" s="77" t="str">
        <f t="shared" si="28"/>
        <v>Transflex 1_Non-Local Authority_[301 - 600km]_≥ 66kV &amp; ≤ 132kV</v>
      </c>
      <c r="H226" s="77" t="str">
        <f t="shared" si="29"/>
        <v>T113N</v>
      </c>
      <c r="I226" s="106">
        <v>625.1</v>
      </c>
      <c r="J226" s="106">
        <v>156.28</v>
      </c>
      <c r="K226" s="106">
        <v>104.18</v>
      </c>
      <c r="L226" s="106">
        <v>259.43</v>
      </c>
      <c r="M226" s="106">
        <v>145.86000000000001</v>
      </c>
      <c r="N226" s="106">
        <v>104.18</v>
      </c>
      <c r="O226" s="85" t="s">
        <v>118</v>
      </c>
      <c r="P226" s="85" t="s">
        <v>118</v>
      </c>
      <c r="Q226" s="85" t="s">
        <v>118</v>
      </c>
      <c r="R226" s="85" t="s">
        <v>118</v>
      </c>
      <c r="S226" s="106">
        <v>0</v>
      </c>
      <c r="T226" s="106">
        <v>6356.83</v>
      </c>
      <c r="U226" s="106">
        <v>1244.6500000000001</v>
      </c>
      <c r="V226" s="106">
        <v>20.6</v>
      </c>
    </row>
    <row r="227" spans="3:22" s="77" customFormat="1" ht="13.8">
      <c r="C227" s="77" t="s">
        <v>583</v>
      </c>
      <c r="D227" s="77" t="s">
        <v>72</v>
      </c>
      <c r="E227" s="77" t="s">
        <v>68</v>
      </c>
      <c r="F227" s="77" t="s">
        <v>65</v>
      </c>
      <c r="G227" s="77" t="str">
        <f t="shared" si="28"/>
        <v>Transflex 1_Non-Local Authority_[301 - 600km]_&gt; 132kV</v>
      </c>
      <c r="H227" s="77" t="str">
        <f t="shared" si="29"/>
        <v>T114N</v>
      </c>
      <c r="I227" s="106">
        <v>582.9</v>
      </c>
      <c r="J227" s="106">
        <v>145.72999999999999</v>
      </c>
      <c r="K227" s="106">
        <v>97.15</v>
      </c>
      <c r="L227" s="106">
        <v>241.91</v>
      </c>
      <c r="M227" s="106">
        <v>136.01</v>
      </c>
      <c r="N227" s="106">
        <v>97.15</v>
      </c>
      <c r="O227" s="85" t="s">
        <v>118</v>
      </c>
      <c r="P227" s="85" t="s">
        <v>118</v>
      </c>
      <c r="Q227" s="85" t="s">
        <v>118</v>
      </c>
      <c r="R227" s="85" t="s">
        <v>118</v>
      </c>
      <c r="S227" s="106">
        <v>0</v>
      </c>
      <c r="T227" s="106">
        <v>5927.68</v>
      </c>
      <c r="U227" s="106">
        <v>1160.6199999999999</v>
      </c>
      <c r="V227" s="106">
        <v>19.21</v>
      </c>
    </row>
    <row r="228" spans="3:22" s="77" customFormat="1" ht="13.8">
      <c r="C228" s="77" t="s">
        <v>583</v>
      </c>
      <c r="D228" s="77" t="s">
        <v>72</v>
      </c>
      <c r="E228" s="77" t="s">
        <v>69</v>
      </c>
      <c r="F228" s="77" t="s">
        <v>62</v>
      </c>
      <c r="G228" s="77" t="str">
        <f t="shared" si="28"/>
        <v>Transflex 1_Non-Local Authority_[601 - 900km]_&lt; 500V</v>
      </c>
      <c r="H228" s="77" t="str">
        <f t="shared" si="29"/>
        <v>T121N</v>
      </c>
      <c r="I228" s="106">
        <v>698.28</v>
      </c>
      <c r="J228" s="106">
        <v>174.57</v>
      </c>
      <c r="K228" s="106">
        <v>116.37</v>
      </c>
      <c r="L228" s="106">
        <v>289.8</v>
      </c>
      <c r="M228" s="106">
        <v>162.93</v>
      </c>
      <c r="N228" s="106">
        <v>116.37</v>
      </c>
      <c r="O228" s="85" t="s">
        <v>118</v>
      </c>
      <c r="P228" s="85" t="s">
        <v>118</v>
      </c>
      <c r="Q228" s="85" t="s">
        <v>118</v>
      </c>
      <c r="R228" s="85" t="s">
        <v>118</v>
      </c>
      <c r="S228" s="106">
        <v>0</v>
      </c>
      <c r="T228" s="106">
        <v>7101.3</v>
      </c>
      <c r="U228" s="106">
        <v>1376.74</v>
      </c>
      <c r="V228" s="106">
        <v>22.78</v>
      </c>
    </row>
    <row r="229" spans="3:22" s="77" customFormat="1" ht="13.8">
      <c r="C229" s="77" t="s">
        <v>583</v>
      </c>
      <c r="D229" s="77" t="s">
        <v>72</v>
      </c>
      <c r="E229" s="77" t="s">
        <v>69</v>
      </c>
      <c r="F229" s="77" t="s">
        <v>63</v>
      </c>
      <c r="G229" s="77" t="str">
        <f t="shared" si="28"/>
        <v>Transflex 1_Non-Local Authority_[601 - 900km]_≥ 500V &amp; &lt; 66kV</v>
      </c>
      <c r="H229" s="77" t="str">
        <f t="shared" si="29"/>
        <v>T122N</v>
      </c>
      <c r="I229" s="106">
        <v>680.27</v>
      </c>
      <c r="J229" s="106">
        <v>170.07</v>
      </c>
      <c r="K229" s="106">
        <v>113.37</v>
      </c>
      <c r="L229" s="106">
        <v>282.32</v>
      </c>
      <c r="M229" s="106">
        <v>158.72999999999999</v>
      </c>
      <c r="N229" s="106">
        <v>113.37</v>
      </c>
      <c r="O229" s="85" t="s">
        <v>118</v>
      </c>
      <c r="P229" s="85" t="s">
        <v>118</v>
      </c>
      <c r="Q229" s="85" t="s">
        <v>118</v>
      </c>
      <c r="R229" s="85" t="s">
        <v>118</v>
      </c>
      <c r="S229" s="106">
        <v>0</v>
      </c>
      <c r="T229" s="106">
        <v>6918.12</v>
      </c>
      <c r="U229" s="106">
        <v>1341.21</v>
      </c>
      <c r="V229" s="106">
        <v>22.2</v>
      </c>
    </row>
    <row r="230" spans="3:22" s="77" customFormat="1" ht="13.8">
      <c r="C230" s="77" t="s">
        <v>583</v>
      </c>
      <c r="D230" s="77" t="s">
        <v>72</v>
      </c>
      <c r="E230" s="77" t="s">
        <v>69</v>
      </c>
      <c r="F230" s="77" t="s">
        <v>64</v>
      </c>
      <c r="G230" s="77" t="str">
        <f t="shared" si="28"/>
        <v>Transflex 1_Non-Local Authority_[601 - 900km]_≥ 66kV &amp; ≤ 132kV</v>
      </c>
      <c r="H230" s="77" t="str">
        <f t="shared" si="29"/>
        <v>T123N</v>
      </c>
      <c r="I230" s="106">
        <v>631.29</v>
      </c>
      <c r="J230" s="106">
        <v>157.82</v>
      </c>
      <c r="K230" s="106">
        <v>105.21</v>
      </c>
      <c r="L230" s="106">
        <v>262</v>
      </c>
      <c r="M230" s="106">
        <v>147.31</v>
      </c>
      <c r="N230" s="106">
        <v>105.21</v>
      </c>
      <c r="O230" s="85" t="s">
        <v>118</v>
      </c>
      <c r="P230" s="85" t="s">
        <v>118</v>
      </c>
      <c r="Q230" s="85" t="s">
        <v>118</v>
      </c>
      <c r="R230" s="85" t="s">
        <v>118</v>
      </c>
      <c r="S230" s="106">
        <v>0</v>
      </c>
      <c r="T230" s="106">
        <v>6420.04</v>
      </c>
      <c r="U230" s="106">
        <v>1244.6500000000001</v>
      </c>
      <c r="V230" s="106">
        <v>20.6</v>
      </c>
    </row>
    <row r="231" spans="3:22" s="77" customFormat="1" ht="13.8">
      <c r="C231" s="77" t="s">
        <v>583</v>
      </c>
      <c r="D231" s="77" t="s">
        <v>72</v>
      </c>
      <c r="E231" s="77" t="s">
        <v>69</v>
      </c>
      <c r="F231" s="77" t="s">
        <v>65</v>
      </c>
      <c r="G231" s="77" t="str">
        <f t="shared" si="28"/>
        <v>Transflex 1_Non-Local Authority_[601 - 900km]_&gt; 132kV</v>
      </c>
      <c r="H231" s="77" t="str">
        <f t="shared" si="29"/>
        <v>T124N</v>
      </c>
      <c r="I231" s="106">
        <v>588.66999999999996</v>
      </c>
      <c r="J231" s="106">
        <v>147.16999999999999</v>
      </c>
      <c r="K231" s="106">
        <v>98.11</v>
      </c>
      <c r="L231" s="106">
        <v>244.31</v>
      </c>
      <c r="M231" s="106">
        <v>137.36000000000001</v>
      </c>
      <c r="N231" s="106">
        <v>98.11</v>
      </c>
      <c r="O231" s="85" t="s">
        <v>118</v>
      </c>
      <c r="P231" s="85" t="s">
        <v>118</v>
      </c>
      <c r="Q231" s="85" t="s">
        <v>118</v>
      </c>
      <c r="R231" s="85" t="s">
        <v>118</v>
      </c>
      <c r="S231" s="106">
        <v>0</v>
      </c>
      <c r="T231" s="106">
        <v>5986.6</v>
      </c>
      <c r="U231" s="106">
        <v>1160.6199999999999</v>
      </c>
      <c r="V231" s="106">
        <v>19.21</v>
      </c>
    </row>
    <row r="232" spans="3:22" s="77" customFormat="1" ht="13.8">
      <c r="C232" s="77" t="s">
        <v>583</v>
      </c>
      <c r="D232" s="77" t="s">
        <v>72</v>
      </c>
      <c r="E232" s="77" t="s">
        <v>70</v>
      </c>
      <c r="F232" s="77" t="s">
        <v>62</v>
      </c>
      <c r="G232" s="77" t="str">
        <f t="shared" si="28"/>
        <v>Transflex 1_Non-Local Authority_[&gt; 900km]_&lt; 500V</v>
      </c>
      <c r="H232" s="77" t="str">
        <f t="shared" si="29"/>
        <v>T131N</v>
      </c>
      <c r="I232" s="106">
        <v>705.13</v>
      </c>
      <c r="J232" s="106">
        <v>176.28</v>
      </c>
      <c r="K232" s="106">
        <v>117.52</v>
      </c>
      <c r="L232" s="106">
        <v>292.64</v>
      </c>
      <c r="M232" s="106">
        <v>164.53</v>
      </c>
      <c r="N232" s="106">
        <v>117.52</v>
      </c>
      <c r="O232" s="85" t="s">
        <v>118</v>
      </c>
      <c r="P232" s="85" t="s">
        <v>118</v>
      </c>
      <c r="Q232" s="85" t="s">
        <v>118</v>
      </c>
      <c r="R232" s="85" t="s">
        <v>118</v>
      </c>
      <c r="S232" s="106">
        <v>0</v>
      </c>
      <c r="T232" s="106">
        <v>7170.51</v>
      </c>
      <c r="U232" s="106">
        <v>1376.74</v>
      </c>
      <c r="V232" s="106">
        <v>22.78</v>
      </c>
    </row>
    <row r="233" spans="3:22" s="77" customFormat="1" ht="13.8">
      <c r="C233" s="77" t="s">
        <v>583</v>
      </c>
      <c r="D233" s="77" t="s">
        <v>72</v>
      </c>
      <c r="E233" s="77" t="s">
        <v>70</v>
      </c>
      <c r="F233" s="77" t="s">
        <v>63</v>
      </c>
      <c r="G233" s="77" t="str">
        <f t="shared" si="28"/>
        <v>Transflex 1_Non-Local Authority_[&gt; 900km]_≥ 500V &amp; &lt; 66kV</v>
      </c>
      <c r="H233" s="77" t="str">
        <f t="shared" si="29"/>
        <v>T132N</v>
      </c>
      <c r="I233" s="106">
        <v>686.94</v>
      </c>
      <c r="J233" s="106">
        <v>171.74</v>
      </c>
      <c r="K233" s="106">
        <v>114.49</v>
      </c>
      <c r="L233" s="106">
        <v>285.08999999999997</v>
      </c>
      <c r="M233" s="106">
        <v>160.28</v>
      </c>
      <c r="N233" s="106">
        <v>114.49</v>
      </c>
      <c r="O233" s="85" t="s">
        <v>118</v>
      </c>
      <c r="P233" s="85" t="s">
        <v>118</v>
      </c>
      <c r="Q233" s="85" t="s">
        <v>118</v>
      </c>
      <c r="R233" s="85" t="s">
        <v>118</v>
      </c>
      <c r="S233" s="106">
        <v>0</v>
      </c>
      <c r="T233" s="106">
        <v>6985.54</v>
      </c>
      <c r="U233" s="106">
        <v>1341.21</v>
      </c>
      <c r="V233" s="106">
        <v>22.2</v>
      </c>
    </row>
    <row r="234" spans="3:22" s="77" customFormat="1" ht="13.8">
      <c r="C234" s="77" t="s">
        <v>583</v>
      </c>
      <c r="D234" s="77" t="s">
        <v>72</v>
      </c>
      <c r="E234" s="77" t="s">
        <v>70</v>
      </c>
      <c r="F234" s="77" t="s">
        <v>64</v>
      </c>
      <c r="G234" s="77" t="str">
        <f t="shared" si="28"/>
        <v>Transflex 1_Non-Local Authority_[&gt; 900km]_≥ 66kV &amp; ≤ 132kV</v>
      </c>
      <c r="H234" s="77" t="str">
        <f t="shared" si="29"/>
        <v>T133N</v>
      </c>
      <c r="I234" s="106">
        <v>637.48</v>
      </c>
      <c r="J234" s="106">
        <v>159.37</v>
      </c>
      <c r="K234" s="106">
        <v>106.25</v>
      </c>
      <c r="L234" s="106">
        <v>264.56</v>
      </c>
      <c r="M234" s="106">
        <v>148.75</v>
      </c>
      <c r="N234" s="106">
        <v>106.25</v>
      </c>
      <c r="O234" s="85" t="s">
        <v>118</v>
      </c>
      <c r="P234" s="85" t="s">
        <v>118</v>
      </c>
      <c r="Q234" s="85" t="s">
        <v>118</v>
      </c>
      <c r="R234" s="85" t="s">
        <v>118</v>
      </c>
      <c r="S234" s="106">
        <v>0</v>
      </c>
      <c r="T234" s="106">
        <v>6482.6</v>
      </c>
      <c r="U234" s="106">
        <v>1244.6500000000001</v>
      </c>
      <c r="V234" s="106">
        <v>20.6</v>
      </c>
    </row>
    <row r="235" spans="3:22" s="77" customFormat="1" ht="14.4" thickBot="1">
      <c r="C235" s="77" t="s">
        <v>583</v>
      </c>
      <c r="D235" s="77" t="s">
        <v>72</v>
      </c>
      <c r="E235" s="77" t="s">
        <v>70</v>
      </c>
      <c r="F235" s="77" t="s">
        <v>65</v>
      </c>
      <c r="G235" s="77" t="str">
        <f t="shared" si="28"/>
        <v>Transflex 1_Non-Local Authority_[&gt; 900km]_&gt; 132kV</v>
      </c>
      <c r="H235" s="77" t="str">
        <f t="shared" si="29"/>
        <v>T134N</v>
      </c>
      <c r="I235" s="237">
        <v>594.44000000000005</v>
      </c>
      <c r="J235" s="237">
        <v>148.61000000000001</v>
      </c>
      <c r="K235" s="237">
        <v>99.06</v>
      </c>
      <c r="L235" s="237">
        <v>246.7</v>
      </c>
      <c r="M235" s="237">
        <v>138.69999999999999</v>
      </c>
      <c r="N235" s="237">
        <v>99.06</v>
      </c>
      <c r="O235" s="238" t="s">
        <v>118</v>
      </c>
      <c r="P235" s="238" t="s">
        <v>118</v>
      </c>
      <c r="Q235" s="238" t="s">
        <v>118</v>
      </c>
      <c r="R235" s="238" t="s">
        <v>118</v>
      </c>
      <c r="S235" s="237">
        <v>0</v>
      </c>
      <c r="T235" s="106">
        <v>6044.94</v>
      </c>
      <c r="U235" s="106">
        <v>1160.6199999999999</v>
      </c>
      <c r="V235" s="106">
        <v>19.21</v>
      </c>
    </row>
    <row r="236" spans="3:22" s="77" customFormat="1" ht="13.8">
      <c r="C236" s="239" t="s">
        <v>584</v>
      </c>
      <c r="D236" s="239" t="s">
        <v>72</v>
      </c>
      <c r="E236" s="239" t="str">
        <f>E220</f>
        <v>[0 - 300km]</v>
      </c>
      <c r="F236" s="239" t="str">
        <f>F220</f>
        <v>&lt; 500V</v>
      </c>
      <c r="G236" s="239" t="str">
        <f t="shared" si="28"/>
        <v>Transflex 2_Non-Local Authority_[0 - 300km]_&lt; 500V</v>
      </c>
      <c r="H236" s="239" t="str">
        <f t="shared" si="29"/>
        <v>T201N</v>
      </c>
      <c r="I236" s="240">
        <v>684.59</v>
      </c>
      <c r="J236" s="240">
        <v>171.15</v>
      </c>
      <c r="K236" s="240">
        <v>114.09</v>
      </c>
      <c r="L236" s="240">
        <v>284.12</v>
      </c>
      <c r="M236" s="240">
        <v>159.74</v>
      </c>
      <c r="N236" s="240">
        <v>114.09</v>
      </c>
      <c r="O236" s="306" t="s">
        <v>118</v>
      </c>
      <c r="P236" s="306" t="s">
        <v>118</v>
      </c>
      <c r="Q236" s="306" t="s">
        <v>118</v>
      </c>
      <c r="R236" s="306" t="s">
        <v>118</v>
      </c>
      <c r="S236" s="240">
        <v>0</v>
      </c>
      <c r="T236" s="106">
        <v>10547.1</v>
      </c>
      <c r="U236" s="106">
        <v>1332.88</v>
      </c>
      <c r="V236" s="106">
        <v>22.78</v>
      </c>
    </row>
    <row r="237" spans="3:22" s="77" customFormat="1" ht="13.8">
      <c r="C237" s="77" t="s">
        <v>584</v>
      </c>
      <c r="D237" s="77" t="s">
        <v>72</v>
      </c>
      <c r="E237" s="77" t="str">
        <f t="shared" ref="E237:F251" si="30">E221</f>
        <v>[0 - 300km]</v>
      </c>
      <c r="F237" s="77" t="str">
        <f t="shared" si="30"/>
        <v>≥ 500V &amp; &lt; 66kV</v>
      </c>
      <c r="G237" s="77" t="str">
        <f t="shared" si="28"/>
        <v>Transflex 2_Non-Local Authority_[0 - 300km]_≥ 500V &amp; &lt; 66kV</v>
      </c>
      <c r="H237" s="77" t="str">
        <f t="shared" si="29"/>
        <v>T202N</v>
      </c>
      <c r="I237" s="106">
        <v>666.92</v>
      </c>
      <c r="J237" s="106">
        <v>166.73</v>
      </c>
      <c r="K237" s="106">
        <v>111.15</v>
      </c>
      <c r="L237" s="106">
        <v>276.77999999999997</v>
      </c>
      <c r="M237" s="106">
        <v>155.62</v>
      </c>
      <c r="N237" s="106">
        <v>111.15</v>
      </c>
      <c r="O237" s="307" t="s">
        <v>118</v>
      </c>
      <c r="P237" s="307" t="s">
        <v>118</v>
      </c>
      <c r="Q237" s="307" t="s">
        <v>118</v>
      </c>
      <c r="R237" s="307" t="s">
        <v>118</v>
      </c>
      <c r="S237" s="106">
        <v>0</v>
      </c>
      <c r="T237" s="106">
        <v>10275.02</v>
      </c>
      <c r="U237" s="106">
        <v>1298.49</v>
      </c>
      <c r="V237" s="106">
        <v>22.2</v>
      </c>
    </row>
    <row r="238" spans="3:22" s="77" customFormat="1" ht="13.8">
      <c r="C238" s="77" t="s">
        <v>584</v>
      </c>
      <c r="D238" s="77" t="s">
        <v>72</v>
      </c>
      <c r="E238" s="77" t="str">
        <f t="shared" si="30"/>
        <v>[0 - 300km]</v>
      </c>
      <c r="F238" s="77" t="str">
        <f t="shared" si="30"/>
        <v>≥ 66kV &amp; ≤ 132kV</v>
      </c>
      <c r="G238" s="77" t="str">
        <f t="shared" si="28"/>
        <v>Transflex 2_Non-Local Authority_[0 - 300km]_≥ 66kV &amp; ≤ 132kV</v>
      </c>
      <c r="H238" s="77" t="str">
        <f t="shared" si="29"/>
        <v>T203N</v>
      </c>
      <c r="I238" s="106">
        <v>618.91</v>
      </c>
      <c r="J238" s="106">
        <v>154.72</v>
      </c>
      <c r="K238" s="106">
        <v>103.15</v>
      </c>
      <c r="L238" s="106">
        <v>256.86</v>
      </c>
      <c r="M238" s="106">
        <v>144.41999999999999</v>
      </c>
      <c r="N238" s="106">
        <v>103.15</v>
      </c>
      <c r="O238" s="307" t="s">
        <v>118</v>
      </c>
      <c r="P238" s="307" t="s">
        <v>118</v>
      </c>
      <c r="Q238" s="307" t="s">
        <v>118</v>
      </c>
      <c r="R238" s="307" t="s">
        <v>118</v>
      </c>
      <c r="S238" s="106">
        <v>0</v>
      </c>
      <c r="T238" s="106">
        <v>9535.24</v>
      </c>
      <c r="U238" s="106">
        <v>1205.01</v>
      </c>
      <c r="V238" s="106">
        <v>20.6</v>
      </c>
    </row>
    <row r="239" spans="3:22" s="77" customFormat="1" ht="13.8">
      <c r="C239" s="77" t="s">
        <v>584</v>
      </c>
      <c r="D239" s="77" t="s">
        <v>72</v>
      </c>
      <c r="E239" s="77" t="str">
        <f t="shared" si="30"/>
        <v>[0 - 300km]</v>
      </c>
      <c r="F239" s="77" t="str">
        <f t="shared" si="30"/>
        <v>&gt; 132kV</v>
      </c>
      <c r="G239" s="77" t="str">
        <f t="shared" si="28"/>
        <v>Transflex 2_Non-Local Authority_[0 - 300km]_&gt; 132kV</v>
      </c>
      <c r="H239" s="77" t="str">
        <f t="shared" si="29"/>
        <v>T204N</v>
      </c>
      <c r="I239" s="106">
        <v>577.13</v>
      </c>
      <c r="J239" s="106">
        <v>144.28</v>
      </c>
      <c r="K239" s="106">
        <v>96.19</v>
      </c>
      <c r="L239" s="106">
        <v>239.52</v>
      </c>
      <c r="M239" s="106">
        <v>134.66999999999999</v>
      </c>
      <c r="N239" s="106">
        <v>96.19</v>
      </c>
      <c r="O239" s="307" t="s">
        <v>118</v>
      </c>
      <c r="P239" s="307" t="s">
        <v>118</v>
      </c>
      <c r="Q239" s="307" t="s">
        <v>118</v>
      </c>
      <c r="R239" s="307" t="s">
        <v>118</v>
      </c>
      <c r="S239" s="106">
        <v>0</v>
      </c>
      <c r="T239" s="106">
        <v>8838.4699999999993</v>
      </c>
      <c r="U239" s="106">
        <v>1123.6600000000001</v>
      </c>
      <c r="V239" s="106">
        <v>19.21</v>
      </c>
    </row>
    <row r="240" spans="3:22" s="77" customFormat="1" ht="13.8">
      <c r="C240" s="77" t="s">
        <v>584</v>
      </c>
      <c r="D240" s="77" t="s">
        <v>72</v>
      </c>
      <c r="E240" s="77" t="str">
        <f>E251</f>
        <v>[&gt; 900km]</v>
      </c>
      <c r="F240" s="77" t="str">
        <f>F251</f>
        <v>&gt; 132kV</v>
      </c>
      <c r="G240" s="77" t="str">
        <f t="shared" si="28"/>
        <v>Transflex 2_Non-Local Authority_[&gt; 900km]_&gt; 132kV</v>
      </c>
      <c r="H240" s="77" t="str">
        <f t="shared" si="29"/>
        <v>T234N</v>
      </c>
      <c r="I240" s="106">
        <v>594.44000000000005</v>
      </c>
      <c r="J240" s="106">
        <v>148.61000000000001</v>
      </c>
      <c r="K240" s="106">
        <v>99.06</v>
      </c>
      <c r="L240" s="106">
        <v>246.7</v>
      </c>
      <c r="M240" s="106">
        <v>138.69999999999999</v>
      </c>
      <c r="N240" s="106">
        <v>99.06</v>
      </c>
      <c r="O240" s="307" t="s">
        <v>118</v>
      </c>
      <c r="P240" s="307" t="s">
        <v>118</v>
      </c>
      <c r="Q240" s="307" t="s">
        <v>118</v>
      </c>
      <c r="R240" s="307" t="s">
        <v>118</v>
      </c>
      <c r="S240" s="106">
        <v>0</v>
      </c>
      <c r="T240" s="106">
        <v>9157.5400000000009</v>
      </c>
      <c r="U240" s="106">
        <v>1123.6600000000001</v>
      </c>
      <c r="V240" s="106">
        <v>19.21</v>
      </c>
    </row>
    <row r="241" spans="3:22" s="77" customFormat="1" ht="13.8">
      <c r="C241" s="77" t="s">
        <v>584</v>
      </c>
      <c r="D241" s="77" t="s">
        <v>72</v>
      </c>
      <c r="E241" s="77" t="str">
        <f t="shared" si="30"/>
        <v>[301 - 600km]</v>
      </c>
      <c r="F241" s="77" t="str">
        <f t="shared" si="30"/>
        <v>≥ 500V &amp; &lt; 66kV</v>
      </c>
      <c r="G241" s="77" t="str">
        <f t="shared" si="28"/>
        <v>Transflex 2_Non-Local Authority_[301 - 600km]_≥ 500V &amp; &lt; 66kV</v>
      </c>
      <c r="H241" s="77" t="str">
        <f t="shared" si="29"/>
        <v>T212N</v>
      </c>
      <c r="I241" s="106">
        <v>673.6</v>
      </c>
      <c r="J241" s="106">
        <v>168.4</v>
      </c>
      <c r="K241" s="106">
        <v>112.27</v>
      </c>
      <c r="L241" s="106">
        <v>279.55</v>
      </c>
      <c r="M241" s="106">
        <v>157.16999999999999</v>
      </c>
      <c r="N241" s="106">
        <v>112.27</v>
      </c>
      <c r="O241" s="307" t="s">
        <v>118</v>
      </c>
      <c r="P241" s="307" t="s">
        <v>118</v>
      </c>
      <c r="Q241" s="307" t="s">
        <v>118</v>
      </c>
      <c r="R241" s="307" t="s">
        <v>118</v>
      </c>
      <c r="S241" s="106">
        <v>0</v>
      </c>
      <c r="T241" s="106">
        <v>10377.15</v>
      </c>
      <c r="U241" s="106">
        <v>1298.49</v>
      </c>
      <c r="V241" s="106">
        <v>22.2</v>
      </c>
    </row>
    <row r="242" spans="3:22" s="77" customFormat="1" ht="13.8">
      <c r="C242" s="77" t="s">
        <v>584</v>
      </c>
      <c r="D242" s="77" t="s">
        <v>72</v>
      </c>
      <c r="E242" s="77" t="str">
        <f t="shared" si="30"/>
        <v>[301 - 600km]</v>
      </c>
      <c r="F242" s="77" t="str">
        <f t="shared" si="30"/>
        <v>≥ 66kV &amp; ≤ 132kV</v>
      </c>
      <c r="G242" s="77" t="str">
        <f t="shared" si="28"/>
        <v>Transflex 2_Non-Local Authority_[301 - 600km]_≥ 66kV &amp; ≤ 132kV</v>
      </c>
      <c r="H242" s="77" t="str">
        <f t="shared" si="29"/>
        <v>T213N</v>
      </c>
      <c r="I242" s="106">
        <v>625.1</v>
      </c>
      <c r="J242" s="106">
        <v>156.28</v>
      </c>
      <c r="K242" s="106">
        <v>104.18</v>
      </c>
      <c r="L242" s="106">
        <v>259.43</v>
      </c>
      <c r="M242" s="106">
        <v>145.86000000000001</v>
      </c>
      <c r="N242" s="106">
        <v>104.18</v>
      </c>
      <c r="O242" s="307" t="s">
        <v>118</v>
      </c>
      <c r="P242" s="307" t="s">
        <v>118</v>
      </c>
      <c r="Q242" s="307" t="s">
        <v>118</v>
      </c>
      <c r="R242" s="307" t="s">
        <v>118</v>
      </c>
      <c r="S242" s="106">
        <v>0</v>
      </c>
      <c r="T242" s="106">
        <v>9630.0300000000007</v>
      </c>
      <c r="U242" s="106">
        <v>1205.01</v>
      </c>
      <c r="V242" s="106">
        <v>20.6</v>
      </c>
    </row>
    <row r="243" spans="3:22" s="77" customFormat="1" ht="13.8">
      <c r="C243" s="77" t="s">
        <v>584</v>
      </c>
      <c r="D243" s="77" t="s">
        <v>72</v>
      </c>
      <c r="E243" s="77" t="str">
        <f t="shared" si="30"/>
        <v>[301 - 600km]</v>
      </c>
      <c r="F243" s="77" t="str">
        <f t="shared" si="30"/>
        <v>&gt; 132kV</v>
      </c>
      <c r="G243" s="77" t="str">
        <f t="shared" si="28"/>
        <v>Transflex 2_Non-Local Authority_[301 - 600km]_&gt; 132kV</v>
      </c>
      <c r="H243" s="77" t="str">
        <f t="shared" si="29"/>
        <v>T214N</v>
      </c>
      <c r="I243" s="106">
        <v>582.9</v>
      </c>
      <c r="J243" s="106">
        <v>145.72999999999999</v>
      </c>
      <c r="K243" s="106">
        <v>97.15</v>
      </c>
      <c r="L243" s="106">
        <v>241.91</v>
      </c>
      <c r="M243" s="106">
        <v>136.01</v>
      </c>
      <c r="N243" s="106">
        <v>97.15</v>
      </c>
      <c r="O243" s="307" t="s">
        <v>118</v>
      </c>
      <c r="P243" s="307" t="s">
        <v>118</v>
      </c>
      <c r="Q243" s="307" t="s">
        <v>118</v>
      </c>
      <c r="R243" s="307" t="s">
        <v>118</v>
      </c>
      <c r="S243" s="106">
        <v>0</v>
      </c>
      <c r="T243" s="106">
        <v>8979.89</v>
      </c>
      <c r="U243" s="106">
        <v>1123.6600000000001</v>
      </c>
      <c r="V243" s="106">
        <v>19.21</v>
      </c>
    </row>
    <row r="244" spans="3:22" s="77" customFormat="1" ht="13.8">
      <c r="C244" s="77" t="s">
        <v>584</v>
      </c>
      <c r="D244" s="77" t="s">
        <v>72</v>
      </c>
      <c r="E244" s="77" t="str">
        <f t="shared" si="30"/>
        <v>[601 - 900km]</v>
      </c>
      <c r="F244" s="77" t="str">
        <f t="shared" si="30"/>
        <v>&lt; 500V</v>
      </c>
      <c r="G244" s="77" t="str">
        <f t="shared" si="28"/>
        <v>Transflex 2_Non-Local Authority_[601 - 900km]_&lt; 500V</v>
      </c>
      <c r="H244" s="77" t="str">
        <f t="shared" si="29"/>
        <v>T221N</v>
      </c>
      <c r="I244" s="106">
        <v>698.28</v>
      </c>
      <c r="J244" s="106">
        <v>174.57</v>
      </c>
      <c r="K244" s="106">
        <v>116.37</v>
      </c>
      <c r="L244" s="106">
        <v>289.8</v>
      </c>
      <c r="M244" s="106">
        <v>162.93</v>
      </c>
      <c r="N244" s="106">
        <v>116.37</v>
      </c>
      <c r="O244" s="307" t="s">
        <v>118</v>
      </c>
      <c r="P244" s="307" t="s">
        <v>118</v>
      </c>
      <c r="Q244" s="307" t="s">
        <v>118</v>
      </c>
      <c r="R244" s="307" t="s">
        <v>118</v>
      </c>
      <c r="S244" s="106">
        <v>0</v>
      </c>
      <c r="T244" s="106">
        <v>10757.83</v>
      </c>
      <c r="U244" s="106">
        <v>1332.88</v>
      </c>
      <c r="V244" s="106">
        <v>22.78</v>
      </c>
    </row>
    <row r="245" spans="3:22" s="77" customFormat="1" ht="13.8">
      <c r="C245" s="77" t="s">
        <v>584</v>
      </c>
      <c r="D245" s="77" t="s">
        <v>72</v>
      </c>
      <c r="E245" s="77" t="str">
        <f t="shared" si="30"/>
        <v>[601 - 900km]</v>
      </c>
      <c r="F245" s="77" t="str">
        <f t="shared" si="30"/>
        <v>≥ 500V &amp; &lt; 66kV</v>
      </c>
      <c r="G245" s="77" t="str">
        <f t="shared" si="28"/>
        <v>Transflex 2_Non-Local Authority_[601 - 900km]_≥ 500V &amp; &lt; 66kV</v>
      </c>
      <c r="H245" s="77" t="str">
        <f t="shared" si="29"/>
        <v>T222N</v>
      </c>
      <c r="I245" s="106">
        <v>680.27</v>
      </c>
      <c r="J245" s="106">
        <v>170.07</v>
      </c>
      <c r="K245" s="106">
        <v>113.37</v>
      </c>
      <c r="L245" s="106">
        <v>282.32</v>
      </c>
      <c r="M245" s="106">
        <v>158.72999999999999</v>
      </c>
      <c r="N245" s="106">
        <v>113.37</v>
      </c>
      <c r="O245" s="307" t="s">
        <v>118</v>
      </c>
      <c r="P245" s="307" t="s">
        <v>118</v>
      </c>
      <c r="Q245" s="307" t="s">
        <v>118</v>
      </c>
      <c r="R245" s="307" t="s">
        <v>118</v>
      </c>
      <c r="S245" s="106">
        <v>0</v>
      </c>
      <c r="T245" s="106">
        <v>10480.31</v>
      </c>
      <c r="U245" s="106">
        <v>1298.49</v>
      </c>
      <c r="V245" s="106">
        <v>22.2</v>
      </c>
    </row>
    <row r="246" spans="3:22" s="77" customFormat="1" ht="13.8">
      <c r="C246" s="77" t="s">
        <v>584</v>
      </c>
      <c r="D246" s="77" t="s">
        <v>72</v>
      </c>
      <c r="E246" s="77" t="str">
        <f t="shared" si="30"/>
        <v>[601 - 900km]</v>
      </c>
      <c r="F246" s="77" t="str">
        <f t="shared" si="30"/>
        <v>≥ 66kV &amp; ≤ 132kV</v>
      </c>
      <c r="G246" s="77" t="str">
        <f t="shared" si="28"/>
        <v>Transflex 2_Non-Local Authority_[601 - 900km]_≥ 66kV &amp; ≤ 132kV</v>
      </c>
      <c r="H246" s="77" t="str">
        <f t="shared" si="29"/>
        <v>T223N</v>
      </c>
      <c r="I246" s="106">
        <v>631.29</v>
      </c>
      <c r="J246" s="106">
        <v>157.82</v>
      </c>
      <c r="K246" s="106">
        <v>105.21</v>
      </c>
      <c r="L246" s="106">
        <v>262</v>
      </c>
      <c r="M246" s="106">
        <v>147.31</v>
      </c>
      <c r="N246" s="106">
        <v>105.21</v>
      </c>
      <c r="O246" s="307" t="s">
        <v>118</v>
      </c>
      <c r="P246" s="307" t="s">
        <v>118</v>
      </c>
      <c r="Q246" s="307" t="s">
        <v>118</v>
      </c>
      <c r="R246" s="307" t="s">
        <v>118</v>
      </c>
      <c r="S246" s="106">
        <v>0</v>
      </c>
      <c r="T246" s="106">
        <v>9725.76</v>
      </c>
      <c r="U246" s="106">
        <v>1205.01</v>
      </c>
      <c r="V246" s="106">
        <v>20.6</v>
      </c>
    </row>
    <row r="247" spans="3:22" s="77" customFormat="1" ht="13.8">
      <c r="C247" s="77" t="s">
        <v>584</v>
      </c>
      <c r="D247" s="77" t="s">
        <v>72</v>
      </c>
      <c r="E247" s="77" t="str">
        <f t="shared" si="30"/>
        <v>[601 - 900km]</v>
      </c>
      <c r="F247" s="77" t="str">
        <f t="shared" si="30"/>
        <v>&gt; 132kV</v>
      </c>
      <c r="G247" s="77" t="str">
        <f t="shared" si="28"/>
        <v>Transflex 2_Non-Local Authority_[601 - 900km]_&gt; 132kV</v>
      </c>
      <c r="H247" s="77" t="str">
        <f t="shared" si="29"/>
        <v>T224N</v>
      </c>
      <c r="I247" s="106">
        <v>588.66999999999996</v>
      </c>
      <c r="J247" s="106">
        <v>147.16999999999999</v>
      </c>
      <c r="K247" s="106">
        <v>98.11</v>
      </c>
      <c r="L247" s="106">
        <v>244.31</v>
      </c>
      <c r="M247" s="106">
        <v>137.36000000000001</v>
      </c>
      <c r="N247" s="106">
        <v>98.11</v>
      </c>
      <c r="O247" s="307" t="s">
        <v>118</v>
      </c>
      <c r="P247" s="307" t="s">
        <v>118</v>
      </c>
      <c r="Q247" s="307" t="s">
        <v>118</v>
      </c>
      <c r="R247" s="307" t="s">
        <v>118</v>
      </c>
      <c r="S247" s="106">
        <v>0</v>
      </c>
      <c r="T247" s="106">
        <v>9069.16</v>
      </c>
      <c r="U247" s="106">
        <v>1123.6600000000001</v>
      </c>
      <c r="V247" s="106">
        <v>19.21</v>
      </c>
    </row>
    <row r="248" spans="3:22" s="77" customFormat="1" ht="13.8">
      <c r="C248" s="77" t="s">
        <v>584</v>
      </c>
      <c r="D248" s="77" t="s">
        <v>72</v>
      </c>
      <c r="E248" s="77" t="str">
        <f t="shared" si="30"/>
        <v>[&gt; 900km]</v>
      </c>
      <c r="F248" s="77" t="str">
        <f t="shared" si="30"/>
        <v>&lt; 500V</v>
      </c>
      <c r="G248" s="77" t="str">
        <f t="shared" si="28"/>
        <v>Transflex 2_Non-Local Authority_[&gt; 900km]_&lt; 500V</v>
      </c>
      <c r="H248" s="77" t="str">
        <f t="shared" si="29"/>
        <v>T231N</v>
      </c>
      <c r="I248" s="106">
        <v>705.13</v>
      </c>
      <c r="J248" s="106">
        <v>176.28</v>
      </c>
      <c r="K248" s="106">
        <v>117.52</v>
      </c>
      <c r="L248" s="106">
        <v>292.64</v>
      </c>
      <c r="M248" s="106">
        <v>164.53</v>
      </c>
      <c r="N248" s="106">
        <v>117.52</v>
      </c>
      <c r="O248" s="307" t="s">
        <v>118</v>
      </c>
      <c r="P248" s="307" t="s">
        <v>118</v>
      </c>
      <c r="Q248" s="307" t="s">
        <v>118</v>
      </c>
      <c r="R248" s="307" t="s">
        <v>118</v>
      </c>
      <c r="S248" s="106">
        <v>0</v>
      </c>
      <c r="T248" s="106">
        <v>10862.67</v>
      </c>
      <c r="U248" s="106">
        <v>1332.88</v>
      </c>
      <c r="V248" s="106">
        <v>22.78</v>
      </c>
    </row>
    <row r="249" spans="3:22" s="77" customFormat="1" ht="13.8">
      <c r="C249" s="77" t="s">
        <v>584</v>
      </c>
      <c r="D249" s="77" t="s">
        <v>72</v>
      </c>
      <c r="E249" s="77" t="str">
        <f t="shared" si="30"/>
        <v>[&gt; 900km]</v>
      </c>
      <c r="F249" s="77" t="str">
        <f t="shared" si="30"/>
        <v>≥ 500V &amp; &lt; 66kV</v>
      </c>
      <c r="G249" s="77" t="str">
        <f t="shared" si="28"/>
        <v>Transflex 2_Non-Local Authority_[&gt; 900km]_≥ 500V &amp; &lt; 66kV</v>
      </c>
      <c r="H249" s="77" t="str">
        <f t="shared" si="29"/>
        <v>T232N</v>
      </c>
      <c r="I249" s="106">
        <v>686.94</v>
      </c>
      <c r="J249" s="106">
        <v>171.74</v>
      </c>
      <c r="K249" s="106">
        <v>114.49</v>
      </c>
      <c r="L249" s="106">
        <v>285.08999999999997</v>
      </c>
      <c r="M249" s="106">
        <v>160.28</v>
      </c>
      <c r="N249" s="106">
        <v>114.49</v>
      </c>
      <c r="O249" s="307" t="s">
        <v>118</v>
      </c>
      <c r="P249" s="307" t="s">
        <v>118</v>
      </c>
      <c r="Q249" s="307" t="s">
        <v>118</v>
      </c>
      <c r="R249" s="307" t="s">
        <v>118</v>
      </c>
      <c r="S249" s="106">
        <v>0</v>
      </c>
      <c r="T249" s="106">
        <v>10582.45</v>
      </c>
      <c r="U249" s="106">
        <v>1298.49</v>
      </c>
      <c r="V249" s="106">
        <v>22.2</v>
      </c>
    </row>
    <row r="250" spans="3:22" s="77" customFormat="1" ht="13.8">
      <c r="C250" s="77" t="s">
        <v>584</v>
      </c>
      <c r="D250" s="77" t="s">
        <v>72</v>
      </c>
      <c r="E250" s="77" t="str">
        <f t="shared" si="30"/>
        <v>[&gt; 900km]</v>
      </c>
      <c r="F250" s="77" t="str">
        <f t="shared" si="30"/>
        <v>≥ 66kV &amp; ≤ 132kV</v>
      </c>
      <c r="G250" s="77" t="str">
        <f t="shared" si="28"/>
        <v>Transflex 2_Non-Local Authority_[&gt; 900km]_≥ 66kV &amp; ≤ 132kV</v>
      </c>
      <c r="H250" s="77" t="str">
        <f t="shared" si="29"/>
        <v>T233N</v>
      </c>
      <c r="I250" s="106">
        <v>637.48</v>
      </c>
      <c r="J250" s="106">
        <v>159.37</v>
      </c>
      <c r="K250" s="106">
        <v>106.25</v>
      </c>
      <c r="L250" s="106">
        <v>264.56</v>
      </c>
      <c r="M250" s="106">
        <v>148.75</v>
      </c>
      <c r="N250" s="106">
        <v>106.25</v>
      </c>
      <c r="O250" s="307" t="s">
        <v>118</v>
      </c>
      <c r="P250" s="307" t="s">
        <v>118</v>
      </c>
      <c r="Q250" s="307" t="s">
        <v>118</v>
      </c>
      <c r="R250" s="307" t="s">
        <v>118</v>
      </c>
      <c r="S250" s="106">
        <v>0</v>
      </c>
      <c r="T250" s="106">
        <v>9820.5400000000009</v>
      </c>
      <c r="U250" s="106">
        <v>1205.01</v>
      </c>
      <c r="V250" s="106">
        <v>20.6</v>
      </c>
    </row>
    <row r="251" spans="3:22" s="77" customFormat="1" ht="13.8">
      <c r="C251" s="77" t="s">
        <v>584</v>
      </c>
      <c r="D251" s="77" t="s">
        <v>72</v>
      </c>
      <c r="E251" s="77" t="str">
        <f t="shared" si="30"/>
        <v>[&gt; 900km]</v>
      </c>
      <c r="F251" s="77" t="str">
        <f t="shared" si="30"/>
        <v>&gt; 132kV</v>
      </c>
      <c r="G251" s="77" t="str">
        <f t="shared" si="28"/>
        <v>Transflex 2_Non-Local Authority_[&gt; 900km]_&gt; 132kV</v>
      </c>
      <c r="H251" s="77" t="str">
        <f t="shared" si="29"/>
        <v>T234N</v>
      </c>
      <c r="I251" s="106">
        <v>594.44000000000005</v>
      </c>
      <c r="J251" s="106">
        <v>148.61000000000001</v>
      </c>
      <c r="K251" s="106">
        <v>99.06</v>
      </c>
      <c r="L251" s="106">
        <v>246.7</v>
      </c>
      <c r="M251" s="106">
        <v>138.69999999999999</v>
      </c>
      <c r="N251" s="106">
        <v>99.06</v>
      </c>
      <c r="O251" s="307" t="s">
        <v>118</v>
      </c>
      <c r="P251" s="307" t="s">
        <v>118</v>
      </c>
      <c r="Q251" s="307" t="s">
        <v>118</v>
      </c>
      <c r="R251" s="307" t="s">
        <v>118</v>
      </c>
      <c r="S251" s="106">
        <v>0</v>
      </c>
      <c r="T251" s="106">
        <v>9157.5400000000009</v>
      </c>
      <c r="U251" s="106">
        <v>1123.6600000000001</v>
      </c>
      <c r="V251" s="106">
        <v>19.21</v>
      </c>
    </row>
    <row r="252" spans="3:22" s="77" customFormat="1" ht="13.8"/>
    <row r="253" spans="3:22" s="77" customFormat="1" ht="13.8"/>
    <row r="254" spans="3:22" s="77" customFormat="1" ht="13.8"/>
    <row r="255" spans="3:22" s="77" customFormat="1" ht="13.8"/>
    <row r="256" spans="3:22" s="77" customFormat="1" ht="13.8"/>
    <row r="257" s="77" customFormat="1" ht="13.8"/>
    <row r="258" s="77" customFormat="1" ht="13.8"/>
    <row r="259" s="77" customFormat="1" ht="13.8"/>
    <row r="260" s="77" customFormat="1" ht="13.8"/>
    <row r="261" s="77" customFormat="1" ht="13.8"/>
    <row r="262" s="77" customFormat="1" ht="13.8"/>
    <row r="263" s="77" customFormat="1" ht="13.8"/>
    <row r="264" s="77" customFormat="1" ht="13.8"/>
    <row r="265" s="77" customFormat="1" ht="13.8"/>
    <row r="266" s="77" customFormat="1" ht="13.8"/>
    <row r="267" s="77" customFormat="1" ht="13.8"/>
    <row r="268" s="77" customFormat="1" ht="13.8"/>
    <row r="269" s="77" customFormat="1" ht="13.8"/>
    <row r="270" s="77" customFormat="1" ht="13.8"/>
    <row r="271" s="77" customFormat="1" ht="13.8"/>
    <row r="272" s="77" customFormat="1" ht="13.8"/>
    <row r="273" spans="3:22" s="77" customFormat="1" ht="13.8"/>
    <row r="274" spans="3:22" s="77" customFormat="1" ht="13.8"/>
    <row r="275" spans="3:22" s="77" customFormat="1" ht="13.8"/>
    <row r="276" spans="3:22" s="77" customFormat="1" ht="13.8"/>
    <row r="277" spans="3:22" s="77" customFormat="1" ht="13.8"/>
    <row r="278" spans="3:22" s="77" customFormat="1" ht="13.8"/>
    <row r="279" spans="3:22" s="77" customFormat="1" ht="13.8"/>
    <row r="280" spans="3:22" s="77" customFormat="1" ht="13.8"/>
    <row r="281" spans="3:22" ht="13.8">
      <c r="C281" s="77"/>
      <c r="D281" s="77"/>
      <c r="E281" s="77"/>
      <c r="F281" s="77"/>
      <c r="G281" s="77"/>
      <c r="H281" s="77"/>
      <c r="I281" s="77"/>
      <c r="J281" s="77"/>
      <c r="K281" s="77"/>
      <c r="L281" s="77"/>
      <c r="M281" s="77"/>
      <c r="N281" s="77"/>
      <c r="O281" s="77"/>
      <c r="P281" s="77"/>
      <c r="Q281" s="77"/>
      <c r="R281" s="77"/>
      <c r="S281" s="77"/>
      <c r="T281" s="77"/>
      <c r="U281" s="77"/>
      <c r="V281" s="77"/>
    </row>
  </sheetData>
  <sheetProtection algorithmName="SHA-512" hashValue="I4gYqECSp8VhXYspEsR9rTwhVGDWiKQiROhdri25SbBV50j8LUNOXuid8rLIEKVqnZEbikbWqZpOO5cuCBxtnA==" saltValue="ig2FN0/AAXH9dljckar+Bw==" spinCount="100000" sheet="1" objects="1" scenarios="1"/>
  <phoneticPr fontId="35" type="noConversion"/>
  <conditionalFormatting sqref="C56:C86 C122:C152 C155:C185 C23:C53 C89:C119 C188:C218 B39:B53 B72:B86 B105:B119 B138:B152 B171:B185 B204:B218">
    <cfRule type="expression" dxfId="79" priority="80">
      <formula>B23&lt;&gt;B22</formula>
    </cfRule>
  </conditionalFormatting>
  <conditionalFormatting sqref="C55 B38 B71 B104 B137 B170 B203">
    <cfRule type="expression" dxfId="78" priority="82">
      <formula>B38&lt;&gt;B36</formula>
    </cfRule>
  </conditionalFormatting>
  <conditionalFormatting sqref="C187 C154 C88">
    <cfRule type="expression" dxfId="77" priority="70">
      <formula>C88&lt;&gt;C86</formula>
    </cfRule>
  </conditionalFormatting>
  <conditionalFormatting sqref="C121">
    <cfRule type="expression" dxfId="76" priority="88">
      <formula>C121&lt;&gt;#REF!</formula>
    </cfRule>
  </conditionalFormatting>
  <conditionalFormatting sqref="C6">
    <cfRule type="expression" dxfId="75" priority="62">
      <formula>C6&lt;&gt;#REF!</formula>
    </cfRule>
  </conditionalFormatting>
  <conditionalFormatting sqref="C22">
    <cfRule type="expression" dxfId="74" priority="95">
      <formula>C22&lt;&gt;C19</formula>
    </cfRule>
  </conditionalFormatting>
  <conditionalFormatting sqref="I22:N22">
    <cfRule type="cellIs" dxfId="73" priority="61" operator="equal">
      <formula>"n/a"</formula>
    </cfRule>
  </conditionalFormatting>
  <conditionalFormatting sqref="I23:N53">
    <cfRule type="cellIs" dxfId="72" priority="60" operator="equal">
      <formula>"n/a"</formula>
    </cfRule>
  </conditionalFormatting>
  <conditionalFormatting sqref="I55:N55">
    <cfRule type="cellIs" dxfId="71" priority="59" operator="equal">
      <formula>"n/a"</formula>
    </cfRule>
  </conditionalFormatting>
  <conditionalFormatting sqref="I56:N86">
    <cfRule type="cellIs" dxfId="70" priority="58" operator="equal">
      <formula>"n/a"</formula>
    </cfRule>
  </conditionalFormatting>
  <conditionalFormatting sqref="I88:N88">
    <cfRule type="cellIs" dxfId="69" priority="57" operator="equal">
      <formula>"n/a"</formula>
    </cfRule>
  </conditionalFormatting>
  <conditionalFormatting sqref="I89:N119">
    <cfRule type="cellIs" dxfId="68" priority="56" operator="equal">
      <formula>"n/a"</formula>
    </cfRule>
  </conditionalFormatting>
  <conditionalFormatting sqref="U22">
    <cfRule type="cellIs" dxfId="67" priority="55" operator="equal">
      <formula>"n/a"</formula>
    </cfRule>
  </conditionalFormatting>
  <conditionalFormatting sqref="U23:U37">
    <cfRule type="cellIs" dxfId="66" priority="54" operator="equal">
      <formula>"n/a"</formula>
    </cfRule>
  </conditionalFormatting>
  <conditionalFormatting sqref="V55">
    <cfRule type="cellIs" dxfId="65" priority="53" operator="equal">
      <formula>"n/a"</formula>
    </cfRule>
  </conditionalFormatting>
  <conditionalFormatting sqref="V56:V86">
    <cfRule type="cellIs" dxfId="64" priority="52" operator="equal">
      <formula>"n/a"</formula>
    </cfRule>
  </conditionalFormatting>
  <conditionalFormatting sqref="V88">
    <cfRule type="cellIs" dxfId="63" priority="51" operator="equal">
      <formula>"n/a"</formula>
    </cfRule>
  </conditionalFormatting>
  <conditionalFormatting sqref="V89:V119">
    <cfRule type="cellIs" dxfId="62" priority="50" operator="equal">
      <formula>"n/a"</formula>
    </cfRule>
  </conditionalFormatting>
  <conditionalFormatting sqref="O121:U121">
    <cfRule type="cellIs" dxfId="61" priority="49" operator="equal">
      <formula>"n/a"</formula>
    </cfRule>
  </conditionalFormatting>
  <conditionalFormatting sqref="O122:U152">
    <cfRule type="cellIs" dxfId="60" priority="48" operator="equal">
      <formula>"n/a"</formula>
    </cfRule>
  </conditionalFormatting>
  <conditionalFormatting sqref="O154">
    <cfRule type="cellIs" dxfId="59" priority="47" operator="equal">
      <formula>"n/a"</formula>
    </cfRule>
  </conditionalFormatting>
  <conditionalFormatting sqref="O155:O185">
    <cfRule type="cellIs" dxfId="58" priority="46" operator="equal">
      <formula>"n/a"</formula>
    </cfRule>
  </conditionalFormatting>
  <conditionalFormatting sqref="P154:U154">
    <cfRule type="cellIs" dxfId="57" priority="45" operator="equal">
      <formula>"n/a"</formula>
    </cfRule>
  </conditionalFormatting>
  <conditionalFormatting sqref="P155:U185">
    <cfRule type="cellIs" dxfId="56" priority="44" operator="equal">
      <formula>"n/a"</formula>
    </cfRule>
  </conditionalFormatting>
  <conditionalFormatting sqref="O187:T187">
    <cfRule type="cellIs" dxfId="55" priority="43" operator="equal">
      <formula>"n/a"</formula>
    </cfRule>
  </conditionalFormatting>
  <conditionalFormatting sqref="O188:T218">
    <cfRule type="cellIs" dxfId="54" priority="42" operator="equal">
      <formula>"n/a"</formula>
    </cfRule>
  </conditionalFormatting>
  <conditionalFormatting sqref="V187">
    <cfRule type="cellIs" dxfId="53" priority="41" operator="equal">
      <formula>"n/a"</formula>
    </cfRule>
  </conditionalFormatting>
  <conditionalFormatting sqref="V188:V218">
    <cfRule type="cellIs" dxfId="52" priority="40" operator="equal">
      <formula>"n/a"</formula>
    </cfRule>
  </conditionalFormatting>
  <conditionalFormatting sqref="S22:T22">
    <cfRule type="cellIs" dxfId="51" priority="33" operator="equal">
      <formula>"n/a"</formula>
    </cfRule>
  </conditionalFormatting>
  <conditionalFormatting sqref="S23:T53">
    <cfRule type="cellIs" dxfId="50" priority="32" operator="equal">
      <formula>"n/a"</formula>
    </cfRule>
  </conditionalFormatting>
  <conditionalFormatting sqref="S55:T55 S87:T87 S119:T119">
    <cfRule type="cellIs" dxfId="49" priority="31" operator="equal">
      <formula>"n/a"</formula>
    </cfRule>
  </conditionalFormatting>
  <conditionalFormatting sqref="S56:T86 S88:T118">
    <cfRule type="cellIs" dxfId="48" priority="30" operator="equal">
      <formula>"n/a"</formula>
    </cfRule>
  </conditionalFormatting>
  <conditionalFormatting sqref="V170:V185">
    <cfRule type="cellIs" dxfId="47" priority="29" operator="equal">
      <formula>"n/a"</formula>
    </cfRule>
  </conditionalFormatting>
  <conditionalFormatting sqref="C221:C251">
    <cfRule type="expression" dxfId="46" priority="27">
      <formula>C221&lt;&gt;C220</formula>
    </cfRule>
  </conditionalFormatting>
  <conditionalFormatting sqref="C220">
    <cfRule type="expression" dxfId="45" priority="28">
      <formula>C220&lt;&gt;C217</formula>
    </cfRule>
  </conditionalFormatting>
  <conditionalFormatting sqref="I220:N220">
    <cfRule type="cellIs" dxfId="44" priority="26" operator="equal">
      <formula>"n/a"</formula>
    </cfRule>
  </conditionalFormatting>
  <conditionalFormatting sqref="I221:N251">
    <cfRule type="cellIs" dxfId="43" priority="25" operator="equal">
      <formula>"n/a"</formula>
    </cfRule>
  </conditionalFormatting>
  <conditionalFormatting sqref="S220">
    <cfRule type="cellIs" dxfId="42" priority="24" operator="equal">
      <formula>"n/a"</formula>
    </cfRule>
  </conditionalFormatting>
  <conditionalFormatting sqref="S221:S251">
    <cfRule type="cellIs" dxfId="41" priority="23" operator="equal">
      <formula>"n/a"</formula>
    </cfRule>
  </conditionalFormatting>
  <conditionalFormatting sqref="T220:T251">
    <cfRule type="cellIs" dxfId="40" priority="18" operator="equal">
      <formula>"n/a"</formula>
    </cfRule>
  </conditionalFormatting>
  <conditionalFormatting sqref="V25:V37">
    <cfRule type="cellIs" dxfId="39" priority="17" operator="equal">
      <formula>"n/a"</formula>
    </cfRule>
  </conditionalFormatting>
  <conditionalFormatting sqref="U55">
    <cfRule type="cellIs" dxfId="38" priority="16" operator="equal">
      <formula>"n/a"</formula>
    </cfRule>
  </conditionalFormatting>
  <conditionalFormatting sqref="U56:U70">
    <cfRule type="cellIs" dxfId="37" priority="15" operator="equal">
      <formula>"n/a"</formula>
    </cfRule>
  </conditionalFormatting>
  <conditionalFormatting sqref="U88">
    <cfRule type="cellIs" dxfId="36" priority="14" operator="equal">
      <formula>"n/a"</formula>
    </cfRule>
  </conditionalFormatting>
  <conditionalFormatting sqref="U89:U103">
    <cfRule type="cellIs" dxfId="35" priority="13" operator="equal">
      <formula>"n/a"</formula>
    </cfRule>
  </conditionalFormatting>
  <conditionalFormatting sqref="U187">
    <cfRule type="cellIs" dxfId="34" priority="12" operator="equal">
      <formula>"n/a"</formula>
    </cfRule>
  </conditionalFormatting>
  <conditionalFormatting sqref="U188:U202">
    <cfRule type="cellIs" dxfId="33" priority="11" operator="equal">
      <formula>"n/a"</formula>
    </cfRule>
  </conditionalFormatting>
  <conditionalFormatting sqref="U220">
    <cfRule type="cellIs" dxfId="32" priority="10" operator="equal">
      <formula>"n/a"</formula>
    </cfRule>
  </conditionalFormatting>
  <conditionalFormatting sqref="U221:U235">
    <cfRule type="cellIs" dxfId="31" priority="9" operator="equal">
      <formula>"n/a"</formula>
    </cfRule>
  </conditionalFormatting>
  <conditionalFormatting sqref="U236">
    <cfRule type="cellIs" dxfId="30" priority="8" operator="equal">
      <formula>"n/a"</formula>
    </cfRule>
  </conditionalFormatting>
  <conditionalFormatting sqref="U237:U251">
    <cfRule type="cellIs" dxfId="29" priority="7" operator="equal">
      <formula>"n/a"</formula>
    </cfRule>
  </conditionalFormatting>
  <conditionalFormatting sqref="V220">
    <cfRule type="cellIs" dxfId="28" priority="6" operator="equal">
      <formula>"n/a"</formula>
    </cfRule>
  </conditionalFormatting>
  <conditionalFormatting sqref="V221:V235">
    <cfRule type="cellIs" dxfId="27" priority="5" operator="equal">
      <formula>"n/a"</formula>
    </cfRule>
  </conditionalFormatting>
  <conditionalFormatting sqref="V236">
    <cfRule type="cellIs" dxfId="26" priority="4" operator="equal">
      <formula>"n/a"</formula>
    </cfRule>
  </conditionalFormatting>
  <conditionalFormatting sqref="V237:V251">
    <cfRule type="cellIs" dxfId="25" priority="3" operator="equal">
      <formula>"n/a"</formula>
    </cfRule>
  </conditionalFormatting>
  <conditionalFormatting sqref="V38:V53">
    <cfRule type="cellIs" dxfId="24" priority="2" operator="equal">
      <formula>"n/a"</formula>
    </cfRule>
  </conditionalFormatting>
  <conditionalFormatting sqref="U38:U53">
    <cfRule type="cellIs" dxfId="23" priority="1" operator="equal">
      <formula>"n/a"</formula>
    </cfRule>
  </conditionalFormatting>
  <dataValidations count="4">
    <dataValidation type="list" allowBlank="1" showInputMessage="1" showErrorMessage="1" sqref="D22:D53 D55:D86 D121:D152 D154:D185 D88:D119 D187:D218 D220:D251" xr:uid="{00000000-0002-0000-0F00-000000000000}">
      <formula1>Tariff_Category_List</formula1>
    </dataValidation>
    <dataValidation type="list" allowBlank="1" showInputMessage="1" showErrorMessage="1" sqref="F170:F185 F71:F86 F38:F53 F137:F152 E22:E53 E55:E86 E121:E152 E154:E185 F104:F119 E88:E119 F203:F218 E187:E218 F236:F251 E220:E251" xr:uid="{00000000-0002-0000-0F00-000001000000}">
      <formula1>Transmission_List</formula1>
    </dataValidation>
    <dataValidation type="list" allowBlank="1" showInputMessage="1" showErrorMessage="1" sqref="F154:F169 F22:F37 F55:F70 F121:F136 F88:F103 F187:F202 F220:F235" xr:uid="{00000000-0002-0000-0F00-000002000000}">
      <formula1>Voltage_List</formula1>
    </dataValidation>
    <dataValidation type="list" allowBlank="1" showInputMessage="1" showErrorMessage="1" sqref="C22:C53 C55:C86 C121:C152 C154:C185 C88:C119 C187:C218 B38:B53 B71:B86 B104:B119 B137:B152 B170:B185 B203:B218 C220:C251" xr:uid="{00000000-0002-0000-0F00-000003000000}">
      <formula1>Base_Tariff_List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">
    <tabColor theme="6" tint="0.39997558519241921"/>
  </sheetPr>
  <dimension ref="B1:Q46"/>
  <sheetViews>
    <sheetView showGridLines="0" zoomScale="85" zoomScaleNormal="85" workbookViewId="0">
      <selection activeCell="D40" sqref="D39:D40"/>
    </sheetView>
  </sheetViews>
  <sheetFormatPr defaultColWidth="9.28515625" defaultRowHeight="13.8"/>
  <cols>
    <col min="1" max="1" width="2.7109375" style="77" customWidth="1"/>
    <col min="2" max="2" width="26.7109375" style="77" bestFit="1" customWidth="1"/>
    <col min="3" max="3" width="13.28515625" style="77" bestFit="1" customWidth="1"/>
    <col min="4" max="4" width="29" style="77" customWidth="1"/>
    <col min="5" max="5" width="9.28515625" style="77"/>
    <col min="6" max="6" width="27.42578125" style="77" bestFit="1" customWidth="1"/>
    <col min="7" max="7" width="13.28515625" style="77" bestFit="1" customWidth="1"/>
    <col min="8" max="12" width="9.28515625" style="77"/>
    <col min="13" max="13" width="13" style="77" customWidth="1"/>
    <col min="14" max="16384" width="9.28515625" style="77"/>
  </cols>
  <sheetData>
    <row r="1" spans="2:17" ht="4.05" customHeight="1"/>
    <row r="2" spans="2:17" ht="33" customHeight="1"/>
    <row r="3" spans="2:17" ht="4.05" customHeight="1"/>
    <row r="4" spans="2:17">
      <c r="B4" s="246" t="s">
        <v>270</v>
      </c>
      <c r="C4" s="246"/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</row>
    <row r="6" spans="2:17">
      <c r="M6" s="77" t="s">
        <v>328</v>
      </c>
    </row>
    <row r="7" spans="2:17">
      <c r="B7" s="88" t="s">
        <v>246</v>
      </c>
      <c r="C7" s="88" t="s">
        <v>247</v>
      </c>
      <c r="D7" s="258" t="s">
        <v>495</v>
      </c>
      <c r="F7" s="88" t="s">
        <v>271</v>
      </c>
      <c r="G7" s="88" t="s">
        <v>247</v>
      </c>
      <c r="M7" s="88" t="s">
        <v>247</v>
      </c>
    </row>
    <row r="8" spans="2:17">
      <c r="B8" s="77" t="str">
        <f>Lists!B17</f>
        <v>Businessrate 1</v>
      </c>
      <c r="C8" s="77" t="s">
        <v>329</v>
      </c>
      <c r="D8" s="77" t="s">
        <v>466</v>
      </c>
      <c r="F8" s="77" t="s">
        <v>231</v>
      </c>
      <c r="G8" s="77">
        <v>0</v>
      </c>
      <c r="M8" s="77" t="s">
        <v>248</v>
      </c>
    </row>
    <row r="9" spans="2:17">
      <c r="B9" s="77" t="str">
        <f>Lists!B18</f>
        <v>Businessrate 2</v>
      </c>
      <c r="C9" s="77" t="s">
        <v>330</v>
      </c>
      <c r="D9" s="77" t="s">
        <v>467</v>
      </c>
      <c r="F9" s="77" t="str">
        <f>Lists!C98</f>
        <v>[0 - 300km]</v>
      </c>
      <c r="G9" s="77">
        <v>0</v>
      </c>
      <c r="M9" s="77" t="s">
        <v>249</v>
      </c>
    </row>
    <row r="10" spans="2:17">
      <c r="B10" s="77" t="str">
        <f>Lists!B19</f>
        <v>Businessrate 3</v>
      </c>
      <c r="C10" s="77" t="s">
        <v>331</v>
      </c>
      <c r="D10" s="77" t="s">
        <v>468</v>
      </c>
      <c r="F10" s="77" t="str">
        <f>Lists!C99</f>
        <v>[301 - 600km]</v>
      </c>
      <c r="G10" s="77">
        <v>1</v>
      </c>
      <c r="M10" s="77" t="s">
        <v>250</v>
      </c>
    </row>
    <row r="11" spans="2:17">
      <c r="B11" s="77" t="str">
        <f>Lists!B20</f>
        <v>Businessrate 4</v>
      </c>
      <c r="C11" s="77" t="s">
        <v>332</v>
      </c>
      <c r="D11" s="77" t="s">
        <v>469</v>
      </c>
      <c r="F11" s="77" t="str">
        <f>Lists!C100</f>
        <v>[601 - 900km]</v>
      </c>
      <c r="G11" s="77">
        <v>2</v>
      </c>
      <c r="M11" s="77" t="s">
        <v>251</v>
      </c>
    </row>
    <row r="12" spans="2:17">
      <c r="B12" s="77" t="str">
        <f>Lists!B21</f>
        <v>Homelight 20A</v>
      </c>
      <c r="C12" s="77" t="s">
        <v>342</v>
      </c>
      <c r="D12" s="259"/>
      <c r="F12" s="77" t="str">
        <f>Lists!C101</f>
        <v>[&gt; 900km]</v>
      </c>
      <c r="G12" s="77">
        <v>3</v>
      </c>
      <c r="M12" s="77" t="s">
        <v>257</v>
      </c>
    </row>
    <row r="13" spans="2:17">
      <c r="B13" s="77" t="str">
        <f>Lists!B22</f>
        <v>Homelight 60A</v>
      </c>
      <c r="C13" s="77" t="s">
        <v>343</v>
      </c>
      <c r="D13" s="259"/>
      <c r="M13" s="77" t="s">
        <v>258</v>
      </c>
    </row>
    <row r="14" spans="2:17">
      <c r="B14" s="77" t="str">
        <f>Lists!B23</f>
        <v>Homepower 1</v>
      </c>
      <c r="C14" s="77" t="s">
        <v>333</v>
      </c>
      <c r="D14" s="77" t="s">
        <v>466</v>
      </c>
      <c r="M14" s="77" t="s">
        <v>259</v>
      </c>
    </row>
    <row r="15" spans="2:17">
      <c r="B15" s="77" t="str">
        <f>Lists!B24</f>
        <v>Homepower 2</v>
      </c>
      <c r="C15" s="77" t="s">
        <v>334</v>
      </c>
      <c r="D15" s="77" t="s">
        <v>467</v>
      </c>
      <c r="F15" s="88" t="s">
        <v>272</v>
      </c>
      <c r="G15" s="88" t="s">
        <v>247</v>
      </c>
      <c r="M15" s="77" t="s">
        <v>260</v>
      </c>
    </row>
    <row r="16" spans="2:17">
      <c r="B16" s="77" t="str">
        <f>Lists!B25</f>
        <v>Homepower 3</v>
      </c>
      <c r="C16" s="77" t="s">
        <v>335</v>
      </c>
      <c r="D16" s="77" t="s">
        <v>468</v>
      </c>
      <c r="F16" s="77" t="str">
        <f>Lists!C82</f>
        <v>&lt; 500V</v>
      </c>
      <c r="G16" s="77">
        <v>1</v>
      </c>
      <c r="M16" s="77" t="s">
        <v>261</v>
      </c>
    </row>
    <row r="17" spans="2:13">
      <c r="B17" s="77" t="str">
        <f>Lists!B26</f>
        <v>Homepower 4</v>
      </c>
      <c r="C17" s="77" t="s">
        <v>336</v>
      </c>
      <c r="D17" s="77" t="s">
        <v>469</v>
      </c>
      <c r="F17" s="77" t="str">
        <f>Lists!C83</f>
        <v>≥ 500V &amp; &lt; 66kV</v>
      </c>
      <c r="G17" s="77">
        <v>2</v>
      </c>
      <c r="M17" s="77" t="s">
        <v>262</v>
      </c>
    </row>
    <row r="18" spans="2:13">
      <c r="B18" s="77" t="str">
        <f>Lists!B27</f>
        <v>Homepower Bulk</v>
      </c>
      <c r="C18" s="77" t="s">
        <v>337</v>
      </c>
      <c r="D18" s="259"/>
      <c r="F18" s="77" t="str">
        <f>Lists!C84</f>
        <v>≥ 66kV &amp; ≤ 132kV</v>
      </c>
      <c r="G18" s="77">
        <v>3</v>
      </c>
      <c r="M18" s="77" t="s">
        <v>263</v>
      </c>
    </row>
    <row r="19" spans="2:13">
      <c r="B19" s="77" t="str">
        <f>Lists!B28</f>
        <v>Landrate 1</v>
      </c>
      <c r="C19" s="77" t="s">
        <v>338</v>
      </c>
      <c r="D19" s="77" t="s">
        <v>466</v>
      </c>
      <c r="F19" s="77" t="str">
        <f>Lists!C85</f>
        <v>&gt; 132kV</v>
      </c>
      <c r="G19" s="77">
        <v>4</v>
      </c>
      <c r="M19" s="77" t="s">
        <v>252</v>
      </c>
    </row>
    <row r="20" spans="2:13">
      <c r="B20" s="77" t="str">
        <f>Lists!B29</f>
        <v>Landrate 2</v>
      </c>
      <c r="C20" s="77" t="s">
        <v>339</v>
      </c>
      <c r="D20" s="77" t="s">
        <v>467</v>
      </c>
      <c r="M20" s="77" t="s">
        <v>253</v>
      </c>
    </row>
    <row r="21" spans="2:13">
      <c r="B21" s="77" t="str">
        <f>Lists!B30</f>
        <v>Landrate 3</v>
      </c>
      <c r="C21" s="77" t="s">
        <v>340</v>
      </c>
      <c r="D21" s="77" t="s">
        <v>468</v>
      </c>
      <c r="F21" s="88" t="s">
        <v>273</v>
      </c>
      <c r="G21" s="88" t="s">
        <v>247</v>
      </c>
      <c r="M21" s="77" t="s">
        <v>254</v>
      </c>
    </row>
    <row r="22" spans="2:13">
      <c r="B22" s="77" t="str">
        <f>Lists!B31</f>
        <v>Landrate 4</v>
      </c>
      <c r="C22" s="77" t="s">
        <v>341</v>
      </c>
      <c r="D22" s="77" t="s">
        <v>469</v>
      </c>
      <c r="F22" s="77" t="str">
        <f>Lists!L35</f>
        <v>Non-Local Authority</v>
      </c>
      <c r="G22" s="77" t="s">
        <v>274</v>
      </c>
      <c r="M22" s="77" t="s">
        <v>255</v>
      </c>
    </row>
    <row r="23" spans="2:13">
      <c r="B23" s="77" t="str">
        <f>Lists!B32</f>
        <v>Landrate Dx</v>
      </c>
      <c r="C23" s="92" t="s">
        <v>352</v>
      </c>
      <c r="D23" s="260"/>
      <c r="F23" s="77" t="str">
        <f>Lists!L36</f>
        <v>Local Authority</v>
      </c>
      <c r="G23" s="77" t="s">
        <v>275</v>
      </c>
      <c r="M23" s="77" t="s">
        <v>256</v>
      </c>
    </row>
    <row r="24" spans="2:13">
      <c r="B24" s="77" t="str">
        <f>Lists!B33</f>
        <v>Megaflex</v>
      </c>
      <c r="C24" s="77" t="s">
        <v>264</v>
      </c>
      <c r="D24" s="77" t="s">
        <v>465</v>
      </c>
      <c r="M24" s="77" t="s">
        <v>264</v>
      </c>
    </row>
    <row r="25" spans="2:13">
      <c r="B25" s="77" t="str">
        <f>Lists!B34</f>
        <v>Miniflex</v>
      </c>
      <c r="C25" s="77" t="s">
        <v>265</v>
      </c>
      <c r="D25" s="77" t="s">
        <v>465</v>
      </c>
      <c r="M25" s="77" t="s">
        <v>265</v>
      </c>
    </row>
    <row r="26" spans="2:13">
      <c r="B26" s="77" t="str">
        <f>Lists!B35</f>
        <v>Nightsave Urban</v>
      </c>
      <c r="C26" s="77" t="s">
        <v>267</v>
      </c>
      <c r="D26" s="77" t="s">
        <v>465</v>
      </c>
      <c r="M26" s="77" t="s">
        <v>267</v>
      </c>
    </row>
    <row r="27" spans="2:13">
      <c r="B27" s="77" t="str">
        <f>Lists!B36</f>
        <v>Nightsave Rural</v>
      </c>
      <c r="C27" s="77" t="s">
        <v>269</v>
      </c>
      <c r="D27" s="77" t="s">
        <v>465</v>
      </c>
      <c r="M27" s="77" t="s">
        <v>269</v>
      </c>
    </row>
    <row r="28" spans="2:13">
      <c r="B28" s="77" t="str">
        <f>Lists!B37</f>
        <v>Nightsave Small</v>
      </c>
      <c r="C28" s="77" t="s">
        <v>268</v>
      </c>
      <c r="D28" s="77" t="s">
        <v>465</v>
      </c>
      <c r="M28" s="77" t="s">
        <v>268</v>
      </c>
    </row>
    <row r="29" spans="2:13">
      <c r="B29" s="77" t="str">
        <f>Lists!B38</f>
        <v>Ruraflex</v>
      </c>
      <c r="C29" s="77" t="s">
        <v>266</v>
      </c>
      <c r="D29" s="77" t="s">
        <v>465</v>
      </c>
      <c r="M29" s="77" t="s">
        <v>266</v>
      </c>
    </row>
    <row r="30" spans="2:13">
      <c r="B30" s="77" t="s">
        <v>402</v>
      </c>
      <c r="C30" s="77" t="s">
        <v>404</v>
      </c>
      <c r="D30" s="259"/>
      <c r="M30" s="92" t="s">
        <v>404</v>
      </c>
    </row>
    <row r="31" spans="2:13">
      <c r="B31" s="77" t="s">
        <v>403</v>
      </c>
      <c r="C31" s="77" t="s">
        <v>405</v>
      </c>
      <c r="D31" s="259"/>
      <c r="M31" s="92" t="s">
        <v>405</v>
      </c>
    </row>
    <row r="32" spans="2:13">
      <c r="B32" s="77" t="s">
        <v>348</v>
      </c>
      <c r="C32" s="92" t="s">
        <v>406</v>
      </c>
      <c r="D32" s="77" t="s">
        <v>348</v>
      </c>
      <c r="M32" s="92" t="s">
        <v>406</v>
      </c>
    </row>
    <row r="33" spans="2:13">
      <c r="B33" s="77" t="s">
        <v>347</v>
      </c>
      <c r="C33" s="92" t="s">
        <v>407</v>
      </c>
      <c r="D33" s="77" t="s">
        <v>347</v>
      </c>
      <c r="M33" s="92" t="s">
        <v>407</v>
      </c>
    </row>
    <row r="34" spans="2:13">
      <c r="B34" s="77" t="s">
        <v>349</v>
      </c>
      <c r="C34" s="92" t="s">
        <v>408</v>
      </c>
      <c r="D34" s="77" t="s">
        <v>349</v>
      </c>
      <c r="M34" s="92" t="s">
        <v>408</v>
      </c>
    </row>
    <row r="35" spans="2:13">
      <c r="B35" s="77" t="s">
        <v>465</v>
      </c>
      <c r="C35" s="77" t="s">
        <v>471</v>
      </c>
    </row>
    <row r="36" spans="2:13">
      <c r="B36" s="77" t="s">
        <v>466</v>
      </c>
      <c r="C36" s="92" t="s">
        <v>488</v>
      </c>
      <c r="D36" s="92"/>
    </row>
    <row r="37" spans="2:13">
      <c r="B37" s="77" t="s">
        <v>467</v>
      </c>
      <c r="C37" s="92" t="s">
        <v>489</v>
      </c>
      <c r="D37" s="92"/>
    </row>
    <row r="38" spans="2:13">
      <c r="B38" s="77" t="s">
        <v>468</v>
      </c>
      <c r="C38" s="92" t="s">
        <v>490</v>
      </c>
      <c r="D38" s="92"/>
    </row>
    <row r="39" spans="2:13">
      <c r="B39" s="77" t="s">
        <v>469</v>
      </c>
      <c r="C39" s="92" t="s">
        <v>491</v>
      </c>
      <c r="D39" s="92"/>
    </row>
    <row r="40" spans="2:13">
      <c r="B40" s="77" t="s">
        <v>535</v>
      </c>
      <c r="C40" s="77" t="s">
        <v>539</v>
      </c>
    </row>
    <row r="41" spans="2:13">
      <c r="B41" s="77" t="s">
        <v>536</v>
      </c>
      <c r="C41" s="77" t="s">
        <v>540</v>
      </c>
    </row>
    <row r="42" spans="2:13">
      <c r="B42" s="77" t="s">
        <v>537</v>
      </c>
      <c r="C42" s="77" t="s">
        <v>541</v>
      </c>
    </row>
    <row r="43" spans="2:13">
      <c r="B43" s="77" t="s">
        <v>538</v>
      </c>
      <c r="C43" s="77" t="s">
        <v>542</v>
      </c>
    </row>
    <row r="44" spans="2:13">
      <c r="B44" s="77" t="s">
        <v>583</v>
      </c>
      <c r="C44" s="77" t="s">
        <v>586</v>
      </c>
    </row>
    <row r="45" spans="2:13">
      <c r="B45" s="77" t="s">
        <v>584</v>
      </c>
      <c r="C45" s="77" t="s">
        <v>587</v>
      </c>
    </row>
    <row r="46" spans="2:13">
      <c r="B46" s="77" t="s">
        <v>43</v>
      </c>
      <c r="C46" s="77" t="s">
        <v>267</v>
      </c>
    </row>
  </sheetData>
  <sheetProtection algorithmName="SHA-512" hashValue="p7wmWQ31UlKTkgDtncL8/olepSR29sl8kTt0js8L2ZRPHYG/vRY5/Mh93g+11udjIWmkLTrjSKE0S7XcFIYXSQ==" saltValue="m2a1wVTaGYEkGwiDJnT89w==" spinCount="100000" sheet="1" objects="1" scenarios="1"/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6">
    <tabColor theme="6" tint="0.39997558519241921"/>
  </sheetPr>
  <dimension ref="B1:AB160"/>
  <sheetViews>
    <sheetView showGridLines="0" zoomScale="85" zoomScaleNormal="85" workbookViewId="0">
      <pane xSplit="2" ySplit="4" topLeftCell="C5" activePane="bottomRight" state="frozen"/>
      <selection activeCell="E35" sqref="E35"/>
      <selection pane="topRight" activeCell="E35" sqref="E35"/>
      <selection pane="bottomLeft" activeCell="E35" sqref="E35"/>
      <selection pane="bottomRight" activeCell="H5" sqref="H5"/>
    </sheetView>
  </sheetViews>
  <sheetFormatPr defaultRowHeight="12"/>
  <cols>
    <col min="1" max="1" width="2.7109375" customWidth="1"/>
    <col min="2" max="2" width="34.42578125" customWidth="1"/>
    <col min="3" max="3" width="21" customWidth="1"/>
    <col min="4" max="4" width="25.7109375" customWidth="1"/>
    <col min="5" max="8" width="21" customWidth="1"/>
    <col min="9" max="9" width="24.140625" customWidth="1"/>
    <col min="10" max="10" width="31" customWidth="1"/>
    <col min="11" max="11" width="27.42578125" customWidth="1"/>
    <col min="12" max="12" width="32.28515625" bestFit="1" customWidth="1"/>
    <col min="13" max="14" width="27.42578125" customWidth="1"/>
    <col min="15" max="16" width="21" customWidth="1"/>
    <col min="17" max="22" width="20.7109375" customWidth="1"/>
    <col min="23" max="23" width="9.140625" customWidth="1"/>
    <col min="24" max="24" width="30.42578125" customWidth="1"/>
    <col min="25" max="28" width="27.7109375" customWidth="1"/>
  </cols>
  <sheetData>
    <row r="1" spans="2:16" ht="4.05" customHeight="1"/>
    <row r="2" spans="2:16" ht="33" customHeight="1"/>
    <row r="3" spans="2:16" ht="4.05" customHeight="1"/>
    <row r="4" spans="2:16" ht="15">
      <c r="B4" s="2" t="s">
        <v>30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6" spans="2:16" s="77" customFormat="1" ht="13.8">
      <c r="B6" s="88" t="s">
        <v>88</v>
      </c>
      <c r="C6" s="88" t="s">
        <v>202</v>
      </c>
      <c r="D6" s="88" t="s">
        <v>89</v>
      </c>
      <c r="E6" s="88" t="s">
        <v>90</v>
      </c>
      <c r="K6" s="88" t="s">
        <v>89</v>
      </c>
      <c r="L6" s="88" t="s">
        <v>211</v>
      </c>
      <c r="M6" s="88" t="s">
        <v>110</v>
      </c>
      <c r="O6" s="88" t="s">
        <v>218</v>
      </c>
      <c r="P6" s="88" t="s">
        <v>60</v>
      </c>
    </row>
    <row r="7" spans="2:16" s="77" customFormat="1" ht="13.8">
      <c r="B7" s="77" t="s">
        <v>77</v>
      </c>
      <c r="C7" s="89">
        <v>1</v>
      </c>
      <c r="D7" s="77" t="str">
        <f>INDEX(Tariff_Category_List,Dropdown_Category)</f>
        <v>Non-Local Authority</v>
      </c>
      <c r="E7" s="77">
        <f>MATCH(D7,Tariff_Category_List,0)</f>
        <v>1</v>
      </c>
      <c r="F7" s="77">
        <f>Selected_Tariff_Category_ID</f>
        <v>1</v>
      </c>
      <c r="K7" s="77" t="s">
        <v>26</v>
      </c>
      <c r="L7" s="95">
        <v>46477</v>
      </c>
      <c r="M7" s="90" t="s">
        <v>27</v>
      </c>
      <c r="O7" s="77" t="s">
        <v>219</v>
      </c>
      <c r="P7" s="77">
        <v>1</v>
      </c>
    </row>
    <row r="8" spans="2:16" s="77" customFormat="1" ht="13.8">
      <c r="B8" s="77" t="s">
        <v>221</v>
      </c>
      <c r="C8" s="89">
        <v>2</v>
      </c>
      <c r="D8" s="77" t="str">
        <f>INDEX(Customer_Category_List,Dropdown_Customer)</f>
        <v>Large Power User</v>
      </c>
      <c r="E8" s="77">
        <f>MATCH(D8, Customer_Category_List, 0)</f>
        <v>2</v>
      </c>
      <c r="K8" s="77" t="s">
        <v>28</v>
      </c>
      <c r="L8" s="91">
        <f>EOMONTH(TOU_Period,3)</f>
        <v>46568</v>
      </c>
      <c r="M8" s="90" t="s">
        <v>27</v>
      </c>
      <c r="O8" s="77" t="s">
        <v>220</v>
      </c>
      <c r="P8" s="77">
        <v>2</v>
      </c>
    </row>
    <row r="9" spans="2:16" s="77" customFormat="1" ht="13.8">
      <c r="B9" s="77" t="s">
        <v>78</v>
      </c>
      <c r="C9" s="89">
        <v>2</v>
      </c>
      <c r="D9" s="77" t="str">
        <f ca="1">INDEX(Capacity_List,Dropdown_Supply)</f>
        <v>&gt;100kVA &amp; ≤500kVA</v>
      </c>
      <c r="E9" s="77">
        <f ca="1">MATCH(D9,Capacity_List,0)</f>
        <v>2</v>
      </c>
      <c r="K9" s="77" t="s">
        <v>209</v>
      </c>
      <c r="L9" s="256" t="s">
        <v>611</v>
      </c>
      <c r="M9" s="80" t="str">
        <f>YEAR(Period)-2&amp;"/"&amp;YEAR(Period)-1</f>
        <v>2025/2026</v>
      </c>
    </row>
    <row r="10" spans="2:16" s="77" customFormat="1" ht="13.8">
      <c r="B10" s="77" t="s">
        <v>81</v>
      </c>
      <c r="C10" s="89">
        <v>2</v>
      </c>
      <c r="D10" s="77" t="str">
        <f ca="1">INDEX(Supply_Tariff_List,MIN(Dropdown_Tariff,Supply_Tariff_List_Count),0)</f>
        <v>Miniflex</v>
      </c>
      <c r="E10" s="77">
        <f ca="1">MATCH(D10,Full_Tariff_List,0)</f>
        <v>18</v>
      </c>
      <c r="F10" s="77" t="str">
        <f ca="1">VLOOKUP(Selected_Tariff_ID, G17:H54, 2, FALSE)</f>
        <v>Y</v>
      </c>
      <c r="G10" s="77" t="str">
        <f ca="1">VLOOKUP(Selected_Tariff_ID, G123:H160, 2, FALSE)</f>
        <v>Y</v>
      </c>
      <c r="H10" s="77" t="str">
        <f ca="1">VLOOKUP('Rates Table'!F2, G17:H55, 2, FALSE)</f>
        <v>Y</v>
      </c>
      <c r="K10" s="77" t="s">
        <v>210</v>
      </c>
      <c r="L10" s="257" t="s">
        <v>648</v>
      </c>
      <c r="M10" s="80" t="str">
        <f>YEAR(Period)-1&amp;"/"&amp;YEAR(Period)</f>
        <v>2026/2027</v>
      </c>
      <c r="O10" s="88" t="s">
        <v>213</v>
      </c>
      <c r="P10" s="88" t="s">
        <v>87</v>
      </c>
    </row>
    <row r="11" spans="2:16" s="77" customFormat="1" ht="13.8">
      <c r="B11" s="77" t="s">
        <v>234</v>
      </c>
      <c r="C11" s="89"/>
      <c r="D11" s="77" t="str">
        <f ca="1">'Bill Comparison'!D11</f>
        <v>Urban</v>
      </c>
      <c r="E11" s="77">
        <f ca="1">IF(Selected_Tariff_Type="Rural",2,1)</f>
        <v>1</v>
      </c>
      <c r="O11" s="77" t="s">
        <v>224</v>
      </c>
      <c r="P11" s="77">
        <v>1</v>
      </c>
    </row>
    <row r="12" spans="2:16" s="77" customFormat="1" ht="13.8">
      <c r="B12" s="77" t="s">
        <v>80</v>
      </c>
      <c r="C12" s="89">
        <v>1</v>
      </c>
      <c r="D12" s="77" t="str">
        <f ca="1">INDEX(Voltage_List,MIN(Dropdown_Voltage,Voltage_List_Count))</f>
        <v>&lt; 500V</v>
      </c>
      <c r="E12" s="77">
        <f ca="1">MATCH(D12,Voltage_List,0)</f>
        <v>1</v>
      </c>
      <c r="K12" s="77" t="s">
        <v>129</v>
      </c>
      <c r="L12" s="403">
        <v>0.15</v>
      </c>
      <c r="O12" s="77" t="s">
        <v>214</v>
      </c>
      <c r="P12" s="77">
        <v>2</v>
      </c>
    </row>
    <row r="13" spans="2:16" s="77" customFormat="1" ht="13.8">
      <c r="B13" s="77" t="s">
        <v>79</v>
      </c>
      <c r="C13" s="89">
        <v>1</v>
      </c>
      <c r="D13" s="77" t="str">
        <f ca="1">INDEX(Transmission_List,MIN(Dropdown_Zone,Transmission_List_Count))</f>
        <v>[0 - 300km]</v>
      </c>
      <c r="E13" s="77">
        <f ca="1">MATCH(D13,Transmission_List,0)</f>
        <v>1</v>
      </c>
      <c r="O13" s="77" t="s">
        <v>215</v>
      </c>
      <c r="P13" s="77">
        <v>3</v>
      </c>
    </row>
    <row r="14" spans="2:16" s="77" customFormat="1" ht="13.8">
      <c r="B14" s="77" t="s">
        <v>240</v>
      </c>
      <c r="C14" s="89"/>
      <c r="E14" s="77">
        <f>IF(Selected_Customer_Category_ID=1,0,1)</f>
        <v>1</v>
      </c>
      <c r="O14" s="77" t="s">
        <v>216</v>
      </c>
      <c r="P14" s="77">
        <v>4</v>
      </c>
    </row>
    <row r="15" spans="2:16" s="77" customFormat="1" ht="13.8">
      <c r="O15" s="77" t="s">
        <v>242</v>
      </c>
      <c r="P15" s="77">
        <v>5</v>
      </c>
    </row>
    <row r="16" spans="2:16" s="77" customFormat="1" ht="13.8">
      <c r="B16" s="88" t="s">
        <v>47</v>
      </c>
      <c r="C16" s="88" t="s">
        <v>48</v>
      </c>
      <c r="D16" s="88" t="s">
        <v>49</v>
      </c>
      <c r="E16" s="88" t="s">
        <v>102</v>
      </c>
      <c r="F16" s="88" t="s">
        <v>54</v>
      </c>
      <c r="G16" s="88" t="s">
        <v>53</v>
      </c>
      <c r="H16" s="88" t="s">
        <v>383</v>
      </c>
      <c r="I16" s="88" t="s">
        <v>492</v>
      </c>
      <c r="J16" s="173" t="s">
        <v>59</v>
      </c>
      <c r="K16" s="88" t="s">
        <v>102</v>
      </c>
      <c r="L16" s="88" t="s">
        <v>322</v>
      </c>
      <c r="M16" s="88" t="s">
        <v>54</v>
      </c>
    </row>
    <row r="17" spans="2:16" s="77" customFormat="1" ht="13.8">
      <c r="B17" s="174" t="str">
        <f>IF(D17="",C17,C17&amp;" "&amp;D17)</f>
        <v>Businessrate 1</v>
      </c>
      <c r="C17" s="77" t="s">
        <v>50</v>
      </c>
      <c r="D17" s="194">
        <v>1</v>
      </c>
      <c r="E17" s="77" t="str">
        <f t="shared" ref="E17:E37" si="0">INDEX(Base_Tariff_Type,F17)</f>
        <v>Urban</v>
      </c>
      <c r="F17" s="77">
        <f t="shared" ref="F17:F37" si="1">MATCH(C17,Base_Tariff_List,0)</f>
        <v>1</v>
      </c>
      <c r="G17" s="77">
        <v>1</v>
      </c>
      <c r="H17" s="77" t="s">
        <v>274</v>
      </c>
      <c r="I17" s="77" t="s">
        <v>466</v>
      </c>
      <c r="J17" s="174" t="s">
        <v>50</v>
      </c>
      <c r="K17" s="77" t="s">
        <v>103</v>
      </c>
      <c r="L17" s="77" t="s">
        <v>323</v>
      </c>
      <c r="M17" s="77">
        <v>1</v>
      </c>
    </row>
    <row r="18" spans="2:16" s="77" customFormat="1" ht="13.8">
      <c r="B18" s="174" t="str">
        <f t="shared" ref="B18:B37" si="2">IF(D18="",C18,C18&amp;" "&amp;D18)</f>
        <v>Businessrate 2</v>
      </c>
      <c r="C18" s="77" t="s">
        <v>50</v>
      </c>
      <c r="D18" s="194">
        <v>2</v>
      </c>
      <c r="E18" s="77" t="str">
        <f t="shared" si="0"/>
        <v>Urban</v>
      </c>
      <c r="F18" s="77">
        <f t="shared" si="1"/>
        <v>1</v>
      </c>
      <c r="G18" s="77">
        <v>2</v>
      </c>
      <c r="H18" s="77" t="s">
        <v>274</v>
      </c>
      <c r="I18" s="77" t="s">
        <v>467</v>
      </c>
      <c r="J18" s="174" t="s">
        <v>51</v>
      </c>
      <c r="K18" s="77" t="s">
        <v>103</v>
      </c>
      <c r="L18" s="77" t="s">
        <v>324</v>
      </c>
      <c r="M18" s="77">
        <v>2</v>
      </c>
    </row>
    <row r="19" spans="2:16" s="77" customFormat="1" ht="13.8">
      <c r="B19" s="174" t="str">
        <f t="shared" si="2"/>
        <v>Businessrate 3</v>
      </c>
      <c r="C19" s="77" t="s">
        <v>50</v>
      </c>
      <c r="D19" s="194">
        <v>3</v>
      </c>
      <c r="E19" s="77" t="str">
        <f t="shared" si="0"/>
        <v>Urban</v>
      </c>
      <c r="F19" s="77">
        <f t="shared" si="1"/>
        <v>1</v>
      </c>
      <c r="G19" s="77">
        <v>3</v>
      </c>
      <c r="H19" s="77" t="s">
        <v>274</v>
      </c>
      <c r="I19" s="77" t="s">
        <v>468</v>
      </c>
      <c r="J19" s="174" t="s">
        <v>52</v>
      </c>
      <c r="K19" s="77" t="s">
        <v>103</v>
      </c>
      <c r="L19" s="77" t="s">
        <v>324</v>
      </c>
      <c r="M19" s="77">
        <v>3</v>
      </c>
    </row>
    <row r="20" spans="2:16" s="77" customFormat="1" ht="13.8">
      <c r="B20" s="174" t="str">
        <f t="shared" si="2"/>
        <v>Businessrate 4</v>
      </c>
      <c r="C20" s="77" t="s">
        <v>50</v>
      </c>
      <c r="D20" s="194">
        <v>4</v>
      </c>
      <c r="E20" s="77" t="str">
        <f t="shared" si="0"/>
        <v>Urban</v>
      </c>
      <c r="F20" s="77">
        <f t="shared" si="1"/>
        <v>1</v>
      </c>
      <c r="G20" s="77">
        <v>4</v>
      </c>
      <c r="H20" s="77" t="s">
        <v>274</v>
      </c>
      <c r="I20" s="77" t="s">
        <v>469</v>
      </c>
      <c r="J20" s="174" t="s">
        <v>55</v>
      </c>
      <c r="K20" s="77" t="s">
        <v>104</v>
      </c>
      <c r="L20" s="77" t="s">
        <v>104</v>
      </c>
      <c r="M20" s="77">
        <v>4</v>
      </c>
      <c r="O20" s="88" t="s">
        <v>212</v>
      </c>
      <c r="P20" s="88" t="s">
        <v>87</v>
      </c>
    </row>
    <row r="21" spans="2:16" s="77" customFormat="1" ht="13.8">
      <c r="B21" s="174" t="str">
        <f t="shared" si="2"/>
        <v>Homelight 20A</v>
      </c>
      <c r="C21" s="77" t="s">
        <v>51</v>
      </c>
      <c r="D21" s="194" t="s">
        <v>56</v>
      </c>
      <c r="E21" s="77" t="str">
        <f t="shared" si="0"/>
        <v>Urban</v>
      </c>
      <c r="F21" s="77">
        <f t="shared" si="1"/>
        <v>2</v>
      </c>
      <c r="G21" s="77">
        <v>5</v>
      </c>
      <c r="H21" s="77" t="s">
        <v>274</v>
      </c>
      <c r="J21" s="174" t="s">
        <v>41</v>
      </c>
      <c r="K21" s="77" t="s">
        <v>103</v>
      </c>
      <c r="L21" s="77" t="s">
        <v>103</v>
      </c>
      <c r="M21" s="77">
        <v>5</v>
      </c>
      <c r="O21" s="77" t="s">
        <v>83</v>
      </c>
      <c r="P21" s="77">
        <v>1</v>
      </c>
    </row>
    <row r="22" spans="2:16" s="77" customFormat="1" ht="13.8">
      <c r="B22" s="174" t="str">
        <f t="shared" si="2"/>
        <v>Homelight 60A</v>
      </c>
      <c r="C22" s="77" t="s">
        <v>51</v>
      </c>
      <c r="D22" s="194" t="s">
        <v>57</v>
      </c>
      <c r="E22" s="77" t="str">
        <f t="shared" si="0"/>
        <v>Urban</v>
      </c>
      <c r="F22" s="77">
        <f t="shared" si="1"/>
        <v>2</v>
      </c>
      <c r="G22" s="77">
        <v>6</v>
      </c>
      <c r="H22" s="77" t="s">
        <v>274</v>
      </c>
      <c r="J22" s="174" t="s">
        <v>42</v>
      </c>
      <c r="K22" s="77" t="s">
        <v>103</v>
      </c>
      <c r="L22" s="77" t="s">
        <v>103</v>
      </c>
      <c r="M22" s="77">
        <v>6</v>
      </c>
      <c r="O22" s="77" t="s">
        <v>84</v>
      </c>
      <c r="P22" s="77">
        <v>2</v>
      </c>
    </row>
    <row r="23" spans="2:16" s="77" customFormat="1" ht="13.8">
      <c r="B23" s="174" t="str">
        <f t="shared" si="2"/>
        <v>Homepower 1</v>
      </c>
      <c r="C23" s="77" t="s">
        <v>52</v>
      </c>
      <c r="D23" s="194">
        <v>1</v>
      </c>
      <c r="E23" s="77" t="str">
        <f t="shared" si="0"/>
        <v>Urban</v>
      </c>
      <c r="F23" s="77">
        <f t="shared" si="1"/>
        <v>3</v>
      </c>
      <c r="G23" s="77">
        <v>7</v>
      </c>
      <c r="H23" s="77" t="s">
        <v>274</v>
      </c>
      <c r="I23" s="77" t="s">
        <v>466</v>
      </c>
      <c r="J23" s="174" t="s">
        <v>624</v>
      </c>
      <c r="K23" s="77" t="s">
        <v>103</v>
      </c>
      <c r="L23" s="77" t="s">
        <v>103</v>
      </c>
      <c r="M23" s="77">
        <v>7</v>
      </c>
      <c r="O23" s="77" t="s">
        <v>85</v>
      </c>
      <c r="P23" s="77">
        <v>3</v>
      </c>
    </row>
    <row r="24" spans="2:16" s="77" customFormat="1" ht="13.8">
      <c r="B24" s="174" t="str">
        <f t="shared" si="2"/>
        <v>Homepower 2</v>
      </c>
      <c r="C24" s="77" t="s">
        <v>52</v>
      </c>
      <c r="D24" s="194">
        <v>2</v>
      </c>
      <c r="E24" s="77" t="str">
        <f t="shared" si="0"/>
        <v>Urban</v>
      </c>
      <c r="F24" s="77">
        <f t="shared" si="1"/>
        <v>3</v>
      </c>
      <c r="G24" s="77">
        <v>8</v>
      </c>
      <c r="H24" s="77" t="s">
        <v>274</v>
      </c>
      <c r="I24" s="77" t="s">
        <v>467</v>
      </c>
      <c r="J24" s="174" t="s">
        <v>44</v>
      </c>
      <c r="K24" s="77" t="s">
        <v>104</v>
      </c>
      <c r="L24" s="77" t="s">
        <v>104</v>
      </c>
      <c r="M24" s="77">
        <v>8</v>
      </c>
      <c r="O24" s="77" t="s">
        <v>243</v>
      </c>
      <c r="P24" s="77">
        <v>4</v>
      </c>
    </row>
    <row r="25" spans="2:16" s="77" customFormat="1" ht="13.8">
      <c r="B25" s="174" t="str">
        <f t="shared" si="2"/>
        <v>Homepower 3</v>
      </c>
      <c r="C25" s="77" t="s">
        <v>52</v>
      </c>
      <c r="D25" s="194">
        <v>3</v>
      </c>
      <c r="E25" s="77" t="str">
        <f t="shared" si="0"/>
        <v>Urban</v>
      </c>
      <c r="F25" s="77">
        <f t="shared" si="1"/>
        <v>3</v>
      </c>
      <c r="G25" s="77">
        <v>9</v>
      </c>
      <c r="H25" s="77" t="s">
        <v>274</v>
      </c>
      <c r="I25" s="77" t="s">
        <v>468</v>
      </c>
      <c r="J25" s="400" t="s">
        <v>45</v>
      </c>
      <c r="K25" s="257" t="s">
        <v>103</v>
      </c>
      <c r="L25" s="257" t="s">
        <v>103</v>
      </c>
      <c r="M25" s="257">
        <v>9</v>
      </c>
      <c r="O25" s="77" t="s">
        <v>244</v>
      </c>
      <c r="P25" s="77">
        <v>5</v>
      </c>
    </row>
    <row r="26" spans="2:16" s="77" customFormat="1" ht="13.8">
      <c r="B26" s="174" t="str">
        <f t="shared" si="2"/>
        <v>Homepower 4</v>
      </c>
      <c r="C26" s="77" t="s">
        <v>52</v>
      </c>
      <c r="D26" s="194">
        <v>4</v>
      </c>
      <c r="E26" s="77" t="str">
        <f t="shared" si="0"/>
        <v>Urban</v>
      </c>
      <c r="F26" s="77">
        <f t="shared" si="1"/>
        <v>3</v>
      </c>
      <c r="G26" s="77">
        <v>10</v>
      </c>
      <c r="H26" s="77" t="s">
        <v>274</v>
      </c>
      <c r="I26" s="77" t="s">
        <v>469</v>
      </c>
      <c r="J26" s="174" t="s">
        <v>46</v>
      </c>
      <c r="K26" s="77" t="s">
        <v>104</v>
      </c>
      <c r="L26" s="77" t="s">
        <v>104</v>
      </c>
      <c r="M26" s="77">
        <v>10</v>
      </c>
      <c r="O26" s="77" t="s">
        <v>86</v>
      </c>
      <c r="P26" s="77">
        <v>6</v>
      </c>
    </row>
    <row r="27" spans="2:16" s="77" customFormat="1" ht="13.8">
      <c r="B27" s="174" t="str">
        <f t="shared" si="2"/>
        <v>Homepower Bulk</v>
      </c>
      <c r="C27" s="77" t="s">
        <v>52</v>
      </c>
      <c r="D27" s="195" t="s">
        <v>345</v>
      </c>
      <c r="E27" s="77" t="str">
        <f t="shared" si="0"/>
        <v>Urban</v>
      </c>
      <c r="F27" s="77">
        <f t="shared" si="1"/>
        <v>3</v>
      </c>
      <c r="G27" s="77">
        <v>11</v>
      </c>
      <c r="H27" s="77" t="s">
        <v>274</v>
      </c>
      <c r="J27" s="174" t="s">
        <v>410</v>
      </c>
      <c r="K27" s="77" t="s">
        <v>103</v>
      </c>
      <c r="L27" s="77" t="s">
        <v>323</v>
      </c>
      <c r="M27" s="77">
        <v>11</v>
      </c>
    </row>
    <row r="28" spans="2:16" s="77" customFormat="1" ht="13.8">
      <c r="B28" s="174" t="str">
        <f t="shared" si="2"/>
        <v>Landrate 1</v>
      </c>
      <c r="C28" s="77" t="s">
        <v>55</v>
      </c>
      <c r="D28" s="194">
        <v>1</v>
      </c>
      <c r="E28" s="77" t="str">
        <f t="shared" si="0"/>
        <v>Rural</v>
      </c>
      <c r="F28" s="77">
        <f t="shared" si="1"/>
        <v>4</v>
      </c>
      <c r="G28" s="77">
        <v>12</v>
      </c>
      <c r="H28" s="77" t="s">
        <v>274</v>
      </c>
      <c r="I28" s="77" t="s">
        <v>466</v>
      </c>
      <c r="J28" s="174" t="s">
        <v>465</v>
      </c>
      <c r="K28" s="77" t="s">
        <v>103</v>
      </c>
      <c r="L28" s="77" t="s">
        <v>103</v>
      </c>
      <c r="M28" s="77">
        <v>12</v>
      </c>
      <c r="O28" s="88" t="s">
        <v>82</v>
      </c>
      <c r="P28" s="88" t="s">
        <v>87</v>
      </c>
    </row>
    <row r="29" spans="2:16" s="77" customFormat="1" ht="13.8">
      <c r="B29" s="174" t="str">
        <f t="shared" si="2"/>
        <v>Landrate 2</v>
      </c>
      <c r="C29" s="77" t="s">
        <v>55</v>
      </c>
      <c r="D29" s="194">
        <v>2</v>
      </c>
      <c r="E29" s="77" t="str">
        <f t="shared" si="0"/>
        <v>Rural</v>
      </c>
      <c r="F29" s="77">
        <f t="shared" si="1"/>
        <v>4</v>
      </c>
      <c r="G29" s="77">
        <v>13</v>
      </c>
      <c r="H29" s="77" t="s">
        <v>274</v>
      </c>
      <c r="I29" s="77" t="s">
        <v>467</v>
      </c>
      <c r="J29" s="174" t="s">
        <v>470</v>
      </c>
      <c r="K29" s="77" t="s">
        <v>103</v>
      </c>
      <c r="L29" s="77" t="s">
        <v>324</v>
      </c>
      <c r="M29" s="77">
        <v>13</v>
      </c>
      <c r="O29" s="77" t="str">
        <f t="shared" ref="O29:O34" si="3">IFERROR(IF(Selected_Customer_Category_ID=1,INDEX(Capacity_SPU_List,P29,0),INDEX(Capacity_LPU_List,P29,0)),"")</f>
        <v>≤100kVA</v>
      </c>
      <c r="P29" s="77">
        <v>1</v>
      </c>
    </row>
    <row r="30" spans="2:16" s="77" customFormat="1" ht="13.8">
      <c r="B30" s="174" t="str">
        <f t="shared" si="2"/>
        <v>Landrate 3</v>
      </c>
      <c r="C30" s="77" t="s">
        <v>55</v>
      </c>
      <c r="D30" s="194">
        <v>3</v>
      </c>
      <c r="E30" s="77" t="str">
        <f t="shared" si="0"/>
        <v>Rural</v>
      </c>
      <c r="F30" s="77">
        <f t="shared" si="1"/>
        <v>4</v>
      </c>
      <c r="G30" s="77">
        <v>14</v>
      </c>
      <c r="H30" s="77" t="s">
        <v>274</v>
      </c>
      <c r="I30" s="77" t="s">
        <v>468</v>
      </c>
      <c r="J30" s="174" t="s">
        <v>543</v>
      </c>
      <c r="K30" s="77" t="s">
        <v>103</v>
      </c>
      <c r="L30" s="77" t="s">
        <v>324</v>
      </c>
      <c r="M30" s="77">
        <v>14</v>
      </c>
      <c r="O30" s="77" t="str">
        <f t="shared" si="3"/>
        <v>&gt;100kVA &amp; ≤500kVA</v>
      </c>
      <c r="P30" s="77">
        <v>2</v>
      </c>
    </row>
    <row r="31" spans="2:16" s="77" customFormat="1" ht="13.8">
      <c r="B31" s="174" t="str">
        <f t="shared" si="2"/>
        <v>Landrate 4</v>
      </c>
      <c r="C31" s="77" t="s">
        <v>55</v>
      </c>
      <c r="D31" s="194">
        <v>4</v>
      </c>
      <c r="E31" s="77" t="str">
        <f t="shared" si="0"/>
        <v>Rural</v>
      </c>
      <c r="F31" s="77">
        <f t="shared" si="1"/>
        <v>4</v>
      </c>
      <c r="G31" s="77">
        <v>15</v>
      </c>
      <c r="H31" s="77" t="s">
        <v>274</v>
      </c>
      <c r="I31" s="77" t="s">
        <v>469</v>
      </c>
      <c r="J31" s="77" t="s">
        <v>585</v>
      </c>
      <c r="K31" s="77" t="s">
        <v>103</v>
      </c>
      <c r="L31" s="77" t="s">
        <v>103</v>
      </c>
      <c r="M31" s="77">
        <v>15</v>
      </c>
      <c r="O31" s="77" t="str">
        <f t="shared" si="3"/>
        <v>&gt;500kVA &amp; ≤1MVA</v>
      </c>
      <c r="P31" s="77">
        <v>3</v>
      </c>
    </row>
    <row r="32" spans="2:16" s="77" customFormat="1" ht="13.8">
      <c r="B32" s="174" t="str">
        <f t="shared" si="2"/>
        <v>Landrate Dx</v>
      </c>
      <c r="C32" s="77" t="s">
        <v>55</v>
      </c>
      <c r="D32" s="194" t="s">
        <v>58</v>
      </c>
      <c r="E32" s="77" t="str">
        <f t="shared" si="0"/>
        <v>Rural</v>
      </c>
      <c r="F32" s="77">
        <f t="shared" si="1"/>
        <v>4</v>
      </c>
      <c r="G32" s="77">
        <v>16</v>
      </c>
      <c r="H32" s="77" t="s">
        <v>274</v>
      </c>
      <c r="J32" s="77" t="s">
        <v>43</v>
      </c>
      <c r="K32" s="77" t="s">
        <v>103</v>
      </c>
      <c r="L32" s="77" t="s">
        <v>103</v>
      </c>
      <c r="M32" s="77">
        <v>15</v>
      </c>
      <c r="O32" s="77" t="str">
        <f t="shared" si="3"/>
        <v>&gt;1MVA &amp; ≤5MVA</v>
      </c>
      <c r="P32" s="77">
        <v>4</v>
      </c>
    </row>
    <row r="33" spans="2:16" s="77" customFormat="1" ht="13.8">
      <c r="B33" s="174" t="str">
        <f t="shared" si="2"/>
        <v>Megaflex</v>
      </c>
      <c r="C33" s="77" t="s">
        <v>41</v>
      </c>
      <c r="D33" s="194"/>
      <c r="E33" s="77" t="str">
        <f t="shared" si="0"/>
        <v>Urban</v>
      </c>
      <c r="F33" s="77">
        <f t="shared" si="1"/>
        <v>5</v>
      </c>
      <c r="G33" s="77">
        <v>17</v>
      </c>
      <c r="H33" s="77" t="s">
        <v>275</v>
      </c>
      <c r="I33" s="77" t="s">
        <v>465</v>
      </c>
      <c r="O33" s="77" t="str">
        <f t="shared" si="3"/>
        <v>&gt;5MVA</v>
      </c>
      <c r="P33" s="77">
        <v>5</v>
      </c>
    </row>
    <row r="34" spans="2:16" s="77" customFormat="1" ht="13.8">
      <c r="B34" s="174" t="str">
        <f t="shared" si="2"/>
        <v>Miniflex</v>
      </c>
      <c r="C34" s="77" t="s">
        <v>42</v>
      </c>
      <c r="D34" s="194"/>
      <c r="E34" s="77" t="str">
        <f t="shared" si="0"/>
        <v>Urban</v>
      </c>
      <c r="F34" s="77">
        <f t="shared" si="1"/>
        <v>6</v>
      </c>
      <c r="G34" s="77">
        <v>18</v>
      </c>
      <c r="H34" s="77" t="s">
        <v>275</v>
      </c>
      <c r="I34" s="77" t="s">
        <v>465</v>
      </c>
      <c r="L34" s="88" t="s">
        <v>32</v>
      </c>
      <c r="M34" s="88" t="s">
        <v>60</v>
      </c>
      <c r="O34" s="77" t="str">
        <f t="shared" si="3"/>
        <v>Key customer</v>
      </c>
      <c r="P34" s="77">
        <v>6</v>
      </c>
    </row>
    <row r="35" spans="2:16" s="77" customFormat="1" ht="13.8">
      <c r="B35" s="174" t="str">
        <f t="shared" si="2"/>
        <v>Nightsave Urban</v>
      </c>
      <c r="C35" s="77" t="s">
        <v>624</v>
      </c>
      <c r="D35" s="194"/>
      <c r="E35" s="77" t="str">
        <f t="shared" si="0"/>
        <v>Urban</v>
      </c>
      <c r="F35" s="77">
        <f t="shared" si="1"/>
        <v>7</v>
      </c>
      <c r="G35" s="77">
        <v>19</v>
      </c>
      <c r="H35" s="77" t="s">
        <v>274</v>
      </c>
      <c r="I35" s="77" t="s">
        <v>465</v>
      </c>
      <c r="L35" s="77" t="s">
        <v>72</v>
      </c>
      <c r="M35" s="77">
        <v>1</v>
      </c>
    </row>
    <row r="36" spans="2:16" s="77" customFormat="1" ht="13.8">
      <c r="B36" s="174" t="str">
        <f t="shared" si="2"/>
        <v>Nightsave Rural</v>
      </c>
      <c r="C36" s="77" t="s">
        <v>44</v>
      </c>
      <c r="D36" s="194"/>
      <c r="E36" s="77" t="str">
        <f t="shared" si="0"/>
        <v>Rural</v>
      </c>
      <c r="F36" s="77">
        <f t="shared" si="1"/>
        <v>8</v>
      </c>
      <c r="G36" s="77">
        <v>20</v>
      </c>
      <c r="H36" s="77" t="s">
        <v>274</v>
      </c>
      <c r="I36" s="77" t="s">
        <v>465</v>
      </c>
      <c r="L36" s="77" t="s">
        <v>71</v>
      </c>
      <c r="M36" s="77">
        <v>2</v>
      </c>
      <c r="O36" s="77" t="s">
        <v>225</v>
      </c>
      <c r="P36" s="77">
        <f>IF(Selected_Customer_Category_ID=1,COUNTA(Capacity_SPU_List),COUNTA(Capacity_LPU_List))</f>
        <v>6</v>
      </c>
    </row>
    <row r="37" spans="2:16" s="77" customFormat="1" ht="13.8">
      <c r="B37" s="400" t="str">
        <f t="shared" si="2"/>
        <v>Nightsave Small</v>
      </c>
      <c r="C37" s="257" t="s">
        <v>45</v>
      </c>
      <c r="D37" s="401"/>
      <c r="E37" s="257" t="str">
        <f t="shared" si="0"/>
        <v>Urban</v>
      </c>
      <c r="F37" s="257">
        <f t="shared" si="1"/>
        <v>9</v>
      </c>
      <c r="G37" s="257">
        <v>21</v>
      </c>
      <c r="H37" s="257" t="s">
        <v>274</v>
      </c>
      <c r="I37" s="77" t="s">
        <v>465</v>
      </c>
    </row>
    <row r="38" spans="2:16" s="77" customFormat="1" ht="13.8">
      <c r="B38" s="174" t="str">
        <f>IF(D38="",C38,C38&amp;" "&amp;D38)</f>
        <v>Ruraflex</v>
      </c>
      <c r="C38" s="77" t="s">
        <v>46</v>
      </c>
      <c r="D38" s="194"/>
      <c r="E38" s="77" t="str">
        <f>INDEX(Base_Tariff_Type,F38)</f>
        <v>Rural</v>
      </c>
      <c r="F38" s="77">
        <f t="shared" ref="F38:F48" si="4">MATCH(C38,Base_Tariff_List,0)</f>
        <v>10</v>
      </c>
      <c r="G38" s="77">
        <v>22</v>
      </c>
      <c r="H38" s="77" t="s">
        <v>275</v>
      </c>
      <c r="I38" s="77" t="s">
        <v>465</v>
      </c>
    </row>
    <row r="39" spans="2:16" s="77" customFormat="1" ht="13.8">
      <c r="B39" s="174" t="s">
        <v>402</v>
      </c>
      <c r="C39" s="77" t="s">
        <v>55</v>
      </c>
      <c r="D39" s="194" t="s">
        <v>56</v>
      </c>
      <c r="E39" s="77" t="str">
        <f t="shared" ref="E39:E48" si="5">INDEX(Base_Tariff_Type,F39)</f>
        <v>Rural</v>
      </c>
      <c r="F39" s="77">
        <f t="shared" si="4"/>
        <v>4</v>
      </c>
      <c r="G39" s="77">
        <v>23</v>
      </c>
      <c r="H39" s="77" t="s">
        <v>274</v>
      </c>
      <c r="L39" s="88" t="s">
        <v>47</v>
      </c>
      <c r="M39" s="88" t="s">
        <v>429</v>
      </c>
    </row>
    <row r="40" spans="2:16" s="77" customFormat="1" ht="13.8">
      <c r="B40" s="174" t="s">
        <v>403</v>
      </c>
      <c r="C40" s="77" t="s">
        <v>55</v>
      </c>
      <c r="D40" s="194" t="s">
        <v>57</v>
      </c>
      <c r="E40" s="77" t="str">
        <f t="shared" si="5"/>
        <v>Rural</v>
      </c>
      <c r="F40" s="77">
        <f t="shared" si="4"/>
        <v>4</v>
      </c>
      <c r="G40" s="77">
        <v>24</v>
      </c>
      <c r="H40" s="77" t="s">
        <v>274</v>
      </c>
      <c r="L40" s="77" t="s">
        <v>176</v>
      </c>
      <c r="M40" s="77">
        <v>350</v>
      </c>
    </row>
    <row r="41" spans="2:16" s="77" customFormat="1" ht="13.8">
      <c r="B41" s="174" t="s">
        <v>348</v>
      </c>
      <c r="C41" s="174" t="s">
        <v>410</v>
      </c>
      <c r="D41" s="194" t="s">
        <v>411</v>
      </c>
      <c r="E41" s="77" t="str">
        <f t="shared" si="5"/>
        <v>Urban</v>
      </c>
      <c r="F41" s="77">
        <f t="shared" si="4"/>
        <v>11</v>
      </c>
      <c r="G41" s="77">
        <v>25</v>
      </c>
      <c r="H41" s="77" t="s">
        <v>274</v>
      </c>
      <c r="I41" s="77" t="s">
        <v>348</v>
      </c>
      <c r="L41" s="77" t="s">
        <v>177</v>
      </c>
      <c r="M41" s="77">
        <v>600</v>
      </c>
    </row>
    <row r="42" spans="2:16" s="77" customFormat="1" ht="13.8">
      <c r="B42" s="174" t="s">
        <v>347</v>
      </c>
      <c r="C42" s="174" t="s">
        <v>410</v>
      </c>
      <c r="D42" s="194" t="s">
        <v>412</v>
      </c>
      <c r="E42" s="77" t="str">
        <f t="shared" si="5"/>
        <v>Urban</v>
      </c>
      <c r="F42" s="77">
        <f t="shared" si="4"/>
        <v>11</v>
      </c>
      <c r="G42" s="77">
        <v>26</v>
      </c>
      <c r="H42" s="77" t="s">
        <v>274</v>
      </c>
      <c r="I42" s="77" t="s">
        <v>347</v>
      </c>
      <c r="L42" s="77" t="s">
        <v>52</v>
      </c>
      <c r="M42" s="77">
        <v>600</v>
      </c>
    </row>
    <row r="43" spans="2:16" s="77" customFormat="1" ht="13.8">
      <c r="B43" s="174" t="s">
        <v>349</v>
      </c>
      <c r="C43" s="174" t="s">
        <v>410</v>
      </c>
      <c r="D43" s="194" t="s">
        <v>413</v>
      </c>
      <c r="E43" s="77" t="str">
        <f t="shared" si="5"/>
        <v>Urban</v>
      </c>
      <c r="F43" s="77">
        <f t="shared" si="4"/>
        <v>11</v>
      </c>
      <c r="G43" s="77">
        <v>27</v>
      </c>
      <c r="H43" s="77" t="s">
        <v>274</v>
      </c>
      <c r="I43" s="77" t="s">
        <v>349</v>
      </c>
    </row>
    <row r="44" spans="2:16" s="77" customFormat="1" ht="13.8">
      <c r="B44" s="174" t="s">
        <v>465</v>
      </c>
      <c r="C44" s="77" t="s">
        <v>465</v>
      </c>
      <c r="D44" s="194"/>
      <c r="E44" s="77" t="str">
        <f>INDEX(Base_Tariff_Type, F44)</f>
        <v>Urban</v>
      </c>
      <c r="F44" s="77">
        <f t="shared" si="4"/>
        <v>12</v>
      </c>
      <c r="G44" s="77">
        <v>28</v>
      </c>
      <c r="H44" s="77" t="s">
        <v>275</v>
      </c>
      <c r="I44" s="77" t="s">
        <v>465</v>
      </c>
    </row>
    <row r="45" spans="2:16" s="77" customFormat="1" ht="13.8">
      <c r="B45" s="174" t="s">
        <v>466</v>
      </c>
      <c r="C45" s="92" t="s">
        <v>470</v>
      </c>
      <c r="D45" s="194">
        <v>1</v>
      </c>
      <c r="E45" s="77" t="str">
        <f t="shared" si="5"/>
        <v>Urban</v>
      </c>
      <c r="F45" s="77">
        <f t="shared" si="4"/>
        <v>13</v>
      </c>
      <c r="G45" s="77">
        <v>29</v>
      </c>
      <c r="H45" s="77" t="s">
        <v>274</v>
      </c>
    </row>
    <row r="46" spans="2:16" s="77" customFormat="1" ht="13.8">
      <c r="B46" s="245" t="s">
        <v>467</v>
      </c>
      <c r="C46" s="77" t="s">
        <v>470</v>
      </c>
      <c r="D46" s="194">
        <v>2</v>
      </c>
      <c r="E46" s="77" t="str">
        <f t="shared" si="5"/>
        <v>Urban</v>
      </c>
      <c r="F46" s="77">
        <f t="shared" si="4"/>
        <v>13</v>
      </c>
      <c r="G46" s="77">
        <v>30</v>
      </c>
      <c r="H46" s="77" t="s">
        <v>274</v>
      </c>
    </row>
    <row r="47" spans="2:16" s="77" customFormat="1" ht="13.8">
      <c r="B47" s="174" t="s">
        <v>468</v>
      </c>
      <c r="C47" s="77" t="s">
        <v>470</v>
      </c>
      <c r="D47" s="194">
        <v>3</v>
      </c>
      <c r="E47" s="77" t="str">
        <f t="shared" si="5"/>
        <v>Urban</v>
      </c>
      <c r="F47" s="77">
        <f t="shared" si="4"/>
        <v>13</v>
      </c>
      <c r="G47" s="77">
        <v>31</v>
      </c>
      <c r="H47" s="77" t="s">
        <v>274</v>
      </c>
    </row>
    <row r="48" spans="2:16" s="77" customFormat="1" ht="13.8">
      <c r="B48" s="245" t="s">
        <v>469</v>
      </c>
      <c r="C48" s="77" t="s">
        <v>470</v>
      </c>
      <c r="D48" s="194">
        <v>4</v>
      </c>
      <c r="E48" s="77" t="str">
        <f t="shared" si="5"/>
        <v>Urban</v>
      </c>
      <c r="F48" s="77">
        <f t="shared" si="4"/>
        <v>13</v>
      </c>
      <c r="G48" s="77">
        <v>32</v>
      </c>
      <c r="H48" s="77" t="s">
        <v>274</v>
      </c>
    </row>
    <row r="49" spans="2:28" s="77" customFormat="1" ht="13.8">
      <c r="B49" s="245" t="s">
        <v>535</v>
      </c>
      <c r="C49" s="77" t="s">
        <v>543</v>
      </c>
      <c r="D49" s="194">
        <v>1</v>
      </c>
      <c r="E49" s="77" t="str">
        <f t="shared" ref="E49:E55" si="6">INDEX(Base_Tariff_Type,F49)</f>
        <v>Urban</v>
      </c>
      <c r="F49" s="77">
        <f t="shared" ref="F49:F55" si="7">MATCH(C49,Base_Tariff_List,0)</f>
        <v>14</v>
      </c>
      <c r="G49" s="77">
        <v>33</v>
      </c>
      <c r="H49" s="77" t="s">
        <v>275</v>
      </c>
    </row>
    <row r="50" spans="2:28" s="77" customFormat="1" ht="13.8">
      <c r="B50" s="245" t="s">
        <v>536</v>
      </c>
      <c r="C50" s="77" t="s">
        <v>543</v>
      </c>
      <c r="D50" s="194">
        <v>2</v>
      </c>
      <c r="E50" s="77" t="str">
        <f t="shared" si="6"/>
        <v>Urban</v>
      </c>
      <c r="F50" s="77">
        <f t="shared" si="7"/>
        <v>14</v>
      </c>
      <c r="G50" s="77">
        <v>34</v>
      </c>
      <c r="H50" s="77" t="s">
        <v>275</v>
      </c>
    </row>
    <row r="51" spans="2:28" s="77" customFormat="1" ht="13.8">
      <c r="B51" s="245" t="s">
        <v>537</v>
      </c>
      <c r="C51" s="77" t="s">
        <v>543</v>
      </c>
      <c r="D51" s="194">
        <v>3</v>
      </c>
      <c r="E51" s="77" t="str">
        <f t="shared" si="6"/>
        <v>Urban</v>
      </c>
      <c r="F51" s="77">
        <f t="shared" si="7"/>
        <v>14</v>
      </c>
      <c r="G51" s="77">
        <v>35</v>
      </c>
      <c r="H51" s="77" t="s">
        <v>275</v>
      </c>
    </row>
    <row r="52" spans="2:28" s="77" customFormat="1" ht="13.8">
      <c r="B52" s="174" t="s">
        <v>538</v>
      </c>
      <c r="C52" s="77" t="s">
        <v>543</v>
      </c>
      <c r="D52" s="194">
        <v>4</v>
      </c>
      <c r="E52" s="77" t="str">
        <f t="shared" si="6"/>
        <v>Urban</v>
      </c>
      <c r="F52" s="77">
        <f t="shared" si="7"/>
        <v>14</v>
      </c>
      <c r="G52" s="77">
        <v>36</v>
      </c>
      <c r="H52" s="77" t="s">
        <v>275</v>
      </c>
    </row>
    <row r="53" spans="2:28" s="77" customFormat="1" ht="13.8">
      <c r="B53" s="174" t="s">
        <v>583</v>
      </c>
      <c r="C53" s="77" t="s">
        <v>585</v>
      </c>
      <c r="D53" s="77">
        <v>1</v>
      </c>
      <c r="E53" s="77" t="str">
        <f t="shared" si="6"/>
        <v>Urban</v>
      </c>
      <c r="F53" s="77">
        <f t="shared" si="7"/>
        <v>15</v>
      </c>
      <c r="G53" s="77">
        <v>37</v>
      </c>
      <c r="H53" s="77" t="s">
        <v>275</v>
      </c>
    </row>
    <row r="54" spans="2:28" s="77" customFormat="1" ht="13.8">
      <c r="B54" s="174" t="s">
        <v>584</v>
      </c>
      <c r="C54" s="77" t="s">
        <v>585</v>
      </c>
      <c r="D54" s="77">
        <v>2</v>
      </c>
      <c r="E54" s="77" t="str">
        <f t="shared" si="6"/>
        <v>Urban</v>
      </c>
      <c r="F54" s="77">
        <f t="shared" si="7"/>
        <v>15</v>
      </c>
      <c r="G54" s="77">
        <v>38</v>
      </c>
      <c r="H54" s="77" t="s">
        <v>275</v>
      </c>
    </row>
    <row r="55" spans="2:28" s="77" customFormat="1" ht="13.8">
      <c r="B55" s="77" t="s">
        <v>43</v>
      </c>
      <c r="C55" s="77" t="s">
        <v>43</v>
      </c>
      <c r="E55" s="77" t="str">
        <f t="shared" si="6"/>
        <v>Urban</v>
      </c>
      <c r="F55" s="77">
        <f t="shared" si="7"/>
        <v>16</v>
      </c>
      <c r="G55" s="77">
        <v>39</v>
      </c>
      <c r="H55" s="77" t="s">
        <v>274</v>
      </c>
    </row>
    <row r="56" spans="2:28" s="77" customFormat="1" ht="13.8">
      <c r="B56" s="79" t="s">
        <v>201</v>
      </c>
      <c r="C56" s="79" t="s">
        <v>223</v>
      </c>
      <c r="J56" s="79" t="s">
        <v>222</v>
      </c>
      <c r="Q56" s="452" t="s">
        <v>493</v>
      </c>
      <c r="R56" s="452"/>
      <c r="S56" s="452"/>
      <c r="T56" s="452"/>
      <c r="U56" s="452"/>
      <c r="V56" s="452"/>
      <c r="W56" s="452"/>
      <c r="X56" s="452"/>
      <c r="Y56" s="452"/>
      <c r="Z56" s="452"/>
      <c r="AA56" s="452"/>
      <c r="AB56" s="452"/>
    </row>
    <row r="57" spans="2:28" s="77" customFormat="1" ht="13.8">
      <c r="B57" s="88" t="str">
        <f ca="1">IF(Selected_Customer_Category_ID=1,INDEX(J57:O57,0,Selected_Supply_Size_ID),INDEX(C57:H57,Selected_Supply_Size_ID))</f>
        <v>&gt;100kVA &amp; ≤500kVA</v>
      </c>
      <c r="C57" s="88" t="str">
        <f>$O21</f>
        <v>≤100kVA</v>
      </c>
      <c r="D57" s="88" t="str">
        <f>$O22</f>
        <v>&gt;100kVA &amp; ≤500kVA</v>
      </c>
      <c r="E57" s="88" t="str">
        <f>$O23</f>
        <v>&gt;500kVA &amp; ≤1MVA</v>
      </c>
      <c r="F57" s="88" t="str">
        <f>$O24</f>
        <v>&gt;1MVA &amp; ≤5MVA</v>
      </c>
      <c r="G57" s="88" t="str">
        <f>$O25</f>
        <v>&gt;5MVA</v>
      </c>
      <c r="H57" s="88" t="str">
        <f>$O26</f>
        <v>Key customer</v>
      </c>
      <c r="J57" s="88" t="str">
        <f>$O11</f>
        <v>5kVA, 16kVA, 20A or 60A</v>
      </c>
      <c r="K57" s="88" t="str">
        <f>$O12</f>
        <v>25kVA</v>
      </c>
      <c r="L57" s="88" t="str">
        <f>$O13</f>
        <v>32kVA</v>
      </c>
      <c r="M57" s="88" t="str">
        <f>$O14</f>
        <v>50kVA</v>
      </c>
      <c r="N57" s="88" t="str">
        <f>$O15</f>
        <v>&gt;50kVA</v>
      </c>
      <c r="Q57" s="251" t="str">
        <f>$O21</f>
        <v>≤100kVA</v>
      </c>
      <c r="R57" s="251" t="str">
        <f>$O22</f>
        <v>&gt;100kVA &amp; ≤500kVA</v>
      </c>
      <c r="S57" s="251" t="str">
        <f>$O23</f>
        <v>&gt;500kVA &amp; ≤1MVA</v>
      </c>
      <c r="T57" s="251" t="str">
        <f>$O24</f>
        <v>&gt;1MVA &amp; ≤5MVA</v>
      </c>
      <c r="U57" s="251" t="str">
        <f>$O25</f>
        <v>&gt;5MVA</v>
      </c>
      <c r="V57" s="251" t="str">
        <f>$O26</f>
        <v>Key customer</v>
      </c>
      <c r="W57" s="252"/>
      <c r="X57" s="251" t="str">
        <f>$O11</f>
        <v>5kVA, 16kVA, 20A or 60A</v>
      </c>
      <c r="Y57" s="251" t="str">
        <f>$O12</f>
        <v>25kVA</v>
      </c>
      <c r="Z57" s="251" t="str">
        <f>$O13</f>
        <v>32kVA</v>
      </c>
      <c r="AA57" s="251" t="str">
        <f>$O14</f>
        <v>50kVA</v>
      </c>
      <c r="AB57" s="251" t="str">
        <f>$O15</f>
        <v>&gt;50kVA</v>
      </c>
    </row>
    <row r="58" spans="2:28" s="77" customFormat="1" ht="13.8">
      <c r="B58" s="77" t="str">
        <f ca="1">IF(Selected_Customer_Category_ID=1,INDEX(J58:N58,0,Selected_Supply_Size_ID),INDEX(C58:H58,Selected_Supply_Size_ID))</f>
        <v>Ruraflex</v>
      </c>
      <c r="C58" s="93" t="str">
        <f>IF(IF(Dropdown_Category = 1, Q58, Q83) = 0, "", IF(Dropdown_Category = 1, Q58, Q83))</f>
        <v>Ruraflex</v>
      </c>
      <c r="D58" s="93" t="str">
        <f t="shared" ref="D58:D76" si="8">IF(IF(Dropdown_Category = 1, R58, R83) = 0, "", IF(Dropdown_Category = 1, R58, R83))</f>
        <v>Ruraflex</v>
      </c>
      <c r="E58" s="93" t="str">
        <f t="shared" ref="E58:E76" si="9">IF(IF(Dropdown_Category = 1, S58, S83) = 0, "", IF(Dropdown_Category = 1, S58, S83))</f>
        <v>Ruraflex</v>
      </c>
      <c r="F58" s="93" t="str">
        <f t="shared" ref="F58:F76" si="10">IF(IF(Dropdown_Category = 1, T58, T83) = 0, "", IF(Dropdown_Category = 1, T58, T83))</f>
        <v>Ruraflex</v>
      </c>
      <c r="G58" s="93" t="str">
        <f t="shared" ref="G58:G76" si="11">IF(IF(Dropdown_Category = 1, U58, U83) = 0, "", IF(Dropdown_Category = 1, U58, U83))</f>
        <v>Ruraflex</v>
      </c>
      <c r="H58" s="93" t="str">
        <f t="shared" ref="H58:H76" si="12">IF(IF(Dropdown_Category = 1, V58, V83) = 0, "", IF(Dropdown_Category = 1, V58, V83))</f>
        <v>Ruraflex</v>
      </c>
      <c r="J58" s="93" t="str">
        <f>IF(IF(Dropdown_Category = 1, X58, X83) = 0, "", IF(Dropdown_Category = 1, X58, X83))</f>
        <v>Businessrate 1</v>
      </c>
      <c r="K58" s="93" t="str">
        <f>IF(IF(Dropdown_Category = 1, Y58, Y83) = 0, "", IF(Dropdown_Category = 1, Y58, Y83))</f>
        <v>Businessrate 1</v>
      </c>
      <c r="L58" s="93" t="str">
        <f>IF(IF(Dropdown_Category = 1, Z58, Z83) = 0, "", IF(Dropdown_Category = 1, Z58, Z83))</f>
        <v>Businessrate 1</v>
      </c>
      <c r="M58" s="93" t="str">
        <f>IF(IF(Dropdown_Category = 1, AA58, AA83) = 0, "", IF(Dropdown_Category = 1, AA58, AA83))</f>
        <v>Businessrate 2</v>
      </c>
      <c r="N58" s="93" t="str">
        <f>IF(IF(Dropdown_Category = 1, AB58, AB83) = 0, "", IF(Dropdown_Category = 1, AB58, AB83))</f>
        <v>Businessrate 2</v>
      </c>
      <c r="Q58" s="254" t="s">
        <v>46</v>
      </c>
      <c r="R58" s="254" t="s">
        <v>46</v>
      </c>
      <c r="S58" s="254" t="s">
        <v>46</v>
      </c>
      <c r="T58" s="254" t="s">
        <v>46</v>
      </c>
      <c r="U58" s="254" t="s">
        <v>46</v>
      </c>
      <c r="V58" s="254" t="str">
        <f>T58</f>
        <v>Ruraflex</v>
      </c>
      <c r="W58" s="252"/>
      <c r="X58" s="254" t="s">
        <v>166</v>
      </c>
      <c r="Y58" s="254" t="s">
        <v>166</v>
      </c>
      <c r="Z58" s="254" t="s">
        <v>166</v>
      </c>
      <c r="AA58" s="254" t="s">
        <v>167</v>
      </c>
      <c r="AB58" s="254" t="s">
        <v>167</v>
      </c>
    </row>
    <row r="59" spans="2:28" s="77" customFormat="1" ht="13.8">
      <c r="B59" s="77" t="str">
        <f t="shared" ref="B59:B76" ca="1" si="13">IF(Selected_Customer_Category_ID=1,INDEX(J59:N59,0,Selected_Supply_Size_ID),INDEX(C59:H59,Selected_Supply_Size_ID))</f>
        <v>Miniflex</v>
      </c>
      <c r="C59" s="93" t="str">
        <f t="shared" ref="C59:C76" si="14">IF(IF(Dropdown_Category = 1, Q59, Q84) = 0, "", IF(Dropdown_Category = 1, Q59, Q84))</f>
        <v>Miniflex</v>
      </c>
      <c r="D59" s="93" t="str">
        <f t="shared" si="8"/>
        <v>Miniflex</v>
      </c>
      <c r="E59" s="93" t="str">
        <f t="shared" si="9"/>
        <v>Miniflex</v>
      </c>
      <c r="F59" s="93" t="str">
        <f t="shared" si="10"/>
        <v>Miniflex</v>
      </c>
      <c r="G59" s="93" t="str">
        <f t="shared" si="11"/>
        <v>Nightsave Urban</v>
      </c>
      <c r="H59" s="93" t="str">
        <f t="shared" si="12"/>
        <v>Nightsave Urban</v>
      </c>
      <c r="J59" s="93" t="str">
        <f t="shared" ref="J59:J73" si="15">IF(IF(Dropdown_Category = 1, X59, X84) = 0, "", IF(Dropdown_Category = 1, X59, X84))</f>
        <v>Businessrate 4</v>
      </c>
      <c r="K59" s="93" t="str">
        <f t="shared" ref="K59:K73" si="16">IF(IF(Dropdown_Category = 1, Y59, Y84) = 0, "", IF(Dropdown_Category = 1, Y59, Y84))</f>
        <v>Businessrate 4</v>
      </c>
      <c r="L59" s="93" t="str">
        <f t="shared" ref="L59:L73" si="17">IF(IF(Dropdown_Category = 1, Z59, Z84) = 0, "", IF(Dropdown_Category = 1, Z59, Z84))</f>
        <v>Businessrate 4</v>
      </c>
      <c r="M59" s="93" t="str">
        <f t="shared" ref="M59:M73" si="18">IF(IF(Dropdown_Category = 1, AA59, AA84) = 0, "", IF(Dropdown_Category = 1, AA59, AA84))</f>
        <v>Homepower 2</v>
      </c>
      <c r="N59" s="93" t="str">
        <f t="shared" ref="N59:N73" si="19">IF(IF(Dropdown_Category = 1, AB59, AB84) = 0, "", IF(Dropdown_Category = 1, AB59, AB84))</f>
        <v>Businessrate 3</v>
      </c>
      <c r="Q59" s="254" t="s">
        <v>42</v>
      </c>
      <c r="R59" s="254" t="s">
        <v>42</v>
      </c>
      <c r="S59" s="254" t="s">
        <v>42</v>
      </c>
      <c r="T59" s="254" t="s">
        <v>42</v>
      </c>
      <c r="U59" s="254" t="s">
        <v>624</v>
      </c>
      <c r="V59" s="254" t="s">
        <v>624</v>
      </c>
      <c r="W59" s="252"/>
      <c r="X59" s="254" t="s">
        <v>169</v>
      </c>
      <c r="Y59" s="254" t="s">
        <v>169</v>
      </c>
      <c r="Z59" s="254" t="s">
        <v>169</v>
      </c>
      <c r="AA59" s="254" t="s">
        <v>172</v>
      </c>
      <c r="AB59" s="254" t="s">
        <v>168</v>
      </c>
    </row>
    <row r="60" spans="2:28" s="77" customFormat="1" ht="13.8">
      <c r="B60" s="77" t="str">
        <f t="shared" ca="1" si="13"/>
        <v>Nightsave Urban</v>
      </c>
      <c r="C60" s="93" t="str">
        <f t="shared" si="14"/>
        <v>Nightsave Urban</v>
      </c>
      <c r="D60" s="93" t="str">
        <f t="shared" si="8"/>
        <v>Nightsave Urban</v>
      </c>
      <c r="E60" s="93" t="str">
        <f t="shared" si="9"/>
        <v>Nightsave Urban</v>
      </c>
      <c r="F60" s="93" t="str">
        <f t="shared" si="10"/>
        <v>Nightsave Urban</v>
      </c>
      <c r="G60" s="93" t="str">
        <f t="shared" si="11"/>
        <v>Megaflex</v>
      </c>
      <c r="H60" s="93" t="str">
        <f t="shared" si="12"/>
        <v>Megaflex</v>
      </c>
      <c r="J60" s="93" t="str">
        <f t="shared" si="15"/>
        <v>Homepower 4</v>
      </c>
      <c r="K60" s="93" t="str">
        <f t="shared" si="16"/>
        <v>Homepower 1</v>
      </c>
      <c r="L60" s="93" t="str">
        <f t="shared" si="17"/>
        <v>Homepower 1</v>
      </c>
      <c r="M60" s="93" t="str">
        <f t="shared" si="18"/>
        <v>Landrate 2</v>
      </c>
      <c r="N60" s="93" t="str">
        <f t="shared" si="19"/>
        <v>Homepower 2</v>
      </c>
      <c r="Q60" s="254" t="s">
        <v>624</v>
      </c>
      <c r="R60" s="254" t="s">
        <v>624</v>
      </c>
      <c r="S60" s="254" t="s">
        <v>624</v>
      </c>
      <c r="T60" s="254" t="s">
        <v>624</v>
      </c>
      <c r="U60" s="254" t="s">
        <v>41</v>
      </c>
      <c r="V60" s="254" t="s">
        <v>41</v>
      </c>
      <c r="W60" s="252"/>
      <c r="X60" s="254" t="s">
        <v>174</v>
      </c>
      <c r="Y60" s="254" t="s">
        <v>171</v>
      </c>
      <c r="Z60" s="254" t="s">
        <v>171</v>
      </c>
      <c r="AA60" s="254" t="s">
        <v>179</v>
      </c>
      <c r="AB60" s="254" t="s">
        <v>172</v>
      </c>
    </row>
    <row r="61" spans="2:28" s="77" customFormat="1" ht="13.8">
      <c r="B61" s="77" t="str">
        <f t="shared" ca="1" si="13"/>
        <v>Nightsave Rural</v>
      </c>
      <c r="C61" s="93" t="str">
        <f t="shared" si="14"/>
        <v>Nightsave Rural</v>
      </c>
      <c r="D61" s="93" t="str">
        <f t="shared" si="8"/>
        <v>Nightsave Rural</v>
      </c>
      <c r="E61" s="93" t="str">
        <f t="shared" si="9"/>
        <v>Nightsave Rural</v>
      </c>
      <c r="F61" s="93" t="str">
        <f t="shared" si="10"/>
        <v>Megaflex</v>
      </c>
      <c r="G61" s="93" t="str">
        <f t="shared" si="11"/>
        <v>Nightsave Rural</v>
      </c>
      <c r="H61" s="93" t="str">
        <f t="shared" si="12"/>
        <v>Nightsave Rural</v>
      </c>
      <c r="J61" s="93" t="str">
        <f t="shared" si="15"/>
        <v>Homelight 20A</v>
      </c>
      <c r="K61" s="93" t="str">
        <f t="shared" si="16"/>
        <v>Landrate 1</v>
      </c>
      <c r="L61" s="93" t="str">
        <f t="shared" si="17"/>
        <v>Landrate 1</v>
      </c>
      <c r="M61" s="93" t="str">
        <f t="shared" si="18"/>
        <v>Homepower Bulk</v>
      </c>
      <c r="N61" s="93" t="str">
        <f t="shared" si="19"/>
        <v>Homepower 3</v>
      </c>
      <c r="Q61" s="254" t="s">
        <v>44</v>
      </c>
      <c r="R61" s="254" t="s">
        <v>44</v>
      </c>
      <c r="S61" s="254" t="s">
        <v>44</v>
      </c>
      <c r="T61" s="254" t="s">
        <v>41</v>
      </c>
      <c r="U61" s="254" t="s">
        <v>44</v>
      </c>
      <c r="V61" s="254" t="s">
        <v>44</v>
      </c>
      <c r="W61" s="252"/>
      <c r="X61" s="254" t="s">
        <v>176</v>
      </c>
      <c r="Y61" s="254" t="s">
        <v>178</v>
      </c>
      <c r="Z61" s="254" t="s">
        <v>178</v>
      </c>
      <c r="AA61" s="254" t="s">
        <v>344</v>
      </c>
      <c r="AB61" s="254" t="s">
        <v>173</v>
      </c>
    </row>
    <row r="62" spans="2:28" s="77" customFormat="1" ht="13.8">
      <c r="B62" s="77" t="str">
        <f t="shared" ca="1" si="13"/>
        <v>Homepower Bulk</v>
      </c>
      <c r="C62" s="93" t="str">
        <f t="shared" si="14"/>
        <v>Homepower Bulk</v>
      </c>
      <c r="D62" s="93" t="str">
        <f t="shared" si="8"/>
        <v>Homepower Bulk</v>
      </c>
      <c r="E62" s="93" t="str">
        <f t="shared" si="9"/>
        <v>Homepower Bulk</v>
      </c>
      <c r="F62" s="93" t="str">
        <f t="shared" si="10"/>
        <v>Nightsave Rural</v>
      </c>
      <c r="G62" s="93" t="str">
        <f t="shared" si="11"/>
        <v>Miniflex</v>
      </c>
      <c r="H62" s="93" t="str">
        <f t="shared" si="12"/>
        <v>Miniflex</v>
      </c>
      <c r="J62" s="93" t="str">
        <f t="shared" si="15"/>
        <v>Homelight 60A</v>
      </c>
      <c r="K62" s="93" t="str">
        <f t="shared" si="16"/>
        <v>Public Lighting 24 Hours</v>
      </c>
      <c r="L62" s="93" t="str">
        <f t="shared" si="17"/>
        <v>Public Lighting 24 Hours</v>
      </c>
      <c r="M62" s="93" t="str">
        <f t="shared" si="18"/>
        <v>Homeflex 2</v>
      </c>
      <c r="N62" s="93" t="str">
        <f t="shared" si="19"/>
        <v>Landrate 2</v>
      </c>
      <c r="Q62" s="254" t="s">
        <v>344</v>
      </c>
      <c r="R62" s="254" t="s">
        <v>344</v>
      </c>
      <c r="S62" s="254" t="s">
        <v>344</v>
      </c>
      <c r="T62" s="254" t="s">
        <v>44</v>
      </c>
      <c r="U62" s="254" t="s">
        <v>42</v>
      </c>
      <c r="V62" s="254" t="s">
        <v>42</v>
      </c>
      <c r="W62" s="252"/>
      <c r="X62" s="254" t="s">
        <v>177</v>
      </c>
      <c r="Y62" s="254" t="s">
        <v>348</v>
      </c>
      <c r="Z62" s="254" t="s">
        <v>348</v>
      </c>
      <c r="AA62" s="254" t="s">
        <v>536</v>
      </c>
      <c r="AB62" s="254" t="s">
        <v>179</v>
      </c>
    </row>
    <row r="63" spans="2:28" s="77" customFormat="1" ht="13.8">
      <c r="B63" s="304" t="str">
        <f t="shared" ca="1" si="13"/>
        <v>Landrate 1</v>
      </c>
      <c r="C63" s="93" t="str">
        <f t="shared" si="14"/>
        <v>Landrate 1</v>
      </c>
      <c r="D63" s="93" t="str">
        <f t="shared" ref="D63:H66" si="20">IF(IF(Dropdown_Category = 1, R63, R88) = 0, "", IF(Dropdown_Category = 1, R63, R88))</f>
        <v>Landrate 1</v>
      </c>
      <c r="E63" s="93" t="str">
        <f t="shared" si="20"/>
        <v>Landrate 1</v>
      </c>
      <c r="F63" s="93" t="str">
        <f t="shared" si="20"/>
        <v>Landrate 1</v>
      </c>
      <c r="G63" s="93" t="str">
        <f t="shared" si="20"/>
        <v>Landrate 1</v>
      </c>
      <c r="H63" s="93" t="str">
        <f t="shared" si="20"/>
        <v>Landrate 1</v>
      </c>
      <c r="J63" s="93" t="str">
        <f t="shared" si="15"/>
        <v>Landrate 1</v>
      </c>
      <c r="K63" s="93" t="str">
        <f t="shared" si="16"/>
        <v>Public Lighting All Night</v>
      </c>
      <c r="L63" s="93" t="str">
        <f t="shared" si="17"/>
        <v>Public Lighting All Night</v>
      </c>
      <c r="M63" s="93" t="str">
        <f t="shared" si="18"/>
        <v/>
      </c>
      <c r="N63" s="93" t="str">
        <f t="shared" si="19"/>
        <v>Landrate 3</v>
      </c>
      <c r="Q63" s="254" t="s">
        <v>178</v>
      </c>
      <c r="R63" s="254" t="s">
        <v>178</v>
      </c>
      <c r="S63" s="254" t="s">
        <v>178</v>
      </c>
      <c r="T63" s="254" t="s">
        <v>178</v>
      </c>
      <c r="U63" s="254" t="s">
        <v>178</v>
      </c>
      <c r="V63" s="254" t="s">
        <v>178</v>
      </c>
      <c r="W63" s="252"/>
      <c r="X63" s="254" t="s">
        <v>178</v>
      </c>
      <c r="Y63" s="254" t="s">
        <v>347</v>
      </c>
      <c r="Z63" s="254" t="s">
        <v>347</v>
      </c>
      <c r="AA63" s="254"/>
      <c r="AB63" s="254" t="s">
        <v>180</v>
      </c>
    </row>
    <row r="64" spans="2:28" s="77" customFormat="1" ht="13.8">
      <c r="B64" s="77" t="str">
        <f t="shared" ca="1" si="13"/>
        <v>Landrate 2</v>
      </c>
      <c r="C64" s="93" t="str">
        <f t="shared" si="14"/>
        <v>Landrate 2</v>
      </c>
      <c r="D64" s="93" t="str">
        <f t="shared" si="20"/>
        <v>Landrate 2</v>
      </c>
      <c r="E64" s="93" t="str">
        <f t="shared" si="20"/>
        <v>Landrate 2</v>
      </c>
      <c r="F64" s="93" t="str">
        <f t="shared" si="20"/>
        <v>Landrate 2</v>
      </c>
      <c r="G64" s="93" t="str">
        <f t="shared" si="20"/>
        <v>Landrate 2</v>
      </c>
      <c r="H64" s="93" t="str">
        <f t="shared" si="20"/>
        <v>Landrate 2</v>
      </c>
      <c r="J64" s="93" t="str">
        <f t="shared" si="15"/>
        <v>Landrate 4</v>
      </c>
      <c r="K64" s="93" t="str">
        <f t="shared" si="16"/>
        <v>Homeflex 1</v>
      </c>
      <c r="L64" s="93" t="str">
        <f t="shared" si="17"/>
        <v>Homeflex 1</v>
      </c>
      <c r="M64" s="93" t="str">
        <f t="shared" si="18"/>
        <v/>
      </c>
      <c r="N64" s="93" t="str">
        <f t="shared" si="19"/>
        <v>Homepower Bulk</v>
      </c>
      <c r="Q64" s="254" t="s">
        <v>179</v>
      </c>
      <c r="R64" s="254" t="s">
        <v>179</v>
      </c>
      <c r="S64" s="254" t="s">
        <v>179</v>
      </c>
      <c r="T64" s="254" t="s">
        <v>179</v>
      </c>
      <c r="U64" s="254" t="s">
        <v>179</v>
      </c>
      <c r="V64" s="254" t="s">
        <v>179</v>
      </c>
      <c r="W64" s="252"/>
      <c r="X64" s="254" t="s">
        <v>181</v>
      </c>
      <c r="Y64" s="254" t="s">
        <v>535</v>
      </c>
      <c r="Z64" s="254" t="s">
        <v>535</v>
      </c>
      <c r="AA64" s="254"/>
      <c r="AB64" s="254" t="s">
        <v>344</v>
      </c>
    </row>
    <row r="65" spans="2:28" s="77" customFormat="1" ht="13.8">
      <c r="B65" s="304" t="str">
        <f t="shared" ca="1" si="13"/>
        <v>Landrate 3</v>
      </c>
      <c r="C65" s="93" t="str">
        <f t="shared" si="14"/>
        <v>Landrate 3</v>
      </c>
      <c r="D65" s="93" t="str">
        <f t="shared" si="20"/>
        <v>Landrate 3</v>
      </c>
      <c r="E65" s="93" t="str">
        <f t="shared" si="20"/>
        <v>Landrate 3</v>
      </c>
      <c r="F65" s="93" t="str">
        <f t="shared" si="20"/>
        <v>Landrate 3</v>
      </c>
      <c r="G65" s="93" t="str">
        <f t="shared" si="20"/>
        <v>Landrate 3</v>
      </c>
      <c r="H65" s="93" t="str">
        <f t="shared" si="20"/>
        <v>Landrate 3</v>
      </c>
      <c r="J65" s="93" t="str">
        <f t="shared" si="15"/>
        <v>Landrate Dx</v>
      </c>
      <c r="K65" s="93" t="str">
        <f t="shared" si="16"/>
        <v/>
      </c>
      <c r="L65" s="93" t="str">
        <f t="shared" si="17"/>
        <v/>
      </c>
      <c r="M65" s="93" t="str">
        <f t="shared" si="18"/>
        <v/>
      </c>
      <c r="N65" s="93" t="str">
        <f t="shared" si="19"/>
        <v>Homeflex 2</v>
      </c>
      <c r="Q65" s="254" t="s">
        <v>180</v>
      </c>
      <c r="R65" s="254" t="s">
        <v>180</v>
      </c>
      <c r="S65" s="254" t="s">
        <v>180</v>
      </c>
      <c r="T65" s="254" t="s">
        <v>180</v>
      </c>
      <c r="U65" s="254" t="s">
        <v>180</v>
      </c>
      <c r="V65" s="254" t="s">
        <v>180</v>
      </c>
      <c r="W65" s="252"/>
      <c r="X65" s="254" t="s">
        <v>183</v>
      </c>
      <c r="Y65" s="254"/>
      <c r="Z65" s="254"/>
      <c r="AA65" s="254"/>
      <c r="AB65" s="254" t="s">
        <v>536</v>
      </c>
    </row>
    <row r="66" spans="2:28" s="77" customFormat="1" ht="13.8">
      <c r="B66" s="304" t="str">
        <f t="shared" ca="1" si="13"/>
        <v>Landrate 4</v>
      </c>
      <c r="C66" s="93" t="str">
        <f t="shared" si="14"/>
        <v>Landrate 4</v>
      </c>
      <c r="D66" s="93" t="str">
        <f t="shared" si="20"/>
        <v>Landrate 4</v>
      </c>
      <c r="E66" s="93" t="str">
        <f t="shared" si="20"/>
        <v>Landrate 4</v>
      </c>
      <c r="F66" s="93" t="str">
        <f t="shared" si="20"/>
        <v>Landrate 4</v>
      </c>
      <c r="G66" s="93" t="str">
        <f t="shared" si="20"/>
        <v>Landrate 4</v>
      </c>
      <c r="H66" s="93" t="str">
        <f t="shared" si="20"/>
        <v>Landrate 4</v>
      </c>
      <c r="J66" s="93" t="str">
        <f t="shared" si="15"/>
        <v>Landlight 20A</v>
      </c>
      <c r="K66" s="93" t="str">
        <f t="shared" si="16"/>
        <v/>
      </c>
      <c r="L66" s="93" t="str">
        <f t="shared" si="17"/>
        <v/>
      </c>
      <c r="M66" s="93" t="str">
        <f t="shared" si="18"/>
        <v/>
      </c>
      <c r="N66" s="93" t="str">
        <f t="shared" si="19"/>
        <v>Homeflex 3</v>
      </c>
      <c r="Q66" s="254" t="s">
        <v>181</v>
      </c>
      <c r="R66" s="254" t="s">
        <v>181</v>
      </c>
      <c r="S66" s="254" t="s">
        <v>181</v>
      </c>
      <c r="T66" s="254" t="s">
        <v>181</v>
      </c>
      <c r="U66" s="254" t="s">
        <v>181</v>
      </c>
      <c r="V66" s="254" t="s">
        <v>181</v>
      </c>
      <c r="W66" s="252"/>
      <c r="X66" s="254" t="s">
        <v>402</v>
      </c>
      <c r="Y66" s="254"/>
      <c r="Z66" s="254"/>
      <c r="AA66" s="254"/>
      <c r="AB66" s="254" t="s">
        <v>537</v>
      </c>
    </row>
    <row r="67" spans="2:28" s="77" customFormat="1" ht="13.8">
      <c r="B67" s="304" t="str">
        <f t="shared" ca="1" si="13"/>
        <v/>
      </c>
      <c r="C67" s="93" t="str">
        <f t="shared" si="14"/>
        <v/>
      </c>
      <c r="D67" s="93" t="str">
        <f t="shared" si="8"/>
        <v/>
      </c>
      <c r="E67" s="93" t="str">
        <f t="shared" si="9"/>
        <v/>
      </c>
      <c r="F67" s="93" t="str">
        <f t="shared" si="10"/>
        <v/>
      </c>
      <c r="G67" s="93" t="str">
        <f t="shared" si="11"/>
        <v/>
      </c>
      <c r="H67" s="93" t="str">
        <f t="shared" si="12"/>
        <v/>
      </c>
      <c r="J67" s="93" t="str">
        <f t="shared" si="15"/>
        <v>Landlight 60A</v>
      </c>
      <c r="K67" s="93" t="str">
        <f t="shared" si="16"/>
        <v/>
      </c>
      <c r="L67" s="93" t="str">
        <f t="shared" si="17"/>
        <v/>
      </c>
      <c r="M67" s="93" t="str">
        <f t="shared" si="18"/>
        <v/>
      </c>
      <c r="N67" s="93" t="str">
        <f t="shared" si="19"/>
        <v/>
      </c>
      <c r="Q67" s="254"/>
      <c r="R67" s="254"/>
      <c r="S67" s="254"/>
      <c r="T67" s="254"/>
      <c r="U67" s="254"/>
      <c r="V67" s="254"/>
      <c r="W67" s="252"/>
      <c r="X67" s="254" t="s">
        <v>403</v>
      </c>
      <c r="Y67" s="254"/>
      <c r="Z67" s="254"/>
      <c r="AA67" s="254"/>
      <c r="AB67" s="254"/>
    </row>
    <row r="68" spans="2:28" s="77" customFormat="1" ht="13.8">
      <c r="B68" s="304" t="str">
        <f t="shared" ca="1" si="13"/>
        <v/>
      </c>
      <c r="C68" s="93" t="str">
        <f t="shared" si="14"/>
        <v/>
      </c>
      <c r="D68" s="93" t="str">
        <f t="shared" si="8"/>
        <v/>
      </c>
      <c r="E68" s="93" t="str">
        <f t="shared" si="9"/>
        <v/>
      </c>
      <c r="F68" s="93" t="str">
        <f t="shared" si="10"/>
        <v/>
      </c>
      <c r="G68" s="93" t="str">
        <f t="shared" si="11"/>
        <v/>
      </c>
      <c r="H68" s="93" t="str">
        <f t="shared" si="12"/>
        <v/>
      </c>
      <c r="J68" s="93" t="str">
        <f t="shared" si="15"/>
        <v>Public Lighting 24 Hours</v>
      </c>
      <c r="K68" s="93" t="str">
        <f t="shared" si="16"/>
        <v/>
      </c>
      <c r="L68" s="93" t="str">
        <f t="shared" si="17"/>
        <v/>
      </c>
      <c r="M68" s="93" t="str">
        <f t="shared" si="18"/>
        <v/>
      </c>
      <c r="N68" s="93" t="str">
        <f t="shared" si="19"/>
        <v/>
      </c>
      <c r="Q68" s="254"/>
      <c r="R68" s="254"/>
      <c r="S68" s="254"/>
      <c r="T68" s="254"/>
      <c r="U68" s="254"/>
      <c r="V68" s="254"/>
      <c r="W68" s="252"/>
      <c r="X68" s="254" t="s">
        <v>348</v>
      </c>
      <c r="Y68" s="254"/>
      <c r="Z68" s="254"/>
      <c r="AA68" s="254"/>
      <c r="AB68" s="254"/>
    </row>
    <row r="69" spans="2:28" s="77" customFormat="1" ht="13.8">
      <c r="B69" s="304" t="str">
        <f t="shared" ca="1" si="13"/>
        <v/>
      </c>
      <c r="C69" s="93" t="str">
        <f t="shared" si="14"/>
        <v/>
      </c>
      <c r="D69" s="93" t="str">
        <f t="shared" si="8"/>
        <v/>
      </c>
      <c r="E69" s="93" t="str">
        <f t="shared" si="9"/>
        <v/>
      </c>
      <c r="F69" s="93" t="str">
        <f t="shared" si="10"/>
        <v/>
      </c>
      <c r="G69" s="93" t="str">
        <f t="shared" si="11"/>
        <v/>
      </c>
      <c r="H69" s="93" t="str">
        <f t="shared" si="12"/>
        <v/>
      </c>
      <c r="J69" s="93" t="str">
        <f t="shared" si="15"/>
        <v>Public Lighting All Night</v>
      </c>
      <c r="K69" s="93" t="str">
        <f t="shared" si="16"/>
        <v/>
      </c>
      <c r="L69" s="93" t="str">
        <f t="shared" si="17"/>
        <v/>
      </c>
      <c r="M69" s="93" t="str">
        <f t="shared" si="18"/>
        <v/>
      </c>
      <c r="N69" s="93" t="str">
        <f t="shared" si="19"/>
        <v/>
      </c>
      <c r="Q69" s="254"/>
      <c r="R69" s="254"/>
      <c r="S69" s="254"/>
      <c r="T69" s="254"/>
      <c r="U69" s="254"/>
      <c r="V69" s="254"/>
      <c r="W69" s="252"/>
      <c r="X69" s="254" t="s">
        <v>347</v>
      </c>
      <c r="Y69" s="254"/>
      <c r="Z69" s="254"/>
      <c r="AA69" s="254"/>
      <c r="AB69" s="254"/>
    </row>
    <row r="70" spans="2:28" s="77" customFormat="1" ht="13.8">
      <c r="B70" s="303" t="str">
        <f t="shared" ca="1" si="13"/>
        <v/>
      </c>
      <c r="C70" s="93" t="str">
        <f t="shared" si="14"/>
        <v/>
      </c>
      <c r="D70" s="93" t="str">
        <f t="shared" si="8"/>
        <v/>
      </c>
      <c r="E70" s="93" t="str">
        <f t="shared" si="9"/>
        <v/>
      </c>
      <c r="F70" s="93" t="str">
        <f t="shared" si="10"/>
        <v/>
      </c>
      <c r="G70" s="93" t="str">
        <f t="shared" si="11"/>
        <v/>
      </c>
      <c r="H70" s="93" t="str">
        <f t="shared" si="12"/>
        <v/>
      </c>
      <c r="J70" s="93" t="str">
        <f t="shared" si="15"/>
        <v>Public Lighting Urban Fixed</v>
      </c>
      <c r="K70" s="93" t="str">
        <f t="shared" si="16"/>
        <v/>
      </c>
      <c r="L70" s="93" t="str">
        <f t="shared" si="17"/>
        <v/>
      </c>
      <c r="M70" s="93" t="str">
        <f t="shared" si="18"/>
        <v/>
      </c>
      <c r="N70" s="93" t="str">
        <f t="shared" si="19"/>
        <v/>
      </c>
      <c r="Q70" s="254"/>
      <c r="R70" s="254"/>
      <c r="S70" s="254"/>
      <c r="T70" s="254"/>
      <c r="U70" s="254"/>
      <c r="V70" s="254"/>
      <c r="W70" s="252"/>
      <c r="X70" s="254" t="s">
        <v>349</v>
      </c>
      <c r="Y70" s="254"/>
      <c r="Z70" s="254"/>
      <c r="AA70" s="254"/>
      <c r="AB70" s="254"/>
    </row>
    <row r="71" spans="2:28" s="77" customFormat="1" ht="13.8">
      <c r="B71" s="77" t="str">
        <f t="shared" ca="1" si="13"/>
        <v/>
      </c>
      <c r="C71" s="93" t="str">
        <f t="shared" si="14"/>
        <v/>
      </c>
      <c r="D71" s="93" t="str">
        <f t="shared" si="8"/>
        <v/>
      </c>
      <c r="E71" s="93" t="str">
        <f t="shared" si="9"/>
        <v/>
      </c>
      <c r="F71" s="93" t="str">
        <f t="shared" si="10"/>
        <v/>
      </c>
      <c r="G71" s="93" t="str">
        <f t="shared" si="11"/>
        <v/>
      </c>
      <c r="H71" s="93" t="str">
        <f t="shared" si="12"/>
        <v/>
      </c>
      <c r="J71" s="93" t="str">
        <f t="shared" si="15"/>
        <v>Homeflex 4</v>
      </c>
      <c r="K71" s="93" t="str">
        <f t="shared" si="16"/>
        <v/>
      </c>
      <c r="L71" s="93" t="str">
        <f t="shared" si="17"/>
        <v/>
      </c>
      <c r="M71" s="93" t="str">
        <f t="shared" si="18"/>
        <v/>
      </c>
      <c r="N71" s="93" t="str">
        <f t="shared" si="19"/>
        <v/>
      </c>
      <c r="Q71" s="254"/>
      <c r="R71" s="254"/>
      <c r="S71" s="254"/>
      <c r="T71" s="254"/>
      <c r="U71" s="254"/>
      <c r="V71" s="254"/>
      <c r="W71" s="252"/>
      <c r="X71" s="254" t="s">
        <v>538</v>
      </c>
      <c r="Y71" s="254"/>
      <c r="Z71" s="254"/>
      <c r="AA71" s="254"/>
      <c r="AB71" s="254"/>
    </row>
    <row r="72" spans="2:28" s="77" customFormat="1" ht="13.8">
      <c r="B72" s="77" t="str">
        <f t="shared" ca="1" si="13"/>
        <v/>
      </c>
      <c r="C72" s="93" t="str">
        <f t="shared" si="14"/>
        <v/>
      </c>
      <c r="D72" s="93" t="str">
        <f t="shared" si="8"/>
        <v/>
      </c>
      <c r="E72" s="93" t="str">
        <f t="shared" si="9"/>
        <v/>
      </c>
      <c r="F72" s="93" t="str">
        <f t="shared" si="10"/>
        <v/>
      </c>
      <c r="G72" s="93" t="str">
        <f t="shared" si="11"/>
        <v/>
      </c>
      <c r="H72" s="93" t="str">
        <f t="shared" si="12"/>
        <v/>
      </c>
      <c r="J72" s="93" t="str">
        <f t="shared" si="15"/>
        <v/>
      </c>
      <c r="K72" s="93" t="str">
        <f t="shared" si="16"/>
        <v/>
      </c>
      <c r="L72" s="93" t="str">
        <f t="shared" si="17"/>
        <v/>
      </c>
      <c r="M72" s="93" t="str">
        <f t="shared" si="18"/>
        <v/>
      </c>
      <c r="N72" s="93" t="str">
        <f t="shared" si="19"/>
        <v/>
      </c>
      <c r="Q72" s="254"/>
      <c r="R72" s="254"/>
      <c r="S72" s="254"/>
      <c r="T72" s="254"/>
      <c r="U72" s="254"/>
      <c r="V72" s="254"/>
      <c r="W72" s="252"/>
      <c r="X72" s="254"/>
      <c r="Y72" s="254"/>
      <c r="Z72" s="254"/>
      <c r="AA72" s="254"/>
      <c r="AB72" s="254"/>
    </row>
    <row r="73" spans="2:28" s="77" customFormat="1" ht="13.8">
      <c r="B73" s="77" t="str">
        <f t="shared" ca="1" si="13"/>
        <v/>
      </c>
      <c r="C73" s="93" t="str">
        <f t="shared" si="14"/>
        <v/>
      </c>
      <c r="D73" s="93" t="str">
        <f t="shared" si="8"/>
        <v/>
      </c>
      <c r="E73" s="93" t="str">
        <f t="shared" si="9"/>
        <v/>
      </c>
      <c r="F73" s="93" t="str">
        <f t="shared" si="10"/>
        <v/>
      </c>
      <c r="G73" s="93" t="str">
        <f t="shared" si="11"/>
        <v/>
      </c>
      <c r="H73" s="93" t="str">
        <f t="shared" si="12"/>
        <v/>
      </c>
      <c r="J73" s="93" t="str">
        <f t="shared" si="15"/>
        <v/>
      </c>
      <c r="K73" s="93" t="str">
        <f t="shared" si="16"/>
        <v/>
      </c>
      <c r="L73" s="93" t="str">
        <f t="shared" si="17"/>
        <v/>
      </c>
      <c r="M73" s="93" t="str">
        <f t="shared" si="18"/>
        <v/>
      </c>
      <c r="N73" s="93" t="str">
        <f t="shared" si="19"/>
        <v/>
      </c>
      <c r="Q73" s="254"/>
      <c r="R73" s="254"/>
      <c r="S73" s="254"/>
      <c r="T73" s="254"/>
      <c r="U73" s="254"/>
      <c r="V73" s="254"/>
      <c r="W73" s="252"/>
      <c r="X73" s="254"/>
      <c r="Y73" s="254"/>
      <c r="Z73" s="254"/>
      <c r="AA73" s="254"/>
      <c r="AB73" s="254"/>
    </row>
    <row r="74" spans="2:28" s="77" customFormat="1" ht="13.8">
      <c r="B74" s="77" t="str">
        <f t="shared" ca="1" si="13"/>
        <v/>
      </c>
      <c r="C74" s="93" t="str">
        <f t="shared" si="14"/>
        <v/>
      </c>
      <c r="D74" s="93" t="str">
        <f t="shared" si="8"/>
        <v/>
      </c>
      <c r="E74" s="93" t="str">
        <f t="shared" si="9"/>
        <v/>
      </c>
      <c r="F74" s="93" t="str">
        <f t="shared" si="10"/>
        <v/>
      </c>
      <c r="G74" s="93" t="str">
        <f t="shared" si="11"/>
        <v/>
      </c>
      <c r="H74" s="93" t="str">
        <f t="shared" si="12"/>
        <v/>
      </c>
      <c r="J74" s="93" t="str">
        <f t="shared" ref="J74:N76" si="21">IF(IF(Dropdown_Category = 1, X74, X99) = 0, "", IF(Dropdown_Category = 1, X74, X99))</f>
        <v/>
      </c>
      <c r="K74" s="93" t="str">
        <f t="shared" si="21"/>
        <v/>
      </c>
      <c r="L74" s="93" t="str">
        <f t="shared" si="21"/>
        <v/>
      </c>
      <c r="M74" s="93" t="str">
        <f t="shared" si="21"/>
        <v/>
      </c>
      <c r="N74" s="93" t="str">
        <f t="shared" si="21"/>
        <v/>
      </c>
      <c r="Q74" s="254"/>
      <c r="R74" s="254"/>
      <c r="S74" s="254"/>
      <c r="T74" s="254"/>
      <c r="U74" s="254"/>
      <c r="V74" s="254"/>
      <c r="W74" s="252"/>
      <c r="X74" s="254"/>
      <c r="Y74" s="254"/>
      <c r="Z74" s="254"/>
      <c r="AA74" s="254"/>
      <c r="AB74" s="254"/>
    </row>
    <row r="75" spans="2:28" s="77" customFormat="1" ht="13.8">
      <c r="B75" s="77" t="str">
        <f t="shared" ca="1" si="13"/>
        <v/>
      </c>
      <c r="C75" s="93" t="str">
        <f t="shared" si="14"/>
        <v/>
      </c>
      <c r="D75" s="93" t="str">
        <f t="shared" si="8"/>
        <v/>
      </c>
      <c r="E75" s="93" t="str">
        <f t="shared" si="9"/>
        <v/>
      </c>
      <c r="F75" s="93" t="str">
        <f t="shared" si="10"/>
        <v/>
      </c>
      <c r="G75" s="93" t="str">
        <f t="shared" si="11"/>
        <v/>
      </c>
      <c r="H75" s="93" t="str">
        <f t="shared" si="12"/>
        <v/>
      </c>
      <c r="J75" s="93" t="str">
        <f t="shared" si="21"/>
        <v/>
      </c>
      <c r="K75" s="93" t="str">
        <f t="shared" si="21"/>
        <v/>
      </c>
      <c r="L75" s="93" t="str">
        <f t="shared" si="21"/>
        <v/>
      </c>
      <c r="M75" s="93" t="str">
        <f t="shared" si="21"/>
        <v/>
      </c>
      <c r="N75" s="93" t="str">
        <f t="shared" si="21"/>
        <v/>
      </c>
      <c r="Q75" s="254"/>
      <c r="R75" s="254"/>
      <c r="S75" s="254"/>
      <c r="T75" s="254"/>
      <c r="U75" s="254"/>
      <c r="V75" s="254"/>
      <c r="W75" s="252"/>
      <c r="X75" s="254"/>
      <c r="Y75" s="254"/>
      <c r="Z75" s="254"/>
      <c r="AA75" s="254"/>
      <c r="AB75" s="254"/>
    </row>
    <row r="76" spans="2:28" s="77" customFormat="1" ht="13.8">
      <c r="B76" s="77" t="str">
        <f t="shared" ca="1" si="13"/>
        <v/>
      </c>
      <c r="C76" s="93" t="str">
        <f t="shared" si="14"/>
        <v/>
      </c>
      <c r="D76" s="93" t="str">
        <f t="shared" si="8"/>
        <v/>
      </c>
      <c r="E76" s="93" t="str">
        <f t="shared" si="9"/>
        <v/>
      </c>
      <c r="F76" s="93" t="str">
        <f t="shared" si="10"/>
        <v/>
      </c>
      <c r="G76" s="93" t="str">
        <f t="shared" si="11"/>
        <v/>
      </c>
      <c r="H76" s="93" t="str">
        <f t="shared" si="12"/>
        <v/>
      </c>
      <c r="J76" s="93" t="str">
        <f t="shared" si="21"/>
        <v/>
      </c>
      <c r="K76" s="93" t="str">
        <f t="shared" si="21"/>
        <v/>
      </c>
      <c r="L76" s="93" t="str">
        <f t="shared" si="21"/>
        <v/>
      </c>
      <c r="M76" s="93" t="str">
        <f t="shared" si="21"/>
        <v/>
      </c>
      <c r="N76" s="93" t="str">
        <f t="shared" si="21"/>
        <v/>
      </c>
      <c r="Q76" s="254"/>
      <c r="R76" s="254"/>
      <c r="S76" s="254"/>
      <c r="T76" s="254"/>
      <c r="U76" s="254"/>
      <c r="V76" s="254"/>
      <c r="W76" s="252"/>
      <c r="X76" s="254"/>
      <c r="Y76" s="254"/>
      <c r="Z76" s="254"/>
      <c r="AA76" s="254"/>
      <c r="AB76" s="254"/>
    </row>
    <row r="77" spans="2:28" s="77" customFormat="1" ht="13.8">
      <c r="Q77" s="252"/>
      <c r="R77" s="252"/>
      <c r="S77" s="252"/>
      <c r="T77" s="252"/>
      <c r="U77" s="252"/>
      <c r="V77" s="252"/>
      <c r="W77" s="252"/>
      <c r="X77" s="252"/>
      <c r="Y77" s="252"/>
      <c r="Z77" s="252"/>
      <c r="AA77" s="252"/>
      <c r="AB77" s="252"/>
    </row>
    <row r="78" spans="2:28" s="77" customFormat="1" ht="13.8">
      <c r="B78" s="77">
        <f ca="1">IF(Selected_Customer_Category_ID=1,INDEX(J78:N78,0,Selected_Supply_Size_ID),INDEX(C78:H78,Selected_Supply_Size_ID))</f>
        <v>14</v>
      </c>
      <c r="C78" s="77">
        <f t="shared" ref="C78:H78" si="22">COUNTA(C58:C71)</f>
        <v>14</v>
      </c>
      <c r="D78" s="77">
        <f t="shared" si="22"/>
        <v>14</v>
      </c>
      <c r="E78" s="77">
        <f t="shared" si="22"/>
        <v>14</v>
      </c>
      <c r="F78" s="77">
        <f t="shared" si="22"/>
        <v>14</v>
      </c>
      <c r="G78" s="77">
        <f t="shared" si="22"/>
        <v>14</v>
      </c>
      <c r="H78" s="77">
        <f t="shared" si="22"/>
        <v>14</v>
      </c>
      <c r="J78" s="77">
        <f>COUNTA(J58:J71)</f>
        <v>14</v>
      </c>
      <c r="K78" s="77">
        <f>COUNTA(K58:K71)</f>
        <v>14</v>
      </c>
      <c r="L78" s="77">
        <f>COUNTA(L58:L71)</f>
        <v>14</v>
      </c>
      <c r="M78" s="77">
        <f>COUNTA(M58:M71)</f>
        <v>14</v>
      </c>
      <c r="N78" s="77">
        <f>COUNTA(N58:N71)</f>
        <v>14</v>
      </c>
      <c r="Q78" s="252">
        <f t="shared" ref="Q78:V78" si="23">COUNTA(Q58:Q69)</f>
        <v>9</v>
      </c>
      <c r="R78" s="252">
        <f t="shared" si="23"/>
        <v>9</v>
      </c>
      <c r="S78" s="252">
        <f t="shared" si="23"/>
        <v>9</v>
      </c>
      <c r="T78" s="252">
        <f t="shared" si="23"/>
        <v>9</v>
      </c>
      <c r="U78" s="252">
        <f t="shared" si="23"/>
        <v>9</v>
      </c>
      <c r="V78" s="252">
        <f t="shared" si="23"/>
        <v>9</v>
      </c>
      <c r="W78" s="252"/>
      <c r="X78" s="252">
        <f>COUNTA(X58:X76)</f>
        <v>14</v>
      </c>
      <c r="Y78" s="252">
        <f>COUNTA(Y58:Y76)</f>
        <v>7</v>
      </c>
      <c r="Z78" s="252">
        <f>COUNTA(Z58:Z76)</f>
        <v>7</v>
      </c>
      <c r="AA78" s="252">
        <f>COUNTA(AA58:AA76)</f>
        <v>5</v>
      </c>
      <c r="AB78" s="252">
        <f>COUNTA(AB58:AB76)</f>
        <v>9</v>
      </c>
    </row>
    <row r="79" spans="2:28" s="77" customFormat="1" ht="13.8"/>
    <row r="80" spans="2:28" s="77" customFormat="1" ht="13.8">
      <c r="B80" s="79"/>
    </row>
    <row r="81" spans="2:28" s="77" customFormat="1" ht="13.8">
      <c r="B81" s="88" t="s">
        <v>245</v>
      </c>
      <c r="C81" s="88" t="s">
        <v>103</v>
      </c>
      <c r="D81" s="88" t="s">
        <v>104</v>
      </c>
      <c r="J81" s="88" t="s">
        <v>226</v>
      </c>
      <c r="K81" s="88" t="s">
        <v>227</v>
      </c>
      <c r="L81" s="88" t="s">
        <v>90</v>
      </c>
      <c r="M81" s="88" t="s">
        <v>54</v>
      </c>
      <c r="N81" s="88" t="s">
        <v>322</v>
      </c>
      <c r="Q81" s="453" t="s">
        <v>494</v>
      </c>
      <c r="R81" s="453"/>
      <c r="S81" s="453"/>
      <c r="T81" s="453"/>
      <c r="U81" s="453"/>
      <c r="V81" s="453"/>
      <c r="W81" s="453"/>
      <c r="X81" s="453"/>
      <c r="Y81" s="453"/>
      <c r="Z81" s="453"/>
      <c r="AA81" s="453"/>
      <c r="AB81" s="453"/>
    </row>
    <row r="82" spans="2:28" s="77" customFormat="1" ht="13.8">
      <c r="B82" s="77" t="str">
        <f ca="1">INDEX($C82:$D82,Selected_Tariff_Type_ID)</f>
        <v>&lt; 500V</v>
      </c>
      <c r="C82" s="93" t="s">
        <v>62</v>
      </c>
      <c r="D82" s="93" t="s">
        <v>62</v>
      </c>
      <c r="J82" s="77" t="str">
        <f t="shared" ref="J82:J95" ca="1" si="24">IFERROR(IF(Selected_Customer_Category_ID = 1, K82, B58), "")</f>
        <v>Ruraflex</v>
      </c>
      <c r="K82" s="77" t="str">
        <f t="shared" ref="K82:K100" si="25">IFERROR(IF(Selected_Customer_Category_ID = 1, IF(L82 &lt;= $B$78, INDEX(SPU_Selections, L82, Selected_Supply_Size_ID), INDEX($C$58:$C$71, L82 - $B$78, 0)), ""), "")</f>
        <v/>
      </c>
      <c r="L82" s="77">
        <v>1</v>
      </c>
      <c r="M82" s="77">
        <f t="shared" ref="M82:M100" ca="1" si="26">IFERROR(INDEX($F$17:$F$52,MATCH(J82,Full_Tariff_List,0),0),0)</f>
        <v>10</v>
      </c>
      <c r="N82" s="77" t="str">
        <f ca="1">IFERROR(INDEX($L$17:$L$30,MATCH(M82,$M$17:$M$30,0),0),0)</f>
        <v>Rural</v>
      </c>
      <c r="Q82" s="253" t="str">
        <f t="shared" ref="Q82:V82" si="27">Q57</f>
        <v>≤100kVA</v>
      </c>
      <c r="R82" s="253" t="str">
        <f t="shared" si="27"/>
        <v>&gt;100kVA &amp; ≤500kVA</v>
      </c>
      <c r="S82" s="253" t="str">
        <f t="shared" si="27"/>
        <v>&gt;500kVA &amp; ≤1MVA</v>
      </c>
      <c r="T82" s="253" t="str">
        <f t="shared" si="27"/>
        <v>&gt;1MVA &amp; ≤5MVA</v>
      </c>
      <c r="U82" s="253" t="str">
        <f t="shared" si="27"/>
        <v>&gt;5MVA</v>
      </c>
      <c r="V82" s="253" t="str">
        <f t="shared" si="27"/>
        <v>Key customer</v>
      </c>
      <c r="W82" s="252"/>
      <c r="X82" s="253" t="str">
        <f>X57</f>
        <v>5kVA, 16kVA, 20A or 60A</v>
      </c>
      <c r="Y82" s="253" t="str">
        <f>Y57</f>
        <v>25kVA</v>
      </c>
      <c r="Z82" s="253" t="str">
        <f>Z57</f>
        <v>32kVA</v>
      </c>
      <c r="AA82" s="253" t="str">
        <f>AA57</f>
        <v>50kVA</v>
      </c>
      <c r="AB82" s="253" t="str">
        <f>AB57</f>
        <v>&gt;50kVA</v>
      </c>
    </row>
    <row r="83" spans="2:28" s="77" customFormat="1" ht="13.8">
      <c r="B83" s="77" t="str">
        <f ca="1">INDEX($C83:$D83,Selected_Tariff_Type_ID)</f>
        <v>≥ 500V &amp; &lt; 66kV</v>
      </c>
      <c r="C83" s="93" t="s">
        <v>63</v>
      </c>
      <c r="D83" s="149" t="s">
        <v>63</v>
      </c>
      <c r="E83" s="92" t="s">
        <v>368</v>
      </c>
      <c r="J83" s="77" t="str">
        <f t="shared" ca="1" si="24"/>
        <v>Miniflex</v>
      </c>
      <c r="K83" s="77" t="str">
        <f t="shared" si="25"/>
        <v/>
      </c>
      <c r="L83" s="77">
        <v>2</v>
      </c>
      <c r="M83" s="77">
        <f t="shared" ca="1" si="26"/>
        <v>6</v>
      </c>
      <c r="N83" s="77" t="str">
        <f t="shared" ref="N83:N95" ca="1" si="28">IFERROR(INDEX($L$17:$L$30,MATCH(M83,$M$17:$M$30,0),0),0)</f>
        <v>Urban</v>
      </c>
      <c r="Q83" s="254" t="s">
        <v>465</v>
      </c>
      <c r="R83" s="254" t="s">
        <v>465</v>
      </c>
      <c r="S83" s="254" t="s">
        <v>465</v>
      </c>
      <c r="T83" s="254" t="s">
        <v>465</v>
      </c>
      <c r="U83" s="254" t="s">
        <v>465</v>
      </c>
      <c r="V83" s="254" t="s">
        <v>465</v>
      </c>
      <c r="W83" s="252"/>
      <c r="X83" s="254" t="s">
        <v>466</v>
      </c>
      <c r="Y83" s="254" t="s">
        <v>466</v>
      </c>
      <c r="Z83" s="254" t="s">
        <v>466</v>
      </c>
      <c r="AA83" s="254" t="s">
        <v>467</v>
      </c>
      <c r="AB83" s="254" t="s">
        <v>467</v>
      </c>
    </row>
    <row r="84" spans="2:28" s="77" customFormat="1" ht="13.8">
      <c r="B84" s="77" t="str">
        <f ca="1">INDEX($C84:$D84,Selected_Tariff_Type_ID)</f>
        <v>≥ 66kV &amp; ≤ 132kV</v>
      </c>
      <c r="C84" s="149" t="s">
        <v>64</v>
      </c>
      <c r="D84" s="93"/>
      <c r="J84" s="77" t="str">
        <f t="shared" ca="1" si="24"/>
        <v>Nightsave Urban</v>
      </c>
      <c r="K84" s="77" t="str">
        <f t="shared" si="25"/>
        <v/>
      </c>
      <c r="L84" s="77">
        <v>3</v>
      </c>
      <c r="M84" s="77">
        <f t="shared" ca="1" si="26"/>
        <v>7</v>
      </c>
      <c r="N84" s="77" t="str">
        <f t="shared" ca="1" si="28"/>
        <v>Urban</v>
      </c>
      <c r="Q84" s="254"/>
      <c r="R84" s="254"/>
      <c r="S84" s="254"/>
      <c r="T84" s="254"/>
      <c r="U84" s="254"/>
      <c r="V84" s="254"/>
      <c r="W84" s="252"/>
      <c r="X84" s="254" t="s">
        <v>469</v>
      </c>
      <c r="Y84" s="254" t="s">
        <v>469</v>
      </c>
      <c r="Z84" s="254" t="s">
        <v>469</v>
      </c>
      <c r="AA84" s="254"/>
      <c r="AB84" s="254" t="s">
        <v>468</v>
      </c>
    </row>
    <row r="85" spans="2:28" s="77" customFormat="1" ht="13.8">
      <c r="B85" s="77" t="str">
        <f ca="1">INDEX($C85:$D85,Selected_Tariff_Type_ID)</f>
        <v>&gt; 132kV</v>
      </c>
      <c r="C85" s="93" t="s">
        <v>65</v>
      </c>
      <c r="D85" s="93"/>
      <c r="J85" s="77" t="str">
        <f t="shared" ca="1" si="24"/>
        <v>Nightsave Rural</v>
      </c>
      <c r="K85" s="77" t="str">
        <f t="shared" si="25"/>
        <v/>
      </c>
      <c r="L85" s="77">
        <v>4</v>
      </c>
      <c r="M85" s="77">
        <f t="shared" ca="1" si="26"/>
        <v>8</v>
      </c>
      <c r="N85" s="77" t="str">
        <f t="shared" ca="1" si="28"/>
        <v>Rural</v>
      </c>
      <c r="Q85" s="254"/>
      <c r="R85" s="254"/>
      <c r="S85" s="254"/>
      <c r="T85" s="254"/>
      <c r="U85" s="254"/>
      <c r="V85" s="254"/>
      <c r="W85" s="252"/>
      <c r="X85" s="254" t="s">
        <v>348</v>
      </c>
      <c r="Y85" s="254" t="s">
        <v>348</v>
      </c>
      <c r="Z85" s="254" t="s">
        <v>348</v>
      </c>
      <c r="AA85" s="254"/>
      <c r="AB85" s="254"/>
    </row>
    <row r="86" spans="2:28" s="77" customFormat="1" ht="13.8">
      <c r="J86" s="77" t="str">
        <f t="shared" ca="1" si="24"/>
        <v>Homepower Bulk</v>
      </c>
      <c r="K86" s="77" t="str">
        <f t="shared" si="25"/>
        <v/>
      </c>
      <c r="L86" s="77">
        <v>5</v>
      </c>
      <c r="M86" s="77">
        <f t="shared" ca="1" si="26"/>
        <v>3</v>
      </c>
      <c r="N86" s="77" t="str">
        <f t="shared" ca="1" si="28"/>
        <v>Residential Urban</v>
      </c>
      <c r="Q86" s="254"/>
      <c r="R86" s="254"/>
      <c r="S86" s="254"/>
      <c r="T86" s="254"/>
      <c r="U86" s="254"/>
      <c r="V86" s="254"/>
      <c r="W86" s="252"/>
      <c r="X86" s="254" t="s">
        <v>347</v>
      </c>
      <c r="Y86" s="254" t="s">
        <v>347</v>
      </c>
      <c r="Z86" s="254" t="s">
        <v>347</v>
      </c>
      <c r="AA86" s="254"/>
      <c r="AB86" s="254"/>
    </row>
    <row r="87" spans="2:28" s="77" customFormat="1" ht="13.8">
      <c r="B87" s="77">
        <f ca="1">INDEX($C87:$D87,Selected_Tariff_Type_ID)</f>
        <v>4</v>
      </c>
      <c r="C87" s="77">
        <f>COUNTA(C82:C85)</f>
        <v>4</v>
      </c>
      <c r="D87" s="77">
        <f>COUNTA(D82:D85)</f>
        <v>2</v>
      </c>
      <c r="J87" s="77" t="str">
        <f t="shared" ca="1" si="24"/>
        <v>Landrate 1</v>
      </c>
      <c r="K87" s="77" t="str">
        <f t="shared" si="25"/>
        <v/>
      </c>
      <c r="L87" s="77">
        <v>6</v>
      </c>
      <c r="M87" s="77">
        <f t="shared" ca="1" si="26"/>
        <v>4</v>
      </c>
      <c r="N87" s="77" t="str">
        <f t="shared" ca="1" si="28"/>
        <v>Rural</v>
      </c>
      <c r="Q87" s="254"/>
      <c r="R87" s="254"/>
      <c r="S87" s="254"/>
      <c r="T87" s="254"/>
      <c r="U87" s="254"/>
      <c r="V87" s="254"/>
      <c r="W87" s="252"/>
      <c r="X87" s="254" t="s">
        <v>349</v>
      </c>
      <c r="Y87" s="254"/>
      <c r="Z87" s="254"/>
      <c r="AA87" s="254"/>
      <c r="AB87" s="254"/>
    </row>
    <row r="88" spans="2:28" s="77" customFormat="1" ht="13.8">
      <c r="J88" s="77" t="str">
        <f t="shared" ca="1" si="24"/>
        <v>Landrate 2</v>
      </c>
      <c r="K88" s="77" t="str">
        <f t="shared" si="25"/>
        <v/>
      </c>
      <c r="L88" s="77">
        <v>7</v>
      </c>
      <c r="M88" s="77">
        <f t="shared" ca="1" si="26"/>
        <v>4</v>
      </c>
      <c r="N88" s="77" t="str">
        <f t="shared" ca="1" si="28"/>
        <v>Rural</v>
      </c>
      <c r="Q88" s="254"/>
      <c r="R88" s="254"/>
      <c r="S88" s="254"/>
      <c r="T88" s="254"/>
      <c r="U88" s="254"/>
      <c r="V88" s="254"/>
      <c r="W88" s="252"/>
      <c r="X88" s="254"/>
      <c r="Y88" s="254"/>
      <c r="Z88" s="254"/>
      <c r="AA88" s="254"/>
      <c r="AB88" s="254"/>
    </row>
    <row r="89" spans="2:28" s="77" customFormat="1" ht="13.8">
      <c r="B89" s="88" t="s">
        <v>61</v>
      </c>
      <c r="C89" s="88" t="s">
        <v>230</v>
      </c>
      <c r="D89" s="88" t="s">
        <v>227</v>
      </c>
      <c r="E89" s="88" t="s">
        <v>73</v>
      </c>
      <c r="J89" s="77" t="str">
        <f t="shared" ca="1" si="24"/>
        <v>Landrate 3</v>
      </c>
      <c r="K89" s="77" t="str">
        <f t="shared" si="25"/>
        <v/>
      </c>
      <c r="L89" s="77">
        <v>8</v>
      </c>
      <c r="M89" s="77">
        <f t="shared" ca="1" si="26"/>
        <v>4</v>
      </c>
      <c r="N89" s="77" t="str">
        <f t="shared" ca="1" si="28"/>
        <v>Rural</v>
      </c>
      <c r="Q89" s="254"/>
      <c r="R89" s="254"/>
      <c r="S89" s="254"/>
      <c r="T89" s="254"/>
      <c r="U89" s="254"/>
      <c r="V89" s="254"/>
      <c r="W89" s="252"/>
      <c r="X89" s="254"/>
      <c r="Y89" s="254"/>
      <c r="Z89" s="254"/>
      <c r="AA89" s="254"/>
      <c r="AB89" s="254"/>
    </row>
    <row r="90" spans="2:28" s="77" customFormat="1" ht="13.8">
      <c r="B90" s="77" t="str">
        <f ca="1">IF(Selected_Customer_Category_ID=1,D90,C90)</f>
        <v>&lt; 500V</v>
      </c>
      <c r="C90" s="77" t="str">
        <f ca="1">B82</f>
        <v>&lt; 500V</v>
      </c>
      <c r="D90" s="77" t="s">
        <v>62</v>
      </c>
      <c r="E90" s="77">
        <v>1</v>
      </c>
      <c r="J90" s="77" t="str">
        <f t="shared" ca="1" si="24"/>
        <v>Landrate 4</v>
      </c>
      <c r="K90" s="77" t="str">
        <f t="shared" si="25"/>
        <v/>
      </c>
      <c r="L90" s="77">
        <v>9</v>
      </c>
      <c r="M90" s="77">
        <f t="shared" ca="1" si="26"/>
        <v>4</v>
      </c>
      <c r="N90" s="77" t="str">
        <f t="shared" ca="1" si="28"/>
        <v>Rural</v>
      </c>
      <c r="Q90" s="254"/>
      <c r="R90" s="254"/>
      <c r="S90" s="254"/>
      <c r="T90" s="254"/>
      <c r="U90" s="254"/>
      <c r="V90" s="254"/>
      <c r="W90" s="252"/>
      <c r="X90" s="254"/>
      <c r="Y90" s="254"/>
      <c r="Z90" s="254"/>
      <c r="AA90" s="254"/>
      <c r="AB90" s="254"/>
    </row>
    <row r="91" spans="2:28" s="77" customFormat="1" ht="13.8">
      <c r="B91" s="77" t="str">
        <f ca="1">IF(Selected_Customer_Category_ID=1,D91,C91)</f>
        <v>≥ 500V &amp; &lt; 66kV</v>
      </c>
      <c r="C91" s="77" t="str">
        <f ca="1">B83</f>
        <v>≥ 500V &amp; &lt; 66kV</v>
      </c>
      <c r="E91" s="77">
        <v>2</v>
      </c>
      <c r="J91" s="77" t="str">
        <f t="shared" ca="1" si="24"/>
        <v/>
      </c>
      <c r="K91" s="77" t="s">
        <v>46</v>
      </c>
      <c r="L91" s="77">
        <v>10</v>
      </c>
      <c r="M91" s="77">
        <f t="shared" ca="1" si="26"/>
        <v>0</v>
      </c>
      <c r="N91" s="77">
        <f t="shared" ca="1" si="28"/>
        <v>0</v>
      </c>
      <c r="Q91" s="254"/>
      <c r="R91" s="254"/>
      <c r="S91" s="254"/>
      <c r="T91" s="254"/>
      <c r="U91" s="254"/>
      <c r="V91" s="254"/>
      <c r="W91" s="252"/>
      <c r="X91" s="254"/>
      <c r="Y91" s="254"/>
      <c r="Z91" s="254"/>
      <c r="AA91" s="254"/>
      <c r="AB91" s="254"/>
    </row>
    <row r="92" spans="2:28" s="77" customFormat="1" ht="13.8">
      <c r="B92" s="77" t="str">
        <f ca="1">IF(Selected_Customer_Category_ID=1,D92,C92)</f>
        <v>≥ 66kV &amp; ≤ 132kV</v>
      </c>
      <c r="C92" s="77" t="str">
        <f ca="1">B84</f>
        <v>≥ 66kV &amp; ≤ 132kV</v>
      </c>
      <c r="E92" s="77">
        <v>3</v>
      </c>
      <c r="J92" s="77" t="str">
        <f t="shared" ca="1" si="24"/>
        <v/>
      </c>
      <c r="K92" s="77" t="s">
        <v>42</v>
      </c>
      <c r="L92" s="77">
        <v>11</v>
      </c>
      <c r="M92" s="77">
        <f t="shared" ca="1" si="26"/>
        <v>0</v>
      </c>
      <c r="N92" s="77">
        <f t="shared" ca="1" si="28"/>
        <v>0</v>
      </c>
      <c r="Q92" s="254"/>
      <c r="R92" s="254"/>
      <c r="S92" s="254"/>
      <c r="T92" s="254"/>
      <c r="U92" s="254"/>
      <c r="V92" s="254"/>
      <c r="W92" s="252"/>
      <c r="X92" s="254"/>
      <c r="Y92" s="254"/>
      <c r="Z92" s="254"/>
      <c r="AA92" s="254"/>
      <c r="AB92" s="254"/>
    </row>
    <row r="93" spans="2:28" s="77" customFormat="1" ht="13.8">
      <c r="B93" s="77" t="str">
        <f ca="1">IF(Selected_Customer_Category_ID=1,D93,C93)</f>
        <v>&gt; 132kV</v>
      </c>
      <c r="C93" s="77" t="str">
        <f ca="1">B85</f>
        <v>&gt; 132kV</v>
      </c>
      <c r="E93" s="77">
        <v>4</v>
      </c>
      <c r="J93" s="77" t="str">
        <f t="shared" ca="1" si="24"/>
        <v/>
      </c>
      <c r="K93" s="77" t="s">
        <v>624</v>
      </c>
      <c r="L93" s="77">
        <v>12</v>
      </c>
      <c r="M93" s="77">
        <f t="shared" ca="1" si="26"/>
        <v>0</v>
      </c>
      <c r="N93" s="77">
        <f t="shared" ca="1" si="28"/>
        <v>0</v>
      </c>
      <c r="Q93" s="254"/>
      <c r="R93" s="254"/>
      <c r="S93" s="254"/>
      <c r="T93" s="254"/>
      <c r="U93" s="254"/>
      <c r="V93" s="254"/>
      <c r="W93" s="252"/>
      <c r="X93" s="254"/>
      <c r="Y93" s="254"/>
      <c r="Z93" s="254"/>
      <c r="AA93" s="254"/>
      <c r="AB93" s="254"/>
    </row>
    <row r="94" spans="2:28" s="77" customFormat="1" ht="13.8">
      <c r="J94" s="77" t="str">
        <f t="shared" ca="1" si="24"/>
        <v/>
      </c>
      <c r="K94" s="77" t="s">
        <v>44</v>
      </c>
      <c r="L94" s="77">
        <v>13</v>
      </c>
      <c r="M94" s="77">
        <f t="shared" ca="1" si="26"/>
        <v>0</v>
      </c>
      <c r="N94" s="77">
        <f t="shared" ca="1" si="28"/>
        <v>0</v>
      </c>
      <c r="Q94" s="254"/>
      <c r="R94" s="254"/>
      <c r="S94" s="254"/>
      <c r="T94" s="254"/>
      <c r="U94" s="254"/>
      <c r="V94" s="254"/>
      <c r="W94" s="252"/>
      <c r="X94" s="254"/>
      <c r="Y94" s="254"/>
      <c r="Z94" s="254"/>
      <c r="AA94" s="254"/>
      <c r="AB94" s="254"/>
    </row>
    <row r="95" spans="2:28" s="77" customFormat="1" ht="13.8">
      <c r="B95" s="77">
        <f ca="1">IF(Selected_Customer_Category_ID=1,D95,C95)</f>
        <v>4</v>
      </c>
      <c r="C95" s="77">
        <f ca="1">B87</f>
        <v>4</v>
      </c>
      <c r="D95" s="77">
        <f>COUNTA(D90:D93)</f>
        <v>1</v>
      </c>
      <c r="J95" s="77" t="str">
        <f t="shared" ca="1" si="24"/>
        <v/>
      </c>
      <c r="K95" s="77" t="str">
        <f t="shared" si="25"/>
        <v/>
      </c>
      <c r="L95" s="77">
        <v>14</v>
      </c>
      <c r="M95" s="77">
        <f t="shared" ca="1" si="26"/>
        <v>0</v>
      </c>
      <c r="N95" s="77">
        <f t="shared" ca="1" si="28"/>
        <v>0</v>
      </c>
      <c r="Q95" s="254"/>
      <c r="R95" s="254"/>
      <c r="S95" s="254"/>
      <c r="T95" s="254"/>
      <c r="U95" s="254"/>
      <c r="V95" s="254"/>
      <c r="W95" s="252"/>
      <c r="X95" s="255"/>
      <c r="Y95" s="254"/>
      <c r="Z95" s="254"/>
      <c r="AA95" s="254"/>
      <c r="AB95" s="254"/>
    </row>
    <row r="96" spans="2:28" s="77" customFormat="1" ht="13.8">
      <c r="L96" s="77">
        <v>15</v>
      </c>
      <c r="M96" s="77">
        <f t="shared" si="26"/>
        <v>0</v>
      </c>
      <c r="N96" s="77">
        <f>IFERROR(INDEX($L$17:$L$30,MATCH(M96,$M$17:$M$30,0),0),0)</f>
        <v>0</v>
      </c>
      <c r="Q96" s="254"/>
      <c r="R96" s="254"/>
      <c r="S96" s="254"/>
      <c r="T96" s="254"/>
      <c r="U96" s="254"/>
      <c r="V96" s="254"/>
      <c r="W96" s="252"/>
      <c r="X96" s="254"/>
      <c r="Y96" s="254"/>
      <c r="Z96" s="254"/>
      <c r="AA96" s="254"/>
      <c r="AB96" s="254"/>
    </row>
    <row r="97" spans="2:28" s="77" customFormat="1" ht="13.8">
      <c r="B97" s="88" t="s">
        <v>66</v>
      </c>
      <c r="C97" s="88" t="s">
        <v>230</v>
      </c>
      <c r="D97" s="88" t="s">
        <v>227</v>
      </c>
      <c r="E97" s="88" t="s">
        <v>74</v>
      </c>
      <c r="L97" s="77">
        <v>16</v>
      </c>
      <c r="M97" s="77">
        <f t="shared" si="26"/>
        <v>0</v>
      </c>
      <c r="N97" s="77">
        <f>IFERROR(INDEX($L$17:$L$30,MATCH(M97,$M$17:$M$30,0),0),0)</f>
        <v>0</v>
      </c>
      <c r="Q97" s="254"/>
      <c r="R97" s="254"/>
      <c r="S97" s="254"/>
      <c r="T97" s="254"/>
      <c r="U97" s="254"/>
      <c r="V97" s="254"/>
      <c r="W97" s="252"/>
      <c r="X97" s="254"/>
      <c r="Y97" s="254"/>
      <c r="Z97" s="254"/>
      <c r="AA97" s="254"/>
      <c r="AB97" s="254"/>
    </row>
    <row r="98" spans="2:28" s="77" customFormat="1" ht="13.8">
      <c r="B98" s="77" t="str">
        <f>IF(Selected_Customer_Category_ID=1,D98,C98)</f>
        <v>[0 - 300km]</v>
      </c>
      <c r="C98" s="77" t="s">
        <v>67</v>
      </c>
      <c r="D98" s="77" t="s">
        <v>67</v>
      </c>
      <c r="E98" s="77">
        <v>0</v>
      </c>
      <c r="G98" s="77" t="s">
        <v>231</v>
      </c>
      <c r="L98" s="77">
        <v>17</v>
      </c>
      <c r="M98" s="77">
        <f t="shared" si="26"/>
        <v>0</v>
      </c>
      <c r="N98" s="77">
        <f>IFERROR(INDEX($L$17:$L$30,MATCH(M98,$M$17:$M$30,0),0),0)</f>
        <v>0</v>
      </c>
      <c r="Q98" s="254"/>
      <c r="R98" s="254"/>
      <c r="S98" s="254"/>
      <c r="T98" s="254"/>
      <c r="U98" s="254"/>
      <c r="V98" s="254"/>
      <c r="W98" s="252"/>
      <c r="X98" s="254"/>
      <c r="Y98" s="254"/>
      <c r="Z98" s="254"/>
      <c r="AA98" s="254"/>
      <c r="AB98" s="254"/>
    </row>
    <row r="99" spans="2:28" s="77" customFormat="1" ht="13.8">
      <c r="B99" s="77" t="str">
        <f>IF(Selected_Customer_Category_ID=1,D99,C99)</f>
        <v>[301 - 600km]</v>
      </c>
      <c r="C99" s="77" t="s">
        <v>68</v>
      </c>
      <c r="D99" s="77" t="s">
        <v>68</v>
      </c>
      <c r="E99" s="77">
        <v>1</v>
      </c>
      <c r="L99" s="77">
        <v>18</v>
      </c>
      <c r="M99" s="77">
        <f t="shared" si="26"/>
        <v>0</v>
      </c>
      <c r="N99" s="77">
        <f>IFERROR(INDEX($L$17:$L$30,MATCH(M99,$M$17:$M$30,0),0),0)</f>
        <v>0</v>
      </c>
      <c r="Q99" s="254"/>
      <c r="R99" s="254"/>
      <c r="S99" s="254"/>
      <c r="T99" s="254"/>
      <c r="U99" s="254"/>
      <c r="V99" s="254"/>
      <c r="W99" s="252"/>
      <c r="X99" s="254"/>
      <c r="Y99" s="254"/>
      <c r="Z99" s="254"/>
      <c r="AA99" s="254"/>
      <c r="AB99" s="254"/>
    </row>
    <row r="100" spans="2:28" s="77" customFormat="1" ht="13.8">
      <c r="B100" s="77" t="str">
        <f>IF(Selected_Customer_Category_ID=1,D100,C100)</f>
        <v>[601 - 900km]</v>
      </c>
      <c r="C100" s="77" t="s">
        <v>69</v>
      </c>
      <c r="D100" s="77" t="s">
        <v>69</v>
      </c>
      <c r="E100" s="77">
        <v>2</v>
      </c>
      <c r="J100" s="77" t="str">
        <f ca="1">IFERROR(IF(Selected_Customer_Category_ID = 1, K100, B76), "")</f>
        <v/>
      </c>
      <c r="K100" s="77" t="str">
        <f t="shared" si="25"/>
        <v/>
      </c>
      <c r="L100" s="77">
        <v>19</v>
      </c>
      <c r="M100" s="77">
        <f t="shared" ca="1" si="26"/>
        <v>0</v>
      </c>
      <c r="N100" s="77">
        <f ca="1">IFERROR(INDEX($L$17:$L$30,MATCH(M100,$M$17:$M$30,0),0),0)</f>
        <v>0</v>
      </c>
      <c r="Q100" s="254"/>
      <c r="R100" s="254"/>
      <c r="S100" s="254"/>
      <c r="T100" s="254"/>
      <c r="U100" s="254"/>
      <c r="V100" s="254"/>
      <c r="W100" s="252"/>
      <c r="X100" s="254"/>
      <c r="Y100" s="254"/>
      <c r="Z100" s="254"/>
      <c r="AA100" s="254"/>
      <c r="AB100" s="254"/>
    </row>
    <row r="101" spans="2:28" s="77" customFormat="1" ht="13.8">
      <c r="B101" s="77" t="str">
        <f>IF(Selected_Customer_Category_ID=1,D101,C101)</f>
        <v>[&gt; 900km]</v>
      </c>
      <c r="C101" s="77" t="s">
        <v>70</v>
      </c>
      <c r="D101" s="77" t="s">
        <v>70</v>
      </c>
      <c r="E101" s="77">
        <v>3</v>
      </c>
      <c r="Q101" s="254"/>
      <c r="R101" s="254"/>
      <c r="S101" s="254"/>
      <c r="T101" s="254"/>
      <c r="U101" s="254"/>
      <c r="V101" s="254"/>
      <c r="W101" s="252"/>
      <c r="X101" s="254"/>
      <c r="Y101" s="254"/>
      <c r="Z101" s="254"/>
      <c r="AA101" s="254"/>
      <c r="AB101" s="254"/>
    </row>
    <row r="102" spans="2:28" s="77" customFormat="1" ht="13.8">
      <c r="J102" s="77">
        <f ca="1">IF(Selected_Customer_Category_ID=1,K102,B78)</f>
        <v>14</v>
      </c>
      <c r="K102" s="77">
        <f>IF(Selected_Customer_Category_ID=1,INDEX(J78:O78,0,Selected_Supply_Size_ID)+C78,0)</f>
        <v>0</v>
      </c>
      <c r="Q102" s="252"/>
      <c r="R102" s="252"/>
      <c r="S102" s="252"/>
      <c r="T102" s="252"/>
      <c r="U102" s="252"/>
      <c r="V102" s="252"/>
      <c r="W102" s="252"/>
      <c r="X102" s="252"/>
      <c r="Y102" s="252"/>
      <c r="Z102" s="252"/>
      <c r="AA102" s="252"/>
      <c r="AB102" s="252"/>
    </row>
    <row r="103" spans="2:28" s="77" customFormat="1" ht="13.8">
      <c r="B103" s="77">
        <f>IF(Selected_Customer_Category_ID=1,D103,C103)</f>
        <v>4</v>
      </c>
      <c r="C103" s="77">
        <f>COUNTA(C98:C101)</f>
        <v>4</v>
      </c>
      <c r="D103" s="77">
        <f>COUNTA(D98:D101)</f>
        <v>4</v>
      </c>
      <c r="Q103" s="252">
        <f t="shared" ref="Q103:V103" si="29">COUNTA(Q83:Q94)</f>
        <v>1</v>
      </c>
      <c r="R103" s="252">
        <f t="shared" si="29"/>
        <v>1</v>
      </c>
      <c r="S103" s="252">
        <f t="shared" si="29"/>
        <v>1</v>
      </c>
      <c r="T103" s="252">
        <f t="shared" si="29"/>
        <v>1</v>
      </c>
      <c r="U103" s="252">
        <f t="shared" si="29"/>
        <v>1</v>
      </c>
      <c r="V103" s="252">
        <f t="shared" si="29"/>
        <v>1</v>
      </c>
      <c r="W103" s="252"/>
      <c r="X103" s="252">
        <f>COUNTA(X83:X101)</f>
        <v>5</v>
      </c>
      <c r="Y103" s="252">
        <f>COUNTA(Y83:Y101)</f>
        <v>4</v>
      </c>
      <c r="Z103" s="252">
        <f>COUNTA(Z83:Z101)</f>
        <v>4</v>
      </c>
      <c r="AA103" s="252">
        <f>COUNTA(AA83:AA101)</f>
        <v>1</v>
      </c>
      <c r="AB103" s="252">
        <f>COUNTA(AB83:AB101)</f>
        <v>2</v>
      </c>
    </row>
    <row r="104" spans="2:28" s="77" customFormat="1" ht="13.8">
      <c r="J104" s="77" t="s">
        <v>320</v>
      </c>
      <c r="K104" s="77">
        <f ca="1">MATCH(Selected_Base_Tariff,Compare_Tariff_List,0)</f>
        <v>2</v>
      </c>
    </row>
    <row r="105" spans="2:28" s="77" customFormat="1" ht="13.8"/>
    <row r="106" spans="2:28" s="77" customFormat="1" ht="13.8">
      <c r="B106" s="88" t="s">
        <v>306</v>
      </c>
      <c r="C106" s="88" t="s">
        <v>307</v>
      </c>
      <c r="D106" s="88" t="s">
        <v>237</v>
      </c>
    </row>
    <row r="107" spans="2:28" s="77" customFormat="1" ht="13.8"/>
    <row r="108" spans="2:28" s="77" customFormat="1" ht="13.8">
      <c r="B108" s="94">
        <f>DATE(YEAR(Period)-1,2,)</f>
        <v>46053</v>
      </c>
      <c r="C108" s="77">
        <v>1</v>
      </c>
      <c r="D108" s="77" t="s">
        <v>21</v>
      </c>
    </row>
    <row r="109" spans="2:28" s="77" customFormat="1" ht="13.8">
      <c r="B109" s="94">
        <f>EOMONTH(B108,1)</f>
        <v>46081</v>
      </c>
      <c r="C109" s="77">
        <v>2</v>
      </c>
      <c r="D109" s="77" t="s">
        <v>21</v>
      </c>
      <c r="Q109" s="79"/>
    </row>
    <row r="110" spans="2:28" s="77" customFormat="1" ht="13.8">
      <c r="B110" s="94">
        <f t="shared" ref="B110:B119" si="30">EOMONTH(B109,1)</f>
        <v>46112</v>
      </c>
      <c r="C110" s="77">
        <v>3</v>
      </c>
      <c r="D110" s="77" t="s">
        <v>21</v>
      </c>
    </row>
    <row r="111" spans="2:28" s="77" customFormat="1" ht="13.8">
      <c r="B111" s="94">
        <f t="shared" si="30"/>
        <v>46142</v>
      </c>
      <c r="C111" s="77">
        <v>4</v>
      </c>
      <c r="D111" s="77" t="s">
        <v>21</v>
      </c>
    </row>
    <row r="112" spans="2:28" s="77" customFormat="1" ht="13.8">
      <c r="B112" s="94">
        <f t="shared" si="30"/>
        <v>46173</v>
      </c>
      <c r="C112" s="77">
        <v>5</v>
      </c>
      <c r="D112" s="77" t="s">
        <v>21</v>
      </c>
    </row>
    <row r="113" spans="2:8" s="77" customFormat="1" ht="13.8">
      <c r="B113" s="94">
        <f t="shared" si="30"/>
        <v>46203</v>
      </c>
      <c r="C113" s="77">
        <v>6</v>
      </c>
      <c r="D113" s="77" t="s">
        <v>22</v>
      </c>
    </row>
    <row r="114" spans="2:8" s="77" customFormat="1" ht="13.8">
      <c r="B114" s="94">
        <f t="shared" si="30"/>
        <v>46234</v>
      </c>
      <c r="C114" s="77">
        <v>7</v>
      </c>
      <c r="D114" s="77" t="s">
        <v>22</v>
      </c>
    </row>
    <row r="115" spans="2:8" s="77" customFormat="1" ht="13.8">
      <c r="B115" s="94">
        <f t="shared" si="30"/>
        <v>46265</v>
      </c>
      <c r="C115" s="77">
        <v>8</v>
      </c>
      <c r="D115" s="77" t="s">
        <v>22</v>
      </c>
    </row>
    <row r="116" spans="2:8" s="77" customFormat="1" ht="13.8">
      <c r="B116" s="94">
        <f t="shared" si="30"/>
        <v>46295</v>
      </c>
      <c r="C116" s="77">
        <v>9</v>
      </c>
      <c r="D116" s="77" t="s">
        <v>21</v>
      </c>
    </row>
    <row r="117" spans="2:8" s="77" customFormat="1" ht="13.8">
      <c r="B117" s="94">
        <f t="shared" si="30"/>
        <v>46326</v>
      </c>
      <c r="C117" s="77">
        <v>10</v>
      </c>
      <c r="D117" s="77" t="s">
        <v>21</v>
      </c>
    </row>
    <row r="118" spans="2:8" s="77" customFormat="1" ht="13.8">
      <c r="B118" s="94">
        <f t="shared" si="30"/>
        <v>46356</v>
      </c>
      <c r="C118" s="77">
        <v>11</v>
      </c>
      <c r="D118" s="77" t="s">
        <v>21</v>
      </c>
    </row>
    <row r="119" spans="2:8" s="77" customFormat="1" ht="13.8">
      <c r="B119" s="94">
        <f t="shared" si="30"/>
        <v>46387</v>
      </c>
      <c r="C119" s="77">
        <v>12</v>
      </c>
      <c r="D119" s="77" t="s">
        <v>21</v>
      </c>
    </row>
    <row r="120" spans="2:8" s="77" customFormat="1" ht="13.8"/>
    <row r="121" spans="2:8" s="77" customFormat="1" ht="13.8">
      <c r="B121" s="77" t="s">
        <v>577</v>
      </c>
    </row>
    <row r="122" spans="2:8" s="77" customFormat="1" ht="13.8">
      <c r="B122" s="88" t="s">
        <v>47</v>
      </c>
      <c r="C122" s="88" t="s">
        <v>48</v>
      </c>
      <c r="D122" s="88" t="s">
        <v>49</v>
      </c>
      <c r="E122" s="88" t="s">
        <v>102</v>
      </c>
      <c r="F122" s="88" t="s">
        <v>54</v>
      </c>
      <c r="G122" s="88" t="s">
        <v>53</v>
      </c>
      <c r="H122" s="88" t="s">
        <v>383</v>
      </c>
    </row>
    <row r="123" spans="2:8" s="77" customFormat="1" ht="13.8">
      <c r="B123" s="174" t="str">
        <f>IF(D123="",C123,C123&amp;" "&amp;D123)</f>
        <v>Businessrate 1</v>
      </c>
      <c r="C123" s="77" t="s">
        <v>50</v>
      </c>
      <c r="D123" s="194">
        <v>1</v>
      </c>
      <c r="E123" s="77" t="str">
        <f t="shared" ref="E123:E143" si="31">INDEX(Base_Tariff_Type,F123)</f>
        <v>Urban</v>
      </c>
      <c r="F123" s="77">
        <f t="shared" ref="F123:F154" si="32">MATCH(C123,Base_Tariff_List,0)</f>
        <v>1</v>
      </c>
      <c r="G123" s="77">
        <v>1</v>
      </c>
      <c r="H123" s="77" t="s">
        <v>274</v>
      </c>
    </row>
    <row r="124" spans="2:8" s="77" customFormat="1" ht="13.8">
      <c r="B124" s="174" t="str">
        <f t="shared" ref="B124:B143" si="33">IF(D124="",C124,C124&amp;" "&amp;D124)</f>
        <v>Businessrate 2</v>
      </c>
      <c r="C124" s="77" t="s">
        <v>50</v>
      </c>
      <c r="D124" s="194">
        <v>2</v>
      </c>
      <c r="E124" s="77" t="str">
        <f t="shared" si="31"/>
        <v>Urban</v>
      </c>
      <c r="F124" s="77">
        <f t="shared" si="32"/>
        <v>1</v>
      </c>
      <c r="G124" s="77">
        <v>2</v>
      </c>
      <c r="H124" s="77" t="s">
        <v>274</v>
      </c>
    </row>
    <row r="125" spans="2:8" s="77" customFormat="1" ht="13.8">
      <c r="B125" s="174" t="str">
        <f t="shared" si="33"/>
        <v>Businessrate 3</v>
      </c>
      <c r="C125" s="77" t="s">
        <v>50</v>
      </c>
      <c r="D125" s="194">
        <v>3</v>
      </c>
      <c r="E125" s="77" t="str">
        <f t="shared" si="31"/>
        <v>Urban</v>
      </c>
      <c r="F125" s="77">
        <f t="shared" si="32"/>
        <v>1</v>
      </c>
      <c r="G125" s="77">
        <v>3</v>
      </c>
      <c r="H125" s="77" t="s">
        <v>274</v>
      </c>
    </row>
    <row r="126" spans="2:8" s="77" customFormat="1" ht="13.8">
      <c r="B126" s="174" t="str">
        <f t="shared" si="33"/>
        <v>Businessrate 4</v>
      </c>
      <c r="C126" s="77" t="s">
        <v>50</v>
      </c>
      <c r="D126" s="194">
        <v>4</v>
      </c>
      <c r="E126" s="77" t="str">
        <f t="shared" si="31"/>
        <v>Urban</v>
      </c>
      <c r="F126" s="77">
        <f t="shared" si="32"/>
        <v>1</v>
      </c>
      <c r="G126" s="77">
        <v>4</v>
      </c>
      <c r="H126" s="77" t="s">
        <v>274</v>
      </c>
    </row>
    <row r="127" spans="2:8" ht="13.8">
      <c r="B127" s="174" t="str">
        <f t="shared" si="33"/>
        <v>Homelight 20A</v>
      </c>
      <c r="C127" s="77" t="s">
        <v>51</v>
      </c>
      <c r="D127" s="194" t="s">
        <v>56</v>
      </c>
      <c r="E127" s="77" t="str">
        <f t="shared" si="31"/>
        <v>Urban</v>
      </c>
      <c r="F127" s="77">
        <f t="shared" si="32"/>
        <v>2</v>
      </c>
      <c r="G127" s="77">
        <v>5</v>
      </c>
      <c r="H127" s="77" t="s">
        <v>274</v>
      </c>
    </row>
    <row r="128" spans="2:8" ht="13.8">
      <c r="B128" s="174" t="str">
        <f t="shared" si="33"/>
        <v>Homelight 60A</v>
      </c>
      <c r="C128" s="77" t="s">
        <v>51</v>
      </c>
      <c r="D128" s="194" t="s">
        <v>57</v>
      </c>
      <c r="E128" s="77" t="str">
        <f t="shared" si="31"/>
        <v>Urban</v>
      </c>
      <c r="F128" s="77">
        <f t="shared" si="32"/>
        <v>2</v>
      </c>
      <c r="G128" s="77">
        <v>6</v>
      </c>
      <c r="H128" s="77" t="s">
        <v>274</v>
      </c>
    </row>
    <row r="129" spans="2:8" ht="13.8">
      <c r="B129" s="174" t="str">
        <f t="shared" si="33"/>
        <v>Homepower 1</v>
      </c>
      <c r="C129" s="77" t="s">
        <v>52</v>
      </c>
      <c r="D129" s="194">
        <v>1</v>
      </c>
      <c r="E129" s="77" t="str">
        <f t="shared" si="31"/>
        <v>Urban</v>
      </c>
      <c r="F129" s="77">
        <f t="shared" si="32"/>
        <v>3</v>
      </c>
      <c r="G129" s="77">
        <v>7</v>
      </c>
      <c r="H129" s="77" t="s">
        <v>274</v>
      </c>
    </row>
    <row r="130" spans="2:8" ht="13.8">
      <c r="B130" s="174" t="str">
        <f t="shared" si="33"/>
        <v>Homepower 2</v>
      </c>
      <c r="C130" s="77" t="s">
        <v>52</v>
      </c>
      <c r="D130" s="194">
        <v>2</v>
      </c>
      <c r="E130" s="77" t="str">
        <f t="shared" si="31"/>
        <v>Urban</v>
      </c>
      <c r="F130" s="77">
        <f t="shared" si="32"/>
        <v>3</v>
      </c>
      <c r="G130" s="77">
        <v>8</v>
      </c>
      <c r="H130" s="77" t="s">
        <v>274</v>
      </c>
    </row>
    <row r="131" spans="2:8" ht="13.8">
      <c r="B131" s="174" t="str">
        <f t="shared" si="33"/>
        <v>Homepower 3</v>
      </c>
      <c r="C131" s="77" t="s">
        <v>52</v>
      </c>
      <c r="D131" s="194">
        <v>3</v>
      </c>
      <c r="E131" s="77" t="str">
        <f t="shared" si="31"/>
        <v>Urban</v>
      </c>
      <c r="F131" s="77">
        <f t="shared" si="32"/>
        <v>3</v>
      </c>
      <c r="G131" s="77">
        <v>9</v>
      </c>
      <c r="H131" s="77" t="s">
        <v>274</v>
      </c>
    </row>
    <row r="132" spans="2:8" ht="13.8">
      <c r="B132" s="174" t="str">
        <f t="shared" si="33"/>
        <v>Homepower 4</v>
      </c>
      <c r="C132" s="77" t="s">
        <v>52</v>
      </c>
      <c r="D132" s="194">
        <v>4</v>
      </c>
      <c r="E132" s="77" t="str">
        <f t="shared" si="31"/>
        <v>Urban</v>
      </c>
      <c r="F132" s="77">
        <f t="shared" si="32"/>
        <v>3</v>
      </c>
      <c r="G132" s="77">
        <v>10</v>
      </c>
      <c r="H132" s="77" t="s">
        <v>274</v>
      </c>
    </row>
    <row r="133" spans="2:8" ht="13.8">
      <c r="B133" s="174" t="str">
        <f t="shared" si="33"/>
        <v>Homepower Bulk</v>
      </c>
      <c r="C133" s="77" t="s">
        <v>52</v>
      </c>
      <c r="D133" s="195" t="s">
        <v>345</v>
      </c>
      <c r="E133" s="77" t="str">
        <f t="shared" si="31"/>
        <v>Urban</v>
      </c>
      <c r="F133" s="77">
        <f t="shared" si="32"/>
        <v>3</v>
      </c>
      <c r="G133" s="77">
        <v>11</v>
      </c>
      <c r="H133" s="77" t="s">
        <v>274</v>
      </c>
    </row>
    <row r="134" spans="2:8" ht="13.8">
      <c r="B134" s="174" t="str">
        <f t="shared" si="33"/>
        <v>Landrate 1</v>
      </c>
      <c r="C134" s="77" t="s">
        <v>55</v>
      </c>
      <c r="D134" s="194">
        <v>1</v>
      </c>
      <c r="E134" s="77" t="str">
        <f t="shared" si="31"/>
        <v>Rural</v>
      </c>
      <c r="F134" s="77">
        <f t="shared" si="32"/>
        <v>4</v>
      </c>
      <c r="G134" s="77">
        <v>12</v>
      </c>
      <c r="H134" s="77" t="s">
        <v>274</v>
      </c>
    </row>
    <row r="135" spans="2:8" ht="13.8">
      <c r="B135" s="174" t="str">
        <f t="shared" si="33"/>
        <v>Landrate 2</v>
      </c>
      <c r="C135" s="77" t="s">
        <v>55</v>
      </c>
      <c r="D135" s="194">
        <v>2</v>
      </c>
      <c r="E135" s="77" t="str">
        <f t="shared" si="31"/>
        <v>Rural</v>
      </c>
      <c r="F135" s="77">
        <f t="shared" si="32"/>
        <v>4</v>
      </c>
      <c r="G135" s="77">
        <v>13</v>
      </c>
      <c r="H135" s="77" t="s">
        <v>274</v>
      </c>
    </row>
    <row r="136" spans="2:8" ht="13.8">
      <c r="B136" s="174" t="str">
        <f t="shared" si="33"/>
        <v>Landrate 3</v>
      </c>
      <c r="C136" s="77" t="s">
        <v>55</v>
      </c>
      <c r="D136" s="194">
        <v>3</v>
      </c>
      <c r="E136" s="77" t="str">
        <f t="shared" si="31"/>
        <v>Rural</v>
      </c>
      <c r="F136" s="77">
        <f t="shared" si="32"/>
        <v>4</v>
      </c>
      <c r="G136" s="77">
        <v>14</v>
      </c>
      <c r="H136" s="77" t="s">
        <v>274</v>
      </c>
    </row>
    <row r="137" spans="2:8" ht="13.8">
      <c r="B137" s="174" t="str">
        <f t="shared" si="33"/>
        <v>Landrate 4</v>
      </c>
      <c r="C137" s="77" t="s">
        <v>55</v>
      </c>
      <c r="D137" s="194">
        <v>4</v>
      </c>
      <c r="E137" s="77" t="str">
        <f t="shared" si="31"/>
        <v>Rural</v>
      </c>
      <c r="F137" s="77">
        <f t="shared" si="32"/>
        <v>4</v>
      </c>
      <c r="G137" s="77">
        <v>15</v>
      </c>
      <c r="H137" s="77" t="s">
        <v>274</v>
      </c>
    </row>
    <row r="138" spans="2:8" ht="13.8">
      <c r="B138" s="174" t="str">
        <f t="shared" si="33"/>
        <v>Landrate Dx</v>
      </c>
      <c r="C138" s="77" t="s">
        <v>55</v>
      </c>
      <c r="D138" s="194" t="s">
        <v>58</v>
      </c>
      <c r="E138" s="77" t="str">
        <f t="shared" si="31"/>
        <v>Rural</v>
      </c>
      <c r="F138" s="77">
        <f t="shared" si="32"/>
        <v>4</v>
      </c>
      <c r="G138" s="77">
        <v>16</v>
      </c>
      <c r="H138" s="77" t="s">
        <v>274</v>
      </c>
    </row>
    <row r="139" spans="2:8" ht="13.8">
      <c r="B139" s="174" t="str">
        <f t="shared" si="33"/>
        <v>Megaflex</v>
      </c>
      <c r="C139" s="77" t="s">
        <v>41</v>
      </c>
      <c r="D139" s="194"/>
      <c r="E139" s="77" t="str">
        <f t="shared" si="31"/>
        <v>Urban</v>
      </c>
      <c r="F139" s="77">
        <f t="shared" si="32"/>
        <v>5</v>
      </c>
      <c r="G139" s="77">
        <v>17</v>
      </c>
      <c r="H139" s="77" t="s">
        <v>275</v>
      </c>
    </row>
    <row r="140" spans="2:8" ht="13.8">
      <c r="B140" s="174" t="str">
        <f t="shared" si="33"/>
        <v>Miniflex</v>
      </c>
      <c r="C140" s="77" t="s">
        <v>42</v>
      </c>
      <c r="D140" s="194"/>
      <c r="E140" s="77" t="str">
        <f t="shared" si="31"/>
        <v>Urban</v>
      </c>
      <c r="F140" s="77">
        <f t="shared" si="32"/>
        <v>6</v>
      </c>
      <c r="G140" s="77">
        <v>18</v>
      </c>
      <c r="H140" s="77" t="s">
        <v>275</v>
      </c>
    </row>
    <row r="141" spans="2:8" ht="13.8">
      <c r="B141" s="174" t="str">
        <f t="shared" si="33"/>
        <v>Nightsave Large</v>
      </c>
      <c r="C141" s="77" t="s">
        <v>43</v>
      </c>
      <c r="D141" s="194"/>
      <c r="E141" s="77" t="str">
        <f t="shared" si="31"/>
        <v>Urban</v>
      </c>
      <c r="F141" s="77">
        <f t="shared" si="32"/>
        <v>16</v>
      </c>
      <c r="G141" s="77">
        <v>19</v>
      </c>
      <c r="H141" s="77" t="str">
        <f>IF(Selected_Tariff_Category_ID=2,"Y","N")</f>
        <v>N</v>
      </c>
    </row>
    <row r="142" spans="2:8" ht="13.8">
      <c r="B142" s="174" t="str">
        <f t="shared" si="33"/>
        <v>Nightsave Rural</v>
      </c>
      <c r="C142" s="77" t="s">
        <v>44</v>
      </c>
      <c r="D142" s="194"/>
      <c r="E142" s="77" t="str">
        <f t="shared" si="31"/>
        <v>Rural</v>
      </c>
      <c r="F142" s="77">
        <f t="shared" si="32"/>
        <v>8</v>
      </c>
      <c r="G142" s="77">
        <v>20</v>
      </c>
      <c r="H142" s="77" t="str">
        <f>IF(Selected_Tariff_Category_ID=2,"Y","N")</f>
        <v>N</v>
      </c>
    </row>
    <row r="143" spans="2:8" ht="13.8">
      <c r="B143" s="174" t="str">
        <f t="shared" si="33"/>
        <v>Nightsave Small</v>
      </c>
      <c r="C143" s="77" t="s">
        <v>45</v>
      </c>
      <c r="D143" s="194"/>
      <c r="E143" s="77" t="str">
        <f t="shared" si="31"/>
        <v>Urban</v>
      </c>
      <c r="F143" s="77">
        <f t="shared" si="32"/>
        <v>9</v>
      </c>
      <c r="G143" s="77">
        <v>21</v>
      </c>
      <c r="H143" s="77" t="str">
        <f>IF(Selected_Tariff_Category_ID=2,"Y","N")</f>
        <v>N</v>
      </c>
    </row>
    <row r="144" spans="2:8" ht="13.8">
      <c r="B144" s="174" t="str">
        <f>IF(D144="",C144,C144&amp;" "&amp;D144)</f>
        <v>Ruraflex</v>
      </c>
      <c r="C144" s="77" t="s">
        <v>46</v>
      </c>
      <c r="D144" s="194"/>
      <c r="E144" s="77" t="str">
        <f t="shared" ref="E144:E149" si="34">INDEX(Base_Tariff_Type,F144)</f>
        <v>Rural</v>
      </c>
      <c r="F144" s="77">
        <f t="shared" si="32"/>
        <v>10</v>
      </c>
      <c r="G144" s="77">
        <v>22</v>
      </c>
      <c r="H144" s="77" t="s">
        <v>275</v>
      </c>
    </row>
    <row r="145" spans="2:8" ht="13.8">
      <c r="B145" s="174" t="s">
        <v>402</v>
      </c>
      <c r="C145" s="77" t="s">
        <v>55</v>
      </c>
      <c r="D145" s="194" t="s">
        <v>56</v>
      </c>
      <c r="E145" s="77" t="str">
        <f t="shared" si="34"/>
        <v>Rural</v>
      </c>
      <c r="F145" s="77">
        <f t="shared" si="32"/>
        <v>4</v>
      </c>
      <c r="G145" s="77">
        <v>23</v>
      </c>
      <c r="H145" s="77" t="s">
        <v>274</v>
      </c>
    </row>
    <row r="146" spans="2:8" ht="13.8">
      <c r="B146" s="174" t="s">
        <v>403</v>
      </c>
      <c r="C146" s="77" t="s">
        <v>55</v>
      </c>
      <c r="D146" s="194" t="s">
        <v>57</v>
      </c>
      <c r="E146" s="77" t="str">
        <f t="shared" si="34"/>
        <v>Rural</v>
      </c>
      <c r="F146" s="77">
        <f t="shared" si="32"/>
        <v>4</v>
      </c>
      <c r="G146" s="77">
        <v>24</v>
      </c>
      <c r="H146" s="77" t="s">
        <v>274</v>
      </c>
    </row>
    <row r="147" spans="2:8" ht="13.8">
      <c r="B147" s="174" t="s">
        <v>348</v>
      </c>
      <c r="C147" s="174" t="s">
        <v>410</v>
      </c>
      <c r="D147" s="194" t="s">
        <v>411</v>
      </c>
      <c r="E147" s="77" t="str">
        <f t="shared" si="34"/>
        <v>Urban</v>
      </c>
      <c r="F147" s="77">
        <f t="shared" si="32"/>
        <v>11</v>
      </c>
      <c r="G147" s="77">
        <v>25</v>
      </c>
      <c r="H147" s="77" t="s">
        <v>274</v>
      </c>
    </row>
    <row r="148" spans="2:8" ht="13.8">
      <c r="B148" s="174" t="s">
        <v>347</v>
      </c>
      <c r="C148" s="174" t="s">
        <v>410</v>
      </c>
      <c r="D148" s="194" t="s">
        <v>412</v>
      </c>
      <c r="E148" s="77" t="str">
        <f t="shared" si="34"/>
        <v>Urban</v>
      </c>
      <c r="F148" s="77">
        <f t="shared" si="32"/>
        <v>11</v>
      </c>
      <c r="G148" s="77">
        <v>26</v>
      </c>
      <c r="H148" s="77" t="s">
        <v>274</v>
      </c>
    </row>
    <row r="149" spans="2:8" ht="13.8">
      <c r="B149" s="174" t="s">
        <v>349</v>
      </c>
      <c r="C149" s="174" t="s">
        <v>410</v>
      </c>
      <c r="D149" s="194" t="s">
        <v>413</v>
      </c>
      <c r="E149" s="77" t="str">
        <f t="shared" si="34"/>
        <v>Urban</v>
      </c>
      <c r="F149" s="77">
        <f t="shared" si="32"/>
        <v>11</v>
      </c>
      <c r="G149" s="77">
        <v>27</v>
      </c>
      <c r="H149" s="77" t="s">
        <v>274</v>
      </c>
    </row>
    <row r="150" spans="2:8" ht="13.8">
      <c r="B150" s="174" t="s">
        <v>465</v>
      </c>
      <c r="C150" s="77" t="s">
        <v>465</v>
      </c>
      <c r="D150" s="194"/>
      <c r="E150" s="77" t="str">
        <f>INDEX(Base_Tariff_Type, F150)</f>
        <v>Urban</v>
      </c>
      <c r="F150" s="77">
        <f t="shared" si="32"/>
        <v>12</v>
      </c>
      <c r="G150" s="77">
        <v>28</v>
      </c>
      <c r="H150" s="77" t="s">
        <v>275</v>
      </c>
    </row>
    <row r="151" spans="2:8" ht="13.8">
      <c r="B151" s="174" t="s">
        <v>466</v>
      </c>
      <c r="C151" s="92" t="s">
        <v>470</v>
      </c>
      <c r="D151" s="194">
        <v>1</v>
      </c>
      <c r="E151" s="77" t="str">
        <f t="shared" ref="E151:E160" si="35">INDEX(Base_Tariff_Type,F151)</f>
        <v>Urban</v>
      </c>
      <c r="F151" s="77">
        <f t="shared" si="32"/>
        <v>13</v>
      </c>
      <c r="G151" s="77">
        <v>29</v>
      </c>
      <c r="H151" s="77" t="s">
        <v>274</v>
      </c>
    </row>
    <row r="152" spans="2:8" ht="13.8">
      <c r="B152" s="245" t="s">
        <v>467</v>
      </c>
      <c r="C152" s="77" t="s">
        <v>470</v>
      </c>
      <c r="D152" s="194">
        <v>2</v>
      </c>
      <c r="E152" s="77" t="str">
        <f t="shared" si="35"/>
        <v>Urban</v>
      </c>
      <c r="F152" s="77">
        <f t="shared" si="32"/>
        <v>13</v>
      </c>
      <c r="G152" s="77">
        <v>30</v>
      </c>
      <c r="H152" s="77" t="s">
        <v>274</v>
      </c>
    </row>
    <row r="153" spans="2:8" ht="13.8">
      <c r="B153" s="174" t="s">
        <v>468</v>
      </c>
      <c r="C153" s="77" t="s">
        <v>470</v>
      </c>
      <c r="D153" s="194">
        <v>3</v>
      </c>
      <c r="E153" s="77" t="str">
        <f t="shared" si="35"/>
        <v>Urban</v>
      </c>
      <c r="F153" s="77">
        <f t="shared" si="32"/>
        <v>13</v>
      </c>
      <c r="G153" s="77">
        <v>31</v>
      </c>
      <c r="H153" s="77" t="s">
        <v>274</v>
      </c>
    </row>
    <row r="154" spans="2:8" ht="13.8">
      <c r="B154" s="245" t="s">
        <v>469</v>
      </c>
      <c r="C154" s="77" t="s">
        <v>470</v>
      </c>
      <c r="D154" s="194">
        <v>4</v>
      </c>
      <c r="E154" s="77" t="str">
        <f t="shared" si="35"/>
        <v>Urban</v>
      </c>
      <c r="F154" s="77">
        <f t="shared" si="32"/>
        <v>13</v>
      </c>
      <c r="G154" s="77">
        <v>32</v>
      </c>
      <c r="H154" s="77" t="s">
        <v>274</v>
      </c>
    </row>
    <row r="155" spans="2:8" ht="13.8">
      <c r="B155" s="245" t="s">
        <v>535</v>
      </c>
      <c r="C155" s="77" t="s">
        <v>543</v>
      </c>
      <c r="D155" s="194">
        <v>1</v>
      </c>
      <c r="E155" s="77" t="str">
        <f t="shared" si="35"/>
        <v>Urban</v>
      </c>
      <c r="F155" s="77">
        <f t="shared" ref="F155:F160" si="36">MATCH(C155,Base_Tariff_List,0)</f>
        <v>14</v>
      </c>
      <c r="G155" s="77">
        <v>33</v>
      </c>
      <c r="H155" s="77" t="s">
        <v>275</v>
      </c>
    </row>
    <row r="156" spans="2:8" ht="13.8">
      <c r="B156" s="245" t="s">
        <v>536</v>
      </c>
      <c r="C156" s="77" t="s">
        <v>543</v>
      </c>
      <c r="D156" s="194">
        <v>2</v>
      </c>
      <c r="E156" s="77" t="str">
        <f t="shared" si="35"/>
        <v>Urban</v>
      </c>
      <c r="F156" s="77">
        <f t="shared" si="36"/>
        <v>14</v>
      </c>
      <c r="G156" s="77">
        <v>34</v>
      </c>
      <c r="H156" s="77" t="s">
        <v>275</v>
      </c>
    </row>
    <row r="157" spans="2:8" ht="13.8">
      <c r="B157" s="245" t="s">
        <v>537</v>
      </c>
      <c r="C157" s="77" t="s">
        <v>543</v>
      </c>
      <c r="D157" s="194">
        <v>3</v>
      </c>
      <c r="E157" s="77" t="str">
        <f t="shared" si="35"/>
        <v>Urban</v>
      </c>
      <c r="F157" s="77">
        <f t="shared" si="36"/>
        <v>14</v>
      </c>
      <c r="G157" s="77">
        <v>35</v>
      </c>
      <c r="H157" s="77" t="s">
        <v>275</v>
      </c>
    </row>
    <row r="158" spans="2:8" ht="13.8">
      <c r="B158" s="174" t="s">
        <v>538</v>
      </c>
      <c r="C158" s="77" t="s">
        <v>543</v>
      </c>
      <c r="D158" s="194">
        <v>4</v>
      </c>
      <c r="E158" s="77" t="str">
        <f t="shared" si="35"/>
        <v>Urban</v>
      </c>
      <c r="F158" s="77">
        <f t="shared" si="36"/>
        <v>14</v>
      </c>
      <c r="G158" s="77">
        <v>36</v>
      </c>
      <c r="H158" s="77" t="s">
        <v>275</v>
      </c>
    </row>
    <row r="159" spans="2:8" ht="13.8">
      <c r="B159" s="174" t="s">
        <v>583</v>
      </c>
      <c r="C159" s="77" t="s">
        <v>585</v>
      </c>
      <c r="D159" s="77">
        <v>1</v>
      </c>
      <c r="E159" s="77" t="str">
        <f t="shared" si="35"/>
        <v>Urban</v>
      </c>
      <c r="F159" s="77">
        <f t="shared" si="36"/>
        <v>15</v>
      </c>
      <c r="G159" s="77">
        <v>37</v>
      </c>
      <c r="H159" s="77" t="s">
        <v>275</v>
      </c>
    </row>
    <row r="160" spans="2:8" ht="13.8">
      <c r="B160" s="174" t="s">
        <v>584</v>
      </c>
      <c r="C160" s="77" t="s">
        <v>585</v>
      </c>
      <c r="D160" s="77">
        <v>2</v>
      </c>
      <c r="E160" s="77" t="str">
        <f t="shared" si="35"/>
        <v>Urban</v>
      </c>
      <c r="F160" s="77">
        <f t="shared" si="36"/>
        <v>15</v>
      </c>
      <c r="G160" s="77">
        <v>38</v>
      </c>
      <c r="H160" s="77" t="s">
        <v>275</v>
      </c>
    </row>
  </sheetData>
  <sheetProtection algorithmName="SHA-512" hashValue="9M2I0ItpQ5Uj1axXD0et8emCe/qtZmUf1C3abPeI/t+ClkmoEos7Rdf5MOj6LnlXWAsWrAkfFeq7IlDsO1zgNw==" saltValue="p5bPN5VeJxdKEUWGKsW/ag==" spinCount="100000" sheet="1" objects="1" scenarios="1"/>
  <mergeCells count="2">
    <mergeCell ref="Q56:AB56"/>
    <mergeCell ref="Q81:AB81"/>
  </mergeCells>
  <phoneticPr fontId="35" type="noConversion"/>
  <dataValidations count="1">
    <dataValidation type="list" allowBlank="1" showInputMessage="1" showErrorMessage="1" sqref="X83:AB101 J58:N76 Q83:V101 Q58:V76 X58:AB76 C58:H76" xr:uid="{00000000-0002-0000-1100-000000000000}">
      <formula1>Full_Tariff_List</formula1>
    </dataValidation>
  </dataValidations>
  <pageMargins left="0.7" right="0.7" top="0.75" bottom="0.75" header="0.3" footer="0.3"/>
  <pageSetup orientation="portrait" r:id="rId1"/>
  <ignoredErrors>
    <ignoredError sqref="J58 K58:N58 C58:C62 D58:H61 J74:J76 K74:N76 J59:N73 C67:C76 D67:H76 D62:H62 C63:H66" unlockedFormula="1"/>
    <ignoredError sqref="E44" formula="1"/>
  </ignoredError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7">
    <tabColor rgb="FFFFFF00"/>
  </sheetPr>
  <dimension ref="B1:I147"/>
  <sheetViews>
    <sheetView showGridLines="0" zoomScale="85" zoomScaleNormal="85" workbookViewId="0">
      <pane ySplit="2" topLeftCell="A130" activePane="bottomLeft" state="frozen"/>
      <selection activeCell="A5" sqref="A5"/>
      <selection pane="bottomLeft" activeCell="F152" sqref="F152"/>
    </sheetView>
  </sheetViews>
  <sheetFormatPr defaultColWidth="9.28515625" defaultRowHeight="13.2"/>
  <cols>
    <col min="1" max="1" width="1.7109375" style="96" customWidth="1"/>
    <col min="2" max="2" width="5.42578125" style="96" customWidth="1"/>
    <col min="3" max="3" width="12.7109375" style="96" customWidth="1"/>
    <col min="4" max="4" width="121.7109375" style="96" customWidth="1"/>
    <col min="5" max="5" width="37.7109375" style="96" customWidth="1"/>
    <col min="6" max="6" width="43.7109375" style="96" customWidth="1"/>
    <col min="7" max="7" width="14.7109375" style="96" customWidth="1"/>
    <col min="8" max="8" width="15.7109375" style="96" customWidth="1"/>
    <col min="9" max="16384" width="9.28515625" style="96"/>
  </cols>
  <sheetData>
    <row r="1" spans="2:7" ht="13.8" thickBot="1"/>
    <row r="2" spans="2:7" ht="14.4" thickBot="1">
      <c r="B2" s="204"/>
      <c r="C2" s="205" t="s">
        <v>399</v>
      </c>
      <c r="D2" s="206"/>
      <c r="E2" s="269" t="s">
        <v>417</v>
      </c>
      <c r="F2" s="262"/>
      <c r="G2" s="207" t="s">
        <v>364</v>
      </c>
    </row>
    <row r="3" spans="2:7">
      <c r="B3" s="458" t="s">
        <v>400</v>
      </c>
      <c r="C3" s="196" t="s">
        <v>351</v>
      </c>
      <c r="D3" s="197" t="s">
        <v>346</v>
      </c>
      <c r="E3" s="270"/>
      <c r="F3" s="263"/>
      <c r="G3" s="208"/>
    </row>
    <row r="4" spans="2:7">
      <c r="B4" s="458"/>
      <c r="D4" s="198" t="s">
        <v>347</v>
      </c>
      <c r="E4" s="271"/>
      <c r="F4" s="264"/>
      <c r="G4" s="208"/>
    </row>
    <row r="5" spans="2:7">
      <c r="B5" s="458"/>
      <c r="D5" s="199" t="s">
        <v>348</v>
      </c>
      <c r="E5" s="272"/>
      <c r="F5" s="244"/>
      <c r="G5" s="208"/>
    </row>
    <row r="6" spans="2:7">
      <c r="B6" s="458"/>
      <c r="D6" s="199" t="s">
        <v>349</v>
      </c>
      <c r="E6" s="272"/>
      <c r="F6" s="244"/>
      <c r="G6" s="208"/>
    </row>
    <row r="7" spans="2:7">
      <c r="B7" s="458"/>
      <c r="C7" s="212"/>
      <c r="D7" s="213" t="s">
        <v>350</v>
      </c>
      <c r="E7" s="273"/>
      <c r="F7" s="265"/>
      <c r="G7" s="214" t="s">
        <v>418</v>
      </c>
    </row>
    <row r="8" spans="2:7">
      <c r="B8" s="458"/>
      <c r="D8" s="197"/>
      <c r="E8" s="270"/>
      <c r="F8" s="263"/>
      <c r="G8" s="208"/>
    </row>
    <row r="9" spans="2:7">
      <c r="B9" s="458"/>
      <c r="C9" s="196" t="s">
        <v>351</v>
      </c>
      <c r="D9" s="197" t="s">
        <v>365</v>
      </c>
      <c r="E9" s="270"/>
      <c r="F9" s="263"/>
      <c r="G9" s="208"/>
    </row>
    <row r="10" spans="2:7">
      <c r="B10" s="458"/>
      <c r="D10" s="198" t="s">
        <v>366</v>
      </c>
      <c r="E10" s="271"/>
      <c r="F10" s="264"/>
      <c r="G10" s="209">
        <v>41978</v>
      </c>
    </row>
    <row r="11" spans="2:7">
      <c r="B11" s="458"/>
      <c r="C11" s="212"/>
      <c r="D11" s="215" t="s">
        <v>367</v>
      </c>
      <c r="E11" s="274"/>
      <c r="F11" s="243"/>
      <c r="G11" s="216">
        <v>41978</v>
      </c>
    </row>
    <row r="12" spans="2:7">
      <c r="B12" s="458"/>
      <c r="D12" s="197"/>
      <c r="E12" s="270"/>
      <c r="F12" s="263"/>
      <c r="G12" s="208"/>
    </row>
    <row r="13" spans="2:7">
      <c r="B13" s="458"/>
      <c r="C13" s="196" t="s">
        <v>351</v>
      </c>
      <c r="D13" s="197" t="s">
        <v>227</v>
      </c>
      <c r="E13" s="270"/>
      <c r="F13" s="263"/>
      <c r="G13" s="208"/>
    </row>
    <row r="14" spans="2:7">
      <c r="B14" s="458"/>
      <c r="C14" s="212"/>
      <c r="D14" s="213" t="s">
        <v>363</v>
      </c>
      <c r="E14" s="273"/>
      <c r="F14" s="265"/>
      <c r="G14" s="216">
        <v>41978</v>
      </c>
    </row>
    <row r="15" spans="2:7">
      <c r="B15" s="458"/>
      <c r="D15" s="197"/>
      <c r="E15" s="270"/>
      <c r="F15" s="263"/>
      <c r="G15" s="208"/>
    </row>
    <row r="16" spans="2:7">
      <c r="B16" s="458"/>
      <c r="C16" s="196" t="s">
        <v>351</v>
      </c>
      <c r="D16" s="197" t="s">
        <v>395</v>
      </c>
      <c r="E16" s="270"/>
      <c r="F16" s="263"/>
      <c r="G16" s="208"/>
    </row>
    <row r="17" spans="2:9" ht="26.4">
      <c r="B17" s="458"/>
      <c r="D17" s="198" t="s">
        <v>396</v>
      </c>
      <c r="E17" s="271"/>
      <c r="F17" s="264"/>
      <c r="G17" s="210" t="s">
        <v>409</v>
      </c>
    </row>
    <row r="18" spans="2:9">
      <c r="B18" s="458"/>
      <c r="D18" s="199" t="s">
        <v>397</v>
      </c>
      <c r="E18" s="272"/>
      <c r="F18" s="244"/>
      <c r="G18" s="210" t="s">
        <v>409</v>
      </c>
    </row>
    <row r="19" spans="2:9" ht="13.8" thickBot="1">
      <c r="B19" s="200"/>
      <c r="D19" s="197"/>
      <c r="E19" s="270"/>
      <c r="F19" s="263"/>
      <c r="G19" s="208"/>
    </row>
    <row r="20" spans="2:9" ht="13.8" thickTop="1">
      <c r="B20" s="201"/>
      <c r="C20" s="191"/>
      <c r="D20" s="192"/>
      <c r="E20" s="275"/>
      <c r="F20" s="266"/>
      <c r="G20" s="211"/>
    </row>
    <row r="21" spans="2:9">
      <c r="B21" s="457" t="s">
        <v>401</v>
      </c>
      <c r="C21" s="196" t="s">
        <v>351</v>
      </c>
      <c r="D21" s="202" t="s">
        <v>414</v>
      </c>
      <c r="E21" s="276"/>
      <c r="F21" s="267"/>
      <c r="G21" s="208"/>
    </row>
    <row r="22" spans="2:9">
      <c r="B22" s="458"/>
      <c r="D22" s="198" t="s">
        <v>402</v>
      </c>
      <c r="E22" s="462" t="s">
        <v>419</v>
      </c>
      <c r="F22" s="279"/>
      <c r="G22" s="464">
        <v>42429</v>
      </c>
    </row>
    <row r="23" spans="2:9">
      <c r="B23" s="458"/>
      <c r="D23" s="199" t="s">
        <v>403</v>
      </c>
      <c r="E23" s="462"/>
      <c r="F23" s="279"/>
      <c r="G23" s="464"/>
    </row>
    <row r="24" spans="2:9">
      <c r="B24" s="458"/>
      <c r="D24" s="199" t="s">
        <v>348</v>
      </c>
      <c r="E24" s="462"/>
      <c r="F24" s="279"/>
      <c r="G24" s="464"/>
    </row>
    <row r="25" spans="2:9">
      <c r="B25" s="458"/>
      <c r="D25" s="199" t="s">
        <v>347</v>
      </c>
      <c r="E25" s="462"/>
      <c r="F25" s="279"/>
      <c r="G25" s="464"/>
    </row>
    <row r="26" spans="2:9">
      <c r="B26" s="458"/>
      <c r="C26" s="212"/>
      <c r="D26" s="215" t="s">
        <v>349</v>
      </c>
      <c r="E26" s="463"/>
      <c r="F26" s="280"/>
      <c r="G26" s="461"/>
    </row>
    <row r="27" spans="2:9">
      <c r="B27" s="458"/>
      <c r="D27" s="197"/>
      <c r="E27" s="270"/>
      <c r="F27" s="263"/>
      <c r="G27" s="208"/>
    </row>
    <row r="28" spans="2:9">
      <c r="B28" s="458"/>
      <c r="C28" s="196" t="s">
        <v>351</v>
      </c>
      <c r="D28" s="197" t="s">
        <v>365</v>
      </c>
      <c r="E28" s="270"/>
      <c r="F28" s="263"/>
      <c r="G28" s="208"/>
    </row>
    <row r="29" spans="2:9" ht="66">
      <c r="B29" s="458"/>
      <c r="D29" s="215" t="s">
        <v>420</v>
      </c>
      <c r="E29" s="274" t="s">
        <v>421</v>
      </c>
      <c r="F29" s="243"/>
      <c r="G29" s="217">
        <v>42431</v>
      </c>
    </row>
    <row r="30" spans="2:9" ht="52.8">
      <c r="B30" s="458"/>
      <c r="D30" s="218" t="s">
        <v>415</v>
      </c>
      <c r="E30" s="277" t="s">
        <v>422</v>
      </c>
      <c r="F30" s="268"/>
      <c r="G30" s="219">
        <v>42431</v>
      </c>
    </row>
    <row r="31" spans="2:9" ht="66">
      <c r="B31" s="458"/>
      <c r="C31" s="212"/>
      <c r="D31" s="215" t="s">
        <v>416</v>
      </c>
      <c r="E31" s="274" t="s">
        <v>423</v>
      </c>
      <c r="F31" s="243"/>
      <c r="G31" s="217">
        <v>42431</v>
      </c>
      <c r="H31" s="226" t="s">
        <v>434</v>
      </c>
      <c r="I31" s="225" t="s">
        <v>432</v>
      </c>
    </row>
    <row r="32" spans="2:9">
      <c r="B32" s="458"/>
      <c r="C32" s="229">
        <v>6.05</v>
      </c>
      <c r="D32" s="202" t="s">
        <v>430</v>
      </c>
      <c r="E32" s="270"/>
      <c r="F32" s="263"/>
      <c r="G32" s="209">
        <v>42444</v>
      </c>
      <c r="H32" s="227" t="s">
        <v>435</v>
      </c>
      <c r="I32" s="225" t="s">
        <v>433</v>
      </c>
    </row>
    <row r="33" spans="2:9" ht="13.8" thickBot="1">
      <c r="B33" s="459"/>
      <c r="C33" s="203"/>
      <c r="D33" s="222" t="s">
        <v>431</v>
      </c>
      <c r="E33" s="278"/>
      <c r="F33" s="281"/>
      <c r="G33" s="223">
        <v>42445</v>
      </c>
      <c r="H33" s="96" t="s">
        <v>436</v>
      </c>
    </row>
    <row r="34" spans="2:9" ht="13.8" thickTop="1">
      <c r="B34" s="201"/>
      <c r="C34" s="191"/>
      <c r="D34" s="192"/>
      <c r="E34" s="275"/>
      <c r="F34" s="266"/>
      <c r="G34" s="211"/>
    </row>
    <row r="35" spans="2:9">
      <c r="B35" s="457" t="s">
        <v>437</v>
      </c>
      <c r="C35" s="196"/>
      <c r="D35" s="202"/>
      <c r="E35" s="276"/>
      <c r="F35" s="267"/>
      <c r="G35" s="208"/>
    </row>
    <row r="36" spans="2:9" ht="52.8">
      <c r="B36" s="458"/>
      <c r="D36" s="218" t="s">
        <v>438</v>
      </c>
      <c r="E36" s="277" t="s">
        <v>422</v>
      </c>
      <c r="F36" s="268"/>
      <c r="G36" s="219">
        <v>42804</v>
      </c>
    </row>
    <row r="37" spans="2:9" ht="66">
      <c r="B37" s="458"/>
      <c r="D37" s="215" t="s">
        <v>439</v>
      </c>
      <c r="E37" s="274" t="s">
        <v>423</v>
      </c>
      <c r="F37" s="243"/>
      <c r="G37" s="217">
        <v>42804</v>
      </c>
      <c r="H37" s="226"/>
      <c r="I37" s="225"/>
    </row>
    <row r="38" spans="2:9">
      <c r="B38" s="458"/>
      <c r="D38" s="199" t="s">
        <v>443</v>
      </c>
      <c r="E38" s="272" t="s">
        <v>442</v>
      </c>
      <c r="F38" s="244"/>
      <c r="G38" s="460">
        <v>42807</v>
      </c>
      <c r="H38" s="226"/>
      <c r="I38" s="225"/>
    </row>
    <row r="39" spans="2:9">
      <c r="B39" s="458"/>
      <c r="C39" s="212"/>
      <c r="D39" s="215"/>
      <c r="E39" s="274" t="s">
        <v>441</v>
      </c>
      <c r="F39" s="243"/>
      <c r="G39" s="461"/>
      <c r="H39" s="226"/>
      <c r="I39" s="225"/>
    </row>
    <row r="40" spans="2:9">
      <c r="B40" s="458"/>
      <c r="C40" s="229">
        <v>6.06</v>
      </c>
      <c r="D40" s="202" t="s">
        <v>430</v>
      </c>
      <c r="E40" s="270"/>
      <c r="F40" s="263"/>
      <c r="G40" s="209"/>
      <c r="H40" s="227"/>
      <c r="I40" s="225"/>
    </row>
    <row r="41" spans="2:9" ht="13.8" thickBot="1">
      <c r="B41" s="459"/>
      <c r="C41" s="203"/>
      <c r="D41" s="222" t="s">
        <v>431</v>
      </c>
      <c r="E41" s="278"/>
      <c r="F41" s="281"/>
      <c r="G41" s="223"/>
    </row>
    <row r="42" spans="2:9" ht="13.8" thickTop="1">
      <c r="B42" s="201"/>
      <c r="C42" s="191"/>
      <c r="D42" s="192"/>
      <c r="E42" s="275"/>
      <c r="F42" s="266"/>
      <c r="G42" s="211"/>
    </row>
    <row r="43" spans="2:9">
      <c r="B43" s="457" t="s">
        <v>444</v>
      </c>
      <c r="C43" s="196"/>
      <c r="D43" s="202"/>
      <c r="E43" s="276"/>
      <c r="F43" s="267"/>
      <c r="G43" s="208"/>
    </row>
    <row r="44" spans="2:9" ht="52.8">
      <c r="B44" s="458"/>
      <c r="D44" s="218" t="s">
        <v>445</v>
      </c>
      <c r="E44" s="277" t="s">
        <v>422</v>
      </c>
      <c r="F44" s="268"/>
      <c r="G44" s="219">
        <v>43153</v>
      </c>
    </row>
    <row r="45" spans="2:9" ht="66">
      <c r="B45" s="458"/>
      <c r="D45" s="215" t="s">
        <v>446</v>
      </c>
      <c r="E45" s="274" t="s">
        <v>423</v>
      </c>
      <c r="F45" s="243"/>
      <c r="G45" s="219">
        <v>43153</v>
      </c>
      <c r="H45" s="226"/>
      <c r="I45" s="225"/>
    </row>
    <row r="46" spans="2:9">
      <c r="B46" s="458"/>
      <c r="D46" s="199" t="s">
        <v>450</v>
      </c>
      <c r="E46" s="272" t="s">
        <v>449</v>
      </c>
      <c r="F46" s="244"/>
      <c r="G46" s="460">
        <v>43153</v>
      </c>
      <c r="H46" s="226"/>
      <c r="I46" s="225"/>
    </row>
    <row r="47" spans="2:9">
      <c r="B47" s="458"/>
      <c r="C47" s="212"/>
      <c r="D47" s="215"/>
      <c r="E47" s="274"/>
      <c r="F47" s="243"/>
      <c r="G47" s="461"/>
      <c r="H47" s="226"/>
      <c r="I47" s="225"/>
    </row>
    <row r="48" spans="2:9">
      <c r="B48" s="458"/>
      <c r="C48" s="229">
        <v>6.07</v>
      </c>
      <c r="D48" s="202" t="s">
        <v>430</v>
      </c>
      <c r="E48" s="270"/>
      <c r="F48" s="263"/>
      <c r="G48" s="209"/>
      <c r="H48" s="227"/>
      <c r="I48" s="225"/>
    </row>
    <row r="49" spans="2:9" ht="13.8" thickBot="1">
      <c r="B49" s="459"/>
      <c r="C49" s="203"/>
      <c r="D49" s="222" t="s">
        <v>431</v>
      </c>
      <c r="E49" s="278"/>
      <c r="F49" s="281"/>
      <c r="G49" s="223"/>
    </row>
    <row r="50" spans="2:9" ht="13.8" thickTop="1">
      <c r="B50" s="201"/>
      <c r="C50" s="191"/>
      <c r="D50" s="192"/>
      <c r="E50" s="275"/>
      <c r="F50" s="266"/>
      <c r="G50" s="211"/>
    </row>
    <row r="51" spans="2:9">
      <c r="B51" s="457" t="s">
        <v>451</v>
      </c>
      <c r="C51" s="196"/>
      <c r="D51" s="202"/>
      <c r="E51" s="276"/>
      <c r="F51" s="267"/>
      <c r="G51" s="208"/>
    </row>
    <row r="52" spans="2:9" ht="52.8">
      <c r="B52" s="458"/>
      <c r="D52" s="218" t="s">
        <v>452</v>
      </c>
      <c r="E52" s="277" t="s">
        <v>422</v>
      </c>
      <c r="F52" s="268"/>
      <c r="G52" s="219">
        <v>43535</v>
      </c>
    </row>
    <row r="53" spans="2:9" ht="66">
      <c r="B53" s="458"/>
      <c r="D53" s="215" t="s">
        <v>453</v>
      </c>
      <c r="E53" s="274" t="s">
        <v>423</v>
      </c>
      <c r="F53" s="243"/>
      <c r="G53" s="219">
        <v>43535</v>
      </c>
      <c r="H53" s="226"/>
      <c r="I53" s="225"/>
    </row>
    <row r="54" spans="2:9">
      <c r="B54" s="458"/>
      <c r="D54" s="218" t="s">
        <v>454</v>
      </c>
      <c r="E54" s="277" t="s">
        <v>449</v>
      </c>
      <c r="F54" s="268"/>
      <c r="G54" s="219">
        <v>43535</v>
      </c>
      <c r="H54" s="226"/>
      <c r="I54" s="225"/>
    </row>
    <row r="55" spans="2:9">
      <c r="B55" s="458"/>
      <c r="C55" s="229">
        <v>6.08</v>
      </c>
      <c r="D55" s="202" t="s">
        <v>430</v>
      </c>
      <c r="E55" s="270"/>
      <c r="F55" s="263"/>
      <c r="G55" s="209"/>
      <c r="H55" s="227"/>
      <c r="I55" s="225"/>
    </row>
    <row r="56" spans="2:9" ht="13.8" thickBot="1">
      <c r="B56" s="459"/>
      <c r="C56" s="203"/>
      <c r="D56" s="222" t="s">
        <v>431</v>
      </c>
      <c r="E56" s="278"/>
      <c r="F56" s="281"/>
      <c r="G56" s="223"/>
    </row>
    <row r="57" spans="2:9" ht="13.8" thickTop="1">
      <c r="B57" s="201"/>
      <c r="C57" s="191"/>
      <c r="D57" s="192"/>
      <c r="E57" s="275"/>
      <c r="F57" s="266"/>
      <c r="G57" s="211"/>
    </row>
    <row r="58" spans="2:9">
      <c r="B58" s="457" t="s">
        <v>455</v>
      </c>
      <c r="C58" s="196"/>
      <c r="D58" s="202"/>
      <c r="E58" s="276"/>
      <c r="F58" s="267"/>
      <c r="G58" s="208"/>
    </row>
    <row r="59" spans="2:9" ht="52.8">
      <c r="B59" s="458"/>
      <c r="D59" s="218" t="s">
        <v>456</v>
      </c>
      <c r="E59" s="277" t="s">
        <v>422</v>
      </c>
      <c r="F59" s="268"/>
      <c r="G59" s="219">
        <v>43899</v>
      </c>
    </row>
    <row r="60" spans="2:9" ht="66">
      <c r="B60" s="458"/>
      <c r="D60" s="215" t="s">
        <v>457</v>
      </c>
      <c r="E60" s="274" t="s">
        <v>423</v>
      </c>
      <c r="F60" s="243"/>
      <c r="G60" s="219">
        <v>43899</v>
      </c>
      <c r="H60" s="226"/>
      <c r="I60" s="225"/>
    </row>
    <row r="61" spans="2:9">
      <c r="B61" s="458"/>
      <c r="D61" s="218" t="s">
        <v>454</v>
      </c>
      <c r="E61" s="277" t="s">
        <v>449</v>
      </c>
      <c r="F61" s="268"/>
      <c r="G61" s="219">
        <v>43899</v>
      </c>
      <c r="H61" s="226"/>
      <c r="I61" s="225"/>
    </row>
    <row r="62" spans="2:9">
      <c r="B62" s="458"/>
      <c r="D62" s="218" t="s">
        <v>458</v>
      </c>
      <c r="E62" s="277" t="s">
        <v>449</v>
      </c>
      <c r="F62" s="268"/>
      <c r="G62" s="219">
        <v>43899</v>
      </c>
      <c r="H62" s="226"/>
      <c r="I62" s="225"/>
    </row>
    <row r="63" spans="2:9">
      <c r="B63" s="458"/>
      <c r="D63" s="242" t="s">
        <v>459</v>
      </c>
      <c r="E63" s="277" t="s">
        <v>460</v>
      </c>
      <c r="F63" s="268"/>
      <c r="G63" s="219">
        <v>43899</v>
      </c>
      <c r="H63" s="226"/>
      <c r="I63" s="225"/>
    </row>
    <row r="64" spans="2:9">
      <c r="B64" s="458"/>
      <c r="D64" s="243"/>
      <c r="E64" s="277" t="s">
        <v>441</v>
      </c>
      <c r="F64" s="268"/>
      <c r="G64" s="219">
        <v>43899</v>
      </c>
      <c r="H64" s="226"/>
      <c r="I64" s="225"/>
    </row>
    <row r="65" spans="2:9">
      <c r="B65" s="458"/>
      <c r="C65" s="229">
        <v>6.09</v>
      </c>
      <c r="D65" s="202" t="s">
        <v>430</v>
      </c>
      <c r="E65" s="270"/>
      <c r="F65" s="263"/>
      <c r="G65" s="209"/>
      <c r="H65" s="227"/>
      <c r="I65" s="225"/>
    </row>
    <row r="66" spans="2:9" ht="13.8" thickBot="1">
      <c r="B66" s="459"/>
      <c r="C66" s="203"/>
      <c r="D66" s="222" t="s">
        <v>431</v>
      </c>
      <c r="E66" s="278"/>
      <c r="F66" s="281"/>
      <c r="G66" s="223"/>
    </row>
    <row r="67" spans="2:9" ht="13.8" thickTop="1">
      <c r="B67" s="201"/>
      <c r="C67" s="191"/>
      <c r="D67" s="192"/>
      <c r="E67" s="275"/>
      <c r="F67" s="266"/>
      <c r="G67" s="211"/>
    </row>
    <row r="68" spans="2:9">
      <c r="B68" s="454" t="s">
        <v>461</v>
      </c>
      <c r="C68" s="196"/>
      <c r="D68" s="202"/>
      <c r="E68" s="276"/>
      <c r="F68" s="267"/>
      <c r="G68" s="208"/>
    </row>
    <row r="69" spans="2:9" ht="52.8">
      <c r="B69" s="455"/>
      <c r="D69" s="218" t="s">
        <v>462</v>
      </c>
      <c r="E69" s="277" t="s">
        <v>422</v>
      </c>
      <c r="F69" s="268"/>
      <c r="G69" s="219">
        <v>44001</v>
      </c>
    </row>
    <row r="70" spans="2:9" ht="66">
      <c r="B70" s="455"/>
      <c r="D70" s="215" t="s">
        <v>457</v>
      </c>
      <c r="E70" s="274" t="s">
        <v>423</v>
      </c>
      <c r="F70" s="243"/>
      <c r="G70" s="219">
        <v>44001</v>
      </c>
      <c r="H70" s="226"/>
      <c r="I70" s="225"/>
    </row>
    <row r="71" spans="2:9" ht="39.6">
      <c r="B71" s="455"/>
      <c r="D71" s="218" t="s">
        <v>454</v>
      </c>
      <c r="E71" s="277" t="s">
        <v>449</v>
      </c>
      <c r="F71" s="268" t="s">
        <v>500</v>
      </c>
      <c r="G71" s="219">
        <v>44001</v>
      </c>
      <c r="H71" s="226"/>
      <c r="I71" s="225"/>
    </row>
    <row r="72" spans="2:9" ht="26.4">
      <c r="B72" s="455"/>
      <c r="D72" s="244" t="s">
        <v>463</v>
      </c>
      <c r="E72" s="277" t="s">
        <v>460</v>
      </c>
      <c r="F72" s="268" t="s">
        <v>496</v>
      </c>
      <c r="G72" s="219">
        <v>44004</v>
      </c>
      <c r="H72" s="226"/>
      <c r="I72" s="225"/>
    </row>
    <row r="73" spans="2:9" ht="26.4">
      <c r="B73" s="455"/>
      <c r="D73" s="244"/>
      <c r="E73" s="277"/>
      <c r="F73" s="268" t="s">
        <v>497</v>
      </c>
      <c r="G73" s="219">
        <v>44004</v>
      </c>
      <c r="H73" s="226"/>
      <c r="I73" s="225"/>
    </row>
    <row r="74" spans="2:9" ht="26.4">
      <c r="B74" s="455"/>
      <c r="D74" s="244"/>
      <c r="E74" s="277" t="s">
        <v>441</v>
      </c>
      <c r="F74" s="268" t="s">
        <v>498</v>
      </c>
      <c r="G74" s="219">
        <v>44004</v>
      </c>
      <c r="H74" s="226"/>
      <c r="I74" s="225"/>
    </row>
    <row r="75" spans="2:9" ht="26.4">
      <c r="B75" s="455"/>
      <c r="D75" s="244"/>
      <c r="E75" s="277"/>
      <c r="F75" s="268" t="s">
        <v>499</v>
      </c>
      <c r="G75" s="219">
        <v>44004</v>
      </c>
      <c r="H75" s="226"/>
      <c r="I75" s="225"/>
    </row>
    <row r="76" spans="2:9">
      <c r="B76" s="455"/>
      <c r="D76" s="243"/>
      <c r="E76" s="277"/>
      <c r="F76" s="268"/>
      <c r="G76" s="219"/>
      <c r="H76" s="226"/>
      <c r="I76" s="225"/>
    </row>
    <row r="77" spans="2:9">
      <c r="B77" s="455"/>
      <c r="C77" s="229" t="s">
        <v>464</v>
      </c>
      <c r="D77" s="202" t="s">
        <v>431</v>
      </c>
      <c r="E77" s="270"/>
      <c r="F77" s="263" t="s">
        <v>503</v>
      </c>
      <c r="G77" s="209">
        <v>44018</v>
      </c>
      <c r="H77" s="227"/>
      <c r="I77" s="225"/>
    </row>
    <row r="78" spans="2:9">
      <c r="B78" s="455"/>
      <c r="C78" s="229"/>
      <c r="D78" s="202" t="s">
        <v>501</v>
      </c>
      <c r="E78" s="270"/>
      <c r="F78" s="263" t="s">
        <v>502</v>
      </c>
      <c r="G78" s="209">
        <v>44018</v>
      </c>
      <c r="H78" s="227"/>
      <c r="I78" s="225"/>
    </row>
    <row r="79" spans="2:9">
      <c r="B79" s="455"/>
      <c r="C79" s="229"/>
      <c r="D79" s="202"/>
      <c r="E79" s="270"/>
      <c r="F79" s="263"/>
      <c r="G79" s="209"/>
      <c r="H79" s="227"/>
      <c r="I79" s="225"/>
    </row>
    <row r="80" spans="2:9" ht="13.8" thickBot="1">
      <c r="B80" s="456"/>
      <c r="C80" s="203"/>
      <c r="D80" s="222"/>
      <c r="E80" s="278"/>
      <c r="F80" s="281"/>
      <c r="G80" s="223"/>
    </row>
    <row r="81" spans="2:7" ht="13.8" thickTop="1">
      <c r="B81" s="201"/>
      <c r="C81" s="191"/>
      <c r="D81" s="192"/>
      <c r="E81" s="275"/>
      <c r="F81" s="266"/>
      <c r="G81" s="211"/>
    </row>
    <row r="82" spans="2:7">
      <c r="B82" s="454" t="s">
        <v>511</v>
      </c>
      <c r="C82" s="196"/>
      <c r="D82" s="202"/>
      <c r="E82" s="276"/>
      <c r="F82" s="267"/>
      <c r="G82" s="208"/>
    </row>
    <row r="83" spans="2:7" ht="52.8">
      <c r="B83" s="455"/>
      <c r="D83" s="218" t="s">
        <v>512</v>
      </c>
      <c r="E83" s="277" t="s">
        <v>422</v>
      </c>
      <c r="F83" s="268"/>
      <c r="G83" s="219">
        <v>44784</v>
      </c>
    </row>
    <row r="84" spans="2:7" ht="66">
      <c r="B84" s="455"/>
      <c r="C84" s="96" t="s">
        <v>520</v>
      </c>
      <c r="D84" s="215" t="s">
        <v>513</v>
      </c>
      <c r="E84" s="274" t="s">
        <v>423</v>
      </c>
      <c r="F84" s="243"/>
      <c r="G84" s="219">
        <v>44784</v>
      </c>
    </row>
    <row r="85" spans="2:7">
      <c r="B85" s="455"/>
      <c r="D85" s="218" t="s">
        <v>454</v>
      </c>
      <c r="E85" s="277" t="s">
        <v>449</v>
      </c>
      <c r="F85" s="268"/>
      <c r="G85" s="219">
        <v>44784</v>
      </c>
    </row>
    <row r="86" spans="2:7">
      <c r="B86" s="455"/>
      <c r="D86" s="244" t="s">
        <v>514</v>
      </c>
      <c r="E86" s="277" t="s">
        <v>460</v>
      </c>
      <c r="F86" s="268"/>
      <c r="G86" s="219">
        <v>44784</v>
      </c>
    </row>
    <row r="87" spans="2:7">
      <c r="B87" s="455"/>
      <c r="D87" s="244"/>
      <c r="E87" s="277" t="s">
        <v>441</v>
      </c>
      <c r="F87" s="268"/>
      <c r="G87" s="219">
        <v>44784</v>
      </c>
    </row>
    <row r="88" spans="2:7">
      <c r="B88" s="455"/>
      <c r="D88" s="244"/>
      <c r="E88" s="277" t="s">
        <v>515</v>
      </c>
      <c r="F88" s="268"/>
      <c r="G88" s="219">
        <v>44784</v>
      </c>
    </row>
    <row r="89" spans="2:7">
      <c r="B89" s="455"/>
      <c r="D89" s="244"/>
      <c r="E89" s="277" t="s">
        <v>516</v>
      </c>
      <c r="F89" s="268"/>
      <c r="G89" s="219">
        <v>44784</v>
      </c>
    </row>
    <row r="90" spans="2:7">
      <c r="B90" s="455"/>
      <c r="D90" s="244"/>
      <c r="E90" s="277" t="s">
        <v>517</v>
      </c>
      <c r="F90" s="268"/>
      <c r="G90" s="219">
        <v>44784</v>
      </c>
    </row>
    <row r="91" spans="2:7">
      <c r="B91" s="455"/>
      <c r="C91" s="229"/>
      <c r="D91" s="267"/>
      <c r="E91" s="277" t="s">
        <v>518</v>
      </c>
      <c r="F91" s="268"/>
      <c r="G91" s="219">
        <v>44784</v>
      </c>
    </row>
    <row r="92" spans="2:7">
      <c r="B92" s="455"/>
      <c r="C92" s="229"/>
      <c r="D92" s="267"/>
      <c r="E92" s="277" t="s">
        <v>519</v>
      </c>
      <c r="F92" s="268"/>
      <c r="G92" s="219">
        <v>44784</v>
      </c>
    </row>
    <row r="93" spans="2:7">
      <c r="B93" s="455"/>
      <c r="C93" s="229"/>
      <c r="D93" s="202"/>
      <c r="E93" s="277"/>
      <c r="F93" s="268"/>
      <c r="G93" s="219"/>
    </row>
    <row r="94" spans="2:7">
      <c r="B94" s="456"/>
      <c r="C94" s="203"/>
      <c r="D94" s="222"/>
      <c r="E94" s="278"/>
      <c r="F94" s="281"/>
      <c r="G94" s="223"/>
    </row>
    <row r="95" spans="2:7">
      <c r="B95" s="454" t="s">
        <v>522</v>
      </c>
      <c r="C95" s="196"/>
      <c r="D95" s="202"/>
      <c r="E95" s="276"/>
      <c r="F95" s="267"/>
      <c r="G95" s="208"/>
    </row>
    <row r="96" spans="2:7" ht="52.8">
      <c r="B96" s="455"/>
      <c r="D96" s="218" t="s">
        <v>524</v>
      </c>
      <c r="E96" s="277" t="s">
        <v>422</v>
      </c>
      <c r="F96" s="268"/>
      <c r="G96" s="219">
        <v>44907</v>
      </c>
    </row>
    <row r="97" spans="2:7" ht="66">
      <c r="B97" s="455"/>
      <c r="C97" s="96" t="s">
        <v>525</v>
      </c>
      <c r="D97" s="215" t="s">
        <v>523</v>
      </c>
      <c r="E97" s="274" t="s">
        <v>423</v>
      </c>
      <c r="F97" s="243"/>
      <c r="G97" s="219">
        <v>44907</v>
      </c>
    </row>
    <row r="98" spans="2:7">
      <c r="B98" s="455"/>
      <c r="D98" s="218" t="s">
        <v>454</v>
      </c>
      <c r="E98" s="277" t="s">
        <v>449</v>
      </c>
      <c r="F98" s="268"/>
      <c r="G98" s="219">
        <v>44907</v>
      </c>
    </row>
    <row r="99" spans="2:7">
      <c r="B99" s="455"/>
      <c r="D99" s="244" t="s">
        <v>514</v>
      </c>
      <c r="E99" s="277" t="s">
        <v>460</v>
      </c>
      <c r="F99" s="268"/>
      <c r="G99" s="219">
        <v>44907</v>
      </c>
    </row>
    <row r="100" spans="2:7">
      <c r="B100" s="455"/>
      <c r="D100" s="244"/>
      <c r="E100" s="277" t="s">
        <v>441</v>
      </c>
      <c r="F100" s="268"/>
      <c r="G100" s="219">
        <v>44907</v>
      </c>
    </row>
    <row r="101" spans="2:7">
      <c r="B101" s="455"/>
      <c r="D101" s="244"/>
      <c r="E101" s="277" t="s">
        <v>515</v>
      </c>
      <c r="F101" s="268"/>
      <c r="G101" s="219">
        <v>44907</v>
      </c>
    </row>
    <row r="102" spans="2:7">
      <c r="B102" s="455"/>
      <c r="D102" s="244"/>
      <c r="E102" s="277" t="s">
        <v>516</v>
      </c>
      <c r="F102" s="268"/>
      <c r="G102" s="219">
        <v>44907</v>
      </c>
    </row>
    <row r="103" spans="2:7">
      <c r="B103" s="455"/>
      <c r="D103" s="244"/>
      <c r="E103" s="277" t="s">
        <v>517</v>
      </c>
      <c r="F103" s="268"/>
      <c r="G103" s="219">
        <v>44907</v>
      </c>
    </row>
    <row r="104" spans="2:7">
      <c r="B104" s="455"/>
      <c r="C104" s="229"/>
      <c r="D104" s="267"/>
      <c r="E104" s="277" t="s">
        <v>518</v>
      </c>
      <c r="F104" s="268"/>
      <c r="G104" s="219">
        <v>44907</v>
      </c>
    </row>
    <row r="105" spans="2:7">
      <c r="B105" s="455"/>
      <c r="C105" s="229"/>
      <c r="D105" s="267"/>
      <c r="E105" s="277" t="s">
        <v>519</v>
      </c>
      <c r="F105" s="268"/>
      <c r="G105" s="219">
        <v>44907</v>
      </c>
    </row>
    <row r="106" spans="2:7">
      <c r="B106" s="455"/>
      <c r="C106" s="229"/>
      <c r="D106" s="202"/>
      <c r="E106" s="277"/>
      <c r="F106" s="268"/>
      <c r="G106" s="219"/>
    </row>
    <row r="107" spans="2:7">
      <c r="B107" s="456"/>
      <c r="C107" s="203"/>
      <c r="D107" s="222"/>
      <c r="E107" s="278"/>
      <c r="F107" s="281"/>
      <c r="G107" s="223"/>
    </row>
    <row r="108" spans="2:7">
      <c r="B108" s="454" t="s">
        <v>526</v>
      </c>
      <c r="C108" s="196"/>
      <c r="D108" s="202"/>
      <c r="E108" s="276"/>
      <c r="F108" s="267"/>
      <c r="G108" s="208"/>
    </row>
    <row r="109" spans="2:7" ht="52.8">
      <c r="B109" s="455"/>
      <c r="D109" s="218" t="s">
        <v>528</v>
      </c>
      <c r="E109" s="277" t="s">
        <v>422</v>
      </c>
      <c r="F109" s="268"/>
      <c r="G109" s="219">
        <v>45490</v>
      </c>
    </row>
    <row r="110" spans="2:7" ht="66">
      <c r="B110" s="455"/>
      <c r="C110" s="96" t="s">
        <v>527</v>
      </c>
      <c r="D110" s="215" t="s">
        <v>650</v>
      </c>
      <c r="E110" s="274" t="s">
        <v>423</v>
      </c>
      <c r="F110" s="243"/>
      <c r="G110" s="219">
        <v>45490</v>
      </c>
    </row>
    <row r="111" spans="2:7">
      <c r="B111" s="455"/>
      <c r="D111" s="218" t="s">
        <v>454</v>
      </c>
      <c r="E111" s="277" t="s">
        <v>449</v>
      </c>
      <c r="F111" s="268"/>
      <c r="G111" s="219">
        <v>45490</v>
      </c>
    </row>
    <row r="112" spans="2:7">
      <c r="B112" s="455"/>
      <c r="D112" s="244" t="s">
        <v>530</v>
      </c>
      <c r="E112" s="277" t="s">
        <v>460</v>
      </c>
      <c r="F112" s="268"/>
      <c r="G112" s="219">
        <v>45490</v>
      </c>
    </row>
    <row r="113" spans="2:7">
      <c r="B113" s="455"/>
      <c r="D113" s="244" t="s">
        <v>531</v>
      </c>
      <c r="E113" s="277" t="s">
        <v>441</v>
      </c>
      <c r="F113" s="268"/>
      <c r="G113" s="219">
        <v>45490</v>
      </c>
    </row>
    <row r="114" spans="2:7">
      <c r="B114" s="455"/>
      <c r="D114" s="244"/>
      <c r="E114" s="277" t="s">
        <v>515</v>
      </c>
      <c r="F114" s="268"/>
      <c r="G114" s="219">
        <v>45490</v>
      </c>
    </row>
    <row r="115" spans="2:7">
      <c r="B115" s="455"/>
      <c r="D115" s="244"/>
      <c r="E115" s="277" t="s">
        <v>516</v>
      </c>
      <c r="F115" s="268"/>
      <c r="G115" s="219">
        <v>45490</v>
      </c>
    </row>
    <row r="116" spans="2:7">
      <c r="B116" s="455"/>
      <c r="D116" s="244"/>
      <c r="E116" s="277" t="s">
        <v>517</v>
      </c>
      <c r="F116" s="268"/>
      <c r="G116" s="219">
        <v>45490</v>
      </c>
    </row>
    <row r="117" spans="2:7">
      <c r="B117" s="455"/>
      <c r="C117" s="229"/>
      <c r="D117" s="267"/>
      <c r="E117" s="277" t="s">
        <v>518</v>
      </c>
      <c r="F117" s="268"/>
      <c r="G117" s="219">
        <v>45490</v>
      </c>
    </row>
    <row r="118" spans="2:7">
      <c r="B118" s="455"/>
      <c r="C118" s="229"/>
      <c r="D118" s="267"/>
      <c r="E118" s="277" t="s">
        <v>519</v>
      </c>
      <c r="F118" s="268"/>
      <c r="G118" s="219">
        <v>45490</v>
      </c>
    </row>
    <row r="119" spans="2:7">
      <c r="B119" s="455"/>
      <c r="C119" s="229"/>
      <c r="D119" s="202"/>
      <c r="E119" s="277"/>
      <c r="F119" s="268"/>
      <c r="G119" s="219">
        <v>45496</v>
      </c>
    </row>
    <row r="120" spans="2:7">
      <c r="B120" s="456"/>
      <c r="C120" s="203"/>
      <c r="D120" s="222"/>
      <c r="E120" s="278"/>
      <c r="F120" s="281"/>
      <c r="G120" s="223"/>
    </row>
    <row r="121" spans="2:7">
      <c r="B121" s="454" t="s">
        <v>526</v>
      </c>
      <c r="C121" s="229"/>
      <c r="D121" s="202" t="s">
        <v>573</v>
      </c>
      <c r="E121" s="277" t="s">
        <v>442</v>
      </c>
      <c r="F121" s="268"/>
      <c r="G121" s="219">
        <v>45503</v>
      </c>
    </row>
    <row r="122" spans="2:7" ht="95.4" customHeight="1">
      <c r="B122" s="456"/>
      <c r="C122" s="338" t="s">
        <v>574</v>
      </c>
      <c r="D122" s="222"/>
      <c r="E122" s="339" t="s">
        <v>575</v>
      </c>
      <c r="F122" s="340"/>
      <c r="G122" s="341">
        <v>45503</v>
      </c>
    </row>
    <row r="123" spans="2:7">
      <c r="B123" s="454" t="s">
        <v>611</v>
      </c>
      <c r="C123" s="196"/>
      <c r="D123" s="202"/>
      <c r="E123" s="276"/>
      <c r="F123" s="267"/>
      <c r="G123" s="208"/>
    </row>
    <row r="124" spans="2:7" ht="52.8">
      <c r="B124" s="455"/>
      <c r="D124" s="218" t="s">
        <v>622</v>
      </c>
      <c r="E124" s="277" t="s">
        <v>422</v>
      </c>
      <c r="F124" s="268"/>
      <c r="G124" s="219">
        <v>45728</v>
      </c>
    </row>
    <row r="125" spans="2:7" ht="66">
      <c r="B125" s="455"/>
      <c r="C125" s="96">
        <v>6.15</v>
      </c>
      <c r="D125" s="215" t="s">
        <v>529</v>
      </c>
      <c r="E125" s="274" t="s">
        <v>423</v>
      </c>
      <c r="F125" s="243"/>
      <c r="G125" s="219">
        <v>45728</v>
      </c>
    </row>
    <row r="126" spans="2:7">
      <c r="B126" s="455"/>
      <c r="D126" s="218" t="s">
        <v>454</v>
      </c>
      <c r="E126" s="277" t="s">
        <v>449</v>
      </c>
      <c r="F126" s="268"/>
      <c r="G126" s="219">
        <v>45728</v>
      </c>
    </row>
    <row r="127" spans="2:7">
      <c r="B127" s="456"/>
      <c r="C127" s="203"/>
      <c r="D127" s="222"/>
      <c r="E127" s="278"/>
      <c r="F127" s="281"/>
      <c r="G127" s="223"/>
    </row>
    <row r="128" spans="2:7">
      <c r="B128" s="454" t="s">
        <v>611</v>
      </c>
      <c r="C128" s="196"/>
      <c r="D128" s="202"/>
      <c r="E128" s="276"/>
      <c r="F128" s="267"/>
      <c r="G128" s="208"/>
    </row>
    <row r="129" spans="2:7">
      <c r="B129" s="455"/>
      <c r="C129" s="96">
        <v>6.15</v>
      </c>
      <c r="D129" s="218" t="s">
        <v>642</v>
      </c>
      <c r="E129" s="277" t="s">
        <v>442</v>
      </c>
      <c r="F129" s="268"/>
      <c r="G129" s="219">
        <v>45736</v>
      </c>
    </row>
    <row r="130" spans="2:7">
      <c r="B130" s="455"/>
      <c r="D130" s="215"/>
      <c r="E130" s="274"/>
      <c r="F130" s="243"/>
      <c r="G130" s="219"/>
    </row>
    <row r="131" spans="2:7">
      <c r="B131" s="455"/>
      <c r="D131" s="218"/>
      <c r="E131" s="277"/>
      <c r="F131" s="268"/>
      <c r="G131" s="219"/>
    </row>
    <row r="132" spans="2:7">
      <c r="B132" s="456"/>
      <c r="C132" s="203"/>
      <c r="D132" s="222"/>
      <c r="E132" s="278"/>
      <c r="F132" s="281"/>
      <c r="G132" s="223"/>
    </row>
    <row r="133" spans="2:7">
      <c r="B133" s="454" t="s">
        <v>611</v>
      </c>
      <c r="C133" s="196"/>
      <c r="D133" s="202"/>
      <c r="E133" s="276"/>
      <c r="F133" s="267"/>
      <c r="G133" s="208"/>
    </row>
    <row r="134" spans="2:7">
      <c r="B134" s="455"/>
      <c r="C134" s="96">
        <v>6.16</v>
      </c>
      <c r="D134" s="218" t="s">
        <v>644</v>
      </c>
      <c r="E134" s="277" t="s">
        <v>643</v>
      </c>
      <c r="F134" s="268"/>
      <c r="G134" s="219">
        <v>45755</v>
      </c>
    </row>
    <row r="135" spans="2:7">
      <c r="B135" s="455"/>
      <c r="D135" s="215"/>
      <c r="E135" s="274"/>
      <c r="F135" s="243"/>
      <c r="G135" s="219"/>
    </row>
    <row r="136" spans="2:7">
      <c r="B136" s="455"/>
      <c r="D136" s="218"/>
      <c r="E136" s="277"/>
      <c r="F136" s="268"/>
      <c r="G136" s="219"/>
    </row>
    <row r="137" spans="2:7">
      <c r="B137" s="456"/>
      <c r="C137" s="203"/>
      <c r="D137" s="222"/>
      <c r="E137" s="278"/>
      <c r="F137" s="281"/>
      <c r="G137" s="223"/>
    </row>
    <row r="138" spans="2:7">
      <c r="B138" s="454" t="s">
        <v>611</v>
      </c>
      <c r="C138" s="196"/>
      <c r="D138" s="202"/>
      <c r="E138" s="276"/>
      <c r="F138" s="267"/>
      <c r="G138" s="208"/>
    </row>
    <row r="139" spans="2:7">
      <c r="B139" s="455"/>
      <c r="C139" s="96">
        <v>6.17</v>
      </c>
      <c r="D139" s="218" t="s">
        <v>647</v>
      </c>
      <c r="E139" s="277" t="s">
        <v>643</v>
      </c>
      <c r="F139" s="268"/>
      <c r="G139" s="219">
        <v>45839</v>
      </c>
    </row>
    <row r="140" spans="2:7">
      <c r="B140" s="455"/>
      <c r="D140" s="215"/>
      <c r="E140" s="274"/>
      <c r="F140" s="243"/>
      <c r="G140" s="219"/>
    </row>
    <row r="141" spans="2:7">
      <c r="B141" s="455"/>
      <c r="D141" s="218"/>
      <c r="E141" s="277"/>
      <c r="F141" s="268"/>
      <c r="G141" s="219"/>
    </row>
    <row r="142" spans="2:7">
      <c r="B142" s="456"/>
      <c r="C142" s="203"/>
      <c r="D142" s="222"/>
      <c r="E142" s="278"/>
      <c r="F142" s="281"/>
      <c r="G142" s="223"/>
    </row>
    <row r="143" spans="2:7">
      <c r="B143" s="454" t="s">
        <v>648</v>
      </c>
      <c r="C143" s="196"/>
      <c r="D143" s="202"/>
      <c r="E143" s="276"/>
      <c r="F143" s="267"/>
      <c r="G143" s="208"/>
    </row>
    <row r="144" spans="2:7" ht="52.8">
      <c r="B144" s="455"/>
      <c r="D144" s="218" t="s">
        <v>649</v>
      </c>
      <c r="E144" s="277" t="s">
        <v>422</v>
      </c>
      <c r="F144" s="268"/>
      <c r="G144" s="219">
        <v>46094</v>
      </c>
    </row>
    <row r="145" spans="2:7" ht="66">
      <c r="B145" s="455"/>
      <c r="C145" s="96">
        <v>6.15</v>
      </c>
      <c r="D145" s="215" t="s">
        <v>610</v>
      </c>
      <c r="E145" s="274" t="s">
        <v>423</v>
      </c>
      <c r="F145" s="243"/>
      <c r="G145" s="219">
        <v>46094</v>
      </c>
    </row>
    <row r="146" spans="2:7">
      <c r="B146" s="455"/>
      <c r="D146" s="218" t="s">
        <v>454</v>
      </c>
      <c r="E146" s="277" t="s">
        <v>449</v>
      </c>
      <c r="F146" s="268"/>
      <c r="G146" s="219">
        <v>46094</v>
      </c>
    </row>
    <row r="147" spans="2:7">
      <c r="B147" s="456"/>
      <c r="C147" s="203"/>
      <c r="D147" s="222"/>
      <c r="E147" s="278"/>
      <c r="F147" s="281"/>
      <c r="G147" s="223"/>
    </row>
  </sheetData>
  <sheetProtection algorithmName="SHA-512" hashValue="jacVhdhQpXkHyMms0TLrrNwfQuWM7dp5dejDrFloLTvI0zkYLtdN9zv8CmILmOVj2b5TGv3gW0PQogx0edDB7g==" saltValue="kVvb/J6LLRD9fQicV6fGYg==" spinCount="100000" sheet="1" objects="1" scenarios="1"/>
  <mergeCells count="20">
    <mergeCell ref="B3:B18"/>
    <mergeCell ref="B21:B33"/>
    <mergeCell ref="E22:E26"/>
    <mergeCell ref="G22:G26"/>
    <mergeCell ref="B35:B41"/>
    <mergeCell ref="G38:G39"/>
    <mergeCell ref="B121:B122"/>
    <mergeCell ref="B51:B56"/>
    <mergeCell ref="B43:B49"/>
    <mergeCell ref="G46:G47"/>
    <mergeCell ref="B108:B120"/>
    <mergeCell ref="B95:B107"/>
    <mergeCell ref="B82:B94"/>
    <mergeCell ref="B68:B80"/>
    <mergeCell ref="B58:B66"/>
    <mergeCell ref="B143:B147"/>
    <mergeCell ref="B138:B142"/>
    <mergeCell ref="B133:B137"/>
    <mergeCell ref="B128:B132"/>
    <mergeCell ref="B123:B127"/>
  </mergeCells>
  <pageMargins left="0.7" right="0.7" top="0.75" bottom="0.75" header="0.3" footer="0.3"/>
  <pageSetup orientation="portrait" r:id="rId1"/>
</worksheet>
</file>

<file path=docMetadata/LabelInfo.xml><?xml version="1.0" encoding="utf-8"?>
<clbl:labelList xmlns:clbl="http://schemas.microsoft.com/office/2020/mipLabelMetadata">
  <clbl:label id="{93aedbdc-cc67-4652-aa12-d250a876ae79}" enabled="0" method="" siteId="{93aedbdc-cc67-4652-aa12-d250a876ae7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200</vt:i4>
      </vt:variant>
    </vt:vector>
  </HeadingPairs>
  <TitlesOfParts>
    <vt:vector size="220" baseType="lpstr">
      <vt:lpstr>Inputs</vt:lpstr>
      <vt:lpstr>Bill Comparison</vt:lpstr>
      <vt:lpstr>Monthly Comparison</vt:lpstr>
      <vt:lpstr>Tariff Comparison</vt:lpstr>
      <vt:lpstr>HOURLY DATA</vt:lpstr>
      <vt:lpstr>METADATA</vt:lpstr>
      <vt:lpstr>Workings High</vt:lpstr>
      <vt:lpstr>Workings Low</vt:lpstr>
      <vt:lpstr>Rates Table</vt:lpstr>
      <vt:lpstr>Rates SPU - New</vt:lpstr>
      <vt:lpstr>Rates SPU - Current</vt:lpstr>
      <vt:lpstr>Rates LPU Other - New</vt:lpstr>
      <vt:lpstr>Rates LPU Other - Current</vt:lpstr>
      <vt:lpstr>Rates LPU by Voltage - New</vt:lpstr>
      <vt:lpstr>Rates LPU by Voltage - Current</vt:lpstr>
      <vt:lpstr>Rates LPU Energy - New</vt:lpstr>
      <vt:lpstr>Rates LPU Energy - Current</vt:lpstr>
      <vt:lpstr>Mapping</vt:lpstr>
      <vt:lpstr>Lists</vt:lpstr>
      <vt:lpstr>Notes on updates</vt:lpstr>
      <vt:lpstr>Account_Number</vt:lpstr>
      <vt:lpstr>Annual_Total_Energy</vt:lpstr>
      <vt:lpstr>Annual_Total_Energy_Exist_TOU</vt:lpstr>
      <vt:lpstr>Annual_Total_Energy_New_TOU</vt:lpstr>
      <vt:lpstr>Base_Tariff_ID</vt:lpstr>
      <vt:lpstr>Base_Tariff_List</vt:lpstr>
      <vt:lpstr>Base_Tariff_Type</vt:lpstr>
      <vt:lpstr>Block_1_Upper</vt:lpstr>
      <vt:lpstr>Block1_max_HL20A</vt:lpstr>
      <vt:lpstr>Block1_max_HL60A</vt:lpstr>
      <vt:lpstr>Block1_max_HP</vt:lpstr>
      <vt:lpstr>Capacity_List_Count</vt:lpstr>
      <vt:lpstr>Capacity_LPU_List</vt:lpstr>
      <vt:lpstr>Capacity_SPU_List</vt:lpstr>
      <vt:lpstr>Compare_Tariff_List</vt:lpstr>
      <vt:lpstr>Current_Period</vt:lpstr>
      <vt:lpstr>CurrRate_EDC_H</vt:lpstr>
      <vt:lpstr>CurrRate_EDC_L</vt:lpstr>
      <vt:lpstr>CurrRate_kWh_H_nontou</vt:lpstr>
      <vt:lpstr>CurrRate_kWh_L_nontou</vt:lpstr>
      <vt:lpstr>CurrRate_kWh_O_high</vt:lpstr>
      <vt:lpstr>CurrRate_kWh_O_low</vt:lpstr>
      <vt:lpstr>CurrRate_kWh_P_high</vt:lpstr>
      <vt:lpstr>CurrRate_kWh_P_low</vt:lpstr>
      <vt:lpstr>CurrRate_kWh_S_high</vt:lpstr>
      <vt:lpstr>CurrRate_kWh_S_low</vt:lpstr>
      <vt:lpstr>Customer_Category_List</vt:lpstr>
      <vt:lpstr>Customer_Name</vt:lpstr>
      <vt:lpstr>Delivery_ID</vt:lpstr>
      <vt:lpstr>Dropdown_Category</vt:lpstr>
      <vt:lpstr>Dropdown_Compare_1</vt:lpstr>
      <vt:lpstr>Dropdown_Compare_2</vt:lpstr>
      <vt:lpstr>Dropdown_Compare_3</vt:lpstr>
      <vt:lpstr>Dropdown_Compare_4</vt:lpstr>
      <vt:lpstr>Dropdown_Customer</vt:lpstr>
      <vt:lpstr>Dropdown_Supply</vt:lpstr>
      <vt:lpstr>Dropdown_Tariff</vt:lpstr>
      <vt:lpstr>Dropdown_Voltage</vt:lpstr>
      <vt:lpstr>Dropdown_Zone</vt:lpstr>
      <vt:lpstr>Full_Tariff_ID</vt:lpstr>
      <vt:lpstr>Full_Tariff_List</vt:lpstr>
      <vt:lpstr>Full_Tariff_Type</vt:lpstr>
      <vt:lpstr>High_Block_1</vt:lpstr>
      <vt:lpstr>High_Block_2</vt:lpstr>
      <vt:lpstr>High_Days</vt:lpstr>
      <vt:lpstr>High_Demand</vt:lpstr>
      <vt:lpstr>High_Demand_Exist_TOU</vt:lpstr>
      <vt:lpstr>High_Demand_New_TOU</vt:lpstr>
      <vt:lpstr>High_Excess_RE</vt:lpstr>
      <vt:lpstr>High_Excess_RE_Exist_TOU</vt:lpstr>
      <vt:lpstr>High_Excess_RE_New_TOU</vt:lpstr>
      <vt:lpstr>High_Months</vt:lpstr>
      <vt:lpstr>High_OffPeak</vt:lpstr>
      <vt:lpstr>High_OffPeak_Exist_TOU</vt:lpstr>
      <vt:lpstr>High_OffPeak_New_TOU</vt:lpstr>
      <vt:lpstr>High_Peak</vt:lpstr>
      <vt:lpstr>High_Peak_Exist_TOU</vt:lpstr>
      <vt:lpstr>High_Peak_New_TOU</vt:lpstr>
      <vt:lpstr>High_Standard</vt:lpstr>
      <vt:lpstr>High_Standard_Exist_TOU</vt:lpstr>
      <vt:lpstr>High_Standard_New_TOU</vt:lpstr>
      <vt:lpstr>High_Total_Costs_Current</vt:lpstr>
      <vt:lpstr>High_Total_Costs_ExVAT_Current</vt:lpstr>
      <vt:lpstr>High_Total_Costs_ExVAT_New</vt:lpstr>
      <vt:lpstr>High_Total_Costs_New</vt:lpstr>
      <vt:lpstr>High_Total_Energy</vt:lpstr>
      <vt:lpstr>High_Total_Energy_Exist_TOU</vt:lpstr>
      <vt:lpstr>High_Total_Energy_New_TOU</vt:lpstr>
      <vt:lpstr>High_Utilised_Capacity</vt:lpstr>
      <vt:lpstr>High_Utilised_Capacity_Exist_TOU</vt:lpstr>
      <vt:lpstr>High_Utilised_Capacity_New_TOU</vt:lpstr>
      <vt:lpstr>List_Seasons</vt:lpstr>
      <vt:lpstr>Low_Block_1</vt:lpstr>
      <vt:lpstr>Low_Block_2</vt:lpstr>
      <vt:lpstr>Low_Days</vt:lpstr>
      <vt:lpstr>Low_Demand</vt:lpstr>
      <vt:lpstr>Low_Demand_Exist_TOU</vt:lpstr>
      <vt:lpstr>Low_Demand_New_TOU</vt:lpstr>
      <vt:lpstr>Low_Excess_RE</vt:lpstr>
      <vt:lpstr>Low_Excess_RE_Exist_TOU</vt:lpstr>
      <vt:lpstr>Low_Excess_RE_New_TOU</vt:lpstr>
      <vt:lpstr>Low_Months</vt:lpstr>
      <vt:lpstr>Low_OffPeak</vt:lpstr>
      <vt:lpstr>Low_OffPeak_Exist_TOU</vt:lpstr>
      <vt:lpstr>Low_OffPeak_New_TOU</vt:lpstr>
      <vt:lpstr>Low_Peak</vt:lpstr>
      <vt:lpstr>Low_Peak_Exist_TOU</vt:lpstr>
      <vt:lpstr>Low_Peak_New_TOU</vt:lpstr>
      <vt:lpstr>Low_Standard</vt:lpstr>
      <vt:lpstr>Low_Standard_Exist_TOU</vt:lpstr>
      <vt:lpstr>Low_Standard_New_TOU</vt:lpstr>
      <vt:lpstr>Low_Total_Costs_Current</vt:lpstr>
      <vt:lpstr>Low_Total_Costs_ExVAT_Current</vt:lpstr>
      <vt:lpstr>Low_Total_Costs_ExVAT_New</vt:lpstr>
      <vt:lpstr>Low_Total_Costs_New</vt:lpstr>
      <vt:lpstr>Low_Total_Energy</vt:lpstr>
      <vt:lpstr>Low_Total_Energy_Exist_TOU</vt:lpstr>
      <vt:lpstr>Low_Total_Energy_New_TOU</vt:lpstr>
      <vt:lpstr>Low_Utilised_Capacity</vt:lpstr>
      <vt:lpstr>Low_Utilised_Capacity_Exist_TOU</vt:lpstr>
      <vt:lpstr>Low_Utilised_Capacity_New_TOU</vt:lpstr>
      <vt:lpstr>LPU_Inputs</vt:lpstr>
      <vt:lpstr>Matrix_Category_Map</vt:lpstr>
      <vt:lpstr>Matrix_Model_Category</vt:lpstr>
      <vt:lpstr>Matrix_Model_Tariffs</vt:lpstr>
      <vt:lpstr>Matrix_Model_Transmission</vt:lpstr>
      <vt:lpstr>Matrix_Model_Voltage</vt:lpstr>
      <vt:lpstr>Matrix_Tariff_Map</vt:lpstr>
      <vt:lpstr>Matrix_Transmission_Map</vt:lpstr>
      <vt:lpstr>Matrix_Voltage_Map</vt:lpstr>
      <vt:lpstr>Municipality_Period</vt:lpstr>
      <vt:lpstr>New_Period</vt:lpstr>
      <vt:lpstr>NewRate_EDC_H</vt:lpstr>
      <vt:lpstr>NewRate_EDC_L</vt:lpstr>
      <vt:lpstr>NewRate_kWh_H_nontou</vt:lpstr>
      <vt:lpstr>NewRate_kWh_L_nontou</vt:lpstr>
      <vt:lpstr>NewRate_kWh_O_high</vt:lpstr>
      <vt:lpstr>NewRate_kWh_O_low</vt:lpstr>
      <vt:lpstr>NewRate_kWh_P_high</vt:lpstr>
      <vt:lpstr>NewRate_kWh_P_low</vt:lpstr>
      <vt:lpstr>NewRate_kWh_S_high</vt:lpstr>
      <vt:lpstr>NewRate_kWh_S_low</vt:lpstr>
      <vt:lpstr>Period</vt:lpstr>
      <vt:lpstr>PODs</vt:lpstr>
      <vt:lpstr>'Bill Comparison'!Print_Area</vt:lpstr>
      <vt:lpstr>'Monthly Comparison'!Print_Area</vt:lpstr>
      <vt:lpstr>'Tariff Comparison'!Print_Area</vt:lpstr>
      <vt:lpstr>'Bill Comparison'!Print_Titles</vt:lpstr>
      <vt:lpstr>RURAL</vt:lpstr>
      <vt:lpstr>Selected_Base_Tariff</vt:lpstr>
      <vt:lpstr>Selected_Compare_Tariff_ID</vt:lpstr>
      <vt:lpstr>Selected_Customer_Category_ID</vt:lpstr>
      <vt:lpstr>Selected_Supply_Size</vt:lpstr>
      <vt:lpstr>Selected_Supply_Size_ID</vt:lpstr>
      <vt:lpstr>Selected_Supply_Voltage</vt:lpstr>
      <vt:lpstr>Selected_Tariff_Category</vt:lpstr>
      <vt:lpstr>Selected_Tariff_Category_ID</vt:lpstr>
      <vt:lpstr>Selected_Tariff_ID</vt:lpstr>
      <vt:lpstr>Selected_Tariff_Type</vt:lpstr>
      <vt:lpstr>Selected_Tariff_Type_ID</vt:lpstr>
      <vt:lpstr>Selected_Transmission</vt:lpstr>
      <vt:lpstr>SPU_Selections</vt:lpstr>
      <vt:lpstr>Supply_Tariff_List_Count</vt:lpstr>
      <vt:lpstr>Table_1</vt:lpstr>
      <vt:lpstr>Table_Months</vt:lpstr>
      <vt:lpstr>Table_Report</vt:lpstr>
      <vt:lpstr>Tariff_Category_List</vt:lpstr>
      <vt:lpstr>Toggle_TOU</vt:lpstr>
      <vt:lpstr>TOU_High_Days</vt:lpstr>
      <vt:lpstr>TOU_High_Demand</vt:lpstr>
      <vt:lpstr>TOU_High_Demand_Exist_TOU</vt:lpstr>
      <vt:lpstr>TOU_High_Demand_New_TOU</vt:lpstr>
      <vt:lpstr>TOU_High_Excess_RE</vt:lpstr>
      <vt:lpstr>TOU_High_Excess_RE_Exist_TOU</vt:lpstr>
      <vt:lpstr>TOU_High_Excess_RE_New_TOU</vt:lpstr>
      <vt:lpstr>TOU_High_OffPeak</vt:lpstr>
      <vt:lpstr>TOU_High_OffPeak_Exist_TOU</vt:lpstr>
      <vt:lpstr>TOU_High_OffPeak_New_TOU</vt:lpstr>
      <vt:lpstr>TOU_High_Peak</vt:lpstr>
      <vt:lpstr>TOU_High_Peak_Exist_TOU</vt:lpstr>
      <vt:lpstr>TOU_High_Peak_New_TOU</vt:lpstr>
      <vt:lpstr>TOU_High_Standard</vt:lpstr>
      <vt:lpstr>TOU_High_Standard_Exist_TOU</vt:lpstr>
      <vt:lpstr>TOU_High_Standard_New_TOU</vt:lpstr>
      <vt:lpstr>TOU_High_Total_Energy</vt:lpstr>
      <vt:lpstr>TOU_High_Total_Energy_Exist_TOU</vt:lpstr>
      <vt:lpstr>TOU_High_Total_Energy_New_TOU</vt:lpstr>
      <vt:lpstr>TOU_High_UC</vt:lpstr>
      <vt:lpstr>TOU_High_UC_Exist_TOU</vt:lpstr>
      <vt:lpstr>TOU_High_UC_New_TOU</vt:lpstr>
      <vt:lpstr>TOU_indicator</vt:lpstr>
      <vt:lpstr>TOU_indicator_RTP</vt:lpstr>
      <vt:lpstr>TOU_Low_Days</vt:lpstr>
      <vt:lpstr>TOU_Low_Demand</vt:lpstr>
      <vt:lpstr>TOU_Low_Demand_Exist_TOU</vt:lpstr>
      <vt:lpstr>TOU_Low_Demand_New_TOU</vt:lpstr>
      <vt:lpstr>TOU_Low_Excess_RE</vt:lpstr>
      <vt:lpstr>TOU_Low_Excess_RE_Exist_TOU</vt:lpstr>
      <vt:lpstr>TOU_Low_Excess_RE_New_TOU</vt:lpstr>
      <vt:lpstr>TOU_Low_OffPeak</vt:lpstr>
      <vt:lpstr>TOU_Low_OffPeak_Exist_TOU</vt:lpstr>
      <vt:lpstr>TOU_Low_OffPeak_New_TOU</vt:lpstr>
      <vt:lpstr>TOU_Low_Peak</vt:lpstr>
      <vt:lpstr>TOU_Low_Peak_Exist_TOU</vt:lpstr>
      <vt:lpstr>TOU_Low_Peak_New_TOU</vt:lpstr>
      <vt:lpstr>TOU_Low_Standard</vt:lpstr>
      <vt:lpstr>TOU_Low_Standard_Exist_TOU</vt:lpstr>
      <vt:lpstr>TOU_Low_Standard_New_TOU</vt:lpstr>
      <vt:lpstr>TOU_Low_Total_Energy</vt:lpstr>
      <vt:lpstr>TOU_Low_Total_Energy_Exist_TOU</vt:lpstr>
      <vt:lpstr>TOU_Low_Total_Energy_New_TOU</vt:lpstr>
      <vt:lpstr>TOU_Low_UC</vt:lpstr>
      <vt:lpstr>TOU_Low_UC_Exist_TOU</vt:lpstr>
      <vt:lpstr>TOU_Low_UC_New_TOU</vt:lpstr>
      <vt:lpstr>TOU_Period</vt:lpstr>
      <vt:lpstr>TOU_Total_days</vt:lpstr>
      <vt:lpstr>Transmission_List_Count</vt:lpstr>
      <vt:lpstr>URBAN</vt:lpstr>
      <vt:lpstr>VAT</vt:lpstr>
      <vt:lpstr>Voltage_List_Count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Jaqui</dc:creator>
  <cp:lastModifiedBy>Choshane Phaahla</cp:lastModifiedBy>
  <cp:lastPrinted>2025-03-13T10:40:47Z</cp:lastPrinted>
  <dcterms:created xsi:type="dcterms:W3CDTF">2013-08-12T12:59:33Z</dcterms:created>
  <dcterms:modified xsi:type="dcterms:W3CDTF">2026-03-26T14:55:21Z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olution ID">
    <vt:lpwstr>None</vt:lpwstr>
  </property>
  <property fmtid="{D5CDD505-2E9C-101B-9397-08002B2CF9AE}" pid="4" name="SV_HIDDEN_GRID_QUERY_LIST_4F35BF76-6C0D-4D9B-82B2-816C12CF3733">
    <vt:lpwstr>empty_477D106A-C0D6-4607-AEBD-E2C9D60EA279</vt:lpwstr>
  </property>
</Properties>
</file>